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Kuliah\Semester 6\"/>
    </mc:Choice>
  </mc:AlternateContent>
  <xr:revisionPtr revIDLastSave="0" documentId="13_ncr:20001_{F0B47966-FCCE-4951-B8F3-C250BCB034C9}" xr6:coauthVersionLast="45" xr6:coauthVersionMax="45" xr10:uidLastSave="{00000000-0000-0000-0000-000000000000}"/>
  <bookViews>
    <workbookView xWindow="-120" yWindow="330" windowWidth="20730" windowHeight="11310" xr2:uid="{00000000-000D-0000-FFFF-FFFF00000000}"/>
  </bookViews>
  <sheets>
    <sheet name="24Feb-15Mar"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1726" i="1" l="1"/>
  <c r="B41725" i="1"/>
  <c r="B41724" i="1"/>
  <c r="B41723" i="1"/>
  <c r="B41722" i="1"/>
  <c r="B41721" i="1"/>
  <c r="B41720" i="1"/>
  <c r="B41719" i="1"/>
  <c r="B41718" i="1"/>
  <c r="B41717" i="1"/>
  <c r="B41716" i="1"/>
  <c r="B41715" i="1"/>
  <c r="B41714" i="1"/>
  <c r="B41713" i="1"/>
  <c r="B41712" i="1"/>
  <c r="B41711" i="1"/>
  <c r="B41710" i="1"/>
  <c r="B41709" i="1"/>
  <c r="B41708" i="1"/>
  <c r="B41707" i="1"/>
  <c r="B41706" i="1"/>
  <c r="B41705" i="1"/>
  <c r="B41704" i="1"/>
  <c r="B41703" i="1"/>
  <c r="B41702" i="1"/>
  <c r="B41701" i="1"/>
  <c r="B41700" i="1"/>
  <c r="B41699" i="1"/>
  <c r="B41698" i="1"/>
  <c r="B41697" i="1"/>
  <c r="B41696" i="1"/>
  <c r="B41695" i="1"/>
  <c r="B41694" i="1"/>
  <c r="B41693" i="1"/>
  <c r="B41692" i="1"/>
  <c r="B41691" i="1"/>
  <c r="B41690" i="1"/>
  <c r="B41689" i="1"/>
  <c r="B41688" i="1"/>
  <c r="B41687" i="1"/>
  <c r="B41686" i="1"/>
  <c r="B41685" i="1"/>
  <c r="B41684" i="1"/>
  <c r="B41683" i="1"/>
  <c r="B41682" i="1"/>
  <c r="B41681" i="1"/>
  <c r="B41680" i="1"/>
  <c r="B41679" i="1"/>
  <c r="B41678" i="1"/>
  <c r="B41677" i="1"/>
  <c r="B41676" i="1"/>
  <c r="B41675" i="1"/>
  <c r="B41674" i="1"/>
  <c r="B41673" i="1"/>
  <c r="B41672" i="1"/>
  <c r="B41671" i="1"/>
  <c r="B41670" i="1"/>
  <c r="B41669" i="1"/>
  <c r="B41668" i="1"/>
  <c r="B41667" i="1"/>
  <c r="B41666" i="1"/>
  <c r="B41665" i="1"/>
  <c r="B41664" i="1"/>
  <c r="B41663" i="1"/>
  <c r="B41662" i="1"/>
  <c r="B41661" i="1"/>
  <c r="B41660" i="1"/>
  <c r="B41659" i="1"/>
  <c r="B41658" i="1"/>
  <c r="B41657" i="1"/>
  <c r="B41656" i="1"/>
  <c r="B41655" i="1"/>
  <c r="B41654" i="1"/>
  <c r="B41653" i="1"/>
  <c r="B41652" i="1"/>
  <c r="B41651" i="1"/>
  <c r="B41650" i="1"/>
  <c r="B41649" i="1"/>
  <c r="B41648" i="1"/>
  <c r="B41647" i="1"/>
  <c r="B41646" i="1"/>
  <c r="B41645" i="1"/>
  <c r="B41644" i="1"/>
  <c r="B41643" i="1"/>
  <c r="B41642" i="1"/>
  <c r="B41641" i="1"/>
  <c r="B41640" i="1"/>
  <c r="B41639" i="1"/>
  <c r="B41638" i="1"/>
  <c r="B41637" i="1"/>
  <c r="B41636" i="1"/>
  <c r="B41635" i="1"/>
  <c r="B41634" i="1"/>
  <c r="B41633" i="1"/>
  <c r="B41632" i="1"/>
  <c r="B41631" i="1"/>
  <c r="B41630" i="1"/>
  <c r="B41629" i="1"/>
  <c r="B41628" i="1"/>
  <c r="B41627" i="1"/>
  <c r="B41626" i="1"/>
  <c r="B41625" i="1"/>
  <c r="B41624" i="1"/>
  <c r="B41623" i="1"/>
  <c r="B41622" i="1"/>
  <c r="B41621" i="1"/>
  <c r="B41620" i="1"/>
  <c r="B41619" i="1"/>
  <c r="B41618" i="1"/>
  <c r="B41617" i="1"/>
  <c r="B41616" i="1"/>
  <c r="B41615" i="1"/>
  <c r="B41614" i="1"/>
  <c r="B41613" i="1"/>
  <c r="B41612" i="1"/>
  <c r="B41611" i="1"/>
  <c r="B41610" i="1"/>
  <c r="B41609" i="1"/>
  <c r="B41608" i="1"/>
  <c r="B41607" i="1"/>
  <c r="B41606" i="1"/>
  <c r="B41605" i="1"/>
  <c r="B41604" i="1"/>
  <c r="B41603" i="1"/>
  <c r="B41602" i="1"/>
  <c r="B41601" i="1"/>
  <c r="B41600" i="1"/>
  <c r="B41599" i="1"/>
  <c r="B41598" i="1"/>
  <c r="B41597" i="1"/>
  <c r="B41596" i="1"/>
  <c r="B41595" i="1"/>
  <c r="B41594" i="1"/>
  <c r="B41593" i="1"/>
  <c r="B41592" i="1"/>
  <c r="B41591" i="1"/>
  <c r="B41590" i="1"/>
  <c r="B41589" i="1"/>
  <c r="B41588" i="1"/>
  <c r="B41587" i="1"/>
  <c r="B41586" i="1"/>
  <c r="B41585" i="1"/>
  <c r="B41584" i="1"/>
  <c r="B41583" i="1"/>
  <c r="B41582" i="1"/>
  <c r="B41581" i="1"/>
  <c r="B41580" i="1"/>
  <c r="B41579" i="1"/>
  <c r="B41578" i="1"/>
  <c r="B41577" i="1"/>
  <c r="B41576" i="1"/>
  <c r="B41575" i="1"/>
  <c r="B41574" i="1"/>
  <c r="B41573" i="1"/>
  <c r="B41572" i="1"/>
  <c r="B41571" i="1"/>
  <c r="B41570" i="1"/>
  <c r="B41569" i="1"/>
  <c r="B41568" i="1"/>
  <c r="B41567" i="1"/>
  <c r="B41566" i="1"/>
  <c r="B41565" i="1"/>
  <c r="B41564" i="1"/>
  <c r="B41563" i="1"/>
  <c r="B41562" i="1"/>
  <c r="B41561" i="1"/>
  <c r="B41560" i="1"/>
  <c r="B41559" i="1"/>
  <c r="B41558" i="1"/>
  <c r="B41557" i="1"/>
  <c r="B41556" i="1"/>
  <c r="B41555" i="1"/>
  <c r="B41554" i="1"/>
  <c r="B41553" i="1"/>
  <c r="B41552" i="1"/>
  <c r="B41551" i="1"/>
  <c r="B41550" i="1"/>
  <c r="B41549" i="1"/>
  <c r="B41548" i="1"/>
  <c r="B41547" i="1"/>
  <c r="B41546" i="1"/>
  <c r="B41545" i="1"/>
  <c r="B41544" i="1"/>
  <c r="B41543" i="1"/>
  <c r="B41542" i="1"/>
  <c r="B41541" i="1"/>
  <c r="B41540" i="1"/>
  <c r="B41539" i="1"/>
  <c r="B41538" i="1"/>
  <c r="B41537" i="1"/>
  <c r="B41536" i="1"/>
  <c r="B41535" i="1"/>
  <c r="B41534" i="1"/>
  <c r="B41533" i="1"/>
  <c r="B41532" i="1"/>
  <c r="B41531" i="1"/>
  <c r="B41530" i="1"/>
  <c r="B41529" i="1"/>
  <c r="B41528" i="1"/>
  <c r="B41527" i="1"/>
  <c r="B41526" i="1"/>
  <c r="B41525" i="1"/>
  <c r="B41524" i="1"/>
  <c r="B41523" i="1"/>
  <c r="B41522" i="1"/>
  <c r="B41521" i="1"/>
  <c r="B41520" i="1"/>
  <c r="B41519" i="1"/>
  <c r="B41518" i="1"/>
  <c r="B41517" i="1"/>
  <c r="B41516" i="1"/>
  <c r="B41515" i="1"/>
  <c r="B41514" i="1"/>
  <c r="B41513" i="1"/>
  <c r="B41512" i="1"/>
  <c r="B41511" i="1"/>
  <c r="B41510" i="1"/>
  <c r="B41509" i="1"/>
  <c r="B41508" i="1"/>
  <c r="B41507" i="1"/>
  <c r="B41506" i="1"/>
  <c r="B41505" i="1"/>
  <c r="B41504" i="1"/>
  <c r="B41503" i="1"/>
  <c r="B41502" i="1"/>
  <c r="B41501" i="1"/>
  <c r="B41500" i="1"/>
  <c r="B41499" i="1"/>
  <c r="B41498" i="1"/>
  <c r="B41497" i="1"/>
  <c r="B41496" i="1"/>
  <c r="B41495" i="1"/>
  <c r="B41494" i="1"/>
  <c r="B41493" i="1"/>
  <c r="B41492" i="1"/>
  <c r="B41491" i="1"/>
  <c r="B41490" i="1"/>
  <c r="B41489" i="1"/>
  <c r="B41488" i="1"/>
  <c r="B41487" i="1"/>
  <c r="B41486" i="1"/>
  <c r="B41485" i="1"/>
  <c r="B41484" i="1"/>
  <c r="B41483" i="1"/>
  <c r="B41482" i="1"/>
  <c r="B41481" i="1"/>
  <c r="B41480" i="1"/>
  <c r="B41479" i="1"/>
  <c r="B41478" i="1"/>
  <c r="B41477" i="1"/>
  <c r="B41476" i="1"/>
  <c r="B41475" i="1"/>
  <c r="B41474" i="1"/>
  <c r="B41473" i="1"/>
  <c r="B41472" i="1"/>
  <c r="B41471" i="1"/>
  <c r="B41470" i="1"/>
  <c r="B41469" i="1"/>
  <c r="B41468" i="1"/>
  <c r="B41467" i="1"/>
  <c r="B41466" i="1"/>
  <c r="B41465" i="1"/>
  <c r="B41464" i="1"/>
  <c r="B41463" i="1"/>
  <c r="B41462" i="1"/>
  <c r="B41461" i="1"/>
  <c r="B41460" i="1"/>
  <c r="B41459" i="1"/>
  <c r="B41458" i="1"/>
  <c r="B41457" i="1"/>
  <c r="B41456" i="1"/>
  <c r="B41455" i="1"/>
  <c r="B41454" i="1"/>
  <c r="B41453" i="1"/>
  <c r="B41452" i="1"/>
  <c r="B41451" i="1"/>
  <c r="B41450" i="1"/>
  <c r="B41449" i="1"/>
  <c r="B41448" i="1"/>
  <c r="B41447" i="1"/>
  <c r="B41446" i="1"/>
  <c r="B41445" i="1"/>
  <c r="B41444" i="1"/>
  <c r="B41443" i="1"/>
  <c r="B41442" i="1"/>
  <c r="B41441" i="1"/>
  <c r="B41440" i="1"/>
  <c r="B41439" i="1"/>
  <c r="B41438" i="1"/>
  <c r="B41437" i="1"/>
  <c r="B41436" i="1"/>
  <c r="B41435" i="1"/>
  <c r="B41434" i="1"/>
  <c r="B41433" i="1"/>
  <c r="B41432" i="1"/>
  <c r="B41431" i="1"/>
  <c r="B41430" i="1"/>
  <c r="B41429" i="1"/>
  <c r="B41428" i="1"/>
  <c r="B41427" i="1"/>
  <c r="B41426" i="1"/>
  <c r="B41425" i="1"/>
  <c r="B41424" i="1"/>
  <c r="B41423" i="1"/>
  <c r="B41422" i="1"/>
  <c r="B41421" i="1"/>
  <c r="B41420" i="1"/>
  <c r="B41419" i="1"/>
  <c r="B41418" i="1"/>
  <c r="B41417" i="1"/>
  <c r="B41416" i="1"/>
  <c r="B41415" i="1"/>
  <c r="B41414" i="1"/>
  <c r="B41413" i="1"/>
  <c r="B41412" i="1"/>
  <c r="B41411" i="1"/>
  <c r="B41410" i="1"/>
  <c r="B41409" i="1"/>
  <c r="B41408" i="1"/>
  <c r="B41407" i="1"/>
  <c r="B41406" i="1"/>
  <c r="B41405" i="1"/>
  <c r="B41404" i="1"/>
  <c r="B41403" i="1"/>
  <c r="B41402" i="1"/>
  <c r="B41401" i="1"/>
  <c r="B41400" i="1"/>
  <c r="B41399" i="1"/>
  <c r="B41398" i="1"/>
  <c r="B41397" i="1"/>
  <c r="B41396" i="1"/>
  <c r="B41395" i="1"/>
  <c r="B41394" i="1"/>
  <c r="B41393" i="1"/>
  <c r="B41392" i="1"/>
  <c r="B41391" i="1"/>
  <c r="B41390" i="1"/>
  <c r="B41389" i="1"/>
  <c r="B41388" i="1"/>
  <c r="B41387" i="1"/>
  <c r="B41386" i="1"/>
  <c r="B41385" i="1"/>
  <c r="B41384" i="1"/>
  <c r="B41383" i="1"/>
  <c r="B41382" i="1"/>
  <c r="B41381" i="1"/>
  <c r="B41380" i="1"/>
  <c r="B41379" i="1"/>
  <c r="B41378" i="1"/>
  <c r="B41377" i="1"/>
  <c r="B41376" i="1"/>
  <c r="B41375" i="1"/>
  <c r="B41374" i="1"/>
  <c r="B41373" i="1"/>
  <c r="B41372" i="1"/>
  <c r="B41371" i="1"/>
  <c r="B41370" i="1"/>
  <c r="B41369" i="1"/>
  <c r="B41368" i="1"/>
  <c r="B41367" i="1"/>
  <c r="B41366" i="1"/>
  <c r="B41365" i="1"/>
  <c r="B41364" i="1"/>
  <c r="B41363" i="1"/>
  <c r="B41362" i="1"/>
  <c r="B41361" i="1"/>
  <c r="B41360" i="1"/>
  <c r="B41359" i="1"/>
  <c r="B41358" i="1"/>
  <c r="B41357" i="1"/>
  <c r="B41356" i="1"/>
  <c r="B41355" i="1"/>
  <c r="B41354" i="1"/>
  <c r="B41353" i="1"/>
  <c r="B41352" i="1"/>
  <c r="B41351" i="1"/>
  <c r="B41350" i="1"/>
  <c r="B41349" i="1"/>
  <c r="B41348" i="1"/>
  <c r="B41347" i="1"/>
  <c r="B41346" i="1"/>
  <c r="B41345" i="1"/>
  <c r="B41344" i="1"/>
  <c r="B41343" i="1"/>
  <c r="B41342" i="1"/>
  <c r="B41341" i="1"/>
  <c r="B41340" i="1"/>
  <c r="B41339" i="1"/>
  <c r="B41338" i="1"/>
  <c r="B41337" i="1"/>
  <c r="B41336" i="1"/>
  <c r="B41335" i="1"/>
  <c r="B41334" i="1"/>
  <c r="B41333" i="1"/>
  <c r="B41332" i="1"/>
  <c r="B41331" i="1"/>
  <c r="B41330" i="1"/>
  <c r="B41329" i="1"/>
  <c r="B41328" i="1"/>
  <c r="B41327" i="1"/>
  <c r="B41326" i="1"/>
  <c r="B41325" i="1"/>
  <c r="B41324" i="1"/>
  <c r="B41323" i="1"/>
  <c r="B41322" i="1"/>
  <c r="B41321" i="1"/>
  <c r="B41320" i="1"/>
  <c r="B41319" i="1"/>
  <c r="B41318" i="1"/>
  <c r="B41317" i="1"/>
  <c r="B41316" i="1"/>
  <c r="B41315" i="1"/>
  <c r="B41314" i="1"/>
  <c r="B41313" i="1"/>
  <c r="B41312" i="1"/>
  <c r="B41311" i="1"/>
  <c r="B41310" i="1"/>
  <c r="B41309" i="1"/>
  <c r="B41308" i="1"/>
  <c r="B41307" i="1"/>
  <c r="B41306" i="1"/>
  <c r="B41305" i="1"/>
  <c r="B41304" i="1"/>
  <c r="B41303" i="1"/>
  <c r="B41302" i="1"/>
  <c r="B41301" i="1"/>
  <c r="B41300" i="1"/>
  <c r="B41299" i="1"/>
  <c r="B41298" i="1"/>
  <c r="B41297" i="1"/>
  <c r="B41296" i="1"/>
  <c r="B41295" i="1"/>
  <c r="B41294" i="1"/>
  <c r="B41293" i="1"/>
  <c r="B41292" i="1"/>
  <c r="B41291" i="1"/>
  <c r="B41290" i="1"/>
  <c r="B41289" i="1"/>
  <c r="B41288" i="1"/>
  <c r="B41287" i="1"/>
  <c r="B41286" i="1"/>
  <c r="B41285" i="1"/>
  <c r="B41284" i="1"/>
  <c r="B41283" i="1"/>
  <c r="B41282" i="1"/>
  <c r="B41281" i="1"/>
  <c r="B41280" i="1"/>
  <c r="B41279" i="1"/>
  <c r="B41278" i="1"/>
  <c r="B41277" i="1"/>
  <c r="B41276" i="1"/>
  <c r="B41275" i="1"/>
  <c r="B41274" i="1"/>
  <c r="B41273" i="1"/>
  <c r="B41272" i="1"/>
  <c r="B41271" i="1"/>
  <c r="B41270" i="1"/>
  <c r="B41269" i="1"/>
  <c r="B41268" i="1"/>
  <c r="B41267" i="1"/>
  <c r="B41266" i="1"/>
  <c r="B41265" i="1"/>
  <c r="B41264" i="1"/>
  <c r="B41263" i="1"/>
  <c r="B41262" i="1"/>
  <c r="B41261" i="1"/>
  <c r="B41260" i="1"/>
  <c r="B41259" i="1"/>
  <c r="B41258" i="1"/>
  <c r="B41257" i="1"/>
  <c r="B41256" i="1"/>
  <c r="B41255" i="1"/>
  <c r="B41254" i="1"/>
  <c r="B41253" i="1"/>
  <c r="B41252" i="1"/>
  <c r="B41251" i="1"/>
  <c r="B41250" i="1"/>
  <c r="B41249" i="1"/>
  <c r="B41248" i="1"/>
  <c r="B41247" i="1"/>
  <c r="B41246" i="1"/>
  <c r="B41245" i="1"/>
  <c r="B41244" i="1"/>
  <c r="B41243" i="1"/>
  <c r="B41242" i="1"/>
  <c r="B41241" i="1"/>
  <c r="B41240" i="1"/>
  <c r="B41239" i="1"/>
  <c r="B41238" i="1"/>
  <c r="B41237" i="1"/>
  <c r="B41236" i="1"/>
  <c r="B41235" i="1"/>
  <c r="B41234" i="1"/>
  <c r="B41233" i="1"/>
  <c r="B41232" i="1"/>
  <c r="B41231" i="1"/>
  <c r="B41230" i="1"/>
  <c r="B41229" i="1"/>
  <c r="B41228" i="1"/>
  <c r="B41227" i="1"/>
  <c r="B41226" i="1"/>
  <c r="B41225" i="1"/>
  <c r="B41224" i="1"/>
  <c r="B41223" i="1"/>
  <c r="B41222" i="1"/>
  <c r="B41221" i="1"/>
  <c r="B41220" i="1"/>
  <c r="B41219" i="1"/>
  <c r="B41218" i="1"/>
  <c r="B41217" i="1"/>
  <c r="B41216" i="1"/>
  <c r="B41215" i="1"/>
  <c r="B41214" i="1"/>
  <c r="B41213" i="1"/>
  <c r="B41212" i="1"/>
  <c r="B41211" i="1"/>
  <c r="B41210" i="1"/>
  <c r="B41209" i="1"/>
  <c r="B41208" i="1"/>
  <c r="B41207" i="1"/>
  <c r="B41206" i="1"/>
  <c r="B41205" i="1"/>
  <c r="B41204" i="1"/>
  <c r="B41203" i="1"/>
  <c r="B41202" i="1"/>
  <c r="B41201" i="1"/>
  <c r="B41200" i="1"/>
  <c r="B41199" i="1"/>
  <c r="B41198" i="1"/>
  <c r="B41197" i="1"/>
  <c r="B41196" i="1"/>
  <c r="B41195" i="1"/>
  <c r="B41194" i="1"/>
  <c r="B41193" i="1"/>
  <c r="B41192" i="1"/>
  <c r="B41191" i="1"/>
  <c r="B41190" i="1"/>
  <c r="B41189" i="1"/>
  <c r="B41188" i="1"/>
  <c r="B41187" i="1"/>
  <c r="B41186" i="1"/>
  <c r="B41185" i="1"/>
  <c r="B41184" i="1"/>
  <c r="B41183" i="1"/>
  <c r="B41182" i="1"/>
  <c r="B41181" i="1"/>
  <c r="B41180" i="1"/>
  <c r="B41179" i="1"/>
  <c r="B41178" i="1"/>
  <c r="B41177" i="1"/>
  <c r="B41176" i="1"/>
  <c r="B41175" i="1"/>
  <c r="B41174" i="1"/>
  <c r="B41173" i="1"/>
  <c r="B41172" i="1"/>
  <c r="B41171" i="1"/>
  <c r="B41170" i="1"/>
  <c r="B41169" i="1"/>
  <c r="B41168" i="1"/>
  <c r="B41167" i="1"/>
  <c r="B41166" i="1"/>
  <c r="B41165" i="1"/>
  <c r="B41164" i="1"/>
  <c r="B41163" i="1"/>
  <c r="B41162" i="1"/>
  <c r="B41161" i="1"/>
  <c r="B41160" i="1"/>
  <c r="B41159" i="1"/>
  <c r="B41158" i="1"/>
  <c r="B41157" i="1"/>
  <c r="B41156" i="1"/>
  <c r="B41155" i="1"/>
  <c r="B41154" i="1"/>
  <c r="B41153" i="1"/>
  <c r="B41152" i="1"/>
  <c r="B41151" i="1"/>
  <c r="B41150" i="1"/>
  <c r="B41149" i="1"/>
  <c r="B41148" i="1"/>
  <c r="B41147" i="1"/>
  <c r="B41146" i="1"/>
  <c r="B41145" i="1"/>
  <c r="B41144" i="1"/>
  <c r="B41143" i="1"/>
  <c r="B41142" i="1"/>
  <c r="B41141" i="1"/>
  <c r="B41140" i="1"/>
  <c r="B41139" i="1"/>
  <c r="B41138" i="1"/>
  <c r="B41137" i="1"/>
  <c r="B41136" i="1"/>
  <c r="B41135" i="1"/>
  <c r="B41134" i="1"/>
  <c r="B41133" i="1"/>
  <c r="B41132" i="1"/>
  <c r="B41131" i="1"/>
  <c r="B41130" i="1"/>
  <c r="B41129" i="1"/>
  <c r="B41128" i="1"/>
  <c r="B41127" i="1"/>
  <c r="B41126" i="1"/>
  <c r="B41125" i="1"/>
  <c r="B41124" i="1"/>
  <c r="B41123" i="1"/>
  <c r="B41122" i="1"/>
  <c r="B41121" i="1"/>
  <c r="B41120" i="1"/>
  <c r="B41119" i="1"/>
  <c r="B41118" i="1"/>
  <c r="B41117" i="1"/>
  <c r="B41116" i="1"/>
  <c r="B41115" i="1"/>
  <c r="B41114" i="1"/>
  <c r="B41113" i="1"/>
  <c r="B41112" i="1"/>
  <c r="B41111" i="1"/>
  <c r="B41110" i="1"/>
  <c r="B41109" i="1"/>
  <c r="B41108" i="1"/>
  <c r="B41107" i="1"/>
  <c r="B41106" i="1"/>
  <c r="B41105" i="1"/>
  <c r="B41104" i="1"/>
  <c r="B41103" i="1"/>
  <c r="B41102" i="1"/>
  <c r="B41101" i="1"/>
  <c r="B41100" i="1"/>
  <c r="B41099" i="1"/>
  <c r="B41098" i="1"/>
  <c r="B41097" i="1"/>
  <c r="B41096" i="1"/>
  <c r="B41095" i="1"/>
  <c r="B41094" i="1"/>
  <c r="B41093" i="1"/>
  <c r="B41092" i="1"/>
  <c r="B41091" i="1"/>
  <c r="B41090" i="1"/>
  <c r="B41089" i="1"/>
  <c r="B41088" i="1"/>
  <c r="B41087" i="1"/>
  <c r="B41086" i="1"/>
  <c r="B41085" i="1"/>
  <c r="B41084" i="1"/>
  <c r="B41083" i="1"/>
  <c r="B41082" i="1"/>
  <c r="B41081" i="1"/>
  <c r="B41080" i="1"/>
  <c r="B41079" i="1"/>
  <c r="B41078" i="1"/>
  <c r="B41077" i="1"/>
  <c r="B41076" i="1"/>
  <c r="B41075" i="1"/>
  <c r="B41074" i="1"/>
  <c r="B41073" i="1"/>
  <c r="B41072" i="1"/>
  <c r="B41071" i="1"/>
  <c r="B41070" i="1"/>
  <c r="B41069" i="1"/>
  <c r="B41068" i="1"/>
  <c r="B41067" i="1"/>
  <c r="B41066" i="1"/>
  <c r="B41065" i="1"/>
  <c r="B41064" i="1"/>
  <c r="B41063" i="1"/>
  <c r="B41062" i="1"/>
  <c r="B41061" i="1"/>
  <c r="B41060" i="1"/>
  <c r="B41059" i="1"/>
  <c r="B41058" i="1"/>
  <c r="B41057" i="1"/>
  <c r="B41056" i="1"/>
  <c r="B41055" i="1"/>
  <c r="B41054" i="1"/>
  <c r="B41053" i="1"/>
  <c r="B41052" i="1"/>
  <c r="B41051" i="1"/>
  <c r="B41050" i="1"/>
  <c r="B41049" i="1"/>
  <c r="B41048" i="1"/>
  <c r="B41047" i="1"/>
  <c r="B41046" i="1"/>
  <c r="B41045" i="1"/>
  <c r="B41044" i="1"/>
  <c r="B41043" i="1"/>
  <c r="B41042" i="1"/>
  <c r="B41041" i="1"/>
  <c r="B41040" i="1"/>
  <c r="B41039" i="1"/>
  <c r="B41038" i="1"/>
  <c r="B41037" i="1"/>
  <c r="B41036" i="1"/>
  <c r="B41035" i="1"/>
  <c r="B41034" i="1"/>
  <c r="B41033" i="1"/>
  <c r="B41032" i="1"/>
  <c r="B41031" i="1"/>
  <c r="B41030" i="1"/>
  <c r="B41029" i="1"/>
  <c r="B41028" i="1"/>
  <c r="B41027" i="1"/>
  <c r="B41026" i="1"/>
  <c r="B41025" i="1"/>
  <c r="B41024" i="1"/>
  <c r="B41023" i="1"/>
  <c r="B41022" i="1"/>
  <c r="B41021" i="1"/>
  <c r="B41020" i="1"/>
  <c r="B41019" i="1"/>
  <c r="B41018" i="1"/>
  <c r="B41017" i="1"/>
  <c r="B41016" i="1"/>
  <c r="B41015" i="1"/>
  <c r="B41014" i="1"/>
  <c r="B41013" i="1"/>
  <c r="B41012" i="1"/>
  <c r="B41011" i="1"/>
  <c r="B41010" i="1"/>
  <c r="B41009" i="1"/>
  <c r="B41008" i="1"/>
  <c r="B41007" i="1"/>
  <c r="B41006" i="1"/>
  <c r="B41005" i="1"/>
  <c r="B41004" i="1"/>
  <c r="B41003" i="1"/>
  <c r="B41002" i="1"/>
  <c r="B41001" i="1"/>
  <c r="B41000" i="1"/>
  <c r="B40999" i="1"/>
  <c r="B40998" i="1"/>
  <c r="B40997" i="1"/>
  <c r="B40996" i="1"/>
  <c r="B40995" i="1"/>
  <c r="B40994" i="1"/>
  <c r="B40993" i="1"/>
  <c r="B40992" i="1"/>
  <c r="B40991" i="1"/>
  <c r="B40990" i="1"/>
  <c r="B40989" i="1"/>
  <c r="B40988" i="1"/>
  <c r="B40987" i="1"/>
  <c r="B40986" i="1"/>
  <c r="B40985" i="1"/>
  <c r="B40984" i="1"/>
  <c r="B40983" i="1"/>
  <c r="B40982" i="1"/>
  <c r="B40981" i="1"/>
  <c r="B40980" i="1"/>
  <c r="B40979" i="1"/>
  <c r="B40978" i="1"/>
  <c r="B40977" i="1"/>
  <c r="B40976" i="1"/>
  <c r="B40975" i="1"/>
  <c r="B40974" i="1"/>
  <c r="B40973" i="1"/>
  <c r="B40972" i="1"/>
  <c r="B40971" i="1"/>
  <c r="B40970" i="1"/>
  <c r="B40969" i="1"/>
  <c r="B40968" i="1"/>
  <c r="B40967" i="1"/>
  <c r="B40966" i="1"/>
  <c r="B40965" i="1"/>
  <c r="B40964" i="1"/>
  <c r="B40963" i="1"/>
  <c r="B40962" i="1"/>
  <c r="B40961" i="1"/>
  <c r="B40960" i="1"/>
  <c r="B40959" i="1"/>
  <c r="B40958" i="1"/>
  <c r="B40957" i="1"/>
  <c r="B40956" i="1"/>
  <c r="B40955" i="1"/>
  <c r="B40954" i="1"/>
  <c r="B40953" i="1"/>
  <c r="B40952" i="1"/>
  <c r="B40951" i="1"/>
  <c r="B40950" i="1"/>
  <c r="B40949" i="1"/>
  <c r="B40948" i="1"/>
  <c r="B40947" i="1"/>
  <c r="B40946" i="1"/>
  <c r="B40945" i="1"/>
  <c r="B40944" i="1"/>
  <c r="B40943" i="1"/>
  <c r="B40942" i="1"/>
  <c r="B40941" i="1"/>
  <c r="B40940" i="1"/>
  <c r="B40939" i="1"/>
  <c r="B40938" i="1"/>
  <c r="B40937" i="1"/>
  <c r="B40936" i="1"/>
  <c r="B40935" i="1"/>
  <c r="B40934" i="1"/>
  <c r="B40933" i="1"/>
  <c r="B40932" i="1"/>
  <c r="B40931" i="1"/>
  <c r="B40930" i="1"/>
  <c r="B40929" i="1"/>
  <c r="B40928" i="1"/>
  <c r="B40927" i="1"/>
  <c r="B40926" i="1"/>
  <c r="B40925" i="1"/>
  <c r="B40924" i="1"/>
  <c r="B40923" i="1"/>
  <c r="B40922" i="1"/>
  <c r="B40921" i="1"/>
  <c r="B40920" i="1"/>
  <c r="B40919" i="1"/>
  <c r="B40918" i="1"/>
  <c r="B40917" i="1"/>
  <c r="B40916" i="1"/>
  <c r="B40915" i="1"/>
  <c r="B40914" i="1"/>
  <c r="B40913" i="1"/>
  <c r="B40912" i="1"/>
  <c r="B40911" i="1"/>
  <c r="B40910" i="1"/>
  <c r="B40909" i="1"/>
  <c r="B40908" i="1"/>
  <c r="B40907" i="1"/>
  <c r="B40906" i="1"/>
  <c r="B40905" i="1"/>
  <c r="B40904" i="1"/>
  <c r="B40903" i="1"/>
  <c r="B40902" i="1"/>
  <c r="B40901" i="1"/>
  <c r="B40900" i="1"/>
  <c r="B40899" i="1"/>
  <c r="B40898" i="1"/>
  <c r="B40897" i="1"/>
  <c r="B40896" i="1"/>
  <c r="B40895" i="1"/>
  <c r="B40894" i="1"/>
  <c r="B40893" i="1"/>
  <c r="B40892" i="1"/>
  <c r="B40891" i="1"/>
  <c r="B40890" i="1"/>
  <c r="B40889" i="1"/>
  <c r="B40888" i="1"/>
  <c r="B40887" i="1"/>
  <c r="B40886" i="1"/>
  <c r="B40885" i="1"/>
  <c r="B40884" i="1"/>
  <c r="B40883" i="1"/>
  <c r="B40882" i="1"/>
  <c r="B40881" i="1"/>
  <c r="B40880" i="1"/>
  <c r="B40879" i="1"/>
  <c r="B40878" i="1"/>
  <c r="B40877" i="1"/>
  <c r="B40876" i="1"/>
  <c r="B40875" i="1"/>
  <c r="B40874" i="1"/>
  <c r="B40873" i="1"/>
  <c r="B40872" i="1"/>
  <c r="B40871" i="1"/>
  <c r="B40870" i="1"/>
  <c r="B40869" i="1"/>
  <c r="B40868" i="1"/>
  <c r="B40867" i="1"/>
  <c r="B40866" i="1"/>
  <c r="B40865" i="1"/>
  <c r="B40864" i="1"/>
  <c r="B40863" i="1"/>
  <c r="B40862" i="1"/>
  <c r="B40861" i="1"/>
  <c r="B40860" i="1"/>
  <c r="B40859" i="1"/>
  <c r="B40858" i="1"/>
  <c r="B40857" i="1"/>
  <c r="B40856" i="1"/>
  <c r="B40855" i="1"/>
  <c r="B40854" i="1"/>
  <c r="B40853" i="1"/>
  <c r="B40852" i="1"/>
  <c r="B40851" i="1"/>
  <c r="B40850" i="1"/>
  <c r="B40849" i="1"/>
  <c r="B40848" i="1"/>
  <c r="B40847" i="1"/>
  <c r="B40846" i="1"/>
  <c r="B40845" i="1"/>
  <c r="B40844" i="1"/>
  <c r="B40843" i="1"/>
  <c r="B40842" i="1"/>
  <c r="B40841" i="1"/>
  <c r="B40840" i="1"/>
  <c r="B40839" i="1"/>
  <c r="B40838" i="1"/>
  <c r="B40837" i="1"/>
  <c r="B40836" i="1"/>
  <c r="B40835" i="1"/>
  <c r="B40834" i="1"/>
  <c r="B40833" i="1"/>
  <c r="B40832" i="1"/>
  <c r="B40831" i="1"/>
  <c r="B40830" i="1"/>
  <c r="B40829" i="1"/>
  <c r="B40828" i="1"/>
  <c r="B40827" i="1"/>
  <c r="B40826" i="1"/>
  <c r="B40825" i="1"/>
  <c r="B40824" i="1"/>
  <c r="B40823" i="1"/>
  <c r="B40822" i="1"/>
  <c r="B40821" i="1"/>
  <c r="B40820" i="1"/>
  <c r="B40819" i="1"/>
  <c r="B40818" i="1"/>
  <c r="B40817" i="1"/>
  <c r="B40816" i="1"/>
  <c r="B40815" i="1"/>
  <c r="B40814" i="1"/>
  <c r="B40813" i="1"/>
  <c r="B40812" i="1"/>
  <c r="B40811" i="1"/>
  <c r="B40810" i="1"/>
  <c r="B40809" i="1"/>
  <c r="B40808" i="1"/>
  <c r="B40807" i="1"/>
  <c r="B40806" i="1"/>
  <c r="B40805" i="1"/>
  <c r="B40804" i="1"/>
  <c r="B40803" i="1"/>
  <c r="B40802" i="1"/>
  <c r="B40801" i="1"/>
  <c r="B40800" i="1"/>
  <c r="B40799" i="1"/>
  <c r="B40798" i="1"/>
  <c r="B40797" i="1"/>
  <c r="B40796" i="1"/>
  <c r="B40795" i="1"/>
  <c r="B40794" i="1"/>
  <c r="B40793" i="1"/>
  <c r="B40792" i="1"/>
  <c r="B40791" i="1"/>
  <c r="B40790" i="1"/>
  <c r="B40789" i="1"/>
  <c r="B40788" i="1"/>
  <c r="B40787" i="1"/>
  <c r="B40786" i="1"/>
  <c r="B40785" i="1"/>
  <c r="B40784" i="1"/>
  <c r="B40783" i="1"/>
  <c r="B40782" i="1"/>
  <c r="B40781" i="1"/>
  <c r="B40780" i="1"/>
  <c r="B40779" i="1"/>
  <c r="B40778" i="1"/>
  <c r="B40777" i="1"/>
  <c r="B40776" i="1"/>
  <c r="B40775" i="1"/>
  <c r="B40774" i="1"/>
  <c r="B40773" i="1"/>
  <c r="B40772" i="1"/>
  <c r="B40771" i="1"/>
  <c r="B40770" i="1"/>
  <c r="B40769" i="1"/>
  <c r="B40768" i="1"/>
  <c r="B40767" i="1"/>
  <c r="B40766" i="1"/>
  <c r="B40765" i="1"/>
  <c r="B40764" i="1"/>
  <c r="B40763" i="1"/>
  <c r="B40762" i="1"/>
  <c r="B40761" i="1"/>
  <c r="B40760" i="1"/>
  <c r="B40759" i="1"/>
  <c r="B40758" i="1"/>
  <c r="B40757" i="1"/>
  <c r="B40756" i="1"/>
  <c r="B40755" i="1"/>
  <c r="B40754" i="1"/>
  <c r="B40753" i="1"/>
  <c r="B40752" i="1"/>
  <c r="B40751" i="1"/>
  <c r="B40750" i="1"/>
  <c r="B40749" i="1"/>
  <c r="B40748" i="1"/>
  <c r="B40747" i="1"/>
  <c r="B40746" i="1"/>
  <c r="B40745" i="1"/>
  <c r="B40744" i="1"/>
  <c r="B40743" i="1"/>
  <c r="B40742" i="1"/>
  <c r="B40741" i="1"/>
  <c r="B40740" i="1"/>
  <c r="B40739" i="1"/>
  <c r="B40738" i="1"/>
  <c r="B40737" i="1"/>
  <c r="B40736" i="1"/>
  <c r="B40735" i="1"/>
  <c r="B40734" i="1"/>
  <c r="B40733" i="1"/>
  <c r="B40732" i="1"/>
  <c r="B40731" i="1"/>
  <c r="B40730" i="1"/>
  <c r="B40729" i="1"/>
  <c r="B40728" i="1"/>
  <c r="B40727" i="1"/>
  <c r="B40726" i="1"/>
  <c r="B40725" i="1"/>
  <c r="B40724" i="1"/>
  <c r="B40723" i="1"/>
  <c r="B40722" i="1"/>
  <c r="B40721" i="1"/>
  <c r="B40720" i="1"/>
  <c r="B40719" i="1"/>
  <c r="B40718" i="1"/>
  <c r="B40717" i="1"/>
  <c r="B40716" i="1"/>
  <c r="B40715" i="1"/>
  <c r="B40714" i="1"/>
  <c r="B40713" i="1"/>
  <c r="B40712" i="1"/>
  <c r="B40711" i="1"/>
  <c r="B40710" i="1"/>
  <c r="B40709" i="1"/>
  <c r="B40708" i="1"/>
  <c r="B40707" i="1"/>
  <c r="B40706" i="1"/>
  <c r="B40705" i="1"/>
  <c r="B40704" i="1"/>
  <c r="B40703" i="1"/>
  <c r="B40702" i="1"/>
  <c r="B40701" i="1"/>
  <c r="B40700" i="1"/>
  <c r="B40699" i="1"/>
  <c r="B40698" i="1"/>
  <c r="B40697" i="1"/>
  <c r="B40696" i="1"/>
  <c r="B40695" i="1"/>
  <c r="B40694" i="1"/>
  <c r="B40693" i="1"/>
  <c r="B40692" i="1"/>
  <c r="B40691" i="1"/>
  <c r="B40690" i="1"/>
  <c r="B40689" i="1"/>
  <c r="B40688" i="1"/>
  <c r="B40687" i="1"/>
  <c r="B40686" i="1"/>
  <c r="B40685" i="1"/>
  <c r="B40684" i="1"/>
  <c r="B40683" i="1"/>
  <c r="B40682" i="1"/>
  <c r="B40681" i="1"/>
  <c r="B40680" i="1"/>
  <c r="B40679" i="1"/>
  <c r="B40678" i="1"/>
  <c r="B40677" i="1"/>
  <c r="B40676" i="1"/>
  <c r="B40675" i="1"/>
  <c r="B40674" i="1"/>
  <c r="B40673" i="1"/>
  <c r="B40672" i="1"/>
  <c r="B40671" i="1"/>
  <c r="B40670" i="1"/>
  <c r="B40669" i="1"/>
  <c r="B40668" i="1"/>
  <c r="B40667" i="1"/>
  <c r="B40666" i="1"/>
  <c r="B40665" i="1"/>
  <c r="B40664" i="1"/>
  <c r="B40663" i="1"/>
  <c r="B40662" i="1"/>
  <c r="B40661" i="1"/>
  <c r="B40660" i="1"/>
  <c r="B40659" i="1"/>
  <c r="B40658" i="1"/>
  <c r="B40657" i="1"/>
  <c r="B40656" i="1"/>
  <c r="B40655" i="1"/>
  <c r="B40654" i="1"/>
  <c r="B40653" i="1"/>
  <c r="B40652" i="1"/>
  <c r="B40651" i="1"/>
  <c r="B40650" i="1"/>
  <c r="B40649" i="1"/>
  <c r="B40648" i="1"/>
  <c r="B40647" i="1"/>
  <c r="B40646" i="1"/>
  <c r="B40645" i="1"/>
  <c r="B40644" i="1"/>
  <c r="B40643" i="1"/>
  <c r="B40642" i="1"/>
  <c r="B40641" i="1"/>
  <c r="B40640" i="1"/>
  <c r="B40639" i="1"/>
  <c r="B40638" i="1"/>
  <c r="B40637" i="1"/>
  <c r="B40636" i="1"/>
  <c r="B40635" i="1"/>
  <c r="B40634" i="1"/>
  <c r="B40633" i="1"/>
  <c r="B40632" i="1"/>
  <c r="B40631" i="1"/>
  <c r="B40630" i="1"/>
  <c r="B40629" i="1"/>
  <c r="B40628" i="1"/>
  <c r="B40627" i="1"/>
  <c r="B40626" i="1"/>
  <c r="B40625" i="1"/>
  <c r="B40624" i="1"/>
  <c r="B40623" i="1"/>
  <c r="B40622" i="1"/>
  <c r="B40621" i="1"/>
  <c r="B40620" i="1"/>
  <c r="B40619" i="1"/>
  <c r="B40618" i="1"/>
  <c r="B40617" i="1"/>
  <c r="B40616" i="1"/>
  <c r="B40615" i="1"/>
  <c r="B40614" i="1"/>
  <c r="B40613" i="1"/>
  <c r="B40612" i="1"/>
  <c r="B40611" i="1"/>
  <c r="B40610" i="1"/>
  <c r="B40609" i="1"/>
  <c r="B40608" i="1"/>
  <c r="B40607" i="1"/>
  <c r="B40606" i="1"/>
  <c r="B40605" i="1"/>
  <c r="B40604" i="1"/>
  <c r="B40603" i="1"/>
  <c r="B40602" i="1"/>
  <c r="B40601" i="1"/>
  <c r="B40600" i="1"/>
  <c r="B40599" i="1"/>
  <c r="B40598" i="1"/>
  <c r="B40597" i="1"/>
  <c r="B40596" i="1"/>
  <c r="B40595" i="1"/>
  <c r="B40594" i="1"/>
  <c r="B40593" i="1"/>
  <c r="B40592" i="1"/>
  <c r="B40591" i="1"/>
  <c r="B40590" i="1"/>
  <c r="B40589" i="1"/>
  <c r="B40588" i="1"/>
  <c r="B40587" i="1"/>
  <c r="B40586" i="1"/>
  <c r="B40585" i="1"/>
  <c r="B40584" i="1"/>
  <c r="B40583" i="1"/>
  <c r="B40582" i="1"/>
  <c r="B40581" i="1"/>
  <c r="B40580" i="1"/>
  <c r="B40579" i="1"/>
  <c r="B40578" i="1"/>
  <c r="B40577" i="1"/>
  <c r="B40576" i="1"/>
  <c r="B40575" i="1"/>
  <c r="B40574" i="1"/>
  <c r="B40573" i="1"/>
  <c r="B40572" i="1"/>
  <c r="B40571" i="1"/>
  <c r="B40570" i="1"/>
  <c r="B40569" i="1"/>
  <c r="B40568" i="1"/>
  <c r="B40567" i="1"/>
  <c r="B40566" i="1"/>
  <c r="B40565" i="1"/>
  <c r="B40564" i="1"/>
  <c r="B40563" i="1"/>
  <c r="B40562" i="1"/>
  <c r="B40561" i="1"/>
  <c r="B40560" i="1"/>
  <c r="B40559" i="1"/>
  <c r="B40558" i="1"/>
  <c r="B40557" i="1"/>
  <c r="B40556" i="1"/>
  <c r="B40555" i="1"/>
  <c r="B40554" i="1"/>
  <c r="B40553" i="1"/>
  <c r="B40552" i="1"/>
  <c r="B40551" i="1"/>
  <c r="B40550" i="1"/>
  <c r="B40549" i="1"/>
  <c r="B40548" i="1"/>
  <c r="B40547" i="1"/>
  <c r="B40546" i="1"/>
  <c r="B40545" i="1"/>
  <c r="B40544" i="1"/>
  <c r="B40543" i="1"/>
  <c r="B40542" i="1"/>
  <c r="B40541" i="1"/>
  <c r="B40540" i="1"/>
  <c r="B40539" i="1"/>
  <c r="B40538" i="1"/>
  <c r="B40537" i="1"/>
  <c r="B40536" i="1"/>
  <c r="B40535" i="1"/>
  <c r="B40534" i="1"/>
  <c r="B40533" i="1"/>
  <c r="B40532" i="1"/>
  <c r="B40531" i="1"/>
  <c r="B40530" i="1"/>
  <c r="B40529" i="1"/>
  <c r="B40528" i="1"/>
  <c r="B40527" i="1"/>
  <c r="B40526" i="1"/>
  <c r="B40525" i="1"/>
  <c r="B40524" i="1"/>
  <c r="B40523" i="1"/>
  <c r="B40522" i="1"/>
  <c r="B40521" i="1"/>
  <c r="B40520" i="1"/>
  <c r="B40519" i="1"/>
  <c r="B40518" i="1"/>
  <c r="B40517" i="1"/>
  <c r="B40516" i="1"/>
  <c r="B40515" i="1"/>
  <c r="B40514" i="1"/>
  <c r="B40513" i="1"/>
  <c r="B40512" i="1"/>
  <c r="B40511" i="1"/>
  <c r="B40510" i="1"/>
  <c r="B40509" i="1"/>
  <c r="B40508" i="1"/>
  <c r="B40507" i="1"/>
  <c r="B40506" i="1"/>
  <c r="B40505" i="1"/>
  <c r="B40504" i="1"/>
  <c r="B40503" i="1"/>
  <c r="B40502" i="1"/>
  <c r="B40501" i="1"/>
  <c r="B40500" i="1"/>
  <c r="B40499" i="1"/>
  <c r="B40498" i="1"/>
  <c r="B40497" i="1"/>
  <c r="B40496" i="1"/>
  <c r="B40495" i="1"/>
  <c r="B40494" i="1"/>
  <c r="B40493" i="1"/>
  <c r="B40492" i="1"/>
  <c r="B40491" i="1"/>
  <c r="B40490" i="1"/>
  <c r="B40489" i="1"/>
  <c r="B40488" i="1"/>
  <c r="B40487" i="1"/>
  <c r="B40486" i="1"/>
  <c r="B40485" i="1"/>
  <c r="B40484" i="1"/>
  <c r="B40483" i="1"/>
  <c r="B40482" i="1"/>
  <c r="B40481" i="1"/>
  <c r="B40480" i="1"/>
  <c r="B40479" i="1"/>
  <c r="B40478" i="1"/>
  <c r="B40477" i="1"/>
  <c r="B40476" i="1"/>
  <c r="B40475" i="1"/>
  <c r="B40474" i="1"/>
  <c r="B40473" i="1"/>
  <c r="B40472" i="1"/>
  <c r="B40471" i="1"/>
  <c r="B40470" i="1"/>
  <c r="B40469" i="1"/>
  <c r="B40468" i="1"/>
  <c r="B40467" i="1"/>
  <c r="B40466" i="1"/>
  <c r="B40465" i="1"/>
  <c r="B40464" i="1"/>
  <c r="B40463" i="1"/>
  <c r="B40462" i="1"/>
  <c r="B40461" i="1"/>
  <c r="B40460" i="1"/>
  <c r="B40459" i="1"/>
  <c r="B40458" i="1"/>
  <c r="B40457" i="1"/>
  <c r="B40456" i="1"/>
  <c r="B40455" i="1"/>
  <c r="B40454" i="1"/>
  <c r="B40453" i="1"/>
  <c r="B40452" i="1"/>
  <c r="B40451" i="1"/>
  <c r="B40450" i="1"/>
  <c r="B40449" i="1"/>
  <c r="B40448" i="1"/>
  <c r="B40447" i="1"/>
  <c r="B40446" i="1"/>
  <c r="B40445" i="1"/>
  <c r="B40444" i="1"/>
  <c r="B40443" i="1"/>
  <c r="B40442" i="1"/>
  <c r="B40441" i="1"/>
  <c r="B40440" i="1"/>
  <c r="B40439" i="1"/>
  <c r="B40438" i="1"/>
  <c r="B40437" i="1"/>
  <c r="B40436" i="1"/>
  <c r="B40435" i="1"/>
  <c r="B40434" i="1"/>
  <c r="B40433" i="1"/>
  <c r="B40432" i="1"/>
  <c r="B40431" i="1"/>
  <c r="B40430" i="1"/>
  <c r="B40429" i="1"/>
  <c r="B40428" i="1"/>
  <c r="B40427" i="1"/>
  <c r="B40426" i="1"/>
  <c r="B40425" i="1"/>
  <c r="B40424" i="1"/>
  <c r="B40423" i="1"/>
  <c r="B40422" i="1"/>
  <c r="B40421" i="1"/>
  <c r="B40420" i="1"/>
  <c r="B40419" i="1"/>
  <c r="B40418" i="1"/>
  <c r="B40417" i="1"/>
  <c r="B40416" i="1"/>
  <c r="B40415" i="1"/>
  <c r="B40414" i="1"/>
  <c r="B40413" i="1"/>
  <c r="B40412" i="1"/>
  <c r="B40411" i="1"/>
  <c r="B40410" i="1"/>
  <c r="B40409" i="1"/>
  <c r="B40408" i="1"/>
  <c r="B40407" i="1"/>
  <c r="B40406" i="1"/>
  <c r="B40405" i="1"/>
  <c r="B40404" i="1"/>
  <c r="B40403" i="1"/>
  <c r="B40402" i="1"/>
  <c r="B40401" i="1"/>
  <c r="B40400" i="1"/>
  <c r="B40399" i="1"/>
  <c r="B40398" i="1"/>
  <c r="B40397" i="1"/>
  <c r="B40396" i="1"/>
  <c r="B40395" i="1"/>
  <c r="B40394" i="1"/>
  <c r="B40393" i="1"/>
  <c r="B40392" i="1"/>
  <c r="B40391" i="1"/>
  <c r="B40390" i="1"/>
  <c r="B40389" i="1"/>
  <c r="B40388" i="1"/>
  <c r="B40387" i="1"/>
  <c r="B40386" i="1"/>
  <c r="B40385" i="1"/>
  <c r="B40384" i="1"/>
  <c r="B40383" i="1"/>
  <c r="B40382" i="1"/>
  <c r="B40381" i="1"/>
  <c r="B40380" i="1"/>
  <c r="B40379" i="1"/>
  <c r="B40378" i="1"/>
  <c r="B40377" i="1"/>
  <c r="B40376" i="1"/>
  <c r="B40375" i="1"/>
  <c r="B40374" i="1"/>
  <c r="B40373" i="1"/>
  <c r="B40372" i="1"/>
  <c r="B40371" i="1"/>
  <c r="B40370" i="1"/>
  <c r="B40369" i="1"/>
  <c r="B40368" i="1"/>
  <c r="B40367" i="1"/>
  <c r="B40366" i="1"/>
  <c r="B40365" i="1"/>
  <c r="B40364" i="1"/>
  <c r="B40363" i="1"/>
  <c r="B40362" i="1"/>
  <c r="B40361" i="1"/>
  <c r="B40360" i="1"/>
  <c r="B40359" i="1"/>
  <c r="B40358" i="1"/>
  <c r="B40357" i="1"/>
  <c r="B40356" i="1"/>
  <c r="B40355" i="1"/>
  <c r="B40354" i="1"/>
  <c r="B40353" i="1"/>
  <c r="B40352" i="1"/>
  <c r="B40351" i="1"/>
  <c r="B40350" i="1"/>
  <c r="B40349" i="1"/>
  <c r="B40348" i="1"/>
  <c r="B40347" i="1"/>
  <c r="B40346" i="1"/>
  <c r="B40345" i="1"/>
  <c r="B40344" i="1"/>
  <c r="B40343" i="1"/>
  <c r="B40342" i="1"/>
  <c r="B40341" i="1"/>
  <c r="B40340" i="1"/>
  <c r="B40339" i="1"/>
  <c r="B40338" i="1"/>
  <c r="B40337" i="1"/>
  <c r="B40336" i="1"/>
  <c r="B40335" i="1"/>
  <c r="B40334" i="1"/>
  <c r="B40333" i="1"/>
  <c r="B40332" i="1"/>
  <c r="B40331" i="1"/>
  <c r="B40330" i="1"/>
  <c r="B40329" i="1"/>
  <c r="B40328" i="1"/>
  <c r="B40327" i="1"/>
  <c r="B40326" i="1"/>
  <c r="B40325" i="1"/>
  <c r="B40324" i="1"/>
  <c r="B40323" i="1"/>
  <c r="B40322" i="1"/>
  <c r="B40321" i="1"/>
  <c r="B40320" i="1"/>
  <c r="B40319" i="1"/>
  <c r="B40318" i="1"/>
  <c r="B40317" i="1"/>
  <c r="B40316" i="1"/>
  <c r="B40315" i="1"/>
  <c r="B40314" i="1"/>
  <c r="B40313" i="1"/>
  <c r="B40312" i="1"/>
  <c r="B40311" i="1"/>
  <c r="B40310" i="1"/>
  <c r="B40309" i="1"/>
  <c r="B40308" i="1"/>
  <c r="B40307" i="1"/>
  <c r="B40306" i="1"/>
  <c r="B40305" i="1"/>
  <c r="B40304" i="1"/>
  <c r="B40303" i="1"/>
  <c r="B40302" i="1"/>
  <c r="B40301" i="1"/>
  <c r="B40300" i="1"/>
  <c r="B40299" i="1"/>
  <c r="B40298" i="1"/>
  <c r="B40297" i="1"/>
  <c r="B40296" i="1"/>
  <c r="B40295" i="1"/>
  <c r="B40294" i="1"/>
  <c r="B40293" i="1"/>
  <c r="B40292" i="1"/>
  <c r="B40291" i="1"/>
  <c r="B40290" i="1"/>
  <c r="B40289" i="1"/>
  <c r="B40288" i="1"/>
  <c r="B40287" i="1"/>
  <c r="B40286" i="1"/>
  <c r="B40285" i="1"/>
  <c r="B40284" i="1"/>
  <c r="B40283" i="1"/>
  <c r="B40282" i="1"/>
  <c r="B40281" i="1"/>
  <c r="B40280" i="1"/>
  <c r="B40279" i="1"/>
  <c r="B40278" i="1"/>
  <c r="B40277" i="1"/>
  <c r="B40276" i="1"/>
  <c r="B40275" i="1"/>
  <c r="B40274" i="1"/>
  <c r="B40273" i="1"/>
  <c r="B40272" i="1"/>
  <c r="B40271" i="1"/>
  <c r="B40270" i="1"/>
  <c r="B40269" i="1"/>
  <c r="B40268" i="1"/>
  <c r="B40267" i="1"/>
  <c r="B40266" i="1"/>
  <c r="B40265" i="1"/>
  <c r="B40264" i="1"/>
  <c r="B40263" i="1"/>
  <c r="B40262" i="1"/>
  <c r="B40261" i="1"/>
  <c r="B40260" i="1"/>
  <c r="B40259" i="1"/>
  <c r="B40258" i="1"/>
  <c r="B40257" i="1"/>
  <c r="B40256" i="1"/>
  <c r="B40255" i="1"/>
  <c r="B40254" i="1"/>
  <c r="B40253" i="1"/>
  <c r="B40252" i="1"/>
  <c r="B40251" i="1"/>
  <c r="B40250" i="1"/>
  <c r="B40249" i="1"/>
  <c r="B40248" i="1"/>
  <c r="B40247" i="1"/>
  <c r="B40246" i="1"/>
  <c r="B40245" i="1"/>
  <c r="B40244" i="1"/>
  <c r="B40243" i="1"/>
  <c r="B40242" i="1"/>
  <c r="B40241" i="1"/>
  <c r="B40240" i="1"/>
  <c r="B40239" i="1"/>
  <c r="B40238" i="1"/>
  <c r="B40237" i="1"/>
  <c r="B40236" i="1"/>
  <c r="B40235" i="1"/>
  <c r="B40234" i="1"/>
  <c r="B40233" i="1"/>
  <c r="B40232" i="1"/>
  <c r="B40231" i="1"/>
  <c r="B40230" i="1"/>
  <c r="B40229" i="1"/>
  <c r="B40228" i="1"/>
  <c r="B40227" i="1"/>
  <c r="B40226" i="1"/>
  <c r="B40225" i="1"/>
  <c r="B40224" i="1"/>
  <c r="B40223" i="1"/>
  <c r="B40222" i="1"/>
  <c r="B40221" i="1"/>
  <c r="B40220" i="1"/>
  <c r="B40219" i="1"/>
  <c r="B40218" i="1"/>
  <c r="B40217" i="1"/>
  <c r="B40216" i="1"/>
  <c r="B40215" i="1"/>
  <c r="B40214" i="1"/>
  <c r="B40213" i="1"/>
  <c r="B40212" i="1"/>
  <c r="B40211" i="1"/>
  <c r="B40210" i="1"/>
  <c r="B40209" i="1"/>
  <c r="B40208" i="1"/>
  <c r="B40207" i="1"/>
  <c r="B40206" i="1"/>
  <c r="B40205" i="1"/>
  <c r="B40204" i="1"/>
  <c r="B40203" i="1"/>
  <c r="B40202" i="1"/>
  <c r="B40201" i="1"/>
  <c r="B40200" i="1"/>
  <c r="B40199" i="1"/>
  <c r="B40198" i="1"/>
  <c r="B40197" i="1"/>
  <c r="B40196" i="1"/>
  <c r="B40195" i="1"/>
  <c r="B40194" i="1"/>
  <c r="B40193" i="1"/>
  <c r="B40192" i="1"/>
  <c r="B40191" i="1"/>
  <c r="B40190" i="1"/>
  <c r="B40189" i="1"/>
  <c r="B40188" i="1"/>
  <c r="B40187" i="1"/>
  <c r="B40186" i="1"/>
  <c r="B40185" i="1"/>
  <c r="B40184" i="1"/>
  <c r="B40183" i="1"/>
  <c r="B40182" i="1"/>
  <c r="B40181" i="1"/>
  <c r="B40180" i="1"/>
  <c r="B40179" i="1"/>
  <c r="B40178" i="1"/>
  <c r="B40177" i="1"/>
  <c r="B40176" i="1"/>
  <c r="B40175" i="1"/>
  <c r="B40174" i="1"/>
  <c r="B40173" i="1"/>
  <c r="B40172" i="1"/>
  <c r="B40171" i="1"/>
  <c r="B40170" i="1"/>
  <c r="B40169" i="1"/>
  <c r="B40168" i="1"/>
  <c r="B40167" i="1"/>
  <c r="B40166" i="1"/>
  <c r="B40165" i="1"/>
  <c r="B40164" i="1"/>
  <c r="B40163" i="1"/>
  <c r="B40162" i="1"/>
  <c r="B40161" i="1"/>
  <c r="B40160" i="1"/>
  <c r="B40159" i="1"/>
  <c r="B40158" i="1"/>
  <c r="B40157" i="1"/>
  <c r="B40156" i="1"/>
  <c r="B40155" i="1"/>
  <c r="B40154" i="1"/>
  <c r="B40153" i="1"/>
  <c r="B40152" i="1"/>
  <c r="B40151" i="1"/>
  <c r="B40150" i="1"/>
  <c r="B40149" i="1"/>
  <c r="B40148" i="1"/>
  <c r="B40147" i="1"/>
  <c r="B40146" i="1"/>
  <c r="B40145" i="1"/>
  <c r="B40144" i="1"/>
  <c r="B40143" i="1"/>
  <c r="B40142" i="1"/>
  <c r="B40141" i="1"/>
  <c r="B40140" i="1"/>
  <c r="B40139" i="1"/>
  <c r="B40138" i="1"/>
  <c r="B40137" i="1"/>
  <c r="B40136" i="1"/>
  <c r="B40135" i="1"/>
  <c r="B40134" i="1"/>
  <c r="B40133" i="1"/>
  <c r="B40132" i="1"/>
  <c r="B40131" i="1"/>
  <c r="B40130" i="1"/>
  <c r="B40129" i="1"/>
  <c r="B40128" i="1"/>
  <c r="B40127" i="1"/>
  <c r="B40126" i="1"/>
  <c r="B40125" i="1"/>
  <c r="B40124" i="1"/>
  <c r="B40123" i="1"/>
  <c r="B40122" i="1"/>
  <c r="B40121" i="1"/>
  <c r="B40120" i="1"/>
  <c r="B40119" i="1"/>
  <c r="B40118" i="1"/>
  <c r="B40117" i="1"/>
  <c r="B40116" i="1"/>
  <c r="B40115" i="1"/>
  <c r="B40114" i="1"/>
  <c r="B40113" i="1"/>
  <c r="B40112" i="1"/>
  <c r="B40111" i="1"/>
  <c r="B40110" i="1"/>
  <c r="B40109" i="1"/>
  <c r="B40108" i="1"/>
  <c r="B40107" i="1"/>
  <c r="B40106" i="1"/>
  <c r="B40105" i="1"/>
  <c r="B40104" i="1"/>
  <c r="B40103" i="1"/>
  <c r="B40102" i="1"/>
  <c r="B40101" i="1"/>
  <c r="B40100" i="1"/>
  <c r="B40099" i="1"/>
  <c r="B40098" i="1"/>
  <c r="B40097" i="1"/>
  <c r="B40096" i="1"/>
  <c r="B40095" i="1"/>
  <c r="B40094" i="1"/>
  <c r="B40093" i="1"/>
  <c r="B40092" i="1"/>
  <c r="B40091" i="1"/>
  <c r="B40090" i="1"/>
  <c r="B40089" i="1"/>
  <c r="B40088" i="1"/>
  <c r="B40087" i="1"/>
  <c r="B40086" i="1"/>
  <c r="B40085" i="1"/>
  <c r="B40084" i="1"/>
  <c r="B40083" i="1"/>
  <c r="B40082" i="1"/>
  <c r="B40081" i="1"/>
  <c r="B40080" i="1"/>
  <c r="B40079" i="1"/>
  <c r="B40078" i="1"/>
  <c r="B40077" i="1"/>
  <c r="B40076" i="1"/>
  <c r="B40075" i="1"/>
  <c r="B40074" i="1"/>
  <c r="B40073" i="1"/>
  <c r="B40072" i="1"/>
  <c r="B40071" i="1"/>
  <c r="B40070" i="1"/>
  <c r="B40069" i="1"/>
  <c r="B40068" i="1"/>
  <c r="B40067" i="1"/>
  <c r="B40066" i="1"/>
  <c r="B40065" i="1"/>
  <c r="B40064" i="1"/>
  <c r="B40063" i="1"/>
  <c r="B40062" i="1"/>
  <c r="B40061" i="1"/>
  <c r="B40060" i="1"/>
  <c r="B40059" i="1"/>
  <c r="B40058" i="1"/>
  <c r="B40057" i="1"/>
  <c r="B40056" i="1"/>
  <c r="B40055" i="1"/>
  <c r="B40054" i="1"/>
  <c r="B40053" i="1"/>
  <c r="B40052" i="1"/>
  <c r="B40051" i="1"/>
  <c r="B40050" i="1"/>
  <c r="B40049" i="1"/>
  <c r="B40048" i="1"/>
  <c r="B40047" i="1"/>
  <c r="B40046" i="1"/>
  <c r="B40045" i="1"/>
  <c r="B40044" i="1"/>
  <c r="B40043" i="1"/>
  <c r="B40042" i="1"/>
  <c r="B40041" i="1"/>
  <c r="B40040" i="1"/>
  <c r="B40039" i="1"/>
  <c r="B40038" i="1"/>
  <c r="B40037" i="1"/>
  <c r="B40036" i="1"/>
  <c r="B40035" i="1"/>
  <c r="B40034" i="1"/>
  <c r="B40033" i="1"/>
  <c r="B40032" i="1"/>
  <c r="B40031" i="1"/>
  <c r="B40030" i="1"/>
  <c r="B40029" i="1"/>
  <c r="B40028" i="1"/>
  <c r="B40027" i="1"/>
  <c r="B40026" i="1"/>
  <c r="B40025" i="1"/>
  <c r="B40024" i="1"/>
  <c r="B40023" i="1"/>
  <c r="B40022" i="1"/>
  <c r="B40021" i="1"/>
  <c r="B40020" i="1"/>
  <c r="B40019" i="1"/>
  <c r="B40018" i="1"/>
  <c r="B40017" i="1"/>
  <c r="B40016" i="1"/>
  <c r="B40015" i="1"/>
  <c r="B40014" i="1"/>
  <c r="B40013" i="1"/>
  <c r="B40012" i="1"/>
  <c r="B40011" i="1"/>
  <c r="B40010" i="1"/>
  <c r="B40009" i="1"/>
  <c r="B40008" i="1"/>
  <c r="B40007" i="1"/>
  <c r="B40006" i="1"/>
  <c r="B40005" i="1"/>
  <c r="B40004" i="1"/>
  <c r="B40003" i="1"/>
  <c r="B40002" i="1"/>
  <c r="B40001" i="1"/>
  <c r="B40000" i="1"/>
  <c r="B39999" i="1"/>
  <c r="B39998" i="1"/>
  <c r="B39997" i="1"/>
  <c r="B39996" i="1"/>
  <c r="B39995" i="1"/>
  <c r="B39994" i="1"/>
  <c r="B39993" i="1"/>
  <c r="B39992" i="1"/>
  <c r="B39991" i="1"/>
  <c r="B39990" i="1"/>
  <c r="B39989" i="1"/>
  <c r="B39988" i="1"/>
  <c r="B39987" i="1"/>
  <c r="B39986" i="1"/>
  <c r="B39985" i="1"/>
  <c r="B39984" i="1"/>
  <c r="B39983" i="1"/>
  <c r="B39982" i="1"/>
  <c r="B39981" i="1"/>
  <c r="B39980" i="1"/>
  <c r="B39979" i="1"/>
  <c r="B39978" i="1"/>
  <c r="B39977" i="1"/>
  <c r="B39976" i="1"/>
  <c r="B39975" i="1"/>
  <c r="B39974" i="1"/>
  <c r="B39973" i="1"/>
  <c r="B39972" i="1"/>
  <c r="B39971" i="1"/>
  <c r="B39970" i="1"/>
  <c r="B39969" i="1"/>
  <c r="B39968" i="1"/>
  <c r="B39967" i="1"/>
  <c r="B39966" i="1"/>
  <c r="B39965" i="1"/>
  <c r="B39964" i="1"/>
  <c r="B39963" i="1"/>
  <c r="B39962" i="1"/>
  <c r="B39961" i="1"/>
  <c r="B39960" i="1"/>
  <c r="B39959" i="1"/>
  <c r="B39958" i="1"/>
  <c r="B39957" i="1"/>
  <c r="B39956" i="1"/>
  <c r="B39955" i="1"/>
  <c r="B39954" i="1"/>
  <c r="B39953" i="1"/>
  <c r="B39952" i="1"/>
  <c r="B39951" i="1"/>
  <c r="B39950" i="1"/>
  <c r="B39949" i="1"/>
  <c r="B39948" i="1"/>
  <c r="B39947" i="1"/>
  <c r="B39946" i="1"/>
  <c r="B39945" i="1"/>
  <c r="B39944" i="1"/>
  <c r="B39943" i="1"/>
  <c r="B39942" i="1"/>
  <c r="B39941" i="1"/>
  <c r="B39940" i="1"/>
  <c r="B39939" i="1"/>
  <c r="B39938" i="1"/>
  <c r="B39937" i="1"/>
  <c r="B39936" i="1"/>
  <c r="B39935" i="1"/>
  <c r="B39934" i="1"/>
  <c r="B39933" i="1"/>
  <c r="B39932" i="1"/>
  <c r="B39931" i="1"/>
  <c r="B39930" i="1"/>
  <c r="B39929" i="1"/>
  <c r="B39928" i="1"/>
  <c r="B39927" i="1"/>
  <c r="B39926" i="1"/>
  <c r="B39925" i="1"/>
  <c r="B39924" i="1"/>
  <c r="B39923" i="1"/>
  <c r="B39922" i="1"/>
  <c r="B39921" i="1"/>
  <c r="B39920" i="1"/>
  <c r="B39919" i="1"/>
  <c r="B39918" i="1"/>
  <c r="B39917" i="1"/>
  <c r="B39916" i="1"/>
  <c r="B39915" i="1"/>
  <c r="B39914" i="1"/>
  <c r="B39913" i="1"/>
  <c r="B39912" i="1"/>
  <c r="B39911" i="1"/>
  <c r="B39910" i="1"/>
  <c r="B39909" i="1"/>
  <c r="B39908" i="1"/>
  <c r="B39907" i="1"/>
  <c r="B39906" i="1"/>
  <c r="B39905" i="1"/>
  <c r="B39904" i="1"/>
  <c r="B39903" i="1"/>
  <c r="B39902" i="1"/>
  <c r="B39901" i="1"/>
  <c r="B39900" i="1"/>
  <c r="B39899" i="1"/>
  <c r="B39898" i="1"/>
  <c r="B39897" i="1"/>
  <c r="B39896" i="1"/>
  <c r="B39895" i="1"/>
  <c r="B39894" i="1"/>
  <c r="B39893" i="1"/>
  <c r="B39892" i="1"/>
  <c r="B39891" i="1"/>
  <c r="B39890" i="1"/>
  <c r="B39889" i="1"/>
  <c r="B39888" i="1"/>
  <c r="B39887" i="1"/>
  <c r="B39886" i="1"/>
  <c r="B39885" i="1"/>
  <c r="B39884" i="1"/>
  <c r="B39883" i="1"/>
  <c r="B39882" i="1"/>
  <c r="B39881" i="1"/>
  <c r="B39880" i="1"/>
  <c r="B39879" i="1"/>
  <c r="B39878" i="1"/>
  <c r="B39877" i="1"/>
  <c r="B39876" i="1"/>
  <c r="B39875" i="1"/>
  <c r="B39874" i="1"/>
  <c r="B39873" i="1"/>
  <c r="B39872" i="1"/>
  <c r="B39871" i="1"/>
  <c r="B39870" i="1"/>
  <c r="B39869" i="1"/>
  <c r="B39868" i="1"/>
  <c r="B39867" i="1"/>
  <c r="B39866" i="1"/>
  <c r="B39865" i="1"/>
  <c r="B39864" i="1"/>
  <c r="B39863" i="1"/>
  <c r="B39862" i="1"/>
  <c r="B39861" i="1"/>
  <c r="B39860" i="1"/>
  <c r="B39859" i="1"/>
  <c r="B39858" i="1"/>
  <c r="B39857" i="1"/>
  <c r="B39856" i="1"/>
  <c r="B39855" i="1"/>
  <c r="B39854" i="1"/>
  <c r="B39853" i="1"/>
  <c r="B39852" i="1"/>
  <c r="B39851" i="1"/>
  <c r="B39850" i="1"/>
  <c r="B39849" i="1"/>
  <c r="B39848" i="1"/>
  <c r="B39847" i="1"/>
  <c r="B39846" i="1"/>
  <c r="B39845" i="1"/>
  <c r="B39844" i="1"/>
  <c r="B39843" i="1"/>
  <c r="B39842" i="1"/>
  <c r="B39841" i="1"/>
  <c r="B39840" i="1"/>
  <c r="B39839" i="1"/>
  <c r="B39838" i="1"/>
  <c r="B39837" i="1"/>
  <c r="B39836" i="1"/>
  <c r="B39835" i="1"/>
  <c r="B39834" i="1"/>
  <c r="B39833" i="1"/>
  <c r="B39832" i="1"/>
  <c r="B39831" i="1"/>
  <c r="B39830" i="1"/>
  <c r="B39829" i="1"/>
  <c r="B39828" i="1"/>
  <c r="B39827" i="1"/>
  <c r="B39826" i="1"/>
  <c r="B39825" i="1"/>
  <c r="B39824" i="1"/>
  <c r="B39823" i="1"/>
  <c r="B39822" i="1"/>
  <c r="B39821" i="1"/>
  <c r="B39820" i="1"/>
  <c r="B39819" i="1"/>
  <c r="B39818" i="1"/>
  <c r="B39817" i="1"/>
  <c r="B39816" i="1"/>
  <c r="B39815" i="1"/>
  <c r="B39814" i="1"/>
  <c r="B39813" i="1"/>
  <c r="B39812" i="1"/>
  <c r="B39811" i="1"/>
  <c r="B39810" i="1"/>
  <c r="B39809" i="1"/>
  <c r="B39808" i="1"/>
  <c r="B39807" i="1"/>
  <c r="B39806" i="1"/>
  <c r="B39805" i="1"/>
  <c r="B39804" i="1"/>
  <c r="B39803" i="1"/>
  <c r="B39802" i="1"/>
  <c r="B39801" i="1"/>
  <c r="B39800" i="1"/>
  <c r="B39799" i="1"/>
  <c r="B39798" i="1"/>
  <c r="B39797" i="1"/>
  <c r="B39796" i="1"/>
  <c r="B39795" i="1"/>
  <c r="B39794" i="1"/>
  <c r="B39793" i="1"/>
  <c r="B39792" i="1"/>
  <c r="B39791" i="1"/>
  <c r="B39790" i="1"/>
  <c r="B39789" i="1"/>
  <c r="B39788" i="1"/>
  <c r="B39787" i="1"/>
  <c r="B39786" i="1"/>
  <c r="B39785" i="1"/>
  <c r="B39784" i="1"/>
  <c r="B39783" i="1"/>
  <c r="B39782" i="1"/>
  <c r="B39781" i="1"/>
  <c r="B39780" i="1"/>
  <c r="B39779" i="1"/>
  <c r="B39778" i="1"/>
  <c r="B39777" i="1"/>
  <c r="B39776" i="1"/>
  <c r="B39775" i="1"/>
  <c r="B39774" i="1"/>
  <c r="B39773" i="1"/>
  <c r="B39772" i="1"/>
  <c r="B39771" i="1"/>
  <c r="B39770" i="1"/>
  <c r="B39769" i="1"/>
  <c r="B39768" i="1"/>
  <c r="B39767" i="1"/>
  <c r="B39766" i="1"/>
  <c r="B39765" i="1"/>
  <c r="B39764" i="1"/>
  <c r="B39763" i="1"/>
  <c r="B39762" i="1"/>
  <c r="B39761" i="1"/>
  <c r="B39760" i="1"/>
  <c r="B39759" i="1"/>
  <c r="B39758" i="1"/>
  <c r="B39757" i="1"/>
  <c r="B39756" i="1"/>
  <c r="B39755" i="1"/>
  <c r="B39754" i="1"/>
  <c r="B39753" i="1"/>
  <c r="B39752" i="1"/>
  <c r="B39751" i="1"/>
  <c r="B39750" i="1"/>
  <c r="B39749" i="1"/>
  <c r="B39748" i="1"/>
  <c r="B39747" i="1"/>
  <c r="B39746" i="1"/>
  <c r="B39745" i="1"/>
  <c r="B39744" i="1"/>
  <c r="B39743" i="1"/>
  <c r="B39742" i="1"/>
  <c r="B39741" i="1"/>
  <c r="B39740" i="1"/>
  <c r="B39739" i="1"/>
  <c r="B39738" i="1"/>
  <c r="B39737" i="1"/>
  <c r="B39736" i="1"/>
  <c r="B39735" i="1"/>
  <c r="B39734" i="1"/>
  <c r="B39733" i="1"/>
  <c r="B39732" i="1"/>
  <c r="B39731" i="1"/>
  <c r="B39730" i="1"/>
  <c r="B39729" i="1"/>
  <c r="B39728" i="1"/>
  <c r="B39727" i="1"/>
  <c r="B39726" i="1"/>
  <c r="B39725" i="1"/>
  <c r="B39724" i="1"/>
  <c r="B39723" i="1"/>
  <c r="B39722" i="1"/>
  <c r="B39721" i="1"/>
  <c r="B39720" i="1"/>
  <c r="B39719" i="1"/>
  <c r="B39718" i="1"/>
  <c r="B39717" i="1"/>
  <c r="B39716" i="1"/>
  <c r="B39715" i="1"/>
  <c r="B39714" i="1"/>
  <c r="B39713" i="1"/>
  <c r="B39712" i="1"/>
  <c r="B39711" i="1"/>
  <c r="B39710" i="1"/>
  <c r="B39709" i="1"/>
  <c r="B39708" i="1"/>
  <c r="B39707" i="1"/>
  <c r="B39706" i="1"/>
  <c r="B39705" i="1"/>
  <c r="B39704" i="1"/>
  <c r="B39703" i="1"/>
  <c r="B39702" i="1"/>
  <c r="B39701" i="1"/>
  <c r="B39700" i="1"/>
  <c r="B39699" i="1"/>
  <c r="B39698" i="1"/>
  <c r="B39697" i="1"/>
  <c r="B39696" i="1"/>
  <c r="B39695" i="1"/>
  <c r="B39694" i="1"/>
  <c r="B39693" i="1"/>
  <c r="B39692" i="1"/>
  <c r="B39691" i="1"/>
  <c r="B39690" i="1"/>
  <c r="B39689" i="1"/>
  <c r="B39688" i="1"/>
  <c r="B39687" i="1"/>
  <c r="B39686" i="1"/>
  <c r="B39685" i="1"/>
  <c r="B39684" i="1"/>
  <c r="B39683" i="1"/>
  <c r="B39682" i="1"/>
  <c r="B39681" i="1"/>
  <c r="B39680" i="1"/>
  <c r="B39679" i="1"/>
  <c r="B39678" i="1"/>
  <c r="B39677" i="1"/>
  <c r="B39676" i="1"/>
  <c r="B39675" i="1"/>
  <c r="B39674" i="1"/>
  <c r="B39673" i="1"/>
  <c r="B39672" i="1"/>
  <c r="B39671" i="1"/>
  <c r="B39670" i="1"/>
  <c r="B39669" i="1"/>
  <c r="B39668" i="1"/>
  <c r="B39667" i="1"/>
  <c r="B39666" i="1"/>
  <c r="B39665" i="1"/>
  <c r="B39664" i="1"/>
  <c r="B39663" i="1"/>
  <c r="B39662" i="1"/>
  <c r="B39661" i="1"/>
  <c r="B39660" i="1"/>
  <c r="B39659" i="1"/>
  <c r="B39658" i="1"/>
  <c r="B39657" i="1"/>
  <c r="B39656" i="1"/>
  <c r="B39655" i="1"/>
  <c r="B39654" i="1"/>
  <c r="B39653" i="1"/>
  <c r="B39652" i="1"/>
  <c r="B39651" i="1"/>
  <c r="B39650" i="1"/>
  <c r="B39649" i="1"/>
  <c r="B39648" i="1"/>
  <c r="B39647" i="1"/>
  <c r="B39646" i="1"/>
  <c r="B39645" i="1"/>
  <c r="B39644" i="1"/>
  <c r="B39643" i="1"/>
  <c r="B39642" i="1"/>
  <c r="B39641" i="1"/>
  <c r="B39640" i="1"/>
  <c r="B39639" i="1"/>
  <c r="B39638" i="1"/>
  <c r="B39637" i="1"/>
  <c r="B39636" i="1"/>
  <c r="B39635" i="1"/>
  <c r="B39634" i="1"/>
  <c r="B39633" i="1"/>
  <c r="B39632" i="1"/>
  <c r="B39631" i="1"/>
  <c r="B39630" i="1"/>
  <c r="B39629" i="1"/>
  <c r="B39628" i="1"/>
  <c r="B39627" i="1"/>
  <c r="B39626" i="1"/>
  <c r="B39625" i="1"/>
  <c r="B39624" i="1"/>
  <c r="B39623" i="1"/>
  <c r="B39622" i="1"/>
  <c r="B39621" i="1"/>
  <c r="B39620" i="1"/>
  <c r="B39619" i="1"/>
  <c r="B39618" i="1"/>
  <c r="B39617" i="1"/>
  <c r="B39616" i="1"/>
  <c r="B39615" i="1"/>
  <c r="B39614" i="1"/>
  <c r="B39613" i="1"/>
  <c r="B39612" i="1"/>
  <c r="B39611" i="1"/>
  <c r="B39610" i="1"/>
  <c r="B39609" i="1"/>
  <c r="B39608" i="1"/>
  <c r="B39607" i="1"/>
  <c r="B39606" i="1"/>
  <c r="B39605" i="1"/>
  <c r="B39604" i="1"/>
  <c r="B39603" i="1"/>
  <c r="B39602" i="1"/>
  <c r="B39601" i="1"/>
  <c r="B39600" i="1"/>
  <c r="B39599" i="1"/>
  <c r="B39598" i="1"/>
  <c r="B39597" i="1"/>
  <c r="B39596" i="1"/>
  <c r="B39595" i="1"/>
  <c r="B39594" i="1"/>
  <c r="B39593" i="1"/>
  <c r="B39592" i="1"/>
  <c r="B39591" i="1"/>
  <c r="B39590" i="1"/>
  <c r="B39589" i="1"/>
  <c r="B39588" i="1"/>
  <c r="B39587" i="1"/>
  <c r="B39586" i="1"/>
  <c r="B39585" i="1"/>
  <c r="B39584" i="1"/>
  <c r="B39583" i="1"/>
  <c r="B39582" i="1"/>
  <c r="B39581" i="1"/>
  <c r="B39580" i="1"/>
  <c r="B39579" i="1"/>
  <c r="B39578" i="1"/>
  <c r="B39577" i="1"/>
  <c r="B39576" i="1"/>
  <c r="B39575" i="1"/>
  <c r="B39574" i="1"/>
  <c r="B39573" i="1"/>
  <c r="B39572" i="1"/>
  <c r="B39571" i="1"/>
  <c r="B39570" i="1"/>
  <c r="B39569" i="1"/>
  <c r="B39568" i="1"/>
  <c r="B39567" i="1"/>
  <c r="B39566" i="1"/>
  <c r="B39565" i="1"/>
  <c r="B39564" i="1"/>
  <c r="B39563" i="1"/>
  <c r="B39562" i="1"/>
  <c r="B39561" i="1"/>
  <c r="B39560" i="1"/>
  <c r="B39559" i="1"/>
  <c r="B39558" i="1"/>
  <c r="B39557" i="1"/>
  <c r="B39556" i="1"/>
  <c r="B39555" i="1"/>
  <c r="B39554" i="1"/>
  <c r="B39553" i="1"/>
  <c r="B39552" i="1"/>
  <c r="B39551" i="1"/>
  <c r="B39550" i="1"/>
  <c r="B39549" i="1"/>
  <c r="B39548" i="1"/>
  <c r="B39547" i="1"/>
  <c r="B39546" i="1"/>
  <c r="B39545" i="1"/>
  <c r="B39544" i="1"/>
  <c r="B39543" i="1"/>
  <c r="B39542" i="1"/>
  <c r="B39541" i="1"/>
  <c r="B39540" i="1"/>
  <c r="B39539" i="1"/>
  <c r="B39538" i="1"/>
  <c r="B39537" i="1"/>
  <c r="B39536" i="1"/>
  <c r="B39535" i="1"/>
  <c r="B39534" i="1"/>
  <c r="B39533" i="1"/>
  <c r="B39532" i="1"/>
  <c r="B39531" i="1"/>
  <c r="B39530" i="1"/>
  <c r="B39529" i="1"/>
  <c r="B39528" i="1"/>
  <c r="B39527" i="1"/>
  <c r="B39526" i="1"/>
  <c r="B39525" i="1"/>
  <c r="B39524" i="1"/>
  <c r="B39523" i="1"/>
  <c r="B39522" i="1"/>
  <c r="B39521" i="1"/>
  <c r="B39520" i="1"/>
  <c r="B39519" i="1"/>
  <c r="B39518" i="1"/>
  <c r="B39517" i="1"/>
  <c r="B39516" i="1"/>
  <c r="B39515" i="1"/>
  <c r="B39514" i="1"/>
  <c r="B39513" i="1"/>
  <c r="B39512" i="1"/>
  <c r="B39511" i="1"/>
  <c r="B39510" i="1"/>
  <c r="B39509" i="1"/>
  <c r="B39508" i="1"/>
  <c r="B39507" i="1"/>
  <c r="B39506" i="1"/>
  <c r="B39505" i="1"/>
  <c r="B39504" i="1"/>
  <c r="B39503" i="1"/>
  <c r="B39502" i="1"/>
  <c r="B39501" i="1"/>
  <c r="B39500" i="1"/>
  <c r="B39499" i="1"/>
  <c r="B39498" i="1"/>
  <c r="B39497" i="1"/>
  <c r="B39496" i="1"/>
  <c r="B39495" i="1"/>
  <c r="B39494" i="1"/>
  <c r="B39493" i="1"/>
  <c r="B39492" i="1"/>
  <c r="B39491" i="1"/>
  <c r="B39490" i="1"/>
  <c r="B39489" i="1"/>
  <c r="B39488" i="1"/>
  <c r="B39487" i="1"/>
  <c r="B39486" i="1"/>
  <c r="B39485" i="1"/>
  <c r="B39484" i="1"/>
  <c r="B39483" i="1"/>
  <c r="B39482" i="1"/>
  <c r="B39481" i="1"/>
  <c r="B39480" i="1"/>
  <c r="B39479" i="1"/>
  <c r="B39478" i="1"/>
  <c r="B39477" i="1"/>
  <c r="B39476" i="1"/>
  <c r="B39475" i="1"/>
  <c r="B39474" i="1"/>
  <c r="B39473" i="1"/>
  <c r="B39472" i="1"/>
  <c r="B39471" i="1"/>
  <c r="B39470" i="1"/>
  <c r="B39469" i="1"/>
  <c r="B39468" i="1"/>
  <c r="B39467" i="1"/>
  <c r="B39466" i="1"/>
  <c r="B39465" i="1"/>
  <c r="B39464" i="1"/>
  <c r="B39463" i="1"/>
  <c r="B39462" i="1"/>
  <c r="B39461" i="1"/>
  <c r="B39460" i="1"/>
  <c r="B39459" i="1"/>
  <c r="B39458" i="1"/>
  <c r="B39457" i="1"/>
  <c r="B39456" i="1"/>
  <c r="B39455" i="1"/>
  <c r="B39454" i="1"/>
  <c r="B39453" i="1"/>
  <c r="B39452" i="1"/>
  <c r="B39451" i="1"/>
  <c r="B39450" i="1"/>
  <c r="B39449" i="1"/>
  <c r="B39448" i="1"/>
  <c r="B39447" i="1"/>
  <c r="B39446" i="1"/>
  <c r="B39445" i="1"/>
  <c r="B39444" i="1"/>
  <c r="B39443" i="1"/>
  <c r="B39442" i="1"/>
  <c r="B39441" i="1"/>
  <c r="B39440" i="1"/>
  <c r="B39439" i="1"/>
  <c r="B39438" i="1"/>
  <c r="B39437" i="1"/>
  <c r="B39436" i="1"/>
  <c r="B39435" i="1"/>
  <c r="B39434" i="1"/>
  <c r="B39433" i="1"/>
  <c r="B39432" i="1"/>
  <c r="B39431" i="1"/>
  <c r="B39430" i="1"/>
  <c r="B39429" i="1"/>
  <c r="B39428" i="1"/>
  <c r="B39427" i="1"/>
  <c r="B39426" i="1"/>
  <c r="B39425" i="1"/>
  <c r="B39424" i="1"/>
  <c r="B39423" i="1"/>
  <c r="B39422" i="1"/>
  <c r="B39421" i="1"/>
  <c r="B39420" i="1"/>
  <c r="B39419" i="1"/>
  <c r="B39418" i="1"/>
  <c r="B39417" i="1"/>
  <c r="B39416" i="1"/>
  <c r="B39415" i="1"/>
  <c r="B39414" i="1"/>
  <c r="B39413" i="1"/>
  <c r="B39412" i="1"/>
  <c r="B39411" i="1"/>
  <c r="B39410" i="1"/>
  <c r="B39409" i="1"/>
  <c r="B39408" i="1"/>
  <c r="B39407" i="1"/>
  <c r="B39406" i="1"/>
  <c r="B39405" i="1"/>
  <c r="B39404" i="1"/>
  <c r="B39403" i="1"/>
  <c r="B39402" i="1"/>
  <c r="B39401" i="1"/>
  <c r="B39400" i="1"/>
  <c r="B39399" i="1"/>
  <c r="B39398" i="1"/>
  <c r="B39397" i="1"/>
  <c r="B39396" i="1"/>
  <c r="B39395" i="1"/>
  <c r="B39394" i="1"/>
  <c r="B39393" i="1"/>
  <c r="B39392" i="1"/>
  <c r="B39391" i="1"/>
  <c r="B39390" i="1"/>
  <c r="B39389" i="1"/>
  <c r="B39388" i="1"/>
  <c r="B39387" i="1"/>
  <c r="B39386" i="1"/>
  <c r="B39385" i="1"/>
  <c r="B39384" i="1"/>
  <c r="B39383" i="1"/>
  <c r="B39382" i="1"/>
  <c r="B39381" i="1"/>
  <c r="B39380" i="1"/>
  <c r="B39379" i="1"/>
  <c r="B39378" i="1"/>
  <c r="B39377" i="1"/>
  <c r="B39376" i="1"/>
  <c r="B39375" i="1"/>
  <c r="B39374" i="1"/>
  <c r="B39373" i="1"/>
  <c r="B39372" i="1"/>
  <c r="B39371" i="1"/>
  <c r="B39370" i="1"/>
  <c r="B39369" i="1"/>
  <c r="B39368" i="1"/>
  <c r="B39367" i="1"/>
  <c r="B39366" i="1"/>
  <c r="B39365" i="1"/>
  <c r="B39364" i="1"/>
  <c r="B39363" i="1"/>
  <c r="B39362" i="1"/>
  <c r="B39361" i="1"/>
  <c r="B39360" i="1"/>
  <c r="B39359" i="1"/>
  <c r="B39358" i="1"/>
  <c r="B39357" i="1"/>
  <c r="B39356" i="1"/>
  <c r="B39355" i="1"/>
  <c r="B39354" i="1"/>
  <c r="B39353" i="1"/>
  <c r="B39352" i="1"/>
  <c r="B39351" i="1"/>
  <c r="B39350" i="1"/>
  <c r="B39349" i="1"/>
  <c r="B39348" i="1"/>
  <c r="B39347" i="1"/>
  <c r="B39346" i="1"/>
  <c r="B39345" i="1"/>
  <c r="B39344" i="1"/>
  <c r="B39343" i="1"/>
  <c r="B39342" i="1"/>
  <c r="B39341" i="1"/>
  <c r="B39340" i="1"/>
  <c r="B39339" i="1"/>
  <c r="B39338" i="1"/>
  <c r="B39337" i="1"/>
  <c r="B39336" i="1"/>
  <c r="B39335" i="1"/>
  <c r="B39334" i="1"/>
  <c r="B39333" i="1"/>
  <c r="B39332" i="1"/>
  <c r="B39331" i="1"/>
  <c r="B39330" i="1"/>
  <c r="B39329" i="1"/>
  <c r="B39328" i="1"/>
  <c r="B39327" i="1"/>
  <c r="B39326" i="1"/>
  <c r="B39325" i="1"/>
  <c r="B39324" i="1"/>
  <c r="B39323" i="1"/>
  <c r="B39322" i="1"/>
  <c r="B39321" i="1"/>
  <c r="B39320" i="1"/>
  <c r="B39319" i="1"/>
  <c r="B39318" i="1"/>
  <c r="B39317" i="1"/>
  <c r="B39316" i="1"/>
  <c r="B39315" i="1"/>
  <c r="B39314" i="1"/>
  <c r="B39313" i="1"/>
  <c r="B39312" i="1"/>
  <c r="B39311" i="1"/>
  <c r="B39310" i="1"/>
  <c r="B39309" i="1"/>
  <c r="B39308" i="1"/>
  <c r="B39307" i="1"/>
  <c r="B39306" i="1"/>
  <c r="B39305" i="1"/>
  <c r="B39304" i="1"/>
  <c r="B39303" i="1"/>
  <c r="B39302" i="1"/>
  <c r="B39301" i="1"/>
  <c r="B39300" i="1"/>
  <c r="B39299" i="1"/>
  <c r="B39298" i="1"/>
  <c r="B39297" i="1"/>
  <c r="B39296" i="1"/>
  <c r="B39295" i="1"/>
  <c r="B39294" i="1"/>
  <c r="B39293" i="1"/>
  <c r="B39292" i="1"/>
  <c r="B39291" i="1"/>
  <c r="B39290" i="1"/>
  <c r="B39289" i="1"/>
  <c r="B39288" i="1"/>
  <c r="B39287" i="1"/>
  <c r="B39286" i="1"/>
  <c r="B39285" i="1"/>
  <c r="B39284" i="1"/>
  <c r="B39283" i="1"/>
  <c r="B39282" i="1"/>
  <c r="B39281" i="1"/>
  <c r="B39280" i="1"/>
  <c r="B39279" i="1"/>
  <c r="B39278" i="1"/>
  <c r="B39277" i="1"/>
  <c r="B39276" i="1"/>
  <c r="B39275" i="1"/>
  <c r="B39274" i="1"/>
  <c r="B39273" i="1"/>
  <c r="B39272" i="1"/>
  <c r="B39271" i="1"/>
  <c r="B39270" i="1"/>
  <c r="B39269" i="1"/>
  <c r="B39268" i="1"/>
  <c r="B39267" i="1"/>
  <c r="B39266" i="1"/>
  <c r="B39265" i="1"/>
  <c r="B39264" i="1"/>
  <c r="B39263" i="1"/>
  <c r="B39262" i="1"/>
  <c r="B39261" i="1"/>
  <c r="B39260" i="1"/>
  <c r="B39259" i="1"/>
  <c r="B39258" i="1"/>
  <c r="B39257" i="1"/>
  <c r="B39256" i="1"/>
  <c r="B39255" i="1"/>
  <c r="B39254" i="1"/>
  <c r="B39253" i="1"/>
  <c r="B39252" i="1"/>
  <c r="B39251" i="1"/>
  <c r="B39250" i="1"/>
  <c r="B39249" i="1"/>
  <c r="B39248" i="1"/>
  <c r="B39247" i="1"/>
  <c r="B39246" i="1"/>
  <c r="B39245" i="1"/>
  <c r="B39244" i="1"/>
  <c r="B39243" i="1"/>
  <c r="B39242" i="1"/>
  <c r="B39241" i="1"/>
  <c r="B39240" i="1"/>
  <c r="B39239" i="1"/>
  <c r="B39238" i="1"/>
  <c r="B39237" i="1"/>
  <c r="B39236" i="1"/>
  <c r="B39235" i="1"/>
  <c r="B39234" i="1"/>
  <c r="B39233" i="1"/>
  <c r="B39232" i="1"/>
  <c r="B39231" i="1"/>
  <c r="B39230" i="1"/>
  <c r="B39229" i="1"/>
  <c r="B39228" i="1"/>
  <c r="B39227" i="1"/>
  <c r="B39226" i="1"/>
  <c r="B39225" i="1"/>
  <c r="B39224" i="1"/>
  <c r="B39223" i="1"/>
  <c r="B39222" i="1"/>
  <c r="B39221" i="1"/>
  <c r="B39220" i="1"/>
  <c r="B39219" i="1"/>
  <c r="B39218" i="1"/>
  <c r="B39217" i="1"/>
  <c r="B39216" i="1"/>
  <c r="B39215" i="1"/>
  <c r="B39214" i="1"/>
  <c r="B39213" i="1"/>
  <c r="B39212" i="1"/>
  <c r="B39211" i="1"/>
  <c r="B39210" i="1"/>
  <c r="B39209" i="1"/>
  <c r="B39208" i="1"/>
  <c r="B39207" i="1"/>
  <c r="B39206" i="1"/>
  <c r="B39205" i="1"/>
  <c r="B39204" i="1"/>
  <c r="B39203" i="1"/>
  <c r="B39202" i="1"/>
  <c r="B39201" i="1"/>
  <c r="B39200" i="1"/>
  <c r="B39199" i="1"/>
  <c r="B39198" i="1"/>
  <c r="B39197" i="1"/>
  <c r="B39196" i="1"/>
  <c r="B39195" i="1"/>
  <c r="B39194" i="1"/>
  <c r="B39193" i="1"/>
  <c r="B39192" i="1"/>
  <c r="B39191" i="1"/>
  <c r="B39190" i="1"/>
  <c r="B39189" i="1"/>
  <c r="B39188" i="1"/>
  <c r="B39187" i="1"/>
  <c r="B39186" i="1"/>
  <c r="B39185" i="1"/>
  <c r="B39184" i="1"/>
  <c r="B39183" i="1"/>
  <c r="B39182" i="1"/>
  <c r="B39181" i="1"/>
  <c r="B39180" i="1"/>
  <c r="B39179" i="1"/>
  <c r="B39178" i="1"/>
  <c r="B39177" i="1"/>
  <c r="B39176" i="1"/>
  <c r="B39175" i="1"/>
  <c r="B39174" i="1"/>
  <c r="B39173" i="1"/>
  <c r="B39172" i="1"/>
  <c r="B39171" i="1"/>
  <c r="B39170" i="1"/>
  <c r="B39169" i="1"/>
  <c r="B39168" i="1"/>
  <c r="B39167" i="1"/>
  <c r="B39166" i="1"/>
  <c r="B39165" i="1"/>
  <c r="B39164" i="1"/>
  <c r="B39163" i="1"/>
  <c r="B39162" i="1"/>
  <c r="B39161" i="1"/>
  <c r="B39160" i="1"/>
  <c r="B39159" i="1"/>
  <c r="B39158" i="1"/>
  <c r="B39157" i="1"/>
  <c r="B39156" i="1"/>
  <c r="B39155" i="1"/>
  <c r="B39154" i="1"/>
  <c r="B39153" i="1"/>
  <c r="B39152" i="1"/>
  <c r="B39151" i="1"/>
  <c r="B39150" i="1"/>
  <c r="B39149" i="1"/>
  <c r="B39148" i="1"/>
  <c r="B39147" i="1"/>
  <c r="B39146" i="1"/>
  <c r="B39145" i="1"/>
  <c r="B39144" i="1"/>
  <c r="B39143" i="1"/>
  <c r="B39142" i="1"/>
  <c r="B39141" i="1"/>
  <c r="B39140" i="1"/>
  <c r="B39139" i="1"/>
  <c r="B39138" i="1"/>
  <c r="B39137" i="1"/>
  <c r="B39136" i="1"/>
  <c r="B39135" i="1"/>
  <c r="B39134" i="1"/>
  <c r="B39133" i="1"/>
  <c r="B39132" i="1"/>
  <c r="B39131" i="1"/>
  <c r="B39130" i="1"/>
  <c r="B39129" i="1"/>
  <c r="B39128" i="1"/>
  <c r="B39127" i="1"/>
  <c r="B39126" i="1"/>
  <c r="B39125" i="1"/>
  <c r="B39124" i="1"/>
  <c r="B39123" i="1"/>
  <c r="B39122" i="1"/>
  <c r="B39121" i="1"/>
  <c r="B39120" i="1"/>
  <c r="B39119" i="1"/>
  <c r="B39118" i="1"/>
  <c r="B39117" i="1"/>
  <c r="B39116" i="1"/>
  <c r="B39115" i="1"/>
  <c r="B39114" i="1"/>
  <c r="B39113" i="1"/>
  <c r="B39112" i="1"/>
  <c r="B39111" i="1"/>
  <c r="B39110" i="1"/>
  <c r="B39109" i="1"/>
  <c r="B39108" i="1"/>
  <c r="B39107" i="1"/>
  <c r="B39106" i="1"/>
  <c r="B39105" i="1"/>
  <c r="B39104" i="1"/>
  <c r="B39103" i="1"/>
  <c r="B39102" i="1"/>
  <c r="B39101" i="1"/>
  <c r="B39100" i="1"/>
  <c r="B39099" i="1"/>
  <c r="B39098" i="1"/>
  <c r="B39097" i="1"/>
  <c r="B39096" i="1"/>
  <c r="B39095" i="1"/>
  <c r="B39094" i="1"/>
  <c r="B39093" i="1"/>
  <c r="B39092" i="1"/>
  <c r="B39091" i="1"/>
  <c r="B39090" i="1"/>
  <c r="B39089" i="1"/>
  <c r="B39088" i="1"/>
  <c r="B39087" i="1"/>
  <c r="B39086" i="1"/>
  <c r="B39085" i="1"/>
  <c r="B39084" i="1"/>
  <c r="B39083" i="1"/>
  <c r="B39082" i="1"/>
  <c r="B39081" i="1"/>
  <c r="B39080" i="1"/>
  <c r="B39079" i="1"/>
  <c r="B39078" i="1"/>
  <c r="B39077" i="1"/>
  <c r="B39076" i="1"/>
  <c r="B39075" i="1"/>
  <c r="B39074" i="1"/>
  <c r="B39073" i="1"/>
  <c r="B39072" i="1"/>
  <c r="B39071" i="1"/>
  <c r="B39070" i="1"/>
  <c r="B39069" i="1"/>
  <c r="B39068" i="1"/>
  <c r="B39067" i="1"/>
  <c r="B39066" i="1"/>
  <c r="B39065" i="1"/>
  <c r="B39064" i="1"/>
  <c r="B39063" i="1"/>
  <c r="B39062" i="1"/>
  <c r="B39061" i="1"/>
  <c r="B39060" i="1"/>
  <c r="B39059" i="1"/>
  <c r="B39058" i="1"/>
  <c r="B39057" i="1"/>
  <c r="B39056" i="1"/>
  <c r="B39055" i="1"/>
  <c r="B39054" i="1"/>
  <c r="B39053" i="1"/>
  <c r="B39052" i="1"/>
  <c r="B39051" i="1"/>
  <c r="B39050" i="1"/>
  <c r="B39049" i="1"/>
  <c r="B39048" i="1"/>
  <c r="B39047" i="1"/>
  <c r="B39046" i="1"/>
  <c r="B39045" i="1"/>
  <c r="B39044" i="1"/>
  <c r="B39043" i="1"/>
  <c r="B39042" i="1"/>
  <c r="B39041" i="1"/>
  <c r="B39040" i="1"/>
  <c r="B39039" i="1"/>
  <c r="B39038" i="1"/>
  <c r="B39037" i="1"/>
  <c r="B39036" i="1"/>
  <c r="B39035" i="1"/>
  <c r="B39034" i="1"/>
  <c r="B39033" i="1"/>
  <c r="B39032" i="1"/>
  <c r="B39031" i="1"/>
  <c r="B39030" i="1"/>
  <c r="B39029" i="1"/>
  <c r="B39028" i="1"/>
  <c r="B39027" i="1"/>
  <c r="B39026" i="1"/>
  <c r="B39025" i="1"/>
  <c r="B39024" i="1"/>
  <c r="B39023" i="1"/>
  <c r="B39022" i="1"/>
  <c r="B39021" i="1"/>
  <c r="B39020" i="1"/>
  <c r="B39019" i="1"/>
  <c r="B39018" i="1"/>
  <c r="B39017" i="1"/>
  <c r="B39016" i="1"/>
  <c r="B39015" i="1"/>
  <c r="B39014" i="1"/>
  <c r="B39013" i="1"/>
  <c r="B39012" i="1"/>
  <c r="B39011" i="1"/>
  <c r="B39010" i="1"/>
  <c r="B39009" i="1"/>
  <c r="B39008" i="1"/>
  <c r="B39007" i="1"/>
  <c r="B39006" i="1"/>
  <c r="B39005" i="1"/>
  <c r="B39004" i="1"/>
  <c r="B39003" i="1"/>
  <c r="B39002" i="1"/>
  <c r="B39001" i="1"/>
  <c r="B39000" i="1"/>
  <c r="B38999" i="1"/>
  <c r="B38998" i="1"/>
  <c r="B38997" i="1"/>
  <c r="B38996" i="1"/>
  <c r="B38995" i="1"/>
  <c r="B38994" i="1"/>
  <c r="B38993" i="1"/>
  <c r="B38992" i="1"/>
  <c r="B38991" i="1"/>
  <c r="B38990" i="1"/>
  <c r="B38989" i="1"/>
  <c r="B38988" i="1"/>
  <c r="B38987" i="1"/>
  <c r="B38986" i="1"/>
  <c r="B38985" i="1"/>
  <c r="B38984" i="1"/>
  <c r="B38983" i="1"/>
  <c r="B38982" i="1"/>
  <c r="B38981" i="1"/>
  <c r="B38980" i="1"/>
  <c r="B38979" i="1"/>
  <c r="B38978" i="1"/>
  <c r="B38977" i="1"/>
  <c r="B38976" i="1"/>
  <c r="B38975" i="1"/>
  <c r="B38974" i="1"/>
  <c r="B38973" i="1"/>
  <c r="B38972" i="1"/>
  <c r="B38971" i="1"/>
  <c r="B38970" i="1"/>
  <c r="B38969" i="1"/>
  <c r="B38968" i="1"/>
  <c r="B38967" i="1"/>
  <c r="B38966" i="1"/>
  <c r="B38965" i="1"/>
  <c r="B38964" i="1"/>
  <c r="B38963" i="1"/>
  <c r="B38962" i="1"/>
  <c r="B38961" i="1"/>
  <c r="B38960" i="1"/>
  <c r="B38959" i="1"/>
  <c r="B38958" i="1"/>
  <c r="B38957" i="1"/>
  <c r="B38956" i="1"/>
  <c r="B38955" i="1"/>
  <c r="B38954" i="1"/>
  <c r="B38953" i="1"/>
  <c r="B38952" i="1"/>
  <c r="B38951" i="1"/>
  <c r="B38950" i="1"/>
  <c r="B38949" i="1"/>
  <c r="B38948" i="1"/>
  <c r="B38947" i="1"/>
  <c r="B38946" i="1"/>
  <c r="B38945" i="1"/>
  <c r="B38944" i="1"/>
  <c r="B38943" i="1"/>
  <c r="B38942" i="1"/>
  <c r="B38941" i="1"/>
  <c r="B38940" i="1"/>
  <c r="B38939" i="1"/>
  <c r="B38938" i="1"/>
  <c r="B38937" i="1"/>
  <c r="B38936" i="1"/>
  <c r="B38935" i="1"/>
  <c r="B38934" i="1"/>
  <c r="B38933" i="1"/>
  <c r="B38932" i="1"/>
  <c r="B38931" i="1"/>
  <c r="B38930" i="1"/>
  <c r="B38929" i="1"/>
  <c r="B38928" i="1"/>
  <c r="B38927" i="1"/>
  <c r="B38926" i="1"/>
  <c r="B38925" i="1"/>
  <c r="B38924" i="1"/>
  <c r="B38923" i="1"/>
  <c r="B38922" i="1"/>
  <c r="B38921" i="1"/>
  <c r="B38920" i="1"/>
  <c r="B38919" i="1"/>
  <c r="B38918" i="1"/>
  <c r="B38917" i="1"/>
  <c r="B38916" i="1"/>
  <c r="B38915" i="1"/>
  <c r="B38914" i="1"/>
  <c r="B38913" i="1"/>
  <c r="B38912" i="1"/>
  <c r="B38911" i="1"/>
  <c r="B38910" i="1"/>
  <c r="B38909" i="1"/>
  <c r="B38908" i="1"/>
  <c r="B38907" i="1"/>
  <c r="B38906" i="1"/>
  <c r="B38905" i="1"/>
  <c r="B38904" i="1"/>
  <c r="B38903" i="1"/>
  <c r="B38902" i="1"/>
  <c r="B38901" i="1"/>
  <c r="B38900" i="1"/>
  <c r="B38899" i="1"/>
  <c r="B38898" i="1"/>
  <c r="B38897" i="1"/>
  <c r="B38896" i="1"/>
  <c r="B38895" i="1"/>
  <c r="B38894" i="1"/>
  <c r="B38893" i="1"/>
  <c r="B38892" i="1"/>
  <c r="B38891" i="1"/>
  <c r="B38890" i="1"/>
  <c r="B38889" i="1"/>
  <c r="B38888" i="1"/>
  <c r="B38887" i="1"/>
  <c r="B38886" i="1"/>
  <c r="B38885" i="1"/>
  <c r="B38884" i="1"/>
  <c r="B38883" i="1"/>
  <c r="B38882" i="1"/>
  <c r="B38881" i="1"/>
  <c r="B38880" i="1"/>
  <c r="B38879" i="1"/>
  <c r="B38878" i="1"/>
  <c r="B38877" i="1"/>
  <c r="B38876" i="1"/>
  <c r="B38875" i="1"/>
  <c r="B38874" i="1"/>
  <c r="B38873" i="1"/>
  <c r="B38872" i="1"/>
  <c r="B38871" i="1"/>
  <c r="B38870" i="1"/>
  <c r="B38869" i="1"/>
  <c r="B38868" i="1"/>
  <c r="B38867" i="1"/>
  <c r="B38866" i="1"/>
  <c r="B38865" i="1"/>
  <c r="B38864" i="1"/>
  <c r="B38863" i="1"/>
  <c r="B38862" i="1"/>
  <c r="B38861" i="1"/>
  <c r="B38860" i="1"/>
  <c r="B38859" i="1"/>
  <c r="B38858" i="1"/>
  <c r="B38857" i="1"/>
  <c r="B38856" i="1"/>
  <c r="B38855" i="1"/>
  <c r="B38854" i="1"/>
  <c r="B38853" i="1"/>
  <c r="B38852" i="1"/>
  <c r="B38851" i="1"/>
  <c r="B38850" i="1"/>
  <c r="B38849" i="1"/>
  <c r="B38848" i="1"/>
  <c r="B38847" i="1"/>
  <c r="B38846" i="1"/>
  <c r="B38845" i="1"/>
  <c r="B38844" i="1"/>
  <c r="B38843" i="1"/>
  <c r="B38842" i="1"/>
  <c r="B38841" i="1"/>
  <c r="B38840" i="1"/>
  <c r="B38839" i="1"/>
  <c r="B38838" i="1"/>
  <c r="B38837" i="1"/>
  <c r="B38836" i="1"/>
  <c r="B38835" i="1"/>
  <c r="B38834" i="1"/>
  <c r="B38833" i="1"/>
  <c r="B38832" i="1"/>
  <c r="B38831" i="1"/>
  <c r="B38830" i="1"/>
  <c r="B38829" i="1"/>
  <c r="B38828" i="1"/>
  <c r="B38827" i="1"/>
  <c r="B38826" i="1"/>
  <c r="B38825" i="1"/>
  <c r="B38824" i="1"/>
  <c r="B38823" i="1"/>
  <c r="B38822" i="1"/>
  <c r="B38821" i="1"/>
  <c r="B38820" i="1"/>
  <c r="B38819" i="1"/>
  <c r="B38818" i="1"/>
  <c r="B38817" i="1"/>
  <c r="B38816" i="1"/>
  <c r="B38815" i="1"/>
  <c r="B38814" i="1"/>
  <c r="B38813" i="1"/>
  <c r="B38812" i="1"/>
  <c r="B38811" i="1"/>
  <c r="B38810" i="1"/>
  <c r="B38809" i="1"/>
  <c r="B38808" i="1"/>
  <c r="B38807" i="1"/>
  <c r="B38806" i="1"/>
  <c r="B38805" i="1"/>
  <c r="B38804" i="1"/>
  <c r="B38803" i="1"/>
  <c r="B38802" i="1"/>
  <c r="B38801" i="1"/>
  <c r="B38800" i="1"/>
  <c r="B38799" i="1"/>
  <c r="B38798" i="1"/>
  <c r="B38797" i="1"/>
  <c r="B38796" i="1"/>
  <c r="B38795" i="1"/>
  <c r="B38794" i="1"/>
  <c r="B38793" i="1"/>
  <c r="B38792" i="1"/>
  <c r="B38791" i="1"/>
  <c r="B38790" i="1"/>
  <c r="B38789" i="1"/>
  <c r="B38788" i="1"/>
  <c r="B38787" i="1"/>
  <c r="B38786" i="1"/>
  <c r="B38785" i="1"/>
  <c r="B38784" i="1"/>
  <c r="B38783" i="1"/>
  <c r="B38782" i="1"/>
  <c r="B38781" i="1"/>
  <c r="B38780" i="1"/>
  <c r="B38779" i="1"/>
  <c r="B38778" i="1"/>
  <c r="B38777" i="1"/>
  <c r="B38776" i="1"/>
  <c r="B38775" i="1"/>
  <c r="B38774" i="1"/>
  <c r="B38773" i="1"/>
  <c r="B38772" i="1"/>
  <c r="B38771" i="1"/>
  <c r="B38770" i="1"/>
  <c r="B38769" i="1"/>
  <c r="B38768" i="1"/>
  <c r="B38767" i="1"/>
  <c r="B38766" i="1"/>
  <c r="B38765" i="1"/>
  <c r="B38764" i="1"/>
  <c r="B38763" i="1"/>
  <c r="B38762" i="1"/>
  <c r="B38761" i="1"/>
  <c r="B38760" i="1"/>
  <c r="B38759" i="1"/>
  <c r="B38758" i="1"/>
  <c r="B38757" i="1"/>
  <c r="B38756" i="1"/>
  <c r="B38755" i="1"/>
  <c r="B38754" i="1"/>
  <c r="B38753" i="1"/>
  <c r="B38752" i="1"/>
  <c r="B38751" i="1"/>
  <c r="B38750" i="1"/>
  <c r="B38749" i="1"/>
  <c r="B38748" i="1"/>
  <c r="B38747" i="1"/>
  <c r="B38746" i="1"/>
  <c r="B38745" i="1"/>
  <c r="B38744" i="1"/>
  <c r="B38743" i="1"/>
  <c r="B38742" i="1"/>
  <c r="B38741" i="1"/>
  <c r="B38740" i="1"/>
  <c r="B38739" i="1"/>
  <c r="B38738" i="1"/>
  <c r="B38737" i="1"/>
  <c r="B38736" i="1"/>
  <c r="B38735" i="1"/>
  <c r="B38734" i="1"/>
  <c r="B38733" i="1"/>
  <c r="B38732" i="1"/>
  <c r="B38731" i="1"/>
  <c r="B38730" i="1"/>
  <c r="B38729" i="1"/>
  <c r="B38728" i="1"/>
  <c r="B38727" i="1"/>
  <c r="B38726" i="1"/>
  <c r="B38725" i="1"/>
  <c r="B38724" i="1"/>
  <c r="B38723" i="1"/>
  <c r="B38722" i="1"/>
  <c r="B38721" i="1"/>
  <c r="B38720" i="1"/>
  <c r="B38719" i="1"/>
  <c r="B38718" i="1"/>
  <c r="B38717" i="1"/>
  <c r="B38716" i="1"/>
  <c r="B38715" i="1"/>
  <c r="B38714" i="1"/>
  <c r="B38713" i="1"/>
  <c r="B38712" i="1"/>
  <c r="B38711" i="1"/>
  <c r="B38710" i="1"/>
  <c r="B38709" i="1"/>
  <c r="B38708" i="1"/>
  <c r="B38707" i="1"/>
  <c r="B38706" i="1"/>
  <c r="B38705" i="1"/>
  <c r="B38704" i="1"/>
  <c r="B38703" i="1"/>
  <c r="B38702" i="1"/>
  <c r="B38701" i="1"/>
  <c r="B38700" i="1"/>
  <c r="B38699" i="1"/>
  <c r="B38698" i="1"/>
  <c r="B38697" i="1"/>
  <c r="B38696" i="1"/>
  <c r="B38695" i="1"/>
  <c r="B38694" i="1"/>
  <c r="B38693" i="1"/>
  <c r="B38692" i="1"/>
  <c r="B38691" i="1"/>
  <c r="B38690" i="1"/>
  <c r="B38689" i="1"/>
  <c r="B38688" i="1"/>
  <c r="B38687" i="1"/>
  <c r="B38686" i="1"/>
  <c r="B38685" i="1"/>
  <c r="B38684" i="1"/>
  <c r="B38683" i="1"/>
  <c r="B38682" i="1"/>
  <c r="B38681" i="1"/>
  <c r="B38680" i="1"/>
  <c r="B38679" i="1"/>
  <c r="B38678" i="1"/>
  <c r="B38677" i="1"/>
  <c r="B38676" i="1"/>
  <c r="B38675" i="1"/>
  <c r="B38674" i="1"/>
  <c r="B38673" i="1"/>
  <c r="B38672" i="1"/>
  <c r="B38671" i="1"/>
  <c r="B38670" i="1"/>
  <c r="B38669" i="1"/>
  <c r="B38668" i="1"/>
  <c r="B38667" i="1"/>
  <c r="B38666" i="1"/>
  <c r="B38665" i="1"/>
  <c r="B38664" i="1"/>
  <c r="B38663" i="1"/>
  <c r="B38662" i="1"/>
  <c r="B38661" i="1"/>
  <c r="B38660" i="1"/>
  <c r="B38659" i="1"/>
  <c r="B38658" i="1"/>
  <c r="B38657" i="1"/>
  <c r="B38656" i="1"/>
  <c r="B38655" i="1"/>
  <c r="B38654" i="1"/>
  <c r="B38653" i="1"/>
  <c r="B38652" i="1"/>
  <c r="B38651" i="1"/>
  <c r="B38650" i="1"/>
  <c r="B38649" i="1"/>
  <c r="B38648" i="1"/>
  <c r="B38647" i="1"/>
  <c r="B38646" i="1"/>
  <c r="B38645" i="1"/>
  <c r="B38644" i="1"/>
  <c r="B38643" i="1"/>
  <c r="B38642" i="1"/>
  <c r="B38641" i="1"/>
  <c r="B38640" i="1"/>
  <c r="B38639" i="1"/>
  <c r="B38638" i="1"/>
  <c r="B38637" i="1"/>
  <c r="B38636" i="1"/>
  <c r="B38635" i="1"/>
  <c r="B38634" i="1"/>
  <c r="B38633" i="1"/>
  <c r="B38632" i="1"/>
  <c r="B38631" i="1"/>
  <c r="B38630" i="1"/>
  <c r="B38629" i="1"/>
  <c r="B38628" i="1"/>
  <c r="B38627" i="1"/>
  <c r="B38626" i="1"/>
  <c r="B38625" i="1"/>
  <c r="B38624" i="1"/>
  <c r="B38623" i="1"/>
  <c r="B38622" i="1"/>
  <c r="B38621" i="1"/>
  <c r="B38620" i="1"/>
  <c r="B38619" i="1"/>
  <c r="B38618" i="1"/>
  <c r="B38617" i="1"/>
  <c r="B38616" i="1"/>
  <c r="B38615" i="1"/>
  <c r="B38614" i="1"/>
  <c r="B38613" i="1"/>
  <c r="B38612" i="1"/>
  <c r="B38611" i="1"/>
  <c r="B38610" i="1"/>
  <c r="B38609" i="1"/>
  <c r="B38608" i="1"/>
  <c r="B38607" i="1"/>
  <c r="B38606" i="1"/>
  <c r="B38605" i="1"/>
  <c r="B38604" i="1"/>
  <c r="B38603" i="1"/>
  <c r="B38602" i="1"/>
  <c r="B38601" i="1"/>
  <c r="B38600" i="1"/>
  <c r="B38599" i="1"/>
  <c r="B38598" i="1"/>
  <c r="B38597" i="1"/>
  <c r="B38596" i="1"/>
  <c r="B38595" i="1"/>
  <c r="B38594" i="1"/>
  <c r="B38593" i="1"/>
  <c r="B38592" i="1"/>
  <c r="B38591" i="1"/>
  <c r="B38590" i="1"/>
  <c r="B38589" i="1"/>
  <c r="B38588" i="1"/>
  <c r="B38587" i="1"/>
  <c r="B38586" i="1"/>
  <c r="B38585" i="1"/>
  <c r="B38584" i="1"/>
  <c r="B38583" i="1"/>
  <c r="B38582" i="1"/>
  <c r="B38581" i="1"/>
  <c r="B38580" i="1"/>
  <c r="B38579" i="1"/>
  <c r="B38578" i="1"/>
  <c r="B38577" i="1"/>
  <c r="B38576" i="1"/>
  <c r="B38575" i="1"/>
  <c r="B38574" i="1"/>
  <c r="B38573" i="1"/>
  <c r="B38572" i="1"/>
  <c r="B38571" i="1"/>
  <c r="B38570" i="1"/>
  <c r="B38569" i="1"/>
  <c r="B38568" i="1"/>
  <c r="B38567" i="1"/>
  <c r="B38566" i="1"/>
  <c r="B38565" i="1"/>
  <c r="B38564" i="1"/>
  <c r="B38563" i="1"/>
  <c r="B38562" i="1"/>
  <c r="B38561" i="1"/>
  <c r="B38560" i="1"/>
  <c r="B38559" i="1"/>
  <c r="B38558" i="1"/>
  <c r="B38557" i="1"/>
  <c r="B38556" i="1"/>
  <c r="B38555" i="1"/>
  <c r="B38554" i="1"/>
  <c r="B38553" i="1"/>
  <c r="B38552" i="1"/>
  <c r="B38551" i="1"/>
  <c r="B38550" i="1"/>
  <c r="B38549" i="1"/>
  <c r="B38548" i="1"/>
  <c r="B38547" i="1"/>
  <c r="B38546" i="1"/>
  <c r="B38545" i="1"/>
  <c r="B38544" i="1"/>
  <c r="B38543" i="1"/>
  <c r="B38542" i="1"/>
  <c r="B38541" i="1"/>
  <c r="B38540" i="1"/>
  <c r="B38539" i="1"/>
  <c r="B38538" i="1"/>
  <c r="B38537" i="1"/>
  <c r="B38536" i="1"/>
  <c r="B38535" i="1"/>
  <c r="B38534" i="1"/>
  <c r="B38533" i="1"/>
  <c r="B38532" i="1"/>
  <c r="B38531" i="1"/>
  <c r="B38530" i="1"/>
  <c r="B38529" i="1"/>
  <c r="B38528" i="1"/>
  <c r="B38527" i="1"/>
  <c r="B38526" i="1"/>
  <c r="B38525" i="1"/>
  <c r="B38524" i="1"/>
  <c r="B38523" i="1"/>
  <c r="B38522" i="1"/>
  <c r="B38521" i="1"/>
  <c r="B38520" i="1"/>
  <c r="B38519" i="1"/>
  <c r="B38518" i="1"/>
  <c r="B38517" i="1"/>
  <c r="B38516" i="1"/>
  <c r="B38515" i="1"/>
  <c r="B38514" i="1"/>
  <c r="B38513" i="1"/>
  <c r="B38512" i="1"/>
  <c r="B38511" i="1"/>
  <c r="B38510" i="1"/>
  <c r="B38509" i="1"/>
  <c r="B38508" i="1"/>
  <c r="B38507" i="1"/>
  <c r="B38506" i="1"/>
  <c r="B38505" i="1"/>
  <c r="B38504" i="1"/>
  <c r="B38503" i="1"/>
  <c r="B38502" i="1"/>
  <c r="B38501" i="1"/>
  <c r="B38500" i="1"/>
  <c r="B38499" i="1"/>
  <c r="B38498" i="1"/>
  <c r="B38497" i="1"/>
  <c r="B38496" i="1"/>
  <c r="B38495" i="1"/>
  <c r="B38494" i="1"/>
  <c r="B38493" i="1"/>
  <c r="B38492" i="1"/>
  <c r="B38491" i="1"/>
  <c r="B38490" i="1"/>
  <c r="B38489" i="1"/>
  <c r="B38488" i="1"/>
  <c r="B38487" i="1"/>
  <c r="B38486" i="1"/>
  <c r="B38485" i="1"/>
  <c r="B38484" i="1"/>
  <c r="B38483" i="1"/>
  <c r="B38482" i="1"/>
  <c r="B38481" i="1"/>
  <c r="B38480" i="1"/>
  <c r="B38479" i="1"/>
  <c r="B38478" i="1"/>
  <c r="B38477" i="1"/>
  <c r="B38476" i="1"/>
  <c r="B38475" i="1"/>
  <c r="B38474" i="1"/>
  <c r="B38473" i="1"/>
  <c r="B38472" i="1"/>
  <c r="B38471" i="1"/>
  <c r="B38470" i="1"/>
  <c r="B38469" i="1"/>
  <c r="B38468" i="1"/>
  <c r="B38467" i="1"/>
  <c r="B38466" i="1"/>
  <c r="B38465" i="1"/>
  <c r="B38464" i="1"/>
  <c r="B38463" i="1"/>
  <c r="B38462" i="1"/>
  <c r="B38461" i="1"/>
  <c r="B38460" i="1"/>
  <c r="B38459" i="1"/>
  <c r="B38458" i="1"/>
  <c r="B38457" i="1"/>
  <c r="B38456" i="1"/>
  <c r="B38455" i="1"/>
  <c r="B38454" i="1"/>
  <c r="B38453" i="1"/>
  <c r="B38452" i="1"/>
  <c r="B38451" i="1"/>
  <c r="B38450" i="1"/>
  <c r="B38449" i="1"/>
  <c r="B38448" i="1"/>
  <c r="B38447" i="1"/>
  <c r="B38446" i="1"/>
  <c r="B38445" i="1"/>
  <c r="B38444" i="1"/>
  <c r="B38443" i="1"/>
  <c r="B38442" i="1"/>
  <c r="B38441" i="1"/>
  <c r="B38440" i="1"/>
  <c r="B38439" i="1"/>
  <c r="B38438" i="1"/>
  <c r="B38437" i="1"/>
  <c r="B38436" i="1"/>
  <c r="B38435" i="1"/>
  <c r="B38434" i="1"/>
  <c r="B38433" i="1"/>
  <c r="B38432" i="1"/>
  <c r="B38431" i="1"/>
  <c r="B38430" i="1"/>
  <c r="B38429" i="1"/>
  <c r="B38428" i="1"/>
  <c r="B38427" i="1"/>
  <c r="B38426" i="1"/>
  <c r="B38425" i="1"/>
  <c r="B38424" i="1"/>
  <c r="B38423" i="1"/>
  <c r="B38422" i="1"/>
  <c r="B38421" i="1"/>
  <c r="B38420" i="1"/>
  <c r="B38419" i="1"/>
  <c r="B38418" i="1"/>
  <c r="B38417" i="1"/>
  <c r="B38416" i="1"/>
  <c r="B38415" i="1"/>
  <c r="B38414" i="1"/>
  <c r="B38413" i="1"/>
  <c r="B38412" i="1"/>
  <c r="B38411" i="1"/>
  <c r="B38410" i="1"/>
  <c r="B38409" i="1"/>
  <c r="B38408" i="1"/>
  <c r="B38407" i="1"/>
  <c r="B38406" i="1"/>
  <c r="B38405" i="1"/>
  <c r="B38404" i="1"/>
  <c r="B38403" i="1"/>
  <c r="B38402" i="1"/>
  <c r="B38401" i="1"/>
  <c r="B38400" i="1"/>
  <c r="B38399" i="1"/>
  <c r="B38398" i="1"/>
  <c r="B38397" i="1"/>
  <c r="B38396" i="1"/>
  <c r="B38395" i="1"/>
  <c r="B38394" i="1"/>
  <c r="B38393" i="1"/>
  <c r="B38392" i="1"/>
  <c r="B38391" i="1"/>
  <c r="B38390" i="1"/>
  <c r="B38389" i="1"/>
  <c r="B38388" i="1"/>
  <c r="B38387" i="1"/>
  <c r="B38386" i="1"/>
  <c r="B38385" i="1"/>
  <c r="B38384" i="1"/>
  <c r="B38383" i="1"/>
  <c r="B38382" i="1"/>
  <c r="B38381" i="1"/>
  <c r="B38380" i="1"/>
  <c r="B38379" i="1"/>
  <c r="B38378" i="1"/>
  <c r="B38377" i="1"/>
  <c r="B38376" i="1"/>
  <c r="B38375" i="1"/>
  <c r="B38374" i="1"/>
  <c r="B38373" i="1"/>
  <c r="B38372" i="1"/>
  <c r="B38371" i="1"/>
  <c r="B38370" i="1"/>
  <c r="B38369" i="1"/>
  <c r="B38368" i="1"/>
  <c r="B38367" i="1"/>
  <c r="B38366" i="1"/>
  <c r="B38365" i="1"/>
  <c r="B38364" i="1"/>
  <c r="B38363" i="1"/>
  <c r="B38362" i="1"/>
  <c r="B38361" i="1"/>
  <c r="B38360" i="1"/>
  <c r="B38359" i="1"/>
  <c r="B38358" i="1"/>
  <c r="B38357" i="1"/>
  <c r="B38356" i="1"/>
  <c r="B38355" i="1"/>
  <c r="B38354" i="1"/>
  <c r="B38353" i="1"/>
  <c r="B38352" i="1"/>
  <c r="B38351" i="1"/>
  <c r="B38350" i="1"/>
  <c r="B38349" i="1"/>
  <c r="B38348" i="1"/>
  <c r="B38347" i="1"/>
  <c r="B38346" i="1"/>
  <c r="B38345" i="1"/>
  <c r="B38344" i="1"/>
  <c r="B38343" i="1"/>
  <c r="B38342" i="1"/>
  <c r="B38341" i="1"/>
  <c r="B38340" i="1"/>
  <c r="B38339" i="1"/>
  <c r="B38338" i="1"/>
  <c r="B38337" i="1"/>
  <c r="B38336" i="1"/>
  <c r="B38335" i="1"/>
  <c r="B38334" i="1"/>
  <c r="B38333" i="1"/>
  <c r="B38332" i="1"/>
  <c r="B38331" i="1"/>
  <c r="B38330" i="1"/>
  <c r="B38329" i="1"/>
  <c r="B38328" i="1"/>
  <c r="B38327" i="1"/>
  <c r="B38326" i="1"/>
  <c r="B38325" i="1"/>
  <c r="B38324" i="1"/>
  <c r="B38323" i="1"/>
  <c r="B38322" i="1"/>
  <c r="B38321" i="1"/>
  <c r="B38320" i="1"/>
  <c r="B38319" i="1"/>
  <c r="B38318" i="1"/>
  <c r="B38317" i="1"/>
  <c r="B38316" i="1"/>
  <c r="B38315" i="1"/>
  <c r="B38314" i="1"/>
  <c r="B38313" i="1"/>
  <c r="B38312" i="1"/>
  <c r="B38311" i="1"/>
  <c r="B38310" i="1"/>
  <c r="B38309" i="1"/>
  <c r="B38308" i="1"/>
  <c r="B38307" i="1"/>
  <c r="B38306" i="1"/>
  <c r="B38305" i="1"/>
  <c r="B38304" i="1"/>
  <c r="B38303" i="1"/>
  <c r="B38302" i="1"/>
  <c r="B38301" i="1"/>
  <c r="B38300" i="1"/>
  <c r="B38299" i="1"/>
  <c r="B38298" i="1"/>
  <c r="B38297" i="1"/>
  <c r="B38296" i="1"/>
  <c r="B38295" i="1"/>
  <c r="B38294" i="1"/>
  <c r="B38293" i="1"/>
  <c r="B38292" i="1"/>
  <c r="B38291" i="1"/>
  <c r="B38290" i="1"/>
  <c r="B38289" i="1"/>
  <c r="B38288" i="1"/>
  <c r="B38287" i="1"/>
  <c r="B38286" i="1"/>
  <c r="B38285" i="1"/>
  <c r="B38284" i="1"/>
  <c r="B38283" i="1"/>
  <c r="B38282" i="1"/>
  <c r="B38281" i="1"/>
  <c r="B38280" i="1"/>
  <c r="B38279" i="1"/>
  <c r="B38278" i="1"/>
  <c r="B38277" i="1"/>
  <c r="B38276" i="1"/>
  <c r="B38275" i="1"/>
  <c r="B38274" i="1"/>
  <c r="B38273" i="1"/>
  <c r="B38272" i="1"/>
  <c r="B38271" i="1"/>
  <c r="B38270" i="1"/>
  <c r="B38269" i="1"/>
  <c r="B38268" i="1"/>
  <c r="B38267" i="1"/>
  <c r="B38266" i="1"/>
  <c r="B38265" i="1"/>
  <c r="B38264" i="1"/>
  <c r="B38263" i="1"/>
  <c r="B38262" i="1"/>
  <c r="B38261" i="1"/>
  <c r="B38260" i="1"/>
  <c r="B38259" i="1"/>
  <c r="B38258" i="1"/>
  <c r="B38257" i="1"/>
  <c r="B38256" i="1"/>
  <c r="B38255" i="1"/>
  <c r="B38254" i="1"/>
  <c r="B38253" i="1"/>
  <c r="B38252" i="1"/>
  <c r="B38251" i="1"/>
  <c r="B38250" i="1"/>
  <c r="B38249" i="1"/>
  <c r="B38248" i="1"/>
  <c r="B38247" i="1"/>
  <c r="B38246" i="1"/>
  <c r="B38245" i="1"/>
  <c r="B38244" i="1"/>
  <c r="B38243" i="1"/>
  <c r="B38242" i="1"/>
  <c r="B38241" i="1"/>
  <c r="B38240" i="1"/>
  <c r="B38239" i="1"/>
  <c r="B38238" i="1"/>
  <c r="B38237" i="1"/>
  <c r="B38236" i="1"/>
  <c r="B38235" i="1"/>
  <c r="B38234" i="1"/>
  <c r="B38233" i="1"/>
  <c r="B38232" i="1"/>
  <c r="B38231" i="1"/>
  <c r="B38230" i="1"/>
  <c r="B38229" i="1"/>
  <c r="B38228" i="1"/>
  <c r="B38227" i="1"/>
  <c r="B38226" i="1"/>
  <c r="B38225" i="1"/>
  <c r="B38224" i="1"/>
  <c r="B38223" i="1"/>
  <c r="B38222" i="1"/>
  <c r="B38221" i="1"/>
  <c r="B38220" i="1"/>
  <c r="B38219" i="1"/>
  <c r="B38218" i="1"/>
  <c r="B38217" i="1"/>
  <c r="B38216" i="1"/>
  <c r="B38215" i="1"/>
  <c r="B38214" i="1"/>
  <c r="B38213" i="1"/>
  <c r="B38212" i="1"/>
  <c r="B38211" i="1"/>
  <c r="B38210" i="1"/>
  <c r="B38209" i="1"/>
  <c r="B38208" i="1"/>
  <c r="B38207" i="1"/>
  <c r="B38206" i="1"/>
  <c r="B38205" i="1"/>
  <c r="B38204" i="1"/>
  <c r="B38203" i="1"/>
  <c r="B38202" i="1"/>
  <c r="B38201" i="1"/>
  <c r="B38200" i="1"/>
  <c r="B38199" i="1"/>
  <c r="B38198" i="1"/>
  <c r="B38197" i="1"/>
  <c r="B38196" i="1"/>
  <c r="B38195" i="1"/>
  <c r="B38194" i="1"/>
  <c r="B38193" i="1"/>
  <c r="B38192" i="1"/>
  <c r="B38191" i="1"/>
  <c r="B38190" i="1"/>
  <c r="B38189" i="1"/>
  <c r="B38188" i="1"/>
  <c r="B38187" i="1"/>
  <c r="B38186" i="1"/>
  <c r="B38185" i="1"/>
  <c r="B38184" i="1"/>
  <c r="B38183" i="1"/>
  <c r="B38182" i="1"/>
  <c r="B38181" i="1"/>
  <c r="B38180" i="1"/>
  <c r="B38179" i="1"/>
  <c r="B38178" i="1"/>
  <c r="B38177" i="1"/>
  <c r="B38176" i="1"/>
  <c r="B38175" i="1"/>
  <c r="B38174" i="1"/>
  <c r="B38173" i="1"/>
  <c r="B38172" i="1"/>
  <c r="B38171" i="1"/>
  <c r="B38170" i="1"/>
  <c r="B38169" i="1"/>
  <c r="B38168" i="1"/>
  <c r="B38167" i="1"/>
  <c r="B38166" i="1"/>
  <c r="B38165" i="1"/>
  <c r="B38164" i="1"/>
  <c r="B38163" i="1"/>
  <c r="B38162" i="1"/>
  <c r="B38161" i="1"/>
  <c r="B38160" i="1"/>
  <c r="B38159" i="1"/>
  <c r="B38158" i="1"/>
  <c r="B38157" i="1"/>
  <c r="B38156" i="1"/>
  <c r="B38155" i="1"/>
  <c r="B38154" i="1"/>
  <c r="B38153" i="1"/>
  <c r="B38152" i="1"/>
  <c r="B38151" i="1"/>
  <c r="B38150" i="1"/>
  <c r="B38149" i="1"/>
  <c r="B38148" i="1"/>
  <c r="B38147" i="1"/>
  <c r="B38146" i="1"/>
  <c r="B38145" i="1"/>
  <c r="B38144" i="1"/>
  <c r="B38143" i="1"/>
  <c r="B38142" i="1"/>
  <c r="B38141" i="1"/>
  <c r="B38140" i="1"/>
  <c r="B38139" i="1"/>
  <c r="B38138" i="1"/>
  <c r="B38137" i="1"/>
  <c r="B38136" i="1"/>
  <c r="B38135" i="1"/>
  <c r="B38134" i="1"/>
  <c r="B38133" i="1"/>
  <c r="B38132" i="1"/>
  <c r="B38131" i="1"/>
  <c r="B38130" i="1"/>
  <c r="B38129" i="1"/>
  <c r="B38128" i="1"/>
  <c r="B38127" i="1"/>
  <c r="B38126" i="1"/>
  <c r="B38125" i="1"/>
  <c r="B38124" i="1"/>
  <c r="B38123" i="1"/>
  <c r="B38122" i="1"/>
  <c r="B38121" i="1"/>
  <c r="B38120" i="1"/>
  <c r="B38119" i="1"/>
  <c r="B38118" i="1"/>
  <c r="B38117" i="1"/>
  <c r="B38116" i="1"/>
  <c r="B38115" i="1"/>
  <c r="B38114" i="1"/>
  <c r="B38113" i="1"/>
  <c r="B38112" i="1"/>
  <c r="B38111" i="1"/>
  <c r="B38110" i="1"/>
  <c r="B38109" i="1"/>
  <c r="B38108" i="1"/>
  <c r="B38107" i="1"/>
  <c r="B38106" i="1"/>
  <c r="B38105" i="1"/>
  <c r="B38104" i="1"/>
  <c r="B38103" i="1"/>
  <c r="B38102" i="1"/>
  <c r="B38101" i="1"/>
  <c r="B38100" i="1"/>
  <c r="B38099" i="1"/>
  <c r="B38098" i="1"/>
  <c r="B38097" i="1"/>
  <c r="B38096" i="1"/>
  <c r="B38095" i="1"/>
  <c r="B38094" i="1"/>
  <c r="B38093" i="1"/>
  <c r="B38092" i="1"/>
  <c r="B38091" i="1"/>
  <c r="B38090" i="1"/>
  <c r="B38089" i="1"/>
  <c r="B38088" i="1"/>
  <c r="B38087" i="1"/>
  <c r="B38086" i="1"/>
  <c r="B38085" i="1"/>
  <c r="B38084" i="1"/>
  <c r="B38083" i="1"/>
  <c r="B38082" i="1"/>
  <c r="B38081" i="1"/>
  <c r="B38080" i="1"/>
  <c r="B38079" i="1"/>
  <c r="B38078" i="1"/>
  <c r="B38077" i="1"/>
  <c r="B38076" i="1"/>
  <c r="B38075" i="1"/>
  <c r="B38074" i="1"/>
  <c r="B38073" i="1"/>
  <c r="B38072" i="1"/>
  <c r="B38071" i="1"/>
  <c r="B38070" i="1"/>
  <c r="B38069" i="1"/>
  <c r="B38068" i="1"/>
  <c r="B38067" i="1"/>
  <c r="B38066" i="1"/>
  <c r="B38065" i="1"/>
  <c r="B38064" i="1"/>
  <c r="B38063" i="1"/>
  <c r="B38062" i="1"/>
  <c r="B38061" i="1"/>
  <c r="B38060" i="1"/>
  <c r="B38059" i="1"/>
  <c r="B38058" i="1"/>
  <c r="B38057" i="1"/>
  <c r="B38056" i="1"/>
  <c r="B38055" i="1"/>
  <c r="B38054" i="1"/>
  <c r="B38053" i="1"/>
  <c r="B38052" i="1"/>
  <c r="B38051" i="1"/>
  <c r="B38050" i="1"/>
  <c r="B38049" i="1"/>
  <c r="B38048" i="1"/>
  <c r="B38047" i="1"/>
  <c r="B38046" i="1"/>
  <c r="B38045" i="1"/>
  <c r="B38044" i="1"/>
  <c r="B38043" i="1"/>
  <c r="B38042" i="1"/>
  <c r="B38041" i="1"/>
  <c r="B38040" i="1"/>
  <c r="B38039" i="1"/>
  <c r="B38038" i="1"/>
  <c r="B38037" i="1"/>
  <c r="B38036" i="1"/>
  <c r="B38035" i="1"/>
  <c r="B38034" i="1"/>
  <c r="B38033" i="1"/>
  <c r="B38032" i="1"/>
  <c r="B38031" i="1"/>
  <c r="B38030" i="1"/>
  <c r="B38029" i="1"/>
  <c r="B38028" i="1"/>
  <c r="B38027" i="1"/>
  <c r="B38026" i="1"/>
  <c r="B38025" i="1"/>
  <c r="B38024" i="1"/>
  <c r="B38023" i="1"/>
  <c r="B38022" i="1"/>
  <c r="B38021" i="1"/>
  <c r="B38020" i="1"/>
  <c r="B38019" i="1"/>
  <c r="B38018" i="1"/>
  <c r="B38017" i="1"/>
  <c r="B38016" i="1"/>
  <c r="B38015" i="1"/>
  <c r="B38014" i="1"/>
  <c r="B38013" i="1"/>
  <c r="B38012" i="1"/>
  <c r="B38011" i="1"/>
  <c r="B38010" i="1"/>
  <c r="B38009" i="1"/>
  <c r="B38008" i="1"/>
  <c r="B38007" i="1"/>
  <c r="B38006" i="1"/>
  <c r="B38005" i="1"/>
  <c r="B38004" i="1"/>
  <c r="B38003" i="1"/>
  <c r="B38002" i="1"/>
  <c r="B38001" i="1"/>
  <c r="B38000" i="1"/>
  <c r="B37999" i="1"/>
  <c r="B37998" i="1"/>
  <c r="B37997" i="1"/>
  <c r="B37996" i="1"/>
  <c r="B37995" i="1"/>
  <c r="B37994" i="1"/>
  <c r="B37993" i="1"/>
  <c r="B37992" i="1"/>
  <c r="B37991" i="1"/>
  <c r="B37990" i="1"/>
  <c r="B37989" i="1"/>
  <c r="B37988" i="1"/>
  <c r="B37987" i="1"/>
  <c r="B37986" i="1"/>
  <c r="B37985" i="1"/>
  <c r="B37984" i="1"/>
  <c r="B37983" i="1"/>
  <c r="B37982" i="1"/>
  <c r="B37981" i="1"/>
  <c r="B37980" i="1"/>
  <c r="B37979" i="1"/>
  <c r="B37978" i="1"/>
  <c r="B37977" i="1"/>
  <c r="B37976" i="1"/>
  <c r="B37975" i="1"/>
  <c r="B37974" i="1"/>
  <c r="B37973" i="1"/>
  <c r="B37972" i="1"/>
  <c r="B37971" i="1"/>
  <c r="B37970" i="1"/>
  <c r="B37969" i="1"/>
  <c r="B37968" i="1"/>
  <c r="B37967" i="1"/>
  <c r="B37966" i="1"/>
  <c r="B37965" i="1"/>
  <c r="B37964" i="1"/>
  <c r="B37963" i="1"/>
  <c r="B37962" i="1"/>
  <c r="B37961" i="1"/>
  <c r="B37960" i="1"/>
  <c r="B37959" i="1"/>
  <c r="B37958" i="1"/>
  <c r="B37957" i="1"/>
  <c r="B37956" i="1"/>
  <c r="B37955" i="1"/>
  <c r="B37954" i="1"/>
  <c r="B37953" i="1"/>
  <c r="B37952" i="1"/>
  <c r="B37951" i="1"/>
  <c r="B37950" i="1"/>
  <c r="B37949" i="1"/>
  <c r="B37948" i="1"/>
  <c r="B37947" i="1"/>
  <c r="B37946" i="1"/>
  <c r="B37945" i="1"/>
  <c r="B37944" i="1"/>
  <c r="B37943" i="1"/>
  <c r="B37942" i="1"/>
  <c r="B37941" i="1"/>
  <c r="B37940" i="1"/>
  <c r="B37939" i="1"/>
  <c r="B37938" i="1"/>
  <c r="B37937" i="1"/>
  <c r="B37936" i="1"/>
  <c r="B37935" i="1"/>
  <c r="B37934" i="1"/>
  <c r="B37933" i="1"/>
  <c r="B37932" i="1"/>
  <c r="B37931" i="1"/>
  <c r="B37930" i="1"/>
  <c r="B37929" i="1"/>
  <c r="B37928" i="1"/>
  <c r="B37927" i="1"/>
  <c r="B37926" i="1"/>
  <c r="B37925" i="1"/>
  <c r="B37924" i="1"/>
  <c r="B37923" i="1"/>
  <c r="B37922" i="1"/>
  <c r="B37921" i="1"/>
  <c r="B37920" i="1"/>
  <c r="B37919" i="1"/>
  <c r="B37918" i="1"/>
  <c r="B37917" i="1"/>
  <c r="B37916" i="1"/>
  <c r="B37915" i="1"/>
  <c r="B37914" i="1"/>
  <c r="B37913" i="1"/>
  <c r="B37912" i="1"/>
  <c r="B37911" i="1"/>
  <c r="B37910" i="1"/>
  <c r="B37909" i="1"/>
  <c r="B37908" i="1"/>
  <c r="B37907" i="1"/>
  <c r="B37906" i="1"/>
  <c r="B37905" i="1"/>
  <c r="B37904" i="1"/>
  <c r="B37903" i="1"/>
  <c r="B37902" i="1"/>
  <c r="B37901" i="1"/>
  <c r="B37900" i="1"/>
  <c r="B37899" i="1"/>
  <c r="B37898" i="1"/>
  <c r="B37897" i="1"/>
  <c r="B37896" i="1"/>
  <c r="B37895" i="1"/>
  <c r="B37894" i="1"/>
  <c r="B37893" i="1"/>
  <c r="B37892" i="1"/>
  <c r="B37891" i="1"/>
  <c r="B37890" i="1"/>
  <c r="B37889" i="1"/>
  <c r="B37888" i="1"/>
  <c r="B37887" i="1"/>
  <c r="B37886" i="1"/>
  <c r="B37885" i="1"/>
  <c r="B37884" i="1"/>
  <c r="B37883" i="1"/>
  <c r="B37882" i="1"/>
  <c r="B37881" i="1"/>
  <c r="B37880" i="1"/>
  <c r="B37879" i="1"/>
  <c r="B37878" i="1"/>
  <c r="B37877" i="1"/>
  <c r="B37876" i="1"/>
  <c r="B37875" i="1"/>
  <c r="B37874" i="1"/>
  <c r="B37873" i="1"/>
  <c r="B37872" i="1"/>
  <c r="B37871" i="1"/>
  <c r="B37870" i="1"/>
  <c r="B37869" i="1"/>
  <c r="B37868" i="1"/>
  <c r="B37867" i="1"/>
  <c r="B37866" i="1"/>
  <c r="B37865" i="1"/>
  <c r="B37864" i="1"/>
  <c r="B37863" i="1"/>
  <c r="B37862" i="1"/>
  <c r="B37861" i="1"/>
  <c r="B37860" i="1"/>
  <c r="B37859" i="1"/>
  <c r="B37858" i="1"/>
  <c r="B37857" i="1"/>
  <c r="B37856" i="1"/>
  <c r="B37855" i="1"/>
  <c r="B37854" i="1"/>
  <c r="B37853" i="1"/>
  <c r="B37852" i="1"/>
  <c r="B37851" i="1"/>
  <c r="B37850" i="1"/>
  <c r="B37849" i="1"/>
  <c r="B37848" i="1"/>
  <c r="B37847" i="1"/>
  <c r="B37846" i="1"/>
  <c r="B37845" i="1"/>
  <c r="B37844" i="1"/>
  <c r="B37843" i="1"/>
  <c r="B37842" i="1"/>
  <c r="B37841" i="1"/>
  <c r="B37840" i="1"/>
  <c r="B37839" i="1"/>
  <c r="B37838" i="1"/>
  <c r="B37837" i="1"/>
  <c r="B37836" i="1"/>
  <c r="B37835" i="1"/>
  <c r="B37834" i="1"/>
  <c r="B37833" i="1"/>
  <c r="B37832" i="1"/>
  <c r="B37831" i="1"/>
  <c r="B37830" i="1"/>
  <c r="B37829" i="1"/>
  <c r="B37828" i="1"/>
  <c r="B37827" i="1"/>
  <c r="B37826" i="1"/>
  <c r="B37825" i="1"/>
  <c r="B37824" i="1"/>
  <c r="B37823" i="1"/>
  <c r="B37822" i="1"/>
  <c r="B37821" i="1"/>
  <c r="B37820" i="1"/>
  <c r="B37819" i="1"/>
  <c r="B37818" i="1"/>
  <c r="B37817" i="1"/>
  <c r="B37816" i="1"/>
  <c r="B37815" i="1"/>
  <c r="B37814" i="1"/>
  <c r="B37813" i="1"/>
  <c r="B37812" i="1"/>
  <c r="B37811" i="1"/>
  <c r="B37810" i="1"/>
  <c r="B37809" i="1"/>
  <c r="B37808" i="1"/>
  <c r="B37807" i="1"/>
  <c r="B37806" i="1"/>
  <c r="B37805" i="1"/>
  <c r="B37804" i="1"/>
  <c r="B37803" i="1"/>
  <c r="B37802" i="1"/>
  <c r="B37801" i="1"/>
  <c r="B37800" i="1"/>
  <c r="B37799" i="1"/>
  <c r="B37798" i="1"/>
  <c r="B37797" i="1"/>
  <c r="B37796" i="1"/>
  <c r="B37795" i="1"/>
  <c r="B37794" i="1"/>
  <c r="B37793" i="1"/>
  <c r="B37792" i="1"/>
  <c r="B37791" i="1"/>
  <c r="B37790" i="1"/>
  <c r="B37789" i="1"/>
  <c r="B37788" i="1"/>
  <c r="B37787" i="1"/>
  <c r="B37786" i="1"/>
  <c r="B37785" i="1"/>
  <c r="B37784" i="1"/>
  <c r="B37783" i="1"/>
  <c r="B37782" i="1"/>
  <c r="B37781" i="1"/>
  <c r="B37780" i="1"/>
  <c r="B37779" i="1"/>
  <c r="B37778" i="1"/>
  <c r="B37777" i="1"/>
  <c r="B37776" i="1"/>
  <c r="B37775" i="1"/>
  <c r="B37774" i="1"/>
  <c r="B37773" i="1"/>
  <c r="B37772" i="1"/>
  <c r="B37771" i="1"/>
  <c r="B37770" i="1"/>
  <c r="B37769" i="1"/>
  <c r="B37768" i="1"/>
  <c r="B37767" i="1"/>
  <c r="B37766" i="1"/>
  <c r="B37765" i="1"/>
  <c r="B37764" i="1"/>
  <c r="B37763" i="1"/>
  <c r="B37762" i="1"/>
  <c r="B37761" i="1"/>
  <c r="B37760" i="1"/>
  <c r="B37759" i="1"/>
  <c r="B37758" i="1"/>
  <c r="B37757" i="1"/>
  <c r="B37756" i="1"/>
  <c r="B37755" i="1"/>
  <c r="B37754" i="1"/>
  <c r="B37753" i="1"/>
  <c r="B37752" i="1"/>
  <c r="B37751" i="1"/>
  <c r="B37750" i="1"/>
  <c r="B37749" i="1"/>
  <c r="B37748" i="1"/>
  <c r="B37747" i="1"/>
  <c r="B37746" i="1"/>
  <c r="B37745" i="1"/>
  <c r="B37744" i="1"/>
  <c r="B37743" i="1"/>
  <c r="B37742" i="1"/>
  <c r="B37741" i="1"/>
  <c r="B37740" i="1"/>
  <c r="B37739" i="1"/>
  <c r="B37738" i="1"/>
  <c r="B37737" i="1"/>
  <c r="B37736" i="1"/>
  <c r="B37735" i="1"/>
  <c r="B37734" i="1"/>
  <c r="B37733" i="1"/>
  <c r="B37732" i="1"/>
  <c r="B37731" i="1"/>
  <c r="B37730" i="1"/>
  <c r="B37729" i="1"/>
  <c r="B37728" i="1"/>
  <c r="B37727" i="1"/>
  <c r="B37726" i="1"/>
  <c r="B37725" i="1"/>
  <c r="B37724" i="1"/>
  <c r="B37723" i="1"/>
  <c r="B37722" i="1"/>
  <c r="B37721" i="1"/>
  <c r="B37720" i="1"/>
  <c r="B37719" i="1"/>
  <c r="B37718" i="1"/>
  <c r="B37717" i="1"/>
  <c r="B37716" i="1"/>
  <c r="B37715" i="1"/>
  <c r="B37714" i="1"/>
  <c r="B37713" i="1"/>
  <c r="B37712" i="1"/>
  <c r="B37711" i="1"/>
  <c r="B37710" i="1"/>
  <c r="B37709" i="1"/>
  <c r="B37708" i="1"/>
  <c r="B37707" i="1"/>
  <c r="B37706" i="1"/>
  <c r="B37705" i="1"/>
  <c r="B37704" i="1"/>
  <c r="B37703" i="1"/>
  <c r="B37702" i="1"/>
  <c r="B37701" i="1"/>
  <c r="B37700" i="1"/>
  <c r="B37699" i="1"/>
  <c r="B37698" i="1"/>
  <c r="B37697" i="1"/>
  <c r="B37696" i="1"/>
  <c r="B37695" i="1"/>
  <c r="B37694" i="1"/>
  <c r="B37693" i="1"/>
  <c r="B37692" i="1"/>
  <c r="B37691" i="1"/>
  <c r="B37690" i="1"/>
  <c r="B37689" i="1"/>
  <c r="B37688" i="1"/>
  <c r="B37687" i="1"/>
  <c r="B37686" i="1"/>
  <c r="B37685" i="1"/>
  <c r="B37684" i="1"/>
  <c r="B37683" i="1"/>
  <c r="B37682" i="1"/>
  <c r="B37681" i="1"/>
  <c r="B37680" i="1"/>
  <c r="B37679" i="1"/>
  <c r="B37678" i="1"/>
  <c r="B37677" i="1"/>
  <c r="B37676" i="1"/>
  <c r="B37675" i="1"/>
  <c r="B37674" i="1"/>
  <c r="B37673" i="1"/>
  <c r="B37672" i="1"/>
  <c r="B37671" i="1"/>
  <c r="B37670" i="1"/>
  <c r="B37669" i="1"/>
  <c r="B37668" i="1"/>
  <c r="B37667" i="1"/>
  <c r="B37666" i="1"/>
  <c r="B37665" i="1"/>
  <c r="B37664" i="1"/>
  <c r="B37663" i="1"/>
  <c r="B37662" i="1"/>
  <c r="B37661" i="1"/>
  <c r="B37660" i="1"/>
  <c r="B37659" i="1"/>
  <c r="B37658" i="1"/>
  <c r="B37657" i="1"/>
  <c r="B37656" i="1"/>
  <c r="B37655" i="1"/>
  <c r="B37654" i="1"/>
  <c r="B37653" i="1"/>
  <c r="B37652" i="1"/>
  <c r="B37651" i="1"/>
  <c r="B37650" i="1"/>
  <c r="B37649" i="1"/>
  <c r="B37648" i="1"/>
  <c r="B37647" i="1"/>
  <c r="B37646" i="1"/>
  <c r="B37645" i="1"/>
  <c r="B37644" i="1"/>
  <c r="B37643" i="1"/>
  <c r="B37642" i="1"/>
  <c r="B37641" i="1"/>
  <c r="B37640" i="1"/>
  <c r="B37639" i="1"/>
  <c r="B37638" i="1"/>
  <c r="B37637" i="1"/>
  <c r="B37636" i="1"/>
  <c r="B37635" i="1"/>
  <c r="B37634" i="1"/>
  <c r="B37633" i="1"/>
  <c r="B37632" i="1"/>
  <c r="B37631" i="1"/>
  <c r="B37630" i="1"/>
  <c r="B37629" i="1"/>
  <c r="B37628" i="1"/>
  <c r="B37627" i="1"/>
  <c r="B37626" i="1"/>
  <c r="B37625" i="1"/>
  <c r="B37624" i="1"/>
  <c r="B37623" i="1"/>
  <c r="B37622" i="1"/>
  <c r="B37621" i="1"/>
  <c r="B37620" i="1"/>
  <c r="B37619" i="1"/>
  <c r="B37618" i="1"/>
  <c r="B37617" i="1"/>
  <c r="B37616" i="1"/>
  <c r="B37615" i="1"/>
  <c r="B37614" i="1"/>
  <c r="B37613" i="1"/>
  <c r="B37612" i="1"/>
  <c r="B37611" i="1"/>
  <c r="B37610" i="1"/>
  <c r="B37609" i="1"/>
  <c r="B37608" i="1"/>
  <c r="B37607" i="1"/>
  <c r="B37606" i="1"/>
  <c r="B37605" i="1"/>
  <c r="B37604" i="1"/>
  <c r="B37603" i="1"/>
  <c r="B37602" i="1"/>
  <c r="B37601" i="1"/>
  <c r="B37600" i="1"/>
  <c r="B37599" i="1"/>
  <c r="B37598" i="1"/>
  <c r="B37597" i="1"/>
  <c r="B37596" i="1"/>
  <c r="B37595" i="1"/>
  <c r="B37594" i="1"/>
  <c r="B37593" i="1"/>
  <c r="B37592" i="1"/>
  <c r="B37591" i="1"/>
  <c r="B37590" i="1"/>
  <c r="B37589" i="1"/>
  <c r="B37588" i="1"/>
  <c r="B37587" i="1"/>
  <c r="B37586" i="1"/>
  <c r="B37585" i="1"/>
  <c r="B37584" i="1"/>
  <c r="B37583" i="1"/>
  <c r="B37582" i="1"/>
  <c r="B37581" i="1"/>
  <c r="B37580" i="1"/>
  <c r="B37579" i="1"/>
  <c r="B37578" i="1"/>
  <c r="B37577" i="1"/>
  <c r="B37576" i="1"/>
  <c r="B37575" i="1"/>
  <c r="B37574" i="1"/>
  <c r="B37573" i="1"/>
  <c r="B37572" i="1"/>
  <c r="B37571" i="1"/>
  <c r="B37570" i="1"/>
  <c r="B37569" i="1"/>
  <c r="B37568" i="1"/>
  <c r="B37567" i="1"/>
  <c r="B37566" i="1"/>
  <c r="B37565" i="1"/>
  <c r="B37564" i="1"/>
  <c r="B37563" i="1"/>
  <c r="B37562" i="1"/>
  <c r="B37561" i="1"/>
  <c r="B37560" i="1"/>
  <c r="B37559" i="1"/>
  <c r="B37558" i="1"/>
  <c r="B37557" i="1"/>
  <c r="B37556" i="1"/>
  <c r="B37555" i="1"/>
  <c r="B37554" i="1"/>
  <c r="B37553" i="1"/>
  <c r="B37552" i="1"/>
  <c r="B37551" i="1"/>
  <c r="B37550" i="1"/>
  <c r="B37549" i="1"/>
  <c r="B37548" i="1"/>
  <c r="B37547" i="1"/>
  <c r="B37546" i="1"/>
  <c r="B37545" i="1"/>
  <c r="B37544" i="1"/>
  <c r="B37543" i="1"/>
  <c r="B37542" i="1"/>
  <c r="B37541" i="1"/>
  <c r="B37540" i="1"/>
  <c r="B37539" i="1"/>
  <c r="B37538" i="1"/>
  <c r="B37537" i="1"/>
  <c r="B37536" i="1"/>
  <c r="B37535" i="1"/>
  <c r="B37534" i="1"/>
  <c r="B37533" i="1"/>
  <c r="B37532" i="1"/>
  <c r="B37531" i="1"/>
  <c r="B37530" i="1"/>
  <c r="B37529" i="1"/>
  <c r="B37528" i="1"/>
  <c r="B37527" i="1"/>
  <c r="B37526" i="1"/>
  <c r="B37525" i="1"/>
  <c r="B37524" i="1"/>
  <c r="B37523" i="1"/>
  <c r="B37522" i="1"/>
  <c r="B37521" i="1"/>
  <c r="B37520" i="1"/>
  <c r="B37519" i="1"/>
  <c r="B37518" i="1"/>
  <c r="B37517" i="1"/>
  <c r="B37516" i="1"/>
  <c r="B37515" i="1"/>
  <c r="B37514" i="1"/>
  <c r="B37513" i="1"/>
  <c r="B37512" i="1"/>
  <c r="B37511" i="1"/>
  <c r="B37510" i="1"/>
  <c r="B37509" i="1"/>
  <c r="B37508" i="1"/>
  <c r="B37507" i="1"/>
  <c r="B37506" i="1"/>
  <c r="B37505" i="1"/>
  <c r="B37504" i="1"/>
  <c r="B37503" i="1"/>
  <c r="B37502" i="1"/>
  <c r="B37501" i="1"/>
  <c r="B37500" i="1"/>
  <c r="B37499" i="1"/>
  <c r="B37498" i="1"/>
  <c r="B37497" i="1"/>
  <c r="B37496" i="1"/>
  <c r="B37495" i="1"/>
  <c r="B37494" i="1"/>
  <c r="B37493" i="1"/>
  <c r="B37492" i="1"/>
  <c r="B37491" i="1"/>
  <c r="B37490" i="1"/>
  <c r="B37489" i="1"/>
  <c r="B37488" i="1"/>
  <c r="B37487" i="1"/>
  <c r="B37486" i="1"/>
  <c r="B37485" i="1"/>
  <c r="B37484" i="1"/>
  <c r="B37483" i="1"/>
  <c r="B37482" i="1"/>
  <c r="B37481" i="1"/>
  <c r="B37480" i="1"/>
  <c r="B37479" i="1"/>
  <c r="B37478" i="1"/>
  <c r="B37477" i="1"/>
  <c r="B37476" i="1"/>
  <c r="B37475" i="1"/>
  <c r="B37474" i="1"/>
  <c r="B37473" i="1"/>
  <c r="B37472" i="1"/>
  <c r="B37471" i="1"/>
  <c r="B37470" i="1"/>
  <c r="B37469" i="1"/>
  <c r="B37468" i="1"/>
  <c r="B37467" i="1"/>
  <c r="B37466" i="1"/>
  <c r="B37465" i="1"/>
  <c r="B37464" i="1"/>
  <c r="B37463" i="1"/>
  <c r="B37462" i="1"/>
  <c r="B37461" i="1"/>
  <c r="B37460" i="1"/>
  <c r="B37459" i="1"/>
  <c r="B37458" i="1"/>
  <c r="B37457" i="1"/>
  <c r="B37456" i="1"/>
  <c r="B37455" i="1"/>
  <c r="B37454" i="1"/>
  <c r="B37453" i="1"/>
  <c r="B37452" i="1"/>
  <c r="B37451" i="1"/>
  <c r="B37450" i="1"/>
  <c r="B37449" i="1"/>
  <c r="B37448" i="1"/>
  <c r="B37447" i="1"/>
  <c r="B37446" i="1"/>
  <c r="B37445" i="1"/>
  <c r="B37444" i="1"/>
  <c r="B37443" i="1"/>
  <c r="B37442" i="1"/>
  <c r="B37441" i="1"/>
  <c r="B37440" i="1"/>
  <c r="B37439" i="1"/>
  <c r="B37438" i="1"/>
  <c r="B37437" i="1"/>
  <c r="B37436" i="1"/>
  <c r="B37435" i="1"/>
  <c r="B37434" i="1"/>
  <c r="B37433" i="1"/>
  <c r="B37432" i="1"/>
  <c r="B37431" i="1"/>
  <c r="B37430" i="1"/>
  <c r="B37429" i="1"/>
  <c r="B37428" i="1"/>
  <c r="B37427" i="1"/>
  <c r="B37426" i="1"/>
  <c r="B37425" i="1"/>
  <c r="B37424" i="1"/>
  <c r="B37423" i="1"/>
  <c r="B37422" i="1"/>
  <c r="B37421" i="1"/>
  <c r="B37420" i="1"/>
  <c r="B37419" i="1"/>
  <c r="B37418" i="1"/>
  <c r="B37417" i="1"/>
  <c r="B37416" i="1"/>
  <c r="B37415" i="1"/>
  <c r="B37414" i="1"/>
  <c r="B37413" i="1"/>
  <c r="B37412" i="1"/>
  <c r="B37411" i="1"/>
  <c r="B37410" i="1"/>
  <c r="B37409" i="1"/>
  <c r="B37408" i="1"/>
  <c r="B37407" i="1"/>
  <c r="B37406" i="1"/>
  <c r="B37405" i="1"/>
  <c r="B37404" i="1"/>
  <c r="B37403" i="1"/>
  <c r="B37402" i="1"/>
  <c r="B37401" i="1"/>
  <c r="B37400" i="1"/>
  <c r="B37399" i="1"/>
  <c r="B37398" i="1"/>
  <c r="B37397" i="1"/>
  <c r="B37396" i="1"/>
  <c r="B37395" i="1"/>
  <c r="B37394" i="1"/>
  <c r="B37393" i="1"/>
  <c r="B37392" i="1"/>
  <c r="B37391" i="1"/>
  <c r="B37390" i="1"/>
  <c r="B37389" i="1"/>
  <c r="B37388" i="1"/>
  <c r="B37387" i="1"/>
  <c r="B37386" i="1"/>
  <c r="B37385" i="1"/>
  <c r="B37384" i="1"/>
  <c r="B37383" i="1"/>
  <c r="B37382" i="1"/>
  <c r="B37381" i="1"/>
  <c r="B37380" i="1"/>
  <c r="B37379" i="1"/>
  <c r="B37378" i="1"/>
  <c r="B37377" i="1"/>
  <c r="B37376" i="1"/>
  <c r="B37375" i="1"/>
  <c r="B37374" i="1"/>
  <c r="B37373" i="1"/>
  <c r="B37372" i="1"/>
  <c r="B37371" i="1"/>
  <c r="B37370" i="1"/>
  <c r="B37369" i="1"/>
  <c r="B37368" i="1"/>
  <c r="B37367" i="1"/>
  <c r="B37366" i="1"/>
  <c r="B37365" i="1"/>
  <c r="B37364" i="1"/>
  <c r="B37363" i="1"/>
  <c r="B37362" i="1"/>
  <c r="B37361" i="1"/>
  <c r="B37360" i="1"/>
  <c r="B37359" i="1"/>
  <c r="B37358" i="1"/>
  <c r="B37357" i="1"/>
  <c r="B37356" i="1"/>
  <c r="B37355" i="1"/>
  <c r="B37354" i="1"/>
  <c r="B37353" i="1"/>
  <c r="B37352" i="1"/>
  <c r="B37351" i="1"/>
  <c r="B37350" i="1"/>
  <c r="B37349" i="1"/>
  <c r="B37348" i="1"/>
  <c r="B37347" i="1"/>
  <c r="B37346" i="1"/>
  <c r="B37345" i="1"/>
  <c r="B37344" i="1"/>
  <c r="B37343" i="1"/>
  <c r="B37342" i="1"/>
  <c r="B37341" i="1"/>
  <c r="B37340" i="1"/>
  <c r="B37339" i="1"/>
  <c r="B37338" i="1"/>
  <c r="B37337" i="1"/>
  <c r="B37336" i="1"/>
  <c r="B37335" i="1"/>
  <c r="B37334" i="1"/>
  <c r="B37333" i="1"/>
  <c r="B37332" i="1"/>
  <c r="B37331" i="1"/>
  <c r="B37330" i="1"/>
  <c r="B37329" i="1"/>
  <c r="B37328" i="1"/>
  <c r="B37327" i="1"/>
  <c r="B37326" i="1"/>
  <c r="B37325" i="1"/>
  <c r="B37324" i="1"/>
  <c r="B37323" i="1"/>
  <c r="B37322" i="1"/>
  <c r="B37321" i="1"/>
  <c r="B37320" i="1"/>
  <c r="B37319" i="1"/>
  <c r="B37318" i="1"/>
  <c r="B37317" i="1"/>
  <c r="B37316" i="1"/>
  <c r="B37315" i="1"/>
  <c r="B37314" i="1"/>
  <c r="B37313" i="1"/>
  <c r="B37312" i="1"/>
  <c r="B37311" i="1"/>
  <c r="B37310" i="1"/>
  <c r="B37309" i="1"/>
  <c r="B37308" i="1"/>
  <c r="B37307" i="1"/>
  <c r="B37306" i="1"/>
  <c r="B37305" i="1"/>
  <c r="B37304" i="1"/>
  <c r="B37303" i="1"/>
  <c r="B37302" i="1"/>
  <c r="B37301" i="1"/>
  <c r="B37300" i="1"/>
  <c r="B37299" i="1"/>
  <c r="B37298" i="1"/>
  <c r="B37297" i="1"/>
  <c r="B37296" i="1"/>
  <c r="B37295" i="1"/>
  <c r="B37294" i="1"/>
  <c r="B37293" i="1"/>
  <c r="B37292" i="1"/>
  <c r="B37291" i="1"/>
  <c r="B37290" i="1"/>
  <c r="B37289" i="1"/>
  <c r="B37288" i="1"/>
  <c r="B37287" i="1"/>
  <c r="B37286" i="1"/>
  <c r="B37285" i="1"/>
  <c r="B37284" i="1"/>
  <c r="B37283" i="1"/>
  <c r="B37282" i="1"/>
  <c r="B37281" i="1"/>
  <c r="B37280" i="1"/>
  <c r="B37279" i="1"/>
  <c r="B37278" i="1"/>
  <c r="B37277" i="1"/>
  <c r="B37276" i="1"/>
  <c r="B37275" i="1"/>
  <c r="B37274" i="1"/>
  <c r="B37273" i="1"/>
  <c r="B37272" i="1"/>
  <c r="B37271" i="1"/>
  <c r="B37270" i="1"/>
  <c r="B37269" i="1"/>
  <c r="B37268" i="1"/>
  <c r="B37267" i="1"/>
  <c r="B37266" i="1"/>
  <c r="B37265" i="1"/>
  <c r="B37264" i="1"/>
  <c r="B37263" i="1"/>
  <c r="B37262" i="1"/>
  <c r="B37261" i="1"/>
  <c r="B37260" i="1"/>
  <c r="B37259" i="1"/>
  <c r="B37258" i="1"/>
  <c r="B37257" i="1"/>
  <c r="B37256" i="1"/>
  <c r="B37255" i="1"/>
  <c r="B37254" i="1"/>
  <c r="B37253" i="1"/>
  <c r="B37252" i="1"/>
  <c r="B37251" i="1"/>
  <c r="B37250" i="1"/>
  <c r="B37249" i="1"/>
  <c r="B37248" i="1"/>
  <c r="B37247" i="1"/>
  <c r="B37246" i="1"/>
  <c r="B37245" i="1"/>
  <c r="B37244" i="1"/>
  <c r="B37243" i="1"/>
  <c r="B37242" i="1"/>
  <c r="B37241" i="1"/>
  <c r="B37240" i="1"/>
  <c r="B37239" i="1"/>
  <c r="B37238" i="1"/>
  <c r="B37237" i="1"/>
  <c r="B37236" i="1"/>
  <c r="B37235" i="1"/>
  <c r="B37234" i="1"/>
  <c r="B37233" i="1"/>
  <c r="B37232" i="1"/>
  <c r="B37231" i="1"/>
  <c r="B37230" i="1"/>
  <c r="B37229" i="1"/>
  <c r="B37228" i="1"/>
  <c r="B37227" i="1"/>
  <c r="B37226" i="1"/>
  <c r="B37225" i="1"/>
  <c r="B37224" i="1"/>
  <c r="B37223" i="1"/>
  <c r="B37222" i="1"/>
  <c r="B37221" i="1"/>
  <c r="B37220" i="1"/>
  <c r="B37219" i="1"/>
  <c r="B37218" i="1"/>
  <c r="B37217" i="1"/>
  <c r="B37216" i="1"/>
  <c r="B37215" i="1"/>
  <c r="B37214" i="1"/>
  <c r="B37213" i="1"/>
  <c r="B37212" i="1"/>
  <c r="B37211" i="1"/>
  <c r="B37210" i="1"/>
  <c r="B37209" i="1"/>
  <c r="B37208" i="1"/>
  <c r="B37207" i="1"/>
  <c r="B37206" i="1"/>
  <c r="B37205" i="1"/>
  <c r="B37204" i="1"/>
  <c r="B37203" i="1"/>
  <c r="B37202" i="1"/>
  <c r="B37201" i="1"/>
  <c r="B37200" i="1"/>
  <c r="B37199" i="1"/>
  <c r="B37198" i="1"/>
  <c r="B37197" i="1"/>
  <c r="B37196" i="1"/>
  <c r="B37195" i="1"/>
  <c r="B37194" i="1"/>
  <c r="B37193" i="1"/>
  <c r="B37192" i="1"/>
  <c r="B37191" i="1"/>
  <c r="B37190" i="1"/>
  <c r="B37189" i="1"/>
  <c r="B37188" i="1"/>
  <c r="B37187" i="1"/>
  <c r="B37186" i="1"/>
  <c r="B37185" i="1"/>
  <c r="B37184" i="1"/>
  <c r="B37183" i="1"/>
  <c r="B37182" i="1"/>
  <c r="B37181" i="1"/>
  <c r="B37180" i="1"/>
  <c r="B37179" i="1"/>
  <c r="B37178" i="1"/>
  <c r="B37177" i="1"/>
  <c r="B37176" i="1"/>
  <c r="B37175" i="1"/>
  <c r="B37174" i="1"/>
  <c r="B37173" i="1"/>
  <c r="B37172" i="1"/>
  <c r="B37171" i="1"/>
  <c r="B37170" i="1"/>
  <c r="B37169" i="1"/>
  <c r="B37168" i="1"/>
  <c r="B37167" i="1"/>
  <c r="B37166" i="1"/>
  <c r="B37165" i="1"/>
  <c r="B37164" i="1"/>
  <c r="B37163" i="1"/>
  <c r="B37162" i="1"/>
  <c r="B37161" i="1"/>
  <c r="B37160" i="1"/>
  <c r="B37159" i="1"/>
  <c r="B37158" i="1"/>
  <c r="B37157" i="1"/>
  <c r="B37156" i="1"/>
  <c r="B37155" i="1"/>
  <c r="B37154" i="1"/>
  <c r="B37153" i="1"/>
  <c r="B37152" i="1"/>
  <c r="B37151" i="1"/>
  <c r="B37150" i="1"/>
  <c r="B37149" i="1"/>
  <c r="B37148" i="1"/>
  <c r="B37147" i="1"/>
  <c r="B37146" i="1"/>
  <c r="B37145" i="1"/>
  <c r="B37144" i="1"/>
  <c r="B37143" i="1"/>
  <c r="B37142" i="1"/>
  <c r="B37141" i="1"/>
  <c r="B37140" i="1"/>
  <c r="B37139" i="1"/>
  <c r="B37138" i="1"/>
  <c r="B37137" i="1"/>
  <c r="B37136" i="1"/>
  <c r="B37135" i="1"/>
  <c r="B37134" i="1"/>
  <c r="B37133" i="1"/>
  <c r="B37132" i="1"/>
  <c r="B37131" i="1"/>
  <c r="B37130" i="1"/>
  <c r="B37129" i="1"/>
  <c r="B37128" i="1"/>
  <c r="B37127" i="1"/>
  <c r="B37126" i="1"/>
  <c r="B37125" i="1"/>
  <c r="B37124" i="1"/>
  <c r="B37123" i="1"/>
  <c r="B37122" i="1"/>
  <c r="B37121" i="1"/>
  <c r="B37120" i="1"/>
  <c r="B37119" i="1"/>
  <c r="B37118" i="1"/>
  <c r="B37117" i="1"/>
  <c r="B37116" i="1"/>
  <c r="B37115" i="1"/>
  <c r="B37114" i="1"/>
  <c r="B37113" i="1"/>
  <c r="B37112" i="1"/>
  <c r="B37111" i="1"/>
  <c r="B37110" i="1"/>
  <c r="B37109" i="1"/>
  <c r="B37108" i="1"/>
  <c r="B37107" i="1"/>
  <c r="B37106" i="1"/>
  <c r="B37105" i="1"/>
  <c r="B37104" i="1"/>
  <c r="B37103" i="1"/>
  <c r="B37102" i="1"/>
  <c r="B37101" i="1"/>
  <c r="B37100" i="1"/>
  <c r="B37099" i="1"/>
  <c r="B37098" i="1"/>
  <c r="B37097" i="1"/>
  <c r="B37096" i="1"/>
  <c r="B37095" i="1"/>
  <c r="B37094" i="1"/>
  <c r="B37093" i="1"/>
  <c r="B37092" i="1"/>
  <c r="B37091" i="1"/>
  <c r="B37090" i="1"/>
  <c r="B37089" i="1"/>
  <c r="B37088" i="1"/>
  <c r="B37087" i="1"/>
  <c r="B37086" i="1"/>
  <c r="B37085" i="1"/>
  <c r="B37084" i="1"/>
  <c r="B37083" i="1"/>
  <c r="B37082" i="1"/>
  <c r="B37081" i="1"/>
  <c r="B37080" i="1"/>
  <c r="B37079" i="1"/>
  <c r="B37078" i="1"/>
  <c r="B37077" i="1"/>
  <c r="B37076" i="1"/>
  <c r="B37075" i="1"/>
  <c r="B37074" i="1"/>
  <c r="B37073" i="1"/>
  <c r="B37072" i="1"/>
  <c r="B37071" i="1"/>
  <c r="B37070" i="1"/>
  <c r="B37069" i="1"/>
  <c r="B37068" i="1"/>
  <c r="B37067" i="1"/>
  <c r="B37066" i="1"/>
  <c r="B37065" i="1"/>
  <c r="B37064" i="1"/>
  <c r="B37063" i="1"/>
  <c r="B37062" i="1"/>
  <c r="B37061" i="1"/>
  <c r="B37060" i="1"/>
  <c r="B37059" i="1"/>
  <c r="B37058" i="1"/>
  <c r="B37057" i="1"/>
  <c r="B37056" i="1"/>
  <c r="B37055" i="1"/>
  <c r="B37054" i="1"/>
  <c r="B37053" i="1"/>
  <c r="B37052" i="1"/>
  <c r="B37051" i="1"/>
  <c r="B37050" i="1"/>
  <c r="B37049" i="1"/>
  <c r="B37048" i="1"/>
  <c r="B37047" i="1"/>
  <c r="B37046" i="1"/>
  <c r="B37045" i="1"/>
  <c r="B37044" i="1"/>
  <c r="B37043" i="1"/>
  <c r="B37042" i="1"/>
  <c r="B37041" i="1"/>
  <c r="B37040" i="1"/>
  <c r="B37039" i="1"/>
  <c r="B37038" i="1"/>
  <c r="B37037" i="1"/>
  <c r="B37036" i="1"/>
  <c r="B37035" i="1"/>
  <c r="B37034" i="1"/>
  <c r="B37033" i="1"/>
  <c r="B37032" i="1"/>
  <c r="B37031" i="1"/>
  <c r="B37030" i="1"/>
  <c r="B37029" i="1"/>
  <c r="B37028" i="1"/>
  <c r="B37027" i="1"/>
  <c r="B37026" i="1"/>
  <c r="B37025" i="1"/>
  <c r="B37024" i="1"/>
  <c r="B37023" i="1"/>
  <c r="B37022" i="1"/>
  <c r="B37021" i="1"/>
  <c r="B37020" i="1"/>
  <c r="B37019" i="1"/>
  <c r="B37018" i="1"/>
  <c r="B37017" i="1"/>
  <c r="B37016" i="1"/>
  <c r="B37015" i="1"/>
  <c r="B37014" i="1"/>
  <c r="B37013" i="1"/>
  <c r="B37012" i="1"/>
  <c r="B37011" i="1"/>
  <c r="B37010" i="1"/>
  <c r="B37009" i="1"/>
  <c r="B37008" i="1"/>
  <c r="B37007" i="1"/>
  <c r="B37006" i="1"/>
  <c r="B37005" i="1"/>
  <c r="B37004" i="1"/>
  <c r="B37003" i="1"/>
  <c r="B37002" i="1"/>
  <c r="B37001" i="1"/>
  <c r="B37000" i="1"/>
  <c r="B36999" i="1"/>
  <c r="B36998" i="1"/>
  <c r="B36997" i="1"/>
  <c r="B36996" i="1"/>
  <c r="B36995" i="1"/>
  <c r="B36994" i="1"/>
  <c r="B36993" i="1"/>
  <c r="B36992" i="1"/>
  <c r="B36991" i="1"/>
  <c r="B36990" i="1"/>
  <c r="B36989" i="1"/>
  <c r="B36988" i="1"/>
  <c r="B36987" i="1"/>
  <c r="B36986" i="1"/>
  <c r="B36985" i="1"/>
  <c r="B36984" i="1"/>
  <c r="B36983" i="1"/>
  <c r="B36982" i="1"/>
  <c r="B36981" i="1"/>
  <c r="B36980" i="1"/>
  <c r="B36979" i="1"/>
  <c r="B36978" i="1"/>
  <c r="B36977" i="1"/>
  <c r="B36976" i="1"/>
  <c r="B36975" i="1"/>
  <c r="B36974" i="1"/>
  <c r="B36973" i="1"/>
  <c r="B36972" i="1"/>
  <c r="B36971" i="1"/>
  <c r="B36970" i="1"/>
  <c r="B36969" i="1"/>
  <c r="B36968" i="1"/>
  <c r="B36967" i="1"/>
  <c r="B36966" i="1"/>
  <c r="B36965" i="1"/>
  <c r="B36964" i="1"/>
  <c r="B36963" i="1"/>
  <c r="B36962" i="1"/>
  <c r="B36961" i="1"/>
  <c r="B36960" i="1"/>
  <c r="B36959" i="1"/>
  <c r="B36958" i="1"/>
  <c r="B36957" i="1"/>
  <c r="B36956" i="1"/>
  <c r="B36955" i="1"/>
  <c r="B36954" i="1"/>
  <c r="B36953" i="1"/>
  <c r="B36952" i="1"/>
  <c r="B36951" i="1"/>
  <c r="B36950" i="1"/>
  <c r="B36949" i="1"/>
  <c r="B36948" i="1"/>
  <c r="B36947" i="1"/>
  <c r="B36946" i="1"/>
  <c r="B36945" i="1"/>
  <c r="B36944" i="1"/>
  <c r="B36943" i="1"/>
  <c r="B36942" i="1"/>
  <c r="B36941" i="1"/>
  <c r="B36940" i="1"/>
  <c r="B36939" i="1"/>
  <c r="B36938" i="1"/>
  <c r="B36937" i="1"/>
  <c r="B36936" i="1"/>
  <c r="B36935" i="1"/>
  <c r="B36934" i="1"/>
  <c r="B36933" i="1"/>
  <c r="B36932" i="1"/>
  <c r="B36931" i="1"/>
  <c r="B36930" i="1"/>
  <c r="B36929" i="1"/>
  <c r="B36928" i="1"/>
  <c r="B36927" i="1"/>
  <c r="B36926" i="1"/>
  <c r="B36925" i="1"/>
  <c r="B36924" i="1"/>
  <c r="B36923" i="1"/>
  <c r="B36922" i="1"/>
  <c r="B36921" i="1"/>
  <c r="B36920" i="1"/>
  <c r="B36919" i="1"/>
  <c r="B36918" i="1"/>
  <c r="B36917" i="1"/>
  <c r="B36916" i="1"/>
  <c r="B36915" i="1"/>
  <c r="B36914" i="1"/>
  <c r="B36913" i="1"/>
  <c r="B36912" i="1"/>
  <c r="B36911" i="1"/>
  <c r="B36910" i="1"/>
  <c r="B36909" i="1"/>
  <c r="B36908" i="1"/>
  <c r="B36907" i="1"/>
  <c r="B36906" i="1"/>
  <c r="B36905" i="1"/>
  <c r="B36904" i="1"/>
  <c r="B36903" i="1"/>
  <c r="B36902" i="1"/>
  <c r="B36901" i="1"/>
  <c r="B36900" i="1"/>
  <c r="B36899" i="1"/>
  <c r="B36898" i="1"/>
  <c r="B36897" i="1"/>
  <c r="B36896" i="1"/>
  <c r="B36895" i="1"/>
  <c r="B36894" i="1"/>
  <c r="B36893" i="1"/>
  <c r="B36892" i="1"/>
  <c r="B36891" i="1"/>
  <c r="B36890" i="1"/>
  <c r="B36889" i="1"/>
  <c r="B36888" i="1"/>
  <c r="B36887" i="1"/>
  <c r="B36886" i="1"/>
  <c r="B36885" i="1"/>
  <c r="B36884" i="1"/>
  <c r="B36883" i="1"/>
  <c r="B36882" i="1"/>
  <c r="B36881" i="1"/>
  <c r="B36880" i="1"/>
  <c r="B36879" i="1"/>
  <c r="B36878" i="1"/>
  <c r="B36877" i="1"/>
  <c r="B36876" i="1"/>
  <c r="B36875" i="1"/>
  <c r="B36874" i="1"/>
  <c r="B36873" i="1"/>
  <c r="B36872" i="1"/>
  <c r="B36871" i="1"/>
  <c r="B36870" i="1"/>
  <c r="B36869" i="1"/>
  <c r="B36868" i="1"/>
  <c r="B36867" i="1"/>
  <c r="B36866" i="1"/>
  <c r="B36865" i="1"/>
  <c r="B36864" i="1"/>
  <c r="B36863" i="1"/>
  <c r="B36862" i="1"/>
  <c r="B36861" i="1"/>
  <c r="B36860" i="1"/>
  <c r="B36859" i="1"/>
  <c r="B36858" i="1"/>
  <c r="B36857" i="1"/>
  <c r="B36856" i="1"/>
  <c r="B36855" i="1"/>
  <c r="B36854" i="1"/>
  <c r="B36853" i="1"/>
  <c r="B36852" i="1"/>
  <c r="B36851" i="1"/>
  <c r="B36850" i="1"/>
  <c r="B36849" i="1"/>
  <c r="B36848" i="1"/>
  <c r="B36847" i="1"/>
  <c r="B36846" i="1"/>
  <c r="B36845" i="1"/>
  <c r="B36844" i="1"/>
  <c r="B36843" i="1"/>
  <c r="B36842" i="1"/>
  <c r="B36841" i="1"/>
  <c r="B36840" i="1"/>
  <c r="B36839" i="1"/>
  <c r="B36838" i="1"/>
  <c r="B36837" i="1"/>
  <c r="B36836" i="1"/>
  <c r="B36835" i="1"/>
  <c r="B36834" i="1"/>
  <c r="B36833" i="1"/>
  <c r="B36832" i="1"/>
  <c r="B36831" i="1"/>
  <c r="B36830" i="1"/>
  <c r="B36829" i="1"/>
  <c r="B36828" i="1"/>
  <c r="B36827" i="1"/>
  <c r="B36826" i="1"/>
  <c r="B36825" i="1"/>
  <c r="B36824" i="1"/>
  <c r="B36823" i="1"/>
  <c r="B36822" i="1"/>
  <c r="B36821" i="1"/>
  <c r="B36820" i="1"/>
  <c r="B36819" i="1"/>
  <c r="B36818" i="1"/>
  <c r="B36817" i="1"/>
  <c r="B36816" i="1"/>
  <c r="B36815" i="1"/>
  <c r="B36814" i="1"/>
  <c r="B36813" i="1"/>
  <c r="B36812" i="1"/>
  <c r="B36811" i="1"/>
  <c r="B36810" i="1"/>
  <c r="B36809" i="1"/>
  <c r="B36808" i="1"/>
  <c r="B36807" i="1"/>
  <c r="B36806" i="1"/>
  <c r="B36805" i="1"/>
  <c r="B36804" i="1"/>
  <c r="B36803" i="1"/>
  <c r="B36802" i="1"/>
  <c r="B36801" i="1"/>
  <c r="B36800" i="1"/>
  <c r="B36799" i="1"/>
  <c r="B36798" i="1"/>
  <c r="B36797" i="1"/>
  <c r="B36796" i="1"/>
  <c r="B36795" i="1"/>
  <c r="B36794" i="1"/>
  <c r="B36793" i="1"/>
  <c r="B36792" i="1"/>
  <c r="B36791" i="1"/>
  <c r="B36790" i="1"/>
  <c r="B36789" i="1"/>
  <c r="B36788" i="1"/>
  <c r="B36787" i="1"/>
  <c r="B36786" i="1"/>
  <c r="B36785" i="1"/>
  <c r="B36784" i="1"/>
  <c r="B36783" i="1"/>
  <c r="B36782" i="1"/>
  <c r="B36781" i="1"/>
  <c r="B36780" i="1"/>
  <c r="B36779" i="1"/>
  <c r="B36778" i="1"/>
  <c r="B36777" i="1"/>
  <c r="B36776" i="1"/>
  <c r="B36775" i="1"/>
  <c r="B36774" i="1"/>
  <c r="B36773" i="1"/>
  <c r="B36772" i="1"/>
  <c r="B36771" i="1"/>
  <c r="B36770" i="1"/>
  <c r="B36769" i="1"/>
  <c r="B36768" i="1"/>
  <c r="B36767" i="1"/>
  <c r="B36766" i="1"/>
  <c r="B36765" i="1"/>
  <c r="B36764" i="1"/>
  <c r="B36763" i="1"/>
  <c r="B36762" i="1"/>
  <c r="B36761" i="1"/>
  <c r="B36760" i="1"/>
  <c r="B36759" i="1"/>
  <c r="B36758" i="1"/>
  <c r="B36757" i="1"/>
  <c r="B36756" i="1"/>
  <c r="B36755" i="1"/>
  <c r="B36754" i="1"/>
  <c r="B36753" i="1"/>
  <c r="B36752" i="1"/>
  <c r="B36751" i="1"/>
  <c r="B36750" i="1"/>
  <c r="B36749" i="1"/>
  <c r="B36748" i="1"/>
  <c r="B36747" i="1"/>
  <c r="B36746" i="1"/>
  <c r="B36745" i="1"/>
  <c r="B36744" i="1"/>
  <c r="B36743" i="1"/>
  <c r="B36742" i="1"/>
  <c r="B36741" i="1"/>
  <c r="B36740" i="1"/>
  <c r="B36739" i="1"/>
  <c r="B36738" i="1"/>
  <c r="B36737" i="1"/>
  <c r="B36736" i="1"/>
  <c r="B36735" i="1"/>
  <c r="B36734" i="1"/>
  <c r="B36733" i="1"/>
  <c r="B36732" i="1"/>
  <c r="B36731" i="1"/>
  <c r="B36730" i="1"/>
  <c r="B36729" i="1"/>
  <c r="B36728" i="1"/>
  <c r="B36727" i="1"/>
  <c r="B36726" i="1"/>
  <c r="B36725" i="1"/>
  <c r="B36724" i="1"/>
  <c r="B36723" i="1"/>
  <c r="B36722" i="1"/>
  <c r="B36721" i="1"/>
  <c r="B36720" i="1"/>
  <c r="B36719" i="1"/>
  <c r="B36718" i="1"/>
  <c r="B36717" i="1"/>
  <c r="B36716" i="1"/>
  <c r="B36715" i="1"/>
  <c r="B36714" i="1"/>
  <c r="B36713" i="1"/>
  <c r="B36712" i="1"/>
  <c r="B36711" i="1"/>
  <c r="B36710" i="1"/>
  <c r="B36709" i="1"/>
  <c r="B36708" i="1"/>
  <c r="B36707" i="1"/>
  <c r="B36706" i="1"/>
  <c r="B36705" i="1"/>
  <c r="B36704" i="1"/>
  <c r="B36703" i="1"/>
  <c r="B36702" i="1"/>
  <c r="B36701" i="1"/>
  <c r="B36700" i="1"/>
  <c r="B36699" i="1"/>
  <c r="B36698" i="1"/>
  <c r="B36697" i="1"/>
  <c r="B36696" i="1"/>
  <c r="B36695" i="1"/>
  <c r="B36694" i="1"/>
  <c r="B36693" i="1"/>
  <c r="B36692" i="1"/>
  <c r="B36691" i="1"/>
  <c r="B36690" i="1"/>
  <c r="B36689" i="1"/>
  <c r="B36688" i="1"/>
  <c r="B36687" i="1"/>
  <c r="B36686" i="1"/>
  <c r="B36685" i="1"/>
  <c r="B36684" i="1"/>
  <c r="B36683" i="1"/>
  <c r="B36682" i="1"/>
  <c r="B36681" i="1"/>
  <c r="B36680" i="1"/>
  <c r="B36679" i="1"/>
  <c r="B36678" i="1"/>
  <c r="B36677" i="1"/>
  <c r="B36676" i="1"/>
  <c r="B36675" i="1"/>
  <c r="B36674" i="1"/>
  <c r="B36673" i="1"/>
  <c r="B36672" i="1"/>
  <c r="B36671" i="1"/>
  <c r="B36670" i="1"/>
  <c r="B36669" i="1"/>
  <c r="B36668" i="1"/>
  <c r="B36667" i="1"/>
  <c r="B36666" i="1"/>
  <c r="B36665" i="1"/>
  <c r="B36664" i="1"/>
  <c r="B36663" i="1"/>
  <c r="B36662" i="1"/>
  <c r="B36661" i="1"/>
  <c r="B36660" i="1"/>
  <c r="B36659" i="1"/>
  <c r="B36658" i="1"/>
  <c r="B36657" i="1"/>
  <c r="B36656" i="1"/>
  <c r="B36655" i="1"/>
  <c r="B36654" i="1"/>
  <c r="B36653" i="1"/>
  <c r="B36652" i="1"/>
  <c r="B36651" i="1"/>
  <c r="B36650" i="1"/>
  <c r="B36649" i="1"/>
  <c r="B36648" i="1"/>
  <c r="B36647" i="1"/>
  <c r="B36646" i="1"/>
  <c r="B36645" i="1"/>
  <c r="B36644" i="1"/>
  <c r="B36643" i="1"/>
  <c r="B36642" i="1"/>
  <c r="B36641" i="1"/>
  <c r="B36640" i="1"/>
  <c r="B36639" i="1"/>
  <c r="B36638" i="1"/>
  <c r="B36637" i="1"/>
  <c r="B36636" i="1"/>
  <c r="B36635" i="1"/>
  <c r="B36634" i="1"/>
  <c r="B36633" i="1"/>
  <c r="B36632" i="1"/>
  <c r="B36631" i="1"/>
  <c r="B36630" i="1"/>
  <c r="B36629" i="1"/>
  <c r="B36628" i="1"/>
  <c r="B36627" i="1"/>
  <c r="B36626" i="1"/>
  <c r="B36625" i="1"/>
  <c r="B36624" i="1"/>
  <c r="B36623" i="1"/>
  <c r="B36622" i="1"/>
  <c r="B36621" i="1"/>
  <c r="B36620" i="1"/>
  <c r="B36619" i="1"/>
  <c r="B36618" i="1"/>
  <c r="B36617" i="1"/>
  <c r="B36616" i="1"/>
  <c r="B36615" i="1"/>
  <c r="B36614" i="1"/>
  <c r="B36613" i="1"/>
  <c r="B36612" i="1"/>
  <c r="B36611" i="1"/>
  <c r="B36610" i="1"/>
  <c r="B36609" i="1"/>
  <c r="B36608" i="1"/>
  <c r="B36607" i="1"/>
  <c r="B36606" i="1"/>
  <c r="B36605" i="1"/>
  <c r="B36604" i="1"/>
  <c r="B36603" i="1"/>
  <c r="B36602" i="1"/>
  <c r="B36601" i="1"/>
  <c r="B36600" i="1"/>
  <c r="B36599" i="1"/>
  <c r="B36598" i="1"/>
  <c r="B36597" i="1"/>
  <c r="B36596" i="1"/>
  <c r="B36595" i="1"/>
  <c r="B36594" i="1"/>
  <c r="B36593" i="1"/>
  <c r="B36592" i="1"/>
  <c r="B36591" i="1"/>
  <c r="B36590" i="1"/>
  <c r="B36589" i="1"/>
  <c r="B36588" i="1"/>
  <c r="B36587" i="1"/>
  <c r="B36586" i="1"/>
  <c r="B36585" i="1"/>
  <c r="B36584" i="1"/>
  <c r="B36583" i="1"/>
  <c r="B36582" i="1"/>
  <c r="B36581" i="1"/>
  <c r="B36580" i="1"/>
  <c r="B36579" i="1"/>
  <c r="B36578" i="1"/>
  <c r="B36577" i="1"/>
  <c r="B36576" i="1"/>
  <c r="B36575" i="1"/>
  <c r="B36574" i="1"/>
  <c r="B36573" i="1"/>
  <c r="B36572" i="1"/>
  <c r="B36571" i="1"/>
  <c r="B36570" i="1"/>
  <c r="B36569" i="1"/>
  <c r="B36568" i="1"/>
  <c r="B36567" i="1"/>
  <c r="B36566" i="1"/>
  <c r="B36565" i="1"/>
  <c r="B36564" i="1"/>
  <c r="B36563" i="1"/>
  <c r="B36562" i="1"/>
  <c r="B36561" i="1"/>
  <c r="B36560" i="1"/>
  <c r="B36559" i="1"/>
  <c r="B36558" i="1"/>
  <c r="B36557" i="1"/>
  <c r="B36556" i="1"/>
  <c r="B36555" i="1"/>
  <c r="B36554" i="1"/>
  <c r="B36553" i="1"/>
  <c r="B36552" i="1"/>
  <c r="B36551" i="1"/>
  <c r="B36550" i="1"/>
  <c r="B36549" i="1"/>
  <c r="B36548" i="1"/>
  <c r="B36547" i="1"/>
  <c r="B36546" i="1"/>
  <c r="B36545" i="1"/>
  <c r="B36544" i="1"/>
  <c r="B36543" i="1"/>
  <c r="B36542" i="1"/>
  <c r="B36541" i="1"/>
  <c r="B36540" i="1"/>
  <c r="B36539" i="1"/>
  <c r="B36538" i="1"/>
  <c r="B36537" i="1"/>
  <c r="B36536" i="1"/>
  <c r="B36535" i="1"/>
  <c r="B36534" i="1"/>
  <c r="B36533" i="1"/>
  <c r="B36532" i="1"/>
  <c r="B36531" i="1"/>
  <c r="B36530" i="1"/>
  <c r="B36529" i="1"/>
  <c r="B36528" i="1"/>
  <c r="B36527" i="1"/>
  <c r="B36526" i="1"/>
  <c r="B36525" i="1"/>
  <c r="B36524" i="1"/>
  <c r="B36523" i="1"/>
  <c r="B36522" i="1"/>
  <c r="B36521" i="1"/>
  <c r="B36520" i="1"/>
  <c r="B36519" i="1"/>
  <c r="B36518" i="1"/>
  <c r="B36517" i="1"/>
  <c r="B36516" i="1"/>
  <c r="B36515" i="1"/>
  <c r="B36514" i="1"/>
  <c r="B36513" i="1"/>
  <c r="B36512" i="1"/>
  <c r="B36511" i="1"/>
  <c r="B36510" i="1"/>
  <c r="B36509" i="1"/>
  <c r="B36508" i="1"/>
  <c r="B36507" i="1"/>
  <c r="B36506" i="1"/>
  <c r="B36505" i="1"/>
  <c r="B36504" i="1"/>
  <c r="B36503" i="1"/>
  <c r="B36502" i="1"/>
  <c r="B36501" i="1"/>
  <c r="B36500" i="1"/>
  <c r="B36499" i="1"/>
  <c r="B36498" i="1"/>
  <c r="B36497" i="1"/>
  <c r="B36496" i="1"/>
  <c r="B36495" i="1"/>
  <c r="B36494" i="1"/>
  <c r="B36493" i="1"/>
  <c r="B36492" i="1"/>
  <c r="B36491" i="1"/>
  <c r="B36490" i="1"/>
  <c r="B36489" i="1"/>
  <c r="B36488" i="1"/>
  <c r="B36487" i="1"/>
  <c r="B36486" i="1"/>
  <c r="B36485" i="1"/>
  <c r="B36484" i="1"/>
  <c r="B36483" i="1"/>
  <c r="B36482" i="1"/>
  <c r="B36481" i="1"/>
  <c r="B36480" i="1"/>
  <c r="B36479" i="1"/>
  <c r="B36478" i="1"/>
  <c r="B36477" i="1"/>
  <c r="B36476" i="1"/>
  <c r="B36475" i="1"/>
  <c r="B36474" i="1"/>
  <c r="B36473" i="1"/>
  <c r="B36472" i="1"/>
  <c r="B36471" i="1"/>
  <c r="B36470" i="1"/>
  <c r="B36469" i="1"/>
  <c r="B36468" i="1"/>
  <c r="B36467" i="1"/>
  <c r="B36466" i="1"/>
  <c r="B36465" i="1"/>
  <c r="B36464" i="1"/>
  <c r="B36463" i="1"/>
  <c r="B36462" i="1"/>
  <c r="B36461" i="1"/>
  <c r="B36460" i="1"/>
  <c r="B36459" i="1"/>
  <c r="B36458" i="1"/>
  <c r="B36457" i="1"/>
  <c r="B36456" i="1"/>
  <c r="B36455" i="1"/>
  <c r="B36454" i="1"/>
  <c r="B36453" i="1"/>
  <c r="B36452" i="1"/>
  <c r="B36451" i="1"/>
  <c r="B36450" i="1"/>
  <c r="B36449" i="1"/>
  <c r="B36448" i="1"/>
  <c r="B36447" i="1"/>
  <c r="B36446" i="1"/>
  <c r="B36445" i="1"/>
  <c r="B36444" i="1"/>
  <c r="B36443" i="1"/>
  <c r="B36442" i="1"/>
  <c r="B36441" i="1"/>
  <c r="B36440" i="1"/>
  <c r="B36439" i="1"/>
  <c r="B36438" i="1"/>
  <c r="B36437" i="1"/>
  <c r="B36436" i="1"/>
  <c r="B36435" i="1"/>
  <c r="B36434" i="1"/>
  <c r="B36433" i="1"/>
  <c r="B36432" i="1"/>
  <c r="B36431" i="1"/>
  <c r="B36430" i="1"/>
  <c r="B36429" i="1"/>
  <c r="B36428" i="1"/>
  <c r="B36427" i="1"/>
  <c r="B36426" i="1"/>
  <c r="B36425" i="1"/>
  <c r="B36424" i="1"/>
  <c r="B36423" i="1"/>
  <c r="B36422" i="1"/>
  <c r="B36421" i="1"/>
  <c r="B36420" i="1"/>
  <c r="B36419" i="1"/>
  <c r="B36418" i="1"/>
  <c r="B36417" i="1"/>
  <c r="B36416" i="1"/>
  <c r="B36415" i="1"/>
  <c r="B36414" i="1"/>
  <c r="B36413" i="1"/>
  <c r="B36412" i="1"/>
  <c r="B36411" i="1"/>
  <c r="B36410" i="1"/>
  <c r="B36409" i="1"/>
  <c r="B36408" i="1"/>
  <c r="B36407" i="1"/>
  <c r="B36406" i="1"/>
  <c r="B36405" i="1"/>
  <c r="B36404" i="1"/>
  <c r="B36403" i="1"/>
  <c r="B36402" i="1"/>
  <c r="B36401" i="1"/>
  <c r="B36400" i="1"/>
  <c r="B36399" i="1"/>
  <c r="B36398" i="1"/>
  <c r="B36397" i="1"/>
  <c r="B36396" i="1"/>
  <c r="B36395" i="1"/>
  <c r="B36394" i="1"/>
  <c r="B36393" i="1"/>
  <c r="B36392" i="1"/>
  <c r="B36391" i="1"/>
  <c r="B36390" i="1"/>
  <c r="B36389" i="1"/>
  <c r="B36388" i="1"/>
  <c r="B36387" i="1"/>
  <c r="B36386" i="1"/>
  <c r="B36385" i="1"/>
  <c r="B36384" i="1"/>
  <c r="B36383" i="1"/>
  <c r="B36382" i="1"/>
  <c r="B36381" i="1"/>
  <c r="B36380" i="1"/>
  <c r="B36379" i="1"/>
  <c r="B36378" i="1"/>
  <c r="B36377" i="1"/>
  <c r="B36376" i="1"/>
  <c r="B36375" i="1"/>
  <c r="B36374" i="1"/>
  <c r="B36373" i="1"/>
  <c r="B36372" i="1"/>
  <c r="B36371" i="1"/>
  <c r="B36370" i="1"/>
  <c r="B36369" i="1"/>
  <c r="B36368" i="1"/>
  <c r="B36367" i="1"/>
  <c r="B36366" i="1"/>
  <c r="B36365" i="1"/>
  <c r="B36364" i="1"/>
  <c r="B36363" i="1"/>
  <c r="B36362" i="1"/>
  <c r="B36361" i="1"/>
  <c r="B36360" i="1"/>
  <c r="B36359" i="1"/>
  <c r="B36358" i="1"/>
  <c r="B36357" i="1"/>
  <c r="B36356" i="1"/>
  <c r="B36355" i="1"/>
  <c r="B36354" i="1"/>
  <c r="B36353" i="1"/>
  <c r="B36352" i="1"/>
  <c r="B36351" i="1"/>
  <c r="B36350" i="1"/>
  <c r="B36349" i="1"/>
  <c r="B36348" i="1"/>
  <c r="B36347" i="1"/>
  <c r="B36346" i="1"/>
  <c r="B36345" i="1"/>
  <c r="B36344" i="1"/>
  <c r="B36343" i="1"/>
  <c r="B36342" i="1"/>
  <c r="B36341" i="1"/>
  <c r="B36340" i="1"/>
  <c r="B36339" i="1"/>
  <c r="B36338" i="1"/>
  <c r="B36337" i="1"/>
  <c r="B36336" i="1"/>
  <c r="B36335" i="1"/>
  <c r="B36334" i="1"/>
  <c r="B36333" i="1"/>
  <c r="B36332" i="1"/>
  <c r="B36331" i="1"/>
  <c r="B36330" i="1"/>
  <c r="B36329" i="1"/>
  <c r="B36328" i="1"/>
  <c r="B36327" i="1"/>
  <c r="B36326" i="1"/>
  <c r="B36325" i="1"/>
  <c r="B36324" i="1"/>
  <c r="B36323" i="1"/>
  <c r="B36322" i="1"/>
  <c r="B36321" i="1"/>
  <c r="B36320" i="1"/>
  <c r="B36319" i="1"/>
  <c r="B36318" i="1"/>
  <c r="B36317" i="1"/>
  <c r="B36316" i="1"/>
  <c r="B36315" i="1"/>
  <c r="B36314" i="1"/>
  <c r="B36313" i="1"/>
  <c r="B36312" i="1"/>
  <c r="B36311" i="1"/>
  <c r="B36310" i="1"/>
  <c r="B36309" i="1"/>
  <c r="B36308" i="1"/>
  <c r="B36307" i="1"/>
  <c r="B36306" i="1"/>
  <c r="B36305" i="1"/>
  <c r="B36304" i="1"/>
  <c r="B36303" i="1"/>
  <c r="B36302" i="1"/>
  <c r="B36301" i="1"/>
  <c r="B36300" i="1"/>
  <c r="B36299" i="1"/>
  <c r="B36298" i="1"/>
  <c r="B36297" i="1"/>
  <c r="B36296" i="1"/>
  <c r="B36295" i="1"/>
  <c r="B36294" i="1"/>
  <c r="B36293" i="1"/>
  <c r="B36292" i="1"/>
  <c r="B36291" i="1"/>
  <c r="B36290" i="1"/>
  <c r="B36289" i="1"/>
  <c r="B36288" i="1"/>
  <c r="B36287" i="1"/>
  <c r="B36286" i="1"/>
  <c r="B36285" i="1"/>
  <c r="B36284" i="1"/>
  <c r="B36283" i="1"/>
  <c r="B36282" i="1"/>
  <c r="B36281" i="1"/>
  <c r="B36280" i="1"/>
  <c r="B36279" i="1"/>
  <c r="B36278" i="1"/>
  <c r="B36277" i="1"/>
  <c r="B36276" i="1"/>
  <c r="B36275" i="1"/>
  <c r="B36274" i="1"/>
  <c r="B36273" i="1"/>
  <c r="B36272" i="1"/>
  <c r="B36271" i="1"/>
  <c r="B36270" i="1"/>
  <c r="B36269" i="1"/>
  <c r="B36268" i="1"/>
  <c r="B36267" i="1"/>
  <c r="B36266" i="1"/>
  <c r="B36265" i="1"/>
  <c r="B36264" i="1"/>
  <c r="B36263" i="1"/>
  <c r="B36262" i="1"/>
  <c r="B36261" i="1"/>
  <c r="B36260" i="1"/>
  <c r="B36259" i="1"/>
  <c r="B36258" i="1"/>
  <c r="B36257" i="1"/>
  <c r="B36256" i="1"/>
  <c r="B36255" i="1"/>
  <c r="B36254" i="1"/>
  <c r="B36253" i="1"/>
  <c r="B36252" i="1"/>
  <c r="B36251" i="1"/>
  <c r="B36250" i="1"/>
  <c r="B36249" i="1"/>
  <c r="B36248" i="1"/>
  <c r="B36247" i="1"/>
  <c r="B36246" i="1"/>
  <c r="B36245" i="1"/>
  <c r="B36244" i="1"/>
  <c r="B36243" i="1"/>
  <c r="B36242" i="1"/>
  <c r="B36241" i="1"/>
  <c r="B36240" i="1"/>
  <c r="B36239" i="1"/>
  <c r="B36238" i="1"/>
  <c r="B36237" i="1"/>
  <c r="B36236" i="1"/>
  <c r="B36235" i="1"/>
  <c r="B36234" i="1"/>
  <c r="B36233" i="1"/>
  <c r="B36232" i="1"/>
  <c r="B36231" i="1"/>
  <c r="B36230" i="1"/>
  <c r="B36229" i="1"/>
  <c r="B36228" i="1"/>
  <c r="B36227" i="1"/>
  <c r="B36226" i="1"/>
  <c r="B36225" i="1"/>
  <c r="B36224" i="1"/>
  <c r="B36223" i="1"/>
  <c r="B36222" i="1"/>
  <c r="B36221" i="1"/>
  <c r="B36220" i="1"/>
  <c r="B36219" i="1"/>
  <c r="B36218" i="1"/>
  <c r="B36217" i="1"/>
  <c r="B36216" i="1"/>
  <c r="B36215" i="1"/>
  <c r="B36214" i="1"/>
  <c r="B36213" i="1"/>
  <c r="B36212" i="1"/>
  <c r="B36211" i="1"/>
  <c r="B36210" i="1"/>
  <c r="B36209" i="1"/>
  <c r="B36208" i="1"/>
  <c r="B36207" i="1"/>
  <c r="B36206" i="1"/>
  <c r="B36205" i="1"/>
  <c r="B36204" i="1"/>
  <c r="B36203" i="1"/>
  <c r="B36202" i="1"/>
  <c r="B36201" i="1"/>
  <c r="B36200" i="1"/>
  <c r="B36199" i="1"/>
  <c r="B36198" i="1"/>
  <c r="B36197" i="1"/>
  <c r="B36196" i="1"/>
  <c r="B36195" i="1"/>
  <c r="B36194" i="1"/>
  <c r="B36193" i="1"/>
  <c r="B36192" i="1"/>
  <c r="B36191" i="1"/>
  <c r="B36190" i="1"/>
  <c r="B36189" i="1"/>
  <c r="B36188" i="1"/>
  <c r="B36187" i="1"/>
  <c r="B36186" i="1"/>
  <c r="B36185" i="1"/>
  <c r="B36184" i="1"/>
  <c r="B36183" i="1"/>
  <c r="B36182" i="1"/>
  <c r="B36181" i="1"/>
  <c r="B36180" i="1"/>
  <c r="B36179" i="1"/>
  <c r="B36178" i="1"/>
  <c r="B36177" i="1"/>
  <c r="B36176" i="1"/>
  <c r="B36175" i="1"/>
  <c r="B36174" i="1"/>
  <c r="B36173" i="1"/>
  <c r="B36172" i="1"/>
  <c r="B36171" i="1"/>
  <c r="B36170" i="1"/>
  <c r="B36169" i="1"/>
  <c r="B36168" i="1"/>
  <c r="B36167" i="1"/>
  <c r="B36166" i="1"/>
  <c r="B36165" i="1"/>
  <c r="B36164" i="1"/>
  <c r="B36163" i="1"/>
  <c r="B36162" i="1"/>
  <c r="B36161" i="1"/>
  <c r="B36160" i="1"/>
  <c r="B36159" i="1"/>
  <c r="B36158" i="1"/>
  <c r="B36157" i="1"/>
  <c r="B36156" i="1"/>
  <c r="B36155" i="1"/>
  <c r="B36154" i="1"/>
  <c r="B36153" i="1"/>
  <c r="B36152" i="1"/>
  <c r="B36151" i="1"/>
  <c r="B36150" i="1"/>
  <c r="B36149" i="1"/>
  <c r="B36148" i="1"/>
  <c r="B36147" i="1"/>
  <c r="B36146" i="1"/>
  <c r="B36145" i="1"/>
  <c r="B36144" i="1"/>
  <c r="B36143" i="1"/>
  <c r="B36142" i="1"/>
  <c r="B36141" i="1"/>
  <c r="B36140" i="1"/>
  <c r="B36139" i="1"/>
  <c r="B36138" i="1"/>
  <c r="B36137" i="1"/>
  <c r="B36136" i="1"/>
  <c r="B36135" i="1"/>
  <c r="B36134" i="1"/>
  <c r="B36133" i="1"/>
  <c r="B36132" i="1"/>
  <c r="B36131" i="1"/>
  <c r="B36130" i="1"/>
  <c r="B36129" i="1"/>
  <c r="B36128" i="1"/>
  <c r="B36127" i="1"/>
  <c r="B36126" i="1"/>
  <c r="B36125" i="1"/>
  <c r="B36124" i="1"/>
  <c r="B36123" i="1"/>
  <c r="B36122" i="1"/>
  <c r="B36121" i="1"/>
  <c r="B36120" i="1"/>
  <c r="B36119" i="1"/>
  <c r="B36118" i="1"/>
  <c r="B36117" i="1"/>
  <c r="B36116" i="1"/>
  <c r="B36115" i="1"/>
  <c r="B36114" i="1"/>
  <c r="B36113" i="1"/>
  <c r="B36112" i="1"/>
  <c r="B36111" i="1"/>
  <c r="B36110" i="1"/>
  <c r="B36109" i="1"/>
  <c r="B36108" i="1"/>
  <c r="B36107" i="1"/>
  <c r="B36106" i="1"/>
  <c r="B36105" i="1"/>
  <c r="B36104" i="1"/>
  <c r="B36103" i="1"/>
  <c r="B36102" i="1"/>
  <c r="B36101" i="1"/>
  <c r="B36100" i="1"/>
  <c r="B36099" i="1"/>
  <c r="B36098" i="1"/>
  <c r="B36097" i="1"/>
  <c r="B36096" i="1"/>
  <c r="B36095" i="1"/>
  <c r="B36094" i="1"/>
  <c r="B36093" i="1"/>
  <c r="B36092" i="1"/>
  <c r="B36091" i="1"/>
  <c r="B36090" i="1"/>
  <c r="B36089" i="1"/>
  <c r="B36088" i="1"/>
  <c r="B36087" i="1"/>
  <c r="B36086" i="1"/>
  <c r="B36085" i="1"/>
  <c r="B36084" i="1"/>
  <c r="B36083" i="1"/>
  <c r="B36082" i="1"/>
  <c r="B36081" i="1"/>
  <c r="B36080" i="1"/>
  <c r="B36079" i="1"/>
  <c r="B36078" i="1"/>
  <c r="B36077" i="1"/>
  <c r="B36076" i="1"/>
  <c r="B36075" i="1"/>
  <c r="B36074" i="1"/>
  <c r="B36073" i="1"/>
  <c r="B36072" i="1"/>
  <c r="B36071" i="1"/>
  <c r="B36070" i="1"/>
  <c r="B36069" i="1"/>
  <c r="B36068" i="1"/>
  <c r="B36067" i="1"/>
  <c r="B36066" i="1"/>
  <c r="B36065" i="1"/>
  <c r="B36064" i="1"/>
  <c r="B36063" i="1"/>
  <c r="B36062" i="1"/>
  <c r="B36061" i="1"/>
  <c r="B36060" i="1"/>
  <c r="B36059" i="1"/>
  <c r="B36058" i="1"/>
  <c r="B36057" i="1"/>
  <c r="B36056" i="1"/>
  <c r="B36055" i="1"/>
  <c r="B36054" i="1"/>
  <c r="B36053" i="1"/>
  <c r="B36052" i="1"/>
  <c r="B36051" i="1"/>
  <c r="B36050" i="1"/>
  <c r="B36049" i="1"/>
  <c r="B36048" i="1"/>
  <c r="B36047" i="1"/>
  <c r="B36046" i="1"/>
  <c r="B36045" i="1"/>
  <c r="B36044" i="1"/>
  <c r="B36043" i="1"/>
  <c r="B36042" i="1"/>
  <c r="B36041" i="1"/>
  <c r="B36040" i="1"/>
  <c r="B36039" i="1"/>
  <c r="B36038" i="1"/>
  <c r="B36037" i="1"/>
  <c r="B36036" i="1"/>
  <c r="B36035" i="1"/>
  <c r="B36034" i="1"/>
  <c r="B36033" i="1"/>
  <c r="B36032" i="1"/>
  <c r="B36031" i="1"/>
  <c r="B36030" i="1"/>
  <c r="B36029" i="1"/>
  <c r="B36028" i="1"/>
  <c r="B36027" i="1"/>
  <c r="B36026" i="1"/>
  <c r="B36025" i="1"/>
  <c r="B36024" i="1"/>
  <c r="B36023" i="1"/>
  <c r="B36022" i="1"/>
  <c r="B36021" i="1"/>
  <c r="B36020" i="1"/>
  <c r="B36019" i="1"/>
  <c r="B36018" i="1"/>
  <c r="B36017" i="1"/>
  <c r="B36016" i="1"/>
  <c r="B36015" i="1"/>
  <c r="B36014" i="1"/>
  <c r="B36013" i="1"/>
  <c r="B36012" i="1"/>
  <c r="B36011" i="1"/>
  <c r="B36010" i="1"/>
  <c r="B36009" i="1"/>
  <c r="B36008" i="1"/>
  <c r="B36007" i="1"/>
  <c r="B36006" i="1"/>
  <c r="B36005" i="1"/>
  <c r="B36004" i="1"/>
  <c r="B36003" i="1"/>
  <c r="B36002" i="1"/>
  <c r="B36001" i="1"/>
  <c r="B36000" i="1"/>
  <c r="B35999" i="1"/>
  <c r="B35998" i="1"/>
  <c r="B35997" i="1"/>
  <c r="B35996" i="1"/>
  <c r="B35995" i="1"/>
  <c r="B35994" i="1"/>
  <c r="B35993" i="1"/>
  <c r="B35992" i="1"/>
  <c r="B35991" i="1"/>
  <c r="B35990" i="1"/>
  <c r="B35989" i="1"/>
  <c r="B35988" i="1"/>
  <c r="B35987" i="1"/>
  <c r="B35986" i="1"/>
  <c r="B35985" i="1"/>
  <c r="B35984" i="1"/>
  <c r="B35983" i="1"/>
  <c r="B35982" i="1"/>
  <c r="B35981" i="1"/>
  <c r="B35980" i="1"/>
  <c r="B35979" i="1"/>
  <c r="B35978" i="1"/>
  <c r="B35977" i="1"/>
  <c r="B35976" i="1"/>
  <c r="B35975" i="1"/>
  <c r="B35974" i="1"/>
  <c r="B35973" i="1"/>
  <c r="B35972" i="1"/>
  <c r="B35971" i="1"/>
  <c r="B35970" i="1"/>
  <c r="B35969" i="1"/>
  <c r="B35968" i="1"/>
  <c r="B35967" i="1"/>
  <c r="B35966" i="1"/>
  <c r="B35965" i="1"/>
  <c r="B35964" i="1"/>
  <c r="B35963" i="1"/>
  <c r="B35962" i="1"/>
  <c r="B35961" i="1"/>
  <c r="B35960" i="1"/>
  <c r="B35959" i="1"/>
  <c r="B35958" i="1"/>
  <c r="B35957" i="1"/>
  <c r="B35956" i="1"/>
  <c r="B35955" i="1"/>
  <c r="B35954" i="1"/>
  <c r="B35953" i="1"/>
  <c r="B35952" i="1"/>
  <c r="B35951" i="1"/>
  <c r="B35950" i="1"/>
  <c r="B35949" i="1"/>
  <c r="B35948" i="1"/>
  <c r="B35947" i="1"/>
  <c r="B35946" i="1"/>
  <c r="B35945" i="1"/>
  <c r="B35944" i="1"/>
  <c r="B35943" i="1"/>
  <c r="B35942" i="1"/>
  <c r="B35941" i="1"/>
  <c r="B35940" i="1"/>
  <c r="B35939" i="1"/>
  <c r="B35938" i="1"/>
  <c r="B35937" i="1"/>
  <c r="B35936" i="1"/>
  <c r="B35935" i="1"/>
  <c r="B35934" i="1"/>
  <c r="B35933" i="1"/>
  <c r="B35932" i="1"/>
  <c r="B35931" i="1"/>
  <c r="B35930" i="1"/>
  <c r="B35929" i="1"/>
  <c r="B35928" i="1"/>
  <c r="B35927" i="1"/>
  <c r="B35926" i="1"/>
  <c r="B35925" i="1"/>
  <c r="B35924" i="1"/>
  <c r="B35923" i="1"/>
  <c r="B35922" i="1"/>
  <c r="B35921" i="1"/>
  <c r="B35920" i="1"/>
  <c r="B35919" i="1"/>
  <c r="B35918" i="1"/>
  <c r="B35917" i="1"/>
  <c r="B35916" i="1"/>
  <c r="B35915" i="1"/>
  <c r="B35914" i="1"/>
  <c r="B35913" i="1"/>
  <c r="B35912" i="1"/>
  <c r="B35911" i="1"/>
  <c r="B35910" i="1"/>
  <c r="B35909" i="1"/>
  <c r="B35908" i="1"/>
  <c r="B35907" i="1"/>
  <c r="B35906" i="1"/>
  <c r="B35905" i="1"/>
  <c r="B35904" i="1"/>
  <c r="B35903" i="1"/>
  <c r="B35902" i="1"/>
  <c r="B35901" i="1"/>
  <c r="B35900" i="1"/>
  <c r="B35899" i="1"/>
  <c r="B35898" i="1"/>
  <c r="B35897" i="1"/>
  <c r="B35896" i="1"/>
  <c r="B35895" i="1"/>
  <c r="B35894" i="1"/>
  <c r="B35893" i="1"/>
  <c r="B35892" i="1"/>
  <c r="B35891" i="1"/>
  <c r="B35890" i="1"/>
  <c r="B35889" i="1"/>
  <c r="B35888" i="1"/>
  <c r="B35887" i="1"/>
  <c r="B35886" i="1"/>
  <c r="B35885" i="1"/>
  <c r="B35884" i="1"/>
  <c r="B35883" i="1"/>
  <c r="B35882" i="1"/>
  <c r="B35881" i="1"/>
  <c r="B35880" i="1"/>
  <c r="B35879" i="1"/>
  <c r="B35878" i="1"/>
  <c r="B35877" i="1"/>
  <c r="B35876" i="1"/>
  <c r="B35875" i="1"/>
  <c r="B35874" i="1"/>
  <c r="B35873" i="1"/>
  <c r="B35872" i="1"/>
  <c r="B35871" i="1"/>
  <c r="B35870" i="1"/>
  <c r="B35869" i="1"/>
  <c r="B35868" i="1"/>
  <c r="B35867" i="1"/>
  <c r="B35866" i="1"/>
  <c r="B35865" i="1"/>
  <c r="B35864" i="1"/>
  <c r="B35863" i="1"/>
  <c r="B35862" i="1"/>
  <c r="B35861" i="1"/>
  <c r="B35860" i="1"/>
  <c r="B35859" i="1"/>
  <c r="B35858" i="1"/>
  <c r="B35857" i="1"/>
  <c r="B35856" i="1"/>
  <c r="B35855" i="1"/>
  <c r="B35854" i="1"/>
  <c r="B35853" i="1"/>
  <c r="B35852" i="1"/>
  <c r="B35851" i="1"/>
  <c r="B35850" i="1"/>
  <c r="B35849" i="1"/>
  <c r="B35848" i="1"/>
  <c r="B35847" i="1"/>
  <c r="B35846" i="1"/>
  <c r="B35845" i="1"/>
  <c r="B35844" i="1"/>
  <c r="B35843" i="1"/>
  <c r="B35842" i="1"/>
  <c r="B35841" i="1"/>
  <c r="B35840" i="1"/>
  <c r="B35839" i="1"/>
  <c r="B35838" i="1"/>
  <c r="B35837" i="1"/>
  <c r="B35836" i="1"/>
  <c r="B35835" i="1"/>
  <c r="B35834" i="1"/>
  <c r="B35833" i="1"/>
  <c r="B35832" i="1"/>
  <c r="B35831" i="1"/>
  <c r="B35830" i="1"/>
  <c r="B35829" i="1"/>
  <c r="B35828" i="1"/>
  <c r="B35827" i="1"/>
  <c r="B35826" i="1"/>
  <c r="B35825" i="1"/>
  <c r="B35824" i="1"/>
  <c r="B35823" i="1"/>
  <c r="B35822" i="1"/>
  <c r="B35821" i="1"/>
  <c r="B35820" i="1"/>
  <c r="B35819" i="1"/>
  <c r="B35818" i="1"/>
  <c r="B35817" i="1"/>
  <c r="B35816" i="1"/>
  <c r="B35815" i="1"/>
  <c r="B35814" i="1"/>
  <c r="B35813" i="1"/>
  <c r="B35812" i="1"/>
  <c r="B35811" i="1"/>
  <c r="B35810" i="1"/>
  <c r="B35809" i="1"/>
  <c r="B35808" i="1"/>
  <c r="B35807" i="1"/>
  <c r="B35806" i="1"/>
  <c r="B35805" i="1"/>
  <c r="B35804" i="1"/>
  <c r="B35803" i="1"/>
  <c r="B35802" i="1"/>
  <c r="B35801" i="1"/>
  <c r="B35800" i="1"/>
  <c r="B35799" i="1"/>
  <c r="B35798" i="1"/>
  <c r="B35797" i="1"/>
  <c r="B35796" i="1"/>
  <c r="B35795" i="1"/>
  <c r="B35794" i="1"/>
  <c r="B35793" i="1"/>
  <c r="B35792" i="1"/>
  <c r="B35791" i="1"/>
  <c r="B35790" i="1"/>
  <c r="B35789" i="1"/>
  <c r="B35788" i="1"/>
  <c r="B35787" i="1"/>
  <c r="B35786" i="1"/>
  <c r="B35785" i="1"/>
  <c r="B35784" i="1"/>
  <c r="B35783" i="1"/>
  <c r="B35782" i="1"/>
  <c r="B35781" i="1"/>
  <c r="B35780" i="1"/>
  <c r="B35779" i="1"/>
  <c r="B35778" i="1"/>
  <c r="B35777" i="1"/>
  <c r="B35776" i="1"/>
  <c r="B35775" i="1"/>
  <c r="B35774" i="1"/>
  <c r="B35773" i="1"/>
  <c r="B35772" i="1"/>
  <c r="B35771" i="1"/>
  <c r="B35770" i="1"/>
  <c r="B35769" i="1"/>
  <c r="B35768" i="1"/>
  <c r="B35767" i="1"/>
  <c r="B35766" i="1"/>
  <c r="B35765" i="1"/>
  <c r="B35764" i="1"/>
  <c r="B35763" i="1"/>
  <c r="B35762" i="1"/>
  <c r="B35761" i="1"/>
  <c r="B35760" i="1"/>
  <c r="B35759" i="1"/>
  <c r="B35758" i="1"/>
  <c r="B35757" i="1"/>
  <c r="B35756" i="1"/>
  <c r="B35755" i="1"/>
  <c r="B35754" i="1"/>
  <c r="B35753" i="1"/>
  <c r="B35752" i="1"/>
  <c r="B35751" i="1"/>
  <c r="B35750" i="1"/>
  <c r="B35749" i="1"/>
  <c r="B35748" i="1"/>
  <c r="B35747" i="1"/>
  <c r="B35746" i="1"/>
  <c r="B35745" i="1"/>
  <c r="B35744" i="1"/>
  <c r="B35743" i="1"/>
  <c r="B35742" i="1"/>
  <c r="B35741" i="1"/>
  <c r="B35740" i="1"/>
  <c r="B35739" i="1"/>
  <c r="B35738" i="1"/>
  <c r="B35737" i="1"/>
  <c r="B35736" i="1"/>
  <c r="B35735" i="1"/>
  <c r="B35734" i="1"/>
  <c r="B35733" i="1"/>
  <c r="B35732" i="1"/>
  <c r="B35731" i="1"/>
  <c r="B35730" i="1"/>
  <c r="B35729" i="1"/>
  <c r="B35728" i="1"/>
  <c r="B35727" i="1"/>
  <c r="B35726" i="1"/>
  <c r="B35725" i="1"/>
  <c r="B35724" i="1"/>
  <c r="B35723" i="1"/>
  <c r="B35722" i="1"/>
  <c r="B35721" i="1"/>
  <c r="B35720" i="1"/>
  <c r="B35719" i="1"/>
  <c r="B35718" i="1"/>
  <c r="B35717" i="1"/>
  <c r="B35716" i="1"/>
  <c r="B35715" i="1"/>
  <c r="B35714" i="1"/>
  <c r="B35713" i="1"/>
  <c r="B35712" i="1"/>
  <c r="B35711" i="1"/>
  <c r="B35710" i="1"/>
  <c r="B35709" i="1"/>
  <c r="B35708" i="1"/>
  <c r="B35707" i="1"/>
  <c r="B35706" i="1"/>
  <c r="B35705" i="1"/>
  <c r="B35704" i="1"/>
  <c r="B35703" i="1"/>
  <c r="B35702" i="1"/>
  <c r="B35701" i="1"/>
  <c r="B35700" i="1"/>
  <c r="B35699" i="1"/>
  <c r="B35698" i="1"/>
  <c r="B35697" i="1"/>
  <c r="B35696" i="1"/>
  <c r="B35695" i="1"/>
  <c r="B35694" i="1"/>
  <c r="B35693" i="1"/>
  <c r="B35692" i="1"/>
  <c r="B35691" i="1"/>
  <c r="B35690" i="1"/>
  <c r="B35689" i="1"/>
  <c r="B35688" i="1"/>
  <c r="B35687" i="1"/>
  <c r="B35686" i="1"/>
  <c r="B35685" i="1"/>
  <c r="B35684" i="1"/>
  <c r="B35683" i="1"/>
  <c r="B35682" i="1"/>
  <c r="B35681" i="1"/>
  <c r="B35680" i="1"/>
  <c r="B35679" i="1"/>
  <c r="B35678" i="1"/>
  <c r="B35677" i="1"/>
  <c r="B35676" i="1"/>
  <c r="B35675" i="1"/>
  <c r="B35674" i="1"/>
  <c r="B35673" i="1"/>
  <c r="B35672" i="1"/>
  <c r="B35671" i="1"/>
  <c r="B35670" i="1"/>
  <c r="B35669" i="1"/>
  <c r="B35668" i="1"/>
  <c r="B35667" i="1"/>
  <c r="B35666" i="1"/>
  <c r="B35665" i="1"/>
  <c r="B35664" i="1"/>
  <c r="B35663" i="1"/>
  <c r="B35662" i="1"/>
  <c r="B35661" i="1"/>
  <c r="B35660" i="1"/>
  <c r="B35659" i="1"/>
  <c r="B35658" i="1"/>
  <c r="B35657" i="1"/>
  <c r="B35656" i="1"/>
  <c r="B35655" i="1"/>
  <c r="B35654" i="1"/>
  <c r="B35653" i="1"/>
  <c r="B35652" i="1"/>
  <c r="B35651" i="1"/>
  <c r="B35650" i="1"/>
  <c r="B35649" i="1"/>
  <c r="B35648" i="1"/>
  <c r="B35647" i="1"/>
  <c r="B35646" i="1"/>
  <c r="B35645" i="1"/>
  <c r="B35644" i="1"/>
  <c r="B35643" i="1"/>
  <c r="B35642" i="1"/>
  <c r="B35641" i="1"/>
  <c r="B35640" i="1"/>
  <c r="B35639" i="1"/>
  <c r="B35638" i="1"/>
  <c r="B35637" i="1"/>
  <c r="B35636" i="1"/>
  <c r="B35635" i="1"/>
  <c r="B35634" i="1"/>
  <c r="B35633" i="1"/>
  <c r="B35632" i="1"/>
  <c r="B35631" i="1"/>
  <c r="B35630" i="1"/>
  <c r="B35629" i="1"/>
  <c r="B35628" i="1"/>
  <c r="B35627" i="1"/>
  <c r="B35626" i="1"/>
  <c r="B35625" i="1"/>
  <c r="B35624" i="1"/>
  <c r="B35623" i="1"/>
  <c r="B35622" i="1"/>
  <c r="B35621" i="1"/>
  <c r="B35620" i="1"/>
  <c r="B35619" i="1"/>
  <c r="B35618" i="1"/>
  <c r="B35617" i="1"/>
  <c r="B35616" i="1"/>
  <c r="B35615" i="1"/>
  <c r="B35614" i="1"/>
  <c r="B35613" i="1"/>
  <c r="B35612" i="1"/>
  <c r="B35611" i="1"/>
  <c r="B35610" i="1"/>
  <c r="B35609" i="1"/>
  <c r="B35608" i="1"/>
  <c r="B35607" i="1"/>
  <c r="B35606" i="1"/>
  <c r="B35605" i="1"/>
  <c r="B35604" i="1"/>
  <c r="B35603" i="1"/>
  <c r="B35602" i="1"/>
  <c r="B35601" i="1"/>
  <c r="B35600" i="1"/>
  <c r="B35599" i="1"/>
  <c r="B35598" i="1"/>
  <c r="B35597" i="1"/>
  <c r="B35596" i="1"/>
  <c r="B35595" i="1"/>
  <c r="B35594" i="1"/>
  <c r="B35593" i="1"/>
  <c r="B35592" i="1"/>
  <c r="B35591" i="1"/>
  <c r="B35590" i="1"/>
  <c r="B35589" i="1"/>
  <c r="B35588" i="1"/>
  <c r="B35587" i="1"/>
  <c r="B35586" i="1"/>
  <c r="B35585" i="1"/>
  <c r="B35584" i="1"/>
  <c r="B35583" i="1"/>
  <c r="B35582" i="1"/>
  <c r="B35581" i="1"/>
  <c r="B35580" i="1"/>
  <c r="B35579" i="1"/>
  <c r="B35578" i="1"/>
  <c r="B35577" i="1"/>
  <c r="B35576" i="1"/>
  <c r="B35575" i="1"/>
  <c r="B35574" i="1"/>
  <c r="B35573" i="1"/>
  <c r="B35572" i="1"/>
  <c r="B35571" i="1"/>
  <c r="B35570" i="1"/>
  <c r="B35569" i="1"/>
  <c r="B35568" i="1"/>
  <c r="B35567" i="1"/>
  <c r="B35566" i="1"/>
  <c r="B35565" i="1"/>
  <c r="B35564" i="1"/>
  <c r="B35563" i="1"/>
  <c r="B35562" i="1"/>
  <c r="B35561" i="1"/>
  <c r="B35560" i="1"/>
  <c r="B35559" i="1"/>
  <c r="B35558" i="1"/>
  <c r="B35557" i="1"/>
  <c r="B35556" i="1"/>
  <c r="B35555" i="1"/>
  <c r="B35554" i="1"/>
  <c r="B35553" i="1"/>
  <c r="B35552" i="1"/>
  <c r="B35551" i="1"/>
  <c r="B35550" i="1"/>
  <c r="B35549" i="1"/>
  <c r="B35548" i="1"/>
  <c r="B35547" i="1"/>
  <c r="B35546" i="1"/>
  <c r="B35545" i="1"/>
  <c r="B35544" i="1"/>
  <c r="B35543" i="1"/>
  <c r="B35542" i="1"/>
  <c r="B35541" i="1"/>
  <c r="B35540" i="1"/>
  <c r="B35539" i="1"/>
  <c r="B35538" i="1"/>
  <c r="B35537" i="1"/>
  <c r="B35536" i="1"/>
  <c r="B35535" i="1"/>
  <c r="B35534" i="1"/>
  <c r="B35533" i="1"/>
  <c r="B35532" i="1"/>
  <c r="B35531" i="1"/>
  <c r="B35530" i="1"/>
  <c r="B35529" i="1"/>
  <c r="B35528" i="1"/>
  <c r="B35527" i="1"/>
  <c r="B35526" i="1"/>
  <c r="B35525" i="1"/>
  <c r="B35524" i="1"/>
  <c r="B35523" i="1"/>
  <c r="B35522" i="1"/>
  <c r="B35521" i="1"/>
  <c r="B35520" i="1"/>
  <c r="B35519" i="1"/>
  <c r="B35518" i="1"/>
  <c r="B35517" i="1"/>
  <c r="B35516" i="1"/>
  <c r="B35515" i="1"/>
  <c r="B35514" i="1"/>
  <c r="B35513" i="1"/>
  <c r="B35512" i="1"/>
  <c r="B35511" i="1"/>
  <c r="B35510" i="1"/>
  <c r="B35509" i="1"/>
  <c r="B35508" i="1"/>
  <c r="B35507" i="1"/>
  <c r="B35506" i="1"/>
  <c r="B35505" i="1"/>
  <c r="B35504" i="1"/>
  <c r="B35503" i="1"/>
  <c r="B35502" i="1"/>
  <c r="B35501" i="1"/>
  <c r="B35500" i="1"/>
  <c r="B35499" i="1"/>
  <c r="B35498" i="1"/>
  <c r="B35497" i="1"/>
  <c r="B35496" i="1"/>
  <c r="B35495" i="1"/>
  <c r="B35494" i="1"/>
  <c r="B35493" i="1"/>
  <c r="B35492" i="1"/>
  <c r="B35491" i="1"/>
  <c r="B35490" i="1"/>
  <c r="B35489" i="1"/>
  <c r="B35488" i="1"/>
  <c r="B35487" i="1"/>
  <c r="B35486" i="1"/>
  <c r="B35485" i="1"/>
  <c r="B35484" i="1"/>
  <c r="B35483" i="1"/>
  <c r="B35482" i="1"/>
  <c r="B35481" i="1"/>
  <c r="B35480" i="1"/>
  <c r="B35479" i="1"/>
  <c r="B35478" i="1"/>
  <c r="B35477" i="1"/>
  <c r="B35476" i="1"/>
  <c r="B35475" i="1"/>
  <c r="B35474" i="1"/>
  <c r="B35473" i="1"/>
  <c r="B35472" i="1"/>
  <c r="B35471" i="1"/>
  <c r="B35470" i="1"/>
  <c r="B35469" i="1"/>
  <c r="B35468" i="1"/>
  <c r="B35467" i="1"/>
  <c r="B35466" i="1"/>
  <c r="B35465" i="1"/>
  <c r="B35464" i="1"/>
  <c r="B35463" i="1"/>
  <c r="B35462" i="1"/>
  <c r="B35461" i="1"/>
  <c r="B35460" i="1"/>
  <c r="B35459" i="1"/>
  <c r="B35458" i="1"/>
  <c r="B35457" i="1"/>
  <c r="B35456" i="1"/>
  <c r="B35455" i="1"/>
  <c r="B35454" i="1"/>
  <c r="B35453" i="1"/>
  <c r="B35452" i="1"/>
  <c r="B35451" i="1"/>
  <c r="B35450" i="1"/>
  <c r="B35449" i="1"/>
  <c r="B35448" i="1"/>
  <c r="B35447" i="1"/>
  <c r="B35446" i="1"/>
  <c r="B35445" i="1"/>
  <c r="B35444" i="1"/>
  <c r="B35443" i="1"/>
  <c r="B35442" i="1"/>
  <c r="B35441" i="1"/>
  <c r="B35440" i="1"/>
  <c r="B35439" i="1"/>
  <c r="B35438" i="1"/>
  <c r="B35437" i="1"/>
  <c r="B35436" i="1"/>
  <c r="B35435" i="1"/>
  <c r="B35434" i="1"/>
  <c r="B35433" i="1"/>
  <c r="B35432" i="1"/>
  <c r="B35431" i="1"/>
  <c r="B35430" i="1"/>
  <c r="B35429" i="1"/>
  <c r="B35428" i="1"/>
  <c r="B35427" i="1"/>
  <c r="B35426" i="1"/>
  <c r="B35425" i="1"/>
  <c r="B35424" i="1"/>
  <c r="B35423" i="1"/>
  <c r="B35422" i="1"/>
  <c r="B35421" i="1"/>
  <c r="B35420" i="1"/>
  <c r="B35419" i="1"/>
  <c r="B35418" i="1"/>
  <c r="B35417" i="1"/>
  <c r="B35416" i="1"/>
  <c r="B35415" i="1"/>
  <c r="B35414" i="1"/>
  <c r="B35413" i="1"/>
  <c r="B35412" i="1"/>
  <c r="B35411" i="1"/>
  <c r="B35410" i="1"/>
  <c r="B35409" i="1"/>
  <c r="B35408" i="1"/>
  <c r="B35407" i="1"/>
  <c r="B35406" i="1"/>
  <c r="B35405" i="1"/>
  <c r="B35404" i="1"/>
  <c r="B35403" i="1"/>
  <c r="B35402" i="1"/>
  <c r="B35401" i="1"/>
  <c r="B35400" i="1"/>
  <c r="B35399" i="1"/>
  <c r="B35398" i="1"/>
  <c r="B35397" i="1"/>
  <c r="B35396" i="1"/>
  <c r="B35395" i="1"/>
  <c r="B35394" i="1"/>
  <c r="B35393" i="1"/>
  <c r="B35392" i="1"/>
  <c r="B35391" i="1"/>
  <c r="B35390" i="1"/>
  <c r="B35389" i="1"/>
  <c r="B35388" i="1"/>
  <c r="B35387" i="1"/>
  <c r="B35386" i="1"/>
  <c r="B35385" i="1"/>
  <c r="B35384" i="1"/>
  <c r="B35383" i="1"/>
  <c r="B35382" i="1"/>
  <c r="B35381" i="1"/>
  <c r="B35380" i="1"/>
  <c r="B35379" i="1"/>
  <c r="B35378" i="1"/>
  <c r="B35377" i="1"/>
  <c r="B35376" i="1"/>
  <c r="B35375" i="1"/>
  <c r="B35374" i="1"/>
  <c r="B35373" i="1"/>
  <c r="B35372" i="1"/>
  <c r="B35371" i="1"/>
  <c r="B35370" i="1"/>
  <c r="B35369" i="1"/>
  <c r="B35368" i="1"/>
  <c r="B35367" i="1"/>
  <c r="B35366" i="1"/>
  <c r="B35365" i="1"/>
  <c r="B35364" i="1"/>
  <c r="B35363" i="1"/>
  <c r="B35362" i="1"/>
  <c r="B35361" i="1"/>
  <c r="B35360" i="1"/>
  <c r="B35359" i="1"/>
  <c r="B35358" i="1"/>
  <c r="B35357" i="1"/>
  <c r="B35356" i="1"/>
  <c r="B35355" i="1"/>
  <c r="B35354" i="1"/>
  <c r="B35353" i="1"/>
  <c r="B35352" i="1"/>
  <c r="B35351" i="1"/>
  <c r="B35350" i="1"/>
  <c r="B35349" i="1"/>
  <c r="B35348" i="1"/>
  <c r="B35347" i="1"/>
  <c r="B35346" i="1"/>
  <c r="B35345" i="1"/>
  <c r="B35344" i="1"/>
  <c r="B35343" i="1"/>
  <c r="B35342" i="1"/>
  <c r="B35341" i="1"/>
  <c r="B35340" i="1"/>
  <c r="B35339" i="1"/>
  <c r="B35338" i="1"/>
  <c r="B35337" i="1"/>
  <c r="B35336" i="1"/>
  <c r="B35335" i="1"/>
  <c r="B35334" i="1"/>
  <c r="B35333" i="1"/>
  <c r="B35332" i="1"/>
  <c r="B35331" i="1"/>
  <c r="B35330" i="1"/>
  <c r="B35329" i="1"/>
  <c r="B35328" i="1"/>
  <c r="B35327" i="1"/>
  <c r="B35326" i="1"/>
  <c r="B35325" i="1"/>
  <c r="B35324" i="1"/>
  <c r="B35323" i="1"/>
  <c r="B35322" i="1"/>
  <c r="B35321" i="1"/>
  <c r="B35320" i="1"/>
  <c r="B35319" i="1"/>
  <c r="B35318" i="1"/>
  <c r="B35317" i="1"/>
  <c r="B35316" i="1"/>
  <c r="B35315" i="1"/>
  <c r="B35314" i="1"/>
  <c r="B35313" i="1"/>
  <c r="B35312" i="1"/>
  <c r="B35311" i="1"/>
  <c r="B35310" i="1"/>
  <c r="B35309" i="1"/>
  <c r="B35308" i="1"/>
  <c r="B35307" i="1"/>
  <c r="B35306" i="1"/>
  <c r="B35305" i="1"/>
  <c r="B35304" i="1"/>
  <c r="B35303" i="1"/>
  <c r="B35302" i="1"/>
  <c r="B35301" i="1"/>
  <c r="B35300" i="1"/>
  <c r="B35299" i="1"/>
  <c r="B35298" i="1"/>
  <c r="B35297" i="1"/>
  <c r="B35296" i="1"/>
  <c r="B35295" i="1"/>
  <c r="B35294" i="1"/>
  <c r="B35293" i="1"/>
  <c r="B35292" i="1"/>
  <c r="B35291" i="1"/>
  <c r="B35290" i="1"/>
  <c r="B35289" i="1"/>
  <c r="B35288" i="1"/>
  <c r="B35287" i="1"/>
  <c r="B35286" i="1"/>
  <c r="B35285" i="1"/>
  <c r="B35284" i="1"/>
  <c r="B35283" i="1"/>
  <c r="B35282" i="1"/>
  <c r="B35281" i="1"/>
  <c r="B35280" i="1"/>
  <c r="B35279" i="1"/>
  <c r="B35278" i="1"/>
  <c r="B35277" i="1"/>
  <c r="B35276" i="1"/>
  <c r="B35275" i="1"/>
  <c r="B35274" i="1"/>
  <c r="B35273" i="1"/>
  <c r="B35272" i="1"/>
  <c r="B35271" i="1"/>
  <c r="B35270" i="1"/>
  <c r="B35269" i="1"/>
  <c r="B35268" i="1"/>
  <c r="B35267" i="1"/>
  <c r="B35266" i="1"/>
  <c r="B35265" i="1"/>
  <c r="B35264" i="1"/>
  <c r="B35263" i="1"/>
  <c r="B35262" i="1"/>
  <c r="B35261" i="1"/>
  <c r="B35260" i="1"/>
  <c r="B35259" i="1"/>
  <c r="B35258" i="1"/>
  <c r="B35257" i="1"/>
  <c r="B35256" i="1"/>
  <c r="B35255" i="1"/>
  <c r="B35254" i="1"/>
  <c r="B35253" i="1"/>
  <c r="B35252" i="1"/>
  <c r="B35251" i="1"/>
  <c r="B35250" i="1"/>
  <c r="B35249" i="1"/>
  <c r="B35248" i="1"/>
  <c r="B35247" i="1"/>
  <c r="B35246" i="1"/>
  <c r="B35245" i="1"/>
  <c r="B35244" i="1"/>
  <c r="B35243" i="1"/>
  <c r="B35242" i="1"/>
  <c r="B35241" i="1"/>
  <c r="B35240" i="1"/>
  <c r="B35239" i="1"/>
  <c r="B35238" i="1"/>
  <c r="B35237" i="1"/>
  <c r="B35236" i="1"/>
  <c r="B35235" i="1"/>
  <c r="B35234" i="1"/>
  <c r="B35233" i="1"/>
  <c r="B35232" i="1"/>
  <c r="B35231" i="1"/>
  <c r="B35230" i="1"/>
  <c r="B35229" i="1"/>
  <c r="B35228" i="1"/>
  <c r="B35227" i="1"/>
  <c r="B35226" i="1"/>
  <c r="B35225" i="1"/>
  <c r="B35224" i="1"/>
  <c r="B35223" i="1"/>
  <c r="B35222" i="1"/>
  <c r="B35221" i="1"/>
  <c r="B35220" i="1"/>
  <c r="B35219" i="1"/>
  <c r="B35218" i="1"/>
  <c r="B35217" i="1"/>
  <c r="B35216" i="1"/>
  <c r="B35215" i="1"/>
  <c r="B35214" i="1"/>
  <c r="B35213" i="1"/>
  <c r="B35212" i="1"/>
  <c r="B35211" i="1"/>
  <c r="B35210" i="1"/>
  <c r="B35209" i="1"/>
  <c r="B35208" i="1"/>
  <c r="B35207" i="1"/>
  <c r="B35206" i="1"/>
  <c r="B35205" i="1"/>
  <c r="B35204" i="1"/>
  <c r="B35203" i="1"/>
  <c r="B35202" i="1"/>
  <c r="B35201" i="1"/>
  <c r="B35200" i="1"/>
  <c r="B35199" i="1"/>
  <c r="B35198" i="1"/>
  <c r="B35197" i="1"/>
  <c r="B35196" i="1"/>
  <c r="B35195" i="1"/>
  <c r="B35194" i="1"/>
  <c r="B35193" i="1"/>
  <c r="B35192" i="1"/>
  <c r="B35191" i="1"/>
  <c r="B35190" i="1"/>
  <c r="B35189" i="1"/>
  <c r="B35188" i="1"/>
  <c r="B35187" i="1"/>
  <c r="B35186" i="1"/>
  <c r="B35185" i="1"/>
  <c r="B35184" i="1"/>
  <c r="B35183" i="1"/>
  <c r="B35182" i="1"/>
  <c r="B35181" i="1"/>
  <c r="B35180" i="1"/>
  <c r="B35179" i="1"/>
  <c r="B35178" i="1"/>
  <c r="B35177" i="1"/>
  <c r="B35176" i="1"/>
  <c r="B35175" i="1"/>
  <c r="B35174" i="1"/>
  <c r="B35173" i="1"/>
  <c r="B35172" i="1"/>
  <c r="B35171" i="1"/>
  <c r="B35170" i="1"/>
  <c r="B35169" i="1"/>
  <c r="B35168" i="1"/>
  <c r="B35167" i="1"/>
  <c r="B35166" i="1"/>
  <c r="B35165" i="1"/>
  <c r="B35164" i="1"/>
  <c r="B35163" i="1"/>
  <c r="B35162" i="1"/>
  <c r="B35161" i="1"/>
  <c r="B35160" i="1"/>
  <c r="B35159" i="1"/>
  <c r="B35158" i="1"/>
  <c r="B35157" i="1"/>
  <c r="B35156" i="1"/>
  <c r="B35155" i="1"/>
  <c r="B35154" i="1"/>
  <c r="B35153" i="1"/>
  <c r="B35152" i="1"/>
  <c r="B35151" i="1"/>
  <c r="B35150" i="1"/>
  <c r="B35149" i="1"/>
  <c r="B35148" i="1"/>
  <c r="B35147" i="1"/>
  <c r="B35146" i="1"/>
  <c r="B35145" i="1"/>
  <c r="B35144" i="1"/>
  <c r="B35143" i="1"/>
  <c r="B35142" i="1"/>
  <c r="B35141" i="1"/>
  <c r="B35140" i="1"/>
  <c r="B35139" i="1"/>
  <c r="B35138" i="1"/>
  <c r="B35137" i="1"/>
  <c r="B35136" i="1"/>
  <c r="B35135" i="1"/>
  <c r="B35134" i="1"/>
  <c r="B35133" i="1"/>
  <c r="B35132" i="1"/>
  <c r="B35131" i="1"/>
  <c r="B35130" i="1"/>
  <c r="B35129" i="1"/>
  <c r="B35128" i="1"/>
  <c r="B35127" i="1"/>
  <c r="B35126" i="1"/>
  <c r="B35125" i="1"/>
  <c r="B35124" i="1"/>
  <c r="B35123" i="1"/>
  <c r="B35122" i="1"/>
  <c r="B35121" i="1"/>
  <c r="B35120" i="1"/>
  <c r="B35119" i="1"/>
  <c r="B35118" i="1"/>
  <c r="B35117" i="1"/>
  <c r="B35116" i="1"/>
  <c r="B35115" i="1"/>
  <c r="B35114" i="1"/>
  <c r="B35113" i="1"/>
  <c r="B35112" i="1"/>
  <c r="B35111" i="1"/>
  <c r="B35110" i="1"/>
  <c r="B35109" i="1"/>
  <c r="B35108" i="1"/>
  <c r="B35107" i="1"/>
  <c r="B35106" i="1"/>
  <c r="B35105" i="1"/>
  <c r="B35104" i="1"/>
  <c r="B35103" i="1"/>
  <c r="B35102" i="1"/>
  <c r="B35101" i="1"/>
  <c r="B35100" i="1"/>
  <c r="B35099" i="1"/>
  <c r="B35098" i="1"/>
  <c r="B35097" i="1"/>
  <c r="B35096" i="1"/>
  <c r="B35095" i="1"/>
  <c r="B35094" i="1"/>
  <c r="B35093" i="1"/>
  <c r="B35092" i="1"/>
  <c r="B35091" i="1"/>
  <c r="B35090" i="1"/>
  <c r="B35089" i="1"/>
  <c r="B35088" i="1"/>
  <c r="B35087" i="1"/>
  <c r="B35086" i="1"/>
  <c r="B35085" i="1"/>
  <c r="B35084" i="1"/>
  <c r="B35083" i="1"/>
  <c r="B35082" i="1"/>
  <c r="B35081" i="1"/>
  <c r="B35080" i="1"/>
  <c r="B35079" i="1"/>
  <c r="B35078" i="1"/>
  <c r="B35077" i="1"/>
  <c r="B35076" i="1"/>
  <c r="B35075" i="1"/>
  <c r="B35074" i="1"/>
  <c r="B35073" i="1"/>
  <c r="B35072" i="1"/>
  <c r="B35071" i="1"/>
  <c r="B35070" i="1"/>
  <c r="B35069" i="1"/>
  <c r="B35068" i="1"/>
  <c r="B35067" i="1"/>
  <c r="B35066" i="1"/>
  <c r="B35065" i="1"/>
  <c r="B35064" i="1"/>
  <c r="B35063" i="1"/>
  <c r="B35062" i="1"/>
  <c r="B35061" i="1"/>
  <c r="B35060" i="1"/>
  <c r="B35059" i="1"/>
  <c r="B35058" i="1"/>
  <c r="B35057" i="1"/>
  <c r="B35056" i="1"/>
  <c r="B35055" i="1"/>
  <c r="B35054" i="1"/>
  <c r="B35053" i="1"/>
  <c r="B35052" i="1"/>
  <c r="B35051" i="1"/>
  <c r="B35050" i="1"/>
  <c r="B35049" i="1"/>
  <c r="B35048" i="1"/>
  <c r="B35047" i="1"/>
  <c r="B35046" i="1"/>
  <c r="B35045" i="1"/>
  <c r="B35044" i="1"/>
  <c r="B35043" i="1"/>
  <c r="B35042" i="1"/>
  <c r="B35041" i="1"/>
  <c r="B35040" i="1"/>
  <c r="B35039" i="1"/>
  <c r="B35038" i="1"/>
  <c r="B35037" i="1"/>
  <c r="B35036" i="1"/>
  <c r="B35035" i="1"/>
  <c r="B35034" i="1"/>
  <c r="B35033" i="1"/>
  <c r="B35032" i="1"/>
  <c r="B35031" i="1"/>
  <c r="B35030" i="1"/>
  <c r="B35029" i="1"/>
  <c r="B35028" i="1"/>
  <c r="B35027" i="1"/>
  <c r="B35026" i="1"/>
  <c r="B35025" i="1"/>
  <c r="B35024" i="1"/>
  <c r="B35023" i="1"/>
  <c r="B35022" i="1"/>
  <c r="B35021" i="1"/>
  <c r="B35020" i="1"/>
  <c r="B35019" i="1"/>
  <c r="B35018" i="1"/>
  <c r="B35017" i="1"/>
  <c r="B35016" i="1"/>
  <c r="B35015" i="1"/>
  <c r="B35014" i="1"/>
  <c r="B35013" i="1"/>
  <c r="B35012" i="1"/>
  <c r="B35011" i="1"/>
  <c r="B35010" i="1"/>
  <c r="B35009" i="1"/>
  <c r="B35008" i="1"/>
  <c r="B35007" i="1"/>
  <c r="B35006" i="1"/>
  <c r="B35005" i="1"/>
  <c r="B35004" i="1"/>
  <c r="B35003" i="1"/>
  <c r="B35002" i="1"/>
  <c r="B35001" i="1"/>
  <c r="B35000" i="1"/>
  <c r="B34999" i="1"/>
  <c r="B34998" i="1"/>
  <c r="B34997" i="1"/>
  <c r="B34996" i="1"/>
  <c r="B34995" i="1"/>
  <c r="B34994" i="1"/>
  <c r="B34993" i="1"/>
  <c r="B34992" i="1"/>
  <c r="B34991" i="1"/>
  <c r="B34990" i="1"/>
  <c r="B34989" i="1"/>
  <c r="B34988" i="1"/>
  <c r="B34987" i="1"/>
  <c r="B34986" i="1"/>
  <c r="B34985" i="1"/>
  <c r="B34984" i="1"/>
  <c r="B34983" i="1"/>
  <c r="B34982" i="1"/>
  <c r="B34981" i="1"/>
  <c r="B34980" i="1"/>
  <c r="B34979" i="1"/>
  <c r="B34978" i="1"/>
  <c r="B34977" i="1"/>
  <c r="B34976" i="1"/>
  <c r="B34975" i="1"/>
  <c r="B34974" i="1"/>
  <c r="B34973" i="1"/>
  <c r="B34972" i="1"/>
  <c r="B34971" i="1"/>
  <c r="B34970" i="1"/>
  <c r="B34969" i="1"/>
  <c r="B34968" i="1"/>
  <c r="B34967" i="1"/>
  <c r="B34966" i="1"/>
  <c r="B34965" i="1"/>
  <c r="B34964" i="1"/>
  <c r="B34963" i="1"/>
  <c r="B34962" i="1"/>
  <c r="B34961" i="1"/>
  <c r="B34960" i="1"/>
  <c r="B34959" i="1"/>
  <c r="B34958" i="1"/>
  <c r="B34957" i="1"/>
  <c r="B34956" i="1"/>
  <c r="B34955" i="1"/>
  <c r="B34954" i="1"/>
  <c r="B34953" i="1"/>
  <c r="B34952" i="1"/>
  <c r="B34951" i="1"/>
  <c r="B34950" i="1"/>
  <c r="B34949" i="1"/>
  <c r="B34948" i="1"/>
  <c r="B34947" i="1"/>
  <c r="B34946" i="1"/>
  <c r="B34945" i="1"/>
  <c r="B34944" i="1"/>
  <c r="B34943" i="1"/>
  <c r="B34942" i="1"/>
  <c r="B34941" i="1"/>
  <c r="B34940" i="1"/>
  <c r="B34939" i="1"/>
  <c r="B34938" i="1"/>
  <c r="B34937" i="1"/>
  <c r="B34936" i="1"/>
  <c r="B34935" i="1"/>
  <c r="B34934" i="1"/>
  <c r="B34933" i="1"/>
  <c r="B34932" i="1"/>
  <c r="B34931" i="1"/>
  <c r="B34930" i="1"/>
  <c r="B34929" i="1"/>
  <c r="B34928" i="1"/>
  <c r="B34927" i="1"/>
  <c r="B34926" i="1"/>
  <c r="B34925" i="1"/>
  <c r="B34924" i="1"/>
  <c r="B34923" i="1"/>
  <c r="B34922" i="1"/>
  <c r="B34921" i="1"/>
  <c r="B34920" i="1"/>
  <c r="B34919" i="1"/>
  <c r="B34918" i="1"/>
  <c r="B34917" i="1"/>
  <c r="B34916" i="1"/>
  <c r="B34915" i="1"/>
  <c r="B34914" i="1"/>
  <c r="B34913" i="1"/>
  <c r="B34912" i="1"/>
  <c r="B34911" i="1"/>
  <c r="B34910" i="1"/>
  <c r="B34909" i="1"/>
  <c r="B34908" i="1"/>
  <c r="B34907" i="1"/>
  <c r="B34906" i="1"/>
  <c r="B34905" i="1"/>
  <c r="B34904" i="1"/>
  <c r="B34903" i="1"/>
  <c r="B34902" i="1"/>
  <c r="B34901" i="1"/>
  <c r="B34900" i="1"/>
  <c r="B34899" i="1"/>
  <c r="B34898" i="1"/>
  <c r="B34897" i="1"/>
  <c r="B34896" i="1"/>
  <c r="B34895" i="1"/>
  <c r="B34894" i="1"/>
  <c r="B34893" i="1"/>
  <c r="B34892" i="1"/>
  <c r="B34891" i="1"/>
  <c r="B34890" i="1"/>
  <c r="B34889" i="1"/>
  <c r="B34888" i="1"/>
  <c r="B34887" i="1"/>
  <c r="B34886" i="1"/>
  <c r="B34885" i="1"/>
  <c r="B34884" i="1"/>
  <c r="B34883" i="1"/>
  <c r="B34882" i="1"/>
  <c r="B34881" i="1"/>
  <c r="B34880" i="1"/>
  <c r="B34879" i="1"/>
  <c r="B34878" i="1"/>
  <c r="B34877" i="1"/>
  <c r="B34876" i="1"/>
  <c r="B34875" i="1"/>
  <c r="B34874" i="1"/>
  <c r="B34873" i="1"/>
  <c r="B34872" i="1"/>
  <c r="B34871" i="1"/>
  <c r="B34870" i="1"/>
  <c r="B34869" i="1"/>
  <c r="B34868" i="1"/>
  <c r="B34867" i="1"/>
  <c r="B34866" i="1"/>
  <c r="B34865" i="1"/>
  <c r="B34864" i="1"/>
  <c r="B34863" i="1"/>
  <c r="B34862" i="1"/>
  <c r="B34861" i="1"/>
  <c r="B34860" i="1"/>
  <c r="B34859" i="1"/>
  <c r="B34858" i="1"/>
  <c r="B34857" i="1"/>
  <c r="B34856" i="1"/>
  <c r="B34855" i="1"/>
  <c r="B34854" i="1"/>
  <c r="B34853" i="1"/>
  <c r="B34852" i="1"/>
  <c r="B34851" i="1"/>
  <c r="B34850" i="1"/>
  <c r="B34849" i="1"/>
  <c r="B34848" i="1"/>
  <c r="B34847" i="1"/>
  <c r="B34846" i="1"/>
  <c r="B34845" i="1"/>
  <c r="B34844" i="1"/>
  <c r="B34843" i="1"/>
  <c r="B34842" i="1"/>
  <c r="B34841" i="1"/>
  <c r="B34840" i="1"/>
  <c r="B34839" i="1"/>
  <c r="B34838" i="1"/>
  <c r="B34837" i="1"/>
  <c r="B34836" i="1"/>
  <c r="B34835" i="1"/>
  <c r="B34834" i="1"/>
  <c r="B34833" i="1"/>
  <c r="B34832" i="1"/>
  <c r="B34831" i="1"/>
  <c r="B34830" i="1"/>
  <c r="B34829" i="1"/>
  <c r="B34828" i="1"/>
  <c r="B34827" i="1"/>
  <c r="B34826" i="1"/>
  <c r="B34825" i="1"/>
  <c r="B34824" i="1"/>
  <c r="B34823" i="1"/>
  <c r="B34822" i="1"/>
  <c r="B34821" i="1"/>
  <c r="B34820" i="1"/>
  <c r="B34819" i="1"/>
  <c r="B34818" i="1"/>
  <c r="B34817" i="1"/>
  <c r="B34816" i="1"/>
  <c r="B34815" i="1"/>
  <c r="B34814" i="1"/>
  <c r="B34813" i="1"/>
  <c r="B34812" i="1"/>
  <c r="B34811" i="1"/>
  <c r="B34810" i="1"/>
  <c r="B34809" i="1"/>
  <c r="B34808" i="1"/>
  <c r="B34807" i="1"/>
  <c r="B34806" i="1"/>
  <c r="B34805" i="1"/>
  <c r="B34804" i="1"/>
  <c r="B34803" i="1"/>
  <c r="B34802" i="1"/>
  <c r="B34801" i="1"/>
  <c r="B34800" i="1"/>
  <c r="B34799" i="1"/>
  <c r="B34798" i="1"/>
  <c r="B34797" i="1"/>
  <c r="B34796" i="1"/>
  <c r="B34795" i="1"/>
  <c r="B34794" i="1"/>
  <c r="B34793" i="1"/>
  <c r="B34792" i="1"/>
  <c r="B34791" i="1"/>
  <c r="B34790" i="1"/>
  <c r="B34789" i="1"/>
  <c r="B34788" i="1"/>
  <c r="B34787" i="1"/>
  <c r="B34786" i="1"/>
  <c r="B34785" i="1"/>
  <c r="B34784" i="1"/>
  <c r="B34783" i="1"/>
  <c r="B34782" i="1"/>
  <c r="B34781" i="1"/>
  <c r="B34780" i="1"/>
  <c r="B34779" i="1"/>
  <c r="B34778" i="1"/>
  <c r="B34777" i="1"/>
  <c r="B34776" i="1"/>
  <c r="B34775" i="1"/>
  <c r="B34774" i="1"/>
  <c r="B34773" i="1"/>
  <c r="B34772" i="1"/>
  <c r="B34771" i="1"/>
  <c r="B34770" i="1"/>
  <c r="B34769" i="1"/>
  <c r="B34768" i="1"/>
  <c r="B34767" i="1"/>
  <c r="B34766" i="1"/>
  <c r="B34765" i="1"/>
  <c r="B34764" i="1"/>
  <c r="B34763" i="1"/>
  <c r="B34762" i="1"/>
  <c r="B34761" i="1"/>
  <c r="B34760" i="1"/>
  <c r="B34759" i="1"/>
  <c r="B34758" i="1"/>
  <c r="B34757" i="1"/>
  <c r="B34756" i="1"/>
  <c r="B34755" i="1"/>
  <c r="B34754" i="1"/>
  <c r="B34753" i="1"/>
  <c r="B34752" i="1"/>
  <c r="B34751" i="1"/>
  <c r="B34750" i="1"/>
  <c r="B34749" i="1"/>
  <c r="B34748" i="1"/>
  <c r="B34747" i="1"/>
  <c r="B34746" i="1"/>
  <c r="B34745" i="1"/>
  <c r="B34744" i="1"/>
  <c r="B34743" i="1"/>
  <c r="B34742" i="1"/>
  <c r="B34741" i="1"/>
  <c r="B34740" i="1"/>
  <c r="B34739" i="1"/>
  <c r="B34738" i="1"/>
  <c r="B34737" i="1"/>
  <c r="B34736" i="1"/>
  <c r="B34735" i="1"/>
  <c r="B34734" i="1"/>
  <c r="B34733" i="1"/>
  <c r="B34732" i="1"/>
  <c r="B34731" i="1"/>
  <c r="B34730" i="1"/>
  <c r="B34729" i="1"/>
  <c r="B34728" i="1"/>
  <c r="B34727" i="1"/>
  <c r="B34726" i="1"/>
  <c r="B34725" i="1"/>
  <c r="B34724" i="1"/>
  <c r="B34723" i="1"/>
  <c r="B34722" i="1"/>
  <c r="B34721" i="1"/>
  <c r="B34720" i="1"/>
  <c r="B34719" i="1"/>
  <c r="B34718" i="1"/>
  <c r="B34717" i="1"/>
  <c r="B34716" i="1"/>
  <c r="B34715" i="1"/>
  <c r="B34714" i="1"/>
  <c r="B34713" i="1"/>
  <c r="B34712" i="1"/>
  <c r="B34711" i="1"/>
  <c r="B34710" i="1"/>
  <c r="B34709" i="1"/>
  <c r="B34708" i="1"/>
  <c r="B34707" i="1"/>
  <c r="B34706" i="1"/>
  <c r="B34705" i="1"/>
  <c r="B34704" i="1"/>
  <c r="B34703" i="1"/>
  <c r="B34702" i="1"/>
  <c r="B34701" i="1"/>
  <c r="B34700" i="1"/>
  <c r="B34699" i="1"/>
  <c r="B34698" i="1"/>
  <c r="B34697" i="1"/>
  <c r="B34696" i="1"/>
  <c r="B34695" i="1"/>
  <c r="B34694" i="1"/>
  <c r="B34693" i="1"/>
  <c r="B34692" i="1"/>
  <c r="B34691" i="1"/>
  <c r="B34690" i="1"/>
  <c r="B34689" i="1"/>
  <c r="B34688" i="1"/>
  <c r="B34687" i="1"/>
  <c r="B34686" i="1"/>
  <c r="B34685" i="1"/>
  <c r="B34684" i="1"/>
  <c r="B34683" i="1"/>
  <c r="B34682" i="1"/>
  <c r="B34681" i="1"/>
  <c r="B34680" i="1"/>
  <c r="B34679" i="1"/>
  <c r="B34678" i="1"/>
  <c r="B34677" i="1"/>
  <c r="B34676" i="1"/>
  <c r="B34675" i="1"/>
  <c r="B34674" i="1"/>
  <c r="B34673" i="1"/>
  <c r="B34672" i="1"/>
  <c r="B34671" i="1"/>
  <c r="B34670" i="1"/>
  <c r="B34669" i="1"/>
  <c r="B34668" i="1"/>
  <c r="B34667" i="1"/>
  <c r="B34666" i="1"/>
  <c r="B34665" i="1"/>
  <c r="B34664" i="1"/>
  <c r="B34663" i="1"/>
  <c r="B34662" i="1"/>
  <c r="B34661" i="1"/>
  <c r="B34660" i="1"/>
  <c r="B34659" i="1"/>
  <c r="B34658" i="1"/>
  <c r="B34657" i="1"/>
  <c r="B34656" i="1"/>
  <c r="B34655" i="1"/>
  <c r="B34654" i="1"/>
  <c r="B34653" i="1"/>
  <c r="B34652" i="1"/>
  <c r="B34651" i="1"/>
  <c r="B34650" i="1"/>
  <c r="B34649" i="1"/>
  <c r="B34648" i="1"/>
  <c r="B34647" i="1"/>
  <c r="B34646" i="1"/>
  <c r="B34645" i="1"/>
  <c r="B34644" i="1"/>
  <c r="B34643" i="1"/>
  <c r="B34642" i="1"/>
  <c r="B34641" i="1"/>
  <c r="B34640" i="1"/>
  <c r="B34639" i="1"/>
  <c r="B34638" i="1"/>
  <c r="B34637" i="1"/>
  <c r="B34636" i="1"/>
  <c r="B34635" i="1"/>
  <c r="B34634" i="1"/>
  <c r="B34633" i="1"/>
  <c r="B34632" i="1"/>
  <c r="B34631" i="1"/>
  <c r="B34630" i="1"/>
  <c r="B34629" i="1"/>
  <c r="B34628" i="1"/>
  <c r="B34627" i="1"/>
  <c r="B34626" i="1"/>
  <c r="B34625" i="1"/>
  <c r="B34624" i="1"/>
  <c r="B34623" i="1"/>
  <c r="B34622" i="1"/>
  <c r="B34621" i="1"/>
  <c r="B34620" i="1"/>
  <c r="B34619" i="1"/>
  <c r="B34618" i="1"/>
  <c r="B34617" i="1"/>
  <c r="B34616" i="1"/>
  <c r="B34615" i="1"/>
  <c r="B34614" i="1"/>
  <c r="B34613" i="1"/>
  <c r="B34612" i="1"/>
  <c r="B34611" i="1"/>
  <c r="B34610" i="1"/>
  <c r="B34609" i="1"/>
  <c r="B34608" i="1"/>
  <c r="B34607" i="1"/>
  <c r="B34606" i="1"/>
  <c r="B34605" i="1"/>
  <c r="B34604" i="1"/>
  <c r="B34603" i="1"/>
  <c r="B34602" i="1"/>
  <c r="B34601" i="1"/>
  <c r="B34600" i="1"/>
  <c r="B34599" i="1"/>
  <c r="B34598" i="1"/>
  <c r="B34597" i="1"/>
  <c r="B34596" i="1"/>
  <c r="B34595" i="1"/>
  <c r="B34594" i="1"/>
  <c r="B34593" i="1"/>
  <c r="B34592" i="1"/>
  <c r="B34591" i="1"/>
  <c r="B34590" i="1"/>
  <c r="B34589" i="1"/>
  <c r="B34588" i="1"/>
  <c r="B34587" i="1"/>
  <c r="B34586" i="1"/>
  <c r="B34585" i="1"/>
  <c r="B34584" i="1"/>
  <c r="B34583" i="1"/>
  <c r="B34582" i="1"/>
  <c r="B34581" i="1"/>
  <c r="B34580" i="1"/>
  <c r="B34579" i="1"/>
  <c r="B34578" i="1"/>
  <c r="B34577" i="1"/>
  <c r="B34576" i="1"/>
  <c r="B34575" i="1"/>
  <c r="B34574" i="1"/>
  <c r="B34573" i="1"/>
  <c r="B34572" i="1"/>
  <c r="B34571" i="1"/>
  <c r="B34570" i="1"/>
  <c r="B34569" i="1"/>
  <c r="B34568" i="1"/>
  <c r="B34567" i="1"/>
  <c r="B34566" i="1"/>
  <c r="B34565" i="1"/>
  <c r="B34564" i="1"/>
  <c r="B34563" i="1"/>
  <c r="B34562" i="1"/>
  <c r="B34561" i="1"/>
  <c r="B34560" i="1"/>
  <c r="B34559" i="1"/>
  <c r="B34558" i="1"/>
  <c r="B34557" i="1"/>
  <c r="B34556" i="1"/>
  <c r="B34555" i="1"/>
  <c r="B34554" i="1"/>
  <c r="B34553" i="1"/>
  <c r="B34552" i="1"/>
  <c r="B34551" i="1"/>
  <c r="B34550" i="1"/>
  <c r="B34549" i="1"/>
  <c r="B34548" i="1"/>
  <c r="B34547" i="1"/>
  <c r="B34546" i="1"/>
  <c r="B34545" i="1"/>
  <c r="B34544" i="1"/>
  <c r="B34543" i="1"/>
  <c r="B34542" i="1"/>
  <c r="B34541" i="1"/>
  <c r="B34540" i="1"/>
  <c r="B34539" i="1"/>
  <c r="B34538" i="1"/>
  <c r="B34537" i="1"/>
  <c r="B34536" i="1"/>
  <c r="B34535" i="1"/>
  <c r="B34534" i="1"/>
  <c r="B34533" i="1"/>
  <c r="B34532" i="1"/>
  <c r="B34531" i="1"/>
  <c r="B34530" i="1"/>
  <c r="B34529" i="1"/>
  <c r="B34528" i="1"/>
  <c r="B34527" i="1"/>
  <c r="B34526" i="1"/>
  <c r="B34525" i="1"/>
  <c r="B34524" i="1"/>
  <c r="B34523" i="1"/>
  <c r="B34522" i="1"/>
  <c r="B34521" i="1"/>
  <c r="B34520" i="1"/>
  <c r="B34519" i="1"/>
  <c r="B34518" i="1"/>
  <c r="B34517" i="1"/>
  <c r="B34516" i="1"/>
  <c r="B34515" i="1"/>
  <c r="B34514" i="1"/>
  <c r="B34513" i="1"/>
  <c r="B34512" i="1"/>
  <c r="B34511" i="1"/>
  <c r="B34510" i="1"/>
  <c r="B34509" i="1"/>
  <c r="B34508" i="1"/>
  <c r="B34507" i="1"/>
  <c r="B34506" i="1"/>
  <c r="B34505" i="1"/>
  <c r="B34504" i="1"/>
  <c r="B34503" i="1"/>
  <c r="B34502" i="1"/>
  <c r="B34501" i="1"/>
  <c r="B34500" i="1"/>
  <c r="B34499" i="1"/>
  <c r="B34498" i="1"/>
  <c r="B34497" i="1"/>
  <c r="B34496" i="1"/>
  <c r="B34495" i="1"/>
  <c r="B34494" i="1"/>
  <c r="B34493" i="1"/>
  <c r="B34492" i="1"/>
  <c r="B34491" i="1"/>
  <c r="B34490" i="1"/>
  <c r="B34489" i="1"/>
  <c r="B34488" i="1"/>
  <c r="B34487" i="1"/>
  <c r="B34486" i="1"/>
  <c r="B34485" i="1"/>
  <c r="B34484" i="1"/>
  <c r="B34483" i="1"/>
  <c r="B34482" i="1"/>
  <c r="B34481" i="1"/>
  <c r="B34480" i="1"/>
  <c r="B34479" i="1"/>
  <c r="B34478" i="1"/>
  <c r="B34477" i="1"/>
  <c r="B34476" i="1"/>
  <c r="B34475" i="1"/>
  <c r="B34474" i="1"/>
  <c r="B34473" i="1"/>
  <c r="B34472" i="1"/>
  <c r="B34471" i="1"/>
  <c r="B34470" i="1"/>
  <c r="B34469" i="1"/>
  <c r="B34468" i="1"/>
  <c r="B34467" i="1"/>
  <c r="B34466" i="1"/>
  <c r="B34465" i="1"/>
  <c r="B34464" i="1"/>
  <c r="B34463" i="1"/>
  <c r="B34462" i="1"/>
  <c r="B34461" i="1"/>
  <c r="B34460" i="1"/>
  <c r="B34459" i="1"/>
  <c r="B34458" i="1"/>
  <c r="B34457" i="1"/>
  <c r="B34456" i="1"/>
  <c r="B34455" i="1"/>
  <c r="B34454" i="1"/>
  <c r="B34453" i="1"/>
  <c r="B34452" i="1"/>
  <c r="B34451" i="1"/>
  <c r="B34450" i="1"/>
  <c r="B34449" i="1"/>
  <c r="B34448" i="1"/>
  <c r="B34447" i="1"/>
  <c r="B34446" i="1"/>
  <c r="B34445" i="1"/>
  <c r="B34444" i="1"/>
  <c r="B34443" i="1"/>
  <c r="B34442" i="1"/>
  <c r="B34441" i="1"/>
  <c r="B34440" i="1"/>
  <c r="B34439" i="1"/>
  <c r="B34438" i="1"/>
  <c r="B34437" i="1"/>
  <c r="B34436" i="1"/>
  <c r="B34435" i="1"/>
  <c r="B34434" i="1"/>
  <c r="B34433" i="1"/>
  <c r="B34432" i="1"/>
  <c r="B34431" i="1"/>
  <c r="B34430" i="1"/>
  <c r="B34429" i="1"/>
  <c r="B34428" i="1"/>
  <c r="B34427" i="1"/>
  <c r="B34426" i="1"/>
  <c r="B34425" i="1"/>
  <c r="B34424" i="1"/>
  <c r="B34423" i="1"/>
  <c r="B34422" i="1"/>
  <c r="B34421" i="1"/>
  <c r="B34420" i="1"/>
  <c r="B34419" i="1"/>
  <c r="B34418" i="1"/>
  <c r="B34417" i="1"/>
  <c r="B34416" i="1"/>
  <c r="B34415" i="1"/>
  <c r="B34414" i="1"/>
  <c r="B34413" i="1"/>
  <c r="B34412" i="1"/>
  <c r="B34411" i="1"/>
  <c r="B34410" i="1"/>
  <c r="B34409" i="1"/>
  <c r="B34408" i="1"/>
  <c r="B34407" i="1"/>
  <c r="B34406" i="1"/>
  <c r="B34405" i="1"/>
  <c r="B34404" i="1"/>
  <c r="B34403" i="1"/>
  <c r="B34402" i="1"/>
  <c r="B34401" i="1"/>
  <c r="B34400" i="1"/>
  <c r="B34399" i="1"/>
  <c r="B34398" i="1"/>
  <c r="B34397" i="1"/>
  <c r="B34396" i="1"/>
  <c r="B34395" i="1"/>
  <c r="B34394" i="1"/>
  <c r="B34393" i="1"/>
  <c r="B34392" i="1"/>
  <c r="B34391" i="1"/>
  <c r="B34390" i="1"/>
  <c r="B34389" i="1"/>
  <c r="B34388" i="1"/>
  <c r="B34387" i="1"/>
  <c r="B34386" i="1"/>
  <c r="B34385" i="1"/>
  <c r="B34384" i="1"/>
  <c r="B34383" i="1"/>
  <c r="B34382" i="1"/>
  <c r="B34381" i="1"/>
  <c r="B34380" i="1"/>
  <c r="B34379" i="1"/>
  <c r="B34378" i="1"/>
  <c r="B34377" i="1"/>
  <c r="B34376" i="1"/>
  <c r="B34375" i="1"/>
  <c r="B34374" i="1"/>
  <c r="B34373" i="1"/>
  <c r="B34372" i="1"/>
  <c r="B34371" i="1"/>
  <c r="B34370" i="1"/>
  <c r="B34369" i="1"/>
  <c r="B34368" i="1"/>
  <c r="B34367" i="1"/>
  <c r="B34366" i="1"/>
  <c r="B34365" i="1"/>
  <c r="B34364" i="1"/>
  <c r="B34363" i="1"/>
  <c r="B34362" i="1"/>
  <c r="B34361" i="1"/>
  <c r="B34360" i="1"/>
  <c r="B34359" i="1"/>
  <c r="B34358" i="1"/>
  <c r="B34357" i="1"/>
  <c r="B34356" i="1"/>
  <c r="B34355" i="1"/>
  <c r="B34354" i="1"/>
  <c r="B34353" i="1"/>
  <c r="B34352" i="1"/>
  <c r="B34351" i="1"/>
  <c r="B34350" i="1"/>
  <c r="B34349" i="1"/>
  <c r="B34348" i="1"/>
  <c r="B34347" i="1"/>
  <c r="B34346" i="1"/>
  <c r="B34345" i="1"/>
  <c r="B34344" i="1"/>
  <c r="B34343" i="1"/>
  <c r="B34342" i="1"/>
  <c r="B34341" i="1"/>
  <c r="B34340" i="1"/>
  <c r="B34339" i="1"/>
  <c r="B34338" i="1"/>
  <c r="B34337" i="1"/>
  <c r="B34336" i="1"/>
  <c r="B34335" i="1"/>
  <c r="B34334" i="1"/>
  <c r="B34333" i="1"/>
  <c r="B34332" i="1"/>
  <c r="B34331" i="1"/>
  <c r="B34330" i="1"/>
  <c r="B34329" i="1"/>
  <c r="B34328" i="1"/>
  <c r="B34327" i="1"/>
  <c r="B34326" i="1"/>
  <c r="B34325" i="1"/>
  <c r="B34324" i="1"/>
  <c r="B34323" i="1"/>
  <c r="B34322" i="1"/>
  <c r="B34321" i="1"/>
  <c r="B34320" i="1"/>
  <c r="B34319" i="1"/>
  <c r="B34318" i="1"/>
  <c r="B34317" i="1"/>
  <c r="B34316" i="1"/>
  <c r="B34315" i="1"/>
  <c r="B34314" i="1"/>
  <c r="B34313" i="1"/>
  <c r="B34312" i="1"/>
  <c r="B34311" i="1"/>
  <c r="B34310" i="1"/>
  <c r="B34309" i="1"/>
  <c r="B34308" i="1"/>
  <c r="B34307" i="1"/>
  <c r="B34306" i="1"/>
  <c r="B34305" i="1"/>
  <c r="B34304" i="1"/>
  <c r="B34303" i="1"/>
  <c r="B34302" i="1"/>
  <c r="B34301" i="1"/>
  <c r="B34300" i="1"/>
  <c r="B34299" i="1"/>
  <c r="B34298" i="1"/>
  <c r="B34297" i="1"/>
  <c r="B34296" i="1"/>
  <c r="B34295" i="1"/>
  <c r="B34294" i="1"/>
  <c r="B34293" i="1"/>
  <c r="B34292" i="1"/>
  <c r="B34291" i="1"/>
  <c r="B34290" i="1"/>
  <c r="B34289" i="1"/>
  <c r="B34288" i="1"/>
  <c r="B34287" i="1"/>
  <c r="B34286" i="1"/>
  <c r="B34285" i="1"/>
  <c r="B34284" i="1"/>
  <c r="B34283" i="1"/>
  <c r="B34282" i="1"/>
  <c r="B34281" i="1"/>
  <c r="B34280" i="1"/>
  <c r="B34279" i="1"/>
  <c r="B34278" i="1"/>
  <c r="B34277" i="1"/>
  <c r="B34276" i="1"/>
  <c r="B34275" i="1"/>
  <c r="B34274" i="1"/>
  <c r="B34273" i="1"/>
  <c r="B34272" i="1"/>
  <c r="B34271" i="1"/>
  <c r="B34270" i="1"/>
  <c r="B34269" i="1"/>
  <c r="B34268" i="1"/>
  <c r="B34267" i="1"/>
  <c r="B34266" i="1"/>
  <c r="B34265" i="1"/>
  <c r="B34264" i="1"/>
  <c r="B34263" i="1"/>
  <c r="B34262" i="1"/>
  <c r="B34261" i="1"/>
  <c r="B34260" i="1"/>
  <c r="B34259" i="1"/>
  <c r="B34258" i="1"/>
  <c r="B34257" i="1"/>
  <c r="B34256" i="1"/>
  <c r="B34255" i="1"/>
  <c r="B34254" i="1"/>
  <c r="B34253" i="1"/>
  <c r="B34252" i="1"/>
  <c r="B34251" i="1"/>
  <c r="B34250" i="1"/>
  <c r="B34249" i="1"/>
  <c r="B34248" i="1"/>
  <c r="B34247" i="1"/>
  <c r="B34246" i="1"/>
  <c r="B34245" i="1"/>
  <c r="B34244" i="1"/>
  <c r="B34243" i="1"/>
  <c r="B34242" i="1"/>
  <c r="B34241" i="1"/>
  <c r="B34240" i="1"/>
  <c r="B34239" i="1"/>
  <c r="B34238" i="1"/>
  <c r="B34237" i="1"/>
  <c r="B34236" i="1"/>
  <c r="B34235" i="1"/>
  <c r="B34234" i="1"/>
  <c r="B34233" i="1"/>
  <c r="B34232" i="1"/>
  <c r="B34231" i="1"/>
  <c r="B34230" i="1"/>
  <c r="B34229" i="1"/>
  <c r="B34228" i="1"/>
  <c r="B34227" i="1"/>
  <c r="B34226" i="1"/>
  <c r="B34225" i="1"/>
  <c r="B34224" i="1"/>
  <c r="B34223" i="1"/>
  <c r="B34222" i="1"/>
  <c r="B34221" i="1"/>
  <c r="B34220" i="1"/>
  <c r="B34219" i="1"/>
  <c r="B34218" i="1"/>
  <c r="B34217" i="1"/>
  <c r="B34216" i="1"/>
  <c r="B34215" i="1"/>
  <c r="B34214" i="1"/>
  <c r="B34213" i="1"/>
  <c r="B34212" i="1"/>
  <c r="B34211" i="1"/>
  <c r="B34210" i="1"/>
  <c r="B34209" i="1"/>
  <c r="B34208" i="1"/>
  <c r="B34207" i="1"/>
  <c r="B34206" i="1"/>
  <c r="B34205" i="1"/>
  <c r="B34204" i="1"/>
  <c r="B34203" i="1"/>
  <c r="B34202" i="1"/>
  <c r="B34201" i="1"/>
  <c r="B34200" i="1"/>
  <c r="B34199" i="1"/>
  <c r="B34198" i="1"/>
  <c r="B34197" i="1"/>
  <c r="B34196" i="1"/>
  <c r="B34195" i="1"/>
  <c r="B34194" i="1"/>
  <c r="B34193" i="1"/>
  <c r="B34192" i="1"/>
  <c r="B34191" i="1"/>
  <c r="B34190" i="1"/>
  <c r="B34189" i="1"/>
  <c r="B34188" i="1"/>
  <c r="B34187" i="1"/>
  <c r="B34186" i="1"/>
  <c r="B34185" i="1"/>
  <c r="B34184" i="1"/>
  <c r="B34183" i="1"/>
  <c r="B34182" i="1"/>
  <c r="B34181" i="1"/>
  <c r="B34180" i="1"/>
  <c r="B34179" i="1"/>
  <c r="B34178" i="1"/>
  <c r="B34177" i="1"/>
  <c r="B34176" i="1"/>
  <c r="B34175" i="1"/>
  <c r="B34174" i="1"/>
  <c r="B34173" i="1"/>
  <c r="B34172" i="1"/>
  <c r="B34171" i="1"/>
  <c r="B34170" i="1"/>
  <c r="B34169" i="1"/>
  <c r="B34168" i="1"/>
  <c r="B34167" i="1"/>
  <c r="B34166" i="1"/>
  <c r="B34165" i="1"/>
  <c r="B34164" i="1"/>
  <c r="B34163" i="1"/>
  <c r="B34162" i="1"/>
  <c r="B34161" i="1"/>
  <c r="B34160" i="1"/>
  <c r="B34159" i="1"/>
  <c r="B34158" i="1"/>
  <c r="B34157" i="1"/>
  <c r="B34156" i="1"/>
  <c r="B34155" i="1"/>
  <c r="B34154" i="1"/>
  <c r="B34153" i="1"/>
  <c r="B34152" i="1"/>
  <c r="B34151" i="1"/>
  <c r="B34150" i="1"/>
  <c r="B34149" i="1"/>
  <c r="B34148" i="1"/>
  <c r="B34147" i="1"/>
  <c r="B34146" i="1"/>
  <c r="B34145" i="1"/>
  <c r="B34144" i="1"/>
  <c r="B34143" i="1"/>
  <c r="B34142" i="1"/>
  <c r="B34141" i="1"/>
  <c r="B34140" i="1"/>
  <c r="B34139" i="1"/>
  <c r="B34138" i="1"/>
  <c r="B34137" i="1"/>
  <c r="B34136" i="1"/>
  <c r="B34135" i="1"/>
  <c r="B34134" i="1"/>
  <c r="B34133" i="1"/>
  <c r="B34132" i="1"/>
  <c r="B34131" i="1"/>
  <c r="B34130" i="1"/>
  <c r="B34129" i="1"/>
  <c r="B34128" i="1"/>
  <c r="B34127" i="1"/>
  <c r="B34126" i="1"/>
  <c r="B34125" i="1"/>
  <c r="B34124" i="1"/>
  <c r="B34123" i="1"/>
  <c r="B34122" i="1"/>
  <c r="B34121" i="1"/>
  <c r="B34120" i="1"/>
  <c r="B34119" i="1"/>
  <c r="B34118" i="1"/>
  <c r="B34117" i="1"/>
  <c r="B34116" i="1"/>
  <c r="B34115" i="1"/>
  <c r="B34114" i="1"/>
  <c r="B34113" i="1"/>
  <c r="B34112" i="1"/>
  <c r="B34111" i="1"/>
  <c r="B34110" i="1"/>
  <c r="B34109" i="1"/>
  <c r="B34108" i="1"/>
  <c r="B34107" i="1"/>
  <c r="B34106" i="1"/>
  <c r="B34105" i="1"/>
  <c r="B34104" i="1"/>
  <c r="B34103" i="1"/>
  <c r="B34102" i="1"/>
  <c r="B34101" i="1"/>
  <c r="B34100" i="1"/>
  <c r="B34099" i="1"/>
  <c r="B34098" i="1"/>
  <c r="B34097" i="1"/>
  <c r="B34096" i="1"/>
  <c r="B34095" i="1"/>
  <c r="B34094" i="1"/>
  <c r="B34093" i="1"/>
  <c r="B34092" i="1"/>
  <c r="B34091" i="1"/>
  <c r="B34090" i="1"/>
  <c r="B34089" i="1"/>
  <c r="B34088" i="1"/>
  <c r="B34087" i="1"/>
  <c r="B34086" i="1"/>
  <c r="B34085" i="1"/>
  <c r="B34084" i="1"/>
  <c r="B34083" i="1"/>
  <c r="B34082" i="1"/>
  <c r="B34081" i="1"/>
  <c r="B34080" i="1"/>
  <c r="B34079" i="1"/>
  <c r="B34078" i="1"/>
  <c r="B34077" i="1"/>
  <c r="B34076" i="1"/>
  <c r="B34075" i="1"/>
  <c r="B34074" i="1"/>
  <c r="B34073" i="1"/>
  <c r="B34072" i="1"/>
  <c r="B34071" i="1"/>
  <c r="B34070" i="1"/>
  <c r="B34069" i="1"/>
  <c r="B34068" i="1"/>
  <c r="B34067" i="1"/>
  <c r="B34066" i="1"/>
  <c r="B34065" i="1"/>
  <c r="B34064" i="1"/>
  <c r="B34063" i="1"/>
  <c r="B34062" i="1"/>
  <c r="B34061" i="1"/>
  <c r="B34060" i="1"/>
  <c r="B34059" i="1"/>
  <c r="B34058" i="1"/>
  <c r="B34057" i="1"/>
  <c r="B34056" i="1"/>
  <c r="B34055" i="1"/>
  <c r="B34054" i="1"/>
  <c r="B34053" i="1"/>
  <c r="B34052" i="1"/>
  <c r="B34051" i="1"/>
  <c r="B34050" i="1"/>
  <c r="B34049" i="1"/>
  <c r="B34048" i="1"/>
  <c r="B34047" i="1"/>
  <c r="B34046" i="1"/>
  <c r="B34045" i="1"/>
  <c r="B34044" i="1"/>
  <c r="B34043" i="1"/>
  <c r="B34042" i="1"/>
  <c r="B34041" i="1"/>
  <c r="B34040" i="1"/>
  <c r="B34039" i="1"/>
  <c r="B34038" i="1"/>
  <c r="B34037" i="1"/>
  <c r="B34036" i="1"/>
  <c r="B34035" i="1"/>
  <c r="B34034" i="1"/>
  <c r="B34033" i="1"/>
  <c r="B34032" i="1"/>
  <c r="B34031" i="1"/>
  <c r="B34030" i="1"/>
  <c r="B34029" i="1"/>
  <c r="B34028" i="1"/>
  <c r="B34027" i="1"/>
  <c r="B34026" i="1"/>
  <c r="B34025" i="1"/>
  <c r="B34024" i="1"/>
  <c r="B34023" i="1"/>
  <c r="B34022" i="1"/>
  <c r="B34021" i="1"/>
  <c r="B34020" i="1"/>
  <c r="B34019" i="1"/>
  <c r="B34018" i="1"/>
  <c r="B34017" i="1"/>
  <c r="B34016" i="1"/>
  <c r="B34015" i="1"/>
  <c r="B34014" i="1"/>
  <c r="B34013" i="1"/>
  <c r="B34012" i="1"/>
  <c r="B34011" i="1"/>
  <c r="B34010" i="1"/>
  <c r="B34009" i="1"/>
  <c r="B34008" i="1"/>
  <c r="B34007" i="1"/>
  <c r="B34006" i="1"/>
  <c r="B34005" i="1"/>
  <c r="B34004" i="1"/>
  <c r="B34003" i="1"/>
  <c r="B34002" i="1"/>
  <c r="B34001" i="1"/>
  <c r="B34000" i="1"/>
  <c r="B33999" i="1"/>
  <c r="B33998" i="1"/>
  <c r="B33997" i="1"/>
  <c r="B33996" i="1"/>
  <c r="B33995" i="1"/>
  <c r="B33994" i="1"/>
  <c r="B33993" i="1"/>
  <c r="B33992" i="1"/>
  <c r="B33991" i="1"/>
  <c r="B33990" i="1"/>
  <c r="B33989" i="1"/>
  <c r="B33988" i="1"/>
  <c r="B33987" i="1"/>
  <c r="B33986" i="1"/>
  <c r="B33985" i="1"/>
  <c r="B33984" i="1"/>
  <c r="B33983" i="1"/>
  <c r="B33982" i="1"/>
  <c r="B33981" i="1"/>
  <c r="B33980" i="1"/>
  <c r="B33979" i="1"/>
  <c r="B33978" i="1"/>
  <c r="B33977" i="1"/>
  <c r="B33976" i="1"/>
  <c r="B33975" i="1"/>
  <c r="B33974" i="1"/>
  <c r="B33973" i="1"/>
  <c r="B33972" i="1"/>
  <c r="B33971" i="1"/>
  <c r="B33970" i="1"/>
  <c r="B33969" i="1"/>
  <c r="B33968" i="1"/>
  <c r="B33967" i="1"/>
  <c r="B33966" i="1"/>
  <c r="B33965" i="1"/>
  <c r="B33964" i="1"/>
  <c r="B33963" i="1"/>
  <c r="B33962" i="1"/>
  <c r="B33961" i="1"/>
  <c r="B33960" i="1"/>
  <c r="B33959" i="1"/>
  <c r="B33958" i="1"/>
  <c r="B33957" i="1"/>
  <c r="B33956" i="1"/>
  <c r="B33955" i="1"/>
  <c r="B33954" i="1"/>
  <c r="B33953" i="1"/>
  <c r="B33952" i="1"/>
  <c r="B33951" i="1"/>
  <c r="B33950" i="1"/>
  <c r="B33949" i="1"/>
  <c r="B33948" i="1"/>
  <c r="B33947" i="1"/>
  <c r="B33946" i="1"/>
  <c r="B33945" i="1"/>
  <c r="B33944" i="1"/>
  <c r="B33943" i="1"/>
  <c r="B33942" i="1"/>
  <c r="B33941" i="1"/>
  <c r="B33940" i="1"/>
  <c r="B33939" i="1"/>
  <c r="B33938" i="1"/>
  <c r="B33937" i="1"/>
  <c r="B33936" i="1"/>
  <c r="B33935" i="1"/>
  <c r="B33934" i="1"/>
  <c r="B33933" i="1"/>
  <c r="B33932" i="1"/>
  <c r="B33931" i="1"/>
  <c r="B33930" i="1"/>
  <c r="B33929" i="1"/>
  <c r="B33928" i="1"/>
  <c r="B33927" i="1"/>
  <c r="B33926" i="1"/>
  <c r="B33925" i="1"/>
  <c r="B33924" i="1"/>
  <c r="B33923" i="1"/>
  <c r="B33922" i="1"/>
  <c r="B33921" i="1"/>
  <c r="B33920" i="1"/>
  <c r="B33919" i="1"/>
  <c r="B33918" i="1"/>
  <c r="B33917" i="1"/>
  <c r="B33916" i="1"/>
  <c r="B33915" i="1"/>
  <c r="B33914" i="1"/>
  <c r="B33913" i="1"/>
  <c r="B33912" i="1"/>
  <c r="B33911" i="1"/>
  <c r="B33910" i="1"/>
  <c r="B33909" i="1"/>
  <c r="B33908" i="1"/>
  <c r="B33907" i="1"/>
  <c r="B33906" i="1"/>
  <c r="B33905" i="1"/>
  <c r="B33904" i="1"/>
  <c r="B33903" i="1"/>
  <c r="B33902" i="1"/>
  <c r="B33901" i="1"/>
  <c r="B33900" i="1"/>
  <c r="B33899" i="1"/>
  <c r="B33898" i="1"/>
  <c r="B33897" i="1"/>
  <c r="B33896" i="1"/>
  <c r="B33895" i="1"/>
  <c r="B33894" i="1"/>
  <c r="B33893" i="1"/>
  <c r="B33892" i="1"/>
  <c r="B33891" i="1"/>
  <c r="B33890" i="1"/>
  <c r="B33889" i="1"/>
  <c r="B33888" i="1"/>
  <c r="B33887" i="1"/>
  <c r="B33886" i="1"/>
  <c r="B33885" i="1"/>
  <c r="B33884" i="1"/>
  <c r="B33883" i="1"/>
  <c r="B33882" i="1"/>
  <c r="B33881" i="1"/>
  <c r="B33880" i="1"/>
  <c r="B33879" i="1"/>
  <c r="B33878" i="1"/>
  <c r="B33877" i="1"/>
  <c r="B33876" i="1"/>
  <c r="B33875" i="1"/>
  <c r="B33874" i="1"/>
  <c r="B33873" i="1"/>
  <c r="B33872" i="1"/>
  <c r="B33871" i="1"/>
  <c r="B33870" i="1"/>
  <c r="B33869" i="1"/>
  <c r="B33868" i="1"/>
  <c r="B33867" i="1"/>
  <c r="B33866" i="1"/>
  <c r="B33865" i="1"/>
  <c r="B33864" i="1"/>
  <c r="B33863" i="1"/>
  <c r="B33862" i="1"/>
  <c r="B33861" i="1"/>
  <c r="B33860" i="1"/>
  <c r="B33859" i="1"/>
  <c r="B33858" i="1"/>
  <c r="B33857" i="1"/>
  <c r="B33856" i="1"/>
  <c r="B33855" i="1"/>
  <c r="B33854" i="1"/>
  <c r="B33853" i="1"/>
  <c r="B33852" i="1"/>
  <c r="B33851" i="1"/>
  <c r="B33850" i="1"/>
  <c r="B33849" i="1"/>
  <c r="B33848" i="1"/>
  <c r="B33847" i="1"/>
  <c r="B33846" i="1"/>
  <c r="B33845" i="1"/>
  <c r="B33844" i="1"/>
  <c r="B33843" i="1"/>
  <c r="B33842" i="1"/>
  <c r="B33841" i="1"/>
  <c r="B33840" i="1"/>
  <c r="B33839" i="1"/>
  <c r="B33838" i="1"/>
  <c r="B33837" i="1"/>
  <c r="B33836" i="1"/>
  <c r="B33835" i="1"/>
  <c r="B33834" i="1"/>
  <c r="B33833" i="1"/>
  <c r="B33832" i="1"/>
  <c r="B33831" i="1"/>
  <c r="B33830" i="1"/>
  <c r="B33829" i="1"/>
  <c r="B33828" i="1"/>
  <c r="B33827" i="1"/>
  <c r="B33826" i="1"/>
  <c r="B33825" i="1"/>
  <c r="B33824" i="1"/>
  <c r="B33823" i="1"/>
  <c r="B33822" i="1"/>
  <c r="B33821" i="1"/>
  <c r="B33820" i="1"/>
  <c r="B33819" i="1"/>
  <c r="B33818" i="1"/>
  <c r="B33817" i="1"/>
  <c r="B33816" i="1"/>
  <c r="B33815" i="1"/>
  <c r="B33814" i="1"/>
  <c r="B33813" i="1"/>
  <c r="B33812" i="1"/>
  <c r="B33811" i="1"/>
  <c r="B33810" i="1"/>
  <c r="B33809" i="1"/>
  <c r="B33808" i="1"/>
  <c r="B33807" i="1"/>
  <c r="B33806" i="1"/>
  <c r="B33805" i="1"/>
  <c r="B33804" i="1"/>
  <c r="B33803" i="1"/>
  <c r="B33802" i="1"/>
  <c r="B33801" i="1"/>
  <c r="B33800" i="1"/>
  <c r="B33799" i="1"/>
  <c r="B33798" i="1"/>
  <c r="B33797" i="1"/>
  <c r="B33796" i="1"/>
  <c r="B33795" i="1"/>
  <c r="B33794" i="1"/>
  <c r="B33793" i="1"/>
  <c r="B33792" i="1"/>
  <c r="B33791" i="1"/>
  <c r="B33790" i="1"/>
  <c r="B33789" i="1"/>
  <c r="B33788" i="1"/>
  <c r="B33787" i="1"/>
  <c r="B33786" i="1"/>
  <c r="B33785" i="1"/>
  <c r="B33784" i="1"/>
  <c r="B33783" i="1"/>
  <c r="B33782" i="1"/>
  <c r="B33781" i="1"/>
  <c r="B33780" i="1"/>
  <c r="B33779" i="1"/>
  <c r="B33778" i="1"/>
  <c r="B33777" i="1"/>
  <c r="B33776" i="1"/>
  <c r="B33775" i="1"/>
  <c r="B33774" i="1"/>
  <c r="B33773" i="1"/>
  <c r="B33772" i="1"/>
  <c r="B33771" i="1"/>
  <c r="B33770" i="1"/>
  <c r="B33769" i="1"/>
  <c r="B33768" i="1"/>
  <c r="B33767" i="1"/>
  <c r="B33766" i="1"/>
  <c r="B33765" i="1"/>
  <c r="B33764" i="1"/>
  <c r="B33763" i="1"/>
  <c r="B33762" i="1"/>
  <c r="B33761" i="1"/>
  <c r="B33760" i="1"/>
  <c r="B33759" i="1"/>
  <c r="B33758" i="1"/>
  <c r="B33757" i="1"/>
  <c r="B33756" i="1"/>
  <c r="B33755" i="1"/>
  <c r="B33754" i="1"/>
  <c r="B33753" i="1"/>
  <c r="B33752" i="1"/>
  <c r="B33751" i="1"/>
  <c r="B33750" i="1"/>
  <c r="B33749" i="1"/>
  <c r="B33748" i="1"/>
  <c r="B33747" i="1"/>
  <c r="B33746" i="1"/>
  <c r="B33745" i="1"/>
  <c r="B33744" i="1"/>
  <c r="B33743" i="1"/>
  <c r="B33742" i="1"/>
  <c r="B33741" i="1"/>
  <c r="B33740" i="1"/>
  <c r="B33739" i="1"/>
  <c r="B33738" i="1"/>
  <c r="B33737" i="1"/>
  <c r="B33736" i="1"/>
  <c r="B33735" i="1"/>
  <c r="B33734" i="1"/>
  <c r="B33733" i="1"/>
  <c r="B33732" i="1"/>
  <c r="B33731" i="1"/>
  <c r="B33730" i="1"/>
  <c r="B33729" i="1"/>
  <c r="B33728" i="1"/>
  <c r="B33727" i="1"/>
  <c r="B33726" i="1"/>
  <c r="B33725" i="1"/>
  <c r="B33724" i="1"/>
  <c r="B33723" i="1"/>
  <c r="B33722" i="1"/>
  <c r="B33721" i="1"/>
  <c r="B33720" i="1"/>
  <c r="B33719" i="1"/>
  <c r="B33718" i="1"/>
  <c r="B33717" i="1"/>
  <c r="B33716" i="1"/>
  <c r="B33715" i="1"/>
  <c r="B33714" i="1"/>
  <c r="B33713" i="1"/>
  <c r="B33712" i="1"/>
  <c r="B33711" i="1"/>
  <c r="B33710" i="1"/>
  <c r="B33709" i="1"/>
  <c r="B33708" i="1"/>
  <c r="B33707" i="1"/>
  <c r="B33706" i="1"/>
  <c r="B33705" i="1"/>
  <c r="B33704" i="1"/>
  <c r="B33703" i="1"/>
  <c r="B33702" i="1"/>
  <c r="B33701" i="1"/>
  <c r="B33700" i="1"/>
  <c r="B33699" i="1"/>
  <c r="B33698" i="1"/>
  <c r="B33697" i="1"/>
  <c r="B33696" i="1"/>
  <c r="B33695" i="1"/>
  <c r="B33694" i="1"/>
  <c r="B33693" i="1"/>
  <c r="B33692" i="1"/>
  <c r="B33691" i="1"/>
  <c r="B33690" i="1"/>
  <c r="B33689" i="1"/>
  <c r="B33688" i="1"/>
  <c r="B33687" i="1"/>
  <c r="B33686" i="1"/>
  <c r="B33685" i="1"/>
  <c r="B33684" i="1"/>
  <c r="B33683" i="1"/>
  <c r="B33682" i="1"/>
  <c r="B33681" i="1"/>
  <c r="B33680" i="1"/>
  <c r="B33679" i="1"/>
  <c r="B33678" i="1"/>
  <c r="B33677" i="1"/>
  <c r="B33676" i="1"/>
  <c r="B33675" i="1"/>
  <c r="B33674" i="1"/>
  <c r="B33673" i="1"/>
  <c r="B33672" i="1"/>
  <c r="B33671" i="1"/>
  <c r="B33670" i="1"/>
  <c r="B33669" i="1"/>
  <c r="B33668" i="1"/>
  <c r="B33667" i="1"/>
  <c r="B33666" i="1"/>
  <c r="B33665" i="1"/>
  <c r="B33664" i="1"/>
  <c r="B33663" i="1"/>
  <c r="B33662" i="1"/>
  <c r="B33661" i="1"/>
  <c r="B33660" i="1"/>
  <c r="B33659" i="1"/>
  <c r="B33658" i="1"/>
  <c r="B33657" i="1"/>
  <c r="B33656" i="1"/>
  <c r="B33655" i="1"/>
  <c r="B33654" i="1"/>
  <c r="B33653" i="1"/>
  <c r="B33652" i="1"/>
  <c r="B33651" i="1"/>
  <c r="B33650" i="1"/>
  <c r="B33649" i="1"/>
  <c r="B33648" i="1"/>
  <c r="B33647" i="1"/>
  <c r="B33646" i="1"/>
  <c r="B33645" i="1"/>
  <c r="B33644" i="1"/>
  <c r="B33643" i="1"/>
  <c r="B33642" i="1"/>
  <c r="B33641" i="1"/>
  <c r="B33640" i="1"/>
  <c r="B33639" i="1"/>
  <c r="B33638" i="1"/>
  <c r="B33637" i="1"/>
  <c r="B33636" i="1"/>
  <c r="B33635" i="1"/>
  <c r="B33634" i="1"/>
  <c r="B33633" i="1"/>
  <c r="B33632" i="1"/>
  <c r="B33631" i="1"/>
  <c r="B33630" i="1"/>
  <c r="B33629" i="1"/>
  <c r="B33628" i="1"/>
  <c r="B33627" i="1"/>
  <c r="B33626" i="1"/>
  <c r="B33625" i="1"/>
  <c r="B33624" i="1"/>
  <c r="B33623" i="1"/>
  <c r="B33622" i="1"/>
  <c r="B33621" i="1"/>
  <c r="B33620" i="1"/>
  <c r="B33619" i="1"/>
  <c r="B33618" i="1"/>
  <c r="B33617" i="1"/>
  <c r="B33616" i="1"/>
  <c r="B33615" i="1"/>
  <c r="B33614" i="1"/>
  <c r="B33613" i="1"/>
  <c r="B33612" i="1"/>
  <c r="B33611" i="1"/>
  <c r="B33610" i="1"/>
  <c r="B33609" i="1"/>
  <c r="B33608" i="1"/>
  <c r="B33607" i="1"/>
  <c r="B33606" i="1"/>
  <c r="B33605" i="1"/>
  <c r="B33604" i="1"/>
  <c r="B33603" i="1"/>
  <c r="B33602" i="1"/>
  <c r="B33601" i="1"/>
  <c r="B33600" i="1"/>
  <c r="B33599" i="1"/>
  <c r="B33598" i="1"/>
  <c r="B33597" i="1"/>
  <c r="B33596" i="1"/>
  <c r="B33595" i="1"/>
  <c r="B33594" i="1"/>
  <c r="B33593" i="1"/>
  <c r="B33592" i="1"/>
  <c r="B33591" i="1"/>
  <c r="B33590" i="1"/>
  <c r="B33589" i="1"/>
  <c r="B33588" i="1"/>
  <c r="B33587" i="1"/>
  <c r="B33586" i="1"/>
  <c r="B33585" i="1"/>
  <c r="B33584" i="1"/>
  <c r="B33583" i="1"/>
  <c r="B33582" i="1"/>
  <c r="B33581" i="1"/>
  <c r="B33580" i="1"/>
  <c r="B33579" i="1"/>
  <c r="B33578" i="1"/>
  <c r="B33577" i="1"/>
  <c r="B33576" i="1"/>
  <c r="B33575" i="1"/>
  <c r="B33574" i="1"/>
  <c r="B33573" i="1"/>
  <c r="B33572" i="1"/>
  <c r="B33571" i="1"/>
  <c r="B33570" i="1"/>
  <c r="B33569" i="1"/>
  <c r="B33568" i="1"/>
  <c r="B33567" i="1"/>
  <c r="B33566" i="1"/>
  <c r="B33565" i="1"/>
  <c r="B33564" i="1"/>
  <c r="B33563" i="1"/>
  <c r="B33562" i="1"/>
  <c r="B33561" i="1"/>
  <c r="B33560" i="1"/>
  <c r="B33559" i="1"/>
  <c r="B33558" i="1"/>
  <c r="B33557" i="1"/>
  <c r="B33556" i="1"/>
  <c r="B33555" i="1"/>
  <c r="B33554" i="1"/>
  <c r="B33553" i="1"/>
  <c r="B33552" i="1"/>
  <c r="B33551" i="1"/>
  <c r="B33550" i="1"/>
  <c r="B33549" i="1"/>
  <c r="B33548" i="1"/>
  <c r="B33547" i="1"/>
  <c r="B33546" i="1"/>
  <c r="B33545" i="1"/>
  <c r="B33544" i="1"/>
  <c r="B33543" i="1"/>
  <c r="B33542" i="1"/>
  <c r="B33541" i="1"/>
  <c r="B33540" i="1"/>
  <c r="B33539" i="1"/>
  <c r="B33538" i="1"/>
  <c r="B33537" i="1"/>
  <c r="B33536" i="1"/>
  <c r="B33535" i="1"/>
  <c r="B33534" i="1"/>
  <c r="B33533" i="1"/>
  <c r="B33532" i="1"/>
  <c r="B33531" i="1"/>
  <c r="B33530" i="1"/>
  <c r="B33529" i="1"/>
  <c r="B33528" i="1"/>
  <c r="B33527" i="1"/>
  <c r="B33526" i="1"/>
  <c r="B33525" i="1"/>
  <c r="B33524" i="1"/>
  <c r="B33523" i="1"/>
  <c r="B33522" i="1"/>
  <c r="B33521" i="1"/>
  <c r="B33520" i="1"/>
  <c r="B33519" i="1"/>
  <c r="B33518" i="1"/>
  <c r="B33517" i="1"/>
  <c r="B33516" i="1"/>
  <c r="B33515" i="1"/>
  <c r="B33514" i="1"/>
  <c r="B33513" i="1"/>
  <c r="B33512" i="1"/>
  <c r="B33511" i="1"/>
  <c r="B33510" i="1"/>
  <c r="B33509" i="1"/>
  <c r="B33508" i="1"/>
  <c r="B33507" i="1"/>
  <c r="B33506" i="1"/>
  <c r="B33505" i="1"/>
  <c r="B33504" i="1"/>
  <c r="B33503" i="1"/>
  <c r="B33502" i="1"/>
  <c r="B33501" i="1"/>
  <c r="B33500" i="1"/>
  <c r="B33499" i="1"/>
  <c r="B33498" i="1"/>
  <c r="B33497" i="1"/>
  <c r="B33496" i="1"/>
  <c r="B33495" i="1"/>
  <c r="B33494" i="1"/>
  <c r="B33493" i="1"/>
  <c r="B33492" i="1"/>
  <c r="B33491" i="1"/>
  <c r="B33490" i="1"/>
  <c r="B33489" i="1"/>
  <c r="B33488" i="1"/>
  <c r="B33487" i="1"/>
  <c r="B33486" i="1"/>
  <c r="B33485" i="1"/>
  <c r="B33484" i="1"/>
  <c r="B33483" i="1"/>
  <c r="B33482" i="1"/>
  <c r="B33481" i="1"/>
  <c r="B33480" i="1"/>
  <c r="B33479" i="1"/>
  <c r="B33478" i="1"/>
  <c r="B33477" i="1"/>
  <c r="B33476" i="1"/>
  <c r="B33475" i="1"/>
  <c r="B33474" i="1"/>
  <c r="B33473" i="1"/>
  <c r="B33472" i="1"/>
  <c r="B33471" i="1"/>
  <c r="B33470" i="1"/>
  <c r="B33469" i="1"/>
  <c r="B33468" i="1"/>
  <c r="B33467" i="1"/>
  <c r="B33466" i="1"/>
  <c r="B33465" i="1"/>
  <c r="B33464" i="1"/>
  <c r="B33463" i="1"/>
  <c r="B33462" i="1"/>
  <c r="B33461" i="1"/>
  <c r="B33460" i="1"/>
  <c r="B33459" i="1"/>
  <c r="B33458" i="1"/>
  <c r="B33457" i="1"/>
  <c r="B33456" i="1"/>
  <c r="B33455" i="1"/>
  <c r="B33454" i="1"/>
  <c r="B33453" i="1"/>
  <c r="B33452" i="1"/>
  <c r="B33451" i="1"/>
  <c r="B33450" i="1"/>
  <c r="B33449" i="1"/>
  <c r="B33448" i="1"/>
  <c r="B33447" i="1"/>
  <c r="B33446" i="1"/>
  <c r="B33445" i="1"/>
  <c r="B33444" i="1"/>
  <c r="B33443" i="1"/>
  <c r="B33442" i="1"/>
  <c r="B33441" i="1"/>
  <c r="B33440" i="1"/>
  <c r="B33439" i="1"/>
  <c r="B33438" i="1"/>
  <c r="B33437" i="1"/>
  <c r="B33436" i="1"/>
  <c r="B33435" i="1"/>
  <c r="B33434" i="1"/>
  <c r="B33433" i="1"/>
  <c r="B33432" i="1"/>
  <c r="B33431" i="1"/>
  <c r="B33430" i="1"/>
  <c r="B33429" i="1"/>
  <c r="B33428" i="1"/>
  <c r="B33427" i="1"/>
  <c r="B33426" i="1"/>
  <c r="B33425" i="1"/>
  <c r="B33424" i="1"/>
  <c r="B33423" i="1"/>
  <c r="B33422" i="1"/>
  <c r="B33421" i="1"/>
  <c r="B33420" i="1"/>
  <c r="B33419" i="1"/>
  <c r="B33418" i="1"/>
  <c r="B33417" i="1"/>
  <c r="B33416" i="1"/>
  <c r="B33415" i="1"/>
  <c r="B33414" i="1"/>
  <c r="B33413" i="1"/>
  <c r="B33412" i="1"/>
  <c r="B33411" i="1"/>
  <c r="B33410" i="1"/>
  <c r="B33409" i="1"/>
  <c r="B33408" i="1"/>
  <c r="B33407" i="1"/>
  <c r="B33406" i="1"/>
  <c r="B33405" i="1"/>
  <c r="B33404" i="1"/>
  <c r="B33403" i="1"/>
  <c r="B33402" i="1"/>
  <c r="B33401" i="1"/>
  <c r="B33400" i="1"/>
  <c r="B33399" i="1"/>
  <c r="B33398" i="1"/>
  <c r="B33397" i="1"/>
  <c r="B33396" i="1"/>
  <c r="B33395" i="1"/>
  <c r="B33394" i="1"/>
  <c r="B33393" i="1"/>
  <c r="B33392" i="1"/>
  <c r="B33391" i="1"/>
  <c r="B33390" i="1"/>
  <c r="B33389" i="1"/>
  <c r="B33388" i="1"/>
  <c r="B33387" i="1"/>
  <c r="B33386" i="1"/>
  <c r="B33385" i="1"/>
  <c r="B33384" i="1"/>
  <c r="B33383" i="1"/>
  <c r="B33382" i="1"/>
  <c r="B33381" i="1"/>
  <c r="B33380" i="1"/>
  <c r="B33379" i="1"/>
  <c r="B33378" i="1"/>
  <c r="B33377" i="1"/>
  <c r="B33376" i="1"/>
  <c r="B33375" i="1"/>
  <c r="B33374" i="1"/>
  <c r="B33373" i="1"/>
  <c r="B33372" i="1"/>
  <c r="B33371" i="1"/>
  <c r="B33370" i="1"/>
  <c r="B33369" i="1"/>
  <c r="B33368" i="1"/>
  <c r="B33367" i="1"/>
  <c r="B33366" i="1"/>
  <c r="B33365" i="1"/>
  <c r="B33364" i="1"/>
  <c r="B33363" i="1"/>
  <c r="B33362" i="1"/>
  <c r="B33361" i="1"/>
  <c r="B33360" i="1"/>
  <c r="B33359" i="1"/>
  <c r="B33358" i="1"/>
  <c r="B33357" i="1"/>
  <c r="B33356" i="1"/>
  <c r="B33355" i="1"/>
  <c r="B33354" i="1"/>
  <c r="B33353" i="1"/>
  <c r="B33352" i="1"/>
  <c r="B33351" i="1"/>
  <c r="B33350" i="1"/>
  <c r="B33349" i="1"/>
  <c r="B33348" i="1"/>
  <c r="B33347" i="1"/>
  <c r="B33346" i="1"/>
  <c r="B33345" i="1"/>
  <c r="B33344" i="1"/>
  <c r="B33343" i="1"/>
  <c r="B33342" i="1"/>
  <c r="B33341" i="1"/>
  <c r="B33340" i="1"/>
  <c r="B33339" i="1"/>
  <c r="B33338" i="1"/>
  <c r="B33337" i="1"/>
  <c r="B33336" i="1"/>
  <c r="B33335" i="1"/>
  <c r="B33334" i="1"/>
  <c r="B33333" i="1"/>
  <c r="B33332" i="1"/>
  <c r="B33331" i="1"/>
  <c r="B33330" i="1"/>
  <c r="B33329" i="1"/>
  <c r="B33328" i="1"/>
  <c r="B33327" i="1"/>
  <c r="B33326" i="1"/>
  <c r="B33325" i="1"/>
  <c r="B33324" i="1"/>
  <c r="B33323" i="1"/>
  <c r="B33322" i="1"/>
  <c r="B33321" i="1"/>
  <c r="B33320" i="1"/>
  <c r="B33319" i="1"/>
  <c r="B33318" i="1"/>
  <c r="B33317" i="1"/>
  <c r="B33316" i="1"/>
  <c r="B33315" i="1"/>
  <c r="B33314" i="1"/>
  <c r="B33313" i="1"/>
  <c r="B33312" i="1"/>
  <c r="B33311" i="1"/>
  <c r="B33310" i="1"/>
  <c r="B33309" i="1"/>
  <c r="B33308" i="1"/>
  <c r="B33307" i="1"/>
  <c r="B33306" i="1"/>
  <c r="B33305" i="1"/>
  <c r="B33304" i="1"/>
  <c r="B33303" i="1"/>
  <c r="B33302" i="1"/>
  <c r="B33301" i="1"/>
  <c r="B33300" i="1"/>
  <c r="B33299" i="1"/>
  <c r="B33298" i="1"/>
  <c r="B33297" i="1"/>
  <c r="B33296" i="1"/>
  <c r="B33295" i="1"/>
  <c r="B33294" i="1"/>
  <c r="B33293" i="1"/>
  <c r="B33292" i="1"/>
  <c r="B33291" i="1"/>
  <c r="B33290" i="1"/>
  <c r="B33289" i="1"/>
  <c r="B33288" i="1"/>
  <c r="B33287" i="1"/>
  <c r="B33286" i="1"/>
  <c r="B33285" i="1"/>
  <c r="B33284" i="1"/>
  <c r="B33283" i="1"/>
  <c r="B33282" i="1"/>
  <c r="B33281" i="1"/>
  <c r="B33280" i="1"/>
  <c r="B33279" i="1"/>
  <c r="B33278" i="1"/>
  <c r="B33277" i="1"/>
  <c r="B33276" i="1"/>
  <c r="B33275" i="1"/>
  <c r="B33274" i="1"/>
  <c r="B33273" i="1"/>
  <c r="B33272" i="1"/>
  <c r="B33271" i="1"/>
  <c r="B33270" i="1"/>
  <c r="B33269" i="1"/>
  <c r="B33268" i="1"/>
  <c r="B33267" i="1"/>
  <c r="B33266" i="1"/>
  <c r="B33265" i="1"/>
  <c r="B33264" i="1"/>
  <c r="B33263" i="1"/>
  <c r="B33262" i="1"/>
  <c r="B33261" i="1"/>
  <c r="B33260" i="1"/>
  <c r="B33259" i="1"/>
  <c r="B33258" i="1"/>
  <c r="B33257" i="1"/>
  <c r="B33256" i="1"/>
  <c r="B33255" i="1"/>
  <c r="B33254" i="1"/>
  <c r="B33253" i="1"/>
  <c r="B33252" i="1"/>
  <c r="B33251" i="1"/>
  <c r="B33250" i="1"/>
  <c r="B33249" i="1"/>
  <c r="B33248" i="1"/>
  <c r="B33247" i="1"/>
  <c r="B33246" i="1"/>
  <c r="B33245" i="1"/>
  <c r="B33244" i="1"/>
  <c r="B33243" i="1"/>
  <c r="B33242" i="1"/>
  <c r="B33241" i="1"/>
  <c r="B33240" i="1"/>
  <c r="B33239" i="1"/>
  <c r="B33238" i="1"/>
  <c r="B33237" i="1"/>
  <c r="B33236" i="1"/>
  <c r="B33235" i="1"/>
  <c r="B33234" i="1"/>
  <c r="B33233" i="1"/>
  <c r="B33232" i="1"/>
  <c r="B33231" i="1"/>
  <c r="B33230" i="1"/>
  <c r="B33229" i="1"/>
  <c r="B33228" i="1"/>
  <c r="B33227" i="1"/>
  <c r="B33226" i="1"/>
  <c r="B33225" i="1"/>
  <c r="B33224" i="1"/>
  <c r="B33223" i="1"/>
  <c r="B33222" i="1"/>
  <c r="B33221" i="1"/>
  <c r="B33220" i="1"/>
  <c r="B33219" i="1"/>
  <c r="B33218" i="1"/>
  <c r="B33217" i="1"/>
  <c r="B33216" i="1"/>
  <c r="B33215" i="1"/>
  <c r="B33214" i="1"/>
  <c r="B33213" i="1"/>
  <c r="B33212" i="1"/>
  <c r="B33211" i="1"/>
  <c r="B33210" i="1"/>
  <c r="B33209" i="1"/>
  <c r="B33208" i="1"/>
  <c r="B33207" i="1"/>
  <c r="B33206" i="1"/>
  <c r="B33205" i="1"/>
  <c r="B33204" i="1"/>
  <c r="B33203" i="1"/>
  <c r="B33202" i="1"/>
  <c r="B33201" i="1"/>
  <c r="B33200" i="1"/>
  <c r="B33199" i="1"/>
  <c r="B33198" i="1"/>
  <c r="B33197" i="1"/>
  <c r="B33196" i="1"/>
  <c r="B33195" i="1"/>
  <c r="B33194" i="1"/>
  <c r="B33193" i="1"/>
  <c r="B33192" i="1"/>
  <c r="B33191" i="1"/>
  <c r="B33190" i="1"/>
  <c r="B33189" i="1"/>
  <c r="B33188" i="1"/>
  <c r="B33187" i="1"/>
  <c r="B33186" i="1"/>
  <c r="B33185" i="1"/>
  <c r="B33184" i="1"/>
  <c r="B33183" i="1"/>
  <c r="B33182" i="1"/>
  <c r="B33181" i="1"/>
  <c r="B33180" i="1"/>
  <c r="B33179" i="1"/>
  <c r="B33178" i="1"/>
  <c r="B33177" i="1"/>
  <c r="B33176" i="1"/>
  <c r="B33175" i="1"/>
  <c r="B33174" i="1"/>
  <c r="B33173" i="1"/>
  <c r="B33172" i="1"/>
  <c r="B33171" i="1"/>
  <c r="B33170" i="1"/>
  <c r="B33169" i="1"/>
  <c r="B33168" i="1"/>
  <c r="B33167" i="1"/>
  <c r="B33166" i="1"/>
  <c r="B33165" i="1"/>
  <c r="B33164" i="1"/>
  <c r="B33163" i="1"/>
  <c r="B33162" i="1"/>
  <c r="B33161" i="1"/>
  <c r="B33160" i="1"/>
  <c r="B33159" i="1"/>
  <c r="B33158" i="1"/>
  <c r="B33157" i="1"/>
  <c r="B33156" i="1"/>
  <c r="B33155" i="1"/>
  <c r="B33154" i="1"/>
  <c r="B33153" i="1"/>
  <c r="B33152" i="1"/>
  <c r="B33151" i="1"/>
  <c r="B33150" i="1"/>
  <c r="B33149" i="1"/>
  <c r="B33148" i="1"/>
  <c r="B33147" i="1"/>
  <c r="B33146" i="1"/>
  <c r="B33145" i="1"/>
  <c r="B33144" i="1"/>
  <c r="B33143" i="1"/>
  <c r="B33142" i="1"/>
  <c r="B33141" i="1"/>
  <c r="B33140" i="1"/>
  <c r="B33139" i="1"/>
  <c r="B33138" i="1"/>
  <c r="B33137" i="1"/>
  <c r="B33136" i="1"/>
  <c r="B33135" i="1"/>
  <c r="B33134" i="1"/>
  <c r="B33133" i="1"/>
  <c r="B33132" i="1"/>
  <c r="B33131" i="1"/>
  <c r="B33130" i="1"/>
  <c r="B33129" i="1"/>
  <c r="B33128" i="1"/>
  <c r="B33127" i="1"/>
  <c r="B33126" i="1"/>
  <c r="B33125" i="1"/>
  <c r="B33124" i="1"/>
  <c r="B33123" i="1"/>
  <c r="B33122" i="1"/>
  <c r="B33121" i="1"/>
  <c r="B33120" i="1"/>
  <c r="B33119" i="1"/>
  <c r="B33118" i="1"/>
  <c r="B33117" i="1"/>
  <c r="B33116" i="1"/>
  <c r="B33115" i="1"/>
  <c r="B33114" i="1"/>
  <c r="B33113" i="1"/>
  <c r="B33112" i="1"/>
  <c r="B33111" i="1"/>
  <c r="B33110" i="1"/>
  <c r="B33109" i="1"/>
  <c r="B33108" i="1"/>
  <c r="B33107" i="1"/>
  <c r="B33106" i="1"/>
  <c r="B33105" i="1"/>
  <c r="B33104" i="1"/>
  <c r="B33103" i="1"/>
  <c r="B33102" i="1"/>
  <c r="B33101" i="1"/>
  <c r="B33100" i="1"/>
  <c r="B33099" i="1"/>
  <c r="B33098" i="1"/>
  <c r="B33097" i="1"/>
  <c r="B33096" i="1"/>
  <c r="B33095" i="1"/>
  <c r="B33094" i="1"/>
  <c r="B33093" i="1"/>
  <c r="B33092" i="1"/>
  <c r="B33091" i="1"/>
  <c r="B33090" i="1"/>
  <c r="B33089" i="1"/>
  <c r="B33088" i="1"/>
  <c r="B33087" i="1"/>
  <c r="B33086" i="1"/>
  <c r="B33085" i="1"/>
  <c r="B33084" i="1"/>
  <c r="B33083" i="1"/>
  <c r="B33082" i="1"/>
  <c r="B33081" i="1"/>
  <c r="B33080" i="1"/>
  <c r="B33079" i="1"/>
  <c r="B33078" i="1"/>
  <c r="B33077" i="1"/>
  <c r="B33076" i="1"/>
  <c r="B33075" i="1"/>
  <c r="B33074" i="1"/>
  <c r="B33073" i="1"/>
  <c r="B33072" i="1"/>
  <c r="B33071" i="1"/>
  <c r="B33070" i="1"/>
  <c r="B33069" i="1"/>
  <c r="B33068" i="1"/>
  <c r="B33067" i="1"/>
  <c r="B33066" i="1"/>
  <c r="B33065" i="1"/>
  <c r="B33064" i="1"/>
  <c r="B33063" i="1"/>
  <c r="B33062" i="1"/>
  <c r="B33061" i="1"/>
  <c r="B33060" i="1"/>
  <c r="B33059" i="1"/>
  <c r="B33058" i="1"/>
  <c r="B33057" i="1"/>
  <c r="B33056" i="1"/>
  <c r="B33055" i="1"/>
  <c r="B33054" i="1"/>
  <c r="B33053" i="1"/>
  <c r="B33052" i="1"/>
  <c r="B33051" i="1"/>
  <c r="B33050" i="1"/>
  <c r="B33049" i="1"/>
  <c r="B33048" i="1"/>
  <c r="B33047" i="1"/>
  <c r="B33046" i="1"/>
  <c r="B33045" i="1"/>
  <c r="B33044" i="1"/>
  <c r="B33043" i="1"/>
  <c r="B33042" i="1"/>
  <c r="B33041" i="1"/>
  <c r="B33040" i="1"/>
  <c r="B33039" i="1"/>
  <c r="B33038" i="1"/>
  <c r="B33037" i="1"/>
  <c r="B33036" i="1"/>
  <c r="B33035" i="1"/>
  <c r="B33034" i="1"/>
  <c r="B33033" i="1"/>
  <c r="B33032" i="1"/>
  <c r="B33031" i="1"/>
  <c r="B33030" i="1"/>
  <c r="B33029" i="1"/>
  <c r="B33028" i="1"/>
  <c r="B33027" i="1"/>
  <c r="B33026" i="1"/>
  <c r="B33025" i="1"/>
  <c r="B33024" i="1"/>
  <c r="B33023" i="1"/>
  <c r="B33022" i="1"/>
  <c r="B33021" i="1"/>
  <c r="B33020" i="1"/>
  <c r="B33019" i="1"/>
  <c r="B33018" i="1"/>
  <c r="B33017" i="1"/>
  <c r="B33016" i="1"/>
  <c r="B33015" i="1"/>
  <c r="B33014" i="1"/>
  <c r="B33013" i="1"/>
  <c r="B33012" i="1"/>
  <c r="B33011" i="1"/>
  <c r="B33010" i="1"/>
  <c r="B33009" i="1"/>
  <c r="B33008" i="1"/>
  <c r="B33007" i="1"/>
  <c r="B33006" i="1"/>
  <c r="B33005" i="1"/>
  <c r="B33004" i="1"/>
  <c r="B33003" i="1"/>
  <c r="B33002" i="1"/>
  <c r="B33001" i="1"/>
  <c r="B33000" i="1"/>
  <c r="B32999" i="1"/>
  <c r="B32998" i="1"/>
  <c r="B32997" i="1"/>
  <c r="B32996" i="1"/>
  <c r="B32995" i="1"/>
  <c r="B32994" i="1"/>
  <c r="B32993" i="1"/>
  <c r="B32992" i="1"/>
  <c r="B32991" i="1"/>
  <c r="B32990" i="1"/>
  <c r="B32989" i="1"/>
  <c r="B32988" i="1"/>
  <c r="B32987" i="1"/>
  <c r="B32986" i="1"/>
  <c r="B32985" i="1"/>
  <c r="B32984" i="1"/>
  <c r="B32983" i="1"/>
  <c r="B32982" i="1"/>
  <c r="B32981" i="1"/>
  <c r="B32980" i="1"/>
  <c r="B32979" i="1"/>
  <c r="B32978" i="1"/>
  <c r="B32977" i="1"/>
  <c r="B32976" i="1"/>
  <c r="B32975" i="1"/>
  <c r="B32974" i="1"/>
  <c r="B32973" i="1"/>
  <c r="B32972" i="1"/>
  <c r="B32971" i="1"/>
  <c r="B32970" i="1"/>
  <c r="B32969" i="1"/>
  <c r="B32968" i="1"/>
  <c r="B32967" i="1"/>
  <c r="B32966" i="1"/>
  <c r="B32965" i="1"/>
  <c r="B32964" i="1"/>
  <c r="B32963" i="1"/>
  <c r="B32962" i="1"/>
  <c r="B32961" i="1"/>
  <c r="B32960" i="1"/>
  <c r="B32959" i="1"/>
  <c r="B32958" i="1"/>
  <c r="B32957" i="1"/>
  <c r="B32956" i="1"/>
  <c r="B32955" i="1"/>
  <c r="B32954" i="1"/>
  <c r="B32953" i="1"/>
  <c r="B32952" i="1"/>
  <c r="B32951" i="1"/>
  <c r="B32950" i="1"/>
  <c r="B32949" i="1"/>
  <c r="B32948" i="1"/>
  <c r="B32947" i="1"/>
  <c r="B32946" i="1"/>
  <c r="B32945" i="1"/>
  <c r="B32944" i="1"/>
  <c r="B32943" i="1"/>
  <c r="B32942" i="1"/>
  <c r="B32941" i="1"/>
  <c r="B32940" i="1"/>
  <c r="B32939" i="1"/>
  <c r="B32938" i="1"/>
  <c r="B32937" i="1"/>
  <c r="B32936" i="1"/>
  <c r="B32935" i="1"/>
  <c r="B32934" i="1"/>
  <c r="B32933" i="1"/>
  <c r="B32932" i="1"/>
  <c r="B32931" i="1"/>
  <c r="B32930" i="1"/>
  <c r="B32929" i="1"/>
  <c r="B32928" i="1"/>
  <c r="B32927" i="1"/>
  <c r="B32926" i="1"/>
  <c r="B32925" i="1"/>
  <c r="B32924" i="1"/>
  <c r="B32923" i="1"/>
  <c r="B32922" i="1"/>
  <c r="B32921" i="1"/>
  <c r="B32920" i="1"/>
  <c r="B32919" i="1"/>
  <c r="B32918" i="1"/>
  <c r="B32917" i="1"/>
  <c r="B32916" i="1"/>
  <c r="B32915" i="1"/>
  <c r="B32914" i="1"/>
  <c r="B32913" i="1"/>
  <c r="B32912" i="1"/>
  <c r="B32911" i="1"/>
  <c r="B32910" i="1"/>
  <c r="B32909" i="1"/>
  <c r="B32908" i="1"/>
  <c r="B32907" i="1"/>
  <c r="B32906" i="1"/>
  <c r="B32905" i="1"/>
  <c r="B32904" i="1"/>
  <c r="B32903" i="1"/>
  <c r="B32902" i="1"/>
  <c r="B32901" i="1"/>
  <c r="B32900" i="1"/>
  <c r="B32899" i="1"/>
  <c r="B32898" i="1"/>
  <c r="B32897" i="1"/>
  <c r="B32896" i="1"/>
  <c r="B32895" i="1"/>
  <c r="B32894" i="1"/>
  <c r="B32893" i="1"/>
  <c r="B32892" i="1"/>
  <c r="B32891" i="1"/>
  <c r="B32890" i="1"/>
  <c r="B32889" i="1"/>
  <c r="B32888" i="1"/>
  <c r="B32887" i="1"/>
  <c r="B32886" i="1"/>
  <c r="B32885" i="1"/>
  <c r="B32884" i="1"/>
  <c r="B32883" i="1"/>
  <c r="B32882" i="1"/>
  <c r="B32881" i="1"/>
  <c r="B32880" i="1"/>
  <c r="B32879" i="1"/>
  <c r="B32878" i="1"/>
  <c r="B32877" i="1"/>
  <c r="B32876" i="1"/>
  <c r="B32875" i="1"/>
  <c r="B32874" i="1"/>
  <c r="B32873" i="1"/>
  <c r="B32872" i="1"/>
  <c r="B32871" i="1"/>
  <c r="B32870" i="1"/>
  <c r="B32869" i="1"/>
  <c r="B32868" i="1"/>
  <c r="B32867" i="1"/>
  <c r="B32866" i="1"/>
  <c r="B32865" i="1"/>
  <c r="B32864" i="1"/>
  <c r="B32863" i="1"/>
  <c r="B32862" i="1"/>
  <c r="B32861" i="1"/>
  <c r="B32860" i="1"/>
  <c r="B32859" i="1"/>
  <c r="B32858" i="1"/>
  <c r="B32857" i="1"/>
  <c r="B32856" i="1"/>
  <c r="B32855" i="1"/>
  <c r="B32854" i="1"/>
  <c r="B32853" i="1"/>
  <c r="B32852" i="1"/>
  <c r="B32851" i="1"/>
  <c r="B32850" i="1"/>
  <c r="B32849" i="1"/>
  <c r="B32848" i="1"/>
  <c r="B32847" i="1"/>
  <c r="B32846" i="1"/>
  <c r="B32845" i="1"/>
  <c r="B32844" i="1"/>
  <c r="B32843" i="1"/>
  <c r="B32842" i="1"/>
  <c r="B32841" i="1"/>
  <c r="B32840" i="1"/>
  <c r="B32839" i="1"/>
  <c r="B32838" i="1"/>
  <c r="B32837" i="1"/>
  <c r="B32836" i="1"/>
  <c r="B32835" i="1"/>
  <c r="B32834" i="1"/>
  <c r="B32833" i="1"/>
  <c r="B32832" i="1"/>
  <c r="B32831" i="1"/>
  <c r="B32830" i="1"/>
  <c r="B32829" i="1"/>
  <c r="B32828" i="1"/>
  <c r="B32827" i="1"/>
  <c r="B32826" i="1"/>
  <c r="B32825" i="1"/>
  <c r="B32824" i="1"/>
  <c r="B32823" i="1"/>
  <c r="B32822" i="1"/>
  <c r="B32821" i="1"/>
  <c r="B32820" i="1"/>
  <c r="B32819" i="1"/>
  <c r="B32818" i="1"/>
  <c r="B32817" i="1"/>
  <c r="B32816" i="1"/>
  <c r="B32815" i="1"/>
  <c r="B32814" i="1"/>
  <c r="B32813" i="1"/>
  <c r="B32812" i="1"/>
  <c r="B32811" i="1"/>
  <c r="B32810" i="1"/>
  <c r="B32809" i="1"/>
  <c r="B32808" i="1"/>
  <c r="B32807" i="1"/>
  <c r="B32806" i="1"/>
  <c r="B32805" i="1"/>
  <c r="B32804" i="1"/>
  <c r="B32803" i="1"/>
  <c r="B32802" i="1"/>
  <c r="B32801" i="1"/>
  <c r="B32800" i="1"/>
  <c r="B32799" i="1"/>
  <c r="B32798" i="1"/>
  <c r="B32797" i="1"/>
  <c r="B32796" i="1"/>
  <c r="B32795" i="1"/>
  <c r="B32794" i="1"/>
  <c r="B32793" i="1"/>
  <c r="B32792" i="1"/>
  <c r="B32791" i="1"/>
  <c r="B32790" i="1"/>
  <c r="B32789" i="1"/>
  <c r="B32788" i="1"/>
  <c r="B32787" i="1"/>
  <c r="B32786" i="1"/>
  <c r="B32785" i="1"/>
  <c r="B32784" i="1"/>
  <c r="B32783" i="1"/>
  <c r="B32782" i="1"/>
  <c r="B32781" i="1"/>
  <c r="B32780" i="1"/>
  <c r="B32779" i="1"/>
  <c r="B32778" i="1"/>
  <c r="B32777" i="1"/>
  <c r="B32776" i="1"/>
  <c r="B32775" i="1"/>
  <c r="B32774" i="1"/>
  <c r="B32773" i="1"/>
  <c r="B32772" i="1"/>
  <c r="B32771" i="1"/>
  <c r="B32770" i="1"/>
  <c r="B32769" i="1"/>
  <c r="B32768" i="1"/>
  <c r="B32767" i="1"/>
  <c r="B32766" i="1"/>
  <c r="B32765" i="1"/>
  <c r="B32764" i="1"/>
  <c r="B32763" i="1"/>
  <c r="B32762" i="1"/>
  <c r="B32761" i="1"/>
  <c r="B32760" i="1"/>
  <c r="B32759" i="1"/>
  <c r="B32758" i="1"/>
  <c r="B32757" i="1"/>
  <c r="B32756" i="1"/>
  <c r="B32755" i="1"/>
  <c r="B32754" i="1"/>
  <c r="B32753" i="1"/>
  <c r="B32752" i="1"/>
  <c r="B32751" i="1"/>
  <c r="B32750" i="1"/>
  <c r="B32749" i="1"/>
  <c r="B32748" i="1"/>
  <c r="B32747" i="1"/>
  <c r="B32746" i="1"/>
  <c r="B32745" i="1"/>
  <c r="B32744" i="1"/>
  <c r="B32743" i="1"/>
  <c r="B32742" i="1"/>
  <c r="B32741" i="1"/>
  <c r="B32740" i="1"/>
  <c r="B32739" i="1"/>
  <c r="B32738" i="1"/>
  <c r="B32737" i="1"/>
  <c r="B32736" i="1"/>
  <c r="B32735" i="1"/>
  <c r="B32734" i="1"/>
  <c r="B32733" i="1"/>
  <c r="B32732" i="1"/>
  <c r="B32731" i="1"/>
  <c r="B32730" i="1"/>
  <c r="B32729" i="1"/>
  <c r="B32728" i="1"/>
  <c r="B32727" i="1"/>
  <c r="B32726" i="1"/>
  <c r="B32725" i="1"/>
  <c r="B32724" i="1"/>
  <c r="B32723" i="1"/>
  <c r="B32722" i="1"/>
  <c r="B32721" i="1"/>
  <c r="B32720" i="1"/>
  <c r="B32719" i="1"/>
  <c r="B32718" i="1"/>
  <c r="B32717" i="1"/>
  <c r="B32716" i="1"/>
  <c r="B32715" i="1"/>
  <c r="B32714" i="1"/>
  <c r="B32713" i="1"/>
  <c r="B32712" i="1"/>
  <c r="B32711" i="1"/>
  <c r="B32710" i="1"/>
  <c r="B32709" i="1"/>
  <c r="B32708" i="1"/>
  <c r="B32707" i="1"/>
  <c r="B32706" i="1"/>
  <c r="B32705" i="1"/>
  <c r="B32704" i="1"/>
  <c r="B32703" i="1"/>
  <c r="B32702" i="1"/>
  <c r="B32701" i="1"/>
  <c r="B32700" i="1"/>
  <c r="B32699" i="1"/>
  <c r="B32698" i="1"/>
  <c r="B32697" i="1"/>
  <c r="B32696" i="1"/>
  <c r="B32695" i="1"/>
  <c r="B32694" i="1"/>
  <c r="B32693" i="1"/>
  <c r="B32692" i="1"/>
  <c r="B32691" i="1"/>
  <c r="B32690" i="1"/>
  <c r="B32689" i="1"/>
  <c r="B32688" i="1"/>
  <c r="B32687" i="1"/>
  <c r="B32686" i="1"/>
  <c r="B32685" i="1"/>
  <c r="B32684" i="1"/>
  <c r="B32683" i="1"/>
  <c r="B32682" i="1"/>
  <c r="B32681" i="1"/>
  <c r="B32680" i="1"/>
  <c r="B32679" i="1"/>
  <c r="B32678" i="1"/>
  <c r="B32677" i="1"/>
  <c r="B32676" i="1"/>
  <c r="B32675" i="1"/>
  <c r="B32674" i="1"/>
  <c r="B32673" i="1"/>
  <c r="B32672" i="1"/>
  <c r="B32671" i="1"/>
  <c r="B32670" i="1"/>
  <c r="B32669" i="1"/>
  <c r="B32668" i="1"/>
  <c r="B32667" i="1"/>
  <c r="B32666" i="1"/>
  <c r="B32665" i="1"/>
  <c r="B32664" i="1"/>
  <c r="B32663" i="1"/>
  <c r="B32662" i="1"/>
  <c r="B32661" i="1"/>
  <c r="B32660" i="1"/>
  <c r="B32659" i="1"/>
  <c r="B32658" i="1"/>
  <c r="B32657" i="1"/>
  <c r="B32656" i="1"/>
  <c r="B32655" i="1"/>
  <c r="B32654" i="1"/>
  <c r="B32653" i="1"/>
  <c r="B32652" i="1"/>
  <c r="B32651" i="1"/>
  <c r="B32650" i="1"/>
  <c r="B32649" i="1"/>
  <c r="B32648" i="1"/>
  <c r="B32647" i="1"/>
  <c r="B32646" i="1"/>
  <c r="B32645" i="1"/>
  <c r="B32644" i="1"/>
  <c r="B32643" i="1"/>
  <c r="B32642" i="1"/>
  <c r="B32641" i="1"/>
  <c r="B32640" i="1"/>
  <c r="B32639" i="1"/>
  <c r="B32638" i="1"/>
  <c r="B32637" i="1"/>
  <c r="B32636" i="1"/>
  <c r="B32635" i="1"/>
  <c r="B32634" i="1"/>
  <c r="B32633" i="1"/>
  <c r="B32632" i="1"/>
  <c r="B32631" i="1"/>
  <c r="B32630" i="1"/>
  <c r="B32629" i="1"/>
  <c r="B32628" i="1"/>
  <c r="B32627" i="1"/>
  <c r="B32626" i="1"/>
  <c r="B32625" i="1"/>
  <c r="B32624" i="1"/>
  <c r="B32623" i="1"/>
  <c r="B32622" i="1"/>
  <c r="B32621" i="1"/>
  <c r="B32620" i="1"/>
  <c r="B32619" i="1"/>
  <c r="B32618" i="1"/>
  <c r="B32617" i="1"/>
  <c r="B32616" i="1"/>
  <c r="B32615" i="1"/>
  <c r="B32614" i="1"/>
  <c r="B32613" i="1"/>
  <c r="B32612" i="1"/>
  <c r="B32611" i="1"/>
  <c r="B32610" i="1"/>
  <c r="B32609" i="1"/>
  <c r="B32608" i="1"/>
  <c r="B32607" i="1"/>
  <c r="B32606" i="1"/>
  <c r="B32605" i="1"/>
  <c r="B32604" i="1"/>
  <c r="B32603" i="1"/>
  <c r="B32602" i="1"/>
  <c r="B32601" i="1"/>
  <c r="B32600" i="1"/>
  <c r="B32599" i="1"/>
  <c r="B32598" i="1"/>
  <c r="B32597" i="1"/>
  <c r="B32596" i="1"/>
  <c r="B32595" i="1"/>
  <c r="B32594" i="1"/>
  <c r="B32593" i="1"/>
  <c r="B32592" i="1"/>
  <c r="B32591" i="1"/>
  <c r="B32590" i="1"/>
  <c r="B32589" i="1"/>
  <c r="B32588" i="1"/>
  <c r="B32587" i="1"/>
  <c r="B32586" i="1"/>
  <c r="B32585" i="1"/>
  <c r="B32584" i="1"/>
  <c r="B32583" i="1"/>
  <c r="B32582" i="1"/>
  <c r="B32581" i="1"/>
  <c r="B32580" i="1"/>
  <c r="B32579" i="1"/>
  <c r="B32578" i="1"/>
  <c r="B32577" i="1"/>
  <c r="B32576" i="1"/>
  <c r="B32575" i="1"/>
  <c r="B32574" i="1"/>
  <c r="B32573" i="1"/>
  <c r="B32572" i="1"/>
  <c r="B32571" i="1"/>
  <c r="B32570" i="1"/>
  <c r="B32569" i="1"/>
  <c r="B32568" i="1"/>
  <c r="B32567" i="1"/>
  <c r="B32566" i="1"/>
  <c r="B32565" i="1"/>
  <c r="B32564" i="1"/>
  <c r="B32563" i="1"/>
  <c r="B32562" i="1"/>
  <c r="B32561" i="1"/>
  <c r="B32560" i="1"/>
  <c r="B32559" i="1"/>
  <c r="B32558" i="1"/>
  <c r="B32557" i="1"/>
  <c r="B32556" i="1"/>
  <c r="B32555" i="1"/>
  <c r="B32554" i="1"/>
  <c r="B32553" i="1"/>
  <c r="B32552" i="1"/>
  <c r="B32551" i="1"/>
  <c r="B32550" i="1"/>
  <c r="B32549" i="1"/>
  <c r="B32548" i="1"/>
  <c r="B32547" i="1"/>
  <c r="B32546" i="1"/>
  <c r="B32545" i="1"/>
  <c r="B32544" i="1"/>
  <c r="B32543" i="1"/>
  <c r="B32542" i="1"/>
  <c r="B32541" i="1"/>
  <c r="B32540" i="1"/>
  <c r="B32539" i="1"/>
  <c r="B32538" i="1"/>
  <c r="B32537" i="1"/>
  <c r="B32536" i="1"/>
  <c r="B32535" i="1"/>
  <c r="B32534" i="1"/>
  <c r="B32533" i="1"/>
  <c r="B32532" i="1"/>
  <c r="B32531" i="1"/>
  <c r="B32530" i="1"/>
  <c r="B32529" i="1"/>
  <c r="B32528" i="1"/>
  <c r="B32527" i="1"/>
  <c r="B32526" i="1"/>
  <c r="B32525" i="1"/>
  <c r="B32524" i="1"/>
  <c r="B32523" i="1"/>
  <c r="B32522" i="1"/>
  <c r="B32521" i="1"/>
  <c r="B32520" i="1"/>
  <c r="B32519" i="1"/>
  <c r="B32518" i="1"/>
  <c r="B32517" i="1"/>
  <c r="B32516" i="1"/>
  <c r="B32515" i="1"/>
  <c r="B32514" i="1"/>
  <c r="B32513" i="1"/>
  <c r="B32512" i="1"/>
  <c r="B32511" i="1"/>
  <c r="B32510" i="1"/>
  <c r="B32509" i="1"/>
  <c r="B32508" i="1"/>
  <c r="B32507" i="1"/>
  <c r="B32506" i="1"/>
  <c r="B32505" i="1"/>
  <c r="B32504" i="1"/>
  <c r="B32503" i="1"/>
  <c r="B32502" i="1"/>
  <c r="B32501" i="1"/>
  <c r="B32500" i="1"/>
  <c r="B32499" i="1"/>
  <c r="B32498" i="1"/>
  <c r="B32497" i="1"/>
  <c r="B32496" i="1"/>
  <c r="B32495" i="1"/>
  <c r="B32494" i="1"/>
  <c r="B32493" i="1"/>
  <c r="B32492" i="1"/>
  <c r="B32491" i="1"/>
  <c r="B32490" i="1"/>
  <c r="B32489" i="1"/>
  <c r="B32488" i="1"/>
  <c r="B32487" i="1"/>
  <c r="B32486" i="1"/>
  <c r="B32485" i="1"/>
  <c r="B32484" i="1"/>
  <c r="B32483" i="1"/>
  <c r="B32482" i="1"/>
  <c r="B32481" i="1"/>
  <c r="B32480" i="1"/>
  <c r="B32479" i="1"/>
  <c r="B32478" i="1"/>
  <c r="B32477" i="1"/>
  <c r="B32476" i="1"/>
  <c r="B32475" i="1"/>
  <c r="B32474" i="1"/>
  <c r="B32473" i="1"/>
  <c r="B32472" i="1"/>
  <c r="B32471" i="1"/>
  <c r="B32470" i="1"/>
  <c r="B32469" i="1"/>
  <c r="B32468" i="1"/>
  <c r="B32467" i="1"/>
  <c r="B32466" i="1"/>
  <c r="B32465" i="1"/>
  <c r="B32464" i="1"/>
  <c r="B32463" i="1"/>
  <c r="B32462" i="1"/>
  <c r="B32461" i="1"/>
  <c r="B32460" i="1"/>
  <c r="B32459" i="1"/>
  <c r="B32458" i="1"/>
  <c r="B32457" i="1"/>
  <c r="B32456" i="1"/>
  <c r="B32455" i="1"/>
  <c r="B32454" i="1"/>
  <c r="B32453" i="1"/>
  <c r="B32452" i="1"/>
  <c r="B32451" i="1"/>
  <c r="B32450" i="1"/>
  <c r="B32449" i="1"/>
  <c r="B32448" i="1"/>
  <c r="B32447" i="1"/>
  <c r="B32446" i="1"/>
  <c r="B32445" i="1"/>
  <c r="B32444" i="1"/>
  <c r="B32443" i="1"/>
  <c r="B32442" i="1"/>
  <c r="B32441" i="1"/>
  <c r="B32440" i="1"/>
  <c r="B32439" i="1"/>
  <c r="B32438" i="1"/>
  <c r="B32437" i="1"/>
  <c r="B32436" i="1"/>
  <c r="B32435" i="1"/>
  <c r="B32434" i="1"/>
  <c r="B32433" i="1"/>
  <c r="B32432" i="1"/>
  <c r="B32431" i="1"/>
  <c r="B32430" i="1"/>
  <c r="B32429" i="1"/>
  <c r="B32428" i="1"/>
  <c r="B32427" i="1"/>
  <c r="B32426" i="1"/>
  <c r="B32425" i="1"/>
  <c r="B32424" i="1"/>
  <c r="B32423" i="1"/>
  <c r="B32422" i="1"/>
  <c r="B32421" i="1"/>
  <c r="B32420" i="1"/>
  <c r="B32419" i="1"/>
  <c r="B32418" i="1"/>
  <c r="B32417" i="1"/>
  <c r="B32416" i="1"/>
  <c r="B32415" i="1"/>
  <c r="B32414" i="1"/>
  <c r="B32413" i="1"/>
  <c r="B32412" i="1"/>
  <c r="B32411" i="1"/>
  <c r="B32410" i="1"/>
  <c r="B32409" i="1"/>
  <c r="B32408" i="1"/>
  <c r="B32407" i="1"/>
  <c r="B32406" i="1"/>
  <c r="B32405" i="1"/>
  <c r="B32404" i="1"/>
  <c r="B32403" i="1"/>
  <c r="B32402" i="1"/>
  <c r="B32401" i="1"/>
  <c r="B32400" i="1"/>
  <c r="B32399" i="1"/>
  <c r="B32398" i="1"/>
  <c r="B32397" i="1"/>
  <c r="B32396" i="1"/>
  <c r="B32395" i="1"/>
  <c r="B32394" i="1"/>
  <c r="B32393" i="1"/>
  <c r="B32392" i="1"/>
  <c r="B32391" i="1"/>
  <c r="B32390" i="1"/>
  <c r="B32389" i="1"/>
  <c r="B32388" i="1"/>
  <c r="B32387" i="1"/>
  <c r="B32386" i="1"/>
  <c r="B32385" i="1"/>
  <c r="B32384" i="1"/>
  <c r="B32383" i="1"/>
  <c r="B32382" i="1"/>
  <c r="B32381" i="1"/>
  <c r="B32380" i="1"/>
  <c r="B32379" i="1"/>
  <c r="B32378" i="1"/>
  <c r="B32377" i="1"/>
  <c r="B32376" i="1"/>
  <c r="B32375" i="1"/>
  <c r="B32374" i="1"/>
  <c r="B32373" i="1"/>
  <c r="B32372" i="1"/>
  <c r="B32371" i="1"/>
  <c r="B32370" i="1"/>
  <c r="B32369" i="1"/>
  <c r="B32368" i="1"/>
  <c r="B32367" i="1"/>
  <c r="B32366" i="1"/>
  <c r="B32365" i="1"/>
  <c r="B32364" i="1"/>
  <c r="B32363" i="1"/>
  <c r="B32362" i="1"/>
  <c r="B32361" i="1"/>
  <c r="B32360" i="1"/>
  <c r="B32359" i="1"/>
  <c r="B32358" i="1"/>
  <c r="B32357" i="1"/>
  <c r="B32356" i="1"/>
  <c r="B32355" i="1"/>
  <c r="B32354" i="1"/>
  <c r="B32353" i="1"/>
  <c r="B32352" i="1"/>
  <c r="B32351" i="1"/>
  <c r="B32350" i="1"/>
  <c r="B32349" i="1"/>
  <c r="B32348" i="1"/>
  <c r="B32347" i="1"/>
  <c r="B32346" i="1"/>
  <c r="B32345" i="1"/>
  <c r="B32344" i="1"/>
  <c r="B32343" i="1"/>
  <c r="B32342" i="1"/>
  <c r="B32341" i="1"/>
  <c r="B32340" i="1"/>
  <c r="B32339" i="1"/>
  <c r="B32338" i="1"/>
  <c r="B32337" i="1"/>
  <c r="B32336" i="1"/>
  <c r="B32335" i="1"/>
  <c r="B32334" i="1"/>
  <c r="B32333" i="1"/>
  <c r="B32332" i="1"/>
  <c r="B32331" i="1"/>
  <c r="B32330" i="1"/>
  <c r="B32329" i="1"/>
  <c r="B32328" i="1"/>
  <c r="B32327" i="1"/>
  <c r="B32326" i="1"/>
  <c r="B32325" i="1"/>
  <c r="B32324" i="1"/>
  <c r="B32323" i="1"/>
  <c r="B32322" i="1"/>
  <c r="B32321" i="1"/>
  <c r="B32320" i="1"/>
  <c r="B32319" i="1"/>
  <c r="B32318" i="1"/>
  <c r="B32317" i="1"/>
  <c r="B32316" i="1"/>
  <c r="B32315" i="1"/>
  <c r="B32314" i="1"/>
  <c r="B32313" i="1"/>
  <c r="B32312" i="1"/>
  <c r="B32311" i="1"/>
  <c r="B32310" i="1"/>
  <c r="B32309" i="1"/>
  <c r="B32308" i="1"/>
  <c r="B32307" i="1"/>
  <c r="B32306" i="1"/>
  <c r="B32305" i="1"/>
  <c r="B32304" i="1"/>
  <c r="B32303" i="1"/>
  <c r="B32302" i="1"/>
  <c r="B32301" i="1"/>
  <c r="B32300" i="1"/>
  <c r="B32299" i="1"/>
  <c r="B32298" i="1"/>
  <c r="B32297" i="1"/>
  <c r="B32296" i="1"/>
  <c r="B32295" i="1"/>
  <c r="B32294" i="1"/>
  <c r="B32293" i="1"/>
  <c r="B32292" i="1"/>
  <c r="B32291" i="1"/>
  <c r="B32290" i="1"/>
  <c r="B32289" i="1"/>
  <c r="B32288" i="1"/>
  <c r="B32287" i="1"/>
  <c r="B32286" i="1"/>
  <c r="B32285" i="1"/>
  <c r="B32284" i="1"/>
  <c r="B32283" i="1"/>
  <c r="B32282" i="1"/>
  <c r="B32281" i="1"/>
  <c r="B32280" i="1"/>
  <c r="B32279" i="1"/>
  <c r="B32278" i="1"/>
  <c r="B32277" i="1"/>
  <c r="B32276" i="1"/>
  <c r="B32275" i="1"/>
  <c r="B32274" i="1"/>
  <c r="B32273" i="1"/>
  <c r="B32272" i="1"/>
  <c r="B32271" i="1"/>
  <c r="B32270" i="1"/>
  <c r="B32269" i="1"/>
  <c r="B32268" i="1"/>
  <c r="B32267" i="1"/>
  <c r="B32266" i="1"/>
  <c r="B32265" i="1"/>
  <c r="B32264" i="1"/>
  <c r="B32263" i="1"/>
  <c r="B32262" i="1"/>
  <c r="B32261" i="1"/>
  <c r="B32260" i="1"/>
  <c r="B32259" i="1"/>
  <c r="B32258" i="1"/>
  <c r="B32257" i="1"/>
  <c r="B32256" i="1"/>
  <c r="B32255" i="1"/>
  <c r="B32254" i="1"/>
  <c r="B32253" i="1"/>
  <c r="B32252" i="1"/>
  <c r="B32251" i="1"/>
  <c r="B32250" i="1"/>
  <c r="B32249" i="1"/>
  <c r="B32248" i="1"/>
  <c r="B32247" i="1"/>
  <c r="B32246" i="1"/>
  <c r="B32245" i="1"/>
  <c r="B32244" i="1"/>
  <c r="B32243" i="1"/>
  <c r="B32242" i="1"/>
  <c r="B32241" i="1"/>
  <c r="B32240" i="1"/>
  <c r="B32239" i="1"/>
  <c r="B32238" i="1"/>
  <c r="B32237" i="1"/>
  <c r="B32236" i="1"/>
  <c r="B32235" i="1"/>
  <c r="B32234" i="1"/>
  <c r="B32233" i="1"/>
  <c r="B32232" i="1"/>
  <c r="B32231" i="1"/>
  <c r="B32230" i="1"/>
  <c r="B32229" i="1"/>
  <c r="B32228" i="1"/>
  <c r="B32227" i="1"/>
  <c r="B32226" i="1"/>
  <c r="B32225" i="1"/>
  <c r="B32224" i="1"/>
  <c r="B32223" i="1"/>
  <c r="B32222" i="1"/>
  <c r="B32221" i="1"/>
  <c r="B32220" i="1"/>
  <c r="B32219" i="1"/>
  <c r="B32218" i="1"/>
  <c r="B32217" i="1"/>
  <c r="B32216" i="1"/>
  <c r="B32215" i="1"/>
  <c r="B32214" i="1"/>
  <c r="B32213" i="1"/>
  <c r="B32212" i="1"/>
  <c r="B32211" i="1"/>
  <c r="B32210" i="1"/>
  <c r="B32209" i="1"/>
  <c r="B32208" i="1"/>
  <c r="B32207" i="1"/>
  <c r="B32206" i="1"/>
  <c r="B32205" i="1"/>
  <c r="B32204" i="1"/>
  <c r="B32203" i="1"/>
  <c r="B32202" i="1"/>
  <c r="B32201" i="1"/>
  <c r="B32200" i="1"/>
  <c r="B32199" i="1"/>
  <c r="B32198" i="1"/>
  <c r="B32197" i="1"/>
  <c r="B32196" i="1"/>
  <c r="B32195" i="1"/>
  <c r="B32194" i="1"/>
  <c r="B32193" i="1"/>
  <c r="B32192" i="1"/>
  <c r="B32191" i="1"/>
  <c r="B32190" i="1"/>
  <c r="B32189" i="1"/>
  <c r="B32188" i="1"/>
  <c r="B32187" i="1"/>
  <c r="B32186" i="1"/>
  <c r="B32185" i="1"/>
  <c r="B32184" i="1"/>
  <c r="B32183" i="1"/>
  <c r="B32182" i="1"/>
  <c r="B32181" i="1"/>
  <c r="B32180" i="1"/>
  <c r="B32179" i="1"/>
  <c r="B32178" i="1"/>
  <c r="B32177" i="1"/>
  <c r="B32176" i="1"/>
  <c r="B32175" i="1"/>
  <c r="B32174" i="1"/>
  <c r="B32173" i="1"/>
  <c r="B32172" i="1"/>
  <c r="B32171" i="1"/>
  <c r="B32170" i="1"/>
  <c r="B32169" i="1"/>
  <c r="B32168" i="1"/>
  <c r="B32167" i="1"/>
  <c r="B32166" i="1"/>
  <c r="B32165" i="1"/>
  <c r="B32164" i="1"/>
  <c r="B32163" i="1"/>
  <c r="B32162" i="1"/>
  <c r="B32161" i="1"/>
  <c r="B32160" i="1"/>
  <c r="B32159" i="1"/>
  <c r="B32158" i="1"/>
  <c r="B32157" i="1"/>
  <c r="B32156" i="1"/>
  <c r="B32155" i="1"/>
  <c r="B32154" i="1"/>
  <c r="B32153" i="1"/>
  <c r="B32152" i="1"/>
  <c r="B32151" i="1"/>
  <c r="B32150" i="1"/>
  <c r="B32149" i="1"/>
  <c r="B32148" i="1"/>
  <c r="B32147" i="1"/>
  <c r="B32146" i="1"/>
  <c r="B32145" i="1"/>
  <c r="B32144" i="1"/>
  <c r="B32143" i="1"/>
  <c r="B32142" i="1"/>
  <c r="B32141" i="1"/>
  <c r="B32140" i="1"/>
  <c r="B32139" i="1"/>
  <c r="B32138" i="1"/>
  <c r="B32137" i="1"/>
  <c r="B32136" i="1"/>
  <c r="B32135" i="1"/>
  <c r="B32134" i="1"/>
  <c r="B32133" i="1"/>
  <c r="B32132" i="1"/>
  <c r="B32131" i="1"/>
  <c r="B32130" i="1"/>
  <c r="B32129" i="1"/>
  <c r="B32128" i="1"/>
  <c r="B32127" i="1"/>
  <c r="B32126" i="1"/>
  <c r="B32125" i="1"/>
  <c r="B32124" i="1"/>
  <c r="B32123" i="1"/>
  <c r="B32122" i="1"/>
  <c r="B32121" i="1"/>
  <c r="B32120" i="1"/>
  <c r="B32119" i="1"/>
  <c r="B32118" i="1"/>
  <c r="B32117" i="1"/>
  <c r="B32116" i="1"/>
  <c r="B32115" i="1"/>
  <c r="B32114" i="1"/>
  <c r="B32113" i="1"/>
  <c r="B32112" i="1"/>
  <c r="B32111" i="1"/>
  <c r="B32110" i="1"/>
  <c r="B32109" i="1"/>
  <c r="B32108" i="1"/>
  <c r="B32107" i="1"/>
  <c r="B32106" i="1"/>
  <c r="B32105" i="1"/>
  <c r="B32104" i="1"/>
  <c r="B32103" i="1"/>
  <c r="B32102" i="1"/>
  <c r="B32101" i="1"/>
  <c r="B32100" i="1"/>
  <c r="B32099" i="1"/>
  <c r="B32098" i="1"/>
  <c r="B32097" i="1"/>
  <c r="B32096" i="1"/>
  <c r="B32095" i="1"/>
  <c r="B32094" i="1"/>
  <c r="B32093" i="1"/>
  <c r="B32092" i="1"/>
  <c r="B32091" i="1"/>
  <c r="B32090" i="1"/>
  <c r="B32089" i="1"/>
  <c r="B32088" i="1"/>
  <c r="B32087" i="1"/>
  <c r="B32086" i="1"/>
  <c r="B32085" i="1"/>
  <c r="B32084" i="1"/>
  <c r="B32083" i="1"/>
  <c r="B32082" i="1"/>
  <c r="B32081" i="1"/>
  <c r="B32080" i="1"/>
  <c r="B32079" i="1"/>
  <c r="B32078" i="1"/>
  <c r="B32077" i="1"/>
  <c r="B32076" i="1"/>
  <c r="B32075" i="1"/>
  <c r="B32074" i="1"/>
  <c r="B32073" i="1"/>
  <c r="B32072" i="1"/>
  <c r="B32071" i="1"/>
  <c r="B32070" i="1"/>
  <c r="B32069" i="1"/>
  <c r="B32068" i="1"/>
  <c r="B32067" i="1"/>
  <c r="B32066" i="1"/>
  <c r="B32065" i="1"/>
  <c r="B32064" i="1"/>
  <c r="B32063" i="1"/>
  <c r="B32062" i="1"/>
  <c r="B32061" i="1"/>
  <c r="B32060" i="1"/>
  <c r="B32059" i="1"/>
  <c r="B32058" i="1"/>
  <c r="B32057" i="1"/>
  <c r="B32056" i="1"/>
  <c r="B32055" i="1"/>
  <c r="B32054" i="1"/>
  <c r="B32053" i="1"/>
  <c r="B32052" i="1"/>
  <c r="B32051" i="1"/>
  <c r="B32050" i="1"/>
  <c r="B32049" i="1"/>
  <c r="B32048" i="1"/>
  <c r="B32047" i="1"/>
  <c r="B32046" i="1"/>
  <c r="B32045" i="1"/>
  <c r="B32044" i="1"/>
  <c r="B32043" i="1"/>
  <c r="B32042" i="1"/>
  <c r="B32041" i="1"/>
  <c r="B32040" i="1"/>
  <c r="B32039" i="1"/>
  <c r="B32038" i="1"/>
  <c r="B32037" i="1"/>
  <c r="B32036" i="1"/>
  <c r="B32035" i="1"/>
  <c r="B32034" i="1"/>
  <c r="B32033" i="1"/>
  <c r="B32032" i="1"/>
  <c r="B32031" i="1"/>
  <c r="B32030" i="1"/>
  <c r="B32029" i="1"/>
  <c r="B32028" i="1"/>
  <c r="B32027" i="1"/>
  <c r="B32026" i="1"/>
  <c r="B32025" i="1"/>
  <c r="B32024" i="1"/>
  <c r="B32023" i="1"/>
  <c r="B32022" i="1"/>
  <c r="B32021" i="1"/>
  <c r="B32020" i="1"/>
  <c r="B32019" i="1"/>
  <c r="B32018" i="1"/>
  <c r="B32017" i="1"/>
  <c r="B32016" i="1"/>
  <c r="B32015" i="1"/>
  <c r="B32014" i="1"/>
  <c r="B32013" i="1"/>
  <c r="B32012" i="1"/>
  <c r="B32011" i="1"/>
  <c r="B32010" i="1"/>
  <c r="B32009" i="1"/>
  <c r="B32008" i="1"/>
  <c r="B32007" i="1"/>
  <c r="B32006" i="1"/>
  <c r="B32005" i="1"/>
  <c r="B32004" i="1"/>
  <c r="B32003" i="1"/>
  <c r="B32002" i="1"/>
  <c r="B32001" i="1"/>
  <c r="B32000" i="1"/>
  <c r="B31999" i="1"/>
  <c r="B31998" i="1"/>
  <c r="B31997" i="1"/>
  <c r="B31996" i="1"/>
  <c r="B31995" i="1"/>
  <c r="B31994" i="1"/>
  <c r="B31993" i="1"/>
  <c r="B31992" i="1"/>
  <c r="B31991" i="1"/>
  <c r="B31990" i="1"/>
  <c r="B31989" i="1"/>
  <c r="B31988" i="1"/>
  <c r="B31987" i="1"/>
  <c r="B31986" i="1"/>
  <c r="B31985" i="1"/>
  <c r="B31984" i="1"/>
  <c r="B31983" i="1"/>
  <c r="B31982" i="1"/>
  <c r="B31981" i="1"/>
  <c r="B31980" i="1"/>
  <c r="B31979" i="1"/>
  <c r="B31978" i="1"/>
  <c r="B31977" i="1"/>
  <c r="B31976" i="1"/>
  <c r="B31975" i="1"/>
  <c r="B31974" i="1"/>
  <c r="B31973" i="1"/>
  <c r="B31972" i="1"/>
  <c r="B31971" i="1"/>
  <c r="B31970" i="1"/>
  <c r="B31969" i="1"/>
  <c r="B31968" i="1"/>
  <c r="B31967" i="1"/>
  <c r="B31966" i="1"/>
  <c r="B31965" i="1"/>
  <c r="B31964" i="1"/>
  <c r="B31963" i="1"/>
  <c r="B31962" i="1"/>
  <c r="B31961" i="1"/>
  <c r="B31960" i="1"/>
  <c r="B31959" i="1"/>
  <c r="B31958" i="1"/>
  <c r="B31957" i="1"/>
  <c r="B31956" i="1"/>
  <c r="B31955" i="1"/>
  <c r="B31954" i="1"/>
  <c r="B31953" i="1"/>
  <c r="B31952" i="1"/>
  <c r="B31951" i="1"/>
  <c r="B31950" i="1"/>
  <c r="B31949" i="1"/>
  <c r="B31948" i="1"/>
  <c r="B31947" i="1"/>
  <c r="B31946" i="1"/>
  <c r="B31945" i="1"/>
  <c r="B31944" i="1"/>
  <c r="B31943" i="1"/>
  <c r="B31942" i="1"/>
  <c r="B31941" i="1"/>
  <c r="B31940" i="1"/>
  <c r="B31939" i="1"/>
  <c r="B31938" i="1"/>
  <c r="B31937" i="1"/>
  <c r="B31936" i="1"/>
  <c r="B31935" i="1"/>
  <c r="B31934" i="1"/>
  <c r="B31933" i="1"/>
  <c r="B31932" i="1"/>
  <c r="B31931" i="1"/>
  <c r="B31930" i="1"/>
  <c r="B31929" i="1"/>
  <c r="B31928" i="1"/>
  <c r="B31927" i="1"/>
  <c r="B31926" i="1"/>
  <c r="B31925" i="1"/>
  <c r="B31924" i="1"/>
  <c r="B31923" i="1"/>
  <c r="B31922" i="1"/>
  <c r="B31921" i="1"/>
  <c r="B31920" i="1"/>
  <c r="B31919" i="1"/>
  <c r="B31918" i="1"/>
  <c r="B31917" i="1"/>
  <c r="B31916" i="1"/>
  <c r="B31915" i="1"/>
  <c r="B31914" i="1"/>
  <c r="B31913" i="1"/>
  <c r="B31912" i="1"/>
  <c r="B31911" i="1"/>
  <c r="B31910" i="1"/>
  <c r="B31909" i="1"/>
  <c r="B31908" i="1"/>
  <c r="B31907" i="1"/>
  <c r="B31906" i="1"/>
  <c r="B31905" i="1"/>
  <c r="B31904" i="1"/>
  <c r="B31903" i="1"/>
  <c r="B31902" i="1"/>
  <c r="B31901" i="1"/>
  <c r="B31900" i="1"/>
  <c r="B31899" i="1"/>
  <c r="B31898" i="1"/>
  <c r="B31897" i="1"/>
  <c r="B31896" i="1"/>
  <c r="B31895" i="1"/>
  <c r="B31894" i="1"/>
  <c r="B31893" i="1"/>
  <c r="B31892" i="1"/>
  <c r="B31891" i="1"/>
  <c r="B31890" i="1"/>
  <c r="B31889" i="1"/>
  <c r="B31888" i="1"/>
  <c r="B31887" i="1"/>
  <c r="B31886" i="1"/>
  <c r="B31885" i="1"/>
  <c r="B31884" i="1"/>
  <c r="B31883" i="1"/>
  <c r="B31882" i="1"/>
  <c r="B31881" i="1"/>
  <c r="B31880" i="1"/>
  <c r="B31879" i="1"/>
  <c r="B31878" i="1"/>
  <c r="B31877" i="1"/>
  <c r="B31876" i="1"/>
  <c r="B31875" i="1"/>
  <c r="B31874" i="1"/>
  <c r="B31873" i="1"/>
  <c r="B31872" i="1"/>
  <c r="B31871" i="1"/>
  <c r="B31870" i="1"/>
  <c r="B31869" i="1"/>
  <c r="B31868" i="1"/>
  <c r="B31867" i="1"/>
  <c r="B31866" i="1"/>
  <c r="B31865" i="1"/>
  <c r="B31864" i="1"/>
  <c r="B31863" i="1"/>
  <c r="B31862" i="1"/>
  <c r="B31861" i="1"/>
  <c r="B31860" i="1"/>
  <c r="B31859" i="1"/>
  <c r="B31858" i="1"/>
  <c r="B31857" i="1"/>
  <c r="B31856" i="1"/>
  <c r="B31855" i="1"/>
  <c r="B31854" i="1"/>
  <c r="B31853" i="1"/>
  <c r="B31852" i="1"/>
  <c r="B31851" i="1"/>
  <c r="B31850" i="1"/>
  <c r="B31849" i="1"/>
  <c r="B31848" i="1"/>
  <c r="B31847" i="1"/>
  <c r="B31846" i="1"/>
  <c r="B31845" i="1"/>
  <c r="B31844" i="1"/>
  <c r="B31843" i="1"/>
  <c r="B31842" i="1"/>
  <c r="B31841" i="1"/>
  <c r="B31840" i="1"/>
  <c r="B31839" i="1"/>
  <c r="B31838" i="1"/>
  <c r="B31837" i="1"/>
  <c r="B31836" i="1"/>
  <c r="B31835" i="1"/>
  <c r="B31834" i="1"/>
  <c r="B31833" i="1"/>
  <c r="B31832" i="1"/>
  <c r="B31831" i="1"/>
  <c r="B31830" i="1"/>
  <c r="B31829" i="1"/>
  <c r="B31828" i="1"/>
  <c r="B31827" i="1"/>
  <c r="B31826" i="1"/>
  <c r="B31825" i="1"/>
  <c r="B31824" i="1"/>
  <c r="B31823" i="1"/>
  <c r="B31822" i="1"/>
  <c r="B31821" i="1"/>
  <c r="B31820" i="1"/>
  <c r="B31819" i="1"/>
  <c r="B31818" i="1"/>
  <c r="B31817" i="1"/>
  <c r="B31816" i="1"/>
  <c r="B31815" i="1"/>
  <c r="B31814" i="1"/>
  <c r="B31813" i="1"/>
  <c r="B31812" i="1"/>
  <c r="B31811" i="1"/>
  <c r="B31810" i="1"/>
  <c r="B31809" i="1"/>
  <c r="B31808" i="1"/>
  <c r="B31807" i="1"/>
  <c r="B31806" i="1"/>
  <c r="B31805" i="1"/>
  <c r="B31804" i="1"/>
  <c r="B31803" i="1"/>
  <c r="B31802" i="1"/>
  <c r="B31801" i="1"/>
  <c r="B31800" i="1"/>
  <c r="B31799" i="1"/>
  <c r="B31798" i="1"/>
  <c r="B31797" i="1"/>
  <c r="B31796" i="1"/>
  <c r="B31795" i="1"/>
  <c r="B31794" i="1"/>
  <c r="B31793" i="1"/>
  <c r="B31792" i="1"/>
  <c r="B31791" i="1"/>
  <c r="B31790" i="1"/>
  <c r="B31789" i="1"/>
  <c r="B31788" i="1"/>
  <c r="B31787" i="1"/>
  <c r="B31786" i="1"/>
  <c r="B31785" i="1"/>
  <c r="B31784" i="1"/>
  <c r="B31783" i="1"/>
  <c r="B31782" i="1"/>
  <c r="B31781" i="1"/>
  <c r="B31780" i="1"/>
  <c r="B31779" i="1"/>
  <c r="B31778" i="1"/>
  <c r="B31777" i="1"/>
  <c r="B31776" i="1"/>
  <c r="B31775" i="1"/>
  <c r="B31774" i="1"/>
  <c r="B31773" i="1"/>
  <c r="B31772" i="1"/>
  <c r="B31771" i="1"/>
  <c r="B31770" i="1"/>
  <c r="B31769" i="1"/>
  <c r="B31768" i="1"/>
  <c r="B31767" i="1"/>
  <c r="B31766" i="1"/>
  <c r="B31765" i="1"/>
  <c r="B31764" i="1"/>
  <c r="B31763" i="1"/>
  <c r="B31762" i="1"/>
  <c r="B31761" i="1"/>
  <c r="B31760" i="1"/>
  <c r="B31759" i="1"/>
  <c r="B31758" i="1"/>
  <c r="B31757" i="1"/>
  <c r="B31756" i="1"/>
  <c r="B31755" i="1"/>
  <c r="B31754" i="1"/>
  <c r="B31753" i="1"/>
  <c r="B31752" i="1"/>
  <c r="B31751" i="1"/>
  <c r="B31750" i="1"/>
  <c r="B31749" i="1"/>
  <c r="B31748" i="1"/>
  <c r="B31747" i="1"/>
  <c r="B31746" i="1"/>
  <c r="B31745" i="1"/>
  <c r="B31744" i="1"/>
  <c r="B31743" i="1"/>
  <c r="B31742" i="1"/>
  <c r="B31741" i="1"/>
  <c r="B31740" i="1"/>
  <c r="B31739" i="1"/>
  <c r="B31738" i="1"/>
  <c r="B31737" i="1"/>
  <c r="B31736" i="1"/>
  <c r="B31735" i="1"/>
  <c r="B31734" i="1"/>
  <c r="B31733" i="1"/>
  <c r="B31732" i="1"/>
  <c r="B31731" i="1"/>
  <c r="B31730" i="1"/>
  <c r="B31729" i="1"/>
  <c r="B31728" i="1"/>
  <c r="B31727" i="1"/>
  <c r="B31726" i="1"/>
  <c r="B31725" i="1"/>
  <c r="B31724" i="1"/>
  <c r="B31723" i="1"/>
  <c r="B31722" i="1"/>
  <c r="B31721" i="1"/>
  <c r="B31720" i="1"/>
  <c r="B31719" i="1"/>
  <c r="B31718" i="1"/>
  <c r="B31717" i="1"/>
  <c r="B31716" i="1"/>
  <c r="B31715" i="1"/>
  <c r="B31714" i="1"/>
  <c r="B31713" i="1"/>
  <c r="B31712" i="1"/>
  <c r="B31711" i="1"/>
  <c r="B31710" i="1"/>
  <c r="B31709" i="1"/>
  <c r="B31708" i="1"/>
  <c r="B31707" i="1"/>
  <c r="B31706" i="1"/>
  <c r="B31705" i="1"/>
  <c r="B31704" i="1"/>
  <c r="B31703" i="1"/>
  <c r="B31702" i="1"/>
  <c r="B31701" i="1"/>
  <c r="B31700" i="1"/>
  <c r="B31699" i="1"/>
  <c r="B31698" i="1"/>
  <c r="B31697" i="1"/>
  <c r="B31696" i="1"/>
  <c r="B31695" i="1"/>
  <c r="B31694" i="1"/>
  <c r="B31693" i="1"/>
  <c r="B31692" i="1"/>
  <c r="B31691" i="1"/>
  <c r="B31690" i="1"/>
  <c r="B31689" i="1"/>
  <c r="B31688" i="1"/>
  <c r="B31687" i="1"/>
  <c r="B31686" i="1"/>
  <c r="B31685" i="1"/>
  <c r="B31684" i="1"/>
  <c r="B31683" i="1"/>
  <c r="B31682" i="1"/>
  <c r="B31681" i="1"/>
  <c r="B31680" i="1"/>
  <c r="B31679" i="1"/>
  <c r="B31678" i="1"/>
  <c r="B31677" i="1"/>
  <c r="B31676" i="1"/>
  <c r="B31675" i="1"/>
  <c r="B31674" i="1"/>
  <c r="B31673" i="1"/>
  <c r="B31672" i="1"/>
  <c r="B31671" i="1"/>
  <c r="B31670" i="1"/>
  <c r="B31669" i="1"/>
  <c r="B31668" i="1"/>
  <c r="B31667" i="1"/>
  <c r="B31666" i="1"/>
  <c r="B31665" i="1"/>
  <c r="B31664" i="1"/>
  <c r="B31663" i="1"/>
  <c r="B31662" i="1"/>
  <c r="B31661" i="1"/>
  <c r="B31660" i="1"/>
  <c r="B31659" i="1"/>
  <c r="B31658" i="1"/>
  <c r="B31657" i="1"/>
  <c r="B31656" i="1"/>
  <c r="B31655" i="1"/>
  <c r="B31654" i="1"/>
  <c r="B31653" i="1"/>
  <c r="B31652" i="1"/>
  <c r="B31651" i="1"/>
  <c r="B31650" i="1"/>
  <c r="B31649" i="1"/>
  <c r="B31648" i="1"/>
  <c r="B31647" i="1"/>
  <c r="B31646" i="1"/>
  <c r="B31645" i="1"/>
  <c r="B31644" i="1"/>
  <c r="B31643" i="1"/>
  <c r="B31642" i="1"/>
  <c r="B31641" i="1"/>
  <c r="B31640" i="1"/>
  <c r="B31639" i="1"/>
  <c r="B31638" i="1"/>
  <c r="B31637" i="1"/>
  <c r="B31636" i="1"/>
  <c r="B31635" i="1"/>
  <c r="B31634" i="1"/>
  <c r="B31633" i="1"/>
  <c r="B31632" i="1"/>
  <c r="B31631" i="1"/>
  <c r="B31630" i="1"/>
  <c r="B31629" i="1"/>
  <c r="B31628" i="1"/>
  <c r="B31627" i="1"/>
  <c r="B31626" i="1"/>
  <c r="B31625" i="1"/>
  <c r="B31624" i="1"/>
  <c r="B31623" i="1"/>
  <c r="B31622" i="1"/>
  <c r="B31621" i="1"/>
  <c r="B31620" i="1"/>
  <c r="B31619" i="1"/>
  <c r="B31618" i="1"/>
  <c r="B31617" i="1"/>
  <c r="B31616" i="1"/>
  <c r="B31615" i="1"/>
  <c r="B31614" i="1"/>
  <c r="B31613" i="1"/>
  <c r="B31612" i="1"/>
  <c r="B31611" i="1"/>
  <c r="B31610" i="1"/>
  <c r="B31609" i="1"/>
  <c r="B31608" i="1"/>
  <c r="B31607" i="1"/>
  <c r="B31606" i="1"/>
  <c r="B31605" i="1"/>
  <c r="B31604" i="1"/>
  <c r="B31603" i="1"/>
  <c r="B31602" i="1"/>
  <c r="B31601" i="1"/>
  <c r="B31600" i="1"/>
  <c r="B31599" i="1"/>
  <c r="B31598" i="1"/>
  <c r="B31597" i="1"/>
  <c r="B31596" i="1"/>
  <c r="B31595" i="1"/>
  <c r="B31594" i="1"/>
  <c r="B31593" i="1"/>
  <c r="B31592" i="1"/>
  <c r="B31591" i="1"/>
  <c r="B31590" i="1"/>
  <c r="B31589" i="1"/>
  <c r="B31588" i="1"/>
  <c r="B31587" i="1"/>
  <c r="B31586" i="1"/>
  <c r="B31585" i="1"/>
  <c r="B31584" i="1"/>
  <c r="B31583" i="1"/>
  <c r="B31582" i="1"/>
  <c r="B31581" i="1"/>
  <c r="B31580" i="1"/>
  <c r="B31579" i="1"/>
  <c r="B31578" i="1"/>
  <c r="B31577" i="1"/>
  <c r="B31576" i="1"/>
  <c r="B31575" i="1"/>
  <c r="B31574" i="1"/>
  <c r="B31573" i="1"/>
  <c r="B31572" i="1"/>
  <c r="B31571" i="1"/>
  <c r="B31570" i="1"/>
  <c r="B31569" i="1"/>
  <c r="B31568" i="1"/>
  <c r="B31567" i="1"/>
  <c r="B31566" i="1"/>
  <c r="B31565" i="1"/>
  <c r="B31564" i="1"/>
  <c r="B31563" i="1"/>
  <c r="B31562" i="1"/>
  <c r="B31561" i="1"/>
  <c r="B31560" i="1"/>
  <c r="B31559" i="1"/>
  <c r="B31558" i="1"/>
  <c r="B31557" i="1"/>
  <c r="B31556" i="1"/>
  <c r="B31555" i="1"/>
  <c r="B31554" i="1"/>
  <c r="B31553" i="1"/>
  <c r="B31552" i="1"/>
  <c r="B31551" i="1"/>
  <c r="B31550" i="1"/>
  <c r="B31549" i="1"/>
  <c r="B31548" i="1"/>
  <c r="B31547" i="1"/>
  <c r="B31546" i="1"/>
  <c r="B31545" i="1"/>
  <c r="B31544" i="1"/>
  <c r="B31543" i="1"/>
  <c r="B31542" i="1"/>
  <c r="B31541" i="1"/>
  <c r="B31540" i="1"/>
  <c r="B31539" i="1"/>
  <c r="B31538" i="1"/>
  <c r="B31537" i="1"/>
  <c r="B31536" i="1"/>
  <c r="B31535" i="1"/>
  <c r="B31534" i="1"/>
  <c r="B31533" i="1"/>
  <c r="B31532" i="1"/>
  <c r="B31531" i="1"/>
  <c r="B31530" i="1"/>
  <c r="B31529" i="1"/>
  <c r="B31528" i="1"/>
  <c r="B31527" i="1"/>
  <c r="B31526" i="1"/>
  <c r="B31525" i="1"/>
  <c r="B31524" i="1"/>
  <c r="B31523" i="1"/>
  <c r="B31522" i="1"/>
  <c r="B31521" i="1"/>
  <c r="B31520" i="1"/>
  <c r="B31519" i="1"/>
  <c r="B31518" i="1"/>
  <c r="B31517" i="1"/>
  <c r="B31516" i="1"/>
  <c r="B31515" i="1"/>
  <c r="B31514" i="1"/>
  <c r="B31513" i="1"/>
  <c r="B31512" i="1"/>
  <c r="B31511" i="1"/>
  <c r="B31510" i="1"/>
  <c r="B31509" i="1"/>
  <c r="B31508" i="1"/>
  <c r="B31507" i="1"/>
  <c r="B31506" i="1"/>
  <c r="B31505" i="1"/>
  <c r="B31504" i="1"/>
  <c r="B31503" i="1"/>
  <c r="B31502" i="1"/>
  <c r="B31501" i="1"/>
  <c r="B31500" i="1"/>
  <c r="B31499" i="1"/>
  <c r="B31498" i="1"/>
  <c r="B31497" i="1"/>
  <c r="B31496" i="1"/>
  <c r="B31495" i="1"/>
  <c r="B31494" i="1"/>
  <c r="B31493" i="1"/>
  <c r="B31492" i="1"/>
  <c r="B31491" i="1"/>
  <c r="B31490" i="1"/>
  <c r="B31489" i="1"/>
  <c r="B31488" i="1"/>
  <c r="B31487" i="1"/>
  <c r="B31486" i="1"/>
  <c r="B31485" i="1"/>
  <c r="B31484" i="1"/>
  <c r="B31483" i="1"/>
  <c r="B31482" i="1"/>
  <c r="B31481" i="1"/>
  <c r="B31480" i="1"/>
  <c r="B31479" i="1"/>
  <c r="B31478" i="1"/>
  <c r="B31477" i="1"/>
  <c r="B31476" i="1"/>
  <c r="B31475" i="1"/>
  <c r="B31474" i="1"/>
  <c r="B31473" i="1"/>
  <c r="B31472" i="1"/>
  <c r="B31471" i="1"/>
  <c r="B31470" i="1"/>
  <c r="B31469" i="1"/>
  <c r="B31468" i="1"/>
  <c r="B31467" i="1"/>
  <c r="B31466" i="1"/>
  <c r="B31465" i="1"/>
  <c r="B31464" i="1"/>
  <c r="B31463" i="1"/>
  <c r="B31462" i="1"/>
  <c r="B31461" i="1"/>
  <c r="B31460" i="1"/>
  <c r="B31459" i="1"/>
  <c r="B31458" i="1"/>
  <c r="B31457" i="1"/>
  <c r="B31456" i="1"/>
  <c r="B31455" i="1"/>
  <c r="B31454" i="1"/>
  <c r="B31453" i="1"/>
  <c r="B31452" i="1"/>
  <c r="B31451" i="1"/>
  <c r="B31450" i="1"/>
  <c r="B31449" i="1"/>
  <c r="B31448" i="1"/>
  <c r="B31447" i="1"/>
  <c r="B31446" i="1"/>
  <c r="B31445" i="1"/>
  <c r="B31444" i="1"/>
  <c r="B31443" i="1"/>
  <c r="B31442" i="1"/>
  <c r="B31441" i="1"/>
  <c r="B31440" i="1"/>
  <c r="B31439" i="1"/>
  <c r="B31438" i="1"/>
  <c r="B31437" i="1"/>
  <c r="B31436" i="1"/>
  <c r="B31435" i="1"/>
  <c r="B31434" i="1"/>
  <c r="B31433" i="1"/>
  <c r="B31432" i="1"/>
  <c r="B31431" i="1"/>
  <c r="B31430" i="1"/>
  <c r="B31429" i="1"/>
  <c r="B31428" i="1"/>
  <c r="B31427" i="1"/>
  <c r="B31426" i="1"/>
  <c r="B31425" i="1"/>
  <c r="B31424" i="1"/>
  <c r="B31423" i="1"/>
  <c r="B31422" i="1"/>
  <c r="B31421" i="1"/>
  <c r="B31420" i="1"/>
  <c r="B31419" i="1"/>
  <c r="B31418" i="1"/>
  <c r="B31417" i="1"/>
  <c r="B31416" i="1"/>
  <c r="B31415" i="1"/>
  <c r="B31414" i="1"/>
  <c r="B31413" i="1"/>
  <c r="B31412" i="1"/>
  <c r="B31411" i="1"/>
  <c r="B31410" i="1"/>
  <c r="B31409" i="1"/>
  <c r="B31408" i="1"/>
  <c r="B31407" i="1"/>
  <c r="B31406" i="1"/>
  <c r="B31405" i="1"/>
  <c r="B31404" i="1"/>
  <c r="B31403" i="1"/>
  <c r="B31402" i="1"/>
  <c r="B31401" i="1"/>
  <c r="B31400" i="1"/>
  <c r="B31399" i="1"/>
  <c r="B31398" i="1"/>
  <c r="B31397" i="1"/>
  <c r="B31396" i="1"/>
  <c r="B31395" i="1"/>
  <c r="B31394" i="1"/>
  <c r="B31393" i="1"/>
  <c r="B31392" i="1"/>
  <c r="B31391" i="1"/>
  <c r="B31390" i="1"/>
  <c r="B31389" i="1"/>
  <c r="B31388" i="1"/>
  <c r="B31387" i="1"/>
  <c r="B31386" i="1"/>
  <c r="B31385" i="1"/>
  <c r="B31384" i="1"/>
  <c r="B31383" i="1"/>
  <c r="B31382" i="1"/>
  <c r="B31381" i="1"/>
  <c r="B31380" i="1"/>
  <c r="B31379" i="1"/>
  <c r="B31378" i="1"/>
  <c r="B31377" i="1"/>
  <c r="B31376" i="1"/>
  <c r="B31375" i="1"/>
  <c r="B31374" i="1"/>
  <c r="B31373" i="1"/>
  <c r="B31372" i="1"/>
  <c r="B31371" i="1"/>
  <c r="B31370" i="1"/>
  <c r="B31369" i="1"/>
  <c r="B31368" i="1"/>
  <c r="B31367" i="1"/>
  <c r="B31366" i="1"/>
  <c r="B31365" i="1"/>
  <c r="B31364" i="1"/>
  <c r="B31363" i="1"/>
  <c r="B31362" i="1"/>
  <c r="B31361" i="1"/>
  <c r="B31360" i="1"/>
  <c r="B31359" i="1"/>
  <c r="B31358" i="1"/>
  <c r="B31357" i="1"/>
  <c r="B31356" i="1"/>
  <c r="B31355" i="1"/>
  <c r="B31354" i="1"/>
  <c r="B31353" i="1"/>
  <c r="B31352" i="1"/>
  <c r="B31351" i="1"/>
  <c r="B31350" i="1"/>
  <c r="B31349" i="1"/>
  <c r="B31348" i="1"/>
  <c r="B31347" i="1"/>
  <c r="B31346" i="1"/>
  <c r="B31345" i="1"/>
  <c r="B31344" i="1"/>
  <c r="B31343" i="1"/>
  <c r="B31342" i="1"/>
  <c r="B31341" i="1"/>
  <c r="B31340" i="1"/>
  <c r="B31339" i="1"/>
  <c r="B31338" i="1"/>
  <c r="B31337" i="1"/>
  <c r="B31336" i="1"/>
  <c r="B31335" i="1"/>
  <c r="B31334" i="1"/>
  <c r="B31333" i="1"/>
  <c r="B31332" i="1"/>
  <c r="B31331" i="1"/>
  <c r="B31330" i="1"/>
  <c r="B31329" i="1"/>
  <c r="B31328" i="1"/>
  <c r="B31327" i="1"/>
  <c r="B31326" i="1"/>
  <c r="B31325" i="1"/>
  <c r="B31324" i="1"/>
  <c r="B31323" i="1"/>
  <c r="B31322" i="1"/>
  <c r="B31321" i="1"/>
  <c r="B31320" i="1"/>
  <c r="B31319" i="1"/>
  <c r="B31318" i="1"/>
  <c r="B31317" i="1"/>
  <c r="B31316" i="1"/>
  <c r="B31315" i="1"/>
  <c r="B31314" i="1"/>
  <c r="B31313" i="1"/>
  <c r="B31312" i="1"/>
  <c r="B31311" i="1"/>
  <c r="B31310" i="1"/>
  <c r="B31309" i="1"/>
  <c r="B31308" i="1"/>
  <c r="B31307" i="1"/>
  <c r="B31306" i="1"/>
  <c r="B31305" i="1"/>
  <c r="B31304" i="1"/>
  <c r="B31303" i="1"/>
  <c r="B31302" i="1"/>
  <c r="B31301" i="1"/>
  <c r="B31300" i="1"/>
  <c r="B31299" i="1"/>
  <c r="B31298" i="1"/>
  <c r="B31297" i="1"/>
  <c r="B31296" i="1"/>
  <c r="B31295" i="1"/>
  <c r="B31294" i="1"/>
  <c r="B31293" i="1"/>
  <c r="B31292" i="1"/>
  <c r="B31291" i="1"/>
  <c r="B31290" i="1"/>
  <c r="B31289" i="1"/>
  <c r="B31288" i="1"/>
  <c r="B31287" i="1"/>
  <c r="B31286" i="1"/>
  <c r="B31285" i="1"/>
  <c r="B31284" i="1"/>
  <c r="B31283" i="1"/>
  <c r="B31282" i="1"/>
  <c r="B31281" i="1"/>
  <c r="B31280" i="1"/>
  <c r="B31279" i="1"/>
  <c r="B31278" i="1"/>
  <c r="B31277" i="1"/>
  <c r="B31276" i="1"/>
  <c r="B31275" i="1"/>
  <c r="B31274" i="1"/>
  <c r="B31273" i="1"/>
  <c r="B31272" i="1"/>
  <c r="B31271" i="1"/>
  <c r="B31270" i="1"/>
  <c r="B31269" i="1"/>
  <c r="B31268" i="1"/>
  <c r="B31267" i="1"/>
  <c r="B31266" i="1"/>
  <c r="B31265" i="1"/>
  <c r="B31264" i="1"/>
  <c r="B31263" i="1"/>
  <c r="B31262" i="1"/>
  <c r="B31261" i="1"/>
  <c r="B31260" i="1"/>
  <c r="B31259" i="1"/>
  <c r="B31258" i="1"/>
  <c r="B31257" i="1"/>
  <c r="B31256" i="1"/>
  <c r="B31255" i="1"/>
  <c r="B31254" i="1"/>
  <c r="B31253" i="1"/>
  <c r="B31252" i="1"/>
  <c r="B31251" i="1"/>
  <c r="B31250" i="1"/>
  <c r="B31249" i="1"/>
  <c r="B31248" i="1"/>
  <c r="B31247" i="1"/>
  <c r="B31246" i="1"/>
  <c r="B31245" i="1"/>
  <c r="B31244" i="1"/>
  <c r="B31243" i="1"/>
  <c r="B31242" i="1"/>
  <c r="B31241" i="1"/>
  <c r="B31240" i="1"/>
  <c r="B31239" i="1"/>
  <c r="B31238" i="1"/>
  <c r="B31237" i="1"/>
  <c r="B31236" i="1"/>
  <c r="B31235" i="1"/>
  <c r="B31234" i="1"/>
  <c r="B31233" i="1"/>
  <c r="B31232" i="1"/>
  <c r="B31231" i="1"/>
  <c r="B31230" i="1"/>
  <c r="B31229" i="1"/>
  <c r="B31228" i="1"/>
  <c r="B31227" i="1"/>
  <c r="B31226" i="1"/>
  <c r="B31225" i="1"/>
  <c r="B31224" i="1"/>
  <c r="B31223" i="1"/>
  <c r="B31222" i="1"/>
  <c r="B31221" i="1"/>
  <c r="B31220" i="1"/>
  <c r="B31219" i="1"/>
  <c r="B31218" i="1"/>
  <c r="B31217" i="1"/>
  <c r="B31216" i="1"/>
  <c r="B31215" i="1"/>
  <c r="B31214" i="1"/>
  <c r="B31213" i="1"/>
  <c r="B31212" i="1"/>
  <c r="B31211" i="1"/>
  <c r="B31210" i="1"/>
  <c r="B31209" i="1"/>
  <c r="B31208" i="1"/>
  <c r="B31207" i="1"/>
  <c r="B31206" i="1"/>
  <c r="B31205" i="1"/>
  <c r="B31204" i="1"/>
  <c r="B31203" i="1"/>
  <c r="B31202" i="1"/>
  <c r="B31201" i="1"/>
  <c r="B31200" i="1"/>
  <c r="B31199" i="1"/>
  <c r="B31198" i="1"/>
  <c r="B31197" i="1"/>
  <c r="B31196" i="1"/>
  <c r="B31195" i="1"/>
  <c r="B31194" i="1"/>
  <c r="B31193" i="1"/>
  <c r="B31192" i="1"/>
  <c r="B31191" i="1"/>
  <c r="B31190" i="1"/>
  <c r="B31189" i="1"/>
  <c r="B31188" i="1"/>
  <c r="B31187" i="1"/>
  <c r="B31186" i="1"/>
  <c r="B31185" i="1"/>
  <c r="B31184" i="1"/>
  <c r="B31183" i="1"/>
  <c r="B31182" i="1"/>
  <c r="B31181" i="1"/>
  <c r="B31180" i="1"/>
  <c r="B31179" i="1"/>
  <c r="B31178" i="1"/>
  <c r="B31177" i="1"/>
  <c r="B31176" i="1"/>
  <c r="B31175" i="1"/>
  <c r="B31174" i="1"/>
  <c r="B31173" i="1"/>
  <c r="B31172" i="1"/>
  <c r="B31171" i="1"/>
  <c r="B31170" i="1"/>
  <c r="B31169" i="1"/>
  <c r="B31168" i="1"/>
  <c r="B31167" i="1"/>
  <c r="B31166" i="1"/>
  <c r="B31165" i="1"/>
  <c r="B31164" i="1"/>
  <c r="B31163" i="1"/>
  <c r="B31162" i="1"/>
  <c r="B31161" i="1"/>
  <c r="B31160" i="1"/>
  <c r="B31159" i="1"/>
  <c r="B31158" i="1"/>
  <c r="B31157" i="1"/>
  <c r="B31156" i="1"/>
  <c r="B31155" i="1"/>
  <c r="B31154" i="1"/>
  <c r="B31153" i="1"/>
  <c r="B31152" i="1"/>
  <c r="B31151" i="1"/>
  <c r="B31150" i="1"/>
  <c r="B31149" i="1"/>
  <c r="B31148" i="1"/>
  <c r="B31147" i="1"/>
  <c r="B31146" i="1"/>
  <c r="B31145" i="1"/>
  <c r="B31144" i="1"/>
  <c r="B31143" i="1"/>
  <c r="B31142" i="1"/>
  <c r="B31141" i="1"/>
  <c r="B31140" i="1"/>
  <c r="B31139" i="1"/>
  <c r="B31138" i="1"/>
  <c r="B31137" i="1"/>
  <c r="B31136" i="1"/>
  <c r="B31135" i="1"/>
  <c r="B31134" i="1"/>
  <c r="B31133" i="1"/>
  <c r="B31132" i="1"/>
  <c r="B31131" i="1"/>
  <c r="B31130" i="1"/>
  <c r="B31129" i="1"/>
  <c r="B31128" i="1"/>
  <c r="B31127" i="1"/>
  <c r="B31126" i="1"/>
  <c r="B31125" i="1"/>
  <c r="B31124" i="1"/>
  <c r="B31123" i="1"/>
  <c r="B31122" i="1"/>
  <c r="B31121" i="1"/>
  <c r="B31120" i="1"/>
  <c r="B31119" i="1"/>
  <c r="B31118" i="1"/>
  <c r="B31117" i="1"/>
  <c r="B31116" i="1"/>
  <c r="B31115" i="1"/>
  <c r="B31114" i="1"/>
  <c r="B31113" i="1"/>
  <c r="B31112" i="1"/>
  <c r="B31111" i="1"/>
  <c r="B31110" i="1"/>
  <c r="B31109" i="1"/>
  <c r="B31108" i="1"/>
  <c r="B31107" i="1"/>
  <c r="B31106" i="1"/>
  <c r="B31105" i="1"/>
  <c r="B31104" i="1"/>
  <c r="B31103" i="1"/>
  <c r="B31102" i="1"/>
  <c r="B31101" i="1"/>
  <c r="B31100" i="1"/>
  <c r="B31099" i="1"/>
  <c r="B31098" i="1"/>
  <c r="B31097" i="1"/>
  <c r="B31096" i="1"/>
  <c r="B31095" i="1"/>
  <c r="B31094" i="1"/>
  <c r="B31093" i="1"/>
  <c r="B31092" i="1"/>
  <c r="B31091" i="1"/>
  <c r="B31090" i="1"/>
  <c r="B31089" i="1"/>
  <c r="B31088" i="1"/>
  <c r="B31087" i="1"/>
  <c r="B31086" i="1"/>
  <c r="B31085" i="1"/>
  <c r="B31084" i="1"/>
  <c r="B31083" i="1"/>
  <c r="B31082" i="1"/>
  <c r="B31081" i="1"/>
  <c r="B31080" i="1"/>
  <c r="B31079" i="1"/>
  <c r="B31078" i="1"/>
  <c r="B31077" i="1"/>
  <c r="B31076" i="1"/>
  <c r="B31075" i="1"/>
  <c r="B31074" i="1"/>
  <c r="B31073" i="1"/>
  <c r="B31072" i="1"/>
  <c r="B31071" i="1"/>
  <c r="B31070" i="1"/>
  <c r="B31069" i="1"/>
  <c r="B31068" i="1"/>
  <c r="B31067" i="1"/>
  <c r="B31066" i="1"/>
  <c r="B31065" i="1"/>
  <c r="B31064" i="1"/>
  <c r="B31063" i="1"/>
  <c r="B31062" i="1"/>
  <c r="B31061" i="1"/>
  <c r="B31060" i="1"/>
  <c r="B31059" i="1"/>
  <c r="B31058" i="1"/>
  <c r="B31057" i="1"/>
  <c r="B31056" i="1"/>
  <c r="B31055" i="1"/>
  <c r="B31054" i="1"/>
  <c r="B31053" i="1"/>
  <c r="B31052" i="1"/>
  <c r="B31051" i="1"/>
  <c r="B31050" i="1"/>
  <c r="B31049" i="1"/>
  <c r="B31048" i="1"/>
  <c r="B31047" i="1"/>
  <c r="B31046" i="1"/>
  <c r="B31045" i="1"/>
  <c r="B31044" i="1"/>
  <c r="B31043" i="1"/>
  <c r="B31042" i="1"/>
  <c r="B31041" i="1"/>
  <c r="B31040" i="1"/>
  <c r="B31039" i="1"/>
  <c r="B31038" i="1"/>
  <c r="B31037" i="1"/>
  <c r="B31036" i="1"/>
  <c r="B31035" i="1"/>
  <c r="B31034" i="1"/>
  <c r="B31033" i="1"/>
  <c r="B31032" i="1"/>
  <c r="B31031" i="1"/>
  <c r="B31030" i="1"/>
  <c r="B31029" i="1"/>
  <c r="B31028" i="1"/>
  <c r="B31027" i="1"/>
  <c r="B31026" i="1"/>
  <c r="B31025" i="1"/>
  <c r="B31024" i="1"/>
  <c r="B31023" i="1"/>
  <c r="B31022" i="1"/>
  <c r="B31021" i="1"/>
  <c r="B31020" i="1"/>
  <c r="B31019" i="1"/>
  <c r="B31018" i="1"/>
  <c r="B31017" i="1"/>
  <c r="B31016" i="1"/>
  <c r="B31015" i="1"/>
  <c r="B31014" i="1"/>
  <c r="B31013" i="1"/>
  <c r="B31012" i="1"/>
  <c r="B31011" i="1"/>
  <c r="B31010" i="1"/>
  <c r="B31009" i="1"/>
  <c r="B31008" i="1"/>
  <c r="B31007" i="1"/>
  <c r="B31006" i="1"/>
  <c r="B31005" i="1"/>
  <c r="B31004" i="1"/>
  <c r="B31003" i="1"/>
  <c r="B31002" i="1"/>
  <c r="B31001" i="1"/>
  <c r="B31000" i="1"/>
  <c r="B30999" i="1"/>
  <c r="B30998" i="1"/>
  <c r="B30997" i="1"/>
  <c r="B30996" i="1"/>
  <c r="B30995" i="1"/>
  <c r="B30994" i="1"/>
  <c r="B30993" i="1"/>
  <c r="B30992" i="1"/>
  <c r="B30991" i="1"/>
  <c r="B30990" i="1"/>
  <c r="B30989" i="1"/>
  <c r="B30988" i="1"/>
  <c r="B30987" i="1"/>
  <c r="B30986" i="1"/>
  <c r="B30985" i="1"/>
  <c r="B30984" i="1"/>
  <c r="B30983" i="1"/>
  <c r="B30982" i="1"/>
  <c r="B30981" i="1"/>
  <c r="B30980" i="1"/>
  <c r="B30979" i="1"/>
  <c r="B30978" i="1"/>
  <c r="B30977" i="1"/>
  <c r="B30976" i="1"/>
  <c r="B30975" i="1"/>
  <c r="B30974" i="1"/>
  <c r="B30973" i="1"/>
  <c r="B30972" i="1"/>
  <c r="B30971" i="1"/>
  <c r="B30970" i="1"/>
  <c r="B30969" i="1"/>
  <c r="B30968" i="1"/>
  <c r="B30967" i="1"/>
  <c r="B30966" i="1"/>
  <c r="B30965" i="1"/>
  <c r="B30964" i="1"/>
  <c r="B30963" i="1"/>
  <c r="B30962" i="1"/>
  <c r="B30961" i="1"/>
  <c r="B30960" i="1"/>
  <c r="B30959" i="1"/>
  <c r="B30958" i="1"/>
  <c r="B30957" i="1"/>
  <c r="B30956" i="1"/>
  <c r="B30955" i="1"/>
  <c r="B30954" i="1"/>
  <c r="B30953" i="1"/>
  <c r="B30952" i="1"/>
  <c r="B30951" i="1"/>
  <c r="B30950" i="1"/>
  <c r="B30949" i="1"/>
  <c r="B30948" i="1"/>
  <c r="B30947" i="1"/>
  <c r="B30946" i="1"/>
  <c r="B30945" i="1"/>
  <c r="B30944" i="1"/>
  <c r="B30943" i="1"/>
  <c r="B30942" i="1"/>
  <c r="B30941" i="1"/>
  <c r="B30940" i="1"/>
  <c r="B30939" i="1"/>
  <c r="B30938" i="1"/>
  <c r="B30937" i="1"/>
  <c r="B30936" i="1"/>
  <c r="B30935" i="1"/>
  <c r="B30934" i="1"/>
  <c r="B30933" i="1"/>
  <c r="B30932" i="1"/>
  <c r="B30931" i="1"/>
  <c r="B30930" i="1"/>
  <c r="B30929" i="1"/>
  <c r="B30928" i="1"/>
  <c r="B30927" i="1"/>
  <c r="B30926" i="1"/>
  <c r="B30925" i="1"/>
  <c r="B30924" i="1"/>
  <c r="B30923" i="1"/>
  <c r="B30922" i="1"/>
  <c r="B30921" i="1"/>
  <c r="B30920" i="1"/>
  <c r="B30919" i="1"/>
  <c r="B30918" i="1"/>
  <c r="B30917" i="1"/>
  <c r="B30916" i="1"/>
  <c r="B30915" i="1"/>
  <c r="B30914" i="1"/>
  <c r="B30913" i="1"/>
  <c r="B30912" i="1"/>
  <c r="B30911" i="1"/>
  <c r="B30910" i="1"/>
  <c r="B30909" i="1"/>
  <c r="B30908" i="1"/>
  <c r="B30907" i="1"/>
  <c r="B30906" i="1"/>
  <c r="B30905" i="1"/>
  <c r="B30904" i="1"/>
  <c r="B30903" i="1"/>
  <c r="B30902" i="1"/>
  <c r="B30901" i="1"/>
  <c r="B30900" i="1"/>
  <c r="B30899" i="1"/>
  <c r="B30898" i="1"/>
  <c r="B30897" i="1"/>
  <c r="B30896" i="1"/>
  <c r="B30895" i="1"/>
  <c r="B30894" i="1"/>
  <c r="B30893" i="1"/>
  <c r="B30892" i="1"/>
  <c r="B30891" i="1"/>
  <c r="B30890" i="1"/>
  <c r="B30889" i="1"/>
  <c r="B30888" i="1"/>
  <c r="B30887" i="1"/>
  <c r="B30886" i="1"/>
  <c r="B30885" i="1"/>
  <c r="B30884" i="1"/>
  <c r="B30883" i="1"/>
  <c r="B30882" i="1"/>
  <c r="B30881" i="1"/>
  <c r="B30880" i="1"/>
  <c r="B30879" i="1"/>
  <c r="B30878" i="1"/>
  <c r="B30877" i="1"/>
  <c r="B30876" i="1"/>
  <c r="B30875" i="1"/>
  <c r="B30874" i="1"/>
  <c r="B30873" i="1"/>
  <c r="B30872" i="1"/>
  <c r="B30871" i="1"/>
  <c r="B30870" i="1"/>
  <c r="B30869" i="1"/>
  <c r="B30868" i="1"/>
  <c r="B30867" i="1"/>
  <c r="B30866" i="1"/>
  <c r="B30865" i="1"/>
  <c r="B30864" i="1"/>
  <c r="B30863" i="1"/>
  <c r="B30862" i="1"/>
  <c r="B30861" i="1"/>
  <c r="B30860" i="1"/>
  <c r="B30859" i="1"/>
  <c r="B30858" i="1"/>
  <c r="B30857" i="1"/>
  <c r="B30856" i="1"/>
  <c r="B30855" i="1"/>
  <c r="B30854" i="1"/>
  <c r="B30853" i="1"/>
  <c r="B30852" i="1"/>
  <c r="B30851" i="1"/>
  <c r="B30850" i="1"/>
  <c r="B30849" i="1"/>
  <c r="B30848" i="1"/>
  <c r="B30847" i="1"/>
  <c r="B30846" i="1"/>
  <c r="B30845" i="1"/>
  <c r="B30844" i="1"/>
  <c r="B30843" i="1"/>
  <c r="B30842" i="1"/>
  <c r="B30841" i="1"/>
  <c r="B30840" i="1"/>
  <c r="B30839" i="1"/>
  <c r="B30838" i="1"/>
  <c r="B30837" i="1"/>
  <c r="B30836" i="1"/>
  <c r="B30835" i="1"/>
  <c r="B30834" i="1"/>
  <c r="B30833" i="1"/>
  <c r="B30832" i="1"/>
  <c r="B30831" i="1"/>
  <c r="B30830" i="1"/>
  <c r="B30829" i="1"/>
  <c r="B30828" i="1"/>
  <c r="B30827" i="1"/>
  <c r="B30826" i="1"/>
  <c r="B30825" i="1"/>
  <c r="B30824" i="1"/>
  <c r="B30823" i="1"/>
  <c r="B30822" i="1"/>
  <c r="B30821" i="1"/>
  <c r="B30820" i="1"/>
  <c r="B30819" i="1"/>
  <c r="B30818" i="1"/>
  <c r="B30817" i="1"/>
  <c r="B30816" i="1"/>
  <c r="B30815" i="1"/>
  <c r="B30814" i="1"/>
  <c r="B30813" i="1"/>
  <c r="B30812" i="1"/>
  <c r="B30811" i="1"/>
  <c r="B30810" i="1"/>
  <c r="B30809" i="1"/>
  <c r="B30808" i="1"/>
  <c r="B30807" i="1"/>
  <c r="B30806" i="1"/>
  <c r="B30805" i="1"/>
  <c r="B30804" i="1"/>
  <c r="B30803" i="1"/>
  <c r="B30802" i="1"/>
  <c r="B30801" i="1"/>
  <c r="B30800" i="1"/>
  <c r="B30799" i="1"/>
  <c r="B30798" i="1"/>
  <c r="B30797" i="1"/>
  <c r="B30796" i="1"/>
  <c r="B30795" i="1"/>
  <c r="B30794" i="1"/>
  <c r="B30793" i="1"/>
  <c r="B30792" i="1"/>
  <c r="B30791" i="1"/>
  <c r="B30790" i="1"/>
  <c r="B30789" i="1"/>
  <c r="B30788" i="1"/>
  <c r="B30787" i="1"/>
  <c r="B30786" i="1"/>
  <c r="B30785" i="1"/>
  <c r="B30784" i="1"/>
  <c r="B30783" i="1"/>
  <c r="B30782" i="1"/>
  <c r="B30781" i="1"/>
  <c r="B30780" i="1"/>
  <c r="B30779" i="1"/>
  <c r="B30778" i="1"/>
  <c r="B30777" i="1"/>
  <c r="B30776" i="1"/>
  <c r="B30775" i="1"/>
  <c r="B30774" i="1"/>
  <c r="B30773" i="1"/>
  <c r="B30772" i="1"/>
  <c r="B30771" i="1"/>
  <c r="B30770" i="1"/>
  <c r="B30769" i="1"/>
  <c r="B30768" i="1"/>
  <c r="B30767" i="1"/>
  <c r="B30766" i="1"/>
  <c r="B30765" i="1"/>
  <c r="B30764" i="1"/>
  <c r="B30763" i="1"/>
  <c r="B30762" i="1"/>
  <c r="B30761" i="1"/>
  <c r="B30760" i="1"/>
  <c r="B30759" i="1"/>
  <c r="B30758" i="1"/>
  <c r="B30757" i="1"/>
  <c r="B30756" i="1"/>
  <c r="B30755" i="1"/>
  <c r="B30754" i="1"/>
  <c r="B30753" i="1"/>
  <c r="B30752" i="1"/>
  <c r="B30751" i="1"/>
  <c r="B30750" i="1"/>
  <c r="B30749" i="1"/>
  <c r="B30748" i="1"/>
  <c r="B30747" i="1"/>
  <c r="B30746" i="1"/>
  <c r="B30745" i="1"/>
  <c r="B30744" i="1"/>
  <c r="B30743" i="1"/>
  <c r="B30742" i="1"/>
  <c r="B30741" i="1"/>
  <c r="B30740" i="1"/>
  <c r="B30739" i="1"/>
  <c r="B30738" i="1"/>
  <c r="B30737" i="1"/>
  <c r="B30736" i="1"/>
  <c r="B30735" i="1"/>
  <c r="B30734" i="1"/>
  <c r="B30733" i="1"/>
  <c r="B30732" i="1"/>
  <c r="B30731" i="1"/>
  <c r="B30730" i="1"/>
  <c r="B30729" i="1"/>
  <c r="B30728" i="1"/>
  <c r="B30727" i="1"/>
  <c r="B30726" i="1"/>
  <c r="B30725" i="1"/>
  <c r="B30724" i="1"/>
  <c r="B30723" i="1"/>
  <c r="B30722" i="1"/>
  <c r="B30721" i="1"/>
  <c r="B30720" i="1"/>
  <c r="B30719" i="1"/>
  <c r="B30718" i="1"/>
  <c r="B30717" i="1"/>
  <c r="B30716" i="1"/>
  <c r="B30715" i="1"/>
  <c r="B30714" i="1"/>
  <c r="B30713" i="1"/>
  <c r="B30712" i="1"/>
  <c r="B30711" i="1"/>
  <c r="B30710" i="1"/>
  <c r="B30709" i="1"/>
  <c r="B30708" i="1"/>
  <c r="B30707" i="1"/>
  <c r="B30706" i="1"/>
  <c r="B30705" i="1"/>
  <c r="B30704" i="1"/>
  <c r="B30703" i="1"/>
  <c r="B30702" i="1"/>
  <c r="B30701" i="1"/>
  <c r="B30700" i="1"/>
  <c r="B30699" i="1"/>
  <c r="B30698" i="1"/>
  <c r="B30697" i="1"/>
  <c r="B30696" i="1"/>
  <c r="B30695" i="1"/>
  <c r="B30694" i="1"/>
  <c r="B30693" i="1"/>
  <c r="B30692" i="1"/>
  <c r="B30691" i="1"/>
  <c r="B30690" i="1"/>
  <c r="B30689" i="1"/>
  <c r="B30688" i="1"/>
  <c r="B30687" i="1"/>
  <c r="B30686" i="1"/>
  <c r="B30685" i="1"/>
  <c r="B30684" i="1"/>
  <c r="B30683" i="1"/>
  <c r="B30682" i="1"/>
  <c r="B30681" i="1"/>
  <c r="B30680" i="1"/>
  <c r="B30679" i="1"/>
  <c r="B30678" i="1"/>
  <c r="B30677" i="1"/>
  <c r="B30676" i="1"/>
  <c r="B30675" i="1"/>
  <c r="B30674" i="1"/>
  <c r="B30673" i="1"/>
  <c r="B30672" i="1"/>
  <c r="B30671" i="1"/>
  <c r="B30670" i="1"/>
  <c r="B30669" i="1"/>
  <c r="B30668" i="1"/>
  <c r="B30667" i="1"/>
  <c r="B30666" i="1"/>
  <c r="B30665" i="1"/>
  <c r="B30664" i="1"/>
  <c r="B30663" i="1"/>
  <c r="B30662" i="1"/>
  <c r="B30661" i="1"/>
  <c r="B30660" i="1"/>
  <c r="B30659" i="1"/>
  <c r="B30658" i="1"/>
  <c r="B30657" i="1"/>
  <c r="B30656" i="1"/>
  <c r="B30655" i="1"/>
  <c r="B30654" i="1"/>
  <c r="B30653" i="1"/>
  <c r="B30652" i="1"/>
  <c r="B30651" i="1"/>
  <c r="B30650" i="1"/>
  <c r="B30649" i="1"/>
  <c r="B30648" i="1"/>
  <c r="B30647" i="1"/>
  <c r="B30646" i="1"/>
  <c r="B30645" i="1"/>
  <c r="B30644" i="1"/>
  <c r="B30643" i="1"/>
  <c r="B30642" i="1"/>
  <c r="B30641" i="1"/>
  <c r="B30640" i="1"/>
  <c r="B30639" i="1"/>
  <c r="B30638" i="1"/>
  <c r="B30637" i="1"/>
  <c r="B30636" i="1"/>
  <c r="B30635" i="1"/>
  <c r="B30634" i="1"/>
  <c r="B30633" i="1"/>
  <c r="B30632" i="1"/>
  <c r="B30631" i="1"/>
  <c r="B30630" i="1"/>
  <c r="B30629" i="1"/>
  <c r="B30628" i="1"/>
  <c r="B30627" i="1"/>
  <c r="B30626" i="1"/>
  <c r="B30625" i="1"/>
  <c r="B30624" i="1"/>
  <c r="B30623" i="1"/>
  <c r="B30622" i="1"/>
  <c r="B30621" i="1"/>
  <c r="B30620" i="1"/>
  <c r="B30619" i="1"/>
  <c r="B30618" i="1"/>
  <c r="B30617" i="1"/>
  <c r="B30616" i="1"/>
  <c r="B30615" i="1"/>
  <c r="B30614" i="1"/>
  <c r="B30613" i="1"/>
  <c r="B30612" i="1"/>
  <c r="B30611" i="1"/>
  <c r="B30610" i="1"/>
  <c r="B30609" i="1"/>
  <c r="B30608" i="1"/>
  <c r="B30607" i="1"/>
  <c r="B30606" i="1"/>
  <c r="B30605" i="1"/>
  <c r="B30604" i="1"/>
  <c r="B30603" i="1"/>
  <c r="B30602" i="1"/>
  <c r="B30601" i="1"/>
  <c r="B30600" i="1"/>
  <c r="B30599" i="1"/>
  <c r="B30598" i="1"/>
  <c r="B30597" i="1"/>
  <c r="B30596" i="1"/>
  <c r="B30595" i="1"/>
  <c r="B30594" i="1"/>
  <c r="B30593" i="1"/>
  <c r="B30592" i="1"/>
  <c r="B30591" i="1"/>
  <c r="B30590" i="1"/>
  <c r="B30589" i="1"/>
  <c r="B30588" i="1"/>
  <c r="B30587" i="1"/>
  <c r="B30586" i="1"/>
  <c r="B30585" i="1"/>
  <c r="B30584" i="1"/>
  <c r="B30583" i="1"/>
  <c r="B30582" i="1"/>
  <c r="B30581" i="1"/>
  <c r="B30580" i="1"/>
  <c r="B30579" i="1"/>
  <c r="B30578" i="1"/>
  <c r="B30577" i="1"/>
  <c r="B30576" i="1"/>
  <c r="B30575" i="1"/>
  <c r="B30574" i="1"/>
  <c r="B30573" i="1"/>
  <c r="B30572" i="1"/>
  <c r="B30571" i="1"/>
  <c r="B30570" i="1"/>
  <c r="B30569" i="1"/>
  <c r="B30568" i="1"/>
  <c r="B30567" i="1"/>
  <c r="B30566" i="1"/>
  <c r="B30565" i="1"/>
  <c r="B30564" i="1"/>
  <c r="B30563" i="1"/>
  <c r="B30562" i="1"/>
  <c r="B30561" i="1"/>
  <c r="B30560" i="1"/>
  <c r="B30559" i="1"/>
  <c r="B30558" i="1"/>
  <c r="B30557" i="1"/>
  <c r="B30556" i="1"/>
  <c r="B30555" i="1"/>
  <c r="B30554" i="1"/>
  <c r="B30553" i="1"/>
  <c r="B30552" i="1"/>
  <c r="B30551" i="1"/>
  <c r="B30550" i="1"/>
  <c r="B30549" i="1"/>
  <c r="B30548" i="1"/>
  <c r="B30547" i="1"/>
  <c r="B30546" i="1"/>
  <c r="B30545" i="1"/>
  <c r="B30544" i="1"/>
  <c r="B30543" i="1"/>
  <c r="B30542" i="1"/>
  <c r="B30541" i="1"/>
  <c r="B30540" i="1"/>
  <c r="B30539" i="1"/>
  <c r="B30538" i="1"/>
  <c r="B30537" i="1"/>
  <c r="B30536" i="1"/>
  <c r="B30535" i="1"/>
  <c r="B30534" i="1"/>
  <c r="B30533" i="1"/>
  <c r="B30532" i="1"/>
  <c r="B30531" i="1"/>
  <c r="B30530" i="1"/>
  <c r="B30529" i="1"/>
  <c r="B30528" i="1"/>
  <c r="B30527" i="1"/>
  <c r="B30526" i="1"/>
  <c r="B30525" i="1"/>
  <c r="B30524" i="1"/>
  <c r="B30523" i="1"/>
  <c r="B30522" i="1"/>
  <c r="B30521" i="1"/>
  <c r="B30520" i="1"/>
  <c r="B30519" i="1"/>
  <c r="B30518" i="1"/>
  <c r="B30517" i="1"/>
  <c r="B30516" i="1"/>
  <c r="B30515" i="1"/>
  <c r="B30514" i="1"/>
  <c r="B30513" i="1"/>
  <c r="B30512" i="1"/>
  <c r="B30511" i="1"/>
  <c r="B30510" i="1"/>
  <c r="B30509" i="1"/>
  <c r="B30508" i="1"/>
  <c r="B30507" i="1"/>
  <c r="B30506" i="1"/>
  <c r="B30505" i="1"/>
  <c r="B30504" i="1"/>
  <c r="B30503" i="1"/>
  <c r="B30502" i="1"/>
  <c r="B30501" i="1"/>
  <c r="B30500" i="1"/>
  <c r="B30499" i="1"/>
  <c r="B30498" i="1"/>
  <c r="B30497" i="1"/>
  <c r="B30496" i="1"/>
  <c r="B30495" i="1"/>
  <c r="B30494" i="1"/>
  <c r="B30493" i="1"/>
  <c r="B30492" i="1"/>
  <c r="B30491" i="1"/>
  <c r="B30490" i="1"/>
  <c r="B30489" i="1"/>
  <c r="B30488" i="1"/>
  <c r="B30487" i="1"/>
  <c r="B30486" i="1"/>
  <c r="B30485" i="1"/>
  <c r="B30484" i="1"/>
  <c r="B30483" i="1"/>
  <c r="B30482" i="1"/>
  <c r="B30481" i="1"/>
  <c r="B30480" i="1"/>
  <c r="B30479" i="1"/>
  <c r="B30478" i="1"/>
  <c r="B30477" i="1"/>
  <c r="B30476" i="1"/>
  <c r="B30475" i="1"/>
  <c r="B30474" i="1"/>
  <c r="B30473" i="1"/>
  <c r="B30472" i="1"/>
  <c r="B30471" i="1"/>
  <c r="B30470" i="1"/>
  <c r="B30469" i="1"/>
  <c r="B30468" i="1"/>
  <c r="B30467" i="1"/>
  <c r="B30466" i="1"/>
  <c r="B30465" i="1"/>
  <c r="B30464" i="1"/>
  <c r="B30463" i="1"/>
  <c r="B30462" i="1"/>
  <c r="B30461" i="1"/>
  <c r="B30460" i="1"/>
  <c r="B30459" i="1"/>
  <c r="B30458" i="1"/>
  <c r="B30457" i="1"/>
  <c r="B30456" i="1"/>
  <c r="B30455" i="1"/>
  <c r="B30454" i="1"/>
  <c r="B30453" i="1"/>
  <c r="B30452" i="1"/>
  <c r="B30451" i="1"/>
  <c r="B30450" i="1"/>
  <c r="B30449" i="1"/>
  <c r="B30448" i="1"/>
  <c r="B30447" i="1"/>
  <c r="B30446" i="1"/>
  <c r="B30445" i="1"/>
  <c r="B30444" i="1"/>
  <c r="B30443" i="1"/>
  <c r="B30442" i="1"/>
  <c r="B30441" i="1"/>
  <c r="B30440" i="1"/>
  <c r="B30439" i="1"/>
  <c r="B30438" i="1"/>
  <c r="B30437" i="1"/>
  <c r="B30436" i="1"/>
  <c r="B30435" i="1"/>
  <c r="B30434" i="1"/>
  <c r="B30433" i="1"/>
  <c r="B30432" i="1"/>
  <c r="B30431" i="1"/>
  <c r="B30430" i="1"/>
  <c r="B30429" i="1"/>
  <c r="B30428" i="1"/>
  <c r="B30427" i="1"/>
  <c r="B30426" i="1"/>
  <c r="B30425" i="1"/>
  <c r="B30424" i="1"/>
  <c r="B30423" i="1"/>
  <c r="B30422" i="1"/>
  <c r="B30421" i="1"/>
  <c r="B30420" i="1"/>
  <c r="B30419" i="1"/>
  <c r="B30418" i="1"/>
  <c r="B30417" i="1"/>
  <c r="B30416" i="1"/>
  <c r="B30415" i="1"/>
  <c r="B30414" i="1"/>
  <c r="B30413" i="1"/>
  <c r="B30412" i="1"/>
  <c r="B30411" i="1"/>
  <c r="B30410" i="1"/>
  <c r="B30409" i="1"/>
  <c r="B30408" i="1"/>
  <c r="B30407" i="1"/>
  <c r="B30406" i="1"/>
  <c r="B30405" i="1"/>
  <c r="B30404" i="1"/>
  <c r="B30403" i="1"/>
  <c r="B30402" i="1"/>
  <c r="B30401" i="1"/>
  <c r="B30400" i="1"/>
  <c r="B30399" i="1"/>
  <c r="B30398" i="1"/>
  <c r="B30397" i="1"/>
  <c r="B30396" i="1"/>
  <c r="B30395" i="1"/>
  <c r="B30394" i="1"/>
  <c r="B30393" i="1"/>
  <c r="B30392" i="1"/>
  <c r="B30391" i="1"/>
  <c r="B30390" i="1"/>
  <c r="B30389" i="1"/>
  <c r="B30388" i="1"/>
  <c r="B30387" i="1"/>
  <c r="B30386" i="1"/>
  <c r="B30385" i="1"/>
  <c r="B30384" i="1"/>
  <c r="B30383" i="1"/>
  <c r="B30382" i="1"/>
  <c r="B30381" i="1"/>
  <c r="B30380" i="1"/>
  <c r="B30379" i="1"/>
  <c r="B30378" i="1"/>
  <c r="B30377" i="1"/>
  <c r="B30376" i="1"/>
  <c r="B30375" i="1"/>
  <c r="B30374" i="1"/>
  <c r="B30373" i="1"/>
  <c r="B30372" i="1"/>
  <c r="B30371" i="1"/>
  <c r="B30370" i="1"/>
  <c r="B30369" i="1"/>
  <c r="B30368" i="1"/>
  <c r="B30367" i="1"/>
  <c r="B30366" i="1"/>
  <c r="B30365" i="1"/>
  <c r="B30364" i="1"/>
  <c r="B30363" i="1"/>
  <c r="B30362" i="1"/>
  <c r="B30361" i="1"/>
  <c r="B30360" i="1"/>
  <c r="B30359" i="1"/>
  <c r="B30358" i="1"/>
  <c r="B30357" i="1"/>
  <c r="B30356" i="1"/>
  <c r="B30355" i="1"/>
  <c r="B30354" i="1"/>
  <c r="B30353" i="1"/>
  <c r="B30352" i="1"/>
  <c r="B30351" i="1"/>
  <c r="B30350" i="1"/>
  <c r="B30349" i="1"/>
  <c r="B30348" i="1"/>
  <c r="B30347" i="1"/>
  <c r="B30346" i="1"/>
  <c r="B30345" i="1"/>
  <c r="B30344" i="1"/>
  <c r="B30343" i="1"/>
  <c r="B30342" i="1"/>
  <c r="B30341" i="1"/>
  <c r="B30340" i="1"/>
  <c r="B30339" i="1"/>
  <c r="B30338" i="1"/>
  <c r="B30337" i="1"/>
  <c r="B30336" i="1"/>
  <c r="B30335" i="1"/>
  <c r="B30334" i="1"/>
  <c r="B30333" i="1"/>
  <c r="B30332" i="1"/>
  <c r="B30331" i="1"/>
  <c r="B30330" i="1"/>
  <c r="B30329" i="1"/>
  <c r="B30328" i="1"/>
  <c r="B30327" i="1"/>
  <c r="B30326" i="1"/>
  <c r="B30325" i="1"/>
  <c r="B30324" i="1"/>
  <c r="B30323" i="1"/>
  <c r="B30322" i="1"/>
  <c r="B30321" i="1"/>
  <c r="B30320" i="1"/>
  <c r="B30319" i="1"/>
  <c r="B30318" i="1"/>
  <c r="B30317" i="1"/>
  <c r="B30316" i="1"/>
  <c r="B30315" i="1"/>
  <c r="B30314" i="1"/>
  <c r="B30313" i="1"/>
  <c r="B30312" i="1"/>
  <c r="B30311" i="1"/>
  <c r="B30310" i="1"/>
  <c r="B30309" i="1"/>
  <c r="B30308" i="1"/>
  <c r="B30307" i="1"/>
  <c r="B30306" i="1"/>
  <c r="B30305" i="1"/>
  <c r="B30304" i="1"/>
  <c r="B30303" i="1"/>
  <c r="B30302" i="1"/>
  <c r="B30301" i="1"/>
  <c r="B30300" i="1"/>
  <c r="B30299" i="1"/>
  <c r="B30298" i="1"/>
  <c r="B30297" i="1"/>
  <c r="B30296" i="1"/>
  <c r="B30295" i="1"/>
  <c r="B30294" i="1"/>
  <c r="B30293" i="1"/>
  <c r="B30292" i="1"/>
  <c r="B30291" i="1"/>
  <c r="B30290" i="1"/>
  <c r="B30289" i="1"/>
  <c r="B30288" i="1"/>
  <c r="B30287" i="1"/>
  <c r="B30286" i="1"/>
  <c r="B30285" i="1"/>
  <c r="B30284" i="1"/>
  <c r="B30283" i="1"/>
  <c r="B30282" i="1"/>
  <c r="B30281" i="1"/>
  <c r="B30280" i="1"/>
  <c r="B30279" i="1"/>
  <c r="B30278" i="1"/>
  <c r="B30277" i="1"/>
  <c r="B30276" i="1"/>
  <c r="B30275" i="1"/>
  <c r="B30274" i="1"/>
  <c r="B30273" i="1"/>
  <c r="B30272" i="1"/>
  <c r="B30271" i="1"/>
  <c r="B30270" i="1"/>
  <c r="B30269" i="1"/>
  <c r="B30268" i="1"/>
  <c r="B30267" i="1"/>
  <c r="B30266" i="1"/>
  <c r="B30265" i="1"/>
  <c r="B30264" i="1"/>
  <c r="B30263" i="1"/>
  <c r="B30262" i="1"/>
  <c r="B30261" i="1"/>
  <c r="B30260" i="1"/>
  <c r="B30259" i="1"/>
  <c r="B30258" i="1"/>
  <c r="B30257" i="1"/>
  <c r="B30256" i="1"/>
  <c r="B30255" i="1"/>
  <c r="B30254" i="1"/>
  <c r="B30253" i="1"/>
  <c r="B30252" i="1"/>
  <c r="B30251" i="1"/>
  <c r="B30250" i="1"/>
  <c r="B30249" i="1"/>
  <c r="B30248" i="1"/>
  <c r="B30247" i="1"/>
  <c r="B30246" i="1"/>
  <c r="B30245" i="1"/>
  <c r="B30244" i="1"/>
  <c r="B30243" i="1"/>
  <c r="B30242" i="1"/>
  <c r="B30241" i="1"/>
  <c r="B30240" i="1"/>
  <c r="B30239" i="1"/>
  <c r="B30238" i="1"/>
  <c r="B30237" i="1"/>
  <c r="B30236" i="1"/>
  <c r="B30235" i="1"/>
  <c r="B30234" i="1"/>
  <c r="B30233" i="1"/>
  <c r="B30232" i="1"/>
  <c r="B30231" i="1"/>
  <c r="B30230" i="1"/>
  <c r="B30229" i="1"/>
  <c r="B30228" i="1"/>
  <c r="B30227" i="1"/>
  <c r="B30226" i="1"/>
  <c r="B30225" i="1"/>
  <c r="B30224" i="1"/>
  <c r="B30223" i="1"/>
  <c r="B30222" i="1"/>
  <c r="B30221" i="1"/>
  <c r="B30220" i="1"/>
  <c r="B30219" i="1"/>
  <c r="B30218" i="1"/>
  <c r="B30217" i="1"/>
  <c r="B30216" i="1"/>
  <c r="B30215" i="1"/>
  <c r="B30214" i="1"/>
  <c r="B30213" i="1"/>
  <c r="B30212" i="1"/>
  <c r="B30211" i="1"/>
  <c r="B30210" i="1"/>
  <c r="B30209" i="1"/>
  <c r="B30208" i="1"/>
  <c r="B30207" i="1"/>
  <c r="B30206" i="1"/>
  <c r="B30205" i="1"/>
  <c r="B30204" i="1"/>
  <c r="B30203" i="1"/>
  <c r="B30202" i="1"/>
  <c r="B30201" i="1"/>
  <c r="B30200" i="1"/>
  <c r="B30199" i="1"/>
  <c r="B30198" i="1"/>
  <c r="B30197" i="1"/>
  <c r="B30196" i="1"/>
  <c r="B30195" i="1"/>
  <c r="B30194" i="1"/>
  <c r="B30193" i="1"/>
  <c r="B30192" i="1"/>
  <c r="B30191" i="1"/>
  <c r="B30190" i="1"/>
  <c r="B30189" i="1"/>
  <c r="B30188" i="1"/>
  <c r="B30187" i="1"/>
  <c r="B30186" i="1"/>
  <c r="B30185" i="1"/>
  <c r="B30184" i="1"/>
  <c r="B30183" i="1"/>
  <c r="B30182" i="1"/>
  <c r="B30181" i="1"/>
  <c r="B30180" i="1"/>
  <c r="B30179" i="1"/>
  <c r="B30178" i="1"/>
  <c r="B30177" i="1"/>
  <c r="B30176" i="1"/>
  <c r="B30175" i="1"/>
  <c r="B30174" i="1"/>
  <c r="B30173" i="1"/>
  <c r="B30172" i="1"/>
  <c r="B30171" i="1"/>
  <c r="B30170" i="1"/>
  <c r="B30169" i="1"/>
  <c r="B30168" i="1"/>
  <c r="B30167" i="1"/>
  <c r="B30166" i="1"/>
  <c r="B30165" i="1"/>
  <c r="B30164" i="1"/>
  <c r="B30163" i="1"/>
  <c r="B30162" i="1"/>
  <c r="B30161" i="1"/>
  <c r="B30160" i="1"/>
  <c r="B30159" i="1"/>
  <c r="B30158" i="1"/>
  <c r="B30157" i="1"/>
  <c r="B30156" i="1"/>
  <c r="B30155" i="1"/>
  <c r="B30154" i="1"/>
  <c r="B30153" i="1"/>
  <c r="B30152" i="1"/>
  <c r="B30151" i="1"/>
  <c r="B30150" i="1"/>
  <c r="B30149" i="1"/>
  <c r="B30148" i="1"/>
  <c r="B30147" i="1"/>
  <c r="B30146" i="1"/>
  <c r="B30145" i="1"/>
  <c r="B30144" i="1"/>
  <c r="B30143" i="1"/>
  <c r="B30142" i="1"/>
  <c r="B30141" i="1"/>
  <c r="B30140" i="1"/>
  <c r="B30139" i="1"/>
  <c r="B30138" i="1"/>
  <c r="B30137" i="1"/>
  <c r="B30136" i="1"/>
  <c r="B30135" i="1"/>
  <c r="B30134" i="1"/>
  <c r="B30133" i="1"/>
  <c r="B30132" i="1"/>
  <c r="B30131" i="1"/>
  <c r="B30130" i="1"/>
  <c r="B30129" i="1"/>
  <c r="B30128" i="1"/>
  <c r="B30127" i="1"/>
  <c r="B30126" i="1"/>
  <c r="B30125" i="1"/>
  <c r="B30124" i="1"/>
  <c r="B30123" i="1"/>
  <c r="B30122" i="1"/>
  <c r="B30121" i="1"/>
  <c r="B30120" i="1"/>
  <c r="B30119" i="1"/>
  <c r="B30118" i="1"/>
  <c r="B30117" i="1"/>
  <c r="B30116" i="1"/>
  <c r="B30115" i="1"/>
  <c r="B30114" i="1"/>
  <c r="B30113" i="1"/>
  <c r="B30112" i="1"/>
  <c r="B30111" i="1"/>
  <c r="B30110" i="1"/>
  <c r="B30109" i="1"/>
  <c r="B30108" i="1"/>
  <c r="B30107" i="1"/>
  <c r="B30106" i="1"/>
  <c r="B30105" i="1"/>
  <c r="B30104" i="1"/>
  <c r="B30103" i="1"/>
  <c r="B30102" i="1"/>
  <c r="B30101" i="1"/>
  <c r="B30100" i="1"/>
  <c r="B30099" i="1"/>
  <c r="B30098" i="1"/>
  <c r="B30097" i="1"/>
  <c r="B30096" i="1"/>
  <c r="B30095" i="1"/>
  <c r="B30094" i="1"/>
  <c r="B30093" i="1"/>
  <c r="B30092" i="1"/>
  <c r="B30091" i="1"/>
  <c r="B30090" i="1"/>
  <c r="B30089" i="1"/>
  <c r="B30088" i="1"/>
  <c r="B30087" i="1"/>
  <c r="B30086" i="1"/>
  <c r="B30085" i="1"/>
  <c r="B30084" i="1"/>
  <c r="B30083" i="1"/>
  <c r="B30082" i="1"/>
  <c r="B30081" i="1"/>
  <c r="B30080" i="1"/>
  <c r="B30079" i="1"/>
  <c r="B30078" i="1"/>
  <c r="B30077" i="1"/>
  <c r="B30076" i="1"/>
  <c r="B30075" i="1"/>
  <c r="B30074" i="1"/>
  <c r="B30073" i="1"/>
  <c r="B30072" i="1"/>
  <c r="B30071" i="1"/>
  <c r="B30070" i="1"/>
  <c r="B30069" i="1"/>
  <c r="B30068" i="1"/>
  <c r="B30067" i="1"/>
  <c r="B30066" i="1"/>
  <c r="B30065" i="1"/>
  <c r="B30064" i="1"/>
  <c r="B30063" i="1"/>
  <c r="B30062" i="1"/>
  <c r="B30061" i="1"/>
  <c r="B30060" i="1"/>
  <c r="B30059" i="1"/>
  <c r="B30058" i="1"/>
  <c r="B30057" i="1"/>
  <c r="B30056" i="1"/>
  <c r="B30055" i="1"/>
  <c r="B30054" i="1"/>
  <c r="B30053" i="1"/>
  <c r="B30052" i="1"/>
  <c r="B30051" i="1"/>
  <c r="B30050" i="1"/>
  <c r="B30049" i="1"/>
  <c r="B30048" i="1"/>
  <c r="B30047" i="1"/>
  <c r="B30046" i="1"/>
  <c r="B30045" i="1"/>
  <c r="B30044" i="1"/>
  <c r="B30043" i="1"/>
  <c r="B30042" i="1"/>
  <c r="B30041" i="1"/>
  <c r="B30040" i="1"/>
  <c r="B30039" i="1"/>
  <c r="B30038" i="1"/>
  <c r="B30037" i="1"/>
  <c r="B30036" i="1"/>
  <c r="B30035" i="1"/>
  <c r="B30034" i="1"/>
  <c r="B30033" i="1"/>
  <c r="B30032" i="1"/>
  <c r="B30031" i="1"/>
  <c r="B30030" i="1"/>
  <c r="B30029" i="1"/>
  <c r="B30028" i="1"/>
  <c r="B30027" i="1"/>
  <c r="B30026" i="1"/>
  <c r="B30025" i="1"/>
  <c r="B30024" i="1"/>
  <c r="B30023" i="1"/>
  <c r="B30022" i="1"/>
  <c r="B30021" i="1"/>
  <c r="B30020" i="1"/>
  <c r="B30019" i="1"/>
  <c r="B30018" i="1"/>
  <c r="B30017" i="1"/>
  <c r="B30016" i="1"/>
  <c r="B30015" i="1"/>
  <c r="B30014" i="1"/>
  <c r="B30013" i="1"/>
  <c r="B30012" i="1"/>
  <c r="B30011" i="1"/>
  <c r="B30010" i="1"/>
  <c r="B30009" i="1"/>
  <c r="B30008" i="1"/>
  <c r="B30007" i="1"/>
  <c r="B30006" i="1"/>
  <c r="B30005" i="1"/>
  <c r="B30004" i="1"/>
  <c r="B30003" i="1"/>
  <c r="B30002" i="1"/>
  <c r="B30001" i="1"/>
  <c r="B30000" i="1"/>
  <c r="B29999" i="1"/>
  <c r="B29998" i="1"/>
  <c r="B29997" i="1"/>
  <c r="B29996" i="1"/>
  <c r="B29995" i="1"/>
  <c r="B29994" i="1"/>
  <c r="B29993" i="1"/>
  <c r="B29992" i="1"/>
  <c r="B29991" i="1"/>
  <c r="B29990" i="1"/>
  <c r="B29989" i="1"/>
  <c r="B29988" i="1"/>
  <c r="B29987" i="1"/>
  <c r="B29986" i="1"/>
  <c r="B29985" i="1"/>
  <c r="B29984" i="1"/>
  <c r="B29983" i="1"/>
  <c r="B29982" i="1"/>
  <c r="B29981" i="1"/>
  <c r="B29980" i="1"/>
  <c r="B29979" i="1"/>
  <c r="B29978" i="1"/>
  <c r="B29977" i="1"/>
  <c r="B29976" i="1"/>
  <c r="B29975" i="1"/>
  <c r="B29974" i="1"/>
  <c r="B29973" i="1"/>
  <c r="B29972" i="1"/>
  <c r="B29971" i="1"/>
  <c r="B29970" i="1"/>
  <c r="B29969" i="1"/>
  <c r="B29968" i="1"/>
  <c r="B29967" i="1"/>
  <c r="B29966" i="1"/>
  <c r="B29965" i="1"/>
  <c r="B29964" i="1"/>
  <c r="B29963" i="1"/>
  <c r="B29962" i="1"/>
  <c r="B29961" i="1"/>
  <c r="B29960" i="1"/>
  <c r="B29959" i="1"/>
  <c r="B29958" i="1"/>
  <c r="B29957" i="1"/>
  <c r="B29956" i="1"/>
  <c r="B29955" i="1"/>
  <c r="B29954" i="1"/>
  <c r="B29953" i="1"/>
  <c r="B29952" i="1"/>
  <c r="B29951" i="1"/>
  <c r="B29950" i="1"/>
  <c r="B29949" i="1"/>
  <c r="B29948" i="1"/>
  <c r="B29947" i="1"/>
  <c r="B29946" i="1"/>
  <c r="B29945" i="1"/>
  <c r="B29944" i="1"/>
  <c r="B29943" i="1"/>
  <c r="B29942" i="1"/>
  <c r="B29941" i="1"/>
  <c r="B29940" i="1"/>
  <c r="B29939" i="1"/>
  <c r="B29938" i="1"/>
  <c r="B29937" i="1"/>
  <c r="B29936" i="1"/>
  <c r="B29935" i="1"/>
  <c r="B29934" i="1"/>
  <c r="B29933" i="1"/>
  <c r="B29932" i="1"/>
  <c r="B29931" i="1"/>
  <c r="B29930" i="1"/>
  <c r="B29929" i="1"/>
  <c r="B29928" i="1"/>
  <c r="B29927" i="1"/>
  <c r="B29926" i="1"/>
  <c r="B29925" i="1"/>
  <c r="B29924" i="1"/>
  <c r="B29923" i="1"/>
  <c r="B29922" i="1"/>
  <c r="B29921" i="1"/>
  <c r="B29920" i="1"/>
  <c r="B29919" i="1"/>
  <c r="B29918" i="1"/>
  <c r="B29917" i="1"/>
  <c r="B29916" i="1"/>
  <c r="B29915" i="1"/>
  <c r="B29914" i="1"/>
  <c r="B29913" i="1"/>
  <c r="B29912" i="1"/>
  <c r="B29911" i="1"/>
  <c r="B29910" i="1"/>
  <c r="B29909" i="1"/>
  <c r="B29908" i="1"/>
  <c r="B29907" i="1"/>
  <c r="B29906" i="1"/>
  <c r="B29905" i="1"/>
  <c r="B29904" i="1"/>
  <c r="B29903" i="1"/>
  <c r="B29902" i="1"/>
  <c r="B29901" i="1"/>
  <c r="B29900" i="1"/>
  <c r="B29899" i="1"/>
  <c r="B29898" i="1"/>
  <c r="B29897" i="1"/>
  <c r="B29896" i="1"/>
  <c r="B29895" i="1"/>
  <c r="B29894" i="1"/>
  <c r="B29893" i="1"/>
  <c r="B29892" i="1"/>
  <c r="B29891" i="1"/>
  <c r="B29890" i="1"/>
  <c r="B29889" i="1"/>
  <c r="B29888" i="1"/>
  <c r="B29887" i="1"/>
  <c r="B29886" i="1"/>
  <c r="B29885" i="1"/>
  <c r="B29884" i="1"/>
  <c r="B29883" i="1"/>
  <c r="B29882" i="1"/>
  <c r="B29881" i="1"/>
  <c r="B29880" i="1"/>
  <c r="B29879" i="1"/>
  <c r="B29878" i="1"/>
  <c r="B29877" i="1"/>
  <c r="B29876" i="1"/>
  <c r="B29875" i="1"/>
  <c r="B29874" i="1"/>
  <c r="B29873" i="1"/>
  <c r="B29872" i="1"/>
  <c r="B29871" i="1"/>
  <c r="B29870" i="1"/>
  <c r="B29869" i="1"/>
  <c r="B29868" i="1"/>
  <c r="B29867" i="1"/>
  <c r="B29866" i="1"/>
  <c r="B29865" i="1"/>
  <c r="B29864" i="1"/>
  <c r="B29863" i="1"/>
  <c r="B29862" i="1"/>
  <c r="B29861" i="1"/>
  <c r="B29860" i="1"/>
  <c r="B29859" i="1"/>
  <c r="B29858" i="1"/>
  <c r="B29857" i="1"/>
  <c r="B29856" i="1"/>
  <c r="B29855" i="1"/>
  <c r="B29854" i="1"/>
  <c r="B29853" i="1"/>
  <c r="B29852" i="1"/>
  <c r="B29851" i="1"/>
  <c r="B29850" i="1"/>
  <c r="B29849" i="1"/>
  <c r="B29848" i="1"/>
  <c r="B29847" i="1"/>
  <c r="B29846" i="1"/>
  <c r="B29845" i="1"/>
  <c r="B29844" i="1"/>
  <c r="B29843" i="1"/>
  <c r="B29842" i="1"/>
  <c r="B29841" i="1"/>
  <c r="B29840" i="1"/>
  <c r="B29839" i="1"/>
  <c r="B29838" i="1"/>
  <c r="B29837" i="1"/>
  <c r="B29836" i="1"/>
  <c r="B29835" i="1"/>
  <c r="B29834" i="1"/>
  <c r="B29833" i="1"/>
  <c r="B29832" i="1"/>
  <c r="B29831" i="1"/>
  <c r="B29830" i="1"/>
  <c r="B29829" i="1"/>
  <c r="B29828" i="1"/>
  <c r="B29827" i="1"/>
  <c r="B29826" i="1"/>
  <c r="B29825" i="1"/>
  <c r="B29824" i="1"/>
  <c r="B29823" i="1"/>
  <c r="B29822" i="1"/>
  <c r="B29821" i="1"/>
  <c r="B29820" i="1"/>
  <c r="B29819" i="1"/>
  <c r="B29818" i="1"/>
  <c r="B29817" i="1"/>
  <c r="B29816" i="1"/>
  <c r="B29815" i="1"/>
  <c r="B29814" i="1"/>
  <c r="B29813" i="1"/>
  <c r="B29812" i="1"/>
  <c r="B29811" i="1"/>
  <c r="B29810" i="1"/>
  <c r="B29809" i="1"/>
  <c r="B29808" i="1"/>
  <c r="B29807" i="1"/>
  <c r="B29806" i="1"/>
  <c r="B29805" i="1"/>
  <c r="B29804" i="1"/>
  <c r="B29803" i="1"/>
  <c r="B29802" i="1"/>
  <c r="B29801" i="1"/>
  <c r="B29800" i="1"/>
  <c r="B29799" i="1"/>
  <c r="B29798" i="1"/>
  <c r="B29797" i="1"/>
  <c r="B29796" i="1"/>
  <c r="B29795" i="1"/>
  <c r="B29794" i="1"/>
  <c r="B29793" i="1"/>
  <c r="B29792" i="1"/>
  <c r="B29791" i="1"/>
  <c r="B29790" i="1"/>
  <c r="B29789" i="1"/>
  <c r="B29788" i="1"/>
  <c r="B29787" i="1"/>
  <c r="B29786" i="1"/>
  <c r="B29785" i="1"/>
  <c r="B29784" i="1"/>
  <c r="B29783" i="1"/>
  <c r="B29782" i="1"/>
  <c r="B29781" i="1"/>
  <c r="B29780" i="1"/>
  <c r="B29779" i="1"/>
  <c r="B29778" i="1"/>
  <c r="B29777" i="1"/>
  <c r="B29776" i="1"/>
  <c r="B29775" i="1"/>
  <c r="B29774" i="1"/>
  <c r="B29773" i="1"/>
  <c r="B29772" i="1"/>
  <c r="B29771" i="1"/>
  <c r="B29770" i="1"/>
  <c r="B29769" i="1"/>
  <c r="B29768" i="1"/>
  <c r="B29767" i="1"/>
  <c r="B29766" i="1"/>
  <c r="B29765" i="1"/>
  <c r="B29764" i="1"/>
  <c r="B29763" i="1"/>
  <c r="B29762" i="1"/>
  <c r="B29761" i="1"/>
  <c r="B29760" i="1"/>
  <c r="B29759" i="1"/>
  <c r="B29758" i="1"/>
  <c r="B29757" i="1"/>
  <c r="B29756" i="1"/>
  <c r="B29755" i="1"/>
  <c r="B29754" i="1"/>
  <c r="B29753" i="1"/>
  <c r="B29752" i="1"/>
  <c r="B29751" i="1"/>
  <c r="B29750" i="1"/>
  <c r="B29749" i="1"/>
  <c r="B29748" i="1"/>
  <c r="B29747" i="1"/>
  <c r="B29746" i="1"/>
  <c r="B29745" i="1"/>
  <c r="B29744" i="1"/>
  <c r="B29743" i="1"/>
  <c r="B29742" i="1"/>
  <c r="B29741" i="1"/>
  <c r="B29740" i="1"/>
  <c r="B29739" i="1"/>
  <c r="B29738" i="1"/>
  <c r="B29737" i="1"/>
  <c r="B29736" i="1"/>
  <c r="B29735" i="1"/>
  <c r="B29734" i="1"/>
  <c r="B29733" i="1"/>
  <c r="B29732" i="1"/>
  <c r="B29731" i="1"/>
  <c r="B29730" i="1"/>
  <c r="B29729" i="1"/>
  <c r="B29728" i="1"/>
  <c r="B29727" i="1"/>
  <c r="B29726" i="1"/>
  <c r="B29725" i="1"/>
  <c r="B29724" i="1"/>
  <c r="B29723" i="1"/>
  <c r="B29722" i="1"/>
  <c r="B29721" i="1"/>
  <c r="B29720" i="1"/>
  <c r="B29719" i="1"/>
  <c r="B29718" i="1"/>
  <c r="B29717" i="1"/>
  <c r="B29716" i="1"/>
  <c r="B29715" i="1"/>
  <c r="B29714" i="1"/>
  <c r="B29713" i="1"/>
  <c r="B29712" i="1"/>
  <c r="B29711" i="1"/>
  <c r="B29710" i="1"/>
  <c r="B29709" i="1"/>
  <c r="B29708" i="1"/>
  <c r="B29707" i="1"/>
  <c r="B29706" i="1"/>
  <c r="B29705" i="1"/>
  <c r="B29704" i="1"/>
  <c r="B29703" i="1"/>
  <c r="B29702" i="1"/>
  <c r="B29701" i="1"/>
  <c r="B29700" i="1"/>
  <c r="B29699" i="1"/>
  <c r="B29698" i="1"/>
  <c r="B29697" i="1"/>
  <c r="B29696" i="1"/>
  <c r="B29695" i="1"/>
  <c r="B29694" i="1"/>
  <c r="B29693" i="1"/>
  <c r="B29692" i="1"/>
  <c r="B29691" i="1"/>
  <c r="B29690" i="1"/>
  <c r="B29689" i="1"/>
  <c r="B29688" i="1"/>
  <c r="B29687" i="1"/>
  <c r="B29686" i="1"/>
  <c r="B29685" i="1"/>
  <c r="B29684" i="1"/>
  <c r="B29683" i="1"/>
  <c r="B29682" i="1"/>
  <c r="B29681" i="1"/>
  <c r="B29680" i="1"/>
  <c r="B29679" i="1"/>
  <c r="B29678" i="1"/>
  <c r="B29677" i="1"/>
  <c r="B29676" i="1"/>
  <c r="B29675" i="1"/>
  <c r="B29674" i="1"/>
  <c r="B29673" i="1"/>
  <c r="B29672" i="1"/>
  <c r="B29671" i="1"/>
  <c r="B29670" i="1"/>
  <c r="B29669" i="1"/>
  <c r="B29668" i="1"/>
  <c r="B29667" i="1"/>
  <c r="B29666" i="1"/>
  <c r="B29665" i="1"/>
  <c r="B29664" i="1"/>
  <c r="B29663" i="1"/>
  <c r="B29662" i="1"/>
  <c r="B29661" i="1"/>
  <c r="B29660" i="1"/>
  <c r="B29659" i="1"/>
  <c r="B29658" i="1"/>
  <c r="B29657" i="1"/>
  <c r="B29656" i="1"/>
  <c r="B29655" i="1"/>
  <c r="B29654" i="1"/>
  <c r="B29653" i="1"/>
  <c r="B29652" i="1"/>
  <c r="B29651" i="1"/>
  <c r="B29650" i="1"/>
  <c r="B29649" i="1"/>
  <c r="B29648" i="1"/>
  <c r="B29647" i="1"/>
  <c r="B29646" i="1"/>
  <c r="B29645" i="1"/>
  <c r="B29644" i="1"/>
  <c r="B29643" i="1"/>
  <c r="B29642" i="1"/>
  <c r="B29641" i="1"/>
  <c r="B29640" i="1"/>
  <c r="B29639" i="1"/>
  <c r="B29638" i="1"/>
  <c r="B29637" i="1"/>
  <c r="B29636" i="1"/>
  <c r="B29635" i="1"/>
  <c r="B29634" i="1"/>
  <c r="B29633" i="1"/>
  <c r="B29632" i="1"/>
  <c r="B29631" i="1"/>
  <c r="B29630" i="1"/>
  <c r="B29629" i="1"/>
  <c r="B29628" i="1"/>
  <c r="B29627" i="1"/>
  <c r="B29626" i="1"/>
  <c r="B29625" i="1"/>
  <c r="B29624" i="1"/>
  <c r="B29623" i="1"/>
  <c r="B29622" i="1"/>
  <c r="B29621" i="1"/>
  <c r="B29620" i="1"/>
  <c r="B29619" i="1"/>
  <c r="B29618" i="1"/>
  <c r="B29617" i="1"/>
  <c r="B29616" i="1"/>
  <c r="B29615" i="1"/>
  <c r="B29614" i="1"/>
  <c r="B29613" i="1"/>
  <c r="B29612" i="1"/>
  <c r="B29611" i="1"/>
  <c r="B29610" i="1"/>
  <c r="B29609" i="1"/>
  <c r="B29608" i="1"/>
  <c r="B29607" i="1"/>
  <c r="B29606" i="1"/>
  <c r="B29605" i="1"/>
  <c r="B29604" i="1"/>
  <c r="B29603" i="1"/>
  <c r="B29602" i="1"/>
  <c r="B29601" i="1"/>
  <c r="B29600" i="1"/>
  <c r="B29599" i="1"/>
  <c r="B29598" i="1"/>
  <c r="B29597" i="1"/>
  <c r="B29596" i="1"/>
  <c r="B29595" i="1"/>
  <c r="B29594" i="1"/>
  <c r="B29593" i="1"/>
  <c r="B29592" i="1"/>
  <c r="B29591" i="1"/>
  <c r="B29590" i="1"/>
  <c r="B29589" i="1"/>
  <c r="B29588" i="1"/>
  <c r="B29587" i="1"/>
  <c r="B29586" i="1"/>
  <c r="B29585" i="1"/>
  <c r="B29584" i="1"/>
  <c r="B29583" i="1"/>
  <c r="B29582" i="1"/>
  <c r="B29581" i="1"/>
  <c r="B29580" i="1"/>
  <c r="B29579" i="1"/>
  <c r="B29578" i="1"/>
  <c r="B29577" i="1"/>
  <c r="B29576" i="1"/>
  <c r="B29575" i="1"/>
  <c r="B29574" i="1"/>
  <c r="B29573" i="1"/>
  <c r="B29572" i="1"/>
  <c r="B29571" i="1"/>
  <c r="B29570" i="1"/>
  <c r="B29569" i="1"/>
  <c r="B29568" i="1"/>
  <c r="B29567" i="1"/>
  <c r="B29566" i="1"/>
  <c r="B29565" i="1"/>
  <c r="B29564" i="1"/>
  <c r="B29563" i="1"/>
  <c r="B29562" i="1"/>
  <c r="B29561" i="1"/>
  <c r="B29560" i="1"/>
  <c r="B29559" i="1"/>
  <c r="B29558" i="1"/>
  <c r="B29557" i="1"/>
  <c r="B29556" i="1"/>
  <c r="B29555" i="1"/>
  <c r="B29554" i="1"/>
  <c r="B29553" i="1"/>
  <c r="B29552" i="1"/>
  <c r="B29551" i="1"/>
  <c r="B29550" i="1"/>
  <c r="B29549" i="1"/>
  <c r="B29548" i="1"/>
  <c r="B29547" i="1"/>
  <c r="B29546" i="1"/>
  <c r="B29545" i="1"/>
  <c r="B29544" i="1"/>
  <c r="B29543" i="1"/>
  <c r="B29542" i="1"/>
  <c r="B29541" i="1"/>
  <c r="B29540" i="1"/>
  <c r="B29539" i="1"/>
  <c r="B29538" i="1"/>
  <c r="B29537" i="1"/>
  <c r="B29536" i="1"/>
  <c r="B29535" i="1"/>
  <c r="B29534" i="1"/>
  <c r="B29533" i="1"/>
  <c r="B29532" i="1"/>
  <c r="B29531" i="1"/>
  <c r="B29530" i="1"/>
  <c r="B29529" i="1"/>
  <c r="B29528" i="1"/>
  <c r="B29527" i="1"/>
  <c r="B29526" i="1"/>
  <c r="B29525" i="1"/>
  <c r="B29524" i="1"/>
  <c r="B29523" i="1"/>
  <c r="B29522" i="1"/>
  <c r="B29521" i="1"/>
  <c r="B29520" i="1"/>
  <c r="B29519" i="1"/>
  <c r="B29518" i="1"/>
  <c r="B29517" i="1"/>
  <c r="B29516" i="1"/>
  <c r="B29515" i="1"/>
  <c r="B29514" i="1"/>
  <c r="B29513" i="1"/>
  <c r="B29512" i="1"/>
  <c r="B29511" i="1"/>
  <c r="B29510" i="1"/>
  <c r="B29509" i="1"/>
  <c r="B29508" i="1"/>
  <c r="B29507" i="1"/>
  <c r="B29506" i="1"/>
  <c r="B29505" i="1"/>
  <c r="B29504" i="1"/>
  <c r="B29503" i="1"/>
  <c r="B29502" i="1"/>
  <c r="B29501" i="1"/>
  <c r="B29500" i="1"/>
  <c r="B29499" i="1"/>
  <c r="B29498" i="1"/>
  <c r="B29497" i="1"/>
  <c r="B29496" i="1"/>
  <c r="B29495" i="1"/>
  <c r="B29494" i="1"/>
  <c r="B29493" i="1"/>
  <c r="B29492" i="1"/>
  <c r="B29491" i="1"/>
  <c r="B29490" i="1"/>
  <c r="B29489" i="1"/>
  <c r="B29488" i="1"/>
  <c r="B29487" i="1"/>
  <c r="B29486" i="1"/>
  <c r="B29485" i="1"/>
  <c r="B29484" i="1"/>
  <c r="B29483" i="1"/>
  <c r="B29482" i="1"/>
  <c r="B29481" i="1"/>
  <c r="B29480" i="1"/>
  <c r="B29479" i="1"/>
  <c r="B29478" i="1"/>
  <c r="B29477" i="1"/>
  <c r="B29476" i="1"/>
  <c r="B29475" i="1"/>
  <c r="B29474" i="1"/>
  <c r="B29473" i="1"/>
  <c r="B29472" i="1"/>
  <c r="B29471" i="1"/>
  <c r="B29470" i="1"/>
  <c r="B29469" i="1"/>
  <c r="B29468" i="1"/>
  <c r="B29467" i="1"/>
  <c r="B29466" i="1"/>
  <c r="B29465" i="1"/>
  <c r="B29464" i="1"/>
  <c r="B29463" i="1"/>
  <c r="B29462" i="1"/>
  <c r="B29461" i="1"/>
  <c r="B29460" i="1"/>
  <c r="B29459" i="1"/>
  <c r="B29458" i="1"/>
  <c r="B29457" i="1"/>
  <c r="B29456" i="1"/>
  <c r="B29455" i="1"/>
  <c r="B29454" i="1"/>
  <c r="B29453" i="1"/>
  <c r="B29452" i="1"/>
  <c r="B29451" i="1"/>
  <c r="B29450" i="1"/>
  <c r="B29449" i="1"/>
  <c r="B29448" i="1"/>
  <c r="B29447" i="1"/>
  <c r="B29446" i="1"/>
  <c r="B29445" i="1"/>
  <c r="B29444" i="1"/>
  <c r="B29443" i="1"/>
  <c r="B29442" i="1"/>
  <c r="B29441" i="1"/>
  <c r="B29440" i="1"/>
  <c r="B29439" i="1"/>
  <c r="B29438" i="1"/>
  <c r="B29437" i="1"/>
  <c r="B29436" i="1"/>
  <c r="B29435" i="1"/>
  <c r="B29434" i="1"/>
  <c r="B29433" i="1"/>
  <c r="B29432" i="1"/>
  <c r="B29431" i="1"/>
  <c r="B29430" i="1"/>
  <c r="B29429" i="1"/>
  <c r="B29428" i="1"/>
  <c r="B29427" i="1"/>
  <c r="B29426" i="1"/>
  <c r="B29425" i="1"/>
  <c r="B29424" i="1"/>
  <c r="B29423" i="1"/>
  <c r="B29422" i="1"/>
  <c r="B29421" i="1"/>
  <c r="B29420" i="1"/>
  <c r="B29419" i="1"/>
  <c r="B29418" i="1"/>
  <c r="B29417" i="1"/>
  <c r="B29416" i="1"/>
  <c r="B29415" i="1"/>
  <c r="B29414" i="1"/>
  <c r="B29413" i="1"/>
  <c r="B29412" i="1"/>
  <c r="B29411" i="1"/>
  <c r="B29410" i="1"/>
  <c r="B29409" i="1"/>
  <c r="B29408" i="1"/>
  <c r="B29407" i="1"/>
  <c r="B29406" i="1"/>
  <c r="B29405" i="1"/>
  <c r="B29404" i="1"/>
  <c r="B29403" i="1"/>
  <c r="B29402" i="1"/>
  <c r="B29401" i="1"/>
  <c r="B29400" i="1"/>
  <c r="B29399" i="1"/>
  <c r="B29398" i="1"/>
  <c r="B29397" i="1"/>
  <c r="B29396" i="1"/>
  <c r="B29395" i="1"/>
  <c r="B29394" i="1"/>
  <c r="B29393" i="1"/>
  <c r="B29392" i="1"/>
  <c r="B29391" i="1"/>
  <c r="B29390" i="1"/>
  <c r="B29389" i="1"/>
  <c r="B29388" i="1"/>
  <c r="B29387" i="1"/>
  <c r="B29386" i="1"/>
  <c r="B29385" i="1"/>
  <c r="B29384" i="1"/>
  <c r="B29383" i="1"/>
  <c r="B29382" i="1"/>
  <c r="B29381" i="1"/>
  <c r="B29380" i="1"/>
  <c r="B29379" i="1"/>
  <c r="B29378" i="1"/>
  <c r="B29377" i="1"/>
  <c r="B29376" i="1"/>
  <c r="B29375" i="1"/>
  <c r="B29374" i="1"/>
  <c r="B29373" i="1"/>
  <c r="B29372" i="1"/>
  <c r="B29371" i="1"/>
  <c r="B29370" i="1"/>
  <c r="B29369" i="1"/>
  <c r="B29368" i="1"/>
  <c r="B29367" i="1"/>
  <c r="B29366" i="1"/>
  <c r="B29365" i="1"/>
  <c r="B29364" i="1"/>
  <c r="B29363" i="1"/>
  <c r="B29362" i="1"/>
  <c r="B29361" i="1"/>
  <c r="B29360" i="1"/>
  <c r="B29359" i="1"/>
  <c r="B29358" i="1"/>
  <c r="B29357" i="1"/>
  <c r="B29356" i="1"/>
  <c r="B29355" i="1"/>
  <c r="B29354" i="1"/>
  <c r="B29353" i="1"/>
  <c r="B29352" i="1"/>
  <c r="B29351" i="1"/>
  <c r="B29350" i="1"/>
  <c r="B29349" i="1"/>
  <c r="B29348" i="1"/>
  <c r="B29347" i="1"/>
  <c r="B29346" i="1"/>
  <c r="B29345" i="1"/>
  <c r="B29344" i="1"/>
  <c r="B29343" i="1"/>
  <c r="B29342" i="1"/>
  <c r="B29341" i="1"/>
  <c r="B29340" i="1"/>
  <c r="B29339" i="1"/>
  <c r="B29338" i="1"/>
  <c r="B29337" i="1"/>
  <c r="B29336" i="1"/>
  <c r="B29335" i="1"/>
  <c r="B29334" i="1"/>
  <c r="B29333" i="1"/>
  <c r="B29332" i="1"/>
  <c r="B29331" i="1"/>
  <c r="B29330" i="1"/>
  <c r="B29329" i="1"/>
  <c r="B29328" i="1"/>
  <c r="B29327" i="1"/>
  <c r="B29326" i="1"/>
  <c r="B29325" i="1"/>
  <c r="B29324" i="1"/>
  <c r="B29323" i="1"/>
  <c r="B29322" i="1"/>
  <c r="B29321" i="1"/>
  <c r="B29320" i="1"/>
  <c r="B29319" i="1"/>
  <c r="B29318" i="1"/>
  <c r="B29317" i="1"/>
  <c r="B29316" i="1"/>
  <c r="B29315" i="1"/>
  <c r="B29314" i="1"/>
  <c r="B29313" i="1"/>
  <c r="B29312" i="1"/>
  <c r="B29311" i="1"/>
  <c r="B29310" i="1"/>
  <c r="B29309" i="1"/>
  <c r="B29308" i="1"/>
  <c r="B29307" i="1"/>
  <c r="B29306" i="1"/>
  <c r="B29305" i="1"/>
  <c r="B29304" i="1"/>
  <c r="B29303" i="1"/>
  <c r="B29302" i="1"/>
  <c r="B29301" i="1"/>
  <c r="B29300" i="1"/>
  <c r="B29299" i="1"/>
  <c r="B29298" i="1"/>
  <c r="B29297" i="1"/>
  <c r="B29296" i="1"/>
  <c r="B29295" i="1"/>
  <c r="B29294" i="1"/>
  <c r="B29293" i="1"/>
  <c r="B29292" i="1"/>
  <c r="B29291" i="1"/>
  <c r="B29290" i="1"/>
  <c r="B29289" i="1"/>
  <c r="B29288" i="1"/>
  <c r="B29287" i="1"/>
  <c r="B29286" i="1"/>
  <c r="B29285" i="1"/>
  <c r="B29284" i="1"/>
  <c r="B29283" i="1"/>
  <c r="B29282" i="1"/>
  <c r="B29281" i="1"/>
  <c r="B29280" i="1"/>
  <c r="B29279" i="1"/>
  <c r="B29278" i="1"/>
  <c r="B29277" i="1"/>
  <c r="B29276" i="1"/>
  <c r="B29275" i="1"/>
  <c r="B29274" i="1"/>
  <c r="B29273" i="1"/>
  <c r="B29272" i="1"/>
  <c r="B29271" i="1"/>
  <c r="B29270" i="1"/>
  <c r="B29269" i="1"/>
  <c r="B29268" i="1"/>
  <c r="B29267" i="1"/>
  <c r="B29266" i="1"/>
  <c r="B29265" i="1"/>
  <c r="B29264" i="1"/>
  <c r="B29263" i="1"/>
  <c r="B29262" i="1"/>
  <c r="B29261" i="1"/>
  <c r="B29260" i="1"/>
  <c r="B29259" i="1"/>
  <c r="B29258" i="1"/>
  <c r="B29257" i="1"/>
  <c r="B29256" i="1"/>
  <c r="B29255" i="1"/>
  <c r="B29254" i="1"/>
  <c r="B29253" i="1"/>
  <c r="B29252" i="1"/>
  <c r="B29251" i="1"/>
  <c r="B29250" i="1"/>
  <c r="B29249" i="1"/>
  <c r="B29248" i="1"/>
  <c r="B29247" i="1"/>
  <c r="B29246" i="1"/>
  <c r="B29245" i="1"/>
  <c r="B29244" i="1"/>
  <c r="B29243" i="1"/>
  <c r="B29242" i="1"/>
  <c r="B29241" i="1"/>
  <c r="B29240" i="1"/>
  <c r="B29239" i="1"/>
  <c r="B29238" i="1"/>
  <c r="B29237" i="1"/>
  <c r="B29236" i="1"/>
  <c r="B29235" i="1"/>
  <c r="B29234" i="1"/>
  <c r="B29233" i="1"/>
  <c r="B29232" i="1"/>
  <c r="B29231" i="1"/>
  <c r="B29230" i="1"/>
  <c r="B29229" i="1"/>
  <c r="B29228" i="1"/>
  <c r="B29227" i="1"/>
  <c r="B29226" i="1"/>
  <c r="B29225" i="1"/>
  <c r="B29224" i="1"/>
  <c r="B29223" i="1"/>
  <c r="B29222" i="1"/>
  <c r="B29221" i="1"/>
  <c r="B29220" i="1"/>
  <c r="B29219" i="1"/>
  <c r="B29218" i="1"/>
  <c r="B29217" i="1"/>
  <c r="B29216" i="1"/>
  <c r="B29215" i="1"/>
  <c r="B29214" i="1"/>
  <c r="B29213" i="1"/>
  <c r="B29212" i="1"/>
  <c r="B29211" i="1"/>
  <c r="B29210" i="1"/>
  <c r="B29209" i="1"/>
  <c r="B29208" i="1"/>
  <c r="B29207" i="1"/>
  <c r="B29206" i="1"/>
  <c r="B29205" i="1"/>
  <c r="B29204" i="1"/>
  <c r="B29203" i="1"/>
  <c r="B29202" i="1"/>
  <c r="B29201" i="1"/>
  <c r="B29200" i="1"/>
  <c r="B29199" i="1"/>
  <c r="B29198" i="1"/>
  <c r="B29197" i="1"/>
  <c r="B29196" i="1"/>
  <c r="B29195" i="1"/>
  <c r="B29194" i="1"/>
  <c r="B29193" i="1"/>
  <c r="B29192" i="1"/>
  <c r="B29191" i="1"/>
  <c r="B29190" i="1"/>
  <c r="B29189" i="1"/>
  <c r="B29188" i="1"/>
  <c r="B29187" i="1"/>
  <c r="B29186" i="1"/>
  <c r="B29185" i="1"/>
  <c r="B29184" i="1"/>
  <c r="B29183" i="1"/>
  <c r="B29182" i="1"/>
  <c r="B29181" i="1"/>
  <c r="B29180" i="1"/>
  <c r="B29179" i="1"/>
  <c r="B29178" i="1"/>
  <c r="B29177" i="1"/>
  <c r="B29176" i="1"/>
  <c r="B29175" i="1"/>
  <c r="B29174" i="1"/>
  <c r="B29173" i="1"/>
  <c r="B29172" i="1"/>
  <c r="B29171" i="1"/>
  <c r="B29170" i="1"/>
  <c r="B29169" i="1"/>
  <c r="B29168" i="1"/>
  <c r="B29167" i="1"/>
  <c r="B29166" i="1"/>
  <c r="B29165" i="1"/>
  <c r="B29164" i="1"/>
  <c r="B29163" i="1"/>
  <c r="B29162" i="1"/>
  <c r="B29161" i="1"/>
  <c r="B29160" i="1"/>
  <c r="B29159" i="1"/>
  <c r="B29158" i="1"/>
  <c r="B29157" i="1"/>
  <c r="B29156" i="1"/>
  <c r="B29155" i="1"/>
  <c r="B29154" i="1"/>
  <c r="B29153" i="1"/>
  <c r="B29152" i="1"/>
  <c r="B29151" i="1"/>
  <c r="B29150" i="1"/>
  <c r="B29149" i="1"/>
  <c r="B29148" i="1"/>
  <c r="B29147" i="1"/>
  <c r="B29146" i="1"/>
  <c r="B29145" i="1"/>
  <c r="B29144" i="1"/>
  <c r="B29143" i="1"/>
  <c r="B29142" i="1"/>
  <c r="B29141" i="1"/>
  <c r="B29140" i="1"/>
  <c r="B29139" i="1"/>
  <c r="B29138" i="1"/>
  <c r="B29137" i="1"/>
  <c r="B29136" i="1"/>
  <c r="B29135" i="1"/>
  <c r="B29134" i="1"/>
  <c r="B29133" i="1"/>
  <c r="B29132" i="1"/>
  <c r="B29131" i="1"/>
  <c r="B29130" i="1"/>
  <c r="B29129" i="1"/>
  <c r="B29128" i="1"/>
  <c r="B29127" i="1"/>
  <c r="B29126" i="1"/>
  <c r="B29125" i="1"/>
  <c r="B29124" i="1"/>
  <c r="B29123" i="1"/>
  <c r="B29122" i="1"/>
  <c r="B29121" i="1"/>
  <c r="B29120" i="1"/>
  <c r="B29119" i="1"/>
  <c r="B29118" i="1"/>
  <c r="B29117" i="1"/>
  <c r="B29116" i="1"/>
  <c r="B29115" i="1"/>
  <c r="B29114" i="1"/>
  <c r="B29113" i="1"/>
  <c r="B29112" i="1"/>
  <c r="B29111" i="1"/>
  <c r="B29110" i="1"/>
  <c r="B29109" i="1"/>
  <c r="B29108" i="1"/>
  <c r="B29107" i="1"/>
  <c r="B29106" i="1"/>
  <c r="B29105" i="1"/>
  <c r="B29104" i="1"/>
  <c r="B29103" i="1"/>
  <c r="B29102" i="1"/>
  <c r="B29101" i="1"/>
  <c r="B29100" i="1"/>
  <c r="B29099" i="1"/>
  <c r="B29098" i="1"/>
  <c r="B29097" i="1"/>
  <c r="B29096" i="1"/>
  <c r="B29095" i="1"/>
  <c r="B29094" i="1"/>
  <c r="B29093" i="1"/>
  <c r="B29092" i="1"/>
  <c r="B29091" i="1"/>
  <c r="B29090" i="1"/>
  <c r="B29089" i="1"/>
  <c r="B29088" i="1"/>
  <c r="B29087" i="1"/>
  <c r="B29086" i="1"/>
  <c r="B29085" i="1"/>
  <c r="B29084" i="1"/>
  <c r="B29083" i="1"/>
  <c r="B29082" i="1"/>
  <c r="B29081" i="1"/>
  <c r="B29080" i="1"/>
  <c r="B29079" i="1"/>
  <c r="B29078" i="1"/>
  <c r="B29077" i="1"/>
  <c r="B29076" i="1"/>
  <c r="B29075" i="1"/>
  <c r="B29074" i="1"/>
  <c r="B29073" i="1"/>
  <c r="B29072" i="1"/>
  <c r="B29071" i="1"/>
  <c r="B29070" i="1"/>
  <c r="B29069" i="1"/>
  <c r="B29068" i="1"/>
  <c r="B29067" i="1"/>
  <c r="B29066" i="1"/>
  <c r="B29065" i="1"/>
  <c r="B29064" i="1"/>
  <c r="B29063" i="1"/>
  <c r="B29062" i="1"/>
  <c r="B29061" i="1"/>
  <c r="B29060" i="1"/>
  <c r="B29059" i="1"/>
  <c r="B29058" i="1"/>
  <c r="B29057" i="1"/>
  <c r="B29056" i="1"/>
  <c r="B29055" i="1"/>
  <c r="B29054" i="1"/>
  <c r="B29053" i="1"/>
  <c r="B29052" i="1"/>
  <c r="B29051" i="1"/>
  <c r="B29050" i="1"/>
  <c r="B29049" i="1"/>
  <c r="B29048" i="1"/>
  <c r="B29047" i="1"/>
  <c r="B29046" i="1"/>
  <c r="B29045" i="1"/>
  <c r="B29044" i="1"/>
  <c r="B29043" i="1"/>
  <c r="B29042" i="1"/>
  <c r="B29041" i="1"/>
  <c r="B29040" i="1"/>
  <c r="B29039" i="1"/>
  <c r="B29038" i="1"/>
  <c r="B29037" i="1"/>
  <c r="B29036" i="1"/>
  <c r="B29035" i="1"/>
  <c r="B29034" i="1"/>
  <c r="B29033" i="1"/>
  <c r="B29032" i="1"/>
  <c r="B29031" i="1"/>
  <c r="B29030" i="1"/>
  <c r="B29029" i="1"/>
  <c r="B29028" i="1"/>
  <c r="B29027" i="1"/>
  <c r="B29026" i="1"/>
  <c r="B29025" i="1"/>
  <c r="B29024" i="1"/>
  <c r="B29023" i="1"/>
  <c r="B29022" i="1"/>
  <c r="B29021" i="1"/>
  <c r="B29020" i="1"/>
  <c r="B29019" i="1"/>
  <c r="B29018" i="1"/>
  <c r="B29017" i="1"/>
  <c r="B29016" i="1"/>
  <c r="B29015" i="1"/>
  <c r="B29014" i="1"/>
  <c r="B29013" i="1"/>
  <c r="B29012" i="1"/>
  <c r="B29011" i="1"/>
  <c r="B29010" i="1"/>
  <c r="B29009" i="1"/>
  <c r="B29008" i="1"/>
  <c r="B29007" i="1"/>
  <c r="B29006" i="1"/>
  <c r="B29005" i="1"/>
  <c r="B29004" i="1"/>
  <c r="B29003" i="1"/>
  <c r="B29002" i="1"/>
  <c r="B29001" i="1"/>
  <c r="B29000" i="1"/>
  <c r="B28999" i="1"/>
  <c r="B28998" i="1"/>
  <c r="B28997" i="1"/>
  <c r="B28996" i="1"/>
  <c r="B28995" i="1"/>
  <c r="B28994" i="1"/>
  <c r="B28993" i="1"/>
  <c r="B28992" i="1"/>
  <c r="B28991" i="1"/>
  <c r="B28990" i="1"/>
  <c r="B28989" i="1"/>
  <c r="B28988" i="1"/>
  <c r="B28987" i="1"/>
  <c r="B28986" i="1"/>
  <c r="B28985" i="1"/>
  <c r="B28984" i="1"/>
  <c r="B28983" i="1"/>
  <c r="B28982" i="1"/>
  <c r="B28981" i="1"/>
  <c r="B28980" i="1"/>
  <c r="B28979" i="1"/>
  <c r="B28978" i="1"/>
  <c r="B28977" i="1"/>
  <c r="B28976" i="1"/>
  <c r="B28975" i="1"/>
  <c r="B28974" i="1"/>
  <c r="B28973" i="1"/>
  <c r="B28972" i="1"/>
  <c r="B28971" i="1"/>
  <c r="B28970" i="1"/>
  <c r="B28969" i="1"/>
  <c r="B28968" i="1"/>
  <c r="B28967" i="1"/>
  <c r="B28966" i="1"/>
  <c r="B28965" i="1"/>
  <c r="B28964" i="1"/>
  <c r="B28963" i="1"/>
  <c r="B28962" i="1"/>
  <c r="B28961" i="1"/>
  <c r="B28960" i="1"/>
  <c r="B28959" i="1"/>
  <c r="B28958" i="1"/>
  <c r="B28957" i="1"/>
  <c r="B28956" i="1"/>
  <c r="B28955" i="1"/>
  <c r="B28954" i="1"/>
  <c r="B28953" i="1"/>
  <c r="B28952" i="1"/>
  <c r="B28951" i="1"/>
  <c r="B28950" i="1"/>
  <c r="B28949" i="1"/>
  <c r="B28948" i="1"/>
  <c r="B28947" i="1"/>
  <c r="B28946" i="1"/>
  <c r="B28945" i="1"/>
  <c r="B28944" i="1"/>
  <c r="B28943" i="1"/>
  <c r="B28942" i="1"/>
  <c r="B28941" i="1"/>
  <c r="B28940" i="1"/>
  <c r="B28939" i="1"/>
  <c r="B28938" i="1"/>
  <c r="B28937" i="1"/>
  <c r="B28936" i="1"/>
  <c r="B28935" i="1"/>
  <c r="B28934" i="1"/>
  <c r="B28933" i="1"/>
  <c r="B28932" i="1"/>
  <c r="B28931" i="1"/>
  <c r="B28930" i="1"/>
  <c r="B28929" i="1"/>
  <c r="B28928" i="1"/>
  <c r="B28927" i="1"/>
  <c r="B28926" i="1"/>
  <c r="B28925" i="1"/>
  <c r="B28924" i="1"/>
  <c r="B28923" i="1"/>
  <c r="B28922" i="1"/>
  <c r="B28921" i="1"/>
  <c r="B28920" i="1"/>
  <c r="B28919" i="1"/>
  <c r="B28918" i="1"/>
  <c r="B28917" i="1"/>
  <c r="B28916" i="1"/>
  <c r="B28915" i="1"/>
  <c r="B28914" i="1"/>
  <c r="B28913" i="1"/>
  <c r="B28912" i="1"/>
  <c r="B28911" i="1"/>
  <c r="B28910" i="1"/>
  <c r="B28909" i="1"/>
  <c r="B28908" i="1"/>
  <c r="B28907" i="1"/>
  <c r="B28906" i="1"/>
  <c r="B28905" i="1"/>
  <c r="B28904" i="1"/>
  <c r="B28903" i="1"/>
  <c r="B28902" i="1"/>
  <c r="B28901" i="1"/>
  <c r="B28900" i="1"/>
  <c r="B28899" i="1"/>
  <c r="B28898" i="1"/>
  <c r="B28897" i="1"/>
  <c r="B28896" i="1"/>
  <c r="B28895" i="1"/>
  <c r="B28894" i="1"/>
  <c r="B28893" i="1"/>
  <c r="B28892" i="1"/>
  <c r="B28891" i="1"/>
  <c r="B28890" i="1"/>
  <c r="B28889" i="1"/>
  <c r="B28888" i="1"/>
  <c r="B28887" i="1"/>
  <c r="B28886" i="1"/>
  <c r="B28885" i="1"/>
  <c r="B28884" i="1"/>
  <c r="B28883" i="1"/>
  <c r="B28882" i="1"/>
  <c r="B28881" i="1"/>
  <c r="B28880" i="1"/>
  <c r="B28879" i="1"/>
  <c r="B28878" i="1"/>
  <c r="B28877" i="1"/>
  <c r="B28876" i="1"/>
  <c r="B28875" i="1"/>
  <c r="B28874" i="1"/>
  <c r="B28873" i="1"/>
  <c r="B28872" i="1"/>
  <c r="B28871" i="1"/>
  <c r="B28870" i="1"/>
  <c r="B28869" i="1"/>
  <c r="B28868" i="1"/>
  <c r="B28867" i="1"/>
  <c r="B28866" i="1"/>
  <c r="B28865" i="1"/>
  <c r="B28864" i="1"/>
  <c r="B28863" i="1"/>
  <c r="B28862" i="1"/>
  <c r="B28861" i="1"/>
  <c r="B28860" i="1"/>
  <c r="B28859" i="1"/>
  <c r="B28858" i="1"/>
  <c r="B28857" i="1"/>
  <c r="B28856" i="1"/>
  <c r="B28855" i="1"/>
  <c r="B28854" i="1"/>
  <c r="B28853" i="1"/>
  <c r="B28852" i="1"/>
  <c r="B28851" i="1"/>
  <c r="B28850" i="1"/>
  <c r="B28849" i="1"/>
  <c r="B28848" i="1"/>
  <c r="B28847" i="1"/>
  <c r="B28846" i="1"/>
  <c r="B28845" i="1"/>
  <c r="B28844" i="1"/>
  <c r="B28843" i="1"/>
  <c r="B28842" i="1"/>
  <c r="B28841" i="1"/>
  <c r="B28840" i="1"/>
  <c r="B28839" i="1"/>
  <c r="B28838" i="1"/>
  <c r="B28837" i="1"/>
  <c r="B28836" i="1"/>
  <c r="B28835" i="1"/>
  <c r="B28834" i="1"/>
  <c r="B28833" i="1"/>
  <c r="B28832" i="1"/>
  <c r="B28831" i="1"/>
  <c r="B28830" i="1"/>
  <c r="B28829" i="1"/>
  <c r="B28828" i="1"/>
  <c r="B28827" i="1"/>
  <c r="B28826" i="1"/>
  <c r="B28825" i="1"/>
  <c r="B28824" i="1"/>
  <c r="B28823" i="1"/>
  <c r="B28822" i="1"/>
  <c r="B28821" i="1"/>
  <c r="B28820" i="1"/>
  <c r="B28819" i="1"/>
  <c r="B28818" i="1"/>
  <c r="B28817" i="1"/>
  <c r="B28816" i="1"/>
  <c r="B28815" i="1"/>
  <c r="B28814" i="1"/>
  <c r="B28813" i="1"/>
  <c r="B28812" i="1"/>
  <c r="B28811" i="1"/>
  <c r="B28810" i="1"/>
  <c r="B28809" i="1"/>
  <c r="B28808" i="1"/>
  <c r="B28807" i="1"/>
  <c r="B28806" i="1"/>
  <c r="B28805" i="1"/>
  <c r="B28804" i="1"/>
  <c r="B28803" i="1"/>
  <c r="B28802" i="1"/>
  <c r="B28801" i="1"/>
  <c r="B28800" i="1"/>
  <c r="B28799" i="1"/>
  <c r="B28798" i="1"/>
  <c r="B28797" i="1"/>
  <c r="B28796" i="1"/>
  <c r="B28795" i="1"/>
  <c r="B28794" i="1"/>
  <c r="B28793" i="1"/>
  <c r="B28792" i="1"/>
  <c r="B28791" i="1"/>
  <c r="B28790" i="1"/>
  <c r="B28789" i="1"/>
  <c r="B28788" i="1"/>
  <c r="B28787" i="1"/>
  <c r="B28786" i="1"/>
  <c r="B28785" i="1"/>
  <c r="B28784" i="1"/>
  <c r="B28783" i="1"/>
  <c r="B28782" i="1"/>
  <c r="B28781" i="1"/>
  <c r="B28780" i="1"/>
  <c r="B28779" i="1"/>
  <c r="B28778" i="1"/>
  <c r="B28777" i="1"/>
  <c r="B28776" i="1"/>
  <c r="B28775" i="1"/>
  <c r="B28774" i="1"/>
  <c r="B28773" i="1"/>
  <c r="B28772" i="1"/>
  <c r="B28771" i="1"/>
  <c r="B28770" i="1"/>
  <c r="B28769" i="1"/>
  <c r="B28768" i="1"/>
  <c r="B28767" i="1"/>
  <c r="B28766" i="1"/>
  <c r="B28765" i="1"/>
  <c r="B28764" i="1"/>
  <c r="B28763" i="1"/>
  <c r="B28762" i="1"/>
  <c r="B28761" i="1"/>
  <c r="B28760" i="1"/>
  <c r="B28759" i="1"/>
  <c r="B28758" i="1"/>
  <c r="B28757" i="1"/>
  <c r="B28756" i="1"/>
  <c r="B28755" i="1"/>
  <c r="B28754" i="1"/>
  <c r="B28753" i="1"/>
  <c r="B28752" i="1"/>
  <c r="B28751" i="1"/>
  <c r="B28750" i="1"/>
  <c r="B28749" i="1"/>
  <c r="B28748" i="1"/>
  <c r="B28747" i="1"/>
  <c r="B28746" i="1"/>
  <c r="B28745" i="1"/>
  <c r="B28744" i="1"/>
  <c r="B28743" i="1"/>
  <c r="B28742" i="1"/>
  <c r="B28741" i="1"/>
  <c r="B28740" i="1"/>
  <c r="B28739" i="1"/>
  <c r="B28738" i="1"/>
  <c r="B28737" i="1"/>
  <c r="B28736" i="1"/>
  <c r="B28735" i="1"/>
  <c r="B28734" i="1"/>
  <c r="B28733" i="1"/>
  <c r="B28732" i="1"/>
  <c r="B28731" i="1"/>
  <c r="B28730" i="1"/>
  <c r="B28729" i="1"/>
  <c r="B28728" i="1"/>
  <c r="B28727" i="1"/>
  <c r="B28726" i="1"/>
  <c r="B28725" i="1"/>
  <c r="B28724" i="1"/>
  <c r="B28723" i="1"/>
  <c r="B28722" i="1"/>
  <c r="B28721" i="1"/>
  <c r="B28720" i="1"/>
  <c r="B28719" i="1"/>
  <c r="B28718" i="1"/>
  <c r="B28717" i="1"/>
  <c r="B28716" i="1"/>
  <c r="B28715" i="1"/>
  <c r="B28714" i="1"/>
  <c r="B28713" i="1"/>
  <c r="B28712" i="1"/>
  <c r="B28711" i="1"/>
  <c r="B28710" i="1"/>
  <c r="B28709" i="1"/>
  <c r="B28708" i="1"/>
  <c r="B28707" i="1"/>
  <c r="B28706" i="1"/>
  <c r="B28705" i="1"/>
  <c r="B28704" i="1"/>
  <c r="B28703" i="1"/>
  <c r="B28702" i="1"/>
  <c r="B28701" i="1"/>
  <c r="B28700" i="1"/>
  <c r="B28699" i="1"/>
  <c r="B28698" i="1"/>
  <c r="B28697" i="1"/>
  <c r="B28696" i="1"/>
  <c r="B28695" i="1"/>
  <c r="B28694" i="1"/>
  <c r="B28693" i="1"/>
  <c r="B28692" i="1"/>
  <c r="B28691" i="1"/>
  <c r="B28690" i="1"/>
  <c r="B28689" i="1"/>
  <c r="B28688" i="1"/>
  <c r="B28687" i="1"/>
  <c r="B28686" i="1"/>
  <c r="B28685" i="1"/>
  <c r="B28684" i="1"/>
  <c r="B28683" i="1"/>
  <c r="B28682" i="1"/>
  <c r="B28681" i="1"/>
  <c r="B28680" i="1"/>
  <c r="B28679" i="1"/>
  <c r="B28678" i="1"/>
  <c r="B28677" i="1"/>
  <c r="B28676" i="1"/>
  <c r="B28675" i="1"/>
  <c r="B28674" i="1"/>
  <c r="B28673" i="1"/>
  <c r="B28672" i="1"/>
  <c r="B28671" i="1"/>
  <c r="B28670" i="1"/>
  <c r="B28669" i="1"/>
  <c r="B28668" i="1"/>
  <c r="B28667" i="1"/>
  <c r="B28666" i="1"/>
  <c r="B28665" i="1"/>
  <c r="B28664" i="1"/>
  <c r="B28663" i="1"/>
  <c r="B28662" i="1"/>
  <c r="B28661" i="1"/>
  <c r="B28660" i="1"/>
  <c r="B28659" i="1"/>
  <c r="B28658" i="1"/>
  <c r="B28657" i="1"/>
  <c r="B28656" i="1"/>
  <c r="B28655" i="1"/>
  <c r="B28654" i="1"/>
  <c r="B28653" i="1"/>
  <c r="B28652" i="1"/>
  <c r="B28651" i="1"/>
  <c r="B28650" i="1"/>
  <c r="B28649" i="1"/>
  <c r="B28648" i="1"/>
  <c r="B28647" i="1"/>
  <c r="B28646" i="1"/>
  <c r="B28645" i="1"/>
  <c r="B28644" i="1"/>
  <c r="B28643" i="1"/>
  <c r="B28642" i="1"/>
  <c r="B28641" i="1"/>
  <c r="B28640" i="1"/>
  <c r="B28639" i="1"/>
  <c r="B28638" i="1"/>
  <c r="B28637" i="1"/>
  <c r="B28636" i="1"/>
  <c r="B28635" i="1"/>
  <c r="B28634" i="1"/>
  <c r="B28633" i="1"/>
  <c r="B28632" i="1"/>
  <c r="B28631" i="1"/>
  <c r="B28630" i="1"/>
  <c r="B28629" i="1"/>
  <c r="B28628" i="1"/>
  <c r="B28627" i="1"/>
  <c r="B28626" i="1"/>
  <c r="B28625" i="1"/>
  <c r="B28624" i="1"/>
  <c r="B28623" i="1"/>
  <c r="B28622" i="1"/>
  <c r="B28621" i="1"/>
  <c r="B28620" i="1"/>
  <c r="B28619" i="1"/>
  <c r="B28618" i="1"/>
  <c r="B28617" i="1"/>
  <c r="B28616" i="1"/>
  <c r="B28615" i="1"/>
  <c r="B28614" i="1"/>
  <c r="B28613" i="1"/>
  <c r="B28612" i="1"/>
  <c r="B28611" i="1"/>
  <c r="B28610" i="1"/>
  <c r="B28609" i="1"/>
  <c r="B28608" i="1"/>
  <c r="B28607" i="1"/>
  <c r="B28606" i="1"/>
  <c r="B28605" i="1"/>
  <c r="B28604" i="1"/>
  <c r="B28603" i="1"/>
  <c r="B28602" i="1"/>
  <c r="B28601" i="1"/>
  <c r="B28600" i="1"/>
  <c r="B28599" i="1"/>
  <c r="B28598" i="1"/>
  <c r="B28597" i="1"/>
  <c r="B28596" i="1"/>
  <c r="B28595" i="1"/>
  <c r="B28594" i="1"/>
  <c r="B28593" i="1"/>
  <c r="B28592" i="1"/>
  <c r="B28591" i="1"/>
  <c r="B28590" i="1"/>
  <c r="B28589" i="1"/>
  <c r="B28588" i="1"/>
  <c r="B28587" i="1"/>
  <c r="B28586" i="1"/>
  <c r="B28585" i="1"/>
  <c r="B28584" i="1"/>
  <c r="B28583" i="1"/>
  <c r="B28582" i="1"/>
  <c r="B28581" i="1"/>
  <c r="B28580" i="1"/>
  <c r="B28579" i="1"/>
  <c r="B28578" i="1"/>
  <c r="B28577" i="1"/>
  <c r="B28576" i="1"/>
  <c r="B28575" i="1"/>
  <c r="B28574" i="1"/>
  <c r="B28573" i="1"/>
  <c r="B28572" i="1"/>
  <c r="B28571" i="1"/>
  <c r="B28570" i="1"/>
  <c r="B28569" i="1"/>
  <c r="B28568" i="1"/>
  <c r="B28567" i="1"/>
  <c r="B28566" i="1"/>
  <c r="B28565" i="1"/>
  <c r="B28564" i="1"/>
  <c r="B28563" i="1"/>
  <c r="B28562" i="1"/>
  <c r="B28561" i="1"/>
  <c r="B28560" i="1"/>
  <c r="B28559" i="1"/>
  <c r="B28558" i="1"/>
  <c r="B28557" i="1"/>
  <c r="B28556" i="1"/>
  <c r="B28555" i="1"/>
  <c r="B28554" i="1"/>
  <c r="B28553" i="1"/>
  <c r="B28552" i="1"/>
  <c r="B28551" i="1"/>
  <c r="B28550" i="1"/>
  <c r="B28549" i="1"/>
  <c r="B28548" i="1"/>
  <c r="B28547" i="1"/>
  <c r="B28546" i="1"/>
  <c r="B28545" i="1"/>
  <c r="B28544" i="1"/>
  <c r="B28543" i="1"/>
  <c r="B28542" i="1"/>
  <c r="B28541" i="1"/>
  <c r="B28540" i="1"/>
  <c r="B28539" i="1"/>
  <c r="B28538" i="1"/>
  <c r="B28537" i="1"/>
  <c r="B28536" i="1"/>
  <c r="B28535" i="1"/>
  <c r="B28534" i="1"/>
  <c r="B28533" i="1"/>
  <c r="B28532" i="1"/>
  <c r="B28531" i="1"/>
  <c r="B28530" i="1"/>
  <c r="B28529" i="1"/>
  <c r="B28528" i="1"/>
  <c r="B28527" i="1"/>
  <c r="B28526" i="1"/>
  <c r="B28525" i="1"/>
  <c r="B28524" i="1"/>
  <c r="B28523" i="1"/>
  <c r="B28522" i="1"/>
  <c r="B28521" i="1"/>
  <c r="B28520" i="1"/>
  <c r="B28519" i="1"/>
  <c r="B28518" i="1"/>
  <c r="B28517" i="1"/>
  <c r="B28516" i="1"/>
  <c r="B28515" i="1"/>
  <c r="B28514" i="1"/>
  <c r="B28513" i="1"/>
  <c r="B28512" i="1"/>
  <c r="B28511" i="1"/>
  <c r="B28510" i="1"/>
  <c r="B28509" i="1"/>
  <c r="B28508" i="1"/>
  <c r="B28507" i="1"/>
  <c r="B28506" i="1"/>
  <c r="B28505" i="1"/>
  <c r="B28504" i="1"/>
  <c r="B28503" i="1"/>
  <c r="B28502" i="1"/>
  <c r="B28501" i="1"/>
  <c r="B28500" i="1"/>
  <c r="B28499" i="1"/>
  <c r="B28498" i="1"/>
  <c r="B28497" i="1"/>
  <c r="B28496" i="1"/>
  <c r="B28495" i="1"/>
  <c r="B28494" i="1"/>
  <c r="B28493" i="1"/>
  <c r="B28492" i="1"/>
  <c r="B28491" i="1"/>
  <c r="B28490" i="1"/>
  <c r="B28489" i="1"/>
  <c r="B28488" i="1"/>
  <c r="B28487" i="1"/>
  <c r="B28486" i="1"/>
  <c r="B28485" i="1"/>
  <c r="B28484" i="1"/>
  <c r="B28483" i="1"/>
  <c r="B28482" i="1"/>
  <c r="B28481" i="1"/>
  <c r="B28480" i="1"/>
  <c r="B28479" i="1"/>
  <c r="B28478" i="1"/>
  <c r="B28477" i="1"/>
  <c r="B28476" i="1"/>
  <c r="B28475" i="1"/>
  <c r="B28474" i="1"/>
  <c r="B28473" i="1"/>
  <c r="B28472" i="1"/>
  <c r="B28471" i="1"/>
  <c r="B28470" i="1"/>
  <c r="B28469" i="1"/>
  <c r="B28468" i="1"/>
  <c r="B28467" i="1"/>
  <c r="B28466" i="1"/>
  <c r="B28465" i="1"/>
  <c r="B28464" i="1"/>
  <c r="B28463" i="1"/>
  <c r="B28462" i="1"/>
  <c r="B28461" i="1"/>
  <c r="B28460" i="1"/>
  <c r="B28459" i="1"/>
  <c r="B28458" i="1"/>
  <c r="B28457" i="1"/>
  <c r="B28456" i="1"/>
  <c r="B28455" i="1"/>
  <c r="B28454" i="1"/>
  <c r="B28453" i="1"/>
  <c r="B28452" i="1"/>
  <c r="B28451" i="1"/>
  <c r="B28450" i="1"/>
  <c r="B28449" i="1"/>
  <c r="B28448" i="1"/>
  <c r="B28447" i="1"/>
  <c r="B28446" i="1"/>
  <c r="B28445" i="1"/>
  <c r="B28444" i="1"/>
  <c r="B28443" i="1"/>
  <c r="B28442" i="1"/>
  <c r="B28441" i="1"/>
  <c r="B28440" i="1"/>
  <c r="B28439" i="1"/>
  <c r="B28438" i="1"/>
  <c r="B28437" i="1"/>
  <c r="B28436" i="1"/>
  <c r="B28435" i="1"/>
  <c r="B28434" i="1"/>
  <c r="B28433" i="1"/>
  <c r="B28432" i="1"/>
  <c r="B28431" i="1"/>
  <c r="B28430" i="1"/>
  <c r="B28429" i="1"/>
  <c r="B28428" i="1"/>
  <c r="B28427" i="1"/>
  <c r="B28426" i="1"/>
  <c r="B28425" i="1"/>
  <c r="B28424" i="1"/>
  <c r="B28423" i="1"/>
  <c r="B28422" i="1"/>
  <c r="B28421" i="1"/>
  <c r="B28420" i="1"/>
  <c r="B28419" i="1"/>
  <c r="B28418" i="1"/>
  <c r="B28417" i="1"/>
  <c r="B28416" i="1"/>
  <c r="B28415" i="1"/>
  <c r="B28414" i="1"/>
  <c r="B28413" i="1"/>
  <c r="B28412" i="1"/>
  <c r="B28411" i="1"/>
  <c r="B28410" i="1"/>
  <c r="B28409" i="1"/>
  <c r="B28408" i="1"/>
  <c r="B28407" i="1"/>
  <c r="B28406" i="1"/>
  <c r="B28405" i="1"/>
  <c r="B28404" i="1"/>
  <c r="B28403" i="1"/>
  <c r="B28402" i="1"/>
  <c r="B28401" i="1"/>
  <c r="B28400" i="1"/>
  <c r="B28399" i="1"/>
  <c r="B28398" i="1"/>
  <c r="B28397" i="1"/>
  <c r="B28396" i="1"/>
  <c r="B28395" i="1"/>
  <c r="B28394" i="1"/>
  <c r="B28393" i="1"/>
  <c r="B28392" i="1"/>
  <c r="B28391" i="1"/>
  <c r="B28390" i="1"/>
  <c r="B28389" i="1"/>
  <c r="B28388" i="1"/>
  <c r="B28387" i="1"/>
  <c r="B28386" i="1"/>
  <c r="B28385" i="1"/>
  <c r="B28384" i="1"/>
  <c r="B28383" i="1"/>
  <c r="B28382" i="1"/>
  <c r="B28381" i="1"/>
  <c r="B28380" i="1"/>
  <c r="B28379" i="1"/>
  <c r="B28378" i="1"/>
  <c r="B28377" i="1"/>
  <c r="B28376" i="1"/>
  <c r="B28375" i="1"/>
  <c r="B28374" i="1"/>
  <c r="B28373" i="1"/>
  <c r="B28372" i="1"/>
  <c r="B28371" i="1"/>
  <c r="B28370" i="1"/>
  <c r="B28369" i="1"/>
  <c r="B28368" i="1"/>
  <c r="B28367" i="1"/>
  <c r="B28366" i="1"/>
  <c r="B28365" i="1"/>
  <c r="B28364" i="1"/>
  <c r="B28363" i="1"/>
  <c r="B28362" i="1"/>
  <c r="B28361" i="1"/>
  <c r="B28360" i="1"/>
  <c r="B28359" i="1"/>
  <c r="B28358" i="1"/>
  <c r="B28357" i="1"/>
  <c r="B28356" i="1"/>
  <c r="B28355" i="1"/>
  <c r="B28354" i="1"/>
  <c r="B28353" i="1"/>
  <c r="B28352" i="1"/>
  <c r="B28351" i="1"/>
  <c r="B28350" i="1"/>
  <c r="B28349" i="1"/>
  <c r="B28348" i="1"/>
  <c r="B28347" i="1"/>
  <c r="B28346" i="1"/>
  <c r="B28345" i="1"/>
  <c r="B28344" i="1"/>
  <c r="B28343" i="1"/>
  <c r="B28342" i="1"/>
  <c r="B28341" i="1"/>
  <c r="B28340" i="1"/>
  <c r="B28339" i="1"/>
  <c r="B28338" i="1"/>
  <c r="B28337" i="1"/>
  <c r="B28336" i="1"/>
  <c r="B28335" i="1"/>
  <c r="B28334" i="1"/>
  <c r="B28333" i="1"/>
  <c r="B28332" i="1"/>
  <c r="B28331" i="1"/>
  <c r="B28330" i="1"/>
  <c r="B28329" i="1"/>
  <c r="B28328" i="1"/>
  <c r="B28327" i="1"/>
  <c r="B28326" i="1"/>
  <c r="B28325" i="1"/>
  <c r="B28324" i="1"/>
  <c r="B28323" i="1"/>
  <c r="B28322" i="1"/>
  <c r="B28321" i="1"/>
  <c r="B28320" i="1"/>
  <c r="B28319" i="1"/>
  <c r="B28318" i="1"/>
  <c r="B28317" i="1"/>
  <c r="B28316" i="1"/>
  <c r="B28315" i="1"/>
  <c r="B28314" i="1"/>
  <c r="B28313" i="1"/>
  <c r="B28312" i="1"/>
  <c r="B28311" i="1"/>
  <c r="B28310" i="1"/>
  <c r="B28309" i="1"/>
  <c r="B28308" i="1"/>
  <c r="B28307" i="1"/>
  <c r="B28306" i="1"/>
  <c r="B28305" i="1"/>
  <c r="B28304" i="1"/>
  <c r="B28303" i="1"/>
  <c r="B28302" i="1"/>
  <c r="B28301" i="1"/>
  <c r="B28300" i="1"/>
  <c r="B28299" i="1"/>
  <c r="B28298" i="1"/>
  <c r="B28297" i="1"/>
  <c r="B28296" i="1"/>
  <c r="B28295" i="1"/>
  <c r="B28294" i="1"/>
  <c r="B28293" i="1"/>
  <c r="B28292" i="1"/>
  <c r="B28291" i="1"/>
  <c r="B28290" i="1"/>
  <c r="B28289" i="1"/>
  <c r="B28288" i="1"/>
  <c r="B28287" i="1"/>
  <c r="B28286" i="1"/>
  <c r="B28285" i="1"/>
  <c r="B28284" i="1"/>
  <c r="B28283" i="1"/>
  <c r="B28282" i="1"/>
  <c r="B28281" i="1"/>
  <c r="B28280" i="1"/>
  <c r="B28279" i="1"/>
  <c r="B28278" i="1"/>
  <c r="B28277" i="1"/>
  <c r="B28276" i="1"/>
  <c r="B28275" i="1"/>
  <c r="B28274" i="1"/>
  <c r="B28273" i="1"/>
  <c r="B28272" i="1"/>
  <c r="B28271" i="1"/>
  <c r="B28270" i="1"/>
  <c r="B28269" i="1"/>
  <c r="B28268" i="1"/>
  <c r="B28267" i="1"/>
  <c r="B28266" i="1"/>
  <c r="B28265" i="1"/>
  <c r="B28264" i="1"/>
  <c r="B28263" i="1"/>
  <c r="B28262" i="1"/>
  <c r="B28261" i="1"/>
  <c r="B28260" i="1"/>
  <c r="B28259" i="1"/>
  <c r="B28258" i="1"/>
  <c r="B28257" i="1"/>
  <c r="B28256" i="1"/>
  <c r="B28255" i="1"/>
  <c r="B28254" i="1"/>
  <c r="B28253" i="1"/>
  <c r="B28252" i="1"/>
  <c r="B28251" i="1"/>
  <c r="B28250" i="1"/>
  <c r="B28249" i="1"/>
  <c r="B28248" i="1"/>
  <c r="B28247" i="1"/>
  <c r="B28246" i="1"/>
  <c r="B28245" i="1"/>
  <c r="B28244" i="1"/>
  <c r="B28243" i="1"/>
  <c r="B28242" i="1"/>
  <c r="B28241" i="1"/>
  <c r="B28240" i="1"/>
  <c r="B28239" i="1"/>
  <c r="B28238" i="1"/>
  <c r="B28237" i="1"/>
  <c r="B28236" i="1"/>
  <c r="B28235" i="1"/>
  <c r="B28234" i="1"/>
  <c r="B28233" i="1"/>
  <c r="B28232" i="1"/>
  <c r="B28231" i="1"/>
  <c r="B28230" i="1"/>
  <c r="B28229" i="1"/>
  <c r="B28228" i="1"/>
  <c r="B28227" i="1"/>
  <c r="B28226" i="1"/>
  <c r="B28225" i="1"/>
  <c r="B28224" i="1"/>
  <c r="B28223" i="1"/>
  <c r="B28222" i="1"/>
  <c r="B28221" i="1"/>
  <c r="B28220" i="1"/>
  <c r="B28219" i="1"/>
  <c r="B28218" i="1"/>
  <c r="B28217" i="1"/>
  <c r="B28216" i="1"/>
  <c r="B28215" i="1"/>
  <c r="B28214" i="1"/>
  <c r="B28213" i="1"/>
  <c r="B28212" i="1"/>
  <c r="B28211" i="1"/>
  <c r="B28210" i="1"/>
  <c r="B28209" i="1"/>
  <c r="B28208" i="1"/>
  <c r="B28207" i="1"/>
  <c r="B28206" i="1"/>
  <c r="B28205" i="1"/>
  <c r="B28204" i="1"/>
  <c r="B28203" i="1"/>
  <c r="B28202" i="1"/>
  <c r="B28201" i="1"/>
  <c r="B28200" i="1"/>
  <c r="B28199" i="1"/>
  <c r="B28198" i="1"/>
  <c r="B28197" i="1"/>
  <c r="B28196" i="1"/>
  <c r="B28195" i="1"/>
  <c r="B28194" i="1"/>
  <c r="B28193" i="1"/>
  <c r="B28192" i="1"/>
  <c r="B28191" i="1"/>
  <c r="B28190" i="1"/>
  <c r="B28189" i="1"/>
  <c r="B28188" i="1"/>
  <c r="B28187" i="1"/>
  <c r="B28186" i="1"/>
  <c r="B28185" i="1"/>
  <c r="B28184" i="1"/>
  <c r="B28183" i="1"/>
  <c r="B28182" i="1"/>
  <c r="B28181" i="1"/>
  <c r="B28180" i="1"/>
  <c r="B28179" i="1"/>
  <c r="B28178" i="1"/>
  <c r="B28177" i="1"/>
  <c r="B28176" i="1"/>
  <c r="B28175" i="1"/>
  <c r="B28174" i="1"/>
  <c r="B28173" i="1"/>
  <c r="B28172" i="1"/>
  <c r="B28171" i="1"/>
  <c r="B28170" i="1"/>
  <c r="B28169" i="1"/>
  <c r="B28168" i="1"/>
  <c r="B28167" i="1"/>
  <c r="B28166" i="1"/>
  <c r="B28165" i="1"/>
  <c r="B28164" i="1"/>
  <c r="B28163" i="1"/>
  <c r="B28162" i="1"/>
  <c r="B28161" i="1"/>
  <c r="B28160" i="1"/>
  <c r="B28159" i="1"/>
  <c r="B28158" i="1"/>
  <c r="B28157" i="1"/>
  <c r="B28156" i="1"/>
  <c r="B28155" i="1"/>
  <c r="B28154" i="1"/>
  <c r="B28153" i="1"/>
  <c r="B28152" i="1"/>
  <c r="B28151" i="1"/>
  <c r="B28150" i="1"/>
  <c r="B28149" i="1"/>
  <c r="B28148" i="1"/>
  <c r="B28147" i="1"/>
  <c r="B28146" i="1"/>
  <c r="B28145" i="1"/>
  <c r="B28144" i="1"/>
  <c r="B28143" i="1"/>
  <c r="B28142" i="1"/>
  <c r="B28141" i="1"/>
  <c r="B28140" i="1"/>
  <c r="B28139" i="1"/>
  <c r="B28138" i="1"/>
  <c r="B28137" i="1"/>
  <c r="B28136" i="1"/>
  <c r="B28135" i="1"/>
  <c r="B28134" i="1"/>
  <c r="B28133" i="1"/>
  <c r="B28132" i="1"/>
  <c r="B28131" i="1"/>
  <c r="B28130" i="1"/>
  <c r="B28129" i="1"/>
  <c r="B28128" i="1"/>
  <c r="B28127" i="1"/>
  <c r="B28126" i="1"/>
  <c r="B28125" i="1"/>
  <c r="B28124" i="1"/>
  <c r="B28123" i="1"/>
  <c r="B28122" i="1"/>
  <c r="B28121" i="1"/>
  <c r="B28120" i="1"/>
  <c r="B28119" i="1"/>
  <c r="B28118" i="1"/>
  <c r="B28117" i="1"/>
  <c r="B28116" i="1"/>
  <c r="B28115" i="1"/>
  <c r="B28114" i="1"/>
  <c r="B28113" i="1"/>
  <c r="B28112" i="1"/>
  <c r="B28111" i="1"/>
  <c r="B28110" i="1"/>
  <c r="B28109" i="1"/>
  <c r="B28108" i="1"/>
  <c r="B28107" i="1"/>
  <c r="B28106" i="1"/>
  <c r="B28105" i="1"/>
  <c r="B28104" i="1"/>
  <c r="B28103" i="1"/>
  <c r="B28102" i="1"/>
  <c r="B28101" i="1"/>
  <c r="B28100" i="1"/>
  <c r="B28099" i="1"/>
  <c r="B28098" i="1"/>
  <c r="B28097" i="1"/>
  <c r="B28096" i="1"/>
  <c r="B28095" i="1"/>
  <c r="B28094" i="1"/>
  <c r="B28093" i="1"/>
  <c r="B28092" i="1"/>
  <c r="B28091" i="1"/>
  <c r="B28090" i="1"/>
  <c r="B28089" i="1"/>
  <c r="B28088" i="1"/>
  <c r="B28087" i="1"/>
  <c r="B28086" i="1"/>
  <c r="B28085" i="1"/>
  <c r="B28084" i="1"/>
  <c r="B28083" i="1"/>
  <c r="B28082" i="1"/>
  <c r="B28081" i="1"/>
  <c r="B28080" i="1"/>
  <c r="B28079" i="1"/>
  <c r="B28078" i="1"/>
  <c r="B28077" i="1"/>
  <c r="B28076" i="1"/>
  <c r="B28075" i="1"/>
  <c r="B28074" i="1"/>
  <c r="B28073" i="1"/>
  <c r="B28072" i="1"/>
  <c r="B28071" i="1"/>
  <c r="B28070" i="1"/>
  <c r="B28069" i="1"/>
  <c r="B28068" i="1"/>
  <c r="B28067" i="1"/>
  <c r="B28066" i="1"/>
  <c r="B28065" i="1"/>
  <c r="B28064" i="1"/>
  <c r="B28063" i="1"/>
  <c r="B28062" i="1"/>
  <c r="B28061" i="1"/>
  <c r="B28060" i="1"/>
  <c r="B28059" i="1"/>
  <c r="B28058" i="1"/>
  <c r="B28057" i="1"/>
  <c r="B28056" i="1"/>
  <c r="B28055" i="1"/>
  <c r="B28054" i="1"/>
  <c r="B28053" i="1"/>
  <c r="B28052" i="1"/>
  <c r="B28051" i="1"/>
  <c r="B28050" i="1"/>
  <c r="B28049" i="1"/>
  <c r="B28048" i="1"/>
  <c r="B28047" i="1"/>
  <c r="B28046" i="1"/>
  <c r="B28045" i="1"/>
  <c r="B28044" i="1"/>
  <c r="B28043" i="1"/>
  <c r="B28042" i="1"/>
  <c r="B28041" i="1"/>
  <c r="B28040" i="1"/>
  <c r="B28039" i="1"/>
  <c r="B28038" i="1"/>
  <c r="B28037" i="1"/>
  <c r="B28036" i="1"/>
  <c r="B28035" i="1"/>
  <c r="B28034" i="1"/>
  <c r="B28033" i="1"/>
  <c r="B28032" i="1"/>
  <c r="B28031" i="1"/>
  <c r="B28030" i="1"/>
  <c r="B28029" i="1"/>
  <c r="B28028" i="1"/>
  <c r="B28027" i="1"/>
  <c r="B28026" i="1"/>
  <c r="B28025" i="1"/>
  <c r="B28024" i="1"/>
  <c r="B28023" i="1"/>
  <c r="B28022" i="1"/>
  <c r="B28021" i="1"/>
  <c r="B28020" i="1"/>
  <c r="B28019" i="1"/>
  <c r="B28018" i="1"/>
  <c r="B28017" i="1"/>
  <c r="B28016" i="1"/>
  <c r="B28015" i="1"/>
  <c r="B28014" i="1"/>
  <c r="B28013" i="1"/>
  <c r="B28012" i="1"/>
  <c r="B28011" i="1"/>
  <c r="B28010" i="1"/>
  <c r="B28009" i="1"/>
  <c r="B28008" i="1"/>
  <c r="B28007" i="1"/>
  <c r="B28006" i="1"/>
  <c r="B28005" i="1"/>
  <c r="B28004" i="1"/>
  <c r="B28003" i="1"/>
  <c r="B28002" i="1"/>
  <c r="B28001" i="1"/>
  <c r="B28000" i="1"/>
  <c r="B27999" i="1"/>
  <c r="B27998" i="1"/>
  <c r="B27997" i="1"/>
  <c r="B27996" i="1"/>
  <c r="B27995" i="1"/>
  <c r="B27994" i="1"/>
  <c r="B27993" i="1"/>
  <c r="B27992" i="1"/>
  <c r="B27991" i="1"/>
  <c r="B27990" i="1"/>
  <c r="B27989" i="1"/>
  <c r="B27988" i="1"/>
  <c r="B27987" i="1"/>
  <c r="B27986" i="1"/>
  <c r="B27985" i="1"/>
  <c r="B27984" i="1"/>
  <c r="B27983" i="1"/>
  <c r="B27982" i="1"/>
  <c r="B27981" i="1"/>
  <c r="B27980" i="1"/>
  <c r="B27979" i="1"/>
  <c r="B27978" i="1"/>
  <c r="B27977" i="1"/>
  <c r="B27976" i="1"/>
  <c r="B27975" i="1"/>
  <c r="B27974" i="1"/>
  <c r="B27973" i="1"/>
  <c r="B27972" i="1"/>
  <c r="B27971" i="1"/>
  <c r="B27970" i="1"/>
  <c r="B27969" i="1"/>
  <c r="B27968" i="1"/>
  <c r="B27967" i="1"/>
  <c r="B27966" i="1"/>
  <c r="B27965" i="1"/>
  <c r="B27964" i="1"/>
  <c r="B27963" i="1"/>
  <c r="B27962" i="1"/>
  <c r="B27961" i="1"/>
  <c r="B27960" i="1"/>
  <c r="B27959" i="1"/>
  <c r="B27958" i="1"/>
  <c r="B27957" i="1"/>
  <c r="B27956" i="1"/>
  <c r="B27955" i="1"/>
  <c r="B27954" i="1"/>
  <c r="B27953" i="1"/>
  <c r="B27952" i="1"/>
  <c r="B27951" i="1"/>
  <c r="B27950" i="1"/>
  <c r="B27949" i="1"/>
  <c r="B27948" i="1"/>
  <c r="B27947" i="1"/>
  <c r="B27946" i="1"/>
  <c r="B27945" i="1"/>
  <c r="B27944" i="1"/>
  <c r="B27943" i="1"/>
  <c r="B27942" i="1"/>
  <c r="B27941" i="1"/>
  <c r="B27940" i="1"/>
  <c r="B27939" i="1"/>
  <c r="B27938" i="1"/>
  <c r="B27937" i="1"/>
  <c r="B27936" i="1"/>
  <c r="B27935" i="1"/>
  <c r="B27934" i="1"/>
  <c r="B27933" i="1"/>
  <c r="B27932" i="1"/>
  <c r="B27931" i="1"/>
  <c r="B27930" i="1"/>
  <c r="B27929" i="1"/>
  <c r="B27928" i="1"/>
  <c r="B27927" i="1"/>
  <c r="B27926" i="1"/>
  <c r="B27925" i="1"/>
  <c r="B27924" i="1"/>
  <c r="B27923" i="1"/>
  <c r="B27922" i="1"/>
  <c r="B27921" i="1"/>
  <c r="B27920" i="1"/>
  <c r="B27919" i="1"/>
  <c r="B27918" i="1"/>
  <c r="B27917" i="1"/>
  <c r="B27916" i="1"/>
  <c r="B27915" i="1"/>
  <c r="B27914" i="1"/>
  <c r="B27913" i="1"/>
  <c r="B27912" i="1"/>
  <c r="B27911" i="1"/>
  <c r="B27910" i="1"/>
  <c r="B27909" i="1"/>
  <c r="B27908" i="1"/>
  <c r="B27907" i="1"/>
  <c r="B27906" i="1"/>
  <c r="B27905" i="1"/>
  <c r="B27904" i="1"/>
  <c r="B27903" i="1"/>
  <c r="B27902" i="1"/>
  <c r="B27901" i="1"/>
  <c r="B27900" i="1"/>
  <c r="B27899" i="1"/>
  <c r="B27898" i="1"/>
  <c r="B27897" i="1"/>
  <c r="B27896" i="1"/>
  <c r="B27895" i="1"/>
  <c r="B27894" i="1"/>
  <c r="B27893" i="1"/>
  <c r="B27892" i="1"/>
  <c r="B27891" i="1"/>
  <c r="B27890" i="1"/>
  <c r="B27889" i="1"/>
  <c r="B27888" i="1"/>
  <c r="B27887" i="1"/>
  <c r="B27886" i="1"/>
  <c r="B27885" i="1"/>
  <c r="B27884" i="1"/>
  <c r="B27883" i="1"/>
  <c r="B27882" i="1"/>
  <c r="B27881" i="1"/>
  <c r="B27880" i="1"/>
  <c r="B27879" i="1"/>
  <c r="B27878" i="1"/>
  <c r="B27877" i="1"/>
  <c r="B27876" i="1"/>
  <c r="B27875" i="1"/>
  <c r="B27874" i="1"/>
  <c r="B27873" i="1"/>
  <c r="B27872" i="1"/>
  <c r="B27871" i="1"/>
  <c r="B27870" i="1"/>
  <c r="B27869" i="1"/>
  <c r="B27868" i="1"/>
  <c r="B27867" i="1"/>
  <c r="B27866" i="1"/>
  <c r="B27865" i="1"/>
  <c r="B27864" i="1"/>
  <c r="B27863" i="1"/>
  <c r="B27862" i="1"/>
  <c r="B27861" i="1"/>
  <c r="B27860" i="1"/>
  <c r="B27859" i="1"/>
  <c r="B27858" i="1"/>
  <c r="B27857" i="1"/>
  <c r="B27856" i="1"/>
  <c r="B27855" i="1"/>
  <c r="B27854" i="1"/>
  <c r="B27853" i="1"/>
  <c r="B27852" i="1"/>
  <c r="B27851" i="1"/>
  <c r="B27850" i="1"/>
  <c r="B27849" i="1"/>
  <c r="B27848" i="1"/>
  <c r="B27847" i="1"/>
  <c r="B27846" i="1"/>
  <c r="B27845" i="1"/>
  <c r="B27844" i="1"/>
  <c r="B27843" i="1"/>
  <c r="B27842" i="1"/>
  <c r="B27841" i="1"/>
  <c r="B27840" i="1"/>
  <c r="B27839" i="1"/>
  <c r="B27838" i="1"/>
  <c r="B27837" i="1"/>
  <c r="B27836" i="1"/>
  <c r="B27835" i="1"/>
  <c r="B27834" i="1"/>
  <c r="B27833" i="1"/>
  <c r="B27832" i="1"/>
  <c r="B27831" i="1"/>
  <c r="B27830" i="1"/>
  <c r="B27829" i="1"/>
  <c r="B27828" i="1"/>
  <c r="B27827" i="1"/>
  <c r="B27826" i="1"/>
  <c r="B27825" i="1"/>
  <c r="B27824" i="1"/>
  <c r="B27823" i="1"/>
  <c r="B27822" i="1"/>
  <c r="B27821" i="1"/>
  <c r="B27820" i="1"/>
  <c r="B27819" i="1"/>
  <c r="B27818" i="1"/>
  <c r="B27817" i="1"/>
  <c r="B27816" i="1"/>
  <c r="B27815" i="1"/>
  <c r="B27814" i="1"/>
  <c r="B27813" i="1"/>
  <c r="B27812" i="1"/>
  <c r="B27811" i="1"/>
  <c r="B27810" i="1"/>
  <c r="B27809" i="1"/>
  <c r="B27808" i="1"/>
  <c r="B27807" i="1"/>
  <c r="B27806" i="1"/>
  <c r="B27805" i="1"/>
  <c r="B27804" i="1"/>
  <c r="B27803" i="1"/>
  <c r="B27802" i="1"/>
  <c r="B27801" i="1"/>
  <c r="B27800" i="1"/>
  <c r="B27799" i="1"/>
  <c r="B27798" i="1"/>
  <c r="B27797" i="1"/>
  <c r="B27796" i="1"/>
  <c r="B27795" i="1"/>
  <c r="B27794" i="1"/>
  <c r="B27793" i="1"/>
  <c r="B27792" i="1"/>
  <c r="B27791" i="1"/>
  <c r="B27790" i="1"/>
  <c r="B27789" i="1"/>
  <c r="B27788" i="1"/>
  <c r="B27787" i="1"/>
  <c r="B27786" i="1"/>
  <c r="B27785" i="1"/>
  <c r="B27784" i="1"/>
  <c r="B27783" i="1"/>
  <c r="B27782" i="1"/>
  <c r="B27781" i="1"/>
  <c r="B27780" i="1"/>
  <c r="B27779" i="1"/>
  <c r="B27778" i="1"/>
  <c r="B27777" i="1"/>
  <c r="B27776" i="1"/>
  <c r="B27775" i="1"/>
  <c r="B27774" i="1"/>
  <c r="B27773" i="1"/>
  <c r="B27772" i="1"/>
  <c r="B27771" i="1"/>
  <c r="B27770" i="1"/>
  <c r="B27769" i="1"/>
  <c r="B27768" i="1"/>
  <c r="B27767" i="1"/>
  <c r="B27766" i="1"/>
  <c r="B27765" i="1"/>
  <c r="B27764" i="1"/>
  <c r="B27763" i="1"/>
  <c r="B27762" i="1"/>
  <c r="B27761" i="1"/>
  <c r="B27760" i="1"/>
  <c r="B27759" i="1"/>
  <c r="B27758" i="1"/>
  <c r="B27757" i="1"/>
  <c r="B27756" i="1"/>
  <c r="B27755" i="1"/>
  <c r="B27754" i="1"/>
  <c r="B27753" i="1"/>
  <c r="B27752" i="1"/>
  <c r="B27751" i="1"/>
  <c r="B27750" i="1"/>
  <c r="B27749" i="1"/>
  <c r="B27748" i="1"/>
  <c r="B27747" i="1"/>
  <c r="B27746" i="1"/>
  <c r="B27745" i="1"/>
  <c r="B27744" i="1"/>
  <c r="B27743" i="1"/>
  <c r="B27742" i="1"/>
  <c r="B27741" i="1"/>
  <c r="B27740" i="1"/>
  <c r="B27739" i="1"/>
  <c r="B27738" i="1"/>
  <c r="B27737" i="1"/>
  <c r="B27736" i="1"/>
  <c r="B27735" i="1"/>
  <c r="B27734" i="1"/>
  <c r="B27733" i="1"/>
  <c r="B27732" i="1"/>
  <c r="B27731" i="1"/>
  <c r="B27730" i="1"/>
  <c r="B27729" i="1"/>
  <c r="B27728" i="1"/>
  <c r="B27727" i="1"/>
  <c r="B27726" i="1"/>
  <c r="B27725" i="1"/>
  <c r="B27724" i="1"/>
  <c r="B27723" i="1"/>
  <c r="B27722" i="1"/>
  <c r="B27721" i="1"/>
  <c r="B27720" i="1"/>
  <c r="B27719" i="1"/>
  <c r="B27718" i="1"/>
  <c r="B27717" i="1"/>
  <c r="B27716" i="1"/>
  <c r="B27715" i="1"/>
  <c r="B27714" i="1"/>
  <c r="B27713" i="1"/>
  <c r="B27712" i="1"/>
  <c r="B27711" i="1"/>
  <c r="B27710" i="1"/>
  <c r="B27709" i="1"/>
  <c r="B27708" i="1"/>
  <c r="B27707" i="1"/>
  <c r="B27706" i="1"/>
  <c r="B27705" i="1"/>
  <c r="B27704" i="1"/>
  <c r="B27703" i="1"/>
  <c r="B27702" i="1"/>
  <c r="B27701" i="1"/>
  <c r="B27700" i="1"/>
  <c r="B27699" i="1"/>
  <c r="B27698" i="1"/>
  <c r="B27697" i="1"/>
  <c r="B27696" i="1"/>
  <c r="B27695" i="1"/>
  <c r="B27694" i="1"/>
  <c r="B27693" i="1"/>
  <c r="B27692" i="1"/>
  <c r="B27691" i="1"/>
  <c r="B27690" i="1"/>
  <c r="B27689" i="1"/>
  <c r="B27688" i="1"/>
  <c r="B27687" i="1"/>
  <c r="B27686" i="1"/>
  <c r="B27685" i="1"/>
  <c r="B27684" i="1"/>
  <c r="B27683" i="1"/>
  <c r="B27682" i="1"/>
  <c r="B27681" i="1"/>
  <c r="B27680" i="1"/>
  <c r="B27679" i="1"/>
  <c r="B27678" i="1"/>
  <c r="B27677" i="1"/>
  <c r="B27676" i="1"/>
  <c r="B27675" i="1"/>
  <c r="B27674" i="1"/>
  <c r="B27673" i="1"/>
  <c r="B27672" i="1"/>
  <c r="B27671" i="1"/>
  <c r="B27670" i="1"/>
  <c r="B27669" i="1"/>
  <c r="B27668" i="1"/>
  <c r="B27667" i="1"/>
  <c r="B27666" i="1"/>
  <c r="B27665" i="1"/>
  <c r="B27664" i="1"/>
  <c r="B27663" i="1"/>
  <c r="B27662" i="1"/>
  <c r="B27661" i="1"/>
  <c r="B27660" i="1"/>
  <c r="B27659" i="1"/>
  <c r="B27658" i="1"/>
  <c r="B27657" i="1"/>
  <c r="B27656" i="1"/>
  <c r="B27655" i="1"/>
  <c r="B27654" i="1"/>
  <c r="B27653" i="1"/>
  <c r="B27652" i="1"/>
  <c r="B27651" i="1"/>
  <c r="B27650" i="1"/>
  <c r="B27649" i="1"/>
  <c r="B27648" i="1"/>
  <c r="B27647" i="1"/>
  <c r="B27646" i="1"/>
  <c r="B27645" i="1"/>
  <c r="B27644" i="1"/>
  <c r="B27643" i="1"/>
  <c r="B27642" i="1"/>
  <c r="B27641" i="1"/>
  <c r="B27640" i="1"/>
  <c r="B27639" i="1"/>
  <c r="B27638" i="1"/>
  <c r="B27637" i="1"/>
  <c r="B27636" i="1"/>
  <c r="B27635" i="1"/>
  <c r="B27634" i="1"/>
  <c r="B27633" i="1"/>
  <c r="B27632" i="1"/>
  <c r="B27631" i="1"/>
  <c r="B27630" i="1"/>
  <c r="B27629" i="1"/>
  <c r="B27628" i="1"/>
  <c r="B27627" i="1"/>
  <c r="B27626" i="1"/>
  <c r="B27625" i="1"/>
  <c r="B27624" i="1"/>
  <c r="B27623" i="1"/>
  <c r="B27622" i="1"/>
  <c r="B27621" i="1"/>
  <c r="B27620" i="1"/>
  <c r="B27619" i="1"/>
  <c r="B27618" i="1"/>
  <c r="B27617" i="1"/>
  <c r="B27616" i="1"/>
  <c r="B27615" i="1"/>
  <c r="B27614" i="1"/>
  <c r="B27613" i="1"/>
  <c r="B27612" i="1"/>
  <c r="B27611" i="1"/>
  <c r="B27610" i="1"/>
  <c r="B27609" i="1"/>
  <c r="B27608" i="1"/>
  <c r="B27607" i="1"/>
  <c r="B27606" i="1"/>
  <c r="B27605" i="1"/>
  <c r="B27604" i="1"/>
  <c r="B27603" i="1"/>
  <c r="B27602" i="1"/>
  <c r="B27601" i="1"/>
  <c r="B27600" i="1"/>
  <c r="B27599" i="1"/>
  <c r="B27598" i="1"/>
  <c r="B27597" i="1"/>
  <c r="B27596" i="1"/>
  <c r="B27595" i="1"/>
  <c r="B27594" i="1"/>
  <c r="B27593" i="1"/>
  <c r="B27592" i="1"/>
  <c r="B27591" i="1"/>
  <c r="B27590" i="1"/>
  <c r="B27589" i="1"/>
  <c r="B27588" i="1"/>
  <c r="B27587" i="1"/>
  <c r="B27586" i="1"/>
  <c r="B27585" i="1"/>
  <c r="B27584" i="1"/>
  <c r="B27583" i="1"/>
  <c r="B27582" i="1"/>
  <c r="B27581" i="1"/>
  <c r="B27580" i="1"/>
  <c r="B27579" i="1"/>
  <c r="B27578" i="1"/>
  <c r="B27577" i="1"/>
  <c r="B27576" i="1"/>
  <c r="B27575" i="1"/>
  <c r="B27574" i="1"/>
  <c r="B27573" i="1"/>
  <c r="B27572" i="1"/>
  <c r="B27571" i="1"/>
  <c r="B27570" i="1"/>
  <c r="B27569" i="1"/>
  <c r="B27568" i="1"/>
  <c r="B27567" i="1"/>
  <c r="B27566" i="1"/>
  <c r="B27565" i="1"/>
  <c r="B27564" i="1"/>
  <c r="B27563" i="1"/>
  <c r="B27562" i="1"/>
  <c r="B27561" i="1"/>
  <c r="B27560" i="1"/>
  <c r="B27559" i="1"/>
  <c r="B27558" i="1"/>
  <c r="B27557" i="1"/>
  <c r="B27556" i="1"/>
  <c r="B27555" i="1"/>
  <c r="B27554" i="1"/>
  <c r="B27553" i="1"/>
  <c r="B27552" i="1"/>
  <c r="B27551" i="1"/>
  <c r="B27550" i="1"/>
  <c r="B27549" i="1"/>
  <c r="B27548" i="1"/>
  <c r="B27547" i="1"/>
  <c r="B27546" i="1"/>
  <c r="B27545" i="1"/>
  <c r="B27544" i="1"/>
  <c r="B27543" i="1"/>
  <c r="B27542" i="1"/>
  <c r="B27541" i="1"/>
  <c r="B27540" i="1"/>
  <c r="B27539" i="1"/>
  <c r="B27538" i="1"/>
  <c r="B27537" i="1"/>
  <c r="B27536" i="1"/>
  <c r="B27535" i="1"/>
  <c r="B27534" i="1"/>
  <c r="B27533" i="1"/>
  <c r="B27532" i="1"/>
  <c r="B27531" i="1"/>
  <c r="B27530" i="1"/>
  <c r="B27529" i="1"/>
  <c r="B27528" i="1"/>
  <c r="B27527" i="1"/>
  <c r="B27526" i="1"/>
  <c r="B27525" i="1"/>
  <c r="B27524" i="1"/>
  <c r="B27523" i="1"/>
  <c r="B27522" i="1"/>
  <c r="B27521" i="1"/>
  <c r="B27520" i="1"/>
  <c r="B27519" i="1"/>
  <c r="B27518" i="1"/>
  <c r="B27517" i="1"/>
  <c r="B27516" i="1"/>
  <c r="B27515" i="1"/>
  <c r="B27514" i="1"/>
  <c r="B27513" i="1"/>
  <c r="B27512" i="1"/>
  <c r="B27511" i="1"/>
  <c r="B27510" i="1"/>
  <c r="B27509" i="1"/>
  <c r="B27508" i="1"/>
  <c r="B27507" i="1"/>
  <c r="B27506" i="1"/>
  <c r="B27505" i="1"/>
  <c r="B27504" i="1"/>
  <c r="B27503" i="1"/>
  <c r="B27502" i="1"/>
  <c r="B27501" i="1"/>
  <c r="B27500" i="1"/>
  <c r="B27499" i="1"/>
  <c r="B27498" i="1"/>
  <c r="B27497" i="1"/>
  <c r="B27496" i="1"/>
  <c r="B27495" i="1"/>
  <c r="B27494" i="1"/>
  <c r="B27493" i="1"/>
  <c r="B27492" i="1"/>
  <c r="B27491" i="1"/>
  <c r="B27490" i="1"/>
  <c r="B27489" i="1"/>
  <c r="B27488" i="1"/>
  <c r="B27487" i="1"/>
  <c r="B27486" i="1"/>
  <c r="B27485" i="1"/>
  <c r="B27484" i="1"/>
  <c r="B27483" i="1"/>
  <c r="B27482" i="1"/>
  <c r="B27481" i="1"/>
  <c r="B27480" i="1"/>
  <c r="B27479" i="1"/>
  <c r="B27478" i="1"/>
  <c r="B27477" i="1"/>
  <c r="B27476" i="1"/>
  <c r="B27475" i="1"/>
  <c r="B27474" i="1"/>
  <c r="B27473" i="1"/>
  <c r="B27472" i="1"/>
  <c r="B27471" i="1"/>
  <c r="B27470" i="1"/>
  <c r="B27469" i="1"/>
  <c r="B27468" i="1"/>
  <c r="B27467" i="1"/>
  <c r="B27466" i="1"/>
  <c r="B27465" i="1"/>
  <c r="B27464" i="1"/>
  <c r="B27463" i="1"/>
  <c r="B27462" i="1"/>
  <c r="B27461" i="1"/>
  <c r="B27460" i="1"/>
  <c r="B27459" i="1"/>
  <c r="B27458" i="1"/>
  <c r="B27457" i="1"/>
  <c r="B27456" i="1"/>
  <c r="B27455" i="1"/>
  <c r="B27454" i="1"/>
  <c r="B27453" i="1"/>
  <c r="B27452" i="1"/>
  <c r="B27451" i="1"/>
  <c r="B27450" i="1"/>
  <c r="B27449" i="1"/>
  <c r="B27448" i="1"/>
  <c r="B27447" i="1"/>
  <c r="B27446" i="1"/>
  <c r="B27445" i="1"/>
  <c r="B27444" i="1"/>
  <c r="B27443" i="1"/>
  <c r="B27442" i="1"/>
  <c r="B27441" i="1"/>
  <c r="B27440" i="1"/>
  <c r="B27439" i="1"/>
  <c r="B27438" i="1"/>
  <c r="B27437" i="1"/>
  <c r="B27436" i="1"/>
  <c r="B27435" i="1"/>
  <c r="B27434" i="1"/>
  <c r="B27433" i="1"/>
  <c r="B27432" i="1"/>
  <c r="B27431" i="1"/>
  <c r="B27430" i="1"/>
  <c r="B27429" i="1"/>
  <c r="B27428" i="1"/>
  <c r="B27427" i="1"/>
  <c r="B27426" i="1"/>
  <c r="B27425" i="1"/>
  <c r="B27424" i="1"/>
  <c r="B27423" i="1"/>
  <c r="B27422" i="1"/>
  <c r="B27421" i="1"/>
  <c r="B27420" i="1"/>
  <c r="B27419" i="1"/>
  <c r="B27418" i="1"/>
  <c r="B27417" i="1"/>
  <c r="B27416" i="1"/>
  <c r="B27415" i="1"/>
  <c r="B27414" i="1"/>
  <c r="B27413" i="1"/>
  <c r="B27412" i="1"/>
  <c r="B27411" i="1"/>
  <c r="B27410" i="1"/>
  <c r="B27409" i="1"/>
  <c r="B27408" i="1"/>
  <c r="B27407" i="1"/>
  <c r="B27406" i="1"/>
  <c r="B27405" i="1"/>
  <c r="B27404" i="1"/>
  <c r="B27403" i="1"/>
  <c r="B27402" i="1"/>
  <c r="B27401" i="1"/>
  <c r="B27400" i="1"/>
  <c r="B27399" i="1"/>
  <c r="B27398" i="1"/>
  <c r="B27397" i="1"/>
  <c r="B27396" i="1"/>
  <c r="B27395" i="1"/>
  <c r="B27394" i="1"/>
  <c r="B27393" i="1"/>
  <c r="B27392" i="1"/>
  <c r="B27391" i="1"/>
  <c r="B27390" i="1"/>
  <c r="B27389" i="1"/>
  <c r="B27388" i="1"/>
  <c r="B27387" i="1"/>
  <c r="B27386" i="1"/>
  <c r="B27385" i="1"/>
  <c r="B27384" i="1"/>
  <c r="B27383" i="1"/>
  <c r="B27382" i="1"/>
  <c r="B27381" i="1"/>
  <c r="B27380" i="1"/>
  <c r="B27379" i="1"/>
  <c r="B27378" i="1"/>
  <c r="B27377" i="1"/>
  <c r="B27376" i="1"/>
  <c r="B27375" i="1"/>
  <c r="B27374" i="1"/>
  <c r="B27373" i="1"/>
  <c r="B27372" i="1"/>
  <c r="B27371" i="1"/>
  <c r="B27370" i="1"/>
  <c r="B27369" i="1"/>
  <c r="B27368" i="1"/>
  <c r="B27367" i="1"/>
  <c r="B27366" i="1"/>
  <c r="B27365" i="1"/>
  <c r="B27364" i="1"/>
  <c r="B27363" i="1"/>
  <c r="B27362" i="1"/>
  <c r="B27361" i="1"/>
  <c r="B27360" i="1"/>
  <c r="B27359" i="1"/>
  <c r="B27358" i="1"/>
  <c r="B27357" i="1"/>
  <c r="B27356" i="1"/>
  <c r="B27355" i="1"/>
  <c r="B27354" i="1"/>
  <c r="B27353" i="1"/>
  <c r="B27352" i="1"/>
  <c r="B27351" i="1"/>
  <c r="B27350" i="1"/>
  <c r="B27349" i="1"/>
  <c r="B27348" i="1"/>
  <c r="B27347" i="1"/>
  <c r="B27346" i="1"/>
  <c r="B27345" i="1"/>
  <c r="B27344" i="1"/>
  <c r="B27343" i="1"/>
  <c r="B27342" i="1"/>
  <c r="B27341" i="1"/>
  <c r="B27340" i="1"/>
  <c r="B27339" i="1"/>
  <c r="B27338" i="1"/>
  <c r="B27337" i="1"/>
  <c r="B27336" i="1"/>
  <c r="B27335" i="1"/>
  <c r="B27334" i="1"/>
  <c r="B27333" i="1"/>
  <c r="B27332" i="1"/>
  <c r="B27331" i="1"/>
  <c r="B27330" i="1"/>
  <c r="B27329" i="1"/>
  <c r="B27328" i="1"/>
  <c r="B27327" i="1"/>
  <c r="B27326" i="1"/>
  <c r="B27325" i="1"/>
  <c r="B27324" i="1"/>
  <c r="B27323" i="1"/>
  <c r="B27322" i="1"/>
  <c r="B27321" i="1"/>
  <c r="B27320" i="1"/>
  <c r="B27319" i="1"/>
  <c r="B27318" i="1"/>
  <c r="B27317" i="1"/>
  <c r="B27316" i="1"/>
  <c r="B27315" i="1"/>
  <c r="B27314" i="1"/>
  <c r="B27313" i="1"/>
  <c r="B27312" i="1"/>
  <c r="B27311" i="1"/>
  <c r="B27310" i="1"/>
  <c r="B27309" i="1"/>
  <c r="B27308" i="1"/>
  <c r="B27307" i="1"/>
  <c r="B27306" i="1"/>
  <c r="B27305" i="1"/>
  <c r="B27304" i="1"/>
  <c r="B27303" i="1"/>
  <c r="B27302" i="1"/>
  <c r="B27301" i="1"/>
  <c r="B27300" i="1"/>
  <c r="B27299" i="1"/>
  <c r="B27298" i="1"/>
  <c r="B27297" i="1"/>
  <c r="B27296" i="1"/>
  <c r="B27295" i="1"/>
  <c r="B27294" i="1"/>
  <c r="B27293" i="1"/>
  <c r="B27292" i="1"/>
  <c r="B27291" i="1"/>
  <c r="B27290" i="1"/>
  <c r="B27289" i="1"/>
  <c r="B27288" i="1"/>
  <c r="B27287" i="1"/>
  <c r="B27286" i="1"/>
  <c r="B27285" i="1"/>
  <c r="B27284" i="1"/>
  <c r="B27283" i="1"/>
  <c r="B27282" i="1"/>
  <c r="B27281" i="1"/>
  <c r="B27280" i="1"/>
  <c r="B27279" i="1"/>
  <c r="B27278" i="1"/>
  <c r="B27277" i="1"/>
  <c r="B27276" i="1"/>
  <c r="B27275" i="1"/>
  <c r="B27274" i="1"/>
  <c r="B27273" i="1"/>
  <c r="B27272" i="1"/>
  <c r="B27271" i="1"/>
  <c r="B27270" i="1"/>
  <c r="B27269" i="1"/>
  <c r="B27268" i="1"/>
  <c r="B27267" i="1"/>
  <c r="B27266" i="1"/>
  <c r="B27265" i="1"/>
  <c r="B27264" i="1"/>
  <c r="B27263" i="1"/>
  <c r="B27262" i="1"/>
  <c r="B27261" i="1"/>
  <c r="B27260" i="1"/>
  <c r="B27259" i="1"/>
  <c r="B27258" i="1"/>
  <c r="B27257" i="1"/>
  <c r="B27256" i="1"/>
  <c r="B27255" i="1"/>
  <c r="B27254" i="1"/>
  <c r="B27253" i="1"/>
  <c r="B27252" i="1"/>
  <c r="B27251" i="1"/>
  <c r="B27250" i="1"/>
  <c r="B27249" i="1"/>
  <c r="B27248" i="1"/>
  <c r="B27247" i="1"/>
  <c r="B27246" i="1"/>
  <c r="B27245" i="1"/>
  <c r="B27244" i="1"/>
  <c r="B27243" i="1"/>
  <c r="B27242" i="1"/>
  <c r="B27241" i="1"/>
  <c r="B27240" i="1"/>
  <c r="B27239" i="1"/>
  <c r="B27238" i="1"/>
  <c r="B27237" i="1"/>
  <c r="B27236" i="1"/>
  <c r="B27235" i="1"/>
  <c r="B27234" i="1"/>
  <c r="B27233" i="1"/>
  <c r="B27232" i="1"/>
  <c r="B27231" i="1"/>
  <c r="B27230" i="1"/>
  <c r="B27229" i="1"/>
  <c r="B27228" i="1"/>
  <c r="B27227" i="1"/>
  <c r="B27226" i="1"/>
  <c r="B27225" i="1"/>
  <c r="B27224" i="1"/>
  <c r="B27223" i="1"/>
  <c r="B27222" i="1"/>
  <c r="B27221" i="1"/>
  <c r="B27220" i="1"/>
  <c r="B27219" i="1"/>
  <c r="B27218" i="1"/>
  <c r="B27217" i="1"/>
  <c r="B27216" i="1"/>
  <c r="B27215" i="1"/>
  <c r="B27214" i="1"/>
  <c r="B27213" i="1"/>
  <c r="B27212" i="1"/>
  <c r="B27211" i="1"/>
  <c r="B27210" i="1"/>
  <c r="B27209" i="1"/>
  <c r="B27208" i="1"/>
  <c r="B27207" i="1"/>
  <c r="B27206" i="1"/>
  <c r="B27205" i="1"/>
  <c r="B27204" i="1"/>
  <c r="B27203" i="1"/>
  <c r="B27202" i="1"/>
  <c r="B27201" i="1"/>
  <c r="B27200" i="1"/>
  <c r="B27199" i="1"/>
  <c r="B27198" i="1"/>
  <c r="B27197" i="1"/>
  <c r="B27196" i="1"/>
  <c r="B27195" i="1"/>
  <c r="B27194" i="1"/>
  <c r="B27193" i="1"/>
  <c r="B27192" i="1"/>
  <c r="B27191" i="1"/>
  <c r="B27190" i="1"/>
  <c r="B27189" i="1"/>
  <c r="B27188" i="1"/>
  <c r="B27187" i="1"/>
  <c r="B27186" i="1"/>
  <c r="B27185" i="1"/>
  <c r="B27184" i="1"/>
  <c r="B27183" i="1"/>
  <c r="B27182" i="1"/>
  <c r="B27181" i="1"/>
  <c r="B27180" i="1"/>
  <c r="B27179" i="1"/>
  <c r="B27178" i="1"/>
  <c r="B27177" i="1"/>
  <c r="B27176" i="1"/>
  <c r="B27175" i="1"/>
  <c r="B27174" i="1"/>
  <c r="B27173" i="1"/>
  <c r="B27172" i="1"/>
  <c r="B27171" i="1"/>
  <c r="B27170" i="1"/>
  <c r="B27169" i="1"/>
  <c r="B27168" i="1"/>
  <c r="B27167" i="1"/>
  <c r="B27166" i="1"/>
  <c r="B27165" i="1"/>
  <c r="B27164" i="1"/>
  <c r="B27163" i="1"/>
  <c r="B27162" i="1"/>
  <c r="B27161" i="1"/>
  <c r="B27160" i="1"/>
  <c r="B27159" i="1"/>
  <c r="B27158" i="1"/>
  <c r="B27157" i="1"/>
  <c r="B27156" i="1"/>
  <c r="B27155" i="1"/>
  <c r="B27154" i="1"/>
  <c r="B27153" i="1"/>
  <c r="B27152" i="1"/>
  <c r="B27151" i="1"/>
  <c r="B27150" i="1"/>
  <c r="B27149" i="1"/>
  <c r="B27148" i="1"/>
  <c r="B27147" i="1"/>
  <c r="B27146" i="1"/>
  <c r="B27145" i="1"/>
  <c r="B27144" i="1"/>
  <c r="B27143" i="1"/>
  <c r="B27142" i="1"/>
  <c r="B27141" i="1"/>
  <c r="B27140" i="1"/>
  <c r="B27139" i="1"/>
  <c r="B27138" i="1"/>
  <c r="B27137" i="1"/>
  <c r="B27136" i="1"/>
  <c r="B27135" i="1"/>
  <c r="B27134" i="1"/>
  <c r="B27133" i="1"/>
  <c r="B27132" i="1"/>
  <c r="B27131" i="1"/>
  <c r="B27130" i="1"/>
  <c r="B27129" i="1"/>
  <c r="B27128" i="1"/>
  <c r="B27127" i="1"/>
  <c r="B27126" i="1"/>
  <c r="B27125" i="1"/>
  <c r="B27124" i="1"/>
  <c r="B27123" i="1"/>
  <c r="B27122" i="1"/>
  <c r="B27121" i="1"/>
  <c r="B27120" i="1"/>
  <c r="B27119" i="1"/>
  <c r="B27118" i="1"/>
  <c r="B27117" i="1"/>
  <c r="B27116" i="1"/>
  <c r="B27115" i="1"/>
  <c r="B27114" i="1"/>
  <c r="B27113" i="1"/>
  <c r="B27112" i="1"/>
  <c r="B27111" i="1"/>
  <c r="B27110" i="1"/>
  <c r="B27109" i="1"/>
  <c r="B27108" i="1"/>
  <c r="B27107" i="1"/>
  <c r="B27106" i="1"/>
  <c r="B27105" i="1"/>
  <c r="B27104" i="1"/>
  <c r="B27103" i="1"/>
  <c r="B27102" i="1"/>
  <c r="B27101" i="1"/>
  <c r="B27100" i="1"/>
  <c r="B27099" i="1"/>
  <c r="B27098" i="1"/>
  <c r="B27097" i="1"/>
  <c r="B27096" i="1"/>
  <c r="B27095" i="1"/>
  <c r="B27094" i="1"/>
  <c r="B27093" i="1"/>
  <c r="B27092" i="1"/>
  <c r="B27091" i="1"/>
  <c r="B27090" i="1"/>
  <c r="B27089" i="1"/>
  <c r="B27088" i="1"/>
  <c r="B27087" i="1"/>
  <c r="B27086" i="1"/>
  <c r="B27085" i="1"/>
  <c r="B27084" i="1"/>
  <c r="B27083" i="1"/>
  <c r="B27082" i="1"/>
  <c r="B27081" i="1"/>
  <c r="B27080" i="1"/>
  <c r="B27079" i="1"/>
  <c r="B27078" i="1"/>
  <c r="B27077" i="1"/>
  <c r="B27076" i="1"/>
  <c r="B27075" i="1"/>
  <c r="B27074" i="1"/>
  <c r="B27073" i="1"/>
  <c r="B27072" i="1"/>
  <c r="B27071" i="1"/>
  <c r="B27070" i="1"/>
  <c r="B27069" i="1"/>
  <c r="B27068" i="1"/>
  <c r="B27067" i="1"/>
  <c r="B27066" i="1"/>
  <c r="B27065" i="1"/>
  <c r="B27064" i="1"/>
  <c r="B27063" i="1"/>
  <c r="B27062" i="1"/>
  <c r="B27061" i="1"/>
  <c r="B27060" i="1"/>
  <c r="B27059" i="1"/>
  <c r="B27058" i="1"/>
  <c r="B27057" i="1"/>
  <c r="B27056" i="1"/>
  <c r="B27055" i="1"/>
  <c r="B27054" i="1"/>
  <c r="B27053" i="1"/>
  <c r="B27052" i="1"/>
  <c r="B27051" i="1"/>
  <c r="B27050" i="1"/>
  <c r="B27049" i="1"/>
  <c r="B27048" i="1"/>
  <c r="B27047" i="1"/>
  <c r="B27046" i="1"/>
  <c r="B27045" i="1"/>
  <c r="B27044" i="1"/>
  <c r="B27043" i="1"/>
  <c r="B27042" i="1"/>
  <c r="B27041" i="1"/>
  <c r="B27040" i="1"/>
  <c r="B27039" i="1"/>
  <c r="B27038" i="1"/>
  <c r="B27037" i="1"/>
  <c r="B27036" i="1"/>
  <c r="B27035" i="1"/>
  <c r="B27034" i="1"/>
  <c r="B27033" i="1"/>
  <c r="B27032" i="1"/>
  <c r="B27031" i="1"/>
  <c r="B27030" i="1"/>
  <c r="B27029" i="1"/>
  <c r="B27028" i="1"/>
  <c r="B27027" i="1"/>
  <c r="B27026" i="1"/>
  <c r="B27025" i="1"/>
  <c r="B27024" i="1"/>
  <c r="B27023" i="1"/>
  <c r="B27022" i="1"/>
  <c r="B27021" i="1"/>
  <c r="B27020" i="1"/>
  <c r="B27019" i="1"/>
  <c r="B27018" i="1"/>
  <c r="B27017" i="1"/>
  <c r="B27016" i="1"/>
  <c r="B27015" i="1"/>
  <c r="B27014" i="1"/>
  <c r="B27013" i="1"/>
  <c r="B27012" i="1"/>
  <c r="B27011" i="1"/>
  <c r="B27010" i="1"/>
  <c r="B27009" i="1"/>
  <c r="B27008" i="1"/>
  <c r="B27007" i="1"/>
  <c r="B27006" i="1"/>
  <c r="B27005" i="1"/>
  <c r="B27004" i="1"/>
  <c r="B27003" i="1"/>
  <c r="B27002" i="1"/>
  <c r="B27001" i="1"/>
  <c r="B27000" i="1"/>
  <c r="B26999" i="1"/>
  <c r="B26998" i="1"/>
  <c r="B26997" i="1"/>
  <c r="B26996" i="1"/>
  <c r="B26995" i="1"/>
  <c r="B26994" i="1"/>
  <c r="B26993" i="1"/>
  <c r="B26992" i="1"/>
  <c r="B26991" i="1"/>
  <c r="B26990" i="1"/>
  <c r="B26989" i="1"/>
  <c r="B26988" i="1"/>
  <c r="B26987" i="1"/>
  <c r="B26986" i="1"/>
  <c r="B26985" i="1"/>
  <c r="B26984" i="1"/>
  <c r="B26983" i="1"/>
  <c r="B26982" i="1"/>
  <c r="B26981" i="1"/>
  <c r="B26980" i="1"/>
  <c r="B26979" i="1"/>
  <c r="B26978" i="1"/>
  <c r="B26977" i="1"/>
  <c r="B26976" i="1"/>
  <c r="B26975" i="1"/>
  <c r="B26974" i="1"/>
  <c r="B26973" i="1"/>
  <c r="B26972" i="1"/>
  <c r="B26971" i="1"/>
  <c r="B26970" i="1"/>
  <c r="B26969" i="1"/>
  <c r="B26968" i="1"/>
  <c r="B26967" i="1"/>
  <c r="B26966" i="1"/>
  <c r="B26965" i="1"/>
  <c r="B26964" i="1"/>
  <c r="B26963" i="1"/>
  <c r="B26962" i="1"/>
  <c r="B26961" i="1"/>
  <c r="B26960" i="1"/>
  <c r="B26959" i="1"/>
  <c r="B26958" i="1"/>
  <c r="B26957" i="1"/>
  <c r="B26956" i="1"/>
  <c r="B26955" i="1"/>
  <c r="B26954" i="1"/>
  <c r="B26953" i="1"/>
  <c r="B26952" i="1"/>
  <c r="B26951" i="1"/>
  <c r="B26950" i="1"/>
  <c r="B26949" i="1"/>
  <c r="B26948" i="1"/>
  <c r="B26947" i="1"/>
  <c r="B26946" i="1"/>
  <c r="B26945" i="1"/>
  <c r="B26944" i="1"/>
  <c r="B26943" i="1"/>
  <c r="B26942" i="1"/>
  <c r="B26941" i="1"/>
  <c r="B26940" i="1"/>
  <c r="B26939" i="1"/>
  <c r="B26938" i="1"/>
  <c r="B26937" i="1"/>
  <c r="B26936" i="1"/>
  <c r="B26935" i="1"/>
  <c r="B26934" i="1"/>
  <c r="B26933" i="1"/>
  <c r="B26932" i="1"/>
  <c r="B26931" i="1"/>
  <c r="B26930" i="1"/>
  <c r="B26929" i="1"/>
  <c r="B26928" i="1"/>
  <c r="B26927" i="1"/>
  <c r="B26926" i="1"/>
  <c r="B26925" i="1"/>
  <c r="B26924" i="1"/>
  <c r="B26923" i="1"/>
  <c r="B26922" i="1"/>
  <c r="B26921" i="1"/>
  <c r="B26920" i="1"/>
  <c r="B26919" i="1"/>
  <c r="B26918" i="1"/>
  <c r="B26917" i="1"/>
  <c r="B26916" i="1"/>
  <c r="B26915" i="1"/>
  <c r="B26914" i="1"/>
  <c r="B26913" i="1"/>
  <c r="B26912" i="1"/>
  <c r="B26911" i="1"/>
  <c r="B26910" i="1"/>
  <c r="B26909" i="1"/>
  <c r="B26908" i="1"/>
  <c r="B26907" i="1"/>
  <c r="B26906" i="1"/>
  <c r="B26905" i="1"/>
  <c r="B26904" i="1"/>
  <c r="B26903" i="1"/>
  <c r="B26902" i="1"/>
  <c r="B26901" i="1"/>
  <c r="B26900" i="1"/>
  <c r="B26899" i="1"/>
  <c r="B26898" i="1"/>
  <c r="B26897" i="1"/>
  <c r="B26896" i="1"/>
  <c r="B26895" i="1"/>
  <c r="B26894" i="1"/>
  <c r="B26893" i="1"/>
  <c r="B26892" i="1"/>
  <c r="B26891" i="1"/>
  <c r="B26890" i="1"/>
  <c r="B26889" i="1"/>
  <c r="B26888" i="1"/>
  <c r="B26887" i="1"/>
  <c r="B26886" i="1"/>
  <c r="B26885" i="1"/>
  <c r="B26884" i="1"/>
  <c r="B26883" i="1"/>
  <c r="B26882" i="1"/>
  <c r="B26881" i="1"/>
  <c r="B26880" i="1"/>
  <c r="B26879" i="1"/>
  <c r="B26878" i="1"/>
  <c r="B26877" i="1"/>
  <c r="B26876" i="1"/>
  <c r="B26875" i="1"/>
  <c r="B26874" i="1"/>
  <c r="B26873" i="1"/>
  <c r="B26872" i="1"/>
  <c r="B26871" i="1"/>
  <c r="B26870" i="1"/>
  <c r="B26869" i="1"/>
  <c r="B26868" i="1"/>
  <c r="B26867" i="1"/>
  <c r="B26866" i="1"/>
  <c r="B26865" i="1"/>
  <c r="B26864" i="1"/>
  <c r="B26863" i="1"/>
  <c r="B26862" i="1"/>
  <c r="B26861" i="1"/>
  <c r="B26860" i="1"/>
  <c r="B26859" i="1"/>
  <c r="B26858" i="1"/>
  <c r="B26857" i="1"/>
  <c r="B26856" i="1"/>
  <c r="B26855" i="1"/>
  <c r="B26854" i="1"/>
  <c r="B26853" i="1"/>
  <c r="B26852" i="1"/>
  <c r="B26851" i="1"/>
  <c r="B26850" i="1"/>
  <c r="B26849" i="1"/>
  <c r="B26848" i="1"/>
  <c r="B26847" i="1"/>
  <c r="B26846" i="1"/>
  <c r="B26845" i="1"/>
  <c r="B26844" i="1"/>
  <c r="B26843" i="1"/>
  <c r="B26842" i="1"/>
  <c r="B26841" i="1"/>
  <c r="B26840" i="1"/>
  <c r="B26839" i="1"/>
  <c r="B26838" i="1"/>
  <c r="B26837" i="1"/>
  <c r="B26836" i="1"/>
  <c r="B26835" i="1"/>
  <c r="B26834" i="1"/>
  <c r="B26833" i="1"/>
  <c r="B26832" i="1"/>
  <c r="B26831" i="1"/>
  <c r="B26830" i="1"/>
  <c r="B26829" i="1"/>
  <c r="B26828" i="1"/>
  <c r="B26827" i="1"/>
  <c r="B26826" i="1"/>
  <c r="B26825" i="1"/>
  <c r="B26824" i="1"/>
  <c r="B26823" i="1"/>
  <c r="B26822" i="1"/>
  <c r="B26821" i="1"/>
  <c r="B26820" i="1"/>
  <c r="B26819" i="1"/>
  <c r="B26818" i="1"/>
  <c r="B26817" i="1"/>
  <c r="B26816" i="1"/>
  <c r="B26815" i="1"/>
  <c r="B26814" i="1"/>
  <c r="B26813" i="1"/>
  <c r="B26812" i="1"/>
  <c r="B26811" i="1"/>
  <c r="B26810" i="1"/>
  <c r="B26809" i="1"/>
  <c r="B26808" i="1"/>
  <c r="B26807" i="1"/>
  <c r="B26806" i="1"/>
  <c r="B26805" i="1"/>
  <c r="B26804" i="1"/>
  <c r="B26803" i="1"/>
  <c r="B26802" i="1"/>
  <c r="B26801" i="1"/>
  <c r="B26800" i="1"/>
  <c r="B26799" i="1"/>
  <c r="B26798" i="1"/>
  <c r="B26797" i="1"/>
  <c r="B26796" i="1"/>
  <c r="B26795" i="1"/>
  <c r="B26794" i="1"/>
  <c r="B26793" i="1"/>
  <c r="B26792" i="1"/>
  <c r="B26791" i="1"/>
  <c r="B26790" i="1"/>
  <c r="B26789" i="1"/>
  <c r="B26788" i="1"/>
  <c r="B26787" i="1"/>
  <c r="B26786" i="1"/>
  <c r="B26785" i="1"/>
  <c r="B26784" i="1"/>
  <c r="B26783" i="1"/>
  <c r="B26782" i="1"/>
  <c r="B26781" i="1"/>
  <c r="B26780" i="1"/>
  <c r="B26779" i="1"/>
  <c r="B26778" i="1"/>
  <c r="B26777" i="1"/>
  <c r="B26776" i="1"/>
  <c r="B26775" i="1"/>
  <c r="B26774" i="1"/>
  <c r="B26773" i="1"/>
  <c r="B26772" i="1"/>
  <c r="B26771" i="1"/>
  <c r="B26770" i="1"/>
  <c r="B26769" i="1"/>
  <c r="B26768" i="1"/>
  <c r="B26767" i="1"/>
  <c r="B26766" i="1"/>
  <c r="B26765" i="1"/>
  <c r="B26764" i="1"/>
  <c r="B26763" i="1"/>
  <c r="B26762" i="1"/>
  <c r="B26761" i="1"/>
  <c r="B26760" i="1"/>
  <c r="B26759" i="1"/>
  <c r="B26758" i="1"/>
  <c r="B26757" i="1"/>
  <c r="B26756" i="1"/>
  <c r="B26755" i="1"/>
  <c r="B26754" i="1"/>
  <c r="B26753" i="1"/>
  <c r="B26752" i="1"/>
  <c r="B26751" i="1"/>
  <c r="B26750" i="1"/>
  <c r="B26749" i="1"/>
  <c r="B26748" i="1"/>
  <c r="B26747" i="1"/>
  <c r="B26746" i="1"/>
  <c r="B26745" i="1"/>
  <c r="B26744" i="1"/>
  <c r="B26743" i="1"/>
  <c r="B26742" i="1"/>
  <c r="B26741" i="1"/>
  <c r="B26740" i="1"/>
  <c r="B26739" i="1"/>
  <c r="B26738" i="1"/>
  <c r="B26737" i="1"/>
  <c r="B26736" i="1"/>
  <c r="B26735" i="1"/>
  <c r="B26734" i="1"/>
  <c r="B26733" i="1"/>
  <c r="B26732" i="1"/>
  <c r="B26731" i="1"/>
  <c r="B26730" i="1"/>
  <c r="B26729" i="1"/>
  <c r="B26728" i="1"/>
  <c r="B26727" i="1"/>
  <c r="B26726" i="1"/>
  <c r="B26725" i="1"/>
  <c r="B26724" i="1"/>
  <c r="B26723" i="1"/>
  <c r="B26722" i="1"/>
  <c r="B26721" i="1"/>
  <c r="B26720" i="1"/>
  <c r="B26719" i="1"/>
  <c r="B26718" i="1"/>
  <c r="B26717" i="1"/>
  <c r="B26716" i="1"/>
  <c r="B26715" i="1"/>
  <c r="B26714" i="1"/>
  <c r="B26713" i="1"/>
  <c r="B26712" i="1"/>
  <c r="B26711" i="1"/>
  <c r="B26710" i="1"/>
  <c r="B26709" i="1"/>
  <c r="B26708" i="1"/>
  <c r="B26707" i="1"/>
  <c r="B26706" i="1"/>
  <c r="B26705" i="1"/>
  <c r="B26704" i="1"/>
  <c r="B26703" i="1"/>
  <c r="B26702" i="1"/>
  <c r="B26701" i="1"/>
  <c r="B26700" i="1"/>
  <c r="B26699" i="1"/>
  <c r="B26698" i="1"/>
  <c r="B26697" i="1"/>
  <c r="B26696" i="1"/>
  <c r="B26695" i="1"/>
  <c r="B26694" i="1"/>
  <c r="B26693" i="1"/>
  <c r="B26692" i="1"/>
  <c r="B26691" i="1"/>
  <c r="B26690" i="1"/>
  <c r="B26689" i="1"/>
  <c r="B26688" i="1"/>
  <c r="B26687" i="1"/>
  <c r="B26686" i="1"/>
  <c r="B26685" i="1"/>
  <c r="B26684" i="1"/>
  <c r="B26683" i="1"/>
  <c r="B26682" i="1"/>
  <c r="B26681" i="1"/>
  <c r="B26680" i="1"/>
  <c r="B26679" i="1"/>
  <c r="B26678" i="1"/>
  <c r="B26677" i="1"/>
  <c r="B26676" i="1"/>
  <c r="B26675" i="1"/>
  <c r="B26674" i="1"/>
  <c r="B26673" i="1"/>
  <c r="B26672" i="1"/>
  <c r="B26671" i="1"/>
  <c r="B26670" i="1"/>
  <c r="B26669" i="1"/>
  <c r="B26668" i="1"/>
  <c r="B26667" i="1"/>
  <c r="B26666" i="1"/>
  <c r="B26665" i="1"/>
  <c r="B26664" i="1"/>
  <c r="B26663" i="1"/>
  <c r="B26662" i="1"/>
  <c r="B26661" i="1"/>
  <c r="B26660" i="1"/>
  <c r="B26659" i="1"/>
  <c r="B26658" i="1"/>
  <c r="B26657" i="1"/>
  <c r="B26656" i="1"/>
  <c r="B26655" i="1"/>
  <c r="B26654" i="1"/>
  <c r="B26653" i="1"/>
  <c r="B26652" i="1"/>
  <c r="B26651" i="1"/>
  <c r="B26650" i="1"/>
  <c r="B26649" i="1"/>
  <c r="B26648" i="1"/>
  <c r="B26647" i="1"/>
  <c r="B26646" i="1"/>
  <c r="B26645" i="1"/>
  <c r="B26644" i="1"/>
  <c r="B26643" i="1"/>
  <c r="B26642" i="1"/>
  <c r="B26641" i="1"/>
  <c r="B26640" i="1"/>
  <c r="B26639" i="1"/>
  <c r="B26638" i="1"/>
  <c r="B26637" i="1"/>
  <c r="B26636" i="1"/>
  <c r="B26635" i="1"/>
  <c r="B26634" i="1"/>
  <c r="B26633" i="1"/>
  <c r="B26632" i="1"/>
  <c r="B26631" i="1"/>
  <c r="B26630" i="1"/>
  <c r="B26629" i="1"/>
  <c r="B26628" i="1"/>
  <c r="B26627" i="1"/>
  <c r="B26626" i="1"/>
  <c r="B26625" i="1"/>
  <c r="B26624" i="1"/>
  <c r="B26623" i="1"/>
  <c r="B26622" i="1"/>
  <c r="B26621" i="1"/>
  <c r="B26620" i="1"/>
  <c r="B26619" i="1"/>
  <c r="B26618" i="1"/>
  <c r="B26617" i="1"/>
  <c r="B26616" i="1"/>
  <c r="B26615" i="1"/>
  <c r="B26614" i="1"/>
  <c r="B26613" i="1"/>
  <c r="B26612" i="1"/>
  <c r="B26611" i="1"/>
  <c r="B26610" i="1"/>
  <c r="B26609" i="1"/>
  <c r="B26608" i="1"/>
  <c r="B26607" i="1"/>
  <c r="B26606" i="1"/>
  <c r="B26605" i="1"/>
  <c r="B26604" i="1"/>
  <c r="B26603" i="1"/>
  <c r="B26602" i="1"/>
  <c r="B26601" i="1"/>
  <c r="B26600" i="1"/>
  <c r="B26599" i="1"/>
  <c r="B26598" i="1"/>
  <c r="B26597" i="1"/>
  <c r="B26596" i="1"/>
  <c r="B26595" i="1"/>
  <c r="B26594" i="1"/>
  <c r="B26593" i="1"/>
  <c r="B26592" i="1"/>
  <c r="B26591" i="1"/>
  <c r="B26590" i="1"/>
  <c r="B26589" i="1"/>
  <c r="B26588" i="1"/>
  <c r="B26587" i="1"/>
  <c r="B26586" i="1"/>
  <c r="B26585" i="1"/>
  <c r="B26584" i="1"/>
  <c r="B26583" i="1"/>
  <c r="B26582" i="1"/>
  <c r="B26581" i="1"/>
  <c r="B26580" i="1"/>
  <c r="B26579" i="1"/>
  <c r="B26578" i="1"/>
  <c r="B26577" i="1"/>
  <c r="B26576" i="1"/>
  <c r="B26575" i="1"/>
  <c r="B26574" i="1"/>
  <c r="B26573" i="1"/>
  <c r="B26572" i="1"/>
  <c r="B26571" i="1"/>
  <c r="B26570" i="1"/>
  <c r="B26569" i="1"/>
  <c r="B26568" i="1"/>
  <c r="B26567" i="1"/>
  <c r="B26566" i="1"/>
  <c r="B26565" i="1"/>
  <c r="B26564" i="1"/>
  <c r="B26563" i="1"/>
  <c r="B26562" i="1"/>
  <c r="B26561" i="1"/>
  <c r="B26560" i="1"/>
  <c r="B26559" i="1"/>
  <c r="B26558" i="1"/>
  <c r="B26557" i="1"/>
  <c r="B26556" i="1"/>
  <c r="B26555" i="1"/>
  <c r="B26554" i="1"/>
  <c r="B26553" i="1"/>
  <c r="B26552" i="1"/>
  <c r="B26551" i="1"/>
  <c r="B26550" i="1"/>
  <c r="B26549" i="1"/>
  <c r="B26548" i="1"/>
  <c r="B26547" i="1"/>
  <c r="B26546" i="1"/>
  <c r="B26545" i="1"/>
  <c r="B26544" i="1"/>
  <c r="B26543" i="1"/>
  <c r="B26542" i="1"/>
  <c r="B26541" i="1"/>
  <c r="B26540" i="1"/>
  <c r="B26539" i="1"/>
  <c r="B26538" i="1"/>
  <c r="B26537" i="1"/>
  <c r="B26536" i="1"/>
  <c r="B26535" i="1"/>
  <c r="B26534" i="1"/>
  <c r="B26533" i="1"/>
  <c r="B26532" i="1"/>
  <c r="B26531" i="1"/>
  <c r="B26530" i="1"/>
  <c r="B26529" i="1"/>
  <c r="B26528" i="1"/>
  <c r="B26527" i="1"/>
  <c r="B26526" i="1"/>
  <c r="B26525" i="1"/>
  <c r="B26524" i="1"/>
  <c r="B26523" i="1"/>
  <c r="B26522" i="1"/>
  <c r="B26521" i="1"/>
  <c r="B26520" i="1"/>
  <c r="B26519" i="1"/>
  <c r="B26518" i="1"/>
  <c r="B26517" i="1"/>
  <c r="B26516" i="1"/>
  <c r="B26515" i="1"/>
  <c r="B26514" i="1"/>
  <c r="B26513" i="1"/>
  <c r="B26512" i="1"/>
  <c r="B26511" i="1"/>
  <c r="B26510" i="1"/>
  <c r="B26509" i="1"/>
  <c r="B26508" i="1"/>
  <c r="B26507" i="1"/>
  <c r="B26506" i="1"/>
  <c r="B26505" i="1"/>
  <c r="B26504" i="1"/>
  <c r="B26503" i="1"/>
  <c r="B26502" i="1"/>
  <c r="B26501" i="1"/>
  <c r="B26500" i="1"/>
  <c r="B26499" i="1"/>
  <c r="B26498" i="1"/>
  <c r="B26497" i="1"/>
  <c r="B26496" i="1"/>
  <c r="B26495" i="1"/>
  <c r="B26494" i="1"/>
  <c r="B26493" i="1"/>
  <c r="B26492" i="1"/>
  <c r="B26491" i="1"/>
  <c r="B26490" i="1"/>
  <c r="B26489" i="1"/>
  <c r="B26488" i="1"/>
  <c r="B26487" i="1"/>
  <c r="B26486" i="1"/>
  <c r="B26485" i="1"/>
  <c r="B26484" i="1"/>
  <c r="B26483" i="1"/>
  <c r="B26482" i="1"/>
  <c r="B26481" i="1"/>
  <c r="B26480" i="1"/>
  <c r="B26479" i="1"/>
  <c r="B26478" i="1"/>
  <c r="B26477" i="1"/>
  <c r="B26476" i="1"/>
  <c r="B26475" i="1"/>
  <c r="B26474" i="1"/>
  <c r="B26473" i="1"/>
  <c r="B26472" i="1"/>
  <c r="B26471" i="1"/>
  <c r="B26470" i="1"/>
  <c r="B26469" i="1"/>
  <c r="B26468" i="1"/>
  <c r="B26467" i="1"/>
  <c r="B26466" i="1"/>
  <c r="B26465" i="1"/>
  <c r="B26464" i="1"/>
  <c r="B26463" i="1"/>
  <c r="B26462" i="1"/>
  <c r="B26461" i="1"/>
  <c r="B26460" i="1"/>
  <c r="B26459" i="1"/>
  <c r="B26458" i="1"/>
  <c r="B26457" i="1"/>
  <c r="B26456" i="1"/>
  <c r="B26455" i="1"/>
  <c r="B26454" i="1"/>
  <c r="B26453" i="1"/>
  <c r="B26452" i="1"/>
  <c r="B26451" i="1"/>
  <c r="B26450" i="1"/>
  <c r="B26449" i="1"/>
  <c r="B26448" i="1"/>
  <c r="B26447" i="1"/>
  <c r="B26446" i="1"/>
  <c r="B26445" i="1"/>
  <c r="B26444" i="1"/>
  <c r="B26443" i="1"/>
  <c r="B26442" i="1"/>
  <c r="B26441" i="1"/>
  <c r="B26440" i="1"/>
  <c r="B26439" i="1"/>
  <c r="B26438" i="1"/>
  <c r="B26437" i="1"/>
  <c r="B26436" i="1"/>
  <c r="B26435" i="1"/>
  <c r="B26434" i="1"/>
  <c r="B26433" i="1"/>
  <c r="B26432" i="1"/>
  <c r="B26431" i="1"/>
  <c r="B26430" i="1"/>
  <c r="B26429" i="1"/>
  <c r="B26428" i="1"/>
  <c r="B26427" i="1"/>
  <c r="B26426" i="1"/>
  <c r="B26425" i="1"/>
  <c r="B26424" i="1"/>
  <c r="B26423" i="1"/>
  <c r="B26422" i="1"/>
  <c r="B26421" i="1"/>
  <c r="B26420" i="1"/>
  <c r="B26419" i="1"/>
  <c r="B26418" i="1"/>
  <c r="B26417" i="1"/>
  <c r="B26416" i="1"/>
  <c r="B26415" i="1"/>
  <c r="B26414" i="1"/>
  <c r="B26413" i="1"/>
  <c r="B26412" i="1"/>
  <c r="B26411" i="1"/>
  <c r="B26410" i="1"/>
  <c r="B26409" i="1"/>
  <c r="B26408" i="1"/>
  <c r="B26407" i="1"/>
  <c r="B26406" i="1"/>
  <c r="B26405" i="1"/>
  <c r="B26404" i="1"/>
  <c r="B26403" i="1"/>
  <c r="B26402" i="1"/>
  <c r="B26401" i="1"/>
  <c r="B26400" i="1"/>
  <c r="B26399" i="1"/>
  <c r="B26398" i="1"/>
  <c r="B26397" i="1"/>
  <c r="B26396" i="1"/>
  <c r="B26395" i="1"/>
  <c r="B26394" i="1"/>
  <c r="B26393" i="1"/>
  <c r="B26392" i="1"/>
  <c r="B26391" i="1"/>
  <c r="B26390" i="1"/>
  <c r="B26389" i="1"/>
  <c r="B26388" i="1"/>
  <c r="B26387" i="1"/>
  <c r="B26386" i="1"/>
  <c r="B26385" i="1"/>
  <c r="B26384" i="1"/>
  <c r="B26383" i="1"/>
  <c r="B26382" i="1"/>
  <c r="B26381" i="1"/>
  <c r="B26380" i="1"/>
  <c r="B26379" i="1"/>
  <c r="B26378" i="1"/>
  <c r="B26377" i="1"/>
  <c r="B26376" i="1"/>
  <c r="B26375" i="1"/>
  <c r="B26374" i="1"/>
  <c r="B26373" i="1"/>
  <c r="B26372" i="1"/>
  <c r="B26371" i="1"/>
  <c r="B26370" i="1"/>
  <c r="B26369" i="1"/>
  <c r="B26368" i="1"/>
  <c r="B26367" i="1"/>
  <c r="B26366" i="1"/>
  <c r="B26365" i="1"/>
  <c r="B26364" i="1"/>
  <c r="B26363" i="1"/>
  <c r="B26362" i="1"/>
  <c r="B26361" i="1"/>
  <c r="B26360" i="1"/>
  <c r="B26359" i="1"/>
  <c r="B26358" i="1"/>
  <c r="B26357" i="1"/>
  <c r="B26356" i="1"/>
  <c r="B26355" i="1"/>
  <c r="B26354" i="1"/>
  <c r="B26353" i="1"/>
  <c r="B26352" i="1"/>
  <c r="B26351" i="1"/>
  <c r="B26350" i="1"/>
  <c r="B26349" i="1"/>
  <c r="B26348" i="1"/>
  <c r="B26347" i="1"/>
  <c r="B26346" i="1"/>
  <c r="B26345" i="1"/>
  <c r="B26344" i="1"/>
  <c r="B26343" i="1"/>
  <c r="B26342" i="1"/>
  <c r="B26341" i="1"/>
  <c r="B26340" i="1"/>
  <c r="B26339" i="1"/>
  <c r="B26338" i="1"/>
  <c r="B26337" i="1"/>
  <c r="B26336" i="1"/>
  <c r="B26335" i="1"/>
  <c r="B26334" i="1"/>
  <c r="B26333" i="1"/>
  <c r="B26332" i="1"/>
  <c r="B26331" i="1"/>
  <c r="B26330" i="1"/>
  <c r="B26329" i="1"/>
  <c r="B26328" i="1"/>
  <c r="B26327" i="1"/>
  <c r="B26326" i="1"/>
  <c r="B26325" i="1"/>
  <c r="B26324" i="1"/>
  <c r="B26323" i="1"/>
  <c r="B26322" i="1"/>
  <c r="B26321" i="1"/>
  <c r="B26320" i="1"/>
  <c r="B26319" i="1"/>
  <c r="B26318" i="1"/>
  <c r="B26317" i="1"/>
  <c r="B26316" i="1"/>
  <c r="B26315" i="1"/>
  <c r="B26314" i="1"/>
  <c r="B26313" i="1"/>
  <c r="B26312" i="1"/>
  <c r="B26311" i="1"/>
  <c r="B26310" i="1"/>
  <c r="B26309" i="1"/>
  <c r="B26308" i="1"/>
  <c r="B26307" i="1"/>
  <c r="B26306" i="1"/>
  <c r="B26305" i="1"/>
  <c r="B26304" i="1"/>
  <c r="B26303" i="1"/>
  <c r="B26302" i="1"/>
  <c r="B26301" i="1"/>
  <c r="B26300" i="1"/>
  <c r="B26299" i="1"/>
  <c r="B26298" i="1"/>
  <c r="B26297" i="1"/>
  <c r="B26296" i="1"/>
  <c r="B26295" i="1"/>
  <c r="B26294" i="1"/>
  <c r="B26293" i="1"/>
  <c r="B26292" i="1"/>
  <c r="B26291" i="1"/>
  <c r="B26290" i="1"/>
  <c r="B26289" i="1"/>
  <c r="B26288" i="1"/>
  <c r="B26287" i="1"/>
  <c r="B26286" i="1"/>
  <c r="B26285" i="1"/>
  <c r="B26284" i="1"/>
  <c r="B26283" i="1"/>
  <c r="B26282" i="1"/>
  <c r="B26281" i="1"/>
  <c r="B26280" i="1"/>
  <c r="B26279" i="1"/>
  <c r="B26278" i="1"/>
  <c r="B26277" i="1"/>
  <c r="B26276" i="1"/>
  <c r="B26275" i="1"/>
  <c r="B26274" i="1"/>
  <c r="B26273" i="1"/>
  <c r="B26272" i="1"/>
  <c r="B26271" i="1"/>
  <c r="B26270" i="1"/>
  <c r="B26269" i="1"/>
  <c r="B26268" i="1"/>
  <c r="B26267" i="1"/>
  <c r="B26266" i="1"/>
  <c r="B26265" i="1"/>
  <c r="B26264" i="1"/>
  <c r="B26263" i="1"/>
  <c r="B26262" i="1"/>
  <c r="B26261" i="1"/>
  <c r="B26260" i="1"/>
  <c r="B26259" i="1"/>
  <c r="B26258" i="1"/>
  <c r="B26257" i="1"/>
  <c r="B26256" i="1"/>
  <c r="B26255" i="1"/>
  <c r="B26254" i="1"/>
  <c r="B26253" i="1"/>
  <c r="B26252" i="1"/>
  <c r="B26251" i="1"/>
  <c r="B26250" i="1"/>
  <c r="B26249" i="1"/>
  <c r="B26248" i="1"/>
  <c r="B26247" i="1"/>
  <c r="B26246" i="1"/>
  <c r="B26245" i="1"/>
  <c r="B26244" i="1"/>
  <c r="B26243" i="1"/>
  <c r="B26242" i="1"/>
  <c r="B26241" i="1"/>
  <c r="B26240" i="1"/>
  <c r="B26239" i="1"/>
  <c r="B26238" i="1"/>
  <c r="B26237" i="1"/>
  <c r="B26236" i="1"/>
  <c r="B26235" i="1"/>
  <c r="B26234" i="1"/>
  <c r="B26233" i="1"/>
  <c r="B26232" i="1"/>
  <c r="B26231" i="1"/>
  <c r="B26230" i="1"/>
  <c r="B26229" i="1"/>
  <c r="B26228" i="1"/>
  <c r="B26227" i="1"/>
  <c r="B26226" i="1"/>
  <c r="B26225" i="1"/>
  <c r="B26224" i="1"/>
  <c r="B26223" i="1"/>
  <c r="B26222" i="1"/>
  <c r="B26221" i="1"/>
  <c r="B26220" i="1"/>
  <c r="B26219" i="1"/>
  <c r="B26218" i="1"/>
  <c r="B26217" i="1"/>
  <c r="B26216" i="1"/>
  <c r="B26215" i="1"/>
  <c r="B26214" i="1"/>
  <c r="B26213" i="1"/>
  <c r="B26212" i="1"/>
  <c r="B26211" i="1"/>
  <c r="B26210" i="1"/>
  <c r="B26209" i="1"/>
  <c r="B26208" i="1"/>
  <c r="B26207" i="1"/>
  <c r="B26206" i="1"/>
  <c r="B26205" i="1"/>
  <c r="B26204" i="1"/>
  <c r="B26203" i="1"/>
  <c r="B26202" i="1"/>
  <c r="B26201" i="1"/>
  <c r="B26200" i="1"/>
  <c r="B26199" i="1"/>
  <c r="B26198" i="1"/>
  <c r="B26197" i="1"/>
  <c r="B26196" i="1"/>
  <c r="B26195" i="1"/>
  <c r="B26194" i="1"/>
  <c r="B26193" i="1"/>
  <c r="B26192" i="1"/>
  <c r="B26191" i="1"/>
  <c r="B26190" i="1"/>
  <c r="B26189" i="1"/>
  <c r="B26188" i="1"/>
  <c r="B26187" i="1"/>
  <c r="B26186" i="1"/>
  <c r="B26185" i="1"/>
  <c r="B26184" i="1"/>
  <c r="B26183" i="1"/>
  <c r="B26182" i="1"/>
  <c r="B26181" i="1"/>
  <c r="B26180" i="1"/>
  <c r="B26179" i="1"/>
  <c r="B26178" i="1"/>
  <c r="B26177" i="1"/>
  <c r="B26176" i="1"/>
  <c r="B26175" i="1"/>
  <c r="B26174" i="1"/>
  <c r="B26173" i="1"/>
  <c r="B26172" i="1"/>
  <c r="B26171" i="1"/>
  <c r="B26170" i="1"/>
  <c r="B26169" i="1"/>
  <c r="B26168" i="1"/>
  <c r="B26167" i="1"/>
  <c r="B26166" i="1"/>
  <c r="B26165" i="1"/>
  <c r="B26164" i="1"/>
  <c r="B26163" i="1"/>
  <c r="B26162" i="1"/>
  <c r="B26161" i="1"/>
  <c r="B26160" i="1"/>
  <c r="B26159" i="1"/>
  <c r="B26158" i="1"/>
  <c r="B26157" i="1"/>
  <c r="B26156" i="1"/>
  <c r="B26155" i="1"/>
  <c r="B26154" i="1"/>
  <c r="B26153" i="1"/>
  <c r="B26152" i="1"/>
  <c r="B26151" i="1"/>
  <c r="B26150" i="1"/>
  <c r="B26149" i="1"/>
  <c r="B26148" i="1"/>
  <c r="B26147" i="1"/>
  <c r="B26146" i="1"/>
  <c r="B26145" i="1"/>
  <c r="B26144" i="1"/>
  <c r="B26143" i="1"/>
  <c r="B26142" i="1"/>
  <c r="B26141" i="1"/>
  <c r="B26140" i="1"/>
  <c r="B26139" i="1"/>
  <c r="B26138" i="1"/>
  <c r="B26137" i="1"/>
  <c r="B26136" i="1"/>
  <c r="B26135" i="1"/>
  <c r="B26134" i="1"/>
  <c r="B26133" i="1"/>
  <c r="B26132" i="1"/>
  <c r="B26131" i="1"/>
  <c r="B26130" i="1"/>
  <c r="B26129" i="1"/>
  <c r="B26128" i="1"/>
  <c r="B26127" i="1"/>
  <c r="B26126" i="1"/>
  <c r="B26125" i="1"/>
  <c r="B26124" i="1"/>
  <c r="B26123" i="1"/>
  <c r="B26122" i="1"/>
  <c r="B26121" i="1"/>
  <c r="B26120" i="1"/>
  <c r="B26119" i="1"/>
  <c r="B26118" i="1"/>
  <c r="B26117" i="1"/>
  <c r="B26116" i="1"/>
  <c r="B26115" i="1"/>
  <c r="B26114" i="1"/>
  <c r="B26113" i="1"/>
  <c r="B26112" i="1"/>
  <c r="B26111" i="1"/>
  <c r="B26110" i="1"/>
  <c r="B26109" i="1"/>
  <c r="B26108" i="1"/>
  <c r="B26107" i="1"/>
  <c r="B26106" i="1"/>
  <c r="B26105" i="1"/>
  <c r="B26104" i="1"/>
  <c r="B26103" i="1"/>
  <c r="B26102" i="1"/>
  <c r="B26101" i="1"/>
  <c r="B26100" i="1"/>
  <c r="B26099" i="1"/>
  <c r="B26098" i="1"/>
  <c r="B26097" i="1"/>
  <c r="B26096" i="1"/>
  <c r="B26095" i="1"/>
  <c r="B26094" i="1"/>
  <c r="B26093" i="1"/>
  <c r="B26092" i="1"/>
  <c r="B26091" i="1"/>
  <c r="B26090" i="1"/>
  <c r="B26089" i="1"/>
  <c r="B26088" i="1"/>
  <c r="B26087" i="1"/>
  <c r="B26086" i="1"/>
  <c r="B26085" i="1"/>
  <c r="B26084" i="1"/>
  <c r="B26083" i="1"/>
  <c r="B26082" i="1"/>
  <c r="B26081" i="1"/>
  <c r="B26080" i="1"/>
  <c r="B26079" i="1"/>
  <c r="B26078" i="1"/>
  <c r="B26077" i="1"/>
  <c r="B26076" i="1"/>
  <c r="B26075" i="1"/>
  <c r="B26074" i="1"/>
  <c r="B26073" i="1"/>
  <c r="B26072" i="1"/>
  <c r="B26071" i="1"/>
  <c r="B26070" i="1"/>
  <c r="B26069" i="1"/>
  <c r="B26068" i="1"/>
  <c r="B26067" i="1"/>
  <c r="B26066" i="1"/>
  <c r="B26065" i="1"/>
  <c r="B26064" i="1"/>
  <c r="B26063" i="1"/>
  <c r="B26062" i="1"/>
  <c r="B26061" i="1"/>
  <c r="B26060" i="1"/>
  <c r="B26059" i="1"/>
  <c r="B26058" i="1"/>
  <c r="B26057" i="1"/>
  <c r="B26056" i="1"/>
  <c r="B26055" i="1"/>
  <c r="B26054" i="1"/>
  <c r="B26053" i="1"/>
  <c r="B26052" i="1"/>
  <c r="B26051" i="1"/>
  <c r="B26050" i="1"/>
  <c r="B26049" i="1"/>
  <c r="B26048" i="1"/>
  <c r="B26047" i="1"/>
  <c r="B26046" i="1"/>
  <c r="B26045" i="1"/>
  <c r="B26044" i="1"/>
  <c r="B26043" i="1"/>
  <c r="B26042" i="1"/>
  <c r="B26041" i="1"/>
  <c r="B26040" i="1"/>
  <c r="B26039" i="1"/>
  <c r="B26038" i="1"/>
  <c r="B26037" i="1"/>
  <c r="B26036" i="1"/>
  <c r="B26035" i="1"/>
  <c r="B26034" i="1"/>
  <c r="B26033" i="1"/>
  <c r="B26032" i="1"/>
  <c r="B26031" i="1"/>
  <c r="B26030" i="1"/>
  <c r="B26029" i="1"/>
  <c r="B26028" i="1"/>
  <c r="B26027" i="1"/>
  <c r="B26026" i="1"/>
  <c r="B26025" i="1"/>
  <c r="B26024" i="1"/>
  <c r="B26023" i="1"/>
  <c r="B26022" i="1"/>
  <c r="B26021" i="1"/>
  <c r="B26020" i="1"/>
  <c r="B26019" i="1"/>
  <c r="B26018" i="1"/>
  <c r="B26017" i="1"/>
  <c r="B26016" i="1"/>
  <c r="B26015" i="1"/>
  <c r="B26014" i="1"/>
  <c r="B26013" i="1"/>
  <c r="B26012" i="1"/>
  <c r="B26011" i="1"/>
  <c r="B26010" i="1"/>
  <c r="B26009" i="1"/>
  <c r="B26008" i="1"/>
  <c r="B26007" i="1"/>
  <c r="B26006" i="1"/>
  <c r="B26005" i="1"/>
  <c r="B26004" i="1"/>
  <c r="B26003" i="1"/>
  <c r="B26002" i="1"/>
  <c r="B26001" i="1"/>
  <c r="B26000" i="1"/>
  <c r="B25999" i="1"/>
  <c r="B25998" i="1"/>
  <c r="B25997" i="1"/>
  <c r="B25996" i="1"/>
  <c r="B25995" i="1"/>
  <c r="B25994" i="1"/>
  <c r="B25993" i="1"/>
  <c r="B25992" i="1"/>
  <c r="B25991" i="1"/>
  <c r="B25990" i="1"/>
  <c r="B25989" i="1"/>
  <c r="B25988" i="1"/>
  <c r="B25987" i="1"/>
  <c r="B25986" i="1"/>
  <c r="B25985" i="1"/>
  <c r="B25984" i="1"/>
  <c r="B25983" i="1"/>
  <c r="B25982" i="1"/>
  <c r="B25981" i="1"/>
  <c r="B25980" i="1"/>
  <c r="B25979" i="1"/>
  <c r="B25978" i="1"/>
  <c r="B25977" i="1"/>
  <c r="B25976" i="1"/>
  <c r="B25975" i="1"/>
  <c r="B25974" i="1"/>
  <c r="B25973" i="1"/>
  <c r="B25972" i="1"/>
  <c r="B25971" i="1"/>
  <c r="B25970" i="1"/>
  <c r="B25969" i="1"/>
  <c r="B25968" i="1"/>
  <c r="B25967" i="1"/>
  <c r="B25966" i="1"/>
  <c r="B25965" i="1"/>
  <c r="B25964" i="1"/>
  <c r="B25963" i="1"/>
  <c r="B25962" i="1"/>
  <c r="B25961" i="1"/>
  <c r="B25960" i="1"/>
  <c r="B25959" i="1"/>
  <c r="B25958" i="1"/>
  <c r="B25957" i="1"/>
  <c r="B25956" i="1"/>
  <c r="B25955" i="1"/>
  <c r="B25954" i="1"/>
  <c r="B25953" i="1"/>
  <c r="B25952" i="1"/>
  <c r="B25951" i="1"/>
  <c r="B25950" i="1"/>
  <c r="B25949" i="1"/>
  <c r="B25948" i="1"/>
  <c r="B25947" i="1"/>
  <c r="B25946" i="1"/>
  <c r="B25945" i="1"/>
  <c r="B25944" i="1"/>
  <c r="B25943" i="1"/>
  <c r="B25942" i="1"/>
  <c r="B25941" i="1"/>
  <c r="B25940" i="1"/>
  <c r="B25939" i="1"/>
  <c r="B25938" i="1"/>
  <c r="B25937" i="1"/>
  <c r="B25936" i="1"/>
  <c r="B25935" i="1"/>
  <c r="B25934" i="1"/>
  <c r="B25933" i="1"/>
  <c r="B25932" i="1"/>
  <c r="B25931" i="1"/>
  <c r="B25930" i="1"/>
  <c r="B25929" i="1"/>
  <c r="B25928" i="1"/>
  <c r="B25927" i="1"/>
  <c r="B25926" i="1"/>
  <c r="B25925" i="1"/>
  <c r="B25924" i="1"/>
  <c r="B25923" i="1"/>
  <c r="B25922" i="1"/>
  <c r="B25921" i="1"/>
  <c r="B25920" i="1"/>
  <c r="B25919" i="1"/>
  <c r="B25918" i="1"/>
  <c r="B25917" i="1"/>
  <c r="B25916" i="1"/>
  <c r="B25915" i="1"/>
  <c r="B25914" i="1"/>
  <c r="B25913" i="1"/>
  <c r="B25912" i="1"/>
  <c r="B25911" i="1"/>
  <c r="B25910" i="1"/>
  <c r="B25909" i="1"/>
  <c r="B25908" i="1"/>
  <c r="B25907" i="1"/>
  <c r="B25906" i="1"/>
  <c r="B25905" i="1"/>
  <c r="B25904" i="1"/>
  <c r="B25903" i="1"/>
  <c r="B25902" i="1"/>
  <c r="B25901" i="1"/>
  <c r="B25900" i="1"/>
  <c r="B25899" i="1"/>
  <c r="B25898" i="1"/>
  <c r="B25897" i="1"/>
  <c r="B25896" i="1"/>
  <c r="B25895" i="1"/>
  <c r="B25894" i="1"/>
  <c r="B25893" i="1"/>
  <c r="B25892" i="1"/>
  <c r="B25891" i="1"/>
  <c r="B25890" i="1"/>
  <c r="B25889" i="1"/>
  <c r="B25888" i="1"/>
  <c r="B25887" i="1"/>
  <c r="B25886" i="1"/>
  <c r="B25885" i="1"/>
  <c r="B25884" i="1"/>
  <c r="B25883" i="1"/>
  <c r="B25882" i="1"/>
  <c r="B25881" i="1"/>
  <c r="B25880" i="1"/>
  <c r="B25879" i="1"/>
  <c r="B25878" i="1"/>
  <c r="B25877" i="1"/>
  <c r="B25876" i="1"/>
  <c r="B25875" i="1"/>
  <c r="B25874" i="1"/>
  <c r="B25873" i="1"/>
  <c r="B25872" i="1"/>
  <c r="B25871" i="1"/>
  <c r="B25870" i="1"/>
  <c r="B25869" i="1"/>
  <c r="B25868" i="1"/>
  <c r="B25867" i="1"/>
  <c r="B25866" i="1"/>
  <c r="B25865" i="1"/>
  <c r="B25864" i="1"/>
  <c r="B25863" i="1"/>
  <c r="B25862" i="1"/>
  <c r="B25861" i="1"/>
  <c r="B25860" i="1"/>
  <c r="B25859" i="1"/>
  <c r="B25858" i="1"/>
  <c r="B25857" i="1"/>
  <c r="B25856" i="1"/>
  <c r="B25855" i="1"/>
  <c r="B25854" i="1"/>
  <c r="B25853" i="1"/>
  <c r="B25852" i="1"/>
  <c r="B25851" i="1"/>
  <c r="B25850" i="1"/>
  <c r="B25849" i="1"/>
  <c r="B25848" i="1"/>
  <c r="B25847" i="1"/>
  <c r="B25846" i="1"/>
  <c r="B25845" i="1"/>
  <c r="B25844" i="1"/>
  <c r="B25843" i="1"/>
  <c r="B25842" i="1"/>
  <c r="B25841" i="1"/>
  <c r="B25840" i="1"/>
  <c r="B25839" i="1"/>
  <c r="B25838" i="1"/>
  <c r="B25837" i="1"/>
  <c r="B25836" i="1"/>
  <c r="B25835" i="1"/>
  <c r="B25834" i="1"/>
  <c r="B25833" i="1"/>
  <c r="B25832" i="1"/>
  <c r="B25831" i="1"/>
  <c r="B25830" i="1"/>
  <c r="B25829" i="1"/>
  <c r="B25828" i="1"/>
  <c r="B25827" i="1"/>
  <c r="B25826" i="1"/>
  <c r="B25825" i="1"/>
  <c r="B25824" i="1"/>
  <c r="B25823" i="1"/>
  <c r="B25822" i="1"/>
  <c r="B25821" i="1"/>
  <c r="B25820" i="1"/>
  <c r="B25819" i="1"/>
  <c r="B25818" i="1"/>
  <c r="B25817" i="1"/>
  <c r="B25816" i="1"/>
  <c r="B25815" i="1"/>
  <c r="B25814" i="1"/>
  <c r="B25813" i="1"/>
  <c r="B25812" i="1"/>
  <c r="B25811" i="1"/>
  <c r="B25810" i="1"/>
  <c r="B25809" i="1"/>
  <c r="B25808" i="1"/>
  <c r="B25807" i="1"/>
  <c r="B25806" i="1"/>
  <c r="B25805" i="1"/>
  <c r="B25804" i="1"/>
  <c r="B25803" i="1"/>
  <c r="B25802" i="1"/>
  <c r="B25801" i="1"/>
  <c r="B25800" i="1"/>
  <c r="B25799" i="1"/>
  <c r="B25798" i="1"/>
  <c r="B25797" i="1"/>
  <c r="B25796" i="1"/>
  <c r="B25795" i="1"/>
  <c r="B25794" i="1"/>
  <c r="B25793" i="1"/>
  <c r="B25792" i="1"/>
  <c r="B25791" i="1"/>
  <c r="B25790" i="1"/>
  <c r="B25789" i="1"/>
  <c r="B25788" i="1"/>
  <c r="B25787" i="1"/>
  <c r="B25786" i="1"/>
  <c r="B25785" i="1"/>
  <c r="B25784" i="1"/>
  <c r="B25783" i="1"/>
  <c r="B25782" i="1"/>
  <c r="B25781" i="1"/>
  <c r="B25780" i="1"/>
  <c r="B25779" i="1"/>
  <c r="B25778" i="1"/>
  <c r="B25777" i="1"/>
  <c r="B25776" i="1"/>
  <c r="B25775" i="1"/>
  <c r="B25774" i="1"/>
  <c r="B25773" i="1"/>
  <c r="B25772" i="1"/>
  <c r="B25771" i="1"/>
  <c r="B25770" i="1"/>
  <c r="B25769" i="1"/>
  <c r="B25768" i="1"/>
  <c r="B25767" i="1"/>
  <c r="B25766" i="1"/>
  <c r="B25765" i="1"/>
  <c r="B25764" i="1"/>
  <c r="B25763" i="1"/>
  <c r="B25762" i="1"/>
  <c r="B25761" i="1"/>
  <c r="B25760" i="1"/>
  <c r="B25759" i="1"/>
  <c r="B25758" i="1"/>
  <c r="B25757" i="1"/>
  <c r="B25756" i="1"/>
  <c r="B25755" i="1"/>
  <c r="B25754" i="1"/>
  <c r="B25753" i="1"/>
  <c r="B25752" i="1"/>
  <c r="B25751" i="1"/>
  <c r="B25750" i="1"/>
  <c r="B25749" i="1"/>
  <c r="B25748" i="1"/>
  <c r="B25747" i="1"/>
  <c r="B25746" i="1"/>
  <c r="B25745" i="1"/>
  <c r="B25744" i="1"/>
  <c r="B25743" i="1"/>
  <c r="B25742" i="1"/>
  <c r="B25741" i="1"/>
  <c r="B25740" i="1"/>
  <c r="B25739" i="1"/>
  <c r="B25738" i="1"/>
  <c r="B25737" i="1"/>
  <c r="B25736" i="1"/>
  <c r="B25735" i="1"/>
  <c r="B25734" i="1"/>
  <c r="B25733" i="1"/>
  <c r="B25732" i="1"/>
  <c r="B25731" i="1"/>
  <c r="B25730" i="1"/>
  <c r="B25729" i="1"/>
  <c r="B25728" i="1"/>
  <c r="B25727" i="1"/>
  <c r="B25726" i="1"/>
  <c r="B25725" i="1"/>
  <c r="B25724" i="1"/>
  <c r="B25723" i="1"/>
  <c r="B25722" i="1"/>
  <c r="B25721" i="1"/>
  <c r="B25720" i="1"/>
  <c r="B25719" i="1"/>
  <c r="B25718" i="1"/>
  <c r="B25717" i="1"/>
  <c r="B25716" i="1"/>
  <c r="B25715" i="1"/>
  <c r="B25714" i="1"/>
  <c r="B25713" i="1"/>
  <c r="B25712" i="1"/>
  <c r="B25711" i="1"/>
  <c r="B25710" i="1"/>
  <c r="B25709" i="1"/>
  <c r="B25708" i="1"/>
  <c r="B25707" i="1"/>
  <c r="B25706" i="1"/>
  <c r="B25705" i="1"/>
  <c r="B25704" i="1"/>
  <c r="B25703" i="1"/>
  <c r="B25702" i="1"/>
  <c r="B25701" i="1"/>
  <c r="B25700" i="1"/>
  <c r="B25699" i="1"/>
  <c r="B25698" i="1"/>
  <c r="B25697" i="1"/>
  <c r="B25696" i="1"/>
  <c r="B25695" i="1"/>
  <c r="B25694" i="1"/>
  <c r="B25693" i="1"/>
  <c r="B25692" i="1"/>
  <c r="B25691" i="1"/>
  <c r="B25690" i="1"/>
  <c r="B25689" i="1"/>
  <c r="B25688" i="1"/>
  <c r="B25687" i="1"/>
  <c r="B25686" i="1"/>
  <c r="B25685" i="1"/>
  <c r="B25684" i="1"/>
  <c r="B25683" i="1"/>
  <c r="B25682" i="1"/>
  <c r="B25681" i="1"/>
  <c r="B25680" i="1"/>
  <c r="B25679" i="1"/>
  <c r="B25678" i="1"/>
  <c r="B25677" i="1"/>
  <c r="B25676" i="1"/>
  <c r="B25675" i="1"/>
  <c r="B25674" i="1"/>
  <c r="B25673" i="1"/>
  <c r="B25672" i="1"/>
  <c r="B25671" i="1"/>
  <c r="B25670" i="1"/>
  <c r="B25669" i="1"/>
  <c r="B25668" i="1"/>
  <c r="B25667" i="1"/>
  <c r="B25666" i="1"/>
  <c r="B25665" i="1"/>
  <c r="B25664" i="1"/>
  <c r="B25663" i="1"/>
  <c r="B25662" i="1"/>
  <c r="B25661" i="1"/>
  <c r="B25660" i="1"/>
  <c r="B25659" i="1"/>
  <c r="B25658" i="1"/>
  <c r="B25657" i="1"/>
  <c r="B25656" i="1"/>
  <c r="B25655" i="1"/>
  <c r="B25654" i="1"/>
  <c r="B25653" i="1"/>
  <c r="B25652" i="1"/>
  <c r="B25651" i="1"/>
  <c r="B25650" i="1"/>
  <c r="B25649" i="1"/>
  <c r="B25648" i="1"/>
  <c r="B25647" i="1"/>
  <c r="B25646" i="1"/>
  <c r="B25645" i="1"/>
  <c r="B25644" i="1"/>
  <c r="B25643" i="1"/>
  <c r="B25642" i="1"/>
  <c r="B25641" i="1"/>
  <c r="B25640" i="1"/>
  <c r="B25639" i="1"/>
  <c r="B25638" i="1"/>
  <c r="B25637" i="1"/>
  <c r="B25636" i="1"/>
  <c r="B25635" i="1"/>
  <c r="B25634" i="1"/>
  <c r="B25633" i="1"/>
  <c r="B25632" i="1"/>
  <c r="B25631" i="1"/>
  <c r="B25630" i="1"/>
  <c r="B25629" i="1"/>
  <c r="B25628" i="1"/>
  <c r="B25627" i="1"/>
  <c r="B25626" i="1"/>
  <c r="B25625" i="1"/>
  <c r="B25624" i="1"/>
  <c r="B25623" i="1"/>
  <c r="B25622" i="1"/>
  <c r="B25621" i="1"/>
  <c r="B25620" i="1"/>
  <c r="B25619" i="1"/>
  <c r="B25618" i="1"/>
  <c r="B25617" i="1"/>
  <c r="B25616" i="1"/>
  <c r="B25615" i="1"/>
  <c r="B25614" i="1"/>
  <c r="B25613" i="1"/>
  <c r="B25612" i="1"/>
  <c r="B25611" i="1"/>
  <c r="B25610" i="1"/>
  <c r="B25609" i="1"/>
  <c r="B25608" i="1"/>
  <c r="B25607" i="1"/>
  <c r="B25606" i="1"/>
  <c r="B25605" i="1"/>
  <c r="B25604" i="1"/>
  <c r="B25603" i="1"/>
  <c r="B25602" i="1"/>
  <c r="B25601" i="1"/>
  <c r="B25600" i="1"/>
  <c r="B25599" i="1"/>
  <c r="B25598" i="1"/>
  <c r="B25597" i="1"/>
  <c r="B25596" i="1"/>
  <c r="B25595" i="1"/>
  <c r="B25594" i="1"/>
  <c r="B25593" i="1"/>
  <c r="B25592" i="1"/>
  <c r="B25591" i="1"/>
  <c r="B25590" i="1"/>
  <c r="B25589" i="1"/>
  <c r="B25588" i="1"/>
  <c r="B25587" i="1"/>
  <c r="B25586" i="1"/>
  <c r="B25585" i="1"/>
  <c r="B25584" i="1"/>
  <c r="B25583" i="1"/>
  <c r="B25582" i="1"/>
  <c r="B25581" i="1"/>
  <c r="B25580" i="1"/>
  <c r="B25579" i="1"/>
  <c r="B25578" i="1"/>
  <c r="B25577" i="1"/>
  <c r="B25576" i="1"/>
  <c r="B25575" i="1"/>
  <c r="B25574" i="1"/>
  <c r="B25573" i="1"/>
  <c r="B25572" i="1"/>
  <c r="B25571" i="1"/>
  <c r="B25570" i="1"/>
  <c r="B25569" i="1"/>
  <c r="B25568" i="1"/>
  <c r="B25567" i="1"/>
  <c r="B25566" i="1"/>
  <c r="B25565" i="1"/>
  <c r="B25564" i="1"/>
  <c r="B25563" i="1"/>
  <c r="B25562" i="1"/>
  <c r="B25561" i="1"/>
  <c r="B25560" i="1"/>
  <c r="B25559" i="1"/>
  <c r="B25558" i="1"/>
  <c r="B25557" i="1"/>
  <c r="B25556" i="1"/>
  <c r="B25555" i="1"/>
  <c r="B25554" i="1"/>
  <c r="B25553" i="1"/>
  <c r="B25552" i="1"/>
  <c r="B25551" i="1"/>
  <c r="B25550" i="1"/>
  <c r="B25549" i="1"/>
  <c r="B25548" i="1"/>
  <c r="B25547" i="1"/>
  <c r="B25546" i="1"/>
  <c r="B25545" i="1"/>
  <c r="B25544" i="1"/>
  <c r="B25543" i="1"/>
  <c r="B25542" i="1"/>
  <c r="B25541" i="1"/>
  <c r="B25540" i="1"/>
  <c r="B25539" i="1"/>
  <c r="B25538" i="1"/>
  <c r="B25537" i="1"/>
  <c r="B25536" i="1"/>
  <c r="B25535" i="1"/>
  <c r="B25534" i="1"/>
  <c r="B25533" i="1"/>
  <c r="B25532" i="1"/>
  <c r="B25531" i="1"/>
  <c r="B25530" i="1"/>
  <c r="B25529" i="1"/>
  <c r="B25528" i="1"/>
  <c r="B25527" i="1"/>
  <c r="B25526" i="1"/>
  <c r="B25525" i="1"/>
  <c r="B25524" i="1"/>
  <c r="B25523" i="1"/>
  <c r="B25522" i="1"/>
  <c r="B25521" i="1"/>
  <c r="B25520" i="1"/>
  <c r="B25519" i="1"/>
  <c r="B25518" i="1"/>
  <c r="B25517" i="1"/>
  <c r="B25516" i="1"/>
  <c r="B25515" i="1"/>
  <c r="B25514" i="1"/>
  <c r="B25513" i="1"/>
  <c r="B25512" i="1"/>
  <c r="B25511" i="1"/>
  <c r="B25510" i="1"/>
  <c r="B25509" i="1"/>
  <c r="B25508" i="1"/>
  <c r="B25507" i="1"/>
  <c r="B25506" i="1"/>
  <c r="B25505" i="1"/>
  <c r="B25504" i="1"/>
  <c r="B25503" i="1"/>
  <c r="B25502" i="1"/>
  <c r="B25501" i="1"/>
  <c r="B25500" i="1"/>
  <c r="B25499" i="1"/>
  <c r="B25498" i="1"/>
  <c r="B25497" i="1"/>
  <c r="B25496" i="1"/>
  <c r="B25495" i="1"/>
  <c r="B25494" i="1"/>
  <c r="B25493" i="1"/>
  <c r="B25492" i="1"/>
  <c r="B25491" i="1"/>
  <c r="B25490" i="1"/>
  <c r="B25489" i="1"/>
  <c r="B25488" i="1"/>
  <c r="B25487" i="1"/>
  <c r="B25486" i="1"/>
  <c r="B25485" i="1"/>
  <c r="B25484" i="1"/>
  <c r="B25483" i="1"/>
  <c r="B25482" i="1"/>
  <c r="B25481" i="1"/>
  <c r="B25480" i="1"/>
  <c r="B25479" i="1"/>
  <c r="B25478" i="1"/>
  <c r="B25477" i="1"/>
  <c r="B25476" i="1"/>
  <c r="B25475" i="1"/>
  <c r="B25474" i="1"/>
  <c r="B25473" i="1"/>
  <c r="B25472" i="1"/>
  <c r="B25471" i="1"/>
  <c r="B25470" i="1"/>
  <c r="B25469" i="1"/>
  <c r="B25468" i="1"/>
  <c r="B25467" i="1"/>
  <c r="B25466" i="1"/>
  <c r="B25465" i="1"/>
  <c r="B25464" i="1"/>
  <c r="B25463" i="1"/>
  <c r="B25462" i="1"/>
  <c r="B25461" i="1"/>
  <c r="B25460" i="1"/>
  <c r="B25459" i="1"/>
  <c r="B25458" i="1"/>
  <c r="B25457" i="1"/>
  <c r="B25456" i="1"/>
  <c r="B25455" i="1"/>
  <c r="B25454" i="1"/>
  <c r="B25453" i="1"/>
  <c r="B25452" i="1"/>
  <c r="B25451" i="1"/>
  <c r="B25450" i="1"/>
  <c r="B25449" i="1"/>
  <c r="B25448" i="1"/>
  <c r="B25447" i="1"/>
  <c r="B25446" i="1"/>
  <c r="B25445" i="1"/>
  <c r="B25444" i="1"/>
  <c r="B25443" i="1"/>
  <c r="B25442" i="1"/>
  <c r="B25441" i="1"/>
  <c r="B25440" i="1"/>
  <c r="B25439" i="1"/>
  <c r="B25438" i="1"/>
  <c r="B25437" i="1"/>
  <c r="B25436" i="1"/>
  <c r="B25435" i="1"/>
  <c r="B25434" i="1"/>
  <c r="B25433" i="1"/>
  <c r="B25432" i="1"/>
  <c r="B25431" i="1"/>
  <c r="B25430" i="1"/>
  <c r="B25429" i="1"/>
  <c r="B25428" i="1"/>
  <c r="B25427" i="1"/>
  <c r="B25426" i="1"/>
  <c r="B25425" i="1"/>
  <c r="B25424" i="1"/>
  <c r="B25423" i="1"/>
  <c r="B25422" i="1"/>
  <c r="B25421" i="1"/>
  <c r="B25420" i="1"/>
  <c r="B25419" i="1"/>
  <c r="B25418" i="1"/>
  <c r="B25417" i="1"/>
  <c r="B25416" i="1"/>
  <c r="B25415" i="1"/>
  <c r="B25414" i="1"/>
  <c r="B25413" i="1"/>
  <c r="B25412" i="1"/>
  <c r="B25411" i="1"/>
  <c r="B25410" i="1"/>
  <c r="B25409" i="1"/>
  <c r="B25408" i="1"/>
  <c r="B25407" i="1"/>
  <c r="B25406" i="1"/>
  <c r="B25405" i="1"/>
  <c r="B25404" i="1"/>
  <c r="B25403" i="1"/>
  <c r="B25402" i="1"/>
  <c r="B25401" i="1"/>
  <c r="B25400" i="1"/>
  <c r="B25399" i="1"/>
  <c r="B25398" i="1"/>
  <c r="B25397" i="1"/>
  <c r="B25396" i="1"/>
  <c r="B25395" i="1"/>
  <c r="B25394" i="1"/>
  <c r="B25393" i="1"/>
  <c r="B25392" i="1"/>
  <c r="B25391" i="1"/>
  <c r="B25390" i="1"/>
  <c r="B25389" i="1"/>
  <c r="B25388" i="1"/>
  <c r="B25387" i="1"/>
  <c r="B25386" i="1"/>
  <c r="B25385" i="1"/>
  <c r="B25384" i="1"/>
  <c r="B25383" i="1"/>
  <c r="B25382" i="1"/>
  <c r="B25381" i="1"/>
  <c r="B25380" i="1"/>
  <c r="B25379" i="1"/>
  <c r="B25378" i="1"/>
  <c r="B25377" i="1"/>
  <c r="B25376" i="1"/>
  <c r="B25375" i="1"/>
  <c r="B25374" i="1"/>
  <c r="B25373" i="1"/>
  <c r="B25372" i="1"/>
  <c r="B25371" i="1"/>
  <c r="B25370" i="1"/>
  <c r="B25369" i="1"/>
  <c r="B25368" i="1"/>
  <c r="B25367" i="1"/>
  <c r="B25366" i="1"/>
  <c r="B25365" i="1"/>
  <c r="B25364" i="1"/>
  <c r="B25363" i="1"/>
  <c r="B25362" i="1"/>
  <c r="B25361" i="1"/>
  <c r="B25360" i="1"/>
  <c r="B25359" i="1"/>
  <c r="B25358" i="1"/>
  <c r="B25357" i="1"/>
  <c r="B25356" i="1"/>
  <c r="B25355" i="1"/>
  <c r="B25354" i="1"/>
  <c r="B25353" i="1"/>
  <c r="B25352" i="1"/>
  <c r="B25351" i="1"/>
  <c r="B25350" i="1"/>
  <c r="B25349" i="1"/>
  <c r="B25348" i="1"/>
  <c r="B25347" i="1"/>
  <c r="B25346" i="1"/>
  <c r="B25345" i="1"/>
  <c r="B25344" i="1"/>
  <c r="B25343" i="1"/>
  <c r="B25342" i="1"/>
  <c r="B25341" i="1"/>
  <c r="B25340" i="1"/>
  <c r="B25339" i="1"/>
  <c r="B25338" i="1"/>
  <c r="B25337" i="1"/>
  <c r="B25336" i="1"/>
  <c r="B25335" i="1"/>
  <c r="B25334" i="1"/>
  <c r="B25333" i="1"/>
  <c r="B25332" i="1"/>
  <c r="B25331" i="1"/>
  <c r="B25330" i="1"/>
  <c r="B25329" i="1"/>
  <c r="B25328" i="1"/>
  <c r="B25327" i="1"/>
  <c r="B25326" i="1"/>
  <c r="B25325" i="1"/>
  <c r="B25324" i="1"/>
  <c r="B25323" i="1"/>
  <c r="B25322" i="1"/>
  <c r="B25321" i="1"/>
  <c r="B25320" i="1"/>
  <c r="B25319" i="1"/>
  <c r="B25318" i="1"/>
  <c r="B25317" i="1"/>
  <c r="B25316" i="1"/>
  <c r="B25315" i="1"/>
  <c r="B25314" i="1"/>
  <c r="B25313" i="1"/>
  <c r="B25312" i="1"/>
  <c r="B25311" i="1"/>
  <c r="B25310" i="1"/>
  <c r="B25309" i="1"/>
  <c r="B25308" i="1"/>
  <c r="B25307" i="1"/>
  <c r="B25306" i="1"/>
  <c r="B25305" i="1"/>
  <c r="B25304" i="1"/>
  <c r="B25303" i="1"/>
  <c r="B25302" i="1"/>
  <c r="B25301" i="1"/>
  <c r="B25300" i="1"/>
  <c r="B25299" i="1"/>
  <c r="B25298" i="1"/>
  <c r="B25297" i="1"/>
  <c r="B25296" i="1"/>
  <c r="B25295" i="1"/>
  <c r="B25294" i="1"/>
  <c r="B25293" i="1"/>
  <c r="B25292" i="1"/>
  <c r="B25291" i="1"/>
  <c r="B25290" i="1"/>
  <c r="B25289" i="1"/>
  <c r="B25288" i="1"/>
  <c r="B25287" i="1"/>
  <c r="B25286" i="1"/>
  <c r="B25285" i="1"/>
  <c r="B25284" i="1"/>
  <c r="B25283" i="1"/>
  <c r="B25282" i="1"/>
  <c r="B25281" i="1"/>
  <c r="B25280" i="1"/>
  <c r="B25279" i="1"/>
  <c r="B25278" i="1"/>
  <c r="B25277" i="1"/>
  <c r="B25276" i="1"/>
  <c r="B25275" i="1"/>
  <c r="B25274" i="1"/>
  <c r="B25273" i="1"/>
  <c r="B25272" i="1"/>
  <c r="B25271" i="1"/>
  <c r="B25270" i="1"/>
  <c r="B25269" i="1"/>
  <c r="B25268" i="1"/>
  <c r="B25267" i="1"/>
  <c r="B25266" i="1"/>
  <c r="B25265" i="1"/>
  <c r="B25264" i="1"/>
  <c r="B25263" i="1"/>
  <c r="B25262" i="1"/>
  <c r="B25261" i="1"/>
  <c r="B25260" i="1"/>
  <c r="B25259" i="1"/>
  <c r="B25258" i="1"/>
  <c r="B25257" i="1"/>
  <c r="B25256" i="1"/>
  <c r="B25255" i="1"/>
  <c r="B25254" i="1"/>
  <c r="B25253" i="1"/>
  <c r="B25252" i="1"/>
  <c r="B25251" i="1"/>
  <c r="B25250" i="1"/>
  <c r="B25249" i="1"/>
  <c r="B25248" i="1"/>
  <c r="B25247" i="1"/>
  <c r="B25246" i="1"/>
  <c r="B25245" i="1"/>
  <c r="B25244" i="1"/>
  <c r="B25243" i="1"/>
  <c r="B25242" i="1"/>
  <c r="B25241" i="1"/>
  <c r="B25240" i="1"/>
  <c r="B25239" i="1"/>
  <c r="B25238" i="1"/>
  <c r="B25237" i="1"/>
  <c r="B25236" i="1"/>
  <c r="B25235" i="1"/>
  <c r="B25234" i="1"/>
  <c r="B25233" i="1"/>
  <c r="B25232" i="1"/>
  <c r="B25231" i="1"/>
  <c r="B25230" i="1"/>
  <c r="B25229" i="1"/>
  <c r="B25228" i="1"/>
  <c r="B25227" i="1"/>
  <c r="B25226" i="1"/>
  <c r="B25225" i="1"/>
  <c r="B25224" i="1"/>
  <c r="B25223" i="1"/>
  <c r="B25222" i="1"/>
  <c r="B25221" i="1"/>
  <c r="B25220" i="1"/>
  <c r="B25219" i="1"/>
  <c r="B25218" i="1"/>
  <c r="B25217" i="1"/>
  <c r="B25216" i="1"/>
  <c r="B25215" i="1"/>
  <c r="B25214" i="1"/>
  <c r="B25213" i="1"/>
  <c r="B25212" i="1"/>
  <c r="B25211" i="1"/>
  <c r="B25210" i="1"/>
  <c r="B25209" i="1"/>
  <c r="B25208" i="1"/>
  <c r="B25207" i="1"/>
  <c r="B25206" i="1"/>
  <c r="B25205" i="1"/>
  <c r="B25204" i="1"/>
  <c r="B25203" i="1"/>
  <c r="B25202" i="1"/>
  <c r="B25201" i="1"/>
  <c r="B25200" i="1"/>
  <c r="B25199" i="1"/>
  <c r="B25198" i="1"/>
  <c r="B25197" i="1"/>
  <c r="B25196" i="1"/>
  <c r="B25195" i="1"/>
  <c r="B25194" i="1"/>
  <c r="B25193" i="1"/>
  <c r="B25192" i="1"/>
  <c r="B25191" i="1"/>
  <c r="B25190" i="1"/>
  <c r="B25189" i="1"/>
  <c r="B25188" i="1"/>
  <c r="B25187" i="1"/>
  <c r="B25186" i="1"/>
  <c r="B25185" i="1"/>
  <c r="B25184" i="1"/>
  <c r="B25183" i="1"/>
  <c r="B25182" i="1"/>
  <c r="B25181" i="1"/>
  <c r="B25180" i="1"/>
  <c r="B25179" i="1"/>
  <c r="B25178" i="1"/>
  <c r="B25177" i="1"/>
  <c r="B25176" i="1"/>
  <c r="B25175" i="1"/>
  <c r="B25174" i="1"/>
  <c r="B25173" i="1"/>
  <c r="B25172" i="1"/>
  <c r="B25171" i="1"/>
  <c r="B25170" i="1"/>
  <c r="B25169" i="1"/>
  <c r="B25168" i="1"/>
  <c r="B25167" i="1"/>
  <c r="B25166" i="1"/>
  <c r="B25165" i="1"/>
  <c r="B25164" i="1"/>
  <c r="B25163" i="1"/>
  <c r="B25162" i="1"/>
  <c r="B25161" i="1"/>
  <c r="B25160" i="1"/>
  <c r="B25159" i="1"/>
  <c r="B25158" i="1"/>
  <c r="B25157" i="1"/>
  <c r="B25156" i="1"/>
  <c r="B25155" i="1"/>
  <c r="B25154" i="1"/>
  <c r="B25153" i="1"/>
  <c r="B25152" i="1"/>
  <c r="B25151" i="1"/>
  <c r="B25150" i="1"/>
  <c r="B25149" i="1"/>
  <c r="B25148" i="1"/>
  <c r="B25147" i="1"/>
  <c r="B25146" i="1"/>
  <c r="B25145" i="1"/>
  <c r="B25144" i="1"/>
  <c r="B25143" i="1"/>
  <c r="B25142" i="1"/>
  <c r="B25141" i="1"/>
  <c r="B25140" i="1"/>
  <c r="B25139" i="1"/>
  <c r="B25138" i="1"/>
  <c r="B25137" i="1"/>
  <c r="B25136" i="1"/>
  <c r="B25135" i="1"/>
  <c r="B25134" i="1"/>
  <c r="B25133" i="1"/>
  <c r="B25132" i="1"/>
  <c r="B25131" i="1"/>
  <c r="B25130" i="1"/>
  <c r="B25129" i="1"/>
  <c r="B25128" i="1"/>
  <c r="B25127" i="1"/>
  <c r="B25126" i="1"/>
  <c r="B25125" i="1"/>
  <c r="B25124" i="1"/>
  <c r="B25123" i="1"/>
  <c r="B25122" i="1"/>
  <c r="B25121" i="1"/>
  <c r="B25120" i="1"/>
  <c r="B25119" i="1"/>
  <c r="B25118" i="1"/>
  <c r="B25117" i="1"/>
  <c r="B25116" i="1"/>
  <c r="B25115" i="1"/>
  <c r="B25114" i="1"/>
  <c r="B25113" i="1"/>
  <c r="B25112" i="1"/>
  <c r="B25111" i="1"/>
  <c r="B25110" i="1"/>
  <c r="B25109" i="1"/>
  <c r="B25108" i="1"/>
  <c r="B25107" i="1"/>
  <c r="B25106" i="1"/>
  <c r="B25105" i="1"/>
  <c r="B25104" i="1"/>
  <c r="B25103" i="1"/>
  <c r="B25102" i="1"/>
  <c r="B25101" i="1"/>
  <c r="B25100" i="1"/>
  <c r="B25099" i="1"/>
  <c r="B25098" i="1"/>
  <c r="B25097" i="1"/>
  <c r="B25096" i="1"/>
  <c r="B25095" i="1"/>
  <c r="B25094" i="1"/>
  <c r="B25093" i="1"/>
  <c r="B25092" i="1"/>
  <c r="B25091" i="1"/>
  <c r="B25090" i="1"/>
  <c r="B25089" i="1"/>
  <c r="B25088" i="1"/>
  <c r="B25087" i="1"/>
  <c r="B25086" i="1"/>
  <c r="B25085" i="1"/>
  <c r="B25084" i="1"/>
  <c r="B25083" i="1"/>
  <c r="B25082" i="1"/>
  <c r="B25081" i="1"/>
  <c r="B25080" i="1"/>
  <c r="B25079" i="1"/>
  <c r="B25078" i="1"/>
  <c r="B25077" i="1"/>
  <c r="B25076" i="1"/>
  <c r="B25075" i="1"/>
  <c r="B25074" i="1"/>
  <c r="B25073" i="1"/>
  <c r="B25072" i="1"/>
  <c r="B25071" i="1"/>
  <c r="B25070" i="1"/>
  <c r="B25069" i="1"/>
  <c r="B25068" i="1"/>
  <c r="B25067" i="1"/>
  <c r="B25066" i="1"/>
  <c r="B25065" i="1"/>
  <c r="B25064" i="1"/>
  <c r="B25063" i="1"/>
  <c r="B25062" i="1"/>
  <c r="B25061" i="1"/>
  <c r="B25060" i="1"/>
  <c r="B25059" i="1"/>
  <c r="B25058" i="1"/>
  <c r="B25057" i="1"/>
  <c r="B25056" i="1"/>
  <c r="B25055" i="1"/>
  <c r="B25054" i="1"/>
  <c r="B25053" i="1"/>
  <c r="B25052" i="1"/>
  <c r="B25051" i="1"/>
  <c r="B25050" i="1"/>
  <c r="B25049" i="1"/>
  <c r="B25048" i="1"/>
  <c r="B25047" i="1"/>
  <c r="B25046" i="1"/>
  <c r="B25045" i="1"/>
  <c r="B25044" i="1"/>
  <c r="B25043" i="1"/>
  <c r="B25042" i="1"/>
  <c r="B25041" i="1"/>
  <c r="B25040" i="1"/>
  <c r="B25039" i="1"/>
  <c r="B25038" i="1"/>
  <c r="B25037" i="1"/>
  <c r="B25036" i="1"/>
  <c r="B25035" i="1"/>
  <c r="B25034" i="1"/>
  <c r="B25033" i="1"/>
  <c r="B25032" i="1"/>
  <c r="B25031" i="1"/>
  <c r="B25030" i="1"/>
  <c r="B25029" i="1"/>
  <c r="B25028" i="1"/>
  <c r="B25027" i="1"/>
  <c r="B25026" i="1"/>
  <c r="B25025" i="1"/>
  <c r="B25024" i="1"/>
  <c r="B25023" i="1"/>
  <c r="B25022" i="1"/>
  <c r="B25021" i="1"/>
  <c r="B25020" i="1"/>
  <c r="B25019" i="1"/>
  <c r="B25018" i="1"/>
  <c r="B25017" i="1"/>
  <c r="B25016" i="1"/>
  <c r="B25015" i="1"/>
  <c r="B25014" i="1"/>
  <c r="B25013" i="1"/>
  <c r="B25012" i="1"/>
  <c r="B25011" i="1"/>
  <c r="B25010" i="1"/>
  <c r="B25009" i="1"/>
  <c r="B25008" i="1"/>
  <c r="B25007" i="1"/>
  <c r="B25006" i="1"/>
  <c r="B25005" i="1"/>
  <c r="B25004" i="1"/>
  <c r="B25003" i="1"/>
  <c r="B25002" i="1"/>
  <c r="B25001" i="1"/>
  <c r="B25000" i="1"/>
  <c r="B24999" i="1"/>
  <c r="B24998" i="1"/>
  <c r="B24997" i="1"/>
  <c r="B24996" i="1"/>
  <c r="B24995" i="1"/>
  <c r="B24994" i="1"/>
  <c r="B24993" i="1"/>
  <c r="B24992" i="1"/>
  <c r="B24991" i="1"/>
  <c r="B24990" i="1"/>
  <c r="B24989" i="1"/>
  <c r="B24988" i="1"/>
  <c r="B24987" i="1"/>
  <c r="B24986" i="1"/>
  <c r="B24985" i="1"/>
  <c r="B24984" i="1"/>
  <c r="B24983" i="1"/>
  <c r="B24982" i="1"/>
  <c r="B24981" i="1"/>
  <c r="B24980" i="1"/>
  <c r="B24979" i="1"/>
  <c r="B24978" i="1"/>
  <c r="B24977" i="1"/>
  <c r="B24976" i="1"/>
  <c r="B24975" i="1"/>
  <c r="B24974" i="1"/>
  <c r="B24973" i="1"/>
  <c r="B24972" i="1"/>
  <c r="B24971" i="1"/>
  <c r="B24970" i="1"/>
  <c r="B24969" i="1"/>
  <c r="B24968" i="1"/>
  <c r="B24967" i="1"/>
  <c r="B24966" i="1"/>
  <c r="B24965" i="1"/>
  <c r="B24964" i="1"/>
  <c r="B24963" i="1"/>
  <c r="B24962" i="1"/>
  <c r="B24961" i="1"/>
  <c r="B24960" i="1"/>
  <c r="B24959" i="1"/>
  <c r="B24958" i="1"/>
  <c r="B24957" i="1"/>
  <c r="B24956" i="1"/>
  <c r="B24955" i="1"/>
  <c r="B24954" i="1"/>
  <c r="B24953" i="1"/>
  <c r="B24952" i="1"/>
  <c r="B24951" i="1"/>
  <c r="B24950" i="1"/>
  <c r="B24949" i="1"/>
  <c r="B24948" i="1"/>
  <c r="B24947" i="1"/>
  <c r="B24946" i="1"/>
  <c r="B24945" i="1"/>
  <c r="B24944" i="1"/>
  <c r="B24943" i="1"/>
  <c r="B24942" i="1"/>
  <c r="B24941" i="1"/>
  <c r="B24940" i="1"/>
  <c r="B24939" i="1"/>
  <c r="B24938" i="1"/>
  <c r="B24937" i="1"/>
  <c r="B24936" i="1"/>
  <c r="B24935" i="1"/>
  <c r="B24934" i="1"/>
  <c r="B24933" i="1"/>
  <c r="B24932" i="1"/>
  <c r="B24931" i="1"/>
  <c r="B24930" i="1"/>
  <c r="B24929" i="1"/>
  <c r="B24928" i="1"/>
  <c r="B24927" i="1"/>
  <c r="B24926" i="1"/>
  <c r="B24925" i="1"/>
  <c r="B24924" i="1"/>
  <c r="B24923" i="1"/>
  <c r="B24922" i="1"/>
  <c r="B24921" i="1"/>
  <c r="B24920" i="1"/>
  <c r="B24919" i="1"/>
  <c r="B24918" i="1"/>
  <c r="B24917" i="1"/>
  <c r="B24916" i="1"/>
  <c r="B24915" i="1"/>
  <c r="B24914" i="1"/>
  <c r="B24913" i="1"/>
  <c r="B24912" i="1"/>
  <c r="B24911" i="1"/>
  <c r="B24910" i="1"/>
  <c r="B24909" i="1"/>
  <c r="B24908" i="1"/>
  <c r="B24907" i="1"/>
  <c r="B24906" i="1"/>
  <c r="B24905" i="1"/>
  <c r="B24904" i="1"/>
  <c r="B24903" i="1"/>
  <c r="B24902" i="1"/>
  <c r="B24901" i="1"/>
  <c r="B24900" i="1"/>
  <c r="B24899" i="1"/>
  <c r="B24898" i="1"/>
  <c r="B24897" i="1"/>
  <c r="B24896" i="1"/>
  <c r="B24895" i="1"/>
  <c r="B24894" i="1"/>
  <c r="B24893" i="1"/>
  <c r="B24892" i="1"/>
  <c r="B24891" i="1"/>
  <c r="B24890" i="1"/>
  <c r="B24889" i="1"/>
  <c r="B24888" i="1"/>
  <c r="B24887" i="1"/>
  <c r="B24886" i="1"/>
  <c r="B24885" i="1"/>
  <c r="B24884" i="1"/>
  <c r="B24883" i="1"/>
  <c r="B24882" i="1"/>
  <c r="B24881" i="1"/>
  <c r="B24880" i="1"/>
  <c r="B24879" i="1"/>
  <c r="B24878" i="1"/>
  <c r="B24877" i="1"/>
  <c r="B24876" i="1"/>
  <c r="B24875" i="1"/>
  <c r="B24874" i="1"/>
  <c r="B24873" i="1"/>
  <c r="B24872" i="1"/>
  <c r="B24871" i="1"/>
  <c r="B24870" i="1"/>
  <c r="B24869" i="1"/>
  <c r="B24868" i="1"/>
  <c r="B24867" i="1"/>
  <c r="B24866" i="1"/>
  <c r="B24865" i="1"/>
  <c r="B24864" i="1"/>
  <c r="B24863" i="1"/>
  <c r="B24862" i="1"/>
  <c r="B24861" i="1"/>
  <c r="B24860" i="1"/>
  <c r="B24859" i="1"/>
  <c r="B24858" i="1"/>
  <c r="B24857" i="1"/>
  <c r="B24856" i="1"/>
  <c r="B24855" i="1"/>
  <c r="B24854" i="1"/>
  <c r="B24853" i="1"/>
  <c r="B24852" i="1"/>
  <c r="B24851" i="1"/>
  <c r="B24850" i="1"/>
  <c r="B24849" i="1"/>
  <c r="B24848" i="1"/>
  <c r="B24847" i="1"/>
  <c r="B24846" i="1"/>
  <c r="B24845" i="1"/>
  <c r="B24844" i="1"/>
  <c r="B24843" i="1"/>
  <c r="B24842" i="1"/>
  <c r="B24841" i="1"/>
  <c r="B24840" i="1"/>
  <c r="B24839" i="1"/>
  <c r="B24838" i="1"/>
  <c r="B24837" i="1"/>
  <c r="B24836" i="1"/>
  <c r="B24835" i="1"/>
  <c r="B24834" i="1"/>
  <c r="B24833" i="1"/>
  <c r="B24832" i="1"/>
  <c r="B24831" i="1"/>
  <c r="B24830" i="1"/>
  <c r="B24829" i="1"/>
  <c r="B24828" i="1"/>
  <c r="B24827" i="1"/>
  <c r="B24826" i="1"/>
  <c r="B24825" i="1"/>
  <c r="B24824" i="1"/>
  <c r="B24823" i="1"/>
  <c r="B24822" i="1"/>
  <c r="B24821" i="1"/>
  <c r="B24820" i="1"/>
  <c r="B24819" i="1"/>
  <c r="B24818" i="1"/>
  <c r="B24817" i="1"/>
  <c r="B24816" i="1"/>
  <c r="B24815" i="1"/>
  <c r="B24814" i="1"/>
  <c r="B24813" i="1"/>
  <c r="B24812" i="1"/>
  <c r="B24811" i="1"/>
  <c r="B24810" i="1"/>
  <c r="B24809" i="1"/>
  <c r="B24808" i="1"/>
  <c r="B24807" i="1"/>
  <c r="B24806" i="1"/>
  <c r="B24805" i="1"/>
  <c r="B24804" i="1"/>
  <c r="B24803" i="1"/>
  <c r="B24802" i="1"/>
  <c r="B24801" i="1"/>
  <c r="B24800" i="1"/>
  <c r="B24799" i="1"/>
  <c r="B24798" i="1"/>
  <c r="B24797" i="1"/>
  <c r="B24796" i="1"/>
  <c r="B24795" i="1"/>
  <c r="B24794" i="1"/>
  <c r="B24793" i="1"/>
  <c r="B24792" i="1"/>
  <c r="B24791" i="1"/>
  <c r="B24790" i="1"/>
  <c r="B24789" i="1"/>
  <c r="B24788" i="1"/>
  <c r="B24787" i="1"/>
  <c r="B24786" i="1"/>
  <c r="B24785" i="1"/>
  <c r="B24784" i="1"/>
  <c r="B24783" i="1"/>
  <c r="B24782" i="1"/>
  <c r="B24781" i="1"/>
  <c r="B24780" i="1"/>
  <c r="B24779" i="1"/>
  <c r="B24778" i="1"/>
  <c r="B24777" i="1"/>
  <c r="B24776" i="1"/>
  <c r="B24775" i="1"/>
  <c r="B24774" i="1"/>
  <c r="B24773" i="1"/>
  <c r="B24772" i="1"/>
  <c r="B24771" i="1"/>
  <c r="B24770" i="1"/>
  <c r="B24769" i="1"/>
  <c r="B24768" i="1"/>
  <c r="B24767" i="1"/>
  <c r="B24766" i="1"/>
  <c r="B24765" i="1"/>
  <c r="B24764" i="1"/>
  <c r="B24763" i="1"/>
  <c r="B24762" i="1"/>
  <c r="B24761" i="1"/>
  <c r="B24760" i="1"/>
  <c r="B24759" i="1"/>
  <c r="B24758" i="1"/>
  <c r="B24757" i="1"/>
  <c r="B24756" i="1"/>
  <c r="B24755" i="1"/>
  <c r="B24754" i="1"/>
  <c r="B24753" i="1"/>
  <c r="B24752" i="1"/>
  <c r="B24751" i="1"/>
  <c r="B24750" i="1"/>
  <c r="B24749" i="1"/>
  <c r="B24748" i="1"/>
  <c r="B24747" i="1"/>
  <c r="B24746" i="1"/>
  <c r="B24745" i="1"/>
  <c r="B24744" i="1"/>
  <c r="B24743" i="1"/>
  <c r="B24742" i="1"/>
  <c r="B24741" i="1"/>
  <c r="B24740" i="1"/>
  <c r="B24739" i="1"/>
  <c r="B24738" i="1"/>
  <c r="B24737" i="1"/>
  <c r="B24736" i="1"/>
  <c r="B24735" i="1"/>
  <c r="B24734" i="1"/>
  <c r="B24733" i="1"/>
  <c r="B24732" i="1"/>
  <c r="B24731" i="1"/>
  <c r="B24730" i="1"/>
  <c r="B24729" i="1"/>
  <c r="B24728" i="1"/>
  <c r="B24727" i="1"/>
  <c r="B24726" i="1"/>
  <c r="B24725" i="1"/>
  <c r="B24724" i="1"/>
  <c r="B24723" i="1"/>
  <c r="B24722" i="1"/>
  <c r="B24721" i="1"/>
  <c r="B24720" i="1"/>
  <c r="B24719" i="1"/>
  <c r="B24718" i="1"/>
  <c r="B24717" i="1"/>
  <c r="B24716" i="1"/>
  <c r="B24715" i="1"/>
  <c r="B24714" i="1"/>
  <c r="B24713" i="1"/>
  <c r="B24712" i="1"/>
  <c r="B24711" i="1"/>
  <c r="B24710" i="1"/>
  <c r="B24709" i="1"/>
  <c r="B24708" i="1"/>
  <c r="B24707" i="1"/>
  <c r="B24706" i="1"/>
  <c r="B24705" i="1"/>
  <c r="B24704" i="1"/>
  <c r="B24703" i="1"/>
  <c r="B24702" i="1"/>
  <c r="B24701" i="1"/>
  <c r="B24700" i="1"/>
  <c r="B24699" i="1"/>
  <c r="B24698" i="1"/>
  <c r="B24697" i="1"/>
  <c r="B24696" i="1"/>
  <c r="B24695" i="1"/>
  <c r="B24694" i="1"/>
  <c r="B24693" i="1"/>
  <c r="B24692" i="1"/>
  <c r="B24691" i="1"/>
  <c r="B24690" i="1"/>
  <c r="B24689" i="1"/>
  <c r="B24688" i="1"/>
  <c r="B24687" i="1"/>
  <c r="B24686" i="1"/>
  <c r="B24685" i="1"/>
  <c r="B24684" i="1"/>
  <c r="B24683" i="1"/>
  <c r="B24682" i="1"/>
  <c r="B24681" i="1"/>
  <c r="B24680" i="1"/>
  <c r="B24679" i="1"/>
  <c r="B24678" i="1"/>
  <c r="B24677" i="1"/>
  <c r="B24676" i="1"/>
  <c r="B24675" i="1"/>
  <c r="B24674" i="1"/>
  <c r="B24673" i="1"/>
  <c r="B24672" i="1"/>
  <c r="B24671" i="1"/>
  <c r="B24670" i="1"/>
  <c r="B24669" i="1"/>
  <c r="B24668" i="1"/>
  <c r="B24667" i="1"/>
  <c r="B24666" i="1"/>
  <c r="B24665" i="1"/>
  <c r="B24664" i="1"/>
  <c r="B24663" i="1"/>
  <c r="B24662" i="1"/>
  <c r="B24661" i="1"/>
  <c r="B24660" i="1"/>
  <c r="B24659" i="1"/>
  <c r="B24658" i="1"/>
  <c r="B24657" i="1"/>
  <c r="B24656" i="1"/>
  <c r="B24655" i="1"/>
  <c r="B24654" i="1"/>
  <c r="B24653" i="1"/>
  <c r="B24652" i="1"/>
  <c r="B24651" i="1"/>
  <c r="B24650" i="1"/>
  <c r="B24649" i="1"/>
  <c r="B24648" i="1"/>
  <c r="B24647" i="1"/>
  <c r="B24646" i="1"/>
  <c r="B24645" i="1"/>
  <c r="B24644" i="1"/>
  <c r="B24643" i="1"/>
  <c r="B24642" i="1"/>
  <c r="B24641" i="1"/>
  <c r="B24640" i="1"/>
  <c r="B24639" i="1"/>
  <c r="B24638" i="1"/>
  <c r="B24637" i="1"/>
  <c r="B24636" i="1"/>
  <c r="B24635" i="1"/>
  <c r="B24634" i="1"/>
  <c r="B24633" i="1"/>
  <c r="B24632" i="1"/>
  <c r="B24631" i="1"/>
  <c r="B24630" i="1"/>
  <c r="B24629" i="1"/>
  <c r="B24628" i="1"/>
  <c r="B24627" i="1"/>
  <c r="B24626" i="1"/>
  <c r="B24625" i="1"/>
  <c r="B24624" i="1"/>
  <c r="B24623" i="1"/>
  <c r="B24622" i="1"/>
  <c r="B24621" i="1"/>
  <c r="B24620" i="1"/>
  <c r="B24619" i="1"/>
  <c r="B24618" i="1"/>
  <c r="B24617" i="1"/>
  <c r="B24616" i="1"/>
  <c r="B24615" i="1"/>
  <c r="B24614" i="1"/>
  <c r="B24613" i="1"/>
  <c r="B24612" i="1"/>
  <c r="B24611" i="1"/>
  <c r="B24610" i="1"/>
  <c r="B24609" i="1"/>
  <c r="B24608" i="1"/>
  <c r="B24607" i="1"/>
  <c r="B24606" i="1"/>
  <c r="B24605" i="1"/>
  <c r="B24604" i="1"/>
  <c r="B24603" i="1"/>
  <c r="B24602" i="1"/>
  <c r="B24601" i="1"/>
  <c r="B24600" i="1"/>
  <c r="B24599" i="1"/>
  <c r="B24598" i="1"/>
  <c r="B24597" i="1"/>
  <c r="B24596" i="1"/>
  <c r="B24595" i="1"/>
  <c r="B24594" i="1"/>
  <c r="B24593" i="1"/>
  <c r="B24592" i="1"/>
  <c r="B24591" i="1"/>
  <c r="B24590" i="1"/>
  <c r="B24589" i="1"/>
  <c r="B24588" i="1"/>
  <c r="B24587" i="1"/>
  <c r="B24586" i="1"/>
  <c r="B24585" i="1"/>
  <c r="B24584" i="1"/>
  <c r="B24583" i="1"/>
  <c r="B24582" i="1"/>
  <c r="B24581" i="1"/>
  <c r="B24580" i="1"/>
  <c r="B24579" i="1"/>
  <c r="B24578" i="1"/>
  <c r="B24577" i="1"/>
  <c r="B24576" i="1"/>
  <c r="B24575" i="1"/>
  <c r="B24574" i="1"/>
  <c r="B24573" i="1"/>
  <c r="B24572" i="1"/>
  <c r="B24571" i="1"/>
  <c r="B24570" i="1"/>
  <c r="B24569" i="1"/>
  <c r="B24568" i="1"/>
  <c r="B24567" i="1"/>
  <c r="B24566" i="1"/>
  <c r="B24565" i="1"/>
  <c r="B24564" i="1"/>
  <c r="B24563" i="1"/>
  <c r="B24562" i="1"/>
  <c r="B24561" i="1"/>
  <c r="B24560" i="1"/>
  <c r="B24559" i="1"/>
  <c r="B24558" i="1"/>
  <c r="B24557" i="1"/>
  <c r="B24556" i="1"/>
  <c r="B24555" i="1"/>
  <c r="B24554" i="1"/>
  <c r="B24553" i="1"/>
  <c r="B24552" i="1"/>
  <c r="B24551" i="1"/>
  <c r="B24550" i="1"/>
  <c r="B24549" i="1"/>
  <c r="B24548" i="1"/>
  <c r="B24547" i="1"/>
  <c r="B24546" i="1"/>
  <c r="B24545" i="1"/>
  <c r="B24544" i="1"/>
  <c r="B24543" i="1"/>
  <c r="B24542" i="1"/>
  <c r="B24541" i="1"/>
  <c r="B24540" i="1"/>
  <c r="B24539" i="1"/>
  <c r="B24538" i="1"/>
  <c r="B24537" i="1"/>
  <c r="B24536" i="1"/>
  <c r="B24535" i="1"/>
  <c r="B24534" i="1"/>
  <c r="B24533" i="1"/>
  <c r="B24532" i="1"/>
  <c r="B24531" i="1"/>
  <c r="B24530" i="1"/>
  <c r="B24529" i="1"/>
  <c r="B24528" i="1"/>
  <c r="B24527" i="1"/>
  <c r="B24526" i="1"/>
  <c r="B24525" i="1"/>
  <c r="B24524" i="1"/>
  <c r="B24523" i="1"/>
  <c r="B24522" i="1"/>
  <c r="B24521" i="1"/>
  <c r="B24520" i="1"/>
  <c r="B24519" i="1"/>
  <c r="B24518" i="1"/>
  <c r="B24517" i="1"/>
  <c r="B24516" i="1"/>
  <c r="B24515" i="1"/>
  <c r="B24514" i="1"/>
  <c r="B24513" i="1"/>
  <c r="B24512" i="1"/>
  <c r="B24511" i="1"/>
  <c r="B24510" i="1"/>
  <c r="B24509" i="1"/>
  <c r="B24508" i="1"/>
  <c r="B24507" i="1"/>
  <c r="B24506" i="1"/>
  <c r="B24505" i="1"/>
  <c r="B24504" i="1"/>
  <c r="B24503" i="1"/>
  <c r="B24502" i="1"/>
  <c r="B24501" i="1"/>
  <c r="B24500" i="1"/>
  <c r="B24499" i="1"/>
  <c r="B24498" i="1"/>
  <c r="B24497" i="1"/>
  <c r="B24496" i="1"/>
  <c r="B24495" i="1"/>
  <c r="B24494" i="1"/>
  <c r="B24493" i="1"/>
  <c r="B24492" i="1"/>
  <c r="B24491" i="1"/>
  <c r="B24490" i="1"/>
  <c r="B24489" i="1"/>
  <c r="B24488" i="1"/>
  <c r="B24487" i="1"/>
  <c r="B24486" i="1"/>
  <c r="B24485" i="1"/>
  <c r="B24484" i="1"/>
  <c r="B24483" i="1"/>
  <c r="B24482" i="1"/>
  <c r="B24481" i="1"/>
  <c r="B24480" i="1"/>
  <c r="B24479" i="1"/>
  <c r="B24478" i="1"/>
  <c r="B24477" i="1"/>
  <c r="B24476" i="1"/>
  <c r="B24475" i="1"/>
  <c r="B24474" i="1"/>
  <c r="B24473" i="1"/>
  <c r="B24472" i="1"/>
  <c r="B24471" i="1"/>
  <c r="B24470" i="1"/>
  <c r="B24469" i="1"/>
  <c r="B24468" i="1"/>
  <c r="B24467" i="1"/>
  <c r="B24466" i="1"/>
  <c r="B24465" i="1"/>
  <c r="B24464" i="1"/>
  <c r="B24463" i="1"/>
  <c r="B24462" i="1"/>
  <c r="B24461" i="1"/>
  <c r="B24460" i="1"/>
  <c r="B24459" i="1"/>
  <c r="B24458" i="1"/>
  <c r="B24457" i="1"/>
  <c r="B24456" i="1"/>
  <c r="B24455" i="1"/>
  <c r="B24454" i="1"/>
  <c r="B24453" i="1"/>
  <c r="B24452" i="1"/>
  <c r="B24451" i="1"/>
  <c r="B24450" i="1"/>
  <c r="B24449" i="1"/>
  <c r="B24448" i="1"/>
  <c r="B24447" i="1"/>
  <c r="B24446" i="1"/>
  <c r="B24445" i="1"/>
  <c r="B24444" i="1"/>
  <c r="B24443" i="1"/>
  <c r="B24442" i="1"/>
  <c r="B24441" i="1"/>
  <c r="B24440" i="1"/>
  <c r="B24439" i="1"/>
  <c r="B24438" i="1"/>
  <c r="B24437" i="1"/>
  <c r="B24436" i="1"/>
  <c r="B24435" i="1"/>
  <c r="B24434" i="1"/>
  <c r="B24433" i="1"/>
  <c r="B24432" i="1"/>
  <c r="B24431" i="1"/>
  <c r="B24430" i="1"/>
  <c r="B24429" i="1"/>
  <c r="B24428" i="1"/>
  <c r="B24427" i="1"/>
  <c r="B24426" i="1"/>
  <c r="B24425" i="1"/>
  <c r="B24424" i="1"/>
  <c r="B24423" i="1"/>
  <c r="B24422" i="1"/>
  <c r="B24421" i="1"/>
  <c r="B24420" i="1"/>
  <c r="B24419" i="1"/>
  <c r="B24418" i="1"/>
  <c r="B24417" i="1"/>
  <c r="B24416" i="1"/>
  <c r="B24415" i="1"/>
  <c r="B24414" i="1"/>
  <c r="B24413" i="1"/>
  <c r="B24412" i="1"/>
  <c r="B24411" i="1"/>
  <c r="B24410" i="1"/>
  <c r="B24409" i="1"/>
  <c r="B24408" i="1"/>
  <c r="B24407" i="1"/>
  <c r="B24406" i="1"/>
  <c r="B24405" i="1"/>
  <c r="B24404" i="1"/>
  <c r="B24403" i="1"/>
  <c r="B24402" i="1"/>
  <c r="B24401" i="1"/>
  <c r="B24400" i="1"/>
  <c r="B24399" i="1"/>
  <c r="B24398" i="1"/>
  <c r="B24397" i="1"/>
  <c r="B24396" i="1"/>
  <c r="B24395" i="1"/>
  <c r="B24394" i="1"/>
  <c r="B24393" i="1"/>
  <c r="B24392" i="1"/>
  <c r="B24391" i="1"/>
  <c r="B24390" i="1"/>
  <c r="B24389" i="1"/>
  <c r="B24388" i="1"/>
  <c r="B24387" i="1"/>
  <c r="B24386" i="1"/>
  <c r="B24385" i="1"/>
  <c r="B24384" i="1"/>
  <c r="B24383" i="1"/>
  <c r="B24382" i="1"/>
  <c r="B24381" i="1"/>
  <c r="B24380" i="1"/>
  <c r="B24379" i="1"/>
  <c r="B24378" i="1"/>
  <c r="B24377" i="1"/>
  <c r="B24376" i="1"/>
  <c r="B24375" i="1"/>
  <c r="B24374" i="1"/>
  <c r="B24373" i="1"/>
  <c r="B24372" i="1"/>
  <c r="B24371" i="1"/>
  <c r="B24370" i="1"/>
  <c r="B24369" i="1"/>
  <c r="B24368" i="1"/>
  <c r="B24367" i="1"/>
  <c r="B24366" i="1"/>
  <c r="B24365" i="1"/>
  <c r="B24364" i="1"/>
  <c r="B24363" i="1"/>
  <c r="B24362" i="1"/>
  <c r="B24361" i="1"/>
  <c r="B24360" i="1"/>
  <c r="B24359" i="1"/>
  <c r="B24358" i="1"/>
  <c r="B24357" i="1"/>
  <c r="B24356" i="1"/>
  <c r="B24355" i="1"/>
  <c r="B24354" i="1"/>
  <c r="B24353" i="1"/>
  <c r="B24352" i="1"/>
  <c r="B24351" i="1"/>
  <c r="B24350" i="1"/>
  <c r="B24349" i="1"/>
  <c r="B24348" i="1"/>
  <c r="B24347" i="1"/>
  <c r="B24346" i="1"/>
  <c r="B24345" i="1"/>
  <c r="B24344" i="1"/>
  <c r="B24343" i="1"/>
  <c r="B24342" i="1"/>
  <c r="B24341" i="1"/>
  <c r="B24340" i="1"/>
  <c r="B24339" i="1"/>
  <c r="B24338" i="1"/>
  <c r="B24337" i="1"/>
  <c r="B24336" i="1"/>
  <c r="B24335" i="1"/>
  <c r="B24334" i="1"/>
  <c r="B24333" i="1"/>
  <c r="B24332" i="1"/>
  <c r="B24331" i="1"/>
  <c r="B24330" i="1"/>
  <c r="B24329" i="1"/>
  <c r="B24328" i="1"/>
  <c r="B24327" i="1"/>
  <c r="B24326" i="1"/>
  <c r="B24325" i="1"/>
  <c r="B24324" i="1"/>
  <c r="B24323" i="1"/>
  <c r="B24322" i="1"/>
  <c r="B24321" i="1"/>
  <c r="B24320" i="1"/>
  <c r="B24319" i="1"/>
  <c r="B24318" i="1"/>
  <c r="B24317" i="1"/>
  <c r="B24316" i="1"/>
  <c r="B24315" i="1"/>
  <c r="B24314" i="1"/>
  <c r="B24313" i="1"/>
  <c r="B24312" i="1"/>
  <c r="B24311" i="1"/>
  <c r="B24310" i="1"/>
  <c r="B24309" i="1"/>
  <c r="B24308" i="1"/>
  <c r="B24307" i="1"/>
  <c r="B24306" i="1"/>
  <c r="B24305" i="1"/>
  <c r="B24304" i="1"/>
  <c r="B24303" i="1"/>
  <c r="B24302" i="1"/>
  <c r="B24301" i="1"/>
  <c r="B24300" i="1"/>
  <c r="B24299" i="1"/>
  <c r="B24298" i="1"/>
  <c r="B24297" i="1"/>
  <c r="B24296" i="1"/>
  <c r="B24295" i="1"/>
  <c r="B24294" i="1"/>
  <c r="B24293" i="1"/>
  <c r="B24292" i="1"/>
  <c r="B24291" i="1"/>
  <c r="B24290" i="1"/>
  <c r="B24289" i="1"/>
  <c r="B24288" i="1"/>
  <c r="B24287" i="1"/>
  <c r="B24286" i="1"/>
  <c r="B24285" i="1"/>
  <c r="B24284" i="1"/>
  <c r="B24283" i="1"/>
  <c r="B24282" i="1"/>
  <c r="B24281" i="1"/>
  <c r="B24280" i="1"/>
  <c r="B24279" i="1"/>
  <c r="B24278" i="1"/>
  <c r="B24277" i="1"/>
  <c r="B24276" i="1"/>
  <c r="B24275" i="1"/>
  <c r="B24274" i="1"/>
  <c r="B24273" i="1"/>
  <c r="B24272" i="1"/>
  <c r="B24271" i="1"/>
  <c r="B24270" i="1"/>
  <c r="B24269" i="1"/>
  <c r="B24268" i="1"/>
  <c r="B24267" i="1"/>
  <c r="B24266" i="1"/>
  <c r="B24265" i="1"/>
  <c r="B24264" i="1"/>
  <c r="B24263" i="1"/>
  <c r="B24262" i="1"/>
  <c r="B24261" i="1"/>
  <c r="B24260" i="1"/>
  <c r="B24259" i="1"/>
  <c r="B24258" i="1"/>
  <c r="B24257" i="1"/>
  <c r="B24256" i="1"/>
  <c r="B24255" i="1"/>
  <c r="B24254" i="1"/>
  <c r="B24253" i="1"/>
  <c r="B24252" i="1"/>
  <c r="B24251" i="1"/>
  <c r="B24250" i="1"/>
  <c r="B24249" i="1"/>
  <c r="B24248" i="1"/>
  <c r="B24247" i="1"/>
  <c r="B24246" i="1"/>
  <c r="B24245" i="1"/>
  <c r="B24244" i="1"/>
  <c r="B24243" i="1"/>
  <c r="B24242" i="1"/>
  <c r="B24241" i="1"/>
  <c r="B24240" i="1"/>
  <c r="B24239" i="1"/>
  <c r="B24238" i="1"/>
  <c r="B24237" i="1"/>
  <c r="B24236" i="1"/>
  <c r="B24235" i="1"/>
  <c r="B24234" i="1"/>
  <c r="B24233" i="1"/>
  <c r="B24232" i="1"/>
  <c r="B24231" i="1"/>
  <c r="B24230" i="1"/>
  <c r="B24229" i="1"/>
  <c r="B24228" i="1"/>
  <c r="B24227" i="1"/>
  <c r="B24226" i="1"/>
  <c r="B24225" i="1"/>
  <c r="B24224" i="1"/>
  <c r="B24223" i="1"/>
  <c r="B24222" i="1"/>
  <c r="B24221" i="1"/>
  <c r="B24220" i="1"/>
  <c r="B24219" i="1"/>
  <c r="B24218" i="1"/>
  <c r="B24217" i="1"/>
  <c r="B24216" i="1"/>
  <c r="B24215" i="1"/>
  <c r="B24214" i="1"/>
  <c r="B24213" i="1"/>
  <c r="B24212" i="1"/>
  <c r="B24211" i="1"/>
  <c r="B24210" i="1"/>
  <c r="B24209" i="1"/>
  <c r="B24208" i="1"/>
  <c r="B24207" i="1"/>
  <c r="B24206" i="1"/>
  <c r="B24205" i="1"/>
  <c r="B24204" i="1"/>
  <c r="B24203" i="1"/>
  <c r="B24202" i="1"/>
  <c r="B24201" i="1"/>
  <c r="B24200" i="1"/>
  <c r="B24199" i="1"/>
  <c r="B24198" i="1"/>
  <c r="B24197" i="1"/>
  <c r="B24196" i="1"/>
  <c r="B24195" i="1"/>
  <c r="B24194" i="1"/>
  <c r="B24193" i="1"/>
  <c r="B24192" i="1"/>
  <c r="B24191" i="1"/>
  <c r="B24190" i="1"/>
  <c r="B24189" i="1"/>
  <c r="B24188" i="1"/>
  <c r="B24187" i="1"/>
  <c r="B24186" i="1"/>
  <c r="B24185" i="1"/>
  <c r="B24184" i="1"/>
  <c r="B24183" i="1"/>
  <c r="B24182" i="1"/>
  <c r="B24181" i="1"/>
  <c r="B24180" i="1"/>
  <c r="B24179" i="1"/>
  <c r="B24178" i="1"/>
  <c r="B24177" i="1"/>
  <c r="B24176" i="1"/>
  <c r="B24175" i="1"/>
  <c r="B24174" i="1"/>
  <c r="B24173" i="1"/>
  <c r="B24172" i="1"/>
  <c r="B24171" i="1"/>
  <c r="B24170" i="1"/>
  <c r="B24169" i="1"/>
  <c r="B24168" i="1"/>
  <c r="B24167" i="1"/>
  <c r="B24166" i="1"/>
  <c r="B24165" i="1"/>
  <c r="B24164" i="1"/>
  <c r="B24163" i="1"/>
  <c r="B24162" i="1"/>
  <c r="B24161" i="1"/>
  <c r="B24160" i="1"/>
  <c r="B24159" i="1"/>
  <c r="B24158" i="1"/>
  <c r="B24157" i="1"/>
  <c r="B24156" i="1"/>
  <c r="B24155" i="1"/>
  <c r="B24154" i="1"/>
  <c r="B24153" i="1"/>
  <c r="B24152" i="1"/>
  <c r="B24151" i="1"/>
  <c r="B24150" i="1"/>
  <c r="B24149" i="1"/>
  <c r="B24148" i="1"/>
  <c r="B24147" i="1"/>
  <c r="B24146" i="1"/>
  <c r="B24145" i="1"/>
  <c r="B24144" i="1"/>
  <c r="B24143" i="1"/>
  <c r="B24142" i="1"/>
  <c r="B24141" i="1"/>
  <c r="B24140" i="1"/>
  <c r="B24139" i="1"/>
  <c r="B24138" i="1"/>
  <c r="B24137" i="1"/>
  <c r="B24136" i="1"/>
  <c r="B24135" i="1"/>
  <c r="B24134" i="1"/>
  <c r="B24133" i="1"/>
  <c r="B24132" i="1"/>
  <c r="B24131" i="1"/>
  <c r="B24130" i="1"/>
  <c r="B24129" i="1"/>
  <c r="B24128" i="1"/>
  <c r="B24127" i="1"/>
  <c r="B24126" i="1"/>
  <c r="B24125" i="1"/>
  <c r="B24124" i="1"/>
  <c r="B24123" i="1"/>
  <c r="B24122" i="1"/>
  <c r="B24121" i="1"/>
  <c r="B24120" i="1"/>
  <c r="B24119" i="1"/>
  <c r="B24118" i="1"/>
  <c r="B24117" i="1"/>
  <c r="B24116" i="1"/>
  <c r="B24115" i="1"/>
  <c r="B24114" i="1"/>
  <c r="B24113" i="1"/>
  <c r="B24112" i="1"/>
  <c r="B24111" i="1"/>
  <c r="B24110" i="1"/>
  <c r="B24109" i="1"/>
  <c r="B24108" i="1"/>
  <c r="B24107" i="1"/>
  <c r="B24106" i="1"/>
  <c r="B24105" i="1"/>
  <c r="B24104" i="1"/>
  <c r="B24103" i="1"/>
  <c r="B24102" i="1"/>
  <c r="B24101" i="1"/>
  <c r="B24100" i="1"/>
  <c r="B24099" i="1"/>
  <c r="B24098" i="1"/>
  <c r="B24097" i="1"/>
  <c r="B24096" i="1"/>
  <c r="B24095" i="1"/>
  <c r="B24094" i="1"/>
  <c r="B24093" i="1"/>
  <c r="B24092" i="1"/>
  <c r="B24091" i="1"/>
  <c r="B24090" i="1"/>
  <c r="B24089" i="1"/>
  <c r="B24088" i="1"/>
  <c r="B24087" i="1"/>
  <c r="B24086" i="1"/>
  <c r="B24085" i="1"/>
  <c r="B24084" i="1"/>
  <c r="B24083" i="1"/>
  <c r="B24082" i="1"/>
  <c r="B24081" i="1"/>
  <c r="B24080" i="1"/>
  <c r="B24079" i="1"/>
  <c r="B24078" i="1"/>
  <c r="B24077" i="1"/>
  <c r="B24076" i="1"/>
  <c r="B24075" i="1"/>
  <c r="B24074" i="1"/>
  <c r="B24073" i="1"/>
  <c r="B24072" i="1"/>
  <c r="B24071" i="1"/>
  <c r="B24070" i="1"/>
  <c r="B24069" i="1"/>
  <c r="B24068" i="1"/>
  <c r="B24067" i="1"/>
  <c r="B24066" i="1"/>
  <c r="B24065" i="1"/>
  <c r="B24064" i="1"/>
  <c r="B24063" i="1"/>
  <c r="B24062" i="1"/>
  <c r="B24061" i="1"/>
  <c r="B24060" i="1"/>
  <c r="B24059" i="1"/>
  <c r="B24058" i="1"/>
  <c r="B24057" i="1"/>
  <c r="B24056" i="1"/>
  <c r="B24055" i="1"/>
  <c r="B24054" i="1"/>
  <c r="B24053" i="1"/>
  <c r="B24052" i="1"/>
  <c r="B24051" i="1"/>
  <c r="B24050" i="1"/>
  <c r="B24049" i="1"/>
  <c r="B24048" i="1"/>
  <c r="B24047" i="1"/>
  <c r="B24046" i="1"/>
  <c r="B24045" i="1"/>
  <c r="B24044" i="1"/>
  <c r="B24043" i="1"/>
  <c r="B24042" i="1"/>
  <c r="B24041" i="1"/>
  <c r="B24040" i="1"/>
  <c r="B24039" i="1"/>
  <c r="B24038" i="1"/>
  <c r="B24037" i="1"/>
  <c r="B24036" i="1"/>
  <c r="B24035" i="1"/>
  <c r="B24034" i="1"/>
  <c r="B24033" i="1"/>
  <c r="B24032" i="1"/>
  <c r="B24031" i="1"/>
  <c r="B24030" i="1"/>
  <c r="B24029" i="1"/>
  <c r="B24028" i="1"/>
  <c r="B24027" i="1"/>
  <c r="B24026" i="1"/>
  <c r="B24025" i="1"/>
  <c r="B24024" i="1"/>
  <c r="B24023" i="1"/>
  <c r="B24022" i="1"/>
  <c r="B24021" i="1"/>
  <c r="B24020" i="1"/>
  <c r="B24019" i="1"/>
  <c r="B24018" i="1"/>
  <c r="B24017" i="1"/>
  <c r="B24016" i="1"/>
  <c r="B24015" i="1"/>
  <c r="B24014" i="1"/>
  <c r="B24013" i="1"/>
  <c r="B24012" i="1"/>
  <c r="B24011" i="1"/>
  <c r="B24010" i="1"/>
  <c r="B24009" i="1"/>
  <c r="B24008" i="1"/>
  <c r="B24007" i="1"/>
  <c r="B24006" i="1"/>
  <c r="B24005" i="1"/>
  <c r="B24004" i="1"/>
  <c r="B24003" i="1"/>
  <c r="B24002" i="1"/>
  <c r="B24001" i="1"/>
  <c r="B24000" i="1"/>
  <c r="B23999" i="1"/>
  <c r="B23998" i="1"/>
  <c r="B23997" i="1"/>
  <c r="B23996" i="1"/>
  <c r="B23995" i="1"/>
  <c r="B23994" i="1"/>
  <c r="B23993" i="1"/>
  <c r="B23992" i="1"/>
  <c r="B23991" i="1"/>
  <c r="B23990" i="1"/>
  <c r="B23989" i="1"/>
  <c r="B23988" i="1"/>
  <c r="B23987" i="1"/>
  <c r="B23986" i="1"/>
  <c r="B23985" i="1"/>
  <c r="B23984" i="1"/>
  <c r="B23983" i="1"/>
  <c r="B23982" i="1"/>
  <c r="B23981" i="1"/>
  <c r="B23980" i="1"/>
  <c r="B23979" i="1"/>
  <c r="B23978" i="1"/>
  <c r="B23977" i="1"/>
  <c r="B23976" i="1"/>
  <c r="B23975" i="1"/>
  <c r="B23974" i="1"/>
  <c r="B23973" i="1"/>
  <c r="B23972" i="1"/>
  <c r="B23971" i="1"/>
  <c r="B23970" i="1"/>
  <c r="B23969" i="1"/>
  <c r="B23968" i="1"/>
  <c r="B23967" i="1"/>
  <c r="B23966" i="1"/>
  <c r="B23965" i="1"/>
  <c r="B23964" i="1"/>
  <c r="B23963" i="1"/>
  <c r="B23962" i="1"/>
  <c r="B23961" i="1"/>
  <c r="B23960" i="1"/>
  <c r="B23959" i="1"/>
  <c r="B23958" i="1"/>
  <c r="B23957" i="1"/>
  <c r="B23956" i="1"/>
  <c r="B23955" i="1"/>
  <c r="B23954" i="1"/>
  <c r="B23953" i="1"/>
  <c r="B23952" i="1"/>
  <c r="B23951" i="1"/>
  <c r="B23950" i="1"/>
  <c r="B23949" i="1"/>
  <c r="B23948" i="1"/>
  <c r="B23947" i="1"/>
  <c r="B23946" i="1"/>
  <c r="B23945" i="1"/>
  <c r="B23944" i="1"/>
  <c r="B23943" i="1"/>
  <c r="B23942" i="1"/>
  <c r="B23941" i="1"/>
  <c r="B23940" i="1"/>
  <c r="B23939" i="1"/>
  <c r="B23938" i="1"/>
  <c r="B23937" i="1"/>
  <c r="B23936" i="1"/>
  <c r="B23935" i="1"/>
  <c r="B23934" i="1"/>
  <c r="B23933" i="1"/>
  <c r="B23932" i="1"/>
  <c r="B23931" i="1"/>
  <c r="B23930" i="1"/>
  <c r="B23929" i="1"/>
  <c r="B23928" i="1"/>
  <c r="B23927" i="1"/>
  <c r="B23926" i="1"/>
  <c r="B23925" i="1"/>
  <c r="B23924" i="1"/>
  <c r="B23923" i="1"/>
  <c r="B23922" i="1"/>
  <c r="B23921" i="1"/>
  <c r="B23920" i="1"/>
  <c r="B23919" i="1"/>
  <c r="B23918" i="1"/>
  <c r="B23917" i="1"/>
  <c r="B23916" i="1"/>
  <c r="B23915" i="1"/>
  <c r="B23914" i="1"/>
  <c r="B23913" i="1"/>
  <c r="B23912" i="1"/>
  <c r="B23911" i="1"/>
  <c r="B23910" i="1"/>
  <c r="B23909" i="1"/>
  <c r="B23908" i="1"/>
  <c r="B23907" i="1"/>
  <c r="B23906" i="1"/>
  <c r="B23905" i="1"/>
  <c r="B23904" i="1"/>
  <c r="B23903" i="1"/>
  <c r="B23902" i="1"/>
  <c r="B23901" i="1"/>
  <c r="B23900" i="1"/>
  <c r="B23899" i="1"/>
  <c r="B23898" i="1"/>
  <c r="B23897" i="1"/>
  <c r="B23896" i="1"/>
  <c r="B23895" i="1"/>
  <c r="B23894" i="1"/>
  <c r="B23893" i="1"/>
  <c r="B23892" i="1"/>
  <c r="B23891" i="1"/>
  <c r="B23890" i="1"/>
  <c r="B23889" i="1"/>
  <c r="B23888" i="1"/>
  <c r="B23887" i="1"/>
  <c r="B23886" i="1"/>
  <c r="B23885" i="1"/>
  <c r="B23884" i="1"/>
  <c r="B23883" i="1"/>
  <c r="B23882" i="1"/>
  <c r="B23881" i="1"/>
  <c r="B23880" i="1"/>
  <c r="B23879" i="1"/>
  <c r="B23878" i="1"/>
  <c r="B23877" i="1"/>
  <c r="B23876" i="1"/>
  <c r="B23875" i="1"/>
  <c r="B23874" i="1"/>
  <c r="B23873" i="1"/>
  <c r="B23872" i="1"/>
  <c r="B23871" i="1"/>
  <c r="B23870" i="1"/>
  <c r="B23869" i="1"/>
  <c r="B23868" i="1"/>
  <c r="B23867" i="1"/>
  <c r="B23866" i="1"/>
  <c r="B23865" i="1"/>
  <c r="B23864" i="1"/>
  <c r="B23863" i="1"/>
  <c r="B23862" i="1"/>
  <c r="B23861" i="1"/>
  <c r="B23860" i="1"/>
  <c r="B23859" i="1"/>
  <c r="B23858" i="1"/>
  <c r="B23857" i="1"/>
  <c r="B23856" i="1"/>
  <c r="B23855" i="1"/>
  <c r="B23854" i="1"/>
  <c r="B23853" i="1"/>
  <c r="B23852" i="1"/>
  <c r="B23851" i="1"/>
  <c r="B23850" i="1"/>
  <c r="B23849" i="1"/>
  <c r="B23848" i="1"/>
  <c r="B23847" i="1"/>
  <c r="B23846" i="1"/>
  <c r="B23845" i="1"/>
  <c r="B23844" i="1"/>
  <c r="B23843" i="1"/>
  <c r="B23842" i="1"/>
  <c r="B23841" i="1"/>
  <c r="B23840" i="1"/>
  <c r="B23839" i="1"/>
  <c r="B23838" i="1"/>
  <c r="B23837" i="1"/>
  <c r="B23836" i="1"/>
  <c r="B23835" i="1"/>
  <c r="B23834" i="1"/>
  <c r="B23833" i="1"/>
  <c r="B23832" i="1"/>
  <c r="B23831" i="1"/>
  <c r="B23830" i="1"/>
  <c r="B23829" i="1"/>
  <c r="B23828" i="1"/>
  <c r="B23827" i="1"/>
  <c r="B23826" i="1"/>
  <c r="B23825" i="1"/>
  <c r="B23824" i="1"/>
  <c r="B23823" i="1"/>
  <c r="B23822" i="1"/>
  <c r="B23821" i="1"/>
  <c r="B23820" i="1"/>
  <c r="B23819" i="1"/>
  <c r="B23818" i="1"/>
  <c r="B23817" i="1"/>
  <c r="B23816" i="1"/>
  <c r="B23815" i="1"/>
  <c r="B23814" i="1"/>
  <c r="B23813" i="1"/>
  <c r="B23812" i="1"/>
  <c r="B23811" i="1"/>
  <c r="B23810" i="1"/>
  <c r="B23809" i="1"/>
  <c r="B23808" i="1"/>
  <c r="B23807" i="1"/>
  <c r="B23806" i="1"/>
  <c r="B23805" i="1"/>
  <c r="B23804" i="1"/>
  <c r="B23803" i="1"/>
  <c r="B23802" i="1"/>
  <c r="B23801" i="1"/>
  <c r="B23800" i="1"/>
  <c r="B23799" i="1"/>
  <c r="B23798" i="1"/>
  <c r="B23797" i="1"/>
  <c r="B23796" i="1"/>
  <c r="B23795" i="1"/>
  <c r="B23794" i="1"/>
  <c r="B23793" i="1"/>
  <c r="B23792" i="1"/>
  <c r="B23791" i="1"/>
  <c r="B23790" i="1"/>
  <c r="B23789" i="1"/>
  <c r="B23788" i="1"/>
  <c r="B23787" i="1"/>
  <c r="B23786" i="1"/>
  <c r="B23785" i="1"/>
  <c r="B23784" i="1"/>
  <c r="B23783" i="1"/>
  <c r="B23782" i="1"/>
  <c r="B23781" i="1"/>
  <c r="B23780" i="1"/>
  <c r="B23779" i="1"/>
  <c r="B23778" i="1"/>
  <c r="B23777" i="1"/>
  <c r="B23776" i="1"/>
  <c r="B23775" i="1"/>
  <c r="B23774" i="1"/>
  <c r="B23773" i="1"/>
  <c r="B23772" i="1"/>
  <c r="B23771" i="1"/>
  <c r="B23770" i="1"/>
  <c r="B23769" i="1"/>
  <c r="B23768" i="1"/>
  <c r="B23767" i="1"/>
  <c r="B23766" i="1"/>
  <c r="B23765" i="1"/>
  <c r="B23764" i="1"/>
  <c r="B23763" i="1"/>
  <c r="B23762" i="1"/>
  <c r="B23761" i="1"/>
  <c r="B23760" i="1"/>
  <c r="B23759" i="1"/>
  <c r="B23758" i="1"/>
  <c r="B23757" i="1"/>
  <c r="B23756" i="1"/>
  <c r="B23755" i="1"/>
  <c r="B23754" i="1"/>
  <c r="B23753" i="1"/>
  <c r="B23752" i="1"/>
  <c r="B23751" i="1"/>
  <c r="B23750" i="1"/>
  <c r="B23749" i="1"/>
  <c r="B23748" i="1"/>
  <c r="B23747" i="1"/>
  <c r="B23746" i="1"/>
  <c r="B23745" i="1"/>
  <c r="B23744" i="1"/>
  <c r="B23743" i="1"/>
  <c r="B23742" i="1"/>
  <c r="B23741" i="1"/>
  <c r="B23740" i="1"/>
  <c r="B23739" i="1"/>
  <c r="B23738" i="1"/>
  <c r="B23737" i="1"/>
  <c r="B23736" i="1"/>
  <c r="B23735" i="1"/>
  <c r="B23734" i="1"/>
  <c r="B23733" i="1"/>
  <c r="B23732" i="1"/>
  <c r="B23731" i="1"/>
  <c r="B23730" i="1"/>
  <c r="B23729" i="1"/>
  <c r="B23728" i="1"/>
  <c r="B23727" i="1"/>
  <c r="B23726" i="1"/>
  <c r="B23725" i="1"/>
  <c r="B23724" i="1"/>
  <c r="B23723" i="1"/>
  <c r="B23722" i="1"/>
  <c r="B23721" i="1"/>
  <c r="B23720" i="1"/>
  <c r="B23719" i="1"/>
  <c r="B23718" i="1"/>
  <c r="B23717" i="1"/>
  <c r="B23716" i="1"/>
  <c r="B23715" i="1"/>
  <c r="B23714" i="1"/>
  <c r="B23713" i="1"/>
  <c r="B23712" i="1"/>
  <c r="B23711" i="1"/>
  <c r="B23710" i="1"/>
  <c r="B23709" i="1"/>
  <c r="B23708" i="1"/>
  <c r="B23707" i="1"/>
  <c r="B23706" i="1"/>
  <c r="B23705" i="1"/>
  <c r="B23704" i="1"/>
  <c r="B23703" i="1"/>
  <c r="B23702" i="1"/>
  <c r="B23701" i="1"/>
  <c r="B23700" i="1"/>
  <c r="B23699" i="1"/>
  <c r="B23698" i="1"/>
  <c r="B23697" i="1"/>
  <c r="B23696" i="1"/>
  <c r="B23695" i="1"/>
  <c r="B23694" i="1"/>
  <c r="B23693" i="1"/>
  <c r="B23692" i="1"/>
  <c r="B23691" i="1"/>
  <c r="B23690" i="1"/>
  <c r="B23689" i="1"/>
  <c r="B23688" i="1"/>
  <c r="B23687" i="1"/>
  <c r="B23686" i="1"/>
  <c r="B23685" i="1"/>
  <c r="B23684" i="1"/>
  <c r="B23683" i="1"/>
  <c r="B23682" i="1"/>
  <c r="B23681" i="1"/>
  <c r="B23680" i="1"/>
  <c r="B23679" i="1"/>
  <c r="B23678" i="1"/>
  <c r="B23677" i="1"/>
  <c r="B23676" i="1"/>
  <c r="B23675" i="1"/>
  <c r="B23674" i="1"/>
  <c r="B23673" i="1"/>
  <c r="B23672" i="1"/>
  <c r="B23671" i="1"/>
  <c r="B23670" i="1"/>
  <c r="B23669" i="1"/>
  <c r="B23668" i="1"/>
  <c r="B23667" i="1"/>
  <c r="B23666" i="1"/>
  <c r="B23665" i="1"/>
  <c r="B23664" i="1"/>
  <c r="B23663" i="1"/>
  <c r="B23662" i="1"/>
  <c r="B23661" i="1"/>
  <c r="B23660" i="1"/>
  <c r="B23659" i="1"/>
  <c r="B23658" i="1"/>
  <c r="B23657" i="1"/>
  <c r="B23656" i="1"/>
  <c r="B23655" i="1"/>
  <c r="B23654" i="1"/>
  <c r="B23653" i="1"/>
  <c r="B23652" i="1"/>
  <c r="B23651" i="1"/>
  <c r="B23650" i="1"/>
  <c r="B23649" i="1"/>
  <c r="B23648" i="1"/>
  <c r="B23647" i="1"/>
  <c r="B23646" i="1"/>
  <c r="B23645" i="1"/>
  <c r="B23644" i="1"/>
  <c r="B23643" i="1"/>
  <c r="B23642" i="1"/>
  <c r="B23641" i="1"/>
  <c r="B23640" i="1"/>
  <c r="B23639" i="1"/>
  <c r="B23638" i="1"/>
  <c r="B23637" i="1"/>
  <c r="B23636" i="1"/>
  <c r="B23635" i="1"/>
  <c r="B23634" i="1"/>
  <c r="B23633" i="1"/>
  <c r="B23632" i="1"/>
  <c r="B23631" i="1"/>
  <c r="B23630" i="1"/>
  <c r="B23629" i="1"/>
  <c r="B23628" i="1"/>
  <c r="B23627" i="1"/>
  <c r="B23626" i="1"/>
  <c r="B23625" i="1"/>
  <c r="B23624" i="1"/>
  <c r="B23623" i="1"/>
  <c r="B23622" i="1"/>
  <c r="B23621" i="1"/>
  <c r="B23620" i="1"/>
  <c r="B23619" i="1"/>
  <c r="B23618" i="1"/>
  <c r="B23617" i="1"/>
  <c r="B23616" i="1"/>
  <c r="B23615" i="1"/>
  <c r="B23614" i="1"/>
  <c r="B23613" i="1"/>
  <c r="B23612" i="1"/>
  <c r="B23611" i="1"/>
  <c r="B23610" i="1"/>
  <c r="B23609" i="1"/>
  <c r="B23608" i="1"/>
  <c r="B23607" i="1"/>
  <c r="B23606" i="1"/>
  <c r="B23605" i="1"/>
  <c r="B23604" i="1"/>
  <c r="B23603" i="1"/>
  <c r="B23602" i="1"/>
  <c r="B23601" i="1"/>
  <c r="B23600" i="1"/>
  <c r="B23599" i="1"/>
  <c r="B23598" i="1"/>
  <c r="B23597" i="1"/>
  <c r="B23596" i="1"/>
  <c r="B23595" i="1"/>
  <c r="B23594" i="1"/>
  <c r="B23593" i="1"/>
  <c r="B23592" i="1"/>
  <c r="B23591" i="1"/>
  <c r="B23590" i="1"/>
  <c r="B23589" i="1"/>
  <c r="B23588" i="1"/>
  <c r="B23587" i="1"/>
  <c r="B23586" i="1"/>
  <c r="B23585" i="1"/>
  <c r="B23584" i="1"/>
  <c r="B23583" i="1"/>
  <c r="B23582" i="1"/>
  <c r="B23581" i="1"/>
  <c r="B23580" i="1"/>
  <c r="B23579" i="1"/>
  <c r="B23578" i="1"/>
  <c r="B23577" i="1"/>
  <c r="B23576" i="1"/>
  <c r="B23575" i="1"/>
  <c r="B23574" i="1"/>
  <c r="B23573" i="1"/>
  <c r="B23572" i="1"/>
  <c r="B23571" i="1"/>
  <c r="B23570" i="1"/>
  <c r="B23569" i="1"/>
  <c r="B23568" i="1"/>
  <c r="B23567" i="1"/>
  <c r="B23566" i="1"/>
  <c r="B23565" i="1"/>
  <c r="B23564" i="1"/>
  <c r="B23563" i="1"/>
  <c r="B23562" i="1"/>
  <c r="B23561" i="1"/>
  <c r="B23560" i="1"/>
  <c r="B23559" i="1"/>
  <c r="B23558" i="1"/>
  <c r="B23557" i="1"/>
  <c r="B23556" i="1"/>
  <c r="B23555" i="1"/>
  <c r="B23554" i="1"/>
  <c r="B23553" i="1"/>
  <c r="B23552" i="1"/>
  <c r="B23551" i="1"/>
  <c r="B23550" i="1"/>
  <c r="B23549" i="1"/>
  <c r="B23548" i="1"/>
  <c r="B23547" i="1"/>
  <c r="B23546" i="1"/>
  <c r="B23545" i="1"/>
  <c r="B23544" i="1"/>
  <c r="B23543" i="1"/>
  <c r="B23542" i="1"/>
  <c r="B23541" i="1"/>
  <c r="B23540" i="1"/>
  <c r="B23539" i="1"/>
  <c r="B23538" i="1"/>
  <c r="B23537" i="1"/>
  <c r="B23536" i="1"/>
  <c r="B23535" i="1"/>
  <c r="B23534" i="1"/>
  <c r="B23533" i="1"/>
  <c r="B23532" i="1"/>
  <c r="B23531" i="1"/>
  <c r="B23530" i="1"/>
  <c r="B23529" i="1"/>
  <c r="B23528" i="1"/>
  <c r="B23527" i="1"/>
  <c r="B23526" i="1"/>
  <c r="B23525" i="1"/>
  <c r="B23524" i="1"/>
  <c r="B23523" i="1"/>
  <c r="B23522" i="1"/>
  <c r="B23521" i="1"/>
  <c r="B23520" i="1"/>
  <c r="B23519" i="1"/>
  <c r="B23518" i="1"/>
  <c r="B23517" i="1"/>
  <c r="B23516" i="1"/>
  <c r="B23515" i="1"/>
  <c r="B23514" i="1"/>
  <c r="B23513" i="1"/>
  <c r="B23512" i="1"/>
  <c r="B23511" i="1"/>
  <c r="B23510" i="1"/>
  <c r="B23509" i="1"/>
  <c r="B23508" i="1"/>
  <c r="B23507" i="1"/>
  <c r="B23506" i="1"/>
  <c r="B23505" i="1"/>
  <c r="B23504" i="1"/>
  <c r="B23503" i="1"/>
  <c r="B23502" i="1"/>
  <c r="B23501" i="1"/>
  <c r="B23500" i="1"/>
  <c r="B23499" i="1"/>
  <c r="B23498" i="1"/>
  <c r="B23497" i="1"/>
  <c r="B23496" i="1"/>
  <c r="B23495" i="1"/>
  <c r="B23494" i="1"/>
  <c r="B23493" i="1"/>
  <c r="B23492" i="1"/>
  <c r="B23491" i="1"/>
  <c r="B23490" i="1"/>
  <c r="B23489" i="1"/>
  <c r="B23488" i="1"/>
  <c r="B23487" i="1"/>
  <c r="B23486" i="1"/>
  <c r="B23485" i="1"/>
  <c r="B23484" i="1"/>
  <c r="B23483" i="1"/>
  <c r="B23482" i="1"/>
  <c r="B23481" i="1"/>
  <c r="B23480" i="1"/>
  <c r="B23479" i="1"/>
  <c r="B23478" i="1"/>
  <c r="B23477" i="1"/>
  <c r="B23476" i="1"/>
  <c r="B23475" i="1"/>
  <c r="B23474" i="1"/>
  <c r="B23473" i="1"/>
  <c r="B23472" i="1"/>
  <c r="B23471" i="1"/>
  <c r="B23470" i="1"/>
  <c r="B23469" i="1"/>
  <c r="B23468" i="1"/>
  <c r="B23467" i="1"/>
  <c r="B23466" i="1"/>
  <c r="B23465" i="1"/>
  <c r="B23464" i="1"/>
  <c r="B23463" i="1"/>
  <c r="B23462" i="1"/>
  <c r="B23461" i="1"/>
  <c r="B23460" i="1"/>
  <c r="B23459" i="1"/>
  <c r="B23458" i="1"/>
  <c r="B23457" i="1"/>
  <c r="B23456" i="1"/>
  <c r="B23455" i="1"/>
  <c r="B23454" i="1"/>
  <c r="B23453" i="1"/>
  <c r="B23452" i="1"/>
  <c r="B23451" i="1"/>
  <c r="B23450" i="1"/>
  <c r="B23449" i="1"/>
  <c r="B23448" i="1"/>
  <c r="B23447" i="1"/>
  <c r="B23446" i="1"/>
  <c r="B23445" i="1"/>
  <c r="B23444" i="1"/>
  <c r="B23443" i="1"/>
  <c r="B23442" i="1"/>
  <c r="B23441" i="1"/>
  <c r="B23440" i="1"/>
  <c r="B23439" i="1"/>
  <c r="B23438" i="1"/>
  <c r="B23437" i="1"/>
  <c r="B23436" i="1"/>
  <c r="B23435" i="1"/>
  <c r="B23434" i="1"/>
  <c r="B23433" i="1"/>
  <c r="B23432" i="1"/>
  <c r="B23431" i="1"/>
  <c r="B23430" i="1"/>
  <c r="B23429" i="1"/>
  <c r="B23428" i="1"/>
  <c r="B23427" i="1"/>
  <c r="B23426" i="1"/>
  <c r="B23425" i="1"/>
  <c r="B23424" i="1"/>
  <c r="B23423" i="1"/>
  <c r="B23422" i="1"/>
  <c r="B23421" i="1"/>
  <c r="B23420" i="1"/>
  <c r="B23419" i="1"/>
  <c r="B23418" i="1"/>
  <c r="B23417" i="1"/>
  <c r="B23416" i="1"/>
  <c r="B23415" i="1"/>
  <c r="B23414" i="1"/>
  <c r="B23413" i="1"/>
  <c r="B23412" i="1"/>
  <c r="B23411" i="1"/>
  <c r="B23410" i="1"/>
  <c r="B23409" i="1"/>
  <c r="B23408" i="1"/>
  <c r="B23407" i="1"/>
  <c r="B23406" i="1"/>
  <c r="B23405" i="1"/>
  <c r="B23404" i="1"/>
  <c r="B23403" i="1"/>
  <c r="B23402" i="1"/>
  <c r="B23401" i="1"/>
  <c r="B23400" i="1"/>
  <c r="B23399" i="1"/>
  <c r="B23398" i="1"/>
  <c r="B23397" i="1"/>
  <c r="B23396" i="1"/>
  <c r="B23395" i="1"/>
  <c r="B23394" i="1"/>
  <c r="B23393" i="1"/>
  <c r="B23392" i="1"/>
  <c r="B23391" i="1"/>
  <c r="B23390" i="1"/>
  <c r="B23389" i="1"/>
  <c r="B23388" i="1"/>
  <c r="B23387" i="1"/>
  <c r="B23386" i="1"/>
  <c r="B23385" i="1"/>
  <c r="B23384" i="1"/>
  <c r="B23383" i="1"/>
  <c r="B23382" i="1"/>
  <c r="B23381" i="1"/>
  <c r="B23380" i="1"/>
  <c r="B23379" i="1"/>
  <c r="B23378" i="1"/>
  <c r="B23377" i="1"/>
  <c r="B23376" i="1"/>
  <c r="B23375" i="1"/>
  <c r="B23374" i="1"/>
  <c r="B23373" i="1"/>
  <c r="B23372" i="1"/>
  <c r="B23371" i="1"/>
  <c r="B23370" i="1"/>
  <c r="B23369" i="1"/>
  <c r="B23368" i="1"/>
  <c r="B23367" i="1"/>
  <c r="B23366" i="1"/>
  <c r="B23365" i="1"/>
  <c r="B23364" i="1"/>
  <c r="B23363" i="1"/>
  <c r="B23362" i="1"/>
  <c r="B23361" i="1"/>
  <c r="B23360" i="1"/>
  <c r="B23359" i="1"/>
  <c r="B23358" i="1"/>
  <c r="B23357" i="1"/>
  <c r="B23356" i="1"/>
  <c r="B23355" i="1"/>
  <c r="B23354" i="1"/>
  <c r="B23353" i="1"/>
  <c r="B23352" i="1"/>
  <c r="B23351" i="1"/>
  <c r="B23350" i="1"/>
  <c r="B23349" i="1"/>
  <c r="B23348" i="1"/>
  <c r="B23347" i="1"/>
  <c r="B23346" i="1"/>
  <c r="B23345" i="1"/>
  <c r="B23344" i="1"/>
  <c r="B23343" i="1"/>
  <c r="B23342" i="1"/>
  <c r="B23341" i="1"/>
  <c r="B23340" i="1"/>
  <c r="B23339" i="1"/>
  <c r="B23338" i="1"/>
  <c r="B23337" i="1"/>
  <c r="B23336" i="1"/>
  <c r="B23335" i="1"/>
  <c r="B23334" i="1"/>
  <c r="B23333" i="1"/>
  <c r="B23332" i="1"/>
  <c r="B23331" i="1"/>
  <c r="B23330" i="1"/>
  <c r="B23329" i="1"/>
  <c r="B23328" i="1"/>
  <c r="B23327" i="1"/>
  <c r="B23326" i="1"/>
  <c r="B23325" i="1"/>
  <c r="B23324" i="1"/>
  <c r="B23323" i="1"/>
  <c r="B23322" i="1"/>
  <c r="B23321" i="1"/>
  <c r="B23320" i="1"/>
  <c r="B23319" i="1"/>
  <c r="B23318" i="1"/>
  <c r="B23317" i="1"/>
  <c r="B23316" i="1"/>
  <c r="B23315" i="1"/>
  <c r="B23314" i="1"/>
  <c r="B23313" i="1"/>
  <c r="B23312" i="1"/>
  <c r="B23311" i="1"/>
  <c r="B23310" i="1"/>
  <c r="B23309" i="1"/>
  <c r="B23308" i="1"/>
  <c r="B23307" i="1"/>
  <c r="B23306" i="1"/>
  <c r="B23305" i="1"/>
  <c r="B23304" i="1"/>
  <c r="B23303" i="1"/>
  <c r="B23302" i="1"/>
  <c r="B23301" i="1"/>
  <c r="B23300" i="1"/>
  <c r="B23299" i="1"/>
  <c r="B23298" i="1"/>
  <c r="B23297" i="1"/>
  <c r="B23296" i="1"/>
  <c r="B23295" i="1"/>
  <c r="B23294" i="1"/>
  <c r="B23293" i="1"/>
  <c r="B23292" i="1"/>
  <c r="B23291" i="1"/>
  <c r="B23290" i="1"/>
  <c r="B23289" i="1"/>
  <c r="B23288" i="1"/>
  <c r="B23287" i="1"/>
  <c r="B23286" i="1"/>
  <c r="B23285" i="1"/>
  <c r="B23284" i="1"/>
  <c r="B23283" i="1"/>
  <c r="B23282" i="1"/>
  <c r="B23281" i="1"/>
  <c r="B23280" i="1"/>
  <c r="B23279" i="1"/>
  <c r="B23278" i="1"/>
  <c r="B23277" i="1"/>
  <c r="B23276" i="1"/>
  <c r="B23275" i="1"/>
  <c r="B23274" i="1"/>
  <c r="B23273" i="1"/>
  <c r="B23272" i="1"/>
  <c r="B23271" i="1"/>
  <c r="B23270" i="1"/>
  <c r="B23269" i="1"/>
  <c r="B23268" i="1"/>
  <c r="B23267" i="1"/>
  <c r="B23266" i="1"/>
  <c r="B23265" i="1"/>
  <c r="B23264" i="1"/>
  <c r="B23263" i="1"/>
  <c r="B23262" i="1"/>
  <c r="B23261" i="1"/>
  <c r="B23260" i="1"/>
  <c r="B23259" i="1"/>
  <c r="B23258" i="1"/>
  <c r="B23257" i="1"/>
  <c r="B23256" i="1"/>
  <c r="B23255" i="1"/>
  <c r="B23254" i="1"/>
  <c r="B23253" i="1"/>
  <c r="B23252" i="1"/>
  <c r="B23251" i="1"/>
  <c r="B23250" i="1"/>
  <c r="B23249" i="1"/>
  <c r="B23248" i="1"/>
  <c r="B23247" i="1"/>
  <c r="B23246" i="1"/>
  <c r="B23245" i="1"/>
  <c r="B23244" i="1"/>
  <c r="B23243" i="1"/>
  <c r="B23242" i="1"/>
  <c r="B23241" i="1"/>
  <c r="B23240" i="1"/>
  <c r="B23239" i="1"/>
  <c r="B23238" i="1"/>
  <c r="B23237" i="1"/>
  <c r="B23236" i="1"/>
  <c r="B23235" i="1"/>
  <c r="B23234" i="1"/>
  <c r="B23233" i="1"/>
  <c r="B23232" i="1"/>
  <c r="B23231" i="1"/>
  <c r="B23230" i="1"/>
  <c r="B23229" i="1"/>
  <c r="B23228" i="1"/>
  <c r="B23227" i="1"/>
  <c r="B23226" i="1"/>
  <c r="B23225" i="1"/>
  <c r="B23224" i="1"/>
  <c r="B23223" i="1"/>
  <c r="B23222" i="1"/>
  <c r="B23221" i="1"/>
  <c r="B23220" i="1"/>
  <c r="B23219" i="1"/>
  <c r="B23218" i="1"/>
  <c r="B23217" i="1"/>
  <c r="B23216" i="1"/>
  <c r="B23215" i="1"/>
  <c r="B23214" i="1"/>
  <c r="B23213" i="1"/>
  <c r="B23212" i="1"/>
  <c r="B23211" i="1"/>
  <c r="B23210" i="1"/>
  <c r="B23209" i="1"/>
  <c r="B23208" i="1"/>
  <c r="B23207" i="1"/>
  <c r="B23206" i="1"/>
  <c r="B23205" i="1"/>
  <c r="B23204" i="1"/>
  <c r="B23203" i="1"/>
  <c r="B23202" i="1"/>
  <c r="B23201" i="1"/>
  <c r="B23200" i="1"/>
  <c r="B23199" i="1"/>
  <c r="B23198" i="1"/>
  <c r="B23197" i="1"/>
  <c r="B23196" i="1"/>
  <c r="B23195" i="1"/>
  <c r="B23194" i="1"/>
  <c r="B23193" i="1"/>
  <c r="B23192" i="1"/>
  <c r="B23191" i="1"/>
  <c r="B23190" i="1"/>
  <c r="B23189" i="1"/>
  <c r="B23188" i="1"/>
  <c r="B23187" i="1"/>
  <c r="B23186" i="1"/>
  <c r="B23185" i="1"/>
  <c r="B23184" i="1"/>
  <c r="B23183" i="1"/>
  <c r="B23182" i="1"/>
  <c r="B23181" i="1"/>
  <c r="B23180" i="1"/>
  <c r="B23179" i="1"/>
  <c r="B23178" i="1"/>
  <c r="B23177" i="1"/>
  <c r="B23176" i="1"/>
  <c r="B23175" i="1"/>
  <c r="B23174" i="1"/>
  <c r="B23173" i="1"/>
  <c r="B23172" i="1"/>
  <c r="B23171" i="1"/>
  <c r="B23170" i="1"/>
  <c r="B23169" i="1"/>
  <c r="B23168" i="1"/>
  <c r="B23167" i="1"/>
  <c r="B23166" i="1"/>
  <c r="B23165" i="1"/>
  <c r="B23164" i="1"/>
  <c r="B23163" i="1"/>
  <c r="B23162" i="1"/>
  <c r="B23161" i="1"/>
  <c r="B23160" i="1"/>
  <c r="B23159" i="1"/>
  <c r="B23158" i="1"/>
  <c r="B23157" i="1"/>
  <c r="B23156" i="1"/>
  <c r="B23155" i="1"/>
  <c r="B23154" i="1"/>
  <c r="B23153" i="1"/>
  <c r="B23152" i="1"/>
  <c r="B23151" i="1"/>
  <c r="B23150" i="1"/>
  <c r="B23149" i="1"/>
  <c r="B23148" i="1"/>
  <c r="B23147" i="1"/>
  <c r="B23146" i="1"/>
  <c r="B23145" i="1"/>
  <c r="B23144" i="1"/>
  <c r="B23143" i="1"/>
  <c r="B23142" i="1"/>
  <c r="B23141" i="1"/>
  <c r="B23140" i="1"/>
  <c r="B23139" i="1"/>
  <c r="B23138" i="1"/>
  <c r="B23137" i="1"/>
  <c r="B23136" i="1"/>
  <c r="B23135" i="1"/>
  <c r="B23134" i="1"/>
  <c r="B23133" i="1"/>
  <c r="B23132" i="1"/>
  <c r="B23131" i="1"/>
  <c r="B23130" i="1"/>
  <c r="B23129" i="1"/>
  <c r="B23128" i="1"/>
  <c r="B23127" i="1"/>
  <c r="B23126" i="1"/>
  <c r="B23125" i="1"/>
  <c r="B23124" i="1"/>
  <c r="B23123" i="1"/>
  <c r="B23122" i="1"/>
  <c r="B23121" i="1"/>
  <c r="B23120" i="1"/>
  <c r="B23119" i="1"/>
  <c r="B23118" i="1"/>
  <c r="B23117" i="1"/>
  <c r="B23116" i="1"/>
  <c r="B23115" i="1"/>
  <c r="B23114" i="1"/>
  <c r="B23113" i="1"/>
  <c r="B23112" i="1"/>
  <c r="B23111" i="1"/>
  <c r="B23110" i="1"/>
  <c r="B23109" i="1"/>
  <c r="B23108" i="1"/>
  <c r="B23107" i="1"/>
  <c r="B23106" i="1"/>
  <c r="B23105" i="1"/>
  <c r="B23104" i="1"/>
  <c r="B23103" i="1"/>
  <c r="B23102" i="1"/>
  <c r="B23101" i="1"/>
  <c r="B23100" i="1"/>
  <c r="B23099" i="1"/>
  <c r="B23098" i="1"/>
  <c r="B23097" i="1"/>
  <c r="B23096" i="1"/>
  <c r="B23095" i="1"/>
  <c r="B23094" i="1"/>
  <c r="B23093" i="1"/>
  <c r="B23092" i="1"/>
  <c r="B23091" i="1"/>
  <c r="B23090" i="1"/>
  <c r="B23089" i="1"/>
  <c r="B23088" i="1"/>
  <c r="B23087" i="1"/>
  <c r="B23086" i="1"/>
  <c r="B23085" i="1"/>
  <c r="B23084" i="1"/>
  <c r="B23083" i="1"/>
  <c r="B23082" i="1"/>
  <c r="B23081" i="1"/>
  <c r="B23080" i="1"/>
  <c r="B23079" i="1"/>
  <c r="B23078" i="1"/>
  <c r="B23077" i="1"/>
  <c r="B23076" i="1"/>
  <c r="B23075" i="1"/>
  <c r="B23074" i="1"/>
  <c r="B23073" i="1"/>
  <c r="B23072" i="1"/>
  <c r="B23071" i="1"/>
  <c r="B23070" i="1"/>
  <c r="B23069" i="1"/>
  <c r="B23068" i="1"/>
  <c r="B23067" i="1"/>
  <c r="B23066" i="1"/>
  <c r="B23065" i="1"/>
  <c r="B23064" i="1"/>
  <c r="B23063" i="1"/>
  <c r="B23062" i="1"/>
  <c r="B23061" i="1"/>
  <c r="B23060" i="1"/>
  <c r="B23059" i="1"/>
  <c r="B23058" i="1"/>
  <c r="B23057" i="1"/>
  <c r="B23056" i="1"/>
  <c r="B23055" i="1"/>
  <c r="B23054" i="1"/>
  <c r="B23053" i="1"/>
  <c r="B23052" i="1"/>
  <c r="B23051" i="1"/>
  <c r="B23050" i="1"/>
  <c r="B23049" i="1"/>
  <c r="B23048" i="1"/>
  <c r="B23047" i="1"/>
  <c r="B23046" i="1"/>
  <c r="B23045" i="1"/>
  <c r="B23044" i="1"/>
  <c r="B23043" i="1"/>
  <c r="B23042" i="1"/>
  <c r="B23041" i="1"/>
  <c r="B23040" i="1"/>
  <c r="B23039" i="1"/>
  <c r="B23038" i="1"/>
  <c r="B23037" i="1"/>
  <c r="B23036" i="1"/>
  <c r="B23035" i="1"/>
  <c r="B23034" i="1"/>
  <c r="B23033" i="1"/>
  <c r="B23032" i="1"/>
  <c r="B23031" i="1"/>
  <c r="B23030" i="1"/>
  <c r="B23029" i="1"/>
  <c r="B23028" i="1"/>
  <c r="B23027" i="1"/>
  <c r="B23026" i="1"/>
  <c r="B23025" i="1"/>
  <c r="B23024" i="1"/>
  <c r="B23023" i="1"/>
  <c r="B23022" i="1"/>
  <c r="B23021" i="1"/>
  <c r="B23020" i="1"/>
  <c r="B23019" i="1"/>
  <c r="B23018" i="1"/>
  <c r="B23017" i="1"/>
  <c r="B23016" i="1"/>
  <c r="B23015" i="1"/>
  <c r="B23014" i="1"/>
  <c r="B23013" i="1"/>
  <c r="B23012" i="1"/>
  <c r="B23011" i="1"/>
  <c r="B23010" i="1"/>
  <c r="B23009" i="1"/>
  <c r="B23008" i="1"/>
  <c r="B23007" i="1"/>
  <c r="B23006" i="1"/>
  <c r="B23005" i="1"/>
  <c r="B23004" i="1"/>
  <c r="B23003" i="1"/>
  <c r="B23002" i="1"/>
  <c r="B23001" i="1"/>
  <c r="B23000" i="1"/>
  <c r="B22999" i="1"/>
  <c r="B22998" i="1"/>
  <c r="B22997" i="1"/>
  <c r="B22996" i="1"/>
  <c r="B22995" i="1"/>
  <c r="B22994" i="1"/>
  <c r="B22993" i="1"/>
  <c r="B22992" i="1"/>
  <c r="B22991" i="1"/>
  <c r="B22990" i="1"/>
  <c r="B22989" i="1"/>
  <c r="B22988" i="1"/>
  <c r="B22987" i="1"/>
  <c r="B22986" i="1"/>
  <c r="B22985" i="1"/>
  <c r="B22984" i="1"/>
  <c r="B22983" i="1"/>
  <c r="B22982" i="1"/>
  <c r="B22981" i="1"/>
  <c r="B22980" i="1"/>
  <c r="B22979" i="1"/>
  <c r="B22978" i="1"/>
  <c r="B22977" i="1"/>
  <c r="B22976" i="1"/>
  <c r="B22975" i="1"/>
  <c r="B22974" i="1"/>
  <c r="B22973" i="1"/>
  <c r="B22972" i="1"/>
  <c r="B22971" i="1"/>
  <c r="B22970" i="1"/>
  <c r="B22969" i="1"/>
  <c r="B22968" i="1"/>
  <c r="B22967" i="1"/>
  <c r="B22966" i="1"/>
  <c r="B22965" i="1"/>
  <c r="B22964" i="1"/>
  <c r="B22963" i="1"/>
  <c r="B22962" i="1"/>
  <c r="B22961" i="1"/>
  <c r="B22960" i="1"/>
  <c r="B22959" i="1"/>
  <c r="B22958" i="1"/>
  <c r="B22957" i="1"/>
  <c r="B22956" i="1"/>
  <c r="B22955" i="1"/>
  <c r="B22954" i="1"/>
  <c r="B22953" i="1"/>
  <c r="B22952" i="1"/>
  <c r="B22951" i="1"/>
  <c r="B22950" i="1"/>
  <c r="B22949" i="1"/>
  <c r="B22948" i="1"/>
  <c r="B22947" i="1"/>
  <c r="B22946" i="1"/>
  <c r="B22945" i="1"/>
  <c r="B22944" i="1"/>
  <c r="B22943" i="1"/>
  <c r="B22942" i="1"/>
  <c r="B22941" i="1"/>
  <c r="B22940" i="1"/>
  <c r="B22939" i="1"/>
  <c r="B22938" i="1"/>
  <c r="B22937" i="1"/>
  <c r="B22936" i="1"/>
  <c r="B22935" i="1"/>
  <c r="B22934" i="1"/>
  <c r="B22933" i="1"/>
  <c r="B22932" i="1"/>
  <c r="B22931" i="1"/>
  <c r="B22930" i="1"/>
  <c r="B22929" i="1"/>
  <c r="B22928" i="1"/>
  <c r="B22927" i="1"/>
  <c r="B22926" i="1"/>
  <c r="B22925" i="1"/>
  <c r="B22924" i="1"/>
  <c r="B22923" i="1"/>
  <c r="B22922" i="1"/>
  <c r="B22921" i="1"/>
  <c r="B22920" i="1"/>
  <c r="B22919" i="1"/>
  <c r="B22918" i="1"/>
  <c r="B22917" i="1"/>
  <c r="B22916" i="1"/>
  <c r="B22915" i="1"/>
  <c r="B22914" i="1"/>
  <c r="B22913" i="1"/>
  <c r="B22912" i="1"/>
  <c r="B22911" i="1"/>
  <c r="B22910" i="1"/>
  <c r="B22909" i="1"/>
  <c r="B22908" i="1"/>
  <c r="B22907" i="1"/>
  <c r="B22906" i="1"/>
  <c r="B22905" i="1"/>
  <c r="B22904" i="1"/>
  <c r="B22903" i="1"/>
  <c r="B22902" i="1"/>
  <c r="B22901" i="1"/>
  <c r="B22900" i="1"/>
  <c r="B22899" i="1"/>
  <c r="B22898" i="1"/>
  <c r="B22897" i="1"/>
  <c r="B22896" i="1"/>
  <c r="B22895" i="1"/>
  <c r="B22894" i="1"/>
  <c r="B22893" i="1"/>
  <c r="B22892" i="1"/>
  <c r="B22891" i="1"/>
  <c r="B22890" i="1"/>
  <c r="B22889" i="1"/>
  <c r="B22888" i="1"/>
  <c r="B22887" i="1"/>
  <c r="B22886" i="1"/>
  <c r="B22885" i="1"/>
  <c r="B22884" i="1"/>
  <c r="B22883" i="1"/>
  <c r="B22882" i="1"/>
  <c r="B22881" i="1"/>
  <c r="B22880" i="1"/>
  <c r="B22879" i="1"/>
  <c r="B22878" i="1"/>
  <c r="B22877" i="1"/>
  <c r="B22876" i="1"/>
  <c r="B22875" i="1"/>
  <c r="B22874" i="1"/>
  <c r="B22873" i="1"/>
  <c r="B22872" i="1"/>
  <c r="B22871" i="1"/>
  <c r="B22870" i="1"/>
  <c r="B22869" i="1"/>
  <c r="B22868" i="1"/>
  <c r="B22867" i="1"/>
  <c r="B22866" i="1"/>
  <c r="B22865" i="1"/>
  <c r="B22864" i="1"/>
  <c r="B22863" i="1"/>
  <c r="B22862" i="1"/>
  <c r="B22861" i="1"/>
  <c r="B22860" i="1"/>
  <c r="B22859" i="1"/>
  <c r="B22858" i="1"/>
  <c r="B22857" i="1"/>
  <c r="B22856" i="1"/>
  <c r="B22855" i="1"/>
  <c r="B22854" i="1"/>
  <c r="B22853" i="1"/>
  <c r="B22852" i="1"/>
  <c r="B22851" i="1"/>
  <c r="B22850" i="1"/>
  <c r="B22849" i="1"/>
  <c r="B22848" i="1"/>
  <c r="B22847" i="1"/>
  <c r="B22846" i="1"/>
  <c r="B22845" i="1"/>
  <c r="B22844" i="1"/>
  <c r="B22843" i="1"/>
  <c r="B22842" i="1"/>
  <c r="B22841" i="1"/>
  <c r="B22840" i="1"/>
  <c r="B22839" i="1"/>
  <c r="B22838" i="1"/>
  <c r="B22837" i="1"/>
  <c r="B22836" i="1"/>
  <c r="B22835" i="1"/>
  <c r="B22834" i="1"/>
  <c r="B22833" i="1"/>
  <c r="B22832" i="1"/>
  <c r="B22831" i="1"/>
  <c r="B22830" i="1"/>
  <c r="B22829" i="1"/>
  <c r="B22828" i="1"/>
  <c r="B22827" i="1"/>
  <c r="B22826" i="1"/>
  <c r="B22825" i="1"/>
  <c r="B22824" i="1"/>
  <c r="B22823" i="1"/>
  <c r="B22822" i="1"/>
  <c r="B22821" i="1"/>
  <c r="B22820" i="1"/>
  <c r="B22819" i="1"/>
  <c r="B22818" i="1"/>
  <c r="B22817" i="1"/>
  <c r="B22816" i="1"/>
  <c r="B22815" i="1"/>
  <c r="B22814" i="1"/>
  <c r="B22813" i="1"/>
  <c r="B22812" i="1"/>
  <c r="B22811" i="1"/>
  <c r="B22810" i="1"/>
  <c r="B22809" i="1"/>
  <c r="B22808" i="1"/>
  <c r="B22807" i="1"/>
  <c r="B22806" i="1"/>
  <c r="B22805" i="1"/>
  <c r="B22804" i="1"/>
  <c r="B22803" i="1"/>
  <c r="B22802" i="1"/>
  <c r="B22801" i="1"/>
  <c r="B22800" i="1"/>
  <c r="B22799" i="1"/>
  <c r="B22798" i="1"/>
  <c r="B22797" i="1"/>
  <c r="B22796" i="1"/>
  <c r="B22795" i="1"/>
  <c r="B22794" i="1"/>
  <c r="B22793" i="1"/>
  <c r="B22792" i="1"/>
  <c r="B22791" i="1"/>
  <c r="B22790" i="1"/>
  <c r="B22789" i="1"/>
  <c r="B22788" i="1"/>
  <c r="B22787" i="1"/>
  <c r="B22786" i="1"/>
  <c r="B22785" i="1"/>
  <c r="B22784" i="1"/>
  <c r="B22783" i="1"/>
  <c r="B22782" i="1"/>
  <c r="B22781" i="1"/>
  <c r="B22780" i="1"/>
  <c r="B22779" i="1"/>
  <c r="B22778" i="1"/>
  <c r="B22777" i="1"/>
  <c r="B22776" i="1"/>
  <c r="B22775" i="1"/>
  <c r="B22774" i="1"/>
  <c r="B22773" i="1"/>
  <c r="B22772" i="1"/>
  <c r="B22771" i="1"/>
  <c r="B22770" i="1"/>
  <c r="B22769" i="1"/>
  <c r="B22768" i="1"/>
  <c r="B22767" i="1"/>
  <c r="B22766" i="1"/>
  <c r="B22765" i="1"/>
  <c r="B22764" i="1"/>
  <c r="B22763" i="1"/>
  <c r="B22762" i="1"/>
  <c r="B22761" i="1"/>
  <c r="B22760" i="1"/>
  <c r="B22759" i="1"/>
  <c r="B22758" i="1"/>
  <c r="B22757" i="1"/>
  <c r="B22756" i="1"/>
  <c r="B22755" i="1"/>
  <c r="B22754" i="1"/>
  <c r="B22753" i="1"/>
  <c r="B22752" i="1"/>
  <c r="B22751" i="1"/>
  <c r="B22750" i="1"/>
  <c r="B22749" i="1"/>
  <c r="B22748" i="1"/>
  <c r="B22747" i="1"/>
  <c r="B22746" i="1"/>
  <c r="B22745" i="1"/>
  <c r="B22744" i="1"/>
  <c r="B22743" i="1"/>
  <c r="B22742" i="1"/>
  <c r="B22741" i="1"/>
  <c r="B22740" i="1"/>
  <c r="B22739" i="1"/>
  <c r="B22738" i="1"/>
  <c r="B22737" i="1"/>
  <c r="B22736" i="1"/>
  <c r="B22735" i="1"/>
  <c r="B22734" i="1"/>
  <c r="B22733" i="1"/>
  <c r="B22732" i="1"/>
  <c r="B22731" i="1"/>
  <c r="B22730" i="1"/>
  <c r="B22729" i="1"/>
  <c r="B22728" i="1"/>
  <c r="B22727" i="1"/>
  <c r="B22726" i="1"/>
  <c r="B22725" i="1"/>
  <c r="B22724" i="1"/>
  <c r="B22723" i="1"/>
  <c r="B22722" i="1"/>
  <c r="B22721" i="1"/>
  <c r="B22720" i="1"/>
  <c r="B22719" i="1"/>
  <c r="B22718" i="1"/>
  <c r="B22717" i="1"/>
  <c r="B22716" i="1"/>
  <c r="B22715" i="1"/>
  <c r="B22714" i="1"/>
  <c r="B22713" i="1"/>
  <c r="B22712" i="1"/>
  <c r="B22711" i="1"/>
  <c r="B22710" i="1"/>
  <c r="B22709" i="1"/>
  <c r="B22708" i="1"/>
  <c r="B22707" i="1"/>
  <c r="B22706" i="1"/>
  <c r="B22705" i="1"/>
  <c r="B22704" i="1"/>
  <c r="B22703" i="1"/>
  <c r="B22702" i="1"/>
  <c r="B22701" i="1"/>
  <c r="B22700" i="1"/>
  <c r="B22699" i="1"/>
  <c r="B22698" i="1"/>
  <c r="B22697" i="1"/>
  <c r="B22696" i="1"/>
  <c r="B22695" i="1"/>
  <c r="B22694" i="1"/>
  <c r="B22693" i="1"/>
  <c r="B22692" i="1"/>
  <c r="B22691" i="1"/>
  <c r="B22690" i="1"/>
  <c r="B22689" i="1"/>
  <c r="B22688" i="1"/>
  <c r="B22687" i="1"/>
  <c r="B22686" i="1"/>
  <c r="B22685" i="1"/>
  <c r="B22684" i="1"/>
  <c r="B22683" i="1"/>
  <c r="B22682" i="1"/>
  <c r="B22681" i="1"/>
  <c r="B22680" i="1"/>
  <c r="B22679" i="1"/>
  <c r="B22678" i="1"/>
  <c r="B22677" i="1"/>
  <c r="B22676" i="1"/>
  <c r="B22675" i="1"/>
  <c r="B22674" i="1"/>
  <c r="B22673" i="1"/>
  <c r="B22672" i="1"/>
  <c r="B22671" i="1"/>
  <c r="B22670" i="1"/>
  <c r="B22669" i="1"/>
  <c r="B22668" i="1"/>
  <c r="B22667" i="1"/>
  <c r="B22666" i="1"/>
  <c r="B22665" i="1"/>
  <c r="B22664" i="1"/>
  <c r="B22663" i="1"/>
  <c r="B22662" i="1"/>
  <c r="B22661" i="1"/>
  <c r="B22660" i="1"/>
  <c r="B22659" i="1"/>
  <c r="B22658" i="1"/>
  <c r="B22657" i="1"/>
  <c r="B22656" i="1"/>
  <c r="B22655" i="1"/>
  <c r="B22654" i="1"/>
  <c r="B22653" i="1"/>
  <c r="B22652" i="1"/>
  <c r="B22651" i="1"/>
  <c r="B22650" i="1"/>
  <c r="B22649" i="1"/>
  <c r="B22648" i="1"/>
  <c r="B22647" i="1"/>
  <c r="B22646" i="1"/>
  <c r="B22645" i="1"/>
  <c r="B22644" i="1"/>
  <c r="B22643" i="1"/>
  <c r="B22642" i="1"/>
  <c r="B22641" i="1"/>
  <c r="B22640" i="1"/>
  <c r="B22639" i="1"/>
  <c r="B22638" i="1"/>
  <c r="B22637" i="1"/>
  <c r="B22636" i="1"/>
  <c r="B22635" i="1"/>
  <c r="B22634" i="1"/>
  <c r="B22633" i="1"/>
  <c r="B22632" i="1"/>
  <c r="B22631" i="1"/>
  <c r="B22630" i="1"/>
  <c r="B22629" i="1"/>
  <c r="B22628" i="1"/>
  <c r="B22627" i="1"/>
  <c r="B22626" i="1"/>
  <c r="B22625" i="1"/>
  <c r="B22624" i="1"/>
  <c r="B22623" i="1"/>
  <c r="B22622" i="1"/>
  <c r="B22621" i="1"/>
  <c r="B22620" i="1"/>
  <c r="B22619" i="1"/>
  <c r="B22618" i="1"/>
  <c r="B22617" i="1"/>
  <c r="B22616" i="1"/>
  <c r="B22615" i="1"/>
  <c r="B22614" i="1"/>
  <c r="B22613" i="1"/>
  <c r="B22612" i="1"/>
  <c r="B22611" i="1"/>
  <c r="B22610" i="1"/>
  <c r="B22609" i="1"/>
  <c r="B22608" i="1"/>
  <c r="B22607" i="1"/>
  <c r="B22606" i="1"/>
  <c r="B22605" i="1"/>
  <c r="B22604" i="1"/>
  <c r="B22603" i="1"/>
  <c r="B22602" i="1"/>
  <c r="B22601" i="1"/>
  <c r="B22600" i="1"/>
  <c r="B22599" i="1"/>
  <c r="B22598" i="1"/>
  <c r="B22597" i="1"/>
  <c r="B22596" i="1"/>
  <c r="B22595" i="1"/>
  <c r="B22594" i="1"/>
  <c r="B22593" i="1"/>
  <c r="B22592" i="1"/>
  <c r="B22591" i="1"/>
  <c r="B22590" i="1"/>
  <c r="B22589" i="1"/>
  <c r="B22588" i="1"/>
  <c r="B22587" i="1"/>
  <c r="B22586" i="1"/>
  <c r="B22585" i="1"/>
  <c r="B22584" i="1"/>
  <c r="B22583" i="1"/>
  <c r="B22582" i="1"/>
  <c r="B22581" i="1"/>
  <c r="B22580" i="1"/>
  <c r="B22579" i="1"/>
  <c r="B22578" i="1"/>
  <c r="B22577" i="1"/>
  <c r="B22576" i="1"/>
  <c r="B22575" i="1"/>
  <c r="B22574" i="1"/>
  <c r="B22573" i="1"/>
  <c r="B22572" i="1"/>
  <c r="B22571" i="1"/>
  <c r="B22570" i="1"/>
  <c r="B22569" i="1"/>
  <c r="B22568" i="1"/>
  <c r="B22567" i="1"/>
  <c r="B22566" i="1"/>
  <c r="B22565" i="1"/>
  <c r="B22564" i="1"/>
  <c r="B22563" i="1"/>
  <c r="B22562" i="1"/>
  <c r="B22561" i="1"/>
  <c r="B22560" i="1"/>
  <c r="B22559" i="1"/>
  <c r="B22558" i="1"/>
  <c r="B22557" i="1"/>
  <c r="B22556" i="1"/>
  <c r="B22555" i="1"/>
  <c r="B22554" i="1"/>
  <c r="B22553" i="1"/>
  <c r="B22552" i="1"/>
  <c r="B22551" i="1"/>
  <c r="B22550" i="1"/>
  <c r="B22549" i="1"/>
  <c r="B22548" i="1"/>
  <c r="B22547" i="1"/>
  <c r="B22546" i="1"/>
  <c r="B22545" i="1"/>
  <c r="B22544" i="1"/>
  <c r="B22543" i="1"/>
  <c r="B22542" i="1"/>
  <c r="B22541" i="1"/>
  <c r="B22540" i="1"/>
  <c r="B22539" i="1"/>
  <c r="B22538" i="1"/>
  <c r="B22537" i="1"/>
  <c r="B22536" i="1"/>
  <c r="B22535" i="1"/>
  <c r="B22534" i="1"/>
  <c r="B22533" i="1"/>
  <c r="B22532" i="1"/>
  <c r="B22531" i="1"/>
  <c r="B22530" i="1"/>
  <c r="B22529" i="1"/>
  <c r="B22528" i="1"/>
  <c r="B22527" i="1"/>
  <c r="B22526" i="1"/>
  <c r="B22525" i="1"/>
  <c r="B22524" i="1"/>
  <c r="B22523" i="1"/>
  <c r="B22522" i="1"/>
  <c r="B22521" i="1"/>
  <c r="B22520" i="1"/>
  <c r="B22519" i="1"/>
  <c r="B22518" i="1"/>
  <c r="B22517" i="1"/>
  <c r="B22516" i="1"/>
  <c r="B22515" i="1"/>
  <c r="B22514" i="1"/>
  <c r="B22513" i="1"/>
  <c r="B22512" i="1"/>
  <c r="B22511" i="1"/>
  <c r="B22510" i="1"/>
  <c r="B22509" i="1"/>
  <c r="B22508" i="1"/>
  <c r="B22507" i="1"/>
  <c r="B22506" i="1"/>
  <c r="B22505" i="1"/>
  <c r="B22504" i="1"/>
  <c r="B22503" i="1"/>
  <c r="B22502" i="1"/>
  <c r="B22501" i="1"/>
  <c r="B22500" i="1"/>
  <c r="B22499" i="1"/>
  <c r="B22498" i="1"/>
  <c r="B22497" i="1"/>
  <c r="B22496" i="1"/>
  <c r="B22495" i="1"/>
  <c r="B22494" i="1"/>
  <c r="B22493" i="1"/>
  <c r="B22492" i="1"/>
  <c r="B22491" i="1"/>
  <c r="B22490" i="1"/>
  <c r="B22489" i="1"/>
  <c r="B22488" i="1"/>
  <c r="B22487" i="1"/>
  <c r="B22486" i="1"/>
  <c r="B22485" i="1"/>
  <c r="B22484" i="1"/>
  <c r="B22483" i="1"/>
  <c r="B22482" i="1"/>
  <c r="B22481" i="1"/>
  <c r="B22480" i="1"/>
  <c r="B22479" i="1"/>
  <c r="B22478" i="1"/>
  <c r="B22477" i="1"/>
  <c r="B22476" i="1"/>
  <c r="B22475" i="1"/>
  <c r="B22474" i="1"/>
  <c r="B22473" i="1"/>
  <c r="B22472" i="1"/>
  <c r="B22471" i="1"/>
  <c r="B22470" i="1"/>
  <c r="B22469" i="1"/>
  <c r="B22468" i="1"/>
  <c r="B22467" i="1"/>
  <c r="B22466" i="1"/>
  <c r="B22465" i="1"/>
  <c r="B22464" i="1"/>
  <c r="B22463" i="1"/>
  <c r="B22462" i="1"/>
  <c r="B22461" i="1"/>
  <c r="B22460" i="1"/>
  <c r="B22459" i="1"/>
  <c r="B22458" i="1"/>
  <c r="B22457" i="1"/>
  <c r="B22456" i="1"/>
  <c r="B22455" i="1"/>
  <c r="B22454" i="1"/>
  <c r="B22453" i="1"/>
  <c r="B22452" i="1"/>
  <c r="B22451" i="1"/>
  <c r="B22450" i="1"/>
  <c r="B22449" i="1"/>
  <c r="B22448" i="1"/>
  <c r="B22447" i="1"/>
  <c r="B22446" i="1"/>
  <c r="B22445" i="1"/>
  <c r="B22444" i="1"/>
  <c r="B22443" i="1"/>
  <c r="B22442" i="1"/>
  <c r="B22441" i="1"/>
  <c r="B22440" i="1"/>
  <c r="B22439" i="1"/>
  <c r="B22438" i="1"/>
  <c r="B22437" i="1"/>
  <c r="B22436" i="1"/>
  <c r="B22435" i="1"/>
  <c r="B22434" i="1"/>
  <c r="B22433" i="1"/>
  <c r="B22432" i="1"/>
  <c r="B22431" i="1"/>
  <c r="B22430" i="1"/>
  <c r="B22429" i="1"/>
  <c r="B22428" i="1"/>
  <c r="B22427" i="1"/>
  <c r="B22426" i="1"/>
  <c r="B22425" i="1"/>
  <c r="B22424" i="1"/>
  <c r="B22423" i="1"/>
  <c r="B22422" i="1"/>
  <c r="B22421" i="1"/>
  <c r="B22420" i="1"/>
  <c r="B22419" i="1"/>
  <c r="B22418" i="1"/>
  <c r="B22417" i="1"/>
  <c r="B22416" i="1"/>
  <c r="B22415" i="1"/>
  <c r="B22414" i="1"/>
  <c r="B22413" i="1"/>
  <c r="B22412" i="1"/>
  <c r="B22411" i="1"/>
  <c r="B22410" i="1"/>
  <c r="B22409" i="1"/>
  <c r="B22408" i="1"/>
  <c r="B22407" i="1"/>
  <c r="B22406" i="1"/>
  <c r="B22405" i="1"/>
  <c r="B22404" i="1"/>
  <c r="B22403" i="1"/>
  <c r="B22402" i="1"/>
  <c r="B22401" i="1"/>
  <c r="B22400" i="1"/>
  <c r="B22399" i="1"/>
  <c r="B22398" i="1"/>
  <c r="B22397" i="1"/>
  <c r="B22396" i="1"/>
  <c r="B22395" i="1"/>
  <c r="B22394" i="1"/>
  <c r="B22393" i="1"/>
  <c r="B22392" i="1"/>
  <c r="B22391" i="1"/>
  <c r="B22390" i="1"/>
  <c r="B22389" i="1"/>
  <c r="B22388" i="1"/>
  <c r="B22387" i="1"/>
  <c r="B22386" i="1"/>
  <c r="B22385" i="1"/>
  <c r="B22384" i="1"/>
  <c r="B22383" i="1"/>
  <c r="B22382" i="1"/>
  <c r="B22381" i="1"/>
  <c r="B22380" i="1"/>
  <c r="B22379" i="1"/>
  <c r="B22378" i="1"/>
  <c r="B22377" i="1"/>
  <c r="B22376" i="1"/>
  <c r="B22375" i="1"/>
  <c r="B22374" i="1"/>
  <c r="B22373" i="1"/>
  <c r="B22372" i="1"/>
  <c r="B22371" i="1"/>
  <c r="B22370" i="1"/>
  <c r="B22369" i="1"/>
  <c r="B22368" i="1"/>
  <c r="B22367" i="1"/>
  <c r="B22366" i="1"/>
  <c r="B22365" i="1"/>
  <c r="B22364" i="1"/>
  <c r="B22363" i="1"/>
  <c r="B22362" i="1"/>
  <c r="B22361" i="1"/>
  <c r="B22360" i="1"/>
  <c r="B22359" i="1"/>
  <c r="B22358" i="1"/>
  <c r="B22357" i="1"/>
  <c r="B22356" i="1"/>
  <c r="B22355" i="1"/>
  <c r="B22354" i="1"/>
  <c r="B22353" i="1"/>
  <c r="B22352" i="1"/>
  <c r="B22351" i="1"/>
  <c r="B22350" i="1"/>
  <c r="B22349" i="1"/>
  <c r="B22348" i="1"/>
  <c r="B22347" i="1"/>
  <c r="B22346" i="1"/>
  <c r="B22345" i="1"/>
  <c r="B22344" i="1"/>
  <c r="B22343" i="1"/>
  <c r="B22342" i="1"/>
  <c r="B22341" i="1"/>
  <c r="B22340" i="1"/>
  <c r="B22339" i="1"/>
  <c r="B22338" i="1"/>
  <c r="B22337" i="1"/>
  <c r="B22336" i="1"/>
  <c r="B22335" i="1"/>
  <c r="B22334" i="1"/>
  <c r="B22333" i="1"/>
  <c r="B22332" i="1"/>
  <c r="B22331" i="1"/>
  <c r="B22330" i="1"/>
  <c r="B22329" i="1"/>
  <c r="B22328" i="1"/>
  <c r="B22327" i="1"/>
  <c r="B22326" i="1"/>
  <c r="B22325" i="1"/>
  <c r="B22324" i="1"/>
  <c r="B22323" i="1"/>
  <c r="B22322" i="1"/>
  <c r="B22321" i="1"/>
  <c r="B22320" i="1"/>
  <c r="B22319" i="1"/>
  <c r="B22318" i="1"/>
  <c r="B22317" i="1"/>
  <c r="B22316" i="1"/>
  <c r="B22315" i="1"/>
  <c r="B22314" i="1"/>
  <c r="B22313" i="1"/>
  <c r="B22312" i="1"/>
  <c r="B22311" i="1"/>
  <c r="B22310" i="1"/>
  <c r="B22309" i="1"/>
  <c r="B22308" i="1"/>
  <c r="B22307" i="1"/>
  <c r="B22306" i="1"/>
  <c r="B22305" i="1"/>
  <c r="B22304" i="1"/>
  <c r="B22303" i="1"/>
  <c r="B22302" i="1"/>
  <c r="B22301" i="1"/>
  <c r="B22300" i="1"/>
  <c r="B22299" i="1"/>
  <c r="B22298" i="1"/>
  <c r="B22297" i="1"/>
  <c r="B22296" i="1"/>
  <c r="B22295" i="1"/>
  <c r="B22294" i="1"/>
  <c r="B22293" i="1"/>
  <c r="B22292" i="1"/>
  <c r="B22291" i="1"/>
  <c r="B22290" i="1"/>
  <c r="B22289" i="1"/>
  <c r="B22288" i="1"/>
  <c r="B22287" i="1"/>
  <c r="B22286" i="1"/>
  <c r="B22285" i="1"/>
  <c r="B22284" i="1"/>
  <c r="B22283" i="1"/>
  <c r="B22282" i="1"/>
  <c r="B22281" i="1"/>
  <c r="B22280" i="1"/>
  <c r="B22279" i="1"/>
  <c r="B22278" i="1"/>
  <c r="B22277" i="1"/>
  <c r="B22276" i="1"/>
  <c r="B22275" i="1"/>
  <c r="B22274" i="1"/>
  <c r="B22273" i="1"/>
  <c r="B22272" i="1"/>
  <c r="B22271" i="1"/>
  <c r="B22270" i="1"/>
  <c r="B22269" i="1"/>
  <c r="B22268" i="1"/>
  <c r="B22267" i="1"/>
  <c r="B22266" i="1"/>
  <c r="B22265" i="1"/>
  <c r="B22264" i="1"/>
  <c r="B22263" i="1"/>
  <c r="B22262" i="1"/>
  <c r="B22261" i="1"/>
  <c r="B22260" i="1"/>
  <c r="B22259" i="1"/>
  <c r="B22258" i="1"/>
  <c r="B22257" i="1"/>
  <c r="B22256" i="1"/>
  <c r="B22255" i="1"/>
  <c r="B22254" i="1"/>
  <c r="B22253" i="1"/>
  <c r="B22252" i="1"/>
  <c r="B22251" i="1"/>
  <c r="B22250" i="1"/>
  <c r="B22249" i="1"/>
  <c r="B22248" i="1"/>
  <c r="B22247" i="1"/>
  <c r="B22246" i="1"/>
  <c r="B22245" i="1"/>
  <c r="B22244" i="1"/>
  <c r="B22243" i="1"/>
  <c r="B22242" i="1"/>
  <c r="B22241" i="1"/>
  <c r="B22240" i="1"/>
  <c r="B22239" i="1"/>
  <c r="B22238" i="1"/>
  <c r="B22237" i="1"/>
  <c r="B22236" i="1"/>
  <c r="B22235" i="1"/>
  <c r="B22234" i="1"/>
  <c r="B22233" i="1"/>
  <c r="B22232" i="1"/>
  <c r="B22231" i="1"/>
  <c r="B22230" i="1"/>
  <c r="B22229" i="1"/>
  <c r="B22228" i="1"/>
  <c r="B22227" i="1"/>
  <c r="B22226" i="1"/>
  <c r="B22225" i="1"/>
  <c r="B22224" i="1"/>
  <c r="B22223" i="1"/>
  <c r="B22222" i="1"/>
  <c r="B22221" i="1"/>
  <c r="B22220" i="1"/>
  <c r="B22219" i="1"/>
  <c r="B22218" i="1"/>
  <c r="B22217" i="1"/>
  <c r="B22216" i="1"/>
  <c r="B22215" i="1"/>
  <c r="B22214" i="1"/>
  <c r="B22213" i="1"/>
  <c r="B22212" i="1"/>
  <c r="B22211" i="1"/>
  <c r="B22210" i="1"/>
  <c r="B22209" i="1"/>
  <c r="B22208" i="1"/>
  <c r="B22207" i="1"/>
  <c r="B22206" i="1"/>
  <c r="B22205" i="1"/>
  <c r="B22204" i="1"/>
  <c r="B22203" i="1"/>
  <c r="B22202" i="1"/>
  <c r="B22201" i="1"/>
  <c r="B22200" i="1"/>
  <c r="B22199" i="1"/>
  <c r="B22198" i="1"/>
  <c r="B22197" i="1"/>
  <c r="B22196" i="1"/>
  <c r="B22195" i="1"/>
  <c r="B22194" i="1"/>
  <c r="B22193" i="1"/>
  <c r="B22192" i="1"/>
  <c r="B22191" i="1"/>
  <c r="B22190" i="1"/>
  <c r="B22189" i="1"/>
  <c r="B22188" i="1"/>
  <c r="B22187" i="1"/>
  <c r="B22186" i="1"/>
  <c r="B22185" i="1"/>
  <c r="B22184" i="1"/>
  <c r="B22183" i="1"/>
  <c r="B22182" i="1"/>
  <c r="B22181" i="1"/>
  <c r="B22180" i="1"/>
  <c r="B22179" i="1"/>
  <c r="B22178" i="1"/>
  <c r="B22177" i="1"/>
  <c r="B22176" i="1"/>
  <c r="B22175" i="1"/>
  <c r="B22174" i="1"/>
  <c r="B22173" i="1"/>
  <c r="B22172" i="1"/>
  <c r="B22171" i="1"/>
  <c r="B22170" i="1"/>
  <c r="B22169" i="1"/>
  <c r="B22168" i="1"/>
  <c r="B22167" i="1"/>
  <c r="B22166" i="1"/>
  <c r="B22165" i="1"/>
  <c r="B22164" i="1"/>
  <c r="B22163" i="1"/>
  <c r="B22162" i="1"/>
  <c r="B22161" i="1"/>
  <c r="B22160" i="1"/>
  <c r="B22159" i="1"/>
  <c r="B22158" i="1"/>
  <c r="B22157" i="1"/>
  <c r="B22156" i="1"/>
  <c r="B22155" i="1"/>
  <c r="B22154" i="1"/>
  <c r="B22153" i="1"/>
  <c r="B22152" i="1"/>
  <c r="B22151" i="1"/>
  <c r="B22150" i="1"/>
  <c r="B22149" i="1"/>
  <c r="B22148" i="1"/>
  <c r="B22147" i="1"/>
  <c r="B22146" i="1"/>
  <c r="B22145" i="1"/>
  <c r="B22144" i="1"/>
  <c r="B22143" i="1"/>
  <c r="B22142" i="1"/>
  <c r="B22141" i="1"/>
  <c r="B22140" i="1"/>
  <c r="B22139" i="1"/>
  <c r="B22138" i="1"/>
  <c r="B22137" i="1"/>
  <c r="B22136" i="1"/>
  <c r="B22135" i="1"/>
  <c r="B22134" i="1"/>
  <c r="B22133" i="1"/>
  <c r="B22132" i="1"/>
  <c r="B22131" i="1"/>
  <c r="B22130" i="1"/>
  <c r="B22129" i="1"/>
  <c r="B22128" i="1"/>
  <c r="B22127" i="1"/>
  <c r="B22126" i="1"/>
  <c r="B22125" i="1"/>
  <c r="B22124" i="1"/>
  <c r="B22123" i="1"/>
  <c r="B22122" i="1"/>
  <c r="B22121" i="1"/>
  <c r="B22120" i="1"/>
  <c r="B22119" i="1"/>
  <c r="B22118" i="1"/>
  <c r="B22117" i="1"/>
  <c r="B22116" i="1"/>
  <c r="B22115" i="1"/>
  <c r="B22114" i="1"/>
  <c r="B22113" i="1"/>
  <c r="B22112" i="1"/>
  <c r="B22111" i="1"/>
  <c r="B22110" i="1"/>
  <c r="B22109" i="1"/>
  <c r="B22108" i="1"/>
  <c r="B22107" i="1"/>
  <c r="B22106" i="1"/>
  <c r="B22105" i="1"/>
  <c r="B22104" i="1"/>
  <c r="B22103" i="1"/>
  <c r="B22102" i="1"/>
  <c r="B22101" i="1"/>
  <c r="B22100" i="1"/>
  <c r="B22099" i="1"/>
  <c r="B22098" i="1"/>
  <c r="B22097" i="1"/>
  <c r="B22096" i="1"/>
  <c r="B22095" i="1"/>
  <c r="B22094" i="1"/>
  <c r="B22093" i="1"/>
  <c r="B22092" i="1"/>
  <c r="B22091" i="1"/>
  <c r="B22090" i="1"/>
  <c r="B22089" i="1"/>
  <c r="B22088" i="1"/>
  <c r="B22087" i="1"/>
  <c r="B22086" i="1"/>
  <c r="B22085" i="1"/>
  <c r="B22084" i="1"/>
  <c r="B22083" i="1"/>
  <c r="B22082" i="1"/>
  <c r="B22081" i="1"/>
  <c r="B22080" i="1"/>
  <c r="B22079" i="1"/>
  <c r="B22078" i="1"/>
  <c r="B22077" i="1"/>
  <c r="B22076" i="1"/>
  <c r="B22075" i="1"/>
  <c r="B22074" i="1"/>
  <c r="B22073" i="1"/>
  <c r="B22072" i="1"/>
  <c r="B22071" i="1"/>
  <c r="B22070" i="1"/>
  <c r="B22069" i="1"/>
  <c r="B22068" i="1"/>
  <c r="B22067" i="1"/>
  <c r="B22066" i="1"/>
  <c r="B22065" i="1"/>
  <c r="B22064" i="1"/>
  <c r="B22063" i="1"/>
  <c r="B22062" i="1"/>
  <c r="B22061" i="1"/>
  <c r="B22060" i="1"/>
  <c r="B22059" i="1"/>
  <c r="B22058" i="1"/>
  <c r="B22057" i="1"/>
  <c r="B22056" i="1"/>
  <c r="B22055" i="1"/>
  <c r="B22054" i="1"/>
  <c r="B22053" i="1"/>
  <c r="B22052" i="1"/>
  <c r="B22051" i="1"/>
  <c r="B22050" i="1"/>
  <c r="B22049" i="1"/>
  <c r="B22048" i="1"/>
  <c r="B22047" i="1"/>
  <c r="B22046" i="1"/>
  <c r="B22045" i="1"/>
  <c r="B22044" i="1"/>
  <c r="B22043" i="1"/>
  <c r="B22042" i="1"/>
  <c r="B22041" i="1"/>
  <c r="B22040" i="1"/>
  <c r="B22039" i="1"/>
  <c r="B22038" i="1"/>
  <c r="B22037" i="1"/>
  <c r="B22036" i="1"/>
  <c r="B22035" i="1"/>
  <c r="B22034" i="1"/>
  <c r="B22033" i="1"/>
  <c r="B22032" i="1"/>
  <c r="B22031" i="1"/>
  <c r="B22030" i="1"/>
  <c r="B22029" i="1"/>
  <c r="B22028" i="1"/>
  <c r="B22027" i="1"/>
  <c r="B22026" i="1"/>
  <c r="B22025" i="1"/>
  <c r="B22024" i="1"/>
  <c r="B22023" i="1"/>
  <c r="B22022" i="1"/>
  <c r="B22021" i="1"/>
  <c r="B22020" i="1"/>
  <c r="B22019" i="1"/>
  <c r="B22018" i="1"/>
  <c r="B22017" i="1"/>
  <c r="B22016" i="1"/>
  <c r="B22015" i="1"/>
  <c r="B22014" i="1"/>
  <c r="B22013" i="1"/>
  <c r="B22012" i="1"/>
  <c r="B22011" i="1"/>
  <c r="B22010" i="1"/>
  <c r="B22009" i="1"/>
  <c r="B22008" i="1"/>
  <c r="B22007" i="1"/>
  <c r="B22006" i="1"/>
  <c r="B22005" i="1"/>
  <c r="B22004" i="1"/>
  <c r="B22003" i="1"/>
  <c r="B22002" i="1"/>
  <c r="B22001" i="1"/>
  <c r="B22000" i="1"/>
  <c r="B21999" i="1"/>
  <c r="B21998" i="1"/>
  <c r="B21997" i="1"/>
  <c r="B21996" i="1"/>
  <c r="B21995" i="1"/>
  <c r="B21994" i="1"/>
  <c r="B21993" i="1"/>
  <c r="B21992" i="1"/>
  <c r="B21991" i="1"/>
  <c r="B21990" i="1"/>
  <c r="B21989" i="1"/>
  <c r="B21988" i="1"/>
  <c r="B21987" i="1"/>
  <c r="B21986" i="1"/>
  <c r="B21985" i="1"/>
  <c r="B21984" i="1"/>
  <c r="B21983" i="1"/>
  <c r="B21982" i="1"/>
  <c r="B21981" i="1"/>
  <c r="B21980" i="1"/>
  <c r="B21979" i="1"/>
  <c r="B21978" i="1"/>
  <c r="B21977" i="1"/>
  <c r="B21976" i="1"/>
  <c r="B21975" i="1"/>
  <c r="B21974" i="1"/>
  <c r="B21973" i="1"/>
  <c r="B21972" i="1"/>
  <c r="B21971" i="1"/>
  <c r="B21970" i="1"/>
  <c r="B21969" i="1"/>
  <c r="B21968" i="1"/>
  <c r="B21967" i="1"/>
  <c r="B21966" i="1"/>
  <c r="B21965" i="1"/>
  <c r="B21964" i="1"/>
  <c r="B21963" i="1"/>
  <c r="B21962" i="1"/>
  <c r="B21961" i="1"/>
  <c r="B21960" i="1"/>
  <c r="B21959" i="1"/>
  <c r="B21958" i="1"/>
  <c r="B21957" i="1"/>
  <c r="B21956" i="1"/>
  <c r="B21955" i="1"/>
  <c r="B21954" i="1"/>
  <c r="B21953" i="1"/>
  <c r="B21952" i="1"/>
  <c r="B21951" i="1"/>
  <c r="B21950" i="1"/>
  <c r="B21949" i="1"/>
  <c r="B21948" i="1"/>
  <c r="B21947" i="1"/>
  <c r="B21946" i="1"/>
  <c r="B21945" i="1"/>
  <c r="B21944" i="1"/>
  <c r="B21943" i="1"/>
  <c r="B21942" i="1"/>
  <c r="B21941" i="1"/>
  <c r="B21940" i="1"/>
  <c r="B21939" i="1"/>
  <c r="B21938" i="1"/>
  <c r="B21937" i="1"/>
  <c r="B21936" i="1"/>
  <c r="B21935" i="1"/>
  <c r="B21934" i="1"/>
  <c r="B21933" i="1"/>
  <c r="B21932" i="1"/>
  <c r="B21931" i="1"/>
  <c r="B21930" i="1"/>
  <c r="B21929" i="1"/>
  <c r="B21928" i="1"/>
  <c r="B21927" i="1"/>
  <c r="B21926" i="1"/>
  <c r="B21925" i="1"/>
  <c r="B21924" i="1"/>
  <c r="B21923" i="1"/>
  <c r="B21922" i="1"/>
  <c r="B21921" i="1"/>
  <c r="B21920" i="1"/>
  <c r="B21919" i="1"/>
  <c r="B21918" i="1"/>
  <c r="B21917" i="1"/>
  <c r="B21916" i="1"/>
  <c r="B21915" i="1"/>
  <c r="B21914" i="1"/>
  <c r="B21913" i="1"/>
  <c r="B21912" i="1"/>
  <c r="B21911" i="1"/>
  <c r="B21910" i="1"/>
  <c r="B21909" i="1"/>
  <c r="B21908" i="1"/>
  <c r="B21907" i="1"/>
  <c r="B21906" i="1"/>
  <c r="B21905" i="1"/>
  <c r="B21904" i="1"/>
  <c r="B21903" i="1"/>
  <c r="B21902" i="1"/>
  <c r="B21901" i="1"/>
  <c r="B21900" i="1"/>
  <c r="B21899" i="1"/>
  <c r="B21898" i="1"/>
  <c r="B21897" i="1"/>
  <c r="B21896" i="1"/>
  <c r="B21895" i="1"/>
  <c r="B21894" i="1"/>
  <c r="B21893" i="1"/>
  <c r="B21892" i="1"/>
  <c r="B21891" i="1"/>
  <c r="B21890" i="1"/>
  <c r="B21889" i="1"/>
  <c r="B21888" i="1"/>
  <c r="B21887" i="1"/>
  <c r="B21886" i="1"/>
  <c r="B21885" i="1"/>
  <c r="B21884" i="1"/>
  <c r="B21883" i="1"/>
  <c r="B21882" i="1"/>
  <c r="B21881" i="1"/>
  <c r="B21880" i="1"/>
  <c r="B21879" i="1"/>
  <c r="B21878" i="1"/>
  <c r="B21877" i="1"/>
  <c r="B21876" i="1"/>
  <c r="B21875" i="1"/>
  <c r="B21874" i="1"/>
  <c r="B21873" i="1"/>
  <c r="B21872" i="1"/>
  <c r="B21871" i="1"/>
  <c r="B21870" i="1"/>
  <c r="B21869" i="1"/>
  <c r="B21868" i="1"/>
  <c r="B21867" i="1"/>
  <c r="B21866" i="1"/>
  <c r="B21865" i="1"/>
  <c r="B21864" i="1"/>
  <c r="B21863" i="1"/>
  <c r="B21862" i="1"/>
  <c r="B21861" i="1"/>
  <c r="B21860" i="1"/>
  <c r="B21859" i="1"/>
  <c r="B21858" i="1"/>
  <c r="B21857" i="1"/>
  <c r="B21856" i="1"/>
  <c r="B21855" i="1"/>
  <c r="B21854" i="1"/>
  <c r="B21853" i="1"/>
  <c r="B21852" i="1"/>
  <c r="B21851" i="1"/>
  <c r="B21850" i="1"/>
  <c r="B21849" i="1"/>
  <c r="B21848" i="1"/>
  <c r="B21847" i="1"/>
  <c r="B21846" i="1"/>
  <c r="B21845" i="1"/>
  <c r="B21844" i="1"/>
  <c r="B21843" i="1"/>
  <c r="B21842" i="1"/>
  <c r="B21841" i="1"/>
  <c r="B21840" i="1"/>
  <c r="B21839" i="1"/>
  <c r="B21838" i="1"/>
  <c r="B21837" i="1"/>
  <c r="B21836" i="1"/>
  <c r="B21835" i="1"/>
  <c r="B21834" i="1"/>
  <c r="B21833" i="1"/>
  <c r="B21832" i="1"/>
  <c r="B21831" i="1"/>
  <c r="B21830" i="1"/>
  <c r="B21829" i="1"/>
  <c r="B21828" i="1"/>
  <c r="B21827" i="1"/>
  <c r="B21826" i="1"/>
  <c r="B21825" i="1"/>
  <c r="B21824" i="1"/>
  <c r="B21823" i="1"/>
  <c r="B21822" i="1"/>
  <c r="B21821" i="1"/>
  <c r="B21820" i="1"/>
  <c r="B21819" i="1"/>
  <c r="B21818" i="1"/>
  <c r="B21817" i="1"/>
  <c r="B21816" i="1"/>
  <c r="B21815" i="1"/>
  <c r="B21814" i="1"/>
  <c r="B21813" i="1"/>
  <c r="B21812" i="1"/>
  <c r="B21811" i="1"/>
  <c r="B21810" i="1"/>
  <c r="B21809" i="1"/>
  <c r="B21808" i="1"/>
  <c r="B21807" i="1"/>
  <c r="B21806" i="1"/>
  <c r="B21805" i="1"/>
  <c r="B21804" i="1"/>
  <c r="B21803" i="1"/>
  <c r="B21802" i="1"/>
  <c r="B21801" i="1"/>
  <c r="B21800" i="1"/>
  <c r="B21799" i="1"/>
  <c r="B21798" i="1"/>
  <c r="B21797" i="1"/>
  <c r="B21796" i="1"/>
  <c r="B21795" i="1"/>
  <c r="B21794" i="1"/>
  <c r="B21793" i="1"/>
  <c r="B21792" i="1"/>
  <c r="B21791" i="1"/>
  <c r="B21790" i="1"/>
  <c r="B21789" i="1"/>
  <c r="B21788" i="1"/>
  <c r="B21787" i="1"/>
  <c r="B21786" i="1"/>
  <c r="B21785" i="1"/>
  <c r="B21784" i="1"/>
  <c r="B21783" i="1"/>
  <c r="B21782" i="1"/>
  <c r="B21781" i="1"/>
  <c r="B21780" i="1"/>
  <c r="B21779" i="1"/>
  <c r="B21778" i="1"/>
  <c r="B21777" i="1"/>
  <c r="B21776" i="1"/>
  <c r="B21775" i="1"/>
  <c r="B21774" i="1"/>
  <c r="B21773" i="1"/>
  <c r="B21772" i="1"/>
  <c r="B21771" i="1"/>
  <c r="B21770" i="1"/>
  <c r="B21769" i="1"/>
  <c r="B21768" i="1"/>
  <c r="B21767" i="1"/>
  <c r="B21766" i="1"/>
  <c r="B21765" i="1"/>
  <c r="B21764" i="1"/>
  <c r="B21763" i="1"/>
  <c r="B21762" i="1"/>
  <c r="B21761" i="1"/>
  <c r="B21760" i="1"/>
  <c r="B21759" i="1"/>
  <c r="B21758" i="1"/>
  <c r="B21757" i="1"/>
  <c r="B21756" i="1"/>
  <c r="B21755" i="1"/>
  <c r="B21754" i="1"/>
  <c r="B21753" i="1"/>
  <c r="B21752" i="1"/>
  <c r="B21751" i="1"/>
  <c r="B21750" i="1"/>
  <c r="B21749" i="1"/>
  <c r="B21748" i="1"/>
  <c r="B21747" i="1"/>
  <c r="B21746" i="1"/>
  <c r="B21745" i="1"/>
  <c r="B21744" i="1"/>
  <c r="B21743" i="1"/>
  <c r="B21742" i="1"/>
  <c r="B21741" i="1"/>
  <c r="B21740" i="1"/>
  <c r="B21739" i="1"/>
  <c r="B21738" i="1"/>
  <c r="B21737" i="1"/>
  <c r="B21736" i="1"/>
  <c r="B21735" i="1"/>
  <c r="B21734" i="1"/>
  <c r="B21733" i="1"/>
  <c r="B21732" i="1"/>
  <c r="B21731" i="1"/>
  <c r="B21730" i="1"/>
  <c r="B21729" i="1"/>
  <c r="B21728" i="1"/>
  <c r="B21727" i="1"/>
  <c r="B21726" i="1"/>
  <c r="B21725" i="1"/>
  <c r="B21724" i="1"/>
  <c r="B21723" i="1"/>
  <c r="B21722" i="1"/>
  <c r="B21721" i="1"/>
  <c r="B21720" i="1"/>
  <c r="B21719" i="1"/>
  <c r="B21718" i="1"/>
  <c r="B21717" i="1"/>
  <c r="B21716" i="1"/>
  <c r="B21715" i="1"/>
  <c r="B21714" i="1"/>
  <c r="B21713" i="1"/>
  <c r="B21712" i="1"/>
  <c r="B21711" i="1"/>
  <c r="B21710" i="1"/>
  <c r="B21709" i="1"/>
  <c r="B21708" i="1"/>
  <c r="B21707" i="1"/>
  <c r="B21706" i="1"/>
  <c r="B21705" i="1"/>
  <c r="B21704" i="1"/>
  <c r="B21703" i="1"/>
  <c r="B21702" i="1"/>
  <c r="B21701" i="1"/>
  <c r="B21700" i="1"/>
  <c r="B21699" i="1"/>
  <c r="B21698" i="1"/>
  <c r="B21697" i="1"/>
  <c r="B21696" i="1"/>
  <c r="B21695" i="1"/>
  <c r="B21694" i="1"/>
  <c r="B21693" i="1"/>
  <c r="B21692" i="1"/>
  <c r="B21691" i="1"/>
  <c r="B21690" i="1"/>
  <c r="B21689" i="1"/>
  <c r="B21688" i="1"/>
  <c r="B21687" i="1"/>
  <c r="B21686" i="1"/>
  <c r="B21685" i="1"/>
  <c r="B21684" i="1"/>
  <c r="B21683" i="1"/>
  <c r="B21682" i="1"/>
  <c r="B21681" i="1"/>
  <c r="B21680" i="1"/>
  <c r="B21679" i="1"/>
  <c r="B21678" i="1"/>
  <c r="B21677" i="1"/>
  <c r="B21676" i="1"/>
  <c r="B21675" i="1"/>
  <c r="B21674" i="1"/>
  <c r="B21673" i="1"/>
  <c r="B21672" i="1"/>
  <c r="B21671" i="1"/>
  <c r="B21670" i="1"/>
  <c r="B21669" i="1"/>
  <c r="B21668" i="1"/>
  <c r="B21667" i="1"/>
  <c r="B21666" i="1"/>
  <c r="B21665" i="1"/>
  <c r="B21664" i="1"/>
  <c r="B21663" i="1"/>
  <c r="B21662" i="1"/>
  <c r="B21661" i="1"/>
  <c r="B21660" i="1"/>
  <c r="B21659" i="1"/>
  <c r="B21658" i="1"/>
  <c r="B21657" i="1"/>
  <c r="B21656" i="1"/>
  <c r="B21655" i="1"/>
  <c r="B21654" i="1"/>
  <c r="B21653" i="1"/>
  <c r="B21652" i="1"/>
  <c r="B21651" i="1"/>
  <c r="B21650" i="1"/>
  <c r="B21649" i="1"/>
  <c r="B21648" i="1"/>
  <c r="B21647" i="1"/>
  <c r="B21646" i="1"/>
  <c r="B21645" i="1"/>
  <c r="B21644" i="1"/>
  <c r="B21643" i="1"/>
  <c r="B21642" i="1"/>
  <c r="B21641" i="1"/>
  <c r="B21640" i="1"/>
  <c r="B21639" i="1"/>
  <c r="B21638" i="1"/>
  <c r="B21637" i="1"/>
  <c r="B21636" i="1"/>
  <c r="B21635" i="1"/>
  <c r="B21634" i="1"/>
  <c r="B21633" i="1"/>
  <c r="B21632" i="1"/>
  <c r="B21631" i="1"/>
  <c r="B21630" i="1"/>
  <c r="B21629" i="1"/>
  <c r="B21628" i="1"/>
  <c r="B21627" i="1"/>
  <c r="B21626" i="1"/>
  <c r="B21625" i="1"/>
  <c r="B21624" i="1"/>
  <c r="B21623" i="1"/>
  <c r="B21622" i="1"/>
  <c r="B21621" i="1"/>
  <c r="B21620" i="1"/>
  <c r="B21619" i="1"/>
  <c r="B21618" i="1"/>
  <c r="B21617" i="1"/>
  <c r="B21616" i="1"/>
  <c r="B21615" i="1"/>
  <c r="B21614" i="1"/>
  <c r="B21613" i="1"/>
  <c r="B21612" i="1"/>
  <c r="B21611" i="1"/>
  <c r="B21610" i="1"/>
  <c r="B21609" i="1"/>
  <c r="B21608" i="1"/>
  <c r="B21607" i="1"/>
  <c r="B21606" i="1"/>
  <c r="B21605" i="1"/>
  <c r="B21604" i="1"/>
  <c r="B21603" i="1"/>
  <c r="B21602" i="1"/>
  <c r="B21601" i="1"/>
  <c r="B21600" i="1"/>
  <c r="B21599" i="1"/>
  <c r="B21598" i="1"/>
  <c r="B21597" i="1"/>
  <c r="B21596" i="1"/>
  <c r="B21595" i="1"/>
  <c r="B21594" i="1"/>
  <c r="B21593" i="1"/>
  <c r="B21592" i="1"/>
  <c r="B21591" i="1"/>
  <c r="B21590" i="1"/>
  <c r="B21589" i="1"/>
  <c r="B21588" i="1"/>
  <c r="B21587" i="1"/>
  <c r="B21586" i="1"/>
  <c r="B21585" i="1"/>
  <c r="B21584" i="1"/>
  <c r="B21583" i="1"/>
  <c r="B21582" i="1"/>
  <c r="B21581" i="1"/>
  <c r="B21580" i="1"/>
  <c r="B21579" i="1"/>
  <c r="B21578" i="1"/>
  <c r="B21577" i="1"/>
  <c r="B21576" i="1"/>
  <c r="B21575" i="1"/>
  <c r="B21574" i="1"/>
  <c r="B21573" i="1"/>
  <c r="B21572" i="1"/>
  <c r="B21571" i="1"/>
  <c r="B21570" i="1"/>
  <c r="B21569" i="1"/>
  <c r="B21568" i="1"/>
  <c r="B21567" i="1"/>
  <c r="B21566" i="1"/>
  <c r="B21565" i="1"/>
  <c r="B21564" i="1"/>
  <c r="B21563" i="1"/>
  <c r="B21562" i="1"/>
  <c r="B21561" i="1"/>
  <c r="B21560" i="1"/>
  <c r="B21559" i="1"/>
  <c r="B21558" i="1"/>
  <c r="B21557" i="1"/>
  <c r="B21556" i="1"/>
  <c r="B21555" i="1"/>
  <c r="B21554" i="1"/>
  <c r="B21553" i="1"/>
  <c r="B21552" i="1"/>
  <c r="B21551" i="1"/>
  <c r="B21550" i="1"/>
  <c r="B21549" i="1"/>
  <c r="B21548" i="1"/>
  <c r="B21547" i="1"/>
  <c r="B21546" i="1"/>
  <c r="B21545" i="1"/>
  <c r="B21544" i="1"/>
  <c r="B21543" i="1"/>
  <c r="B21542" i="1"/>
  <c r="B21541" i="1"/>
  <c r="B21540" i="1"/>
  <c r="B21539" i="1"/>
  <c r="B21538" i="1"/>
  <c r="B21537" i="1"/>
  <c r="B21536" i="1"/>
  <c r="B21535" i="1"/>
  <c r="B21534" i="1"/>
  <c r="B21533" i="1"/>
  <c r="B21532" i="1"/>
  <c r="B21531" i="1"/>
  <c r="B21530" i="1"/>
  <c r="B21529" i="1"/>
  <c r="B21528" i="1"/>
  <c r="B21527" i="1"/>
  <c r="B21526" i="1"/>
  <c r="B21525" i="1"/>
  <c r="B21524" i="1"/>
  <c r="B21523" i="1"/>
  <c r="B21522" i="1"/>
  <c r="B21521" i="1"/>
  <c r="B21520" i="1"/>
  <c r="B21519" i="1"/>
  <c r="B21518" i="1"/>
  <c r="B21517" i="1"/>
  <c r="B21516" i="1"/>
  <c r="B21515" i="1"/>
  <c r="B21514" i="1"/>
  <c r="B21513" i="1"/>
  <c r="B21512" i="1"/>
  <c r="B21511" i="1"/>
  <c r="B21510" i="1"/>
  <c r="B21509" i="1"/>
  <c r="B21508" i="1"/>
  <c r="B21507" i="1"/>
  <c r="B21506" i="1"/>
  <c r="B21505" i="1"/>
  <c r="B21504" i="1"/>
  <c r="B21503" i="1"/>
  <c r="B21502" i="1"/>
  <c r="B21501" i="1"/>
  <c r="B21500" i="1"/>
  <c r="B21499" i="1"/>
  <c r="B21498" i="1"/>
  <c r="B21497" i="1"/>
  <c r="B21496" i="1"/>
  <c r="B21495" i="1"/>
  <c r="B21494" i="1"/>
  <c r="B21493" i="1"/>
  <c r="B21492" i="1"/>
  <c r="B21491" i="1"/>
  <c r="B21490" i="1"/>
  <c r="B21489" i="1"/>
  <c r="B21488" i="1"/>
  <c r="B21487" i="1"/>
  <c r="B21486" i="1"/>
  <c r="B21485" i="1"/>
  <c r="B21484" i="1"/>
  <c r="B21483" i="1"/>
  <c r="B21482" i="1"/>
  <c r="B21481" i="1"/>
  <c r="B21480" i="1"/>
  <c r="B21479" i="1"/>
  <c r="B21478" i="1"/>
  <c r="B21477" i="1"/>
  <c r="B21476" i="1"/>
  <c r="B21475" i="1"/>
  <c r="B21474" i="1"/>
  <c r="B21473" i="1"/>
  <c r="B21472" i="1"/>
  <c r="B21471" i="1"/>
  <c r="B21470" i="1"/>
  <c r="B21469" i="1"/>
  <c r="B21468" i="1"/>
  <c r="B21467" i="1"/>
  <c r="B21466" i="1"/>
  <c r="B21465" i="1"/>
  <c r="B21464" i="1"/>
  <c r="B21463" i="1"/>
  <c r="B21462" i="1"/>
  <c r="B21461" i="1"/>
  <c r="B21460" i="1"/>
  <c r="B21459" i="1"/>
  <c r="B21458" i="1"/>
  <c r="B21457" i="1"/>
  <c r="B21456" i="1"/>
  <c r="B21455" i="1"/>
  <c r="B21454" i="1"/>
  <c r="B21453" i="1"/>
  <c r="B21452" i="1"/>
  <c r="B21451" i="1"/>
  <c r="B21450" i="1"/>
  <c r="B21449" i="1"/>
  <c r="B21448" i="1"/>
  <c r="B21447" i="1"/>
  <c r="B21446" i="1"/>
  <c r="B21445" i="1"/>
  <c r="B21444" i="1"/>
  <c r="B21443" i="1"/>
  <c r="B21442" i="1"/>
  <c r="B21441" i="1"/>
  <c r="B21440" i="1"/>
  <c r="B21439" i="1"/>
  <c r="B21438" i="1"/>
  <c r="B21437" i="1"/>
  <c r="B21436" i="1"/>
  <c r="B21435" i="1"/>
  <c r="B21434" i="1"/>
  <c r="B21433" i="1"/>
  <c r="B21432" i="1"/>
  <c r="B21431" i="1"/>
  <c r="B21430" i="1"/>
  <c r="B21429" i="1"/>
  <c r="B21428" i="1"/>
  <c r="B21427" i="1"/>
  <c r="B21426" i="1"/>
  <c r="B21425" i="1"/>
  <c r="B21424" i="1"/>
  <c r="B21423" i="1"/>
  <c r="B21422" i="1"/>
  <c r="B21421" i="1"/>
  <c r="B21420" i="1"/>
  <c r="B21419" i="1"/>
  <c r="B21418" i="1"/>
  <c r="B21417" i="1"/>
  <c r="B21416" i="1"/>
  <c r="B21415" i="1"/>
  <c r="B21414" i="1"/>
  <c r="B21413" i="1"/>
  <c r="B21412" i="1"/>
  <c r="B21411" i="1"/>
  <c r="B21410" i="1"/>
  <c r="B21409" i="1"/>
  <c r="B21408" i="1"/>
  <c r="B21407" i="1"/>
  <c r="B21406" i="1"/>
  <c r="B21405" i="1"/>
  <c r="B21404" i="1"/>
  <c r="B21403" i="1"/>
  <c r="B21402" i="1"/>
  <c r="B21401" i="1"/>
  <c r="B21400" i="1"/>
  <c r="B21399" i="1"/>
  <c r="B21398" i="1"/>
  <c r="B21397" i="1"/>
  <c r="B21396" i="1"/>
  <c r="B21395" i="1"/>
  <c r="B21394" i="1"/>
  <c r="B21393" i="1"/>
  <c r="B21392" i="1"/>
  <c r="B21391" i="1"/>
  <c r="B21390" i="1"/>
  <c r="B21389" i="1"/>
  <c r="B21388" i="1"/>
  <c r="B21387" i="1"/>
  <c r="B21386" i="1"/>
  <c r="B21385" i="1"/>
  <c r="B21384" i="1"/>
  <c r="B21383" i="1"/>
  <c r="B21382" i="1"/>
  <c r="B21381" i="1"/>
  <c r="B21380" i="1"/>
  <c r="B21379" i="1"/>
  <c r="B21378" i="1"/>
  <c r="B21377" i="1"/>
  <c r="B21376" i="1"/>
  <c r="B21375" i="1"/>
  <c r="B21374" i="1"/>
  <c r="B21373" i="1"/>
  <c r="B21372" i="1"/>
  <c r="B21371" i="1"/>
  <c r="B21370" i="1"/>
  <c r="B21369" i="1"/>
  <c r="B21368" i="1"/>
  <c r="B21367" i="1"/>
  <c r="B21366" i="1"/>
  <c r="B21365" i="1"/>
  <c r="B21364" i="1"/>
  <c r="B21363" i="1"/>
  <c r="B21362" i="1"/>
  <c r="B21361" i="1"/>
  <c r="B21360" i="1"/>
  <c r="B21359" i="1"/>
  <c r="B21358" i="1"/>
  <c r="B21357" i="1"/>
  <c r="B21356" i="1"/>
  <c r="B21355" i="1"/>
  <c r="B21354" i="1"/>
  <c r="B21353" i="1"/>
  <c r="B21352" i="1"/>
  <c r="B21351" i="1"/>
  <c r="B21350" i="1"/>
  <c r="B21349" i="1"/>
  <c r="B21348" i="1"/>
  <c r="B21347" i="1"/>
  <c r="B21346" i="1"/>
  <c r="B21345" i="1"/>
  <c r="B21344" i="1"/>
  <c r="B21343" i="1"/>
  <c r="B21342" i="1"/>
  <c r="B21341" i="1"/>
  <c r="B21340" i="1"/>
  <c r="B21339" i="1"/>
  <c r="B21338" i="1"/>
  <c r="B21337" i="1"/>
  <c r="B21336" i="1"/>
  <c r="B21335" i="1"/>
  <c r="B21334" i="1"/>
  <c r="B21333" i="1"/>
  <c r="B21332" i="1"/>
  <c r="B21331" i="1"/>
  <c r="B21330" i="1"/>
  <c r="B21329" i="1"/>
  <c r="B21328" i="1"/>
  <c r="B21327" i="1"/>
  <c r="B21326" i="1"/>
  <c r="B21325" i="1"/>
  <c r="B21324" i="1"/>
  <c r="B21323" i="1"/>
  <c r="B21322" i="1"/>
  <c r="B21321" i="1"/>
  <c r="B21320" i="1"/>
  <c r="B21319" i="1"/>
  <c r="B21318" i="1"/>
  <c r="B21317" i="1"/>
  <c r="B21316" i="1"/>
  <c r="B21315" i="1"/>
  <c r="B21314" i="1"/>
  <c r="B21313" i="1"/>
  <c r="B21312" i="1"/>
  <c r="B21311" i="1"/>
  <c r="B21310" i="1"/>
  <c r="B21309" i="1"/>
  <c r="B21308" i="1"/>
  <c r="B21307" i="1"/>
  <c r="B21306" i="1"/>
  <c r="B21305" i="1"/>
  <c r="B21304" i="1"/>
  <c r="B21303" i="1"/>
  <c r="B21302" i="1"/>
  <c r="B21301" i="1"/>
  <c r="B21300" i="1"/>
  <c r="B21299" i="1"/>
  <c r="B21298" i="1"/>
  <c r="B21297" i="1"/>
  <c r="B21296" i="1"/>
  <c r="B21295" i="1"/>
  <c r="B21294" i="1"/>
  <c r="B21293" i="1"/>
  <c r="B21292" i="1"/>
  <c r="B21291" i="1"/>
  <c r="B21290" i="1"/>
  <c r="B21289" i="1"/>
  <c r="B21288" i="1"/>
  <c r="B21287" i="1"/>
  <c r="B21286" i="1"/>
  <c r="B21285" i="1"/>
  <c r="B21284" i="1"/>
  <c r="B21283" i="1"/>
  <c r="B21282" i="1"/>
  <c r="B21281" i="1"/>
  <c r="B21280" i="1"/>
  <c r="B21279" i="1"/>
  <c r="B21278" i="1"/>
  <c r="B21277" i="1"/>
  <c r="B21276" i="1"/>
  <c r="B21275" i="1"/>
  <c r="B21274" i="1"/>
  <c r="B21273" i="1"/>
  <c r="B21272" i="1"/>
  <c r="B21271" i="1"/>
  <c r="B21270" i="1"/>
  <c r="B21269" i="1"/>
  <c r="B21268" i="1"/>
  <c r="B21267" i="1"/>
  <c r="B21266" i="1"/>
  <c r="B21265" i="1"/>
  <c r="B21264" i="1"/>
  <c r="B21263" i="1"/>
  <c r="B21262" i="1"/>
  <c r="B21261" i="1"/>
  <c r="B21260" i="1"/>
  <c r="B21259" i="1"/>
  <c r="B21258" i="1"/>
  <c r="B21257" i="1"/>
  <c r="B21256" i="1"/>
  <c r="B21255" i="1"/>
  <c r="B21254" i="1"/>
  <c r="B21253" i="1"/>
  <c r="B21252" i="1"/>
  <c r="B21251" i="1"/>
  <c r="B21250" i="1"/>
  <c r="B21249" i="1"/>
  <c r="B21248" i="1"/>
  <c r="B21247" i="1"/>
  <c r="B21246" i="1"/>
  <c r="B21245" i="1"/>
  <c r="B21244" i="1"/>
  <c r="B21243" i="1"/>
  <c r="B21242" i="1"/>
  <c r="B21241" i="1"/>
  <c r="B21240" i="1"/>
  <c r="B21239" i="1"/>
  <c r="B21238" i="1"/>
  <c r="B21237" i="1"/>
  <c r="B21236" i="1"/>
  <c r="B21235" i="1"/>
  <c r="B21234" i="1"/>
  <c r="B21233" i="1"/>
  <c r="B21232" i="1"/>
  <c r="B21231" i="1"/>
  <c r="B21230" i="1"/>
  <c r="B21229" i="1"/>
  <c r="B21228" i="1"/>
  <c r="B21227" i="1"/>
  <c r="B21226" i="1"/>
  <c r="B21225" i="1"/>
  <c r="B21224" i="1"/>
  <c r="B21223" i="1"/>
  <c r="B21222" i="1"/>
  <c r="B21221" i="1"/>
  <c r="B21220" i="1"/>
  <c r="B21219" i="1"/>
  <c r="B21218" i="1"/>
  <c r="B21217" i="1"/>
  <c r="B21216" i="1"/>
  <c r="B21215" i="1"/>
  <c r="B21214" i="1"/>
  <c r="B21213" i="1"/>
  <c r="B21212" i="1"/>
  <c r="B21211" i="1"/>
  <c r="B21210" i="1"/>
  <c r="B21209" i="1"/>
  <c r="B21208" i="1"/>
  <c r="B21207" i="1"/>
  <c r="B21206" i="1"/>
  <c r="B21205" i="1"/>
  <c r="B21204" i="1"/>
  <c r="B21203" i="1"/>
  <c r="B21202" i="1"/>
  <c r="B21201" i="1"/>
  <c r="B21200" i="1"/>
  <c r="B21199" i="1"/>
  <c r="B21198" i="1"/>
  <c r="B21197" i="1"/>
  <c r="B21196" i="1"/>
  <c r="B21195" i="1"/>
  <c r="B21194" i="1"/>
  <c r="B21193" i="1"/>
  <c r="B21192" i="1"/>
  <c r="B21191" i="1"/>
  <c r="B21190" i="1"/>
  <c r="B21189" i="1"/>
  <c r="B21188" i="1"/>
  <c r="B21187" i="1"/>
  <c r="B21186" i="1"/>
  <c r="B21185" i="1"/>
  <c r="B21184" i="1"/>
  <c r="B21183" i="1"/>
  <c r="B21182" i="1"/>
  <c r="B21181" i="1"/>
  <c r="B21180" i="1"/>
  <c r="B21179" i="1"/>
  <c r="B21178" i="1"/>
  <c r="B21177" i="1"/>
  <c r="B21176" i="1"/>
  <c r="B21175" i="1"/>
  <c r="B21174" i="1"/>
  <c r="B21173" i="1"/>
  <c r="B21172" i="1"/>
  <c r="B21171" i="1"/>
  <c r="B21170" i="1"/>
  <c r="B21169" i="1"/>
  <c r="B21168" i="1"/>
  <c r="B21167" i="1"/>
  <c r="B21166" i="1"/>
  <c r="B21165" i="1"/>
  <c r="B21164" i="1"/>
  <c r="B21163" i="1"/>
  <c r="B21162" i="1"/>
  <c r="B21161" i="1"/>
  <c r="B21160" i="1"/>
  <c r="B21159" i="1"/>
  <c r="B21158" i="1"/>
  <c r="B21157" i="1"/>
  <c r="B21156" i="1"/>
  <c r="B21155" i="1"/>
  <c r="B21154" i="1"/>
  <c r="B21153" i="1"/>
  <c r="B21152" i="1"/>
  <c r="B21151" i="1"/>
  <c r="B21150" i="1"/>
  <c r="B21149" i="1"/>
  <c r="B21148" i="1"/>
  <c r="B21147" i="1"/>
  <c r="B21146" i="1"/>
  <c r="B21145" i="1"/>
  <c r="B21144" i="1"/>
  <c r="B21143" i="1"/>
  <c r="B21142" i="1"/>
  <c r="B21141" i="1"/>
  <c r="B21140" i="1"/>
  <c r="B21139" i="1"/>
  <c r="B21138" i="1"/>
  <c r="B21137" i="1"/>
  <c r="B21136" i="1"/>
  <c r="B21135" i="1"/>
  <c r="B21134" i="1"/>
  <c r="B21133" i="1"/>
  <c r="B21132" i="1"/>
  <c r="B21131" i="1"/>
  <c r="B21130" i="1"/>
  <c r="B21129" i="1"/>
  <c r="B21128" i="1"/>
  <c r="B21127" i="1"/>
  <c r="B21126" i="1"/>
  <c r="B21125" i="1"/>
  <c r="B21124" i="1"/>
  <c r="B21123" i="1"/>
  <c r="B21122" i="1"/>
  <c r="B21121" i="1"/>
  <c r="B21120" i="1"/>
  <c r="B21119" i="1"/>
  <c r="B21118" i="1"/>
  <c r="B21117" i="1"/>
  <c r="B21116" i="1"/>
  <c r="B21115" i="1"/>
  <c r="B21114" i="1"/>
  <c r="B21113" i="1"/>
  <c r="B21112" i="1"/>
  <c r="B21111" i="1"/>
  <c r="B21110" i="1"/>
  <c r="B21109" i="1"/>
  <c r="B21108" i="1"/>
  <c r="B21107" i="1"/>
  <c r="B21106" i="1"/>
  <c r="B21105" i="1"/>
  <c r="B21104" i="1"/>
  <c r="B21103" i="1"/>
  <c r="B21102" i="1"/>
  <c r="B21101" i="1"/>
  <c r="B21100" i="1"/>
  <c r="B21099" i="1"/>
  <c r="B21098" i="1"/>
  <c r="B21097" i="1"/>
  <c r="B21096" i="1"/>
  <c r="B21095" i="1"/>
  <c r="B21094" i="1"/>
  <c r="B21093" i="1"/>
  <c r="B21092" i="1"/>
  <c r="B21091" i="1"/>
  <c r="B21090" i="1"/>
  <c r="B21089" i="1"/>
  <c r="B21088" i="1"/>
  <c r="B21087" i="1"/>
  <c r="B21086" i="1"/>
  <c r="B21085" i="1"/>
  <c r="B21084" i="1"/>
  <c r="B21083" i="1"/>
  <c r="B21082" i="1"/>
  <c r="B21081" i="1"/>
  <c r="B21080" i="1"/>
  <c r="B21079" i="1"/>
  <c r="B21078" i="1"/>
  <c r="B21077" i="1"/>
  <c r="B21076" i="1"/>
  <c r="B21075" i="1"/>
  <c r="B21074" i="1"/>
  <c r="B21073" i="1"/>
  <c r="B21072" i="1"/>
  <c r="B21071" i="1"/>
  <c r="B21070" i="1"/>
  <c r="B21069" i="1"/>
  <c r="B21068" i="1"/>
  <c r="B21067" i="1"/>
  <c r="B21066" i="1"/>
  <c r="B21065" i="1"/>
  <c r="B21064" i="1"/>
  <c r="B21063" i="1"/>
  <c r="B21062" i="1"/>
  <c r="B21061" i="1"/>
  <c r="B21060" i="1"/>
  <c r="B21059" i="1"/>
  <c r="B21058" i="1"/>
  <c r="B21057" i="1"/>
  <c r="B21056" i="1"/>
  <c r="B21055" i="1"/>
  <c r="B21054" i="1"/>
  <c r="B21053" i="1"/>
  <c r="B21052" i="1"/>
  <c r="B21051" i="1"/>
  <c r="B21050" i="1"/>
  <c r="B21049" i="1"/>
  <c r="B21048" i="1"/>
  <c r="B20947" i="1"/>
  <c r="B20946" i="1"/>
  <c r="B20945" i="1"/>
  <c r="B20944" i="1"/>
  <c r="B20943" i="1"/>
  <c r="B20942" i="1"/>
  <c r="B20941" i="1"/>
  <c r="B20940" i="1"/>
  <c r="B20939" i="1"/>
  <c r="B20938" i="1"/>
  <c r="B20937" i="1"/>
  <c r="B20936" i="1"/>
  <c r="B20935" i="1"/>
  <c r="B20934" i="1"/>
  <c r="B20933" i="1"/>
  <c r="B20932" i="1"/>
  <c r="B20931" i="1"/>
  <c r="B20930" i="1"/>
  <c r="B20929" i="1"/>
  <c r="B20928" i="1"/>
  <c r="B20927" i="1"/>
  <c r="B20926" i="1"/>
  <c r="B20925" i="1"/>
  <c r="B20924" i="1"/>
  <c r="B20923" i="1"/>
  <c r="B20922" i="1"/>
  <c r="B20921" i="1"/>
  <c r="B20920" i="1"/>
  <c r="B20919" i="1"/>
  <c r="B20918" i="1"/>
  <c r="B20917" i="1"/>
  <c r="B20916" i="1"/>
  <c r="B20915" i="1"/>
  <c r="B20914" i="1"/>
  <c r="B20913" i="1"/>
  <c r="B20912" i="1"/>
  <c r="B20911" i="1"/>
  <c r="B20910" i="1"/>
  <c r="B20909" i="1"/>
  <c r="B20908" i="1"/>
  <c r="B20907" i="1"/>
  <c r="B20906" i="1"/>
  <c r="B20905" i="1"/>
  <c r="B20904" i="1"/>
  <c r="B20903" i="1"/>
  <c r="B20902" i="1"/>
  <c r="B20901" i="1"/>
  <c r="B20900" i="1"/>
  <c r="B20899" i="1"/>
  <c r="B20898" i="1"/>
  <c r="B20897" i="1"/>
  <c r="B20896" i="1"/>
  <c r="B20895" i="1"/>
  <c r="B20894" i="1"/>
  <c r="B20893" i="1"/>
  <c r="B20892" i="1"/>
  <c r="B20891" i="1"/>
  <c r="B20890" i="1"/>
  <c r="B20889" i="1"/>
  <c r="B20888" i="1"/>
  <c r="B20887" i="1"/>
  <c r="B20886" i="1"/>
  <c r="B20885" i="1"/>
  <c r="B20884" i="1"/>
  <c r="B20883" i="1"/>
  <c r="B20882" i="1"/>
  <c r="B20881" i="1"/>
  <c r="B20880" i="1"/>
  <c r="B20879" i="1"/>
  <c r="B20878" i="1"/>
  <c r="B20877" i="1"/>
  <c r="B20876" i="1"/>
  <c r="B20875" i="1"/>
  <c r="B20874" i="1"/>
  <c r="B20873" i="1"/>
  <c r="B20872" i="1"/>
  <c r="B20871" i="1"/>
  <c r="B20870" i="1"/>
  <c r="B20869" i="1"/>
  <c r="B20868" i="1"/>
  <c r="B20867" i="1"/>
  <c r="B20866" i="1"/>
  <c r="B20865" i="1"/>
  <c r="B20864" i="1"/>
  <c r="B20863" i="1"/>
  <c r="B20862" i="1"/>
  <c r="B20861" i="1"/>
  <c r="B20860" i="1"/>
  <c r="B20859" i="1"/>
  <c r="B20858" i="1"/>
  <c r="B20857" i="1"/>
  <c r="B20856" i="1"/>
  <c r="B20855" i="1"/>
  <c r="B20854" i="1"/>
  <c r="B20853" i="1"/>
  <c r="B20852" i="1"/>
  <c r="B20851" i="1"/>
  <c r="B20850" i="1"/>
  <c r="B20849" i="1"/>
  <c r="B20848" i="1"/>
  <c r="B20847" i="1"/>
  <c r="B20846" i="1"/>
  <c r="B20845" i="1"/>
  <c r="B20844" i="1"/>
  <c r="B20843" i="1"/>
  <c r="B20842" i="1"/>
  <c r="B20841" i="1"/>
  <c r="B20840" i="1"/>
  <c r="B20839" i="1"/>
  <c r="B20838" i="1"/>
  <c r="B20837" i="1"/>
  <c r="B20836" i="1"/>
  <c r="B20835" i="1"/>
  <c r="B20834" i="1"/>
  <c r="B20833" i="1"/>
  <c r="B20832" i="1"/>
  <c r="B20831" i="1"/>
  <c r="B20830" i="1"/>
  <c r="B20829" i="1"/>
  <c r="B20828" i="1"/>
  <c r="B20827" i="1"/>
  <c r="B20826" i="1"/>
  <c r="B20825" i="1"/>
  <c r="B20824" i="1"/>
  <c r="B20823" i="1"/>
  <c r="B20822" i="1"/>
  <c r="B20821" i="1"/>
  <c r="B20820" i="1"/>
  <c r="B20819" i="1"/>
  <c r="B20818" i="1"/>
  <c r="B20817" i="1"/>
  <c r="B20816" i="1"/>
  <c r="B20815" i="1"/>
  <c r="B20814" i="1"/>
  <c r="B20813" i="1"/>
  <c r="B20812" i="1"/>
  <c r="B20811" i="1"/>
  <c r="B20810" i="1"/>
  <c r="B20809" i="1"/>
  <c r="B20808" i="1"/>
  <c r="B20807" i="1"/>
  <c r="B20806" i="1"/>
  <c r="B20805" i="1"/>
  <c r="B20804" i="1"/>
  <c r="B20803" i="1"/>
  <c r="B20802" i="1"/>
  <c r="B20801" i="1"/>
  <c r="B20800" i="1"/>
  <c r="B20799" i="1"/>
  <c r="B20798" i="1"/>
  <c r="B20797" i="1"/>
  <c r="B20796" i="1"/>
  <c r="B20795" i="1"/>
  <c r="B20794" i="1"/>
  <c r="B20793" i="1"/>
  <c r="B20792" i="1"/>
  <c r="B20791" i="1"/>
  <c r="B20790" i="1"/>
  <c r="B20789" i="1"/>
  <c r="B20788" i="1"/>
  <c r="B20787" i="1"/>
  <c r="B20786" i="1"/>
  <c r="B20785" i="1"/>
  <c r="B20784" i="1"/>
  <c r="B20783" i="1"/>
  <c r="B20782" i="1"/>
  <c r="B20781" i="1"/>
  <c r="B20780" i="1"/>
  <c r="B20779" i="1"/>
  <c r="B20778" i="1"/>
  <c r="B20777" i="1"/>
  <c r="B20776" i="1"/>
  <c r="B20775" i="1"/>
  <c r="B20774" i="1"/>
  <c r="B20773" i="1"/>
  <c r="B20772" i="1"/>
  <c r="B20771" i="1"/>
  <c r="B20770" i="1"/>
  <c r="B20769" i="1"/>
  <c r="B20768" i="1"/>
  <c r="B20767" i="1"/>
  <c r="B20766" i="1"/>
  <c r="B20765" i="1"/>
  <c r="B20764" i="1"/>
  <c r="B20763" i="1"/>
  <c r="B20762" i="1"/>
  <c r="B20761" i="1"/>
  <c r="B20760" i="1"/>
  <c r="B20759" i="1"/>
  <c r="B20758" i="1"/>
  <c r="B20757" i="1"/>
  <c r="B20756" i="1"/>
  <c r="B20755" i="1"/>
  <c r="B20754" i="1"/>
  <c r="B20753" i="1"/>
  <c r="B20752" i="1"/>
  <c r="B20751" i="1"/>
  <c r="B20750" i="1"/>
  <c r="B20749" i="1"/>
  <c r="B20748" i="1"/>
  <c r="B20747" i="1"/>
  <c r="B20746" i="1"/>
  <c r="B20745" i="1"/>
  <c r="B20744" i="1"/>
  <c r="B20743" i="1"/>
  <c r="B20742" i="1"/>
  <c r="B20741" i="1"/>
  <c r="B20740" i="1"/>
  <c r="B20739" i="1"/>
  <c r="B20738" i="1"/>
  <c r="B20737" i="1"/>
  <c r="B20736" i="1"/>
  <c r="B20735" i="1"/>
  <c r="B20734" i="1"/>
  <c r="B20733" i="1"/>
  <c r="B20732" i="1"/>
  <c r="B20731" i="1"/>
  <c r="B20730" i="1"/>
  <c r="B20729" i="1"/>
  <c r="B20728" i="1"/>
  <c r="B20727" i="1"/>
  <c r="B20726" i="1"/>
  <c r="B20725" i="1"/>
  <c r="B20724" i="1"/>
  <c r="B20723" i="1"/>
  <c r="B20722" i="1"/>
  <c r="B20721" i="1"/>
  <c r="B20720" i="1"/>
  <c r="B20719" i="1"/>
  <c r="B20718" i="1"/>
  <c r="B20717" i="1"/>
  <c r="B20716" i="1"/>
  <c r="B20715" i="1"/>
  <c r="B20714" i="1"/>
  <c r="B20713" i="1"/>
  <c r="B20712" i="1"/>
  <c r="B20711" i="1"/>
  <c r="B20710" i="1"/>
  <c r="B20709" i="1"/>
  <c r="B20708" i="1"/>
  <c r="B20707" i="1"/>
  <c r="B20706" i="1"/>
  <c r="B20705" i="1"/>
  <c r="B20704" i="1"/>
  <c r="B20703" i="1"/>
  <c r="B20702" i="1"/>
  <c r="B20701" i="1"/>
  <c r="B20700" i="1"/>
  <c r="B20699" i="1"/>
  <c r="B20698" i="1"/>
  <c r="B20697" i="1"/>
  <c r="B20696" i="1"/>
  <c r="B20695" i="1"/>
  <c r="B20694" i="1"/>
  <c r="B20693" i="1"/>
  <c r="B20692" i="1"/>
  <c r="B20691" i="1"/>
  <c r="B20690" i="1"/>
  <c r="B20689" i="1"/>
  <c r="B20688" i="1"/>
  <c r="B20687" i="1"/>
  <c r="B20686" i="1"/>
  <c r="B20685" i="1"/>
  <c r="B20684" i="1"/>
  <c r="B20683" i="1"/>
  <c r="B20682" i="1"/>
  <c r="B20681" i="1"/>
  <c r="B20680" i="1"/>
  <c r="B20679" i="1"/>
  <c r="B20678" i="1"/>
  <c r="B20677" i="1"/>
  <c r="B20676" i="1"/>
  <c r="B20675" i="1"/>
  <c r="B20674" i="1"/>
  <c r="B20673" i="1"/>
  <c r="B20672" i="1"/>
  <c r="B20671" i="1"/>
  <c r="B20670" i="1"/>
  <c r="B20669" i="1"/>
  <c r="B20668" i="1"/>
  <c r="B20667" i="1"/>
  <c r="B20666" i="1"/>
  <c r="B20665" i="1"/>
  <c r="B20664" i="1"/>
  <c r="B20663" i="1"/>
  <c r="B20662" i="1"/>
  <c r="B20661" i="1"/>
  <c r="B20660" i="1"/>
  <c r="B20659" i="1"/>
  <c r="B20658" i="1"/>
  <c r="B20657" i="1"/>
  <c r="B20656" i="1"/>
  <c r="B20655" i="1"/>
  <c r="B20654" i="1"/>
  <c r="B20653" i="1"/>
  <c r="B20652" i="1"/>
  <c r="B20651" i="1"/>
  <c r="B20650" i="1"/>
  <c r="B20649" i="1"/>
  <c r="B20648" i="1"/>
  <c r="B20647" i="1"/>
  <c r="B20646" i="1"/>
  <c r="B20645" i="1"/>
  <c r="B20644" i="1"/>
  <c r="B20643" i="1"/>
  <c r="B20642" i="1"/>
  <c r="B20641" i="1"/>
  <c r="B20640" i="1"/>
  <c r="B20639" i="1"/>
  <c r="B20638" i="1"/>
  <c r="B20637" i="1"/>
  <c r="B20636" i="1"/>
  <c r="B20635" i="1"/>
  <c r="B20634" i="1"/>
  <c r="B20633" i="1"/>
  <c r="B20632" i="1"/>
  <c r="B20631" i="1"/>
  <c r="B20630" i="1"/>
  <c r="B20629" i="1"/>
  <c r="B20628" i="1"/>
  <c r="B20627" i="1"/>
  <c r="B20626" i="1"/>
  <c r="B20625" i="1"/>
  <c r="B20624" i="1"/>
  <c r="B20623" i="1"/>
  <c r="B20622" i="1"/>
  <c r="B20621" i="1"/>
  <c r="B20620" i="1"/>
  <c r="B20619" i="1"/>
  <c r="B20618" i="1"/>
  <c r="B20617" i="1"/>
  <c r="B20616" i="1"/>
  <c r="B20615" i="1"/>
  <c r="B20614" i="1"/>
  <c r="B20613" i="1"/>
  <c r="B20612" i="1"/>
  <c r="B20611" i="1"/>
  <c r="B20610" i="1"/>
  <c r="B20609" i="1"/>
  <c r="B20608" i="1"/>
  <c r="B20607" i="1"/>
  <c r="B20606" i="1"/>
  <c r="B20605" i="1"/>
  <c r="B20604" i="1"/>
  <c r="B20603" i="1"/>
  <c r="B20602" i="1"/>
  <c r="B20601" i="1"/>
  <c r="B20600" i="1"/>
  <c r="B20599" i="1"/>
  <c r="B20598" i="1"/>
  <c r="B20597" i="1"/>
  <c r="B20596" i="1"/>
  <c r="B20595" i="1"/>
  <c r="B20594" i="1"/>
  <c r="B20593" i="1"/>
  <c r="B20592" i="1"/>
  <c r="B20591" i="1"/>
  <c r="B20590" i="1"/>
  <c r="B20589" i="1"/>
  <c r="B20588" i="1"/>
  <c r="B20587" i="1"/>
  <c r="B20586" i="1"/>
  <c r="B20585" i="1"/>
  <c r="B20584" i="1"/>
  <c r="B20583" i="1"/>
  <c r="B20582" i="1"/>
  <c r="B20581" i="1"/>
  <c r="B20580" i="1"/>
  <c r="B20579" i="1"/>
  <c r="B20578" i="1"/>
  <c r="B20577" i="1"/>
  <c r="B20576" i="1"/>
  <c r="B20575" i="1"/>
  <c r="B20574" i="1"/>
  <c r="B20573" i="1"/>
  <c r="B20572" i="1"/>
  <c r="B20571" i="1"/>
  <c r="B20570" i="1"/>
  <c r="B20569" i="1"/>
  <c r="B20568" i="1"/>
  <c r="B20567" i="1"/>
  <c r="B20566" i="1"/>
  <c r="B20565" i="1"/>
  <c r="B20564" i="1"/>
  <c r="B20563" i="1"/>
  <c r="B20562" i="1"/>
  <c r="B20561" i="1"/>
  <c r="B20560" i="1"/>
  <c r="B20559" i="1"/>
  <c r="B20558" i="1"/>
  <c r="B20557" i="1"/>
  <c r="B20556" i="1"/>
  <c r="B20555" i="1"/>
  <c r="B20554" i="1"/>
  <c r="B20553" i="1"/>
  <c r="B20552" i="1"/>
  <c r="B20551" i="1"/>
  <c r="B20550" i="1"/>
  <c r="B20549" i="1"/>
  <c r="B20548" i="1"/>
  <c r="B20547" i="1"/>
  <c r="B20546" i="1"/>
  <c r="B20545" i="1"/>
  <c r="B20544" i="1"/>
  <c r="B20543" i="1"/>
  <c r="B20542" i="1"/>
  <c r="B20541" i="1"/>
  <c r="B20540" i="1"/>
  <c r="B20539" i="1"/>
  <c r="B20538" i="1"/>
  <c r="B20537" i="1"/>
  <c r="B20536" i="1"/>
  <c r="B20535" i="1"/>
  <c r="B20534" i="1"/>
  <c r="B20533" i="1"/>
  <c r="B20532" i="1"/>
  <c r="B20531" i="1"/>
  <c r="B20530" i="1"/>
  <c r="B20529" i="1"/>
  <c r="B20528" i="1"/>
  <c r="B20527" i="1"/>
  <c r="B20526" i="1"/>
  <c r="B20525" i="1"/>
  <c r="B20524" i="1"/>
  <c r="B20523" i="1"/>
  <c r="B20522" i="1"/>
  <c r="B20521" i="1"/>
  <c r="B20520" i="1"/>
  <c r="B20519" i="1"/>
  <c r="B20518" i="1"/>
  <c r="B20517" i="1"/>
  <c r="B20516" i="1"/>
  <c r="B20515" i="1"/>
  <c r="B20514" i="1"/>
  <c r="B20513" i="1"/>
  <c r="B20512" i="1"/>
  <c r="B20511" i="1"/>
  <c r="B20510" i="1"/>
  <c r="B20509" i="1"/>
  <c r="B20508" i="1"/>
  <c r="B20507" i="1"/>
  <c r="B20506" i="1"/>
  <c r="B20505" i="1"/>
  <c r="B20504" i="1"/>
  <c r="B20503" i="1"/>
  <c r="B20502" i="1"/>
  <c r="B20501" i="1"/>
  <c r="B20500" i="1"/>
  <c r="B20499" i="1"/>
  <c r="B20498" i="1"/>
  <c r="B20497" i="1"/>
  <c r="B20496" i="1"/>
  <c r="B20495" i="1"/>
  <c r="B20494" i="1"/>
  <c r="B20493" i="1"/>
  <c r="B20492" i="1"/>
  <c r="B20491" i="1"/>
  <c r="B20490" i="1"/>
  <c r="B20489" i="1"/>
  <c r="B20488" i="1"/>
  <c r="B20487" i="1"/>
  <c r="B20486" i="1"/>
  <c r="B20485" i="1"/>
  <c r="B20484" i="1"/>
  <c r="B20483" i="1"/>
  <c r="B20482" i="1"/>
  <c r="B20481" i="1"/>
  <c r="B20480" i="1"/>
  <c r="B20479" i="1"/>
  <c r="B20478" i="1"/>
  <c r="B20477" i="1"/>
  <c r="B20476" i="1"/>
  <c r="B20475" i="1"/>
  <c r="B20474" i="1"/>
  <c r="B20473" i="1"/>
  <c r="B20472" i="1"/>
  <c r="B20471" i="1"/>
  <c r="B20470" i="1"/>
  <c r="B20469" i="1"/>
  <c r="B20468" i="1"/>
  <c r="B20467" i="1"/>
  <c r="B20466" i="1"/>
  <c r="B20465" i="1"/>
  <c r="B20464" i="1"/>
  <c r="B20463" i="1"/>
  <c r="B20462" i="1"/>
  <c r="B20461" i="1"/>
  <c r="B20460" i="1"/>
  <c r="B20459" i="1"/>
  <c r="B20458" i="1"/>
  <c r="B20457" i="1"/>
  <c r="B20456" i="1"/>
  <c r="B20455" i="1"/>
  <c r="B20454" i="1"/>
  <c r="B20453" i="1"/>
  <c r="B20452" i="1"/>
  <c r="B20451" i="1"/>
  <c r="B20450" i="1"/>
  <c r="B20449" i="1"/>
  <c r="B20448" i="1"/>
  <c r="B20447" i="1"/>
  <c r="B20446" i="1"/>
  <c r="B20445" i="1"/>
  <c r="B20444" i="1"/>
  <c r="B20443" i="1"/>
  <c r="B20442" i="1"/>
  <c r="B20441" i="1"/>
  <c r="B20440" i="1"/>
  <c r="B20439" i="1"/>
  <c r="B20438" i="1"/>
  <c r="B20437" i="1"/>
  <c r="B20436" i="1"/>
  <c r="B20435" i="1"/>
  <c r="B20434" i="1"/>
  <c r="B20433" i="1"/>
  <c r="B20432" i="1"/>
  <c r="B20431" i="1"/>
  <c r="B20430" i="1"/>
  <c r="B20429" i="1"/>
  <c r="B20428" i="1"/>
  <c r="B20427" i="1"/>
  <c r="B20426" i="1"/>
  <c r="B20425" i="1"/>
  <c r="B20424" i="1"/>
  <c r="B20423" i="1"/>
  <c r="B20422" i="1"/>
  <c r="B20421" i="1"/>
  <c r="B20420" i="1"/>
  <c r="B20419" i="1"/>
  <c r="B20418" i="1"/>
  <c r="B20417" i="1"/>
  <c r="B20416" i="1"/>
  <c r="B20415" i="1"/>
  <c r="B20414" i="1"/>
  <c r="B20413" i="1"/>
  <c r="B20412" i="1"/>
  <c r="B20411" i="1"/>
  <c r="B20410" i="1"/>
  <c r="B20409" i="1"/>
  <c r="B20408" i="1"/>
  <c r="B20407" i="1"/>
  <c r="B20406" i="1"/>
  <c r="B20405" i="1"/>
  <c r="B20404" i="1"/>
  <c r="B20403" i="1"/>
  <c r="B20402" i="1"/>
  <c r="B20401" i="1"/>
  <c r="B20400" i="1"/>
  <c r="B20399" i="1"/>
  <c r="B20398" i="1"/>
  <c r="B20397" i="1"/>
  <c r="B20396" i="1"/>
  <c r="B20395" i="1"/>
  <c r="B20394" i="1"/>
  <c r="B20393" i="1"/>
  <c r="B20392" i="1"/>
  <c r="B20391" i="1"/>
  <c r="B20390" i="1"/>
  <c r="B20389" i="1"/>
  <c r="B20388" i="1"/>
  <c r="B20387" i="1"/>
  <c r="B20386" i="1"/>
  <c r="B20385" i="1"/>
  <c r="B20384" i="1"/>
  <c r="B20383" i="1"/>
  <c r="B20382" i="1"/>
  <c r="B20381" i="1"/>
  <c r="B20380" i="1"/>
  <c r="B20379" i="1"/>
  <c r="B20378" i="1"/>
  <c r="B20377" i="1"/>
  <c r="B20376" i="1"/>
  <c r="B20375" i="1"/>
  <c r="B20374" i="1"/>
  <c r="B20373" i="1"/>
  <c r="B20372" i="1"/>
  <c r="B20371" i="1"/>
  <c r="B20370" i="1"/>
  <c r="B20369" i="1"/>
  <c r="B20368" i="1"/>
  <c r="B20367" i="1"/>
  <c r="B20366" i="1"/>
  <c r="B20365" i="1"/>
  <c r="B20364" i="1"/>
  <c r="B20363" i="1"/>
  <c r="B20362" i="1"/>
  <c r="B20361" i="1"/>
  <c r="B20360" i="1"/>
  <c r="B20359" i="1"/>
  <c r="B20358" i="1"/>
  <c r="B20357" i="1"/>
  <c r="B20356" i="1"/>
  <c r="B20355" i="1"/>
  <c r="B20354" i="1"/>
  <c r="B20353" i="1"/>
  <c r="B20352" i="1"/>
  <c r="B20351" i="1"/>
  <c r="B20350" i="1"/>
  <c r="B20349" i="1"/>
  <c r="B20348" i="1"/>
  <c r="B20347" i="1"/>
  <c r="B20346" i="1"/>
  <c r="B20345" i="1"/>
  <c r="B20344" i="1"/>
  <c r="B20343" i="1"/>
  <c r="B20342" i="1"/>
  <c r="B20341" i="1"/>
  <c r="B20340" i="1"/>
  <c r="B20339" i="1"/>
  <c r="B20338" i="1"/>
  <c r="B20337" i="1"/>
  <c r="B20336" i="1"/>
  <c r="B20335" i="1"/>
  <c r="B20334" i="1"/>
  <c r="B20333" i="1"/>
  <c r="B20332" i="1"/>
  <c r="B20331" i="1"/>
  <c r="B20330" i="1"/>
  <c r="B20329" i="1"/>
  <c r="B20328" i="1"/>
  <c r="B20327" i="1"/>
  <c r="B20326" i="1"/>
  <c r="B20325" i="1"/>
  <c r="B20324" i="1"/>
  <c r="B20323" i="1"/>
  <c r="B20322" i="1"/>
  <c r="B20321" i="1"/>
  <c r="B20320" i="1"/>
  <c r="B20319" i="1"/>
  <c r="B20318" i="1"/>
  <c r="B20317" i="1"/>
  <c r="B20316" i="1"/>
  <c r="B20315" i="1"/>
  <c r="B20314" i="1"/>
  <c r="B20313" i="1"/>
  <c r="B20312" i="1"/>
  <c r="B20311" i="1"/>
  <c r="B20310" i="1"/>
  <c r="B20309" i="1"/>
  <c r="B20308" i="1"/>
  <c r="B20307" i="1"/>
  <c r="B20306" i="1"/>
  <c r="B20305" i="1"/>
  <c r="B20304" i="1"/>
  <c r="B20303" i="1"/>
  <c r="B20302" i="1"/>
  <c r="B20301" i="1"/>
  <c r="B20300" i="1"/>
  <c r="B20299" i="1"/>
  <c r="B20298" i="1"/>
  <c r="B20297" i="1"/>
  <c r="B20296" i="1"/>
  <c r="B20295" i="1"/>
  <c r="B20294" i="1"/>
  <c r="B20293" i="1"/>
  <c r="B20292" i="1"/>
  <c r="B20291" i="1"/>
  <c r="B20290" i="1"/>
  <c r="B20289" i="1"/>
  <c r="B20288" i="1"/>
  <c r="B20287" i="1"/>
  <c r="B20286" i="1"/>
  <c r="B20285" i="1"/>
  <c r="B20284" i="1"/>
  <c r="B20283" i="1"/>
  <c r="B20282" i="1"/>
  <c r="B20281" i="1"/>
  <c r="B20280" i="1"/>
  <c r="B20279" i="1"/>
  <c r="B20278" i="1"/>
  <c r="B20277" i="1"/>
  <c r="B20276" i="1"/>
  <c r="B20275" i="1"/>
  <c r="B20274" i="1"/>
  <c r="B20273" i="1"/>
  <c r="B20272" i="1"/>
  <c r="B20271" i="1"/>
  <c r="B20270" i="1"/>
  <c r="B20269" i="1"/>
  <c r="B20268" i="1"/>
  <c r="B20267" i="1"/>
  <c r="B20266" i="1"/>
  <c r="B20265" i="1"/>
  <c r="B20264" i="1"/>
  <c r="B20263" i="1"/>
  <c r="B20262" i="1"/>
  <c r="B20261" i="1"/>
  <c r="B20260" i="1"/>
  <c r="B20259" i="1"/>
  <c r="B20258" i="1"/>
  <c r="B20257" i="1"/>
  <c r="B20256" i="1"/>
  <c r="B20255" i="1"/>
  <c r="B20254" i="1"/>
  <c r="B20253" i="1"/>
  <c r="B20252" i="1"/>
  <c r="B20251" i="1"/>
  <c r="B20250" i="1"/>
  <c r="B20249" i="1"/>
  <c r="B20248" i="1"/>
  <c r="B20247" i="1"/>
  <c r="B20246" i="1"/>
  <c r="B20245" i="1"/>
  <c r="B20244" i="1"/>
  <c r="B20243" i="1"/>
  <c r="B20242" i="1"/>
  <c r="B20241" i="1"/>
  <c r="B20240" i="1"/>
  <c r="B20239" i="1"/>
  <c r="B20238" i="1"/>
  <c r="B20237" i="1"/>
  <c r="B20236" i="1"/>
  <c r="B20235" i="1"/>
  <c r="B20234" i="1"/>
  <c r="B20233" i="1"/>
  <c r="B20232" i="1"/>
  <c r="B20231" i="1"/>
  <c r="B20230" i="1"/>
  <c r="B20229" i="1"/>
  <c r="B20228" i="1"/>
  <c r="B20227" i="1"/>
  <c r="B20226" i="1"/>
  <c r="B20225" i="1"/>
  <c r="B20224" i="1"/>
  <c r="B20223" i="1"/>
  <c r="B20222" i="1"/>
  <c r="B20221" i="1"/>
  <c r="B20220" i="1"/>
  <c r="B20219" i="1"/>
  <c r="B20218" i="1"/>
  <c r="B20217" i="1"/>
  <c r="B20216" i="1"/>
  <c r="B20215" i="1"/>
  <c r="B20214" i="1"/>
  <c r="B20213" i="1"/>
  <c r="B20212" i="1"/>
  <c r="B20211" i="1"/>
  <c r="B20210" i="1"/>
  <c r="B20209" i="1"/>
  <c r="B20208" i="1"/>
  <c r="B20207" i="1"/>
  <c r="B20206" i="1"/>
  <c r="B20205" i="1"/>
  <c r="B20204" i="1"/>
  <c r="B20203" i="1"/>
  <c r="B20202" i="1"/>
  <c r="B20201" i="1"/>
  <c r="B20200" i="1"/>
  <c r="B20199" i="1"/>
  <c r="B20198" i="1"/>
  <c r="B20197" i="1"/>
  <c r="B20196" i="1"/>
  <c r="B20195" i="1"/>
  <c r="B20194" i="1"/>
  <c r="B20193" i="1"/>
  <c r="B20192" i="1"/>
  <c r="B20191" i="1"/>
  <c r="B20190" i="1"/>
  <c r="B20189" i="1"/>
  <c r="B20188" i="1"/>
  <c r="B20187" i="1"/>
  <c r="B20186" i="1"/>
  <c r="B20185" i="1"/>
  <c r="B20184" i="1"/>
  <c r="B20183" i="1"/>
  <c r="B20182" i="1"/>
  <c r="B20181" i="1"/>
  <c r="B20180" i="1"/>
  <c r="B20179" i="1"/>
  <c r="B20178" i="1"/>
  <c r="B20177" i="1"/>
  <c r="B20176" i="1"/>
  <c r="B20175" i="1"/>
  <c r="B20174" i="1"/>
  <c r="B20173" i="1"/>
  <c r="B20172" i="1"/>
  <c r="B20171" i="1"/>
  <c r="B20170" i="1"/>
  <c r="B20169" i="1"/>
  <c r="B20168" i="1"/>
  <c r="B20167" i="1"/>
  <c r="B20166" i="1"/>
  <c r="B20165" i="1"/>
  <c r="B20164" i="1"/>
  <c r="B20163" i="1"/>
  <c r="B20162" i="1"/>
  <c r="B20161" i="1"/>
  <c r="B20160" i="1"/>
  <c r="B20159" i="1"/>
  <c r="B20158" i="1"/>
  <c r="B20157" i="1"/>
  <c r="B20156" i="1"/>
  <c r="B20155" i="1"/>
  <c r="B20154" i="1"/>
  <c r="B20153" i="1"/>
  <c r="B20152" i="1"/>
  <c r="B20151" i="1"/>
  <c r="B20150" i="1"/>
  <c r="B20149" i="1"/>
  <c r="B20148" i="1"/>
  <c r="B20147" i="1"/>
  <c r="B20146" i="1"/>
  <c r="B20145" i="1"/>
  <c r="B20144" i="1"/>
  <c r="B20143" i="1"/>
  <c r="B20142" i="1"/>
  <c r="B20141" i="1"/>
  <c r="B20140" i="1"/>
  <c r="B20139" i="1"/>
  <c r="B20138" i="1"/>
  <c r="B20137" i="1"/>
  <c r="B20136" i="1"/>
  <c r="B20135" i="1"/>
  <c r="B20134" i="1"/>
  <c r="B20133" i="1"/>
  <c r="B20132" i="1"/>
  <c r="B20131" i="1"/>
  <c r="B20130" i="1"/>
  <c r="B20129" i="1"/>
  <c r="B20128" i="1"/>
  <c r="B20127" i="1"/>
  <c r="B20126" i="1"/>
  <c r="B20125" i="1"/>
  <c r="B20124" i="1"/>
  <c r="B20123" i="1"/>
  <c r="B20122" i="1"/>
  <c r="B20121" i="1"/>
  <c r="B20120" i="1"/>
  <c r="B20119" i="1"/>
  <c r="B20118" i="1"/>
  <c r="B20117" i="1"/>
  <c r="B20116" i="1"/>
  <c r="B20115" i="1"/>
  <c r="B20114" i="1"/>
  <c r="B20113" i="1"/>
  <c r="B20112" i="1"/>
  <c r="B20111" i="1"/>
  <c r="B20110" i="1"/>
  <c r="B20109" i="1"/>
  <c r="B20108" i="1"/>
  <c r="B20107" i="1"/>
  <c r="B20106" i="1"/>
  <c r="B20105" i="1"/>
  <c r="B20104" i="1"/>
  <c r="B20103" i="1"/>
  <c r="B20102" i="1"/>
  <c r="B20101" i="1"/>
  <c r="B20100" i="1"/>
  <c r="B20099" i="1"/>
  <c r="B20098" i="1"/>
  <c r="B20097" i="1"/>
  <c r="B20096" i="1"/>
  <c r="B20095" i="1"/>
  <c r="B20094" i="1"/>
  <c r="B20093" i="1"/>
  <c r="B20092" i="1"/>
  <c r="B20091" i="1"/>
  <c r="B20090" i="1"/>
  <c r="B20089" i="1"/>
  <c r="B20088" i="1"/>
  <c r="B20087" i="1"/>
  <c r="B20086" i="1"/>
  <c r="B20085" i="1"/>
  <c r="B20084" i="1"/>
  <c r="B20083" i="1"/>
  <c r="B20082" i="1"/>
  <c r="B20081" i="1"/>
  <c r="B20080" i="1"/>
  <c r="B20079" i="1"/>
  <c r="B20078" i="1"/>
  <c r="B20077" i="1"/>
  <c r="B20076" i="1"/>
  <c r="B20075" i="1"/>
  <c r="B20074" i="1"/>
  <c r="B20073" i="1"/>
  <c r="B20072" i="1"/>
  <c r="B20071" i="1"/>
  <c r="B20070" i="1"/>
  <c r="B20069" i="1"/>
  <c r="B20068" i="1"/>
  <c r="B20067" i="1"/>
  <c r="B20066" i="1"/>
  <c r="B20065" i="1"/>
  <c r="B20064" i="1"/>
  <c r="B20063" i="1"/>
  <c r="B20062" i="1"/>
  <c r="B20061" i="1"/>
  <c r="B20060" i="1"/>
  <c r="B20059" i="1"/>
  <c r="B20058" i="1"/>
  <c r="B20057" i="1"/>
  <c r="B20056" i="1"/>
  <c r="B20055" i="1"/>
  <c r="B20054" i="1"/>
  <c r="B20053" i="1"/>
  <c r="B20052" i="1"/>
  <c r="B20051" i="1"/>
  <c r="B20050" i="1"/>
  <c r="B20049" i="1"/>
  <c r="B20048" i="1"/>
  <c r="B20047" i="1"/>
  <c r="B20046" i="1"/>
  <c r="B20045" i="1"/>
  <c r="B20044" i="1"/>
  <c r="B20043" i="1"/>
  <c r="B20042" i="1"/>
  <c r="B20041" i="1"/>
  <c r="B20040" i="1"/>
  <c r="B20039" i="1"/>
  <c r="B20038" i="1"/>
  <c r="B20037" i="1"/>
  <c r="B20036" i="1"/>
  <c r="B20035" i="1"/>
  <c r="B20034" i="1"/>
  <c r="B20033" i="1"/>
  <c r="B20032" i="1"/>
  <c r="B20031" i="1"/>
  <c r="B20030" i="1"/>
  <c r="B20029" i="1"/>
  <c r="B20028" i="1"/>
  <c r="B20027" i="1"/>
  <c r="B20026" i="1"/>
  <c r="B20025" i="1"/>
  <c r="B20024" i="1"/>
  <c r="B20023" i="1"/>
  <c r="B20022" i="1"/>
  <c r="B20021" i="1"/>
  <c r="B20020" i="1"/>
  <c r="B20019" i="1"/>
  <c r="B20018" i="1"/>
  <c r="B20017" i="1"/>
  <c r="B20016" i="1"/>
  <c r="B20015" i="1"/>
  <c r="B20014" i="1"/>
  <c r="B20013" i="1"/>
  <c r="B20012" i="1"/>
  <c r="B20011" i="1"/>
  <c r="B20010" i="1"/>
  <c r="B20009" i="1"/>
  <c r="B20008" i="1"/>
  <c r="B20007" i="1"/>
  <c r="B20006" i="1"/>
  <c r="B20005" i="1"/>
  <c r="B20004" i="1"/>
  <c r="B20003" i="1"/>
  <c r="B20002" i="1"/>
  <c r="B20001" i="1"/>
  <c r="B20000" i="1"/>
  <c r="B19999" i="1"/>
  <c r="B19998" i="1"/>
  <c r="B19997" i="1"/>
  <c r="B19996" i="1"/>
  <c r="B19995" i="1"/>
  <c r="B19994" i="1"/>
  <c r="B19993" i="1"/>
  <c r="B19992" i="1"/>
  <c r="B19991" i="1"/>
  <c r="B19990" i="1"/>
  <c r="B19989" i="1"/>
  <c r="B19988" i="1"/>
  <c r="B19987" i="1"/>
  <c r="B19986" i="1"/>
  <c r="B19985" i="1"/>
  <c r="B19984" i="1"/>
  <c r="B19983" i="1"/>
  <c r="B19982" i="1"/>
  <c r="B19981" i="1"/>
  <c r="B19980" i="1"/>
  <c r="B19979" i="1"/>
  <c r="B19978" i="1"/>
  <c r="B19977" i="1"/>
  <c r="B19976" i="1"/>
  <c r="B19975" i="1"/>
  <c r="B19974" i="1"/>
  <c r="B19973" i="1"/>
  <c r="B19972" i="1"/>
  <c r="B19971" i="1"/>
  <c r="B19970" i="1"/>
  <c r="B19969" i="1"/>
  <c r="B19968" i="1"/>
  <c r="B19967" i="1"/>
  <c r="B19966" i="1"/>
  <c r="B19965" i="1"/>
  <c r="B19964" i="1"/>
  <c r="B19963" i="1"/>
  <c r="B19962" i="1"/>
  <c r="B19961" i="1"/>
  <c r="B19960" i="1"/>
  <c r="B19959" i="1"/>
  <c r="B19958" i="1"/>
  <c r="B19957" i="1"/>
  <c r="B19956" i="1"/>
  <c r="B19955" i="1"/>
  <c r="B19954" i="1"/>
  <c r="B19953" i="1"/>
  <c r="B19952" i="1"/>
  <c r="B19951" i="1"/>
  <c r="B19950" i="1"/>
  <c r="B19949" i="1"/>
  <c r="B19948" i="1"/>
  <c r="B19947" i="1"/>
  <c r="B19946" i="1"/>
  <c r="B19945" i="1"/>
  <c r="B19944" i="1"/>
  <c r="B19943" i="1"/>
  <c r="B19942" i="1"/>
  <c r="B19941" i="1"/>
  <c r="B19940" i="1"/>
  <c r="B19939" i="1"/>
  <c r="B19938" i="1"/>
  <c r="B19937" i="1"/>
  <c r="B19936" i="1"/>
  <c r="B19935" i="1"/>
  <c r="B19934" i="1"/>
  <c r="B19933" i="1"/>
  <c r="B19932" i="1"/>
  <c r="B19931" i="1"/>
  <c r="B19930" i="1"/>
  <c r="B19929" i="1"/>
  <c r="B19928" i="1"/>
  <c r="B19927" i="1"/>
  <c r="B19926" i="1"/>
  <c r="B19925" i="1"/>
  <c r="B19924" i="1"/>
  <c r="B19923" i="1"/>
  <c r="B19922" i="1"/>
  <c r="B19921" i="1"/>
  <c r="B19920" i="1"/>
  <c r="B19919" i="1"/>
  <c r="B19918" i="1"/>
  <c r="B19917" i="1"/>
  <c r="B19916" i="1"/>
  <c r="B19915" i="1"/>
  <c r="B19914" i="1"/>
  <c r="B19913" i="1"/>
  <c r="B19912" i="1"/>
  <c r="B19911" i="1"/>
  <c r="B19910" i="1"/>
  <c r="B19909" i="1"/>
  <c r="B19908" i="1"/>
  <c r="B19907" i="1"/>
  <c r="B19906" i="1"/>
  <c r="B19905" i="1"/>
  <c r="B19904" i="1"/>
  <c r="B19903" i="1"/>
  <c r="B19902" i="1"/>
  <c r="B19901" i="1"/>
  <c r="B19900" i="1"/>
  <c r="B19899" i="1"/>
  <c r="B19898" i="1"/>
  <c r="B19897" i="1"/>
  <c r="B19896" i="1"/>
  <c r="B19895" i="1"/>
  <c r="B19894" i="1"/>
  <c r="B19893" i="1"/>
  <c r="B19892" i="1"/>
  <c r="B19891" i="1"/>
  <c r="B19890" i="1"/>
  <c r="B19889" i="1"/>
  <c r="B19888" i="1"/>
  <c r="B19887" i="1"/>
  <c r="B19886" i="1"/>
  <c r="B19885" i="1"/>
  <c r="B19884" i="1"/>
  <c r="B19883" i="1"/>
  <c r="B19882" i="1"/>
  <c r="B19881" i="1"/>
  <c r="B19880" i="1"/>
  <c r="B19879" i="1"/>
  <c r="B19878" i="1"/>
  <c r="B19877" i="1"/>
  <c r="B19876" i="1"/>
  <c r="B19875" i="1"/>
  <c r="B19874" i="1"/>
  <c r="B19873" i="1"/>
  <c r="B19872" i="1"/>
  <c r="B19871" i="1"/>
  <c r="B19870" i="1"/>
  <c r="B19869" i="1"/>
  <c r="B19868" i="1"/>
  <c r="B19867" i="1"/>
  <c r="B19866" i="1"/>
  <c r="B19865" i="1"/>
  <c r="B19864" i="1"/>
  <c r="B19863" i="1"/>
  <c r="B19862" i="1"/>
  <c r="B19861" i="1"/>
  <c r="B19860" i="1"/>
  <c r="B19859" i="1"/>
  <c r="B19858" i="1"/>
  <c r="B19857" i="1"/>
  <c r="B19856" i="1"/>
  <c r="B19855" i="1"/>
  <c r="B19854" i="1"/>
  <c r="B19853" i="1"/>
  <c r="B19852" i="1"/>
  <c r="B19851" i="1"/>
  <c r="B19850" i="1"/>
  <c r="B19849" i="1"/>
  <c r="B19848" i="1"/>
  <c r="B19847" i="1"/>
  <c r="B19846" i="1"/>
  <c r="B19845" i="1"/>
  <c r="B19844" i="1"/>
  <c r="B19843" i="1"/>
  <c r="B19842" i="1"/>
  <c r="B19841" i="1"/>
  <c r="B19840" i="1"/>
  <c r="B19839" i="1"/>
  <c r="B19838" i="1"/>
  <c r="B19837" i="1"/>
  <c r="B19836" i="1"/>
  <c r="B19835" i="1"/>
  <c r="B19834" i="1"/>
  <c r="B19833" i="1"/>
  <c r="B19832" i="1"/>
  <c r="B19831" i="1"/>
  <c r="B19830" i="1"/>
  <c r="B19829" i="1"/>
  <c r="B19828" i="1"/>
  <c r="B19827" i="1"/>
  <c r="B19826" i="1"/>
  <c r="B19825" i="1"/>
  <c r="B19824" i="1"/>
  <c r="B19823" i="1"/>
  <c r="B19822" i="1"/>
  <c r="B19821" i="1"/>
  <c r="B19820" i="1"/>
  <c r="B19819" i="1"/>
  <c r="B19818" i="1"/>
  <c r="B19817" i="1"/>
  <c r="B19816" i="1"/>
  <c r="B19815" i="1"/>
  <c r="B19814" i="1"/>
  <c r="B19813" i="1"/>
  <c r="B19812" i="1"/>
  <c r="B19811" i="1"/>
  <c r="B19810" i="1"/>
  <c r="B19809" i="1"/>
  <c r="B19808" i="1"/>
  <c r="B19807" i="1"/>
  <c r="B19806" i="1"/>
  <c r="B19805" i="1"/>
  <c r="B19804" i="1"/>
  <c r="B19803" i="1"/>
  <c r="B19802" i="1"/>
  <c r="B19801" i="1"/>
  <c r="B19800" i="1"/>
  <c r="B19799" i="1"/>
  <c r="B19798" i="1"/>
  <c r="B19797" i="1"/>
  <c r="B19796" i="1"/>
  <c r="B19795" i="1"/>
  <c r="B19794" i="1"/>
  <c r="B19793" i="1"/>
  <c r="B19792" i="1"/>
  <c r="B19791" i="1"/>
  <c r="B19790" i="1"/>
  <c r="B19789" i="1"/>
  <c r="B19788" i="1"/>
  <c r="B19787" i="1"/>
  <c r="B19786" i="1"/>
  <c r="B19785" i="1"/>
  <c r="B19784" i="1"/>
  <c r="B19783" i="1"/>
  <c r="B19782" i="1"/>
  <c r="B19781" i="1"/>
  <c r="B19780" i="1"/>
  <c r="B19779" i="1"/>
  <c r="B19778" i="1"/>
  <c r="B19777" i="1"/>
  <c r="B19776" i="1"/>
  <c r="B19775" i="1"/>
  <c r="B19774" i="1"/>
  <c r="B19773" i="1"/>
  <c r="B19772" i="1"/>
  <c r="B19771" i="1"/>
  <c r="B19770" i="1"/>
  <c r="B19769" i="1"/>
  <c r="B19768" i="1"/>
  <c r="B19767" i="1"/>
  <c r="B19766" i="1"/>
  <c r="B19765" i="1"/>
  <c r="B19764" i="1"/>
  <c r="B19763" i="1"/>
  <c r="B19762" i="1"/>
  <c r="B19761" i="1"/>
  <c r="B19760" i="1"/>
  <c r="B19759" i="1"/>
  <c r="B19758" i="1"/>
  <c r="B19757" i="1"/>
  <c r="B19756" i="1"/>
  <c r="B19755" i="1"/>
  <c r="B19754" i="1"/>
  <c r="B19753" i="1"/>
  <c r="B19752" i="1"/>
  <c r="B19751" i="1"/>
  <c r="B19750" i="1"/>
  <c r="B19749" i="1"/>
  <c r="B19748" i="1"/>
  <c r="B19747" i="1"/>
  <c r="B19746" i="1"/>
  <c r="B19745" i="1"/>
  <c r="B19744" i="1"/>
  <c r="B19743" i="1"/>
  <c r="B19742" i="1"/>
  <c r="B19741" i="1"/>
  <c r="B19740" i="1"/>
  <c r="B19739" i="1"/>
  <c r="B19738" i="1"/>
  <c r="B19737" i="1"/>
  <c r="B19736" i="1"/>
  <c r="B19735" i="1"/>
  <c r="B19734" i="1"/>
  <c r="B19733" i="1"/>
  <c r="B19732" i="1"/>
  <c r="B19731" i="1"/>
  <c r="B19730" i="1"/>
  <c r="B19729" i="1"/>
  <c r="B19728" i="1"/>
  <c r="B19727" i="1"/>
  <c r="B19726" i="1"/>
  <c r="B19725" i="1"/>
  <c r="B19724" i="1"/>
  <c r="B19723" i="1"/>
  <c r="B19722" i="1"/>
  <c r="B19721" i="1"/>
  <c r="B19720" i="1"/>
  <c r="B19719" i="1"/>
  <c r="B19718" i="1"/>
  <c r="B19717" i="1"/>
  <c r="B19716" i="1"/>
  <c r="B19715" i="1"/>
  <c r="B19714" i="1"/>
  <c r="B19713" i="1"/>
  <c r="B19712" i="1"/>
  <c r="B19711" i="1"/>
  <c r="B19710" i="1"/>
  <c r="B19709" i="1"/>
  <c r="B19708" i="1"/>
  <c r="B19707" i="1"/>
  <c r="B19706" i="1"/>
  <c r="B19705" i="1"/>
  <c r="B19704" i="1"/>
  <c r="B19703" i="1"/>
  <c r="B19702" i="1"/>
  <c r="B19701" i="1"/>
  <c r="B19700" i="1"/>
  <c r="B19699" i="1"/>
  <c r="B19698" i="1"/>
  <c r="B19697" i="1"/>
  <c r="B19696" i="1"/>
  <c r="B19695" i="1"/>
  <c r="B19694" i="1"/>
  <c r="B19693" i="1"/>
  <c r="B19692" i="1"/>
  <c r="B19691" i="1"/>
  <c r="B19690" i="1"/>
  <c r="B19689" i="1"/>
  <c r="B19688" i="1"/>
  <c r="B19687" i="1"/>
  <c r="B19686" i="1"/>
  <c r="B19685" i="1"/>
  <c r="B19684" i="1"/>
  <c r="B19683" i="1"/>
  <c r="B19682" i="1"/>
  <c r="B19681" i="1"/>
  <c r="B19680" i="1"/>
  <c r="B19679" i="1"/>
  <c r="B19678" i="1"/>
  <c r="B19677" i="1"/>
  <c r="B19676" i="1"/>
  <c r="B19675" i="1"/>
  <c r="B19674" i="1"/>
  <c r="B19673" i="1"/>
  <c r="B19672" i="1"/>
  <c r="B19671" i="1"/>
  <c r="B19670" i="1"/>
  <c r="B19669" i="1"/>
  <c r="B19668" i="1"/>
  <c r="B19667" i="1"/>
  <c r="B19666" i="1"/>
  <c r="B19665" i="1"/>
  <c r="B19664" i="1"/>
  <c r="B19663" i="1"/>
  <c r="B19662" i="1"/>
  <c r="B19661" i="1"/>
  <c r="B19660" i="1"/>
  <c r="B19659" i="1"/>
  <c r="B19658" i="1"/>
  <c r="B19657" i="1"/>
  <c r="B19656" i="1"/>
  <c r="B19655" i="1"/>
  <c r="B19654" i="1"/>
  <c r="B19653" i="1"/>
  <c r="B19652" i="1"/>
  <c r="B19651" i="1"/>
  <c r="B19650" i="1"/>
  <c r="B19649" i="1"/>
  <c r="B19648" i="1"/>
  <c r="B19647" i="1"/>
  <c r="B19646" i="1"/>
  <c r="B19645" i="1"/>
  <c r="B19644" i="1"/>
  <c r="B19643" i="1"/>
  <c r="B19642" i="1"/>
  <c r="B19641" i="1"/>
  <c r="B19640" i="1"/>
  <c r="B19639" i="1"/>
  <c r="B19638" i="1"/>
  <c r="B19637" i="1"/>
  <c r="B19636" i="1"/>
  <c r="B19635" i="1"/>
  <c r="B19634" i="1"/>
  <c r="B19633" i="1"/>
  <c r="B19632" i="1"/>
  <c r="B19631" i="1"/>
  <c r="B19630" i="1"/>
  <c r="B19629" i="1"/>
  <c r="B19628" i="1"/>
  <c r="B19627" i="1"/>
  <c r="B19626" i="1"/>
  <c r="B19625" i="1"/>
  <c r="B19624" i="1"/>
  <c r="B19623" i="1"/>
  <c r="B19622" i="1"/>
  <c r="B19621" i="1"/>
  <c r="B19620" i="1"/>
  <c r="B19619" i="1"/>
  <c r="B19618" i="1"/>
  <c r="B19617" i="1"/>
  <c r="B19616" i="1"/>
  <c r="B19615" i="1"/>
  <c r="B19614" i="1"/>
  <c r="B19613" i="1"/>
  <c r="B19612" i="1"/>
  <c r="B19611" i="1"/>
  <c r="B19610" i="1"/>
  <c r="B19609" i="1"/>
  <c r="B19608" i="1"/>
  <c r="B19607" i="1"/>
  <c r="B19606" i="1"/>
  <c r="B19605" i="1"/>
  <c r="B19604" i="1"/>
  <c r="B19603" i="1"/>
  <c r="B19602" i="1"/>
  <c r="B19601" i="1"/>
  <c r="B19600" i="1"/>
  <c r="B19599" i="1"/>
  <c r="B19598" i="1"/>
  <c r="B19597" i="1"/>
  <c r="B19596" i="1"/>
  <c r="B19595" i="1"/>
  <c r="B19594" i="1"/>
  <c r="B19593" i="1"/>
  <c r="B19592" i="1"/>
  <c r="B19591" i="1"/>
  <c r="B19590" i="1"/>
  <c r="B19589" i="1"/>
  <c r="B19588" i="1"/>
  <c r="B19587" i="1"/>
  <c r="B19586" i="1"/>
  <c r="B19585" i="1"/>
  <c r="B19584" i="1"/>
  <c r="B19583" i="1"/>
  <c r="B19582" i="1"/>
  <c r="B19581" i="1"/>
  <c r="B19580" i="1"/>
  <c r="B19579" i="1"/>
  <c r="B19578" i="1"/>
  <c r="B19577" i="1"/>
  <c r="B19576" i="1"/>
  <c r="B19575" i="1"/>
  <c r="B19574" i="1"/>
  <c r="B19573" i="1"/>
  <c r="B19572" i="1"/>
  <c r="B19571" i="1"/>
  <c r="B19570" i="1"/>
  <c r="B19569" i="1"/>
  <c r="B19568" i="1"/>
  <c r="B19567" i="1"/>
  <c r="B19566" i="1"/>
  <c r="B19565" i="1"/>
  <c r="B19564" i="1"/>
  <c r="B19563" i="1"/>
  <c r="B19562" i="1"/>
  <c r="B19561" i="1"/>
  <c r="B19560" i="1"/>
  <c r="B19559" i="1"/>
  <c r="B19558" i="1"/>
  <c r="B19557" i="1"/>
  <c r="B19556" i="1"/>
  <c r="B19555" i="1"/>
  <c r="B19554" i="1"/>
  <c r="B19553" i="1"/>
  <c r="B19552" i="1"/>
  <c r="B19551" i="1"/>
  <c r="B19550" i="1"/>
  <c r="B19549" i="1"/>
  <c r="B19548" i="1"/>
  <c r="B19547" i="1"/>
  <c r="B19546" i="1"/>
  <c r="B19545" i="1"/>
  <c r="B19544" i="1"/>
  <c r="B19543" i="1"/>
  <c r="B19542" i="1"/>
  <c r="B19541" i="1"/>
  <c r="B19540" i="1"/>
  <c r="B19539" i="1"/>
  <c r="B19538" i="1"/>
  <c r="B19537" i="1"/>
  <c r="B19536" i="1"/>
  <c r="B19535" i="1"/>
  <c r="B19534" i="1"/>
  <c r="B19533" i="1"/>
  <c r="B19532" i="1"/>
  <c r="B19531" i="1"/>
  <c r="B19530" i="1"/>
  <c r="B19529" i="1"/>
  <c r="B19528" i="1"/>
  <c r="B19527" i="1"/>
  <c r="B19526" i="1"/>
  <c r="B19525" i="1"/>
  <c r="B19524" i="1"/>
  <c r="B19523" i="1"/>
  <c r="B19522" i="1"/>
  <c r="B19521" i="1"/>
  <c r="B19520" i="1"/>
  <c r="B19519" i="1"/>
  <c r="B19518" i="1"/>
  <c r="B19517" i="1"/>
  <c r="B19516" i="1"/>
  <c r="B19515" i="1"/>
  <c r="B19514" i="1"/>
  <c r="B19513" i="1"/>
  <c r="B19512" i="1"/>
  <c r="B19511" i="1"/>
  <c r="B19510" i="1"/>
  <c r="B19509" i="1"/>
  <c r="B19508" i="1"/>
  <c r="B19507" i="1"/>
  <c r="B19506" i="1"/>
  <c r="B19505" i="1"/>
  <c r="B19504" i="1"/>
  <c r="B19503" i="1"/>
  <c r="B19502" i="1"/>
  <c r="B19501" i="1"/>
  <c r="B19500" i="1"/>
  <c r="B19499" i="1"/>
  <c r="B19498" i="1"/>
  <c r="B19497" i="1"/>
  <c r="B19496" i="1"/>
  <c r="B19495" i="1"/>
  <c r="B19494" i="1"/>
  <c r="B19493" i="1"/>
  <c r="B19492" i="1"/>
  <c r="B19491" i="1"/>
  <c r="B19490" i="1"/>
  <c r="B19489" i="1"/>
  <c r="B19488" i="1"/>
  <c r="B19487" i="1"/>
  <c r="B19486" i="1"/>
  <c r="B19485" i="1"/>
  <c r="B19484" i="1"/>
  <c r="B19483" i="1"/>
  <c r="B19482" i="1"/>
  <c r="B19481" i="1"/>
  <c r="B19480" i="1"/>
  <c r="B19479" i="1"/>
  <c r="B19478" i="1"/>
  <c r="B19477" i="1"/>
  <c r="B19476" i="1"/>
  <c r="B19475" i="1"/>
  <c r="B19474" i="1"/>
  <c r="B19473" i="1"/>
  <c r="B19472" i="1"/>
  <c r="B19471" i="1"/>
  <c r="B19470" i="1"/>
  <c r="B19469" i="1"/>
  <c r="B19468" i="1"/>
  <c r="B19467" i="1"/>
  <c r="B19466" i="1"/>
  <c r="B19465" i="1"/>
  <c r="B19464" i="1"/>
  <c r="B19463" i="1"/>
  <c r="B19462" i="1"/>
  <c r="B19461" i="1"/>
  <c r="B19460" i="1"/>
  <c r="B19459" i="1"/>
  <c r="B19458" i="1"/>
  <c r="B19457" i="1"/>
  <c r="B19456" i="1"/>
  <c r="B19455" i="1"/>
  <c r="B19454" i="1"/>
  <c r="B19453" i="1"/>
  <c r="B19452" i="1"/>
  <c r="B19451" i="1"/>
  <c r="B19450" i="1"/>
  <c r="B19449" i="1"/>
  <c r="B19448" i="1"/>
  <c r="B19447" i="1"/>
  <c r="B19446" i="1"/>
  <c r="B19445" i="1"/>
  <c r="B19444" i="1"/>
  <c r="B19443" i="1"/>
  <c r="B19442" i="1"/>
  <c r="B19441" i="1"/>
  <c r="B19440" i="1"/>
  <c r="B19439" i="1"/>
  <c r="B19438" i="1"/>
  <c r="B19437" i="1"/>
  <c r="B19436" i="1"/>
  <c r="B19435" i="1"/>
  <c r="B19434" i="1"/>
  <c r="B19433" i="1"/>
  <c r="B19432" i="1"/>
  <c r="B19431" i="1"/>
  <c r="B19430" i="1"/>
  <c r="B19429" i="1"/>
  <c r="B19428" i="1"/>
  <c r="B19427" i="1"/>
  <c r="B19426" i="1"/>
  <c r="B19425" i="1"/>
  <c r="B19424" i="1"/>
  <c r="B19423" i="1"/>
  <c r="B19422" i="1"/>
  <c r="B19421" i="1"/>
  <c r="B19420" i="1"/>
  <c r="B19419" i="1"/>
  <c r="B19418" i="1"/>
  <c r="B19417" i="1"/>
  <c r="B19416" i="1"/>
  <c r="B19415" i="1"/>
  <c r="B19414" i="1"/>
  <c r="B19413" i="1"/>
  <c r="B19412" i="1"/>
  <c r="B19411" i="1"/>
  <c r="B19410" i="1"/>
  <c r="B19409" i="1"/>
  <c r="B19408" i="1"/>
  <c r="B19407" i="1"/>
  <c r="B19406" i="1"/>
  <c r="B19405" i="1"/>
  <c r="B19404" i="1"/>
  <c r="B19403" i="1"/>
  <c r="B19402" i="1"/>
  <c r="B19401" i="1"/>
  <c r="B19400" i="1"/>
  <c r="B19399" i="1"/>
  <c r="B19398" i="1"/>
  <c r="B19397" i="1"/>
  <c r="B19396" i="1"/>
  <c r="B19395" i="1"/>
  <c r="B19394" i="1"/>
  <c r="B19393" i="1"/>
  <c r="B19392" i="1"/>
  <c r="B19391" i="1"/>
  <c r="B19390" i="1"/>
  <c r="B19389" i="1"/>
  <c r="B19388" i="1"/>
  <c r="B19387" i="1"/>
  <c r="B19386" i="1"/>
  <c r="B19385" i="1"/>
  <c r="B19384" i="1"/>
  <c r="B19383" i="1"/>
  <c r="B19382" i="1"/>
  <c r="B19381" i="1"/>
  <c r="B19380" i="1"/>
  <c r="B19379" i="1"/>
  <c r="B19378" i="1"/>
  <c r="B19377" i="1"/>
  <c r="B19376" i="1"/>
  <c r="B19375" i="1"/>
  <c r="B19374" i="1"/>
  <c r="B19373" i="1"/>
  <c r="B19372" i="1"/>
  <c r="B19371" i="1"/>
  <c r="B19370" i="1"/>
  <c r="B19369" i="1"/>
  <c r="B19368" i="1"/>
  <c r="B19367" i="1"/>
  <c r="B19366" i="1"/>
  <c r="B19365" i="1"/>
  <c r="B19364" i="1"/>
  <c r="B19363" i="1"/>
  <c r="B19362" i="1"/>
  <c r="B19361" i="1"/>
  <c r="B19360" i="1"/>
  <c r="B19359" i="1"/>
  <c r="B19358" i="1"/>
  <c r="B19357" i="1"/>
  <c r="B19356" i="1"/>
  <c r="B19355" i="1"/>
  <c r="B19354" i="1"/>
  <c r="B19353" i="1"/>
  <c r="B19352" i="1"/>
  <c r="B19351" i="1"/>
  <c r="B19350" i="1"/>
  <c r="B19349" i="1"/>
  <c r="B19348" i="1"/>
  <c r="B19347" i="1"/>
  <c r="B19346" i="1"/>
  <c r="B19345" i="1"/>
  <c r="B19344" i="1"/>
  <c r="B19343" i="1"/>
  <c r="B19342" i="1"/>
  <c r="B19341" i="1"/>
  <c r="B19340" i="1"/>
  <c r="B19339" i="1"/>
  <c r="B19338" i="1"/>
  <c r="B19337" i="1"/>
  <c r="B19336" i="1"/>
  <c r="B19335" i="1"/>
  <c r="B19334" i="1"/>
  <c r="B19333" i="1"/>
  <c r="B19332" i="1"/>
  <c r="B19331" i="1"/>
  <c r="B19330" i="1"/>
  <c r="B19329" i="1"/>
  <c r="B19328" i="1"/>
  <c r="B19327" i="1"/>
  <c r="B19326" i="1"/>
  <c r="B19325" i="1"/>
  <c r="B19324" i="1"/>
  <c r="B19323" i="1"/>
  <c r="B19322" i="1"/>
  <c r="B19321" i="1"/>
  <c r="B19320" i="1"/>
  <c r="B19319" i="1"/>
  <c r="B19318" i="1"/>
  <c r="B19317" i="1"/>
  <c r="B19316" i="1"/>
  <c r="B19315" i="1"/>
  <c r="B19314" i="1"/>
  <c r="B19313" i="1"/>
  <c r="B19312" i="1"/>
  <c r="B19311" i="1"/>
  <c r="B19310" i="1"/>
  <c r="B19309" i="1"/>
  <c r="B19308" i="1"/>
  <c r="B19307" i="1"/>
  <c r="B19306" i="1"/>
  <c r="B19305" i="1"/>
  <c r="B19304" i="1"/>
  <c r="B19303" i="1"/>
  <c r="B19302" i="1"/>
  <c r="B19301" i="1"/>
  <c r="B19300" i="1"/>
  <c r="B19299" i="1"/>
  <c r="B19298" i="1"/>
  <c r="B19297" i="1"/>
  <c r="B19296" i="1"/>
  <c r="B19295" i="1"/>
  <c r="B19294" i="1"/>
  <c r="B19293" i="1"/>
  <c r="B19292" i="1"/>
  <c r="B19291" i="1"/>
  <c r="B19290" i="1"/>
  <c r="B19289" i="1"/>
  <c r="B19288" i="1"/>
  <c r="B19287" i="1"/>
  <c r="B19286" i="1"/>
  <c r="B19285" i="1"/>
  <c r="B19284" i="1"/>
  <c r="B19283" i="1"/>
  <c r="B19282" i="1"/>
  <c r="B19281" i="1"/>
  <c r="B19280" i="1"/>
  <c r="B19279" i="1"/>
  <c r="B19278" i="1"/>
  <c r="B19277" i="1"/>
  <c r="B19276" i="1"/>
  <c r="B19275" i="1"/>
  <c r="B19274" i="1"/>
  <c r="B19273" i="1"/>
  <c r="B19272" i="1"/>
  <c r="B19271" i="1"/>
  <c r="B19270" i="1"/>
  <c r="B19269" i="1"/>
  <c r="B19268" i="1"/>
  <c r="B19267" i="1"/>
  <c r="B19266" i="1"/>
  <c r="B19265" i="1"/>
  <c r="B19264" i="1"/>
  <c r="B19263" i="1"/>
  <c r="B19262" i="1"/>
  <c r="B19261" i="1"/>
  <c r="B19260" i="1"/>
  <c r="B19259" i="1"/>
  <c r="B19258" i="1"/>
  <c r="B19257" i="1"/>
  <c r="B19256" i="1"/>
  <c r="B19255" i="1"/>
  <c r="B19254" i="1"/>
  <c r="B19253" i="1"/>
  <c r="B19252" i="1"/>
  <c r="B19251" i="1"/>
  <c r="B19250" i="1"/>
  <c r="B19249" i="1"/>
  <c r="B19248" i="1"/>
  <c r="B19247" i="1"/>
  <c r="B19246" i="1"/>
  <c r="B19245" i="1"/>
  <c r="B19244" i="1"/>
  <c r="B19243" i="1"/>
  <c r="B19242" i="1"/>
  <c r="B19241" i="1"/>
  <c r="B19240" i="1"/>
  <c r="B19239" i="1"/>
  <c r="B19238" i="1"/>
  <c r="B19237" i="1"/>
  <c r="B19236" i="1"/>
  <c r="B19235" i="1"/>
  <c r="B19234" i="1"/>
  <c r="B19233" i="1"/>
  <c r="B19232" i="1"/>
  <c r="B19231" i="1"/>
  <c r="B19230" i="1"/>
  <c r="B19229" i="1"/>
  <c r="B19228" i="1"/>
  <c r="B19227" i="1"/>
  <c r="B19226" i="1"/>
  <c r="B19225" i="1"/>
  <c r="B19224" i="1"/>
  <c r="B19223" i="1"/>
  <c r="B19222" i="1"/>
  <c r="B19221" i="1"/>
  <c r="B19220" i="1"/>
  <c r="B19219" i="1"/>
  <c r="B19218" i="1"/>
  <c r="B19217" i="1"/>
  <c r="B19216" i="1"/>
  <c r="B19215" i="1"/>
  <c r="B19214" i="1"/>
  <c r="B19213" i="1"/>
  <c r="B19212" i="1"/>
  <c r="B19211" i="1"/>
  <c r="B19210" i="1"/>
  <c r="B19209" i="1"/>
  <c r="B19208" i="1"/>
  <c r="B19207" i="1"/>
  <c r="B19206" i="1"/>
  <c r="B19205" i="1"/>
  <c r="B19204" i="1"/>
  <c r="B19203" i="1"/>
  <c r="B19202" i="1"/>
  <c r="B19201" i="1"/>
  <c r="B19200" i="1"/>
  <c r="B19199" i="1"/>
  <c r="B19198" i="1"/>
  <c r="B19197" i="1"/>
  <c r="B19196" i="1"/>
  <c r="B19195" i="1"/>
  <c r="B19194" i="1"/>
  <c r="B19193" i="1"/>
  <c r="B19192" i="1"/>
  <c r="B19191" i="1"/>
  <c r="B19190" i="1"/>
  <c r="B19189" i="1"/>
  <c r="B19188" i="1"/>
  <c r="B19187" i="1"/>
  <c r="B19186" i="1"/>
  <c r="B19185" i="1"/>
  <c r="B19184" i="1"/>
  <c r="B19183" i="1"/>
  <c r="B19182" i="1"/>
  <c r="B19181" i="1"/>
  <c r="B19180" i="1"/>
  <c r="B19179" i="1"/>
  <c r="B19178" i="1"/>
  <c r="B19177" i="1"/>
  <c r="B19176" i="1"/>
  <c r="B19175" i="1"/>
  <c r="B19174" i="1"/>
  <c r="B19173" i="1"/>
  <c r="B19172" i="1"/>
  <c r="B19171" i="1"/>
  <c r="B19170" i="1"/>
  <c r="B19169" i="1"/>
  <c r="B19168" i="1"/>
  <c r="B19167" i="1"/>
  <c r="B19166" i="1"/>
  <c r="B19165" i="1"/>
  <c r="B19164" i="1"/>
  <c r="B19163" i="1"/>
  <c r="B19162" i="1"/>
  <c r="B19161" i="1"/>
  <c r="B19160" i="1"/>
  <c r="B19159" i="1"/>
  <c r="B19158" i="1"/>
  <c r="B19157" i="1"/>
  <c r="B19156" i="1"/>
  <c r="B19155" i="1"/>
  <c r="B19154" i="1"/>
  <c r="B19153" i="1"/>
  <c r="B19152" i="1"/>
  <c r="B19151" i="1"/>
  <c r="B19150" i="1"/>
  <c r="B19149" i="1"/>
  <c r="B19148" i="1"/>
  <c r="B19147" i="1"/>
  <c r="B19146" i="1"/>
  <c r="B19145" i="1"/>
  <c r="B19144" i="1"/>
  <c r="B19143" i="1"/>
  <c r="B19142" i="1"/>
  <c r="B19141" i="1"/>
  <c r="B19140" i="1"/>
  <c r="B19139" i="1"/>
  <c r="B19138" i="1"/>
  <c r="B19137" i="1"/>
  <c r="B19136" i="1"/>
  <c r="B19135" i="1"/>
  <c r="B19134" i="1"/>
  <c r="B19133" i="1"/>
  <c r="B19132" i="1"/>
  <c r="B19131" i="1"/>
  <c r="B19130" i="1"/>
  <c r="B19129" i="1"/>
  <c r="B19128" i="1"/>
  <c r="B19127" i="1"/>
  <c r="B19126" i="1"/>
  <c r="B19125" i="1"/>
  <c r="B19124" i="1"/>
  <c r="B19123" i="1"/>
  <c r="B19122" i="1"/>
  <c r="B19121" i="1"/>
  <c r="B19120" i="1"/>
  <c r="B19119" i="1"/>
  <c r="B19118" i="1"/>
  <c r="B19117" i="1"/>
  <c r="B19116" i="1"/>
  <c r="B19115" i="1"/>
  <c r="B19114" i="1"/>
  <c r="B19113" i="1"/>
  <c r="B19112" i="1"/>
  <c r="B19111" i="1"/>
  <c r="B19110" i="1"/>
  <c r="B19109" i="1"/>
  <c r="B19108" i="1"/>
  <c r="B19107" i="1"/>
  <c r="B19106" i="1"/>
  <c r="B19105" i="1"/>
  <c r="B19104" i="1"/>
  <c r="B19103" i="1"/>
  <c r="B19102" i="1"/>
  <c r="B19101" i="1"/>
  <c r="B19100" i="1"/>
  <c r="B19099" i="1"/>
  <c r="B19098" i="1"/>
  <c r="B19097" i="1"/>
  <c r="B19096" i="1"/>
  <c r="B19095" i="1"/>
  <c r="B19094" i="1"/>
  <c r="B19093" i="1"/>
  <c r="B19092" i="1"/>
  <c r="B19091" i="1"/>
  <c r="B19090" i="1"/>
  <c r="B19089" i="1"/>
  <c r="B19088" i="1"/>
  <c r="B19087" i="1"/>
  <c r="B19086" i="1"/>
  <c r="B19085" i="1"/>
  <c r="B19084" i="1"/>
  <c r="B19083" i="1"/>
  <c r="B19082" i="1"/>
  <c r="B19081" i="1"/>
  <c r="B19080" i="1"/>
  <c r="B19079" i="1"/>
  <c r="B19078" i="1"/>
  <c r="B19077" i="1"/>
  <c r="B19076" i="1"/>
  <c r="B19075" i="1"/>
  <c r="B19074" i="1"/>
  <c r="B19073" i="1"/>
  <c r="B19072" i="1"/>
  <c r="B19071" i="1"/>
  <c r="B19070" i="1"/>
  <c r="B19069" i="1"/>
  <c r="B19068" i="1"/>
  <c r="B19067" i="1"/>
  <c r="B19066" i="1"/>
  <c r="B19065" i="1"/>
  <c r="B19064" i="1"/>
  <c r="B19063" i="1"/>
  <c r="B19062" i="1"/>
  <c r="B19061" i="1"/>
  <c r="B19060" i="1"/>
  <c r="B19059" i="1"/>
  <c r="B19058" i="1"/>
  <c r="B19057" i="1"/>
  <c r="B19056" i="1"/>
  <c r="B19055" i="1"/>
  <c r="B19054" i="1"/>
  <c r="B19053" i="1"/>
  <c r="B19052" i="1"/>
  <c r="B19051" i="1"/>
  <c r="B19050" i="1"/>
  <c r="B19049" i="1"/>
  <c r="B19048" i="1"/>
  <c r="B19047" i="1"/>
  <c r="B19046" i="1"/>
  <c r="B19045" i="1"/>
  <c r="B19044" i="1"/>
  <c r="B19043" i="1"/>
  <c r="B19042" i="1"/>
  <c r="B19041" i="1"/>
  <c r="B19040" i="1"/>
  <c r="B19039" i="1"/>
  <c r="B19038" i="1"/>
  <c r="B19037" i="1"/>
  <c r="B19036" i="1"/>
  <c r="B19035" i="1"/>
  <c r="B19034" i="1"/>
  <c r="B19033" i="1"/>
  <c r="B19032" i="1"/>
  <c r="B19031" i="1"/>
  <c r="B19030" i="1"/>
  <c r="B19029" i="1"/>
  <c r="B19028" i="1"/>
  <c r="B19027" i="1"/>
  <c r="B19026" i="1"/>
  <c r="B19025" i="1"/>
  <c r="B19024" i="1"/>
  <c r="B19023" i="1"/>
  <c r="B19022" i="1"/>
  <c r="B19021" i="1"/>
  <c r="B19020" i="1"/>
  <c r="B19019" i="1"/>
  <c r="B19018" i="1"/>
  <c r="B19017" i="1"/>
  <c r="B19016" i="1"/>
  <c r="B19015" i="1"/>
  <c r="B19014" i="1"/>
  <c r="B19013" i="1"/>
  <c r="B19012" i="1"/>
  <c r="B19011" i="1"/>
  <c r="B19010" i="1"/>
  <c r="B19009" i="1"/>
  <c r="B19008" i="1"/>
  <c r="B19007" i="1"/>
  <c r="B19006" i="1"/>
  <c r="B19005" i="1"/>
  <c r="B19004" i="1"/>
  <c r="B19003" i="1"/>
  <c r="B19002" i="1"/>
  <c r="B19001" i="1"/>
  <c r="B19000" i="1"/>
  <c r="B18999" i="1"/>
  <c r="B18998" i="1"/>
  <c r="B18997" i="1"/>
  <c r="B18996" i="1"/>
  <c r="B18995" i="1"/>
  <c r="B18994" i="1"/>
  <c r="B18993" i="1"/>
  <c r="B18992" i="1"/>
  <c r="B18991" i="1"/>
  <c r="B18990" i="1"/>
  <c r="B18989" i="1"/>
  <c r="B18988" i="1"/>
  <c r="B18987" i="1"/>
  <c r="B18986" i="1"/>
  <c r="B18985" i="1"/>
  <c r="B18984" i="1"/>
  <c r="B18983" i="1"/>
  <c r="B18982" i="1"/>
  <c r="B18981" i="1"/>
  <c r="B18980" i="1"/>
  <c r="B18979" i="1"/>
  <c r="B18978" i="1"/>
  <c r="B18977" i="1"/>
  <c r="B18976" i="1"/>
  <c r="B18975" i="1"/>
  <c r="B18974" i="1"/>
  <c r="B18973" i="1"/>
  <c r="B18972" i="1"/>
  <c r="B18971" i="1"/>
  <c r="B18970" i="1"/>
  <c r="B18969" i="1"/>
  <c r="B18968" i="1"/>
  <c r="B18967" i="1"/>
  <c r="B18966" i="1"/>
  <c r="B18965" i="1"/>
  <c r="B18964" i="1"/>
  <c r="B18963" i="1"/>
  <c r="B18962" i="1"/>
  <c r="B18961" i="1"/>
  <c r="B18960" i="1"/>
  <c r="B18959" i="1"/>
  <c r="B18958" i="1"/>
  <c r="B18957" i="1"/>
  <c r="B18956" i="1"/>
  <c r="B18955" i="1"/>
  <c r="B18954" i="1"/>
  <c r="B18953" i="1"/>
  <c r="B18952" i="1"/>
  <c r="B18951" i="1"/>
  <c r="B18950" i="1"/>
  <c r="B18949" i="1"/>
  <c r="B18948" i="1"/>
  <c r="B18947" i="1"/>
  <c r="B18946" i="1"/>
  <c r="B18945" i="1"/>
  <c r="B18944" i="1"/>
  <c r="B18943" i="1"/>
  <c r="B18942" i="1"/>
  <c r="B18941" i="1"/>
  <c r="B18940" i="1"/>
  <c r="B18939" i="1"/>
  <c r="B18938" i="1"/>
  <c r="B18937" i="1"/>
  <c r="B18936" i="1"/>
  <c r="B18935" i="1"/>
  <c r="B18934" i="1"/>
  <c r="B18933" i="1"/>
  <c r="B18932" i="1"/>
  <c r="B18931" i="1"/>
  <c r="B18930" i="1"/>
  <c r="B18929" i="1"/>
  <c r="B18928" i="1"/>
  <c r="B18927" i="1"/>
  <c r="B18926" i="1"/>
  <c r="B18925" i="1"/>
  <c r="B18924" i="1"/>
  <c r="B18923" i="1"/>
  <c r="B18922" i="1"/>
  <c r="B18921" i="1"/>
  <c r="B18920" i="1"/>
  <c r="B18919" i="1"/>
  <c r="B18918" i="1"/>
  <c r="B18917" i="1"/>
  <c r="B18916" i="1"/>
  <c r="B18915" i="1"/>
  <c r="B18914" i="1"/>
  <c r="B18913" i="1"/>
  <c r="B18912" i="1"/>
  <c r="B18911" i="1"/>
  <c r="B18910" i="1"/>
  <c r="B18909" i="1"/>
  <c r="B18908" i="1"/>
  <c r="B18907" i="1"/>
  <c r="B18906" i="1"/>
  <c r="B18905" i="1"/>
  <c r="B18904" i="1"/>
  <c r="B18903" i="1"/>
  <c r="B18902" i="1"/>
  <c r="B18901" i="1"/>
  <c r="B18900" i="1"/>
  <c r="B18899" i="1"/>
  <c r="B18898" i="1"/>
  <c r="B18897" i="1"/>
  <c r="B18896" i="1"/>
  <c r="B18895" i="1"/>
  <c r="B18894" i="1"/>
  <c r="B18893" i="1"/>
  <c r="B18892" i="1"/>
  <c r="B18891" i="1"/>
  <c r="B18890" i="1"/>
  <c r="B18889" i="1"/>
  <c r="B18888" i="1"/>
  <c r="B18887" i="1"/>
  <c r="B18886" i="1"/>
  <c r="B18885" i="1"/>
  <c r="B18884" i="1"/>
  <c r="B18883" i="1"/>
  <c r="B18882" i="1"/>
  <c r="B18881" i="1"/>
  <c r="B18880" i="1"/>
  <c r="B18879" i="1"/>
  <c r="B18878" i="1"/>
  <c r="B18877" i="1"/>
  <c r="B18876" i="1"/>
  <c r="B18875" i="1"/>
  <c r="B18874" i="1"/>
  <c r="B18873" i="1"/>
  <c r="B18872" i="1"/>
  <c r="B18871" i="1"/>
  <c r="B18870" i="1"/>
  <c r="B18869" i="1"/>
  <c r="B18868" i="1"/>
  <c r="B18867" i="1"/>
  <c r="B18866" i="1"/>
  <c r="B18865" i="1"/>
  <c r="B18864" i="1"/>
  <c r="B18863" i="1"/>
  <c r="B18862" i="1"/>
  <c r="B18861" i="1"/>
  <c r="B18860" i="1"/>
  <c r="B18859" i="1"/>
  <c r="B18858" i="1"/>
  <c r="B18857" i="1"/>
  <c r="B18856" i="1"/>
  <c r="B18855" i="1"/>
  <c r="B18854" i="1"/>
  <c r="B18853" i="1"/>
  <c r="B18852" i="1"/>
  <c r="B18851" i="1"/>
  <c r="B18850" i="1"/>
  <c r="B18849" i="1"/>
  <c r="B18848" i="1"/>
  <c r="B18847" i="1"/>
  <c r="B18846" i="1"/>
  <c r="B18845" i="1"/>
  <c r="B18844" i="1"/>
  <c r="B18843" i="1"/>
  <c r="B18842" i="1"/>
  <c r="B18841" i="1"/>
  <c r="B18840" i="1"/>
  <c r="B18839" i="1"/>
  <c r="B18838" i="1"/>
  <c r="B18837" i="1"/>
  <c r="B18836" i="1"/>
  <c r="B18835" i="1"/>
  <c r="B18834" i="1"/>
  <c r="B18833" i="1"/>
  <c r="B18832" i="1"/>
  <c r="B18831" i="1"/>
  <c r="B18830" i="1"/>
  <c r="B18829" i="1"/>
  <c r="B18828" i="1"/>
  <c r="B18827" i="1"/>
  <c r="B18826" i="1"/>
  <c r="B18825" i="1"/>
  <c r="B18824" i="1"/>
  <c r="B18823" i="1"/>
  <c r="B18822" i="1"/>
  <c r="B18821" i="1"/>
  <c r="B18820" i="1"/>
  <c r="B18819" i="1"/>
  <c r="B18818" i="1"/>
  <c r="B18817" i="1"/>
  <c r="B18816" i="1"/>
  <c r="B18815" i="1"/>
  <c r="B18814" i="1"/>
  <c r="B18813" i="1"/>
  <c r="B18812" i="1"/>
  <c r="B18811" i="1"/>
  <c r="B18810" i="1"/>
  <c r="B18809" i="1"/>
  <c r="B18808" i="1"/>
  <c r="B18807" i="1"/>
  <c r="B18806" i="1"/>
  <c r="B18805" i="1"/>
  <c r="B18804" i="1"/>
  <c r="B18803" i="1"/>
  <c r="B18802" i="1"/>
  <c r="B18801" i="1"/>
  <c r="B18800" i="1"/>
  <c r="B18799" i="1"/>
  <c r="B18798" i="1"/>
  <c r="B18797" i="1"/>
  <c r="B18796" i="1"/>
  <c r="B18795" i="1"/>
  <c r="B18794" i="1"/>
  <c r="B18793" i="1"/>
  <c r="B18792" i="1"/>
  <c r="B18791" i="1"/>
  <c r="B18790" i="1"/>
  <c r="B18789" i="1"/>
  <c r="B18788" i="1"/>
  <c r="B18787" i="1"/>
  <c r="B18786" i="1"/>
  <c r="B18785" i="1"/>
  <c r="B18784" i="1"/>
  <c r="B18783" i="1"/>
  <c r="B18782" i="1"/>
  <c r="B18781" i="1"/>
  <c r="B18780" i="1"/>
  <c r="B18779" i="1"/>
  <c r="B18778" i="1"/>
  <c r="B18777" i="1"/>
  <c r="B18776" i="1"/>
  <c r="B18775" i="1"/>
  <c r="B18774" i="1"/>
  <c r="B18773" i="1"/>
  <c r="B18772" i="1"/>
  <c r="B18771" i="1"/>
  <c r="B18770" i="1"/>
  <c r="B18769" i="1"/>
  <c r="B18768" i="1"/>
  <c r="B18767" i="1"/>
  <c r="B18766" i="1"/>
  <c r="B18765" i="1"/>
  <c r="B18764" i="1"/>
  <c r="B18763" i="1"/>
  <c r="B18762" i="1"/>
  <c r="B18761" i="1"/>
  <c r="B18760" i="1"/>
  <c r="B18759" i="1"/>
  <c r="B18758" i="1"/>
  <c r="B18757" i="1"/>
  <c r="B18756" i="1"/>
  <c r="B18755" i="1"/>
  <c r="B18754" i="1"/>
  <c r="B18753" i="1"/>
  <c r="B18752" i="1"/>
  <c r="B18751" i="1"/>
  <c r="B18750" i="1"/>
  <c r="B18749" i="1"/>
  <c r="B18748" i="1"/>
  <c r="B18747" i="1"/>
  <c r="B18746" i="1"/>
  <c r="B18745" i="1"/>
  <c r="B18744" i="1"/>
  <c r="B18743" i="1"/>
  <c r="B18742" i="1"/>
  <c r="B18741" i="1"/>
  <c r="B18740" i="1"/>
  <c r="B18739" i="1"/>
  <c r="B18738" i="1"/>
  <c r="B18737" i="1"/>
  <c r="B18736" i="1"/>
  <c r="B18735" i="1"/>
  <c r="B18734" i="1"/>
  <c r="B18733" i="1"/>
  <c r="B18732" i="1"/>
  <c r="B18731" i="1"/>
  <c r="B18730" i="1"/>
  <c r="B18729" i="1"/>
  <c r="B18728" i="1"/>
  <c r="B18727" i="1"/>
  <c r="B18726" i="1"/>
  <c r="B18725" i="1"/>
  <c r="B18724" i="1"/>
  <c r="B18723" i="1"/>
  <c r="B18722" i="1"/>
  <c r="B18721" i="1"/>
  <c r="B18720" i="1"/>
  <c r="B18719" i="1"/>
  <c r="B18718" i="1"/>
  <c r="B18717" i="1"/>
  <c r="B18716" i="1"/>
  <c r="B18715" i="1"/>
  <c r="B18714" i="1"/>
  <c r="B18713" i="1"/>
  <c r="B18712" i="1"/>
  <c r="B18711" i="1"/>
  <c r="B18710" i="1"/>
  <c r="B18709" i="1"/>
  <c r="B18708" i="1"/>
  <c r="B18707" i="1"/>
  <c r="B18706" i="1"/>
  <c r="B18705" i="1"/>
  <c r="B18704" i="1"/>
  <c r="B18703" i="1"/>
  <c r="B18702" i="1"/>
  <c r="B18701" i="1"/>
  <c r="B18700" i="1"/>
  <c r="B18699" i="1"/>
  <c r="B18698" i="1"/>
  <c r="B18697" i="1"/>
  <c r="B18696" i="1"/>
  <c r="B18695" i="1"/>
  <c r="B18694" i="1"/>
  <c r="B18693" i="1"/>
  <c r="B18692" i="1"/>
  <c r="B18691" i="1"/>
  <c r="B18690" i="1"/>
  <c r="B18689" i="1"/>
  <c r="B18688" i="1"/>
  <c r="B18687" i="1"/>
  <c r="B18686" i="1"/>
  <c r="B18685" i="1"/>
  <c r="B18684" i="1"/>
  <c r="B18683" i="1"/>
  <c r="B18682" i="1"/>
  <c r="B18681" i="1"/>
  <c r="B18680" i="1"/>
  <c r="B18679" i="1"/>
  <c r="B18678" i="1"/>
  <c r="B18677" i="1"/>
  <c r="B18676" i="1"/>
  <c r="B18675" i="1"/>
  <c r="B18674" i="1"/>
  <c r="B18673" i="1"/>
  <c r="B18672" i="1"/>
  <c r="B18671" i="1"/>
  <c r="B18670" i="1"/>
  <c r="B18669" i="1"/>
  <c r="B18668" i="1"/>
  <c r="B18667" i="1"/>
  <c r="B18666" i="1"/>
  <c r="B18665" i="1"/>
  <c r="B18664" i="1"/>
  <c r="B18663" i="1"/>
  <c r="B18662" i="1"/>
  <c r="B18661" i="1"/>
  <c r="B18660" i="1"/>
  <c r="B18659" i="1"/>
  <c r="B18658" i="1"/>
  <c r="B18657" i="1"/>
  <c r="B18656" i="1"/>
  <c r="B18655" i="1"/>
  <c r="B18654" i="1"/>
  <c r="B18653" i="1"/>
  <c r="B18652" i="1"/>
  <c r="B18651" i="1"/>
  <c r="B18650" i="1"/>
  <c r="B18649" i="1"/>
  <c r="B18648" i="1"/>
  <c r="B18647" i="1"/>
  <c r="B18646" i="1"/>
  <c r="B18645" i="1"/>
  <c r="B18644" i="1"/>
  <c r="B18643" i="1"/>
  <c r="B18642" i="1"/>
  <c r="B18641" i="1"/>
  <c r="B18640" i="1"/>
  <c r="B18639" i="1"/>
  <c r="B18638" i="1"/>
  <c r="B18637" i="1"/>
  <c r="B18636" i="1"/>
  <c r="B18635" i="1"/>
  <c r="B18634" i="1"/>
  <c r="B18633" i="1"/>
  <c r="B18632" i="1"/>
  <c r="B18631" i="1"/>
  <c r="B18630" i="1"/>
  <c r="B18629" i="1"/>
  <c r="B18628" i="1"/>
  <c r="B18627" i="1"/>
  <c r="B18626" i="1"/>
  <c r="B18625" i="1"/>
  <c r="B18624" i="1"/>
  <c r="B18623" i="1"/>
  <c r="B18622" i="1"/>
  <c r="B18621" i="1"/>
  <c r="B18620" i="1"/>
  <c r="B18619" i="1"/>
  <c r="B18618" i="1"/>
  <c r="B18617" i="1"/>
  <c r="B18616" i="1"/>
  <c r="B18615" i="1"/>
  <c r="B18614" i="1"/>
  <c r="B18613" i="1"/>
  <c r="B18612" i="1"/>
  <c r="B18611" i="1"/>
  <c r="B18610" i="1"/>
  <c r="B18609" i="1"/>
  <c r="B18608" i="1"/>
  <c r="B18607" i="1"/>
  <c r="B18606" i="1"/>
  <c r="B18605" i="1"/>
  <c r="B18604" i="1"/>
  <c r="B18603" i="1"/>
  <c r="B18602" i="1"/>
  <c r="B18601" i="1"/>
  <c r="B18600" i="1"/>
  <c r="B18599" i="1"/>
  <c r="B18598" i="1"/>
  <c r="B18597" i="1"/>
  <c r="B18596" i="1"/>
  <c r="B18595" i="1"/>
  <c r="B18594" i="1"/>
  <c r="B18593" i="1"/>
  <c r="B18592" i="1"/>
  <c r="B18591" i="1"/>
  <c r="B18590" i="1"/>
  <c r="B18589" i="1"/>
  <c r="B18588" i="1"/>
  <c r="B18587" i="1"/>
  <c r="B18586" i="1"/>
  <c r="B18585" i="1"/>
  <c r="B18584" i="1"/>
  <c r="B18583" i="1"/>
  <c r="B18582" i="1"/>
  <c r="B18581" i="1"/>
  <c r="B18580" i="1"/>
  <c r="B18579" i="1"/>
  <c r="B18578" i="1"/>
  <c r="B18577" i="1"/>
  <c r="B18576" i="1"/>
  <c r="B18575" i="1"/>
  <c r="B18574" i="1"/>
  <c r="B18573" i="1"/>
  <c r="B18572" i="1"/>
  <c r="B18571" i="1"/>
  <c r="B18570" i="1"/>
  <c r="B18569" i="1"/>
  <c r="B18568" i="1"/>
  <c r="B18567" i="1"/>
  <c r="B18566" i="1"/>
  <c r="B18565" i="1"/>
  <c r="B18564" i="1"/>
  <c r="B18563" i="1"/>
  <c r="B18562" i="1"/>
  <c r="B18561" i="1"/>
  <c r="B18560" i="1"/>
  <c r="B18559" i="1"/>
  <c r="B18558" i="1"/>
  <c r="B18557" i="1"/>
  <c r="B18556" i="1"/>
  <c r="B18555" i="1"/>
  <c r="B18554" i="1"/>
  <c r="B18553" i="1"/>
  <c r="B18552" i="1"/>
  <c r="B18551" i="1"/>
  <c r="B18550" i="1"/>
  <c r="B18549" i="1"/>
  <c r="B18548" i="1"/>
  <c r="B18547" i="1"/>
  <c r="B18546" i="1"/>
  <c r="B18545" i="1"/>
  <c r="B18544" i="1"/>
  <c r="B18543" i="1"/>
  <c r="B18542" i="1"/>
  <c r="B18541" i="1"/>
  <c r="B18540" i="1"/>
  <c r="B18539" i="1"/>
  <c r="B18538" i="1"/>
  <c r="B18537" i="1"/>
  <c r="B18536" i="1"/>
  <c r="B18535" i="1"/>
  <c r="B18534" i="1"/>
  <c r="B18533" i="1"/>
  <c r="B18532" i="1"/>
  <c r="B18531" i="1"/>
  <c r="B18530" i="1"/>
  <c r="B18529" i="1"/>
  <c r="B18528" i="1"/>
  <c r="B18527" i="1"/>
  <c r="B18526" i="1"/>
  <c r="B18525" i="1"/>
  <c r="B18524" i="1"/>
  <c r="B18523" i="1"/>
  <c r="B18522" i="1"/>
  <c r="B18521" i="1"/>
  <c r="B18520" i="1"/>
  <c r="B18519" i="1"/>
  <c r="B18518" i="1"/>
  <c r="B18517" i="1"/>
  <c r="B18516" i="1"/>
  <c r="B18515" i="1"/>
  <c r="B18514" i="1"/>
  <c r="B18513" i="1"/>
  <c r="B18512" i="1"/>
  <c r="B18511" i="1"/>
  <c r="B18510" i="1"/>
  <c r="B18509" i="1"/>
  <c r="B18508" i="1"/>
  <c r="B18507" i="1"/>
  <c r="B18506" i="1"/>
  <c r="B18505" i="1"/>
  <c r="B18504" i="1"/>
  <c r="B18503" i="1"/>
  <c r="B18502" i="1"/>
  <c r="B18501" i="1"/>
  <c r="B18500" i="1"/>
  <c r="B18499" i="1"/>
  <c r="B18498" i="1"/>
  <c r="B18497" i="1"/>
  <c r="B18496" i="1"/>
  <c r="B18495" i="1"/>
  <c r="B18494" i="1"/>
  <c r="B18493" i="1"/>
  <c r="B18492" i="1"/>
  <c r="B18491" i="1"/>
  <c r="B18490" i="1"/>
  <c r="B18489" i="1"/>
  <c r="B18488" i="1"/>
  <c r="B18487" i="1"/>
  <c r="B18486" i="1"/>
  <c r="B18485" i="1"/>
  <c r="B18484" i="1"/>
  <c r="B18483" i="1"/>
  <c r="B18482" i="1"/>
  <c r="B18481" i="1"/>
  <c r="B18480" i="1"/>
  <c r="B18479" i="1"/>
  <c r="B18478" i="1"/>
  <c r="B18477" i="1"/>
  <c r="B18476" i="1"/>
  <c r="B18475" i="1"/>
  <c r="B18474" i="1"/>
  <c r="B18473" i="1"/>
  <c r="B18472" i="1"/>
  <c r="B18471" i="1"/>
  <c r="B18470" i="1"/>
  <c r="B18469" i="1"/>
  <c r="B18468" i="1"/>
  <c r="B18467" i="1"/>
  <c r="B18466" i="1"/>
  <c r="B18465" i="1"/>
  <c r="B18464" i="1"/>
  <c r="B18463" i="1"/>
  <c r="B18462" i="1"/>
  <c r="B18461" i="1"/>
  <c r="B18460" i="1"/>
  <c r="B18459" i="1"/>
  <c r="B18458" i="1"/>
  <c r="B18457" i="1"/>
  <c r="B18456" i="1"/>
  <c r="B18455" i="1"/>
  <c r="B18454" i="1"/>
  <c r="B18453" i="1"/>
  <c r="B18452" i="1"/>
  <c r="B18451" i="1"/>
  <c r="B18450" i="1"/>
  <c r="B18449" i="1"/>
  <c r="B18448" i="1"/>
  <c r="B18447" i="1"/>
  <c r="B18446" i="1"/>
  <c r="B18445" i="1"/>
  <c r="B18444" i="1"/>
  <c r="B18443" i="1"/>
  <c r="B18442" i="1"/>
  <c r="B18441" i="1"/>
  <c r="B18440" i="1"/>
  <c r="B18439" i="1"/>
  <c r="B18438" i="1"/>
  <c r="B18437" i="1"/>
  <c r="B18436" i="1"/>
  <c r="B18435" i="1"/>
  <c r="B18434" i="1"/>
  <c r="B18433" i="1"/>
  <c r="B18432" i="1"/>
  <c r="B18431" i="1"/>
  <c r="B18430" i="1"/>
  <c r="B18429" i="1"/>
  <c r="B18428" i="1"/>
  <c r="B18427" i="1"/>
  <c r="B18426" i="1"/>
  <c r="B18425" i="1"/>
  <c r="B18424" i="1"/>
  <c r="B18423" i="1"/>
  <c r="B18422" i="1"/>
  <c r="B18421" i="1"/>
  <c r="B18420" i="1"/>
  <c r="B18419" i="1"/>
  <c r="B18418" i="1"/>
  <c r="B18417" i="1"/>
  <c r="B18416" i="1"/>
  <c r="B18415" i="1"/>
  <c r="B18414" i="1"/>
  <c r="B18413" i="1"/>
  <c r="B18412" i="1"/>
  <c r="B18411" i="1"/>
  <c r="B18410" i="1"/>
  <c r="B18409" i="1"/>
  <c r="B18408" i="1"/>
  <c r="B18407" i="1"/>
  <c r="B18406" i="1"/>
  <c r="B18405" i="1"/>
  <c r="B18404" i="1"/>
  <c r="B18403" i="1"/>
  <c r="B18402" i="1"/>
  <c r="B18401" i="1"/>
  <c r="B18400" i="1"/>
  <c r="B18399" i="1"/>
  <c r="B18398" i="1"/>
  <c r="B18397" i="1"/>
  <c r="B18396" i="1"/>
  <c r="B18395" i="1"/>
  <c r="B18394" i="1"/>
  <c r="B18393" i="1"/>
  <c r="B18392" i="1"/>
  <c r="B18391" i="1"/>
  <c r="B18390" i="1"/>
  <c r="B18389" i="1"/>
  <c r="B18388" i="1"/>
  <c r="B18387" i="1"/>
  <c r="B18386" i="1"/>
  <c r="B18385" i="1"/>
  <c r="B18384" i="1"/>
  <c r="B18383" i="1"/>
  <c r="B18382" i="1"/>
  <c r="B18381" i="1"/>
  <c r="B18380" i="1"/>
  <c r="B18379" i="1"/>
  <c r="B18378" i="1"/>
  <c r="B18377" i="1"/>
  <c r="B18376" i="1"/>
  <c r="B18375" i="1"/>
  <c r="B18374" i="1"/>
  <c r="B18373" i="1"/>
  <c r="B18372" i="1"/>
  <c r="B18371" i="1"/>
  <c r="B18370" i="1"/>
  <c r="B18369" i="1"/>
  <c r="B18368" i="1"/>
  <c r="B18367" i="1"/>
  <c r="B18366" i="1"/>
  <c r="B18365" i="1"/>
  <c r="B18364" i="1"/>
  <c r="B18363" i="1"/>
  <c r="B18362" i="1"/>
  <c r="B18361" i="1"/>
  <c r="B18360" i="1"/>
  <c r="B18359" i="1"/>
  <c r="B18358" i="1"/>
  <c r="B18357" i="1"/>
  <c r="B18356" i="1"/>
  <c r="B18355" i="1"/>
  <c r="B18354" i="1"/>
  <c r="B18353" i="1"/>
  <c r="B18352" i="1"/>
  <c r="B18351" i="1"/>
  <c r="B18350" i="1"/>
  <c r="B18349" i="1"/>
  <c r="B18348" i="1"/>
  <c r="B18347" i="1"/>
  <c r="B18346" i="1"/>
  <c r="B18345" i="1"/>
  <c r="B18344" i="1"/>
  <c r="B18343" i="1"/>
  <c r="B18342" i="1"/>
  <c r="B18341" i="1"/>
  <c r="B18340" i="1"/>
  <c r="B18339" i="1"/>
  <c r="B18338" i="1"/>
  <c r="B18337" i="1"/>
  <c r="B18336" i="1"/>
  <c r="B18335" i="1"/>
  <c r="B18334" i="1"/>
  <c r="B18333" i="1"/>
  <c r="B18332" i="1"/>
  <c r="B18331" i="1"/>
  <c r="B18330" i="1"/>
  <c r="B18329" i="1"/>
  <c r="B18328" i="1"/>
  <c r="B18327" i="1"/>
  <c r="B18326" i="1"/>
  <c r="B18325" i="1"/>
  <c r="B18324" i="1"/>
  <c r="B18323" i="1"/>
  <c r="B18322" i="1"/>
  <c r="B18321" i="1"/>
  <c r="B18320" i="1"/>
  <c r="B18319" i="1"/>
  <c r="B18318" i="1"/>
  <c r="B18317" i="1"/>
  <c r="B18316" i="1"/>
  <c r="B18315" i="1"/>
  <c r="B18314" i="1"/>
  <c r="B18313" i="1"/>
  <c r="B18312" i="1"/>
  <c r="B18311" i="1"/>
  <c r="B18310" i="1"/>
  <c r="B18309" i="1"/>
  <c r="B18308" i="1"/>
  <c r="B18307" i="1"/>
  <c r="B18306" i="1"/>
  <c r="B18305" i="1"/>
  <c r="B18304" i="1"/>
  <c r="B18303" i="1"/>
  <c r="B18302" i="1"/>
  <c r="B18301" i="1"/>
  <c r="B18300" i="1"/>
  <c r="B18299" i="1"/>
  <c r="B18298" i="1"/>
  <c r="B18297" i="1"/>
  <c r="B18296" i="1"/>
  <c r="B18295" i="1"/>
  <c r="B18294" i="1"/>
  <c r="B18293" i="1"/>
  <c r="B18292" i="1"/>
  <c r="B18291" i="1"/>
  <c r="B18290" i="1"/>
  <c r="B18289" i="1"/>
  <c r="B18288" i="1"/>
  <c r="B18287" i="1"/>
  <c r="B18286" i="1"/>
  <c r="B18285" i="1"/>
  <c r="B18284" i="1"/>
  <c r="B18283" i="1"/>
  <c r="B18282" i="1"/>
  <c r="B18281" i="1"/>
  <c r="B18280" i="1"/>
  <c r="B18279" i="1"/>
  <c r="B18278" i="1"/>
  <c r="B18277" i="1"/>
  <c r="B18276" i="1"/>
  <c r="B18275" i="1"/>
  <c r="B18274" i="1"/>
  <c r="B18273" i="1"/>
  <c r="B18272" i="1"/>
  <c r="B18271" i="1"/>
  <c r="B18270" i="1"/>
  <c r="B18269" i="1"/>
  <c r="B18268" i="1"/>
  <c r="B18267" i="1"/>
  <c r="B18266" i="1"/>
  <c r="B18265" i="1"/>
  <c r="B18264" i="1"/>
  <c r="B18263" i="1"/>
  <c r="B18262" i="1"/>
  <c r="B18261" i="1"/>
  <c r="B18260" i="1"/>
  <c r="B18259" i="1"/>
  <c r="B18258" i="1"/>
  <c r="B18257" i="1"/>
  <c r="B18256" i="1"/>
  <c r="B18255" i="1"/>
  <c r="B18254" i="1"/>
  <c r="B18253" i="1"/>
  <c r="B18252" i="1"/>
  <c r="B18251" i="1"/>
  <c r="B18250" i="1"/>
  <c r="B18249" i="1"/>
  <c r="B18248" i="1"/>
  <c r="B18247" i="1"/>
  <c r="B18246" i="1"/>
  <c r="B18245" i="1"/>
  <c r="B18244" i="1"/>
  <c r="B18243" i="1"/>
  <c r="B18242" i="1"/>
  <c r="B18241" i="1"/>
  <c r="B18240" i="1"/>
  <c r="B18239" i="1"/>
  <c r="B18238" i="1"/>
  <c r="B18237" i="1"/>
  <c r="B18236" i="1"/>
  <c r="B18235" i="1"/>
  <c r="B18234" i="1"/>
  <c r="B18233" i="1"/>
  <c r="B18232" i="1"/>
  <c r="B18231" i="1"/>
  <c r="B18230" i="1"/>
  <c r="B18229" i="1"/>
  <c r="B18228" i="1"/>
  <c r="B18227" i="1"/>
  <c r="B18226" i="1"/>
  <c r="B18225" i="1"/>
  <c r="B18224" i="1"/>
  <c r="B18223" i="1"/>
  <c r="B18222" i="1"/>
  <c r="B18221" i="1"/>
  <c r="B18220" i="1"/>
  <c r="B18219" i="1"/>
  <c r="B18218" i="1"/>
  <c r="B18217" i="1"/>
  <c r="B18216" i="1"/>
  <c r="B18215" i="1"/>
  <c r="B18214" i="1"/>
  <c r="B18213" i="1"/>
  <c r="B18212" i="1"/>
  <c r="B18211" i="1"/>
  <c r="B18210" i="1"/>
  <c r="B18209" i="1"/>
  <c r="B18208" i="1"/>
  <c r="B18207" i="1"/>
  <c r="B18206" i="1"/>
  <c r="B18205" i="1"/>
  <c r="B18204" i="1"/>
  <c r="B18203" i="1"/>
  <c r="B18202" i="1"/>
  <c r="B18201" i="1"/>
  <c r="B18200" i="1"/>
  <c r="B18199" i="1"/>
  <c r="B18198" i="1"/>
  <c r="B18197" i="1"/>
  <c r="B18196" i="1"/>
  <c r="B18195" i="1"/>
  <c r="B18194" i="1"/>
  <c r="B18193" i="1"/>
  <c r="B18192" i="1"/>
  <c r="B18191" i="1"/>
  <c r="B18190" i="1"/>
  <c r="B18189" i="1"/>
  <c r="B18188" i="1"/>
  <c r="B18187" i="1"/>
  <c r="B18186" i="1"/>
  <c r="B18185" i="1"/>
  <c r="B18184" i="1"/>
  <c r="B18183" i="1"/>
  <c r="B18182" i="1"/>
  <c r="B18181" i="1"/>
  <c r="B18180" i="1"/>
  <c r="B18179" i="1"/>
  <c r="B18178" i="1"/>
  <c r="B18177" i="1"/>
  <c r="B18176" i="1"/>
  <c r="B18175" i="1"/>
  <c r="B18174" i="1"/>
  <c r="B18173" i="1"/>
  <c r="B18172" i="1"/>
  <c r="B18171" i="1"/>
  <c r="B18170" i="1"/>
  <c r="B18169" i="1"/>
  <c r="B18168" i="1"/>
  <c r="B18167" i="1"/>
  <c r="B18166" i="1"/>
  <c r="B18165" i="1"/>
  <c r="B18164" i="1"/>
  <c r="B18163" i="1"/>
  <c r="B18162" i="1"/>
  <c r="B18161" i="1"/>
  <c r="B18160" i="1"/>
  <c r="B18159" i="1"/>
  <c r="B18158" i="1"/>
  <c r="B18157" i="1"/>
  <c r="B18156" i="1"/>
  <c r="B18155" i="1"/>
  <c r="B18154" i="1"/>
  <c r="B18153" i="1"/>
  <c r="B18152" i="1"/>
  <c r="B18151" i="1"/>
  <c r="B18150" i="1"/>
  <c r="B18149" i="1"/>
  <c r="B18148" i="1"/>
  <c r="B18147" i="1"/>
  <c r="B18146" i="1"/>
  <c r="B18145" i="1"/>
  <c r="B18144" i="1"/>
  <c r="B18143" i="1"/>
  <c r="B18142" i="1"/>
  <c r="B18141" i="1"/>
  <c r="B18140" i="1"/>
  <c r="B18139" i="1"/>
  <c r="B18138" i="1"/>
  <c r="B18137" i="1"/>
  <c r="B18136" i="1"/>
  <c r="B18135" i="1"/>
  <c r="B18134" i="1"/>
  <c r="B18133" i="1"/>
  <c r="B18132" i="1"/>
  <c r="B18131" i="1"/>
  <c r="B18130" i="1"/>
  <c r="B18129" i="1"/>
  <c r="B18128" i="1"/>
  <c r="B18127" i="1"/>
  <c r="B18126" i="1"/>
  <c r="B18125" i="1"/>
  <c r="B18124" i="1"/>
  <c r="B18123" i="1"/>
  <c r="B18122" i="1"/>
  <c r="B18121" i="1"/>
  <c r="B18120" i="1"/>
  <c r="B18119" i="1"/>
  <c r="B18118" i="1"/>
  <c r="B18117" i="1"/>
  <c r="B18116" i="1"/>
  <c r="B18115" i="1"/>
  <c r="B18114" i="1"/>
  <c r="B18113" i="1"/>
  <c r="B18112" i="1"/>
  <c r="B18111" i="1"/>
  <c r="B18110" i="1"/>
  <c r="B18109" i="1"/>
  <c r="B18108" i="1"/>
  <c r="B18107" i="1"/>
  <c r="B18106" i="1"/>
  <c r="B18105" i="1"/>
  <c r="B18104" i="1"/>
  <c r="B18103" i="1"/>
  <c r="B18102" i="1"/>
  <c r="B18101" i="1"/>
  <c r="B18100" i="1"/>
  <c r="B18099" i="1"/>
  <c r="B18098" i="1"/>
  <c r="B18097" i="1"/>
  <c r="B18096" i="1"/>
  <c r="B18095" i="1"/>
  <c r="B18094" i="1"/>
  <c r="B18093" i="1"/>
  <c r="B18092" i="1"/>
  <c r="B18091" i="1"/>
  <c r="B18090" i="1"/>
  <c r="B18089" i="1"/>
  <c r="B18088" i="1"/>
  <c r="B18087" i="1"/>
  <c r="B18086" i="1"/>
  <c r="B18085" i="1"/>
  <c r="B18084" i="1"/>
  <c r="B18083" i="1"/>
  <c r="B18082" i="1"/>
  <c r="B18081" i="1"/>
  <c r="B18080" i="1"/>
  <c r="B18079" i="1"/>
  <c r="B18078" i="1"/>
  <c r="B18077" i="1"/>
  <c r="B18076" i="1"/>
  <c r="B18075" i="1"/>
  <c r="B18074" i="1"/>
  <c r="B18073" i="1"/>
  <c r="B18072" i="1"/>
  <c r="B18071" i="1"/>
  <c r="B18070" i="1"/>
  <c r="B18069" i="1"/>
  <c r="B18068" i="1"/>
  <c r="B18067" i="1"/>
  <c r="B18066" i="1"/>
  <c r="B18065" i="1"/>
  <c r="B18064" i="1"/>
  <c r="B18063" i="1"/>
  <c r="B18062" i="1"/>
  <c r="B18061" i="1"/>
  <c r="B18060" i="1"/>
  <c r="B18059" i="1"/>
  <c r="B18058" i="1"/>
  <c r="B18057" i="1"/>
  <c r="B18056" i="1"/>
  <c r="B18055" i="1"/>
  <c r="B18054" i="1"/>
  <c r="B18053" i="1"/>
  <c r="B18052" i="1"/>
  <c r="B18051" i="1"/>
  <c r="B18050" i="1"/>
  <c r="B18049" i="1"/>
  <c r="B18048" i="1"/>
  <c r="B18047" i="1"/>
  <c r="B18046" i="1"/>
  <c r="B18045" i="1"/>
  <c r="B18044" i="1"/>
  <c r="B18043" i="1"/>
  <c r="B18042" i="1"/>
  <c r="B18041" i="1"/>
  <c r="B18040" i="1"/>
  <c r="B18039" i="1"/>
  <c r="B18038" i="1"/>
  <c r="B18037" i="1"/>
  <c r="B18036" i="1"/>
  <c r="B18035" i="1"/>
  <c r="B18034" i="1"/>
  <c r="B18033" i="1"/>
  <c r="B18032" i="1"/>
  <c r="B18031" i="1"/>
  <c r="B18030" i="1"/>
  <c r="B18029" i="1"/>
  <c r="B18028" i="1"/>
  <c r="B18027" i="1"/>
  <c r="B18026" i="1"/>
  <c r="B18025" i="1"/>
  <c r="B18024" i="1"/>
  <c r="B18023" i="1"/>
  <c r="B18022" i="1"/>
  <c r="B18021" i="1"/>
  <c r="B18020" i="1"/>
  <c r="B18019" i="1"/>
  <c r="B18018" i="1"/>
  <c r="B18017" i="1"/>
  <c r="B18016" i="1"/>
  <c r="B18015" i="1"/>
  <c r="B18014" i="1"/>
  <c r="B18013" i="1"/>
  <c r="B18012" i="1"/>
  <c r="B18011" i="1"/>
  <c r="B18010" i="1"/>
  <c r="B18009" i="1"/>
  <c r="B18008" i="1"/>
  <c r="B18007" i="1"/>
  <c r="B18006" i="1"/>
  <c r="B18005" i="1"/>
  <c r="B18004" i="1"/>
  <c r="B18003" i="1"/>
  <c r="B18002" i="1"/>
  <c r="B18001" i="1"/>
  <c r="B18000" i="1"/>
  <c r="B17999" i="1"/>
  <c r="B17998" i="1"/>
  <c r="B17997" i="1"/>
  <c r="B17996" i="1"/>
  <c r="B17995" i="1"/>
  <c r="B17994" i="1"/>
  <c r="B17993" i="1"/>
  <c r="B17992" i="1"/>
  <c r="B17991" i="1"/>
  <c r="B17990" i="1"/>
  <c r="B17989" i="1"/>
  <c r="B17988" i="1"/>
  <c r="B17987" i="1"/>
  <c r="B17986" i="1"/>
  <c r="B17985" i="1"/>
  <c r="B17984" i="1"/>
  <c r="B17983" i="1"/>
  <c r="B17982" i="1"/>
  <c r="B17981" i="1"/>
  <c r="B17980" i="1"/>
  <c r="B17979" i="1"/>
  <c r="B17978" i="1"/>
  <c r="B17977" i="1"/>
  <c r="B17976" i="1"/>
  <c r="B17975" i="1"/>
  <c r="B17974" i="1"/>
  <c r="B17973" i="1"/>
  <c r="B17972" i="1"/>
  <c r="B17971" i="1"/>
  <c r="B17970" i="1"/>
  <c r="B17969" i="1"/>
  <c r="B17968" i="1"/>
  <c r="B17967" i="1"/>
  <c r="B17966" i="1"/>
  <c r="B17965" i="1"/>
  <c r="B17964" i="1"/>
  <c r="B17963" i="1"/>
  <c r="B17962" i="1"/>
  <c r="B17961" i="1"/>
  <c r="B17960" i="1"/>
  <c r="B17959" i="1"/>
  <c r="B17958" i="1"/>
  <c r="B17957" i="1"/>
  <c r="B17956" i="1"/>
  <c r="B17955" i="1"/>
  <c r="B17954" i="1"/>
  <c r="B17953" i="1"/>
  <c r="B17952" i="1"/>
  <c r="B17951" i="1"/>
  <c r="B17950" i="1"/>
  <c r="B17949" i="1"/>
  <c r="B17948" i="1"/>
  <c r="B17947" i="1"/>
  <c r="B17946" i="1"/>
  <c r="B17945" i="1"/>
  <c r="B17944" i="1"/>
  <c r="B17943" i="1"/>
  <c r="B17942" i="1"/>
  <c r="B17941" i="1"/>
  <c r="B17940" i="1"/>
  <c r="B17939" i="1"/>
  <c r="B17938" i="1"/>
  <c r="B17937" i="1"/>
  <c r="B17936" i="1"/>
  <c r="B17935" i="1"/>
  <c r="B17934" i="1"/>
  <c r="B17933" i="1"/>
  <c r="B17932" i="1"/>
  <c r="B17931" i="1"/>
  <c r="B17930" i="1"/>
  <c r="B17929" i="1"/>
  <c r="B17928" i="1"/>
  <c r="B17927" i="1"/>
  <c r="B17926" i="1"/>
  <c r="B17925" i="1"/>
  <c r="B17924" i="1"/>
  <c r="B17923" i="1"/>
  <c r="B17922" i="1"/>
  <c r="B17921" i="1"/>
  <c r="B17920" i="1"/>
  <c r="B17919" i="1"/>
  <c r="B17918" i="1"/>
  <c r="B17917" i="1"/>
  <c r="B17916" i="1"/>
  <c r="B17915" i="1"/>
  <c r="B17914" i="1"/>
  <c r="B17913" i="1"/>
  <c r="B17912" i="1"/>
  <c r="B17911" i="1"/>
  <c r="B17910" i="1"/>
  <c r="B17909" i="1"/>
  <c r="B17908" i="1"/>
  <c r="B17907" i="1"/>
  <c r="B17906" i="1"/>
  <c r="B17905" i="1"/>
  <c r="B17904" i="1"/>
  <c r="B17903" i="1"/>
  <c r="B17902" i="1"/>
  <c r="B17901" i="1"/>
  <c r="B17900" i="1"/>
  <c r="B17899" i="1"/>
  <c r="B17898" i="1"/>
  <c r="B17897" i="1"/>
  <c r="B17896" i="1"/>
  <c r="B17895" i="1"/>
  <c r="B17894" i="1"/>
  <c r="B17893" i="1"/>
  <c r="B17892" i="1"/>
  <c r="B17891" i="1"/>
  <c r="B17890" i="1"/>
  <c r="B17889" i="1"/>
  <c r="B17888" i="1"/>
  <c r="B17887" i="1"/>
  <c r="B17886" i="1"/>
  <c r="B17885" i="1"/>
  <c r="B17884" i="1"/>
  <c r="B17883" i="1"/>
  <c r="B17882" i="1"/>
  <c r="B17881" i="1"/>
  <c r="B17880" i="1"/>
  <c r="B17879" i="1"/>
  <c r="B17878" i="1"/>
  <c r="B17877" i="1"/>
  <c r="B17876" i="1"/>
  <c r="B17875" i="1"/>
  <c r="B17874" i="1"/>
  <c r="B17873" i="1"/>
  <c r="B17872" i="1"/>
  <c r="B17871" i="1"/>
  <c r="B17870" i="1"/>
  <c r="B17869" i="1"/>
  <c r="B17868" i="1"/>
  <c r="B17867" i="1"/>
  <c r="B17866" i="1"/>
  <c r="B17865" i="1"/>
  <c r="B17864" i="1"/>
  <c r="B17863" i="1"/>
  <c r="B17862" i="1"/>
  <c r="B17861" i="1"/>
  <c r="B17860" i="1"/>
  <c r="B17859" i="1"/>
  <c r="B17858" i="1"/>
  <c r="B17857" i="1"/>
  <c r="B17856" i="1"/>
  <c r="B17855" i="1"/>
  <c r="B17854" i="1"/>
  <c r="B17853" i="1"/>
  <c r="B17852" i="1"/>
  <c r="B17851" i="1"/>
  <c r="B17850" i="1"/>
  <c r="B17849" i="1"/>
  <c r="B17848" i="1"/>
  <c r="B17847" i="1"/>
  <c r="B17846" i="1"/>
  <c r="B17845" i="1"/>
  <c r="B17844" i="1"/>
  <c r="B17843" i="1"/>
  <c r="B17842" i="1"/>
  <c r="B17841" i="1"/>
  <c r="B17840" i="1"/>
  <c r="B17839" i="1"/>
  <c r="B17838" i="1"/>
  <c r="B17837" i="1"/>
  <c r="B17836" i="1"/>
  <c r="B17835" i="1"/>
  <c r="B17834" i="1"/>
  <c r="B17833" i="1"/>
  <c r="B17832" i="1"/>
  <c r="B17831" i="1"/>
  <c r="B17830" i="1"/>
  <c r="B17829" i="1"/>
  <c r="B17828" i="1"/>
  <c r="B17827" i="1"/>
  <c r="B17826" i="1"/>
  <c r="B17825" i="1"/>
  <c r="B17824" i="1"/>
  <c r="B17823" i="1"/>
  <c r="B17822" i="1"/>
  <c r="B17821" i="1"/>
  <c r="B17820" i="1"/>
  <c r="B17819" i="1"/>
  <c r="B17818" i="1"/>
  <c r="B17817" i="1"/>
  <c r="B17816" i="1"/>
  <c r="B17815" i="1"/>
  <c r="B17814" i="1"/>
  <c r="B17813" i="1"/>
  <c r="B17812" i="1"/>
  <c r="B17811" i="1"/>
  <c r="B17810" i="1"/>
  <c r="B17809" i="1"/>
  <c r="B17808" i="1"/>
  <c r="B17807" i="1"/>
  <c r="B17806" i="1"/>
  <c r="B17805" i="1"/>
  <c r="B17804" i="1"/>
  <c r="B17803" i="1"/>
  <c r="B17802" i="1"/>
  <c r="B17801" i="1"/>
  <c r="B17800" i="1"/>
  <c r="B17799" i="1"/>
  <c r="B17798" i="1"/>
  <c r="B17797" i="1"/>
  <c r="B17796" i="1"/>
  <c r="B17795" i="1"/>
  <c r="B17794" i="1"/>
  <c r="B17793" i="1"/>
  <c r="B17792" i="1"/>
  <c r="B17791" i="1"/>
  <c r="B17790" i="1"/>
  <c r="B17789" i="1"/>
  <c r="B17788" i="1"/>
  <c r="B17787" i="1"/>
  <c r="B17786" i="1"/>
  <c r="B17785" i="1"/>
  <c r="B17784" i="1"/>
  <c r="B17783" i="1"/>
  <c r="B17782" i="1"/>
  <c r="B17781" i="1"/>
  <c r="B17780" i="1"/>
  <c r="B17779" i="1"/>
  <c r="B17778" i="1"/>
  <c r="B17777" i="1"/>
  <c r="B17776" i="1"/>
  <c r="B17775" i="1"/>
  <c r="B17774" i="1"/>
  <c r="B17773" i="1"/>
  <c r="B17772" i="1"/>
  <c r="B17771" i="1"/>
  <c r="B17770" i="1"/>
  <c r="B17769" i="1"/>
  <c r="B17768" i="1"/>
  <c r="B17767" i="1"/>
  <c r="B17766" i="1"/>
  <c r="B17765" i="1"/>
  <c r="B17764" i="1"/>
  <c r="B17763" i="1"/>
  <c r="B17762" i="1"/>
  <c r="B17761" i="1"/>
  <c r="B17760" i="1"/>
  <c r="B17759" i="1"/>
  <c r="B17758" i="1"/>
  <c r="B17757" i="1"/>
  <c r="B17756" i="1"/>
  <c r="B17755" i="1"/>
  <c r="B17754" i="1"/>
  <c r="B17753" i="1"/>
  <c r="B17752" i="1"/>
  <c r="B17751" i="1"/>
  <c r="B17750" i="1"/>
  <c r="B17749" i="1"/>
  <c r="B17748" i="1"/>
  <c r="B17747" i="1"/>
  <c r="B17746" i="1"/>
  <c r="B17745" i="1"/>
  <c r="B17744" i="1"/>
  <c r="B17743" i="1"/>
  <c r="B17742" i="1"/>
  <c r="B17741" i="1"/>
  <c r="B17740" i="1"/>
  <c r="B17739" i="1"/>
  <c r="B17738" i="1"/>
  <c r="B17737" i="1"/>
  <c r="B17736" i="1"/>
  <c r="B17735" i="1"/>
  <c r="B17734" i="1"/>
  <c r="B17733" i="1"/>
  <c r="B17732" i="1"/>
  <c r="B17731" i="1"/>
  <c r="B17730" i="1"/>
  <c r="B17729" i="1"/>
  <c r="B17728" i="1"/>
  <c r="B17727" i="1"/>
  <c r="B17726" i="1"/>
  <c r="B17725" i="1"/>
  <c r="B17724" i="1"/>
  <c r="B17723" i="1"/>
  <c r="B17722" i="1"/>
  <c r="B17721" i="1"/>
  <c r="B17720" i="1"/>
  <c r="B17719" i="1"/>
  <c r="B17718" i="1"/>
  <c r="B17717" i="1"/>
  <c r="B17716" i="1"/>
  <c r="B17715" i="1"/>
  <c r="B17714" i="1"/>
  <c r="B17713" i="1"/>
  <c r="B17712" i="1"/>
  <c r="B17711" i="1"/>
  <c r="B17710" i="1"/>
  <c r="B17709" i="1"/>
  <c r="B17708" i="1"/>
  <c r="B17707" i="1"/>
  <c r="B17706" i="1"/>
  <c r="B17705" i="1"/>
  <c r="B17704" i="1"/>
  <c r="B17703" i="1"/>
  <c r="B17702" i="1"/>
  <c r="B17701" i="1"/>
  <c r="B17700" i="1"/>
  <c r="B17699" i="1"/>
  <c r="B17698" i="1"/>
  <c r="B17697" i="1"/>
  <c r="B17696" i="1"/>
  <c r="B17695" i="1"/>
  <c r="B17694" i="1"/>
  <c r="B17693" i="1"/>
  <c r="B17692" i="1"/>
  <c r="B17691" i="1"/>
  <c r="B17690" i="1"/>
  <c r="B17689" i="1"/>
  <c r="B17688" i="1"/>
  <c r="B17687" i="1"/>
  <c r="B17686" i="1"/>
  <c r="B17685" i="1"/>
  <c r="B17684" i="1"/>
  <c r="B17683" i="1"/>
  <c r="B17682" i="1"/>
  <c r="B17681" i="1"/>
  <c r="B17680" i="1"/>
  <c r="B17679" i="1"/>
  <c r="B17678" i="1"/>
  <c r="B17677" i="1"/>
  <c r="B17676" i="1"/>
  <c r="B17675" i="1"/>
  <c r="B17674" i="1"/>
  <c r="B17673" i="1"/>
  <c r="B17672" i="1"/>
  <c r="B17671" i="1"/>
  <c r="B17670" i="1"/>
  <c r="B17669" i="1"/>
  <c r="B17668" i="1"/>
  <c r="B17667" i="1"/>
  <c r="B17666" i="1"/>
  <c r="B17665" i="1"/>
  <c r="B17664" i="1"/>
  <c r="B17663" i="1"/>
  <c r="B17662" i="1"/>
  <c r="B17661" i="1"/>
  <c r="B17660" i="1"/>
  <c r="B17659" i="1"/>
  <c r="B17658" i="1"/>
  <c r="B17657" i="1"/>
  <c r="B17656" i="1"/>
  <c r="B17655" i="1"/>
  <c r="B17654" i="1"/>
  <c r="B17653" i="1"/>
  <c r="B17652" i="1"/>
  <c r="B17651" i="1"/>
  <c r="B17650" i="1"/>
  <c r="B17649" i="1"/>
  <c r="B17648" i="1"/>
  <c r="B17647" i="1"/>
  <c r="B17646" i="1"/>
  <c r="B17645" i="1"/>
  <c r="B17644" i="1"/>
  <c r="B17643" i="1"/>
  <c r="B17642" i="1"/>
  <c r="B17641" i="1"/>
  <c r="B17640" i="1"/>
  <c r="B17639" i="1"/>
  <c r="B17638" i="1"/>
  <c r="B17637" i="1"/>
  <c r="B17636" i="1"/>
  <c r="B17635" i="1"/>
  <c r="B17634" i="1"/>
  <c r="B17633" i="1"/>
  <c r="B17632" i="1"/>
  <c r="B17631" i="1"/>
  <c r="B17630" i="1"/>
  <c r="B17629" i="1"/>
  <c r="B17628" i="1"/>
  <c r="B17627" i="1"/>
  <c r="B17626" i="1"/>
  <c r="B17625" i="1"/>
  <c r="B17624" i="1"/>
  <c r="B17623" i="1"/>
  <c r="B17622" i="1"/>
  <c r="B17621" i="1"/>
  <c r="B17620" i="1"/>
  <c r="B17619" i="1"/>
  <c r="B17618" i="1"/>
  <c r="B17617" i="1"/>
  <c r="B17616" i="1"/>
  <c r="B17615" i="1"/>
  <c r="B17614" i="1"/>
  <c r="B17613" i="1"/>
  <c r="B17612" i="1"/>
  <c r="B17611" i="1"/>
  <c r="B17610" i="1"/>
  <c r="B17609" i="1"/>
  <c r="B17608" i="1"/>
  <c r="B17607" i="1"/>
  <c r="B17606" i="1"/>
  <c r="B17605" i="1"/>
  <c r="B17604" i="1"/>
  <c r="B17603" i="1"/>
  <c r="B17602" i="1"/>
  <c r="B17601" i="1"/>
  <c r="B17600" i="1"/>
  <c r="B17599" i="1"/>
  <c r="B17598" i="1"/>
  <c r="B17597" i="1"/>
  <c r="B17596" i="1"/>
  <c r="B17595" i="1"/>
  <c r="B17594" i="1"/>
  <c r="B17593" i="1"/>
  <c r="B17592" i="1"/>
  <c r="B17591" i="1"/>
  <c r="B17590" i="1"/>
  <c r="B17589" i="1"/>
  <c r="B17588" i="1"/>
  <c r="B17587" i="1"/>
  <c r="B17586" i="1"/>
  <c r="B17585" i="1"/>
  <c r="B17584" i="1"/>
  <c r="B17583" i="1"/>
  <c r="B17582" i="1"/>
  <c r="B17581" i="1"/>
  <c r="B17580" i="1"/>
  <c r="B17579" i="1"/>
  <c r="B17578" i="1"/>
  <c r="B17577" i="1"/>
  <c r="B17576" i="1"/>
  <c r="B17575" i="1"/>
  <c r="B17574" i="1"/>
  <c r="B17573" i="1"/>
  <c r="B17572" i="1"/>
  <c r="B17571" i="1"/>
  <c r="B17570" i="1"/>
  <c r="B17569" i="1"/>
  <c r="B17568" i="1"/>
  <c r="B17567" i="1"/>
  <c r="B17566" i="1"/>
  <c r="B17565" i="1"/>
  <c r="B17564" i="1"/>
  <c r="B17563" i="1"/>
  <c r="B17562" i="1"/>
  <c r="B17561" i="1"/>
  <c r="B17560" i="1"/>
  <c r="B17559" i="1"/>
  <c r="B17558" i="1"/>
  <c r="B17557" i="1"/>
  <c r="B17556" i="1"/>
  <c r="B17555" i="1"/>
  <c r="B17554" i="1"/>
  <c r="B17553" i="1"/>
  <c r="B17552" i="1"/>
  <c r="B17551" i="1"/>
  <c r="B17550" i="1"/>
  <c r="B17549" i="1"/>
  <c r="B17548" i="1"/>
  <c r="B17547" i="1"/>
  <c r="B17546" i="1"/>
  <c r="B17545" i="1"/>
  <c r="B17544" i="1"/>
  <c r="B17543" i="1"/>
  <c r="B17542" i="1"/>
  <c r="B17541" i="1"/>
  <c r="B17540" i="1"/>
  <c r="B17539" i="1"/>
  <c r="B17538" i="1"/>
  <c r="B17537" i="1"/>
  <c r="B17536" i="1"/>
  <c r="B17535" i="1"/>
  <c r="B17534" i="1"/>
  <c r="B17533" i="1"/>
  <c r="B17532" i="1"/>
  <c r="B17531" i="1"/>
  <c r="B17530" i="1"/>
  <c r="B17529" i="1"/>
  <c r="B17528" i="1"/>
  <c r="B17527" i="1"/>
  <c r="B17526" i="1"/>
  <c r="B17525" i="1"/>
  <c r="B17524" i="1"/>
  <c r="B17523" i="1"/>
  <c r="B17522" i="1"/>
  <c r="B17521" i="1"/>
  <c r="B17520" i="1"/>
  <c r="B17519" i="1"/>
  <c r="B17518" i="1"/>
  <c r="B17517" i="1"/>
  <c r="B17516" i="1"/>
  <c r="B17515" i="1"/>
  <c r="B17514" i="1"/>
  <c r="B17513" i="1"/>
  <c r="B17512" i="1"/>
  <c r="B17511" i="1"/>
  <c r="B17510" i="1"/>
  <c r="B17509" i="1"/>
  <c r="B17508" i="1"/>
  <c r="B17507" i="1"/>
  <c r="B17506" i="1"/>
  <c r="B17505" i="1"/>
  <c r="B17504" i="1"/>
  <c r="B17503" i="1"/>
  <c r="B17502" i="1"/>
  <c r="B17501" i="1"/>
  <c r="B17500" i="1"/>
  <c r="B17499" i="1"/>
  <c r="B17498" i="1"/>
  <c r="B17497" i="1"/>
  <c r="B17496" i="1"/>
  <c r="B17495" i="1"/>
  <c r="B17494" i="1"/>
  <c r="B17493" i="1"/>
  <c r="B17492" i="1"/>
  <c r="B17491" i="1"/>
  <c r="B17490" i="1"/>
  <c r="B17489" i="1"/>
  <c r="B17488" i="1"/>
  <c r="B17487" i="1"/>
  <c r="B17486" i="1"/>
  <c r="B17485" i="1"/>
  <c r="B17484" i="1"/>
  <c r="B17483" i="1"/>
  <c r="B17482" i="1"/>
  <c r="B17481" i="1"/>
  <c r="B17480" i="1"/>
  <c r="B17479" i="1"/>
  <c r="B17478" i="1"/>
  <c r="B17477" i="1"/>
  <c r="B17476" i="1"/>
  <c r="B17475" i="1"/>
  <c r="B17474" i="1"/>
  <c r="B17473" i="1"/>
  <c r="B17472" i="1"/>
  <c r="B17471" i="1"/>
  <c r="B17470" i="1"/>
  <c r="B17469" i="1"/>
  <c r="B17468" i="1"/>
  <c r="B17467" i="1"/>
  <c r="B17466" i="1"/>
  <c r="B17465" i="1"/>
  <c r="B17464" i="1"/>
  <c r="B17463" i="1"/>
  <c r="B17462" i="1"/>
  <c r="B17461" i="1"/>
  <c r="B17460" i="1"/>
  <c r="B17459" i="1"/>
  <c r="B17458" i="1"/>
  <c r="B17457" i="1"/>
  <c r="B17456" i="1"/>
  <c r="B17455" i="1"/>
  <c r="B17454" i="1"/>
  <c r="B17453" i="1"/>
  <c r="B17452" i="1"/>
  <c r="B17451" i="1"/>
  <c r="B17450" i="1"/>
  <c r="B17449" i="1"/>
  <c r="B17448" i="1"/>
  <c r="B17447" i="1"/>
  <c r="B17446" i="1"/>
  <c r="B17445" i="1"/>
  <c r="B17444" i="1"/>
  <c r="B17443" i="1"/>
  <c r="B17442" i="1"/>
  <c r="B17441" i="1"/>
  <c r="B17440" i="1"/>
  <c r="B17439" i="1"/>
  <c r="B17438" i="1"/>
  <c r="B17437" i="1"/>
  <c r="B17436" i="1"/>
  <c r="B17435" i="1"/>
  <c r="B17434" i="1"/>
  <c r="B17433" i="1"/>
  <c r="B17432" i="1"/>
  <c r="B17431" i="1"/>
  <c r="B17430" i="1"/>
  <c r="B17429" i="1"/>
  <c r="B17428" i="1"/>
  <c r="B17427" i="1"/>
  <c r="B17426" i="1"/>
  <c r="B17425" i="1"/>
  <c r="B17424" i="1"/>
  <c r="B17423" i="1"/>
  <c r="B17422" i="1"/>
  <c r="B17421" i="1"/>
  <c r="B17420" i="1"/>
  <c r="B17419" i="1"/>
  <c r="B17418" i="1"/>
  <c r="B17417" i="1"/>
  <c r="B17416" i="1"/>
  <c r="B17415" i="1"/>
  <c r="B17414" i="1"/>
  <c r="B17413" i="1"/>
  <c r="B17412" i="1"/>
  <c r="B17411" i="1"/>
  <c r="B17410" i="1"/>
  <c r="B17409" i="1"/>
  <c r="B17408" i="1"/>
  <c r="B17407" i="1"/>
  <c r="B17406" i="1"/>
  <c r="B17405" i="1"/>
  <c r="B17404" i="1"/>
  <c r="B17403" i="1"/>
  <c r="B17402" i="1"/>
  <c r="B17401" i="1"/>
  <c r="B17400" i="1"/>
  <c r="B17399" i="1"/>
  <c r="B17398" i="1"/>
  <c r="B17397" i="1"/>
  <c r="B17396" i="1"/>
  <c r="B17395" i="1"/>
  <c r="B17394" i="1"/>
  <c r="B17393" i="1"/>
  <c r="B17392" i="1"/>
  <c r="B17391" i="1"/>
  <c r="B17390" i="1"/>
  <c r="B17389" i="1"/>
  <c r="B17388" i="1"/>
  <c r="B17387" i="1"/>
  <c r="B17386" i="1"/>
  <c r="B17385" i="1"/>
  <c r="B17384" i="1"/>
  <c r="B17383" i="1"/>
  <c r="B17382" i="1"/>
  <c r="B17381" i="1"/>
  <c r="B17380" i="1"/>
  <c r="B17379" i="1"/>
  <c r="B17378" i="1"/>
  <c r="B17377" i="1"/>
  <c r="B17376" i="1"/>
  <c r="B17375" i="1"/>
  <c r="B17374" i="1"/>
  <c r="B17373" i="1"/>
  <c r="B17372" i="1"/>
  <c r="B17371" i="1"/>
  <c r="B17370" i="1"/>
  <c r="B17369" i="1"/>
  <c r="B17368" i="1"/>
  <c r="B17367" i="1"/>
  <c r="B17366" i="1"/>
  <c r="B17365" i="1"/>
  <c r="B17364" i="1"/>
  <c r="B17363" i="1"/>
  <c r="B17362" i="1"/>
  <c r="B17361" i="1"/>
  <c r="B17360" i="1"/>
  <c r="B17359" i="1"/>
  <c r="B17358" i="1"/>
  <c r="B17357" i="1"/>
  <c r="B17356" i="1"/>
  <c r="B17355" i="1"/>
  <c r="B17354" i="1"/>
  <c r="B17353" i="1"/>
  <c r="B17352" i="1"/>
  <c r="B17351" i="1"/>
  <c r="B17350" i="1"/>
  <c r="B17349" i="1"/>
  <c r="B17348" i="1"/>
  <c r="B17347" i="1"/>
  <c r="B17346" i="1"/>
  <c r="B17345" i="1"/>
  <c r="B17344" i="1"/>
  <c r="B17343" i="1"/>
  <c r="B17342" i="1"/>
  <c r="B17341" i="1"/>
  <c r="B17340" i="1"/>
  <c r="B17339" i="1"/>
  <c r="B17338" i="1"/>
  <c r="B17337" i="1"/>
  <c r="B17336" i="1"/>
  <c r="B17335" i="1"/>
  <c r="B17334" i="1"/>
  <c r="B17333" i="1"/>
  <c r="B17332" i="1"/>
  <c r="B17331" i="1"/>
  <c r="B17330" i="1"/>
  <c r="B17329" i="1"/>
  <c r="B17328" i="1"/>
  <c r="B17327" i="1"/>
  <c r="B17326" i="1"/>
  <c r="B17325" i="1"/>
  <c r="B17324" i="1"/>
  <c r="B17323" i="1"/>
  <c r="B17322" i="1"/>
  <c r="B17321" i="1"/>
  <c r="B17320" i="1"/>
  <c r="B17319" i="1"/>
  <c r="B17318" i="1"/>
  <c r="B17317" i="1"/>
  <c r="B17316" i="1"/>
  <c r="B17315" i="1"/>
  <c r="B17314" i="1"/>
  <c r="B17313" i="1"/>
  <c r="B17312" i="1"/>
  <c r="B17311" i="1"/>
  <c r="B17310" i="1"/>
  <c r="B17309" i="1"/>
  <c r="B17308" i="1"/>
  <c r="B17307" i="1"/>
  <c r="B17306" i="1"/>
  <c r="B17305" i="1"/>
  <c r="B17304" i="1"/>
  <c r="B17303" i="1"/>
  <c r="B17302" i="1"/>
  <c r="B17301" i="1"/>
  <c r="B17300" i="1"/>
  <c r="B17299" i="1"/>
  <c r="B17298" i="1"/>
  <c r="B17297" i="1"/>
  <c r="B17296" i="1"/>
  <c r="B17295" i="1"/>
  <c r="B17294" i="1"/>
  <c r="B17293" i="1"/>
  <c r="B17292" i="1"/>
  <c r="B17291" i="1"/>
  <c r="B17290" i="1"/>
  <c r="B17289" i="1"/>
  <c r="B17288" i="1"/>
  <c r="B17287" i="1"/>
  <c r="B17286" i="1"/>
  <c r="B17285" i="1"/>
  <c r="B17284" i="1"/>
  <c r="B17283" i="1"/>
  <c r="B17282" i="1"/>
  <c r="B17281" i="1"/>
  <c r="B17280" i="1"/>
  <c r="B17279" i="1"/>
  <c r="B17278" i="1"/>
  <c r="B17277" i="1"/>
  <c r="B17276" i="1"/>
  <c r="B17275" i="1"/>
  <c r="B17274" i="1"/>
  <c r="B17273" i="1"/>
  <c r="B17272" i="1"/>
  <c r="B17271" i="1"/>
  <c r="B17270" i="1"/>
  <c r="B17269" i="1"/>
  <c r="B17268" i="1"/>
  <c r="B17267" i="1"/>
  <c r="B17266" i="1"/>
  <c r="B17265" i="1"/>
  <c r="B17264" i="1"/>
  <c r="B17263" i="1"/>
  <c r="B17262" i="1"/>
  <c r="B17261" i="1"/>
  <c r="B17260" i="1"/>
  <c r="B17259" i="1"/>
  <c r="B17258" i="1"/>
  <c r="B17257" i="1"/>
  <c r="B17256" i="1"/>
  <c r="B17255" i="1"/>
  <c r="B17254" i="1"/>
  <c r="B17253" i="1"/>
  <c r="B17252" i="1"/>
  <c r="B17251" i="1"/>
  <c r="B17250" i="1"/>
  <c r="B17249" i="1"/>
  <c r="B17248" i="1"/>
  <c r="B17247" i="1"/>
  <c r="B17246" i="1"/>
  <c r="B17245" i="1"/>
  <c r="B17244" i="1"/>
  <c r="B17243" i="1"/>
  <c r="B17242" i="1"/>
  <c r="B17241" i="1"/>
  <c r="B17240" i="1"/>
  <c r="B17239" i="1"/>
  <c r="B17238" i="1"/>
  <c r="B17237" i="1"/>
  <c r="B17236" i="1"/>
  <c r="B17235" i="1"/>
  <c r="B17234" i="1"/>
  <c r="B17233" i="1"/>
  <c r="B17232" i="1"/>
  <c r="B17231" i="1"/>
  <c r="B17230" i="1"/>
  <c r="B17229" i="1"/>
  <c r="B17228" i="1"/>
  <c r="B17227" i="1"/>
  <c r="B17226" i="1"/>
  <c r="B17225" i="1"/>
  <c r="B17224" i="1"/>
  <c r="B17223" i="1"/>
  <c r="B17222" i="1"/>
  <c r="B17221" i="1"/>
  <c r="B17220" i="1"/>
  <c r="B17219" i="1"/>
  <c r="B17218" i="1"/>
  <c r="B17217" i="1"/>
  <c r="B17216" i="1"/>
  <c r="B17215" i="1"/>
  <c r="B17214" i="1"/>
  <c r="B17213" i="1"/>
  <c r="B17212" i="1"/>
  <c r="B17211" i="1"/>
  <c r="B17210" i="1"/>
  <c r="B17209" i="1"/>
  <c r="B17208" i="1"/>
  <c r="B17207" i="1"/>
  <c r="B17206" i="1"/>
  <c r="B17205" i="1"/>
  <c r="B17204" i="1"/>
  <c r="B17203" i="1"/>
  <c r="B17202" i="1"/>
  <c r="B17201" i="1"/>
  <c r="B17200" i="1"/>
  <c r="B17199" i="1"/>
  <c r="B17198" i="1"/>
  <c r="B17197" i="1"/>
  <c r="B17196" i="1"/>
  <c r="B17195" i="1"/>
  <c r="B17194" i="1"/>
  <c r="B17193" i="1"/>
  <c r="B17192" i="1"/>
  <c r="B17191" i="1"/>
  <c r="B17190" i="1"/>
  <c r="B17189" i="1"/>
  <c r="B17188" i="1"/>
  <c r="B17187" i="1"/>
  <c r="B17186" i="1"/>
  <c r="B17185" i="1"/>
  <c r="B17184" i="1"/>
  <c r="B17183" i="1"/>
  <c r="B17182" i="1"/>
  <c r="B17181" i="1"/>
  <c r="B17180" i="1"/>
  <c r="B17179" i="1"/>
  <c r="B17178" i="1"/>
  <c r="B17177" i="1"/>
  <c r="B17176" i="1"/>
  <c r="B17175" i="1"/>
  <c r="B17174" i="1"/>
  <c r="B17173" i="1"/>
  <c r="B17172" i="1"/>
  <c r="B17171" i="1"/>
  <c r="B17170" i="1"/>
  <c r="B17169" i="1"/>
  <c r="B17168" i="1"/>
  <c r="B17167" i="1"/>
  <c r="B17166" i="1"/>
  <c r="B17165" i="1"/>
  <c r="B17164" i="1"/>
  <c r="B17163" i="1"/>
  <c r="B17162" i="1"/>
  <c r="B17161" i="1"/>
  <c r="B17160" i="1"/>
  <c r="B17159" i="1"/>
  <c r="B17158" i="1"/>
  <c r="B17157" i="1"/>
  <c r="B17156" i="1"/>
  <c r="B17155" i="1"/>
  <c r="B17154" i="1"/>
  <c r="B17153" i="1"/>
  <c r="B17152" i="1"/>
  <c r="B17151" i="1"/>
  <c r="B17150" i="1"/>
  <c r="B17149" i="1"/>
  <c r="B17148" i="1"/>
  <c r="B17147" i="1"/>
  <c r="B17146" i="1"/>
  <c r="B17145" i="1"/>
  <c r="B17144" i="1"/>
  <c r="B17143" i="1"/>
  <c r="B17142" i="1"/>
  <c r="B17141" i="1"/>
  <c r="B17140" i="1"/>
  <c r="B17139" i="1"/>
  <c r="B17138" i="1"/>
  <c r="B17137" i="1"/>
  <c r="B17136" i="1"/>
  <c r="B17135" i="1"/>
  <c r="B17134" i="1"/>
  <c r="B17133" i="1"/>
  <c r="B17132" i="1"/>
  <c r="B17131" i="1"/>
  <c r="B17130" i="1"/>
  <c r="B17129" i="1"/>
  <c r="B17128" i="1"/>
  <c r="B17127" i="1"/>
  <c r="B17126" i="1"/>
  <c r="B17125" i="1"/>
  <c r="B17124" i="1"/>
  <c r="B17123" i="1"/>
  <c r="B17122" i="1"/>
  <c r="B17121" i="1"/>
  <c r="B17120" i="1"/>
  <c r="B17119" i="1"/>
  <c r="B17118" i="1"/>
  <c r="B17117" i="1"/>
  <c r="B17116" i="1"/>
  <c r="B17115" i="1"/>
  <c r="B17114" i="1"/>
  <c r="B17113" i="1"/>
  <c r="B17112" i="1"/>
  <c r="B17111" i="1"/>
  <c r="B17110" i="1"/>
  <c r="B17109" i="1"/>
  <c r="B17108" i="1"/>
  <c r="B17107" i="1"/>
  <c r="B17106" i="1"/>
  <c r="B17105" i="1"/>
  <c r="B17104" i="1"/>
  <c r="B17103" i="1"/>
  <c r="B17102" i="1"/>
  <c r="B17101" i="1"/>
  <c r="B17100" i="1"/>
  <c r="B17099" i="1"/>
  <c r="B17098" i="1"/>
  <c r="B17097" i="1"/>
  <c r="B17096" i="1"/>
  <c r="B17095" i="1"/>
  <c r="B17094" i="1"/>
  <c r="B17093" i="1"/>
  <c r="B17092" i="1"/>
  <c r="B17091" i="1"/>
  <c r="B17090" i="1"/>
  <c r="B17089" i="1"/>
  <c r="B17088" i="1"/>
  <c r="B17087" i="1"/>
  <c r="B17086" i="1"/>
  <c r="B17085" i="1"/>
  <c r="B17084" i="1"/>
  <c r="B17083" i="1"/>
  <c r="B17082" i="1"/>
  <c r="B17081" i="1"/>
  <c r="B17080" i="1"/>
  <c r="B17079" i="1"/>
  <c r="B17078" i="1"/>
  <c r="B17077" i="1"/>
  <c r="B17076" i="1"/>
  <c r="B17075" i="1"/>
  <c r="B17074" i="1"/>
  <c r="B17073" i="1"/>
  <c r="B17072" i="1"/>
  <c r="B17071" i="1"/>
  <c r="B17070" i="1"/>
  <c r="B17069" i="1"/>
  <c r="B17068" i="1"/>
  <c r="B17067" i="1"/>
  <c r="B17066" i="1"/>
  <c r="B17065" i="1"/>
  <c r="B17064" i="1"/>
  <c r="B17063" i="1"/>
  <c r="B17062" i="1"/>
  <c r="B17061" i="1"/>
  <c r="B17060" i="1"/>
  <c r="B17059" i="1"/>
  <c r="B17058" i="1"/>
  <c r="B17057" i="1"/>
  <c r="B17056" i="1"/>
  <c r="B17055" i="1"/>
  <c r="B17054" i="1"/>
  <c r="B17053" i="1"/>
  <c r="B17052" i="1"/>
  <c r="B17051" i="1"/>
  <c r="B17050" i="1"/>
  <c r="B17049" i="1"/>
  <c r="B17048" i="1"/>
  <c r="B17047" i="1"/>
  <c r="B17046" i="1"/>
  <c r="B17045" i="1"/>
  <c r="B17044" i="1"/>
  <c r="B17043" i="1"/>
  <c r="B17042" i="1"/>
  <c r="B17041" i="1"/>
  <c r="B17040" i="1"/>
  <c r="B17039" i="1"/>
  <c r="B17038" i="1"/>
  <c r="B17037" i="1"/>
  <c r="B17036" i="1"/>
  <c r="B17035" i="1"/>
  <c r="B17034" i="1"/>
  <c r="B17033" i="1"/>
  <c r="B17032" i="1"/>
  <c r="B17031" i="1"/>
  <c r="B17030" i="1"/>
  <c r="B17029" i="1"/>
  <c r="B17028" i="1"/>
  <c r="B17027" i="1"/>
  <c r="B17026" i="1"/>
  <c r="B17025" i="1"/>
  <c r="B17024" i="1"/>
  <c r="B17023" i="1"/>
  <c r="B17022" i="1"/>
  <c r="B17021" i="1"/>
  <c r="B17020" i="1"/>
  <c r="B17019" i="1"/>
  <c r="B17018" i="1"/>
  <c r="B17017" i="1"/>
  <c r="B17016" i="1"/>
  <c r="B17015" i="1"/>
  <c r="B17014" i="1"/>
  <c r="B17013" i="1"/>
  <c r="B17012" i="1"/>
  <c r="B17011" i="1"/>
  <c r="B17010" i="1"/>
  <c r="B17009" i="1"/>
  <c r="B17008" i="1"/>
  <c r="B17007" i="1"/>
  <c r="B17006" i="1"/>
  <c r="B17005" i="1"/>
  <c r="B17004" i="1"/>
  <c r="B17003" i="1"/>
  <c r="B17002" i="1"/>
  <c r="B17001" i="1"/>
  <c r="B17000" i="1"/>
  <c r="B16999" i="1"/>
  <c r="B16998" i="1"/>
  <c r="B16997" i="1"/>
  <c r="B16996" i="1"/>
  <c r="B16995" i="1"/>
  <c r="B16994" i="1"/>
  <c r="B16993" i="1"/>
  <c r="B16992" i="1"/>
  <c r="B16991" i="1"/>
  <c r="B16990" i="1"/>
  <c r="B16989" i="1"/>
  <c r="B16988" i="1"/>
  <c r="B16987" i="1"/>
  <c r="B16986" i="1"/>
  <c r="B16985" i="1"/>
  <c r="B16984" i="1"/>
  <c r="B16983" i="1"/>
  <c r="B16982" i="1"/>
  <c r="B16981" i="1"/>
  <c r="B16980" i="1"/>
  <c r="B16979" i="1"/>
  <c r="B16978" i="1"/>
  <c r="B16977" i="1"/>
  <c r="B16976" i="1"/>
  <c r="B16975" i="1"/>
  <c r="B16974" i="1"/>
  <c r="B16973" i="1"/>
  <c r="B16972" i="1"/>
  <c r="B16971" i="1"/>
  <c r="B16970" i="1"/>
  <c r="B16969" i="1"/>
  <c r="B16968" i="1"/>
  <c r="B16967" i="1"/>
  <c r="B16966" i="1"/>
  <c r="B16965" i="1"/>
  <c r="B16964" i="1"/>
  <c r="B16963" i="1"/>
  <c r="B16962" i="1"/>
  <c r="B16961" i="1"/>
  <c r="B16960" i="1"/>
  <c r="B16959" i="1"/>
  <c r="B16958" i="1"/>
  <c r="B16957" i="1"/>
  <c r="B16956" i="1"/>
  <c r="B16955" i="1"/>
  <c r="B16954" i="1"/>
  <c r="B16953" i="1"/>
  <c r="B16952" i="1"/>
  <c r="B16951" i="1"/>
  <c r="B16950" i="1"/>
  <c r="B16949" i="1"/>
  <c r="B16948" i="1"/>
  <c r="B16947" i="1"/>
  <c r="B16946" i="1"/>
  <c r="B16945" i="1"/>
  <c r="B16944" i="1"/>
  <c r="B16943" i="1"/>
  <c r="B16942" i="1"/>
  <c r="B16941" i="1"/>
  <c r="B16940" i="1"/>
  <c r="B16939" i="1"/>
  <c r="B16938" i="1"/>
  <c r="B16937" i="1"/>
  <c r="B16936" i="1"/>
  <c r="B16935" i="1"/>
  <c r="B16934" i="1"/>
  <c r="B16933" i="1"/>
  <c r="B16932" i="1"/>
  <c r="B16931" i="1"/>
  <c r="B16930" i="1"/>
  <c r="B16929" i="1"/>
  <c r="B16928" i="1"/>
  <c r="B16927" i="1"/>
  <c r="B16926" i="1"/>
  <c r="B16925" i="1"/>
  <c r="B16924" i="1"/>
  <c r="B16923" i="1"/>
  <c r="B16922" i="1"/>
  <c r="B16921" i="1"/>
  <c r="B16920" i="1"/>
  <c r="B16919" i="1"/>
  <c r="B16918" i="1"/>
  <c r="B16917" i="1"/>
  <c r="B16916" i="1"/>
  <c r="B16915" i="1"/>
  <c r="B16914" i="1"/>
  <c r="B16913" i="1"/>
  <c r="B16912" i="1"/>
  <c r="B16911" i="1"/>
  <c r="B16910" i="1"/>
  <c r="B16909" i="1"/>
  <c r="B16908" i="1"/>
  <c r="B16907" i="1"/>
  <c r="B16906" i="1"/>
  <c r="B16905" i="1"/>
  <c r="B16904" i="1"/>
  <c r="B16903" i="1"/>
  <c r="B16902" i="1"/>
  <c r="B16901" i="1"/>
  <c r="B16900" i="1"/>
  <c r="B16899" i="1"/>
  <c r="B16898" i="1"/>
  <c r="B16897" i="1"/>
  <c r="B16896" i="1"/>
  <c r="B16895" i="1"/>
  <c r="B16894" i="1"/>
  <c r="B16893" i="1"/>
  <c r="B16892" i="1"/>
  <c r="B16891" i="1"/>
  <c r="B16890" i="1"/>
  <c r="B16889" i="1"/>
  <c r="B16888" i="1"/>
  <c r="B16887" i="1"/>
  <c r="B16886" i="1"/>
  <c r="B16885" i="1"/>
  <c r="B16884" i="1"/>
  <c r="B16883" i="1"/>
  <c r="B16882" i="1"/>
  <c r="B16881" i="1"/>
  <c r="B16880" i="1"/>
  <c r="B16879" i="1"/>
  <c r="B16878" i="1"/>
  <c r="B16877" i="1"/>
  <c r="B16876" i="1"/>
  <c r="B16875" i="1"/>
  <c r="B16874" i="1"/>
  <c r="B16873" i="1"/>
  <c r="B16872" i="1"/>
  <c r="B16871" i="1"/>
  <c r="B16870" i="1"/>
  <c r="B16869" i="1"/>
  <c r="B16868" i="1"/>
  <c r="B16867" i="1"/>
  <c r="B16866" i="1"/>
  <c r="B16865" i="1"/>
  <c r="B16864" i="1"/>
  <c r="B16863" i="1"/>
  <c r="B16862" i="1"/>
  <c r="B16861" i="1"/>
  <c r="B16860" i="1"/>
  <c r="B16859" i="1"/>
  <c r="B16858" i="1"/>
  <c r="B16857" i="1"/>
  <c r="B16856" i="1"/>
  <c r="B16855" i="1"/>
  <c r="B16854" i="1"/>
  <c r="B16853" i="1"/>
  <c r="B16852" i="1"/>
  <c r="B16851" i="1"/>
  <c r="B16850" i="1"/>
  <c r="B16849" i="1"/>
  <c r="B16848" i="1"/>
  <c r="B16847" i="1"/>
  <c r="B16846" i="1"/>
  <c r="B16845" i="1"/>
  <c r="B16844" i="1"/>
  <c r="B16843" i="1"/>
  <c r="B16842" i="1"/>
  <c r="B16841" i="1"/>
  <c r="B16840" i="1"/>
  <c r="B16839" i="1"/>
  <c r="B16838" i="1"/>
  <c r="B16837" i="1"/>
  <c r="B16836" i="1"/>
  <c r="B16835" i="1"/>
  <c r="B16834" i="1"/>
  <c r="B16833" i="1"/>
  <c r="B16832" i="1"/>
  <c r="B16831" i="1"/>
  <c r="B16830" i="1"/>
  <c r="B16829" i="1"/>
  <c r="B16828" i="1"/>
  <c r="B16827" i="1"/>
  <c r="B16826" i="1"/>
  <c r="B16825" i="1"/>
  <c r="B16824" i="1"/>
  <c r="B16823" i="1"/>
  <c r="B16822" i="1"/>
  <c r="B16821" i="1"/>
  <c r="B16820" i="1"/>
  <c r="B16819" i="1"/>
  <c r="B16818" i="1"/>
  <c r="B16817" i="1"/>
  <c r="B16816" i="1"/>
  <c r="B16815" i="1"/>
  <c r="B16814" i="1"/>
  <c r="B16813" i="1"/>
  <c r="B16812" i="1"/>
  <c r="B16811" i="1"/>
  <c r="B16810" i="1"/>
  <c r="B16809" i="1"/>
  <c r="B16808" i="1"/>
  <c r="B16807" i="1"/>
  <c r="B16806" i="1"/>
  <c r="B16805" i="1"/>
  <c r="B16804" i="1"/>
  <c r="B16803" i="1"/>
  <c r="B16802" i="1"/>
  <c r="B16801" i="1"/>
  <c r="B16800" i="1"/>
  <c r="B16799" i="1"/>
  <c r="B16798" i="1"/>
  <c r="B16797" i="1"/>
  <c r="B16796" i="1"/>
  <c r="B16795" i="1"/>
  <c r="B16794" i="1"/>
  <c r="B16793" i="1"/>
  <c r="B16792" i="1"/>
  <c r="B16791" i="1"/>
  <c r="B16790" i="1"/>
  <c r="B16789" i="1"/>
  <c r="B16788" i="1"/>
  <c r="B16787" i="1"/>
  <c r="B16786" i="1"/>
  <c r="B16785" i="1"/>
  <c r="B16784" i="1"/>
  <c r="B16783" i="1"/>
  <c r="B16782" i="1"/>
  <c r="B16781" i="1"/>
  <c r="B16780" i="1"/>
  <c r="B16779" i="1"/>
  <c r="B16778" i="1"/>
  <c r="B16777" i="1"/>
  <c r="B16776" i="1"/>
  <c r="B16775" i="1"/>
  <c r="B16774" i="1"/>
  <c r="B16773" i="1"/>
  <c r="B16772" i="1"/>
  <c r="B16771" i="1"/>
  <c r="B16770" i="1"/>
  <c r="B16769" i="1"/>
  <c r="B16768" i="1"/>
  <c r="B16767" i="1"/>
  <c r="B16766" i="1"/>
  <c r="B16765" i="1"/>
  <c r="B16764" i="1"/>
  <c r="B16763" i="1"/>
  <c r="B16762" i="1"/>
  <c r="B16761" i="1"/>
  <c r="B16760" i="1"/>
  <c r="B16759" i="1"/>
  <c r="B16758" i="1"/>
  <c r="B16757" i="1"/>
  <c r="B16756" i="1"/>
  <c r="B16755" i="1"/>
  <c r="B16754" i="1"/>
  <c r="B16753" i="1"/>
  <c r="B16752" i="1"/>
  <c r="B16751" i="1"/>
  <c r="B16750" i="1"/>
  <c r="B16749" i="1"/>
  <c r="B16748" i="1"/>
  <c r="B16747" i="1"/>
  <c r="B16746" i="1"/>
  <c r="B16745" i="1"/>
  <c r="B16744" i="1"/>
  <c r="B16743" i="1"/>
  <c r="B16742" i="1"/>
  <c r="B16741" i="1"/>
  <c r="B16740" i="1"/>
  <c r="B16739" i="1"/>
  <c r="B16738" i="1"/>
  <c r="B16737" i="1"/>
  <c r="B16736" i="1"/>
  <c r="B16735" i="1"/>
  <c r="B16734" i="1"/>
  <c r="B16733" i="1"/>
  <c r="B16732" i="1"/>
  <c r="B16731" i="1"/>
  <c r="B16730" i="1"/>
  <c r="B16729" i="1"/>
  <c r="B16728" i="1"/>
  <c r="B16727" i="1"/>
  <c r="B16726" i="1"/>
  <c r="B16725" i="1"/>
  <c r="B16724" i="1"/>
  <c r="B16723" i="1"/>
  <c r="B16722" i="1"/>
  <c r="B16721" i="1"/>
  <c r="B16720" i="1"/>
  <c r="B16719" i="1"/>
  <c r="B16718" i="1"/>
  <c r="B16717" i="1"/>
  <c r="B16716" i="1"/>
  <c r="B16715" i="1"/>
  <c r="B16714" i="1"/>
  <c r="B16713" i="1"/>
  <c r="B16712" i="1"/>
  <c r="B16711" i="1"/>
  <c r="B16710" i="1"/>
  <c r="B16709" i="1"/>
  <c r="B16708" i="1"/>
  <c r="B16707" i="1"/>
  <c r="B16706" i="1"/>
  <c r="B16705" i="1"/>
  <c r="B16704" i="1"/>
  <c r="B16703" i="1"/>
  <c r="B16702" i="1"/>
  <c r="B16701" i="1"/>
  <c r="B16700" i="1"/>
  <c r="B16699" i="1"/>
  <c r="B16698" i="1"/>
  <c r="B16697" i="1"/>
  <c r="B16696" i="1"/>
  <c r="B16695" i="1"/>
  <c r="B16694" i="1"/>
  <c r="B16693" i="1"/>
  <c r="B16692" i="1"/>
  <c r="B16691" i="1"/>
  <c r="B16690" i="1"/>
  <c r="B16689" i="1"/>
  <c r="B16688" i="1"/>
  <c r="B16687" i="1"/>
  <c r="B16686" i="1"/>
  <c r="B16685" i="1"/>
  <c r="B16684" i="1"/>
  <c r="B16683" i="1"/>
  <c r="B16682" i="1"/>
  <c r="B16681" i="1"/>
  <c r="B16680" i="1"/>
  <c r="B16679" i="1"/>
  <c r="B16678" i="1"/>
  <c r="B16677" i="1"/>
  <c r="B16676" i="1"/>
  <c r="B16675" i="1"/>
  <c r="B16674" i="1"/>
  <c r="B16673" i="1"/>
  <c r="B16672" i="1"/>
  <c r="B16671" i="1"/>
  <c r="B16670" i="1"/>
  <c r="B16669" i="1"/>
  <c r="B16668" i="1"/>
  <c r="B16667" i="1"/>
  <c r="B16666" i="1"/>
  <c r="B16665" i="1"/>
  <c r="B16664" i="1"/>
  <c r="B16663" i="1"/>
  <c r="B16662" i="1"/>
  <c r="B16661" i="1"/>
  <c r="B16660" i="1"/>
  <c r="B16659" i="1"/>
  <c r="B16658" i="1"/>
  <c r="B16657" i="1"/>
  <c r="B16656" i="1"/>
  <c r="B16655" i="1"/>
  <c r="B16654" i="1"/>
  <c r="B16653" i="1"/>
  <c r="B16652" i="1"/>
  <c r="B16651" i="1"/>
  <c r="B16650" i="1"/>
  <c r="B16649" i="1"/>
  <c r="B16648" i="1"/>
  <c r="B16647" i="1"/>
  <c r="B16646" i="1"/>
  <c r="B16645" i="1"/>
  <c r="B16644" i="1"/>
  <c r="B16643" i="1"/>
  <c r="B16642" i="1"/>
  <c r="B16641" i="1"/>
  <c r="B16640" i="1"/>
  <c r="B16639" i="1"/>
  <c r="B16638" i="1"/>
  <c r="B16637" i="1"/>
  <c r="B16636" i="1"/>
  <c r="B16635" i="1"/>
  <c r="B16634" i="1"/>
  <c r="B16633" i="1"/>
  <c r="B16632" i="1"/>
  <c r="B16631" i="1"/>
  <c r="B16630" i="1"/>
  <c r="B16629" i="1"/>
  <c r="B16628" i="1"/>
  <c r="B16627" i="1"/>
  <c r="B16626" i="1"/>
  <c r="B16625" i="1"/>
  <c r="B16624" i="1"/>
  <c r="B16623" i="1"/>
  <c r="B16622" i="1"/>
  <c r="B16621" i="1"/>
  <c r="B16620" i="1"/>
  <c r="B16619" i="1"/>
  <c r="B16618" i="1"/>
  <c r="B16617" i="1"/>
  <c r="B16616" i="1"/>
  <c r="B16615" i="1"/>
  <c r="B16614" i="1"/>
  <c r="B16613" i="1"/>
  <c r="B16612" i="1"/>
  <c r="B16611" i="1"/>
  <c r="B16610" i="1"/>
  <c r="B16609" i="1"/>
  <c r="B16608" i="1"/>
  <c r="B16607" i="1"/>
  <c r="B16606" i="1"/>
  <c r="B16605" i="1"/>
  <c r="B16604" i="1"/>
  <c r="B16603" i="1"/>
  <c r="B16602" i="1"/>
  <c r="B16601" i="1"/>
  <c r="B16600" i="1"/>
  <c r="B16599" i="1"/>
  <c r="B16598" i="1"/>
  <c r="B16597" i="1"/>
  <c r="B16596" i="1"/>
  <c r="B16595" i="1"/>
  <c r="B16594" i="1"/>
  <c r="B16593" i="1"/>
  <c r="B16592" i="1"/>
  <c r="B16591" i="1"/>
  <c r="B16590" i="1"/>
  <c r="B16589" i="1"/>
  <c r="B16588" i="1"/>
  <c r="B16587" i="1"/>
  <c r="B16586" i="1"/>
  <c r="B16585" i="1"/>
  <c r="B16584" i="1"/>
  <c r="B16583" i="1"/>
  <c r="B16582" i="1"/>
  <c r="B16581" i="1"/>
  <c r="B16580" i="1"/>
  <c r="B16579" i="1"/>
  <c r="B16578" i="1"/>
  <c r="B16577" i="1"/>
  <c r="B16576" i="1"/>
  <c r="B16575" i="1"/>
  <c r="B16574" i="1"/>
  <c r="B16573" i="1"/>
  <c r="B16572" i="1"/>
  <c r="B16571" i="1"/>
  <c r="B16570" i="1"/>
  <c r="B16569" i="1"/>
  <c r="B16568" i="1"/>
  <c r="B16567" i="1"/>
  <c r="B16566" i="1"/>
  <c r="B16565" i="1"/>
  <c r="B16564" i="1"/>
  <c r="B16563" i="1"/>
  <c r="B16562" i="1"/>
  <c r="B16561" i="1"/>
  <c r="B16560" i="1"/>
  <c r="B16559" i="1"/>
  <c r="B16558" i="1"/>
  <c r="B16557" i="1"/>
  <c r="B16556" i="1"/>
  <c r="B16555" i="1"/>
  <c r="B16554" i="1"/>
  <c r="B16553" i="1"/>
  <c r="B16552" i="1"/>
  <c r="B16551" i="1"/>
  <c r="B16550" i="1"/>
  <c r="B16549" i="1"/>
  <c r="B16548" i="1"/>
  <c r="B16547" i="1"/>
  <c r="B16546" i="1"/>
  <c r="B16545" i="1"/>
  <c r="B16544" i="1"/>
  <c r="B16543" i="1"/>
  <c r="B16542" i="1"/>
  <c r="B16541" i="1"/>
  <c r="B16540" i="1"/>
  <c r="B16539" i="1"/>
  <c r="B16538" i="1"/>
  <c r="B16537" i="1"/>
  <c r="B16536" i="1"/>
  <c r="B16535" i="1"/>
  <c r="B16534" i="1"/>
  <c r="B16533" i="1"/>
  <c r="B16532" i="1"/>
  <c r="B16531" i="1"/>
  <c r="B16530" i="1"/>
  <c r="B16529" i="1"/>
  <c r="B16528" i="1"/>
  <c r="B16527" i="1"/>
  <c r="B16526" i="1"/>
  <c r="B16525" i="1"/>
  <c r="B16524" i="1"/>
  <c r="B16523" i="1"/>
  <c r="B16522" i="1"/>
  <c r="B16521" i="1"/>
  <c r="B16520" i="1"/>
  <c r="B16519" i="1"/>
  <c r="B16518" i="1"/>
  <c r="B16517" i="1"/>
  <c r="B16516" i="1"/>
  <c r="B16515" i="1"/>
  <c r="B16514" i="1"/>
  <c r="B16513" i="1"/>
  <c r="B16512" i="1"/>
  <c r="B16511" i="1"/>
  <c r="B16510" i="1"/>
  <c r="B16509" i="1"/>
  <c r="B16508" i="1"/>
  <c r="B16507" i="1"/>
  <c r="B16506" i="1"/>
  <c r="B16505" i="1"/>
  <c r="B16504" i="1"/>
  <c r="B16503" i="1"/>
  <c r="B16502" i="1"/>
  <c r="B16501" i="1"/>
  <c r="B16500" i="1"/>
  <c r="B16499" i="1"/>
  <c r="B16498" i="1"/>
  <c r="B16497" i="1"/>
  <c r="B16496" i="1"/>
  <c r="B16495" i="1"/>
  <c r="B16494" i="1"/>
  <c r="B16493" i="1"/>
  <c r="B16492" i="1"/>
  <c r="B16491" i="1"/>
  <c r="B16490" i="1"/>
  <c r="B16489" i="1"/>
  <c r="B16488" i="1"/>
  <c r="B16487" i="1"/>
  <c r="B16486" i="1"/>
  <c r="B16485" i="1"/>
  <c r="B16484" i="1"/>
  <c r="B16483" i="1"/>
  <c r="B16482" i="1"/>
  <c r="B16481" i="1"/>
  <c r="B16480" i="1"/>
  <c r="B16479" i="1"/>
  <c r="B16478" i="1"/>
  <c r="B16477" i="1"/>
  <c r="B16476" i="1"/>
  <c r="B16475" i="1"/>
  <c r="B16474" i="1"/>
  <c r="B16473" i="1"/>
  <c r="B16472" i="1"/>
  <c r="B16471" i="1"/>
  <c r="B16470" i="1"/>
  <c r="B16469" i="1"/>
  <c r="B16468" i="1"/>
  <c r="B16467" i="1"/>
  <c r="B16466" i="1"/>
  <c r="B16465" i="1"/>
  <c r="B16464" i="1"/>
  <c r="B16463" i="1"/>
  <c r="B16462" i="1"/>
  <c r="B16461" i="1"/>
  <c r="B16460" i="1"/>
  <c r="B16459" i="1"/>
  <c r="B16458" i="1"/>
  <c r="B16457" i="1"/>
  <c r="B16456" i="1"/>
  <c r="B16455" i="1"/>
  <c r="B16454" i="1"/>
  <c r="B16453" i="1"/>
  <c r="B16452" i="1"/>
  <c r="B16451" i="1"/>
  <c r="B16450" i="1"/>
  <c r="B16449" i="1"/>
  <c r="B16448" i="1"/>
  <c r="B16447" i="1"/>
  <c r="B16446" i="1"/>
  <c r="B16445" i="1"/>
  <c r="B16444" i="1"/>
  <c r="B16443" i="1"/>
  <c r="B16442" i="1"/>
  <c r="B16441" i="1"/>
  <c r="B16440" i="1"/>
  <c r="B16439" i="1"/>
  <c r="B16438" i="1"/>
  <c r="B16437" i="1"/>
  <c r="B16436" i="1"/>
  <c r="B16435" i="1"/>
  <c r="B16434" i="1"/>
  <c r="B16433" i="1"/>
  <c r="B16432" i="1"/>
  <c r="B16431" i="1"/>
  <c r="B16430" i="1"/>
  <c r="B16429" i="1"/>
  <c r="B16428" i="1"/>
  <c r="B16427" i="1"/>
  <c r="B16426" i="1"/>
  <c r="B16425" i="1"/>
  <c r="B16424" i="1"/>
  <c r="B16423" i="1"/>
  <c r="B16422" i="1"/>
  <c r="B16421" i="1"/>
  <c r="B16420" i="1"/>
  <c r="B16419" i="1"/>
  <c r="B16418" i="1"/>
  <c r="B16417" i="1"/>
  <c r="B16416" i="1"/>
  <c r="B16415" i="1"/>
  <c r="B16414" i="1"/>
  <c r="B16413" i="1"/>
  <c r="B16412" i="1"/>
  <c r="B16411" i="1"/>
  <c r="B16410" i="1"/>
  <c r="B16409" i="1"/>
  <c r="B16408" i="1"/>
  <c r="B16407" i="1"/>
  <c r="B16406" i="1"/>
  <c r="B16405" i="1"/>
  <c r="B16404" i="1"/>
  <c r="B16403" i="1"/>
  <c r="B16402" i="1"/>
  <c r="B16401" i="1"/>
  <c r="B16400" i="1"/>
  <c r="B16399" i="1"/>
  <c r="B16398" i="1"/>
  <c r="B16397" i="1"/>
  <c r="B16396" i="1"/>
  <c r="B16395" i="1"/>
  <c r="B16394" i="1"/>
  <c r="B16393" i="1"/>
  <c r="B16392" i="1"/>
  <c r="B16391" i="1"/>
  <c r="B16390" i="1"/>
  <c r="B16389" i="1"/>
  <c r="B16388" i="1"/>
  <c r="B16387" i="1"/>
  <c r="B16386" i="1"/>
  <c r="B16385" i="1"/>
  <c r="B16384" i="1"/>
  <c r="B16383" i="1"/>
  <c r="B16382" i="1"/>
  <c r="B16381" i="1"/>
  <c r="B16380" i="1"/>
  <c r="B16379" i="1"/>
  <c r="B16378" i="1"/>
  <c r="B16377" i="1"/>
  <c r="B16376" i="1"/>
  <c r="B16375" i="1"/>
  <c r="B16374" i="1"/>
  <c r="B16373" i="1"/>
  <c r="B16372" i="1"/>
  <c r="B16371" i="1"/>
  <c r="B16370" i="1"/>
  <c r="B16369" i="1"/>
  <c r="B16368" i="1"/>
  <c r="B16367" i="1"/>
  <c r="B16366" i="1"/>
  <c r="B16365" i="1"/>
  <c r="B16364" i="1"/>
  <c r="B16363" i="1"/>
  <c r="B16362" i="1"/>
  <c r="B16361" i="1"/>
  <c r="B16360" i="1"/>
  <c r="B16359" i="1"/>
  <c r="B16358" i="1"/>
  <c r="B16357" i="1"/>
  <c r="B16356" i="1"/>
  <c r="B16355" i="1"/>
  <c r="B16354" i="1"/>
  <c r="B16353" i="1"/>
  <c r="B16352" i="1"/>
  <c r="B16351" i="1"/>
  <c r="B16350" i="1"/>
  <c r="B16349" i="1"/>
  <c r="B16348" i="1"/>
  <c r="B16347" i="1"/>
  <c r="B16346" i="1"/>
  <c r="B16345" i="1"/>
  <c r="B16344" i="1"/>
  <c r="B16343" i="1"/>
  <c r="B16342" i="1"/>
  <c r="B16341" i="1"/>
  <c r="B16340" i="1"/>
  <c r="B16339" i="1"/>
  <c r="B16338" i="1"/>
  <c r="B16337" i="1"/>
  <c r="B16336" i="1"/>
  <c r="B16335" i="1"/>
  <c r="B16334" i="1"/>
  <c r="B16333" i="1"/>
  <c r="B16332" i="1"/>
  <c r="B16331" i="1"/>
  <c r="B16330" i="1"/>
  <c r="B16329" i="1"/>
  <c r="B16328" i="1"/>
  <c r="B16327" i="1"/>
  <c r="B16326" i="1"/>
  <c r="B16325" i="1"/>
  <c r="B16324" i="1"/>
  <c r="B16323" i="1"/>
  <c r="B16322" i="1"/>
  <c r="B16321" i="1"/>
  <c r="B16320" i="1"/>
  <c r="B16319" i="1"/>
  <c r="B16318" i="1"/>
  <c r="B16317" i="1"/>
  <c r="B16316" i="1"/>
  <c r="B16315" i="1"/>
  <c r="B16314" i="1"/>
  <c r="B16313" i="1"/>
  <c r="B16312" i="1"/>
  <c r="B16311" i="1"/>
  <c r="B16310" i="1"/>
  <c r="B16309" i="1"/>
  <c r="B16308" i="1"/>
  <c r="B16307" i="1"/>
  <c r="B16306" i="1"/>
  <c r="B16305" i="1"/>
  <c r="B16304" i="1"/>
  <c r="B16303" i="1"/>
  <c r="B16302" i="1"/>
  <c r="B16301" i="1"/>
  <c r="B16300" i="1"/>
  <c r="B16299" i="1"/>
  <c r="B16298" i="1"/>
  <c r="B16297" i="1"/>
  <c r="B16296" i="1"/>
  <c r="B16295" i="1"/>
  <c r="B16294" i="1"/>
  <c r="B16293" i="1"/>
  <c r="B16292" i="1"/>
  <c r="B16291" i="1"/>
  <c r="B16290" i="1"/>
  <c r="B16289" i="1"/>
  <c r="B16288" i="1"/>
  <c r="B16287" i="1"/>
  <c r="B16286" i="1"/>
  <c r="B16285" i="1"/>
  <c r="B16284" i="1"/>
  <c r="B16283" i="1"/>
  <c r="B16282" i="1"/>
  <c r="B16281" i="1"/>
  <c r="B16280" i="1"/>
  <c r="B16279" i="1"/>
  <c r="B16278" i="1"/>
  <c r="B16277" i="1"/>
  <c r="B16276" i="1"/>
  <c r="B16275" i="1"/>
  <c r="B16274" i="1"/>
  <c r="B16273" i="1"/>
  <c r="B16272" i="1"/>
  <c r="B16271" i="1"/>
  <c r="B16270" i="1"/>
  <c r="B16269" i="1"/>
  <c r="B16268" i="1"/>
  <c r="B16267" i="1"/>
  <c r="B16266" i="1"/>
  <c r="B16265" i="1"/>
  <c r="B16264" i="1"/>
  <c r="B16263" i="1"/>
  <c r="B16262" i="1"/>
  <c r="B16261" i="1"/>
  <c r="B16260" i="1"/>
  <c r="B16259" i="1"/>
  <c r="B16258" i="1"/>
  <c r="B16257" i="1"/>
  <c r="B16256" i="1"/>
  <c r="B16255" i="1"/>
  <c r="B16254" i="1"/>
  <c r="B16253" i="1"/>
  <c r="B16252" i="1"/>
  <c r="B16251" i="1"/>
  <c r="B16250" i="1"/>
  <c r="B16249" i="1"/>
  <c r="B16248" i="1"/>
  <c r="B16247" i="1"/>
  <c r="B16246" i="1"/>
  <c r="B16245" i="1"/>
  <c r="B16244" i="1"/>
  <c r="B16243" i="1"/>
  <c r="B16242" i="1"/>
  <c r="B16241" i="1"/>
  <c r="B16240" i="1"/>
  <c r="B16239" i="1"/>
  <c r="B16238" i="1"/>
  <c r="B16237" i="1"/>
  <c r="B16236" i="1"/>
  <c r="B16235" i="1"/>
  <c r="B16234" i="1"/>
  <c r="B16233" i="1"/>
  <c r="B16232" i="1"/>
  <c r="B16231" i="1"/>
  <c r="B16230" i="1"/>
  <c r="B16229" i="1"/>
  <c r="B16228" i="1"/>
  <c r="B16227" i="1"/>
  <c r="B16226" i="1"/>
  <c r="B16225" i="1"/>
  <c r="B16224" i="1"/>
  <c r="B16223" i="1"/>
  <c r="B16222" i="1"/>
  <c r="B16221" i="1"/>
  <c r="B16220" i="1"/>
  <c r="B16219" i="1"/>
  <c r="B16218" i="1"/>
  <c r="B16217" i="1"/>
  <c r="B16216" i="1"/>
  <c r="B16215" i="1"/>
  <c r="B16214" i="1"/>
  <c r="B16213" i="1"/>
  <c r="B16212" i="1"/>
  <c r="B16211" i="1"/>
  <c r="B16210" i="1"/>
  <c r="B16209" i="1"/>
  <c r="B16208" i="1"/>
  <c r="B16207" i="1"/>
  <c r="B16206" i="1"/>
  <c r="B16205" i="1"/>
  <c r="B16204" i="1"/>
  <c r="B16203" i="1"/>
  <c r="B16202" i="1"/>
  <c r="B16201" i="1"/>
  <c r="B16200" i="1"/>
  <c r="B16199" i="1"/>
  <c r="B16198" i="1"/>
  <c r="B16197" i="1"/>
  <c r="B16196" i="1"/>
  <c r="B16195" i="1"/>
  <c r="B16194" i="1"/>
  <c r="B16193" i="1"/>
  <c r="B16192" i="1"/>
  <c r="B16191" i="1"/>
  <c r="B16190" i="1"/>
  <c r="B16189" i="1"/>
  <c r="B16188" i="1"/>
  <c r="B16187" i="1"/>
  <c r="B16186" i="1"/>
  <c r="B16185" i="1"/>
  <c r="B16184" i="1"/>
  <c r="B16183" i="1"/>
  <c r="B16182" i="1"/>
  <c r="B16181" i="1"/>
  <c r="B16180" i="1"/>
  <c r="B16179" i="1"/>
  <c r="B16178" i="1"/>
  <c r="B16177" i="1"/>
  <c r="B16176" i="1"/>
  <c r="B16175" i="1"/>
  <c r="B16174" i="1"/>
  <c r="B16173" i="1"/>
  <c r="B16172" i="1"/>
  <c r="B16171" i="1"/>
  <c r="B16170" i="1"/>
  <c r="B16169" i="1"/>
  <c r="B16168" i="1"/>
  <c r="B16167" i="1"/>
  <c r="B16166" i="1"/>
  <c r="B16165" i="1"/>
  <c r="B16164" i="1"/>
  <c r="B16163" i="1"/>
  <c r="B16162" i="1"/>
  <c r="B16161" i="1"/>
  <c r="B16160" i="1"/>
  <c r="B16159" i="1"/>
  <c r="B16158" i="1"/>
  <c r="B16157" i="1"/>
  <c r="B16156" i="1"/>
  <c r="B16155" i="1"/>
  <c r="B16154" i="1"/>
  <c r="B16153" i="1"/>
  <c r="B16152" i="1"/>
  <c r="B16151" i="1"/>
  <c r="B16150" i="1"/>
  <c r="B16149" i="1"/>
  <c r="B16148" i="1"/>
  <c r="B16147" i="1"/>
  <c r="B16146" i="1"/>
  <c r="B16145" i="1"/>
  <c r="B16144" i="1"/>
  <c r="B16143" i="1"/>
  <c r="B16142" i="1"/>
  <c r="B16141" i="1"/>
  <c r="B16140" i="1"/>
  <c r="B16139" i="1"/>
  <c r="B16138" i="1"/>
  <c r="B16137" i="1"/>
  <c r="B16136" i="1"/>
  <c r="B16135" i="1"/>
  <c r="B16134" i="1"/>
  <c r="B16133" i="1"/>
  <c r="B16132" i="1"/>
  <c r="B16131" i="1"/>
  <c r="B16130" i="1"/>
  <c r="B16129" i="1"/>
  <c r="B16128" i="1"/>
  <c r="B16127" i="1"/>
  <c r="B16126" i="1"/>
  <c r="B16125" i="1"/>
  <c r="B16124" i="1"/>
  <c r="B16123" i="1"/>
  <c r="B16122" i="1"/>
  <c r="B16121" i="1"/>
  <c r="B16120" i="1"/>
  <c r="B16119" i="1"/>
  <c r="B16118" i="1"/>
  <c r="B16117" i="1"/>
  <c r="B16116" i="1"/>
  <c r="B16115" i="1"/>
  <c r="B16114" i="1"/>
  <c r="B16113" i="1"/>
  <c r="B16112" i="1"/>
  <c r="B16111" i="1"/>
  <c r="B16110" i="1"/>
  <c r="B16109" i="1"/>
  <c r="B16108" i="1"/>
  <c r="B16107" i="1"/>
  <c r="B16106" i="1"/>
  <c r="B16105" i="1"/>
  <c r="B16104" i="1"/>
  <c r="B16103" i="1"/>
  <c r="B16102" i="1"/>
  <c r="B16101" i="1"/>
  <c r="B16100" i="1"/>
  <c r="B16099" i="1"/>
  <c r="B16098" i="1"/>
  <c r="B16097" i="1"/>
  <c r="B16096" i="1"/>
  <c r="B16095" i="1"/>
  <c r="B16094" i="1"/>
  <c r="B16093" i="1"/>
  <c r="B16092" i="1"/>
  <c r="B16091" i="1"/>
  <c r="B16090" i="1"/>
  <c r="B16089" i="1"/>
  <c r="B16088" i="1"/>
  <c r="B16087" i="1"/>
  <c r="B16086" i="1"/>
  <c r="B16085" i="1"/>
  <c r="B16084" i="1"/>
  <c r="B16083" i="1"/>
  <c r="B16082" i="1"/>
  <c r="B16081" i="1"/>
  <c r="B16080" i="1"/>
  <c r="B16079" i="1"/>
  <c r="B16078" i="1"/>
  <c r="B16077" i="1"/>
  <c r="B16076" i="1"/>
  <c r="B16075" i="1"/>
  <c r="B16074" i="1"/>
  <c r="B16073" i="1"/>
  <c r="B16072" i="1"/>
  <c r="B16071" i="1"/>
  <c r="B16070" i="1"/>
  <c r="B16069" i="1"/>
  <c r="B16068" i="1"/>
  <c r="B16067" i="1"/>
  <c r="B16066" i="1"/>
  <c r="B16065" i="1"/>
  <c r="B16064" i="1"/>
  <c r="B16063" i="1"/>
  <c r="B16062" i="1"/>
  <c r="B16061" i="1"/>
  <c r="B16060" i="1"/>
  <c r="B16059" i="1"/>
  <c r="B16058" i="1"/>
  <c r="B16057" i="1"/>
  <c r="B16056" i="1"/>
  <c r="B16055" i="1"/>
  <c r="B16054" i="1"/>
  <c r="B16053" i="1"/>
  <c r="B16052" i="1"/>
  <c r="B16051" i="1"/>
  <c r="B16050" i="1"/>
  <c r="B16049" i="1"/>
  <c r="B16048" i="1"/>
  <c r="B16047" i="1"/>
  <c r="B16046" i="1"/>
  <c r="B16045" i="1"/>
  <c r="B16044" i="1"/>
  <c r="B16043" i="1"/>
  <c r="B16042" i="1"/>
  <c r="B16041" i="1"/>
  <c r="B16040" i="1"/>
  <c r="B16039" i="1"/>
  <c r="B16038" i="1"/>
  <c r="B16037" i="1"/>
  <c r="B16036" i="1"/>
  <c r="B16035" i="1"/>
  <c r="B16034" i="1"/>
  <c r="B16033" i="1"/>
  <c r="B16032" i="1"/>
  <c r="B16031" i="1"/>
  <c r="B16030" i="1"/>
  <c r="B16029" i="1"/>
  <c r="B16028" i="1"/>
  <c r="B16027" i="1"/>
  <c r="B16026" i="1"/>
  <c r="B16025" i="1"/>
  <c r="B16024" i="1"/>
  <c r="B16023" i="1"/>
  <c r="B16022" i="1"/>
  <c r="B16021" i="1"/>
  <c r="B16020" i="1"/>
  <c r="B16019" i="1"/>
  <c r="B16018" i="1"/>
  <c r="B16017" i="1"/>
  <c r="B16016" i="1"/>
  <c r="B16015" i="1"/>
  <c r="B16014" i="1"/>
  <c r="B16013" i="1"/>
  <c r="B16012" i="1"/>
  <c r="B16011" i="1"/>
  <c r="B16010" i="1"/>
  <c r="B16009" i="1"/>
  <c r="B16008" i="1"/>
  <c r="B16007" i="1"/>
  <c r="B16006" i="1"/>
  <c r="B16005" i="1"/>
  <c r="B16004" i="1"/>
  <c r="B16003" i="1"/>
  <c r="B16002" i="1"/>
  <c r="B16001" i="1"/>
  <c r="B16000" i="1"/>
  <c r="B15999" i="1"/>
  <c r="B15998" i="1"/>
  <c r="B15997" i="1"/>
  <c r="B15996" i="1"/>
  <c r="B15995" i="1"/>
  <c r="B15994" i="1"/>
  <c r="B15993" i="1"/>
  <c r="B15992" i="1"/>
  <c r="B15991" i="1"/>
  <c r="B15990" i="1"/>
  <c r="B15989" i="1"/>
  <c r="B15988" i="1"/>
  <c r="B15987" i="1"/>
  <c r="B15986" i="1"/>
  <c r="B15985" i="1"/>
  <c r="B15984" i="1"/>
  <c r="B15983" i="1"/>
  <c r="B15982" i="1"/>
  <c r="B15981" i="1"/>
  <c r="B15980" i="1"/>
  <c r="B15979" i="1"/>
  <c r="B15978" i="1"/>
  <c r="B15977" i="1"/>
  <c r="B15976" i="1"/>
  <c r="B15975" i="1"/>
  <c r="B15974" i="1"/>
  <c r="B15973" i="1"/>
  <c r="B15972" i="1"/>
  <c r="B15971" i="1"/>
  <c r="B15970" i="1"/>
  <c r="B15969" i="1"/>
  <c r="B15968" i="1"/>
  <c r="B15967" i="1"/>
  <c r="B15966" i="1"/>
  <c r="B15965" i="1"/>
  <c r="B15964" i="1"/>
  <c r="B15963" i="1"/>
  <c r="B15962" i="1"/>
  <c r="B15961" i="1"/>
  <c r="B15960" i="1"/>
  <c r="B15959" i="1"/>
  <c r="B15958" i="1"/>
  <c r="B15957" i="1"/>
  <c r="B15956" i="1"/>
  <c r="B15955" i="1"/>
  <c r="B15954" i="1"/>
  <c r="B15953" i="1"/>
  <c r="B15952" i="1"/>
  <c r="B15951" i="1"/>
  <c r="B15950" i="1"/>
  <c r="B15949" i="1"/>
  <c r="B15948" i="1"/>
  <c r="B15947" i="1"/>
  <c r="B15946" i="1"/>
  <c r="B15945" i="1"/>
  <c r="B15944" i="1"/>
  <c r="B15943" i="1"/>
  <c r="B15942" i="1"/>
  <c r="B15941" i="1"/>
  <c r="B15940" i="1"/>
  <c r="B15939" i="1"/>
  <c r="B15938" i="1"/>
  <c r="B15937" i="1"/>
  <c r="B15936" i="1"/>
  <c r="B15935" i="1"/>
  <c r="B15934" i="1"/>
  <c r="B15933" i="1"/>
  <c r="B15932" i="1"/>
  <c r="B15931" i="1"/>
  <c r="B15930" i="1"/>
  <c r="B15929" i="1"/>
  <c r="B15928" i="1"/>
  <c r="B15927" i="1"/>
  <c r="B15926" i="1"/>
  <c r="B15925" i="1"/>
  <c r="B15924" i="1"/>
  <c r="B15923" i="1"/>
  <c r="B15922" i="1"/>
  <c r="B15921" i="1"/>
  <c r="B15920" i="1"/>
  <c r="B15919" i="1"/>
  <c r="B15918" i="1"/>
  <c r="B15917" i="1"/>
  <c r="B15916" i="1"/>
  <c r="B15915" i="1"/>
  <c r="B15914" i="1"/>
  <c r="B15913" i="1"/>
  <c r="B15912" i="1"/>
  <c r="B15911" i="1"/>
  <c r="B15910" i="1"/>
  <c r="B15909" i="1"/>
  <c r="B15908" i="1"/>
  <c r="B15907" i="1"/>
  <c r="B15906" i="1"/>
  <c r="B15905" i="1"/>
  <c r="B15904" i="1"/>
  <c r="B15903" i="1"/>
  <c r="B15902" i="1"/>
  <c r="B15901" i="1"/>
  <c r="B15900" i="1"/>
  <c r="B15899" i="1"/>
  <c r="B15898" i="1"/>
  <c r="B15897" i="1"/>
  <c r="B15896" i="1"/>
  <c r="B15895" i="1"/>
  <c r="B15894" i="1"/>
  <c r="B15893" i="1"/>
  <c r="B15892" i="1"/>
  <c r="B15891" i="1"/>
  <c r="B15890" i="1"/>
  <c r="B15889" i="1"/>
  <c r="B15888" i="1"/>
  <c r="B15887" i="1"/>
  <c r="B15886" i="1"/>
  <c r="B15885" i="1"/>
  <c r="B15884" i="1"/>
  <c r="B15883" i="1"/>
  <c r="B15882" i="1"/>
  <c r="B15881" i="1"/>
  <c r="B15880" i="1"/>
  <c r="B15879" i="1"/>
  <c r="B15878" i="1"/>
  <c r="B15877" i="1"/>
  <c r="B15876" i="1"/>
  <c r="B15875" i="1"/>
  <c r="B15874" i="1"/>
  <c r="B15873" i="1"/>
  <c r="B15872" i="1"/>
  <c r="B15871" i="1"/>
  <c r="B15870" i="1"/>
  <c r="B15869" i="1"/>
  <c r="B15868" i="1"/>
  <c r="B15867" i="1"/>
  <c r="B15866" i="1"/>
  <c r="B15865" i="1"/>
  <c r="B15864" i="1"/>
  <c r="B15863" i="1"/>
  <c r="B15862" i="1"/>
  <c r="B15861" i="1"/>
  <c r="B15860" i="1"/>
  <c r="B15859" i="1"/>
  <c r="B15858" i="1"/>
  <c r="B15857" i="1"/>
  <c r="B15856" i="1"/>
  <c r="B15855" i="1"/>
  <c r="B15854" i="1"/>
  <c r="B15853" i="1"/>
  <c r="B15852" i="1"/>
  <c r="B15851" i="1"/>
  <c r="B15850" i="1"/>
  <c r="B15849" i="1"/>
  <c r="B15848" i="1"/>
  <c r="B15847" i="1"/>
  <c r="B15846" i="1"/>
  <c r="B15845" i="1"/>
  <c r="B15844" i="1"/>
  <c r="B15843" i="1"/>
  <c r="B15842" i="1"/>
  <c r="B15841" i="1"/>
  <c r="B15840" i="1"/>
  <c r="B15839" i="1"/>
  <c r="B15838" i="1"/>
  <c r="B15837" i="1"/>
  <c r="B15836" i="1"/>
  <c r="B15835" i="1"/>
  <c r="B15834" i="1"/>
  <c r="B15833" i="1"/>
  <c r="B15832" i="1"/>
  <c r="B15831" i="1"/>
  <c r="B15830" i="1"/>
  <c r="B15829" i="1"/>
  <c r="B15828" i="1"/>
  <c r="B15827" i="1"/>
  <c r="B15826" i="1"/>
  <c r="B15825" i="1"/>
  <c r="B15824" i="1"/>
  <c r="B15823" i="1"/>
  <c r="B15822" i="1"/>
  <c r="B15821" i="1"/>
  <c r="B15820" i="1"/>
  <c r="B15819" i="1"/>
  <c r="B15818" i="1"/>
  <c r="B15817" i="1"/>
  <c r="B15816" i="1"/>
  <c r="B15815" i="1"/>
  <c r="B15814" i="1"/>
  <c r="B15813" i="1"/>
  <c r="B15812" i="1"/>
  <c r="B15811" i="1"/>
  <c r="B15810" i="1"/>
  <c r="B15809" i="1"/>
  <c r="B15808" i="1"/>
  <c r="B15807" i="1"/>
  <c r="B15806" i="1"/>
  <c r="B15805" i="1"/>
  <c r="B15804" i="1"/>
  <c r="B15803" i="1"/>
  <c r="B15802" i="1"/>
  <c r="B15801" i="1"/>
  <c r="B15800" i="1"/>
  <c r="B15799" i="1"/>
  <c r="B15798" i="1"/>
  <c r="B15797" i="1"/>
  <c r="B15796" i="1"/>
  <c r="B15795" i="1"/>
  <c r="B15794" i="1"/>
  <c r="B15793" i="1"/>
  <c r="B15792" i="1"/>
  <c r="B15791" i="1"/>
  <c r="B15790" i="1"/>
  <c r="B15789" i="1"/>
  <c r="B15788" i="1"/>
  <c r="B15787" i="1"/>
  <c r="B15786" i="1"/>
  <c r="B15785" i="1"/>
  <c r="B15784" i="1"/>
  <c r="B15783" i="1"/>
  <c r="B15782" i="1"/>
  <c r="B15781" i="1"/>
  <c r="B15780" i="1"/>
  <c r="B15779" i="1"/>
  <c r="B15778" i="1"/>
  <c r="B15777" i="1"/>
  <c r="B15776" i="1"/>
  <c r="B15775" i="1"/>
  <c r="B15774" i="1"/>
  <c r="B15773" i="1"/>
  <c r="B15772" i="1"/>
  <c r="B15771" i="1"/>
  <c r="B15770" i="1"/>
  <c r="B15769" i="1"/>
  <c r="B15768" i="1"/>
  <c r="B15767" i="1"/>
  <c r="B15766" i="1"/>
  <c r="B15765" i="1"/>
  <c r="B15764" i="1"/>
  <c r="B15763" i="1"/>
  <c r="B15762" i="1"/>
  <c r="B15761" i="1"/>
  <c r="B15760" i="1"/>
  <c r="B15759" i="1"/>
  <c r="B15758" i="1"/>
  <c r="B15757" i="1"/>
  <c r="B15756" i="1"/>
  <c r="B15755" i="1"/>
  <c r="B15754" i="1"/>
  <c r="B15753" i="1"/>
  <c r="B15752" i="1"/>
  <c r="B15751" i="1"/>
  <c r="B15750" i="1"/>
  <c r="B15749" i="1"/>
  <c r="B15748" i="1"/>
  <c r="B15747" i="1"/>
  <c r="B15746" i="1"/>
  <c r="B15745" i="1"/>
  <c r="B15744" i="1"/>
  <c r="B15743" i="1"/>
  <c r="B15742" i="1"/>
  <c r="B15741" i="1"/>
  <c r="B15740" i="1"/>
  <c r="B15739" i="1"/>
  <c r="B15738" i="1"/>
  <c r="B15737" i="1"/>
  <c r="B15736" i="1"/>
  <c r="B15735" i="1"/>
  <c r="B15734" i="1"/>
  <c r="B15733" i="1"/>
  <c r="B15732" i="1"/>
  <c r="B15731" i="1"/>
  <c r="B15730" i="1"/>
  <c r="B15729" i="1"/>
  <c r="B15728" i="1"/>
  <c r="B15727" i="1"/>
  <c r="B15726" i="1"/>
  <c r="B15725" i="1"/>
  <c r="B15724" i="1"/>
  <c r="B15723" i="1"/>
  <c r="B15722" i="1"/>
  <c r="B15721" i="1"/>
  <c r="B15720" i="1"/>
  <c r="B15719" i="1"/>
  <c r="B15718" i="1"/>
  <c r="B15717" i="1"/>
  <c r="B15716" i="1"/>
  <c r="B15715" i="1"/>
  <c r="B15714" i="1"/>
  <c r="B15713" i="1"/>
  <c r="B15712" i="1"/>
  <c r="B15711" i="1"/>
  <c r="B15710" i="1"/>
  <c r="B15709" i="1"/>
  <c r="B15708" i="1"/>
  <c r="B15707" i="1"/>
  <c r="B15706" i="1"/>
  <c r="B15705" i="1"/>
  <c r="B15704" i="1"/>
  <c r="B15703" i="1"/>
  <c r="B15702" i="1"/>
  <c r="B15701" i="1"/>
  <c r="B15700" i="1"/>
  <c r="B15699" i="1"/>
  <c r="B15698" i="1"/>
  <c r="B15697" i="1"/>
  <c r="B15696" i="1"/>
  <c r="B15695" i="1"/>
  <c r="B15694" i="1"/>
  <c r="B15693" i="1"/>
  <c r="B15692" i="1"/>
  <c r="B15691" i="1"/>
  <c r="B15690" i="1"/>
  <c r="B15689" i="1"/>
  <c r="B15688" i="1"/>
  <c r="B15687" i="1"/>
  <c r="B15686" i="1"/>
  <c r="B15685" i="1"/>
  <c r="B15684" i="1"/>
  <c r="B15683" i="1"/>
  <c r="B15682" i="1"/>
  <c r="B15681" i="1"/>
  <c r="B15680" i="1"/>
  <c r="B15679" i="1"/>
  <c r="B15678" i="1"/>
  <c r="B15677" i="1"/>
  <c r="B15676" i="1"/>
  <c r="B15675" i="1"/>
  <c r="B15674" i="1"/>
  <c r="B15673" i="1"/>
  <c r="B15672" i="1"/>
  <c r="B15671" i="1"/>
  <c r="B15670" i="1"/>
  <c r="B15669" i="1"/>
  <c r="B15668" i="1"/>
  <c r="B15667" i="1"/>
  <c r="B15666" i="1"/>
  <c r="B15665" i="1"/>
  <c r="B15664" i="1"/>
  <c r="B15663" i="1"/>
  <c r="B15662" i="1"/>
  <c r="B15661" i="1"/>
  <c r="B15660" i="1"/>
  <c r="B15659" i="1"/>
  <c r="B15658" i="1"/>
  <c r="B15657" i="1"/>
  <c r="B15656" i="1"/>
  <c r="B15655" i="1"/>
  <c r="B15654" i="1"/>
  <c r="B15653" i="1"/>
  <c r="B15652" i="1"/>
  <c r="B15651" i="1"/>
  <c r="B15650" i="1"/>
  <c r="B15649" i="1"/>
  <c r="B15648" i="1"/>
  <c r="B15647" i="1"/>
  <c r="B15646" i="1"/>
  <c r="B15645" i="1"/>
  <c r="B15644" i="1"/>
  <c r="B15643" i="1"/>
  <c r="B15642" i="1"/>
  <c r="B15641" i="1"/>
  <c r="B15640" i="1"/>
  <c r="B15639" i="1"/>
  <c r="B15638" i="1"/>
  <c r="B15637" i="1"/>
  <c r="B15636" i="1"/>
  <c r="B15635" i="1"/>
  <c r="B15634" i="1"/>
  <c r="B15633" i="1"/>
  <c r="B15632" i="1"/>
  <c r="B15631" i="1"/>
  <c r="B15630" i="1"/>
  <c r="B15629" i="1"/>
  <c r="B15628" i="1"/>
  <c r="B15627" i="1"/>
  <c r="B15626" i="1"/>
  <c r="B15625" i="1"/>
  <c r="B15624" i="1"/>
  <c r="B15623" i="1"/>
  <c r="B15622" i="1"/>
  <c r="B15621" i="1"/>
  <c r="B15620" i="1"/>
  <c r="B15619" i="1"/>
  <c r="B15618" i="1"/>
  <c r="B15617" i="1"/>
  <c r="B15616" i="1"/>
  <c r="B15615" i="1"/>
  <c r="B15614" i="1"/>
  <c r="B15613" i="1"/>
  <c r="B15612" i="1"/>
  <c r="B15611" i="1"/>
  <c r="B15610" i="1"/>
  <c r="B15609" i="1"/>
  <c r="B15608" i="1"/>
  <c r="B15607" i="1"/>
  <c r="B15606" i="1"/>
  <c r="B15605" i="1"/>
  <c r="B15604" i="1"/>
  <c r="B15603" i="1"/>
  <c r="B15602" i="1"/>
  <c r="B15601" i="1"/>
  <c r="B15600" i="1"/>
  <c r="B15599" i="1"/>
  <c r="B15598" i="1"/>
  <c r="B15597" i="1"/>
  <c r="B15596" i="1"/>
  <c r="B15595" i="1"/>
  <c r="B15594" i="1"/>
  <c r="B15593" i="1"/>
  <c r="B15592" i="1"/>
  <c r="B15591" i="1"/>
  <c r="B15590" i="1"/>
  <c r="B15589" i="1"/>
  <c r="B15588" i="1"/>
  <c r="B15587" i="1"/>
  <c r="B15586" i="1"/>
  <c r="B15585" i="1"/>
  <c r="B15584" i="1"/>
  <c r="B15583" i="1"/>
  <c r="B15582" i="1"/>
  <c r="B15581" i="1"/>
  <c r="B15580" i="1"/>
  <c r="B15579" i="1"/>
  <c r="B15578" i="1"/>
  <c r="B15577" i="1"/>
  <c r="B15576" i="1"/>
  <c r="B15575" i="1"/>
  <c r="B15574" i="1"/>
  <c r="B15573" i="1"/>
  <c r="B15572" i="1"/>
  <c r="B15571" i="1"/>
  <c r="B15570" i="1"/>
  <c r="B15569" i="1"/>
  <c r="B15568" i="1"/>
  <c r="B15567" i="1"/>
  <c r="B15566" i="1"/>
  <c r="B15565" i="1"/>
  <c r="B15564" i="1"/>
  <c r="B15563" i="1"/>
  <c r="B15562" i="1"/>
  <c r="B15561" i="1"/>
  <c r="B15560" i="1"/>
  <c r="B15559" i="1"/>
  <c r="B15558" i="1"/>
  <c r="B15557" i="1"/>
  <c r="B15556" i="1"/>
  <c r="B15555" i="1"/>
  <c r="B15554" i="1"/>
  <c r="B15553" i="1"/>
  <c r="B15552" i="1"/>
  <c r="B15551" i="1"/>
  <c r="B15550" i="1"/>
  <c r="B15549" i="1"/>
  <c r="B15548" i="1"/>
  <c r="B15547" i="1"/>
  <c r="B15546" i="1"/>
  <c r="B15545" i="1"/>
  <c r="B15544" i="1"/>
  <c r="B15543" i="1"/>
  <c r="B15542" i="1"/>
  <c r="B15541" i="1"/>
  <c r="B15540" i="1"/>
  <c r="B15539" i="1"/>
  <c r="B15538" i="1"/>
  <c r="B15537" i="1"/>
  <c r="B15536" i="1"/>
  <c r="B15535" i="1"/>
  <c r="B15534" i="1"/>
  <c r="B15533" i="1"/>
  <c r="B15532" i="1"/>
  <c r="B15531" i="1"/>
  <c r="B15530" i="1"/>
  <c r="B15529" i="1"/>
  <c r="B15528" i="1"/>
  <c r="B15527" i="1"/>
  <c r="B15526" i="1"/>
  <c r="B15525" i="1"/>
  <c r="B15524" i="1"/>
  <c r="B15523" i="1"/>
  <c r="B15522" i="1"/>
  <c r="B15521" i="1"/>
  <c r="B15520" i="1"/>
  <c r="B15519" i="1"/>
  <c r="B15518" i="1"/>
  <c r="B15517" i="1"/>
  <c r="B15516" i="1"/>
  <c r="B15515" i="1"/>
  <c r="B15514" i="1"/>
  <c r="B15513" i="1"/>
  <c r="B15512" i="1"/>
  <c r="B15511" i="1"/>
  <c r="B15510" i="1"/>
  <c r="B15509" i="1"/>
  <c r="B15508" i="1"/>
  <c r="B15507" i="1"/>
  <c r="B15506" i="1"/>
  <c r="B15505" i="1"/>
  <c r="B15504" i="1"/>
  <c r="B15503" i="1"/>
  <c r="B15502" i="1"/>
  <c r="B15501" i="1"/>
  <c r="B15500" i="1"/>
  <c r="B15499" i="1"/>
  <c r="B15498" i="1"/>
  <c r="B15497" i="1"/>
  <c r="B15496" i="1"/>
  <c r="B15495" i="1"/>
  <c r="B15494" i="1"/>
  <c r="B15493" i="1"/>
  <c r="B15492" i="1"/>
  <c r="B15491" i="1"/>
  <c r="B15490" i="1"/>
  <c r="B15489" i="1"/>
  <c r="B15488" i="1"/>
  <c r="B15487" i="1"/>
  <c r="B15486" i="1"/>
  <c r="B15485" i="1"/>
  <c r="B15484" i="1"/>
  <c r="B15483" i="1"/>
  <c r="B15482" i="1"/>
  <c r="B15481" i="1"/>
  <c r="B15480" i="1"/>
  <c r="B15479" i="1"/>
  <c r="B15478" i="1"/>
  <c r="B15477" i="1"/>
  <c r="B15476" i="1"/>
  <c r="B15475" i="1"/>
  <c r="B15474" i="1"/>
  <c r="B15473" i="1"/>
  <c r="B15472" i="1"/>
  <c r="B15471" i="1"/>
  <c r="B15470" i="1"/>
  <c r="B15469" i="1"/>
  <c r="B15468" i="1"/>
  <c r="B15467" i="1"/>
  <c r="B15466" i="1"/>
  <c r="B15465" i="1"/>
  <c r="B15464" i="1"/>
  <c r="B15463" i="1"/>
  <c r="B15462" i="1"/>
  <c r="B15461" i="1"/>
  <c r="B15460" i="1"/>
  <c r="B15459" i="1"/>
  <c r="B15458" i="1"/>
  <c r="B15457" i="1"/>
  <c r="B15456" i="1"/>
  <c r="B15455" i="1"/>
  <c r="B15454" i="1"/>
  <c r="B15453" i="1"/>
  <c r="B15452" i="1"/>
  <c r="B15451" i="1"/>
  <c r="B15450" i="1"/>
  <c r="B15449" i="1"/>
  <c r="B15448" i="1"/>
  <c r="B15447" i="1"/>
  <c r="B15446" i="1"/>
  <c r="B15445" i="1"/>
  <c r="B15444" i="1"/>
  <c r="B15443" i="1"/>
  <c r="B15442" i="1"/>
  <c r="B15441" i="1"/>
  <c r="B15440" i="1"/>
  <c r="B15439" i="1"/>
  <c r="B15438" i="1"/>
  <c r="B15437" i="1"/>
  <c r="B15436" i="1"/>
  <c r="B15435" i="1"/>
  <c r="B15434" i="1"/>
  <c r="B15433" i="1"/>
  <c r="B15432" i="1"/>
  <c r="B15431" i="1"/>
  <c r="B15430" i="1"/>
  <c r="B15429" i="1"/>
  <c r="B15428" i="1"/>
  <c r="B15427" i="1"/>
  <c r="B15426" i="1"/>
  <c r="B15425" i="1"/>
  <c r="B15424" i="1"/>
  <c r="B15423" i="1"/>
  <c r="B15422" i="1"/>
  <c r="B15421" i="1"/>
  <c r="B15420" i="1"/>
  <c r="B15419" i="1"/>
  <c r="B15418" i="1"/>
  <c r="B15417" i="1"/>
  <c r="B15416" i="1"/>
  <c r="B15415" i="1"/>
  <c r="B15414" i="1"/>
  <c r="B15413" i="1"/>
  <c r="B15412" i="1"/>
  <c r="B15411" i="1"/>
  <c r="B15410" i="1"/>
  <c r="B15409" i="1"/>
  <c r="B15408" i="1"/>
  <c r="B15407" i="1"/>
  <c r="B15406" i="1"/>
  <c r="B15405" i="1"/>
  <c r="B15404" i="1"/>
  <c r="B15403" i="1"/>
  <c r="B15402" i="1"/>
  <c r="B15401" i="1"/>
  <c r="B15400" i="1"/>
  <c r="B15399" i="1"/>
  <c r="B15398" i="1"/>
  <c r="B15397" i="1"/>
  <c r="B15396" i="1"/>
  <c r="B15395" i="1"/>
  <c r="B15394" i="1"/>
  <c r="B15393" i="1"/>
  <c r="B15392" i="1"/>
  <c r="B15391" i="1"/>
  <c r="B15390" i="1"/>
  <c r="B15389" i="1"/>
  <c r="B15388" i="1"/>
  <c r="B15387" i="1"/>
  <c r="B15386" i="1"/>
  <c r="B15385" i="1"/>
  <c r="B15384" i="1"/>
  <c r="B15383" i="1"/>
  <c r="B15382" i="1"/>
  <c r="B15381" i="1"/>
  <c r="B15380" i="1"/>
  <c r="B15379" i="1"/>
  <c r="B15378" i="1"/>
  <c r="B15377" i="1"/>
  <c r="B15376" i="1"/>
  <c r="B15375" i="1"/>
  <c r="B15374" i="1"/>
  <c r="B15373" i="1"/>
  <c r="B15372" i="1"/>
  <c r="B15371" i="1"/>
  <c r="B15370" i="1"/>
  <c r="B15369" i="1"/>
  <c r="B15368" i="1"/>
  <c r="B15367" i="1"/>
  <c r="B15366" i="1"/>
  <c r="B15365" i="1"/>
  <c r="B15364" i="1"/>
  <c r="B15363" i="1"/>
  <c r="B15362" i="1"/>
  <c r="B15361" i="1"/>
  <c r="B15360" i="1"/>
  <c r="B15359" i="1"/>
  <c r="B15358" i="1"/>
  <c r="B15357" i="1"/>
  <c r="B15356" i="1"/>
  <c r="B15355" i="1"/>
  <c r="B15354" i="1"/>
  <c r="B15353" i="1"/>
  <c r="B15352" i="1"/>
  <c r="B15351" i="1"/>
  <c r="B15350" i="1"/>
  <c r="B15349" i="1"/>
  <c r="B15348" i="1"/>
  <c r="B15347" i="1"/>
  <c r="B15346" i="1"/>
  <c r="B15345" i="1"/>
  <c r="B15344" i="1"/>
  <c r="B15343" i="1"/>
  <c r="B15342" i="1"/>
  <c r="B15341" i="1"/>
  <c r="B15340" i="1"/>
  <c r="B15339" i="1"/>
  <c r="B15338" i="1"/>
  <c r="B15337" i="1"/>
  <c r="B15336" i="1"/>
  <c r="B15335" i="1"/>
  <c r="B15334" i="1"/>
  <c r="B15333" i="1"/>
  <c r="B15332" i="1"/>
  <c r="B15331" i="1"/>
  <c r="B15330" i="1"/>
  <c r="B15329" i="1"/>
  <c r="B15328" i="1"/>
  <c r="B15327" i="1"/>
  <c r="B15326" i="1"/>
  <c r="B15325" i="1"/>
  <c r="B15324" i="1"/>
  <c r="B15323" i="1"/>
  <c r="B15322" i="1"/>
  <c r="B15321" i="1"/>
  <c r="B15320" i="1"/>
  <c r="B15319" i="1"/>
  <c r="B15318" i="1"/>
  <c r="B15317" i="1"/>
  <c r="B15316" i="1"/>
  <c r="B15315" i="1"/>
  <c r="B15314" i="1"/>
  <c r="B15313" i="1"/>
  <c r="B15312" i="1"/>
  <c r="B15311" i="1"/>
  <c r="B15310" i="1"/>
  <c r="B15309" i="1"/>
  <c r="B15308" i="1"/>
  <c r="B15307" i="1"/>
  <c r="B15306" i="1"/>
  <c r="B15305" i="1"/>
  <c r="B15304" i="1"/>
  <c r="B15303" i="1"/>
  <c r="B15302" i="1"/>
  <c r="B15301" i="1"/>
  <c r="B15300" i="1"/>
  <c r="B15299" i="1"/>
  <c r="B15298" i="1"/>
  <c r="B15297" i="1"/>
  <c r="B15296" i="1"/>
  <c r="B15295" i="1"/>
  <c r="B15294" i="1"/>
  <c r="B15293" i="1"/>
  <c r="B15292" i="1"/>
  <c r="B15291" i="1"/>
  <c r="B15290" i="1"/>
  <c r="B15289" i="1"/>
  <c r="B15288" i="1"/>
  <c r="B15287" i="1"/>
  <c r="B15286" i="1"/>
  <c r="B15285" i="1"/>
  <c r="B15284" i="1"/>
  <c r="B15283" i="1"/>
  <c r="B15282" i="1"/>
  <c r="B15281" i="1"/>
  <c r="B15280" i="1"/>
  <c r="B15279" i="1"/>
  <c r="B15278" i="1"/>
  <c r="B15277" i="1"/>
  <c r="B15276" i="1"/>
  <c r="B15275" i="1"/>
  <c r="B15274" i="1"/>
  <c r="B15273" i="1"/>
  <c r="B15272" i="1"/>
  <c r="B15271" i="1"/>
  <c r="B15270" i="1"/>
  <c r="B15269" i="1"/>
  <c r="B15268" i="1"/>
  <c r="B15267" i="1"/>
  <c r="B15266" i="1"/>
  <c r="B15265" i="1"/>
  <c r="B15264" i="1"/>
  <c r="B15263" i="1"/>
  <c r="B15262" i="1"/>
  <c r="B15261" i="1"/>
  <c r="B15260" i="1"/>
  <c r="B15259" i="1"/>
  <c r="B15258" i="1"/>
  <c r="B15257" i="1"/>
  <c r="B15256" i="1"/>
  <c r="B15255" i="1"/>
  <c r="B15254" i="1"/>
  <c r="B15253" i="1"/>
  <c r="B15252" i="1"/>
  <c r="B15251" i="1"/>
  <c r="B15250" i="1"/>
  <c r="B15249" i="1"/>
  <c r="B15248" i="1"/>
  <c r="B15247" i="1"/>
  <c r="B15246" i="1"/>
  <c r="B15245" i="1"/>
  <c r="B15244" i="1"/>
  <c r="B15243" i="1"/>
  <c r="B15242" i="1"/>
  <c r="B15241" i="1"/>
  <c r="B15240" i="1"/>
  <c r="B15239" i="1"/>
  <c r="B15238" i="1"/>
  <c r="B15237" i="1"/>
  <c r="B15236" i="1"/>
  <c r="B15235" i="1"/>
  <c r="B15234" i="1"/>
  <c r="B15233" i="1"/>
  <c r="B15232" i="1"/>
  <c r="B15231" i="1"/>
  <c r="B15230" i="1"/>
  <c r="B15229" i="1"/>
  <c r="B15228" i="1"/>
  <c r="B15227" i="1"/>
  <c r="B15226" i="1"/>
  <c r="B15225" i="1"/>
  <c r="B15224" i="1"/>
  <c r="B15223" i="1"/>
  <c r="B15222" i="1"/>
  <c r="B15221" i="1"/>
  <c r="B15220" i="1"/>
  <c r="B15219" i="1"/>
  <c r="B15218" i="1"/>
  <c r="B15217" i="1"/>
  <c r="B15216" i="1"/>
  <c r="B15215" i="1"/>
  <c r="B15214" i="1"/>
  <c r="B15213" i="1"/>
  <c r="B15212" i="1"/>
  <c r="B15211" i="1"/>
  <c r="B15210" i="1"/>
  <c r="B15209" i="1"/>
  <c r="B15208" i="1"/>
  <c r="B15207" i="1"/>
  <c r="B15206" i="1"/>
  <c r="B15205" i="1"/>
  <c r="B15204" i="1"/>
  <c r="B15203" i="1"/>
  <c r="B15202" i="1"/>
  <c r="B15201" i="1"/>
  <c r="B15200" i="1"/>
  <c r="B15199" i="1"/>
  <c r="B15198" i="1"/>
  <c r="B15197" i="1"/>
  <c r="B15196" i="1"/>
  <c r="B15195" i="1"/>
  <c r="B15194" i="1"/>
  <c r="B15193" i="1"/>
  <c r="B15192" i="1"/>
  <c r="B15191" i="1"/>
  <c r="B15190" i="1"/>
  <c r="B15189" i="1"/>
  <c r="B15188" i="1"/>
  <c r="B15187" i="1"/>
  <c r="B15186" i="1"/>
  <c r="B15185" i="1"/>
  <c r="B15184" i="1"/>
  <c r="B15183" i="1"/>
  <c r="B15182" i="1"/>
  <c r="B15181" i="1"/>
  <c r="B15180" i="1"/>
  <c r="B15179" i="1"/>
  <c r="B15178" i="1"/>
  <c r="B15177" i="1"/>
  <c r="B15176" i="1"/>
  <c r="B15175" i="1"/>
  <c r="B15174" i="1"/>
  <c r="B15173" i="1"/>
  <c r="B15172" i="1"/>
  <c r="B15171" i="1"/>
  <c r="B15170" i="1"/>
  <c r="B15169" i="1"/>
  <c r="B15168" i="1"/>
  <c r="B15167" i="1"/>
  <c r="B15166" i="1"/>
  <c r="B15165" i="1"/>
  <c r="B15164" i="1"/>
  <c r="B15163" i="1"/>
  <c r="B15162" i="1"/>
  <c r="B15161" i="1"/>
  <c r="B15160" i="1"/>
  <c r="B15159" i="1"/>
  <c r="B15158" i="1"/>
  <c r="B15157" i="1"/>
  <c r="B15156" i="1"/>
  <c r="B15155" i="1"/>
  <c r="B15154" i="1"/>
  <c r="B15153" i="1"/>
  <c r="B15152" i="1"/>
  <c r="B15151" i="1"/>
  <c r="B15150" i="1"/>
  <c r="B15149" i="1"/>
  <c r="B15148" i="1"/>
  <c r="B15147" i="1"/>
  <c r="B15146" i="1"/>
  <c r="B15145" i="1"/>
  <c r="B15144" i="1"/>
  <c r="B15143" i="1"/>
  <c r="B15142" i="1"/>
  <c r="B15141" i="1"/>
  <c r="B15140" i="1"/>
  <c r="B15139" i="1"/>
  <c r="B15138" i="1"/>
  <c r="B15137" i="1"/>
  <c r="B15136" i="1"/>
  <c r="B15135" i="1"/>
  <c r="B15134" i="1"/>
  <c r="B15133" i="1"/>
  <c r="B15132" i="1"/>
  <c r="B15131" i="1"/>
  <c r="B15130" i="1"/>
  <c r="B15129" i="1"/>
  <c r="B15128" i="1"/>
  <c r="B15127" i="1"/>
  <c r="B15126" i="1"/>
  <c r="B15125" i="1"/>
  <c r="B15124" i="1"/>
  <c r="B15123" i="1"/>
  <c r="B15122" i="1"/>
  <c r="B15121" i="1"/>
  <c r="B15120" i="1"/>
  <c r="B15119" i="1"/>
  <c r="B15118" i="1"/>
  <c r="B15117" i="1"/>
  <c r="B15116" i="1"/>
  <c r="B15115" i="1"/>
  <c r="B15114" i="1"/>
  <c r="B15113" i="1"/>
  <c r="B15112" i="1"/>
  <c r="B15111" i="1"/>
  <c r="B15110" i="1"/>
  <c r="B15109" i="1"/>
  <c r="B15108" i="1"/>
  <c r="B15107" i="1"/>
  <c r="B15106" i="1"/>
  <c r="B15105" i="1"/>
  <c r="B15104" i="1"/>
  <c r="B15103" i="1"/>
  <c r="B15102" i="1"/>
  <c r="B15101" i="1"/>
  <c r="B15100" i="1"/>
  <c r="B15099" i="1"/>
  <c r="B15098" i="1"/>
  <c r="B15097" i="1"/>
  <c r="B15096" i="1"/>
  <c r="B15095" i="1"/>
  <c r="B15094" i="1"/>
  <c r="B15093" i="1"/>
  <c r="B15092" i="1"/>
  <c r="B15091" i="1"/>
  <c r="B15090" i="1"/>
  <c r="B15089" i="1"/>
  <c r="B15088" i="1"/>
  <c r="B15087" i="1"/>
  <c r="B15086" i="1"/>
  <c r="B15085" i="1"/>
  <c r="B15084" i="1"/>
  <c r="B15083" i="1"/>
  <c r="B15082" i="1"/>
  <c r="B15081" i="1"/>
  <c r="B15080" i="1"/>
  <c r="B15079" i="1"/>
  <c r="B15078" i="1"/>
  <c r="B15077" i="1"/>
  <c r="B15076" i="1"/>
  <c r="B15075" i="1"/>
  <c r="B15074" i="1"/>
  <c r="B15073" i="1"/>
  <c r="B15072" i="1"/>
  <c r="B15071" i="1"/>
  <c r="B15070" i="1"/>
  <c r="B15069" i="1"/>
  <c r="B15068" i="1"/>
  <c r="B15067" i="1"/>
  <c r="B15066" i="1"/>
  <c r="B15065" i="1"/>
  <c r="B15064" i="1"/>
  <c r="B15063" i="1"/>
  <c r="B15062" i="1"/>
  <c r="B15061" i="1"/>
  <c r="B15060" i="1"/>
  <c r="B15059" i="1"/>
  <c r="B15058" i="1"/>
  <c r="B15057" i="1"/>
  <c r="B15056" i="1"/>
  <c r="B15055" i="1"/>
  <c r="B15054" i="1"/>
  <c r="B15053" i="1"/>
  <c r="B15052" i="1"/>
  <c r="B15051" i="1"/>
  <c r="B15050" i="1"/>
  <c r="B15049" i="1"/>
  <c r="B15048" i="1"/>
  <c r="B15047" i="1"/>
  <c r="B15046" i="1"/>
  <c r="B15045" i="1"/>
  <c r="B15044" i="1"/>
  <c r="B15043" i="1"/>
  <c r="B15042" i="1"/>
  <c r="B15041" i="1"/>
  <c r="B15040" i="1"/>
  <c r="B15039" i="1"/>
  <c r="B15038" i="1"/>
  <c r="B15037" i="1"/>
  <c r="B15036" i="1"/>
  <c r="B15035" i="1"/>
  <c r="B15034" i="1"/>
  <c r="B15033" i="1"/>
  <c r="B15032" i="1"/>
  <c r="B15031" i="1"/>
  <c r="B15030" i="1"/>
  <c r="B15029" i="1"/>
  <c r="B15028" i="1"/>
  <c r="B15027" i="1"/>
  <c r="B15026" i="1"/>
  <c r="B15025" i="1"/>
  <c r="B15024" i="1"/>
  <c r="B15023" i="1"/>
  <c r="B15022" i="1"/>
  <c r="B15021" i="1"/>
  <c r="B15020" i="1"/>
  <c r="B15019" i="1"/>
  <c r="B15018" i="1"/>
  <c r="B15017" i="1"/>
  <c r="B15016" i="1"/>
  <c r="B15015" i="1"/>
  <c r="B15014" i="1"/>
  <c r="B15013" i="1"/>
  <c r="B15012" i="1"/>
  <c r="B15011" i="1"/>
  <c r="B15010" i="1"/>
  <c r="B15009" i="1"/>
  <c r="B15008" i="1"/>
  <c r="B15007" i="1"/>
  <c r="B15006" i="1"/>
  <c r="B15005" i="1"/>
  <c r="B15004" i="1"/>
  <c r="B15003" i="1"/>
  <c r="B15002" i="1"/>
  <c r="B15001" i="1"/>
  <c r="B15000" i="1"/>
  <c r="B14999" i="1"/>
  <c r="B14998" i="1"/>
  <c r="B14997" i="1"/>
  <c r="B14996" i="1"/>
  <c r="B14995" i="1"/>
  <c r="B14994" i="1"/>
  <c r="B14993" i="1"/>
  <c r="B14992" i="1"/>
  <c r="B14991" i="1"/>
  <c r="B14990" i="1"/>
  <c r="B14989" i="1"/>
  <c r="B14988" i="1"/>
  <c r="B14987" i="1"/>
  <c r="B14986" i="1"/>
  <c r="B14985" i="1"/>
  <c r="B14984" i="1"/>
  <c r="B14983" i="1"/>
  <c r="B14982" i="1"/>
  <c r="B14981" i="1"/>
  <c r="B14980" i="1"/>
  <c r="B14979" i="1"/>
  <c r="B14978" i="1"/>
  <c r="B14977" i="1"/>
  <c r="B14976" i="1"/>
  <c r="B14975" i="1"/>
  <c r="B14974" i="1"/>
  <c r="B14973" i="1"/>
  <c r="B14972" i="1"/>
  <c r="B14971" i="1"/>
  <c r="B14970" i="1"/>
  <c r="B14969" i="1"/>
  <c r="B14968" i="1"/>
  <c r="B14967" i="1"/>
  <c r="B14966" i="1"/>
  <c r="B14965" i="1"/>
  <c r="B14964" i="1"/>
  <c r="B14963" i="1"/>
  <c r="B14962" i="1"/>
  <c r="B14961" i="1"/>
  <c r="B14960" i="1"/>
  <c r="B14959" i="1"/>
  <c r="B14958" i="1"/>
  <c r="B14957" i="1"/>
  <c r="B14956" i="1"/>
  <c r="B14955" i="1"/>
  <c r="B14954" i="1"/>
  <c r="B14953" i="1"/>
  <c r="B14952" i="1"/>
  <c r="B14951" i="1"/>
  <c r="B14950" i="1"/>
  <c r="B14949" i="1"/>
  <c r="B14948" i="1"/>
  <c r="B14947" i="1"/>
  <c r="B14946" i="1"/>
  <c r="B14945" i="1"/>
  <c r="B14944" i="1"/>
  <c r="B14943" i="1"/>
  <c r="B14942" i="1"/>
  <c r="B14941" i="1"/>
  <c r="B14940" i="1"/>
  <c r="B14939" i="1"/>
  <c r="B14938" i="1"/>
  <c r="B14937" i="1"/>
  <c r="B14936" i="1"/>
  <c r="B14935" i="1"/>
  <c r="B14934" i="1"/>
  <c r="B14933" i="1"/>
  <c r="B14932" i="1"/>
  <c r="B14931" i="1"/>
  <c r="B14930" i="1"/>
  <c r="B14929" i="1"/>
  <c r="B14928" i="1"/>
  <c r="B14927" i="1"/>
  <c r="B14926" i="1"/>
  <c r="B14925" i="1"/>
  <c r="B14924" i="1"/>
  <c r="B14923" i="1"/>
  <c r="B14922" i="1"/>
  <c r="B14921" i="1"/>
  <c r="B14920" i="1"/>
  <c r="B14919" i="1"/>
  <c r="B14918" i="1"/>
  <c r="B14917" i="1"/>
  <c r="B14916" i="1"/>
  <c r="B14915" i="1"/>
  <c r="B14914" i="1"/>
  <c r="B14913" i="1"/>
  <c r="B14912" i="1"/>
  <c r="B14911" i="1"/>
  <c r="B14910" i="1"/>
  <c r="B14909" i="1"/>
  <c r="B14908" i="1"/>
  <c r="B14907" i="1"/>
  <c r="B14906" i="1"/>
  <c r="B14905" i="1"/>
  <c r="B14904" i="1"/>
  <c r="B14903" i="1"/>
  <c r="B14902" i="1"/>
  <c r="B14901" i="1"/>
  <c r="B14900" i="1"/>
  <c r="B14899" i="1"/>
  <c r="B14898" i="1"/>
  <c r="B14897" i="1"/>
  <c r="B14896" i="1"/>
  <c r="B14895" i="1"/>
  <c r="B14894" i="1"/>
  <c r="B14893" i="1"/>
  <c r="B14892" i="1"/>
  <c r="B14891" i="1"/>
  <c r="B14890" i="1"/>
  <c r="B14889" i="1"/>
  <c r="B14888" i="1"/>
  <c r="B14887" i="1"/>
  <c r="B14886" i="1"/>
  <c r="B14885" i="1"/>
  <c r="B14884" i="1"/>
  <c r="B14883" i="1"/>
  <c r="B14882" i="1"/>
  <c r="B14881" i="1"/>
  <c r="B14880" i="1"/>
  <c r="B14879" i="1"/>
  <c r="B14878" i="1"/>
  <c r="B14877" i="1"/>
  <c r="B14876" i="1"/>
  <c r="B14875" i="1"/>
  <c r="B14874" i="1"/>
  <c r="B14873" i="1"/>
  <c r="B14872" i="1"/>
  <c r="B14871" i="1"/>
  <c r="B14870" i="1"/>
  <c r="B14869" i="1"/>
  <c r="B14868" i="1"/>
  <c r="B14867" i="1"/>
  <c r="B14866" i="1"/>
  <c r="B14865" i="1"/>
  <c r="B14864" i="1"/>
  <c r="B14863" i="1"/>
  <c r="B14862" i="1"/>
  <c r="B14861" i="1"/>
  <c r="B14860" i="1"/>
  <c r="B14859" i="1"/>
  <c r="B14858" i="1"/>
  <c r="B14857" i="1"/>
  <c r="B14856" i="1"/>
  <c r="B14855" i="1"/>
  <c r="B14854" i="1"/>
  <c r="B14853" i="1"/>
  <c r="B14852" i="1"/>
  <c r="B14851" i="1"/>
  <c r="B14850" i="1"/>
  <c r="B14849" i="1"/>
  <c r="B14848" i="1"/>
  <c r="B14847" i="1"/>
  <c r="B14846" i="1"/>
  <c r="B14845" i="1"/>
  <c r="B14844" i="1"/>
  <c r="B14843" i="1"/>
  <c r="B14842" i="1"/>
  <c r="B14841" i="1"/>
  <c r="B14840" i="1"/>
  <c r="B14839" i="1"/>
  <c r="B14838" i="1"/>
  <c r="B14837" i="1"/>
  <c r="B14836" i="1"/>
  <c r="B14835" i="1"/>
  <c r="B14834" i="1"/>
  <c r="B14833" i="1"/>
  <c r="B14832" i="1"/>
  <c r="B14831" i="1"/>
  <c r="B14830" i="1"/>
  <c r="B14829" i="1"/>
  <c r="B14828" i="1"/>
  <c r="B14827" i="1"/>
  <c r="B14826" i="1"/>
  <c r="B14825" i="1"/>
  <c r="B14824" i="1"/>
  <c r="B14823" i="1"/>
  <c r="B14822" i="1"/>
  <c r="B14821" i="1"/>
  <c r="B14820" i="1"/>
  <c r="B14819" i="1"/>
  <c r="B14818" i="1"/>
  <c r="B14817" i="1"/>
  <c r="B14816" i="1"/>
  <c r="B14815" i="1"/>
  <c r="B14814" i="1"/>
  <c r="B14813" i="1"/>
  <c r="B14812" i="1"/>
  <c r="B14811" i="1"/>
  <c r="B14810" i="1"/>
  <c r="B14809" i="1"/>
  <c r="B14808" i="1"/>
  <c r="B14807" i="1"/>
  <c r="B14806" i="1"/>
  <c r="B14805" i="1"/>
  <c r="B14804" i="1"/>
  <c r="B14803" i="1"/>
  <c r="B14802" i="1"/>
  <c r="B14801" i="1"/>
  <c r="B14800" i="1"/>
  <c r="B14799" i="1"/>
  <c r="B14798" i="1"/>
  <c r="B14797" i="1"/>
  <c r="B14796" i="1"/>
  <c r="B14795" i="1"/>
  <c r="B14794" i="1"/>
  <c r="B14793" i="1"/>
  <c r="B14792" i="1"/>
  <c r="B14791" i="1"/>
  <c r="B14790" i="1"/>
  <c r="B14789" i="1"/>
  <c r="B14788" i="1"/>
  <c r="B14787" i="1"/>
  <c r="B14786" i="1"/>
  <c r="B14785" i="1"/>
  <c r="B14784" i="1"/>
  <c r="B14783" i="1"/>
  <c r="B14782" i="1"/>
  <c r="B14781" i="1"/>
  <c r="B14780" i="1"/>
  <c r="B14779" i="1"/>
  <c r="B14778" i="1"/>
  <c r="B14777" i="1"/>
  <c r="B14776" i="1"/>
  <c r="B14775" i="1"/>
  <c r="B14774" i="1"/>
  <c r="B14773" i="1"/>
  <c r="B14772" i="1"/>
  <c r="B14771" i="1"/>
  <c r="B14770" i="1"/>
  <c r="B14769" i="1"/>
  <c r="B14768" i="1"/>
  <c r="B14767" i="1"/>
  <c r="B14766" i="1"/>
  <c r="B14765" i="1"/>
  <c r="B14764" i="1"/>
  <c r="B14763" i="1"/>
  <c r="B14762" i="1"/>
  <c r="B14761" i="1"/>
  <c r="B14760" i="1"/>
  <c r="B14759" i="1"/>
  <c r="B14758" i="1"/>
  <c r="B14757" i="1"/>
  <c r="B14756" i="1"/>
  <c r="B14755" i="1"/>
  <c r="B14754" i="1"/>
  <c r="B14753" i="1"/>
  <c r="B14752" i="1"/>
  <c r="B14751" i="1"/>
  <c r="B14750" i="1"/>
  <c r="B14749" i="1"/>
  <c r="B14748" i="1"/>
  <c r="B14747" i="1"/>
  <c r="B14746" i="1"/>
  <c r="B14745" i="1"/>
  <c r="B14744" i="1"/>
  <c r="B14743" i="1"/>
  <c r="B14742" i="1"/>
  <c r="B14741" i="1"/>
  <c r="B14740" i="1"/>
  <c r="B14739" i="1"/>
  <c r="B14738" i="1"/>
  <c r="B14737" i="1"/>
  <c r="B14736" i="1"/>
  <c r="B14735" i="1"/>
  <c r="B14734" i="1"/>
  <c r="B14733" i="1"/>
  <c r="B14732" i="1"/>
  <c r="B14731" i="1"/>
  <c r="B14730" i="1"/>
  <c r="B14729" i="1"/>
  <c r="B14728" i="1"/>
  <c r="B14727" i="1"/>
  <c r="B14726" i="1"/>
  <c r="B14725" i="1"/>
  <c r="B14724" i="1"/>
  <c r="B14723" i="1"/>
  <c r="B14722" i="1"/>
  <c r="B14721" i="1"/>
  <c r="B14720" i="1"/>
  <c r="B14719" i="1"/>
  <c r="B14718" i="1"/>
  <c r="B14717" i="1"/>
  <c r="B14716" i="1"/>
  <c r="B14715" i="1"/>
  <c r="B14714" i="1"/>
  <c r="B14713" i="1"/>
  <c r="B14712" i="1"/>
  <c r="B14711" i="1"/>
  <c r="B14710" i="1"/>
  <c r="B14709" i="1"/>
  <c r="B14708" i="1"/>
  <c r="B14707" i="1"/>
  <c r="B14706" i="1"/>
  <c r="B14705" i="1"/>
  <c r="B14704" i="1"/>
  <c r="B14703" i="1"/>
  <c r="B14702" i="1"/>
  <c r="B14701" i="1"/>
  <c r="B14700" i="1"/>
  <c r="B14699" i="1"/>
  <c r="B14698" i="1"/>
  <c r="B14697" i="1"/>
  <c r="B14696" i="1"/>
  <c r="B14695" i="1"/>
  <c r="B14694" i="1"/>
  <c r="B14693" i="1"/>
  <c r="B14692" i="1"/>
  <c r="B14691" i="1"/>
  <c r="B14690" i="1"/>
  <c r="B14689" i="1"/>
  <c r="B14688" i="1"/>
  <c r="B14687" i="1"/>
  <c r="B14686" i="1"/>
  <c r="B14685" i="1"/>
  <c r="B14684" i="1"/>
  <c r="B14683" i="1"/>
  <c r="B14682" i="1"/>
  <c r="B14681" i="1"/>
  <c r="B14680" i="1"/>
  <c r="B14679" i="1"/>
  <c r="B14678" i="1"/>
  <c r="B14677" i="1"/>
  <c r="B14676" i="1"/>
  <c r="B14675" i="1"/>
  <c r="B14674" i="1"/>
  <c r="B14673" i="1"/>
  <c r="B14672" i="1"/>
  <c r="B14671" i="1"/>
  <c r="B14670" i="1"/>
  <c r="B14669" i="1"/>
  <c r="B14668" i="1"/>
  <c r="B14667" i="1"/>
  <c r="B14666" i="1"/>
  <c r="B14665" i="1"/>
  <c r="B14664" i="1"/>
  <c r="B14663" i="1"/>
  <c r="B14662" i="1"/>
  <c r="B14661" i="1"/>
  <c r="B14660" i="1"/>
  <c r="B14659" i="1"/>
  <c r="B14658" i="1"/>
  <c r="B14657" i="1"/>
  <c r="B14656" i="1"/>
  <c r="B14655" i="1"/>
  <c r="B14654" i="1"/>
  <c r="B14653" i="1"/>
  <c r="B14652" i="1"/>
  <c r="B14651" i="1"/>
  <c r="B14650" i="1"/>
  <c r="B14649" i="1"/>
  <c r="B14648" i="1"/>
  <c r="B14647" i="1"/>
  <c r="B14646" i="1"/>
  <c r="B14645" i="1"/>
  <c r="B14644" i="1"/>
  <c r="B14643" i="1"/>
  <c r="B14642" i="1"/>
  <c r="B14641" i="1"/>
  <c r="B14640" i="1"/>
  <c r="B14639" i="1"/>
  <c r="B14638" i="1"/>
  <c r="B14637" i="1"/>
  <c r="B14636" i="1"/>
  <c r="B14635" i="1"/>
  <c r="B14634" i="1"/>
  <c r="B14633" i="1"/>
  <c r="B14632" i="1"/>
  <c r="B14631" i="1"/>
  <c r="B14630" i="1"/>
  <c r="B14629" i="1"/>
  <c r="B14628" i="1"/>
  <c r="B14627" i="1"/>
  <c r="B14626" i="1"/>
  <c r="B14625" i="1"/>
  <c r="B14624" i="1"/>
  <c r="B14623" i="1"/>
  <c r="B14622" i="1"/>
  <c r="B14621" i="1"/>
  <c r="B14620" i="1"/>
  <c r="B14619" i="1"/>
  <c r="B14618" i="1"/>
  <c r="B14617" i="1"/>
  <c r="B14616" i="1"/>
  <c r="B14615" i="1"/>
  <c r="B14614" i="1"/>
  <c r="B14613" i="1"/>
  <c r="B14612" i="1"/>
  <c r="B14611" i="1"/>
  <c r="B14610" i="1"/>
  <c r="B14609" i="1"/>
  <c r="B14608" i="1"/>
  <c r="B14607" i="1"/>
  <c r="B14606" i="1"/>
  <c r="B14605" i="1"/>
  <c r="B14604" i="1"/>
  <c r="B14603" i="1"/>
  <c r="B14602" i="1"/>
  <c r="B14601" i="1"/>
  <c r="B14600" i="1"/>
  <c r="B14599" i="1"/>
  <c r="B14598" i="1"/>
  <c r="B14597" i="1"/>
  <c r="B14596" i="1"/>
  <c r="B14595" i="1"/>
  <c r="B14594" i="1"/>
  <c r="B14593" i="1"/>
  <c r="B14592" i="1"/>
  <c r="B14591" i="1"/>
  <c r="B14590" i="1"/>
  <c r="B14589" i="1"/>
  <c r="B14588" i="1"/>
  <c r="B14587" i="1"/>
  <c r="B14586" i="1"/>
  <c r="B14585" i="1"/>
  <c r="B14584" i="1"/>
  <c r="B14583" i="1"/>
  <c r="B14582" i="1"/>
  <c r="B14581" i="1"/>
  <c r="B14580" i="1"/>
  <c r="B14579" i="1"/>
  <c r="B14578" i="1"/>
  <c r="B14577" i="1"/>
  <c r="B14576" i="1"/>
  <c r="B14575" i="1"/>
  <c r="B14574" i="1"/>
  <c r="B14573" i="1"/>
  <c r="B14572" i="1"/>
  <c r="B14571" i="1"/>
  <c r="B14570" i="1"/>
  <c r="B14569" i="1"/>
  <c r="B14568" i="1"/>
  <c r="B14567" i="1"/>
  <c r="B14566" i="1"/>
  <c r="B14565" i="1"/>
  <c r="B14564" i="1"/>
  <c r="B14563" i="1"/>
  <c r="B14562" i="1"/>
  <c r="B14561" i="1"/>
  <c r="B14560" i="1"/>
  <c r="B14559" i="1"/>
  <c r="B14558" i="1"/>
  <c r="B14557" i="1"/>
  <c r="B14556" i="1"/>
  <c r="B14555" i="1"/>
  <c r="B14554" i="1"/>
  <c r="B14553" i="1"/>
  <c r="B14552" i="1"/>
  <c r="B14551" i="1"/>
  <c r="B14550" i="1"/>
  <c r="B14549" i="1"/>
  <c r="B14548" i="1"/>
  <c r="B14547" i="1"/>
  <c r="B14546" i="1"/>
  <c r="B14545" i="1"/>
  <c r="B14544" i="1"/>
  <c r="B14543" i="1"/>
  <c r="B14542" i="1"/>
  <c r="B14541" i="1"/>
  <c r="B14540" i="1"/>
  <c r="B14539" i="1"/>
  <c r="B14538" i="1"/>
  <c r="B14537" i="1"/>
  <c r="B14536" i="1"/>
  <c r="B14535" i="1"/>
  <c r="B14534" i="1"/>
  <c r="B14533" i="1"/>
  <c r="B14532" i="1"/>
  <c r="B14531" i="1"/>
  <c r="B14530" i="1"/>
  <c r="B14529" i="1"/>
  <c r="B14528" i="1"/>
  <c r="B14527" i="1"/>
  <c r="B14526" i="1"/>
  <c r="B14525" i="1"/>
  <c r="B14524" i="1"/>
  <c r="B14523" i="1"/>
  <c r="B14522" i="1"/>
  <c r="B14521" i="1"/>
  <c r="B14520" i="1"/>
  <c r="B14519" i="1"/>
  <c r="B14518" i="1"/>
  <c r="B14517" i="1"/>
  <c r="B14516" i="1"/>
  <c r="B14515" i="1"/>
  <c r="B14514" i="1"/>
  <c r="B14513" i="1"/>
  <c r="B14512" i="1"/>
  <c r="B14511" i="1"/>
  <c r="B14510" i="1"/>
  <c r="B14509" i="1"/>
  <c r="B14508" i="1"/>
  <c r="B14507" i="1"/>
  <c r="B14506" i="1"/>
  <c r="B14505" i="1"/>
  <c r="B14504" i="1"/>
  <c r="B14503" i="1"/>
  <c r="B14502" i="1"/>
  <c r="B14501" i="1"/>
  <c r="B14500" i="1"/>
  <c r="B14499" i="1"/>
  <c r="B14498" i="1"/>
  <c r="B14497" i="1"/>
  <c r="B14496" i="1"/>
  <c r="B14495" i="1"/>
  <c r="B14494" i="1"/>
  <c r="B14493" i="1"/>
  <c r="B14492" i="1"/>
  <c r="B14491" i="1"/>
  <c r="B14490" i="1"/>
  <c r="B14489" i="1"/>
  <c r="B14488" i="1"/>
  <c r="B14487" i="1"/>
  <c r="B14486" i="1"/>
  <c r="B14485" i="1"/>
  <c r="B14484" i="1"/>
  <c r="B14483" i="1"/>
  <c r="B14482" i="1"/>
  <c r="B14481" i="1"/>
  <c r="B14480" i="1"/>
  <c r="B14479" i="1"/>
  <c r="B14478" i="1"/>
  <c r="B14477" i="1"/>
  <c r="B14476" i="1"/>
  <c r="B14475" i="1"/>
  <c r="B14474" i="1"/>
  <c r="B14473" i="1"/>
  <c r="B14472" i="1"/>
  <c r="B14471" i="1"/>
  <c r="B14470" i="1"/>
  <c r="B14469" i="1"/>
  <c r="B14468" i="1"/>
  <c r="B14467" i="1"/>
  <c r="B14466" i="1"/>
  <c r="B14465" i="1"/>
  <c r="B14464" i="1"/>
  <c r="B14463" i="1"/>
  <c r="B14462" i="1"/>
  <c r="B14461" i="1"/>
  <c r="B14460" i="1"/>
  <c r="B14459" i="1"/>
  <c r="B14458" i="1"/>
  <c r="B14457" i="1"/>
  <c r="B14456" i="1"/>
  <c r="B14455" i="1"/>
  <c r="B14454" i="1"/>
  <c r="B14453" i="1"/>
  <c r="B14452" i="1"/>
  <c r="B14451" i="1"/>
  <c r="B14450" i="1"/>
  <c r="B14449" i="1"/>
  <c r="B14448" i="1"/>
  <c r="B14447" i="1"/>
  <c r="B14446" i="1"/>
  <c r="B14445" i="1"/>
  <c r="B14444" i="1"/>
  <c r="B14443" i="1"/>
  <c r="B14442" i="1"/>
  <c r="B14441" i="1"/>
  <c r="B14440" i="1"/>
  <c r="B14439" i="1"/>
  <c r="B14438" i="1"/>
  <c r="B14437" i="1"/>
  <c r="B14436" i="1"/>
  <c r="B14435" i="1"/>
  <c r="B14434" i="1"/>
  <c r="B14433" i="1"/>
  <c r="B14432" i="1"/>
  <c r="B14431" i="1"/>
  <c r="B14430" i="1"/>
  <c r="B14429" i="1"/>
  <c r="B14428" i="1"/>
  <c r="B14427" i="1"/>
  <c r="B14426" i="1"/>
  <c r="B14425" i="1"/>
  <c r="B14424" i="1"/>
  <c r="B14423" i="1"/>
  <c r="B14422" i="1"/>
  <c r="B14421" i="1"/>
  <c r="B14420" i="1"/>
  <c r="B14419" i="1"/>
  <c r="B14418" i="1"/>
  <c r="B14417" i="1"/>
  <c r="B14416" i="1"/>
  <c r="B14415" i="1"/>
  <c r="B14414" i="1"/>
  <c r="B14413" i="1"/>
  <c r="B14412" i="1"/>
  <c r="B14411" i="1"/>
  <c r="B14410" i="1"/>
  <c r="B14409" i="1"/>
  <c r="B14408" i="1"/>
  <c r="B14407" i="1"/>
  <c r="B14406" i="1"/>
  <c r="B14405" i="1"/>
  <c r="B14404" i="1"/>
  <c r="B14403" i="1"/>
  <c r="B14402" i="1"/>
  <c r="B14401" i="1"/>
  <c r="B14400" i="1"/>
  <c r="B14399" i="1"/>
  <c r="B14398" i="1"/>
  <c r="B14397" i="1"/>
  <c r="B14396" i="1"/>
  <c r="B14395" i="1"/>
  <c r="B14394" i="1"/>
  <c r="B14393" i="1"/>
  <c r="B14392" i="1"/>
  <c r="B14391" i="1"/>
  <c r="B14390" i="1"/>
  <c r="B14389" i="1"/>
  <c r="B14388" i="1"/>
  <c r="B14387" i="1"/>
  <c r="B14386" i="1"/>
  <c r="B14385" i="1"/>
  <c r="B14384" i="1"/>
  <c r="B14383" i="1"/>
  <c r="B14382" i="1"/>
  <c r="B14381" i="1"/>
  <c r="B14380" i="1"/>
  <c r="B14379" i="1"/>
  <c r="B14378" i="1"/>
  <c r="B14377" i="1"/>
  <c r="B14376" i="1"/>
  <c r="B14375" i="1"/>
  <c r="B14374" i="1"/>
  <c r="B14373" i="1"/>
  <c r="B14372" i="1"/>
  <c r="B14371" i="1"/>
  <c r="B14370" i="1"/>
  <c r="B14369" i="1"/>
  <c r="B14368" i="1"/>
  <c r="B14367" i="1"/>
  <c r="B14366" i="1"/>
  <c r="B14365" i="1"/>
  <c r="B14364" i="1"/>
  <c r="B14363" i="1"/>
  <c r="B14362" i="1"/>
  <c r="B14361" i="1"/>
  <c r="B14360" i="1"/>
  <c r="B14359" i="1"/>
  <c r="B14358" i="1"/>
  <c r="B14357" i="1"/>
  <c r="B14356" i="1"/>
  <c r="B14355" i="1"/>
  <c r="B14354" i="1"/>
  <c r="B14353" i="1"/>
  <c r="B14352" i="1"/>
  <c r="B14351" i="1"/>
  <c r="B14350" i="1"/>
  <c r="B14349" i="1"/>
  <c r="B14348" i="1"/>
  <c r="B14347" i="1"/>
  <c r="B14346" i="1"/>
  <c r="B14345" i="1"/>
  <c r="B14344" i="1"/>
  <c r="B14343" i="1"/>
  <c r="B14342" i="1"/>
  <c r="B14341" i="1"/>
  <c r="B14340" i="1"/>
  <c r="B14339" i="1"/>
  <c r="B14338" i="1"/>
  <c r="B14337" i="1"/>
  <c r="B14336" i="1"/>
  <c r="B14335" i="1"/>
  <c r="B14334" i="1"/>
  <c r="B14333" i="1"/>
  <c r="B14332" i="1"/>
  <c r="B14331" i="1"/>
  <c r="B14330" i="1"/>
  <c r="B14329" i="1"/>
  <c r="B14328" i="1"/>
  <c r="B14327" i="1"/>
  <c r="B14326" i="1"/>
  <c r="B14325" i="1"/>
  <c r="B14324" i="1"/>
  <c r="B14323" i="1"/>
  <c r="B14322" i="1"/>
  <c r="B14321" i="1"/>
  <c r="B14320" i="1"/>
  <c r="B14319" i="1"/>
  <c r="B14318" i="1"/>
  <c r="B14317" i="1"/>
  <c r="B14316" i="1"/>
  <c r="B14315" i="1"/>
  <c r="B14314" i="1"/>
  <c r="B14313" i="1"/>
  <c r="B14312" i="1"/>
  <c r="B14311" i="1"/>
  <c r="B14310" i="1"/>
  <c r="B14309" i="1"/>
  <c r="B14308" i="1"/>
  <c r="B14307" i="1"/>
  <c r="B14306" i="1"/>
  <c r="B14305" i="1"/>
  <c r="B14304" i="1"/>
  <c r="B14303" i="1"/>
  <c r="B14302" i="1"/>
  <c r="B14301" i="1"/>
  <c r="B14300" i="1"/>
  <c r="B14299" i="1"/>
  <c r="B14298" i="1"/>
  <c r="B14297" i="1"/>
  <c r="B14296" i="1"/>
  <c r="B14295" i="1"/>
  <c r="B14294" i="1"/>
  <c r="B14293" i="1"/>
  <c r="B14292" i="1"/>
  <c r="B14291" i="1"/>
  <c r="B14290" i="1"/>
  <c r="B14289" i="1"/>
  <c r="B14288" i="1"/>
  <c r="B14287" i="1"/>
  <c r="B14286" i="1"/>
  <c r="B14285" i="1"/>
  <c r="B14284" i="1"/>
  <c r="B14283" i="1"/>
  <c r="B14282" i="1"/>
  <c r="B14281" i="1"/>
  <c r="B14280" i="1"/>
  <c r="B14279" i="1"/>
  <c r="B14278" i="1"/>
  <c r="B14277" i="1"/>
  <c r="B14276" i="1"/>
  <c r="B14275" i="1"/>
  <c r="B14274" i="1"/>
  <c r="B14273" i="1"/>
  <c r="B14272" i="1"/>
  <c r="B14271" i="1"/>
  <c r="B14270" i="1"/>
  <c r="B14269" i="1"/>
  <c r="B14268" i="1"/>
  <c r="B14267" i="1"/>
  <c r="B14266" i="1"/>
  <c r="B14265" i="1"/>
  <c r="B14264" i="1"/>
  <c r="B14263" i="1"/>
  <c r="B14262" i="1"/>
  <c r="B14261" i="1"/>
  <c r="B14260" i="1"/>
  <c r="B14259" i="1"/>
  <c r="B14258" i="1"/>
  <c r="B14257" i="1"/>
  <c r="B14256" i="1"/>
  <c r="B14255" i="1"/>
  <c r="B14254" i="1"/>
  <c r="B14253" i="1"/>
  <c r="B14252" i="1"/>
  <c r="B14251" i="1"/>
  <c r="B14250" i="1"/>
  <c r="B14249" i="1"/>
  <c r="B14248" i="1"/>
  <c r="B14247" i="1"/>
  <c r="B14246" i="1"/>
  <c r="B14245" i="1"/>
  <c r="B14244" i="1"/>
  <c r="B14243" i="1"/>
  <c r="B14242" i="1"/>
  <c r="B14241" i="1"/>
  <c r="B14240" i="1"/>
  <c r="B14239" i="1"/>
  <c r="B14238" i="1"/>
  <c r="B14237" i="1"/>
  <c r="B14236" i="1"/>
  <c r="B14235" i="1"/>
  <c r="B14234" i="1"/>
  <c r="B14233" i="1"/>
  <c r="B14232" i="1"/>
  <c r="B14231" i="1"/>
  <c r="B14230" i="1"/>
  <c r="B14229" i="1"/>
  <c r="B14228" i="1"/>
  <c r="B14227" i="1"/>
  <c r="B14226" i="1"/>
  <c r="B14225" i="1"/>
  <c r="B14224" i="1"/>
  <c r="B14223" i="1"/>
  <c r="B14222" i="1"/>
  <c r="B14221" i="1"/>
  <c r="B14220" i="1"/>
  <c r="B14219" i="1"/>
  <c r="B14218" i="1"/>
  <c r="B14217" i="1"/>
  <c r="B14216" i="1"/>
  <c r="B14215" i="1"/>
  <c r="B14214" i="1"/>
  <c r="B14213" i="1"/>
  <c r="B14212" i="1"/>
  <c r="B14211" i="1"/>
  <c r="B14210" i="1"/>
  <c r="B14209" i="1"/>
  <c r="B14208" i="1"/>
  <c r="B14207" i="1"/>
  <c r="B14206" i="1"/>
  <c r="B14205" i="1"/>
  <c r="B14204" i="1"/>
  <c r="B14203" i="1"/>
  <c r="B14202" i="1"/>
  <c r="B14201" i="1"/>
  <c r="B14200" i="1"/>
  <c r="B14199" i="1"/>
  <c r="B14198" i="1"/>
  <c r="B14197" i="1"/>
  <c r="B14196" i="1"/>
  <c r="B14195" i="1"/>
  <c r="B14194" i="1"/>
  <c r="B14193" i="1"/>
  <c r="B14192" i="1"/>
  <c r="B14191" i="1"/>
  <c r="B14190" i="1"/>
  <c r="B14189" i="1"/>
  <c r="B14188" i="1"/>
  <c r="B14187" i="1"/>
  <c r="B14186" i="1"/>
  <c r="B14185" i="1"/>
  <c r="B14184" i="1"/>
  <c r="B14183" i="1"/>
  <c r="B14182" i="1"/>
  <c r="B14181" i="1"/>
  <c r="B14180" i="1"/>
  <c r="B14179" i="1"/>
  <c r="B14178" i="1"/>
  <c r="B14177" i="1"/>
  <c r="B14176" i="1"/>
  <c r="B14175" i="1"/>
  <c r="B14174" i="1"/>
  <c r="B14173" i="1"/>
  <c r="B14172" i="1"/>
  <c r="B14171" i="1"/>
  <c r="B14170" i="1"/>
  <c r="B14169" i="1"/>
  <c r="B14168" i="1"/>
  <c r="B14167" i="1"/>
  <c r="B14166" i="1"/>
  <c r="B14165" i="1"/>
  <c r="B14164" i="1"/>
  <c r="B14163" i="1"/>
  <c r="B14162" i="1"/>
  <c r="B14161" i="1"/>
  <c r="B14160" i="1"/>
  <c r="B14159" i="1"/>
  <c r="B14158" i="1"/>
  <c r="B14157" i="1"/>
  <c r="B14156" i="1"/>
  <c r="B14155" i="1"/>
  <c r="B14154" i="1"/>
  <c r="B14153" i="1"/>
  <c r="B14152" i="1"/>
  <c r="B14151" i="1"/>
  <c r="B14150" i="1"/>
  <c r="B14149" i="1"/>
  <c r="B14148" i="1"/>
  <c r="B14147" i="1"/>
  <c r="B14146" i="1"/>
  <c r="B14145" i="1"/>
  <c r="B14144" i="1"/>
  <c r="B14143" i="1"/>
  <c r="B14142" i="1"/>
  <c r="B14141" i="1"/>
  <c r="B14140" i="1"/>
  <c r="B14139" i="1"/>
  <c r="B14138" i="1"/>
  <c r="B14137" i="1"/>
  <c r="B14136" i="1"/>
  <c r="B14135" i="1"/>
  <c r="B14134" i="1"/>
  <c r="B14133" i="1"/>
  <c r="B14132" i="1"/>
  <c r="B14131" i="1"/>
  <c r="B14130" i="1"/>
  <c r="B14129" i="1"/>
  <c r="B14128" i="1"/>
  <c r="B14127" i="1"/>
  <c r="B14126" i="1"/>
  <c r="B14125" i="1"/>
  <c r="B14124" i="1"/>
  <c r="B14123" i="1"/>
  <c r="B14122" i="1"/>
  <c r="B14121" i="1"/>
  <c r="B14120" i="1"/>
  <c r="B14119" i="1"/>
  <c r="B14118" i="1"/>
  <c r="B14117" i="1"/>
  <c r="B14116" i="1"/>
  <c r="B14115" i="1"/>
  <c r="B14114" i="1"/>
  <c r="B14113" i="1"/>
  <c r="B14112" i="1"/>
  <c r="B14111" i="1"/>
  <c r="B14110" i="1"/>
  <c r="B14109" i="1"/>
  <c r="B14108" i="1"/>
  <c r="B14107" i="1"/>
  <c r="B14106" i="1"/>
  <c r="B14105" i="1"/>
  <c r="B14104" i="1"/>
  <c r="B14103" i="1"/>
  <c r="B14102" i="1"/>
  <c r="B14101" i="1"/>
  <c r="B14100" i="1"/>
  <c r="B14099" i="1"/>
  <c r="B14098" i="1"/>
  <c r="B14097" i="1"/>
  <c r="B14096" i="1"/>
  <c r="B14095" i="1"/>
  <c r="B14094" i="1"/>
  <c r="B14093" i="1"/>
  <c r="B14092" i="1"/>
  <c r="B14091" i="1"/>
  <c r="B14090" i="1"/>
  <c r="B14089" i="1"/>
  <c r="B14088" i="1"/>
  <c r="B14087" i="1"/>
  <c r="B14086" i="1"/>
  <c r="B14085" i="1"/>
  <c r="B14084" i="1"/>
  <c r="B14083" i="1"/>
  <c r="B14082" i="1"/>
  <c r="B14081" i="1"/>
  <c r="B14080" i="1"/>
  <c r="B14079" i="1"/>
  <c r="B14078" i="1"/>
  <c r="B14077" i="1"/>
  <c r="B14076" i="1"/>
  <c r="B14075" i="1"/>
  <c r="B14074" i="1"/>
  <c r="B14073" i="1"/>
  <c r="B14072" i="1"/>
  <c r="B14071" i="1"/>
  <c r="B14070" i="1"/>
  <c r="B14069" i="1"/>
  <c r="B14068" i="1"/>
  <c r="B14067" i="1"/>
  <c r="B14066" i="1"/>
  <c r="B14065" i="1"/>
  <c r="B14064" i="1"/>
  <c r="B14063" i="1"/>
  <c r="B14062" i="1"/>
  <c r="B14061" i="1"/>
  <c r="B14060" i="1"/>
  <c r="B14059" i="1"/>
  <c r="B14058" i="1"/>
  <c r="B14057" i="1"/>
  <c r="B14056" i="1"/>
  <c r="B14055" i="1"/>
  <c r="B14054" i="1"/>
  <c r="B14053" i="1"/>
  <c r="B14052" i="1"/>
  <c r="B14051" i="1"/>
  <c r="B14050" i="1"/>
  <c r="B14049" i="1"/>
  <c r="B14048" i="1"/>
  <c r="B14047" i="1"/>
  <c r="B14046" i="1"/>
  <c r="B14045" i="1"/>
  <c r="B14044" i="1"/>
  <c r="B14043" i="1"/>
  <c r="B14042" i="1"/>
  <c r="B14041" i="1"/>
  <c r="B14040" i="1"/>
  <c r="B14039" i="1"/>
  <c r="B14038" i="1"/>
  <c r="B14037" i="1"/>
  <c r="B14036" i="1"/>
  <c r="B14035" i="1"/>
  <c r="B14034" i="1"/>
  <c r="B14033" i="1"/>
  <c r="B14032" i="1"/>
  <c r="B14031" i="1"/>
  <c r="B14030" i="1"/>
  <c r="B14029" i="1"/>
  <c r="B14028" i="1"/>
  <c r="B14027" i="1"/>
  <c r="B14026" i="1"/>
  <c r="B14025" i="1"/>
  <c r="B14024" i="1"/>
  <c r="B14023" i="1"/>
  <c r="B14022" i="1"/>
  <c r="B14021" i="1"/>
  <c r="B14020" i="1"/>
  <c r="B14019" i="1"/>
  <c r="B14018" i="1"/>
  <c r="B14017" i="1"/>
  <c r="B14016" i="1"/>
  <c r="B14015" i="1"/>
  <c r="B14014" i="1"/>
  <c r="B14013" i="1"/>
  <c r="B14012" i="1"/>
  <c r="B14011" i="1"/>
  <c r="B14010" i="1"/>
  <c r="B14009" i="1"/>
  <c r="B14008" i="1"/>
  <c r="B14007" i="1"/>
  <c r="B14006" i="1"/>
  <c r="B14005" i="1"/>
  <c r="B14004" i="1"/>
  <c r="B14003" i="1"/>
  <c r="B14002" i="1"/>
  <c r="B14001" i="1"/>
  <c r="B14000" i="1"/>
  <c r="B13999" i="1"/>
  <c r="B13998" i="1"/>
  <c r="B13997" i="1"/>
  <c r="B13996" i="1"/>
  <c r="B13995" i="1"/>
  <c r="B13994" i="1"/>
  <c r="B13993" i="1"/>
  <c r="B13992" i="1"/>
  <c r="B13991" i="1"/>
  <c r="B13990" i="1"/>
  <c r="B13989" i="1"/>
  <c r="B13988" i="1"/>
  <c r="B13987" i="1"/>
  <c r="B13986" i="1"/>
  <c r="B13985" i="1"/>
  <c r="B13984" i="1"/>
  <c r="B13983" i="1"/>
  <c r="B13982" i="1"/>
  <c r="B13981" i="1"/>
  <c r="B13980" i="1"/>
  <c r="B13979" i="1"/>
  <c r="B13978" i="1"/>
  <c r="B13977" i="1"/>
  <c r="B13976" i="1"/>
  <c r="B13975" i="1"/>
  <c r="B13974" i="1"/>
  <c r="B13973" i="1"/>
  <c r="B13972" i="1"/>
  <c r="B13971" i="1"/>
  <c r="B13970" i="1"/>
  <c r="B13969" i="1"/>
  <c r="B13968" i="1"/>
  <c r="B13967" i="1"/>
  <c r="B13966" i="1"/>
  <c r="B13965" i="1"/>
  <c r="B13964" i="1"/>
  <c r="B13963" i="1"/>
  <c r="B13962" i="1"/>
  <c r="B13961" i="1"/>
  <c r="B13960" i="1"/>
  <c r="B13959" i="1"/>
  <c r="B13958" i="1"/>
  <c r="B13957" i="1"/>
  <c r="B13956" i="1"/>
  <c r="B13955" i="1"/>
  <c r="B13954" i="1"/>
  <c r="B13953" i="1"/>
  <c r="B13952" i="1"/>
  <c r="B13951" i="1"/>
  <c r="B13950" i="1"/>
  <c r="B13949" i="1"/>
  <c r="B13948" i="1"/>
  <c r="B13947" i="1"/>
  <c r="B13946" i="1"/>
  <c r="B13945" i="1"/>
  <c r="B13944" i="1"/>
  <c r="B13943" i="1"/>
  <c r="B13942" i="1"/>
  <c r="B13941" i="1"/>
  <c r="B13940" i="1"/>
  <c r="B13939" i="1"/>
  <c r="B13938" i="1"/>
  <c r="B13937" i="1"/>
  <c r="B13936" i="1"/>
  <c r="B13935" i="1"/>
  <c r="B13934" i="1"/>
  <c r="B13933" i="1"/>
  <c r="B13932" i="1"/>
  <c r="B13931" i="1"/>
  <c r="B13930" i="1"/>
  <c r="B13929" i="1"/>
  <c r="B13928" i="1"/>
  <c r="B13927" i="1"/>
  <c r="B13926" i="1"/>
  <c r="B13925" i="1"/>
  <c r="B13924" i="1"/>
  <c r="B13923" i="1"/>
  <c r="B13922" i="1"/>
  <c r="B13921" i="1"/>
  <c r="B13920" i="1"/>
  <c r="B13919" i="1"/>
  <c r="B13918" i="1"/>
  <c r="B13917" i="1"/>
  <c r="B13916" i="1"/>
  <c r="B13915" i="1"/>
  <c r="B13914" i="1"/>
  <c r="B13913" i="1"/>
  <c r="B13912" i="1"/>
  <c r="B13911" i="1"/>
  <c r="B13910" i="1"/>
  <c r="B13909" i="1"/>
  <c r="B13908" i="1"/>
  <c r="B13907" i="1"/>
  <c r="B13906" i="1"/>
  <c r="B13905" i="1"/>
  <c r="B13904" i="1"/>
  <c r="B13903" i="1"/>
  <c r="B13902" i="1"/>
  <c r="B13901" i="1"/>
  <c r="B13900" i="1"/>
  <c r="B13899" i="1"/>
  <c r="B13898" i="1"/>
  <c r="B13897" i="1"/>
  <c r="B13896" i="1"/>
  <c r="B13895" i="1"/>
  <c r="B13894" i="1"/>
  <c r="B13893" i="1"/>
  <c r="B13892" i="1"/>
  <c r="B13891" i="1"/>
  <c r="B13890" i="1"/>
  <c r="B13889" i="1"/>
  <c r="B13888" i="1"/>
  <c r="B13887" i="1"/>
  <c r="B13886" i="1"/>
  <c r="B13885" i="1"/>
  <c r="B13884" i="1"/>
  <c r="B13883" i="1"/>
  <c r="B13882" i="1"/>
  <c r="B13881" i="1"/>
  <c r="B13880" i="1"/>
  <c r="B13879" i="1"/>
  <c r="B13878" i="1"/>
  <c r="B13877" i="1"/>
  <c r="B13876" i="1"/>
  <c r="B13875" i="1"/>
  <c r="B13874" i="1"/>
  <c r="B13873" i="1"/>
  <c r="B13872" i="1"/>
  <c r="B13871" i="1"/>
  <c r="B13870" i="1"/>
  <c r="B13869" i="1"/>
  <c r="B13868" i="1"/>
  <c r="B13867" i="1"/>
  <c r="B13866" i="1"/>
  <c r="B13865" i="1"/>
  <c r="B13864" i="1"/>
  <c r="B13863" i="1"/>
  <c r="B13862" i="1"/>
  <c r="B13861" i="1"/>
  <c r="B13860" i="1"/>
  <c r="B13859" i="1"/>
  <c r="B13858" i="1"/>
  <c r="B13857" i="1"/>
  <c r="B13856" i="1"/>
  <c r="B13855" i="1"/>
  <c r="B13854" i="1"/>
  <c r="B13853" i="1"/>
  <c r="B13852" i="1"/>
  <c r="B13851" i="1"/>
  <c r="B13850" i="1"/>
  <c r="B13849" i="1"/>
  <c r="B13848" i="1"/>
  <c r="B13847" i="1"/>
  <c r="B13846" i="1"/>
  <c r="B13845" i="1"/>
  <c r="B13844" i="1"/>
  <c r="B13843" i="1"/>
  <c r="B13842" i="1"/>
  <c r="B13841" i="1"/>
  <c r="B13840" i="1"/>
  <c r="B13839" i="1"/>
  <c r="B13838" i="1"/>
  <c r="B13837" i="1"/>
  <c r="B13836" i="1"/>
  <c r="B13835" i="1"/>
  <c r="B13834" i="1"/>
  <c r="B13833" i="1"/>
  <c r="B13832" i="1"/>
  <c r="B13831" i="1"/>
  <c r="B13830" i="1"/>
  <c r="B13829" i="1"/>
  <c r="B13828" i="1"/>
  <c r="B13827" i="1"/>
  <c r="B13826" i="1"/>
  <c r="B13825" i="1"/>
  <c r="B13824" i="1"/>
  <c r="B13823" i="1"/>
  <c r="B13822" i="1"/>
  <c r="B13821" i="1"/>
  <c r="B13820" i="1"/>
  <c r="B13819" i="1"/>
  <c r="B13818" i="1"/>
  <c r="B13817" i="1"/>
  <c r="B13816" i="1"/>
  <c r="B13815" i="1"/>
  <c r="B13814" i="1"/>
  <c r="B13813" i="1"/>
  <c r="B13812" i="1"/>
  <c r="B13811" i="1"/>
  <c r="B13810" i="1"/>
  <c r="B13809" i="1"/>
  <c r="B13808" i="1"/>
  <c r="B13807" i="1"/>
  <c r="B13806" i="1"/>
  <c r="B13805" i="1"/>
  <c r="B13804" i="1"/>
  <c r="B13803" i="1"/>
  <c r="B13802" i="1"/>
  <c r="B13801" i="1"/>
  <c r="B13800" i="1"/>
  <c r="B13799" i="1"/>
  <c r="B13798" i="1"/>
  <c r="B13797" i="1"/>
  <c r="B13796" i="1"/>
  <c r="B13795" i="1"/>
  <c r="B13794" i="1"/>
  <c r="B13793" i="1"/>
  <c r="B13792" i="1"/>
  <c r="B13791" i="1"/>
  <c r="B13790" i="1"/>
  <c r="B13789" i="1"/>
  <c r="B13788" i="1"/>
  <c r="B13787" i="1"/>
  <c r="B13786" i="1"/>
  <c r="B13785" i="1"/>
  <c r="B13784" i="1"/>
  <c r="B13783" i="1"/>
  <c r="B13782" i="1"/>
  <c r="B13781" i="1"/>
  <c r="B13780" i="1"/>
  <c r="B13779" i="1"/>
  <c r="B13778" i="1"/>
  <c r="B13777" i="1"/>
  <c r="B13776" i="1"/>
  <c r="B13775" i="1"/>
  <c r="B13774" i="1"/>
  <c r="B13773" i="1"/>
  <c r="B13772" i="1"/>
  <c r="B13771" i="1"/>
  <c r="B13770" i="1"/>
  <c r="B13769" i="1"/>
  <c r="B13768" i="1"/>
  <c r="B13767" i="1"/>
  <c r="B13766" i="1"/>
  <c r="B13765" i="1"/>
  <c r="B13764" i="1"/>
  <c r="B13763" i="1"/>
  <c r="B13762" i="1"/>
  <c r="B13761" i="1"/>
  <c r="B13760" i="1"/>
  <c r="B13759" i="1"/>
  <c r="B13758" i="1"/>
  <c r="B13757" i="1"/>
  <c r="B13756" i="1"/>
  <c r="B13755" i="1"/>
  <c r="B13754" i="1"/>
  <c r="B13753" i="1"/>
  <c r="B13752" i="1"/>
  <c r="B13751" i="1"/>
  <c r="B13750" i="1"/>
  <c r="B13749" i="1"/>
  <c r="B13748" i="1"/>
  <c r="B13747" i="1"/>
  <c r="B13746" i="1"/>
  <c r="B13745" i="1"/>
  <c r="B13744" i="1"/>
  <c r="B13743" i="1"/>
  <c r="B13742" i="1"/>
  <c r="B13741" i="1"/>
  <c r="B13740" i="1"/>
  <c r="B13739" i="1"/>
  <c r="B13738" i="1"/>
  <c r="B13737" i="1"/>
  <c r="B13736" i="1"/>
  <c r="B13735" i="1"/>
  <c r="B13734" i="1"/>
  <c r="B13733" i="1"/>
  <c r="B13732" i="1"/>
  <c r="B13731" i="1"/>
  <c r="B13730" i="1"/>
  <c r="B13729" i="1"/>
  <c r="B13728" i="1"/>
  <c r="B13727" i="1"/>
  <c r="B13726" i="1"/>
  <c r="B13725" i="1"/>
  <c r="B13724" i="1"/>
  <c r="B13723" i="1"/>
  <c r="B13722" i="1"/>
  <c r="B13721" i="1"/>
  <c r="B13720" i="1"/>
  <c r="B13719" i="1"/>
  <c r="B13718" i="1"/>
  <c r="B13717" i="1"/>
  <c r="B13716" i="1"/>
  <c r="B13715" i="1"/>
  <c r="B13714" i="1"/>
  <c r="B13713" i="1"/>
  <c r="B13712" i="1"/>
  <c r="B13711" i="1"/>
  <c r="B13710" i="1"/>
  <c r="B13709" i="1"/>
  <c r="B13708" i="1"/>
  <c r="B13707" i="1"/>
  <c r="B13706" i="1"/>
  <c r="B13705" i="1"/>
  <c r="B13704" i="1"/>
  <c r="B13703" i="1"/>
  <c r="B13702" i="1"/>
  <c r="B13701" i="1"/>
  <c r="B13700" i="1"/>
  <c r="B13699" i="1"/>
  <c r="B13698" i="1"/>
  <c r="B13697" i="1"/>
  <c r="B13696" i="1"/>
  <c r="B13695" i="1"/>
  <c r="B13694" i="1"/>
  <c r="B13693" i="1"/>
  <c r="B13692" i="1"/>
  <c r="B13691" i="1"/>
  <c r="B13690" i="1"/>
  <c r="B13689" i="1"/>
  <c r="B13688" i="1"/>
  <c r="B13687" i="1"/>
  <c r="B13686" i="1"/>
  <c r="B13685" i="1"/>
  <c r="B13684" i="1"/>
  <c r="B13683" i="1"/>
  <c r="B13682" i="1"/>
  <c r="B13681" i="1"/>
  <c r="B13680" i="1"/>
  <c r="B13679" i="1"/>
  <c r="B13678" i="1"/>
  <c r="B13677" i="1"/>
  <c r="B13676" i="1"/>
  <c r="B13675" i="1"/>
  <c r="B13674" i="1"/>
  <c r="B13673" i="1"/>
  <c r="B13672" i="1"/>
  <c r="B13671" i="1"/>
  <c r="B13670" i="1"/>
  <c r="B13669" i="1"/>
  <c r="B13668" i="1"/>
  <c r="B13667" i="1"/>
  <c r="B13666" i="1"/>
  <c r="B13665" i="1"/>
  <c r="B13664" i="1"/>
  <c r="B13663" i="1"/>
  <c r="B13662" i="1"/>
  <c r="B13661" i="1"/>
  <c r="B13660" i="1"/>
  <c r="B13659" i="1"/>
  <c r="B13658" i="1"/>
  <c r="B13657" i="1"/>
  <c r="B13656" i="1"/>
  <c r="B13655" i="1"/>
  <c r="B13654" i="1"/>
  <c r="B13653" i="1"/>
  <c r="B13652" i="1"/>
  <c r="B13651" i="1"/>
  <c r="B13650" i="1"/>
  <c r="B13649" i="1"/>
  <c r="B13648" i="1"/>
  <c r="B13647" i="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sharedStrings.xml><?xml version="1.0" encoding="utf-8"?>
<sst xmlns="http://schemas.openxmlformats.org/spreadsheetml/2006/main" count="41631" uniqueCount="15990">
  <si>
    <t>Date</t>
  </si>
  <si>
    <t>Screen Name</t>
  </si>
  <si>
    <t>Tweet Text</t>
  </si>
  <si>
    <t>Retweets</t>
  </si>
  <si>
    <t>Favorites</t>
  </si>
  <si>
    <t>Followers</t>
  </si>
  <si>
    <t>Goblog, Isis itu bukan Islam dia itu besutan israel dan kerjasama AS untuk misi Proyek peluasan wilayah . Jika tak paham, lebih baik sumpel mulut anda pake kotoran istana. Apa dalilnya kafir isis ingin menjadi khilafah, kecuali akhir zaman sesuai hadist Shoeh yg dipimpin Al Mahdi RT @mbahCokro77: Jika benar Khilafah menjaga kehormatan wanita,silahkan datang dan gabung disuriah n ISIS 😁😁 Bukan omdo tp bukti nyata kalau gk pingin dirombong lakinya 😂😂😂 Gini ni orang2 sok tau tanpa menggunakan akal pikiran n nalarnya yg dianugrahkan Allah😂</t>
  </si>
  <si>
    <t>RT @Si_Bee: Syahganda Nainggolan: Jokowi dan Para Menteri Perlu Dikirim ke Kepulauan Seribu untuk Diisolasi “Hal ini sesuai dengan standar yang sama diberlakukan kepada WNI eks Wuhan, eks kapal pesiar Dream World, eks kapal pesiar Diamond,” ujar Syahganda. --- 🤐🤐</t>
  </si>
  <si>
    <t>@mikerecine ISIS fi 'amrika alshamalia</t>
  </si>
  <si>
    <t>@WiberMelayu6 @do_ra_dong @jokowi Standar itu satu toh? Atau sakarepedewe? Tujuannya juga untuk kebaikan semuakan?</t>
  </si>
  <si>
    <t>RT @mamaciaaa: Ngakunya aktivis kemanusiaan pembela rakyat tp kelakuan kaya begini. Lo sadar ga pak BKS itu salah satu orang yg perjuangin WNI di Wuhan untuk bisa pulang ke Indonesia. Rakyat juga yg minta mereka dijemput pulang. Ga tau terimakasih lo semua aktivis kemanusiaan tai kucing lu.</t>
  </si>
  <si>
    <t>RT @yohandewa: @narkosun Sudah saatnya kalo gitu WNI Cina yg pro komunis sdh dapat balik ke negara leluhur dan juga pemerintah boleh cabut itu izin tinggal sementara kepada kalo gak salah 2 ribu WNA Cina. Kan sudah habis virus corona disana!!</t>
  </si>
  <si>
    <t>Pemerintah Upayakan Perlindungan bagi WNI di Wuhan</t>
  </si>
  <si>
    <t>RT @_aiek_esthreem_: #JKWLengserRIBangkit #JKWLengserRIBangkit Pak Jokowi, Please Lockdown Indonesia 2 Pekan Saja ketimbang Pakai Jasa Buzzer  WNI diabaikan 😠 WN China justru dpt perlindungan krn "kebijakan terpaksa pemerintah"</t>
  </si>
  <si>
    <t>RT @AncharPuang: @ernestprakasa Pemulangan WNI, karantina, dll itu semua hasil kerja pemerintah, jangan dianggap remeh pekerjaan seperti ini. Indonesia bukan cuma DKI dan Sampai saat ini saya masih berpegangan bahwa Pertimbangan pemerintah mengnai kbjakan saat ini pasti sdh dipikirkan secara seksama.</t>
  </si>
  <si>
    <t>RT @AkuSwagKayaSuga: @Rendy51500187 @CNNIndonesia Di kota gua, bule bertebaran katanya lg ada kunjungan wisata. Kaga di karantina dulu juga? Kek WNI yang lain? Ada apa dengan pemerintahan indonesia?</t>
  </si>
  <si>
    <t>Artinya jangan jadi provokator  RT @faizalassegaf: Pak @jokowi, keputusan anda menunjuk Luhut ganti Menhub yg kena corona, tdk elok &amp; makin membuat rakyat muak pd anda! Luhut sosok minoritas yg tdk layak mendominasi kabinet. Emang dia siapa? Hati2 pak, gerakan pelengseran anda semakin tdk terbendung! #CoronaVirusUpdates *FA*</t>
  </si>
  <si>
    <t>Sedangkan Indonesia? semua seperti serba dibatasi dan kesanya ditutup-tutupi. Gw rasa sbgai WNI kenapa gw sendiri yang takut sm pemerintah terlalu menutup-tutupi. Dan knp malah warga nya yg bingung sm pemerintah :(</t>
  </si>
  <si>
    <t>@syakib_sidqi ISIS juga bisaMENYATAKAN PASUKAN DEWA apakah kita menilai dari berita pernyata'an.? masih hangat lihatlah DUBES INDIA dia menyampaikan tidak ada kekerasan tidak ada pembantaian apakah TOLAK UKUR HANYA DARI PERNYATA'AN..?</t>
  </si>
  <si>
    <t>RT @SalmaBrecht: 3. Ternyata kita baik² saja. Belum lagi ancaman perang nuklir yg dipicu oleh korea utara pada tahun 2013. Juga ancaman ISIS yang katanya akan membunuh orang di seluruh dunia. Tapi mengapa wabah corona begitu menghebohkan dunia dan berdampak luas?</t>
  </si>
  <si>
    <t>@DZ0EMIENT12 @msaid_didu Ini adalah upaya genosida WNI, mereka memainkan corona dengan halus, korbankan sedikit rakyat mereka untuk mendapatkan Indonesia, apa yang tidak bisa dilakukan oleh mereka yang telah meninggalkan Tuhan? Suudzon kepada mereka yang tak bertuhan itu harus. #IndonesiaButuhPemimpin</t>
  </si>
  <si>
    <t>-Corona menyebar didunia -banyak orang meninggal dunia -tempat ibadah jadi sepi -banyak orang jarang sholat -kabah tidak seramai dulu lagi -isis dimana-mana semoga diri kita selalu mengingat kepada allah swt. amin</t>
  </si>
  <si>
    <t>RT @idn_cf: Dubes Aran : Rizieq Shihab Bisa Pulang Kapan Saja Rizieq simpatisan ISIS gak bakal berani pulang cmn gara2 mek*</t>
  </si>
  <si>
    <t>Pangkogabwilhan I : 188 WNI eks ABK World Dream Dalam Kondisi Baik dan Sehat Siap Dipulangkan – JPNEWS</t>
  </si>
  <si>
    <t>@RobbySingh94 @CanadianZ1onist @Partisangirl Yep, Hamas, Hizbullah, Taliban, Baghdadi, al shababb, boko haram, Isis, khomeini, assad, Qadafi, saddam, Houthis, al qaeda, soleimani, all zionists...did i miss anyone?</t>
  </si>
  <si>
    <t>Sedari awal sudah terlalu percaya diri, bahwa memiliki peralatan pendeteksi yang mumpuni. Tapi kenyataannya, tidak. Dan masih membuka jalur untuk untuk WNA / WNI wara-wiri (dg segala bentuk motifnya). #IndonesiaButuhPemimpin</t>
  </si>
  <si>
    <t>RT @jokowi: Terkait WNI awak kapal Diamond Princess, kita sedang berdiskusi dengan pemerintah Jepang. Mengingat penyebaran virus korona di kapal itu, kita tidak boleh gegabah. Kita memiliki 267 juta penduduk yang juga harus dilindungi.</t>
  </si>
  <si>
    <t>@TobatKadrun @msaid_didu @DlVHUMASPOLRI @Menkopolhukam @CCICPolri Bersyukurlah anda WNI kalo di Tiongkok provokator sdh dipenjarakan. Sadarlah bung didu</t>
  </si>
  <si>
    <t>RT @Kemlu_RI: #SahabatKemlu, berikut update Perkembangan COVID-19 di Dunia dan Pelindungan WNI per 15/03 pukul 08.00 WIB. #IniDiplomasi #NegaraMelindungi</t>
  </si>
  <si>
    <t>@msaid_didu Yayaya masih inget tagar #2019gantipresiden ga laku 2020 ganti #indonesiabutuhpemimpin Kl g mau di pimpin presiden terpilih sono gabung kesuriah gabung isis</t>
  </si>
  <si>
    <t>@DAROSAFONTANAL1 Menurut Om @AnakKolong___ kilapah itu apa ? Isis itu apa ? Benang merahnya bagaimana ? 🤔</t>
  </si>
  <si>
    <t>FPI: Front Pembela ISIS Front Perusak Islam</t>
  </si>
  <si>
    <t>@AnakLolina @AgungWidrajat @tagarnews Ormas pengusung ISIS</t>
  </si>
  <si>
    <t>Ini cuma sekedar ide, ini penyampaian sosialisasi penanganan novel Corona ini kan penting bgt dan seyogyanya dilakukan secara masiv. Gimana klo pemerintah SMS setiap WNI yg punya nomor aktif dan memerintahkan secara tegas kepada setiap RT untuk sosialisasi kepada warganya.</t>
  </si>
  <si>
    <t>RT @AJamilah1: @e100ss Semoga bisa diambil hikmahnya</t>
  </si>
  <si>
    <t>@MhangunMr @VIVAcoid Wni yg korup ya jongos nya koruptor taipan tong</t>
  </si>
  <si>
    <t>RT @alineadotid: 68 WNI ABK Diamond Princess ke luar dari Pulau Sebaru</t>
  </si>
  <si>
    <t>RT @antarajatimcom: Sebanyak 68 warga negara Indonesia (WNI) anak buah kapal (ABK) Diamond Princess akhirnya keluar dari Pulau Sebaru Kecil, Kepulauan Seribu, DKI Jakarta, usai menjalani observasi terkait virus corona (COVID-19). #COVIDー19 #CoronaIndonesia</t>
  </si>
  <si>
    <t>RT @Papaoppah: Gayung bersambut, ketenangan masyarakat Indonesia pecah ketika Presiden Joko Widodo mengumumkan terdapat dua warga negara Indonesia di dalam negeri terjangkit virus Corona. Hingga tulisan ini keluar (14 Maret 2020), virus corona telah menjangkiti 96 WNI di dalam negeri.</t>
  </si>
  <si>
    <t>RT @MossadNews: #Philippines ISIS claims killing 10 Filipino soldiers in Patikul in Sulu province @IsraelMFA @RosannaMrtnz</t>
  </si>
  <si>
    <t>RT @Beritasatu: Observasi Selesai, 68 WNI ABK Diamond Princess Dikeluarkan dari Pulau Sebaru</t>
  </si>
  <si>
    <t>RT @penanegericom: Pangkogabwilhan I Tinjau Evakuasi 188 WNI Pulau Sebaru ke KRI Semarang 594</t>
  </si>
  <si>
    <t>RT @Katolik_GK: Pak @jokowi @Kemenag_RI @kemendagri @mohmahfudmd @PolhukamRI Inilah alsn SKB2Menteri perlu direvisi terkait pembangunan rumah ibadah. Hak WNI utk mnjlnkan ibadah dijamin UUD45. Utk itu dibutuhkan rmh ibadah. Krn ibadah rutin, mk rmh ibadah jg hrs permanen.</t>
  </si>
  <si>
    <t>@Mentimoen Para tahanan ISIS di kamp-kamp tentara SDF bisa tuh dijadikan kelinci percobaan... 😆😆😆</t>
  </si>
  <si>
    <t>@WariorXman @VIVAcoid Yg anda sebutkan sbg koruptor semua kan WNI, sama dgn anda. Mungkin sj anda, aku &amp; laenx blm punya kans yg sama spt mrk. Coba kalo punya !?</t>
  </si>
  <si>
    <t>@Anggraini_4yu Masih WNI ?</t>
  </si>
  <si>
    <t>RT @kjrijohorbahru: KJRI Johor Bahru pada Rabu (11/3) telah menyelesaikan kasus dan melakukan pendampingan pemulangan 1 (satu) WNI/PMI sakit stroke a.n. Purwanto (43 thn) asal Ponorogo, Jawa Timur.</t>
  </si>
  <si>
    <t>Katanya uda periksa di Indo tapi saat itu hasilnya negatif. Pas di singapore jadi positif🙄 Ini entah pemeriksaan di Indo yg sesuatu, community spread di singapore, atau emang virusnya berubah kayak kata artikel ini🙄🙄</t>
  </si>
  <si>
    <t>Pdhal sblmnya..ada WNI kita yg datang dari negeri induk asal virus bermula gk ditanggepin, belom tau kali yaaa Corona itu kya gmna... Setelah ngerti negeri tetangga dapet satu suspect Corona, baru dah sibuk"an nyari siapa aja yg udh berkontak lgsg dgn si WNA Jepang tadi.</t>
  </si>
  <si>
    <t>RT @AkuSwagKayaSuga: @Rendy51500187 @CNNIndonesia Giliran WNI yang dateng dari luar negri aja dicurigai karena membawa virus corona dan berakhir di karantina selama 14 hari, sedangkan para wisatawan asing malah bebas melakukan visit. Gimana ini ga disebut keanehan?</t>
  </si>
  <si>
    <t>@Restichayah @mohmahfudmd Menhub bukan WNI. Tenang aja</t>
  </si>
  <si>
    <t>@ansorihasan211 @AnakKolong___ @bokulos_ Ga usah ngaku² dan ngebawa umat muslim klo lo msh jadi MANUSIA KAFIR PENGUSUNG KHILAFAH-ISIS.</t>
  </si>
  <si>
    <t>4 WNI terbang dari Indonesia ke singapore terus dinyatakan positif Covid-19 karena periksa di RS Singapore. Kenanya di Indonesia apa di Singapore ini😞😞😞😞</t>
  </si>
  <si>
    <t>@DearNight12 @CNNIndonesia Hai Goblok Ini Virus Berbahaya Jangan dikit2 PANIK PANIK Lah wong Ring-1 Istana aja yg bilang Senyap tdk Panik kena juga. Nte Buzzer dibayar berapa ? Baca nihh pengakuan WNI di Itali Kl keluarga elu sudah kena CoVid baru tahu rasa RT @nieke_aereta: Aku di Italia paham bgt perasaan kalian yg di INA jk mulai ngeri, takut, panik. Itu kurasain pas awal sekolah diliburkan prtengahan Feb tp spot public msh buka &amp; blm ada instruksi isolasi nasional. Kupikir percuma resiko msh besar. Tp stlh diLOCKDOWN, aku lbh lega, tenang &amp;amp; aman.</t>
  </si>
  <si>
    <t>RT @VICE_ID: Budi Karya Sumadi jadi pejabat tinggi pertama Indonesia yang terdampak COVID-19. Dia sempat menjemput WNI awak kapal pesiar Diamond Princess.</t>
  </si>
  <si>
    <t>@ansorihasan211 @AnakKolong___ @bokulos_ Manusia HARAN JADDAH ya bgini ini... Tunjukin klo lo itu memang MUSLIM !. Oh iya lo itu pengikut Islam SESAT.. KHILAFAH-ISIS.</t>
  </si>
  <si>
    <t>@MhangunMr @VIVAcoid Lie warga nefara mana sih tong? Klo WNI knp loe kek senang bener duit negara ini di rampok berjamaah?</t>
  </si>
  <si>
    <t>RT @NirmalaFirdaus_: GAES....!!! Menhub Budi Karya adalah pejuang di garda terdepan dalam penanganan dampak covid-19 di Indonesia, sejak evakuasi WNI dari LN. Alhamdulillah.. Saat ini kondisinya sudah semakin membaik.. 😇😇 #StaystrongIndonesia</t>
  </si>
  <si>
    <t>Cegah Penyebaran Corona, KBRI Minta WNI Tunda Bepergian ke Selandia Baru</t>
  </si>
  <si>
    <t>@BBCIndonesia sudah ada 3 WNI yang meninggal. tapi sebelum meninggal status masih PDP/diduga Positif Corona. diluar negara sana banyak di nyatakan Positif Corona, lalu penderita Corona tersebut bilang kalau dalam keadaan sehat tapi siap untuk karantina sesuai hukum yang berlaku.</t>
  </si>
  <si>
    <t>@geloraco Wahai Masyarakat, Jangan GE ER dulu yaa, Perlu Kita perjelas Masyarakat WNA China, atau masyarakat WNI</t>
  </si>
  <si>
    <t>68 WNI ABK Diamond Princess yang Pulang Hari Ini Dipastikan Sehat</t>
  </si>
  <si>
    <t>@musniumar Anjing provokator, HTI, ISIS, Al Qsida itu apa?</t>
  </si>
  <si>
    <t>RT @ecosocrights: Itu namanya bukan ketat, wahai Presiden @jokowi. WNI yg dtg dari negara2 terpapar wabah hrsnya di karantina dulu, bukan cuma diperiksa 3x. Utk WNA dr negara2 terpapar wabah hrsnya sdh ditolak dtg. Itu kalau pemerintah mau dinilai serius dlm menangani wabah.</t>
  </si>
  <si>
    <t>Heran aja sih ada WNI yg baru pulang dari LN. Ketika ditanya ini barang apa dijawab oleh oleh. Kirain mampir ke rumah keluarganya di LN lha kok bilang habis traveling 🙄 duh *tepok jidat* pas kondisi kek gini santuy amat</t>
  </si>
  <si>
    <t>Ketakutan kami, para WNI yg berada diluar negeri. Berada di negara yg jumlah kasus corona yg lebih banyak. Kami pelajar di Malaysia takut jika tidak bisa pulang. Sementara banyak kampus dan sekolah di Indonesia diliburkan</t>
  </si>
  <si>
    <t>@ArilGuci @musniumar Pemimpin yg islami itu seperti ISIS gitu ya? Atau pengasong dagangan khilafah..?</t>
  </si>
  <si>
    <t>RT @maulinaelmi_: dan knp abah se khawatir itu? beliau akhirnya bilang "Mas Fen positif corona" iya pak Muhadjir Effendi, Menko PMK. tdi pagi chat di grup kluarga dan katana positif, pas jemput WNI di sana. Syafaakallah pakpuh Fen 🙏</t>
  </si>
  <si>
    <t>RT @lyanaisyh: Kepada budak pt3 yang taktau nak buat ape tuk projek rbt</t>
  </si>
  <si>
    <t>@jokohand76 @Fatimah_Syaff @qronoz @BudiKaryaS Om, saya pcy pemerintah saat ada wabah corona saat msh merebak di Wuhan. Coba ingat² saat evakuasi WNI dari wuhan, dikarantina di natuna wlpn penolakan wrg, evakusi awak kapal. Itu yg tersorot media. Smw sudah di pikirkan. Bukan ongkang² kaki. Nyatanya smw negara kassny meledak</t>
  </si>
  <si>
    <t>@UyokBack Perlakuan yang sama harus diterapkan Saat WNI dari Wuhan dan Kru kapal Diamond Princess diisolasi di pulau seribu, maka seluruh jajaran kabinet yg ikut ratas kemarin harusnya di isolasi ke pulau seribu juga #COVIDー19</t>
  </si>
  <si>
    <t>@AmmiFa Wni d plus waha akhuya faisel janagh zi shab tnawi HAHAHAHHA</t>
  </si>
  <si>
    <t>@ichwanulM_ Gimana mau di pulangin kalo lu mantan isis 😖😭</t>
  </si>
  <si>
    <t>RT @salehandy: @__MV_llestari__ Saya sangat cinta NKRI.saya bisa 3 bhasa daerah.lidahpun sdh lengket dgn makanan nusantara.saya himbau anggaplah kami jg sbg WNI.jgn pake embel-2 keturunan.RRC skr sdh raksasa.kami hanya bangga tapi tdk mau kembali kesana walo ada himbauan.hatiku tetap NKRI.</t>
  </si>
  <si>
    <t>RT @Sastroklengsre1: FA ini masuk dalam golongan apa? 1. RASIS 2. PROVOKATOR. atau, jangan jangan kaki tangan ISIS yang selalu menebar kebencian pada pemerintah yang konstitusional?</t>
  </si>
  <si>
    <t>@ernestprakasa Ingat, Jokowi bukan siapa-siapa, hanya WNI yang diberi mandat oleh rakyat untuk memimpin dan berbuat yang benar untuk rakyat</t>
  </si>
  <si>
    <t>Jokowi: BIN, TNI, Dan Polri, Akan Bantu Melacak Kontak 600 WNI Yang Ikut Tablik Akbar Di Malaysia Terkait Pasien Positif Corona.</t>
  </si>
  <si>
    <t>RT @arsyadin_larh: bukan tiada bakat cuma tiada peluang</t>
  </si>
  <si>
    <t>RT @bintangforza: Beberapa orang menyembunyikan luka hatinya karena dipanggil gendut, kurus, pendek, monyong, dan gelar lainnya.</t>
  </si>
  <si>
    <t>RT @BelajarSans: Terlalu banyak asumsi diera digital Sehingga kita menjadi cacat sosial Kita tak sadar sedang diracuni perlahan Oleh era yang bisa dibilang WOW Sampai demam pun dibilang CORONA Sadarlah, WNI !!! Sadarlah !!! Kita ini sudah menjadi turis Dinegeri sendiri !!! #MingguRebahan</t>
  </si>
  <si>
    <t>68 WNI ABK Diamond Princess ke luar dari Pulau Sebaru</t>
  </si>
  <si>
    <t>Terlalu banyak asumsi diera digital Sehingga kita menjadi cacat sosial Kita tak sadar sedang diracuni perlahan Oleh era yang bisa dibilang WOW Sampai demam pun dibilang CORONA Sadarlah, WNI !!! Sadarlah !!! Kita ini sudah menjadi turis Dinegeri sendiri !!! #MingguRebahan</t>
  </si>
  <si>
    <t>@SamrohSamaon @airlangga65 Nah klw begitu setiap ada ygbicara KHILAFAH Buka sejarahKE KHALIFAHAN paraSAHABAT NABI jngn ISIS- HTI Nanti generasi ygtdk tahu sejarah KHILAFAH bisa salahfaham INGAT KHILAFAH INGAT keKHALIFAHANNYA PARA SAHABAT BUKAN ISIS &amp; HTI FAKTA SEJARAH jngn disembunyikan meskipun tak suka</t>
  </si>
  <si>
    <t>RT @artmelandromeda: WASPADAI BADAN AMAL KEDOK TERORIS! TEGAS PADA TERORIS!! JANGAN RAGU ATAU RAKYAT YANG JADI KORBAN!!! TIGA TKI YANG MENYUMBANG KE BADAN AMAL YANG JADI KEDOK JARINGAN TERORIS SEKARANG DITAHAN POLISI SINGAPURA : #LawanTeroris #tolakekswniproisis</t>
  </si>
  <si>
    <t>@Hilmi28 Buat apa ngurus WN asing urus WNI, sok internasional komunitas segala, ini pasti bacot " mewah", eksekusinya g sebagus bacotnya gabener, udah kliatan masker aja 300 ribu ...</t>
  </si>
  <si>
    <t>@AliR32a @EhbHanifa @FerdinandHaean2 @faizalassegaf @jokowi @DivHumas_Polri @CCICPolri Wuakakakakak...... Bawa budaya ISIS ke Indinesia. Memang anjinkkkkk laknat dajjal dunia kalian!!!!! Gw asli Jawa. Bokap Yogya Nyokap Magelang. Kalau elu ..... Nenek lo aja masih ngais2 makanan di yaman....pulang sono lu anak arab anjinkkkkk khilapah!!!!</t>
  </si>
  <si>
    <t>@DAROSAFONTANAL1 @Sopo_Jarwo3 Itu INTINYA, sstm pmrinthn Khlfh prnh ada dms lalu di Timteng smp Tumbangnya Trah Ustmani Turki, smp disitu titik, bukti yg ada skrg smua pnyeru Khilafah adlh kaum Radikal Intoleran, ALQAEDA/ISIS/IKHWNL MSLMN/BOKO HARAM/NII/DITII/ISLAM MORO/JI/JAD/JAT/HTI/MIT, siapa yg mo prcya?</t>
  </si>
  <si>
    <t>RT @AinaQueen5: @SuramaduJingga @LisaAmartatara3 #IndonesiaButuhPemimpin #IndonesiaButuhPemimpin Hasbunallah wni'mal wakil ni'mal Maula wni'man natsiir</t>
  </si>
  <si>
    <t>Setelah merebaknya virus Corona dan diumumkannya untuk pertama kali bahwa 2 orang WNI positif terjangkit, kantor gw langsung ambil tindakan tindakan preventif yang gw syukuri.</t>
  </si>
  <si>
    <t>Jogja udh ada dong -_. Makanya, gw dari awal dah curiga kok Malioboro dan tempat wisata lain msh rame banget dikunjungi. Sehrsnya dari awal pemda DIY udh melarang adanya kunjungan wisatawan ke Jogja (WNI/WNA) utk menutup kemungkinan penyebaran 😭🙃 RT @CNNIndonesia: Selain penambahan jumlah pasien, jubir untuk corona, Achmad Yurianto juga menyebut persebaran kasus positif corona terdapat di Bandung hingga Manado. Ia juga menyatakan beberapa daerah lainnya masih dalam pemantauan. Selengkapnya:</t>
  </si>
  <si>
    <t>@emrenaldii Lah serius , lo jgn nambah2in WNI yang kena suspect COVID-19 . mending lo diem2 disana ngumpulin uang jadi ntr bisa jajanin gw.kita susidet 😀😀</t>
  </si>
  <si>
    <t>@ISIS_Balik_NO @Candraasmara85 @faizalassegaf @jokowi Entah tuh si Onta,nggak tau diri. Kambing kek,ayam kampung kek,ayam cemani kek,orang utan kek. Kan banyak yang asli pribumi. Onta kok ngaku2.</t>
  </si>
  <si>
    <t>@KFans97 @filosofiksi @doniazani @detikcom Taiwan lelet darimana klo boleh tau? Klo mulangin WNI dari Wuhan emang hrs persetujuan RRC</t>
  </si>
  <si>
    <t>@ielviraaa uuu tayang, rasah katokan isis lur</t>
  </si>
  <si>
    <t>RT @cadarmerah: @dr_tompi @TeddyGusnaidi Nah ini, WNI belum bisa maksimal spt WN China itu ... kita batu sampai tahap rasis spt si @faizalassegaf minoritas yg sok mayoritas ; dia lupa bahwa seluruh WNI berkedudukan sama dalam Hukum Indonesia ...</t>
  </si>
  <si>
    <t>#SahabatKemlu, berikut update Perkembangan COVID-19 di Dunia dan Pelindungan WNI per 15/03 pukul 08.00 WIB. #IniDiplomasi #NegaraMelindungi</t>
  </si>
  <si>
    <t>@bumi_pijak Nah itu dia 😪 Padahal kasusnya selama ini belum mencapai 100 orang dari 250an juta penduduk 😪 Bahkan dari kasus itu ada WNA juga, jadi ga 100% WNI.</t>
  </si>
  <si>
    <t>alhamdulillah w “cukup” aware sama penyakit. even pd akhirnya kena/ ga ya keputusan Allah. smg aja wni sadar untuk kedepan bkn cuma skrg.</t>
  </si>
  <si>
    <t>@trishaulia @CNNIndonesia Mba Silahkan Baca Tweet WNI yg lama tinggal di ITALY RT @nieke_aereta: Aku di Italia paham bgt perasaan kalian yg di INA jk mulai ngeri, takut, panik. Itu kurasain pas awal sekolah diliburkan prtengahan Feb tp spot public msh buka &amp; blm ada instruksi isolasi nasional. Kupikir percuma resiko msh besar. Tp stlh diLOCKDOWN, aku lbh lega, tenang &amp;amp; aman.</t>
  </si>
  <si>
    <t>RT @Bocah__koplak: @DamnLoveNKRI @danikediri1908 @EhbHanifa @diar_stp @FerdinandHaean2 @faizalassegaf @jokowi @DivHumas_Polri @CCICPolri @GunRomli @Gun4w4nAhokers @RAISYAELBIX1 @muannas_alaidid @Namaku_Mei @mohmahfudmd @BareskrimPolri Tuh orang Wni bukan sih</t>
  </si>
  <si>
    <t>@DamnLoveNKRI @danikediri1908 @EhbHanifa @diar_stp @FerdinandHaean2 @faizalassegaf @jokowi @DivHumas_Polri @CCICPolri @GunRomli @Gun4w4nAhokers @RAISYAELBIX1 @muannas_alaidid @Namaku_Mei @mohmahfudmd @BareskrimPolri Tuh orang Wni bukan sih</t>
  </si>
  <si>
    <t>@ISIS_Balik_NO @digeeembok Jiwanya nggak kuat jadi orang baik.</t>
  </si>
  <si>
    <t>RT @Spider__id: Berkah Tuhan - 8 orang dirawat di dalam negeri sembuh - 9 orang WNI yang dirawat di Jepang sembuh dan sudah kembali ke tanah air. - 5 orang meninggal di dalam negeri. - Berikut daerah penyebaranya. - Selalu waspada jaga imunitas. #SayaPercayaJokowi</t>
  </si>
  <si>
    <t>@tribunnews InsyaAllah yg terbaik yg dilakukan pemerintah! Masih hangat cerita ketika WNI dari Wuhan yg akan di karantina? Begitu paniknya masyarakat yg tau daerahnya jadi tempat karantina! Bangsa kita ini masih belum cerdas seluruhnya, tapi sebagian kecil yg bodoh justru keras suaranya</t>
  </si>
  <si>
    <t>RT @kurawa: Turut berduka atas meninggalnya pasien #25 Corona di Indonesia.. Waspada tapi tidak perlu panik Hanya dengan kebersamaan sebagai WNI kita bisa lalui ujian ini</t>
  </si>
  <si>
    <t>Tekanan agar indonesia umumkan lockdown karena virus corona bisa dianalisa : salah satu cara asing dan mitra agennya (wni) yang ada di indonesia untuk melumpuhkan ekonomi indonesia dan bantuan asing masuk dengan agenda politiknya 🤣</t>
  </si>
  <si>
    <t>dan knp abah se khawatir itu? beliau akhirnya bilang "Mas Fen positif corona" iya pak Muhadjir Effendi, Menko PMK. tdi pagi chat di grup kluarga dan katana positif, pas jemput WNI di sana. Syafaakallah pakpuh Fen 🙏</t>
  </si>
  <si>
    <t>RT @RD_4WR1212: Mbah Wapres udah duduk manis aja di kursi goyang tdk usah keluarin Statement yg lain, berdoa aja semoga Bangsa kita di lindungi dan di jauh kan dari segala cobaan Oleh Allah SWT Amin....</t>
  </si>
  <si>
    <t>@imyour_isis @sadhorro Mononoke</t>
  </si>
  <si>
    <t>Total kru kapal 500 orang. Kru kapal yg WNI 50 orang.</t>
  </si>
  <si>
    <t>@mbahCokro77 ISIS bacaan anak TK bro Ayo kita bahas mulai dari Rockefeller 1957 - G30S Atau mau agak jauh lagi tentang awal peradaban bangsa arab? Atau mau lebih menantang, 3000 BC? Yang lain sih sudah ke era Nuh AS Yang seru era Musa AS Tapi sudah paham Khidir AS? Usia Ruh mu berapa?</t>
  </si>
  <si>
    <t>RT @antaranews_bali: 68 ABK Diamond Princes dikeluarkan dari Pulau Sebaru: Sebanyak 68 warga negara Indonesia (WNI) anak buah kapal (ABK) Diamond Princess akhirnya keluar dari Pulau Sebaru Kecil, Kepulauan Seribu, DKI Jakarta, usai menjalani observasi terkait virus corona…</t>
  </si>
  <si>
    <t>@DAROSAFONTANAL1 @airlangga65 Stuju ISIS tdk akan prnh mnyerang ISRAEL &amp; rkyt Palestine tdk akn prnh pduli pd kaum Islam Radikal mcm Alqaeda, Ikhwanul Muslimin, ISIS &amp;amp; sjnisnya, tpi siapa yg mo prcy pd org2 yg mneriakkan Khilafah bhw mrk tdk = ISIS ?, krn kaum Radikal smuanya pendusta, &amp;amp; bukti yg ada mrk sama</t>
  </si>
  <si>
    <t>RT @fadjroeL: Presiden @jokowi memimpin proses penyelamatan WNI sejak kasus covid-19 di Wuhan, Hubei, lalu World Dream dan Diamond Princess hingga hari ini ketika covid-19 merebak di Indonesia. #GotongRoyongMelawanCovid19 selalu DISERUKAN Presiden setiap hari menghadapi covid19 ~ FR #Jubir</t>
  </si>
  <si>
    <t>68 ABK Diamond Princes dikeluarkan dari Pulau Sebaru: Sebanyak 68 warga negara Indonesia (WNI) anak buah kapal (ABK) Diamond Princess akhirnya keluar dari Pulau Sebaru Kecil, Kepulauan Seribu, DKI Jakarta, usai menjalani observasi terkait virus corona…</t>
  </si>
  <si>
    <t>RT @liputan6dotcom: Observasi Usai, 68 WNI ABK Diamond Princess Dipulangkan Hari Ini</t>
  </si>
  <si>
    <t>@dr_tompi @TeddyGusnaidi Nah ini, WNI belum bisa maksimal spt WN China itu ... kita batu sampai tahap rasis spt si @faizalassegaf minoritas yg sok mayoritas ; dia lupa bahwa seluruh WNI berkedudukan sama dalam Hukum Indonesia ...</t>
  </si>
  <si>
    <t>@tjapoenglaut Sebagai Orang Kristen teror seperti ini bisa dimaknai sbg salib yang harus dipikul dan diterima dengan tabah tetapi sbg WNI di negara ber-Pancasila adalah kewajiban bersuara jika ada pelanggaran terhadap hak DASAR yg dijamin UU siapapun itu korbannya.</t>
  </si>
  <si>
    <t>RT @ObaiIdon: Masyarakat minoritas jg jgn sungkan minta bantuan masyarakat internasional utk melawan kaum intoleran dan radikalis, hti khilafah isis.</t>
  </si>
  <si>
    <t>@hamka_sutra Aamiin.. semoga cepat sembuh &amp; juga seluruh WNI &amp;amp; seluruh orang didunia yg terjangkit cepat sembuh..</t>
  </si>
  <si>
    <t>RT @Vwi_Vwi: klo 1 negara lg kena virus gini. klo dipikir2 mending jd negara komunis ya, drpd jd negara demokrasi. lihat sj kelakuan WNI di TL. banyakkan bacot,susah diatur pemerintah nya.</t>
  </si>
  <si>
    <t>@EddyHape @qolbubaik @geloraco Kalo memang ditanggung negara kenapa dulu 230 wni yg dipulangin dr wuhan gk dites corona karena biaya yg mahal??</t>
  </si>
  <si>
    <t>klo 1 negara lg kena virus gini. klo dipikir2 mending jd negara komunis ya, drpd jd negara demokrasi. lihat sj kelakuan WNI di TL. banyakkan bacot,susah diatur pemerintah nya.</t>
  </si>
  <si>
    <t>FA ini masuk dalam golongan apa? 1. RASIS 2. PROVOKATOR. atau, jangan jangan kaki tangan ISIS yang selalu menebar kebencian pada pemerintah yang konstitusional? RT @TCdharma: Sampah NkRI yang jauh lebih berbahaya dari virus biologi corona. 😤</t>
  </si>
  <si>
    <t>@faizalassegaf @ChristWamea @jokowi Kalau kritik ya kritik saja, gak perlu pake minoritas atau mayoritas atau pribumi atau non pribumi dll.. Selagi seseorang itu WNI ya sama smua di mata hukum.. Kritiklah yg bijak untuk kebaikan</t>
  </si>
  <si>
    <t>@mamaciaaa Dan sekarang masih ada WNI yg tertahan di Wuhan sendiri an..</t>
  </si>
  <si>
    <t>RT @GajahMada1290: @Kirana____2 @Tetap_NKRI @LusiHQ @Tikayulie @AremaNita__ @BelajarKejawen @YogaAdrianyoga6 Yg ada dari rekaman2 video yg beredar malah wanita tdk mempunyai harga diri, wanita dijual kpd kelompoknya, diperkosa dan hanya dijadikan budak sex, yg demo silahkan anda buktikan atau tanyakan kpd mereka yg sdh pernah bergabung dgn ISIS.</t>
  </si>
  <si>
    <t>#Nasional 68 WNI ABK Diamond Princess Mulai Keluar dari Pulau Sebaru Kecil</t>
  </si>
  <si>
    <t>Observasi Usai, 68 WNI ABK Diamond Princess Dipulangkan Hari Ini</t>
  </si>
  <si>
    <t>Gimana mau tegas. Sekarang aja WNI masih di perbolehkan untuk pergi keluar negeri padahal kondisi ini udah darurat nasional. Lalu WNA masih pada diperbolehkan masuk Indonesia. Wajar kalau korban bertambah toh pencegahannya kurang maksimal begini 😔#CoronaVirusUpdates</t>
  </si>
  <si>
    <t>@Sarah_Pndj Doi malah ke bandara, ikutan ngecek suhu, wadefak?? yg bener tuh, ngelarang masuk org2 dr negara epidemik, ngelarang WNI ke negara2 epidemik. Bener2 mediocre leadership-nya.</t>
  </si>
  <si>
    <t>@MAshraf65257477 @FareedZakaria Shame on PFI, Isis, Tahir Husain Jihadi's and Gadhar Kejriwal @ArvindKejriwal @republic @TimesNow along with Hindu twits selling out for RS 200 to a criminal Aam Admi Party. @BJP4India @AamAadmiParty</t>
  </si>
  <si>
    <t>Awas aksi bom teroris isis di tengah serangan corona.</t>
  </si>
  <si>
    <t>Masyarakat minoritas jg jgn sungkan minta bantuan masyarakat internasional utk melawan kaum intoleran dan radikalis, hti khilafah isis. RT @RomeskoP: Indonesia Jangan malu malu minta bantuan</t>
  </si>
  <si>
    <t>RT @Kemlu_RI: #SahabatKemlu, berikut update Perkembangan COVID-19 di Dunia dan Pelindungan WNI per 13/03 pukul 10.00 WIB. Terdapat tambahan 2 WNI di Singapura terkonfirmasi COVID-19. #IniDiplomasi #NegaraMelindungi</t>
  </si>
  <si>
    <t>@SamrohSamaon @airlangga65 PERNAHKAH ADA ISIS MENYERANG ISRAEL...? PADAHAL DISITU TEMPATNYA PEMBANTAIAN UMAT ISLAM PALESTINA</t>
  </si>
  <si>
    <t>RT @kangdede78: Anda boleh menuding saya tak punya rasa kemanusiaan karena #TolakEksWNIproISIS balik ke Indonesia. Tapi saya punya alasan kuat MENOLAK kepulangan mrk ke Indonesia. Kalian kasih video anak-anak WNI eks kombatan ISIS di Suriah, saya kasih foto korban KEBIADABAN ISIS di Indonesia.</t>
  </si>
  <si>
    <t>@AnakKolong___ Sip saya dukung anda 212 berangkat perang bawa semua teman_ teman yg sepaham biarkan indonesia kosong , trimakasih juga pada isis yg asal indonesia yg sekarang telah menetap d suriah, biarkan indonesia tentang</t>
  </si>
  <si>
    <t>RT @cinnamongirldr: @Mentimoen tahun lalu ACT sempat dituduh kirim dana ke ISIS, karena ada aliran dana ke Suriah, tapi ACT membantah, bahwa itu bantuan untuk pengungsi Suriah. infonya mereka akan ambil langkah hukum untuk "hoax" tersebut, tapi waktu itu aku udah ga denger update soal langkah hukum lagi.</t>
  </si>
  <si>
    <t>Amiin.. kejanggalan knp hrs masif hoax saat WNI ke Natuna,knp beredar terus hoax di wa di gedung ini di mall sana ada Corona,ada apa Anies 2 org corona bilang genting,ada apa Anies bilang ratusan org dlm pantauan ternyata dibantah menkes,jg Anies mau lockdown &amp; liburin sekolah🙄 RT @muannas_alaidid: PSI Optimistis Pemerintah Bisa Atasi Virus Corona</t>
  </si>
  <si>
    <t>@geloraco Berdaulaaatt ndiasssmuuu..asu!!kalau nutup2i trs banyak WNI kena corona karena kurangnya kewaspadaan pemerintah,terus mau ngapain??Bangsaaaaatt</t>
  </si>
  <si>
    <t>@zarazettirazr Jangan pejabat saja yg dilarang,, semya WNI, dan Indonesia segera lock down</t>
  </si>
  <si>
    <t>@filosofiksi @detikcom Mulangin wni dari wuhan aja lelet.</t>
  </si>
  <si>
    <t>Pangkogabwilhan I : 188 WNI eks ABK World Dream Dalam Kondisi Baik dan Sehat Siap Dipulangkan</t>
  </si>
  <si>
    <t>@SamrohSamaon @airlangga65 SUDAH PERNAH DATANG KE MARKAS ISIS..?</t>
  </si>
  <si>
    <t>RT @sudjiwotedjo: IQ Melati akan termehek2 membedakan “narsum yg ngomong kayu, besi dll hingga tanah” dan “narsum yang ngomong zat inti yg sama pada kayu, besi dll hingga tanah”. Sebagaimana mereka akan jatuh bangun membedakan “ISIS benar saat bilang 2+2=4” dan “Membela ISIS”.</t>
  </si>
  <si>
    <t>Pangkogabwilhan I Tinjau Evakuasi 188 WNI Pulau Sebaru ke KRI Semarang 594</t>
  </si>
  <si>
    <t>Isis Adalah Islamic State of Iraq and Syiria</t>
  </si>
  <si>
    <t>yaallah kenapa aku harus jadi wni RT @tubirfess: 2beer! Sumpah lama lama negeri ini tak ada masa depan. Tolonglah kawan-kawan, mari kita bersatu tak masalah ideologi kalian apa, yang jelas boomer boomer seperti satu ini harusnya punah dari kekuasaan</t>
  </si>
  <si>
    <t>Landing Craft Utility (LCU) - Wahana yang wara wiri dalam evakuasi WNI dari Pulau Sebaru Kecil ke KRI Semarang 594  #coronavirus</t>
  </si>
  <si>
    <t>@Kirana____2 @Tetap_NKRI @LusiHQ @Tikayulie @AremaNita__ @BelajarKejawen @YogaAdrianyoga6 Yg ada dari rekaman2 video yg beredar malah wanita tdk mempunyai harga diri, wanita dijual kpd kelompoknya, diperkosa dan hanya dijadikan budak sex, yg demo silahkan anda buktikan atau tanyakan kpd mereka yg sdh pernah bergabung dgn ISIS.</t>
  </si>
  <si>
    <t>@__MV_llestari__ Saya sangat cinta NKRI.saya bisa 3 bhasa daerah.lidahpun sdh lengket dgn makanan nusantara.saya himbau anggaplah kami jg sbg WNI.jgn pake embel-2 keturunan.RRC skr sdh raksasa.kami hanya bangga tapi tdk mau kembali kesana walo ada himbauan.hatiku tetap NKRI.</t>
  </si>
  <si>
    <t>RT @oak_math_lee_91: @aukankapaul @Menlu_RI @Kemlu_RI Semoga kedepannya ada followup berita mengenai proposal/negosiasi bebas visa Schengen bagi WNI berpaspor biasa dari Ibu @Menlu_RI @Kemlu_RI 🙏🏻 🇮🇩 🇪🇺</t>
  </si>
  <si>
    <t>@__MV_llestari__ Kelengkatan dgn para pekerja seperti sdr. Kami masih menunggu apakah kami masih orang Indonesia ato masih dianggap Cina?kami WNI keturunan lahir di NKRI.sampai saat inipun sering dibully.pemerintahpun tdk anggap kami wni,karna nanti tdk setia.</t>
  </si>
  <si>
    <t>@liem_id Masuk ke prog. observasi seperti wni lain..</t>
  </si>
  <si>
    <t>RT @AncharPuang: @imanlagi Anda pikir mereka santuy.. Mereka bolak2ik kerja ngurusin maslah ini, mikirkan pemulangan WNI, karantina dll, dalam negeri mereka jg berupaya agar masyarakat tdk panik.</t>
  </si>
  <si>
    <t>@ReenGaston Ini lah ketua2 melayu berbontot kuali... Nama je wakil rakyat. Bg pandangan ikut kepala sendiri. Dah bg mcm2 semua x puas.. Lepas ni malas lah nk undi2.. Kalau ranap la Malaysia lepas ni takde cara lain la kena buat cara Isis la plak.. Wa tunggu jer</t>
  </si>
  <si>
    <t>@mbahCokro77 Konsep ISIS sdh sangat jls, mereka berperang hanya krn satu tujuan yaitu ingin mendirikan negara khilafah diseluruh dunia, trs klo seperti ini apakah ISIS bkn identik dgn khilafah, smpe sisi fahamkan, PUTRA PARAHIYANGAN....!!!</t>
  </si>
  <si>
    <t>RT @syellla_lagiii: Name: syella 🥰 Hobby: basahin kasur💦 Aku chubby beb tapi masih bisa ngulek di atas perut kok🤭 , TB ga pendek ga tinggi juga😌 wrn kulit ciri khas WNI bgt deh☺ BOOBS? ukur aja sendiri sini😜 Save no syella ya krn akun rentan suspend👉 081283132735 👈rek aku ttp bca an R yaa😘</t>
  </si>
  <si>
    <t>Dubes Aran : Rizieq Shihab Bisa Pulang Kapan Saja Rizieq simpatisan ISIS gak bakal berani pulang cmn gara2 mek*</t>
  </si>
  <si>
    <t>Dulu sebelum WNI terkena covid-19, banyak yg jadiin bahan becandaan &amp; pencegahannya lemah, sekarang udah banyak yg kena covid-19 baru pada panik semua, makanya kalo masih ada chance terkena korona jgn malah dibikin becandaan</t>
  </si>
  <si>
    <t>ga' masuk akal aq di tuduh teroris ISIS puttt</t>
  </si>
  <si>
    <t>RT @BBCIndonesia: [Video Terpopuler] Seperti apa rasanya menjalani kehidupan di Italia yang sedang ditutup? Jeannette Lim, WNI di Italia, bercerita bagaimana pemerintah mencegah wabah Covid-19 semakin meluas — salah satunya dengan menjaga jarak minimal satu meter dari orang lain.</t>
  </si>
  <si>
    <t>@DAROSAFONTANAL1 tapi ISIS identik dengqn khilafah ? wkwkwkwk</t>
  </si>
  <si>
    <t>Baru tahukan, betapa paniknya kami di Natuna, waktu kalian kirim WNI dari Wuhan. Skrng covid19 sdh masuk ring 1 istana. Semoga kita selamat dari wabah covid19.</t>
  </si>
  <si>
    <t>RT @mbahCokro77: Jika benar Khilafah menjaga kehormatan wanita,silahkan datang dan gabung disuriah n ISIS 😁😁 Bukan omdo tp bukti nyata kalau gk pingin dirombong lakinya 😂😂😂 Gini ni orang2 sok tau tanpa menggunakan akal pikiran n nalarnya yg dianugrahkan Allah😂</t>
  </si>
  <si>
    <t>MENOLAK KEBERADAAN ISIS!!!!</t>
  </si>
  <si>
    <t>@__MV_llestari__ Ibu tiri akan tamat riwayat mu Isis, al qaeda kkb kadrun dll bagian dari ibu tiri Whos know ?</t>
  </si>
  <si>
    <t>RT @shantyweis: maksud dari Karantina ini seperti yang dilakukan pemerintah Indonesia ketika memulangkan WNI dari Wuhan untuk ditempatkan di Pulau Natuna selama dua minggu, dan para WNI ABK kapal pesiar Diamond Princess dan World Dream yang ditempatkan di Pulau Sebaru. #ApaItuLockDown</t>
  </si>
  <si>
    <t>@Raj4Purwa Ayat, Mayat, Kriminalisasi "ulama", politisasi masjid, KHILAFUCK, pilpres 2019,Papua, Gerah lihat salib, sesak nafas lihat gereja &amp; pura, uyghur, Natuna, Syiah, eks WNI pro ISIS hingga virus Corona, jadi BAHAN GORENGAN . Beragama koq seperti WAJAN ?!!!</t>
  </si>
  <si>
    <t>RT @makLambeTurah: Baca diberita sebelumnya, Budi Karya itu sudah diisolasi sejak awal maret usai menyambut 69 WNI ABK Diamond Princess di Bandara Kertajati, Majalengka.</t>
  </si>
  <si>
    <t>@hnurwahid @PKSejahtera Ayat, Mayat, Kriminalisasi "ulama", politisasi masjid, KHILAFUCK, pilpres 2019,Papua, Gerah lihat salib, sesak nafas lihat gereja &amp; pura, uyghur, Natuna, Syiah, eks WNI pro ISIS hingga virus Corona, jadi BAHAN GORENGAN . Beragama koq seperti WAJAN ?!!!</t>
  </si>
  <si>
    <t>@GadisIlma @fadlizon @MataNajwa @NajwaShihab @fadjroeL @jokowi Waktu evakuasi wni yg di natuna, mereka gak di tes virus, karena gak punya alat tes virusnya,, harganya 1 milyaran, mereka dianggap negatif virus berdasarkan pada fisik yg terlihat bugar.</t>
  </si>
  <si>
    <t>Observasi Selesai, 68 WNI ABK Diamond Princess Dikeluarkan dari Pulau Sebaru</t>
  </si>
  <si>
    <t>RT @InilahOnline: Pangkogabwilhan I Tinjau Evakuasi 188 WNI Pulau Sebaru ke KRI Semarang 594</t>
  </si>
  <si>
    <t>RT @MadirodokSia: Pangkogabwilhan I Tinjau Evakuasi 188 WNI Pulau Sebaru ke KRI Semarang 594</t>
  </si>
  <si>
    <t>RT @jurnalpatrolin1: Pangkogabwilhan I Tinjau Evakuasi 188 WNI Pulau Sebaru ke KRI Semarang 594 – JPNEWS</t>
  </si>
  <si>
    <t>RT @Jangari2: Pangkogabwilhan I Tinjau Evakuasi 188 WNI ABK World Dream Di Pulau Sebaru  #CoronaVirusUpdates</t>
  </si>
  <si>
    <t>RT @EraJateng: Pangkogabwilhan I Tinjau Evakuasi 188 WNI ABK World Dream Di Pulau Sebaru  #IndonesiaButuhPemimpin</t>
  </si>
  <si>
    <t>RT @Aura75588922: Pangkogabwilhan I Tinjau Evakuasi 188 WNI ABK World Dream Di Pulau Sebaru  #malamminggu</t>
  </si>
  <si>
    <t>@kompascom Seperti wni lain dimasukkan ke observasi..?</t>
  </si>
  <si>
    <t>@msaid_didu Ayat, Mayat, Kriminalisasi "ulama", politisasi masjid, KHILAFUCK, pilpres 2019,Papua, Gerah lihat salib, sesak nafas lihat gereja &amp; pura, uyghur, Natuna, Syiah, eks WNI pro ISIS hingga virus Corona, jadi BAHAN GORENGAN . Beragama koq seperti WAJAN ?!!!</t>
  </si>
  <si>
    <t>RT @oak_math_lee_91: Ibu @Menlu_RI @Kemlu_RI Senang sekali akhirnya KBRI Kuwait mendengarkan aspirasi kita semua untuk meminta pemberlakuan eVisa bagi WNI berpaspor biasa ke Kuwait. Semoga dapat terus dipantau dan dikejar. Semoga WNI berpaspor biasa dapat segera memanfaatkan kemudahan eVisa Kuwait.</t>
  </si>
  <si>
    <t>@Raj4Purwa @mohmahfudmd Ayat, Mayat, Kriminalisasi "ulama", politisasi masjid, KHILAFUCK, pilpres 2019,Papua, Gerah lihat salib, sesak nafas lihat gereja &amp; pura, uyghur, Natuna, Syiah, eks WNI pro ISIS hingga virus Corona, jadi BAHAN GORENGAN Beragama koq seperti WAJAN ?!!!</t>
  </si>
  <si>
    <t>Syahganda Nainggolan: Jokowi dan Para Menteri Perlu Dikirim ke Kepulauan Seribu untuk Diisolasi “Hal ini sesuai dengan standar yang sama diberlakukan kepada WNI eks Wuhan, eks kapal pesiar Dream World, eks kapal pesiar Diamond,” ujar Syahganda. --- 🤐🤐</t>
  </si>
  <si>
    <t>RT @vaiyo: Good, semoga tidak dipelintir jadi mencurigai orang yg menjalankan ibadah. Sambil nunggu kesukarelaan tes/lapor, baiknya @BNPB_Indonesia juga berkordinasi dg imigrasi cek semua WNI yg ke &amp; dari Malaysia di tanggal² tablik akbar tsb &amp;amp; jika perlu didatangi.</t>
  </si>
  <si>
    <t>Ini membuktikan demikian seriusnya penanganan dampak wabah covid 19 di Indonesia , bermula dari mahasiswa wni di Wuhan,dan kini para wni yg bekerja di kapal bendera mancanegara , smoga semua bethasil baik dg penanganannya, Aamiin YRA</t>
  </si>
  <si>
    <t>Btw di suriah dan dunia per-ISIS-an ga ada #COVID19 kah ? diem diem bae</t>
  </si>
  <si>
    <t>@mbahCokro77 Emang isis itu khilafah ???? Lu yg ga tau sapa tuh isis Kasian</t>
  </si>
  <si>
    <t>#JKWLengserRIBangkit #JKWLengserRIBangkit Pak Jokowi, Please Lockdown Indonesia 2 Pekan Saja ketimbang Pakai Jasa Buzzer  WNI diabaikan 😠 WN China justru dpt perlindungan krn "kebijakan terpaksa pemerintah"</t>
  </si>
  <si>
    <t>@MSApunya Beliau kena virus bs jd krn tugas Dak kenal waktu bertanggung jawab langsung dalam memulangkan WNI yg diluar negri. Kita doakan yg baik2 saja jangan berdoa yg buruk bisa saja itu kembali kepada kita dan keluarga... Mudah2an pak budi segera sembuh dari sakit nya.. Aamiin...</t>
  </si>
  <si>
    <t>@faizalassegaf @jokowi @aniesbaswedan Woi bodoh dia itu WNI, sama halnya Ahok. Makanya gue ga suka pihak² yg memainkan asal-usul keturunan. Kegoblokan mu kumat lg dg memainkan isu kesukuan, pribumi dll. Mau numpang menjilat lg?</t>
  </si>
  <si>
    <t>@do_ra_dong Apakah mereka jauh lebih penting dari penduduk asli wni?</t>
  </si>
  <si>
    <t>RT @KBRI_Brasilia: Imbauan KBRI Brasilia kepada seluruh WNI di Brasil terkait kasus positif CoVid-19 dan perkembangan terkini situasi di Brasil. Kiranya agar seluruh WNI meningkatkan kewaspadaan, namun tetap tenang dan tidak panik. #NegaraHadir #NegaraMelindungi #IniDiplomasi</t>
  </si>
  <si>
    <t>@isismayaras carai Isis KKKKKKKKKKK</t>
  </si>
  <si>
    <t>@pusingbingits mti klo makannya brsma tntara isis</t>
  </si>
  <si>
    <t>Slama adaa pirus corona, kita smua diam2 baee yaaa di dlm negri, jgn gatel pngn kluar negri... Di dlm n krja spy biasa, petani brcocok tanam, nelayan brlayar, siswa blajar, karyawan ngantor, insya Allah aman slama nggak adaa wna msk ke sini or wni kluar negri n balik bwa pirus</t>
  </si>
  <si>
    <t>@thisisintaaan @riizkyprdna biar isis aja brooo</t>
  </si>
  <si>
    <t>@nunesssii cala boca isis</t>
  </si>
  <si>
    <t>RT @KKMPutrajaya: Statistik terbaru WHO dikemaskini 6pm 13 Mac. Kes di Itali melebihi 12,000 dgn kematian lebih 1,000 dan kadar kematian lebih 8%. Greece, Cyprus, Austria, Panama - negara yang mula berlaku kematian. Di Malaysia, 197 kes dgn 33 telah pulih. @DrAdhamBaba</t>
  </si>
  <si>
    <t>@setkabgoid @jokowi @Kemenag_RI Gak penting banget pak tinjau begini. Mendingan paling depan tinjau penanganan isolasi pengidap positif Corona atau WNI yg di isolasi spy jd contoh &amp; rakyat tahu gak perlu takut corona virus 😊</t>
  </si>
  <si>
    <t>Cobain pimpim penyambutan WNI yg dikarantina dong pak jokowi. Atau pimpin menengok org yg positif corona.. kasih contoh rakyat bahwa virus corona gak perlu terlalu serius hadapi &amp; gak perlu ditakuti !!! #jokowimelawancorona #JokowiGagalTanganiCovid19 #JokowiTidakBisaDipercaya RT @republikaonline:</t>
  </si>
  <si>
    <t>RT @P_Eneste: @AnakKolong___ @jokowi Itu menunjukkan afiliasi mereka sebenarnya. Negara penganut Syi'ah utama, Iran, adalah SATU2NYA negara yg tidak mau tunduk kpd hegemoni AS dan KSA. Negara Timteng lain, #nunut... Jadi bisa dikatakan mereka (Kadrun) adalah antek Wahabi dan AS yg ingin mengubah NKRI spt ISIS...</t>
  </si>
  <si>
    <t>RT @Kemlu_RI: #SahabatKemlu, berikut update Perkembangan COVID-19 di Dunia dan Pelindungan WNI per 14/03 pukul 08.00 WIB. #IniDiplomasi #NegaraMelindungi</t>
  </si>
  <si>
    <t>@arieparikesit Aku Duta Bakwan!! 🤣🤣🤣 Buktinya: 1. Ibu-ibu WNI di pengajian Minnesota, kalau aku gak bawa bakwan ke pengajian pasti nanyain. Aku bawa makanan lain, ttp bakwan yg ditanyain. 2. Tmn2 bule bilang, “the vegetable fritters you made are soooo delicious!”</t>
  </si>
  <si>
    <t>Ini masuk akal pak @jokowi .. bikin 1 - 2 titik aja okserfasi karantina ..kmarin do tv2 katanya ada tuh 1 pulai ex WNI dr china .. mbok ya d sana saja ..terfokuskan data dan pantauanya .. dokter juga bisa bergantian dalam 3 - 6 bulan kedepan gak ambyaarr kek sekarang RT @dayatia: Agak beda sama SARS. Yg bisa difokuskan pada 1-2 RS. Ini siap2 seluruh negeri, swluruh kabupaten. Dan artinya menyebar kemana2. Siap tidak dgn risiko terburuk?</t>
  </si>
  <si>
    <t>@faizalassegaf @jokowi Satu lagi wni keturunan yg banyak bacot...</t>
  </si>
  <si>
    <t>@SuramaduJingga @LisaAmartatara3 #IndonesiaButuhPemimpin #IndonesiaButuhPemimpin Hasbunallah wni'mal wakil ni'mal Maula wni'man natsiir</t>
  </si>
  <si>
    <t>RT @KelinciPaskah: Ucet. Pak Menhub positif Corona :( Kena waktu menyambut WNI kru Diamond Princess kali ya? Waktu di Majalengka.</t>
  </si>
  <si>
    <t>isis love kira kener</t>
  </si>
  <si>
    <t>@RD_4WR1212 Loh ya jelas lh pk wapres yg bertanggung jawab ya pemerinth setempt WNI tinggl contoh pemrrinth Taiwan menanggung seluruh biaya2 pengobatan orng yg kena corona mau BMI,TKW,TKI yg ilegal/legal pun yg pntng warganya aman Taiwan tegas</t>
  </si>
  <si>
    <t>Untuk memudahkan persatuan warga Indonesia, SEHARUSNYA ada satu FORUM INFORMASI dan MUSYAWARAH NASIONAL (online) yg dpt diakses oleh semua WNI. Dlm FIM-Nas ini tdk boleh ada hoaks dan caci maki. Adminnya dipilih publik berdasarkan reputasi dan kompetensi. RT @Haidar_Bagir: Semua pihak perlu menyisikan perbedaan kepentingan politik, ideologis &amp; keagamaan, lalu duduk bersama, menyatukan daya upaya utk mendapatkan &amp;amp; memberlakukan dg konsisten cara2 plg efektif mencegah &amp;amp; mengatasi wabah Corona ini. Kalau tidak, nasib bangsa ada dlm ancaman besar...</t>
  </si>
  <si>
    <t>@jokowi Pak udah tutup ajah . Ngapain masih terima orang orang dari luar negri. Buka untuk WNI saja yang ingin pulang ke Indonesia.</t>
  </si>
  <si>
    <t>@castillejos07 Wey rt</t>
  </si>
  <si>
    <t>@slebewlagidong @niccooni @rlthingy Gua kira isis republik indonesia serikat</t>
  </si>
  <si>
    <t>@banjarbase Menhub kena pas penjemputan WNI anak buah kapal diamond princess</t>
  </si>
  <si>
    <t>BREAKING NEWS – Konferensi Pers Terkait Pemulangan WNI Kru Diamond Princesss</t>
  </si>
  <si>
    <t>RT @AljabarDifa: @jokowi sampurasun.. ehehe lucu deh negri kita ini ya pakde YTH mempersilahkan penerbangan luar negri WNA/wni masuk ke +62. DIBATASI itu bukan solusi WNI WNA dikarantina Pun bukan solusi ,hanya perlu rugi sedikit ,kalau sudah begini akan lebih merugi seterusnya. #LockDownIndonesia</t>
  </si>
  <si>
    <t>atau suspect yang sudah meninggal udah mencapai ratusan bahkan ribuan kalo pandemi ini terus menambah suspect yg meninggal, jadi kepikiran bakal ada keterbatasan lahan untuk mengubur jenazah (karena sebagian besar WNI kan muslim)</t>
  </si>
  <si>
    <t>RT @mas__piyuuu: VIRAL... Surat Inem (WNI) yang terKARANTINA di Italy</t>
  </si>
  <si>
    <t>WNI yang Hadiri Tabligh Akbar di Masjid Sri Petaling Malaysia Dihimbau Memeriksakan Diri -</t>
  </si>
  <si>
    <t>Dua WNI Positif Terjangkit, Presiden Tegaskan Keseriusan Pemerintah Tangani Wabah Korona</t>
  </si>
  <si>
    <t>@jokowi sampurasun.. ehehe lucu deh negri kita ini ya pakde YTH mempersilahkan penerbangan luar negri WNA/wni masuk ke +62. DIBATASI itu bukan solusi WNI WNA dikarantina Pun bukan solusi ,hanya perlu rugi sedikit ,kalau sudah begini akan lebih merugi seterusnya. #LockDownIndonesia</t>
  </si>
  <si>
    <t>@faizalassegaf @ABinsimone @jokowi @aniesbaswedan Bebas berpendapat.....dlm hal begini ente NGAKU PRIBUMI ......dan Mayoritas.....? anak SD saja faham.....manaa ada ONTA ASLI INDONESIA</t>
  </si>
  <si>
    <t>@faizalassegaf @jokowi @aniesbaswedan Apa2 lo kaitkan dengan AGAMA........najis kau !</t>
  </si>
  <si>
    <t>@Candraasmara85 @faizalassegaf @jokowi Si FA mayoritas....pemefang nama assegaf......mayoritas GURUN.....😂😂😂😂😂 SEJAK KAPAN ONTA JADI PRIBUMI ?</t>
  </si>
  <si>
    <t>@kangsemproel Saya yang mau pulang ke YK saja berpikir berkali-kali. 🤦‍♂️ Interaksi WNI dan WNA di YK, apalagi daerah Malioboro, Kraton, Sagan, Kauman, itu pasti tinggi dan high risk. Itu belum ditambah masih ada potensi Merapi meletus lagi. 🤦‍♂️</t>
  </si>
  <si>
    <t>@faizalassegaf @jokowi Anda Siapa ? Lalu pak @jokowi harus tunjuk anda ?😂😂😂😂😂 NGIMPI LO AH !</t>
  </si>
  <si>
    <t>RT @BudiKaryaS: Mengapa kami memilih Bandara Kertajati, Jawa Barat sebagai tempat mendarat pesawat Garuda Indonesia, yang memulangkan 69 orang WNI yang menjadi anak buah kapal Diamond Princess dari Yokohama, Jepang? Karena, bandara ini memiliki pergerakan pesawat yang belum terlalu banyak.</t>
  </si>
  <si>
    <t>RT @TolakBigotRI: GP Ansor Bangkalan Laporkan Akun FB Mustofa Maksum Penghina Almarhum Alfa Isnaeni. Sesuai instruksi ketum @GPAnsor_Satu cari sampai dapat. Jangan sampai berakhir hanya minta maaf ya. @Rahman_Nashir @mmuzaqi_ @noeruzzaman @GunRomli @kirekswasta @AhlulQohwah</t>
  </si>
  <si>
    <t>RT @JKDaulay: "Disini jelas sekali Anies secara cerdik memanfaatkan moment tersebut untuk kepentingan elektoral dan politiknya."  @aniesbaswedan itu bukan cerdik... tapi licik ! hanya orang yg steril dari kadrunisme yg paham bahwa dia licik 👌 #BauAmiesPolitisirCorona</t>
  </si>
  <si>
    <t>@ngonlain @abudiraharjo @msaid_didu 👿👿👿👿 sedang memulai keahliannya bang, ngambil sekempitan dlam selangkangan.....adab saja kagak punya, sok provokasi anak muda....BUSUK KAU DIDU !</t>
  </si>
  <si>
    <t>@riizkyprdna supaya isis😂</t>
  </si>
  <si>
    <t>@hafidzithem @RizmaWidiono @aniesbaswedan Mana ada waras suka wan BACOT.... ?</t>
  </si>
  <si>
    <t>RT @RockyBurung: @masayaharuhi @qzruh_jogja @Lan_siap86 @2024ErickThohir @msaid_didu @jokowi Walah kekejaman kowe ngerti soko sopo ? soko HOAX ? medeni men Lah kekejaman ISIS dibales apa ora ? sing ngebam-ngebom neng bali ro jakarta ro surabaya dibales ra ? utekmu kuwalik-walik dul Gusti Allah Kuwi Hamemayu Hayuning Buwana; Ora Mikir Wong Sekaum Kaya Olehmu Mikir</t>
  </si>
  <si>
    <t>RT @riyadh_kbri: Yth. Bapak Ibu WNI di Arab Saudi, Mari tetap jaga kesehatan diri dan keluarga, biasakan hidup bersih dan berpikir optimis, Insha Allah kita akan lalui situasi ini dengan selamat. Salam sehat selalu... @safetravelkemlu @kemlu_ri #negaramelindungi @kemenkes_ri #indonesianway</t>
  </si>
  <si>
    <t>@K_Ompu Dan pembeli merasa seakan membeli rumah sekalian surganya . Menjual sesuatu dengan BUNGKUS AGAMA, memang luar biasa</t>
  </si>
  <si>
    <t>Merdeka bukan hanya lepas dari tangan penjajah, tapi lepas dari tangan jahil yg merampas hak kita sebagai WNI.</t>
  </si>
  <si>
    <t>@masayaharuhi @qzruh_jogja @Lan_siap86 @2024ErickThohir @msaid_didu @jokowi Walah kekejaman kowe ngerti soko sopo ? soko HOAX ? medeni men Lah kekejaman ISIS dibales apa ora ? sing ngebam-ngebom neng bali ro jakarta ro surabaya dibales ra ? utekmu kuwalik-walik dul Gusti Allah Kuwi Hamemayu Hayuning Buwana; Ora Mikir Wong Sekaum Kaya Olehmu Mikir</t>
  </si>
  <si>
    <t>@biaaacruz_ BENJAMIM, Isis</t>
  </si>
  <si>
    <t>@westiedustie @NurAlamSyhClcap bukan konsep. itu praktek. organisasi JAT, JAD, MMI, ISIS mengamalkan salafi jihadi ini. self denial aint cool. Ulama salafi Arab Saudi mengakui kok:</t>
  </si>
  <si>
    <t>Kota2 besar yg rutin WNI keluar negeri maupun ada WNA yg masuk ke INA RT @ajizaan: @CNNIndonesia</t>
  </si>
  <si>
    <t>@mariazinhanog Euh voh</t>
  </si>
  <si>
    <t>VIRAL... Surat Inem (WNI) yang terKARANTINA di Italy | PORTAL ISLAM</t>
  </si>
  <si>
    <t>@Isis_AP jalo 🤘🏼🤘🏼</t>
  </si>
  <si>
    <t>Presiden @jokowi memimpin proses penyelamatan WNI sejak kasus covid-19 di Wuhan, Hubei, lalu World Dream dan Diamond Princess hingga hari ini ketika covid-19 merebak di Indonesia. #GotongRoyongMelawanCovid19 selalu DISERUKAN Presiden setiap hari menghadapi covid19 ~ FR #Jubir RT @killthedj: Kalo @jokowi lebih percaya bahwa masyarakat kita bodoh &amp; bisa dibodohi itu fatal banget. Tanpa peran serta masyarakat secara swadaya kamu akan membusuk kebingungan bersama elite yang kamu agungkan sebagai spesies "unggul" Cc @fadjroeL</t>
  </si>
  <si>
    <t>RT @IndonesiaInCPH: Kedutan Besar Republik Indonesia di Kopenhagen menghimbau WNI untuk melakukan komunikasi dan menyampaikan informasi apabila memerlukan bantuan dalam menghadapi penyebaran virus Corona - #IndonesianWay #NegaraMelindungi #StaySafe #HotlineKbriKopenhagen #IndonesiainDenmark</t>
  </si>
  <si>
    <t>Kedutan Besar Republik Indonesia di Kopenhagen menghimbau WNI untuk melakukan komunikasi dan menyampaikan informasi apabila memerlukan bantuan dalam menghadapi penyebaran virus Corona - #IndonesianWay #NegaraMelindungi #StaySafe #HotlineKbriKopenhagen #IndonesiainDenmark</t>
  </si>
  <si>
    <t>@Joey_uber_uber @aillen_h @AkuSwagKayaSuga @Rendy51500187 @CNNIndonesia Well guys, mereka di karantina krn mereka WNI. Karantinanya dilakukan di bawah pengawasan TNI. FYI biaya karantina para WNI ini ya ditanggung negara.. Jd sampe sini jelas? Kenapa yg di karantina itu WNI dari wuhan, bukan WNA dari china.</t>
  </si>
  <si>
    <t>RT @aalyn14: "Jadilah perempuan yang baik, kerana yang cantik itu terlalu ramai."</t>
  </si>
  <si>
    <t>RT @tarmeasy: dianggap hanya bersifat sia sia dan tidak bermakna. Ia bibit bibit ISIS namanya dan kelak kehidupan dunia pasti akan retak dan sering bergolak.</t>
  </si>
  <si>
    <t>Serius tanya, kabar WNI dari China yg kemaren diobservasi di natuna, sekarang kabarnya gimana ya? Udah ilang aja gitu beritanya habis dipulangkan ke daerah masing-masing.</t>
  </si>
  <si>
    <t>RT @SyarifAlkadrie3: Apa kabar 280 WNI yg pulang dr wuhan dan di observasi di natuna? Apakah smp saat ini mereka sehat semua?</t>
  </si>
  <si>
    <t>Apa kabar 280 WNI yg pulang dr wuhan dan di observasi di natuna? Apakah smp saat ini mereka sehat semua?</t>
  </si>
  <si>
    <t>RT @Ratuta25: @SonOf_Flames @queensky021 tentang apa yg terjadi saat ini, kalo bisa Indonesia lockdown aja daerah yg udah terpapar Covid-19 pas awal pemberitaan 2 WNI terpapar virus ini. Kemungkinan juga pengawasan di Bandara kurang ketat yg menyebabkan menyebar nya virus dibbrapa daerah</t>
  </si>
  <si>
    <t>RT @IndonesiaHanoi: IMBAUAN BAGI WNI YANG BERADA DI LUAR NEGERI ATAU BERENCANA MELAKUKAN PERJALANAN KE LUAR NEGERI SEHUBUNGAN DENGAN PENYEBARAN WABAH COVID-19 Sumber: @safetravelkemlu #travel #backpacker #safetravelkemlu #negaramelindungi #traveladvisory</t>
  </si>
  <si>
    <t>@mas__piyuuu Anda juga disarankan cuti jd WNI</t>
  </si>
  <si>
    <t>Anda juga disarankan cuti jd WNI RT @mas__piyuuu: Jokowi Disarankan Cuti Dulu dari Presiden dan Diganti Anies Untuk Tangani Corona</t>
  </si>
  <si>
    <t>#IndonesiabutuhPemimpin yg bisa menangani hal² yg mengancam WNI seperti wabah penyakit Covid-19 ini. #CoronaVirusUpdates</t>
  </si>
  <si>
    <t>Selain itu, Dubes RI Khartoum juga menyampaikan informasi terkait dengan perkembangan situasi terkini kondisi politik, keamanan, ekonomi dan sosial di Sudan serta menghimbau kepada seluruh WNI untuk berhatis dan waspada terhadap penyebaran virus corona yang semakin meluas</t>
  </si>
  <si>
    <t>Lebih lanjut Dubes RI Khartoum mengatakan bahwa salah satu misi KBRI Khartoum adalah meningkatkan kualitas pelayanan kekonsuleran dan perlindungan terhadap WNI/BHI di Sudan dan Eritrea yang jumlahnya pada Maret 2020 ini tercatat mencapai 1.400 orang #indonesianway</t>
  </si>
  <si>
    <t>Acara yang digelar di halaman Wisma Duta KBRI Khartoum tersebut dibuka oleh Dubes RI Khartoum (Rossalis R. Adenan) dan dihadiri oleh lebih dari 500 orang WNI yang terdiri dari mahasiswa dan Pekerja Migran Indonesia (PMI) yang berdomisili di Khartoum dan sekitarnyasekitarnya</t>
  </si>
  <si>
    <t>Untuk meningkatkan “rasa adanya kehadiran negara” di kalangan WNI di Sudan, khususnya di Khartoum, KBRI Khartoum menyelenggarakan Sosialisasi Kekonsuleran, Keimigrasian dan Perlindungan WNI/BHI di Sudan, Jumat, 13 Maret 2020 #IniDiplomasi</t>
  </si>
  <si>
    <t>WNI di Khartoum ikuti secara antisias Sosialisasi Kekonsuleran, Keimigrasian dan Perlindungan WNI/BHI TA 2020.</t>
  </si>
  <si>
    <t>"Sebelum sakit, Budi Karya juga sempat muncul ke publik saat dia menyaksikan langsung proses pemulangan ke-69 WNI ABK Diamond Princess di Bandara Kertajati, Majalengka, akibat wabah virus corona. Acara itu berlangsung pada 2 Maret 2020. "</t>
  </si>
  <si>
    <t>RT @IndonesiaInPL: INFO: Duta Besar RI menanggapi status darurat nasional di Polandia. Hotline KBRI 24/7 (untuk WNI): +48 881719568 +48 728239137 #indonesianway #inidiplomasi</t>
  </si>
  <si>
    <t>RT @MustaqimJiwa: kerana dia percaya, lebih baik dia menunggu yang benar-benar setia daripada menerima yang datang dan pergi begitu saja.</t>
  </si>
  <si>
    <t>@mega_ern @Adhi_Faiz Iya Pak @Adhi_Faiz, kalau saya perhatikan dari testimony rekan2 WNI yang pernah apply visa Schengen memang kelihatannya Belanda yang paling royal. Tapi secara keseluruhan, tahun lalu paling banyak apply lewat Prancis Pak 🙏</t>
  </si>
  <si>
    <t>@fahmiis5 @cupzakes @queensky021 Silahkan berhenti bayar pajak,tapi jg berhenti jadi WNI - Llebih baik anda ngadrun di tempatnya itu mungkin jauh lebih bagus dari pada anda ngadrun di sini yg jelas kelihatan spt benalu</t>
  </si>
  <si>
    <t>RT @__MV_llestari__: Namun potensi itu harus menjadi perhatian serius siapapun juga. Bukankah AS adalah negara yang paling sering dituduh dibalik kerusuhan di Suriah dengan ISIS nya, Negeria dengan Boko Haramnya dan jatuhnya Khadafi di Libya dengan permainan agamanya?</t>
  </si>
  <si>
    <t>Wabah Virus Korona &amp; Langkah-Langkah Perlindungan WNI di Amerika Serikat oleh KBRI Washington DC &amp;amp; KJRI se-Amerika Serikat. Baca info lengkap di:  #NegaraMelindungi #IndonesianWay #IndonesiainUS @kjri_ny @houstonKJRI @idnconsulatela @kjri_sf @INAinChicago</t>
  </si>
  <si>
    <t>@MarikaRahman_ @Metro_TV Dan 238 WNI dari Wuhan tidak pernah di test juga..</t>
  </si>
  <si>
    <t>RT @AnakKolong___: AGAMA "WAJAN" | Ayat, Mayat, Kriminalisasi "ulama", politisasi masjid, KHILAFUCK, pilpres 2019,Papua, Gerah lihat salib, sesak nafas lihat gereja &amp; pura, uyghur, Natuna, Syiah, eks WNI pro ISIS hingga virus Corona, jadi BAHAN GORENGAN . . Beragama koq seperti WAJAN ?!!! . .</t>
  </si>
  <si>
    <t>Sebut WNI ABK World Dream 'Duta Imunitas Corona', Menkes Dicibir Netizen</t>
  </si>
  <si>
    <t>@zarazettirazr Sudah, sudah gak usah ribut. Menteri Budi terkena coronavirus diduga setelah menyaksikan langsung proses pemulangan ke-69 WNI ABK Diamond Princess di Bandara Kertajati, tgl 2 Maret 2020, dan tgl 11 Maret 2020 ikut Rapat Terbatas tentang Papua. Doakan saja semua sehat</t>
  </si>
  <si>
    <t>@RD_4WR1212 Anak" muda pd ngak tau Dosa kalian ngatain orang yg lebih Tua seenaknya bgt?? Benar lah, wni yg kena covid-19 di luar negeri dan ada di luar negeri ya bayar sendiri di RS sana. Kalau mereka balik ke Indonesia, ya baru dibayarkan pemerintah disin. Baca dulu berita secara lengkap..</t>
  </si>
  <si>
    <t>RT @KangDez: @EleJokow @zuhairimisrawi dulu waktu demo asu eh asisi di mesir, ada anjing yg kabur duluan menyelamatkan diri, pdhl msh bnyk wni yg terjebak disana</t>
  </si>
  <si>
    <t>RT @ratenassi: @tubirfess dgn pengetahuan masyarakat yg kurang, trs tibatiba indo lockdown, chaos yg ada. Kmrin baru keluar berita 2 WNI positif corona lgsg heboh, nimbun sana sini</t>
  </si>
  <si>
    <t>RT @KBRI__Roma: Buonasera! Selamat Malam Sahabat KBRI Roma! Meski situasi lockdown berlaku di Italia, tetap kewajiban KBRI Roma memberikan pelayanan dan perlindungan semaksimal mungkin bagi WNI di Italia... Peserta delegasi AFS di Italia telah kembali ke tanah air #negaramelindungi @Kemlu_RI</t>
  </si>
  <si>
    <t>@mohsin2908 @Sudarshan_Mlth hahaha bsdk ye hame nahi isis aur taliban ko ja ke samjha be tuchiye.</t>
  </si>
  <si>
    <t>Seharusnya WNI yg bawa virus balik ke tanah air, dr awal langsung ditembak mati saja.</t>
  </si>
  <si>
    <t>Melawan Virus. . Melawan virus bilologi kayak korona bisa dengan cuci tangan. . Melawan virus ideologi kayak isis bisa dengan cuci otak. . Melawan virus cinta, cukup dengan cuci muka. Biar ganteng dan fresh! . Sekian penutup bacotan saya pada hari ini, terimkasih hehehe 🤟</t>
  </si>
  <si>
    <t>RT @Zombie_9Q: Jika JOKOWI masih diam, tidak mengumumkan darurat Corona serta masih membiarkan WNA/WNI terbang bebas dari/ke Indonesia, maka tidak menutup kemungkinan dan tidak membutuhkan waktu lama Indonesia juga akan mempunyai kuburan massal seperti ini!!!</t>
  </si>
  <si>
    <t>@catsedih DM terakhir yang gw terima itu ajakan masuk isis sih</t>
  </si>
  <si>
    <t>RT @DAROSAFONTANAL1: KAMU MEMANG MENGENAL SIAPA ISIS..? CUMA DARI BERITA KHAN...? KHILAFAH TIDAK IDENTIK DENGAN ISIS SEBELUM NGEBACOT PELAJARIN DULU SIAPA ISIS DAN APA PEMAHAMAN KHILAFAH</t>
  </si>
  <si>
    <t>RT @binsbirowo: Menhub Budi Karya diduga tertular virus Corona saat menyambut sejumlah WNI dari kapal Diamond Princess beberapa waktu lalu. Selain itu Budi memang sering berhubungan langsung dg kolega asal luar negeri saat menjalankan tugasnya. Smoga bukan WNI China 😂 #IndonesiaButuhPemimpin</t>
  </si>
  <si>
    <t>@BerlandGroup @TofaTofa_id @nahdlatululama @GPAnsor_Satu @Generasi_MudaNU @Banser_CyberNU @LBHGPANSOR @PAC_AnsorGrisse @saidaqil @alisa @yennywahid @na_dirs @permadiaktivis @yusuf_dumdum @gusmusgusmu @detikcom @CNNIndonesia @Metro_TV @cakimiNOW @muhammadiyah @AlissaWahid @muannas_alaidid @abirekso @AdianNapitupul1 @budimandjatmiko @Syarman59 @tebuirengonline @DivHumas_Polri @CCICPolri @Puspen_TNI @BNPTRI @mohmahfudmd @gp_ansornu @AlfaIsnaeni @UjangBustomi @AfifFuadS @BarikadeGusDur @jokowi ISIS...HTI...muata mu! 😂 sekolah dimana sih lu?</t>
  </si>
  <si>
    <t>@Fittey_muh @genhamza05 @Karma00o7 @niiravmodi India ke news channel ko Pakistan ka news channel bana rakha hai....nd Mai social media control control KR Rkha hai...aur social media pr influencer jyada hai..jaise ISis brain wash krta hai waise Hinduism ke man pr kb mind wash KR denge Pata nhi chlega</t>
  </si>
  <si>
    <t>RT @Black_King_Rass: Woii yoiii</t>
  </si>
  <si>
    <t>RT @agnes_djamis: YTH Bapak @jokowi @mohmahfudmd @jendralmoeldoko @NadimMakarim Daripada ngurusin anak anak keturunan ISIS lebih baik urusin anak anak seperti ini.. Mereka juga bunga bunga bangsa.. Butuh perhatian khusus dari negara.. Mereka juga yg nntnya akan membawa perubahan pada Indonesia..</t>
  </si>
  <si>
    <t>KAMU MEMANG MENGENAL SIAPA ISIS..? CUMA DARI BERITA KHAN...? KHILAFAH TIDAK IDENTIK DENGAN ISIS SEBELUM NGEBACOT PELAJARIN DULU SIAPA ISIS DAN APA PEMAHAMAN KHILAFAH RT @mbahCokro77: Jika benar Khilafah menjaga kehormatan wanita,silahkan datang dan gabung disuriah n ISIS 😁😁 Bukan omdo tp bukti nyata kalau gk pingin dirombong lakinya 😂😂😂 Gini ni orang2 sok tau tanpa menggunakan akal pikiran n nalarnya yg dianugrahkan Allah😂</t>
  </si>
  <si>
    <t>@narkosun Sudah saatnya kalo gitu WNI Cina yg pro komunis sdh dapat balik ke negara leluhur dan juga pemerintah boleh cabut itu izin tinggal sementara kepada kalo gak salah 2 ribu WNA Cina. Kan sudah habis virus corona disana!!</t>
  </si>
  <si>
    <t>@TirtoID Wait wait... mensesneg jelasin kalo pak Budi brperan penting di kasus2 yg melibatkan WNI dan covid19. Mksdnya WNI yg dinyatakan bebas covid19 dan jd duta imunitas itu yg nulari pak Budi? Apa gimana nih? 🤔🤔</t>
  </si>
  <si>
    <t>@bosedii3 @TofaTofa_id @nahdlatululama @GPAnsor_Satu @Generasi_MudaNU @Banser_CyberNU @LBHGPANSOR @PAC_AnsorGrisse @saidaqil @alisa @yennywahid @na_dirs @permadiaktivis @yusuf_dumdum @gusmusgusmu @detikcom @CNNIndonesia @Metro_TV @cakimiNOW @muhammadiyah @AlissaWahid @muannas_alaidid @abirekso @AdianNapitupul1 @budimandjatmiko @Syarman59 @tebuirengonline @DivHumas_Polri @CCICPolri @Puspen_TNI @BNPTRI @mohmahfudmd @gp_ansornu @AlfaIsnaeni @UjangBustomi @AfifFuadS @BarikadeGusDur @jokowi Sampean yg otak udang itu berita thn lama dan mslh kredit, sampean memojokan PBNU pdhl ormas2 islam yg lainnya terlibat dan knp ente baru teriak skrg, jgn2 ente ini ISIS atau HTI yg jelas2 benci ke PBNU</t>
  </si>
  <si>
    <t>Pangkogabwilhan I Tinjau Evakuasi 188 WNI Pulau Sebaru ke KRI Semarang 594 – JPNEWS</t>
  </si>
  <si>
    <t>RT @kurawa: Sikap WNI yang malu atau diam2 saat terkena penyakit ini tentu sangat menyulitkan pemerintah. Stigma negatif takut dikucilkan sdh dimulai saat identitas korban dibuka dan yang lain melakukan bully ke si korban. Kita masih primitif utk urusan ini jauh tertinggal dgn negara lain</t>
  </si>
  <si>
    <t>@walo11223 Mra bhai usa eu russia 1/1 kr ke nhi 167/189 country civil unifrom mai fight kr rhi isis</t>
  </si>
  <si>
    <t>@roulaarte @innerchild90 Minum jamu kak, aku tiap hari minum jamu,aku juga batuk pilek, skrg udah baikan*Klu mslh orona, klu aku sih selama nggak ada riwayat ketemu bule/wni yg habis berpergian ke luar negeri smua ngr anggap aja itu flu, yg penting rajin pk masker&amp; kacamata di t4 umum: bis atau kereta</t>
  </si>
  <si>
    <t>@walo11223 Mother of All boomb use kro ye tu kuj ni me tu kutto ko meet khta bi dkha isis wlo ka☻</t>
  </si>
  <si>
    <t>RT @HusinShihab: Yuk, kita voting seberapa besar perhatian kita thd keutuhan NKRI di masa depan. ✅ RT bagi yg menolak 600 WNI ISIS dipulangkan ke Indonesia. ✅ Like bagi yg menerima 600 WNI ISIS kembali ke Indonesia. Cc: @jokowi</t>
  </si>
  <si>
    <t>@choo_lis Aman lis, tp jare meh enek observasi WNI meneh</t>
  </si>
  <si>
    <t>@rwofindia Isis = rss ja ke dimag par baraf rakh</t>
  </si>
  <si>
    <t>RT @Oded121351: #Egypt- #ISIS Wilayat #Sinai eulogy for Faris al-Ansari</t>
  </si>
  <si>
    <t>@ChusnulCh__ 1. Saat RI evakuasi 245 WNI dari Wuhan ternyata Cina hanya ijinkan 238 WNI pulang. Yg ditinggal sebagian dlm pengawasan serius covid-19 dan tak ingin menular dlm rombongan tsb. 2. Cina beri pengertian ttg 'band travel' RI dari/ke Cina, sbg hal sensitif; isu.</t>
  </si>
  <si>
    <t>Menhub Budi Karya diduga tertular virus Corona saat menyambut sejumlah WNI dari kapal Diamond Princess beberapa waktu lalu. Selain itu Budi memang sering berhubungan langsung dg kolega asal luar negeri saat menjalankan tugasnya. Smoga bukan WNI China 😂 #IndonesiaButuhPemimpin</t>
  </si>
  <si>
    <t>RT @ReiMiechi99: @AnakKolong___ FPI= ISIS nya Indonesia Islam 212= ISIS</t>
  </si>
  <si>
    <t>@detikcom meninggal udah 2 WNI, sebelum Mati status masi PDP/diduga korona, selambat itu hasil lab di negara 62</t>
  </si>
  <si>
    <t>RT @RECOVERADIO: Berikut update Perkembangan COVID-19 di Dunia dan Pelindungan WNI per 14/03 pukul 08.00 WIB. via @Kemlu_RI</t>
  </si>
  <si>
    <t>RT @Qshareina: @geloraco Mungkin sicorona dianggap teroris, ato biar bin ada kerjaan kan selama ini isu radikal radikul,isis, hti udah gak seru, dialihkan ke corona biar bin nampak eksis.</t>
  </si>
  <si>
    <t>@Puteriswift_ Alaaaa. Baru nak buli kau</t>
  </si>
  <si>
    <t>WHO: "The single biggest lesson is speed. Speed is everything." Bagi WNI yg pertama kali bekerja di korporasi yg berasal dr China dan d bwh kepemimpinan oleh WN China, beradaptasilah jika dituntut harus efisien n cepat dlm bekerja sesuai standar kultur korporasi. RT @SCMPNews: As Covid-19 sweeps the globe, the place where it all started seems to have gotten a handle on the disease. This is how China is containing the coronavirus.</t>
  </si>
  <si>
    <t>giliran corona dibilang menjunjung tinggi privasi WNI eh pas di demo yang mendemo ditelanjangi data dan karakternya dibunuh buzzer RT @Dandhy_Laksono: Pemerintah NKRI tak membuka riwayat perjalanan dan lokasi-lokasi jejak corona karena sangat menjunjung tinggi privasi warga negaranya. Tak percaya? Ini rekam jejaknya:</t>
  </si>
  <si>
    <t>— ada ‘hubei’ nya. Dan pas gue balik dr bkk itu, bkk udah ada case corona. Walaupun gue emg sehat (puji Tuhan), tp seharusnya ada kek tindakan sedikit di cek or apa pas gue sampe. Sama sekali gaada. Semua WNA or WNI yang masuk indo pas itu ya masuk aja gitu~</t>
  </si>
  <si>
    <t>@iimfahima @zuhairimisrawi Realistislah, dg masy yg mls membaca &amp; belajar, tdk smua bisa spt Anda, spt wkt WNI dr Wuhan akan diisolasi di Natuna Utr, masy trmasuk bupatinya ribut demo menolaknya, wkt prtama diumumkan 2 pasien positif corona, panik &amp;amp; heboh borong sembako, resiko chaos hrs dipertimbangkan.</t>
  </si>
  <si>
    <t>@isis_edduarda Ihhh ala</t>
  </si>
  <si>
    <t>@ChusnulCh__ 212 bukan NKRI, 212 bagian dari ISIS dan HTI, makanya yang dibawa selalu bendera Hitam</t>
  </si>
  <si>
    <t>Ralat: Data Pasien Covid-19 di Indonesia ini merupakan gabungan WNI dan WNA. RT @adinANTON: Dalam 12 hari, sejak kasus Pasien 01 dirilis Presiden @jokowi pada 2 Maret, trennya terus naik dan tajam. Sumber: pemberitaan media terkait rilis resmi pemerintah</t>
  </si>
  <si>
    <t>Isis pon tak sebodoh gini RT @DTerran2: meanwhile in Singapore...man sets fire infront of a police post and sprayed ISIS on the walls</t>
  </si>
  <si>
    <t>RT @umaralims: Kata YIM, Si Ahok itu aslinya WN Tiongkok dari seorang ayah warga negara Tiongkok. Ahok dpt naturalisasi jd wni. Mustahil bisa jadi Presiden.</t>
  </si>
  <si>
    <t>@_wni_ Siapa kata aku nak serumah dengan kooooo nak ada perang dunia ke HAHAHAHHA</t>
  </si>
  <si>
    <t>RT @wandagirsang: ngebayangin Indonesia tanpa koruptor dan penerima suap.. pasti kaya banget ya secara SDAnya melimpah, apalagi kalo diolah sama anak bangsa, kalo Indonesianya kaya, pasti ga masalah deh mau di lock down krn pemerintahnya mampu suntikkin dana ke seluruh WNI.. kehaluanku😂</t>
  </si>
  <si>
    <t>@Puteriswift_ Boleh jugak. HAHAHAHAHAHAHAH. Ada member nak shopping kemas rumah semua</t>
  </si>
  <si>
    <t>@__N1l4m Hoi jangan nangis</t>
  </si>
  <si>
    <t>wahai syiah, kalian pasti HANCUR ! Bersiaplah</t>
  </si>
  <si>
    <t>@_wni_ Takpela aku jadi madu kau jela kiki</t>
  </si>
  <si>
    <t>RT @SahlanAmin4: @onsrgst @ErvineKiddies @sigitigisigit @HendrixJimi1 @AremaNita__ @el_loco234 @Kirana____2 @AkubArifin @ivonrush1979 @izzulrizl @asuhan101010101 @teshar_parker @BdyNusantara @djangrono @AdityaRahayu76 @VostokMerah @Nemo_4512 @wmudrana @bejocyber @babahliong @ArabicaBali @logic_editor @daunsirih5 @Tikayulie @GusMendem1 @NowowoNowiwi @Gus_KW @rachmadhi @riberu_ade2 @MobZack @BerisikEmak Si kafir teriak isis lagi 🤣🤣🤣🤣🐸🔨 Orang sudah melek semua Makanya jangan jadi katak bawah tempurung</t>
  </si>
  <si>
    <t>URGENT Perusahaan kmi sdg menerima karyawan dgn kriteria : -Female -Berakhlak sedikit mulia -WNI -18+ -Aktif oralnisasi -Bersedia ikatan dinas luar dalam -S1 Kebidanan/Keperawatan lebih disukai -Menguasai Ms.Excol -Skill Requirement Public spoKIng Silahkan apply #malamminggu</t>
  </si>
  <si>
    <t>GAES....!!! Menhub Budi Karya adalah pejuang di garda terdepan dalam penanganan dampak covid-19 di Indonesia, sejak evakuasi WNI dari LN. Alhamdulillah.. Saat ini kondisinya sudah semakin membaik.. 😇😇 #StaystrongIndonesia</t>
  </si>
  <si>
    <t>Berikut update Perkembangan COVID-19 di Dunia dan Pelindungan WNI per 14/03 pukul 08.00 WIB. via @Kemlu_RI</t>
  </si>
  <si>
    <t>Semua WNI yg ikut tablik Akbar di Malaysia .wajib di periksa kesehatannya terkait Corona dan tindakan konstitusional dan wajib di lakukan @jokowi @kemenkomarves @Kiyai_MarufAmin @DPR_RI @mprgoid @Kemenhan .kok msh pakai himbauan..ini protokol dobol namanya</t>
  </si>
  <si>
    <t>@wtyaseka Gue flight tgl 9 bulan lalu dari soeta. Melihat bny wna ataupun wni yg transit ataupun checkin dan tiada pengecekan berarti, berusaha ga suudzon dan ngebatin akan resiko klb yg menanti. Dan... sekarang.... 😢</t>
  </si>
  <si>
    <t>Buonasera! Selamat Malam Sahabat KBRI Roma! Meski situasi lockdown berlaku di Italia, tetap kewajiban KBRI Roma memberikan pelayanan dan perlindungan semaksimal mungkin bagi WNI di Italia... Peserta delegasi AFS di Italia telah kembali ke tanah air #negaramelindungi @Kemlu_RI</t>
  </si>
  <si>
    <t>@podousquii ivy e dan</t>
  </si>
  <si>
    <t>RT @DunguToing: Buktikan dulu Bu jangan omdo kita kurang percaya apalagi dengan adanya UU Omnibus Law yg gencar di demo buruh Ini karyawannya yg mana Aseng atau WNI ...?? Percaya gak ya ..?? 🤔🤔</t>
  </si>
  <si>
    <t>ngebayangin Indonesia tanpa koruptor dan penerima suap.. pasti kaya banget ya secara SDAnya melimpah, apalagi kalo diolah sama anak bangsa, kalo Indonesianya kaya, pasti ga masalah deh mau di lock down krn pemerintahnya mampu suntikkin dana ke seluruh WNI.. kehaluanku😂</t>
  </si>
  <si>
    <t>Gimanasih? Tenaga medis tuh WNI juga bambank :( RT @arshann: @febrofirdaus Jadi kasus yang dishare ke publik tuh ga termasuk tenaga medis apa gimana sih? 😢</t>
  </si>
  <si>
    <t>@Isis_Izzy Al hamdoulilah</t>
  </si>
  <si>
    <t>@Husen_Jafar Membantu menyiapkan kebutuhan dasar utk WNI di Islamabad, Pakistan, spt hand sanitizer, masker dan makanan.</t>
  </si>
  <si>
    <t>@silpiku salam Pancasila! gajawab bukan wni</t>
  </si>
  <si>
    <t>Lalu, ada wn jepang jumpa wni. Kalo scene film nya, bakalan ambil cuplikan secara mikroskopik. Diliatin gimana mekanisme jalannya virus itu berpindah dari sentuhan langsung. Sudut pandang kamera di zoom out, melihat kan kota depok. Virus yg tertular tadi divisualisasikan dg warna</t>
  </si>
  <si>
    <t>RT @oliviaika: Dear Governments, kenapa WNI kita dikarantina selama 14 hari setelah berpergian dari luar negeri? Sedangkan para WNA begitu bebasnya bisa masuk negeri ini? Kenapa WNA gak ikut dikarantina juga?????? It doesn't make sense 🤪</t>
  </si>
  <si>
    <t>1. PENCEGAHAN SEPERTI MAIN-MAIN ya boleh lah kalau ada yang bilang pemerintah tanggap untuk evakuasi WNI di Wuhan dan contoh2 lain, tapi screening keamanan di bandara dan pelabuhan bener2 sampah. thermo scan sama isi form buat apa njir? semua bisa dimanipulasi.</t>
  </si>
  <si>
    <t>@onsrgst @ErvineKiddies @sigitigisigit @HendrixJimi1 @AremaNita__ @el_loco234 @Kirana____2 @AkubArifin @ivonrush1979 @izzulrizl @asuhan101010101 @teshar_parker @BdyNusantara @djangrono @AdityaRahayu76 @VostokMerah @Nemo_4512 @wmudrana @bejocyber @babahliong @ArabicaBali @logic_editor @daunsirih5 @Tikayulie @GusMendem1 @NowowoNowiwi @Gus_KW @rachmadhi @riberu_ade2 @MobZack @BerisikEmak Si kafir teriak isis lagi 🤣🤣🤣🤣🐸🔨 Orang sudah melek semua Makanya jangan jadi katak bawah tempurung</t>
  </si>
  <si>
    <t>@JagranNews isis pfi congress ki nazar hamasha bharat ki barbadi ki taraf rahi</t>
  </si>
  <si>
    <t>RT @FitRadioBandung: Kementerian Kesehatan Singapura mengumumkan kasus positif COVID-19 ke-133 yang terjadi di Singapura, yaitu WNI berusia 62 tahun berjenis kelamin perempuan yang berkunjung ke Singapura. #CoronaVirusUpdates #StayFitForLife</t>
  </si>
  <si>
    <t>Teror yang paling K onto L dari isis. Mau tahu apa. Iya MEDIA! A NJ I N G! 😂</t>
  </si>
  <si>
    <t>Dear Governments, kenapa WNI kita dikarantina selama 14 hari setelah berpergian dari luar negeri? Sedangkan para WNA begitu bebasnya bisa masuk negeri ini? Kenapa WNA gak ikut dikarantina juga?????? It doesn't make sense 🤪</t>
  </si>
  <si>
    <t>Sementara yang matan Indonesia dan sdh jadi ISIS malah mau dibiayain, dipulangin, dikasih kerjaan, piye to ?</t>
  </si>
  <si>
    <t>@onsrgst @sigitigisigit @HendrixJimi1 @AremaNita__ @el_loco234 @Kirana____2 @AkubArifin @ivonrush1979 @izzulrizl @asuhan101010101 @teshar_parker @BdyNusantara @djangrono @AdityaRahayu76 @VostokMerah @Nemo_4512 @wmudrana @bejocyber @SahlanAmin4 @babahliong @ArabicaBali @logic_editor @daunsirih5 @Tikayulie @GusMendem1 @NowowoNowiwi @Gus_KW @rachmadhi @riberu_ade2 @MobZack @BerisikEmak Itu mulu cuitanmu, kemarin saya ajakin bahas isis, kamu ngga ngerti. Kamu kok kayak jemuran kering??? Loyo melambai otaknya Itu otak dipake tanteom, jangan dititip dipegadaian</t>
  </si>
  <si>
    <t>@ISIS_Balik_NO Ujung2nya Tanpa Bentuk</t>
  </si>
  <si>
    <t>RT @angelmaximilan: @Kirana____2 @harihariono1 @LusiHQ @Tikayulie @AremaNita__ @BelajarKejawen @YogaAdrianyoga6 Mereka mungkin bersedia diperdangan, seperti ISIS melakukan nya...</t>
  </si>
  <si>
    <t>RT @IndonesiainCOL: Kepada WNI yang berada di Kolombia, Antigua dan Barbuda, dan St. Kitts and Nevis, KBRI Bogotá membuka jalur hotline dan email bagi WNI yang membutuhkan asistensi terkait wabah COVID-19. Jaga kesehatan pribadi dan lingkungan ya! #IniDiplomasi #NegaraMelindungi</t>
  </si>
  <si>
    <t>@ErvineKiddies @sigitigisigit @HendrixJimi1 @AremaNita__ @el_loco234 @Kirana____2 @AkubArifin @ivonrush1979 @izzulrizl @asuhan101010101 @teshar_parker @BdyNusantara @djangrono @AdityaRahayu76 @VostokMerah @Nemo_4512 @wmudrana @bejocyber @SahlanAmin4 @babahliong @ArabicaBali @logic_editor @daunsirih5 @Tikayulie @GusMendem1 @NowowoNowiwi @Gus_KW @rachmadhi @riberu_ade2 @MobZack @BerisikEmak Anda sedang berjihad melawan kami para kafir, sebagaimana diperintakan agama anda. Seperti yg dilakukan ISIS terhadap suku Yazidi di Irak😊</t>
  </si>
  <si>
    <t>RT @WR_4AG226: 620 WNI yg mengikuti tabligh Akbar di Malaysia, mestinya setelah pulang nanti wajib dikarantina neh(sekrining antisipasi penyebaran Virus Corona)...awas jan percaya penyebaran Krn makan Babi😩 Corona Nyebar di Tabligh Akbar, Ratusan Peserta RI Ikut Hadir</t>
  </si>
  <si>
    <t>Alhamdulillah, seluruh staf KBRI Kyiv&amp;seluruh WNI yg tinggal di Ukraina semuanya dalam keadaan sehat wal afiat. Teriring Doa untuk seluruh bangsa dan Rakyat Indonesia, semoga sehat selalu .Yakinlah, Presiden dan jajarannya tengah bekerja sungguh2 mengatasi situasi ini dg baik.🙏</t>
  </si>
  <si>
    <t>Sebelum Tentara Saudi Tiba di Suriah, ISIS BANCI LARI ke Libya</t>
  </si>
  <si>
    <t>@KompasTV Tidak beralasan harus menyalahkan menkes dalam kasus corona, apa yang dilakukan Menkes selama ini sudah teruji dan terbukti dgn menyelamatkan ratusan WNI diluar negeri dari virus corona, penyakit dan musibah itu urusan dgn Allah, tdk ada satupun yg bisa menolaknya,#modalbacot</t>
  </si>
  <si>
    <t>Peminat bagi 🤭😂😍</t>
  </si>
  <si>
    <t>RT @Aryprasetyo85: Detik-detik ABK World Dream Tiba di Pelabuhan Kolinlamil Sebanyak 188 WNI anak buah kapal (ABK) World Dream tiba di pelabuhan Kolinlamil di Tanjung Priok, Jakarta setelah menempuh perjalanan kselama tiga jam menggunakan KRI Semarang-594, Sabtu (14/3/2020) #StopPolitisasiCorona</t>
  </si>
  <si>
    <t>@sjkyuhiun WKWKWKWKWK itu soal nama-namanya yg bikin ketawa :( aslinya sederhana :( versi susahnya bisa dibikin wni nikah sama warga singapore lalu beda agama lalu anaknya banyak lalu pas suaminya mati dia kawin lagi sama yang lain anjir bikin bagan keluarganya puseng :(</t>
  </si>
  <si>
    <t>Ya Allah kenapasiii ada adegan sambut menyambut gini. Kemaren WNI maen ke sumbar disambut gubernurnnya, ABK diamond princess sama world dream yg ada riwayat, disambut menteri 😢 kenapasi 😌 RT @berlianidris: Menhub Budi Karya positif menderita #COVID19. Ia menyambut ABK Diamond Princess, yg waktu itu dipastikan oleh @fadjroeL dalam kondisi sehat. Saya mencemaskan nasib Menkes Terawan yg menyambut 188 ABK World Dream dgn sumringah &amp; memberikan gelar Duta Imunitas Corona 😭</t>
  </si>
  <si>
    <t>Pemerintah udh berusaha ngatasi wabah ini, di liat dari awal pemulangan WNI dri china kemudian di karantina 14 hari dan di nyatakan semua sehat. TNI angkatan udara yg menyiapkan pesawat khusus untuk mobilisasi pasien covid 19 Menyediakan Rumah Sakit Rujukan untk setiap daerah</t>
  </si>
  <si>
    <t>RT @Aryprasetyo85: Prosesi penyerahan sertifikat sehat diberikan kepada tiga perwakilan WNI ABK World Dream yang diserahkan langsung oleh Menteri Kesehatan Terawan. Dalam penyerahan sertifikat ini, terlihat senyum sumringah dan sorakan tepuk tangan dari para WNI ABK.</t>
  </si>
  <si>
    <t>#malamminggu Perusahaan kmi sdg menerima karyawan dgn kriteria : -Female -Berakhlak sedikit mulia -WNI -18+ -Aktif oralnisasi -Bersedia ikatan dinas luar dalam -S1 Kebidanan/Keperawatan lebih disukai -Menguasai Ms.Excol -Skill Requirement Public spoKIng Silahkan apply</t>
  </si>
  <si>
    <t>Pengen jadi WNI,Warga Negara Indomaret RT @dittameliaa: Cape gak sih lu hidup di negara ini?</t>
  </si>
  <si>
    <t>@Kirana____2 @harihariono1 @LusiHQ @Tikayulie @AremaNita__ @BelajarKejawen @YogaAdrianyoga6 Mereka mungkin bersedia diperdangan, seperti ISIS melakukan nya...</t>
  </si>
  <si>
    <t>@sarimusdar09 @poisons @dr_tompi Minimal pembatasan dulu ini, seteril transportasi karena lebih rentan banget. Kemarin WNI yang kena dampaknya berita digoreng terus media lokal.</t>
  </si>
  <si>
    <t>RT @DenBagusDhewe: Singapura tagih biaya perawatan pasien covid19 WNI di sing, Wapres : "Kami belum tahu yang dimaksud itu" Kalau di dalam negri biaya perawatan ditanggung pemerintah, yg diluar negri sebaiknya dibayarkan juga.</t>
  </si>
  <si>
    <t>@FarzanKhan009 @theworldindex Tell me how many non muslim org you see in this terrorist groups: Al-Qaeda, taliban, ISIS , Jamaat al Dawa al Quran, Jamaat Ul-Furquan, Ansar al-Sharia,Armed Islamic Group of Algeria, Boko Haram, Haqqani network, Jaish-e-Mohammed, Lashkar-e-Taiba, Hamas,</t>
  </si>
  <si>
    <t>@Reemeora1 @WUKWUUUW @mbahCokro77 @kardusbox08 @watu_dakon @wibisonho @Celvin02160099 @wijaya_48 Apa hubungan nya ma ISIS ?? hahaha semplak</t>
  </si>
  <si>
    <t>RT @adiyatna09: Presiden @jokowi , please. Sediakan fasilitas pengecekan gratis bagi WNI yg miliki riwayat kunjungan ke LN Atau jika perlu buka database imigrasi WNI yang miliki riwayat perjalanan ke LN. Hubungi satu persatu utk dimintakan kesediaanya melakukan tes kesehatan di RS rujukan.</t>
  </si>
  <si>
    <t>@ardskaay @akuhumannnnn get well really soon beb pasti sembuh semoga semua wni sehat selalu, dan yg ter suspect sembuh semua</t>
  </si>
  <si>
    <t>@DurGuhz Gak pernah berpikir anti China. Ketika kejadian di Wuhan, semoga WNI dilindungi. Tapi Tuhan berkehendak lain, ketika kejadian di Indonesia yang gw pikirin bagaimana tetap waspada tanpa panik. Hikmah Corona adlh ditunjukkan manusia yang memanusiakan dengan manusia yang egois liar.</t>
  </si>
  <si>
    <t>@sarimusdar09 @poisons @dr_tompi Taiwan juga gak ada persiapan matang, tapi ada info WNI pulang cuti mau balik ke sini awalnya dihimbau gak boleh transit HK/China. Langsung travel warning, hal ini dulu. Bisa jadi pencegahan.</t>
  </si>
  <si>
    <t>Pemerintah RI tdk menanggung biaya perawatan WNI yg terkena Covid-19 di Luar negeri</t>
  </si>
  <si>
    <t>@Metro_TV keknya semua WNI akan duta pada waktunya😵</t>
  </si>
  <si>
    <t>RT @mohamadhairee_: lain macam kecewa dia bila fav subject kita tak boleh score</t>
  </si>
  <si>
    <t>RT @Ayang_Utriza: Semoga akun twitter Prof. Kyai @na_dirs bisa segera dipulihkan dan direbut kembali dari peretas tidak bertanggungjawab. Alfatihah. Kiprah &amp; keberadaan beliau di dunia Twitter sangat mendidik kita semua. Tim siber @DivHumas_Polri &amp;amp; tim siber @nahdlatululama semoga bisa membantu.</t>
  </si>
  <si>
    <t>@kompasiana @kompascom Ada nih pendukung isis...</t>
  </si>
  <si>
    <t>Singapura tagih biaya perawatan pasien covid19 WNI di sing, Wapres : "Kami belum tahu yang dimaksud itu" Kalau di dalam negri biaya perawatan ditanggung pemerintah, yg diluar negri sebaiknya dibayarkan juga.</t>
  </si>
  <si>
    <t>@digeeembok Kadrun ya kadrun....cepet ato lambat akan balik lg ke habitatnya</t>
  </si>
  <si>
    <t>@VICE_ID Duhhh jadi ada kemungkinan virus carriernya dari WNI diamond princess kah?</t>
  </si>
  <si>
    <t>RT @digeeembok: Lagi cari billing yah njing?</t>
  </si>
  <si>
    <t>@kumparan Apa perlu observasi ke pulau seribu .. Seperti yang wni lain?</t>
  </si>
  <si>
    <t>ISIS &amp; SURIAH TAKUT TERHADAP PASUKAN ARAB SAUDI</t>
  </si>
  <si>
    <t>@zuhairimisrawi Mas, bener ya mas zuhairi masuk ke pesawat khusus wanita dan anak2 saat evakuasi wni di mesir? Kok bisa ya mas? Mas nya pakai rok apa daster? Nanya loh mas. Jangan marah Saya hanya ingin tahu. 🙏</t>
  </si>
  <si>
    <t>Dugaan Sumber Penularan Menhub Budi Karya yang Positif Virus Corona, Sempat Sambut WNI dari China</t>
  </si>
  <si>
    <t>RT @avatarcs999: @dr_tompi Lock Down itu merupakan usaha terakhir untuk atasi penularan virus, saya harap Pemerintah lakukan semi Lock Down Mengurangi aktivitas penerbangan Luar Negeri, hanya untuk kepulangan turis atau WNI kedaerah masing2 Melarang segala acara keramaian diatas 100 orang</t>
  </si>
  <si>
    <t>RT @nflalll: @adilazhrnw 2 maret kata pak jokowow ada 2 wni positip corona 14 maret 96 wni positip corona, yg sembuh baru 8, yg meninggal udah 5. u dah gile apa</t>
  </si>
  <si>
    <t>RT @ratu_adil: Terbang ke Wuhan, Pramugari Lion Air Diduga Terjangkit #WuhanCoronaVirusOutbreak Evaluasi Menteri Pariwisata dan Menteri Perhubungan, yang tak segan korbankan WNI tertular #VirusChina Dengan tidak terapkan #TolakSementaraTurisChina Menteri K****L 🌐</t>
  </si>
  <si>
    <t>@adilazhrnw 2 maret kata pak jokowow ada 2 wni positip corona 14 maret 96 wni positip corona, yg sembuh baru 8, yg meninggal udah 5. u dah gile apa</t>
  </si>
  <si>
    <t>RT @BNPB_Indonesia: 188 WNI ABK World Dream tiba di Kolinlamil Tanjung Priok setelah melewati masa observasi di Pulau Sebaru Kecil &amp; dinyatakan sehat. Tiba di Kolinlamil pk.11.41 WIB (14/3/2020)dgn KRI semarang 594. #coronavirus #LawanCorona #PBUrusanbersama #SiapUntukSelamat #LAWANCOVID19 #Covid_19</t>
  </si>
  <si>
    <t>@BDUTT @narendramodi Pak and isis ke dalal</t>
  </si>
  <si>
    <t>Kegiatan yang bertema “Forpass sebagai Forum Intelektual yang Berintegritas, Mandiri dan Akademis” tersebut dihadiri oleh seluruh anggota Forpass, Ketua PPI Sudan, Ketua Organisasi Kekeluargaan WNI di Sudan dan perwakilan organisasi mahasiswa lainnya #indonesianWay</t>
  </si>
  <si>
    <t>@mbahCokro77 @YogaKrisnanda2 @WUKWUUUW @Reemeora1 @watu_dakon @wibisonho @Celvin02160099 @wijaya_48 Makin lama makin gila tu pejuang khilafak.. apalagi ISIS udah kalah di Suriah. 😃😅</t>
  </si>
  <si>
    <t>@MeyKarunia Isis sengaja di ciptakan mereka.</t>
  </si>
  <si>
    <t>⚠️ chat part 3. Sok ngeles ya bocil pake nanya nama lengkap gue buat lapor di kepolisian. Woy w ni S1 hukum yg mau lanjut S2 + udah pendidikan lawyer + lulus ujian lawyer MANA ADA LAPORAN POLISI CMN NAMA LENGKAP DOANG :) laporan tu pake TTL, jns kelamin, WNI/agama, kerja,almt,tlp</t>
  </si>
  <si>
    <t>@Tatto961 @AtikaFaya Halaaah..biarin aja berangkat , sebagai ganti malu selama ini aksi terjauh cuman monas...kalah ma anak2 isis asal Indonesia yg masih belasan tahun aja dah dar der dor bawa AK di Suriah....lah mereka mentok bawa fentungan teriak2 take a beer..</t>
  </si>
  <si>
    <t>Berharap pemerintah @jokowi dan jajarannya @kemkominfo segera membuat aplikasi tracing/ tracking bekerjasama dg google inc, thd WNI &amp; WNA yg memiliki riwayat perjalanan dari dan ke luar negeri #COVID19indonesia #CoronaVirusIndonesia #LockDownIndonesia</t>
  </si>
  <si>
    <t>Budi Karya Sumadi jadi pejabat tinggi pertama Indonesia yang terdampak COVID-19. Dia sempat menjemput WNI awak kapal pesiar Diamond Princess.</t>
  </si>
  <si>
    <t>Wingi ono brita wni di jemput seko luar negeri terus di isolasi neng pulau terpisah. Saiki malah iso kecolongan virus e wes bacut nyebar. :(</t>
  </si>
  <si>
    <t>Yup setuju, kejanggalan masif hoax saat wni dari wuhan ke Natuna,framing-click bait media lokal/asing menebar ketakutan bikin org borong belanja-masker,Anies yg berbeda info dg kemenkes,bikin web sendiri-lockdown spt sebrangan dg Pemerintah 🙄 RT @anandasukarlan: Gimana kalau kita naikin #SayaPercayaJokowi ? Yg setuju RT yah, utk #StopPolitisasiCorona ...</t>
  </si>
  <si>
    <t>RT @lilaccountz: Ya kalo kalian bilang jgn urus pakaian org lain, YA GAUSAH NGURUS PAKAIAN ORG YG CADARAN JUGA KALI Suka2 mereka lah. Mau cadaran kek, mau kerudungan kek, emg situ yg bayar pakaian mereka? Dikira semua yg make cadar ISIS? ALIRAN EKSTRIM? Hadeh gampang bgt judge org</t>
  </si>
  <si>
    <t>Gue cuma mau bilang gini, Hti musuh islam, Ikhwanul muslimin musuh islam, Isis musuh islam, Jad musuh islam, Al qaeda musuh islam !! Jadi kalau lu termasuk umat salah satu kelompok musuh islam tersebut, maka kau bukanlah umat Islam mus, melainkan musuh islam !! 😎 RT @musniumar: Serangan terhdp umat Islam luar biasa. Umat dituduh radikal, ekstrim, intoleran, teroris dll. Sjk Nabi Muhammad SAW mendirikan ngr Madinah dan memimpinnya sampai kekhalifahan Ottoman di Turki, umat Islam sll hadirkan kesamaan hak, keadilan, toleransi dsb.</t>
  </si>
  <si>
    <t>@ISIS_Balik_NO @kbenaranHakiki @AdnanDasuki99 @CNNIndonesia @enricofernandos ie om. die kayaknya tobat mulai ni malam. sok pinter nya tu yg bikin keki. ngeyel lagi😭😭😭😭</t>
  </si>
  <si>
    <t>@syiifaars bcs wni kontak sm wna</t>
  </si>
  <si>
    <t>@hidahidaan @anandasukarlan @habibthink @jokowi Pastinya dong masa Presiden Indonesia tidak didukung sbg wni ndka mungkin to aku dukung presiden Zimbawe</t>
  </si>
  <si>
    <t>@SonOf_Flames @queensky021 tentang apa yg terjadi saat ini, kalo bisa Indonesia lockdown aja daerah yg udah terpapar Covid-19 pas awal pemberitaan 2 WNI terpapar virus ini. Kemungkinan juga pengawasan di Bandara kurang ketat yg menyebabkan menyebar nya virus dibbrapa daerah</t>
  </si>
  <si>
    <t>Saat ini memang harus hindari MALL,krn tempat ini tempat favorit orang2 sipit,membedakan mereka WNI atau WNA CHINA kesulitan.sama sipitnya RT @detikfinance: Terjadi penurunan pengunjung ke pusat perbelanjaan di DKI Jakarta sejak kasus virus corona melonjak tajam di Indonesia.</t>
  </si>
  <si>
    <t>RT @jubidotcom: Papua Kebijakan pembatasan WNI dan pelarangan WNA berkunjung ke Papua belum jelas</t>
  </si>
  <si>
    <t>Ngakunya aktivis kemanusiaan pembela rakyat tp kelakuan kaya begini. Lo sadar ga pak BKS itu salah satu orang yg perjuangin WNI di Wuhan untuk bisa pulang ke Indonesia. Rakyat juga yg minta mereka dijemput pulang. Ga tau terimakasih lo semua aktivis kemanusiaan tai kucing lu. RT @fullmoonfolks: Virusnya langsung resign</t>
  </si>
  <si>
    <t>@antikadrun4ever @kbenaranHakiki @AdnanDasuki99 @CNNIndonesia @enricofernandos Mungkin nyari Bantuan dr Jawara dan Mas Puyeng...juga last car efeih</t>
  </si>
  <si>
    <t>@ISIS_Balik_NO @kbenaranHakiki @AdnanDasuki99 @CNNIndonesia @enricofernandos hahahaha dia lagi nangis ngadu sama twman kadrunya om.. masih nyari tisu😭😭😭</t>
  </si>
  <si>
    <t>Presiden @jokowi , please. Sediakan fasilitas pengecekan gratis bagi WNI yg miliki riwayat kunjungan ke LN Atau jika perlu buka database imigrasi WNI yang miliki riwayat perjalanan ke LN. Hubungi satu persatu utk dimintakan kesediaanya melakukan tes kesehatan di RS rujukan.</t>
  </si>
  <si>
    <t>@jokowi Maaf ya pak saya sampaikan pendapat karena dijamin UUD1945. - Saya rasa baiknya bapak TEGAS! melarang masuk terutama wna China tempat asal covid-19 ini. -apa betul ya WNA China bebas visa kesini? Sementara WNI ke China harus pakai visa, kalau betul bargaining power kita gmn pak??</t>
  </si>
  <si>
    <t>Terawan Sebut WNI Observasi Sebagai Duta Imunitas Saat kembali ke keluarga, mereka diminta untuk berbagi tips untuk menjaga kesehatan #ValidNih</t>
  </si>
  <si>
    <t>RT @DsSupriyady: Rakyat cukup sholat subuh baca doa Qunut...</t>
  </si>
  <si>
    <t>@antikadrun4ever @kbenaranHakiki @AdnanDasuki99 @CNNIndonesia @enricofernandos Nyari dukungan....kagak aneh Kadrun mah Jangan2 lagi minta klipingan kolekai temen2 kadrunnya ya...😂😂😂 Eh kliping si cabul...blom keluar ya....aku lagi nunggu</t>
  </si>
  <si>
    <t>@fahmiis5 @cupzakes @queensky021 Emang kl kao bayar pajak kudu nyalahin pemerintah teros ha? Sama2 introspeksi diri, saling support, ditimbang2 dulu dampaknya kl lockdown seluruh Indonesia kea gmn. Plis dah isi otak kao jgn nethink teros bambank! Ya sok mangga berhenti bayar pajak, sekalian berhenti jadi WNI.</t>
  </si>
  <si>
    <t>@AnakKolong___ FPI= ISIS nya Indonesia Islam 212= ISIS</t>
  </si>
  <si>
    <t>Supaya ISIS dengkulku, udah gitu doang. RT @riizkyprdna: ㅤ ㅤ Itu yg punya celana jeans terus bagian lutut nya di robek hm, SUPAYA APASI? ㅤ</t>
  </si>
  <si>
    <t>74 pendamping dipulangkan bersama WNI ABK World Dream</t>
  </si>
  <si>
    <t>RT @yusuf_dumdum: Pesan buat @Kemenag_RI Fachrur Razi @DivHumas_Polri &amp; @mohmahfudmd Saya dengar menag mendukung 600 kombatan ISIS dipulangkan ke Indonesia dg alasan kemanusiaan? Jka benar, bukankah itu justru mengabaikan kemanusiaan lainnya ? Yg MENOLAK 600 kombatan ISIS dipulangkan RT &amp;amp; like!</t>
  </si>
  <si>
    <t>@ISIS_Balik_NO @kbenaranHakiki @AdnanDasuki99 @CNNIndonesia @enricofernandos hahahaha kadrun mah gitu om. jago playing victim.die lagi ngadu sama temannya bilang gw maki2 dia. padahal yg maki gue goblokk di duluan. dasar kadrun penipu😭😭</t>
  </si>
  <si>
    <t>@erwinnatosmal Hampir setengah penduduk indonesia kali yang kesel.. tapi sekarang ini memang harus ditahan keselnya; krn wabah corona g bisa Dilawan pake kesel; kudu kalem dan Kerja bareng dulu - at least semua wni harus brg kerja cegah corona bagaimana pun caranya sebelum byk korban</t>
  </si>
  <si>
    <t>RT @MarikaRahman_: @ISIS_Balik_NO @arli_ap @taufikbasari @riekediahp @PBIDI @KemenkesRI kalau dari LN / kontak -&gt; namanya ODP : (Orang dalam pengawasan). Jika Kontak/dari LN kemudian sakit namanya-&amp;gt; PDP (Pasien dalam pengawasan) PDP akan di cek swab, dari 1209 yang di test covid19, 93% Negatif. Jadi gak perlu cemas apa lagi hanya kontak jauh. yg penting imunitas</t>
  </si>
  <si>
    <t>Halah 😅 ~ Gaji Layak, Jam Kerja Fleksibel, dan Paket Tunjangan Terbaik, Algojo ISIS Ini Beberkan Pendapatannya Usai Penggal Lebih dari 100 Kepala Manusia</t>
  </si>
  <si>
    <t>@antikadrun4ever @kbenaranHakiki @AdnanDasuki99 @CNNIndonesia @enricofernandos SOP kadrun....adalah senang saat orang dapet cobaan...dan menyebutkan Adzab...tapi sebaliknya kalo menimpa gerombolan mereka....koruptor saja bilang sedang diDzolimi kok...dan duitnya dibilang Rejeki Allah</t>
  </si>
  <si>
    <t>@kbenaranHakiki @ISIS_Balik_NO @AdnanDasuki99 @CNNIndonesia @enricofernandos ayo cari lagi yg lengkap dan koperHANSIP😭😭</t>
  </si>
  <si>
    <t>@mss_xullie 🤧🤧 ince wni abu</t>
  </si>
  <si>
    <t>@ISIS_Balik_NO @antikadrun4ever @AdnanDasuki99 @CNNIndonesia @enricofernandos Dibayar pajak kita kok gini ya RT @El_Alaydrus: Nih kekonyolan komentar atau tindakan pejabat publik kite utk hadapin corona. @lokataru_id @hakasasiid @haris_azhar @fullmoonfolks @sandalista1789</t>
  </si>
  <si>
    <t>@RiriJreeng Bunga pete ?</t>
  </si>
  <si>
    <t>@kbenaranHakiki @ISIS_Balik_NO @AdnanDasuki99 @CNNIndonesia @enricofernandos g boleh gitu om. kamu senang orang kena virus corona???? wah selain goblokkk lo ternyata bejad juga ya!!!</t>
  </si>
  <si>
    <t>@kbenaranHakiki @antikadrun4ever @AdnanDasuki99 @CNNIndonesia @enricofernandos Tambah yakin kalo corona adalah tentara Allah ya drun.. Hidup somad 😂</t>
  </si>
  <si>
    <t>RT @safetravelkemlu: IMBAUAN BAGI WNI YANG BERADA DI LUAR NEGERI ATAU BERENCANA MELAKUKAN PERJALANAN KE LUAR NEGERI SEHUBUNGAN DENGAN PENYEBARAN WABAH COVID-19 (geser ke kanan untuk membaca) #travel #backpacker #safetravelkemlu…</t>
  </si>
  <si>
    <t>RT @safetravelkemlu: Perkembangan Covid-19 di Dunia dan Pelindungan WNI (as of 14 Maret 2020; 08.00 WIB) #negaramelindungi #covid19 #coronavirus #situationreport</t>
  </si>
  <si>
    <t>@heeru310 @DKIJakarta Mungkin sedamg di Dzolimi kalo versi kadrun mah</t>
  </si>
  <si>
    <t>RT @nanjoshi: @ReallySwara Updated: Arrests made in #AntiHinduRiots so far- 1. Shahrukh 2. Tahir Hussain(AAP) 3. Shahnawaz 4. Jahanjeb Sami(ISIS) 5. Hina Bashir(ISIS) 6. Danish Ali(PFI) 7. Shah Alam 8. Salim Malik 9. Mohd Jalaluddin 10. Mohd Ayub 11. Mohd Yunus 12. Mohd Mushtaq 13. Md Danish 14. Md Salim</t>
  </si>
  <si>
    <t>@ISIS_Balik_NO @antikadrun4ever @AdnanDasuki99 @CNNIndonesia @enricofernandos Ngeri2 sedap RT @enjang_as: @ronavioleta @jokowi Rabu masih sehat Sabtu positif Corona</t>
  </si>
  <si>
    <t>@msaid_didu DIASPORA WNI DI SAUDI menghentikan kegiatan acara HIBURAN dan sosialisasi</t>
  </si>
  <si>
    <t>RT @nrg07: Judul clickbait. Yang betul: Singapura akan tagih biaya perawatan turis WNA penderita Covid-19 (ya, termasuk WNI). Karena WNI yang sakit justru terbang ke SG untuk dirawat, diindikasi akan meningkat. WNI seperti saya pemegang izin tinggal tetap, biayanya tetap akan ditanggung.</t>
  </si>
  <si>
    <t>RT @FarelmaxL: @AnakLolina @DivHumas_Polri Sudah jelas dan nyata. Act berafiliasi dengan ISIS , AHH di Turki.</t>
  </si>
  <si>
    <t>Freak bgt wni yang dari china di karantina waktu itu, lah ini wna yg kesini malah di biarin anjenkkkkkkkkkk</t>
  </si>
  <si>
    <t>@IbnuSholh @queensky021 Ada benernya kak seharusnya kalo mau di lockdown pas ada pemberitaan 2 WNI yg terkena Covid-19, pemerintah seharusnya langsung lockdown daerah yang terkena Covid-19 itu biar gak terjadi penyebaran virus secara luas. Dan (sepertinya) juga kurang ketat nya pengawasan di Bandara</t>
  </si>
  <si>
    <t>Makasih yah @Harudamie suami aku ganteng amat pengen cepat" dia jadi WNI 🤣💞</t>
  </si>
  <si>
    <t>@RudraVS his point bein indian muslims r moderate killers not lik isis ..dey follo ganga jamuni chtyapa tehzeeb</t>
  </si>
  <si>
    <t>Pa presiden @jokowi Per 1 januari 2020 hingga saat ini WNI yg kembali masuk ke Indonesia Semua nya harus di test Apakah terjangkit virus covid 19 atau tidak Harus di lakukan pa @jokowi Data orang masuk ke indonesia Masih ada di imigrasi / maskapai penerbangan Ayo pa Bergerak</t>
  </si>
  <si>
    <t>@antikadrun4ever @kbenaranHakiki @AdnanDasuki99 @CNNIndonesia @enricofernandos Kita ngobrol sini saja, skalian nunggu dia kelar presentasi..... @kbenaranHakiki ntar ente kabarin Kita kalo ente kelar ya....kita lagi ngopi disini !</t>
  </si>
  <si>
    <t>@sylviaintoronto @upasanashindu Let the ISIS/LeT/Hizbul/Taliban/AlQaida bless us all AMEN</t>
  </si>
  <si>
    <t>Amerika selalu tidak senang dgn negara2 yg menguat disegala bidang. Dulu, Soekarno dijatuhkan CIA. ISIS didanai. India rusuh setelah Trump pulang kunjungan. Cina dijatuhkan dng segala cara.</t>
  </si>
  <si>
    <t>@antikadrun4ever @kbenaranHakiki @AdnanDasuki99 @CNNIndonesia @enricofernandos Eh ..jangan salah.....senjata kadrun cuma selangkangan...dunia akhirat loh...!</t>
  </si>
  <si>
    <t>Rakyat cukup sholat subuh baca doa Qunut...</t>
  </si>
  <si>
    <t>@MarikaRahman_ @arli_ap @taufikbasari @riekediahp @PBIDI @KemenkesRI Oh ok.... Apakah anda sekarang faham @fahiraidris ?</t>
  </si>
  <si>
    <t>RT @ReiMiechi99: @ansorihasan211 @AnakKolong___ @bokulos_ Bacotan lo gede tapi PENGECUT. Knp ga pergi ke suriah, ga pergi ke india, buat ngebela. Tapi cuma ngeBACOT KAFIR DENGKI aja di medsos. Kaum KAFIR KHILAFAH-ISIS memang ga BEROTAK.</t>
  </si>
  <si>
    <t>@ansorihasan211 @AnakKolong___ @bokulos_ Bacotan lo gede tapi PENGECUT. Knp ga pergi ke suriah, ga pergi ke india, buat ngebela. Tapi cuma ngeBACOT KAFIR DENGKI aja di medsos. Kaum KAFIR KHILAFAH-ISIS memang ga BEROTAK.</t>
  </si>
  <si>
    <t>ih gamau jd wni ah goblok pemerintahnya RT @faridgaban: BEBAS CORONA? Otoritas pelabuhan Semarang menyatakan 1.000 turis asing di kapal pesiar ini "bebas corona". Mereka diizinkan turun &amp; bebas mengunjungi tempat2 wisata Jawa Tengah. Bagaimana berani bilang "bebas corona" tanpa uji laboratorium?</t>
  </si>
  <si>
    <t>@ISIS_Balik_NO @kbenaranHakiki @AdnanDasuki99 @CNNIndonesia @enricofernandos om enak aje😭😭😭😭 paling juga kagak punya die😭😭😭😭😭</t>
  </si>
  <si>
    <t>@antikadrun4ever @kbenaranHakiki @AdnanDasuki99 @CNNIndonesia @enricofernandos Jangan ditabok pala nya.....bijinya saja...bagaimana ?😂</t>
  </si>
  <si>
    <t>@Rendy51500187 @CNNIndonesia Giliran WNI yang dateng dari luar negri aja dicurigai karena membawa virus corona dan berakhir di karantina selama 14 hari, sedangkan para wisatawan asing malah bebas melakukan visit. Gimana ini ga disebut keanehan?</t>
  </si>
  <si>
    <t>@ISIS_Balik_NO @kbenaranHakiki @AdnanDasuki99 @CNNIndonesia @enricofernandos wkwkwkwmwk kayaknya dia termasuk dalam pengurus miliiter uas om. sebage tukang lap sepatu🤣🤣🤣🤣🤣🤣🤣🤣🤣🤣🤣🤣</t>
  </si>
  <si>
    <t>Inti dari celotehan ini adalah memblokir penerbangan dari negara yg terpapar corona saja tidak bisa, lalu menimbulkan adanya WNI yg terinfeksi, apa kita semua siap (secara teknis dan dampak) dg wacana lockdown atau bahkan lebih sederhana yakni isolasi satu kota?</t>
  </si>
  <si>
    <t>@antikadrun4ever @kbenaranHakiki @AdnanDasuki99 @CNNIndonesia @enricofernandos Gak apa2....kita kasih dia semangat...kasih tepuk tangan biar BANGGA 👏👏👏👏👏</t>
  </si>
  <si>
    <t>@ruri_doremi Aku inget banget waktu orang Indonesia bilang ke WNI yang ada di Wuhan kalau mereka kena Azab saat itu. Mashaallah saya hanya bisa istihgfar dan geleng kepala</t>
  </si>
  <si>
    <t>@pinkdoui Loh berarti 69 wni duta corona yang bawa corona dong</t>
  </si>
  <si>
    <t>@ISIS_Balik_NO @kbenaranHakiki @AdnanDasuki99 @CNNIndonesia @enricofernandos pasti gemetar jari2nya om. panas pula hatinya kan. apakah ini median?? eh itu edan maksdnya om🤣🤣🤣🤣🤣👇🤣</t>
  </si>
  <si>
    <t>@antikadrun4ever @kbenaranHakiki @AdnanDasuki99 @CNNIndonesia @enricofernandos Ntar ditutup dengan berita ini mas.. Kita taruhan yuk ?!</t>
  </si>
  <si>
    <t>@dynarchoo_ @therealdiansyah @adhityasptra Paham banget. Tapi ya gini loh. Dari awal udah q bilang kan. Misal pempus sigap. G ada acara sewa2 influencer, beli alat pndeteksi, pulangkan WNA, karantina semua WNI yg abis brprgian kluar negri, pnularanya g scpr ini.</t>
  </si>
  <si>
    <t>Menurut gue lockdown itu perlu, gausah lama2 deh at least percobaan dulu sampe akhir maret, krn slama ini gada himbauan dr pemerintah Indo u/ WNA/WNI jd semua org bebas keluar/masuk ke IDN, dan ktika negara asal si virus mulai pulih skrg kita deh kelabakan #COVID19indonesia</t>
  </si>
  <si>
    <t>@ISIS_Balik_NO @kbenaranHakiki @AdnanDasuki99 @CNNIndonesia @enricofernandos wkwkwkwjwkwmwjw udah om. nnt anak orang putus asa gmana? kalo die ntar telan hpnya gmana om? masa kita g bersukacita??🤣🤣🤣🤣🤣🤣🙏🙏🙏🙏🙏🙏🙏😊😊😊😊</t>
  </si>
  <si>
    <t>@e100ss Semoga bisa belajar dari yang sudah terjadi</t>
  </si>
  <si>
    <t>@kbenaranHakiki @antikadrun4ever @AdnanDasuki99 @CNNIndonesia @enricofernandos Ayo...mana lagi.... Masih ada gugel mas.....gali trooos</t>
  </si>
  <si>
    <t>@kbenaranHakiki @ISIS_Balik_NO @AdnanDasuki99 @CNNIndonesia @enricofernandos bagus!!!!! ahli statistika berubah jd portal berita. lupa sama medan karo mens🤣🤣🤣🤣🤣🤣🤣🤣</t>
  </si>
  <si>
    <t>@kumparan Aturan dari dulu di tutup semua penerbangan yg masuk dari dari daerah yg kena korona, Kalau enggak, Ia minimal di karantina semua baik wna atau wni yang masuk, Kalau cuma cek2 doang gaka guna, Buktinya banyak jg yang lolos</t>
  </si>
  <si>
    <t>@kbenaranHakiki @ISIS_Balik_NO @AdnanDasuki99 @CNNIndonesia @enricofernandos sekarang nail pangkat jd kampret🤣🤣🤣🤣 lanjutkan cari!!!!!!! bilang siap dong drun? lemws amat lo🤣🤣🤣🤣🐫🐫🤣🐫</t>
  </si>
  <si>
    <t>@Rizqimisme @midiahn Susis suami joim isis</t>
  </si>
  <si>
    <t>@ISIS_Balik_NO @kbenaranHakiki @AdnanDasuki99 @CNNIndonesia @enricofernandos makanya mereka ini kan berkedok agama saja.. rakusnya sama kekuasaan dan uang saja om..</t>
  </si>
  <si>
    <t>@kbenaranHakiki @antikadrun4ever @AdnanDasuki99 @CNNIndonesia @enricofernandos Masih ada lagi ? Jangan sungkan....ungkapkan kekecewaan kekalahan anda</t>
  </si>
  <si>
    <t>1. Nabila 2. Single 3. Mixtape 2—stray kids 4. 1.896 5. Mangatoon 6. – 7. School 8. WNI 9. 2 10. No one 11. Kecoa 12. 2016-2017 13. – 14. Kita jarang interaksi, jad aku tida tauu😭 Rep '🐺' for the question</t>
  </si>
  <si>
    <t>@antikadrun4ever @kbenaranHakiki @ISIS_Balik_NO @AdnanDasuki99 @CNNIndonesia Emg ada kadrun yg mo ngaku salah... Itu kan udh kodrat mereka 😅🤣</t>
  </si>
  <si>
    <t>@kbenaranHakiki @ISIS_Balik_NO @AdnanDasuki99 @CNNIndonesia @enricofernandos ya bagus kamu turut perintah!! kamu naik pangkat jadi kopral kadrun ya!! lanjutkan mencari!!!!!!</t>
  </si>
  <si>
    <t>@ashmal_idrus Okay auto bunuh awak🔫</t>
  </si>
  <si>
    <t>@kbenaranHakiki @antikadrun4ever @AdnanDasuki99 @CNNIndonesia @enricofernandos Masih ada ? Ayo kluarin ya akhi Rumput masih ijo deh 😂😂😂</t>
  </si>
  <si>
    <t>@CNNIndonesia Aturan dari dulu di tutup semua penerbangan yg masuk dari dari daerah yg kena korona, Kalau enggak, Ia minimal di karantina semua baik wna atau wni yang masuk, Kalau cuma cek2 doang gaka guna, Buktinya banyak jg yang lolos</t>
  </si>
  <si>
    <t>@enricofernandos @kbenaranHakiki @ISIS_Balik_NO @AdnanDasuki99 @CNNIndonesia hahahaha dia tu dah KO td om, yg dia salah tanggap komen gw. ini hanya buat menutup malu aja2 nyariin brita2 gitu. napas terahir harga diri dia.. kasian sebenernya tp g mo ngakui kesalahan soalnya 🤣🤣🤣🤣</t>
  </si>
  <si>
    <t>@antikadrun4ever @kbenaranHakiki @AdnanDasuki99 @CNNIndonesia @enricofernandos Tar ditambah....yg ini</t>
  </si>
  <si>
    <t>@dayangnas Paham takkk orang sibuk isu Covid ni pastu kau tetiba nak buat isu ISIS. Like people are dying???</t>
  </si>
  <si>
    <t>RT @RadioElshinta: 188 WNI ABK World Dream tiba di Kolinlamil Tanjung Priok, Jakut, setelah melewati masa observasi di Pulau Sebaru Kecil &amp; dinyatakan sehat. Tiba di Kolinlamil Pkl 11.41 WIB (14/3) dg KRI semarang 594. #LAWANCOVID19 via @BNPB_Indonesia #ElshintaWeekend</t>
  </si>
  <si>
    <t>@antikadrun4ever @kbenaranHakiki @ISIS_Balik_NO @AdnanDasuki99 @CNNIndonesia Yg di share berita2 yg memuaskan hasrat ketidaksukaannya... Ya iyalah buruk semua hahaha, yg positifnya ogah dicari, kan sbgai kadrun yg baik &amp; benar kudu gitu 😅😄</t>
  </si>
  <si>
    <t>@kbenaranHakiki @ISIS_Balik_NO @AdnanDasuki99 @CNNIndonesia @enricofernandos kadrun laksanakan perintah!! cepat cariin gw berita lagi!!! 🤣🤣🤣🤣🤣🤣🤣🤣🤣🤣🤣🤣🤣🤣🤣🤣🤣🤣🤣🤣🤣🐫🐫🐫🐫🐫🐫</t>
  </si>
  <si>
    <t>@andra_rbs7 @Comment_25 @hnurwahid @fadlizon Gimana kagak mo bela coba 😂😂😂😂 Kadrun Sapi rupanya</t>
  </si>
  <si>
    <t>RT @RadioElshinta: 188 WNI ABK World Dream tiba di Kolinlamil Tanjung Priuk, Jakarta Utara. (Sud) #ElshintaWeekend</t>
  </si>
  <si>
    <t>@riizkyprdna Biar Dengkulnya Isis 😁</t>
  </si>
  <si>
    <t>#Philippines ISIS claims killing 10 Filipino soldiers in Patikul in Sulu province @IsraelMFA @RosannaMrtnz</t>
  </si>
  <si>
    <t>RT @rasionalisme_: Cm mau ngasih pandangan aja, kalo dibalik Covid-19 ada beberapa isu Nasional yg menjadi redup pemberitaan: 1. OMNIBUS LAW. 2. HILANGNYA HARUN MASIKU. 3. EKS ISIS WNI.</t>
  </si>
  <si>
    <t>@Persija_Jkt Lini belakang nya aja perlu di benahi untungnya dutra tampil maksimal hari ini walaupun lagi cidera,sama klok entah kenapa semenjak ke Persija performa nya kurang maksimal kayaknya butuh CB lagi kalo klok udah resmi jadi WNI</t>
  </si>
  <si>
    <t>@hnurwahid @fadlizon Yoloh.....bayar dulu tuh @Fahrihamzah ...apa ini oengalihan isyu buat NGELES BAYAR HUTANG ? Yat....yat....mending ente tambahin balak item saja</t>
  </si>
  <si>
    <t>RT @tharco: @ArrungJefry @Fnyfany_ @psilocina__ @GodlessSapiens Jumlah ISIS seluruh dunia = &lt;100.000 Jumlah Muslim Seluruh dunia = 1.8Milyar Persentase = 0.005%. Bahkan kurang dari 0.01% Sangat tidak bijak klo memilih ISIS sebagai representasi Islam, dimana milyaran muslim lainnya jg ikut mengutuk apa yg dilakukan ISIS</t>
  </si>
  <si>
    <t>RT @tey_saja: Tmn2 WNI di Midwest AS (Minnesota, North Dakota, South Dakota, Nebraska, Ohio, Illinois, Iowa, Missouri, Wisconsin, Kansas, Michigan dan Indiana), jika membutuhkan bantuan emergensi bisa hubungi hotline &amp;email @INAinChicago di bwh ini. Jaga kesehatan dan tetap semangat ya! 💪</t>
  </si>
  <si>
    <t>@kbenaranHakiki @ISIS_Balik_NO @AdnanDasuki99 @CNNIndonesia @enricofernandos sekarang dia berubah jadi portal berita untuk mnujukkin kpinteran dia🤣🤣🤣🤣🤣🤣🤣🤣🤣🤣🤣🤣🤣🤣🤣🤣🤣🤣🤣🤣🤣🤣🤣🤣🐪🐪🐪🐪🐪🐪🐪🐪🐪🐪🐪🐪🐪🐪🐪🐪🐪🐪🐪🐪🐪🐪🐪🐪🐪🐪</t>
  </si>
  <si>
    <t>@ISIS_Balik_NO @kbenaranHakiki @p023456 @LambeHoax @enricofernandos @AdnanDasuki99 @CNNIndonesia trus paling g suka ngakui kesalahan om😭😭😭 jelas dia salah tanggap maksud gw tapi g mo ngaku. virus kadrunkronis...bawa2 medan sama mens pula biar kliatan pinter🤣🤣🤣</t>
  </si>
  <si>
    <t>@antikadrun4ever @kbenaranHakiki @AdnanDasuki99 @CNNIndonesia @enricofernandos Biarin saja di koleksi kliping.....namanya juga...CERDAS...😂😂😂😂</t>
  </si>
  <si>
    <t>@demokrasicoid manusia berhati iblis, binatangpun tidak sekejam ini. saya yakin ini bukan skenario dari WNI, apakah ini skenario busuk china2 cukong yg gagal reklamasi?? dan dilaksanakan dilapangan oleh buzzerRp babu china tersebut??</t>
  </si>
  <si>
    <t>@putri_melayu01 @KANIGORO_HeLL @kak_wew @nobody_known_me @dpplif Wahbabi sekte kekinian dr nejd tanduk setan abad 18 Kaum bumi datar dan Teroris Alqaeda Alnusra Abu sayaf Taliban Boko haram ISIS JAD MBAW Bin baz Albani anti madzhab</t>
  </si>
  <si>
    <t>Artiker terbit jam 16.53 dan bilang bahwa sakit tifus dan asma, terus terbit lagi 20.52 postif corona. Knp sih coba aja bilang, iya terindikasi, sdg di isolasi krn ada gelaja2 dan sempat kejebak sama wni yg abk diamond princes🤷🏻‍♀️</t>
  </si>
  <si>
    <t>@kbenaranHakiki @ISIS_Balik_NO @AdnanDasuki99 @CNNIndonesia @enricofernandos ganti topik dia. mo lari dr tanggung jawab kebodohan dia🤣🤣🤣🤣🤣 dasar unta gurun bin bacot doang😭😭😭</t>
  </si>
  <si>
    <t>@antikadrun4ever @kbenaranHakiki @p023456 @LambeHoax @enricofernandos @AdnanDasuki99 @CNNIndonesia Watak KADRUN Selalu merasa PALING... Di pemerintahan.....mrasa PALING Faham Agama.....mrasa Paling taqwa...sampe ibadah saja di PAMERIN di jalanan....bukannya di Masjid yg sudah dibikin mewah dan megah</t>
  </si>
  <si>
    <t>@kompascom Waduh... Coba dari dulu di tutup penerbangan dari daerah yg kena Corona Kalau memang gak mau menutup penerbangan, Ia minimal wna dan WNI yg datang dari daerah terjangkit Corona di karantina jg semuanya, Kalo cuma cek2 sekilas doank gak guna, Buktinya banyak yang lolos, Kecewa</t>
  </si>
  <si>
    <t>karna kecolongan membuat WNA dan WNI dari luar negri yg sebenarnya positif corona bisa masuk kedalam negri</t>
  </si>
  <si>
    <t>@riizkyprdna Biar dengkulnya isis terisisi oleh udara dari luar</t>
  </si>
  <si>
    <t>@ISIS_Balik_NO @kbenaranHakiki @p023456 @LambeHoax @enricofernandos @AdnanDasuki99 @CNNIndonesia ia om dia ini tipe orang yang DIE PIKIR DIE PINTER 🤣🤣🤣🤣🤣🤣🤣🤣</t>
  </si>
  <si>
    <t>ISIS sakkaro w Hassan diab baed ma a3lan halit taware2 RT @liferdefempire: داعش يعلن وقف جميع العمليات الإرهابية لحين الانتهاء من مواجهة فيروس كورونا</t>
  </si>
  <si>
    <t>@amhdr23_ @tubirfess kebayang kalo di lockdown gmn, waktu ada berita 2 WNI positif aja se chaos itu</t>
  </si>
  <si>
    <t>@kbenaranHakiki @ISIS_Balik_NO @AdnanDasuki99 @CNNIndonesia @enricofernandos ia om. berarti kan yg milih lawan jokowi/tokoh seblah tinggi pendidikannya dong. kayak lo, ratna, roger, tofa dan anis. PAHAMMMM GOBLOKKKKK???????? gue tabok pake vicnisasi ad hompimpa depisit pea kadrun bangke lo nnt ya🤣🤣🤣🤣🤣🤣🤣🤣🤣🤣🤣🤣🤣🤣🤣🤣🤣🤣🤣🤣🤣</t>
  </si>
  <si>
    <t>RT @pemudatarbiah: Mohon kerajaan tutup pusat hiburan, club malam, disco dan bar seluruh negara. Covid-19 bukan ada dalam masjid je</t>
  </si>
  <si>
    <t>@antikadrun4ever @kbenaranHakiki @p023456 @LambeHoax @enricofernandos @AdnanDasuki99 @CNNIndonesia Nih..bukti kalo dia KEPINGIN DAPET PENGAKUAN kalo dia CERDAS... Orang pinter kok begitu amat ya....MAKSA</t>
  </si>
  <si>
    <t>@tubirfess dgn pengetahuan masyarakat yg kurang, trs tibatiba indo lockdown, chaos yg ada. Kmrin baru keluar berita 2 WNI positif corona lgsg heboh, nimbun sana sini</t>
  </si>
  <si>
    <t>@antikadrun4ever @kbenaranHakiki @p023456 @LambeHoax @enricofernandos @AdnanDasuki99 @CNNIndonesia Sudahin saja....orang cerdas mas....dibilang bodoh dan tak berpendidikan oleh manusia pinter nentang mah....kagak ngaruh apa2.. Biar dia gabung sama si pinter Hoax..pinter Fitnah...pinter demo sampe 7 juta</t>
  </si>
  <si>
    <t>@kbenaranHakiki @ISIS_Balik_NO @p023456 @LambeHoax @enricofernandos @AdnanDasuki99 @CNNIndonesia bangkeeeeeeeee g usah lari ke sana dlu om vicky🤣 td yg lu protes ke gw dah paham blom? nama ratna dkk itu?? g usah pindah topik ngajak istilah biar lo kliatan pinter kayak roger dan ratna. 🤣🤣🤣🤣🤣🤣</t>
  </si>
  <si>
    <t>Kebijakan ini akan diberlakukan segera dan berlangsung selama 30 hari. Bagi WNI yang berada di Namibia dan Angola, selalu jaga kesehatan dan kebersihan diri, serta ikuti imbauan/kebijakan pemerintah setempat. Hotline KBRI Windhoek: +264 818655563</t>
  </si>
  <si>
    <t>@damianusdalita6 @kardusbox08 Kan tentara aloh ...mana takut fpi sama sohib 😂😂</t>
  </si>
  <si>
    <t>RT @imanbr: Kalau dalam berita. “ Ia terakhir kali terlihat saat menyambut kedatangan 69 WNI yang menjadi ABK Diamond Princess di Bandara Kertajati, Majalengka. Sejumlah penumpang Diamond Princess diketahui terpapar corona “ Semoga bisa sehat dan bekerja kembali</t>
  </si>
  <si>
    <t>@antikadrun4ever @ISIS_Balik_NO @p023456 @LambeHoax @enricofernandos @AdnanDasuki99 @CNNIndonesia Pantesan neraca defisit terparah dalam sejarah, impor saat panen raya buat petani menangis, utang tertinggi, rupiah anjlok sampe 15 rb padahal janjinya 10 ribu,seluruh Indonesia sengsara dari segala aspek ya karena pemerintah ancur didukung pendukung yg ancur,otak etika,dan norma</t>
  </si>
  <si>
    <t>@kbenaranHakiki @ISIS_Balik_NO @p023456 @LambeHoax @enricofernandos @AdnanDasuki99 @CNNIndonesia ad hompimpa aja om. lo dah apaham blom nama2 itu ratna dkk tu masuk klompok pendidikan ti ggi sama lo goblokkkkkkkkkk😭😭😭😭😭😭😭😭😭😭❤😭😭🤣🤣🤣🤣🤣🤣🤣🤣🤣 lo muridnya vicky ya? tukang ngumpul istilah statistik buat pamer??????? 🤣🤣🤣🤣🤣🤣🤣🤣</t>
  </si>
  <si>
    <t>@TaliUdeng Mendingan saya di neraka.... daripada di surga bersama Kampret ISIS...</t>
  </si>
  <si>
    <t>RT @thedracoartist: Kiki vs Isis.</t>
  </si>
  <si>
    <t>RT @Fkrsss: @bohemeschatz @vowales @LeoBudiSuryanto @esatrasan ABK Diamond Princess itu WNI yang dari kasus Jepang itu. Dijemput sebagai seremonial dan kebetulan datang naik pesawat Garuda ke Bandara Kertajati. Jadinya yang berurusan ya Pak Menhub. #IMHO</t>
  </si>
  <si>
    <t>@kbenaranHakiki @antikadrun4ever @AdnanDasuki99 @CNNIndonesia @enricofernandos Tambah lo ngeyel...tambah Cerdas ente Tong....CERDAS</t>
  </si>
  <si>
    <t>@ISIS_Balik_NO @kbenaranHakiki @p023456 @LambeHoax @enricofernandos @AdnanDasuki99 @CNNIndonesia tiba2 nanya mean ama median om? 🤣🤣🤣🤣🤣🤣median itu nama kota om. kalo mean singkatan dr menstruasi. guabloooookkkk😁😁😁😁😁😁😁😁😁🤣🤣🤣🤣</t>
  </si>
  <si>
    <t>@_wni_ Uishhh fitnah . Sesungguh nya fitnah itu lebih dosa dripada membunuh</t>
  </si>
  <si>
    <t>@antikadrun4ever @kbenaranHakiki @p023456 @LambeHoax @enricofernandos @AdnanDasuki99 @CNNIndonesia Pas..kebanyakan minum kencing onta sampe otak kliatan dan dioerjual belikan</t>
  </si>
  <si>
    <t>RT @Evarosd8: @AlissaWahid @BudiKaryaS Mbak, sampaikan kepada siapapun sebagai pengalaman WNI di negara lain. Lockdown pelabuhan, larangan kapal asing nyandar! Seteril transpor tadi @jokowi @KemenkesRI keluarkan kebijakan karantina yang pulang dari luar negeri. Saya siap kalau pulang kampung karantina dulu.</t>
  </si>
  <si>
    <t>@ashmal_idrus Awak la yg ajar jadi jahat</t>
  </si>
  <si>
    <t>@kbenaranHakiki @ISIS_Balik_NO @p023456 @LambeHoax @enricofernandos @AdnanDasuki99 @CNNIndonesia bangsat lo ngadu istilah bikin apa? tuk mntupi kegoblokan lo mnegerti tweet nama2 yg gw kasih di elo??? bangsatt paling goblokkkkkkkk. p 🤣🤣 hahahahaha g adu tahan napas aja lo????????</t>
  </si>
  <si>
    <t>@kbenaranHakiki @antikadrun4ever @p023456 @LambeHoax @enricofernandos @AdnanDasuki99 @CNNIndonesia Biarkan saja orang pinter mah mas @antikadrun4ever , biar mereka gabung dgn roki gerung.....CERDAS biar dia jual gulai OTAK saja dlm AMBULAN</t>
  </si>
  <si>
    <t>@kbenaranHakiki @ISIS_Balik_NO @p023456 @LambeHoax @enricofernandos @AdnanDasuki99 @CNNIndonesia mana lo bangsat deviasi, vickinisasi, ad hompimpa pale lo pea? guoooblokkk</t>
  </si>
  <si>
    <t>@ChusnulCh__ Semoga lekas sembuh...tetap yakin !</t>
  </si>
  <si>
    <t>Lolosnya WNA secara proses mirip dengan kedatangan orang jepang ke indonesia, dia bisa lolos ke indonesia dan baru ketahuan terjangkit virus corona pada saat di Malaysia. bertemu dengan WNI dan kemudian juga terjangkit Corona.</t>
  </si>
  <si>
    <t>WNI di evakuasi dari cina, dikarantina di Natuna. WNI di evakuasi dari Kapal Dream World dikarantina di Sebaru. Wisatawan dari korea selatan, disiapkan jalur khusus tanpa karantina. Pasien Corona WNA meninggal di Bali, Pemprov taunya belakangan. ((a thread))</t>
  </si>
  <si>
    <t>@Sofie50098378 lahhh waktu jemput kru kapal pesiar hampir aja nonton...walau diluar area bandara...ditepi jalan</t>
  </si>
  <si>
    <t>@Rendy51500187 @CNNIndonesia Kalau liat trendnya, kayaknya banyak juga wni yang kena virus ini karena habis dari luar negeri</t>
  </si>
  <si>
    <t>@WSetyorini2 @Mahasiswa__13 Mudah2an semua lelah anda...jadi amalan untuk dipetik diakhirat nanti....walau proposal tak jadi uang, kebaikan akan tetap ada...tp skali lagi....jangan tumpahkan kekesalan pda orang lain....apa sih DUIT....jgn gegara gak bs dapet duit lalu fitnah orang dibayar krn dirinya zonk</t>
  </si>
  <si>
    <t>Wait a minute. Menhub abs dr kapal Diamond yg td siang seluruh abknya yg wni di nyatakan oleh menkes kita yg tercinta sbg Duta Imunitas Corona. Bukannya berarti probabilitas abk dan menkes terkena jg besar ya? @jokowi eh, lo liat deh. Cermatin baik baik oke? RT @asumsico: Menteri Perhubungan, Budi Karya Sumadi dinyatakan positif coronavirus.</t>
  </si>
  <si>
    <t>@RyoFahri @Abangshelleee @GlHindu Lo Type provokator...menghakimi kepercayaan org lain dan berharap ada yg membalas, yg akan memicu masalah lbh besar....kalo sudah gaduh...dia yg fanboy isis dan ormas terlarang hti ketawa dipojokkan....😝🤪</t>
  </si>
  <si>
    <t>RT @Wakapoldur: @RadioElshinta Aktivitas Budi Karya yang muncul ke publik terakhir saat dia menyaksikan langsung proses pemulangan ke-69 WNI ABK Diamond Princess di Bandara Kertajati, Majalengka, Jawa Barat, Senin (2/3/2020) dini hari WIB.</t>
  </si>
  <si>
    <t>@kumparan @kemenhub151 "Ia terakhir kali terlihat saat menyambut kedatangan 69 WNI yang menjadi ABK Diamond Princess di Bandara Kertajati, Majalengka. Sejumlah penumpang Diamond Princess diketahui terpapar", ini yg ngeri Terus yg kapal pesiar columbus disemarang gimana ??</t>
  </si>
  <si>
    <t>@__MV_llestari__ @RibkaLv @Samirono_Book @QyaAqifa @dherhita @aninditaairin1 @motherofstar1 @tienz95 @Twitkustik @Adr_Nnaa @onolakone @Musmawati2 @myname4571 @pepesAJ @Chichisoebroto Dasteran tu enak, adem, isis dan jg kalo buat tidur bisa naik naik gitu🤭</t>
  </si>
  <si>
    <t>Kepada WNI yang berada di Kolombia, Antigua dan Barbuda, dan St. Kitts and Nevis, KBRI Bogotá membuka jalur hotline dan email bagi WNI yang membutuhkan asistensi terkait wabah COVID-19. Jaga kesehatan pribadi dan lingkungan ya! #IniDiplomasi #NegaraMelindungi</t>
  </si>
  <si>
    <t>@WSetyorini2 @Mahasiswa__13 Menyakitkan memang....kala KENTUT tak bunyi ketauan....😂😂😂😂😂 Saya sangat turut berduka.....lupakan mbak, saya ngerti kok.....</t>
  </si>
  <si>
    <t>Sebut WNI ABK World Dream 'Duta Imunitas Corona', Menkes Dicibir Netizen 0 #NewsSuite</t>
  </si>
  <si>
    <t>"Ia terakhir kali terlihat saat menyambut kedatangan 69 WNI yang menjadi ABK Diamond Princess di Bandara Kertajati, Majalengka. Sejumlah penumpang Diamond Princess diketahui terpapar corona." RT @kumparan: Menteri Perhubungan Budi Karya Sumadi positif terjangkit virus corona. #kumparanNews</t>
  </si>
  <si>
    <t>#Afghanistan Taliban menyatakan telah membersihkan sisa-sisa anggota kelompok ISIS/IS Wilayah Khorasan di Afghanistan setelah berhasil membersihkan basis terakhir ISKP di Kunar.</t>
  </si>
  <si>
    <t>😭 isi beritanya "Ia terakhir kali terlihat saat menyambut kedatangan 69 WNI yang menjadi ABK Diamond Princess di Bandara Kertajati, Majalengka. Sejumlah penumpang Diamond Princess diketahui terpapar corona." Smg Gubernur w baik2 aja, soale dia juga ke KTJ RT @kumparan: Menteri Perhubungan Budi Karya Sumadi positif terjangkit virus corona. #kumparanNews</t>
  </si>
  <si>
    <t>Cm mau ngasih pandangan aja, kalo dibalik Covid-19 ada beberapa isu Nasional yg menjadi redup pemberitaan: 1. OMNIBUS LAW. 2. HILANGNYA HARUN MASIKU. 3. EKS ISIS WNI.</t>
  </si>
  <si>
    <t>@fitritash Ia terakhir kali terlihat saat menyambut kedatangan 69 WNI yang menjadi ABK Diamond Princess di Bandara Kertajati, Majalengka. Sejumlah penumpang Diamond Princess diketahui terpapar corona.</t>
  </si>
  <si>
    <t>Kalau dalam berita. “ Ia terakhir kali terlihat saat menyambut kedatangan 69 WNI yang menjadi ABK Diamond Princess di Bandara Kertajati, Majalengka. Sejumlah penumpang Diamond Princess diketahui terpapar corona “ Semoga bisa sehat dan bekerja kembali</t>
  </si>
  <si>
    <t>RT @Wakapoldur: @kumparan @S0N_2000 Aktivitas Budi Karya yang muncul ke publik terakhir saat dia menyaksikan langsung proses pemulangan ke-69 WNI ABK Diamond Princess di Bandara Kertajati, Majalengka, Jawa Barat, Senin (2/3/2020) dini hari WIB.</t>
  </si>
  <si>
    <t>@antonkerenz1 Hmmm gimana ya tapi...tapi klo gag keliru waktu itu beliau ke Kertajati ya menyambut Pemulangan WNI yg mau dikarantina, Trus abis itu beliau kan ya berinteraksi dg banyak tamu. Semoga beliau lekas pulih. Semoga kita semua diberi kesehatan selalu.</t>
  </si>
  <si>
    <t>@kurawa lockdown dalam artian menutup akses wni/a bolak balik indonesia si siap2 aja. bukan malah per domilisi kocak indonesia ku ini</t>
  </si>
  <si>
    <t>Sebanyak 188 warga negara Indonesia (WNI) yang menjadi Anak Buah Kapal (ABK) World Dream telah selesai menjalani masa observasi virus korona di Pulau Sebaru Kecil, Kepulauan Seribu, Jakarta.</t>
  </si>
  <si>
    <t>Ia terakhir kali terlihat saat menyambut kedatangan 69 WNI yang menjadi ABK Diamond Princess di Bandara Kertajati, Majalengka Semoga segera dilacak siapa saja yang ikut rombongan itu. RT @kumparan: Menteri Perhubungan Budi Karya Sumadi positif terjangkit virus corona. #kumparanNews</t>
  </si>
  <si>
    <t>@RadioElshinta Aktivitas Budi Karya yang muncul ke publik terakhir saat dia menyaksikan langsung proses pemulangan ke-69 WNI ABK Diamond Princess di Bandara Kertajati, Majalengka, Jawa Barat, Senin (2/3/2020) dini hari WIB.</t>
  </si>
  <si>
    <t>Teka-teki kesehatan Budi Karya menjadi pertanyaan beberapa hari terakhir. Ia sudah tak pernah muncul di publik sejak awal Maret 2020.Ia terakhir kali terlihat saat menyambut kedatangan 69 WNI yang menjadi ABK Diamond Princess di Bandara Kertajati, Majalengka.</t>
  </si>
  <si>
    <t>@kumparan @S0N_2000 Aktivitas Budi Karya yang muncul ke publik terakhir saat dia menyaksikan langsung proses pemulangan ke-69 WNI ABK Diamond Princess di Bandara Kertajati, Majalengka, Jawa Barat, Senin (2/3/2020) dini hari WIB.</t>
  </si>
  <si>
    <t>Isis bianget RT @cikicitatos: KOK BISA GA NGERASAAA ANJIRRRR😭😭😭</t>
  </si>
  <si>
    <t>RT @kompascom: Salah satu imbauan yang kembali diberikan KBRI Paris adalah ikuti ketentuan Siaga-2 Pemerintah Prancis.</t>
  </si>
  <si>
    <t>Sejumlah WNI Anak Buah Kapal (ABK) World Dream melambaikan tangan dari KRI semarang saat tiba di Dermaga Komando Lintas Laut Militer (Kolinlamil), Tanjung Priok, Jakarta Utara, Sabtu (14/3/2020).</t>
  </si>
  <si>
    <t>Egimana, Jadi kalau ada WNA yang terjangkit, disuruh balik gitu ke negara asal? Wow. 😟 Kenapa harus beda sih WNA sama WNI? RT @lipiindonesia: Cara pemerintah menyaring WNA masuk ke Indonesia terkait kewaspadaan penyebaran #covid19. . Jaga kesehatan diri sendiri Jaga kesehatan orang lain . . #lawancovid19</t>
  </si>
  <si>
    <t>@indiaafirst1 @iSachinDeshwal Humko kadvi nhi lagti, humko hasi aati h, aapki knowledge dekh ke. Aur, Haan KAMINEY log dono community m h, eg. ISIS in MUSLIMS and RSS in Hindus (don't get offended).</t>
  </si>
  <si>
    <t>RT @BNPB_Indonesia: Peserta observasi mendapatkan surat sehat dari Kementerian Kesehatan yang diserahkan secara simbolis oleh Menteri Kesehatan Terawan. 188 WNI dinobatkan menjadi Duta Imunitas Corona. #IndonesiaTangguh #BelaNegara #LAWANCOVID19 #CoronaVirusUpdates #SiapUntukSelamat #PBUrusanBersama</t>
  </si>
  <si>
    <t>Sorry mau tanya. Gimana perasaan WNI yang pulang dari Wuhan yang dikarantina, dan dinyatakan bebas kemudian dipulangkan ke keluarga masing-masing. Sampai rumah belom sebulan, Covid di Indonesia menggila.</t>
  </si>
  <si>
    <t>RT @nety_rusi: 1. Mohon maaf sekedar mengingatkan - Memulangkan WNI dari pusat wabah di China dan Jepang - Menyiapkan rumah sakit-rumah sakit rujukan untuk menangangi pasien yang diduga atau sudah terinfeksi korona - Membentuk satuan tugas penanganan korona yang dipimpin Letjen TNI Doni Munardo</t>
  </si>
  <si>
    <t>@byunhundredb isis adalah institut seni institut seni</t>
  </si>
  <si>
    <t>Aktivitas Budi Karya yang muncul ke publik terakhir saat dia menyaksikan langsung proses pemulangan ke-69 WNI ABK Diamond Princess di Bandara Kertajati, Majalengka, Jawa Barat, Senin (2/3/2020) dini hari WIB.</t>
  </si>
  <si>
    <t>@awardrpexo Hey, gue lulus untuk di kuliahkan bukan jadi isis</t>
  </si>
  <si>
    <t>WNI positif corona di Malaysia menjadi tiga orang</t>
  </si>
  <si>
    <t>@WSetyorini2 @prapti_sulistia @Mahasiswa__13 Malu ya.....gak papa kok mbak....buat saya cukup dlm hati mbaknya saja yg mengetahui....TUHAN gak bakal banyak omong spt emak2 di tukang sayur kok.... Saya memgerti perasaan mbak......yg tabah Ya 😉</t>
  </si>
  <si>
    <t>RT @ppidsetdajateng: Terkait 2 WNI positif virus corona, Gubernur @ganjarpranowo imbau warga tak panik &amp; tetap beraktivitas. Pelajari penyebaran dan pencegahannya. “Jika flu &amp;amp; demam, segera periksa ke fasilitas kesehatan. Semoga seluruh rakyat negeri ini diberi kesehatan oleh Allah SWT. Aamiin."</t>
  </si>
  <si>
    <t>UAS: "Corona tentara Allah lindungi #muslim #Uighur". Habib Ali: "Saya bermohon kepada Allah yang Maha Agung, Allah, Arsy yang agung agar menyembuhkan setiap penyakit #VirusCorona di negara China dan di manapun juga". Tentara? Pemikirannya ISIS banget 😅 #StopPolitisasiCorona</t>
  </si>
  <si>
    <t>@kbenaranHakiki @p023456 @LambeHoax @enricofernandos @AdnanDasuki99 @CNNIndonesia Lah...apalagi ente....gambar otak..😂😂😂😂 Percuma kalo otaknya sekualitas roki gerung....kafir al kmpretos</t>
  </si>
  <si>
    <t>@WSetyorini2 @Mahasiswa__13 Akhirnya.......MUNCUL RASA MALU ANDA KAN ? Terima kasih untuk mengIYAkan penjelasan saya diatas... Makanya mbak....jangan terlalu mata duitan....bawaannya jd suka fitnah....menutut Kemaluan sendiri</t>
  </si>
  <si>
    <t>Awal isu covid-19. Society : kita imun karena udah biasa makan sembarangan (bukan secara harfiah). Isu awal WNI terkena dampak covid-19 society: makanya hidup sehat. Saat ini ketika orang sehat dan bugar (kalangan atlit dan bintang dunia) terkena covid society: a bit worry</t>
  </si>
  <si>
    <t>@fahmiis5 @cupzakes @queensky021 yauda sekalian aja berenti jadi WNI</t>
  </si>
  <si>
    <t>RT @Partibha_Singh: ISIS in Syria ISI in Pakistan Taliban in Afghanistan Boko Haram In Nigeria Al Shabeb in Somalia RSS in India</t>
  </si>
  <si>
    <t>INFO: Duta Besar RI menanggapi status darurat nasional di Polandia. Hotline KBRI 24/7 (untuk WNI): +48 881719568 +48 728239137 #indonesianway #inidiplomasi</t>
  </si>
  <si>
    <t>Penyebaran virus corona menjadi perhatian banyak orang, termasuk di Indonesia. Ketika dua WNI positif terinfeksi virus corona, masyarakat berbondong-bondong untuk membeli masker agar dapat melindungi diri dari virus…</t>
  </si>
  <si>
    <t>@Ranaditya @wrdhnax Kasihan ABK WNI World Dream, udah kena stigma corona, dibully juga dgn singkatan dick</t>
  </si>
  <si>
    <t>@ainktoke @ariyfebri1 @Rachmadaaa @irmaherman11 @dr_tompi Saya tidak tau. Yg jelas, ada skala prioritas. Seharusnya, uang utk penanganan corona lebih diutamakan daripada utk bayar influencer yg akan promosi Indonesia atau malah infrasturktur. Memang bukan pilihan enak, tapi ini menyangkut keselamatan WNI.</t>
  </si>
  <si>
    <t>RT @intanRatuaja12: Cerita WNI yg tinggal di Italia setelah dinyatakan lock down demi mencegah penyebaran virus Corona...</t>
  </si>
  <si>
    <t>RT @KompasTV: Presiden Jokowi Perintahkan Tim Reaksi Cepat Untuk Menelusuri WNI di Tabligh Akbar Malaysia</t>
  </si>
  <si>
    <t>Presiden Jokowi Perintahkan Tim Reaksi Cepat Untuk Menelusuri WNI di Tabligh Akbar Malaysia</t>
  </si>
  <si>
    <t>RT @thesandblazt: Dan pelakunya pendukung ISIS.</t>
  </si>
  <si>
    <t>@antakara_86 @James_Aibon Isu untuk meresahkan masyarakat, spy tidak percaya pada Pemerintah, Maka sel sel tidur mulai bangkit dan timbul demo demo spt di Timur Te ngah. Waspada ISIS, HTI, Radikal.</t>
  </si>
  <si>
    <t>Terduga Infeksi Virus Corona 696 WNI Peserta Tabligh Akbar di Malaysia di Himbau Tes Virus Corona. info lengkap :</t>
  </si>
  <si>
    <t>RT @GiaPratamaMD: Tanggal 26 Februari 2020, Ini 10 besar (negara + kapal pesiar) dengan jumlah penderita terbanyak. Dengan Total 41 Negara dan 81.012 penderita. 9 WNI di Diamond Princess positif COVID19. Jadi ini mematahkan opini bahwa DNA Indonesia kebal terhadap virus ini.</t>
  </si>
  <si>
    <t>@PartaiSocmed Parah ini memed ratusan Org dirawat itu dianggap ga menyelamatkan?? WNi Dari Wuhan Dari kapal pesiar ga dianggap ??</t>
  </si>
  <si>
    <t>@ncitybase_ WNI ajalah</t>
  </si>
  <si>
    <t>Salah satu imbauan yang kembali diberikan KBRI Paris adalah ikuti ketentuan Siaga-2 Pemerintah Prancis.</t>
  </si>
  <si>
    <t>Dan pelakunya pendukung ISIS.</t>
  </si>
  <si>
    <t>Perancis Siaga 2, KBRI Paris Kembali Imbau WNI Terkait Virus Corona</t>
  </si>
  <si>
    <t>RT @BharatDharmaom: @NikSB9 @htTweets dude many organisations funded riots ISIS, AAP, PFI, Pakistan, Indonesia NGO, Hafeez Saeed , America NGO, American Media, Indian Media , Congress, Communists</t>
  </si>
  <si>
    <t>@yerikhotl bukan minta di lock down sih krn aku jg ga setuju kalau ada lock down, setidaknya kan udah ga ada lagi penerbangan dari negara yg kasus coronanya terbanyak. mungkin msh ada penerbangan krn buat wni pulang, tp banyak jg wni malah pergi keluar krn alasan tiket murah :(</t>
  </si>
  <si>
    <t>Karantina ini seperti yang dilakukan pemerintah Indonesia ketika memulangkan WNI dari Wuhan untuk ditempatkan di Pulau Natuna selama dua minggu, dan para WNI ABK kapal pesiar Diamond Princess dan World Dream yang ditempatkan di Pulau Sebaru. #ApaItuLockDown</t>
  </si>
  <si>
    <t>@delycious09 @Ipong68477012 @mas__piyuuu loe pasti bayangin punya gue ya ampe geli...klo kgak bisa puas ame punya kaum loe gue saranin loe pergi ke suria, tentara ISIS butuh orang yg maniak kayak loe...drpd loe bayangin punya gue trs...😊</t>
  </si>
  <si>
    <t>(ID) Terkait dengan perkembangan COVID-19 di wilayah Portugal, KBRI Lisabon menghimbau seluruh WNI untuk melakukan tindakan preventif serta mengikuti arahan dan peraturan otoritas setempat. #IniDiplomasi #NegaraMelindungi</t>
  </si>
  <si>
    <t>Dari 188 WNI ABK World Dream, 60% adalah warga Bali. #PulauSebaru #AGP</t>
  </si>
  <si>
    <t>maksud dari Karantina ini seperti yang dilakukan pemerintah Indonesia ketika memulangkan WNI dari Wuhan untuk ditempatkan di Pulau Natuna selama dua minggu, dan para WNI ABK kapal pesiar Diamond Princess dan World Dream yang ditempatkan di Pulau Sebaru. #ApaItuLockDown</t>
  </si>
  <si>
    <t>@wni_jmsri haih cepatnya time flies huhu😭</t>
  </si>
  <si>
    <t>RT @Acap_aan: Jangan la merajuk macam ni, aku nak berak je anjir 😭</t>
  </si>
  <si>
    <t>RT @anisasifana: Karantina ini seperti yang dilakukan pemerintah Indonesia ketika memulangkan WNI dari Wuhan untuk ditempatkan di Pulau Natuna selama dua minggu, dan para WNI ABK kapal pesiar Diamond Princess dan World Dream yang ditempatkan di Pulau Sebaru. #ApaItuLockDown</t>
  </si>
  <si>
    <t>RT @TeamMsia: #YAE20 | #MS Suku Akhir 21 | 21 Lee Zii Jia 🇲🇾 12 | 18 Chen Long 🇨🇳 HE DID IT AGAIN! 💥 Cukup tenang &amp; matang permainan Lee Zii Jia untuk menewaskan kali kedua, juara dua kali @YonexAllEngland, Chen Long. Mantap la, Zii Jia! 🙌🏻 #KamiTeamMalaysia</t>
  </si>
  <si>
    <t>@ganilukmanul @MhmmdKA @CNNIndonesia yang meninggal ,Kasus no : 1. No 25 : 53 WNA , Solo 2. No 35 : 57 WNI , Jakarta 3. No 36 : 37 WNI , Jakarta 4. No 50 : 59 WNI , Solo 5. tidak ada info</t>
  </si>
  <si>
    <t>@inisayaraka Nah kalo wni ga bisa ditolak sih. Kalo wna, boleh kalo emang ketauan ga sehat. Atau kalo mau tegas beneran macam SIN atau MYS. Mereka ga bolehin SEMUA WN ASING masuk klo dr negara2 tsb. Cm boleh WN mereka dan PR. Jd, penerbangan ttp ga ditutup semua.</t>
  </si>
  <si>
    <t>Pangkogabwilhan I Tinjau Evakuasi 188 WNI Pulau Sebaru ke KRI Semarang 594: Pangkogabwilhan…</t>
  </si>
  <si>
    <t>Gw lebih kuatir tentang 600an WNI yg ikut acara religi di Malaysia. Smntara udah ada 40an warga Malaysia yg positif covid19 dari acara tsb. 600an orang bok 😵</t>
  </si>
  <si>
    <t>@pradaivon Seluruh penumpang yang baru datang dari ke 3 negara yang di mention presiden. Bisa jadi WNA dan WNI. Terus belum ada kata2 menolak secara clear baru kata2 pemeriksaan ketat. Cmiiw si ~</t>
  </si>
  <si>
    <t>RT @nssanshrddn: semakin baik senior , semakin sial junior .</t>
  </si>
  <si>
    <t>RT @dwidiptayana: Wabah ini bisa jadi kesempatan survey bagi kalian WNI yang pengen pindah negara tahun depan. Survey untuk menentukan kira-kira negara mana yang pemerintahnya jauh bisa lebih diandalkan ketimbang Indonesia.</t>
  </si>
  <si>
    <t>@SuporterAsian @Indostransfer Carrasco udah WNI apa belum? Lancar banget bahasa indonesianya</t>
  </si>
  <si>
    <t>@DitjenPajakRI bapak/ibu dirjen pajak sy ingin bertanya,sy wni baru mulai buka usaha secara virtual office nib siup resmi keluar dr @bkpm pkp sy jg sdh keluar,tp dlm pengajuan sertifikat ppn sy di persulit @jokowi @Menkeu</t>
  </si>
  <si>
    <t>RT @Marlon_oliiver: Carai</t>
  </si>
  <si>
    <t>Wabah ini bisa jadi kesempatan survey bagi kalian WNI yang pengen pindah negara tahun depan. Survey untuk menentukan kira-kira negara mana yang pemerintahnya jauh bisa lebih diandalkan ketimbang Indonesia.</t>
  </si>
  <si>
    <t>@manttabudjana @HeroeWhiteMachy @jokowi Gk ada urusanlah. Yg pasti harusnya ketika masuk indo tetap ada prosedur yg dijalankan untuk wni yg habis dri LN</t>
  </si>
  <si>
    <t>@riizkyprdna Biar lutut nya isis</t>
  </si>
  <si>
    <t>@GitaRimaPutri WNI kok kak :)</t>
  </si>
  <si>
    <t>udah dibilangin pas sebelum wni kena corona tutup dulu penerbangan dari luar eh ngeyel banget jadi pemerintah tetap nerima penerbangan dari luar</t>
  </si>
  <si>
    <t>Sejujurnya masih sedih sekaligus bingung Kenapa mayoritas WNI yang dari Wuhan aja bisa sehat2, sementara WNI yang di Indonesia bisa dengan cepat tertular corona (update terkini per 14 Maret 2020 udah ada 96 positif)</t>
  </si>
  <si>
    <t>wni yg tinggal di luar negri yg pernah gue temui selalu bilang "Mau apapun alasannya, apapun jeleknya, saya tetep orang indonesia!" tante gw tinggal di paris dah hampir 10 tahun : iya ah mau naturalisasi aja males,,, pemerintah sini lebih peduli soalnya,,</t>
  </si>
  <si>
    <t>Corona Nyebar di Tabligh Akbar, Ratusan WNI Ikut Hadir...  @GoogleNews</t>
  </si>
  <si>
    <t>RT @Metro_TV: #BreakingNewsMetroTV Sejauh ini ada 18 pasien Covid-19 dalam status pengawasan di Bali, dan masih menunggu hasil laboratorium. 14 pasien di RSUP Sanglah, 7 WNA dan 7 WNI, 2 di antaranya merupakan perawat RSUP Sanglah. #IndonesiaMelawanCorona</t>
  </si>
  <si>
    <t>Tabe di sini ada yg pernah bepergian ke luar negeri yg memerlukan pembuatan visa? atau ada yg punya kenalan wna yg skrg lagi di mks? help dong, aku ada tugas utk interview wna/wni 🙏🏻</t>
  </si>
  <si>
    <t>@detikcom Bandara diseluruh Indonesia di lockdown dong pak @jokowi @kemenhub151 @KemenkesRI dari turis dan WNI yg masuk ke Indonesia</t>
  </si>
  <si>
    <t>@moggynow @azimalfikri @PRAbdullah @hafizulhasnim @KhalidSamad @dapmalaysia Xnak tambah ke uec.. celaka sungguh cina dap Papan tanda jawi dibuang digantikan dgn bc, celaka sungguh cina dap Memboikot sepenuhnya² atas pengenalan tulisan jawi , celaka sungguh cina dap Ltte dibebaskan sdg isis simpan buku pun di jail 5 tahun, celaka sungguh cina dap</t>
  </si>
  <si>
    <t>Pak @jokowi klo memang tidak bisa lockdown. Bandara di seluruh Indonesia di lockdown dari turis2 asing atau wni yg masuk ke Indonesia @kemenhub151 @KemenkesRI</t>
  </si>
  <si>
    <t>@IndonesiaHanoi Hi, apakah ini berarti berlaku bagi WNI yg akan ke vietnam?</t>
  </si>
  <si>
    <t>Andaikan Corona / covid-19, sebelum ke Depok mampir dulu ke istana presiden, mungkin beritanya lebih rame, dan WNI semua mengingatkan presiden "tenang pak tidak usah panik" #COVID19indonesia #CoronaVirusIndonesia</t>
  </si>
  <si>
    <t>Soalnya ya kasian juga woy kalo wni trs mereka masa ditolak sama negara sendiri, atau ga bisa masuk krn penerbangan kesana ditutup.. ya kecuali mau kaya KSA. Mereka udah umumkan akan tutup akses. Jd yg pada mau pulang ke masing2 negara harap lakukan segera.</t>
  </si>
  <si>
    <t>@riizkyprdna Supaya isis</t>
  </si>
  <si>
    <t>RT @liputan6dotcom: Menkes Terawan Sebut ABK WNI World Dream Duta Imunitas Corona, Netizen: Fungsinya Apa, Pak?</t>
  </si>
  <si>
    <t>Bertambah Lagi, WNI Positif Korona di Malaysia Jadi 3 Orang</t>
  </si>
  <si>
    <t>@koroisthebest @4rn4n Kurang informatif, yes...for some reason. Lambat, I don't think so. Dari sejak memulangkan WNI dr Wuhan sudah banyak tindakan yg di lakukan. Tapi ya itu dr prespective gw ya....</t>
  </si>
  <si>
    <t>@RyoFahri @AliKhat91200693 @alif_aristya @mothafuckaloser @barongbengkung @Abangshelleee @GlHindu Yg ngebom gereja,bom Bali itu agamanya apa ya nyet,, isis,al Qaeda, Abu sayaf tuh agamanya Islam ato bkn sih nyet??</t>
  </si>
  <si>
    <t>@Julia_Zeed @rullyjoo27 Gk heran kl kadrun goblok sepanjang idup, yg dimusuhi yg cerdas2 &amp; sll pny inovasi baru dlm teknologi kyk china &amp;amp; israel Yg barbar tp dongok kyk ISIS dipuja2 🤣🤣🤣</t>
  </si>
  <si>
    <t>WNI Positif Corona di Malaysia, Bertambah</t>
  </si>
  <si>
    <t>Krn ini awak dak sepakat pemulangan WNi tempo hari. Termasuk kedatangan tamu agung sumbar yg di sambut di bandara tempo hari. RT @enamsalavan: dsini masih huru hara pro &amp; kontra, Islam sudah ada konsep sejak dari dulu ttg lock down .. negara diluar sana yg pnddknya Islam minoritas malah lebih mengerti</t>
  </si>
  <si>
    <t>RT @KBRI_Bangkok: Update Covid-19 di Thailand per 14 Maret 2020. Penambahan 7 kasus baru, sehingga total 82 kasus, dengan 35 orang telah sembuh, 46 masih dirawat, dan 1 meninggal dunia. WNI di Thailand untuk mengikuti rekomendasi Kemkes RI, Kemkes Thailand dan WHO. #negaramelindungi #inidiplomasi</t>
  </si>
  <si>
    <t>disamping itu Karantina ini seperti yang dilakukan pemerintah Indonesia ketika memulangkan WNI dari Wuhan untuk ditempatkan di Pulau Natuna selama dua minggu, dan para WNI ABK kapal pesiar Diamond Princess dan World Dream yang ditempatkan di Pulau Sebaru. #ApaItuLockDown</t>
  </si>
  <si>
    <t>Evakuasi 188 WNI Pulau Sebaru ke KRI Semarang 594, Ini Kata Pangkogabwilhan I</t>
  </si>
  <si>
    <t>Karantina ini seperti yang dilakukan pemerintah Indonesia ketika memulangkan WNI dari Wuhan untuk ditempatkan di Pulau Natuna selama dua minggu dan para WNI ABK kapal pesiar Diamond Princess dan World Dream yang ditempatkan di Pulau Sebaru. jadi #ApaItuLockDown</t>
  </si>
  <si>
    <t>kemudian Karantina ini seperti yang dilakukan pemerintah Indonesia ketika memulangkan WNI dari Wuhan untuk ditempatkan di Pulau Natuna selama dua minggu, dan para WNI ABK kapal pesiar Diamond Princess dan World Dream yang ditempatkan di Pulau Sebaru. #ApaItuLockDown</t>
  </si>
  <si>
    <t>Karantina ini seperti yang dilakukan pemerintah Indonesia ketika memulangkan WNI dari Wuhan untuk ditempatkan di Pulau Natuna selama dua minggu dan para WNI ABK kapal pesiar Diamond Princess dan World Dream yang ditempatkan di Pulau Sebaru. Simak #ApaItuLockDown</t>
  </si>
  <si>
    <t>@eririenini @bakura_yamimode @CNNIndonesia Gue kasih link masa gue gak baca 🙄 Coba mana lebih penting, bikin/rencanain/anggarin seremonial orang2 yg udah lama ga pulang (eh disuruh denger pejabat ngoceh) ... apa nge-trace suspect seminar besar di bogor tgl 25-28 &amp; suspect 696 WNI tabligh akbar di malaysia?!</t>
  </si>
  <si>
    <t>kita tahu, Karantina ini seperti yang dilakukan pemerintah Indonesia ketika memulangkan WNI dari Wuhan untuk ditempatkan di Pulau Natuna selama dua minggu, dan para WNI ABK kapal pesiar Diamond Princess dan World Dream yang ditempatkan di Pulau Sebaru. #ApaItuLockDown</t>
  </si>
  <si>
    <t>Ini tuh penyakit, masih aja mau ngepolitisisasi. banyak banyak berdoa aja fren selagi lo masih WNI ya negara kita gini fren susah (ps: negara orang susah) #StopPolitisasiCorona</t>
  </si>
  <si>
    <t>Karantina ini seperti yang dilakukan pemerintah Indonesia ketika memulangkan WNI dari Wuhan untuk ditempatkan di Pulau Natuna selama dua minggu dan para WNI ABK kapal pesiar Diamond Princess dan World Dream yang ditempatkan di Pulau Sebaru. what #ApaItuLockDown</t>
  </si>
  <si>
    <t>@LuwitaEmilly878 BACOT AJE... SAMPE KIAMAT JUGA CUMA BOLAK MONAS.... WONG YG DI ARAF DA DEKET ISIS SURIAH AJE MEWEK MINTA PULANG... PREEETT</t>
  </si>
  <si>
    <t>@jokowi Loh bukannya dilarang? Apa itu WNI yg dari negara2 yg diwaspadai?</t>
  </si>
  <si>
    <t>Kemenko PMK melakukan koordinasi dgn kementerian &amp; lembaga terkait yakni Kemenkes, Kemendagri, Kemenlu, Kemenhub, BNPB, TNI/Polri utk memastikan proses pemulangan kru kapal berjalan lancar. Sementara utk WNI kru kapal Diamond Princess akan dipulangkan pd Minggu (15/3) mendatang.</t>
  </si>
  <si>
    <t>Dirjen Kesehatan Malaysia Noor Hisham Abdullah mengatakan bahwa dua pasien (kasus ke-35 dan kasus ke-61) yang positif COVID-19 sebelum ini telah pulih dan dibenarkan keluar dari ruang isolasi Rumah Sakit Sungai Buloh. #COVID19 #Covid_19</t>
  </si>
  <si>
    <t>@0maiRana wo kya khy gy wo khy gy tw yhi khy gy ISIS k leader ka bal mila humko</t>
  </si>
  <si>
    <t>@MasekaBambangB @kompascom Turis luar negeri itu WNA, kalo TKI atau yg pergi ke malaysia kan ttp WNI. Blocking diharapkan dari negara yg sudh banyak terdeteksi corona spti itali, korsel, japan, iran. Yg pulang dari malaysia krn ikut tabligh akbar jg klo bisa diperiksa</t>
  </si>
  <si>
    <t>RT @WSetyorini2: Di saat kita sibuk dengan corona (fan memang seharusnya demikian).. tetiba omnibus law diketok, ISIS eks WNI jadi PNS dan Harun Masiku jadi duta pemberantasan korupsi... mantab👍</t>
  </si>
  <si>
    <t>@ISIS_Balik_NO @p023456 @LambeHoax @enricofernandos @AdnanDasuki99 @CNNIndonesia Dikuasai apa? Emang kontraknya abis sekarang 🤣🤣😂 , &amp; bukannya diputus malah diperpanjang kontraknya😡,udah gitu bilangnya dapet 51%,tapi harus beli dulu 🤣😂 lah punyanya kita sendiri harus kita beli dulu 🤣,akhirnya duitnya ga cukup cari utangan lewat inalum,parah separah2nya</t>
  </si>
  <si>
    <t>Tolak pemulangan Kombatan ISIS! #lawanterorisme #Tolakisis #indonesiadamai #cegahradikalisme</t>
  </si>
  <si>
    <t>Karantina ini seperti yang dilakukan pemerintah Indonesia ketika memulangkan WNI dari Wuhan untuk ditempatkan di Pulau Natuna selama dua minggu dan para WNI ABK kapal pesiar Diamond Princess dan World Dream yang ditempatkan di Pulau Sebaru. so #ApaItuLockDown</t>
  </si>
  <si>
    <t>Hadir mewakili Menko PMK dalam pemulangan WNI kru World Dream: Deputi Bidang Koordinasi Peningkatan Kesehatan Kemenko PMK Agus Suprapto &amp; Deputi Bidang Koordinasi Kerawanan Sosial dan Dampak Bencana Kemenko PMK Dody Usodo HGS.</t>
  </si>
  <si>
    <t>ngomongin soal corona rasanya kesel jadi wni, penanganannya itu loh :(</t>
  </si>
  <si>
    <t>Menurut Drjen Kesehatan Malaysia @DGHisham tiga WNI di Malaysia positif #COVID19 :</t>
  </si>
  <si>
    <t>Pada dini harinya, Menhub juga sempat menyaksikan langsung proses pemulangan ke-69 WNI ABK Diamond Princess di Bandara Kertajati, Majalengka, Jawa Barat. *sekarang pak menhub dirawat di RS *asma &amp; tipes *sesak napas &amp;amp; panas</t>
  </si>
  <si>
    <t>RT @Beritasatu: Cegah Penyebaran Virus Corona, WNI yang Ikut Tablik Akbar di Malaysia Diimbau Memeriksakan Diri</t>
  </si>
  <si>
    <t>Sekolah sama univ di jakarta udah pada diliburin, pemda juga indikasinya diliburin, ini kementerian yang lain apalagi unit kerja w gamau libur juga apa gimana? Padahal kan tiap hari ketemunya WNA sama WNI :(</t>
  </si>
  <si>
    <t>@RyoFahri Wadawww lu islam apa? Teroris ? Isis? Alqaeda?</t>
  </si>
  <si>
    <t>@p023456 @LambeHoax @enricofernandos @kbenaranHakiki @AdnanDasuki99 @CNNIndonesia Alah ...ente, ecek2 begini, sok tau masalah freeport...😂😂😂 Keberatan mamang !</t>
  </si>
  <si>
    <t>@prapti_sulistia @WSetyorini2 @Mahasiswa__13 Biasa....kalo sudah ngasih oroposal...tetiba yg laen yg dapet......semua syarat dia ditumplekin....pelepas sakit hati...akgirnya nuduh yg laen dibayar....padahal sendirinya yg ngasih BUDGET...😂 Saya maafkan Fitnah anda....klen perlu gabung dgn Kadrun rupanya....biar klop</t>
  </si>
  <si>
    <t>RT @marufamin_news: Sedangkan, karantina merupakan tempat penampungan yang lokasinya terpencil guna mencegah terjadinya penularan (pengaruh dan sebagainya) penyakit dan sebagainya. Hal itu, seperti yang dilakukan pemerintah Indonesia ketika memulangkan WNI dari Wuhan China.</t>
  </si>
  <si>
    <t>RT @marufamin_news: WNI dari China tersebut dikarantina selama 2 minggu di Natuna, Kepulauan Riau. Selama karantina, para WNI diawasi ketat kesehatannya serta diberikan vitamin serta gizi untuk daya tahan tubuhnya.</t>
  </si>
  <si>
    <t>@Jiban08476848 @amrudinnejad_ @AhlulQohwah @_Semut_Ireng_ @EdyGypsum @TolakBigotRI @triwul82 @Rahman_Nashir @kirekswasta @mochamadarip @GunRomli @kangdede78 Masyaallah....orang2 itu semuah nyah 😂</t>
  </si>
  <si>
    <t>WNI yg kmrn ikut ke situ di cek dong, mau ada gejala atau enggak pun. RT @staronline: Covid-19: Two-year-old girl from Brunei infected from relative who attended KL mosque event</t>
  </si>
  <si>
    <t>@Khusni_Mub87 @amrudinnejad_ @AhlulQohwah @_Semut_Ireng_ @EdyGypsum @TolakBigotRI @triwul82 @Rahman_Nashir @kirekswasta @mochamadarip @GunRomli @kangdede78 Kalo golongan mereka apapun kagak jadi masalah, bahkan atheispun disambut Takbir dan diberi mimbar untuk Tausiah</t>
  </si>
  <si>
    <t>@bambangmurjito @RikaAhmad12 @NataliusPigai2 @jokowi Iya WNI di karantina.. lah cina masuk diperiksa jg kaga.. kan bego..</t>
  </si>
  <si>
    <t>@WSetyorini2 @ISIS_Balik_NO @Mahasiswa__13 Ow, salep toh?</t>
  </si>
  <si>
    <t>RT @Metro_TV: Sebanyak 188 WNI ABK World Dream yang telah diobservasi di Pulau Sebaru dinyatakan negatif dari virus corona. Mereka juga sudah dibekali dengan sertifikat sehat dari Kemenkes. #BreakingNewsMetroTV #IndonesiaMelawanCorona</t>
  </si>
  <si>
    <t>Gayung bersambut, ketenangan masyarakat Indonesia pecah ketika Presiden Joko Widodo mengumumkan terdapat dua warga negara Indonesia di dalam negeri terjangkit virus Corona. Hingga tulisan ini keluar (14 Maret 2020), virus corona telah menjangkiti 96 WNI di dalam negeri.</t>
  </si>
  <si>
    <t>Diduga Jemaah Tablig Akbar, 3 WNI di Malaysia Positif Corona COVID-19  #DariSuara</t>
  </si>
  <si>
    <t>Diduga Jemaah Tablig Akbar, 3 WNI di Malaysia Positif Corona COVID-19</t>
  </si>
  <si>
    <t>RT @Heiser007: @CNNIndonesia Netijen : tolong kasih info daerah mana saja yg kemungkinan kena korona Pemerintah : itu rahasia g boleh di publik **Pemerintah Tak Kantongi Data WNI di Tabligh Akbar Malaysia ** Gua : oh ini alasan sebenernya</t>
  </si>
  <si>
    <t>RT @wahhabicc_jabar: SIAPA BERJIWA PEMIMPIN? 2 WNI Positif Corona, Gubernur Ganjar Imbau Warga Jateng Tak Panik. 🔁 Retweet NGADEMIN. -------^^^^^^^^^^^^^--------- Anies Sebut Kondisi Jakarta Genting Karena Virus Corona. 💟 Like BIKIN PANIK. #StopPanikLawanCorona</t>
  </si>
  <si>
    <t>@detikcom Tetangga kita Malaysia baru saja melaporkan tambahan 41 kasus positif Covid-19 sehingga menjadi total 238. Semua kasus baru itu terkait dengan belasan ribu orang yg hadir pada tabligh akbar 28 Feb-1 Maret di negeri itu, termasuk ratusan WNI.</t>
  </si>
  <si>
    <t>RT @rajaparuma: Sudah menjadi kebiasaan wni ini tidak memakai otak jika ada info atau masalah yang dihadapi. Mayoritas kebanyakan hanya mempergunakan emosi dan perasaannya yg tidak rasional, yg tidak dpt dihitung dan dibuktikan.</t>
  </si>
  <si>
    <t>Pemerintah Filipina akan mengisolasi atau melakukan lockdown terhadap Metro Manila mulai Minggu (15/3/2020) sampai 30 hari mendatang, sebagai upaya mencegah penyebaran virus korona. Sekitar 13 juta warga dan pendatang asing akan terdampak kebijakan ini.</t>
  </si>
  <si>
    <t>@AncharPuang @ernestprakasa Iye warga indonesia yg masuk harus di karantina tapi yang yang bukan wni malah di bebas keluar masuk padahal dulu udah di ingetin sekarang kejadian pada pusing... 🤓</t>
  </si>
  <si>
    <t>RT @KBRIDoha: IMBAUAN BAGI WNI YANG BERADA DI LUAR NEGERI ATAU BERENCANA MELAKUKAN PERJALANAN KE LUAR NEGERI SEHUBUNGAN DENGAN PENYEBARAN WABAH COVID-19. Info Selengkapnya :</t>
  </si>
  <si>
    <t>@riizkyprdna biar isis ga gatel</t>
  </si>
  <si>
    <t>@Luqbaehaqi Isis iris ispiin sih injir</t>
  </si>
  <si>
    <t>IMBAUAN BAGI WNI YANG BERADA DI LUAR NEGERI ATAU BERENCANA MELAKUKAN PERJALANAN KE LUAR NEGERI SEHUBUNGAN DENGAN PENYEBARAN WABAH COVID-19. Info Selengkapnya :</t>
  </si>
  <si>
    <t>Semoga diperketat atau bila perlu di larang dulu untuk masa 1 bulan kedepan agar WNI benar2 aman dari wabah covid-19 pak presiden. RT @jokowi: Pengawasan ketat di Bandara Seokarno-Hatta dilakukan dengan memberlakukan dua pintu masuk berbeda bagi negara-negara yang diwaspadai. Penumpang dari Tiongkok, Italia, Korea Selatan, dan Iran, akan diperiksa sampai tiga kali. Di luar negara itu, diperiksa dua kali.</t>
  </si>
  <si>
    <t>@Rendy51500187 @CNNIndonesia Di kota gua, bule bertebaran katanya lg ada kunjungan wisata. Kaga di karantina dulu juga? Kek WNI yang lain? Ada apa dengan pemerintahan indonesia?</t>
  </si>
  <si>
    <t>Sebelum ada yg positif, KKP sejak Januari sll mjd garda terdepan memberikan penjelasan 1 per 1 ke penumpang dr luar negeri. Belum lagi melakukan penjemputan WNI yg butuh koordinasi antar K/L dan lintas negara</t>
  </si>
  <si>
    <t>Esta nazanm supasi coronay bkam ian ISIS 😂😂😂 RT @MiranShamall: ماڵتان ئاوابێ</t>
  </si>
  <si>
    <t>@astagambenkk bendera isis lu mah benk</t>
  </si>
  <si>
    <t>WNI yg dievakuasi dari wuhan kesini langsung pengen balik lg kesana kali ya RT @narkosun: Pelepasan masker. Para tenaga medis rumah sakit darurat Wuhan melepaskan masker tanda berakhirnya penanganan pasien Corona di RS yg ditutup tersebut. Selamat Wuhan...👍🙏</t>
  </si>
  <si>
    <t>Tabligh Akbar di KL akhir feb lalu aja "makan korban" lho dan ratusan WNI yg datang tuh belum kedetect malah ini kok mau kumpul2 doa bersama Ki piye tho ASTAGAAAAAA #prt #lastrt</t>
  </si>
  <si>
    <t>@_wni_ BOLEH ASTU KITA JADI FAMILY YEAY 😍😍😍</t>
  </si>
  <si>
    <t>@yusuf_dumdum ORMAS2X BUSUK ITU,..CUMA PARADE ARISAN PENGANGGURAN KEK BERNYALI SGR BW SMUA LASKAR + ANAK BINI + BRNGKT KE SANA KE INDIA AMPE BAKAR PASPOR LO PALING JG CUMA TREAK2X,.. DULU DUKUNG ISIS BOLAK BALIK MONAS YG DA DI ARAF AMPE SKRNG NANGIS MINTA PULANG NAPA GA KE SURIAH AJA SKLIAN</t>
  </si>
  <si>
    <t>WNI positif corona di Malaysia jadi tiga orang</t>
  </si>
  <si>
    <t>artis djakarta merusak nama baik aq jd WNI tanah kafir sana</t>
  </si>
  <si>
    <t>RT @BaskoroKata: ISIS lebih berbahaya dari #viruscorona #Lawanradikalisme #TolakISIS  @Mujirahadi2 @ManokPokena @Dani86113065 @SegoPin__Cuk @ISIS_Balik_NO @BonnieAjah @YoyokSubandriy3</t>
  </si>
  <si>
    <t>RT @demokrasicoid: Ada Corona di Tabligh Akbar, Ratusan WNI Diminta Periksakan Diri</t>
  </si>
  <si>
    <t>Ada Corona di Tabligh Akbar, Ratusan WNI Diminta Periksakan Diri</t>
  </si>
  <si>
    <t>Mau bodo amat soal berita duta"an, tapi sayangnya aku masih jadi WNI 😌😌 Mungkin kedepannya bakal ada ambassador juga..</t>
  </si>
  <si>
    <t>@agussari Ini jawaban medis:</t>
  </si>
  <si>
    <t>@republikaonline saya kecewa sebagai WNI, bukan sebagai kampret.</t>
  </si>
  <si>
    <t>@e100ss Semoga bisa diambil hikmahnya</t>
  </si>
  <si>
    <t>Menkes Terawan Nobatkan 188 WNI ABK World Dream Jadi Duta Imunitas Corona</t>
  </si>
  <si>
    <t>@Puteriswift_ Baru gempak ann. Nnti aku cop anak perempuan kau siap2. HAHAHAHAHA</t>
  </si>
  <si>
    <t>Demi turut mencegah penyebaran COVID-19, pada 14 Maret 2020 KBRI Doha membersihkan gedung KBRI dengan menyemprot disinfektan. Hal ini juga bertujuan untuk memberi pelayanan prima untuk WNI di Qatar dengan menyediakan ruang layanan yang sehat. #IniDiplomasi #IndonesianWay</t>
  </si>
  <si>
    <t>Bukankah tenaga medis juga manusia dan wni? RT @CNNIndonesia: Pemerintah Akui Petugas Medis Meninggal Terinfeksi Corona</t>
  </si>
  <si>
    <t>1. Mohon maaf sekedar mengingatkan - Memulangkan WNI dari pusat wabah di China dan Jepang - Menyiapkan rumah sakit-rumah sakit rujukan untuk menangangi pasien yang diduga atau sudah terinfeksi korona - Membentuk satuan tugas penanganan korona yang dipimpin Letjen TNI Doni Munardo</t>
  </si>
  <si>
    <t>@LambeHoax @enricofernandos @kbenaranHakiki @AdnanDasuki99 @CNNIndonesia @ISIS_Balik_NO Bisa buktikan apa manfaat Freeport dikuasai sahamnya oleh Indonesia. Malah rugi krn menjadi BUMN maka pajaknya menjadi GA jelas sprti BUMN2 lain.</t>
  </si>
  <si>
    <t>@riizkyprdna Supaya tytydnya kena angin. Kata orang jawa *ben isis* 😬😬😬</t>
  </si>
  <si>
    <t>@_wni_ Pastu dapat anak pun tinggi tinggi wow</t>
  </si>
  <si>
    <t>@SanjayAzadSln Isis ya isi ke to honge tere pass kagaj wo hi dikha de</t>
  </si>
  <si>
    <t>@ganjarpranowo pak bagaimana penanganan wni yang masih bekerja di kota jepang? Apa pemerintah tetap mengawasi? Adik saya bekerja di jepang pak, alhamdulillah sampai saat ini masih di kasih kesehatan dan insyaallah selalu di lindungi Allah..</t>
  </si>
  <si>
    <t>RT @GardhaSiliwangi: @bobaaamatcha @kompascom Mana data perokok Indonesia kena Korona?? tunjukin gausah modal bacot... jgn fitnah perokok biang korona neng! yg nggak rokok juga banyak kena korona... jgn ambil sampel orang WNI atau Cina yg rokok di negara Cina...</t>
  </si>
  <si>
    <t>RT @AlyRabiee: Y3ni ISIS wa2afo el 3amaleyat el erhabeya w GUC msh radya tedeena agaza?</t>
  </si>
  <si>
    <t>Sudah menjadi kebiasaan wni ini tidak memakai otak jika ada info atau masalah yang dihadapi. Mayoritas kebanyakan hanya mempergunakan emosi dan perasaannya yg tidak rasional, yg tidak dpt dihitung dan dibuktikan. RT @ApriliaLin: China memang Negara yang hebat, tau bagaimana cara menangani sebuah musibah dengan cepat dan tanggap👍 *Sama sama isu Virus, Di china jadi Gerbang Surga, Di Indonesia jadi Seperti dalam Api Neraka*</t>
  </si>
  <si>
    <t>ㅤ 𝐊𝐞𝐰𝐚𝐫𝐠𝐚𝐧𝐞𝐠𝐚𝐫𝐚𝐚𝐧: WNI 𝐓𝐢𝐧𝐠𝐠𝐢 𝐁𝐚𝐝𝐚𝐧: 177 cm 𝐁𝐞𝐫𝐚𝐭 𝐁𝐚𝐝𝐚𝐧: 60 kg (132lbs) 𝐒𝐞𝐤𝐬𝐮𝐚𝐥𝐢𝐭𝐚𝐬: Heteroseksual ⠀ ⠀</t>
  </si>
  <si>
    <t>RT @Metro_TV: #BreakingNewsMetroTV Achmad Yurianto selaku Jubir Penanganan Covid-19 mengatakan bahwa 9 WNI yang berada di Jepang dan sempat terjangkit virus corona, saat ini semuanya telah sembuh. #IndonesiaMelawanCorona</t>
  </si>
  <si>
    <t>Berkah Tuhan - 8 orang dirawat di dalam negeri sembuh - 9 orang WNI yang dirawat di Jepang sembuh dan sudah kembali ke tanah air. - 5 orang meninggal di dalam negeri. - Berikut daerah penyebaranya. - Selalu waspada jaga imunitas. #SayaPercayaJokowi</t>
  </si>
  <si>
    <t>Menkes Terawan Nobatkan 188 WNI ABK World Dream Jadi Duta Imunitas Corona  #DariSuara</t>
  </si>
  <si>
    <t>@Puteriswift_ Bismillah assalammualaikum. Nama saya wani. Saya 172cm. Kalau together mesti cute gitu</t>
  </si>
  <si>
    <t>696 WNI Peserta Tabligh Akbar Malaysia Diimbau Tes Corona</t>
  </si>
  <si>
    <t>@msaid_didu @jokowi Mungkin mas Didu punya data berapa orang WNI yang mati karena Corona ? Dan tertular dari mana ?</t>
  </si>
  <si>
    <t>Menkes sebut WNI ABK World Dream sebagai duta imunitas Corona</t>
  </si>
  <si>
    <t>program "Melawan Lupa" @Metro_TV ini bagus bgt kemarin jg ada yg versi tentara Jepang. Pas Jepang kalah WW2 pilihannya cm pulang ke jepang atau harakiri, tp bbrp tentara jepang malah ikut berjuang bareng tentara indo buat melawan agresi belanda &amp; mengakhiri sisa hidup sbg WNI RT @kamalbukankemal: Namaya HJC Princen. Eks tentara Belanda yg membelot &amp;amp; memilih berjuang bersama tentara Indonesia. Istrinya yg sdg hamil dibunuh Belanda. Sering masuk bui krn mengkritik Karno &amp;amp; Harto. Berani &amp;amp; tegas menumpas kasus HAM Timor Timur, juga menjadi salah satu pendiri LBH. A Thread-</t>
  </si>
  <si>
    <t>@riizkyprdna Cekne isis mas</t>
  </si>
  <si>
    <t>@Nicbraveheart @Hardianton02 @IkhtiarQu @Mswahyuwahyu @RiauPutera @leo_agustaf @SahabatRG @aniesbaswedan @RamliRizal @TanYoana @Anna_MaSue @fahiraidris @haikal_hassan @NalarOposisi @Luvianna11 @Pinez11 @MichelAdamRR @ustadtengkuzul @Jean_Aprilia97 @MCAOps @Hilmi28 @SBYudhoyono Yaaah...kumat dah aslinya, persis ISIS. Beda dikit bilang kafir, dasar kaum takfiri...ooiyaaa sih lupa, kan pendukung anies bnyk dr kaum situ 😍😍😍</t>
  </si>
  <si>
    <t>Malaysia Umumkan Seorang WNI Positif Corona  via @harianhaluan</t>
  </si>
  <si>
    <t>@AkuVaatu @uraaabbbb Mending pemerintah mikirin gimana caranya ngeluarin aturan menggratiskan semua wni untuk cek lab corono gratis kagak bayar</t>
  </si>
  <si>
    <t>Setelah sampai di Kolilamil, Pangkogabwilhan I Laksdya TNI Yudo Margono akan menyerahkan 288 WNI ABK World Dream secara simbolis kepada Menteri Koordinator Pembangunan Manusia dan Kebudayaan Republik Indonesia (Menko PMK). #PulauSebaru #AGP</t>
  </si>
  <si>
    <t>Manila Diisolasi, Stok Logistik untuk WNI Aman @KBRI_Manila #WNI #coronavirus #CoronaVirusUpdates #Covid_19 #BersatuTangkalCorona #RakyatMerdeka #BacaKoranRM</t>
  </si>
  <si>
    <t>@Sai67104409 @awas_io @jokowi Kesampingkan masalah yg lain bos, keselamatan WNI lebih pnting !</t>
  </si>
  <si>
    <t>Saat ini jumlah WNI yang mengidap COVID-19 ada 96 orang. Stay safe everyone😭🤲🏻jaga daya tahan tubuh, kebersihan, dan kesehatan ya! Makan teratur, istirahat dan olahraga cukup, konsumsi makanan yang bergizi, asupan mineral diperbanyak, jaga kebersihan.</t>
  </si>
  <si>
    <t>WNI dari China tersebut dikarantina selama 2 minggu di Natuna, Kepulauan Riau. Selama karantina, para WNI diawasi ketat kesehatannya serta diberikan vitamin serta gizi untuk daya tahan tubuhnya.</t>
  </si>
  <si>
    <t>Lagi, 2 WNI Positif Corona: Satu Tertular di Jakarta, Satu Lagi Tertular di Jepang</t>
  </si>
  <si>
    <t>@CSiongyu @CNNIndonesia ya kan yang ikut tabligh akbar sama yang masuk data Imigrasi ke Malaysia, kan belum tentu sama. Bisa juga WNI yang ikut acara itu sudah menetap lebih dulu di Malaysia</t>
  </si>
  <si>
    <t>Sedangkan, karantina merupakan tempat penampungan yang lokasinya terpencil guna mencegah terjadinya penularan (pengaruh dan sebagainya) penyakit dan sebagainya. Hal itu, seperti yang dilakukan pemerintah Indonesia ketika memulangkan WNI dari Wuhan China.</t>
  </si>
  <si>
    <t>Imbauan KBRI Colombo kepada seluruh WNI di Sri Lanka dan Maladewa menanggapi Virus 2019-nCoV. Kiranya agar seluruh WNI meningkatkan kewaspadaan, tenang dan tidak panik. Hotline KBRI Colombo +94772773123 #sahabatkemlu</t>
  </si>
  <si>
    <t>Isis Let Lej Al shahab Al nusra Al quaida Im Huji.... Are examples of ur ill opinion #IamProudKafir ,#Hindutva RT @ashadab665: @zaranj_a Prove my opinion wrong...</t>
  </si>
  <si>
    <t>RT @alex_hunter146: @Yfais @Je_Ly @miaemilymia @ustadtengkuzul @rspersahabatan @KemenkesRI @BNPB_Indonesia @Dakwah_MUI @nahdlatululama @muhammadiyah @JamaahTabligh1 @KawalCOVID19 Bila WNI Kaum Cingkrang Biasa Hilir Mudik Ke Philpina Lewat Jalan Tikus , Apalagi Ke Malaysia Cukup Banyak Jalan Tikus Tanpa Harus Lewat Visa /Pos Perbatasan</t>
  </si>
  <si>
    <t>Padahal paling gampang adalah trace catatan imigrasi WNI yg tiba di Indonesia di jam-jam penerbangan dari Kuala Lumpur di tanggal 1-2 hari setelah tabligh akbar itu selesai 👀🤣 Bersama dengan BIN dari Hongkong. You have all the resources to find them</t>
  </si>
  <si>
    <t>@Yfais @Je_Ly @miaemilymia @ustadtengkuzul @rspersahabatan @KemenkesRI @BNPB_Indonesia @Dakwah_MUI @nahdlatululama @muhammadiyah @JamaahTabligh1 @KawalCOVID19 Bila WNI Kaum Cingkrang Biasa Hilir Mudik Ke Philpina Lewat Jalan Tikus , Apalagi Ke Malaysia Cukup Banyak Jalan Tikus Tanpa Harus Lewat Visa /Pos Perbatasan</t>
  </si>
  <si>
    <t>@dr_tompi Restrictions aja dok, terutama PP LN krn dr data yg ada, kasus terbanyak adalah imported cases wna dan wni</t>
  </si>
  <si>
    <t>@syalron @damnoise itu photo intel isis bro.... wkwkwkekkkkk 😂😂</t>
  </si>
  <si>
    <t>188 WNI ABK World Dream Adalah Harapan dan Optimisme Nasional</t>
  </si>
  <si>
    <t>Yauda bagus lah kalo gak lockdown, tapi pastikan penanganannya SUPER BAGOOOSSSSHHHH PAKKK! Bilangin Pak Presiden Pak, jangan takuuut! Kasih unjuk gimana negara lain menanganinya dgn super keren! Haduuh, capek gue jadi WNI... RT @kompascom: "Untuk saat ini (lockdown) bukan pilihan," kata jubir penanganan Covid-19 Achmad Yurianto.</t>
  </si>
  <si>
    <t>Katanya, data WNI yang terjangkit corona semakin banyak, cepat atau lambat pasti akan menyebar luas. Akan terjadi krisis keuangan, virus ini lebih berpengaruh terhadap ekonomi. Jangan bandingkan corona sama dbd atau virus lainnya, kalau hanya di situ, global ga akan sepanik ini.</t>
  </si>
  <si>
    <t>@jokowi Lalu ternyata ada yg berhasil lolos di pintu yg pemeriksaan cuma 2x well kan udh ada tuj pasien positif WNI yg imported case tp ga demam bahkan ga keliatan sakit. yaudah berdoa ajalah ya believe in the power of praying.</t>
  </si>
  <si>
    <t>@elseditaa @jokowi Ya sih kalo wni yg balik gpp asal wna nya jgn diterima lagi wkwk. Tp mesti diketatin pemeriksaannyaa</t>
  </si>
  <si>
    <t>@ISIS_Balik_NO @ruddy_fatin @msaid_didu WKWKWKAKAKWK..DEKIL BAWAAN LAHIR BOS..RENDAM ALKOHOL SEMALAMAN JUGA DEKIL</t>
  </si>
  <si>
    <t>@jokowi Kemaren blg Indonesia terdepan evakuasi WNI di China..skrg?🤔</t>
  </si>
  <si>
    <t>#Repost @safetravelkemlu • • • IMBAUAN BAGI WNI YANG BERADA DI LUAR NEGERI ATAU BERENCANA MELAKUKAN PERJALANAN KE LUAR NEGERI SEHUBUNGAN DENGAN PENYEBARAN WABAH COVID-19 (geser ke kanan untuk membaca) #travel…</t>
  </si>
  <si>
    <t>Liat aksi masyarakat di negara luar mereka begitu ketakutan sama virus corona sampe2 mereka gamau ketemu atau berdekatan sama yg lain, tp gua ngeliat kelakuan WNI kaya santuyy gitu jir pada ga takut:( bahkan jarang gw liat org indo yg pake masker:( knp ya?</t>
  </si>
  <si>
    <t>Pangkogabwilhan I Kawal Evakuasi 188 WNI Pulau Sebaru #NEWS</t>
  </si>
  <si>
    <t>RT @BNPB_Indonesia: 188 WNI turun dari KRI Semarang di Kolinlamil, Tanjung Priok. #IndonesiaTangguh #BelaNegara #CoronaOutbreak #LAWANCOVID19 #CoronaVirusUpdates #SiapUntukSelamat #PBUrusanBersama</t>
  </si>
  <si>
    <t>RT @BNPB_Indonesia: 188 WNI diterima oleh Deputi Pencegahan BNPB, Menteri Kesehatan, Kementerian PMK, Pangkogab Wilhan 1, Kementerian Dalam Negeri dan sebagainya di Kolinlamil. #corona #Kolinlamil. #CoronaOutbreak #LAWANCOVID19 #CoronaVirusUpdates #SiapUntukSelamat #PBUrusanBersama</t>
  </si>
  <si>
    <t>Y3ni ISIS wa2afo el 3amaleyat el erhabeya w GUC msh radya tedeena agaza? RT @aboalzahraa90: تنظيم داعش يعلن وقف جميع العمليات الإرهابية لحين الانتهاء من مواجهة فيروس كورونا. (الله ع أخلاقكم يا فخر الأمة)</t>
  </si>
  <si>
    <t>@aMrazing Bukannya emang udh di-ban ya turis dari negara-negara tersebut? Hanya saja untuk WNI masih diperbolehkan masuk? CMIIW</t>
  </si>
  <si>
    <t>188 WNI ABK World Dream Jadi Duta Imunitas Corona, Diminta Tetap Jaga Fisik  lewat @wartakotalive</t>
  </si>
  <si>
    <t>RT @BJPsoldIndia: Jihad Ya Fasaad - RSS ya ISIS?</t>
  </si>
  <si>
    <t>@detikcom Akibat menkes sepele ttg virus corona dan pemerintah tdk mengkarantina wni atau wna yg datang dr luar negri masuk keindonesia</t>
  </si>
  <si>
    <t>@jokowi saran pak pres tutup penerbangan masuk dan keluar indo ga boleh Ada turis masuk dan ga boleh ada wni ke luar negeri walau dgn alasan apapun pliss para wni jgn sok sokan tetap ke LN alasan sudah boking tiket hotel tiket pesawat, kerja ke LN kondangan sodara ke LN pliss jgn sok</t>
  </si>
  <si>
    <t>@AshishS15237886 @vichaars @Karthik_sonu65 @mehergardhBaloc @decent_act @Joydeep09394457 @Imamofpeace Liberandus be like Isis isn't terrorist rss is. Tumlog mar jaoge lekin pappu mutr ka sewan krte rhoge. Itne logo ne proof de diya par pdhe likhe logo k proof smjh aata h. Unpadh gawaar ko ni. Chal ab wo kar jo tere seniors ne it cell me sikhaya h. Bhaag ja</t>
  </si>
  <si>
    <t>Menurutnya, para WNI yang sudah menjalankan observasi di Pulau Sebaru selama 14 hari tersebut, pulang dalam keadaan sehat.</t>
  </si>
  <si>
    <t>RT @adjieavatara: apresiasi buat tindakan pemerintah memulangkan WNI ABK World Dream, semuanya sdh sehat &amp; tanpa banyak drama.</t>
  </si>
  <si>
    <t>RT @riyadh_kbri: Yth. Bapak Ibu WNI di Arab Saudi, Terlampir disampaikan Himbauan KBRI Riyadh terkait perkembangan virus corona di Arab Saudi dan dampaknya terhadap kegiatan WNI di Arab Saudi. Mohon Himbauan ini dapat dipatuhi dan dijadikan pedoman @Kemlu_RI @safetravelkemlu #NegaraMelindungi</t>
  </si>
  <si>
    <t>@flutulangs "ISISIRIS" menjual pernak-pernik isis</t>
  </si>
  <si>
    <t>@aukankapaul @Menlu_RI @Kemlu_RI Semoga kedepannya ada followup berita mengenai proposal/negosiasi bebas visa Schengen bagi WNI berpaspor biasa dari Ibu @Menlu_RI @Kemlu_RI 🙏🏻 🇮🇩 🇪🇺</t>
  </si>
  <si>
    <t>Data WNI yang hadir di tabliq akbar belum terkonfirmasi jumlahnya, baik yg tinggal di Indonesia maupun di Malaysia, indikasi tersebar cukup banyak bisa juga berasal dari negara" kawasan Asean lainnya #yukbelajar #mikir #coronavirus</t>
  </si>
  <si>
    <t>@CNNIndonesia Tinggal minta intel, kemaren aja udah bisa prediksi masa puncak, apalagi cuman data WNI, gitu aja kok repot</t>
  </si>
  <si>
    <t>@queensky021 Mungkin yg harus di perhatiin lg adalah peraturan terhadap pasien corona kalo kabur dpt denda/cabut dr wni. Dan yg terpenting alatnya di perbanyak lgi seperti korsel mendirikan lab di setiap penjuru</t>
  </si>
  <si>
    <t>Manila Diisolasi, KBRI Sebut Stok Logistik untuk WNI Aman</t>
  </si>
  <si>
    <t>udu gendero isis toh iki ? wqwq RT @merapi_news: Neng Sadhar ada apa sih?</t>
  </si>
  <si>
    <t>RT @keeendiw: #SemuaBekerjaUtkCorona pada penanganan WNI di China pak @erickthohir puji kecepatan BUMN cegah virus corona</t>
  </si>
  <si>
    <t>@RestuAlfina @yaaampuunn @jeketifeed Kalo orang jepangnya yg negatif corona apa perlu sampe diusir juga? Penyebab masuknya corona kan bukan cuma karena WNA yg ke indo tapi karena WNI yg habis dari luar negri juga</t>
  </si>
  <si>
    <t>@jokowi Terima kasih atas langkahnya pak, hal ini dapat memperlambat bhkn menghentikan penyebaran virus dari luar negara. Lalu, bgmn dgn WNA/WNI yg plg pergi ke Indonesia dr bbrapa minggu yg lalu? Bukankah sama saja dgn "membunuh" dari dalam? Aksi lockdown mungkin bisa bpk pertimbangkan.</t>
  </si>
  <si>
    <t>@alialhabsyi19 @muhsinlabib Filsafat, penggunaan akal dan berfikir tentunya masyarakat Syiah lebih maju. Sementara Sunni mengalami kemunduran pasca kritik Al-Ghazali terhadap ilmu filsafat. Akhirnya menghasilkan umat Islam seperti Anda, ISIS, Al-Qaeda, takfiri, pelaku intoleransi, dlsb.</t>
  </si>
  <si>
    <t>@ustadtengkuzul Herman. Harusnya negara tidak mengijinkan WNA masuk ke indonesia dan tidak pula mengijinkan WNI meninggalkan indonesia</t>
  </si>
  <si>
    <t>apresiasi buat tindakan pemerintah memulangkan WNI ABK World Dream, semuanya sdh sehat &amp; tanpa banyak drama. RT @Metro_TV: Sebanyak 188 WNI ABK World Dream yang telah diobservasi di Pulau Sebaru dinyatakan negatif dari virus corona. Mereka juga sudah dibekali dengan sertifikat sehat dari Kemenkes. #BreakingNewsMetroTV #IndonesiaMelawanCorona</t>
  </si>
  <si>
    <t>@CNNIndonesia Netijen : tolong kasih info daerah mana saja yg kemungkinan kena korona Pemerintah : itu rahasia g boleh di publik **Pemerintah Tak Kantongi Data WNI di Tabligh Akbar Malaysia ** Gua : oh ini alasan sebenernya</t>
  </si>
  <si>
    <t>Ya gua ngga ngikutin scr detail 69 kasus itu gimana terjangkitnya sih. Tp ya berita ttg kasus baru yg gua baca ya gitu, WNI dengan riwayat kunjungan luar negeri, WNA, tracing (yg dimana cuma tuhan yg tau gimana cara nge-trace-nya)</t>
  </si>
  <si>
    <t>Apakabar WNI yang baru dipulangkan dari wuhan yang masih sehat sampai sekarang, kok gak di angkat jadi Duta imunitas corona juga. Saya rasa seleksi yang dilakukan para juri kurang adil :’) RT @detikcom: Terawan berharap para seluruh 188 WNI yang usai jalani observasi ini membagikan tips mereka untuk tetap sehat menghadapi Corona kepada masyarakat</t>
  </si>
  <si>
    <t>RT @UjangBustomi: Banser cirebon&amp;Wonosobo,Mantaap!!Siap lawan ISIS! @noeruzzaman @GPAnsor_Satu</t>
  </si>
  <si>
    <t>RT @eoshiwin: @aipsun Ini belum termasuk 696 WNI yang ikut tabligh akbar di Malaysia, tp belum pasti terjangkit sich</t>
  </si>
  <si>
    <t>@aipsun Ini belum termasuk 696 WNI yang ikut tabligh akbar di Malaysia, tp belum pasti terjangkit sich</t>
  </si>
  <si>
    <t>kathok jeansku psd umur 5th dengkule suwek dewe sui-sui. untung isih muat. dadi ya tak nggo wae ben isis ono anngin-angine RT @riizkyprdna: ㅤ ㅤ Itu yg punya celana jeans terus bagian lutut nya di robek hm, SUPAYA APASI? ㅤ</t>
  </si>
  <si>
    <t>@neawidya @wisnukucing Per sore tadi ODP 15, kaka. 1 PDP. Ada WNA, ada WNI.</t>
  </si>
  <si>
    <t>@mandanggg @AlwaysFaza Loh orang kan kasih apresiasi dalam bentuk public speech ke WNI WNI itu. Salah nya dimana? Ga ada seremoni pelantikan duta2 kok. Dengerin dong pidato seutuhnya.</t>
  </si>
  <si>
    <t>Kok masih ada toh pak @jokowi hal beginian dinegeri ini? @Kemenag_RI jangan ngurusin ampas isis mulu ndeeeer 😡 RT @SammiSoh: Dengar Jeritan Kami Kami mengundang Saudara kami yg beda agama bisa ikut merasakan sedikit apa yg kami rasakan ketika gereja di Ambon dibongkar Pemda.</t>
  </si>
  <si>
    <t>@rahung @DonAdam68 @jokowi Elu sama kadrun kerjanya apa? Udah ngebantu pulangin wni yg di jepang,wuhan,? Kl mulut bertai ya begitulah</t>
  </si>
  <si>
    <t>188 WNI ABK World Dream menaiki dua unit kapal Landing Craft Utility (LCU) milik KRI Semarang-594. #PulauSebaru #AGP</t>
  </si>
  <si>
    <t>wni yang lg diluar masih bs pulang ke indo kn tp? RT @3TERNALCHILD: Please bgt ya untuk indonesia udah dapet surat teguran dari who untuk menjadikan indonesia darurat covid-19 dan harus ada transparansi dalam penanganannya. udahlah berhenti terima2 turis asing, indonesia emg harus dilockdown dulu #LockDownIndonesia</t>
  </si>
  <si>
    <t>Sebanyak 188 WNI ABK World Dream yang telah diobservasi di Pulau Sebaru dinyatakan negatif dari virus corona. Mereka juga sudah dibekali dengan sertifikat sehat dari Kemenkes. #BreakingNewsMetroTV #IndonesiaMelawanCorona</t>
  </si>
  <si>
    <t>indonesia lucu bgt si jd mau resign sebagai wni tapi cinta pak prabowo</t>
  </si>
  <si>
    <t>BNPB dan Kementerian Kesehatan mengimbau WNI yang mengikuti Tabligh Akbar di Masjid Sri Petaling, Malaysia pada 28 Februari-1 Maret 2020 untuk melakukan tes virus corona atau Covid-19.</t>
  </si>
  <si>
    <t>RT @nobodyisinCTRL: Demi kebaikan agar tidak tertular COVID-19 muncul larangan tidak berkumpul dahulu agar masjid juga membersihkan tempat ibadah dan mengecek WNI yang kemarin ke Malaysia makanya Shalat Jumat ditiadakan dulu. Tapi langsung dicecar, wong jadi manusia istiqamah dulu.</t>
  </si>
  <si>
    <t>@bejocyber @GifhariHamid8 @fxmario @kbsalsaud @Imamofpeace @radenrauf 'Syiah Houthi'? dari penyebutannya sja sdah jelas anda dapat referensi darimana. Coba teliti lagi mas, Bashar Al-Ashad itu asli bermazhab Sunni. Bashar justru melindungi negaranya dari para mujahilin dan ISIS.</t>
  </si>
  <si>
    <t>Anggota ISIS lancarkan serangan atas balai polis Singapura di Kallang. RT @NurMelanie1:</t>
  </si>
  <si>
    <t>@NurMelanie1 LEPAS TU TUDUH ORANG ISLAM...ISIS BUKAN ISLAM</t>
  </si>
  <si>
    <t>Good, semoga tidak dipelintir jadi mencurigai orang yg menjalankan ibadah. Sambil nunggu kesukarelaan tes/lapor, baiknya @BNPB_Indonesia juga berkordinasi dg imigrasi cek semua WNI yg ke &amp; dari Malaysia di tanggal² tablik akbar tsb &amp;amp; jika perlu didatangi.</t>
  </si>
  <si>
    <t>RT @LieYurika: Terduga Infeksi Virus Corona 696 WNI Peserta Tabligh Akbar di Malaysia di Himbau Tes Virus Corona. info lengkap :</t>
  </si>
  <si>
    <t>RT @LieYurika: Terduga Infeksi Virus Corona 696 WNI Peserta Tabligh Akbar di Malaysia di Himbau Tes Virus Corona. info lengkap :  #LawanCoronaBersama</t>
  </si>
  <si>
    <t>RT @LieYurika: Cintailah Alam Yang Indah Ini: Terduga Infeksi Virus Corona 696 WNI Peserta Tabli...  via @pinterest</t>
  </si>
  <si>
    <t>Sekarang kembali ke awal. Pasien 01 dan Pasien 02 (dua WNI pertama yang terinfeksi corona) disebut ditemukan sebagai hasil tracking pemerintah. Apakah benar begitu? Tidak! Pemerintah bisa menemukan dua orang itu terinfeksi virus, karena dua orang itulah yang minta diperiksa!</t>
  </si>
  <si>
    <t>Ikut senang mereka akhirnya bebas Corona, tapi ini berlebihan, sambutan yang terlalu dilebih-lebihkan, Duta Imunitas Corona terasa terlalu mengada-ada, lah WNI yang pulang dari Wuhan bebas Corona apa kabar?? Rezim ini penuh dengan drama</t>
  </si>
  <si>
    <t>RT @Metro_TV: #BreakingNewsMetroTV Sebanyak 188 ABK World Dream telah tiba di Komando Lintas Laut Militer (Kolinlamil), Tanjung Priok, Jakarta Utara. Semua WNI ABK World Dream dipastikan negatif covid-19. #IndonesiaMelawanCorona</t>
  </si>
  <si>
    <t>RT @KBRI__Roma: Ciao ! Saksikan Wawancara Ibu Dubes Esti Andayani di @Metro_TV mengenai Situasi WNI di Italia saat ini #negaramelindungi</t>
  </si>
  <si>
    <t>Sisa 68 WNI di Pulau Sebaru dipulangkan besok pagi</t>
  </si>
  <si>
    <t>Dan setelah gue tontonin sampe habis acara-acara yg berlangsung itu. Mereka masih cipika-cipiki. Gue kaget bukan main. Salaman aja ga bole, ini cipika-cipiki. Corona ga ada harga diri nya di mata warga negara indonesia 😂 So sad bgt sih terhadap kesadaran wni ini.</t>
  </si>
  <si>
    <t>WNI yang kapan hari dipulangkan dari Wuhan, nyesel ga sih?</t>
  </si>
  <si>
    <t>@wahhabicc_jabar Perlu Saya Pertegas,Saya Bukan Pendukung Iran Apalagi ISIS.</t>
  </si>
  <si>
    <t>Padahal awalnya takut banget yg pas awal WNI dari Wuhan diobservasi ke Batam dulu sebelum diantar ke Natuna😢</t>
  </si>
  <si>
    <t>@jokowi WNI DATANG DARI CHINA DIKARANTINA, LAH YANG CINA? ajg bngt turis cina.</t>
  </si>
  <si>
    <t>@IvanRT05 Harus diakui pula, memang Belanda yang paling memberikan kemudahan bagi WNI untuk mendapatkan visa Schengen ketimbang lainnya. Saya pun selalu memilih masuk dan keluar melalui Belanda jika ke Negara-negara Schengen, Pak Ivan... 😇</t>
  </si>
  <si>
    <t>Cape jadi WNI</t>
  </si>
  <si>
    <t>Demi kebaikan agar tidak tertular COVID-19 muncul larangan tidak berkumpul dahulu agar masjid juga membersihkan tempat ibadah dan mengecek WNI yang kemarin ke Malaysia makanya Shalat Jumat ditiadakan dulu. Tapi langsung dicecar, wong jadi manusia istiqamah dulu.</t>
  </si>
  <si>
    <t>RT @RadioElshinta: Sejumlah ABK dari 188 WNI ABK World Dream direncanakan kembali ke daerah masing-masing usai menjalani masa observasi di Pulau Sebaru melalui Bandara Internasional Soekarno Hatta Tangerang Banten. (Mum) @BNPB_Indonesia</t>
  </si>
  <si>
    <t>Sejumlah ABK dari 188 WNI ABK World Dream direncanakan kembali ke daerah masing-masing usai menjalani masa observasi di Pulau Sebaru melalui Bandara Internasional Soekarno Hatta Tangerang Banten. (Mum) @BNPB_Indonesia</t>
  </si>
  <si>
    <t>Di Bali 7 WNA , 4 WNI perbandingannya aja lebih besar WNA. Kenapa masih di buka akses untuk WNA masuk 😌 RT @desta80s: Tutup akses masuk dr luar negeri dan sebalik nya yg ke luar negeri juga, ya ga sih? Jd bisa fokus nanganin penyebaran di dalem negeri dulu sampe kelar..</t>
  </si>
  <si>
    <t>@ThoriqLatif @VIVAcoid Orang-orang goblok kek loe pasti orang-orang yg percaya kalo ISIS buatan Amerika dan Israel. 😆😆😆</t>
  </si>
  <si>
    <t>188 WNI ABK Word Dream dipulangkan ke daerah asal</t>
  </si>
  <si>
    <t>@CNNIndonesia Apa ratusan juta WNI sanggup byr 700.000 rupiah utk tes? 🙄 Sukarela n gratis, saya akan tes skrng jg.</t>
  </si>
  <si>
    <t>@bakarricaicha1 @m4y4_ms @rachflowy @kurawa @jokowi Pemimpin serba salah y ..klo panik gimana nanti rakyatnya..senyum2 di sangak gak serius..kita liat keseriusan pemerintah waktu isolasi wni dari wuhan di natuna ..itu bisa buat komparasi action pemrintah menangani wabah ini. Jangan di liat secara kasatmata..</t>
  </si>
  <si>
    <t>@Mahasiswa__13 @ISIS_Balik_NO Iya BuzzeRp-nya muncul. 👍</t>
  </si>
  <si>
    <t>@WSetyorini2 @Mahasiswa__13 BajerRP SEJATI #99</t>
  </si>
  <si>
    <t>@collegemenfess Ya ga bisa pulang atau terpaksa dipulangin. Tapi pasti WNI di luar minta pulang sih ga mungkin mau netap disana</t>
  </si>
  <si>
    <t>RT @Metro_TV: 188 WNI ABK World Dream yang telah diobservasi di Pulau Sebaru dinyatakan negatif dari virus corona. Setelah melakukan upacara serah terima, mereka akan kembali ke daerahnya masing-masing. #BreakingNewsMetroTV #IndonesiaMelawanCorona</t>
  </si>
  <si>
    <t>@ruddy_fatin @msaid_didu Mending anda wudhu....biar bercahaya...kagak dekil begini</t>
  </si>
  <si>
    <t>@ISIS_Balik_NO @Bangzul__88 @aniesbaswedan @DKIJakarta @jokowi Maaf pak, otak bapak gk kepake ya</t>
  </si>
  <si>
    <t>@lutfiapia WNI tidak akan ditolak masuk kak, namun tetap akan dilakukan screening kesehatan oleh petugas Kemenkes di Bandara.</t>
  </si>
  <si>
    <t>@msaid_didu Ini sejatinya....AKAL SEHAT manusia hina...tak BERADAB</t>
  </si>
  <si>
    <t>@WSetyorini2 @ISIS_Balik_NO Dapat 1, Bu 😂😂😂</t>
  </si>
  <si>
    <t>@riizkyprdna Supaya isis mungkin😎</t>
  </si>
  <si>
    <t>@msaid_didu Bukan karena tidak sukses.....tapi mengharap bagian dari fee dp....lumayan berqppa M tuh dapet</t>
  </si>
  <si>
    <t>@ISIS_Balik_NO @Mahasiswa__13 Mancing maniaaaa.... mantab 😂😂😂😂</t>
  </si>
  <si>
    <t>@WSetyorini2 @Mahasiswa__13 Bukannya #99 buzzer.....pinter banget sejeweh memutar balik fakta</t>
  </si>
  <si>
    <t>@riizkyprdna Biar isis</t>
  </si>
  <si>
    <t>Menteri Kesehatan: WNI yang diobservasi di Sebaru hadirkan optimisme</t>
  </si>
  <si>
    <t>@ohmybeautybank kulot isis bgt</t>
  </si>
  <si>
    <t>188 WNI ABK World Dream yang telah diobservasi di Pulau Sebaru dinyatakan negatif dari virus corona. Setelah melakukan upacara serah terima, mereka akan kembali ke daerahnya masing-masing. #BreakingNewsMetroTV #IndonesiaMelawanCorona</t>
  </si>
  <si>
    <t>188 WNI ABK World Dream Dipulangkan, Dibekali Sertifikat Sehat  Berita Betulan</t>
  </si>
  <si>
    <t>Di saat kita sibuk dengan corona (fan memang seharusnya demikian).. tetiba omnibus law diketok, ISIS eks WNI jadi PNS dan Harun Masiku jadi duta pemberantasan korupsi... mantab👍</t>
  </si>
  <si>
    <t>Negara memang butuh pemasukan, tp saya pikir keselamatan WNI itu yg paling utama. Kareja tugas negara adalah menjaga segenap WNI. Bukan *memperdagangkan* negara. Ini bukan hanya tentang ekonomi/uang. #StopPolitisasiCorona</t>
  </si>
  <si>
    <t>Tapi kalau dipikir-pikir sama aja jika WNI yg terpapar semakin bertambah dan bnyak maka BPJS juga akan merugi. Hmmm:((</t>
  </si>
  <si>
    <t>@bundarini88 @Indomilf__ Wni 200 rb</t>
  </si>
  <si>
    <t>Ratusan WNI ABK World Dream Tiba di Tanjung Priok</t>
  </si>
  <si>
    <t>@jokowi Jangan cuma WNA yg di perketat tetapi WNI yg berada di kota tertinggi yg terkena paparan juga ikut di isolasi dan di pantau. Jangan sampe meninggalkan kota tsb sebelum wabah mereda. Akibatnya jika keluar dr kota tsb penyebaran wabah makin luas. Mikir pak presiden dan jajaran nya.</t>
  </si>
  <si>
    <t>@muhammadinddra1 @ISIS_Balik_NO @BudiatnoGomarus @eko_kuntadhi Ya begitulah....kafirun Dan munafiqun laknatulloh pun bersorak</t>
  </si>
  <si>
    <t>@mas__piyuuu hah? lo pikir ini mosul? lo pikir ne daerah ISIS? kok bisa gitu demokrasi ala kadrun ya? PEA JUGA LO DRUN😭</t>
  </si>
  <si>
    <t>@arsenalskitchen Dan 4 meninggal salah satunya wni 😥😥</t>
  </si>
  <si>
    <t>BAHAYA RADIKALISME ISIS &amp; SYI’AH TERHADAP AGAMA &amp;amp; NEGARA</t>
  </si>
  <si>
    <t>3. Ternyata kita baik² saja. Belum lagi ancaman perang nuklir yg dipicu oleh korea utara pada tahun 2013. Juga ancaman ISIS yang katanya akan membunuh orang di seluruh dunia. Tapi mengapa wabah corona begitu menghebohkan dunia dan berdampak luas?</t>
  </si>
  <si>
    <t>@ustadtengkuzul Corona jadi alasan tepat bagi migran china jadi wni sesuai visi misi jokowi</t>
  </si>
  <si>
    <t>RT @republikaonline: Manila diisolasi untuk mencegah penyebaran corona.</t>
  </si>
  <si>
    <t>RT @03__nakula: TEGAS!! Bangga jadi Nahdliyyin. Selalu terdepan melawan Islam Radikal seperti ISIS. Yang setuju dengan PBNU bantu Ritwitt ya,,biar dibaca @jokowi @Kemenag_RI @kemendagri @mohmahfudmd Yuk gaskeuun!! #ISISGoToHell</t>
  </si>
  <si>
    <t>Malu Jadi WNI Malu Jadi WNI Malu Jadi WNI Malu Jadi WNI Malu Jadi WNI Malu Jadi WNI Malu Jadi WNI Malu Jadi WNI Malu Jadi WNI Malu Jadi WNI Malu Jadi WNI</t>
  </si>
  <si>
    <t>@cendanao @KenHamur @TNyata @CNNIndonesia Jadi yg sibuk jemput WNI dari Wuhan dan dari kapal pesiar lalu mengkarantina di Natuna dan pulau sebaru kecil itu yg nyuruh anies? 🤣🤣🤣 🤣🤣🤣 🤣🤣🤣 Coba sebutkan AKSI NYATA Anies utk lindungi warga JKT. Kalo ngomong mah dia memang sdh dr dulu mampunya cuma di congor doank</t>
  </si>
  <si>
    <t>#BreakingNewsMetroTV Achmad Yurianto selaku Jubir Penanganan Covid-19 mengatakan bahwa 9 WNI yang berada di Jepang dan sempat terjangkit virus corona, saat ini semuanya telah sembuh. #IndonesiaMelawanCorona</t>
  </si>
  <si>
    <t>VIRAL... Surat Inem (WNI) yang terKARANTINA di Italy | PORTAL ISLAM  Buat yg bilang covid-19 cm flu dan penanganan Pemda DKI dianggap over serta cari panggung, cb baca tulisan inem ini yg care sm kita ktimbang cucian kotor didapurnya.</t>
  </si>
  <si>
    <t>RT @Mentimoen: Masih ingat pejabat Kemenkes yg mensyinyalir bahwa biaya test coronavirus sekali Rp 1 milyar? Sehingga WNI yg dievakuasi dari Wuhan tidak perlu ditest karena tidak memperlihatkan gejala. Itu kegagalan governance yg cukup besar sih... sangat mengecewakan.</t>
  </si>
  <si>
    <t>@riizkyprdna Biar isis ngonoo</t>
  </si>
  <si>
    <t>@bobaaamatcha @kompascom Mana data perokok Indonesia kena Korona?? tunjukin gausah modal bacot... jgn fitnah perokok biang korona neng! yg nggak rokok juga banyak kena korona... jgn ambil sampel orang WNI atau Cina yg rokok di negara Cina...</t>
  </si>
  <si>
    <t>Stop Terorisasi Umat Islam Melalui Isu ISIS, Terorisme, dan Radikalisme Oleh : Liza Burhan @Lizahra_PGA Analis Mutiara Umat #SabtuBerkah #Kf1E7  #SabtuBerkah #Kf1E7</t>
  </si>
  <si>
    <t>188 WNI ABK World Dream dilepas menuju Komando Lintas Laut Militer (Kolinlamil), Tanjung Priok, Jakarta Utara. #PulauSebaru #AGP</t>
  </si>
  <si>
    <t>RT @RadioElshinta: @BNPB_Indonesia Peserta observasi mendapatkan surat sehat dari Kementerian Kesehatan yang diserahkan secara simbolis oleh Menteri Kesehatan Terawan. 188 WNI dinobatkan menjadi Duta Imunitas Corona.  foto @BNPB_Indonesia</t>
  </si>
  <si>
    <t>RT @Spider__id: Soal Virus Corona ! Dari Awal Virus ini muncul pemerintah RI sudah mengambil langkah2 siaga. Termasuk penjemputan WNI dri Wu Han dan melakukan isolasi. Hanya kepala daerah yang goblok yg mempolitisir/dramatisir membuat panik warganya. #BauAmiesPolitisirCorona</t>
  </si>
  <si>
    <t>@Nugrrhhh @IsoWira @mas__piyuuu @aniesbaswedan Gagal kok, buktinya? Diajak meeting di Kementrian, kabur dan cuma kirim staf. Diajak Najwa bahas banjir, kirim Sekda. Pemerintah sdh selamatkan WNI dr Wuhan dan kapal pesiar Jepang. Skr siapkan rumah2 sakit untuk tangani, masih diblg gak ada aksi?</t>
  </si>
  <si>
    <t>Para pengungsi dan pencari suaka dari Suriah menghadapi tantangan dimana-mana. Sebagian besar orang sipil #Dampakradikalism dan terror ISIS dan Assad terhadap korban banyak tetap dialami ribuan orang. @siiudil @BadeuSalam @bangbrewokzzzz @LaskarTanahair</t>
  </si>
  <si>
    <t>Manila diisolasi, KBRI sebut stok logistik untuk WNI aman</t>
  </si>
  <si>
    <t>Alhamdulillah mereka bisa tertawa bahagia. Seneng liatnya, klo ada di sana pasti pengen nangis. Inget waktu liputan pemulangan WNI yg di Natuna, pengen nangis, terharu, dan lega rasanya ngeliat mereka sehat. makasii Pak Jokowi, pak Terawan dan smua KL yang terlibat. RT @Metro_TV: #BreakingNewsMetroTV "Kalian semua tetap sehat, diobservasi di Indonesia juga tetap sehat. Artinya apa? kalianlah duta-duta imunitas #VirusCorona yang sejati." Menkes, Terawan Agus Putrantro. #IndonesiaMelawanCorona</t>
  </si>
  <si>
    <t>188 WNI turun dari KRI Semarang di Kolinlamil, Tanjung Priok.  Foto @BNPB_Indonesia</t>
  </si>
  <si>
    <t>188 WNI diterima oleh Deputi Pencegahan BNPB, Menteri Kesehatan, Kementerian PMK, Pangkogab Wilhan 1, Kementerian Dalam Negeri dan sebagainya di Kolinlamil.  foto @BNPB_Indonesia</t>
  </si>
  <si>
    <t>188 WNI ABK World Dream tiba di Kolinlamil Tanjung Priok setelah melewati masa observasi di Pulau Sebaru Kecil &amp; dinyatakan sehat. Tiba di Kolinlamil pk.11.41 WIB (14/3/2020) dgn KRI semarang 594. #Covid_19  foto @BNPB_Indonesia</t>
  </si>
  <si>
    <t>@DeHoutman7 Bner² kterlaluan.. Knp agama lain(nasrani) di musuhi?.. Apa salah dgn agama mrk?... Jika sperti itu sdh jls NKRI akn perang antar agama, agama islam SESAT yg hrs di perangi, bukan islam yg sesuai ajaran di dlm Al Qur'an. Agama islam SESAT mrk itu adlah brpatok pda KHILAFAH-ISIS</t>
  </si>
  <si>
    <t>@BNPB_Indonesia Peserta observasi mendapatkan surat sehat dari Kementerian Kesehatan yang diserahkan secara simbolis oleh Menteri Kesehatan Terawan. 188 WNI dinobatkan menjadi Duta Imunitas Corona.  foto @BNPB_Indonesia</t>
  </si>
  <si>
    <t>tell us abt urself 1. tya 2. single 3. dear dream 4. 1,890 5. wa 6. k 7. work 8. wni 9. 6 10. soon to be 2 11. lizard?? 12. 2016-2017 13. echan 14. SUMPAH UDH PERNAH KENALAN BLM SIH AKU LUPA:( give me 💚 for the qs</t>
  </si>
  <si>
    <t>@Kemlu_RI Gmn nasib ABK yg ditahan gak di Dubai gak boleh keluar port @jokowi @KemenkesRI banyak wni dsni pak mohon @ganjarpranowo</t>
  </si>
  <si>
    <t>WNI yg terkena covid19 pasti wudhunya belum baik mohon yg blm kena perbaiki wudhunya agar terhindar dari virus ini cc @LusiHQ</t>
  </si>
  <si>
    <t>Kapal KRI Semarang-594 yang membawa sebanyak 188 Warga Negara Indonesia (WNI) anak buah kapal (ABK) World Dream telah tiba di pelabuhan Kolinlamil di Tanjung Priok, Jakarta, Sabtu.</t>
  </si>
  <si>
    <t>Mantannya abang gledek saat masih hijrah #Wuhan #ISIS #BestMusicVideo #8th_Chapter_With_NUEST #atta</t>
  </si>
  <si>
    <t>RT @dias6969: @BroGanteng7 @ayah_9Garislucu Ah itu biasa report ttg share kekerasan ISIS n masalah khilafuck bukan yg video vulgarnya 😁</t>
  </si>
  <si>
    <t>IMUNITAS KUAT VIRUS LEWAT FAKTA!!! Sudah ada WNI terinfeksi corona WASPADA &amp; CEGAH CORONA Tingkatkan imunitas dengan minum Stimuno #COVID19Indonesia</t>
  </si>
  <si>
    <t>@geloraco Ya karena Corona terafiliasi dengan isis...mungkin</t>
  </si>
  <si>
    <t>RT @andibachtiar: Bacain temlen, banyak orang tampaknya baru sadar bahwa Jokowi ya memang cuma manusia biasa yg masuk politik dan berkebangsaan Indonesia.....biasa itu. Kalo udah lama jadi WNI akan tau2an aja kok</t>
  </si>
  <si>
    <t>@syiahgl @Hanungbramantyo @Sastroklengsre1 Hahaha kenapa tema nya ngga di ganti dengan propaganda ISIS lebih berbahaya dari virus Corona.? Kok malah membandingkan kepercayaan dalam menjalankan agama dengan virus. Apakah nanti saya akan di cap penganutmu min? 🤣🤣🤣</t>
  </si>
  <si>
    <t>@kemenhub151 ini bertentangan dengan kebijakan @KemenkesRI untuk WNI pulang dari negara terjangkit haruss isolasi mandiri meski tanpa gejala klinis. 🤦‍♂️ RT @kompascom: Kapal pesiar MV Columbus telah menurunkan 1.044 wisatawan mancanegara saat berlabuh ke dermaga pelabuhan Tanjung Emas Semarang pada Jumat (13/3/2020). &gt; #Regional</t>
  </si>
  <si>
    <t>@BroGanteng7 @ayah_9Garislucu Ah itu biasa report ttg share kekerasan ISIS n masalah khilafuck bukan yg video vulgarnya 😁</t>
  </si>
  <si>
    <t>Ibu @Menlu_RI @Kemlu_RI Senang sekali akhirnya KBRI Kuwait mendengarkan aspirasi kita semua untuk meminta pemberlakuan eVisa bagi WNI berpaspor biasa ke Kuwait. Semoga dapat terus dipantau dan dikejar. Semoga WNI berpaspor biasa dapat segera memanfaatkan kemudahan eVisa Kuwait.</t>
  </si>
  <si>
    <t>Visi pemerintah dalam memberantas Radikalisme dengan menolak kembalinya Isis eks WNI</t>
  </si>
  <si>
    <t>Klo udah ada kasus kayak gn gw kok jd ga percaya ya klo wni yg sembuh dr corona itu beneran sembuh wkwk</t>
  </si>
  <si>
    <t>@Syarman59 @AriSapu84003573 Kemarin yang 238 WNI dari Wuhan ngk di ..... """,,,,""" Katanya biayanya mahal..m piye??</t>
  </si>
  <si>
    <t>Kkķkkkķkkk eu ri MT #BBB20 RT @fanntwitta: Prior: "Eu pensei em indicar o Daniel, mas ele se queima sozinho." Flay: "Ele não sai." Prior: "Então quem sai dessa merda? Você? Então pega e vai embora, tchau!" #BBB20 KKKKKKKKKKKKKKKKKKKKKKKK</t>
  </si>
  <si>
    <t>@jokowi Pak Jokowi. Harus exstra hati2. Virus itu ketika baru ada bibit masuk ke tubuh manusia, tidak akan terditeksi. Baru setelah 2 hari nampak gejala. JADI WARGA ASING atau WNI MASUK KE INDONESIA harus super exsta hati2 pak. Karena setelah 2 hari ada di Indonesia baru kelihatan.</t>
  </si>
  <si>
    <t>WNI Eks-ABK World Dream ada yang dipulangkan naik pesawat</t>
  </si>
  <si>
    <t>#BreakingNewsMetroTV Sebanyak 188 ABK World Dream telah tiba di Komando Lintas Laut Militer (Kolinlamil), Tanjung Priok, Jakarta Utara. Semua WNI ABK World Dream dipastikan negatif covid-19. #IndonesiaMelawanCorona</t>
  </si>
  <si>
    <t>Gimna dgn wni yg kerja d kapal pak msh gak boleh ngeport d d timur Tengah @jokowi @KemenkesRI tolong ditindaklanjuti pak RT @jokowi: Pengawasan ketat di Bandara Seokarno-Hatta dilakukan dengan memberlakukan dua pintu masuk berbeda bagi negara-negara yang diwaspadai. Penumpang dari Tiongkok, Italia, Korea Selatan, dan Iran, akan diperiksa sampai tiga kali. Di luar negara itu, diperiksa dua kali.</t>
  </si>
  <si>
    <t>@heyrezki @RyoFahri @Abangshelleee @GlHindu Tidak baik seperti itu, orang ini tersesat karena terlalu fanatik dan selalu mengurusi kehidupan orang/kelompok. Bimbing dia jadi WNI yang baik</t>
  </si>
  <si>
    <t>Edaran lanjutan KBRI / PTRI Wina kepada WNI pasca pengumuman resmi Pemerintah Austria dan Slovenia terkait penanganan virus corona, COVID - 19. #negaramelindungi @Kemlu_RI @safetravelkemlu</t>
  </si>
  <si>
    <t>Usai Jalani Observasi di Sebaru, WNI ABK World Dream Diberi Sertifikat Keterangan Sehat</t>
  </si>
  <si>
    <t>Buktikan dulu Bu jangan omdo kita kurang percaya apalagi dengan adanya UU Omnibus Law yg gencar di demo buruh Ini karyawannya yg mana Aseng atau WNI ...?? Percaya gak ya ..?? 🤔🤔</t>
  </si>
  <si>
    <t>Tell ISIS Bangkok</t>
  </si>
  <si>
    <t>@taorpanjaitan17 @ToufikImtikhan2 @SammiSoh Mereka hanya bangsat berkedok agama, tak ada agama ajarkan tali permusuhan. HTI adalah ISIS.</t>
  </si>
  <si>
    <t>68 WNI ABK Diamond Princess Dipulangkan Besok</t>
  </si>
  <si>
    <t>Seorang warga negara Indonesia (WNI) di Malaysia dinyatakan positif virus korona. Hal itu disampaikan Direktur Jenderal Kesehatan Kementrian Kesehatan Malaysia (KKM) Noor Hisham Abdullah, Kamis (13/3/2020).</t>
  </si>
  <si>
    <t>Pola dan gerekan mereka cuma di Indonesia, agak lunak sedikit, bergerombol, berdemo, musuhi yg minoritas, ini adalah awalnya, lalu musuhi yg tidak sefaham, walau sesama agama, HTI, adalah antek isis nyata, jika di biarkan, tunggu tumbangnya NKRI. Salam waras.👇👇 RT @SammiSoh: Dengar Jeritan Kami Kami mengundang Saudara kami yg beda agama bisa ikut merasakan sedikit apa yg kami rasakan ketika gereja di Ambon dibongkar Pemda.</t>
  </si>
  <si>
    <t>#BreakingNewsMetroTV Sejauh ini ada 18 pasien Covid-19 dalam status pengawasan di Bali, dan masih menunggu hasil laboratorium. 14 pasien di RSUP Sanglah, 7 WNA dan 7 WNI, 2 di antaranya merupakan perawat RSUP Sanglah. #IndonesiaMelawanCorona</t>
  </si>
  <si>
    <t>Kebijaksanaan Anies perlu di dukung, jangan lagi menyebar kebencian. Kecuali bukan WNI RT @GunRomli: Jumat: nutup tempat wisata Sabtu: nutup sekolah Minggu: nutup pasar? Senin: nutup mal? Selasa: nutup kantor? Rabu: nutup toko, resto? Kamis: nutup tempat2 hiburan? Jumat: nutup tempat2 keagamaan? Sabtu... Saya prediksi tiap hari akn ada pengumuman penutupan unt HL dia</t>
  </si>
  <si>
    <t>@Anggi57459060 Status Kewarganegaraan WNI berdomisili di Indonesia Pengajuan akan diproses selama 14 – 21 hari kerja. Besarnya plafon pinjaman yaitu minimal Rp 5.000.000 – Rp 100.000.000 dengan pilihan tenor 1 tahun (bunga 1.00% flat per bulan ), 2 tahun (6/9) ^Zihan</t>
  </si>
  <si>
    <t>@Anggi57459060 Peringatan I, II, II/Skorsing - Dokumen yang dibutuhkan seperti: KTP, Slip gaji /Surat Keterangan Perusahaan, Paspor BCA dan NPWP (khusus pengajuan mulai dari Rp 50 juta) - Status Kewarganegaraan WNI berdomisili di Indonesia * Untuk Wiraswasta atau (3/9) ^Zihan</t>
  </si>
  <si>
    <t>RT @IndonesiaAnkara: Repost @safetravelkemlu IMBAUAN BAGI WNI YANG BERADA DI LUAR NEGERI ATAU BERENCANA MELAKUKAN PERJALANAN KE LUAR NEGERI SEHUBUNGAN DENGAN PENYEBARAN WABAH COVID-19 #IniDiplomasi #IndonesianWay #travel #backpacker #safetravelkemlu #negaramelindungi</t>
  </si>
  <si>
    <t>@Mentimoen Tapi moen , banyak WNI yg msh meragukan statement bahwa China sdh bersih dari corona, krn warga China masih pakai masker, dijelaskan berujung bentrok di medsos, gak dijelaskan mereka sok tahu &amp; terus menyebarkan ucapan negatif ttg keseriusan RRC dlm penanganan corona</t>
  </si>
  <si>
    <t>Cegah Corona, BNPB Imbau WNI yang Ikut Tablig Akbar di Malaysia Cek Kesehatan</t>
  </si>
  <si>
    <t>@KailPancing Panik ga salah tuh liat WNI yg disana panik tidak dgn di lockdownnya itali disini mana paling kalo banyak korban baru doa saja</t>
  </si>
  <si>
    <t>Pangkogabwilhan I Tinjau Evakuasi 188 WNI Pulau Sebaru ke KRI Semarang 594 -</t>
  </si>
  <si>
    <t>Yuk Baca #detiknewsid</t>
  </si>
  <si>
    <t>RT @dondihananto: Kebayang WNI yg dievakuasi dari Wuhan malah stuck di sini, mending stay di sana aja kmrn kali ya 😹</t>
  </si>
  <si>
    <t>RT @Takviri: WNI yg ikut tabligh akbar konon ada 600an, klo pemerintah @jokowi mau serius, cegat mereka semua di titik masuk bandara &amp; pelabuhan, langsung kirim ke pulau Natuna atau Sebaru utk dikarantina 3 minggu. Ini kalau pemerintah mau serius ya, tapi saya pesimis! @KSPgoid @KemenkesRI</t>
  </si>
  <si>
    <t>Satu WNI di Malaysia Positif COVID-19</t>
  </si>
  <si>
    <t>696 WNI Peserta Tabligh Akbar di Malaysia Diminta Tes Corona</t>
  </si>
  <si>
    <t>Wkwk hopeless cuy jd wni. Pusat terlalu sibuk jualin negara. Mana peduli sm warganya sendiri😂</t>
  </si>
  <si>
    <t>Update Covid-19 di Thailand per 14 Maret 2020. Penambahan 7 kasus baru, sehingga total 82 kasus, dengan 35 orang telah sembuh, 46 masih dirawat, dan 1 meninggal dunia. WNI di Thailand untuk mengikuti rekomendasi Kemkes RI, Kemkes Thailand dan WHO. #negaramelindungi #inidiplomasi RT @pr_moph: Thailand situation update on COVID-19, 14 March, 2020. - Confirmed (total) 82 cases. - Admitted 46 cases. - Recovered/Discharged 35 cases. - Death 1 case. #COVID19 #Covid_19</t>
  </si>
  <si>
    <t>Anak isis lbh berharga RT @RD_4WR1212: Mbah Wapres udah duduk manis aja di kursi goyang tdk usah keluarin Statement yg lain, berdoa aja semoga Bangsa kita di lindungi dan di jauh kan dari segala cobaan Oleh Allah SWT Amin....</t>
  </si>
  <si>
    <t>INFO: Epidemical State of Emergency in Poland. Hotline KBRI 24/7 (Untuk WNI): +48 881719568 +48 728239137 #indonesianway #inidiplomasi</t>
  </si>
  <si>
    <t>@xopch @rullyjoo27 @logic_editor Yg dia tau itu khalifahnya isis. Ga kurang ga lebih.</t>
  </si>
  <si>
    <t>Repost @safetravelkemlu IMBAUAN BAGI WNI YANG BERADA DI LUAR NEGERI ATAU BERENCANA MELAKUKAN PERJALANAN KE LUAR NEGERI SEHUBUNGAN DENGAN PENYEBARAN WABAH COVID-19 #IniDiplomasi #IndonesianWay #travel #backpacker #safetravelkemlu #negaramelindungi</t>
  </si>
  <si>
    <t>Singapura Bakal Beri Informasi WNI Terinfeksi COVID-19</t>
  </si>
  <si>
    <t>@noyadjeki Terduga Infeksi Virus Corona 696 WNI Peserta Tabligh Akbar di Malaysia di Himbau Tes Virus Corona. info lengkap :</t>
  </si>
  <si>
    <t>@jokowi Liat trending twitter pak, dan segera lakukan #LockDownIndonesia akses dari luar negeri dan ke luar negeri baik utk WNA dan WNI. Dan segera tuntaskan bersama yg berwenang sebelum membengkak korbannya</t>
  </si>
  <si>
    <t>@yangdianto @Andi_0014 @BebasVisaID @firstofrado @vonnycornellya_ Dari yang saya perhatikan bertahun2 belakangan ini, paling tidak, memang tidak sedikit WNI yang punya impian tinggal menetap di Eropa tapi gak sedikit pula WNI yang sudah lama tinggal di Eropa eh malah mau kembali ke Indonesia. Bahkan sampai cari akal dapet paspor Indonesia lagi</t>
  </si>
  <si>
    <t>@yangdianto @Andi_0014 @BebasVisaID @firstofrado @vonnycornellya_ Mungkin jumlah overstayer atau imigran gelap asal Indonesia di Eropa masih jadi ‘ancaman’ dan seringkali dianggap sebagai blanket statement kalau seluruh WNI senegara punya tendensi akan jadi overstayer di Eropa.</t>
  </si>
  <si>
    <t>[askrl] di sini ada yg dom makassar &amp; pernah bepergian ke luar negeri yg memerlukan pembuatan visa? help dong, aku disuruh interview wna/wni utk tugas 🙏🏻</t>
  </si>
  <si>
    <t>@huhulicious @jokowi Kayaknya bukan cuman masalah devisa sih, masalahnya orang indo yg melancong kesana meski udah keluar peringatan masih banyak, kalo ditutup wni yg disana ga bsa balek dong 😂</t>
  </si>
  <si>
    <t>WNI yg pulang dari Wuhan apa dong pak? 🤣🤣 RT @Metro_TV: #BreakingNewsMetroTV "Kalian semua tetap sehat, diobservasi di Indonesia juga tetap sehat. Artinya apa? kalianlah duta-duta imunitas #VirusCorona yang sejati." Menkes, Terawan Agus Putrantro. #IndonesiaMelawanCorona</t>
  </si>
  <si>
    <t>@hodakatebi @im_PULSE @Ilhan hoda is a traitor...we will fight against isis...alqaedeh....alnosrah....</t>
  </si>
  <si>
    <t>RT @Metro_TV: #BreakingNewsMetroTV Pemulangan 188 WNI ABK World Dream usai diobservasi dari Pulau Sebaru, LIVE @Metro_TV dan</t>
  </si>
  <si>
    <t>RT @nrhanishh: Kosa Kata Melayu (Kata Nama) 1. Akla - strategi 2. Aria ningsung - adinda 3. Ayapan - santapan raja kepada rakyat 4. Bahana - bunyi kuat seperti petir dan meriam 5. Bejana - balang 6. Biaperi - saudagar 7. Garizah - naluri 8. Guri - buyung</t>
  </si>
  <si>
    <t>Sempat ke Bali, 2 WNI Dirawat di Ruang Khusus Pasien Corona RSUP Kariadi  #DariSuara</t>
  </si>
  <si>
    <t>RT @keseldehh: corona hilang sebelum ramadhan corona hilang sebelum ramadhan corona hilang sebelum ramadhan corona hilang sebelum ramadhan corona hilang sebelum ramadhan corona hilang sebelum ramadhan corona hilang sebelum ramadhan corona hilang sebelum ramadhan</t>
  </si>
  <si>
    <t>RT @IkmalShahFazli: Hi semua. Since covid19 business affected teruk. Catering ada yang cancel, kelas aiskrim pun ada yang minta refund. Jadi utk teruskan business saya nak buat promo delivery aiskrim ke rumah anda. Kami buat 10% off untuk delivery. . RT utk rezeki kami Thread -</t>
  </si>
  <si>
    <t>@martuadavid Terduga Infeksi Virus Corona 696 WNI Peserta Tabligh Akbar di Malaysia di Himbau Tes Virus Corona. info lengkap :</t>
  </si>
  <si>
    <t>@miracle_rei 3. Melakukan transaksi di SPBU Pertamina, Agen penjual Gas Pertamina dan Bengkel penjual Oli Pertamina selama periode Berbagi Berkah MyPertamina 2020. 4. Warga Negara Indonesia (WNI) dengan minimal usia 17 tahun dan memiliki KTP. 2/3</t>
  </si>
  <si>
    <t>CARA ISIS MENCUCI OTAK MANUSIA . . . LONDON - Seorang pekerja toko ayam yang dihukum karena merencanakan serangan teroris di London menyusun "daftar tugas" apa yang akan dia lakukan ketika dia tiba di surga seperti…</t>
  </si>
  <si>
    <t>RT @KBRI_Kuwait: Layanan sensus tgl 14 Maret 2020 ditunda, sesuai aturan setempat. Jika belum, WNI di Kuwait agar lapor diri via . Pantau terus broadcast info resmi. #inidiplomasi #indonesianway #diasporaindonesia #taataturan #pelayananprima #negaramelindungi @kemlu_ri</t>
  </si>
  <si>
    <t>Respon Keluhan Indonesia, MOH Siap Bagi Informasi WNI Positif Covid-19 di Singapura .</t>
  </si>
  <si>
    <t>Menkes Sebut 188 WNI Kapal World Dream Sebagai Duta Imunitas Korona</t>
  </si>
  <si>
    <t>Baru kenalan sama cowo luar negeri eh ternyata baik dan lumayan, terus langsung halu. Kalau nikah mending di sini atau negara dia ya? Ntar anak kita pasti lucu. Tetep wni atau pindah warganegaraan ya? #sobathalu</t>
  </si>
  <si>
    <t>@hxzellnvt Wn apa sih wni?</t>
  </si>
  <si>
    <t>RT @tribunnews: 188 WNI ABK Pamer Sertifikat Lulus Tes Kesehatan Bebas Corona  via @tribunnews</t>
  </si>
  <si>
    <t>The ape yang isis bodoh kat tepi, haih orang gini just mintak kene K grind kat dia punya kepala one time RT @MothershipSG: Police: Boon Keng fire isn’t act of terrorism, man unhappy with perceived social inequality</t>
  </si>
  <si>
    <t>@_NenoNitha_ Banyak banyak baca makanya</t>
  </si>
  <si>
    <t>188 WNI ABK Pamer Sertifikat Lulus Tes Kesehatan Bebas Corona  via @tribunnews</t>
  </si>
  <si>
    <t>RT @kompascom: "Kementerian Kesehatan Malaysia sudah merilis tiga jemaah positif terinfeksi virus Corona," ungkapnya.</t>
  </si>
  <si>
    <t>@himawan1978 @yogzz4 @Jatosint Kok terlalu jauh??? Bln lalu lo liat massa yg bergerak ke kantor bupati Natuna ga, krn penjemputan wni dri Wuhan, mrk protesnya damai? Coba lo proyeksi kejadian kmrn, diupgrade 10x, bakal chaos ga kira2?</t>
  </si>
  <si>
    <t>@jokowi Lah diNegara lain WNA dilarang masuk di karenakan untuk mengantisipasi agar tidak ada WNI yang terkena sebaran Virus dari luar. Di Indonesia malah masih terbuka lebar untuk kedatangan WNA. Saluut👏</t>
  </si>
  <si>
    <t>Melihat Kepulangan 188 WNI Kapal World Dream di Jakarta</t>
  </si>
  <si>
    <t>188 WNI ABK World Dream Dinobatkan jadi Duta Imunitas Korona</t>
  </si>
  <si>
    <t>Singapura Bantah Ogah Berbagi Data soal WNI Pasien Corona dengan RI</t>
  </si>
  <si>
    <t>@torelwisnu Bantuan dari ACT juga sebelumnya ditemukan di gudang ISIS di Suriah. Harus hati-hati menyumbangkan uang kita. Alih2 membantu orang yang membutuhkan, malah disalahgunakan untuk mendanai terorisme.</t>
  </si>
  <si>
    <t>Sementara itu, Yuri mengatakan bahwa pemerintah tidak akan menagih biaya perawatan WNA yang dirawat di Indonesia karena positif virus corona. #KAMUHARUSTAU #coronavirus #singapura</t>
  </si>
  <si>
    <t>Pencetus Prank Dagang-Prank Kuman-Prank Legalitas WTO pun sdh nyatakan Negara Darurat Nasional Corona, kok kita msh adem-ayem biarkan WNI saling berseliweran di Mal-Tempat Ibadah-Sekolah-Kampus-Transportasi Umum-Perkantoran-Pasar Tradisional dll tanpa SOP Pencegahan Corona Baku.</t>
  </si>
  <si>
    <t>Menkes Terawan Sebut 188 WNI ABK World Dream Sebagai Duta Imunitas Corona</t>
  </si>
  <si>
    <t>RT @kbrisingapura: IMBAUAN BAGI WNI YANG BERADA DI LUAR NEGERI ATAU BERENCANA MELAKUKAN PERJALANAN KE LUAR NEGERI SEHUBUNGAN DENGAN PENYEBARAN WABAH COVID-19 #travel #backpacker #safetravelkemlu #negaramelindungi #kbrisingapura Source: @safetravelkemlu</t>
  </si>
  <si>
    <t>RT @_aiek_esthreem_: #RupiahAnjlokJKWRontok #RupiahAnjlokJKWRontok Ada Corona di Tabligh Akbar, Ratusan WNI Diminta Periksakan Diri</t>
  </si>
  <si>
    <t>@ELexsiano Maaf nih. Daripada menuntut negara lebih baik saya menuntut ilmu disamping lebih berfaedah, ada manfaatnya buat hidup saya, syukur² saya bisa membagikan ilmu saya. Maaf saya tidak pengangguran yg kerjanya cuma nuntut negara dan pemerintah. Come on pemerintah perlu dukungan WNI!</t>
  </si>
  <si>
    <t>RT @GagakNeww2: Ternyata Iblis2 ISIS teroris takut sma Corona juga....😁😁😁😁😁 @Hanifah933 @AhlulQohwah @yudhapati88</t>
  </si>
  <si>
    <t>RT @JamiiForums: IRAQ: RAIS BARHAM SALIH ALAANI SHAMBULIO LA MAREKANI &gt; Amesema mashambulizi ya mara kwa mara yanayofanywa nchini humo yanaweza kuipelekea Serikali kufeli na kufufua upya utawala wa Dola la Kiislamu (ISIS) Soma -  #JFLeo</t>
  </si>
  <si>
    <t>Namun potensi itu harus menjadi perhatian serius siapapun juga. Bukankah AS adalah negara yang paling sering dituduh dibalik kerusuhan di Suriah dengan ISIS nya, Negeria dengan Boko Haramnya dan jatuhnya Khadafi di Libya dengan permainan agamanya?</t>
  </si>
  <si>
    <t>Ternyata Iblis2 ISIS teroris takut sma Corona juga....😁😁😁😁😁 @Hanifah933 @AhlulQohwah @yudhapati88 RT @almobark_: داعش يعلن وقف جميع العمليات الإرهابية لحين الانتهاء من مواجهة فيروس كورونا</t>
  </si>
  <si>
    <t>@JanuaryFay16 Terduga Infeksi Virus Corona 696 WNI Peserta Tabligh Akbar di Malaysia di Himbau Tes Virus Corona. info lengkap :</t>
  </si>
  <si>
    <t>LAH GIMANA SIH? Kudu nunggu ada WNI yg mati dulu apa ya? RT @selphieusagi: 😐</t>
  </si>
  <si>
    <t>Prosesi penyerahan sertifikat sehat diberikan kepada tiga perwakilan WNI ABK World Dream yang diserahkan langsung oleh Menteri Kesehatan Terawan. Dalam penyerahan sertifikat ini, terlihat senyum sumringah dan sorakan tepuk tangan dari para WNI ABK.</t>
  </si>
  <si>
    <t>Bantu WNI Yang Ikut Tablik Akbar Di Malaysia, Jokowi Pastikan, BIN, TNI, Dan Polri, Akan Bantu Proses Pelacakan Kontak Dan Klaster Baru Virus Corona – JPNEWS</t>
  </si>
  <si>
    <t>Maaf @Kiyai_MarufAmin pernyataan anda ini menentang pengumuman bahwa perawatan ditanggung negara, jangan ikut2an cari panggung yg di wabah corona ini.</t>
  </si>
  <si>
    <t>Sembilan WNI ABK Diamond Princess yang dirawat di Jepang sudah sembuh  #VirusCorona</t>
  </si>
  <si>
    <t>RT @ElvistDenali: @xxelysianirenic @mr_abcx @joyce_wibowo @xximbecile Dan kalau dilihat dari 69 pasien positif sebagian besarnya imported case dari LN yg artinya prosedur pendeteksian di setiap jalur masuk internasional Indo yg “katanya” udh tanggap masih bisa diterobos sm WNI yg ternyata positif. Pantes kmrn ada yg blg pengecekan cm formalitas.</t>
  </si>
  <si>
    <t>RT @ReiMiechi99: @AnakKolong___ Islam beraliran SESAT sperti KHILAFAH-ISIS yg slalu mengajarkan kaumnya menjadi manusia KAFIR yg dk beradab dan slalu mempermainkan wanita utk melampiaskan nafsu sex semata</t>
  </si>
  <si>
    <t>@wahhabicc_jabar Tampaknya si @ustadtengkuzul dan para gerombolan pendemo akan menolak keras. Mungkin mereka hanya bisa terima tim medis dari negara berbasis khilafah / ISIS.</t>
  </si>
  <si>
    <t>@BungKromo Terduga Infeksi Virus Corona 696 WNI Peserta Tabligh Akbar di Malaysia di Himbau Tes Virus Corona. info lengkap :</t>
  </si>
  <si>
    <t>Detik-detik ABK World Dream Tiba di Pelabuhan Kolinlamil Sebanyak 188 WNI anak buah kapal (ABK) World Dream tiba di pelabuhan Kolinlamil di Tanjung Priok, Jakarta setelah menempuh perjalanan kselama tiga jam menggunakan KRI Semarang-594, Sabtu (14/3/2020) #StopPolitisasiCorona</t>
  </si>
  <si>
    <t>Kasus Corona di Malaysia Telah Mencapai 197 Orang, Satu di Antaranya WNI</t>
  </si>
  <si>
    <t>WNI Peserta Tabligh Akbar di Malaysia Diminta Periksa Kesehatan</t>
  </si>
  <si>
    <t>@EyangSuroo Terduga Infeksi Virus Corona 696 WNI Peserta Tabligh Akbar di Malaysia di Himbau Tes Virus Corona. info lengkap :</t>
  </si>
  <si>
    <t>@Si_Bee Terduga Infeksi Virus Corona 696 WNI Peserta Tabligh Akbar di Malaysia di Himbau Tes Virus Corona. info lengkap :</t>
  </si>
  <si>
    <t>@_bayangan_semar Dan dinas kesehatan sdg fokus memetakan jaringan radikal isis 🤣🤣🤣🤣</t>
  </si>
  <si>
    <t>RT @tvOneNews: Pemulangan 188 WNi ABK World Dream, Dany Amrul Ichdan, Staf ahli KSP menyatakan WNI yang kemarin diobservasi harus diterima dengan baik karena mereka dalam kondisi yang sehat. Dapatkan berita lain di  #tvoneNews #LawanVirusCorona</t>
  </si>
  <si>
    <t>Puncak kelelahan menjadi WNI di tengah isu corona RT @Metro_TV: #BreakingNewsMetroTV "Kalian semua tetap sehat, diobservasi di Indonesia juga tetap sehat. Artinya apa? kalianlah duta-duta imunitas #VirusCorona yang sejati." Menkes, Terawan Agus Putrantro. #IndonesiaMelawanCorona</t>
  </si>
  <si>
    <t>Jakarta Waspada Wabah Corona, 188 WNI Kru Kapal Pesiar World Dream Pulang dari Pulau Observasi</t>
  </si>
  <si>
    <t>Peserta observasi mendapatkan surat sehat dari Kementerian Kesehatan yang diserahkan secara simbolis oleh Menteri Kesehatan Terawan. 188 WNI dinobatkan menjadi Duta Imunitas Corona. #IndonesiaTangguh #BelaNegara #LAWANCOVID19 #CoronaVirusUpdates #SiapUntukSelamat #PBUrusanBersama</t>
  </si>
  <si>
    <t>@Malahay48802284 @mahardikaabet @AnakKolong___ mending loe berangkat aja ke Suria...pasukan ISIS butuh banyak wanita untuk pelampiasan nafsu birahinya disaat senggang...😊</t>
  </si>
  <si>
    <t>RT @MrsRachelIn: @AremaNita__ Klo gt ga perlu berahlan baok ya ? Dgn Berbuat Jahat banyak2 sperti ISIS ntar dosanya dibebankan pd Nasrani &amp; Yahudi .. Lalu dmn Adil itu ???</t>
  </si>
  <si>
    <t>Tadi pagi 188 WNI ABK World Dream dipulangkan ke daerahnya masing-masing. Seneng yaa akhirnya bisa ketemu keluarga. #PulauSebaru #AGP</t>
  </si>
  <si>
    <t>@_wni_ Tk baik lah pikir centu 🤦🏻‍♂️</t>
  </si>
  <si>
    <t>Pemulangan 188 WNi ABK World Dream, Dany Amrul Ichdan, Staf ahli KSP menyatakan WNI yang kemarin diobservasi harus diterima dengan baik karena mereka dalam kondisi yang sehat. Dapatkan berita lain di  #tvoneNews #LawanVirusCorona</t>
  </si>
  <si>
    <t>RAIS BARHAM SALIH WA IRAQ ALAANI SHAMBULIO LA MAREKANI. &gt; Amesema mashambulizi ya mara kwa mara yanayofanywa nchini humo yanaweza kuipelekea Serikali kufeli na kufufua upya utawala wa Dola la Kiislamu (ISIS).</t>
  </si>
  <si>
    <t>@mbahCokro77 Otakmu cm isi taik bong!!! Khilafah gak ada hubungan nya dgn ISIS tolol!!!!</t>
  </si>
  <si>
    <t>188 WNI turun dari KRI Semarang di Kolinlamil, Tanjung Priok. #IndonesiaTangguh #BelaNegara #CoronaOutbreak #LAWANCOVID19 #CoronaVirusUpdates #SiapUntukSelamat #PBUrusanBersama</t>
  </si>
  <si>
    <t>IRAQ: RAIS BARHAM SALIH ALAANI SHAMBULIO LA MAREKANI &gt; Amesema mashambulizi ya mara kwa mara yanayofanywa nchini humo yanaweza kuipelekea Serikali kufeli na kufufua upya utawala wa Dola la Kiislamu (ISIS) Soma -  #JFLeo</t>
  </si>
  <si>
    <t>Bagi ingin mengharapkan eks wni mau balik itu merekallah para terrorist sejati di dalam negeri. #tolakekswniproisis</t>
  </si>
  <si>
    <t>RT @BaskoroKata: ISIS di Afrika Barat (ISWA) eksekusi 6 orang Kristen di Borno, Nigeria. #saveNKRI #TolakISIS</t>
  </si>
  <si>
    <t>@Onerathour @jctiwari48 Kejriwal ka nara he free me sb kuch denge sath me jehadi atankbadi aur ISIS agent v</t>
  </si>
  <si>
    <t>@Hanungbramantyo Lokasinya .ada apa dgn MEREKA ?</t>
  </si>
  <si>
    <t>@Hanungbramantyo Mudah sebebarnya membasmi kadal gurun....muka2nya itu saja ditambah Mualaf bekas Pemuka Agama S3 vatikan juga pastor yg beranak pinak....tak terlalu sulit dicari</t>
  </si>
  <si>
    <t>RT @WR_4AG226: Inilah jadi jika sdh dijatuhi vonis 1,5 th penjara krn menghina ‘Generasi muda NU penjlat’ tapi ga masuk bui, gus dan Ustadz abal 2 ini jadi makin arogan , Si provokator bersorbam yg ga pernah Mondok yg ga paham al Qur’an semoga mubahalahnya tdk dikabulkan kasian anak2nya 😩</t>
  </si>
  <si>
    <t>RT @Bangzul__88: Presiden Jokowi sudah menegaskan bahwa Ia tidak memberikan kewenangan kepada Pemerintah Daerah untuk mengumumkan pasien positif Covid-19 atau corona. Jadi sudah jelas ya @aniesbaswedan, daerah dan pusat harus saling sinergi. Cc @DKIJakarta #StopPolitisasiCorona Ini bahaya 👇</t>
  </si>
  <si>
    <t>Sebagian besar kasus di Brunei juga terkait dgn mereka yg ikut kegiatan tabligh akbar ini. Upaya pemerintah itu bisa meredam kekhawatiran di masyarakat karen jumlah WNI yg hadir disebut2 hampir 700 orang...</t>
  </si>
  <si>
    <t>@Bangzul__88 @aniesbaswedan @DKIJakarta Semua apa yg dikatakan pak @jokowi , akan dengan SENANG HATILAH @aniesbaswedan memberikan statement kebalikannya...akan terus begitu dan begitu dan begitu selama KHILAFAH masih suka Tamasya di Monas</t>
  </si>
  <si>
    <t>Eh gimana ni maksudnya, masih nerima wisatawan luar gitu khususnya dari China, Italia dan bbroa apa maksud "penumpang" itu WNI yg baru pulang liburan dari negara tersebut? Kayaknya katanya uda ada larangan penerbangan dari sana 🤔 RT @jokowi: Pengawasan ketat di Bandara Seokarno-Hatta dilakukan dengan memberlakukan dua pintu masuk berbeda bagi negara-negara yang diwaspadai. Penumpang dari Tiongkok, Italia, Korea Selatan, dan Iran, akan diperiksa sampai tiga kali. Di luar negara itu, diperiksa dua kali.</t>
  </si>
  <si>
    <t>#JkwLemotTanganiCorona dari awal ceroboh lihat berita di tv masih bebas WNA dari Tiongkok masuk ke Indonesia cuma di kasih selembaran surat keterangan sehat lucu yang WNI aja dari luar negeri aja di karantina 14 hari ini luar biasa</t>
  </si>
  <si>
    <t>@AremaNita__ Nasib.....😉</t>
  </si>
  <si>
    <t>RT @AlissaWahid: Tidak perlu ada keluhan kesehatan, pak. Semua yang pergi ke Tabligh Akbar Malaysia, HARUS diperiksa, pak. Kan ada datanya di imigrasi, pak. Kan virusnya skr bisa menyerang orang tanpa timbulkan gejala, pak. Mereka nggak merasa sakit tapi bisa menulari orang lain, pak...</t>
  </si>
  <si>
    <t>@Jean_Aprilia97 @untung70421243 Jelas NO terhadap eks WNI . Mati aja di suriah tolol</t>
  </si>
  <si>
    <t>696 WNI Peserta Tabligh Akbar di Malaysia Diminta Tes Corona  #coronamalaysia #tablighakbar #wni #viruscorona</t>
  </si>
  <si>
    <t>dianggap hanya bersifat sia sia dan tidak bermakna. Ia bibit bibit ISIS namanya dan kelak kehidupan dunia pasti akan retak dan sering bergolak.</t>
  </si>
  <si>
    <t>RT @asamefenamatt: Tadi nonton berita, 238 WNI dari Wuhan udh sampe di Indonesia. Dari pemerintah china udh menyatakan mereka bebas dari virus korona, tapi pemerintah Indonesia tetep mengobservasi selama 14 hari kedepan dengan mengisolasi mereka di Natuna</t>
  </si>
  <si>
    <t>188 WNI diterima oleh Deputi Pencegahan BNPB, Menteri Kesehatan, Kementerian PMK, Pangkogab Wilhan 1, Kementerian Dalam Negeri dan sebagainya di Kolinlamil. #corona #Kolinlamil. #CoronaOutbreak #LAWANCOVID19 #CoronaVirusUpdates #SiapUntukSelamat #PBUrusanBersama</t>
  </si>
  <si>
    <t>Virus Corona 2020; WNI di Malaysia Dinyatakan Positif Covid-19</t>
  </si>
  <si>
    <t>@KikaOyes @TofaTofa_id Ya iyalah....</t>
  </si>
  <si>
    <t>@mas__piyuuu Bangun... bangun... oeee Matahari di ufuk Timur sdh bersinar. 🤣🤣🤣 Orang mabok agama/ terjajah mau menjadikan WNI keturunan sbg presiden RI.</t>
  </si>
  <si>
    <t>@ditjen_imigrasi Hi Ditjen Imigrasi mau tanya kalo Saya ada perjalanan pulang ke Indonesia dari Swiss lalu transit di Singapura pd tgl 18mar20 apakah tdk di perbolehkan masuk ke Indonesia?ada kabar tgl 15keatas WNI tdk bs msuk ke Indo stlh history perjalanan/transit ke negara tsb</t>
  </si>
  <si>
    <t>@siahaan_johan @GantengAbissss @pemikir5 @msaid_didu @aniesbaswedan Yakin isis itu agamais?? Amerika aja ngakuin Isis itu buatan mereka</t>
  </si>
  <si>
    <t>Mbah Wapres udah duduk manis aja di kursi goyang tdk usah keluarin Statement yg lain, berdoa aja semoga Bangsa kita di lindungi dan di jauh kan dari segala cobaan Oleh Allah SWT Amin....</t>
  </si>
  <si>
    <t>RT @BBCIndonesia: [Video] Seperti apa rasanya menjalani kehidupan di Italia yang sedang ditutup? Jeannette Lim, WNI di Italia, bercerita bagaimana pemerintah mencegah wabah Covid-19 semakin meluas — salah satunya dengan menjaga jarak minimal satu meter dari orang lain.</t>
  </si>
  <si>
    <t>semoga para wni yang di usa di pulangkan saja..aminaminyaAlloh 😩😩😣</t>
  </si>
  <si>
    <t>@ChristWamea Mungkin karena mengancam kedaulatan atau saking paniknya rezim anggap si Corona anggota ISIS.😂</t>
  </si>
  <si>
    <t>@maman1965 @na_dirs Kalau ISIS, sehabis melakukan aksi teror biasanya ada smacam vidio press release bhw mereka adlh pihak yg bertanggung jawab. Tp sikap sperti itu sayangnya tdk dimiliki oleh para peretas akun. Dari kedua kriminil ini bisa dilihat siapa yg GANTLEMAN.</t>
  </si>
  <si>
    <t>Nanti negara lain udah bebas dr COVID-19 ,udah bisa buka akses . Di indonesia makin banyak yg kena Corona . Ujung2 nya nanti WNI yang mau keluar negri ga di perbolehkan .</t>
  </si>
  <si>
    <t>plis juga WNI gosah gaya2an liburan shortgetaway dulu deh. ke Malaysia yg dkt skalipun. please just don't. even ke Bali jg gw risih bs ga sih stay di tempatnya doloooo. berlaku buat AGJ anak gaul jkt yg doyan party/nightlife/live music/etc. bubaarrrr sana qlean</t>
  </si>
  <si>
    <t>#SemuaBekerjaUtkCorona pada penanganan WNI di China pak @erickthohir puji kecepatan BUMN cegah virus corona</t>
  </si>
  <si>
    <t>Cintailah Alam Yang Indah Ini: Terduga Infeksi Virus Corona 696 WNI Peserta Tabli...  via @pinterest</t>
  </si>
  <si>
    <t>RT @cilliasiregar: Para 188 WNI ABK World Dream yang telah diobservasi di Pulau Sebaru Kecil pulang dengan ceria. Terharu banget #PulauSebaru #AGP</t>
  </si>
  <si>
    <t>RT @cilliasiregar: Jelang kedatangan 188 WNI ABK World Dream dari Pulau Sebaru, telah disiapkan 5 bus di dermaga Kolinlamil. Selanjutnya akan diserahkan pemerintah pada perwakilan Pemda masing-masing. #PulauSebaru #AGP</t>
  </si>
  <si>
    <t>RT @hariankompas: Setelah diobservasi 14 hari, sebanyak 188 WNI anak buah kapal World Dream akan dipulangkan ke daerah masing-masing. Dari Pulau Sebaru Kecil mereka akan diangkut KRI Semarang ke Jakarta dan diterima perwakilan daerah. #Polhuk #adadikompas</t>
  </si>
  <si>
    <t>Kenapa rata-rata WNI males pindah ke negara lain? Simple. Karena mereka gak mampu kehilangan nasi campur, pecel, rawon, nasi padang dan soto, dimana makanan-makanan ini gak available di negeri orang 🤣</t>
  </si>
  <si>
    <t>RT @iNewsID: KRI Semarang-594 mengangkut 188 warga negara Indonesia (WNI) anak buah kapal (ABK) World Dream menuju pelabuhan Kolinlamil di Tanjung Priok, Jakarta Utara. KRI berangkat dari perairan Pulau Sebaru Kecil, Kepulauan Seribu pukul 08.00 WIB.</t>
  </si>
  <si>
    <t>RT @medcom_id: Jelang Pemulangan WNI dari Pulau Sebaru Kecil - Highlight Primetime News Metro TV</t>
  </si>
  <si>
    <t>yang paling enak nih WNI yang malah keluar negri terus balik tuh di karantina aja. batu banget. nyebar penyakit.</t>
  </si>
  <si>
    <t>@kurawa Ini baru kebijakan yg ngeluarin arab lho .. bukan pem RI .. kebayang gimana sulit nya pem mau nanggulangin wabah ini kalo WNI nya aja blm tentu support malah memanfaatkan situasi ☹️☹️☹️☹️</t>
  </si>
  <si>
    <t>@Irw4nsy4h745542 @GantengAbissss @pemikir5 @msaid_didu @aniesbaswedan Komunis itu atheis,isis itu agamis, sm sm suka membantai</t>
  </si>
  <si>
    <t>@ernestprakasa Pemulangan WNI, karantina, dll itu semua hasil kerja pemerintah, jangan dianggap remeh pekerjaan seperti ini. Indonesia bukan cuma DKI dan Sampai saat ini saya masih berpegangan bahwa Pertimbangan pemerintah mengnai kbjakan saat ini pasti sdh dipikirkan secara seksama.</t>
  </si>
  <si>
    <t>Terduga Infeksi Virus Corona 696 WNI Peserta Tabligh Akbar di Malaysia di Himbau Tes Virus Corona. info lengkap :  #LawanCoronaBersama</t>
  </si>
  <si>
    <t>@kim_forever95 @BTS_twt Mandarina #BestMusicVideo #BoyWithLuv #iHeartAwards @BTS_twt</t>
  </si>
  <si>
    <t>Alhamdulillah 188 WNI ABK World Dream sudah tiba di Jakarta #PulauSebaru #Agp</t>
  </si>
  <si>
    <t>RT @_aiek_esthreem_: #RupiahAnjlokJKWRontok #RupiahAnjlokJKWRontok Negeri 'Asing'  Asing bagi WNI sang Pemilik Negri sbg dampak kepemimpinan Plonga Plongo demi China Komunis</t>
  </si>
  <si>
    <t>Hari ini 188 WNI ABK World Dream dipulangkan ke daerahnya masing-masing. #PulauSebaru #AGP</t>
  </si>
  <si>
    <t>RT @_aiek_esthreem_: #RupiahAnjlokJKWRontok #RupiahAnjlokJKWRontok 1 WNI Pasien Isolasi di RSPI Sulianti Saroso Meninggal Dunia</t>
  </si>
  <si>
    <t>Sebanyak 32 kasus dinyatakan sembuh. Namun, hingga saat ini tidak ada laporan WNI yang terjangkit COVID-19 di Malaysia. Dihimbau juga, khusus bagi WNI yang telah menghadiri acara tabligh di Masjid Sri Petaling pada 28 Februari hingga 1 Maret 2020, diharapkan untuk dapat</t>
  </si>
  <si>
    <t>RT @aewin86: @supry_jkw @Je_Ly Ada tablik@akbar di malaysia, ada beberapa WNI khusus datang dari Indonesia ikut hadir di acara.</t>
  </si>
  <si>
    <t>@jjkjungokook Aku bakal lepas wni soon 🤣</t>
  </si>
  <si>
    <t>@musniumar Pak @musniumar, Pancasila sdh teruji berulang kali oleh orang2/ kelompok yg punya kekuatan, tp tidak bisa. Anda tahu Pancasila itu apa? Pancasila adalah Diri Bangsa Indonesia...!!! Jangan mau menjadi WNI berposisi penjajah, krn yg sudah adalah diri sendiri.</t>
  </si>
  <si>
    <t>@KediriFess kedai kopi 66 isis</t>
  </si>
  <si>
    <t>ISIS di Afrika Barat (ISWA) eksekusi 6 orang Kristen di Borno, Nigeria. #saveNKRI #TolakISIS</t>
  </si>
  <si>
    <t>188 WNI ABK World Dream tiba di Kolinlamil Tanjung Priok, Jakut, setelah melewati masa observasi di Pulau Sebaru Kecil &amp; dinyatakan sehat. Tiba di Kolinlamil Pkl 11.41 WIB (14/3) dg KRI semarang 594. #LAWANCOVID19 via @BNPB_Indonesia #ElshintaWeekend</t>
  </si>
  <si>
    <t>BNPB Imbau WNI yang Ikut Tablig Akbar di Masjid Sri Petaling Segera Tes Corona  via @kompascom</t>
  </si>
  <si>
    <t>188 WNI ABK World Dream tiba di Kolinlamil Tanjung Priok setelah melewati masa observasi di Pulau Sebaru Kecil &amp; dinyatakan sehat. Tiba di Kolinlamil pk.11.41 WIB (14/3/2020)dgn KRI semarang 594. #coronavirus #LawanCorona #PBUrusanbersama #SiapUntukSelamat #LAWANCOVID19 #Covid_19</t>
  </si>
  <si>
    <t>dahlah emg wni paling mantap, apa2 harus mandiri sekalipun issue pandemi kek skrg.</t>
  </si>
  <si>
    <t>IMBAUAN BAGI WNI YANG BERADA DI LUAR NEGERI ATAU BERENCANA MELAKUKAN PERJALANAN KE LUAR NEGERI SEHUBUNGAN DENGAN PENYEBARAN WABAH COVID-19 #travel #backpacker #safetravelkemlu #negaramelindungi #kbrisingapura Source: @safetravelkemlu</t>
  </si>
  <si>
    <t>Menurut media yang beredar, konon katanya pemerintah dari wuhan yang dipulang ga di tes corona, dan langsung di pulangkan ke rumahnya masing2. Dan kita ga pernah tau siapa dan dimana tempat tinggal mereka, tapi semoga mereka negatif corona.</t>
  </si>
  <si>
    <t>[Video Terpopuler] Seperti apa rasanya menjalani kehidupan di Italia yang sedang ditutup? Jeannette Lim, WNI di Italia, bercerita bagaimana pemerintah mencegah wabah Covid-19 semakin meluas — salah satunya dengan menjaga jarak minimal satu meter dari orang lain.</t>
  </si>
  <si>
    <t>ni cnfrm kawan mik yang kate tgh intern kt isis buat bende ni RT @deadfishanggun: there was a fucking bombing near my block just now</t>
  </si>
  <si>
    <t>RT @Pancasila_K1ta: @Donal_golan @humaspemkotsmg @hendrarprihadi IMB 1998 terbit, SKB 2 Menteri tahun 2006 itu pun ada unsur aturan tidak melindungi HAM TIAP2 WNI dlm kebutuhan IBADAH nya. @hendrarprihadi takut gtu atau mencoba peruntungan POLITIK IDENTITAS? @ganjarpranowo blm bersuara &amp; beraksi? #SOSIntoleransi Solusinya diusir halus njeh?</t>
  </si>
  <si>
    <t>@chofiolmos @BTS_twt Min yoongi #iHeartAwards #BoyWithLuv #BestMusicVideo @BTS_twt</t>
  </si>
  <si>
    <t>WNI di Sebaru Kecil dipulangkan. Saksikan Kabar Siang bersama Dita Faisal jam 11.30 WIB LIVE hanya di tvOne &amp; streaming  #KabarSiangtvOne</t>
  </si>
  <si>
    <t>@jeandhyuck @kagoherawr @ddeonghwans @W_0_0_Y_4 @jumeong @jinwoonuna @loftychan @hseungwooz @wonjinsmine @jaeminder @Ionelyn00na @pantatglowing @sambatnbct @hahyohan @keumybae @wsheok @eternalseungwoo @VITAMlNHEE @mydeareunsang @aquarslight isis dhlia</t>
  </si>
  <si>
    <t>@chofiolmos @BTS_twt Kim seok Jin #iHeartAwards #BoyWithLuv #BestMusicVideo @BTS_twt</t>
  </si>
  <si>
    <t>@kagoherawr @saiIoryoun @ddeonghwans @W_0_0_Y_4 @jumeong @jinwoonuna @loftychan @hseungwooz @wonjinsmine @jaeminder @Ionelyn00na @pantatglowing @sambatnbct @hahyohan @keumybae @wsheok @eternalseungwoo @VITAMlNHEE @mydeareunsang @aquarslight isis itu ap hyung?</t>
  </si>
  <si>
    <t>RT @Menadion: @narkosun nah gitu dong akhirnya tidak lagi mengatasnamakan seluruh umat Islam... HTI, FPI, isis, wahableh, 212, para radikal intoleran semua bersatu di bawah satu partai.... bakal seru tuh liat sesama radikal intoleran gebuk2an 😅</t>
  </si>
  <si>
    <t>@ZeeshanGhori13 @Vimlesh_Maurya @akashj_19 Jab biryani Allah de raha tha to ye bhi ussi se mang lo warna PFI, Congress or ISIS ha to tumpe</t>
  </si>
  <si>
    <t>KRI Semarang-594 mengangkut 188 warga negara Indonesia (WNI) anak buah kapal (ABK) World Dream menuju pelabuhan Kolinlamil di Tanjung Priok, Jakarta Utara. KRI berangkat dari perairan Pulau Sebaru Kecil, Kepulauan Seribu pukul 08.00 WIB.</t>
  </si>
  <si>
    <t>@jokowi Hadeeehh segininya amat demi menjalankan roda perekonomian negara ya pakdhe ... trus kemrin2 WNI yg pulang dr luar negri kok nga digituin ya ? Kenapa harus sekarang ? Kemarin kemarin ngapain ajaaaa pakdhe ...</t>
  </si>
  <si>
    <t>RT @permadiaktivis: Kronologis kebencian pada NU 2014 Umat puji ISIS Mujahid (pejuang) NU: ISIS itu teroris 2015 Umat kampanye Syiah bukan islam NU: Syiah bagian dari islam 2016 Umat bikin 212 NU larang warga NU ikut 212 2018 Umat bela bendera Tauhid NU: itu bendera HTI Resiko waras ya dimusuhi</t>
  </si>
  <si>
    <t>@supry_jkw @Je_Ly Ada tablik@akbar di malaysia, ada beberapa WNI khusus datang dari Indonesia ikut hadir di acara.</t>
  </si>
  <si>
    <t>@detikcom sdh nggk penting. media itu harusnya ekpose kasus2 tak terdeteksi, seperti wni yg berangkat dr dlm indo negatif/tak terdeteksi tapi di kuar negri terdeteksi positif. perlu dilacak di indo ada kontak siapa saja, krn potensi tertular.</t>
  </si>
  <si>
    <t>@Je_Ly @aewin86 Ini maksudnya WNi yg bermukim di malay atau gimana sih ??</t>
  </si>
  <si>
    <t>Al-Qaeda. ISIS. Al-Qaeda. (Repeat)</t>
  </si>
  <si>
    <t>IMBAUAN BAGI WNI YANG BERADA DI LUAR NEGERI ATAU BERENCANA MELAKUKAN PERJALANAN KE LUAR NEGERI SEHUBUNGAN DENGAN PENYEBARAN WABAH COVID-19 Sumber: @safetravelkemlu #travel #backpacker #safetravelkemlu #negaramelindungi #traveladvisory</t>
  </si>
  <si>
    <t>Jika JOKOWI masih diam, tidak mengumumkan darurat Corona serta masih membiarkan WNA/WNI terbang bebas dari/ke Indonesia, maka tidak menutup kemungkinan dan tidak membutuhkan waktu lama Indonesia juga akan mempunyai kuburan massal seperti ini!!! RT @geloraco: Kuburan Massal Virus Corona Di Qom Iran Seluas Lapangan Bola Terlacak Oleh Satelit Maxar AS</t>
  </si>
  <si>
    <t>Udah sejaman lebih Harusnya dalam sejam bisa.. 1. Nonton 2 menitan berkali kali 2. Ngecengin duda depan rumah 3. Nyukurin jenggot panglima perang Isis Or 4. Mantab mantab ma ... *ah ini ngayalnya kehaluan</t>
  </si>
  <si>
    <t>@RadenBudiyanto @FerdinandHaean2 @musniumar Kadrun lu tu yg maling, kerja ngga cuma grogotin uang pemda DKI. Ormas minta jatah, dasar preman ISIS.</t>
  </si>
  <si>
    <t>Besok, Minggu (15/3), 57 orang (55 orang laki-laki dan 2 orang perempuan) WNI kru kapal pesiar Diamond Princess akan tiba di Indonesia dan dikarantina di Pulau Natuna. 19 orang diantaranya positif Covid-19. Semoga bisa segera sembuh dan gak nyebar virus. #Covid19Indonesia</t>
  </si>
  <si>
    <t>Perkembangan Covid-19 di Dunia dan Pelindungan WNI (as of 14 Maret 2020; 08.00 WIB) #negaramelindungi #covid19 #coronavirus #situationreport</t>
  </si>
  <si>
    <t>IMBAUAN BAGI WNI YANG BERADA DI LUAR NEGERI ATAU BERENCANA MELAKUKAN PERJALANAN KE LUAR NEGERI SEHUBUNGAN DENGAN PENYEBARAN WABAH COVID-19 (geser ke kanan untuk membaca) #travel #backpacker #safetravelkemlu…</t>
  </si>
  <si>
    <t>RT @cnbcindonesia: Corona Merajalela, Apa Kabar WNI di Swiss &amp; Liectenstein?</t>
  </si>
  <si>
    <t>RT @PolitikToday: Virus Corona: KBRI di Filipina Menyatakan 1.100 WNI Terisolasi di Manila Kedutaan Besar Republik Indonesia di Filipina menyatakan sebanyak 1.100 warga Indonesia saat ini berada di ibu kota Manila yg tengah diisolasi demi mencegah penyebaran virus corona.</t>
  </si>
  <si>
    <t>Tentunya sangat berbeda dengan orang itu, walaupun telah disanjung dan dipuja di Indonesia, diberikan segala fasilitas yang ada diluar negeri malah gak ngaku orang Indonesia, padahal kedua orangtuanya WNI.</t>
  </si>
  <si>
    <t>@BakarSmith @AremaNita__ Nah itu dia ' Masa sih Allah ga adil gt ? Enak aja ' orang lain yg berbuat Jahat yg lain nanggung dosanya. ISIS tukang penggal &amp; Teroris tukang Ngebom bs msk surga semua, trus dosanya dibebanin ke orang Yahudi &amp;amp; Nasrani ?? Ironis !! 🤥</t>
  </si>
  <si>
    <t>@lrsty_ Iya anjir org sini opportunist bgt 😑 sorry aja nih jd under estimate bbrp fellow wni. Tp ya gtu, banyak yg manfaatin situasi. Dimulai dr persoalan masker dan hand sanitizer kmrn dah. Kurang bgst apa coba org kita.</t>
  </si>
  <si>
    <t>Corona Merajalela, Apa Kabar WNI di Swiss &amp; Liectenstein?</t>
  </si>
  <si>
    <t>Satu WNI di Malaysia Dinyatakan Positif Covid-19</t>
  </si>
  <si>
    <t>@AremaNita__ Klo gt ga perlu berahlan baok ya ? Dgn Berbuat Jahat banyak2 sperti ISIS ntar dosanya dibebankan pd Nasrani &amp; Yahudi .. Lalu dmn Adil itu ???</t>
  </si>
  <si>
    <t>Sebanyak 188 Warga Negara Indonesia (WNI) anak buah kapal (ABK) World Dream berangkat menuju pelabuhan Kolinlamil di Tanjung Priok, Jakarta menggunakan KRI Semarang-594.</t>
  </si>
  <si>
    <t>WNI ABK World Dream Dipastikan Sehat</t>
  </si>
  <si>
    <t>Pemulangan 188 WNI Usai Diobservasi di Sebaru</t>
  </si>
  <si>
    <t>isis bukak lagu salakau??? Ni bukan terrorist, ni suicidal gangster beb.. RT @DTerran2: meanwhile in Singapore...man sets fire infront of a police post and sprayed ISIS on the walls</t>
  </si>
  <si>
    <t>RT @faizalassegaf: Satu WN Jepang saja bikin 2 korban WNI terinfeksi. Bgmana ratusan ribu WNA &amp; WNI yg kembali dari China? Ketika Gub @aniesbaswedan sebut KRL Bogar, Depok &amp;amp; Kota berpotensi penularan, sinyalnya sangat jelas: KOTA Jgn ditutupilah! #LockDownIndonesia #RupiahMelemahJKWLengser *FA*</t>
  </si>
  <si>
    <t>Repost from @safetravelkemlu using repostregramapp - IMBAUAN BAGI WNI YANG BERADA DI LUAR NEGERI ATAU BERENCANA MELAKUKAN PERJALANAN KE LUAR NEGERI SEHUBUNGAN DENGAN PENYEBARAN WABAH COVID-19 #travel…</t>
  </si>
  <si>
    <t>@NikSB9 @htTweets dude many organisations funded riots ISIS, AAP, PFI, Pakistan, Indonesia NGO, Hafeez Saeed , America NGO, American Media, Indian Media , Congress, Communists</t>
  </si>
  <si>
    <t>RT @Aryprasetyo85: #CegahISISmasukNKRI Wali Kota Surakarta Tolak Rencana Pemulangan WNI Eks ISIS WalKot Surakarta F X Hadi Rudyatmo dengan tegas menolak rencana pemulangan eks simpatisan ISIS ke Tanah Air. Pasalnya, penolakan itu sesuai dengan apa yg dilakukan oleh pemerintah pusat maupun provinsi</t>
  </si>
  <si>
    <t>@fffauziaa WNI DI LUAR NEGERI</t>
  </si>
  <si>
    <t>Setelah diobservasi 14 hari, sebanyak 188 WNI anak buah kapal World Dream akan dipulangkan ke daerah masing-masing. Dari Pulau Sebaru Kecil mereka akan diangkut KRI Semarang ke Jakarta dan diterima perwakilan daerah. #Polhuk #adadikompas</t>
  </si>
  <si>
    <t>@EleJokow @zuhairimisrawi dulu waktu demo asu eh asisi di mesir, ada anjing yg kabur duluan menyelamatkan diri, pdhl msh bnyk wni yg terjebak disana</t>
  </si>
  <si>
    <t>Dan karena gaya hidup wni seperti itu, dan banyak orang yg menyepelekan penyakit, maka tidak menutup kemungkinan penyebaran virus corona di indonesia bisa lebih cepat dari pada di cina.</t>
  </si>
  <si>
    <t>RT @NasirPasir: Dekat China depa tak benarkan semua org keluar. Spray satu bandar hampir 2 bulan. Guna lori. Guna drone. Guna segala source yang ada. Dan sekarang mereka semakin pulih Kita? Cukuplah sekadar taklimat kesihatan &amp; awareness. Pandai2 lah korang jaga diri 🤣</t>
  </si>
  <si>
    <t>RT @CepJohan: Tadi pagi di prog World News CNN Indonesia, seorang WNI di Italia bernama Ty* bilang tidak ada arahan dari KBRI setempat, malah dapatnya dari Pemerintah Italia. *Sementara itu, Korsel justru sampe kirim SMS ke seluruh warganya berisi update terkini &amp; lokasi yang harus dijauhi.</t>
  </si>
  <si>
    <t>Aku senang menjadi WNI, masyarkatnya terbiasa santuy dan rilex dalam keadaan apapun. alhasil ketika menjabat sebagai penguasa, tetap saja santuy. Santuy adalah budaya kita !!!</t>
  </si>
  <si>
    <t>Rp mulai menguat, kmrn sudah tembus di angka 14,700an. Tlng prioritaskan keselamatan warga. Ekonomi bisa dibangun kembali. Tapi, nyawa tdk bisa ditarik kembali. Saya sarankan untuk menetapkan situasi Darurat. Yg terpapar sudah -+ 69 orang. Dan kita sdh tahu, bgmn gaya hidup wni</t>
  </si>
  <si>
    <t>Identitas mereka masih wni.</t>
  </si>
  <si>
    <t>Seenggaknya kenapa ga ada inisiatif niru negara lain tutup paksa semua akses negaranya biar ga kena virus ini, seenggaknya sekali aja. Tarik paksa para wni dan tki yang di luar negeri, sbeelum mereka minta paksa pulang ke indonesia. Kasian pak, mereka juga butuh aman.</t>
  </si>
  <si>
    <t>@cak_rizqy @InayahRasyid @faridgaban haha malah mrk yg tdk merasa bersaudara dgn kami,menuduh radikal,isis, dll,apa kamu tdk sadar selama ini?atau kami yg berbeda pilihan di tuduh anti pancasila,anti nkri</t>
  </si>
  <si>
    <t>Imbauan KJRI Sydney Bagi WNI di NSW, QLD, dan SA Terkait Penyebaran Corona Virus (COVID-19) #NegaraMelindungi #IniDiplomasi</t>
  </si>
  <si>
    <t>RT @Coki03055491: @AsepSuwarno77 @anak_anakafir Dari dulu Hidayat nur Wahid paling semangat membahas tentang teroris terasuk rencana pemulangan eks ISIS di suriah. Ternyata org ini dalang keributan politik yang berkedok agama.</t>
  </si>
  <si>
    <t>RT @ontasirkus: "Kenapa Batik Air yang digunakan untuk evakuasi WNI di Wuhan?" "Kenapa ga pake Garuda Indonesia aja?" "Garuda Indonesia lebih bagus pelayanannya dibanding Lion group, kenapa harus pake Batik Air?" ---------- u t a s ----------</t>
  </si>
  <si>
    <t>Untuk menjaga para investor tidak pergi dari indonesia, maka pemberitaan tentang wni yg terkena corona di Indonesia tidak di publikasikan ( ditutupi )dan menyepelekan kasus ini. Dan sekarang setelah banyak WNI yg terkena corona, banyak investor mulai kabur. #JkwLemotTanganiCorona</t>
  </si>
  <si>
    <t>RT @kkkjh26: Masih ingat 20 januari corona mulai kebuka di media,lalu beberapa hari kemudian pemerintah berencana untuk meng evakuasi WNI di wuhan,&amp; saat itu segelintir orang indonesia meremehkan virus ini dengan mengatakan azab dll,bahkan menyuruh kawan-kawan saya untuk tidak balik</t>
  </si>
  <si>
    <t>RT @Baehani_: dah2 la tu beria, dia taknak kau pun</t>
  </si>
  <si>
    <t>RT @HarizRafley: Suka ayat ni! "Doa itu wireless, dekat mana pun still available."</t>
  </si>
  <si>
    <t>@wintaebearrr Kalo akses wna nya udah dibatasin sih. Menurut rilisnya. Bahkan yg balik dr korea aja udh dikasih jalur khusus di bandara. Tp yg dr jepang msh adem ayem. Kebanyakan penerbangan msh dibuka ya emg buat sekalian balik2in wni lg ke indo. Krn kalo wni kan ga mungkin di tolak.</t>
  </si>
  <si>
    <t>Lockdown bukan berarti semua kegiatan berhenti...tanya lah WNI dari wuhan..apa mereka ngga bisa belanja keperluan diluar sana? Bayangkan 1 orang suspect berkeliaran bebas, berapa orang yg bisa terinfeksi, transmisi x10, kematian x 20. #COVID19indonesia</t>
  </si>
  <si>
    <t>RT @lilxad_: Kita tak couple tapi you are mine and I'm yours. Jaga hati kau tu untuk aku. Hati aku, aku jaga untuk kau. Boleh tak?</t>
  </si>
  <si>
    <t>@isis_g_m Hehe dm ???</t>
  </si>
  <si>
    <t>Indonesia masih nerima masuk wisatawan asing. WNI yang dari Jepang masih bisa masuk tanpa dikarantina dulu. Wajar gak sih kalo gue parno? 😭</t>
  </si>
  <si>
    <t>Itu namanya bukan ketat, wahai Presiden @jokowi. WNI yg dtg dari negara2 terpapar wabah hrsnya di karantina dulu, bukan cuma diperiksa 3x. Utk WNA dr negara2 terpapar wabah hrsnya sdh ditolak dtg. Itu kalau pemerintah mau dinilai serius dlm menangani wabah. RT @jokowi: Pengawasan ketat di Bandara Seokarno-Hatta dilakukan dengan memberlakukan dua pintu masuk berbeda bagi negara-negara yang diwaspadai. Penumpang dari Tiongkok, Italia, Korea Selatan, dan Iran, akan diperiksa sampai tiga kali. Di luar negara itu, diperiksa dua kali.</t>
  </si>
  <si>
    <t>@detikcom @KemenkesRI , @jokowi tolong informasikan sebaran daerah yg terpapar COVID 19 tanpa membuka biodata korban yg terinfeksi, agar rakyat lbh waspada sj. Kejadian wni yg diisolasi di Natuna akhirnya mau menerima jg kan jk diberi pemahaman yg baik.</t>
  </si>
  <si>
    <t>RT @LusiHQ: @Rang_Hoki @mltr_h @CNNnews18 @kirekswasta @manojkumargupta @Kiyai_MarufAmin Udah sering. Tapi penyakit orang Indonesia itu gampang lupa. Masih ingat gak ketika markas ISIS di suriah digrebek dan ditemukan logistik dgn tulisan bantuan dr Indonesia. Saat itu mengarah ke Bachtiar Nasir. Tapi santai aja tuh orangnya.</t>
  </si>
  <si>
    <t>Masih ingat 20 januari corona mulai kebuka di media,lalu beberapa hari kemudian pemerintah berencana untuk meng evakuasi WNI di wuhan,&amp; saat itu segelintir orang indonesia meremehkan virus ini dengan mengatakan azab dll,bahkan menyuruh kawan-kawan saya untuk tidak balik</t>
  </si>
  <si>
    <t>RT @antaranews: Seorang warga negara Indonesia (WNI) termasuk salah satu diantara 197 orang yang dinyatakan positif COVID-19 di Malaysia. #CoronaOutbreak #COVID2019</t>
  </si>
  <si>
    <t>Mau sampe kapan terus welcome kepada turis yg ke Indonesia ? Mau sampe kapan juga mengizinkan wni liburan atau urusan bisnis ke luar negeri lalu gak lama pulang ke Indo dan taunya mereka sudah terinfeksi ? :(( Tutup dulu untuk sementara sampe keadaan dunia membaik</t>
  </si>
  <si>
    <t>RT @ReiMiechi99: @mata_juleha @AnakKolong___ Jidat hitam yg di miliki mereka(Kaum KHILAFAH-ISIS) kebanyakan di jedotin di ajaran agama islam yg SESAT.</t>
  </si>
  <si>
    <t>@P3nj3l4j4h_id @RealCancer2 Digawangioleh FPI yang selalu merasa membela islam dan merasa islam di lecehkan,ditindas dll. Tidak terima agama dilabeli sbg teroris. Tetapi mereka lupa kelakuan tak sesuai dgn ucapan. ISIS melalukan pembunuhan keji mereka dukung atas nama jihad. Bijimane toh.</t>
  </si>
  <si>
    <t>@ISIS_Balik_NO @TofaTofa_id Ok clear dah, semoga pemerintah bisa di beri kemampuan utk membiayai dan mengatasi penyebaran covid 19.</t>
  </si>
  <si>
    <t>AGAMA "WAJAN" | Ayat, Mayat, Kriminalisasi "ulama", politisasi masjid, KHILAFUCK, pilpres 2019,Papua, Gerah lihat salib, sesak nafas lihat gereja &amp; pura, uyghur, Natuna, Syiah, eks WNI pro ISIS hingga virus Corona, jadi BAHAN GORENGAN . . Beragama koq seperti WAJAN ?!!! . .</t>
  </si>
  <si>
    <t>RT @republikaonline: Kasus pertama corona di Brunei merupakan jamaah yang hadir di tabligh akbar Malaysia</t>
  </si>
  <si>
    <t>ISIS lebih berbahaya dari #viruscorona #Lawanradikalisme #TolakISIS  @Mujirahadi2 @ManokPokena @Dani86113065 @SegoPin__Cuk @ISIS_Balik_NO @BonnieAjah @YoyokSubandriy3</t>
  </si>
  <si>
    <t>RT @iNewsID: Pasien yang meninggal ini merupakan seorang pria berusia 59 tahun. Dia tercatat sebagai Warga Negara Indonesia (WNI) atau sekaligus menjadi WNI pertama yang meninggal akibat virus korona.</t>
  </si>
  <si>
    <t>RT @apri_lim: @wisnu_prasetya Masuk logika. Krn saat ramadhan akan lbh banyak jumlah orang yang berkumpul di masjid. Hampir seluruh wni akan pulang kamping dengan kendaraan umum saat menjelang lebaran. Kondisi2 ini sangat rentan untuk menularkan oramg dalam junlah besar</t>
  </si>
  <si>
    <t>Ini contoh rilis riwayat perjalananannya kasus 32 yg merupakan WNI yang terjangkit COVID-19 di Taiwan  RT @bangsatwika: Setelah ngerawat ini, dia keluyuran ke beberapa tempat ini. Ya langsung rame gila TV disini. Sempat naik MRT dan bis juga</t>
  </si>
  <si>
    <t>@CahElek69961102 @stop_dusta @ustadtengkuzul Lha gak terimakasih ta sama LN yang nampung WNI positif Corona?</t>
  </si>
  <si>
    <t>RT @KatolikG: Dengan adanya WNI yang terkena virus Corona, untuk meminimalisir penyebaran virus, salam damai saat misa tidak perlu berjabat tangan. Cukup diganti mengatupkan kedua tangan sambil berbisik: "damai kristus, maaf bukan muhrim"</t>
  </si>
  <si>
    <t>@geloraco Mungkin sicorona dianggap teroris, ato biar bin ada kerjaan kan selama ini isu radikal radikul,isis, hti udah gak seru, dialihkan ke corona biar bin nampak eksis.</t>
  </si>
  <si>
    <t>RT @republikaonline: Jumlah kumulatif kasus positif Covid-19 di Malaysia adalah sebanyak 197 kasus.</t>
  </si>
  <si>
    <t>RT @musniumar: Demo di hari-hari mendtg diduga bakal ramai. Dalam negara demokrasi, demo mrpkn hak setiap WNI yg dilindungi UU utk menyampaikan pendpt lisan atau tulisan. Supaya demo tdk anarkis, amat penting diperhatikan tata cara berikut ini. Simak sampai tuntas</t>
  </si>
  <si>
    <t>@kafiradikal @zarazettirazr Menurut WNI di Italy.. di Italy banyak yg kena Corona krn banyak yg naik Kereta. Tempat penularannya disana. Hati2 KRL Bogor-Jakarta</t>
  </si>
  <si>
    <t>@wangjhs JAJAKLAHquien es isis</t>
  </si>
  <si>
    <t>Kalau serius ya WAJIB bukan IMBAU</t>
  </si>
  <si>
    <t>RT @SUBHANALLOVE: sholad jummat td tmenku pada breisik bgt jd td pas abis alfateha aq triakin aj oyyy brisik klean smua sperty burung camar mnikah sama isis</t>
  </si>
  <si>
    <t>RT @Metro_TV: #BreakingNewsMetroTV Jelang kedatangan 188 WNI ABK World Dream dari Pulau Sebaru, telah disiapkan 5 bus di dermaga Kolinlamil. Selanjutnya akan diserahkan pemerintah pada perwakilan Pemda masing-masing. LIVE @Metro_TV dan</t>
  </si>
  <si>
    <t>@widdyra Aman-aman ya wid untuk keluarga, WNI yg di sana juga semoga pada baik-baik aja semuanya.</t>
  </si>
  <si>
    <t>RT @geloraco: Ada Corona di Tabligh Akbar, Ratusan WNI Diminta Periksakan Diri</t>
  </si>
  <si>
    <t>Pasien yang meninggal ini merupakan seorang pria berusia 59 tahun. Dia tercatat sebagai Warga Negara Indonesia (WNI) atau sekaligus menjadi WNI pertama yang meninggal akibat virus korona.</t>
  </si>
  <si>
    <t>@Isis_alada @NetflixLAT Si ya</t>
  </si>
  <si>
    <t>WNI di Malaysia Dinyatakan Positif Covid-19 -</t>
  </si>
  <si>
    <t>@Ilc56646988 @msaid_didu @jokowi Pemerintah sebelumnya udah selamatin warga WNI dari luar, dr Wuhan ama kapal pesiar Jepang. Udah melakukan persiapan2 di seluruh RS. Knp gak dianggap ya?</t>
  </si>
  <si>
    <t>RT @dkkcilacap: 2 WNI Positif Corona, Dinkes Cilacap : Masyarakat Harus Waspada dan Jangan Panik Pasca Presiden Joko Widodo mengumumkan adanya 2 orang WNI yang terjangkit Virus Corona, sejumlah pihak kini mulai kembali melakukan persiapan guna mengantisipasi menyebarnya virus tersebut di daerah</t>
  </si>
  <si>
    <t>@FerdinandHaean2 @conan_idn Pak Ferdinand, kalau utk jadi presiden 2024 siapa saja WNI tidak masalah, tapi kalau utk yg bp maksudkan masih pikir² dulu</t>
  </si>
  <si>
    <t>RT @asumsico: Untuk WNI yang baru kembali dari 4 negara itu, tidak ada larangan masuk. Namun, ada pemeriksaan tambahan di bandara oleh petugas Kantor Kesehatan Pelabuhan (KKP).</t>
  </si>
  <si>
    <t>@ainunnajib @GUSDURians Saya percaya pemerintah, ngga sampai ribu-lah,karena covid19 butuh riwayat kontak dg penderita positip. Hanya yg perlu "dihitung" adalah pemantauan thd jamaah yg hadir pengajian di Malaysia. Berapa banyak WNI yg hadir, yg pulang dan dimana?</t>
  </si>
  <si>
    <t>Pak @ismailfahmi saran Bapak untuk peserta tabligh akbar JT di Malaysia gimana? ada sekitar 600 orang dari RI, apakah ada potensi jadi super spreader?</t>
  </si>
  <si>
    <t>Seorang WNI di Malaysia Positif COVID-19, Termasuk Dalam 197 Orang Lainnya yang Terinfeksi</t>
  </si>
  <si>
    <t>@detikcom Liat koment klompok radikal extrim isis..pada sewot..gw demen..seorang btp bisa bikin mereka meradang ..hebat btp..</t>
  </si>
  <si>
    <t>@didi_armayanto @DTanjung15 Ini ada britanya kamren 600 wni Ikut acaranya .. rasanya Ku udah share</t>
  </si>
  <si>
    <t>@dr_tompi Ga bisa dok, klo memang lockdown untuk menghentikan aktifitas keluar masuk indonesua WNI atau WNA masih memungkinkan, tp klo lockdown seperti di roma yg mengharuskan rakyat hanya dirumah, shit its totally berdampak untuk kehidupan ekonomi, dan orang indonesia itu panikan</t>
  </si>
  <si>
    <t>Pak @jokowi @Kemenag_RI @kemendagri @mohmahfudmd @PolhukamRI Inilah alsn SKB2Menteri perlu direvisi terkait pembangunan rumah ibadah. Hak WNI utk mnjlnkan ibadah dijamin UUD45. Utk itu dibutuhkan rmh ibadah. Krn ibadah rutin, mk rmh ibadah jg hrs permanen.</t>
  </si>
  <si>
    <t>RT @Metro_TV: #BreakingNewsMetroTV Pemulangan 188 WNI usai diobservasi di Pulau Sebaru. KRI Semarang berangkat ke dermaga Kolinlamil, di Tanjung Priuk. LIVE @Metro_TV dan</t>
  </si>
  <si>
    <t>ㅤ Agama : ISLAM Status Perkawinan : BELUM KAWIN Pekerjaan : PELAJAR/MAHASISWA Kewarganegaraan : WNI Berlaku Hingga : SEUMUR HIDUP ㅤ</t>
  </si>
  <si>
    <t>RT @iJeebster: nak kenakan orang lain, orang lain pula yang kena 🤣</t>
  </si>
  <si>
    <t>Jumlah kumulatif kasus positif Covid-19 di Malaysia adalah sebanyak 197 kasus.</t>
  </si>
  <si>
    <t>BNPB Himbau WNI Ikut Acara Jamaah Tabligh di Malaysia Periksakan Diri -</t>
  </si>
  <si>
    <t>@OvyYanuar 😊.. Mett braktivitas &amp; jdlah WNI yg baik Taqdir Allah SWT telah di tetapkan bagi semua hamba2-NYA Di belahan bumi manapun di dunia ini, TIDAK AKAN ADA 1-PUN PRESIDEN yg mau memiliki rkyat yg tidak bs mnghormati Kepala Negaranya sdr</t>
  </si>
  <si>
    <t>pemerintah langsung bergerak memulangkan wni untuk dilakukan pengobatan dan banyak hal lain yg telah dilakukan, jelas2 semua ada beritanya dan gamblang terlihat, tapi ttp dibilang tidak transparan, kadrun emang punya mata tapi mata hatinya buta oleh kebencian karena bisikan setan RT @Spider__id: Soal Virus Corona ! Dari Awal Virus ini muncul pemerintah RI sudah mengambil langkah2 siaga. Termasuk penjemputan WNI dri Wu Han dan melakukan isolasi. Hanya kepala daerah yang goblok yg mempolitisir/dramatisir membuat panik warganya. #BauAmiesPolitisirCorona</t>
  </si>
  <si>
    <t>ISIS in Syria ISI in Pakistan Taliban in Afghanistan Boko Haram In Nigeria Al Shabeb in Somalia RSS in India</t>
  </si>
  <si>
    <t>Menunggu hasil tracking 696 org WNI plus warga negara di kawasan Asean lainnya #yukbelajar #mikir #coronavirus</t>
  </si>
  <si>
    <t>@mata_juleha @AnakKolong___ Jidat hitam yg di miliki mereka(Kaum KHILAFAH-ISIS) kebanyakan di jedotin di ajaran agama islam yg SESAT.</t>
  </si>
  <si>
    <t>Seorang WNI di Malaysia Positif Corona</t>
  </si>
  <si>
    <t>@HendrixJimi1 Iya dkg teroris kan mcam kadal gurun heheh... Simpatisan ISIS</t>
  </si>
  <si>
    <t>WNI Pertama di Solo Meninggal akibat Virus Korona, Ini Faktanya…</t>
  </si>
  <si>
    <t>RT @Metro_TV: #BreakingNewsMetroTV Yang tampak dilayar adalah KRI Semarang yang akan menjemput 188 WNI, selanjutnya membawa mereka ke Kolinlamil di Tanjung Priok, Jakarta Utara. LIVE @Metro_TV</t>
  </si>
  <si>
    <t>RT @Metro_TV: Masa observasi WNI ABK World Dream &amp; Diamond Princess di Pulau Sebaru Kecil akan segera berakhir pada akhir pekan ini. Para WNI rencananya akan dipulangkan pada Sabtu (14/03) dan Minggu (15/03). Bagaimana persipaan pemulangan WNI tersebut? #PrimetimeNews #IndonesiaMelawanCorona</t>
  </si>
  <si>
    <t>Kiki vs Isis.</t>
  </si>
  <si>
    <t>RT @umaralims: dlm catatan sipil Ahok sebenernya warga Tiongkok. Ahok lahir 1966 dan mendpt naturalisasi menjadi WNI thn 1986. by Yusril Ihza Mahendra. Menurut sy, Ahok sangaja dibesarkan dan patut diduga bagian dari konpirasi kepentingan komunis Cina utk Menguasai politik dan ekonomi RI.</t>
  </si>
  <si>
    <t>RT @nazreensary: Orang malaysia semua baik baik</t>
  </si>
  <si>
    <t>@AnakKolong___ Masa iya sih Allah tdk adil gt ?? Klo gt mah klompok ISIS yg udah jg tukang Jagal pd masuk surga semua dong?! Ga perlu punya ahlak baik' dg berbuat jahat jg nanti dosanya dibebankan pd orang nasrani &amp; Yahudi ... 😂😄😆</t>
  </si>
  <si>
    <t>@msaid_didu @jokowi Sssstt.. Diam-diam Bapak Jokowi merencanakan untuk mengundang semua WNI yg terkena Corona ke istana.</t>
  </si>
  <si>
    <t>197 Orang di Malaysia Positif Corona, Satu Diantaranya WNI</t>
  </si>
  <si>
    <t>#Dunia Satu WNI di Malaysia Positif Terinfeksi Corona</t>
  </si>
  <si>
    <t>RT @cnbcindonesia: Corona Nyebar di Tabligh Akbar, Ratusan WNI Ikut Hadir</t>
  </si>
  <si>
    <t>Ambil keputusan foreigners in/ out Lock down utk jangka watu tertentu tak terkecuali wni spt Saudi</t>
  </si>
  <si>
    <t>@am_irva berarti untuk WNI yang mau pulang cuti tidak wajib ya. sama katanya banyak penerbangan yg di cancel ya dari dan ke korea? itu berlaku sampe kapan ka? mohon infonya kalo kakanya tau 😊🙏</t>
  </si>
  <si>
    <t>RT @pokershash: Updated: Arrests made in #AntiHinduRiots so far- 1. Shahrukh 2. Tahir Hussain(AAP) 3. Shahnawaz 4. Jahanjeb Sami(ISIS) 5. Hina Bashir(ISIS) 6. Danish Ali(PFI) 7. Shah Alam 8. Salim Malik 9. Mohd Jalaluddin 10. Mohd Ayub 11. Mohd Yunus 12. Mohd Mushtaq 13. Md Danish 14. Md Salim</t>
  </si>
  <si>
    <t>@coffeefl12 Kurang tau sih ya saya,Untuk jaga2 sih lebih baik cari gpp..tapi denger2 kmaren dr KBRI utk WNI tidak wajib..</t>
  </si>
  <si>
    <t>@narkosun nah gitu dong akhirnya tidak lagi mengatasnamakan seluruh umat Islam... HTI, FPI, isis, wahableh, 212, para radikal intoleran semua bersatu di bawah satu partai.... bakal seru tuh liat sesama radikal intoleran gebuk2an 😅</t>
  </si>
  <si>
    <t>Tadi pagi di prog World News CNN Indonesia, seorang WNI di Italia bernama Ty* bilang tidak ada arahan dari KBRI setempat, malah dapatnya dari Pemerintah Italia. *Sementara itu, Korsel justru sampe kirim SMS ke seluruh warganya berisi update terkini &amp; lokasi yang harus dijauhi.</t>
  </si>
  <si>
    <t>RT @Metro_TV: #BreakingNewsMetroTV NewsMetroTV Pemulangan 188 WNI ABK World Dream usai diobservasi di Pulau Sebaru dilakukan pagi ini. Dari Sebaru mereka dibawa ke KRI Semarang yang akan menuju Tanjung Priuk, Jakarta Utara. LIVE @Metro_TV dan</t>
  </si>
  <si>
    <t>@ZakiMubarrak @eae18 @Bemz_Q @umar_hasibuan @zuhairimisrawi Kloter pertama, ya?</t>
  </si>
  <si>
    <t>@idayu_wien @keps_ky @detikcom @thedufresne @kemenhub151 Kamu juga gak boleh mengalah dong. Seperti kamu bilang WNI harus ngotot. Ayo, ngotot dong tapi landasan hukumnya jelas agar netijen lain juga bisa paham. Tapi kalau cuma ngotot pengendara Pajero juga harus dinyatakan bersalah, ya gak bisa begitu. Ada fakta yg jadi pembuktian.</t>
  </si>
  <si>
    <t>Kasus pertama corona di Brunei merupakan jamaah yang hadir di tabligh akbar Malaysia</t>
  </si>
  <si>
    <t>@Ayang_Utriza Bagaimana masuk ke pemahaman kaum kadrun....dalam sholat saja mereka memilih sholat di jalanan dibanding sholat dalam mesjid yg sudah dibangun Megah...dan bertebaran di Jakarta....dan menjadikannya tempat tidur</t>
  </si>
  <si>
    <t>RT @permadiaktivis: Bangsa lagi darurat corona gini, eh ada aja #BangsatBangsa yang bikin DRAMA situs dihack, padahal yang ngehack tim sendiri, heboh sendiri, pencitraan bangsad Otak lo ditaro dimana sih jing? Bangsa lagi kena musibah lo pake buat pencitraan?? P L A Y V I C T I M A N J I N G !</t>
  </si>
  <si>
    <t>Per tanggal 13 Maret 2020, jumlah kasus #COVID19 di Jepang adalah 711. Prefektur dengan jumlah kasus tertinggi adalah Hokkaido (137), Aichi (114), Osaka (92), dan Tokyo (77). Bagi WNI yang berada di Jepang, kami…</t>
  </si>
  <si>
    <t>Gw kasih tau nih netizen sebuah contoh bahwa "ga semua tingkat pengetahuan" nyampe pada satu isu (kalian bisa cross cek ini) Ada himbauan agar WNI yg kemarin baru pulang umroh tahap akhir agar MENGKARANTINA DIRI DI RUMAH SELAMA 14 HARI dengan tidak menerima tamu / keluar rumah</t>
  </si>
  <si>
    <t>@KikaOyes @TofaTofa_id Yaelah......SUDAH JELASmo ditanggung Pemerintah....ngapain juga pake kata BILA..... Statement dari orang Bodoh untuk orang TOLOL</t>
  </si>
  <si>
    <t>Seorang warga negara Indonesia (WNI) termasuk salah satu diantara 197 orang yang dinyatakan positif COVID-19 di Malaysia. #CoronaOutbreak #COVID2019</t>
  </si>
  <si>
    <t>@am_irva info ka pemberlakuan surat kesehatan sebelum pulang ke indo apa benar buat WNI yg mau pulang ke Indo? terutama yg dari kota Daegu</t>
  </si>
  <si>
    <t>RT @muruhpuy: @sociogeeks_ Yeap... Semoga ada hati &amp; otak yg waras tdk melakukan sweeping liar di terminal2, bandara2, pelabuhan2 dan pintu2 tol oleh WNI yg panik &amp;amp; bandar yg memanfaatkan. Di Inggris asal sipit digebukin, di RI warung buka bulan puasa diobrakabrik. Mau? Welcome to the Jungle (baby) GN'R</t>
  </si>
  <si>
    <t>@AlissaWahid Di data, kejar trus karantina 14 hari. Perlakukan seperti WNI yg Dr China di Natuna.</t>
  </si>
  <si>
    <t>@AsepSuwarno77 @denikov Saya dulu suka menyisihkan sedikit ketika mereka posting2 donasi kemanusiaan tapi Sejak ada isu mereka berkirim logistik ke ISIS dan group penyokongnya sekarang tiap ada iklan mereka muncul, langsung saya blok</t>
  </si>
  <si>
    <t>Corona Nyebar di Tabligh Akbar, Ratusan WNI Ikut Hadir</t>
  </si>
  <si>
    <t>Satu WNI di Malaysia positif COVID-19</t>
  </si>
  <si>
    <t>RT @kbridenhaag: #Repost @safetravelkemlu • • • • • • IMBAUAN BAGI WNI YANG BERADA DI LUAR NEGERI ATAU BERENCANA MELAKUKAN PERJALANAN KE LUAR NEGERI SEHUBUNGAN DENGAN PENYEBARAN WABAH COVID-19 #travel #backpacker #safetravelkemlu #negaramelindungi</t>
  </si>
  <si>
    <t>RT @cnbcindonesia: Corona di Tabligh Akbar, 696 WNI Diimbau Periksakan Diri</t>
  </si>
  <si>
    <t>Aktivitas para 188 WNI ABK World Dream ini sudah dimulai dari pukul 05.00 WBI dan dibantu oleh para Prajurtit TNI untuk membawa barang"nya ke dermaga. #PulauSebaru #AGP</t>
  </si>
  <si>
    <t>Aiee nee video isis singapore ya tek lalu ilangg</t>
  </si>
  <si>
    <t>#SahabatKemlu, berikut update Perkembangan COVID-19 di Dunia dan Pelindungan WNI per 14/03 pukul 08.00 WIB. #IniDiplomasi #NegaraMelindungi</t>
  </si>
  <si>
    <t>RT @KontanNews: Bertambah, dua WNI dikonfirmasi terinfeksi virus corona di Singapura</t>
  </si>
  <si>
    <t>@Ch4rl13s_4ng3ls Amin... Tp kok Iran slh 1 Terbesar yg kena ..? Bahkan ada ISIS yg rajiiin wudhu &amp; militan loh..</t>
  </si>
  <si>
    <t>#BreakingNewsMetroTV Jelang kedatangan 188 WNI ABK World Dream dari Pulau Sebaru, telah disiapkan 5 bus di dermaga Kolinlamil. Selanjutnya akan diserahkan pemerintah pada perwakilan Pemda masing-masing. LIVE @Metro_TV dan</t>
  </si>
  <si>
    <t>RT @Metro_TV: #BreakingNewsMetroTV Masa observasi ratusan WNI anak buah kapal World Dream dan Diamond Princess di Pulau Sebaru Kecil akan segara berakhir pekan ini. Para WNI rencananya akan dipulangkan pada hari Sabtu dan Minggu.</t>
  </si>
  <si>
    <t>@hamburgerhands tapi suka kumpul sama sesama WNI, kak? johnnys to the rescue ya 😂</t>
  </si>
  <si>
    <t>seneng deh jadi wni, tiap hari dikasih berita lucu. RT @infobdg: Pagi ini, di Mesjid Raya Bandung akan di laksanakan kegiatan "Kerja Bhakti Sinergi Cegah Corona" oleh Polrestabes Bandung, Kodam Siliwangi dan unsur Forkopimda Kota Bandung</t>
  </si>
  <si>
    <t>Corona di Tabligh Akbar, 696 WNI Diimbau Periksakan Diri</t>
  </si>
  <si>
    <t>RT @kompascom: Dua WNI kembali dikonfirmasi terinfeksi virus corona di Singapura. Kasus ini diumumkan pada Kamis (12/3/2020).</t>
  </si>
  <si>
    <t>di Syria ISIS menggunakan issu agama utk cari pengikut... RT @kacok: Anis tinggal nunggu waktu aja.... Alam yg marah sama si wann aibon... Formula. E ngotot.... Virus datang... Dirtunda.... Kemarin Monas di rusak.... Apa yg Akan terjadi???... Klu nggak berobah... Alam juga yg menghumu si want aibon</t>
  </si>
  <si>
    <t>@karman_mustamin @keps_ky @detikcom @thedufresne @kemenhub151 Definitely NO. Dlm penyelidikan kecelakaan kapal &amp; pesawat terbang, mungkin tidak di negara amburadul +62, situasi sebelum kejadian &amp;amp; di saat kejadian itu hal yg terkait erat. Rentetan komen sy dr awal secara analisis wacana akan terlihat sy mengalah, tp soal adil WNI hrs ngotot</t>
  </si>
  <si>
    <t>ISIS itu butuh aktualisasi kata orang...dan seluruh cell tidur wajib bangun... RT @ChusnulCh__: Car free day ditiadakan langsung dipuji dia fokus pd keselamatan warganya &amp; berani cepat ambil keputusan pdhl kemarin demo FPI dibiarkn &amp;amp; besok kongres partai yg datangkn ribuan orang dikasih izin. Konsisten dlm ketidak konsistenan dipuji, waras ngul? 😂 #BauAmiesPolitisirCorona</t>
  </si>
  <si>
    <t>@FaqihSyahrir @AlissaWahid Per 5 feb, pemerintah sudah melarang turis dr cina. Per 5 maret lanjut larangan dari itali, korsel dan iran. Masalahnya yg dari msia ini WNI yg ga mungkin dilarang masuk. Harusnya spt msia dan spore, semua yg ikut lgsg dipantau kesehatannya selama 14 hari. Jangan nunggu sakit.</t>
  </si>
  <si>
    <t>@MarikaRahman_ Dok, gimana kagak panik, tingkat kematian akibat corona di Indonesia 6%, lebih tinggi dr global yg 2%. Lambat amir pemerintah, nyawa WNI kagak ada berharganya sama sekali</t>
  </si>
  <si>
    <t>#BreakingNewsMetroTV Pemulangan 188 WNI usai diobservasi di Pulau Sebaru. KRI Semarang berangkat ke dermaga Kolinlamil, di Tanjung Priuk. LIVE @Metro_TV dan</t>
  </si>
  <si>
    <t>Lewat Video' Uighur yg diLatih ISIS Bersumpah serang China.</t>
  </si>
  <si>
    <t>@sociogeeks_ Yeap... Semoga ada hati &amp; otak yg waras tdk melakukan sweeping liar di terminal2, bandara2, pelabuhan2 dan pintu2 tol oleh WNI yg panik &amp;amp; bandar yg memanfaatkan. Di Inggris asal sipit digebukin, di RI warung buka bulan puasa diobrakabrik. Mau? Welcome to the Jungle (baby) GN'R</t>
  </si>
  <si>
    <t>@Setya97730611 @IndahKu64617720 @bangZhack68 Yg kemarin WNI dari wuhan aja malah rame dibilang ga diperiksa karena alat nya mahal..gimana orang biasa kayak saya bisa percaya alasan pemerintah, ini soal nyawa rakyat</t>
  </si>
  <si>
    <t>Prosedur pemantauan kesehatan di bandara gmn niih .. kok jateng bertambah ( solo..Salatiga..semarang ) semua wni yg pulang dari skolah dan kerja di LN ???</t>
  </si>
  <si>
    <t>@KwTesalonika @CNNIndonesia WNI pala lu ? Lu beneran kudet atau mang pura2 gak tahu 🙄 Emang gak bakalan milih siapa yg mau kena tp setidaknya di antisipasi lah penyebarannya biar gak meluas.. Negara lain dah melarang china masuk, eh di sini pemerintahnya malah welcome tu sama saja dg ngundang penyakit</t>
  </si>
  <si>
    <t>@jokowi Pak Presiden segara LOCK DOWN banyak WNI malah ke Luar Negeri manfaatkan harga Tiket Murah.... SEGERA pak sebelum meledak kayak Italia</t>
  </si>
  <si>
    <t>RT @SiJombloKreatif: Pada hari Sabtu besok, 188 WNI ABK World Dream akan dipulangkan! #PulauSebaru #AGP</t>
  </si>
  <si>
    <t>RT @MaulabasAhmad: Corona Nyebar di Tabligh Akbar, KBRI Minta WNI Tes COVID-19</t>
  </si>
  <si>
    <t>RT @cilliasiregar: Nah, tim yang ngedampingi para WNI diobservasi di Pulau Sebaru juga akan di cek kesehatannya. #PulauSebaru #AGP</t>
  </si>
  <si>
    <t>@mayafarrell21 @CNNIndonesia Kebanyakan yg terkena virus orang WNI yang ke luar bawa pulang virus , dan loe masih bawa China? Emg loe udah benci etnisnya apa-apa loe bawa ke China , mereka orang China ya gk bkl bisa dilahirkan dimana dan orang yg terkena virus juga gk bkl milih buat kena virus</t>
  </si>
  <si>
    <t>@ISIS_Balik_NO @p023456 @enricofernandos @kbenaranHakiki @CNNIndonesia Model cuma sebar isu, paling dpt referensi dari situs abal2</t>
  </si>
  <si>
    <t>Bodoh punya ISIS</t>
  </si>
  <si>
    <t>@PartaiSocmed @MarikaRahman_ @KemenkesRI Kemarin pas penjemputan WNI.. Perwakilan WHO nya sama kah ?</t>
  </si>
  <si>
    <t>@jokowi Tolong pak jokowi lockdown jabotabek pergerakan virus ini sngat cepet tidak bisa dengan tracking lgi karena wni bnyak habis dri luar negeri. Insallah uang untuk indonesia bisa kita cari lgi bersama" tpi yg lebih penting sekarang keselamatan masyarakat</t>
  </si>
  <si>
    <t>@PartaiSocmed kemarin waktu pertama kali ada WNI positif COVID - 19 hebohnya kaya gitu,langsung pada panik</t>
  </si>
  <si>
    <t>@mayafarrell21 @WantiZoe @CNNIndonesia Ada WNI yang bawa virus Corona ke Singapore, ada WN Australia bawa virus ke Bali.......jadi gimana donk ?</t>
  </si>
  <si>
    <t>"Kementerian Kesehatan Malaysia sudah merilis tiga jemaah positif terinfeksi virus Corona," ungkapnya.</t>
  </si>
  <si>
    <t>Bertambah, dua WNI dikonfirmasi terinfeksi virus corona di Singapura</t>
  </si>
  <si>
    <t>@dr_tompi Lock Down itu merupakan usaha terakhir untuk atasi penularan virus, saya harap Pemerintah lakukan semi Lock Down Mengurangi aktivitas penerbangan Luar Negeri, hanya untuk kepulangan turis atau WNI kedaerah masing2 Melarang segala acara keramaian diatas 100 orang</t>
  </si>
  <si>
    <t>@mbahCokro77 Persentase mereka (kadrun) tidak banyak kok, tp dg berita2x ttg mereka seolah-olah mereka besar, jd kalau pemerintah mau...sekali tumpas selesai..kok. Dengan menumpas mereka tdk akan jadi celaan dunia, karena radikalisme seperti ISIS adalah musuh bersama (dunia).</t>
  </si>
  <si>
    <t>@ikanjarang @ISIS_Balik_NO @BudiatnoGomarus @eko_kuntadhi tentata Allah masuk ke tabligh akbar?</t>
  </si>
  <si>
    <t>@Ayamtukdalangg Tapi pak @jokowi lebih mau urusi anak ISIS, dan wapres malah sibuk urusan sertifikat corona 😩😩</t>
  </si>
  <si>
    <t>#BreakingNewsMetroTV Yang tampak dilayar adalah KRI Semarang yang akan menjemput 188 WNI, selanjutnya membawa mereka ke Kolinlamil di Tanjung Priok, Jakarta Utara. LIVE @Metro_TV</t>
  </si>
  <si>
    <t>Cegah Penyebaran Virus Corona, WNI yang Ikut Tablik Akbar di Malaysia Diimbau Memeriksakan Diri</t>
  </si>
  <si>
    <t>@AnakKolong___ Islam beraliran SESAT sperti KHILAFAH-ISIS yg slalu mengajarkan kaumnya menjadi manusia KAFIR yg dk beradab dan slalu mempermainkan wanita utk melampiaskan nafsu sex semata</t>
  </si>
  <si>
    <t>@_wni_ Aku dah insaf nak tweet cani dah</t>
  </si>
  <si>
    <t>@boffxla Heh ojo suwe" msok smpe agstus. Entek no wni</t>
  </si>
  <si>
    <t>#BreakingNewsMetroTV Pemulangan 188 WNI ABK World Dream usai diobservasi dari Pulau Sebaru, LIVE @Metro_TV dan</t>
  </si>
  <si>
    <t>@Anna_MaSue Dengan makin banyaknya privilage yg diberikan pemerintah kepada wna/wni asal Tiongkok maka patut kita menduga ada rencana terselubung untuk menjadikan negara ini menjadi koloni negeri tirai bambu tersebut</t>
  </si>
  <si>
    <t>#BreakingNewsMetroTV NewsMetroTV Pemulangan 188 WNI ABK World Dream usai diobservasi di Pulau Sebaru dilakukan pagi ini. Dari Sebaru mereka dibawa ke KRI Semarang yang akan menuju Tanjung Priuk, Jakarta Utara. LIVE @Metro_TV dan</t>
  </si>
  <si>
    <t>RT @tweetfairys: “ Biasanya saya akan bangun seawal 4:15 pagi dan mengamalkan doa-doa rasul terlebih dahulu” - Neelofa</t>
  </si>
  <si>
    <t>RT @nieldudes: lantak kau la nak kawan ke tak , penat la sial asyik ikut rentak kau je</t>
  </si>
  <si>
    <t>RT @qinshann: sayang betul dekat member pandai ambik gambar.</t>
  </si>
  <si>
    <t>@msaid_didu WNI keturunan apa WNI tumpangan yg kena virus Coronna</t>
  </si>
  <si>
    <t>Tmn2 WNI di Midwest AS (Minnesota, North Dakota, South Dakota, Nebraska, Ohio, Illinois, Iowa, Missouri, Wisconsin, Kansas, Michigan dan Indiana), jika membutuhkan bantuan emergensi bisa hubungi hotline &amp;email @INAinChicago di bwh ini. Jaga kesehatan dan tetap semangat ya! 💪</t>
  </si>
  <si>
    <t>@ustadtengkuzull @MukhtarLuthfi12 @kabinawa5 @ISIS_Balik_NO @musniumar @ustadtengkuzul 🤣🤣🤣😜😜😜lanjutken</t>
  </si>
  <si>
    <t>RT @vierda: 29. Fitnah keji terhadap ustadz Bachtiar Natsir sebagai pendukung teroris/ISIS 30. Pembelokkan sejarah yang menyatakan Imam Bonjol sebagai radikalis</t>
  </si>
  <si>
    <t>Dua WNI kembali dikonfirmasi terinfeksi virus corona di Singapura. Kasus ini diumumkan pada Kamis (12/3/2020).</t>
  </si>
  <si>
    <t>@mas__piyuuu @aniesbaswedan Tindakan Pak Gub Anis sunggu sangat terpuji, selain Jkt sbagai ibukota juga sbagai pusat transit bagi WNI yg pulang dari luar negeri serta TKA &amp; turis asing yg mau mlancong &amp;amp; kerja ke Ind karena alasan itu maka Jkt harus dijaga sbagai pintu gerbang pnyebaran virus corona di ind</t>
  </si>
  <si>
    <t>Warga Negara Indonesia (WNI) yang mengikuti Tabligh Akbar di Masjid Sri Petaling, Malaysia pada 28 Februari-1 Maret 2020 diminta memeriksakan diri jika memiliki keluhan kesehatan.</t>
  </si>
  <si>
    <t>@AsepSuwarno77 @anak_anakafir Dari dulu Hidayat nur Wahid paling semangat membahas tentang teroris terasuk rencana pemulangan eks ISIS di suriah. Ternyata org ini dalang keributan politik yang berkedok agama.</t>
  </si>
  <si>
    <t>@terkembang_4817 Coba deh liat orang China disekitar lingkungan kita., mereka ngakunya WNI, tapi ogah bergaul ama kita., betul ngak., jadi stop deh kalian bela2 China., nanti kalian mati mreka ngak akan angkat jenazah kalian hay kaum Cebong.,</t>
  </si>
  <si>
    <t>@Nnyzhuxin1 Sebagai WNI yang baik kita wajib #LestarikanWisataNusantara 💕🇮🇩💕</t>
  </si>
  <si>
    <t>My fiancée just ws me told me why he didn’t reply me yesterday due to one problem yg ade satu lelaki ni yg viral kat fb tu buat perangai pekik pekik lepas tu maki hamun n buat bom api dkt hdb voideck n vandalising isis smue giler siak! 🤦🏻‍♀️ he handling this cases tu pasal busy.</t>
  </si>
  <si>
    <t>@scatjens HDURUSPSNDJWWN n!,’dnshjakanssjenbebrbdhxb!,!,!,!!,$:&amp;:@:&amp;amp;;!!;!,’d’isis</t>
  </si>
  <si>
    <t>#RupiahAnjlokJKWRontok #RupiahAnjlokJKWRontok Negeri 'Asing'  Asing bagi WNI sang Pemilik Negri sbg dampak kepemimpinan Plonga Plongo demi China Komunis</t>
  </si>
  <si>
    <t>RT @John53940170: @msaid_didu @aniesbaswedan Tolol,Corona sdh masuk dlm katogori musibah dunia/Negara,bukan penyakit lokal,,Negara ada pemerintahnya,ada mentri dan jajaran nya,urus warga DKI aja ga sanggup mau urus seluruh WNI? Pikun lo ya,,dibela boleh aja,tp rakyat ga tolol kaya lo</t>
  </si>
  <si>
    <t>@Ravagiing ISIS HR department. 🤨</t>
  </si>
  <si>
    <t>#RupiahAnjlokJKWRontok #RupiahAnjlokJKWRontok 1 WNI Pasien Isolasi di RSPI Sulianti Saroso Meninggal Dunia</t>
  </si>
  <si>
    <t>@thisisyoungk_ mandalo all'isis</t>
  </si>
  <si>
    <t>RT @KompasTV: Ini Panduan KBRI di Riyadh untuk WNI yang Ingin Masuk dan Keluar dari Arab Saudi</t>
  </si>
  <si>
    <t>@mat_sodor @ISIS_Balik_NO @TofaTofa_id Sudah jangan pada debat,, Faktanya sekarang,, jkt dipimpin oleh seekor onta pilihan bani kadrun bin habieb mesum,,!!! Mampoosss,,,🙏🙏🙏</t>
  </si>
  <si>
    <t>RT @ansormaluku: Kami Gerakan Pemuda Ansor Maluku tolak wacana Prof. Salim Said terkait pemulangan WNI eks ISIS ke Indonesia, apalagi ke Pulau Buru - Maluku #AnsorMalukuMaju #KitaIniSama</t>
  </si>
  <si>
    <t>isis kat singapore dah macam police hutang ahlong je😂</t>
  </si>
  <si>
    <t>@DKIJakarta @budayajakarta @JakartaTourism @aniesbaswedan DKI Jakarta apa perlu memisahkan diri aza dari kepemimpinan jokowi? Saya dukung dah kl gini caranya, Bung Anies jadi presidennya. WNI lain nyusul ntar jd WN Jakarta 😆😆</t>
  </si>
  <si>
    <t>Pengungsi Syi'ah Sampang yg diusir dari tanahnya sendiri di kampung halamannya meminta dipulangkan ke rumah mereka. Mereka mengadukan nasib, meminta keadilan&amp; pemenuhan hak mereka sebagai WNI&amp;amp; umat beragama. #agentoleransi #salamtoleransi #WNI #HakWNI #RI</t>
  </si>
  <si>
    <t>@jokowi Pak pastikan semua bandara telah dilakukan penyemprotan disinfektan, kalau bisa stop sama sekali orang ASING masuk, nuga sekalipun WNI kalau perlu semua harus dikarantina dulu, tolonglah pak</t>
  </si>
  <si>
    <t>@wisnu_prasetya Masuk logika. Krn saat ramadhan akan lbh banyak jumlah orang yang berkumpul di masjid. Hampir seluruh wni akan pulang kamping dengan kendaraan umum saat menjelang lebaran. Kondisi2 ini sangat rentan untuk menularkan oramg dalam junlah besar</t>
  </si>
  <si>
    <t>@HelmiRahim @RD_4WR1212 @ustadtengkuzul Mmgnya kau bkn WNI ya? Bodoh kau</t>
  </si>
  <si>
    <t>Kawan se temlen Mohon dibantu dishare Kalau ada WNI batu balik Dari MALAYSIA, ikut tabliq akbar tersebut. RT @bintangforza: Untuk Warga Negara Indonesia yang mengikuti tabligh ini di Kuala Lumpur, mohon langsung periksakan diri, melapor/menghubungi rumah sakit terdekat untuk dievakuasi. Data terakhir yang ada, sudah ada 40 orang yang mengikuti tabligh ini terkena coronavirus di Malaysia. #BantuShare</t>
  </si>
  <si>
    <t>@TirtoID Aneh. Ini lawan virus bukan lawan ISIS.</t>
  </si>
  <si>
    <t>Yg aneh itu adalah sdh ada kejadian bbrp import case (dr turis asing n dr WNI yg abis dr LN) tp tetep sj dijalanin open sky. Mbok y utk sementara tutup dulu ✈ nya. Semi lockdown apa gx bisa biar gak berlipat2 jumlahnya. @jokowi #LockDownIndonesia</t>
  </si>
  <si>
    <t>[ Testimony WNI ] Lindungi rakyatnya dr virus mematikan corona, Italia berlakukan status lock down.</t>
  </si>
  <si>
    <t>ISIS :1 SISI : 0 RT @aboalzahraa90: تنظيم داعش يعلن وقف جميع العمليات الإرهابية لحين الانتهاء من مواجهة فيروس كورونا. (الله ع أخلاقكم يا فخر الأمة)</t>
  </si>
  <si>
    <t>Ketika beberapa kampus sudah mulai mengubah model perkuliahan jarak jauh, kenapa pemerintah Indonesia sampai sekarang masih membebaskan akses masuk WNA dan WNI (yang ada di luar negeri) ke Indonesia? Semoga rakyat Indonesia semakin tanggap, kuat, sehat dan tidak panik. #COVID19 RT @ErsaTriWahyuni: Berikut adalah daftar kampus yg sudah mengeluarkan keputusan utk mengubah moda perkuliahan menjadi jarak jauh (dari berbagai sumber) 1. UI 2. UGM 3. ITB 4. Gunadharma 5. UMN (Multimedia Nusantara) 6. STAN 7. Kalbis Institut 8. Tambahkan ya di kolom reply.</t>
  </si>
  <si>
    <t>RT @malanmudi: @monster_jnr Wni dan haune wlh</t>
  </si>
  <si>
    <t>@TaliUdeng Baru cotona, kombatan isis aja woles koq ,,,</t>
  </si>
  <si>
    <t>@gloriamadona Iya biasanya dr sini kan transit dulu. wni sini pd blg ga bisa.. lah kalo tau bgini brarti bs semua 🙄 lolos dah tu pembawa2 virus 🙈</t>
  </si>
  <si>
    <t>RT @margiesandjaya: Nah, ratusan wni (696 orang) yang ikut tabligh akbar di malaysia itu pada kemana?</t>
  </si>
  <si>
    <t>@TeyzDhaar @abhijitmajumder Are par yeh toh last book di thi na during their time chalo maan bhi lia, fir bhi Isis, taliban, al Qaeda mast mein follow kr raha hai, moderate Muslims saying they aren't muslims. wtf? Ek baar clear toh karlo krna kya chahte ho. Jo sukun se jite unki jindagi jhand kr rakhi hai</t>
  </si>
  <si>
    <t>RT @Puspen_TNI: Evakuasi WNI (ABK Diamond Princess) dari KRI dr. Soeharso ke Pulau Sebaru . #tni #tnipeduli #krisoeharso #viruscorona</t>
  </si>
  <si>
    <t>@monster_jnr Wni dan haune wlh</t>
  </si>
  <si>
    <t>@TeukuDjouhan DI/TII berontak belasan thn, teroris 1980an bajak pesawat Garuda &amp; ledakkan stupa Borobudur, Amrozi cs bikin bom Bali, para teroris ngebom gereja2, hingga org2 pergi gabung ISIS juga gara2 ghiroh. Klo ditanya alasannya, semua pasti jawab lillahi ta'ala.</t>
  </si>
  <si>
    <t>Dari sekian banyak negara, knp ak hrus jdi wni ya Allah</t>
  </si>
  <si>
    <t>188 WNI ABK Kapal World Dream akan Dipulangkan</t>
  </si>
  <si>
    <t>RT @denikov: @thalibdluffy @MarikaRahman_ Jd inget sama kelakuan warga natuna waktu wni dari wuhan mau dikarantina di sana. Ga yakin dah daerah lain bakal lebih baik drpd warga natuna</t>
  </si>
  <si>
    <t>Satu2nya jalan yaaa.. warga Indo yg ngerti, ajarin dan ajak warga yg ga paham. WNI yg punya influent yaa coba pengaruhin agar WNI bersatu. 1 pemikiran, 1 tindakan melawan korona. Bkn panik. Bkn terlalu santuy. Santuy tp waspada.</t>
  </si>
  <si>
    <t>@ISIS_Balik_NO @TofaTofa_id Mestinya situ baca jg " judul beritanya itu pake kata bila " Anies akan bayar perawatan pdp corona BILA tak ditanggung pemerintah. Jelas ya</t>
  </si>
  <si>
    <t>@negroverdugo Isistiminti isis is il ciminismi</t>
  </si>
  <si>
    <t>Dari penuturan WNI di korsel, ketika ada info pasien corona, mrk selalu dapat info ttg keberadaan mereka, kemana mereka pergi sebelumnya via Telepon seluler. Jadi kita lebih aware. Bisa gak spt itu pak @jokowi ? melibatkan operator operator tlp seluler juga</t>
  </si>
  <si>
    <t>La Turchia di Erdogan rilascia capi terroristi dell'ISIS per usarli come mercenari in Libia Erdogan has released ISIS importante fighter Abu Yazan Al-Shami, to send him in Libya. RT @LNA2019M: Turkish-backed factions released one of #ISIS princes (Abu Yazan Al-Shami) from the central prison in Al-Ra'i city in Aleppo in order to send him fight in #Libya side by side with another Syrian mercenaries. He was arrested in last Apr after fleeing from Deir Ezzor city. #GNA</t>
  </si>
  <si>
    <t>@smiile @cdearaujoo SOCORROROOOOK KKKKKKKKKK @inaramrqs @crvg_isis @blahblahbelle_ @manufofa_</t>
  </si>
  <si>
    <t>@thalibdluffy @MarikaRahman_ Jd inget sama kelakuan warga natuna waktu wni dari wuhan mau dikarantina di sana. Ga yakin dah daerah lain bakal lebih baik drpd warga natuna</t>
  </si>
  <si>
    <t>@mataairrr @RadenSyuhada8 Udah budaya wni suatu masalah, dikaiti dengan politik. Seakan pemerintah lah yang salah</t>
  </si>
  <si>
    <t>RT @BBCIndonesia: [Video] Nada Fedulla, seorang WNI, dibawa ayahnya yang menjadi anggota ISIS ke Suriah. Nada terpaksa meninggalkan sekolahnya di Indonesia dan melupakan cita-citanya menjadi dokter. Kini dia tak bisa pulang. Bisakah Nada memaafkan ayahnya?</t>
  </si>
  <si>
    <t>Krg transparansi bisa buat WNI jadi stress krn paranoid.. stress bisa buat kesehatan menurun dan akhirnga berpeluang kena corona. Tapi nih... WNI yg kurang pendidikan atau yg bandel lalu terlalu santuy hingga ga ikutin tindakan preventif juga salah banget.</t>
  </si>
  <si>
    <t>#Repost @safetravelkemlu • • • • • • IMBAUAN BAGI WNI YANG BERADA DI LUAR NEGERI ATAU BERENCANA MELAKUKAN PERJALANAN KE LUAR NEGERI SEHUBUNGAN DENGAN PENYEBARAN WABAH COVID-19 #travel #backpacker #safetravelkemlu #negaramelindungi</t>
  </si>
  <si>
    <t>@dreamcatcherkey Iya kak, mending #LockDownIndonesia kalo udah ada 1000 kasus, entar kalo ada 2000 kasus baru dah di isolasi. Soalnya WNI lebih suka mengobati daripada menjaga</t>
  </si>
  <si>
    <t>@DrestaJumene @Jelantik5 @gusbayu @Gungwah_Lau @pasektohpati @daunsirih5 @AremaNita__ @attar_ISA @Surya_Nusantara @Kars104 @Tikayulie Ga adil dong' sama aja dg pemimpin isis si Baghdadi ! Enak aja kalian yg dosa orang kristen &amp; nasrani yg dibebanin .</t>
  </si>
  <si>
    <t>RT @marnoto731: @AnakLolina @FerdinandHaean2 @jokowi @mohmahfudmd Pasal 28 ayat 1 UUD'45 ' Setiap org bebas memeluk agama dan beribadat menurut agamanya... Pasal 29 ayat 2 UUD'46 ' Tentang hak2 yg dimiliki tiap WNI termasuk ibadah Pasal 22 ayat 2 UU HAM ' Negara menjamin kemerdekaan tiap WNI utk memeluk,menjalankan dan beribadah sesuai agamnya</t>
  </si>
  <si>
    <t>@jokowi Selektif , bagus Klau sda tidak terukur Sebaiknya ditutup sementara Untuk semua tamu asing Dari pada Pademik yg membahayakan WNI Dan berkepanjangan</t>
  </si>
  <si>
    <t>Tenggelamkan antek ISis.. #2019JokowiMaruf #Jokowi2Periode</t>
  </si>
  <si>
    <t>Berberapa cerita anak terpaksa dilatih sehingga siap berperang buat ISIS. Skarang diselamatkan tapi blum ada yg tahu nasib anak ini - Insya Allah bisa lepas dari pengaruh buruk #dampakradikalisme #lawanradikalisme @MbojoFarid @Vinesulaimanre1 Rilis baru:</t>
  </si>
  <si>
    <t>Hasta ISIS joder RT @clarincom: ISIS publicó una insólita guía para que sus terroristas no contraigan coronavirus</t>
  </si>
  <si>
    <t>Demi kesehatan &amp; keselamatan WNI di seluruh Indonesia, baiknya Presiden taati permintaan WHO utk laksanakan Darurat Nasional Corona dlm jangka waktu tertentu sambil lakukan penyemprotan disinfekstan disemua tempat umum-kantor-sekolah-RS-transportasi umum dll scr serentak.</t>
  </si>
  <si>
    <t>Konsul Jenderal Dr Arifi Saiman diwawancara oleh Voice of America (VOA) terkait perkembangan situasi penyebaran COVID-19 dan perlindungan WNI di wilayah kerja KJRI New York. #kjrinewyork #kjriny #inidiplomasi…</t>
  </si>
  <si>
    <t>isis sial!! al-qaeda ke ni? damn</t>
  </si>
  <si>
    <t>RT @fahmijourney: ada ratusan wni yang masih stuck seusai wisata ziarah di jerusalem. jordan menutup border dr para wisatawan, israel menolak menerima. skenario lain, dipulangkan via border rafah ke mesir. akan tambah runyam jika mesir ikut menutup border. mari kita doakan jalan terbaik.</t>
  </si>
  <si>
    <t>RT @radarbogorID: Pemerintah Singapura Akan Menagih Biaya Perawatan WNI Pasien Corona</t>
  </si>
  <si>
    <t>@thesweethuman @hkalal123 @_mohibk @KeralaMyLove @khanumarfa @RanaAyyub @_sabanaqvi @AshrafFem IT Cell ka Kamaal hai yeh..cctv footage k mutabik AbVP k gundey zabardasti ushe Utha le gaye thy,ya yun kahu k ABVP ka connection ISIS k saath hai?</t>
  </si>
  <si>
    <t>2. WNI yg positif daerah mana? Mereka kena dari daerah mana? Tmpat terakhir dikunjungi apa? Kalian tak perlu sebut nama Pasien tsb cukup kalian ungkapkan Lokasi terakhir pasienn! Bisa kena dmna! berada dmna &amp; drawat dimana! Cuma itu Pak/Buu.</t>
  </si>
  <si>
    <t>@Shandy0892 @cadarmerah @DEdward_4 @_imamprasetyo @aryyyaaaa67 @AnonymousNesia @yan_tja @Ken2steve @Maryam59771644 @Bere7777777 @SitompulYunus @husnidiqiamd26 @akun_boso2 @haris_arahas @ucikohari19 @swarnadiva11 @LeBrekele @bandod_tua @TetapOposisi @reandrena @adindasoraya10 @Shandy0811 @ojamaduo @BenLiberty6 @DeHoutman7 @putirocka @Dany35160046 @donzein @Slamet26120730 @FranzOcto12 @ParlinPane4 @camilaanur @mae_boso @jawabalkitab1 @sandra_LoveJC @Totok0912 @boso_mae @UmmiHapzha @snjayajonggrang @derp313 @kaheeppp @AfrizalGbi @Anggi_sapiens @Sapangadeg @Verbum_Ang @akusiantarman @gabut_sub @yogascitra83 Ha..ha..ha... Itulah yg terjadi dan diteruskan sampai saat ini. Kejadian hampir diaeluruh dunia. Lihat isis, gunakan dalil agama utk bunuh kafir dan sesama muslim... Sadis 😂😂😂</t>
  </si>
  <si>
    <t>Untuk apa #LockDownIndonesia? Presiden mengumumkan kasus penyebaran corona telah terjadi, maka RI sudah AutoLock oleh negara² lainnya sebagaimana perlakuan kita terhadap negara lain yg telah terpapar terlebih dahulu. Sementara memperketat WNA/WNI yg masuk sudah jelas dilakukan.</t>
  </si>
  <si>
    <t>3 Jemaah Tabligh Akbar di Malaysia Positif, WNI Diminta Tes Korona</t>
  </si>
  <si>
    <t>Kisah Febri Ditinggal Orang Tua ke Suriah Gabung ISIS, Ganjar Pranowo Tanya Soal Sumber Uang - Tribun Jateng</t>
  </si>
  <si>
    <t>@jsolomonReports @DeniseTXProud Start with Erdogan, aka Mr. ISIS</t>
  </si>
  <si>
    <t>RT @ratu_adil: Seorang WNI berusia 44 tahun dikonfirmasi terkena #WuhanCoronaVirusOutbreak yang tercatat sebagai pasien ke 21 di Singapura Kami doakan sebesar-besarnya untuk kesembuhannya @kbrisingapura @Kemlu_RI #Imlek Gong Xi Fa Cai All China Hell Breaks Loose 🌐</t>
  </si>
  <si>
    <t>Imbauan KBRI Brasilia kepada seluruh WNI di Brasil terkait kasus positif CoVid-19 dan perkembangan terkini situasi di Brasil. Kiranya agar seluruh WNI meningkatkan kewaspadaan, namun tetap tenang dan tidak panik. #NegaraHadir #NegaraMelindungi #IniDiplomasi</t>
  </si>
  <si>
    <t>Humsha jahnmm mai rhna wlo esi lea isis bntii h esi lea carona vieus ata sahi ALLAH kra kabba chor puri duniya grkkk hu azytt nak muait sa</t>
  </si>
  <si>
    <t>RT @DavFar17: @qorygore "Presiden Umumkan Dua WNI Positif Corona di Indonesia" *Awto panick</t>
  </si>
  <si>
    <t>RT @ratu_adil: WNI Pulang dari China disemprot Turis China masuk RI tidak? Mana nih Menhub K****L &amp; Menpar K****L Yang bukan Hama (WNI) disemprot Anti Hama Yang beneran Hama (Turis China) disambut bagai Dewa #Imlek Gong Xi Fa Cai All China Hell Breaks Loose #WuhanCoronaVirusOutbreak 🌐</t>
  </si>
  <si>
    <t>@Ryzondeb @geloraco Daripada loe teroris isis awokwok</t>
  </si>
  <si>
    <t>RT @TxtDPR: Anggota Komisi IX DPR RI, Saleh Partaonan Daulay meminta pemerintah untuk segera mengajak para Ahli Epidemologi untuk membahas langkah-langkah yang diperlukan terkait dengan meningkatnya jumlah WNI yang terinfeksi Covid-19.</t>
  </si>
  <si>
    <t>@jokowi Uwew 😱 pilih mana? #LockDownIndonesia apa aktifitas lumpuh total? Pentingan mana outsider dg WNI? Pikirin kapasitas RS jg pak #lockdown please</t>
  </si>
  <si>
    <t>@ross_611 hi isis</t>
  </si>
  <si>
    <t>Dubes Djauhari: Dari 15.000 WNI di Tingkok Tinggal 1.600</t>
  </si>
  <si>
    <t>Anggota Komisi IX DPR RI, Saleh Partaonan Daulay meminta pemerintah untuk segera mengajak para Ahli Epidemologi untuk membahas langkah-langkah yang diperlukan terkait dengan meningkatnya jumlah WNI yang terinfeksi Covid-19.</t>
  </si>
  <si>
    <t>ISIS vs Pornhub</t>
  </si>
  <si>
    <t>HIMBAUAN BAGI WNI YANG BERADA DI LUAR NEGERI ATAU BERENCANA MELAKUKAN PERJALANAN KE LUAR NEGERI SEHUBUNGAN DENGAN PENYEBARAN WABAH COVID-19. Info selengkapnya di:  #NegaraMelindungi</t>
  </si>
  <si>
    <t>GOBISNYA INDONESIA MASALAH COVID19 INI GA CUMA DI AWAL PENJEMPUTAN WNI DARI CHINA, MASIH BERLANJUT PAS SUDAH BANYAK DI NEGARA INI JUGA TETEP GOBIS, YASALAAAM RT @CNNIndonesia: Pemerintah Soal Pasien Corona RSUP: Bukan Kabur, Pulang Dulu</t>
  </si>
  <si>
    <t>Singapura Janji Berbagi Informasi soal WNI Pasien Korona</t>
  </si>
  <si>
    <t>@benedictritzky Bebas bro, tapi hati" sama orang kaya gini, punya ilmu buat nipu orang.. suruh gabung aja sama isis soal nya sama mindset nya (melintir ayat) cuma beda agama doang..</t>
  </si>
  <si>
    <t>RT @kabinawa5: KETUM PBNU tak setuju Eks ISIS Pulang !!!! #CegahISISmasukNKRI Sudah terbukti mninggalkan Negara,membakar Passport dn mengatakan kita THOGUT buat memikirkan apa TERORIS apalagi dipulangkan???? Agr direnungkan @BNPTRI #PenghianatNkriLayakMusnah #CegahISISmasukNKRI</t>
  </si>
  <si>
    <t>@BadmintonTalk @PPIMIB PPI memang bagus banget , organisasi di kampus sangat minimm biasanya cuma Ukm(ekskul) doang. Dengan Ppi, mahasiswa bs belajar organisasi, menjalin keakraban antar WNI, dan membantu WNI yg lg berkunjung bisa sbg tour guide, dll</t>
  </si>
  <si>
    <t>RT @arwidodo: Pemerintah Arab Saudi dari waktu ke waktu memperbarui peraturan masuk dan keluar wilayah negaranya. Setelah melarang penduduk Saudi berpergian ke negara-negara yang masuk dalam list larangan, kini Indonesia dimasukkan ke dalam daftar tersebut.</t>
  </si>
  <si>
    <t>Satu WN Jepang saja bikin 2 korban WNI terinfeksi. Bgmana ratusan ribu WNA &amp; WNI yg kembali dari China? Ketika Gub @aniesbaswedan sebut KRL Bogar, Depok &amp;amp; Kota berpotensi penularan, sinyalnya sangat jelas: KOTA Jgn ditutupilah! #LockDownIndonesia #RupiahMelemahJKWLengser *FA*</t>
  </si>
  <si>
    <t>@meirelles_isis Ta super certa cara pprt</t>
  </si>
  <si>
    <t>@jokowi untuk WN dan TKA China sudah keluarkan 2 regulasi terkait wabah corona, kembali bebas visa dan perpanjangan ijin tinggal. Tapi untuk WNI apa? informasi soal corona pun terkesan simpang siur dan kadang saling sanggah.</t>
  </si>
  <si>
    <t>Pemerintah indonesia memutuskan tidak akan memulangkan 600 WNI eks ISIS</t>
  </si>
  <si>
    <t>Jadi pengen naturalisasi jadi WNI RT @VICE_ID: Sungguh solidaritas yang amat mulia dari situs ini, untuk mereka yang terhambat aktivitasnya akibat Virus Corona.</t>
  </si>
  <si>
    <t>RT @jubidotcom: Papua Lagi, dua WNI positif Covid-19 di Singapura</t>
  </si>
  <si>
    <t>RT @MFarisNazrin: Bertahun-tahun aku menganggap penyakit mental ialah musuh yang perlu diperangi. Namun aku tersilap. Musuh sebenar ialah stigma masyarakat terhadap penyakit mental. Penyakit mental ialah tangisan sang otak yang sakit merintih untuk disembuhkan.</t>
  </si>
  <si>
    <t>@coldrebellion Pas akhir Februari,dimana hari itu pas pak Presiden ngumumin 2 WNI positf corona, saya langsung inisiatif kontak call center krn merasa mengalami sedikit gejala. Kemarinnya flu (hari itu udh sembuh sebenernya) tp lanjut batuk2 dikit.</t>
  </si>
  <si>
    <t>@rullyjoo27 @kurawa Kalo.dari awal jabodetabek khususnya bandara soekarno hatta dan internasional lainya blokir masuknya wna wni Pasti ga kaya gini</t>
  </si>
  <si>
    <t>dan diperiksa ulang setelah dicurigai dg record pertemuannya. dan bukan cuma itu, dr beberapa tahun belakangan atau semenjak harga tiket domestik mahal banyak WNI yg lebih memilih untk berlibur ke LN dibandingkan DN.</t>
  </si>
  <si>
    <t>RT @ConorMcGrGr: @NishantVts Your secular words will be consumed, appreciated &amp; awarded by : AAP, Congress, NCP, Soniya Sena, Pakistan Tehreek e Insaaf, Lashkar-e-Taiba, Jamaat-e-Islami, jammat-Ud dawa, Taliban &amp;amp; ISIS 👍👍</t>
  </si>
  <si>
    <t>sdh terlambat wni sdh ditulari corona lebih baik mencegah dari pda mengobati negara lain bisa blokir kedatangan virus corona</t>
  </si>
  <si>
    <t>RT @Metro_TV: Denmark Lockdown Gara-gara Virus Corona, Bagaimana Nasib WNI di Sana? #MetroHariIni #IndonesiaMelawanCorona</t>
  </si>
  <si>
    <t>@twitviw @mazzini_gsp ??? Anu moon maap, situ emg ga tau Islam atau hanya mendiskreditkan Islam ??? Tolong dijelaskan mirip isis darimana y ?</t>
  </si>
  <si>
    <t>@geloraco Pajak buruh yg bergaji 16 juta ditanggung pemerintah? Buruh yg gaji sgtu cma buruh WNA sdngkan yg WNI dibwah 10 juta dikenakan pajak😂 Wyaarrrbyaaasaahhh...</t>
  </si>
  <si>
    <t>Libatkan intelijen di pikir mungkin virus ini alumni Suria (ISIS)</t>
  </si>
  <si>
    <t>😺✏ — Sesi senai</t>
  </si>
  <si>
    <t>RT @Kemlu_RI: #SahabatKemlu, berikut update Perkembangan COVID-19 dan Perlindungan WNI per tanggal 7 Maret 2020, pkl 17.00 WIB. #NegaraMelindungi</t>
  </si>
  <si>
    <t>RT @kbrihelsinki: Kepada Yth. Bpk/Ibu/Sdr./Sdri. WNI di Finlandia, Berikut disampaikan Himbauan bagi WNI dan Perkembangan Kondisi terkait Coronavirus 2019 (COVID-19) di Finlandia untuk menjadi perhatian. Terima kasih. @Kemlu_RI @KemenkesRI #IniDiplomasi #IndonesianWay</t>
  </si>
  <si>
    <t>RT @kbrihelsinki: epada Yth. Bpk/Ibu/Sdr./Sdri. WNI di Estonia, Berikut disampaikan Himbauan bagi WNI dan Perkembangan Kondisi terkait Coronavirus 2019 (COVID-19) di Estonia untuk menjadi perhatian. Terima kasih. @Kemlu_RI @KemenkesRI #IniDiplomasi #IndonesianWay</t>
  </si>
  <si>
    <t>RT @Oji4712: @dr_tompi Klo ikutan tabliq akbar ?</t>
  </si>
  <si>
    <t>@sardesairajdeep @ArvindKejriwal @AmitShah Aap to isi or isis k moderator ho</t>
  </si>
  <si>
    <t>RT @KBRI_Paris: Update #COVID19 utk WNI (9/3): di Prancis 1126 kasus positif, 19 meninggal, 1095 dirawat. Prancis tetap Siaga-2; melarang acara 1000 org. Bagi pengunjung FR, cek sosmed tujuan utk kepastian buka/tutup. Ikuti arahan resmi/via KBRI Paris  #NegaraMelindungi</t>
  </si>
  <si>
    <t>Lnjut expor pasien ke SG</t>
  </si>
  <si>
    <t>@sukamaskeran @tubirfess saya WNI biasa sih, emg knp</t>
  </si>
  <si>
    <t>Himbauan ketiga kepada WNI di Tunisia mengenai penyebaran Corona Virus (COVID-19). @Kemlu_RI @KemenkesRI #inidiplomasi #indonesianway</t>
  </si>
  <si>
    <t>Update #COVID19 utk WNI (13/3): di Prancis 2867 kasus positif, 61 meninggal. Prancis di Siaga-2, prediksi angka penyebaran masih tinggi; melarang acara dengan 100 org, agar hindari non-essential travels. Ikuti arahan resmi/via KBRI Paris  #NegaraMelindungi</t>
  </si>
  <si>
    <t>@rezky_ris @ustadtengkuzul @jokowi Bicara isis dsb itu bentuk penyimpangan, lagian kalo kita menilai isis seharusnya jgn cuma dr sisi pemberitaan, ini butuh kecerdasan lebih dr itu.. harusnya kita mampu menganalisa ada apa di balik berita..</t>
  </si>
  <si>
    <t>RT @mediaindonesia: Pasalnya, Kementerian Kesehatan Malaysia sudah merilis tiga jemaah tablig akbar tersebut positif terinfeksi virus korona (Covid-19)</t>
  </si>
  <si>
    <t>Ad yg berfikir sm ga si? Dikondisi ky gini bukannya bekerja sama mlh ngeraup sikap egois demi keuntungan gt ga siy Kaya mulai dr masker, trs mnrt kalian mending parawisata di tutup dulu aja gt kan dr pada ngancam ke wni kan pnularan awalkn dr wna (sbg antispsi)</t>
  </si>
  <si>
    <t>RT @cho_prof: RSS is more dangerous than ISIS says Swami Shivanand Saraswati@matri_sadan  via @youtube</t>
  </si>
  <si>
    <t>1. Aryasa 2. Belum menikah 3. Lagi suka dengarin lagu"nya Urban Zakapa 4. 1000+ 5. Line 6.- 7. College 8. WNI 9. 2 10. - 11. Diremehin 12. Sejauh ini 2019-2020 13. Alam, Makanan, Keluarga, Bias 14. Keknya anaknya asyik, ayo kapan meet :( Comment 🤩 for the questions</t>
  </si>
  <si>
    <t>Pasalnya, Kementerian Kesehatan Malaysia sudah merilis tiga jemaah tablig akbar tersebut positif terinfeksi virus korona (Covid-19)</t>
  </si>
  <si>
    <t>@sudhirchaudhary, IndiaTomorrow, @IndiaTomorrow_ bhi PFI(ISIS) print media hai, jaanch kariye, expose kariye. @ZeeNews @ZeeNewsCrime #Islamic_Jihad #Islamic_radical_terrorism</t>
  </si>
  <si>
    <t>Pakai softex yang ada rasa mint, mintnya isis rasanya hahahah</t>
  </si>
  <si>
    <t>RT @KJRI_Karachi:  SOSIALISASI KEKONSULERAN DAN TINDAKAN PREVENTIF WNI KEPADA MAHASISWA INDONESIA DI KARACHI</t>
  </si>
  <si>
    <t>Barusan saya chat dengan sepupu yg jd TKI di UEA. WNI yg disana sudah menerima perintah utk pulang, disana semuanya lumpuh, sekolah, toko, dan Ka'bahpun sepi. Sementara ini warga UEA dalam pengawasan ketat, tidak boleh melaksanakan i'tikaf, tidak boleh mencium hajar aswad dll.</t>
  </si>
  <si>
    <t>RT @Kemlu_RI: #SahabatKemlu, berikut update Perkembangan COVID-19 di Dunia dan Perlindungan WNI per 09/03 pukul 08.00 WIB. #NegaraMelindungi</t>
  </si>
  <si>
    <t>RT @Kemlu_RI: #SahabatKemlu, Kemlu terus memantau situasi perkembangan COVID-19, kali ini update dari KBRI Roma. Hingga kini, tidak ada WNI positif COVID-19 di Italia. Lebih lanjut simak  #NegaraMelindungi</t>
  </si>
  <si>
    <t>@AwAh72420511 @TaufiqMarhaban @CNNIndonesia @aniesbaswedan @jokowi Iya dampak ekonominya sangat sangat besar memang. Industri wisata sudah terkena skrg. Tapi cm itu cara untuk membatasi penyebaran covid ke wilayah Indonesia yg lebih luas. Atau sediakan fasilitas tes utk semua wni yg memerlukan. Sulit dan akan besar jg biayanya itu.</t>
  </si>
  <si>
    <t>RT @Kemlu_RI: #SahabatKemlu, berikut update Perkembangan COVID-19 di Dunia dan Perlindungan WNI per 08/03 pukul 08.00 WIB. #NegaraMelindungi</t>
  </si>
  <si>
    <t>RT @Kemlu_RI: #SahabatKemlu, berikut update Perkembangan COVID-19 di Dunia dan Pelindungan WNI per 12/03 pukul 09.30 WIB. Seorang WNI telah dinyatakan sembuh, sehingga total 9 WNI telah sembuh dari COVID-19 di luar negeri. #IniDiplomasi #NegaraMelindungi</t>
  </si>
  <si>
    <t>RT @KJRI_Karachi: Yth Bpk/Ibu Masyarakat Indonesia di Provinsi Sindh, terlampir disampaikan imbauan KJRI Karachi kepada seluruh WNI dan Diaspora Indonesia di Wilayah Provinsi Sindh, khususnya Karachi untuk selalu waspada terhadap penyebaran Virus Corona (COVID-19). #negaramelindungi #peduliWNI</t>
  </si>
  <si>
    <t>@ISIS_Balik_NO @TofaTofa_id Wkwkwkwkwkw 😂😂😂</t>
  </si>
  <si>
    <t>@myozhyme @jokowi Kejutan apa emang ga bisa kerja...? Persoalan Hukum smakin Carut-marut, Intoleransi di pelihara, anak ISIS di bela. 😩😩</t>
  </si>
  <si>
    <t>@aleemudasir Wni cha ye khander chalaan</t>
  </si>
  <si>
    <t>@do_ra_dong Tanpa mengurangi rasa hormat thdp WNI etnis Tionghoa, sy pikir banyaknya Warga China yg diijinkan masuk bukan tenaga kerja biasa. Misi, sekali lagi soal misi. Dugaan gue ada misi transaksi senyap cuci uang dgn cara (identitas dan profil palsu) baru.</t>
  </si>
  <si>
    <t>RT @KJRI_Karachi: Yth Bpk/Ibu Masyarakat Indonesia di Provinsi Sindh, terlampir disampaikan imbauan KJRI Karachi kepada seluruh WNI dan Diaspora Indonesia di Wilayah Provinsi Sindh, khususnya Karachi untuk selalu waspada terhadap penyebaran Virus Corona (COVID-19) #negaramelindungi #peduliWNI</t>
  </si>
  <si>
    <t>Apakah harus takut utk jalan2 ke luar negeri ? Ya pasti pada takut sih , jgn kan ke luar negeri keluar rumah sendiri aja udah takut sekarang . Tapi kemaren ke jepang, masih banyak ko WNI yg liburan ke jepang . Di shibuya pun masih ramai sm para turis . #coronavirus</t>
  </si>
  <si>
    <t>@itmedamak Apa kaitan siak nak pergi perang ke apa. Tu kat syria tu dah mula balik perang. Isis dah tak wujud pun ada perang lol</t>
  </si>
  <si>
    <t>Pusing hidup di indonesia ma! BESOK PINDAH KE INDOMARET. Lebih adem, lebih lengkap. @Indomaret aku daftar jadi WNI. Warga Negara Indomaret.</t>
  </si>
  <si>
    <t>@almandatf Mungkin dia isis</t>
  </si>
  <si>
    <t>RT @Ordybby: Coronavirus ya cancela tu world tour porfi.</t>
  </si>
  <si>
    <t>@jokowi 188 WNI dari china heboh di karantina 2minggu di natuna, dlm wkt yg sama WNA china dtg ke indo atas nama turis lancar jaya. Kyk Sandiwara aja.</t>
  </si>
  <si>
    <t>Singapura Janji Berbagi Informasi soal WNI Pasien Korona #TauCepatTanpaBatas #BeritaTerkini #International #BeritaInternasional .</t>
  </si>
  <si>
    <t>RT @Qshareina: @zarazettirazr Intelejen sibuk ikut urus covid19, gak takut kecolongan nanti hatei, isis, radikal radikul, khilafah tumbuh subur? Kan mereka paling takut dg itu</t>
  </si>
  <si>
    <t>Ini Panduan KBRI di Riyadh untuk WNI yang Ingin Masuk dan Keluar dari Arab Saudi</t>
  </si>
  <si>
    <t>Amerika Selatan adalah salah satu bagian dunia yg ramah pada paspor hijau. Banyak negaranya yg tidak mewajibkan visa buat WNI. Tinggal kasih paspor di border, dicap, boleh masuk. Masa tinggalnya juga royal, rata2 90 hari.</t>
  </si>
  <si>
    <t>@Waone781 @ISIS_Balik_NO @TofaTofa_id dibayar pake dp 0%</t>
  </si>
  <si>
    <t>@thesweethuman @mariya_saber @ShahanaazA Isis israel ka hai Takiban freedom fighters self defence mein super power ku zero banadiye Al qaeda se humku kya faida Kasab Muslim tha ya Manavaad ka agent tha Hello you are talking to Indian Muslim So talk about India India mein hum ya duniya mein hum kiski takleef nahi diye</t>
  </si>
  <si>
    <t>@CNNIndonesia Lucunya WNI ini tidak rakyatnya doang, petinggi nya juga</t>
  </si>
  <si>
    <t>aat blm ada statemen WNI yang kena, alih2 bikin kebijakan pencegahan yg komprehensif, malah cari kesempatan mau promoin pariwisata. Babak pertama, kalah. RT @setkabgoid: #KawanKabinet, selamat berakhir pekan. Sambil menikmati pagimu, mari simak apa saja arahan Presiden @jokowi saat memimpin Ratas Terbatas terkait Dampak Virus Covid-19 terhadap Perekonomian Indonesia. #SetkabAkhirPekan</t>
  </si>
  <si>
    <t>RT @Aidan63499469: @AlnoorJenna @AdnanAlHanafi 👹 MIAW Fake Prophet of ISIS &amp; ALQAEDA</t>
  </si>
  <si>
    <t>@spektrumku g cman g da low.kmu taw isis yg pling prah ggra agama ini.brantem mlu ggra tuhan yg pdhl umpama da pun g mgkin kmunikasi.isis trburuk yg ringan yahh yg tmpo hri debat ngolok kmu</t>
  </si>
  <si>
    <t>@AlnoorJenna @AdnanAlHanafi 👹 MIAW Fake Prophet of ISIS &amp; ALQAEDA</t>
  </si>
  <si>
    <t>Himbauan kepada WNI yang berada di Ethiopia dan Djibouti terkait perkembangan kasus covid-19 di Ethiopia. Tidak perlu panik, namun tetap menjaga diri dan kewaspadaan yang diperlukan. Apabila ada situasi darurat, dapat menghubungi KBRI Addis Ababa. Terima kasih. #NegaraMelindungi</t>
  </si>
  <si>
    <t>RT @permadiaktivis: Azab itu ngechat esek2 sama janda ketauan, malu aib kabur ke arab buron, sampe sekarang gak bisa pulang. itu baru azab..</t>
  </si>
  <si>
    <t>@jokowi WNA dari manapun cekal pak plissssss 🙏 kecuali WNI yg dari luar negeri baru periksa sampe 3 kali</t>
  </si>
  <si>
    <t>RT @jcowacko: Inilah jawaban kenapa 200 WNI yang dipulangkan dari wuhan tidak ada yang diperiksakan spesimennya, karena mereka tidak bergejala dan masuk kedalam kategori pemantauan saja.. jadi alasannya bukan karena harga reagen yang mahal ya (headline media) #COVID19indonesia</t>
  </si>
  <si>
    <t>Ayolah Pak Presiden. Jangan menunnggu terlambat seperti yg dialami Italia. Kalau China memang sukses tangani Corona, Minta saja bantuan Tim medis mereka. Italia saja dibantu kok. 2 WNI Kembali Dinyatakan Positif COVID-19 di Singapura  via @beritabaruco</t>
  </si>
  <si>
    <t>RT @dokter_onkologi: URGENT : Harus dilacak 600an orang dr indonesia yg dtg ke acara ini...</t>
  </si>
  <si>
    <t>bentar, tadi baru aja kepikiran. kalo indonesia dilockdown trus WNI yg masih di LN ga boleh pulang dong? atau gimana ciii gapaham..</t>
  </si>
  <si>
    <t>UU yg Bikin Rakyat WNI Indonesia sengsara !! RT @urmila_011: Omnibus Law Banyak Ditolak, GP Ansor Siap Bantu Jokowi Mau sapapun yg sosialisasikan klo merugikan rakyat pasti tetap ditolak..🙄🙄</t>
  </si>
  <si>
    <t>Terkait 696 WNI Ikut Tablig Akbar di Malaysia, Jokowi Beri Tanggapan</t>
  </si>
  <si>
    <t>@Ghazal49142729 @NavneetKumarB13 @anjumaliya007 @RubikaLiyaquat Itni jyada jal gai hai to Burnol laga lo Isis valo</t>
  </si>
  <si>
    <t>URGENT : Harus dilacak 600an orang dr indonesia yg dtg ke acara ini...</t>
  </si>
  <si>
    <t>RT @jokowi: Empat dari 78 WNI awak kapal pesiar Diamond Princess yang berlabuh di Pelabuhan Yokohama, Jepang, dinyatakan positif terpapar virus korona. Mereka sudah dibawa ke rumah sakit setempat untuk dirawat sesuai protokol kesehatan WHO. Adapun 74 WNI tetap kita pantau.</t>
  </si>
  <si>
    <t>Panteon Kanaan/Levant tida jauh beda dgn panteon budaya kuno sekitarnya. Mesir punya keluarga ilahiah. Isis, Osiris, Horus. Ada Set. Ada Ra dan Amun. Mesopotamia punya begitu banyak dewan ilahiah. En. Enlil. Enki. Marduk. Inana. Estar. Nana. Utu. Anunnaki. Yunani Romawi</t>
  </si>
  <si>
    <t>@jokowi Please pak, block aja....sekarang ini lebih penting keselamatan WNI pak bukan WNA....please pak, Arab Saudi aja nyuruh jamaah kita balik kanan....masa kita tdk bisa...</t>
  </si>
  <si>
    <t>@sunphile_ @gagaaall Isis pirtiinjiyi</t>
  </si>
  <si>
    <t>@jokowi Virus baru terdeteksi dlm 2minggu pak, lebih baik di karantina dulu pak slma 2 minggu entah wna/WNI tp lbh baik lg di tutup dulu untuk WNA masuk ke Indonesia.</t>
  </si>
  <si>
    <t>@gagaaall @usssssssssstad Daripda ustad tpi anggota isis...</t>
  </si>
  <si>
    <t>RT @margiesandjaya: @Galihzainur1 @Aryprasetyo85 @AnakKolong___ @AnakLolina @wisanggeni_084 @HamdaanLW825Ky @hamka_sutra @ayah_9Garislucu @YRadianto @YRadianto1 @WagimanDeep__ @vita_AVP @ItuSemanisAku BN yg udah jelas² ngirim miliaran utk isis di suriah aja masih melenggang. Ga bakalan diurus itu.</t>
  </si>
  <si>
    <t>Goblok lah</t>
  </si>
  <si>
    <t>@amandaselsa1016 @dicky_arfani udh bkan wni lg kek nya</t>
  </si>
  <si>
    <t>@giogemb Nah ini akhi soleh idaman ukhti isis</t>
  </si>
  <si>
    <t>RT @saluknn: sumpah aku takut kalau covid-19 ni kena dekat family and kawan kawan aku</t>
  </si>
  <si>
    <t>RT @dokteraria: Yth Bpk @jokowi, saya WNI yg bertugas di NUH Singapura di garda depan pelayanan kesehatan. Jika boleh saya memberikan saran penting utk menangani #Covid_19. Bapak harus ambil kendali penuh, segala kebijakan harus liwat meja Bapak.</t>
  </si>
  <si>
    <t>@peternakpinguin @RakaFanadillah @edjeroen Dikata kita kita isis kali, maen cuci otak segala</t>
  </si>
  <si>
    <t>Jawab keluhan Indonesia, Singapura segera berbagai informasi soal WNI positif corona  #VirusCorona</t>
  </si>
  <si>
    <t>@AnakLolina @habibthink @DivHumas_Polri Gak heran sii Kan ACT biasanya Donasi ke Isis</t>
  </si>
  <si>
    <t>RT @KBRITokyo: Menanggapi kelangkaan masker kesehatan yang dialami Pelajar &amp; Mahasiswa WNI di Jepang, KBRI Tokyo melalui Atase Dikbud telah menyerahkan bantuan kiriman pertama kepada Ketua PPI Kanto Rego Fareyhan yg menerima secara simbolis dari Korfung Konsuler, Ali Sucipto. #NegaraMelindungi</t>
  </si>
  <si>
    <t>@elgisud @detikcom Presiden elu ngurusin jutaan orang di luar sana, selain urusan dlm negeri, jangan tutup mata gimana usaha presiden dan timnya memulangkan ratusan WNI yg kena lockdown dan terjebak di pusara corona, apa kalo sekelas lurah bisa berdiplomasi dgn Xi Jinping, Abe dll?</t>
  </si>
  <si>
    <t>@Galihzainur1 @Aryprasetyo85 @AnakKolong___ @AnakLolina @wisanggeni_084 @HamdaanLW825Ky @hamka_sutra @ayah_9Garislucu @YRadianto @YRadianto1 @WagimanDeep__ @vita_AVP @ItuSemanisAku BN yg udah jelas² ngirim miliaran utk isis di suriah aja masih melenggang. Ga bakalan diurus itu.</t>
  </si>
  <si>
    <t>@jokowi Satu2 cara agar tak ada lagi yang tertular adalah usir WNI China pa!</t>
  </si>
  <si>
    <t>RT @Aceh: Wanita Timor Leste yg menjadi WNI Masuk Islam di Masjid Oman Lampriet, Banda @Aceh. Nama Fransisca menjadi Khatijah. #Islam</t>
  </si>
  <si>
    <t>Sudah . Tadi RT @AkeemSharyzal: Saya dah dapat, anda bila lagi?</t>
  </si>
  <si>
    <t>Yth Bpk @jokowi, saya WNI yg bertugas di NUH Singapura di garda depan pelayanan kesehatan. Jika boleh saya memberikan saran penting utk menangani #Covid_19. Bapak harus ambil kendali penuh, segala kebijakan harus liwat meja Bapak.</t>
  </si>
  <si>
    <t>kalo indo lockdown ini WNI yang lagi vacay di LN gimana...ibu gue masih di malay ya allah</t>
  </si>
  <si>
    <t>@tonggeret10 @TattoSPamuji @ganjarpranowo @jokowi Pak Ganjar Tokoh Nasional...blio Calon Presiden ... Pak Ganjar Milik Semua ...WNI...</t>
  </si>
  <si>
    <t>RT @hendoranto: Khatib bawa2 tema iman dan corona. Katanya negara kita aman karena banyak penduduk kita beriman pada Allah. Terus bilangnya WNI yg di cina selamat karena banyak wudhu. Lha Arab sama Iran banyak muslim begitu dikata kaga ada yg beriman sama Allah sama kaga ada yg wudhu, pak aji?</t>
  </si>
  <si>
    <t>@ISIS_Balik_NO @musniumar Dia belum kapok kl belum kena sangsi</t>
  </si>
  <si>
    <t>B. Konsep Pendapatan Nasional • GDP (Gross Domestic Product)/ PDB (Produk Domestik Bruto) &gt; Pendapatan WNI &amp; WNA di dlm negeri (mengutamakan aspek kewilayahan) • GNP(Gross National Product)/PNB(Produk Nasional Bruto) &amp;gt; GDP - (Pendpatan WNA di dlm negeri + WNI di luar negeri)</t>
  </si>
  <si>
    <t>Sesuai pengumuman pada hari Kamis, 12 Maret 2020, bersama ini diumumkan bawa acara Layanan Sensus WNI di Mama Lala Resto-Mangaf pada 14 Maret 2020 DITUNDA sampai pemberitahuan berikutnya. #inidiplomasi #pelayananprima #negaramelindungi @Kemlu_RI</t>
  </si>
  <si>
    <t>Mantan keluarga anggota ISIS yang ga bisa pulang ke indo kena CORONA ngga ya???</t>
  </si>
  <si>
    <t>RT @OhHilya: Giveaway jumat 100k Saldo dana/transfer bank/pulsa. Rt,follow,likes Relply Done #Hilya100k Good luck. Rt dibawah 300 batal hehehe</t>
  </si>
  <si>
    <t>RT @andibachtiar: Karena sejak lahir sudah jadi WNI dan praktis paling banyak menjalani hidup di nkri, makanya gw gk banyak komplen lah soal kecepatan pemerintah menanggapi isu covid19 ini</t>
  </si>
  <si>
    <t>@ket2x @DeFebri12 @sandalista1789 ia, tapi dari akhir tahun pemerintah cuma berusaha untuk tidak menebarkan kepanikan tp tidak didukung dengan kebijakan pengendalian penyeberan virus dari luar atau memastikan wni yang datang dr daerah tersebar. ia memang lamban. semoga virus ini tidak merugikan lebih banyak lagi.</t>
  </si>
  <si>
    <t>Rapat kesiapan KBRI Addis Ababa lanjutan untuk pencegahan &amp; kontrol diri bagi para WNI yang berada di Ethiopia pada #coronavirus di lingkungan sekitar dan kantor serta wisma. #NegaraMelindungi @Kemlu_RI</t>
  </si>
  <si>
    <t>RT @IndonesiaInWhk: Repost @safetravel.kemlu IMBAUAN BAGI WNI YANG BERADA DI LUAR NEGERI ATAU BERENCANA MELAKUKAN PERJALANAN KE LUAR NEGERI SEHUBUNGAN DENGAN PENYEBARAN WABAH COVID-19 (geser ke kanan untuk membaca) #travel #backpacker #safetravelkemlu #negaramelindungi</t>
  </si>
  <si>
    <t>Bajingan Ternyata si Iblis ISIS msh terus Bergerak...@Hanifah933 @AhlulQohwah 👇👇👇👇 RT @RTarabic: "داعش" يعطس.. ويصدر توجيهات بشأن التعامل مع فيروس كورونا!</t>
  </si>
  <si>
    <t>Repost @safetravel.kemlu IMBAUAN BAGI WNI YANG BERADA DI LUAR NEGERI ATAU BERENCANA MELAKUKAN PERJALANAN KE LUAR NEGERI SEHUBUNGAN DENGAN PENYEBARAN WABAH COVID-19 (geser ke kanan untuk membaca) #travel #backpacker #safetravelkemlu #negaramelindungi</t>
  </si>
  <si>
    <t>@TolakBigotRI @EdyGypsum @AhlulQohwah @kirekswasta @amrudinnejad_ @rizamsyafiq @Pasukan_5emut Serang saja sama BANSER.....seret !</t>
  </si>
  <si>
    <t>@jokowi Bisa lebih spesifik pak itu penumpangnya WNI atau asing? Lebih baik blokir jalurnya saja, pengecualian untuk WNI 🙏🙏🙏</t>
  </si>
  <si>
    <t>@jokowi bila ada suspect corona WNA, itu relatif lebih mudah ditelusuri pak, yg sulit ditelusuri itu adalah WNI yg baru datang dari luar negeri lalu menyebar ke segala arah negeri ini.</t>
  </si>
  <si>
    <t>RT @dawiguna: @Kasayanto_ @mamaciaaa WNI saat ini belum terjadi outbreak. Moga2 nggak terjadi. Dan kebodohan serta ketidakpedulian jangan dipelihara</t>
  </si>
  <si>
    <t>RT @republikaonline: KBRI diminta mengoptimalkan diri bantu WNI di area terdampak lockdown.</t>
  </si>
  <si>
    <t>@alexander_murfi @Wisnubrata6 Cina lagi......asal denger nama China.....kafir langsung klenger....pusing......kedengkian timbul.....iri....sirik....melihat china pd maju....sementara mreka kafir.....keaadilan Tuhan dimana ?....sasaranya....ya china lagi.....</t>
  </si>
  <si>
    <t>RT @naadoorie: @secupp @Martina FOX= Russia = Taliban = ISIS !</t>
  </si>
  <si>
    <t>@secupp @Martina FOX= Russia = Taliban = ISIS !</t>
  </si>
  <si>
    <t>RT @setiapancasila: @Dennysiregar7 Mantabbb,NIH,dlu beredar klo wni jga terlibat dlam pengiriman Dana teroris tuh bang</t>
  </si>
  <si>
    <t>@malvinfirizqi Soale kretek gaonok isis e lurr</t>
  </si>
  <si>
    <t>@NadeemRamAli @SushantBSinha Tu to PFI ka admi tu sala kata kidhar join korogi ISIS ki Taliban Ki Loskor ki Hejbul Ki SIMI sara dunia tera islamic zihad sey trost hai Trump bo ohi bola</t>
  </si>
  <si>
    <t>@muanarefi Sepertinya virus kilafah atau mungkin isis 😂</t>
  </si>
  <si>
    <t>@dewakarbinawa @musniumar Istilah pribumi sdh dihilang sejak 1998 bro. Nah apa sanksi nya bagi WNI yg menyebut kata PRIBUMI. Menyebut saja ya</t>
  </si>
  <si>
    <t>@VeronicaKoman Jangan percaya sama narasi palsu seperti ini. Satu-satunya yang meneror dan menembaki warga adalah KKB. KKB itu udah seperti ISIS, mengklaim mereka melakukan perjuangan, padahal mereka cuma melakukan aksi teror dan kejahatan yang justru merugikan orang papua sendiri.</t>
  </si>
  <si>
    <t>@lvvtfil Aku sih udah denger sejak lama soal ini. Pernah mau kirim donasi, tp setelah ada issue ini ak batalin. Gila aja sih, mengatasnamakan aksi kemanusiaan. "Katanya" mereka mendanai ISIS juga kan?.</t>
  </si>
  <si>
    <t>RT @earlytimess: • anak angkat Nama : Gibran Aqsha Ardana Tempat Kelahiran : Jakarta, Indonesia Tanggal Kelahiran : 7 Agustus 2000 Golongan Darah : O Kebangsaan : WNI Diperankan Oleh : @cigcga</t>
  </si>
  <si>
    <t>RT @lilxad_: JANGAN BERANGAN DALAM KELAS JANGAN BERANGAN DALAM KELAS JANGAN BERANGAN DALAM KELAS JANGAN BERANGAN DALAM KELAS JANGAN BERANGAN DALAM KELAS JANGAN BERANGAN DALAM KELAS JANGAN BERANGAN DALAM KELAS JANGAN BERANGAN DALAM KELAS JANGAN BERANGAN DALAM KELAS JANGAN BERANGAN DALAM KELAS</t>
  </si>
  <si>
    <t>RT @albertsamuel28: Blm ada twit dr buzzeRp yg menuduh ketiga hakim ini sdh terpapar radikalisme, intoleran, kadrun, anti pancasila, pendukung khilafah &amp; pendukung ISIS krn batalkan kenaikan iuran BPJS berdasarkan Perpres yg melanggar UU? cc: @sandalista1789 @psi_perjuangan</t>
  </si>
  <si>
    <t>@iyubt @roamingraman sdpi and isis ????</t>
  </si>
  <si>
    <t>RT @tabodanita: masker rakyat akan milih sembako sumber penularan datang dari wna/wni yang habis perbergian dari LN so logika tutup sumber penularan dan tolong jadilah pemerintah yang merupakan sumber informasi yang jelas, benar dan akurat jangan jadi jubir malah jawab+</t>
  </si>
  <si>
    <t>RT @tempodotco: Pemerintah mengaku masih belum mengetahui kondisi 696 warga negara Indonesia atau WNI yang diketahui ikut serta dalam kegiatan tabligh akbar di Masjid Petailing, Malaysia pada 28 Februari hingga 1 Maret lalu.</t>
  </si>
  <si>
    <t>@ArvindKejriwal Mr Kejriwal Delhi Ko Isis ka new capital mat banaiye.. politics me Etna bhi neeche mat giro ki upper uthne ki gunjaes na ho..</t>
  </si>
  <si>
    <t>@AltafWala @SushantBSinha NPR bahana hai tu log gaddar hai Pak ka spy hai har 10 sal may log gonona hota kobi eaisa nehi hua iska pichey zihadi Mullow congress kejri CPM Momota aur paid NGO aur anti anti-national fake secular liberal sob PFI SDPI ISI ISIS Loskar ka paid agent hai lekin modi hai kuchalDEGA</t>
  </si>
  <si>
    <t>First time kluar pake rok isis jg trnyata hehe</t>
  </si>
  <si>
    <t>RT @merdekadotcom: Begini Detilnya Taiwan Lacak Perjalanan WNI Terinfeksi Corona</t>
  </si>
  <si>
    <t>Ciao ! Saksikan Wawancara Ibu Dubes Esti Andayani di @Metro_TV mengenai Situasi WNI di Italia saat ini #negaramelindungi</t>
  </si>
  <si>
    <t>@Mentimoen Orang yg kena terjangan covid 19 akan sembuh sendiri, katanya.menkes. tapi knp.wni dr Wuhan di isolasi di Natuna?</t>
  </si>
  <si>
    <t>Aku heran. Kemaren pas corona belum nyebar di Id kenapa ga diperiksa dulu di Pelabuhan sama bandara guna mencegah WNA/WNI yang terkena virus. Jadi kan ga kaya gini, udah nyebar barulah GEGER! Lucunya negeriku hihihii</t>
  </si>
  <si>
    <t>Astakira Pembaharuan Cianjur berupaya pulangkan WNI yang ditahan di Malaysia - ANTARA News Jawa Barat</t>
  </si>
  <si>
    <t>@DeHoutman7 AS menggulingkan kadafi spy libya ga kerjasama eksplor minyak dgn china. AS membentuk isis spy ada alasan ngacak2 timteng. AS nyerang pakai antrax. Skrg pake covid19. AS mmg powerful.</t>
  </si>
  <si>
    <t>@bangZhack68 Udah berak dan kencing disini, terus mereka minta jadi wni, terus ketemu dah sama pengulu pki.. Cantik sekali skenarionya. Semoga hanya kisah fiksi. Dan fiktif pula pemberian izin tinggal sementara (yg bisa diperpanjang hanya Allah yg tahu)</t>
  </si>
  <si>
    <t>Imbauan dan Informasi untuk WNI di Lebanon @Kemlu_RI #negaramelindungi #indonesianways #indonesiainlebanon</t>
  </si>
  <si>
    <t>Masih ingat pejabat Kemenkes yg mensyinyalir bahwa biaya test coronavirus sekali Rp 1 milyar? Sehingga WNI yg dievakuasi dari Wuhan tidak perlu ditest karena tidak memperlihatkan gejala. Itu kegagalan governance yg cukup besar sih... sangat mengecewakan.</t>
  </si>
  <si>
    <t>Begini Detilnya Taiwan Lacak Perjalanan WNI Terinfeksi Corona</t>
  </si>
  <si>
    <t>Kebayang WNI yg dievakuasi dari Wuhan malah stuck di sini, mending stay di sana aja kmrn kali ya 😹 RT @redfishstream: Chinese medical workers who have been fighting the #coronavirus day and night in Wuhan celebrated the closing of the last temporary hospital in Wuhan. The reported #covid19 cases went from a surge in February of 15,000 in one day to only 15 this week.</t>
  </si>
  <si>
    <t>@m_airlangga Saya hanya nanya om..ISIS itu agama apa? yg ngebom bali agama apa?😁</t>
  </si>
  <si>
    <t>Sembilan WNI Diamond Princess yang Dirawat di Jepang Sembuh</t>
  </si>
  <si>
    <t>RT @cnbcindonesia: Corona Nyebar di Tabligh Akbar, KBRI Minta WNI Tes Covid-19</t>
  </si>
  <si>
    <t>RT @cnbcindonesia: Duterte 'Lockdown' Manila, Ini Himbauan KBRI untuk WNI</t>
  </si>
  <si>
    <t>RT @lensaRTV: Ada sedikit kabar yang melegakan terkait corona. Sudah ada 5 WNI positif corona yang dinyatakan sembuh. Mari kita doakan semakin banyak yang sembuh ya. . . #updatecorona #viruscorona #corona #korona #viruskorona #positifcorona #wnipositifcorona #sembuh #covıd19</t>
  </si>
  <si>
    <t>@Puteriswift_ Hahahahaha mmg tk laa</t>
  </si>
  <si>
    <t>RT @cnbcindonesia: WNI Terancam Corona di Tabligh Akbar, Jokowi Terjunkan Intel</t>
  </si>
  <si>
    <t>RT @vivanewscom: 3 WNI Diamond Princess yang Dirawat di Jepang Sembuh Pulang Malam Ini  #vivanews</t>
  </si>
  <si>
    <t>3 WNI Diamond Princess yang Dirawat di Jepang Sembuh Pulang Malam Ini  #vivanews</t>
  </si>
  <si>
    <t>Kelompok FPI HTI. ISIS KHILAFAH lebih berbahaya dari corona. RT @Hanungbramantyo: Duuh, ustadz. Baiknya antum syiar bagaimana cara menangkal virus Corona agar gak makin menyebar. Dg cara mengajak umat antum menjauhi kerumunan, bersih diri dan rumah, sesuai dengan hadist ‘kebersihan sebagian dari Iman’-Riwayat Muslim.</t>
  </si>
  <si>
    <t>RT @karan58818199: @KhanAmanatullah Arrests made in #AntiHinduRiots so far 1. Shahrukh 2. Tahir Hussain(AAP) 3. Shahnawaz 4. Jahanjeb Sami(ISIS) 5. Hina Bashir(ISIS) 6. Danish Ali(PFI) 7. Shah Alam 8. Salim Malik 9. Mohd Jalaluddin 10. Mohd Ayub 11. Mohd Yunus 12. Mohd Mushtaq 13. Md Danish 14. Md Salim</t>
  </si>
  <si>
    <t>@hcahyono Dulu yang dibilang nyumbang ke ISIS itu ya?</t>
  </si>
  <si>
    <t>RT @KavindraOemar: @elisa_jkt @DonAdam68 Keengganan rezim akan transparansi dengan meminta dukungan BuzeRp, Makin lama bukan makin menggelikan tp mematikan. Mengerikan sekali melihat mereka main2 dengan keselamatan nyawa masyarakat indonesia. Apa mereka bener2 ga peduli dengan keselamatannya sendiri, mereka wni kan?</t>
  </si>
  <si>
    <t>Sebanyak 188 WNI yang menjadi kru kapal pesiar Dream World akan dipulangkan pada Sabtu (14/3).</t>
  </si>
  <si>
    <t>mekanismenya pemulangan para WNI dari Pulau Sebaru sama dengan WNI yang telah dipulangkan dari Natuna beberapa waktu lalu. #PulauSebaru #AGP</t>
  </si>
  <si>
    <t>Kabarnya warga malaysia +Covid-19, org ybs sebelumnya mengikuti tabligh Akbar, dimana ada banyak WNI yg ikut jg... Makin kompleks gegara sebelumnya meremehkan covid-19 ini</t>
  </si>
  <si>
    <t>9 WNI ABK Diamond Princess yang dirawat di Jepang pulang Jumat malam - ANTARA News Jawa Barat</t>
  </si>
  <si>
    <t>Cepet bgt perasaan baru kemaren denger 2 wni positif corona skarang dah 69 aja:((((</t>
  </si>
  <si>
    <t>RT @dendy_dun: @hidayat_y28 @Aryprasetyo85 @PoldaJogja @DivHumas_Polri @gastonkatanya @Andri_C1AB @christanto666 @cintada17 @KPAI_official @KPAI_official ada kerjaan tuh... Apa masih kurang? Ini yg lbh penting drpd ngurusin hamil di kolam renang.. Apalagi mslh anak2 yg kembali dr ISIS</t>
  </si>
  <si>
    <t>kmrin bahas indonesia di data penderita diabetes rank 5 apa 4 gt tertinggi di dunia pdhl kita orgnya banyak, kmgkinan krn wni banyak yg takut dokter, iya juga sih, semua penyakit kan masuk angin :(</t>
  </si>
  <si>
    <t>@BangMidji @kemenhub151 @jokowi Usul selain penerbangan pontianak kuching dan KL yg dihentikan Kalau bisa jalur darat juga terutama di PLBN Entikong dan aruk sambas krn byk dilalui WNI yang pulang kalbar</t>
  </si>
  <si>
    <t>@atmanug @snogthenbite aku gaboleh sering2 mention ka rena lagi, bisa2 dipengaruhi jadi anggota isis mau2 ajam</t>
  </si>
  <si>
    <t>RT @dipanshu_cp: @VijayVst0502 Peaceful people list of Delhi violence 1. Shahrukh 2. Tahir Hussain(AAP) 3. Shahnawaz 4. Jahanjeb Sami(ISIS) 5. Hina Bashir(ISIS) 6. Danish Ali(PFI) 7. Shah Alam 8. Salim Malik 9. Mohd Jalaluddin 10. Mohd Ayub 11. Mohd Yunus 12. Mohd Mushtaq 13. Md Danish 14. Md Salim</t>
  </si>
  <si>
    <t>Ngga ada kah thread yg bahas semua pasien Covid-19 di Indonesia dari mana aja Dan ceritanya dari 2,4, 34 sekarang 69 Aku ga update banget. Updatenya pas 2 WNI positif itu doang</t>
  </si>
  <si>
    <t>Gilaaaa belum sebulan sejak di tetapkan 2 WNI di indo posistif covid19 udah 69 ajaa 😥😫 RT @CNNIndonesia: Update Corona 13 Maret: 69 Kasus Positif, 4 Meninggal Dunia</t>
  </si>
  <si>
    <t>@qnafess Njir tau tuku seng laurier takkiro isis yopo malah panas kek dikeki balsem anyinkkk</t>
  </si>
  <si>
    <t>Pramel besok lawan tuan rumah astagaaa degdegaaan. Buat WNI yang di Birmingham, mohon kerjasamanya besok buat teriak eak hu eak hu. Makasih😭😭😭</t>
  </si>
  <si>
    <t>epada Yth. Bpk/Ibu/Sdr./Sdri. WNI di Estonia, Berikut disampaikan Himbauan bagi WNI dan Perkembangan Kondisi terkait Coronavirus 2019 (COVID-19) di Estonia untuk menjadi perhatian. Terima kasih. @Kemlu_RI @KemenkesRI #IniDiplomasi #IndonesianWay</t>
  </si>
  <si>
    <t>@NishantVts Your secular words will be consumed, appreciated &amp; awarded by : AAP, Congress, NCP, Soniya Sena, Pakistan Tehreek e Insaaf, Lashkar-e-Taiba, Jamaat-e-Islami, jammat-Ud dawa, Taliban &amp;amp; ISIS 👍👍</t>
  </si>
  <si>
    <t>Nah, tim yang ngedampingi para WNI diobservasi di Pulau Sebaru juga akan di cek kesehatannya. #PulauSebaru #AGP</t>
  </si>
  <si>
    <t>Itu WNI yg dari Wuhan kira-kira nyesel gak yah balik ke Indo?</t>
  </si>
  <si>
    <t>Ini Haji Bisa Di Tunda Kalau Begini Terus...!!! .. Arab Saudi Hentikan Sementara Kedatangan WNA, KBRI Riyadh Imbau WNI Atur Jadwal Ulang Penerbangan  via @tribunnews</t>
  </si>
  <si>
    <t>@ISIS_Balik_NO @inesrinda @TofaTofa_id Hahah,.. produsen nya Bacin,. Yg jual mahal Bacin, yg nimbun bacin,.. diborong semua,..</t>
  </si>
  <si>
    <t>@subtanyarl Enak sihh ada isis isis nyaa gtu....</t>
  </si>
  <si>
    <t>Para WNI nantinya juga akan diberikan sertifikat sehat oleh Kementrian Kesehatan. #PulauSebaru #AGP</t>
  </si>
  <si>
    <t>Denmark Lockdown Gara-gara Virus Corona, Bagaimana Nasib WNI di Sana? #MetroHariIni #IndonesiaMelawanCorona</t>
  </si>
  <si>
    <t>Udh kena dua WNI yaa.. hati2 gaes saat aktifitas selalu waspada dan jgn lupa minum stimuno.. mencegah lebuh baik STIMUNO JAGA IMUN</t>
  </si>
  <si>
    <t>Pariwisata Babak belur dihantam CORONA, Tak kan terjadi jika penguasa dari jaman ke jaman amanah dan mensejahterakan WNI ASLI bukan mensejahterakan para Benalu yang semakin Hari semakin menyebalkan. #RezimJualanAset</t>
  </si>
  <si>
    <t>@CNNIndonesia pulang dulu kangen istri habis kramas ,besoknya ada pengumuman terdapat 1 lagi wni yg terpapar virus congorna....negeri dagelan..</t>
  </si>
  <si>
    <t>@Kasayanto_ @mamaciaaa WNI saat ini belum terjadi outbreak. Moga2 nggak terjadi. Dan kebodohan serta ketidakpedulian jangan dipelihara</t>
  </si>
  <si>
    <t>RT @arifsetia2013d: KALAU BETUL drzul_albakri WAHABI MAKA KITA BAKAL MENERIMA NASIB MALANG SEPERTI AHLI SUNNAH WAL JAMAAH NEGARA ISLAM LAIN manora6383 ! CUKUP-CUKUP AL QAEDA, ISIS YANG DITAJA RAJA SAUDI BERSAMA ISRAEL DAN AMERIKA DULU</t>
  </si>
  <si>
    <t>denial adalah sifat asli dan ciri khas wni. paten. no debate</t>
  </si>
  <si>
    <t>@soendala Udeh repot2 dateng lg ke Indonesia gw tendang tuh cewe, udah gk ada respectnya sok2an ngomong tntng feminisim Emang lo siapa? Indonesia dan budayanya milik orang Indonesia WNI, bukan milik elo Terserah kita mau rulenya kyk gmn, candinya punya kita, Ini yg bikin gw benci white</t>
  </si>
  <si>
    <t>@weishinmanten halo isis /mnyiapkan snjata/</t>
  </si>
  <si>
    <t>KALAU BETUL drzul_albakri WAHABI MAKA KITA BAKAL MENERIMA NASIB MALANG SEPERTI AHLI SUNNAH WAL JAMAAH NEGARA ISLAM LAIN manora6383 ! CUKUP-CUKUP AL QAEDA, ISIS YANG DITAJA RAJA SAUDI BERSAMA ISRAEL DAN AMERIKA DULU</t>
  </si>
  <si>
    <t>@_shefrio @YasminZharifah @subtanyarl Isis kek adem sariii😂</t>
  </si>
  <si>
    <t>@pettersonfonsec Pena 🤣🤣😏🤦</t>
  </si>
  <si>
    <t>RT @brongkosh: @ratuayu90448675 @1_devout @Jubilate_7 @Deliana57939903 @etty_markim @FerdinandHaean2 Kurang kerjaan banget, sapa juga yang debat. Ini kenyataan kalau efpei bahlul. Dukung ISIS PADAHAL bikinan Amrik... ketepuuuuu</t>
  </si>
  <si>
    <t>@subtanyarl Ada rasa mint mint nya gitu isis (adem / dingin) kek es batu</t>
  </si>
  <si>
    <t>Masa observasi WNI ABK World Dream &amp; Diamond Princess di Pulau Sebaru Kecil akan segera berakhir pada akhir pekan ini. Para WNI rencananya akan dipulangkan pada Sabtu (14/03) dan Minggu (15/03). Bagaimana persipaan pemulangan WNI tersebut? #PrimetimeNews #IndonesiaMelawanCorona</t>
  </si>
  <si>
    <t>Itu hampir 700 wni yg ikut tabligh akbar di m'sia dicari pakai bin kali :) RT @mantriss: Masalahnya, aparat BIN dan menkes pasti tidak cukup melakukan tracing Pak. Tiru saja best practices Taiwan, Hongkong. Umumkan pergerakannya, biar publik yang melakukan tracing dan mengisolasi diri sendiri serta periksa jika ada gejala. Publik bisa dan siap kok dilibatkan Pak.</t>
  </si>
  <si>
    <t>@subtanyarl Isis gk penak awale tp sui" penak</t>
  </si>
  <si>
    <t>KALIAN NYADAR GA SI WNI yang dari Wuhan, kan udah diisolasi dan jadi aman ya balik ke Indo Lah ini yang pulang sendiri sendiri, dari Malay, Taiwan dll malah positif Covid 19. [Aku mrsa bngung]</t>
  </si>
  <si>
    <t>@Marco_Alfa20 WNI keturunan,apa sdh disiapkan sesuai skenario awal?</t>
  </si>
  <si>
    <t>Imbauan Bagi WNI di Kroasia sehubungan dengan Wabah Virus Corona. #negaramelindungi</t>
  </si>
  <si>
    <t>@geloraco Mengenai corona terjadi ,di dunia ,pembiayaan di tanggung pemerintah pusat ,bukan BPJS sudah berjalan mulai karantina WNI dr wuhan</t>
  </si>
  <si>
    <t>@alyapedia Nggih wni</t>
  </si>
  <si>
    <t>Berhati hatilah,yg kau sebut cupu dimasa lalu bisa saja menjadi anggota ISIS dimasa depan</t>
  </si>
  <si>
    <t>@RizmaWidiono Mengenai corona terjadi ,di dunia ,pembiayaan di tanggung pemerintah pusat ,bukan BPJS sudah berjalan mulai karantina WNI dr wuhan</t>
  </si>
  <si>
    <t>Saya mohon untuk wni yg mau keluar negeri harap di tundah duluh talah dan wna jagan masuk duluh ke indonesia biar corona tidak tambah banyak lagi</t>
  </si>
  <si>
    <t>@LaRataInfecta Qui in isis bilsis ni hiyi minilitis</t>
  </si>
  <si>
    <t>Ini alasannya:Kata YIM, Si Ahok itu aslinya WN Tiongkok dari seorang ayah warga negara Tiongkok. Ahok dpt naturalisasi jd wni. Mustahil bisa jadi Presiden.  RT @Syahidakbar_: @RamliRizal Sebutkan 1 alasan masuk akal knp harus pindah ibi kota sedangkan kita gak punya uang, ibarat mau punya rumah baru tapi KPR, sedangkan kita pengangguran</t>
  </si>
  <si>
    <t>@elisa_jkt @kemkominfo Sehebat apa pun menteri digital taiwan, kl dia WNI bakal di demo kl sampai diangkat jd menteri, krn transgender. Itu kehebatan taiwan, milih berdasarkan prestasi.</t>
  </si>
  <si>
    <t>RT @Kemlu_RI: #SahabatKemlu, berikut update Perkembangan COVID-19 di Dunia dan Pelindungan WNI per 12/03 pukul 17.30 WIB. Seluruh WNI yg terkonfirmasi COVID-19 sehubungan dengan Diamond Princess telah dinyatakan sehat. #IniDiplomasi #NegaraMelindungi</t>
  </si>
  <si>
    <t>@sobarifareitodi @fadlizon gak peduli? WNI di Wuhan dijemput, WNI kapal pesiar jepang dijemput. RS khusus Korona lg dibangun, antisipasi udah. Mas baru bangun kali ya???</t>
  </si>
  <si>
    <t>Tomy Winata mengatakan bahwa ada banyak pengusaha dan anak bangsa yang berkontribusi dalam penanganan WNI yang tempat kerjanya terpapar virus corona. #PulauSebaru #AGP</t>
  </si>
  <si>
    <t>Ini yang menjadi alasan WNI yang kembali dari Wuhan tempo hari perlu dikarantina 2 minggu sebelum boleh dikembalikan ke daerah asalnya. Saya khawatir, jika poin nomor 6 benar-benar langsung dieksekusi, mungkin saja ada di antara kita yang sebenarnya terinfeksi tetapi...</t>
  </si>
  <si>
    <t>RT @kalangliwoo: @CNNIndonesia Pembantaian keji di iraq suriah oleh ISIS dan agresi militer ke yaman koq gada doa kek gini ya...</t>
  </si>
  <si>
    <t>tell y'all abt myself 1. sasa 2. belum menikah 3. doja cat - like that 4. ±2k 5. twitter 6. - 7. college 8. wni 9. 2 10. - 11. kecoa 12. 2019-2020 13. cho seungyoun 14. diral biasnya youngk ya!!! sama!!! comment 😎 for the questions</t>
  </si>
  <si>
    <t>Tersererahlah kalian menilai mau aku adalah NU atau Muhammadiyah karena yg kuyakini hanya satu,hidup tanpa MENCELA MENGHINA yg berbeda serta tanpa menganggap PALING BAIK adalah karomah yang luar biasa Kecuali HTI ISIS FPI dkk nya , karena mereka tak tahu perihal para pendahulu</t>
  </si>
  <si>
    <t>@AmbarwatiRexy @CNNnews18 @manojkumargupta ACT juga pernah disangkakan terkait aliran dana ke ISIS</t>
  </si>
  <si>
    <t>RT @AngrySipelebegu: Presiden harus jadi Contoh WNI Patuh Hukum ya, dab @jokowi</t>
  </si>
  <si>
    <t>@bornthis_april @CNNIndonesia No 35 &amp; 36 masih tracing ka. WNI,belum tau tertular darimana. sudah keburu meninggal.</t>
  </si>
  <si>
    <t>@JohnDo08621180 Asal Anda tau saja. ISIS itu, "hasil Konspirasi Busuk Global Kaum Kafir Harbi Penjajah Pengecut Zionis Yahudi Israel &amp; Salibis Amerika Serikat ini", untuk menghancurkan umat Islam ini, dari dlm. Makanya Anda itu, Hrs Belajar Lg Tentang Teori Konspirasi ini.</t>
  </si>
  <si>
    <t>Kepada Yth. Bpk/Ibu/Sdr./Sdri. WNI di Finlandia, Berikut disampaikan Himbauan bagi WNI dan Perkembangan Kondisi terkait Coronavirus 2019 (COVID-19) di Finlandia untuk menjadi perhatian. Terima kasih. @Kemlu_RI @KemenkesRI #IniDiplomasi #IndonesianWay</t>
  </si>
  <si>
    <t>Hey! Read this: Hanya 72 Jam Waktu Tersedia Bagi WNI Yang Akan Masuk ke Saudi</t>
  </si>
  <si>
    <t>@CNNIndonesia Ngadapi corona pakai intelijen ? 😀😀😀😀😀😀. Isis lebih berbahaya</t>
  </si>
  <si>
    <t>Virus Corona: KBRI di Filipina Menyatakan 1.100 WNI Terisolasi di Manila Kedutaan Besar Republik Indonesia di Filipina menyatakan sebanyak 1.100 warga Indonesia saat ini berada di ibu kota Manila yg tengah diisolasi demi mencegah penyebaran virus corona.</t>
  </si>
  <si>
    <t>@maplepeaa ak isis</t>
  </si>
  <si>
    <t>RT @anggorosabdo: ACT itu sudah bermasalah sejak Suriah berkecamuk, alih alih penggalangan Dana tapi ujung2nya disalurkan ke ISIS dan Kroni2nya.. Bukti Banyak bertebaran bahkan mrka tidak ragu menampilkan BENDERA Pemberontak disetiap Aksinya... Harus diUsut segera.</t>
  </si>
  <si>
    <t>@m_airlangga ISIS agamanya apa om?</t>
  </si>
  <si>
    <t>RT @AliMelayu27: @AntonPr12594871 @KemenkesRI @MenluKrtanegara @msaid_didu @ILCtv1 @zulhendribasri2 @fahiraidris @mas__piyuuu @polri_tni @Rindu_MuhR015 @andre_rosiade @andar_habibi @CintaNKRI08 @prabowo @sahabat_rasul Dan semua WNI yg bekerja di Saudi juga tidak dibenarkan pulang. Jika pulangpun tidak dibolehkan masuk kembali ke Saudi.. Karena pemerintah INA terlalu remeh dgn corona sementara negara lain berjuang melindungi rakyatnya.</t>
  </si>
  <si>
    <t>RT @Rani_Reviana2: @CNNIndonesia Kesalahan awal : pemerintah telat menjemput WNI yang berada di China, kesalahan ke 2 : indonesia tidak mempunyai peralatan medis dan pengobatan yang ampuh, negara maju saja belum bisa buat obat tuk covid-19. Kesalahan ke 3 : pemerintah tidak stop WNA terutama dari china.</t>
  </si>
  <si>
    <t>@Metro_TV  Ada ratusan WNI Jamaah Tabligh (santrinya/pengikut @ustadtengkuzul bukan?) yg ikut kegiatan itu. Sgera @KemenkesRI @Kemenag_RI @Dakwah_MUI @JamaahTabligh1 @muhammadiyah @nahdlatululama bergerak dibantu @DivHumas_Polri @Puspen_TNI @BSSN_RI @BIN_Official</t>
  </si>
  <si>
    <t>@KapukIsland Gw bacanya "selain ganggu ISIS"</t>
  </si>
  <si>
    <t>covid-19? should i worry ? or just get fuck off about it? trus seumpamanya ada wni yang kena itu dari pemerintahnya bakal di pertanggung jawabin atau mandiri? mandirinya dalam arti semua diurusin sendiri dari masalah biaya, pengobatan, dll. still confused(?)</t>
  </si>
  <si>
    <t>ACT itu sudah bermasalah sejak Suriah berkecamuk, alih alih penggalangan Dana tapi ujung2nya disalurkan ke ISIS dan Kroni2nya.. Bukti Banyak bertebaran bahkan mrka tidak ragu menampilkan BENDERA Pemberontak disetiap Aksinya... Harus diUsut segera. RT @AnakLolina: CNN: ACT Terlibat Aksi Teror di India.. Negeri kita sudah sangat buruk di mata dunia, ACT jadi donatur, setelah rusuh mereka lagi yg demo tuntut keadilan. Ayo bergerak pak @DivHumas_Polri</t>
  </si>
  <si>
    <t>Also, wni yang baru dateng dr luar negeri yg terdampak seharusnya SELF QUARANTINE THEMSELVES for over 2 weeks just to make sure. But again, org indo kan tolol2, bukannya karantina di rumah gitu enak ngapain, malah jalan2 gadir lagi. Ish greget tolol bgt</t>
  </si>
  <si>
    <t>@bahamutrule @pipiss_ @fxmario @ted_kho Belum apa2 Indomaret abis, Alfamart ludes, biasalah. Pas ada case 1 sama case 2 aja udah keliatan kan gimana reaktifnya WNI.</t>
  </si>
  <si>
    <t>@19Brijwasi @Annie____4 @Hastivarman @DeadNAliveCat @ClimbhiKc Adi shankara ki dharti Kerela Mei ISIS recruits sabse zyada hai This is the most disheartening fact</t>
  </si>
  <si>
    <t>188 WNI ABK World Dream telah menjalani observasi selama 14 hari sejak 28 Februari 2020. #PulauSebaru #AGP</t>
  </si>
  <si>
    <t>@siwonchoi Dah lah jadi wni aja mas</t>
  </si>
  <si>
    <t>menelpon terus. Hati-hati dengan penipuan,jangan sampai Anda tertipu,waspadalah,waspa- dalah.Ingat,jangan pernah terkena hipnotis,juga jangan terkena rayuan muluk apa pun,sebelum mempunyai bukti-bukti yang sah,Juga oknum Pemerintah/non Pemerintah,memeras kepada WNA/WNI</t>
  </si>
  <si>
    <t>RT @KBRILondon: IMBAUAN KEPADA #WNI DI #INGGRIS TERKAIT PERKEMBANGAN #COVID-19 #inidiplomasi #NegaraMelindungi #WaspadaCOVID19 #waspadacoronavirus</t>
  </si>
  <si>
    <t>Pemerintah disebut hanya menanggung biaya perawatan bagi pasien WNI yang terkena covid-19 dan menjalani perawatan di rumah sakit di dalam negeri. #Validnews #Covid_19</t>
  </si>
  <si>
    <t>@lenturebung @drhalimahali Hantar pejuang Isis melayu yg pulang ke China.</t>
  </si>
  <si>
    <t>@drhalimahali Kena Isis tak berperang dgn china? Kenapa kerajaan Malaysia yg punya agama rasminya Islam tak iystihar perang dgn china atau memutuskan hubungan diplomatik MCM Israel? Begitu jugak dgn Myanmar Dan India?</t>
  </si>
  <si>
    <t>Nah untuk Tim yang mendampingi para WNI Observasi di Pulau Sebaru Kecil akan dicek juga kesehatannya. #PulauSebaru #AGP</t>
  </si>
  <si>
    <t>Semoga WNI maupun WNA yg dateng ke Indo tidak pada ngeyel ya..</t>
  </si>
  <si>
    <t>@twitviw @mazzini_gsp Mirip isis dimana nya bambang?</t>
  </si>
  <si>
    <t>@SrikandiTeam Yaa.. Klu upload ke Youtobe Harus izin dulu ke boss.. Merinding.. Suara boss boss muda #AdipatiRafiki #RightHereWaiting #richardmarx Suara sang bungsu #AdindaRatu Celindion (titanic) Amazing..👍👍👍 Mas drr..di lt3 Lagi update #VirusCorona Ada 69 WNI terinfeksi😇 #PrimeTalk</t>
  </si>
  <si>
    <t>@mxrrsgl @notfrst @itsofxa AKMSKWKSJSKWKMSWKWKSMSKKWMWKWWKJSJWKWKW A ISIS TODINHA MEU DEUS</t>
  </si>
  <si>
    <t>@markdisease engke masup berita weh, dua wni isdet setelah memeluk dan memberi dukungan ke oppa tersayang.........mitamit astaghfirullah 😭</t>
  </si>
  <si>
    <t>KBRI diminta mengoptimalkan diri bantu WNI di area terdampak lockdown.</t>
  </si>
  <si>
    <t>RT @kireinaladeara: Berkegiatan di mall berinteraksi dengan begitu banyak WNI dan WNA setiap harinya, takut? Tentu saja.</t>
  </si>
  <si>
    <t>@HendraBunawi5 @masbambang188 @awanayah @AbuAmr_AlAslamy @Berkarya_Info @baru_kaya WNI umur 17th, cukup Surat pengantar RT,RW,Kelurahan. Ribetnya dimana. Kecuali lu WNA yg gak mau ribet trus nyogok sana-sini.begitu KTP jadi teriak pungla-pungli🤮</t>
  </si>
  <si>
    <t>@ISIS_Balik_NO @TofaTofa_id sebenernya negara menanggung pasien yg dirawat d rs pemerintah. jika ada suspect di rs swasta, maka ada alih over. ini yg jadi konsen pak anis. lalu akhirny kemenkes buka suara utk cover seluruh suspect, baik rs swasta ato pemerintah.</t>
  </si>
  <si>
    <t>1. Cowok 2. -+ 170cm 3. -+ 72kg 4. Kulit coklat 5. Rambut item 6. Berkumis 7. Berjenggot 8. WNI 9. Bisa ngomong Indonesia 10. Lahir di Indonesia Dah itu aja faktanya. Murni fakta tanpa opini 👌 RT @bsempit: Udah 10 aja, bonus foto foto aku yang GEMOOOOOYYYYYYYYY. kalau kalian 10 factsnya apa aja?</t>
  </si>
  <si>
    <t>@LittleNanao_ Nyombongin keimanan Hahahahaha. Mana soal data keluar ga transparan.. Pemerintah kayak ga cukup jadi musuh WNI sendiri, pen jadi musuh WNA jugak lol.</t>
  </si>
  <si>
    <t>@Innosensius_ Ga pake gpp mas.. Isis..</t>
  </si>
  <si>
    <t>Lah kalau bukan dari WNA inimah WNI udah banyak yang kena RT @kominfo_jtg: Dua orang yang positif mengidap Covid-19, sebelumnya menghadiri sebuah seminar di Bogor. Mereka tercatat tidak kontak dengan warga negara asing. Keduanya berjenis kelamin pria, dengan umur 59 dan 58 tahun. Dua orang tersebut kemudian, dinyatakan positif Korona.</t>
  </si>
  <si>
    <t>Berkegiatan di mall berinteraksi dengan begitu banyak WNI dan WNA setiap harinya, takut? Tentu saja.</t>
  </si>
  <si>
    <t>mun @persib wni tanpa penonton, hebat</t>
  </si>
  <si>
    <t>Pulau ini digunakan untuk observasi wabah virus corona terhadap 188 WNI ABK World Dream dan 68 ABK Diamond Princess. #PulauSebaru #AGP</t>
  </si>
  <si>
    <t>Based on the data...... imported case ternyata lebih banyak. Kalau kaya gini, langkah preventifnya ya tidak ada aktivitas bepergian ke luar dan ke dalam negeri. Kecuali dalam rangka pemulangan WNI Or, travel ban RT @echoPiR: @CNNIndonesia Total positif 69 Meninggal 4 : Kasus no 25:(Bali), 35&amp;36: (RSPI Jakarta) , 50: (Solo)</t>
  </si>
  <si>
    <t>RT @kitabisacom: JAGA KESEHATAN UNTUK CEGAH VIRUS CORONA Presiden Jokowi telah mengonfirmasi 2 WNI di Indonesia yang positif terjangkit virus Corona. Melalui postingan ini, Kitabisa ingin mengajakmu mulai waspada virus Corona. Mari saling ingatkan keluarga kita untuk menjaga pola hidup sehat.</t>
  </si>
  <si>
    <t>@Hollym_Papua @jokowi @realDonaldTrump @UN @MEconomies Jangan percaya sama narasi palsu seperti ini. Satu-satunya yang meneror dan menembaki warga adalah KKB. KKB itu udah seperti ISIS, mengklaim mereka melakukan perjuangan, padahal mereka cuma melakukan aksi teror dan kejahatan yang justru merugikan orang papua sendiri</t>
  </si>
  <si>
    <t>Jumlah baru jadi 69. Perlu mulai menjalankan kebijakan karantina dengan ketat untuk yang masuk dari luar negeri, baik WNI dan WNA? Setidaknya bisa menekan potential carrier berkeliaran. Yes?</t>
  </si>
  <si>
    <t>RT @HaqiemRusli: Hati hati,saya sayang anda.</t>
  </si>
  <si>
    <t>Dulu begal, terus isis, skrng corona, gua mau maen jadi susah anjeeee</t>
  </si>
  <si>
    <t>@EloporeBenny Terus KKB juga masuk ke rumah-rumah warga dengan bawa senjata dan menodong warga papua, yang akhirnya membuat warga papua takut dan minta dievakuasi aparat. KKB itu teroris, apa yang mereka lakukan itu seperti ISIS di Suriah</t>
  </si>
  <si>
    <t>@al_vira_siti Gegara ngAhok, anak bangsa diadu domba, dibikin ribut terus... Tau tau tka cina udh jd wni. #eGoblok</t>
  </si>
  <si>
    <t>Bertambah, Kini 69 WNI Terjangkit Covid 19</t>
  </si>
  <si>
    <t>@BenyMagal @FreeWestPapua @ILWP_Official @msg @PurePapua @FreeWestPapuaNL @jokowi @IDFreeport @realDonaldTrump @UN KKB itu udah seperti teroris ISIS. Melakukan tindakan kriminal dengan kedok perjuangan. Padahal apa yang mereka sebut perjuangan itu cuma membawa penderitaan aja. Memalukan!</t>
  </si>
  <si>
    <t>@Hanifah933 @ACTforHumanity @jokowi @mohmahfudmd jgn mention pak @jokowi dan pak @mohmahfudmd lagi sibuk ngurusin penyambutan anak-anak ex WNI ISIS, krn hrs siapin rumah, perlengkapannya sama nyiapin dana utk sisa hidupnya mereka haahhaa RT @Hanifah933: Dear @ACTforHumanity Terimakasih sudah bikin malu BANGSA ini ... Cc : @jokowi @mohmahfudmd Sebuah LSM berbasis di #Indonesia yg memiliki hubungan dgn Hafiz Saeed didanai untk KEKERASAN di Delhi, menurut laporan media.</t>
  </si>
  <si>
    <t>RT @republikaonline: Brunei, Malaysia, Singapura mengonfirmasi positif corona terkait tabligh akbar.</t>
  </si>
  <si>
    <t>@ISIS_MY Tahniah. Diharapkan lebih banyak hebahan dalam Bahasa Melayu diwujudkan pada masa hadapan.</t>
  </si>
  <si>
    <t>@zarazettirazr Intelejen sibuk ikut urus covid19, gak takut kecolongan nanti hatei, isis, radikal radikul, khilafah tumbuh subur? Kan mereka paling takut dg itu</t>
  </si>
  <si>
    <t>Super WNI For Papua</t>
  </si>
  <si>
    <t>Rupiah anjlok,wni yang gaji dollar pada sumringah. Namun..</t>
  </si>
  <si>
    <t>Yang jadi masalah skrg itu tidak ada 1 pun ulama yg berkata isis itu bukan khawarij.... RT @ibnuhan1ff_: 70 'ulama' dulu berfatwa Imam Ahmad sesat dan layak dibunuh dan itu opini yang sangat populer ketika itu. Kalau ente hidup dimasa itu tentu akan membabi buta ikut yg disebut 'ulama' menghakimi Imam Ahmad. Perkataan ulama itu bukan dalil, tapi butuh dalil.</t>
  </si>
  <si>
    <t>Pasien positif virus korona atau Covid-19 di Indonesia melonjak dari 34 menjadi 69 orang per Jumat (13/3/2020) har ini. Dari jumlah tersebut, empat di antaranya meninggal dunia, terdiri atas tiga WNI dan 1 WNA.</t>
  </si>
  <si>
    <t>@devy215 @MukhtarLuthfi12 @kabinawa5 @ISIS_Balik_NO @musniumar @ustadtengkuzul Biarin</t>
  </si>
  <si>
    <t>@ghassanGRK Kalo ga salah emg udh SOPnya gitu pak. WNI yg positif corona di Jepang aja pas pemerintah minta identitasnya ga dikasih sama pemerintah Jepang</t>
  </si>
  <si>
    <t>@dawiguna @mamaciaaa Sudah berapa WNI yang kirim virus ke Singapura dan Australia? Apakah tidak khawatir hubungan antar negara bisa terganggu?</t>
  </si>
  <si>
    <t>@CNNIndonesia Waktu Isis membantai orang Asing dan luar,,, kok tak doa kena Azab oleh Kadrun..... Tolol luar biasa,, seakan Doa najis mereka di dengar Tuhan.....</t>
  </si>
  <si>
    <t>apakah MenKes sdh mengharuskan 620 WNI melakukan Cek Kesehatan? semoga SEGERA di Cek. unt Kepentingan bersama RT @eko_kuntadhi: Dari Indonesia sekitar 620 orang kabarnya hadir pada acara Tabligh Akbar di Malaysia ini. Singapura sedang melacak 95 warganya yang hadir. Untuk diperiksa. Warga Brunei yang hadir positif kena Corona. Waduh...</t>
  </si>
  <si>
    <t>RT @muannas_alaidid: Kedutaan Besar Republik Indonesia (KBRI) di Riyadh meminta agar warga negara Indonesia (WNI) tidak sembarang menyebarkan informasi terkait isu kasus corona atau Covid-19 di Arab Saudi karena diancam denda yang sangat berat bagi penyebar hoaks.</t>
  </si>
  <si>
    <t>@akunNendi @realNendi Jaringan isis sii</t>
  </si>
  <si>
    <t>@markeulie Kami informasikan kepada Bpk/Ibu pelanggan untuk syarat pembukaan rekening Tahapan Berjangka adalah: WNI, usia minimal 12 tahun, maksimal 60 tahun. Jangka waktu menabung adalah maksimal sampai dengan usia ulang tahun 65 tahun. Memiliki produk Tahapan, (1/3) ^Ruth</t>
  </si>
  <si>
    <t>Gambar Tangkapan Layar Berita Tentang Pimpinan ISIS Abu Bakar Al Baghdadi</t>
  </si>
  <si>
    <t>Yaa.. Klu upload ke Youtobe Harus izin dlu.. Mas drr Merinding dengar nya.. Suara nya boss sang bungsu #AdindaRatu terdengar smpai keluar gedung.. Membawakan lagu Celin dion (titanic)..👍👍👍 Mas drr.. Lagi update #VirusCorona Ada 69 WNI terinfexsi #PrimeTalk #AkimalamtvOne RT @SrikandiTeam: Betul mas novan..👍 Suara nya boss Sang bungsu #AdindaRatu Gak kalah dgn #Raisa &amp; #Isyana Merindiiing mass.. Denger suara nya.. Pass lagu Celin dion...👏👏👏 Pasti mas novan.. Mira mau minta izin sm boss.. sblm dikirim ke YOUTOBE. Yakin mas bakal hoboh.. #Lunch #Brownis 👌🙏</t>
  </si>
  <si>
    <t>Pada hari Sabtu besok, 188 WNI ABK World Dream akan dipulangkan! #PulauSebaru #AGP</t>
  </si>
  <si>
    <t>RT @cagubnyinyir2: TIDAK ETIS KITA INTERVENSI KEDAULATAN SINGAPURA !! Singapura Tagih Biaya Perawatan WNI Pasien Covid-19, Wapres : LHO itu harus ditanggung pemerintah  @BossToukeeIsa @Boemi_Pertiwi12 @JohnIrwan4 @wrahardian2 @muhamma87797215 @setroledog @blacpanthe</t>
  </si>
  <si>
    <t>@tiRani1313 Aneh bener klw ada kasus yg bersifat mendzolimi muslim.apalagi WNI. Para penguasa seperti tdk tahu apa" ya.. Apa emang dibatasi ruang wawasan utk hal itu?</t>
  </si>
  <si>
    <t>188 WNI ABK World Drea, telah siap dipulangkan ke daerah asalnya. Mereka akan dipulangkan besok pagi. #PulauSebaru #AGP</t>
  </si>
  <si>
    <t>RT @Metro_TV: #PrimeTimeNewsMetroTV Dubes RI untuk Italia, R.A. Esti Andayani sebut KBRI sudah imbau WNI di Italia agar mengikuti protokol yang diterapkan Pemerintah Italia. KBRI juga ingatkan WNI di Italia untuk mengikuti setiap perkembangan yang ada.</t>
  </si>
  <si>
    <t>RT @Inner_Hope88: - 14 hari adalah masa inkubasi.. setelah 14H jika kondisi mereka tidak menurun akan dipulangkan seperti WNI dr Wuhan di Natuna. - Covid 19 ini tidak semematikan MERS atau SARS. tetapi memang penyebarannya sangat cepat. - Virus Flu juga merupakan Korona ringan. ..Cont</t>
  </si>
  <si>
    <t>RT @Inner_Hope88: - Terawan juga menjelaskan tidak semua yg kontak langsung akan positif Covid 19. - Semua tergantung kondisi imunitas masing2. Buktinya 188 orang di Kapal Pesiar Dream World kontak langsung dengan WN lain tapi Alhamdulillah negatif. - Tapi 188 WNI ini harus tetap di observasi 14H</t>
  </si>
  <si>
    <t>@AnakLolina @DivHumas_Polri Sudah jelas dan nyata. Act berafiliasi dengan ISIS , AHH di Turki.</t>
  </si>
  <si>
    <t>RT @Metro_TV: #PrimeTimeNewsMetroTV Pengakuan Asmara , WNI di Italia pada dampak lockdown seluruh kota Italia: "Seluruh kegiatan dilakukan seperti biasa namun semuanya dilakukan di dalam rumah dengan sistem online. Bahkan Pemerintah bikin museum streaming online."</t>
  </si>
  <si>
    <t>69 Orang Positif Corona, Jubir: Semuanya WNI dan dari Hasil Tracing</t>
  </si>
  <si>
    <t>KBRI Minta WNI Ikut Tablig di Malaysia Jaga Jarak 1 Meter dengan Orang Lain</t>
  </si>
  <si>
    <t>@KatolikG Virus terkontrol bgmn? Di Singapura sudah ratusan yg positif, baru kemaren ada tambahan 2 kena lagi... WNI baru datang dr Indonesia.... Artinya Singapura juga blm bisa cegah virus ....</t>
  </si>
  <si>
    <t>Ada sedikit kabar yang melegakan terkait corona. Sudah ada 5 WNI positif corona yang dinyatakan sembuh. Mari kita doakan semakin banyak yang sembuh ya. . . #updatecorona #viruscorona #corona #korona #viruskorona #positifcorona #wnipositifcorona #sembuh #covıd19</t>
  </si>
  <si>
    <t>RT @Onta_buluk: @Hanifah933 @ACTforHumanity @jokowi @mohmahfudmd Negeri +62 mah bebas, rakyatnya angkat sejata utk orgnisasi asing di negara lain pulang pergi gk maslah , dana2 rakyat utk biayai teroris di negara2 lain dri lama gak diusut dan anak2 pendukung teroris ISIS difasilitasi pulang dll,.</t>
  </si>
  <si>
    <t>RT @Metro_TV: #PrimeTimeNewsMetroTV Laksamana Madya TNI Yudo Margono sebut proses pemulangan WNI dari pulau Sebaru Kecil dilakukan besok pagi. Dimulai dari pukul 06.00 WIB akan diberangkatkan dari Sebaru Kecil ke KRI Semarang untuk melanjutkan perjalanan ke Jakarta.</t>
  </si>
  <si>
    <t>RT @Metro_TV: #PrimeTimeNewsMetroTV Proses pemulangan WNI dari pulau Sebaru Kecil, Laksamana Madya TNI Yudo Margono: " Saya sudah sampaikan kepada mereka (para WNI) ntuk pemulangan dapat dilakukan pada Sabtu pagi, agar mereka dapat mempersiapkan barang-barangnya."</t>
  </si>
  <si>
    <t>@AREAJULID Lockdown se Indonesia? Boleh, karena banyak kasus masuk dibawa sama wni yg abis dari ln ya</t>
  </si>
  <si>
    <t>#PrimeTimeNewsMetroTV Dubes RI untuk Italia, R.A. Esti Andayani sebut KBRI sudah imbau WNI di Italia agar mengikuti protokol yang diterapkan Pemerintah Italia. KBRI juga ingatkan WNI di Italia untuk mengikuti setiap perkembangan yang ada.</t>
  </si>
  <si>
    <t>@p023456 @enricofernandos @kbenaranHakiki @AdnanDasuki99 @CNNIndonesia @ISIS_Balik_NO Bisa buktikan ga,kalo ada fee? Jika anda punya data loh</t>
  </si>
  <si>
    <t>masker rakyat akan milih sembako sumber penularan datang dari wna/wni yang habis perbergian dari LN so logika tutup sumber penularan dan tolong jadilah pemerintah yang merupakan sumber informasi yang jelas, benar dan akurat jangan jadi jubir malah jawab+</t>
  </si>
  <si>
    <t>@apadongggah Atur kepulangannya itu untuk WNI</t>
  </si>
  <si>
    <t>@moh_effendie @ISIS_Balik_NO @TofaTofa_id Lha si topa ini brarti bner" mahluk gk berguna dong ?? Klo bner mahluk gk berguna knp gk mati aja sih</t>
  </si>
  <si>
    <t>@Horror_2020 @TheArieAir Yg hadir dr dukungan slrh rakyat, bkn dr parpol..walau scr UU hrs mll parpol..abis parpol sdh dikuasai elit dn keluarganya..sementara scr UU siapapun WNI yg memenuhi syarat blh mcalonkn sbg Presiden.., yg karakternya melindungi, mjaga, mengayomi rakyatnya..</t>
  </si>
  <si>
    <t>@Dennysiregar7 Tolong bang @Dennysiregar7 yg katanya pembelah Syiah dan simpatisan Syiah. Tolong jinakkan Habib2 Syiahmu yg inciting racial hatered toward Indonesia Chinese. Tolong beritahu juga, bahwa habib2 Syiahmu itu bukan WNI, namun bangsa Asing Persia @AntoniusMade</t>
  </si>
  <si>
    <t>@ri2atanjung Nah itu yg saya takutkan kak😄😄😄 Dia penganut paham khilafah,, aq takut ntar salah² dia main gorok ajj sprt isis..🙊🙈🙈🙈</t>
  </si>
  <si>
    <t>@TC2283927416 @elinghofur  Coba baca ini deh gratis kok ga dipungut biaya, bahkan perawatan WNA dan WNI yg kena juga gratis</t>
  </si>
  <si>
    <t>sebenernya ini lumayan menyindir gue sendiri karna gue sempet ga percaya sama virus itu dan bercandain tentang hal ini. tapi udah ada korban puluhan wni kena virus corona, itu tandanya virus ini emang ga main main.</t>
  </si>
  <si>
    <t>@AnakLolina @jokowi Baru tahu ada ormas bodoh bilang Azab, ngak mikir gitu di Timur tengah bisa juga kena,..kasus India ngak seberapa,tp pembantaian umat muslim oleh muslim di Timur Tengah itu ormas diam aja....berani ya bakar Bendera India,bakar bendera ISIS TDK berani...</t>
  </si>
  <si>
    <t>@xxelysianirenic @mr_abcx @joyce_wibowo @xximbecile Dan kalau dilihat dari 69 pasien positif sebagian besarnya imported case dari LN yg artinya prosedur pendeteksian di setiap jalur masuk internasional Indo yg “katanya” udh tanggap masih bisa diterobos sm WNI yg ternyata positif. Pantes kmrn ada yg blg pengecekan cm formalitas.</t>
  </si>
  <si>
    <t>@Little_Kodok86 @TengkuAdhitya @DivHumas_Polri @CCICPolri *jg Gw cuma gak mau politik diobok2 kelompok yg anti-Pancasila dan berafiliasi ke ISIS. Ada sekelompok orang yg menjual agama untuk kepentingan politik. They spread hoaxes 24/7. Nah... orang macam @TengkuAdhitya ini salah satunya.</t>
  </si>
  <si>
    <t>#PrimeTimeNewsMetroTV Pengakuan Asmara , WNI di Italia pada dampak lockdown seluruh kota Italia: "Seluruh kegiatan dilakukan seperti biasa namun semuanya dilakukan di dalam rumah dengan sistem online. Bahkan Pemerintah bikin museum streaming online."</t>
  </si>
  <si>
    <t>IMBAUAN KEPADA #WNI DI #INGGRIS TERKAIT PERKEMBANGAN #COVID-19 #inidiplomasi #NegaraMelindungi #WaspadaCOVID19 #waspadacoronavirus</t>
  </si>
  <si>
    <t>@CNNIndonesia Ini diitung banyak nya gara gara wni yang dipulangin pas udh kena covid di luar negeri bukan si</t>
  </si>
  <si>
    <t>@musniumar Saya sarankan anda untuk segera mundur agar tahun depan Kampusnya masih ada pendaftar</t>
  </si>
  <si>
    <t>@mazzini_gsp Wow mirip ISIS ya😭</t>
  </si>
  <si>
    <t>@mat_sodor @inesrinda @TofaTofa_id Yg jual Mahal dgn resmi siapa ya....</t>
  </si>
  <si>
    <t>@p023456 @enricofernandos @kbenaranHakiki @AdnanDasuki99 @CNNIndonesia Fee ? Dapet info dari mana ?</t>
  </si>
  <si>
    <t>(( thanks lo sudah ngingetin )) Dasar ummat pelupa, ISIS nyembelih orang di Syiria sana jg alasan lupa rahmatan Lil alamin? RT @welly_albinanto: @ideide48 Allah SWT berfirman: ذٰلِكَ الْكِتٰبُ لَا رَيْبَ ۛ فِيْهِ ۛ هُدًى لِّلْمُتَّقِيْنَ ۙ zaalikal-kitaabu laa roiba fiih, hudal lil-muttaqiin "Kitab (Al-Qur’an) ini tidak ada keraguan padanya; petunjuk bagi mereka yang bertakwa," (QS. Al-Baqarah 2: Ayat 2) thanks lo ngingetin</t>
  </si>
  <si>
    <t>Jokowi Tak Setuju Pulangkan 660 WNI Eks ISIS ke Indonesia</t>
  </si>
  <si>
    <t>RT @permadiaktivis: Saat media sebesar @tempodotco pakai caption satir @TretanMuslim jadi headline, saat media sekelas @kompascom disinformasi obat corona, sekaliber @CNNIndonesia plintir canda wapres bikin emosi warga.. sebar ya Tuips, agar jangan banyak korban media mendulang rupiah dari clickbait</t>
  </si>
  <si>
    <t>@musniumar Mudah2an yg beli adalah WNI, siapapun dia. Dan bukan kadrun seperti kamu.</t>
  </si>
  <si>
    <t>RT @Lukmanul438: Sekitar 695 orang WNI yang hadir ke acara keagamaan di Sri Petaling KL, berapa Warga Malaysia positif Vovid19 dari acara ini @kbrikualalumpur @KemenkesRI</t>
  </si>
  <si>
    <t>RT @PFTee: 🔴Persekusi Tempat Ibadah AGAMA RESMI yang diakui Pemerintah</t>
  </si>
  <si>
    <t>RT @HusinShihab: Aksi Cepat Tanggap (ACT) didiga sudah sejak dulu mensupport gerakan Islam aliran keras. Sayangnya Bank Indonesia (BI) belum bisa mengaudit lembaga ini sumber dana dari mana dan ke mana disalurkan.</t>
  </si>
  <si>
    <t>@detikcom @wolipop Masih dalam batas BIASA...tak seluar biasa TVoon</t>
  </si>
  <si>
    <t>@penguasahati Ada bbrp organisasi mirip yg malah terafiliasi dg ISIS jg kan mbak. Mrk "aman2" aja tuh beroperasi.</t>
  </si>
  <si>
    <t>@Donal_golan @humaspemkotsmg @hendrarprihadi IMB 1998 terbit, SKB 2 Menteri tahun 2006 itu pun ada unsur aturan tidak melindungi HAM TIAP2 WNI dlm kebutuhan IBADAH nya. @hendrarprihadi takut gtu atau mencoba peruntungan POLITIK IDENTITAS? @ganjarpranowo blm bersuara &amp; beraksi? #SOSIntoleransi Solusinya diusir halus njeh?</t>
  </si>
  <si>
    <t>#PrimeTimeNewsMetroTV Laksamana Madya TNI Yudo Margono sebut proses pemulangan WNI dari pulau Sebaru Kecil dilakukan besok pagi. Dimulai dari pukul 06.00 WIB akan diberangkatkan dari Sebaru Kecil ke KRI Semarang untuk melanjutkan perjalanan ke Jakarta.</t>
  </si>
  <si>
    <t>Besok pagi 188 WNI ABK World Dream akan dipulangkan ke daerahnya masing-masing. #PulauSebaru #AGP</t>
  </si>
  <si>
    <t>Jadi kepada para pengusung toleransi jangan pada parno. Tiap orang yg sering kritik pemerintah dituduh khilafah, yg ga milih jokowi dituduh khilafah, yg setuju pemulangan wni eks isis dituduh khilafah semua aja dikhilafah2in</t>
  </si>
  <si>
    <t>@Abby_Budiyono97 @WagimanDeep__ @mprgoid @bambangsoesatyo Gak salah emang... Ex ISIS dipekerjakan di BUMN Dus... Wedus</t>
  </si>
  <si>
    <t>RT @merdekadotcom: Presiden Jokowi Sebut 5 WNI Sudah Sembuh dari Virus Corona</t>
  </si>
  <si>
    <t>Salah satu kelebihan Kalista Iskandar itu, dia WNI , rasa2nya kalau mau bisa saja "lahirnya" di US &amp; jd WNA.</t>
  </si>
  <si>
    <t>ACT ini kan dulu pernah kirim donasi ke Suriah yg ternyata ditujukan ke kamp jihadis isis, jadi ndak usah kaget. RT @CNNnews18: #NewsAlert | Indonesian NGO A.C.T funded Delhi riots, the NGO had assisted Hafiz Saeed in terror strikes in Indonesia: Top Intel sources | Input: @manojkumargupta #DelhiViolence</t>
  </si>
  <si>
    <t>Jadi buat semua tim yang mendampingi para WNI observasi di Pulau Sebaru Kecil akan di cek juga kesehatannya. #PulauSebaru #AGP</t>
  </si>
  <si>
    <t>@cagubnyinyir2 @sirajapadoha @P_Eneste @angelmaximilan @wiriantowidjaya @Aldiasman Biarin aja nagih, kalo enggak mau menanggung biaya perawatannya, pulangkan aja WNI nya .....</t>
  </si>
  <si>
    <t>600 WNI Ikut Tablig Akbar di Malaysia yang Terpapar Corona</t>
  </si>
  <si>
    <t>WNI yang hadir di tabligh akbar Malaysia diminta melaporkan diri.</t>
  </si>
  <si>
    <t>Panglima Komando Tugas Gabungan Terpadu Wilayah Pertahanan 1 Laksamana Madya Yudo Margono mengatakan 188 WNI ABK World Dream telah selesai observasi dan kondisi terakhir mereka semua sehat. #PulauSebaru #agpcrs</t>
  </si>
  <si>
    <t>Haha orang"kek gini nih yg ngotorin adat istiadat bali yg kental bgt,udh menuh"in bali berulah lagi njing. Pernah pas lagi ke pura,dan ada tulisan GEDE GA BOLEH PAKE PAKAIAN GA SOPAN A K A SEKSI PAKE BAHASA INGGRIS BIAR WNI PAHAM tetep aje MASUK PAKE TANKTOP HOTPANS GA NGOTAK. RT @soendala: i'm too tired to say anything ab this white woman ,,</t>
  </si>
  <si>
    <t>RT @cagubnyinyir2: TIDAK ETIS KITA INTERVENSI KEDAULATAN SINGAPURA !! Singapura Tagih Biaya Perawatan WNI Pasien Covid-19, Wapres : LHO itu harus ditanggung pemerintah  @sirajapadoha @P_Eneste @angelmaximilan @wiriantowidjaya @Aldiasman @didi_armayanto</t>
  </si>
  <si>
    <t>RT @KBRI_Athena: Surat Edaran kepada WNI di Yunani terkait Penyebaran Covid-19 #inidiplomasi #indonesianway #negaramelindungi</t>
  </si>
  <si>
    <t>Hak intervensi bebas,mau di tanggapi terserah itu hak negara dia,seandainya WNI kita jadi TKW itu hak bosnya,ga bisa lepas tanggung jwb,kecuali disananya tdk punya ijin tingal bru,ngapin kita takut sma singapure RT @cagubnyinyir2: Tata pergaulan diplomasi internasional Ada aturan tdk Intervensi KEDAULATAN NEGARA lain</t>
  </si>
  <si>
    <t>Terinfeksi corona di Singapura, WNI harus bayar sendiri</t>
  </si>
  <si>
    <t>RT @Metro_TV: 11 pasien suspect corona di Bali masih terus dalam pengawasan medis, 7 diantaranya adalah WNA dan 4 WNI. Sementara di lain sisi, sektor pariwisata Bali terus mengalami penurunan, imbas dari penyebaran virus corona. #MetroSiang #IndonesiaMelawanCorona</t>
  </si>
  <si>
    <t>@seasawgames @edcfess2 ditambah wni di luar negeri yah ka maksudnya</t>
  </si>
  <si>
    <t>@isis_sagrav IAGS KKQQCS J8QSG VOCEW ♡♡</t>
  </si>
  <si>
    <t>Satu warga negara Indonesia (WNI) positif virus korona meninggal dunia. Sebelum meninggal, pasien itu dirawat di RSUD dr Moewardi Solo, Jawa Tengah (Jateng).</t>
  </si>
  <si>
    <t>Udah kyk diculik isis, kabur terus diterima keluarga. Elah RT @asumsico: Jubir RS Persahabatan: 1 pasien positif COVID-19 kabur dari ruang isolasi dan dijemput oleh keluarganya minggu lalu.</t>
  </si>
  <si>
    <t>RT @KBRI_Athena: Perkembangan COVID-19 di Dunia dan Pelindungan WNI per 13/03 pukul 10.00 WIB. Terdapat tambahan 2 WNI di Singapura terkonfirmasi COVID-19. #IniDiplomasi #NegaraMelindungi #indonesianway</t>
  </si>
  <si>
    <t>RT @tr4velcompass: Semoga memang benar WNI itu imun tubuhnya kuat², ya @oneaperture @suzli05 @vianty74 @Lady_StayClassy @AmbarwatiRexy @sitisisterceria @arini_marliana @ummihasfa @NgkongRoses @tua_kladi @Marder2000 @kopikirpikir @TyasZain @myozhyme</t>
  </si>
  <si>
    <t>@fatiyafis Isis fat semriwing wkwk</t>
  </si>
  <si>
    <t>11 pasien suspect corona di Bali masih terus dalam pengawasan medis, 7 diantaranya adalah WNA dan 4 WNI. Sementara di lain sisi, sektor pariwisata Bali terus mengalami penurunan, imbas dari penyebaran virus corona. #MetroSiang #IndonesiaMelawanCorona</t>
  </si>
  <si>
    <t>RT @SisiwittFrida: @YohanesPatty2 Dlm kondisi tdk perang militer mk slrh WNI adalah prajurit, krn perangnya saat ini proxy war..gunakan kekuatan lain utk menaklukn lawan jd fokus kita sll pd karya, prestasi, inovasi dn prestasi, dg bgtu ngr kuat dn mudah menangkal ancaman gangguan dr luar..</t>
  </si>
  <si>
    <t>@YohanesPatty2 Dlm kondisi tdk perang militer mk slrh WNI adalah prajurit, krn perangnya saat ini proxy war..gunakan kekuatan lain utk menaklukn lawan jd fokus kita sll pd karya, prestasi, inovasi dn prestasi, dg bgtu ngr kuat dn mudah menangkal ancaman gangguan dr luar..</t>
  </si>
  <si>
    <t>@edcfess2 PDB iku gdp nder. kalo gnp itu PNB. ngitungnya PDB dikurangi pendapatan wna dalam negeri trus hasilnya ditambah pendapatan wni dalam negeri</t>
  </si>
  <si>
    <t>Satu warga negara Indonesia (WNI) positif korona meninggal dunia. Sebelum meninggal, pasien itu dirawat di RSUD dr Moewardi Solo, Jawa Tengah (Jateng).</t>
  </si>
  <si>
    <t>@CNNIndonesia Kesalahan awal : pemerintah telat menjemput WNI yang berada di China, kesalahan ke 2 : indonesia tidak mempunyai peralatan medis dan pengobatan yang ampuh, negara maju saja belum bisa buat obat tuk covid-19. Kesalahan ke 3 : pemerintah tidak stop WNA terutama dari china.</t>
  </si>
  <si>
    <t>Hari ini adalah hari terakhir 188 WNI ABK World Dream berada di Pulau Sebaru Kecil, Kepulauan Seribu. #PulauSebaru #AGP</t>
  </si>
  <si>
    <t>@Mentimoen Sepertinya beberapa waktu lalu di isukan penyandang dana isis fia buka lapak, sampe down aplikasi buka lapak di app store. 👇👇</t>
  </si>
  <si>
    <t>@CNNIndonesia Btw ini wna apa wni yaa? Aku belum buka beritanya....</t>
  </si>
  <si>
    <t>RT @akunugraha17: @Bola_Jakarta Yang meninggal jadi 2; 1. Case nomor 25, WNA, Imported Case. 2. Pasien di RS Surakarta, WNI, setelah seminar di Bogor biar gak dibilang hoax:</t>
  </si>
  <si>
    <t>Pemerintah Tak Tanggung Biaya Perawatan WNI Terkena Corona di Luar Negeri</t>
  </si>
  <si>
    <t>@CNNIndonesia Pembantaian keji di iraq suriah oleh ISIS dan agresi militer ke yaman koq gada doa kek gini ya...</t>
  </si>
  <si>
    <t>RT @antaranews: "Dengan ini total 7 WNI telah dikonfirmasi positif COVID-19 di Singapura," #coronavirus</t>
  </si>
  <si>
    <t>RT @KBRILondon: IMBAUAN KEPADA #WNI DI #IRLANDIA TERKAIT PERKEMBANGAN #COVID-19 #WaspadaVirusCorona #NegaraMelindungi #IniDiplomasi</t>
  </si>
  <si>
    <t>@Mentimoen tahun lalu ACT sempat dituduh kirim dana ke ISIS, karena ada aliran dana ke Suriah, tapi ACT membantah, bahwa itu bantuan untuk pengungsi Suriah. infonya mereka akan ambil langkah hukum untuk "hoax" tersebut, tapi waktu itu aku udah ga denger update soal langkah hukum lagi.</t>
  </si>
  <si>
    <t>@royalmargarine gue tadi baca di sini sih. tapi ini campur sama yang wni dari luar yang emang udah ketular terus dibawa pulang ke sini buat dirawat di sini. makanya banyak. tapi yang karena tertular juga gak sedikit sih. cmiiw</t>
  </si>
  <si>
    <t>RT @Beritabaruco: 2 WNI Kembali Dinyatakan Positif COVID-19 Di Singapura</t>
  </si>
  <si>
    <t>Astakira berupaya pulangkan WNI yang ditahan di Malaysia</t>
  </si>
  <si>
    <t>Corona Nyebar di Tabligh Akbar, KBRI Minta WNI Tes COVID-19</t>
  </si>
  <si>
    <t>#BreakingNewsMetroTV Masa observasi ratusan WNI anak buah kapal World Dream dan Diamond Princess di Pulau Sebaru Kecil akan segara berakhir pekan ini. Para WNI rencananya akan dipulangkan pada hari Sabtu dan Minggu.</t>
  </si>
  <si>
    <t>RT @DJKURO_: Ga ngerti lagi, ntah buzzer atau hanya org tolol yg terdoktrin untuk membenci pemerintahan. Jujur sih sbg WNI gue ngerasa malu bgt ada makhluk +62 yg begini.</t>
  </si>
  <si>
    <t>Ga ngerti lagi, ntah buzzer atau hanya org tolol yg terdoktrin untuk membenci pemerintahan. Jujur sih sbg WNI gue ngerasa malu bgt ada makhluk +62 yg begini.</t>
  </si>
  <si>
    <t>Karena sejak lahir sudah jadi WNI dan praktis paling banyak menjalani hidup di nkri, makanya gw gk banyak komplen lah soal kecepatan pemerintah menanggapi isu covid19 ini</t>
  </si>
  <si>
    <t>RT @earlytimess: • Gibran's husband Nama : Aarav Danurwenda Tempat Kelahiran : Jakarta Tanggal Kelahiran : 27 Juni 1991 Golongan Darah : - Kebangsaan : WNI Diperankan Oleh : @taukemudaa</t>
  </si>
  <si>
    <t>RT @TirtoID: WNI yang dinyatakan positif terjangkit virus COVID-19 atau corona di Singapura bertambah dua. Keduanya termasuk kasus 181 dan 182 dan masih satu keluarga.</t>
  </si>
  <si>
    <t>@abelsumanas @djumelan @ISIS_Balik_NO @musniumar yG PaStI BeLiAu jAuH LeBiH BaIk dArI EnTe, KlO GaK EnTe yG JaDi rEkToR.</t>
  </si>
  <si>
    <t>TIDAK ETIS KITA INTERVENSI KEDAULATAN SINGAPURA !! Singapura Tagih Biaya Perawatan WNI Pasien Covid-19, Wapres : LHO itu harus ditanggung pemerintah  @BossToukeeIsa @Boemi_Pertiwi12 @JohnIrwan4 @wrahardian2 @muhamma87797215 @setroledog @blacpanthe</t>
  </si>
  <si>
    <t>Surat Edaran kepada WNI di Yunani terkait Penyebaran Covid-19 #inidiplomasi #indonesianway #negaramelindungi</t>
  </si>
  <si>
    <t>@CNNIndonesia NANGIS BGT GUA JADI WNI ASLI!</t>
  </si>
  <si>
    <t>RT @JL_Apatheia: @BirgaldoS Kedepannya, kalau banyak yg jd teroris, alasannya bukan lagi karena dijanjiin hidup enak oleh ISIS, tapi oleh pemerintah Indonesia Secara gak langsung, pemerintah lah yang menyuburkan terorisme</t>
  </si>
  <si>
    <t>RT @leehandoko: @BirgaldoS Shameful. Our government should put more effort to the victims that ISIS EX WNI KIDS!! Tolak la itu ex wni. Ngapain sih dipersiapkan untuk pulang ke tanah air, perhatian lebih seharusnya tertuju pada korban WNI drpd EX WNI!</t>
  </si>
  <si>
    <t>@kafiradikal dan mereka gk tau keberadaanya ? aneh banget , administrasinya gimana ? atau mungkin bukan wni ahhhhhh sudahlah @jokowi @DKIJakarta</t>
  </si>
  <si>
    <t>@mochamadarip Ini adajuga berita virus corona mas, ini berita tahun 2014 loh</t>
  </si>
  <si>
    <t>@musniumar Kenapa sih seorang rektor, profesor koq nadanya gini, mending bilang pembelinya pengusaha WNI. Tolong mulut nya, atau jarinya di lockdown dulu ya.</t>
  </si>
  <si>
    <t>@RohitRa94051161 @Fekoslovakian Orr han ...Isis..or jaish-emohmammd terrorist h ...bo mat likhna kbi.. #DoglaHinu</t>
  </si>
  <si>
    <t>kesimpulan ngapa susah banget dahal cuma nentuin ini negara siap ato engga ngadepin isis😭</t>
  </si>
  <si>
    <t>RT @Metro_TV: #MetroHariIni "Sekarang mereka sejak kemarin telah dikirim ke rumah sakit di Jakarta dan juga ada 1 di rumah sakit di Tangereng. Namun masih proses tracking di kelurga dan sebagainya. Semua WNI, dari informasi awal bahwa 2 orang itu baru kembali dari Malaysia." Wahidin Halim</t>
  </si>
  <si>
    <t>@tempodotco Semua WNI perlu tahu, apa yg harus dilakukan klo ini sudah meluas!!! Perlu tau persiapan pemerintah apa aja utk mitigasinya @jokowi @KemenkesRI @KSPgoid @GeneralMoeldoko</t>
  </si>
  <si>
    <t>RT @wisanggeni_084: Kasihan mereka enggak pernah dapet info kl ISIS yg mengusung Khilafah itu menjadikan wanita sebagai budak sex di tempat asalnya. Nggak pernah baca atau memang gak punya kuota buat buka inet, atau memang pingin atau memang doyan.... Entah lah.. 😓😓😓</t>
  </si>
  <si>
    <t>RT @WahhabiCC: Saatnya keadilan ditegakkan! Kaum ibu &amp; anak2 pengungsi Sampang itu muslim/muslimah Pancasilais yg jd korban kekerasan dan pengusiran oleh gerombolan ekstrimis upahan bandit2 berkedok agama pd 2012, mereka bukan kaum ibu &amp;amp; anak2 teroris wahhabi ISIS @jokowi @mohmahfudmd @GunRomli</t>
  </si>
  <si>
    <t>2.KBRI Nairobi mengimbau seluruh Warga Negara Indonesia (WNI) di Kenya agar tetap tenang, namun meningkatkan kewaspadaan, serta melakukan langkah-langkah pencegahan.</t>
  </si>
  <si>
    <t>Tegas dan nyata langkah antisipasi nya. Tanpa takut ekses diluar keselamatan warganya.</t>
  </si>
  <si>
    <t>Sekitar 695 orang WNI yang hadir ke acara keagamaan di Sri Petaling KL, berapa Warga Malaysia positif Vovid19 dari acara ini @kbrikualalumpur @KemenkesRI RT @KL_Reporter: #COVID2019 Health Ministry conducts screening on students of a madrasah at Sri Petaling mosque which on Feb 29, hosted a tabligh congregation where thousands of its followers including over 1,500 foreigners from 28 countries attended it.</t>
  </si>
  <si>
    <t>#Corona #ArabSaudi Otoritas Arab Saudi mengeluarkan edaran terbaru terkait langkah mencegah penyebaran virus corona, satu diantaranya penghentian sementara kedatangan WNA dari sejumlah negara termasuk Indonesia.</t>
  </si>
  <si>
    <t>RT @tribunnews: PENGUMUMAN terbaru Arab Saudi terkait #CoronaVirus #Covid-19  via @tribunnews</t>
  </si>
  <si>
    <t>@Hardianton02 Kasian keluarga ini pewaris WNI,padahal Soeharto harja negoro suami eminingtyas pewaris tunggal ini berjuang menjalankan kesepakatan dgn BK bagikan tanah buar rakyat miskin kok jatuh semuanya ke corporasi dan para compradror yg berbedil?😷😷😷😭😭</t>
  </si>
  <si>
    <t>RT @Wal_Ashr_: Dan ada 696 WNI diantara 10rb peserta Tabligh Akbar tsb...</t>
  </si>
  <si>
    <t>Pak @jokowi .. mungkin bisa keluarkan peraturan.. semua penumpang pesawat yg masuk dr luar negri baik wni maupun asing.. harus menuliskan data yg benar ttg kesehatannya terakhir.. dan membawa alat pengukur suhu sendiri.. krn petugas kita kurang teliti @mohmahfudmd @fadjroeL</t>
  </si>
  <si>
    <t>Apaansi sempet-sempetnya mikirin pariwisata 😂 astagaaa mau ngehina tapi KTP ku masih WNI :( RT @TirtoID: Pemerintah Indonesia memberikan insentif berupa diskon tiket pesawat untuk memulihkan kembali sektor pariwisata yang terhantam dampak virus Corona. Efek dari langkah ini dinilai kontraproduktif dan bisa makin memperparah persebaran COVID-19.</t>
  </si>
  <si>
    <t>@meetdheeraj @TheMinioness @sardesairajdeep @AmitShah Abe data lenge tho tumhara problem kya hai ?? Isis agent hai kya itna dar ra tu...</t>
  </si>
  <si>
    <t>Pulau Sebaru, yang berada di wilayah Kepulauan Seribu, telah dijadikan tempat observasi Corona WNI dari kapal World Dream dan Diamond Princess.</t>
  </si>
  <si>
    <t>PENGUMUMAN terbaru Arab Saudi terkait #CoronaVirus #Covid-19  via @tribunnews</t>
  </si>
  <si>
    <t>Arab Saudi Hentikan Sementara Kedatangan WNA, KBRI Riyadh Imbau WNI Atur Jadwal Ulang Penerbangan  via @tribunnews</t>
  </si>
  <si>
    <t>@unilubis @idntimes Apa yg kabur ke singapura ya ? Kan ada tuh WNI postif pergi ke SG</t>
  </si>
  <si>
    <t>RT @antaranews: Wapres: Pemerintah hanya menanggung biaya perawatan bagi pasien WNI yang terkena #COVIDー19 dan menjalani perawatan di rumah sakit di dalam negeri.</t>
  </si>
  <si>
    <t>Masker dan hand sanitizer menjadi barang langka di pasaran pascapemerintah mengumumkan ada Warga Negara Indonesia (WNI) positif terkena virus korona (Covid-19).</t>
  </si>
  <si>
    <t>dah boleh isis 97 lah gini</t>
  </si>
  <si>
    <t>@arieoz Itu masker buat seluruh WNI di daegu bang? Masyaallah, banyak ya</t>
  </si>
  <si>
    <t>Kesian WNI yg diuar negri...yg kena corona trus dirawat. RT @antaranews: Wapres: Pemerintah hanya menanggung biaya perawatan bagi pasien WNI yang terkena #COVIDー19 dan menjalani perawatan di rumah sakit di dalam negeri.</t>
  </si>
  <si>
    <t>Kepala KKP Kelas 1 Surabaya, Budi Hidayat mengatakan, langkah pengamanan (isolasi) itu dilakukan untuk mengantisipasi kemungkinan mahasiswi tersebut terpapar virus korona. Pasalnya, mahasiswi tersebut baru saja melakukan perjalanan dari China.</t>
  </si>
  <si>
    <t>Wapres: Pemerintah hanya menanggung biaya perawatan bagi pasien WNI yang terkena #COVIDー19 dan menjalani perawatan di rumah sakit di dalam negeri.</t>
  </si>
  <si>
    <t>#MetroHariIni "Sekarang mereka sejak kemarin telah dikirim ke rumah sakit di Jakarta dan juga ada 1 di rumah sakit di Tangereng. Namun masih proses tracking di kelurga dan sebagainya. Semua WNI, dari informasi awal bahwa 2 orang itu baru kembali dari Malaysia." Wahidin Halim</t>
  </si>
  <si>
    <t>@nrndrmtiara ih iya, lebih murah dan terjangkau drpd beli si isis yg satunya😭</t>
  </si>
  <si>
    <t>Pasien yang meninggal dunia di RSUD Dr Moewardi Surakarta, Jawa Tengah (Jateng) dinyatakan positif terjangkit virus korona. Hasil uji laboratoirum dari Kementerian Kesehatan baru diumumkan pada Jumat (13/3/2020).</t>
  </si>
  <si>
    <t>RT @LokadataID: - Utas #Bincang bersama Juru bicara pemerintah untuk penanganan virus Corona atau COVID-19, Achmad Yurianto - Sejak Corona merebak, sosok Yuri, sapaan akrabnya, memang mencuri perhatian. Ia merupakan figur penting di balik pemulangan ratusan WNI dari Tiongkok. #WaktunyaLokadata</t>
  </si>
  <si>
    <t>RT @Zqfkr: mssm boleh cancel , tapi sekolah still on ? ingat corona ni spread kat mssm je ke apa</t>
  </si>
  <si>
    <t>Ada sedikit kabar yang melegakan terkait corona. Sudah ada 5 WNI positif corona yang dinyatakan sembuh. Mari kita doakan semakin banyak yang sembuh ya. . . #updatecorona #viruscorona #corona #korona #viruskorona #positifcorona #wnipositifcorona #sembuh ##covıd19</t>
  </si>
  <si>
    <t>RT @fusyop: Member : "Kau ni tak sakit hati ke hari hari stalk dia" Aku : "Alang-alang hati ni dah hancur, biarlah hancur terus"</t>
  </si>
  <si>
    <t>Wapres: Terinfeksi COVID-19 di Singapura, WNI harus bayar sendiri</t>
  </si>
  <si>
    <t>Wapres: 7 WNI terinfeksi virus corona di Singapura harus bayar sendiri - ANTARA News Bengkulu</t>
  </si>
  <si>
    <t>Lama2 bisa jadi WNI, meski gak ikuti prosedur harus tinggal di indonesia selama 20 - 25 tahun. I have a bad feeling.. 😑 RT @OposisiCerdas: Hanya WNA China yang Diberi Izin Tinggal Darurat di Indonesia karena Virus Corona</t>
  </si>
  <si>
    <t>Gblk. Tolong pak yg kabur cabut aja dri wni RT @subtanyarl: tanyarl KENAPA HARUS ADA ACARA KABUR SIH 😭</t>
  </si>
  <si>
    <t>@ratuayu90448675 @1_devout @Jubilate_7 @Deliana57939903 @etty_markim @FerdinandHaean2 Kurang kerjaan banget, sapa juga yang debat. Ini kenyataan kalau efpei bahlul. Dukung ISIS PADAHAL bikinan Amrik... ketepuuuuu</t>
  </si>
  <si>
    <t>@wni_jmsri @btrisyiablqs Mekasihhhh</t>
  </si>
  <si>
    <t>@nursyamsahadis @BIN_Official Corona terpapar paham radikal .isis😂😂</t>
  </si>
  <si>
    <t>Beredar Kabar Singapura Tagih Biaya Perawatan WNI Pasien Corona, Wapres: Kami Belum Tahu</t>
  </si>
  <si>
    <t>@panca66 Corona terpapar virus radikal .isis😂😂😂</t>
  </si>
  <si>
    <t>@kinderrry iyaaa ini wni</t>
  </si>
  <si>
    <t>RT @idntimes: Jemaah asal Brunei tertular COVID-19 usai ikut acara itu #VirusCorona #CoVid19 #UpdateVirusCorona</t>
  </si>
  <si>
    <t>@prmstay Lah ada yang meninggal lagi? kali ini wni atau wna?</t>
  </si>
  <si>
    <t>RT @safartinoborneo: @BPJSKesehatanRI trm ksih untuk kalian yg telah membiaya operasi Ibu saya yg saat itu hampir 400 juta toalnya, blm lagi rawat inap selama hampir 7 bulan lamanya,smua gratis. Saya doakan BPJS smakin maju &amp; bisa memberikan kontribusi lebih baik lgi u/ WNI. 🙏🏼</t>
  </si>
  <si>
    <t>RT @Detektif_Ngibul: Lagi ramai soal Bachtiar Nasir. Nih gw kasi jejak rekamnya Mulai dari dia dukung ISIS, khilafah, bang japar, dll Dia punya pengalaman &amp; pengaruh dalam dunia radikalisme d Indonesia! @narkosun @P3nj3l4j4h_id @TolakBigotRI @wahhabicc_jabar @RizmaWidiono @amrudinnejad_ @jr_kw19</t>
  </si>
  <si>
    <t>@susipudjiastuti Yang dimaksud Pak @mohmahfudmd KAPAL BUATAN LUAR NEGERI 100% milik WNI puluhan tahun dan masuk kategori white list memang banyak yg MANGKRAK Kapal Ikan Eks-Asing Terancam Mangkrak, Ini Usulan Astuin -  -</t>
  </si>
  <si>
    <t>@p023456 @enricofernandos @kbenaranHakiki @CNNIndonesia @ISIS_Balik_NO Fee, kayaknya gak lah. Wong justru AS malah gak suka atas tindakan ini...</t>
  </si>
  <si>
    <t>@hidayat_y28 @Aryprasetyo85 @PoldaJogja @DivHumas_Polri @gastonkatanya @Andri_C1AB @christanto666 @cintada17 @KPAI_official @KPAI_official ada kerjaan tuh... Apa masih kurang? Ini yg lbh penting drpd ngurusin hamil di kolam renang.. Apalagi mslh anak2 yg kembali dr ISIS</t>
  </si>
  <si>
    <t>@inesrinda @ISIS_Balik_NO @TofaTofa_id Yqng bener yg mana sih?? Onta apa monyet..?? 🤔🤔🤔</t>
  </si>
  <si>
    <t>Tolong ya pak. 620 lhoo yaa.. @jokowi @KemenkesRI kalau sampe mereka balik Indonesia lolos tanpa karantina dan proses skrining. HABIS Indonesia pak. Tolong banget ya ini. Taruhannya kek mau nampung 600an eks ISIS. -_- sebanyak 267juta jiwa penduduk Indonesia dipertaruhkan. RT @WR_4AG226: 620 WNI yg mengikuti tabligh Akbar di Malaysia, mestinya setelah pulang nanti wajib dikarantina neh(sekrining antisipasi penyebaran Virus Corona)...awas jan percaya penyebaran Krn makan Babi😩 Corona Nyebar di Tabligh Akbar, Ratusan Peserta RI Ikut Hadir</t>
  </si>
  <si>
    <t>2 WNI Kembali Dinyatakan Positif COVID-19 Di Singapura</t>
  </si>
  <si>
    <t>RT @pokershash: Updated: Arrests made in #AntiHinduRiots so far- 1. Shahrukh 2. Tahir Hussain(AAP) 3. Shahnawaz 4. Jahanjeb Sami(ISIS) 5. Hina Bashir(ISIS) 6. Danish Ali(PFI) 7. Shah Alam(Brother of Tahir)</t>
  </si>
  <si>
    <t>RT @riyadh_kbri: Yth Bapak Ibu WNI di Arab Saudi, Terlampir himbauan KBRI Riyadh terkait perkembangan virus corona di Arab Saudi dan larangan bepergian sementara dari Arab Saudi ke 14 negara dan sebaliknya. Mohon agar dapat dipatuhi @Kemlu_RI @safetravelkemlu #NegaraMelindungi</t>
  </si>
  <si>
    <t>RT @riyadh_kbri: Yth. Bapak Ibu WNI di Arab Saudi, yuk kita selalu biasakan cuci tangan yang bersih untuk mencegah penyebaran penyakit. Hidup bersih pangkal hidup sehat... @safetravelkemlu @kemlu_ri #NegaraMelindungi</t>
  </si>
  <si>
    <t>Tim yang dampingi WNI observasi di Pulau Sebaru Kecil akan di cek juga kesehatannya. #PulauSebaru #AGP</t>
  </si>
  <si>
    <t>Lagi, Malaysia pulangkan 156 WNI bermasalah ke Nunukan</t>
  </si>
  <si>
    <t>Ahok tdk memenuhi syarat jadi calon presiden krn bukan WNI sejak kelahirannya, dia lahir sbg WN Tiongkok krn ortunya saat dia lahir berkewarganegaraan Tiongkok. Bbrp wkt yll Prof @Yusrilihza_Mhd mengungkap ini RT @DonAdam68: Selamat Pagi Paduka Yang Mulia Joko Widodo...</t>
  </si>
  <si>
    <t>#RT @TirtoID: WNI yang dinyatakan positif terjangkit virus COVID-19 atau corona di Singapura bertambah dua. Keduanya termasuk kasus 181 dan 182 dan masih satu keluarga.</t>
  </si>
  <si>
    <t>@RMOLNetwork Sebenarnya yg kita hadapi itu virus apa teroris? Jangan2 nanti depkes yg bikin analisis jaringan ISIS di Indonesia</t>
  </si>
  <si>
    <t>@Spider__id @aniesbaswedan Kelamaan pak.harusnya dr kasus pemulangan WNI dr Wuhan.jadi informasi tdk simpang siur.banyak hoak.pencitraan kepala daerah.permainan harga masker.mohon jika ada masalah lagi langsung juru bicara diambil alih pemerintah dan melarang sembarang orang bicara tanpa dasar ilmu.</t>
  </si>
  <si>
    <t>RT @oktaviani_suciw: @siwonchoi Oppa jaga kesehatan ya biar bisa sering-sering main ke Indonesia. Klo bisa sih jadi WNI sekalian biar gak usah bolak-balik Jakarta Korea... 😁😁 @siwonchoi</t>
  </si>
  <si>
    <t>Manila diisolasi, KBRI imbau WNI tetap waspada</t>
  </si>
  <si>
    <t>Klo ada WNI yg diisolasi sama pemerintah karena kena Corona, dia kan gak bisa kerja ya. Terus klo dia tulang punggung keluarga, ditanggung pemerintah kah hidup keluarganya selama masa isolasi?</t>
  </si>
  <si>
    <t>@SalmanRashid_Q @AMISHDEVGAN are atankwadi chacha isis se india kb aae tm? waise jihad kb kr re ho hm kfiro ke khilaaf? one advice UP me mt krna warna tera baap gaand tod dega tum atankwadiyo ka ? #peace_ka_piece</t>
  </si>
  <si>
    <t>RT @kompascom: Kedutaan Besar RI di Singapura menjelaskan, kedua WNI diidentifikasi sebagai kasus ke-181 dan 182.</t>
  </si>
  <si>
    <t>RT @RadioElshinta: Berikut update perkembangan COVID-19 di Dunia dan Pelindungan WNI per 13/03 pukul 10.00 WIB. Terdapat tambahan 2 WNI di Singapura terkonfirmasi COVID-19. via @Kemlu_RI #ElshintaEdisiSiang</t>
  </si>
  <si>
    <t>Monggo @Menlu_RI dan @KemenkesRI segera menjemput WNI di seluruh negara terdampak pandemi covid 19, pastikan WNI di luar negeri terlindungi pemerintah republik Indonesia</t>
  </si>
  <si>
    <t>9 WNI ABK Diamond Princess Sembuh Dari Corona. #BauAmiesPolitisirCorona #OmnibusCiptaKerja #OmnibusLaw #oblsumut</t>
  </si>
  <si>
    <t>Lagi, Singapura Umumkan 2 WNI Positif COVID-19 @kbrisingapura #Singapura #WNI #Corona #CoronaVirusUpdate #Covid_19 #RakyatMerdeka #BacaKoranRM</t>
  </si>
  <si>
    <t>RT @ROktaaaa: @walnutfilled @anisadieww @kumparan Benar, selama ini kalau kasus pemerkosaan, pelecehan seksual pasti fokusnya sm korban bukan pelaku. Pdhl bisa membuat korban makin trauma, beda kasus dg yg di Inggris WNI yang predator gay, media sana concern sama pelakunya. Bahkan korban tidak diberitakan.</t>
  </si>
  <si>
    <t>@Niavirna07 Buka aja semua isis</t>
  </si>
  <si>
    <t>@ISIS_Balik_NO @TofaTofa_id Dibayar pakai mata uang Yen... Yen ono duite.....🤣🤣</t>
  </si>
  <si>
    <t>Monggo kementrian luar negeri dan kementerian kesehatan segera pro aktif membantu WNI di luar negeri terkait wabah covid 19, negara lain sudah pada mulangkan warga negaranya.</t>
  </si>
  <si>
    <t>WNI yang dinyatakan positif terjangkit virus COVID-19 atau corona di Singapura bertambah dua. Keduanya termasuk kasus 181 dan 182 dan masih satu keluarga.</t>
  </si>
  <si>
    <t>RT @idntimes: Warga termasuk WNI terancam bui 3 bulan dan denda Rp3,3 juta #VirusCorona #CoVid19 #UpdateVirusCorona</t>
  </si>
  <si>
    <t>Monmaap, WNI melipir dulu. Belum bebas visa. RT @Fiq_Henry: Plan last minit selalunya menjadi .</t>
  </si>
  <si>
    <t>Warga termasuk WNI terancam bui 3 bulan dan denda Rp3,3 juta #VirusCorona #CoVid19 #UpdateVirusCorona</t>
  </si>
  <si>
    <t>@fadlizon Saya kira begitu, panik dn gk tau apa yg mesti dilakukan .188 wni dr china dikarantina bersamaan itu 72M utk promosi turis dr china masuk indo. Gak nyambung.</t>
  </si>
  <si>
    <t>bnr2 berasa org bener dr kmrn yg gue pikirin pemulangan eks isis apa2an dh hidup gue</t>
  </si>
  <si>
    <t>RT @jerisback: @kurawa WNI yg positif coronavirus harus bisa berani terbuka seperti publik figur seperti ini. Dan memberikan keterangan sejujur2nya spy jelas jalur penyebaran virusnya. Juga spt menteri kesehatan inggris yg dengan sadar mengakui dan berinisiatif mengisolasi diri.</t>
  </si>
  <si>
    <t>"Kami akan membicarakannya nanti. Tapi yang tidak punya izin tinggal memang harus bayar," ujar Wapres Ma'ruf Amin.</t>
  </si>
  <si>
    <t>WNI Terancam Corona di Tabligh Akbar, Jokowi Terjunkan Intel</t>
  </si>
  <si>
    <t>RT @KATADATAcoid: Jumlah WNI yang tertular virus corona Covid-19 di Singapura bertambah jadi 7 orang.</t>
  </si>
  <si>
    <t>Sebagai WNI yang baik dan taat bayar pajak. Sudahkah kamoh lapor SPT? 😌</t>
  </si>
  <si>
    <t>RT @tempodotco: Kementerian Kesehatan Singapura mengumumkan dua orang WNI sebagai kasus ke-181 dan ke-182 positif virus Corona di Singapura. #VirusCorona</t>
  </si>
  <si>
    <t>Kementerian Kesehatan Singapura mengumumkan dua orang WNI sebagai kasus ke-181 dan ke-182 positif virus Corona di Singapura. #VirusCorona</t>
  </si>
  <si>
    <t>Kedutaan Besar RI di Singapura menjelaskan, kedua WNI diidentifikasi sebagai kasus ke-181 dan 182.</t>
  </si>
  <si>
    <t>WNI yang Hadiri Tabligh di Kuala Lumpur Diminta Tes Corona</t>
  </si>
  <si>
    <t>@anakgalangan pengennya naik tossa ae isis</t>
  </si>
  <si>
    <t>@srhnbl Ya pokoknya yg isis</t>
  </si>
  <si>
    <t>Jumlah WNI yang tertular virus corona Covid-19 di Singapura bertambah jadi 7 orang.</t>
  </si>
  <si>
    <t>RT @tempodotco: Sembilan WNI anak buah Kapal Diamond Princess positif COVID-19 yang sempat dirawat di rumah sakit di Jepang dinyatakan sembuh.</t>
  </si>
  <si>
    <t>Sembilan WNI anak buah Kapal Diamond Princess positif COVID-19 yang sempat dirawat di rumah sakit di Jepang dinyatakan sembuh.</t>
  </si>
  <si>
    <t>Ini presden yg tegas Duterte 'Lockdown' Manila, Ini Himbauan KBRI untuk WNI  RT @cnbcindonesia: Duterte 'Lockdown' Manila, Ini Himbauan KBRI untuk WNI</t>
  </si>
  <si>
    <t>@RanaAyyub Waah..Radical hindutwa toh aise Bol rahi ho jaise islamlamic terrorism toh bas Shanti doot hai..ISIS, Al-quila,taliban yeh toh peaceful organisation hai..Iran,iraq,syria Afghanistan m bhi Hindutwa hi wajah se ladai ho rahi hai..You are Islamic mental sick. You need doctor.</t>
  </si>
  <si>
    <t>Dengan pengumuman terbaru ini total sebanyak tujuh orang WNI yang berada di wilayah Singapura dinyatakan positif terpapar COVID-19</t>
  </si>
  <si>
    <t>Pe(mbena)ran yang membenarkan "ISIS berbendera Tauhid yang tangan(i)ber-kelamin perempuan yang berbulu yang tidak me-rupa-kan Tauhid", tetapi kerugian masa(lah)(di)depan: Demi keadaan(dengan)(si)apa❔ K(EL)AYA(KAN)NYA❔</t>
  </si>
  <si>
    <t>@margiesandjaya Mbak Margie yg budiman, Allah bukan cuma Tuhannya UAS, jd hati2 klo niatnya cuma mw nyenggol UAS, jgn bawa2 Tuhan dr 83% lbh WNI. Blunder</t>
  </si>
  <si>
    <t>Dua WNI kembali Positif Covid-19 di Singapura.</t>
  </si>
  <si>
    <t>@TheArieAir Pak @TheArieAir klo memiliki pikiran liar dg sng hati sy mau berdiskusi..buka2an sj kita sbg WNI yg memiliki hak sama pd konstitusi..smg muncul figur2 baru yg menyegarkn dn menyejukn bangsa inj..</t>
  </si>
  <si>
    <t>RT @tpsumantri: Sabda Raja Ngarsa Dalem Hamengkubuwono IMAM BESAR PALSU Ingsun ora ngakoni antek #ISIS/#ISIL/#Daesh @RizieqShihab_, Ahlul Bait (أهل البيت) Ndhasmu! Ingsun dhawuh Adhimas Kinasih kekalih Mohammed bin Salman tuwin Khalid bin Salman @kbsalsaud, rangket HRS miturut hukum #KSA. QISAS</t>
  </si>
  <si>
    <t>Papua Lagi, dua WNI positif Covid-19 di Singapura</t>
  </si>
  <si>
    <t>Presiden Jokowi Sebut 5 WNI Sudah Sembuh dari Virus Corona</t>
  </si>
  <si>
    <t>RT @SelectaTiara: (5) Ini buktinya Keputusan dari pemerintah terkait layanan kesehatan penangana corona: #BauAmiesPolitisirCorona #JumatBerkah #Covid_19</t>
  </si>
  <si>
    <t>@BBCIndonesia Itu benar dan saya sangat mengetahui bagaimana pemerintah Korsel menghadapi virus ini. Salut saya dengan pemerintahan Korsel dan saya byk berterima kasih dgn @IdEmbassy_Seoul yg selalu memantau WNI disini</t>
  </si>
  <si>
    <t>@Dr_Uditraj Sukr ha isis ma hindu nhi wrna log usa rss bta dita</t>
  </si>
  <si>
    <t>WNI yang Hadiri Tabligh di Kuala Lumpur</t>
  </si>
  <si>
    <t>(5) Ini buktinya Keputusan dari pemerintah terkait layanan kesehatan penangana corona: #BauAmiesPolitisirCorona #JumatBerkah #Covid_19</t>
  </si>
  <si>
    <t>@eko_kuntadhi Mrka aja mengkhususkan wni lho kl ditaeelan kaga bakalan dikhususkan wrga asing cb wna China?</t>
  </si>
  <si>
    <t>@ananda_saputra Yg menang jadi isis</t>
  </si>
  <si>
    <t>Imbauan Terbaru KBRI Riyadh bagi WNI di Arab Saudi</t>
  </si>
  <si>
    <t>@TRANS7 Rileks saja, wong warga sumber virus diterima terus, so selamat datang warga China bisa menetap sementara di Indonesia krn virus corona, semoga betah dan jadi WNI ya, I love Jokowi.</t>
  </si>
  <si>
    <t>@1_devout @ratuayu90448675 @Jubilate_7 @Deliana57939903 @etty_markim @FerdinandHaean2 Belakangan malah ngeklaim ISIS bikinan Amrik. Nah lho.. produk negara kafer kok didukung. Lasegar mau2 nya dibdh2in.</t>
  </si>
  <si>
    <t>Waspada dg virus corona . Yth @KemenkesRI @Menlu_RI @ditjen_imigrasi Semoga cepat tanggap Virus Corona Menyebar saat Tabligh Akbar Malaysia, 600 WNI Ikut Hadir</t>
  </si>
  <si>
    <t>Corona Tersebar di Tabligh Akbar Malaysia, Hadir 696 WNI</t>
  </si>
  <si>
    <t>RT @kompascom: Dalam pertemuan keagamaan tersebut dikonfirmasi adanya beberapa peserta yang dinyatakan positif terjangkit virus corona.</t>
  </si>
  <si>
    <t>@ngalamfess Aku kok ngeroso isis yo masio gak udan</t>
  </si>
  <si>
    <t>@KhanAmanatullah Isis Taliban se milkar tum kar rhe Ho</t>
  </si>
  <si>
    <t>RT @DedyFreak: Ini yg namanya "isis" 😅😅</t>
  </si>
  <si>
    <t>2 WNI di Singapura Positif Covid-19 #TauCepatTanpaBatas #BeritaTerkini #International #BeritaInternasional .</t>
  </si>
  <si>
    <t>PEMBENARAN (si)apapun yang membenarkan "ISIS berbendera Tauhid yang tangan(i)ber-kelamin perempuan yang berbulu yang tidak me-rupa-kan Tauhid": PASTI ME-RUPA-KAN KESAL(AH)AN. (D)ANGER MANAGEMENT</t>
  </si>
  <si>
    <t>Dalam pertemuan keagamaan tersebut dikonfirmasi adanya beberapa peserta yang dinyatakan positif terjangkit virus corona.</t>
  </si>
  <si>
    <t>@ISIS_Balik_NO @TofaTofa_id Wooww..numpang tenar, alias ngojek beken..aku tak terkejut sama wanaibon</t>
  </si>
  <si>
    <t>Oh iya PMK 154 thn 2009 hanya menyebutkan WNI, aturan untu WNA nya ada dimana?</t>
  </si>
  <si>
    <t>RT @emeerr_: tak tau la pendapat orang lain, tapi bagi aku, 7 Hari Mencintaiku ni jalan cerita dia sumpah terbaik.</t>
  </si>
  <si>
    <t>RT @afique17: Rase nye sekolah dah boleh tutup kot</t>
  </si>
  <si>
    <t>WNI yang Ikut Tablig Akbar di Malaysia Diminta Jalani Pemeriksaan Corona</t>
  </si>
  <si>
    <t>RT @AlanPrastya6: @ISIS_Balik_NO @TofaTofa_id Percuma om kan monyet gk bisa baca, bisanya cuma makan tidur aja Liat aja badan smpek kyak ikan buntal gtu</t>
  </si>
  <si>
    <t>@kingucrimsonbzz @absolutia Date pic nya 2016 ini di Jogja, Gk bakal tau mereka muslim disini tak terlalu paham geopolitic pokoknya Syiah langsung autobenci, aneh memang padahal Suriah yg paling berjasa membumi hanguskan ISIS di timteng kelompok teroris yg notabene banyak orang indo anggap menjelekan islam</t>
  </si>
  <si>
    <t>@SarveshMishra_ @AmitShah @SanjayAzadSln Antihuriots k liye Aap pfi Isis Jihadi Sab jimmedar hai</t>
  </si>
  <si>
    <t>@zarazettirazr @msaid_didu @MarikaRahman_ Mungkinkah ketika WNI juga diperlakukan sama ketika Indonesia diposisi China???</t>
  </si>
  <si>
    <t>@AlanPrastya6 @ISIS_Balik_NO @TofaTofa_id ikan buntal masih berguma mas, kasihan ikan nya disamakan🙄</t>
  </si>
  <si>
    <t>@AAPDelhi @SanjayAzadSln Sab pakde jayenge, pfi isis k saath desh k khilaf shadyantr</t>
  </si>
  <si>
    <t>You know Siwon kalo mau beli tanah hak milik gabisa kalo WNA unless UNLESS you married a WNI. Me perhaps? We can raised Hyukjae tgt as a good son 💙 RT @hyukssii: Raffi: you hv so many fans in Indonesia. Do you want to buy house in Indonesia?? Siwon: well there was someone who ask me to buy house here- Raffi: eh dont just a house! Just build an apartment! Siwon apartment! Me! I will invest dont worry!! Siwon:</t>
  </si>
  <si>
    <t>Zaskia gotik udah, dengan bebek nungging didapuk jadi duta pancasila. Sekarang, kalista iskandar WNI kok nggak hafal pancasila.malah di anugerahi duta MPRI. Duta corona siapa? RT @NajwaShihab: Ramai soal Puteri Sumatera Barat Kalista Iskandar yang sempat salah menyebutkan Pancasila saat menjawab pertanyaan Ketua MPR Bambang Soesatyo. Saya jadi teringat pengalaman siaran langsung pertama kali. Gugup luar…</t>
  </si>
  <si>
    <t>Dua Lagi WNI di Singapura Positif Virus Corona</t>
  </si>
  <si>
    <t>WNI ABK Diamond Princess sembuh dari Corona.</t>
  </si>
  <si>
    <t>kenapasih susah2 bgt libur dulu dr kegiatan yg ngumpulin banyak masa? sadar diri napa</t>
  </si>
  <si>
    <t>@kinqurro dia jd WNI di korea kemana2 bawa paspot indo 🙃</t>
  </si>
  <si>
    <t>@CuckoldSurabaya Enak isis</t>
  </si>
  <si>
    <t>@TarekFatah @maulanadehlavi @sudhirchaudhary @sardesairajdeep Tarek harami pakistani. Tu apne desh ka dhyan rakh kutte ki tatti isis k suixide bomber. Bc goo khaane wale jaanwar bhag bc pakistani.</t>
  </si>
  <si>
    <t>@pakehelem coba cek ktp dia pasti udah WNI tuh siwon ahahahaha</t>
  </si>
  <si>
    <t>Soal Virus Corona ! Dari Awal Virus ini muncul pemerintah RI sudah mengambil langkah2 siaga. Termasuk penjemputan WNI dri Wu Han dan melakukan isolasi. Hanya kepala daerah yang goblok yg mempolitisir/dramatisir membuat panik warganya. #BauAmiesPolitisirCorona</t>
  </si>
  <si>
    <t>9 WNI ABK Diamond Princess dinyatakan sembuh #BauAmiesPolitisirCorona</t>
  </si>
  <si>
    <t>@Frans_Priyo @DivHumas_Polri @KPAI_official Kacau memang ya, anak yg punya bakat bulutangkis lewat audisi PB DJARUM digugat, anak eks isis dibela,.memang gak jelas tu KPAI</t>
  </si>
  <si>
    <t>@ochariano @INDONESIANLFC_ Tapi ada hak dari usaha tim Liverpool yg gk bisa d abaikan. Dasar WNI banyak banget yg tiba" jadi ustadz kalau nanggepin masalah kek gini..</t>
  </si>
  <si>
    <t>BIN: Pemerintah Dipuji Dunia soal Penanganan Observasi WNI di Natuna dan Sebaru</t>
  </si>
  <si>
    <t>Dan ada 696 WNI diantara 10rb peserta Tabligh Akbar tsb...</t>
  </si>
  <si>
    <t>Duterte 'Lockdown' Manila, Ini Himbauan KBRI untuk WNI</t>
  </si>
  <si>
    <t>Singapura Tagih Biaya Pengobatan WNI Corona, Jubir : Silakan Saja</t>
  </si>
  <si>
    <t>@DwiSusii @vioUul Betul Biaya penanganan 1 pasien ada yg bilang sekitar Rp85jt. Singapura tagih itu ke Indonesia kalo ada WNI disana yg kena Corona dan dirawat disana</t>
  </si>
  <si>
    <t>88 WNI ABK World Dream akan Dijemput dengan KRI Semarang Besok</t>
  </si>
  <si>
    <t>2 Lagi WNI di Singapura Positif COVID-19</t>
  </si>
  <si>
    <t>Dan, tidak banyak orang tahu kalau yang membuka pintu pesawat pengevakuasi WNI dengan memakai setelan alat pelindung diri (APD) serba putih itu adalah Yuri. #WaktunyaLokadata #Bincang</t>
  </si>
  <si>
    <t>@kring_pajak Halo min. mau tanya kalau intuk WNA punya NPWP pelaporan pajaknya ada yg beda gak dengan WNI?</t>
  </si>
  <si>
    <t>- Utas #Bincang bersama Juru bicara pemerintah untuk penanganan virus Corona atau COVID-19, Achmad Yurianto - Sejak Corona merebak, sosok Yuri, sapaan akrabnya, memang mencuri perhatian. Ia merupakan figur penting di balik pemulangan ratusan WNI dari Tiongkok. #WaktunyaLokadata</t>
  </si>
  <si>
    <t>12 Peserta Tabligh Akbar di Malaysia Positif Corona, Ternyata Juga Diikuti 600 WNI</t>
  </si>
  <si>
    <t>Kementerian Kesehatan Singapura mengumumkan dua orang warga negara Indonesia terdeteksi kembali positif COVID-19 di negara setempat, sehingga total tujuh orang WNI positif COVID-19, satu di antaranya sudah pulih. #coronavirus</t>
  </si>
  <si>
    <t>Cerita WNI yg tinggal di Italia setelah dinyatakan lock down demi mencegah penyebaran virus Corona...</t>
  </si>
  <si>
    <t>9 WNI ABK Diamond Princess Sembuh Dari Corona..!! #BauAmiesPolitisirCorona #OmnibusCiptaKerja #OmnibusLaw #oblsumut</t>
  </si>
  <si>
    <t>RT @coolfunnytshirt: Anurag Kashyap, Anubhav Sinha, Farhan Akhtar, Swara Bhaskar, Javed Jafri, Amanutullah, Sharjeel Imam, Zeeshan Ayyub, Ali Fazal, Rana Ayyub, Saba Naqvi etc were also inciting people for Anti-CAA violence.. Won't be surprised if they were on ISIS payroll too..</t>
  </si>
  <si>
    <t>RT @AyushiSharma180: @cjwerleman Arrests made in #AntiHinduRiots so far- 1. Shahrukh 2. Tahir Hussain(AAP) 3. Shahnawaz 4. Jahanjeb Sami(ISIS) 5. Hina Bashir(ISIS) 6. Danish Ali(PFI) 7. Shah Alam 8. Salim Malik 9. Mohd Jalaluddin 10. Mohd Ayub 11. Mohd Yunus 12. Mohd Mushtaq 13. Md Danish 14. Md Salim</t>
  </si>
  <si>
    <t>RT @P3nj3l4j4h_id: Semoga 27 wni yang hadir tidak ad yg terjangkit corona😕 Pemerintah kita juga harus waspada dan cek ini.</t>
  </si>
  <si>
    <t>RT @saudinesia: Konjen RI di Jeddah kembali mengeluarkan rilis Surat Imbauan kepada WNI di Saudi, terkait penyebaran virus corona.</t>
  </si>
  <si>
    <t>RT @realPriGim: @bakarricaicha1 @Bubut871 Yang paling utama bisa mengayomi Rakyat dan memajukan BANGSA asal WNI(gak peduli dari Agam dan ras apa) Pasti kita Dukung 👍 #BauAmiesPolitisirCorona #BauAmiesPolitisirCorona</t>
  </si>
  <si>
    <t>@geloraco Cuekin aja...fokus jiwasraya j...banyk kegaduhan mulai dari kepulngan ex isis dll..yg penting gaduh</t>
  </si>
  <si>
    <t>@auliasariiprtw2 isis surveynya biar dpet poin duitnya</t>
  </si>
  <si>
    <t>RT @republikaonline: Total ada tujuh orang WNI positif Covid-19, satu di antaranya sudah pulih.</t>
  </si>
  <si>
    <t>@Cheerfull_Uncle @sakitotak3 @RiyadiAtmodjo @ISIS_Balik_NO @TofaTofa_id Wkwkwkw yahh polling milik cebong,ya jelas dong</t>
  </si>
  <si>
    <t>@tn00x @PoliticalKida @SanjayAzadSln Updated: Arrests made in AntiHinduRiots so far- 1. Shahrukh 2. Tahir Hussain(AAP) 3. Shahnawaz 4. Jahanjeb Sami(ISIS) 5. Hina Bashir(ISIS) 6. Danish Ali(PFI) 7. Shah Alam 8. Salim Malik 9. Mohd Jalaluddin 10. Mohd Ayub 11. Mohd Yunus 12. Mohd Mushtaq 13. Md Danish 14. Md Salim</t>
  </si>
  <si>
    <t>@qonimbul Monggo kak =&gt; .</t>
  </si>
  <si>
    <t>Temen kerja sesama WNI, duduk depan2an. Kl ngomong sm sebelahnya pake bahasa daerah dan bisik2. Judes kl ngomong lgsg ke gue. Kalo ada perlu, chat aja. Pdhl bs ngomong langsung. Giliran ada salah krn dia ga pernah mau ngomong langsung, gue yg disalahin. Lu menjengkelkan tau ga?😤</t>
  </si>
  <si>
    <t>Peaceful people list of Delhi violence 1. Shahrukh 2. Tahir Hussain(AAP) 3. Shahnawaz 4. Jahanjeb Sami(ISIS) 5. Hina Bashir(ISIS) 6. Danish Ali(PFI) 7. Shah Alam 8. Salim Malik 9. Mohd Jalaluddin 10. Mohd Ayub 11. Mohd Yunus 12. Mohd Mushtaq 13. Md Danish 14. Md Salim</t>
  </si>
  <si>
    <t>Alhamdulillah... *gak baca isi berita Kirain... *setelah baca isis berita</t>
  </si>
  <si>
    <t>@ISIS_Balik_NO @TofaTofa_id Dia bukan MONYET....!! tp KUNYUK GUNDUL...😜</t>
  </si>
  <si>
    <t>RT @2019Bintang: @geloraco Wna cina diberi izin tinggal darurat jangan sampe WNI yg diusir yah</t>
  </si>
  <si>
    <t>Lagi, 2 WNI Positif Virus Corona di Singapura</t>
  </si>
  <si>
    <t>@OposisiCerdas Wni pulang dr china di karantina utk apa?, orang china datang di indo disambut dn berwisata. Apa bedanya?</t>
  </si>
  <si>
    <t>@mat_sodor @ISIS_Balik_NO @TofaTofa_id Mari sama2 teriak,, Tolong Pak Aniesss,, Tolong Habieb Mesum Pak,,!!! Buakakakakakkkkk,,,😹😹😹😹😹😹😹😹</t>
  </si>
  <si>
    <t>Corona Nyebar di Tabligh Akbar, KBRI Minta WNI Tes Covid-19</t>
  </si>
  <si>
    <t>RT @dsangg377: Virus Corona Menyebar saat Tabligh Akbar Malaysia, 600 WNI Ikut Hadir</t>
  </si>
  <si>
    <t>RT @myatharva: @ISIS_Balik_NO @musniumar REKTOR TER BOODOOL NO 1 DI DUNIE</t>
  </si>
  <si>
    <t>Spreader sing jepang SIJI DOANG, SIJI, nularaken ning ning WNI 2, baranganu sing 2 kien jadi 19 . . Lah iki ane 600 ntas sing malaysia . Asli kite uwis jadi parno, semit2 wisuh, semit semit nyemprot</t>
  </si>
  <si>
    <t>Khatib bawa2 tema iman dan corona. Katanya negara kita aman karena banyak penduduk kita beriman pada Allah. Terus bilangnya WNI yg di cina selamat karena banyak wudhu. Lha Arab sama Iran banyak muslim begitu dikata kaga ada yg beriman sama Allah sama kaga ada yg wudhu, pak aji?</t>
  </si>
  <si>
    <t>@Marder2000 @oneaperture @suzli05 @vianty74 @Lady_StayClassy @AmbarwatiRexy @sitisisterceria @arini_marliana @ummihasfa @NgkongRoses @tua_kladi @kopikirpikir @TyasZain @myozhyme Nah. Perkiraan gw jg gitu. Semoga WNI emang kuat. Kasus 25 di Bali yg meninggal WNA.</t>
  </si>
  <si>
    <t>RT @GoreTube: Isis Bbq human barbakoa humana 🔞❌</t>
  </si>
  <si>
    <t>Lagi, 2 WNI Di Singapura Positif Corona</t>
  </si>
  <si>
    <t>@kumparan Musuh Yang sebenar nya yaitu antar sesama WNI</t>
  </si>
  <si>
    <t>SWIPANG SWIPING KONTOL BAPAKMU MURUB. HEH JAN NGADI NGADI LU YE ANAK DAKJAL. DEMO DEMO AJA GA USAH MAU SEGALA USIR LU PIKIRIN DONG NASIB WNI YANG TINGGAL DI INDIA. BIKIN GUE TREAK AJA LU</t>
  </si>
  <si>
    <t>@na_dirs @ofathurahman @cholilnafis ini gara2 ada yg positif corona setelah mengikuti acara tabligh akbar di KL, singapore cuma 95org yg ikut sedang di tracing, sementara wni ada hampir 700org yg ikut tp adem ayem pemerintahnya.</t>
  </si>
  <si>
    <t>"Dengan ini total 7 WNI telah dikonfirmasi positif COVID-19 di Singapura," #coronavirus</t>
  </si>
  <si>
    <t>Wni pertama yg meninggal #COVID2019 #CoronaOutbreak #covid19 #COVID19indonesia</t>
  </si>
  <si>
    <t>WNI dari Tiongkok, Iran dan Korsel Bakal Jalani Pemeriksaan Medis. #merahputih #Tiongkok #Iran #Korea #Covid_19</t>
  </si>
  <si>
    <t>RT @tempodotco: Juru bicara Pemerintah untuk Penanggulangan Virus Corona atau COVID-19, Achmad Yurianto mengatakan, sembilan awak kapal Diamond Princess yang sempat dinyatakan positif corona dan dirawat di Jepang sudah sembuh.</t>
  </si>
  <si>
    <t>Singapura umumkan 2 lagi WNI positif COVID-19</t>
  </si>
  <si>
    <t>RT @unilubis:  WNI yg ikut tablig akbar please kindly report to KBRI di Kuala Lumpur yaa</t>
  </si>
  <si>
    <t>Baru kali ini jumatan pake qunut</t>
  </si>
  <si>
    <t>Total 7 WNI di Singapura Positif Virus Corona, Satu Sembuh,5 Kondisi Stabil, Ada yang Dirawat di ICU</t>
  </si>
  <si>
    <t>@Bola_Jakarta Yang meninggal jadi 2; 1. Case nomor 25, WNA, Imported Case. 2. Pasien di RS Surakarta, WNI, setelah seminar di Bogor biar gak dibilang hoax:</t>
  </si>
  <si>
    <t>@ainunnajib @rinichan02 @MarikaRahman_ Cocot wae ibu itu, dr awal suka nyalah2kan rakyat, seakan2 dia bkn bagian rakyat aja. Kalo malu atau tdk percaya punya masyarakat Indonesia, mending jd wna aja, jgn jd wni. Membanggakan warga singapore, inggris dll, warga sendiri di cibiri.</t>
  </si>
  <si>
    <t>RT @pokershash: Arrests made in #AntiHinduRiots so far- 1. Shahrukh 2. Tahir Hussain(AAP) 3. Shahnawaz 4. Jahanjeb Sami(ISIS) 5. Hina Bashir(ISIS) 6. Danish Ali(PFI)</t>
  </si>
  <si>
    <t>Berikut update perkembangan COVID-19 di Dunia dan Pelindungan WNI per 13/03 pukul 10.00 WIB. Terdapat tambahan 2 WNI di Singapura terkonfirmasi COVID-19. via @Kemlu_RI #ElshintaEdisiSiang</t>
  </si>
  <si>
    <t>RT @CNNIDdaily: WNI di Italia, Maya Sambuaga: Situasi di Bergamo, Lombardia saat ini cukup mencekam. Untuk berbelanja saja, orang yang bisa masuk ke dalam swalayan dibatasi jumlahnya. Untuk keluar rumah dan bekerja pun harus memiliki surat izin. #CNNIDConnected</t>
  </si>
  <si>
    <t>Lagi, WNI terjangkit coronavirus di Singapura</t>
  </si>
  <si>
    <t>@AntonPr12594871 @KemenkesRI @MenluKrtanegara @msaid_didu @ILCtv1 @zulhendribasri2 @fahiraidris @mas__piyuuu @polri_tni @Rindu_MuhR015 @andre_rosiade @andar_habibi @CintaNKRI08 @prabowo @sahabat_rasul Dan semua WNI yg bekerja di Saudi juga tidak dibenarkan pulang. Jika pulangpun tidak dibolehkan masuk kembali ke Saudi.. Karena pemerintah INA terlalu remeh dgn corona sementara negara lain berjuang melindungi rakyatnya.</t>
  </si>
  <si>
    <t>Juru bicara Pemerintah untuk Penanggulangan Virus Corona atau COVID-19, Achmad Yurianto mengatakan, sembilan awak kapal Diamond Princess yang sempat dinyatakan positif corona dan dirawat di Jepang sudah sembuh.</t>
  </si>
  <si>
    <t>@arnisalwa @catsedih Kek pake balsem btw isis semriwing :(</t>
  </si>
  <si>
    <t>Semoga memang benar WNI itu imun tubuhnya kuat², ya @oneaperture @suzli05 @vianty74 @Lady_StayClassy @AmbarwatiRexy @sitisisterceria @arini_marliana @ummihasfa @NgkongRoses @tua_kladi @Marder2000 @kopikirpikir @TyasZain @myozhyme RT @CNNIndonesia: #DataTerbaruCorona Per Jumat (13/3) Siang, dua pasien positif dinyatakan negatif dari virus corona. Dua pasien tersebut menambah jumlah pasien yang sembuh menjadi lima orang. Baca selengkapnya di:  #CNNIndonesia</t>
  </si>
  <si>
    <t>Jika ada petugas / pejabat pemerintah di komentari (dikritisi) ngabek/ merasa risih.. bukti ketidak pahaman AMANAH di tugaskan yaitu membela rakyat. Bukan balik bertanya rakyat yg mana? 1 orang WNI itu adalah RAKYAT. #JayalahINDONESIA</t>
  </si>
  <si>
    <t>@Heiser007 @detikcom Indonesia 1 itupun bukan wni</t>
  </si>
  <si>
    <t>Peserta Tabligh Akbar di Masjid Sri Petaling, Kuala Lumpur Malaysia positif corona.</t>
  </si>
  <si>
    <t>@Ratujagad6 Mrk punya cm tdk segreget Dan sebanyak yg Indonesia 🇮🇩 punya ✌️ Itulah mengapa aku bangga jd WNI 😅🙏</t>
  </si>
  <si>
    <t>#Jitunews Peserta Tablig Akbar di Malaysia Positif Corona, KBRI Imbau WNI yang Hadir…</t>
  </si>
  <si>
    <t>RT @wartapoLitik: Jokowi: 2 WNI Warga Depok Positif Corona Ridwan Kamil: Tak Ada Bukti Virus Corona Hadir di Depok Warganet: Lieur ah..</t>
  </si>
  <si>
    <t>@FOODFESS2 Isis, jadi takud</t>
  </si>
  <si>
    <t>@djumelan @ISIS_Balik_NO @musniumar Rektor kek gitu...CUUIHHHHHH ga usah kuliah ampe phd pcs mba mbu...cukup sebar hoak, tebar kebencian, gw juga bisa jadi rektor.</t>
  </si>
  <si>
    <t>@siwonchoi Makin sedap kalo km jadi wni sekalian mas dripd pp indonesia korea mulu apa ga cape</t>
  </si>
  <si>
    <t>@TofaTofa_id Sejak pemulangan WNI sy pingin tanya Niihh @aniesbaswedan sdh kasih ongkos berapa @TofaTofa_id cari Panggung sprti ini mah bukan makin melejit,jd makin tahu kalau ternyata bajingan,dari hal kecil sj sdh kelihatan,di saat yg lain bagi masker geratis,ini jual dgn harga tinggi</t>
  </si>
  <si>
    <t>Di mall2 n apartemen setiap orang yg masuk selalu di cek suhu tubuhnya. Bagaimana kalau yg mau ibadah, sprti pengajian, ke gereja, sholat berjamaah, tabliq akbar, apakah ada proses pemeriksaan suhu tubuh? Atau dijamin aman krna mau ibadah menghadap Tuhan?</t>
  </si>
  <si>
    <t>@Dahnilanzar Tugas pemerintah wajib membela rakyat, yg di komementari itu pelaksanaannya, sdh optimal apa tidak? di kritisi itu wajar &amp; harus ada yg komentari. terpuruknya negara bkn hy petugas pemerintah yg merasakan tapi semuanya maka wajarlah rakyat berkomentar. 1 orang WNI itu rakyat lo !</t>
  </si>
  <si>
    <t>@fvzzn @akunuwu uuwww isis dong diplorotin</t>
  </si>
  <si>
    <t>@siwonchoi Oppa jaga kesehatan ya biar bisa sering-sering main ke Indonesia. Klo bisa sih jadi WNI sekalian biar gak usah bolak-balik Jakarta Korea... 😁😁 @siwonchoi</t>
  </si>
  <si>
    <t>RT @itsme_aideal: Jangan main-main dengan camera suhu kt airport! Ia bukan sekadar boleh mengesan kadar suhu seseorang, malah kentut pun dia boleh detect wei! 😆</t>
  </si>
  <si>
    <t>WNI yang hadir di Masjid Sri Petaling diminta periksakan diri</t>
  </si>
  <si>
    <t>Tak kelakar bodoh kacau2 orang ni.</t>
  </si>
  <si>
    <t>@AjayBhagatAB @dograjournalist Media ki wajah se riots ho rhe, toh fir ISIS se link kyu attach ho rhe riots k?🤔</t>
  </si>
  <si>
    <t>@YogaKrisnanda2 @mbahCokro77 @Celvin02160099 @wijaya_48 ya ialah tong.. lo pikir ISIS cman bantai yg non muslim?</t>
  </si>
  <si>
    <t>@rahelwithoutc @dayatpiliang Maksudnya WNI yang positif corona di Singapura ditagih biaya perawatannya sama pemerintah Singapura, sedangan di Indonesia WN Singapura yg positif corona, gk ditagih biaya perawatannya sama pemerintah Indonesia. *CMIIW</t>
  </si>
  <si>
    <t>RT @OfficialiNewsTV: Menteri Agama memastikan Warga Negara Indonesia (WNI) yang menjalani ibadah umrah di Arab Saudi dipastikan akan dipulangkan ke Tanah Air pada 15 Maret 2020 mendatang. POT . #COVID19 #MenteriAgama #WNI #ArabSaudi #Umrah #iNewsSiang #iNews</t>
  </si>
  <si>
    <t>RT @BirgaldoS: Anak2 korban bom teroris dicuekin cari biaya sendiri berobat ke luar negeri. Anak2 teroris ISIS di luar negeri akan dijemput dan dibiayai hidupnya sampai dewasa. Sesekali lihatlah isak tangis Alvaro dan Trinity itu Pak @jokowi Pak @mohmahfudmd</t>
  </si>
  <si>
    <t>Waduh! Corona Nyebar di Tabligh Akbar yang Dihadiri 696 WNI di Malaysia, Tentara Allah Kok Gitu? via @melekpolitikcom @yennykwok @susyrizky @vaiyo @sheque</t>
  </si>
  <si>
    <t>Malaysia Umumkan 12 Kasus Baru Corona Pasca Tabligh Akbar, Yurianto: KBRI Belum Info Soal Peserta WNI</t>
  </si>
  <si>
    <t>@agnes_djamis @YohanesPatty2 @jokowi @mohmahfudmd @jendralmoeldoko @NadimMakarim Setuju sekali... Apakah mereka hrs jd ISIS dulu agar bisa mendapat perhatian dr pemerintah?</t>
  </si>
  <si>
    <t>Konjen RI di Jeddah kembali mengeluarkan rilis Surat Imbauan kepada WNI di Saudi, terkait penyebaran virus corona.</t>
  </si>
  <si>
    <t>@MarikaRahman_ lindungi sluruh wni kewajiban pemerintah, jd wajib negara ngasih tau peta penyebarannya ke rakyat spy gk nular</t>
  </si>
  <si>
    <t>RT @seifmano11: mhtago ytmni w y2ole ino gambii wni zay mna 3ndo wanoo malesh gher wna wa3hd allah kol lh2oloo lhasal lnharda dh msh hyhsal tany</t>
  </si>
  <si>
    <t>RT @mantriss: Jangan sampai WNI kita justru banyak terdeteksi positif setelah ke Singapore. Penelusuran kontaknya jadi lebih suit. ----------------------------- Muncul Kasus Baru, WNI Positif Virus Corona di Singapura Jadi 7 Orang</t>
  </si>
  <si>
    <t>#kasushukumITE Byk org juga lupa dan lalai kalo kantor polisi dan penjara bukan utk org2 tertentu saja, tapi utk semua WNI yg merasa dirugikan hak hukumnya. Selamat berinternet yg sehat, waras dan bijak 👍👍 -5- -the end-</t>
  </si>
  <si>
    <t>RT @erikamelfa: Pak Presiden @jokowi juga pak @fadjroeL tlg para WNI yg ikuti tablig akbar diLN, dipantau saat kembali ke RI. 1 org turis bisa mnularkan ke puluhan org,apalagi ini ratusan org... Mohon ditindaklanjuti scara serius. Belajarlah dr Itali,yg awalnya anggap remeh covid19,jd fatal skrg</t>
  </si>
  <si>
    <t>@MuhammadR015 @Rindu_MuhR015 Lu tanya aja ke isis or taliban, musik haram apa gk 🤣🤣🤣</t>
  </si>
  <si>
    <t>Pak Presiden @jokowi juga pak @fadjroeL tlg para WNI yg ikuti tablig akbar diLN, dipantau saat kembali ke RI. 1 org turis bisa mnularkan ke puluhan org,apalagi ini ratusan org... Mohon ditindaklanjuti scara serius. Belajarlah dr Itali,yg awalnya anggap remeh covid19,jd fatal skrg RT @Takviri: Status sdh pandemi, jangan gengsi belajar dari pengalaman buruk dari Iran &amp; Korsel, penyebaran #covid19 scr masif justru terjadi di ibadah massal. Fanatisme berlebihan bisa membahayakan nyawa orang lain, literally. Mohon pemerintah terbitkan instruksi</t>
  </si>
  <si>
    <t>Oppa, ktp nya pindah aja deh jadi wni 👌 RT @siwonchoi: Red carpet sampai banyak makanan. kenang-kenangan yang tidak bisa lupa. Aku mengharapkan kalian sehat sampai bertemu lagi. Terimakasih ya. Raffi sedaap. Gigi sedaap. Indonesia sedaap. 💙</t>
  </si>
  <si>
    <t>@geloraco Wna cina diberi izin tinggal darurat jangan sampe WNI yg diusir yah</t>
  </si>
  <si>
    <t>@wisikpramono Soal warga Singapura &amp; Brunei enek berita berseliweran secara terpisah. Tapi memang Malaysia wis confirm beberapa peserta tabligh akbar kui positif COVID.</t>
  </si>
  <si>
    <t>600 orang lebih,WNI yang baru-baru ini mengikuti Tabligh Akbar di Masjid Petailing Malaysia. Semakin tingkatkan kewaspadaan ya gaess. Semoga kita bisa terhindar,dari #corona ini.</t>
  </si>
  <si>
    <t>WNI antusias ikut pemilu</t>
  </si>
  <si>
    <t>@aidhoootd @dayatpiliang iyaaa gini mba yg sy tangkap. wni yg kena covid19 di singapur biaya pengobatannya di tagih sm singapur, tp wn singapur yg kena covid19 di indo, pemerintah sini ga nagih biaya pengobatan ke pemerintah singapur</t>
  </si>
  <si>
    <t>Ada lebih dari 500 WNI yang mengikuti tabligh akbar di Kuala Lumpur pada 28 Februari sd 2 Maret lalu. Mereka berasal dari sejumlah daerah di Indonesia. Singapura mengonfirmasi sekitar 15 orang dan Brunei 11 orang warganya positif COVID setelah mengikuti acara tsb.</t>
  </si>
  <si>
    <t>Wanita Timor Leste yg menjadi WNI Masuk Islam di Masjid Oman Lampriet, Banda @Aceh. Nama Fransisca menjadi Khatijah. #Islam</t>
  </si>
  <si>
    <t>Jemaah asal Brunei tertular COVID-19 usai ikut acara itu #VirusCorona #CoVid19 #UpdateVirusCorona</t>
  </si>
  <si>
    <t>@agussari Iya ini ngeri bgt kan, mas! Kasus pertama Brunei gara2 ini. Kasus di malaysia langsung naik krn ini. WNI hampir 700 org tapi hening, klarifikasi kemenkes ngga bisa mengkonfirmasi. Gimana coba rakyat mau koordinasi sama pemerintah kaya di spore? ARGH!</t>
  </si>
  <si>
    <t>Baik jika Pemerintah bentuk Tim Pemburu Aset2 Bangsa yg dirampas Penjajah maupun dicuri oleh para Koruptor. Ini menjadi bagian dr Kemenkeu utk kembalikan kekayaan Negara yg dirsmpas/dicuri baik oleh WNI maupun WNA, shg bisa kembali menjadi Aset Negara atau PNBP utk APBN.</t>
  </si>
  <si>
    <t>Penjelasan Pihak Restoran Amigos Kemang, Tempat WNI Tertular Corona</t>
  </si>
  <si>
    <t>@AlterBase18Plus Enak dong isis</t>
  </si>
  <si>
    <t>@bakarricaicha1 @Bubut871 Yang paling utama bisa mengayomi Rakyat dan memajukan BANGSA asal WNI(gak peduli dari Agam dan ras apa) Pasti kita Dukung 👍 #BauAmiesPolitisirCorona #BauAmiesPolitisirCorona</t>
  </si>
  <si>
    <t>@inesrinda @ISIS_Balik_NO @TofaTofa_id Tinggal di bali, nyerang yg di dki wkwk</t>
  </si>
  <si>
    <t>9 WNI ABK Diamond Princes sembuh dri corona.. #corona #Coronavirus #Coronavirusupdate #Covid_19</t>
  </si>
  <si>
    <t>9 WNI ABK Diamond Princes sembuh dari corona.. #corona #Coronavirus #Coronavirusupdate #Covid_19</t>
  </si>
  <si>
    <t>@SulingNaga @tempodotco @KemenkesRI @MarikaRahman_ @PartaiSocmed Tapi mantan eks Kombatan isis mau di pulangkan 🙊</t>
  </si>
  <si>
    <t>@ISIS_Balik_NO @TofaTofa_id Bagaimana bisa percaya BPJS aja defisit, dungu permanen, kalau pemda DKI duitnya ada bong, jadi kamu yg monyet dungu nggak tau diri. Boro2 bayarin rakyatnya rezim ini mah yg ada uang rakyat juga dilibas habis buat perut pribadi. Korup.</t>
  </si>
  <si>
    <t>@PakatDayak @FerdinandHaean2 Tapi yang gak mau ikut Sumpah pemuda nenek moyang nya dulu harusnya berterima kasih sudah menjadi bagian WNI, asal jangan lantas gak tahu diri spt si Ngahoaaax</t>
  </si>
  <si>
    <t>kadang suka lupa kalau siwon itu idol korea, berasa WNI sih :( RT @siwonchoi: Red carpet sampai banyak makanan. kenang-kenangan yang tidak bisa lupa. Aku mengharapkan kalian sehat sampai bertemu lagi. Terimakasih ya. Raffi sedaap. Gigi sedaap. Indonesia sedaap. 💙</t>
  </si>
  <si>
    <t>@EnggalPMT nah loh,.....rencana cina berhasih dengan konspirasi virus untuk menampatkan warganya tinggal lebih lama dan lama kelamaan jadi deh WNI karena sdh beranak pinak.</t>
  </si>
  <si>
    <t>cara lain untuk dapatkan presentation yang bagos ialah jangan bagi penerangan atau bercakap dengan laju. slow² je. kalau cakap laju nnt isis cepat habisx bunyi mcm kalang kabut, idea pon boleh hilang . RT @_sysyaaa: Macam mana nak deal dengan isu blank ketika bercakap terutamanya dalam presentation? Part 1!</t>
  </si>
  <si>
    <t>@KRMTRoySuryo2 @Pak_JK @palangmerah @jokowi @Kiyai_MarufAmin Beda didalam beda diluar, WNI Dimalaysia setelah menghadiri tabligh akbar di masjid sri petaling didata diperiksa, untuk menghindari penyebaran, himbauan sosialisasi terus galakan smp kemasyarakat bawah, Entah kalo di+62 sampe mn sosialisasinya gambar wag👇</t>
  </si>
  <si>
    <t>RT @infosebelah: Bantu Deradikalisasi, Eks Anggota ISIS Beri Ganjar Buku 300 Hari Di Suriah Buku berjudul 300 Hari di Bumi Syam; Perjalanan Seorang Mantan Pengikut ISIS selalu dipegang Febri Ramdani saat tiba di kediaman Gubernur Jawa Tengah, @ganjarpranowo</t>
  </si>
  <si>
    <t>@inesrinda @ISIS_Balik_NO @TofaTofa_id Yg takut loe semua yg borong n nimbun siape??., emak babeh loe semua,.. wkwkwk Tar klo kena teriak Pak Anies tolong,...</t>
  </si>
  <si>
    <t>RT @pktheterrible: Bomboclaat</t>
  </si>
  <si>
    <t>Tolak kepulangan eks ISIS ke Indonesia #tolakisis</t>
  </si>
  <si>
    <t>halah. baru dites kan yak? belum positif (mudah mudahan enggak). kapan lalu WNI di taiwan yg udah positif juga berani tik tokan._. sampe dihukum(?) sm permerintah disana RT @ericd: I don’t think a video could define our generation better than this kid making a tiktok while being tested for corona</t>
  </si>
  <si>
    <t>@putrriindones Bkn wni, klo wni kbnyakan imported case, Iy pnyebabny bkn hny covid</t>
  </si>
  <si>
    <t>@musniumar Menyedihkan bagi wni, bagi antek malah sumber</t>
  </si>
  <si>
    <t>@berlianidris Yang goblok dan Isis itu BACHTIAR NASIR...ISIS ISIS ISIS...Ustadz GOBLOK</t>
  </si>
  <si>
    <t>RT @rinichan02: Pemerintah mengeluhkan sikap otoritas Singapura yg enggan memberitahu identitas WNI yg dinyatakan positif corona, sehingga tdk bisa melakukan penelusuran kontak terhadap WNI tsb selama berada di Indonesia. Perasaan yg sama dari rakyat pd pemerintah kita.</t>
  </si>
  <si>
    <t>@msaid_didu nah, kalo WNI yg ada di negara kasus corona, gimana, om? stay aja disana?</t>
  </si>
  <si>
    <t>Waduh! Corona Nyebar di Tabligh Akbar yang Dihadiri 696 WNI di Malaysia, Tentara Allah Kok Gitu? via @melekpolitikcom</t>
  </si>
  <si>
    <t>Hampir 700 wni ini sekarang gimana sudah di tracking kah? Padahal imported case di singapore, dan brunei kan banyak dari tablig ini? RT @ainunnajib: Masjid ditutup untuk disinfect 5 hari, tidak ada Jum'atan &amp; jamaah. Respon tanggap Singapura atas kabar positif #COVID19 Malaysia kasus #131 yang hadir di majelis Jamaah Tabligh (10,000 orang), 95 Singaporean hadir. Ada 696 WNI hadir, Indonesia gimana?</t>
  </si>
  <si>
    <t>@CingThet Ternyata belum. Hiks</t>
  </si>
  <si>
    <t>Hii jangan boleh pulang nih, suruh jadi kombatan isis aja RT @CNNIndonesia: 600 WNI Ikut Tablig Akbar di Malaysia yang Terpapar Corona</t>
  </si>
  <si>
    <t>Dear @KemenkesRI segera himbau kepada wni siapapun yang menghadiri acara tabligh akbar tersebut untuk segera melapor ke rs rujukan covid-19 untuk di lakukan pengecekan lebih lanjut. Jangan sampai gara2 1 kluster baru ini menjadi “spreader” bagi yang lain. RT @tempodotco: Pemerintah mengaku masih belum mengetahui kondisi 696 warga negara Indonesia atau WNI yang diketahui ikut serta dalam kegiatan tabligh akbar di Masjid Petailing, Malaysia pada 28 Februari hingga 1 Maret lalu.</t>
  </si>
  <si>
    <t>RT @KBRI_Manila: Wakil Kepala Perwakilan KBRI Manila Bapak Widya Rahmanto menyambut para WNI yang menyelesaikan program S2 dan S3 tahun 2020 di The Adventist International Institute of Advanced Studies (AIIAS), Silang Cavite, Filipina, Minggu, 8 Maret 2020. #Kemlu_RI #AIIAS #inidiplomasi</t>
  </si>
  <si>
    <t>@BJP4MP @JM_Scindia @ChouhanShivraj ISIS SYA DESH KO BCANA YAH</t>
  </si>
  <si>
    <t>Pemerintah mengeluhkan sikap otoritas Singapura yg enggan memberitahu identitas WNI yg dinyatakan positif corona, sehingga tdk bisa melakukan penelusuran kontak terhadap WNI tsb selama berada di Indonesia. Perasaan yg sama dari rakyat pd pemerintah kita.</t>
  </si>
  <si>
    <t>RT @tempodotco: Pemerintah mengeluhkan sikap otoritas Singapura yang enggan memberitahu identitas warga negara Indonesia (WNI) yang dinyatakan positif corona.</t>
  </si>
  <si>
    <t>@aris_sorealist @tonyAJ90616729 @tempodotco @msaid_didu Jangan jangan aris ini bukan WNI makanya senang liat WNI musnah</t>
  </si>
  <si>
    <t>@siwonchoi AHAHHAHAHAH RAFI SEDAAP GIGI SEDAAP WKWKWKWKKWKW, wni baruuu</t>
  </si>
  <si>
    <t>@ISIS_Balik_NO @mat_sodor @TofaTofa_id Teriaknya Takbir,, Dikit2 Iqthifar,, Kakau ngobrol ane ente,, badan wangi kaya mayat,, TAPI,,, Sama Virus Pada Takut,,!!! Buakakakakkkk,,,😹😹😹😹😹😹😹😹😹😹</t>
  </si>
  <si>
    <t>Pemerintah mengeluhkan sikap otoritas Singapura yang enggan memberitahu identitas warga negara Indonesia (WNI) yang dinyatakan positif corona.</t>
  </si>
  <si>
    <t>@SulingNaga @tempodotco @KemenkesRI @MarikaRahman_ @PartaiSocmed Negara tetangga malah sudah menginformasikan soal pasien WNI yang terpapar</t>
  </si>
  <si>
    <t>RT @jacktherock5: @eko_kuntadhi @eko_kuntadhi membuka aib sendiri. BPS ngakunya yg miskin 25 juta orang si Dungu buka borok 98 juta orang. Jadi si Dungu atau BPS yg salah atau keduanya dungu. Klo pake total populasi WNI *98jt/269jt = 36,4 %kere. *Sedang klaim BPS hanya 9,41 % Gue lebih percaya aib si Eko</t>
  </si>
  <si>
    <t>@iBackModi Lmao... Saamajik kaartyakarta.. No wonder.. Ye ndtv k bhadve ISIS walo ko activists bol dete to ye jihaadi pillo ko Saamajik kaartyakarta bolna kuch strange nahi... Ndtv is an antinational channal.</t>
  </si>
  <si>
    <t>@eko_kuntadhi @eko_kuntadhi membuka aib sendiri. BPS ngakunya yg miskin 25 juta orang si Dungu buka borok 98 juta orang. Jadi si Dungu atau BPS yg salah atau keduanya dungu. Klo pake total populasi WNI *98jt/269jt = 36,4 %kere. *Sedang klaim BPS hanya 9,41 % Gue lebih percaya aib si Eko</t>
  </si>
  <si>
    <t>RT @kompascom: Singapura mulai memungut biaya bagi para pasien warga asing yang ingin melakukan perawatan terkait virus corona di negara tersebut. &gt; #Nasional</t>
  </si>
  <si>
    <t>Singapura mulai memungut biaya bagi para pasien warga asing yang ingin melakukan perawatan terkait virus corona di negara tersebut. &gt; #Nasional</t>
  </si>
  <si>
    <t>RT @ainunnajib: Pasien #131 Malaysia positif #COVID19 sebelumnya hadir majelis Jamaah Tabligh yang dihadiri lebih 10,000 orang dari berbagai negara. Kemungkinan besar ada WNI dari Indonesia yang ikut hadir juga. Perlu dilacak @KemenkesRI @jokowi</t>
  </si>
  <si>
    <t>RT @kbrisingapura: PRESS RELEASE 13 MARET 2020 - WNI Dikonfirmasi Sebagai Kasus ke-181 dan 182 COVID-19 di Singapura. #Inidiplomasi #NegaraMelindungi #kbrisingapura #COVID19</t>
  </si>
  <si>
    <t>@Daun_Karisiak @TofaTofa_id Eneng sumbing ? Ikutan dong....mereka kan bli kucing dlm karung</t>
  </si>
  <si>
    <t>Apakah perlakuan yang sama dialami bagi WNI yang terdeksi Virus Corona, dan jika tidak sama akan mengakibatkan pendemi Corona akan semakin Kronis di NKRI!!! RT @SINDOnews: Beda dengan Singapura, Indonesia Tak Pungut Biaya Perawatan WNA Positif Corona  #UPDATE</t>
  </si>
  <si>
    <t>@pemikir5 @Dennysiregar7 😁 walaah....mo kenalan ? Banyak kok pict selfie sy di te el. Kan kali ini lg solider sama yg pake masker. Kamu biasa collect donasi buat ISIS ? Kalo ngga, kok baper ? Ini buat yg merasa ajaa. Ga usah sewot.</t>
  </si>
  <si>
    <t>Alexein's Wife Nama : Lovandra Rayadinata Iskandar Tempat Kelahiran : Jakarta Tanggal Kelahiran : 31 Januari 1990 Golongan Darah : - Kebangsaan : WNI Diperankan Oleh : @coldineurope</t>
  </si>
  <si>
    <t>@mat_sodor @inesrinda @TofaTofa_id Setelah tentara alloh menyerang balik kaum lo ?</t>
  </si>
  <si>
    <t>#SahabatKemlu, berikut update Perkembangan COVID-19 di Dunia dan Pelindungan WNI per 13/03 pukul 10.00 WIB. Terdapat tambahan 2 WNI di Singapura terkonfirmasi COVID-19. #IniDiplomasi #NegaraMelindungi</t>
  </si>
  <si>
    <t>@siwonchoi astagaa WNI baruu😂🥰</t>
  </si>
  <si>
    <t>(7/7) Kalo kita aja pake hand sanitizer buat cegah virus, harusnya bisa ambil preemptive measures dengan “sanitize” ucapan &amp; gestur buat menenangkan masyarakat juga kan yaaaaaaa... Sincerely, salah satu WNI</t>
  </si>
  <si>
    <t>@1zen_saya siri</t>
  </si>
  <si>
    <t>Hingga kini WNI semakin memuncaki rasa takut karena corona. Jika kamu terinfeksi tak usah malu dengan mengunjungi keramaian untuk berbagi, segera informasikan ke pihak kesehatan.❤🇲🇨</t>
  </si>
  <si>
    <t>RT @1zen_saya: hey!shirahama!!!!!</t>
  </si>
  <si>
    <t>RT @oak_math_lee_91: @rachma1991 @Treaty_KemluRI @BebasVisaID Mikronesia memiliki salah satu kebijakan visa yang paling terbuka di dunia. Semua WN dunia dapat berkunjung ke sana bebas visa mulai dari 365 hari, 90 hari hingga 30 hari. WNI bebas visa 30 hari ke Mikronesia. Cuma ketersediaan rute penerbangan ke Mikronesia sangat terbatas.</t>
  </si>
  <si>
    <t>@txtbocahindie Dasar WNI warga negara indie</t>
  </si>
  <si>
    <t>Pemerintah berencana memulangkan anak-anak berusia di bawah 10 tahun dari eks WNI yang bergabung dengan ISIS. Saat ini pemerintah masih mendata dan memverifikasi anak-anak dan eks WNI yang tersebar di kamp pengungsian di Suriah</t>
  </si>
  <si>
    <t>@Widyarenee @Dennysiregar7 Nama Jeng Rini Muka diTutup Tapi hati nya penuh kedengkian bikin Fitnah nyumbang ke ISIS</t>
  </si>
  <si>
    <t>@AlanPrastya6 @ISIS_Balik_NO @TofaTofa_id Jika ada Gubernur sebelumnya... itu mah yg bilang pemerintah... dongo banget sih lu... digubernur sebelumnya itu belum ada virus corona</t>
  </si>
  <si>
    <t>RT @Harian_Jogja: Seorang Pasien Virus Corona di Malaysia Terlacak Hadiri Tabligh Akbar, 600 WNI Ikut Hadir</t>
  </si>
  <si>
    <t>@ISIS_Balik_NO @TofaTofa_id Jika ada Gubernur sebelumnya... itu mah yg bilang pemerintah... babi emang dongo banget... digubernur sebelumnya itu belum ada virus corona</t>
  </si>
  <si>
    <t>@YohanesPatty2 Di buliy bukan malah redup. Bahkan viral dg hebat. Itu lah indonesia. Penghianat NKRI antek2 TERORIS/ISIS, malah bagus di mata media. sebaik nya kita diam saja sobat. Berburu rusa tidak perlu berteriak. Cukup duduk manis di atas pohon.</t>
  </si>
  <si>
    <t>Kisah Febri Melarikan Diri dari ISIS  lewat @YouTube</t>
  </si>
  <si>
    <t>Seorang Pasien Virus Corona di Malaysia Terlacak Hadiri Tabligh Akbar, 600 WNI Ikut Hadir</t>
  </si>
  <si>
    <t>• Gibran's husband Nama : Aarav Danurwenda Tempat Kelahiran : Jakarta Tanggal Kelahiran : 27 Juni 1991 Golongan Darah : - Kebangsaan : WNI Diperankan Oleh : @taukemudaa</t>
  </si>
  <si>
    <t>@KemenkesRI @Menlu_RI @ditjen_imigrasi Bs mengantisipasi . Virus Corona Menyebar saat Tabligh Akbar Malaysia, 600 WNI Ikut Hadir</t>
  </si>
  <si>
    <t>• anak angkat Nama : Gibran Aqsha Ardana Tempat Kelahiran : Jakarta, Indonesia Tanggal Kelahiran : 7 Agustus 2000 Golongan Darah : O Kebangsaan : WNI Diperankan Oleh : @cigcga</t>
  </si>
  <si>
    <t>Pemerintah mengaku masih belum mengetahui kondisi 696 warga negara Indonesia atau WNI yang diketahui ikut serta dalam kegiatan tabligh akbar di Masjid Petailing, Malaysia pada 28 Februari hingga 1 Maret lalu.</t>
  </si>
  <si>
    <t>• Mikaela's husband Nama : Mahesa Darmawangsa Tempat Kelahiran : Jakarta Tanggal Kelahiran : 03 Mei 1988 Golongan Darah : B Kebangsaan : WNI Diperankan Oleh : @pancarouna</t>
  </si>
  <si>
    <t>@mi_isis @SeductorasTEAM Sabrosaa</t>
  </si>
  <si>
    <t>RT @margiesandjaya: @AnakLolina @DivHumas_Polri Halah... BN aja yang jelas² ketahuan ngirim duit miliaran untuk isis di suriah sampe hari ini melenggang bebas, bahkan bisa tetap provokasi kemanapun, tsrakhir masyarakat Malang sendiri yang mengusirnya.</t>
  </si>
  <si>
    <t>• Rawindra's Wife Nama : Seraphina Jihan Daniswara Tempat Kelahiran : Jakarta Tanggal Kelahiran : 24 Desember 1997 Golongan Darah : - Kebangsaan : WNI Diperankan Oleh : @reddeucloud</t>
  </si>
  <si>
    <t>9 WNI ABK Diamond Princess sembuh dari corona #corona #Coronavirus #Coronavirusupdate #Covid_19</t>
  </si>
  <si>
    <t>@CNNIndonesia Pencegahan harus tegas menolak msk WNI CINA dan memulangkan semua.demi kesehatan warga indonesia..jgn selamatkan WNA CINA korbangkan bangsa sendiri...itu artinya lbh kejam drpd penjajah asin yv pernah menjajah indonesia.</t>
  </si>
  <si>
    <t>12 WN Malaysia dan 2 WN Singapura yang menghadiri tabligh positif Corona. Hampir 700 WNI hadir, terlacak kah? RT @MothershipSG: 95 S’poreans who attended KL mosque gathering urged to turn themselves in for health checks</t>
  </si>
  <si>
    <t>WNI 600 Ya Allaaaaah.. 🤦‍♂️🤦‍♂️🤦‍♂️ RT @detikcom: Otoritas Singapura mengakui ada 82 warganya yang ikut menghadiri acara tabligh di Selangor, Malaysia, yang diyakini menjadi lokasi penularan virus Corona.</t>
  </si>
  <si>
    <t>@Kecebon06563249 @ISIS_Balik_NO @TofaTofa_id Jgn salahkan klo banyak yg ragu. Kan presiden skrng banyak nganunya. Wajarlah. Drpd knak kibul lg. Emang ente yg dikibulin trus2 santuy aje.</t>
  </si>
  <si>
    <t>My ass head question right now: How does international organized non-state (or quasi-state) actors respond to global pandemic? Contohnya seperti ISIS atau mungkin kelompok-kelompok gerilya di Amerika Latin dan Asia Tenggara.</t>
  </si>
  <si>
    <t>@inesrinda @ISIS_Balik_NO @TofaTofa_id Tar lagi virus Babi nih nyerang loe pade kelakuan sama Cs 😀😀😀😀</t>
  </si>
  <si>
    <t>@ISIS_Balik_NO @Waone781 @TofaTofa_id anggota KPPS yg wafat maksud loe?.. saaadiiiissss.. nyindir pakde</t>
  </si>
  <si>
    <t>RT @bysph: kabarnya ada 695 WNI di acara jamaah tablig ini. ini yg perlu ditracking Positif Covid-19 di Brunei hadiri tabligh 10.000 orang di Kuala Lumpur - ANTARA News Aceh</t>
  </si>
  <si>
    <t>@ainunnajib hakui do mbalik mrene po orak WNI ne je</t>
  </si>
  <si>
    <t>RT @iAakash_Agarwal: @karan58818199 @RanaAyyub Arrests made in #AntiHinduRiots so far 1. Shahrukh 2. Tahir Hussain(AAP) 3. Shahnawaz 4. Jahanjeb Sami(ISIS) 5. Hina Bashir(ISIS) 6. Danish Ali(PFI) 7. Shah Alam 8. Salim Malik 9. Mohd Jalaluddin 10. Mohd Ayub 11. Mohd Yunus 12. Mohd Mushtaq 13. Md Danish 14. Md Salim #copypaste</t>
  </si>
  <si>
    <t>Aku bukan hipnotis Bukan juga isis Jauh dari ekstrimis Aku hanya optimis 💪🔥</t>
  </si>
  <si>
    <t>@muktarlim Pertanyaanya:ketika KEWAJIBAN sebagai WNI dituntut WAJIB SESUAI uud45&amp; PANCASILA..tetapi PRAKTEK nya MALAH IKUT UU yg melangkahi isi UUD45 itu sendiri dan nilai luhur PANCASILA,trus NASIONALIS apa yg mau DITANAMKAN?</t>
  </si>
  <si>
    <t>RT @tempodotco: Soal WNI Peserta Tabligh di Malaysia, Yurianto: KBRI Belum Info</t>
  </si>
  <si>
    <t>@EnjoyIdnesia Jimlih wing widik liwih ikih , inik piriwin isik dibijiki Cintihi kincii istid dengkulanjeluk ndik M I I , ngijir ngiji isis ilih piriwin kinyis kinyis</t>
  </si>
  <si>
    <t>@oxyeka Itu makanya. Di sini per hari kemarin ada 5 WNI positif. 4 orang UDAH sakit sejak dari Indonesia. Ini kayaknya salah satu trigger yg bikin pemerintah SG memutuskan foreigner kudu bayar sendiri kalau dirawat karena covid-19 di sini. 😢</t>
  </si>
  <si>
    <t>@sakitotak3 @RiyadiAtmodjo @ISIS_Balik_NO @Waone781 @TofaTofa_id Ahhhh...Ngaca siapa yg memilih berdasarkan SARA dan Ayat2 😂</t>
  </si>
  <si>
    <t>kabarnya ada 695 WNI di acara jamaah tablig ini. ini yg perlu ditracking Positif Covid-19 di Brunei hadiri tabligh 10.000 orang di Kuala Lumpur - ANTARA News Aceh</t>
  </si>
  <si>
    <t>acara ini yg katanya dihadiri oleh 695 WNI, perlu ditacking</t>
  </si>
  <si>
    <t>@kompascom Haloooo @KemenkesRI @Kemlu_RI gimana tentang WNI yg hadir 600 orang??</t>
  </si>
  <si>
    <t>Telkomsel Siapkan 1 BTS Combat untuk 188 WNI di Pulau Sebaru Kecil - Uzone: Telkomsel Siapkan 1 BTS Combat untuk 188 WNI di Pulau Sebaru Kecil Uzone</t>
  </si>
  <si>
    <t>@devy215 @ustadtengkuzull @kabinawa5 @ISIS_Balik_NO @musniumar @ustadtengkuzul Bener banget itu Sarah😁😁</t>
  </si>
  <si>
    <t>RT @mvitoriaa9: ngm p conversar 🤧</t>
  </si>
  <si>
    <t>@ikanjarang @ISIS_Balik_NO @BudiatnoGomarus @eko_kuntadhi Sok sok an khawatir... akses masuk aja gak ditutup ama negara,.. WNA negara asal si covid19 aja masih banyak yg masuk....</t>
  </si>
  <si>
    <t>@ustadtengkuzull @kabinawa5 @ISIS_Balik_NO @musniumar @ustadtengkuzul Seberapa bnyk pun uangnya,ttp aj kalau muji diri sendiri itu namanya munafik dul</t>
  </si>
  <si>
    <t>Soal WNI Peserta Tabligh di Malaysia, Yurianto: KBRI Belum Info</t>
  </si>
  <si>
    <t>RT @fran1_rp: Cacacacaca Cococococo</t>
  </si>
  <si>
    <t>Menteri Agama memastikan Warga Negara Indonesia (WNI) yang menjalani ibadah umrah di Arab Saudi dipastikan akan dipulangkan ke Tanah Air pada 15 Maret 2020 mendatang. POT . #COVID19 #MenteriAgama #WNI #ArabSaudi #Umrah #iNewsSiang #iNews</t>
  </si>
  <si>
    <t>@tavleen_singh "M" pissfulls damaged India 1 Shahrukh 2 Tahir Hussain(AAP) 3 Shahnawaz 4 Jahanjeb Sami(ISIS) 5 Hina Bashir(ISIS) 6 Danish Ali(PFI) 7 Shah Alam 8 Salim Malik 9 Mohd Jalaluddin 10 Mohd Ayub 11 Mohd Yunus 12 Mohd Mushtaq 13 Md Danish 14 Md Salim Aunty say "All Indians are Morons"</t>
  </si>
  <si>
    <t>695 WNI ikut majelis jamaah tablig dgn jumlah peserta 10 rb dimana salah satunya positif corona ini perlu segera ditracking. mana mau jumaatan lagi 😓</t>
  </si>
  <si>
    <t>@ISIS_Balik_NO @musniumar Yg pasti beliau jauh lebih baik dari ente, klo gak ente yg jadi rektor. 😅🤪</t>
  </si>
  <si>
    <t>RT @ari_ap: Saya selama ini skeptis soal kenapa kita perlu Kemenag khususnya Ditjen Bimas. Tapi untuk active tracking WNI yang kemarin ikut tabligh akbar di Malaysia, ini bisa jadi test case fungsi Bimas. Bagaimana Bimas (dan Dinas di daerah) bisa kerjasamna dgn komunitas..</t>
  </si>
  <si>
    <t>@cryptofmine Iya jadi ada nuansa baru untuk penikmat doom/sludge. Si gitar+vocnya juga di Isis. Legenda2 semua nih mereka</t>
  </si>
  <si>
    <t>Saya selama ini skeptis soal kenapa kita perlu Kemenag khususnya Ditjen Bimas. Tapi untuk active tracking WNI yang kemarin ikut tabligh akbar di Malaysia, ini bisa jadi test case fungsi Bimas. Bagaimana Bimas (dan Dinas di daerah) bisa kerjasamna dgn komunitas..</t>
  </si>
  <si>
    <t>RT @Kemlu_RI: #SahabatKemlu, kita harus tetap tenang menghadapi wabah COVID-19. Berikut adalah Perkembangan COVID-19 di dunia dan persebaran WNI yang sedang menjalani perawatan karena COVID-19 di luar negeri. Tetap jaga kesehatan ya! #IniDiplomasi #NegaraMelindungi</t>
  </si>
  <si>
    <t>@TirtoID Harusnya 0 kematian, coba yg di bali meninggal itu wni bkn wna, pasti negatif covid19 lab nya.</t>
  </si>
  <si>
    <t>@VICE_ID Debt colector sama yg isis goks parah</t>
  </si>
  <si>
    <t>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</si>
  <si>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@mohmahfudmd: ALHAMDULILLAH' 243 WNI yg pulang dr Wuhan dan diobservasi 14 hr di Natuna dinyatakan brsh dr Corona. Dlm kelakarnya, Menko Perekonomian Airlangga bilang "Krn perizinan di Indonesia ber-belit2 maka virus corona tak bs masuk. Tp omnibus law ttg perizinan lapangan kerja jalan trs"🤣</t>
  </si>
  <si>
    <t>@SukocoSumpeno Ujung ujungnya suruh join isis 😠</t>
  </si>
  <si>
    <t>Mau nanya serius kali ini, pendapat kalian ttg WNI yang jd bagian dr isis itu masih jd wni ato engga? Jwb dong itu soal ujian ak td wkwkwk</t>
  </si>
  <si>
    <t>RT @kompascom: Data terbaru mengenai penanganan WNI yang dinyatakan positif terinfeksi virus corona di luar negeri pada Kamis (12/3/2020) siang, total WNI terinfeksi yang ada di luar negeri adalah 16 orang | #VirusCoronaUpdate</t>
  </si>
  <si>
    <t>@ISIS_Balik_NO @PembanAji @555masteng @WahhabiCC @yusuf_dumdum @P3nj3l4j4h_id Lupa kasi tanda petik,jd tanda tanya,deh...😁</t>
  </si>
  <si>
    <t>Sendiri jingan org org pada kaga ngasal apa 😠 ayo blajar pkn kalo kewarganegaraan kamu jelek mluu kmu wni bkan</t>
  </si>
  <si>
    <t>4 WNI Positif Corona di Singapura, Salah Satunya TKI yang Dinyatakan Sembuh</t>
  </si>
  <si>
    <t>@Pseudo_silk @PembanAji @555masteng @WahhabiCC @yusuf_dumdum @P3nj3l4j4h_id Jalan cendana maksudnya ?</t>
  </si>
  <si>
    <t>@HJulkifliMarbun @TofaTofa_id @BPJSKesehatanRI Mau WNA apalagi WNI, presiden udah komitmen terhadap perawatannya akan di tanggung oleh negara... Bukan ranah bpjs @TofaTofa_id dan sang majikan @aniesbaswedan gak usah sok” jadi pahlawan corona Corona itu otoritas pusat, bukan tggjawab daerah...</t>
  </si>
  <si>
    <t>RT @Treleps: apa tanggapanmu @fadlizon..???</t>
  </si>
  <si>
    <t>@ISIS_Balik_NO @TofaTofa_id Dipayat???....kosa kata baru???</t>
  </si>
  <si>
    <t>@granatkarat Gua kalo jd lu teriak "iya isis iya gua bom pala bapak kau" wkwk</t>
  </si>
  <si>
    <t>Bangsa Indonesia hendaknya bersatu, jangan mdh diadudomba oleh Kolonialis Asing maupun Aseng. Jangan buang2 energi utk bertengkar sesama Pribumi, Prabowo sdh kasih contoh bersatu utk NKRI. Semua Kebijakan Negara hrs berpihak kpd Kesra, misal Perush. Asing 90% Naker hrs WNI.</t>
  </si>
  <si>
    <t>RT @agama_nusantara: Nasib 600 WNI Ikut Tabligh Akbar Dihadiri Orang Malaysia Positif Corona</t>
  </si>
  <si>
    <t>@babeneflow @TofaTofa_id Yang korup siapa mbambang ? Yg kemaren ngikut bela agama ? Mereka mah sudah dibuka AIBnya oleh Allah....jangan dibahas lagi....tinggal nunggu imbalan akhirat doang</t>
  </si>
  <si>
    <t>@syahrulakbar197 @ISIS_Balik_NO @TofaTofa_id apakah di zaman gub sebelum anis udah ada virus corona? lagian udah di tanggung negara kok, anis juga bukan dari kantong pribadi, resiko pembengkakan anggaran lagi</t>
  </si>
  <si>
    <t>@PatMonem @TofaTofa_id Mo dipayat pake apa kek....emang lo kerja dimane...toko pribumi ?</t>
  </si>
  <si>
    <t>@harry_otterr Selamat pagi, Kak. Taxmin informasikan dokumen yang disyaratkan sebagai kelengkapan permohonan pendaftaran NPWP diatur dalam Pasal 6 PMK-147 tahun 2017 maupun Pasal 6 PER-02 tahun 2018 yaitu berupa fotokopi KTP bagi WNI. Tks*Zy</t>
  </si>
  <si>
    <t>RT @HANMAS19: @mohmahfudmd @BangPitung_AJW Di natuna pulau kecil gitu. Org Indonesia berani demo wni dari china. Di Padang. Orang minang kompak usir wisatawan cina Sementara 40.000 TKA china di morowali . Tidak satupun orang Indonesia demo usir org cina itu? Besyukur dan jangan kufur nikmat. WHO tidak percaya INA</t>
  </si>
  <si>
    <t>@ISIS_Balik_NO @TofaTofa_id Dibayar pake utangan, coek!</t>
  </si>
  <si>
    <t>@djumelan @musniumar Kalo kelas rektor lagak bisa faham naksud berita....mo bagaimana kualitas murid2 nya.... Hadeuh...gini hari...manusia spt ini lo bela.....otak lo rusak ?</t>
  </si>
  <si>
    <t>RT @Heiser007: @detikcom  jadi klo bisa sembuh sendiri mengapa engkau serta pemerintah tidak membawa mereka pulang juga saat itu? Apakah teori anda ini hanya teori dadakan ?</t>
  </si>
  <si>
    <t>@babeneflow @ISIS_Balik_NO @TofaTofa_id komentar yg paling logis</t>
  </si>
  <si>
    <t>@detikcom  jadi klo bisa sembuh sendiri mengapa engkau serta pemerintah tidak membawa mereka pulang juga saat itu? Apakah teori anda ini hanya teori dadakan ?</t>
  </si>
  <si>
    <t>IG yang isinya karya foto, difollow photographer yang follower nya ribuan &amp; doi difollow nindiayolandani (fotografer ternama di Cina, WNI) Anjaaaayyyy</t>
  </si>
  <si>
    <t>Konon ada sekitar 700an WNI yg ikut tabligh di KL. WN Singapura 90an. Beberapa sudah positif corona. Shalat jumat ditangguhkan. 😎</t>
  </si>
  <si>
    <t>Dari lubang ini *lubang kamarmandi* samar samar terdengar suara dari kosan sebelah 😾"Ini ada orang nya kan" 😽"Ada barusan pulang" 😾"Jarang keliatan ya" 😽"Iya tertutup anak nya" 😾 "ISIS kali" 😽 "Bisa jadi" Anak cungkring dengan trucker dekil ripped jeans di bilang ISIS</t>
  </si>
  <si>
    <t>kayaknya lebih tepat "Ratusan WNI" RT @cnbcindonesia: Corona Nyebar di Tabligh Akbar, Ratusan Peserta RI Ikut Hadir</t>
  </si>
  <si>
    <t>@Johnny_Joey Coronavirus? Covid-19? Wuhan Virus? ISIS? ISIL? DAESH? Gaddafi? Kadafi? Qaddafi? So many options...</t>
  </si>
  <si>
    <t>@kompascom nah yg kaya gini baru cabut WNI nya , karena sudah jelas penghianat!</t>
  </si>
  <si>
    <t>@elisa_jkt @DonAdam68 Keengganan rezim akan transparansi dengan meminta dukungan BuzeRp, Makin lama bukan makin menggelikan tp mematikan. Mengerikan sekali melihat mereka main2 dengan keselamatan nyawa masyarakat indonesia. Apa mereka bener2 ga peduli dengan keselamatannya sendiri, mereka wni kan?</t>
  </si>
  <si>
    <t>RT @Faat_Ip: @haikal_hassan Be,WNI aja cari kerja diwajibkan 👉 Syarat utamanya miliki SKCK.baru cari kerja lho Be. Koq bisa2 nya Napi dapat kursi Empuk? Bilangin Sama semua.publik yg bego Ato Si Ahox yg di elu2kan . 🙏 #TolakMantanNapi</t>
  </si>
  <si>
    <t>RT @AkeemSharyzal: RT untuk hilangkan stress</t>
  </si>
  <si>
    <t>RT @cnbcindonesia: Corona di Tabligh Akbar Malaysia, Ratusan WNI &amp; Kata Istana</t>
  </si>
  <si>
    <t>@EnjoyIdnesia 😁😁😁 Tanpa perlu dijelaskan pasti eroh , jelas Muhammadiyah lah heuheu ... Kalo FPI HTI ISIS urusannya sama KHILAFUCK dan pasti nomer satu kalo KORONA (KOrban ROndo/janda NAkal)</t>
  </si>
  <si>
    <t>@Dennysiregar7 Ndak akan menang... Percuma... kemungkinan besar akan kalah iya....wong disana minoritas kau mau mengobarkan kerusuhan...ya hancur semdiri... kita mau interevensi ? G mudah... ISiS ...mau di andalkan ? Dah kalang kabut sendiri...</t>
  </si>
  <si>
    <t>@eko_kuntadhi 600 lebih WNI ada disana, apakah mereka tinggal disana atau kembali ke tanah air?</t>
  </si>
  <si>
    <t>@masblack @Dennysiregar7 Salah satu bukti adalah sumbangan yg dikumpulkan olh BN lalu dikirim ke Suriah dll utk perjuangan ISIS.</t>
  </si>
  <si>
    <t>RT @RMaurdya: Semoga kita gak impor lg 😓 Virus Corona Menyebar saat Tabligh Akbar Malaysia, 600 WNI Ikut Hadir</t>
  </si>
  <si>
    <t>Nasib 600 WNI Ikut Tabligh Akbar Dihadiri Orang Malaysia Positif Corona</t>
  </si>
  <si>
    <t>WNI Lama Tinggal di Luar Negeri, Balik ke Indonesia. Bagaimana Lapor Pajaknya?</t>
  </si>
  <si>
    <t>@Agamajinasi Gua ga percaya segitu bnyk kasus di indo imported case. Mslhnya ada 2 WNI yg dtg ke SG buat berobat terus positif covid. Dan SG bilang itu imported case, ya berarti 2 org itu ketular di indo dong.... ya emg sih kalo liat yg di korsel 30 pasien pertama jg bnykan imported.</t>
  </si>
  <si>
    <t>@b4nganto ISIS 1 : Iran 0 RT @rcallimachi: ISIS pores over religious texts. Comes out in favor of putting your trust in God but also in favor of quarantine, hand-washing &amp; running from the sick like from a lion. Their rivals in Qom stopped after No. 1. Thx to ⁦@ajaltamimi⁩ for his translation</t>
  </si>
  <si>
    <t>RT @zuhairimisrawi: Yang bahaya adalah nalar kebencian yang ada di kepalamu. Itu anasir nalar ISIS</t>
  </si>
  <si>
    <t>Corona di Tabligh Akbar Malaysia, Ratusan WNI &amp; Kata Istana</t>
  </si>
  <si>
    <t>RT @Widyarenee: @Dennysiregar7 Ini mah udah modus lamaaa... Sales kolektor donasinya berkeliaran di Indonesia sambil dakwah jualan agama. Ti ati nyumbang2 sembarangan ternyata buat membiaya ekstrimis bahkan ISIS.</t>
  </si>
  <si>
    <t>Tanpa lelah, terus berbakti "Olahraga bersama Satgaspad dan WNI" . #tni #puspentni #tnipeduli #wni #viruscorona</t>
  </si>
  <si>
    <t>Bersama cegah penyebaran corona . #tni #puspentni #tnipeduli #wni #viruscorona</t>
  </si>
  <si>
    <t>Berikan yang terbaik untuk rakyat . #tni #puspentni #tnipeduli #wni #viruscorona</t>
  </si>
  <si>
    <t>RT @345Aulia: @WR_4AG226 @ISIS_Balik_NO Amien sdh menemukan(kembali) keahliannya yg selama ini hilang, main suling😊drpada nganggur stlh dikick dr partai ada baiknya dia melamar ke soneta group, mana tahu diterima jd pemain suling cadangan😄</t>
  </si>
  <si>
    <t>Apakabar anakanak isis dan keluarganya mau dipulangkan negara? Udah jadi? Janganjangan, tiba2 udah pada nyanpe aja mereka.</t>
  </si>
  <si>
    <t>RT @ThantryRitha: @ddprameswari @sakuraaa_3 @CNNIndonesia Kayaknya yg kena imported case kemungkinan WNA deh. Kalo smpe WNI kebangetan bgt, musim corona gini travelling ke luar negeri demi tiket murah tnp memikirkan rakyat Indonesia dan keluarga yg ada disini.</t>
  </si>
  <si>
    <t>Kl di Singapore saja WNI ditangkap karena ada sumbangan ke yang itu, kl di Sini gimana kalau sudah tau ini? Aman aja sepertinya RT @PembanAji: Almak, @WahhabiCC @yusuf_dumdum @P3nj3l4j4h_id</t>
  </si>
  <si>
    <t>@zhonglele_9 qui mi isis di mimi</t>
  </si>
  <si>
    <t>@icholejajaja niwibini di nichi isis titiijis in li ixili jijijiji.</t>
  </si>
  <si>
    <t>@rachma1991 @Treaty_KemluRI @BebasVisaID Mikronesia memiliki salah satu kebijakan visa yang paling terbuka di dunia. Semua WN dunia dapat berkunjung ke sana bebas visa mulai dari 365 hari, 90 hari hingga 30 hari. WNI bebas visa 30 hari ke Mikronesia. Cuma ketersediaan rute penerbangan ke Mikronesia sangat terbatas.</t>
  </si>
  <si>
    <t>@ceperlan99a Untung kabawa ngimpi.. Coba lamun kabawa ka sudan, jadi isis anjir. :(</t>
  </si>
  <si>
    <t>RT @Kemlu_RI: #SahabatKemlu, berikut update Perkembangan COVID-19 di Dunia dan Pelindungan WNI per 11/03 pukul 08.00 WIB.</t>
  </si>
  <si>
    <t>RT @Kemlu_RI: #SahabatKemlu, berikut update Perkembangan COVID-19 di Dunia dan Pelindungan WNI per 11/03 pukul 18.00 WIB. 8 WNI telah dinyatakan sembuh dari COVID-19 di luar negeri. #IniDiplomasi #NegaraMelindungi</t>
  </si>
  <si>
    <t>@ISIS_Balik_NO @BahasaHati6 @blacklleviant Goceng aja lah</t>
  </si>
  <si>
    <t>Korona Menyebar di Tabligh Malaysia, 700 WNI Jadi Peserta</t>
  </si>
  <si>
    <t>@amim_devi @ISIS_Balik_NO Klo mau bersumpah Bermubahala silakan lakukan dan tangung sendiri jgn ikut sertakan anak cucu yg gk tau apa"</t>
  </si>
  <si>
    <t>@So3daRn0 @ISIS_Balik_NO @TofaTofa_id Awas ntr di bilangin pembantu nya ..eh isterinya</t>
  </si>
  <si>
    <t>ACT dicurigai badan NGO radikal yang mendanai gerakan radikal dibelahan dunia lain seperti ISIS salah satunya &amp; Hafiz Saeed ini</t>
  </si>
  <si>
    <t>RT @hmdroga: Bomboclaat</t>
  </si>
  <si>
    <t>RT @kompascom: Pemerintah Indonesia mempersilakan Pemerintah Singapura menagih biaya perawatan WNI yang terinfeksi virus corona di negara mereka.</t>
  </si>
  <si>
    <t>Sejak resmi diumumkan mengenai 2 WNI yang positif terinfeksi Virus Corona (Covid-19), banyak masyarakat merasa was-was akan penyebaran virus tersebut. Berikut beberapa fakta tentang virus Corona yg wajib Anda ketahui agar terhindar dari berita hoax yang dapat membuat kepanikan!</t>
  </si>
  <si>
    <t>@tismytweetname Makanya jgn gitu gitu bgt sama PKI. Itu nama partai. Bukan identitas diri. Kt dah di brain wash gt lama. Klu PKI membunuh para Jendral, ISIS membunuh siapa saja n menjdkan wanita budak seks. Klu PKI membunuh atas dasar ideologi. ISIS membunuh memakai nama Tuhan. Tuhan yg mana?</t>
  </si>
  <si>
    <t>@ISIS_Balik_NO @TofaTofa_id Ngutang dulu ah,, gaada duit nih . Wikojo 🤭</t>
  </si>
  <si>
    <t>RT @KATADATAcoid: Pemerintah Singapura mengumumkan satu WNI berusia 56 tahun positif tertular virus corona Covid-19. Sehingga, total 5 WNI telah terjangkit corona di Negeri Singa.</t>
  </si>
  <si>
    <t>Harusnya si jin pink ambil jemput warganya. Seperti halnya WNI di china yg jg dijemput pulang. Atau mungkin WNA china ini dijadikan sbg tukar tambah nyicil hutang??? RT @geloraco: Hanya WNA China yang Diberi Izin Tinggal Darurat di Indonesia karena Virus Corona</t>
  </si>
  <si>
    <t>@musniumar Tidak ad pribumi dan non pribumi, yg ada WNI atau WNA. Tolong literasinya di tambah pak, malu sama mahasiswanya</t>
  </si>
  <si>
    <t>@FichriHasan @GGC_Ceria @Dennysiregar7 @CNNIndonesia Akun radikal ISIS nih doyan hoax &amp; fitnah</t>
  </si>
  <si>
    <t>Setiap pagi ada saja grup Whatsapp yang update soal perkembangan virus Corona, Pemerintah sudah sampai mana? Apa sudah mulai membatasi WNA yang datang? Atau melarang WNI yang akan keluar? Kalau urusannya hanya soal liburan seharusnya tidak terlalu urgent To @Menlu_RI Cc @jokowi</t>
  </si>
  <si>
    <t>RT @jenk_kelinn: Para pendukung anis yg bangga banget karna penanganan virus corona akan ditanggung pemprov klo tdk ditanggung BPJS. Padahal pak jokowi sdh membuat statement itu seminggu sebelumnya. *pengalihan isyu Formula E receh amat sih.</t>
  </si>
  <si>
    <t>Aku lupa harini kelas pukul 9 eiii</t>
  </si>
  <si>
    <t>WAJIB.. SEMUA TURIS NDAK BOLEH MASUK. WNI JUGA NDAK BOLEH KELUAR NEGERI.... RT @republikaonline: Untuk mencegah virus Corona meluas, maka pintu masuk ke Indonesia harus diperketat</t>
  </si>
  <si>
    <t>RT @soloposdotcom: Ada Virus Corona di Tabligh Akbar Malaysia, 600-an WNI Hadir</t>
  </si>
  <si>
    <t>@UyokBack Serasa asing saat berlibur ke Bali,, mereka lebih ramah ke Asing drpd WNI sendiri..</t>
  </si>
  <si>
    <t>RT @BirgaldoS: Anak2 ISIS Ex WNI sdg dipersiapkan utk plg ke tanah air. Disambut pemerintah dgn pemenuhan segala kebutuhannya sampai dewasa. Sementara korban bom teroris Gereja Samarinda Trinity hrs menahan sakit setiap hari di Guangzhou slama 3 thn lebih tanpa ada perhatian dari pemerintah</t>
  </si>
  <si>
    <t>Dari dulu, ISIS dan banyak ormas radikal sengaja merekrut orang mudah, bahkan anak kecil. Masa yang beribadah benar akan memperlakukan anak? #dampakradikalisme #tolakISIS</t>
  </si>
  <si>
    <t>@KaryaNuryadin8 @alexander_murfi @Temulaw71417452 Benar2 kamu ini goblok,buta sejarah.mau keturunan negara manapun,klo sudah jadi wni,didalam konstitusi mempunyai persamaan hak.otakmu itu sudah kebaca,seandainya keturunan china,agamanya sama dengan mayoritas,pasti lain cerita.keturunan cina,keturunan arab,apa bedanya?</t>
  </si>
  <si>
    <t>Ada Virus Corona di Tabligh Akbar Malaysia, 600-an WNI Hadir</t>
  </si>
  <si>
    <t>@msaid_didu @aniesbaswedan Tolol,Corona sdh masuk dlm katogori musibah dunia/Negara,bukan penyakit lokal,,Negara ada pemerintahnya,ada mentri dan jajaran nya,urus warga DKI aja ga sanggup mau urus seluruh WNI? Pikun lo ya,,dibela boleh aja,tp rakyat ga tolol kaya lo</t>
  </si>
  <si>
    <t>@kumparan Gagal faham....kalau tujuaannya seperti ini doang....tinggal bikin kebijakan tarif sewa untuk acara tertentu...kagak bs faham apa yg berjalan dlm otaknya</t>
  </si>
  <si>
    <t>RT @ggegge9: @anina_faris puak dorang ni kalau kita nak preach, nanti kene label ISIS takpun wahabbi dah nak naik muak dengar, orang nak nasihat je</t>
  </si>
  <si>
    <t>Emang dari Gub,sebelumnya sdh Corona?kenapa ga Gub.anda ga tanggung juga pemulangan wni dari china,rehabilitasinya,juga ABK kapal pesiar,,bela org Bodoh jd ikut Bodoh jga anda,BPJS tidak tanggung tapi Pemerinta yg Biayai lagsung melebihi dari Bpjs,ini kasarnya,,paham drun? RT @TofaTofa_id: UNTUK Pertama Kalinya ada Gubernur DKI Berani Akan Bayar Perawatan PDP Corona Bila Tidak Ditanggung BPJS. Jika ada Gubernur sebelumnya yg selama menjabat pernah berani ngomong persis Anies ini, saya tutup Akun. Silahkan tweet saya ini dicapture.</t>
  </si>
  <si>
    <t>@kholiqdoel25 @ISIS_Balik_NO @musniumar Demi uang dul</t>
  </si>
  <si>
    <t>@TofaTofa_id Bahkan nggak cuma WNI, sampai WNA-pun ditanggung pemerintah. Ini wan Aibon sok-sokan mau bayarin. Kalo uang berlebih balikin duit formula E yang udah dikasih bule edan.</t>
  </si>
  <si>
    <t>@TofaTofa_id Mulai bikin kalimat pembuka....kita tunggu si botak ini nyocot</t>
  </si>
  <si>
    <t>@wisanggeni_084 Demi untuk Makan....rela bersumpah seperti ini...tp saya bgikut deh....semoga doanya diijabah ALLAH</t>
  </si>
  <si>
    <t>RT @amim_devi: Kita bantu aminkn demi bangsa dan negara...</t>
  </si>
  <si>
    <t>@devy215 @kabinawa5 @ISIS_Balik_NO @musniumar @ustadtengkuzul Demi uang dul</t>
  </si>
  <si>
    <t>RT @kompascom: "Sepanjang dia terbukti sebagai korban atau dia adalah saksi untuk suatu tindak pidana, LPSK wajib memberikan perlindungan," ujar Hasto.</t>
  </si>
  <si>
    <t>@Waone781 @ISIS_Balik_NO @TofaTofa_id Dan bukan jg hasil jualan kunci surga</t>
  </si>
  <si>
    <t>RT @Syarman59: Permohonan maaf merupakan pengakuan atas kesalahannya menyebarkan hoaks corona yang tidak dapat menghentikan proses penyidikan perkara pidana ybs. @BareskrimPolri #TangkapMusniUmar #TangkapFahiraIdris</t>
  </si>
  <si>
    <t>@ustadtengkuzull @kabinawa5 @ISIS_Balik_NO @musniumar Cm org munafik yg memuji dirinya sendiri baik @ustadtengkuzul,kalau kata org Batak,ini sy terjemahkan langsung ya, Puji Tuhan Haleluya,puji diri kehancuran....</t>
  </si>
  <si>
    <t>Halo pak @jokowi sebagai WNI yang tinggal di luar Indonesia, di sini ada kebijakan info transparan warga positif korona terakhir kali di luar dan bercengkrama dengan publik, menaiki transportasi dan tempat lainnya. Kemenkes sini akan memberitahu agar kita menghindari tempat tsb. RT @KawalCOVID19: Selamat pagi, pak @jokowi , @KemenkesRI - mohon perhatikan suara rakyat. Kami butuh aksi nyata sekarang, gandeng swasta, gandeng organisasi2 sipil, gandeng semua untuk bersama2 #LawanCorona permudah izin tes, lakukan contact tracing, transparansi info. Now.</t>
  </si>
  <si>
    <t>"Sepanjang dia terbukti sebagai korban atau dia adalah saksi untuk suatu tindak pidana, LPSK wajib memberikan perlindungan," ujar Hasto.</t>
  </si>
  <si>
    <t>@ayah_9Garislucu @TheArieAir Ada nih Yah, lagi gegayaan..padahal cuma diem di pinggiran pos satpam, nunggu hujan reda RT @Restichayah: Off</t>
  </si>
  <si>
    <t>[IMBAUAN] Repost @riyadh_kbri Yth. Bapak Ibu WNI di Arab Saudi, Terlampir disampaikan Himbauan KBRI Riyadh terkait perkembangan virus corona di Arab Saudi dan dampaknya terhadap kegiatan WNI di Arab Saudi. Mohon…</t>
  </si>
  <si>
    <t>@ISIS_Balik_NO @BudiatnoGomarus @eko_kuntadhi Tenang nanti Jakarta beresin...cebong nyanyi aja udah...tuh dah mulai ujan</t>
  </si>
  <si>
    <t>Semoga kita gak impor lg 😓 Virus Corona Menyebar saat Tabligh Akbar Malaysia, 600 WNI Ikut Hadir</t>
  </si>
  <si>
    <t>@gerinisk @AkuImuts @niakaniapurnama @CNNIndonesia Fitnah, didzolimi.halal haram...kafir aseng ahok......muter2 mulu disana dari jaman sapi mulai beranak pinak di NKRI</t>
  </si>
  <si>
    <t>@ISIS_Balik_NO @TofaTofa_id Jd gak tutup akun??</t>
  </si>
  <si>
    <t>@AlissaWahid Presiden Dan kabinet RI kapan di tes? Better yet, kapan semua WNI di tes?</t>
  </si>
  <si>
    <t>@RiyadiAtmodjo @ISIS_Balik_NO @Waone781 @TofaTofa_id Mending pake ayat,,,daripada ngorbanin saudara sebangsa..</t>
  </si>
  <si>
    <t>RT @penerbitimania: [Segera Terbit] #JenderalQasemSoleimani Sang Penumpas ISIS | Penulis: @Kazhim @irmanabd &amp; Alfian Hamzah | Harga: Rp70 ribu</t>
  </si>
  <si>
    <t>Nasib 600 WNI Ikut Tabligh Akbar Dihadiri Orang Malaysia Positif Corona  #DariSuara</t>
  </si>
  <si>
    <t>@gerinisk @AkuImuts @niakaniapurnama @CNNIndonesia Emang turis punak dari mana drun ? Daripada mimpi tamasya ke Bali yg halalnya kagak jelas....mending jalan2 ke Puncak, biar ente faham siapa yg di sono Ato mo skalia mo nyoba slank syari....😂😂😂😂</t>
  </si>
  <si>
    <t>@Zulhaqie1 @wisanggeni_084 @FerdinandHaean2 Ajaran ISIS...paham</t>
  </si>
  <si>
    <t>Indonesia Keluhkan Singapura Tak Buka Identitas WNI Pasien Corona</t>
  </si>
  <si>
    <t>@AkuImuts @ISIS_Balik_NO @niakaniapurnama @CNNIndonesia fitnah lu tidak lebih dari binatang kambing</t>
  </si>
  <si>
    <t>@VICE_ID Warga sipil asing yang bertarung melawan isis</t>
  </si>
  <si>
    <t>@AkuImuts @ISIS_Balik_NO @niakaniapurnama @CNNIndonesia Islam itu BUKAN arab..!! mau tahu yg kawin kontrak dari negara mana..?? IRAN - SYIAH..yg disebut Mut'ah..mayoratas kita SUNI..tidak mengenal Mut'ah</t>
  </si>
  <si>
    <t>@PurbaSinarta @ISIS_Balik_NO @TofaTofa_id Cebong ga jauh dari panutannya si mulut jamban. Fakta dibalas makian. Trus ngaku pancasilais.</t>
  </si>
  <si>
    <t>@inesrinda @ISIS_Balik_NO @TofaTofa_id Jgnkan korona, pengangguran aja mau digaji kok. Digaji pake nganu..</t>
  </si>
  <si>
    <t>@WangiApel Itu buat wni yg waras, sayangnya sejak negeri atas langit ikutan main wni jd byk yg gak waras.</t>
  </si>
  <si>
    <t>@ence18 Orang kaya gini yang pantas di kasih hilangkan dari bumi NKRI karnah pentikan diri sendiri suku sendiri ga meratakan kasih sayangnya kepada warga wni seindonesia kamu tahu di mana petugas aparat jaga wilaya nkri meraputih berarti itu masih indonesia jadi jaga omongan mu</t>
  </si>
  <si>
    <t>@WagimanDeep__ @hendrarprihadi Mention Pak Walikota Semarang @hendrapriadi Pembangunan Gereja di kota yg bpk Pimpin di setop.. ini NKRI Milik semua WNI.dan Umat berAgama.jgn diem yaa Pak</t>
  </si>
  <si>
    <t>620 WNI yg mengikuti tabligh Akbar di Malaysia, mestinya setelah pulang nanti wajib dikarantina neh(sekrining antisipasi penyebaran Virus Corona)...awas jan percaya penyebaran Krn makan Babi😩 Corona Nyebar di Tabligh Akbar, Ratusan Peserta RI Ikut Hadir</t>
  </si>
  <si>
    <t>@ISIS_Balik_NO @TofaTofa_id Ditanggung negara pake BPJS ?? Taulah pelayanan BPJS itu kyk mana ? Makanya Gubernur DKI ga berharap banyak dari APBN utk korona ini.</t>
  </si>
  <si>
    <t>@mas__piyuuu @aniesbaswedan @DKIJakarta Level presiden Negara apa? Ini Negara Pancasila dan pasal 6 UUD 1945 telah menyediakan podium bagi siapa yg harus jadi Presiden dan siapa yg harus jadi wakil Presdien. Indonesia sbg satu negara bangsa di dunia yg menyediakan karpet merah bagi WNI keturunan utk menjadi Wapres RI</t>
  </si>
  <si>
    <t>@ISIS_Balik_NO @TofaTofa_id Nunggu @TofaTofa_id bikin sanggahan ah, mau hoax apalagi ya</t>
  </si>
  <si>
    <t>@ISIS_Balik_NO @TofaTofa_id Yang ditanyakan ada tidak gubernur sebelumnya yg berani menanggung biaya kesehatan warganya yg terkena virus Corona???? Pasti nggak ada!!!</t>
  </si>
  <si>
    <t>RT @AnakLolina: Kurangi jalan di tempat yang ramai agar terhindar dari penyebaran Covid-19, ini memang sangat mengkhawatirkan tp jangan takut, tetap jaga kebersihan &amp; ikuti petunjuk kesehatan yg benar.</t>
  </si>
  <si>
    <t>RT @P3nj3l4j4h_id: *koreksi 696 wni Maaf salah tulis</t>
  </si>
  <si>
    <t>Virus Corona Menyebar saat Tabligh Akbar Malaysia, 600 WNI Ikut Hadir</t>
  </si>
  <si>
    <t>@HerphsertMJ @Zbabankumbo @ShehuSani Eyye lallae ma kince wni abu dama ance Dan Adam butulu bari gobe ki dawo ki tmbyn y ake retweeting sae na man mareki wollah🤨</t>
  </si>
  <si>
    <t>RT @rafifa_kayla: @yanahilman2 @UlfaAmara @URastajani @cuncunajaxezar @diannovie03 @LenjelMelah @cxolls_aljawi @napsiati @ShantiSetiawati @SunAntoni1 @nay_sme @KimmiH_1802 @ISIS_Balik_NO @Widya27213661 Makasih tante da di promosikan 😍👍👍 salam penuh cinta</t>
  </si>
  <si>
    <t>@yunartowijaya @aniesbaswedan soal peran pusat &amp; daerah khan sudah ada protokol &amp;amp; porsinya masing2, seperti evakuasi WNI dari Wuhan &amp;amp; Diamond Princess dilakukan oleh Pusat bukan Pemprov.</t>
  </si>
  <si>
    <t>Ahoak WNI Naturalisasi. Mau percaya sama 🇨🇳cina? Lihat cina sekarang, Gimana kondisi mrk now? Uyghur? Wuhan dengan virus Corona? RT @urmila_011: Kelompok 212 Sibuk Demo di Mana-mana, tapi Sinar Ahok Tak Pernah Mati Media kok memihak,,, Ketawain ahhh😂😂</t>
  </si>
  <si>
    <t>RT @khairul_hafidz: Cara memakai hand sanitizer. Boleh ikuti cara seperti di dalam video ini. #COVID19</t>
  </si>
  <si>
    <t>RT @wandazrin: Cintailah dia dari kejauhan agar terjaga kehormatan. Cintailah dia dgn kesederhanaan agar terjaga keikhlasan. Akan tetapi, jika tahu belum mampu memegang tanggung jawab cinta lg. Maka cintailah dia dalam diam shj, biar cukup Allah shj yang tahu, &amp; aturkan utk kamu &amp;amp; dia.</t>
  </si>
  <si>
    <t>Beda banget sama asia, kita ga cuma disuruh cuci tangan tapi kek disemprot disinfectant dimana mana. Pernah liat video wni yg dibawa pulang dr china, turun dari pesawat langsung disemprot, sebenernya ini ide yg bagus cuma caranya ajah kali ya?🤔</t>
  </si>
  <si>
    <t>RT @tempodotco: Indonesia Keluhkan Singapura Tak Buka Identitas WNI Pasien Corona</t>
  </si>
  <si>
    <t>@corso_isis bah tlk e n esquece essa mina do mc MSKDMSODMAOSMKSDKKS</t>
  </si>
  <si>
    <t>@ISIS_Balik_NO @TofaTofa_id Corona mah kecil..noh ada mantan gubernur yang mau nyulap jakarta enggak ada banjir kalo doi jadi presiden..cuma ngibul doang</t>
  </si>
  <si>
    <t>@potretlawas Saya pernah membaca tentang Praha, mahasiswa Indonesia yg tak bisa pulang ke negerinya dan dicabut ke WNI nya, mreka bukan tapol, kenapa tak bisa pulang ?</t>
  </si>
  <si>
    <t>semua sosial media trending mengenai corona virus. Oke. 1 hal yang paling inti yang ingin gw sampaikan adalah mengenai bagaimana pandangan org org turki terhadap gw, kita, kami sebagai wni.</t>
  </si>
  <si>
    <t>Trump mengatakan bahwa Taliban sekarang akan memerangi 'ISIS' dengan bantuan negara-negara disekitarnya!</t>
  </si>
  <si>
    <t>@ISIS_Balik_NO @musniumar Pengikut Baru Penghuni Neraka..</t>
  </si>
  <si>
    <t>@geloraco Mantap. Krn hutang bahkan keselamatan wni tidakada harganya. Terimakasih rezim kolam</t>
  </si>
  <si>
    <t>#Egypt- #ISIS Wilayat #Sinai eulogy for Faris al-Ansari</t>
  </si>
  <si>
    <t>Jumanji RT @MailOnline: Hundreds of hungry monkeys swarm across Thai street as 'rival gangs' fight over food after tourists who normally feed them stay away because of coronavirus</t>
  </si>
  <si>
    <t>@theestallion $Isisyum</t>
  </si>
  <si>
    <t>@archnameena12 @AnsariK786 India ki ISIS yaani RSS Tadipaar ki bandook khaali ho chuki h ab 🤣</t>
  </si>
  <si>
    <t>Seketika mantan simpatisan isis jadi minder minta balikan. RT @nuicemedia: 696 Indonesians had reportedly participated in Jhor Qudamak Malaysia 2020 held at Seri Petaling Mosque in Selangor between 27 Feb and 1 Mar in which 1 Bruneian, 2 Singaporeans, and 12 Malaysians were infected with COVID-19. The event attracted 10,000 attendees.</t>
  </si>
  <si>
    <t>RT @rafifa_kayla: Luar biasa gagasan #programfolback ini tuk menyatukan akun2 yg pro NKRI yg menolak Terjadi nya Intoler,khilafah,isis.Yang mendukung program ini jgn baperan yg belum di folback jgn sungkan DM mnta folback @TheArieAir @NotesofMila @wiwikherma @Araaara_ra n promotor lainnya</t>
  </si>
  <si>
    <t>@ISIS_Balik_NO @DaengKayo89 @yusuf_dumdum Kalo banyak BLBI jadinya 😂</t>
  </si>
  <si>
    <t>5 WNI positif COVID-19 di Singapura</t>
  </si>
  <si>
    <t>@Dennysiregar7 @Bentalakelam Hrsnya liat Singapura...ada 3 WNI yg nyumbang u teroris skr ditahan eh kok disini malah bebas berceramah.</t>
  </si>
  <si>
    <t>RT @nisatyas: Mau berbagi sedikit cerita. Kemarin, saya dan rekan sekantor naik taksi. Dalam perjalanan kami membahas evaluasi prosedur evakuasi mahasiswa dari Wuhan, dan rencana evakuasi WNI di Diamond Princess. Tiba2 supir taksi menyela, dgn suara sedikit panik,"Maaf Bu, Ibu dari Wuhan?" 1/</t>
  </si>
  <si>
    <t>Kogasgabpad: Kondisi 68 WNI Eks ABK Diamond Princess dalam Keadaan Baik The p</t>
  </si>
  <si>
    <t>tb tb kaki isis, paling angin dr pintu... pintunya udh w kunci rapet bersama jendela. jd dr mana angin berhembus</t>
  </si>
  <si>
    <t>*koreksi 696 wni Maaf salah tulis</t>
  </si>
  <si>
    <t>Kasus Virus Corona di Tabligh Akbar Malaysia, 700 WNI Jadi Peserta  lewat @idntimes</t>
  </si>
  <si>
    <t>@narkosun Wah..., Kabar buruk buat para Bani KADRUN. Tentara Allah berhasil dikalahkan pemerintah China. Gimana nih, kayak ISIS donk...!? TRAKTIR...!!!</t>
  </si>
  <si>
    <t>@icaetea WKWKW BUKAN. isis = adem😔👌</t>
  </si>
  <si>
    <t>RT @karan58818199: @KapilMishra_IND Arrests made in #AntiHinduRiots so far 1. Shahrukh 2. Tahir Hussain(AAP) 3. Shahnawaz 4. Jahanjeb Sami(ISIS) 5. Hina Bashir(ISIS) 6. Danish Ali(PFI) 7. Shah Alam 8. Salim Malik 9. Mohd Jalaluddin 10. Mohd Ayub 11. Mohd Yunus 12. Mohd Mushtaq 13. Md Danish 14. Md Salim</t>
  </si>
  <si>
    <t>@icaetea Kwhdkwlwow ngakak apaitu fak...... isis bahsa jwa tauk</t>
  </si>
  <si>
    <t>@ziafirdina BREAKING NEWS: Dua WNI di Faroe Island berinisial RS dan CZF dinyatakan positif coronavirus Namun keduanya tidak berobat, namun hanya mengandalkan tolak angin</t>
  </si>
  <si>
    <t>RT @pdip_sa: Yth. Bapak Ibu WNI di Arab Saudi, Terlampir disampaikan Himbauan KBRI Riyadh terkait perkembangan virus corona di Arab Saudi dan dampaknya terhadap kegiatan WNI di Arab Saudi. Mohon Himbauan ini dapat dipatuhi dan…</t>
  </si>
  <si>
    <t>@jejeluvsbubu bedo cik, isis spt ada maknany sendir. smilir2 angin berhembus isis</t>
  </si>
  <si>
    <t>@jejeluvsbubu bahasa indone isis opo guys</t>
  </si>
  <si>
    <t>@icaetea anjir pendek bet?????? enak tp isis.. ap si bhs indonya isis ak bingunf</t>
  </si>
  <si>
    <t>RT @Sigromilir01: @AnakKolong___ Ilmuwan qoldrun khilaf? Berulang x minta maaf? . KBRI di Riyadh, peringatkan WNI agar TDK sembarangan buat hoax, sebarkan hoax virus Corona di Arab Saudi. Krn konsekwensi yg sangat berat. . Mau latah sembrono soal covid-19? Berdampak internasional.</t>
  </si>
  <si>
    <t>@AnakKolong___ Ilmuwan qoldrun khilaf? Berulang x minta maaf? . KBRI di Riyadh, peringatkan WNI agar TDK sembarangan buat hoax, sebarkan hoax virus Corona di Arab Saudi. Krn konsekwensi yg sangat berat. . Mau latah sembrono soal covid-19? Berdampak internasional.</t>
  </si>
  <si>
    <t>6. Indonesia: Jubir Pemerintah RI untuk Covid-19 Achmad Yurianto menjelaskan sampai saat ini belum ada kabar terkait keikutan ratusan WNI tersebut di mesjid Malaysia, dan menunggu laporan dari Kedutaan Besar Republik Indonesia (KBRI) Malaysia.</t>
  </si>
  <si>
    <t>Yth. Bapak Ibu WNI di Arab Saudi, Terlampir disampaikan Himbauan KBRI Riyadh terkait perkembangan virus corona di Arab Saudi dan dampaknya terhadap kegiatan WNI di Arab Saudi. Mohon Himbauan ini dapat dipatuhi dan…</t>
  </si>
  <si>
    <t>RT @geloraco: 1 WNI Pasien Isolasi di RSPI Sulianti Saroso Meninggal Dunia</t>
  </si>
  <si>
    <t>RT @karan58818199: @SanjayAzadSln @AmitShah Arrests made in #AntiHinduRiots so far 1. Shahrukh 2. Tahir Hussain(AAP) 3. Shahnawaz 4. Jahanjeb Sami(ISIS) 5. Hina Bashir(ISIS) 6. Danish Ali(PFI) 7. Shah Alam 8. Salim Malik 9. Mohd Jalaluddin 10. Mohd Ayub 11. Mohd Yunus 12. Mohd Mushtaq 13. Md Danish 14. Md Salim</t>
  </si>
  <si>
    <t>RT @Aryprasetyo85: Kisah Febri Melarikan Diri dari ISIS Senin (9/3), Gub. @ganjarpranowo kedatangan tamu istimewa. Febri Ramdani,seorang pemuda asal Depok,yg prnh merasakan tinggal di Suriah dan terjebak dalam lingkaran ISIS Berikut ini kisah nya @podjiutami @cintada17 @Je_Ly @SatyaJogja_ @Kesit_</t>
  </si>
  <si>
    <t>Halo menurut keterangan malam ini, Czech akan close borders untuk 15 negara, pertanyaan saya kalo saya WNI tp habis berkunjung ke Belanda dan Belgium, apakah masih bisa? Atau ini hanya berlaku kepafa citizen 15 negara tersebut saja? @KBRIPraha trims</t>
  </si>
  <si>
    <t>@JagratiGupta3 Sharamnak ISIS taliban model follow karte india ke mulle</t>
  </si>
  <si>
    <t>@swetamishraa @RmSalih Why spare Pakistan, Turkey, Malayasia, Indonesia, ISIS occupied Afganisthan....</t>
  </si>
  <si>
    <t>Yth. Bapak Ibu WNI di Arab Saudi, Terlampir disampaikan Himbauan KBRI Riyadh terkait perkembangan virus corona di Arab Saudi dan dampaknya terhadap kegiatan WNI di Arab Saudi. Mohon Himbauan ini dapat dipatuhi dan dijadikan pedoman @Kemlu_RI @safetravelkemlu #NegaraMelindungi</t>
  </si>
  <si>
    <t>Kondisi 68 WNI Eks ABK Diamond Princess dalam Keadaan Baik</t>
  </si>
  <si>
    <t>@Natalieanggi112 @ISIS_Balik_NO @jumianto_RK @TofaTofa_id Bibi lung kalah cantik ... lihat donk bibirnya menor</t>
  </si>
  <si>
    <t>RT @AnakKolong___: UNTUNG GOBLOK...!! . . . Padahal Pangkostrad posisi yang strategis.... koq waktu itu nggak jadi target penculikan ya ?? . . Ah dasar !! Letkol Untung goblok...!! . . .</t>
  </si>
  <si>
    <t>Updated: Arrests made in #AntiHinduRiots so far- 1. Shahrukh 2. Tahir Hussain(AAP) 3. Shahnawaz 4. Jahanjeb Sami(ISIS) 5. Hina Bashir(ISIS) 6. Danish Ali(PFI) 7. Shah Alam 8. Salim Malik 9. Mohd Jalaluddin 10. Mohd Ayub 11. Mohd Yunus 12. Mohd Mushtaq 13. Md Danish 14. Md Salim</t>
  </si>
  <si>
    <t>@DKIJakarta Yg nge hack WNI, ingin menjajah negaranya sendiri. Dia hanya seorang pecundang dan pengkhiat sejati.</t>
  </si>
  <si>
    <t>KBRI Abu Dhabi mulai Rabu (11/3/2020) telah melakukan pemeriksaan suhu tubuh setiap pengunjung yang datang ke KBRI. “Keselamatan dan kenyamanan WNI dan WNA yang berada di lingkungan kantor KBRI merupakan prioritas utama,” jelas Pelaksana Fungsi Konsuler 1 KBRI Darusman Afrikoko.</t>
  </si>
  <si>
    <t>@habibi_KNG @detikcom WNI kan gratis juga. Gak pernah baca brita nih.</t>
  </si>
  <si>
    <t>@_wni_ Pergi paris sekarang nanti dpt package penyakit i is takut</t>
  </si>
  <si>
    <t>RT @JKDaulay: ralat ? koreksi ? pembetulan ? makanya Pak Rektor, kalo online itu otaknya ikut online juga... jangan offline ! 😂 #LawanHoax #StopHoax #TurnBackHoax</t>
  </si>
  <si>
    <t>RT @muchlis_ar: Pasien kasus 25 meninggal d Bali. Rektor yg ngaku sosiolog ini ngetwit begini: sudah 25 pasien di Bali meninggal. Kok ada rektor kek gini sih..</t>
  </si>
  <si>
    <t>@detikcom klp wni gimna? hmmmm ada bpjs katanya. klo seperti itu anda harus pukul rata wna juga harus pake bpjs,</t>
  </si>
  <si>
    <t>@detikcom WNI lah, menjadi no 2 di negeri sendiri</t>
  </si>
  <si>
    <t>RT @unilubis: Kasus Virus Corona di Tabligh Akbar Malaysia, 700 WNI Jadi Peserta Kalau di negeri jiran, yang 700 ini ditelusuri. Diawasi #VirusCorona  lewat @idntimes</t>
  </si>
  <si>
    <t>RT @AP_Airports: #SahabatAP1, sejak teridentifikasinya 2 WNI yang tertular Virus Korona pada Senin 2 Maret lalu, Angkasa Pura Airports melakukan peningkatan pengawasan dan upaya pencegahan penyebaran Virus Korona seperti yang ada di gambar mulai Selasa 3 Maret di 15 bandara kelolaannya.</t>
  </si>
  <si>
    <t>@AhlulQohwah @budimandjatmiko @SlametMuslim @Hanifah933 @noeruzzaman Yg ini atau bukan ?</t>
  </si>
  <si>
    <t>@ISIS_Balik_NO @mistercebong @FerdinandHaean2 @ustadtengkuzul @DivHumas_Polri @jokowi Bahwa...?</t>
  </si>
  <si>
    <t>RT @BaskoroKata: Waspada… ISIS sudah lebarkan jaringannya untuk hancurkan India. #TolakISIS no more #Warzone  @jangkarlaut54 @SMBS_rio @shiaLebaou @DenmasBedj0 @RizalValen76 @Mujirahadi2</t>
  </si>
  <si>
    <t>RT @DTanjung15: Polisi jangan Tebang Pilih... Tangkap si Fahira Idris penyebar Hoax Corona. Jangan giliran Rakyat kecil langsung di Tangkap dan di penjara.. Giliran anggota DPD RI polisi ngga berani Tangkap..!!!</t>
  </si>
  <si>
    <t>@DaengKayo89 @mistercebong @FerdinandHaean2 @ustadtengkuzul @DivHumas_Polri @jokowi Sori....saya kagak ladeni lagi akun receh radikal</t>
  </si>
  <si>
    <t>Saya sebagai WNI sangat terbantu dengan adanya #BPJSKesehatan disaat Saya sakit. Semoga saja kedepannya #BPJSKesehatan dapat memberikan pelayanan untuk masyarakat yang lebih baik lagi. #TerimakasihBPJS #BPJSMelayani</t>
  </si>
  <si>
    <t>@DaengKayo89 @mistercebong @FerdinandHaean2 @ustadtengkuzul @DivHumas_Polri @jokowi Gitu doang ? Pereksa tuh Toa....buatan Cina 😂😂😂😂</t>
  </si>
  <si>
    <t>@ISIS_Balik_NO @mistercebong @FerdinandHaean2 @ustadtengkuzul @DivHumas_Polri @jokowi Selanjutnya?</t>
  </si>
  <si>
    <t>@kustarar gak punya ktp, kan bukan wni</t>
  </si>
  <si>
    <t>@DaengKayo89 @mistercebong @FerdinandHaean2 @ustadtengkuzul @DivHumas_Polri @jokowi Pake TOA.....SERASA PALING IYES.....😂😂😂😂😂 Pake aksesoris apapun.......kagak ada keren2mya.... Otak kotor pulak</t>
  </si>
  <si>
    <t>@muannas_alaidid KBRI di Riyadh peringatkan bg WNI untuk TDK sembarangan bikin hoax menyebar hoax virus Corona di Arab Saudi,.. &gt;bisa repot jika calon jamaah haji RI 'ditunda'. Jangan mentang2 angg. senator, rektor...☹️</t>
  </si>
  <si>
    <t>@DaengKayo89 @mistercebong @FerdinandHaean2 @ustadtengkuzul @DivHumas_Polri @jokowi Pegang TOA PULAK.....banjir ?😂😂😂😂😂</t>
  </si>
  <si>
    <t>@ISIS_Balik_NO @mistercebong @FerdinandHaean2 @ustadtengkuzul @DivHumas_Polri @jokowi Kemudian..?</t>
  </si>
  <si>
    <t>@DaengKayo89 @mistercebong @FerdinandHaean2 @ustadtengkuzul @DivHumas_Polri @jokowi Lo pikir KEREN ?😂</t>
  </si>
  <si>
    <t>@djo_1983 @hendrickliem @TofaTofa_id Sepinter Ngelea dari KeBEJATAN nya Masuk latagori iblis yg begini mah</t>
  </si>
  <si>
    <t>@WidAdji @TofaTofa_id Kagak bisa jalan....turun dari tempat tidur kagak bisa....tapi MULUT MASIH BAU TAI berpura pura sakit hanya karena takut dalam penjara.....MALU SAMA KAFIR NYET !</t>
  </si>
  <si>
    <t>@WidAdji @TofaTofa_id Aduh....jangan di upload dong.....bisa minta cere tuh bininya</t>
  </si>
  <si>
    <t>@YogaKrisnanda2 @mbahCokro77 @Celvin02160099 @wijaya_48 Mau khilafah model ISIS, Al Qaeda, Boko Haram atau yg lain? , sesama pengasong khilafah semuanya pada saling bermusuhan Khilafah ideologi rongsok, yg terbukti ditolak oleh semua negara di belahan dunia, kecuali ente mau bikin khilafah di dunia bawah laut</t>
  </si>
  <si>
    <t>RT @ikmanelbix: Yth @jokowi Yth @CCICPolri Yth @mohmahfudmd Yth @DivHumas_Polri Mohon dengar seruan kami. Kami harap semua sama kedudukan dihadapan hukum. @RAISYAELBIX1 @anggitadhr @Natalieanggi112 @WantyMaria @ssssintiaaaa94 @Airin_NZ @AtikaFaya @AnyarPamer @Namaku_Mei @bungahalomoan1</t>
  </si>
  <si>
    <t>@HacktivisMca @QBo03 @ku_paku @FerdinandHaean2 @DivHumas_Polri @CCICPolri @fahiraidris @musniumar Baru 1 AHOK.....7 juta kampret kelojotan....😂😂😂 Ternyata Ahok lebih dotakutkan drpd Tuhannya Luar biasa</t>
  </si>
  <si>
    <t>@HacktivisMca @ku_paku @QBo03 @FerdinandHaean2 @DivHumas_Polri @CCICPolri @fahiraidris @musniumar Pinter.....sudah ambil sertifikat surganya dari Neno warisman ?</t>
  </si>
  <si>
    <t>@ku_paku @QBo03 @HacktivisMca @FerdinandHaean2 @DivHumas_Polri @CCICPolri @fahiraidris @musniumar Hai kutil onta ! Apa kabar ?</t>
  </si>
  <si>
    <t>@ku_paku Adaab seorang yg mengaku Islam ?</t>
  </si>
  <si>
    <t>RT @benzgabriel: @OShidiq @ISIS_Balik_NO Klo kata sunda bogor mah "naon ceuk bool sia" wkwkwk</t>
  </si>
  <si>
    <t>@ku_paku @eko_kuntadhi @fadhlierlanda Adeuh ug pake aipon....kagak nyadar kalo ente lagi bikin cina Kaya raya ? Waktunya ente buat pake biji korma buat ngisi perut</t>
  </si>
  <si>
    <t>@OShidiq @ISIS_Balik_NO Klo kata sunda bogor mah "naon ceuk bool sia" wkwkwk</t>
  </si>
  <si>
    <t>@m4s4g03s @mirazh_me @eko_kuntadhi @fadhlierlanda Ente apaan atuh.....dikasih banjir....berkah....dikasih sampah alhamdulillah...dikasih patung senggama....ente coli di bunderan HI ?</t>
  </si>
  <si>
    <t>RT @eko_kuntadhi: Orang ini keterlaluan. Menyebarkan informasi yang menimbulkan ketakutan publik. Apa dia gak tahu dampak isunya jauh lebih bahaya dari virus itu sendiri. Ayolah. Krisis diambang pintu. Gak usah nyari panggung ssendiri. Dengan informasi yyg gak perlu.</t>
  </si>
  <si>
    <t>@TofaTofa_id Semua tahu kalau semua biaya ditanggung pemerintah RI, lihat wni dari Wuhan, dari 2 kapal pesiar srmua diurus pusat, Gabener dan sitofa pura2 bodoh pdhal memang bodoh.</t>
  </si>
  <si>
    <t>RT @TitoJalu: Duh 😭 cc @KemenkesRI Kasus Virus Corona di Tabligh Akbar Malaysia, 700 WNI Jadi Peserta</t>
  </si>
  <si>
    <t>Kahin RSS Ka Naam To Badl Kar ISIS Rakh Nhi Diya??? #AmitShah #Delhigenocide RT @AmitShah: ISIS से संबंधित दो लोगों को हमने पकड़ा। ये लोग ISIS से आने वाली सामग्री का भारतीय भाषा में अनुवाद कर नफरत फ़ैलाने का काम करते थे। साथ ही मैं बताना चाहता हूँ कि हमारे दोनों जाँबाज अफसर अंकित शर्मा और रतन लाल जी की हत्या करने वाले लोगों को भी हमने गिरफ्तार कर लिया है।</t>
  </si>
  <si>
    <t>@ISIS_Balik_NO @TofaTofa_id Percuma om kan monyet gk bisa baca, bisanya cuma makan tidur aja Liat aja badan smpek kyak ikan buntal gtu</t>
  </si>
  <si>
    <t>@BudiatnoGomarus @eko_kuntadhi Kadrun mana mau lewatin kebijakan pemerintah....ngotot iya</t>
  </si>
  <si>
    <t>@dsdad14 @SexCounseling @realDonaldTrump Pervert.</t>
  </si>
  <si>
    <t>@eko_kuntadhi @AnakLolina Ah.....masa sih....kok bisa tentara aloh menyerang seiman 😂</t>
  </si>
  <si>
    <t>Duterte baru aja umumin Manila lock down. Malaysia sebut ada 600an WNI yg ikut tabligh akbar di KL (belasan org dinyatakan positif covid19). Indonesia akan menyusul lock down? Jakarta atau Bali?</t>
  </si>
  <si>
    <t>@ekosaktia @eko_kuntadhi Fekaes dong kalo dikita</t>
  </si>
  <si>
    <t>WNI yang hadir di majelis tabligh ini nyaris 700 orang 😭 RT @mkhairulazri: Breaking news.. Brunei kini ada 11 kes positif Covid19. Semua link kpd majlis tabligh di KL 28 Feb- 2 mac. Dilaporkan 5,000 rakyat Malaysia menyertai majlis berkenaan, setakat ini 1 lelaki berusia 60 tahun telah dikenalpasti positif COVID19 selepas pulang dari majlis berkenaan.</t>
  </si>
  <si>
    <t>RT @BdyNusantara: Mantan Ketua FPI Terciduk Hamili Siswi SMA Murid Ngajinya  Oalah pekok... Otak selangkangan... 😂</t>
  </si>
  <si>
    <t>@AkuImuts @gerinisk @niakaniapurnama @CNNIndonesia Halal dong.....dr mulai pembeli sampe yg jualan banyak Arabnya kok....mo kagak halal darimana buat kaum abu lahab</t>
  </si>
  <si>
    <t>@WR_4AG226 @ISIS_Balik_NO Amien sdh menemukan(kembali) keahliannya yg selama ini hilang, main suling😊drpada nganggur stlh dikick dr partai ada baiknya dia melamar ke soneta group, mana tahu diterima jd pemain suling cadangan😄</t>
  </si>
  <si>
    <t>RT @AkuImuts: @ISIS_Balik_NO @gerinisk @niakaniapurnama @CNNIndonesia Wisata halal? Coba lihat Puncak, yg dekat dgn kandang kambingnya imam besar pelarian, yg bupatinya teriak2 Valentine bukan budaya Indonesia, dan warung makan hrs tutup di bln puasa. Di puncak orang Arab bebas kawin kontrak nggak ada yg bilang hrs berubah jadi wisata halal.</t>
  </si>
  <si>
    <t>@ISIS_Balik_NO @TofaTofa_id Virus kadrun lebih berbahaya dari korona. Yg Sekelas rektor aja mendadak dongo demi bela anis</t>
  </si>
  <si>
    <t>@DaengKayo89 @mistercebong @FerdinandHaean2 @ustadtengkuzul @DivHumas_Polri @jokowi Anda kurang berlunjung ke RM Padang.....ada otak disana....beli kek skali2....perut jangan cuma diisi daon ubi.....bodoh begini jadinya</t>
  </si>
  <si>
    <t>@DaengKayo89 @hendrickliem @TofaTofa_id Pembantu yg mewek ? Bini dia.....</t>
  </si>
  <si>
    <t>@koodetail q foi isis ckshsnbsm</t>
  </si>
  <si>
    <t>RT @farrhanaaa: tapi kalau plan study last minute tak jadi pula 😔🤚</t>
  </si>
  <si>
    <t>RT @ImanAbdulRahim: Kalau tak sayang, jangan bagi peluang.</t>
  </si>
  <si>
    <t>@DaengKayo89 @yusuf_dumdum Eh ....ada kadrun nyelip 😂😂😂😂</t>
  </si>
  <si>
    <t>Pihak Kementerian Kesehatan Malaysia kembali melaporkan 12 kasus baru yang terkait dengan sebuah tabligh akbar yang berlangsung di Masjid Petaling, Malaysia. #KAMUHARUSTAU</t>
  </si>
  <si>
    <t>RT @ustadtengkuzull: @ISIS_Balik_NO @musniumar Saya sisi baik dia sisi buruk dul</t>
  </si>
  <si>
    <t>RT @estananto: lah ada 600 WNI yang ikut Tabligh tersebut! Bagaimana trackingnya? Apa panitia punya nama dan alamatnya? No paspornya? Apa semua sudah kembali ke Tanah Air?</t>
  </si>
  <si>
    <t>@Budi_Lapar @MarikaRahman_ @PartaiSocmed Tergantung mas, wna apa wni? Kalo wni bisa dipastikan negatif.</t>
  </si>
  <si>
    <t>@Pun_Starr Arrests made in #AntiHinduRiots so far- 1. Shahrukh 2. Tahir Hussain(AAP) 3. Shahnawaz 4. Jahanjeb Sami(ISIS) 5. Hina Bashir(ISIS) 6. Danish Ali(PFI) 7. Shah Alam 8. Salim Malik 9. Mohd Jalaluddin 10. Mohd Ayub 11. Mohd Yunus 12. Mohd Mushtaq 13. Md Danish 14. Md Salim</t>
  </si>
  <si>
    <t>@ISIS_Balik_NO @ustadtengkuzull @musniumar mkny jgn ngegas dulu🤣,sm orang tua bentak2 !! →minta maaf dulu!!😂</t>
  </si>
  <si>
    <t>@nguiklover @archabandung @onsrgst @filosofiksi @AjiDeddy @AremaNita__ @BdyNusantara @_nice69_ @agama_nusantara @daunsirih5 @Jelantik5 @rullyjoo27 @SeruniPuspaAlam @Tikayulie @su7loo Ya gak soal. Cuma agak aneh memang. Anehnya dlm kekontradiktifan beda pendapat dokrin/ajaran saksi yehuwa &gt;&lt; nasrani. Ada kesamaan identitas. It's ok Bkn hak sy melarang. Itu hak ybs sbagai wni👉 bebas menentukan yg ia tulis di kolom ktp.☺</t>
  </si>
  <si>
    <t>Apakah WNA China Lebih Berharga Di Bandingkan WNI ??? RT @geloraco: Hanya WNA China yang Diberi Izin Tinggal Darurat di Indonesia karena Virus Corona</t>
  </si>
  <si>
    <t>RT @kompascom: Total 7 Warga Negara Indonesia (WNI) di Singapura positif corona. 5 dari mereka adalah kasus impor.</t>
  </si>
  <si>
    <t>RT @putrima_intan: Pemerintah Perlu Seleksi Ketat Bocah Eks ISIS  via @beritasatu #KemensosHadir #KemensosAdaptif #ISIS</t>
  </si>
  <si>
    <t>@BayuCebong1 Isis separo tok😂</t>
  </si>
  <si>
    <t>RT @RangCebol: @99Ohhani @Rakha_boumi @ruben_yuanito @MarikaRahman_ @hsnsaputro @asmadajoel @PartaiSocmed @KemenkesRI Kalo yg mati wna harus apa ada nya, karna dibawa ke negara asal wna. Kalo yg wni mati pasti bkn karna covid19. Yg ngetes mereka, yg tau hasil mereka, yg menetapkan mereka, yg conpress mereka, ya semau2 mereka aja. Masyarakat dilarang kritik/saran.</t>
  </si>
  <si>
    <t>Apa sudah tau nih Bu @Menlu_RI Sebanyak itu WNI YG IKUT pak @KemenkesRI #CoronaVirusUpdate RT @SinthaS5: Cara penyebaran Covid-19 sdh melebihi sistem MLM manapun didunia.. Kalau 696 peserta dari Indonesia masing2 ‘punya downline’ 3 org saja, sdh jadi berapa tuh? Corona Nyebar di Tabligh Akbar, Ratusan Peserta RI Ikut Hadir</t>
  </si>
  <si>
    <t>@ISIS_Balik_NO @gerinisk @justbob616 @niakaniapurnama @CNNIndonesia Kadal Gurun kalo ada maunya jd brutall</t>
  </si>
  <si>
    <t>RT @azkiaput: @DebiKurnia22 Polri pasti akan ikut membantu seperti yang dilakukan oleh TNI Polri saat melakukan observasi WNI yang pulang dari China di Natuna ataupun petugas yang berkerja di kapal pesiar dengan megerahkan Dokter dari TNI maupun dari Dokter Polr #BUMNTNIPOLRILawanCorona</t>
  </si>
  <si>
    <t>@alamgirizvi @Shehzad_Ind Or tu ISIS k nazayz aulad</t>
  </si>
  <si>
    <t>RT @vivanewscom: Dirawat di Jepang, 9 WNI ABK Diamond Princess Sembuh dari Corona  #vivanews</t>
  </si>
  <si>
    <t>Semoga 27 wni yang hadir tidak ad yg terjangkit corona😕 Pemerintah kita juga harus waspada dan cek ini.</t>
  </si>
  <si>
    <t>@ISIS_Balik_NO @TofaTofa_id @ISIS_Balik_NO goblok.. togog otak taik.. d baca baik2 jika ada fubernur sebelum nya.. ya jelas gak ada.. togog selalu masuk dalam perangkap🤣😅😆</t>
  </si>
  <si>
    <t>@TokUrang @TheArieAir @SekarPurnama10 @ISIS_Balik_NO @andika1367 @KliWetan @Ndrews110611 @FansHanura @Black_lleviant @MardiSiswoyo6 @hermawanjsp @HanSaputra7 @LimaLapa1 @TjahjoLoet @R_Buitenzorg @jimmysimada Sami2</t>
  </si>
  <si>
    <t>RT @TokUrang: @wiwikherma @TheArieAir @SekarPurnama10 @ISIS_Balik_NO @andika1367 @KliWetan @Ndrews110611 @FansHanura @Black_lleviant @MardiSiswoyo6 @hermawanjsp @HanSaputra7 @LimaLapa1 @TjahjoLoet @R_Buitenzorg @jimmysimada Tampi asih ka wiwi...👍❤👍</t>
  </si>
  <si>
    <t>RT @margiesandjaya: @Takviri Nah ini yg 696 org wni yg ikut tabligh akbar itu pada kemana?</t>
  </si>
  <si>
    <t>95 warga Singapura juga sedang diperiksa</t>
  </si>
  <si>
    <t>@99Ohhani @Rakha_boumi @ruben_yuanito @MarikaRahman_ @hsnsaputro @asmadajoel @PartaiSocmed @KemenkesRI Kalo yg mati wna harus apa ada nya, karna dibawa ke negara asal wna. Kalo yg wni mati pasti bkn karna covid19. Yg ngetes mereka, yg tau hasil mereka, yg menetapkan mereka, yg conpress mereka, ya semau2 mereka aja. Masyarakat dilarang kritik/saran.</t>
  </si>
  <si>
    <t>@ridhogals Mataneh, isis😭</t>
  </si>
  <si>
    <t>1 WNI di Singapura bertambah lg tertular virus corona &amp; dlm penanganan khusus. RT @Kemlu_RI: #SahabatKemlu, berikut update Perkembangan COVID-19 di Dunia dan Pelindungan WNI per 12/03 pukul 17.30 WIB. Seluruh WNI yg terkonfirmasi COVID-19 sehubungan dengan Diamond Princess telah dinyatakan sehat. #IniDiplomasi #NegaraMelindungi</t>
  </si>
  <si>
    <t>@ISIS_Balik_NO @TofaTofa_id Woi NYET, baca berita dulu ampe toentas jgn asal ngebacot lu njir.....BGST lo....</t>
  </si>
  <si>
    <t>Blah blah blah me to women blah blah women to me yadda yadda</t>
  </si>
  <si>
    <t>RT @KontanNews: Duh, dua WNI lagi positif virus corona di Singapura  #VirusCorona</t>
  </si>
  <si>
    <t>@zeecstasy U duluan dah, gua mah WNi asli wkwk</t>
  </si>
  <si>
    <t>@AriePutraWijay1 Untuku lak ISIS Yo kyok Elly sugigu</t>
  </si>
  <si>
    <t>@wiwikherma @TheArieAir @SekarPurnama10 @ISIS_Balik_NO @andika1367 @KliWetan @Ndrews110611 @FansHanura @Black_lleviant @MardiSiswoyo6 @hermawanjsp @HanSaputra7 @LimaLapa1 @TjahjoLoet @R_Buitenzorg @jimmysimada Tampi asih ka wiwi...👍❤👍</t>
  </si>
  <si>
    <t>@ISIS_Balik_NO @TofaTofa_id Nyet botak baca noh 😂</t>
  </si>
  <si>
    <t>@karan58818199 @RanaAyyub Arrests made in #AntiHinduRiots so far 1. Shahrukh 2. Tahir Hussain(AAP) 3. Shahnawaz 4. Jahanjeb Sami(ISIS) 5. Hina Bashir(ISIS) 6. Danish Ali(PFI) 7. Shah Alam 8. Salim Malik 9. Mohd Jalaluddin 10. Mohd Ayub 11. Mohd Yunus 12. Mohd Mushtaq 13. Md Danish 14. Md Salim #copypaste</t>
  </si>
  <si>
    <t>@Waone781 @ISIS_Balik_NO @TofaTofa_id Bukan pake mayat dan ayat untuk jd gubernur</t>
  </si>
  <si>
    <t>RT @harakatuna: Keteledoran dan Eksploitasi ISIS dalam Memaknai Hijrah</t>
  </si>
  <si>
    <t>@VIVAcoid Siapa Ahok. Sebagaimana yg @Yusrilihza_Mhd pernah sampaikan, dia itu lahir di China bukan WNI yg lahir di Bumi Pertiwi ini.</t>
  </si>
  <si>
    <t>Kpn nihhh sikadrun pendukung teroris ISIS ini dimasukin bui yak ===&gt;&amp;gt; Ini Berita Lengkapanya Dedengkot FPI Bachtiar Nazir Harus Meninggalkan Kota Malang De...  lewat @YouTube</t>
  </si>
  <si>
    <t>@JoeWongJava1 @ISIS_Balik_NO @TofaTofa_id @kangdede78 Ini bukti ikan buntal beracun drun. Sekeluarga tewas dibuat nya. 🤣🤣🤣🤣🤣🤣🤣 #KadrunGoblok</t>
  </si>
  <si>
    <t>Masih dalam Masa Observasi, WNI Kru Diamond Princess Rutin Berolahraga</t>
  </si>
  <si>
    <t>@SinthaS5 Suspect Corona WNI, 13 diantaranya tertular di luar negri</t>
  </si>
  <si>
    <t>RT @KBRILondon: #KBRILondon mengimbau agar #WNI di #Irlandia mematuhi segala langkah-langkah yang telah ditentukan oleh Pemerintah #Irlandia. #WaspadaVirusCorona #NegaraMelindungi #IniDiplomasi</t>
  </si>
  <si>
    <t>@AnakLolina @DivHumas_Polri Halah... BN aja yang jelas² ketahuan ngirim duit miliaran untuk isis di suriah sampe hari ini melenggang bebas, bahkan bisa tetap provokasi kemanapun, tsrakhir masyarakat Malang sendiri yang mengusirnya.</t>
  </si>
  <si>
    <t>Ratusan WNI yg mungkin dari berbagai daerah, harus ditracing ini kalo gamau semakin menyebar. Serem banget 😭 RT @ainunnajib: Masjid ditutup untuk disinfect 5 hari, tidak ada Jum'atan &amp; jamaah. Respon tanggap Singapura atas kabar positif #COVID19 Malaysia kasus #131 yang hadir di majelis Jamaah Tabligh (10,000 orang), 95 Singaporean hadir. Ada 696 WNI hadir, Indonesia gimana?</t>
  </si>
  <si>
    <t>@JoeWongJava1 @ISIS_Balik_NO @TofaTofa_id @kangdede78 Wkwkwkwk goblok. Kau yg bilang daging ulamamu beracun. Yg daging nya beracun kan kayak ikan buntal. Gue kan bertanya utk memastikan. Kok elo bilang fitnah ? 🤣🤣🤣🤣🤣 Kadrun emang goblok.... 🤣🤣🤣🤣🤣🤣</t>
  </si>
  <si>
    <t>RT @iamahindustanii: @modiaformosha @Shehla_Rashid @zoo_bear @deepsealioness Updated: Arrests made in #AntiHinduRiots so far- 1. Shahrukh 2. Tahir Hussain(AAP) 3. Shahnawaz 4. Jahanjeb Sami(ISIS) 5. Hina Bashir(ISIS) 6. Danish Ali(PFI) 7. Shah Alam 8. Salim Malik 9. Mohd Jalaluddin 10. Mohd Ayub 11. Mohd Yunus 12. Mohd Mushtaq 13. Md Danish 14. Md Salim</t>
  </si>
  <si>
    <t>Mcm mana orang senang2 move on?</t>
  </si>
  <si>
    <t>Segera laporkan ke hotline #KBRILondon jika terdapat #WNI yang dinyatakan positif #Covid-19: +44 788 122 1235 / +44 779 510 5477 #WaspadaVirusCorona #NegaraMelindungi #IniDiplomasi</t>
  </si>
  <si>
    <t>#KBRILondon mengimbau agar #WNI di #Irlandia mematuhi segala langkah-langkah yang telah ditentukan oleh Pemerintah #Irlandia. #WaspadaVirusCorona #NegaraMelindungi #IniDiplomasi</t>
  </si>
  <si>
    <t>IMBAUAN KEPADA #WNI DI #IRLANDIA TERKAIT PERKEMBANGAN #COVID-19 #WaspadaVirusCorona #NegaraMelindungi #IniDiplomasi</t>
  </si>
  <si>
    <t>If you still don't get what he's trying to say, this is an analogy from me: Sebab kau Islam, kau tak layak nak kondem ISIS Sebab kau Cina, kau tak boleh kondem apa Chinese government is doing to Uighur Sebab kau Sarawakian, kau patut sokong Sarawak keluar dari Malaysia RT @0j0093: The funniest thing about Malaysia's Women March is the fact that there's a lot of UiTM students participated and screaming for equality. Like kau student UiTM kut? How come you consciously participated in a system that you hate?</t>
  </si>
  <si>
    <t>Negatif Corona, 188 WNI ABK World Dream Dikarantina Segera Dipulangkan</t>
  </si>
  <si>
    <t>@Black_lleviant @TheArieAir @SekarPurnama10 @ISIS_Balik_NO @andika1367 @KliWetan @Ndrews110611 @FansHanura @MardiSiswoyo6 @hermawanjsp @HanSaputra7 @LimaLapa1 @TokUrang @TjahjoLoet @R_Buitenzorg @jimmysimada Sami2 kang</t>
  </si>
  <si>
    <t>@tvOneNews Darimana @tvOneNews tau bahwa anak2 ISIS itu tak berdosa? Apa buktinya?</t>
  </si>
  <si>
    <t>@Puteriswift_ Hahahahaha kena rancang gi paris baru jadi la</t>
  </si>
  <si>
    <t>@IndonesiainBern selamat malam saya mau tanya apa ada himbauan atau larangan bagi wni utk mengunjungi swiss dalam waktu dekat ini?</t>
  </si>
  <si>
    <t>@archabandung @filosofiksi @AjiDeddy @AremaNita__ @BdyNusantara @_nice69_ @agama_nusantara @daunsirih5 @Jelantik5 @onsrgst @rullyjoo27 @SeruniPuspaAlam @Tikayulie @su7loo negara2 arab harus sampe berperang melawan isis,,, meskipun isis tujuannya mw bikin negara koloni khilafah.</t>
  </si>
  <si>
    <t>@ISIS_Balik_NO @musniumar Kambuhan nih berarti hoax rektor kadrun ini. 🤬😡</t>
  </si>
  <si>
    <t>@wiwikherma @TheArieAir @SekarPurnama10 @ISIS_Balik_NO @andika1367 @Ndrews110611 @FansHanura @Black_lleviant @MardiSiswoyo6 @hermawanjsp @HanSaputra7 @LimaLapa1 @TokUrang @TjahjoLoet @R_Buitenzorg @jimmysimada Makasih kk 😃🙏🙏</t>
  </si>
  <si>
    <t>@archabandung @filosofiksi @AjiDeddy @AremaNita__ @BdyNusantara @_nice69_ @agama_nusantara @daunsirih5 @Jelantik5 @onsrgst @rullyjoo27 @SeruniPuspaAlam @Tikayulie @su7loo ISIS jg giat banget...membangun koloni negara khilafah... ternyata negara negara jazirah arab menolaknya...</t>
  </si>
  <si>
    <t>@macloudroni @dekjongsang @ATEEZofficial Macem isis wkekek</t>
  </si>
  <si>
    <t>@ISIS_Balik_NO @TofaTofa_id Jika ada gubernur sebelumx...</t>
  </si>
  <si>
    <t>@Ameeramantikah Setelah ini jgn ada lg diskriminasi intoleransi terhadap wni keturunan tionghoa di negara ini, krn sebagian wni tionghoa ada saudara seiman mu juga.</t>
  </si>
  <si>
    <t>@RoflMarathi_ Ho pn dance wni songs walya show mde gelela tyacha kai</t>
  </si>
  <si>
    <t>@Mrs_RG1 @msaid_didu @TanYoana hmmm...pelecehan sm wni +62....macem gada yg berprestasi...semua2 ahoax...😠</t>
  </si>
  <si>
    <t>Dua warga Indonesia, masing-masing lansia pria berusia 83 tahun dan lansia perempuan berusia 76 tahun menjadi korban terbaru patogen bernama resmi COVID-19 ini.  #COVID19 #COVID19Indonesia #COVID19Singapore #Coronavirus</t>
  </si>
  <si>
    <t>Warga Jepang yang Tulari Virus ke WNI Tak Terdeteksi di Bandara, Ini Kata Terawan</t>
  </si>
  <si>
    <t>Untuk WNI, menurut Plt. Dirjen Imigrasi, sesuai dengan kesepakatan dengan Menteri Kesehatan, nama-namanya masih dirahasiakan untuk sementara, belum bisa dipublikasikan sekarang.</t>
  </si>
  <si>
    <t>@kumparan Tetep ditanggung pemerintah Indonesia. Jangan cuma baca judul, isinya juga harus dibaca Kalau kebijakan Singapura, bilang WNI yang dirawat, (biaya pengobatannya) ditagihkan, ya silakan saja tagih ke Indonesia kalau dia WNI," kata Yuri di Istana Negara, Jakarta, Kamis (12/3).</t>
  </si>
  <si>
    <t>@DKIJakarta Carrier covid19 level pertama di Indonesia adalah WNA atau WNI yg punya riwayat bepergian ke LN atau yang pernah kontak dengan WNA. Mereka umumnya adalah middle-up class yang sangat mampu secara voluntarily minta ditest apakah terkena atau tidak covid19.</t>
  </si>
  <si>
    <t>Jangan sampai WNI kita justru banyak terdeteksi positif setelah ke Singapore. Penelusuran kontaknya jadi lebih suit. ----------------------------- Muncul Kasus Baru, WNI Positif Virus Corona di Singapura Jadi 7 Orang</t>
  </si>
  <si>
    <t>@ustadtengkuzull @musniumar Loh....ternyata sodara kembar ayah naen yg baik hati....mon maaf ya 😂 @ustadtengkuzull</t>
  </si>
  <si>
    <t>RT @kurawa: Kalo membaca kasus2 WNI positif corvid19 dari @KawalCOVID19 memang tanda2 "diam2" nya orang indonesia yang mempunyai gejala penyakit ini jelas.. mereka takut diisolasi lalu ke luar negeri dan disana baru ketahuan mereka sdh positif. Ini yg gue maksud dengan efek bola salju</t>
  </si>
  <si>
    <t>Preventif or reaktif ?</t>
  </si>
  <si>
    <t>@ISIS_Balik_NO @musniumar Kl gak nyinyir gak dapat duit dul</t>
  </si>
  <si>
    <t>@SuksmaM @ISIS_Balik_NO @musniumar Iya biar si @musniumar modar duluan!!!!lumayan sampah NKRI berkurang satu!!!</t>
  </si>
  <si>
    <t>@ISIS_Balik_NO @TofaTofa_id Ckckck komen2 nya santun sangat</t>
  </si>
  <si>
    <t>@ustadtengkuzull @musniumar Kalo ente mulut dan TITITnya yg stroke.....biar sedikit bisa menghargai perempuan.... Ente mah sama si monyet....sama2 KADAL......otak di selangkangan....tobat lo udah tua bangka.....inget neraka</t>
  </si>
  <si>
    <t>@NSRins_79 @ISIS_Balik_NO @jumianto_RK @TofaTofa_id Wwkkw</t>
  </si>
  <si>
    <t>ISIS emang jagoan.... RT @Berantonimisme: @delaMayore Dasar ndak bobot.. Beraninya cuma pakai akun abal-abal.. Gk level gw debat sama cebong purbakala.. tp gw kasian aja, makanya gw ladeni..😄😄😄😄</t>
  </si>
  <si>
    <t>@ustadtengkuzull @ISIS_Balik_NO @musniumar Belon ah....noh si musni aja duluan...</t>
  </si>
  <si>
    <t>@ISIS_Balik_NO @TofaTofa_id Orang jelek biasa cuma cari muka</t>
  </si>
  <si>
    <t>RT @kompascom: Munawir Aziz, Sekretaris Pengurus Cabang Istimewa Nahdlatul Ulama (PCINU) Inggris menceritakan kisahnya di Inggris saat virus corona mewabah.</t>
  </si>
  <si>
    <t>RT @cnbcindonesia: 696 WNI Ikut Tabligh Akbar Rawan Corona, Ini Kata Istana</t>
  </si>
  <si>
    <t>@SuksmaM @ISIS_Balik_NO @musniumar Berarti ente udah bau busuk donk</t>
  </si>
  <si>
    <t>@RazkaFaiz @MichaelHarto77 Itu dedengkot FPI pendukung teroris ISIS yg kudu hrs dibasmi dari NKRI ini</t>
  </si>
  <si>
    <t>@ISIS_Balik_NO @TofaTofa_id @kangdede78 Bangsattt...!</t>
  </si>
  <si>
    <t>@ustadtengkuzull @ISIS_Balik_NO @musniumar Hahaha....semua jg pasti mati</t>
  </si>
  <si>
    <t>Total 7 Warga Negara Indonesia (WNI) di Singapura positif corona. 5 dari mereka adalah kasus impor.</t>
  </si>
  <si>
    <t>@ISIS_Balik_NO @TofaTofa_id Wkwkwkw Mangki dong....</t>
  </si>
  <si>
    <t>@Dennysiregar7 Mantabbb,NIH,dlu beredar klo wni jga terlibat dlam pengiriman Dana teroris tuh bang</t>
  </si>
  <si>
    <t>RT @PakarLogika: Ya jelas ga ada yang ngomong kaya Anies lah! Wong Virus Corona (Covid-19) baru ada tahun 2019. Bahlul! 😂 Kalo DP 0% memang benar untuk rakyat miskin, gantian saya yang tutup akun. 🤭</t>
  </si>
  <si>
    <t>RT @7int4Putih: Jika dianalisa, penundaan Formula E oleh Amies ini berbau Politis: 1. Ingin agar FE tetap digelar 2. Ingin dikenal sbg orang yg mendahulukan keselamatan warganya 3. Ingin membuat panik warga Jkt 4. Pengalihan isu korupsi DP Rp 0 #BongkarSkandalFormulaE</t>
  </si>
  <si>
    <t>RT @medcom_id: Korona Menyebar di Tabligh Malaysia, 700 WNI Jadi Peserta</t>
  </si>
  <si>
    <t>@So3daRn0 @ISIS_Balik_NO @TofaTofa_id Njirr parah banget.. 🤣🤣🤣</t>
  </si>
  <si>
    <t>@Dennysiregar7 Ini mah udah modus lamaaa... Sales kolektor donasinya berkeliaran di Indonesia sambil dakwah jualan agama. Ti ati nyumbang2 sembarangan ternyata buat membiaya ekstrimis bahkan ISIS.</t>
  </si>
  <si>
    <t>@null Senk Lotta Ungkap Ingin Jadi WNI, Diminta Ibunda Pulang ke Uzbekistan Gara-Gara</t>
  </si>
  <si>
    <t>RT @DydikD: @dbowo99 @haro_arnold @ustadtengkuzul Anda tdk salah. Hny gagal paham memaknai. Cobalah belajar tdk kaget/biasakan jk mendengar kata RAS. Islam,nasrani,hindu,budha,Cina,WNI, Jawa, madura, Betawi,Sunda,batak,Dayak,Asmad dll, agar kebhinekaan terjalin. Ingat yg bkn saudaramu dlm iman adlh saudaramu dlm kemanusiaan.</t>
  </si>
  <si>
    <t>Proses pemulangan para WNI ABK World Dream telah mengikuti pedoman pada standar operasional prosedur yang ditetapkan badan kesehatan dunia WHO. #PulauSebaru</t>
  </si>
  <si>
    <t>@Natalieanggi112 @ISIS_Balik_NO @jumianto_RK @TofaTofa_id DIABET kan dia??? Mana bisa TEGAK?!!! 🙏😆</t>
  </si>
  <si>
    <t>Rotasi Tim Posko Aju Pastikan Keselamatan WNI di Episentrum Wabah Korona di Korsel: Kedutaan Besar Republik Indonesia (KBRI) di Seoul terus memastikan keselamatan warga negara Indonesia (WNI) yang berada di titik-titik penyebaran virus</t>
  </si>
  <si>
    <t>@ISIS_Balik_NO @musniumar Kalau busuk brarti tinggal nunggu mati dul</t>
  </si>
  <si>
    <t>Mereka menggunakan Modus diskrimatif kpd WNI keturunan utk di jadikan Teman masuk ke Kadrun2 Gembel2 Khilafah akan trs bergerilya..  RT @1504ers: @GagakNeww2 Iya Gus Itu Juga Salah Satu Ekses Dari Gerombolan Itu. Kasihan yg Benar² Ingin Belajar Islam Tapi Jatuh Ke Tangan Mereka. Akhirnya Salah Asuhan.</t>
  </si>
  <si>
    <t>@CNNIndonesia Cukup lockdown arus pendatang dr luar negeri WNI maupun WNA</t>
  </si>
  <si>
    <t>696 WNI Ikut Tabligh Akbar Rawan Corona, Ini Kata Istana</t>
  </si>
  <si>
    <t>@ganjarpranowo @KemenkesRI Setuju !</t>
  </si>
  <si>
    <t>RT @WagimanDeep__: Klo Ane jadi anaknya pasti bakal ane larang Rang ini maen Twitteran...slaen sering ngehoax sejak dulu hobi memalukan diri sndiri.</t>
  </si>
  <si>
    <t>@musniumar Harusnya ENTE berGURU pada kejadian masa lalu....busuk kok kagak sembuh2 RT @ManaluTheodorus: Dulu minta maaf kpd para mantan Presiden &amp; keluarga. Kemenangan Jokowi periode ke 2 difitnah pakai jimat. Minta maaf. Pasien virus corona tlh 25 wafat, hrs nya pasien ke 25 wafat. Walau sdh dikelarifikasi ats kekeliruannya, cukup minta maaf lagi, terus kpn diproses hukum nya?</t>
  </si>
  <si>
    <t>@mrDzikrurrokhim Harusnya WNI juga</t>
  </si>
  <si>
    <t>RT @mikhlash: MUI nya Singapore meniadakan shalat jumat besok berkaitam dengan kasus di bawah ini. Semua mesjid akan dibersihkan. Ada 696 WNI ikut acara yg sama. Apa yg pemerintah kita lakukan untuk mencegah penularan dari grup ini? Let’s see.</t>
  </si>
  <si>
    <t>WNI keturun Chenes sdh banyak jadi Kadrun,kyk Tengkuzulkarnain,trs ada lagi yg suka ikut Demo yg gak jls Agamanya itu.. RT @1504ers: @GagakNeww2 @WahhabiCC @kirekswasta Modusnya Mereka kalo Ada yg Masuk Islam Pas Jum'atan Minta Waktu Ba'da Sholat. Tentu yg Nonton org bnyk.. Hbs Syahadat.. Ada Kultum sdkt Sambil Kasih info Soal Target 1 Day 1 Mualaf. Kemudian... Diakhir Kultum Minta Support.... Infaq Yg Gatau Akuntabilitasnya Gmn.</t>
  </si>
  <si>
    <t>Pemerintahan Australia Sindir Jokowi Soal Virus Corona, Gerindra: Ini Pelecehan! DFAT Australia mengeluarkan memperbarui status travel advice untuk Indonesia menyusul satu kasus baru positif Corona atau Covid-19 di Australia yang merupakan WNI.</t>
  </si>
  <si>
    <t>@musniumar Mulai lagi dah....bisa jaga CONGOR APA KAGAK NIH REKTOR.....mulai pake kata PRIBUMI2 LAGI</t>
  </si>
  <si>
    <t>@ISIS_Balik_NO @TofaTofa_id Si monyet gak bisa baca, coli bisa.</t>
  </si>
  <si>
    <t>RT @YusufNusantara1: @a98ep @ManaluTheodorus @FloraSafira @DivHumas_Polri @mohmahfudmd @BareskrimPolri @prabowo *klau rektor UMAR &amp; senator fhira* tdk di TAHAN mding kita semuA jdi rektor dan senator sja spya KITA juga BISA seenaknya hidup di negeri ini bebas dari hukum, UNTUK APA JADI MASY KECIL udah "KECIL di injak2 lagi" tak anggap🙄"NEGERI KU KRISIS hukum 🙂</t>
  </si>
  <si>
    <t>@So3daRn0 @ISIS_Balik_NO @TofaTofa_id Taiknya monyet budug 🤣🤣🤣🤣🤣🤣🤣🤣🤣</t>
  </si>
  <si>
    <t>@ManaluTheodorus @alfrendoasis Proses HUKUM untuk membuat idiot ini JERA</t>
  </si>
  <si>
    <t>Polri pasti akan ikut membantu seperti yang dilakukan oleh TNI Polri saat melakukan observasi WNI yang pulang dari China di Natuna ataupun petugas yang berkerja di kapal pesiar dengan megerahkan Dokter dari TNI maupun dari Dokter Polr #BUMNTNIPOLRILawanCorona</t>
  </si>
  <si>
    <t>@So3daRn0 @ISIS_Balik_NO @TofaTofa_id Eh kq bgtu ......wkwkwk</t>
  </si>
  <si>
    <t>@pradityasss bangsat lo kira gue isis ha</t>
  </si>
  <si>
    <t>9 WNI ABK Diamond Princess yang Positif Virus Corona Sudah Sembuh</t>
  </si>
  <si>
    <t>@Cazenove_C @AnakLolina Ya iyalah....positif thinking....jangan sperti Kadrun....asal keluar dr Pemerintah....dari Cina....dari Yahudi...auto nyinyir dan langsung mereka reka FITNAH</t>
  </si>
  <si>
    <t>RT @Aryprasetyo85: Keputusan Febri untuk berangkat ke Suriah karena ingin menyusul keluarganya. Sebelum ia berangkat, keluarga besarnya sudah lebih dulu terpengaruh propaganda ISIS dan berangkat ke Suriah.</t>
  </si>
  <si>
    <t>RT @Aryprasetyo85: Apa yang dilihat Febri di Suriah ternyata jauh dari propaganda yang ditawarkan ISIS. Saat propaganda berlangsung, ISIS memberikan janji bahwa semua yang mau hijrah ke daerah itu akan mendapat fasilitas termasuk gaji, tunjangan dan lainnya. @JatengOpini @GRMS_JATENG @Jateng_Twit</t>
  </si>
  <si>
    <t>@AnakLolina @JannesHutajulu Somaaaaaaad...... Mudah2an KADRUN MUSNAH....karena mereka diYAKINI akan menolak VAKSIN buatan YAHUDI</t>
  </si>
  <si>
    <t>RT @ReiMiechi99: @AnakKolong___ Anjing makhluk yg di haramkan dlm agama islam, bila menyamakan dgn anjing itu berarti manusia HARAM, dan itu yg dilakukan para pengusung Kaum KAFIR KHILAFAH-ISIS yg slalu mengunakan dan memanfaatkan perempuan utk memenuhi nafsu bejatnya.</t>
  </si>
  <si>
    <t>@KhanAmanatullah Updated: Arrests made in #AntiHinduRiots so far- 1. Shahrukh 2. Tahir Hussain(AAP) 3. Shahnawaz 4. Jahanjeb Sami(ISIS) 5. Hina Bashir(ISIS) 6. Danish Ali(PFI) 7. Shah Alam 8. Salim Malik 9. Mohd Jalaluddin 10. Mohd Ayub 11. Mohd Yunus 12. Mohd Mushtaq 13. Md Danish 14. Md Salim</t>
  </si>
  <si>
    <t>Email himbauan menghadapi #CoronavirusPandemic dari @KBRILondon. Salut dengan langkah Kedubes untuk selalu mengupdate perkembangan Corona bagi para WNI di UK. Thumbs up! @Kemlu_RI</t>
  </si>
  <si>
    <t>@ISIS_Balik_NO @TofaTofa_id Dia bukan monyet.. Tapi TAIK nya monyet</t>
  </si>
  <si>
    <t>@UPFOLLAND Mutualan ala CODOT....NYARI follower sampe ngemis ...kesian banaget hidup lo</t>
  </si>
  <si>
    <t>RT @Aryprasetyo85: "Saya catat semua pengalaman saya itu dalam buku ini, agar saya bisa sharing pengalaman dan mengedukasi kepada masyarakat, bahwa propaganda ISIS itu semuanya tidak benar," tegasnya.</t>
  </si>
  <si>
    <t>RT @Aryprasetyo85: "Saya catat semua pengalaman saya itu dalam buku ini, agar saya bisa sharing pengalaman dan mengedukasi kepada masyarakat, bahwa propaganda ISIS itu semuanya tidak benar," tegasnya. @90_argo @HarisSekipi @kawananraja @Abby_Budiyono97</t>
  </si>
  <si>
    <t>RT @__SisiLusipara: #RezimCuekinCoronaDemiIbuKotaBaru #RezimCuekinCoronaDemiIbuKotaBaru Mahfud: Jumlah WNA yang Masuk ke Indonesia Lebih Tinggi dari Jumlah WNI Keluar Indonesia</t>
  </si>
  <si>
    <t>188 WNI ABK World Dream telah diobservasi di Pulau Sebaru Kecil sejak Jumat, 28 Februari 2020. #PulauSebaru</t>
  </si>
  <si>
    <t>RT @jokbuss: @Ronnie_Rusli Jokowi apakah asli Turunan Jawa? Maaf bkn bermaksud rasialis, hanya ingin tau kebenarannya saja. Kwiek, Alivin Lie, dll WNI keturunan yang mencintai Indonesia sepenuhnya.</t>
  </si>
  <si>
    <t>@kwanieberry Bimaaryo sama milkyboky itu anjing sm kucing, cooking tree sama hidamari emang masak2 tp kebanyakan bkin kue. Kalo zhiee lely itu kehidupan wni di korea. Aku rajin nntonin buat bekal kalo nanti ada kesempatan ke korea 😁😁</t>
  </si>
  <si>
    <t>RT @Dimdim09452265: @KemenkesRI Mohon dicek ini:  Dari pihak singapur sdh 2 positif sepulang dari event dan mulai besok semua masjid di sg ditutup 5 hari untuk dibersihkan. Ada 696 wni yang ikut event tsb. Dan pastinya mereka akan kembali pulang ke daerah msg2.</t>
  </si>
  <si>
    <t>@khatamkhel @Shehla_Rashid @JmuKmrPolice @islahmufti @saahilmenghani @soul_restlesss @AmitShah @RanaAyyub @Nidhi @NasirKhuehami Updated: Arrests made in #AntiHinduRiots so far- 1. Shahrukh 2. Tahir Hussain(AAP) 3. Shahnawaz 4. Jahanjeb Sami(ISIS) 5. Hina Bashir(ISIS) 6. Danish Ali(PFI) 7. Shah Alam 8. Salim Malik 9. Mohd Jalaluddin 10. Mohd Ayub 11. Mohd Yunus 12. Mohd Mushtaq 13. Md Danish 14. Md Salim</t>
  </si>
  <si>
    <t>@manuvichar @Shehla_Rashid @ZeeNewsHindi @sudhirchaudhary Updated: Arrests made in #AntiHinduRiots so far- 1. Shahrukh 2. Tahir Hussain(AAP) 3. Shahnawaz 4. Jahanjeb Sami(ISIS) 5. Hina Bashir(ISIS) 6. Danish Ali(PFI) 7. Shah Alam 8. Salim Malik 9. Mohd Jalaluddin 10. Mohd Ayub 11. Mohd Yunus 12. Mohd Mushtaq 13. Md Danish 14. Md Salim</t>
  </si>
  <si>
    <t>@modiaformosha @Shehla_Rashid @zoo_bear @deepsealioness Updated: Arrests made in #AntiHinduRiots so far- 1. Shahrukh 2. Tahir Hussain(AAP) 3. Shahnawaz 4. Jahanjeb Sami(ISIS) 5. Hina Bashir(ISIS) 6. Danish Ali(PFI) 7. Shah Alam 8. Salim Malik 9. Mohd Jalaluddin 10. Mohd Ayub 11. Mohd Yunus 12. Mohd Mushtaq 13. Md Danish 14. Md Salim</t>
  </si>
  <si>
    <t>@chophika_sumi @Shehla_Rashid @HansrajMeena @TribalArmy @YangerLongkume2 Updated: Arrests made in #AntiHinduRiots so far- 1. Shahrukh 2. Tahir Hussain(AAP) 3. Shahnawaz 4. Jahanjeb Sami(ISIS) 5. Hina Bashir(ISIS) 6. Danish Ali(PFI) 7. Shah Alam 8. Salim Malik 9. Mohd Jalaluddin 10. Mohd Ayub 11. Mohd Yunus 12. Mohd Mushtaq 13. Md Danish 14. Md Salim</t>
  </si>
  <si>
    <t>RT @GunRomli: Makanya sya sebut @aniesbaswedan sedang caper &amp; cari panggung dgn isu corona, sdah jelas2 biaya pasien ditanggung penuh negara, tapi msh komentar miring, urus saja harga masker yg masih melambung tinggi di Jakarta</t>
  </si>
  <si>
    <t>@AdvocateAtifur @asadowaisi Updated: Arrests made in #AntiHinduRiots so far- 1. Shahrukh 2. Tahir Hussain(AAP) 3. Shahnawaz 4. Jahanjeb Sami(ISIS) 5. Hina Bashir(ISIS) 6. Danish Ali(PFI) 7. Shah Alam 8. Salim Malik 9. Mohd Jalaluddin 10. Mohd Ayub 11. Mohd Yunus 12. Mohd Mushtaq 13. Md Danish 14. Md Salim</t>
  </si>
  <si>
    <t>@IQdiatasrata2 @teshar_parker @lemajeste1010 @ortagone @Muhamma83679024 @PARTAI_HARIMAU @VIVAcoid @asuhan101010101 @el_loco234 @Nemo_4512 @GusMendem1 @Gus_KW @ArabicaBali @SahlanAmin4 @_Black_Banner @BerisikEmak Awal Lo ngaku komunis, sekarang Lo sembunyi di tubuh Banser next Lo mau ngaku dan ngumpet dimana ISIS kah 🤭🤭🤭🤭.</t>
  </si>
  <si>
    <t>@JoeWongJava1 @GrandLight88 @TofaTofa_id @kangdede78 Urus keyakinanmu....kenpa mesti ngurus keyakinan orang.... Masih banyak manusia bejat dilingkungan kamu...keculai memang kamu penganut dan pemuja iblis Pencabul lalu kabur. Islam adalah agama sejuk....dan yg membuat Islam menjadi tercoreng adalah kaum KHILAFAH spt Kalian !</t>
  </si>
  <si>
    <t>RT @aliralira: Gw terjemahin ulang dr perspektif kompeni kroya: wah aing ayeuna hese amat mun ka indonesah, geus lah ieu barudak indo bae nu dines balik pan kalo wni teu make ribet.</t>
  </si>
  <si>
    <t>RT @__MV_llestari__: Pada sisi pemerintah, isu bhw pemda DKI malah menjadi pedagang dengan menjual masker&amp; mengambil untung besar-besaran ramai diberitakan. Wapres justru memilih sibuk mengkampanyekan pentingnya sertifikasi bebas corrona bagi WNA &amp;amp; WNI yang sdg bepergian dan akan masuk ke Indonesia.</t>
  </si>
  <si>
    <t>RT @nanarissara_b: BAEKHYUN SOLO!!💕💕💕</t>
  </si>
  <si>
    <t>Admin @infomalang @infojogja @infosurabaya @infobandung @infosemarang @InfoSolo dan para followernya, minta tolong untuk mengisi kuesioner penelitian skripsi saya ya, kriterianya: WNI, 18 th keatas dan pernah menangani bencana Link  Terimakasih :)</t>
  </si>
  <si>
    <t>Alhamdulillah para WNI ABK World Dream yang diobservasi di Pulau Sebaru udah selesai ya hari ini. #PulauSebaru</t>
  </si>
  <si>
    <t>jd wni sekaligus myday berasa menjalani 2 aturan hukum</t>
  </si>
  <si>
    <t>RT @ZAEffendy: Menyusul kasus WNI Positif #COVID19, Australia peringatkan warganya, Indonesia tidak memiliki kapasitas memadai pengujian virus #SARSCoV2 atau isolasi pasien "Terbatasnya fasilitas pengujian &amp; pengendalian infeksi...risiko penularan virus meningkat..." .</t>
  </si>
  <si>
    <t>Updated: Arrests made in #AntiHinduRiots so far, all PISSFULS 1 Shahrukh 2 Tahir Hussain(AAP) 3 Shahnawaz 4 Jahanjeb Sami(ISIS) 5 Hina Bashir(ISIS) 6 Danish Ali(PFI) 7 Shah Alam 8 Salim Malik 9 Mohd Jalaluddin 10 Mohd Ayub 11 Mohd Yunus 12 Mohd Mushtaq 13 Md Danish 14 Md Salim</t>
  </si>
  <si>
    <t>Pantau Keamanan Dan Kesehatan WNI, KBRI Seoul Rotasi Tim Posko Aju Kedua Hari Ini #Internasional</t>
  </si>
  <si>
    <t>IMBAUAN : Sehubungan dengan telah diumumkan adanya kasus Virus Corona (COVID-19) di Wilayah Turki dan telah ditetapkannya COVID-19 sebagai pandemi global oleh WHO, dengan ini KJRI Istanbul mengimbau seluruh WNI di Istanbul dan sekitarnya untuk :</t>
  </si>
  <si>
    <t>188 WNI ABK World Dream juga akan tetap dipantau selama berada di daerahnya masing-masing. #PulauSebaru</t>
  </si>
  <si>
    <t>@AfkarSuyantoBaz @zuhairimisrawi Mas, koq benci banget sama Syiah? Ente, ISIS???</t>
  </si>
  <si>
    <t>@SanjayAzadSln @AmitShah Updated Arrests made in #AntiHinduRiots so far- 1. Shahrukh 2. Tahir Hussain(AAP) 3. Shahnawaz 4. Jahanjeb Sami(ISIS) 5. Hina Bashir(ISIS) 6. Danish Ali(PFI) 7. Shah Alam 8. Salim Malik 9. Mohd Jalaluddin 10. Mohd Ayub 11. Mohd Yunus 12. Mohd Mushtaq 13. Md Danish 14. Md Salim</t>
  </si>
  <si>
    <t>tapi bagaya soal isis.. cih RT @kumparan: LPSK menemui Wapres Ma'ruf Amin. Dalam kesempatan itu, LPSK mendorong pemerintah menandatangani PP soal kompensasi bagi korban terorisme. #kumparanNews</t>
  </si>
  <si>
    <t>Suruh mereka gabung sama isis biar tau rasanya RT @mbahCokro77: Jika benar Khilafah menjaga kehormatan wanita,silahkan datang dan gabung disuriah n ISIS 😁😁 Bukan omdo tp bukti nyata kalau gk pingin dirombong lakinya 😂😂😂 Gini ni orang2 sok tau tanpa menggunakan akal pikiran n nalarnya yg dianugrahkan Allah😂</t>
  </si>
  <si>
    <t>188 WNI Kru Kapal World Dream Dipulangkan Sabtu Pagi dari Pulau Sebaru Kecil</t>
  </si>
  <si>
    <t>RT @kompascom: Kementerian Luar Negeri mengumumkan kondisi terakhir 16 WNI yang positif terinfeksi corona di luar negeri, 9 dinyatakan sembuh. Simak informasinya...</t>
  </si>
  <si>
    <t>Ada lima warga negara Indonesia (WNI) yang positif covid-19 di negara Singapura. #Validnews</t>
  </si>
  <si>
    <t>Saya bukan Robot,bukan juga objek..justru saya ini Korban KDRT,korban perampokan ISIS dan korban pembunuhan berencana yg di dalangi oleh Camilla dan Selingkuhan nya...!</t>
  </si>
  <si>
    <t>@ISIS_Balik_NO @JoeWongJava1 @TofaTofa_id @kangdede78 Tiket sorga seharga Rp. 5 jt dari Neno ya ? 🤣🤣🤣🤣🤣🤣</t>
  </si>
  <si>
    <t>Kementerian Luar Negeri mengumumkan kondisi terakhir 16 WNI yang positif terinfeksi corona di luar negeri, 9 dinyatakan sembuh. Simak informasinya...</t>
  </si>
  <si>
    <t>RT @IdEmbassy_Seoul: Untuk memastikan WNI merasa aman dan dilindungi, KBRI Seoul melakukan rotasi Tim Posko yang berlokasi sekitar 50 Km dari Kota Daegu. Tim kedua berangkat Kamis (12/3), menggantikan tim sebelumnya yang akan kembali ke Seoul. @Kemlu_RI @UmarHad73314840 @sofia_sudarma</t>
  </si>
  <si>
    <t>@wisanggeni_084 Mungkin mereka ingin bersama Isis, Di izinkan mbaks...saya malah seneng klo mbaks kluar Dr Indonesia, yakin kita damai tanpa kalian.</t>
  </si>
  <si>
    <t>@JoeWongJava1 @ISIS_Balik_NO @TofaTofa_id @kangdede78 Hahahaha. Yakin gak mau bahas soal fitnah ulama dan sorga mu yg ada 6 lusin bidadari ready utk dikenti ? Kalo uda yakin baru kita ganti judul... #KadrunGoblok</t>
  </si>
  <si>
    <t>@ShanePondang @Ricksanchezit Tah...km memang kadrun verso vatikan..cari googling saja..dulunta siapa yg bikin ribut timteng..bikin isis dan alqaida..orangnya goorge bush jg..pdhl mereka dulu serangnya cuma rusia..klo nga percy tonton rambo..gue sbnrny mls bicara gini krn gue cinta NKRI bukan doyan provokasi</t>
  </si>
  <si>
    <t>Pengen resign dari wni bisa ga, sih?</t>
  </si>
  <si>
    <t>Astaghfirullah, Kim Minkyu sudah berubah dari ketua osis menjadi ketua isis RT @adoring312_: teacher and he got scolded 😂😂😂😂😂😂 and everyone burst out laughing because of him lololol</t>
  </si>
  <si>
    <t>@detikcom I'm no understand, yg distop kan penerbangan dr sini kesana?, emang ga (bisa?) minta dijemputin aja kyk WNI di Wuhan kmrn??</t>
  </si>
  <si>
    <t>Ketika sampai di Dermaga Komando Lintas Laut Militer, 188 WNI ABK World Dream akan diserahkan ke perwakilan daerah masing-masing. #PulauSebaru</t>
  </si>
  <si>
    <t>@zuhairimisrawi Syiah itu sesaaat!!! Karena syiah itu ISIS</t>
  </si>
  <si>
    <t>@pattiradjawane_ @andyypri23 @CNNIndonesia Saya hanya berdasarkan data saja. Komen di atas menyinggung masalah nyawa manusia Indonesia yang tidak berharga. Sedangkan hingga saat ini belum ada WNI yang meninggal karena virus corona.</t>
  </si>
  <si>
    <t>Keluarga dekat atau jauh boleh menginap dan jumpai saya langsung..Jangan lewat satpam,walikota atau RT RW nya..Mereka sogokan ISIS si jabir buta alias sadam husein dan istrinya..!</t>
  </si>
  <si>
    <t>RT @iskandar__fauzi: Update positif Corona 10.03.2020. Kmaren positif Corona 19 orang dan hari ini bertambah menjadi 27 orang. Jangan panik,kasih ruang terus warga china masuk Indonesia agar WNI banyak mati Krn Corona. Kan dapat suntikan dana dr bank dunia agar tercapai niat pemindahan ibukota baru</t>
  </si>
  <si>
    <t>RT @napsiati: @ShantiSetiawati @yanahilman2 @UlfaAmara @URastajani @cuncunajaxezar @diannovie03 @LenjelMelah @cxolls_aljawi @rafifa_kayla @SunAntoni1 @nay_sme @KimmiH_1802 @ISIS_Balik_NO @Widya27213661 Trima kasih mbak yana sudah promote 😊🙏</t>
  </si>
  <si>
    <t>RT @ShantiSetiawati: @yanahilman2 @UlfaAmara @URastajani @cuncunajaxezar @diannovie03 @LenjelMelah @cxolls_aljawi @rafifa_kayla @napsiati @SunAntoni1 @nay_sme @KimmiH_1802 @ISIS_Balik_NO @Widya27213661 Nuhun ya</t>
  </si>
  <si>
    <t>Amiiiiinnn.....semoga seluruh wni sehat &amp; kondisi kembali pulih RT @Metro_TV: Achmad Yurianto, jubir penanganan covid-19 berulang tahun pd 11 Maret 2020. Ada yg menarik saat perayaannya, karena ia menunjukkan cara unik saat memadamkan lilin ulang tahun. Ia juga memanjatkan doa agar Indonesia bisa lewati wabah covid-19 sesegera mungkin dgn baik. #MetroSiang</t>
  </si>
  <si>
    <t>@KhanAmanatullah No one agrees that Tahir is innocent Updated: Arrests made in #AntiHinduRiots so far- 1 Shahrukh 2 Shahnawaz 3 Jahanjeb Sami(ISIS) 4 Hina Bashir(ISIS) 5 Danish Ali(PFI) 6 Shah Alam 7 Salim Malik 8 Mohd Jalaluddin 9 Mohd Ayub 10 Mohd Yunus 11 Mohd Mushtaq 12 Md Danish 13 Md Salim</t>
  </si>
  <si>
    <t>RT @jawapos: 9 WNI Positif COVID-19 di Kapal Diamond Princess Dinyatakan Sembuh</t>
  </si>
  <si>
    <t>@haikal_hassan Be buka uu,napi 2thn bisa di kasih jabatan nggk apapun kasusnya,terus naturalisasi wni yng di bilang mprof yusril,si ngahok bisa di kasih jabatan juga nggk,kalau semua di trabas mending +62 make sistem islam aja ✌</t>
  </si>
  <si>
    <t>@salsabilaoktaav Indonesia belum pernah memenjarakan seorang wni yg nyuci baju jam 2 pagi. Jd gpp</t>
  </si>
  <si>
    <t>@cnbcindonesia Pemerintah Malaysia berusaha mencari 5 ribu warganya yang hadir di acara tersebut. Akankah Pemerintah Indonesia berusaha mencari 696 orang WNI yang hadir di acara tabligh Akbar itu?</t>
  </si>
  <si>
    <t>@rohanrgupta Updated: Arrests made in #AntiHinduRiots so far- 1. Shahrukh 2. Tahir Hussain(AAP) 3. Shahnawaz 4. Jahanjeb Sami(ISIS) 5. Hina Bashir(ISIS) 6. Danish Ali(PFI) 7. Shah Alam 8. Salim Malik 9. Mohd Jalaluddin 10. Mohd Ayub 11. Mohd Yunus 12. Mohd Mushtaq 13. Md Danish 14. Md Salim</t>
  </si>
  <si>
    <t>RT @iNewsID: Program observasi ratusan warga negara Indonesia (WNI) kru kapal pesiar World Dream dan Diamond Princess di Pulau Sebaru Kecil akhirnya selesai. Mereka dijadwalkan pulang akhir pekan ini. #WorldDream #WNI #Corona #Covid19</t>
  </si>
  <si>
    <t>Sssttt... 🤫 Menurut @Yusrilihza_Mhd, si jamban, aslinya WN Tiongkok yg dpt naturalisasi jd wni th 1986. Mustahil bisa jadi Presiden.  RT @voaislam: Jokowi Siapkan Ahok Jadi Presiden? -</t>
  </si>
  <si>
    <t>RT @Metro_TV: Ratusan WNI ABK World Dream dan Diamond Princess yang diobservasi di Pulau Sebaru, Kepulauan Seribu, dalam kondisi sehat. Sejumlah aktivitas pun rutin dilakukan, mulai dari olahraga pagi hingga makan bersama. #HeadlineNewsMetroTV</t>
  </si>
  <si>
    <t>@_Naoliviea__ @naruto31002259 @musniumar @CCICPolri Hoax ny dmn coba,,?? Pdhl pak husni blng 25 yg mati di bali knp ini di blng hoax mau yg mati WNA,alien,WNI jumlah tsb real dan beliau pun gk mnyebut brasal dr mna ny yg mati cz corona.Bgtu tuh para taikers trllu benci sm oposan dampak ny jadi blunder (Bego) yg pnting ngoceh dlu.</t>
  </si>
  <si>
    <t>@iBackModi In the eye of r'ndtv @ndtv ISIS terrorist known as - Activist/member /worker -- And now -- #radical_islamist danagae known by samajik karyakarta -- Desh jalane waale samajik karyakarta -- Ajib C for hutiyapana hai ---😊 Actually woh log R'ndtv ke karyakarta the --</t>
  </si>
  <si>
    <t>RT @Ningsulistiyow1: @jansen_jsp @DeanAzzurie Saudara kemrn mendarat di soetta dari korsel (WNI buruh migran) tdk ada pemeriksaan apa2 di soetta. Dia bingung untk yakin tdk terkena dia hrs lapor kemana. Aku sarankn mengisolasi diri di rmh mpe 3 mg, klau panas dll pergi ke rs rujukan korona</t>
  </si>
  <si>
    <t>@bleedintearss Kayaknya blom ngikut seminar ya</t>
  </si>
  <si>
    <t>@ISIS_Balik_NO @permadiaktivis @jokowi @basuki_btp @TofaTofa_id Itu ibunya bro bukan bininya. Masak bininya tua banget🤣 ya kaaaan tofa itu emak lu🤪</t>
  </si>
  <si>
    <t>@thepeeinghuman Updated: Arrests made in #AntiHinduRiots so far- 1. Shahrukh 2. Tahir Hussain(AAP) 3. Shahnawaz 4. Jahanjeb Sami(ISIS) 5. Hina Bashir(ISIS) 6. Danish Ali(PFI) 7. Shah Alam 8. Salim Malik 9. Mohd Jalaluddin 10. Mohd Ayub 11. Mohd Yunus 12. Mohd Mushtaq 13. Md Danish 14. Md Salim</t>
  </si>
  <si>
    <t>@sharmaAvl @shivaniojha 1. Shahrukh 2. Tahir Hussain(AAP) 3. Shahnawaz 4. Jahanjeb Sami(ISIS) 5. Hina Bashir(ISIS) 6. Danish Ali(PFI) 7. Shah Alam 8. Salim Malik 9. Mohd Jalaluddin 10. Mohd Ayub 11. Mohd Yunus 12. Mohd Mushtaq 13. Md Danish 14. Md Salim 1/2</t>
  </si>
  <si>
    <t>RT @Metro_TV: #MetroHariIni Pasien terduga terinfeksi Covid-19 terus bertambah di Bali, saat ini jumlahnya mencapai 52 orang. Direktur Utama RSUP Sanglah, Denpasar menyatakan hingga Kamis pagi ada 3 pasien tambahan yang merupakan WNI dirawat di RSUP Sanglah.</t>
  </si>
  <si>
    <t>Sebelum meninggalkan Pulau Sebaru Kecil, 188 WNI ABK World Dream telah diperiksa ulang kesehatannya. #PulauSebaru</t>
  </si>
  <si>
    <t>@03__nakula Kaum bungul memang gampang diTIPU Asal yg ngomong tonggos...demen hina pemerintah....semua ucapannya jadi FATWA....</t>
  </si>
  <si>
    <t>RT @shamirsetyadi: @wisanggeni_084 Yang pasti doyan.mereka rela kok jd wik wik tentara isis.</t>
  </si>
  <si>
    <t>RT @antarajatimcom: Sebanyak 188 Warga Negara Indonesia (WNI) anak buah kapal (ABK) World Dream telah siap dipulangkan ke daerah asal, usai menjalani observasi di Pulau Sebaru kecil, Kepulauan Seribu, DKI Jakarta. #WorldDream #coronavirus</t>
  </si>
  <si>
    <t>@wisanggeni_084 Yang pasti doyan.mereka rela kok jd wik wik tentara isis.</t>
  </si>
  <si>
    <t>RT @HerlinaPray: Anies Tunda Formula E, PDIP: Berapa Besar Anggaran Hilang?  #BongkarSkandalFormulaE</t>
  </si>
  <si>
    <t>@GrandLight88 @JoeWongJava1 @TofaTofa_id @kangdede78 Sorganya cuma hadiah Dari DEMO....BUKAN LEVELAN KITA BANG...... Mereka mah kaum codot...hujat aseng.....make teknologi aseng.....hujat kafir.....gegayaan kayak kafir....penjaga sorganya saja Neno Warisman</t>
  </si>
  <si>
    <t>Tim Kesehatan Kogasgabpad : Kondisi 68 WNI Eks ABK Diamond Princess Dalam Keadaan Baik -</t>
  </si>
  <si>
    <t>@mbahCokro77 ISIS itu bentukan AS... bukan khilafah Islamiyah.... jangan di samakan dg Khilafah Islamiyah pasca nabi wafat....</t>
  </si>
  <si>
    <t>188 WNI ABK World Dream tetap diperiksa ulang kesehatannya sebelum meninggalkan Pulau Sebaru. Selain itu, mereka juga akan tetap dipantau selama berada di daerah masing". #PulauSebaru</t>
  </si>
  <si>
    <t>@wisanggeni_084 Ini otaknya pasti dijejali doktrin isis, pas nyamper ke sarang isis, dijadikan budak sex oleh tentara isis, katanya, khilafah begini begitu katanya,.coba itu yg demo dikirim kesana biar ngerasain rudal kecil isis, biar tau sendiri, entar klo pulang jangan di kasih biar tau rasa,.</t>
  </si>
  <si>
    <t>@satoedoeasatoe Ang enye antek Orba...? Habis warisan dari Bokap lo ? Wajarlah.....duit daoet Rampok</t>
  </si>
  <si>
    <t>@sbyfess pas sore ngene enak, nikmati sunset. mrono bayar tiket oleh voucher mangan atau ngombe iso ditukerno, range harga ya normal wajar kek liyane. foto tok gatuku ombe atau panganan yo gaopo, isis lek sore sore</t>
  </si>
  <si>
    <t>@RanaAyyub Updated: Arrests made in #AntiHinduRiots so far- 1. Shahrukh 2. Tahir Hussain(AAP) 3. Shahnawaz 4. Jahanjeb Sami(ISIS) 5. Hina Bashir(ISIS) 6. Danish Ali(PFI) 7. Shah Alam 8. Salim Malik 9. Mohd Jalaluddin 10. Mohd Ayub 11. Mohd Yunus 12. Mohd Mushtaq 13. Md Danish 14. Md Salim</t>
  </si>
  <si>
    <t>@murcana @VIVAcoid Kalau secara Undang Undang jg mmng tdk bisa, krn hrs seorang WNI sejak lahirnya.</t>
  </si>
  <si>
    <t>Kedutaan Besar Republik Indonesia (KBRI) di Seoul melaporkan, kondisi wilayah Daegu di Korea Selatan semakin kondusif.</t>
  </si>
  <si>
    <t>Tolak kepulangan isis eks wni</t>
  </si>
  <si>
    <t>Sebanyak 188 warga negara Indonesia (WNI) yang teridentifikasi sebagai anak buah kapal (ABK) World Dream telah selesai menjalani masa observasi di Pulau Sebaru, Kepulauan Seribu, Jakarta. #PulauSebaru</t>
  </si>
  <si>
    <t>@RizmaWidiono @ISIS_Balik_NO @DivHumas_Polri @CCICPolri @BareskrimPolri @musniumar @fahiraidris jgn d lupakan</t>
  </si>
  <si>
    <t>RT @SammiSoh: Kemalangan seseorg tdk dilihat sebagai kemalangan kita bersama, tapi dilihat sebagai berkah sehingga barang2 penumpang yg bergelimpangan di pinggir jalan karena kecelakaan dijarah oleh warga setempat di Sumbar Nasib, nasibmu, Kawan. Udah jatuh, tertimpa mobil, barang pun habis</t>
  </si>
  <si>
    <t>Pemerintah Masih Kaji Opsi Pulangkan Anak-anak WNI ex ISIS</t>
  </si>
  <si>
    <t>RT @mediaindonesia: Seorang pasien WNI yang tengah menjalani isolasi di RSPI Sulianti Suroso, Jakarta Utara meninggal dunia dalam kondisi sakit pneumonia berat pada Kamis (12/3).</t>
  </si>
  <si>
    <t>RT @Berkarya_Info: Seorang WNI Dikonfirmasi Sebagai Kasus ke 170 Convid - 19 di Singapura</t>
  </si>
  <si>
    <t>@DAROSAFONTANAL1 @NurlelySiregar @w_runturambi Ngerakeu urang sunda sia anying ! Jadi panasaran neuleu beungeut sia !</t>
  </si>
  <si>
    <t>RT @antaranews: "Biaya memang ditanggung sendiri untuk turis jika positif #COVIDー19," kata Kepala Fungsi Pensosbud KBRI Singapura</t>
  </si>
  <si>
    <t>RT @NephiLaxmus: Pasien 152 sdh alami gejala sjk tgl 28 Feb 2020. Ia sempat dtg ke Indonesia, dan pada tgl 2 Maret 2020 sempat dtg ke RS di Jkt. Kasus 152 disebutkan kembali lg ke Singapura dan dinyatakan positif Covid-19 pd 7 Maret 2020 olh tim medis Singapura.</t>
  </si>
  <si>
    <t>Keteledoran dan Eksploitasi ISIS dalam Memaknai Hijrah (Bagian IX)</t>
  </si>
  <si>
    <t>Seorang pasien WNI yang tengah menjalani isolasi di RSPI Sulianti Suroso, Jakarta Utara meninggal dunia dalam kondisi sakit pneumonia berat pada Kamis (12/3).</t>
  </si>
  <si>
    <t>@BruceEmond @Buk4nBunga @Greschinov Bruce, you pindah jadi WNI aja deh.</t>
  </si>
  <si>
    <t>@w_runturambi Padahal....Prabowonya saja sudah rela jadi Pembantu pak @jokowi....kewarasan nya diPERTANYAKAN</t>
  </si>
  <si>
    <t>"Biaya memang ditanggung sendiri untuk turis jika positif #COVIDー19," kata Kepala Fungsi Pensosbud KBRI Singapura</t>
  </si>
  <si>
    <t>RT @samhudibae: Normalisasi sungai berhenti. Diganti naturalisasi. Akh..untung bukan BTP yg melakukan naturalisasi. Bayangin kalo BTP: hooi naturalisasi itu proses perubahan status, dari WNA menjadi WNI dasar Cina, ga ngerti istilah! #BongkarSkandalFormulaE</t>
  </si>
  <si>
    <t>@w_runturambi @Rama_Al_Qassam Pak @mohmahfudmd adaorang ilang manusia rendah.....bisa tolong lihat seberapa TINGGI manusia penulis CUITAN ini</t>
  </si>
  <si>
    <t>Hera menyebutkan ada beberapa kasus di mana pasien Covid-19 tidak mendapatkan hasil positif dalam satu kali tes - #Sains</t>
  </si>
  <si>
    <t>Pemerintah Singapura mengumumkan satu WNI berusia 56 tahun positif tertular virus corona Covid-19. Sehingga, total 5 WNI telah terjangkit corona di Negeri Singa.</t>
  </si>
  <si>
    <t>@Rama_Al_Qassam @gerinisk Ada kejadian nomor 1 pada diri anda ? Disambit pake batu Kah ?</t>
  </si>
  <si>
    <t>Seorang WNI Dikonfirmasi Sebagai Kasus ke 170 Convid - 19 di Singapura</t>
  </si>
  <si>
    <t>Sebanyak 188 Warga Negara Indonesia (WNI) anak buah kapal (ABK) World Dream telah siap dipulangkan ke daerah asal, usai menjalani observasi di Pulau Sebaru kecil, Kepulauan Seribu, DKI Jakarta. #WorldDream #coronavirus</t>
  </si>
  <si>
    <t>@gerinisk .di Bali ada semua kok Semua ramah kok.emang ada kejadian non Hindu dilemparin penduduk lokal ? Ramah seperti apa lagismua kriteria yg anda cari ADA DISANA.makanya, jangan cuma denger omongan orang .sekali2 jalan2 kesono Tp kalo anda minta kebudyaan bali dirubah... Tak Usah ya !</t>
  </si>
  <si>
    <t>RT @waddlesword: kalau wni yg dinyatakan sembuh dr corona, setelah itu ia kembali ke permukiman, namun mala di hancurkan lewat mental, bukankah itu lebih parah dr corona? terkadang manusia lebih kejam drpd virus.</t>
  </si>
  <si>
    <t>Kemenlu: 69 WNI ABK Diamond Princess dipulangkan, 8 positif coronavirus</t>
  </si>
  <si>
    <t>Kementerian Luar Negeri RI lewat akun Twiter resminya menyebut, semula 9 orang WNI yang positif terjangkit virus corona, kini 8 diantaranya sudah sembuh sehingga tinggal 1 yang masih positif COVID-19.</t>
  </si>
  <si>
    <t>5 WNI Positif COVID-19 di Singapura</t>
  </si>
  <si>
    <t>RT @pesanbijakk: Hari ini 188 WNI ABK World Dream yg diobservasi di Pulau Sebaru selesai ya? Alhamdulillah. #PulauSebaru</t>
  </si>
  <si>
    <t>8 WNI di luar negeri pulih dari coronavirus</t>
  </si>
  <si>
    <t>@pungkas___ Siang, Kak. Sesuai ketentuan Peraturan Dirjen Pajak No. PER-06/PJ/2019, pasal 4 ayat (3) huruf c: Wajib Pajak menunjukan asli dan menyerahkan fotokopi dokumen berupa, Kartu Tanda Penduduk (KTP), dalam hal Wajib Pajak merupakan WNI. Passpor, dan KITAS atau KITAP bagi WNA. Tks*Zy</t>
  </si>
  <si>
    <t>RT @cilliasiregar: 188 WNI ABK World Dream Selesai Observasi di Pulau Sebaru #PulauSebaru</t>
  </si>
  <si>
    <t>WNI dikonfirmasi sebagai kasus ke-170 di Singapura</t>
  </si>
  <si>
    <t>RT @okezonenews: Ratusan WNI yang Diobservasi di Pulau Sebaru Diberi Penyuluhan soal Virus Korona #TauCepatTanpaBatas #BeritaTerkini #Berita #News #BeritaNasional .</t>
  </si>
  <si>
    <t>RT @Metro_TV: #NewslineMetroTV Kondisi 68 WNI anak buah kapal Diamond Princess yang tengah menjalani masa observasi di Pulau Sebaru Kecil, Kepulauan Seribu dalam kondisi sehat dan bersemangat mengikuti semua agenda observasi.</t>
  </si>
  <si>
    <t>188 WNI ABK World Dream Selesai Observasi</t>
  </si>
  <si>
    <t>RT @antarajatimcom: Pemerintah menyatakan terdapat kemungkinan pasien 06 yang sudah dinyatakan sembuh dari COVID-19 tidak langsung dipulangkan, melainkan akan menunggu seluruh WNI ABK Diamond Princess yang sedang diobservasi di Pulau Sebaru, Kepulauan Seribu, DKI Jakarta.</t>
  </si>
  <si>
    <t>RT @MeTubeID: 68 WNI kru Kapal Diamond Princess akan diturunlan dari KRI Soeharso ke lokasi observasi, Pulau Sebaru Kecil, Kepulauan Seribu, selengkapnya di</t>
  </si>
  <si>
    <t>@gerinisk @niakaniapurnama @CNNIndonesia Jadi menurut anda....Bali harus merubah tradisi menjadi Islami ? Kebudayaan bagi erat kaitannya dgn Ajaran Hindu....kalau anda gak suka....kenaoa mesti maksa pergi ke bali...cari destinasi laen...aceh..sumbar yg kebudayaannya erat dgn keyakinan anda</t>
  </si>
  <si>
    <t>@wisanggeni_084 Kalo sudah diculik isis baru tau rasa.. Dsana jadi budak sex dan yang cowo wajib perang.. nyesel pengen balik jadi WNI.. ehh ga bisa.. 😂</t>
  </si>
  <si>
    <t>RT @vivanewscom: Wabah Corona Korsel: Tim Khusus KBRI Seoul Siaga Pantau WNI di Daegu  #vivanews</t>
  </si>
  <si>
    <t>Wabah Corona Korsel: Tim Khusus KBRI Seoul Siaga Pantau WNI di Daegu  #vivanews</t>
  </si>
  <si>
    <t>@niakaniapurnama @gerinisk @CNNIndonesia Kalau pingin bener2 Halal, tasyanya ke arab saudi mbak....ngapain juga nyari masalah...ygTuris cari disana aadalah kebudayaannya..yg jelas kebudayaan Hindu....</t>
  </si>
  <si>
    <t>[Video] Seperti apa rasanya menjalani kehidupan di Italia yang sedang ditutup? Jeannette Lim, WNI di Italia, bercerita bagaimana pemerintah mencegah wabah Covid-19 semakin meluas — salah satunya dengan menjaga jarak minimal satu meter dari orang lain.</t>
  </si>
  <si>
    <t>RT @hidupnanindah: Jadi hari ini 188 WNI ABK World Dream yg diobservasi di Pulau Sebaru selesai hari ini ya? Alhamdulillah. #PulauSebaru</t>
  </si>
  <si>
    <t>WNI di Australia Positif Corona Setelah Makan di Resto Vietnam</t>
  </si>
  <si>
    <t>Waduh yg udah di tes negatif ternyata belum tentu bebas, tapi karena tidak terdeteksi oleh alatnya. WNI Positif Covid-19 di Singapura, Ternyata Hasil Tes Negatif Bisa Berubah Positif</t>
  </si>
  <si>
    <t>RT @faizalassegaf: Silakan pihak Singapura terbuka kpd Indonesia, pihak WNI yg paling banyak mondar-mandir ke China dan mampir ke Singapura saat imlek. Buka aja datanya seterang-terangnya ke publik. Singapura Sebut Kasus-kasus Baru Corona Impor dari Indonesia</t>
  </si>
  <si>
    <t>buat ingat" bagaimana wagabi menghancurkan Baqi' dan Jannatul Ma'la, dan saking kurang ajarnya Maqam Nabi Muhammad SAW jg hendak dihancurkan, tpi gak jadi karena desakan ummat Muslim dunia termasuk NU... Sebelum ISIS melakukannya, wagabi sdh lebih dulu</t>
  </si>
  <si>
    <t>Kasihan mereka enggak pernah dapet info kl ISIS yg mengusung Khilafah itu menjadikan wanita sebagai budak sex di tempat asalnya. Nggak pernah baca atau memang gak punya kuota buat buka inet, atau memang pingin atau memang doyan.... Entah lah.. 😓😓😓</t>
  </si>
  <si>
    <t>RT @KompasTV: Kemlu: 9 WNI di Luar Negeri Sembuh dari Virus Corona</t>
  </si>
  <si>
    <t>@Takviri @ustadtengkuzul mungkin yg nonton jg predator2 yg menginginkan punya budak wanita yg bs diinjak2 dan diperlakukan seenaknya seperti perlakuan isis ke wanita2 Yazidi. Di akhirat pertanggungjawaban ucapannya gk akan lolos anda tengku. Status mui gk akan bs membantu.</t>
  </si>
  <si>
    <t>@ShantiSetiawati @yanahilman2 @UlfaAmara @URastajani @cuncunajaxezar @diannovie03 @LenjelMelah @cxolls_aljawi @rafifa_kayla @SunAntoni1 @nay_sme @KimmiH_1802 @ISIS_Balik_NO @Widya27213661 Trima kasih mbak yana sudah promote 😊🙏</t>
  </si>
  <si>
    <t>RT @just4WINmyHope: - Jikapun ada kedatangan dari 3 negara tsb diwajibkan menyertakan surat sehat dan mengisi bbrp dokumen - saat ini sudah 34 WNI positif Covid-19 - Dimana 1 orang meninggal dunia (dengan penyakit komplikasi seperti Hypertensi, Diabetes, dan Paru</t>
  </si>
  <si>
    <t>Jadi hari ini 188 WNI ABK World Dream yg diobservasi di Pulau Sebaru selesai hari ini ya? Alhamdulillah. #PulauSebaru</t>
  </si>
  <si>
    <t>Semoga virus Corona segera berakhir dan mereda ya Lumayan jga ke parawisata menurun :( apalagi WNI jga udh ada yg kena</t>
  </si>
  <si>
    <t>RT @ditjen_imigrasi: Ditjen Imigrasi melalui Kantor Imigrasi berusaha melakukan Penundaan Penerbitan Paspor &amp; Penundaan Keberangkatan atas WNI terduga Pekerja Migran Indonesia Nonprosedural di Tempat Pemeriksaan Imigrasi. Berikut catatan yang berhasil Mido rangkum terhitung mulai 1 Jan- 28 Feb 2020.</t>
  </si>
  <si>
    <t>@DvassaLibertina Kkķķķkkk BERRO</t>
  </si>
  <si>
    <t>188 WNI ABK World Dream Siap Dipulangkan ke Daerah Asal, Semuanya Sehat #BacaIndoposAja #Covid19 #VirusCorona #WorldDream</t>
  </si>
  <si>
    <t>(2)Sesuai tugasnya, petugas Imigrasi memeriksa para pelintas baik WNI maupun WNA. Petugas bisa mengizinkan atau malah menolak orang asing untuk melintas masuk wilayah Indonesia. Tahukah kamu berapa penumpang asing yang telah ditolak masuk oleh Petugas Imigrasi di Tempat</t>
  </si>
  <si>
    <t>@ISIS_Balik_NO @KemenkeuRI Gak ada yg kberatan slama tata kelola keuangannya jelas dan transparan... Balik lagi ke twit sy yg sblmnya... Lembaga non profit lg tekor puluhan T tp gaji dan bonus direksi dinaikkan... Bikin CSR... Logikanya dimana..?</t>
  </si>
  <si>
    <t>RT @aryacokronegoro: Sebenarnya saya pribadi bahagia sekali jika memang bnr bnr WNI bisa bebas visa atau @ETIASnews 2021 ke Schengen dibantu Belanda. Karena pasti dengan bebas visa akan menghidupkan turism dan bisnis kedua belah pihak</t>
  </si>
  <si>
    <t>RT @aryacokronegoro: Seutas ttg visa Schengen, Banyak bgt yang menginginkan permintaan maaf Belanda kepada Indonesia soal penjajahan bisa me jadi titik balik @BebasVisaID WNI ke Belanda. @IvanRT05 @sandmanindo @chuentoi @MikeyAM97 @jameshandaja @StefRanda @vonnycornellya_</t>
  </si>
  <si>
    <t>188 WNI ABK World Dream Selesai Observasi di Pulau Sebaru #PulauSebaru</t>
  </si>
  <si>
    <t>@Mun4fikunn @KemenkeuRI 96.8 juta rakyat dibantu fasilitas kesehatannya....apa masih kurang ? Sementara kalau masyarakat mampu diajak untuk turut serta memikirkan orang miskin itu salah ? Saya rasa, semua orang di Indonesia beragama, dan diajarkan bagaimana orang mampu harus bersikap thd mereka</t>
  </si>
  <si>
    <t>188 WNI ABK World Dream akan dipulangkan ke daerah masing-masing hari sabtu ini dengan menggunakan KRI Semarang. #PulauSebaru</t>
  </si>
  <si>
    <t>(3)WNI terduga Pekerja Migran Indonesia Nonprosedural di Tempat Pemeriksaan Imigrasi. Berikut catatan penundaan yang berhasil Mido rangkum terhitung mulai 1 Januari sampai 28 Februari 2020. #SDMUnggulImigrasiPastiMaju #ImigrasiJagaNegeri #ditjenimigrasi #kemenkumhamjambi</t>
  </si>
  <si>
    <t>(2)dalam melakukan pencegahan agar WNI tidak menjadi Pekerja Migran Indonesia (PMI) Nonprosedural dan terjerat dalam praktik human trafficking. Petugas Imigrasi berusaha melakukan Penundaan Penerbitan Paspor di Kantor Imigrasi dan Penundaan Keberangkatan terhadap</t>
  </si>
  <si>
    <t>(1)Repost from @ditjen_imigrasi Negara hadir dalam pelindungan warganya.Kalimat ini selalu muncul tatkala berbicara mengenai keselamatan WNI baik di dlm negeri maupun luar negeri Direktorat Jenderal Imigrasi melalui Kantor Imigrasi turut aktif dalam mewujudkan kehadiran negara</t>
  </si>
  <si>
    <t>@Mun4fikunn @KemenkeuRI Semua juga perlu PIKIRAN yg bersih untuk bisa mempercayai pemerintah mas Mau dibilang keputusan baik...setengah baik atau bahkan keputusan yg sangat buruk.....hati dan motif kita sendiri yg akan MENTERJEMAHKANnya</t>
  </si>
  <si>
    <t>Kedutaan Besar RI di Singapura mengumumkan terdapat lima (5) warga negara Indonesia yang positif COVID-19 di negara setempat, satu di antaranya dinyatakan telah pulih dan pulang dari rumah sakit. #coronavirus #CoronaVirusUpdates</t>
  </si>
  <si>
    <t>@ikanatassa Awal kasus 01 wna, sekantor adik heboh menjauh dari ekspat. Makanya dubesnya protes bilang kl mrk didiskriminasi oleh wni. Jd skrg nggak dibilang lagi warga negara mana &amp; lokasinya. Lagipula aneh, staf lokal dilarang perjalanan luar negeri sementara staf asing bebas &amp;amp; jd pembawa</t>
  </si>
  <si>
    <t>RT @Andi_ariyanto99: Pasuruan Ngeri Lurr, Menculik gak tanggung tanggung anak WNA seng di gondol 😬😬🙏</t>
  </si>
  <si>
    <t>RT @atiqahadlina: Orang yang terpaksa hidu asap rokok tapi dia tak hisap rokok.</t>
  </si>
  <si>
    <t>RT @KadrunHunter99: Analisa logika PoliTIKUS PKS mengawang &amp; mengangkasa ketika membela Formula E berbau Amies. -&gt;Formula E undang Wisatawan Asing (Padahal terdepan teriak kofar kafir asing) -&amp;gt;FE berpotensi Ekonomi 600M sehari, ditanya kajiannya drmna, jawabnya Tidak Tahu #BongkarSkandalFormulaE</t>
  </si>
  <si>
    <t>@HumorPolitikINA Kebiasaan kaum kadrun....haruanya diberi efek jera. Mereka tak malu menggadaikan PENDIDIKAN DAN INTELEKTUALITASnya hanya untuk menyalurkan NAFSU DAN SYAHWAT IBLIS</t>
  </si>
  <si>
    <t>Otaknya sdh gk beres.. Skrng wanita sdh emansipasi di Indonesia.. Ini baru koar2.. Diperang suriah wanita jd budak sex isis dan diperdagangkan, kadrunwati.. goblok.. Pergi aja kesana, dihargai atau dijadikan apa loe dsna.. Kasihan otakmu dicuci RT @mbahCokro77: Jika benar Khilafah menjaga kehormatan wanita,silahkan datang dan gabung disuriah n ISIS 😁😁 Bukan omdo tp bukti nyata kalau gk pingin dirombong lakinya 😂😂😂 Gini ni orang2 sok tau tanpa menggunakan akal pikiran n nalarnya yg dianugrahkan Allah😂</t>
  </si>
  <si>
    <t>RT @AndriSitumorang: @thedufresne Yaeellaaaaaah kaya baru sehari aj jd WNI...</t>
  </si>
  <si>
    <t>@ISIS_Balik_NO @Dennysiregar7 Apa hubungan nya sm ORBA??..wkwkwk..coba loe Googling, partai mana yg kader nya korupsi terbesar saat ini di Indonesia...itu klo loe cerdas gak GOBLOK tentu nya...</t>
  </si>
  <si>
    <t>RT @RECOVERADIO: Berikut update perkembangan Covid-19 di Dunia dan pelindungan WNI per 11/03 pukul 18.00 WIB. 8 WNI telah dinyatakan sembuh dari Covid-19 di luar negeri. via @Kemlu_RI</t>
  </si>
  <si>
    <t>@JoeWongJava1 @ISIS_Balik_NO @TofaTofa_id @kangdede78 Terus masalahmu apa ? Kau sembahlah apa yg kau sembah Biarkanlah kafir sembah apa yg dia sembah. Apapin pulak kau ambil2 ayat kafir ? Emang kau mau ayat2 suci mu dikutip2 dan diplesetkan artinya ? Mau??? Dungumu jgn sampe unlimited gitu donk. 🤣🤣</t>
  </si>
  <si>
    <t>@JoeWongJava1 @GrandLight88 @TofaTofa_id @kangdede78 Jadi lo mengingkari Agamaku adalah Agamaku Agamamu adalah Agamamu Mo ngapain kek, mo .mo tiduraan mo sambil berak ibadahnya, emang ngefek sama sorga lo ? Yg jelas, semua Versi SORGA.adalah diisi orang2 BAIK, bukan pendengki, hoax, fitnah, dan sorga bukan melulu buat NGEUE</t>
  </si>
  <si>
    <t>@ciloqciliq @cursedkidd Ga mau, nanti jadi korban bom suicide squad anggota Isis</t>
  </si>
  <si>
    <t>@nurulmuliaw @NdraQ @Windekind_Budi @CNNIndonesia Emg gimana ceritanya deh bs dihubungin ke agama? Mgkn mbak nya bs dijelasin biar ga salah paham. Wisata muslim? Itu murni bisnis di jepang aja ada. Ust.abdul somad? Itu wni biasa spt kita. Kaitin sm agama nya dmn? Bingung saya coba gan bli bs jelasin 😂</t>
  </si>
  <si>
    <t>@mbahCokro77 @nnyzhuxin Dsuriah yg sedang perang oleh isis yg memperjuangkan khilafah, malah wanita diperdagangkan dan jd budak sex pasukan isis.. Tp knapa bisa yach, poster mereka begitu. Hadeh.. Seakan di negara skrng ini, kehormatan wanita dilecehkan. Justru wanita sdh sederajat dng pria kadrunwati</t>
  </si>
  <si>
    <t>WNI Perempuan Menjadi Pasien Positif Corona Ke-170 di Singapura, Memiliki Ikatan Keluarga dengan Kasus Ke-152</t>
  </si>
  <si>
    <t>@hannanihasnin Mana nk cari😭</t>
  </si>
  <si>
    <t>@JoeWongJava1 @GrandLight88 @TofaTofa_id @kangdede78 Sudah jelas menurut lo KAFIR....kenapa pula lo urusin Hidup kok ribet amat ya</t>
  </si>
  <si>
    <t>@KakekHalal @DivHumas_Polri @musniumar maaf boleh tapi proses hukum terus berjalan krn semua WNI punya kedudukan yg sama di depan hukum</t>
  </si>
  <si>
    <t>@GrandLight88 @JoeWongJava1 @TofaTofa_id @kangdede78 Ssstttt jangan ribut ...mereka dpt surganya gratisan, saat reunian MONAS</t>
  </si>
  <si>
    <t>Kalau saya rasa Belanda sudah tahu dan mau membebaskan visa WNI ke Belanda. Tp negara penentu kebijakan terbesar di EU seperti Jerman dan Prancis belum tentu.</t>
  </si>
  <si>
    <t>Sebenarnya saya pribadi bahagia sekali jika memang bnr bnr WNI bisa bebas visa atau @ETIASnews 2021 ke Schengen dibantu Belanda. Karena pasti dengan bebas visa akan menghidupkan turism dan bisnis kedua belah pihak</t>
  </si>
  <si>
    <t>Seutas ttg visa Schengen, Banyak bgt yang menginginkan permintaan maaf Belanda kepada Indonesia soal penjajahan bisa me jadi titik balik @BebasVisaID WNI ke Belanda. @IvanRT05 @sandmanindo @chuentoi @MikeyAM97 @jameshandaja @StefRanda @vonnycornellya_</t>
  </si>
  <si>
    <t>@arif2702daulay @Dennysiregar7 Gunakam KECERDASAN anda... Siapa dibalik kesemua kerusuhan memgatas namakan agama .. Rajin browsing masalalu mereka....nanti kau jumpai MUARAnya ada dimana Kecuali kalau kau besar dengan diempanin duit hasil jilat koruptor terbesar sedunia 32 tahun....otak lo Sudah RUSAK</t>
  </si>
  <si>
    <t>RT @medcom_id: WNI Terjangkit Korona di Singapura Jadi Lima Orang</t>
  </si>
  <si>
    <t>@JoeWongJava1 @ISIS_Balik_NO @TofaTofa_id @kangdede78 Hahahahah Beda2 ya sorga nya ? Sorga mu yg ada 6 lusin bidadari yg tugasnya cuma utk dikenti ama kalian ya ? Jgn goblok donk. Sorga hanyalah janji dr masa lalu utk org2 spy nurut dan patuh. Dan elo kudu mati dulu utk buktiin apakah janji itu benaran atau boong. #SilakanMati 🤣</t>
  </si>
  <si>
    <t>@mas__piyuuu Yah elaaahhh maen nya isu ini lagi Banyak bacot! Kombatan ISIS kok didukung?? GOBLOK!</t>
  </si>
  <si>
    <t>Ya Robb Andaikan INdonesia dipimpin oleh orang yg beriman kepadaMU Insyaallah pasti negara2 kafir akan segan &amp; menghormati Keberkahan akan semakin melimpah dirasakan bangsa Indonesia &amp;amp; dunia Hasbunallah wni'mal wakil ni'mal Maula w ni'man natsiir🤲</t>
  </si>
  <si>
    <t>@P3nj3l4j4h_id @__ChusnulCh_ Kaum Kadrun....entah sengaja atau tak bisa mengontrol selangkangan, Kemualiaan Perempuan dlm ajaran agamanya....hancur Perempuan hanya jadi lubang pemuas napsu</t>
  </si>
  <si>
    <t>@ISIS_Balik_NO @GrandLight88 @TofaTofa_id @kangdede78 Bisa baca gak??..tuh tulIsan arab bunyi nya "KAFIRUN"...sekarang di kitab asli loe ada tidak yg nyebutin "KAFIR" ??..Jadi kalo kami bilang Kafir ya karena di Alquran Kami ada dan dijelaskan bukan mengada-ngada...paham??</t>
  </si>
  <si>
    <t>@ISIS_Balik_NO @Dennysiregar7 Bukan nya rezim ini yg selalu di perdaya sm koruptor kakap?? Jadi yg goblok itu siapa??..Trus koruptor nya jg, satu barisan pula..mayoritas dr partai rezim ini...jadi makin GOBLOK dech..</t>
  </si>
  <si>
    <t>Bisa jadi, gejala panas pasien tersebut tidak terdeteksi saat awal ada di Indonesia.</t>
  </si>
  <si>
    <t>@AmiiTualeka @ISIS_Balik_NO Ada "pesta" di dki</t>
  </si>
  <si>
    <t>RT @kompascom: Delapan dari sembilan orang warga negara Indonesia (WNI) di Jepang yang sebelumnya positif Covid-19 telah dinyatakan sembuh.</t>
  </si>
  <si>
    <t>@JoeWongJava1 @ISIS_Balik_NO @TofaTofa_id @kangdede78 Semoga yang ini bukan ulama kalian ya.. Semoga aja yang ini ulamanya orang2 kafir. Semoga aja yg ini keanggotaan nya di MUI palsu ya... Semoga aja yg ini ..... Asudahlah... 😄😄😄</t>
  </si>
  <si>
    <t>Indonesia harus berjaya, dgn pemilik tunggal, Ratu Adil yg sebenarnya.. China yg merasa dianak tirikan yg membantu negara, dilindungi (di periksa keimanannya / Nasionalis) Pribumi (WNI asli) yg diutamakan.</t>
  </si>
  <si>
    <t>Satu WNI Lagi di Singapura Positif Virus Korona</t>
  </si>
  <si>
    <t>#Dunia Seorang WNI Dikonfirmasi Jadi Kasus ke-170 Corona di Singapura</t>
  </si>
  <si>
    <t>RT @KontanNews: Hore, 8 WNI di Jepang yang positif virus corona dinyatakan sembuh  #VirusCorona</t>
  </si>
  <si>
    <t>Hari ini 188 WNI ABK World Dream yg diobservasi di Pulau Sebaru selesai ya? Alhamdulillah. #PulauSebaru</t>
  </si>
  <si>
    <t>Kementerian kesehatan Singapuran umumkan WNI positif corona</t>
  </si>
  <si>
    <t>Anggota tim eksternal PPI Milan, Ridha Amalia Rizki, menceritakan situasi terkini di Italia setelah diterapkan lockdown.</t>
  </si>
  <si>
    <t>Pasuruan Ngeri Lurr, Menculik gak tanggung tanggung anak WNA seng di gondol 😬😬🙏</t>
  </si>
  <si>
    <t>@Airin_NZ Orang2an pak kumiis ternyata......spa tau semua keonaran, pak kumis juga yg punya andil....takut kehilangan DUIT</t>
  </si>
  <si>
    <t>@ISIS_Balik_NO @cybercivil_041 @Dennysiregar7 @CNNIndonesia Ha...ha...ha....koq rasanya situ ngomongin diri sendiri yak...</t>
  </si>
  <si>
    <t>@AriestaRiico Jakarta takut Tentara Aloh ?......mental kok spt kapir</t>
  </si>
  <si>
    <t>Baru tdi mlm tau 1 wni meninggal akibat corona dan aku cuma santuy baca beritanya, no worry samsekk. Dan barusan dpt kabar 2 org positif corona di RS. Unair langsung deg"an. And i can't stay calm again. Huhuu Take care gaess.</t>
  </si>
  <si>
    <t>@JoeWongJava1 @GrandLight88 @TofaTofa_id @kangdede78 Selangkangan kalian yg kagak nanggung.....anak kandung....diembat juga Subhanallah !</t>
  </si>
  <si>
    <t>Seorang WNI dikonfirmasi sebagai kasus ke-170 COVID-19 di Singapura</t>
  </si>
  <si>
    <t>RT @KBRILondon: Imbauan KBRI London Bagi WNI di Inggris dan Irlandia terkait Penyebaran Virus Covid-19 #negaramelindungi #covid19 #inidiplomasi</t>
  </si>
  <si>
    <t>@NonaMaya222 Ah iya tah? Aku malah lupa hehe kyknya pas viral wni di singapura ditangkap dikira bawa sabu di hotel yah mba? Taunya tawas hehe Hehe iyah mbaaa bener bgt lbh enak tawas drpd deo 😍😍😍</t>
  </si>
  <si>
    <t>Tolak liberal maka ia akan jadi apa tun? Tinggal ISIS lah tun negara. Tak percaya? Kaji lah agama. Tak pun saya boleh teranngkan. RT @zurairi: . @chedetofficial accusing @anwaribrahim of being “liberal” is hands down the funniest story this morning</t>
  </si>
  <si>
    <t>WNI tersebut merasakan gejala #COVID19 sejak 6 Maret saat berada di Indonesia.</t>
  </si>
  <si>
    <t>@ISIS_Balik_NO @GrandLight88 @TofaTofa_id @kangdede78 Ulama kami tidak mungkin melakukan perbuatan Caboel/Zinah....hubungan sex diluar tali Pernikahan itu adalah Haram...paham??</t>
  </si>
  <si>
    <t>RT @YearOfRat: ISIS &amp; Al-Qaeda: Jala do, kaat do, sar uda do, maar daalo, bhoon do, sab infidels ko Liberal: Dude, religion does not preach violence *Boom*</t>
  </si>
  <si>
    <t>@ISIS_Balik_NO @Dennysiregar7 Tuch Khan, loe bingung cara lapor nya Khan ...dongo nya makin bersinar loe gog..😂😂😂😂😘</t>
  </si>
  <si>
    <t>Jom cari🤤 RT @ffikrisyabill: I need this ASAP 🤤</t>
  </si>
  <si>
    <t>Posko Aju akan terus menjadi pusat bantuan bagi WNI yang berdomisili di Daegu dan Gyeongsangbuk-do. Tugas tim termasuk koordinasi erat dengan aparat dan otoritas pemerintah setempat juga koordinasi dengan kelompok-kelompok warga Indonesia di Daegu.</t>
  </si>
  <si>
    <t>Untuk memastikan WNI merasa aman dan dilindungi, KBRI Seoul melakukan rotasi Tim Posko yang berlokasi sekitar 50 Km dari Kota Daegu. Tim kedua berangkat Kamis (12/3), menggantikan tim sebelumnya yang akan kembali ke Seoul. @Kemlu_RI @UmarHad73314840 @sofia_sudarma</t>
  </si>
  <si>
    <t>@lilobrr Eh bodohhhh. yaAllah</t>
  </si>
  <si>
    <t>Ngeri, Ini Kisah Bocah-bocah Eks ISIS Membongkar Kebiadaban ISIS</t>
  </si>
  <si>
    <t>Proses evakuasi 188 WNI ABK World Dream selesai hari ini. #PulauSebaru</t>
  </si>
  <si>
    <t>RT @LieYurika: yurika999-- Dinyatakan positif Virus Corona seorang Warga Negara Indonesia (WNI) di Singapura, Perempuan berusia 62 tahun tersebut merupakan kasus positif ke-133 di Singapura dan dirawat di National University Hospital (NUH), Singapura.  via @pinterest</t>
  </si>
  <si>
    <t>@ISIS_Balik_NO @DjanChoek @aliiiinaja Gue ngasih komen berdasarkan info yang gue terima, dan berdasarkan budaya kita. Udah biasa kok kejadian kayak begini, banyak orang tua gak tau diri.</t>
  </si>
  <si>
    <t>PLTB ini dibangun dgn melibatkan pekerja yang 97% adl WNI. Dari segi teknis, tingkat komponen dalam negeri mencapai 42%, &amp; saat ini menjadi destinasi wisata baru di Prov. Sulawesi Selatan.⁣ Jadi, adakah #SobatKaeN yg sdh berkunjung ke PLTB Tolo? ☝️</t>
  </si>
  <si>
    <t>@arif2702daulay @Dennysiregar7 Duh.....kadrun....sok pinter sendiri Kalo ente Pinter.....ente bener2 pinter..kagak pula jadi kadal gurun Tapi gak masalah deh...lo jadi kadun saja terus.....sayang sorga kw an lo.....sepi</t>
  </si>
  <si>
    <t>Negara hadir dalam pelindungan warganya. Kalimat ini selalu muncul tatkala berbicara mengenai keselamatan WNI baik di dalam negeri maupun luar negeri. Direktorat Jenderal Imigrasi melalui Kantor Imigrasi turut aktif…</t>
  </si>
  <si>
    <t>Jubir Corona Sebut WNI 'Imported Case' dari Negara Tetangga</t>
  </si>
  <si>
    <t>WNI Terjangkit Korona di Singapura Jadi Lima Orang</t>
  </si>
  <si>
    <t>RT @vivanewscom: Wabah Corona: Kisah WNI di Italia Ikut Dikaratina  #vivanews</t>
  </si>
  <si>
    <t>Wabah Corona: Kisah WNI di Italia Ikut Dikaratina  #vivanews</t>
  </si>
  <si>
    <t>RT @kompascom: WNI kelima positif corona di Singapura berhubungan keluarga dengan WNI keempat positif corona.</t>
  </si>
  <si>
    <t>RT @Hanifah933: Watch : Curhatan WNI yg mencari Keluargany di Syria (karena terbujuk Janji Manis ISIS) ke Pak @ganjarpranowo ... Ingat gaesss ... Virus Radikal itu lebih berbahaya dari Virus lainny, termasuk #VirusCorona yg sdg mewabah saat ini ! #WaspadaCegahCorona</t>
  </si>
  <si>
    <t>@mkusumawijaya Mungkin krn banyak tenaga migran WNI ?</t>
  </si>
  <si>
    <t>Judulnya kurang pas. fyi sebelum kasus wni ini, semuanya ditanggung sm negara sg, termasuk turis. Trus krn ada yg sengaja datang buat test dan berobat jadinya skrg turis ditagih.. RT @catuaries: Singapura Akan Tagih Biaya Perawatan WNI Penderita Virus Corona</t>
  </si>
  <si>
    <t>Singapura Akan Tagih Biaya Perawatan WNI Penderita Virus Corona</t>
  </si>
  <si>
    <t>Keteledoran dan Eksploitasi ISIS dalam Memaknai Hijrah</t>
  </si>
  <si>
    <t>RT @rkchmdfz: @Pacitanku Enggak dong, Pak. TNI dan Polri gabole di parlemen, karena pegang senjata. Betul mereka masih WNI, ada prosedurnya kalo mau di parlemen ya mengundurkan diri dulu.</t>
  </si>
  <si>
    <t>Pasien positif virus corona di Indonesia terus bertambah. Kini, total WNI yang terjangkit virus corona di dalam negeri mencapai 34 orang alias bertambah tujuh kasus dari Selasa (11/3/2020).</t>
  </si>
  <si>
    <t>Cuma satu jersey yg gw nyesel beli itu jersey. Jersey Timnas 🤣 tapi oke lah. Formalitas WNI.</t>
  </si>
  <si>
    <t>@null KBRI Seoul Rotasi Tim Posko Aju, Bantu WNI di Pusat Wabah COVID-19 KBRI menyebut</t>
  </si>
  <si>
    <t>KBRI Seoul Rotasi Tim Posko Aju, Bantu WNI di Pusat Wabah COVID-19 #TauCepatTanpaBatas #BeritaTerkini #International #BeritaInternasional .</t>
  </si>
  <si>
    <t>Normalisasi sungai berhenti. Diganti naturalisasi. Akh..untung bukan BTP yg melakukan naturalisasi. Bayangin kalo BTP: hooi naturalisasi itu proses perubahan status, dari WNA menjadi WNI dasar Cina, ga ngerti istilah! #BongkarSkandalFormulaE</t>
  </si>
  <si>
    <t>panget ni isis</t>
  </si>
  <si>
    <t>@hate_HTi Lawan kalkun kewalahan gimana lawan ISIS ? Coba latihan lagi</t>
  </si>
  <si>
    <t>RT @__SisiLusipara: @Malwika9 #RezimCuekinCoronaDemiIbuKotaBaru #RezimCuekinCoronaDemiIbuKotaBaru Mahfud: Jumlah WNA yang Masuk ke Indonesia Lebih Tinggi dari Jumlah WNI Keluar Indonesia</t>
  </si>
  <si>
    <t>Judul clickbait. Yang betul: Singapura akan tagih biaya perawatan turis WNA penderita Covid-19 (ya, termasuk WNI). Karena WNI yang sakit justru terbang ke SG untuk dirawat, diindikasi akan meningkat. WNI seperti saya pemegang izin tinggal tetap, biayanya tetap akan ditanggung. RT @catuaries: Singapura Akan Tagih Biaya Perawatan WNI Penderita Virus Corona</t>
  </si>
  <si>
    <t>Sembuh dari COVID-19, pasien 06 tunggu semua WNI ABK Diamond Princess</t>
  </si>
  <si>
    <t>WNI Positif Corona di Singapura Bertambah Jadi 5 Orang</t>
  </si>
  <si>
    <t>16 WNI Terinfeksi Corona di Luar Negeri, 9 Sembuh</t>
  </si>
  <si>
    <t>Update Virus Corona di Singapura, KBRI: 5 WNI Positif, 1 Pasien Dinyatakan Sembuh &gt;&amp;gt;&amp;gt;&amp;gt;  #CoronaVirusUpdate #COVID19</t>
  </si>
  <si>
    <t>Pasien 06 (salah satu WNI Kapal Pesiar Diamond Princess) yang positif covid-19 telah dinyatakan sembuh. #PulauSebaru</t>
  </si>
  <si>
    <t>@dondihananto Sebetulnya kalau pemerintah jeli, data BPJS bisa dianalisa dan dijadikan strategi dan implementasi dalam meningkatkan probabilitas hidup sehat WNI ya. Kalau...</t>
  </si>
  <si>
    <t>@Pacitanku Enggak dong, Pak. TNI dan Polri gabole di parlemen, karena pegang senjata. Betul mereka masih WNI, ada prosedurnya kalo mau di parlemen ya mengundurkan diri dulu.</t>
  </si>
  <si>
    <t>Masa karantina 188 WNI ABK World Dream selesai per hari ini. #PulauSebaru</t>
  </si>
  <si>
    <t>@mbahCokro77 mungkin mereka pada buta teknologi ommm. sehingga medsos pun mreka gak kenal. jadi berita2 kekejaman khalifah isis tidak sampai ke telinga mereka.. atw sengaja mereka di jauhkan dari gadget biar para kadrun2 bodol mudah untk mempngaruhi mreka.😒</t>
  </si>
  <si>
    <t>@rullyjoo27 @AremaNita__ @dhimargi @BdyNusantara @SeruniPuspaAlam @daunsirih5 @Jelantik5 @onsrgst @su7loo @pasektohpati @_nice69_ @permadiaktivis Bukan sebatas khilafah, tapi itu bagian dari ajaran Islam karena artinya usaha menerapkan hukum2 Allah dalam kehidupan. Soal bentuknya terjadi perbedaan pendapat, ada versi HTI, ISIS, IM, dll. Bagi saya khilafah itu memasukkan nilai2 Islam dalam Pancasila krn tidak bertentangan.</t>
  </si>
  <si>
    <t>472 WNI Terjebak di Kota Qatif Arab Saudi</t>
  </si>
  <si>
    <t>@FichriHasan @Dennysiregar7 @CNNIndonesia Iya tuh, Islam kaffah kaya HTI, FPI, ISIS ya. Oh sory menyori gan.</t>
  </si>
  <si>
    <t>ISIS Sama Bahayanya Dengan Jaringan Al Qaida yang Berideologi ‘Salafi Takfiri’</t>
  </si>
  <si>
    <t>Ratusan WNI ABK World Dream dan Diamond Princess yang diobservasi di Pulau Sebaru, Kepulauan Seribu, dalam kondisi sehat. Sejumlah aktivitas pun rutin dilakukan, mulai dari olahraga pagi hingga makan bersama. #HeadlineNewsMetroTV</t>
  </si>
  <si>
    <t>Mengapa Warga Jepang yang Tulari 2 WNI Tak Terdeteksi Corona di Bandara?</t>
  </si>
  <si>
    <t>Kabar 2 WNI Positif Corona, Depok Jadi Topik Populer Dunia</t>
  </si>
  <si>
    <t>Ada WNI Positif Corona, Harga Masker Melambung Lagi Sampai Rp 2 Juta</t>
  </si>
  <si>
    <t>@OMG_lts_Nk CIA k terrorist list Mai hai Isis ki trha.. ban toh Hona he chaiye</t>
  </si>
  <si>
    <t>Bertambah, 1 WNI di Singapura positif terinfeksi virus corona  #VirusCorona</t>
  </si>
  <si>
    <t>@pramudit_ Setauku WNI ato pun WNA yg di Indonesia dit.</t>
  </si>
  <si>
    <t>RT @jawapos: Diisolasi Saudi, 472 WNI Terjebak di Kota Qatif</t>
  </si>
  <si>
    <t>@KemenkesRI Bagaimana prosedur testing bagi pendatang dari luar negeri (WNI&amp;WNA)? karena mayoritas kasus baru berasal dari imported case?</t>
  </si>
  <si>
    <t>RT @KompasTV: 57 WNI ABK Grand Princess Terjebak, Bagaimana Kondisinya?</t>
  </si>
  <si>
    <t>akun politik biar km bisa menyalurkan aspirasi sbg seorang wni</t>
  </si>
  <si>
    <t>RT @Indra_zill: @asumsico Tapi harapannya sih permintaan maaf ini dibarengi dengan 1. Pengembalian berbagai pusaka ke Indonesia; 2. Pembebasan visa bagi WNI untuk mengunjungi area Schengen (Belanda di dalamnya). Inggris aja udah bebasin visa buat Malaysia sama Singapura. Belanda kapan. ☹️</t>
  </si>
  <si>
    <t>Diluar Negeri, Kemlu: 15 WNI Positif Corona, 7 Dinyatakan Sembuh</t>
  </si>
  <si>
    <t>Indonesia Terkini : Pantau Keamanan Dan Kesehatan WNI, KBRI Seoul Rotasi Tim Posko Aju Kedua Hari Ini</t>
  </si>
  <si>
    <t>RT @kompascom: Berarti sudah ada lima WNI di Singapura yang positif Covid-19.</t>
  </si>
  <si>
    <t>@jokowi kepada bapak presiden yang terhormat Melalui pesan ini saya sebagai WNI ingin menyampaikan pesan mengenai sikon saat ini.. dimana setiap hari korban Corona bertambah terus.. pak presiden mohon cepat bertindak di setiap airport , pelabuhan dan terminal darat agar dipasang</t>
  </si>
  <si>
    <t>@Malwika9 #RezimCuekinCoronaDemiIbuKotaBaru #RezimCuekinCoronaDemiIbuKotaBaru Mahfud: Jumlah WNA yang Masuk ke Indonesia Lebih Tinggi dari Jumlah WNI Keluar Indonesia</t>
  </si>
  <si>
    <t>Berarti sudah ada lima WNI di Singapura yang positif Covid-19.</t>
  </si>
  <si>
    <t>#RezimCuekinCoronaDemiIbuKotaBaru #RezimCuekinCoronaDemiIbuKotaBaru Mahfud: Jumlah WNA yang Masuk ke Indonesia Lebih Tinggi dari Jumlah WNI Keluar Indonesia</t>
  </si>
  <si>
    <t>RT @okkyirmanita: @Daeng_Info Sayang sekali... Sdh ada kejadian padahal.. WNI di Indonesia tdk terdeteksi. Bgtu masuk Singapura ditanyakan positif.</t>
  </si>
  <si>
    <t>RT @KompasTV: 57 WNI Terjebak di Kapal Grand Princess karena Kasus Corona</t>
  </si>
  <si>
    <t>@vonnycornellya_ @oak_math_lee_91 Setahu saya sudah Mbak, tapi yah itu, Belanda tidak bisa ambil keputusan tanpa persetujuan negara2 Schengen lainnya. Ada beberapa negara Schengen yang ‘katanya’ mendukung bebas visa Schengen untuk WNI. CC Mas @FelixSharieff</t>
  </si>
  <si>
    <t>Bantahan WNI di Singapura</t>
  </si>
  <si>
    <t>Di Gisa kok total case, 34 orang, meninggal 1, sembuh 2, ya ? Ini smua WNI yg di Indo atau WNI luar Indo jg keitunga ? ://</t>
  </si>
  <si>
    <t>RT @AnakLolina: Mereka berkhianat tidak ada alasan untuk pulangkan ke tanah air. Ingatlah kembali bbrpa tahun yg lalu, Bom Gereja di Surabaya &amp; Philipina adalah eks ISIS. Tidak ada alasan KEMANUSIAAN untuk monster, #TolakEksWNIProISIS</t>
  </si>
  <si>
    <t>@aryacokronegoro @MikeyAM97 @IvanRT05 @Adhi_Faiz @luchuubit @addamfarizi @BebasVisaID @sandmanindo @Lagnezmo17 @jameshandaja @StefRanda @yovie_myg Menurut saya bagi WNI yg terbukti melanggar UU Imigrasi di negara lain,lgsg dicekal keluar negeri aja selama 5 thn ke dpn.</t>
  </si>
  <si>
    <t>Seorang WNI Dikonfirmasi Sebagai Kasus COVID-19 ke-170 di Singapura #TauCepatTanpaBatas #BeritaTerkini #International #BeritaInternasional .</t>
  </si>
  <si>
    <t>@ISIS_Balik_NO @mohmahfudmd @jokowi @prabowo @DlVHUMASPOLRI @BareskrimPolri @KemenkesRI @CCICPolri mohon musni umar ini sgr diperiksa, hoaxnya ini bisa menimbulkan kepanikan dan ketakutan yg dahsyat di masyarakat.</t>
  </si>
  <si>
    <t>@MikeyAM97 @IvanRT05 @Adhi_Faiz @chuentoi @luchuubit @addamfarizi @BebasVisaID @sandmanindo @Lagnezmo17 @jameshandaja @StefRanda @yovie_myg Alhasil ya kasihan WNI yang lain, yang memang taat aturan dan benar benar ingin traveling saja. Semua seharusnya disaring di Ditjen imigrasi. Bagaimana agar paspor yang notabennya dokumen Negara tidak disalahgunakan oleh oknum2 yang ingin buat citra paspor RI tidak baik</t>
  </si>
  <si>
    <t>57 WNI Terjebak di Kapal Grand Princess karena Kasus Corona</t>
  </si>
  <si>
    <t>@MikeyAM97 @IvanRT05 @Adhi_Faiz @chuentoi @luchuubit @addamfarizi @BebasVisaID @sandmanindo @Lagnezmo17 @jameshandaja @StefRanda @yovie_myg Problem utama kenapa paspor Indonesia belum dilirik ya Spt yang ini, masih ada oknum WNI yang ingin bekerja secara ilegal, bahkan ibadah haji secara ilegal. Dan malah saling bahu membahu untuk ilegal di negara org. Jadi perlu kesadaran semua WNI sbnrnya</t>
  </si>
  <si>
    <t>Halo min, mau tanya, kalau kebijakan kemlu terkait WNI yang ingin bepergian ke 2 negara (Cina, Korsel, Italia) bagaimana ya? @Kemlu_RI</t>
  </si>
  <si>
    <t>RT @erwin_idrus: Klo soal corona mkn tdk panik. Tapi soal ISIS dan para pro khilafah gmana yah? #PancasilaYesKhilafahNo</t>
  </si>
  <si>
    <t>@ISIS_Balik_NO @cybercivil_041 @Dennysiregar7 @CNNIndonesia Bagi kaum Kadrone 212 tipiwan media nomber wahed 🤔</t>
  </si>
  <si>
    <t>RT @jiiviiw: Selamat pagi pak @prabowo cuman mau mengucapkan selamat bertugas dan sukses selalu yah pak😊</t>
  </si>
  <si>
    <t>yaudah sih cuma kelockdown bentar gabs pulang di milan, di hongkong juga harus karantina 2 minggu dulu sblm cabut ke luar nagreg. ya emg gitu kali regulasi negaranya it’s not that special &amp; wni yg kelockdown bkn cm asmara doang x??? entitled abis</t>
  </si>
  <si>
    <t>Presiden Recep Tayyip Erdogan meminta bantuan tambahan kepada NATO untuk membantu memperkuat pertahanan Turki di wilayah yang berbatasan dengan Suriah. Menurutnya bantuan dibutuhkan untuk melawan setiap ancaman yang berbasis di Suriah, termasuk ISIS</t>
  </si>
  <si>
    <t>@thedufresne Yaeellaaaaaah kaya baru sehari aj jd WNI...</t>
  </si>
  <si>
    <t>Mantan anggota kelompok teroris ISIS, Febri Ramdani menemui Gubernur Jawa Tengah, @ganjarpranowo . Warga Depok Jawa Barat ini ingin membantu program deradikalisasi yang digalakkan Pemprov Jateng</t>
  </si>
  <si>
    <t>@ISIS_Balik_NO @Dennysiregar7 Test case nich, loe pinter atau GOBLOK... loe laporin aja...Klo loe ngerti cara lapor nya...hahahha</t>
  </si>
  <si>
    <t>@gizellybicalho_ GATAAAAA</t>
  </si>
  <si>
    <t>WNI Positif Virus Corona di Singapura Tambah 1 Jadi 5 Orang</t>
  </si>
  <si>
    <t>@Gunadi84380182 @YohanesPatty2 Dan salah orang pula! Jijik - ini akibat ketimpangan hukum dan pembiaran kadrun sehingga masyarakat jadi bar-bar meniru kriminal ISIS. RT @Fiki57504811: @YohanesPatty2</t>
  </si>
  <si>
    <t>RT @zuhairimisrawi: Segera terbit buku yang berisi keteladanan seorang pejuang yang mengisi hidupnya dengan cinta dan pengorbanan, JENDERAL QASEM SOLEIMANI: JALAN CINTA SANG PENUMPAS ISIS. Saya memberikan Kata Pengantar untuk buku ini.</t>
  </si>
  <si>
    <t>Tim akan memastikan keselamatan WNI di pusat wabah dengan membangun posko.</t>
  </si>
  <si>
    <t>@mbahCokro77 Koq ke isis? Gak nyambung bambang, isis kan buatan amerika 😄</t>
  </si>
  <si>
    <t>@Abah771 @H4CKNETid Bagaimana kagak bangkrut....buka mata dikit....beranak saja langsung disuruh caesar......mules perut operasi....semua dibikin duit</t>
  </si>
  <si>
    <t>RT @TirtoID: Tujuh dari 15 WNI di luar negeri yang terkonfirmasi positif virus corona COVID-19 dinyatakan sembuh oleh otoritas kesehatan di negara tempat yang bersangkutan dirawat.</t>
  </si>
  <si>
    <t>@H4CKNETid @arif2702daulay Baca mamang</t>
  </si>
  <si>
    <t>@ISIS_Balik_NO @novian_sp @TofaTofa_id Bahahaa sampe kesonoo...</t>
  </si>
  <si>
    <t>@dehadaud @novian_sp @TofaTofa_id Kadang bingung....bagaimana bercintanya.....cungkait cungkedang</t>
  </si>
  <si>
    <t>Gawe sataun keur meuli tiket lebaran WNI Muslim Rantauan</t>
  </si>
  <si>
    <t>@arif2702daulay @Dennysiregar7 Lalu penyebar HOAX dan provokator harus dibiarkan ? Julukan Kampret dan Kadrun....sudah sangat menyakitkan.....masa harus ditambahin kata Goblok</t>
  </si>
  <si>
    <t>@mbahCokro77 isis bukan berpaham khilafah bung</t>
  </si>
  <si>
    <t>57 WNI ABK Grand Princess Terjebak, Bagaimana Kondisinya?</t>
  </si>
  <si>
    <t>@Tejasvi_Surya @AmitShah 13.ISIS (Iraq), 14.ISIS (Syria), 15.ISIS (Cauacus) 16.ISIS (Libya) 17.ISIS (Yemen) 18.ISIS (Algeria), 19.ISIS (Philippines) 20.Jund al-Sham (Afganistan), 21.Al-Mourabitoun (Lebanon), 22.Abdullah Azzam Brigades (Lebanon), 23.Al-Itihaad al-Islamiya (Somalia),</t>
  </si>
  <si>
    <t>@BPJSKesehatanRI min, saran: 1. u/ yang nunggak iuran supaya tak diberikan layanan kesehatan sampai ybs bayar iuran + denda (denda semua kelas); 2. semua WNI u/ wajib peserta BPJS. pemda wajib bayari yg tak mampu; 3. iuran BPJS pengurang pajak; 4. gratis check up @ semester.</t>
  </si>
  <si>
    <t>RT @oak_math_lee_91: @jakpost juga memberitakan tingkat penolakan aplikasi visa Schengen WNI sebanyak 3.687 dari 210.468 aplikasi, secara persentase sebesar 1,75%. Seperti yang Bapak dan Ibu sudah ketahui, tingkat penolakan aplikasi visa Schengen kita adalah salah satu yang terendah di dunia.</t>
  </si>
  <si>
    <t>PAK+ISIS+PFI = Terrorist</t>
  </si>
  <si>
    <t>@JJ_belle Dia itu WNI tapi terinfeksi dari luar Indonesia.</t>
  </si>
  <si>
    <t>Diisolasi Saudi, 472 WNI Terjebak di Kota Qatif</t>
  </si>
  <si>
    <t>@ISIS_Balik_NO @musniumar Iqra.. Iqra ... Ya Muhammad...! Sekarang semua data di seluruh dunia langsung di update setiap detik. Data lengkap dari ditemukan kasus, sembuh, kematian, semua ada.... *Silahkan cek link dibawah ini*👇</t>
  </si>
  <si>
    <t>@vonnycornellya_ @oak_math_lee_91 Terkait kenaikan biaya visa...? Menurut saya sih murni bisnis, permintaan naik, harga naik. Dan secara statistik, permohonan visa Schengen yang diajukan di Indonesia (oleh WNI dan WNA yang domisili di Indonesia) kelihatannya terus mengalami tren peningkatan.</t>
  </si>
  <si>
    <t>@kangbred Analisis kan? Tapi ga mau anal-isis 😆</t>
  </si>
  <si>
    <t>RT @TukangUlo: @asmarandha1 @alhabibali tar kalo kilafah udah ada gua jamin mereka bakal saling bunuh buat nentuin siapa yg jadi kilafah , yg gak setuju ama kelompok tertentu bakal di cap kafir , sudah terbukti di suriah saling berebut kekuasan Alqaidah ,isis , Jabhat Al-Nusra saling potong kepala 😱😤</t>
  </si>
  <si>
    <t>Pangkalan militer di Irak yang menjadi markas bagi pasukan koalisi untuk memerangi ISIS, termasuk Amerika Serikat, dihujani roket, Rabu (11/3/2020). #Militer #AS #ISIS #AmerikaSerikat #Roket</t>
  </si>
  <si>
    <t>@asmarandha1 @alhabibali tar kalo kilafah udah ada gua jamin mereka bakal saling bunuh buat nentuin siapa yg jadi kilafah , yg gak setuju ama kelompok tertentu bakal di cap kafir , sudah terbukti di suriah saling berebut kekuasan Alqaidah ,isis , Jabhat Al-Nusra saling potong kepala 😱😤</t>
  </si>
  <si>
    <t>@waphussain @vijayak73301677 @NrcProtest Poora ISLAM hi ISIS ka followers hai.</t>
  </si>
  <si>
    <t>Menimbang Aspek Legalitas WNI Eks Anggota ISIS</t>
  </si>
  <si>
    <t>Tp bebas?Ini alasannya:Kata YIM, Si Ahok itu aslinya WN Tiongkok dari seorang ayah warga negara Tiongkok. Ahok dpt naturalisasi jd wni. Mustahil bisa jadi Presiden.  RT @tijabar: Banyaknya Dugaan Korupsi Ahok: Surat Terbuka untuk Erick Thohir 1. Kasus RS Sumber Waras 2. Kasus Lahan Taman BMW 3.Kasus Lahan Cengkareng Barat 4. Kasus Dana CSR 5. Kasus Korupsi di Belitung Timur *6. Kasus Reklamasi* 7. Kasus Dana Non-Budgeter</t>
  </si>
  <si>
    <t>RT @RECOVERADIO: Berikut update perkembangan COVID-19 di Dunia dan Pelindungan WNI per 12/03 pukul 09.30 WIB. Seorang WNI telah dinyatakan sembuh, sehingga total 9 WNI telah sembuh dari COVID-19 di luar negeri. via @Kemlu_RI</t>
  </si>
  <si>
    <t>@enricofernandos @kbenaranHakiki @AdnanDasuki99 @CNNIndonesia @ISIS_Balik_NO Tanya balik, apa manfaatnya merebut saham freeport?? tak Ada manfaatnya bagi Indonesia. Hanya utk pejabat RI doank fee2 yg beredar Di AS Sono.</t>
  </si>
  <si>
    <t>@iblisygsoleh @FanChiangFa @Takviri @Kiyai_MarufAmin Goblok... kau aja yang ngait ngaitkan dengan isis.</t>
  </si>
  <si>
    <t>Congratulations @ndtvindia Andhbhagat are innocent so I've culprits. Lagta h pakistan Isis taliban Naxal se sidha rishta h ap logo ka. BC bhajpa ke pets. Mishra sharma thakur chalega bhai italy owesi nhi. Jai Shree Raam. Mera desh Vishw Guru</t>
  </si>
  <si>
    <t>@AnsekoM @BKNgoid Koreksi mas bukan UUD tapi peraturan. 😁. Di peraturan tersebebut kan tertulis apabila kosong dapat diisi... Nah kata dapat itu digaris bawahi yg artinya boleh di isis dan boleh kosong.</t>
  </si>
  <si>
    <t>Dari lima WNI, satu orang telah sembuh, tiga orang dalam keadaan stabil, dan satu orang sedang dirawat intensif di ruang ICU.  #Coronavirus #COVID19 #COVID19Indonesia #COVID19Singapore</t>
  </si>
  <si>
    <t>Program observasi ratusan warga negara Indonesia (WNI) kru kapal pesiar World Dream dan Diamond Princess di Pulau Sebaru Kecil akhirnya selesai. Mereka dijadwalkan pulang akhir pekan ini. #WorldDream #WNI #Corona #Covid19</t>
  </si>
  <si>
    <t>RT @RadioElshinta: Berikut update perkembangan COVID-19 di Dunia dan Pelindungan WNI per 12/03 pukul 09.30 WIB. Seorang WNI telah dinyatakan sembuh, sehingga total 9 WNI telah sembuh dari COVID-19 di luar negeri. via @Kemlu_RI #ElshintaEdisiSiang</t>
  </si>
  <si>
    <t>@majoindonew @FanChiangFa @Takviri @Kiyai_MarufAmin Truss kau sdh berbuat apa dgn negara ini dan lingkunganmu @majoindonew kok manggil china china🤔🤔 Mrk bnyk mengharumkan nm negara ini diLN dgn prestasi, lu banggain isis pembunuh gitu nyett😣🤔</t>
  </si>
  <si>
    <t>@contactap2 Jadi wni yang pulang dari korsel dan kembali ke daerahnya itu sudah dalam sepengetahuan dan pengawasan KKP ya?</t>
  </si>
  <si>
    <t>RT @penerbitimania: Komentar @zuhairimisrawi tentang buku "Jenderal Qasem Soleimani: Jalan Cinta Sang Penumpas ISIS."</t>
  </si>
  <si>
    <t>@ISIS_Balik_NO @musniumar Bisa jadi. Tapi masih perlu pembuktian agar yg bersangkutan jera tdk mengulangi lagi</t>
  </si>
  <si>
    <t>RT @indonesianest45: Pemerintah menyampaikan, kondisi kesehatan empat pasien positif virus corona di Tanah Air membaik. Begitu juga dengan delapan Warga Negara Indonesia (WNI) yang diisolasi di Jepang. Bahkan, ada yang sudah sembuh. . .</t>
  </si>
  <si>
    <t>RT @kompascom: Dari lima WNI, satu orang telah sembuh, tiga orang dalam keadaan stabil, dan satu orang sedang dirawat intensif di ruang ICU.</t>
  </si>
  <si>
    <t>@yanahilman2 @UlfaAmara @URastajani @cuncunajaxezar @diannovie03 @LenjelMelah @cxolls_aljawi @rafifa_kayla @napsiati @SunAntoni1 @nay_sme @KimmiH_1802 @ISIS_Balik_NO @Widya27213661 Nuhun ya</t>
  </si>
  <si>
    <t>Dari lima WNI, satu orang telah sembuh, tiga orang dalam keadaan stabil, dan satu orang sedang dirawat intensif di ruang ICU.</t>
  </si>
  <si>
    <t>Berikut update perkembangan COVID-19 di Dunia dan Pelindungan WNI per 12/03 pukul 09.30 WIB. Seorang WNI telah dinyatakan sembuh, sehingga total 9 WNI telah sembuh dari COVID-19 di luar negeri. via @Kemlu_RI #ElshintaEdisiSiang</t>
  </si>
  <si>
    <t>RT @Adhi_Faiz: @IvanRT05 @chuentoi @luchuubit @MikeyAM97 @aryacokronegoro @addamfarizi @BebasVisaID @sandmanindo @Lagnezmo17 @jameshandaja @StefRanda @yovie_myg Hehehe...kalau terpaksaaaaaa buanget lah ke Rwanda itu... 😅 Kapan bebas visa 90 hari di Negara-negara Schengen untuk WNI, @schengen_info? 😇</t>
  </si>
  <si>
    <t>@kentangq @mhdarief2208 @Ricksanchezit iya kentang yg ga kutau namanya and I don't wanna find out bcs I don't gv a shit about your personal identity. skrg km dah ketemu kan muslim seperti aku dan muslim seperti isis, beda kan? beda jauh. berarti yg salah bukan Qur'annya tapi pemahaman manusianya. gitu sygku.</t>
  </si>
  <si>
    <t>@mbahCokro77 Pertanyaan saya, siapa yg masukin ide ini ke wanita2 di foto tsb? Apa mrk gk baca ttg ISIS? Dr kegiatan ini jelas melawan NKRI loh @DivHumas_Polri. Bs ditindak gak? Foto kan bs jd alat bukti.</t>
  </si>
  <si>
    <t>@luchuubit @MikeyAM97 @aryacokronegoro @addamfarizi @BebasVisaID @sandmanindo @Lagnezmo17 @chuentoi @jameshandaja @StefRanda @yovie_myg Kalau dari Nigerianya setuju, saya penasaran apakah dari kitanya ada lampu hijau atau malah tidak sama sekali. Sekarang ini, biaya visa Nigeria untuk WNI kalau tidak salah kan USD 250.00 yah, lebih mahal ketimbang B1/2 visa AS.</t>
  </si>
  <si>
    <t>@mira_laila23 Mantap sayang</t>
  </si>
  <si>
    <t>@Daeng_Info Sayang sekali... Sdh ada kejadian padahal.. WNI di Indonesia tdk terdeteksi. Bgtu masuk Singapura ditanyakan positif.</t>
  </si>
  <si>
    <t>#SahabatKemlu, berikut update Perkembangan COVID-19 di Dunia dan Pelindungan WNI per 12/03 pukul 09.30 WIB. Seorang WNI telah dinyatakan sembuh, sehingga total 9 WNI telah sembuh dari COVID-19 di luar negeri. #IniDiplomasi #NegaraMelindungi</t>
  </si>
  <si>
    <t>KBRI: Total 5 WNI Positif Corona di Singapura, 1 Sembuh dan 1 di ICU</t>
  </si>
  <si>
    <t>@Dinda_Dewi_Azaa @Puspa_Dewi_Aza Enak skali dewi..... Kita coba yuk</t>
  </si>
  <si>
    <t>Total 5 WNI Kena Corona di Singapura, KBRI: Tetap Waspada!</t>
  </si>
  <si>
    <t>@IvanRT05 @chuentoi @luchuubit @MikeyAM97 @aryacokronegoro @addamfarizi @BebasVisaID @sandmanindo @Lagnezmo17 @jameshandaja @StefRanda @yovie_myg Hehehe...kalau terpaksaaaaaa buanget lah ke Rwanda itu... 😅 Kapan bebas visa 90 hari di Negara-negara Schengen untuk WNI, @schengen_info? 😇</t>
  </si>
  <si>
    <t>@ISIS_Balik_NO @FirmanMannaga @TofaTofa_id Jokower?</t>
  </si>
  <si>
    <t>@jenk_kelinn @jokowi @ustadtengkuzul Bangsat radikal ISIS ko exis ya</t>
  </si>
  <si>
    <t>@deemaz85 @segopecels Mungkin terutama merujuk kpd WNI yg tidak berdomisili di Jogja, tp lalu jadikan Jogja tempat investasi propertinya, setidaknya dng beli rumah utk tinggal anaknya pas kuliah, ato dijadikan smcm "vila pribadi" selama berlibur.</t>
  </si>
  <si>
    <t>Sejak resmi diumumkan mengenai 2 WNI yang positif terinfeksi Virus Corona (Covid-19), banyak masyarakat merasa was-was akan penyebaran virus tersebut. Berikut beberapa fakta tentang virus Corona yang wajib Anda…</t>
  </si>
  <si>
    <t>@addamfarizi @BebasVisaID Kalau dari yang saya perhatikan, saya jarang sekali dengar ada WNI yang mau kerja di Algeria. Dan yang mau liburan ke sana pun juga kelihatannya belum banyak. Cukup mengagetkan sih kalau ternyata di sana pun ada WNI overstayer atau pekerja non prosedural.</t>
  </si>
  <si>
    <t>Yuk sama-sama kita doain untuk @tomhanks semoga lekas sembuh ya Pecinta Madya, juga buat seluruh penderita Covid-19 terutama untuk WNI dimanapun berada🤗❤️❤️❤️❤️❤️ #CoronaVirusUpdates #respect2020 #MadyaFM #Madiun #PecintaMadya</t>
  </si>
  <si>
    <t>Sembuh dari COVID-19, Pasien 06 Tunggu Semua WNI ABK Diamond Princess</t>
  </si>
  <si>
    <t>@Aan__coverBOYkw dia blom tau gimana ISIS menggilir wanita kek budak2</t>
  </si>
  <si>
    <t>@chuentoi @BebasVisaID @aryacokronegoro @sandmanindo @oak_math_lee_91 @MikeyAM97 @PejuangPaspor Semoga 3 WNI ini tidak dianggap dunia sebagai de facto perwakilan keseluruhan Indonesia yang populasinya di atas 260an juta jiwa.</t>
  </si>
  <si>
    <t>@maman1965 @ISIS_Balik_NO @musniumar Dia bukan ilmuwan ketika statementnya tidak menunjukkan dia sebagaimana mestinya.</t>
  </si>
  <si>
    <t>RT @Kemlu_RI: #SahabatKemlu, berikut update Perkembangan COVID-19 di Dunia dan Pelindungan WNI per 10/03 pukul 09.00 WIB. Hingga kini 15 WNI di luar negeri telah terkonfirmasi COVID-19. #IniDiplomasi #NegaraMelindungi</t>
  </si>
  <si>
    <t>@ISIS_Balik_NO @MarikaRahman_ Pernyataan musni umar bisa bikin resah masyarakat yang tidak tau, mau itu plesetan atau satire atau apalah maksud dia</t>
  </si>
  <si>
    <t>@amisbaubadan @MarikaRahman_ Kasus ke 25....diPelesetkan jadi 25 pasien WAFAT</t>
  </si>
  <si>
    <t>@ISIS_Balik_NO @MarikaRahman_ Coba baca pernyataan musni umar</t>
  </si>
  <si>
    <t>@kemanamana @maman1965 @musniumar Dan ngitung duit Gaji</t>
  </si>
  <si>
    <t>RT @maman1965: Maaf Pak @musniumar , saya sangat menghormati ilmuwan, tetapi tidak terhadap Bapak.</t>
  </si>
  <si>
    <t>@kifli127 @aniesbaswedan Betul, karena kedunguan dan upaya mendungukan publik Indonesia lewat tangan² jahiliyah #BuzzeRpAPBN sangat bertentangan dg UUD 45 yg bercita-cita mengentaskan penjajahan di atas dunia, menghilangkan kemiskinan bagi WNI nya dan wajib mencerdaskan (kehidupan ber)bangsa,,</t>
  </si>
  <si>
    <t>@mbahCokro77 Bagi Isis wanita hanyalah pabrik anak... eakan..</t>
  </si>
  <si>
    <t>@w4nw4e Mungkin saat dicoba.....longgar di LUBANG PANTATnya</t>
  </si>
  <si>
    <t>@an_Dika07 @Iyink7 @ustadtengkuzul Iyajelas lah.....mana proses hukumnya ketika pak ustad BN menyumbang untuk ISIS ? Koq hanya diem diem saja ?👎</t>
  </si>
  <si>
    <t>@rullyjoo27 Maklum....sudah la kagak ada reunian lagi</t>
  </si>
  <si>
    <t>@musniumar provokator isis kau, mana tentara allahmu???</t>
  </si>
  <si>
    <t>@kicauanmerdu84 @musniumar Gak mungkinlah sekelas REKTOR kagak bisa memahami isi berita ... Apa lagi kalo bukan NIAT MERUSUH ?</t>
  </si>
  <si>
    <t>RT @_clairdelune88: dek yuan kamu kalo wni pasti udh jadi selebgram ngalahin gempi skrg</t>
  </si>
  <si>
    <t>@ISIS_Balik_NO @musniumar Ha ha jarinya lebih cepat dari fikirannya he he</t>
  </si>
  <si>
    <t>RT @meow_leader: @mbahCokro77 Di isis, wanita dilelang kayak ternak..</t>
  </si>
  <si>
    <t>Kemlu: 15 WNI Positif Covid 19 di Luar Negeri, 7 Dinyatakan Sembuh</t>
  </si>
  <si>
    <t>RT @kompascom: WNI yang positif virus corona di Singapura dilaporkan bertambah menjadi lima orang - #Global</t>
  </si>
  <si>
    <t>PRESS RELEASE 12 MARET 2020 - WNI Dikonfirmasi Sebagai Kasus ke-170 COVID-19 di Singapura. #Inidiplomasi #NegaraMelindungi #kbrisingapura #Covid19</t>
  </si>
  <si>
    <t>Sv site aku kata aku boleh dah slow² isis borang kerja dekat PMINT sbb BS dip boleh terima reja lagi kecuali partner aku sorg lagi Civil Eng susah sikit lah kene sambung timggi lagi baru leh reja. Lega sikit dengar ceni</t>
  </si>
  <si>
    <t>@JoeWongJava1 @ISIS_Balik_NO @TofaTofa_id @kangdede78 Itulah goblok nya kau tapi sok pintar. Uda kau yg goblok, merasa ditipu pulak. 😁😁😁😁😁😁😁😁😁😁😁</t>
  </si>
  <si>
    <t>RT @faizalassegaf: Ah anda profesor gadungan, tdk pahami konteks cuitan @fahiraidris scr objektif. Menko @mohmahfudmd jg sebut jumlah WNI eks ISIS 600 org, kemudian beliau akui angkanya lebih. Apkah Menko buat hoaks? Sama dgn Fahira, cuitannya sbg ikhtiar, terbukti kini korban Corona bertambah toh.</t>
  </si>
  <si>
    <t>WNI yang positif virus corona di Singapura dilaporkan bertambah menjadi lima orang - #Global</t>
  </si>
  <si>
    <t>@JoeWongJava1 @GrandLight88 @TofaTofa_id @kangdede78 Anda sudah kulup2an.....lo tahu bagaimana Yahudi ? Bagaimana umat Katholik di Philipine....mereka kagak berKULUP....tapi mereka adalah KAFIR menurut ente</t>
  </si>
  <si>
    <t>@indra_pui @salima252 @Johninvesting @spectatorindex Saya tanya pemerintah menutup kedatangan wni china nggak?</t>
  </si>
  <si>
    <t>@JoeWongJava1 @GrandLight88 @TofaTofa_id @kangdede78 Loh....ente faham arti kafir ? Belajar ngaji dulu deh....KAFIR itu siapa, bagaimana kelakuannya....dan cukup FAHAMI dan terapkan dalam kehidupan ente.....jangan jadikan mereka acuan untuk kebaikan....namanya juga kafir....kagak faham ajaran agama ente.....gitu kok REPOT</t>
  </si>
  <si>
    <t>Komnas HAM Sepakat, Eks Isis Asal Indonesia tidak layak untuk kembali ke Indonesia. #KamisAmbyar #KamisManis #TolakRadikalime #tolakekswniproisis</t>
  </si>
  <si>
    <t>@jokowi Kalo mau mencegah tuh jgn kasih ijin dulu WNA/WNI yg mau msk indo dr luar indo bos...#stopimportcorona</t>
  </si>
  <si>
    <t>@JoeWongJava1 @ISIS_Balik_NO @TofaTofa_id @kangdede78 Tuh kan kau pamerkan lagi kedunguan mu. Sejak kapan gue ngaku muslim ? Apakah matamu buta gak bisa baca kalau gue ini CEBONG KAFIR ? hahahahahaha Uda drun, semakin kau ngegas semakin kelihatan goblokmu. 😁😁</t>
  </si>
  <si>
    <t>@shinichi8889 Pake kombatan ISis aja 😁</t>
  </si>
  <si>
    <t>@JoeWongJava1 @GrandLight88 @TofaTofa_id @kangdede78 Ya tuhan......kenapa mesti nunggu dikejar sampe ke ARAB kalo dia bersih....makin cepat urusan kelar....makin cepat naama dia bersih dan bisa kembali jual nama Tuhan sama pengikutnya.... Coba ente pikir....mo maakan darimana sekarang....kagak dpt amplop undangan lagi 😂</t>
  </si>
  <si>
    <t>RT @vivanewscom: Gayus Lumbuun Ingatkan Anak WNI Eks ISIS Perlu Dilindungi  #vivanews</t>
  </si>
  <si>
    <t>RT @Puspen_TNI: Kepedulian TNI terhadap WNI terdampak Covid19😎💂 #TNIPeduli #COVID19 #VirusCorona #Kogasgabpad</t>
  </si>
  <si>
    <t>@JoeWongJava1 @ISIS_Balik_NO @TofaTofa_id @kangdede78 Terus menurut elo akhlak muslim itu boleh menuduh dan menghina yg non muslim ? 😁😁😁😁 Uda drun. Jangan terlalu ngegas pamer kedunguan. Kau belum muslim, karena belum ngerti ajaran Islam yg benar.</t>
  </si>
  <si>
    <t>@nikenpm Sejauh dari informasi yang aku dapat, semua baik WNA / WNI dari luar negeri. Cuma informasi asal negaranya terbatas.</t>
  </si>
  <si>
    <t>Dalam kondisi serius begini kok msh tebak2an, kayak kuis aja. Selama pegang data, diungkap aja ke publik. #CoronavirusOutbreak #Corona</t>
  </si>
  <si>
    <t>@ISIS_Balik_NO @GrandLight88 @TofaTofa_id @kangdede78 Yg mengatakan Jelek siapa Bong??!..ente dusta melulu...</t>
  </si>
  <si>
    <t>@JoeWongJava1 @GrandLight88 @TofaTofa_id @kangdede78 Sudah jelas kalo kafir itu kagak bakal satu aqidah....kok ente ngotot......mo masuk surga....mo masuk neraka.....emang urusan ente ? Mereka bukan orang sok Pemilik surga kok.....apalagi mau menyerobot surga ente....kagak mbambang...surga lo.kagak bakal dserobot</t>
  </si>
  <si>
    <t>Sebagai WNI, kami memiliki hak untuk berbicara dan menyampaikan pendapat yang A. dibebaskan tanpa batas B. disertai dengan izin dari petugas keamanan C. disampaikan dengan sopan dan penuh hormat D. Prioritaskan kepentingan semua pihak E. disertai dengan tanggung jawab sosial</t>
  </si>
  <si>
    <t>@ISIS_Balik_NO @GrandLight88 @TofaTofa_id @kangdede78 Lah kalo Beliau nya Terbukti bersalah ya sudah diTangkap...ente otak nya ditaruh dimana??..emang nya aparat Hukum tidak punya ongkos buat ngejar ybs??!!..</t>
  </si>
  <si>
    <t>RT @RadioElshinta: Sembuh dari COVID-19, pasien 06 tunggu semua WNI ABK Diamond Princess</t>
  </si>
  <si>
    <t>@GrandLight88 @JoeWongJava1 @TofaTofa_id @kangdede78 Hahaha....biarlah dikatan lebih jelek....mereka sudah namakan KAFIR kok, Akhirat kan tidak dia saksikan langsung..... Gobloknya....yg mereka agung2kan kelakuan lebih rendah dari kelakuan KAFIR....padahal mereka FAHAM kalo itu DOSA</t>
  </si>
  <si>
    <t>@GrandLight88 @ISIS_Balik_NO @TofaTofa_id @kangdede78 Sudah cukup tahu saja...saya berfikir satu aqidah ternyata bukan...jadi wajar segala usaha dan tipu daya nya . ...</t>
  </si>
  <si>
    <t>@ISIS_Balik_NO @GrandLight88 @TofaTofa_id @kangdede78 Kalo anda punya Otak maka anda akan segera bertaubat... sembah lah kepada Tuhan yg paling berhak Tuhan yg Maha Kuasa...paham??!!..</t>
  </si>
  <si>
    <t>@JoeWongJava1 @GrandLight88 @TofaTofa_id @kangdede78 Yg ane mau....TUNJUKAN kalau semua cuma FITNAH....ini DUNIA....yg mengadili itu PENGADILAN.... Masa kagak salah...katakutan sampe kabur😂😂😂😂 Tegakan Kebenaran kalau itu BENAR....jangan kayak ayam....</t>
  </si>
  <si>
    <t>@JoeWongJava1 @ISIS_Balik_NO @TofaTofa_id @kangdede78 Gue Cebong Kafir. Emang kenapa ? Apakah hidup elo lebih baik dari kafir ? 😁😁😁😁😁😁</t>
  </si>
  <si>
    <t>@ISIS_Balik_NO @KemenkeuRI Coba baca dulu pasal 34 UUD 1945</t>
  </si>
  <si>
    <t>@Cobeh09 Mungkin anti keranda krn ad bacaan isis😆😆</t>
  </si>
  <si>
    <t>@womanfeeds Agak nyesel dan krn kependekan😭skrg sebahu blm nyampe tp isis woi😂</t>
  </si>
  <si>
    <t>@GrandLight88 @ISIS_Balik_NO @TofaTofa_id @kangdede78 Ha..haa..ketahuan..yg fitnah ulama dan mengadu domba umat muslim ternyata...... Makanya jangan pada sok-sok an mengaku muslim, kalo bersahadat dan sunat saja tidak pernah...</t>
  </si>
  <si>
    <t>RT @Aiek_Channel__: #RezimCuekinCoronaDemiIbuKotaBaru #RezimCuekinCoronaDemiIbuKotaBaru Mahfud: Jumlah WNA yang Masuk ke Indonesia Lebih Tinggi dari Jumlah WNI Keluar Indonesia</t>
  </si>
  <si>
    <t>@JoeWongJava1 @GrandLight88 @TofaTofa_id @kangdede78 Ane faham mbambang.....lalu kenapa ente membandingkan kelakuan KAFIR dengan kelakuan Ulama ente ? Namanya KAFIR....TIDAK FAHAM AJARAN ENTE Ada otak ? Coba mampir ke RM padang</t>
  </si>
  <si>
    <t>@Dennysiregar7 @CNNIndonesia Apa karena sponsornya asing ? Tp kan jurnalisnya byk yg WNI ? Nasionalisme pasti utk NKRI, tetap 👍👍 @PutriGrimaldy @desianwar @reinhardreydolf</t>
  </si>
  <si>
    <t>@ISIS_Balik_NO @GrandLight88 @TofaTofa_id @kangdede78 Ha..ha..ha..ketahuan...baca lagi baik2 kitab ente..jangan sampai kita buka Kebenarannya..paham??!!</t>
  </si>
  <si>
    <t>@GrandLight88 @JoeWongJava1 @TofaTofa_id @kangdede78 Makanya....sedari Awal mereka cap KAFIR...bukan pannutan dalam beribadah.....eh....masih berani comot kitab kafir pulak.....KADRUN BEGO</t>
  </si>
  <si>
    <t>@GrandLight88 @ISIS_Balik_NO @TofaTofa_id @kangdede78 Akhlak muslim bukan seperti anda...menuduh dan memfitnah ulama...</t>
  </si>
  <si>
    <t>@JoeWongJava1 @GrandLight88 @TofaTofa_id @kangdede78 Sudah jelas laen ajaran....masih lo bikin jadi Pembelaan dan BANDINGAN kelakuan. Namanya juga kafir.....FAHAM ?</t>
  </si>
  <si>
    <t>@mbahCokro77 Dia gak tau, kalo dikhilafah ISIS yg berharga cuma sebatas selangkangannya!</t>
  </si>
  <si>
    <t>@ISIS_Balik_NO @GrandLight88 @TofaTofa_id @kangdede78 Ajaran yg Baik menurut Alquran adalah menyembah Tuhan yg paling Berhak disembah yaitu Allah SWT tidak menyekutukannya dg sesuatu..paham??!!</t>
  </si>
  <si>
    <t>@JoeWongJava1 @ISIS_Balik_NO @TofaTofa_id @kangdede78 Trus darimana kau dptkan kutipan kitab tadi dan kau sebarkan ? Kitab pasti berupa buku, kalau gak kau baca2 darimana bisa tiba2 kau kutip salah satu ayat nya ? Harusnya kalau kau muslim, yg kau sebarkan itu kitab mu yaitu al quran dan al hadits. #KadrunMurtad 😁😁😁</t>
  </si>
  <si>
    <t>@kurawa WNI yg positif coronavirus harus bisa berani terbuka seperti publik figur seperti ini. Dan memberikan keterangan sejujur2nya spy jelas jalur penyebaran virusnya. Juga spt menteri kesehatan inggris yg dengan sadar mengakui dan berinisiatif mengisolasi diri.</t>
  </si>
  <si>
    <t>@GrandLight88 @JoeWongJava1 @TofaTofa_id @kangdede78 Kan menurut mereka kelakuan KAFIR gak ada yg bener....lalu dijadikan oembanding dengan ORMAG yg mnurut mereka BENER....FAYAH....KADAL GURUN</t>
  </si>
  <si>
    <t>@GrandLight88 @JoeWongJava1 @TofaTofa_id @kangdede78 Dasar kadrun pemilik surga KW....dari dulu2 mereka sudah katakan KAFIR....masih dibikin oembelaan juga....ngerti arti kafir apa kagak,.....binfung ane</t>
  </si>
  <si>
    <t>@ISIS_Balik_NO @GrandLight88 @TofaTofa_id @kangdede78 Kafir menurut Alquran paham??!!....</t>
  </si>
  <si>
    <t>@JoeWongJava1 @GrandLight88 @TofaTofa_id @kangdede78 Lah....kalau ajaran mereka BAIK menurut ENTE....bisa MURTAD dong ente. Ente faham aFa itu KAFIR ?</t>
  </si>
  <si>
    <t>@JoeWongJava1 @ISIS_Balik_NO @TofaTofa_id @kangdede78 Wuihhh pendeta itu lebih bejat daripada habib yang chat mesum ya ?</t>
  </si>
  <si>
    <t>@JoeWongJava1 @GrandLight88 @TofaTofa_id @kangdede78 Loh....kafir kok dipermasalahkan..... Menurut ente Kafir kan ?</t>
  </si>
  <si>
    <t>@GrandLight88 @ISIS_Balik_NO @TofaTofa_id @kangdede78 Kitab ku Alquran dan Al Hadits serta telah bersahadat dan Tidak kulup..</t>
  </si>
  <si>
    <t>@JoeWongJava1 @GrandLight88 @TofaTofa_id @kangdede78 Harusnya SS tsb kagak ente jadikan pembelaan....toh kalian sudah bilang mereka adalah KAFIR....dan mereka adalah Penghuni NERAKA, kebaikan apa yg mau klean harapkan....? Kalo kelakuan mereka Baik menurut anda.....anda MURTAD dong 😂😂</t>
  </si>
  <si>
    <t>@lovatocontrl Idai ! Manda azar</t>
  </si>
  <si>
    <t>@ISIS_Balik_NO @GrandLight88 @TofaTofa_id @kangdede78 Fitnah melulu...nih yg terbukti Caboel...paham??!!!..😂</t>
  </si>
  <si>
    <t>@ISIS_Balik_NO @GrandLight88 @TofaTofa_id @kangdede78 Betul...Tuhan bukan manusia yg Mati dibunuh dan bangkit lagi...</t>
  </si>
  <si>
    <t>@mbahCokro77 Di isis, wanita dilelang kayak ternak..</t>
  </si>
  <si>
    <t>RT @cadarmerah: @PFTee @boysajalahh @RomeskoP Ini lebih tepat; Siapapun WNI berhak atas perlakuan hukum yang sama</t>
  </si>
  <si>
    <t>@ISIS_Balik_NO @GrandLight88 @TofaTofa_id @kangdede78 Betuk..Tuhan bukan manusia yg mati dan bangkit lagi...</t>
  </si>
  <si>
    <t>baru- baru ini Otoritas Timur Leste menangkap WNI yang memasuki wilayah negara tetangga tersebut tanpa dibekali dokumen kependudukan dan keimigrasian. Kasus undocumented people ini, ditemukan juga... #BNPP #Lintas batas #WNI #Timor Leste</t>
  </si>
  <si>
    <t>@cybercivil_041 @Dennysiregar7 @CNNIndonesia Lah....yg dikritik y kan penulisan judulnya mas...masa judul bener dan informatif kagak mau share juga.. Memangnya KADRUN asli spt grup tv oon ....semua berita yg dikaitkan ke politik yg keluar dr media mereka SAMPAH semua</t>
  </si>
  <si>
    <t>Jadi wni yg dari jepang dan mau balik ke Indonesia bakal di karantina 2minggu (?).</t>
  </si>
  <si>
    <t>@ISIS_Balik_NO @TofaTofa_id Ternyata betul, makin lama,tambah kalap, kayak orang kesurupan nyerocos terus. Seperti jin,tidak mau menampakkan muka, tapi masuk ditubuh orang lain dan pakai nama sembatangan, mungkin untuk menipu ata tdk mau diketahui identitasnya.</t>
  </si>
  <si>
    <t>Tak Ada WNI di Italia yang Tertular Virus Corona</t>
  </si>
  <si>
    <t>@jnr_kiki maapin saya WNI bukan WNA</t>
  </si>
  <si>
    <t>Pemerintah Perlu Seleksi Ketat Bocah Eks ISIS</t>
  </si>
  <si>
    <t>Ini lama2 oppa2 idol koreya pimdah jd wni loh.. 😂 mgkn merasa menyenangkan tinggal di indo krn beda bgt ma di sono ya..</t>
  </si>
  <si>
    <t>@CitraMargono Tidak ada pelarangan bagi WNI yang hendak berpergian ke LN, namun dihimbau untuk menghindari bepergian ke negara-negara yang terdampak virus covid-19 dan selalu jaga kebersihan.</t>
  </si>
  <si>
    <t>@majoindonew @CeciliaSuwanda1 @Candraasmara85 @RizmaWidiono Mau ngancem? Sejak kapan fpi mewakili islam? Sodaranya isis Iya</t>
  </si>
  <si>
    <t>@LemonPahit @DjanChoek @aliiiinaja Lo faham jelas bijimana sikap orang tuanya ? Tetanggaan.....atau nyari kesempatan nyari yg sempit ?😂😂😂</t>
  </si>
  <si>
    <t>RT @devantedavidson: Den Jamaica nuh tek ntn serious 😂</t>
  </si>
  <si>
    <t>@roman_paqr @AnnoSole @iblisygsoleh @aliiiinaja Modhussss ya 😂😂😂😂</t>
  </si>
  <si>
    <t>@RahulDtrvlr @focused_warrior @indiandoctor91 @TheOneDit @MrBatty_ Kitne besharm log ho itni berahmi se maarke huh ISIS ke terr0rist ko bula ke riot krwate ho aur gali hme dete ho sbka hisab hoga PFI ke aatankwadio</t>
  </si>
  <si>
    <t>RT @abcaustralia_id: WNI Kru Kapal Pesiar Diamond Princess menitipkan melalui @abcaustralia_id video yang ditujukan kepada Presiden @jokowi. Para kru meminta pemerintah Indonesia segera menjemput mereka dari Yokohama, Jepang.</t>
  </si>
  <si>
    <t>RT @BBCIndonesia: [Video] WNI awak kapal pesiar Diamond Princess mengirimkan video permohonan pada Presiden Joko Widodo untuk segera dipulangkan. "Jemput kami sekarang, pak, pakai pesawat," kata mereka. Menurutmu, apa yang seharusnya dilakukan pemerintah?</t>
  </si>
  <si>
    <t>RT @setkabgoid: Kemlu: 15 WNI Positif Covid-19 di Luar Negeri, 7 Dinyatakan Sembuh</t>
  </si>
  <si>
    <t>@dbowo99 @haro_arnold @ustadtengkuzul Anda tdk salah. Hny gagal paham memaknai. Cobalah belajar tdk kaget/biasakan jk mendengar kata RAS. Islam,nasrani,hindu,budha,Cina,WNI, Jawa, madura, Betawi,Sunda,batak,Dayak,Asmad dll, agar kebhinekaan terjalin. Ingat yg bkn saudaramu dlm iman adlh saudaramu dlm kemanusiaan.</t>
  </si>
  <si>
    <t>Kenapa pedoman khilafah ada pada ISIS, kenapa tidak pada KHILAFAH UTSMANIYAH RT @mbahCokro77: Jika benar Khilafah menjaga kehormatan wanita,silahkan datang dan gabung disuriah n ISIS 😁😁 Bukan omdo tp bukti nyata kalau gk pingin dirombong lakinya 😂😂😂 Gini ni orang2 sok tau tanpa menggunakan akal pikiran n nalarnya yg dianugrahkan Allah😂</t>
  </si>
  <si>
    <t>RT @Anna_MaSue: @Kiyai_MarufAmin Harga minyak dunia anjlok, nggak kaget, yai? 27 WNI positif covid-19, nggak kaget, yai?</t>
  </si>
  <si>
    <t>@ISIS_Balik_NO @AnnoSole @iblisygsoleh @aliiiinaja Doi nyari udang si balik batu, Klo udah ke gencet kan gampang ngambilnya..</t>
  </si>
  <si>
    <t>Pasien sdh lakukan pemeriksaan tgl 2 Maret di Indonesia. Tapi hasil tidak diperoleh sampai tgl 7? Tgl 7 Maret lakukan pemeriksaan di Spore dan terima hasil tgl 8 Maret. Butuh berapa lama sih pemeriksaan di Indonesia? @KemenkesRI #CoronaVirusIndonesia</t>
  </si>
  <si>
    <t>@thsweetescape Oppa pulg urus surat pindah jd WNI tu 🤭🤭</t>
  </si>
  <si>
    <t>@mariazinhanog Euh tambein 🤩✌🏻😍🥺🥵😜😘🤔😱✌🏻</t>
  </si>
  <si>
    <t>Meskipun sdh masuk jd WNI dan namanyapun juga sdh diganti "Agung Moropodo" tetapi JIWAnya TIDAK AKAN berubah dan tdk bisa terganti dia tetap "Acong" sampai mati #pahamkan RT @Anna_MaSue: Awalnya, mereka cuma NUMPANG.. Lantas, mereka mulai MENYEWA.. Kemudian, mereka mencoba MEMBELI.. Akhirnya, mereka berhasil MEMILIKI.. Dan pada gilirannya, gantian, kita yang akan NUMPANG pada mereka.. ~ Emha Ainun Najib</t>
  </si>
  <si>
    <t>RT @narkosun: WNI yg jadi combatan ISIS menurut pak @mohmahfudmd punya 2 opsi: 1. Akan dipulangkan, 2. Tidak dipulangkan. Yuk teman² kita gaungkan TOLAK kepulangan combatan ISIS. Biar tdk jd masalah di kemudian hari. Yg setuju RT biar terdengar pemerintah.</t>
  </si>
  <si>
    <t>RT @narkosun: Battle of Marawi. Salah satu kota di Filipina ini hancur karena dikuasai oleh teroris IS1S. Warga sipil banyak yg terbunuh &amp; jd pengungsi. Teroris akhirnya bisa dijinakkan oleh tentara pemerintah. Masih mau pulangin eks WNI IS1S??</t>
  </si>
  <si>
    <t>@marlina_idha @aniesbaswedan Mantab pak anis. .ceritanya si jubir mau mencoba mengcounter argument pak anis .dng bilang wni di wuhan di kapal pesiar .lah di dalam negri sndri pusat tertutup bgai mana mencegah dan membuat tenang rakyatnya.takut kalah pamor jungjunganya.</t>
  </si>
  <si>
    <t>Siwon sebentar lagi jadi WNI wkwkw RT @siwonchoi: Aku senang bisa kembali ke Indonesia dan bertemu teman-teman. Terima kasih telah menyambut saya dengan baik. 😎 Oppa nanti kembali lagi ya. 😍</t>
  </si>
  <si>
    <t>@anina_faris puak dorang ni kalau kita nak preach, nanti kene label ISIS takpun wahabbi dah nak naik muak dengar, orang nak nasihat je</t>
  </si>
  <si>
    <t>@ChristWamea Tp ada jubir yng ingin mengcounter mematahkan argument2 pak anis seolah2 pusat jauh sdh melakukan dng bilang di wuhan wni di kapal pesiar .lah di dalam negri sndri pemerintah tdk bs mengurangi atau mencegah virus corona agar rakyatnya tdk panik .</t>
  </si>
  <si>
    <t>@CNNIndonesia Ternyata banyak wni yg di kecewakan pengelola setempat..</t>
  </si>
  <si>
    <t>Negara hadir dalam pelindungan warganya. Kalimat ini selalu muncul tatkala berbicara mengenai keselamatan WNI baik di dalam negeri maupun luar negeri. Direktorat Jenderal Imigrasi melalui Kantor Imigrasi turut…</t>
  </si>
  <si>
    <t>@BaskoroKata @SMBS_rio @shiaLebaou @DenmasBedj0 @RizalValen76 @Mujirahadi2 Kalo dsni lbh aneh lagi anak2/isis eks wni malah mau difasilitasi kalo ke negara ini alasan kemanusiaan. Bahkan smua kebutuhan hdupnya dicukupi. Aneh !!!</t>
  </si>
  <si>
    <t>@dodiidamanku @ustadtengkuzul @jokowi Buktinya ad kn pembunuh bertakbir?contoh isis,ibnu muljam,bomber. Justru manusia bertakbir untk mnyakiti/merusak/membunuh,mngkin iti iblis dlm wujud mnusia. K2 knp gw bahs takbir? Krn ustad lo bcara maslh Al Quran. Katany muslim?kok nyolot dluan sblum membaca dr awal?</t>
  </si>
  <si>
    <t>@mbahCokro77 Jadi budak seks nya ISIS baru tau rasa mereka.. oon yg natural</t>
  </si>
  <si>
    <t>RT @sahaL_AS: WNI positif Corona udah resmi dinyatakan ada di Indonesia. Ga usah mungkir/denial lagi. Hentikan pembodohan publik pake narasi agama, seolah2 Indonesia kebal, seolah muslim kebal. Corona itu ranah kedokteran, bukan agama. Cara mengatasinya mesti pake sains, bukan iman.</t>
  </si>
  <si>
    <t>Banyak kabar yang simpang siur mengenai jumlah pasirn yang positif virus corana ini. Tapi dari jumlah tersebut ada juga WNAnya juga jadi ga murni WNI (menurut info yang saya pahami) Jadi jangan terlalu takut, tingkatkan kebersihan dan jaga imun serta kesehatan masing masing😊</t>
  </si>
  <si>
    <t>Dan pasien positif corona yang meninggal di RS #Sanglah itu adl WNA ,bukan WNI dan sudah dikatakan beliau punya penyakit sebelumnya. Dan jenazah sudah di kremasi kemaren. Mohon jangan menshare berita hoax. Semoga kita semua dlm lindunganNYA 🙏</t>
  </si>
  <si>
    <t>@ISIS_Balik_NO @DjanChoek @aliiiinaja Gue gak jelekin ortu gue. Ortu gue mah baik, tapi ortunya @aliiiinaja yang gak tau diri. Dan banyak ortu lain juga begitu, dan tetap disembah anaknya karena paksaan budaya.</t>
  </si>
  <si>
    <t>@mendess_mariaa vamuuuuuu</t>
  </si>
  <si>
    <t>20 Orang Positif Corona di Arab Saudi, KBRI Riyadh Imbau WNI Tidak ke 3 Kota</t>
  </si>
  <si>
    <t>Fokus ngurus COVID-19 itu nanyak seginya: perkuat penampisan dan deteksi dini, tracking WNI yg baru dr LN, promosi kesehatan, dll. Meakipun ga genting2 bgt, kita jfn anggap situasinya baik2 saja.. #focusoncorona #CoronaVirusIndonesia #COVID19indonesia</t>
  </si>
  <si>
    <t>RT @wahhabicc_jabar: Jika dipulangkan.... TAPI TETAP TOLAK DIPULANGKAN!</t>
  </si>
  <si>
    <t>@ArpSyawal Rata2 wni yg pernah kontak ke luar negeri dan WNA. Sedih mas:') makin nambah pasiennya makin gabisa libur</t>
  </si>
  <si>
    <t>1).virus corona lak banyak myerang penduduk china,lalu aku sering ketemu org china kuwi,aku btanya:cie nggak gawe masker ta?!?!,mrk mjwb:oh itu penyakit menyerang org china.lalu aku takon:lah km lak org china cie kulitmu putih matamu sipit?,lalu dia jwb:kami ini WNI,gono eh jwb-</t>
  </si>
  <si>
    <t>Indonesia Kuat Bersatu Melawan Isis</t>
  </si>
  <si>
    <t>Jika dipulangkan.... TAPI TETAP TOLAK DIPULANGKAN!</t>
  </si>
  <si>
    <t>@mediaindonesia Binasakan klompok2 radikal cikal bakal isis secepatnya. Kalo tidak bisa bahaya negeri ini..</t>
  </si>
  <si>
    <t>Dalam catatan sipil sebenarnya Ahok Warga Tiongkok,lahir pada thn 1966 dan mendapat Naturalisasi menjadi WNI thn 1986. Apa yg begini bisa jadi Presiden ? Tolong di jawab ya</t>
  </si>
  <si>
    <t>RT @HamzaFadh: @Etekewer_Sepuh_ @_Naoliviea__ lama2 ngendon disini terus jadi WNI</t>
  </si>
  <si>
    <t>RT @myatharva: @fajaralam9 @angedespoir5 @WR_4AG226 @IkhlasSajadeh @__ChusnulCh_ @kenhans03 SETUJU PARA KADRUN INI SDH MAKIN KURANG AJAR KAYAK PARASIT DR GURUN NUMPANG HIDUP DI NKRI GA TAU DIRI MRK MESTI DILAWAN JUMLAH MRK CUMA SE UPIL WNI YG CINTA NKRI JGN RAGU MELAWAN KADRUN SOK SUCI BERTOPENG AGAMA TP MERUSAK NKRI BASMI AJA SKLIAN</t>
  </si>
  <si>
    <t>Selain dijerat dengan UU Terorisme, WNI eks ISIS juga dapat dijerat dengan tuduhan perbuatan makar terhadap negara sahabat, dalam hal ini di negara Suriah, yaitu Pasal 139b KUHP.</t>
  </si>
  <si>
    <t>RT @BamsBulaksumur: Keren kinerja pemerintahan Jokowi 🙏 4 WNI Terjangkit Corona di Jepang Sembuh!!!</t>
  </si>
  <si>
    <t>WNI yang bijak lapor pajak. Habis itu lewat jalan jelek, asem ik! Uang pajak gw ke mana ini. 😂😂</t>
  </si>
  <si>
    <t>68 WNI kru Kapal Diamond Princess akan diturunlan dari KRI Soeharso ke lokasi observasi, Pulau Sebaru Kecil, Kepulauan Seribu, selengkapnya di</t>
  </si>
  <si>
    <t>RT @RadioElshinta: Sembuh dari COVID-19, pasien 06 tunggu semua WNI ABK Diamond Princess.</t>
  </si>
  <si>
    <t>mantul pak @ganjarpranowo -&gt; USAS ISIS  via @YouTube</t>
  </si>
  <si>
    <t>RT @Ghovar4: @Etekewer_Sepuh_ Dalam waktu tidak lama lagi, penuh negeri oleh orang² cina. Ntar tiba² mereka punya data sebagai WNI? Apakah ini strategi pemusnahan masal warga pribumi?</t>
  </si>
  <si>
    <t>Jika benar Khilafah menjaga kehormatan wanita,silahkan datang dan gabung disuriah n ISIS 😁😁 Bukan omdo tp bukti nyata kalau gk pingin dirombong lakinya 😂😂😂 Gini ni orang2 sok tau tanpa menggunakan akal pikiran n nalarnya yg dianugrahkan Allah😂</t>
  </si>
  <si>
    <t>Sembuh dari COVID-19, pasien 06 tunggu semua WNI ABK Diamond Princess.</t>
  </si>
  <si>
    <t>@isis_artusi KAKAAMAJAMAMAMAJAKWWKWKEKEKS VSF</t>
  </si>
  <si>
    <t>khilafah itu iyah pasti (ada memang) tp ngga sekarang dan yang dipaksa2in didagangkan kayak HTI ISIS DLL Karena itu yg tahu dan menentukan cuman Dzat-Nya yang maha agung , tugas sekarang ini hanya di perintah sabar shalat dan ikuti aturan pemerintah yg SAH</t>
  </si>
  <si>
    <t>RT @dr_koko28: Adanya transmisi lokal Covid19 berarti bahwa potensi penularan tanpa riwayat perjalanan ke luar negeri sudah cukup tinggi. Tetap saja perlu terapkan 3 langkah : 1. Batasi WNA terutama dari daerah endemis. 2. Batasi WNI ke LN. 3. Terapkan PHBS plus alam terbuka &amp; nutrisi adekuat.</t>
  </si>
  <si>
    <t>RT @callmepaqiih: Plis ini mah laaah, kasiaan😭😭 Jujur aja ini yaak, pas 2 org wni pertama trkena corona aja bbrapa tmn gua nganggep DEPOK kek najis gitu anjir 😭😭😭😭😭</t>
  </si>
  <si>
    <t>@kadekadeaan Masuk grup islam aliran mana nih main pksa2 org pake bismillah sbelum ngomong,jgan2 loe ex ISIS member</t>
  </si>
  <si>
    <t>RT @MongabayID: Sejak 2014, Kementerian Kelautan dan Perikanan (KKP) menerbitkan status perlindungan terbatas (moratorium) pemanfaatan Bambu Laut (Isis hippuris). Tetapi...</t>
  </si>
  <si>
    <t>@Aryprasetyo85 @eka_dini722 @EnjoyJateng @jatengpedia @Jateng_Kitaid @b4yuw @CahJateng_ Gubernur Jateng 👍👍👍👍🙏🙏 Beda dgn Gabener DKI, konspirasi dgn FPI pemuja ISIS dan Khilafah.</t>
  </si>
  <si>
    <t>@deemaz85 @sefkelik walaaaahhh.... jangan2 lebih dipersempit lagi kelolakalannya.. WNI non - Kota Jogja (jinguk,Banguntapan nggak masuk) 😂😂</t>
  </si>
  <si>
    <t>RT @primanthaevelin: @JL_Apatheia @BirgaldoS itu anak anak isis mau dijamin ampe dewasa kan ? berarti pajak pajak kita bayar buat ngehidupin anak anak teroris</t>
  </si>
  <si>
    <t>@JoeWongJava1 @ISIS_Balik_NO @TofaTofa_id @kangdede78 Kok daging ulama beracun ? Kayak ikan buntal donk ? Mulutnya beracun gak ya ?</t>
  </si>
  <si>
    <t>Waspada… ISIS sudah lebarkan jaringannya untuk hancurkan India. #TolakISIS no more #Warzone  @jangkarlaut54 @SMBS_rio @shiaLebaou @DenmasBedj0 @RizalValen76 @Mujirahadi2</t>
  </si>
  <si>
    <t>Dianggapnya WNI asli dalam negeri tidak ada yg bisa kerja, bisanya pemerintah cuma ngutang, tdk becus berdayakan kemampuan lokal. Ya iya lah, pejabat2 negeri ini banyak koruptornya RT @ustadtengkuzul:  Pak @jokowi izinkan Asing kelola Aset Negara, dari Terminal Bus, Pelabuhan, Bandara, Infrastruktur, SUMBER DAYA AIR, Pengelolaan Air, Pertambangan, dll. Kami hanya mau ingatkan Pasal 33 UUD 1945;"Bumi, Air, serta Kekayaan Alamnya DIKUASAI oleh Negara, dst.</t>
  </si>
  <si>
    <t>Kisah Pemuda Terjebak di Suriah Selama 300 Hari, Cari Keluarga Gabung ISIS: Tertangkap  via @tribunnews</t>
  </si>
  <si>
    <t>@FichriHasan @Dennysiregar7 @CNNIndonesia Islam kaffah jadilah isis..tuakbeer</t>
  </si>
  <si>
    <t>@ISIS_Balik_NO @Winardhi__ Jangan2 ruh grandong 🤣🤣🤣🤣🤣</t>
  </si>
  <si>
    <t>RT @AminurasyidR: @Etekewer_Sepuh_ Warganya yg mereka sebut ISIS mereka tolak utk kembali tapi warga china yg gak jelas tujuannya diterima dgn karpet merah utk tinggal di negeri ini. Gak tau, sementaranya sampai kapan. Tau² mereka nanti pd punya e-KTP</t>
  </si>
  <si>
    <t>Pemerintah menyatakan terdapat kemungkinan pasien 06 yang sudah dinyatakan sembuh dari COVID-19 tidak langsung dipulangkan, melainkan akan menunggu seluruh WNI ABK Diamond Princess yang sedang diobservasi di Pulau Sebaru, Kepulauan Seribu, DKI Jakarta.</t>
  </si>
  <si>
    <t>Efek tergiur tiket promo yg murah meriah gambreng. Modal cm pake masker dan hand sanitizer doank. Pulang bawa virus bikin heboh 1 negara and not feeling guilty at all 😶 Banyak WNI Tertular di Luar Negeri, Yuri Sebut dari Negara Dekat Indonesia</t>
  </si>
  <si>
    <t>@hmskaban @Temulaw71417452 Bagusnya para pengasong kilapa,mingkem dulu deh..daripada bikin narasi2 yg nyeleneh.klo gak ,ya istiqomah saja membantu perjuangan isis di irak&amp;suriah yg lagi termencret mencret dihajar pasukan pemerintah sana</t>
  </si>
  <si>
    <t>tenho 3, Gabriel, Kesia e Isis RT @byunvines: 56- tem irmãos? se sim, qual é o nome deles?</t>
  </si>
  <si>
    <t>@ErryGudel @Hariyanto152 @ISIS_Balik_NO @TofaTofa_id @kangdede78 Lah gw kira malah Dildo...</t>
  </si>
  <si>
    <t>RT @harian_riau: Diduga Jadi Korban Perampokan, WNI Tewas Digorok di Malaysia</t>
  </si>
  <si>
    <t>Diduga Jadi Korban Perampokan, WNI Tewas Digorok di Malaysia</t>
  </si>
  <si>
    <t>kalau wni yg dinyatakan sembuh dr corona, setelah itu ia kembali ke permukiman, namun mala di hancurkan lewat mental, bukankah itu lebih parah dr corona? terkadang manusia lebih kejam drpd virus.</t>
  </si>
  <si>
    <t>@yabaan_w mitolocik olan isis mi ndhnfhfjf</t>
  </si>
  <si>
    <t>@kumparan Biar ketahuan WNI nya</t>
  </si>
  <si>
    <t>@AnnoSole @iblisygsoleh @roman_paqr @aliiiinaja Aduh....ada yg ngomkng integrity....tapi mendukung orang yg menghujat oranv tua sendiri......apa ente gak pernah diteteik dan dicebokin ibu ? Warbyasah</t>
  </si>
  <si>
    <t>@segopecels @sefkelik Ke WNI non-Jogja</t>
  </si>
  <si>
    <t>@bbumkeyk @PantunJ2P @aliiiinaja Ente yg goblok...lo pikir jadi manusia langsung GEDE ? Kemana saja saat kau lahir dan saat PANTAT lonpenuh Tai dan MEWEK saat lo kelaparan ? Setelah lo bisa TWITTERAN lo kehilangan Respel sama orang Tua....jd manusia modern dan bisa WARNAI RBUT kok jadi PEKOK!</t>
  </si>
  <si>
    <t>@vivanewscom @VIVAcoid Pak Gayus itu anak isis ex WNI jangan di balik.</t>
  </si>
  <si>
    <t>*15 WNI Positif Covid-19 di Luar Negeri, 7 Orang Dinyatakan Sembuh. =Berita yang menggembirakan bagi banyak orang. #Kemenlu #Kemenkes #VirusCorona #Indonesia #Rafans</t>
  </si>
  <si>
    <t>@LemonPahit @DjanChoek @aliiiinaja Ya Tuhan..... serasa nonton film kartun......ayam saja yg keluar dari TELOR langsung bisa matuk makan sendiri, butuh 21 satu hari ibunya bertapa untuk bisa hidup. Lo, MANUSIA, kagak pake OTAK untuk bisa BERSYUKUR krn masih bisa Twitteran dan menjelekan orang tua ?😭</t>
  </si>
  <si>
    <t>@collegemenfess Kalo mau yg sumbernya banyak, bisa yg ISIS. Tapi ini resikonya kamu bisa menyerempet SARA. Sama juga yang Shincheonji. Kalo mau coba pake kasus lain. Cari kasus yang ga ada hubungannya sama SARA dan politik kenegaraan</t>
  </si>
  <si>
    <t>Hari Ini, 188 WNI ABK World Dream Selesai Observasi</t>
  </si>
  <si>
    <t>@ISIS_Balik_NO @TofaTofa_id Apa hubungannya dg mesjid. Biasanya Orang kesurupan itu, bila dilayani makin kalap</t>
  </si>
  <si>
    <t>@FirmanMannaga Lalu Corona jadi tentara ALLAH.......nalar kadar gurun...katanya CERDAS</t>
  </si>
  <si>
    <t>Adrian ni bungkus je la</t>
  </si>
  <si>
    <t>@FirmanMannaga @TofaTofa_id Manusia ini koar2 kecerdasan....lihat Masjid dibangun megah....cuma dipake tidur dan malah Pameran Ibadah di jalan raya.....mingkem... Skali2 oinjem OTAK di RM PADANG......CERDAS !</t>
  </si>
  <si>
    <t>@medhiano @bayo_edy 2)Mungkin saja dia berasal dari islam yg pemahamannya salah.memahami secara timpang ttg Jihad. Bom yg terjadi di bali aq yakinnya itu bukan isis. Tapi dikambing hitamkan sbgi isis. Isis butuh pengakuan keberadaannya. RT @bayo_edy: Kami melakukan aksi ngebom di Bali itu tidak ada hubungannya dengan intoleransi. Radikal yg paling tinggi adalah terorisme sedangkan intoleransi ada dibawahnya. Nah..... Celoteh si Ali Imron sang mantan teroris yang sekarang menjadi pendukung Ahok. Pendapat anda ?..</t>
  </si>
  <si>
    <t>@w_runturambi Kayaknya orang2 disekeliling @jokowi sudah disetel dan disetting otak dan mulutnya hanya untuk menjegal dan menyerang @aniesbaswedan, kenapa??? Apa pak anies nggak pantas jadi presiden, diah toh WNI juga, Punya hak jadi presiden</t>
  </si>
  <si>
    <t>@HeroeWhiteMachy @lidah_tornado @BudTeguh Apa kabar kadal gurun sireman....kagak punyaa nyali kah dia tangkep AHOK ? Apa cuma nyari sensasi jualan musibah....tanpa peduli kerjaan ? Kadal</t>
  </si>
  <si>
    <t>@HeroeWhiteMachy @ruhutsitompul Lo pikir di kapekakagak ada Kadal Gurun ?....kenapa pula jenggot2 panjangnya kagak bisa nyarj kesalahan Ahok kalo memang korup ? Mikir sekali2 pake otak....pinjem ke RM Padang kali2</t>
  </si>
  <si>
    <t>@ISIS_Balik_NO @TofaTofa_id Ini contoh menghina diri sendiri,karena tdk pakai nalar klo komen, koar2 aja terus sampai sakau, kalap dan mutar and guling2</t>
  </si>
  <si>
    <t>@HeroeWhiteMachy @TeddyGusnaidi @aniesbaswedan Patjng Senggama karya Besar Sampah jd Pejabat</t>
  </si>
  <si>
    <t>Kadang suka lupa kalo siwon ini idol korea, abis kaya WNI sih. 😂 RT @siwonchoi: Aku senang bisa kembali ke Indonesia dan bertemu teman-teman. Terima kasih telah menyambut saya dengan baik. 😎 Oppa nanti kembali lagi ya. 😍</t>
  </si>
  <si>
    <t>@isgnursejati_57 @AdhieMassardi Udah tau pilihan IJTIMA......lo.musuhin gegara dijadikan pembantu Jokowi 😂😂😂😂😂😂😂😂 Azab memainkan Allah</t>
  </si>
  <si>
    <t>@collegemenfess isis aja</t>
  </si>
  <si>
    <t>@isgnursejati_57 @AdhieMassardi Lo pindah saja ke uyghur....teroris !</t>
  </si>
  <si>
    <t>@FirmanMannaga @TofaTofa_id Kafak nyadar justru gerombolan ente pengHINA SEJATI.dan rerata dari MEREKA memamawrka KETAQWAAN DIHIASI HURUF2 ARAB MENGAGUNGKAN Allah..... Kampret Mutan memang sok paling IYES......tapi Belek dimata kagak dilihat</t>
  </si>
  <si>
    <t>Plis ini mah laaah, kasiaan😭😭 Jujur aja ini yaak, pas 2 org wni pertama trkena corona aja bbrapa tmn gua nganggep DEPOK kek najis gitu anjir 😭😭😭😭😭</t>
  </si>
  <si>
    <t>RT @zhibung: @WartawanPensiun Mereka luarbiasa WNI keturunan tionghoa dn banyak jg WNI pribumi dr suku" indonesia yg sudah pula mengharumkan nama bangsa...ditunggu WNI keturunan benua arab untuk berprestasi mengharumkan indonesia jg,ini bukan rasis,tp tantangan berprestasi untuk negara bukn malah provokatif</t>
  </si>
  <si>
    <t>RT @KemenkesRI: Pesawat Garuda A330 yang menjemput 69 WNI ABK Diamond Princess di Haneda, Jepang telah mendarat di Bandara Kertajati, Majalengka (1/3) pukul 23.00 WIB. #WaspadaCOVID19</t>
  </si>
  <si>
    <t>RT @KemenkesRI: Tim kesehatan @KemenkesRI bersama TNI sedang melakukan proses pengukuran suhu tubuh para WNI anak buah kapal World Dream di Pulau Sebaru Kecil. #WaspadaCOVID19</t>
  </si>
  <si>
    <t>RT @KemenkesRI: Kunjungan Menkes tersebut dalam rangka meninjau kesiapan Bandara Kertajati untuk menerima 69 WNI ABK Diamond Princess yang direncanakan akan tiba malam ini. #WaspadaCOVID19</t>
  </si>
  <si>
    <t>RT @KemenkesRI: #RilisSehat WNI ABK Diamond Princess Dijemput, Semuanya Sehat @KemenkesRI</t>
  </si>
  <si>
    <t>RT @KemenkesRI: WNI ABK World Dream dan pembina observasi di Pulau Sebaru Kecil melaksanakan senam bersama. Olahraga jadi menu wajib untuk meningkatkan ketahanan tubuh guna cegah #COVID19 #WaspadaCOVID19</t>
  </si>
  <si>
    <t>RT @KemenkesRI: #RilisSehat 3 Hari Diobservasi, Suhu Tubuh WNI ABK World Dream Normal @KemenkesRI</t>
  </si>
  <si>
    <t>RT @KemenkesRI: #RilisSehat Pengawasan Ketat pada Pangan bagi WNI @KemenkesRI</t>
  </si>
  <si>
    <t>Jubir penanganan wabah Corona, Achmad Yurianto mengatakan agar WNI yang menjalani observasi di Pulau Sebaru melakukan pembatasan di 14 hari kedepan dengan mengurangi aktivitas di luar rumah. #PulauSebaru</t>
  </si>
  <si>
    <t>Pangkogasgabpad Laksamana Madya Yudo Margono terlihat bersemangat dan antusias dalam memberikan penyuluhan kesehatan kepada para WNI. #PulauSebaru</t>
  </si>
  <si>
    <t>RT @yuddychrisnandi: Jumlah WNI yang tinggal di wilayah Ukraina sekitar 98 orang. Alhamdulillah semuanya dalam keadaan sehat wal afiat. KBRI terus melakukan pemantauan serta Komunikasi yg intens. Masker, Antiseptik cukup tersedia.Teriring Doa utk keselamatan dan kesehatan seluruh Bangsa Indonesia.</t>
  </si>
  <si>
    <t>Jumlah WNI yang tinggal di wilayah Ukraina sekitar 98 orang. Alhamdulillah semuanya dalam keadaan sehat wal afiat. KBRI terus melakukan pemantauan serta Komunikasi yg intens. Masker, Antiseptik cukup tersedia.Teriring Doa utk keselamatan dan kesehatan seluruh Bangsa Indonesia.</t>
  </si>
  <si>
    <t>Tenggelamkan antek ISIS #2019JokowiMaruf #Jokowi2Periode #jokowi2periode #2019tetapjokowi</t>
  </si>
  <si>
    <t>RT @TirtoID: WNI yang divonis positif COVID-19 di Singapura dikabarkan sempat mencari perawatan ke sejumlah rumah sakit di Jakarta. Ia juga disebut mulai merasakan gejala COVID-19 sejak tanggal 28 Februari atau sebelum tiba di Singapura.</t>
  </si>
  <si>
    <t>Ko te kaiwhakatuma Coranovirus. Ko nga mana o te Hauauru, ko te US me Uropi, me whakapuaki i te kaiwhakatuma mate hou a te ao kia "whawhai" kia pai ake ai "kia whai hua", penei i a Al-Qaeda me te "Islamic Islamic" -ISIS. He take pai kia uru mai ki te nama me te IMF.</t>
  </si>
  <si>
    <t>RT @SUNdayEmpireGL: Konspirasi ISIS, KKK, dan Sunda Empire</t>
  </si>
  <si>
    <t>Coranovirus ɗan ta'adda. Powersasashen Yammacin Turai, Amurka da Turai, dole ne su ayyana sabon ɗan ta'adda na duniya don "shawo kan" shi "da kyau", kamar yadda suka yi da Al-Qaeda da kuma "Islamic state" -ISIS. Kyakkyawan uzuri don shiga cikin bashi tare da IMF.</t>
  </si>
  <si>
    <t>@mahkotadurii kagak ada yg ngaku, tp dari orok diakuin sbg WNI, aku kudu piye? 🤣</t>
  </si>
  <si>
    <t>@sefkelik "lepas dari orang lokal" ini maksudnya dijual kepada WNA ya mas? Kalo lepas karena dijual kepada WNI,kok menakutkan?</t>
  </si>
  <si>
    <t>Pulau Sebaru Kecil menjadi tempat observasi virus Corona bagi 188 WNI ABK World Dream dan 68 WNI Kapal Pesiar Diamond Princess selama 14 hari. #PulauSebaru</t>
  </si>
  <si>
    <t>@trippin_free @Jennahanks2 @ericheaps @Lisamarie1577 @lizzywales @M18862 @rosettalind55 @Roxannemyles5 @Trudginon1 @YMashiach2 @montanarealtyc1 IHS Isis Horus Set</t>
  </si>
  <si>
    <t>@ISIS_Balik_NO @TofaTofa_id @kangdede78 Dasar manusia asam urat 😂</t>
  </si>
  <si>
    <t>@SharareMishavam ISIS's copy of Wilayat al-Faqih</t>
  </si>
  <si>
    <t>@abdollahram ISIS's copy of Wilayat al-Faqih</t>
  </si>
  <si>
    <t>Jokowi Jemput WNI Terdampak Corona</t>
  </si>
  <si>
    <t>RT @ani_nyebar: Seorang perawat masuk ISIS untuk menolong anak2, tapi diancam ketika coba pulang #dampakradikalisme @wangi_bhumi @CastilloJoshima @FahziRatna @MbojoFarid @priyant90676620 @Bocah__koplak</t>
  </si>
  <si>
    <t>RT @ani_nyebar: Nontone cerita seorang perawat masuk ISIS untuk menolong anak2, tapi diancam ketika coba pulang (harus nulis sumpah dengan darah) #dampakradikalisme @wangi_bhumi @CastilloJoshima @FahziRatna @MbojoFarid @priyant90676620 @Bocah__koplak</t>
  </si>
  <si>
    <t>@isis_monye 😂😂😂nah fr</t>
  </si>
  <si>
    <t>VOA Executive Lounge : Yudi Santosa, Kondisi WNI di Daegu Terkait Corona (1)</t>
  </si>
  <si>
    <t>Teroris Coranovirus. Kekuatan Barat, AS dan Eropa, harus mendeklarasikan teroris pandemi global baru untuk "memerangi" itu lebih "efektif", seperti yang mereka lakukan dengan Al-Qaeda dan "negara Islam" -ISIS. Alasan bagus untuk berutang dengan IMF.</t>
  </si>
  <si>
    <t>Pengganas Coranovirus. Kuasa Barat, Amerika Syarikat dan Eropah, mesti mengisytiharkan pengganas pandemik global baru untuk "memerangi" ia lebih "berkesan", seperti yang mereka lakukan dengan Al-Qaeda dan "negara Islam" -ISIS. Alasan yang baik untuk masuk hutang dengan IMF.</t>
  </si>
  <si>
    <t>Cerita WNI di Inggris: Pembelian Masker Dibatasi 5 Buah Per Orang</t>
  </si>
  <si>
    <t>@fredysuarez99 @fdbedout Qui chimisis isis di li izquiirdi</t>
  </si>
  <si>
    <t>Dalam penyuluhan mengenai virus Corona, para WNI didampingi oleh prajurit TNI yang tergabung dalam satgas Gabungan Terpadu Bantuan Kemanusiaan di bawah komando Pangkogasgabpad Laksamana Madya Yudo Margono SE MM. #PulauSebaru</t>
  </si>
  <si>
    <t>Para WNI yang diobservasi, menjalani masa karantina dengan baik dan teratur. #PulauSebaru</t>
  </si>
  <si>
    <t>Konspirasi ISIS, KKK, dan Sunda Empire RT @na_dirs: Semua yg ke Israel harus dua minggu di karantina. Italia merumahkan penduduknya. Paus berkhotbah dg live streaming. Ka’bah sepi. 3 agama besar dunia kena dampak corona. China, Jepang, Korea, Amerika, UK, Australia semua jg kena. Masih bilang ini konspirasi? Mikirrrr 😷</t>
  </si>
  <si>
    <t>@ragacahyaa @newkidintown99 Medeni lek nyindir kpopers kyok diserang militan isis</t>
  </si>
  <si>
    <t>Bola ke tidur?</t>
  </si>
  <si>
    <t>Imbauan sekaligus informasi bagi WNI di Lebanon @Kemlu_RI #negaramelindungi #indonesianways #indonesiainlebanon</t>
  </si>
  <si>
    <t>@collegemenfess Kalo menurut aku Shincheonji, soalnya Mas Hansol story telling-nya mantep banget hehee. Aku kebetulan belum nonton video Pak Ganjar, tapi beberapa kali nonton video tentang isis di BBC Indonesia sama Vice lumayan bagus</t>
  </si>
  <si>
    <t>Iran Israel Germany Turkey Russia Usa .....Hamas ....Hizbollah...Dash Isis responsables for War Crimes in Syria Iraq Libya Yemen.</t>
  </si>
  <si>
    <t>@tempodotco Benarkan pemerintah tdk transparan,krn pemerintah tdk transparan makanya arab saudi menolak wni tuk umroh</t>
  </si>
  <si>
    <t>Isis Bbq human barbakoa humana 🔞❌</t>
  </si>
  <si>
    <t>Tolak kepulangan ISIS ke Indonesia #tolakisis</t>
  </si>
  <si>
    <t>@kompascom Benar kan tdk transparan pantas arab saudi menolak wni tuk umroh,pemerintah indonesia tdk transparan</t>
  </si>
  <si>
    <t>2 WNI Positif Corona di Indonesia yang Sembuh Disarankan Isolasi Diri di Rumah Selama 14 Hari</t>
  </si>
  <si>
    <t>Malaysia pulangkan 140 WNI bermasalah</t>
  </si>
  <si>
    <t>Yeah dekho Jingoism ko journalism toh kabke khatam hogye iske andar se... Tera ko follow nahi karta mein bhai mujay mat suggest karna unfollow krne ko Khud krle uss ISIS handel se baat @kashmirosint Se . usko dm karr tera ko details bhi dega apni oor jammu aa kr interview bhi. RT @dograjournalist: Matlab ek aur Award... Congrats #NDTV</t>
  </si>
  <si>
    <t>RT @El_Yoce_LDR: @GabyPaola93 Yi ni mi li pisi in isis, indi mii icipidi piri sir drimitici, ik?</t>
  </si>
  <si>
    <t>@GabyPaola93 Yi ni mi li pisi in isis, indi mii icipidi piri sir drimitici, ik?</t>
  </si>
  <si>
    <t>@RHYTHMMMR @DaaruBaazMehta @SanjayAzadSln @BhagwantMann kapil ne bola haii case mein mila hai Ab pfi do ya isis ya rss kya matlab Okil paisa dekhta haii Source nahi..</t>
  </si>
  <si>
    <t>RT @kompasiana: WNI di Swedia dan Latvia, Waspada dan Tetap Tenang Menghadapi COVID-19</t>
  </si>
  <si>
    <t>@collegemenfess shincheonji tp masih terlalu baru dan pasti sumbernya ga sebanyak yg isis sih.. tp kayanya kalo untuk skripsi gini langsung minta pendapat ke dospem si biar lebih mantep</t>
  </si>
  <si>
    <t>@wisanggeni_084 Ooh...WNA...kirain WNI...</t>
  </si>
  <si>
    <t>RT @alpinsi_pandi: @ISIS_Balik_NO @TofaTofa_id @kangdede78 Pengecut berlindung dgn wanita 👎👎 bacot donk gede mental tempe busuk si @TofaTofa_id</t>
  </si>
  <si>
    <t>@UnSubtleDesi Dho Dala Bichare NDTV sorry ISIS waale ko...</t>
  </si>
  <si>
    <t>WNI di Swedia dan Latvia, Waspada dan Tetap Tenang Menghadapi COVID-19</t>
  </si>
  <si>
    <t>RT @iwandebu: Heran 80% wni adalah buruh tapi yg teriak buruh2 pabrik only. Nyadar ga sih, kalau ruu omnibuslaw akan dipraktekkan o seluruh perusahaan? #TolakKerasOmnibusLaw</t>
  </si>
  <si>
    <t>@collegemenfess ISIS SUMPAHAN BIAR GOMBYOS LU DENGERINNYA KRN SESEREM ITU:"</t>
  </si>
  <si>
    <t>@oIivert Pernah jadi WNI gak Bang?</t>
  </si>
  <si>
    <t>@detikcom Nanti kalo wni di jepang di diskriminasikan juga.. marah....</t>
  </si>
  <si>
    <t>@mochamadarip @stevenevets7 Ikuti yang tidak obral khilafah! Ikuti yang tidak dukung pemberontak SURIAH dan yang menolak ISIS...</t>
  </si>
  <si>
    <t>@cisburgirl @mhdarief2208 @Ricksanchezit Orang2 islam yg terpengaruh(ambil contoh isis) untuk memerangi kaum kafir, menegakkan syariat islam/tegakkan khilafah (tentu mereka ini hasil output dari membaca kitab2mu dong). Entah itu menurutmu mereka(isis) menyimpang, tapi mereka2 menganggap ini ajaran Qur'an</t>
  </si>
  <si>
    <t>RT @sintashintaa: @waltonkate at least, kita harus tau WNA asal negara mana, dan posisi disini ke daerah mana, supaya bisa meminimalisir penularan jg :( kalau "pokoknya WNA" "pokoknya WNI" kita gatau aktifitasnya :(</t>
  </si>
  <si>
    <t>@collegemenfess Isis lebih banyak sumbernya</t>
  </si>
  <si>
    <t>RT @waltonkate: @prinzepal_ Nggak juga sih. Nggak perlu tahu tetangganya siapa, bahkan nggak perlu tahu rumahnya persis di mana. Detail besarnya aja - kota mana, WNI, WNA dari negeri mana, dst</t>
  </si>
  <si>
    <t>VOA Executive Lounge: Yudi Santosa, Kondisi WNI di Daegu Terkait Corona (3)</t>
  </si>
  <si>
    <t>VOA Executive Lounge: Yudi Santosa, Kondisi WNI di Daegu Terkait Corona (2)</t>
  </si>
  <si>
    <t>IMBAUAN KBRI LONDON BAGI WNI DI INGGRIS DAN IRLANDIA TERKAIT PENYEBARAN VIRUS COVID-19 -</t>
  </si>
  <si>
    <t>@PantunJ2P @FaGtng @DivHumas_Polri @CCICPolri Untuk bahan bacot saja, percume dilaporken.. demo di depan mata bawa bendera khilafah HTI isis aja dibiarjan kok Bisa bisa yang lapor malah tersudut</t>
  </si>
  <si>
    <t>@collegemenfess ISIS aja nder biar tegang suasananya</t>
  </si>
  <si>
    <t>@RanaAyyub jihadi ISIS terrorist agent</t>
  </si>
  <si>
    <t>@collegemenfess isis menarik</t>
  </si>
  <si>
    <t>RT @riyadh_kbri: Yth Bapak Ibu WNI di Arab Saudi, Berikut himbauan terbaru dari KBRI Riyadh ttg perkembangan wabah virus corona di Arab Saudi &amp; aturan utk masuki wilayah Arab Saudi. Mohon himbauan ini dpt dipatuhi demi keamanan &amp;amp; kesehatan kita semua. @kemlu_ri @safetravelkemlu #negaramelindungi</t>
  </si>
  <si>
    <t>@collegemenfess isis karena udah banyak info2 jadi tinggal perdalam aja, cuma kl mau shincheonji itu jg bagus tp harus gali lebih dalam lagi karena gak terlalu banyak infonya dan biasanya ada artikel paling pake bahasa korea</t>
  </si>
  <si>
    <t>RT @KompasTV: 7 Pasien Baru Positif Corona Berstatus WNI yang Terpapar dari Luar Negeri</t>
  </si>
  <si>
    <t>@ekakunjeri karena @TofaTofa_id bingung mau mencela pake cara apa sama @basuki_btp .. secara ahok punya harta berlimpah, punya jabatan, punya istri cantik, punya banyak pendukung militan, punya kinerja bagus, padahal siapalah ahok, cuma seorang WNI keturunan dari kaum minoritas pula.</t>
  </si>
  <si>
    <t>@collegemenfess Karena isis udah terlalu sering di bahas, coba bahas gereja shinceonji nder, menarik juga tuh. Emang ternyata ajaran sesat bukan dari satu agama aja, bahkan hampir semua agama ada aliran sesat nya hmmm</t>
  </si>
  <si>
    <t>@collegemenfess kalau menurutku yang ttg ISIS nder</t>
  </si>
  <si>
    <t>@collegemenfess Kalo aku isis nder</t>
  </si>
  <si>
    <t>@collegemenfess ISIS keknya sumbernya jauh lebih banyak nder, menurut w itu aja</t>
  </si>
  <si>
    <t>RT @APalestin42: Ekstimis hindu tak jauh beda dengan ISIS. stop penindasan muslim india..., #MuslimsGenocideInIndiaAndIOK</t>
  </si>
  <si>
    <t>RT @KompasTV: Wabah Corona: Pemerintah Imbau WNI Tidak Pergi ke Luar Negeri</t>
  </si>
  <si>
    <t>Ketika sampai di rumah, para WNI diharapkan dapat menyampaikan pengetahuan mengenai virus Corona kepada keluarga. Dan agar tidak perlu takut yang berlebihan namun tetap waspada. #PulauSebaru</t>
  </si>
  <si>
    <t>RT @Metro_TV: #SpecialReportMetroTV Menlu mengonfirmasi dari total 15 kasus WNI yang terjangkit Covid-19 di luar negeri, 7 di antaranya dinyatakan sembuh. #IndonesiaMelawanCorona</t>
  </si>
  <si>
    <t>@Jostayfocus85 Shudddduppp</t>
  </si>
  <si>
    <t>@03__nakula Ya sama,kami menolak mujahid PA 212 bukan karena benci, tapi karena PA 212 masuk kriteria HTI dan isis</t>
  </si>
  <si>
    <t>Tim Kesehatan Kogasgabpad berharap aggar ketika para WNI sudah dipulangkan ke rumah masing-masing, mereka dapat memberitahukan kepada keluarga mengenai virus Corona dan agar tidak takut yang berlebihan. #PulauSebaru</t>
  </si>
  <si>
    <t>RT @MaryamAleya: Ekstimis hindu tak jauh beda dengan ISIS. stop penindasan muslim india #saveIndiaMuslims #SaveKashmir #MuslimsGenocideInIndiaAndIOK</t>
  </si>
  <si>
    <t>RT @_aiek_esthreem_: #UtangTenggelamkanIndonesia #UtangTenggelamkanIndonesia Rocky Gerung: "Omnibus Law beri jaminan warga asing hidup layak" Warga China hidup layak, smtr nasib WNI hidup terkoyak di negeri sendiri. Rezim somphlak tak punya otak.</t>
  </si>
  <si>
    <t>@PapoKikok @ISIS_Balik_NO @permadiaktivis @jokowi @basuki_btp @TofaTofa_id Mungkin dulu tertipu... krn masih lugu..</t>
  </si>
  <si>
    <t>@asgardhuman wni bukan loe hah</t>
  </si>
  <si>
    <t>Mahfud: Jumlah WNA yang Masuk ke Indonesia Lebih Tinggi dari Jumlah WNI Keluar Indonesia</t>
  </si>
  <si>
    <t>Cc @Menlu_RI bagaimana dgn WNI Iran RT @BogochIsaac: Bahrain just flew 189 of its citizens from Iran back to Bahrain. Of these 189 people, 77 have tested positive for #COVID19, highlighting the large burden of illness in Iran.</t>
  </si>
  <si>
    <t>@TirtoID Iya sih. Kmrn liat wawancara sam wni yg lagi di Itali di tv*ne, disana org bener2 diminta bertanggung jwb atas kesehatan dirinya dgn menghindari keramaian. Harus jaga jarak 1 meter dgn org lain. Klo krl kan empet2an bgt.</t>
  </si>
  <si>
    <t>RT @Kemlu_RI: #SahabatKemlu, Indonesia kembali melakukan langkah-langkah preventif untuk melindungi WNI dari Covid 19. Indonesia perketat syarat masuk dan transit ke Indonesia dari Iran, Italia dan Korea Selatan. Selengkapnya  #NegaraMelindungi #IniDiplomasi</t>
  </si>
  <si>
    <t>Dengan begitu WNI yang menjalani masa observasi di Pulau Sebaru Kecil dapat berkomunikasi dengan keluarganya dengan lebih mudah. #PulauSebaru</t>
  </si>
  <si>
    <t>RT @Pimentta_Maah13: Maria Isis ta mt linda gnt ' ❤</t>
  </si>
  <si>
    <t>Tegaskan Batas Wilayah, Mahfud Berencana Pindahkan WNI di Sabah ke Natuna</t>
  </si>
  <si>
    <t>RT @pr4jurit_langit: Viral Polling Abu Janda @permadiaktivis: Siapa Muka Bekas Pembantu, Istri @Tofatofa_id atau Istri @Basuki_Btp via @melekpolitikcom @8_fero_8 @SantorinisSun @ISIS_Balik_NO @OdangKasidi @SORUN2020</t>
  </si>
  <si>
    <t>@ISIS_Balik_NO @TofaTofa_id @kangdede78 Yang ini ya ?</t>
  </si>
  <si>
    <t>Silakan pihak Singapura terbuka kpd Indonesia, pihak WNI yg paling banyak mondar-mandir ke China dan mampir ke Singapura saat imlek. Buka aja datanya seterang-terangnya ke publik. Singapura Sebut Kasus-kasus Baru Corona Impor dari Indonesia</t>
  </si>
  <si>
    <t>@AnakLolina Jangan ksihan sm eks ISIS, mreka dulu mlakukan sgala ssuatu juga ga ada rasa kasihannya.. #TolakEksWNIProISIS</t>
  </si>
  <si>
    <t>@Bolanle_aa Set awon Isis 🙌</t>
  </si>
  <si>
    <t>RT @SINDOnews: Banyak WNI Tertular di Luar Negeri, Yuri Sebut dari Negara Dekat Indonesia</t>
  </si>
  <si>
    <t>Mereka berkhianat tidak ada alasan untuk pulangkan ke tanah air. Ingatlah kembali bbrpa tahun yg lalu, Bom Gereja di Surabaya &amp; Philipina adalah eks ISIS. Tidak ada alasan KEMANUSIAAN untuk monster, #TolakEksWNIProISIS RT @detikcom: Pemerintah Indonesia tidak akan mengizinkan anggota ISIS eks WNI kembali ke Indonesia. Namun, secara hukum status mereka belum jelas yaitu apa kesalahan mereka dan melanggar aturan yang mana. #ISIS #WNI</t>
  </si>
  <si>
    <t>Banyak WNI Tertular di Luar Negeri, Yuri Sebut dari Negara Dekat Indonesia</t>
  </si>
  <si>
    <t>@faizalassegaf @aniesbaswedan Berani ga lu bilang ke Menkes, "Tidak benar adanya WNI yang terkena virus Corona, nyatanya ada. Tolong dipersilahkan mundur juga.</t>
  </si>
  <si>
    <t>@Gungs_N_Roses Ben isis lur dan lek gae aku wong lemu, enak gae obah</t>
  </si>
  <si>
    <t>Sprtnya #ISIS #WNI harus ada nmanya penyaringan, selagi dia masih ada kelengkapan data sebagai warga negara Indonesia, itu kalopun masih korban, karena itu adalah wewenang negara, akan tapi jika wni melakukan pelanggaran diluar, itu diluar kekuasaan,</t>
  </si>
  <si>
    <t>yaallah jadi wni aja napasih RT @siwonchoi: Aku senang bisa kembali ke Indonesia dan bertemu teman-teman. Terima kasih telah menyambut saya dengan baik. 😎 Oppa nanti kembali lagi ya. 😍</t>
  </si>
  <si>
    <t>@CNNIndonesia @cxzdefgbii Tolong boikot dulu wna atau wni mau keluar negri ah makin ngeri sama nih virus apa blm ada faksin atau penangkal nya~</t>
  </si>
  <si>
    <t>@detikcom Jelas salah khianat dgn imrar jihad gitu aja kok bodoh sih jihad sampai mati janjinya syurga katanya isis jelas menetang Allah swt tdk ada ajaran membunuh itu benar belajar dulu sama aye..kok gak tahu pulang nanti bila jomowi selesai kalau mau ancur ancuran...se.oga damai</t>
  </si>
  <si>
    <t>Viral Polling Abu Janda @permadiaktivis: Siapa Muka Bekas Pembantu, Istri @Tofatofa_id atau Istri @Basuki_Btp via @melekpolitikcom @8_fero_8 @SantorinisSun @ISIS_Balik_NO @OdangKasidi @SORUN2020</t>
  </si>
  <si>
    <t>Syria ISIS Jihadi Iblib meeting Eng Sub</t>
  </si>
  <si>
    <t>Kalo dilihat dari ceritanya akar masalahnya bukan agama , tapi dikarenakan faktor ekonomi , kurangnya lapangan pekerjaan/jaminan kesehatan yang memadai di indonesia dan itu akan menjadi lahan untuk isis..</t>
  </si>
  <si>
    <t>RT @wissemboh: @WartawanPensiun Haru dan bangga jangan ada minoritas dan mayoritas semua WNI adalah NKRI stop minoritas atau mayoritas untuk kita semua</t>
  </si>
  <si>
    <t>@sonew00 hahaha karena ga ada yg berani pergi, sengaja di iming2in sama tiket seharga damri bandara 😅 WNA pasti langsung banned, WNI langsung dikarantina 🙈</t>
  </si>
  <si>
    <t>@Muslim_AntiPKI @ISIS_Balik_NO Qiqiqiqi percuma dtnya. Dia taunya cuma nge GAS!!</t>
  </si>
  <si>
    <t>@wantahgdn @ISIS_Balik_NO @KatolikG @Takviri @DivHumas_Polri @CCICPolri Sebagai orang kristen, Saya berterimakasih sama si eneng... Terima kasih sudah membuat Yesus terkenal,Tuhan memberkatimu dan juga keluargamu neng..</t>
  </si>
  <si>
    <t>@atemalem @AnkerTwiter @kumparan @CommuterLine Rute kalo ke kampus lagi ☹️ Pas ada berita awal 9 wni positif corona virus lgsg panik krn pala pusing tp gak dema sedikit pilek. Taunya emang kurang tdr dan masuk angin diminumin obat besoknya sembuh. Parno sih :(</t>
  </si>
  <si>
    <t>@ISIS_Balik_NO @AhmadSejiwa Woy Idiot❗️ Gue mau tanya nih: Oancasila itu Apaan sih ??? Kalo gue Taunye: PANCASILA</t>
  </si>
  <si>
    <t>Balik-balik apply jadi wni RT @siwonchoi: Aku senang bisa kembali ke Indonesia dan bertemu teman-teman. Terima kasih telah menyambut saya dengan baik. 😎 Oppa nanti kembali lagi ya. 😍</t>
  </si>
  <si>
    <t>@ISIS_Balik_NO @melekpolitikcom @permadiaktivis @TofaTofa_id @basuki_btp Yaaah stdknya bini tofa gak nampung korban kangkangan pejantan laen</t>
  </si>
  <si>
    <t>@ISIS_Balik_NO @Muslim_AntiPKI Kasian amat pengetahuan lo ssbatas habib doang</t>
  </si>
  <si>
    <t>Singapura Umumkan 12 Kasus Terkonfirmasi Baru Corona, 1 Orang WNI</t>
  </si>
  <si>
    <t>@hobasmiles @CNNIndonesia Kl lahir di indo namanya WNI, Paham</t>
  </si>
  <si>
    <t>RT @KontanNews: Lagi, WNI yang alami gejala di Indonesia positif virus corona di Singapura  #VirusCorona</t>
  </si>
  <si>
    <t>RT @AdDien90: Kesan cinta sangat kuat dalam hidup seseorang. Orang yang paling lemah boleh jadi kuat kerana cinta. Kerana cinta juga, boleh menghancurkan orang yang dahulunya sangat kuat. Yang paling susah sebenarnya bukanlah bercinta. Tapi sederhana dan rasional ketika mencintai seseorang.</t>
  </si>
  <si>
    <t>Area observasi 188 WNI ABK World Dream dan 68 WNI Kapal Pesiar Diamond Princess dipisahkan dengan sekat pembatas. #PulauSebaru</t>
  </si>
  <si>
    <t>188 WNI ABK World Dream Selesai Observasi di Pulau Sebaru - CNBC Indonesia</t>
  </si>
  <si>
    <t>RT @Kemlu_RI: #SahabatKemlu, berikut update Perkembangan COVID-19 di Dunia dan Perlindungan WNI per 09/03 pukul 18.00 WIB. Hingga kini 14 WNI di luar negeri telah terkonfirmasi COVID-19. #IniDiplomasi #NegaraMelindungi</t>
  </si>
  <si>
    <t>RT @aammeenngg: @Kadesnyrokcok *Nama : Amel *Dom : Soerabaja *Umur : 19 y.o *Jenis Kelamin : Alhamdulillah cewek *Status : WNI jomblo lagi asw😭 . Uwes loh yo, uwes .</t>
  </si>
  <si>
    <t>RT @dubie_tina: Ceramah Bachtiar Nasir Dihentikan Paksa, Langsung Diseret Keluar Malang  Cakeep ! Ayo usir ANTEK ISIS dari NKRI 👍✅👊💪🤟</t>
  </si>
  <si>
    <t>yang suka main tinder terus kopdar emang nga takut ntar tbtb dibawa kabur ke iraq trs direkrut isis kl ngamau ntar dipenggal?</t>
  </si>
  <si>
    <t>Berikut update perkembangan Covid-19 di Dunia dan pelindungan WNI per 11/03 pukul 18.00 WIB. 8 WNI telah dinyatakan sembuh dari Covid-19 di luar negeri. via @Kemlu_RI</t>
  </si>
  <si>
    <t>Cerita WNI di Inggris: Pembelian Masker Dibatasi 5 Buah Per Orang  cc @A_Nasution81</t>
  </si>
  <si>
    <t>@4d_h1m @iwansal06725139 Di Amrik idul fitri ga libur malah,beberapa muslim di sana mau gk mau hrs izin dlu klo mau idul fitri,bahkan ada yg langsung ada jga pengakuan dari WNI yg tinggal diaana,"setelah merayakan Idul Fitri,saya langsung absen kuliah"</t>
  </si>
  <si>
    <t>@iljoona case dr luar negeri (?) maksudnya bukan WNI keknya gt deh</t>
  </si>
  <si>
    <t>@ersazf @siwonchoi @woygal Ngko di naturalisasi ae dadi WNI</t>
  </si>
  <si>
    <t>@kbrisingapura Klu pmrintah singapore sdh mengeleuarkan kebijakan tdk akan menganggung biaya WNA yg positif Covid. Nah saatnya Pemerintah keluarkan aja kebijakan travel warning/ban ke Singapore.. biar ga Ada WNI yg ke sing sekalian..</t>
  </si>
  <si>
    <t>@ISIS_Balik_NO @TofaTofa_id @kangdede78 Apa bukti pake baju orange ..yg parah udah di vonis gak jelas dmn orang nya</t>
  </si>
  <si>
    <t>Lagi, WNI yang alami gejala di Indonesia positif virus corona di Singapura  #VirusCorona</t>
  </si>
  <si>
    <t>@kurawa Amin... "@kurawa : Turut berduka atas meninggalnya pasien #25 Corona di Indonesia.. Waspada tapi tidak perlu panik Hanya dengan kebersamaan sebagai WNI kita bisa lalui ujian ini"</t>
  </si>
  <si>
    <t>Kebanyakan kasus corona di Indonesia itu imported case atau ga WNI yg abis dari luar negeri. Dan pemerintah masih mau buka pariwisata demi devisa negara? Alig!</t>
  </si>
  <si>
    <t>The reason why i dont really wanna go to Bali. WNI merendahkan WNI itu stupid. RT @CNNIndonesia: Pariwisata Sepi, Bali Menyesal Anak Tirikan Turis Lokal</t>
  </si>
  <si>
    <t>@ISIS_Balik_NO @suara_gang @TofaTofa_id @kangdede78 Membik</t>
  </si>
  <si>
    <t>@FarooquiSiddik @5trillion_jumle @AMISHDEVGAN @AmitShah Kitna sal isis mein bitaya</t>
  </si>
  <si>
    <t>@ISIS_Balik_NO @siagianharry @82Arfun @TofaTofa_id @kangdede78 Wadaw kumat akut ini ahokers... Kebencian nya terlalu dalem sampe menghitam gini hati lu. Kasihan banget idup lu nyimpen sakit ati, mending lu bunuh diri aja.</t>
  </si>
  <si>
    <t>@ISIS_Balik_NO @siagianharry @82Arfun @TofaTofa_id @kangdede78 Wkwkwk selama ga ada cincin ngaco semanggi, kagak ada macet separah skr di kedua daerah itu, karena jalur jadi sempit kena konstruksi jalan turun.</t>
  </si>
  <si>
    <t>@jauharotus23 Ntar kalo dia dah jadi WNI yakin nama dia begitu 🤣</t>
  </si>
  <si>
    <t>68 WNI Kapal Pesiar Diamond Princess menjalani observasi yang lebih khusus penanganannya dibandingkan 188 WNI ABK World Dream. #PulauSebaru</t>
  </si>
  <si>
    <t>Semoga sentiasa dilindungi❤</t>
  </si>
  <si>
    <t>RT @LuqmanBeeNKRI: Tarik kembali RUU Cipta Kerja! Batalkan Formula E! Lupakan Ibu Kota Baru! Sudahi rencana pulangin eks WNI ISIS! Saat ini sluruh energi negara harus fokus urusi wabah korona! Jgn terlambat seperti Italia! Pak @jokowi mohon langsung pimpin perang melawan korona ini! Merdeka!!!</t>
  </si>
  <si>
    <t>Tim Kesehatan Kogasgabpad menegaskan agar para WNI menjaga kondisi tubuh dengan berolahraga, menjaga kebersihan tubuh, dan rajin mencuci tangan. #PulauSebaru</t>
  </si>
  <si>
    <t>RT @TirtoID: Juru bicara pemerintah untuk penanganan Corona Achmad Yurianto mengatakan WNI yang berasal dari beberapa kota di Korea Selatan, Iran, dan Italia, untuk sementara waktu dilarang masuk ke Indonesia. Peraturan ini berlaku mulai Minggu (8/3/2020) pukul 00.00.</t>
  </si>
  <si>
    <t>@FanChiangFa @Takviri @Kiyai_MarufAmin Rasis? Kau merasa terhina? Rasis? Jadi kalau kau menghina ulama tidak apa apa di negeri ini? Ya saya sangat RASIS terhadap jenis orang seperti kau ini. Tidak pantas kau menjadi WNI.</t>
  </si>
  <si>
    <t>@w_runturambi To prof @mohmahfudmd : bila kita cermati, WNI yg positif Corona kan rata2 hbs berinteraksi ataupun hbs bepergian dr luar negeri, nah klo F-E ni ttp digelar otomatis akan ada banyak org asing yg dtg, pasti akan rentan membawa virus itu kmari.. Ms Prof gt aj ga ngerti ?</t>
  </si>
  <si>
    <t>"Saya catat semua pengalaman saya itu dalam buku ini, agar saya bisa sharing pengalaman dan mengedukasi kepada masyarakat, bahwa propaganda ISIS itu semuanya tidak benar," tegasnya.</t>
  </si>
  <si>
    <t>Para WNI yang diobservasi diharapkan agar tetap menjaga kondisi tubuhnya dengan rajin berolahraga, menjaga kesehatan tubuh, dan mencuci tangan untuk menghindari bakteri yang dapat menimbulkan penyakit. #PulauSebaru</t>
  </si>
  <si>
    <t>RT @ketekekso: Ada yg dm gua GABUNG ISIS YUK INI LINKNYA blablabla</t>
  </si>
  <si>
    <t>"Saya catat semua pengalaman saya itu dalam buku ini, agar saya bisa sharing pengalaman dan mengedukasi kepada masyarakat, bahwa propaganda ISIS itu semuanya tidak benar," tegasnya. @90_argo @HarisSekipi @kawananraja @Abby_Budiyono97</t>
  </si>
  <si>
    <t>@ISIS_Balik_NO @TofaTofa_id @kangdede78 Pasceb aka pasukan cebong emg juara dengkinya. Gw si ketawa geli aj ame kedunguan dn kelucuan mrk lol</t>
  </si>
  <si>
    <t>aww isis semriwing</t>
  </si>
  <si>
    <t>@Galihzainur1 @AnakKolong___ @BareskrimPolri @DivHumas_Polri @Aryprasetyo85 @AnakLolina Sampai ada kerusuhan dan isis masuk ke NKRI dan mayat mayat bergelimpangan di seluruh negeri.</t>
  </si>
  <si>
    <t>@Kadesnyrokcok Untuk warga baru twitter tolong sertakan identisanya *Nama :bethania *Dom :semarang *Umur :17 *Jenis Kelamin :cewe *Status:wni Buruan atau saya demo rame rame</t>
  </si>
  <si>
    <t>@TejVeer79159200 @ModiLeDubega @ashokgehlot51 Kyu sangh koi UN hai kya hah ? Sangh ek terror org hai just like isis. ISIS=RSS</t>
  </si>
  <si>
    <t>@nyaam_an Ga nggae klambi isis</t>
  </si>
  <si>
    <t>@ixi_iman @ISIS_Balik_NO @82Arfun @TofaTofa_id @kangdede78 Haha, cebong diladenin, ya ikutan goblok kita nya, udah biarin aja ngoceh sendiri ntr juga balik ke kolam</t>
  </si>
  <si>
    <t>@Larasprasetyati @Rina_vei @siwonchoi Wkekwk typoooo mksdnya WNI *maklum lg ribet bahas si virus yg wna meninggal td*</t>
  </si>
  <si>
    <t>@RomeskoP @nius77 di mosul aja g sampe segitunya. eh gitu sih pas ISIS BERKUASA🤦‍♂️🤦‍♂️🤦‍♂️</t>
  </si>
  <si>
    <t>RT @demokrasicoid: Mahfud: Jumlah WNA yang Masuk ke Indonesia Lebih Tinggi dari Jumlah WNI Keluar Indonesia</t>
  </si>
  <si>
    <t>@WahabisLokal @jokowi @PDemokrat @SBYudhoyono Bagian dari SOLUSI itu adalah Bagian dari Kabinet bukan ya ? Kalo spt itu....BIG "O"</t>
  </si>
  <si>
    <t>@syarifjogja @yusuf_dumdum @wanggealfon Trus ISIS..FPI..HTI...abusayyaf.. Siapa mereka yg brutal itu??</t>
  </si>
  <si>
    <t>#Repost @riyadh_kbri • • • • • • Indonesian Embassy in Riyadh Yth. Bapak Ibu WNI di Arab Saudi, yuk kita selalu biasakan cuci tangan yang bersih untuk mencegah penyebaran…</t>
  </si>
  <si>
    <t>@Winardhi__ Ada....saja..cocotannya , apa Tuhan salah naro ruh anjing geladak ke tubuh manusia ?</t>
  </si>
  <si>
    <t>RT @Predator_Matrix: Ketahuan Sumbang Dana ke ISIS, Singapura Penjarakan WNI . Kapan Indonesia Tegas Seperti Negara Lain. Jangan Terlalu Banyak Pertimbangan Politik. Jangan Cuma Jargon,Semua Pejabat Sibuk Bicara,Minim Tindakan.</t>
  </si>
  <si>
    <t>RT @sirajapadoha: @Wolverine_Nemo @CastilloJoshima @KenArok10193945 @jokowi @DivHumas_Polri HTI (ORMAS TERLARANG) yg telah mengganti nama dan lambangnya menjadi KARIM, maka waspdalah wahai umat ISLAM di Indonesia, mereka menggunakan segala macam kelicikan penipuan dgn berkedok Agama dan Khilafah, mereka satu barisan dgn Kelompok Radikal dan ISIS</t>
  </si>
  <si>
    <t>@SoejatnoSoejadi @mbahCokro77 Giliran HD buatan Kafir....HALAL 😂😂😂😂 Apa karena belinya dr hasil jual Tuhan ?</t>
  </si>
  <si>
    <t>@siagianharry @ixi_iman @82Arfun @TofaTofa_id @kangdede78 Lo pikir alumni tamasya monas orang2 bersih ? Ada bos lumpur....ada artes korup...ada koruptor bersaudara.....ada sapi khilafah penyokong pemberontak suriah juga....dan semua lo anggap manusia partai Allah.....subhanallah....jalan pikiran Kampret mutan 😂😂😂😂</t>
  </si>
  <si>
    <t>RT @KBRIBaghdad: Sejak mrebakny virus corona di Irak hingga kini korban terinfeksi lbih dr 70 org dan paling tdk 7 org meninggal dunia. Semua WNI di Irak diharap terus mnjaga ksehatan dan mngikuti prkembangan dr otoritas stempat dan KBRI yg dpt dihubungi di tlp/WA +9647500365228 #IniDiplomasi</t>
  </si>
  <si>
    <t>WNI kelima kasus ke-170 ini adalah seorang perempuan berusia 56 tahun yang rupanya adalah anggota keluarga dari WNI keempat yang merupakan kasus ke-152.  #Coronavirus #COVID19 #COVID19Indonesia #COVID19Singapore</t>
  </si>
  <si>
    <t>Masuk isis keluar ongkep. RT @kimijichoo: @numberGD coba bang lu bikin grup sama anggota isis biar mereka hancur</t>
  </si>
  <si>
    <t>@ixi_iman @siagianharry @82Arfun @TofaTofa_id @kangdede78 Coba lo pikir lagi kalo kagak ada simpang susun kagak ada.....lo pikir jakarta sedang di abad Jahiliyah yg cuma diisi ONTA ? Kadrun mah kagak bisa pake otak....mikirnya pake Mayat doang..semenjak pilkada....busuk</t>
  </si>
  <si>
    <t>@numberGD coba bang lu bikin grup sama anggota isis biar mereka hancur</t>
  </si>
  <si>
    <t>WNI kelima positif corona di Singapura berhubungan keluarga dengan WNI keempat positif corona.</t>
  </si>
  <si>
    <t>Bener2 udah jadi wni apah? RT @siwonchoi: Aku senang bisa kembali ke Indonesia dan bertemu teman-teman. Terima kasih telah menyambut saya dengan baik. 😎 Oppa nanti kembali lagi ya. 😍</t>
  </si>
  <si>
    <t>@siagianharry @ixi_iman @82Arfun @TofaTofa_id @kangdede78 Kelakuan 😂 Nyerok lumpur pake tangan........sunatullah</t>
  </si>
  <si>
    <t>@SkidRow20047074 @AjiRoy10 @msaid_didu Jgn jd parasit di negri sendiri.. WNI sampah yg di beri hadiah sebuah KTP</t>
  </si>
  <si>
    <t>Waaach cwe gemblung apa mantan isis nih kok cerdas gini duuh serem RT @TheendTo: Met rehat manteman. .... Salam NKRI. ...😍 Kejahatan bisa mengikuti musim...</t>
  </si>
  <si>
    <t>Keputusan Febri untuk berangkat ke Suriah karena ingin menyusul keluarganya. Sebelum ia berangkat, keluarga besarnya sudah lebih dulu terpengaruh propaganda ISIS dan berangkat ke Suriah.</t>
  </si>
  <si>
    <t>Imbauan KBRI London Bagi WNI di Inggris dan Irlandia terkait Penyebaran Virus Covid-19 #negaramelindungi #covid19 #inidiplomasi</t>
  </si>
  <si>
    <t>@Kiyai_MarufAmin Harga minyak dunia anjlok, nggak kaget, yai? 27 WNI positif covid-19, nggak kaget, yai?</t>
  </si>
  <si>
    <t>Wahai teman"ku yg kusayangi, kenopo untu loro ga waras" wes meloki tutorial gugel tapi pancet ae, jare wong" ditempleki koyo cepet waras. Waras ora isis" sg ono😫</t>
  </si>
  <si>
    <t>RT @SehatKang: #Radikal ni ormas Dekat dengan orang #ISIS, ini susah itu susah Cc. @JackVardan @RamliRizal @msaid_didu @fahiraidris @Stevaniehuangg @QueenTukiyem</t>
  </si>
  <si>
    <t>@Amarnat61335787 @irqaafsaad @lyingbox @ndtv Sala rss ko badnam bas isliye karte hain kyunki is se hindu united hota hai aisa inko lagta hai. Jabki rss main muslim wing bhi hai aur active muslims bhi rss main hain. Kyunki rss koi hindu organisation nahi nationalists ki organization hai. Bas kuch logo ko ISIS jyada pyari ha</t>
  </si>
  <si>
    <t>@fajaralam9 @angedespoir5 @WR_4AG226 @IkhlasSajadeh @__ChusnulCh_ @kenhans03 SETUJU PARA KADRUN INI SDH MAKIN KURANG AJAR KAYAK PARASIT DR GURUN NUMPANG HIDUP DI NKRI GA TAU DIRI MRK MESTI DILAWAN JUMLAH MRK CUMA SE UPIL WNI YG CINTA NKRI JGN RAGU MELAWAN KADRUN SOK SUCI BERTOPENG AGAMA TP MERUSAK NKRI BASMI AJA SKLIAN</t>
  </si>
  <si>
    <t>@kompascom Kalau benar, sungguh keterlaluan itu,gak pandai berterimakasih. WNI di Jepang dibantu oleh Pemerintah setempat</t>
  </si>
  <si>
    <t>#Radikal ni ormas Dekat dengan orang #ISIS, ini susah itu susah Cc. @JackVardan @RamliRizal @msaid_didu @fahiraidris @Stevaniehuangg @QueenTukiyem RT @MCAOps: Situasi dan kondisi terkini perumahan Type 36/60 di desa Banjar irigasi, Lebak, Banten yang sedang dibangun FPI untuk korban banjir bandang dan tanah longsor.</t>
  </si>
  <si>
    <t>Puji Tuhan, dri UN SMA sampai PKL kuliah atau dlm kurun waktu 3 tahun akhirnya sah jdi WNI. Sungguh, kabupaten Tangerang cepet bgt prosesnya. Smpe gk logis hehe. 3 thn bruhh.</t>
  </si>
  <si>
    <t>@jokowi Sungguh sangat kecewa dengan penangganan virus ini ,terkesan sangat di sepelekan......harusnya siapa saja yang baru datang dari luar negri baik WNA atau WNI hrs di karantina dan di cek kesehatannya selama 14 hari untuk mencegah penularan,klo sdh 1 orang aja sdh kena,pasti nyebar</t>
  </si>
  <si>
    <t>@tubbirfess Bukan WNI :"(</t>
  </si>
  <si>
    <t>RT @humxnerrxr_: Sekuat apapun kamu menjaga , yang pergi tetap pergi -Dilan 1991</t>
  </si>
  <si>
    <t>RT @aidi_ezzhar: TAK NAMPAK PUN SALAH KT WHATSAPP TU! . Mungkin ada yg tertanya tanya jugak kan, apa yang tak kena dgn whatsapp tu. Mungkin orang lain ada pendapat tersendiri. Tapi saya sejujurnya setuju dengan apa yang diperkatakan oleh beliau. Gayanya kurang formal dan tidak sesuai. THREAD</t>
  </si>
  <si>
    <t>📺 34 wni terjangkit corona 👵 Banyak td anak2 beli maskerku 👩 Masker? Jualki? 👵Iyya ada di kantin 👩Sy kmrn ky disalahkan 🧓 krn nda cari mmg Masker, 👵 prgi jual maskernya _____ Ini mi manusia skrng serumah, tp ky nda serumah 😔😔 "NO KOMUNIKASI, NO CHEMISTRY "</t>
  </si>
  <si>
    <t>RT @hanifroses: kau mrsm bolehla sembang. kau masuk smk biasa ntah2 5A pun takkan dapat. kau ada surrounding yang push untuk belajar,tu je sebab kau score. jangan nampak batak sangat dengan status ' pelajar sekolah asrama ' tu. it ain't shit if your mentality is rotten like this.</t>
  </si>
  <si>
    <t>RT @ibumda: BUAT YANG SUKA INSECURE, TONTON INI :</t>
  </si>
  <si>
    <t>Liat perlakuan thd wni yg di pulangin dr wuhan dan dr kapal pesiar yg terpapar corona mereka di karantina trlebih dahulu sktr 2minggu krn khawatir terpapar virus ,tp liat wna yg saat ini terkena kasus corona mrk masuk ke indonesia cuma di deteksi suhu badan nya,dan hasil nya !!!</t>
  </si>
  <si>
    <t>@ISIS_Balik_NO @UnyuBack @TofaTofa_id @kangdede78 Hahaha kelakuan asam urat 😂</t>
  </si>
  <si>
    <t>Ekstimis hindu tak jauh beda dengan ISIS. stop penindasan muslim india #saveIndiaMuslims #SaveKashmir #MuslimsGenocideInIndiaAndIOK</t>
  </si>
  <si>
    <t>@tubirfess Lagian juga WNA bukan WNI, berarti doa qunut masih berhasil guys</t>
  </si>
  <si>
    <t>RT @cnbcindonesia: 188 WNI ABK World Dream Selesai Observasi di Pulau Sebaru</t>
  </si>
  <si>
    <t>@MrsRachelIn Dia da baiat dengan ISIS</t>
  </si>
  <si>
    <t>RT @Aidan63499469: @1_selenophile No I'm not the only Muslim but Alhamdulillah I'm Sunni not Wahhabi Alhamdulillah i don't follow the Fake Islam of ISIS &amp; ALQAEDA</t>
  </si>
  <si>
    <t>@ISIS_Balik_NO @ixi_iman @82Arfun @TofaTofa_id @kangdede78 Mantap 👍</t>
  </si>
  <si>
    <t>Gayus Lumbuun Ingatkan Anak WNI Eks ISIS Perlu Dilindungi  #vivanews</t>
  </si>
  <si>
    <t>Kisah Febri Melarikan Diri dari ISIS Senin (9/3), Gub. @ganjarpranowo kedatangan tamu istimewa. Febri Ramdani,seorang pemuda asal Depok,yg prnh merasakan tinggal di Suriah dan terjebak dalam lingkaran ISIS Berikut ini kisah nya @podjiutami @cintada17 @Je_Ly @SatyaJogja_ @Kesit_</t>
  </si>
  <si>
    <t>@ShanePondang @Ricksanchezit Aduh..kamu sptnya kadrun versi vatikan..udhlah.apkah km nga ngamalkan ajaran agamamu yg cinta kasih .sbnarnya klo sy buka..yg ciptaiin ISIS dan yg bikin osama adalah penganut mu..awlmula dari sikap intoleransi internasional adalah perang teluk 1..</t>
  </si>
  <si>
    <t>RT @K_Ompu: @AnakKolong___ Nanti eks ISIS yang dipulangin juga bikin pertunjukan yang hampir sama: "PELUK AKU" Gue sih ga mau.</t>
  </si>
  <si>
    <t>@Puteriswift_ Aku tk kenal pun siot. Hahahahahaha</t>
  </si>
  <si>
    <t>RT @RizmaWidiono: Gubernur @ganjarpranowo mengimbau kpd seluruh masyarakat tidak panik terkait ditemukannya dua WNI di Depok yg positif terinfeksi virus corona Pak Ganjar juga menyampaikan agar masyarakat mempelajari tentang virus corona terkait penyebaran &amp; pencegahannya #StopPanikLawanCorona</t>
  </si>
  <si>
    <t>@ThantryRitha @ddprameswari @sakuraaa_3 @CNNIndonesia The truth is, banyak bgttt WNI yg malah lagi pada liburan ke luar negeri around feb sampai sekarang salah satu alesannya ya gamau rugi cancel tix 😔</t>
  </si>
  <si>
    <t>@SabrinaRamle Aku makan je. Tp tkleh nak makan banyak😭</t>
  </si>
  <si>
    <t>RT @alaniafitri: Kyk nya bentar lagi siwon jadi wni dahhh</t>
  </si>
  <si>
    <t>RT @RenoTitin: Ekstimis hindu tak jauh beda dengan ISIS. stop penindasan muslim india #saveIndiaMuslims #SaveKashmir #MuslimsGenocideInIndiaAndIOK</t>
  </si>
  <si>
    <t>RT @mochamadarip: Singapura sangat aman untuk bisnis karena pemerintahnya tegas &amp; wibawa. Hukum ditegakkan tanpa pandang bulu. 3 TKI yg sumbang S$130 ke ISIS, langsung diadili &amp;amp; dipenjara. Bijimane kabar Bachtiar Nasir yg sumbang dana milyaran ke pemberontak di Suriah?</t>
  </si>
  <si>
    <t>Bismillah assalammualaikum 👀</t>
  </si>
  <si>
    <t>@03__nakula @ndaru_wardani Lucu yg menetapkn itu Presiden terpilih berdasarkan konstitusi jika presiden mengangkat siapa saja asal wni itu sesuai kontitusi ( cara berpikir menolak berdasar tdk sesuai konstitusi itu sudah terlalu encer otaknya mungkin lebih besar super iq nya, Presiden punya hak Proggratip</t>
  </si>
  <si>
    <t>RT @InayahRasyid: Orang bugil loe pada apresiasi kata seni. Gue pake jilbab lalu belajar bernikob loe bilang muka gue jelek, lebih sadisnya lagi loe tuduh gue besutan isis terroris yg radikal dan anti Pancasila. Dasar Kimak loe...😤😤</t>
  </si>
  <si>
    <t>RT @asmanadia: Kemarin meninggalkan Qatar dengan @qatarairways pas check in saya ditanya: have you ever been to these countries in these 14 days? Termasuk disebut Korea dan Cina. Hal serupa hrsnya diberlakukan, ditanyakan ketika WNI or WNA mendarat, tiba di Indonesia. #coronaindonesia</t>
  </si>
  <si>
    <t>Banyak WNI Tertular di Luar Negari, Yuri Sebut dari Negara Dekat Indonesia</t>
  </si>
  <si>
    <t>Aku gasuka ya liat headline berita "WNI yang meninggal karena Corona bla bla bla.." bikin panik,sedangkan ternyata setelah dibaca berintanya orangnya memang punya penyakit penyerta sebelumnya alias udah ada komplikasi</t>
  </si>
  <si>
    <t>@ISIS_Balik_NO @ixi_iman @82Arfun @TofaTofa_id @kangdede78 sampah itu yg ada dalam got, yg hobby nyemplung dalam got ya sampah. dongok.</t>
  </si>
  <si>
    <t>Para WNI yg diobservasi juga diberikan pemahaman mengenai keberadaan, penyebab, penyebaran virus Corona, dan bagaimana menjaga pola hidup sehat. #PulauSebaru</t>
  </si>
  <si>
    <t>Di Jawa Barat, sdh jauh2 hari Kang Emil menginstruksikan kpd slrh PemDa &amp; RS utk sll Tanggap thd Covid-19. Instruksi itu keluar setelah Pemerintah Pusat memberitakan 2 WNI positif Covid19, jd yg bilang baru 3 hari yg lalu mensimulasi.. mn yg lebih tanggap? #JabarTanggapCovid19</t>
  </si>
  <si>
    <t>Munawir Aziz, Sekretaris Pengurus Cabang Istimewa Nahdlatul Ulama (PCINU) Inggris menceritakan kisahnya di Inggris saat virus corona mewabah.</t>
  </si>
  <si>
    <t>Para WNI diberikan pemahaman mengenai keberadaan, penyebab, penyebaran virus Corona, dan bagaimana menjaga pola hidup sehat. #PulauSebaru</t>
  </si>
  <si>
    <t>RT @Balyanur: @sendysuwanto @faizalassegaf @fahiraidris @mohmahfudmd Bagaimana klw ada, tapi terpaksa ditutupi demi inventasi, tapi terpaksa dibuka karena tekanan dunia. Buktinya, Arab menolak WNI yang mau umroh, padahal pemerintah belum membuka ada yang kena Corona.</t>
  </si>
  <si>
    <t>@aingmawng kalo mau minta ganti rugi menurutku ya harusnya kalo wni yg mo ke belanda dipermudah ato gratisin visa //heh// atau balikin rampasan perang yg diambil dr indo macam pusaka dll.. tapi orang indo pada mata duitan aku jd ragu dah ah</t>
  </si>
  <si>
    <t>#SahabatKemlu, berikut update Perkembangan COVID-19 di Dunia dan Pelindungan WNI per 11/03 pukul 18.00 WIB. 8 WNI telah dinyatakan sembuh dari COVID-19 di luar negeri. #IniDiplomasi #NegaraMelindungi</t>
  </si>
  <si>
    <t>RT @PEDOMAN_id: √ Kemlu Pantau Kondisi dan Jalin Komunikasi dengan Para WNI di Italia Utara cc @fadjroeL @JubirPresidenRI @PedomanNEWS</t>
  </si>
  <si>
    <t>RT @nasywa_adiba: Ekstimis hindu tak jauh beda dengan ISIS. stop penindasan muslim india..., #MuslimsGenocideInIndiaAndIOK</t>
  </si>
  <si>
    <t>#SpecialReportMetroTV Menlu mengonfirmasi dari total 15 kasus WNI yang terjangkit Covid-19 di luar negeri, 7 di antaranya dinyatakan sembuh. #IndonesiaMelawanCorona</t>
  </si>
  <si>
    <t>@chachaanisa89 Ra sido yank2 an kie berarti. Yo wes tak sarungan neh ben isis</t>
  </si>
  <si>
    <t>Di awal presscon, 2 WNI yang positif Corona tinggal di Depok. Lalu dia malah buat stories "Buruan serahkan diri yang ngerasa kontak langsung dengan penderita". Mereka itu korban bukan tersangka kriminal lho 😭</t>
  </si>
  <si>
    <t>📺Pengumuman 2 WNI terjangkit corona 🧓Cari2 ko masker 👩Dari k td cari nda adami na borong semua orng, tp ada ji mmg sedikit punyaku 🧓 Sedikit ji na banyakki (serumah banyak) 👩 Maumi diapa (ky disalahkan😒) ______ Kasi kuat mami antibody😏 ______</t>
  </si>
  <si>
    <t>36 WNI dideportasi ke Nunukan karena narkotika</t>
  </si>
  <si>
    <t>RT @MasButarr: ISIS : Mabuk gila mabuk agama mabuk bidadari. Kalau kata Robert graves "Religious fanaticism is the most dangerous form of insanity." Khilafah? Bukan candu! Patut dilenyapkan!!</t>
  </si>
  <si>
    <t>RT @TeddyGusnaidi: Gue tantang pendukung ISIS, Hizbut Tahrir dan kelompok teroris anti pancasila lainnya untuk menyebutkan 1 hal saja, bahwa Islam ditindas di negara Republik Indonesia. Kalau ada yang bisa, gue kasih duit..</t>
  </si>
  <si>
    <t>@_wni_ Makan lah nasi wani :) and please jaga kesihatan okay 😘 love you!!</t>
  </si>
  <si>
    <t>@ISIS_Balik_NO @siagianharry @82Arfun @TofaTofa_id Wkwkwk gak penting, silahkan lu pencundang ngungkapin dengki dan sakit hati lu. Lu mau ngebacot apapun, mau bunuh diri juga ga ngaruh.... Gubernurnya DKI tetep Anies Baswedan, yang namanya Ahok cuman MANTAN NAPI 🤣🤣🤣🤣🤣🤣🤣🤪🤪🤪</t>
  </si>
  <si>
    <t>RT @Ningnon11392644: @SitompulYunus @evisuryanti10 @edward_7011971 @HarisSekipi @anindyabakrie @VIVAcoid @Aryprasetyo85 @NirmalaFirdaus_ @akumaia30 @tvOneNews @babegalak1 @ArifinNKRI__ @APLpangeran1 @CANDAdanBISNIS @Jokoumb64504158 @JohnIrwan4 @MaryanaNunung @RizkiR4madani @periani @Randall_Rain @CumiCue @ILCtv1 @erickthohir @agusparjani @ayah_9Garislucu @Aprilaza3 @Zae_Ilham @SetiaAdy_p @Radot_MS @RazH_D11 @cahyani90976469 @DivHumas_Polri @BareskrimPolri Entahlah Perempuan itu umatnya Nabi yg mana ga ngerti aku sepertinya sudah kena asupan paham ISIS</t>
  </si>
  <si>
    <t>RT @IdoCaur: Ekstimis hindu tak jauh beda dengan ISIS. stop penindasan muslim india #saveIndiaMuslims #SaveKashmir #MuslimsGenocideInIndiaAndIOK</t>
  </si>
  <si>
    <t>@asleighnicole_ @chamikmiks Sigi pu</t>
  </si>
  <si>
    <t>@IrhamSuciawan Separah itu yg katanya WNI atau warga negara asing selain italia ga boleh keluar italia</t>
  </si>
  <si>
    <t>RT @BadriaNaila: Ekstimis hindu tak jauh beda dengan ISIS. stop penindasan muslim india #saveIndiaMuslims #SaveKashmir #MuslimsGenocideInIndiaAndIOK</t>
  </si>
  <si>
    <t>Fadjrul.. yg di tanya cara pemerintah melindungi warganya dari virus corona.. jawabannya cerita evakuasi wni di wuhan n 2kapal pesiar.. Nggak nyambung bung Fadjrul.. kemana kecerdasan anda..?</t>
  </si>
  <si>
    <t>@dahliaFATmawati Jadi kalo cewe ga pake sempak, mbak? Lak isis semriwing ngunu.</t>
  </si>
  <si>
    <t>@w_runturambi Jadi wna aja biar ada kesempatan kalo jadi wni gaada kesempatan. 😂</t>
  </si>
  <si>
    <t>@Syariff21118536 @MrsRachelIn @ISIS_Balik_NO Keat</t>
  </si>
  <si>
    <t>@Kadesnyrokcok *Nama : Amel *Dom : Soerabaja *Umur : 19 y.o *Jenis Kelamin : Alhamdulillah cewek *Status : WNI jomblo lagi asw😭 . Uwes loh yo, uwes .</t>
  </si>
  <si>
    <t>RT @bowgung: announcer di st Cikini setelah pemerintah mengumumkan ada 2 WNI terjangkit virus corona di Depok. stay safe krl mania! @AnkerTwiter @CurhatKRL</t>
  </si>
  <si>
    <t>@andeftaindah bntar lg dia jd wni ndah jgn pnggil dy oppa dh</t>
  </si>
  <si>
    <t>pppp  isis cepat ak memaksa</t>
  </si>
  <si>
    <t>@siwonchoi Siwon pindah jadi wni aja yah terhura aku tu kirain artis indo :")</t>
  </si>
  <si>
    <t>15 WNI Positif Covid-19 di Luar Negeri</t>
  </si>
  <si>
    <t>Kemlu: 15 WNI Positif Covid-19 di Luar Negeri, 7 Dinyatakan Sembuh</t>
  </si>
  <si>
    <t>@AFCCup @theafcdotcom @CeresNegrosFC @BaliUtd Kami sbg WNI kecewa dgn cara main kalian @BaliUtd 💩👎</t>
  </si>
  <si>
    <t>ya ampun...90% grgr masih banyaknua wni yg keluar dan bawa masuk virusnua kesini. sedih sih dengernya.. disaat yg lain udh tutup penerbangan. tp kita belum dan ahkirnya begini🥺. tp ya gmn musibah😖</t>
  </si>
  <si>
    <t>RT @AsheelaB: Ekstimis hindu tak jauh beda dengan ISIS. stop penindasan muslim india #saveIndiaMuslims #SaveKashmir #MuslimsGenocideInIndiaAndIOK</t>
  </si>
  <si>
    <t>Yth. Bapak Ibu WNI di Arab Saudi, yuk kita selalu biasakan cuci tangan yang bersih untuk mencegah penyebaran penyakit. Hidup bersih pangkal hidup sehat... @safetravelkemlu @kemlu_ri #NegaraMelindungi</t>
  </si>
  <si>
    <t>@siagianharry @ixi_iman @82Arfun @TofaTofa_id Mendustakan kenyataan....DP0%..OKE OCEH...dan Sunatullah aer banjirmaha karya cuma sebatas BAMBU SENGGAMA..😂 BANJIR.....</t>
  </si>
  <si>
    <t>@MohamadKhoiri13 @Oodhi_tah @AremaNita__ @archabandung @pasektohpati @_nice69_ @agama_nusantara @daunsirih5 @Jelantik5 @onsrgst @rullyjoo27 @SeruniPuspaAlam @su7loo @BdyNusantara (((Di duga))) tapi ceritanya cukup bikin keder manusia2 skrg, sampai2 dihancurin ISIS krn takut sejarah peradaban manusia berubah 😂😂</t>
  </si>
  <si>
    <t>@siwonchoi Bang, WNI skrg ya?</t>
  </si>
  <si>
    <t>@detikcom Doa aja kalau wni dan wna dr luar negri tdk dikarantina dan disemprot cairan khusus tetap aja ada penyebaran virus corona</t>
  </si>
  <si>
    <t>#MuslimsGenocideInIndiaAndIOK Ekstrimis hindu tak jauh beda dengan ISIS. stop penindasan muslim india</t>
  </si>
  <si>
    <t>@VIVAcoid Harusnya wni atau wna datang dr luar negri karantina dulu dan disemprot cairan tuk mencegah penyebaran virus corona</t>
  </si>
  <si>
    <t>RT @idxzvam: 50 rts saya buat yg bebetul punya ngeeee</t>
  </si>
  <si>
    <t>RT @astri4ndini: Ekstimis hindu tak jauh beda dengan ISIS. stop penindasan muslim india #saveIndiaMuslims #SaveKashmir #MuslimsGenocideInIndiaAndIOK</t>
  </si>
  <si>
    <t>pax tgl 7 inter wni landing di singapura positif covid . seketika diam kita semua malah bisnis class pula</t>
  </si>
  <si>
    <t>RT @aryacokronegoro: Mulai hari ini WNI mendapatkan visa gratis selama 90 hari ke Rwanda ya. 🇷🇼. @BebasVisaID @sandmanindo @IvanRT05 @Lagnezmo17 @chuentoi @MikeyAM97 @jameshandaja @StefRanda @yovie_myg @addamfarizi</t>
  </si>
  <si>
    <t>@Isis_Cherrys @citas_sv @ALSanuncios @Culos69RicoSV @SvCalientes @SexoElSalvador @Ubersex_ES @sexo_placerES @SexoElsalvad0r @Hunter69SV Lindas mami</t>
  </si>
  <si>
    <t>RT @kjrijohorbahru: Berbagai upaya terus dilakukan KJRI Johor Bahru untuk membantu proses pemulangan WNI. Pada Selasa (10/3) KJRI Johor Bahru berkoordinasi dgn Jabatan Imigresen Malaysia membantu dan memastikan kelancaran pemulangan 131 WNI/PMI yang telah menyelesaikan kasus-kasusnya,</t>
  </si>
  <si>
    <t>@sigulabatak Bisa di googling kak mksdnya negara mana aja yg free visa bagi WNI dan yg VOA :)</t>
  </si>
  <si>
    <t>[qna] guys aku mau tanya, kalian yg tinggal di Bali semenjak banyak WNI yang juga kena Corona apakah jadi makin was was dan panik? Aku bulan ini mau studytour ke Bali tapi temen-temen parno 😭 terus apakah tempat wisatanya di tutup?? Makasih yg udah jawab🙏</t>
  </si>
  <si>
    <t>Ya Allah... Ganti jadi WNI aja lu banggg RT @siwonchoi: Aku senang bisa kembali ke Indonesia dan bertemu teman-teman. Terima kasih telah menyambut saya dengan baik. 😎 Oppa nanti kembali lagi ya. 😍</t>
  </si>
  <si>
    <t>@mbahCokro77 @___CIMOL_Q7R @ganjarpranowo Enak lho jd isis...katanya pulang di sambut karpet merah oleh negara...di usahakan pekerjaan ..dll...🤔🙄😁..gmn gk tertarik..😊walopun alasan nya anak2....dan ham😁🤭😂</t>
  </si>
  <si>
    <t>@ThantryRitha @ddprameswari @sakuraaa_3 @CNNIndonesia wni banyak jg yg tetep pergi ke LN, apalagi skrg tiket pesawat murah. Temen2ku banyak yg gitu soalnya. Gak abis pikir si sama mereka, yg penting keluar negeri:")</t>
  </si>
  <si>
    <t>Kemarin meninggalkan Qatar dengan @qatarairways pas check in saya ditanya: have you ever been to these countries in these 14 days? Termasuk disebut Korea dan Cina. Hal serupa hrsnya diberlakukan, ditanyakan ketika WNI or WNA mendarat, tiba di Indonesia. #coronaindonesia</t>
  </si>
  <si>
    <t>@siwonchoi Mas agung jadi wni aja gmn?</t>
  </si>
  <si>
    <t>@tombakpujangga ㅤ ㅤ ㅤ ㅤ Apalagi kalo bus yang di pedalaman, makin nggak nyaman. Yang isis isis ini memang yang terbaik, nggak bikin saya mabok darat ahaha. ㅤ ㅤ ㅤ</t>
  </si>
  <si>
    <t>Jalan Cinta Sang Penumpas ISIS</t>
  </si>
  <si>
    <t>@pacarmamas Ada dosen prodiku Yang kurang lebih bilang gini "Jika seandainya keuntungan tambang kita tidak dikorupsi maka setiap orang/wni dapet sekian juta" Nah dari keuntungan tambang aja udah bisa dibagi²in, jadi otomatis negara gak punya utang, tapi kenapa masih ngutang? Karena korupsi</t>
  </si>
  <si>
    <t>#COVID_19{VIRUS CORONA} •MARILAH KITA WARGA INDONESIA UNTUK BERUBAH MENJADI WARGA YANG : 1.PEDULI TERHADAP LINGKUNGAN SEKITAR. 2.WARGA YANG SADAR UNTUK DAPAT MENJAGA KEBERSIHAN DIRI SENDIRI. 3.SELALU WASPADA. 4MENJADI (WNI) YG SELALU MEMBIASAKAN MENCUCI TANGAN DEMI KESEHATAN</t>
  </si>
  <si>
    <t>@plippla Untung apal mau ku coret dari wni tadinya</t>
  </si>
  <si>
    <t>Pak Gubernur Jabar kenapa Hotline Covid-19 Dinkes Jabar tidak responsive saat ditanya ttg kriteria karantina mandiri dan kenapa ada treatment berbeda antara WNI yang datang dari Tiongkok dan Korsel yg padahal sama-sama 'red code'. Saya punya bukti percakapan wa nya.</t>
  </si>
  <si>
    <t>Lama2 jadi WNI lu wkwkwk RT @siwonchoi: Aku senang bisa kembali ke Indonesia dan bertemu teman-teman. Terima kasih telah menyambut saya dengan baik. 😎 Oppa nanti kembali lagi ya. 😍</t>
  </si>
  <si>
    <t>Harga rempah-rempah sempat mendadak mahal sejak Presiden Joko Widodo mengumumkan adanya WNI terjangkit Covid-19. #COVID19 #Covid_19 #COVIDー19 #COVID #Corona #CoronaVirusUpdate #coronavirus #emponempon #rempahrempah #jahe #bantul #jokowi #Yogyakarta</t>
  </si>
  <si>
    <t>Tim observasi WNI Kapal Pesiar Diamond Princess melakukan fogging untuk mencegah perkembangbiakkan nyamuk demam berdarah. #PulauSebaru</t>
  </si>
  <si>
    <t>@yusuf_dumdum ISIS itu sangat TDK menghargai wanita..mereka anggap wanita sbg pemuas nafsu setan mereka.. bahkan gadis" muda pun bisa mereka jual! mereka itu sebenarnya Iblis yg nyata..!</t>
  </si>
  <si>
    <t>@siwonchoi oppa apa tidak mau jd wni?????😭</t>
  </si>
  <si>
    <t>Dibukak gembok e langsung isis 😋</t>
  </si>
  <si>
    <t>Sambil tunggu Diaspora Bond, WNI di Kuwait bisa investasi melalui Sukuk Seri SR012, 24 Feb-18 Maret 2020. Mari berpartisipasi bangun infrastruktur Tanah Air. . #inidiplomasi #diasporaindonesia #rintiskemajuan @Kemlu_RI @KemenkeuRI</t>
  </si>
  <si>
    <t>Laper. Pengen makan makanan ekstrim. Kayak unta guling militan isis.</t>
  </si>
  <si>
    <t>@HI_N_DU @SureshChavhanke Haa Indian ISIS sangh se koi na uljhea...!!</t>
  </si>
  <si>
    <t>@siwonchoi Udah deh besok pindah jadi WNI</t>
  </si>
  <si>
    <t>@JoeSuisTanjung @TirtoID Hari ini masih jualan isis? Hahahahah jauh bet jauh</t>
  </si>
  <si>
    <t>@ISIS_Balik_NO @TofaTofa_id Sdh mentok dia, cuma bisa bilang gitu, 😂😂🤣</t>
  </si>
  <si>
    <t>RT @ylchaniago: Aku tinggal di dormitory kampusku. Sesekali aku pergi menginap di apartment temanku (WNI juga). Kita juga punya jurnal suhu yang kita bikin sendiri, seperti itulah cara kami bertahan. Keluar rumah jika ada perlu saja, pada saat itu memang kebetulan kampus tengah libur</t>
  </si>
  <si>
    <t>@ISIS_Balik_NO @ixi_iman @82Arfun @TofaTofa_id @kangdede78 kodok dan tikus, bahu membahu. 😱</t>
  </si>
  <si>
    <t>ni orang bentar lg jd wni RT @siwonchoi: Aku senang bisa kembali ke Indonesia dan bertemu teman-teman. Terima kasih telah menyambut saya dengan baik. 😎 Oppa nanti kembali lagi ya. 😍</t>
  </si>
  <si>
    <t>Semoga selalu menghargai perbedaan tanpa maido mencela dan mengaku2 sebagai yg paling benar Alhamdulillah , semoga kita dewasa dalam menghargai perbedaan Kecuali HTI FPI ISIS dan KHILAF FUCK untuk yg 4 itu sory ngga ada respect , dan silah keluar dr endonesa RT @haidaroh1: @cholilnafis Saya juga kyai, saya nu tapi jadi pengurus wilayah Muhammadiyah di NTT</t>
  </si>
  <si>
    <t>@angewwie Jadi, bagusnya anak u-10 eks isis harusnya dipulangkan atau tidak?</t>
  </si>
  <si>
    <t>RT @DamnLoveNKRI: @Ardi01879 @best_salesman_ @mohmahfudmd Coba lu sebutkan arti khilafah yg mau diterapkan di Indonesia. Apakah sama dengan sistem khilafah yg akan diterapkan ISIS di timur tengah? Apa lu dukung Riziq yg sebut ISIS sebagai saudara ? Kalau lu kaga bisa jawab.... Pantesan.... Eh nyet @Ardi01879 brojol dari mana lu?</t>
  </si>
  <si>
    <t>@kuyangjahanam @skinnygres @glowinthehell @culamet4n @owqedeh jgn sbar ajaran isis</t>
  </si>
  <si>
    <t>@astraloka ㅤ ㅤㅤ ㅤㅤㅤ Banget, Dek. Angin sepoi-sepoinya itu yang paling bikin candu. Paling nggak nyaman waktu naik bus. Nggak tau, engap. Malah enak naik yang serba terbuka, isis. ㅤ ㅤ ㅤㅤ</t>
  </si>
  <si>
    <t>Siapa boleh paksa aku makan nasi banyak2 aku belanja kau makan😭🤟🏻</t>
  </si>
  <si>
    <t>RT @Hanifah933: Setelah itu, tercatat pasien 27 yang merupakan laki-laki berusia 33 tahun. Pasien 27 merupakan WNI dalam kondisi stabil. Namun, pemerintah belum mendapatkan kepastian dari klaster mana Virus Corona itu berasal.</t>
  </si>
  <si>
    <t>Repost @ditjen_imigrasi Negara hadir dalam pelindungan warganya. Kalimat ini selalu muncul tatkala berbicara mengenai keselamatan WNI baik di dalam negeri maupun luar negeri. Direktorat Jenderal Imigrasi melalui…</t>
  </si>
  <si>
    <t>7 Pasien Baru Positif Corona Berstatus WNI yang Terpapar dari Luar Negeri</t>
  </si>
  <si>
    <t>PERCUMA SIH LARANG INI ITU, SURUH PAKAI INI ITU. TOH PERPUTARAN WNA DAN WNI DARI DAN KELUAR NEGERI MASIH LANCAR JAYA. MANA PEMBODOHAN TERJADI BILANG YG PAKAI MASKER CUMA ORANG SAKIT. EMANG BISA DI ATUR KEKUATAN IMUN DIBADAN ORANG BAMBANG?!</t>
  </si>
  <si>
    <t>@umaralims @alexsima9 Hebatnya seorang AHOK....bisa membuat Kadrun Kebalaran Jenggot.....padahal cuma 1 KAFIR doang.😂😂😂😂😂 Ditakutin....yawloh !</t>
  </si>
  <si>
    <t>Setelah Ditolak Pulang ke Indonesia, Bagaimana Nasib WNI Eks ISIS?</t>
  </si>
  <si>
    <t>@tubirfess ya ges bsk gua mau pindh planet aj, udh cape jadi WNI</t>
  </si>
  <si>
    <t>@ardbgst cocoknya jd isis ya k?</t>
  </si>
  <si>
    <t>Aku malah gamau tau ada berapa wni yg udah positif covid-19(((:</t>
  </si>
  <si>
    <t>Kurang lebih sepuluh hari aku dan WNI lainnya merasakan lockdown di Wuhan. Terhitung sejak hari pertama Wuhan lockdown , sejak itu pula masker menjadi barang paling langka dan mahal di Wuhan.</t>
  </si>
  <si>
    <t>@ixi_iman @siagianharry @82Arfun @TofaTofa_id @kangdede78 Kok visa Ahok dan Jokowi lolos dr tangkapan Kadrun ?</t>
  </si>
  <si>
    <t>@ixi_iman @siagianharry @82Arfun @TofaTofa_id @kangdede78 Lo kagak percaya KPK...? Yg kemaren picek emang pro siapa ?</t>
  </si>
  <si>
    <t>jadi WNI aja om sekalian RT @siwonchoi: Aku senang bisa kembali ke Indonesia dan bertemu teman-teman. Terima kasih telah menyambut saya dengan baik. 😎 Oppa nanti kembali lagi ya. 😍</t>
  </si>
  <si>
    <t>RT @razzigatie: ya Allah, jika dia mmg jodohku, jodohkanlah. kalau bukan jodohku, jodohkanlah jugak. jika dia tidak berjodoh dgnku, jadikanlah kami jodoh. kalau dia bukan jodohku, jgn sampai dia ada jodoh lain selain aku. kalau dia berjodohan dengan orang lain, putuskanlah dan jodohkan dgn aku</t>
  </si>
  <si>
    <t>RT @aliazamani_: Teh ais yg paling heaven adalah teh yg pekat padu tapi tak manis. You can still taste the tea instead of absurd amount of sweetness.</t>
  </si>
  <si>
    <t>@JoeWongJava1 @TofaTofa_id @kangdede78 Dan kita sudah faham yg namanya Daging Manusia itu bukan untuk dikonsumsi.....pemamah daging kafir...apa bedanya dengan makan daging babi</t>
  </si>
  <si>
    <t>RT @conan_idn: #COVID19 positif WNI belom ada yang meninggal #DBD20 sudah 104 WNI meninggal 😳</t>
  </si>
  <si>
    <t>@JoeWongJava1 @TofaTofa_id @kangdede78 Senjata ente....FITNAH Kalau memang itu FITNAH.....yg datanglah penuhi panggilan polisi jangan Kabur... Gimana ente yakin itu fitnah kalo mo diadili saja kagak mau.....njnggu pengadilan ALLAH yg Maha Adil ? Ente bisa nengok dia di jahanam ?</t>
  </si>
  <si>
    <t>@reno_2 wni ada?</t>
  </si>
  <si>
    <t>RT @AkuTweetFakta: Kejadian di Airport terengganu, Mak cik masuk pintu salah 🤣🤣🤣</t>
  </si>
  <si>
    <t>#Repost @ditjen_imigrasi • • • • • • Negara hadir dalam pelindungan warganya. Kalimat ini selalu muncul tatkala berbicara mengenai keselamatan WNI baik di dalam negeri maupun luar negeri. Direktorat Jenderal…</t>
  </si>
  <si>
    <t>@labiddesu Cwe isis jgaa</t>
  </si>
  <si>
    <t>#COVID19 positif WNI belom ada yang meninggal #DBD20 sudah 104 WNI meninggal 😳</t>
  </si>
  <si>
    <t>RT @Bisniscom: Update Corona: Total kini 34 WNI Terpapar Virus Corona</t>
  </si>
  <si>
    <t>@HukumDan @Puti_Chanie 4.Di Indonesia Banyak TUYUL uang Negara,yg bertopeng menjual Penderitaan Manusia lainnya + Agama,guna meraih Keuntungan Pribadi &amp; Grobolan Wiro SABLENG 212 dkk yg setiap detiknya mengincar Uang &amp;amp; Kekayaan Negara utk Mereka Kuasai &amp;amp; Nikmati.bila Sampean WNI yg Waras,Bijaksanalah.</t>
  </si>
  <si>
    <t>@sanjayanuriman Lo masih WNI sat</t>
  </si>
  <si>
    <t>Ratusan WNI yang diobservasi di Pulau Sebaru Kecil diberikan penyuluhan mengenai virus Corona. #PulauSebaru</t>
  </si>
  <si>
    <t>Ternyata area observasi WNI Dream Princess dan World Dream di Pulau Sebaru pun dipisahkan dengan sekat pembatas. #PulauSebaru</t>
  </si>
  <si>
    <t>astagaa... ini siwon lama2 jadi WNI 😭😭 RT @siwonchoi: Aku senang bisa kembali ke Indonesia dan bertemu teman-teman. Terima kasih telah menyambut saya dengan baik. 😎 Oppa nanti kembali lagi ya. 😍</t>
  </si>
  <si>
    <t>RT @Tommy93507168: Apapun kita sbg WNI Sebaiknya tidak mengambil kesempatan dlm kesempitan dari kondisi yg mewabah di masyarakat Terima kasih kepada POLRES JAK - UT 🙏</t>
  </si>
  <si>
    <t>Siwon mampir Indonesia pd demen amet, WNI yg balik dr Korea dihujat dikira bw virus wokwowkwk RT @siwonchoi: Aku senang bisa kembali ke Indonesia dan bertemu teman-teman. Terima kasih telah menyambut saya dengan baik. 😎 Oppa nanti kembali lagi ya. 😍</t>
  </si>
  <si>
    <t>@AmarFarchan @Indostransfer Memang boss dia kan WNI</t>
  </si>
  <si>
    <t>@Mdanisalam786 @m_zama31 @RagibAhmad14 @BeingReva iss baat ka jawab jarur chahiye ki India ki development mein aaj ke Muslim ka kya contribution hai? muslim sirf jihaad, azadi, JNU Jamia dange, CAA virodh, delhi riots, kashmir terrorism, shahinbaug, Islamic state, ISIS acts mein dikhtata hai haque sab chahiye jummedari thenga</t>
  </si>
  <si>
    <t>188 WNI ABK World Dream dan 68 WNI Kapal Pesiar Diamond Princess diberikan penyuluhan terkait virus Corona dari Tim Kesehatan Komando Tugas Gabungan Terpadu (Kogasgabpad).</t>
  </si>
  <si>
    <t>@TeddyGusnaidi @aniesbaswedan Logika lagi. Di Natuna, ternyata WNI yang dikarantina terkait VirusCorona tidak dites dengan alat yang dibutuhkan karena, kata pemerintah, harga alatnya mahal. Eh, tak berapa lama, pemerintah berencana berikan 72M untuk buzzer utk redam isu Corona Logis banget kan? 🤣</t>
  </si>
  <si>
    <t>Tetapi sejak tanggal 3 February 2020 teman foreign saya cerita bahwa pemerintah di sana melarang keras untuk keluar dari rumah, demi mengurangi penyebaran virus. pertanggal tersebut di atas ya. Pada tgl tsb saya dan WNI sudah berada di Natuna untuk dikarantina</t>
  </si>
  <si>
    <t>Kemenlu 15 WNI Positif Corona 7 Orang Dinyatakan Sembuh</t>
  </si>
  <si>
    <t>@siwonchoi Iya kembali saja kan kamu sudah menjadi bgian WNI wkwk</t>
  </si>
  <si>
    <t>@ThantryRitha @sakuraaa_3 @CNNIndonesia Ada yg WNI kok kak kalau gak salah. Yg imported cases ada yg Dr ABK diamond princess juga. Ya semoga aja gk bertambah lg. Dan yg punya planning keluar negeri dlm waktu dekat berfikir ulang dan mempertimbangkan banyak hal terutama keselamatan dan kesehatannya</t>
  </si>
  <si>
    <t>Petugas Imigrasi berusaha melakukan Penundaan Penerbitan Paspor di Kantor Imigrasi dan Penundaan Keberangkatan terhadap WNI terduga Pekerja Migran Indonesia Nonprosedural di Tempat Pemeriksaan Imigrasi.</t>
  </si>
  <si>
    <t>@myozhyme Mungkin kalimat mbak yg kedua benar. Amit2 tp, ya. Mungkin WNI diharuskan nunggu sampai akhir Maret 2020 utk lihat perkembangannya.</t>
  </si>
  <si>
    <t>RT @tr4velcompass: @8_fero_8 @myozhyme Mungkin. Segala kemungkinan itu nyata, pak. Saya paham prosedur tertentu harus ditaati. Alangkah baiknya dicek yg berinisiatif sebelum menular, bukan? "Italy is locked-down and check its 16 million citizen." . . . Epidemi. Semoga memang benar imun alami tubuh WNI memang hebat.</t>
  </si>
  <si>
    <t>Direktorat Jenderal Imigrasi melalui Kantor Imigrasi turut aktif dalam mewujudkan kehadiran negara dalam melakukan pencegahan agar WNI tidak menjadi Pekerja Migran Indonesia (PMI) Nonprosedural dan terjerat dalam praktik human trafficking.</t>
  </si>
  <si>
    <t>Apapun kita sbg WNI Sebaiknya tidak mengambil kesempatan dlm kesempitan dari kondisi yg mewabah di masyarakat Terima kasih kepada POLRES JAK - UT 🙏</t>
  </si>
  <si>
    <t>Negara hadir dalam pelindungan warganya. Kalimat ini selalu muncul tatkala berbicara mengenai keselamatan WNI baik di dalam negeri maupun luar negeri. #ImigrasiJagaNegeri</t>
  </si>
  <si>
    <t>@iamdangerousboy kapan menganal-isis penis?</t>
  </si>
  <si>
    <t>Ayo daftar diri online! KBRI buka layanan sensus WNI pada Sabtu, 14 Maret 2020, @ 11.30-17.30 di Ahmadi. Ada paket kesehatan dan makan siang gratis. Siapkan KTP (jika ada), paspor dan civil ID! #inidiplomasi #indonesianway #pelayananprima #diasporaindonesia @Kemlu_RI</t>
  </si>
  <si>
    <t>RT @RadioElshinta: Pemerintah Italia resmi memasuki hari pertama karantina sebagai upaya untuk memerangi virus Covid-19. Seluruh wilayah di Italia diminta untuk waspada virus Covid-19. Bagaimana situasi terkini? SIMAK! WNI yang berada di Italia Selatan, Yorian.</t>
  </si>
  <si>
    <t>Bener bener merinding denger paranormal experience WNI di apartment bangkok</t>
  </si>
  <si>
    <t>Pemerintah Italia resmi memasuki hari pertama karantina sebagai upaya untuk memerangi virus Covid-19. Seluruh wilayah di Italia diminta untuk waspada virus Covid-19. Bagaimana situasi terkini? SIMAK! WNI yang berada di Italia Selatan, Yorian.</t>
  </si>
  <si>
    <t>@ISIS_Balik_NO @siagianharry @82Arfun @TofaTofa_id @kangdede78 Coba cari berita korupsi dki, yg muncul kan jaman jokowi ahok 🤣🤣🤣🤣</t>
  </si>
  <si>
    <t>RT @DjanChoek: Lihatlah wahai kalian pejabat negara, anak2 seperti ini harusnya jadi fokus utama bukannya malah anak2 ISIS 🤦🤦🤦</t>
  </si>
  <si>
    <t>@ISIS_Balik_NO @siagianharry @82Arfun @TofaTofa_id @kangdede78 Wkwkwk ini bermasalah Tong, lu kagak bakalan tau kalo pagi &amp; sore ini bikin macet parah sekitar pilda dan wisma GKBI, krn ngebangun gak pake amdal ya begini.</t>
  </si>
  <si>
    <t>@ISIS_Balik_NO @yoe2 @haikal_hassan @aniesbaswedan Bukan bos aku karang taruna tkt desa tdk suka berpartai</t>
  </si>
  <si>
    <t>@FirzaHusain @catatankakihati Kok takut tentara aloh ?</t>
  </si>
  <si>
    <t>Kyk nya bentar lagi siwon jadi wni dahhh RT @siwonchoi: Aku senang bisa kembali ke Indonesia dan bertemu teman-teman. Terima kasih telah menyambut saya dengan baik. 😎 Oppa nanti kembali lagi ya. 😍</t>
  </si>
  <si>
    <t>@8_fero_8 @myozhyme Mungkin. Segala kemungkinan itu nyata, pak. Saya paham prosedur tertentu harus ditaati. Alangkah baiknya dicek yg berinisiatif sebelum menular, bukan? "Italy is locked-down and check its 16 million citizen." . . . Epidemi. Semoga memang benar imun alami tubuh WNI memang hebat.</t>
  </si>
  <si>
    <t>@ISIS_Balik_NO @siagianharry @82Arfun @TofaTofa_id @kangdede78 Wkwkwk lu kebanyakan makan hoak kakak pembina. Gw warga dki (kota) sejak 95, gw tau banget perkembangan jkt, kalo bacot lu halu...gw asli ngakak</t>
  </si>
  <si>
    <t>@ISIS_Balik_NO @TofaTofa_id @kangdede78 Pantesan berani fitnah ulama....ternyata..... Kalo umat muslim pasti takut, karena ulama daging nya adalah Racun..... Sepertinya Barisan penikmat/penyuka daging Babi...😑</t>
  </si>
  <si>
    <t>@ixi_iman @siagianharry @82Arfun @TofaTofa_id @kangdede78 😂😂😂😂😂 Kicep lagi.....pura2 buta ?atau permisif karena seIMAN ?😂😂😂</t>
  </si>
  <si>
    <t>RT @Mentimoen: Saran tambahan untuk WNI: - stop bersalaman, apalagi cipika cipiki. - sebagai pengganti salaman, hormat dgn 2 telapak spt berdoa aja. toh itu gaya tradisional nusantara. - kurangi bepergian jauh. Batalkan seminar2, batalkan kegiatan2 bersama yg ga perlu.</t>
  </si>
  <si>
    <t>RT @idntimes: Mereka memiliki riwayat perjalanan ke Singapura dan Malaysia</t>
  </si>
  <si>
    <t>@ISIS_Balik_NO @siagianharry @82Arfun @TofaTofa_id @kangdede78 Garongnya kan kebanyak emang temen separtai ahok</t>
  </si>
  <si>
    <t>@ixi_iman @siagianharry @82Arfun @TofaTofa_id @kangdede78 Andalan SAMPAH jd pejabat Patung senggama</t>
  </si>
  <si>
    <t>@ixi_iman @siagianharry @82Arfun @TofaTofa_id @kangdede78 Lalu mereka memilih sampah jadi pejabat.....hasilnya...anda baca media bukan ? Jangan pura2 BUTA...lihat hasil kerja Ahok...lihat hasil kerja SAMPAH.....nyata BEDANYA</t>
  </si>
  <si>
    <t>Ratusan WNI yang menjalani observasi di Pulau Sebaru Kecil, semuanya dinyatakan dalam kondisi sehat. Setiap hari kesehatan mereka diperiksa dan suhu tubuh terus dipantau. #PulauSebaru #VirusCorona #Corona #Covid19</t>
  </si>
  <si>
    <t>@ixi_iman @siagianharry @82Arfun @TofaTofa_id @kangdede78 Hebatnya SEORANG AHOK.....bikin umat berjuta2 klepekan......tetiba jadi paling faham agama......didukung oleh koruptor2 bermulut agamis Tapi Tuhan maha Adil....sebagian dr mereka sudah dibuka AIBnya......menjadi GARONG pdhl mulutnya gak brenti ucap nama ALLAH</t>
  </si>
  <si>
    <t>@ddprameswari @sakuraaa_3 @CNNIndonesia Kayaknya yg kena imported case kemungkinan WNA deh. Kalo smpe WNI kebangetan bgt, musim corona gini travelling ke luar negeri demi tiket murah tnp memikirkan rakyat Indonesia dan keluarga yg ada disini.</t>
  </si>
  <si>
    <t>RT @Amoypesek6: Bantu Deradikalisasi, Eks Anggota ISIS Beri @ganjarpranowo Buku 300 Hari Di Suriah Buku berjudul 300 Hari di Bumi Syam; Perjalanan Seorang Mantan Pengikut ISIS selalu dipegang Febri Ramdani saat tiba di kediaman Gubernur Jawa Tengah, Ganjar Pranowo, Senin (9/3/2020).</t>
  </si>
  <si>
    <t>Kebanyakan imported case, lucu kali ya kalo wni yg lg traveling tbtb gadibolehin balik / harus di karantina dulu gara2 corona ini. RT @CNNIndonesia: Pasien Positif Corona di Indonesia Tambah 7, Total 34 Kasus</t>
  </si>
  <si>
    <t>@ixi_iman @djimmortha @82Arfun @TofaTofa_id @kangdede78 Loh.....kok ente faham Ahok di penjara ? Minimal.....MINIMAL nih...AHOK bertanggung Jawab. Kafir saja visa tanggung jawab......masa oemegang kuncisurga....takut sama penjara dan malah kabur2an..udah spt bang TOYIB....kagak pulang2😂</t>
  </si>
  <si>
    <t>Ratusan WNI yang Diobservasi di Pulau Sebaru juga diberikan penyuluhan soal Virus Korona. #PulauSebaru</t>
  </si>
  <si>
    <t>@ISIS_Balik_NO @siagianharry @82Arfun @TofaTofa_id @kangdede78 Kagak, cuman sodara angkatnya yg muslim suruh berlebay lebay</t>
  </si>
  <si>
    <t>@ixi_iman @82Arfun @TofaTofa_id @kangdede78 Maksud lo ? Mo maf ....ane kagak faham isi otak kadrun</t>
  </si>
  <si>
    <t>@ISIS_Balik_NO @TofaTofa_id @kangdede78 Kalo laki gw udah gw suruh pake topeng cangcut gw😂</t>
  </si>
  <si>
    <t>@JoeWongJava1 @TofaTofa_id @kangdede78 Kagak urus....malaysia bukan negara gw bang....mo larang malah mo ngecap Haram.....apa urusannya sama Indonesia ?</t>
  </si>
  <si>
    <t>Udah gitu area observasi WNI Dream Princess dan World Dream di Pulau Sebaru pun dipisahkan dengan sekat pembatas lho. #PulauSebaru</t>
  </si>
  <si>
    <t>RT @Bisniscom: Update Virus Corona: Total kini 34 WNI Terpapar Virus Corona</t>
  </si>
  <si>
    <t>@nojamsanti and all the new ones are imported cases. kesel bgt sama pemerintah ga ngasih travel warning yg jelas ke negara yg bnyak kasus. aku kan ikut grup traveling di fb, masih bnyak wni bego yg milih tetep jalan2 ke LN karena ga mau rugi tiket</t>
  </si>
  <si>
    <t>@ISIS_Balik_NO @82Arfun @TofaTofa_id @kangdede78 Lo lagi nasihati orang ini ya 🤪🤪🤪</t>
  </si>
  <si>
    <t>@machbeach @ustadtengkuzul @jokowi Anda klo komen itu,tlong d baca dlu.knp yg sya bahas bertakbir?krn ustads anda yg d bhas Al Quran. Timur tengah,isis,bomber indonesia,smpai ibnu muljam pun sperti itu krn smngatnya yg slh. Sharusnya agama itu d peluk Bukan untuk petentang petenteng.</t>
  </si>
  <si>
    <t>RT @MASirdatama: Di tanah abang juga banyak WNA dan WNI bercampur apa sebaiknya tanah abang juga dibubarkan?</t>
  </si>
  <si>
    <t>RT @samhudibae: Iya pemirsa ternyata taggar #WaspadaCegahCorona sampai dgn detik ini masih berada diposisi teratas TTI. Seperti yg kita ketahui bersama bahwa Mantan Kepala BNPT telah mengatakan: Virus Radikal ISIS Lebih Mengerikan Dibanding Corona  #WaspadaCegahCorona</t>
  </si>
  <si>
    <t>RT @asumsico: Selain positif COVID-19, korban sebelumnya sudah menderita komplikasi penyakit, yaitu diabetes, hipertensi, dan paru obstruksi menahun. Hingga Selasa (11/3), terdapat 27 kasus terkonfirmasi COVID-19 di Indonesia. Sebanyak 23 orang merupakan WNI dan 4 orang WNA.</t>
  </si>
  <si>
    <t>@ixi_iman @82Arfun @TofaTofa_id @kangdede78 Jadilah seorang yg punya ADAB kalo lo punya Agama</t>
  </si>
  <si>
    <t>Sejak resmi diumumkan mengenai 2 WNI yang positif terinfeksi Virus Corona (covid-19), banyak masyarakat merasa was-was akan penyebaran virus tersebut. Berikut beberapa fakta tentang virus corona yg wajib kamu ketahui agar terhindar dari berita hoax yg dapat membuat kepanikan!</t>
  </si>
  <si>
    <t>@siwonchoi @Ria_nanajaem Jd wni deh skalian😀</t>
  </si>
  <si>
    <t>@ixi_iman @82Arfun @TofaTofa_id @kangdede78 Lah....ngapain juga kalo Ahok yg bermasalah...lalu lo nyangkut pautin sama bininya? Lo boleh benci Ahok...ahok sj yg lo hujat.... Ane benci si Cabul saja kagak pernah nyamber2 bininya</t>
  </si>
  <si>
    <t>@ISIS_Balik_NO @TofaTofa_id @kangdede78 Terus mencret</t>
  </si>
  <si>
    <t>JD WNI AJA SEKALIAN BIAR BISA PULKAM TRS 😀🖒 RT @siwonchoi: Aku senang bisa kembali ke Indonesia dan bertemu teman-teman. Terima kasih telah menyambut saya dengan baik. 😎 Oppa nanti kembali lagi ya. 😍</t>
  </si>
  <si>
    <t>6.Pernyataannya yang plin-plan soal cadar dan celana cingkrang, soal perpanjangan izin FPI, soal pemulangan kombatan ISIS ex-WNI, betul-betul membingungkan. Kita jadi bertanya-tanya, apakah Jokowi/pembantunya diperiode kedua ini betul-betul punya komitmen memberantas radikalisme?</t>
  </si>
  <si>
    <t>Segera dites jangan observasi terus kyk kmrn2, 2 WNI + corona di singapur juga dibilang - di RS di jkt krn cuman modal observasi, akhirnya cek ke singapur langsung dites + 🤦🏻‍♀️ RT @CNNIndonesia: Pasien dalam Pengawasan Corona di Indonesia Capai 736 Orang</t>
  </si>
  <si>
    <t>Dah lah bapak choi siwon jadi wni aja 😂</t>
  </si>
  <si>
    <t>Catat! WNI Diimbau Tak Naik 7 Maskapai Ini</t>
  </si>
  <si>
    <t>Update Virus Corona: Total kini 34 WNI Terpapar Virus Corona</t>
  </si>
  <si>
    <t>@fariddisme @KawalCOVID19 @KemenkesRI Iya mestinya diumumkan lokasi penularan dmn. kl WNI, domisili smp tingkat kelurahan, biar rakyat sekitar situ waspada. Kl WNA mestinya diumumkan asal negaranya</t>
  </si>
  <si>
    <t>Selain positif COVID-19, korban sebelumnya sudah menderita komplikasi penyakit, yaitu diabetes, hipertensi, dan paru obstruksi menahun. Hingga Selasa (11/3), terdapat 27 kasus terkonfirmasi COVID-19 di Indonesia. Sebanyak 23 orang merupakan WNI dan 4 orang WNA.</t>
  </si>
  <si>
    <t>@KawalCOVID19 @hariyo_w Kasus WNI yang tertular di luar Indonesia saja kali, Min.. Kalau WNA tertular di luar Indonesia yaa bukan data kita kan ya?</t>
  </si>
  <si>
    <t>@ISIS_Balik_NO @82Arfun @TofaTofa_id @kangdede78 Lu kali yg benci ama orang. Gw cuman menyampekan fakta yg terjadi aja.</t>
  </si>
  <si>
    <t>RT @KawalCOVID19: @hariyo_w Kasus impor maksudnya pasien WNI/WNA yang tertular COVID-19 di luar Indonesia.</t>
  </si>
  <si>
    <t>Update Corona: Total kini 34 WNI Terpapar Virus Corona</t>
  </si>
  <si>
    <t>@hariyo_w Kasus impor maksudnya pasien WNI/WNA yang tertular COVID-19 di luar Indonesia.</t>
  </si>
  <si>
    <t>Di tanah abang juga banyak WNA dan WNI bercampur apa sebaiknya tanah abang juga dibubarkan? RT @irrruul: Setuju nih, terutama banyak WNA yg nonton disitu, atau mungkin banyak jga fans yang baru pulang dari luar negeri terus nonton, belum lagi dari sekitaran fx mall nya yang notabene banyak WNA jga. Demi kepentingan semua harusnya di tutup dulu sih @officialJKT48</t>
  </si>
  <si>
    <t>@CNNIndonesia Masih lumayan ada jas hujan.. Kolo kantong plastik tentu lebih ribet.. dipertanyakan kesiapan pemda hadapi #COVID19indonesia karena narasi yang dibangun WNI tahan..</t>
  </si>
  <si>
    <t>RT @RoyalHospitalRP: Pada 11 Maret 2020 telah tercatat sebanyak 27 pasien positif Coronavirus di Indonesia. 23 diantaranya adalah WNI sedangkan 4 orang sisanya adalah WNA. #RoyalHospitalNews</t>
  </si>
  <si>
    <t>@EnricoE39 TBF, Soleimani berjasa menghancurkan ISIS di kawasan. Terlepas dari hal2 lainnya</t>
  </si>
  <si>
    <t>@mrinalkishorem @khatlani_rabee @ANI @IAF_MCC Inke election ko inki army kaudi ke bhaav bech deti hai jb chahein. China bole tb, US bolti thi tb, Russia bole tb, ISIS-Taliban bole tb. Sab Pimps hain wahan</t>
  </si>
  <si>
    <t>Ketua MUI Banyuwangi tolak pemulangan ISIS RT @Gasspool19: Ketua MUI Banyuwangi tolak pemulangan ISIS</t>
  </si>
  <si>
    <t>Ketua MUI Banyuwangi tolak pemulangan ISIS</t>
  </si>
  <si>
    <t>KBRI Roma menyampaikan imbauan agar WNI di Italia mematuhi peraturan karantina, dan mengungkapkan kondisi pada WNI sejauh ini baik semua.</t>
  </si>
  <si>
    <t>Alhamdulillah bgt kondisi 68 WNI anak buah kapal Diamond Princess yang tengah menjalani masa observasi di Pulau Sebaru Kecil, Kepulauan Seribu dalam kondisi sehat dan bersemangat mengikuti semua agenda observasi. #PulauSebaru</t>
  </si>
  <si>
    <t>ISTANA HERAN PUBLIK MENOLAK AHOK JD KANDIDAT CEO IBUKOTA BARU. PUBLIK LEBIH HERAN LAGI,ISTANA KOK MAKSAIN BGT EX NAPI DAN BKN WNI ASLI ITU JD KEPALA OTORITA IBUKOTA BARU.TEPOK JIDAT</t>
  </si>
  <si>
    <t>@rollingbear8 "maap nih buibu bapak2, sendal jepit lebih isis soalnya" QAQ</t>
  </si>
  <si>
    <t>RT @UjangBustomi: Kami selalu siap printah Kiai2 NU,Perang melawan ISIS Pun siap!!untk ISIS,berani macem2 di NKRI,tak libas!</t>
  </si>
  <si>
    <t>@erwingatuso @Ordinar38827379 @ISIS_Balik_NO @TofaTofa_id @kangdede78 Gentle tuh hrsnya brani tidur di lembaga pemasarakatan krn sdh berstatus napi..</t>
  </si>
  <si>
    <t>Kemenlu: 15 WNI terjangkit virus corona di luar negeri, 7 sudah sembuh  #VirusCorona</t>
  </si>
  <si>
    <t>RT @MrsRachelIn: Melawan lupa ! Bachtiar Nasir Jadi Tersangka, Berawal dari Aliran Uang ke Suriah yang Diduga Terkait ISIS</t>
  </si>
  <si>
    <t>RT @ziaaqu: giveaway mini🐌 bagi bagi saldo apapun 20.000 buat 1 orang aja. syaratnya: RT sama follow end jam 19:00</t>
  </si>
  <si>
    <t>@ISIS_Balik_NO @82Arfun @TofaTofa_id @kangdede78 Bagi gw; lelaki yg tau 7 taun diselingkuhi bininya itu sih kagak punya martabat</t>
  </si>
  <si>
    <t>@pendekar58 @MSApunya Mo tau komunis jaman Now ? Ngaca !</t>
  </si>
  <si>
    <t>@ixi_iman @82Arfun @TofaTofa_id @kangdede78 Lo bandingin MENTAL AHOK sama si Tofa ? Ahok kagak ngeluh Bengek budukan kok....kagak nyuruh bini jual Aer Mata..... Krn AHOK itu MANUSIA.....punya MARTABAT</t>
  </si>
  <si>
    <t>Menanti Kabar WNI di Italia yang 'Dikunci' Gegara Corona</t>
  </si>
  <si>
    <t>@KemenkesRI Negara lain aja info2 aja kok. Ga masalah. Kenapa takut mendiskriminasi?. Kita semua aja tau ada WNI yang kena di Singapura. Minim banget informasinya disini beda sama baca berita luar. Mereka detail supaya masyarakat juga bisa menghindari lokasi2 yg udah dijangkau oleh virus.</t>
  </si>
  <si>
    <t>@Sajjadullah1744 @Digvija97432759 ISIS ke log nirdosh😃😃😃😃. Yeh jihadi chasma utar do,,,मनुष्य bano</t>
  </si>
  <si>
    <t>@TanYoana @JoeWongJava1 @sandiuno Okeh ..mencret ..sebutkan satu saja yg eksis 😂😂😂</t>
  </si>
  <si>
    <t>@JoeWongJava1 @TofaTofa_id @kangdede78 Buktinya ya neg firza.....disuruh bugil sama bibib....malu ktauan.....kabur.....dan belagak didzolimi Ahok mah Lelaki,dipanggil kagak mangkir, ditahan kagak mewek, sampe kelar...kagak juga oerlu ibadah nutup jalan... Lo pake otak, bakal faham semuanya</t>
  </si>
  <si>
    <t>KJRI Johor Bahru pada Rabu (11/3) telah menyelesaikan kasus dan melakukan pendampingan pemulangan 1 (satu) WNI/PMI sakit stroke a.n. Purwanto (43 thn) asal Ponorogo, Jawa Timur.</t>
  </si>
  <si>
    <t>Tim observasi juga menyiapkan insenerator untuk pemusnahan limbah medis di Pulau Sebaru untuk para WNI. #PulauSebaru</t>
  </si>
  <si>
    <t>15 WNI di Luar Negeri Positif Corona, 7 Dinyatakan Sembuh  #Corona #coronavirus #WaspadaVirusCorona #WaspadaCegahCorona</t>
  </si>
  <si>
    <t>Akun2 ISIS, FPI, HTI dll lagi bikin hoax bhw omnibuslaw tdk mendukung buruh pro pengusaha dan mau bikin kacau negara, mau memprovokasi buruh utk melawan pengusaha dll, Hati2 waspadalah2... @nahdlatululama @GPAnsor_Satu @Banser_CyberNU @DivHumas_Polri @Puspen_TNI #DukungOmnibusLaw</t>
  </si>
  <si>
    <t>Heran 80% wni adalah buruh tapi yg teriak buruh2 pabrik only. Nyadar ga sih, kalau ruu omnibuslaw akan dipraktekkan o seluruh perusahaan? #TolakKerasOmnibusLaw</t>
  </si>
  <si>
    <t>RT @gamayana2: Testimoni WNI yg tinggal di UK :) Mereka gak banyak ngeluh kok</t>
  </si>
  <si>
    <t>KONGRES 2 1) Sumpah Pemuda (kami putra dan putri indo ngaku : tumpah1, bangsa1, bahasa1 2) makna : hargain perjuangan, jd smangat belajar, cinta indo, bangga WNI dan bahasa, mau jaga tetep utuh</t>
  </si>
  <si>
    <t>@mazzini_gsp @voidotid Nekad banget si ya, klo bisa WNi jangan balik dulu aja klo gitu. Iya salah Pemerintah pusat juga alat deteksinya ga manjur. Ups lupa kenapa bisa lolos terbang daru negara x ya hem..... Apa iya sama sama kek Indonesia ga mampu deteksi hehe?.</t>
  </si>
  <si>
    <t>9 WNI terkonfimrasi positif Covid-19 berada di Jepang, dan satu diantaranya dinyatakan sembuh. Lainnya, sebanyak 4 orang berada di Singapura dan hanya satu WNI dinyatakan sembuh #positif_covid_19 #wni_jepang #wni_singapura</t>
  </si>
  <si>
    <t>@ISIS_Balik_NO @82Arfun @TofaTofa_id @kangdede78 Begundal mewek dan dibui</t>
  </si>
  <si>
    <t>Cie2 sah WNI nyaaaaaa🤣🤣🤣🤣🤣 RT @vividopee: Finally dpt ktp dong 🤡</t>
  </si>
  <si>
    <t>trs ada berita lagi, ada yg meninggal dan itu meninggal di indonesia tp kan bukan wni juga</t>
  </si>
  <si>
    <t>RT @Dadiyata07: @DonKlericuzio When is Coronavirus entering Sambisa Forest precisely Bokoharam Bandits Alqaeda ISWAP ISIS members camp Let it just wipe the bastards</t>
  </si>
  <si>
    <t>Pahal semua post tealive ni😭</t>
  </si>
  <si>
    <t>@Innayaputri72 @awaliyu1 Umat islam yg hilaf pendukung kafir radikal pendukung cina komunis pendukung israel yahudi teroris isis semoga taubat nashuha nasional amin amin ya robbal alamin</t>
  </si>
  <si>
    <t>Makin kesini pemerintah semakin aneh menanggapi corona virus. Selain lambat nya penanganan dan juga selalu mencari alasan tentang korban meninggal yg di akibatkan corona, dengan harapan wni tidak panik dengan corona. #sementarangenesek</t>
  </si>
  <si>
    <t>@abdn_raa yg bercadar mah istri combatan isis</t>
  </si>
  <si>
    <t>@edcfess2 @itsnis__ disc kitiwi isis kiliyin</t>
  </si>
  <si>
    <t>Yg bilang hoax antek ISIS 👇😂😂 Panas ye lihat kenyataan,mandi dulu biar adem😄😄 RT @Fly88930995: Hoax</t>
  </si>
  <si>
    <t>Wo de anlian shi ruci ke ai 😍😭</t>
  </si>
  <si>
    <t>Kepala Badan Nasional Penanggulangan Terorisme Suhardi Alius mengaku verifikasi data warga negara Indonesia (WNI) yang diduga terlibat ISIS banyak menemui kebuntuan. Ia beralasan, hingga saat ini BNPT kesulitan untuk mencapai ke kamp pengungsian di Syria.</t>
  </si>
  <si>
    <t>RT @triwul82: Singapura Hukum WNI Yang Sumbang Dana Ke ISIS, Indonesia Kapan?</t>
  </si>
  <si>
    <t>Sakitnya hati aku baca minda nantang puak puak ISIS ni. Mereka fikir apa yang mereka percaya adalah betul. Tanpa mereka sedar bahawa asal nenek moyang mereka sebenarnya berdoa memohon keberkatan kepada meteor yang disangkakan batu bermukjizat yang jatuh dari syurga(aswab stone). RT @_joni_joni_joni: Laki dia ni belajar tinggi pangkat besar banyak duit. Korang bayangkan geng geng taksub yang tak berapa cerdik camne plak...</t>
  </si>
  <si>
    <t>*Info kampus diperbolehkan WNI kembali keChina buat lanjut pelajaran* Masyarakat Indo: "Giliran China udah pulih &amp; Indo makin parah virus koronanya main tinggal2 aja ya, sama2 saudara senegara tuh harusnya susah seneng bareng" Reality: azabnya karna netizen2 julid ini</t>
  </si>
  <si>
    <t>@ISIS_Balik_NO @TofaTofa_id @kangdede78 Ini manusia laknat siapa ya namanya? 😡😡😡😡😡</t>
  </si>
  <si>
    <t>*Mahasiswa Indo yg kuliah dichina mau pulang Indo* Masyarakat Indo: "jangan pulang nanti bawa korona" "Azab masyarakat china karna menindas ughyur, dampaknya 1 negara kena semua termasuk WNI disana" Reality: 'Dikabarkan 27 orang diIndonesia positif korona'</t>
  </si>
  <si>
    <t>RT @fazlinazhran: Weiiii tengok la kucing aku niii 🤦🏻‍♀️🤦🏻‍♀️🤦🏻‍♀️ baru tinggal sekejap sebab nak basuh pinggan tiba2 dah ada atas kipas. Penat ja beli cat tree, depa naik cat tree tu sebab nak panjat atas kipas ja 😭😭🤟🏻🤟🏻</t>
  </si>
  <si>
    <t>2. Covid-19 virus memang lagi banyak menyerang berbagai negara, tak terkecuali Indonesia. Indonesia sendiri telah menemukan 27 pasien postif corona, baik WNI ataupun WNA. Cek selengkapnya di sini  #waspadacegahcorona #coronavirus</t>
  </si>
  <si>
    <t>@kurniawanyoyok @Ordinar38827379 @BorneoWolf @ISIS_Balik_NO @TofaTofa_id @kangdede78 Wkwkwk...esmosi yo??santuyy DRUN...ojo esmosi...WKWKWK</t>
  </si>
  <si>
    <t>Baik jika pengelolaan Aset Negara oleh Asing tetap mengacu kpd skema aset tambang di Papua yaitu 51% dikuasai BUMN/Swasta Nasional &amp; 49% dikuasai Asing. Khusus utk HGU Pariwisata di pulau2 tak berpenghuni bisa 100% Asing namun 90% Naker hrs WNI utk serap pengangguran setempat.</t>
  </si>
  <si>
    <t>Darurat corona ternyata Israel lebih nekat dibanding Saudi, turis (termasuk WNI) diusir mendadak dari hotel2 dan segera tinggalkan israel.. Padahal turis masuk israel lewat yordania, diusir keluar lewat mesir, karena yordania sudah menutup perbatasan..</t>
  </si>
  <si>
    <t>RT @dirgarambe: Jumlah kasus #COVID19 di Indonesia bertambah menjadi 6 kasus. Hari ini, pemerintah mengumumkan 2 kasus baru: - Kasus nomor 5: terkait "Jakarta Cluster" (atau kasus no 1 s.d. no 4) - Kasus nomor 6: WNI yg bertugas sbg ABK kapal Diamond Princess</t>
  </si>
  <si>
    <t>@vonnycornellya_ Mustahil untuk saat ini. Belanda bagian dari Schengen, kalopun Belanda mau tetap saja kecil kemungkinan negara-negara Schengen lainnya mau kasih bebas visa untuk WNI. Tapi Belanda juga ga segampang itu sih ngasih bebas visa sebagai hadiah.</t>
  </si>
  <si>
    <t>@WartawanPensiun Haru dan bangga jangan ada minoritas dan mayoritas semua WNI adalah NKRI stop minoritas atau mayoritas untuk kita semua</t>
  </si>
  <si>
    <t>RT @akhyar_22: @ezash Media kadang pengen dikatain. Yg meninggal kan karena umur dan penyakit komplikasi lain yg kebetulan kena corona jg (dan apalagi ini WNA, bukan WNI) Tapi yg di "headline" malah kasusnya :)</t>
  </si>
  <si>
    <t>RT @sudjiwotedjo: Usulku, militan eks ISIS asal Indonesia harus diterima kepulangannya, tapi diadili. Kalau kita langsung menolak saudara2 kita itu, ok.. tapi usir juga para koruptor dari negeri ini. Koruptor bahkan lebih sadis drpd teroris. Teroris membunuh seketika. Koruptor membunuh pelan2.</t>
  </si>
  <si>
    <t>@DKIJakarta hi apakah bisa diinfokan nrgara2 mana wni dilarang berpergian kesana terkait issue covid19</t>
  </si>
  <si>
    <t>RT @haziqnj: Nak pilih course ape ni anjir</t>
  </si>
  <si>
    <t>RT @Epulepsi: Perempuan kalau tak macam ni, boleh tak? 😂</t>
  </si>
  <si>
    <t>@BPJSKesehatanRI bisa tolong diinfokan negara2 mana yg wni dilarang pergi kesana tetkait issie covid19?</t>
  </si>
  <si>
    <t>Kepada seluruh WNI/agen perjalanan/operator wisata diharap untuk tetap tenang dan terus berkoordinasi dengan pihak operator wisata setempat mengenai update situasi di perbatasan. Apabila memerlukan bantuan silahkan menghubungi hotline KBRI Amman +962 779150407 #negaramelindungi</t>
  </si>
  <si>
    <t>Sehubungan dengan hal tersebut, kami menghimbau kepada seluruh WNI/agen perjalanan/operator wisata yang saat ini masih berada di wilayah Israel/Palestina untuk SEGERA menghentikan kegiatan dan keluar melalui pintu-pintu perbatasan yang masih terbuka.</t>
  </si>
  <si>
    <t>Pada 11 Maret 2020 telah tercatat sebanyak 27 pasien positif Coronavirus di Indonesia. 23 diantaranya adalah WNI sedangkan 4 orang sisanya adalah WNA. #RoyalHospitalNews</t>
  </si>
  <si>
    <t>@INCFANCLUB007 @PankajT10302896 @ManishTewari Pehli bat koi proof nahi hoga tere pas dusra ek minute ko man bhi lu to tu 400 bar chaku se godega ya hath pair kat kar ag me dalega mandir jalayega isis k atanjwadi bulayega bol kya krega 😡😡😡indian ideology kya yahi h ki Hindu sehte rahe or koi reaction na de😡</t>
  </si>
  <si>
    <t>RT @KBRI_Athena: KBRI Singapura terus memantau kondisi WNI positif Covid-19 #inidiplomasi #indonesianway #negaramelindungi</t>
  </si>
  <si>
    <t>RT @KBRI_Athena: Update persebaran Covid-19 di dunia dan Perlindungan WNI per 10/3 2020 #inidiplomasi #indonesianway #negaramelindungi</t>
  </si>
  <si>
    <t>RT @badanpurwanto: Orang asing keluar masuk negeri ini bebas2 aja...WNI dinegeri sendiri diusir...#IndonesiaMajuCumaHalu</t>
  </si>
  <si>
    <t>RT @TrisulaID: "Jadi bukan karena Corona virus sebagai penyebab utama, tapi itu yang memburuk kondisinya," ujarnya. Sejauh ini, pemerintah mencatat sebanyak 27 orang dinyatakan positif terjangkit corona di Indonesia yang terdiri atas 23 WNI dan 4 WNA, termasuk pasien yang meninggal hari ini.</t>
  </si>
  <si>
    <t>Bukit Isis Nglinggo. Nama aslinya ialah Bukit Ngisis. Namun, kini, bukit ini lebih dikenal dengan nama Bukit Isis. Dalam bahasa Jawa, “isis” bermakna sejuk. Sehingga, Bukit Isis bisa diartikan sebagai bukit yang memiliki suasana sejuk.</t>
  </si>
  <si>
    <t>RT @cnbcindonesia: 57 WNI Terjebak Lagi di 'Kapal Corona' AS, Pemerintah?</t>
  </si>
  <si>
    <t>ABK WNI Word Dream Nyaman Bersama Prajurit Marinir  #samudranesia</t>
  </si>
  <si>
    <t>@Hariyanto152 @ISIS_Balik_NO @TofaTofa_id @kangdede78 Itu botol kecap? Kirain deodoran rol..😜</t>
  </si>
  <si>
    <t>@Dodo72863288 @WR_4AG226 @cintada17 Krn mrk ikut ajaran ISIS</t>
  </si>
  <si>
    <t>@SH1PERMAN aku jg baca tadi udah ada 27 pasien, pasien ke 27 itu wni ga ada riwayat bepergian ssma ga ada riwayat interaksi sama yg positif</t>
  </si>
  <si>
    <t>@ISIS_Balik_NO @TofaTofa_id @kangdede78 Lah itu gambar si @TofaTofa_id ??? Rendah banget jadi manusia Klw tangan dah diborgol kya begono sperti anak domba aja</t>
  </si>
  <si>
    <t>@detikcom @detikHealth Ini WNA yg di Indo ya..baca isinya..semoga yg WNI sembuh semua 🙏</t>
  </si>
  <si>
    <t>ISIS Wahhabis destroyed it RT @thesyrianblog: Palmyra | تدمر</t>
  </si>
  <si>
    <t>Setelah itu, tercatat pasien 27 yang merupakan laki-laki berusia 33 tahun. Pasien 27 merupakan WNI dalam kondisi stabil. Namun, pemerintah belum mendapatkan kepastian dari klaster mana Virus Corona itu berasal.</t>
  </si>
  <si>
    <t>RT @KadrunHunter99: @voidotid Komplikasi..dan WNA bukan WNI.. #WaspadaCegahCorona</t>
  </si>
  <si>
    <t>Hari ini, Rabu (11/03), Dinas Dukcapil Kota Kediri mencatat satu Perkawinan WNI. Kedua mempelai Penduduk Kota Kediri, Catur datang bersama Ayu, diterima dan dicatat perkawinannya oleh Kasi Perkawinan dan Perceraian…</t>
  </si>
  <si>
    <t>RT @PaduliZ: Waspada, sekarang ISIS dan pendukungnya menyerang pemikiran rakyat Indonesia. jaga keluarga dan teman kalian. #Pancasila #EXO_Repackage_album #WaspadaVirusCorona #WaspadaCegahCorona #jokowi #isisgotohell</t>
  </si>
  <si>
    <t>Waspada, sekarang ISIS dan pendukungnya menyerang pemikiran rakyat Indonesia. jaga keluarga dan teman kalian. #Pancasila #EXO_Repackage_album #WaspadaVirusCorona #WaspadaCegahCorona #jokowi #isisgotohell</t>
  </si>
  <si>
    <t>Menteri Kesehatan dan Anggota Parlemen Konservatif Inggris, Nadine Dorries didiagnosis positif Covid-19, bagaimana situasi terkini disana? SIMAK penjelasan dari WNI yang tinggal di London Liston Siregar.</t>
  </si>
  <si>
    <t>Emang mereka satu paket</t>
  </si>
  <si>
    <t>Iya pemirsa ternyata taggar #WaspadaCegahCorona sampai dgn detik ini masih berada diposisi teratas TTI. Seperti yg kita ketahui bersama bahwa Mantan Kepala BNPT telah mengatakan: Virus Radikal ISIS Lebih Mengerikan Dibanding Corona  #WaspadaCegahCorona</t>
  </si>
  <si>
    <t>RT @KemensosRI: #SobatSosial, seperti yang kita ketahui, hari ini Presiden @jokowi mengumumkan dua WNI positif terkena #COVID19. Pastikan informasi yang beredar betul-betul disaring. Tetap waspada dan jaga kesehatan #SobatSosial. Untuk hotline #CoronaVirus dapat terhubung di @KemenkesRI berikut.</t>
  </si>
  <si>
    <t>@BPJSKesehatanRI trm ksih untuk kalian yg telah membiaya operasi Ibu saya yg saat itu hampir 400 juta toalnya, blm lagi rawat inap selama hampir 7 bulan lamanya,smua gratis. Saya doakan BPJS smakin maju &amp; bisa memberikan kontribusi lebih baik lgi u/ WNI. 🙏🏼</t>
  </si>
  <si>
    <t>RT @kompascom: Jumlah WNI yang sembuh sudah mencapai 7 orang atau 46,6 persen dari total yang sakit.</t>
  </si>
  <si>
    <t>contoh Indonesia? amnesti pajak, awalnya dikira nggak mungkin berhasil, tapi jadi salah satu benchmark yang bagus di dunia karena amnestinya cukup sukses menemukan aset-aset WNI di luar negeri</t>
  </si>
  <si>
    <t>Jadi tim observasi WNI ABK Diamond Princess melakukan sterilisasi wilayah Pulau Sebaru yang dijadikan tempat observasi WNI ABK Diamond Princess. #PulauSebaru</t>
  </si>
  <si>
    <t>@Dennysiregar7 @aniesbaswedan Ntah knp kumerasa dki ini berasa negara dlm negara Pantang ga heppot Pantang ga heboh Pak @jokowi umumin wni yg kena, eh disusul gub dki konpress jg.</t>
  </si>
  <si>
    <t>RT @Afiq_Nazmi: Sia-sia belajar SBP/MRSM kalau bitter camni</t>
  </si>
  <si>
    <t>@elHurryKoRn Duta isis ini jangan dikasih panggung..!</t>
  </si>
  <si>
    <t>dgr itu,wna bkn wni yg meninggal..but tetap stay safe...turut berduka jga buat korban yg meninggal 🙏 RT @detikcom: #BreakingNews Pasien positif Corona (COVID-19) kasus nomor 25 meninggal dunia. Pasien tersebut merupakan WNA berusia 53 tahun. via @detikHealth</t>
  </si>
  <si>
    <t>Ratusan WNI yang sedang diobservasi di Pulau Sebaru Kecil diberikan penyuluhan mengenai virus Corona. #PulauSebaru</t>
  </si>
  <si>
    <t>@farauagogo @jokowi @mohmahfudmd @PolhukamRI @korantempo @prabowo @karniilyas @JokowiCentre Betul mas. Karena itu negara harus benar-benar hadir. Atas nama negara, aparat pemerintah/TNI wajib melindungi setiap WNI. Tidak berhak mengusir.</t>
  </si>
  <si>
    <t>Padahal...  RT @021_p354w1k2: Kehabisan Alat Pelindung Diri, Tim Medis Inisiatif Menggunakan Jas Hujan Plastik Tim medis khusus penanganan virus corona di Rumah Sakit Dokter Soekardjo Tasikmalaya menggunakan jas hujan plastik dan sepatu bot. Waduh... #TakAdaUangLebaranMelayang</t>
  </si>
  <si>
    <t>Benci banget sm headline. Padahal yg meninggal WNA, bukan WNI RT @minhyungszen: 😭</t>
  </si>
  <si>
    <t>@erwingatuso @Ordinar38827379 @BorneoWolf @ISIS_Balik_NO @TofaTofa_id @kangdede78 Sauranmu koyok cah cilik..guathel</t>
  </si>
  <si>
    <t>@kurawa Yaelah om... Itu Pasien-25 WNA yang meninggal aja udah dibuka sama @detikcom kalo itu asal Inggris... Gimana nasib WNI kalo amit2 meninggal? Masa media masih merahasiakan? Adanya media saling lempar batu sembunyi tangan. Ujung2nya cuman si korban yang dirugikan</t>
  </si>
  <si>
    <t>15 WNI Positif Covid-19 di Luar Negeri, 7 Dinyatakan Sembuh. #corona</t>
  </si>
  <si>
    <t>Kemlu: 15 WNI positif COVID-19 di luar negeri, 7 dinyatakan sembuh</t>
  </si>
  <si>
    <t>@vonnycornellya_ Bknnye pesimis sih ye..tp sptnye agak mustahil sih ya..soalnye bny wni yg over stay dan jd imigran gelap di neg lain.</t>
  </si>
  <si>
    <t>@LaOdeMunafar Tanpa pacaran..... Di ent**t tiap hari..... Bagi kadrun wanita = budak sex Tanya aja anggota ISIS bego boleh.... Asal jangan jadi kadrun 😁</t>
  </si>
  <si>
    <t>Seruan ini disampaikan Puan, menyusul kian banyaknya WNI yang terpapar virus Corona.</t>
  </si>
  <si>
    <t>#MarufAminNgapain pak bapak dipilih pak Jokowi Dodo kan buat menangkis segala hoax katanya tolonglah pak hoax Corona ini loh.. kasih tindakan tegas btw penanganan Koroma lumayan bagus cuman blokir juga China nya dan prioritas anak dalam negeri pak jangan cari muka demi anak isis.</t>
  </si>
  <si>
    <t>RT @kjrijohorbahru: Smarthome merupakan rumah tinggal yang terdiri dari 3 bangunan dengan kapasitas 1.036 orang yang dihuni oleh WNI/PMI dan mahasiswa. Saat ini, WNI/PMI yang tinggal di Smarthome sebanyak 260 laki-laki dan 206 perempuan. #IniDiplomasi #NegaraMelindungi</t>
  </si>
  <si>
    <t>RT @kjrijohorbahru: Kunjungan dilanjutkan dgn peninjauan lapangan sejumlah fasilitas umum &amp; pndukung lainnya. Konjen RI mengharapkan pihak manajemen Smarthome dpt trs berkomunikasi &amp;amp; berkoordinasi dgn KJRI trkait upaya pelindungan terhadap WNI/PMI &amp;amp; pencegahan terjadinya berbagai kasus ringan/berat.</t>
  </si>
  <si>
    <t>@tubbirfess Itu wna yg meninggal bukan wni</t>
  </si>
  <si>
    <t>Pengadilan Vietnam Vonis Mati WNI karena Selundupkan 6,7 Kg Sabu</t>
  </si>
  <si>
    <t>@imvikasvicky007 @ANI Woh Kya hei Mei batatabhu. Yaha terevjaise chaddis bohat Kam hai. Isiliye compensate karnekeliye isis branch khula hai. Isis=Rss</t>
  </si>
  <si>
    <t>@detikcom Oh pantes WNA. Klo WNI kan udh dikerok sama minum tolak angin.</t>
  </si>
  <si>
    <t>RT @TuanHansenRegar: formula e itu #dibatalkanbukanditunda @aniesbaswedan koplak... formula e itu ga ada pebalap WNI, buat apa koplaaak? #dibatalkanbukanditunda #dibatalkanbukanditunda #dibatalkanbukanditunda</t>
  </si>
  <si>
    <t>Ratusan WNI awak kapal pesiar World Dream dan Diamond Princess yang menjalani observasi terkait virus korona di Pulau Sebaru, mendapat penyuluhan dari Tim Kesehatan Komando Tugas Gabungan Terpadu (Kogasgabpad). #PulauSebaru</t>
  </si>
  <si>
    <t>Kisah Eks Perempuan ISIS: Pergi ke Suriah Sama dengan ke Neraka</t>
  </si>
  <si>
    <t>@a_fearless_hero @JM_Scindia @_garrywalia @shanu_sab @priyankagandhi Isis ke uksaane par apne hi mulq ke IB officer ko maarne waalon ko hum gaddar kehtey hain.</t>
  </si>
  <si>
    <t>Haiiis pajak pajak pajak ... 🤒 Jare ben dikiro WNI taat pajak kon laporan kekayaan opo sek mbok laporke. 🤢 Randedit pak hessjand ramaasoook.</t>
  </si>
  <si>
    <t>@Ordinar38827379 @BorneoWolf @ISIS_Balik_NO @TofaTofa_id @kangdede78 Lah elu kemarin waktu dia masuk ke penjara kenapa ga datang kesana liat langsung??kq malah minta foto...</t>
  </si>
  <si>
    <t>akhirnya aku ganti topik. wkwkwk bye ISIS</t>
  </si>
  <si>
    <t>RT @le_petitlulu31: @asumsico Mungkin ke depannya WNI bisa bebas visa masuk Belanda atau pengurusan/persyaratannya jauh lebih mudah lagi.</t>
  </si>
  <si>
    <t>Mahfud: 6.000 WNI di Luar Negeri Menjadi Terduga Teroris</t>
  </si>
  <si>
    <t>RT @narkosun: Mereka pergi ke Suriah berharap mendapat kemuliaan. Hidup enak, mendapat segala fasilitas. Apalagi ada jaminan masuk surga krn menjalankan syariat agama. Di saat pergi, ISIS msh berjaya. Negeri sendiri dicampakkan. Skrg? Mewek pengen pulang. 🙄🙄🙄</t>
  </si>
  <si>
    <t>@ISIS_Balik_NO @Kiy_Daus @detikcom Kagak aneh.... Komentar BACHIN bin TOGOG</t>
  </si>
  <si>
    <t>formula e itu #dibatalkanbukanditunda @aniesbaswedan koplak... formula e itu ga ada pebalap WNI, buat apa koplaaak? #dibatalkanbukanditunda #dibatalkanbukanditunda #dibatalkanbukanditunda</t>
  </si>
  <si>
    <t>@Antoksd7 @TofaTofa_id Kalau nggak dilapor polisi bisa" kadrunista SADIS" kek isis kelakuanya</t>
  </si>
  <si>
    <t>Ini catatan kecil isi curhat mas Febri kepada pak Gub @ganjarpranowo , 300 hari terjebak di Suriah. Sekedar berbagi. 😎</t>
  </si>
  <si>
    <t>Oppa mau jd wni aja</t>
  </si>
  <si>
    <t>RT @OpiniRakyat2: @do_ra_dong  2 WNI Terinfeksi Virus Corona di Depok -   Dua warga yang terinfeksi virus corona tinggal di daerah Depok  Hati-hati, Virus Corona Sudah Masuk di Depok -</t>
  </si>
  <si>
    <t>(Video) Yusril: Ahok Lahir Sebagai WN Cina, Bukan WNI, Mustahil Jadi Presiden</t>
  </si>
  <si>
    <t>RT @RadioElshinta: KBRI di Roma mengimbau seluruh WNI mengikuti aturan pemerintah setempat untuk menekan penyebaran virus Covid-19, bagaimana situasi di sana? SIMAK! Mahasiswa di Milan Italia, Jeana Fillin.</t>
  </si>
  <si>
    <t>Tentang ISIS : 300 Hari Terjebak Di Suriah, Ini Curahan Hati Febri Ke Gubernur Ganjar</t>
  </si>
  <si>
    <t>@AgungSet83 @AnakKolong___ Saat Kaum KAFIR KHILAFAH-ISIS bertingkah, cara brfikirnya pendek+tumpul. Slalu &amp; slalu jual agama islam. Anda knp ga ke suriah, ga ke iran, ga ke irak sja?.... Dsna bnyak yg hrs anda bela. Indonesia tempatnya 6 agama yg saling toleransi, bukan 1 agama ISLAM KAFIR yg anda anut.</t>
  </si>
  <si>
    <t>Bersiap Hadapi ISIS, Erdogan Minta Bantuan NATO</t>
  </si>
  <si>
    <t>korona kena 1 dan kebetulan WNA. sementara DBD udah 100 lebih yang meninggal dalam beberapa bulan terakhir dan itu WNI loh pak :( RT @kompascom: Salah satu pasien positif Corona Covid-19 meninggal dunia. Pasien tersebut adalah pasien kasus 25.</t>
  </si>
  <si>
    <t>Giliran chatting Rekayasa dan FITNAH...SAMPAI Ter USIR WNI...ber Tahun Tahun.</t>
  </si>
  <si>
    <t>RT @nakaaaa28: Baru je semalam kena label have something in common with ISIS sbb depa mati2 sokong LGBT boleh coexist dngn Islam😂</t>
  </si>
  <si>
    <t>RT @kjridubai: Halo WNI yang budiman, ketahuilah bahwa virus &amp; kuman penyakit bisa menyebar dimana aja. Ingat, sehat dimulai dari diri sendiri #Repost from @kemenkes_ri with @regram.app #IniDiplomasi #IndonesianWay #negaramelindungi #WaspadaCOVID19 #tenangdanwaspada</t>
  </si>
  <si>
    <t>@gramedia #BacaDuluYuk #SatuBabPerhari Update 11/3/20 Bab 42 Nicholas &amp; Penerelle menemukan Lindworm di Alcatraz; Perenelle bertemu kembali dgn Morrigan. Bab 43 Billy the Kid sukses mengalahkan Sphinx. Bab 44 Isis, Osiris, Sophie, Josh tiba di pertemuan Dewan Tetua Danu Talis.</t>
  </si>
  <si>
    <t>Klo gni sih,ntar makin bnyak wni yg gak mau bekerja di perusahaan lokal. sad bat dah😣 #BoikotAice</t>
  </si>
  <si>
    <t>RT @news_outsiders:  Pada operasi evakuasi tersebut, awak KRI dr. Soeharso yang turut ambil bagian dalam pelaksanaan tugas sebanyak 95 orang, didukung 59 orang petugas Satgas Evakuasi. #covid-19 #188_WNI #kru_dreamworld</t>
  </si>
  <si>
    <t>@cjwerleman Yes Osama bin laden, Baghdadi, al qaeda , Hamas, Muslim Brotherhood, Boko Haram, ISIS all belongs to RSS.</t>
  </si>
  <si>
    <t>RT @news_outsiders:  Kedutaan Besar Republik Indonesia (KBRI) di Singapura, menyampailkan himbauan kepada seluruh WNI yang berada di negara tersebut,... #covid_19 #singapura</t>
  </si>
  <si>
    <t>Orang asing keluar masuk negeri ini bebas2 aja...WNI dinegeri sendiri diusir...#IndonesiaMajuCumaHalu RT @CintaNKRI08: Ustadz @bachtiarnasir mengunjungi Daerah u ceramah , kok kalian Panik , siapa yg sdh mencuci otak kalian ?? Jow @jokowi kenapa jadi Ngerii sperti ini ya , knp tdk ada ketenangan dlmBeragama , Salah apa Ustadz ? Aneh Rezim !! #JKWTumbangRakyatSenang</t>
  </si>
  <si>
    <t>RT @news_outsiders:  ...wilayah yang mendapat perlakuan lock down tersebut adalah seluruh wilayah Lombardia, wilayah... #Italia #KBRI _Roma #covid_19 #lock_down</t>
  </si>
  <si>
    <t>RT @news_outsiders:  Total WNI positif Covid-19 di negara Singa tersebut berjumlah tiga orang, yaitu kasus ke-21, Kasus ke-133 dan kasus ke 147. Diketahui Kasus ke-21 sudah dinyatakan sembuh dan dipulangkan dari rumah sakit 18 Februari 2020 lalu. #covid_19 #wni #singapura</t>
  </si>
  <si>
    <t>RT @jawapos: Siap Pulang, 2 Pasien WNI dari 27 Kasus Virus Korona Dinyatakan Sembuh</t>
  </si>
  <si>
    <t>@ISIS_Balik_NO @TofaTofa_id @kangdede78 Wkwkw tampang penyakitan masih banyak bacot...ah mungkin di terpaksa , demi mnyambung hidup @TofaTofa_id iya ???</t>
  </si>
  <si>
    <t>RT @BruceEmond: First person in Indonesia - seorang WNA, bukan WNI - meninggal akibat #COVID19</t>
  </si>
  <si>
    <t>2 WNI Positif Covid-19, Begini Cara Mencegah Penularan Virus Corona</t>
  </si>
  <si>
    <t>Musti DiGugat msh banyak WNI yg Worted drpd Rangkap Jabatan dan tdk Berkeadilan Sosial Bagi Seluruh Rakyat Indonesia Mohon di pertimbangkan kembali jika benar adanya ? Tak Ubahnya Dugaan KKN terjadi pemborosan keuangan negara @KemenBUMN @erickthohir 🙏@jokowi RT @FirzaHusain: Manusia kurang bersyukur 😊😊😊</t>
  </si>
  <si>
    <t>@voidotid Komplikasi..dan WNA bukan WNI.. #WaspadaCegahCorona</t>
  </si>
  <si>
    <t>- Miris!! 57 WNI Terjebak Corona Di Kapal ABK Grand Princess</t>
  </si>
  <si>
    <t>Halo WNI yang budiman, ketahuilah bahwa virus &amp; kuman penyakit bisa menyebar dimana aja. Ingat, sehat dimulai dari diri sendiri #Repost from @kemenkes_ri with @regram.app #IniDiplomasi #IndonesianWay #negaramelindungi #WaspadaCOVID19 #tenangdanwaspada</t>
  </si>
  <si>
    <t>First person in Indonesia - seorang WNA, bukan WNI - meninggal akibat #COVID19 RT @CoconutsJakarta: BREAKING: A 53-year-old female foreign citizen is the first patient to die from #COVID19 in Indonesia.</t>
  </si>
  <si>
    <t>@nurrahmanalvin @VIVAcoid @MHakeem36 jangan sampai tutup mata &amp; denial, bukankan sikap &amp;amp; pendirian pancasilais sebaiknya diterapkan oleh wni ke seluruh warga dunia,ini sudah melanggar kemanusiaan yg adil dan beradab. Ini sumbernya, dia rela pertaruhkan nyawa demi info ini</t>
  </si>
  <si>
    <t>Baru je semalam kena label have something in common with ISIS sbb depa mati2 sokong LGBT boleh coexist dngn Islam😂 RT @0j0093: So basically Muslims are wrong in both ends. If they're rude and didn't follow the teachings of Islam people question why they didn't follow it. But when they did, they're an extremist, considered as ISIS and so forth.</t>
  </si>
  <si>
    <t>@Hery091068 @VIVAcoid jangan sampai tutup mata &amp; denial, bukankan sikap &amp;amp; pendirian pancasilais sebaiknya diterapkan oleh wni ke seluruh warga dunia,ini sudah melanggar kemanusiaan yg adil dan beradab. Ini sumbernya, dia rela pertaruhkan nyawa demi info ini  @Junaidi57994370</t>
  </si>
  <si>
    <t>RT @PartaiSocmed: Dari pada memikirkan kembalinya eks teroris ISIS, lebih baik @jokowi memikirkan warga Syiah Sampang dan Ahmadyah Lombok yg masih hidup dalam pengungsian hingga detik ini. Mereka adalah warga negara yg setia pada negara tapi diperlakukan semena2 karena keyakinannya</t>
  </si>
  <si>
    <t>@CaptainPeBe @VIVAcoid jangan sampai tutup mata &amp; denial, bukankan sikap &amp;amp; pendirian pancasilais sebaiknya diterapkan oleh wni ke seluruh warga dunia,ini sudah melanggar kemanusiaan yg adil dan beradab. Ini sumbernya, dia rela pertaruhkan nyawa demi info ini</t>
  </si>
  <si>
    <t>@dewylast @VIVAcoid @srihartati292 jangan sampai tutup mata &amp; denial, bukankan sikap &amp;amp; pendirian pancasilais sebaiknya diterapkan oleh wni ke seluruh warga dunia,ini sudah melanggar kemanusiaan yg adil dan beradab. Ini sumbernya, dia rela pertaruhkan nyawa demi info ini</t>
  </si>
  <si>
    <t>@ISIS_Balik_NO @TofaTofa_id @kangdede78 Ah enggak juga</t>
  </si>
  <si>
    <t>7 WNI di Luar Negeri Sembuh dari Virus Corona</t>
  </si>
  <si>
    <t>@yulitriatmojo @anakingusan1003 @VIVAcoid jangan sampai tutup mata &amp; denial, bukankan sikap &amp;amp; pendirian pancasilais sebaiknya diterapkan oleh wni ke seluruh warga dunia,ini sudah melanggar kemanusiaan yg adil dan beradab. Ini sumbernya, dia rela pertaruhkan nyawa demi info ini</t>
  </si>
  <si>
    <t>Siap Pulang, 2 Pasien WNI dari 27 Kasus Virus Korona Dinyatakan Sembuh</t>
  </si>
  <si>
    <t>@mnicorafdy mereka (WNA/WNI) yg tertular virus dr luar negeri. Berdiri sendiri, bukan merupakan klaster manapun.</t>
  </si>
  <si>
    <t>@TengkuAdhitya @VIVAcoid jangan sampai tutup mata &amp; denial, bukankan sikap &amp;amp; pendirian pancasilais sebaiknya diterapkan oleh wni ke seluruh warga dunia,ini sudah melanggar kemanusiaan yg adil dan beradab. Ini sumbernya, dia rela pertaruhkan nyawa demi info ini</t>
  </si>
  <si>
    <t>@lifeforbrian gatauuu org kantorku blg wni</t>
  </si>
  <si>
    <t>@PantunJ2P @DivHumas_Polri @CCICPolri Lapor doank nih pak @DivHumas_Polri @CCICPolri Di tindaklanjuti smpe ke akar"nya donk pak? Sdh merajalela smuanya.. Masa brndera HTI jg ISIS msh bisa brkibaran ditanah air ini sprti di Yogyakarta,bandung, apalg di ibukota Jakarta ini.. Cuma ditontonin doank , kok ga ditindak ?</t>
  </si>
  <si>
    <t>@PariyoPariyo3 @BagindoY @alexander_murfi Dihitung lho itu sejak aturan wajib semua wni pake bpjs berlaku, nanti begitu kalian mendaftar tunggakannya bisa jutaan plus denda 😅</t>
  </si>
  <si>
    <t>@NafisaPatel18 @PTI_News jese isis ki h ,al qaeda ki h ..syria ,palestine ,gaza strip pakistan ki h ... henna didi?</t>
  </si>
  <si>
    <t>Ingat mereka dgn sadar diri meninggalkan NKRI utk membela kelompoknya, mereka dgn congkaknya menanggalkan baju WNI , eeech skr mereka kalah kok mengiba kepada NKRI ... RT @Hanifah933: Watch : Curhatan WNI yg mencari Keluargany di Syria (karena terbujuk Janji Manis ISIS) ke Pak @ganjarpranowo ... Ingat gaesss ... Virus Radikal itu lebih berbahaya dari Virus lainny, termasuk #VirusCorona yg sdg mewabah saat ini ! #WaspadaCegahCorona</t>
  </si>
  <si>
    <t>Yuk tetap waspada n jgn takut dgn virus Corona. Hrs lbh takut dgn virus hoax. N adu domba dari sales khilafah, isis, fpei n hatei #WaspadaCegahCorona #WaspadaCegahCorona RT @abudiraharjo: Jaga kesehatan selalu dan cari info yg bisa dipercaya yaitu pemerintah. #WaspadaCegahCorona #WaspadaCegahCorona</t>
  </si>
  <si>
    <t>@smstan_tuwir @tasbum_SH_0620 laki lu macem wni lama” bum gw liat</t>
  </si>
  <si>
    <t>RT @lukmansaifuddin: Bersama Pak Murdaya Poo, Pak Suhadi, dan umat Parisadha Buddha Dharma NSI mengkaji UU Kewarganegaraan dan UU Penghapusan Diskriminasi Ras dan Etnis. Tak dikenal lagi sebutan warga keturunan/peranakan. Bangsa Indonesia asli adalah orang Indonesia yg menjadi WNI sejak kelahirannya.</t>
  </si>
  <si>
    <t>@BorneoWolf @erwingatuso @ISIS_Balik_NO @TofaTofa_id @kangdede78 Ya udah klo si jamban gentle.. satu aja ,poto dia lagi diborgol.. ada ga?</t>
  </si>
  <si>
    <t>Lowongan perawat lansia ke jepang Persyaratan Khusus Program Caregiver ke Jepang sebagai berikut : 1. WNI, Sehat jasmani dan rohani. 2. Wanita 3. Minimal Lulusan D3 Keperawatan, D3 kebidanan dari STIKES atau…</t>
  </si>
  <si>
    <t>@Detektif_Ngibul @KreasiRaja @narkosun @P3nj3l4j4h_id @wahhabicc_jabar @RizmaWidiono @amrudinnejad_ @jr_kw19 Brengsek dia @KreasiRaja pro ISIS dan Khilafah!! Tangkap ajalah!!</t>
  </si>
  <si>
    <t>Emang jahat para ISIS. RT @Hanifah933: Watch : Curhatan WNI yg mencari Keluargany di Syria (karena terbujuk Janji Manis ISIS) ke Pak @ganjarpranowo ... Ingat gaesss ... Virus Radikal itu lebih berbahaya dari Virus lainny, termasuk #VirusCorona yg sdg mewabah saat ini ! #WaspadaCegahCorona</t>
  </si>
  <si>
    <t>#AgenBolaS78Bet Permainan Slot Game Isis dari Microgaming  #beritabola</t>
  </si>
  <si>
    <t>Watch : Curhatan WNI yg mencari Keluargany di Syria (karena terbujuk Janji Manis ISIS) ke Pak @ganjarpranowo ... Ingat gaesss ... Virus Radikal itu lebih berbahaya dari Virus lainny, termasuk #VirusCorona yg sdg mewabah saat ini ! #WaspadaCegahCorona</t>
  </si>
  <si>
    <t>@LeBrekele @N111ken @wijaya_karenina @4smara1701 @fahiraidris @D4tuk_T4mburin @haikal_hassan jangan asal tuduh mana fotonya sipit juga bnyk yg miskin dia juga WNI</t>
  </si>
  <si>
    <t>@lupawaktulw Polisi internet, tolong ini diproses anggota isis!</t>
  </si>
  <si>
    <t>@bdgfess baru dibahas pas matkul, 600 wni eks isis mau balik lagi ke indo tapi ditolak sama jokowi</t>
  </si>
  <si>
    <t>@erwingatuso @Ordinar38827379 @ISIS_Balik_NO @TofaTofa_id @kangdede78 Gentle itu ngga sembunyi di bawah ketiak bininya. Dan tidak menumbalkan istri untuk menjadi jaminan. Itu pengecut tolol namanya, bukan gentle.</t>
  </si>
  <si>
    <t>@Hanifah933 @ganjarpranowo Mbak dia bkn mantan simpatisan ISIS tp dia kesuriah nyari keluarganya yg ketipu janji2 manis</t>
  </si>
  <si>
    <t>Ratusan WNI yang Diobservasi di Pulau Sebaru Diberi Penyuluhan soal Virus Korona. #PulauSebaru</t>
  </si>
  <si>
    <t>@AgungSet83 @AnakKolong___ Bacotan kau itu mnandakan islam kau itu adalah ISLAM KAFIR yg SESAT yg di LAKNAT Allah. MURAH skali kau jual terus agama islam yg kau anut itu Wahai pengusung KHILAFAH-ISIS. Anda tdk suka tinggal dgn berbagai agama di NKRI?.... Knp Anda tdk ke suriah sja?...</t>
  </si>
  <si>
    <t>RT @ibnuhan1ff_: Oleh karenanya, Khilafah menjaga janji kepada kaum Nasrani dibawah pemerintahannya dengan akad Dzimmah sebagai komitmen untuk tunduk dibawah hukum Islam. Suatu hal yang tdk dikabarkan media massa yang memberitakan Khilafah hanya kenal bunuh membunuh.</t>
  </si>
  <si>
    <t>RT @AksiLangsung: Jadi pemerintah rela mengeluarkan uang sebesar 72 miliar untuk influencer dibandingkan 1 miliar untuk alat tes virus corona? Pemerintah @jokowi bener-bener keterlaluan. Terlalu lucu anda!! #ReformasiDikorupsi</t>
  </si>
  <si>
    <t>RT @trendingtopiq: Kok belum tentu salah? Memangnya ada yang salah? Ya kalau privilese berasal dari aneksasi/bapakmu korupsi/eksploitasi terhadap orang lain/jualan senjata ke ISIS/malak warteg, dan kamu senang-senang saja menikmati itu, kamu cocok diseret ke gilotin. 👍</t>
  </si>
  <si>
    <t>sbg wni ya tersinggung tapi kenyataannya benerrr RT @TirtoID: Australia memperingatkan warganya bahwa Indonesia tak memiliki kapasitas yang memadai untuk menguji penyakit coronavirus COVID-19 atau mengisolasi pasien.</t>
  </si>
  <si>
    <t>WNI yang terjebak di Grand Princes karena Corona Sedang Tahap Pemulangan #coronavirusupdate #Corona #Coronavirus</t>
  </si>
  <si>
    <t>Cerita WNI di Jerman Jadi Korban Rasis Dituduh Penyebar COVID-19</t>
  </si>
  <si>
    <t>Tim observasi WNI ABK Diamond Princess melakukan sterilisasi wilayah Pulau Sebaru yang dijadikan tempat observasi WNI ABK Diamond Princess. #PulauSebaru</t>
  </si>
  <si>
    <t>3 WNI di Kapal Diamond Princess Positif Corona, Total WNI yang Terinfeks...  via @YouTube</t>
  </si>
  <si>
    <t>@ISIS_Balik_NO @detikcom Owh PKI ngaku juga akhirnya 👏👏👏</t>
  </si>
  <si>
    <t>Pasien Melonjak Drastis, Ini Rincian Jumlah WNI Positif Covid-19 di Dalam dan Luar Negeri</t>
  </si>
  <si>
    <t>RT @cnbcindonesia: 15 WNI di Luar Negeri Positif Corona, 7 Orang Sembuh</t>
  </si>
  <si>
    <t>Jumlah WNI yang sembuh sudah mencapai 7 orang atau 46,6 persen dari total yang sakit.</t>
  </si>
  <si>
    <t>Italia Diisolasi karena Corona, WNI Diminta Tingkatkan Kewaspadaa</t>
  </si>
  <si>
    <t>RT @Lucky_HS: Mantan simpatisan isis bercerita dgn mas Gub @ganjarpranowo tentang bagaimana dia ke Suriah mencari keluarganya.</t>
  </si>
  <si>
    <t>@haikal_hassan Proses arabisasi,20 th yad puncak dipenuhi wni bermuka Arab.</t>
  </si>
  <si>
    <t>Terdaoat 57 anak buah kapal berstatus WNI di Kapal Grand Princess.</t>
  </si>
  <si>
    <t>RT @agitcandra56: @mbahCokro77 @ganjarpranowo Sudah banyak buktinya bahwa isis itu berbahaya bagi negara dan bangsa, tapi anehnya masih banyak orang yg jadi simpatisan... Tuman...!</t>
  </si>
  <si>
    <t>RT @MrsRachelIn: @mbahCokro77 @ganjarpranowo Masih mau dikibulin sama ISIS dg dalih Berjuang membangun negara dg sistem kilafah ?? Klo orang cerdas pasti jawabnya No!</t>
  </si>
  <si>
    <t>Atase Polri KBRI Manila, Kombes Pol Agus Setiyoko, S.I.K. melaksanakan Courtesy Call dengan GM Sekolah Pilot All Asian Aviation dalam rangka pembinaan jaringan dengan 30 pelajar WNI yang sedang melaksanakan diklat di sekolah tersebut. #Kemlu_ri #polripromoter</t>
  </si>
  <si>
    <t>WNI Positif Corona Terus Bertambah, Anies Resmi Tunda Formula E di Jakarta</t>
  </si>
  <si>
    <t>RT @TrisWahyudi7: @DonAdam68 Perlu di cek juga nih asal usul pak Pres, jgn2 belio bukan wni asli. Knp urusan yg ginian sense of nationality nya gak mengalir di DNA nya.</t>
  </si>
  <si>
    <t>RT @HermanChow73: @AnakKolong___ @ganjarpranowo Gitupun masih ada manusia2 yg muji2 ISIS dan mau ikutan. Paripurna KEBODOHAN nya.</t>
  </si>
  <si>
    <t>@fernissa @jokowi Iy ini cek sdri, kan bs disubsidi bpjs sebagian itu pun klo pemerintah berkenan...soalnya qt kan msh awam ttg virus Covid-19 ini, saru sm flu batuk biasa. Kan ud ad tuh WNI yg positif kena tp ga ad riwayat bepergian ke luar negri &amp; kontak dg WNA yg positif jg.</t>
  </si>
  <si>
    <t>@brownsugarr____ Saya, sebagai warga WNI tersinggung.. Karena saya hanya manusia biasa penuh dosa</t>
  </si>
  <si>
    <t>WNI yg pernah gabung ISIS menyesal.</t>
  </si>
  <si>
    <t>@pradelicia KĶKKKĶKKK SOCORRO.</t>
  </si>
  <si>
    <t>@wantahgdn @ISIS_Balik_NO @KatolikG @Takviri @DivHumas_Polri @CCICPolri Penampilan Agamais Sifat sprti IBLIS</t>
  </si>
  <si>
    <t>Observasi 188 WNI di Pulau Sebaru, Ini Daftar Rumah Sakit Rujukan "Suspect" Corona -  -</t>
  </si>
  <si>
    <t>Sebanyak empat orang WNI yang telah dikonfirmasi positif mengidap virus corona di Singapura. Dari beberapa kasus pasien sudah merasakan gejala di Indonesia.</t>
  </si>
  <si>
    <t>@Bestari99389359 @ganjarpranowo Perlu diawasi ketat.. takut sdh terdoktrin paham ISIS.</t>
  </si>
  <si>
    <t>@ISIS_Balik_NO @permadiaktivis @jokowi @basuki_btp @TofaTofa_id KAN PENGANGGURAN</t>
  </si>
  <si>
    <t>Bareskrim Tangkap WNI Pelaku Penyelundupan 120 WN Sri Lanka ke Prancis di Kepri &gt;&amp;gt;&amp;gt;</t>
  </si>
  <si>
    <t>@RanaAyyub @HartoshSinghBal Aap kabhi PFI ( popular front of India) pe American newspapers me articles q nahi likhte hai waha se to isis ke atankwadi nikal rahee hai Oo haa aap to hindus ko target karne lagi hai wo bohot soft target hai na iss liye</t>
  </si>
  <si>
    <t>Juru bicara Kementerian Luar Negeri, Teuku Faizasyah menyatakan belum ada opsi untuk memulangkan warga negara Indonesia (WNI) yang berada di Italia.</t>
  </si>
  <si>
    <t>Kondisi 57 WNI ABK Grand Princess Terus Dipantau KJRI San Francisco</t>
  </si>
  <si>
    <t>RT @TabloidBintang: Revalina S Temat heran dengan respons berlebihan masyarakat saat pemerintah mengumumkan virus Corona sudah mulai menjangkiti WNI.</t>
  </si>
  <si>
    <t>Kedutaan Besar Republik Indonesia di Roma meminta warga negara Indonesia (WNI) di Italia untuk tetap tenang dan waspada di tengah isolasi akibat penyebaran virus corona. #VirusCorona</t>
  </si>
  <si>
    <t>@ISIS_Balik_NO @permadiaktivis @jokowi @basuki_btp @TofaTofa_id Yaa salah si binik juga mas... Ngapain juga msh doyan ama lakik mulut kadrun begitu... 😆😂😆😂</t>
  </si>
  <si>
    <t>RT @Adam61498180: @pesonalami @AnakKolong___ @panjianom102 ISIS =khilafah?? Yg menindas bangsanya sendiri, membuat puluhan juta mengungsi ke EROPA Yg bukan negara islam tp rela menggelandang mencari kedamaian.</t>
  </si>
  <si>
    <t>@coffeeandme_ @Ma__ma__mia @MalvaSelena Itu nraktir apa mo ikut isis?</t>
  </si>
  <si>
    <t>Buat safe house aja utk WNI sblm boleh masuk lg ke Indo dr luar negeri. Bisa 14 hari. Untuk WNA disetop dulu yang masuk. RT @kumparan: Imigrasi diminta memeriksa secara ketat riwayat perjalanan seseorang yang baru saja tiba dari luar negeri. #kumparanNews.</t>
  </si>
  <si>
    <t>KJRI Sydney Fasilitasi Layanan Kekonsuleran dan Keimigrasian WNI di Queensland</t>
  </si>
  <si>
    <t>@aceverr Dahlah bang siwon jdi WNI aja😂</t>
  </si>
  <si>
    <t>@closetowhy WNI bisa ga</t>
  </si>
  <si>
    <t>@yesjaeminie Abis ini dia naturalisasi. Jd wni</t>
  </si>
  <si>
    <t>itu cocok hukuman gantung atau rajam. lebih parah dari ISIS</t>
  </si>
  <si>
    <t>@ISIS_Balik_NO @TofaTofa_id @kangdede78 Gentle donggg.. ga kaya sijamban . Ga jelas ditahan dimana, pdhl jelas pesakitan</t>
  </si>
  <si>
    <t>@mbahCokro77 @ganjarpranowo Sudah banyak buktinya bahwa isis itu berbahaya bagi negara dan bangsa, tapi anehnya masih banyak orang yg jadi simpatisan... Tuman...!</t>
  </si>
  <si>
    <t>@haikal_hassan @fakhrisatu 👍👍👍 Ente sudah menemukan Jalan Kebenaran ! Surga deh pahala buat lo !</t>
  </si>
  <si>
    <t>@mochamadarip Dri dulu Knp gak di tangkap pendukung bantuan isis ini</t>
  </si>
  <si>
    <t>Adanya transmisi lokal Covid19 berarti bahwa potensi penularan tanpa riwayat perjalanan ke luar negeri sudah cukup tinggi. Tetap saja perlu terapkan 3 langkah : 1. Batasi WNA terutama dari daerah endemis. 2. Batasi WNI ke LN. 3. Terapkan PHBS plus alam terbuka &amp; nutrisi adekuat.</t>
  </si>
  <si>
    <t>@haikal_hassan Alhamdulillah.....anda sudah mendapat HIDAYAH... Sudah HIJRAH bang ?</t>
  </si>
  <si>
    <t>RT @elleanor12: @ratu_adil Sama juga 5 orang WNI yg dirawat di Singapore itu juga terjangkit dari Indonesia belum terdeteksi dari cluster mana?</t>
  </si>
  <si>
    <t>@pisacy @detikcom Akan terbayar lunas. Karena akan 3.5 abad sendiri utk nyungkemin seluruh wni.</t>
  </si>
  <si>
    <t>@TolakBigotRI @yusuf_dumdum @narkosun @WahabisLokal @RiuUtomoRizki @kawananraja Bukti Tuhan Maha Adil.....tak perlu menunggu Akhirat untuk melihat Hasil KELAKUAN BEJAT</t>
  </si>
  <si>
    <t>Pak @aniesbaswedan resmi menunda Formula E di Jakarta Mungkin Dibatalkan atau tidak ?? 🤔</t>
  </si>
  <si>
    <t>Walaupun WNI sebanyak 27 orang positif terjangkit virus corona, entah kenapa ngerasa biasa aja dan engga panik sampe belanja ini itu berlebihan</t>
  </si>
  <si>
    <t>@ISIS_Balik_NO @permadiaktivis @jokowi @basuki_btp @TofaTofa_id Y,,,, gx ksian sma bini nya.... Pdhal aermta dia ☝️ yg bsa ngluarn @TofaTofa_id ~ dri jeruji pnjara..... *lki kurang ajar namanya</t>
  </si>
  <si>
    <t>@03__nakula Dengan begitu, tak ada ruang lagi bagi ISIS atau yang lainnya untuk mengobok-obok Indonesia.</t>
  </si>
  <si>
    <t>KLB DBD Di Maumere.. 1200 Kasus dan 14 Meninggal.. Pak @mohmahfudmd Dan Pak @jokowi Lebih memilih anak kombatan ISIS dr pada Anak indonesia..</t>
  </si>
  <si>
    <t>Shower thoughts: kalau WNI yang kena corona kebanyakan adalah mereka yang baru pulang dari luar negeri dan kebanyakan yang punya akses keluar masuk adalah kelas menengah ke atas, bisa jadi nanti terjadi perang antar kelas.</t>
  </si>
  <si>
    <t>@permadiaktivis @jokowi @basuki_btp @TofaTofa_id Sekarang mulai akting...PLAYING VICTIM RT @TofaTofa_id: Biarin aja 😀</t>
  </si>
  <si>
    <t>Kementerian Luar Negeri merilis data terbaru terkait jumlah WNI yang berada di luar negeri yang positif terinfeksi virus corona. #covid19</t>
  </si>
  <si>
    <t>@Zahrah40291660 @TofaTofa_id Yoloh</t>
  </si>
  <si>
    <t>@cnixjuang @ISIS_Balik_NO @tempodotco @jr_kw19 @BiLLRaY2019 @FaGtng @WR_4AG226 @chillinaris @eko_kuntadhi @YohanesPatty2 @triwul82 @SRufamin @IfanSepta @Nantaariii @RadenAjen9 @Paltiwest @mamans7880 Tempe bongkrek rasa kadrun</t>
  </si>
  <si>
    <t>@detikcom diskriminasi thd sesama wni sendiri aja banyak dan ga diresponi, ga aneh lah klo akan melebar ke wna</t>
  </si>
  <si>
    <t>@ISIS_Balik_NO @TofaTofa_id @kangdede78 Dasar koplok emang...</t>
  </si>
  <si>
    <t>@TofaTofa_id Loh....kok malah Lo akting diDzolimi..... Kelakuan lo suka Plating Victim....kadal !</t>
  </si>
  <si>
    <t>@aan9920 @MrsRachelIn @ISIS_Balik_NO Kadit itreng, ojok asal ngomong</t>
  </si>
  <si>
    <t>@aan9920 @MrsRachelIn @ISIS_Balik_NO Koen arek endi? Nglama ebdi omahmu</t>
  </si>
  <si>
    <t>@permadiaktivis @jokowi @basuki_btp @TofaTofa_id Makan tuh Tofa...gegara kelakuan lo....semua orang hina bini lo Makanya kalo lo ngerasa jadi Manusia....kelakuan jangan jadi ANJING</t>
  </si>
  <si>
    <t>RT @permadiaktivis: Gak tau kenapa, pembenci pak @jokowi &amp; pak Ahok @basuki_btp sering biadab 😑 si @TofaTofa_id hina puput istri pak ahok "pembantu" Tanpa bermaksud bodi shaming &amp;amp; hina profesi pembantu.. kita poling aja mana yg mukanya lebih mirip pembantu? Kiri Puput = Like Kanan istri Tofa = RT</t>
  </si>
  <si>
    <t>@NAURA_INDRIANI @kangdede78 Betul...sebenarnya gak tega....tapi si @TofaTofa_id yg kepingin semua orang hina BINInya</t>
  </si>
  <si>
    <t>@frizkialfiann Tenang tenang gua WNI</t>
  </si>
  <si>
    <t>RT @BroAntony206: @narkosun Kinerja Kepolisian kayak tidak punya Standard ato malah di bawah Standard Internasional, kalah sama negara kecil Singapura ? WNI yg nyumbang terorist DIHUKUM. Kalo di sini malah DILEPAS BEBAS. Knp ? cc:@DivHumas_Polri , @BareskrimPolri ,@makLambeTurah</t>
  </si>
  <si>
    <t>RT @riyadh_ambary: Secara probabilitas sangat mungkin. Beberapa WNI sampai sengaja pergi ke Singapura hanya untuk dites covid-19 dan ternyata hasilnya positif. Tetap jaga kesehatan dan rajin cuci tangan. Jika batuk/flu, harap beristirahat di rumah. Jika terpaksa keluar rumah, harap pakai masker.</t>
  </si>
  <si>
    <t>@Kiy_Daus @ISIS_Balik_NO @detikcom Harun masikun mah aman 😂😂</t>
  </si>
  <si>
    <t>Perdana Menteri Italia Giuseppe Conte pada Senin (9/3/2020) menyampaikan pengumuman bahwa seluruh wilayah negara itu diisolasi untuk mencegah penyebaran virus korona.</t>
  </si>
  <si>
    <t>RT @cnixjuang: Sudah saatnya @tempodotco rehat...!!! Kalau boleh menganalisa, ini bukan hanya sekedar Caper semata, tapi ini punyak arti yang sangat bejat... MATA SIPIT, WARNA MERAH....!!! Mari kita artikan....!?? Sudah saatnya @tempodotco di rehatkan. @jr_kw19 @BiLLRaY2019 @FaGtng @WR_4AG226</t>
  </si>
  <si>
    <t>@ISIS_Balik_NO @Kiy_Daus @detikcom Halo jiwasraya.. halo asabri.. halo kereta cepat jkt bdg.. 😂</t>
  </si>
  <si>
    <t>@achmadsfauzi Halo WNI Tampan</t>
  </si>
  <si>
    <t>@tommyhamdani @Kiy_Daus @ISIS_Balik_NO @detikcom Anjir ngakak gw wkwkwkwk</t>
  </si>
  <si>
    <t>Mantan simpatisan isis bercerita dgn mas Gub @ganjarpranowo tentang bagaimana dia ke Suriah mencari keluarganya.</t>
  </si>
  <si>
    <t>WNI di Luar Negeri Terkonfirmasi Positif Covid-19 Sebanyak 15 Orang, 7 Orang Sembuh</t>
  </si>
  <si>
    <t>@Kiy_Daus @ISIS_Balik_NO @detikcom Iya nih.</t>
  </si>
  <si>
    <t>RT @Widiatis279: @Je_Ly @ganjarpranowo Iyaaa testimoni spt ini mending lbh banyak diekspose biar byk masyarakat yg terbuka matanya kalo ISIS &amp; paham khilafahnya itu mengerikan &amp;amp; pengikut pahamnya di Indonesia tidak mendapatkan tempat. Mau NKRI dibuat macam Suriah dgn perang saudaranya yg nggak selesai-selesai ?? 🙈😰</t>
  </si>
  <si>
    <t>RT @geloraco: Menanti Kabar WNI di Italia yang 'Dikunci' Gegara Corona</t>
  </si>
  <si>
    <t>@cjwerleman ISIS to gareeb bachho ko PlayStation provide krwati hogi bsdk. Ajeeb dhoomchutda insaan h bc</t>
  </si>
  <si>
    <t>@ganjarpranowo Semoga kawan kawanku tidak terjebak rayuan SURGA ISIS ... Jangan percaya adanya surga di Suriah Jangan percaya kalo disana akan damai tentram Jangan percaya disanalah kalian akan bisa mati syahid Pokoknya tetaplah menjadi muslim yg damai, toleransi terhadap sesama</t>
  </si>
  <si>
    <t>@haikal_hassan Yg paling bisa memberi tahu dan cocok dengan bahasanya tentu arab yg WNI terus aelama ini pada kemana haikal</t>
  </si>
  <si>
    <t>@Je_Ly @ganjarpranowo Iyaaa testimoni spt ini mending lbh banyak diekspose biar byk masyarakat yg terbuka matanya kalo ISIS &amp; paham khilafahnya itu mengerikan &amp;amp; pengikut pahamnya di Indonesia tidak mendapatkan tempat. Mau NKRI dibuat macam Suriah dgn perang saudaranya yg nggak selesai-selesai ?? 🙈😰</t>
  </si>
  <si>
    <t>@AdnanDasuki99 @kbenaranHakiki @enricofernandos @CNNIndonesia @ISIS_Balik_NO Yg membela orba tentu yg dpt untung banyak di masa itu</t>
  </si>
  <si>
    <t>@tianna_isis Orang watc</t>
  </si>
  <si>
    <t>@EN538474N6 @hokialways40 @mr_adityason @hnurwahid Isis ngerasa paling Islami? Wkwk</t>
  </si>
  <si>
    <t>@Kinanti37194470 Taktik Khilafah Menggalang dana TEROR</t>
  </si>
  <si>
    <t>@Kiy_Daus @detikcom Kagak aneh....komentar KADRUN</t>
  </si>
  <si>
    <t>RT @_aiek_esthreem_: Rezim minta rakyat bayar pajak. Tp cukong/taipan/konglomerat bebas pajak selama 30 thn. Utk RAKYAT INDONESIA: Iuran BPJS naik 100%. Subsidi Gas, listrik dll dicabut. Aneh, INVESTASI &amp; TKA China bebas pajak serta bebas bekerja, WNI dipersulit utk bekerja Ga ada nasionalisme! 🔁</t>
  </si>
  <si>
    <t>@detikcom @DARGOMBES7373 Mengkonsumsi vit C dosis tinggi, sukses untuk menghindari Flu...daya tahan tubuh meningkat...mudah2an corona setakut virus flu untuk bisa menyerang tubuh saya</t>
  </si>
  <si>
    <t>@__danu_ @detikcom Demen kali membanding2kan sesuatu mas...</t>
  </si>
  <si>
    <t>@AdnanDasuki99 @kbenaranHakiki @enricofernandos @CNNIndonesia Kroni akan selalu ada...selama Harta Rampokan mereka masih ada dan masyarakat masih kritis.... Rampokan 32 tahun...bisa membuat mereka ongkang kaki 10 turunan...kalo diganggu....bisa kelaparan mereka, mknya mereka bikin Fitnah pd pemerintah skr</t>
  </si>
  <si>
    <t>Kasus Covid-19 ke-152 di Singapura Seorang WNI, Terkonfirmasi Jadi 4 Orang</t>
  </si>
  <si>
    <t>RT @Aryprasetyo85: "Saya catat semua pengalaman saya itu dalam buku ini, agar saya bisa sharing pengalaman dan mengedukasi kepada masyarakat, bahwa propaganda ISIS itu semuanya tidak benar," tegasnya. Febri melihat bahwa Ganjar selama ini sangat konsen terhadap upaya deradikalisasi.</t>
  </si>
  <si>
    <t>bang @siwonchoi ,,,, kapan buat KTP WNI, bang segeralah, mumpung gratis lho bang... 😊 RT @MyKoreanDramaID: #Siwon di rumah Raffi disambut pake red carpet 😄 Jadi intinya Siwon tuh ke Jakarta buat mudik kek nya ya, blm ada bocoran kegiatan resminya 😂</t>
  </si>
  <si>
    <t>RT @RadioElshinta: Berikut update Perkembangan COVID-19 di Dunia dan Pelindungan WNI per 11/03 pukul 08.00 WIB. via @Kemlu_RI #ElshintaEdisiPagi</t>
  </si>
  <si>
    <t>@waltonkate @KemenkesRI Yes betul, maksudku begitu. Yang WNI abis dari luar negri pun tak dijelaskan abis dari mana 🤦</t>
  </si>
  <si>
    <t>RT @TirtoID: Kasus virus corona di Singapura: dua orang WNI merasakan gejala Covid-19 ketika masih berada di Indonesia sebelum dinyatakan positif.</t>
  </si>
  <si>
    <t>RT @GisellaCik: Menlu Konfirmasi Satu WNI Positif Corona di Australia</t>
  </si>
  <si>
    <t>Italia Mengisolasi Diri Baggimana Naib Para WNI?</t>
  </si>
  <si>
    <t>#SahabatKemlu, berikut update Perkembangan COVID-19 di Dunia dan Pelindungan WNI per 11/03 pukul 08.00 WIB.</t>
  </si>
  <si>
    <t>@WagimanDeep__ Kayak lagu MARS ISIS wkakakak</t>
  </si>
  <si>
    <t>RT @GisellaCik: Total Tiga WNI Jadi Pasien Positif Virus Corona di Singapura</t>
  </si>
  <si>
    <t>Ini alasannya:Kata YIM, Si Ahok itu aslinya WN Tiongkok dari seorang ayah warga negara Tiongkok. Ahok dpt naturalisasi jd wni. Mustahil bisa jadi Presiden.  RT @MCAOps: Korlabi: "Jika Jokowi ngotot mengangkat Ahok sebagai Kepala Otoritas IKN, maka mantan walikota Solo tersebut tidak menghormati jargonnya sendiri, yakni revolusi mental."</t>
  </si>
  <si>
    <t>Melawan lupa ! Bachtiar Nasir Jadi Tersangka, Berawal dari Aliran Uang ke Suriah yang Diduga Terkait ISIS</t>
  </si>
  <si>
    <t>Assalamualaikum bapak @jokowi yang saya hormati, saya ingin menyampaikan keluh kesah saya sebagai WNI. Bulan Februari kemarin, saya ulang tahun yang ke 17. Sebagai warga negara yang baik saya membuat KTP. Sebelum membuat KTP, ibu saya mengajukan pembuatan KK terlebih dahulu</t>
  </si>
  <si>
    <t>@hokialways40 @mr_adityason @hnurwahid Isis itu apa sih mas? Boleh tau?</t>
  </si>
  <si>
    <t>RT @kopi_hitam_08: Prinsipnya : klo mau mengatakan Corona belum/tidak masuk ke Indonesia, alatnya hrs sdh ada lalu sdh melakukan pengecekan terhadap seluruh WNI Klo mau mengatakan Corona sdh masuk, cukup dengan menyiapkan alat uji sekaligus menemukan korban. Tanpa hal diatas keduanya nge-hoax</t>
  </si>
  <si>
    <t>Ini alasannya:Kata YIM, Si Ahok itu aslinya WN Tiongkok dari seorang ayah warga negara Tiongkok. Ahok dpt naturalisasi jd wni. Mustahil bisa jadi Presiden.  RT @Muhamma28339249: Rezim ini diatur para cukong...karna mereka telah berjasa mendanai pilpres 2014 dan 2019... #BailOutAkalAkalanRezim #BailOutAkalAkalanRezim</t>
  </si>
  <si>
    <t>@kbenaranHakiki @enricofernandos @CNNIndonesia @ISIS_Balik_NO Hebatnya koq ada yg bela kebusukan orde baru ya</t>
  </si>
  <si>
    <t>@Si_Bee Ini alasannya:Kata YIM, Si Ahok itu aslinya WN Tiongkok dari seorang ayah warga negara Tiongkok. Ahok dpt naturalisasi jd wni. Mustahil bisa jadi Presiden.</t>
  </si>
  <si>
    <t>#Repost @kemenkominfo --- Hai, #Sobatkom! Sudah dengar kabar mengenai 27 WNI yang positif terkena virus corona? Tetap tenang, jangan panik. Selalu cari informasi dari sumber resmi agar tidak termakan hoaks, ya.</t>
  </si>
  <si>
    <t>@KomnasPerempuan @kpp_pa Gatau lagi mau ngomong apa, kecewa aja sm kinerja yg kek gini. Saya sebagai WNI itu ngerasa malu</t>
  </si>
  <si>
    <t>Telkomsel Hadirkan Layanan Komunikasi di Pulau Sebaru -  - : Telkomsel Hadirkan Layanan Komunikasi di Pulau Sebaru -</t>
  </si>
  <si>
    <t>@fadhramadh kok wni siihh salah tuuh</t>
  </si>
  <si>
    <t>ini lama-lama siwon pindah wni deh ya, udah cocok bgt krn doi hobi bolak balik indo berasa pulang kampung. dan yg bkin syok doi maen ke rumah raffi ahmad dongg😭😭😭 dan akrab bgt kyk sodara yg berkunjung gitu</t>
  </si>
  <si>
    <t>@_Naoliviea__ @sorotnews Urusannya dgn pengembang properti, pengembang jalan raya dan toll, dan taipan pengeruk SDM Indonesia, yang mereka mayoritas orang China dan WNI keturunan China ini fakta 100% bukan ngibul</t>
  </si>
  <si>
    <t>@fouroclock_ Ntar ikatan batinnya makin kuat yak kalo makin deket sama mas agung wkwkwkwk....trs ntar mas agung naturalisasi jada wni 😂😂😂</t>
  </si>
  <si>
    <t>Tetap Waspada, WNI Positif Korona Terus Bertambah</t>
  </si>
  <si>
    <t>@kangdede78 Kok bisa ya, kalo di Singapura sj WNI yg nyumbang terorist dihukum, di sini kok malah dilepas bebas. Tanya Knp @DivHumas_Polri , @BareskrimPolri ???????? cc:@makLambeTurah</t>
  </si>
  <si>
    <t>@TeddyGusnaidi @aniesbaswedan Ini alasannya:Kata YIM, Si Ahok itu aslinya WN Tiongkok dari seorang ayah warga negara Tiongkok. Ahok dpt naturalisasi jd wni. Mustahil bisa jadi Presiden.</t>
  </si>
  <si>
    <t>@MelindaAghnia Ganteng sih tapi pro ISIS :(</t>
  </si>
  <si>
    <t>Kondisi itulah yg membuat Febri sadar bahwa apa yg dilakukannya adl salah dgn sekuat tenaga, ia berusaha kabur berhasil pulang ke 🇲🇨 Sy catat semua pengalaman itu dlm buku ini agar sy bisa sharing pengalaman mengedukasi masyarakat bahwa propaganda ISIS itu semuanya tdk benar</t>
  </si>
  <si>
    <t>Ini alasannya:Kata YIM, Si Ahok itu aslinya WN Tiongkok dari seorang ayah warga negara Tiongkok. Ahok dpt naturalisasi jd wni. Mustahil bisa jadi Presiden.  RT @umaralims: dlm catatan sipil Ahok sebenernya warga Tiongkok. Ahok lahir 1966 dan mendpt naturalisasi menjadi WNI thn 1986. by Yusril Ihza Mahendra. Menurut sy, Ahok sangaja dibesarkan dan patut diduga bagian dari konpirasi kepentingan komunis Cina utk Menguasai politik dan ekonomi RI.</t>
  </si>
  <si>
    <t>@WartawanPensiun Mereka luarbiasa WNI keturunan tionghoa dn banyak jg WNI pribumi dr suku" indonesia yg sudah pula mengharumkan nama bangsa...ditunggu WNI keturunan benua arab untuk berprestasi mengharumkan indonesia jg,ini bukan rasis,tp tantangan berprestasi untuk negara bukn malah provokatif</t>
  </si>
  <si>
    <t>Komentarnya Gak bermutu. Apapun yg terjadi WNI Tetap Beragama yg sdh ada Undang2nya. Sy ISLAM tp gak simpatik dng Tengku😭😭😭 RT @ustadtengkuzul: Sementara Menkopolhukam sudah berani menyebutkan "Sistem Pemerintahan Rasulullah HARAM dan TIDAK BOLEH Dipakai"... Semuanya bermuara kepada MENGHILANGKAN AGAMA, Khususnya Islam. Pak @jokowi ,saya mau bertanya TEGAS TEGAS. Apakah Rezim Bapak memang mau membuang Agama dari NKRI?</t>
  </si>
  <si>
    <t>@CNNIndonesia Makanya beliau disukai dan disokong oleh pemilik modal /investor (asing atau wni)..</t>
  </si>
  <si>
    <t>RT @tempodotco: AJI (Aliansi Jurnalis Independen) Jakarta meminta perusahaan media memperhatikan jurnalisnya yang bertugas meliput isu penyebaran virus corona menyusul 2 WNI terkena corona. #CoronaVirusIndonesia</t>
  </si>
  <si>
    <t>@Osmarv_28 Yi ni istis piri isis tritis 😔😔😔</t>
  </si>
  <si>
    <t>Apa yang dilihat Febri di Suriah ternyata jauh dari propaganda yang ditawarkan ISIS. Saat propaganda berlangsung, ISIS memberikan janji bahwa semua yang mau hijrah ke daerah itu akan mendapat fasilitas termasuk gaji, tunjangan dan lainnya. "</t>
  </si>
  <si>
    <t>Keputusan Febri utk brgkt ke Suriah krn ingin menyusul keluarganya. Sbl ia berangkat, keluarga besarnya sdh lbh dl terpengaruh propaganda ISIS berangkat ke Suriah. Selama 5 bln sy mencari keluarga di sana. Saat ketemu, beberapa saudara sy yg sdh meninggal dipaksa berperang</t>
  </si>
  <si>
    <t>Datang jauh-jauh dari Jakarta, Febri hanya ingin memberikan buku yang tidak lain berisi kisah perjalanannya ketika menjadi anggota ISIS di Suriah, 2016 silam. Kepada @ganjarpranowo, Febri menerangkan bahwa ia berangkat ke Suriah untuk menyusul keluarga besarnya.</t>
  </si>
  <si>
    <t>Bantu Deradikalisasi, Eks Anggota ISIS Beri @ganjarpranowo Buku 300 Hari Di Suriah Buku berjudul 300 Hari di Bumi Syam; Perjalanan Seorang Mantan Pengikut ISIS selalu dipegang Febri Ramdani saat tiba di kediaman Gubernur Jawa Tengah, Ganjar Pranowo, Senin (9/3/2020).</t>
  </si>
  <si>
    <t>Ini alasannya:Kata YIM, Si Ahok itu aslinya WN Tiongkok dari seorang ayah warga negara Tiongkok. Ahok dpt naturalisasi jd wni. Mustahil bisa jadi Presiden.  RT @SahabatRG: Enak banget jadi ahok, setelah ditunjuk komut pertamina akan diangkat lagi CEO ibu kota baru. Sementara itu penerima kartu pra kerja yang belum jelaspun harus di seleksi. Giliran susahnya ama rakyat. Sadiss!!</t>
  </si>
  <si>
    <t>KBRI Roma Pastikan 3.067 WNI Aman #Kesehatan</t>
  </si>
  <si>
    <t>RT @Crystal95836602: @B4ngToyyib Ini alasannya:Kata YIM, Si Ahok itu aslinya WN Tiongkok dari seorang ayah warga negara Tiongkok. Ahok dpt naturalisasi jd wni. Mustahil bisa jadi Presiden.</t>
  </si>
  <si>
    <t>WASPADA...!! GERAKAN RADIKALISME &amp; ISIS TERHADAP KEUTUHAN NKRI #saveNKRI</t>
  </si>
  <si>
    <t>“Nomor kode 27, laki-laki, berusia 33 tahun, seorang WNI. Kondisi stabil. Kami menduga ini local transmision yang sedang kami tracking dari mana sumbernya karena bukan impor dan tidak jelas bagian dari klaster yang lain. Sementara belum jelas,". Kok serem y 😫</t>
  </si>
  <si>
    <t>RT @bakpao_geprek: @TataRalikka @jesicatedja ya memangnya kenapa mbak? dia kan wni ya boleh2 aja harusnya lagian dia ada keinginan untuk membawa nama indonesia membanggakan indonesia kenapa tidak mau blasteran atau nggak klo mau mengharumkan nama negara masa ga boleh hehe</t>
  </si>
  <si>
    <t>RT @translatorbali: UPDATE* HIMBAUAN PERJALANAN 10 MARET 2020 UNTUK SEMUA WNI DIMANAPUN YANG HENDAK BERKUNJUNG KE PALESTINA, ISRAEL ( KHUSUSNYA MEREKA YANG BERENCANA UNTUK WISATA RELIGI ) @PastorGilbertL @philipmantofa @kbriamman</t>
  </si>
  <si>
    <t>UPDATE* HIMBAUAN PERJALANAN 10 MARET 2020 UNTUK SEMUA WNI DIMANAPUN YANG HENDAK BERKUNJUNG KE PALESTINA, ISRAEL ( KHUSUSNYA MEREKA YANG BERENCANA UNTUK WISATA RELIGI ) @PastorGilbertL @philipmantofa @kbriamman</t>
  </si>
  <si>
    <t>@HanafiIsaa @K17055570 @Zaryna84 @FaridAbuTalib @syahredzan Hmmm, pernah teringat Boskurr galakkan org UMNO ambik iktibar drpd ISIS...itu bukan pertahankan pengganas ke?</t>
  </si>
  <si>
    <t>@FadhlyaCK Udah laaah jadi WNI ajaaaa oppa hahahahhaha</t>
  </si>
  <si>
    <t>RT @kbriamman: Update Himbuan Perjalanan bagi WNI yang akan melakukan perjalanan ke wilayah Palestina/Israel, per tanggal 10 Maret 2020.  #NegaraMelindungi</t>
  </si>
  <si>
    <t>memakai sendal biar isis</t>
  </si>
  <si>
    <t>RT @translatorbali: MENERUSANKAN PESAN DARI @kbriamman, JORDANIA. UNTUK SEMUA WNI DIMANAPUN YANG HENDAK BERKUNJUNG KE PALESTINA, ISRAEL ( KHUSUSNYA MEREKA YANG BERENCANA UNTUK WISATA RELIGI ) @PastorGilbertL @philipmantofa</t>
  </si>
  <si>
    <t>MENERUSANKAN PESAN DARI @kbriamman, JORDANIA. UNTUK SEMUA WNI DIMANAPUN YANG HENDAK BERKUNJUNG KE PALESTINA, ISRAEL ( KHUSUSNYA MEREKA YANG BERENCANA UNTUK WISATA RELIGI ) @PastorGilbertL @philipmantofa</t>
  </si>
  <si>
    <t>Meskipun ada gencatan senjata di Idlib, kejahatan perang terus berlanjut. Ada bendera ISIS di lengan teroris jihadis. Mereka menyiksa orang yang ditawan. mendukung kalkun teroris. #suriah #turki #isis RT @SyrianKurdPress: Although there is a ceasefire in Idlib, war crimes continue. There is an ISIS flag on the arm of the jihadist terrorist. They torture a captive person. it supports terrorists turkey. #Syria #ıdlib #saa #tsk #Russian #War</t>
  </si>
  <si>
    <t>Prt Jangankan wn jepang. Sesama wni perlakuannya jg ga bagus? crta2 warga dr perumahan kasus, Gimana dia didiskriminasi/bahkan dibully sama warga lain. Waspada sama diskriminasi beda loh. Ini bukan masalah wna dr negara terjangkit aja tp emang warga indo nya yg senengnya ngejudge</t>
  </si>
  <si>
    <t>Kerja keras dan Ikhlas Tim observasi TNI membantu WNI terdampak Covid_19 . #tni #tnipeduli #viruscorona</t>
  </si>
  <si>
    <t>Kepedulian TNI terhadap WNI terdampak Covid_19 . #tni #tnipeduli #viruscorona</t>
  </si>
  <si>
    <t>#InfoRaka Pemerintah mengumumkan tambahan 8 orang yang dinyatakan positif tertular virus corona pada Selasa (10/3/2020) sore. Dengan demikian, hingga saat ini ada 27 orang yang dinyatakan sebagai pasien positif Covid-19, 23 WNI dan 4 WNA.</t>
  </si>
  <si>
    <t>@idolfess @siwonchoi pindah jd wni ajasih anjir, bolak balik ke indonesia udh kaya hobi bgt bang :(((</t>
  </si>
  <si>
    <t>@mediaindonesia Bpjs kan wajib bagi seluruh WNI. Kenyataannya partisipasi WNI sangat rendah. Pemerintah yg malas memaksa WNI membayar iuran. Akibatnya defisit. Pemerintah yg malas lalu menaikan iuran bpjs. Lagi2 dibebani pada WNI yg selama ini patuh membayar iuran. Pemerintah yg pemalas.</t>
  </si>
  <si>
    <t>@edcfess2 GNP = GDP + (WNI di Luar Negeri - WNA di dalam negeri)</t>
  </si>
  <si>
    <t>kenapa sih anak kecil, kalo abis mandi belom juga di tutupin handuk udah ngeloyor aja.. isis kali yaa</t>
  </si>
  <si>
    <t>@yusuf_dumdum @ganjarpranowo YG ISIS LOVER... BRNGKT KE SANA GIH UJI BACOT MA NYALI LO AMPE SANA BAKAR PASPOR LOE YE JGN PERNAH BALIK SINI</t>
  </si>
  <si>
    <t>/edc GNP = GDP-wna+wni Bener gak?</t>
  </si>
  <si>
    <t>RT @noiljn: @AREAJULID Gua ssbel banget sama nih orang dulu yang kasus koper bilang ga cari follower sekarang isis akunnya kongten semua hilih</t>
  </si>
  <si>
    <t>RT @hanifrazer: sorry sikit eh kat bumi ini ada dua gender je selebihnye mental illness</t>
  </si>
  <si>
    <t>RT @ameeruismail: tolong retweet untuk rezeki pak ngah saya🙏🙏😭 harini kita tolong orang, esok orang tolong kita balik. area sg duyong melaka sebelum roundabout.</t>
  </si>
  <si>
    <t>RT @soyadanial: Menteri perpaduan kita cikgu Ejen Ali ke?</t>
  </si>
  <si>
    <t>RT @hasepshukeri: korang tengok la apa kawan kawan aku isi masa lapang dia dengan buat apa...</t>
  </si>
  <si>
    <t>@SitompulYunus @evisuryanti10 @edward_7011971 @HarisSekipi @anindyabakrie @VIVAcoid @Aryprasetyo85 @NirmalaFirdaus_ @akumaia30 @tvOneNews @babegalak1 @ArifinNKRI__ @APLpangeran1 @CANDAdanBISNIS @Jokoumb64504158 @JohnIrwan4 @MaryanaNunung @RizkiR4madani @periani @Randall_Rain @CumiCue @ILCtv1 @erickthohir @agusparjani @ayah_9Garislucu @Aprilaza3 @Zae_Ilham @SetiaAdy_p @Radot_MS @RazH_D11 @cahyani90976469 @DivHumas_Polri @BareskrimPolri Entahlah Perempuan itu umatnya Nabi yg mana ga ngerti aku sepertinya sudah kena asupan paham ISIS</t>
  </si>
  <si>
    <t>Telkomsel Perkuat Jaringan di Pulau Sebaru Kecil untuk Bantu Observasi WNI -</t>
  </si>
  <si>
    <t>RT @dyah1955: Itu dengar apa kata pak YIM : Ahok tak bisa /mustahil jadi presiden RI Krn dia lahir th 1966 bukan sbg WNI tp sbg WN Tiongkok Dia baru jd WNI setelah naturalisasi th 1986 Ini fakta. Smg tak ada yg me-reka2 merubah UU utk meng- goal kan ambisinya . 🙏</t>
  </si>
  <si>
    <t>RT @OposisiCerdas: Bertambah Dua, Kini WNI Positif Corona Sudah Enam Orang</t>
  </si>
  <si>
    <t>RT @TheArieAir: Siapakah ketum parpol yg berani pertama kali sebut nama (usung): 1. Capres 2014 2. Cagub 2017 3. Capres 2019 4. Bahkan Capres 2024 Jawabnya: Surya Paloh dari NASDEM #TanpaTagar</t>
  </si>
  <si>
    <t>New post (KBRI Imbau WNI Tak ke Mekah-Madinah) has been published on Dakwah Online -</t>
  </si>
  <si>
    <t>@isis_artusi KWKWJWJQAKSMSNSMSSNN</t>
  </si>
  <si>
    <t>@AnakKolong___ @DemplonMak Si dengkul mah memang Iblis bergamis nyusup</t>
  </si>
  <si>
    <t>RT @AnakKolong___: L I A R S | "Hukuman terbesar yang dirasakan oleh para pembohong di dunia ini adalah bahwa bahkan kejujurannya pun ditolak" - Ali bin Abi Thalib - . . . #ManipulatorAgamaBerbahaya</t>
  </si>
  <si>
    <t>@Widyarenee Jadi KEPINGIN TAU.....bijimana si somad ngeles</t>
  </si>
  <si>
    <t>RT @TolakBigotRI: Setelah pernyataan Goblok dari Komisioner KPAI yang Go International kini ucapan Abdul Somad pun Go International. Luar Biasa Kebodohan yang Mendunia. Miris!</t>
  </si>
  <si>
    <t>WNI Terjangkit Virus Corona Bertambah, Ini Penjelasan Jubir Khusus Pemerintah</t>
  </si>
  <si>
    <t>@ISIS_Balik_NO @SalmaBrecht @TofaTofa_id @hendrickliem Susah ngaceng juga blum masuk 😂😂</t>
  </si>
  <si>
    <t>Secara probabilitas sangat mungkin. Beberapa WNI sampai sengaja pergi ke Singapura hanya untuk dites covid-19 dan ternyata hasilnya positif. Tetap jaga kesehatan dan rajin cuci tangan. Jika batuk/flu, harap beristirahat di rumah. Jika terpaksa keluar rumah, harap pakai masker. RT @NephiLaxmus: Angka 27 Ini baru dari 1 cluster 'dansa' dan kasus impor. Padahal wilayah Indonesia sangat luas dg banyak pintu masuk serta fakta bahwa mendeteksi individu terinfeksi tidak mudah.</t>
  </si>
  <si>
    <t>@EddySugama @detikcom Weewww gimana mau dihormati kl menghargai agama gak mau inget pasal 29 ayat 2. Kalo ngaku WNI yg baik taat UU ya. Kan sayang cakep2 g punya manner bicara</t>
  </si>
  <si>
    <t>@Leokembara @Paltiwest Ahli BACOT</t>
  </si>
  <si>
    <t>Mungkinkah bisnis asuransi kesehatan terganggu dgn adanya ketok palu Dari MA soal Iuran BPJS ? Amanat UU, WNI maupun WNA wajib menjadi anggota BPJS. Siap kah negara kasih sanksi utk yg ogah jadi anggota BPJS😂😂</t>
  </si>
  <si>
    <t>@82Arfun @yusuf_dumdum @ganjarpranowo Di taelang sy rasa 😂 btw..kamu nangkep videonya..yg simpatisan dan gabung isis itu kan keluarganya si febri trus febrinya nyusul nyari, kok captionnya 'mantan simpatisan' .</t>
  </si>
  <si>
    <t>@SalmaBrecht @TofaTofa_id @hendrickliem Panu kadas kurap...blom masuk Juga mulut Busuj</t>
  </si>
  <si>
    <t>RT @DiantyYasmin3: Ank buah dperiksa Polisi rmh DP Rp 0 Anies dduga brbau korupsi Aprat kepolisian mulai mngendus adnya dugaan korupsi trkait prgram rmh DP Rp 0 yg mrpkn kbijakan dr Gbrnr DKI Jkt Anies Baswedan Eng ing eng bongkr Pa Polisi sp tuntas #BongkarKorupsiDP0Rupiah</t>
  </si>
  <si>
    <t>@GalihTengil @archabandung @AremaNita__ @BdyNusantara @_nice69_ @agama_nusantara @daunsirih5 @Jelantik5 @onsrgst @rullyjoo27 @SeruniPuspaAlam @Tikayulie @su7loo Surga isinya isis dong kl gitu🤔</t>
  </si>
  <si>
    <t>@TataRalikka @jesicatedja Mungkin supaya adil, karena selagi mereka WNI mereka berhak2 aja jd wakil Indonesia. Biasanya yg mixblood jg kelemahannya paling di bahasa Indonesia (meskipun gak semua). Tapi pemenang2 Puteri Indonesia gak selalu yg mix blood sih.</t>
  </si>
  <si>
    <t>RT @sofyannew1: @Ifan32248626 @jansen_jsp si @andre_rosiade ini memang bikin sial @Gerindra kayaknya hahhaa pencitraan dan bikin masalah mulu . belum cukup umur ni orang untuk pimpin gerindra sumbar , piyee pak @prabowo ??? haahaa gerindra makin ancurrrr</t>
  </si>
  <si>
    <t>RT @AntonyRiyanto: @Ifan32248626 @wisanggeni_084 @jansen_jsp Oaalaaaaahh ..... Orang padang mau makan masakan padang aja kok ribut. Pasti pada rebutan otak .... Udaaaaa ga punya otak yaaaaa.....? (Jadi inget iklan dahhh.....🤣😂🤣🤣🤣)</t>
  </si>
  <si>
    <t>RT @Ifan32248626: @jansen_jsp Bg Jansen tolong bagikan video ini konflik Gerindra di Sumbar👇👇👇</t>
  </si>
  <si>
    <t>@_aiek_esthreem_ Presiden harus WNI sejak lahir. Bukan WNI naturalisasi.</t>
  </si>
  <si>
    <t>RT @RMOLNetwork: Indonesia Terkini : Italia Nomor Dua Tertinggi Kasus Virus Corona, KBRI Roma Pastikan 3.067 WNI Aman</t>
  </si>
  <si>
    <t>@Dani86113065 Wih anak2 ISIS uda masuk...</t>
  </si>
  <si>
    <t>@cdhzk Lucie lulu luciole isis</t>
  </si>
  <si>
    <t>Himbauan kepada WNI di Slowakia terkait Coronavirus (Covid-19)</t>
  </si>
  <si>
    <t>Loker utk WNI aja kan bu? Hehe. RT @susipudjiastuti: Informasi rekrutmen Management Trainee Susi Air &amp; Marine Group, mohon diperhatikan.</t>
  </si>
  <si>
    <t>RT @Heiser007: @kumparan Pemerintah : jemput wni di wuhan pakai baju pelindung khusus ( muncul di tv ) Polisi tv : 86 acara2 polisi soal kejahatan jalanan ,cara bicara kalem sopan Tanpa di siarkan tv : pengamen jalanan jadi korban salah tangkap polisi ,di paksa ngaku2</t>
  </si>
  <si>
    <t>RT @geloraco: Terungkap, 238 WNI dari Wuhan Tak Dites Virus Corona, Alatnya Mahal</t>
  </si>
  <si>
    <t>@sofyansiregar27 @Dennysiregar7 @aniesbaswedan Emangnya pemerintah pusat kaga begitu? Evakuasi WNI dari wuhan itu apa emngnya bagi kalian? Ini kan bencana dunia, levelnya pusat yg nanganin. Pemimpin daerah jgn sok sokan.</t>
  </si>
  <si>
    <t>ACT antek ISIS.. Pendukung HTI RT @KakekHalal: Gandeng Warga, ACT Maluku Galang Dana untuk Muslim New Delhi Nanti uang nya dikirim ke rek siapa di India ? 🤭</t>
  </si>
  <si>
    <t>Temui Ganjar, Eks ISIS Ingin Bantu Deradikalisasi  #pdiperjuangan</t>
  </si>
  <si>
    <t>RT @aan9920: @MrsRachelIn @ISIS_Balik_NO Iki bumi arema broo.. jangan samakan dengan bumi yg warganya doyan minum air seni onta</t>
  </si>
  <si>
    <t>Marinir Cek Rutin Kesehatan WNI ABK Word Dream  lewat @BERITAANDA.NET</t>
  </si>
  <si>
    <t>@fadoofred92 @adil_vania Beter Barker joins ISIS - Sabaqul Hadha</t>
  </si>
  <si>
    <t>Salurkan donasi, tiga WNI di Singapura ternyata biayai kegiatan teroris: Kepala Badan Nasional Penanggulangan Terorisme (BNPT) Suhardi Alius mengingatkan kepada WNI di Singapura untuk lebih teliti dalam memberikan donasi menyusul tiga WNI yang dinyatakan…</t>
  </si>
  <si>
    <t>Mahfud MD pastikan WNI eks ISIS tidak masuk Indonesia #tolakwnieksisis</t>
  </si>
  <si>
    <t>Keputusan pemerintah menolak kepulangan ISIS telah tepat #isis #tolakwnieksisis</t>
  </si>
  <si>
    <t>RT @majalahSM: Kondisi WNI khususnya warga Muhammadiyah di Korsel sampai saat ini masih baik2 saja dan belum ada yg tertular virus corona. Kegiatan di luar sedikit dikurangi</t>
  </si>
  <si>
    <t>RT @azkaDfahreza: @macan_muslim @ganjarpranowo Makanya sering kepoin akun pak @ganjarpranowo ...bahas isis juga br ini...inipun ada anak muda yg cerita sendiri ke pakgub kl dia tertipu kaum radikal isis...kalo lo bilang "cuma" berarti lo taunya pakgub bahas isis terus menerus..dan itu jelas salah</t>
  </si>
  <si>
    <t>RT @Subadri20917452: @ArieSondang @Cinta_Iam @andreputra4667 @ISIS_Balik_NO @WR_4AG226 Setuju.. sesungguhnya Semua harus menjadi Rahmat.</t>
  </si>
  <si>
    <t>RT @nellarose_: TT Gang babyyyyyyy 💨❄️</t>
  </si>
  <si>
    <t>Kepedulian TNI terhadap WNI terdampak Covid19😎💂 #TNIPeduli #COVID19 #VirusCorona #Kogasgabpad</t>
  </si>
  <si>
    <t>@alexander_murfi harusnya solusinya khilafah ya, biar uang dari isis bisa mensejahterakan kalian para teroris wkwkwkwk</t>
  </si>
  <si>
    <t>Dimanapun Amerika Hadir, ISIS Ada di Sana</t>
  </si>
  <si>
    <t>@DediYudhaYudha1 @HmfaqihA @TofaTofa_id @hendrickliem Berarti anda dan para teroris ISIS itu satu tubuh?</t>
  </si>
  <si>
    <t>@B4ngToyyib Ini alasannya:Kata YIM, Si Ahok itu aslinya WN Tiongkok dari seorang ayah warga negara Tiongkok. Ahok dpt naturalisasi jd wni. Mustahil bisa jadi Presiden.</t>
  </si>
  <si>
    <t>RT @Aidan63499469: @BashayerOH @Monitor34 @999saudsalman @KingSalman Wallahi Wahhabi ISIS Devils are so funny 🤣🤣🤣 Alhamdulillah I'm Sunni not Wahhabi</t>
  </si>
  <si>
    <t>Evakuasi WNI (ABK Diamond Princess) dari KRI dr. Soeharso ke Pulau Sebaru . #tni #tnipeduli #krisoeharso #viruscorona</t>
  </si>
  <si>
    <t>RT @Puspen_TNI: Kerja keras dan ikhlas tim observasi TNI membantu WNI terdampak Covid-19😎💂 #TNIPeduli #VirusCorona #COVID19</t>
  </si>
  <si>
    <t>Kerja keras dan ikhlas tim observasi TNI membantu WNI terdampak Covid-19😎💂 #TNIPeduli #VirusCorona #COVID19</t>
  </si>
  <si>
    <t>@DonKlericuzio When is Coronavirus entering Sambisa Forest precisely Bokoharam Bandits Alqaeda ISWAP ISIS members camp Let it just wipe the bastards</t>
  </si>
  <si>
    <t>Iran hancur bersama kesombongannya. Serupa dengan ISIS, Nazi dan para diktator lainnya.</t>
  </si>
  <si>
    <t>@ganjarpranowo dari cerita itu saya mencermati akar masalahnya adalah bukan agama...tetapi dikarenakan kurangnya lapangan pekerjaan dan jaminan kesehatan yang memadai di indonesia...faktor ini yg perlu diperhatikan lagi oleh pemerintah jadi jangan hanya menyoroti isis nya...</t>
  </si>
  <si>
    <t>Prahara Corona di Korea, WNI: “Mohon Doa dari Teman-teman Semua”</t>
  </si>
  <si>
    <t>Jadi Tempat Observasi 188 WNI, Kini Pulau Sebaru Dikawal Ketat oleh Polres Kepulauan Seribu - Tribunnews: Jadi Tempat Observasi 188 WNI, Kini Pulau Sebaru Dikawal Ketat oleh Polres Kepulauan Seribu Tribunnews</t>
  </si>
  <si>
    <t>@Nidhi Ye batao pehle aapka ISIS ke sath kya relation hai</t>
  </si>
  <si>
    <t>Seorang WNI dinyatakan positif terjangkit Covid-19 di Singapura</t>
  </si>
  <si>
    <t>Usir Kejenuhan Masa Observasi ala Satgas Evakuasi WNI ODP Corona di KRI dr. Soeharso</t>
  </si>
  <si>
    <t>Kemarin itu kali pertama ke mall setelah resmi diumumkan ada WNI yang terjangkit corona. Di setiap kasir yang dikunjingi selalu ada hand sanitizer, mantap.</t>
  </si>
  <si>
    <t>@Mubarak_kabier hahahaa doctor kaga wni motivation da aka ringa bashi ana nada mai rawani😂😂😂😂</t>
  </si>
  <si>
    <t>Telkomsel Hadirkan Layanan Komunikasi di Pulau Sebaru -  -</t>
  </si>
  <si>
    <t>@kkaramesh @sasasas178 @AriAramesh With or without ISIS, or Islamic jihad or boko haram or al Qaeda or Jabradelnusra, allofthem is ISLAM as it is ,period!</t>
  </si>
  <si>
    <t>@ARMilani_ @rezaaslan Islam ☪ = Terror = ISIS</t>
  </si>
  <si>
    <t>@alifazal9 Sir ISIS or Al-Qaeda Jaise Sangathan Hindustan Mein Nahi H vo Muslim country mein hai.</t>
  </si>
  <si>
    <t>Maria Isis ta mt linda gnt ' ❤</t>
  </si>
  <si>
    <t>RT @DamailahRI: Temui @ganjarpranowo , mantan anggota ISIS ingin bantu program deradikalisasi di Jateng</t>
  </si>
  <si>
    <t>RT @___Ibnu: @logic_editor Berharap jatah di BNPT ? Teroris bodat pembawa Bom yg dulunya sempat berniat ngehancurin negeri ini, sekarang lagi lebarin sayap jadi penjilat. WNI Eks ISIS yg berniat ngancurin negeri orang ditolak. Eks Teroris yg berniat ngancurin negeri sendiri jadi rujukan.</t>
  </si>
  <si>
    <t>RIP Marines. Semper Fi!</t>
  </si>
  <si>
    <t>Sifatnya hrs spt pengelolaan tambang di Papua, peran BUMN 51% atau lbh, peran Asing maksimal 49%. Kecuali utk kegiatan Pariwisata di Pulau2 tak berpenghuni bisa HGU 100% namun minimal 90% Naker hrs WNI utk serap pengangguran &amp; ungkit kesejahteraan warga sekitar.</t>
  </si>
  <si>
    <t>@roy_murtadhoIB @ariel_heryanto Layaknya propaganda, begitulah PKI , ISIS membuat propaganda, membuat pendapat2 dan berita2 disinformasi. Alias adanya berita2 yang sengaja ditutupin.</t>
  </si>
  <si>
    <t>@Sharo951 Eh har wni akam awa lagal hich da nia.. 2 yan har namawe</t>
  </si>
  <si>
    <t>@kumparan Pemerintah : jemput wni di wuhan pakai baju pelindung khusus ( muncul di tv ) Polisi tv : 86 acara2 polisi soal kejahatan jalanan ,cara bicara kalem sopan Tanpa di siarkan tv : pengamen jalanan jadi korban salah tangkap polisi ,di paksa ngaku2</t>
  </si>
  <si>
    <t>@ImranKhanPTI Abe chillar Khan pehle apne country ku sudhar isis terror funding karne wale itna tolerance ka baat maat kar....Sun India toh rehga but Pakistan nei rehga..Pok jaldi humare honge inshallah har har mahadeb.. Jai Hind</t>
  </si>
  <si>
    <t>@aya_ayaadi 9a rekhu lmochkil n trjama Wassingh wni isigin trjama imkn tugha drunk</t>
  </si>
  <si>
    <t>@LacieChainD @Msmariablack @OBawsac @moonshadow1900 @DurhamNtx @TAINA525 @painting_tlc @56blackcat @Minervasbard @specialkitty2me @ladyhawkerfinds @Verumvox @isis_whitehead @SlythSeeker @exoticgamora @EmbryoResist More ewwwwwwwwwwwwwwwweewwwwwwwwwwwwwwwwweewwwweewwwewweww</t>
  </si>
  <si>
    <t>RT @aslipribumiraya: sepasang suami istri muslim ditangkap di daerah Jamia New Delhi dituduh menghasut gerakan anti-CAA &amp; menyebarkan ideologi ISIS. pdhl hanya ajakan menuntut agar pem india mencopot uu anti-CAA hanya krn cingkrang, berjenggut &amp;amp; istrinya bercadar bahkan dipaksa utk membuka cadarnya</t>
  </si>
  <si>
    <t>@Aryprasetyo85 @alambaskoroke4 @FerdinandHaean2 @1trenggalek @SuksmaM @Abby_Budiyono97 @AlvinoLulu @ensyclo47 @Galihzainur1 @ganjarpranowo @Gus_Raharjo kasi kerja kasih lapangan kerja aku yakin paham2 ngga jls itu ilang sendiri. isis tau bener negara mana yg dijdikan boomber untuk dia, negara yg miskin negara yg warganya luntang lantung tpi agamanya getol. makann empuk untuk isis</t>
  </si>
  <si>
    <t>@paslah_satria @ISIS_Balik_NO @naqsya77 @Aryprasetyo85 @Kemendikbud_RI @TMCPoldaMetro @KomnasPerempuan @DivHumas_Polri @KPAI_official Berenangnya dalam mimpi wkwkwk</t>
  </si>
  <si>
    <t>Pemerintah sudah melakukan pemblokirran terhadap paspor-paspor yang identifikasi WNI eks Isis</t>
  </si>
  <si>
    <t>"Saya catat semua pengalaman saya itu dalam buku ini, agar saya bisa sharing pengalaman dan mengedukasi kepada masyarakat, bahwa propaganda ISIS itu semuanya tidak benar," tegasnya. Febri melihat bahwa Ganjar selama ini sangat konsen terhadap upaya deradikalisasi.</t>
  </si>
  <si>
    <t>Apa yang dilihat Febri di Suriah ternyata jauh dari propaganda yang ditawarkan ISIS. Saat propaganda berlangsung, ISIS memberikan janji bahwa semua yang mau hijrah ke daerah itu akan mendapat fasilitas termasuk gaji, tunjangan dan lainnya.</t>
  </si>
  <si>
    <t>RT @Aryprasetyo85: Keputusan Febri untuk berangkat ke Suriah karena ingin menyusul keluarganya. Sebelum ia berangkat, keluarga besarnya sudah lebih dulu terpengaruh propaganda ISIS dan berangkat ke Suriah. @Abby_Budiyono97 @Kesit_</t>
  </si>
  <si>
    <t>Keputusan Febri untuk berangkat ke Suriah karena ingin menyusul keluarganya. Sebelum ia berangkat, keluarga besarnya sudah lebih dulu terpengaruh propaganda ISIS dan berangkat ke Suriah. @Abby_Budiyono97 @Kesit_</t>
  </si>
  <si>
    <t>Datang jauh-jauh dari Jakarta, Febri hanya ingin memberikan buku yang tidak lain berisi kisah perjalanannya ketika menjadi anggota ISIS di Suriah, 2016 silam. Kepada Ganjar, Febri menerangkan bahwa ia berangkat ke Suriah untuk menyusul keluarga besarnya @My_LoveNebe @AlvinoLulu</t>
  </si>
  <si>
    <t>RT @ferizandra: Quote : Warga Negara Indonesia berusia 62 tahun yang mengunjungi Singapura dengan menggunakan Social Visit Pass tercatat sebagai kasus positif COVID-19 ke-133 di Singapura. Hal ini disampaikan oleh Kementerian Kesehatan Singapura.</t>
  </si>
  <si>
    <t>siwon ganti ktp jadi wni ajalah udah</t>
  </si>
  <si>
    <t>BNPT ingatkan berhati-hati berdonasi terkait 3 WNI di Singapura diduga kirim uang ke teroris</t>
  </si>
  <si>
    <t>MARINIR CEK RUTIN KESEHATAN WNI ABK WORD DREAM</t>
  </si>
  <si>
    <t>@ganjarpranowo @PDI_Perjuangan negara2 yg pernah dn masih terperangkap dgn kemiskinan menjdi lahan untuk isis. indonesia hrs bisa bangkit dri tingkat kemiskinan. mulai dri sekarang. sbb isis tidak berhenti disini dia akan trs berevolusi. soal agama itu propaganda isis.</t>
  </si>
  <si>
    <t>Mahfud MD pastikan WNI eks ISIS tidak masuk indonesia</t>
  </si>
  <si>
    <t>@conan_idn Yang sudah dicuci otaknya tak usah diladeni mas. Biang keroknya pembuat ISIS aja sudah ngaku kok. Pion tak untuk didengar. Dia ujung paling ujung dari kebijakan ISIS amerika.</t>
  </si>
  <si>
    <t>ISIS jowo di takuti pak abu .... ???</t>
  </si>
  <si>
    <t>@Indostransfer Persipura pernah klo ngga salah Lupa tahun brp. Kone, Rebertino, Lim, Bio(waktu blm WNI).</t>
  </si>
  <si>
    <t>@LuckyBastard27 @R_GUN4W4N @MardaniAliSera @hnurwahid @ustadtengkuzul @felixsiauw @haikal_hassan @TofaTofa_id @Hilmi28 Lah yg di tangkap pemerintah cina emng yg radikal dan terpapar isis. Logis aj menyingkapinya.</t>
  </si>
  <si>
    <t>@JhnAlfarel Jih, masa katanya WNI yang mau ke Aussie harus dikarantina dulu karena Coronavirus...</t>
  </si>
  <si>
    <t>@Ashunismm @cjwerleman ISIS is deserve UN Santi puraskar 😂😂😂</t>
  </si>
  <si>
    <t>@batagorjisol Aku sih iya iya saja dengan banyak konten(?) dia ngurus surat surat dulu kalau mau jadi wni:”) tunggu slot kosong.....”....” yaAllah jangan mengadi ngadi.</t>
  </si>
  <si>
    <t>Dan pemerintah lebih senang duitnya dihabisin utk mendanai anak2 ISIS ex WNI, daripada bangun puskesmas di pelosok 😭 RT @detikcom: Perempuan bernama Sari terpaksa melahirkan di pinggir jalan rusak di Kabupaten Lebak, Banten, Senin (9/3) kemarin. Akses ke puskesmas berjarak puluhan kilometer... #Melahirkan #Lebak</t>
  </si>
  <si>
    <t>@ISIS_Balik_NO @Danan_Setiawan @CumiCue @omigoss @kompascom @DKIJakarta Reply lu gak ada subtansi goblok...</t>
  </si>
  <si>
    <t>@wickedbunnies @patriafedi ISIS itu doktrinal. Itu dua hal yang beda. Kalo nyamain kombatan ISIS sama anak anak yang melihat tayangan kekerasan yah gimana yah....</t>
  </si>
  <si>
    <t>@ArieSondang @Cinta_Iam @andreputra4667 @ISIS_Balik_NO @WR_4AG226 Setuju.. sesungguhnya Semua harus menjadi Rahmat.</t>
  </si>
  <si>
    <t>@Subadri20917452 @Cinta_Iam @andreputra4667 @ISIS_Balik_NO @WR_4AG226 Sepertinya petugas bimbang antara tugas dan keyakinan (iman) takut jadi murtad, begitu dibilang ini bumi Alloh begitu dengar solawat nabi menggema jadi ciut dan bertindak setengah2 ini dilema yg berujung bahaya, padahal semua bumi alloh, Nabi Muhamad tdk ajarkan intoleran,..</t>
  </si>
  <si>
    <t>RT @__interlac_: Tanpa makkah dan madinah,arab saudi ga ada artinya bagi umat islam</t>
  </si>
  <si>
    <t>@wickedbunnies @patriafedi Korelasinya nonton sama main game kekerasan dengan anak anak kombatan ISIS apaan? Yaudah, solusinya bisa dengan pendampingan kan bukan pencekalan? Dari sd saya nonton smackdown, ga pernah saya banting banting orang.</t>
  </si>
  <si>
    <t>RT @ArabicaBali: Ahok mustahil jadi presiden RI Krn dia lahir th 1966 bukan sbg WNI tp sbg WN Tiongkok Dia baru jd WNI setelah naturalisasi (kata: Yusril IM)</t>
  </si>
  <si>
    <t>@banjorasbones @patriafedi "Orang dewasa sudah terbentuk pengalaman indrawinya" Ya karena DIAJARKAN bahwa itu jijik, itu kotor, itu busuk. Anak-anak bisa tahu karena DIAJARKAN. Rasionalitas yang BISA dilatih akan baik jika beneran DILATIH. APAKAH ANAK KOMBATAN ISIS TAKUT AMA VIOLENCE? JIJIK SAMA DARAH?</t>
  </si>
  <si>
    <t>@RiyanHide Kan abis evakuasi wni dari wuhan udah ditutup yg china, alias udah dari awal februari</t>
  </si>
  <si>
    <t>@KemenkesRI Rekomendasi ke Kemenlu dan imigrasi untuk izin lalu lintas keluar negeri WNI harus di batasi</t>
  </si>
  <si>
    <t>@aylafyuu_ Perginya murah tau2nyq pas pulang mahal auto gak jadi WNI domisili amerika</t>
  </si>
  <si>
    <t>Telkomsel Perkuat Jaringan di Pulau Sebaru Kecil untuk Bantu Observasi WNI - : Telkomsel Perkuat Jaringan di Pulau Sebaru Kecil untuk Bantu Observasi WNI</t>
  </si>
  <si>
    <t>WNA rasa WNI RT @siwonips: handsome choi in market like model lmao seriously 🥰🤣 well everyone in the market really so lucky to can keep in touch w him. very friendly, humble, and kind person @siwonchoi</t>
  </si>
  <si>
    <t>@SalmaBrecht @AnakLolina @DivHumas_Polri Ini jua dah jelas bawa bendera ISIS apakah sudah di tindak 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</si>
  <si>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RT @jcm_elpastor: Ni la burla perdonan ja ja ja</t>
  </si>
  <si>
    <t>@macan_muslim @ganjarpranowo Makanya sering kepoin akun pak @ganjarpranowo ...bahas isis juga br ini...inipun ada anak muda yg cerita sendiri ke pakgub kl dia tertipu kaum radikal isis...kalo lo bilang "cuma" berarti lo taunya pakgub bahas isis terus menerus..dan itu jelas salah</t>
  </si>
  <si>
    <t>@damuhsin_ @cahyodestiantos sorry mung, ngertiku mung kantin J karo isis :(</t>
  </si>
  <si>
    <t>@ArieSondang @Cinta_Iam @andreputra4667 @ISIS_Balik_NO @WR_4AG226 Kenapa aparat lambat ya.. mau serius ga sih sebenarnya negara ini melawan para pengusung khilafah Isis.</t>
  </si>
  <si>
    <t>RT @miyooo__: Untung ada ulama’ nak masuk politik sebab nak bersihkan politik. Kau tu benak acah tahu semua benda, dating jelah kerja kau.</t>
  </si>
  <si>
    <t>@ganjarpranowo @pabra_id Wah doktrin isis, lawan! Kayak arema ngusir bahtiar nasir</t>
  </si>
  <si>
    <t>Siwon kalo jd wni namanya ganti Jadi.. Sirupiah. @JeromePolin follback aku ya. Aku sudah mikir keras hari ini.</t>
  </si>
  <si>
    <t>ingin bgt jd wni kayanya ni mas agung RT @MyKoreanDramaID: Mas Agung dinner di Tugu Kunstkring Paleis, Menteng. Lokal banget ya 😘❤️ #ChoiSiwon #Siwon</t>
  </si>
  <si>
    <t>@Nidhi Or jis tarah tere link nikal k aaye h un dono couple k sath tumey ISIS join kar liya hoga NDTV k baad.</t>
  </si>
  <si>
    <t>@Xak0w @KawalCOVID19 @KemenkesRI impor itu artinya terjangkit/tertular di luar negeri. Bisa WNI atau WNA.</t>
  </si>
  <si>
    <t>RT @depuccinow: btw siwon tu emg udh jd wni apa gmn si, smkin hri smkin lokal</t>
  </si>
  <si>
    <t>@intanRatuaja12 Semoga jd g gampang d palsu,al nya kalo fampang d palsu bisa banyak wna,jd wni..otomatis..</t>
  </si>
  <si>
    <t>@DediYudhaYudha1 @HmfaqihA @TofaTofa_id @hendrickliem Ady wangsa, lu bilang 1 tubuh? ISIS, Alqaeda, Taliban, Ichwanul Muslimin, Hamas, HTI apakah mereka juga 1 tubuh dengan anda?</t>
  </si>
  <si>
    <t>Identitas : WNI (Warga Negara Indie) 😂👌🏻 RT @bmbng_stwn: @txtbocahindie</t>
  </si>
  <si>
    <t>btw siwon tu emg udh jd wni apa gmn si, smkin hri smkin lokal</t>
  </si>
  <si>
    <t>cucu mantan penjajah aja dimaafin apalagi cuma cucu mantan anggota isis</t>
  </si>
  <si>
    <t>@Bikiniboys13 @Saefullloh Mungkin masnya yg protes baru pertama kali tinggal di Indonesia Munngkin dia WNI yg lahir dan besar di luar Indonesia dan baru kali pertama mudik Kalo dia gk tau ada libur natal nyepi imlek dll</t>
  </si>
  <si>
    <t>3 WNI Dihukum di Singapura Terkait Terorisme, BNPT Ingatkan Hati-hati Memberi Donasi</t>
  </si>
  <si>
    <t>@ganjarpranowo Ribuan masalah negara cuman isis yang di bahas boos,, isis sudah bubar ngapain lo bahas ga penting ini,, pikirin rakyat aja gimana yg makin melarat,,</t>
  </si>
  <si>
    <t>WNI di luar negeri diimbau hati-hati saat donasi</t>
  </si>
  <si>
    <t>@mochamadarip Baktiar Nasir orang indonesia yang pernah mendonasikan dana buat kegiatan isis di suriyah disamping itu fadli zon juga.</t>
  </si>
  <si>
    <t>@profrotigulung @Thomassidi1 @ustadtengkuzul  Mungkin 3 WNI di Singapura itu anak buah nya. Jadi... Bagi bagi tugas ..yang satu ngomel, yang satu ngurus duitnya dan yang lain beda lagi jobnya.</t>
  </si>
  <si>
    <t>Bareskrim Tahan WNI Tersangka Penyelundup Manusia Ke Pulau Reunion #Nasional</t>
  </si>
  <si>
    <t>Merdeka bukan hanya lepas dari tangan penjajah, tapi lepas dari tangan jahil yg merampas hak kita sebagai WNI. #KataGue</t>
  </si>
  <si>
    <t>RT @merdekadotcom: 3 WNI Dihukum di Singapura Terkait Terorisme, BNPT Ingatkan Hati-hati Memberi Donasi</t>
  </si>
  <si>
    <t>@yusril_nvrzl @365_michi Yang salah mah join isis.</t>
  </si>
  <si>
    <t>@SangPecinta77 @Amahmuna3 Isis itu bukan khilafah bung! Isis itu monster buatan AS utk mencitraburukkan Khilafah ajaran Islam yg mulia, jadilah yg benci khilafah bukan hanya AS tp termasuk kaum muslim, sangat patut disayangkan, padahal mereka faham bhw khalifah pewaris Nabi dlm mengurus umat..</t>
  </si>
  <si>
    <t>Menlu: 57 WNI Terjebak di Kapal Grand Princess Akibat Virus Corona  via @tribunnews</t>
  </si>
  <si>
    <t>@analaura_oroo Isis mini 24🤯</t>
  </si>
  <si>
    <t>@tinguaander Sisi Sisi Isis 🙆🏽‍♀️🙆🏽‍♀️🙆🏽‍♀️</t>
  </si>
  <si>
    <t>Selama wanita itu WNI gak masalah aspek yang diliat kan gak dari mereka anak mixblood atau nggak, nyatanya wanita pertama yang berhasil masuk top 10 Miss Universe itu malah mixblood 🤷 RT @TataRalikka: @jesicatedja Aku suka bingung, kenapa putri indonesia nggak ambil yang darahnya asli darah indonesia? Maksudnya yang nggak ada campuran darah luar negri gitu, lokal aja😭</t>
  </si>
  <si>
    <t>@rukhiee Duk wanda yasan girman iyayen sa bazai na wni hkan ba</t>
  </si>
  <si>
    <t>@happychicky_ Alhamdulillah belum beraso nian sih, tapi pas hari 1&amp;2 pengumuman wni confirm itu apotek deket kosan aku rame pisann tapi skrng idak lagi</t>
  </si>
  <si>
    <t>Kemaren ni kawan, Kameramennya ultah temenku namanya #Mulan dia punya hp #vivoV19GrandLaunch OMG Helloww!! Kabar Baik! Dua Pasien WNI Dinyatakan Sudah Negatif Virus Corona! #BeritaElipsir</t>
  </si>
  <si>
    <t>RT @noeruzzaman: Ketahuan Sumbang Dana ke ISIS, Singapura Penjarakan WNI</t>
  </si>
  <si>
    <t>Italia 'Lockdown' Karena Virus Corona, Menlu Pastikan KBRI Pantau WNI: Retno menambahkan, KBRI setempat telah diperintahkan untuk mendata seluruh WNI yang berada di Italia</t>
  </si>
  <si>
    <t>@jr_kw19 Gilak 477 Milliar men hukuman cuma 2 tahun belum diptg remisi dll paling cuma bbrpa bulan, pulang dr tahanan bs nikmatin sisa hasil korupnya ber MM, Crazy law Indonesian, kalo gini korupsi ngg bakal berkurang yg ada nambah mauny korupsi trs, Oh Indo jd rasanya pngen resign dr WNI</t>
  </si>
  <si>
    <t>@prihardhana @__Ndaru__ @TofaTofa_id @hendrickliem Gini haree.....masih pake posisi colok dubur Prabowonya saja sudah jd Pembantu pak @jokowi..... Waras ?😂</t>
  </si>
  <si>
    <t>BNPT Ingatkan Berhati-hati Berdonasi Terkait 3 WNI di Singapura Diduga Kirim Uang ke Teroris  via @antaranews</t>
  </si>
  <si>
    <t>Heboh bgt siwon ke fm menteng beli mie sedaap. Lama lama dia jadi wni ini mah</t>
  </si>
  <si>
    <t>@winiyokaa wni kan tadi ngetinya</t>
  </si>
  <si>
    <t>Kasih tau aja kenapa sih emangnya wna tsb darimana. Biar wni yg abis traveling dari sana bisa cepat cepat memeriksakan diri gitu lohhh. Ah mikirin amat negara lain mau marah atau gimana. Prioritas ke negara sendiri dululah. Ah emosi bawaannya kalo udah tentang corona ini.</t>
  </si>
  <si>
    <t>Pcr wni. RT @Woollim_rookie: [Woollim Rookie_윤성] 황윤성 DWMU 광고 촬영 현장 비하인드 🖇  #woollim #울림 #황윤성</t>
  </si>
  <si>
    <t>RT @Zadakidi: Baca replies di tweet ini saya malu bertubi-tubi. Malu sbg WNI sekaligus lelaki dimana spesies sejenis saya dan warga negara setanah-air saya menghujat sesamanya yg notabene memberikan pesan-pesan positif. Tara Basro dg "love ourselves" dan Tsamara dg "dukungan thd sesama wanita"</t>
  </si>
  <si>
    <t>Update positif Corona 10.03.2020. Kmaren positif Corona 19 orang dan hari ini bertambah menjadi 27 orang. Jangan panik,kasih ruang terus warga china masuk Indonesia agar WNI banyak mati Krn Corona. Kan dapat suntikan dana dr bank dunia agar tercapai niat pemindahan ibukota baru</t>
  </si>
  <si>
    <t>Back to Jada 🤷🏾‍♀️</t>
  </si>
  <si>
    <t>@Jostayfocus85 Old Kanye yes</t>
  </si>
  <si>
    <t>RT @manishd88429735: @iamkamalansari @MPArunYadav Hum sanghi to tum alkayada Isis wale ho congress to aaj inhi pe tiki h</t>
  </si>
  <si>
    <t>@LordUtam @wamiau28 @R_kayame_kw2 @RodrigoSantono Wkwk aku saiki dadi WNI 😂😂</t>
  </si>
  <si>
    <t>Horang kaya mah bebas....Jauh jauh dari Korsel ke Indo untuk beli miesadaab. BTW OM itu udh nemu belom mienya? Sebagai WNI asli aku blom pernah tau tuh merk miesadaab soalnya...😭😭 RT @siwonchoi: Saya pergi ke supermarket di Jakarta untuk membeli Miesadaab.</t>
  </si>
  <si>
    <t>@ISIS_Balik_NO @__Ndaru__ @TofaTofa_id @hendrickliem Cebong itu akun serabutan.. nama serabutan.. photo serabutan.. agama serabutan.. kerja serabutan..</t>
  </si>
  <si>
    <t>siwon, ngga mau pindah warga negara aja jadi wni? RT @siwonchoi: Saya pergi ke supermarket di Jakarta untuk membeli Miesadaab.</t>
  </si>
  <si>
    <t>@CNNIndonesia Lebih penting wna apa wni?</t>
  </si>
  <si>
    <t>@geloraco Siapapun WNI berhak menjadi pemimpin dinegeri ini, kalau pemimpin itu bisa mensejahterakan rakyatnya, tidak harus dari golongan mayoritas, bahkan pengalaman didunia, bahwa pemimpin yg non muslim lebih makmur rakyatnya, jika dibandingkan pemimpin muslim, itu juga diakui KH Maimun</t>
  </si>
  <si>
    <t>RT @KadrunHunter99: What is KPAI ? Komisi Perlindungan Anak ISIS? Komisi Pelecehan Anak Indonesia? Komisi Penistaan Agama Islam? Atau apa nih? 🧐🤔 #PecatSittiHikmawatty</t>
  </si>
  <si>
    <t>KALIAN AKU MAU MINTA TOLONG, INI PENTING:( Jadi aku ngga bisa nemu thread tentang wni di daegu yg ngejelasin singkat tentang super spreader ajumma, keadaan daegu, dan gereja itu. Aku mau minta tolong carikan, soalnya aku ngga tau mau gimana lagi :')).</t>
  </si>
  <si>
    <t>Pembahasan internal KBRI Kuwait untuk Contingency Plan antisipasi dampak penularan Covid-19 terhadap operasional kantor, khususnya layanan konsuler/publik dan perlindungan WNI di Kuwait (10/03) #inidiplomasi #indonesianway #negaramelindungi @Kemlu_RI @KemenkesRI</t>
  </si>
  <si>
    <t>@ISIS_Balik_NO @TofaTofa_id @hendrickliem Itu tidak mengubah kenyataan klo paulus gapernah ketemu jesus 😃</t>
  </si>
  <si>
    <t>@__Ndaru__ @TofaTofa_id @hendrickliem Tidurnya di mesjid....sholat di jalan.....</t>
  </si>
  <si>
    <t>@januge27 Pprt</t>
  </si>
  <si>
    <t>@ISIS_Balik_NO @TofaTofa_id @hendrickliem Sejak Belanda menjajah Indonesia itulah sebutan Tuan menjadi Tuhan 😃</t>
  </si>
  <si>
    <t>Mumpung ada kunjungan dari Belanda pengen banget bisikan Raja buat kasih bebas visa ke WNI 🥺</t>
  </si>
  <si>
    <t>RT @sinyo_swana: @archabandung @su7loo @onsrgst @filosofiksi @AjiDeddy @AremaNita__ @BdyNusantara @_nice69_ @agama_nusantara @daunsirih5 @Jelantik5 @rullyjoo27 @SeruniPuspaAlam @Tikayulie Saya sudah scroll awalnya dari dari cuitan mba Nita, tagar #NusantaraBukanKhilafah Disini ada pertentangan difinisi khilafah dari anda dan khilafahnya HTI dan teman temannya termasuk ISIS. Saya paham itu. Karena kebanyakan dari kita sudah sangat muak dengan kelakuan mereka.</t>
  </si>
  <si>
    <t>@enricofernandos @AdnanDasuki99 @CNNIndonesia @ISIS_Balik_NO Rebut apaan? Emang kontraknya abis sekarang 🤣🤣😂😂 ,dan bukannya diputus malah diperpanjang kontraknya,udah gitu bilangnya dapet 51%,tapi harus beli dulu 🤣😂 lah punyanya kita sendiri harus kita beli dulu 🤣,akhirnya duitnya ga cukup cari utangan lewat inalum,parah separah2nya</t>
  </si>
  <si>
    <t>BTW TADI AKU HABIS DIBONCENGIN NAIK MOTOR, SUMPAH SERU BANGEEEET!! 😭😭😭😭 ISIS SEPOY2 GITUUU, MADE MY DAY❤️</t>
  </si>
  <si>
    <t>RT @MalaysiaMFA: Seluruh warga Wisma Putra mengucapkan setinggi-tinggi tahniah kepada YAB Tan Sri Muhyiddin Yassin, Perdana Menteri ke-8 Malaysia. @my_malaysia @IkramShahrul @amran_zin @NadzirahO @IDFRMalaysia @searcct2003 @ISIS_MY</t>
  </si>
  <si>
    <t>Kata YIM, Si Ahok itu aslinya WN Tiongkok dari seorang ayah warga negara Tiongkok. Ahok dpt naturalisasi jd wni. Mustahil bisa jadi Presiden.</t>
  </si>
  <si>
    <t>@Rahman_Nashir @jr_kw19 @budimandjatmiko @narkosun VIRUS CORONA merupakan penyakit menular yang harus kita basmi. Israel berhasil menemukan vaksinnya. WNI harus divaksin agar tubuh kita kebal terhadap VIRUS COVID 19. Bagaimana dengan KADRUN ? Melihat kelakuan mereka yang RASIS dan BUAT GADUH, apakah mereka perlu mendapatkannya ?</t>
  </si>
  <si>
    <t>@cjwerleman Isko RSS bata ke kisi ne ISIS join karwa di 😂</t>
  </si>
  <si>
    <t>RT @mockthistweet: @NazmiBaharudin @wanfayhsal mingimbil isis fiqh tibbiyyin sirti minyirihkin diri kipidi illih pimilik sibiik2 pirincingin, siyi birinikin diri imbil kipitisin birtimi yib tin sri diti' hiji mihyiddin bin hiji mihd yissin, prisidin pirti birsiti/ pm miliysii.</t>
  </si>
  <si>
    <t>@gulababeh @yakultramilk Rita mentranslate: Gais liat bio ku dech. Di bawah bioku disebelah kiri ada bacaan nctwayv 24/7. Nah di sebelahnya ada biru biru. Kalian pencet dech terus isis. Makasih</t>
  </si>
  <si>
    <t>BNPT akui kesulitan verifikasi WNI eks-ISIS</t>
  </si>
  <si>
    <t>Sayang and cinta dua benda yg berbeza yee anak2 ✌🏻 RT @iamAbgLong: Bomboclaat</t>
  </si>
  <si>
    <t>@fahriramadha_ni @AndikaGDHadi Sepertinya ini bisa buat seluruh WNI mas, tapi silakan main ke Web dan hotline nya ya buat cari tahu lebih 🙏</t>
  </si>
  <si>
    <t>RT @Elina_Vay: Ini jubir koq kasih jawaban setengah hati ya? Beda banget sama profesionalisme kesungguhan Pemerintah Singapore yang sangat detail, tracking tiap mereka yang terjangkit padahal yang sakit ini adalah WNI.</t>
  </si>
  <si>
    <t>Keluhan petugas medis mengenai krisi masker semakin terdengar diiringi dengan hiruk pikuk penyebaran virus Corona. Lantas, siapakah yang harus diprioritaskan dalam penggunaan masker guna mencegah penularan Corona? #coronavirus #Infocorona #Ayahbunda</t>
  </si>
  <si>
    <t>RT @cnbcindonesia: Ada WNI di Singapura Kena Corona Usai Jenguk Kerabat di DKI</t>
  </si>
  <si>
    <t>@DadBorneo @TofaTofa_id @aniesbaswedan Kata YIM, Si Ahok itu aslinya WN Tiongkok dari seorang ayah warga negara Tiongkok. Ahok dpt naturalisasi jd wni. Mustahil bisa jadi Presiden.</t>
  </si>
  <si>
    <t>@islamidotco Pemerintahan kontol Hukum taik Lu kira 477M itu sharga ayam tollll Nyuri ayam btahun tahun lu kurung Gila lu pade... Moga makin banyak isis dah</t>
  </si>
  <si>
    <t>Teras Berita #Italia Ditutup Total, Pemerintah Pantau Kondisi WNI: …</t>
  </si>
  <si>
    <t>;— gabutku bersama anak isis 😡💓</t>
  </si>
  <si>
    <t>@triwul82 3,5 abad diperbudak org kafir kalian terima.. anak bangsa yg jd korban isis setahun ditolak maafnya.</t>
  </si>
  <si>
    <t>@DiasporaXxi @ustadtengkuzul @jokowi Nah ISIS itu apa?. KHILAFAH itu apa?</t>
  </si>
  <si>
    <t>@AzharKh46032629 @sebianon21 @HusainWaquar @nkli_tejpratap @alfadog_2300 @AnupamPKher Sabko pata hai PFI se funding ho kar kaunsa relief distribution ho rha hai to jo tum hume keh rahe ho wo tum khud ho. Bharat mata ki jai ka nara nhai laga sakte u all r exposed in whole bharat. U all jehadis r supporter of pakistan and Isis . Jehadi whai se aate hai.</t>
  </si>
  <si>
    <t>@narkosun Kinerja Kepolisian kayak tidak punya Standard ato malah di bawah Standard Internasional, kalah sama negara kecil Singapura ? WNI yg nyumbang terorist DIHUKUM. Kalo di sini malah DILEPAS BEBAS. Knp ? cc:@DivHumas_Polri , @BareskrimPolri ,@makLambeTurah</t>
  </si>
  <si>
    <t>Soal Polemik Pemulangan WNI Eks ISIS, Mantan Napiter: Semua Manusia Punya Potensi Berubah -</t>
  </si>
  <si>
    <t>RT @SaveMoslem1: JADI ZAMAN ORBA SUDAH BENAR DGN PEMBERLAKUAN SISTEM PENANDAAN BAGI WNI KETURUNAN (KARENA MEREKA ADALAH BANGSA ASING YG DI SYAHKAN OLEH UNDANG2) BUKAN BANGSA INDONESIA ASLI... BUKAN RASIS ! KARENA ATURAN DLM UUD 26 ITU SEPERTI ITU... @HMSoeharto1921</t>
  </si>
  <si>
    <t>Enam WNI Positif Virus Corona, Ari Wibowo: Saya Nggak Percaya.</t>
  </si>
  <si>
    <t>@nuralam1 Oh udah bukan WNI.</t>
  </si>
  <si>
    <t>@angrab @CNNIndonesia Dikuasai negara berarti negara juga mengelola, itu berdikari = berdiri di kaki sendiri, kalo di kuasai negara dan di kelola asing berarti kita ga berdikari dan ga ada kesempatan dan kepercayaan yang diberikan pemerintah untuk wni mengelola, jangan berdikari sekedar angan</t>
  </si>
  <si>
    <t>RT @t0k_anjang: Ngam. Jangan shave or gunting rambut. Baru nampak macam saintis!</t>
  </si>
  <si>
    <t>@CNNIndonesia Lha kalo dirawat disana WNI nya bayar dong pak. Kalo di rumah sendiri kan ditolong pemerintah. Trus apa solusinya ya? Kasian..</t>
  </si>
  <si>
    <t>@chandrajuni82 @ustadtengkuzul @jokowi Baca dulu seluk beluk ISIS dan khilafah, baru ngoceh...!</t>
  </si>
  <si>
    <t>Ini jubir koq kasih jawaban setengah hati ya? Beda banget sama profesionalisme kesungguhan Pemerintah Singapore yang sangat detail, tracking tiap mereka yang terjangkit padahal yang sakit ini adalah WNI. RT @CNNIndonesia: Pemerintah soal WNI Corona di Singapura: Biar Dirawat di Sana</t>
  </si>
  <si>
    <t>Siwon udah cocok banget jadi wni</t>
  </si>
  <si>
    <t>RT @Hanifah933: "Virus Corona sdh jelas angka korbannya berapa persen, klo VIRUS RADIKAL IS ini korbannya bangsa kita ini. Maka itu, jauh lebih mengerikan virus IS dr pd Virus Corona," kata Ansyaad dlm diskusi membahas WNI ISIS dipulangkan atau dilupakan ? di Jakarta, Sabtu (7/3). #VirusCinta</t>
  </si>
  <si>
    <t>Sebagai bentuk pelindungan WNI, Kemlu RI selalu memantau perkembangan COVID-19, hingga per tanggal 10 Maret 2020 pukul 09.00 WIB, 15 WNI di luar negeri terkonfirmasi positif COVID-19. #IniDiplomasi #NegaraMelindungi RT @Kemlu_RI: #SahabatKemlu, berikut update Perkembangan COVID-19 di Dunia dan Pelindungan WNI per 10/03 pukul 09.00 WIB. Hingga kini 15 WNI di luar negeri telah terkonfirmasi COVID-19. #IniDiplomasi #NegaraMelindungi</t>
  </si>
  <si>
    <t>RT @Detektif_Ngibul: Hmm Ternyata koordinator aksi bela muslim India di Poso itu Sugianto Kaimudin. Dia jg menjabat sebagai Ketua DPD FPI Sulawesi Tengah. Apakah ini membuktikan bahwa FPI memang saudaraan sama ISIS? @TolakBigotRI @narkosun @jr_kw19 @wahhabicc_jabar @amrudinnejad_ @BadjaNuswantara</t>
  </si>
  <si>
    <t>Tanpa makkah dan madinah,arab saudi ga ada artinya bagi umat islam</t>
  </si>
  <si>
    <t>@ILCtv1 @tvOneNews Anak yg tkontaminasi ISIS bgmn y?</t>
  </si>
  <si>
    <t>@manusiacantikk @detikcom tertular di luar negeri,setelah masuk Indonesia gejala dan positif. ada yang WNI ada juga yang WNA</t>
  </si>
  <si>
    <t>@kwitaiiw @AremaNita__ @archabandung @pasektohpati @_nice69_ @agama_nusantara @daunsirih5 @Jelantik5 @onsrgst @rullyjoo27 @SeruniPuspaAlam @su7loo @BdyNusantara "Merendahkan eksistensi ketuhanan orang lain" Hmmm, mungkin yang kamu maksud itu adalah Teroris alias ISIS yg sudah membunuh banyak warga negara Indonesia sekaligus merendahkan ketuhanan orang lain RT @Bangzul__88: #AwasAntek2ISIS 3). Apakah mereka yang menuntut pemerintah agar memulangkan eks WNI pro ISIS dari Suriah berani menjamin, bhwa mereka tidak akan berperilaku radikal di negri kita? Jangan lupa, peristiwa bom Gereja di Surabaya, pelaku adalah bagian dari ISIS. LAWAN TERORIS 💪</t>
  </si>
  <si>
    <t>@gilangadit7 @TirtoID Nanti kalo ada WNI yang sembuh pasti di blow up kok insyaallah</t>
  </si>
  <si>
    <t>RT @kompascom: WNI yang disebut sebagai kasus ke-147 itu diduga telah terjangkit virus sebelum ke Singapura - #Nasional</t>
  </si>
  <si>
    <t>Gegayaan..ditantang datang ke Suriah gabung ISIS aja ngompol di daster..😂🤦‍♂️🙈 RT @AngguraKu: Ai biliv 😂</t>
  </si>
  <si>
    <t>Tiga WNI di Singapura Kirim Uang Untuk Teroris, Ini Respons BNPT  #DariSuara</t>
  </si>
  <si>
    <t>Dianggap Donatur Terorisme , Tiga WNI Di Tangkap Di Singapura</t>
  </si>
  <si>
    <t>@RTAluvzAfridi @SeharShinwari What nonsense. 50 dally, jo khud ko molvi kehlaty hein ap jesy logo se ki, ki waja se tum puri community par attack karny k lye placard lao gy? To matlb sahi he kehty hein phir RSS waly k sab Muslims ISIS hein? Jahoool</t>
  </si>
  <si>
    <t>@Saefullloh sebagai karyawan saya dukung libur hari raya menjadi 5 hari kali 5 agama untuk semua wni. sehingga total ada 25 hari libur tambahan.😁😂</t>
  </si>
  <si>
    <t>RT @nagendrapathak: @_sabanaqvi Arrests made in Anti Hindu Riots so far - 1. Shahrukh 2. Tahir Hussain (AAP) 3. Shahnawaz 4. Jahanjeb Sami (ISIS) 5. Hina Bashir (ISIS) 6. Danish Ali (PFI)</t>
  </si>
  <si>
    <t>57 WNI dan ribuan orang terjebak di kapal pesiar Grand Princess yang berlabuh di pantai California, AS, setelah ada 20 penumpang dan satu kru yang dinyatakan positif terjangkit covid-19.</t>
  </si>
  <si>
    <t>Al-Zarqawi, Maha Guru ISIS dari Al-Qaeda (Bagian VII)</t>
  </si>
  <si>
    <t>@0014_hjs MTK WAJIB YA? Anjir lah rabu minggu kmrn gw ulhar bagian trigometri cmn 4 yg ku isis dari 16 nomor 😭</t>
  </si>
  <si>
    <t>RT @puslatluhkp: Dua WNI telah positif terjangkit virus corona. Namun, #MinaMania tak peru khawatir dgn virus ini, karena cara pencegahannya pun sangat mudah. Menjalankan pola hidup sehat adalah cara paling ampuh tangkal corona. Ingat, penggunaan masker hanya untuk kalian yg sdg sakit.😷</t>
  </si>
  <si>
    <t>kasian juga ya WNI yang tinggal di luar negeri ga bisa makan bakso lalu merasakan sensasi bersendawa boraks</t>
  </si>
  <si>
    <t>wkwk ni orang udah kayak wni aja RT @kih_yun: Paham kan kalo orang Indonesia yg awam ditanya soal kpop gak akan jauh dr Super Junior atau Siwon</t>
  </si>
  <si>
    <t>@Corriere =C= 3= IHS = ISIS-HORUS-SETH !</t>
  </si>
  <si>
    <t>@tehseenp Ye isis ko join akr lenge unka support karenge but bjp join nahi karenge.</t>
  </si>
  <si>
    <t>Shalom goys #STOPMES #NOMICROCHIP #NOSX #NOLGTB #quiriAnale @Quirinale #criminali #terroristi #negrieri #ISIS #clandestini @ODG_CNOG #soros #puppet #terroristi #complici #negrieri #minaccia #incolumita #sicurezza #nazionale #portichiusi #portisigillati #italexit #pretendovotare</t>
  </si>
  <si>
    <t>#Italia Ditutup Total, Pemerintah Pantau Kondisi WNI  #internasional #viruscorona</t>
  </si>
  <si>
    <t>Oleh karenanya, Khilafah menjaga janji kepada kaum Nasrani dibawah pemerintahannya dengan akad Dzimmah sebagai komitmen untuk tunduk dibawah hukum Islam. Suatu hal yang tdk dikabarkan media massa yang memberitakan Khilafah hanya kenal bunuh membunuh.</t>
  </si>
  <si>
    <t>RT @RadioElshinta: -Pasien kode 24 laki laki (46 th) WNI (imported case) -Pasien kode 25 perempuan (53th) WNA (imported case) kondisi stabil -Pasien kode 26 laki laki (46th) WNA (imported case) kondisi stabil -Pasien kode 27 laki laki (37th) WNI stabil. #UpdateCOVID19</t>
  </si>
  <si>
    <t>57 WNI dan Ribuan Orang Terjebak di Grand Princess karena Corona</t>
  </si>
  <si>
    <t>RT @RadioElshinta: -Pasien kode 20, perempuan (70th) bagian dr tracing sub cluster Jakarta -Pasien kode 21 perempuan (47th) bagian dr tracing sub cluster Jakarta -Pasien kode 22 perempuan (36th) WNI (imported case) -Pasien kode 23 perempuan (73th) WNI (imported case) gunakan ventilator (stabil).</t>
  </si>
  <si>
    <t>@LeonYogyakarta @kbenaranHakiki @FaqihWahyudin @SBeekt @CNNIndonesia Tanggung jawab pemerintah itu ke wni atau asing sih? Pemberian kesempatan adalah bentuk tanggung jawab, anak cucu anda gausah dikasih kesempatan jadi dirut bumn yaa</t>
  </si>
  <si>
    <t>Kepala Badan Nasional Penanggulangan Terorisme (BNPT) Komjen Pol Suhardi Alius meminta warga negara Indonesia (WNI) yang berada di luar negeri berhati-hati saat akan memberikan donasi.</t>
  </si>
  <si>
    <t>Israel Keluarkan Seluruh Pendatang, Termasuk WNI</t>
  </si>
  <si>
    <t>Gantinya free visa ya pak buat wni, heheheheh RT @asumsico: Raja Belanda Willem Alexander meminta maaf atas kekerasan yang diderita orang Indonesia pada awal periode kemerdekaan tahun 1945. Pernyataan itu disampaikan saat ia dan Ratu Maxima dijamu oleh Presiden Joko Widodo dalam upacara resmi di Istana Bogor, Jawa Barat, Selasa (10/3).</t>
  </si>
  <si>
    <t>RT @kbenaranHakiki: @AdnanDasuki99 @CNNIndonesia @enricofernandos @ISIS_Balik_NO Iya tetep salah si joko, freeport 1 biji aja oleh soeharto dulu diijinin kelola bikin kita semua nyesel tujuh turunan, apalagi kalau banyak</t>
  </si>
  <si>
    <t>RT @BirgaldoS: Kapan ya pemerintah tegas pada kasus2 begini?</t>
  </si>
  <si>
    <t>Mak w protec bat klo masalah kesehatan. Contoh ni, tadi ada berita ttg virus corona. Uda 27 wni positif corona. Mak: ojok kakean es. Kon ketularan virus, ga tak oleh mulih W: 😈😵🥴</t>
  </si>
  <si>
    <t>@andreputra4667 @Namaku_Mei @Cinta_Iam @WR_4AG226 Bukannya nie orang yg disangkakan nyumbang ke ISIS mikyaran dulu itu? RT @MNCNewsroom: Mantan Ketua Gerakan Pengawal Fatwa Majelis Ulama Indonesia Bachtiar Nasir kembali mangkir dalam panggilan Polisi. Polisi menyatakan akan menjemput paksa Bachtiar Nasir sepulang dari Arab Saudi. . (Sumber: iNews) . #mncnewsroom #gnpfmui #bachtiarnasir #moneylaundry</t>
  </si>
  <si>
    <t>@JLpurple28 WNI yg kena abis plg dr LN loh.</t>
  </si>
  <si>
    <t>RT @Aryprasetyo85: Colokin nih ke Walikota Depok biar melek dan gk asal njeplak!! Dua dari 6 WNI Pasien Korona Merasa Tertekan Pasca Terbongkar Identitasnya @My_LoveNebe @AlvinoLulu @cintada17 @Je_Ly @Namaku_Mei @Abby_Budiyono97 @SatyaJogja_</t>
  </si>
  <si>
    <t>@kbenaranHakiki @AdnanDasuki99 @CNNIndonesia @ISIS_Balik_NO Well... Tapi Jokowi juga yang pertama kali merebut saham Freeport lbh dari 50%, sy rasa pak jokowi gak senaif itu mmberi peluang asing lbh byk, krn tujuan nya meningkatkan kualitas SDM kita.</t>
  </si>
  <si>
    <t>@Canda_Bisnis2 @FerdinandHaean2 Kasus 212, KHILAFAH, terorisme ISIS DAN ALQAEDA untuk ANTI ISLAM. Perang sajalah kalian...!</t>
  </si>
  <si>
    <t>@andreputra4667 @ISIS_Balik_NO @Cinta_Iam @WR_4AG226 Bachtiar Nasir, ini ustd yg mo ditangkap berangkat ke arab yah! Kasusnya dana apa gitu, kasusnya nguap sekarang udh ceramah lagi ini pengusung khilafah,....</t>
  </si>
  <si>
    <t>RT @aslipribumiraya: NGABALIN: WNI yg tlh berkunjung ke 4 negara tsb menurut protokol WHO hrs diobservasi terlebih dahulu": ngabalin cmn nyebut negara iran, italia dan jepang, yg ke empatnya ngabalin cuman menyebutkan negara lain, saya jadi bingung soalnya total negara semuanya ada 195 negara</t>
  </si>
  <si>
    <t>"Virus Corona sdh jelas angka korbannya berapa persen, klo VIRUS RADIKAL IS ini korbannya bangsa kita ini. Maka itu, jauh lebih mengerikan virus IS dr pd Virus Corona," kata Ansyaad dlm diskusi membahas WNI ISIS dipulangkan atau dilupakan ? di Jakarta, Sabtu (7/3). #VirusCinta</t>
  </si>
  <si>
    <t>"Nomor kode 27 laki-laki 33 tahun WNI kondisi stabil. Kami menduga ini local transmission yang sedang kami tracking dari mana sumbernya karena bukan impor dan tidak jelas bagian dari kluster lain," Stay safe guys.. RT @detikHealth: Sumber Penularan Pasien Corona ke-27 Tak Diketahui, Diduga Transmisi Lokal</t>
  </si>
  <si>
    <t>RT @Metro_TV: Sempat beredarnya identitas 2 WNI pertama yg positif virus corona, sangat disesalkan. Presiden Joko Widodo lalu ingatkan jajaran pemerintah agar tidak sembarangan mengungkap data pribadi pasien-pasien yang berstatus dalam pemantauan &amp; pengawasan media. #OPSIMetroTV @opsimetrotv</t>
  </si>
  <si>
    <t>Mulai hari ini WNI mendapatkan visa gratis selama 90 hari ke Rwanda ya. 🇷🇼. @BebasVisaID @sandmanindo @IvanRT05 @Lagnezmo17 @chuentoi @MikeyAM97 @jameshandaja @StefRanda @yovie_myg @addamfarizi</t>
  </si>
  <si>
    <t>dikit lagi jadi wni ni orang RT @smstan_tuwir: SIWON SUPER JUNIOR BENERAN MAMPIR SUPERMARKET WKWK BELI MIE SAMA SEKALIAN PROMO?? MANA SANTUY NGOCEH KENALAN SAMA ANAK KECIL WKWK 👨: "HELLO LADY!" 👧: (senyum terus nunjuk gambar Siwon) 👨: (ketawa) "IYA DIA SUKA SAMA AKU." cr vid via. bhyun9615</t>
  </si>
  <si>
    <t>Italia Dikarantina, Pemerintah Belum Akan Evakuasi WNI</t>
  </si>
  <si>
    <t>Pusing bgt suka sama suju, bolak balik muluuuuuuu tp ga mampir2. Aku takut tiba2 jd WNI 🥺 RT @smstan_tuwir: SIWON SUPER JUNIOR BENERAN MAMPIR SUPERMARKET WKWK BELI MIE SAMA SEKALIAN PROMO?? MANA SANTUY NGOCEH KENALAN SAMA ANAK KECIL WKWK 👨: "HELLO LADY!" 👧: (senyum terus nunjuk gambar Siwon) 👨: (ketawa) "IYA DIA SUKA SAMA AKU." cr vid via. bhyun9615</t>
  </si>
  <si>
    <t>kenapa ttp ga berani mencegah wna yg dtg atau wni yg dtg dari negara yg terjangkit ya pemerintah, kurang ketat bgt pencegahannya RT @echoPiR: @detikcom Oke..nambah lagi ya jadi total 27 Positif👌 ini rinciannya teman2 👇 Klaster Jakarta, Sub Klaster Jakarta, Impor ( dari perjalanan luar negeri ). Banyak2 minum vitamin,herbal u/ ketahanan tubuh. Jangan lupa doa 😉</t>
  </si>
  <si>
    <t>Sempat beredarnya identitas 2 WNI pertama yg positif virus corona, sangat disesalkan. Presiden Joko Widodo lalu ingatkan jajaran pemerintah agar tidak sembarangan mengungkap data pribadi pasien-pasien yang berstatus dalam pemantauan &amp; pengawasan media. #OPSIMetroTV @opsimetrotv</t>
  </si>
  <si>
    <t>@iamdluhansa @mrfny_ @detikcom bisa dites kalau orang mau melapor diri dan punya gejala.. msalahnya kita sudah punay kesadaran begitu apa belum? sakit pilek paling dianggap biasa. Katakan kalau WNI minta uji..1 juta org x 1 juta rp/tes : Rp 1T dan lab terbatas. makanya yg diuji hanya yg suspect</t>
  </si>
  <si>
    <t>@detikcom Kenapa orang"(WNI dan WNA) yg perjalanan dari luar negeri(bukan cuma China) nggak dikrarantina juga😭</t>
  </si>
  <si>
    <t>@muhamma88302966 @detikcom WNI &amp; WNA yang tertularnya di luar negeri. Baru masuk Indonesia lalu muncul gejala dan positifnya saat di Indonesia.</t>
  </si>
  <si>
    <t>@Agus_Sukarno @detikcom betul,impor case orang2 yang baru datang ke Indonesia. ada WNI ada WNA mereka tertular di luar negeri.</t>
  </si>
  <si>
    <t>@TataRalikka @jesicatedja ya memangnya kenapa mbak? dia kan wni ya boleh2 aja harusnya lagian dia ada keinginan untuk membawa nama indonesia membanggakan indonesia kenapa tidak mau blasteran atau nggak klo mau mengharumkan nama negara masa ga boleh hehe</t>
  </si>
  <si>
    <t>RT @anakdewa: @SiNiel1 Eh... Itu waktu sarinah kan, gue salah satu penontonnya tuh. Tapi memang Indo itu hebat, negara lain hindarin keramaian gara2 corona, indo malah demo. Negara lain ga mau terima org2 ISIS, indo malah mau nampung, mau dikasih rumah dan kerjaan, di BUMN pula.</t>
  </si>
  <si>
    <t>@Harimansuntara2 @rullyjoo27 @filosofiksi @archabandung @onsrgst @AjiDeddy @AremaNita__ @BdyNusantara @_nice69_ @agama_nusantara @daunsirih5 @Jelantik5 @SeruniPuspaAlam @Tikayulie @su7loo La wong wahyu saja bermasalah juga kok. Kamu pikir Abbu sayaf yg sering culik nelayan Indonesia, ISIS, bom bunuh diri tidak bermasalah dg yg di yakini sebgai wahyu tuhan?</t>
  </si>
  <si>
    <t>Italia Ditutup Total, Pemerintah Pantau Kondisi WNI</t>
  </si>
  <si>
    <t>"Problemnya skr,apkh Yusril msh bisa mmegang teguh p'nyataan ini???jgn2 nanti brubah,bilang bhw Ahok bisa jd presiden,krn skr sdh WNI..hehehe...zaman skr,sulit mencari org yg bisa memegang teguh ucapannya....harta salah satu yg bisa merubah segala sesuatunya,bg mrk yg tdk komit. RT @_aiek_esthreem_: #BailOutAkalAkalanRezim Yusril: Ahok aslinya kelahiran WN Tiongkok  1966, Ahok lahir tidak di Indonesia! 1962, Ortu Ahok memilih sbg WN Tiongkok. Ahok ikut ayahnya 1986, Ahok ikut naturalisasi Maksa jd PRESIDEN RI atas biaya cukong Setuju kah anda? 🔁❤️</t>
  </si>
  <si>
    <t>@PressTV Russian 1 - ISIS 0</t>
  </si>
  <si>
    <t>@albertsamuel28 Jangan percaya sama narasi palsu seperti ini. Satu-satunya yang meneror dan menembaki warga adalah KKB. KKB itu udah seperti ISIS, mengklaim mereka melakukan perjuangan, padahal mereka cuma melakukan aksi teror dan kejahatan yang justru merugikan orang papua sendiri.</t>
  </si>
  <si>
    <t>Lama-lama member suju jdi WNI RT @ElokPutput: Yang jaga yang beli warung</t>
  </si>
  <si>
    <t>Harusnya nih yaa harusnya menurut saya sebagai WNI yang sehat akal dan insyaAllah sehat badan, pemerintah tuh kasih tahu pasien di rawat di RS mana berasal dari mana jadi masyarakan bisa lebih waspada dimana mereka sekarang dan keadaan kedepannya. Harusnya nih ya! RT @detikcom: Pasien positif virus Corona (COVID-19) di Indonesia melonjak. Kini, ada 27 orang teridentifikasi tertular virus itu. Berikut detailnya: #VirusCorona #CoronaVirusIndonesia</t>
  </si>
  <si>
    <t>Satu lagi WNI yang mempermalukan Indonesia di mata Dunia.</t>
  </si>
  <si>
    <t>RT @KompasTV: WNI Pasien Positif Virus Corona di Singapura Bertambah Jadi 4 Orang</t>
  </si>
  <si>
    <t>@kumparan Tenang, WNI diluar sana tetep merawat kearifan lokal bernama kerokan.</t>
  </si>
  <si>
    <t>“No kode 27, laki, berusia 33 tahun, seorang WNI. Kondisi stabil. Kami menduga ini local transmision yang sedang kami tracking dari mana sumbernya karena bukan import dan tidak jelas bagian dari klaster yang lain. Sementara belum jelas” Semoga cepet kedetect klaster lainnya 🙏 RT @TirtoID: STOP PRESS! Positif COVID-19 Bertambah Jadi 27, Dua Pasien di Antaranya WNA</t>
  </si>
  <si>
    <t>Indonesia petakan jumlah WNI setelah karantina total di Italia</t>
  </si>
  <si>
    <t>Kasal Kunjungi Prajurit KRI Soeharso-990 dan Satgas Evakuasi WNI ODP Corona  - Prajurit KRI dr. Soeharso-990 dan Satgas Evakuasi WNI Orang Dalam Pengawasan (ODP) Corona yang sedang melaksanakan evakuasi WNI eks ABK World Dream da…</t>
  </si>
  <si>
    <t>@kolismawardi @detikcom Negara mana yang patut dibuat contoh mencegah?. Apa iya sekarang waktunya nyinyir terus. Apa iya sekarang nyalahin pemerintah yang sudah salah?. Ga liat negara lain?. Kenapa WNI/WNA bisa lolos terbang ke Indonesia? Apa disana ga dicek?</t>
  </si>
  <si>
    <t>@albertsamuel28 Terus KKB juga masuk ke rumah-rumah warga dengan bawa senjata dan menodong warga sipil, yang akhirnya membuat warga sipil takut dan minta dievakuasi aparat. KKB itu teroris, apa yang mereka lakukan itu seperti ISIS di Suriah</t>
  </si>
  <si>
    <t>Kalian apa ga sekalian bikin ktp wni @ suju</t>
  </si>
  <si>
    <t>@BenyMagal @VeronicaKoman KKB itu udah seperti teroris ISIS. Melakukan tindakan kriminal dengan kedok perjuangan. Padahal apa yang mereka sebut perjuangan itu cuma membawa penderitaan aja. Memalukan!</t>
  </si>
  <si>
    <t>curiga lama-lama member suju jadi WNI kayaknya 🤣 RT @smstan_tuwir: SIWON SUPER JUNIOR BENERAN MAMPIR SUPERMARKET WKWK BELI MIE SAMA SEKALIAN PROMO?? MANA SANTUY NGOCEH KENALAN SAMA ANAK KECIL WKWK 👨: "HELLO LADY!" 👧: (senyum terus nunjuk gambar Siwon) 👨: (ketawa) "IYA DIA SUKA SAMA AKU." cr vid via. bhyun9615</t>
  </si>
  <si>
    <t>@qwertypiemel Oi @hztger bawak la mel makan. Kau nk tak bertanggungjawab laaaaaaa 😤😤</t>
  </si>
  <si>
    <t>@kejiahae Ayo demo agar suju jadi wni</t>
  </si>
  <si>
    <t>@SiNiel1 Eh... Itu waktu sarinah kan, gue salah satu penontonnya tuh. Tapi memang Indo itu hebat, negara lain hindarin keramaian gara2 corona, indo malah demo. Negara lain ga mau terima org2 ISIS, indo malah mau nampung, mau dikasih rumah dan kerjaan, di BUMN pula.</t>
  </si>
  <si>
    <t>[UPDATE] Tambah Lagi 1, Total WNI Kena COVID-19 di Singapura Jadi 3  via @idntimes</t>
  </si>
  <si>
    <t>@Rendy51500187 @liem_id Baca dulu beritanya, gak ada sama sekali kata" jual tanah ke asing. lagian di Indonesia gak ada cerita bisa jual tanah ke asing. Hak milik utk Tanah di Indonesia hanya bisa diberi ke WNI. Kalau kamu punya modal, kamu juga bisa beli tanah yg direncanakan akan di jual pemerintah.</t>
  </si>
  <si>
    <t>@oneaperture Ada yg bisa melaporkan si @DjokoEdhi1 sebagai PENISTAAN AGAMA ? saya sangat setuju untuk memenjarakan manusia PALSU gigi dan jembut ini</t>
  </si>
  <si>
    <t>Total WNI di luar RI yang kena virus corona jadi 8</t>
  </si>
  <si>
    <t>@precariat_sweat Maaf kak gak boleh protes, nanti kalo protes di bilang "KaMu BaYaR SeDiKiT BuAt sEsAmA WnI AjA PrOteS" Sementara itu Manajemen bpjs tunjangan sama gaji gede-gedean 😭</t>
  </si>
  <si>
    <t>@dymaldini @detikcom Yang imported case wni semua kalo liat di detailnya cuma mereka abis dr luar negeri</t>
  </si>
  <si>
    <t>@adi_khan01 @JM_Scindia @INCIndia @BJP4India Tum log next blast kahan pe kar rhe ho, ya fir 911. ISIS aur unke jaisa pura list hai sale, ab tu Bajarang Dal ko aur RSS ko ISIS se conpare karega to teri mand buddhi ka kuch nahi kar sakte. Terrorist saale.</t>
  </si>
  <si>
    <t>RT @kompascom: Enam orang merupakan WNI. Sementara, dua lainnya merupakan WNA.</t>
  </si>
  <si>
    <t>@andreputra4667 @Cinta_Iam @WR_4AG226 Hebat ! 👍👍👍 LANJUTKAN !</t>
  </si>
  <si>
    <t>NGABALIN: WNI yg tlh berkunjung ke 4 negara tsb menurut protokol WHO hrs diobservasi terlebih dahulu": ngabalin cmn nyebut negara iran, italia dan jepang, yg ke empatnya ngabalin cuman menyebutkan negara lain, saya jadi bingung soalnya total negara semuanya ada 195 negara</t>
  </si>
  <si>
    <t>@RobertTheist @faizalassegaf @jokowi Iya. Jkw pd 25Nov2016 prnah sbut soal adanya “dana WNI yg trsimpan di luar Indonesia." Tpi, klaim itu pun tdk mnyebut scara khusus adanya sjmlah dana trtentu di bank2 Swiss. Jadi cerita itu patut diragukan kebenarannya dan tidak disertai sumber rujukan yang jelas.</t>
  </si>
  <si>
    <t>@__Ndaru__ @TofaTofa_id @hendrickliem Hasil kampanye Mayat RT @yusuf_dumdum: Jujur Vs Tipu-tipu</t>
  </si>
  <si>
    <t>KBRI Imbau WNI Tak ke Mekah-Madinah</t>
  </si>
  <si>
    <t>RT @kompascom: Departemen Kesehatan Singapura mengumumkan 10 kasus baru virus corona pada Senin (9/3/2020). Satu kasus WNI, satu lagi pernah ke Indonesia.</t>
  </si>
  <si>
    <t>@KomnasPerempuan @kpp_pa PELAKU BUKANLAH "KORBAN ! CAMkan ITU</t>
  </si>
  <si>
    <t>@KomnasPerempuan @kpp_pa STOP MENGATAKAN PELAKU SEBAGAI KORBAN.... Pelaku dan Korban sudah sama2 AKIL BALIG menurut AGAMA....kelakuan mereka sudah Tak PATUT dan TIDAK TERPUJI. tindak tegas PELAKU YG BERLINDUNG DIBALIK KATA ISENG.....iseng sambil ngaceng ? Agama adalah untuk berAHLAK...atau hapuskan agama</t>
  </si>
  <si>
    <t>Masa observasi terhadap WNI yg menjadi ABK dua kapal pesiar yakni Diamond Princess &amp; World Dream di Pulau Sebaru Kecil sdh memasuki lbh dari 10 hari. Bagaimana kondisi psikologis WNI yang menjalani observasi? Talk: Sekjen Perhimpunan Dokter Paru Indonesia dr. Erlang Samudro,</t>
  </si>
  <si>
    <t>@latthae @kingseungy8n Suju mah udh resmi jadi WNI</t>
  </si>
  <si>
    <t>Yaampun lokal banget sih mas nyaa🤣🤣🤣 Dahlah pindah negara aja kamu tuu.. jadi WNI😂🤣 RT @siwonchoi: Saya pergi ke supermarket di Jakarta untuk membeli Miesadaab.</t>
  </si>
  <si>
    <t>Sudah empat warga negara Indonesia (WNI) di Singapura yang dinyatakan positif Covid-19 oleh otoritas kesehatan setempat.</t>
  </si>
  <si>
    <t>@__Ndaru__ @TofaTofa_id @hendrickliem Kalaupun blio KAFIR....tapi punya AHLAK berok ! Dipikir ahlak seorang AHOK setipis ahlak BIBIB CABUL...? Aya...aya wae..... Mending lo ibadah di jalan sj deh....pameran...drpd ribet di dumay.....buatam kafir</t>
  </si>
  <si>
    <t>@PartaiSocmed @mazzini_gsp @Puthutea @kangdede78 Ceritanya si MEMED lagi ngiri.....maksud hati kepingin jadi bajer.....ek kagak dibayar....jadi KUCIWA......dan mulai nyerang yg laen tanpa bukti.... Malulah kau dgn klakuan sendiri med.....kagak bisa minum sambil cerutuan lagi.....cian 😂😂😂😂</t>
  </si>
  <si>
    <t>3 WNI di Singapura Divonis Bersalah Terkait Pendanaan Terorisme, Ini Respons BNPT Via: #NOTD</t>
  </si>
  <si>
    <t>@DjanChoek @rinichan02 Singapura juga gak seterbuka itu kok. Kmrn yg WNI usia 62 udah ditampilkan di kompas, tmn saya di Singapura ngga tahu, baru dibuka setelahnya @MissArkei</t>
  </si>
  <si>
    <t>RT @merdekadotcom: KBRI Riyadh Imbau WNI Tidak ke Makkah, Madinah, Qatif</t>
  </si>
  <si>
    <t>RT @antaranews: Jumlah WNI yang dinyatakan positif #COVID19 di Singapura hingga Selasa bertambah menjadi empat orang.</t>
  </si>
  <si>
    <t>KBRI Riyadh Imbau WNI Tidak ke Makkah, Madinah, Qatif</t>
  </si>
  <si>
    <t>@Nidhi Rahul ka to pta nai. Per ap ISIS KB JOIN KR GYE .KISSI KO KHABR HE NAI HUE</t>
  </si>
  <si>
    <t>@mbaadnin @hoshnnjosh @tubirfess Detect jgnx kamu bukan wni asli yach? Tdk punya rasa nasionalisme...</t>
  </si>
  <si>
    <t>@Nidhi Aap kab Isis join karenge...</t>
  </si>
  <si>
    <t>57 WNI Terjebak Corona di Kapal Pesiar di AS, 700 Penumpang Positif Terinfeksi  #beritaterkini</t>
  </si>
  <si>
    <t>@funnee_moer Minta bebas visa NL untuk semua WNI</t>
  </si>
  <si>
    <t>Sdh 27 jiwa posituf "CORONA "!!! Teruskah Bertambah?insyaallah kalau WNI masih Boleh ke indonesia terutama orang2 CINA bukan hanya orang2 prancis italia iran dll!!!</t>
  </si>
  <si>
    <t>RT @DamailahRI: Mantan Napiter: Anggota ISIS Perempuan Lebih Radikal dan Militan</t>
  </si>
  <si>
    <t>WNI di Singapura Positif Terjangkit Virus Corona, Sudah Tunjukkan Gejala saat Masih di Jakarta</t>
  </si>
  <si>
    <t>@dontbeaware @Farhan68020698 @Olaa1519 @I_l0v3_y0 @Maryamparizad1 @RiYeah108 @_ShikhaMalhotra @BaleySingh @ursmahender @Guru_Ujwal @Irate_Indian @0Vandematram0 @Paras151353081 @Prateek88039715 @avanya06604007 @NAGRAJ04352617 @BakruKaGabru03 @bakrubhai @kafir_balma @9bdul_j9bb9r Fatne wali baat pe kuch nahi bolta ch bhagat. Pakka ISIS ka recruit h</t>
  </si>
  <si>
    <t>RT @kompascom: Berikut daftar 4 WNI yang positif virus corona di Singapura - #Tren</t>
  </si>
  <si>
    <t>Ahok mustahil jadi presiden RI Krn dia lahir th 1966 bukan sbg WNI tp sbg WN Tiongkok Dia baru jd WNI setelah naturalisasi (kata: Yusril IM) RT @umaralims: Kata YIM, Si Ahok itu aslinya WN Tiongkok dari seorang ayah warga negara Tiongkok. Ahok dpt naturalisasi jd wni. Mustahil bisa jadi Presiden.</t>
  </si>
  <si>
    <t>Tidak ada akses untuk mencapai ke kamp pengungsian di Suriah.</t>
  </si>
  <si>
    <t>RT @republikaonline: Pada kasus 152, WNI positif Corona merasakan sakit saat berada di Indonesia.</t>
  </si>
  <si>
    <t>@han_ss @jokowi Kita kurang memiliki rasa kompetitif yang tinggi jika berbicara mengenai kekuatan paspor biasa. Dalam kunjungan yang akan berlangsung beberapa hari ini, mohon Bapak @jokowi @Menlu_RI @Kemlu_RI dapat menyempatkan diri untuk menyinggung bebas visa Schengen bagi WNI berpaspor biasa.</t>
  </si>
  <si>
    <t>RT @CastilloJoshima: Sedihnya org tua Alvaro dan Trinity hrs menjual harta benda krn butuh biaya besar untuk operasi.Krn faktanya mrk cuma dapat bantuan sekali operasi.Jangan bandingin dgn anak2 Eks ISIS ya krn mrk dapat perlakuan istimewa dari Pemerintah</t>
  </si>
  <si>
    <t>RT @Metro_TV: #PrimeTimeNews Dari 69 WNI dari kapal Diamond Princess yang saat ini masih berada di KRI dr. Soeharso, 67 diantaranya dinyatakan negatif #VirusCorona. Sementara 2 lainnya masih diuji kembali.</t>
  </si>
  <si>
    <t>RT @KienAnd_: Kelompok minoritas ini baik kristen, alawiyah, dan druze kemudian membentuk milisi untuk berperang melawan kelompok islamis seperti al qaedah, ISIS, ahrar al syam dan FSA yang berafiliasi dengan ikhwanul muslimin.</t>
  </si>
  <si>
    <t>@jokowi Sekalian pak, minta dukungan agar WNI bisa secepatnya bebas visa untuk area Schengen. Masa kalah sama Timor Leste 😑😑.</t>
  </si>
  <si>
    <t>Jumlah WNI positif COVID-19 di Singapura bertambah</t>
  </si>
  <si>
    <t>RT @Hanifah933: Sementara itu, mereka yang dipulangkan dari Provinsi Hubei, China adalah WNI yang BERKULIAH di kota seperti Wuhan. #50TahunAnakRevolusi</t>
  </si>
  <si>
    <t>RT @Hanifah933: @budimandjatmiko mengatakan, soal PEMULANGAN WNI terduga TERORIS PELINTAS BATAS itu berbeda dengan WNI yang dipulangkan dari Provinsi Hubei, China akibat wabah Virus Corona. #50TahunAnakRevolusi</t>
  </si>
  <si>
    <t>@jokowi Pak Presiden, sejarah RI &amp; Belanda berakar sangat panjang, WNI berpaspor biasa masih harus mengajukan visa ke Belanda &amp;amp; Area Schengen. Mungkin ini masa depan yang harus kita kejar &amp;amp; prioritaskan. Sementara mayoritas WN Eropa bebas visa ke RI. Bagaimana Ibu @Menlu_RI @Kemlu_RI ?</t>
  </si>
  <si>
    <t>Jumlah WNI positif COVID-19 di Singapura bertambah jadi empat orang</t>
  </si>
  <si>
    <t>#Nasional BNPT Kesulitan Verifikasi WNI yang Diduga Terlibat ISIS</t>
  </si>
  <si>
    <t>RT @merdekadotcom: Menlu Retno Pastikan Pantau Kondisi WNI Terdampak Isolasi di Italia</t>
  </si>
  <si>
    <t>Pada kasus 152, WNI positif Corona merasakan sakit saat berada di Indonesia.</t>
  </si>
  <si>
    <t>RT @Kemlu_RI: #SahabatKemlu, berikut update Perkembangan COVID-19 dan Perlindungan WNI per tanggal 7 Maret 2020. #NegaraMelindungi</t>
  </si>
  <si>
    <t>#Setuju_Pak_Jkw....👍👍👏👏 Tanya sama yg amendement pasal 6 UUD 1945 asli yg merubah kalimat "Presiden RI haruslah Indonesia asli (pribumi) dirubah menjadi WNI saja!</t>
  </si>
  <si>
    <t>@kentangmahal udh g WNI berarti😣</t>
  </si>
  <si>
    <t>RT @Metro_TV: #PrimeTimeNews Dijadwalkan penurunan 68 WNI Diamond Princess dilakukan pada pukul 08:00 WIB. Namun, hingga saat ini masih belum ada pergerakan penurunan WNI dari KRI dr. Soeharso menuju ke Pulau Sebaru Kecil.</t>
  </si>
  <si>
    <t>RT @Metro_TV: #PrimeTimeNews Saat ini belum ada informasi terkait kendala penurunan 68 WNI Diamond Princess yang harusnya dijadwalkan untuk turun pada pagi tadi untuk menjalani observasi di Pulau Sebaru Kecil.</t>
  </si>
  <si>
    <t>RT @Metro_TV: #PrimeTimeNews "Sejak Januari kami sudah membentuk Satgas di KBRI yang tugasnya terus melakukan edukasi dan informasi terkait WNI di Korea Selatan." Umar Hadi, Dubes RI untuk Korea Selatan.</t>
  </si>
  <si>
    <t>Pemantauan kesehatan WNI peserta observasi di Pulau Sebaru Kecil sampai saat ini menunjukkan hasil yang baik, selengkapnya klik</t>
  </si>
  <si>
    <t>WNI Pasien Positif Virus Corona di Singapura Bertambah Jadi 4 Orang</t>
  </si>
  <si>
    <t>Menlu Retno Pastikan Pantau Kondisi WNI Terdampak Isolasi di Italia</t>
  </si>
  <si>
    <t>Indonesia Petakan Jumlah WNI di Italia Pasca Pengumuman Lockdown</t>
  </si>
  <si>
    <t>RT @Metro_TV: #MetroSiang Pemerintah melalui Kemenkes menyiapkan skenario untuk menjadikan Pulau Galang di Batam untuk menampung WNI pasien Corona. Hal ini dilakukan sebagai langkah antisipasi menyusul banyaknya WNI yang berada di negara-negara epidemik.</t>
  </si>
  <si>
    <t>Syaratnya sebagai berikut:⁣ ⁣ 1. WNI⁣ 2. Fresh Graduate ; S1 bidang IT, Manajemen Bisnis, Teknik Industri, atau MIPA. Belum bekerja atau tidak memiliki pekerjaan tetap dan usia maksimal 29 tahun pada saat mendaftar⁣</t>
  </si>
  <si>
    <t>RT @HendraLaurensi_: Gubernur Jawa Tengah Ganjar Pranowo menerima tawaran eks anggota ISIS dan eks narapidana terorisme untuk membantu mengkampanyekan program deradikalisasi yang digalakkan pemerintah Jateng.</t>
  </si>
  <si>
    <t>RT @ArnoldBelau: infografis begini beredar luas. Selalu dengan narasi yang sama. DI FB, twitter sampai media daring. Kalau dibalik, misalnya info grafis begini dibuat dengan ganti KKB, KKSB, separatis, ISIS, tikus tanah dsb dgn TNI/Polri, sa yakin sudah ditangkap dan dipenjarakan 😀🙏😀</t>
  </si>
  <si>
    <t>@OmGadunz @Janessary3 @NdonTwit Baca berita dl baru ngebacot woy...ISIS ngaku bertanggung jawab! Lo masih blm tau isis itu siapa?? Hahahaha...asli dongok nih kafir🤣🤣🤣</t>
  </si>
  <si>
    <t>Memperhatikan keselamatan warga negaranya, Kemenlu melakukan pemetaan untuk memantau kondisi WNI yang berada di Italia.</t>
  </si>
  <si>
    <t>RT @Metro_TV: #BreakingNewsMetroTV KRI dr. Soeharso sudah tiba di sekitar Pulau Sebaru Kecil sejak Senin, 2 Maret 2020. Pada saat itu sejumlah rencana penurunan sempat tertunda beberapa kali, salah satunya dengan alasan cuaca dan masih menunggu kepastian kesehatan WNI.</t>
  </si>
  <si>
    <t>PASCA PENGUMUMAN VIRUS CORONA WNI OLEH PRESIDEN. Selasa 10 Maret 2020, Bhabinkamtibmas Kebonlega Brigadir Dede mulyana. Cek Masker di Apotik Toko Herbaliko Jl. Cibaduyut Raya Utk Stok Masker masih tersedia utk Penjualan di Batasi dan tdk menjual dgn Kuota Banyak.</t>
  </si>
  <si>
    <t>BNPT akui kesulitan verifikasi data WNI eks-ISIS</t>
  </si>
  <si>
    <t>WNI WARGANE NGRUNGOKKE INDIE</t>
  </si>
  <si>
    <t>@4smara1701 @msaid_didu @RamliRizal Kadrun ya? Dasar radikal. Khilafah loe hti isis. . . . . . Rugi itu ga penting, yg penting jilatan.</t>
  </si>
  <si>
    <t>RT @kompascom: Seorang pria berusia 65 tahun berkewarganegaraan Indonesia di Singapura dinyatakan positif Covid-19.</t>
  </si>
  <si>
    <t>Menanggapi kelangkaan masker kesehatan yang dialami Pelajar &amp; Mahasiswa WNI di Jepang, KBRI Tokyo melalui Atase Dikbud telah menyerahkan bantuan kiriman pertama kepada Ketua PPI Kanto Rego Fareyhan yg menerima secara simbolis dari Korfung Konsuler, Ali Sucipto. #NegaraMelindungi</t>
  </si>
  <si>
    <t>@ANI Isis jihadi terrorist ko ban kab karega</t>
  </si>
  <si>
    <t>Bandara I Gusti Ngurahai, Bali menerapkan pemeriksaan cek suhu kepada para penumpang terminal kedatangan domestik. Hal tersebut dilakukan setelah adanya kasus WNI positif corona yang diumumkan pemerintah. #CNNIDNewsroom</t>
  </si>
  <si>
    <t>@TataRalikka @jesicatedja Lah mbak... ini tuh kaya siapa yang berhak dan layak aja si. Biarpun campuran kan dia tetep wni, terlebih lagi yang menang ya yang layak dan capable enough untuk menyandang gelar puteri indonesia. Jadi kalo ngomong kaya gt malah gaadil dong</t>
  </si>
  <si>
    <t>Seorang WNI di Singapura dikonfirmasi positif terjangkit virus corona. Dengan ini, total WNI yang terkonfirmasi positif Covid-19 di Singapura berjumlah empat orang. #CNNIDNewsroom</t>
  </si>
  <si>
    <t>#Italia pada Selasa (10/3) "mengunci" seluruh wilayahnya sebagai karantina untuk memerangi #coronavirus.</t>
  </si>
  <si>
    <t>@detikcom @detikHealth Gak mau tau, bagi WNI pokoknya harus gratis di LN manapun. Menkes, Menlu, Menkeu alias pemeeintah udah bilang begitu. Anggarannya sudah ada.</t>
  </si>
  <si>
    <t>@KawalCOVID19 kalau liputan nya kelapangan kaya @TirtoID pasti paham mendengar jubir mengatakan bahwa antar KBRI saling mengirim data, dan punya tangung jawab menjaga dan membantu terhadap penyebaran #COVID19</t>
  </si>
  <si>
    <t>RT @kusyuk: Umur 51 tahun dan sudah terbitkan lebih 300 buah buku serta menjadi manfaat buat orang ramai. MasyaAllah hebat betul. Ini perlu dicontohi.</t>
  </si>
  <si>
    <t>RT @shafiqmuradzz: dah tau tak gifted tu study la bingai</t>
  </si>
  <si>
    <t>RT @ganjarpranowo: Mantan Anggota ISIS Beberkan Pengalamannya kepada Ganjar -</t>
  </si>
  <si>
    <t>RT @KBRI_Bangkok: Update Covid-19 di Thailand per 10 Maret 2020. Penambahan 3 kasus baru sehingga total kasus 53, dengan 33 orang telah sembuh, 19 dirawat dan 1 orang meninggal dunia. WNI di Thailand untuk mengikuti rekomendasi Kemkes RI, Kemkes Thailand dan WHO. #IniDiplomasi #negaramelindungi</t>
  </si>
  <si>
    <t>@JingliatiTan @P3nj3l4j4h_id Krn Kaum KAFIR RADIKALISME yaitu HTI, FPI, FUI, PKS ingin menguasai NKRI dan mengganti dgn paham KHILAFAH-ISIS; yaitu islam yg membenci umat islam lain dan membenci umat agama lain.</t>
  </si>
  <si>
    <t>@BNPTRI @jokowi harap di ralat...!!!!!.... Bukan Eks. ISIS. Tapi Eks WNI....!!!!!... Karena sudah melepas kewarganegaraan RI. @OpiniDin @MardaniAliSera Oke kan @Namaku_Mei @Mey_MeynieJT @Dennysiregar7</t>
  </si>
  <si>
    <t>RT @thelostsiv: Manusia akan terus diuji. Hati-hati dalam memilih jalan.</t>
  </si>
  <si>
    <t>Italia Umumkan “Lockdown”, Pemerintah Petakan Jumlah WNI</t>
  </si>
  <si>
    <t>@fahmijourney Semoga segera ada jalan terbaik buat wni yg stuck 😭</t>
  </si>
  <si>
    <t>@ISIS_Balik_NO @TofaTofa_id @hendrickliem Dimuliakan Tuhan yg dimananya, istri aja dijual buat biaya ngebacot di DKI kok. Otak lu pecaya klo bininya diembat ditidurin 7 taon alasan impoten ?? Btp itu diajab .. Udah dipenjara bininya kabor pake bilang doi imfoten ..wkwkwk Klo imfoten, anaknya pembantu bapaknya siapa 😃</t>
  </si>
  <si>
    <t>Update Covid-19 di Thailand per 10 Maret 2020. Penambahan 3 kasus baru sehingga total kasus 53, dengan 33 orang telah sembuh, 19 dirawat dan 1 orang meninggal dunia. WNI di Thailand untuk mengikuti rekomendasi Kemkes RI, Kemkes Thailand dan WHO. #IniDiplomasi #negaramelindungi RT @pr_moph: ✍️Thailand situation update on COVID-19, 10 March, 2020. #COVID2019 #COVID19</t>
  </si>
  <si>
    <t>ada ratusan wni yang masih stuck seusai wisata ziarah di jerusalem. jordan menutup border dr para wisatawan, israel menolak menerima. skenario lain, dipulangkan via border rafah ke mesir. akan tambah runyam jika mesir ikut menutup border. mari kita doakan jalan terbaik.</t>
  </si>
  <si>
    <t>Pelayanan Terpadu KJRI Johor Bahru untuk WNI di wilayah Pahang dan sekitarnya</t>
  </si>
  <si>
    <t>KBRI Imbau WNI Tak ke Mekah-Madinah  #BeritaIslam #eramuslim</t>
  </si>
  <si>
    <t>Ribuan orang terjebak di dalam sebuah kapal pesiar yang berlabuh di pantai California, Amerika Serikat (AS), karena kekhawatiran wabah virus Corona. Dari ribuan orang ini, di dalamnya termasuk 57 WNI yang berprofesi sebagai anak buah kapal (ABK).</t>
  </si>
  <si>
    <t>Sudah 19 WNI Positif Corona, Kemampuan Pemerintah Tangani COVID-19 Mulai Diragukan</t>
  </si>
  <si>
    <t>@TruckIndo @asnaip22 @YohanesPatty2 @PakatDayak Ini manusia hidup di zaman silam atau zaman batu dia blm tau bhw skrg sdh di era digital...para kadal gurun dan simpatisannya spt isis dan hti bermimpi di siang bolong utk hidup di zaman syariah...</t>
  </si>
  <si>
    <t>RT @alpinsi_pandi: Tetap waspada jaga kesehatan n pola hidup sehat virus corona bukan hal yg hrs ditakuti tp di waspadai..justru yg prlu ditakuti Virus HTI (khilafah nya), virus radikal n intoler oleh fpi, ISIS yg bisa memecah belah anak bangsa #StayCoolCegahCorona</t>
  </si>
  <si>
    <t>@TataRalikka @jesicatedja Jadi ya selama dia WNI, mau dia Half atau engga, kalau performa dia paling bagus saat karantina/tes ya dia layak buat menang.</t>
  </si>
  <si>
    <t>@umaralims Penyusup yg berpotensi bikin indo bubar... wni naturalisasi haram jadi pejabat negara</t>
  </si>
  <si>
    <t>Seorang pria berusia 65 tahun berkewarganegaraan Indonesia di Singapura dinyatakan positif Covid-19.</t>
  </si>
  <si>
    <t>RT @PojokNU: Esensialisme Agama ala ISIS, Perspektif Fazlurrahman (Bagian VIII)</t>
  </si>
  <si>
    <t>"Kita niatnya baik tetapi ternyata itu dipakai untuk kegiatan-kegiatan yang kurang baik, akhirnya termonitor dan itu dianggap sebagai pendanaan #terorisme," kata Kepala #BNPT</t>
  </si>
  <si>
    <t>BNPT kesulitan akses lokasi eks ISIS asal Indonesia</t>
  </si>
  <si>
    <t>Mungkinkah pemerintah membuka tawaran buat WNI yg merasa "jangan2 gw kena nih" krn habis balik dari negara2 terdampak periode Feb sampai sekarang? Ya seperti di Korsel gitu, biar makin banyak yg dites dg suka rela</t>
  </si>
  <si>
    <t>@iamkamalansari @MPArunYadav Hum sanghi to tum alkayada Isis wale ho congress to aaj inhi pe tiki h</t>
  </si>
  <si>
    <t>RT @ZAEffendy: Dari 4 WNI Positif #COVID19 di Singapura, 1 pasien pria 65 thn di Singapore General Hospital tiba 7 Maret, dilaporkan mengalami gejala sakit sejak 28 Februari dan sempat ke RS di Jakarta 2 Maret, tapi dinyatakan negatif?</t>
  </si>
  <si>
    <t>@Yatie84991237 @hariadhi84 @SulingNaga @Nana_Rosaa_ @DiniHrdianti Bermula dari iseng coba2 Lama2 ngerti lobang(grosir/agen partai)bisa bnyk knal konsumen dll dl/referensi Kenal trs bisa bon dulu byr belakang hari. Lama2 jika ditekuni/ jujur bisa eksis(punya toko)dll. Ini pd umumnya pedagang yg org wni chinese disini itu asal mulanya sprti itu☺</t>
  </si>
  <si>
    <t>@majalahSM semoga semua WNI selalu sehat walafiat ,Aamiin</t>
  </si>
  <si>
    <t>KBRI Roma imbau WNI tidak bepergian ke Italia</t>
  </si>
  <si>
    <t>Indonesia petakan jumlah WNI di Italia pascapengumuman “lockdown”</t>
  </si>
  <si>
    <t>Salurkan donasi, tiga WNI di Singapura ternyata biayai kegiatan teroris - ANTARA News Bengkulu</t>
  </si>
  <si>
    <t>Indonesia Petakan WNI di Italia Paspengumuman Lodkown</t>
  </si>
  <si>
    <t>KBRI Riyadh Imbau WNI Tak ke Mekah-Madinah dan Hati-hati Sebar Info Corona</t>
  </si>
  <si>
    <t>Saat landing. Mereka berdua berdiri dan mau ngambil barang di cabin. Ada beberapa penumpang WNI di belakang yg teriak-teriak di belakang godain si dua gadis foreigners ini. Awalnya lucu. Tapi, lama-lama annoying karena gw aja yg denger terganggu.</t>
  </si>
  <si>
    <t>@OmGadunz @Janessary3 @NdonTwit Perlu jg gw link kan dg pengakuan hillary clinton soal isis?? Wahai manusia kafir dungu??</t>
  </si>
  <si>
    <t>@kapodotte Coba duduk di depan kamar sambil melihat rakyat sekitar biar isis kena angin</t>
  </si>
  <si>
    <t>@__Ndaru__ @TofaTofa_id @hendrickliem Baca ! IQRO ! RT @mrarbib: @kangdede78 @BareskrimPolri Bongkar abis aja pak  #BongkarKorupsiDP0Rupiah</t>
  </si>
  <si>
    <t>@demirakyt007 @Janessary3 @NdonTwit Ah itu kan akal-akalan lu aja curut. sampah. Gak terima islam dikatain agama teroris lalu bilang ISIS buatan amerika. Buktinya elu kalo demo juga masih bawa-bawa bendera ISIS</t>
  </si>
  <si>
    <t>RT @Amahmuna3: Terungkap, 238 WNI dari Wuhan Tak Dites Virus Corona, Alatnya Mahal ___ rasa kapitalis memang gitu deh.. nyawa kok kaya ga penting gitu</t>
  </si>
  <si>
    <t>@OmGadunz @Janessary3 @NdonTwit ISIS buatan amerika dongok...kudet lu ye fir!!!</t>
  </si>
  <si>
    <t>RT @kompascom: "Jadi kita sedang juga memperhatikan nanti dampak terhadap WNI di Italia seperti apa,"</t>
  </si>
  <si>
    <t>"Jadi kita sedang juga memperhatikan nanti dampak terhadap WNI di Italia seperti apa,"</t>
  </si>
  <si>
    <t>RT @hermana_t: Natalius Pigai tak menyalahkan Saudi yg menolak WNI yg hendak umrah krn wabah virus corona “Umat Allah tdk bisa Ibadah bkn salah Arab Saudi. Tp Dunia Internasional ragu dgn kredibilitas Pemimpin Indonesia yg suka bohong,” kata Pigai Nah loe..😊😊</t>
  </si>
  <si>
    <t>RT @egharap: Andai kepedulian kita terhadap problema kesehatan lain sama besarnya dengan kepedulian kita terhadap wabah #COVID2019, kita pasti sudah terentas dari beban morbiditas dan mortalitas penyakit yang mendominasi sebab kematian WNI hari ini</t>
  </si>
  <si>
    <t>Kemenkes Terjunkan Tim Kesehatan Untuk Dampingi WNI Yang Diobservasi Di Sebaru Kecil #CegahCoronaBersama #Void2019</t>
  </si>
  <si>
    <t>Data dari Dinkes Kabupaten Cirebon sampai Senin (9/3/2020), empat orang dalam pengawasan yang diduga suspect corona saat ini tengah menjalani perawatan, tiga di antaranya merupakan Warga Negara Indonesia (WNI) dan…</t>
  </si>
  <si>
    <t>RT @kompascom: Satu pasien lainnya yang dilaporkan memiliki riwayat perjalanan ke Indonesia adalah pasien ke-153 - #Tren</t>
  </si>
  <si>
    <t>Pemerintah akan evakuasi WNI ABK world dream ke pulau sebaru #CegahCoronaBersama</t>
  </si>
  <si>
    <t>Panglima TNI Marsekal TNI Hadi Tjahjanto, S.I.P., Kapolri Jendral Polisi Idham Azis dan Menlu Retno Marsudi Yokohama Japan untuk membawa pulang 68 WNI dari Kapal Pesiar 'Diamond Princess' #CegahCoronaBersama</t>
  </si>
  <si>
    <t>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</si>
  <si>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Kemlu Telusuri Dampak Isolasi Corona di Italia ke WNI</t>
  </si>
  <si>
    <t>RT @geloraco: KBRI Imbau WNI Tak ke Mekah-Madinah</t>
  </si>
  <si>
    <t>@hakiim_cr7 @TashaDhillon1 @_wwaa97 @BaddieBitch__ Bro, kalau ikutkan logic kamu. Then ISIS? Taliban? Al-Qaeda? Yg Islamic terrorist ni nak blame Muslim dekat Malaysia jugak ke? Cakap tu guna akal dulu. Jangan malukan Muslim lain boleh?</t>
  </si>
  <si>
    <t>@demirakyt007 @Janessary3 @NdonTwit Bukanlah, namanya penjajah. Emang ada tertulis di buku Jepang itu teroris? belanda itu teroris? ada gak? Gaka ada kan? coba kasih tunjuk kalo ada. Kalo ISIS itu teroris ya itu baru benar.</t>
  </si>
  <si>
    <t>@detikcom Sekalian minta Belanda support bebas visa Schengen utk WNI dong Bu @Menlu_RI @Kemlu_RI</t>
  </si>
  <si>
    <t>Ratusan WNI Kru 2 Kapal Pesiar Ikuti Penyuluhan Kesehatan di Pulau Sebaru Kecil</t>
  </si>
  <si>
    <t>@Airin_NZ haha... @jokowi dan pemerintahannya sibuk ngurusin pemulangan anak2 isis... jd rakyat yg mendukungnya hingga jd presiden 2 periode banyak mati krn DBD gk di hiraukan... hebat @jokowi</t>
  </si>
  <si>
    <t>WNI ABK Observasi Pulau Sebaru Terima Penyuluhan Kesehatan</t>
  </si>
  <si>
    <t>RT @_aiek_esthreem_: #BailOutAkalAkalanRezim #BailOutAkalAkalanRezim RSUP Persahabatan Rawat Dua Pasien Positif Corona, 13 Pasien Dalam Pengawasan  VirusCorona ga bisa msk ke Indonesia krn negara tropis Dgn sangat terpaksa umumkan ada WNI suspect, skrg korban tambah terus</t>
  </si>
  <si>
    <t>Jumlah data tersebut baru bersifat data informasi. BNPT saat ini tengah melakukan verifikasi.</t>
  </si>
  <si>
    <t>COMELNYAAA KITEORG❤ @lilobrr</t>
  </si>
  <si>
    <t>RT @newsmerahputih: WNI 'Permanent Resident' di Australia Positif Corona, Pemerintah Hormati Privasinya. #merahputih #WNI #VirusCorona #Australia</t>
  </si>
  <si>
    <t>WNI 'Permanent Resident' di Australia Positif Corona, Pemerintah Hormati Privasinya. #merahputih #WNI #VirusCorona #Australia</t>
  </si>
  <si>
    <t>@umiridya @frefani Dicabut kewarganegaraannya kayak mantan isis hahaha</t>
  </si>
  <si>
    <t>@jokowi Pak kmi ga dapat jaminan keselamatan Coronavirus utk WNI di eropa, kami lebih bahaya skrng, bayangin aja jerman udah 1000 org yg kena, apalagi Italia, peringatan terakhir sekitar 2bulan lalu dari KBRI, please jangkau kami</t>
  </si>
  <si>
    <t>@__Ndaru__ @TofaTofa_id @hendrickliem Ahok diMuliakan Tuhan....mana ada laknatullah malah diberi Berkah.....sementara SAMPAH dijadikan pejabat oleh sampah...akhirnya menjadi SAMPAH.. Para pendzolim nya satu2 dipermalukan Allah....mau bukti ?.....itu yg kabur samoe kagak bisa balik ! Lo pikir itu Keberkahan Dunia ?</t>
  </si>
  <si>
    <t>@htshowbiz @htTweets Bcoz Fast and furious hai wo . 1 aadmi Puri ISIS se ladh Ni Raha usme 😁</t>
  </si>
  <si>
    <t>@shubhamdixitji @Patel35G @AskAnything_RK @HyderKh33610631 @ImranKhanPTI yar ap India me rehte ho. ap ko ni pata muslim world me agencies ka role kia hta he. Aj America manta he ke Taliban us ne banae, ISIS ur Alqaida ko wo funding kerte rhe. Wo na kre to uske against Russia kerta he. Ab batao terrorist USA ur Russia hoe ya ye ghareeb awam?</t>
  </si>
  <si>
    <t>@Rita8213 @eko_kuntadhi Lah anak2 ISIS kan udah mau diterima &amp; dibina sm pemerintah Indonesia?</t>
  </si>
  <si>
    <t>RT @AdDien90: Setiap hari adalah hari Wanita. Islam mengajar kami, para lelaki untuk menjaga dan memuliakan wanita. Bahkan Nabi berpesan: رويدك سوقك بالقوارير Lemah lembutlah kamu dengan kaca-kaca. Bukan sekadar jaga fizikal wanita, bahkan hati mereka umpama kaca juga jangan dipermainkan.</t>
  </si>
  <si>
    <t>@gigihprakoso21 @sarimusdar09 @berniemohammad WNI enggak. Gitu.</t>
  </si>
  <si>
    <t>Anda yang teriak2 #IndonesiaMajuCumaHalu punya rasa malu gak sama negara tetangga ? WNI ——&gt; pemerintah indonesia...bla....bla....bla..... Warga Malaysia ——-&amp;gt; “ Mari bantu malaysia, negara kita sendiri “ Beda MENTAL &amp; KUALITAS 😏</t>
  </si>
  <si>
    <t>RT @Puteriswift_: Yo yo lahtu</t>
  </si>
  <si>
    <t>Kita nggak munafik nyalahin cewe pake baju ketat/sexy gan. Karena kita emang nganjurin kalau emang udah gak tahan, pake kondom sekaligus main sama PSK. Jangan nyalahin baju cewe. Otak mesum tapi gratisan kayak kalian itu ajaran ISIS. Wkakakak. Ngentot kok nyalahin baju orang. RT @TTerbelah: @LapakJersey90 Nah bener kan Memang orang cacat moral</t>
  </si>
  <si>
    <t>Italia menutup seluruh wilayah negaranya untuk mencegah penyebaran corona</t>
  </si>
  <si>
    <t>Ratusan WNI Kru 2 Kapal Pesiar Ikuti Penyuluhan Kesehatan di Pulau Sebaru Kecil - Berita Trans  lewat @beritatrans</t>
  </si>
  <si>
    <t>@RizviIshrat RSS ko jhehadi sangatan nhi hai .. social workers hai . Aur rahi baat is video ki isme ek b jhut hai toh boolo tb baat Karna . ISIS ki soch rakhne walo ko kya samje ga desh ke baare me</t>
  </si>
  <si>
    <t>RT @Katrina__SO9: KBRI Imbau WNI Tak ke Mekah-Madinah  Semoga Cepat Teratasi Semua nya...!!! #IndonesiaMajuCumaHalu #IndonesiaMajuCumaHalu</t>
  </si>
  <si>
    <t>PRESS RELEASE 10 MARET 2020 - WNI Dikonfirmasi Sebagai Kasus ke-152 COVID-19 di Singapura. #Inidiplomasi #NegaraMelindungi #kbrisingapura #Covid19</t>
  </si>
  <si>
    <t>@tyrannosdotrex Ga harus isis ya tablo</t>
  </si>
  <si>
    <t>@kurawa @jokowi lockdown itu lbh baik atau hrs menerap kan sistem dimana turis / wni yg balik ke +62 hrs menunjukan sertifikat bebas covid19 / di karantina slma minimal 14 hari sblm memasuki indonesia itu saran saya pak @jokowi 🙏 dan itu saya belajr dri negara di mana sya bekerja 🙏</t>
  </si>
  <si>
    <t>@NdonTwit @UyokBack ane lihat berita2 di youtube para WNI yg wisata ke wisata halal mustafa. andaikan ada yg bilang. kan itu secara kebetulan saja. kan toko bukan mustafa saja. kan wkt itu kondisi memang hrs ngantri tapi bkn mustafa saja itu msng2 punya analaisa sendiri. &amp; jgn ditentang analisa ane</t>
  </si>
  <si>
    <t>3 WNI di Singapura Danai Teroris, BNPT Minta Warga Hati-Hati Berdonasi</t>
  </si>
  <si>
    <t>RT @vintenas: Jadi di Jakarta yg kena Corona berapa banyak? Tadi ada yg di Singapore bilang dr WNI dr Jakarta, sekarang di Perth? @jokowi</t>
  </si>
  <si>
    <t>Kirim Uang ke 'Lembaga Amal', 3 WNI di Singapura Dihukum dengan UU Terorisme</t>
  </si>
  <si>
    <t>Imbauan dirilis usai pemerintah mengisolasi seluruh Italia</t>
  </si>
  <si>
    <t>"Sekian ratus (paspor) kalau enggak salah itu yang diblokir, tapi kita belum tahu di mana (keberadaan WNI eks-ISIS di Suriah),"</t>
  </si>
  <si>
    <t>@Agustinekyy Lu kira isis</t>
  </si>
  <si>
    <t>@Nidhi humare taraf se ISIS wale apke vai logo ko happy holi bata dena</t>
  </si>
  <si>
    <t>Jadi Donatur Teroris, Tiga WNI Diamankan Otoritas Singapura</t>
  </si>
  <si>
    <t>RT @kompascom: "Italia masih sanggup untuk merawat WNI kita yang ada di sana, dan masih bertanggungjawab untuk itu. Dan kita tidak terlalu mempermasalahkan itu,"</t>
  </si>
  <si>
    <t>RT @Bocah__koplak: @BahasaHati6 @AnakLolina @Spider__id @zonk_brain @retno_setyowat @__MV_llestari__ Mereka sama2 wni Punya hak yg sama</t>
  </si>
  <si>
    <t>@BahasaHati6 @AnakLolina @Spider__id @zonk_brain @retno_setyowat @__MV_llestari__ Mereka sama2 wni Punya hak yg sama</t>
  </si>
  <si>
    <t>RT @kompascom: BNPT mengakui kesulitan melakukan verifikasi data karena keterbatasan akses untuk menembus wilayah kamp pengungsian WNI terduga eks-ISIS.</t>
  </si>
  <si>
    <t>Mantan Anggota ISIS Ingin Bantu Deradikalisasi di Jateng</t>
  </si>
  <si>
    <t>BUAH LOS ROMANOOOOOH RT @MargaretCastor: Acabo de pensar. Tengo dos padres. Cuatro abuelos. Ocho bisabuelos. Dieciséis tatarabuelos. ¡Es exponencial! He cogido un Excel y he calculado que hace 2000 años había más de 1.000.000.000.000.000.000.000.000.000.000 personas SÓLO DE MI FAMILIA.</t>
  </si>
  <si>
    <t>RT @kompascom: KBRI Riyadh imbau WNI terkait pencegahan virus corona di Arab Saudi.</t>
  </si>
  <si>
    <t>RT @alifwiralodra: GASken #programfolback 3 Sungkem @TheArieAir 🙏 @diannovie03 @aphongedan @3rdpartyapps @SekarPurnama10 @ISIS_Balik_NO @beatsbydrdreeee @a9ustiono @MardiSiswoyo6 @hermawanjsp @QalbuBahasa @JOKER_JJ_JOKER @jimmysimada @BudiEmEm @NilamCa08803578 @saefaliebahri_ SILASALING FOLLOW🇲🇨</t>
  </si>
  <si>
    <t>Keputusan pemerintah menolak kepulangan WNI eks ISIS telah tepat</t>
  </si>
  <si>
    <t>RT @emirazahari: selepas istikharah, aku berharap semoga keputusan yg dibuat adalah tepat, dan membawa kebaikan pada masa akan datang. semoga Allah terus memberikan petunjuk-Nya serta menunjukkan jalan yang lurus.</t>
  </si>
  <si>
    <t>"Italia masih sanggup untuk merawat WNI kita yang ada di sana, dan masih bertanggungjawab untuk itu. Dan kita tidak terlalu mempermasalahkan itu,"</t>
  </si>
  <si>
    <t>Rokok yang jelas jelas membunuh 217.400 penduduk indonesia tiap tahun aja masih kalian hisap. Kenapa saat ada 2 WNI positif corona kalian langsung panik ?? #LawanCOVID2019 #COVID2019 @djikp @kangarul</t>
  </si>
  <si>
    <t>Menlu Retno Benarkan 1 WNI Terinfeksi COVID-19 di Australia</t>
  </si>
  <si>
    <t>RT @kompascom: Dari 160 pasien virus corona di Singapura, 4 di antaranya merupakan warga negara Indonesia</t>
  </si>
  <si>
    <t>KBRI Imbau WNI Tak ke Makkah, Madinah, Qatif Demi Cegah Corona</t>
  </si>
  <si>
    <t>@ISIS_Balik_NO @TofaTofa_id @hendrickliem Beda langit dan jurang lah, Anies didukung jutaan orang. Btp saking disayang warga pe lari masuk kebon ditimpukin warga Haghaghag</t>
  </si>
  <si>
    <t>KBRI Imbau WNI Tak ke Mekah-Madinah  Semoga Cepat Teratasi Semua nya...!!! #IndonesiaMajuCumaHalu #IndonesiaMajuCumaHalu</t>
  </si>
  <si>
    <t>RT @ruangobrol_id: [BALU] Pak Ganjal kelen ih mau kelja sama belantas plopaganda ISIS. Gubelnulku Kang @ridwankamil kapan euy?</t>
  </si>
  <si>
    <t>@cjwerleman Meanwhile ISIS, Taliban, Al Qaeda and others- Toh mai kya karu?? Job chhod du??</t>
  </si>
  <si>
    <t>RT @dnaminpark: @SiswadiMargo @SusilawatiSisi2 @TopToross @jokowi Nggak cuman wni, harusnya juga WNA... Soalnya baru juga beberapa hari yg lalu liat vlog orang jepang masuk ke indonesia lewatin bandara nggak ada pemeriksaan dan sterilisasi wna di indo... Boro2 mau waspada virus, kalau bordernya aja nggak melakukan antisipasi🤣🤣🤣</t>
  </si>
  <si>
    <t>RT @SiswadiMargo: @SusilawatiSisi2 @TopToross @jokowi Awasi ketat pintu masuk pelabuhan laut dan udara awasi WNI yg baru datang dari daerah yg terserang virus corona dan biasakan hidup sehat serta kesiap siagaan rumah sakit tenaga medis dan kordinasi pusat daerah dlm memberi rasa yakin kita mampu mengatasi masalah ini</t>
  </si>
  <si>
    <t>RT @SusilawatiSisi2: @jokowi Minimalisir kunjungan org asing dr ngr lain ke Indonesia, sgt riskan..agr lbh mudah penangann antisipasi bg WNI di dlm negri thdp virus corona😊</t>
  </si>
  <si>
    <t>@tanyaAzka @Riyadi03416298 @susipudjiastuti Trus yg mau kamu perjuangkan itu pusat perjuangan dimana...? ISIS juga ngaku2 memperjuangkan khilafah dan sekarang hancur berkeping2... Negeri mana yg sudah menerapkan Khilafah dan hidup makmur....?</t>
  </si>
  <si>
    <t>@masngol "Apa tanggapanmu terkait rencana pemulangan ex isis?"</t>
  </si>
  <si>
    <t>WNI IBU DAN ANAK TERKENA VIRUS CORONA</t>
  </si>
  <si>
    <t>@DjokoEdhi1 Ahok itu WNI ga ada bedanya dgn you. Semua org yg diakui UU sbg WNI ya sama aja. Dari suku jawa, batak, badui, dayak, makasar, minahasa, papua, atau dari turunan raja atau punakawan, etnis arab, tionghoa, portugis, belanda, atau dari mana aja ya sama aja WNI.</t>
  </si>
  <si>
    <t>@jokowi Mari Pak... Ikuti cara Israel yang mengkarantina Pendatang WNI maupun WNA dari Luar Negeri, Kita heboh dgn WNI di Obs. di Natuna, di Pulau Sebaru, tetapi yang masuk satu persatu sepertinya kurang sigap, apalagi klo sdh minum obat penurun panas, gejala panas ga bakal kedeteksi.</t>
  </si>
  <si>
    <t>@ustadtengkuzul @rezky_ris @jokowi Gak perlu diperhatikan para buzzer dongok itu..! Narasi rezim slm ini sdh sangat gamblang. Teroris Isis dan Alqaeda adalah bentuk false flag operation, yg itu gak mereka pahami. Demi Proyek Islamofobia global.</t>
  </si>
  <si>
    <t>Update persebaran Covid-19 di dunia dan Perlindungan WNI per 10/3 2020 #inidiplomasi #indonesianway #negaramelindungi RT @Kemlu_RI: #SahabatKemlu, berikut update Perkembangan COVID-19 di Dunia dan Pelindungan WNI per 10/03 pukul 09.00 WIB. Hingga kini 15 WNI di luar negeri telah terkonfirmasi COVID-19. #IniDiplomasi #NegaraMelindungi</t>
  </si>
  <si>
    <t>@sbyfess Mesisan gundul isis</t>
  </si>
  <si>
    <t>Ragam stigma untuk para istri ex pendukung ISIS. Perempuan dalam pencegahan ekstremisme kekerasan 🙋</t>
  </si>
  <si>
    <t>@kompascom Baiknya daftar yg sumbang ke teroris (ISIS, JAD, HTI) dikirim ke Singapore saja pak Suhardi.</t>
  </si>
  <si>
    <t>Rencana Mau Rusak 5000 Generasi Muda, Polres Bintan Amankan 2 WNA Malaysia Dan 1 WNI</t>
  </si>
  <si>
    <t>@KemenkesRI @ditpromkes Mari... Ikuti cara Israel yang mengkarantina Pendatang WNI maupun WNA dari Luar Negeri, Kita heboh dgn WNI di Obs. di Natuna, di Pulau Sebaru, tetapi yang masuk satu persatu sepertinya kurang sigap, apalagi klo sdh minum obat penurun panas, gejala panas ga bakal kedeteksi.</t>
  </si>
  <si>
    <t>Suhardi mengatakan, sebelumnya ia telah berkunjung ke Singapura dan menemui otoritas setempat guna mengetahui duduk perkara ketiga WNI tersebut.</t>
  </si>
  <si>
    <t>Lewat KBRI, Pemerintah Pantau Kondisi WNI Ketiga Positif Covid-19 di Singapura</t>
  </si>
  <si>
    <t>RT @_aiek_esthreem_: #BailOutAkalAkalanRezim #BailOutAkalAkalanRezim @mohmahfudmd : RUU Omnibus Law Cipta Kerja Enggak Ada Urusannya dengan China  Tp kebijakan ini lbh menguntungkan org China, Cukong &amp; taipan China drpd WNI</t>
  </si>
  <si>
    <t>#BailOutAkalAkalanRezim #BailOutAkalAkalanRezim @mohmahfudmd : RUU Omnibus Law Cipta Kerja Enggak Ada Urusannya dengan China  Tp kebijakan ini lbh menguntungkan org China, Cukong &amp; taipan China drpd WNI</t>
  </si>
  <si>
    <t>RT @farisafauzi: Mintak maaflah tapi org bodo je yg comparekan SMK dgn sbp or mrsm. Bodo2 budak sbp or mrsm, diorang still budak terpilih yg masuk sekolah tu. SMK ni sekolah open. Cabaran lagi tinggi untuk survive dlm akademik.</t>
  </si>
  <si>
    <t>kpop das antiga p isis = 2016 jkkkkk</t>
  </si>
  <si>
    <t>RT @HausofHilton: Menteri Belia Dan Sukan - Bukan Belia pun. Doktor Kanak Kanak - Tapi tak kahwin dan takde anak lagi pun. Habis nak jadi Doktor Pakar Forensik, kena mati dulu lah eh? #Sarcasm</t>
  </si>
  <si>
    <t>@UllbimaNtb @sandiuno Sebentar, gw lihat statement nya ga ada dukung omnibuslaw. Tolong kalo ada video atau info yang lebih jelas ya. Bang sandi tolong penjelasannya. Bener atau ga, alasannya apa, berapa sih dana investasi yang bisa diserap? Berapa sih tenaga kerja yang bisa diserap? Pribumi/WNI ya</t>
  </si>
  <si>
    <t>RT @AnsorKecRakit: PBNU Tolak Eks ISIS Pulang ke Tanah Air "Saya tolak,saya tdk setuju. Mereka sudah meninggalkan negara, sudah membakar paspornya,sudah mengatakan kita ini togut,terutama NU, anshorut togut, pendukung togut," kata kiai Said #TolakWNIEksISIS</t>
  </si>
  <si>
    <t>WNI yang positif corona telah membaik #SelasaSambat</t>
  </si>
  <si>
    <t>RT @ebongBOY: @53N74N7H kebiadaban nya yang msh di anggap wajar oleh bani khilafah +62</t>
  </si>
  <si>
    <t>“Khilafah sering menjustifikasi gerakannya pada masa khulafaur rasidin. Padahal konsep dan sistem yang dibangun serupa dengan ISIS dan Khilafatul Muslimin. Baik sistem pemerintahannya sampai eksistensi warganya.” . . . #sangkhalifah #saynotokhilafah #saynotokhilafahislamiyah</t>
  </si>
  <si>
    <t>RT @OlgaLy_DIA: Tiap inget WNI bakar paspor jd inget susahnya Susi Susanti dpt SKBRI buat nikah.. Sudah kasi medali emas olympiade pertama buat Indonesia.. Yang udah WNI malah bakar paspor trs minta lagi jadi WNI? Ikut proses kyk Susi aja, sana maen bulutangkis, kali aja Olympiade Tokyo dpt emas</t>
  </si>
  <si>
    <t>@kompascom Ormas2 isis memang brutal. Makanya wajib dibinasakan secepatnya</t>
  </si>
  <si>
    <t>Esensialisme Agama ala ISIS, Perspektif Fazlurrahman (Bagian VIII)</t>
  </si>
  <si>
    <t>RT @KapanLagicom: Enam WNI Positif Virus Corona, Ari Wibowo: Saya Nggak Percaya.</t>
  </si>
  <si>
    <t>Apakah pemikiran ini seperti TERORIS ISIS ? RT @ustadtengkuzul: Sementara Menkopolhukam sudah berani menyebutkan "Sistem Pemerintahan Rasulullah HARAM dan TIDAK BOLEH Dipakai"... Semuanya bermuara kepada MENGHILANGKAN AGAMA, Khususnya Islam. Pak @jokowi ,saya mau bertanya TEGAS TEGAS. Apakah Rezim Bapak memang mau membuang Agama dari NKRI?</t>
  </si>
  <si>
    <t>Mantan Napiter: Anggota ISIS Perempuan Lebih Radikal dan Militan</t>
  </si>
  <si>
    <t>@Nnyzhuxin1 @PantunJ2P Jaipongan....kesenian yg mati semenjak Sapi Berkuasa di Jabar</t>
  </si>
  <si>
    <t>@BgawanKusuma @Winardhi__ ISIS juga Islam lho .. 😇😇</t>
  </si>
  <si>
    <t>@Irenecutemom Menyakitkan !</t>
  </si>
  <si>
    <t>@_aiek_esthreem_ Malunya pak @jokowi kita sbg WNI di rendahan sprti itu oleh negara tetangga 🙄🙄</t>
  </si>
  <si>
    <t>RT @danielsagala006: Ada yg bisa jelaskan maksud beliau? Kalo Kristen boleh bugil. @Dennysiregar7 @permadiaktivis @mbahCokro77 @RizmaWidiono @RomeskoP @Irenecutemom @mamiagarislucu @TaraBasro Tolong @DivHumas_Polri agar di tindak..</t>
  </si>
  <si>
    <t>@zenoldgonzalez @Airin_NZ Tentu tidaklah.. ahok kinerjanya luar biasa semua orang mengakui..yg picek kan hanya isis dan simpatisan, kadrun serta pembencinya saja</t>
  </si>
  <si>
    <t>@MariawanDede Si dungu dudidudam...😂</t>
  </si>
  <si>
    <t>RT @hermawanjsp: @diannovie03 @alifwiralodra @TheArieAir @aphongedan @3rdpartyapps @SekarPurnama10 @ISIS_Balik_NO @beatsbydrdreeee @a9ustiono @MardiSiswoyo6 @QalbuBahasa @JOKER_JJ_JOKER @jimmysimada @BudiEmEm @NilamCa08803578 Waduh... kayak lyric lagu "Aku Yang Tersakiti" nih😭. Dah jangan sedih dech, krn jodoh akan menemukan jalannya sendiri. Ayoo semangaat!!!😃👍 #programfolback</t>
  </si>
  <si>
    <t>RT @VaniaCiprut: Nah kalo udah masalah korupsi &amp; pencucian uang ini musti diselidiki sampe ke akar²nya Rumah DP 0 rupiah punya janji m4nies gabener seiman Berharap kasus ini tidak lolos begitu saja #BongkarKorupsiDP0Rupiah #BongkarKorupsiDP0Rupiah *</t>
  </si>
  <si>
    <t>Seorang mantan anggota ISIS menemui Gubernur Jawa Tengah @ganjarpranowo ingin bantu program deradikalisasi yang digalakkan Pemprov Jateng. Efektif tidak @BroSisElshinta? LIVE! Pengamat Terorisme UIN Walisongo Semarang Najahan Musyafak  #ElshintaEdisiSiang</t>
  </si>
  <si>
    <t>Jangan Kaget, Ini Jumlah Gaji WNI yang Bekerja di Amerika Bikin Geleng-geleng</t>
  </si>
  <si>
    <t>@ajewanixx Kuatkan imanmu, Wni..😇</t>
  </si>
  <si>
    <t>WNI Positif Corona, Apakah Ditanggung BPJS Kesehatan?</t>
  </si>
  <si>
    <t>RT @lookslina: @AlfaOmega0110 @Maryam59771644 @AremaNita__ @pasektohpati @_nice69_ @agama_nusantara @daunsirih5 @Jelantik5 @onsrgst @rullyjoo27 @SeruniPuspaAlam Sudah ribuan orang berpindah ke agama leluhurnya sejak keyakinan/kepercayaan lokal diakui dan disahkan oleh negara. Semoga semakin banyak lagi jumlahnya, sampai saatnya beru tercatat 12 juta WNI menganut agama leluhurnya.</t>
  </si>
  <si>
    <t>Bismillah praktikum kimia anal isis instrumen</t>
  </si>
  <si>
    <t>Esensialisme Agama ala ISIS Perspektif Fazlurrahman (Bagian VIII)</t>
  </si>
  <si>
    <t>Gimna kabar para wni yang dikarantina di natuna, apakah mereka baik2 saja??apa tidak ada pengecekkan ulang kesehatan lag?</t>
  </si>
  <si>
    <t>RT @kompascom: Berikut daftar 37 negara bebas visa untuk pemegang paspor Indonesia. &gt; #Travel</t>
  </si>
  <si>
    <t>br aku kira kmrn kl aku gagal jd wni krn susah bgt mapel pkn,tppp skrg yg paling gua akuin bgtbgt kl aku gapunya jiwa seni samsek yallah maunangis susah bgt😭😭</t>
  </si>
  <si>
    <t>@rayestu Menurutku yg paling simpel gak ribet gak bikin tambah tekor krn gak butuh banyak pegawai dan gak gak yg lain itu semua WNI ditanggung negara BPJS nya tp dg syarat kelas 3 dan gak boleh naik kelas kalau ngamar. kalau mau naik kelas ya brarti mampu dan bayar sendiri.</t>
  </si>
  <si>
    <t>@Restichayah Hihihihi....iya, ngakunya isas isis pejuang jihadi begitu ada soal penistaan, kicep mereka.....momok mainan doang 😅</t>
  </si>
  <si>
    <t>update Perkembangan COVID-19 di Dunia dan Pelindungan WNI per 10/03 @ 09.00 WIB. Hingga kini 15 WNI di luar negeri telah terkonfirmasi COVID-19. Tetap waspada; proaktif menjaga kebersihan dan kesehatan sebaik mungkin. #IniDiplomasi #negaramelindungi #repost @Kemlu_RI</t>
  </si>
  <si>
    <t>@AhsanFurqanIbr9 @Restichayah @sukatanyaj Teroris asli itu kayak ISIS</t>
  </si>
  <si>
    <t>Tarik kembali RUU Cipta Kerja! Batalkan Formula E! Lupakan Ibu Kota Baru! Sudahi rencana pulangin eks WNI ISIS! Saat ini sluruh energi negara harus fokus urusi wabah korona! Jgn terlambat seperti Italia! Pak @jokowi mohon langsung pimpin perang melawan korona ini! Merdeka!!!</t>
  </si>
  <si>
    <t>RT @Metro_TV: #MetroSiang Achmad Yurianto, Jubir Penanganan Covid-19 menyatakan pasien positif #VirusCorona bertambah menjadi 19 orang. Kasus baru berasal dari WNI yang baru pulang dari luar negeri, serta tambahan kasus dari cluster Jakarta.</t>
  </si>
  <si>
    <t>@Risayang__ bukan WNI dia WKWK</t>
  </si>
  <si>
    <t>@CastilloJoshima Manusia gitu jadi pemimpin akan banyak WNI yang minta suaka politik ke negara lain......</t>
  </si>
  <si>
    <t>RT @vivanewscom: KBRI Imbau WNI Tak ke Mekah-Madinah, Jangan Coba-coba Bikin Hoax  #vivanews</t>
  </si>
  <si>
    <t>WNI Korban Corona 19 Orang, Mbah Mijan Bahas Akhir Zaman Sindir Kaum Nyinyir</t>
  </si>
  <si>
    <t>KBRI Imbau WNI Tak ke Mekah-Madinah, Jangan Coba-coba Bikin Hoax  #vivanews</t>
  </si>
  <si>
    <t>RT @FootballTribeID: [BREAKING NEWS] Seluruh wilayah Italia akan diisolasi dan @SerieA akan dihentikan sementara hingga 3 April 2020 karena meluasnya wabah corona. Untuk seluruh pemain, pelatih, suporter dan warga Italia terlebih WNI di Negeri Pizza... Guarisci presto! #CoronavirusOutbreak</t>
  </si>
  <si>
    <t>pasien 15 di Indonesia; WNI +-50-an tahun gaada riwayat keluar negeri. cuma memang sempet ada ditengah keramaian di jkt. Temen2 semua, BE SAFE!</t>
  </si>
  <si>
    <t>RT @vivanewscom: KBRI Riyadh Imbau WNI Tak ke Mekah-Madinah, Waspada Hoax  #vivanews</t>
  </si>
  <si>
    <t>KBRI Riyadh Imbau WNI Tak ke Mekah-Madinah, Waspada Hoax  #vivanews</t>
  </si>
  <si>
    <t>@popsiclekiwi nah itu, makanya enak banget kalau search jepang langsung nemu 😂😂😂 gua search2 malah jadi kaget ternyata 2020 ini baru mau mulai sensus penduduk buat wni di luar, wait berarti selama gini gak ada datanya kah??? gitu 😂😂</t>
  </si>
  <si>
    <t>Ratusan WNI yang Diobservasi di Pulau Sebaru Diberi Penyuluhan soal Virus Korona #TauCepatTanpaBatas #BeritaTerkini #Berita #News #BeritaNasional .</t>
  </si>
  <si>
    <t>@MardiSiswoyo6 @hermawanjsp @alifwiralodra @TheArieAir @aphongedan @3rdpartyapps @SekarPurnama10 @ISIS_Balik_NO @beatsbydrdreeee @a9ustiono @QalbuBahasa @JOKER_JJ_JOKER @jimmysimada @BudiEmEm @NilamCa08803578 wkwkwkkk</t>
  </si>
  <si>
    <t>@do_ra_dong Keraguan Australia atas kemampuan pemerintah Indonesia pada penanganan #COVIDー19 terbukti 1 WNI di Australia Terjangkit</t>
  </si>
  <si>
    <t>Ulangi stlh tadi cuitannya dihapus. Knp jumlah WNI di Singapura yg tertular COVID-19 terus bertambah, Min? 🤦Lama-lama parno juga nih ke Singapura. RT @Kemlu_RI: #SahabatKemlu, berikut update Perkembangan COVID-19 di Dunia dan Pelindungan WNI per 10/03 pukul 09.00 WIB. Hingga kini 15 WNI di luar negeri telah terkonfirmasi COVID-19. #IniDiplomasi #NegaraMelindungi</t>
  </si>
  <si>
    <t>Takut ga sih?</t>
  </si>
  <si>
    <t>RT @lookslina: @AlfaOmega0110 @Maryam59771644 @AremaNita__ @pasektohpati @_nice69_ @agama_nusantara @daunsirih5 @Jelantik5 @onsrgst @rullyjoo27 @SeruniPuspaAlam Sampai saat ini baru tercatat 12 juta WNI menganut agama leluhurnya. Kalimat ini yg benar, sekaligus merupakan ralat bagi tweet saya sebelumnya ya. Ngetweet di kereta goyang jd kacau nulisnya. Thanks</t>
  </si>
  <si>
    <t>#SahabatKemlu, berikut update Perkembangan COVID-19 di Dunia dan Pelindungan WNI per 10/03 pukul 09.00 WIB. Hingga kini 15 WNI di luar negeri telah terkonfirmasi COVID-19. #IniDiplomasi #NegaraMelindungi</t>
  </si>
  <si>
    <t>RT @TirtoID: Pemerintah menyebut seorang WNI yang positif mengidap Covid-19 di Australia diduga tidak terjangkit saat di Indonesia.</t>
  </si>
  <si>
    <t>Kenapa yg di Singapura, jmlh WNI yg tertular terus nambah, Min?</t>
  </si>
  <si>
    <t>@AlfaOmega0110 @Maryam59771644 @AremaNita__ @pasektohpati @_nice69_ @agama_nusantara @daunsirih5 @Jelantik5 @onsrgst @rullyjoo27 @SeruniPuspaAlam Sampai saat ini baru tercatat 12 juta WNI menganut agama leluhurnya. Kalimat ini yg benar, sekaligus merupakan ralat bagi tweet saya sebelumnya ya. Ngetweet di kereta goyang jd kacau nulisnya. Thanks</t>
  </si>
  <si>
    <t>RT @diannovie03: @alifwiralodra @TheArieAir @aphongedan @3rdpartyapps @SekarPurnama10 @ISIS_Balik_NO @beatsbydrdreeee @a9ustiono @MardiSiswoyo6 @hermawanjsp @QalbuBahasa @JOKER_JJ_JOKER @jimmysimada @BudiEmEm @NilamCa08803578 Janganlah pernah membuat seseorang menjadi jatuh cinta padamu, namun dirimu sendiri masih belum bisa memberikan hatimu padanya seutuhnya. mksh mas 🙏🙏🙏</t>
  </si>
  <si>
    <t>seandainya lo bertemu seorang yang dulunya pernah membunuh, korbannya puluhan atau mungkin ratusan. apa lo yakin dia masih punya nalar dan akal sehat? iya? jadi dulu dia menghilangkan banyak nyawa juga pake akal sehat? berarti setuju juga ya klo ex ISIS pulang kesini?</t>
  </si>
  <si>
    <t>Kemlu Pantau Kondisi dan Jalin Komunikasi dengan Para WNI di Italia Utara cc @fadjroeL @JubirPresidenRI @PedomanNEWS @PEDOMAN_id @SunandarPS #SelasaSambat</t>
  </si>
  <si>
    <t>Kemlu Pantau Kondisi dan Jalin Komunikasi dengan Para WNI di Italia Utara cc @fadjroeL @JubirPresidenRI @PedomanNEWS @PEDOMAN_id @SunandarPS  #SelasaSambat #Selasasemangat</t>
  </si>
  <si>
    <t>TELL US ABOUT YOURSELF OOC 1. Antariksa Shareen Natapradja 2. 3. Day6 — Letting go 4. 15.757 5. Spotify 6. 7. UI'18 8. WNI 9. No 10. No 11. Thunder, snake 12. 2015-2020 13. 14. Kebo dan kelelawar menjadi satu. DROP AN EMOJI FOR THE QUESTIONS</t>
  </si>
  <si>
    <t>@AlfaOmega0110 @Maryam59771644 @AremaNita__ @pasektohpati @_nice69_ @agama_nusantara @daunsirih5 @Jelantik5 @onsrgst @rullyjoo27 @SeruniPuspaAlam Sudah ribuan orang berpindah ke agama leluhurnya sejak keyakinan/kepercayaan lokal diakui dan disahkan oleh negara. Semoga semakin banyak lagi jumlahnya, sampai saatnya beru tercatat 12 juta WNI menganut agama leluhurnya.</t>
  </si>
  <si>
    <t>Menyusul kondisi di Arab Saudi yang waspada virus korona covid-19, Kedutaan Besar Republik Indonesia di Riyadh mengimbau WNI mengeluarkan imbauan.</t>
  </si>
  <si>
    <t>@Ayang_Utriza @NUgarislucu @maarifinstitute warga baduy ini terpaksa meng-selam, eslamkan agemannya karena birokrasi yg dicanangkan. jika tidak maka secara administratif haka2nya sbagai wni hilang. 😁lapur dihakan jurig. ☺sunda wiwitan itu di cigugur sebelah.. lupa ☺dan ada dua mashab besar yg memadukan konsepsi..</t>
  </si>
  <si>
    <t>Siang semuanya. #SelasaSambat Kemlu Pantau Kondisi dan Jalin Komunikasi dengan Para WNI di Italia Utara cc @fadjroeL @JubirPresidenRI @PedomanNEWS @PEDOMAN_id @SunandarPS</t>
  </si>
  <si>
    <t>RT @SCTV: Pemerintah kembali umumkan pasien positif corona di Indonesia bertambah jadi 19 orang. 17 merupakan WNI, sementara 2 di antaranya adalah WNA. #Liputan6SCTV</t>
  </si>
  <si>
    <t>WNI yang divonis positif COVID-19 di Singapura dikabarkan sempat mencari perawatan ke sejumlah rumah sakit di Jakarta. Ia juga disebut mulai merasakan gejala COVID-19 sejak tanggal 28 Februari atau sebelum tiba di Singapura.</t>
  </si>
  <si>
    <t>ISIS tidak melawan Israel tetapi di bentuk untuk melawan Umat Islam. Teroris dikembangbiakkan untuk merusak citra Islam bukan bela kepentingan Islam. Dari sini kita tahu bahwa ISIS dan kelompok TERORIS adalah kaki tangan barat dan rezim kapitalis. RT @Restichayah: Ketauan juga teroris2 itu binaaan siapa dan kenapa semua Teroris saat Si Jamban berkuasa dan menista Alquran mereka para Teroris mingkem .</t>
  </si>
  <si>
    <t>Selamat siang #SelasaSambat Kemlu Pantau Kondisi dan Jalin Komunikasi dengan Para WNI di Italia Utara cc @fadjroeL @JubirPresidenRI @PedomanNEWS @PEDOMAN_id @SunandarPS</t>
  </si>
  <si>
    <t>@ustadtengkuzul @jokowi Hai zul kau ini manusia binatang yang berani mengatakan Jokowi mau buang agama Islam dari NKRI..... Ayo kita duel bangsat....!! Sistem Pemerintahan Rasulullah yg terbaik.... Yang haram dan sesat itu System Khilafah ISIS yg kamu anut... Brengsek loe ..!!</t>
  </si>
  <si>
    <t>@evisuryanti10 @SetiaAdy_p @CANDAdanBISNIS @RizkiR4madani @ArifinNKRI__ @BundaDi80262328 @JohnIrwan4 @yohanagril @edward_7011971 @MaryanaNunung @Klabangijo @qiunco2761 @Aprilaza3 @HarisSekipi @anindyabakrie @VIVAcoid @Aryprasetyo85 @NirmalaFirdaus_ @akumaia30 @tvOneNews @babegalak1 @APLpangeran1 @Jokoumb64504158 @periani @Randall_Rain @CumiCue @ILCtv1 @erickthohir @agusparjani @ayah_9Garislucu @Zae_Ilham @RazH_D11 @cahyani90976469 @DivHumas_Polri @BareskrimPolri @ustadtengkuzul @fahiraidris @AnakKolong___ @WagimanDeep__ @narkosun @FerdinandHaean2 @Sevri01 Cocok ini jadi perempuan-nya ISIS 😅😅😅</t>
  </si>
  <si>
    <t>Kemlu Pantau Kondisi dan Jalin Komunikasi dengan Para WNI di Italia Utara cc @fadjroeL @JubirPresidenRI @PedomanNEWS @PEDOMAN_id @SunandarPS</t>
  </si>
  <si>
    <t>Menyusul kasus WNI Positif #COVID19, Australia peringatkan warganya, Indonesia tidak memiliki kapasitas memadai pengujian virus #SARSCoV2 atau isolasi pasien "Terbatasnya fasilitas pengujian &amp; pengendalian infeksi...risiko penularan virus meningkat..." .</t>
  </si>
  <si>
    <t>@hobisunmi ISIS LINCOYAN ISIS LINCOYAN ISIS LINCOYAN ISIS LINCOYAN ISIS ISIS LINCOYAN ISIS LINCOYAN ISIS LINCOYAN ISIS LINCOYAN ISIS LINCOYAN ISIS LINCOYAN ISIS LINCOYAN ISIS LINCOYAN ISIS LINCOYAN ISIS LINCOYAN ISIS LINCOYAN ISIS LINCOYAN ISIS LINCOYAN REGALAME UN HANDROLL</t>
  </si>
  <si>
    <t>@bnczs_ brt no wpp</t>
  </si>
  <si>
    <t>Menlu Konfirmasi Satu WNI Positif Corona di Australia</t>
  </si>
  <si>
    <t>@kumarachristian @Red_Sky___ @GlHindu isis membunuh muslim juga tong bakar masjid juga tong. dan yg memasok senjata mereka bukan negara muslim tong. sedangkan india di dukung oleh pemerintah dan polisi buat ngebantai minoritas</t>
  </si>
  <si>
    <t>Total Tiga WNI Jadi Pasien Positif Virus Corona di Singapura</t>
  </si>
  <si>
    <t>@PradiptaArya4 @dickyrahma86 @hnurwahid salah dro! untuk melihat bagus dan baiknya 1 agama jgn lihat pemeluknya tapi lihat kitab sucinya... dan salah klo teroris itu sllu oknum islam.. Isis??? dia bentukan amrik</t>
  </si>
  <si>
    <t>Ketegasan Sikap Negara dalam mengambil tindak terhadap siapapun yang mengakibatkan dampak negatif ... Penyebab kerusakan atas nama apapun tidak dapat dibenarkan.</t>
  </si>
  <si>
    <t>@Nidhi Didi ISIS join kr ke fat padti kahi human bomb ban ke..</t>
  </si>
  <si>
    <t>RT @kiblatnet: Setidaknya dua tentara AS tewas pada Ahad (08/03/2020) selama operasi militer menyerbu tempat persembunyian anggota organisasi Daulah Islamiyah (ISIS) di Irak utara. Berikut ini kronologinya.</t>
  </si>
  <si>
    <t>25 Anggota ISIS Tewas di Irak Utara</t>
  </si>
  <si>
    <t>Antisipasi Covid-19, WNI di Arab Saudi Diimbau Tak ke Mekah, Madinah, dan Qatih &gt;&amp;gt;&amp;gt;&amp;gt;  #COVID2019 #COVID19 #CoronavirusOutbreak</t>
  </si>
  <si>
    <t>Sosialisasi Program 4 Quick Wins Polri, Memperkuat Kemitraan Polisi dengan Generasi Muda dalam Menangkal Radikalisme, Terorisme (ISIS) bersama Dr. Nasir Abbas (Malaysia), AKBP Dra. Fatimah, MM. (Baharkam Mabes…</t>
  </si>
  <si>
    <t>@elkrova Kirain mau modhar ikut ISIS</t>
  </si>
  <si>
    <t>@SayswhyCe Typically di Indonesia gitu, beda pendapat dikit langsung Non Muslim, langsung bukan WNI</t>
  </si>
  <si>
    <t>@With_TaeGi Salfok, Itu fotonya pake foto WNI yang baru landing di Natuna bukan sih?</t>
  </si>
  <si>
    <t>@Saefullloh Semangat bg ipul, aku baca komennya banyak sekali tuduhan non muslim dan bukan WNI</t>
  </si>
  <si>
    <t>@halolamp75 @Kars104 Mereka gak dianggap WNI</t>
  </si>
  <si>
    <t>RT @crossyana: Yok, yok, untuk WNI yang ada di Yogyakarta, yang belum kecetak E-KTPnya juga KIA-nya, yang udah komplit berkasnya, langsung saja let's go ke Pendopo Parasamya, Bantul 😁</t>
  </si>
  <si>
    <t>RT @terasid: Pengumuman pemerintah adanya WNI terkena virus corona diakui WHO tak mengejutkan mereka. Kok bisa? Artikel dimuat di mitra Teras, Sukabumi Update</t>
  </si>
  <si>
    <t>√ Kemlu Pantau Kondisi dan Jalin Komunikasi dengan Para WNI di Italia Utara cc @fadjroeL @JubirPresidenRI @PedomanNEWS</t>
  </si>
  <si>
    <t>RT @kompascom: Pemegang paspor Indonesia kini bisa mendapatkan akses bebas visa ke 37 negara di dunia sejak Januari 2020 | #Travel</t>
  </si>
  <si>
    <t>RT @validnewsco: Seorang warga negara Indonesia (WNI) yang berstatus penduduk tetap di Victoria, Australia, dilaporkan positif terinfeksi virus corona tipe baru. #Validnews</t>
  </si>
  <si>
    <t>@jr_kw19 Dan kalau pengen anaknya terjamin hidupnya, kirim ke suriah dulu, kan anak2 eka isis dipulangkan dan dijamin sampai dewasa😂, gitu ya.</t>
  </si>
  <si>
    <t>RT @ZAEffendy: BREAKING NEWS-Senin, 9 Maret: Hari ini jumlah pasien Positif #CODIV19 bertambah lagi 13 orang (2 WNA + 11 WNI), diumumkan Jubir Kemenkes/Ahmad Yurianto. Menjadikan total CONFIRMED 19 Cases</t>
  </si>
  <si>
    <t>Kogasgabpad TNI Pimpin Olahraga WNI ABK Observasi Pulau Sebaru</t>
  </si>
  <si>
    <t>Mslims modi ko gali de sakte hai , amit shah ko gali denge rss ko gali denge par isis, daud ibrahim aur baki terrorist ko kabhi gali nahi denge pata hai q. Bolo bolo 🤔</t>
  </si>
  <si>
    <t>RT @dw_indonesia: Menko Polhukam Mahfud MD menyebut pemerintah telah menjadikan rencana pemulangan anak yatim piatu WNI eks ISIS sebagai kebijakan resmi. Seperti dikutip dari , Mahfud MD mengatakan, sejauh ini identitas anak-anak yang akan dipulangkan belum bisa diumumkan.</t>
  </si>
  <si>
    <t>Hashd al-Shaabi Hancurkan Markas dan Tempat Persembunyian ISIS di Diyala</t>
  </si>
  <si>
    <t>RT @RizmaWidiono: @ganjarpranowo Terima Tawaran Eks ISIS Bantu Kampanyekan Deradikalisasi di Jateng, senin 9/3/2020. Febri Ramdani dkk, eks napi terorisme (napiter) ini berharap dapat mengurangi dosa &amp; kesalahan mrk pada masyarakat &amp;amp; negara. Mudah2an Bermanfaat 🙏🙏</t>
  </si>
  <si>
    <t>RT @_aiek_esthreem_: #CoronaBukaBorokRezim Saudi tak percaya Indonesia bebas VirusCorona LBP ingin TKA China kembali ke Indonesia Mahfud MD: "kabar Corona hoaks" Jokowi "akan berdiri bersama China hadapi Corona" Negara2 lain isolasi China Tetiba ada 2 korban WNI😷 🔁❤️ Feb 2019 Rezim jg bohong👇</t>
  </si>
  <si>
    <t>@ParbindraC Mslims modi ko gali de sakte hai , amit shah ko gali denge rss ko gali denge par isis daud ibrahim terrorist ko kabhi gali nahi denge pata hai q. Socho socho.</t>
  </si>
  <si>
    <t>@do_ra_dong Tandai dn Curigai semua pergerakan WNI/WNA model² china. sarankan utk menuju Bali utk berkumpul dg sebangsatnya. tinggal lockdown di ketapang sama lembar jalur daratnya.</t>
  </si>
  <si>
    <t>@GhurabaAkh1 @GZV19153875 @woundedKashmir ISI sy dar lgta ha kia😂.....fikr na kro ISIS ko end kr dey gy hm</t>
  </si>
  <si>
    <t>Kalau orang Indonesia di luar negeri adalah tanggung jawab dirinya ambil keputusan yang bijak untuk dirinya untuk kesehatan dirinya karena itu salah satu resiko tinggal di luar negeri. Dan belum tentu mereka masih WNI. @KemenkesRI @Kemlu_RI @jokowi @Kiyai_MarufAmin @setkabgoid RT @TirtoID: Kasus Corona sejauh ini di Indonesia: Sembilan kasus adalah klaster Jakarta dan 10 kasus lainnya berasal dari penularan di luar negeri.</t>
  </si>
  <si>
    <t>RT @Joss_Van_Dick: Din Samsudin ini, sekarang semakin jelas belangnya. Selain terindikasi terlibat mendukung ISIS, sekarang makin menunjukkan watak intoleransinya. Memang karakternya tidak bisa disembunyikan terus-menerus.</t>
  </si>
  <si>
    <t>Sikap WNI yang malu atau diam2 saat terkena penyakit ini tentu sangat menyulitkan pemerintah. Stigma negatif takut dikucilkan sdh dimulai saat identitas korban dibuka dan yang lain melakukan bully ke si korban. Kita masih primitif utk urusan ini jauh tertinggal dgn negara lain</t>
  </si>
  <si>
    <t>Kalo membaca kasus2 WNI positif corvid19 dari @KawalCOVID19 memang tanda2 "diam2" nya orang indonesia yang mempunyai gejala penyakit ini jelas.. mereka takut diisolasi lalu ke luar negeri dan disana baru ketahuan mereka sdh positif. Ini yg gue maksud dengan efek bola salju</t>
  </si>
  <si>
    <t>@bocin45 Diam. Jgn mule. W netral. Takut ketauan ketua isis</t>
  </si>
  <si>
    <t>RT @sofiankawar1: @cintada17 @wantahgdn @DivHumas_Polri Mungkin pendidikan agama yg dr ISIS x bung</t>
  </si>
  <si>
    <t>@PresidenKopi @Zinpeerzone Ga masalah tpi,harus WNI jga tau ke turunanya klg.</t>
  </si>
  <si>
    <t>@JackVardan Ga ada yg pengen judicial review itu permen ke MA, permen ko diskriminatif cm khusus bangsa tertentu, urusan pulang ke negara asal urusan pemerintahnya sana, buktinya sini bs pulangin WNI dr wuhan atau emg ada calling tkt tinggi untuk nampung mereka ini</t>
  </si>
  <si>
    <t>@do_ra_dong Pejabat semua berambisi menjadi SKPD Birokrasi di Pusat emang niatnya untuk merampokk. Nasib jd WNI beban utang sampai ke anak cucu kelak..</t>
  </si>
  <si>
    <t>RT @ConversationIDN: Yang tidak kalah penting dari isu kepulangan simpatisan ISIS adalah mengawasi arus keuangan mereka. Follow the money!</t>
  </si>
  <si>
    <t>RT @NomanAliKing1: @ZaidZamanHamid Yeh attacks khudh krwa rhy jb se Taliban ki deal hoyi ek dum hi ISIS active ho gyi yeh is liye apna sena dekha rha tha isy pata tha attack krny waly is k apne hain isy kuch nhi kahy gy</t>
  </si>
  <si>
    <t>Menlu: WNI pemegang `permanent resident` di Australia positif corona</t>
  </si>
  <si>
    <t>Ganjar Pranowo Ditemui Mantan Anggota ISIS dan Diberikan Sebuah Buku</t>
  </si>
  <si>
    <t>Kondisi WNI khususnya warga Muhammadiyah di Korsel sampai saat ini masih baik2 saja dan belum ada yg tertular virus corona. Kegiatan di luar sedikit dikurangi</t>
  </si>
  <si>
    <t>RT @imanfs165: @detikcom Dari 2 WNI menjadi 19 WNI.🤲😭🤲😭🤲😭 Bila situasi semakin menjadi, apakah tidak sebaiknya Yang Mulia Presiden @jokowi memerintahkan kepada @Puspen_TNI @tni_ad @_TNIAU @_TNIAL_ untuk membagikan Masker Gratis kepada seluruh WNI, khususnya daerah-daerah yg telah berdampak Corona.</t>
  </si>
  <si>
    <t>@angeles51287481 Ay si, tidis isis #ChairosDeCristal</t>
  </si>
  <si>
    <t>Media Australia, The Age dan ABC News, melaporkan seorang perempuan berusia 50 tahun menjadi pasien ke-12 yang dikonfirmasi positif terjangkit virus korona.</t>
  </si>
  <si>
    <t>WNI Positif Corona Naik Jadi 19 Orang, Istana: Jangan Panik, Bukan Wuhan</t>
  </si>
  <si>
    <t>@ustadtengkuzul @jokowi propagandamu itu zul, apa iya pemerintahan khilafah itu sprti isis di irak dn suriah? berjuang di negara muslim yg artinya korbanya umt muslim jg? ini zul yg diharamin. padaha ente jg tau ada frasa, jk kamu membunuh 1 umat muslim yg gak bersalah sm sj kamubunuh slrh umt muslim.</t>
  </si>
  <si>
    <t>RT @DonSokong: @VeronicaKoman Lha wong kamu WNI juga khianat sm negaramu sendiri juga bisa kok... 🙄</t>
  </si>
  <si>
    <t>RT @01Hariyan: @VeronicaKoman Demi di akui sebagai mujahid, Seorang anggota isis, tega membunuh ibu kandungnya. Demikian pula, anggota TPNPB, Pengecut, selalu berlindung dan berkamuflase di masyarakat. Seorang provokator kayak loe, Sama pengecutnya, dg mereka KKB Cuma teriak" dari negeri orang.</t>
  </si>
  <si>
    <t>@mochamadarip jika memang benar terbukti langsung eksekusi mati saja.biar mikir 2 kali yg lainnya yg nyumbang dana ke ISIS atau organisasi radikal.lainnya</t>
  </si>
  <si>
    <t>AQUARIUS GANG BABY😈♒️ RT @Kehlani: this is new for me but... it’s time to admit.... that i... really like aquarius’ y’all tight 🙄</t>
  </si>
  <si>
    <t>Narasi Inilah Yang Membuat Orang2 Jadi Enggan Untuk Bersikap Terbuka Terkait PENYEBARAN VIRUS CORONA! Jika Dua Orang WNI Yang Terpapar Virus Corona Itu,Tidak BERANI BICARA Dan Orang Yang Menularkannya BUKANLAH Orang Jepang... RT @hariankompas: Kabar bohong ancaman penyakit Covid-19 yang merebak di era digital bisa membuat publik panik. Namun, platform digital juga bisa dimanfaatkan untuk memahami pencegahan dan penyebarannya. #Nusantara #adadikompas</t>
  </si>
  <si>
    <t>RT @tiramvisu: “2 WNI dinyatakan positif terkena virus corona.” me :</t>
  </si>
  <si>
    <t>@KakekHalal @CecyliaCrystal @jokowi buat apa ada BPIP jika pengamalan pancasila dalam kehidupan sehari-hari tidak ada perlindungan untuk minoritas memiliki tempat ibadah untuk menjalankankan agamanya.Rindu pemimpin yg mengayomi semua WNI dlm beribadah dan mendirikan tempat ibadah. @jokowi @mohmahfudmd</t>
  </si>
  <si>
    <t>RT @Tommy93507168: @ruhutsitompul 😃😄😃 Karena kalah Dari hasrat kekuasaan Apapun mau dilakukan Mencerminkan Kerdilnya golongan tsb Yg seharusnya Sesama WNI Saling gotong royong Memajukan NKRI #RakyatSejahtera</t>
  </si>
  <si>
    <t>@KSogemaking @DTanjung15 Betul bro pd dasarnya WNI yg hatinya msh merah putih dan pancasila muak dgn keberadaan mereka, semoga pemerintah mendengar suara para netizen yg cinta NKRI utk memberangus keberadaan mereka hingga keakar2nya krn mereka hanya parasit bagi bangsa ini.</t>
  </si>
  <si>
    <t>@KakekHalal @CecyliaCrystal @jokowi pak presiden @jokowi sbg bapaknya semua WNI mohon kaum minoritas diberi tempat untuk beribadah, menkopolhukam @mohmahfudmd semoga ada jaminan hukum dan keamanan untuk minoritas dlm mendirikan tempat ibadah</t>
  </si>
  <si>
    <t>RT @nhyz_vip: @jiemiardian @kumparan Sdh saatnya indonesia menutup akses ke luar negeri dan menerima turis asing maupun wni yg baru kembali dr luar negeri utk sementara waktu diberhentikan seperti arab saudi yg sdh memberlakukan itu lbh dahulu, jgn hanya peduli pendapatan yg mnurun tapi mengabaikan safety warganya</t>
  </si>
  <si>
    <t>@Habibecker @sbyfess Heeee guduk isis iku 😭 Isis iku ga produksi permen heee</t>
  </si>
  <si>
    <t>RT @afyanIFP: Sepatutnya Hari Wanita disambut pada tarikh 1 Mac. Tapi disebabkan wanita lambat bersiap, ia disambut pada 8 Mac, lewat seminggu. Manakala Hari Lelaki pun sepatutnya ada juga tapi seperti biasa, orang lelaki selalunya lupa tarikh. Maka ia menjadi tarikh misteri setiap tahun.</t>
  </si>
  <si>
    <t>@WR_4AG226 Lama lama gw malah kepikiran profesor dungu ini, lebih masuk akal dibandingkan pemerintah sekarang. Sebut saja, pemulangan anak isis, pembiaran intoleran, omnibus law..... Dan banyak blunder2 konyol lainnya. @jokowi @mohmahfudmd @fadjroeL</t>
  </si>
  <si>
    <t>RT @keashe24: Pak @mohmahfudmd, hal begini kira2 bagaimana? Warga Katolik Gereja St Karimun itu WNI yg punya hak sama, negara wajib menyediakan tempat ibadah yg nyaman &amp; aman, hal spt ini bukankan termasuk mempersulit ibadah? Pembiaraan, pengabaian &amp;amp; menganggap remeh, kelak mjd bom waktu.</t>
  </si>
  <si>
    <t>@nanaanata @sbyfess ISIS nok Suriah wes kalah</t>
  </si>
  <si>
    <t>Himbauan kepada WNI di Panama, Kosta Rika, Honduras, dan Nikaragua #negaramelindungi #indonesianway</t>
  </si>
  <si>
    <t>Sekali tuan tampil dan menyebutkan dua WNI positif terjangkit Virus Corona, maka jejak Harun Masiku, Jiwasraya, Garuda, perdebatan Salam Pancasila dan juga polemik Omnibus Law, hilang dari percakapan publik.</t>
  </si>
  <si>
    <t>BNPB sebut observasi WNI di sebaru kecil lebih bagus dari Natuna.</t>
  </si>
  <si>
    <t>pemerintah akan evakuasi WNI dream abk dream ke pulau sebaru</t>
  </si>
  <si>
    <t>188 WNI di kapal world dream dijemput KRI soeharso</t>
  </si>
  <si>
    <t>RT @AnakKolong___: OJO LALI YO DAB.... . . AGEN ISIS iki isih gentayangan Bajingan Khilafah iki koq ra ndang MINGGAT neng Ghouta, Allepo &amp; wilayah²Syiria liyane, dukung ISIS lan ngelawan Assad TENANAN. . . | @TaliUdeng @Andri_C1AB @kopi_setan | prof @mohmahfudmd</t>
  </si>
  <si>
    <t>@sbyfess Pake permen isis tiap kali pengen ngerokok</t>
  </si>
  <si>
    <t>pemerintah tengah mengupayakan jalan keluar terbaik penanganan WNI awak kapal pesiar diamond princess di jepang dan world dream di perairan Indonesia.</t>
  </si>
  <si>
    <t>pemerintah akan evakuasi WNI abk world dream ke pulau sebaru</t>
  </si>
  <si>
    <t>RT @Bou_Chacha: @Mentimoen Jadi teringat kmrn ada WNI yg lagi jalan-jalan ke Italia dan diwawancarai live oleh MetroTv (sebelum di Indonesia diumumkan ada yg positif). Apa kabar dia ya? Alasan liburan sudah direncanakan lama dan dia ga mau menunda.</t>
  </si>
  <si>
    <t>@Mentimoen Jadi teringat kmrn ada WNI yg lagi jalan-jalan ke Italia dan diwawancarai live oleh MetroTv (sebelum di Indonesia diumumkan ada yg positif). Apa kabar dia ya? Alasan liburan sudah direncanakan lama dan dia ga mau menunda.</t>
  </si>
  <si>
    <t>Perkosa jamaat ber tahun tahun di Gereja...Para Togog&amp;Kecebong DUNGU...pade Mingkem Congornye. Giliran...ada WNI..yg Ter USIR...gegara Chatting..Rekayasa...Bertahun tahun masih ter USIR... Karena Kamu Kecebong dan Togog tidak jujur dan adil. Kamulah yg intolerans&amp;amp;Radikal BONG!</t>
  </si>
  <si>
    <t>RT @Anna_MaSue: 1. Pemerintah yakin tdk ada kasus virus corona di RI. 2. Sektor pariwisata sepi terdampak kasus virus corona. Sewa influencer 72 M utk mempromosikan RI bebas virus corona. 3. Presiden mengumumkan 2 WNI asal Depok positif Corona. 4. 72 miliar terlanjur DEAL. Sia-sia. Mubadzir.</t>
  </si>
  <si>
    <t>Knp blm ada film yg menceritakan kekejaman islam Radikal, seperti ISIS,JAD,DI/TII di Negeri ini/penganut agama apapun yg radikal? Biar jd contoh klu beragama pakai kekerasaan itu merusak. Ditayangkan tiap tgl berapa gtu. Kayak zaman orba setiap 30Sptmber mutar film G30S PKI</t>
  </si>
  <si>
    <t>@cintada17 @wantahgdn @DivHumas_Polri Mungkin pendidikan agama yg dr ISIS x bung</t>
  </si>
  <si>
    <t>@brownsugar19_ @jawafess Nha betul numpak mobil isis silir². Mengko ngejak batur shaun the sheep</t>
  </si>
  <si>
    <t>@ruhutsitompul 😃😄😃 Karena kalah Dari hasrat kekuasaan Apapun mau dilakukan Mencerminkan Kerdilnya golongan tsb Yg seharusnya Sesama WNI Saling gotong royong Memajukan NKRI #RakyatSejahtera</t>
  </si>
  <si>
    <t>@luck_man23 Tes lab di jepang dulu? Kasus dr negara lain bnyk penderita yg tak nmpak gejala tp sbenarny sdh bw virus, masa inkubasi virus ada yg smp 3bln, bhkan slm ms inkubasi, virus sdh bs jangkiti yg lain. Jd WNI dr luar negri harus langsung ke RS rujukan #VirusCorona &amp; minta tes lab sih.</t>
  </si>
  <si>
    <t>RT @satyasiba: ISIS khurasan Module ka Master mind ke saath @Nidhi ka day to day basis mai interaction....... Yeh kahani bahut kuchh bayan karta hey! #ISISRiotRole #ISISModuleInShaheenBagh</t>
  </si>
  <si>
    <t>ISIS khurasan Module ka Master mind ke saath @Nidhi ka day to day basis mai interaction....... Yeh kahani bahut kuchh bayan karta hey! #ISISRiotRole #ISISModuleInShaheenBagh</t>
  </si>
  <si>
    <t>@ganafmargi @DjanChoek Giliran soal fulus ente bilang ga usah negara hadir urusan umat... Giliran urusan umat yg terbengkalai di pengungsian syiria karena iku isis negara hrs hadir...hadeewwwwww.... Ckckckc</t>
  </si>
  <si>
    <t>RT @NediSetiadi: Sesuai prediksi kemaren ada keterkaitan antar pasien, Dan itu berasal dari Grub Balet. Sedangkan grub ABK kita belum tahu kemana arahnya. @jacktherock5</t>
  </si>
  <si>
    <t>Sesuai prediksi kemaren ada keterkaitan antar pasien, Dan itu berasal dari Grub Balet. Sedangkan grub ABK kita belum tahu kemana arahnya. @jacktherock5  RT @NediSetiadi: @jacktherock5 @berlianidris Kejadian juga sore ini ada penambahan kasus covid19 jadi 19 kasus. Kemungkinan ada tularan tersekat 7 ke8 ke9 ke10,.. Perkiraan gua dari grub Balet.</t>
  </si>
  <si>
    <t>New post (Kirim Uang ke ‘Lembaga Amal’, 3 WNI di Singapura Dihukum dengan UU Terorisme) has been published on Dakwah Online -</t>
  </si>
  <si>
    <t>Kok belum tentu salah? Memangnya ada yang salah? Ya kalau privilese berasal dari aneksasi/bapakmu korupsi/eksploitasi terhadap orang lain/jualan senjata ke ISIS/malak warteg, dan kamu senang-senang saja menikmati itu, kamu cocok diseret ke gilotin. 👍</t>
  </si>
  <si>
    <t>WNI yang terbaru dikonfirmasi positif covid-19 merupakan kasus ke-147 di negara tersebut. WNI ini diketahui pria berusia 64 tahun.</t>
  </si>
  <si>
    <t>@wni_sni Kena bayar lebih</t>
  </si>
  <si>
    <t>Baik pasien 10 maupun 11, Yuri enggan membeberkan dari mana asal kedua WNA itu.</t>
  </si>
  <si>
    <t>PRAJURIT MARINIR AJAK WNI ABK WORD DREAM OLAHRAGA SETIAP PAGI.</t>
  </si>
  <si>
    <t>RT @faizalassegaf: Lebih jauh, Menteri Agama, menyebarkan berita bhw dia menolak pemulangan WNI eks ISIS, tp faktanya kemudian dia setuju mrk dipulangkan &amp; diberi pekerjaan. Knp anda &amp;amp; @muannas_alaidid tdk laporkan Menag ke polisi krn lakukan kebohongan publik? Goblok!</t>
  </si>
  <si>
    <t>@CintyaDePrasojo @TheArieAir Aduh mbak....jangan nyebar HOAX deh...plis....😂😂😂😂</t>
  </si>
  <si>
    <t>@erna_st @kasehsaulmouk habis itu jadi warga permanen? ealah bener2 kim jong-os la'natullah! pengkhianat bangsa seenaknya ngundang penjajah masuk. itu wni keturunan yg udah di sini sejak lahir aja lebih banyak yg sombong congkak drpd yg baik hati. aplg yg migrasi.</t>
  </si>
  <si>
    <t>RT @sarkasimo: @jjsengui @RomeskoP @koalisi_i Yang WNI keturunan juga ada kode khusus..</t>
  </si>
  <si>
    <t>Lagi video call ma Riesy. Sedih deh sejak wabah Covid-19, WNI dari Itali dilarang ke Indonesia 😢 Stay safe Riesy dan keluarga 🤗🤗</t>
  </si>
  <si>
    <t>KBRI Riyadh Imbau WNI Tidak Bepergian ke Mekkah</t>
  </si>
  <si>
    <t>@VeronicaKoman Ya elah, anggota isis juga ada orang suriahnya, dan mereka tetap serang orang suriah kan? Goblok koq dipiara</t>
  </si>
  <si>
    <t>Jumlah WNI Positif Terjangkit Virus Corona Tercatat 19 Orang</t>
  </si>
  <si>
    <t>[BREAKING NEWS] Seluruh wilayah Italia akan diisolasi dan @SerieA akan dihentikan sementara hingga 3 April 2020 karena meluasnya wabah corona. Untuk seluruh pemain, pelatih, suporter dan warga Italia terlebih WNI di Negeri Pizza... Guarisci presto! #CoronavirusOutbreak</t>
  </si>
  <si>
    <t>25 Anggota ISIS Tewas di Irak Utara  #DirgahayuRI72th</t>
  </si>
  <si>
    <t>@Ayang_Utriza @DivHumas_Polri Ini ma dia kirim uang tiap bulan ke ISIS....cuma kirim lo..udah di kandangin</t>
  </si>
  <si>
    <t>RT @voaindonesia: Kapal Grand Princess yang Ditolak Berlabuh di San Francisco Bawa 57 Kru WNI</t>
  </si>
  <si>
    <t>Semoga @KBRI__Roma dan WNI serta @DiasporaRI tetap terhindar dari #COVID19 dan locked-down all regions tidak lama... @Kemlu_RI RT @KBRI__Roma: #NegaraMelindungi @Kemlu_RI</t>
  </si>
  <si>
    <t>WNI terpapar corona di Australia diketahui memegang permanent residence</t>
  </si>
  <si>
    <t>Prajurit Marinir-ABK WNI World Dream Olahraga Setiap Pagi</t>
  </si>
  <si>
    <t>@HeriSahaja1 @geloraco Lah kan emang WNA nggak bisa jadi presiden, yang bisa jadi presiden itu cuma WNI 🙄</t>
  </si>
  <si>
    <t>RT @RizmaWidiono: Thanks God 🙏🏻 Kabar menggembirakan datang dari Jepang. 4 WNI Positif Corona di Jepang, SEMBUH.!!! #StayCoolCegahCorona</t>
  </si>
  <si>
    <t>WNI di Italia Belum Terpengaruh 'Lockdown'</t>
  </si>
  <si>
    <t>@FansNerazzurri Stay safe &amp; health warga Italia &amp;amp; tentunya juga WNI</t>
  </si>
  <si>
    <t>WNI Pemegang Permanent Resident di Australia Positif Corona</t>
  </si>
  <si>
    <t>Jadi lah ya nonton piala dunia 2022 di Qatarnya 🤤</t>
  </si>
  <si>
    <t>RT @kompascom: Tiga hari berturut-turut sejak Sabtu (7/3/2020), Warga Negara Indonesia (WNI) positif terinfeksi virus corona di Singapura.</t>
  </si>
  <si>
    <t>RT @ariel_heryanto: Sependek apa ingatan sebuah bangsa? Ci-luk-ba</t>
  </si>
  <si>
    <t>@VeronicaKoman Mba Vero anda berusha logis tapi mengabaikan kemanusiaan, 1 lagi contohnya ISIS yaa org asli suriah juga, buktinya mereka membabi buta ke orang yg tidak se paham dg mereka,! So mba Vero jawab sendiri bgmn dgn OPM-TPNPB. Mba Vero ngak ada kerjaan lain lg selain menjadi antek OPM?</t>
  </si>
  <si>
    <t>@Mousthapha_aa @UU_Farouk 😂😂 kalli har wni shining yke gushi</t>
  </si>
  <si>
    <t>Satu WNI Jadi Pasien Korona di Melbourne</t>
  </si>
  <si>
    <t>RT @KienAnd_: Sejak awal, berbagai gerakan pan islamisme mulai berkembang di suriah mulai dari yang beraliran moderat seperti free syrian army yg berhaluan ikhwanul muslimin, hingga yang garis keras seperti ahrar al syam, jabhah al nushra yf berafiliasi dgn alqaedah dan ISIS.</t>
  </si>
  <si>
    <t>@Aryprasetyo85 @Kemendikbud_RI @DivHumas_Polri @Itjen_Kemdikbud Maaf, lembaga terkait sedang sibuk mulangin anak2 kombatan isis.... Tunggu beberapa saat lagi, atau tekan 0 untuk berbicara dengan tembok. @jokowi @mohmahfudmd</t>
  </si>
  <si>
    <t>RT @kurdistannews24: Benghazi #Libya today Via @LindseySnell #Turkey #Russia #Idlib #تركيا #سوريا #ادلب #Afrin #YPG #YPJ #ROJAVA #SDF #QSD #ISIS #ErdoganWarCriminal #kurds #Trump #kurdistan #kobane #kobani #Assad #iran #iraq</t>
  </si>
  <si>
    <t>Italia remuk:</t>
  </si>
  <si>
    <t>RT @eradotid: Breaking: Kasus #COVID19 di Indonesia banyak berasal dari WNI yang baru pulang dari luar negeri. Yang mau travelling karena tiket lagi murah, harap tahan dulu</t>
  </si>
  <si>
    <t>@Aryprasetyo85 @My_LoveNebe @Namaku_Mei @AlvinoLulu @Je_Ly @cintada17 @Abby_Budiyono97 @Kesit_ @SatyaJogja_ @RizmaWidiono @Galihzainur1 @KPAI_official kue prige usah cocot soal sperma Karo anak ex ISIS, kaken lambe @KPAI_official bosok...sok Sokan...</t>
  </si>
  <si>
    <t>Emang anak² @JackVardan yg dirusia sono WNI yut? RT @kafiradikal: ...Ya ga perlu juga sih lo mendiskreditkan kek gini. Mereka masih muda. Seenggaknya jauh lebih kontributif ketimbang anak2 lo di Rusia sana. Nanti mereka di usia setua bangka lo pun mungkin akan lebih berjasa ketimbang lo yg cuma nyumbang bacot doank... (``,)</t>
  </si>
  <si>
    <t>@indoinitaly dari Bangkok,dan di tulis kan mesti ada visa Thailand baru bisa masuk,Apakah WNI masuk Thailand mesti Visa ya?Tadi nya rencana besok mau ke polisi imigrasi,tapi situ sudah tutup di 4 hari yang lalu.Saya sekarang bingung sekali mesti gimana...Maaf bahasa indonesia ku kurang bagus.</t>
  </si>
  <si>
    <t>@indoinitaly Selamat malam,permisi saya pingin nanya sesuatu...Saya WNI datang dari Shanghai(keluarga saya kerja di sana).Saya datang ke milan untuk aply surat kawin sama suami saya,tetapi surat kawin nya tidak cukup waktu untuk apply.Dan tadi nya saya akan pulang ke Shanghai 12 maret ini.</t>
  </si>
  <si>
    <t>@ndtv @Nidhi @ndtv isis say kya connection hai.... #shameless ndtv ....koi reply nhi aaya abhi tak . Aakhir ye rista kya kehlata h.</t>
  </si>
  <si>
    <t>BREAKING NEWS WNI Positif Virus Corona Adalah Guru Dansa WN Jepang</t>
  </si>
  <si>
    <t>@mawardinurullah @PardedeTamim ISIS kok gak ditangkap polisi yak? Apa bagian dari polisi? 🤔</t>
  </si>
  <si>
    <t>Pemegang paspor Indonesia kini bisa mendapatkan akses bebas visa ke 37 negara di dunia sejak Januari 2020 | #Travel</t>
  </si>
  <si>
    <t>WNI Positif Korona di Singapura Menjadi Tiga Orang</t>
  </si>
  <si>
    <t>@dab_miko biar isis og, kak... fufufufu... gundhal-gandhul</t>
  </si>
  <si>
    <t>@do_ra_dong Demo2 kadrun semakin tak bermakna,kehilangan sentuhan pentolan demo.biarpun isis disana sudah merana,tapi disini semangatnya harus tetap ada.mumpung cina kena corona,lumayan buat provokasi kadrun durjana.</t>
  </si>
  <si>
    <t>Ganjar Terima Tawaran Eks ISIS Bantu Kampanyekan Deradikalisasi di Jateng -  -</t>
  </si>
  <si>
    <t>@Etekewer_Sepuh_ Dalam waktu tidak lama lagi, penuh negeri oleh orang² cina. Ntar tiba² mereka punya data sebagai WNI? Apakah ini strategi pemusnahan masal warga pribumi?</t>
  </si>
  <si>
    <t>@SupiatyVhety Di suriah lagi butuh pengagum Khilafah dek..silahkan mendaftar lewat Isis klu mau 😂</t>
  </si>
  <si>
    <t>WNI Pemegang "Permanent Resident" di Australia Positif Corona</t>
  </si>
  <si>
    <t>@AskAnshul Aur kitna evidence chahiye ki NDTV ISIS ka media hai</t>
  </si>
  <si>
    <t>Menlu Retno: 1 WNI Positif Corona di Australia Pemegang Permanent Resident</t>
  </si>
  <si>
    <t>Enam WNI Positif Virus Corona, Ari Wibowo: Saya Nggak Percaya</t>
  </si>
  <si>
    <t>@do_ra_dong BAGAIMANA yang wni yang di letakkan di pulau natuna? apakah menjalankan SOP seperti itu? #gejayanmemanggillagi_</t>
  </si>
  <si>
    <t>RT @republikaonline: Mahfud MD menanggapi WNI yang divonis Singapura atas terorisme.</t>
  </si>
  <si>
    <t>Update Jumlah Infeksi dan Kematian Akibat Virus Corona, Sudah Tersebar di 110 Negara, WNI 19 Orang  via @tribunmedan</t>
  </si>
  <si>
    <t>sok galak sama wni ex isis tapi mingkem ama yg beginian,</t>
  </si>
  <si>
    <t>Gue sbg WNI ngakak baca komentar netizen+62 tapi bener juga sii RT @TirtoID: Australia memperingatkan warganya bahwa Indonesia tak memiliki kapasitas yang memadai untuk menguji penyakit coronavirus COVID-19 atau mengisolasi pasien.</t>
  </si>
  <si>
    <t>RT @drpriono: @arifz_tempo Terawan tidak menjalankan Inpres no 4 2019, dalam penyiapan pandemik global yang di depan mata. Bahkan terkesan membohongi publik bahwa Indonesia akan bebas corona outbreak, serta politik pencitraan yg palsu dengan melakukan evakuasi wni yg diisolasi ke natuna dan siberu.</t>
  </si>
  <si>
    <t>@AnakLolina @jemmi99999 @basuki_btp @DjokoEdhi1 @DivHumas_Polri Islam itu adalah agama yg damai dan luarbiasa,islam tidak pernah menolak AHOK yg menolak AHOK adalah FPI,HTI,212 mereka2 ini adalah pengacau negara dan mereka ini tdk layak hidup di RI mereka itu lebih cocok di afghanistan,irak sirya isis,libya.</t>
  </si>
  <si>
    <t>Lagi, WNI Positif Virus Corona di Singapura, Sempat ke RS di Jakarta</t>
  </si>
  <si>
    <t>@AnakLolina @basuki_btp @DjokoEdhi1 @DivHumas_Polri Islam yg mana menolak Ahok ???kalo HTI,FPI,212 adalah pengacau negara mereka itu lebih cocok hidup di Surya ISIS,Irak, Afghanistan,gak layak hidup negara RI.</t>
  </si>
  <si>
    <t>@batmanblossom Gue inget ada yg bikin trit, disertai link berita soal wni yg dikarantina di Natuna gak dikasi tes corona krn katanya mahal bgt ampe 2 M/ tes padahal di vietnam cuma bbrp ratus ribu rupiah 😭😭</t>
  </si>
  <si>
    <t>@Nidhi @AdityaRajKaul didi ..isis k sath b chat karti😂</t>
  </si>
  <si>
    <t>@CNNIndonesia Pakde tenang tapi setuju mulangi anak isis. Skrg pakde minta tenang soal corona. Harga bawang bombay dipasar tangerang sudah 15 ribu per buah loh bukan perkilo. Pakde ini sdh mau dekat puasa, gimana orang bisa tenang harga naik terus.</t>
  </si>
  <si>
    <t>@sandmanindo @BebasVisaID @erika_solo Alhamdulillah WNI masih boleh masuk ke Qatar baik residen atau turis..</t>
  </si>
  <si>
    <t>@AbbasMoaiyadi mera ghoda respected hindu, aise historian desh ke gali gali me milte hai , jitna bada ye historian utna hi bajrang dal secular or utna hi isis philanthropist</t>
  </si>
  <si>
    <t>@ZaidZamanHamid Yeh attacks khudh krwa rhy jb se Taliban ki deal hoyi ek dum hi ISIS active ho gyi yeh is liye apna sena dekha rha tha isy pata tha attack krny waly is k apne hain isy kuch nhi kahy gy</t>
  </si>
  <si>
    <t>RT @MeenaDasNarayan: Nosejob nidhi abdu's and ISIS GF...alah allah</t>
  </si>
  <si>
    <t>@cursedkidd aku nunggu yg hitam isis</t>
  </si>
  <si>
    <t>Din Samsudin ini, sekarang semakin jelas belangnya. Selain terindikasi terlibat mendukung ISIS, sekarang makin menunjukkan watak intoleransinya. Memang karakternya tidak bisa disembunyikan terus-menerus. RT @Ayang_Utriza: Mohon maaf: Pak Din kenapa Bapak terus mendorong Indonesia ke arah intoleransi? Apa yang salah bagi agama &amp; kepercayaan lokal untuk tumbuh kembang yg dijamin oleh UUD 1945? @maarifinstitute: ini PR buat teman u/mengingatkan beliau.</t>
  </si>
  <si>
    <t>Prajurit TNI Yang Tergabung Dalam Kogasgabpad Pimpin Olahraga WNI ABK Observasi Pulau Sebaru – JPNEWS</t>
  </si>
  <si>
    <t>Pernah ga sih lu mikirin kenapa ayam ga habis habis? Telur ayam ada terus, padahal mereka tiap hari diambil telurnya, dipotong ayamnya, pernah ga sih mikirin berapa banyak kalo misalkan ayam itu disensus? apa lebih banyak dari wni? In my mind~ #SelasaSambat</t>
  </si>
  <si>
    <t>RT @kbriamman: Terkait dengan perkembangan ini, kami menghimbau kepada seluruh WNI yang berencana melakukan perjalanannya ke wilayah Palestina untuk sementara waktu menunda kunjungan hingga situasi lebih kondusif. #NegaraMelindungi @safetravelkemlu</t>
  </si>
  <si>
    <t>@noimnotdylan itu kayaknya tambahan dari wni yang di luar negeri deh. baru dipulangin ke indo. kan emang lumayan di sana makanya pas dijumlah jadi 19</t>
  </si>
  <si>
    <t>Qintel ISIS stresss mau masuk djakarta</t>
  </si>
  <si>
    <t>@edcfess2 Gnp = pdb - wna + wni Nnp = gnp - penyusutan</t>
  </si>
  <si>
    <t>Repost from @safetravelkemlu using repostregramapp - Perkembangan Covid-19 di Dunia dan Pelindungan WNI (As of 9 Maret 2020) Hotline KJRI New York 24 Jam untuk Coronavirus: +1 (347) 806-9279 #negaramelindungi…</t>
  </si>
  <si>
    <t>@siszica cct isis</t>
  </si>
  <si>
    <t>@AmerEurope Profesor itu jelasin pemulangan isis bertentangan dgn UU</t>
  </si>
  <si>
    <t>@_sabanaqvi Arrests made in Anti Hindu Riots so far - 1. Shahrukh 2. Tahir Hussain (AAP) 3. Shahnawaz 4. Jahanjeb Sami (ISIS) 5. Hina Bashir (ISIS) 6. Danish Ali (PFI)</t>
  </si>
  <si>
    <t>@IvanRT05 @BebasVisaID Menurut saya Algeria bukan lah termasuk negara maju.. Dan apakah Algeria tempat favorit WNI untuk bekerja legal??</t>
  </si>
  <si>
    <t>RT @denyspam: @KakekHalal @jokowi jangankan jadi presiden semua agama, apa yang dia katakan saja soal eks isis, yang jelas2 di depan media mengatakan MENOLAK, eh, pembantu2nya malah sedang berupaya memasukkan anak2 eks isis. jadi saya sudah gak respek lagi pada beliau. karena manusia yang dipercaya kata-katanya</t>
  </si>
  <si>
    <t>@AmerEurope Ini perumpuan sakit setuju ex isis ditampung di Indo,gw ksih data dri Profesor UI pakar HI malah dibilang itu profesor ngaco,gila ni orang 🤣</t>
  </si>
  <si>
    <t>Dah jadi WNI yang baik belum ? Hehe klik  Jgn lupa ! @bps_statistics</t>
  </si>
  <si>
    <t>Kementerian Kesehatan Singapura melaporkan per Senin (9/3/2020) telah bertambah 10 orang terinfeksi virus corona. #KAMUHARUSTAU</t>
  </si>
  <si>
    <t>@ISIS_Balik_NO @naqsya77 @Aryprasetyo85 @Kemendikbud_RI @TMCPoldaMetro @KomnasPerempuan @DivHumas_Polri @KPAI_official Lagi itu lebih parah. Ngebahas virus Corona Mulu..🤣🤭</t>
  </si>
  <si>
    <t>@mochamadarip @Leecque Mau nyumbang nyawapun utk ISIS, masih mau dijemput kembali ke Indonesia. Aneh tapi nyata.</t>
  </si>
  <si>
    <t>@ISIS_Balik_NO @naqsya77 @Aryprasetyo85 @Kemendikbud_RI @TMCPoldaMetro @KomnasPerempuan @DivHumas_Polri @KPAI_official Hahaha🤣🤭 Betul itu.</t>
  </si>
  <si>
    <t>RT @AnakKolong___: 5. Demikian thread singkat ini saya sampaikan, semoga kita yang masih terus merawat KEWARASAN &amp; NALAR, tak mudah LATAH tentang insiden di India hari - hari ini, isu² ttg muslim Uyghur, hingga dukungan pemulangan EKS WNI PRO ISIS yg GENCAR diserukan KOLONI KADRUN. . . .</t>
  </si>
  <si>
    <t>RT @suaradotcom: Lagi, WNI Positif Virus Corona di Singapura, Sempat ke RS di Jakarta  #DariSuara</t>
  </si>
  <si>
    <t>Konsumsi jamu tradisional, bisakah tangkal virus corona - ANTARA News @ponntianak #pontianak #sintang @sintang #wna @wni @waspadacorona @wabahcorona</t>
  </si>
  <si>
    <t>@debbicia Waduhh para WNI ini gimana jadinya deb? Gue yang miris tuh ada yg udah sampe Jeddah baru landing disuruh pulang lagi :( gak kebayang gimana rasanya...</t>
  </si>
  <si>
    <t>@ghigipari belum semua ini. ada yang berbentuk passport. terakhir w liat ada org bakar passport itu wni yang join..</t>
  </si>
  <si>
    <t>Kasal Kunjungi Prajurit KRI dr Soeharso-990 dan Satgas Evakuasi WNI ODP Corona</t>
  </si>
  <si>
    <t>Kasal Kunjungi Prajurit KRI dr Soeharso-990 dan Satgas Evakuasi WNI ODP Corona -</t>
  </si>
  <si>
    <t>RT @InfidelsJerome: kelompok masyarakat Suriah melumpuhkan gerombolan teroris ISIS yang mencoba merampok gudang makanan di dekat Tadmur Palmyra, Suriah. (wah, ISIS jadi profesi maling ayam dan di hajar warga dgn ak-47 😎) #ISIS #suriah</t>
  </si>
  <si>
    <t>@andreyandreyka @kanasya14 @BeritaCOVID19 @KemenkesRI Harusnya portal masuk ke Indonesia diperketat, WNI yang baru datang dari luar dikarantina dahulu demi kepentingan bersama. Kalau sudah begini mau gimana?</t>
  </si>
  <si>
    <t>RT @rmolsumsel: Update Sumsel : Ternyata Dari 13 Kasus Tujuh Diantaranya Tertular Di Tiga Negara  #VirusCorona #wni #kesehatan #achmadyurianto #NegaraTerjangkit</t>
  </si>
  <si>
    <t>Seandainya Ada calon Presiden menang jd presiden bukan dr agama mayoritas dr WNI Keturunan walau cuma mimpi Apa yg bakalan terjadi di indonesia?</t>
  </si>
  <si>
    <t>RT @coffeeandme_: @dwiyanaDKM @DivHumas_Polri @kangdede78 Jadi ketika dia ditanya "semisal gerakan tolak omnibus law tidak membuahkan hasil, langkah apa yg harus ditempuh?" Jawaban dia adalah "MEMPERSULIT INVESTASI" Lah ngeri yakkk, sampe tega mau matiin negara sendiri... @Dandhy_Laksono ini WNI atau bukan....???</t>
  </si>
  <si>
    <t>RT @PFTee: Mantan Kepala BNPT Ansyaad Mbai: "Virus ISIS lebih berbahaya dari virus Corona 19" Tapi anehnya pemerintah malah sudah menyiapkan penyambutan virus ISIS usia 10 tahun kembali ke tanah air. Pemerintah spt membawa bom waktu yg akan meledak suatu saat. Sialnya, gereja @BirgaldoS</t>
  </si>
  <si>
    <t>@kenzie_sr @JL_Apatheia Yg terbaca olehku koq aneh ya! 😀🙏 Kepercayaan terhadap Tuhan Yang Maha Esa ; Kawinin pegawai negeri sipil/ WNI seumur hidup. Brarti njenengan nggak boleh cerai mas! Karena menikahi pegawai negeri sipil sampai mati adalah 1ajaran penganut kepercayaan Tuhan yg Maha Esa. 🤣🤭🙏</t>
  </si>
  <si>
    <t>Update Sumsel : Ternyata Dari 13 Kasus Tujuh Diantaranya Tertular Di Tiga Negara  #VirusCorona #wni #kesehatan #achmadyurianto #NegaraTerjangkit</t>
  </si>
  <si>
    <t>@uttam_humbal @Proton_Doctor RSS PFI and ISIS walo ko nhI leta</t>
  </si>
  <si>
    <t>Tetap waspada jaga kesehatan n pola hidup sehat virus corona bukan hal yg hrs ditakuti tp di waspadai..justru yg prlu ditakuti Virus HTI (khilafah nya), virus radikal n intoler oleh fpi, ISIS yg bisa memecah belah anak bangsa #StayCoolCegahCorona RT @AnakLolina: Waspada gaes, tidak ada yang harus di salahkan jika vCorona menjangkiti siapapun, tidak perlu salahkan org lain apa lagi pemerintah. Ikutilah petunjuk hidup sehat &amp; jaga kesehatan.</t>
  </si>
  <si>
    <t>@Bhat2000A Ba wni Majj yem looy Mai...😞😞😂😂</t>
  </si>
  <si>
    <t>RT @KontanNews: Satu lagi WNI positif virus corona di Singapura, total jadi 4 kasus  #VirusCorona</t>
  </si>
  <si>
    <t>dari 2 wni sampe 19 yaallah gak mau panik tp udah panik. gmn dong 😭😭 RT @detikcom: #BreakingNews Pemerintah mengumumkan lonjakan jumlah pasien positif virus Corona di wilayah Indonesia. Kini, Pemerintah mengumumkan ada 19 pasien yang positif virus Corona. #VirusCorona #CoronaVirusIndonesia</t>
  </si>
  <si>
    <t>Satu lagi WNI positif virus corona di Singapura, alami gejala di Jakarta  #VirusCorona</t>
  </si>
  <si>
    <t>WNI Divonis Terlibat Kasus Teroris di Singapura, Mahfud: Saya Tanya ke BNPT</t>
  </si>
  <si>
    <t>ㅤ ㅤ ㅤ ㅤ ⠀⠀Status perkawinan⠀⠀⠀ ⠀ : ⠀⠀Belum kawin ⠀⠀Pekerjaan⠀⠀⠀⠀⠀⠀⠀⠀⠀⠀ : ⠀⠀Pelajar/Mahasiswa ⠀⠀Kewarganegaraan⠀⠀⠀⠀⠀: ⠀⠀WNI ⠀⠀Golongan darah⠀⠀⠀⠀⠀⠀ : ⠀⠀AB (resus negatif) ㅤ ㅤ ㅤ ㅤ</t>
  </si>
  <si>
    <t>Satu lagi WNI positif virus corona di Singapura, total jadi 4 kasus  #VirusCorona</t>
  </si>
  <si>
    <t>@geloraco Trus nanti minta jdi WNI tu cina nya...</t>
  </si>
  <si>
    <t>@AbdulKh12261958 @YohanesPatty2 @ramfbrnsyh @MoTeeTee @Ricksanchezit Jgn bikin mslh.ditantang brni ga?anda mengutuk hindu india yg membantai saudara muslim kita.knp anda ga mengritik isis yg lbh bnyk membantai saudara muslim.kita..bodohmu permanen</t>
  </si>
  <si>
    <t>RT @emilalfatih: @Hardianton02 Soal fasilitas itu bergantung kpd dana. Liat aja kasus WNI dr wuhan : para WNI yg sdh dievakuasi dr Wuhan menjalani karantina di Natuna slma 2 pekan. Slama itu pula mrka gak dites virus corona. Kata pmrintah, alatnya itu mahal bs sampe 1 M. Lah bayar buzzer 27 M masih mampu 😂😂</t>
  </si>
  <si>
    <t>Ini berarti indo harus perketat pemeriksaan buat WNI yg baru pulang dari LN deh... Krn beberapa korban ada yg WNA dan WNI yg abis dari luar negeri RT @BeritaCOVID19: Juru Bicara Pemerintah Untuk Wabah Covid19 Achmad Yurianto mengumumkan Senin (9/3), jumlah positif Covid19 jadi 19 pasien.</t>
  </si>
  <si>
    <t>RT @KemenkesRI: Pada Jumat, 28 Februari 2020, tim penjemputan 69 WNI ABK Diamond Princess telah berangkat menuju Jepang dengan Pesawat Garuda A330. Alhamdulillah pada 1 Maret 2020, mereka telah sampai di tanah air. Berikut suasana saat proses evakuasi berlangsung di Yokohama. #WaspadaCOVID19</t>
  </si>
  <si>
    <t>RT @napiez: Lmfao banyak bakal pejuang ISIS sentap.</t>
  </si>
  <si>
    <t>@_sabanaqvi Isis ki sex slave sali ..bhag bsdk</t>
  </si>
  <si>
    <t>@DedyNad_id @alifwiralodra @TheArieAir @diannovie03 @aphongedan @3rdpartyapps @SekarPurnama10 @ISIS_Balik_NO @beatsbydrdreeee @a9ustiono @hermawanjsp @QalbuBahasa @JOKER_JJ_JOKER @jimmysimada @BudiEmEm @NilamCa08803578 Fbnya bozz..🤝💪🙏🇮🇩🇮🇩</t>
  </si>
  <si>
    <t>Kasal Kunjungi Prajurit KRI dr. Soeharso-990 dan Satgas Evakuasi WNI ODP Corona -</t>
  </si>
  <si>
    <t>Isunya sudah bergeser ke SKB 3 menteri ya? La trus untuk yang Ex.WNI yg dr ISIS bagaimakan kelanjutan nya ya? Apakah secara diam-diam sudah masuk? #EdisiBertanya RT @AnakLolina: Adanya SKB 2 Menteri membuat munculnya ormas radikal seperti FPI, HTI &amp; ormas intoleran lain. Dukung Gus Nuril #CabutSKB2Menteri karena setiap orang berhak ibadah sesuai keyakinannya. @jokowi @mohmahfudmd</t>
  </si>
  <si>
    <t>Segala macam kejahatan msh akan terus terjadi di negeri ini krn negara ini seolah "tdk punya hukum". Hukum yg ada diselangkangi dan diperdagangkan. Percuma negara ini punya pemerintah pembuat hukum/uu, punya aparat hukum tp tdk menjalankan hukum/uu. Menuju putus asa sbg wni. RT @SaranitaWagunu: Kaya begini jangan diberi efek jera,udah pasti mereka di atas 17 dan udah ada hukumnya</t>
  </si>
  <si>
    <t>@cursedkidd Hyung modelny utusan isis y</t>
  </si>
  <si>
    <t>RT @Tersemogakan: Cussssss sini kaum emakemak Giveaway minyak goreng 2L buat 3orang yang beruntung Syarat : WNI 😂😂😂😂 Follow @Tersemogakan RT LOVE REPLAY : Kalian jago masak apa sih 😂😂😂 #CeritaCintaCita Di umuminya besok pagi2 sebelum emak2 ke warung 😂😂😂💃💃💃💃</t>
  </si>
  <si>
    <t>@ustadtengkuzul @jokowi Kami melihat gerombolan kadrun ini BENCI SEKALI menyebutkan nasionalisme.. Selalu menghindari ISTILAH ISTILAH yg bisa menumbuhkan semangat nasionalisme. Kembali saya bertanya, khusunya kepada @ustadtengkuzul, ini NKRI mau di kilapahkan atau dijadikan negara ISIS????</t>
  </si>
  <si>
    <t>RT @terajaanaa: Kalo orang cerdas pasti paham, Israel ajak negara Arab hancurkan ISIS, knp? Knp Israel begitu takut dengan ISIS?? Masih mau termakan teori org goblok yg blg ISIS buatan Israel??? Think @AdamhasakahAdam @ibnuhan1ff_ @mutiaradabiiq @Areyyyyyyyyyy @jen4rra_ @JuliacantikSays</t>
  </si>
  <si>
    <t>@alifwiralodra @TheArieAir @diannovie03 @aphongedan @3rdpartyapps @SekarPurnama10 @ISIS_Balik_NO @beatsbydrdreeee @a9ustiono @MardiSiswoyo6 @hermawanjsp @QalbuBahasa @JOKER_JJ_JOKER @jimmysimada @BudiEmEm @NilamCa08803578 Done Mhn d folback jg ya rekan2 NKRI</t>
  </si>
  <si>
    <t>Berasa gaenak badan dan lagi dingin banget weather nya, aku pake freshcare dari leher sampe telapak kaki. Skrg bukannya enakan malah berasa jadi permen frozz. Isis sampe aku kriyip kriyip😫</t>
  </si>
  <si>
    <t>@detikcom Br aja baca dr 10 org di Singapura terwabah Corona, salah1 nya jg WNI,</t>
  </si>
  <si>
    <t>@VeronicaKoman Anggota Isis Warga Irak dan Suriah menyerang dan membunuh Warga Suriah dan Irak sendiri cuuk ...😁☕</t>
  </si>
  <si>
    <t>Hi all, yg baru landing di @CGK_AP2 dari luar negri tolong update keadaan di sana dong. Seperti apa pengawasannya untuk WNI yg datang dr LAX (USA) + transit 1 jam di NRT (Jepang). Flying home this week &amp; I’m anxious 😅</t>
  </si>
  <si>
    <t>Menlu Retno: 1 WNI Positif Corona di Australia Pemegang Permanent Resident  #DariSuara</t>
  </si>
  <si>
    <t>Satu WNI di Australia Positif Corona, Menlu : Statusnya Permanent Resident  #Corona</t>
  </si>
  <si>
    <t>RT @nugrahastwn: @cursedkidd Ga bu saya mau jadi isis aja</t>
  </si>
  <si>
    <t>@mochamadarip Babu bodok..duit sumbang ke ISIS..mbok yo sumbang di kampung .masih banyak yg susah..padahal kerja ke LN.tentu orang susah..kok mlh sumbang teroris..mikir nang dengkol.</t>
  </si>
  <si>
    <t>Pemerintah bersama lembaga terkait dan Kemenkes harus lebih ketat lagi dalam mengawasi dan mengecek baik WNI atau WNA yang masuk ke Indonesia #coronavirus RT @KemenkesRI: Update situasi terkini perkembangan #COVID19 di Indonesia (9/3) [ Sebuah utas ] #WaspadaCOVID19</t>
  </si>
  <si>
    <t>GILA y pemerintah rejim pinokio, ngasih tau dr negara mana aja pelit bgt.. Ini menyangkut hajat hidup rakyat woyy, klo disebutin dr negara mana kan masy Indonesia lngsung gk kesono/malahan lngsung stop akses keluar masuk RI sementara utk WNI, klo WNA JELAS HARUS STOP #VirusCorona</t>
  </si>
  <si>
    <t>@Apriyaldi19 Bencong Teu WNi Ngaku Pki.... Sungut We Gede...Caci Ulama Pki...Goblok...</t>
  </si>
  <si>
    <t>Jika bkn dr china, korsel, italia dan jepang. Lalu pemerintah ga mau buka drmn mreka terjangkit, berarti sy boleh menerka ya, feeling saya negara ini yg srg dikunjungi wni, singapore, malaysia, arab saudi (atau negara di timur tengah).</t>
  </si>
  <si>
    <t>@AcharyaPramodk @NBA Matlab ab ISIS ka bhi support karegi Congress.</t>
  </si>
  <si>
    <t>@mhyusuf_ Tapi ahok kan wni keturunan cina, bukan wna asal cina. Just stop generalizing people</t>
  </si>
  <si>
    <t>Sudah enak gaji 6jt+/bulan, masih ingin hidup dengan cara lain lagi. Resiko. Andai Indonesia ikuti UU Singapura, mungkin ceritanya lain lagi.</t>
  </si>
  <si>
    <t>@OpIndia_com Op india is desi ISIS</t>
  </si>
  <si>
    <t>Yth.Bapak/Ibu WNI di Bulgaria, Albania, &amp; Makedonia Utara, sehubungan dgn penyebaran Covid19 di negara akreditasi KBRI Sofia tsb, berikut disampaikan imbauan agar Bapak/Ibu selalu menjaga kesehatan di tengah situasi ini. Jgn ragu utk menghubungi KBRI Sofia jika memerlukan bantuan</t>
  </si>
  <si>
    <t>Indonesia terlalu fokus terhadap WNI Wuhan. Lupa bahwa resistensi negara ada pada perbatasan. Dan setiap yang 1 itu dapat berlipat ganda.</t>
  </si>
  <si>
    <t>Baru pulang kerja, habis mandi hp gue bunyi ga berenti berenti. Gue kira dia udah mulai suka, setelah di cuekin! Asek! Ga tau nya media berita, tentang virus corona? Sudah 19 WNI yang terjangki virus corona. Pak @jokowi Saya kuat pak dipatahkan hati sama dia. TidaK dgn COVID-19</t>
  </si>
  <si>
    <t>RT @BruceEmond: Koran UK hari ini ... Reynhardt Sinaga "headline" hampir semua, kecuali The Times Fokus pada dia sebagai "monster" pelecehan seksual di UK, bukan status WNI</t>
  </si>
  <si>
    <t>DAFTAR SUSPECT COVID-19 DI INDONESIA YANG WAFAT, ADA YANG WNI, ADA JUGA WNA ..... !!!! #COVID19 #COVID19indonesia #COVID2019 #COVIDー19 #Covid_19 #CoronavirusOutbreak #coronavirus #Coronavid19 #CoronaVirusIndonesia #CoronaVirusUpdates</t>
  </si>
  <si>
    <t>@adietz_Edogawa @INABadminton @BadmintonTalk Mungkin dari WNI yg tinggal di England. Biasanya WNI yg tinggal di luar negeri pinter masak karena kalo kangen masakan Indonesia ngga mungkin beli😄</t>
  </si>
  <si>
    <t>RT @fiolex4: @agama_nusantara Khawatir terpedaya ISIS, alhasil malah terpikat HTI ....</t>
  </si>
  <si>
    <t>Arrests made in #AntiHinduRiots so far- 1. Shahrukh 2. Tahir Hussain(AAP) 3. Shahnawaz 4. Jahanjeb Sami(ISIS) 5. Hina Bashir(ISIS) 6. Danish Ali(PFI) RT @Dharmeshgamit10: Muslim #BharatChhodo</t>
  </si>
  <si>
    <t>Udah main fliendstel aja aman!1!1!1</t>
  </si>
  <si>
    <t>RT @GagakNeww2: Negara Baik Hati,Negara mudah iba,Negara Husnuzdon sampei Gembel2 Khilafah ISIS anaknya mau di adopsi di piara sama Negara,yg Aneh sama Umat lain yg beda Agama Grejanya di Rusak,mau bangun greja dI larang tp Mulutnya Pejabatnya mingkem kyk kena Lem Aibon..</t>
  </si>
  <si>
    <t>Seorang Wni Di Australia Positif Corona.</t>
  </si>
  <si>
    <t>@Isis_alada Sptm....</t>
  </si>
  <si>
    <t>Negara Baik Hati,Negara mudah iba,Negara Husnuzdon sampei Gembel2 Khilafah ISIS anaknya mau di adopsi di piara sama Negara,yg Aneh sama Umat lain yg beda Agama Grejanya di Rusak,mau bangun greja dI larang tp Mulutnya Pejabatnya mingkem kyk kena Lem Aibon..</t>
  </si>
  <si>
    <t>KELAKUAN BEJAD OTAK ISIS RT @makLambeTurah: Disdik Sulut Telusuri Video Viral Siswi SMA Digerayangi Ramai-ramai</t>
  </si>
  <si>
    <t>@mantriss WNI yg dievakuasi dr kapal pesiar dan dikarantina apa kabarnya ya? tdk spt WNI dr wuhan yg disorot terus</t>
  </si>
  <si>
    <t>RT @Kamo_Pasta: cursed kaneko x soejima mashup : Isis edition</t>
  </si>
  <si>
    <t>RT @_____p3jal4n___: Nasib 57 WNI Kapal Grand Princess, Retno Marsudi: Sedang Mengamati Perkembangan Mention 5 kawan dan saling follow, bantu RT 🙏 @Febri___1717 @Demang_Nala @Wizard_Bulu_168 @SasiKiron0 #TergagapCorona #TergagapCorona  lewat @PolitikToday</t>
  </si>
  <si>
    <t>Monitoring penanganan WNI hasil pemulangan pada tanggal 6 Maret 2020 asal Kab Sumbawa yang dirawat di RSUP Prov. NTB setelah mendapat rujukan dari Kantor Kesehatan Pelabuhan di Bandara Internasional Lombok. Tetap…</t>
  </si>
  <si>
    <t>@msaid_didu Permasalahan pasti tetap ada, keputusan akan diambil bersama DPR tentunya bukan sepihak... mungkin juga DPR yang anda pilih juga ada didalamnya Jadi sebagai WNI wajib memberikan masukan bgmn mengatasinya.. toh itu untuk masyarakat banyak</t>
  </si>
  <si>
    <t>@Kemlu_RI @KemenkesRI Please perlu peninjauan lagi peraturan dari &amp; ke luar negeri hrs tegas. Cek suhu dan surat ket sehat bukan solusi aman krn masa inkubasi yg lama tanpa menunjukkan tanda. Byk travelers WNI yg nekad masih traveling. Pulang2 bw virus menyebar dgn cpt. Kesel 😔</t>
  </si>
  <si>
    <t>Seorang Wni Di Australia Positif Corona</t>
  </si>
  <si>
    <t>Total WNI positif Covid-19 di negara Singa tersebut berjumlah tiga orang, yaitu kasus ke-21, Kasus ke-133 dan kasus ke 147. Diketahui Kasus ke-21 sudah dinyatakan sembuh dan dipulangkan dari rumah sakit 18 Februari 2020 lalu. #covid_19 #wni #singapura</t>
  </si>
  <si>
    <t>GASken #programfolback 3 Sungkem @TheArieAir 🙏 @diannovie03 @aphongedan @3rdpartyapps @SekarPurnama10 @ISIS_Balik_NO @beatsbydrdreeee @a9ustiono @MardiSiswoyo6 @hermawanjsp @QalbuBahasa @JOKER_JJ_JOKER @jimmysimada @BudiEmEm @NilamCa08803578 @saefaliebahri_ SILASALING FOLLOW🇲🇨</t>
  </si>
  <si>
    <t>Lavan ket antok na!</t>
  </si>
  <si>
    <t>B. PERSYARATAN 1. Bersatus Warga Negara Indonesia (WNI). 2. Penempatan akan diutamakan sesuai dengan provinsi penugasan yang tertera pada KTP. Bersedia ditempatkan di Kab/Kota pada provinsi penugasan sesuai KTP. 3. Tidak sedang terikat kerja di instansi/</t>
  </si>
  <si>
    <t>RT @P3nj3l4j4h_id: Korban pemerkosaan anggota isis sejak umur 14thn, dan yang memperkosa hanya bisa tertunduk diam. Begini lagak exs isis yng mau pulang, semua nunjukan wajah memelas tapi apakah itu bisa mmbuat mrka nebus perbuatannya? Jawabanny Tidak! Jangan pulangkan sampah! #NegeriIntoleran</t>
  </si>
  <si>
    <t>Udah lah kalo gitu mah buat wni yang masih di LN mending ngga usah balik lagi ke indo. Ngerepotin aja huh</t>
  </si>
  <si>
    <t>@EmineCaria123 Naaahhh..... lowongan tuch utk WNI bkn datangin dr china komunis hy gara2 utk dpt keuntungan. Bu susi mmg toop dech</t>
  </si>
  <si>
    <t>RT @hendrachmanaa: @DjokoEdhi1 Ahok itu : 1. Mantan napi (org yg sdh menjalani hukuman atas apa yg diperbuatnya) 2. WNI yg dilahirkan sbg keturunan tionghoa 3. Sy muslim &amp; tdk menolak Ahok krn integritasnya NKRI 🇮🇩 ini terdiri dr semua suku, agama, ras, golongan yg beragam jd stop rasis</t>
  </si>
  <si>
    <t>RT @HotP3pp3rminTea: Prediksi pertumbuhan ekonomi Indonesia anjlok mulai ramai diperbincangkan oleh para ekonom. Terlebih, ketika Presiden Joko Widodo mengumumkan dua WNI positif terinfeksi virus corona baru (Covid-19). #TergagapCorona #TergagapCorona</t>
  </si>
  <si>
    <t>RT @Sofianasution1: Seorang Wni Di Australia Positif Corona</t>
  </si>
  <si>
    <t>@KemenkesRI Apakah tidak sebaiknya dilakukan pemberhentian sementara keluar masuknya WNA maupun WNI utk bepergian ke dalam atau luar negeri pak/bu.. krn yg dihadapi adl kasus penyakit menular,,</t>
  </si>
  <si>
    <t>RT @Ayang_Utriza: Mohon maaf: Pak Din kenapa Bapak terus mendorong Indonesia ke arah intoleransi? Apa yang salah bagi agama &amp; kepercayaan lokal untuk tumbuh kembang yg dijamin oleh UUD 1945? @maarifinstitute: ini PR buat teman u/mengingatkan beliau.</t>
  </si>
  <si>
    <t>12 WNI Jadi Pasien Corona di Luar Negeri, 7 Sembuh</t>
  </si>
  <si>
    <t>@_wni_ Tarik rambut confirm dah menang 😂😂</t>
  </si>
  <si>
    <t>RT @republikaonline: Tiga pasien suspect corona lainnya dirawat di Garut, Cianjur, dan Bandung.</t>
  </si>
  <si>
    <t>Andai kepedulian kita terhadap problema kesehatan lain sama besarnya dengan kepedulian kita terhadap wabah #COVID2019, kita pasti sudah terentas dari beban morbiditas dan mortalitas penyakit yang mendominasi sebab kematian WNI hari ini</t>
  </si>
  <si>
    <t>@SabrinaRamle Gaduh gaduh gaduh✌🏻😬😂😂😂</t>
  </si>
  <si>
    <t>WNI ke-3 yg dites positif Covid-19 di Singapura, kemungkinan terinfeksi sebelum sampai di Singapura @KemenkesRI @kemenkopmk @jokowi @JubirPresidenRI #COVID19indonesia #WaspadaCOVID19 #CoronaVirusIndonesia #waspadaviruscorona</t>
  </si>
  <si>
    <t>Tiga pasien suspect corona lainnya dirawat di Garut, Cianjur, dan Bandung.</t>
  </si>
  <si>
    <t>Jangan kan anda sebagai negara tetangga, gue sebagai WNI udah meragukan dengan kesigapan pemerintah indonesia ini. RT @TirtoID: Australia memperingatkan warganya bahwa Indonesia tak memiliki kapasitas yang memadai untuk menguji penyakit coronavirus COVID-19 atau mengisolasi pasien.</t>
  </si>
  <si>
    <t>Pemerintah Singapura "menggunting" simpul2 pendanaan ilegal untuk menekan potensi kelompok2 terorisme yg membahayakan negaranya. Indonesia wajib mencontoh! @jokowi @mohmahfudmd @KemenkeuRI</t>
  </si>
  <si>
    <t>@RuSoet118 Dari rilis masing2 RS menyatakan bukan karena COVID-19. Begitu kiranya. Smoga tidak ada WNI yg meninggal karena COVID 19.</t>
  </si>
  <si>
    <t>Lalu muncullah berita hari ini kalau jumlah pasien positif tiba2 nambah 13 orang dan 7 orang di antaranya imported case. Alias ngebawa dari luar negeri. Dan WNI. Sumpah deh pas baca itu kesel banget. Bebal banget orang2 Indonesia. Malu oy sama gelar S3!</t>
  </si>
  <si>
    <t>@Aryprasetyo85 @Puspen_TNI @_TNIAU @_TNIAL_ @My_LoveNebe @AlvinoLulu @cintada17 @Namaku_Mei Naluri merah putih; TNI garda terdepan republik Indonesia🇮🇩 . Siapapun WNI seharusnya paham benar menghargai bendera negara🇮🇩</t>
  </si>
  <si>
    <t>Kemaren berbusa2 ngomong sama orang2 Indonesia di sini yg kekeh mau pulang ke Indonesia tapi marah2 karena peraturan kemenlu soal health certificate. Mereka marah karena WNI (awalnya) disuruh bawa juga kalau mau masuk Indonesia. Mereka ngerasa sehat dan ga mau repot.</t>
  </si>
  <si>
    <t>@sambitswaraj @News18India @AMISHDEVGAN Ye to shuru me hi sabit ho gya tha..ki inke conection Pfi se or PFI ka ISIS SE JUDA H...</t>
  </si>
  <si>
    <t>RT @NUgarislucu: Followerku isinya Non Warga Eks Muslim NU ISIS 👇🏻 👇🏻 👇🏻</t>
  </si>
  <si>
    <t>19 WNI Positif Virus Korona, Berikut Rinciannya #BeritaTerkini #Berita #News #BeritaNasional .</t>
  </si>
  <si>
    <t>Tak Hanya di Indonesia, Ada Sejumlah WNI yang Positif COVID-19 di Luar Negeri  #coronavirus #COVID19 #IndonesiaMaju</t>
  </si>
  <si>
    <t>TELL US ABOUT YOURSELF IC. 1. Nanad. 2. Jomlol. 3. Sezairi - It's You. 4. 1314. 5. Twitter. 6. J for Jodoh. 7. Udah lulus dan wisuda. Smandel, IKJ. 8. WNI. 9. 2 (kondangan doang). 10. - 11. Lie. 12. 2014. 13. Bunny. 14. Smart af. DROP AN EMOJI FOR THE QUESTIONS.</t>
  </si>
  <si>
    <t>RT @SemutMerah007: Ayoo kita bisa mencontoh pemerintah Singapura dalam memberantas terorisme. @DjanChoek @Kesit_ @mpu_gandhring</t>
  </si>
  <si>
    <t>@fitoorivakil @SwamiGeetika NO Quran 9.5 =Islam=jihad=26/11,9/11,pulwama,ISIS.......</t>
  </si>
  <si>
    <t>RT @Namaku_Mei: Ganjar Terima Tawaran Eks ISIS Bantu Kampanyekan Deradikalisasi di Jateng -   Mudah"an bermanfaat untuk masyrakat Ambil yg baik buang yang jelek</t>
  </si>
  <si>
    <t>@iwingmusic @HendrikPadang1 @dickyrahma86 @hnurwahid -Dengan menyebut mereka sebaga jihadis. -Isis saudara kita (kata imam besar FPI) - cek google. -Bom cuma rekayasa/pengalihan isu ..... ..... .....</t>
  </si>
  <si>
    <t>RT @AGNEZMOquenn: @itsjoonkookie @sugaforeva @BTS_twt INDONESIA PUNYA @AGNEZMO di iHeartRadio !!! Bukan BTS. Maaf!!! WNI support WNI. #Agnation #BestFanArmy #iHeartAwards .</t>
  </si>
  <si>
    <t>RT @herlambang_tan: DAN Kelompok2 Brengsek spt itu DIBIARKAN BEBAS DEMO sana sini PERSEKUSI minoritas2 SEGEL ratusan Tempat2 Ibadah Non Islam BAKAR2 Vihara BAWA2 bendera ISIS TREAK2 KHILAFUCK di dpn Aparat2 Negara LALU PRESIDEN Bilang Hanya GESEKAN2 KECIL Gilak ratusan Gereja dibilang KECILLLL</t>
  </si>
  <si>
    <t>...wilayah yang mendapat perlakuan lock down tersebut adalah seluruh wilayah Lombardia, wilayah... #Italia #KBRI _Roma #covid_19 #lock_down</t>
  </si>
  <si>
    <t>Sementara menteri segala bidang entah kemana batang hidungnya, orang ini salah satu yg membiarkan WNI asal virus itu datang ke negeri ini.. RT @TirtoID: STOP PRESS! Melonjak Drastis, Pasien Positif Corona di Indonesia Jadi 19 Orang</t>
  </si>
  <si>
    <t>Pemerintah menyebut seorang WNI yang positif mengidap Covid-19 di Australia diduga tidak terjangkit saat di Indonesia.</t>
  </si>
  <si>
    <t>@arwidodo @amiryogi PASCA ISIS BUBAR YG DIBUAT OLEH PARTAI DEMOKRAT AMERIKA GAGAL MEMBUAT ISLAMFOBIA SAAT INI THE REAL TERRORIST MILITAN BREAKSI DI BEBERAPA NEGARA EROPA LAINNYA</t>
  </si>
  <si>
    <t>@aliviqbal @superwew24 WNI aja laah tetep</t>
  </si>
  <si>
    <t>@mohmahfudmd .. Demi Allah ini benar2 saya khawatir melihat banyaknya warga china yg masuk kesini... apa bpk tdk khawatir islam di indonesia akan mengalami seperti di india... atau indonesia akan seperti singapur dimana wni asli akan tersingkirkan...</t>
  </si>
  <si>
    <t>Kemlu Pantau Kondisi WNI di Italia Utara</t>
  </si>
  <si>
    <t>19 wni positif corona = hitc jkt taun depan☺️🙂 RT @88rising: 🥺🥺🥺🥺</t>
  </si>
  <si>
    <t>@2002overtrashii Itu cari NNP. Rumus nya GNP- Penyusutan. Buat nyari GNP nya PDB+ WNI luar negeri- WNA dalam negeri</t>
  </si>
  <si>
    <t>@KawalCOVID19 Itu yg positif corona yang 16 Tahun kan WNI, berarti masih pelajar dong? Bagaimana dengan sekolahnya? Teman sebangkunya, guru yang salim dll?</t>
  </si>
  <si>
    <t>@ISIS_Balik_NO @Bung_TW Kalo produktivitas nya 80% dari POP , masih bisalah Walaupun itu di angka maximal , Dan harga telor di 1800 jg bisa di terima , Biaya makannya 7000/kg isi pakannya apa aja om ? konsetratnya berapa persen ?</t>
  </si>
  <si>
    <t>@archabandung @filosofiksi @AjiDeddy @AremaNita__ @BdyNusantara @_nice69_ @agama_nusantara @daunsirih5 @Jelantik5 @onsrgst @rullyjoo27 @SeruniPuspaAlam @Tikayulie @su7loo Isis dan kekejamannya hanya contoh kecil dari pemerintahan khilafah di seluruh dunia.</t>
  </si>
  <si>
    <t>Ganjar Terima Tawaran Eks ISIS Bantu Kampanyekan Deradikalisasi di Jateng -   Mudah"an bermanfaat untuk masyrakat Ambil yg baik buang yang jelek</t>
  </si>
  <si>
    <t>@KapilMishra_IND @kashmirosint NDTV ek Pakistani Isis ke agent hai indian govt ko ndtv ko ban kar ke inko logo ko jail me rakhna chahiye</t>
  </si>
  <si>
    <t>@RizmaWidiono @seruanhl @ganjarpranowo Tanpa kampanye soal bahaya ISIS pun udh pada tau smua rakyat indonesia...</t>
  </si>
  <si>
    <t>RT @soyadanial: Siapa selalu macam ni bila nak tidur hahahahahahhahahaa 😂😂</t>
  </si>
  <si>
    <t>@bundakook_ Mantab.. Wni dari china di karantina sedangkan tka asal cina tampa karantina..</t>
  </si>
  <si>
    <t>RT @Metro_TV: #BreakingNewsMetroTV 1 lagi WNI di Singapura dinyatakan positif Covid-19, sehingga total sudah ada 3 WNI positif Covid-19 di Singapura yang menjadi kasus positif ke 147 di Singapura.</t>
  </si>
  <si>
    <t>@TirtoID 19 orang WNI yang sudah dinyatakan positif, diperiksa oleh siapa?</t>
  </si>
  <si>
    <t>Masih Alinejad lowkey gives me ISIS vibes 😂</t>
  </si>
  <si>
    <t>@OmPraka85907387 @KapilMishra_IND @kashmirosint Tu bhi fazri ISIS k agent hai kya harami</t>
  </si>
  <si>
    <t>RT @PaijoAryanto__: @ErindaSofi @jr_kw19 Inilah negeri carut marut, saat anak ISIS dibela dan anak Yatim dlm negri di telantarkan.</t>
  </si>
  <si>
    <t>Kau pikir virus Corona hny Negara kita yg kena Musibah. Corona tdk mematikan. Hny kita WNI menjaganya agar Virus Corono tdk merambah aja. Gak ada kaitannya dng uang / Hutang ya. Aku jadi kesel. ✍✍✍ RT @NdonTwit: Pantes ada duitnya IMF Siapkan Rp 700 Triliun Dana Pinjaman untuk Penanganan Virus Corona</t>
  </si>
  <si>
    <t>@Se_Tia_23 @Si_Bee WNI eks ISIS dilarang pulang, giliran WNA Cjna monggo mase mbae silahkan masuk😄</t>
  </si>
  <si>
    <t>@jiemiardian @kumparan Sdh saatnya indonesia menutup akses ke luar negeri dan menerima turis asing maupun wni yg baru kembali dr luar negeri utk sementara waktu diberhentikan seperti arab saudi yg sdh memberlakukan itu lbh dahulu, jgn hanya peduli pendapatan yg mnurun tapi mengabaikan safety warganya</t>
  </si>
  <si>
    <t>#DelhiGenocide2020 connection leads to: ISIS, Pakistan, ISI, Khurasan Module, @AamAadmiParty, Amantulla, Waris Pathan, Ovaissi, Akbaruddin Ovaissi, @INCIndia, #Tahir_hussain_terrorist Shahrukh Pathan, Shah Alam,Danish Ali, Hina Bashir Beg, Janha Zeb Sami, Shoib Jamai and so on.</t>
  </si>
  <si>
    <t>@imanfs165 @detikcom @jokowi @Puspen_TNI @tni_ad @_TNIAU @_TNIAL_ 17 WNI 2 WNA</t>
  </si>
  <si>
    <t>@detikcom @detikHealth karantina lalu swab semua WNI yang habis berpergian ke negara pandemi...</t>
  </si>
  <si>
    <t>WNI yang dinyatakan positif terkena virus corona telah mencapai 19 orang, saat ini terdapat 100 rumah sakit rujukan untuk menangani virus tersebut yang tersebar di seluruh Indonesia. Saya berharap teman-teman selalu menjaga dan jangan ragu untuk periksa kesehatan diri sendiri.</t>
  </si>
  <si>
    <t>Dan hampir semua pasiennya tertular di luar negeri (katanya). gue jd khawatir, ini selama kasus corona dari akhir tahun sampai skrg udh berapa org WNI yg masuj ke dlm negeri. RT @CNNIndonesia: Pasien Positif Corona di Indonesia Bertambah Jadi 19 Orang</t>
  </si>
  <si>
    <t>Dua WNI positif ada di Australia dan Singapura.</t>
  </si>
  <si>
    <t>RT @antaranews: ".. Jadi kita yakini bahwa sebenarnya kontaknya tidak di Indonesia," ungkap Yurianto. #COVID19</t>
  </si>
  <si>
    <t>lewat @indozonemedia Achmad Yurianto merilis data terbaru dari hasil laboratorium terhadap suspect corona. Sore ini pasien positif virus corona bertambah 13 orang, shg totalnya menjadi 19 pasien. &amp; rata² imported chase, alias WNA/WNI yg hbs pergi keLN.</t>
  </si>
  <si>
    <t>@HaffifAbdul @kangdede78 @kirekswasta @CumiCue @putri_lior4 @hcahyono @Widyarenee @heniunique @JohnIrwan4 @felagonna @arjuno_ireng01 Mau rezim nya siapapun bunuh org ya ttp aja digulung polisi. Goblok amat.. Kecuali Isis yg berkuasa..</t>
  </si>
  <si>
    <t>@detikcom Mau nyalahin Pemerintah lagi? Disaat udah salah?. Mau nutup penerbangan dari segala penjuru? Mau nolak WNI dari LN?. Pernah mikir ga klo Negara asal penerbangan perlakuan kepada pra pasien ini bagaimana?. Bisa gitu kecolongan memberikan izin terbang. Klo mereka bisa slh, apa lg🇮🇩</t>
  </si>
  <si>
    <t>@geloraco Sekarang ijin tinggal 2 bulan kemudian ijni tetap .jadi WNI ambyaaaaarrrrrr</t>
  </si>
  <si>
    <t>19 WNI Positif Virus Korona, Berikut Rinciannya</t>
  </si>
  <si>
    <t>Memang tdk masalah Presiden Indonesia itu Non Muslim, krn Konstitusi yg kt sepakati bersama adalah wajib WNI siapapun dan suku apapun dia Yg masalah itu menuduh muslim yg tdk mau pilih pemimpin dr klmpk bapak di tuding sbg kaum radikal radikul.. RT @geloraco: Jokowi: Tak Masalah Presiden NonMuslim</t>
  </si>
  <si>
    <t>Landasan hukumnya apa? Apakah WNI juga bisa diperlakukan sama kalau ingin tinggal di China krn keadaan terpaksa? Apakah WNA negara lain juga bisa tinggal di Indonesia seperti halnya WNA China dg alasan keadaan terpaksa. Mhn pencerahan dari pakar Hukum Tata Negara.#PositifCorona19 RT @zarazettirazr: "Sebanyak 2.643 warga negara Republik Rakyat Tiongkok (RRT) mendapat izin tinggal keadaan terpaksa per hari ini. Sebelumnya 1.247 sejak 5 Februari sampai 23 Februari," kata Arvin dalam keterangan tertulisnya di Jakarta, Kamis (5/3/)</t>
  </si>
  <si>
    <t>@yanahilman2 @UlfaAmara @URastajani @cuncunajaxezar @diannovie03 @LenjelMelah @cxolls_aljawi @napsiati @ShantiSetiawati @SunAntoni1 @nay_sme @KimmiH_1802 @ISIS_Balik_NO @Widya27213661 Makasih tante da di promosikan 😍👍👍 salam penuh cinta</t>
  </si>
  <si>
    <t>@rizqitamiang @jiemiardian @kumparan Kasusnya WNI habis liburan dari luar negeri, terus ada jg yg kerena pernah kontak sama kasus pertama.</t>
  </si>
  <si>
    <t>@AhmadiReno1 @Bung_TW 500 x 100 gr x 7000 = 350rb untuk biaya paakan perhari 1800 x 400 btr = 720rb. Bisa dapet 150rb/hari bersih stl dipotong biaya DOD dan pakan sampe bertelor juga penyusutan kandang Itu hitungan kasar saya....menarik juga ya ternak bebek</t>
  </si>
  <si>
    <t>Pemerintah Klaim WNI Positif Corona di Australia Tak Tertular dari RI</t>
  </si>
  <si>
    <t>Lu mash WNI ya nek ,,, RT @zarazettirazr: otoritas kesehatan Australia sangat mengkhawatirkan negara tanpa fasilitas pengujian yang memadai seperti Indonesia. @KemenkesRI mohon tanggapannya</t>
  </si>
  <si>
    <t>ㅤ Nama : Arkana Aakesh Abhirama Nampang : Anan / Kay TTL : Denpasar, 10 Juli 1992 Status : WNI, belum kawin ㅤ</t>
  </si>
  <si>
    <t>Mampir Makan di Restoran Vietnam, 1 WNI di Australia Positif Virus Corona</t>
  </si>
  <si>
    <t>RT @Mun4fikunn: @chirp__john Indonesia tegas dlm mmulangkan eks ISIS...</t>
  </si>
  <si>
    <t>BREAKING NEWS-Senin, 9 Maret: Hari ini jumlah pasien Positif #CODIV19 bertambah lagi 13 orang (2 WNA + 11 WNI), diumumkan Jubir Kemenkes/Ahmad Yurianto. Menjadikan total CONFIRMED 19 Cases RT @detikcom: #BreakingNews Pemerintah mengumumkan lonjakan jumlah pasien positif virus Corona di wilayah Indonesia. Kini, Pemerintah mengumumkan ada 19 pasien yang positif virus Corona. #VirusCorona #CoronaVirusIndonesia</t>
  </si>
  <si>
    <t>@angewwie Apalagi klo yg ikutan nglecehin ini bneran cwe Sumpah nih cwe pantes jd budak seksnya ISIS</t>
  </si>
  <si>
    <t>Termasuk traveler WNI? RT @KompasTV: Siaga Corona, Angkasa Pura II Batasi Traveler Dari 4 Negara, Salah Satunya China</t>
  </si>
  <si>
    <t>RT @NyiMasRuminah: Kalau di Indonesia, yg terduga sumbang ISIS masih bisa jadi ustad. Membawakan ceramah di sana-sini. Kapan hukum bisa sebenar-benar ya dilakukan dengan tegas. @DivHumas_Polri @KejaksaanRI @jokowi</t>
  </si>
  <si>
    <t>Ngurus ISIS saja informasinya ngalor ngidul gak jelas. Pantes aja bnyk yg disinformasi RT @sahaL_AS: Kegaduhan soal Omnibus Law dan Corona menunjukkan buruknya komunikasi publik pemerintahan Jokowi periode kedua. Ini diperparah dgn inkompetensi sejumlah menteri dan pembantu Jkw yg lain. Kombinasi antara kegagapan dan ketidakbecusan ini justru merugikan Jkw.</t>
  </si>
  <si>
    <t>@wantahgdn Bukan Gejayan.....tapi GEGAYAAN...biar dibilang KRITIS tapi BEGO</t>
  </si>
  <si>
    <t>@hobisunmi waa bonita tu isis 🥺</t>
  </si>
  <si>
    <t>@detikcom Dari 2 WNI menjadi 19 WNI.🤲😭🤲😭🤲😭 Bila situasi semakin menjadi, apakah tidak sebaiknya Yang Mulia Presiden @jokowi memerintahkan kepada @Puspen_TNI @tni_ad @_TNIAU @_TNIAL_ untuk membagikan Masker Gratis kepada seluruh WNI, khususnya daerah-daerah yg telah berdampak Corona.</t>
  </si>
  <si>
    <t>Kalau di Indonesia, yg terduga sumbang ISIS masih bisa jadi ustad. Membawakan ceramah di sana-sini. Kapan hukum bisa sebenar-benar ya dilakukan dengan tegas. @DivHumas_Polri @KejaksaanRI @jokowi</t>
  </si>
  <si>
    <t>Rasanya anda bkn wni deh... RT @VeronicaKoman: Media sebaiknya hati-hati dalam mengutip pernyataan aparat, cek langsung ke para pengungsi Tembagapura. Orang Papua mengungsi karena takut jadi sasaran salah tembak aparat, bukan karena teror TPNPB. TPNPB yang di Tembagapura ya orang asli sana juga, masa serang orangnya sendiri?</t>
  </si>
  <si>
    <t>@Takviri Karena kalo kapir cabul....tak akan ada yg bela....laen lalo kadrun....langsung demo di DZOLIMI</t>
  </si>
  <si>
    <t>RT @KATADATAcoid: Pemerintah belum berencana untuk mengevakuasi WNI setelah Italia mengisolasi sejumlah wilayah akibat wabah virus corona.</t>
  </si>
  <si>
    <t>@geiszchalifah @trunojoyo2019 Lalu kenapa sampe ada tolak sholat mayat di jakarta ? Ente baru di naturalisasi ?😂😂😂😂</t>
  </si>
  <si>
    <t>Pemerintah belum berencana untuk mengevakuasi WNI setelah Italia mengisolasi sejumlah wilayah akibat wabah virus corona.</t>
  </si>
  <si>
    <t>RT @DTanjung15: Ahok walau udah di fitnah dan di dzolimi kelompok Kadrun penjual ayat dan agama.. Tetap aja di Senangi dan Masyarakat tau bahwa Ahok itu jauh lebih baik kinerjanya dari pada Gubernur seiman hasil jual agama dan ayat... Ini Buktinya... Sang Gubernur seiman Malah di cuekin🤣🤣</t>
  </si>
  <si>
    <t>RT @DTanjung15: Woii Geli Gua sama Ancaman Loe🤣 Pake Sorban penampilan Kayak yg taat agama jg Ngaku Bela Agama. Tapi kerjaannya Usulin Hidup si Ahok🤣🤣🤭 Emang dasar manusia2 kurang kerjaan. Hatinya pada busuk banget sama si Ahok ngga bisa lihat prestasi Ahok makin cemerlang</t>
  </si>
  <si>
    <t>@VeronicaKoman ISIS juga orang islam, kadang nyerang orang islam lagi Sori, lebi banyak korbannya orang Islam juga malah</t>
  </si>
  <si>
    <t>@sayangduakali Kayaknya sih beneran, barusan aku liat di tv. Dijelasin satu2 pula keterangan mengenai orang2 yg positif korona kayak umur berapa, WNI/WNA, tertular dari mana</t>
  </si>
  <si>
    <t>Dua adalah WNA sisanya WNI</t>
  </si>
  <si>
    <t>Mahfud MD Masih Belum Terbuka Soal Pemblokiran Paspor Eks ISIS</t>
  </si>
  <si>
    <t>Mahfud MD Masih Belum Terbuka Soal Pemblokiran Paspor Eks ISIS  via @Indopolitika</t>
  </si>
  <si>
    <t>RT @KBRI__Roma: Sahabat, simak wawancara Dubes Esti Andayani dengan @KompasTV mengenai Covid-19 outbreak, upaya @KBRI__Roma di tengah penyebaran Covid-19 di Italia, dan kondisi WNI di Italia. Klik link berikut:  #NegaraMelindungi #inidiplomasi @Kemlu_RI @safetravelkemlu</t>
  </si>
  <si>
    <t>@ErvineKiddies @onsrgst @el_loco234 @sigitigisigit @VostokMerah @Nemo_4512 @wmudrana @bejocyber @teshar_parker @BdyNusantara @SahlanAmin4 @rullyjoo27 @babahliong @ArabicaBali @AremaNita__ @logic_editor @daunsirih5 @Jelantik5 @SeruniPuspaAlam @su7loo @_nice69_ @AdityaRahayu76 @Tikayulie @GusMendem1 @NowowoNowiwi @Gus_KW @rachmadhi @riberu_ade2 @MobZack @BerisikEmak Isis itu adalah bentukan Amerika Serikat. Bilang ama dia, kalo moron debil mendingan di setrom dolo otaknya dia itu gus 😁 Nih @onsrgst makanya yg banyak makan lengkoas biar pintar dan menambah rasa percaya diri 🤭</t>
  </si>
  <si>
    <t>Prajurit TNI Kogasgabpad Pimpin Olahraga WNI ABK Observasi Pulau Sebaru</t>
  </si>
  <si>
    <t>@Hardianton02 Soal fasilitas itu bergantung kpd dana. Liat aja kasus WNI dr wuhan : para WNI yg sdh dievakuasi dr Wuhan menjalani karantina di Natuna slma 2 pekan. Slama itu pula mrka gak dites virus corona. Kata pmrintah, alatnya itu mahal bs sampe 1 M. Lah bayar buzzer 27 M masih mampu 😂😂</t>
  </si>
  <si>
    <t>@iSurjeetSharma @rajivsharmaDR @BDUTT @ndtv @thewire_in Ek baat puchni thi jub bhi koi danga hota hai INDIA me kuin isis /isi/ Pfi etc.. bahari taktey hoti hai ?</t>
  </si>
  <si>
    <t>@indonesiaOL Ada wni ditahan polisi malaysia ada yg bisa membantu utk membebaskanya krn masalah paspor habis masa berlakunya</t>
  </si>
  <si>
    <t>Ganjar Sambut Baik Rencana Mantan ISIS Bantu Deradikalisasi</t>
  </si>
  <si>
    <t>@onsrgst @el_loco234 @sigitigisigit @VostokMerah @Nemo_4512 @wmudrana @bejocyber @teshar_parker @BdyNusantara @SahlanAmin4 @asuhan101010101 @rullyjoo27 @babahliong @ArabicaBali @AremaNita__ @logic_editor @daunsirih5 @Jelantik5 @SeruniPuspaAlam @su7loo @_nice69_ @AdityaRahayu76 @Tikayulie @GusMendem1 @NowowoNowiwi @Gus_KW @rachmadhi @riberu_ade2 @MobZack @BerisikEmak muslim juga dibunuh, genosidanya dimana? saya ajarin logika ya mas isis bunuh kafir isis bunuh muslim kenapa mas nyalahin agama islam? coba deh dipikir</t>
  </si>
  <si>
    <t>@berita_indo Ada WNI ditahan polisi malaysia tepatnya dijohor</t>
  </si>
  <si>
    <t>@Hanib4L Homo pasti dipateni, tinggal pilih caranya; dijatuhkan dari gedung tinggi (tiru ISIS) atau cara lain.</t>
  </si>
  <si>
    <t>@onsrgst @el_loco234 @sigitigisigit @VostokMerah @Nemo_4512 @wmudrana @bejocyber @teshar_parker @BdyNusantara @SahlanAmin4 @asuhan101010101 @rullyjoo27 @babahliong @ArabicaBali @AremaNita__ @logic_editor @daunsirih5 @Jelantik5 @SeruniPuspaAlam @su7loo @_nice69_ @AdityaRahayu76 @Tikayulie @GusMendem1 @NowowoNowiwi @Gus_KW @rachmadhi @riberu_ade2 @MobZack @BerisikEmak mas, kok kabur ke soal agama. ngga usah bahas itu, saya punya set set lengkap alquran dari yang biasa sampe yang berjilid jilid. tiap hari saya bahas kamu mau bahas apa sih sebenarnya? saya ngga mau bahas agama orang, bukan bidang saya, kalo bahas isis ayo</t>
  </si>
  <si>
    <t>@tiramvisu @terataiz @Kemenag_RI @mohmahfudmd @jokowi @fadjroeL Lihatlah. Lo lo pada bangun infrastruktur tapi lupa bangun moral anak bangsa. Sibuk mulangin anak isis, tp anak2 Indonesia turun standar moralitasnya. Good job, pemerintah Indonesia.</t>
  </si>
  <si>
    <t>*Karena ISIS Kalah Mereka Bersandiwara. Coba Jika Mereka Menang, Kepala Kita Pasti Di Potong. =Tidak ada tempat bagi teroris di Indonesia. Usir mereka. #KamiAntiTeroris #WNIEksISIS #UsirMereka #Jokowi #Rafans</t>
  </si>
  <si>
    <t>@amarqusa @panca66 @AndiArief__ @YanHarahap @AgusYudhoyono Siapa yang pejabat partai...Saya hanya orang biasa yg punya sisi kemanusiaan. Sebatas kemampuan untuk memberi yg terbaik bagi sesama WNI yg tinggal di perantauan. Bersyukur anda sudah punya andil buat negara. Saya hanya rakyat jelata yg berfikir kemanusian untuk sesama.@amarqusa</t>
  </si>
  <si>
    <t>@DjanChoek @yessyryan Ya betul... anak seperti ini yang jadi perhatian pemerintah daerah maupun pusat. Ngapain ngurusin anak ISIS yang sudah nyaman di Suriah di otak Atik lg</t>
  </si>
  <si>
    <t>@menakertrans Selamat sore pak menteri.pak menteri.ada WNI ditahan polisi malaysia.kerena paspornya habis.</t>
  </si>
  <si>
    <t>@Komunikasibaik_ disiapkan juga alat keamanan untuk WNI agar tidak terrular virus</t>
  </si>
  <si>
    <t>RT @setkabgoid: Lewat KBRI, Pemerintah Pantau Kondisi WNI Ketiga Positif Covid-19 di Singapura</t>
  </si>
  <si>
    <t>RT @05d95a682cea478: Alhamdulillah, Malam ini Bantuan Masker dari Anggota DPRRI Fraksi Demokrat Ibu Hj. Melani L Suharli Dan Dari Pemda Kab. Pati. Telah Sampai Bandara Taoyuan, Taipei, Taiwan. Diterima perwakilan WNI &amp; Staff KDEI Taipei. Matursuwun. @AndiArief__ @panca66 @YanHarahap @AgusYudhoyono</t>
  </si>
  <si>
    <t>@mas_arie89 @RTErdogan Itulah yang mengherankan, bagaimana Turki jadi pembebas Palestina bila hubungan diplomatik Israel sangat mesra. Dagang gelap minyak dgn ISIS jangan putus. Warga Aleppo sukacita lolos dari penyembelihan, hanya takfiri over dosis kencing onta yg berduka. Saatnya donasi #SaveIdlib</t>
  </si>
  <si>
    <t>@tiramvisu @terataiz Hahahaha. @KPAI_official @KomnasHAM @KomnasPerempuan Lihatlah..... Apa lo...lo lebih mentingin mulangin anak2 isis drpd ngurus kasus ginian yang ga ada duitnya. Fucek.</t>
  </si>
  <si>
    <t>Tambah 2 Lagi, WNI Positif Corona Kini Jadi 6 Orang. #corona</t>
  </si>
  <si>
    <t>@_wni_ dgrla lagu terang by ctdk. welkam hahahaha</t>
  </si>
  <si>
    <t>@edcfess2 Pak isis, fingerprint, bu piyak piyak</t>
  </si>
  <si>
    <t>RT @iVoxRyan: @pokershash Updated: Arrests made in #AntiHinduRiots so far- 1. Shahrukh (AAP) 2. Tahir Hussain(AAP) 3. Shahnawaz (khangress) 4. Jahanjeb Sami(ISIS) 5. Hina Bashir(ISIS) 6. Danish Ali(PFI) 7. Shah Alam(Brother of Tahir)</t>
  </si>
  <si>
    <t>RT @jokowi: Pemerintah tengah mengupayakan jalan keluar terbaik penanganan WNI awak kapal pesiar Diamond Princess di Jepang dan World Dream di perairan Indonesia. 188 WNI di World Dream dijemput untuk diobservasi di Pulau Sebaru, gugus Kepulauan Seribu, yang sudah dipersiapkan.</t>
  </si>
  <si>
    <t>Temui Ganjar Pranowo, Eks-ISIS dan Mantan Napi Terorisme: Mudah-mudahan Bisa Menebus Kesalahan Saya</t>
  </si>
  <si>
    <t>Updated: Arrests made in #AntiHinduRiots so far- 1. Shahrukh 2. Tahir Hussain(AAP) 3. Shahnawaz 4. Jahanjeb Sami(ISIS) 5. Hina Bashir(ISIS) 6. Danish Ali(PFI) 7. Shah Alam(Brother of Tahir) RT @pokershash: Arrests made in #AntiHinduRiots so far- 1. Shahrukh 2. Tahir Hussain(AAP) 3. Shahnawaz 4. Jahanjeb Sami(ISIS) 5. Hina Bashir(ISIS) 6. Danish Ali(PFI)</t>
  </si>
  <si>
    <t>Arrests made in #AntiHinduRiots so far- 1. Shahrukh 2. Tahir Hussain(AAP) 3. Shahnawaz 4. Jahanjeb Sami(ISIS) 5. Hina Bashir(ISIS) 6. Danish Ali(PFI) #_suspend_delhi_govt #Islamic_Jihad #Islamic_Terrorism</t>
  </si>
  <si>
    <t>@ISIS_Balik_NO @isgnursejati_57 @AdhieMassardi Elu tolol bang</t>
  </si>
  <si>
    <t>@ISIS_Balik_NO @AremaNita__ @GusMendem1 @BdyNusantara @_nice69_ @agama_nusantara @daunsirih5 @Jelantik5 @onsrgst @rullyjoo27 @SeruniPuspaAlam @Tikayulie @su7loo Gimana raden mas, Udah baca penjelasanku kan</t>
  </si>
  <si>
    <t>dear admin @KemenkesRI , untuk WNI yg pulang dari Bangkok apakah harus diisolasi jika tidak menunjukkan gejala sakit? Terima kasih. #COVID19</t>
  </si>
  <si>
    <t>@gatauusyapa Normal, yg gak normal itu muak sma tugas kuliah tpi malah ikutan gabung isis</t>
  </si>
  <si>
    <t>7 WNI yang Tertular Virus Korona di Luar Negeri Sudah Sembuh</t>
  </si>
  <si>
    <t>@faizalassegaf @fahiraidris @jokowi @mohmahfudmd @GunRomli @muannas_alaidid Amda sedang lapar ?😂😂😂😂😂 Anda datang pada orang yg tepat!👍👍👍</t>
  </si>
  <si>
    <t>RT @BeritaCOVID19: WNI Positif di LN . 1. 9 kru Diamond Princess Jepang 6 sembuh, 3 isolasi 2. 1 Singapura (case 21) sembuh 3. 1 Taiwan dlm karantina 4. 1 Singapura (case 133) isolasi 5. 1 Singapura (case 147) isolasi 6. 1 Australia (case 12 Victoria) isolasi Total: 14 Sembuh: 7 Isolasi: 7</t>
  </si>
  <si>
    <t>RT @BubuNyaii: @AnakKolong___ @TaliUdeng @Andri_C1AB @kopi_setan @mohmahfudmd Gak wani arekke kui minggat mrrono mass. Langsung dupak zozote karo tentarane Bashar Assad. Wanine koar2 khilafuck khilafuck wae saka kene. Gawe sepet mata wae. Pancen, jancok tenan geng kajingann khilafuvk dan Agen ISIS koyo si Felix Siauw dkk.</t>
  </si>
  <si>
    <t>RT @TirtoID: Otoritas kesehatan negara bagian Victoria, Australia, mendiagnosis seorang warga negara Indonesia terjangkit Corona alias Covid-19. Diagnosis tersebut merupakan kasus corona ke-12 yang terjadi di Australia.</t>
  </si>
  <si>
    <t>@AnakKolong___ @TaliUdeng @Andri_C1AB @kopi_setan @mohmahfudmd Gak wani arekke kui minggat mrrono mass. Langsung dupak zozote karo tentarane Bashar Assad. Wanine koar2 khilafuck khilafuck wae saka kene. Gawe sepet mata wae. Pancen, jancok tenan geng kajingann khilafuvk dan Agen ISIS koyo si Felix Siauw dkk.</t>
  </si>
  <si>
    <t>Seratus orang warga Indonesia ikut memeriahkan Moomba Parade 2020 di pusat kota Melbourne, Australia. #Internasional #adadikompas</t>
  </si>
  <si>
    <t>@IvanRT05 @BebasVisaID WNI ke Algeria butuh visa Algeria ke Indonesia BVK Apakah itu juga termasuk reciprocity?</t>
  </si>
  <si>
    <t>RT @KemenkesRI: #RilisSehat WNI Positif Covid-19 Bertambah 2 Orang, Total 6 Orang @KemenkesRI</t>
  </si>
  <si>
    <t>RT @jawapos: Usai Makan di Resto Vietnam, WNI di Australia Tertular Virus Korona</t>
  </si>
  <si>
    <t>RT @nyinyir404: @didihusadi @Ayang_Utriza @maarifinstitute sunda wiwitan itu sudah ada jauh sebelum agama impor datang ke indonesia. Gak penting soal agamanya tapi HAK mereka sbg WNI yg harus diakui kesamaannya.</t>
  </si>
  <si>
    <t>@filosofiksi @archabandung @AjiDeddy @AremaNita__ @BdyNusantara @_nice69_ @agama_nusantara @daunsirih5 @Jelantik5 @rullyjoo27 @SeruniPuspaAlam @Tikayulie @su7loo Khilafah=ISIS</t>
  </si>
  <si>
    <t>RT @KompasTV: Kronologi WNI Positif Corona dari Kasus Pertama Hingga ke-6</t>
  </si>
  <si>
    <t>RT @KompasTV: Hingga Minggu (8/3) malam, diketahui ada enam pasien yang positif virus corona dan 21 orang masuk dalam kategori suspect. Bagaimana kronologi munculnya kasus pertama hingga kasus keenam? Baca selengkapnya di</t>
  </si>
  <si>
    <t>Untuk syarat dan biaya bisa dicek lagi di ⁣ ⁣ Info lebih lanjut hubungi⁣ ⁣ medsos @kanimsurakarta⁣ telepon : 0271-718479⁣ email : imigrasi.ska@gmail.com⁣ Sampai jumpa di kantor sobat Mido!⁣ ⁣ #feelinggood⁣ #likeishould⁣ #paspormudah⁣</t>
  </si>
  <si>
    <t>Sempat Diisolasi Di Garut, WNI Suspect Corona yang Pulang dari Macau Dirujuk ke RSHS Bandung</t>
  </si>
  <si>
    <t>Kasal Kunjungi Prajurit KRI dr. Soeharso-990 dan Satgas Evakuasi WNI ODP Corona</t>
  </si>
  <si>
    <t>Satu WNI di Australia Terkonfirmasi Positif Virus Korona #TauCepatTanpaBatas #BeritaTerkini #Berita #News #BeritaNasional .</t>
  </si>
  <si>
    <t>@stelivena @sandmanindo @yovie_myg @chuentoi @MikeyAM97 @addamfarizi 😁 , Saya sih Bangladesh aja dulu, mau liat negonya gimana bebasin visa WNI ke Bangladesh. 😁</t>
  </si>
  <si>
    <t>@edcfess2 Jadi Diplomat biar bisa melayani WNI diluar sana ,ikut membantu sesama manusia . Ikut organisasi yang speak up masalah sampah plastik 🥰</t>
  </si>
  <si>
    <t>@_YogendraYadav Sir ji..bye news purani ho gayi. Aaj ki taza khabar. Stock market crashed. Crude price below 30 $. ISIS COUPLE CAUGHT INSTIGATING ANTI CAA PROTEST. Aur kuch nahi toh anti CAA walo ko itana hi bole dijiye - BEWARE OF SUCH IMPOSTERS.</t>
  </si>
  <si>
    <t>Pemegang paspor Indonesia bisa bebas masuk ke negara-negara ini tanpa membuat visa sebelumnya Daftar 37 Negara Bebas Visa untuk WNI, Khusus Jepang Bebas Visa Bersyarat</t>
  </si>
  <si>
    <t>OJO LALI YO DAB.... . . AGEN ISIS iki isih gentayangan Bajingan Khilafah iki koq ra ndang MINGGAT neng Ghouta, Allepo &amp; wilayah²Syiria liyane, dukung ISIS lan ngelawan Assad TENANAN. . . | @TaliUdeng @Andri_C1AB @kopi_setan | prof @mohmahfudmd  RT @AnakKolong___: SANTRI NU ITU NGGA' RIBET | Yang ribet itu kadrun yg berkoloni di Muslim United &amp;amp; penceramah mualafnya. . . Muslim kok "united"...?!!! . . .</t>
  </si>
  <si>
    <t>RT @vivanewscom: 16 juta Orang di Italia Wajib Karantina Virus Corona, Bagaimana WNI?  #vivanews</t>
  </si>
  <si>
    <t>16 juta Orang di Italia Wajib Karantina Virus Corona, Bagaimana WNI?  #vivanews</t>
  </si>
  <si>
    <t>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</si>
  <si>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@didihusadi @Ayang_Utriza @maarifinstitute sunda wiwitan itu sudah ada jauh sebelum agama impor datang ke indonesia. Gak penting soal agamanya tapi HAK mereka sbg WNI yg harus diakui kesamaannya.</t>
  </si>
  <si>
    <t>@Real_Prajjval @PJkanojia Khan jhia already bik chuka hai ISIS aur PFI KE LIYE</t>
  </si>
  <si>
    <t>@AcharyaPramodk @NBA Bsdk tu b ISIS ka hi hai</t>
  </si>
  <si>
    <t>RT @cnbcindonesia: 1 WNI Positif Corona, KBRI: Waspada Kunjungi Singapura!</t>
  </si>
  <si>
    <t>Usai Makan di Resto Vietnam, WNI di Australia Tertular Virus Korona</t>
  </si>
  <si>
    <t>Hingga Minggu (8/3) malam, diketahui ada enam pasien yang positif virus corona dan 21 orang masuk dalam kategori suspect. Bagaimana kronologi munculnya kasus pertama hingga kasus keenam? Baca selengkapnya di</t>
  </si>
  <si>
    <t>Dua WNI positif COVID-19 masih dirawat di Singapura</t>
  </si>
  <si>
    <t>RT @YLestperinggo: Kirim Uang ke Lembaga Amal 3 WNI Di Singapura Di Hukum Dengan UU "TERORISME" ✓ Breaking news✓ √KEEP VOTING√ #Agnation #BestFanArmy #iHeartAwards</t>
  </si>
  <si>
    <t>@ariafluttera Oh jd kalau kita memutuskan utk intervensi mereka bisa berubah? Jadi kita bisa memilih nih, lalu mengubah nasib mereka di masa depan? Kok jadi bingung aku td katanya semua udh ditentukan 🤔 Oya sikap begini tantangan bgt kalo udh berhadapan sm koruptor atau teroris ISIS</t>
  </si>
  <si>
    <t>@alpin_aktam18 @VeronicaKoman Setuju kang @alpin_aktam18 congornya @VeronicaKoman yg harus di tutup !!! Btw nih manusia masih WNI kah ?</t>
  </si>
  <si>
    <t>RT @cnbcindonesia: Achmad Yurianto mengonfirmasi seorang WNI di Negara Bagian Victoria, Australia, positif terjangkit SARS-CoV-2, virus yang menyebabkan Covid-19.</t>
  </si>
  <si>
    <t>RT @iRupeshS: Delhi Violence link Emerges: ISIS Khurasan--&gt;PFI--&amp;gt;AAP √ PFI managing CAA Protest &amp; #ShaheenBagh √ Dy CM @msisodia supports ShaheenBagh √ Allegedly, @SanjayAzadSln is having link with PFI √ AAP Rioters: •Amanatullah •Tahir Hussain •Haji Yunus</t>
  </si>
  <si>
    <t>Bertambah Lagi, 2 WNI di Singapura Positif Terinfeksi Korona</t>
  </si>
  <si>
    <t>Kronologi WNI Positif Corona dari Kasus Pertama Hingga ke-6</t>
  </si>
  <si>
    <t>Dua WNI di Singapura positif COVID-19 sedang dirawat - ANTARA News Jawa Barat</t>
  </si>
  <si>
    <t>@aryacokronegoro @sandmanindo @yovie_myg @chuentoi @MikeyAM97 @addamfarizi Bayangin kalo Korsel membebaskan visa utk WNI. Mau wabah corona kek, ebola kek, banjir kayak jaman Nabi Nuh pun WNI pasti berbondong-bondong ke sana utk liburan.</t>
  </si>
  <si>
    <t>Kewarganegaraan China? Bego. KALISTA ITU WNI. RT @mus_tanjung: @HusinShihab @BNPTRI @jokowi @mohmahfudmd @prabowo @makLambeTurah Kalista berkewarganegaraan china, &amp; besar di luar negeri wajar dia tak hafal pancasila dan @HusinShihab keliatan gobloknya mengatakan kalista sdh terpapar paham khilafah padahal kalista beragama kristen..ini bukti para bacin2 itu isi kepalanya sdh ketukar sama isi perutnya..😎</t>
  </si>
  <si>
    <t>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</si>
  <si>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RT @wow_keren: Kasus Corona Italia Melonjak Pesat, Kemenlu Pastikan WNI Masih Aman Dari Virus</t>
  </si>
  <si>
    <t>RT @GarmeoNatan: @VeronicaKoman Lalu ketololanmu menembak bangsamu sendiri selaku wni itu jg disebut tdk mungkin gitu, atau kau bangsa penyamun? lonte Republik</t>
  </si>
  <si>
    <t>RT @vivanewscom: WNI di Australia dan Singapura Terinfeksi Covid-19 di Luar Indonesia  #vivanews</t>
  </si>
  <si>
    <t>RT @wow_keren: 1 Lagi WNI di Singapura Dikonfirmasi Positif COVID-19, Begini Kronologi Penularan</t>
  </si>
  <si>
    <t>@TirtoID Kemaren ada WNI usia 64 tahun begitu landing di Singapura terdeteksi positif. Beliau dari Indonesia. Semoga aja punya duit buat beli tiket ke Singapura klo kena virus. Disana perawatannya bagus dan gratis untuk covid-19</t>
  </si>
  <si>
    <t>WNI di Australia dan Singapura Terinfeksi Covid-19 di Luar Indonesia  #vivanews</t>
  </si>
  <si>
    <t>Ari Widodo meminta seluruh jajarannya untuk senantiasa menjaga dan meningkatkan pelayanan kepada masyarakat</t>
  </si>
  <si>
    <t>#RT @TirtoID: Otoritas kesehatan negara bagian Victoria, Australia, mendiagnosis seorang warga negara Indonesia terjangkit Corona alias Covid-19. Diagnosis tersebut merupakan kasus corona ke-12 yang terjadi di Australia.</t>
  </si>
  <si>
    <t>@desimojito Kerala is a den of PFI , more dangerous than Taliban &amp; ISIS, Al Qaeda.</t>
  </si>
  <si>
    <t>RT @merdekadotcom: Satu WNI di Australia Positif Virus Corona, Kondisi Stabil</t>
  </si>
  <si>
    <t>Gw curiga status nya @Dandhy_Laksono bukan WNI... Secara dia punya strategi mau mempersulit investasi di lapangan kalo gerakan tolak omnibus law tidak membuahkan hasil.... Halah....halah.... Tega banget mau "membunuh" negara sendiri....  RT @dwiyanaDKM: Ngaca! Gimana gak kabur investor, dikit2 lo ngajak orang demo muluk, sementara dompet lo tambah tebel, body lo makin subur 🙄 Cc in dulu ah ke @DivHumas_Polri Siap-siap, hitungan 3...2...1, gue di blokir nih @kangdede78 😂 #GejayanGerakanProvokasi</t>
  </si>
  <si>
    <t>Akun2 ISIS, HTI, Daesh, FPI, dll lg giat2 nya bikin tagar menjelekan pemerintah dan jokowi, mengatasnamakan pro Prabowo, Waspadalah-waspadalah #UtangTenggelamkanIndonesia @nahdlatululama @Generasi_MudaNU @GPAnsor_Satu @Banser_CyberNU @detikcom @CNNIndonesia @Metro_TV @tvOneNews</t>
  </si>
  <si>
    <t>@RanaAyyub @AamirAzizJmi new propogenda promoted by jihadin aunty ..logo ko bekoof smjhne wale aaj k wqt k sbse bde bekoof h ...ye line commn ho gai h ab sb ko pata h ..suturmurg bnane ki kosis jari ki h drr jihadin aunty ne ..do isis agent kal jamiya se pkde gye to aaj inhe ye yaad a agya 🤣😂🤣🤣</t>
  </si>
  <si>
    <t>Delhi Violence link Emerges: ISIS Khurasan--&gt;PFI--&amp;gt;AAP √ PFI managing CAA Protest &amp; #ShaheenBagh √ Dy CM @msisodia supports ShaheenBagh √ Allegedly, @SanjayAzadSln is having link with PFI √ AAP Rioters: •Amanatullah •Tahir Hussain •Haji Yunus</t>
  </si>
  <si>
    <t>Galama nanati ijin jd WNI..?? RT @Si_Bee: Ribuan Warga Tiongkok Ajukan Izin Tinggal Keadaan Terpaksa di Indonesia (Kemkumham) telah memberikan Izin Tinggal Terpaksa kepada 2.643 warga negara Tiongkok. ---- Ternyata sudah dizinkan... 😌 #TergagapCorona</t>
  </si>
  <si>
    <t>Disini mah bebas bikin rekening dompet utk Gaza, Suriah, Isis, Uyghur ntar India. Masuk toko online lagi RT @GunRomli: Kirim Uang ke 'Lembaga Amal', 3 WNI di Singapura Dihukum dengan UU Terorisme  Ini merupakan upaya serius memerangi terorisme, pemberi dana pun bisa dipidana.</t>
  </si>
  <si>
    <t>Satu WNI di Australia Positif Virus Corona, Kondisi Stabil</t>
  </si>
  <si>
    <t>@dwiyanaDKM @DivHumas_Polri @kangdede78 Jadi ketika dia ditanya "semisal gerakan tolak omnibus law tidak membuahkan hasil, langkah apa yg harus ditempuh?" Jawaban dia adalah "MEMPERSULIT INVESTASI" Lah ngeri yakkk, sampe tega mau matiin negara sendiri... @Dandhy_Laksono ini WNI atau bukan....???</t>
  </si>
  <si>
    <t>Italia Lockdown Imbas Corona, Kemlu Pastikan Belum Ada WNI Kena COVID-19</t>
  </si>
  <si>
    <t>Dua WNI positif COVID-19 di Singapura</t>
  </si>
  <si>
    <t>@mas_arie89 @RTErdogan Rakyat Suriah mengungsi akibat kekejaman teroris ISIS/Al-Qaeda dukungan Turki yang kini sembunyi di Idlib sbg benteng terakhir. Cek aja media non-mainstream anti AS/Zionis kegembiraan warga Aleppo saat bebas dari ISIS/Al-Qaeda. Tapi hubungan diplomatik Turki-Israel memang keren.</t>
  </si>
  <si>
    <t>RT @voidotid: Ketika sudah 1.200 orang postif terjangkit virus corona, otoritas memberlakukan peraturan ini. Namun sejauh ini keadaan di sana masih kondusif dan tenang. Tidak ada panic buying.</t>
  </si>
  <si>
    <t>@Harry99106621 @WagimanDeep__ @asnug_id @VeronicaKoman Khan sama2 pengkhianat pakbro, cuma beda jalan ajj satu melalui fitnah n provokasi satu melakukan teror.sama2 pengkhianat tidak apa saling mendukung 😁isis otaknya cuma selangkangan yg satu punya selangkangan 🤣🤣</t>
  </si>
  <si>
    <t>RT @Metro_TV: Ada 7 dari 12 WNI yang dirawat di luar negeri akibat terinfeksi virus corona sudah dinyatakan sembuh. Karena itu Menlu Retno Marsudi mengatakan peluang sembuh dari covid-19 terus membesar. #TopNewsMetroTV</t>
  </si>
  <si>
    <t>RT @Metro_TV: #NewslineMetroTV Menteri Luar Negeri, Retno Marsudi mengumumkan total terdapat 12 kasus WNI yang terjangkit Covid-19 di luar negeri. 7 di antaranya sudah dinyatakan sembuh</t>
  </si>
  <si>
    <t>@DiantyYasmin3 @ali_janto Ya mbak, ngeri kelakuan manusia2 sadis yg bergabung dgn Isis sesat itu,begitu muda nya mrk membunuh melakukan bom dgn korban tak berdosa,mrk rela korbankan anak istri tuk mati sia2 melakukan bom bunuh diri.apa itu lbh binatang drpd binatang.anjing saja melindungi anaknya ini??</t>
  </si>
  <si>
    <t>2 WNI di Singapura Terinfeksi Virus Corona, Ini Identitasnya  #DariSuara</t>
  </si>
  <si>
    <t>Kirim Uang ke ‘Lembaga Amal’, 3 WNI di Singapura Dihukum dengan UU Terorisme</t>
  </si>
  <si>
    <t>@Harry99106621 @WagimanDeep__ @asnug_id @VeronicaKoman Suruh perkosa rame2 dgn anggota ISIS 😁</t>
  </si>
  <si>
    <t>Italia Utara Ditutup Akibat Corona, 1.239 WNI Diimbau Tetap Tenang</t>
  </si>
  <si>
    <t>@SultanslaveAg @permadiaktivis Manipulator agama ?? tonton tuh Rizieq Shihab mengatakan ISIS adalah Islam, ada noh video di YouTube, cari saja..</t>
  </si>
  <si>
    <t>RT @alpinsi_pandi: @DiantyYasmin3 @ali_janto Byk skrg Manusia kelakuan kayak binatang,begitu muda membunuh, membakar hak org merebut merampas hak org.kelakuan biadap,kejam dan sadis lbh dr binatang.contoh anggota ISIS lbh dr binatang</t>
  </si>
  <si>
    <t>@noeruzzaman Duitnya dr mana tuh WNI hrs diselidiki jg. Jgn2 dr sumbangan2 yg mengatasnamakan solidaritas</t>
  </si>
  <si>
    <t>Achmad Yurianto mengonfirmasi seorang WNI di Negara Bagian Victoria, Australia, positif terjangkit SARS-CoV-2, virus yang menyebabkan Covid-19.</t>
  </si>
  <si>
    <t>@DiantyYasmin3 @ali_janto Byk skrg Manusia kelakuan kayak binatang,begitu muda membunuh, membakar hak org merebut merampas hak org.kelakuan biadap,kejam dan sadis lbh dr binatang.contoh anggota ISIS lbh dr binatang</t>
  </si>
  <si>
    <t>RT @CNNIDdaily: Juru bicara penangan Covid-19, Achmad Yurianto mengatakan jumlah pasien yang positif corona bertambah 2 orang. Hingga total WNI yang diketahui positif terpapar virus corona menjadi 6 orang. #CNNIDBusiness</t>
  </si>
  <si>
    <t>RT @liputan6dotcom: #VideoLiputan6 Kondisi Terkini WNI yang Diobservasi di Pulau Sebaru Kecil</t>
  </si>
  <si>
    <t>1.239 WNI di Utara Italia Diisolasi Dampak Virus Corona</t>
  </si>
  <si>
    <t>Ada 7 dari 12 WNI yang dirawat di luar negeri akibat terinfeksi virus corona sudah dinyatakan sembuh. Karena itu Menlu Retno Marsudi mengatakan peluang sembuh dari covid-19 terus membesar. #TopNewsMetroTV</t>
  </si>
  <si>
    <t>4 WNI Positif Terinfeksi Virus Corona Membaik -</t>
  </si>
  <si>
    <t>@victorpangkey @HusinShihab @BNPTRI @jokowi @mohmahfudmd @prabowo @makLambeTurah Kalau yg anda maksud khilafah yg Nabi contohkan dan di pelajari di Al-Qur'an ya ...saya salah satu yg percaya itu...tapi khilafah yg saya pelajari dan yg Nabi contohkan bukan khilafah yg ada di otak anda...dngn prasangka buruk anda tampa pelajari dan yg ada di ISIS dll</t>
  </si>
  <si>
    <t>RT @ramayanads: Update Virus Corona: Mulai Minggu 8/3, pemerintah mengonfirmasi kasus baru yakni dua WNI kembali dinyatakan positif corona. Kabarnya, pasien no.5 terhubung dengan kasus pertama dan pasien no.6 merupakan ABK Diamond Princess. Semakin waspada dan jaga terus kesehatan, ya, gaes.</t>
  </si>
  <si>
    <t>"Total tiga WNI, tapi satu sudah sembuh. Jadi dua masih dalam karantina," #COVIDー19</t>
  </si>
  <si>
    <t>RT @nazmii52: @alisyarshd Sekarang baru tau lirik lagu cerita spongebob 😂 kalau tak, ksjxbhdhebdhbehdbehd sea SPONGEBOB SQUAREPANTS!</t>
  </si>
  <si>
    <t>RT @alisyarshd: taknak. nak nyanyi lagu spongebob..</t>
  </si>
  <si>
    <t>Puluhan ABK dan Penumpang Grand Princess Positif Covid-19,Menlu : 57 WNI Sehat [KBR|Warita Desa] Jakarta | Kementerian Luar Negeri mengatakan 57 Warga Negara Indonesia (WNI) yang bekerja sebagai Anak</t>
  </si>
  <si>
    <t>@terajaanaa @AdamhasakahAdam @ibnuhan1ff_ @mutiaradabiiq @Areyyyyyyyyyy @jen4rra_ @JuliacantikSays Stop kata ISIS karna ISIS SUDAH BUBAR.</t>
  </si>
  <si>
    <t>Kirim Uang ke ‘Lembaga Amal’, 3 WNI di Singapura Dihukum dengan UU Terorisme  #BeritaIslam #eramuslim</t>
  </si>
  <si>
    <t>Prediksi pertumbuhan ekonomi Indonesia anjlok mulai ramai diperbincangkan oleh para ekonom. Terlebih, ketika Presiden Joko Widodo mengumumkan dua WNI positif terinfeksi virus corona baru (Covid-19). #TergagapCorona #TergagapCorona</t>
  </si>
  <si>
    <t>Bagi semua WNI yang berada di Korsel, mari kita tetap tenang dan meningkatkan kewaspadaan. Jangan khawatir, jumlah masker masih mencukupi.</t>
  </si>
  <si>
    <t>#VideoLiputan6 Kondisi Terkini WNI yang Diobservasi di Pulau Sebaru Kecil</t>
  </si>
  <si>
    <t>@dk__december @laaleen @AuratAzadiMarch Do taliban isis alqaeda and you follow same islam?</t>
  </si>
  <si>
    <t>@faizalassegaf Isis punya agama gak? Teroris punya agama gak? Giliran yg jahat gak diakui. Dasar ketuban O</t>
  </si>
  <si>
    <t>@prilangit_ @cobaganti @na_dirs Ngapain ngurusin Turki. Sebagai WNI ekonomi Indonesia lebih penting.</t>
  </si>
  <si>
    <t>RT @sahattuatobing1: @DjokoEdhi1 @HisyamMochtar Pak @LuhutBinsar @DivHumas_Polri orang ini sdh tdk dpt dibiarkan, sdh sangat memprovokasi.</t>
  </si>
  <si>
    <t>@DjokoEdhi1 @HisyamMochtar Ente waras ? Gigi palsu dan Wig nya sudah dicuci mang ?😂</t>
  </si>
  <si>
    <t>@melekpolitikcom @permadiaktivis Si edi mah....gs LETOY......napsi nyedek tanaga midek...sina ngurus WIG we jg HUNTU PALSU 😂😂😂😂</t>
  </si>
  <si>
    <t>RT @melekpolitikcom: Abu Janda @permadiaktivis Bongkar @DjokoEdh1 Bawa-bawa Islam tapi Suka Foto Cabul via @melekpolitikcom</t>
  </si>
  <si>
    <t>RT @Agamajinasi: Pertumbuhan ekspor indonesia memang patut diacungi jempol. Ekspor corona..</t>
  </si>
  <si>
    <t>Telkomsel Siapkan 1 BTS Combat untuk 188 WNI di Pulau Sebaru Kecil #uzoneID #komunikasi #jaringan</t>
  </si>
  <si>
    <t>Belum diketahui penularannya, Pemerintah pantau kondisi WNI ketiga positif COVID-19 di Singapura #ElshintaEdisiSiang</t>
  </si>
  <si>
    <t>Tak pernah Terbayangkan oleh Rezim Somplak ini, betapa Kesulian nya WNI yg bekerja di Luar Negeri (TKI) dgn Berbagai macam Aturan yg hrs di ikuti di negara org. Dan semua nya sangat Merugikan TKI Bagaimana Mungkin, Indonesia justru Mempermudah Para TKA yg ada di Indonesia.? RT @micheladamm: NEGARA ORANG BANYAK KOK DIGADAKAIN SENDIRI. Omnibus Law beri jaminan warga asing hidup layak. Warga Chino hidup layak, rakyat pribumi makin blangsak. Rocky Gerung: Omnibus Law Beri Jaminan Warga Asing Hidup Layak di Indonesia  #UtangTenggelamkanIndonesia</t>
  </si>
  <si>
    <t>@Syahdiyan_Srg @nandaatangan @rzksurya @TirtoID Halo mas, coba tanya dengan Budhis, Hindu atau Kong hu chu. Agama abrahamik itu berbeda dengan ketiga agama tersebut. Belum lagi penghayat kepercayaan. Lagi pula, orang berdosa itu tetap WNI. Mas mau gak dianggap WNI karena berdosa?</t>
  </si>
  <si>
    <t>@RafianIbrahim @AremaNita__ @GusMendem1 @BdyNusantara @_nice69_ @agama_nusantara @daunsirih5 @Jelantik5 @onsrgst @rullyjoo27 @SeruniPuspaAlam @Tikayulie @su7loo Kutunjukan foto manusia TOLOL</t>
  </si>
  <si>
    <t>RT @BeritaCOVID19: Pemerintah RI blm rencana mengevakuasi WNI di Italia, meski 1/4 Italia dlm status lockdown penyebaran virus corona. Sejauh ini ada sekitar 1.239 WNI tersebar di berbagai kota di Italia. Utk emergency KBRI Roma membuka Pos Penanganan COVID19 dg no hotline di +39 338 923 4243.</t>
  </si>
  <si>
    <t>@zarazettirazr Kalau alasan tidak tersedia nya alat angkut, pemerintah indonesia saja smp jemput wni dr luar yg suspect corona,, di negara +62 surat aja ada biaya administrasi nya ya , wong izin turis aja bs buat kerja.</t>
  </si>
  <si>
    <t>RT @KJRIJeddah: KJRI Jeddah telah menyelenggarakan welcoming program menyambut 18 WNI yang baru tiba dan akan bekerja di perusahaan Mahmood Saeed sebagai pekerja konstruksi. #KJRIJeddahMelayani #NegaraMelindungi</t>
  </si>
  <si>
    <t>@VeronicaKoman Ah ngebacot di negeri orang atau negeri sendiri, ntar kalo udah jadi WNA silahkan mo ngomong apa, kalo masih WNI siap2 pasal yg menanti, berani pulang ......</t>
  </si>
  <si>
    <t>Menteri Perhubungan Budi Karya Sumadi mengungkapkan alasan memilih Bandara Kertajati untuk pemulangan 69 WNI yang menjadi ABK Diamond Princess, selengkapnya di</t>
  </si>
  <si>
    <t>@tjapoenglaut @ISIS_Balik_NO Kristenisasi adalah illusi yang digunakan sebagai propaganda menjalankan kehendak politik.</t>
  </si>
  <si>
    <t>Mending isis, apa sumuk?</t>
  </si>
  <si>
    <t>Enak saja main minta ijin tinggal....kita WNI tiap tahun sdh byr pajak mrk mau enak2 nikmati RT @geloraco: Ribuan Warga China Ajukan Izin Tinggal Keadaan Terpaksa di Indonesia</t>
  </si>
  <si>
    <t>@VeronicaKoman Media sebaiknya hati-hati dalam mengutip pernyataan pengacara, cek langsung ke WNI di Indonesia. Masak ada pengacara Indonesia yg mendiskreditkan negara sendiri?</t>
  </si>
  <si>
    <t>RT @jasanugasyuk: [LOKER bagi WNI di KCC] 안녕하세요 Korean Cultural Center Indonesia membuka lowongan pekerjaan untuk posisi Resepsionis (full time) Informasi lengkap silahkan buka tautan  Periode aplikasi lamaran s/d 18 Maret 2020 jam 17.00 WIB</t>
  </si>
  <si>
    <t>RT @kompascom: WNI yang disebut sebagai kasus ke-147 itu diduga telah terjangkit virus sebelum ke Singapura.</t>
  </si>
  <si>
    <t>@rullyjoo27 @abu_cebong @AremaNita__ @BdyNusantara @daunsirih5 @Jelantik5 @onsrgst @SeruniPuspaAlam @su7loo @_nice69_ @AdityaRahayu76 @Tikayulie ISIS bikinan USA n ISRAEL. Keduanya bukan negara Islam. Palagi komunis polpot yg bunuh 2jt rakyatnya. n extrimis INDIA penyembah kotoran sapi. Udah Pernah lihat penyembelihan manusia cara2 kartel narkoba mexico,brasil? Cebong,bego pulak!!!</t>
  </si>
  <si>
    <t>@AnakLolina @jokowi @mohmahfudmd Dimasa depan malah melawan WNI sendiri ( Kelompok intolerant) kalau dibiarkan terus seperti ini.</t>
  </si>
  <si>
    <t>[LOKER bagi WNI di KCC] 안녕하세요 Korean Cultural Center Indonesia membuka lowongan pekerjaan untuk posisi Resepsionis (full time) Informasi lengkap silahkan buka tautan  Periode aplikasi lamaran s/d 18 Maret 2020 jam 17.00 WIB</t>
  </si>
  <si>
    <t>RT @KurioID: Satu orang WNI kembali terjangkit virus corona di Singapura berusia 64 tahun</t>
  </si>
  <si>
    <t>Malala remaja dpt Nobel. Anne Frank diary-nya diduga disunting hbs2an oleh org dewasa. Anak2 ISIS di-brainwashed utk membunuh. Licypriya dijadikan boneka aktivisme. Hrsnya anak2 berhak bermain dan belajar, bukan berperang a/n org dewasa utk problem2 brengsek org dewasa. *kezel* RT @OpIndia_com: Licypriya Kangujam, an eight-year-old ‘child activist’, has been used as a tool by her guardians for their personal motives. The ‘achievements’ which prompted Licypriya to international fame were all fake and her father is a conman</t>
  </si>
  <si>
    <t>7. KBRI himbau WNI untuk tidak menyebarkan berita palsu/hoax terkait COVID-19. 8. Silakan merujuk portal resmi dan media sosial Kementerian Kesehatan Malaysia untuk mendapatkan informasi yang terpercaya. #KBRIKualaLumpur #PeduliWNI #IndonesianWay #DemiNKRI #NegaraMelindungi</t>
  </si>
  <si>
    <t>2. Hingga saat ini tidak terdapat laporan Warga Negara Indonesia (WNI) terjangkit COVID-19 di Malaysia. 3. KBRI himbau seluruh WNI selalu menjaga kondisi kesehatan &amp; melakukan tindakan pencegahan, antara lain dengan rajin mencuci tangan serta menggunakan penutup hidung dan mulut</t>
  </si>
  <si>
    <t>Seorang warga negara Indonesia (WNI) di Victoria, Australia, dinyatakan positif Corona (COVID-19). WNI tersebut merupakan kasus ke-12 di Victoria. [Juru bicara pemerintah terkait virus Corona, Achmad Yurianto kepada detikcom, Senin (9/3/2020)]</t>
  </si>
  <si>
    <t>RT @priyaakulkarni2: ISI’s man in US, Ghulam Fai is back lobbying against India - @NIA_India @AmitShah</t>
  </si>
  <si>
    <t>Satu orang WNI kembali terjangkit virus corona di Singapura berusia 64 tahun</t>
  </si>
  <si>
    <t>@koalisi_i @ISIS_Balik_NO @Kiyai_MarufAmin @basuki_btp @RomeskoP Belajar agama setinggi langit, khusuk dalam doa .. ternyata belum tentu bisa mengubah orang yg jiwanya penuh dengki menjadi sembuh kembali ... Rahayu 🙏🙏</t>
  </si>
  <si>
    <t>WNI yang disebut sebagai kasus ke-147 itu diduga telah terjangkit virus sebelum ke Singapura.</t>
  </si>
  <si>
    <t>RI Belum Berencana Evakuasi WNI dari Sumber Corona di Italia</t>
  </si>
  <si>
    <t>@vandanahandcrft @Deepak04402057 Ham WhatsApp University me nahi hai to hamtak fake information nahi ati bhai 🤣🤣🤣🤣 Pata nai kaha pakde aur kon isis hai We indian muslim dont believe in isis ok</t>
  </si>
  <si>
    <t>RT @muhamma87797215: @VeronicaKoman Hati hati menerima berita dari WNA krn framing mereka memojokkan lndonesia dimata dunia, kalau WNI di di LN tidak mungkin, masa seh orang lndonesia mau menghancurkan bangsanya sendiri.</t>
  </si>
  <si>
    <t>RT @kafiradikal: ...Barusan kemenkes resmi menyatakan bertambah 2 orang lagi menjadi 6 yang positif Corona. Tambah 1 lagi WNI yg lagi di luar negeri. Jadi total 7 WNI positif terkena Corona... (``,)</t>
  </si>
  <si>
    <t>@QiraniAyara Di tasik aja udah 3 orang yg terjangkit...1 wna 2 wni...,walikota na kamana hungkul??? #TergagapCorona #TergagapCorona</t>
  </si>
  <si>
    <t>Rekans di @KBRIMexicoCity sekiranya sdh tertangani: 1. Rombongan WNI &lt;21 tahun, 2. berenang di Cancun City, 3 ada yg tewas tenggelam...</t>
  </si>
  <si>
    <t>Total, ada 2 WNI yang kini masih dirawat di Singapura</t>
  </si>
  <si>
    <t>"Di situ terdapat 57 ABK WNI yang bekerja pada kapal tersebut. Saya terus komunikasi dengan tim yang di Amerika, sejauh ini dalam pantauan kita, 57 dalam kondisi sehat," kata Menlu Retno. #VirusCorona #Covid19</t>
  </si>
  <si>
    <t>@GunRomli Ini teroris sekaligus pemberi dana dan senjata bagi ISIS dan Alqaeda...!</t>
  </si>
  <si>
    <t>Kirim Uang ke ‘Lembaga Amal’, Ini Jejak 3 WNI di Singapura Kena UU Terorisme</t>
  </si>
  <si>
    <t>BREAKING NEWS: Seorang Perempuan WNI Usia 62 Tahun di Singapura Positif Corona  via @tribunnews</t>
  </si>
  <si>
    <t>Mungkin maksudnya bukan Indonesia pemasok teroris wahhabi ke Suriah, tapi sejauh ini, teroris2 biadab ISIS, Alqaeda dll ternakan Saudi itu tidak mengancam kepentingan-kekuasaan oligarki, bahkan bisa dimanfaatkan isunya utk tutupi skandal lain; dus, kompromi politik di balik layar RT @marpaung913: @WahhabiCC @NasirBachtiar Singapura membuktikan steril dari radikalisme. Kalau di negaraku justru mereka punya kekuatan bahkan menunjukkan aksinya lengkap dengan simbol-simbol. Apakah kita PUNYA JARINGAN MEMPORAK-PORANDAKAN SURIAH hingga pemerintah siap menjemput TURUNAN ISIS yang terlantar ?</t>
  </si>
  <si>
    <t>RT @NasDem: Anggota DPR RI dari Fraksi NasDem, @farhanpenyiar menggelar kegiatan reses Masa Sidang II 2019-2024 sebagai ajang mengedukasi masyarakat akan peran dan fungsi tugas Dewan. Selengkapnya  #NasDemAntiMahar</t>
  </si>
  <si>
    <t>RT @NasDem: Anggota Komisi I DPR RI dari Fraksi NasDem, @farhanpenyiar menerima aduan terhambatnya kepulangan pekerja WNI atas nama Reni Safitri dari Kuala Lumpur, Malaysia yang sudah tujuh tahun tidak bisa pulang. Selengkapnya  #NasDemAntiMahar</t>
  </si>
  <si>
    <t>@Etekewer_Sepuh_ @_Naoliviea__ lama2 ngendon disini terus jadi WNI</t>
  </si>
  <si>
    <t>Lagi, Satu WNI Dinyatakan Positif Virus Corona di Singapura</t>
  </si>
  <si>
    <t>RT @SalmaBrecht: @faizalassegaf @GunRomli @muannas_alaidid Kalau maaf bisa menyelesaikan masalah, Ahok tidak akan dihukum. Semua WNI kedudukannya sama di mata hukum</t>
  </si>
  <si>
    <t>RT @hallyuluver: @KBRITokyo pemerintah sepertinya harus menaikkan level travel advisory ke Jepang menjadi level 3 / Red Alert karena kami WNI yg berencana mengunjungi Jepang sebagai turis dan sudah membeli tiket pesawat merasa khawatir,sementara maskapai tidak bisa mengembalikan uang kami apabila dibatalkan</t>
  </si>
  <si>
    <t>Semangat Ibu!! Sehat selalu disana. I miss u Begini Kondisi WNI Hadapi Corona di Italia</t>
  </si>
  <si>
    <t>Belum diketahui penularannya, Pemerintah pantau kondisi WNI ketiga positif COVID-19 di Singapura</t>
  </si>
  <si>
    <t>Kasus Corona Italia Melonjak Pesat, Kemenlu Pastikan WNI Masih Aman Dari Virus</t>
  </si>
  <si>
    <t>RT @poldajateng_: Kesiapan lokasi evakuasi, karantina dan observasi penularan virus korona (Covid-19) bagi 188 WNI ABK kapal pesiar World Dream di Pulau Sebaru, Kepulauan Seribu. TNI-Polri akan turun mengamankan pulau seluas 16,6 hektare tersebut.  #BersamaCegahCorona</t>
  </si>
  <si>
    <t>Perempuan Diduga WNI Terpapar Corona di Australia, Kemenlu: Kita Telusuri  #DariSuara</t>
  </si>
  <si>
    <t>@IweajaAhmad @zarazettirazr Bbrp wni dibdg ribuan wna cina, kira2 yg bs ngasik efek buruk yg mana yah ? 😱🐷☠🔥</t>
  </si>
  <si>
    <t>RT @Detektif_Ngibul: Salah satu antek ISIS yg msh berkeliaran bebas dgn menyebarkan faham khalifah di setiap ceramahnya. Orang ini jg petinggi ormas HTI yg udh dibubarin. Hati2 kalian semua. Brkt fkt nya;@narkosun @TolakBigotRI @jr_kw19 @WagimanDeep__ @wahhabicc_jabar #RezimKerjaAmburadul #Ahok #hti</t>
  </si>
  <si>
    <t>@DanangArnan Kamu ngga k sket WNI</t>
  </si>
  <si>
    <t>RT @IweajaAhmad: Beberapa WNI pun masih ada yg tertahan di tiongkok. Dan mrk terpaksa stay di sana krn ada larangan yg sama. Salah satunya klien kantor saya. Semoga segera bisa pulang ke tanah air masing2.</t>
  </si>
  <si>
    <t>RT @Metro_TV: #MetroSiang Juru bicara pemerintah untuk penanganan Covid-19, Achmad Yurianto pada Minggu sore mengumumkan bahwa ada tambahan pasien WNI yang positif Covid-19. Pasien kasus 05 &amp; 06 saat ini dirawat intensif di ruang isolasi RSUP Persahabatan, Jakarta.</t>
  </si>
  <si>
    <t>Satu Lagi WNI di Singapura Positif Virus Corona</t>
  </si>
  <si>
    <t>Otoritas kesehatan negara bagian Victoria, Australia, mendiagnosis seorang warga negara Indonesia terjangkit Corona alias Covid-19. Diagnosis tersebut merupakan kasus corona ke-12 yang terjadi di Australia.</t>
  </si>
  <si>
    <t>RT @Msetiawaaan: hapusnya Pasal 43 ini berdampak sulit mengidentifikasi kehadiran TKA ke Indonesia. Juga perencanaan penggunaan TKA , jangka waktu, WNI sebagai pendamping menjadi tidak jelas. Pemerintah memberi kemudahan akses bagi TKA masuk ke Indonesia #GagalkanOmnibusLaw #GejayanMemanggilLagi</t>
  </si>
  <si>
    <t>Satu Lagi WNI di Singapura Positif Covid-19, KBRI Sebut Ini Kasus ke 147  #</t>
  </si>
  <si>
    <t>hapusnya Pasal 43 ini berdampak sulit mengidentifikasi kehadiran TKA ke Indonesia. Juga perencanaan penggunaan TKA , jangka waktu, WNI sebagai pendamping menjadi tidak jelas. Pemerintah memberi kemudahan akses bagi TKA masuk ke Indonesia #GagalkanOmnibusLaw #GejayanMemanggilLagi</t>
  </si>
  <si>
    <t>#MetroSiang Juru bicara pemerintah untuk penanganan Covid-19, Achmad Yurianto pada Minggu sore mengumumkan bahwa ada tambahan pasien WNI yang positif Covid-19. Pasien kasus 05 &amp; 06 saat ini dirawat intensif di ruang isolasi RSUP Persahabatan, Jakarta.</t>
  </si>
  <si>
    <t>@isis_scheid cala boca isis</t>
  </si>
  <si>
    <t>@Sanjayasantosa2 @awnayaaaa @black__valley1 Setuju jangan ditampilkan foto nya... lha kasus wni yg membuat heboh di Inggris sampe sekarang kita tidak pernah tahu wajah nya kan......</t>
  </si>
  <si>
    <t>RT @HermanChow73: Radikalisme tdk hanya dlm bentuk ekstrim spt ISIS, Al Qaeda, Taliban,dll atau teriak2 spt FPI, tetapi jg dlm bentuk yg santuy - mempengaruhi secara perlahan lahan.</t>
  </si>
  <si>
    <t>@geloraco WNI yg multi talent cm Ngibulin, yg laen d anggap tulul</t>
  </si>
  <si>
    <t>@Ketctard @AnakLolina @AnnoSole Apakah pernyataan ini berlaku untuk semua yg hidup di NKRI ? Atau hanya berlaku utk org yg muncul di TV ?? Btw yg hidup di NKRI bukan cuma WNI, apakah WNA juga wajib hafal pancasila ?</t>
  </si>
  <si>
    <t>@GunRomli Kalau Indonesia mengikuti cara singapura, akan terasa lebih aman dan damai. Bisakah? Gak yakin, karena pemerintah kita cuek bebek untuk masalah intoleransi dan sebagian masalah terorisme. Malah serius mau ngembaliin anak isis ex WNI</t>
  </si>
  <si>
    <t>Pasien ke-147 Positif Virus Corona di Singapura Adalah Seorang WNI</t>
  </si>
  <si>
    <t>Radikalisme tdk hanya dlm bentuk ekstrim spt ISIS, Al Qaeda, Taliban,dll atau teriak2 spt FPI, tetapi jg dlm bentuk yg santuy - mempengaruhi secara perlahan lahan. RT @acri_zakina: Selamatkan Anak Bangsa Dari Radikalisme</t>
  </si>
  <si>
    <t>Satu WNI di Singapura Dipastikan Positif Corona</t>
  </si>
  <si>
    <t>RT @OfficialiNewsTV: Tujuh dari 12 WNI di luar negeri yang positif Korona telah dinyatakan sembuh. Sementara lima WNI lainnya kini masih dirawat intensif. PAA Saksikan selengkapnya di kanal YouTube Official iNews!  #Korona #Corona #WNI #iNewsMalam #iNews</t>
  </si>
  <si>
    <t>@aewin86 @motherofstar1 Tentu saja ada om selagi masih menjadi WNI. Kebijakan pemerintah apalagi kalo sdh dijadikan UU dampaknya akan terasa bagi rakyat, bagi negara. Negara digerogoti koruptor lama2 pasti akan susah. Dan akhirnya rakyat jg yg menderita. Jdi yg kita lakukan itu demi anak cucu mas</t>
  </si>
  <si>
    <t>@OposisiCerdas Ke enakan ... akhirnya jadi WNI 😁</t>
  </si>
  <si>
    <t>RT @KompasTV: .@Menlu_RI sebut kondisi 57 WNI yang berada di Grand Princess Cruise, San Fransisco, dalam keadaan sehat, pada Minggu (08/03). Retno mengatakan, Kementerian Luar Negeri beserta tim sedang mengamati perkembangan, yang terjadi pada Grand Princess Cruise.</t>
  </si>
  <si>
    <t>Kirim Uang ke 'Lembaga Amal', 3 WNI di Singapura Dihukum dengan UU Terorisme  via @weebly</t>
  </si>
  <si>
    <t>4 WNI Pasien Positif Corona Tak Lagi Ada Keluhan Sakit, Bisa Pulang Jika...  #DariSuara</t>
  </si>
  <si>
    <t>2 Lagi WNI Positif Korona</t>
  </si>
  <si>
    <t>@Mun4fikunn gak usah dibela deh itu WNI, biarkan membusuk disana. kalau bisa ditrace ke dalam negeri juga.</t>
  </si>
  <si>
    <t>RT @TirtoID: Otoritas kesehatan negara bagian Victoria, Australia, mendiagnosis seorang warga negara Indonesia tahun terjangkit Corona alias Covid-19. Diagnosis tersebut merupakan kasus corona ke-12 yang terjadi di Australia.</t>
  </si>
  <si>
    <t>@poonamj35403519 @AMISHDEVGAN ISIS ke member ha wo</t>
  </si>
  <si>
    <t>RT @BusranMekar: @GunRomli Banyak yayasan yayasan menyuplai dana ke pondok pondok pesantren yang dimana yayasan yayasan tersebut juga memberi bantuan kepada ISIS .</t>
  </si>
  <si>
    <t>RT @KurniaRetno2: pemrintah bkl Evakuasi WNI ABK World Dream k Pulau Sebaru #CoronaVirus #Covid19 #pulausebaru</t>
  </si>
  <si>
    <t>RT @SutrisnoYohanes: @musniumar Silahkan anda simpulkan video ini jika menurut anda FPI bukan kelompok radikal atau ekstremis menurut anda, Pak.. Mereka menyatakan dukungannya terhadap ISIS.</t>
  </si>
  <si>
    <t>RT @KemenkesRI: Berikut adalah aktivitas para WNI ABK Diamond Princess dan tim observasi di Pulau Sebaru. Kesehatan mereka terus dicek dan dipantau termasuk keamanan makanan dan pengelolaan limbah medis. #WaspadaCOVID19</t>
  </si>
  <si>
    <t>Tujuh dari 12 WNI di luar negeri yang positif Korona telah dinyatakan sembuh. Sementara lima WNI lainnya kini masih dirawat intensif. PAA Saksikan selengkapnya di kanal YouTube Official iNews!  #Korona #Corona #WNI #iNewsMalam #iNews</t>
  </si>
  <si>
    <t>#SahabatKemlu, berikut update Perkembangan COVID-19 di Dunia dan Perlindungan WNI per 09/03 pukul 08.00 WIB. #NegaraMelindungi</t>
  </si>
  <si>
    <t>@VeronicaKoman Lalu ketololanmu menembak bangsamu sendiri selaku wni itu jg disebut tdk mungkin gitu, atau kau bangsa penyamun? lonte Republik</t>
  </si>
  <si>
    <t>RT @ratu_adil: #LongMarch China memulih namun Dunia masih tutup pintu, Dan itu menjelaskan kenapa Indonesia Batasi Akses Masuk WNI / WNA dari Korsel, Italy, Iran China diatur dalam regulasi sebelumnya, namun tampaknya segera dibuka kembali Lebaran Indo-China 🌐</t>
  </si>
  <si>
    <t>@permadiaktivis Bisa bedakan gak judul detik sweeping WN India di RI dan tweet mu WNI turunan India?</t>
  </si>
  <si>
    <t>Tangkap, Sikat habis aset yang dimilikinya, buat apa punya kekayaan tapi untuk menyumbang para kelompok ISIS yang jelas2 berbahaya bagi negara.. Ketahuan Sumbang Dana ke ISIS, Singapura Penjarakan WNI</t>
  </si>
  <si>
    <t>6 Orang WNI Positif Virus Korona, Ini 3 Minuman yang Mampu Tingkatkan Imunitas Tubuh</t>
  </si>
  <si>
    <t>Indahnya kebersamaan TNI dengan WNI di tempat observasi Covid-19</t>
  </si>
  <si>
    <t>@onsrgst @GusMendem1 @AremaNita__ @BdyNusantara @_nice69_ @agama_nusantara @daunsirih5 @Jelantik5 @rullyjoo27 @SeruniPuspaAlam @Tikayulie @su7loo Jadi semua bangsa harus agamanya satu yaitu islam dengan hukum satu hukum islam.ngga bisa nolak harus tunduk makanya akan terjadi kekejaman yg lebih dari isis.isis hanya gambaran kecil dari kepemimpinan khilafah.</t>
  </si>
  <si>
    <t>RT @HisyamMochtar: Bayar tukang bacot online 72M aja bisa, masa iya beli alat pendeteksi virus corona dengan kisaran harga 1M gak sanggup... Wajarlah kalo Arab Saudi menolak calon jamaah umroh dari sini. Dan bukan mustahil jika Indonesia akhirnya terisolir dari dunia luar.</t>
  </si>
  <si>
    <t>RT @KompasTV: Bertambah 2 Orang, Total 6 WNI Positif Corona di Indonesia</t>
  </si>
  <si>
    <t>RT @GTVID_News: Dari 12 Warga Indonesia yang terjangkit virus Korona tujuh orang dinyatakan sembuh total, enam orang sembuh di Jepang dan satu lainya sembuh di Singapur. GAL #korona #Covid19 #WNI #Jepang #Singapur #BuletiniNewsPagi #GTVNews</t>
  </si>
  <si>
    <t>@martabaya @musniumar @IndianEmbJkt ISIS JAD JI DI TII NII Alqaeda dst tdk pernah mengaku radikal dan extrimist.</t>
  </si>
  <si>
    <t>KBRI imbau Semua WNI di Italia utara tetap tenang, hubungi hotline yang disiapkan</t>
  </si>
  <si>
    <t>@ANI Anurag Kashyap, Anubhav Sinha, Farhan Akhtar, Swara Bhaskar, Javed Jafri, Amanutullah, Sharjeel Imam, Zeeshan Ayyub, Ali Fazal, Rana Ayyub, Saba Naqvi etc were also inciting people for Anti-CAA violence.. Won't be surprised if they were on ISIS payroll too..</t>
  </si>
  <si>
    <t>Aman..msh bisa ceramah dan open donasi ke seluruh penjuru tanah air.. Yg mau kudeta aja ttp bebas..apalagi cm nyumbang isis RT @mochamadarip: Singapura sangat aman untuk bisnis karena pemerintahnya tegas &amp; wibawa. Hukum ditegakkan tanpa pandang bulu. 3 TKI yg sumbang S$130 ke ISIS, langsung diadili &amp;amp; dipenjara. Bijimane kabar Bachtiar Nasir yg sumbang dana milyaran ke pemberontak di Suriah?</t>
  </si>
  <si>
    <t>@DMultono @detikcom Beramal = dukung teroris. Disini alasan bantuan kemanusian dikirim ke ISIS.</t>
  </si>
  <si>
    <t>TVRI - 1 wni positif terinveksi corona di Australia</t>
  </si>
  <si>
    <t>@PaijoAryanto__ @basuki_btp @aniesbaswedan @DKIJakarta @dprddkijakarta Jangan...mubazir...kan bisa kita tuntut pertanggungjawabannya karena akibat salah pilih telah menimbulkan korban jiwa dan kerugian Sanksi untuk dipekerjakan sebagai kuli pembangunan dengan masa yang ditentukan dengan seadil-adilnya...itu kalau masih mau disebut WNI</t>
  </si>
  <si>
    <t>Italia Mengunci Beberapa Wilayahnya, Kemenlu Pastikan WNI Hubungi Hotline Posko Penanganan Covid-19 KBRI Roma</t>
  </si>
  <si>
    <t>1 WNI Positif Corona, KBRI: Waspada Kunjungi Singapura!</t>
  </si>
  <si>
    <t>Jumlah WNI yang terpapar virus corona di Singapura kembali bertambah #InfoAktual</t>
  </si>
  <si>
    <t>Kemenlu menyatakan belum ada WNI yang terinfeksi COVID-19 di wilayah lock down Itali #InfoAktual</t>
  </si>
  <si>
    <t>Buat para kadrun, HTI, coro ISIS dan sejenisnya yg gak hafal Pancasila, ayo jgn gengsi</t>
  </si>
  <si>
    <t>Dari 12 Warga Indonesia yang terjangkit virus Korona tujuh orang dinyatakan sembuh total, enam orang sembuh di Jepang dan satu lainya sembuh di Singapur. GAL #korona #Covid19 #WNI #Jepang #Singapur #BuletiniNewsPagi #GTVNews</t>
  </si>
  <si>
    <t>KBRI imbau 1.239 WNI di Italia utara tetap tenang, hubungi hotline yang disiapkan  #ElshintaMedan #ElshintaEdisiSiang</t>
  </si>
  <si>
    <t>RT @KontanNews: KBRI: Sebanyak 1.239 WNI yang tinggal di daerah lock down Italia negatif virus corona  #VirusCorona</t>
  </si>
  <si>
    <t>Seorang WNI di Singapura dinyatakan positif Covid-19 - ANTARA News Jawa Barat</t>
  </si>
  <si>
    <t>Imbas Corona Seribuan WNI Tertahan di Italia</t>
  </si>
  <si>
    <t>Update Virus Corona: Mulai Minggu 8/3, pemerintah mengonfirmasi kasus baru yakni dua WNI kembali dinyatakan positif corona. Kabarnya, pasien no.5 terhubung dengan kasus pertama dan pasien no.6 merupakan ABK Diamond Princess. Semakin waspada dan jaga terus kesehatan, ya, gaes.</t>
  </si>
  <si>
    <t>RT @kawananraja: . WNI dari Kapal Pesiar World Dream sedang diobservasi di pulau Seberu. Sehat terus yaaa .....💪 Eehhh Mpok @fahiraidris dimana yak ? "Salam Sehat Indonesia"</t>
  </si>
  <si>
    <t>Kemlu RI: Belum Ada Konfirmasi WNI Terinfeksi Covid-19 di Australia #TauCepatTanpaBatas #BeritaTerkini #International #BeritaInternasional .</t>
  </si>
  <si>
    <t>RT @ChannelIngusan: WNI Pribumi bikin KTP saja sangat susah, sudah ada pungutan dan mesti nunggu lama..., bahkan tdk sedikit yg gk jadi. Lha ini WNA China malah dipermudah dan gratis lagi... ANEH... BETUL2 SDH KEBANGETEN GILANYA...</t>
  </si>
  <si>
    <t>Lagi, Seorang WNI Positif Virus Corona di Singapura</t>
  </si>
  <si>
    <t>dia jawab luar negri lebih cocok Akhrnya dia yg penasaran jodoh gw WNI atau WNA , ambil dua kartu pas buka kartu untuk WNI itu gambar pedang dililit ular , dan kartu WNA itu gambar bunga gw inget bgt kalo yg ini dan dia bilang kalo sama WNI besar kemungkinan disakitin lagi ,</t>
  </si>
  <si>
    <t>RT @INAinBucharest: Himbauan bagi para WNI di Romania dan Moldova terkait penyebaran virus Corona COVID -19 di Romania, tetap tenang, tingkatkan kewaspadaan, jaga kebersihan dan kesehatan diri, termasuk sering membersihkan tangan dengan sabun antiseptik,</t>
  </si>
  <si>
    <t>Itala Utara di-lock down sejak Kemarin, Kemlu RI: Belum ada WNI terinfeksi COVID-19</t>
  </si>
  <si>
    <t>KJRI Jeddah telah menyelenggarakan welcoming program menyambut 18 WNI yang baru tiba dan akan bekerja di perusahaan Mahmood Saeed sebagai pekerja konstruksi. #KJRIJeddahMelayani #NegaraMelindungi</t>
  </si>
  <si>
    <t>KBRI: Sebanyak 1.239 WNI yang tinggal di daerah lock down Italia negatif virus corona  #VirusCorona</t>
  </si>
  <si>
    <t>Kedutaan Besar Republik Indonesia (KBRI) di Riyadh, Arab Saudi, mengimbau kepada warga negara Indonesia (WNI) yang bermukim di sana untuk tidak berpergian ke Makkah dan Madinah untuk sementara.</t>
  </si>
  <si>
    <t>Italia Lock Down Seribuan WNI Tertahan</t>
  </si>
  <si>
    <t>Juru bicara penangan Covid-19, Achmad Yurianto mengatakan jumlah pasien yang positif corona bertambah 2 orang. Hingga total WNI yang diketahui positif terpapar virus corona menjadi 6 orang. #CNNIDBusiness</t>
  </si>
  <si>
    <t>@EnggalPMT Sementara wni seperti habib rizieq di Saudi ditelantar kan... Sedih</t>
  </si>
  <si>
    <t>@Dahnilanzar Jangan lupa ajak emak emak teman seperjuangan. FPI simpatisan ISIS juga diajak karena pernah sama sama berjuang di pilpres dulu.</t>
  </si>
  <si>
    <t>RT @JsDeyz: @pujangga1123 Ini yg ngomong bukan WNI ya. Jadi kebengisan kelompok mrk itu sdh go internasional. #Catat</t>
  </si>
  <si>
    <t>RT @Singkong__Rebus: @ZheeOmega Suju !!! Semua label yg mengkotak kotakan WNI harus dihapuskan.!!! Karena tidak sesuai dgn sila ketiga Pancasila. Yg tdk suju = menghianati Pancasila.</t>
  </si>
  <si>
    <t>@ISIS_Balik_NO @7endralKadrun45 @jr_kw19 Hahahaha...koq cocok bangeds yaakk 😂😂😂</t>
  </si>
  <si>
    <t>Daftar 37 Negara Bebas Visa untuk WNI, Khusus Jepang Bebas Visa Bersyarat .</t>
  </si>
  <si>
    <t>Berkenaan dengan kemunculan virus corona yang mencuat di Wuhan, China, pemerintah Indonesia sudah kerap kali mendeteksi WNI yang baru pulang dari luar negeri.</t>
  </si>
  <si>
    <t>@TaliUdeng Indonesia Berbhineka Tunggal Ika Yg punya KTP jelas WNI,tdk perlu dipetak-petak Pak Kyai. Ini akan menimbulkan masalah baru,KTP tetep KTP tdk perlu ada pengkhususan,biarlah perbedaan mengalir brsama.. Beda keyakinan sama2 mahkluk Tuhan Kita menuju tempat yg sama cuma beda perahu.</t>
  </si>
  <si>
    <t>@Salim_Semm Berharap saja lah....... tp jangan terlalu... Radikalisme,eks ISIS, OPM, GPA,HTI, FPI tetap akan terpelihara dgn baik di +62..... Salam 2 periode sia sia</t>
  </si>
  <si>
    <t>Satu WNI di Singapura Positif Terjangkit Covid-19 sebagai Kasus ke-138</t>
  </si>
  <si>
    <t>RT @dw_saptarini: Setiap negara punya aturan sendiri, sama spt kita tak suka bangsa lain masuk seenaknya ke negara kita. Jika kita protes, apakah kita sanggup menampung para pencari suaka tsb? Menghidupi WNI yg miskin sj pemerintah kesulitan, harus menaikkan ini-itu dulu. *Kira2 gitu, insyaAllah.</t>
  </si>
  <si>
    <t>RT @NMoekijat: Tim medis khusus penanganan Covid-19 RSUD Soekardjo Kota Tasikmalaya memakai jas hujan plastik saat menangani 1 WNA Filipina &amp; 2 WNI yg diduga suspect corona. Cerita Tim Medis RSUD Tasikmalaya Pakai Jas Hujan Plastik Saat Tangani Pasien Suspect Corona</t>
  </si>
  <si>
    <t>@HartoyoMdn @AdityaWisnu Jangan pernah membayangkan penerapan islam kaffah pada isis, karena keberadaan mereka bukan diatas petunjuk, mereka sekedar kelompok bersenjata.</t>
  </si>
  <si>
    <t>Berkunjung ke Australia, Seorang WNI Terjangkit Virus Korona #BeritaTerkini #International #BeritaInternasional</t>
  </si>
  <si>
    <t>RT @dw_saptarini: @Dhanie7771 Iya, sebetulnya saya kasihan melihat bangsa lain yg digebuki, tapi bagaimana ya, saya juga punya tanggung jawab untuk membantu saudara2 WNI yg juga perlu bantuan. Mungkin harus di-cc-kan PBB &amp; minta pemerintah kita menyumbang PBB.</t>
  </si>
  <si>
    <t>RT @MisbakhuddinSi6: @CastilloJoshima  SINGAPURA WASPADAI BADAN AMAL KEDOK TERORIS TEGAS PADA TERORIS..... JANGAN RAGU ATAU RAKYAT YANG JADI KORBAN TIGA TKI YANG MENYUMBANG KE BADAN AMAL YANG JADI KEDOK JARINGAN TERORIS SEKARANG DITAHAN POLISI SINGAPURA !!</t>
  </si>
  <si>
    <t>@Dhanie7771 Iya, sebetulnya saya kasihan melihat bangsa lain yg digebuki, tapi bagaimana ya, saya juga punya tanggung jawab untuk membantu saudara2 WNI yg juga perlu bantuan. Mungkin harus di-cc-kan PBB &amp; minta pemerintah kita menyumbang PBB.</t>
  </si>
  <si>
    <t>@CastilloJoshima  SINGAPURA WASPADAI BADAN AMAL KEDOK TERORIS TEGAS PADA TERORIS..... JANGAN RAGU ATAU RAKYAT YANG JADI KORBAN TIGA TKI YANG MENYUMBANG KE BADAN AMAL YANG JADI KEDOK JARINGAN TERORIS SEKARANG DITAHAN POLISI SINGAPURA !!</t>
  </si>
  <si>
    <t>RT @geloraco: Italia Mengunci Beberapa Wilayahnya, Kemenlu Pastikan WNI Hubungi Hotline Posko Penanganan Covid-19 KBRI Roma</t>
  </si>
  <si>
    <t>Tim medis khusus penanganan Covid-19 RSUD Soekardjo Kota Tasikmalaya memakai jas hujan plastik saat menangani 1 WNA Filipina &amp; 2 WNI yg diduga suspect corona. Cerita Tim Medis RSUD Tasikmalaya Pakai Jas Hujan Plastik Saat Tangani Pasien Suspect Corona</t>
  </si>
  <si>
    <t>Kalau faktanya KKB demikian, Pemerintah hrs segera tangkap gerombolan biadab itu hidup atau mati.WNI berhak peroleh perlindungan dan rasa aman. Pemerintah sedikitpun tdk boleh kalah dg gerombolan perusak, pemecahbelah NKRI .@KomnasHAM @DivHumas_Polri @Puspen_TNI cc. @jokowi RT @AnakSingkong999: Kekejian komplotan KKB Papua benar-benar telah melukai banyak warga di pegunungan Bumi Cenderawasih. Tak hanya melakukan kekerasan dan intimidasi, KKB Papua juga menjarah bahkan tak segan membunuh warga yang tak menuruti kemauan mereka. @Aryprasetyo85 @TheArieAir #KKBPapuaBiadab</t>
  </si>
  <si>
    <t>Haduh malu bgt we bangsat. Ke bank trs kan ngisi kewarganegaraan, nah gue ngiranya sebelah wni itu nonresiden yauda gue coret, eh ternyata yg nonresi itu di sebelahnya lg. Goblok wkwkwk malah residen yg gue coret. Malu bgt we malu</t>
  </si>
  <si>
    <t>Anggota Komisi I DPR RI dari Fraksi NasDem, @farhanpenyiar menerima aduan terhambatnya kepulangan pekerja WNI atas nama Reni Safitri dari Kuala Lumpur, Malaysia yang sudah tujuh tahun tidak bisa pulang. Selengkapnya  #NasDemAntiMahar</t>
  </si>
  <si>
    <t>@subtanyarl Opininya; virus corona merupakan sebuah virus yang sangat mengerikan. Faktanya; 2 orang wni telah terjangkit virus ini dan sedang dalam penanganan khusus.</t>
  </si>
  <si>
    <t>Anggota DPR RI dari Fraksi NasDem, @farhanpenyiar menggelar kegiatan reses Masa Sidang II 2019-2024 sebagai ajang mengedukasi masyarakat akan peran dan fungsi tugas Dewan. Selengkapnya  #NasDemAntiMahar</t>
  </si>
  <si>
    <t>PRESS RELEASE 9 MARET 2020 - WNI Dikonfirmasi Sebagai Kasus ke-147 COVID-19 di Singapura. #Inidiplomasi #NegaraMelindungi</t>
  </si>
  <si>
    <t>Setelah adanya WNI yang terkena virus corona, masyarakat Kota Pekalongan tidak ikut melakukan aksi borong kebutuhan pokok. Kabid Perdagangan Dindagkop-UKM Kota Pekalongan mengimbau kepada masyarakat agar tidak panik dan tidak berlebihan menanggapi virus corona. #Liveinterview</t>
  </si>
  <si>
    <t>Kunjungi Klaster Penularan Corona, WNI di Singapura Diimbau Segera Hubungi Dokter</t>
  </si>
  <si>
    <t>Singapura Laporkan WNI Keempat Positif Corona</t>
  </si>
  <si>
    <t>RT @muscatkbri: Innalillahi wa'innailahiroojiuun. Telah meninggal dunia WNI a.n. Siti Aisyah Kecak, jemaah umroh asal Lombok Tengah. Almh. meninggal pada tanggal 2 Maret 2020 di pesawat AirAsia dalam perjalanan dari Jeddah menuju Kuala Lumpur, usai melaksanakan ibadah umroh.</t>
  </si>
  <si>
    <t>@AnakLolina @FerdinandHaean2 @jokowi @mohmahfudmd Pasal 28 ayat 1 UUD'45 ' Setiap org bebas memeluk agama dan beribadat menurut agamanya... Pasal 29 ayat 2 UUD'46 ' Tentang hak2 yg dimiliki tiap WNI termasuk ibadah Pasal 22 ayat 2 UU HAM ' Negara menjamin kemerdekaan tiap WNI utk memeluk,menjalankan dan beribadah sesuai agamnya</t>
  </si>
  <si>
    <t>Setiap negara punya aturan sendiri, sama spt kita tak suka bangsa lain masuk seenaknya ke negara kita. Jika kita protes, apakah kita sanggup menampung para pencari suaka tsb? Menghidupi WNI yg miskin sj pemerintah kesulitan, harus menaikkan ini-itu dulu. *Kira2 gitu, insyaAllah.</t>
  </si>
  <si>
    <t>Al- Qaeda &amp; aliansi = yonkou ISIS &amp;amp; aliansi = worst gen Polri = Marine Ayo perang tahta RT @yusuf_dumdum: Ali Imron menyayangkan, masih adanya beberapa tokoh yang beranggapan, bahwa terorisme di Indonesia ini adalah rekayasa atau konspirasi sehingga semakin menyulitkan untuk deradikalisasi. Video : 2/4</t>
  </si>
  <si>
    <t>@musniumar Kebanyakan bacot. Klo ISIS lu bilang apa? Klo yg bunuh ahmaddiyah dan shia lu bilang apa?</t>
  </si>
  <si>
    <t>@miqbalnov @desrioktaviyan1 @hasmi_bakhtiar @jokowi @mohmahfudmd Qatar : syiah + ismailiyah + houti + khawarij + isis + Al nusra sudah berkumpul di yaman untuk keroyok Saudi di perbatasan ....</t>
  </si>
  <si>
    <t>@Tarawinat4 @OpanMinOn Itu wni cabang cina 😅</t>
  </si>
  <si>
    <t>RT @kompascom: Pemegang paspor Indonesia bisa bebas masuk ke negara-negara ini tanpa membuat visa sebelumnya</t>
  </si>
  <si>
    <t>@T0NI361 Lama2 gmw pulang jd wni deh🤣</t>
  </si>
  <si>
    <t>RT @kaskus: Shireen Sungkar Pernah Curiga Teuku Wisnu Terperdaya ISIS</t>
  </si>
  <si>
    <t>RT @Beritasatu: Imbas Penyebaran Corona, 1.239 WNI "Tekunci" di Italia</t>
  </si>
  <si>
    <t>Imbas Penyebaran Corona, 1.239 WNI "Tekunci" di Italia</t>
  </si>
  <si>
    <t>RT @tribunnews: [POPULER] 5 dari 6 WNI Positif Virus Corona di Indonesia Berasal dari Klaster 'Kelompok Dansa'</t>
  </si>
  <si>
    <t>[POPULER] 5 dari 6 WNI Positif Virus Corona di Indonesia Berasal dari Klaster 'Kelompok Dansa'</t>
  </si>
  <si>
    <t>@mantriss Bahkan perlu forum internasional utk bahas protokol agar ada kepastian dan perawatan jika ada WNI terinfeksi di negara lain. Apakah pemerintah akan jemput setiap WNI yg terinfeksi? Atau hal tsb mjd tanggung jwb seoenuhnya pemerintah setempat? Mengingat jutaan WNI berada di LN.</t>
  </si>
  <si>
    <t>RT @kompascom: Hingga saat ini belum ada WNI yang terinfeksi COVID-19 di wilayah lock down.</t>
  </si>
  <si>
    <t>@WagimanDeep__ @eko_wi Betul... Kalo KTP sesama WNI aja dibedakan..berarti negara mengakui adanya diskriminasi di negara ini..</t>
  </si>
  <si>
    <t>RT @Chikiajadong: @sarimusdar09 @Ivone_RSZ @VeronicaKoman Kalo.KKB yang kena apsti dia maju terdepan.. hufft.. knp gak dilepas aja sih status WNI nya..</t>
  </si>
  <si>
    <t>Seorang WNI yang berada di Australia dikonfirmasi positif virus corona Covid-19.</t>
  </si>
  <si>
    <t>@VICE_ID Bangga dengan status WNI, Warga Negara santuI</t>
  </si>
  <si>
    <t>WNI Positif di LN . 1. 9 kru Diamond Princess Jepang 6 sembuh, 3 isolasi 2. 1 Singapura (case 21) sembuh 3. 1 Taiwan dlm karantina 4. 1 Singapura (case 133) isolasi 5. 1 Singapura (case 147) isolasi 6. 1 Australia (case 12 Victoria) isolasi Total: 14 Sembuh: 7 Isolasi: 7</t>
  </si>
  <si>
    <t>@sarimusdar09 @Ivone_RSZ @VeronicaKoman Kalo.KKB yang kena apsti dia maju terdepan.. hufft.. knp gak dilepas aja sih status WNI nya..</t>
  </si>
  <si>
    <t>WNI Positif Virus Corona di Singapura Bertambah, Total Jadi 3 Pasien, Kini Dirawat di NCID  lewat @tribunnews</t>
  </si>
  <si>
    <t>RT @asyhhmra: Same with period. Ada yang time period takde period pain. Ada yang time period rasa tak boleh bangun. Selalu sangat jumpa jenis yang compare and downgrade perempuan yang kena period pain. Senang cerita, stop comparing women</t>
  </si>
  <si>
    <t>Shireen Sungkar Pernah Curiga Teuku Wisnu Terperdaya ISIS</t>
  </si>
  <si>
    <t>Taknak tinggalkan rumah tp taknak skip kelas</t>
  </si>
  <si>
    <t>RT @Sentjoko: @umatliaeden Dulu saat ISIS jaya2nya pada awal 2014 pendukung2nya di dalam negri sudah bersiap menyambut era khilafah, mereka kumpul di GBK besar2an, tapi setelah ISIS kalah baru bilang itu bukan islam....</t>
  </si>
  <si>
    <t>@herlambang_tan Semuanya benar, karena ada wasiat : "Perbedaan diantara ummatku adalah Rahmat" Semuanya benar, yang seperti ISIS ini benar pula, ada dalilnya, cari saja bila ada 1 ulama lokal ataupun interlokal yang bilang ulama kuwait ini salah.</t>
  </si>
  <si>
    <t>RT @eko_kuntadhi: Gerombolan pengasong agama, emang selalu over generalisasi. Konfliknya di India, ngancem sweeping keturunan India di Indonesia. Konflik di Rohingya, terus ngancem vihara disini. Sebel sama komunis. Terus nuding2 WNI berdarah Tionghoa. Klaim atas nama umat, pdhl cm dia doang.</t>
  </si>
  <si>
    <t>@SholahudinAlBa1 @na_dirs @nanangwdm Yang mau bikin khilafah di NKRI adalah HTI dan kaum monaslimin...atau anak cucu DI/TII..atau ISIS...atau teroris.</t>
  </si>
  <si>
    <t>Hingga saat ini belum ada WNI yang terinfeksi COVID-19 di wilayah lock down.</t>
  </si>
  <si>
    <t>RT @Kania_MetroTV: ● Pemerintah Italia putuskan u/ tutup total (lockdown) 5 wilayah utama yg terdampak #COVID19 per Minggu 8 Maret 2020. ● 5 wilayah utama itu: Lombardia, Veneto - Emillia Romagna - Piemonte - Marche ● Tercatat 1.239 WNI yg tinggal di bbg wilayah terdampak #COVID19 di Italia</t>
  </si>
  <si>
    <t>@SFT96CSY mungkin karena gak terbiasa rpin wni kali ya wkwk seringnya kan rpin idol korea, nah sekarang rpin wni yang sedang merantau jadi trainee idol di korea</t>
  </si>
  <si>
    <t>Pro ISIS melebur ke Masyumi Baru. Mereka bukan Masyumi !!</t>
  </si>
  <si>
    <t>RT @BeritaCOVID19: Posisi WNI Positif di luar negeri . 1. 9 kru Diamond Princess yg menjalani isolasi di Jepang 6 sudah sembuh, 3 masih isolasi. 2. 1 di Singapura (case 21) sembuh. 3. 1 di Taiwan dlm karantina. 4. 1 terbaru di Singapura dlm isolasi. Total: 12 Sembuh: 7 Dlm isolasi: 5</t>
  </si>
  <si>
    <t>KBRI Riyadh imbau WNI sementara tidak ke Mekkah, Madinah</t>
  </si>
  <si>
    <t>ISI’s man in US, Ghulam Fai is back lobbying against India</t>
  </si>
  <si>
    <t>Ha ha ha... Sedang rakyat indonesia yg gabung ISIS kalian larang masuk indonesia.. Kenapa penyakit ko malah kalian tampung..?? RT @geloraco: Ribuan Warga China Ajukan Izin Tinggal Keadaan Terpaksa di Indonesia</t>
  </si>
  <si>
    <t>@VeronicaKoman Lha wong kamu WNI juga khianat sm negaramu sendiri juga bisa kok... 🙄</t>
  </si>
  <si>
    <t>@siagianharry @syafrinkar Klo bs berbahasa indinesia dg baik bs nyamar jd wni keturunan..</t>
  </si>
  <si>
    <t>RT @TofaTofa_id: Menurut saya, Bambang Soesatyo-lah yg tidak elok. Mosok WNI disuruh ngafalin Pancasila. Karena bagi WNI, Pancasila itu rata2 sudah di luar kepala.</t>
  </si>
  <si>
    <t>RT @republikaonline: Kemenlu siapkan langkah untuk pencegahan virus corona pada WNI di Italia Utara.</t>
  </si>
  <si>
    <t>RT @GerryS: Kasus #COVID19indonesia bertambah jadi 6 terdiri dari 5 di cluster kasus Depok, dan 1 dari kasus Diamond Princess. Di Melbourne, Vict, Australia, 1 WNI positif #COVID19 setelah berangkat dr Jakarta tgl 27FEB ke Perth dan lalu ke Melbourne tgl 02MAR.</t>
  </si>
  <si>
    <t>Kasus #COVID19indonesia bertambah jadi 6 terdiri dari 5 di cluster kasus Depok, dan 1 dari kasus Diamond Princess. Di Melbourne, Vict, Australia, 1 WNI positif #COVID19 setelah berangkat dr Jakarta tgl 27FEB ke Perth dan lalu ke Melbourne tgl 02MAR.</t>
  </si>
  <si>
    <t>Kemenlu siapkan langkah untuk pencegahan virus corona pada WNI di Italia Utara.</t>
  </si>
  <si>
    <t>● Pemerintah Italia putuskan u/ tutup total (lockdown) 5 wilayah utama yg terdampak #COVID19 per Minggu 8 Maret 2020. ● 5 wilayah utama itu: Lombardia, Veneto - Emillia Romagna - Piemonte - Marche ● Tercatat 1.239 WNI yg tinggal di bbg wilayah terdampak #COVID19 di Italia RT @medcom_id: Korona Mewabah di Italia, KBRI Roma Pantau Kondisi WNI</t>
  </si>
  <si>
    <t>Negara mau mempulangkan ex ISIS dengan alasan kemanusiaan. Kemanusiaan, memanglah baik. Tetapi kebaikan tanpa kebijaksanaan adalah kebodohan</t>
  </si>
  <si>
    <t>@MayorofLondon @HelenPankhurst Sadiq Khan, London’s ‘Liberal Muslim’ Mayor, Has Ties To ISIS</t>
  </si>
  <si>
    <t>Korona Mewabah di Italia, KBRI Roma Pantau Kondisi WNI</t>
  </si>
  <si>
    <t>Lagi, 1 WNI di Singapura Dinyatakan Positif Corona dan Idap Covid-19</t>
  </si>
  <si>
    <t>12 WNI di Luar Negeri Positif COVID-19, 7 WNI telah Sembuh dan Kasus Terakhir Terjadi di Singapura</t>
  </si>
  <si>
    <t>RT @negativisme: Kemaren sempet rame pemerintah akan memulangkan anak-anak ISIS eks WNI, akan diperhatikan keperluan dan segalanya. gue sih Ogah. Mending dananya buat anak-anak Indonesia yg begini. Setuju?</t>
  </si>
  <si>
    <t>@zarazettirazr Kalo ga salah dia udah bukan WNI lagi kok. Dia tinggal, kerja, ngajar di Australia kan?</t>
  </si>
  <si>
    <t>Demo di kedubes India pakai bawa bendera Indonesia &amp; ISIS. Sudah ada orang luar yang bilang kok ada bendera ISISnya? Jangan heran bila Indonesia dicap pendukung ISIS karena pihak berwenang di sini membiarkan/memberi ijin untuk itu 🙃</t>
  </si>
  <si>
    <t>@isis_meurer ata aham isis</t>
  </si>
  <si>
    <t>RT @gresnewsdotcom: BNPT akan Tangani Anak-Anak Yatim Piatu Eks ISIS yang Dipulangkan</t>
  </si>
  <si>
    <t>SAS n M16 aja jadi "Anggota ISIS", pantesan yg di sini nge-baiat diri sama Si Bagdadi Bangkeeee..🤣😂🤣😂 RT @Bill_Owen: @VanessaBeeley @rst_like Just the usual stuff: surveillance, payoffs, assassinations, and the always popular, #falseflag attacks . . .</t>
  </si>
  <si>
    <t>Berita populer lainnya adalah siapa yang bayar biaya karantina jika terkena corona saat liburan, daftar 37 negara bebas visa untuk WNI</t>
  </si>
  <si>
    <t>@SholahudinAlBa1 @DSulisthia @na_dirs Tau nya lurus tu gmn??lha wong ISIS ja bringas ngono kok...ga sesuai akhlak Nabi Muhammad...trus yg kalian contoh siapa???</t>
  </si>
  <si>
    <t>RT @ani_nyebar: Sebagian eks WNI ISIS mempunyai alasan ke luar, tapi selama mereka di Suriah tidak ada dukungan dari lingkungannya untuk menoleh dan bertobat..@CastilloJoshima @zlametabidin @abah_rois @MbojoFarid #dampakradikalisme sumber:</t>
  </si>
  <si>
    <t>RT @okezonenews: Berkunjung ke Australia, Seorang WNI Terjangkit Virus Korona #TauCepatTanpaBatas #BeritaTerkini #International #BeritaInternasional .</t>
  </si>
  <si>
    <t>RT @farishahan: aku ni dahla tak cantik, tolonglah bagi pandai tu je mintak 😭🤲🏻</t>
  </si>
  <si>
    <t>RT @shazzainuddin: 1. 2017 - Anem 2. 2017 - Keyla 3. 2018 - Ainil 4. 2019 - Aku Gigih tunggu sorang2 kahwin and kumpul gambar. Lewls</t>
  </si>
  <si>
    <t>RT @adhawau: Pergi jelah sekolah tu sial</t>
  </si>
  <si>
    <t>RT @GeboGebo25: Kepada yang acah acah suci against sex education :</t>
  </si>
  <si>
    <t>@ashmal_idrus @lilobrr Alhamdulillah straight lagi😭</t>
  </si>
  <si>
    <t>RT @OpsiMetroTV: Setelah 2 WNI dinyatakan positif corona, langkah deteksi utk cegah meluasnya penyebaran virus dilakukan. Mampukah pemerintah pastikan negara mampu membendung penyebaran virus corona hingga publik tak perlu panik? #OPSIMetroTV #BisakahBendungCorona? Senin (9/3) LIVE pkl 20.05 WIB.</t>
  </si>
  <si>
    <t>@TeddyGusnaidi @aniesbaswedan Ahok jadi wni pada usia 20 thn, mana bisa jadi pejabat negara, tanya YIM coba @Yusrilihza_Mhd</t>
  </si>
  <si>
    <t>Sebagian eks WNI ISIS mempunyai alasan ke luar, tapi selama mereka di Suriah tidak ada dukungan dari lingkungannya untuk menoleh dan bertobat..@CastilloJoshima @zlametabidin @abah_rois @MbojoFarid #dampakradikalisme sumber:</t>
  </si>
  <si>
    <t>RT @GagakNeww2: Iraq tdk sudi terima org2 Bekas ISIS dan kluarganya..@AhlulQohwah @yudhapati88 @Hanifah933</t>
  </si>
  <si>
    <t>@Bapak22821866 kota yg asyik utk bermalas2an😁😁isis</t>
  </si>
  <si>
    <t>Bertambah Dua, Kini WNI Positif Corona Sudah Enam Orang</t>
  </si>
  <si>
    <t>#UtangTenggelamkanIndonesia #UtangTenggelamkanIndonesia Rocky Gerung: "Omnibus Law beri jaminan warga asing hidup layak" Warga China hidup layak, smtr nasib WNI hidup terkoyak di negeri sendiri. Rezim somphlak tak punya otak.</t>
  </si>
  <si>
    <t>RT @okezonenews: Italia Utara Ditutup Imbas Korona, Kemenlu Imbau 1.239 WNI Tetap Tenang #TauCepatTanpaBatas #BeritaTerkini #International #BeritaInternasional .</t>
  </si>
  <si>
    <t>RT @H4l1mun_D1n61n: @Spider__id Ada gak seorang WNI yang ditagih utang sama debt-colector bank dunia. Atau dari negara lain yang di utangin negara? kalo tidak pernah diem aja lu ! nikmati saja hasil pembangunan dari ngutang. Gak usah teriak-teriak Negara berhutang banyak..</t>
  </si>
  <si>
    <t>@ChristophersKC @chuche17 @CrowSalvation22 @TxBlueWave @MattresD @cassietrench @RayquazaKingdom @mmpadellan @realDonaldTrump @amyklobuchar @PeteButtigieg Gadaffi was ISIS?</t>
  </si>
  <si>
    <t>@detikcom Gak tahu udah ngaku....masalahnya itu adalah hal mendasar bagi WNI....kalau kamu katakan nervous ok. Lagian kamu bukan anak kecil yg masih hrs gugup. Kamu kan wakili Sumbar...elu</t>
  </si>
  <si>
    <t>Italia Utara Ditutup Imbas Korona, Kemenlu Imbau 1.239 WNI Tetap Tenang #TauCepatTanpaBatas #BeritaTerkini #International #BeritaInternasional .</t>
  </si>
  <si>
    <t>RT @KompasTravel: Daftar 37 Negara Bebas Visa untuk WNI, Khusus Jepang Bebas Visa Bersyarat</t>
  </si>
  <si>
    <t>@ISIS_Balik_NO @msaid_didu @jokowi KAN PENGECUT GA BERNYALI PENJILAT.. COBA WKT MENJABAT..JILAT SANA SINI GA DA SUARANYA..</t>
  </si>
  <si>
    <t>Daerah Yang Terdampak Corona Qatif SAUDI TIMUR 〰〰〰〰〰🇸🇦🇸🇦🇸🇦〰〰〰〰〰〰〰〰〰 Besok Al Qatif di tutup harap Tenang para WNI yang ada di Saudi Arabia 🇸🇦 timur Saudi Tutup Satu Kota di Wilayah Timur Cegah Penyebaran Virus…</t>
  </si>
  <si>
    <t>@AbdurachmanAl @MuhammadiyunGN saya cuma melihat kebijakan mereka secara umum yg tidak memerangi I5rael, yang jaraknya tidak jauh dari tempat mereka. kedua Pasukan Panji hitam akhir zaman itu bukan ISIS karena cirinya tidak pernah terkalahkan (ISIS sudah kalah).</t>
  </si>
  <si>
    <t>RT @DjaritoSadewo: @tempebacem3 @wikaseno @AsepSuwarno77 @detikcom Cara berpikir Rakyat Indonesia itu beda dengan KADRUN yang Nyaru jadi WNI 😆 Setiap persoalan Negara serahkan pada kepala negara tdk seperti Bangsa Kadrun cuma darah doang yang naik dan memprovokasi dg teriak teriak ngadu domba padahal nyalinya Nyali Ayam Gue tau nyali kadrun</t>
  </si>
  <si>
    <t>RT @inong911: @TaliUdeng @harihariono1 Hahh ktp khusus ? Mui lu dah pikun ya, penganut kepercayaan juga wni yg sah. Aliran kepercayaan sdh ada sblm islam &amp; kristen masuk nusantara. Cc : @mohmahfudmd @kemendagri @Kemendagri_RI @PDI_Perjuangan @psi_id</t>
  </si>
  <si>
    <t>@TaliUdeng @harihariono1 Hahh ktp khusus ? Mui lu dah pikun ya, penganut kepercayaan juga wni yg sah. Aliran kepercayaan sdh ada sblm islam &amp; kristen masuk nusantara. Cc : @mohmahfudmd @kemendagri @Kemendagri_RI @PDI_Perjuangan @psi_id</t>
  </si>
  <si>
    <t>@vinodkapri Indian hi ho ya ISIS agent</t>
  </si>
  <si>
    <t>@syafrinkar Eks isis yg jelas warga nkri sj gk bisa balik, se nakal2nya isis dia kan anak kandung nkri dan kukira org tiongkok yg di nkri tdk ribuan tp sdh ratusan ribu bahkan jutaan, yg ini kamuflase sj</t>
  </si>
  <si>
    <t>@ardieithink @faizalassegaf @Dennysiregar7 @VeronicaKoman Menurut saya ga bisa menyamakan kasus India dengan Yaman ,. Kasus india itu murni masalah agama ,wajar kalau smua umat muslim marah . Sementara Yaman itu perang negara , yg berawal dari pemberontakn ( Haouti ) dan Isu ISIS .</t>
  </si>
  <si>
    <t>Jika dibalik, misalkan kasus awal corona berawal dari Indonesia. Kira² apakah pemerintah Shayna akan memberi ijin tinggal yang sama terhadap WNI yg ke negaranya ya. . Cuman nanya dan (((( Andai ))))) jadi gosah ngegas .</t>
  </si>
  <si>
    <t>Isis mijiris ni mi riprisintin 🙄🙄🙄</t>
  </si>
  <si>
    <t>RT @RadioElshinta: Menyoroti pro kontra wacana penerapan sertifikasi bebas Corona bagi WNA dan WNI dari luar negeri untuk mencegah penyebaran virus Corona di Indonesia. Komentar Anda? #KomisiAndaElshinta</t>
  </si>
  <si>
    <t>Menyoroti pro kontra wacana penerapan sertifikasi bebas Corona bagi WNA dan WNI dari luar negeri untuk mencegah penyebaran virus Corona di Indonesia. Komentar Anda? #KomisiAndaElshinta</t>
  </si>
  <si>
    <t>RT @LovaGraceBae: JPPPPPPPP OMGGGGGGGGGGGGGGGGGGGGGGGG ! J’ai pas les mots .. je ? Ptkshshsyd 💀💀💀</t>
  </si>
  <si>
    <t>WNI Ketiga Positif Corona di Singapura, Seorang ART Telah Sembuh</t>
  </si>
  <si>
    <t>@WR_4AG226 @haikaI_hassan @ustadztengkuzul @ustadzmaaher_ Pc, gak tau sih, mereka punya pemikiran apa yg di takuti dgn neraka, lahh wong pelacur, maling, pembunuh yg masuk neraka, pada betah tuh, gak ada yg minta pulang seperti isis, berarti enak dobg di neraka huahahahahaa</t>
  </si>
  <si>
    <t>RT @agama_nusantara: Jelang Nikah, Shireen Khawatir Teuku Wisnu Terpapar Aliran Menyimpang</t>
  </si>
  <si>
    <t>WNI di Singapura terjangkit virus Corona. Saksikan Kabar Pagi jam 04.30 WIB hanya di tvOne &amp; streaming di tvOne Connect, android  &amp;amp; ios  #KabarPagitvOne</t>
  </si>
  <si>
    <t>@ShoaibZaidi4254 @RashmiVarma3 @KhanAmanatullah Pagal wo ISIS Islamic khilafat Chahata h puri duniya me ab rss uska to sath nahi dega yesa to juth na bol</t>
  </si>
  <si>
    <t>@ISIS_Balik_NO @jr_kw19 Kadrun: katak dungu turun temurun.</t>
  </si>
  <si>
    <t>RT @bhre_wengker84: Cc yang katanya senasib @Hilmi28 dengan om @ustadtengkuzul Hanya pengikut DAES ISIS yang gak percaya statement Ali Imron ini. Cc @03__nakula @elHurryKoRn @WagimanDeep__</t>
  </si>
  <si>
    <t>@ShoaibZaidi4254 @RashmiVarma3 @KhanAmanatullah Ha wo to dekha 1945 pata nahi tha 1971 pata nahi mission shakti pata nahi tuje pata kya h only afawa teri knowledge dekh bolata h ki sarkar ne desh ke tukde kiye jese wo prime minister tha RSS ke log ISIS se mile h wo bhagwa terrorist Abe ISIS khud ak Islamic terrorist h</t>
  </si>
  <si>
    <t>@gatinhadabahia0 amoh</t>
  </si>
  <si>
    <t>Vid perempuan idaman yang viral tbh 40% dumb bcs it’s just an excuse dari lelaki + cara God menyampaikan bahwa kalian gacocok, kalau emang you’re the one kayaknya lo join isis cowok lo ya bakal ok ok aja... dan anggep aja sbg reminder for improvement kalau ga tahan ya pergi ajasi</t>
  </si>
  <si>
    <t>@onsrgst @GusMendem1 @AremaNita__ @BdyNusantara @_nice69_ @agama_nusantara @daunsirih5 @Jelantik5 @rullyjoo27 @SeruniPuspaAlam @Tikayulie @su7loo Khilafah mirip dengan isis yaitu suatu pemerintahan dunia yg mau menyeragamkan semua bangsa menjadi satu negara satu agama.jadi semua bangsa dibuat seragam.</t>
  </si>
  <si>
    <t>RT @hasyimmah: Saya sendiri yakin bahwa khilafah bukan bagian ajaran Islam. Setidaknya, tidak ada bentuk baku yang diajarkan dalam Islam. Terbentuknya negara-negara modern saat ini adalah bentuk khilafah yang disepakati. Jadi, tak harus seperti yang HTI atau ISIS suarakan.</t>
  </si>
  <si>
    <t>RT @adisatya: @yusuf_dumdum @ZoelFawzie Pantes kita tenang nyambut kembalinya ISIS, la level kebrutalan mrk di bawah kita.</t>
  </si>
  <si>
    <t>6 WNI Pasien Positif Virus Corona, 1 Orang ABK Kapal Diamond Princess</t>
  </si>
  <si>
    <t>WNI Pribumi bikin KTP saja sangat susah, sudah ada pungutan dan mesti nunggu lama..., bahkan tdk sedikit yg gk jadi. Lha ini WNA China malah dipermudah dan gratis lagi... ANEH... BETUL2 SDH KEBANGETEN GILANYA...</t>
  </si>
  <si>
    <t>RT @bbl58: @Hiqutipie @Italia191 @GodLovesUSA1 @JoeMerenda2 @conservaruce @MateoAnisi2001 @ElizabetGood @mountainfightr @JoeTornabene1 @GinaReino @Dago70_2 @Filippo60 @jonoboston @Briteeye777 @NevadaElJefe @garway95 @goofballgeorge @Godsgirl158 @luluHru @JVER1 @HiQTPiii @BlueStateSOS @Arkiegirl01 @GarBear4Trump @4Mischief @YNHallak @wwwillstand @SealeyGerald @JanetTxBlessed @SweetTex93 @AngelWarrior321 @Harleyluv @Melrpell @RodHillis1 @mitra9816 @Ih8uJ Benghazi, Uranium, Libya, ISIS, Gun Running, Haiti, Body Count...</t>
  </si>
  <si>
    <t>Cc yang katanya senasib @Hilmi28 dengan om @ustadtengkuzul Hanya pengikut DAES ISIS yang gak percaya statement Ali Imron ini. Cc @03__nakula @elHurryKoRn @WagimanDeep__</t>
  </si>
  <si>
    <t>Berkunjung ke Australia, Seorang WNI Terjangkit Virus Korona #TauCepatTanpaBatas #BeritaTerkini #International #BeritaInternasional .</t>
  </si>
  <si>
    <t>@null Berkunjung ke Australia, Seorang WNI Terjangkit Virus Korona WNI tersebut dinyat</t>
  </si>
  <si>
    <t>@alexjanuari @ArabicaBali @rullyjoo27 @GusMendem1 @lookslina @nje_dull @AremaNita__ @_nice69_ @agama_nusantara @daunsirih5 @Jelantik5 @onsrgst @SeruniPuspaAlam @Tikayulie @su7loo Ulama.. Ulama siapa namanya.? Asal dari mana? Wni atau bukan?</t>
  </si>
  <si>
    <t>KBRI Riyadh imbau WNI sementara tidak ke Mekkah, Madinah  #KomisiAndaElshinta</t>
  </si>
  <si>
    <t>RT @yoongiyoongiyon: yoongi yoongi yoongi yoongi yoongi yoongi yoongi yoongi yoongi yoongi yoongi yoongi yoongi yoongi yoongi yoongi yoongi yoongi yoongi yoongi yoongi yoongi yoongi yoongi yoongi yoongi yoongi yoongi yoongi yoongi yoongi yoongi yoongi yoongi yoongi yoongi yoongi yoongi yoongi yoongi</t>
  </si>
  <si>
    <t>@musniumar Woiii penjilat rasa isis</t>
  </si>
  <si>
    <t>RT @TCdharma: Marc Stone, reporter Sky News, mendatangi kamp penampungan eks ISIS di Al-Holl, Suriah. Di tempat ini berdiam sekitar 70,000 anggota ISIS dari berbagai negara. Tempat ini memang tidak memenuhi standar kelayakan, tapi itu justru makin mempertebal militansi mereka.</t>
  </si>
  <si>
    <t>RT @Helmiyati69: @yusuf_dumdum @roi_nur Ternyata kadrun lebih teroris dr ISIS kayanya klo dijabarkan dr Penjelasan Ali imron ex's gembong teroris.. 🙄 bener ga sih klo dia kayanya bilang gitu ?🤔</t>
  </si>
  <si>
    <t>@DjokoEdhi1 Ahok itu : 1. Mantan napi (org yg sdh menjalani hukuman atas apa yg diperbuatnya) 2. WNI yg dilahirkan sbg keturunan tionghoa 3. Sy muslim &amp; tdk menolak Ahok krn integritasnya NKRI 🇮🇩 ini terdiri dr semua suku, agama, ras, golongan yg beragam jd stop rasis</t>
  </si>
  <si>
    <t>Jb police ko bagal me khada kr k ultimatum dia gya to police kuch nhi kr paayi ulta 'force multiplier' bn k dangaiyo k sath patthar bazi krhi thi aur ab inko ISIS ka link mil gya RT @TheQuint: Police sources said that the couple were members of ISIS, propagating its ideology of hatred against non-Muslims and thereby also inciting Muslims to kill non-Muslims.</t>
  </si>
  <si>
    <t>@CoronaVid19 ¿Folla***? 🤣</t>
  </si>
  <si>
    <t>@maswawan03 @RI_0O7 Ane juga g nyangkal hak semua WNI itu, ane cuma definisikan PRIBUMI &amp; WNI, soal hafal atau bahkan pemahaman kalau dulu da P4, sekarang ada BPIP, nah itu tanggung jawab BPIP.</t>
  </si>
  <si>
    <t>RT @rockygerung_rg: Presiden tak bersedia memulangkan WNI di Wuhan. Presiden melanggar konstitusi. Presiden gagal melindungi segenap bangsa Indonesia &amp; seluruh tumpah darah Indonesia.</t>
  </si>
  <si>
    <t>RT @SiswadiMargo: @RadioElshinta ngak perlu dikasih sertifikat bebas corona bagi WNA dan WNI dari luar negeri belum tentu tertular bisa saja daya tahan tubuh bagus gejala ngak muncul jadi dipantau saja diberi health allert card jika gejala muncul hubungi No tlp di health card untuk di jemput petugas kesehatan</t>
  </si>
  <si>
    <t>@RadioElshinta ngak perlu dikasih sertifikat bebas corona bagi WNA dan WNI dari luar negeri belum tentu tertular bisa saja daya tahan tubuh bagus gejala ngak muncul jadi dipantau saja diberi health allert card jika gejala muncul hubungi No tlp di health card untuk di jemput petugas kesehatan</t>
  </si>
  <si>
    <t>Seorang WNI di Singapura positif COVID-19  #KomisiAndaElshinta</t>
  </si>
  <si>
    <t>RT @JohnIrwan4: Menlu Retno: Tujuh WNI di Luar Indonesia Sembuh dari Virus Corona Sisa 5 WNI Dirawat di Negara yang Berbeda #JokowiMelawanCorona  via @idntimes</t>
  </si>
  <si>
    <t>Ada 1.239 WNI di Utara Italia yang Diisolasi karena Virus Corona</t>
  </si>
  <si>
    <t>RT @elangbc: WNI Positif Covid-19 Bertambah 2 Orang, Total 6 Orang #PesanSambat #Covid19 #KimHanbinDemo2</t>
  </si>
  <si>
    <t>@titunas1 @detikcom BETUL.... SAMPEAN KABUR KE ARAB...GA BERANI PULANG PECUNDANG...GA PANTAS JADI WNI APALAGI MAU MIMPIN INDONESIA... HABIB GOBLOK</t>
  </si>
  <si>
    <t>@nickoakbar hitam isis</t>
  </si>
  <si>
    <t>@dr_koko28 Kalau saya sih soal Corona cuma percaya pak Anies. Coba bapak lbh aktif buka komunikasi dgn beliau. Siapa tau bisa dikembangkan network lbh luas menenangkan masyarakat. Saya menilai seperti kita gak punya menkes dan dokter2 handal mengantisipasi wabah. Info minim, WNI terkatung2.</t>
  </si>
  <si>
    <t>KBRI Imbau WNI di Singapura dari Klaster Penularan Corona Segera Hubungi Dokter</t>
  </si>
  <si>
    <t>@_garuda501 Opo asline target nya pres &amp; wapres e chino ben iso full nguasai Indonesia,,, opo maneh kan UUD 1945 asli wes d amandemen,, mbiyen pres asli pribumi Indonesia beragama islam , truz ganti wni ....</t>
  </si>
  <si>
    <t>Syiah dan ISIS itu bukan ISLAM. Kalo ada org ngaku bukan Syiah atau ISIS tp cuma simpatisan doang brrti orang itu bohong. Kalau bukan Syiah, ya ISIS, keduanya bukan bagian dari kami.</t>
  </si>
  <si>
    <t>@maswawan03 @RI_0O7 Baca baek2, ane tulis #Pribumi bukan #WNI Ini berbeda, PRIBUMI adalah warga asli kalo WNI bisa keturunan bahkan imigran. Betul takda yg halangi meskipun tak faham Pancasila, jangankan faham, hafal saja tak</t>
  </si>
  <si>
    <t>Alasan 68 WNI Kru Kapal Diamond Princess dikarantina 28 hari #VirusCorona</t>
  </si>
  <si>
    <t>@b_heri_wibowo @RI_0O7 Lahir dan besar di Indonesia, apakah tidak cukup sebagai WNI? Jika kedua orang tua nya asli WNI, tetapi wajahnya memiliki tipikal keturunan, apakah tidak disebut juga sebagai WNI? Selama dia WNI, tidak ada yang bisa menghalangi... 🙏🙏🙏</t>
  </si>
  <si>
    <t>Pemerintah terus pantau kondisi WNI di Diamond Princess #VirusCorona</t>
  </si>
  <si>
    <t>Warung WNI di AS Laris Manis Jualan Bakwan Sayur -</t>
  </si>
  <si>
    <t>Pertumbuhan ekspor indonesia memang patut diacungi jempol. Ekspor corona..</t>
  </si>
  <si>
    <t>RT @RadioElshinta: KBRI Riyadh imbau WNI sementara tidak ke Mekkah, Madinah.  #DiskusiInteraktifElshinta</t>
  </si>
  <si>
    <t>KBRI Riyadh imbau WNI sementara tidak ke Mekkah, Madinah.  #DiskusiInteraktifElshinta</t>
  </si>
  <si>
    <t>Perempuan itu diduga tertular saat acara makan malam di daerah Jurong</t>
  </si>
  <si>
    <t>RT @PakarLogika: @SangMataSang @zulfahmireza46 @TataningSubhaga @ratu_adil keterlibatan &amp; dukungan FPI utk teroris belatung ISIS</t>
  </si>
  <si>
    <t>RT @KompasTV: [FULL] Kabar Baik Dari Menlu Ada 7 WNI Sembuh Dari Corona</t>
  </si>
  <si>
    <t>RT @AsabriGate: Bertambah Dua, Kini WNI Positif Corona Sudah Enam Orang</t>
  </si>
  <si>
    <t>RT @JiwasrayaGate: Bertambah Dua, Kini WNI Positif Corona Sudah Enam Orang</t>
  </si>
  <si>
    <t>@do_ra_dong Akhirnya bani kadrun hanya bisa menggerutu.jadi buzzer wan toa sepertinya tidak menjanjikan,kebodohanya menjadi batu sandungan.laskar demo morat marit lesu darah,kurang sentuhan imam besar cabul yg memburon.cemerlangnya wni keturunan aseng,sementara wan toa hanya menjadi lelucon</t>
  </si>
  <si>
    <t>RT @antaranews: "Masyarakat Indonesia di Italia Utara diimbau tetap tenang, mengambil langkah-langkah pencegahan, mengikuti aturan yang ditetapkan otoritas kesehatan setempat dan terus memantau informasi dari KBRI Roma," demikian Kementerian Luar Negeri RI. #CegahCorona</t>
  </si>
  <si>
    <t>RT @santidewi888: Satu WNI Dinyatakan Positif Virus Corona di Melbourne?  via @idntimes</t>
  </si>
  <si>
    <t>@schwambach__ renata kkjjjkkkkkkkkkkkkkkkkkkkkkkkkkkkkkk</t>
  </si>
  <si>
    <t>WNI Positif Virus Corona Kini Jadi 6 Orang, Ini Penjelasan Pemerintah</t>
  </si>
  <si>
    <t>RT @KPUGate: Bertambah Dua, Kini WNI Positif Corona Sudah Enam Orang</t>
  </si>
  <si>
    <t>@EnggalPMT Nah filing sy nyata. Lama2 kelaman jd wni deh tanpa d sadari dn sdh membaur dengan masyarakat.</t>
  </si>
  <si>
    <t>RT @naadoorie: @DavidCayJ @johncusack @nytimes @GOP Trumpers= Russia= ISIS !!!!</t>
  </si>
  <si>
    <t>@DavidCayJ @johncusack @nytimes @GOP Trumpers= Russia= ISIS !!!!</t>
  </si>
  <si>
    <t>Jelang Nikah, Shireen Khawatir Teuku Wisnu Terpapar Aliran Menyimpang</t>
  </si>
  <si>
    <t>@Mikegilbert51 kayak isis</t>
  </si>
  <si>
    <t>@FOODFESS2 Semua WNI &amp; seluruh umat manusia min wkwkwk</t>
  </si>
  <si>
    <t>Hmm, pantas kemarin pemerintah agak ragu dan menaruh harapan sementara kpd eks wni isis untuk kembali ke Indonesia, mungkin dalam benak mereka "koyone luwih gampang ngrumat cah isis nimbang ngrumat anake tonggo dewe tp kelakuane ora welas asih marang tonggo liyane" RT @yusuf_dumdum: Ali Imron, eks gembong teroris Terpidana Bom Bali bicara. Cuma saran aja, kalau gak kuat jangan ditonton. "Tentang intoleransi dan anti keberagaman, saya kaget itu pasca kasus Ahok, masyarakat (yg muslim) kok lebih BRUTAL daripada TERORIS?" Kata Ali Imron Video : 1/4</t>
  </si>
  <si>
    <t>RT @C41__5R: @kawalnkri_ @MoslemUntillDie Inilah sebabnya saya ingin ganti pemimpin, karena rakyat Indonesia hidup dalam kemiskinan, sementara WNA Tiongkok dapat bekerja di Indonesia dengan upah yang melebihi WNI.</t>
  </si>
  <si>
    <t>@starcruisr KskdjdkksKkzjsndjd assim mesmo</t>
  </si>
  <si>
    <t>ISIS warrock sebenarnya perang lawan bangsa jin wujud manusia .... ga' pernah lawan pentagon USA</t>
  </si>
  <si>
    <t>info dong yg tau tntng wni yg di rehabilitasi</t>
  </si>
  <si>
    <t>RT @zhu_dave: Contoh WNI yg baik, walaupun minoritas tapi kelakuannya patut dicontoh bagi semua, termasuk para kadrun.</t>
  </si>
  <si>
    <t>[FULL] Kabar Baik Dari Menlu Ada 7 WNI Sembuh Dari Corona</t>
  </si>
  <si>
    <t>#Erdogon = ISIS + Al-Qaeda #terrorism #Iran #ISIS. #Turkey RT @KTHopkins: Erdogan says he will flood Europe with Muslims until the Crescent triumphs over the Cross. This is the border with Greece. Mosque in the distance. Soldiers of the Cross holding the line. This is biblical. #IStandWithGreece Credit @BasedPoland</t>
  </si>
  <si>
    <t>@Cownpuriya 100 se jyada log isis join kr chuke he ap kon si nind me ho. Lgta ge sarkar bhi PFI pe tbhi ban lagegi jb wo civil war start kr degi</t>
  </si>
  <si>
    <t>@shfly3424 Wahhh ada WNI baru kayaknya 😁😁😁 @shfly3424</t>
  </si>
  <si>
    <t>@Akoe1008 @alin_raihani @_aiek_esthreem_ @Anita1024002 Dalam politik demokrasi.. Pemilihan pemimpin dilaksanakan secara demokrasi.. Dan calon pemimpin yg akan di pilih beberapa kandidat kalah menang harus ada. Siapa pemenang harus kita akui walaupun itu bukan pilihan kita. Jika tdk mengakui berarti kamu bukan WNI. TTK. paham.</t>
  </si>
  <si>
    <t>@AbdurachmanAl @MuhammadiyunGN iya kabarnya pernah kontak senjata, kemudian meminta maaf.</t>
  </si>
  <si>
    <t>@firmanfuture223 @maynemisdio09 @aidafrr @MasLay9 @srtikass @ojayanjay @dindaajnt @SiiJagoan Mas resign aja jadi WNI</t>
  </si>
  <si>
    <t>Kalau @jokowi itu pintar maka salah satu menterinya langsung di pecat 😊 Awalnya singapura mengatakan ada WNI positif tapi menterinya masih menyangkal kok tiba-tiba sekarang di katakan ada, padahal statusnya sama??</t>
  </si>
  <si>
    <t>Himbauan bagi para WNI di Romania dan Moldova terkait penyebaran virus Corona COVID -19 di Romania, tetap tenang, tingkatkan kewaspadaan, jaga kebersihan dan kesehatan diri, termasuk sering membersihkan tangan dengan sabun antiseptik,</t>
  </si>
  <si>
    <t>@Mrs_RG1 Lumayan kan...ada WNI yg positif cair dech WorldBank.....hahahahahaa</t>
  </si>
  <si>
    <t>@felisierra17 @Federico_Van26 Inditi cin isis gilis</t>
  </si>
  <si>
    <t>WNI Terjangkit Virus Corona Bertambah 2, Total Ada 6 Kasus Corona di Indonesia - Kompas TV</t>
  </si>
  <si>
    <t>@DjokoEdhi1 ISLAMNYA HTI DAN ISIS!!!</t>
  </si>
  <si>
    <t>"Masyarakat Indonesia di Italia Utara diimbau tetap tenang, mengambil langkah-langkah pencegahan, mengikuti aturan yang ditetapkan otoritas kesehatan setempat dan terus memantau informasi dari KBRI Roma," demikian Kementerian Luar Negeri RI. #CegahCorona</t>
  </si>
  <si>
    <t>@AnakLolina @jokowi Berbicara soal keadilan sosial,,,kita hanya bisa berharap bapak @jokowi bisa mengkoordinasi para menteri nya untuk berlaku adil ke semua wni ....</t>
  </si>
  <si>
    <t>Menlu Retno: Tujuh WNI di Luar Indonesia Sembuh dari Virus Corona Sisa 5 WNI Dirawat di Negara yang Berbeda #JokowiMelawanCorona  via @idntimes</t>
  </si>
  <si>
    <t>Tolak pemulangan WNI eks ISIS</t>
  </si>
  <si>
    <t>@echoPiR @anisillahi12 @CNNIndonesia @ekaasptr Wah bahaya donk? Gimana dengan WNI yang di karantina selama 14 hari? Bisa jadi mereka kena tapi belum terdeteksi dan sekarang mereka berbuar dengan kita</t>
  </si>
  <si>
    <t>i stan. bismillah assalammualaikum RT @rsydanz: Lelaki tak hisap rokok vape segala benda berasap ni sumpah limited edition.</t>
  </si>
  <si>
    <t>@dwiyanaDKM @P3nj3l4j4h_id Ribuan IMB Reklamasi buat kepentingan siapa ?? Order busway dari China Jualan Masker 1000x lipat dari harga normal Perkuat kerja sama dg China Tdk ada bantahan sedikitpun TT eks ISIS asal Indonesia Jelas banget Anies antek Asing Aseng.</t>
  </si>
  <si>
    <t>Warga Negara Indonesia (WNI) di Arab Saudi diimbau tidak melakukan perjalanan ke kota Mekkah terkait penyebaran virus corona,</t>
  </si>
  <si>
    <t>@IweajaAhmad @HamdaanLW825Ky @jokowi @Gregorius841 Pahami dulu literasinya.Indo positif Corona, sy WNI menetap di Eropa yg belum ada kasus, apakah sy dilarang masuk Eropa? Pelarangan itu utk siapa pun baik WNA China/WNA lainnya yg menetap dan transit di China kurun waktu 14 hr masa wabah. Virus itu bukan pada ras ya mas. Paham?</t>
  </si>
  <si>
    <t>@baru_netas @geloraco @IndianEmbJkt Sesungguhnya mereka cuma ngaku Islam tp kami Muslimin tdk mengakui mereka Islam mereka itu punya agama sendiri agama mereka Syiah itulah yg mendirikan Al Qaeda dan ISIS ssgguhnya Syiah itu bentukan Israel. Nah klo yg jlas di Australia yg Kristen gmn? Kaumnya jg sm ngecam kan? Hik</t>
  </si>
  <si>
    <t>RT @viviyio: En sah hein</t>
  </si>
  <si>
    <t>Justru saya sebagai publik WNI lebih heran ...istana itu punya siapa? Milik WNI ...ngapain org2 didlm nya bodoh semua ...beesikap kayak penguasa saja.kalian di Istana itu krn siapa rupanya? RT @geloraco: Istana Heran Publik Menolak Ahok Jadi Kandidat Kepala Otoritas IKN</t>
  </si>
  <si>
    <t>RT @okezonenews: 12 WNI di Luar Negeri Positif Virus Korona, 7 di Antaranya Sudah Sembuh #TauCepatTanpaBatas #BeritaTerkini #International #BeritaInternasional .</t>
  </si>
  <si>
    <t>Pemerintah Singapura Umumkan WNI Ketiga Positif Corona</t>
  </si>
  <si>
    <t>RT @revolutia: Seorang WNI didapati positif coronavirus ketika sedang berkunjung ke Australia. Ibu ini meninggalkan Jakarta dan bertolak ke Perth 27 Februari dan mulai mengalami gejala pada 29 Februari.</t>
  </si>
  <si>
    <t>Seorang WNI di Singapura Positif Terinfeksi Virus Corona</t>
  </si>
  <si>
    <t>Seorang WNI di Singapura Positif Terinfeksi Virus Corona -</t>
  </si>
  <si>
    <t>Alhamdulillah, Malam ini Bantuan Masker dari Anggota DPRRI Fraksi Demokrat Ibu Hj. Melani L Suharli Dan Dari Pemda Kab. Pati. Telah Sampai Bandara Taoyuan, Taipei, Taiwan. Diterima perwakilan WNI &amp; Staff KDEI Taipei. Matursuwun. @AndiArief__ @panca66 @YanHarahap @AgusYudhoyono</t>
  </si>
  <si>
    <t>RT @Amxrull: seriousy 🥺 ?? vitagen putih la yang paling sedapp tahu takk 😤</t>
  </si>
  <si>
    <t>@MCAOps Banyak WNI pekerja, mahasiswa terkatung2 nasibnya. Indonesia seperti tidak punya menkes, dokter2 handal. Kualat getol menuduh mayoritas muslim radikal tanpa landasan hukum.</t>
  </si>
  <si>
    <t>Aku kena sengal siot. Hahahahaha k</t>
  </si>
  <si>
    <t>RT @echoPiR: @fantonsena @CNNIndonesia no 6 : 1 WNI yg dr kapal pesiar dr Jepang. yg lain, dr area awal no 1 tertular</t>
  </si>
  <si>
    <t>Italia Utara Ditutup, KBRI Imbau 1.239 WNI Tenang</t>
  </si>
  <si>
    <t>@Raj4Purwa KADRUN2 ISIS HTI PKS FPI bersorak</t>
  </si>
  <si>
    <t>Lagi, Seorang WNI di Singapura Positif Terkena Virus Corona</t>
  </si>
  <si>
    <t>@kbrisingapura Mohon bantuan Staff KBRI melakukan pengecekan WNI case 147 Covid-19 Singapore.</t>
  </si>
  <si>
    <t>TOTAL 3 KASUS WNI TERJANGKIT VIRUS CORONA DI SINGAPURA...............</t>
  </si>
  <si>
    <t>@TaliUdeng @sabilla_shaffa Bentuk KTP utk anak alumni isis gimana pak sdh disiapkan ada pembedanya ga?</t>
  </si>
  <si>
    <t>@Spider__id Ada gak seorang WNI yang ditagih utang sama debt-colector bank dunia. Atau dari negara lain yang di utangin negara? kalo tidak pernah diem aja lu ! nikmati saja hasil pembangunan dari ngutang. Gak usah teriak-teriak Negara berhutang banyak..</t>
  </si>
  <si>
    <t>@majalahSM @ShamsiAli2 Apakah saya yg bodoh ini bisa dapat info nama tokoh yang jadi otak peledakan WTC 911 ? Apakah saya yg bodoh ini bisa dapat info nama tokoh yang mendanai ISIS ?</t>
  </si>
  <si>
    <t>RT @MNCkoranSINDO: #BreakingNews Jumlah kasus Corona kembali bertambah di Indonesia. Hari ini diketahui dua orang terinfeksi virus tersebut. Hingga sudah enam orang WNI yang positif Corona.</t>
  </si>
  <si>
    <t>@kaery98 @Isis_Yom Jalo x2</t>
  </si>
  <si>
    <t>@jujsneris amoh</t>
  </si>
  <si>
    <t>@ashutosh83B Sab bakwas hai.. Trump NE already bola tha Motera stadium me ki isis khatam hochuka hai.. Fr yeah kiya hai.. Kuch bhi bol Doo..</t>
  </si>
  <si>
    <t>Dua WNI Positif Corona, Safrial Himbau Masyarakat Agar Waspada</t>
  </si>
  <si>
    <t>@tuanbonsu Et mas brock dari kapan tau su jadi wni, udah makan ketoprak dia tiap hari ditemenin ajin</t>
  </si>
  <si>
    <t>@KawalCOVID19 @KemenkesRI Jadi total WNI terinfeksi baik di dallam maupun di luar negeri berapa?</t>
  </si>
  <si>
    <t>Seorang WNI didapati positif coronavirus ketika sedang berkunjung ke Australia. Ibu ini meninggalkan Jakarta dan bertolak ke Perth 27 Februari dan mulai mengalami gejala pada 29 Februari. RT @7NewsMelbourne: BREAKING: A twelfth case of coronavirus has been confirmed in Victoria, with a woman from Indonesia testing positive last night.  #7NEWS</t>
  </si>
  <si>
    <t>@kartarahardja @ISIS_Balik_NO @BareskrimPolri Ini sunggu keterlaluan...</t>
  </si>
  <si>
    <t>RT @HermanChow73: Kaum ini ada dimana-mana, di tengah tengah kita. ISIS, FPI, Jamaah Islamiyah, Al Qaeda. Ada yg dgn narasi, ada yg senyap menyusup.</t>
  </si>
  <si>
    <t>RT @JoeklySinaga: Gerakan mrk ini spt ISIS yg terselubung</t>
  </si>
  <si>
    <t>@iisislm calaboca isis</t>
  </si>
  <si>
    <t>6 WNI Pasien Positif Virus Corona, 1 Orang ABK Kapal Diamond Princess  #DariSuara</t>
  </si>
  <si>
    <t>Kaum ini ada dimana-mana, di tengah tengah kita. ISIS, FPI, Jamaah Islamiyah, Al Qaeda. Ada yg dgn narasi, ada yg senyap menyusup. RT @nahdlatululama: [HIKMAH] Ada lima ciri Kaum khawarij yang disebutkan oleh para ulama. Lima ciri ini dipraktikkan oleh mereka dalam kehidupan sehari-hari. Apa saja itu? Simak Ngaji 1 Menit bersama Nahdlatul Ulama.</t>
  </si>
  <si>
    <t>@geloraco Sedooot Kami WNI ga sudi nerima mereka</t>
  </si>
  <si>
    <t>@WagimanDeep__ Usul yg ngawur asal bacot. Memangnya penganut agama &amp; kepercayaan (agama asli Nusantara) beda dgn WNI yg lain? Usul asal2an kek gini nih yg bisa menciptakan perpecahan.</t>
  </si>
  <si>
    <t>@Nanan91296 @CNNIndonesia china adalah negara pertama yang diblokir tanggal 5 februari. Awal market kemarin baru iran, korsel menyusul. Yang nularin covid ke wni itu cewek jepang</t>
  </si>
  <si>
    <t>laporan SPT masyallah gregret sekali. ampe sejam bingung sendiri. untung awak WNI yg baik -.-</t>
  </si>
  <si>
    <t>Susah banget tinggal di Indo. Udah sakit, masih dirundung. Sesama WNI bukankah bisa saling empati simpati?</t>
  </si>
  <si>
    <t>@IweajaAhmad @HamdaanLW825Ky @jokowi @Gregorius841 Awal isolasi itu wilayah Wuhan lihat tglnya ya. Belum seluruh wilayah China. WNI yg dikaratina di Natuna itu dari Wuhan. Kemudian baru berkembang utk seluruh China. Perkembangan Banned suatu negara mengikuti persebarannya. Salah satunya saat ini Italy.</t>
  </si>
  <si>
    <t>ISIL (ISIS) ~ Saudi, UAE</t>
  </si>
  <si>
    <t>@limelocassie Rasane koyok dikipasi sumpah isis poll</t>
  </si>
  <si>
    <t>RT @aimansalim_: Kenapa rambut upin sehelai je?</t>
  </si>
  <si>
    <t>Orang2 yang reply “Pasti jumlah aslinya lebih banyak dari yang diberitakan” Di artikel berita WNI positif kena Covid, itu otaknya kerasukan apa ya?</t>
  </si>
  <si>
    <t>@ocidece Bukan menghujat nak. Tapi ini suatu yg aneh lho, sebagai wni, harusnya itu tdk salah, kan satu kesatuan wajib</t>
  </si>
  <si>
    <t>RT @sofinofianty3: Presiden Joko Widodo (Jokowi) mengingatkan kepada para menteri dan pejabat terkait untuk melindungi hak-hak pribadi warga negara Indonesia (WNI) yang telah diidentifikasi positif terkena Virus Korona (Covid-19). #JokowiMelawanCorona</t>
  </si>
  <si>
    <t>RT @kompascom: WNI yang merupakan kasus ke-147 di Singapura ini diterangkan sebagai kasus impor dari negara lain.</t>
  </si>
  <si>
    <t>@syafrinkar Dubes India kok berani bicara seperti itu ?, PA212/FPI WNI Asli, siapa anda ?</t>
  </si>
  <si>
    <t>@arivpermana @Dennysiregar7 Kalo RRC, pastinya mrk WNA, jujur saya tdk setuju, karena masih bnyk org Aceh yg tdk punya pekerjaan disini, knp kita tidak memberdayakan SDM bangsa sendiri, kalo gak ahli? Kan bisa belajar. Tapi kalo ras oriental, WNI, sy punya saudara angkat oriental, dan mrk org Aceh</t>
  </si>
  <si>
    <t>@EmineCaria123 Ah masa sih... Kemarin aja mau beli alat deteksi Covid-19 bilang mahal  Alasan Alat Mahal, WNI dari Wuhan Tak Dites Virus Corona ...</t>
  </si>
  <si>
    <t>RT @faizalassegaf: Rezim RRC &amp; rakyat China harus banyak belajar hidup sehat dari warga Tionghoa di Indonesia. Banyak yg ke China saat imlek &amp;amp; balik, tdk kena Corona. Hanya beberapa WNA China, kini dikarantina 14 hari ke dpn, bukan warga WNI keturunan Tionghoa. Itulah beda China &amp;amp; Tionghoa. *FA*</t>
  </si>
  <si>
    <t>@onehundreth100 @AREAJULID Gua setuju, gua pendukung isis gitu?</t>
  </si>
  <si>
    <t>WNI yang merupakan kasus ke-147 di Singapura ini diterangkan sebagai kasus impor dari negara lain.</t>
  </si>
  <si>
    <t>Bertambah Lagi, Jubir Pemerintah: WNI Positif Covid-19 di RI Jadi 6 Orang Link⬇  #jabarnews #beritalokal #beritahiperlokal #jabarkini #harianjabar #jabartoday #beritajabar #jabarterkini #bertamabahlagi #jubirpemerintah #wnipositif #covid19 #ri #jadi6orang</t>
  </si>
  <si>
    <t>@New0wl @IbeL_Lfc Sebutlah si A, WNI, tidak hafal pancasila. Tapi tanpa kita tau, 1. Dia beragama dan terbuka ke semua agama 2. Dia respek ke semua orang 3. Dia pernah membantu aparat mengatasi bencana 4. Dia selalu mengedapankan musyawarah 5. Dia tidak membedakan orang berdasar ras, suku, agama</t>
  </si>
  <si>
    <t>RT @Katherijuliani: @TirtoID Halo, tirto. Sepertinya judul berita Anda misleading yah. Setahu saya, bisa juga di cek di pernyataan pers Ibu Menlu, bahwa untuk WNI, sekiranya berasal dari kota2 dimaksud, akan dilakukan pemeriksaan tambahan.</t>
  </si>
  <si>
    <t>@yusuf_dumdum Mungkin tujuanny ini, bahwa masyarakat jg hrus berkontribusi dalam deradikalisasi. Krn kebanyakan dri eks isis itu memiliki kepercayaan yg ekstrim. Jd proses deradikalisasi ini hrus dibntu masyarakat agar tak terciptanya residivisme</t>
  </si>
  <si>
    <t>@onehundreth100 @AREAJULID aku mengiya kan, otomatis pendukung isis dong gw</t>
  </si>
  <si>
    <t>Meningkat dari 2 lalu 4 kini menjadi 6 orang positif terjangkit virus corona, saatnya pengawasan ketat dan penanganan serius, pemerintah harus segera memutuskan kunjungan wisatawan luar negeri dan wni keluar negeri, jangan tunda tunda lagi.</t>
  </si>
  <si>
    <t>Ah masa sih... Kemarin aja mau beli alat deteksi Covid-19 bilang mahal  Alasan Alat Mahal, WNI dari Wuhan Tak Dites Virus Corona ... RT @EmineCaria123: Pemerintah Pastikan Puskesmas Bisa Deteksi Dini Virus Corona Benarkah puskesmas2 bisa melakukan nya???</t>
  </si>
  <si>
    <t>Juru Bicara Pemerintah untuk penanggulangan Virus Corona atau COVID-19, Achmad Yurianto mengatakan dua lagi kasus WNI positif Corona ditemukan. Ini menjadi kasus ke 5 dan 6 yang terjadi di Indonesia. Untuk kasus 05,…</t>
  </si>
  <si>
    <t>Satu Lagi WNI di Singapura Positif Virus Korona #BeritaTerkini #International #BeritaInternasional</t>
  </si>
  <si>
    <t>RT @cosrxx: wni yg terinfeksi corona udah 6 org, cuma mau ngingetin jgn sepelekan cara cuci tangan yg benar yh</t>
  </si>
  <si>
    <t>Kemlu Pantau Kondisi dan Jalin Komunikasi dengan para WNI di Italia Utara</t>
  </si>
  <si>
    <t>Dari angka tersebut, lanjut Retno, sebanyak tujuh orang sudah dinyatakan sembuh. Tujuh WNI yang dinyatakan sembuh bermukim di dua negara, yakni enam di Jepang dan satu di Singapura.</t>
  </si>
  <si>
    <t>@walthedoney Jan lupain block lesnar surr,doi udh jd WNI</t>
  </si>
  <si>
    <t>Fitri Tropica Batasi Keluar Dengan Anak Sejak Ada WNI Asal Depok Positif Corona</t>
  </si>
  <si>
    <t>wni yg terinfeksi corona udah 6 org, cuma mau ngingetin jgn sepelekan cara cuci tangan yg benar yh</t>
  </si>
  <si>
    <t>harus benar-benar memantau sampai sudut terkecil di seluruh Indonesia,apakah sudah berjalan lancar? jika terdapat pelanggaran segera tanggap cepat dan melaksanakannya dengan sebaik-baik nya,setiap hari.Sebaliknya jika dibiarkan akan diprotes oleh seluruh WNI,demi kemajuan bersama</t>
  </si>
  <si>
    <t>@Monkey95855857 @SejarahRI @WarungSejarahRI Karena china selepas dari penjajahan belanda menolak menjadi WNI setelah sukarno menawarkannya tambah lagi mayoritas mereka pro dgn komunis dan jg dari negara asalnya</t>
  </si>
  <si>
    <t>Waduh, ada satu WNI lagi positif di Singapura</t>
  </si>
  <si>
    <t>@umatliaeden Dulu saat ISIS jaya2nya pada awal 2014 pendukung2nya di dalam negri sudah bersiap menyambut era khilafah, mereka kumpul di GBK besar2an, tapi setelah ISIS kalah baru bilang itu bukan islam....</t>
  </si>
  <si>
    <t>RT @ratu_adil: #LongMarch Turis China di Bali Ogah Pulang ke Negaranya Sebut Negaranya Seperti Penjara Raksasa Mau jadi WNI? Boleh saja, asalkan setelah jadi WNI cukup sebut : Saya Indonesia Jangan lagi ada propaganda Dual Kewarganegaraan : Saya Cina Indonesia 🌐</t>
  </si>
  <si>
    <t>@Sentjoko Berarti ISIS sudah berada di jalan yang "benar" 🤭</t>
  </si>
  <si>
    <t>Jamia Nagar jinnah wali azadi ISIS ke module pakde gaye</t>
  </si>
  <si>
    <t>@ANI Arrey sahab aapke apne davinder Singh ka Kya hua? Woh ISIS hai ya RSS??</t>
  </si>
  <si>
    <t>@HasanSharukh2 @Payal_Rohatgi Tum happy es liye ho ki tumhara hero masum dilbar negi ke dono haath katkar jivit hi aag me jhonk deta hai. Always be happy for this isis style.</t>
  </si>
  <si>
    <t>@JubirPresidenRI sudah berapa kah WNI yg tertulari COVID19 ?????</t>
  </si>
  <si>
    <t>WNI Positif Covid-19 Bertambah 2 Orang, Total 6 Orang #PesanSambat #Covid19 #KimHanbinDemo2</t>
  </si>
  <si>
    <t>68 WNI Kapal Pesiar Diamond Princess menjalani observasi yang terpisah dengan 188 WNI ABK World Dream. #PulauSebaru</t>
  </si>
  <si>
    <t>Rincian 8 Kasus Baru Virus Corona di Singapura, Salah Satunya WNI</t>
  </si>
  <si>
    <t>@ZheeOmega Suju !!! Semua label yg mengkotak kotakan WNI harus dihapuskan.!!! Karena tidak sesuai dgn sila ketiga Pancasila. Yg tdk suju = menghianati Pancasila.</t>
  </si>
  <si>
    <t>@NicAthens @CoachJustinL ilegal alien ini yang ditolak Hungaria coach, kerjaan cuma kriminal tukang perkosa..bukan rahasia umum lagi di Eropa imigrant timteng udah macam ISIS</t>
  </si>
  <si>
    <t>RT @kompascom: Eks pimpinan Jamaah Anshorud Tauhid (JAT) Jakarta yang juga mantan narapidana terorisme Haris Amir Falah mengatakan, usia anak-anak tidak menjamin bahwa mereka belum terkena paham radikal dan kekerasan. &gt; #Nasional</t>
  </si>
  <si>
    <t>@dirgarambe Kasus ke 7 WNI di AS..??</t>
  </si>
  <si>
    <t>Rakyat Indonesia Asli juga heran, apa orang Indonesia Asli gak ada, kalau WNI keturunan yang kerap mengucapkan TAEK TAEK!!!Sebagai Kandidat tak ada lawan, jejangan Satu Ibu sama Tukang Kibul! RT @geloraco: Istana Heran Publik Menolak Ahok Jadi Kandidat Kepala Otoritas IKN</t>
  </si>
  <si>
    <t>Jumlah Warga Negara Indonesia yang positif terinfeksi virus korona (Covid-19) kembali bertambah. Pemerintah mengumumkan, dua orang lagi positif terjangkit. Dengan demikian, keseluruhan kini menjadi enam orang.</t>
  </si>
  <si>
    <t>RT @infosurabaya: WNI Diimbau Tak Ke Mekkah-Madinah Untuk Sementara</t>
  </si>
  <si>
    <t>Virus corona: Dua WNI positif Covid-19, Kemenkes telusuri puluhan peserta dansa dari…</t>
  </si>
  <si>
    <t>@kh_notodiputro @yusuf_dumdum Teroris nya teroris isis sih.. Doktrin nya doktrin khilafah. Udah khilafah khawarij pula. Ngaku paling benar dan menguasai seluruh dunia.. Gmn gk sadis?</t>
  </si>
  <si>
    <t>Lagi training ikut isis Kalo abis itu ngilang gak ada kabar, uda resmi gabung isis, gausah dicari. Carilah yg baru RT @bluemoodbstr: Kenapa sih cowok suka sengaja lama-lamain bales chat ceweknya</t>
  </si>
  <si>
    <t>RT @mediaindonesia: Kasus WNI tersebut terhubung dengan sebuah kegiatan makan malam yang diadakan di SAFRA Jurong Singapura pada 15 Februari 2020.</t>
  </si>
  <si>
    <t>Satu Lagi WNI di Singapura Terinfeksi Virus Corona</t>
  </si>
  <si>
    <t>RT @PEDOMAN_id: √ WNI Dikonfirmasi sebagai Kasus ke 133 Covid-19 di Singapura cc @fadjroeL @PEDOMAN_id</t>
  </si>
  <si>
    <t>sofia isis sabino cunanan 😤</t>
  </si>
  <si>
    <t>RT @geloraco: Bertambah Dua, Kini WNI Positif Corona Sudah Enam Orang</t>
  </si>
  <si>
    <t>RT @Sandeep71121431: @i_theindian Hindu ISIS.</t>
  </si>
  <si>
    <t>WNI keturunan Tionghoa adalah saudara kita, mrk bkn rakyat Komunis China (RRC). Warga Tionghoa menolak ideologi komunis China &amp; cinta NKRI, krn mrk setia pd Pancasila. Sama dgn WNI keturunan Arab yg tegas menolak perilaku Arab jahiliyah krn tdk sejalan dgn ajaran Islam. *FA*</t>
  </si>
  <si>
    <t>1 WNI Terkena Infeksi Virus Corona Di Singapura info lengkap  bantu kunjungi donk 🙏</t>
  </si>
  <si>
    <t>@Eddianto1 @musniumar @IndianEmbJkt Lha ini apa bukan gembongnya</t>
  </si>
  <si>
    <t>RT @satria_wibawa: @NotesofMila @maman1965 Ini yg terinspirasi film-film horor yang ditontonnya di YouTube. Bagaimana dgn anak2 ex WNI pro ISIS, yg melihat, mendengar dan jg mungikin diajarkan kekerasan atau bahkan membunuh?</t>
  </si>
  <si>
    <t>RT @ZAEffendy: 1 WNI perempuan 30 tahun, pekerja ilegal di Taiwan, confirmed #COVID19</t>
  </si>
  <si>
    <t>RT @ZAEffendy: 1 WNI, Perempuan, suspect #COVID19 rawat isolasi di RSHS Bandung sejak Jumat, 21 Feb. Pasien diketahui baru kembali dari Malaysia-Singapura- Thailand, bulan Februari ini.</t>
  </si>
  <si>
    <t>RT @ZAEffendy: 3 dari 78 WNI Kru Diamond Princess yg di karantina di Yokohama Port, Jepang positif terinfeksi #COVID19</t>
  </si>
  <si>
    <t>RT @ZAEffendy: 11 Feb - Kepala KKP Kelas.1 Medan/Pri Agung: Ada 83 WNI &amp; WNA yang masuk melalui Bandara Kualanamu, Medan memiliki catatan perjalanan dari China. Dikarantina rumah, tersebar di Medan, Deliserdang, Karo, Sibolga untuk observasi 14 hari, terkait #COVID19.</t>
  </si>
  <si>
    <t>RT @ZAEffendy: Kapal Pesiar Westerdam-Holland America Line dengan 2257 wisatawan (termasuk RATUSAN kru WNI), setelah ditolak 3 negara sebelumnya, untuk ke-4 kalinya ditolak merapat di Thailand. 2 minggu terkatung-katung di laut lepas, akibat kekuatiran penularan wabah #2019nCoV #NCP</t>
  </si>
  <si>
    <t>RT @ZAEffendy: KaDinKes Kab. Karimun/Rachmadi: 1 WNI, pria bekerja di Malaysia (pulang tgl 30/1) dinyatakan SUSPECT #NCP #2019nCoV per hari ini 10/2, menjalani observasi di RS. Muhammad Sani, Kab. Karimun, KEPRI.</t>
  </si>
  <si>
    <t>RT @ZAEffendy: WNI kru kapal pesiar yang berada dalam karantina #NCP sampai saat ini: *78 orang (75L/3P) di atas kapal Diamond Princess, di pelabuhan Yokohama, Jepang sejak 5 Feb. *206 orang di atas kapal Dream World, di pelabuhan Victoria, Hongkong sejak 6 Feb.</t>
  </si>
  <si>
    <t>RT @ZAEffendy: 6 WNI dari Singapura, suspect? #NCP masuk ke BATAM sejak 4/2 Waspadai penularan #2019nCoV BELUM ADA VAKSIN-NYA...!!</t>
  </si>
  <si>
    <t>RT @ZAEffendy: WNI perempuan berusia 44 tahun, yang confirmed terinfeksi #Coronavirus #2019nCoV di SINGAPURA pada 4 Feb, belum bisa diketahui identitas lengkapnya, juga asal kota/daerah tempat tinggalnya.</t>
  </si>
  <si>
    <t>RT @ZAEffendy: 1 WNI perempuan pekerja informal di SINGAPURA confirmed terinfeksi #Coronavirus #2019nCoV, di rumah majikannya WN Singapura, yang juga confirmed terinfeksi, hari ke-13 setelah toko tempatnya bekerja dikunjungi turis (tour group) dari China</t>
  </si>
  <si>
    <t>Pengadilan Singapura Hukum WNI Bantu Terorisme Mengakui kirim uang untuk lembaga yang diduga lakukan aksi teror #ValidNih</t>
  </si>
  <si>
    <t>Terkait wabah virus Corona, Pemerintah Indonesia melalui KBRI di Tiongkok terus memantau keadaan WNI di Kota Wuhan. #JokowiMelawanCorona</t>
  </si>
  <si>
    <t>.... 2 pasien tersebut atau yang disebut sebagai kasus 5 dan kasus 6 dalam kondisinya saat ini dalam keadaan stabil. Keduanya tidak butuh bantuan oksigen, tidak diinfus, sadar penuh, tidak demam, tidak batuk, dan tidak pilek.</t>
  </si>
  <si>
    <t>RT @RepublikTweep: Pamulang trending kenapa yaa.. Baca berita dulu ah #minggupagi √ WNI Dikonfirmasi sebagai Kasus ke 133 Covid-19 di Singapura cc @fadjroeL @PEDOMAN_id @JubirPresidenRI @Jokowinomics_id @SunandarPS</t>
  </si>
  <si>
    <t>@Anaksemut4 @FerdinandHaean2 @BPIPRI Drpd membumikan kilapah isis</t>
  </si>
  <si>
    <t>@suzli05 Usung Ridwan jangan d : a. Bikin kolam renang di rumah dinas jtk kepentingan pribadi. B. Pendukung isis dipulangkan ke indo. C. Main tiktok dgn cin Laura...yg kata dia unfaedah , busng waktu , hentikan dll. 👎</t>
  </si>
  <si>
    <t>POSITIF COVID-19 BERTAMBAH | #COVID19 #coronavirus #coronaindonesia #Corona "Imported case yang dia dapat dari Jepang pada saat dia kerja sebagai awak kapal Diamond Princess,"</t>
  </si>
  <si>
    <t>@agama_nusantara Kenapa mesti khusus ? Mereka sama dgn yg lainnya, Warga Negara Indonesia, bahkan mereka sudah eksis, sebelum agama dan kepercayaan lain datang ke Indonesia</t>
  </si>
  <si>
    <t>@HusinShihab @jokowi @addiems @yunartowijaya @Iwa_Kusuma @PartaiSocmed @eko_kuntadhi @Dennysiregar7 @TeddyGusnaidi @ulinyusron @GunRomli @permadiaktivis Tolak isis..fb y pak mks</t>
  </si>
  <si>
    <t>RT @KompasTV: Pemerintah Membenarkan, 1 WNI di Singapura Positif Corona,</t>
  </si>
  <si>
    <t>@wekmuweku sampe sana ditolak sama imigrasi karena WNI. 😅😅😅</t>
  </si>
  <si>
    <t>KBRI di Singapura meminta warga negara Indonesia untuk menghindari tempat ramai menyusul adanya kasus satu WNI positif virus corona.</t>
  </si>
  <si>
    <t>Ansyaad Mbai: Lebih Bahaya Virus Radikalisme ISIS daripada Corona</t>
  </si>
  <si>
    <t>International Coalition bombards ISIS strongholds in Makhmur</t>
  </si>
  <si>
    <t>iya tuh, isis.. ini Video  RT @YohanesPatty2: @conan_idn Kasian ma lo malu ngakui tolol... Menolak fakta ISIS rasis.</t>
  </si>
  <si>
    <t>Pemerintah Membenarkan, 1 WNI di Singapura Positif Corona,</t>
  </si>
  <si>
    <t>Salam sehat #sobatkriskes yuk simak bagaimana proses evakuasi WNI ABK Dream Princess di Yokohama.</t>
  </si>
  <si>
    <t>owala aku kira masnya dicuci otak masuk isis, mas. kurang seru, tapi gobloknya udah seru banget sih karena kok mau sih anjing lo ketemuan sm orang dr dating apps di tempat privat ha?!?!?!?!?! beware guys. RT @sideofdorothy: Pengalaman Dijebak Orang di Aplikasi Grindr. Ini cerita nyata yang kalo gue inget² masih ngerasa "eh, gue goblok banget, sih!" dan sampai hari ini jadi pelajaran penting banget buat prepare sebelum ketemuan sama orang di dating apps. A thread.</t>
  </si>
  <si>
    <t>RT @okezonenews: WNI Positif Virus Korona Bertambah, Pasien 'Suspect' Jadi 21 Orang #TauCepatTanpaBatas #BeritaTerkini #Berita #News #BeritaNasional .</t>
  </si>
  <si>
    <t>Beraksi JANGAN berak-si-anak-anak bukan BERARTI YANG TIDAK JANGAN yang bukan anak-anak (@fahiraidris) berak(si)apa yang dicernanya di toilet. Yang ISIS berbendera Tauhid tidak menghormati (se)tubuh bukan betina, tidak layak dicontoh di #Indonesia.</t>
  </si>
  <si>
    <t>WNI Positif Covid-19 Bertambah 2 Orang, Total 6 Orang Jakarta, 8 Maret 2020 Warga Negara Indonesia (WNI) yang positif Corona Virus Desease 2019 atau Covid-19 bertambah 2 orang. Total WNI positif saat ini menjadi 6 orang. 2 pasien tersebut atau yang di…</t>
  </si>
  <si>
    <t>@negativisme @susipudjiastuti Iya masih banyak anak² yg butuh bantuan drpd mikirin ISIS.</t>
  </si>
  <si>
    <t>@syafrinkar Langsung aja di bikinin KTP dan KK menjadi WNI. Kan China dah kasih Hutangan byk ke kita. It's Suck !!</t>
  </si>
  <si>
    <t>Satu WNI di Singapura positif COVID-19</t>
  </si>
  <si>
    <t>RT @mbahCokro77: Camkan pesan2 dr semua mantan Teroris pak @jokowi @Kemenag_RI @mohmahfudmd Mereka yg sudah sadar n tau seluk beluknya aje pingin NKRI damai n terselamatkan,kok malah mau pulangin eks ISIS 🙈 Walaupun dibawah 10th sudah pasti didoktrin camkan itu jika tak ingin bom waktu meledak</t>
  </si>
  <si>
    <t>Mantan Kepala BNPT Setuju WNI Eks ISIS Tidak Dipulangkan  via @YouTube</t>
  </si>
  <si>
    <t>@ResimenRasiman @Ailla08057173 @aslipribumiraya @LisaAmartatara3 Rakyatnya ngapain bang, maksiatt? Usaha juga lah kaleee ngapain gk lo ajah yg jadi presiden, karena Allah tau kalo kita masih belum mampu memimpin, masalah hukum sama ajah sama² wni, mereka ngelanggar anda juga pernah ngelanggar tuhan maha mengampuni masa hambanya gak</t>
  </si>
  <si>
    <t>WNI Positif Virus Korona Bertambah, Pasien 'Suspect' Jadi 21 Orang #TauCepatTanpaBatas #BeritaTerkini #Berita #News #BeritaNasional .</t>
  </si>
  <si>
    <t>I just published 1 WNI Terkena Infeksi Virus Corona Di Singapura</t>
  </si>
  <si>
    <t>@ANI ISIS k khud ke to survival k waande hai syria mein wo idhar kya kar rahey hai</t>
  </si>
  <si>
    <t>Tidak membenarkan aksi dari Ali Imran, tapi target dia dahulu adalah apapun yg mewakili peradaban barat, seperti Amerika, Inggris dan Australia. Sedangkan ISIS dan IM itu tujuannya untuk mengganti ideologi dunia. Wajar kalau Ali Imran bisa bilang lebih brutal dari teroris RT @yusuf_dumdum: Ali Imron, eks gembong teroris Terpidana Bom Bali bicara. Cuma saran aja, kalau gak kuat jangan ditonton. "Tentang intoleransi dan anti keberagaman, saya kaget itu pasca kasus Ahok, masyarakat (yg muslim) kok lebih BRUTAL daripada TERORIS?" Kata Ali Imron Video : 1/4</t>
  </si>
  <si>
    <t>RT @lookslina: ISIS = Islamic State in Iraq and Syria. Udah jelas dari singkatannya saja menggunakan kata Islamic tros orang islam ga mau mengakui itu bagian dari islam gitu? Doooh, kalo halu jangan kelewatan lah.</t>
  </si>
  <si>
    <t>RT @afiqxsy_: bayangkan best friend kau dah taken and kau single lepastu dia banyak spend time dengan partner dia je</t>
  </si>
  <si>
    <t>@__N1l4m Bukan biashe2 an</t>
  </si>
  <si>
    <t>@WR_4AG226 klo KTP WNI (Warga Negara Indonesia) tidak boleh ada dikriminasi, karena Indonesia adalah negara Kebangsaan bukann negara agama..</t>
  </si>
  <si>
    <t>@rndvdl @syahrulchair sekalian dah jihad daftar isis</t>
  </si>
  <si>
    <t>Anurag Kashyap, Anubhav Sinha, Farhan Akhtar, Swara Bhaskar, Javed Jafri, Amanutullah, Sharjeel Imam, Zeeshan Ayyub, Ali Fazal, Rana Ayyub, Saba Naqvi etc were also inciting people for Anti-CAA violence.. Won't be surprised if they were on ISIS payroll too.. RT @ANI: Pramod Singh Kushwaha, Delhi Deputy Commissioner of Police (DCP): A couple, Jahanjeb Sami and Hina Bashir Beg linked to Khorasan Module of ISIS apprehended from Jamia Nagar, Ohkla. Couple was instigating anti-CAA protests.</t>
  </si>
  <si>
    <t>Dukung Sikap Pemerintah Tolak 600 WNI Eks ISIS Pulang</t>
  </si>
  <si>
    <t>RT @sniperalhambra1: @abiyyu991223 yg suka lagu patrotik di era ini dianggap ISIS, radikal dll yg distigma negatif. sementara lagu perusak semangat diagung agungkan.</t>
  </si>
  <si>
    <t>@abiyyu991223 yg suka lagu patrotik di era ini dianggap ISIS, radikal dll yg distigma negatif. sementara lagu perusak semangat diagung agungkan.</t>
  </si>
  <si>
    <t>@RanaAyyub @sandeep_PT @AltNews @AlJazeera Ye @dilawarshaikh_ hybrid nasal h... RSS or ISIS ki.</t>
  </si>
  <si>
    <t>WNI yang Terbang dari Jakarta Ke Perth Akhir Februari Lalu, Positif Virus Corona COVID-19 di Australia</t>
  </si>
  <si>
    <t>Suhu tubuh seluruh WNI yang menjalani karantina di Pulau Sebaru Kecil menunjukkan bahwa mereka bebas dari virus Corona. #PulauSebaru</t>
  </si>
  <si>
    <t>@RadenSetyaki2 @hkushardanto @kompascom KADRUN = Bukan arab. Merasa arab. ISIS HTI PeKaes Fepei. Yang ditiru kelakuan arab abu jahal, tapi ngakunya umat Nabi SAW.</t>
  </si>
  <si>
    <t>@Temulaw71417452 Kan sama2 wni ya? Warga negara indocina?</t>
  </si>
  <si>
    <t>RT @tvOneNews: Seorang warga negara Indonesia (WNI) di Singapura dinyatakan positif terinfeksi virus corona Covid-19. Ini merupakan kasus ke-133 di Singapura. Baca selengkapnya klik  #tvOneNews #NewsOne #vivanews #VirusCorona #VirusCoronaUpdate</t>
  </si>
  <si>
    <t>@CAP741776 Except if you are HTS, ISIS, Al Qaeda, Saudi-wahabi, Turkish, Al Nusra, Jordanian...</t>
  </si>
  <si>
    <t>RT @rullyjoo27: @GusMendem1 @onsrgst @lookslina @AremaNita__ @BdyNusantara @_nice69_ @agama_nusantara @daunsirih5 @Jelantik5 @SeruniPuspaAlam @Tikayulie @su7loo menurut kamu isis bukan islam, tapi menurut isis dn pendukung isis kamulah yg bukan islam,jd yg bener yg mana?,</t>
  </si>
  <si>
    <t>Our loved Arin Mirkan. Sehid namirin!!! #Syria #Rojava #SDF #YPJ #YPG #ISIS #Daesh #Kobane #InternationalWomensDay￼￼ #InternationalWomenDay2020 #WomensDay￼￼ #WomensDay2020 RT @Pyrmha: Arin Mirkan turned the tide of the War in Syria against Daesh - before she gave her life in the Battle of Kobane, very few people had ever heard of the YPG YPJ and very little support from the International Community was forthcoming. Arin Mirkan is a Hero of Anti-Fascism.</t>
  </si>
  <si>
    <t>@babyohannn aduhh WNI ya</t>
  </si>
  <si>
    <t>@karmila_apaya Terkait wabah virus Corona, Pemerintah Indonesia melalui KBRI di Tiongkok terus memantau keadaan WNI di Kota Wuhan. #JokowiMelawanCorona</t>
  </si>
  <si>
    <t>Halo pak presiden @jokowi @mohmahfudmd @KSPgoid @prabowo sdh kah kta belajar dr Singapura? Bgm di Indonesia dgn penyumbang2 dana utk ISIS? Ingat UU No 9 thn 2013 ttg pendanaan Terorisme.Mrk lebih berbahaya dr virus corona krn menyangkut keutuhan NKRI @Metro_TV @kompascom</t>
  </si>
  <si>
    <t>@harimauminang @detikcom Kalo sdh kena racun kebencian yg disebarkan sama isis dan simpatisannya ya beginilah jadinya</t>
  </si>
  <si>
    <t>@agama_nusantara Knp di bedakan? Jangan ada Diskriminasi di negri Bhineka. Mrk punya Hak yg sama dg WNI di Indonesia.</t>
  </si>
  <si>
    <t>@DukeCondet Ane masih punya 2 keping noh om... Wat Kenang2an n Tanda kalo Ane WNI Asli Sorry kalo Gak nyambung 🤪🤪🤪🙏</t>
  </si>
  <si>
    <t>...Barusan kemenkes resmi menyatakan bertambah 2 orang lagi menjadi 6 yang positif Corona. Tambah 1 lagi WNI yg lagi di luar negeri. Jadi total 7 WNI positif terkena Corona... (``,)</t>
  </si>
  <si>
    <t>@WagimanDeep__ Mau islam kristen hindu budha ataupun kepercayaan klo dia WNI knpa dibedakan? Bukankah punya hak dan kewajiban yg sama juga sbg warga negara? Kokean haluuuu....😤😤😤</t>
  </si>
  <si>
    <t>RT @BeritaCOVID19: Seorang WNI dinyatakan Positif di Victoria, South Australia. Perempuan, Case 12, datang dg penerbangan Virgin Airline dr Perth (2/3). Berusia 50an, dr Jakarta ke Perth (27/2) sehat. (29/2) simtom. Ke Melbourne (2/3). Diketahui dokter (6/3). Kini diminta isolasi diri di rumah.</t>
  </si>
  <si>
    <t>WNI Positif Virus Korona Bertambah Jadi 6 Orang, Salah Satunya ABK Diamond Princess</t>
  </si>
  <si>
    <t>RT @UbaidillahHfd: @adillaS3 @jokowi @Nantaariii @YRadianto Rencana sertifikasi bebas virus corona merespons dua WNI asal Depok, Jawa Barat positif virus corona diduga karena tertular dari WN Jepang asal Malaysia saat berkunjung ke Indonesia. #JokowiMelawanCorona</t>
  </si>
  <si>
    <t>Indonesia Terkini : Bertambah Dua, Kini WNI Positif Corona Sudah Enam Orang</t>
  </si>
  <si>
    <t>Ketika ada kasus di Wuhan, Wubei, Tiongkok, kita juga mempersiapkan mengevakuasi 238 WNI kita dengan prosedur protokol yang ketat ke Natuna. Setelah 14 hari kita cek hasilnya negatif dan kita kembalikan ke masyarakat. #JokowiMelawanCorona</t>
  </si>
  <si>
    <t>@fantonsena @CNNIndonesia no 6 : 1 WNI yg dr kapal pesiar dr Jepang. yg lain, dr area awal no 1 tertular</t>
  </si>
  <si>
    <t>@sapporo_jack @_aiek_esthreem_ @Anita1024002 wualah jack..jack..logika kau gak nymbung...coba kau pikiu..dia yg tidak uka ama bang jae sudah ada dan jd WNi jauh sblum jokow jd presiden ..skrng kenapa kau suruh dia minggat..emangnya indonesia ini milik bang jae..dasar cebong tolol</t>
  </si>
  <si>
    <t>Observasi Virus Korona, Ratusan WNI di Pulau Sebaru Sehat Semua</t>
  </si>
  <si>
    <t>Achmad Yurianto Ungkap 4 WNI Positif Virus Corona Membaik, 23 Pasien Suspect Masih Batuk dan Demam  via @tribunnews</t>
  </si>
  <si>
    <t>#BreakingNews Jumlah kasus Corona kembali bertambah di Indonesia. Hari ini diketahui dua orang terinfeksi virus tersebut. Hingga sudah enam orang WNI yang positif Corona.</t>
  </si>
  <si>
    <t>RT @Beritasatu: Pemerintah Percaya Singapura Akan Rawat WNI Positif Virus Corona dengan Baik</t>
  </si>
  <si>
    <t>@agama_nusantara Yg sdh diputuskan MK tdk diterima, malah usul ktp khusus, semua WNI berhak mendptkan kesejajaran hak dan kewajiban. Apakah agamanya minder kl disejajarkan dgn penghayat kepercayaan?</t>
  </si>
  <si>
    <t>@AbdurachmanAl @alfiant97 @BasirWahyu @RoadRace2020 @DukeCondet Hahaha, emang sebangsa isis mau is Sama, hidupnya g bakal lama, nanti muncul lagi ganti nama lagi, sampai yg terakhir dr mrk jadi pengikut dajjal كلما ظهر قرن قطع حتى يلحق آخرهم الدجال Ini kabar nabi kl loh g mau tobat nah itu akhir ksh kalian wahai khawarij jd pengikut dajjal</t>
  </si>
  <si>
    <t>1 WNI Terkena Infeksi Virus Corona Di Singapura info lengkap :</t>
  </si>
  <si>
    <t>@TirtoID WNI bukannya tetap boleh pulang tapi akan dikarantina? RT @TirtoID: Juru bicara pemerintah untuk penanganan Corona Achmad Yurianto mengatakan WNI yang berasal dari beberapa kota di Korea Selatan, Iran, dan Italia, untuk sementara waktu dilarang masuk ke Indonesia. Peraturan ini berlaku mulai Minggu (8/3/2020) pukul 00.00.</t>
  </si>
  <si>
    <t>@Si_Kalacakra yg kita khawatirkan adalah WNA China yg baru datang ke Indonesia. mereka sangat berpotensi menularkan virus itu di Indonesia. sedangkan WNI keturunan kan memang sudah lama menetap dan jadi Warga Negara Indonesia, yang juga harus dilindungi dari tertularnya virus ini.</t>
  </si>
  <si>
    <t>@DjanChoek @ProfMarufAmin @soloposdotcom Itu yg tidak sesuai dgn ruh Pancasila. Jika tingkat kesadarannya sbg WNI sudah mumpuni, tidak akan begitu.</t>
  </si>
  <si>
    <t>@null WNI Positif Virus Korona Bertambah Jadi 6 Orang, Salah Satunya ABK Diamond Princ</t>
  </si>
  <si>
    <t>Pemerintah Percaya Singapura Akan Rawat WNI Positif Virus Corona dengan Baik</t>
  </si>
  <si>
    <t>RT @qinshann: aku doakan semua clear skin masa raya tahun ni</t>
  </si>
  <si>
    <t>RT @okezonenews: WNI Positif Virus Korona Bertambah Jadi 6 Orang, Salah Satunya ABK Diamond Princess #TauCepatTanpaBatas #BeritaTerkini #Berita #News #BeritaNasional .</t>
  </si>
  <si>
    <t>@MuhammadiyunGN @alfiant97 @BasirWahyu @RoadRace2020 @DukeCondet ISIS sudah bubar GOBLOK !!! Sudah jelas, dari segi knowladge saja anda kudet !!! Mau nampar orang tapi ga punya data dan fakta, mandi junub dlu sana.</t>
  </si>
  <si>
    <t>@lovetowhatt @AREAJULID Bkan maen WNI neraka tauan bgt disana ad ken arok😧,,</t>
  </si>
  <si>
    <t>@AbdurachmanAl @alfiant97 @BasirWahyu @RoadRace2020 @DukeCondet Nah mbah dukun, tuh dengerin sahabat luh yg isis dah kasih tahu kalau dukun itu thougut Taubat g loh dari perdukunan versi Dzulkifli baiquni cs</t>
  </si>
  <si>
    <t>RT @michael_ondos: saat Ketika ada kasus di Wuhan, Wubei, Tiongkok, kita juga mempersiapkan mengevakuasi 238 WNI kita dengan prosedur protokol yang ketat ke Natuna. Setelah 14 hari kita cek hasilnya negatif dan kita kembalikan ke masyarakat. #JokowiMelawanCorona</t>
  </si>
  <si>
    <t>@satidatuak2 Ngga usah jauh2...di hotel dan apartemen kawasan jakarta utara banyak WNA, dan yg WNI keturunan itu full ada di Pantai Indah Kapuk (PIK)</t>
  </si>
  <si>
    <t>WNI Positif Virus Korona Bertambah Jadi 6 Orang, Salah Satunya ABK Diamond Princess #TauCepatTanpaBatas #BeritaTerkini #Berita #News #BeritaNasional .</t>
  </si>
  <si>
    <t>Menteri Kesehatan Terawan Agus Putranto mengakui WN Jepang yang diduga menjadi penular dua WNI positif virus corona itu bisa masuk-keluar Indonesia karena tidak terdeteksi pemeriksaan suhu di bandara. #JokowiMelawanCorona</t>
  </si>
  <si>
    <t>@alfiant97 @AbdurachmanAl @BasirWahyu @RoadRace2020 @DukeCondet Nah makanya sesama kalian pengikut isis juga saling mengkafirkan dan saling bunuh, kena sendiri deh</t>
  </si>
  <si>
    <t>WNI Positif Corona, Masker di Tangsel Langka -</t>
  </si>
  <si>
    <t>KBRI Riyadh Imbau WNI Sementara Tidak Ke Mekkah dan Madina</t>
  </si>
  <si>
    <t>RT @e100ss: KBRI Riyadh Imbau WNI Sementara Tidak ke Mekkah dan Madinah</t>
  </si>
  <si>
    <t>Rencana sertifikasi bebas virus corona merespons dua WNI asal Depok, Jawa Barat positif virus corona diduga karena tertular dari WN Jepang asal Malaysia saat berkunjung ke Indonesia. #JokowiMelawanCorona</t>
  </si>
  <si>
    <t>@kangdede78 @jokowi #MusuhTerbesarIntoleransi #KekecewaanTerbesarNegaraCuek Ormas intoleran gugat IMB Gereja, CUEK Ormas Intoleran bakar bendera negara lain, CUEK Ormas Intoleran ancam sweeping WNI Hindu, CUEK</t>
  </si>
  <si>
    <t>Wakil Presiden Ma'ruf Amin mengatakan pemerintah bakal memberlakukan sertifikasi bebas virus corona bagi tiap warga negara asing (WNA) maupun warga negara Indonesia (WNI) dari luar negeri yang ingin masuk ke Indonesia. #JokowiMelawanCorona</t>
  </si>
  <si>
    <t>Dua WNI Positif Corona, DPR ‘Warning’ Pemerintah Soal Potensi Anjloknya Ekonomi -</t>
  </si>
  <si>
    <t>@18autobase Aku bantu isis kuesionernya yaa nderr</t>
  </si>
  <si>
    <t>Untuk Sementara, KBRI Riyadh Imbau WNI Tak ke Makkah dan Madinah – JPNEWS</t>
  </si>
  <si>
    <t>Tertular WN Jepang, Jokowi Sebut Dua WNI Positif Terjangkit Corona -</t>
  </si>
  <si>
    <t>KBRI Riyadh Imbau WNI Tidak ke Mekkah dan Madina</t>
  </si>
  <si>
    <t>@yerimseniavrupa @wutz42513149 @HalilErtem67 Assad, Putin, ypg, isis, europa.</t>
  </si>
  <si>
    <t>kasus yang di Wuhan, Wubei, Tiongkok, kita juga mempersiapkan mengevakuasi 238 WNI kita dengan prosedur protokol yang ketat ke Natuna. Setelah 14 hari kita cek hasilnya negatif dan kita kembalikan ke masyarakat. #JokowiMelawanCorona</t>
  </si>
  <si>
    <t>Satu WNI Positif Corona di Singapura</t>
  </si>
  <si>
    <t>Marc Stone, reporter Sky News, mendatangi kamp penampungan eks ISIS di Al-Holl, Suriah. Di tempat ini berdiam sekitar 70,000 anggota ISIS dari berbagai negara. Tempat ini memang tidak memenuhi standar kelayakan, tapi itu justru makin mempertebal militansi mereka.</t>
  </si>
  <si>
    <t>@shfly3424 Bang jadi wni aja sini cocok tar aku bantuin jualan cilok</t>
  </si>
  <si>
    <t>WNI positif Corona bertambah. Total jadi 6 orang. #COVID19 #CoronaVirusUpdates</t>
  </si>
  <si>
    <t>@susi_siregar Orang kayak Pak Anies ga masuk kriteria Ngabalin, makanya Ngabalin memuji orang yg berkriteria sama isi otak Ngabalin ISIS...</t>
  </si>
  <si>
    <t>@Lady_StayClassy @ssuryoseptono @ArieKuntung tolong dong tanyain sama sang Ngustad.....jangan ngaku2 deh, terus terang pastor abal2 gituh !😂😂😂</t>
  </si>
  <si>
    <t>@GatoLoc01284640 @na_dirs @nanangwdm Tapi faktanya,BANI KADRUN yg notabene gerombolan lu jugak,rela tuh gabung ke ISIS yang lu sebut sbg bikinan bule😜</t>
  </si>
  <si>
    <t>RT @ImBodhisattva: Indian ISIS=RSS</t>
  </si>
  <si>
    <t>@GatoLoc01284640 @aciljagoan @na_dirs @nanangwdm Lah koq BEGOKNYA,sebagian umat Islam yg bisa diidentifikasi kan sbg BANI KADRUN yang notabene gerombolan lu jugak,mau2nya gabung di ISIS yang lu bilang sbg bikinan si bule,khan PEKOK🤣</t>
  </si>
  <si>
    <t>@WagimanDeep__ Lbh baik tdk usah Yai pake kode2 segala. Yg jelas mereka adalah WNI jauh sblm Indonesia merdeka.</t>
  </si>
  <si>
    <t>RT @radar_malang: 7 Orang Positif Covid-19, WNI di Arab Saudi Diminta Tetap Tenang</t>
  </si>
  <si>
    <t>RT @aerilzafrel: Nanti saya datang buat live..</t>
  </si>
  <si>
    <t>Dari 12 WNI yang Kena Corona, 7 Orang Sudah Sembuh</t>
  </si>
  <si>
    <t>RT @Katherijuliani: @TirtoID Pak Yuri, maupun Ibu Menlu nggak pernah sekalipun bilang WNI dilarang balik. Lagian kalau dilarang mau ke mana? Saya selalu nganggep Anda salah satu media yg bisa dipegang. Get your title correct @TirtoID !</t>
  </si>
  <si>
    <t>#TOPNEWS PUKUL 16.00 WIB Diaz Hendropriyono Nilai Perlu Diferensiasi Program Rehabilitasi Anak Eks ISIS. ReadMore :</t>
  </si>
  <si>
    <t>RT @DeepFikry: Mak: makanan jgn membazir, tau tak kat afrika tu org tak cukup makan Also from afrika:</t>
  </si>
  <si>
    <t>@manuel_agil @KemenBUMN @erickthohir Ketika ada kasus di Wuhan, Wubei, Tiongkok, kita juga mempersiapkan mengevakuasi 238 WNI kita dengan prosedur protokol yang ketat ke Natuna. Setelah 14 hari kita cek hasilnya negatif dan kita kembalikan ke masyarakat. #JokowiMelawanCorona</t>
  </si>
  <si>
    <t>RT @cnbcindonesia: 1 Lagi WNI Positif Corona di Singapura, Bagaimana Ceritanya?</t>
  </si>
  <si>
    <t>@RyoFahri @GlHindu emang km sendiri di India jadi yakin kebenaran kekerasan itu? Konteks nya sama...sama2 info dr media, km percaya hanya pada info yg ingin kamu percaya, entah km naif atau hipokrit hahaha.... tp susah sama fanboy isis, hti...untung udah jd ormas terlarang</t>
  </si>
  <si>
    <t>7 Orang Positif Covid-19, WNI di Arab Saudi Diminta Tetap Tenang</t>
  </si>
  <si>
    <t>@CNNIndonesia Kirim banyak-banyak WNI nya keluar negeri Bu Mentri, biar cepet selesai</t>
  </si>
  <si>
    <t>@TirtoID Pak Yuri, maupun Ibu Menlu nggak pernah sekalipun bilang WNI dilarang balik. Lagian kalau dilarang mau ke mana? Saya selalu nganggep Anda salah satu media yg bisa dipegang. Get your title correct @TirtoID !</t>
  </si>
  <si>
    <t>Seorang WNI di Singapura dinyatakan terinfeksi virus Corona. Ini merupakan kasus virus Corona ke-133 di Singapura. #SorotanMedia #WaktunyaLokadata</t>
  </si>
  <si>
    <t>2013 Toyota ISIS For Sale in #Jamaica #usedcar #carforsale</t>
  </si>
  <si>
    <t>RT @korantempo: Febri Ramdani: Banyak Simpatisan ISIS Menyesal ke Suriah</t>
  </si>
  <si>
    <t>@republikaonline Sudah tidak aman karena celana cingkrang, radikal radikul, garis keras, khilafah, ISIS, teroris ?. Paham kan disebut KKB bukan OPM apalagi teroris ?</t>
  </si>
  <si>
    <t>Hingga saat ini masih berlaku larangan sementara untuk tidak melakukan ibadah umrah bagi jemaah umrah dari seluruh negara, termasuk warga negara Arab Saudi dan ekspatriat yang tinggal di luar dan di dalam kota Mekkah dan Madinah.#Umrah #coronavirus</t>
  </si>
  <si>
    <t>Update Covid-19 di Thailand, per-8 Maret 2020 tidak terdapat kasus baru. Total kasus masih 50 dengan 33 orang telah sembuh,16 dirawat, dan 1 orang meninggal dunia. WNI di Thailand untuk mengikuti rekomendasi Kemenkes RI, Kemenkes Thailand dan WHO #inidiplomasi #negaramelindungi RT @pr_moph: Thailand situation update on COVID-19, 8 March, 2020. #Covid_19 #โควิด19</t>
  </si>
  <si>
    <t>@supermaniac111 @zoo_bear Toh ndtv Kya Jai Shri ram gunde ka appeasement Kare? And what bullshit about isis al-qaeda ...tum logon ka Dimag it cell ne kharap Kar dia hai...kuch nhi ho sakta.</t>
  </si>
  <si>
    <t>@IIp_tgr @yusuf_dumdum Sodara loe aja kali.... Lagian bukan WNI terpapar ISIS, sodara lo itu ISIS ex WNI...</t>
  </si>
  <si>
    <t>@TirtoID Halo, tirto. Sepertinya judul berita Anda misleading yah. Setahu saya, bisa juga di cek di pernyataan pers Ibu Menlu, bahwa untuk WNI, sekiranya berasal dari kota2 dimaksud, akan dilakukan pemeriksaan tambahan.</t>
  </si>
  <si>
    <t>@BeingAksh12 Ek virat cha fan aplyach fanbase mdla ahe mla boltoy Virat la kai bolu nko 😭😭😭😭 tyani wni anu. Kai kela nhi 😭😭😭😭😂😂😂</t>
  </si>
  <si>
    <t>Rezim RRC &amp; rakyat China harus banyak belajar hidup sehat dari warga Tionghoa di Indonesia. Banyak yg ke China saat imlek &amp;amp; balik, tdk kena Corona. Hanya beberapa WNA China, kini dikarantina 14 hari ke dpn, bukan warga WNI keturunan Tionghoa. Itulah beda China &amp;amp; Tionghoa. *FA*</t>
  </si>
  <si>
    <t>Indonesia Yakin Singapura Tangani dengan Baik WNI yang Terkena Virus Corona</t>
  </si>
  <si>
    <t>@maulanahrmwn @w4y4m3 @TeddyGusnaidi @aniesbaswedan Oon km..pusat itu letaknya di mana..? Di DKI jakarta kan..?knapa loe bhas bnjir doang..? Apa bnjir pengaruh buat hdup loe tong..? Korupsi jiwasrsya..BPJS naik..dll yg berkaitan dgn ekonomi bngsa..loe adem2 aja tong..loe WNI apa wrga jakarta tong?😁😁😁😁</t>
  </si>
  <si>
    <t>RT @Predator_Matrix: Tiada Hari Tanpa Kematian, Mungkin Inilah Motto Dari ISIS. Rencana Pemerintah Memulangkan Anak2 Eks WNI ISIS,Merupakan Teror Dimasa Depan. @mohmahfudmd ISIS Klaim Serangan di Kabul, 32 Orang Tewas #StayCoolCegahCorona</t>
  </si>
  <si>
    <t>Satu WNI di Singapura Positif Covid-19</t>
  </si>
  <si>
    <t>RT @kompascom: Indonesia yakin Singapura dapat mengatasi virus corona dan penyakit Covid-19 yang diidap WNI itu secara saksama.</t>
  </si>
  <si>
    <t>RT @jawapos: 7 Orang Positif Covid-19, WNI di Arab Saudi Diminta Tetap Tenang</t>
  </si>
  <si>
    <t>Update WNI Terinfeksi Virus Corona: 7 dari 12 WNI Terkena Covid-19 Berhasil Sembuh  #LawanCorona</t>
  </si>
  <si>
    <t>#RT @TirtoID: Juru bicara pemerintah untuk penanganan Corona Achmad Yurianto mengatakan WNI yang berasal dari beberapa kota di Korea Selatan, Iran, dan Italia, untuk sementara waktu dilarang masuk ke Indonesia. Peraturan ini berlaku mulai Minggu (8/3/20…</t>
  </si>
  <si>
    <t>@felliceWOW @historia_id Kenapa maksa saya menjawab ini?, anda bertanya fakta sejarah, sudah dijelaskan fakta manusia bukan robot, anda maksa harus sesuai buku, anda saya lihat lebih mirip ISIS ya, sorry to say nih</t>
  </si>
  <si>
    <t>@ngentiw lo tau gak kalau bercandaan temen lo udah berlebihan? bercandaan LO dan TEMEN-TEMEN LO udah berlebihan? lo tau isis itu apa kan? lo dengan gampangnya nanya "fatal banget kayaknya" HAHAHA. her account, her tweets = my account, my tweets. i can do what i want here. and i can</t>
  </si>
  <si>
    <t>RT @RadioElshinta: KBRI Riyadh imbau WNI sementara tidak ke Mekkah, Madinah</t>
  </si>
  <si>
    <t>1 Lagi WNI Positif Corona di Singapura, Bagaimana Ceritanya?</t>
  </si>
  <si>
    <t>Lagi WNI Positif Corona di Singapura, Bagaimana Ceritanya?</t>
  </si>
  <si>
    <t>Seorang WNI dinyatakan Positif di Victoria, South Australia. Perempuan, Case 12, datang dg penerbangan Virgin Airline dr Perth (2/3). Berusia 50an, dr Jakarta ke Perth (27/2) sehat. (29/2) simtom. Ke Melbourne (2/3). Diketahui dokter (6/3). Kini diminta isolasi diri di rumah.</t>
  </si>
  <si>
    <t>Masa Karantina Berakhir, 15 WNI Kembali ke Rumah</t>
  </si>
  <si>
    <t>Yurianto Benarkan WNI di Singapura Positif Covid-19</t>
  </si>
  <si>
    <t>@demokrasicoid @demokrasi Jadi WNI mau suruh ngapalin Pancasila ogah... koplak.</t>
  </si>
  <si>
    <t>Hari ini 2 orang WNI positif coronavirus, pertama di Singapura satu lagi di Australia... *pemerintah sudah menutup sementara kepulangan WNI #covid19 #CoronaVirusIndonesia RT @JennyMikakos: A 12th case of #COVID-19 has been diagnosed in Victoria. A woman in her 50s, visiting from Indonesia. Passengers on Virgin VA682 from Perth to Melbourne on 2 March will be contacted and are encouraged to contact the #COVID-19 hotline on 1800 675 398 #springst (1/2)</t>
  </si>
  <si>
    <t>@brndtnatasha @jejuuorange kan aku bukan wni</t>
  </si>
  <si>
    <t>Mantan Napi Teroris Dukung Pemerintah Tolak Eks-WNI ISIS. Mantan narapidana Terorisme, Haris Amir Falah, Mendukung Keputusan Pemerintah Menolak Kepulangan Eks-WNI ISIS. Sebab, Pemulangan mereka Berdampak pada Keamanan dan Keselamatan Bangsa</t>
  </si>
  <si>
    <t>@Zulfitrayadi2 @LusiHQ Gue rasa admin si islamopophobic @LusiHQ itu bukan WNI. @DivHumas_Polri harus periksa akun provokator itu. Secara dia udah terangan2an melakukan penghinaan thd ajaran islam. Dan jelas2 mendukung penjajah Zionist Israel. Yg bertentangan dg pembukaan UUD 45 .</t>
  </si>
  <si>
    <t>RT @Beritasatu: Singapura Konfirmasi 1 WNI Lagi Terinfeksi Virus Corona</t>
  </si>
  <si>
    <t>RT @bung_dolly: @P3nj3l4j4h_id Orang2 pe'a mn punya rasa malu berkebangsaan.. Mereka hanya benalu NKRI Yg bisanya merusak dah mirip ISIS Dah saatnya pemerintah ambil tindakan keras dng gerombolan ini.</t>
  </si>
  <si>
    <t>RT @kompascom: WNI di Singapura dinyatakan positif Covid-19 pada Sabtu (7/3/2020). Ini merupakan kasus ke-133 atau kedua bagi WNI.</t>
  </si>
  <si>
    <t>Singapura Konfirmasi 1 WNI Lagi Terinfeksi Virus Corona</t>
  </si>
  <si>
    <t>RT @fiq_adisya: “Jangan pernah jatuh cinta saat hujan. Karena ketika besok lusa kamu patah hati, setiap kali hujan turun, kamu akan terkenang dengan kejadian menyakitkan itu.”</t>
  </si>
  <si>
    <t>RT @niiiiaaaazhs: Aku fakir pada kesunyian, Mimpi hadir dalam kenangan, Kemelut embun kian menghilang, Dalam doa yang penuh pengharapan!</t>
  </si>
  <si>
    <t>RT @HusinShihab: Rupaya satu komando. Kedubes India jg di demo hari ini. Semakin hari mrk trs dibiarkan akan semakin besar &amp; kuat. Tinggal tunggu wkt negeri ini dihancurkan. Bendera ISIS berkibar di Poso. Mana Polisinya, knp kok diberi ijin demo?? @DivHumas_Polri @jokowi @mohmahfudmd @prabowo</t>
  </si>
  <si>
    <t>RT @akumudahalpa: "Aku seperti hujan yang renyai, dia adalah hujan yang lebat." Adakalanya hujan yang renyai itulah yang menyuburkan tanaman. Tetapi kau masih memilihnya.</t>
  </si>
  <si>
    <t>@55Annur @musniumar @RTErdogan Ngaco otak nya, lu yang terinfeksi virus isis bego. Makanya syiah syiah kan org jadi alasan ngerebut wilayah. Tuhan kecil di mata lu ya bro? Makanya berlagak jadi Tuhan, kl Tuhan mau semua org sama maka terjadilah. Tp Tuhan mau nya seperti ini untuk saling menghargai</t>
  </si>
  <si>
    <t>@blangkonhijau @TheArieAir @Watrasri @tjhinfar21 @ForianaToto @allanespe @NgkongRoses @Victor_Tian17 @__m_k_hp__ @TR_Kabayan @roedyh72 @InMay_imf @AidaFarani @Eva_ernawatiaji @T2h_Okti @ShantiSetiawati 1-6 done ! Ditunggu folbeknya ! 🙏🙏🙏</t>
  </si>
  <si>
    <t>RT @_serbanputih: Hujan itu boleh jadi langit yang sedang menangis. Tapi pada yang sama sedang menitip rindunya buat bumi agar bunganya tetap mekar. 🌹</t>
  </si>
  <si>
    <t>@blangkonhijau @TheArieAir @tyhon9 @fuatuttaqwiyah1 @Dj_TukangSupir @RifandiGinting @novian_sp @Anugrahandi5 @toleranpoint @SugihartoWahyu1 @radaradapaham @nadiraafdal @yasokamall1 🙏 sudah di promote ! Ditunggu folbeknya semua</t>
  </si>
  <si>
    <t>KBRI Riyadh Imbau WNI Tak ke Mekkah dan Madinah untuk Sementara</t>
  </si>
  <si>
    <t>Teuku Wisnu Berubah Setelah Ikuti Kajian, Shireen Sungkar : Kamu Nggak Ikutan ISIS kan??</t>
  </si>
  <si>
    <t>Seorang WNI di Sinngapura Dinyatakan Positif COVID-19</t>
  </si>
  <si>
    <t>Menlu Sebut 7 dari 12 WNI Terinfeksi Virus Corona Sembuh</t>
  </si>
  <si>
    <t>RT @IdEmbassy_Seoul: @dyo_uchi @kakfarras Bagi WNI yang telah melakukan perjalanan di Korea Selatan, terutama dari kota Daegu dan Provinsi Gyeongsang Utara (Gyeongsangbuk-do), akan dilakukan pemeriksaan kesehatan tambahan di bandara ketibaan di Indonesia. Di pesawat pun sebelum landing akan diberikan health card alert.</t>
  </si>
  <si>
    <t>RT @IdEmbassy_Seoul: Bagi WNI yang akan ke Indonesia dari Korea Selatan, tidak diwajibkan untuk memiliki surat keterangan sehat 🙏</t>
  </si>
  <si>
    <t>RT @IdEmbassy_Seoul: Bagi WNI yang memerlukan informasi lebih lanjut, dapat menghubungi hotline KBRI Seoul di nomor: +82-10-5394-2546, Posko KBRI Seoul di nomor: +82-10-5450-2181. @Kemlu_RI @UmarHad73314840 @sofia_sudarma</t>
  </si>
  <si>
    <t>RT @IdEmbassy_Seoul: 6.Bagi WNI yang telah melakukan perjalanan di Korea Selatan, terutama dari kota Daegu dan Provinsi Gyeongsang Utara (Gyeongsangbuk-do), akan dilakukan pemeriksaan kesehatan tambahan di bandara ketibaan di Indonesia.</t>
  </si>
  <si>
    <t>@Hussaeini__ @neeratou Mata dake kashe mazajen su Duk wni rashin imani da yauda da xa ae saw an ska mace sbd makirci Erin na mata</t>
  </si>
  <si>
    <t>@AnakLolina @tagarnews Nanti dibalas di india sweeping wni baru th rasa dah</t>
  </si>
  <si>
    <t>“Untuk kasus WNI di Singapura kami sudah mendapat berita dari KBRI dan positif dan dirawat di Singapura. Kami percaya Singapura akan melakukan ini dengan baik." #COVID19 #coronavirus</t>
  </si>
  <si>
    <t>RT @kompascom: Kabar terbaru, satu WNI di Singapura dikonfirmasi positif mengidap Covid-19. Pasien perempuan itu kini dirawat di National University Hospital.</t>
  </si>
  <si>
    <t>RT @republikaonline: WNI di Arab Saudi sementara diimbau tak ke Makkah dan Madinah</t>
  </si>
  <si>
    <t>Jangan sampai ideologi ISIS tersebar dan mendarah daging di negeri kita ini. Tetap waspada demi damainya Indonesia 🇮🇩 #ISISGoToHell #TolakAnakISISKembali #Pancasila #nkrihargamati #sabtusambat</t>
  </si>
  <si>
    <t>Kenapa banyak kadrun benci sama China? Even dia china nya keturunan dan WNI dari turun temurun &gt;&lt;</t>
  </si>
  <si>
    <t>@PenjajahJ Gak perlu diundur toh pesertanya juga di mungkinkan akan membatalkan keikutsertaannya, apalagi jika sudah ada WNI yang terkena virus Corona sudah menjadi berita dunia.</t>
  </si>
  <si>
    <t>KBRI Riyadh Imbau WNI Sementara tidak ke Mekkah, Madinah</t>
  </si>
  <si>
    <t>@Awanngg Isis isis semriwing wang</t>
  </si>
  <si>
    <t>@kimcilbaba kata ibuku mirip tentara isis</t>
  </si>
  <si>
    <t>Papua Seorang WNI di Singapura Terinfeksi Virus Corona</t>
  </si>
  <si>
    <t>RT @republikaonline: WNI positif corona sudah dirawat di Singapura.</t>
  </si>
  <si>
    <t>@Rindu_MuhR015 Garda Republik dan hizbullah sangat ditakuti oleh hts, isis aja trauma sama mereka.</t>
  </si>
  <si>
    <t>Bombaa lang ng bombaa parang isis🔥</t>
  </si>
  <si>
    <t>Jumat, 6 Maret 2020 Silaturahmi dengan WNI Wilayah Penang, Kedah dan Perlis dengan perkenalan Pejabat baru KJRI Penang yaitu Konsul Jenderal, Konsul Konsuler I, Konsul Muda Pensosbud dan Petugas Komunikasi di Wisma KJRI Penang #indonesiainpenang #inidiplomasi #sahabatkemlu</t>
  </si>
  <si>
    <t>#BeritaUtama #Nasional #MenteriLuarNegeriRI Alhamdulillah, Menlu Umumkan 7 dari 12 WNI Terinfeksi Virus Corona Sudah Sembuh</t>
  </si>
  <si>
    <t>@febriantikaAS Isis a tik</t>
  </si>
  <si>
    <t>Indonesia yakin Singapura tangani WNI COVID-19 dengan baik</t>
  </si>
  <si>
    <t>RT @elHurryKoRn: #CoronaBisaTeratasi Baru 4 WNI yg positif kena #Corona Tapi yg komen macam Fahira dg hoaxnya, Politisi, bahkan Ngulamak sperti Tengu &amp; Dun Samsidun ikut Mbacot yg di Amini Netijen2 yg takut Mati kena Corona Padahal DBD di NTT udah membunuh 21 Orang gak seheboh Corona</t>
  </si>
  <si>
    <t>@permadiaktivis Berani nya ama yg WNI,coba ke negara yg di demo kedubes nya...mana berani say....</t>
  </si>
  <si>
    <t>Jangan sampai suatu hari nanti mereka menggoyahkan persatuan dan kesatuan NKRI. #ISIS #TolakAnakISISKembali #IndonesiaMaju #damaibersama</t>
  </si>
  <si>
    <t>RT @okezonenews: Begini Kondisi Terbaru 4 WNI Positif Virus Korona #TauCepatTanpaBatas #BeritaTerkini #Berita #News #BeritaNasional .</t>
  </si>
  <si>
    <t>Begini Kondisi Terbaru 4 WNI Positif Virus Korona #TauCepatTanpaBatas #BeritaTerkini #Berita #News #BeritaNasional .</t>
  </si>
  <si>
    <t>WNI di Arab Saudi Diimbau Tidak ke Makkah dan Madinah</t>
  </si>
  <si>
    <t>@dukcapilklaten1 Untuk persyaratan pindah datang penduduk WNI (poin 4) Surat keterangan pindah daerah asal ini cukup di jenjang RT apa sampai mana ya? Terima Kasih</t>
  </si>
  <si>
    <t>Ibu Duta Besar Esti Andayani &amp; staf @KBRI__Roma @charleparis #Italy Bpk Duta Besar Octavino A. &amp;amp; staf @kbri_tehran #Iran Bpk Duta Besar Umar Hadi @sofia_sudarma &amp;amp; staf @IdEmbassy_Seoul #SouthKorea #WNI dan @DiasporaRI semoga terhindar #Coronavid19 tetap sehat Aamiin @Kemlu_RI RT @KBRI__Roma: Sahabat, simak wawancara Dubes Esti Andayani dengan @KompasTV mengenai Covid-19 outbreak, upaya @KBRI__Roma di tengah penyebaran Covid-19 di Italia, dan kondisi WNI di Italia. Klik link berikut:  #NegaraMelindungi #inidiplomasi @Kemlu_RI @safetravelkemlu</t>
  </si>
  <si>
    <t>Larangan Untuk Umrah Belum Dicabut, KBRI Riyadh Imbau WNI Tak ke Kota Makkah dan Madinah</t>
  </si>
  <si>
    <t>ISIS Berbahaya. WNI yg terkontaminasi harus diobati. Virus Covid19 jg berbahaya. Demikian jg dgn Virus HIV, Liberal, Komunis, Syi'ah, LGBT, KORUPSI, Radikal, dan Virus jahat lainnya. Semua yg terinfeksi harus diobati dgn "therapy" yg tepat dan proporsional. Objektiflah, Bro! RT @Tn_J03n4_______: Semoga akhir hayatmu menderita &amp; terhina.</t>
  </si>
  <si>
    <t>Ini apalagi seeeh.. Mereka sudah bukan lagi WNI Ingat mereka sudah tidak lagi mengakui negara Indonesia. Tak perlu lagi mengurus mereka</t>
  </si>
  <si>
    <t>Setelah 2 WNI Terinfeksi, Kini Ada 67 Negara yang Kena Virus Corona</t>
  </si>
  <si>
    <t>RT @antaranews: "Hingga saat ini masih berlaku larangan sementara untuk tidak melakukan ibadah umrah bagi jemaah umrah dari seluruh negara, termasuk warga negara Arab Saudi dan ekspatriat yang tinggal di luar dan di dalam kota Mekkah dan Madinah,” #KBRIRiyadh #Makkah</t>
  </si>
  <si>
    <t>RT @andri_atnugroho: @AdityaWisnu Sebagai WNI ber-KTP semarang saya malu hal ini terjadi..nyuwun tulung Pak @hendrarprihadi &amp; Pak @ganjarpranowo agar tdk terulang bagi umat agama manapun..</t>
  </si>
  <si>
    <t>@HusinShihab @BNPTRI @jokowi @mohmahfudmd @prabowo @makLambeTurah dan munkin dia adalah slh 1 utusan dr isis yg di susupkan untuk meradikalkan pserta miss indonesia,,, sin ente bikin malu fam shihab aja,,mnding ente jualan sarung noh</t>
  </si>
  <si>
    <t>@CarikeadilanDi @husenhutagalung @didit_norton @Henz_RIS09 @ANDINI_MAHARAN1 @msaid_didu @KRMTRoySuryo2 @jokowi Hahahaha, anda ini bukan WNI ya. Yg anda mau hanya anda yg benar. Move on lah</t>
  </si>
  <si>
    <t>@Dimas71776382 @babiesani @black__valley1 Lah??? Gua cuma ngingetin kalau gak mau ngikutin UU jangan tinggal di Indo. WNI wajib mengikuti seluruh aturan negara. Urusan hobi sama UU apa hubungannya bro? LMAO</t>
  </si>
  <si>
    <t>Ini Alasan Kemenkes Rawat 4 WNI Pasien Virus Corona Tanpa Infus Dan Alat Apapun</t>
  </si>
  <si>
    <t>1 WNI Terkena Infeksi Virus Corona Di Singapura info lengkap</t>
  </si>
  <si>
    <t>@filosofiksi @detikcom Beritanya tentang pembunuhan karena film horor. kok bawa-bawa anak simpatisan ISIS ya? kan gak ada hubungannya. Otak mana otak?</t>
  </si>
  <si>
    <t>RT @AgungWidrajat: @musniumar #gejayanmemanggil Tolak ex WNI kombatan isis @Kemlu_RI @KPAI_official @lenteraanak_ @kpp_pa @Kemhan_RI @ditjen_imigrasi @CIA @BIN_Official @BNPTRI @UGMYogyakarta @CCICPolri @INTERPOL_Cyber @BSSN_RI @karniilyas @ILCtv1 @LBH_Jakarta @aniesbaswedan @prabowo</t>
  </si>
  <si>
    <t>RT @KDroneHunter: @ElTB12 @OpiniRakyat2 @musniumar Di luaran teriaknya ISIS bukan Islam, ISIS bentukan Amerika. Tp dalem hati mah mereka ikutan meneriakan takbir setiap ISIS sukses menguasai suatu daerah dan mendukung pemulangan ISIS ex WNI, semua demi tegaknya KHILAFAH.</t>
  </si>
  <si>
    <t>Indonesia Bersyukur Singapura Tangani WNI Pasien Covid-19 dengan Cepat</t>
  </si>
  <si>
    <t>RT @kompascom: Seorang warga negara Indonesia (WNI) di Singapura dinyatakan positif Covid-19 pada Sabtu (7/3/2020) ~ #Nasional</t>
  </si>
  <si>
    <t>Posisi WNI Positif di luar negeri . 1. 9 kru Diamond Princess yg menjalani isolasi di Jepang 6 sudah sembuh, 3 masih isolasi. 2. 1 di Singapura (case 21) sembuh. 3. 1 di Taiwan dlm karantina. 4. 1 terbaru di Singapura dlm isolasi. Total: 12 Sembuh: 7 Dlm isolasi: 5</t>
  </si>
  <si>
    <t>Pemerintah serahkan perawatan WNI pada Singapura</t>
  </si>
  <si>
    <t>@kawalnkri_ @BadjaNuswantara Kenapa nggak bantu yang seperti ini daripada ngembaliin anak isis?</t>
  </si>
  <si>
    <t>@RichaChadha Hindu isis</t>
  </si>
  <si>
    <t>@null Shireen Sungkar Sempat Curigai Teuku Wisnu, Takut Sang Suami Kena Tipu Daya ISIS</t>
  </si>
  <si>
    <t>@TyasZain Secara langsung memang tidak,tapi mengatakan islam tidak mengajarkan pembantaian,tapi orang islam sendiri melakukan pembantaian sambil teriak takbir bahkan yg dibantai kadang orang islam sendiri. Seperti yg dilakukan isis,pasukan yazid ke cucu nabi,apakah mereka org islam?</t>
  </si>
  <si>
    <t>RT @Bentalakelam: @AnakLolina @tagarnews Kok FPI tdk membakar bendera ISIS ya, padahal ratusan ribu orang mati dibantai, dibunuh,diperkosa, diperbudak,peradaban dihancurkan serta negara hancur serta jutaan umat muslim terusir dari negaranya mencari suaka ke negara2 barat...</t>
  </si>
  <si>
    <t>@Bentalakelam @AnakLolina @tagarnews Imam besernya mengakui ISIS sebagai saudara kok</t>
  </si>
  <si>
    <t>@ISIS_Balik_NO @DjanChoek @PakatDayak @YRadianto @gupie_09 @anto_winarno @putra_bisma12 @TheArieAir @3mtr1 @Winardhi__ @arjuno_ireng01 @ToniSugiri @himawan1978 @RiuUtomoRizki @gajahpolkadot @Theking3231Juan @wisanggeni_084 @P3nj3l4j4h_id Selamat menikmati. Para ahli hisap.</t>
  </si>
  <si>
    <t>@detikcom Nebar hoax isis ky gini kok gak pernah di tangkep🤣 Sekalinya corona di tangkep🤦</t>
  </si>
  <si>
    <t>@Dhinoe2 @ISIS_Balik_NO @fahiraidris Setuju👍</t>
  </si>
  <si>
    <t>1 WNI Positif Corona di Singapura, Ini Penjelasan KBRI soal Klaster Penularan</t>
  </si>
  <si>
    <t>Seorang warga negara Indonesia (WNI) di Singapura dinyatakan positif Covid-19 pada Sabtu (7/3/2020) ~ #Nasional</t>
  </si>
  <si>
    <t>RT @kompascom: Seorang warga negara Indonesia ( WNI) di Singapura berusia 62 tahun dinyatakan positif Covid-19. WNI tersebut baru merasakan gejala tertularnya penyakit Covid-19 setelah 14 hari melakukan kontak di lokasi tertularnya penyakit tersebut | #VirusCorona</t>
  </si>
  <si>
    <t>RT @KBRI_Athena: Berikut adalah Perkembangan COVID-19 di dunia dan persebaran WNI yang sedang menjalani perawatan karena COVID-19 di luar negeri. #IniDiplomasi #NegaraMelindungi #indonesianway</t>
  </si>
  <si>
    <t>@victoriayovita duuh jadi makin ngeri kalo anak2 eks isis jd pulang ke Indonesia</t>
  </si>
  <si>
    <t>WNI di Arab Saudi sementara diimbau tak ke Makkah dan Madinah</t>
  </si>
  <si>
    <t>KBRI Riyadh Imbau WNI Sementara Tidak ke Mekkah dan Madinah</t>
  </si>
  <si>
    <t>RT @KompasTV: WNI Terinfeksi Virus Corona di Singapura, Berikut Penjelasan KBRI</t>
  </si>
  <si>
    <t>RT @KandaliLubis: @BirgaldoS Saya heran kenapa pemerintah @jokowi ngotot banget memulangkan anak-anak ISIS sementara anak-anak pengungsi Ahmadiyah dan Syiah masih bercokol ditempat pengungsian</t>
  </si>
  <si>
    <t>KBRI Riyadh Imbau WNI Sementara Tidak Ke Mekkah, Madinah  #Internasional #imbau</t>
  </si>
  <si>
    <t>#Video #PositifCorona #Singapura VIDEO: WNI di Singapura Positif Corona</t>
  </si>
  <si>
    <t>RT @terasid: Presiden Jokowi sampaikan ke publik, 2 WNI terkena virus corona. Pemerintah mengakui sudah sejak pekan lalu menelusuri dugaan tersebut. Artikel asli dimuat di mitra Teras, Solotrust</t>
  </si>
  <si>
    <t>Rakyat yg mana yg senang?? yg jagonya kalah dr jokowi? Yg jagonya ga dapet kursi? Yg mana nih? Sya jg rakyat dan WNI ber eKTP jg soalnya 😁😁 #JKWTumbangRakyatSenang</t>
  </si>
  <si>
    <t>RT @KompasTV: WNI 62 Tahun Positif Virus Corona di Singapura, Ini Penjelasan KBRI</t>
  </si>
  <si>
    <t>RT @qennei: Ngurusin amat eyd orang. Chara lo aja bukan wni. Tolol 🤷🏻‍♀️</t>
  </si>
  <si>
    <t>@kangenband123 @BabahnoA @RizieqShihab_ Yg pasti kl WNi di sana di sweping,disini mereka jg braninya cm demo jg,krn demo disana ga dpt nasi bungkus kang..kurang greget katanya😅</t>
  </si>
  <si>
    <t>@AyahHanif2 @RomitsuT @fadlizon @mohmahfudmd @jokowi @Kemenag_RI @BPIPRI @DivHumas_Polri Dipikir sendiri..kebebasan harus bertanggung jawab..bukan liberal..apalagi klo km ikut khilafah /ISIS..pasti nga bisa nulis atau ngomong sembarangan...sy nga lapor..cuma mau kasih contoh ke bpk2 yg kuasa itu..disini saja msh byk virus kok mau ditambah lagi..yo ambyar...</t>
  </si>
  <si>
    <t>@RadenSetyaki2 @hkushardanto @kompascom kadrun HTI PKS FPI ISIS ikut2an komen</t>
  </si>
  <si>
    <t>RT @KNRNIsntHere: 6. Fav chara tidak boleh jenis kelamin yg sama denganmu 7. Fav chara selain WNI harus mengurus berkas 8. Fav chara tidak boleh sudah berpasangan di canon itu namanya jina bisa kena pasal</t>
  </si>
  <si>
    <t>@racawetan Sumuk copot klabine toh ben isis</t>
  </si>
  <si>
    <t>Ngurusin amat eyd orang. Chara lo aja bukan wni. Tolol 🤷🏻‍♀️</t>
  </si>
  <si>
    <t>@tempodotco @detikcom @kompascom @Metro_TV @TRANS7 @RadioElshinta @MataNajwa @NajwaShihab @jokowi @KemenkesRI Sebagai WNI, saya berharap pers/media dapat lebih kritis atas respond pemerintah terhadap #COVID19 . (1/X)</t>
  </si>
  <si>
    <t>Pemerintah cukup peduli korban teroris sj lah....para korban dlm masa pemulihan butuh materi yg besar. Knp msh ada wacana aneh2 nak plg kan anak isis ex wni ???? @mohmahfudmd RT @Predator_Matrix: Tiada Hari Tanpa Kematian, Mungkin Inilah Motto Dari ISIS. Rencana Pemerintah Memulangkan Anak2 Eks WNI ISIS,Merupakan Teror Dimasa Depan. @mohmahfudmd ISIS Klaim Serangan di Kabul, 32 Orang Tewas #StayCoolCegahCorona</t>
  </si>
  <si>
    <t>RT @kompascom: Menurut Jokowi, dua WNI itu tersebut sempat kontak dengan warga negara Jepang yang datang ke Indonesia.</t>
  </si>
  <si>
    <t>RT @EsTehPa04392779: @P3nj3l4j4h_id Pemerintahnya sendiri ga tegas sih...ga pernah ditangkapi perusuh2 ky gitu! Percuma juga cc ke @DivHumas_Polri @mohmahfudmd Memalukan negara aja...dikiranya seluruh WNI segoblog mereka, perusuh yg cuma brp gelintir itu😤</t>
  </si>
  <si>
    <t>Lagi, WNI Positif Covid-19 di Singapura. -</t>
  </si>
  <si>
    <t>@DapurIbu1 @ISIS_Balik_NO @fahiraidris Pasti di ma"afkan tpi proses hukum tetap berjalan, kita tunggu saja proses selanjudnya seperti masyarakat kecil yg lainya.</t>
  </si>
  <si>
    <t>RT @rullyjoo27: @GusMendem1 @onsrgst @lookslina @AremaNita__ @BdyNusantara @_nice69_ @agama_nusantara @daunsirih5 @Jelantik5 @SeruniPuspaAlam @Tikayulie @su7loo yg mmperjuangkan khilafah itu ISIS,di dukung olh HT dsb,,jadi menurutmu isis bukan khilafah?,,trus yg bener yg mana drun?</t>
  </si>
  <si>
    <t>WNI Diimbau Sementara tak ke Mekkah dan Madinah</t>
  </si>
  <si>
    <t>RT @fadjroeL: bila ada WNI di Malaysia yg menghadapi masalah #2019nCoV bisa manfaatkan fasilitas dari @JPenerangan kalau di Indonesia anda bisa manfaatkan nomor 119 extention 9 yang diasuh @KemenkesRI ~ #Jubir #BungJubir @JubirPresidenRI</t>
  </si>
  <si>
    <t>Satu Lagi, WNI di Singapura Terkonfirmasi Positif Corona #NEWS</t>
  </si>
  <si>
    <t>Kedutaan Besar Republik Indonesia di Riyadh mengeluarkan imbauan agar warga negara Indonesia (WNI) di Arab Saudi tidak melakukan perjalanan ke kota Mekkah dan Madinah untuk sementara.</t>
  </si>
  <si>
    <t>6. Fav chara tidak boleh jenis kelamin yg sama denganmu 7. Fav chara selain WNI harus mengurus berkas 8. Fav chara tidak boleh sudah berpasangan di canon itu namanya jina bisa kena pasal RT @breathleslayer: ni y klo mau nerapin rl ke perwibuan: 1. fav chara gbole agegap 2. fav chara gbole dibawah umur kalo dibwah umur brrti km pedo 3. fav chara hrs seagama 4. fav chara hrs mapan 5. fav chara min. S1</t>
  </si>
  <si>
    <t>12 WNI di Luar Negeri Positif Virus Korona, 7 di Antaranya Sudah Sembuh #TauCepatTanpaBatas #BeritaTerkini #International #BeritaInternasional .</t>
  </si>
  <si>
    <t>Indonesia yakin Singapura dapat mengatasi virus corona dan penyakit Covid-19 yang diidap WNI itu secara saksama.</t>
  </si>
  <si>
    <t>cape jd wni RT @1927Maxi: @MafiaWasit Komentator 2020 ugal"an sih @MafiaWasit</t>
  </si>
  <si>
    <t>@blangkonhijau @TheArieAir @tyhon9 @ISIS_Balik_NO @fuatuttaqwiyah1 @Dj_TukangSupir @novian_sp @Anugrahandi5 @toleranpoint @SugihartoWahyu1 @radaradapaham @nadiraafdal @yasokamall1 Makasih dah di promote 🙏🙏🙏</t>
  </si>
  <si>
    <t>KBRI Riyadh Imbau WNI Sementara Tak ke Mekkah dan Madinah</t>
  </si>
  <si>
    <t>@rman46 @jokowi @mohmahfudmd @PolhukamRI @KemensosRI Suruh daftar isis aja...yg jual krupuknya🤔...nanti pas balik dapat karpet merah...di ksh kerjaan dan fasilitas laen..apa gk penak😏</t>
  </si>
  <si>
    <t>@ElTB12 @OpiniRakyat2 @musniumar Di luaran teriaknya ISIS bukan Islam, ISIS bentukan Amerika. Tp dalem hati mah mereka ikutan meneriakan takbir setiap ISIS sukses menguasai suatu daerah dan mendukung pemulangan ISIS ex WNI, semua demi tegaknya KHILAFAH.</t>
  </si>
  <si>
    <t>@Airin_NZ @Barna_byo @DivHumas_Polri Semoga wni ...sama di mata hukum .penjarakan saja👍</t>
  </si>
  <si>
    <t>Bertambah, WNI di Singapura Positif Corona</t>
  </si>
  <si>
    <t>@lebhor @faridwinart @Winardhi__ @jokowi Wihh kita sbg wni berhak dong pak triak intoleran kalo emang kenyataanya gtu. Itu daerah yg larang pembangunan vihara dgn alasan tkut warganya jdi murtad, hak mreka dong minta keadilan dn kebebasan pd negara.</t>
  </si>
  <si>
    <t>Banyak banget pendukung senator JKT @fahiraidris. Ga usah ngamuk2 deh, Fahira sdh minta maaf. Sikap bijak Fahira utk meredam kebodohan akut loyalis Ahok yg tdk bisa bedakan hoax &amp; spekulasi. Wong Menko @mohmahfudmd sebut WNI eks ISIS 600 org, faktanya lebih. Apa Menko buat hoax?</t>
  </si>
  <si>
    <t>Baca komen2nya kok kesel ya. Yg masalah bukan WNI atau WNAnya tapi domisilinya. Di Korsel juga yg bikin outbreak kan orang Korsel yg dateng dari Tiongkok. Masa mesti nunggu outbreak dulu di Indonesia biar ngerti? 🤦‍♀️🤦‍♀️ RT @TirtoID: Juru bicara pemerintah untuk penanganan Corona Achmad Yurianto mengatakan WNI yang berasal dari beberapa kota di Korea Selatan, Iran, dan Italia, untuk sementara waktu dilarang masuk ke Indonesia. Peraturan ini berlaku mulai Minggu (8/3/2020) pukul 00.00.</t>
  </si>
  <si>
    <t>RT @UjangBustomi: Orang Indonesia Yg gabung ISIS,bagi sy adlh para penghianat Bangsa!vidio ini sy Sampaikan buat para penghianat2 Bangsa!!</t>
  </si>
  <si>
    <t>Memang sedikit aneh kalo WNI seusianya ga hafal Pancasila. Tapi ga hafal Pancasila, apalagi bukan pejabat negara, bukan kejahatan. Yg mesti dilawan itu pejabat yg digaji pake duit rakyat, hafal Pancasila, tapi bikin kebijakan yg bertentangan dgn Pancasila.</t>
  </si>
  <si>
    <t>Jade performando lady gaga no karaocom KKKKKK @insxnstive RT @VemBigBrother: 💃 Manu Lipa arrasando na coreô #FestaBBB #BBB20 #RedeBBB</t>
  </si>
  <si>
    <t>RT @Bentalakelam: @HermanChow73 @musniumar Kok FPI tdk membakar bendera ISIS ya, padahal ratusan ribu orang mati dibantai, dibunuh,diperkosa, diperbudak,peradaban dihancurkan serta negara hancur,jutaan umat muslim terusir dari negaranya mencari suaka ke negara2 barat...</t>
  </si>
  <si>
    <t>Tiga dari delapan pasien WNI ABK Diamond Princess yang sempat di rawat di RS Yokohama, Jepang, telah pulang ke Indonesia. Ketiganya dinyatakan pulih dan negatif Korona, sementara lima lainnya masih menjalani perawatan di Jepang. PAA #Korona #Corona #LintasiNewsPagi #MNCTVNews</t>
  </si>
  <si>
    <t>Arab Saudi ketat awasi virus corona, WNI diimbau tak datangi Mekkah dan Madinah</t>
  </si>
  <si>
    <t>@JerikoBaru2170 @AbdurachmanAl @jokowi @mohmahfudmd Tidak akan efektif lagi , karena pola serangan isis udah dapat dibaca ( bom Mobil sebagai efek kejut serangan pembuka )</t>
  </si>
  <si>
    <t>@blangkonhijau @TheArieAir @tyhon9 @ISIS_Balik_NO @fuatuttaqwiyah1 @Dj_TukangSupir @RifandiGinting @novian_sp @Anugrahandi5 @toleranpoint @SugihartoWahyu1 @radaradapaham @nadiraafdal Terimakasih 🙏</t>
  </si>
  <si>
    <t>@mas__piyuuu Somoga turki bersedia menampung anak anak isis,termasuk semua anggota isis ex wni.diberikan kewarganegaraan.yg terutama lagi,semoga turki menampung semua teroris,pembrontak yg diusir tentara suriah dari negaranya.</t>
  </si>
  <si>
    <t>@blangkonhijau @TheArieAir @ISIS_Balik_NO @fuatuttaqwiyah1 @Dj_TukangSupir @RifandiGinting @novian_sp @Anugrahandi5 @toleranpoint @SugihartoWahyu1 @radaradapaham @nadiraafdal @yasokamall1 aku @tyhon9 Xlalu polibek</t>
  </si>
  <si>
    <t>RT @Soetikman1: Kekecewaan terhadap sikap intoleransi dari berbagai kalangan terhadap hak sesama WNI msh menjd tontonan piluh di Negeri tercinta ini. Apapun alasannya, pendiri bangsa ini telah rumuskan toleransi sbg tatanan sosial dlm bersosial. De @RAISYAELBIX1 Toleransi</t>
  </si>
  <si>
    <t>#Dunia KBRI Riyadh Imbau WNI untuk Sementara Tak ke Mekah dan Madina</t>
  </si>
  <si>
    <t>@Centongsayur29 Duh. mudah2an WNI disana semua baik baik aja</t>
  </si>
  <si>
    <t>@AyahHanif2 @RomitsuT @fadlizon Jelas lo dan minoritas mu itu pengkhianat bangsa..negara harus cepat bertindak klo nga nlunjak..cc.@mohmahfudmd @jokowi @Kemenag_RI @BPIPRI @DivHumas_Polri nih pak monggo contohnya..kok mau jemput anak ISIS..dinegara sendiri aja repot pean ngatasi virus spt ini..</t>
  </si>
  <si>
    <t>WNI 62 Tahun Positif Virus Corona di Singapura, Ini Penjelasan KBRI</t>
  </si>
  <si>
    <t>Seorang WNI di Singapura Positif Terjangkit Virus Corona  via @MimbaRakyat</t>
  </si>
  <si>
    <t>Lagi² pamer kebegoan yg tak bertepi. Dikit² dikaitkan khilafah, isis, radikal. Ekonomi nyungsep pasti alesannya itu jg RT @HusinShihab: Saya khawatir "ukhti" ini sdh terpapar paham Khilafah. Apa yg dikampanyekan Khilafah membentuk secara tak sadar Pancasila phobia. Pelan tapi pasti dan diulang2 agar Pancasila dilupakan, itu intinya. Masih mau diam dgn mrk? @BNPTRI @jokowi @mohmahfudmd @prabowo @makLambeTurah</t>
  </si>
  <si>
    <t>@ZeeNews @MoHFW_INDIA Sala flood ya aata h corona ya sabse jada isis ya sabse jada hai kya ye state wese</t>
  </si>
  <si>
    <t>@faizalassegaf Kata teman2 WNI keturunan, bodo amat disebut “Cina” krn mereka adalah orang Indonesia (tionghua) &amp; justru kasihan dgn orang2 yg menyebut mereka “Cina” karena terbukti buta huruf &amp;amp; tdk paham sejarah. Kalo turunan Arab, apakah tersinggung dikatain “Arab”? Tentu tdk krn bkn Arab.</t>
  </si>
  <si>
    <t>"Hingga saat ini masih berlaku larangan sementara untuk tidak melakukan ibadah umrah bagi jemaah umrah dari seluruh negara, termasuk warga negara Arab Saudi dan ekspatriat yang tinggal di luar dan di dalam kota Mekkah dan Madinah,” #KBRIRiyadh #Makkah</t>
  </si>
  <si>
    <t>PA212 Wacanakan Sweeping WN India, Hikam : Membahayakan WNI</t>
  </si>
  <si>
    <t>Total 12 WNI di Luar Negeri Postif Virus Corona, Terakhir Perempuan 62 Tahun di Singapura</t>
  </si>
  <si>
    <t>Kekecewaan terhadap sikap intoleransi dari berbagai kalangan terhadap hak sesama WNI msh menjd tontonan piluh di Negeri tercinta ini. Apapun alasannya, pendiri bangsa ini telah rumuskan toleransi sbg tatanan sosial dlm bersosial. De @RAISYAELBIX1 Toleransi</t>
  </si>
  <si>
    <t>Bertambah, WNI di Singapura Positif Corona  lewat @ZonaSultra.com</t>
  </si>
  <si>
    <t>RT @alana_rafa77: EU AMO ISIS, tmnc</t>
  </si>
  <si>
    <t>@TranslatorDrift @ardan7779 @TirtoID Lah gw bingung deh setahu gw yang dilarang WNA bukan WNI 😅</t>
  </si>
  <si>
    <t>1 Lagi WNI Positif Virus Corona di Singapura</t>
  </si>
  <si>
    <t>Ini Bukti Virus ISIS Lebih Bahaya dari Corona #isis #corona #merahputih</t>
  </si>
  <si>
    <t>@TirtoID WNI juga dilarang???? Bukannya WNA ya bang?</t>
  </si>
  <si>
    <t>Emang isis itu kurang ekstrem apa? RT @musniumar: Sy kecam keras Dubes India kalau benar dia mengtkn FPI dan PA 212 klmpk Ekstremis. Justeru yg ekstremis org2 Hindu yg bnh dan bkr Masjid Muslim di India. Mrk yg demo di Kedubes tdk ekstremis-tdk pernah bnh dan bkr rumah ibadah Hindu dan agama lain.</t>
  </si>
  <si>
    <t>Seorang WNI di Singapura positif COVID-19 #ElshintaWeekend</t>
  </si>
  <si>
    <t>@HusinShihab @BNPTRI @jokowi @mohmahfudmd @prabowo @makLambeTurah bukan nyi ucin, dia agen isis yg menyamar...</t>
  </si>
  <si>
    <t>EU AMO ISIS, tmnc</t>
  </si>
  <si>
    <t>Satu Lagi WNI di Singapura Positif Virus Corona  lewat @JurnalNews_ID</t>
  </si>
  <si>
    <t>Bukannya nakutin...</t>
  </si>
  <si>
    <t>WNI Terinfeksi Virus Corona di Singapura, Berikut Penjelasan KBRI</t>
  </si>
  <si>
    <t>RT @lookslina: @Tepian_Laut @AremaNita__ @nje_dull @onsrgst @GusMendem1 @rullyjoo27 @BdyNusantara @_nice69_ @agama_nusantara @daunsirih5 @Jelantik5 @SeruniPuspaAlam @Tikayulie @su7loo Tasawuf yg lebih baik disuruh kembali ke islam lurus. Padahal tasawuf juga islam. Sementara ISIS yg membunuh banyak orang dan tak menghormati kemanusiaan dibiarkan aja. Maksudnya gimana ini?</t>
  </si>
  <si>
    <t>1 WNI Positif Terjangkit Virus Corona di Singapura</t>
  </si>
  <si>
    <t>RT @My_LoveNebe: Klarifikasi langsung dari Dubes RI untuk Saudi Arabia. Bapak Agus Maftuh tentang berita UMROH DTANGGUHKAN SELAMA THN 2020 itu 👉HOAX Dan terjadi pengusiran WNI juga 👉 HOAX #CoronaVirusSA #منظر_الحرم #مكة_المكرمة #CoronaAlert</t>
  </si>
  <si>
    <t>@BroGotchu @DrNgga osiris isis</t>
  </si>
  <si>
    <t>@yuliusivansyah @iyan_RH @Widyarenee @P3nj3l4j4h_id Tokoh2nya tetap menyebarkan faham khilafah... tetap kampanye khilafah... knp pemerintah ngak tegas....? Seperti demo kmaren di Jogja, sudah jelas kan ingin merubah Pancasila...? Kog di ijinkan...? Demo tentang India bawa bendera ISIS.. aman2 saja..</t>
  </si>
  <si>
    <t>1 WNI di Singapura Dinyatakan Positif Corona, Diduga Tertular saat Ada Kegiatan Makan Malam</t>
  </si>
  <si>
    <t>@Tepian_Laut @AremaNita__ @nje_dull @onsrgst @GusMendem1 @rullyjoo27 @BdyNusantara @_nice69_ @agama_nusantara @daunsirih5 @Jelantik5 @SeruniPuspaAlam @Tikayulie @su7loo Tasawuf yg lebih baik disuruh kembali ke islam lurus. Padahal tasawuf juga islam. Sementara ISIS yg membunuh banyak orang dan tak menghormati kemanusiaan dibiarkan aja. Maksudnya gimana ini?</t>
  </si>
  <si>
    <t>WNI 62 Tahun Positif Corona di Singapura</t>
  </si>
  <si>
    <t>RT @terasid: 2 WNI terinfeksi virus corona, beberapa public figure serukan masyarakat tidak panik dan selalu hidup sehat. Siapa sajakah selebritas itu? Artikel asli dimuat di mitra Teras, Tabloid Bintang</t>
  </si>
  <si>
    <t>@DhieanaNew @TeddyGusnaidi @aniesbaswedan Sejak kapan Bashar Assad Syiah? Literasi mu rendah. Ketahuan pemuja ISIS.</t>
  </si>
  <si>
    <t>@kawalnkri_ Kayak gini kasih kepemerintah agar melek banyak orang2 yg cinta nkri tp masih butuh bantuan pemerentah! Jgn malah ngurusin anak2 isis picek matane 😡😡😡😡😡😡</t>
  </si>
  <si>
    <t>@Indra_Bayu2020 @FelipeSwanstAU @do_ra_dong @JackVardan @zarazettirazr @d3wi_4ngel08 @EVALockheart @Kunto_Drummer @Anggraini_4yu @Stevaniehuangg @hannarayliza Cina udah diblok woyyy... Makanya baca dan utamakan literasi. Jangan benci aja lo gedein. Pemilu udah kelar masih belum move on juga lo!!! Kl gak suka sama pemerintah silahkan aja angkat kaki. Gabung ma isis sono! Gak usah pulang.</t>
  </si>
  <si>
    <t>Lagi, Seorang WNI di Singapura Dinyatakan Positif Idap Covid-19 Link⬇  #jabarnews #beritalokal #beritahiperlokal #jabarkini #harianjabar #jabartoday #beritajabar #jabarterkini #jabar #lagi #seorang #wni #singapura #dinyatakan #positif #COVID19</t>
  </si>
  <si>
    <t>RT @rmolsumsel: Update Sumsel : Satu Lagi, WNI Positif Virus Corona  #wni #viruscorona #Singapura #Covid19</t>
  </si>
  <si>
    <t>Satu Lagi WNI di Singapura Dinyatakan Positif Virus Corona, Lokasi Penyebaran Covid-19 Terdeteksi .</t>
  </si>
  <si>
    <t>@BungRetweet @berlianidris Apapun alasannya, Aksi sweeping tidak dibenarkan.. Min @detikcom berita anda dikutip @permadiaktivis dia tulis WNI keturunan India, apakah ini benar? Beda satu huruf “I” bisa fatal akibatnya.. Mohon klarifikasi 🙏</t>
  </si>
  <si>
    <t>@eko_kuntadhi Anda juga sebel sama ISIS, orang pro anis/pro prabowo yg anda kejar2 🤷🏻‍♂️🤷🏻‍♂️🤷🏻‍♂️🤷‍♂️🤷‍♂️🤷‍♂️</t>
  </si>
  <si>
    <t>Pemerintah Sebut 1 WNI Masih Bertugas di Kapal Diamond Princess</t>
  </si>
  <si>
    <t>RT @serambinews: #Corona #Covid19 Seorang warga negara Indonesia di Singapura dinyatakan positif virus corona dan mengidap Covid-19 setelah dilakukan pemeriksaan di Negeri Singa itu.</t>
  </si>
  <si>
    <t>@conan_idn Tapi kok munarman FPI dukung ISIS ya? Padahal mereka kan islam yg anti amerika..</t>
  </si>
  <si>
    <t>WNI di Singapura Dinyatakan Positif Covid-19</t>
  </si>
  <si>
    <t>@herisyusuf11 @DhieanaNew @Stevaniehuangg @LisaAmartatara3 @InfoKomando Bukan teroris...bukan radikal...juga bukan ISIS...</t>
  </si>
  <si>
    <t>@Prabin52060650 @SanjayAzadSln Isis &amp; Rss bhai bhai</t>
  </si>
  <si>
    <t>RT @vivanewscom: Satu WNI di Singapura Kembali Terinfeksi Virus Corona  #vivanews</t>
  </si>
  <si>
    <t>Udah lah lama2 mulai tahun depan gak usah pake sash provinsi lagi pake nomor aja yg penting wni 😭</t>
  </si>
  <si>
    <t>1 lg WNI kena di spore, #TolakKerasFormulaE Tinggal di obatin pst sembuh, Semua pnyakit bila penangananya tepat tak perlu trrlu di besar"kan. @KemenkesRI @singapore</t>
  </si>
  <si>
    <t>@mdwidi14 @GlHindu Kayak pernah lihat isis aja hahaha</t>
  </si>
  <si>
    <t>Seorang WNI di Singapura Terinfeksi Virus Corona</t>
  </si>
  <si>
    <t>@harumanhar Pernah liat demonya Brexit, protes umat Islam di Inggris atas ISIS, atau aksinya Greta Thunberg?</t>
  </si>
  <si>
    <t>@ToufikImtikhan1 @pak_polis @WR_4AG226 @cadarmerah Tinggal ganti baju, jadilah ISIS</t>
  </si>
  <si>
    <t>@kawalnkri_ @SKaspani_ong Yang dipikirkan combatant isis pulang.....😋</t>
  </si>
  <si>
    <t>Jika kalian memang ingin memajukan negara bukan begitu caranya, kamu hanya mengambil keuntungan untuk dirimu sendiri dan golonganmu sendiri. Shut up, jika kamu bosan jd WNI go away from Indonesia, we don't need your trash mouth dude</t>
  </si>
  <si>
    <t>@RyoFahri @GlHindu Fitnah dimana? Isis? Mereka selalu meneriakkan satu keyakinan...org indonesia yg joint juga jelas...mrk pamer2 nyembelih orang jg jelas...itu oknum nya atau ajarannya? urusan dialog? Mana ada dialog kl km sdh menjudge rekan dialog mu duluan....</t>
  </si>
  <si>
    <t>@mnur_khafid Oh kirain pemulang wni semua nya gitu mas Baik-baik mas di sana hehe</t>
  </si>
  <si>
    <t>Demi kemajuan +62 gak masalah ini bagus menurut saya namun apakah sudah dilakukan sperti apa yang negara lakukan buat wni yang datang dari wuhan waktu itu. "Ceck" 2.643 WN China Dapat izin Tinggal Terpaksa di Indonesia | Kabar24 -</t>
  </si>
  <si>
    <t>RT @CeciliaSuwanda1: @godlesssymp @JoeSuisTanjung @HusinShihab @agama_nusantara @BNPTRI @jokowi @mohmahfudmd @prabowo @makLambeTurah Maaf, maksudnya SARA (suku, agama, ras, antar gol); krn Kalista bukan asli Minang tapi dia WNI dan berhak mewakili Indonesia. Ada yg membully asal daerah, dan pemprov membantah mengirim rep. She is just a human after all, bisa groggy. Kalah menang terserah jury yg menilai.</t>
  </si>
  <si>
    <t>@godlesssymp @JoeSuisTanjung @HusinShihab @agama_nusantara @BNPTRI @jokowi @mohmahfudmd @prabowo @makLambeTurah Maaf, maksudnya SARA (suku, agama, ras, antar gol); krn Kalista bukan asli Minang tapi dia WNI dan berhak mewakili Indonesia. Ada yg membully asal daerah, dan pemprov membantah mengirim rep. She is just a human after all, bisa groggy. Kalah menang terserah jury yg menilai.</t>
  </si>
  <si>
    <t>RT @EdyGypsum: @YohanesMariono Dan keputusan untuk memulangkan para bajingan ISIS ke Indonesia Para pengasong khilafah yang di Indonesia makin pesta pora</t>
  </si>
  <si>
    <t>Lagi, Satu Orang WNI Dilaporkan Positif Terjangkit Corona di Singapura</t>
  </si>
  <si>
    <t>RT @NewsArrahmah: @Detektif_Ngibul “Woow!! Fakta mengejutkan!! Hari ini bendera ISIS berkibar lagi pada Aksi Peduli Muslim India di Poso, Sulawesi Tengah. Ternyata antek ISIS masih berkeliaran!” @wahhabicc_jabar @narkosun @BNPTRI @DivHumas_Polri @jokowi</t>
  </si>
  <si>
    <t>RT @Lady_Zeebo: HEBOH! Ada Bendera “ISIS” dalam Demo Peduli Muslim India di Poso @wahhabicc_jabar Di antaranya, @Detektif_Ngibul mengingatkan bahwa FARID AHMAD OKBAH mendukung teroris &amp; siap mengirim 1 juta muslim Indonesia ke Suriah beberapa tahun lalu. @WR_4AG226</t>
  </si>
  <si>
    <t>RT @Dubes_RI_BSB: KBRI Bandar Seri Begawan memberikan kesempatan kepada WNI di Brunei untuk meneruskan atau melanjutkan pendidikan melalui kejar Paket dan Universitas Terbuka. 🙏🇮🇩 KBRI dengan fasilitas yang ada memberikan kesempatan…</t>
  </si>
  <si>
    <t>RT @Dubes_RI_BSB: ''Saya ingin semua WNI yang bekerja di Brunei Darussalam sehat semuanya dan bisa bekerja dengan baik. Jangan ada lagi WNI yang pulang dalam keadaan sakit atau meninggal.'' pesan dan sambutan Dr. Sujatmiko .…</t>
  </si>
  <si>
    <t>bila ada WNI di Malaysia yg menghadapi masalah #2019nCoV bisa manfaatkan fasilitas dari @JPenerangan kalau di Indonesia anda bisa manfaatkan nomor 119 extention 9 yang diasuh @KemenkesRI ~ #Jubir #BungJubir @JubirPresidenRI RT @JPenerangan: Ada soalan mengenai #2019nCoV atau situasi semasa di Malaysia? Hubungi CPRC Kebangsaan kami atau emelkan soalan/pertanyaan anda. Sumber: Kementerian Kesihatan Malaysia #COVID19 #JabatanPenerangan #SayangiMalaysiaku</t>
  </si>
  <si>
    <t>RT @Katolik_GK: Pak @jokowi @Kemenag_RI @kemendagri @mohmahfudmd.... Ini ada kasus penolakan pembangunan rumah ibadah GBI Tlogosari. Anak2 ISIS kaupedulikan WNI sendiri kausengsarakan. Buka mata, buka telinga dan buka hatimu.</t>
  </si>
  <si>
    <t>@cendanao @Ilhamutom0 @ontatrooper @logic_editor @TsamaraDKI Ya udah deh,, kagak ngerti jg mau dibilang apa. Gw cm mau bilang, ada yg mengkaji hasilnya itu. Dan jadilah ISIS dsb yg ngaku islam itu. Tp di Indonesia beda, kan. Semoga semua diberkati dan tetap damai. Maaf ya kalau bikin baper,, kalau gak mau maapin jg urusan lu.</t>
  </si>
  <si>
    <t>@BiLLRaY2019 @ISIS_Balik_NO Narasi si Zon, tdk berlaku buat temenya kadrunwati Fahira😂</t>
  </si>
  <si>
    <t>Drpd mikirin anak ISIS, mending mikirin nasib yg dlm negeri aj dl tuan2 @jokowi @mohmahfudmd @PolhukamRI @KemensosRI RT @Hanifah933: Ya ampun, nangis lihatnya 😥 Lain kali nemuin orang jual kerupuk begini kita bantu aja beli minimal 1 bungkus ... jgn ditawar juga 🙏 Humanity ia the first 💕 #Alhamdulillah #Grateful</t>
  </si>
  <si>
    <t>@RyoFahri @handi11a @GlHindu Kok nyerang agama terus? Gak selesai2....ntar ada yg nanya kelakuan isis lo bisa jawab?</t>
  </si>
  <si>
    <t>Satu WNI di Singapura Kembali Terinfeksi Virus Corona  #vivanews</t>
  </si>
  <si>
    <t>RT @robert868686: @muktarlim @ISIS_Balik_NO @ganjarpranowo Selama pemerintah tdk tegas pd kaun kadrun yg intoleransi. Ini akan terus terulg</t>
  </si>
  <si>
    <t>@TofaTofa_id @IndianEmbJkt Tapi karena WNI kompak dari suku dan Agama manapun di luar negeri , sehingga Warga India yg kebanyakan sombong dan sadis pada takut ...💪</t>
  </si>
  <si>
    <t>RT @TeddyGusnaidi: Yang dapat penghargaan itu bukan Anies, tapi DKI atau Gubernur DKI. Efek dari hasil kerja Jokowi dan Ahok ketika menjadi Gubernur, kini mendapatkan penghargaan. Namun karena mereka sudah tidak menjabat, siapa yg terima? ya Gubernur DKI yang sekarang..! Jelas ya.. @aniesbaswedan</t>
  </si>
  <si>
    <t>RT @KompasTV: 1 WNI ABK Diamond Princess Jadi Suspect Corona</t>
  </si>
  <si>
    <t>RT @Putra_Sangihe: Gereja di tolak tapi bendera ISIS dibiarkan, inilah Indonesia negara paling Toleransi. Viral Bendera ISIS Berkibar Lagi pada Aksi Peduli Muslim India di Poso via @melekpolitikcom</t>
  </si>
  <si>
    <t>@shfly3424 @smstan_tuwir Sejak kapan lu jadi WNI bang?</t>
  </si>
  <si>
    <t>Lagi, 1 WNI di Singapura Positif Terjangkit Virus Corona</t>
  </si>
  <si>
    <t>Kunjungi Singapura, Satu WNI Terinfeksi Virus Corona</t>
  </si>
  <si>
    <t>3 WNI divonis bersalah di Pengadilan Singapura karena pelanggaran terorisme - ANTARA News Jawa Barat</t>
  </si>
  <si>
    <t>RT @vivanewscom: Kasus Corona di AS Meningkat, KJRI Pastikan Tak Ada WNI Terinfeksi  #vivanews</t>
  </si>
  <si>
    <t>Kementerian Kesehatan Singapura mengumumkan kasus positif COVID-19 ke-133 yang terjadi di Singapura, yaitu WNI berusia 62 tahun berjenis kelamin perempuan yang berkunjung ke Singapura. #CoronaVirusUpdates #StayFitForLife</t>
  </si>
  <si>
    <t>WNI di Singapura Positif Corona</t>
  </si>
  <si>
    <t>RT @PoluakanHelpy: 143.wni di Wuhan China bisa d pulangkan oleh pemerintah Indonesia..mengapa seBIJI manusia yang katanya di undang raja Arab kok gak bisa di pulangkan..??</t>
  </si>
  <si>
    <t>#Corona #Covid19 Seorang warga negara Indonesia di Singapura dinyatakan positif virus corona dan mengidap Covid-19 setelah dilakukan pemeriksaan di Negeri Singa itu.</t>
  </si>
  <si>
    <t>RT @army4769: @cicitmatsalleh @TSMusaHassan 🤣🤣🤣🤣🤣 ltte lepas...aishah cuma ada buku isis...dipenjara??..hahahahaha....</t>
  </si>
  <si>
    <t>@AfifFuadS Hanya sebagian WNI yg menganggap pasukan ALLAH......</t>
  </si>
  <si>
    <t>Kasus Corona di AS Meningkat, KJRI Pastikan Tak Ada WNI Terinfeksi  #vivanews</t>
  </si>
  <si>
    <t>Waduh, 1 WNI di Singapura positif terinfeksi virus corona  #VirusCorona</t>
  </si>
  <si>
    <t>RT @isnansayyidinaa: ▪ pernah bodoh demi seseorang ▪ pernah berkorban walaupun dicampakkan ▪ pernah sayang bgt walaupun akhirnya ditinggalkan ▪ pernah nyaman bgt walaupun sering dikecewakan Itu lah suka duka dalam percintaan</t>
  </si>
  <si>
    <t>RT @rullyjoo27: @GusMendem1 @onsrgst @lookslina @AremaNita__ @BdyNusantara @_nice69_ @agama_nusantara @daunsirih5 @Jelantik5 @SeruniPuspaAlam @Tikayulie @su7loo jadi kamu mau bilang, isis islam kan? dn boleh melakukan pembantaian sprti masalalu saudara kandungnya yahudi dan kristen?,,pdhl kedua saudara kandung islam ingin mngubur masa lalunya yg kelam dgn mengubah cara pandang agama,,</t>
  </si>
  <si>
    <t>@Zulhaqie1 @AbidinZnl @HenrySantika @eko63691 @TeddyGusnaidi @aniesbaswedan Cuk!!. Kadal gurun Kadrun itu benalu NKRI. Muncul sebagai mutan kampret, benderanya item, pro ISIS. Elo ngerti apa itu BENALU ??</t>
  </si>
  <si>
    <t>RT @AmeerFaris: Cantiknyaaaa</t>
  </si>
  <si>
    <t>RT @alvinlie21: Mampu sewa B777 utk pswt Kepresidenan ke AS tapi tak mampu biayai tes virus Corona bagi WNI yg dievakuasi dari Wuhan 😡🤬 Terungkap, 238 WNI dari Wuhan Tak Dites Virus Corona, Alatnya Mahal</t>
  </si>
  <si>
    <t>@YohanesMariono Dan keputusan untuk memulangkan para bajingan ISIS ke Indonesia Para pengasong khilafah yang di Indonesia makin pesta pora</t>
  </si>
  <si>
    <t>WNI di Singapura Terinfeksi Virus Corona</t>
  </si>
  <si>
    <t>@kangenband123 @RizieqShihab_ Ini sama saja mengancam WNI yg ada di india dan negara2 lain yg muslimnya minoritas</t>
  </si>
  <si>
    <t>Seorang WNI yang berada di Singapura dinyatakan positif virus corona.</t>
  </si>
  <si>
    <t>@GusMendem1 @onsrgst @lookslina @AremaNita__ @BdyNusantara @_nice69_ @agama_nusantara @daunsirih5 @Jelantik5 @SeruniPuspaAlam @Tikayulie @su7loo jadi kamu mau bilang, isis islam kan? dn boleh melakukan pembantaian sprti masalalu saudara kandungnya yahudi dan kristen?,,pdhl kedua saudara kandung islam ingin mngubur masa lalunya yg kelam dgn mengubah cara pandang agama,,</t>
  </si>
  <si>
    <t>@rlthingy Atta mah cuma ngandelin WNI aja kan. Orang luar belum tentu tau dia</t>
  </si>
  <si>
    <t>@lookslina @onsrgst @AremaNita__ @BdyNusantara @_nice69_ @agama_nusantara @daunsirih5 @Jelantik5 @rullyjoo27 @SeruniPuspaAlam @Tikayulie @su7loo Mengenai klaim pihak2 tertentu yg menggambarkan seolah2 di Indonesia ISIS eksis atau ada pendukungnya, menurut lembaga2 internasional, hal itu lebih terkait kepentingan politik domestik Indonesia Bukan realita yg sebenarnya</t>
  </si>
  <si>
    <t>@RullyOedaya @DZ0EMIENT12 Masih laku jualan isis utk menutupi corona. Moga keluarga lu dulu yg kena virus ini br lu bs nyadar ternyata isis kagak ada apa2nya dibanding corona. Sadar bro..</t>
  </si>
  <si>
    <t>emang harusnya begini "Adapun identitas WNI itu tidak dipublikasikan ke publik sesuai dengan Personal Data Protection Act." .</t>
  </si>
  <si>
    <t>@GusMendem1 @onsrgst @lookslina @AremaNita__ @BdyNusantara @_nice69_ @agama_nusantara @daunsirih5 @Jelantik5 @SeruniPuspaAlam @Tikayulie @su7loo yg mmperjuangkan khilafah itu ISIS,di dukung olh HT dsb,,jadi menurutmu isis bukan khilafah?,,trus yg bener yg mana drun?</t>
  </si>
  <si>
    <t>@Dark___Web saya kira asli indonesia 🤣 syarat wni itu harus tau pancasila lah 🤣🤣🤣</t>
  </si>
  <si>
    <t>@GusMendem1 @onsrgst @lookslina @AremaNita__ @BdyNusantara @_nice69_ @agama_nusantara @daunsirih5 @Jelantik5 @SeruniPuspaAlam @Tikayulie @su7loo menurut kamu isis bukan islam, tapi menurut isis dn pendukung isis kamulah yg bukan islam,jd yg bener yg mana?,</t>
  </si>
  <si>
    <t>RT @Wawanda: @teukujourd @atjehsultanate Itu akun al.anazi merasa paling paham prilaku MBS, 2018 akhir berkunjung ke KSA dan jelas kebijakan2 MBS ke arah yg lebih liberal, sempat juga berdiskusi dengan WNI di sana....banyak juga ulama yg dìtangkap hanya karena tdk sepakat dgn kebijakan pemerintah (bukan bughot).</t>
  </si>
  <si>
    <t>Tergagap juga utk kasus intoleransi, diskriminasi, &amp; ormas radikalisme utk WNI minoritas&amp;amp;/non muslim. RT @tempodotco: PENANGGULANGAN penyebaran virus corona centang-perenang di Indonesia. Koordinasi pemerintah pusat dan daerah tidak berjalan lancar. Pemerintah juga tidak memiliki protokol yang rapi untuk menangkal virus ini. Majalah Tempo edisi terkini.</t>
  </si>
  <si>
    <t>RT @Yeyen41020695: @silentreadeer @AgungSeetiawann @TheArieAir @Chaterinee_08 @tjhinfar21 @Nouna_jessica94 @hemaviton99 @andika1367 @MomoiroTalks @Nantaariii @MiraAnjelita @DafinaEmalia @imamhidayatt2 @ArahDamai @prabawananda @haganesta @AnggelinaAnle @Adindasinta5 @AkuSihYes13 Membaca Pancasila dan menghayatinya serta menjalankannya. WNI hrs mempertahankannya.</t>
  </si>
  <si>
    <t>WNI tersebut baru merasakan gejala tertularnya penyakit Covid-19 setelah 14 hari melakukan kontak di lokasi tertularnya penyakit tersebut.</t>
  </si>
  <si>
    <t>Pemerintah Sebut Ratusan Eks WNI Masih Berkeliaran di Suriah #suriah #wni #isis #merahputih</t>
  </si>
  <si>
    <t>RT @Yeyen41020695: @Joker__Punk @Jokerneverjokes @TheArieAir @Joker_SmurfBiru @Jokeralay01 @ajiesara2 @jokersantai @Jd___Joker @joker_manjah @JokerHansip @joker_madame @Joker_SantuyLho @Joker_Sm0ker @JKemayu @JokerChibichan @joker_songong__ Mari kita Kibarkan Bendera Kebanggaan WNI yg mencintai Indonesia dng IKLAS.</t>
  </si>
  <si>
    <t>RT @gadisbiasaaaa: Hujan itu rahmat. Melankolis bagi mereka yang berdukacita. Tapi romantis buat mereka yang dilamun cinta.</t>
  </si>
  <si>
    <t>RT @Aanuaar: Pakai earphone, duduk dalam bilik, dengar ini. Sumpah tenang. Nak nangis lagi ada</t>
  </si>
  <si>
    <t>@GusMendem1 @onsrgst @AremaNita__ @BdyNusantara @_nice69_ @agama_nusantara @daunsirih5 @Jelantik5 @rullyjoo27 @SeruniPuspaAlam @Tikayulie @su7loo Ga usah dibolak-balik apalagi diutak-utik begitu. Sudah jelas ISIS itu islam. Belum pernah ada yg menyebutkan isis itu berasal dari golongan lain selain islam to?</t>
  </si>
  <si>
    <t>Dilbar Negi to was butchered in ISIS/Talibani style.</t>
  </si>
  <si>
    <t>@Joker__Punk @Jokerneverjokes @TheArieAir @Joker_SmurfBiru @Jokeralay01 @ajiesara2 @jokersantai @Jd___Joker @joker_manjah @JokerHansip @joker_madame @Joker_SantuyLho @Joker_Sm0ker @JKemayu @JokerChibichan @joker_songong__ Mari kita Kibarkan Bendera Kebanggaan WNI yg mencintai Indonesia dng IKLAS.</t>
  </si>
  <si>
    <t>Warga negara Indonesia (WNI) di Singapura dinyatakan positif terinfeksi virus korona (Covid-19). Kepastian itu didapat usai WNI yang berjenis kelamin perempuan itu menjalani serangkaian pemeriksaan di Singapura.</t>
  </si>
  <si>
    <t>@lookslina @onsrgst @AremaNita__ @BdyNusantara @_nice69_ @agama_nusantara @daunsirih5 @Jelantik5 @rullyjoo27 @SeruniPuspaAlam @Tikayulie @su7loo apakah isis islam apakah arab pasti islam🤣🤣🤣</t>
  </si>
  <si>
    <t>Seorang WNI di Singapura dinyatakan positif virus corona dan menjadi kasus ke-133.</t>
  </si>
  <si>
    <t>Ada WNI yg tinggal Singapore misuh-misuh di sosmed karena dilarang ikut lomba marathin 10K di Jakarta. Gw cuma bisa komen. Sadar diri dong, semua contigency plan menghadapi corona harus dilakukan, jangan egois.</t>
  </si>
  <si>
    <t>RT @lookslina: @GusMendem1 @onsrgst @AremaNita__ @BdyNusantara @_nice69_ @agama_nusantara @daunsirih5 @Jelantik5 @rullyjoo27 @SeruniPuspaAlam @Tikayulie @su7loo Yg pasti ISIS itu Islam. Ga ada yg bisa membantah soal itu.</t>
  </si>
  <si>
    <t>WNI yang sempat diisolasi di rumah sakit di Jepang karena tertular virus corona dan kini telah dinyatakan sembuh akan tetap diobservasi. #ValidNih</t>
  </si>
  <si>
    <t>@GusMendem1 @onsrgst @AremaNita__ @BdyNusantara @_nice69_ @agama_nusantara @daunsirih5 @Jelantik5 @rullyjoo27 @SeruniPuspaAlam @Tikayulie @su7loo Yg pasti ISIS itu Islam. Ga ada yg bisa membantah soal itu.</t>
  </si>
  <si>
    <t>Yang dilarang masuk itu WN (Warga Negara) Iran, Korsel dan Italia bukan WNI (Warga Negara Indonesia).</t>
  </si>
  <si>
    <t>1 WNI ABK Diamond Princess Jadi Suspect Corona</t>
  </si>
  <si>
    <t>@onsrgst @lookslina @AremaNita__ @BdyNusantara @_nice69_ @agama_nusantara @daunsirih5 @Jelantik5 @rullyjoo27 @SeruniPuspaAlam @Tikayulie @su7loo isis apakah mewakili suara islam😂</t>
  </si>
  <si>
    <t>@BobbyIrfs @jokowi Dan negara yg mengekspornya adalah negara yg pemerintahnya membunuhi warga²nya yg beragama Islam. Keterlaluan, sama sekali tidak ada empatinya kpd WNI sesama muslim. Negara pelanggar HAM Berat malah dibantu</t>
  </si>
  <si>
    <t>Seorang WNI di Singapura Dinyatakan Positif COVID-19</t>
  </si>
  <si>
    <t>Tirto gak bisa bedain WNI adan WN ya? Aku kira typo tapi salah sampai dalam-dalamnya. RT @TirtoID: Juru bicara pemerintah untuk penanganan Corona Achmad Yurianto mengatakan WNI yang berasal dari beberapa kota di Korea Selatan, Iran, dan Italia, untuk sementara waktu dilarang masuk ke Indonesia. Peraturan ini berlaku mulai Minggu (8/3/2020) pukul 00.00.</t>
  </si>
  <si>
    <t>Quote : Warga Negara Indonesia berusia 62 tahun yang mengunjungi Singapura dengan menggunakan Social Visit Pass tercatat sebagai kasus positif COVID-19 ke-133 di Singapura. Hal ini disampaikan oleh Kementerian Kesehatan Singapura.</t>
  </si>
  <si>
    <t>RT @onsrgst: @GusMendem1 @lookslina @AremaNita__ @BdyNusantara @_nice69_ @agama_nusantara @daunsirih5 @Jelantik5 @rullyjoo27 @SeruniPuspaAlam @Tikayulie @su7loo Sy lebih baik memandang ini ketimbang melihat keganasan ISIS yg ideologi sama yg anda anut. Amit2 isis😆</t>
  </si>
  <si>
    <t>@TirtoID Jika WNI saja dilarang, harusnya Turis Asing justru lebih dilarang dong.</t>
  </si>
  <si>
    <t>@HusinShihab @BNPTRI @jokowi @mohmahfudmd @prabowo @makLambeTurah Segera tangkap dan diperiksa secara mendalam... apakah termasuk anggota isis.... bahkan jangan2 waktu lomba kmrn apakah sudah bawa bom juga...</t>
  </si>
  <si>
    <t>@GusMendem1 @lookslina @AremaNita__ @BdyNusantara @_nice69_ @agama_nusantara @daunsirih5 @Jelantik5 @rullyjoo27 @SeruniPuspaAlam @Tikayulie @su7loo Sy lebih baik memandang ini ketimbang melihat keganasan ISIS yg ideologi sama yg anda anut. Amit2 isis😆</t>
  </si>
  <si>
    <t>MBS ini figur yang berbahaya. Demi kekuasaan, saudara sendiri bisa "disingkirkan". Dunia Islam bakal makin amburadul. ISIS mungkin berjaya lagi. RT @cnbcindonesia: Game of Thrones Arab Saudi, Kudeta &amp; Tahta di Kala Corona</t>
  </si>
  <si>
    <t>RT @Anang_331: Pak @jokowi apakah masih akan terus dilanjutkan, Bapak sudah kerja keras bangun infrastruktur di Negeri ini apakah relah kalau mereka hancurkan? @mohmahfudmd @Chilli_Pari</t>
  </si>
  <si>
    <t>Ngomongin #HTS atau #AlQaeda kok pakai hestek #ISIS? Situ goblok apa tolol sih?</t>
  </si>
  <si>
    <t>@conan_idn Seandainya ISIS menang, wilayah yg dikuasai mkn besar, Suriah Irak di tangan ISIS, ladang minyak dikuasai, mk berbondong2 dr indonesia berangkat ke sana, tp jgn yg laki aja ya, bagusnya wanita yg bening2 jg😁😁. Saat itu siapa yg ngaku ISIS bikinan USA, 🤣</t>
  </si>
  <si>
    <t>RT @SutrisnoYohanes: Mohon segera di validasi kebenaran berita ini. Jika benar, semoga segera ada tindakan tegas dari aparat penegakan hukum seblm berkembang besar. Viral Bendera ISIS Berkibar Lagi pada Aksi Peduli Muslim India di Poso via @melekpolitikcom</t>
  </si>
  <si>
    <t>Juru bicara pemerintah untuk penanganan Corona Achmad Yurianto mengatakan WNI yang berasal dari beberapa kota di Korea Selatan, Iran, dan Italia, untuk sementara waktu dilarang masuk ke Indonesia. Peraturan ini berlaku mulai Minggu (8/3/2020) pukul 00.00.</t>
  </si>
  <si>
    <t>RT @triwul82: Viral Bendera ISIS Berkibar Lagi pada Aksi Peduli Muslim India di Poso via @melekpolitikcom</t>
  </si>
  <si>
    <t>Kadrun indonesia..lebih ganas dari isis RT @Parapat_Nixon: Dituduh IMB Kadaluarsa &amp;pemalsuan td-tangan PENGGALANGAN DUKUNGAN /TDK KEBERATAN WARGA - KETDK SIAPAN MENTAL +62 NERIMA KEBERAGAMAN, DIHARAPKAN PERSETUJUAN TD-TANGAN ? MIMPI !! #CabutSKB2Menteri UTK KESEKIAN X YG SDH TERLALU BYK @jokowi @JubirPresidenRI</t>
  </si>
  <si>
    <t>RT @_nice69_: @onsrgst @GusMendem1 @AremaNita__ @BdyNusantara @agama_nusantara @daunsirih5 @Jelantik5 @rullyjoo27 @SeruniPuspaAlam @Tikayulie @su7loo ISIS yang kek mana itu bang? yang ini bukan?</t>
  </si>
  <si>
    <t>@Ndrews1162011 @enaque_ @MahoBodat @kafiradikal @aipsun @KatolikG Iya lucu kalo soal seorang ahoak yg belum lama mendaftar jadi wni, bapaknya kerja di perusahaan milik penjajah belanda, cari makan dan hidup di indonesia tapi berani menista agama islam dimana pemeluknya adalah mayoritas yg mengusir penjajah yg tak lain adalah seiman dgn dia😂</t>
  </si>
  <si>
    <t>@okkymadasari @ernestprakasa Jadi pancasila ga penting neeh?? Coba kalo orang yg berjilbab syar'i yg maju kedepan dan salah2 baca pancasila. Huiii.. langsung semua sumpah serapah teroris, ISIS, khilafah, intoleran, dll berhamburan. Bukan sekedar bilang : Dia tuh cuma grogi aja.</t>
  </si>
  <si>
    <t>Ini bloom terkontaminasi faham ISIS lo sdh savage...bijimane dng anak2 yg mau dipulangkan dr Suriah itu🤭 RT @NgkongRoses: Naudzubilahiminzdalik. Anak adalah tanggung jawab orang tua. Jangan lengah membimbing &amp; mengawasi anak2 kita.  Pembunuhan bocah A (5) oleh ABG N (15) di Sawah Besar, Jakarta Pusat bikin geger. Pelaku mengaku membunuh korban karena terinspirasi film horor.</t>
  </si>
  <si>
    <t>@amyvoncroatia @GlHindu Yakin yg divideo2 itu pelakunya ISIS? Dari mana kmu menilai itu ISIS? Dari benderanya? Begitu byk video video propaganda yg beredar dimedsos, utk menyudutkan ISIS.</t>
  </si>
  <si>
    <t>Baru stu anak psikopat aja udh geger, aplgi nnti yg ktanya mau memulangkn anak eks isis</t>
  </si>
  <si>
    <t>Kok FPI tdk membakar bendera ISIS ya, padahal ratusan ribu orang mati dibantai, dibunuh,diperkosa, diperbudak,peradaban dihancurkan serta negara hancur jutaan umat muslim terusir dari negaranya mencari suaka ke negara2 barat... RT @GHiugo: Lihat lah Bpk @mohmahfudmd yg Terhormat dan Saya Hormati,Tingkah dan perilaku kelompok ini yg bikin malu Negara. Mengapa Pihak Pemerintah khususnya Penegak Hukum seperti Kerupuk tergenang Banjir melihat aksi memalukan ini. Dimana Alamat Hukum di Negri Ini?</t>
  </si>
  <si>
    <t>RT @onsrgst: @GusMendem1 @AremaNita__ @BdyNusantara @_nice69_ @agama_nusantara @daunsirih5 @Jelantik5 @rullyjoo27 @SeruniPuspaAlam @Tikayulie @su7loo Khilafah itu sama dengan ISIS, ya kan?</t>
  </si>
  <si>
    <t>RT @Tea_TJEL0EP: Dear @DKIJakarta , dan pak @aniesbaswedan mohon di arahkan ke dinas terkait menyoal kabel² listrik yang berantakan tepatnya di prapatan veldrome ,rawa mangun,jaktim. Sebagai WNI yg stay disitu sangat² menghawatirkan🙏 Mohon dirapikan agar tidak merusak keindahan kota Jakarta.</t>
  </si>
  <si>
    <t>RUU Omnibus Law untuk membuka lapangan kerja bagi WNI bukan WNA #OmnibusLaw</t>
  </si>
  <si>
    <t>RT @cnbcindonesia: Sambangi Singapura, 1 WNI Lagi Positif Terjangkit Corona</t>
  </si>
  <si>
    <t>@RyoFahri @GlHindu lah anda aja bilang mengatasnamakan hindu, jd bukan berarti ada dlm ajaran agamanya tho? mns membawa nama agama/Tuhan mgkn utk membenarkan tindakannya, sama seperti isis yg memenggal kepala mns lain sambil meneriakkan nama Tuhan, Tuhan yg menciptakan, apalah hak mns memusnahkan</t>
  </si>
  <si>
    <t>@shfly3424 Dah bang ganti kewarganegaraan jadi WNI aja sini lah</t>
  </si>
  <si>
    <t>@onsrgst @GusMendem1 @AremaNita__ @BdyNusantara @agama_nusantara @daunsirih5 @Jelantik5 @rullyjoo27 @SeruniPuspaAlam @Tikayulie @su7loo ISIS yang kek mana itu bang? yang ini bukan?</t>
  </si>
  <si>
    <t>Seorang WNI di Singapura positif coronavirus</t>
  </si>
  <si>
    <t>@GusMendem1 @AremaNita__ @BdyNusantara @_nice69_ @agama_nusantara @daunsirih5 @Jelantik5 @rullyjoo27 @SeruniPuspaAlam @Tikayulie @su7loo Khilafah itu sama dengan ISIS, ya kan?</t>
  </si>
  <si>
    <t>@jokowi Virus ISIS, radikalisme &amp; intoleransi itu yg harusO dikuatirkan Pak. Tapi tak ada tanda2 pemerintah bergerak menuntaskan. Yg terlihat justru PEMBIARAN !!!</t>
  </si>
  <si>
    <t>RT @MrsRachelIn: Mantan Kepala BNPT: Virus Radikal ISIS Lebih Mengerikan Dibanding Corona</t>
  </si>
  <si>
    <t>Contoh WNI yg baik, walaupun minoritas tapi kelakuannya patut dicontoh bagi semua, termasuk para kadrun. RT @Lucky_HS: Kapolres Jakarta Utara mengapresiasi ibu Susanna yg tidak menaikkan harga pada saat isu Virus Corona sekaligus akan memberikan penghargaan.</t>
  </si>
  <si>
    <t>RT @okezonenews: Satu Lagi WNI di Singapura Positif Virus Korona #TauCepatTanpaBatas #BeritaTerkini #International #BeritaInternasional .</t>
  </si>
  <si>
    <t>RT @republikaonline: 7 Maret, Kementerian Kesehatan Singapura mengumumkan kasus positif corona ke-133</t>
  </si>
  <si>
    <t>RT @theo_zhang25: @BirgaldoS @jokowi @mohmahfudmd Yth Pak Presiden, Pak Mahfud, tolong perhatikan yang membutuhkan, ini korban bom lho, gara2 para teroris, jangan malah anak2 Isis yg dijemput pulang.</t>
  </si>
  <si>
    <t>@silentreadeer @AgungSeetiawann @TheArieAir @Chaterinee_08 @tjhinfar21 @Nouna_jessica94 @hemaviton99 @andika1367 @MomoiroTalks @Nantaariii @MiraAnjelita @DafinaEmalia @imamhidayatt2 @ArahDamai @prabawananda @haganesta @AnggelinaAnle @Adindasinta5 @AkuSihYes13 Membaca Pancasila dan menghayatinya serta menjalankannya. WNI hrs mempertahankannya.</t>
  </si>
  <si>
    <t>RT @pakBuena: Beberapa waktu lalu, pemerintah mewacanakan memulangkan anggota ISIS eks WNI, setelah Netizen bersuara, pemerintah mengatakan demi kemanusian, akan memulangkan anak2 sepuluh tahun kebawah. Sekarang BENDERA ISIS BERKIBAR....@jokowi TANPA BEBAN............!!!!!</t>
  </si>
  <si>
    <t>@ISIS_Balik_NO @musniumar yg penting maling jiwasraya aman</t>
  </si>
  <si>
    <t>@chxqchqX3hzQ4Gd @beingarun28 @KhanAmanatullah @ArvindKejriwal Batla house encounter time pe bhi tum jihadiyon ka yahi randi rona tha, bt finally sach samney aya aur prove ho gaya ki batla house me jo marey they wo terrorist hi they. Us time pe bhi same drama ,ki musalman hai isliye mara, but ISIS ke terrorist ne puri pol khol di</t>
  </si>
  <si>
    <t>RT @afiqakop: Sebenarnya pelajar kurang cerdik jealous dengan layanan yang diberikan kepada pelajar2 yang cemerlang, semua orang nak berjaya, mana ada orang yang sengaja nak gagal</t>
  </si>
  <si>
    <t>Seorang WNI di Singapura positif COVID-19</t>
  </si>
  <si>
    <t>RT @VitoriaDiniz212: @Isis_cardoso16 Mt gataaaaaaaaa</t>
  </si>
  <si>
    <t>Menurut saya, Bambang Soesatyo-lah yg tidak elok. Mosok WNI disuruh ngafalin Pancasila. Karena bagi WNI, Pancasila itu rata2 sudah di luar kepala.</t>
  </si>
  <si>
    <t>RT @NNugie: Kedutaan/Pusat Aplikasi Visa negara-negara asing yg paling ramah WNI, menurut pengalaman pribadi: (Ramah = dokumen simple, proses pengurusan cepet, kasih durasi panjang, ga neko2) [a thread]</t>
  </si>
  <si>
    <t>Semenjak ada wni positif kena corona di depok, gw yang kuliah deket deket situ tiap menit cuci tangan sampe tangan gw keriput :(</t>
  </si>
  <si>
    <t>@KhanAmanatullah Batla house encounter time pe bhi tum jihadiyon ka yahi randi rona tha, bt finally sach samney aya aur prove ho gaya ki batla house me jo marey they wo terrorist hi they. Us time pe bhi same drama ,ki musalman hai isliye mara, but ISIS ke terrorist ne puri pol khol di</t>
  </si>
  <si>
    <t>@liem_id @WingitI Jangan kan Corona, WNI yg korban 1 atau 2. Lah petugas kpp wafat yg katanya karena lelah, dia santay aja. . Bukan karena g bisa di turunin Tapi TNI, POLRI, &amp; BIN Sudah jadi Jiwasraya hasil pemilu . Coba itu. Tinggal ulama yg bisa menjaga Plus pejuang oposisi utk counter buzzer rp</t>
  </si>
  <si>
    <t>RT @AnakSingkong999: Menkes umumkan 2 WNI positif Virus Corona #CoronaVirusUpdate #COVID19indonesia</t>
  </si>
  <si>
    <t>@OpiniRakyat2 @musniumar Gimana dengan isis?</t>
  </si>
  <si>
    <t>@juliana_TPSS @arianabeing AMIR OKGA ISIS JWGSOSV</t>
  </si>
  <si>
    <t>RT @MisbakhuddinSi6: @mbahCokro77 @pw_eliza Mantan Kepala BNPT: Virus Radikal ISIS Lebih Mengerikan Dibanding Corona</t>
  </si>
  <si>
    <t>@wahyusaputraa__ @Abeng_Pasya @meow_leader @permadiaktivis Dia memang bukan ustad kok. Itu nama yg di pakai dia memparodikan ISIS asal indonesia yaitu Abu Jandal Al Indonisiy. Dr sanalah nama @permadiaktivis Identik sama Abu Janda.</t>
  </si>
  <si>
    <t>Hasil lab dua pasien suspect WNA Rusia dan WNI di BRSU Tabanan, dinyatakan NEGATIF Corona dan sdh boleh menginggalkan RS. #CoronaBisaTeratasi #coronavirus #Corona</t>
  </si>
  <si>
    <t>@banjarbase Oh ini kah yg pcg jd relawan isis jar</t>
  </si>
  <si>
    <t>Dear @DKIJakarta , dan pak @aniesbaswedan mohon di arahkan ke dinas terkait menyoal kabel² listrik yang berantakan tepatnya di prapatan veldrome ,rawa mangun,jaktim. Sebagai WNI yg stay disitu sangat² menghawatirkan🙏 Mohon dirapikan agar tidak merusak keindahan kota Jakarta.</t>
  </si>
  <si>
    <t>@RubyAhmad18 @M70W71 @ISIS_Balik_NO Bisa mjd penyakit menular</t>
  </si>
  <si>
    <t>RT @rinichan02: Sebetulnya berita receh sih, tp cukup menggelitik hati sy. Sang isteri mengaku tdk bs mengaji, dan khawatir suami terpengaruh ajaran ISIS. Pertanyaan saya, apakah sang isteri tau ajaran ISIS itu spt apa ?? 😏😏😏</t>
  </si>
  <si>
    <t>RT @kitaorangbaik: @detikcom @detikfinance Kebanyakan mikirin HTI Isis Radikal Radikul, sampe gak tau apa-apa👇🏼</t>
  </si>
  <si>
    <t>RT @setkabgoid: KJRI Jeddah Tegaskan Tidak Ada Laporan Jemaah Umroh WNI Terinfeksi Covid-19 di Arab Saudi</t>
  </si>
  <si>
    <t>@tempemendoanGL @M70W71 @ISIS_Balik_NO Pass.... Kota dan daerah epidemi kadrun</t>
  </si>
  <si>
    <t>@Isis_cardoso16 Mt gataaaaaaaaa</t>
  </si>
  <si>
    <t>@M70W71 @ISIS_Balik_NO Memalukkan</t>
  </si>
  <si>
    <t>Sebetulnya berita receh sih, tp cukup menggelitik hati sy. Sang isteri mengaku tdk bs mengaji, dan khawatir suami terpengaruh ajaran ISIS. Pertanyaan saya, apakah sang isteri tau ajaran ISIS itu spt apa ?? 😏😏😏</t>
  </si>
  <si>
    <t>#SahabatKemlu, berikut update Perkembangan COVID-19 di Dunia dan Perlindungan WNI per 08/03 pukul 08.00 WIB. #NegaraMelindungi</t>
  </si>
  <si>
    <t>RT @Puspen_TNI: Tim Yonkes 1 Marinir Menerima WNI Kru Diamond Princess untuk di Observasi di Pulau Sebaru, Kepulauan Seribu. . Yonkes 1 Marinir mengirimkan 21 prajurit terbaik nya yang bersinergis dengan Kementerian Kesehatan dan satuan samping TNI😎💂#TNIPeduli #Marinir #VirusCorona</t>
  </si>
  <si>
    <t>@ISIS_Balik_NO @tempemendoanGL Lahir jakarta.... Wakilin Sumbar.... Nga apal pancasila 😁😁😁</t>
  </si>
  <si>
    <t>Siapa yang bokap nya isis ngaku</t>
  </si>
  <si>
    <t>@Predator_Matrix @IshakSP2 Indonesia sudah tegas terhadap teroris. Indonesia dengan tegas memutuskan untuk memulangkan anak2 teroris ISIS dan akan membiayai mereka sampai dewasa. Istana juga sudah meminta masyarakat menerima mereka. Tegas.</t>
  </si>
  <si>
    <t>@HendarwatiH @yulfentri_munaf @TsamaraDKI Sama halnya dg ISIS</t>
  </si>
  <si>
    <t>BNN Ajak WNI di Wina Cegah Penyalahgunaan Narkoba</t>
  </si>
  <si>
    <t>@mbahCokro77 @pw_eliza Mantan Kepala BNPT: Virus Radikal ISIS Lebih Mengerikan Dibanding Corona</t>
  </si>
  <si>
    <t>@dodisolehsuaedi @ISIS_Balik_NO @satria_wibawa @NotesofMila @maman1965 ISIS menyembunyikan ketidak tahuan dengan dalih kepercayaan. #AgamaDibuatMainan</t>
  </si>
  <si>
    <t>RT @imawaticeria: @do_ra_dong Lah kenapa WNI datang dari Wuhan malah di bawa ke Natuna dulu ini yg orang cinanya malah dibebaskan masuk</t>
  </si>
  <si>
    <t>RT @SiJombloKreatif: Observasi WNI di Pulau Sebaru Menunjukkan Hasil yang Baik. Alhamdulillah🤲 #pulausebaru #corona #viruscorona #covid19</t>
  </si>
  <si>
    <t>Bersyukur bgt, observasi WNI yang dilakukan di Pulau Sebaru Menunjukkan Hasil yang baik. #pulausebaru #corona #viruscorona #covid19</t>
  </si>
  <si>
    <t>RT @Si_Kalacakra: @do_ra_dong @dayada5t3vh3nda Rezim +62 kan sudah jelas jongos china, banyak WNI keturunan cina yg juga jengkel dg kebijakan rezim jokowi ini.</t>
  </si>
  <si>
    <t>@RustamIbrahim @jokowi @mohmahfudmd @fadjroeL Ngimpi... Presiden @jokowi sedang sibuk mau mendatangkan anak anak ex ISIS yg dulu pernah tinggal di Indonesia, biar nanti dikemudian hari, waktu anak anak ex ISIS itu dewasa, makin ramai waktu natal dan tahun baru</t>
  </si>
  <si>
    <t>Tapi sebagai WNI kita harus paham tentang ideologi negara kita. Kalo pun gak paham atau gak hapal butir2 pengamalan pancasila, paling tidak hapal sila-silanya. Dulu waktu sekolah pun dari SD-SMA tiap Senin upacara masa gak hapal jg sih.</t>
  </si>
  <si>
    <t>Ini konteksnya tdk tepat. Perang salib terjadi sampai abad 13 kalau tdk salah, dan sdh berlalu 8 abad. Umat Katolik sudah belajar dan terakhir konflik Kristen-Katolik jg sdh selesai. Kalau ISIS baru saja terjadi, dan belum tuntas. Bahkan junjungan FPI saja mendukung ISIS. RT @faizalassegaf: Sdh saya tegaskan, ISIS &amp; kebiadaban Perang Salib sama2 kejahatan luar biasa. Penanganannya beda dgn masalah wabah. Hrs proporsional Kebiadaban Perang Salib tdk boleh disimpulkan lebih bahaya dari Corona, hal itu dpt membuat citra Kristen tercoreng krn serupa dgn kejahatan ISIS.</t>
  </si>
  <si>
    <t>@Isis_Yom Jalo</t>
  </si>
  <si>
    <t>@ISIS_Balik_NO @msaid_didu sakitcjiwa AKUT. lama gak dapat order</t>
  </si>
  <si>
    <t>@arifz_tempo Terawan tidak menjalankan Inpres no 4 2019, dalam penyiapan pandemik global yang di depan mata. Bahkan terkesan membohongi publik bahwa Indonesia akan bebas corona outbreak, serta politik pencitraan yg palsu dengan melakukan evakuasi wni yg diisolasi ke natuna dan siberu.</t>
  </si>
  <si>
    <t>Masih pengin mulangin ex Isis? @mohmahfudmd @jokowi RT @yusuf_dumdum: Ali Imron menyayangkan, masih adanya beberapa tokoh yang beranggapan, bahwa terorisme di Indonesia ini adalah rekayasa atau konspirasi sehingga semakin menyulitkan untuk deradikalisasi. Video : 2/4</t>
  </si>
  <si>
    <t>RT @chicohakim: Empat dari sembilan warga Negara Indonesia, ABK Diamond Princess, yang terinfeksi virus corona dinyatakan sembuh. Alhamdulillah. #SemangatIndonesia</t>
  </si>
  <si>
    <t>@ThaGodSOD - isis member</t>
  </si>
  <si>
    <t>@musniumar Eh lele dumbo, itu dubes WNI sebut FPI kelompok ekstremis karena ketua FPI mengancam akan mensweeping warna negara India di Indonesia, PEKOK!!!</t>
  </si>
  <si>
    <t>WNI ISIS :Apakah perlu membedakan kasus perempuan dan anak yang tidak menjadi kombatan ? Wawasan reflektif #dampakradikalisme #tolakeksISIS @BahasaHati6 @nadreaselta @diannovie @and_reavie @AdindaWiranata</t>
  </si>
  <si>
    <t>@AnakLolina @tagarnews Yang dikatakan dubes India mungkin ada betulnya. Tapi tindakan intoleran dalam UU di India harus dikritisi, karena ini masalah kemanusiaan. Bayang jika di Indonesia, orang boleh jadi WNI kecuali beragama Kristen. Ternyata India lebih ektrem dibanding FPI.</t>
  </si>
  <si>
    <t>@AdiMawa22441862 @Dagdigduq @ElfahmiL @FerdinandHaean2 @permadiaktivis @Dennysiregar7 @TsamaraDKI @adearmando1 Emang kapan Snouck mau bikin negara bersyariah? Ga pernah tuh. Yg pengen bikin gituan kan ISIS, al Qaeda, DI/TII, HTI, PKS, FPI dll.</t>
  </si>
  <si>
    <t>RT @fashionistabish: @_serbanputih “Dan Dialah Yang menurunkan hujan sesudah mereka berputus asa dan menyebarkan rahmat-Nya. Dan Dialah Yang Maha Pelindung lagi Maha Terpuji.” (QS. Asy-Syuura : 28)✨ Dari maksud ayat dalam surah ni. It can be both kan? :')</t>
  </si>
  <si>
    <t>@Anang_331 @jokowi @mohmahfudmd @Chilli_Pari Tolak ex. WNI ISIS</t>
  </si>
  <si>
    <t>@billy_sipriano @permadiaktivis Kalau punya otak... Bagai mna mungkin seirang muslim yg waras dukung ISIS... ???! Gk pernah lihat vidio kekejamn IsiS... Ibu kandung sendiri d bunuh..???! Ank2.wanita d perkosa...??! Ada yg sampai hamil dan melahirkn ..bayinya suruh di santap.??!</t>
  </si>
  <si>
    <t>Menurut w sih, seharusnya emang wajib hapal Pancasila. Itukan ideologi negara. Kalo perlu sampe hapal dan menerapkan butir2 Pancasila. Jadi asn aja ada tes TWKnya kan @BKNgoid apalagi ini ajang PPI yang go internasional. Kita kan WNI..</t>
  </si>
  <si>
    <t>Betul sgt logika bang @permadiaktivis ....katanya faham agama, padahal agama printah " jgn berlaku tdk adil &amp; zolim ".....jadi bingung jg seh mereka ini sebenernya rujukannya apa y ????....jgn2 ISIS... RT @permadiaktivis: Logika Teroris tu gini Muslim Rohingya dizalimi Mau sweeping WNI umat Buddha Muslim Uyghur dizalimi Mau sweeping WNI Tionghoa Muslim di India dizalimi Mau sweeping WNI turunan India Yang salah siapa yang mau diperangi siapa? Nanti disebut Teroris marah</t>
  </si>
  <si>
    <t>@AdiMawa22441862 @Dagdigduq @ElfahmiL @FerdinandHaean2 @permadiaktivis @Dennysiregar7 @TsamaraDKI @adearmando1 Ow, ISIS yg kmu bilang buatan Yahudi itu nyuruh semua anggotanya selalu ibadah wajib &amp; sunnah ya. Anggota2nya dah hafidz tapi tetep disuruh baca kitab tiap hari. Mau bikin negara yg terapkan syariah scr kaffah sesuai manhaj nubuwwah. Hmm.. 🤔</t>
  </si>
  <si>
    <t>sudah 6 tahun 😭😭😭😭😭😭 ada 7 WNI 😭😭😭😭😭😭😭 RT @kompascom: Hari ini 6 tahun lalu, tepatnya 8 Maret 2014, pesawat Boeing 777-200 Malaysia Airlines MH370 jatuh di Samudra Hindia, 239 orang tewas.</t>
  </si>
  <si>
    <t>@permadiaktivis ISIS yg rela bunuh orang tua sendiri d puja2..jangan2.lo Teroris...??!</t>
  </si>
  <si>
    <t>@RebekaMartins10 Ihh se manca Rebeka</t>
  </si>
  <si>
    <t>Tanah suci tu cm ada di Arab, tp napa org yg radikal kiblatnya suriah? Mmgnya ada ya ibadah di suriah kcuali ikut isis</t>
  </si>
  <si>
    <t>@Bianchi_isis Ta bebada ja ?</t>
  </si>
  <si>
    <t>@GHiugo @mohmahfudmd Sorry, Pak @mohmahfudmd lagi sibuk ngurusin persiapan pemulangan anak2 kombatan isis. Bisa ngadu ke yg lain kah 🤔</t>
  </si>
  <si>
    <t>@radixwp @Dagdigduq @ElfahmiL @FerdinandHaean2 @permadiaktivis @Dennysiregar7 @TsamaraDKI @adearmando1 Ga heran. Wong gw jg sdh kepikir mau berangkat. Untung guru gw Alm. Debby Nasution kasih ciri² khalifah/Satrio Piningit yang sebenarnya. Banyak orang baik terjebak. Dikira ISIS adalah khilafah yg dikabarkan semua Nabi. Ternyata ISIS buatan Yahudi.</t>
  </si>
  <si>
    <t>@permadiaktivis Umat yg mana....??! Jngan bilng2.Umat ya...itu kelompok elo yg pro isis,</t>
  </si>
  <si>
    <t>@KPAI_official nih kerjaan loh!!! ga usah sok urusin anak isis RT @black__valley1: Prilaku anak Jaman sekarang Mau exsis dengan cara begini bikin malu orang tuamu. Korban tik tok</t>
  </si>
  <si>
    <t>@AdiMawa22441862 @Dagdigduq @ElfahmiL @FerdinandHaean2 @permadiaktivis @Dennysiregar7 @TsamaraDKI @adearmando1 Tuh, org Indonesia yg jadi ISIS hafal Quran &amp; rajin ibadah. Di sana pun diharuskan terus ibadah &amp;amp; baca Quran oleh ISIS.  Klo kmu nanya org2 yg gabung ISIS itu, pasti bilang alasannya lillahi ta'ala, bukan utk jadi antek Yahudi atau semacamnya.</t>
  </si>
  <si>
    <t>@ajaysaurus @zoelfick Msh WNI kan??</t>
  </si>
  <si>
    <t>RT @filosofiksi: @detikcom Film horor saja bisa bikin bocah jadi pembunuh, gimana dengan anak simpatisan ISIS yang bisa jadi malah lihat langsung secara nyata?</t>
  </si>
  <si>
    <t>RT @PJustitia7: 1 #CegahOperasiSenyapOrba3 Umumkan 2 WNI Terduga Terpapar Virus Corona, Presiden Dijebak Lakukan Kesalahan SIAPA YANG ANJURKAN @jokowi UMUMKAN INI DAN SIAPA YANG DESAK PENYAMPAIAN IDE INILAH YANG LAYAKNYA DITANYA Bukankah ini layaknya koridor @KemenkesRI atau @JubirPresidenRI?</t>
  </si>
  <si>
    <t>@VazTeuli Tii amuuu</t>
  </si>
  <si>
    <t>RT @Agilsamal1: Kerja cerdas tim news @TVRINasional untuk memenuhi kebutuhan informasi publik terkait pemindahan WNI dari dua kapal pesiar hingga memasuki masa observasi di P.Sebaru. terima kasih kawan kawan. Kira kira DEWAS ngerti gak ya? Haqul yakin,.. nope!! Pak @jokowi kami resah sekali</t>
  </si>
  <si>
    <t>RT @Puspen_TNI: TNI Evakuasi WNI (ABK) Diamond Princess ke Pulau Sebaru😎💂 #TNIPeduli #VirusCorona #DiamondPrincess</t>
  </si>
  <si>
    <t>Propolis moment ikutan laris manis... Sejak diumumin ada 2 WNI yang kena virus corona.. Semua panik, masker habis dipasaran. Orang2 borong kebutuhan pangan di supermarket2. Semua takut dan antisipasi dengan wabah…</t>
  </si>
  <si>
    <t>@radixwp @Dagdigduq @ElfahmiL @FerdinandHaean2 @permadiaktivis @Dennysiregar7 @TsamaraDKI @adearmando1 1. Klu lu saintis, berpikir sains lah secara holistik. 2. ISIS jgn lu kaitkan lagi dg islam. Karena Abu Bakar al Baghdadi itu Yahudi. Sama halnya snouck hurgronje 3. Belajar ilmu politiklah dikit² biar pemahaman mu ttg dunia mumtaz.</t>
  </si>
  <si>
    <t>mereka tidak beragama,mereka menjauhkan agama dari kehidupan bermasyarakat. Mereka bukan memerangi isis ataupun teroris,mereka memerangi Islam karena agama terbanyak disini adalah Islam. Seharusnya masyarakat menyadari. RT @kafiradikal: ...WOW lagi nongkrong pinggir jalan...Eh ada berita pendeta cabul. Alhamdulillah dah masuk berita pun masih ga viral. Para ahlul Pancasila sungkan ma orang2 kresten. Tapi kalo yg cabulnya pemuka agama Islam, nih ahlul2 toleran berisik bukan main 40hari40malam... (``,)</t>
  </si>
  <si>
    <t>RT @OfficialiNewsTV: WNI Kru Diamond Princess yang Sembuh dari Korona Tetap Diobservasi</t>
  </si>
  <si>
    <t>Stafsus Presiden Berencana Rehabilitasi Anak-anak WNI Eks ISIS</t>
  </si>
  <si>
    <t>@AdiMawa22441862 @Dagdigduq @ElfahmiL @FerdinandHaean2 @permadiaktivis @Dennysiregar7 @TsamaraDKI @adearmando1 Aku pake contoh Indonesia, krn kasus yg pertama kmu angkat itu di Indonesia juga. Ternyata kasus santri dicabuli jauuuh lbh banyak. Contoh di luar sih liat aja pasar budak seks nya ISIS. Yg jual &amp; yg beli di sana rata2 hafidz (hafal al Qur'an), rutin sholat wajib &amp;amp; sunnah.</t>
  </si>
  <si>
    <t>@muktarlim @ISIS_Balik_NO @ganjarpranowo Selama pemerintah tdk tegas pd kaun kadrun yg intoleransi. Ini akan terus terulg</t>
  </si>
  <si>
    <t>Viral Bendera ISIS Berkibar Lagi pada Aksi Peduli Muslim India di Poso via @melekpolitikcom</t>
  </si>
  <si>
    <t>Sementara itu, ISIS Klaim Serangan di Kabul, 32 Orang Tewas  via @kompascom</t>
  </si>
  <si>
    <t>RT @kbrisingapura: Pada (07/03), Kementerian Kesehatan Singapura mengumumkan kasus positif COVID-19 ke-133 di Singapura yaitu seorang WNI berusia 62 tahun berjenis kelamin perempuan yang mengunjungi Singapura dengan Social Visit Pass #IniDiplomasi #NegaraMelindungi</t>
  </si>
  <si>
    <t>RT @Alphaville69: Apakah Anda PRO ISIS dan PRO KHILAFAH ?</t>
  </si>
  <si>
    <t>@mediaindonesia yang pergi ikut isis aja bahagia, gagah dan percaya diri dgn tujuannya meraih surga, sekarang kenapa pemerintah dan rakyat indonesia di salahkan dan si desak memulangkan dgn argumen yg sepihak, padahal mereka sudah menghina bangsa, negara, agama islam yang rahmat serta rakya Ind</t>
  </si>
  <si>
    <t>@ISIS_Balik_NO @Sidik_Best @MurtadhaOne1 @tiviOneNews ((Yang bengek)) gue tau siapa 😂</t>
  </si>
  <si>
    <t>@ISIS_Balik_NO @aqua220426 @faizalassegaf @GunRomli @muannas_alaidid @fahiraidris Atau masuk anggota Bang Lapar..</t>
  </si>
  <si>
    <t>@detikcom Inilah ciri-ciri manusia Indonesia yg sudah terpapar ISIS, TDK mengakui dan anggap enteng dgn Pancasila.</t>
  </si>
  <si>
    <t>@pakaipeci protes dong namanya, yg punya aja g pake syarat2 sgala elo kadrun gaptek malah buat aturan.. lo pikir ne daerah kekuasaan ISIS? seenaknya ae.. orang banci mah ngapain dikejar malah bgus jauh2 dari NKRI, sayangnya pnakut dia soalnya g sekalian ke suriah bela temen2nya😁😁</t>
  </si>
  <si>
    <t>Pancasila sebagai ideeoogi bangsa Indoneesia. Falsafah hidup bangsa. Pedoman hidup bangsa. Sumber dari segala sumber hukum. Menurutku semua WNI harus tau dan hafal pancasila yg memang mempunyai kedudukan penting ini.</t>
  </si>
  <si>
    <t>Ingatkan Pemerintah Hati-hati Pulangkan Eks ISIS, Eks JAT: Anak-anak Juga Ada yang Terpapar  via @kompascom</t>
  </si>
  <si>
    <t>Shireen Sungkar Pernah Curiga Teuku Wisnu Terperdaya ISIS  #DariSuara</t>
  </si>
  <si>
    <t>RT @elkrova: Ketahuan Sumbang Dana ke ISIS, Singapura Penjarakan WNI ✌️✌️✌️</t>
  </si>
  <si>
    <t>RT @Agilsamal1: Terima kasih @IdEmbassy_Seoul yang sudah melayani publik dengan informasi yg gamblang dan terbuka di TVRI ,hal ini cukup berikan rasa aman bagi WNI... semoga bisa jadi pelajaran bagi yg lain khususnya perwakilan Indonesia di negara lain👍 @Kemlu_RI @Menlu_RI</t>
  </si>
  <si>
    <t>RT @dharma_ang: @Agilsamal1 @TVRINasional @KBRITokyo @Kemlu_RI Salut untuk reporter dan kameraman TVRI yang rela berlari cukup jauh pindah dari pintu yang satu ke yang lainnya. Benar benar terharu lihat langsung proses kepulangan WNI kita dari Jepang. Titip salam untuk kru TVRI di Jepang</t>
  </si>
  <si>
    <t>@Lindagsdnt @bangZhack68 @Qiran14yar4 Sekolahnya bukan di Indonesia kali ya..jadi gak akrab dgn isi PANCASILA. 🤣🤣 kalo emang WNI ya sangat tdk mungkin nggak hafal..</t>
  </si>
  <si>
    <t>RT @__Ahmad_A1: @malan_kola Alaji jiyannan mukaje wni friend na yasaya kala kala ne</t>
  </si>
  <si>
    <t>Pak @jokowi apakah masih akan terus dilanjutkan, Bapak sudah kerja keras bangun infrastruktur di Negeri ini apakah relah kalau mereka hancurkan? @mohmahfudmd @Chilli_Pari</t>
  </si>
  <si>
    <t>@FajarAnggik03 Seng isis sisan prutsal</t>
  </si>
  <si>
    <t>Hal yang penting perlu dikonfirmasi terkait outbreak corona di Italia selain kondisi kesehatan WNI disana juga terkait suplai bahan makanan dan produk2 khusus yang diperlukan oleh warga.</t>
  </si>
  <si>
    <t>@HusinShihab @BNPTRI @jokowi @mohmahfudmd @prabowo @makLambeTurah Maksudnya ISIS gitu ? Bisa jadi,soalnya ISIS kan bukan ISLAM 🤔 Tapi tiati lho asal nuduh,klarifikasi dulu aja</t>
  </si>
  <si>
    <t>@DesireMty @lucaphotograph2 Mi diosa isis</t>
  </si>
  <si>
    <t>@Robinschang @Predator_Matrix BNPT nya malah mau nerima eks WNI pro ISIS</t>
  </si>
  <si>
    <t>@Si_Kalacakra @do_ra_dong @dayada5t3vh3nda WNI keturunan Uda memilih nya kok jengkel, lebih baik bunuhdiri aja semua tuh WNI keturunan..</t>
  </si>
  <si>
    <t>RT @MyBagaspati: India pun akan melakukan hàl yg sama....khusus kepada WNI disana. India kalau balas dendam gak tanggung2 cui. Makanya perang dgn Pakistan gak pernah berakhir</t>
  </si>
  <si>
    <t>Persis! Indonesia mengatakan nihil corona itu sudah tes berapa puluh ribu orang? Berapa wisatawan dari luar negeri? Berapa WNI yang habis liburan dari luar negeri? Di pintu masuk sebelah mana? Jakarta? Batam? Kalbar? Kaltara? Mana saja? RT @dirgarambe: Lihatlah Korea Selatan. 🇰🇷 menemukan &gt;6.000 kasus #COVID19, terbanyak setelah 🇨🇳. Caranya? Semua orang diperiksa! 🇰🇷 mampu melakukan 10.000 tes per hari. Menyediakan klinik drive-thru. Warga yg (+) dipasangi GPS agar terpantau. The more you test, the more you get.</t>
  </si>
  <si>
    <t>@Saurabh_MLAgk @KapilMishra_IND @sauravBharadwaj Yo sun tu political leader Danga kyu ho re ye to btaa CM Apna power bhul gya h Permission kisne Diyaa road jaam krne k &amp; Danga krane ko. Freedom u sbko bt private area me ni Shaheen Bagh aise ban gye h k ISIS area Tu politics krte rh public ko chutiya smjh rkha h</t>
  </si>
  <si>
    <t>RT @randualit: Eks Kepala BNPT Nilai Virus Radikal ISIS Lebih Mengerikan Dibanding Corona  #CoronaBisaTeratasi</t>
  </si>
  <si>
    <t>Dubes Edi Yusup dan staf sekaligus berdiskusi mengenai berbagai isu terkini. Saat ini sekitar 354 WNI berdomisili di Brasil dan tersebar di sejumlah negara bagian. Dari 354 WNI tersebut, sekitar 115 berprofesi misionaris (padre/romo dan suster).</t>
  </si>
  <si>
    <t>@detikcom Statmen menyesatkan kl sbg WNI g hapal PANCASILA apalagi sbg Duta Bangsa sangat MEMALUKAN</t>
  </si>
  <si>
    <t>@HarryKuffal Maksudnya yg keturunan tiongkok yg sudah lahir dan besar di indonesia dan sudah WNI yach pak?</t>
  </si>
  <si>
    <t>RT @ekoesnadi: @permadiaktivis @JantoLatief3 Yang saya tunggu : Mereka sweeping semua WNI Muslim yang nyuekin semua gerakan mereka itu..... 💣💥💣💥😅😅😅😂😂😂</t>
  </si>
  <si>
    <t>@HmfaqihA @mohmahfudmd @jokowi @DivHumas_Polri Belum ada statement dr pihak berwajib &amp; pejabat pemerintah yg bertanggungjawab terhadap hukum &amp;amp; keamanan mengenai ancaman thp warganegara asing yg disampaikan di depan Kedubesnya. Bagaimana jika WNI diancam di negara lain seperti itu? @PolhukamRI @DivHumas_Polri @Kemhan_RI</t>
  </si>
  <si>
    <t>RT @SalmaBrecht: Katanya Tentara Allah? Kenapa Somad pakai Masker? Takut ya sama Tentara Allah. 😂😷😂😷😂😷😂😷😂</t>
  </si>
  <si>
    <t>RT @TolakBigotRI: Innalillah! Gereja di Semarang Sudah Punya IMB tapi Masih Didemo dan Ditolak, Ini Kronologinya. Mas @ganjarpranowo @hendrarprihadi ditunggu aksi nyatanya ya. Ini gereja sudah ada IMBnya tapi masih Didemo dan Ditolak. Sedih! 😐😐😭😭</t>
  </si>
  <si>
    <t>RT @WR_4AG226: Assikk....👍😍 Beginilah warga jakarta, Alhamdulillah punya daya beli, masker Rp.350.000 bisa beli.. Semoga yg tinggal di pemukiman kumuh bantaran kali dan yg suka BAB sembarangan , termasuk dalam katagori punya daya beli 🙏</t>
  </si>
  <si>
    <t>RT @AuwalDauda17: Saika aurota t m wni shirman, kana mgana a wjn iyaye z ace so kke k 6ata zumunchi.shikkenan kaikuma k zma mijin Hjy Inaahhh b wnn mgnar 👌</t>
  </si>
  <si>
    <t>@koecing_pasar @DjanChoek @PakatDayak @YRadianto @gupie_09 @anto_winarno @putra_bisma12 @TheArieAir @3mtr1 @Winardhi__ @arjuno_ireng01 @ToniSugiri @himawan1978 @RiuUtomoRizki @gajahpolkadot @Theking3231Juan @wisanggeni_084 @P3nj3l4j4h_id 👍👍👍👍👍 Alhamdulillah.....akhirnya, dapat juga satu alasan</t>
  </si>
  <si>
    <t>@haikal_hassan Yang bentrok di India. Kok yang diancam WNI keturunan? Saya juga gagal paham, Beh.</t>
  </si>
  <si>
    <t>Saika aurota t m wni shirman, kana mgana a wjn iyaye z ace so kke k 6ata zumunchi.shikkenan kaikuma k zma mijin Hjy Inaahhh b wnn mgnar 👌 RT @Bingellfullo: Bombooclaat</t>
  </si>
  <si>
    <t>#psikopat Cocok kawanan sama neo nazi atau isis</t>
  </si>
  <si>
    <t>@Marciooo_Moura DEBOCHADAHH</t>
  </si>
  <si>
    <t>RT @agisesya: @salahsambungya Mantan Teroris Tolak Wacana Pemulangan WNI Eks ISIS</t>
  </si>
  <si>
    <t>WNI Kru Diamond Princess yang Sembuh dari Korona Tetap Diobservasi</t>
  </si>
  <si>
    <t>@detikcom Mereka cuma merasa...itu adalah tugas mereka. 😂 disini ada yg radikal, tapi disana juga ada yg lebih radikal, apa kagak mikir WNI yg berada disana yg juga beragama muslim. Mikirrrr.....</t>
  </si>
  <si>
    <t>@kompascom Mereka lebih tau kekejaman teroris isis dibanding kalian di negri +62</t>
  </si>
  <si>
    <t>isis pateta</t>
  </si>
  <si>
    <t>RT @nemosyus: "Mengharumkan" nama bangsa &amp; negara 😁</t>
  </si>
  <si>
    <t>RT @DogZander: Sadiq Khan, London's 'Liberal Muslim' Mayor, Has Ties To ISIS - News Punch #SadiqKhan #ISIS</t>
  </si>
  <si>
    <t>RT @SammiSoh: FPI rencana mau sweeping warga India di Indonesia. Produser ternama mau dicari Ini sdh rencana teror. Jokowi gak sanggup tarik mrk ke ranah hukum. Kita semua yg coblos dia sdh kecewa dgn kepengecutan Jokowi thdp radikal dan pembiaran intoleransi</t>
  </si>
  <si>
    <t>@tempemendoanGL Lihat dulu dong mbak.....asalnya dari mana</t>
  </si>
  <si>
    <t>RT @muktarlim: Warga Demo di Balai Kota Semarang Tolak IMB Gereja Colek yg punya Semarang @ganjarpranowo semoga dapat pencerahan</t>
  </si>
  <si>
    <t>@aqua220426 @faizalassegaf @GunRomli @muannas_alaidid @fahiraidris Mungkin dapet janji dikawal JAWARA 😂😂😂</t>
  </si>
  <si>
    <t>@ARIFANSARIRWS Aby lu**d k sire..jhopdike..kiso isis keh ra h tu..tere baap Syria me apni maa chu**wa re h..saali tumhari com hi sar dard h har desh me..tum bc aaye hi kyu is dharti pe..suwar chadarmod..</t>
  </si>
  <si>
    <t>@faizalassegaf @GunRomli @muannas_alaidid Yang penting disini....si ibu dpd pemimpin abang jawara, harus konsisten dengan ucapannya, HUKUM TIDAK TUMPUL KE ATAS DAN TAJAM KEBAWAH......dan mental Pejabat harus Setebal Baja....sbg WAKIL RAKYAT....HARUS JADI CONTOH</t>
  </si>
  <si>
    <t>@ErickFe83090828 @NotesofMila @maman1965 Kalo sampe membunuh begini...pasti Sudah terinspirasi lah....kegemarannya saja chucky</t>
  </si>
  <si>
    <t>RT @InayahRasyid: Gue punya kliping asyik nih. Kagak ada yg bener cara kelian melindungi rakyat bangsa ini, padahal kelian pejabat bangsa ini. Kebijakan kelian radikal, jika gue yg radikal kalian tuduh pulak gue isis teroris lalu kena delik. Serasa ingin berkata kasar dan kotor😒😒</t>
  </si>
  <si>
    <t>RT @Om_Sugik: @Namaku_Mei Pak Presiden @jokowi dan Pak @mohmahfudmd, mohon dipikirkan masih ada anak WNI yg perlu dibantu. Mohon abaikan anak eks WNI ISIS yg sdh mahir pegang senjata dan pisau. cc @Chilli_Pari @kaesangp</t>
  </si>
  <si>
    <t>@satria_wibawa @NotesofMila @maman1965 Anak2 ISIS lebih berbahaya lagi, karena mereka bisa membunuh atas nama Tuhan dan punya Dalil pembelaan</t>
  </si>
  <si>
    <t>@yusuf_dumdum @ZoelFawzie Pantes kita tenang nyambut kembalinya ISIS, la level kebrutalan mrk di bawah kita.</t>
  </si>
  <si>
    <t>Lihatlah wahai kalian pejabat negara, anak2 seperti ini harusnya jadi fokus utama bukannya malah anak2 ISIS 🤦🤦🤦 RT @PrieLeo_: Pernah gak sich kita bersyukur Bisa sekolah, Orang Tua masih ada, masih ada yang Nafkahin kita,, Gak seperti Adik ini yang harus naik Sepeda, Jualan balon untuk cari Penghidupan Ditambah juga harus jaga Adiknya Ya ALLAH......... 😭😭😭</t>
  </si>
  <si>
    <t>@ricky_Hf @kangsemproel @PrieLeo_ @IbrahimAzzaini Yang begini ini harusnya negara muncul, pemda setempat turun tangan, bukan malah ngurus anak ISIS @juliaribatubara @mohmahfudmd</t>
  </si>
  <si>
    <t>@pakaipeci @EVALockheart @aliandotcomm @NdonTwit @ShopeeID Bukanya kaum lo yg demen urusan selangkangan ?😂😂😂</t>
  </si>
  <si>
    <t>@isgnursejati_57 @AdhieMassardi Antara Kadrun dan Somad dong kalo begitchu</t>
  </si>
  <si>
    <t>@AdhieMassardi @Janessary3 Sakit hati....yg kini kurasakan.... Juga sepedih yang kuderita.... Hanya jabatan yang tahu Dan menyembuhkan semua.......</t>
  </si>
  <si>
    <t>@Janessary3 @mulanbilqis @KakekHalal Kalista sumbar loh.....😂</t>
  </si>
  <si>
    <t>@AREAJULID Tapi emang sih mayoritas pada parno, sebelum pak jokowi ngungumin ada 2 WNI yg positif covid19 aku emang udah batuk selama seminggu, eh pas ke market mau beli tisu semua orang auto liatin :' malu bgttt berasa mau maling barang</t>
  </si>
  <si>
    <t>RT @RMondrokumoro: @Namaku_Mei @jokowi @mohmahfudmd @erickthohir tolong pak anak ini lbh berharga dripada anak hasil doktrinisasi ISIS..</t>
  </si>
  <si>
    <t>RT @RomeskoP: Berilah mereka (umat yang gerejanya di demo) ketabahan dan kekuatan ya Allah bapa kami disurga. Dan ampunilah dosa pendemo itu, karena mereka tidak tahu apa yang mereka perbuat.</t>
  </si>
  <si>
    <t>RT @muannas_alaidid: Laporan sy thd fahira dipastikan tdk akan pernah sy cabut, tetap berproses, sprt sy bilang fahira ini harus jd contoh buat pejabat negara lain agar tdk bersikap semaunya &amp; terimakasih kpd cyber bareskrim polri yg tlh menangani laporan ini dg baik termasuk dukungan luas netizen.</t>
  </si>
  <si>
    <t>@AyangCakep @jokowi Siapapun berhak dengan pemikirannya sendiri. Itu hak WNI.</t>
  </si>
  <si>
    <t>Himbauan KJRI Houston utk WNI &amp; Diaspora Indonesia di wilayah kerja KJRI Houston terkait merebaknya kasus COVID-19 di Texas, Florida, Georgia. Yuk simak infografis ini u/ mengetahui gejala, cara pencegahan &amp;amp; penanganan jika sakit. #NegaraMelindungi #IniDiplomasi #KJRIHouston</t>
  </si>
  <si>
    <t>@cintada17 Turis China yg masuk dan wni yg mau ke china dilarang nggak?</t>
  </si>
  <si>
    <t>@faizalassegaf @GunRomli @muannas_alaidid Kalau maaf bisa menyelesaikan masalah, Ahok tidak akan dihukum. Semua WNI kedudukannya sama di mata hukum</t>
  </si>
  <si>
    <t>Beberapa waktu lalu, pemerintah mewacanakan memulangkan anggota ISIS eks WNI, setelah Netizen bersuara, pemerintah mengatakan demi kemanusian, akan memulangkan anak2 sepuluh tahun kebawah. Sekarang BENDERA ISIS BERKIBAR....@jokowi TANPA BEBAN............!!!!! RT @SutrisnoYohanes: Mohon segera di validasi kebenaran berita ini. Jika benar, semoga segera ada tindakan tegas dari aparat penegakan hukum seblm berkembang besar. Viral Bendera ISIS Berkibar Lagi pada Aksi Peduli Muslim India di Poso via @melekpolitikcom</t>
  </si>
  <si>
    <t>@FlonthazNthabi @Lavender_Isis Haibo wenja qhubeka</t>
  </si>
  <si>
    <t>@shfly3424 Lu lama lama jadi wni ya</t>
  </si>
  <si>
    <t>RT @FatimaRapany: @BIGGIESHOWW Wni pic ne kuma😳😳 ni da bana posting pics a TL</t>
  </si>
  <si>
    <t>@BIGGIESHOWW Wni pic ne kuma😳😳 ni da bana posting pics a TL</t>
  </si>
  <si>
    <t>@Lavender_Isis Who is guilty akuyiwe enkantolo but okwamanje I story SA Sisi u Zamar asingihlanganeli mina khona akangakusho</t>
  </si>
  <si>
    <t>@chendwol @alcadeaja Beda ituu, anggur yg di jamu itu terbuat dr Kayu Angin, yg bikin sensasi isis alias menthol..🤣🤣</t>
  </si>
  <si>
    <t>Ini Alasan 1 WNI Sembuh Corona Kembali ke Diamond Princess</t>
  </si>
  <si>
    <t>@BruceEmond kesalahan serupa pernah terjadi beberapa tahun yang lalu. gugatan WNI di Australia terkait tumpahan minyak di laut Indonesia (Montara oil spill) diberitakan dikabulkan. padahal hanya putusan sela tentang batas waktu perkara. misleading tapi untungnya tidak berakibat fatal.</t>
  </si>
  <si>
    <t>@wodanjack Al Qaeda en ISIS uit idlib</t>
  </si>
  <si>
    <t>@TCdharma Gerombolan Kadrun Durjana ini selalu mendompleng kejadian di negara lain untuk menunjukkan eksistensinya dengan membawa Bendera ISIS dan KhilaFuck. Yang paling hebat lagi.....ternyata aparat membiarkannya. Gagal paham saya sama Aparat😡😡😡😡😡</t>
  </si>
  <si>
    <t>RT @terasid: Gubernur Ganjar Pranowo menegaskan pintu-pintu masuk Jawa Tengah telah diperketat untuk mencegah masuknya virus corona, setelah diumumkan 2 WNI terinfeksi Covid-19. Artikel asli dimuat di mitra Teras, Joglosemar News</t>
  </si>
  <si>
    <t>Yang membunuh cucu nabi orang islam lho kak. Bukan nasrani atau yahudi. Isis juga mengucapkan dua kalimat sahadat, Tidak ada satupun dari anggota isis yang mengaku tuhannya adalah yesus,wisnu,atau dewa matahari. Sampai kapan harus menolak kenyataan terus menyalahkan umat lain? RT @TyasZain: @Maza023 @NamakuBony Hehehe.. islam tdk mengajarkan pembantaian. Jangankan pembantaian, membunuh satu manusia tak bersalah sama artinya membunuh seluruh manusia koq.. Membiarkan tetangga mencium bau sedapnya masakan sj ditegur, diperintahkan membagi, meski sekadar kuah (saking pentingnya jaga adab)</t>
  </si>
  <si>
    <t>intelijen ISIS bisa gentayangan mendatang</t>
  </si>
  <si>
    <t>RT @OfficialiNewsTV: Pemerintah Sebut 1 WNI Masih Bertugas di Kapal Diamond Princess</t>
  </si>
  <si>
    <t>RT @KompasTV: 1 WNI Jadi Suspect Corona di Indonesia Meski di Jepang Negatif</t>
  </si>
  <si>
    <t>RT @KompasTV: WNI Positif Virus Corona Akan Dipulangkan Jika Memenuhi Syarat Ini</t>
  </si>
  <si>
    <t>RT @KompasTV: Begini Kondisi WNI Hadapi Corona di Italia</t>
  </si>
  <si>
    <t>RT @OfficialiNewsTV: Pemerintah Masih Kaji Rencana Pemulangan Anak-Anak WNI Eks ISIS</t>
  </si>
  <si>
    <t>Darurat Virus Corona: WNI Terinfeksi Covid-19</t>
  </si>
  <si>
    <t>Darurat Virus Corona: WNI Terinfeksi Covid-19: Terlihat seorang petugas rumah sakit Mitra…</t>
  </si>
  <si>
    <t>Sabda Raja Ngarsa Dalem Hamengkubuwono IMAM BESAR PALSU Ingsun ora ngakoni antek #ISIS/#ISIL/#Daesh @RizieqShihab_, Ahlul Bait (أهل البيت) Ndhasmu! Ingsun dhawuh Adhimas Kinasih kekalih Mohammed bin Salman tuwin Khalid bin Salman @kbsalsaud, rangket HRS miturut hukum #KSA. QISAS</t>
  </si>
  <si>
    <t>Sahabat, simak wawancara Dubes Esti Andayani dengan @KompasTV mengenai Covid-19 outbreak, upaya @KBRI__Roma di tengah penyebaran Covid-19 di Italia, dan kondisi WNI di Italia. Klik link berikut:  #NegaraMelindungi #inidiplomasi @Kemlu_RI @safetravelkemlu</t>
  </si>
  <si>
    <t>Terkutuklah WNI yang alergi terhadap produk lokal</t>
  </si>
  <si>
    <t>@azirizky Di unair bisa tes mas harganya sejuta tapi kalau gasalah baca berita kmrn yg wni asal wuhan aja engga diperiksa karena mahalnya alat gimana masyarakat luas 😂</t>
  </si>
  <si>
    <t>WNI tersebut saat ini dirawat di National University Hospital Singapura. KBRI akan terus melakukan pemantauan secara dekat dan berkoordinasi dengan pihak-pihak yang berwenang terkait penanganan WNI tersebut. #IniDiplomasi #NegaraMelindungi</t>
  </si>
  <si>
    <t>@mochamadarip Ketika OKI tak lagi diakui dihormati oleh ormas an. agama Islam,...lantas apa yg mereka-ormas bela? Fakta ISIS memerangi kedaulatan negara.</t>
  </si>
  <si>
    <t>Pada (07/03), Kementerian Kesehatan Singapura mengumumkan kasus positif COVID-19 ke-133 di Singapura yaitu seorang WNI berusia 62 tahun berjenis kelamin perempuan yang mengunjungi Singapura dengan Social Visit Pass #IniDiplomasi #NegaraMelindungi</t>
  </si>
  <si>
    <t>Sangat sepakat! @do_ra_dong @Ireneviena_</t>
  </si>
  <si>
    <t>@isinha040401 Ccolla isis</t>
  </si>
  <si>
    <t>@Akhtar_Khan @KatrinaNation @ddguttenplan I do support BJP &amp; RSS but not like U born trrorist out of Jaish-E-Mohd, Al Kaida,Somalia-based Al-Shabaab or ISIS Al-Qaeda, Lashkar-e-Omar, Lashkar-e-Taiba (LeT) Sipah-e-Sahaba. Jaish ul-Adl. Al Badr Mujahideen. Harkat ul Mujahideen.</t>
  </si>
  <si>
    <t>@musniumar Anda yakin dg omongannya pak? Hanya kelompok ekstremis dn suka perang atas agama yg suka mebakr bendera negara lain, menyampaikan aspirasi dn dialog g ada keiatan begitu dtambah ancaman sweeping, jngn lupa bnyak WNI muslim yg di India jika dlakukan juga sperti itu gimana?</t>
  </si>
  <si>
    <t>@dimas_w_pratama Amin Sampean bkn wni tho Yaudah jg bikin rusuh di negaraku yo</t>
  </si>
  <si>
    <t>@i_theindian Hindu ISIS.</t>
  </si>
  <si>
    <t>kaloo ngga' jd WC umum ... bisa buat ngumpet di kala ISIS berkobar ....</t>
  </si>
  <si>
    <t>@ayahdiar @GunRomli @FerdinandHaean2 @aniesbaswedan ada hubngan diplomatik , kenapa tidak sampaikan secara diplomatis , kenapa pula membakar simbol negara lain serta adanya ancaman sweeping, padahal tidak sedikit org WNI turunan india dan turis yg muslim, serta info bentrok di india tidk berimbang dg prilaku muslim yg anarkis jg</t>
  </si>
  <si>
    <t>Inilah dampak dari hilangnya klausul WNI Ashli (pakai shod). RT @Restichayah: Malah makin bingung , dia terlahir dari cina ,amerika , lahir di Jakrta tp wakili sumbar . Bukit tinggi knp disebut ?</t>
  </si>
  <si>
    <t>@KompasTV TOLAK.KERAS APAPUM ALASAN NYA ANAK.ISTRI MAMTAN ISIS PULANG KE NKRI HANYA MEMBUAT MASALAH .TERÕŔ BARU DI NKRI .JANGAN.HANCURKAN.NKRI SRLAMATKAN.NKRI DARI.KOMBATAN ISIS</t>
  </si>
  <si>
    <t>@i_theindian Toh tu pakistan chala jana bhai...yaha toh RSS hi rahega.. tu pakistan me asli Isis join krle</t>
  </si>
  <si>
    <t>@Adiwaswa2 @ustadtengkuzul Itulah bisnis kaum kadrun, mau nya semua bergaya arab, sampai prostitusi aja dihalalkan atas dasar agama, semua dg tulisan dan bahasa arab dan dilindungi pasukan preman berjubah agen tetoris Isis.</t>
  </si>
  <si>
    <t>RT @YRadianto: Buat yang gak mau brenti menggonggong tentang pemulangan ISIS Eks-WNI, nih baca!! Silahkan CC-in ke mereka 🙏</t>
  </si>
  <si>
    <t>RT @syiahgl: Billboard besar di Irak bertuliskan: "Kaum Nasrani Irak tidak akan melupakan keagungan dan kemuliaan 2 Sosok Syahid mulia ini yang telah membebaskan wilayah mereka dari teroris ISIS" Semoga sobat ana di Indonesia @KatolikG @Protesgarislucu ga menganggap pahlawan kami teroris.🙊</t>
  </si>
  <si>
    <t>@ustadtengkuzul Imam besar FPI cuma pecundang cabul, koleksi CD Video porno, chattingan mesum, mulutnya bau bangkai gak pantas ngaku2 ulama. Ngaku2 turunan nabi padahal cuma preman pemeras dan perampok. Moga2 aja agen Isis ini dipancung oleh kerajaan Arab Saudi</t>
  </si>
  <si>
    <t>WNI Positif Corona di Jepang, 3 Dipulangkan, 5 Kian Membaik</t>
  </si>
  <si>
    <t>@PerbawaDani @saaariii___ Mana ada bendera lailahaillallah......lu jgn ngumpet dibalik bendera....bangsat lu ya....lu PRO ISIS, PRO KHILAFAH jancuk lu ya....</t>
  </si>
  <si>
    <t>@geloraco Waktu ISIS menyembelih ratusan orang kok reaksinya nggak seperti ini ya...? Hehehehe....., pada hal mereka memperlakukan manusia kayak ayam.</t>
  </si>
  <si>
    <t>RT @mbahCokro77: Kalau ini fakta N nyata untuk kedepanya Bangsa sampai anak cucu Virus Radikal ISIS lebih bahaya dibanding viris Corona</t>
  </si>
  <si>
    <t>@ANTyulian @merapi_news @eMbahNyutz Montor e isis udu kui</t>
  </si>
  <si>
    <t>ISIS Punjab RT @Aliwazirna50: چپ کر جا! 😷😷😷😷 #StopStateTerrorism</t>
  </si>
  <si>
    <t>@ravi_for_you @Engineer_Rahul1 @VickyDeshwal4 @yadavamit881 @GhaziKh80878634 @PTI_News Please show us what proof you have that says RSS is killing people...like isis,al quida, jem, al shabab, khurasaan, Taliban, al nusra, hizbollah.. I agree bahut saare ghatiya logo ko wajah se pure dharma ko Ganda nahi bell sakte..</t>
  </si>
  <si>
    <t>RT @DavidGosal4: @AnakKolong___ @ManaluTheodorus @MUIPusat @fadjroeL : Mau mengelak ? ...  Menit 6.50 ...  Mengapa Hizbut Tahrir Membenci Arab Saudi…?!  Soal Bendera Rasulullah, Propaganda Bohong HTI dan ISIS</t>
  </si>
  <si>
    <t>RT @miftah_abdi: Remaja 15 tahun tidak didik sebagai pembunuh hanya modal film, lingkungan sosial yg kurang harmonis, dan mungkin pergaulan yang salah bisa membentuk prilaku seseorang menjadi #psikopat | apa kabar dengan anak anak WNI eks ISIS ?? | tetep akan dipulangkan ke indonesiab ?? 🤦‍♂️</t>
  </si>
  <si>
    <t>@detikcom Gua eneg dengan berita boikot India. Apalagi mau sweeping WNI keturunan India. Bisa nggak sih bedain antara pemerintah India (BJP+RSS) sama WNI orang India? Tindakan rasis lo gajauh beda sama apa yang Modi, Yogi Adityanath, Amit Shah, Kapil Mishra, dan dedengkot BJP lainya.</t>
  </si>
  <si>
    <t>Yth Dubes India @IndianEmbJkt saya dukung pernyataan anda. Soal pernyataan Rektor ini sudah tidak usah di gubris. Kami sbg WNI mengecam segala macam ekstrimis di seluruh dunia tak peduli ras suku agama mereka. RT @musniumar: Sy kecam keras Dubes India kalau benar dia mengtkn FPI dan PA 212 klmpk Ekstremis. Justeru yg ekstremis org2 Hindu yg bnh dan bkr Masjid Muslim di India. Mrk yg demo di Kedubes tdk ekstremis-tdk pernah bnh dan bkr rumah ibadah Hindu dan agama lain.</t>
  </si>
  <si>
    <t>@faizalassegaf @okezonenews Lebih ngawur mana ketika ada org yg mjd junjungan banyak umat bilang bahwa Virus Corona adalah Tentara Allah?? Korban nyawa akibat perang melawan ISIS scr statistik sudah melebihi korban nyawa yg ditimbulkan oleh Virus Corona, bos!</t>
  </si>
  <si>
    <t>@UmarCheema1 wha sirf or sirf hrum ahlbait k hifazat k klea jaty hy or koi maqsad ni kunki isis ne ksm khai h or in k manshoor me h k shia k khtm krna h or zarih ko tabah krna h</t>
  </si>
  <si>
    <t>@AnakKolong___ @ManaluTheodorus @MUIPusat @fadjroeL : Mau mengelak ? ...  Menit 6.50 ...  Mengapa Hizbut Tahrir Membenci Arab Saudi…?!  Soal Bendera Rasulullah, Propaganda Bohong HTI dan ISIS RT @fadjroeL: Mau mengelak? Ini pentolan HTI jelas2 menolak Pancasila, NKRI, UUD1945. #HTIsudahDILARANG #HTIsudahDIBUBARKAN</t>
  </si>
  <si>
    <t>Polemik Pemulangan WNI Terpapar ISIS di Luar Negeri -</t>
  </si>
  <si>
    <t>@faizalassegaf Untuk penyebutan Tionghoa, dimaksudkan bagi WNI keturunan. Jika Kompas menulis China, publik sudah mafhum, itu dimaksudkan sebagai negara / penduduk China.</t>
  </si>
  <si>
    <t>Begini Kondisi WNI Hadapi Corona di Italia</t>
  </si>
  <si>
    <t>Nih, Kondisi Terbaru WNI yang Jalani Observasi di Pulau Serbaru Kecil - : Nih, Kondisi Terbaru WNI yang Jalani Observasi di Pulau Serbaru Kecil</t>
  </si>
  <si>
    <t>@jkt1488 Pelakunya kek muka2 anggota isis anjir fuck</t>
  </si>
  <si>
    <t>@DKinginlove Kan orang indo wkwkwk Cek ktp udah WNI</t>
  </si>
  <si>
    <t>Semenjak lulus SMK jadi jarang ketemu sama temen SD, cuma liat-liatan story wasap doang. Sesekali mancing pake video perkembangan isis di lebanon biar ngechat duluan malah gw diblokir.</t>
  </si>
  <si>
    <t>@musniumar #gejayanmemanggil Tolak ex WNI kombatan isis @Kemlu_RI @KPAI_official @lenteraanak_ @kpp_pa @Kemhan_RI @ditjen_imigrasi @CIA @BIN_Official @BNPTRI @UGMYogyakarta @CCICPolri @INTERPOL_Cyber @BSSN_RI @karniilyas @ILCtv1 @LBH_Jakarta @aniesbaswedan @prabowo</t>
  </si>
  <si>
    <t>RT @mediaindonesia: Mereka bepotensi pindah ke negara lain atau mencari tempat baru untuk kembali membentuk kekuatan.</t>
  </si>
  <si>
    <t>@SyedKhaleeqq @akhil_glg @rmpreddy5 @nellipiercing Gandu ISIS ke bare me jikhr nahi karege Pata nahi inki kitni mari hai Par hardum RSS RSS ka rona rote hai</t>
  </si>
  <si>
    <t>@AsepIra44314224 @AlattasNina Baca UUD 45 asli yg dibuat para pendiri bangsa hanya suharto yg melaksanakan dgn kon sekwen juga Beneka Tunggal eka yg murni(hanya suku bukan etnis) Hanya Diakui wni klas kw Tak Sumpah pemuda Satu2 etnis cina yg diusir dari seluruh nkri karena maling pajak dgn PP10 oleh BungKarno</t>
  </si>
  <si>
    <t>RT @yarachantique: Camken...!!!! RT kerasss.. Mereka bukan WNI lagi : - Sudah pergi ke luar Indonesia dng niat jihad sampai mati - Sudah bakar passport - Teroris yg hrs dibasmi - Virus ideologi Pancasila #CabutStatusWNIproISIS #TolakEksWNIproISIS</t>
  </si>
  <si>
    <t>Pemerintah Masih Kaji Rencana Pemulangan Anak-Anak WNI Eks ISIS</t>
  </si>
  <si>
    <t>Udah lama ga liat perang perangan isis</t>
  </si>
  <si>
    <t>Jadi Juru Mesin, 1 WNI Pilih Bertahan di Kapal Diamond Princess</t>
  </si>
  <si>
    <t>RT @SNA110: #Kabul Me #Shia Rehnuma Abdul Ali Mazari Ki Barsi K Ijtema Me SaudiNawaz Deshtgard Tanzeem #Daish #ISIS Ka Khudkash Dhamaka, 27 Mominen SHAHEED 40 Sy Zaid Zakhmi #ShiaGenocide</t>
  </si>
  <si>
    <t>Gw ga follow pak jokowi, nnti gw dihapus jdi WNI ga sih?😭</t>
  </si>
  <si>
    <t>Usia dini, itu rawan... Mudah menangkap apansaja yg diajarkan dan dicontohkan,, tapi sulit melupakan,,,</t>
  </si>
  <si>
    <t>@gameresega_ @ricobukanriko Gw jadi ngeri dehh anak 15 tahun yang cuma sering NONTON FILM aja sebegitu jahatnya apalagi anak-anak ISIS YANG UDAH TERBIASA DIAJARIN DAN NGELIAT LANGSUNG BUNUH-BUNUHAN😭</t>
  </si>
  <si>
    <t>Gereja di tolak tapi bendera ISIS dibiarkan, inilah Indonesia negara paling Toleransi. Viral Bendera ISIS Berkibar Lagi pada Aksi Peduli Muslim India di Poso via @melekpolitikcom</t>
  </si>
  <si>
    <t>@3kingd0m @DTanjung15 Mrk mna ada yg mau bertobat. Krn mrk sdh di doktrin utk memusuhi ahok, jokowi, pemerintahan jokowi &amp; para pndukung ahok &amp;amp; jokowi. Mrk akan lakukan sgala cara agar jokowi turun &amp;amp; mengacak² pemerintahan dr luar &amp;amp; dr dalam. Ingat !! Kaum KAFIR KHILAFAH itu berpatok pda ajaran ISIS.</t>
  </si>
  <si>
    <t>RT @1_devout: @meow_leader @musniumar Beda dong cuuuyyy , d india g ada yg ngikut isis 👇👇</t>
  </si>
  <si>
    <t>Nih, Kondisi Terbaru WNI yang Jalani Observasi di Pulau Serbaru Kecil -</t>
  </si>
  <si>
    <t>Despite the virus outbreak, kita masih bisa menemukan aspek-aspek kemanusiaan, upaya-upaya untuk berjuang bersama arungi lautan virus corona.</t>
  </si>
  <si>
    <t>Remaja 15 tahun tidak didik sebagai pembunuh hanya modal film, lingkungan sosial yg kurang harmonis, dan mungkin pergaulan yang salah bisa membentuk prilaku seseorang menjadi #psikopat | apa kabar dengan anak anak WNI eks ISIS ?? | tetep akan dipulangkan ke indonesiab ?? 🤦‍♂️</t>
  </si>
  <si>
    <t>@le_petitlulu31 Iran menerapak Visa On Arrival bagi WNI, jadi bsa diurus sampainya di Teheran, tapi juga bsa kalo mau ngurus dulu di dubes Iran di jkt biar gak lama antri imigrasi.</t>
  </si>
  <si>
    <t>@dr_koko28 WNI sabar² aja la dok. Krn pemerintah kita gak serius menangani ketakutan kita</t>
  </si>
  <si>
    <t>@mochamadarip Di kawasan timur tengah ada isis , di Indonesia ada fpi ,musuh amerika osama ben laden</t>
  </si>
  <si>
    <t>@sheylahasiman1 Sangat disayangkan, jadi ingat anak-anak WNI Eks ISIS yang sejak kecil di doktrin untuk membenci dan membunuh 😢</t>
  </si>
  <si>
    <t>@JokerHuBc @Beastghosthd Ab aisa bol k to tune emotional kr dia bhai 😥 ek baat puchu? Quran maine v padhi h,agr tmhra dharm insaniyat sikhta h to q quran me itne verses h Jisme non-Muslims ko marne ko kha h? Isis isi quran ki hidayat ko follow kr rha h..quran padha hai maine isliye bol rha h..ab bolo ?</t>
  </si>
  <si>
    <t>@c0729k Kl org asing ga blh msk, kl WNI hrs di karantina. Hrsnya kyk gitu. Di sg begitu soalnya, citizen, pass holders yg dr negara2 itu wajib karantina, kl langgar ada hukumannya.</t>
  </si>
  <si>
    <t>@Stevaniehuangg WNI pulang dari China langsung masuk karantina.. Tapi WNA dari China yg datang ke Indonesia, kayaknya gak ada yang di karantina.</t>
  </si>
  <si>
    <t>@wni_jmsri Hahahaha boleh eh faham. Td suruh mmber voice baru faham</t>
  </si>
  <si>
    <t>@AnakLolina @DivHumas_Polri Tolong tangkap ustad antek ISIS ini Pak @jokowi</t>
  </si>
  <si>
    <t>@idolfess Ko pada rep wni sih, emng bener dia udh wni?? Mmf gatau:"(</t>
  </si>
  <si>
    <t>@idolfess GAIS KOK PADA REPLY SIWON WNI SIH AKU SMPE SCROOL REPLY LAGI SOALNYA AK PERCAYA HSHSHSHSHS😭</t>
  </si>
  <si>
    <t>@idolfess When ppl taking siwon wni seriously😭😭</t>
  </si>
  <si>
    <t>@idolfess dia kan wni</t>
  </si>
  <si>
    <t>@permadiaktivis kalo isis menzolimin kaum minoritas,harusnya ada sweeping juga</t>
  </si>
  <si>
    <t>@shiaLebaou @RakyatJ73433360 @Batax_Nasional @Dennysiregar7 @DivHumas_Polri ISIS itu Buatan Bani2 ente As &amp; Yahudi, yang ente salahain Muslim!. Di Poso Siapa Pelakunya?, 350 Tahun Indonesia Dijajah Siapa Pelakunya?.</t>
  </si>
  <si>
    <t>@idolfess dia kan WNI</t>
  </si>
  <si>
    <t>@idolfess Siwon kan WNI</t>
  </si>
  <si>
    <t>@NajwaShihab Ya gak gitu juga,salah ya tetep salah.Itu kesalahan sangat fatal loh &amp; kita jadi netizen juga harus bijak jangan membully terllau berlebihan justru kita harus kasih koreksi sila yg bebernya itu seperti ini loh.Itulah kesolidan antar WNI dalam mengkoreksi setiap kesalahan.</t>
  </si>
  <si>
    <t>Observasi WNI di Pulau Sebaru Menunjukkan Hasil yang Baik</t>
  </si>
  <si>
    <t>yesung nih otw jadi wni yak? 😭 RT @shfly3424: Sudah akhir pekan? 😟</t>
  </si>
  <si>
    <t>@NUgarislucu Azas Negara berisi 5 point yang di ulang-ulang selama 12 tahun. Bgmn caranya tahu kalau WNI wajib beragama, wajib tenggang rasa, tidak menyinggung kesukuan dan silsilah keturunan, menyelesaikan masalah dengan duduk bersama dan sepakat, ada hak orang lain dari kewajiban kita?</t>
  </si>
  <si>
    <t>Berikut update Perkembangan COVID-19 dan Perlindungan WNI per tanggal 7 Maret 2020, pkl 17.00 WIB. via @Kemlu_RI #ElshintaEdisiMalam</t>
  </si>
  <si>
    <t>ISIS Klaim Serangan di Kabul, 32 Orang Tewas</t>
  </si>
  <si>
    <t>@kaloingett @littlekiduncle @saaandhee @subtanyarl @KomnasHAM @HaloBCA @jokowi pecat aja pak dia jadi wni</t>
  </si>
  <si>
    <t>demi masa depan bangsa juga. tapi gatau juga sih tahun 2024 masih jadi wni apa nggak ehe</t>
  </si>
  <si>
    <t>@Zulhaqie1 @TeddyGusnaidi Ya teroris lah yg mau Khilafah hancurin negara yg ingin diganti sistemnya. Suriah, Yaman, Libya, Afganistan, Irak. Ajaibnya, Israel dan sekutu AS di Timteng aman..no AlQaeda, ISIS, and afiliasinya.</t>
  </si>
  <si>
    <t>@teukujourd @atjehsultanate Itu akun al.anazi merasa paling paham prilaku MBS, 2018 akhir berkunjung ke KSA dan jelas kebijakan2 MBS ke arah yg lebih liberal, sempat juga berdiskusi dengan WNI di sana....banyak juga ulama yg dìtangkap hanya karena tdk sepakat dgn kebijakan pemerintah (bukan bughot).</t>
  </si>
  <si>
    <t>jangan jadi WNI saya yang setia</t>
  </si>
  <si>
    <t>@addiems Selalu terharu dan berlinang air mata setiap mendengarkan lagu kebangsaan INDONESIA RAYA Lagu ini spt ada roh nya membuktikan betapa hebat penciptanya Terimakasih mas Adie dan rekan2ya yg telah turut melestarikan Selalu bangga menjadi WNI</t>
  </si>
  <si>
    <t>Foto bugil : seni Berjilbab &amp; cadar: intoleran, radikal, teroris, ISIS Dasar BABI klen</t>
  </si>
  <si>
    <t>Seharusnya bukan yang ada di Indonesia yang di sweeping tapi di negara tempat terjadinya hal tersebut. Seperti ISIS perang di Suriah dan menetap di Suriah . Jadi kondisi Indonesia tetap AMAN dan KONDUSIF RT @permadiaktivis: Logika Teroris tu gini Muslim Rohingya dizalimi Mau sweeping WNI umat Buddha Muslim Uyghur dizalimi Mau sweeping WNI Tionghoa Muslim di India dizalimi Mau sweeping WNI turunan India Yang salah siapa yang mau diperangi siapa? Nanti disebut Teroris marah</t>
  </si>
  <si>
    <t>Setelah 2 WNI dinyatakan positif corona, langkah deteksi utk cegah meluasnya penyebaran virus dilakukan. Mampukah pemerintah pastikan negara mampu membendung penyebaran virus corona hingga publik tak perlu panik? #OPSIMetroTV #BisakahBendungCorona? Senin (9/3) LIVE pkl 20.05 WIB.</t>
  </si>
  <si>
    <t>Idol kpop ini lama lama jd WNI aja. Banyak bgt yg speak bahasa ada apasi kelian ha😭😭😭😭 RT @shfly3424: Sudah akhir pekan? 😟</t>
  </si>
  <si>
    <t>Sebanyak tiga warga negara Indonesia (WNI) kru kapal pesiar Diamond Princess yang positif korona di Jepang kini telah kembali ke Tanah Air setelah dinyatakan sembuh.</t>
  </si>
  <si>
    <t>@Sajjadullah1744 @mukeshspeaker @KhanAmanatullah thora wait kar..dp ka dNda batayega..ki kiski phategi... qorona ka jo jehadi virus tum logo ko ISIS ke jariye laga h..uska ilAj delhipolice jaroor karegi.. sahinbag ke chelon ..thora delhipolice ka danda v jhelo. sarkari aasirwad lelo.😂😂👹👹</t>
  </si>
  <si>
    <t>@ISIS_Balik_NO @msaid_didu SAKIT JIWA 😂😂😂</t>
  </si>
  <si>
    <t>❝ Emily Rose Maheswara ❞ Aku lahir di Kingston, sebuah kota di Inggris pada 22 September 1975. Aku adalah seorang pengusaha hotel yang tinggal di Indonesia sejak usia 10 tahun dan memutuskan untuk menjadi WNI 7 tahun setelahnya. Orang-orang memanggilku Nyonya Emmy atau Emily.</t>
  </si>
  <si>
    <t>1 WNI Jadi Suspect Corona di Indonesia Meski di Jepang Negatif</t>
  </si>
  <si>
    <t>Yummy justin bieber. bukan main lama aku nak faham lagu apa RT @ayidmazlan_: Apa punya masalah la member aku ni. Tanya soalan gitu. Tergelak aku baca</t>
  </si>
  <si>
    <t>Tunggu sampe bocah isis wni dipulangin RT @vakiyu: Bocah 15 taun yg ngebunuh bocil 5 taun trus ditaro di dalem lemarinya bener2 psikopat anjay - dateng ke kantor polisi nyerahin diri - ngaku kalo ngebunuh - ga ada penyesalan dan ngerasa puas Dan yg lebih gilanya, si bocah udah ngerencanain! Anjirrr Digambarin step2nya!</t>
  </si>
  <si>
    <t>@i_theindian RSS * ISIS = RSI (Rashtriya Swayamsevak India)</t>
  </si>
  <si>
    <t>Udahlah Yesung jadi WNI aja RT @shfly3424: Sudah akhir pekan? 😟</t>
  </si>
  <si>
    <t>RT @owlsblxck_: kalau mencintaimu adalah kesalahan , ya sudah biar aku salah terus saja. -Dilan</t>
  </si>
  <si>
    <t>8. Ansyaad Mbai: Lebih Bahaya Virus Radikalisme ISIS daripada Corona</t>
  </si>
  <si>
    <t>@DZ0EMIENT12 @RezimTeroris Ngapain juga bukan WNI ngomentar soal WNI hadehh....kumar ..ruk...</t>
  </si>
  <si>
    <t>4.Oleh karena itu, Ansyaad mendukung keputusan Pemerintah untuk tidak memulangkan ratusan WNI eks ISIS dan teroris lintas batas ke Indonesia. "Bahkan kita sudah terlambat, agak terlambat.</t>
  </si>
  <si>
    <t>kata Ansyaad dalam sebuah acara diskusi di kawasan Menteng, Jakarta Pusat, Sabtu (7/3/2020). Oleh karena itu, Ansyaad mendukung keputusan Pemerintah untuk tidak memulangkan ratusan WNI eks ISIS dan teroris lintas batas ke Indonesia</t>
  </si>
  <si>
    <t>@fahmiis5 @YennitaMansoer @kumparan Ckckck gini aja simple, apa yg sdah anda perbuat untuk indonesia? Dia itu hanya keturunan, secara hukum dia WNI. Klo anda merasa hebat? Apa sumbangsi yg bisa anda sepadankan dgan hasil dia yg tlah berikan. Klo ada saya angkat jempol, ingat setiap wni memiliki HAM</t>
  </si>
  <si>
    <t>3."Menurut saya lebih berbahaya virus ISIS ini, virus radikal ini daripada virus corona. Virus corona kita sudah tahu korbannya, angkanya begitu ya ada berapa persen, tapi kalau virus radikal, virus ISIS ini yang korban bangsa kita ini,"</t>
  </si>
  <si>
    <t>Kondisi 4 WNI ABK Kapal Diamond Princess Membaik</t>
  </si>
  <si>
    <t>THIS JUST IN: semua anggota super junior pindah kewarganegaraan jadi WNI RT @shfly3424: Sudah akhir pekan? 😟</t>
  </si>
  <si>
    <t>RT @nazirshahmhd: Akhirnya dapat juga dengar dialek asli Melayu Patani tanpa pengaruh bahasa Thai. Pengalaman Mok Kak Ngoh, wanita berusia 90 tahun yang menetap di Kampung Batan, Maung, Yala. Video Penuh:</t>
  </si>
  <si>
    <t>Ayo jadi wni mas? RT @shfly3424: Sudah akhir pekan? 😟</t>
  </si>
  <si>
    <t>RT @FaizaMardz: Peran besar rezim diktator orde baru Soeharto adalah memenjarakan dan menyiksa ribuan WNI termasuk Pramoedya Ananta Toer di dalam penjara dan Pulau Buru tanpa pernah ada pengadilan. Dikira dg twit saudara Zon ini jejak kejahatan berdarah Orba Soeharto akan hilang ?!! Haluuuuuuuu</t>
  </si>
  <si>
    <t>RT @KemenkesRI: 3. Sedangkan untuk WNI ABK Diamond Princess yang berada di Jepang, kemarin 1 orang sudah kembali ke tanah air karena telah dinyatakan sembuh oleh RS Jepang. Hari ini menyusul 2 orang keluar dari RS, dijadwalkan besok akan kembali ke Indonesia. #WaspadaCOVID19</t>
  </si>
  <si>
    <t>@detikcom @fuatuttaqwiyah1 Pemerintah seharusnya memperhatikan mereka bukan malah memperhatikan anak anak eks ISIS untuk dipulangkan ke NKRI . @jokowi @mohmahfudmd @Kemenag_RI</t>
  </si>
  <si>
    <t>Tidak ada yg beli PO T-Shirt &amp; 2-shot dengan Mpries (saya sendiri sebagai satu-satunya WNI yang PO tahun lalu telat order gara2 TokPed tutup PO lebih cepat, &amp;amp; tak sempat ke Theater) 😢 Tapi sangat banyak yg 2-shot. 48 ada lah 😃 Lebih banyak dari 1-2 tahun lalu. Terima kasih 😊</t>
  </si>
  <si>
    <t>Horus Osiris Isis</t>
  </si>
  <si>
    <t>BNPT akan Tangani Anak-Anak Yatim Piatu Eks ISIS yang Dipulangkan</t>
  </si>
  <si>
    <t>Negara dimana? Jangan sampai WNI di luar negeri disweeping seluruh dunia lho... @mohmahfudmd @jokowi RT @detikcom: Slamet Maarif memberi waktu pihak Kedubes India untuk berdialog dengan ulama hingga Jumat (13/3) pekan depan. Jika tidak, massa akan sweeping warga India.</t>
  </si>
  <si>
    <t>@vakiyu @karinanananaaaa Semakin banyak lagi pelaku sprti ini jika anak” eks combatan ISIS jd dipulangkan ke Indonesia.</t>
  </si>
  <si>
    <t>nDara Ganjar @ganjarpranowo kados pundi punika? Cc. @Kemenag_RI tuh domestic issue saja begini, mau, urus anak2 eks ISIS? Warga Demo di Balai Kota Semarang Tolak IMB Gereja  via @@soloposdotcom</t>
  </si>
  <si>
    <t>RT @dhe_enoily: Untunglah d Singapura tdk mengenal hukum materai 6000 😌 Indonesia kpn ya lbh tegas lg 😌 . . Jaksa Singapura menganggap JAD sbgai slh satu "organisasi teroris paling berbahaya" d Asia Tenggara</t>
  </si>
  <si>
    <t>@Eno_Bening pemulangan isis, kerajaan, kpai</t>
  </si>
  <si>
    <t>@permadiaktivis Waktu banyak muslim di suriah dibunuhin isis kok mereka gak marah ya 🤔🤔</t>
  </si>
  <si>
    <t>@tiaranif_ @tahsyadt Si isis nih blm masuk kacamata squad sih ah</t>
  </si>
  <si>
    <t>RT @hanifjamals: Fuh dia punya mintak break tu macam cancel order foodpanda</t>
  </si>
  <si>
    <t>RT @Bentalakelam: @WR_4AG226 Kok FPI tdk membakar bendera ISIS ya, padahal ratusan ribu orang mati dibantai, dibunuh,diperkosa, diperbudak,peradaban dihancurkan serta negara hancur, jutaan umat muslim terusir dari negaranya mencari suaka ke negara2 barat...</t>
  </si>
  <si>
    <t>Sebagai WNI, minimal hapal dan tau ya Pancasila dan lagu Indonesia Raya. Itu udh paling minimal banget buat menghargai negara. 😭</t>
  </si>
  <si>
    <t>@gappbaaj @ndtv @Nidhi @nazir_masoodi awesome ...bro ye isis ki sister or delhi riot ki main culprit hai ?? inka propegena fail jo ho gya hai ... or award v to fake rumours k liye hi milti hai naa . . bura mat manna qki sayad inke blood me v islam hai qki hindu to terrorist hai ..</t>
  </si>
  <si>
    <t>RT @alva_roe_lee_: Ketahuan Sumbang Dana ke ISIS, Singapura Penjarakan WNI</t>
  </si>
  <si>
    <t>Masyarakat diimbau dukung pemerintah terkait eks WNI ISIS</t>
  </si>
  <si>
    <t>@mas__piyuuu Akibat tertipu rayuan ISIS ....</t>
  </si>
  <si>
    <t>#StayCoolCegahCorona Gak tau yaaa. Klau FPI tuh bibitnya ISIS.. #StayCoolCegahCorona RT @Bentalakelam: @WR_4AG226 Kok FPI tdk membakar bendera ISIS ya, padahal ratusan ribu orang mati dibantai, dibunuh,diperkosa, diperbudak,peradaban dihancurkan serta negara hancur, jutaan umat muslim terusir dari negaranya mencari suaka ke negara2 barat...</t>
  </si>
  <si>
    <t>RT @dubie_tina: NIH FAKTA ABOUT TV ONE HTI ISIS RADIKAL CUUUUYY ! ! MAKANYA JAUH DARI KATA IDEALIS NASIONALIS KEBANGSAAN, KAUM KADRUN CUUY ! ! ! 👻👹👺🤡💩💩🐪🦇💩💩❗️❗️👎👎👎👎👎👎👎</t>
  </si>
  <si>
    <t>NIH FAKTA ABOUT TV ONE HTI ISIS RADIKAL CUUUUYY ! ! MAKANYA JAUH DARI KATA IDEALIS NASIONALIS KEBANGSAAN, KAUM KADRUN CUUY ! ! ! 👻👹👺🤡💩💩🐪🦇💩💩❗️❗️👎👎👎👎👎👎👎 RT @dewi_darmawati: @NyiMasRuminah kl begitu @TvOne_News sama sekali ga pantas jadi rujukan berita di #NKRIberPancasila ... #JagaNKRIberPancasila #JagaNKRIberBhinnekaTunggalIka #BukanNKRIberKhilafah #BukanNKRIberSyariah</t>
  </si>
  <si>
    <t>@WR_4AG226 Kok FPI tdk membakar bendera ISIS ya, padahal ratusan ribu orang mati dibantai, dibunuh,diperkosa, diperbudak,peradaban dihancurkan serta negara hancur, jutaan umat muslim terusir dari negaranya mencari suaka ke negara2 barat...</t>
  </si>
  <si>
    <t>RT @kompascom: Ansyaad Mbai mengatakan, paham radikalisme lebih berbahaya dibanding virus corona yang merebak beberapa waktu terakhir.</t>
  </si>
  <si>
    <t>NAPA SIH SUJU UDAH KAYA WNI RT @shfly3424: Sudah akhir pekan? 😟</t>
  </si>
  <si>
    <t>@Abraham91108815 @duo_hh @P3nj3l4j4h_id Jihad kan niat hati kok lu bilang diizinkan atau tidak, klw lu pengen jihad tinggal pergi aja kayak isis dulu 😂</t>
  </si>
  <si>
    <t>RT @GalihDwiKurnia4: Jangan sampai Kelompok Hindu Nasional di India membalas dengan melakukan sweeping WNI.</t>
  </si>
  <si>
    <t>@i_theindian @Say_PKMKB Agar rss Isis hota to tu abtak ye comments likh nahi raha hota</t>
  </si>
  <si>
    <t>@msaid_didu Selain ekstrimis, mereka juga sampah peradaban. Emang di india ga ada WNI.. GOBLOK!</t>
  </si>
  <si>
    <t>WNI World Dream dan Diamond Princess akan menjalani masa karantina selama 14 hari. #PulauSebaru #AGPeduli #ArthaGrahaPeduli #Coronavirus #Corona #Covid19</t>
  </si>
  <si>
    <t>@kharismagp @kompascom aYu tInG TiNg yAnG TiNgGaL Di dEpOk, JaWa bArAt, KaGeT MeNdEnGaR DuA WnI YaNg pOsItIf vIrUs cOrOnA TiNgGaL Di dEpOk.</t>
  </si>
  <si>
    <t>RT @musniumar: Tadi malam kami debat dua sisi di TV ONE ttg Penangan Virus Corona. Saya katakan kita lelet. Arab Saudi sdh stop umrah dari Indo. karena kita sdh terpapar virus corona kita baru umumkan ada 2 WNi positif kena Virus Corona</t>
  </si>
  <si>
    <t>@Bentalakelam Mendingan ISIS. Mau sadis sekalian sadis. Lah ini pura2 sadis kalo ada amplopnya 🤣🤣🤣 parah pren...unik tapi nyata. Cuman ada di negara kita aja kali yah. 😜</t>
  </si>
  <si>
    <t>RT @tvOneNews: Pemerintah masih memantau perkembangan 4 WNI positif corona yang saat ini menjalani observasi dan isolasi di RSPI Sulianti Saroso. Secara keseluruhan kondisi mereka dalam keadaan baik. #tvOneNews #MelawanVirusCorona #KamiTidakTakutCorona</t>
  </si>
  <si>
    <t>@Datuakpanduko2 @karniilyas Kadrun: "Jangan kaitkan islam dengan terorisme, ISIS bukan islam! 😠" Also Kadrun: "Hindu teroris 😚"</t>
  </si>
  <si>
    <t>RT @Apriil68: Bersyukur atas kabar tentang kondisi WNI di Jepang sudah sembuh, disampaikan Menlu Retno Marsudi saat bertemu para pemimpin redaksi media nasional di Jakarta. #StayCoolCegahCorona</t>
  </si>
  <si>
    <t>RT @merdekadotcom: Pemerintah Data WNI Eks Kombatan ISIS untuk Cegah Masuk RI Secara Ilegal</t>
  </si>
  <si>
    <t>@saidiman Nanti gantian orang India sweeping dan persekusi muslim &amp; WNI di sana pada bingung, ngerengek minta di evakuasi hanya karena kelakuan segelintir orang, susah 1 kampung 🙄</t>
  </si>
  <si>
    <t>#CoronaBisaTeratasi Baru 4 WNI yg positif kena #Corona Tapi yg komen macam Fahira dg hoaxnya, Politisi, bahkan Ngulamak sperti Tengu &amp; Dun Samsidun ikut Mbacot yg di Amini Netijen2 yg takut Mati kena Corona Padahal DBD di NTT udah membunuh 21 Orang gak seheboh Corona</t>
  </si>
  <si>
    <t>Kegiatan yang mengambil tema “Gizi Tepat, Generasi Sehat” tersebut diikuti oleh 40 orang WNI yang termasuk dalam kategori Ibu muda yang mempunyai anaks usia balita #inidiplomasi #indonesianway</t>
  </si>
  <si>
    <t>Banyaknya WNI di Khartoum yang berusia muda dan mempunyai anak balita telah mendorong Dubes RI Khartoum (Rossalis R. Adenan) untuk menyelenggarakan suatu program yang dapat membantu meningkatkan kualitas hidup para balita tersebut #inidiplomasi</t>
  </si>
  <si>
    <t>KBRI Khartoum selenggarakan “Parenting Day” untuk WNI yang mempunyai balita.</t>
  </si>
  <si>
    <t>RT @merdekadotcom: Jadi Juru Mesin, 1 WNI Pilih Bertahan di Kapal Diamond Princess</t>
  </si>
  <si>
    <t>@AnakLolina @tagarnews Kok FPI tdk membakar bendera ISIS ya, padahal ratusan ribu orang mati dibantai, dibunuh,diperkosa, diperbudak,peradaban dihancurkan serta negara hancur serta jutaan umat muslim terusir dari negaranya mencari suaka ke negara2 barat...</t>
  </si>
  <si>
    <t>@yonsas888 Kok FPI tdk membakar bendera ISIS ya, padahal ratusan ribu orang mati dibantai, dibunuh,diperkosa, diperbudak,peradaban dihancurkan serta negara hancur serta jutaan umat muslim terusir dari negaranya mencari suaka ke negara2 barat...</t>
  </si>
  <si>
    <t>Meski masih diduga, tapi ada pengaruh lambannya pemerintah STOP WNA dari China &amp; Jepang masuk Indonesia. 4 WNI positif juga bisa dibilang krn tdk mau stop tadi. Jgn mainkan nyawa vs devisa turis! @karniilyas @Fahrihamzah @jansensitindaon @jokowi @Menlu_RI @Kemlu_RI @pandji RT @pikiran_rakyat: RSUD Cibabat Cimahi Terima Satu Pasien Bergejala Corona COVID-19, Pasien Berstatus dalam Pemantauan dan Pernah Kontak dengan Turis Jepang</t>
  </si>
  <si>
    <t>Oh..SADAm Husein itu hanya Komandan ISIS..sudah lama..pernah di beritakan Meninggal Dunia,dan sempat sembunyi di papua,jadi dokter dan tugas di Jakarta,kemudian menikah dengan selirnya baru baru ini,si ino dan selingkuh dengan duchess camilla,lumayan lama,sejak ada louis</t>
  </si>
  <si>
    <t>@Alimasoom123 @asadowaisi Haan puri duniya mein bomb blast jo ho rhe hain jo bhi terrorist activities ho rhi hai sab RSS kar rhi hai..Syria aur Iraq mein bhi iSIS nhi RSS hi maar rhi hai sabko...apna ghar sambhal dusre k ghar jhaankna band kar de</t>
  </si>
  <si>
    <t>RT @DamnLoveNKRI: @koalisi_i @RomeskoP Harus &amp; sudah waktunya..... Intoleran sudah mengGILA di NKRI ini....mereka merasa yg punya negara....mereka mau meng Islam kan seluruh WNI. KADRUN SINTING &amp;amp; sekarang didukung wapres yg GILA SYARIAH ( cc @jokowi .... Semoga Bapak Presiden tidak seGILA wapres )</t>
  </si>
  <si>
    <t>Eks Napiter: WNI Eks ISIS Bisa Berubah Walaupun Sulit</t>
  </si>
  <si>
    <t>RT @ed_tirta: Gadis 15th pembunuh balita ditanya polisi gimana perasaanya ? Dijawab " biasa adja " . Busyet ini mah bs dilirik jd kader isis .</t>
  </si>
  <si>
    <t>Yang bahaya otak kotornya si SADAm Husein,mau kuasai kota..Bangsat motivasi,dan Komandan ISIS</t>
  </si>
  <si>
    <t>WNI ABK Diamond Princess Akan Di Observasi</t>
  </si>
  <si>
    <t>@KapilMishra_IND @InternetYodha @PatharBaaz Yaha ke terrorists bhi ISIS ka mode follow kar rahe hain.</t>
  </si>
  <si>
    <t>@permadiaktivis @RizmaWidiono Sepak terjang kok plek jeblek persis ISIS</t>
  </si>
  <si>
    <t>@altaviaralam Rasanya kalo WNI cuma dikasi declaration deh tong</t>
  </si>
  <si>
    <t>8 WNI Diamond Princess yang Sembuh Corona Diobservasi di Karawang Sementara satu orang lainnya memutuskan untuk tetap tinggal di kapal karena merupakan tenaga inti kapal tersebut #ValidNih</t>
  </si>
  <si>
    <t>Anggota perempuan disebut lebih radikal dan militan</t>
  </si>
  <si>
    <t>Rss india isis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 #पीएम_पनौती</t>
  </si>
  <si>
    <t>@faizalassegaf Bedalah perang salib dengan ISIS.</t>
  </si>
  <si>
    <t>RT @puslatluhkp: Kemarin, Presiden @jokowi telah mengumumkan dua WNI postif corona di Indonesia. Mimin menghimbau kpd #MinaMania semua untuk tetap waspada dan jangan panik dalam menghadapi virus ini. #KamiTidakTakutVirusCorona #CoronaOutbreak #Selingan #Kkp</t>
  </si>
  <si>
    <t>Mohon segera di validasi kebenaran berita ini. Jika benar, semoga segera ada tindakan tegas dari aparat penegakan hukum seblm berkembang besar. Viral Bendera ISIS Berkibar Lagi pada Aksi Peduli Muslim India di Poso via @melekpolitikcom</t>
  </si>
  <si>
    <t>RT @kompascom: Haris menuturkan, usia bukan menjadi halangan bagi seseorang untuk terpapar paham radikalisme ~ #Nasional</t>
  </si>
  <si>
    <t>Komitmen Pemerintah dalam menangani dan melindungi Warga Negara Indonesia (WNI) ditunjukan dengan mempersiapkan berbagai Rumah Sakit rujukan di seluruh Indonesia, serta protokol penanganan _Corona_ yang telah berjalan dengan baik.</t>
  </si>
  <si>
    <t>tetap aja bikin malu, WNI loh RT @nnjungxrn:  first time I saw " ah gila malu bgt pancasila gatau SH loh" come on I've also felt like that, its okay kalista this will be your most memorable experience👍👌</t>
  </si>
  <si>
    <t>RADIKALAN mana? sama pecinta KHILAFAH yg jelas-jelas makarnya sang illahi yg punya..? . . Hei Abu Gosok @permadiaktivis @AktivisPermady Bin Syaithon dan Temen-temennya. Gw tanya bwt lo yg anti khilafah dan menuduh seolah-olah menurut lo tuh bagian penganut isis..? #BangsatBangsa RT @zarazettirazr: Mau niru Honggo dan Harun Masiku rupanya #NGABUR "Setelah didapati alat bukti yang cukup dan adanya informasi bahwa tersangka hendak ke luar negeri, maka kita lakukan upaya paksa penangkapan,"</t>
  </si>
  <si>
    <t>Komitmen Pemerintah dalam menangani dan melindungi Warga Negara Indonesia (WNI) ditunjukan dengan mempersiapkan berbagai Rumah Sakit rujukan di seluruh Indonesia, serta protokol penanganan Corona yang telah berjalan dengan baik.</t>
  </si>
  <si>
    <t>INGAT!!! Jgn dipolitisir &amp; diplintir, mksdnya Warga India atau WNA. BUKAN WNI baik itu asli atau keturunan India. Paham kan? RT @detikcom: Slamet Maarif memberi waktu pihak Kedubes India untuk berdialog dengan ulama hingga Jumat (13/3) pekan depan. Jika tidak, massa akan sweeping warga India.</t>
  </si>
  <si>
    <t>@massyomay Kok lu tau?? Dia mau jd wni biar gampang nikahin guaa</t>
  </si>
  <si>
    <t>@kevyetunelma pokonya dia mau jadi WNI wlwl</t>
  </si>
  <si>
    <t>bomba lg ng bomba parang isis</t>
  </si>
  <si>
    <t>kasus Rohingya, Selandia Baru, ISIS, India, bom Bali dll bermuara dari idiologi radikal. Membiarkan ideologi radikal tumbuh = Terorisme. #indiamuslimsindanger</t>
  </si>
  <si>
    <t>RT @LuwitaEmilly878: Berarti eks WNI pro ISIS juga di larang masuk 💪💪</t>
  </si>
  <si>
    <t>Komitmen Pemerintah dalam menangani dan melindungi Warga Negara Indonesia (WNI) ditunjukan dengan mempersiapkan berbagai Rumah Sakit rujukan di seluruh Indonesia, serta protokol penanganan _Corona_ yang telah berjalan dengan baik. Semua pihak seharusnya bersatu menghadapi Corona.</t>
  </si>
  <si>
    <t>@ezash Berhubung ada org jepang di kntr gue &amp; bbrpa hari lalu dia ke jepang (u knw corona dsn gmn), bgtu tau pejabat tinggi lg balik ke kmpngnya trs pejabat tinggi yg WNI dikantor gue ada yg panik krn takut WNA itu bawa virus. Isunya minggu dpn dia balik, berdoa ajalah smg baik-baik aja</t>
  </si>
  <si>
    <t>@shfly3424 Udhlah jadi wni sekalian aja bang 😭😭</t>
  </si>
  <si>
    <t>Yatim Piatu Eks-WNI ISIS Diprioritaskan Pulang ke Tanah Air</t>
  </si>
  <si>
    <t>@musniumar Silahkan anda simpulkan video ini jika menurut anda FPI bukan kelompok radikal atau ekstremis menurut anda, Pak.. Mereka menyatakan dukungannya terhadap ISIS.</t>
  </si>
  <si>
    <t>Meragukan,,, mau didata darimana,,, wong terorisnya jg sdh banyak di Indonesia koq ===&gt;&amp;gt; Pemerintah Data Eks WNI Kombatan ISIS untuk Cegah Masuk RI Secara Ilegal |</t>
  </si>
  <si>
    <t>Mantan Napi Teroris Dukung Pemerintah Tolak Eks-WNI ISIS</t>
  </si>
  <si>
    <t>@shfly3424 Wkwk ga diragukan bisa jadi WNI ini mah🤧 aa yesung😘</t>
  </si>
  <si>
    <t>@wonindaeyo Trus istrinya orng indo jugak wkwkwk yauda jadi WNI aja sini 😭😂</t>
  </si>
  <si>
    <t>@musniumar Ah polos,jgn hanya lihat ke India, ratusan ribu bahkan lebih mati konflik sesama muslim kok diam,apalagi sampai perbudakan,pembunuhan dgn teriak take a beer,situs peradaban muslim hancur,kelaparan kok diam aja,apalagi ada ormas atau WNI yg mengaku bersaudara dgn ISIS &amp; berjuang</t>
  </si>
  <si>
    <t>RT @AbahDigul: @Detektif_Ngibul @TolakBigotRI @narkosun @amrudinnejad_ @jr_kw19 @wahhabicc_jabar @WahhabiCC @BadjaNuswantara @AfifFuadS @P3nj3l4j4h_id Ternyata belatung-belatung ISIS masih berkeliaran, ayo gebuk!</t>
  </si>
  <si>
    <t>Dear popcorn aka pc... sleep well okay.. uda sorry sbb tak dapat jaga awak😭😭😭 uda love you so so so soooo much❤</t>
  </si>
  <si>
    <t>@musniumar ISIS JAD NII DI TII JI ALQAEDA dst tdk pernah ada yg mengaku radikal dan ekstrimis..</t>
  </si>
  <si>
    <t>Seronok do dapat tngok bola kat rumah</t>
  </si>
  <si>
    <t>Aku baru nak happy hahahaha skrg aku takut balik ☹</t>
  </si>
  <si>
    <t>@GunRomli @KakekHalal @aniesbaswedan Mereka kira WNI kaga ada di India? Goblok</t>
  </si>
  <si>
    <t>uda jadi WNI aja RT @shfly3424: Sudah akhir pekan? 😟</t>
  </si>
  <si>
    <t>"Dia adalah juru mesin dan harus bawa kapal ke Seattle"</t>
  </si>
  <si>
    <t>Pemerintah evakuasi 68 WNI dari kapal Diamond Princess</t>
  </si>
  <si>
    <t>Empat warga negara Indonesia (WNI) kru kapal Diamond Princess yang positif virus korona dinyatakan sembuh oleh pemerintah Jepang. Kini keempat kru kapal tersebut telah dipulangkan ke Tanah Air.</t>
  </si>
  <si>
    <t>Pemerintah Data WNI Eks Kombatan ISIS untuk Cegah Masuk RI Secara Ilegal</t>
  </si>
  <si>
    <t>RT @MZubir_ID: @mediaindonesia Eks teroris ISIS dan teroris anak-anak ISIS eks WNI itu wabah ideologi yang sangat berbahaya. Puluhan ribu orang dibunuh oleh teroris ISIS dan anak-anak ISIS. Mereka tidak layak dipulangkan, mereka akan tetap teroris. @mohmahfudmd @BNPTRI</t>
  </si>
  <si>
    <t>@Detektif_Ngibul @TolakBigotRI @narkosun @amrudinnejad_ @jr_kw19 @wahhabicc_jabar @WahhabiCC @BadjaNuswantara @AfifFuadS @P3nj3l4j4h_id Ternyata belatung-belatung ISIS masih berkeliaran, ayo gebuk!</t>
  </si>
  <si>
    <t>RT @mediaindonesia: Haris mengatakan eks WNI yang berangkat menjadi kombatan IS atas pilihan ideologi dan jelas menyatakan tidak mengakui NKRI sebagai negara mereka.</t>
  </si>
  <si>
    <t>@permadiaktivis Yaman diserang saudi kok WNI wahabi gak disweeping?</t>
  </si>
  <si>
    <t>RT @faridafarichah: @AnnQuann @innovesian Inget banyak orang mentertawakan pemerintah kita waktu nyemprot desinfektan ke rombongan WNI dari China. Pemerintah sudah berusaha maksimal utk melindungi kita dari Corona gaes. Percayalah...</t>
  </si>
  <si>
    <t>Pemerintah mengungkap ada satu warga negara Indonesia (WNI) kru kapal pesiar Diamond Princess yang menolak dievakuasi bersama 69 rekannya. Satu WNI itu memilih bertahan karena memegang peran penting dalam pengendalian kapal.</t>
  </si>
  <si>
    <t>RT @ZAEffendy: 7 Maret-Jubir Kemenkes/Ahmad Yurianto: Sampai hari ini total ada 11 pasien WNI Suspect #COVID19, rawat isolasi, 5 di RSPI SS, Sunter Jakut, 1 di RSUP Persahabatan Jaktim, 1 di Bandung(RS?) dan 4 di sejumlah wilayah(Kota/RS?)</t>
  </si>
  <si>
    <t>RT @luahansemua: Part yg paling susah ialah Menafikan perasaan jealous dalam hati.</t>
  </si>
  <si>
    <t>@mediaindonesia Eks teroris ISIS dan teroris anak-anak ISIS eks WNI itu wabah ideologi yang sangat berbahaya. Puluhan ribu orang dibunuh oleh teroris ISIS dan anak-anak ISIS. Mereka tidak layak dipulangkan, mereka akan tetap teroris. @mohmahfudmd @BNPTRI</t>
  </si>
  <si>
    <t>Sumbang Organisasi Pendukung Teroris, Pengadilan Singapura Hukum 3 WNI</t>
  </si>
  <si>
    <t>RT @cafebiru88: Tomy Winata merasa sangat banggga menjadi bagian observasi bagi WNI yang berpotensi terkena virus corona. #VirusCorona #Corona #PulauSebaru #AGPeduli #ArthaGrahaPeduli</t>
  </si>
  <si>
    <t>WNI Diamond Princess yang Sembuh dari Corona Akan Tetap Diobservasi</t>
  </si>
  <si>
    <t>Terbukti Dukung Terorisme, Pengadilan Singapura Vonis 3 WNI Bersalah</t>
  </si>
  <si>
    <t>@SammiSoh Sabar bro...gak semua harus lsg ke pucuk pimpinan,kan ada pembantunya Kapolri,Kemenkopolhukam kemana aja mereka??? Masih sibuk ngurus bibit teroris apa gmn? Yg sudah jelas di depan mata gk terurus kok malah ngurus yg sudah keluar dari WNI</t>
  </si>
  <si>
    <t>@BirgaldoS @jokowi @mohmahfudmd @BPIPRI @BNPTRI Kalo utk korban / mantan isis jg boleh kok pak bapak</t>
  </si>
  <si>
    <t>Nih, Kondisi Terbaru WNI yang Jalani Observasi di Pulau Serbaru Kecil</t>
  </si>
  <si>
    <t>RT @mediaindonesia: Mereka belum akil balig, jadi belum punya identitas," kata Tenaga Ahli Utama Kantor Staf Presiden RI, Donny Gahral</t>
  </si>
  <si>
    <t>@musniumar anda kok ndak ngecam,,,saat isis memberontak disuriah?</t>
  </si>
  <si>
    <t>Pemerintah Tak Bisa Paksa Pulang WNI yang Tetap di Diamond Princess  via @idntimes</t>
  </si>
  <si>
    <t>@Afridijank @GulBukhari Jab Afghanistan ki sir Zameen pr TTP, ISIS, Daesh or RAW jaise Nikami or Nakam Dheshatgard tanzeemy Pakistan k khilaf istemal ho sakte hain to humnr America or NATO ko shekest deny walo ka interview kiya hai jis k kabze me 60% Afghanistan hai</t>
  </si>
  <si>
    <t>@addiems Mas adi ndengerin musik tsb bulu kuduk ku ampe berdiri... betapa bangganya kita menjadi WNI yg jaman dahulu di sebut pulau emas OFIR... 👍👍👍</t>
  </si>
  <si>
    <t>Haris mengatakan eks WNI yang berangkat menjadi kombatan IS atas pilihan ideologi dan jelas menyatakan tidak mengakui NKRI sebagai negara mereka.</t>
  </si>
  <si>
    <t>WNI ABK di Pulau Sebaru Kecil Laksanakan Sholat Jum'at</t>
  </si>
  <si>
    <t>WNI ABK di Pulau Sebaru Kecil Laksanakan Sholat Jum'at: Warga Negara Indonesia (WNI) awak…</t>
  </si>
  <si>
    <t>@gamban01 @permadiaktivis Kalau Rizieq Shihab percaya ya om ISIS percaya ya itu Islam Mantap..</t>
  </si>
  <si>
    <t>RT @tufairies: Dr: ada rasa nak bunuh diri? Wife: ada Dr: but what stops you from suicide? Wife: kalau saya bunuh diri, sia sia la amalan saya selama saya hidup di dunia GOOD JOB DARLING. YOU SEE THATS WHY MUSLIM LESS LIKELY TO COMMIT SUICIDE fyi</t>
  </si>
  <si>
    <t>@faizalassegaf @GunRomli @muannas_alaidid Dan Karena Ahok sudah diadili, sebaiknya laporan pelanggaran hukum seperti ini Diproses Hukum.. karena Semua WNI Sama Di Hadapan Hukum... Bukan Soal Pilpres!</t>
  </si>
  <si>
    <t>@kumparan daripada motor masuk Jalan Tol (ol) lebih baik, setiap WNI per 1 KK hanya boleh memiliki 1 Kendaraan Bermotor sanksi apabila melanggar Penjara</t>
  </si>
  <si>
    <t>RT @bawaslu_RI: 4. Syarat &amp; Ketentuan: - Peserta merupakan Warga Negara Indonesia (WNI) dan bertempat tinggal di wilayah Republik Indonesia. - Memiliki Kartu Identitas diri yang masih berlaku (kartu pelajar/KTP/SIM) untuk wajib untuk proses verifikasi.</t>
  </si>
  <si>
    <t>Pemerintah masih memantau perkembangan 4 WNI positif corona yang saat ini menjalani observasi dan isolasi di RSPI Sulianti Saroso. Secara keseluruhan kondisi mereka dalam keadaan baik. #tvOneNews #MelawanVirusCorona #KamiTidakTakutCorona</t>
  </si>
  <si>
    <t>Mereka bepotensi pindah ke negara lain atau mencari tempat baru untuk kembali membentuk kekuatan.</t>
  </si>
  <si>
    <t>RT @futureadyID: Kabar mengenai 2 WNI yg positif terinfeksi virus corona menyebabkan kepanikan massal. Akibatnya, banyak orang berbondong-bondong membeli masker sebagai salah satu upaya pencegahan. Namun, tahukah kamu bahwa tidak semua orang wajib menggunakan masker?</t>
  </si>
  <si>
    <t>@GunRomli @aniesbaswedan Nanti kalo WNI yg ada di India bales disweeping apa mereka tanggung jawab ?</t>
  </si>
  <si>
    <t>bawa bendera ISIS besooook yaaaa</t>
  </si>
  <si>
    <t>RT @eko2471: @Namaku_Mei @agama_nusantara Alhamdulillah, bisa lanjut hidup seminggu. Yang dijateng nyolong susu saja diurus dinsos. Yg kayak gini kemenag harusnya juga anggarkan, bukan malah impor isis mulu yg dipikir.</t>
  </si>
  <si>
    <t>Juru Bicara Penanganan Virus Corona, Achmad Yurianto menyatakan, hingga saat ini tercatat sudah ada empat WNI yang positif virus corona dan 11 orang dinyatakan suspect. Cek berita selengkapnya klik</t>
  </si>
  <si>
    <t>Lantas, bagaimana menurut anda? ____________ #himahi #himahiunas #unas1949 #SEKILASHI #ISISEKSWNI #ISIS</t>
  </si>
  <si>
    <t>Keluarga mereka yaitu perempuan dan anak-anak pun ditempatkan di kamp pengungsian dengan kondisi yang memprihatinkan. Terdapat pula WNI eks ISIS yang meminta untuk dipulangkan ke tanah air. Hal tersebut pun mengundang pro dan kontra dari berbagai pihak dengan sejumlah alasan.</t>
  </si>
  <si>
    <t>SEKILAS HI✨ Kemenangan SDF (Pasukan Demokratik Suriah) pada pertempuran terakhir tiga tahun yang lalu berakhir dengan ditahannya hampir 12.000 kombatan ISIS, dan 2.000 diantaranya merupakan kombatan asing.</t>
  </si>
  <si>
    <t>@meow_leader @musniumar Beda dong cuuuyyy , d india g ada yg ngikut isis 👇👇</t>
  </si>
  <si>
    <t>RT @Olddog1127: #CHANYEOL #찬열 NNG=NANUMI</t>
  </si>
  <si>
    <t>@faizalassegaf @okezonenews Sama sama bahaya bang isis dan corona..</t>
  </si>
  <si>
    <t>@Namaku_Mei @agama_nusantara Alhamdulillah, bisa lanjut hidup seminggu. Yang dijateng nyolong susu saja diurus dinsos. Yg kayak gini kemenag harusnya juga anggarkan, bukan malah impor isis mulu yg dipikir.</t>
  </si>
  <si>
    <t>RT @alva_roe_lee_: Seorang Tenaga Kerja asal Indonesia atau TKI dipenjara selama dua tahun di Singapura akibat ketahuan mendanai sebuah kelompok teroris yang berkaitan ISIS</t>
  </si>
  <si>
    <t>RT @baitagroup13: @msaid_didu Kebijakan larangan transit atau pendatang dari china udah duluan bung..sebelum indo menjemput wni dari wuhan. Yang deplu china memprotes indo atas kebijakan tsbt, karena menurut china berlebihan. Dan kebijakan utk korea,iran dan itali itu kebijakan kedua. Didu ini Tolol ap dungu?</t>
  </si>
  <si>
    <t>Pengadilan Singapura Hukum 3 WNI Terlibat Pendanaan Kelompok Teroris</t>
  </si>
  <si>
    <t>RT @KompasTV: TOP 3 NEWS I Balita 5 Tahun Dibunuh I 4 WNI Positif Corona I Kota Betlehem Ditutup</t>
  </si>
  <si>
    <t>@kalong9669 @conan_idn @IndianEmbJkt Kelakuan apa pun ada aja pembelanya, contohnya kelakuan ISIS &amp; Hindu India radikal ada aja yg bela</t>
  </si>
  <si>
    <t>ISIS juga kejam terhadap umat Islam, Pak. FYI aja. RT @tifsembiring: Boikot produk India, kejam terhadap ummat Islam...💪</t>
  </si>
  <si>
    <t>Semua WNI sama di mata hukum..walaupun dia anggota DPD...harusnya seorang pejabat ganjarannya harus lebih berat jika terbukti melawan hukum. RT @elkrova: @muannas_alaidid</t>
  </si>
  <si>
    <t>ISIS nagih utang listrik sedunia skrg .... ?????</t>
  </si>
  <si>
    <t>@agnes_djamis @PolhukamRI @mohmahfudmd @kadivhumaspolri Bahkan cenderung tidak punya pendirian, segala anak ISIS di bela dgn mengorbankan masa depan NKRI. Negeri Carut-marut.</t>
  </si>
  <si>
    <t>@Mohammad3954587 @fazlur31 @abbas_nighat Rahat karya karti hain, rescue teams &amp; medical camps establish karti hain &amp;amp; ISIS logon ko Allah o Akbar bol kar maar daalti hain. RSS aur ISIS ko compare karne ka tum logon propaganda ab nahin chalega. Agar RSS terrorist organization hoti, to 1926 se ab tak ban kyon nahi hui? 2/2</t>
  </si>
  <si>
    <t>@wahhabicc_jabar @ISIS_Balik_NO CUMI aja.....cuma mingkem</t>
  </si>
  <si>
    <t>RT @salsabilaa321: 2 wni terindikasi corona sudah ditangani #StayCoolCegahCorona</t>
  </si>
  <si>
    <t>RT @aqilahazmi_: seorang abang mencari adiknya utk naik pentas bersama "anis mano anis" aaaaaw i cannot🤧</t>
  </si>
  <si>
    <t>Mereka belum akil balig, jadi belum punya identitas," kata Tenaga Ahli Utama Kantor Staf Presiden RI, Donny Gahral</t>
  </si>
  <si>
    <t>RT @zierahhgasp: dulu rapat sangat , sekarang lalu pun taknak pandang</t>
  </si>
  <si>
    <t>@GalihDwiKurnia4 Moncrot mah klo ampe dibales. Secara WNI di India ada banyak.</t>
  </si>
  <si>
    <t>RT @KompasTV: TOP 3 NEWS - Sabtu, 7 Maret 2020: Balita 5 Tahun Dibunuh I 4 WNI Positif Corona I Kota Betlehem Ditutup. Simak selengkapnya di video berikut.</t>
  </si>
  <si>
    <t>WNI Kru Diamond Princess yang Sembuh Corona Akan Diobservasi 14 Hari di Karawang</t>
  </si>
  <si>
    <t>RT @AriestaRiico: Alhamdulillah Puji Tuhan Kabar tentang kondisi WNI di Jepang sudah sembuh, disampaikan Menlu Retno Marsudi saat bertemu para pemimpin redaksi media nasional di Jakarta. #StayCoolCegahCorona</t>
  </si>
  <si>
    <t>@AnnQuann @innovesian Inget banyak orang mentertawakan pemerintah kita waktu nyemprot desinfektan ke rombongan WNI dari China. Pemerintah sudah berusaha maksimal utk melindungi kita dari Corona gaes. Percayalah...</t>
  </si>
  <si>
    <t>@romadistabat @Natharin__ Tapi kenapa pemerintah mau impor eks isis. Sama Saja mengimpor virus.</t>
  </si>
  <si>
    <t>RT @validnewsco: Dalam upaya melindungi WNI dari penularan virus corona atau COVID-19, selama periode ini, sudah 118 WNA yang ditolak masuk ke Indonesia. #ValidNih</t>
  </si>
  <si>
    <t>Pengadilan Singapura vonis 3 WNI karena dukung terorisme</t>
  </si>
  <si>
    <t>Pemerintah Terus Data WNI Eks ISIS, Antisipasi Masuk Tanah Air secara Ilegal</t>
  </si>
  <si>
    <t>RT @bintangforza: Puteri Pancasila 2020 di Puteri Indonesia 2020! 👍🏿 Layak dijadikan Duta Pancasila.</t>
  </si>
  <si>
    <t>Pemerintah masih mengkaji rencana pemulangan anak-anak warga negara Indonesia (WNI) eks ISIS dengan mempertimbangkan sejumlah hal. Saat ini pemerintah masih fokus mendata jumlah anak-anak WNI eks ISIS di luar negeri beserta keberadaannya.</t>
  </si>
  <si>
    <t>@Restichayah Materi Pancasila suatu kewajiban, akan tetapi identitas apapun seharusnya tidak menjadi permasalahan. Ya udah, biar adem, ntar dibuat peraturan yg wni keturunan Cina dan Kristen nggak boleh ikut. Bener gitu ya ?</t>
  </si>
  <si>
    <t>RT @wahhabicc_jabar: MUI Klarifikasi? Tetap aja masih GAK JELAS! Mingkem Lebih Baik!</t>
  </si>
  <si>
    <t>RT @Khafidar_: @liputan6dotcom Coba cek link beritanya, medianya juga salah. Duhh</t>
  </si>
  <si>
    <t>@nattayu Tergantung tujuan dan sejauh ini ga ada negara yang melarang WNI datang ke negaranya.</t>
  </si>
  <si>
    <t>@ANDINI_MAHARAN1 @Vwi_Vwi @lelakimusaja @coffeeandme_ Terus loe mau blg apa? Solusinya Khilafah? 🤭🤭 Tengok sodaramu2 eks wni yg kesuriah gabung isis demi 'Solusi' khilafah. 😎 Pd akhirnya mewek2 ke rezim thogut, minta diselamatkan dr hukuman mati rezim Bashar 🤭🤭</t>
  </si>
  <si>
    <t>RT @saaariii___: PEA 212 ini keterlaluan ya, macam kalian aja yg punya NKRI Seolah2 cuma kalian yg punya rasa kemanusiaan yg tinggi, padahal kerjaan kalian cuma dari demo berjilid2 doang Duta Besar India Keberatan Bendera Negaranya Dibakar Saat Demo PA 212 di Jakarta</t>
  </si>
  <si>
    <t>@ElfahmiL @andre_rosiade @fadlizon @irwanprayitno Yang perlu dibenahi adalah PENDIDIKAN DI SUMBAR..... emak2nyapun tak jauh dr calon putri ini.....saya yakin....kagak pernah makan SEMEN !</t>
  </si>
  <si>
    <t>RT @permadiaktivis: @ElfahmiL @FerdinandHaean2 @Dennysiregar7 @TsamaraDKI @adearmando1 gue muslim, gak ngurusin agama orang</t>
  </si>
  <si>
    <t>RT @sendycris: @Rafiqi_MR @gm_gm @boediono Aleppo marayakan kemenangan lepas dr rebels dan ISIS, di Univ of Aleppo dan Al Azeezieh Sqr.</t>
  </si>
  <si>
    <t>RT @muannas_alaidid: Terimakasih masukannya, meski saya tau tuit anda juga nampak penuh narasi kebencian &amp; caci maki, tapi gak ada kaitan laporan ini dengan ahok, masalahnya bagaimana dgn masy kecil disana yg mengalami kasus yg sama, sementara mereka ditangkap dan dipenjarakan ?</t>
  </si>
  <si>
    <t>TOP 3 NEWS I Balita 5 Tahun Dibunuh I 4 WNI Positif Corona I Kota Betlehem Ditutup</t>
  </si>
  <si>
    <t>@Dennysiregar7 @DivHumas_Polri Oke silahkan sweeping , jika warga india malaysia dengar tunggu tgl main nya ,,, WNI di malaysia di sweeping ganti disana , WNI malaysia lebih mudah di zolimi krn hny warga pendatang utk cr kerja .... Otak klo PA ya gitu 7jt plus PA semua</t>
  </si>
  <si>
    <t>@AdityaRahayu76 @msaid_didu Satu kata tuk si didupekok KONTOL</t>
  </si>
  <si>
    <t>RT @Jaaizaah: Akan ku simpan namamu disetiap sujudku</t>
  </si>
  <si>
    <t>@msaid_didu Anda kurang KERJAAN atau SAKIT JIWA ?</t>
  </si>
  <si>
    <t>RT @DTanjung15: Laporan balik Fahira Idris bisa jadi Di TOLAK POLISI karna tidak ada Dasar Hukum dan Pasal yg akan di kenakan. Fahira merasa di Fitnah🤣 Yg fitnah siapa, jelas siapapun yg menyebarkan hoax itu akan di proses hukum. Untuk menutupi Rasa Malu dia Berpura-pura Minta Maaf</t>
  </si>
  <si>
    <t>@Joker__Punk Slamet ini masih diakui sebagai WNI ? Apa urusannya, kan sdh anti pemerintah apa urusannya dasar benalu.</t>
  </si>
  <si>
    <t>@permadiaktivis Yang di demo kan kedubesnya bukan WNI nya, kok anda membuat logika yang konyol ya?</t>
  </si>
  <si>
    <t>@yvonetandiarak Mulut seorang Sampah Kadrun</t>
  </si>
  <si>
    <t>RT @KurniaSubud: Video 1 Kenapa saat bp ini berbiCara bikin akuh Menangis 😰😰😥🤧🤧😭😭</t>
  </si>
  <si>
    <t>Pemerintah mengatakan akan terus memantau kondisi kesehatan ratusan WNI yang berada di Pulau Sebaru. #PulauSebaru #Corona #VirusCorona #covid19</t>
  </si>
  <si>
    <t>Jangan sampai Kelompok Hindu Nasional di India membalas dengan melakukan sweeping WNI. RT @permadiaktivis: Logika Teroris tu gini Muslim Rohingya dizalimi Mau sweeping WNI umat Buddha Muslim Uyghur dizalimi Mau sweeping WNI Tionghoa Muslim di India dizalimi Mau sweeping WNI turunan India Yang salah siapa yang mau diperangi siapa? Nanti disebut Teroris marah</t>
  </si>
  <si>
    <t>RT @arjuno_ireng01: Kalau kata @fadlizon minta maaf sama saja mengakui perbuatannya, Benar begitu ibu Senator @fahiraidris 🤣🤣🤣meong" #StayCoolCegahCorona</t>
  </si>
  <si>
    <t>@DTanjung15 @fahiraidris Nyali Baja 😂😂😂😂😂 Baja kadrun dr pohon korma 😂</t>
  </si>
  <si>
    <t>RT @DTanjung15: MASA SIIIH ??? AIR MATA BENERAN ATAU AIR APAAN TUHH🙄😉 KALO NGGA KUAT DI LAPORIN JANGAN JADI ANGGOTA DPD RI YG SEBAR HOAX DONK..! Sambil Nangis @FahiraIdris Minta Maaf Soal Hoax Corona di Bareskrim</t>
  </si>
  <si>
    <t>@MrsRachelIn Kl Cuma pengumuman ga ada tindakan @BNPTRI ya unfaedah. Yg ada skrg aja udah ga bisa ngerem bikin pusing, trs ntar eks isis dtg. Trs mau gmana ?</t>
  </si>
  <si>
    <t>@musniumar 👍👍👍👍 untuk Dubes India.... Indonesia darurat Kacung Khilafah spt @musniumar</t>
  </si>
  <si>
    <t>Mau beli masker, Masker kosong 🙄 Nyesel jadinya waktu itu (waktu WNI belum ada yang ketahuan Corona) Napa nggak ikutin pemikiran diri sendiri aja buat beli masker satu kotak 😔</t>
  </si>
  <si>
    <t>RT @PrabuJordan: @salsabila0307 @Hanifah933 @aniesbaswedan Kayanya pemilik toko ini WNI keturunan tionghoa yah? 👍👍👍 Semoga bisa di contoh oleh semua warga indonesia yah. Hikmah yg bisa kita ambil " jangan menari nari di atas penderitaan orang lain" Sehat &amp; selalu tmbh rezeki buat ibu&amp;amp; keluarga</t>
  </si>
  <si>
    <t>Indonesia mengkonfirmasikan bahwa 2 WNI lagi telah dites positif virus corona, total kasus yang dikonfirmasi saat ini menjadi 4. Kabarnya 2 WNI ini melakukan kontak dengan 2 korban sebelumnya. Baca selengkapnya..  #MataMataPolitik #VirusCoronaupdate</t>
  </si>
  <si>
    <t>Wani time sai kaga nasara na ta smun ka batare ka san Dalilin hakan ba. Amma Daya cikin 2 ne 1. Wata Addu’a daga wni masoyin ka 2. Wani abu da kayi sa domin Allah kuma kai har ka manta. May we all succeed 🙏</t>
  </si>
  <si>
    <t>@alifwiralodra @TheArieAir @CintaNegeri_ID @Sapto__Nugroho @joenkeling @adjibaya @rajivgaluh @r3tmono @moedjie_w @Yoedhie85243087 @jatmiko_jatman 1-9 Done ! Ditunggu folbeknya !</t>
  </si>
  <si>
    <t>@permadiaktivis @JantoLatief3 Yang saya tunggu : Mereka sweeping semua WNI Muslim yang nyuekin semua gerakan mereka itu..... 💣💥💣💥😅😅😅😂😂😂</t>
  </si>
  <si>
    <t>5 WNI ABK Diamond Princess dari akan Dipulangkan dari Jepang, Diobservasi di Cikarang: Jubir Pemerintah Penanganan Virus Corona (COVID-19), Achmad Yurianto menyebut kondisi lima WNI ABK Diamond Princess makin membaik. Pemerintah… Sumber merdeka com</t>
  </si>
  <si>
    <t>@black__valley1 pdhl ga di ajarkan membunuh,cm terinspirasi dari film aja bisa bunuh orang ya,apalagi anak kombatan isis yg emang di ajarkan untuk membunuh,ngeri bayanginnya</t>
  </si>
  <si>
    <t>RT @KBRI_Athena: Seluruh WNI yang tinggal di luar negeri dihimbau untuk melakukan Lapor Diri daring untuk mempermudah memperoleh pelayanan publik mempercepat proses pemberian bantuan darurat jika dibutuhkan. #inidiplomasi #indonesianway</t>
  </si>
  <si>
    <t>Eks Kepala BNPT Nilai Virus Radikal ISIS Lebih Mengerikan Dibanding Corona  #CoronaBisaTeratasi</t>
  </si>
  <si>
    <t>RT @Puspen_TNI: Kebersamaan TNI dengan WNI ditempat observasi😎💂 #TNIPeduli #VirusCorona #Kogasgabpad</t>
  </si>
  <si>
    <t>@gnatnib13 @Cebongmilitan1 @SaatTobat @KakekHalal @ganjarpranowo @provjateng @Kemenag_RI @KomnasHAM @mohmahfudmd Betul...coba klu sikon nya seperti daerah perang isis itu. Apa ya enak hidup ini. Trus, mau ibadah ya susah. Mari kita jaga NKRI, BHINEKA TUNGGAL IKA, aku sih yakin Tuhan ku tidak akan menyalahkan aku jika aku hidup dikelilingi tempat ibadah agama lain. Yakin aku....</t>
  </si>
  <si>
    <t>RT @_serbanputih: aku genggam namamu di langit.</t>
  </si>
  <si>
    <t>RT @mediaindonesia: Anak-anak yatim piatu itu merupakan tanggung jawab negara. Sebab, mereka telah menjadi anak terlantar karena sudah tidak memiliki ayah dan ibu.</t>
  </si>
  <si>
    <t>@detikcom Ada" aja kelakuan, sabar" lihat dampaknya buat WNI di india</t>
  </si>
  <si>
    <t>Apabila ybs pernah melakukan perjalanan 14 hari terakhir ke salah satu wilayah yang disebutkan, ybs akan ditolak masuk/transit di #Indonesia. Bagi WNI @DiasporaRI yang melakukan perjalanan dari tiga negara tsb, akan dilakukan cek kesehatan tambahan di bandara laut/udara saat tiba RT @kbrimaputo: Tanpa Surat Keterangan Sehat, #Travelers dari negara dimaksud akan ditolak masuk/transit di #Indonesia. Sebelum mendarat @DiasporaRI #Travelers dari tiga negara tsb wajib isi Health Alert Card/Kartu Kewaspadaan Kesehatan dari @KemenkesRI yang memuat pertanyaan riwayat perjalanan</t>
  </si>
  <si>
    <t>Stafsus Presiden Tolak Anak-anak Eks Pejuang ISIS Kembali ke Indonesia</t>
  </si>
  <si>
    <t>Tolak dan lawan ISIS</t>
  </si>
  <si>
    <t>Semoga observasi seluruh WNI yang berada di Pulau Sebaru berjalan dengan lancar dan semua yang terlibat tetap semangat! #PulauSebaru</t>
  </si>
  <si>
    <t>@GHiugo @mohmahfudmd jadi yang terhormat pak @mohmahfudmd gausah jauh2 ngurusin antek ISIS yg di Suriah, seleseykan yg deket deket aja ga kelar kelar. Monggo buktikan ke "galakan" bpk setiap di ILC terhadap kelompok2 kek gini.</t>
  </si>
  <si>
    <t>TOP 3 NEWS - Sabtu, 7 Maret 2020: Balita 5 Tahun Dibunuh I 4 WNI Positif Corona I Kota Betlehem Ditutup. Simak selengkapnya di video berikut.</t>
  </si>
  <si>
    <t>Eks pimpinan Jamaah Anshorud Tauhid (JAT) Jakarta yang juga mantan narapidana terorisme Haris Amir Falah mengatakan, usia anak-anak tidak menjamin bahwa mereka belum terkena paham radikal dan kekerasan. &gt; #Nasional</t>
  </si>
  <si>
    <t>Tolak ISIS</t>
  </si>
  <si>
    <t>@JohnIrwan4 @permadiaktivis @WagimanDeep__ @triadi_chimot @DTanjung15 @Dennysiregar7 @FirzaHusain @FreeThinkerGL @yusuf_dumdum @hnurwahid @aagym RAKYAT MENANTI KETEGASAN PEMERINTAH UNTUK MENINDAK ORMAS RADIKALISME PENDUKUNG TERORISME ISIS</t>
  </si>
  <si>
    <t>Ini yang Perlu Dilakukan Pemerintah Jika Anak WNI Eks ISIS Pulang ke Indonesia</t>
  </si>
  <si>
    <t>@permadiaktivis Sa ae klepon gosong, jelas2 dibilang WN India bukan WNI. Tipuan lo mah kebaca.</t>
  </si>
  <si>
    <t>@NotesofMila @maman1965 Ini yg terinspirasi film-film horor yang ditontonnya di YouTube. Bagaimana dgn anak2 ex WNI pro ISIS, yg melihat, mendengar dan jg mungikin diajarkan kekerasan atau bahkan membunuh?</t>
  </si>
  <si>
    <t>Tiga WNI Di Singapura Divonis 48 Bulan Penjara karena Tuduhan Mendukung Terorisme</t>
  </si>
  <si>
    <t>RT @WahabisLokal: Fiks yak....! Menag dan Menkopolhukam Pak @mohmahfudmd Kakean polah.... Alias banyak tingkah. Lha wong urus ISIS di dalam negri saja Gak Becus. Padahal mereka(HTI) sudah dilarang. Lha kok malah urus ISIS di luar negri. Mau diimport kesini lagi.</t>
  </si>
  <si>
    <t>RT @okezonenews: 'Update' Penanganan Virus Korona: 4 WNI Positif, 11 Orang 'Suspect' #TauCepatTanpaBatas #BeritaTerkini #Berita #News #BeritaNasional .</t>
  </si>
  <si>
    <t>#SahabatKemlu, berikut update Perkembangan COVID-19 dan Perlindungan WNI per tanggal 7 Maret 2020, pkl 17.00 WIB. #NegaraMelindungi</t>
  </si>
  <si>
    <t>Perkembangan 4 WNI Terpapar Virus Corona  #Tagar #VirusCorona #CoronaBisaTeratasi</t>
  </si>
  <si>
    <t>@RingoBrodgar @fazlur31 @abbas_nighat Agar aap andh bhakt nahi ho realistic ho to Yeh propaganda west ne kiya aur media unke pas hai. Baqi jo terror Isis ne kiya woh bilkul aise hai jese RSS bajrang dal jo hindutwa ka name kharab kar rahe hain world news Dekho to pata chale RSS terrorist organisation declared hai.</t>
  </si>
  <si>
    <t>RT @AlfaRiz74346453: 4 WNI di Jepang dinyatakan sembuh #StayCoolCegahCorona</t>
  </si>
  <si>
    <t>@TolakBigotRI @ganjarpranowo @hendrarprihadi Sudah selayaknya intoleran seperti ini diklasifikasikan sebagai bagian dari isis. Pejabatnya jangan diem aja dong!</t>
  </si>
  <si>
    <t>Ada sembilan orang WNI yang merupakan anak buah kapal (ABK) Diamond Princess akan dikarantina di Balai Pelatihan Kesehatan (Bapelkes) Cikarang.</t>
  </si>
  <si>
    <t>@jokoanwar Ko takut ya dengan X ISIS seharusnya pemerintah gak usah takut karena pemerintah memiliki segalanya kenapa mesti takut itu kewajiban negara menyelamatkan warganya urusan jadi ancaman kedepanya itu terlalu melebihi takdir tuhan tergantung kita mendoktrin mantan ISIS</t>
  </si>
  <si>
    <t>RT @suryanililik1: @detikcom ada india gunung sahari rumahnya di menteng anak istrinya india WN Singapore, sembunyi di sini krn menghindari WAMIL di Singapore alasannya sekolah di Australia, masak ber-tahun2 sekolah nggak lulus-2 ? dia Hindu buat KTP ganti islam sudah langsung jd WNI, mudah bukan ?</t>
  </si>
  <si>
    <t>RT @ecosocrights: Tambah dua lagi warga yg resmi positif terinfeksi virus corona.</t>
  </si>
  <si>
    <t>@teci09 @AREAJULID aku juga mau nanya ya kenapa ya kan sama" WNI kenapa di bedakan ya ? bukankah semua sama di mata hukum ?</t>
  </si>
  <si>
    <t>@permadiaktivis Itu saat ISIS membantai manusia knp gak sweeping?</t>
  </si>
  <si>
    <t>@detikcom Kalau kadrun emang mungkin hidup di RI aja ngak ada yg rantau di negeri orang..di india kadrun kira ngak ada TKI atau pelajar WNI🐒</t>
  </si>
  <si>
    <t>3 WNI Terbelit Kasus Teroris di Singapura, Diputus Bersalah</t>
  </si>
  <si>
    <t>5 WNI ABK Diamond Princess dari akan Dipulangkan dari Jepang, Diobservasi di Cikarang</t>
  </si>
  <si>
    <t>@Detektif_Ngibul @TolakBigotRI @narkosun @amrudinnejad_ @jr_kw19 @wahhabicc_jabar @WahhabiCC @BadjaNuswantara @AfifFuadS @P3nj3l4j4h_id Miris dan bingung nih kok pemerintah setengah hati kesannya mau ngebubarin HTI dan kroninya termasuk ISIS ; mereka makin show off deh !</t>
  </si>
  <si>
    <t>Gadis 15th pembunuh balita ditanya polisi gimana perasaanya ? Dijawab " biasa adja " . Busyet ini mah bs dilirik jd kader isis .</t>
  </si>
  <si>
    <t>@permadiaktivis Kami semua WNI keturunan menurut mereka cuma numpang mas.. mereka yg punya negara mas.. jd sah2 aja menurit mereka mo sweeping siapa aja yg gak sepaham.</t>
  </si>
  <si>
    <t>7 Maret-Jubir Kemenkes/Ahmad Yurianto: Sampai hari ini total ada 11 pasien WNI Suspect #COVID19, rawat isolasi, 5 di RSPI SS, Sunter Jakut, 1 di RSUP Persahabatan Jaktim, 1 di Bandung(RS?) dan 4 di sejumlah wilayah(Kota/RS?) RT @CNNIndonesia: Seorang Suspect Corona Kontak Langsung dengan Pasien Kasus 1</t>
  </si>
  <si>
    <t>Eks Napiter Minta Pemerintah Berhati-hati Pulangkan Eks ISIS ke Indonesia</t>
  </si>
  <si>
    <t>WNI kru Diamond Princess yang sembuh corona akan diobservasi di Bapelkes Karawang - ANTARA News Jawa Barat</t>
  </si>
  <si>
    <t>@AdityaWisnu Sebagai WNI ber-KTP semarang saya malu hal ini terjadi..nyuwun tulung Pak @hendrarprihadi &amp; Pak @ganjarpranowo agar tdk terulang bagi umat agama manapun..</t>
  </si>
  <si>
    <t>@saroesoe @BebasVisaID @palkondo2 yep, emb Lebanon di Jakarta. Justru TKI udah lama gak boleh ke sana, berdasarkan memorandum (lupa thn brp). Yg jd ART, nanny adalah Pinay. WNI di sana biasanya yg nikah dgn org lokal atau tentara PBB. Tp dgn begitu, tdk ada stigma di sana kalau WNI = ART. Sy disangka tentara.</t>
  </si>
  <si>
    <t>@permadiaktivis Tidak ada disebut WNI Keturunan India. Jangan fitnah jangan provokatif</t>
  </si>
  <si>
    <t>@ISIS_Balik_NO @TolakBigotRI @fahiraidris @Takviri @negativisme @elHurryKoRn @RiuUtomoRizki @mochamadarip @DTanjung15 Hidup Bulu 💪</t>
  </si>
  <si>
    <t>Virus Radikalisme ISIS Dinilai Lebih Bahaya Ketimbang Virus Corona</t>
  </si>
  <si>
    <t>Mksh udh isis exclude dadakan jakarta 🥰🥰</t>
  </si>
  <si>
    <t>@kawananraja @TolakBigotRI @fahiraidris @Takviri @negativisme @elHurryKoRn @RiuUtomoRizki @mochamadarip @DTanjung15 Jejak digitalnya sangat sulit dihapus....ternyata sudah keDUA KALI nya kadrunwati ini sebar HOAX Hukum harus Berjalan....tak oandang bulu....bulu kepala, bulu betis, bulu ketek sampe bulu jembut, WAJIB DIPERLAKUKAN SAMA</t>
  </si>
  <si>
    <t>@Predator_Matrix @mohmahfudmd Rcn pemulangan anak2 eks ISIS sama memelihara anak singa</t>
  </si>
  <si>
    <t>@DavidWijaya82 @shiaLebaou @DivHumas_Polri @mohmahfudmd Amin dan semoga keadilan sosial bisa duwujudkan @DivHumas_Polri untuk segenap wni</t>
  </si>
  <si>
    <t>RT @kawananraja: @TolakBigotRI @fahiraidris @Takviri @negativisme @elHurryKoRn @RiuUtomoRizki @mochamadarip Masih dgn Pola yg sama seperti tahun 2016 lalu, nangis dan meminta maaf adalah senjata andalannya. Gimana ini pendapat Nyai @DTanjung15 ?</t>
  </si>
  <si>
    <t>@mbahCokro77 @ganjarpranowo Apa pendapat anda @hnurwahid ? Ini masih didalam negri, masih WNI, &amp; masih bisa anda terjun langsung ke TKP.</t>
  </si>
  <si>
    <t>WNI ABK Diamond Princess Suspect Korona Bakal Diobservasi</t>
  </si>
  <si>
    <t>RT @TolakBigotRI: Sambil Nangis @fahiraidris Minta Maaf Soal Hoax Corona di Bareskrim. Masa sih seorang anggota DPD nangis dan minta maaf? Jangan-jangan hanya drama saja. LOL! @Takviri @negativisme @elHurryKoRn @RiuUtomoRizki @mochamadarip @kawananraja</t>
  </si>
  <si>
    <t>@01Hariyan @TolakBigotRI @g0bell_78 @fahiraidris @Takviri @negativisme @elHurryKoRn @RiuUtomoRizki @mochamadarip @kawananraja Kita siapkan ember....laku kali....bilang saja air mata kadrun</t>
  </si>
  <si>
    <t>Para WNI World Dream dan Diamond Princess akan menjalani masa karantina selama 14 hari. #PulauSebaru #AGPeduli #ArthaGrahaPeduli #Coronavirus #Corona #Covid19</t>
  </si>
  <si>
    <t>RT @EngGuntur: @AnakLolina @TambengBagong @ganjarpranowo Kenapa negara harus mengalah kepada preman xg berkedok agama??? Walaupun mereka minoritas tapi mereka jg WNI xg berhak beribadah dan hak mereka di lindungin UUD negara kita.</t>
  </si>
  <si>
    <t>@yazid_fadhlan @GunRomli @__ChusnulCh_ @mohmahfudmd @prabowo Mantan teroris di salah satu stasiun tv pernah bilang kalo orang2 ISIS itu tdk dapat di percaya omongan nya.</t>
  </si>
  <si>
    <t>@TolakBigotRI @fahiraidris @Takviri @negativisme @elHurryKoRn @RiuUtomoRizki @mochamadarip @kawananraja Nangis ?😂😂😂😂😂😂 Tunggu dulu....kapok apa kagak ? Perlu lie detector kayaknya nih</t>
  </si>
  <si>
    <t>Indian ISIS=RSS</t>
  </si>
  <si>
    <t>@blangkonhijau @TheArieAir #programfolback Daftar</t>
  </si>
  <si>
    <t>@tifsembiring Kerbau kan makanan yg halal, tapi masalah cara motong dll menjadi ke cemasan WNI MUSLIM, ATAU PETERNAK LOKAL. SOLUSI APA YG DI BERIKAN UNTUK MASALAH INI, SEHINGGA TDK ADA YG DIRUGIKAN.</t>
  </si>
  <si>
    <t>Masih mau pelihara bom waktu ??? Maaf sekedar nanya aja nih Pak. Cc : ⁦@PolhukamRI⁩ Pak ⁦@mohmahfudmd⁩ Pak ⁦@BNPTRI⁩ ISIS Klaim Serangan di Kabul, 32 Orang Tewas -</t>
  </si>
  <si>
    <t>RT @Beritasatu: Lima WNI eks ABK Diamond Princess Akan Pulang ke Indonesia</t>
  </si>
  <si>
    <t>RT @kawalnkri_: 3 orang WNI diputus bersalah oleh pengadilan Singapura atas pelanggaran dukungan terhadap terorisme.</t>
  </si>
  <si>
    <t>RT @jawapos: 9 WNI Kru Diamond Princess yang Dinyatakan Sembuh Tetap Diobservasi</t>
  </si>
  <si>
    <t>RT @kompascom: Dua orang WNI yang merupakan anak buah kapal (ABK) Diamond Princess yang telah dinyatakan sembuh dari paparan virus corona akan menjalani observasi.</t>
  </si>
  <si>
    <t>@Predator_Matrix @mohmahfudmd Masih byk anak Indonesia yg masih butuh lindungan pempus,dan putus sekolah, @mohmahfudmd Piara anak ISIS sama sj memelihara anak Harimau, pada Akhirnya menerkam tuannya sendiri #tolakanakisiskembali</t>
  </si>
  <si>
    <t>RT @Bangzul__88: @fahiraidris sudah minta maaf dan memenuhi panggilan polisi pada kasus penyebaran berita hoax virus Corona. @DivHumas_Polri harus berlaku adil terhadap mereka yg sudah ditangkap. Semua sama dimata hukum, ya kan?? #StayCoolCegahCorona #StayCoolCegahCorona</t>
  </si>
  <si>
    <t>RT @republikaonline: WNI ABK Diamond Princess yang sembuh dari corona tetap diobservasi</t>
  </si>
  <si>
    <t>WNI Diamond Princes yang Sembuh Covid-19 Diobservasi di Karawang.</t>
  </si>
  <si>
    <t>Mantan Kepala BNPT: Virus ISIS Lebih Mengerikan dari Corona</t>
  </si>
  <si>
    <t>3 orang WNI diputus bersalah oleh pengadilan Singapura atas pelanggaran dukungan terhadap terorisme.</t>
  </si>
  <si>
    <t>RT @ruangobrol_id: [BALU] "Jangan sampai ada yang teltipu ISIS lagi," kata teh Dania. Iya, teltipu sekali sial. Teltipu dua kali bodoh. Teltipu tiga kali mah doyan~</t>
  </si>
  <si>
    <t>@detikcom Sdh pasti Virus ISIS begitu jahat ..merasuk ..jadi pembunuh kejam.- sadis ..Iblis paling jahat pun malu karna kalah jahat oleh ISIS ....</t>
  </si>
  <si>
    <t>@Restichayah Memangnyaa ada peraturan ya seorang wni keturunan Tionghoa, dan beragama Kristen nggak boleh ikut. Rasis abisss</t>
  </si>
  <si>
    <t>RT @antaranews: "Kami akan observasi lagi mereka selama 14 hari, tetapi tidak akan kita gabungkan dengan teman-temannya yang sekarang," #COVID19 #DiamondPrincess</t>
  </si>
  <si>
    <t>RT @KompasTV: Ini Pertimbangan Pemerintah Masih Kaji Pemulangan Anak-anak ISIS Eks WNI</t>
  </si>
  <si>
    <t>3 WNI Terbelit Kasus Teroris di Singapura, Diputus Bersalah  #DariSuara</t>
  </si>
  <si>
    <t>Mantan Kepala BNPT: Virus Radikal ISIS Lebih Mengerikan Dibanding Corona</t>
  </si>
  <si>
    <t>Tim Yonkes 1 Marinir Menerima WNI Kru Diamond Princess untuk di Observasi di Pulau Sebaru, Kepulauan Seribu. . Yonkes 1 Marinir mengirimkan 21 prajurit terbaik nya yang bersinergis dengan Kementerian Kesehatan dan satuan samping TNI😎💂#TNIPeduli #Marinir #VirusCorona</t>
  </si>
  <si>
    <t>Jangan Tutupi Skandal @Jiwasraya &amp; Asabri dengan Isu WNI Eks ISIS Bahkan #COVIDー19 pun dipakai nutupi #JiwasrayaSkandalPilpres</t>
  </si>
  <si>
    <t>@bejocyber @andrenumbersix @ahim_abah @detikcom Isis? Yg di Yaman itu Houthi. Tapi masa iya sih Saudi ikut membantai orang2 yg ga bersalah jg</t>
  </si>
  <si>
    <t>dikampung orang pun masih ttp Nakal. hadeuhh. Ketahuan Sumbang Dana ke ISIS, Singapura Penjarakan WNI</t>
  </si>
  <si>
    <t>Larangan Indonesia kepada WNA dari 3 Negara juga untuk WNI</t>
  </si>
  <si>
    <t>Dua orang WNI yang merupakan anak buah kapal (ABK) Diamond Princess yang telah dinyatakan sembuh dari paparan virus corona akan menjalani observasi.</t>
  </si>
  <si>
    <t>@LovelySinaga79 @arjuno_ireng01 Mereka ga eprnha mikir sampai kesitu. Pada akhirnya kelak, bisa saja mereka akan jadi world enemy, seperti ISIS</t>
  </si>
  <si>
    <t>Kondisi kesehatan empat pasien positif virus corona di Tanah Air membaik. Begitu juga dengan delapan WNI yang diisolasi di Jepang.</t>
  </si>
  <si>
    <t>Kalau ini fakta N nyata untuk kedepanya Bangsa sampai anak cucu Virus Radikal ISIS lebih bahaya dibanding viris Corona</t>
  </si>
  <si>
    <t>Tiga orang warga negara Indonesia diputus bersalah oleh pengadilan Singapura atas pelanggaran dukungan terhadap terorisme.</t>
  </si>
  <si>
    <t>Kepala Fungsi Pensosbud KBRI Singapura, Ratna Lestari Harjana mengungkapkan, tiga WNI dengan inisial RH, TM, dan AA itu tengah menjalani hukuman di Singapura atas pelanggaran Terorrism (Suppression of Financing) Act.</t>
  </si>
  <si>
    <t>@agnizar4 @permadiaktivis @anto_winarno @WagimanDeep__ @narkosun @AnakKolong___ @Penyuka_ombak @sipenakecil @Bangzul__88 Golongan bani hti isis tu ye</t>
  </si>
  <si>
    <t>WNI dari Diamond Princess Sembuh Corona Akan Diobservasi di Karawang</t>
  </si>
  <si>
    <t>RT @merdekadotcom: Eks Kepala BNPT Nilai Virus Radikal ISIS Lebih Mengerikan Dibanding Corona</t>
  </si>
  <si>
    <t>Seperti yang kalian ketahui sekarang, Indonesia sudah menjadi salah satu negara yang terjangkit virus mematikan dari China, Virus Corona. 2 WNI terjangkit virus tersebut baru-baru ini.</t>
  </si>
  <si>
    <t>@liputan6dotcom Begitulah generasi milenial hanya apal sila pancasila saja ga karuan apalagi mengimplementasikannya dimasyarakat mkdr itu presiden @jokowi mengumandangkan kembali Pancasila agar WNI paham arti dari Pancasila,bukan hanya apal,maaf min komen dikit</t>
  </si>
  <si>
    <t>@faizalassegaf Kesimpulannya, dua pihak yg terlibat dlm perang salib dan juga ISIS sama² biadab.</t>
  </si>
  <si>
    <t>Mantan Kepala BNPT Ansyaad Mbai: Virus ISIS Lebih Bahaya daripada Korona</t>
  </si>
  <si>
    <t>3 WNI di Singapura Divonis Penjara karena Tuduhan Mendukung Terorisme</t>
  </si>
  <si>
    <t>@detikcom Tetapi ibunya yg juga fanatik ISIS TIDAK BOLEH IKUT.</t>
  </si>
  <si>
    <t>@hnurwahid @jokowi bentar lagi ada yg teriak wanita ini isis</t>
  </si>
  <si>
    <t>@Furquan22210486 @Happy_soul_02 @mota__bhai @lysosome_gabbar Hum tmko bole hai ek jagah logic pr baat krlo... Bjp rss modi shah or isis ko htaa krke</t>
  </si>
  <si>
    <t>@ximbetchax Belum,, kalo gak ngisi bakal dicoret jadi wni gak?</t>
  </si>
  <si>
    <t>"Suspect" Corona, 1 WNI ABK Diamond Princess Diisolasi di RS Persahabatan</t>
  </si>
  <si>
    <t>WNI dari Diamond Princess sembuh corona akan diobservasi di Karawang</t>
  </si>
  <si>
    <t>Kabupaten Karawang Ditetapkan Pemerintah Sebagai Tempat Observasi 8 WNI yang Sempat Terpapar Virus Corona di Kapal Diamond Princess</t>
  </si>
  <si>
    <t>Eks Kepala BNPT Nilai Virus Radikal ISIS Lebih Mengerikan Dibanding Corona</t>
  </si>
  <si>
    <t>@faizalassegaf @okezonenews Pernyataan itu ada benarnya. Virus sukses dibasmi dgn ditemukan vaksin. Teroris tolak ukur sukses dibasminya kabur krn tindakan biadab terorisme ISIS maupun yg di dlm negeri (klaim mereka) berdasarkan ajaran agm dgn ideologi khilafa &amp; logika/mental sehat tdk berlaku samasekali.</t>
  </si>
  <si>
    <t>finalis putri indonesia ga hafal sila pancasila lagi rame dibahas di-grup ilmuwan-pegiat kewarganegaraan. tapi masalah kombantan isis, perilaku diskriminatif, otoritarianisme, rezim full gimmick, pada diem.</t>
  </si>
  <si>
    <t>RT @vivanewscom: WNI Awak Kapal Diamond Princess yang Positif Corona Pulang Kampung  #vivanews</t>
  </si>
  <si>
    <t>WNI Awak Kapal Diamond Princess yang Positif Corona Pulang Kampung  #vivanews</t>
  </si>
  <si>
    <t>RT @kompascom: Pemerintah diminta berhati-hati dalam mewacanakan pemulangan anak-anak dari WNI yang diduga sebagai teroris lintas batas dan eks ISIS.</t>
  </si>
  <si>
    <t>Update' Penanganan Virus Korona: 4 WNI Positif, 11 Orang 'Suspect' #TauCepatTanpaBatas #BeritaTerkini #Berita #News #BeritaNasional .</t>
  </si>
  <si>
    <t>@Julia_Zeed gambar nusantara setelah khilafah a.k.a. isis menguasai indonesia</t>
  </si>
  <si>
    <t>@null Update Penanganan Virus Korona: 4 WNI Positif, 11 Orang Suspect Juru Bicara Pena</t>
  </si>
  <si>
    <t>Sebaiknya dg Tegas Pemerintah mengatakan tidak akan memulangkan eks WNI pengikut ISIS bersama anak2nya. Biar tidak jadi polemik berkepanjangan. Dan biar tidak di goreng oleh pendukung ISIS di Indonesia. Cc @jokowi @mohmahfudmd @prabowo RT @triwul82: Ingatkan Pemerintah Hati-hati Pulangkan Eks ISIS, Eks JAT: Anak-anak Juga Ada yang Terpapar</t>
  </si>
  <si>
    <t>RT @FaktaNew5: Mahfud MD: Pemerintah Proses Pemblokiran Paspor WNI Terlibat ISIS</t>
  </si>
  <si>
    <t>RT @FaktaNew5: Bertambah Jadi 4 Orang, Kemenkes Umumkan 2 WNI Positif Corona Baru</t>
  </si>
  <si>
    <t>@reuterspictures sebelum ada kolorna juga WNI udah sering y bgzd pake masker-masker begini</t>
  </si>
  <si>
    <t>Eks Kepala BNPT Sebut Virus Radikal ISIS Lebih Mengerikan Ketimbang Corona</t>
  </si>
  <si>
    <t>@Dinadanishali La nek WNI di swiping genti Nang India opo do tanggung jawab kui mbak.. lak ora tekan semono mesti sing mikir</t>
  </si>
  <si>
    <t>@baru_kaya Senjata api sebagai mainan anak2 asuhan isis</t>
  </si>
  <si>
    <t>RT @triwul82: Ingatkan Pemerintah Hati-hati Pulangkan Eks ISIS, Eks JAT: Anak-anak Juga Ada yang Terpapar</t>
  </si>
  <si>
    <t>RT @adnanfaris4: @mbaadnin @breelleight @peachymdmselle @tubirfess Come on dude, Orang luar mau naturalisi ke WNI aja harus hafal Pancasila dan Indobesia Raya, Aku lebih kasihan ke Bapak pendiri bangsa, Ir. Soekarno. Susah payah rumusin dan menanamkan di diri bangsa. Tp orang" kya lu memaklumi.</t>
  </si>
  <si>
    <t>Tomy Winata berterimakasih kepada pemerintah karena telah memilih Pulau Sebaru sebagai tempat observasi para WNI. #PulauSebaru #AGPeduli #ArthaGrahaPeduli #Coronavirus #Corona #COVID19indonesia</t>
  </si>
  <si>
    <t>@tinkrbabe Apaan sih isis</t>
  </si>
  <si>
    <t>@epiphapel enak gundul, isis</t>
  </si>
  <si>
    <t>RT @luqmannyamiin: Kerja setahun (50KX12) je dah 600K, 2 tahun 700K tak susah kot?? Dia simpan separuh gaji dia apa pelik?? Bukannya nampak dia beli merc ke, pakai selipar LV RM4000 ke, pakai jam ribu riban ke. Dia pun low key logik kot banyak simpanan?</t>
  </si>
  <si>
    <t>3 WNI Divonis Bersalah di Pengadilan Singapura, Ini Kasusnya</t>
  </si>
  <si>
    <t>RT @muhdthoha5: “Kamu ni kalau tak kluor2 aku panggil Cik B kang” aduhai Jep 😂😂😭😭😭</t>
  </si>
  <si>
    <t>@jumalikaalajeng @ixi_iman Pribumi nusantara??? Klo kulit lu item, rambut kriting, lu tmasuk ras negroid. Klo kulit lu putih/kuning, rambut lurus/bgelombang, lu tmasuk ras mongoloid. Mongol. Cukup 1 org bodoh mengoyak tenun kebangsaan dg pidato resmi nyebut pribumi. Klo sdh jd WNI, elu WNI. Titik.</t>
  </si>
  <si>
    <t>4 WNI Positif Virus Korona, Pemerintah Tak Liburkan Sekolah dan Kampus</t>
  </si>
  <si>
    <t>@Tahiriq37682045 @Gupta__Tanya @sam41077784 Top 10 Richest Terrorist organisation - Forbes 1)ISIS 2)Hamas 3)FARC 4)Hezbollah 5)Taliban 6)Al-Qaeda 7)Lashkar-e-Taiba 8)Al Sahab 9)REAL IRA 10)Boko Haram . " Peaceful religion " Ya sure</t>
  </si>
  <si>
    <t>@ISIS_Balik_NO @dehutabarat @AhmadJaysh @permadiaktivis @Raj4Purwa @jokowi @DivHumas_Polri Lu korban penipuan si planga plongo,</t>
  </si>
  <si>
    <t>Ingatkan Pemerintah Hati-hati Pulangkan Eks ISIS, Eks JAT: Anak-anak Juga Ada yang Terpapar</t>
  </si>
  <si>
    <t>@NyiMasRuminah @Nyomanarta14 Ormas Transnasional Tajir Sekali Bisa Beli Perusahaan Televisi , Dulu-nya Sering Sebar Luaskan Tayangan Amak Media Propaganda ISIS</t>
  </si>
  <si>
    <t>KJRI di Perth Imbau WNI Tenang Hadapi Corona  #StayCoolCegahCorona</t>
  </si>
  <si>
    <t>Untuk Indonesia bahaya mana sih ISIS dgn para perampok duit rakyat RT @tempodotco: Cerita Mantan Pendukung ISIS: Tobat Setelah Dipenjara</t>
  </si>
  <si>
    <t>RT @vivanewscom: WNI yang Kerja Jadi Spa Terapis di Turki Diingatkan Waspada Corona  #vivanews</t>
  </si>
  <si>
    <t>RT @bigbocksonly: tiny kyoong ‘ㅅ’ #BAEKHYUN #백현 @B_hundred_hyun ⤷</t>
  </si>
  <si>
    <t>WNI yang Kerja Jadi Spa Terapis di Turki Diingatkan Waspada Corona  #vivanews</t>
  </si>
  <si>
    <t>@wapres_ri @PolhukamRI @Menlu_RI @KPAI_official @KomnasHAM @BNPTRI Jangan abaikan peringatan ini. Ingatkan Pemrintah Hati2 Pulangkan Eks Isis, eks JAT anak2 kuga ada yang terpapar .</t>
  </si>
  <si>
    <t>Thanks God 🙏🏻 Kabar menggembirakan datang dari Jepang. 4 WNI Positif Corona di Jepang, SEMBUH.!!! #StayCoolCegahCorona</t>
  </si>
  <si>
    <t>RT @Dwdodo: Judul-judul berita yang bakal muncul: - Komentar Master Limbad terkait 2 WNI Positif Terkena Corona - Corona sudah masuk Indonesia. Nia Ramadhani Ternyata Masih Kesulitan Mengenakan Masker - 2 WNI Positif Corona Terkena di Depok. Ketua RT: Kemarin Ketemu Masih Sehat Wal'afiat</t>
  </si>
  <si>
    <t>@GunRomli @__ChusnulCh_ Nahh.. Inikan luarbiasa hasil kerja pemerintah.. Inikan bukti kalau pemerintah sukses menyadarkan mantan napi teroris. Harusnya penguasa gak usah takut memulangkan warga kita eks isis kmaren... Mereka bisa dibina kok spt beliau di video ni. @mohmahfudmd @prabowo</t>
  </si>
  <si>
    <t>Observasi WNI di Pulau Sebaru Menunjukkan Hasil yang Baik #TauCepatTanpaBatas #BeritaTerkini #Berita #News #BeritaNasional .</t>
  </si>
  <si>
    <t>@kompascom Setuju...bayangkan ada anak remaja (15 th) yy terpapar film kmd membunuh anak balita ( 5 th ...lha anak2 yg terpapar ISIS hampir tiap waktu / hari dng kekerasan / pembunuhan kau mau di pulangkan...?? Mesti di pikir2....</t>
  </si>
  <si>
    <t>@null Observasi WNI di Pulau Sebaru Menunjukkan Hasil yang Baik Pemantauan kesehatan W</t>
  </si>
  <si>
    <t>@msaid_didu WNI juga ke aturan yg sama dgn surat tersebut point B sy mau bekerja di Malaysia diwajibkan utk tes medical yg menyatakan bebas corona utk foreigner yg akan datang ke Malaysia, hasil medical dikirim ke RS Malaysia utk disetujui kalau bgt tandanya apa? Negara kita juga suspect.</t>
  </si>
  <si>
    <t>@MZubir_ID @detikcom Udah baca blum link nya hahahaha.. Mana ada isis suka manga</t>
  </si>
  <si>
    <t>@RizmaWidiono @jokowi Saya lebih takut jika pakde @jokowi menyetujui pemulangan anak-anak ISIS eks-WNI. Takut jika anak" Indonesia yang Nasionalis terperangkap oleh mereka dimasa mendatang karena kebangkitan doktrin dlm diri anak" ISIS eks WNI ketika mereka beranjak dewasa...</t>
  </si>
  <si>
    <t>Cerita Mantan Pendukung ISIS: Tobat Setelah Dipenjara</t>
  </si>
  <si>
    <t>RT @kompascom: Serangan yang dihadiri petinggi politisi Afghanistan itu dilakukan oleh ISIS.</t>
  </si>
  <si>
    <t>Dukung terhadap terorisme, 3 WNI divonis bersalah di Pengadilan Singapura</t>
  </si>
  <si>
    <t>RT @ruangobrol_id: Yang pasti mah ceu Lilin selalu benal. No offense~</t>
  </si>
  <si>
    <t>@detikcom Diduga, ABG pembunuh itu sudah terpapar ideologi teroris ISIS, mungkin dia sering nonton video propaganda ISIS, ketika anak-anak ISIS memenggal kepala korbannya.</t>
  </si>
  <si>
    <t>1 WNI Masih Menetap di Kapal Diamond Princess</t>
  </si>
  <si>
    <t>Pemerintah diminta berhati-hati dalam mewacanakan pemulangan anak-anak dari WNI yang diduga sebagai teroris lintas batas dan eks ISIS.</t>
  </si>
  <si>
    <t>Serangan yang dihadiri petinggi politisi Afghanistan itu dilakukan oleh ISIS.</t>
  </si>
  <si>
    <t>@udhiens81 @anti_vir_corona @santrimileniall Bukannya HTI PKS ISIS FPI yang selama ini hidupnya pebuh kebencian.resah.gelisah.hoax.fitnah.adu domba. Ya ?</t>
  </si>
  <si>
    <t>RT @kbri_tehran: Yth. Bp/Ibu WNI di Iran, KBRI Tehran telah membuka Pos Aju/shelter bagi Bp/Ibu yg merasa penyebaran virus Corona di wilayahnya sudah mengkhawatirkan. Silahkan hubungi nomor hotline/staf KBRI utk menggunakan fasilitas tersebut... #IniDiplomasi #IndonesianWay @Kemlu_RI @octavino</t>
  </si>
  <si>
    <t>Pulau Sebaru Kecil, Kepulauan Seribu digunakan oleh lebih dari 200 WNI yang menjalani evakuasi virus Corona. #PulauSebaru #AGPeduli #ArthaGrahaPeduli #Coronavirus #Corona #Covid19</t>
  </si>
  <si>
    <t>@detikcom WNI Abal Abal nih kayaknya belum netap di Indonesia lama dan Baru kemaren Sore nyampe di Indonesia langsung Diterima audisi</t>
  </si>
  <si>
    <t>RT @kbriamman: Info yg kami terima saat ini objek2 wisata di Betlehem dan kota lain spt Ramallah, Hebron (mesjid dan gereja) jg ditutup. Mohon kiranya informasi ini dapat menjadi perhatian bagi WNI yg berencana melakukan perjalanan ke Palestina. #NegaraMelindungi</t>
  </si>
  <si>
    <t>@Ragustiana02 Hhahahahahaha.. sbg wni hrsnya hafal dari SD ya.. makanya kyknya finalis ini dr kecil di luar negeri</t>
  </si>
  <si>
    <t>Yang pasti mah ceu Lilin selalu benal. No offense~</t>
  </si>
  <si>
    <t>RT @SantorinisSun: @KeceCebong226 Suka dgn khilafah itu bisa berarti sejalan dgn ISIS kan? Tau kan wanita2 yg gabung ISIS fungsinya utk apa? Monggo kalo memang itu maunya...😁</t>
  </si>
  <si>
    <t>@Haikalamirza jadi wna aja ajg gak usah jadi wni. org prestasi gituan smua</t>
  </si>
  <si>
    <t>@J_Aryoko @wahhabicc_jabar @Detektif_Ngibul @TolakBigotRI @narkosun @amrudinnejad_ @jr_kw19 @WahhabiCC @BadjaNuswantara @AfifFuadS @P3nj3l4j4h_id @DivHumas_Polri @TwetPolisi @PolhukamRI @bareskrim2018 @TjahjantoHadi @KSPgoid @KemensetnegRI Kita tidak boleh terus terusan menyalahkan. Mereka tdk bisa bertidak tegas. Karena tidak ada UU yg tegas di buat pemerintah dan DPR. tentang pelarangan simbol - simbol ISIS tersebut.</t>
  </si>
  <si>
    <t>RT @ko_papua: KJRI di Perth Imbau WNI Tenang Hadapi Corona  #StayCoolCegahCorona</t>
  </si>
  <si>
    <t>RT @vivanewscom: WNI yang Kerja Jadi Spa Terapis di Turki Diingatkan Wapada Corona  #vivanews</t>
  </si>
  <si>
    <t>Kalau di LN terbukti Terorisme atau bahkan yang berkaitan langsung di vonis, kalau di INDONESIA, anak ISIS saja dipelihara oleh negara... NEGERIKU +62..</t>
  </si>
  <si>
    <t>@kompascom gak isis gak taliban sama kejam nya</t>
  </si>
  <si>
    <t>WNI yang Kerja Jadi Spa Terapis di Turki Diingatkan Wapada Corona  #vivanews</t>
  </si>
  <si>
    <t>RT @e100ss: 3 WNI Divonis Pengadilan Singapura Terkait Terorisme</t>
  </si>
  <si>
    <t>Kantor Staf Kepresidenan mengatakan pemulangan anak-anak WNI eks ISIS masih dikaji.</t>
  </si>
  <si>
    <t>@BooYogesh India ki kitni hindu ladkiya isis mein slave ban gayeen wo bhi zara bata do with proof</t>
  </si>
  <si>
    <t>Team betah disekolah mana nih?? Yang biasanya di sekolah sampe sore padahal ga lagi nugas. Biasanya si anggota ISIS</t>
  </si>
  <si>
    <t>Anak-anak yatim piatu itu merupakan tanggung jawab negara. Sebab, mereka telah menjadi anak terlantar karena sudah tidak memiliki ayah dan ibu.</t>
  </si>
  <si>
    <t>RT @asundamai: @Namaku_Mei pak @mohmahfudmd lebih baik membantu gadis kecil ini, daripada memulangkan anak anak isis teroris itu</t>
  </si>
  <si>
    <t>@msaid_didu Bukannya pada saat penjemputan WNI yg berada di wuhan pemerintah telah menghentikan penerbangan dari dan ke china dihentikan smntara??</t>
  </si>
  <si>
    <t>RT @Sastriyana: Di Jepang ada 9 WNI positif Covid19. Separuhnya dinyatakan sudah sembuh &amp; tak satupun identitas pasien dibocorkan pemerintah maupun jurnalis di Jepang sana. Negri +62 perlu belajar banyak soal privasi pasien ke Jepang.</t>
  </si>
  <si>
    <t>RT @kbridenhaag: Simak info Covid-19 dan penanganannya di Belanda #COVIDー19 #coronavirus #NegaraMelindungi #wni #belanda @safetravelkemlu</t>
  </si>
  <si>
    <t>@azadeh_akbari @HichkasOfficial ISIS in Iran.</t>
  </si>
  <si>
    <t>Ratusan ISIS Eks WNI Masih di Suriah, Istana Pastikan Tidak Akan Mengembalikan Ke Indonesia – JPNEWS</t>
  </si>
  <si>
    <t>RT @MartinusUropma1: KJRI di Perth Imbau WNI Tenang Hadapi Corona  #StayCoolCegahCorona</t>
  </si>
  <si>
    <t>@titinpuspitaaa @AREAJULID Asalkan dia tercatat sebagai WNI tentunya dia menjunjung pancasila dan mencintai Indonesia. Ga make sense si kalo alasannya grogi atau blasteran. Poin terpenting adalah apakah kamu layak atau tidak mendapatkan gelar tersebut. Smgt semua!</t>
  </si>
  <si>
    <t>@Detektif_Ngibul @JMandiri01 @TolakBigotRI @narkosun @amrudinnejad_ @jr_kw19 @wahhabicc_jabar @WahhabiCC @BadjaNuswantara @AfifFuadS @P3nj3l4j4h_id Memang dibiarkan kok. Data data ISIS dan pendukungnya termasuk FPI yang mendukung ISIS karena masih saudara juga dibiarkan. Masa gitu aja gak tahu</t>
  </si>
  <si>
    <t>Tomy Winata, mengakatan ini adalah suatu kesempatan yang terhormat karena Pulau Sebaru dipilih menjadi tempat observasi bagi WNI ABK Diamond dan World Dreams. #PulauSebaru #ArthaGrahaPeduli #AGPeduli #corona #VirusCorona #Covid19</t>
  </si>
  <si>
    <t>@faizalassegaf Yg namanya perang ya sama2 biadab, mau perang Salib ataupun perang badar; sama2 bunuh2an. Sedangkan bahaya ISIS bkn hanya pada kebiadabannya, tp ada satu doktrin yg membenarkan perbuatan biadab tsb. Bgm penanganan Virus Corona &amp; ISIS? Kayaknya sama deh, sama2 hrs di KARANTINAKAN.</t>
  </si>
  <si>
    <t>Bersyukur atas kabar tentang kondisi WNI di Jepang sudah sembuh, disampaikan Menlu Retno Marsudi saat bertemu para pemimpin redaksi media nasional di Jakarta. #StayCoolCegahCorona</t>
  </si>
  <si>
    <t>Anak anak ISIS rindu pulang ke Indonesia import anak teroris</t>
  </si>
  <si>
    <t>@geloraco @ChristWamea Mulaiiiiii jualan isis, hti, radikal radikul....liat dollar sdh tembus 14.135. Perbaiki ekonomi, perbanyak lapangan kerja...itu lbh manfaat drpd berisik teriak radikal radikul.</t>
  </si>
  <si>
    <t>Mahfud Masih Belum Terbuka soal Pemblokiran Paspor Eks ISIS</t>
  </si>
  <si>
    <t>RT @YanHarahap: Natalius Pigai: Bukan Salah Arab Saudi Tolak Umrah WNI, Tapi Dunia Internasional Ragu Pemimpin RI Suka Bohong - Suara Nasional</t>
  </si>
  <si>
    <t>@detikcom 1 lagi orang bodoh. Virus Corona itu alias penyakit kalau ISIS itu paham radikal. Gakda virus radikal isis.</t>
  </si>
  <si>
    <t>OOT Lucunya tayangan film kekerasan dikatakan menanam "sifat sadistis" (whatever they mean). Tapi buat para ex-WNI relawan ISIS, kekerasan yg mereka lihat di sana in real life ga dibilang menanamkan sifat sadistis. Malah mau dibawa pulang. Konsistensinya dmn?</t>
  </si>
  <si>
    <t>Mantan Kepala BNPT Ansyaad Mbai Sebut Virus Radikal ISIS Lebih Berbahaya Dibanding Korona</t>
  </si>
  <si>
    <t>@TeguhInd Isin atau isis? 😂</t>
  </si>
  <si>
    <t>@Wanc_15M4_69 @bismillahdiet @Dennysiregar7 @DivHumas_Polri Hey anjing2 perusuh....mau isis ciptaan setan,dajjal, jgn sampai ajaran2 setanya di adopsi di negara ini.orang yg merasa memiliki negeri ini tentu tidak akan berbaiat kepada anjing2 kilapah isis.api yg berkobar dinegara lain,jgn berkoar2 seolah2 negeri ini yg kebakaran</t>
  </si>
  <si>
    <t>@kamalbukankemal Kalo liat berita atau info, emang baiknya jangan hanya dari 1 sisi. Diatas UI masih ada Gundar. Yang bikin konten juga salah, lembaga perguruan negeri kok dipamerin dan digiring opininya secara 'hedon', kalo lembaga swasta sih ya bebas, karena ga semua WNI berharap masuk swasta.</t>
  </si>
  <si>
    <t>@saja_Mardeka @BernadinoHerry2 @wan_kath @ahim_abah @detikcom ISIS bantai manusia malah memperlakukan manusia seperti BKN manusia apakah isis d demo apakah bendera nya d bakar ???</t>
  </si>
  <si>
    <t>@saidiman Nanti gantian orang India sweeping WNI disana bingung. Ormas asal jeplak ya gini ini</t>
  </si>
  <si>
    <t>Update Covid-19 di Thailand, per-7 Maret 2020 ada 2 kasus baru. Total kasus terkonfirmasi 50, 31 orang telah sembuh,18 dirawat, dan 1 orang meninggal dunia. WNI di Thailand untuk mengikuti rekomendasi Kemenkes RI dan Kemenkes Thailand dan WHO #inidiplomasi #negaramelindungi RT @pr_moph: Thailand situation on COVID-19, 7 March, 2020. #Covid_19</t>
  </si>
  <si>
    <t>WNI yang Terinfeksi Virus Corona jadi 4 Orang, Begini Pernyataan Bupati Tapanuli Utara) |</t>
  </si>
  <si>
    <t>Perempuan WNI eks ISIS Tak Bisa Dianggap Sepele</t>
  </si>
  <si>
    <t>ㅤㅤ Nama Lengkap: Alouysius Mikhael Gunardi Nama Panggilan: Alo, Hai, Anyongpaseo Tempat, Tanggal Lahir: Sumenep, 30 Februari 1998 Golongan Darah: B Kewarganegaraan: WNI Status: Nikah siri dengan anak Pak Lurah MaKes: Nasi kemarin MiKes: tea jus gulbat Motto: Aji no motto ㅤㅤ</t>
  </si>
  <si>
    <t>RT @republikaonline: UIII meminta pemerintah serius lakukan pemetaan terhadap eks ISIS.</t>
  </si>
  <si>
    <t>@jokowi @mohmahfudmd @PolhukamRI @KSPgoid Ini korban teror bom koq tidak kalian PERHATIKAN ? sdg anak2 isis kalian utamakan... inikah KEADILAN menurut pandangan kalian ? @myozhyme @annacantique @4Y4NKZ @BlueSky217 @moedjihassan @AmbarwatiRexy</t>
  </si>
  <si>
    <t>UIII meminta pemerintah serius lakukan pemetaan terhadap eks ISIS.</t>
  </si>
  <si>
    <t>#PERANG_SURIAH #Damaskus Seorang komandan senior IRGC, Brigadir Jenderal Farhad Dibiryan tewas di area Sayyidah Zainab, Selatan Kota Damaskus. Dibiryan dikenal sebagai komandan yang memimpin IRGC merebut Kota Palmyra dari ISIS. Belum jelas tentang penyebab kematiannya.</t>
  </si>
  <si>
    <t>@suh0hyung Positif aja, mungkin bru sehari jdi WNI:')🙏</t>
  </si>
  <si>
    <t>Cerita Mantan Napi Teroris Terpapar Paham ISIS : Wajib Menolak NKRI #TauCepatTanpaBatas #BeritaTerkini #Berita #News #BeritaNasional .</t>
  </si>
  <si>
    <t>Gerwani ISIS @FahiraIdris nangis bombay minta maaf...Pepet terus pak @DivHumas_Polri jangan kasih kendor! Setiap warga negara bersamaan kedudukannya didalam hukum! @jokowi</t>
  </si>
  <si>
    <t>Meski 2 WNI Positif Corona, Pemerintah Tak Larang WNA Masuk Indonesia</t>
  </si>
  <si>
    <t>@alva_roe_lee_ Apa ybs sadar dan sengaja menyumbang untuk ISIS? *Lagimalasbacawkwkwkwk</t>
  </si>
  <si>
    <t>@PutriAiolia @detikcom @wolipop Bukan nya so sempurna tpi patut d jadikan pelajaran kalo dasar negara aja gk tau aneh. Kalo dia lia bukan WNI baru gk hapal jga gk apa* inikan WNI butir cuma 5 lulusan hukum pula</t>
  </si>
  <si>
    <t>@StellaSuwardi Kalau yg pake jilbab g hafal pancasila pasti di sebut teroris atau isis</t>
  </si>
  <si>
    <t>Lebih baik kita bantu anak2 yg demikian, dpd memelihara anak2 ISIS eks WNI....</t>
  </si>
  <si>
    <t>@black__valley1 KPAI dmn?? ini cm gara² film loe?? kalo eks WNI pro ISIS???????? 😢😬</t>
  </si>
  <si>
    <t>@BambangWisang17 @nanangwdm @na_dirs Yang jadi pertanyaan... Kalo indonesia erobah jadi khilafah trus siapa yg akan mimpin khilafahnya?? Apakah akan ada pemimpin khilafah disini?? Apakah kita akan berkiblat pada isis?? Kalo disini ada khilfah trus arab akan tunduk pada kita??</t>
  </si>
  <si>
    <t>Pernyataan ngawur &amp; tdk proporsional. Sdh jelas ISIS kejahatan teroris, sama dgn kebiadaban Perang Salib. Soal Corona adalah wabah, bkn ISIS atau penjahat sadis perang Salib. Eks Kepala BNPT: Virus ISIS Lebih Mengerikan Ketimbang Korona via @okezonenews</t>
  </si>
  <si>
    <t>@jalbertusdi @yudha4efah @CNNIndonesia Inilah statemen wni yang paling rendahan. Kritik itu bentuk kepedulian pada negara.. 1. Sy lakukan untuk negara trlalu besar. Karena sy berjuang mempertahankan kedaulatan melawan pemberontak untuk. Rkyt yg cerdas adalah rkyt yg kritis bukan rakyat yg sofis.</t>
  </si>
  <si>
    <t>RT @fitria_oliv: isis slot trakhirnya sayy😚 Dm➡️Wa 085758358416 @Bee_Promote @iklan_angel @level8pro @Trustedpromote1 @Djava_corp @BRealpromote #AvailBali #AVAILBO #bobali #openbobali #expobali #angelbali #RealAngel #readyVCS #RecommendeAngeL #RecomendedBO #RECOMMENDED4BO</t>
  </si>
  <si>
    <t>Penembakan di Kabul menewaskan 32 orang.</t>
  </si>
  <si>
    <t>@detikcom Jaman skrg pasti banyak yg gak hafal Pancasila, lha wong anak TK aja udah diajarin pawai ala2 isis</t>
  </si>
  <si>
    <t>RT @cnkxhlm: WNI = Warga Negara Indie</t>
  </si>
  <si>
    <t>@CyberSkuad isis kali die..😊</t>
  </si>
  <si>
    <t>@bhre_wengker84 @jokowi @Menlu_RI @kemendagri @PolhukamRI @elHurryKoRn @03__nakula Pelakunya WNI gadungan 'kali tuh...!</t>
  </si>
  <si>
    <t>Pengadilan Singapura Vonis Bersalah 3 WNI Pendukung Terorisme</t>
  </si>
  <si>
    <t>Pemerintah Masih Kaji Pemulangan Anak Yatim Piatu WNI Eks ISIS</t>
  </si>
  <si>
    <t>WNI = Warga Negara India allhamdullilah indonesia masih steril 🥰 RT @KompasTV: Kementerian Kesehatan : Total Ada 4 WNI Positif Corona</t>
  </si>
  <si>
    <t>@hmskaban Anda lebih kentara memihak ka radikal ISIS &amp; Ormas bubrah HTI. Untung nya apa buat anda ?</t>
  </si>
  <si>
    <t>@msaid_didu Kebijakan larangan transit atau pendatang dari china udah duluan bung..sebelum indo menjemput wni dari wuhan. Yang deplu china memprotes indo atas kebijakan tsbt, karena menurut china berlebihan. Dan kebijakan utk korea,iran dan itali itu kebijakan kedua. Didu ini Tolol ap dungu?</t>
  </si>
  <si>
    <t>RT @KompasTV: Kementerian Kesehatan : Total Ada 4 WNI Positif Corona</t>
  </si>
  <si>
    <t>Menyelesaikan misi yang begitu repot. Memulangkan WNI dari negara yang sedang konflik. Alhamdulillah KBRI mau membantu dan gigih nya seorang anak dalam memperjuangkan hak ibu nya. Hari ini peluk lah ibu mu. Semau mu. curahkan rasa rindu mu sebesar besar nya. Tugas selesai 🙏🏻</t>
  </si>
  <si>
    <t>Alhamdulillah Puji Tuhan Kabar tentang kondisi WNI di Jepang sudah sembuh, disampaikan Menlu Retno Marsudi saat bertemu para pemimpin redaksi media nasional di Jakarta. #StayCoolCegahCorona</t>
  </si>
  <si>
    <t>Kementerian Kesehatan : Total Ada 4 WNI Positif Corona</t>
  </si>
  <si>
    <t>RT @PakDheGondrong: @do_ra_dong Apakah ini sebagai agenda mengurangi populasi WNI untuk digantikan dengan WNC... #JKWBangkrutkanIndonesia #JKWBangkrutkanIndonesia</t>
  </si>
  <si>
    <t>3 WNI divonis bersalah karena mendukung terorisme di Pengadilan Singapura</t>
  </si>
  <si>
    <t>WNI = Warga Negara Indie</t>
  </si>
  <si>
    <t>Isis VS PKI mana yg lebih membahayakan? Atau Virus Corona VS PKI mana yg lebih bahaya? #JKWBangkrutkanIndonesia RT @detikcom: Mantan Kepala BNPT, Ansyaad Mbai, menilai virus radikal ISIS lebih membahayakan daripada virus Corona. Virus radikal ISIS korbannya adalah bangsa dan negara. #viruscorona #ISIS</t>
  </si>
  <si>
    <t>Kalau kena dengan ISIS DAESH IS Taliban, simpan buku pun boleh kena tangkap. Ni geng LTTE rileks je buat perjumpaan comolot takde tindakan apa² ke</t>
  </si>
  <si>
    <t>RT @usamahhuhu: ............takkan nak guna format lama untuk silibus baru..........</t>
  </si>
  <si>
    <t>Ada Kemungkinan Anak WNI Eks-ISIS Dipulangkan ke Tanah Air</t>
  </si>
  <si>
    <t>RT @Tri33milanisti: @DivHumas_Polri @Dr_Moeldoko @jokowi buruan pulangin anak2 ISIS kirim ke Poso biar di ajarin ngerakit bom ama doi anak yg korban bom lupain aja</t>
  </si>
  <si>
    <t>RT @nety_rusi: Soal UU Sapu Jagad. Bukankah tuntutan hampir 260 juta WNI adalah penyediaan pekerjaan dengan penghasilan layak agar bisa hidup sejahtera ? ~ a thread ~</t>
  </si>
  <si>
    <t>@Lady_Zeebo @kopikirpikir hmm susah nih masalah Yaman. Houthi (syiah) VS klompok pemerintahan yg sah: Hadi (sunni). Blm lagi ada Al-Qaeda, ISIS, trus Arab saudi, AS.. ribet dah...... 😩</t>
  </si>
  <si>
    <t>@do_ra_dong @dayada5t3vh3nda Rezim +62 kan sudah jelas jongos china, banyak WNI keturunan cina yg juga jengkel dg kebijakan rezim jokowi ini.</t>
  </si>
  <si>
    <t>Kalau Pemerintah Daerah juga dianjurkan untuk mengkarantina suspek corona, seperti WNI Kapal Pesiar ... awak mau jugalah ikut! Enak, makan tidur di pulau selama 14 hari. 😂</t>
  </si>
  <si>
    <t>RT @adninroslan: Result SPM tak dapat banyak "A" bukan penghalang untuk kita berjaya. ❤️</t>
  </si>
  <si>
    <t>@T_Mustika @tiyangalitt saya pernah jadi dirigent lagu Indonesia Raya,lagu blm habis saya udah selesai,itu saking groginya,apakah saya bukan wni yg baik😭lupa ketukan lagi indonesia raya,bedanya saya tidak masuk tv,kalau masuk habislah saya😂😂</t>
  </si>
  <si>
    <t>RT @WartawanPensiun: Klo di Indonesia, jangan harap kasus yang kayak beginian dipenjara. Pemerintah bahkan rela merogoh koceknya demi memulangkan anak2 eks WNI ISIS! Kerenkan Indonesia? 👏👏👏👏</t>
  </si>
  <si>
    <t>@mamanukan13 @ALE_NYONGE @mas__piyuuu @msaid_didu Loh bukannya elo dan kelompokmu adalah pemuja Khilafah seperti ISIS. Cepat gabung sama...jihad.</t>
  </si>
  <si>
    <t>@do_ra_dong Apakah ini sebagai agenda mengurangi populasi WNI untuk digantikan dengan WNC... #JKWBangkrutkanIndonesia #JKWBangkrutkanIndonesia</t>
  </si>
  <si>
    <t>@ashutosh83B @RSSorg @BJP4India @INCIndia @SanjayAzadSln @1ALOKJOSHI @sardanarohit @sardesairajdeep @ShekharGupta RSS isis se bhi dangerous h terrorist organization</t>
  </si>
  <si>
    <t>RT @zlametabidin: Alhamdulillah....obat virus corona sudah ada dan terbukti sembuh. Jadi stop sebar hoax. Kita semua jgn panik apalagi ada yg bilang gaberner wan aibon genting. Jangan bikin suasana yg tdk kondusif. Mau pencitraan koq di atas penderitaan orang lain.</t>
  </si>
  <si>
    <t>@andesrim @conan_idn @IndianEmbJkt Pembataian GENOSIDA itu bukan kyk gebukin maling. Walau apapun alasannya tdk boleh ada yg namanya kekerasan seperti itu, tp narasi Genosida itu berlebihan, hny menimbulkan kebencian, lgian lebih biadab yg dilakukan ISIS msh ada yg bela, yakan.</t>
  </si>
  <si>
    <t>@satriono1978 @narendramodi Setuju, jangan sampai kejadian di indo malah jadi berimbas ke saudara2 kita disana, khawatir malah yg diserang disana saudara2 kita juga yg wni</t>
  </si>
  <si>
    <t>@ALE_NYONGE @Warrior764 @mas__piyuuu @msaid_didu Loh katanya ada ISIS di sana? Kalian takut ISIS juga, kan? 🙃</t>
  </si>
  <si>
    <t>RT @cnixjuang: #CegahCoronaBersama pemerintah siapp..!!! 5 WNI positif Corona diluar Negeri dinyatakan sembuh. 1 di Singapura 4 di Jepang #IndonesiaSatu Lawan corona</t>
  </si>
  <si>
    <t>@ganjarpranowo Kadang kepikiran jg..mereka yg blm kena corona dikapal berasa lagi berada di kota zombie dan teriak butuh pertolongan,tp ga ada yg berani nolong..kaya wni di wuhan yg pgn pulang.kaya wni yg mendarat dan sembuh di jepang.tapi.. mungkin kita memang blm siap..</t>
  </si>
  <si>
    <t>@PeinsanGade Lon termasuk WNI y lupa2 pancasila</t>
  </si>
  <si>
    <t>@Boemi_Pertiwi12 bukankah Pak Raam Punjabi sudah kita kenal sebagai WNI saudara sebangsa dengan kita. Banyak kontribusi beliau pada bangsa ini.</t>
  </si>
  <si>
    <t>Dengar tuh Bu @fahiraidris apa yg dikatakan @fadlizon semua WNI harus sama dimuka hukum. Kalau sdh minta maaf ya artinya bersalah. Hadapi sj bu @fahiraidris ini semua demi hukum, apalagi andakan pejabat negara🤣🤣🤣🤣 RT @So3daRn0: Jika Ucapan Bung @fadlizon ini ditujukan kpd Mb @fahiraidris Apa komentar Warga +62 ?? Proses Hukum - RT + LIKE Masa Bodo - Reply Monggo ✍️ #StayCoolCegahCorona #StayCoolCegahCorona</t>
  </si>
  <si>
    <t>@isis_meurer Eh meme 💖‼️</t>
  </si>
  <si>
    <t>@nctxjisuog yang ngatain orang gawaras = isis</t>
  </si>
  <si>
    <t>🔥  RM85.00 #kedaiwebco Retweet &amp; menang RM2 di store anda! #usahawan #ecommerce c...</t>
  </si>
  <si>
    <t>@Aluna_Safitri @detikcom Betul,tktnya mlh tambah brutal nyiksa muslim disana pa lgi ke WNI .</t>
  </si>
  <si>
    <t>Nach ini gw setuju dgn ansyaad mbai!! Corona cuma bisa menularkan, tdk bisa diturunkan. Ideologi, sdh menular, bisa diturunkan ke anak cucu!! Mantan Kepala BNPT: Virus Radikal ISIS Lebih Mengerikan Dibanding Corona - News</t>
  </si>
  <si>
    <t>Klo di Indonesia, jangan harap kasus yang kayak beginian dipenjara. Pemerintah bahkan rela merogoh koceknya demi memulangkan anak2 eks WNI ISIS! Kerenkan Indonesia? 👏👏👏👏 RT @Predator_Matrix: Ketahuan Sumbang Dana ke ISIS, Singapura Penjarakan WNI . Kapan Indonesia Tegas Seperti Negara Lain. Jangan Terlalu Banyak Pertimbangan Politik. Jangan Cuma Jargon,Semua Pejabat Sibuk Bicara,Minim Tindakan.</t>
  </si>
  <si>
    <t>Virus Radikal ISIS tidak akan pernah sembuh karena menyerang otak yg merupakan prosesor dari setiap manusia. Kalau prosesor sudah rusak lebih baik di buang saja #CoronaVirusIndonesia Mantan Kepala BNPT: Virus Radikal ISIS Lebih Mengerikan Dibanding Corona</t>
  </si>
  <si>
    <t>RT @SalmaBrecht: @mohmahfudmd Data Anak terlantar 2019 ada 12.000 anak yg tinggal dijalanan. Mrk korban orang tua yg gagal. Jauh lebih gagal Negara menjaga mrk Anak jalanan tdk terpikirkan sprt Negara memikirkan anak² ISIS ex WNI. Sikap hipokrit politik memang menyedihkan</t>
  </si>
  <si>
    <t>Kajian itu masih dilakukan Pemerintah untuk mengetahui kemungkinan anak-anak terpapar ideologi radikal.</t>
  </si>
  <si>
    <t>@novindakrstn @jawafess Isis lambene😭😭</t>
  </si>
  <si>
    <t>@RakyatJ73433360 @Batax_Nasional @Dennysiregar7 @DivHumas_Polri Kalau yang ngebantai statusnya muslim bagaimana?? Anda pikir ISIS tidak melakukan pembantaian terhadap orang2 kristen di wilayah yang diduduki. Bukankah di negara sendiri pengeboman di gereja juga dilakukan oleh mereka yg ngaku muslim.Pembantaian pd manusia tidak dibenarkan!!!!</t>
  </si>
  <si>
    <t>Toyota Isis PLATANA - Yokota Air Base, USMIL</t>
  </si>
  <si>
    <t>Toyota ISIS PLATANA - Yokota Air Base, USMIL</t>
  </si>
  <si>
    <t>Apakah benar info bagi WNI yang pulang berpergian dari luar negeri dan akan mendapatkan masa karantina selama 14 hari? @KemenkesRI</t>
  </si>
  <si>
    <t>Orang bugil loe pada apresiasi kata seni. Gue pake jilbab lalu belajar bernikob loe bilang muka gue jelek, lebih sadisnya lagi loe tuduh gue besutan isis terroris yg radikal dan anti Pancasila. Dasar Kimak loe...😤😤</t>
  </si>
  <si>
    <t>WNI ABK di P. Sebaru Kecil Melaksanakan Sholat Jumat</t>
  </si>
  <si>
    <t>Iya pak semua juga tau ISIS bahaya. Tapi ga pas dong ngomongnya dalam momen seperti ini RT @detikcom: Mantan Kepala BNPT, Ansyaad Mbai, menilai virus radikal ISIS lebih membahayakan daripada virus Corona. Virus radikal ISIS korbannya adalah bangsa dan negara. #viruscorona #ISIS</t>
  </si>
  <si>
    <t>RT @jabarsaberhoaks: 1000 TIKET PESAWAT GRATIS UNTUK WNI PULANG KE TANAH AIR DARI PT ANGKASA PURA 1 KARENA VIRUS CORONA [SALAH] KONTEN PALSU Berdasarkan pantauan. Beredar kabar tentang PT Angkasa Pura I yang menyediakan 1000 tiket pesawat gratis untuk WNI Selengkapnya di</t>
  </si>
  <si>
    <t>Kondisi WNI ABK Diamond Princess yang Diisolasi: Baik Tanpa Keluhan</t>
  </si>
  <si>
    <t>@DaArasyadz Past siapapun dalam keadaan tersebut guguplah ada, aku yakin setiap WNI pasti tau dan hafal pancasila begitupun khalista apalagi dia Sarjana hukum pastilah hafal, coba lihat acara2 miss universe semua di tanya tentang pendapat pribadi bukan Hafalan</t>
  </si>
  <si>
    <t>Bermula dari 'Kelompok Dansa', 4 WNI Kena Corona di Indonesia  #corona #covid19 #dansa #sabtuambyar #SabtuRebahan #coronavirus</t>
  </si>
  <si>
    <t>Dukung Terorisme, 3 WNI Divonis Bersalah di Pengadilan Singapura</t>
  </si>
  <si>
    <t>- Mengecam dan mengutuk pembunuhan umat Islam di India oleh ekstremis Hindu, dan menyerukan pemerintah India untuk menghentikan kekerasan yang telah menyebabkan terbunuhnya 40 Muslim adalah hal yang konstitusional.</t>
  </si>
  <si>
    <t>Istana Pastikan Ratusan ISIS Eks WNI Masih di Suriah #TauCepatTanpaBatas #BeritaTerkini #Berita #News #BeritaNasional .</t>
  </si>
  <si>
    <t>@null Istana Pastikan Ratusan ISIS Eks WNI Masih di Suriah Tenaga Ahli Utama KSP, Donn</t>
  </si>
  <si>
    <t>@P3nj3l4j4h_id Pemerintahnya sendiri ga tegas sih...ga pernah ditangkapi perusuh2 ky gitu! Percuma juga cc ke @DivHumas_Polri @mohmahfudmd Memalukan negara aja...dikiranya seluruh WNI segoblog mereka, perusuh yg cuma brp gelintir itu😤</t>
  </si>
  <si>
    <t>1000 TIKET PESAWAT GRATIS UNTUK WNI PULANG KE TANAH AIR DARI PT ANGKASA PURA 1 KARENA VIRUS CORONA [SALAH] KONTEN PALSU Berdasarkan pantauan. Beredar kabar tentang PT Angkasa Pura I yang menyediakan 1000 tiket pesawat gratis untuk WNI Selengkapnya di</t>
  </si>
  <si>
    <t>@Parapat_Nixon Itu ISIS...mbantai orang kok gx didemoh sm mas" FPI</t>
  </si>
  <si>
    <t>@moviemenfes Ini nonton film lohh gaees... Gimana dengan wacana anak2 ISIS yg mau dipulangkan ke Indonesia?? Mereka udah liat pembunuhan depan mata gaess dan doktrin2 lainnya..😱😱😱😱</t>
  </si>
  <si>
    <t>@Maya_Bifi @hasmi_bakhtiar pemimpin islam??anda waras..erdogan itu dajjal laknat yg menciptakan monster ISIS..menyediakan pintu msk bagi teroris2 seluruh dunia membantai rakyat suriah..dajjal ini jg menikmati miliaran dolar minyak suriah yg djarah ISIS kmudian dtadah oleh bilal putranya...</t>
  </si>
  <si>
    <t>@_taurusmoon wni gak sih dia skrg ? WKWKWKWKWK apa yg punya indo ?</t>
  </si>
  <si>
    <t>Mantan Kepala BNPT Ansyaad Mbai, menilai virus radikal ISIS lebih membahayakan daripada virus Corona. Virus radikal ISIS disebutnya korbannya adalah bangsa dan negara.</t>
  </si>
  <si>
    <t>RT @NurazizaShima: Bendera ISIS di salah satu tembok jalan di Indonesia #MenolakLupaKejahatanISIS #MenolakLupaKejahatanISIS #MenolakLupaKejahatanISIS</t>
  </si>
  <si>
    <t>RT @04_adisetiawan: Soal Bendera Rasulullah, Propaganda Bohong HTI dan ISIS via @NewsArrahmah</t>
  </si>
  <si>
    <t>@Detektif_Ngibul @PantunJ2P @TolakBigotRI @narkosun @amrudinnejad_ @jr_kw19 @wahhabicc_jabar @WahhabiCC @BadjaNuswantara @AfifFuadS @P3nj3l4j4h_id Nah...kalau memang benar, gimana nanti dengan kepulangan anak² eks ISIS ??? Pemerintah pelihara bom waktu..</t>
  </si>
  <si>
    <t>pemerintah akan evakuasi WNI abk world dream ke pulau sebaru.</t>
  </si>
  <si>
    <t>Tiga WNI Divonis Bersalah Dukung Terorisme oleh Pengadilan Singapura, KBRI Beri Imbauan</t>
  </si>
  <si>
    <t>188 WNI ABK Kapal World Dream Negatif Korona</t>
  </si>
  <si>
    <t>Kita hidup di negara Indonesia.. ancaman akan melakukan sweeping warga negara india adalah suatu niatan yg ngawurr dan melawan hukum.. niat spt ini saja sdh harus diambil tindakan oleh polisi, krn sdh membuat sebagian wni etnis india, merasa ga nyaman.. pelanggaran hukum! RT @detikcom: Slamet Maarif memberi waktu pihak Kedubes India untuk berdialog dengan ulama hingga Jumat (13/3) pekan depan. Jika tidak, massa akan sweeping warga India.</t>
  </si>
  <si>
    <t>Mau semahal apapun baju hangout kalian, Gak akan bisa ngalahin isis Dan nyamannya pakek daster❤</t>
  </si>
  <si>
    <t>RT @popkalcer: Info: Daftar WNI teinfeksi virus corona bertambah.....</t>
  </si>
  <si>
    <t>@KompasTV Sdh bukan WNI lagi</t>
  </si>
  <si>
    <t>@OryaMqboolJan Assalamualaikum.... Mai Maqbuza Kashmir se hu hazrat Aapse ek Request hai Ek Bayan Aap ISIS Daesh k bare mai Record kijiye ..</t>
  </si>
  <si>
    <t>RT @sorotnews: WNI Positif Corona Bertambah</t>
  </si>
  <si>
    <t>RT @rahmadiheru88: @catholicourtney @KbriVatikan Saya warga Pekanbaru -- Provinsi Riau -- Indonesia. Total -- ada 4 WNI positif #COVIDー19 @KompasTV Aktivitas di Pekanbaru berjalan normal. Semoga Vatican -- Indonesia &amp; seluruh dunia -- segera memenangkan "pertempuran" melawan #COVIDー19</t>
  </si>
  <si>
    <t>RT @kayu_bondol: @mohmahfudmd knp diam jk ada simpatisn isis di Ind? Diam krn blm ckp bukti, takut, tdk peduli atau justru ikut simpati? Sy WNI yg msh cinta negara bth ketegasan dr anda. Yg di Ind sj anda ga bs bereskn. Trus mau plgkn anak anggota isis ex WNI? @DivHumas_Polri segralh brtindak</t>
  </si>
  <si>
    <t>@jek___ .kesemuanya WNI bng,gk ada warga negara jamaika</t>
  </si>
  <si>
    <t>RT @ylchaniago: Yang mau tau bagaimana update perlindungan WNI bisa follow ini yaa</t>
  </si>
  <si>
    <t>@tempebacem3 @wikaseno @AsepSuwarno77 @detikcom Cara berpikir Rakyat Indonesia itu beda dengan KADRUN yang Nyaru jadi WNI 😆 Setiap persoalan Negara serahkan pada kepala negara tdk seperti Bangsa Kadrun cuma darah doang yang naik dan memprovokasi dg teriak teriak ngadu domba padahal nyalinya Nyali Ayam Gue tau nyali kadrun</t>
  </si>
  <si>
    <t>RT @Hanifah933: @yazid_fadhlan Sy cuma percaya ke Khalifahan yg di pimpin oleh Imam Mahdi. Selain itu cuma Bullshit ... ISIS N AL-QAEDA adalah contoh nyata betapa SAMPAHNY fake KHILAFAH 🙏</t>
  </si>
  <si>
    <t>@yazid_fadhlan Sy cuma percaya ke Khalifahan yg di pimpin oleh Imam Mahdi. Selain itu cuma Bullshit ... ISIS N AL-QAEDA adalah contoh nyata betapa SAMPAHNY fake KHILAFAH 🙏</t>
  </si>
  <si>
    <t>@idolfess EH TP NGAPAIN SIWON KE INDO HAHAHHA MAU PINDAH JD WNI?</t>
  </si>
  <si>
    <t>@TeddyGusnaidi Heraann... katanya ISIS bentukan amerika cs... tp knapa para radikal mendukung n berjuang utk ISIS... brarti kan berjuang ISIS sm aja bjuang utk amerika cs... smentara para radikal anti amerika cs... Mgkn udah ilang otaknya...🤪</t>
  </si>
  <si>
    <t>Konsulat Jenderal Republik Indonesia (KJRI) di Perth, Australia Barat meminta warga negara Indonesia (WNI) di wilayah tersebut untuk tetap tenang dan cermat #StayCoolCegahCorona</t>
  </si>
  <si>
    <t>@black__valley1 anak smp lugu gini bisa dengan bangga sdh membunuh. gimana kabar anak2 isis yg memang dilatih sejak bayi untuk menjadi mesin pembunuh yg mau dibawa pulang pemerintah indonesia? hellooo</t>
  </si>
  <si>
    <t>RT @tanca_ra: @Detektif_Ngibul @narkosun @TolakBigotRI @amrudinnejad_ @jr_kw19 @wahhabicc_jabar @WahhabiCC @BadjaNuswantara @AfifFuadS @P3nj3l4j4h_id Lah !! Aparat TNI dan Polri pd kemana ? Di luaran ISIS di tumpas habis, di Indonesia malah marak dan bangga pengikutnya bs ngibar"in bendera Teroris ISIS.</t>
  </si>
  <si>
    <t>@WagimanDeep__ Coba tanya @felixsiauw kenal sama Abdurrahman Al Baghdadi, orang Lebanon yang lahir di Australia terus jadi WNI dan tinggal di Cibinong?</t>
  </si>
  <si>
    <t>RT @antaranews: Ketiga WNI tersebut mengaku bersalah (plead guilty) atas dakwaan pengiriman sejumlah dana yang ditujukan untuk mendukung kegiatan organisasi terlarang yang diduga terkait kegiatan terorisme.</t>
  </si>
  <si>
    <t>Ketiga WNI tersebut mengaku bersalah (plead guilty) atas dakwaan pengiriman sejumlah dana yang ditujukan untuk mendukung kegiatan organisasi terlarang yang diduga terkait kegiatan terorisme.</t>
  </si>
  <si>
    <t>2 WNI Kembali Dinyatakan Positif Corona, Diduga Tertular Dari Kasus Pertama. #corona #covid19</t>
  </si>
  <si>
    <t>@Zhongren15 Waktu itu ISIS belum ada.</t>
  </si>
  <si>
    <t>@OpankGhozi @fahiraidris Tolol dipelihara, bawa bendera palestina padahal dubes palestina eneg liat lu...mnta jd wn paalestina jg ditolak..gabung isis aja sono dikamp..perlu ongkos??</t>
  </si>
  <si>
    <t>@umi_zahraa Mungkin yang bawa bendera isis dia kurang apdet kalau isis usah koid, gak usah lebay so panik.</t>
  </si>
  <si>
    <t>@haechan_cam Ga tau. Iseng kali wkwk suju kan udh rasa wni 😂</t>
  </si>
  <si>
    <t>RT @shiitenews110: #BreakingNews #Kabul Mai #Shia Rehnuma Abdul Ali Mazari Ki Barsi K Ijtema Mai SaudiNawaz Deshtgard Tanzeem #Daish #ISIS Ka Khudkash Dhamaka, 27 Mominen Shaheed 40 Sy Zaid Zakhmi</t>
  </si>
  <si>
    <t>ㅤㅤ ㅤㅤSalam kenal, saya Gabrielle van den Berg. Gabby pun cukup jika kalian kesulitan mengeja nama saya. Pun kalau kalian bertanya-tanya saya WNA atau WNI, saya WNA yang baru pindah ke Indonesia saat berusia 15 tahun. Jadi pembendaharaan kata saya dalam bahasa Indonesia ㅤㅤ</t>
  </si>
  <si>
    <t>Apaaansi ini ya tuhan. @jokowi please do u magic! Tolong pak yang kayak gini2 bubarin aja. Bikin resah wni dan warga negara India. Huft RT @detikcom: Slamet Maarif memberi waktu pihak Kedubes India untuk berdialog dengan ulama hingga Jumat (13/3) pekan depan. Jika tidak, massa akan sweeping warga India.</t>
  </si>
  <si>
    <t>Kadrun betina dgn logika keplintir dan tweet penuh ajeb2..dr gambar nya aja pendukung ISIS ama khilafah...mgkn ada yg mau ongkosin?? RT @Yurofa_albarok: @Merintis15 @fahiraidris Lalu dimana letak persamaannya ? Apa yg dilakukan Ahok memang salah, sedangkan apa yg terjadi dengan @fahiraidris harus dibuat salah. Mulailah menyikapi suatu konteks dengan tanpa prasangka.</t>
  </si>
  <si>
    <t>@mbaadnin @adnanfaris4 @breelleight @peachymdmselle @tubirfess Justru klo WNI dari lahir semestinya paham, karena pancasila itu merupakan dasar negara dan landasan ideologi bangsa Indonesia. Ampun dah logika loe kok keblinger sih mba</t>
  </si>
  <si>
    <t>RT @05d95a682cea478: Satu Orang WNI Positif Terinfeksi COVID-19 di Taiwan. Kemungkinan Akan ada yg lain karena sebelum terdeteksi pihak Otoritas Taiwan. Pasien Sempat bertemu dengan Teman teman sesama WNI.@YanHarahap @AgusYudhoyono @panca66 @akang_hero @jansen_jsp</t>
  </si>
  <si>
    <t>RT @kalerioooo: Sampai IG pula😭. Ni slip dua tahun 2018😭😭 saje je nak throwback😞 saya dah 19 la😞</t>
  </si>
  <si>
    <t>Bagi WNI yang akan ke Indonesia dari Korea Selatan, tidak diwajibkan untuk memiliki surat keterangan sehat 🙏</t>
  </si>
  <si>
    <t>RT @antaranews: Berikut berbagai berita tentang pemantauan orang-orang yang punya riwayat perjalanan ke negara-negara yang melaporkan kasus COVID-19 dan dampak penyebaran virus corona saat ini. #COVID19</t>
  </si>
  <si>
    <t>RT @Cak_Hariy: Klarifikasi langsung dari Dubes RI untuk Saudi Arabia. Bapak Agus Maftuh tentang berita : UMROH DITANGGUHKAN SELAMA THN 2020 itu 👉HOAX (Yang Benar adalah di Tangguhkan Sementara) Dan terjadi pengusiran WNI juga 👉 HOAX #BijakBermedsos</t>
  </si>
  <si>
    <t>Ketiganya, masih dalam pemantauan dan belum masuk kategori suspek virus korona.</t>
  </si>
  <si>
    <t>RT @ErindaSofi: apa kabar pak @jokowi ??? apa yg ini tdk menyayat hati kah ?? daripada anak2 eks WNI ISIS ??? Tolong Tuhan lembutkan dan lunakkan paduka ku bapak @jokowi 🙏</t>
  </si>
  <si>
    <t>@JerikoBaru2170 @AbdurachmanAl @jokowi @mohmahfudmd Diseluruh dunia dalam sejarah , bukan isis + Al qaeda + al nusra + Hamas + Hezbollah yang terbukti , yang terbukti jelas adalah : nu , inggris Dan sekutu pemenang pd 2 minta damai gencatan senjata di Surabaya ...</t>
  </si>
  <si>
    <t>RT @pknstanid: Dalam rangka memenuhi formasi pegawai tidak tetap tahun anggaran 2020, PKN STAN membuka kesempatan kepada WNI untuk diterima pada posisi petugas kebersihan, petugas keamanan, perawat, dan psikolog klinis. Informasi lebih lanjut:</t>
  </si>
  <si>
    <t>@JerikoBaru2170 @AbdurachmanAl @jokowi @mohmahfudmd Inggris sudah kerahkan jet dari udara + kapal induk dari laut + tank di darat , Kota Surabaya dikepung total tapi nu bisa hadapi inggris Dan sekutu , alasan kenapa nkri adalah harga mati karena puluhan ribu mujahid nu mati syahid waktu itu , jadi bukan isis saja yang kenal jihad</t>
  </si>
  <si>
    <t>Berikut berbagai berita tentang pemantauan orang-orang yang punya riwayat perjalanan ke negara-negara yang melaporkan kasus COVID-19 dan dampak penyebaran virus corona saat ini. #COVID19</t>
  </si>
  <si>
    <t>Tiga WNI di Singapura Divonis Bersalah Dukung Terorisme</t>
  </si>
  <si>
    <t>@JerikoBaru2170 @AbdurachmanAl @jokowi @mohmahfudmd Isis sudah gagal total , tidak mampu pertahankan Kota raqqa , sebaliknya nu bisa buat inggris minta damai gencatan senjata di Surabaya dengan hubungi alm sukarno ...</t>
  </si>
  <si>
    <t>@saaariii___ Pastinya... Tapi kritik kita blom didengar pak jokowi... Malah anak2 eks WNI yg gabung ISIS dipulangin ke Indonesia</t>
  </si>
  <si>
    <t>Yang mau tau bagaimana update perlindungan WNI bisa follow ini yaa RT @Kemlu_RI: #SahabatKemlu, berikut update Perkembangan COVID-19 dan Perlindungan WNI per tanggal 7 Maret 2020. #NegaraMelindungi</t>
  </si>
  <si>
    <t>@saroesoe @oak_math_lee_91 @BebasVisaID @Menlu_RI @Kemlu_RI @KbriBeirut @jokowi @KSPgoid Nah udah kayak gini, mau alasan klise apa lagi yg mereka kasih (&amp; pemerintah kita telan) mempersulit visa turis buat WNI? Takut overstay? Terorisme? #IniDiplomasi</t>
  </si>
  <si>
    <t>Tidak ngebully.. terlepas dr latar belakangnya dari mana tp dia adalah WNI dan PANCASILA adalah Dasar Negara Indonesia RT @detikcom: Louise Kalista Iskandar, finalis Puteri Indonesia 2020 dari Sumatera Barat kepleset menyebutkan Pancasila di malam Pemilihan Puteri Indonesia 2020. Seperti ini kisahnya. #PuteriIndonesia via @wolipop</t>
  </si>
  <si>
    <t>#SahabatKemlu, berikut update Perkembangan COVID-19 dan Perlindungan WNI per tanggal 7 Maret 2020. #NegaraMelindungi</t>
  </si>
  <si>
    <t>@EKSLUSIVISME ㅤ Iya, soalnya setau gue KTP itu udah termasuk deklarasi diri sebagai seseorang WNI, terlepas asli mana dia berasal. Tapi koreksi gue ya kalo gue salah. ㅤ</t>
  </si>
  <si>
    <t>@IdEmbassy_Seoul Apakah ini berlaku juga untuk wni yg akan ke korea?</t>
  </si>
  <si>
    <t>@AUDYSCO Kitamah UIN JKT cuma punya Lia Eden, Baiat ISIS, Massa bayaran demo, ribut organ ekstra kampus, ricuh, ricuh dan ricuh.</t>
  </si>
  <si>
    <t>@rizieqdivist Bendera Isis , Al Qaeda apa juga panji Rasulullah ?</t>
  </si>
  <si>
    <t>Menurutmu ga masalah gatau Pancasila? Minimal hafal nantinya bisa mengamalkan. Entahlah, Pancasila itu paket lengkap buat jadi WNI yang baik.</t>
  </si>
  <si>
    <t>RT @_odetosink: hagan como isis,,,,stan mika</t>
  </si>
  <si>
    <t>@Bangzul__88 @PKSejahtera @CCICPolri @DivHumas_Polri @aduankonten @kemkominfo jadi ini beneran ?? wah lagi lagi kadrun menyamakan sikap wni keturunan dengan warga negara sana kuharap dia masuk jeruji besi</t>
  </si>
  <si>
    <t>hagan como isis,,,,stan mika</t>
  </si>
  <si>
    <t>RT @ganjarpranowo: Masker ini kiriman dari warga Jawa Tengah untuk saudara-saudara WNI di Hongkong, Singapura dan Taiwan. Semoga saudara-saudara di sana selalu diberi kesehatan. Tetap kuat dan jaga persaudaraan.</t>
  </si>
  <si>
    <t>RT @chsbarack95: @Itsmerln QnA session di pageant itu ya tentang pengetahuan umum karna kan mereka bakal jadi ambassador. Lagian Pancasila itu kan sbg dasar ideologi kita, jadi sbg WNI ya sudah seharusnya hafal &amp; tau diluar kepala. —next—</t>
  </si>
  <si>
    <t>@tjapoenglaut @oneaperture @Sarah_Pndj @detikcom @fahiraidris @DivHumas_Polri maaf itu hanya berlaku pada orang tertentu dan kelompok tertentu. gak usah bingung, cemas atau heboh. emang baru tinggal di +62?! ini sudah kebudayaan. wong pemimpinnya aja omong tolak eks isis, tapi dibelakang urusin anak" eks isis. dia lupa anak" korban bom teroris. gitu, gan!</t>
  </si>
  <si>
    <t>@Dennysiregar7 @DivHumas_Polri Itu kan urusan domestik mereka.kalo ga suka ya pake prosedur yg benar . Bukan premanisme . Sok mau sweeping . Entar kalo begonya ikutan , wni keturunan India juga jadi korban . Kan begok</t>
  </si>
  <si>
    <t>@isis_macedo10 Huruuu</t>
  </si>
  <si>
    <t>RT @Hanifah933: Anggota Komisi I Dewan Perwakilan Rakyat Fadli Zon MENDUKUNG rencana MEMULANGKAN Anggota ISIS Eks WNI ke Tanah Air. Mengapa ? Mungkin 🎥 di menit ke 01.35 dpt menjadi benang merahny 🙏 #TolakAnakISISKembali</t>
  </si>
  <si>
    <t>@anggarekza @fannutt @Itsmerln Istilahnya pertanyaan Pancasila itu sama halnya pertanyaan rukun Islam/Iman buat kita yg Muslim yg harus tau &amp; hafal diluar kepala, sbg WNI sila2 Pancasila aja ga hafal gimana mau wakilin ke ajang internasional. —next—</t>
  </si>
  <si>
    <t>WNI Kena Virus Corona, Media dan Hoax Bikin Panik!  lewat @YouTube #SabtuRebahan #birojodoh #아미는고마워요 #TanpaOPMPapuaAman #LeftOrRightBrainTest #7isARMY #ItaewonClass #Collabonation #RECEHKANTWITTER</t>
  </si>
  <si>
    <t>@idolfess Mungkin dia ke Indo mau buka stand pas cfd besok,trs ngasih ngasih sample gratis deh. YA PROMO LAH SEKALIAN MAU JADI WNI YG BAIK</t>
  </si>
  <si>
    <t>@MiliUrip @detikcom @wolipop Maaf saya dari sumbar, maksud kadrun ini apa ya ?? Disini mayoritas muslim semua dan WNI semua setia kepada NKRI dan Pancasila, tolong kpd saudara yg terhormat jelaskan</t>
  </si>
  <si>
    <t>RT @senagunardi: kgaduhan trs trjd rakyat terbelah² krn pembiaran narasi politik oleh penguasa. Klimat spt aku pancasila,aku nkri, Islam radikal,isis,trpapar khilafah yaitu narasi provokatif y drawat &amp; dgaungkan agr rakyat tdk fokus k persoalan bangsa y sesungguhnya. #NegeriGaduhUlahPenguasa</t>
  </si>
  <si>
    <t>@MustanginAli3 @Namaku_Anisa @msaid_didu @ustadtengkuzul Isis buka negara yg diakui PBB, Isis boneka, sy kok merasa aneh dengan org berpeci, malah suka memojokkan Islam.</t>
  </si>
  <si>
    <t>Malu kita punya warga negara berhati binatang begini ini. Ayo kita contoh Singapore spy hewan2 itu tdk berkembang bhkn mati disini</t>
  </si>
  <si>
    <t>RT @the_geotimes: Karenanya, pernyataan FPI dan organisasi-organisasi serupa yang memberikan dukungan pada ISIS bisa dikategorikan sebagai hal yang berbahaya</t>
  </si>
  <si>
    <t>@HaedarNs @sahaL_AS Bisa ditelusuri siapa yg upload pertama, tapi dugaan saya sih kaum 'pengaggum ISIS' siapa dia? ...anak SD jg tahu .. 😂</t>
  </si>
  <si>
    <t>@Dennysiregar7 @DivHumas_Polri Goblok maksimal. Lha di India sono kan juga ada WNI yang bermukim. Kalo mereka dibalas kena sweeping, bagaimana? Demo boleh, tapi harus cari solusi. Pethuk jangan dihabisin sendiri dong.</t>
  </si>
  <si>
    <t>@P3nj3l4j4h_id Orang2 pe'a mn punya rasa malu berkebangsaan.. Mereka hanya benalu NKRI Yg bisanya merusak dah mirip ISIS Dah saatnya pemerintah ambil tindakan keras dng gerombolan ini.</t>
  </si>
  <si>
    <t>Pak @jokowi @Kemenag_RI @kemendagri @mohmahfudmd.... Ini ada kasus penolakan pembangunan rumah ibadah GBI Tlogosari. Anak2 ISIS kaupedulikan WNI sendiri kausengsarakan. Buka mata, buka telinga dan buka hatimu.</t>
  </si>
  <si>
    <t>@P3nj3l4j4h_id Lha, kalo ntar ada sweeping WNI yang bermukim di India, bagaimana? Kok otak ditaruh di dengkul. Demo boleh, tapi cari solusinya. Jangan membuat masalah yg baru.</t>
  </si>
  <si>
    <t>@Predator_Matrix Katanya kwatir di tinggal umat. Mereka gak sadar dengan permainan ISIS. Saat ini masih kecil dan bisa di permainkan. Tunggu saatnya mereka (ISIS) kuat. Kelar hidup dan impianmu.</t>
  </si>
  <si>
    <t>@AfifFuadS Sultan Jogja tampaknya bersahabat erat dengan kelompok khilafah teroris Isis ini. Kegiatan teroris isis dibiarkan tanpa ada hambatan dari penguasa daerah Mungkin pengin jadi raja khilafah.</t>
  </si>
  <si>
    <t>@Batax_Nasional @IMulya77 @Dennysiregar7 @DivHumas_Polri Woiii klo Agama Kauu tinggal di Mayoritas Muslim tdk ada yg diBantaiii kaya Anjing Kurap Cooyy. Klo Ummat Muslim jahat sudah selesai Kau di NKRI. Tapi Muslim bukan ISIS dan Muslim bukan Komunis yaa. Inga inga itu. Makanaya belajar lg tentang sejarah Cooyy ☝️</t>
  </si>
  <si>
    <t>Eehhhh...kenopo iso ngene sih cuu..? Sampah kui pasukanne sampeyan...intoleran pro karo ISIS..si mbok bingung!!!  #GabenerJualMaskerMahalRT @kurniawan1911: Satukan hati bulatkan tekat... Rapatkan barisan Satukan Tujuan.. 2024 BUANGLAH "SAMPAH" PADA TEMPATNYA #BangsatBangsa Kami Barisan OPOSISI ✊</t>
  </si>
  <si>
    <t>@Julieette99 @na_dirs @nanangwdm yang bikin isis juga bule kok. lo kira bikinan siapa? pantas kelakuannya kayak bule penjajah. berapa indon dimatiin bule penjajah?</t>
  </si>
  <si>
    <t>@andrenumbersix @ahim_abah @detikcom 98% yang dibantai itu isis om. Bukan berarti yang dilakukan India benar.</t>
  </si>
  <si>
    <t>RT @chuentoi: @aryacokronegoro @BebasVisaID @oak_math_lee_91 @saroesoe @sandmanindo @MikeyAM97 @IvanRT05 Bu @Menlu_RI @Kemlu_RI ,tolong dorong bebas visa WNI ke Panama,bhkan warga negara Vietnam dan Cambodia uda bebas visa ke sana,kenapa kita msh belum bebas visa ke sana?</t>
  </si>
  <si>
    <t>Waspadai gerakan HTI...</t>
  </si>
  <si>
    <t>@absimor @bismillahdiet @Dennysiregar7 @DivHumas_Polri Hei Tuyul...Kau pikir Negara NKRI Milik Nenek Moyang Kau....💪 Justru ISIS anjingnya Israel itu ciptaan Anjing Zionist Israel dan Dedengkotnya Paman Sam tuh. ISIS ga Beda dgn Komunis Anti PANCASILA kau ngerti ga ??</t>
  </si>
  <si>
    <t>@aryacokronegoro @BebasVisaID @oak_math_lee_91 @saroesoe @sandmanindo @MikeyAM97 @IvanRT05 Bu @Menlu_RI @Kemlu_RI ,tolong dorong bebas visa WNI ke Panama,bhkan warga negara Vietnam dan Cambodia uda bebas visa ke sana,kenapa kita msh belum bebas visa ke sana?</t>
  </si>
  <si>
    <t>WNI milenial pancasila aja nggak hapal. Coba sekali-kali yang suka teriak2 pancasilais suruh gituin... jangan2 gitu juga...🤣🤣🤣 RT @OwenStevano: Ya wajar ada yang marah karena itu adalah reaksi masyarakat yang terkejut melihat sosok kontestan putri Indonesia lupa akan pancasila yang menyangkut nilai nasionalisme yg sensitif di masyarakat Gerogi bukan alasan kontestan #putriindonesia kalau salah ya salah #kalista #sumbar</t>
  </si>
  <si>
    <t>@tribunnews WNI nya dicabut saja, kecuali Ia abak dibawah umur?</t>
  </si>
  <si>
    <t>RT @ANTARABengkulu: Satu dari 69 WNI kru kapal Diamond Princess diduga terjangkit COVID-19 - ANTARA News Bengkulu</t>
  </si>
  <si>
    <t>@GatoLoc01284640 @na_dirs @nanangwdm Yups,emng mending jadi jongos bule ga ada yg nyesel,drpd jadi jongosnya ISIS,yg perempuan cuma dijadiin BUDAK SEKS doank,bnyk yg pada nyesel n minta dipulangin ke Indonesia,lah mereka berangkat2 sendiriiii,pulang koq minta dijemput,khan koplak🤣</t>
  </si>
  <si>
    <t>Usai Berkunjung dari Tiga Negara Ini WNI Dapat Perlakuan Khusus</t>
  </si>
  <si>
    <t>RT @hsnwan: Tak payah la main sentimen nanti negara jadi ISIS la, mundur macam kelantan la. Bawah PH pun bukannya maju pun. Bukannya rakyat bersatu padu pun.</t>
  </si>
  <si>
    <t>RT @Widyarenee: @umaleao Yg bikin berisik Indonesia itu kaum mabok agama, pro khilafah/ISIS, pasukan kalah pilpres yg blum bs move on. Mrk now ga ada duit. Kmarin mrk udah nyaman makan duit order demo &amp; campaign pilpres. Habis pilpres ga ada lg order, jd sgala cara dihalalkan trmsk bikin aneka rupa hoax.</t>
  </si>
  <si>
    <t>@nanangwdm @na_dirs Udin solusi mu pindah sana ke isis yg udah bubarr. Bakarr paspor sekalian. Kami OGAH. Tangkep ni org @DivHumas_Polri Udah ogah dia ama PANCASILA. repot amat hidup. 😅😅😅</t>
  </si>
  <si>
    <t>@tvOneNews Sejak kapan Aiki Iyoshi WNI?</t>
  </si>
  <si>
    <t>India pun akan melakukan hàl yg sama....khusus kepada WNI disana. India kalau balas dendam gak tanggung2 cui. Makanya perang dgn Pakistan gak pernah berakhir RT @detikcom: Slamet Maarif memberi waktu pihak Kedubes India untuk berdialog dengan ulama hingga Jumat (13/3) pekan depan. Jika tidak, massa akan sweeping warga India.</t>
  </si>
  <si>
    <t>RT @NewsArrahmah: HEBOH! Ada Bendera “ISIS” dalam Demo Peduli Muslim India di Poso</t>
  </si>
  <si>
    <t>@joaovmariga KAKSKSKAMSLAKSLAKAK o foda eh que eh real</t>
  </si>
  <si>
    <t>@Loro_isis jae kkkkkkk</t>
  </si>
  <si>
    <t>@DArridy @anitharchmwt Seluruh WNI wajib menghafalkan pancasila tak terkecuali calon Putri Indonesia Kecuali pemberontak</t>
  </si>
  <si>
    <t>@cruings gagal menjadi WNI</t>
  </si>
  <si>
    <t>@collegemenfess sepertinya di Indonesia belum perlu, kalau di lihat update Kemenkes tadi sih wni yg tertular COVID19 masih dari orang lain yg sudah sakit.. beda cerita kalau ada wni terkena COVID19 tapi ga keLN dan kontak langsung dg yg sakit, baru kebijakan itu dilakukan.</t>
  </si>
  <si>
    <t>Soal Bendera Rasulullah, Propaganda Bohong HTI dan ISIS via @NewsArrahmah</t>
  </si>
  <si>
    <t>@Detektif_Ngibul @TolakBigotRI @narkosun @amrudinnejad_ @jr_kw19 @wahhabicc_jabar @WahhabiCC @BadjaNuswantara @AfifFuadS @P3nj3l4j4h_id Pendukung ISIS yg ada di tanah air aja merasa bangga dan hebat bgm mereka yg di Syria. Klo mereka eks WNI anggota ISIS dipulangkan apa jadinya negeri ini. Boummm demi boummm akan selalu menggelegar memakan nyawa dlm kehidupan kita.</t>
  </si>
  <si>
    <t>@lanettte @siscaaprianti Selamat pagi, untuk memberikan kemudahan bagi WNI yang akan pulang ke Indonesia, maka WNI tidak diwajibkan untuk memiliki surat keterangan sehat atau health certificate. WNI hanya perlu mengisi health card alert dan akan diperiksa kesehatannya begitu tiba di Soekarno-Hatta.</t>
  </si>
  <si>
    <t>@siscaaprianti Selamat pagi, untuk memberikan kemudahan bagi WNI yang akan pulang ke Indonesia, maka WNI tidak diwajibkan untuk memiliki surat keterangan sehat atau health certificate. WNI hanya perlu mengisi health card alert dan akan diperiksa kesehatannya begitu tiba di Soekarno-Hatta.</t>
  </si>
  <si>
    <t>@Predator_Matrix Penyumbang isis di Indo di kirim aja ke singapore biar dipenjara disana</t>
  </si>
  <si>
    <t>@dumbq_ Bkn sesuatu yg aneh, saat Kuwait perang lawan Irak juga tidak ada demo dan gejolak di dunia Islam, karena memang bkn perang agama. Skrg Arab menyerang militan khauthi di Yaman, krn mrk separatis. Yang aneh, Kenapa Arab dan koalisi liga Arab tidak menyerang ISIS dan Israel ?? 😃</t>
  </si>
  <si>
    <t>Begitu bersemangatnya masing masing mencongkel keburukan (belum tentu padahal) lawan. Ada pihak ketiga (wni juga) yang sibuk memprofokasi. Apakah mereka tidak membayangkan jika konflik horizontal terjadi dan saling menghabisi???</t>
  </si>
  <si>
    <t>RT @jas_hijau: Kenapa Teroris (ISIS) Itu Jelas Salah? Sila simak penjelasan Gus Baha berikut, kenapa kita tidak boleh menghukumi kafir seseorang karena dosa, apalagi sampai menganggap halal darahnya. Tonton lengkapnya:  #JasHijau #IslamRamah</t>
  </si>
  <si>
    <t>@Detektif_Ngibul “Woow!! Fakta mengejutkan!! Hari ini bendera ISIS berkibar lagi pada Aksi Peduli Muslim India di Poso, Sulawesi Tengah. Ternyata antek ISIS masih berkeliaran!” @wahhabicc_jabar @narkosun @BNPTRI @DivHumas_Polri @jokowi  RT @Detektif_Ngibul: Ingat baik2 nama &amp; mukanya, FARID AHMAD OKBAH. Bpk ini mendukung teroris &amp;amp; siap ngirim 1jt muslim Indonesia ke Suriah bbrp thn lalu. Berikut beberapa faktanya; @narkosun @TolakBigotRI @jr_kw19 @WagimanDeep__ @ChusnulCh__ @habibthink #NegeriGaduhUlahPenguasa #AzabGabenerBodong</t>
  </si>
  <si>
    <t>RT @BirgaldoS: Laporrr Pak Presiden @jokowi Dan Pak @mohmahfudmd Inilah kondisi Trinity gadis kecil korban bom teroris di Gereja Ouikumene Samarinda. Saya kunjungi pada 9/12/19. Semoga mata hati bapak tersentuh melihat gadis kecil Trinity ini. Bukan anak2 ISIS saja.</t>
  </si>
  <si>
    <t>@Sean_Alma Bahasa menunjukkan Bangsa. Bahasa Indonesia wajib dikuasai oleh WNI. Negara hrs berjuang untk itu. Bahasa gado-gado warganya menujukkan, sisi gelap bangsa yg banyak masalah. Mulai dari kesenjangan pendidikan sampai jurang kemiskinan yg semakin menganga.</t>
  </si>
  <si>
    <t>kpd Yth: 1. bp @jokowi 2. bp @mohmahfudmd drpd mikirin &amp; memulangkan anak² ex ISIS, mending mikirin nasib anak ini udh cantik &amp;amp; kreatif lg dump 🙏🙏🙏 RT @Namaku_Mei: Gadis yg terpaksa putus sekolah dan jual skesa Rp 20 ribu hingga viral di Medsos</t>
  </si>
  <si>
    <t>Di jagat twitter saling serang antar WNI.. dan kelompok semakin marak. Sepertinya mereka lupa hidup bernegara itu perlu persatuan.. apakah ini proses pembusukan bangsa yang tidak bisa di elakkan?</t>
  </si>
  <si>
    <t>@HizbutTahrirGL Antara framing lu terkait ACT di Suriah dan berita yang lu share beda fakta lokasi. Kecuali lu punya data valid bahwa yang kabur lewat perairan pasti ISIS. C'mon, bro.</t>
  </si>
  <si>
    <t>@detikcom Akibat teroris ISIS apakah pemerintah perlu sweeping orang arab di Indonesia? Plis deh ni orang2 punya otak ga seeehh? Beneran nanya ini...</t>
  </si>
  <si>
    <t>Perkembangan Covid-19 di Dunia dan Pelindungan WNI #negaramelindungi @ Kementerian Luar Negeri RI</t>
  </si>
  <si>
    <t>@Predator_Matrix Bagus singapura.saya WNI cuma bs ucapkan tks aja. Semoga ada negara lain bs berbuat bgtu sperti sgp.</t>
  </si>
  <si>
    <t>@tkalimantan888 @ISIS_Balik_NO Berarti tinggal menunggu proses hukumnya...</t>
  </si>
  <si>
    <t>RT @Didin11341727: @BennyHarmanID @RFauzy5 Wah dia penyebar hoax sebenar'y pdhal atasan dia aj udh mengakui ad WNI yg terkena virus corona di depok.. mantap ini pa mpud menutupi smua'y dgn alesan hoax</t>
  </si>
  <si>
    <t>HEBOH! Ada Bendera “ISIS” dalam Demo Peduli Muslim India di Poso</t>
  </si>
  <si>
    <t>@ISIS_Balik_NO @Raj4Purwa @jokowi @permadiaktivis Codot pgn diperhatiin ,bohir lama lagi bingung udah abis bnyk kgk berhasil mulu</t>
  </si>
  <si>
    <t>@permadiaktivis @ISIS_Balik_NO @Raj4Purwa @jokowi Mereka memang mengalami penyakit bodoh yg akut Kebodohan gak ada batasnya...</t>
  </si>
  <si>
    <t>infografis begini beredar luas. Selalu dengan narasi yang sama. DI FB, twitter sampai media daring. Kalau dibalik, misalnya info grafis begini dibuat dengan ganti KKB, KKSB, separatis, ISIS, tikus tanah dsb dgn TNI/Polri, sa yakin sudah ditangkap dan dipenjarakan 😀🙏😀</t>
  </si>
  <si>
    <t>11 Finalis ini josz semua ya. Cantik, Pinter dan WNI semua. Ayo Mblo...</t>
  </si>
  <si>
    <t>@detikcom Sweeping WN India? Terus abis itu diapain? Ini semacam tidakan yang menyerupai tindakan teroris ISIS gak siiy ? Makin lama mereka ini Kok semakin meresahkan yaa @DivHumas_Polri</t>
  </si>
  <si>
    <t>@KopBam Warga terdampak ga pernah pakai jalur air, darat semua. Saat ini isis mau di eksekusi mereka rata2 kabur melalui jalur air. Ini contoh :</t>
  </si>
  <si>
    <t>Apple to Apple gak sih kalau dibalas pertanyaan "Apa bedanya islam di Indonesia dengan Islamnya ISIS?" RT @Maryam59771644: @barongbengkung Jika Hindu Bali dan India beda. Dimana letak bedanya? Darimana asal Hindu Bali? Nah wajar saja jika sy-non Hindu punya pandangan bahwa Hindu sembah hewan sebagai dewa. Karena yg sy tau dari media di India ada kuil tikus-monyet. Umat Hindu India akan marah jika ada yg potong sapi</t>
  </si>
  <si>
    <t>Para pendukung ISIS di negara kita ikut tampil dengan arogansinya - seolah mereka siap berperang untuk membinasakan siapapun yang menentangnya. Lalu, kemana mereka sekarang?</t>
  </si>
  <si>
    <t>Saat itu ISIS sedang dalam puncak kejayaannya. Ladang minyak di Iraq dikuasai, aliran minyak mentah dijadikan uang di pasar gelap untuk membiayai pelumas ideologi binatangnya.</t>
  </si>
  <si>
    <t>Setahun kemudian, pada bulan Agustus 2014, sekitar 1000 orang lebih di bawah pimpinan pendakwah Syamsudin Uba, melakukan unjuk dukungan bagi ISIS di Bundaran HI, Jakarta.</t>
  </si>
  <si>
    <t>Pada bulan Maret 2013, mereka berunjuk rasa di Lapas Tangerang, menurunkan bendera Merah Putih dan menggantinya dengan bendera ISIS.</t>
  </si>
  <si>
    <t>RT @minsugacheonye: Jin: ¿eso no es del Rey Leon? Yoongi: Simba Jin: si Yoongi: cuando alzan a Simba PQKOSKWOKWK #iHeartAwards #BestMusicVideo #BoyWithLuv @BTS_twt</t>
  </si>
  <si>
    <t>@Itsmerln QnA session di pageant itu ya tentang pengetahuan umum karna kan mereka bakal jadi ambassador. Lagian Pancasila itu kan sbg dasar ideologi kita, jadi sbg WNI ya sudah seharusnya hafal &amp; tau diluar kepala. —next—</t>
  </si>
  <si>
    <t>@BangPaltiwest @permadiaktivis @Raj4Purwa @jokowi Maklum...imbalannya NGEUE gratisan.....😂😂😂😂</t>
  </si>
  <si>
    <t>RT @KompasTV: Pasien Corona Bertambah: Total 4 WNI Positif</t>
  </si>
  <si>
    <t>@dehutabarat @AhmadJaysh @permadiaktivis @Raj4Purwa @jokowi @DivHumas_Polri Codotlah....memang begitu kualitasnya....yg ada cuma crat crot selangkangan...demennya lendir pejuh</t>
  </si>
  <si>
    <t>RT @Dansky77: Yang begini aja masih belum tuntas, kok bisa"nya pemerintah lewat @mohmahfudmd niat sangad memulangkan anak-anak ISIS eks WNI? Gak sadar" yaah pemerintah jika paham radikalisme masih marak di Indonesia... hayolaaahhh pak @jokowi , sudahi niat itu dan lupakan saja... 👊👊👊</t>
  </si>
  <si>
    <t>@BUS_EKONOMI @Wong_Bedjo1 Bikin kisruh ajja,memancing kemarahan negara lain,cari musuh.pekok kok di pelihara,status masih WNI,satu WNI kena,kalau mau memancing kisruh jgn bawa seluruh warga negara indonesia yg ngak pekok,sok jago,pergi sendiri ke india sana,bakar di depan mereka,ngak di bantai sm mereka.</t>
  </si>
  <si>
    <t>RT @KemenkesRI: 6. Untuk WNI ABK Diamond Princess yang masih di Jepang, 1 sudah keluar dari RS dan sudah ada di hotel. Besok dijadwalkan akan kembali ke Jakarta, setibanya di tanah air akan diobservasi. #WaspadaCOVID19</t>
  </si>
  <si>
    <t>RT @IlsaluzAidan: Mana Milo? Mana Pusat Pakaian Hari Hari? Mana brand yang heboh depan istana haritu? Ni orang susah betul datanglah 😒</t>
  </si>
  <si>
    <t>RT @Puspen_TNI: Kogasgabpad tim observasi TNI tak kenal lelah melayani WNI dampak Virus Corona😎💂 #TNIPeduli #VirusCorona #Kogasgabpad</t>
  </si>
  <si>
    <t>RT @SiluitC: Tiga WNI Positif Corona Di Jepang Telah Sembuh</t>
  </si>
  <si>
    <t>RT @astariaks: @Aluna_Safitri @detikcom Please ya kalau sampe orang India sweeping ke WNI disana kasian WNI makin susah kami. Ku udah pernah ngerasain jadi satu satunya WNI diantara belasan ribu orang India di kampus dan kadang ribet 💔</t>
  </si>
  <si>
    <t>@koalisi_i @RomeskoP @Gerindra Msh berharap pd negara. Negaramu mana?? Dukcapil hanya admin sj. WNI hanya proforma sj. Apalagi Bhineka Tunggal Ika, hanya idealisme sj. Artinya itu semua blm ada di negaramu...layak kah engkau me ngaku2 sbg negaramu? Mana Presidennya, GAK ADA! hanya petugas kok..@NasDem</t>
  </si>
  <si>
    <t>@PoppyBarawas Saya report ke twitter / RAS dan blok, akun pro ISIS seperti dia</t>
  </si>
  <si>
    <t>@matri31 Isis phobia keuless</t>
  </si>
  <si>
    <t>RT @sopansantun55: Karena para pendukung ISIS itu ada dibirokrasi NKRI dan sudah menginfeksi virus coronadrun, makanya pengkhianat bangsa pahlawan ISIS disambut meriah oleh pemerintah !!</t>
  </si>
  <si>
    <t>@fadlizon Peran besar rezim diktator orde baru Soeharto adalah memenjarakan dan menyiksa ribuan WNI termasuk Pramoedya Ananta Toer di dalam penjara dan Pulau Buru tanpa pernah ada pengadilan. Dikira dg twit saudara Zon ini jejak kejahatan berdarah Orba Soeharto akan hilang ?!! Haluuuuuuuu</t>
  </si>
  <si>
    <t>@elkrova Itu buktinya, bhw di indonesia banyak pendukung isis</t>
  </si>
  <si>
    <t>Nah lo....gimana nih...,kita tambah mulangin,yg jelas" militan ISIS...🙄🤔🤦‍♀ RT @Predator_Matrix: Ketahuan Sumbang Dana ke ISIS, Singapura Penjarakan WNI . Kapan Indonesia Tegas Seperti Negara Lain. Jangan Terlalu Banyak Pertimbangan Politik. Jangan Cuma Jargon,Semua Pejabat Sibuk Bicara,Minim Tindakan.</t>
  </si>
  <si>
    <t>Ketahuan Sumbang Dana ke ISIS, Singapura Penjarakan WNI ✌️✌️✌️</t>
  </si>
  <si>
    <t>@Dennysiregar7 @DivHumas_Polri Kalo kamu rindu mati, pergi sono bantuin pergi rame2 jadi IsIs. Jangan berani bacoot. Kasihan sdra2ku yg kena pembodohan dari kalian</t>
  </si>
  <si>
    <t>Tiga WNI Positif Corona Di Jepang Telah Sembuh</t>
  </si>
  <si>
    <t>Untung buka WNI lu.. Bisa kena usil sama KPI lu... RT @KaraboTebedi: Today I actually decided to celebrate my scars because wow they're lowkey FIRE.😅😍</t>
  </si>
  <si>
    <t>@PoppyBarawas @CyberSkuad @damnoise @angkvgadang @budihidayat20 @delf_piliang @pakWali_ @UFit24 😅😆😭 ku yg sering dituduh HTI PKS radikal ISIS aja hapaaal 🙄🤪😆</t>
  </si>
  <si>
    <t>RT @BuruhRantau: Ga ada otaknya, gimana kalo terjadi sebaliknya. WNI di negara lain diancam sama sekelompok orang. Pemerintah kita kemana ya</t>
  </si>
  <si>
    <t>@EkaJepp @DivHumas_Polri @wapres_ri @PolhukamRI @kemendagri Ya' jangan berdalih demo trus Malah maen ancam gt ... negara bkn pelindung para pe'a aja tp hrs memberi rasa aman bg seluruh WNI ' ga peduli apa Rasnya klo udah WNI Negara punya kewajiban melindungi</t>
  </si>
  <si>
    <t>@jr_kw19 Ngga jauh beda sm ISIS... Takbir hy utk membangun opini klu yg mrk lakukan benar dijalan agama.. Padahal sebenernya melecehkan kebesaran, kemuliaan n kesucian Allah...</t>
  </si>
  <si>
    <t>@oryzawnanda Hafalan Pancasila itu sejak SD sudah diucapkan setiap upacara senin pagi mbak. Klo SD 6 th, smp 3 th, sma 3 th, plus upacara hari besar lainnya bisa ditotal sendiri deh. Harusnya sudah hafal di luar kepala. Gugup pun tetep hafal. WNI ya pasti hafal lah. Mbk ini pernah SD gak sih?</t>
  </si>
  <si>
    <t>@detikcom gk papa kyk gini, biarkan aja. tinggal nunggu berita WNI yg ada di sana jg di Sweeping, trs warga sana jg bakar bendera indonesia, cuma imbal balik kok. buat pendemo yg semangat buat Sweeping nya kl perlu yg brutal sekalian, gk akan di apa2in kok, cm di jagain doang 👍👍👍</t>
  </si>
  <si>
    <t>@mbaadnin @ozennim @tubirfess Mslhnya PANCASILA itu DASAR NEGARA yaallah itu hal paling dasar yg hrs di hapal. Syarat jd WNI aja hrs hapal dasar negara. Embarrassing</t>
  </si>
  <si>
    <t>Ga ada otaknya, gimana kalo terjadi sebaliknya. WNI di negara lain diancam sama sekelompok orang. Pemerintah kita kemana ya RT @Dennysiregar7: Ini sudah harus ditangkap @DivHumas_Polri karena sudah menebarkan ancaman kepada tamu dari luar..</t>
  </si>
  <si>
    <t>Indonesia memilih President @jokowi yg Fatal, beliau takut sama FPI, HTI, Kadrun, ISIS dan sesamanya yg seiman. Indonesia hrs siap2 menghadapi musibah yg lebih dr virus corona</t>
  </si>
  <si>
    <t>RT @liem_id: Lah piye to iki..?! Sediakan 72M buat buzzerRp bisa, masak beli alat tes buat warga yg terancam corona gak bisa, hayoo.. smakin kelihatan aslinya kaann..?! Terungkap, 238 WNI dari Wuhan Tak Dites Virus Corona, Alatnya Mahal</t>
  </si>
  <si>
    <t>pemerintah akan evakuasi WNI ABK world dream ke pulau sebaru</t>
  </si>
  <si>
    <t>188 WNI di kapal world dream dijemput KRI soeharso 26 februari 2020</t>
  </si>
  <si>
    <t>Pemerintah akan evakuasi WNI ABK world dream ke pulau sebaru</t>
  </si>
  <si>
    <t>Seandainya WNI ISIS ditangkap di Irak, mrk mungkin akan di hukum mati di Irak! #TolakISIS  @KadalStres @rajawali888lim @HanielPurbowo @jisatu01 @OtakCingkrang @kardusbox08</t>
  </si>
  <si>
    <t>RT @vivanewscom: WNI Positif Corona Bertambah  #vivanews</t>
  </si>
  <si>
    <t>RT @chairulachir: @TirtaHartanto @sutarmanw @Dennysiregar7 @CNNIndonesia @RSudjasmin @KemenkeuRI @jokowi @kaesangp @NatakusumahA @BukaBantuan @AnakKolong___ @jenk_kelinn @CGTNOfficial @BBCIndonesia @Reuters @BBCWorld @PolhukamRI Pak patrick. Agar penguasa negara perhatian terhadap nasib korban perampasan tanah apakah harus jadi anak teroris #ISIS Dulu.. @mohmahfudmd @NatakusumahA @mohmahfudmd @muchlis_ar @jenk_kelinn @jokowi @samiun_bdg @fadjroeL</t>
  </si>
  <si>
    <t>Senang sekali bisa share pentingnya lapor diri melalui Portal Peduli WNI di welcoming night @PPIASwinburne (6/3) 😊 Selamat menikmati masa belajar di Melbourne &amp; jangan lupa lapor diri melalui  bagi yang belum 😊 see you di KJRI Goes to Campus berikutnya!</t>
  </si>
  <si>
    <t>RT @_aiek_esthreem_: #BelaMuslimIndia Ahok Bakal Jd Kepala Badan Otorita Ibukota Baru, Alumni 212: Kami Menolak!  Penolakan sbg respons pernyataan Jokowi yg umumkan Ahok sbg salah satu kandidat Ahok : napi penista agama yg sedang dicitrakan sbg WNI terbaik bangsat bangsa</t>
  </si>
  <si>
    <t>Mereka yg harus diserok krn sdh menebar ancaman dan teror thd masyarakat baik WNI keturunan India maupun WNA yg sah masuk ke Indonesia... RT @detikcom: Slamet Maarif memberi waktu pihak Kedubes India untuk berdialog dengan ulama hingga Jumat (13/3) pekan depan. Jika tidak, massa akan sweeping warga India.</t>
  </si>
  <si>
    <t>Bupati: Warga Kepulauan Seribu Siap Terima WNI yang Akan Jalani Observasi di Pulau Sebaru Kecil - : Bupati: Warga Kepulauan Seribu Siap Terima WNI yang Akan Jalani Observasi di Pulau Sebaru Kecil</t>
  </si>
  <si>
    <t>suka aja duduknya gini, biar mmknya isis</t>
  </si>
  <si>
    <t>@fandyarif_ @KritisPemikir @BiLLRaY2019 Dia trmasuk orang2 yg gampang dibodohi..🤭 Orang yg gk sejalan dg agenda HT dibilang benci islam, gk setuju dg penceramah2 HT dianggap anti ulama..🤭 Propaganda HT mirip dg ISIS..mreka blng yg menentang dibilang anti Islam, &amp; akhirnya bnyk yg gabung jd anggotanya.</t>
  </si>
  <si>
    <t>Waspada!!! WNI Terkena Virus Corona Bertambah</t>
  </si>
  <si>
    <t>RT @hermana_t: Kemenkes mengumumkan 2 org baru WNI positif Corona Shg ada 4 org yg dinyatakan positif Corona "Dua org confirm positif, yg disebut kasus 3 dan kasus 4.," kata Yurianto Kedua orang itu diketahui positif Corona krn melakukan kontak dgn kasus 1 dan kasus 2</t>
  </si>
  <si>
    <t>@mohmahfudmd knp diam jk ada simpatisn isis di Ind? Diam krn blm ckp bukti, takut, tdk peduli atau justru ikut simpati? Sy WNI yg msh cinta negara bth ketegasan dr anda. Yg di Ind sj anda ga bs bereskn. Trus mau plgkn anak anggota isis ex WNI? @DivHumas_Polri segralh brtindak 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</si>
  <si>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@Detektif_Ngibul @narkosun @TolakBigotRI @amrudinnejad_ @jr_kw19 @wahhabicc_jabar @WahhabiCC @BadjaNuswantara @AfifFuadS @P3nj3l4j4h_id Isis lokal masih berkeliaran rupanya😡😡😡😡</t>
  </si>
  <si>
    <t>@jr_kw19 Wakakaka La kalau dia India muslim Apa mau kau obrak abrik juga pak. 🤣🤣🤣. La di sini mayoritas saja mau mendirikan hilafa gk boleh apa Lagi di india minoriras. Maka akan ada perlawanan. Ketika kalah jumblah. Mereka akan cari bantuan dari negara lain. Macam isis aja</t>
  </si>
  <si>
    <t>RT @miragrandeee: aku ni bukan setakat relationship je beria , friendship pun aku yang paling beria haha</t>
  </si>
  <si>
    <t>WNI Positif Corona Bertambah  #vivanews</t>
  </si>
  <si>
    <t>@Predator_Matrix Para pengibar bendera HTI aja masih bebas tanpa tindakan tegas apalagi utk simpatisan ISIS</t>
  </si>
  <si>
    <t>RT @genefer_maikel: Pembantu rumah tangga asal indonesia terlibat pendanaan teroris di singapura</t>
  </si>
  <si>
    <t>@msaid_didu BPJS perlu BAILOUT agar setiap WNI berobat gratis; buat waduk dari hulu ke hilir senusantara dijaga TNI/Komcad juga tuk tanam ikan, nantinya tarik TOL. Pupuk pertanian gratis perlu BAILOUT. Kedepan ini senjata pamungkas dunia.</t>
  </si>
  <si>
    <t>RT @herik3rn: @djunaedi_22 @RizmaWidiono @corbuzier @HitamPutihT7 @Chusnul__Ch @Je_Ly @Aryprasetyo85 @DiantyYasmin3 @Natalieanggi112 @KakekHalal @yusuf_dumdum @ZheeOmega @Airin_NZ @AtikaFaya @TheArieAir @4Y4NKZ La yg begini yg harus di bantu @jokowi @mohmahfudmd @KemensosRI @Kemenag_RI @ridwankamil @Itjen_Kemdikbud ..bukan anak Warga asing yg ISIS itu pak..seremmmm</t>
  </si>
  <si>
    <t>Indonesia Terkini : WNI Asisten Rumah Tangga Divonis Lima Tahun Penjara, Ini Buruh Migran Ketiga Yang Terjerat Kasus Terorisme</t>
  </si>
  <si>
    <t>@jv_mel0 hegegegegehehehe n fala mal da minha casa</t>
  </si>
  <si>
    <t>@TerusBlokir @AlheaBams Aturan Islam yang sebenarnya itu toleransi dan menghormati perbedaan kulit, keturunan dan kepercayaan. Elu itu bukan Muslim tapi curut kriminal ISIS dan mati elu bakal mati nista karena digebukin rame-rame. Karma is bitch dan itu akan menimpa elu soon or later!</t>
  </si>
  <si>
    <t>@UmarKhalidJNU @republic @kunalkamra88 Are you Al-Qaeda or ISIS? Baap see badiya kaam Mila hoga SIMI toh local terrorists organization hai .</t>
  </si>
  <si>
    <t>RT @EndjahH: Kalau ternyata banyak Turis Manca Negara sebagai Pembawa Covid19, saya usulkan Sebaiknya di Tutup saja dulu Pulau Bali dari Turis Asing, cc @jokowi. Lebih Penting Menjaga Kesehatan WNI sendiri d.p Pariwisata yang mendatangkan Bencana.</t>
  </si>
  <si>
    <t>RT @Novrdx1: @SuksmaM @Boemi_Pertiwi12 @jokowi @mohmahfudmd @Dr_Moeldoko @prabowo @PolhukamRI @Kemhan_RI @DivHumas_Polri @BareskrimPolri @Puspen_TNI @BIN_Official @BNPTRI @KSPgoid Dibuat negara ini Ga ada martabat &amp; wibawa sama mereka. Humanis ok tp kalau buat keamanan dan keutuhan negara, Ya harus keras dan tegas ngadepin org2 begitu. Jgn krn humanis keutuhan negara jadi taruhannya. 😡😡😡😡 ampuuuun beybeh. Ama mrk aja cengi gmana ama kombatan isis ntar</t>
  </si>
  <si>
    <t>"Erdogan membayangkan dia dapat memperluas Kekaisaran Ottoman ke #Syria sendiri, berusaha untuk mencaplok provinsi #Idlib dan menyimpannya sebagai markas untuk ISIS dan Al-Qaeda, sehingga mereka nantinya dapat digunakan dalam perang lain melawan Damaskus, melawan Presiden Assad. RT @sahouraxo: “Erdogan is imagining he can extend the Ottoman Empire into #Syria itself, seeking to annex the #Idlib province and keep it as a base camp for ISIS and Al-Qaeda, so they can later be used in another war against Damascus, against President Assad.”</t>
  </si>
  <si>
    <t>@Predator_Matrix Ya gimana mau tindak tegas, lah badan pemerintahnya juga di dalem udh setengah pendukung Khilafah dan (mungkin) ISIS? Tegas kepada kelompok yg terang2an menentang UUD dan dasar negara aja ga bisa... 😒😒😒😒😒 Lelah akutu</t>
  </si>
  <si>
    <t>Kalau ternyata banyak Turis Manca Negara sebagai Pembawa Covid19, saya usulkan Sebaiknya di Tutup saja dulu Pulau Bali dari Turis Asing, cc @jokowi. Lebih Penting Menjaga Kesehatan WNI sendiri d.p Pariwisata yang mendatangkan Bencana.</t>
  </si>
  <si>
    <t>@wasny007 @PublicIndia @DrAmirBari1 @dhruv_rathee Or main bhi ummid karta hu ki aapke muh me ISIS 🦴 fek dega...</t>
  </si>
  <si>
    <t>RT @ngonlain: Bagaimana, @ganjarpranowo @provjateng @humasjateng ? Apakah HTI/ISIS juga TERBIARKAN TUMBUH KEMBANG di provinsi Jawa Tengah ? INTOLERANSI &amp; SARA SUBUR MEREKAH ? Sebegitu MENAKUTKAN NYA RUMAH IBADAH UMAT KRISTIANI ? Halo @Kiyai_MarufAmin @wapres_ri ? #India ikuti lah #Indonesia ?</t>
  </si>
  <si>
    <t>@imsamisam @ynms79797979 SAA = Isis</t>
  </si>
  <si>
    <t>Gak hafal Pancasila, pasti die isis,.</t>
  </si>
  <si>
    <t>Gr2 mau tidur pubg an trus liatin berita makkah2, semalem mimpi perang sama ISIS:))) bgsdddd</t>
  </si>
  <si>
    <t>@TsamaraDKI Pake cadar,celana cingkrang kalian ributin kalian bully, dikata isis,radikal,teroris. Eh yg telanjang dibela2 dipuji2 pake bawa2 energi positif segala. Anda waras?</t>
  </si>
  <si>
    <t>RT @___CIMOL_Q7R: Indonesia kapan mau bebas demo pak @jokowi 🙏🙏🙏🙏serius nanya dari rakyat mu yg ada di negri gurun walupun saya tgl di negri gurun tpi saya tetap WNI yg sllu mencuntai negri nya tpi betapa sedihnya hati ini dgn keadaan Indonesia skrg😭🌶🌶</t>
  </si>
  <si>
    <t>Bia Bia!!!!!!!! RT @ThatEricAlper: What's a song that instantly takes you back to your teenage years?</t>
  </si>
  <si>
    <t>RT @kaskus: Live Thread edisi kali ini bakal ngobrolin seputar WNI selama masa karantina. Bareng Agan Fahmi WNI eks Karantina Natuna, GanSis bisa tanya apa saja seputar karantina yang diikuti oleh ratusan WNI ini. Klik buat meluncur ke Live Thread nya GanSis!</t>
  </si>
  <si>
    <t>untung masah gk bakar gadung lu. ini nm nya merendakan republik Indonesia. kau gk keluar disaat ada wni yg unjuk rasa didepan gedung lu. RT @geloraco: Dubes India Kecam Aksi Pembakaran Bendera Negaranya oleh Massa FPI</t>
  </si>
  <si>
    <t>WNI Positif Corona Jadi 4 Orang #Kesehatan</t>
  </si>
  <si>
    <t>@CapshaBanting @felixsiauw emng punya otak @felixsiauw ,😂😂😂ibarat ISIS yg dg mudahnya mendoktrin siapapun yg "bego",padahal bia ngaji baru bulan kemaren😂😂😂🙏🙏🙏</t>
  </si>
  <si>
    <t>@SeisUltimo Haram</t>
  </si>
  <si>
    <t>ISIS Bertanggung Jawab Atas Serangan Teroris di Kabul Hari Jumat</t>
  </si>
  <si>
    <t>RT @oak_math_lee_91: @saroesoe @BebasVisaID Bu @Menlu_RI @Kemlu_RI @KbriBeirut Pak @jokowi @KSPgoid Mohon angkat negosiasi bebas visa timbal balik bagi WNI berpaspor biasa ke Lebanon. Saat ini proses aplikasi visa ke Lebanon masih tergolong menyulitkan sekali. Sedangkan WN Lebanon bebas visa ke Indonesia sejak 2015.</t>
  </si>
  <si>
    <t>@detikcom Bukan eks lagi tapi eksis Isis yg perlu ditangkap dan ditertibkan</t>
  </si>
  <si>
    <t>@RizalValen76 @Jokoumb64504158 @silentreadeer @Nouna_jessica94 @ganjarpranowo @jokowi Isu SARA itu sangat sensitif tp pemerintah seolah abai utk hal ini... Malah bisa²nya punya wacana pulangin anak ISIS segala... Makin gak jelas aja kan !!!</t>
  </si>
  <si>
    <t>@porxild_ @tubirfess Ya masak Pancasila gak apal Bambang... Kalau rakyat Zimbabwe gak hafal mah ya maklum, ini WNI Bambang 🙈😂</t>
  </si>
  <si>
    <t>WNI Positif Terserang Corona Bertambah Lagi -</t>
  </si>
  <si>
    <t>Hodoh dulu kini dan selamanya 🤟🏻🤪</t>
  </si>
  <si>
    <t>Banyak istigfar taubat &amp; do'a kepada Allah SWT Adzab bagi rezim 🐸🐷🐵 kian mendekat &amp;amp; ujian bagi rakyat yg didzolimi Hasbunallah wni'mal wakil ni'mal Maula wni'man natsiiir Ampuni kami ya Robb umat yg lemah &amp;amp; tdk brdaya mlihat stiap kedzoliman yg trjadi stiap hari dilkkn 🤲😭</t>
  </si>
  <si>
    <t>RT @puspaswarna: Yth pak Presiden @jokowi dan pak Menkopolhukam @mohmahfudmd, masihkah kita diharuskan menerima anak-anak ISIS eks WNI, sementara anak-anak kandung NKRI (yg tdk pernah berkhianat atas negeri ini) masih banyak yg perlu disupport?</t>
  </si>
  <si>
    <t>@ISIS_Balik_NO @ustadtengkuzul Siapa hayo?</t>
  </si>
  <si>
    <t>RT @ngonlain: @AnakLolina @seruanhl @ganjarpranowo Bagaimana, @ganjarpranowo @provjateng @humasjateng ? Apakah HTI/ISIS juga TERBIARKAN TUMBUH KEMBANG di provinsi Jawa Tengah ? INTOLERANSI &amp; SARA SUBUR MEREKAH ? Sebegitu MENAKUTKAN NYA RUMAH IBADAH UMAT KRISTIANI ? Halo @Kiyai_MarufAmin @wapres_ri ? #India ikuti lah #Indonesia ?</t>
  </si>
  <si>
    <t>Bagaimana, @ganjarpranowo @provjateng @humasjateng ? Apakah HTI/ISIS juga TERBIARKAN TUMBUH KEMBANG di provinsi Jawa Tengah ? INTOLERANSI &amp; SARA SUBUR MEREKAH ? Sebegitu MENAKUTKAN NYA RUMAH IBADAH UMAT KRISTIANI ? Halo @Kiyai_MarufAmin @wapres_ri ? #India ikuti lah #Indonesia ? RT @AnakLolina: Kalau setiap tempat ibadah minoritas yg sudah punya IMB di demo sekelompok warga yg menolak, lalu penegak hukum menuruti kemauannya, maka akan selalu ada tempat ibadah yg di tutup. Haruskah ikuti keinginan segelintir org atas nama mayoritas @ganjarpranowo</t>
  </si>
  <si>
    <t>@AnakLolina @seruanhl @ganjarpranowo Bagaimana, @ganjarpranowo @provjateng @humasjateng ? Apakah HTI/ISIS juga TERBIARKAN TUMBUH KEMBANG di provinsi Jawa Tengah ? INTOLERANSI &amp; SARA SUBUR MEREKAH ? Sebegitu MENAKUTKAN NYA RUMAH IBADAH UMAT KRISTIANI ? Halo @Kiyai_MarufAmin @wapres_ri ? #India ikuti lah #Indonesia ?</t>
  </si>
  <si>
    <t>Indonesia kapan mau bebas demo pak @jokowi 🙏🙏🙏🙏serius nanya dari rakyat mu yg ada di negri gurun walupun saya tgl di negri gurun tpi saya tetap WNI yg sllu mencuntai negri nya tpi betapa sedihnya hati ini dgn keadaan Indonesia skrg😭🌶🌶 RT @detikcom: Slamet Maarif memberi waktu pihak Kedubes India untuk berdialog dengan ulama hingga Jumat (13/3) pekan depan. Jika tidak, massa akan sweeping warga India.</t>
  </si>
  <si>
    <t>Aku takut kalau aku pun tersakitkan kau.</t>
  </si>
  <si>
    <t>Aku stalk kau.</t>
  </si>
  <si>
    <t>RT @fadjroeL: #MariMencegahCovid19 ini cara-cara bersentuhan yang disarankan &amp; dihindari mencegah Covid19 Alhamdulillah WNI kasus 1 &amp;amp; kasus 2 sudah mulai membaik. Mari bergotong-royong membangun #SolidaritasKemanusiaanMelawanKorona seluruh rakyat Indonesia ~ #Jubir #BungJubir @JubirPresidenRI</t>
  </si>
  <si>
    <t>RT @KRMTRoySuryo2: Tweeps, Saat ini banyak beredar di SocMed Foto2 dari 2 WNI yg sdg dirawat di RSPI Yulianti Saroso, bu MD &amp; Putrinya ST lengkap berikut Narasinya. Kalau saya menyarankan, HORMATI Hak Privacy mereka, Tentu musibah ini tdk diinginkannya. Lebih baik kita Doakan yg terbaik utk semua.</t>
  </si>
  <si>
    <t>Berita Baru Dan Viral – WNI Korona Bantah Kenal Orang Jepang?</t>
  </si>
  <si>
    <t>@ustadtengkuzul 2020 msh ngomongin PKI. Sdh basi. Yg ada bahaya laten KHILAFAH. Faktanya ISIS dan FPI.</t>
  </si>
  <si>
    <t>@santuy_aja_dulu @geiszchalifah Yg pasti kita bagian dari WNI yg lahir dan gede di Jakarta 😊</t>
  </si>
  <si>
    <t>@verstopless Iyow isis lan silir</t>
  </si>
  <si>
    <t>RT @mas__piyuuu: Arab Saudi larang umroh WNI Menlu protes: Kita kan bebas corona Lalu hari ini Jokowi umumkan Indonesia positif terkena corona Kesimpulannya?</t>
  </si>
  <si>
    <t>Panglima Kogasgabpad Laksdya TNI Yudo Margono menyampaikan bahwa proses penurunan 68 WNI Kapal Pesiar Diamond Princess berjalan dengan aman dan lancar. Cuacanya juga cerah #PulauSebaru</t>
  </si>
  <si>
    <t>Kemenkes Sebut 11 WNI yang Berinteraksi dengan WN Jepang di Bali Tak Terjangkit Korona</t>
  </si>
  <si>
    <t>Wow my sis tidur pun nak oncall. Dasar tk respect adik dia ni betul😒</t>
  </si>
  <si>
    <t>RT @demokrasicoid: Natalius Pigai: Bukan Salah Arab Saudi Tolak Umrah WNI, Tapi Dunia Internasional Ragu Pemimpin RI Suka Bohong</t>
  </si>
  <si>
    <t>If only ubat can sembuhkan every penyakit. I swear im gonna eat every ubat yg doktor bagi. Aku letih.</t>
  </si>
  <si>
    <t>@marhamahsahaja @msaid_didu @cepatkali Lama2 wni asli bakal terdesak..indonesia bakal spt singapura yg penduduk aslinya(melayu) tersingkir oleh cina pendatang..smg Allah sudi mencegah hal ini krn msh ada orang2 beriman pdNya dgn cara yg benar wlu banyak jg anak bangsa ini yg sdh lama mengabaikan Allah .</t>
  </si>
  <si>
    <t>Nicisiti uni di isis 🙄🙄🙄</t>
  </si>
  <si>
    <t>RT @marpaung913: @chirp__john Negara Singapura bisa mendeteksi WNI yang bekerja sebagai TKI donatur ISIS &amp; memenjarakannya. Beda dengan Indonesia bisa rapi dan TAK TERDETEKSI karena punya jaringan kuat dan bisa INTERVENSI ke pemerintahan. Sedangkan anak cucu ISIS yang berbau WNI akan DIBAWA PULANG.</t>
  </si>
  <si>
    <t>Lagi, dua WNI dinyatakan positif COVID-19</t>
  </si>
  <si>
    <t>Para WNI akan diobservasi selama 14 hari. Lalu mereka akan dikembalikan ke kota masing-masing. #PulauSebaru</t>
  </si>
  <si>
    <t>Untunglah d Singapura tdk mengenal hukum materai 6000 😌 Indonesia kpn ya lbh tegas lg 😌 . . Jaksa Singapura menganggap JAD sbgai slh satu "organisasi teroris paling berbahaya" d Asia Tenggara</t>
  </si>
  <si>
    <t>@adnanfaris4 @breelleight @peachymdmselle @tubirfess Ya itu kan orang luar, ini kan dia udah WNI dari lahir bro. Ngga hapal selalu bisa dihapalin. Tapi terus apa kalo udah hapal Pancasila dan Indonesia Raya? Udah segitu aja artinya identitas bangsa?</t>
  </si>
  <si>
    <t>Bukan cari kerjaan! Tapi memang goblok! Gak bisa bedakan India dg wni India! RT @Boemi_Pertiwi12: CARI2 KERJAAN. .... CARI2 MASALAH .... UNTUK APA SWEEPING WARGA INDIA. .... ???? UNTUK APA SINGGUNG2 NAMA RAAM PUNJABI ... ???? MEREKA SALAH APA. .... ???? ☹️ FPI Cs Ancam Sweeping Warga India, Nama Raam Punjabi Disinggung</t>
  </si>
  <si>
    <t>Simak info Covid-19 dan penanganannya di Belanda #COVIDー19 #coronavirus #NegaraMelindungi #wni #belanda @safetravelkemlu</t>
  </si>
  <si>
    <t>Semangaaaat untuk para WNI yang diobservasi! Semangatt juga untuk masyarakat yang membantu kelancaran observasi virus Corona. #PulauSebaru</t>
  </si>
  <si>
    <t>@mbaadnin @breelleight @peachymdmselle @tubirfess Come on dude, Orang luar mau naturalisi ke WNI aja harus hafal Pancasila dan Indobesia Raya, Aku lebih kasihan ke Bapak pendiri bangsa, Ir. Soekarno. Susah payah rumusin dan menanamkan di diri bangsa. Tp orang" kya lu memaklumi.</t>
  </si>
  <si>
    <t>Selain itu hari rabu kemarin di Pulau Sebaru Kecil anginnya kencang dan ombak hampir dua meter. Sehingga PARA wni baru dipindahkan kemarin. #PulauSebaru</t>
  </si>
  <si>
    <t>RT @clothinginspos: Air Jordan 1 Milan 🤍</t>
  </si>
  <si>
    <t>Kegiatan warung konsuler yg dilaksanakan di kantor ITPC Sao Paulo berjalan lancar. Seluruh WNI yg hadir menyambut baik &amp; merasa terbantu dgn pelayanan jemput bola oleh KBRI Brasilia bekerja sama dgn ITPC. Dlm kegiatan tersebut, KBRI juga tanyakan &amp;amp; pantau kondisi WNI di Sao Paulo</t>
  </si>
  <si>
    <t>@siman_satrio @mahdesi @angelmaximilan @detikcom @UN Eh kontol, yang terjadi di yaman itu fakta, gua punya temen org yaman sampe lari kejakarta karna disana perang, isis ngebantai sesama muslim itu fakta, vihara dibakar, gereja di bom itu fakta peler, ga usa cebong2 . Yang lu baca itu selama ini hoax peler</t>
  </si>
  <si>
    <t>Proses observasi wajib dilakukan untuk memastikan bahwa para WNI ABK World Dream dalam keadaan sehat saat kembali ke keluarganya. #PulauSebaru</t>
  </si>
  <si>
    <t>@kochujjang @humanehkuman @collegemenfess Menuritku bukan soal berapa lama jd pageant lover. Tp yo mosok pancasila dr jaman tk udah diajarin gbbisa. Padahal pidato bahasa inggris lancar jaya. Keliatan banget menyepelekan soal dasar negara yg semestinya setiap wni hafal diluar kepala.</t>
  </si>
  <si>
    <t>KBRI Brasilia telah selenggarakan warung konsuler untuk WNI yg bermukim di wilayah Sao Paulo &amp; sekitarnya (4-5/03/20) #NegaraHadir #NegaraMelindungi #IniDiplomasi</t>
  </si>
  <si>
    <t>@nandadorn KĶKKKĶKKK SOCORRO</t>
  </si>
  <si>
    <t>Komunas komunis .... ISIS termasuk komunis tidak DRUN RT @Malahay48802284: @AnakKolong___ Dan Bukan Barang Baru Jika Para Ulama di Negara Pancasila ini Anti PKI Komunis di Negara Pancasila ini, Termasuk Buya Hamka, karena Sejak dulu fatwa-fatwa ulama selalu bertentangan dengan fatwa komunis. Ini kata Dr Haji Abdul Malik Karim Amrullah (Hamka).</t>
  </si>
  <si>
    <t>@__caauu @ohtolong Kalo dia bule kenapa ikut ajang puteri indonesia? Berarti dia WNI. Jangan pandang dari keturunannya. Atas nama WNI mereka adalah saudara kita juga. Satu Indonesia</t>
  </si>
  <si>
    <t>RT @e100ss: Seorang WNI Diduga Terinfeksi Virus Corona Diisolasi di RS Persahabatan</t>
  </si>
  <si>
    <t>RT @AbolicHD: 68 WNI Kru Kapal Pesiar Diamond Princess Tiba di Pulau Sebaru Kecil  #vivanews</t>
  </si>
  <si>
    <t>Pasien Corona Bertambah: Total 4 WNI Positif</t>
  </si>
  <si>
    <t>RT @ILCtv1: Virus Corona sdh merambah ke berbagai negara lintas benua &amp; sdh menelan ribuan nyawa. Kmrn, 2 WNI berdomisili Depok terdekteksi positif terjangkit virus ini. Bagaimana Indonesia menghadapi Corona? Siapkah kita? SAKSIKAN LIVE #ILCCoronadiIndonesia MALAM INI Pkl 20.00 WIB tvOne</t>
  </si>
  <si>
    <t>RT @voaindonesia: "Rasanya lebih dari sedih. Ingin nyebur ke sumur." Omed salah satu WNI yang batal dievakuasi dari Wuhan. Meski kesepian dan ketakutan terhadap virus corona, dia ‘tak berani’ berharap banyak akan dijemput pemerintah RI. #OmedJiayou #Wuhan #VirusCorona #CoronaVirus</t>
  </si>
  <si>
    <t>RT @NarasiNewsroom: Ini cerita Archita Nur Fitrian, WNI yang tinggal di Daegu, pusat wabah virus corona di Korea. Ia menceritakan kondisi kota Daegu dan bagaimana pemerintah Korea menangani virus corona. #Narasinewsroom #MataNajwaMenangkalCorona #VirusCorona #CoronaVirus #Indonesia #China #Wuhan</t>
  </si>
  <si>
    <t>Para WNI ABK World Dream dan WNI Kapal Pesiar Diamond Princess diobservasi selama 14 hari. #PulauSebaru</t>
  </si>
  <si>
    <t>$RPNRF Alert - RAPID NUTRITION PLC Nutrition / Weight Loss  #Nutrition #WeightLoss $WNI $NUTR $GNC $MGWFF $NRPI</t>
  </si>
  <si>
    <t>Sebenernya para WNI Kapal Pesiar Diamond Princess telah sampai di Pulau Sebaru Kecil hari senin lalu. Namun karena ada 1 WNI yang mengeluh sakit batuk jadi diundur. #PulauSebaru</t>
  </si>
  <si>
    <t>RT @PemkotaBogor: 1. Dalam rangka peringatan HPSN 2020, DLH Kota Bogor akan mengadakan lomba vlog dan kreasi guna ulang dari ecobrick dengan persyaratan sebagai berikut: 1. Lomba Kreasi Guna Ulang Ecobrick Syarat dan Ketentuan Lomba: • Peserta lomba adalah WNI yang berdomisili di Kota Bogor.</t>
  </si>
  <si>
    <t>188 WNI ABK World Dream sudah dilakukan pemeriksaan fisik dan laboratorium. Hasilnya mereka negatif Covid-19. #PulauSebaru</t>
  </si>
  <si>
    <t>@Dennysiregar7 @DivHumas_Polri Bagaimana kalau di india juga ada swipping wni slamet sanggup menjamin slamet wni yg ada di india</t>
  </si>
  <si>
    <t>Staf Khusus Presiden Bidang Sosial Angkie Yudistia mengatakan bahwa pihak Istana akan terus memantau proses karantina terhadap para WNI di Pulau Sebaru Kecil. #PulauSebaru</t>
  </si>
  <si>
    <t>isis slot trakhirnya sayy😚 Dm➡️Wa 085758358416 @Bee_Promote @iklan_angel @level8pro @Trustedpromote1 @Djava_corp @BRealpromote #AvailBali #AVAILBO #bobali #openbobali #expobali #angelbali #RealAngel #readyVCS #RecommendeAngeL #RecomendedBO #RECOMMENDED4BO</t>
  </si>
  <si>
    <t>RT @EnggalPMT: ISIS becanda sama org yg salah, Taliban punya pengalaman panjang digempur Soviet dan Amerika.</t>
  </si>
  <si>
    <t>Pemerintah juga melakukan observasi virus Corona terhadap 10 tim medis yang menjemput 69 WNI Kapal Pesiar Diamond Princess ke Jepang. #PulauSebaru</t>
  </si>
  <si>
    <t>@Dennysiregar7 @DivHumas_Polri Nanti WNI di sweeping di India, baru nya Ho</t>
  </si>
  <si>
    <t>1 WNI ABK Diamond Princess yang Dikarantina Suspect COVID-19 -</t>
  </si>
  <si>
    <t>@felbiex_ ya mksudku dia wajahnya kyk bule, maybe emg ada turunan bulenya. tau lah kalo dia udh jelas WNI.</t>
  </si>
  <si>
    <t>Babu colocou 41 mil #BBB20</t>
  </si>
  <si>
    <t>RT @aristemtahi: were syuasiuwusiw ayas e isis lsiejdo yeyuda klnkeso hand san que hi tengo mucha</t>
  </si>
  <si>
    <t>RT @mazzini_gsp: Astagaaaaa paaaakkkkk @jokowi Bapak sendiri yang bilang 2 WNI kena virus corona gara-gara orang Jepang, ini kok masih ngotot mau tetep buka pariwisata tuh gimana sih?? Tutup dulu kenapa sih ya ampun!!!</t>
  </si>
  <si>
    <t>@V_Stone_Kardol @bambangsoesatyo Wakil khilafah...😂😂😂😂😂 Sayang blom berHIJAB..😂</t>
  </si>
  <si>
    <t>@Predator_Matrix @harihariono1 Soalnya bagaimanapun di Indonesia masih banyak politisi yang SEMPATI pada ISIS karena sesama agama.</t>
  </si>
  <si>
    <t>RT @RomoJostKokoh: 𝗠𝗘𝗠𝗕𝗔𝗦𝗠𝗜 𝗜𝗡𝗗𝗨𝗞𝗡𝗬𝗔 TP 𝗠𝗘𝗥𝗔𝗪𝗔𝗧 𝗕𝗜𝗕𝗜𝗧𝗡𝗬𝗔? Apa negara yakin punya obat ampuh atasi teror pasca anak2 eks ISIS dibawa pulang? Apa manusiawi jika ibunya tdk ikut dipulangkan? HAM membuat kita shrs nya lbh paHAM bhw kerap lbh baik mencegah drpd mengobati</t>
  </si>
  <si>
    <t>were syuasiuwusiw ayas e isis lsiejdo yeyuda klnkeso hand san que hi tengo mucha</t>
  </si>
  <si>
    <t>@safetysev @tubirfess Lah ap urusan gua mau dia kecil ga di indo . Sbg wni ya harus hapal dan mengamalkan pancasila dalam kehidupan sehari hari</t>
  </si>
  <si>
    <t>RT @blackxagustd: Jin + Jungkook ending</t>
  </si>
  <si>
    <t>RT @BNPB_Indonesia: 69 Warga Negara Indonesia (WNI) yang telah dinyatakan sehat dari Kapal Diamond Princess akan tiba malam ini di Indonesia. Selengkapnya;  #CoronaVirusUpdate #Coronavid19 #COVID19 #SiapUntukSelamat #PulauSeberu @KemenkesRI @kemenkopmk @Puspen_TNI @Kemlu_RI</t>
  </si>
  <si>
    <t>RT @BNPB_Indonesia: Unloading personel, alutsista dan barang bantuan logistik serta peralatan lainnya dari BNPB yang diangkut menggunakan KRI Banda Aceh di Perairan Sebaru, Kepulauan Seribu, Kamis (27/2) dini hari. Pulau Sebaru akan menjadi lokasi observasi WNI dari Kapal Dream World selama 14 hari.</t>
  </si>
  <si>
    <t>68 WNI Kapal Pesiar Diamond Princess diobservasi bersama 10 kru pendamping dari KRI dr. Soeharso-990 #PulauSebaru</t>
  </si>
  <si>
    <t>RT @kiosbankID: Telah beredar kabar bahwa terdapat dua WNI positif terjangkit virus corona covid-19. Untuk dapat terhindar dari wabah virus corona waspadai gejala-gela yang timbul dan hubungi petugas medis terdekat apabila gejala tersebut timbul pada orang-oarang disekeliling kamu.</t>
  </si>
  <si>
    <t>Satu orang WNI yang bersangkutan sedang diisolasi di RS Persahabatan, Jakarta #PulauSebaru</t>
  </si>
  <si>
    <t>RT @SanaJabeen_21: #Afridi #AuratMarch #PSL2020 #Lala #WeRejectMeraJismMeriMarzi #StopAuratBarbadiMarch #KKvMS #ISIS #BoycottGeo #merajismmerimerzi @SanaJabeen_21 karachi Kings VS Multan Sultan || PSL 5 || Kon Jeety Ga</t>
  </si>
  <si>
    <t>@Detektif_Ngibul Negara gak boleh diam. Ini bukti bhwa Isis (simpatisannya) ada di sekitar kita. Jika perlu "Bangunkan PETRUS" dr tidur panjangnya. Perbanyak lagi Silent Ops.</t>
  </si>
  <si>
    <t>Hari ini, WNI ABK Diamond Princess Sembuh dan Pulang</t>
  </si>
  <si>
    <t>Hari ini, WNI ABK Diamond Princess Sembuh dan Pulang  via @Indopolitika</t>
  </si>
  <si>
    <t>RT @SlametMuslim: (Sayangnya) sesuai prediksi saya.. Mestinya ditanya balik: 1⃣ Warga India disini salah apa? 2⃣ Bagaimana cara membedakan antara org India dr India dengan yg WNI? Atau niatnya akan membabi buta... Pdhl dalam Al Quran sudah ditegaskan klo itu tdk boleh</t>
  </si>
  <si>
    <t>RT @AlfaOmega0110: Poso? Paling jg MIT Jaringan Teroris yg dulu dipimpin Santoso. FYI...MIT(Mujahidin Indonesia Timur) adlh kelompok militan yg operasinya di Poso Sulawesi Tengah. MIT pernah berbait dengan Negara Islam Irak dan Syuriah (ISIS). #TniPolriOperasiTumpasTeroris</t>
  </si>
  <si>
    <t>@Ovais_ 🤣🤣🤣 na na wni chhune naayi vasun</t>
  </si>
  <si>
    <t>ANGKA PENGANGGURAN WNI BERTAMBAH LAGI Lapangan kerja yg ada..., diberikan utk WNA china komunis pembawa petaka virus corona. WNI makin tersingkir &amp; makin miskin WNI diserbu corona WNI miskin pun mati 2024 angka kemiskinan NOL, krn pada MATI.</t>
  </si>
  <si>
    <t>Sebelum memasuki lokasi observasi virus Corona, seluruh WNI Kapal Pesiar Diamond Princess mengikuti prosedur strerilisasi dan pengecekan kesehatan. #PulauSebaru</t>
  </si>
  <si>
    <t>Info yg kami terima saat ini objek2 wisata di Betlehem dan kota lain spt Ramallah, Hebron (mesjid dan gereja) jg ditutup. Mohon kiranya informasi ini dapat menjadi perhatian bagi WNI yg berencana melakukan perjalanan ke Palestina. #NegaraMelindungi</t>
  </si>
  <si>
    <t>Poso? Paling jg MIT Jaringan Teroris yg dulu dipimpin Santoso. FYI...MIT(Mujahidin Indonesia Timur) adlh kelompok militan yg operasinya di Poso Sulawesi Tengah. MIT pernah berbait dengan Negara Islam Irak dan Syuriah (ISIS). #TniPolriOperasiTumpasTeroris  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</si>
  <si>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#Afridi #AuratMarch #PSL2020 #Lala #WeRejectMeraJismMeriMarzi #StopAuratBarbadiMarch #KKvMS #ISIS #BoycottGeo #merajismmerimerzi @SanaJabeen_21 karachi Kings VS Multan Sultan || PSL 5 || Kon Jeety Ga</t>
  </si>
  <si>
    <t>KJRI Pasrah soal Nasib Lima WNI Korban Penculikan</t>
  </si>
  <si>
    <t>@ahim_abah @detikcom Pelerr tuh yaman dibantai saudi, bbrp rakyat suriah dibantai isis. Lu kemane???</t>
  </si>
  <si>
    <t>@detikcom Ini aja udah bikin ruwen, belum mantan isis yg otw pulang, kacaw deh ni 🙃</t>
  </si>
  <si>
    <t>@Azkiya_Lio @Minang_cyber @DTanjung15 Abis itu leher lu gw gorok pake pisau sperti islam Isis.. Cocok ngga bgitu?</t>
  </si>
  <si>
    <t>WNI yang menjadi suspect Corona ini sedang diisolasi di RS Persahabatan, Jakarta. Dia sudah dalam kondisi baik. #PulauSebaru</t>
  </si>
  <si>
    <t>@RizalValen76 Jangan mikir ISIS, Yaman di bantai Arab Saudi mereka tdk berkutik.</t>
  </si>
  <si>
    <t>Di negara +62 malah ada anjuran utk menyumbang ke organisasi2 yg berafiliansi ke teroris radikal diluar negeri</t>
  </si>
  <si>
    <t>@tawajkt WNI saja dikarantina napa aseng mau dibiarkan bebas tinggal ya?</t>
  </si>
  <si>
    <t>Islam liberal dan islam yang modelnya mirip isis terlahir dari rahim yang sama</t>
  </si>
  <si>
    <t>@AnakLolina Itu lah lucu ny kadrun d negara +62 Urusan negara lain d jd kn bahan politik menghasut umat. Suka lihat antar umat bertikai d indonesia sehingga negara jd kacau. Politik kompeni di upgrade bungkusan Agama. Saat ISIS bantai masal d suriah dan iran mrk mingkem</t>
  </si>
  <si>
    <t>Nama lahir : Erlangga Juan Wangsadinata Nama panggilan : Angga Tanggal lahir : 31 Juli 1995 Golongan darah : B Agama : Kristen-Katolik Tinggi badan : 178 cm Berat badan : 60 kg Kota lahir : Semarang Negara : Indonesia Kewarganegaraan : WNI Bahasa : Indonesia</t>
  </si>
  <si>
    <t>@vittifalar Kkķkkkķ Ya com Lipe ainda</t>
  </si>
  <si>
    <t>RT @AnakKolong___: HALAH PREKETEK....!!! . . . Hanya perang dagang Missile Barat dengan Rudal BrahMos ( India - Rusia ) kau framing perlakuan tidak adil thd Muslim. DRUN... KHILAFUCK &amp; SEL ISIS memang harus digebuk di India sekalipun. . . . Busung Nalar...!!! . .</t>
  </si>
  <si>
    <t>@muannas_alaidid @Santridusun1 Cukup dikata MAAF ? HUKUM TUMPUL KE FAHIRA....TAJAM KE RAKYAT</t>
  </si>
  <si>
    <t>RT @AdityaWisnu: Negara yang hampir seluruh warganya makan babi justru sembuh total dari virus Corona. Mungkin @MUIPusat bisa bantu jelaskan? 🙂🙂🙂</t>
  </si>
  <si>
    <t>Peran besar rezim diktator orde baru Soeharto adalah memenjarakan dan menyiksa ribuan WNI termasuk Pramoedya Ananta Toer di dalam penjara dan Pulau Buru tanpa pernah ada pengadilan. Dikira dg twit saudara Zon ini jejak kejahatan berdarah Orba Soeharto akan hilang ?!! Haluuuuuuuu RT @fadlizon: FADLI ZON Bongkar Peran Presiden Soeharto dalam Karya Besar Pramoedya Toer yang Dituduh Komunis - Warta Kota</t>
  </si>
  <si>
    <t>@mzaki_achmad @JamesBronx10 @siman_satrio @angelmaximilan @detikcom @UN Coba ksh foto bedanya benderanya apa?? Trs bendera isis jg tulisanya? Hti itu memanfaatkan tulisan arab itu untuk ormasnya supaya dianggap suci dn jd polemik kek gini.. tauhid itu milik smua ummat islam bukan hak milik hti kan..napa make tulisam itu dibendera..warna hitam lg..?</t>
  </si>
  <si>
    <t>@permadiaktivis Umat mana yg bilang ISIS itu mujahid ? Dan NU mana yg bilang itu bendera HTI bos ?</t>
  </si>
  <si>
    <t>Navy one!!!!!!! OMG BF KAYA SORANG YG JUAL DADAH SEMUA TU PLEASE. DENGAR CITA KAT TWITTER NI RAMAI RT @iamajayrahman: iPhone 12 pro new concept 🔥</t>
  </si>
  <si>
    <t>@detikcom Sweeping..... emang diindia tdk ada wni. Paling kalau ditangkap .... maaf. Gomblok ojo nemen bro</t>
  </si>
  <si>
    <t>Salah satu WNI ABK World Dream sedang hamil selama 3 bulan. Ia ditemani oleh suaminya yang juga sebagai peserta observasi. #PulauSebaru</t>
  </si>
  <si>
    <t>@AnakLolina @DivHumas_Polri Kalian mengganggu keamanan WNI yg sedang berada di negara India, apakah kalian tdk memikirkan keselamatan WNI kita di luar Negeri. Cobalah ini harus di klarifikasi oleh Menteri luar negeri agar India tdk terprovokasi oleh tindakan yg seperti ini.</t>
  </si>
  <si>
    <t>RT @SyedSaddiq: Ibu bapanya bercerai. Dia mencuri RM200 untuk bayar hutang adiknya. Alhamdulillah berjaya selepas dapat bimbingan yang betul. Sebab itu saya selaku tekankan pentingnya masyarakat berikan #PeluangKedua kepada mereka. Di KBS, ada kempen Reben Kuning untuk bantu belia berisiko.</t>
  </si>
  <si>
    <t>along ni dah happy2 pun nak cakap pasal amir lak. pukul karang</t>
  </si>
  <si>
    <t>RT @Masbotak9: @AnakKolong___ Aku sekarang bodo amat nyataya calon2 bomber isis aja mau dibiayai negara sedang yg setia aja mereka juga bodo amat mau fahira, lemon, sizon, wahit, sera, somat, maher, sugi,tengku panjul,rais pd mau hoax, bohong, fitnah ujungya juga ancur</t>
  </si>
  <si>
    <t>harap hari isnin dapat gi kelas hmn</t>
  </si>
  <si>
    <t>Achmad Yurianto sebagai juru bicara penanganan wabah virus Corona menyampaikan bahwa dari 69 WNI Kapal Pesiar Diamond Princess ada 1 orang yang diduga suspect virus Corona. #PulauSebaru</t>
  </si>
  <si>
    <t>@JackVardan Itu tipe "WNI SANGATs" namanya.</t>
  </si>
  <si>
    <t>@dabenone2 Hello, you can read it here: Thread by @Kemlu_RI: #SahabatKemlu, Indonesia kembali melakukan langkah-langkah preventif untuk melindungi WNI dari… . Enjoy :) 🤖</t>
  </si>
  <si>
    <t>@detikcom @detikfood Pemerintah Jokowi lebih memilih memulangkan anak KING KOBRA dari markas ISIS ketimbang mengurusi anak2 INDONESIA yang membutuhkan uluran tangan. @jokowi @mohmahfudmd</t>
  </si>
  <si>
    <t>@AnakKolong___ Aku sekarang bodo amat nyataya calon2 bomber isis aja mau dibiayai negara sedang yg setia aja mereka juga bodo amat mau fahira, lemon, sizon, wahit, sera, somat, maher, sugi,tengku panjul,rais pd mau hoax, bohong, fitnah ujungya juga ancur</t>
  </si>
  <si>
    <t>@kaliputra3 @YasirPost @007AliSohrab Aur bhsi tum sab bhakt log syria iraq per chale jate ho,, isis ko usa-israel-saudia ki proxy team he jo russia - iran se larne k liye banayi gayi he,, usa israel k saath sunni country he(saudi-uae-egypt) aur Russia-china k saath shia country iran-syria,,,, yeh world war he</t>
  </si>
  <si>
    <t>@anxeious @ahkawin @tubirfess Saya juga mahasiswa hukum mba🙏. Bagi saya bukan hanya mahasiswa hukum yg harus tau pancasila, semua WNI wajib tau. Mahasiswa hukum juga manusia mba, memang cukup memalukan untuk ukuran mahasiswa hukum, pancasila saja tidak bisa--</t>
  </si>
  <si>
    <t>RT @eno_saudjana: @detikcom Pak @CCICPolri @DivHumas_Polri @jokowi @mohmahfudmd @PolhukamRI @Kemenag_RI @kemendagri mau sampai kapan dibiarkan orang2 kayak gini? Ngancem keselamatan wna disini? Klo sampe terjadi pembalasan thd wni dan muslim disana gara2 ini siapa mau tanggungjawab? Kalian takut ama PA 212?</t>
  </si>
  <si>
    <t>@KompasTV Kalau yang muslim indonesia tapi wni gimana?</t>
  </si>
  <si>
    <t>RT @Imamofpeace: Good morning to EVERYONE except ISIS, Jihadist fanatics, Hamas, Hizbulla, Hiz-Butt-Tahrir, Boko Haram, Al-Qaeda, Taliban, Imran Khan, Ayatollahs of Iran, Qatari crooks, Ilhan Omar, Sarsour, Tlaib, CAIR, NIAC, MB, Wahabists, Erdogan, Asad and those who want 72 virgins in paradise.</t>
  </si>
  <si>
    <t>RT @AdiMawa22441862: @ErvineKiddies @RickyVSim @Berkarya_Info Pemerintah KSA akan cabut cekal IB HRS asal ada permintaan dari pemerintah RI. Coz KSA mencekal juga krn permintaan pihak RI. Termasuk bendera ISIS yg jadi heboh. Semua jebakan rezim. Untung KSA tau kondisinya. Jadi IB HRS aman.</t>
  </si>
  <si>
    <t>adik dia ni hmmmm</t>
  </si>
  <si>
    <t>takde siapa nk call aku ke. akk aku bahagia sebelah ni</t>
  </si>
  <si>
    <t>@ErvineKiddies @RickyVSim @Berkarya_Info Pemerintah KSA akan cabut cekal IB HRS asal ada permintaan dari pemerintah RI. Coz KSA mencekal juga krn permintaan pihak RI. Termasuk bendera ISIS yg jadi heboh. Semua jebakan rezim. Untung KSA tau kondisinya. Jadi IB HRS aman.</t>
  </si>
  <si>
    <t>@Prambors @NCTsmtown_127 @SMTOWN_Idn @NCT127Project taeyong udah cocok jadi WNI</t>
  </si>
  <si>
    <t>Kabar baik datang dari Jepang. Dua warga negara Indonesia (WNI) kru kapal pesiar Diamond Princess yang terinfeksi virus korona di Negeri Sakura itu dinyatakan sembuh.</t>
  </si>
  <si>
    <t>@Detektif_Ngibul @J_Aryoko @wahhabicc_jabar @TolakBigotRI @narkosun @amrudinnejad_ @jr_kw19 @WahhabiCC @BadjaNuswantara @AfifFuadS @P3nj3l4j4h_id @DivHumas_Polri @TwetPolisi @PolhukamRI @bareskrim2018 @TjahjantoHadi @KSPgoid @KemensetnegRI mereka besar kepala saat ada wacana memulangkan ex-wni ISIS</t>
  </si>
  <si>
    <t>@__caauu @ohtolong Dia orang Sumbar keturunan dari bapaknya, ibunya baru bule, dia WNI, dan syarat ikut Finalis Puteri Indonesia ya WNI terserah mau turunan mana aja. Fyi top3 PI tahun kemarin semua blasteran: Australia, US &amp; Pakistan Bahkan pemenang tahun2 sebelumnya banyak yg blasteran 2006,2010</t>
  </si>
  <si>
    <t>Eks ISIS ditolak dgn marah2, suspect corona disambut dgn karpet merah</t>
  </si>
  <si>
    <t>@detikcom maaf pak, kita tdk mengakui mereka sebagai wni hehe. tuntut saja</t>
  </si>
  <si>
    <t>Padahal kalo mau mah Infonesia bisa. Tp kalo ternyata yg nyumbang sampe sekian tower apartemen jumlahnya, mo dipenjarain di mana?</t>
  </si>
  <si>
    <t>sedihnya dengar akk aku oncall ngan bf dia</t>
  </si>
  <si>
    <t>@SahabatSaber Mmm..klo dipikir2. Wni yg jd abk kapal dan sandar di jepang malah ditolong.dan bisa sembuh.kepikiran kasihan jg itu suspect corona di kapal butuh pertolongan. Simalakama ya..indonesia udah siap nolongin hal gini blm ya..? 😗</t>
  </si>
  <si>
    <t>RT @SobdarBaloch_: @MichaelKugelman ISIS+Taliban+AlQaida = ISI</t>
  </si>
  <si>
    <t>Ketahuan Sumbang Dana ke ISIS, Singapura Penjarakan WNI  via @cnbcindonesia</t>
  </si>
  <si>
    <t>Daftar WNI Positif Terinfeksi Virus Corona Bertambah  #Tagar</t>
  </si>
  <si>
    <t>@Predator_Matrix Pejabat Indonesia kan baik hati, sebagaimana penduduknya yang ramah, penuh kepedulian pada sesama. Jadi, memberikan sumbangan perjuangan itu tradisi syar'i, gimana mau dihukum. Lah wong mantan ISIS saja maunya kita ayomi lagi. Iya kan, @mohmahfudmd @jokowi ?</t>
  </si>
  <si>
    <t>@MichaelKugelman ISIS+Taliban+AlQaida = ISI</t>
  </si>
  <si>
    <t>@jujuufck Ketauan pasti simpatisan ISIS nih.</t>
  </si>
  <si>
    <t>Pemerintah: WNI Positif Corona Bertambah Menjadi 4</t>
  </si>
  <si>
    <t>@Namaku_Mei @jokowi @mohmahfudmd @erickthohir tolong pak anak ini lbh berharga dripada anak hasil doktrinisasi ISIS..</t>
  </si>
  <si>
    <t>Lanjut, para awak media pun banyak banget yang beritain ini, dan menulisnya dengan headline yang cukup menyeramkan: "PRESIDEN RI: DUA WNI TERJANGKIT CORONA"</t>
  </si>
  <si>
    <t>RT @achidachida_23: Indonesia. Apakah pantas WNI menjustifi bahwa orang di Indonesia banyak yang tolol hanya karena dia tinggal di Belanda ? #IndonesiaTidakTolol #ShameOnRioalexchoky Retweet jika setuju Indonesia tidak tolol</t>
  </si>
  <si>
    <t>Dukung ISIS, 3 WNI di Singapura Divonis Penjara  via @liputan6dotcom</t>
  </si>
  <si>
    <t>Indonesia?..jelas tertinggal jauh lahh..</t>
  </si>
  <si>
    <t>Pembantu rumah tangga asal indonesia terlibat pendanaan teroris di singapura</t>
  </si>
  <si>
    <t>@AbdurachmanAl @JerikoBaru2170 @jokowi @mohmahfudmd Isis mau tegakkan khilafah , ketika Kota raqqa dibom seluruh pimpinan kabur Dan tidak berani perang darat terbuka , nu ladeni ultimatum inggris Dan sekutu Dan tidak lari serta bersedia perang darat terbuka sampai mati ....</t>
  </si>
  <si>
    <t>@LisaAmartatara3 Org yg blm tentu terpapar korona jg akan mati, yg sprti ini disukai k3ren mnrt @LisaAmartatara3 Mirip2 dgn ISIS, menggin kepala org, ntah agama apa yg kalian yakini</t>
  </si>
  <si>
    <t>RT @PIN3582: Wayang Golek Modern: Lakon Isis Tawuran 😂😂😂</t>
  </si>
  <si>
    <t>@catholicourtney @KbriVatikan Saya warga Pekanbaru -- Provinsi Riau -- Indonesia. Total -- ada 4 WNI positif #COVIDー19 @KompasTV Aktivitas di Pekanbaru berjalan normal. Semoga Vatican -- Indonesia &amp; seluruh dunia -- segera memenangkan "pertempuran" melawan #COVIDー19</t>
  </si>
  <si>
    <t>Karena para pendukung ISIS itu ada dibirokrasi NKRI dan sudah menginfeksi virus coronadrun, makanya pengkhianat bangsa pahlawan ISIS disambut meriah oleh pemerintah !! RT @Predator_Matrix: Ketahuan Sumbang Dana ke ISIS, Singapura Penjarakan WNI . Kapan Indonesia Tegas Seperti Negara Lain. Jangan Terlalu Banyak Pertimbangan Politik. Jangan Cuma Jargon,Semua Pejabat Sibuk Bicara,Minim Tindakan.</t>
  </si>
  <si>
    <t>RT @e100ss: #infografiSS Coronavirus masuk Indonesia. Dua WNI yang terjangkit tersebut sudah berada di RSPI Sulianti Saroso Jakarta untuk menjalani perawatan dan isolasi. WHO merekomendasikan masyarakat untuk melakukan hal-hal berikut sebagai upaya pencegahan. (hm)</t>
  </si>
  <si>
    <t>Jalan Pulang Mantan Pengikut ISIS</t>
  </si>
  <si>
    <t>@nvtr98 @warnming @nrave_ dia wni nya KTP makloem</t>
  </si>
  <si>
    <t>@NazmiBaharudin @wanfayhsal mingimbil isis fiqh tibbiyyin sirti minyirihkin diri kipidi illih pimilik sibiik2 pirincingin, siyi birinikin diri imbil kipitisin birtimi yib tin sri diti' hiji mihyiddin bin hiji mihd yissin, prisidin pirti birsiti/ pm miliysii.</t>
  </si>
  <si>
    <t>@ikramarki Adaa ko, yg bukan wni. Donald trump misal</t>
  </si>
  <si>
    <t>@ricosiswandi @AnakLolina @DivHumas_Polri Memang kalau Kedubes Indonesia didemo, orang2 itu peduli? Mereka tidak merasa WNI kok, buktinya mereka bertindak sendiri, tidak mengindahkan tatakrama diplomatic.</t>
  </si>
  <si>
    <t>RT @SammyWakatobi: Yakin @mohmahfudmd @jokowi @BNPTRI @DivHumas_Polri @CCICPolri kalo ISIS tidak akan menghancurkan keutuhan NKRI. Yakin petinggi negeri membiarkan Kuda Troya menghancurkan NKRI</t>
  </si>
  <si>
    <t>Yakin @mohmahfudmd @jokowi @BNPTRI @DivHumas_Polri @CCICPolri kalo ISIS tidak akan menghancurkan keutuhan NKRI. Yakin petinggi negeri membiarkan Kuda Troya menghancurkan NKRI 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</si>
  <si>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@Dyandradie Aq lbh suka pake kemeja sih mba kalo mlm gini, lbh isis..😛</t>
  </si>
  <si>
    <t>RT @republikaonline: Tiga negara menjadi episentrum baru corona yakni Italia, Iran, dan Korea Selatan.</t>
  </si>
  <si>
    <t>RT @abetpunx: Di artikel itu juga banyak banget yang dibahas. 1. Pengetatan pintu masuk WNI/WNA dari luar negeri 2. Menyiapkan 135 RS rujukan 3. Pemerintah menjamin ketersediaan kebutuhan pokok dan obat 4. Masyarakat tidak perlu panik borong sana-sini 5. Menyusun protokol penyebaran virus</t>
  </si>
  <si>
    <t>RT @Gemacan70Back: Ohh ini kah dia..?? #CoronaBukaBorokRezim Yang akhirnya membuat Mereka mengumumkan bahwa ada WNI yang terinfeksi Virus corona? Kalau ga salah juga ada date line untuk bayar hutang ❗❗sepertinya ..</t>
  </si>
  <si>
    <t>RT @MurtadhaOne1: Detik-detik dosen komunikasi UI menguliti TVONE</t>
  </si>
  <si>
    <t>Bertambah 2, Total 4 WNI Positif Corona di Indonesia  via @YouTube</t>
  </si>
  <si>
    <t>@wedanglatte gar isi gar, kalo ga isi km msk isis</t>
  </si>
  <si>
    <t>RT @MinaHazelina: Jangan sampai pemulangan kombatan ISIS menghancurkan masa depan bangsa #MenolakLupaKejahatanISIS</t>
  </si>
  <si>
    <t>Tiga negara menjadi episentrum baru corona yakni Italia, Iran, dan Korea Selatan.</t>
  </si>
  <si>
    <t>PAKABAR  RT @Predator_Matrix: Ketahuan Sumbang Dana ke ISIS, Singapura Penjarakan WNI . Kapan Indonesia Tegas Seperti Negara Lain. Jangan Terlalu Banyak Pertimbangan Politik. Jangan Cuma Jargon,Semua Pejabat Sibuk Bicara,Minim Tindakan.</t>
  </si>
  <si>
    <t>@ustadtengkuzul Laknatullah kau BUSUK !</t>
  </si>
  <si>
    <t>RT @P3nj3l4j4h_id: Hallo pak wapres @Kiyai_MarufAmin apakah anda membaca cuitannya tengku ini? Coba anda cek cuitanny dia ini, setiap hari ada saja provokasi yg dbuatnya? Bukanny dia ini anggota mui yg notabene masih bawahan anda di mui, di tegur lebih keras dong jgn dbiarkan yg begini!</t>
  </si>
  <si>
    <t>@somat_amoral Mungkin dia emang WNI di KTP doang.. Tapi jiwa eaganya nggak.</t>
  </si>
  <si>
    <t>RT @coffeeholic_dee: @vabyo Belum punya mobil? Duit buat apaan aja? Bantu keluarga gue, Jaliiiii</t>
  </si>
  <si>
    <t>RT @hidayatwahyu11: @vabyo Kapan nikah? Kerja mulu, duitnya mau buat apa? Ya buat jaga jaga sp tau lu mau minjem duit lagi kaya kemarin buat beli susu anak lu.</t>
  </si>
  <si>
    <t>RT @DamnLoveNKRI: Hmmmmm...... Jangan anggap remeh kelompok radikal. ISIS itu masih ancama nyata.....dan bendera ISIS kembali berkibar hari ini di POSO ..... Cc @PolhukamRI @BareskrimPolri @DivHumas_Polri @BNPTRI @jokowi @GeneralMoeldoko JANGAN DIAM / TAKUT untuk LAWAN RADIKAL &amp; INTOLERAN</t>
  </si>
  <si>
    <t>@Aluna_Safitri @detikcom Please ya kalau sampe orang India sweeping ke WNI disana kasian WNI makin susah kami. Ku udah pernah ngerasain jadi satu satunya WNI diantara belasan ribu orang India di kampus dan kadang ribet 💔</t>
  </si>
  <si>
    <t>@jenk_kelinn Separah2nya WNI, dia ga blak2an kaya #GabenerTerbodoh ini. Masih punya ewuh pakewuh..!</t>
  </si>
  <si>
    <t>WNI Positif Terinfeksi Virus Corona Bertambah Menjadi 4 Orang Jumat, 6 Maret 2020 Kanal Peristiwa</t>
  </si>
  <si>
    <t>RT @mediaindonesia: Jubir pemerintah untuk penanganan COVID-19 Achmad Yurianto mengatakan bahwa ada dua lagi warga negara Indonesia yang dikonfirmasi positif terserang COVID-19.</t>
  </si>
  <si>
    <t>"Mengharumkan" nama bangsa &amp; negara 😁</t>
  </si>
  <si>
    <t>RT @IndonesiaRamah1: Jika kalian sempat percaya pada propaganda pendirian khilafah, hati-hati! Jangan-jangan kalian salah cerna. Sebab, khilafah yang sekarang murni politik parsial yang ingin menguasai negara yang dituju. Sama sekali bukan pembelaan pada Islam. ##Indonesi</t>
  </si>
  <si>
    <t>@detikcom trus gantian di India sana WNI di sweeping ... mau kek gitu? efek keramas pake air banjir ya begini... hanyut... kopong kepala jadinya 😉😛</t>
  </si>
  <si>
    <t>Jika kalian sempat percaya pada propaganda pendirian khilafah, hati-hati! Jangan-jangan kalian salah cerna. Sebab, khilafah yang sekarang murni politik parsial yang ingin menguasai negara yang dituju. Sama sekali bukan pembelaan pada Islam. ##Indonesi</t>
  </si>
  <si>
    <t>RT @afifakhili: hi to all batch 04, so minggu depan Format SPM 2021 akan reveal kan? so kat sini just nak cakap beberapa benda yes this is a thread please kalau baca okay guys?</t>
  </si>
  <si>
    <t>Woooiiiii enge kausap!</t>
  </si>
  <si>
    <t>Makanan yang dihidangkan harus ditutup dengan tudung saji untuk mencegah dihinggapi lalat baik di rumah atau dimana saja.Pastikan semua masakan sudah bersih semuanya,di seluruh Indonesia,mulai saat ini juga,demi keselamatan seluruh WNI,setuju semuanya.Diperkirakan semua itu Ok</t>
  </si>
  <si>
    <t>@womanfeeds Aku dongs, enak isis wkwk</t>
  </si>
  <si>
    <t>@Cangci_MAN_ @faulia_febriani @mhmmdsairaji Iya tau bro, tapi cerna baik baik perkataan yang mengatain "mengkafirkan" muslim lain. Mungkin saya rasa cuman isis saja.</t>
  </si>
  <si>
    <t>Bersyukur sih sebenernya, pemerintah rilis informasi WNI positif corona di Indo. Tapi apa harus menunggu masyarakat resah dan skeptis? Pun seolah pemerintah mampu mencegah dan menyelesaikannya scr mandiri tanpa melibatkan akademisi &amp; institusi lain?</t>
  </si>
  <si>
    <t>Jubir pemerintah untuk penanganan COVID-19 Achmad Yurianto mengatakan bahwa ada dua lagi warga negara Indonesia yang dikonfirmasi positif terserang COVID-19.</t>
  </si>
  <si>
    <t>@truk_ce @ustadtengkuzul jakarta itu indonesia bukan, gw wni atau isis atau ngarabisme hey...!!! guoblok jngan dipelihara</t>
  </si>
  <si>
    <t>RT @AWChuz: Yg ADA saja gak bisa nuntasin kok malah mau mulangin embrio ISIS? Piye to @mohmahfudmd ??? Sampeyan ngantuk ta???</t>
  </si>
  <si>
    <t>@ISIS_Balik_NO @BaskoroKata @To_welly @mamihanafi @GadiisIdaman @Khilap_ah @denmas_ajah @PanaYt @ronindrawan @mohmahfudmd Janganlah menjadi Pahlawan kesiangan...</t>
  </si>
  <si>
    <t>Yg ADA saja gak bisa nuntasin kok malah mau mulangin embrio ISIS? Piye to @mohmahfudmd ??? Sampeyan ngantuk ta??? RT @Detektif_Ngibul: Woow!! Fakta mengejutkan!! Hari ini bendera ISIS berkibar lagi pada Aksi Peduli Muslim India di Poso, Sulawesi Tengah. Ternyata antek ISIS masih berkeliaran! @TolakBigotRI @narkosun @amrudinnejad_ @jr_kw19 @wahhabicc_jabar @WahhabiCC @BadjaNuswantara @AfifFuadS @P3nj3l4j4h_id</t>
  </si>
  <si>
    <t>Jika kalian sempat percaya pada propaganda pendirian khilafah, hati-hati! Jangan-jangan kalian salah cerna. Sebab, khilafah yang sekarang murni politik parsial yang ingin menguasai negara yang dituju. Sama sekali bukan pembelaan pada Islam. ##IndonesiaC</t>
  </si>
  <si>
    <t>RT @kurawa: Kisah warga negeri +62 : 1.Protes ke Pemerintah lama jemput WNI di Wuhan 2.Kenapa harus pakai Batik? 3. Kenapa disemprot2 kaya hama 4. Kenapa di Natuna 5. Setelah dijemput lalu di demo Ujung2nya cuma bisa katain dasar Indon. Kadang kita perlu Orde Baru utk gamparin mereka</t>
  </si>
  <si>
    <t>Densus 88 Temukan Indikasi ISIS Aktif di Papua Lewat JAD</t>
  </si>
  <si>
    <t>RT @scenesofriends: bomboclaat</t>
  </si>
  <si>
    <t>Sekretaris Direktorat Jenderal Pencegahan dan Pengendalian Penyakit (P2P) Kementerian Kesehatan, Achmad Yurianto, memastikan ada dua lagi warga Negara Indonesia (WNI) yang dikonfirmasi positif terserang COVID-19 di Tanah Air.</t>
  </si>
  <si>
    <t>Kementerian Kesehatan memastikan 11 warga negara Indonesia yang sempat berinteraksi dengan warga negara Jepang di Bali tak terinfeksi virus korona atau Covid-19.</t>
  </si>
  <si>
    <t>@Namaku_Mei Mgkinkah ikut ISIS digaji..</t>
  </si>
  <si>
    <t>RT @kompasiana: Lagi, Dua WNI Positif Corona, Bagaimana Ini Pak Menkes?</t>
  </si>
  <si>
    <t>Sesekali mbok gini👇 pak @mohmahfudmd</t>
  </si>
  <si>
    <t>Juru parkir bertopi Tauhid—sama seperti yang ISIS saat menikmati vagina anak-anak, di Jl. Pondok Kelapa Raya #JakartaTimur @aniesbaswedan, dan kamera belakang mobil(kok bisa itu kebetulan)jadi rusak—seperti gunung bisa kerusakan apalagi tempat, HARUS KHAWATIRKAN APA❔ Polisi?</t>
  </si>
  <si>
    <t>Lagi, Dua WNI Positif Corona, Bagaimana Ini Pak Menkes?</t>
  </si>
  <si>
    <t>@Ricardo10Ind @QueenTukiyem Apakah isis itu islam??</t>
  </si>
  <si>
    <t>RT @fahmiperwira: Cara nak dapat gmbr lawa &amp; video power kualiti HD free jer 🤩 Sesuaila nak buat quote ke untuk cntikkan presentation ke, nak buat channel youtube ke 😆</t>
  </si>
  <si>
    <t>RT @MaisarahMahmud: Hai everyone :-) Abang i baru siapkan satu lagi unit khas utk lelaki sahaja.Kalau ada yg tgah mencari bilik sewa utk lelaki, boleh contact my brother ya Adam (+601130384947) :-) Kalau utk perempuan pun ada 🥰 RM400 (fully furnished) harga termasuk bil air api/wifi/astro :-)</t>
  </si>
  <si>
    <t>Positif corona WNI nambah 2 kok ga heboh nih nitijen</t>
  </si>
  <si>
    <t>RT @XavierDLeau: megalise keating!</t>
  </si>
  <si>
    <t>@SuksmaM @Boemi_Pertiwi12 @jokowi @mohmahfudmd @Dr_Moeldoko @prabowo @PolhukamRI @Kemhan_RI @DivHumas_Polri @BareskrimPolri @Puspen_TNI @BIN_Official @BNPTRI @KSPgoid Dibuat negara ini Ga ada martabat &amp; wibawa sama mereka. Humanis ok tp kalau buat keamanan dan keutuhan negara, Ya harus keras dan tegas ngadepin org2 begitu. Jgn krn humanis keutuhan negara jadi taruhannya. 😡😡😡😡 ampuuuun beybeh. Ama mrk aja cengi gmana ama kombatan isis ntar</t>
  </si>
  <si>
    <t>RT @pruwatan: @ErindaSofi @jokowi Pak Jokowi ngopo toh mbela mbelain anak isis</t>
  </si>
  <si>
    <t>RT @jawapos: Breaking News! WNI Positif Virus Korona jadi 4 Orang</t>
  </si>
  <si>
    <t>@DukeCondet Saya sih gak tau apakah sy NU atau MU, karena yg saya tau dua2nya itu ormas, sementara sy gak punya KTA kedua ormas tsb. Apakah mereka yg di himbau itu khusus yg punya KTA saja...? Soalnya saya cuma punya KTP sebagai WNI saja.</t>
  </si>
  <si>
    <t>RT @wisanggeni_084: Ketika mereka dengan sadar membuang dan membakar identitas sah kewarganegaraan yg berlaku sbg bukti mereka WNI, maka secara otomatis mereka bukan lagi WNI!! Tetapi Mereka adalah Pengkhianat Bangsa!! #ISISGoToHell #ISISGoToHell</t>
  </si>
  <si>
    <t>RT @OfficialiNewsTV: Empat Warga Negara Indonesia (WNI) ABK kapal Diamond Princess yang sebelumnya positif korona, kini telah sembuh. POT . #VirusKorona #CoronaVirus #ABK #WNI #iNewsSiang #iNews</t>
  </si>
  <si>
    <t>RT @iam_ayek: Ternyata china no1.WNI no sekian</t>
  </si>
  <si>
    <t>Ketahuan Sumbang Dana ke ISIS, Singapura Penjarakan WNI . Kapan Indonesia Tegas Seperti Negara Lain. Jangan Terlalu Banyak Pertimbangan Politik. Jangan Cuma Jargon,Semua Pejabat Sibuk Bicara,Minim Tindakan.</t>
  </si>
  <si>
    <t>@isis_pitanga Isis pitanga: lenda</t>
  </si>
  <si>
    <t>Waspada, WNI Positif Corona Bertambah jadi 4</t>
  </si>
  <si>
    <t>Pemerintah Nyatakan WNI Pengidap Virus Corona Kini Bertambah Menjadi 4 Orang</t>
  </si>
  <si>
    <t>@Wanc_15M4_69 @bismillahdiet @Dennysiregar7 @DivHumas_Polri Hei anjing2 perusuh.tumpahkanlah amarahmu di india sana.bantai membantai seperti faham anjing2 isis,tidak berlaku di negara ini.ini negara,negara berdaulat dan beradab.negara ini berdiri bukan karena sentimen keagaman,tapi didorong oleh rasa senasib dan sepenanggungan</t>
  </si>
  <si>
    <t>Baca replies di tweet ini saya malu bertubi-tubi. Malu sbg WNI sekaligus lelaki dimana spesies sejenis saya dan warga negara setanah-air saya menghujat sesamanya yg notabene memberikan pesan-pesan positif. Tara Basro dg "love ourselves" dan Tsamara dg "dukungan thd sesama wanita" RT @TsamaraDKI: Tara Basro mengajak publik untuk keluar dari konstruksi sosial tentang kesempurnaan dan kecantikan yang berkutat pada kulit putih &amp; badan kurus. Ia sedang menebarkan energi positif. Masa mengedukasi &amp;amp; menebarkan energi positif juga harus kena sensor pornografi?!?!?!</t>
  </si>
  <si>
    <t>RT @bijak_politik: India #ShameOnYouIndia ini sama bangsa, sama bahasa, bedanya cuma agama... di mana sami2 hindu yg kononnya pertahankan keamanan dunia.. sama je dgn sami budha myanmar = ISIS = terrorist = LTTE masih sempat nak kata @DrZakirN terrorist</t>
  </si>
  <si>
    <t>RT @siagianharry: @syafrinkar typo, lulus syarat wni</t>
  </si>
  <si>
    <t>RT @not_kirei: @waldo_girijati @rinigrace @ISIS_Balik_NO @KompasTV @umaleao Mengikhlaskan kerugian tapi tetap meminta pertanggunjawaban, itu lebih tepat. Salah satu kawan smp meninggal krn stress stlh kena tipu si durjana. Krn dia, sy bela2in kejar. Intai, kuntit smp akhirnya dibekuk polisi. Soal duit hilang ikhlas, tapi kelakuan nya gaaaaa</t>
  </si>
  <si>
    <t>RT @Metro_TV: #MetroHariIni 68 WNI yang merupakan ABK Diamond Princess serta 10 orang pendamping yang tiba di pulau Sebaru Kecil, Kep. Seribu, Jakarta Kamis kemarin, kini tengah beraktivitas normal di lokasi observasi.</t>
  </si>
  <si>
    <t>RT @tempodotco: Sebanyak 68 WNI kru kapal pesiar Diamond Princess telah tiba di kawasan observasi Pulau Sebaru Kecil, Kepulauan Seribu.</t>
  </si>
  <si>
    <t>RT @selfieituindah: 68 WNI Kapal Pesiar Diamond Princess dan 10 kru kapal KRI dr. Soeharso telah dipindahkan ke Pulau Sebaru Kecil, Kepulauan Seribu. #PulauSebaru</t>
  </si>
  <si>
    <t>Bngsat crona 😭💔 kenapa WNI kena crona di umuminnya sekarang si, ntar aja ape🥺💔 klo bisa si indonesia bener bener bebas dari crona fux 🥺💔</t>
  </si>
  <si>
    <t>RT @AfrizalMutaqin: @adamabdrr gua blm nikah . terkadang ketika gua kerja . gua makan enak di luar . kadang gua berfikir kaya gtu juga . gua inggat adik adik gua . mamah . ayah . di rumah makan apa mereka . kadang sampe gua telvn . mereka makan apa di rumah . 😔😔</t>
  </si>
  <si>
    <t>@Candraasmara85 @ustadtengkuzul Pengikut Kampret ISIS bro</t>
  </si>
  <si>
    <t>Islam saat minoritas dibantai tapi gak pernah denger tuh ISIS muncul buat ngebela</t>
  </si>
  <si>
    <t>Penolakan dilakukan ketika WNI pernah kunjungi China dalam 14 hari terakhir.</t>
  </si>
  <si>
    <t>Kapal Pesiar Grand Princess yang Ditolak Berlabuh di San Francisco Bawa 57 Kru WNI - Berita Trans  lewat @beritatrans</t>
  </si>
  <si>
    <t>@Lady_Zeebo @mohmahfudmd tolong pa @jokowi ,jangan pelihara lagi anak teroris ISIS. ❤NKRI🇮🇩</t>
  </si>
  <si>
    <t>Dua pasien positif Korona yang dirawat di rumah sakit Sulianti Saroso, Jakarta, kondisinya semakin membaik. POT . #Covid19 #VirusKorona #WNI #LintasiNewsSiang #MNCTVNews</t>
  </si>
  <si>
    <t>@detikcom Mending mikirin dulu nasib WNI yang di sana, hobi banget sih sweeping?</t>
  </si>
  <si>
    <t>RT @Katolik_GK: Umat TL... Covid-19 bukan tentara Allah. Hanya Allah bangsat yg mau matikan ciptaan yg dikasih-Nya. Makan babi juga bukan sebabkan Anda terjangkit Covid-19. Sebab sejak dulu sebagian dr WNI sdh mkn babi. Masak iya sih kita yg mkn babi, tp Iran yg tak mkn babi yg terinfeksi?</t>
  </si>
  <si>
    <t>Best seminar moment, sesukahati tunjuk video ISIS sembelih kepala manusia 😂 I hope 2020 ni tak ada yang easily triggered lepastu nak saman ke apa.</t>
  </si>
  <si>
    <t>RT @KompasTV: Melawan Corona: 25 Penimbun Masker Ditangkap Hingga WNI Positif Corona 4 Orang</t>
  </si>
  <si>
    <t>@msaid_didu Apa pemerintah tidak mikir pak, jika corona benar2 mewabah diIndonesia kira2 apa yg akan terjadi dengan pendatang dari china, dan juga mungkin akan berimbas kepada warga tionghoa yg sudah menjadi WNI.</t>
  </si>
  <si>
    <t>@rinigrace @waldo_girijati @ISIS_Balik_NO @KompasTV @umaleao Trims mbak. Alhamdulilah bisa nangkep tu orang. 7 tahun sudah, tapi hati saya masih bleeding tiap kali lewat 4 area di jkt 😅</t>
  </si>
  <si>
    <t>@imsaur_mishra @SAQUIBK17934861 @MAHAMAHIMJI @Parvez66355879 @pharshal3 @ishahidmahmood @RubikaLiyaquat Bhai phle maulbiyon ne pavitr Kuran ko ulta pulta pdha k Jihad kraya Bharat mei jb ye nhi kr paye{isis fail in india}tb khunns mei Ab indian constitution ko ulta pulta pdha k दंगा kraya Socho jo apna dharm granth apne hi follower ko glt bta skta hai wo COI k sath kya krega 💪🇮🇳</t>
  </si>
  <si>
    <t>Up Date WNI Positif Terinveksi Virus Covid-19 jadi 4 Orang  via @roimonang2017@gmail.com</t>
  </si>
  <si>
    <t>"FTF paspornya ditutup karena dalam proses tidak boleh pulang," ujar Mahfud</t>
  </si>
  <si>
    <t>@not_kirei @waldo_girijati @ISIS_Balik_NO @KompasTV @umaleao Duh...yang sabar ya mbak. Tapi syukur bisa ditangkap penipunya. Lumayan luka batin sedikit terobati 😰😥😢</t>
  </si>
  <si>
    <t>Lagi, 2 WNI Dinyatakan Positif Terinfeksi Virus Corona, Kontak Dekat Kasus Sebelumnya</t>
  </si>
  <si>
    <t>@druvgtae udah legal jadi wni</t>
  </si>
  <si>
    <t>RT @OfficialiNewsTV: Ada 2 WNI Lagi Terinfeksi Virus Korona di Indonesia, Total Jadi 4 Orang</t>
  </si>
  <si>
    <t>@yookihyunt Diam diam dia masuk isis :)</t>
  </si>
  <si>
    <t>Maneh isis ? @sleepenthusiasm RT @MXHOSEOKLEE: Kenapa saya bacanya isis sih ? //</t>
  </si>
  <si>
    <t>Dua WNI Lagi Dinyatakan Positif Covid-19  #Kesehatan #KementrianKesehatan</t>
  </si>
  <si>
    <t>@MXHOSEOKLEE Ki juga bacanya isis</t>
  </si>
  <si>
    <t>Kenapa saya bacanya isis sih ? //</t>
  </si>
  <si>
    <t>@waldo_girijati @rinigrace @ISIS_Balik_NO @KompasTV @umaleao Kepikiran sih Tapi dia perempuan .... tak tunggu di padang mashyar aja 😂</t>
  </si>
  <si>
    <t>@detikcom Ntar WNI di India di sweeping emang PA 212 mau bantu??? Wong sama2 mayoritas dinegaranya masing2 mbok ya udah ga usah ngotot</t>
  </si>
  <si>
    <t>@syafrinkar @msaid_didu Kampung halaman mereka aja dipersulit .namun terbalik malah WNI yg diperiksa dg ketat Hasdam China .sih</t>
  </si>
  <si>
    <t>Masih warga negara Indonesia (WNI) Sudah off dari sepak bola. Sekarang bekerja di Public Bank (Malaysia) RT @AvaPrihast: @vocketfcID salam kagum min, salah satu legenda sepakbola, bener udah jadi wna gak sih min? dan beneran udah off dari sepakbola?</t>
  </si>
  <si>
    <t>RT @KARDUSDURIAN: Bpk gak mau jd WNI, jd WNI th 80an, menista agama Islam, skrg mau dibuatkan ibukota, MAKARMU SDH KETERLALUAN PYM @jokowi sy Pancasila, sy Indonesia, NKRI harga mati ? @Ronnie_Rusli @zarazettirazr @dr_koko28 @LisaAmartatara3 @Ndoro_Raghil @msaid_didu @RamliRizal @ustadtengkuzul</t>
  </si>
  <si>
    <t>Semester ini yg dipelajari campur aduk banget, dari ajian rogoh sukmo, ISIS, leadership CEO Kraft sampe dinamika harbolnas shopee 🙃</t>
  </si>
  <si>
    <t>RT @_Henz14: Semua bisa terpapar virus bani2 HTI dan bani2 ISIS Kata siapa ga bisa , yg berhak membuka tutup HATI makhluk apa iya LATAR BELAKANGMU bernaung 😁😁😁 Klo meminimalisir saja supaya tidak terpapar saya iyakan , tapi klo njamin tidak "TERKONTAMINASI" saya akan bilang ngga juga</t>
  </si>
  <si>
    <t>@muannas_alaidid yaaa lanjutt....95% wni waras bro, td seperti kelompok Kadrun. Tetap semangat bang Muannas</t>
  </si>
  <si>
    <t>Kementerian Kesehatan (Kemenkes) mengumumkan dua orang baru WNI positif virus Corona. Total sejauh ini ada empat orang yang dinyatakan positif Corona. . "Dari 7 orang ini, 2 orang confirm positif yang disebut kasus…</t>
  </si>
  <si>
    <t>@not_kirei @rinigrace @ISIS_Balik_NO @KompasTV @umaleao nda lah mba, pake jasa</t>
  </si>
  <si>
    <t>Semua bisa terpapar virus bani2 HTI dan bani2 ISIS Kata siapa ga bisa , yg berhak membuka tutup HATI makhluk apa iya LATAR BELAKANGMU bernaung 😁😁😁 Klo meminimalisir saja supaya tidak terpapar saya iyakan , tapi klo njamin tidak "TERKONTAMINASI" saya akan bilang ngga juga</t>
  </si>
  <si>
    <t>@waldo_girijati @rinigrace @ISIS_Balik_NO @KompasTV @umaleao Pengen gibeng... Tapi takut kena pasal juga 🤣</t>
  </si>
  <si>
    <t>RT @IndonesiaAnkara: Hallo #sobatKBRIAnkara, sehubungan dengan adanya wabah Virus Corona (COVID-19) yang saat ini telah menyebar ke sejumlah negara, berikut disampaikan himbauan KBRI Ankara kepada seluruh WNI di Turki. #IniDiplomasi #NegaraMelindungi</t>
  </si>
  <si>
    <t>Saya pikir sudah saatnya pemerintah memperketat pemeriksaan masuknya WNI atau WNA ke Indonesia baik melalui udara maupun laut. Tindakan ini penting agar lebih dini mendeteksi orang2 yg diduga tertular Corona demi kebaikan kita semua.@jokowi @mohmahfudmd @GeneralMoeldoko</t>
  </si>
  <si>
    <t>@detikcom Wni yg ada India ada skitar 8rb jiwa ?</t>
  </si>
  <si>
    <t>Berikut adalah Perkembangan COVID-19 di dunia dan persebaran WNI yang sedang menjalani perawatan karena COVID-19 di luar negeri. #IniDiplomasi #NegaraMelindungi #indonesianway RT @Kemlu_RI: #Diplomates, english version of the Indonesian Government Policy on the Visitors / Travellers in regards to Covid - 19,  #IndonesianWay</t>
  </si>
  <si>
    <t>@el_loco234 Ga abis pikir saya. ISIS yang sudah bubar dibantai dengan fitnah yang keji. Saya baru berujar seperti ini. Ah sudahlah. Kalean rakyat endonesia mau nya kek gmn sih.</t>
  </si>
  <si>
    <t>WNI Positif Virus Korona jadi 4 Orang</t>
  </si>
  <si>
    <t>Melawan Corona: 25 Penimbun Masker Ditangkap Hingga WNI Positif Corona 4 Orang</t>
  </si>
  <si>
    <t>RT @chairulachir: @Dennysiregar7 @CNNIndonesia @RSudjasmin @KemenkeuRI @jokowi @kaesangp @NatakusumahA @sutarmanw @BukaBantuan @AnakKolong___ @jenk_kelinn @CGTNOfficial @BBCIndonesia @Reuters @BBCWorld @PolhukamRI Pak @RSudjasmin (75) hanya ditemani kang @NatakusumahA yg pernah ditugaskan terjun langsung membebaskan 11 WNI yg disandera abu sayaf beberapa tahun silam. Cerita perampasan tanah ini tidak menarik bagi @kompascom. Sebab, saat kang AM mengantar seorang Ibu ditolak pemrednya</t>
  </si>
  <si>
    <t>Empat Warga Negara Indonesia (WNI) ABK kapal Diamond Princess yang sebelumnya positif korona, kini telah sembuh. POT . #VirusKorona #CoronaVirus #ABK #WNI #iNewsSiang #iNews</t>
  </si>
  <si>
    <t>RT @chairulachir: @Dennysiregar7 @CNNIndonesia @RSudjasmin @KemenkeuRI @jokowi @kaesangp @NatakusumahA @sutarmanw @BukaBantuan @AnakKolong___ @jenk_kelinn Nasib investor ceking beli aset tanah @KemenkeuRI di kelapa gading, 30 tahun gak bisa dipakai. Berjuang sendiri. Negara lebih peduli thd anak2 teroris #ISIS ya merampas hak rakyat #Syria daripada anak cucu korban perampasan tanah @CGTNOfficial @BBCIndonesia @Reuters</t>
  </si>
  <si>
    <t>RT @demoSoCRAZY: LIVE📸 Utusan Massa Hanya diterima o/ Staff Kedutaan India •Massa Minta Hentikan Teror Muslim India •Dubes tdk ditempat •Kedutaan Janji akan undang Ormas/Ulama u/ diskusi •Orator Minta WNI Turunan India ikut kecam Aksi Teror Muslim di India #BelaMuslimIndia #BelaMuslimIndia</t>
  </si>
  <si>
    <t>@Restichayah Dengan senang hati mereka menyambut berita korban corona, harapan mereka rakyat indonesia mati semua dengan corona, Rezim akan gantikan WNI sama WNA China. Beginilah negri penjilat.</t>
  </si>
  <si>
    <t>RT @PRFMnews: Pemerintah Indonesia menyampaikan kasus positif virus corona bertambah 2 orang.</t>
  </si>
  <si>
    <t>@detikcom Dia kagak tau ada 1000 an mahasiswa wni sedang belajar di india karena biaya yang murah. Kalok dibalas sama orang india gimana?</t>
  </si>
  <si>
    <t>RT @KompasTV: 4 WNI Terjangkit Corona di Jepang Sembuh!</t>
  </si>
  <si>
    <t>Ya Allah sudah 4 orang WNI positif Corona</t>
  </si>
  <si>
    <t>@detikcom Memangnya apa salah warga India atau WNI keturunan India? I miss this quote, negara gak boleh kalah sama preman!!!</t>
  </si>
  <si>
    <t>@rinigrace @ISIS_Balik_NO @not_kirei @KompasTV @umaleao mungkin sudut pandang nya diubah, temen nya tawakkal sdh ikhtiar beli rmh tapi di tipu karena dalam islam punya sifat berprasangka baik tu ga cuma ke orang yg baik ke kita tapi bahkan yang jahat dan zhalim ke kita mba, Mba punya teman orang baik mba</t>
  </si>
  <si>
    <t>RT @lydrielyn_koh: We need to stop comparing women's pregnancy. "dia mengandung okay ja buat kerja" "betul ka mual teruk ni? Kakak aku pregnant ok ja x muntah" "asyik rehat ja, org lain mengandung xda pun macamni" STOP. Lain orang, lain kondisinya. Please.</t>
  </si>
  <si>
    <t>RT @wow_keren: Mekkah dan Masjid Nabawi Ditutup, Ini Imbauan KBRI Untuk WNI di Arab Saudi</t>
  </si>
  <si>
    <t>@detikcom Pak @CCICPolri @DivHumas_Polri @jokowi @mohmahfudmd @PolhukamRI @Kemenag_RI @kemendagri mau sampai kapan dibiarkan orang2 kayak gini? Ngancem keselamatan wna disini? Klo sampe terjadi pembalasan thd wni dan muslim disana gara2 ini siapa mau tanggungjawab? Kalian takut ama PA 212?</t>
  </si>
  <si>
    <t>RT @AnakKolong___: 6. Kader/ Tokoh PKS juga mendukung ISIS &amp; KHILAFAH serta TOLERAN terhadap TERORIS/ISIS . . .</t>
  </si>
  <si>
    <t>KRI dr. Soeharso-990 Berhasil Evakuasi WNI Kru Diamond Princess Ke Pulau Sebaru -</t>
  </si>
  <si>
    <t>RT @tvOneNews: Breaking News: RI konfirmasi dua WNI positif corona, keduanya sempat berkontak dengan seorang warga negara Jepang yang positif virus corona. Update berita terkini di  #BreakingNews #tvOneNews #WaspadaVirusCorona</t>
  </si>
  <si>
    <t>RT @fazafaiz: @CNNIndonesia secara resmi corona di indonesia sudah endemik lokal karena sudah menular dari wni langsung ke wni.</t>
  </si>
  <si>
    <t>Semester ini yg dipelajari campur aduk banget, dari ajian rogoh sukmo, ISIS sampe dinamika harbolnas shopee. Kuliah apaaa inituu 🙃</t>
  </si>
  <si>
    <t>@detikcom Itu isis nindas umat islam tuh yaman di bombardir berani sweeping gk ???? Demo milih2 apakah krn ada bayaran dan orderan jadi demo nya sesuai pesanankah ??</t>
  </si>
  <si>
    <t>@03__nakula @My_LoveNebe Sy heran respon nyeleneh Pemerintah RI terkait penghentian sementara kedatangan WNI krn penyebaran virus Covid-19 dari Pemerintah Arab Saudi, kok meminta toleransi agar sebagian WNI tetap bisa diterima Umro? Ini masalah serius virus berbahaya. Masa virus mau diajak kompromi?</t>
  </si>
  <si>
    <t>Bertambah Jadi 4 Orang, Kemenkes Umumkan 2 WNI Positif Corona Baru</t>
  </si>
  <si>
    <t>Sampai hari ini Corona sudah menginfeksi 4 WNI, yuk bentengi diri dengan menjaga kesehatan termasuk di lingkungan kerja😷 #TipsKarir #CariTau</t>
  </si>
  <si>
    <t>RT @tempodotco: BREAKING NEWS Juru bicara penanganan wabah virus corona, Achmad Yurianto mengumumkan ada dua pasien positif virus corona lagi yang bertambah. #VirusCoronaindonesia</t>
  </si>
  <si>
    <t>@detikcom Silakan sweeping tpi jgn ngawur n kasar. Tdk sakiti warga india yg WNI, trmasuk yg WNA.</t>
  </si>
  <si>
    <t>Pemerintah Indonesia menyampaikan kasus positif virus corona bertambah 2 orang.</t>
  </si>
  <si>
    <t>Dua Lagi WNI Positif Terinfeksi Virus Corona</t>
  </si>
  <si>
    <t>@DTanjung15 Ya dia kan bukan WNI asli Nyai keturunan ra'ab ,ya tau sendiri kan kalau Wahabi jadi pemimpin nanti kelompoknya yang menguasai NKRI ,beda sama Ahok walau WNI keturunan tetapi memiliki jiwa patriotis dan cinta NKRI .</t>
  </si>
  <si>
    <t>Update #Covid-19 di Thailand per-6 Maret 2020. Terdapat penambahan 1 kasus terkonfirmasi, sehingga total jumlah menjadi 48 kasus (31 kasus dinyatakan sembuh, 16 di rumah sakit dan 1 meninggal dunia). Harap WNI di Thailand selalu menjaga kesehatan. #Inidiplomasi #negaramelindungi</t>
  </si>
  <si>
    <t>RT @KompasTV: Total 4 WNI Positif Corona di Indonesia</t>
  </si>
  <si>
    <t>69 WNI ABK Diamond Princess kini menjalani kesehatan secara intensif di Pulau Sebaru, Kepulauan Seribu. Satu orang dipisahkan untuk diperiksa lebih lanjut karena diduga tertular virus corona dan kini di ruang isolasi RSUP Persahabatan. #CNNIDConnected</t>
  </si>
  <si>
    <t>Lagi! 2 WNI Positif Terinfeksi #VirusCorona di Indonesia</t>
  </si>
  <si>
    <t>[BALU] "Jangan sampai ada yang teltipu ISIS lagi," kata teh Dania. Iya, teltipu sekali sial. Teltipu dua kali bodoh. Teltipu tiga kali mah doyan~</t>
  </si>
  <si>
    <t>RT @jokowi: Tim penjemput dari Tanah Air sudah di perjalanan ke Tiongkok. Sebanyak 245 WNI di Provinsi Hubei sudah pula menuju titik penjemputan. Mereka semua sehat dan senang akan kembali. Mohon doa seluruh rakyat untuk tim penjemput, untuk warga negara kita, dan untuk Indonesia.</t>
  </si>
  <si>
    <t>Jubir Penangangan Wabah Corona menyampaikan bahwa kasus pasien terjangkit Corona di Indonesia bertambah menjadi empat orang. Dua pasien baru terdeteksi pernah "close contact" dengan 2 pasien Corona pertama dari Depok.</t>
  </si>
  <si>
    <t>Lagi 2 WNI Positif Corona, Total Jadi 4 Orang</t>
  </si>
  <si>
    <t>@kantayu Gak heran sih , nih komisioner yg juga dukung pemulangan eks wni eks isis.</t>
  </si>
  <si>
    <t>@IbnKhayyam Says a person whose Ilk has created ISIS, BokoHaram, Hamas, JuD, AlQaeda, IM, PFI, etc</t>
  </si>
  <si>
    <t>Total 4 WNI Psoitif Corona di Indonesia</t>
  </si>
  <si>
    <t>@ratu_adil Bagaimana kalo nanti di balik . pulang dari Jepang , WNI positif Semoga RI tidak menjadi episentrum Outbreak Gelombang ketiga pada akhir Maret 2020</t>
  </si>
  <si>
    <t>Nach, mudah mudahan tidak bertambah lagi Bertambah, WNI Positif Korona Jadi 4 Orang  via @mediaindonesia</t>
  </si>
  <si>
    <t>Nambah 2 lagi....semoga lekas sembuh 😇</t>
  </si>
  <si>
    <t>RT @musniumar: Pendidikan kunci kemajuan. Akan tetapi tidak semua WNI bisa mengenyam pendidikan tinggi. Mari kita manfaatkan teknologi utk meningkatkan kualitas anak didik dan mahasiswa kita agar dunia pendidikan Indonesia semakin berkualitas</t>
  </si>
  <si>
    <t>@Zombie_9Q @disinidika @anonLokal Bacot lu isis</t>
  </si>
  <si>
    <t>@aguspambudii @TheArieAir @Afilla_21 @DTanjung15 @TofaTofa_id @Chusnul__Ch @4Y4NKZ MenolaK lupa....kalau KADRUN satu ini pernah diBORGOL Polisi....diPENJARA....dan menyuruh BININYA JUAL AIR MATA</t>
  </si>
  <si>
    <t>1 WNI ABK dipisahkan meskipun kondisi fisiknya baik, tetapi kemungkinan suspect dia tertular covid-19 dan sekarang sudah diisolasi di RS Persahabatan</t>
  </si>
  <si>
    <t>@rha_tjoensimatu drun drun ... kasian amat hdp lw cuma segitu doang kemampuan otak lw mikirnya...hasil gangbang ISIS ya gini jdinya...</t>
  </si>
  <si>
    <t>@zarazettirazr Setelah cap radikal, hti, isis gak mempan buat hancurin islam, sekarang dua ormas besar diadu domba. Tujuannya sama memecah belah umat islam biar islam hancur krna perang saudara. Ini sih sepertinya kerjaan orang gak beragama.</t>
  </si>
  <si>
    <t>@sudip_ind @Sam77426359 @RanaAyyub Or ISIS Pakistan ki nhi h</t>
  </si>
  <si>
    <t>total ada 4 wni yg positif . stay safe guys jgn panik!!!!!!!!</t>
  </si>
  <si>
    <t>Dua WNI Kembali Dinyatakan Positif Virus Corona, Pernah Kontak Dekat dengan Kasus Sebelumnya</t>
  </si>
  <si>
    <t>@ISIS_Balik_NO Iya tau, tp heran aja kok bisa gituu ditunjukin ga sukanya. Emangnya gapunya sifat "gaenakan" apa?</t>
  </si>
  <si>
    <t>RT @kantayu: Adventure sih gak bole ugal ugalan begini. Keselamatan penumpang nomer satu 😬😬😬😬</t>
  </si>
  <si>
    <t>Anak ISIS dipulangkan dan di tambung seperti orang tidak bersalah, anak yang kenak bom di Samarinda ditelantarkan ... @mohmahfudmd</t>
  </si>
  <si>
    <t>Dua Lagi WNI Dinyatakan Positif COVID-19</t>
  </si>
  <si>
    <t>RT @CNNIDdaily: #BreakingNews Berikut ini merupakan catatan perjalanan warga Jepang dan dua WNI yang bertemu hingga akhirnya tertular virus corona.</t>
  </si>
  <si>
    <t>Seorang tenaga kerja Indonesia (TKI) divonis hukuman dua tahun penjara di Singapura. TKI itu terbukti memberi uang kepada kelompok teroris yang terkait dengan ISIS. #TKI #Singapura #ISIS #Teroris</t>
  </si>
  <si>
    <t>@iamgorgeouss_ Banyak...blom tau emang ?</t>
  </si>
  <si>
    <t>RT @pikiran_rakyat: Bertambah 2 Orang, Kini Total 4 WNI Positif Virus Corona</t>
  </si>
  <si>
    <t>Ada dua lagi WNI positif COVID-19 - ANTARA News Jawa Barat</t>
  </si>
  <si>
    <t>@BinAffan19 Ada yg salah yg bang ? Pantesan ditagih ngamuk.....kirain seperti biasa....punya hutang levih galak dr yg ngutangin 😂</t>
  </si>
  <si>
    <t>@amed_jow @joretni ini berita kronologi kasus pertama. yg kemudian nularin ke ibunya (kasus kedua) mungkin elu kelewat.</t>
  </si>
  <si>
    <t>Dua lagi WNI positif Covid-19...</t>
  </si>
  <si>
    <t>16. klw udh sukses pgn pindah ke jepang tpi ttp wni hhe</t>
  </si>
  <si>
    <t>@meow_leader Kagak pake riba lo bang...syari</t>
  </si>
  <si>
    <t>RT @worknco: Tarikh Tutup Permohonan Biasiswa📢 1. JPA (20 Mac) 2. Shell (30 Mac) 3. BNM (21 Mac) 4. PETRONAS (22 Mac) 5. MARA (22 Mac) 6. Star Education Fund (29 Mei) 7. Yayasan Telekom (31 Mac) 8. Yayasan Sime Darby (31 Mac) 9. YTL Foundation (31 Mac) 10. Khazanah (1 Apr)</t>
  </si>
  <si>
    <t>@Namaku_Mei pak @mohmahfudmd lebih baik membantu gadis kecil ini, daripada memulangkan anak anak isis teroris itu</t>
  </si>
  <si>
    <t>2 lagi wni yg positive corona.</t>
  </si>
  <si>
    <t>BREAKING NEWS! Kemenkes Sebut Ada Dua Lagi WNI Positif Corona  #beritaterkini</t>
  </si>
  <si>
    <t>@ISIS_Balik_NO @meow_leader Bujug buneng ngitungnya kumaha eta??😛</t>
  </si>
  <si>
    <t>Dua WNI terbaru dinyatakan positif menderita Covid-19. RT @detikcom: Kementerian Kesehatan (Kemenkes) mengumumkan dua orang baru WNI positif virus Corona. Total sejauh ini ada empat orang yang dinyatakan positif Corona.</t>
  </si>
  <si>
    <t>RT @K3muning_1: Virus 212 jgn sok2an deh. Liat aja nanti kalo berani macem2 di tabah Borneo. #GabenerJualMaskerMahal Heboh Alumni 212 Tolak Ahok Jadi Bos Otorita Ibu Kota Negara</t>
  </si>
  <si>
    <t>RT @fxkhruddeen: ada orang dapat B+ ,tapi dia kata kenapa aku tak dapat A dan ada orang kata Alhamdulillah dapat D untuk subjek ni walaupun semasa trial dia selalu dapat G. " bersyukur, akan membuatkan hatimu lebih tenang dan merasa cukup" .</t>
  </si>
  <si>
    <t>RT @Brambandung7: HALO @kemkominfo TOLONG DONG TAKE DOWN ATAU BLOKIR WEBSITE PENYEBAR AJARAN SESAT KHILAFAH MASA NETLIX DAN INDOXXI ANDA BLOKIR TAPI WEBSITE PENYEBAR AJARAN SESAT KHILAFAH ANDA DIAMKAN APA JANGAN2 ANDA INI BAGIAN DARI KELOMPOK MEREKA???</t>
  </si>
  <si>
    <t>RT @DiantyYasmin3: Akui Keliru soal Harga Masker Rp 300.000 Per Boks, Ini Penjelasan Dirut Pasar Jaya Wan aibon emang ruar biasah klo udh viral baru blg keliru Otak mana otak? #GabenerJualMaskerMahal</t>
  </si>
  <si>
    <t>RT @soloposdotcom: Lagi! 2 WNI Positif Terinfeksi Virus Corona di Indonesia</t>
  </si>
  <si>
    <t>Kemaren sempet rame pemerintah akan memulangkan anak-anak ISIS eks WNI, akan diperhatikan keperluan dan segalanya. gue sih Ogah. Mending dananya buat anak-anak Indonesia yg begini. Setuju? RT @Namaku_Mei: Gadis yg terpaksa putus sekolah dan jual skesa Rp 20 ribu hingga viral di Medsos</t>
  </si>
  <si>
    <t>baru baca  sembuh sembuh sembuh...semoga mereka cepat sembuh. amiin!</t>
  </si>
  <si>
    <t>RT @ellenrie1: Pemburu Babi di buru Bareskrim. Ntahlh,apa krn si pemburu telah menembak mati tentara allah😂kata UAS Virus corona tentara allah.Kata MUI virus corona dr pemakan Daging Babi.Lhaa ini sniper hbs nembak babi dagingnya mau di apain ya?</t>
  </si>
  <si>
    <t>RT @Bangzul__88: Semua proyek dan pengadaan yang dilakukan oleh Pemprov DKI Jakarta serba mahal. Dulu sempat ramai kasus pengadaan lem aibon yang harganya puluhan milyar.. Menurut saya, Anies gagal kontrol dan tak becus menangani sesuatu masalah. #GabenerJualMaskerMahal #GabenerJualMaskerMahal</t>
  </si>
  <si>
    <t>@CNNIndonesia secara resmi corona di indonesia sudah endemik lokal karena sudah menular dari wni langsung ke wni.</t>
  </si>
  <si>
    <t>Terkini, 4 WNI Diduga Kuat Positif Corona</t>
  </si>
  <si>
    <t>Dua WNI yang dirawat di Jepang terkait corona, dinyatakan sembuh - ANTARA News Jawa Barat</t>
  </si>
  <si>
    <t>@detikcom @detikfinance Kebanyakan mikirin HTI Isis Radikal Radikul, sampe gak tau apa-apa👇🏼 RT @detikcom: Presiden Jokowi naik pitam! Ternyata manfaat tol laut hingga kini tak terlihat. Biaya logistik masih mahal. Bahkan kirim barang antar provinsi lebih mahal ketimbang kirim barang ke negara lain. Kok bisa? via @detikfinance</t>
  </si>
  <si>
    <t>17.38 #LiputanSONORA - 2 WNI yang memiliki kontak langsung dengan kasus nomor 1 positif corona virus 19, saat ini sudah di bawa ke rumah sakit penyakit infeksi Sulianti Saroso. *pic : Juru bicara pemerintah penanganan virus corona/ Ahmad Yurianto. @TitoSuhandoyo</t>
  </si>
  <si>
    <t>@ErindaSofi @jokowi Pak Jokowi ngopo toh mbela mbelain anak isis</t>
  </si>
  <si>
    <t>RT @danielfaris03: Batch 03 , Please take note this. Jadual SPM kita dah keluar lepas ni pejam celik pejam celik dah masuk dewan peperiksaan dah ! We just left a few months je !</t>
  </si>
  <si>
    <t>@Pasti_kembali Ora..gen isis</t>
  </si>
  <si>
    <t>@omsanto Tenang Om, ada temennya. Nih, ku cuma seketeknya aja, 155-an cm vs 202 cm, pemain basketnya Indo, WNI 😂</t>
  </si>
  <si>
    <t>RT @Hujandisenja: Tentang apa yang dialami perempuan dalam masa kehamilan :’) I love this monologue</t>
  </si>
  <si>
    <t>@Namaku_Anisa @msaid_didu @ustadtengkuzul Ada di timur tengah.di bantai ISIS dn simpatisanya.</t>
  </si>
  <si>
    <t>Pak @mohmahfudmd lbh baik urus anak beginian dr pd urus anak yatim WNI Eks ISIS RT @detikcom: Walau hidup dalam kekurangan masih banyak anak yang semangat mencari ilmu. Demi biayai sekolah mereka rela berjualan makanan tanpa lelah. Berikut kisah mereka yang inspiratif: #KisahInspiratif via @detikfood</t>
  </si>
  <si>
    <t>RT @soimfarii: masih favourite @MohdNohSalleh</t>
  </si>
  <si>
    <t>@monakasandwich tapi emang anu sih... unexplainable things come to mind instantly.. lalu aku combine dengan ng-anal-isis jadilah itu</t>
  </si>
  <si>
    <t>@fleureeest Padahal mah, gak brenti2 ng-anal-isis.</t>
  </si>
  <si>
    <t>RT @heniunique: Semoga para pedagang meniru sikap cik Susanna (WNI etnis Tionghoa) yang cengli/fair/lurus hati saat panic buying karena berita corona.</t>
  </si>
  <si>
    <t>@rinigrace @ISIS_Balik_NO @not_kirei @KompasTV @umaleao Salah gaul</t>
  </si>
  <si>
    <t>@staydeterminedd Ilangin virus korona, jgn pulangin ex isis</t>
  </si>
  <si>
    <t>RT @KontanNews: Imbas virus corona, KBRI Riyadh imbau WNI di Arab tak bepergian ke Madinah dan Mekkah  #VirusCorona</t>
  </si>
  <si>
    <t>Informasi untuk WNI re traveling terkait #coronavirus #IniDiplomasi #NegaraMelindungi</t>
  </si>
  <si>
    <t>RT @03__nakula: Untuk teman" Nahdliyyin dan Muhammadiyah hindari posting meme yang belum jelas kebenarannya. Karena itu bisa jadi ulah ISIS yang ingin mengadu domba NU dan MU yang selama ini hidup rukun dan damai. Serahkan pada pimpinan masing" ormas. Tapi jangan nyenggol wong NU #NuWaniTok 💪</t>
  </si>
  <si>
    <t>@ryuhasan Padahal putin lagek ngupil tok dok mosok wes keweden se? Isis seng ditenani 3 dino ae langsung ambyar sak katok katok e barang.</t>
  </si>
  <si>
    <t>@jokowi Pahami juga keresahan masyarakat NKRI dimana Bapak @jokowi mau memulangkan anak eks teroris isis. Padahal ada yang lebih penting diurusin, seperti anak korban bom teroris, apakah negara sudah membantu mereka? #NKRIHargaMati #IndonesiaNegaraIntoleransi</t>
  </si>
  <si>
    <t>RT @HaedarNs: Muhammadiyah mengimbau kepada masyarakat untuk tidak panik terhadap penyebaran virus corona, menyusul dua WNI asal Depok, Jawa Barat, yang positif virus corona.</t>
  </si>
  <si>
    <t>RT @sintasdotco: Sejak virus corona menjangkiti dua WNI, orang-orang berlomba membeli masker. Bahkan bahan pokok pun turut diborong. #selintas</t>
  </si>
  <si>
    <t>Sahabat Inisiator, Senin lalu, Presiden Joko Widodo mengumumkan bahwa terdapat 2 orang WNI positif terjangkit virus #corona. Penyebaran arus informasi akan menjadi lebih cepat terkait pemberitaan virus ini. Karenanya, kita harus hati-hati terhadap berita hoax, ya.</t>
  </si>
  <si>
    <t>@ayoberjuanggg PFPN itu pendapatan neto jadi yang udah bersih asalnya dari WNA di dalam (PFLN)-WNI diluar (PFDN)</t>
  </si>
  <si>
    <t>Sejak virus corona menjangkiti dua WNI, orang-orang berlomba membeli masker. Bahkan bahan pokok pun turut diborong. #selintas</t>
  </si>
  <si>
    <t>Abu Sayyaf Minta Tebusan Rp 8,4 M Untuk 5 Orang WNI Yang Ditahan, Mahfud Anggap Biasa “Biasa sih Abu Sayyaf, hanya berubah angka saja. Tiap kali menyandera orang selalu minta uang,”</t>
  </si>
  <si>
    <t>@TanDjiedin ISIs tlh membuat islam terlihat menyeramkan</t>
  </si>
  <si>
    <t>Saat Natuna ditetapkan sebagai daerah untuk evakuasi dan karantina WNI yang kerja dan studi di China. Saat itu, timbul gejolak dan penolakan dari masyarakat. Sekarang hal serupa terjadi di Pulau Galang, Batam. #iDeasRabbani</t>
  </si>
  <si>
    <t>@hasmi_bakhtiar Iya ulama syiah dan pro isis, dan tidak penuh sesak seperti tahanan di indonesia, karena jika pemahamannya sudah ekstrim dan membrontak akan di penggal,</t>
  </si>
  <si>
    <t>Demi keamanan, keselamatan dan kesehatan para WNI #CoronaVirus</t>
  </si>
  <si>
    <t>@Wolverine_Nemo @SantorinisSun @herlambang_tan @Mun4fikunn Harapan tuk pasti tuk memulangkan anak2 WNI eks ISIS dan menyekolahkan nya, serta memberikan nya pekerjaan dari BUMN. Semoga menjadi kenyataan. Firman-Nya Ya dan Amen🤗🤗😊😊🙏 RT @SantorinisSun: @Wolverine_Nemo @BR3K3L3_NY454R @herlambang_tan @Mun4fikunn Kan sy bilang konteksnya sedih &amp; kecewa. Apa 2 kata itu juga mengatikan "ketidak-yakinan??? Ga ya... Dr kalimat yg terakhir jelas tersirat adanya harapan. Kalo ga yakin...masa masih berharap???</t>
  </si>
  <si>
    <t>@81_adi @MbahWin3 @detikcom Anda ini orang Islam betul atau jadi2 an, Islam itu mengajarkan kebaikan, kasih sayang dan tidak mengajarkan kebencian terhadap sesama bangsa Indonesia, bila tidak suka silahkan hengkang dr NKRI dan gabung sama Isis</t>
  </si>
  <si>
    <t>RT @SinghTvitter: @bhanwar_dadhich @YasirPost World Over: 98%_2% Kashmir_KPs India_Supremacist 27/11,9/11 ISIS_BokoHaram LeT JeM ETIM Syria_Turkey_Kurds Lebnan_Jordan_Libya Saudia_Yemen Iran_Iraq_Kuwait Af_Pak_Taliban Pakjabi_Balochistan_ Pakhabi_Pashtun Pakjabi_Mohajir_ Pakjabi_Sindhis M_M when in majority.</t>
  </si>
  <si>
    <t>2 WNI Idap Corona, Jokowi Beberkan Kronologi Penderita Terinfeksi</t>
  </si>
  <si>
    <t>lalu bagaimana dengan indonesia ? gw sepakat dengan pemikiran @uusbiasaaja dalam podcast @corbuzier sepertinya ga hanya 2 yang WNI terkena corona (diluar dari konteks WNI yang ada diluar negeri) pasti ada lebih dari ini dan pasti ada "konspirasi".</t>
  </si>
  <si>
    <t>@detikcom hak km apa ngatur2 urusi aja ex isis yg ga boleh pulang dan tolong anda ke arab saudi aja gabung sama junjungan ente, NKRI tidak butuh anda semua</t>
  </si>
  <si>
    <t>@camabafebugm oh okaaii. aku bingung banget. soalnya di quipper itu itu GNP = GDP - PFNLN (bernilai negatif karena pendapatan wna di dalam negerinya &gt; wni di luar negeri. atau bisa juga GNP = GDP + (wni luar negeri - wna dalam negeri). tapi kata guruku, GNP = GDP + PFNLN, makanya bingungg bgt</t>
  </si>
  <si>
    <t>68 WNI Eks ABK MV. Diamond Princess Dipindahkan ke Pulau Sebaru Kecil</t>
  </si>
  <si>
    <t>@bhanwar_dadhich @YasirPost World Over: 98%_2% Kashmir_KPs India_Supremacist 27/11,9/11 ISIS_BokoHaram LeT JeM ETIM Syria_Turkey_Kurds Lebnan_Jordan_Libya Saudia_Yemen Iran_Iraq_Kuwait Af_Pak_Taliban Pakjabi_Balochistan_ Pakhabi_Pashtun Pakjabi_Mohajir_ Pakjabi_Sindhis M_M when in majority.</t>
  </si>
  <si>
    <t>@ayoberjuanggg Nah iya bener jadi itu selalu ditambah nah nanti plus minusnya bisa berubah pas kita tau banyak yang WNA atau WNI nya jadi kan kalau banyak WNA nya otomatis tandanya bakal berubah</t>
  </si>
  <si>
    <t>Mekkah dan Masjid Nabawi Ditutup, Ini Imbauan KBRI Untuk WNI di Arab Saudi</t>
  </si>
  <si>
    <t>Halo temen temen aktivis, mau nanya dong, acara hari minggu Women's march dapet izin Pemprov DKI gak? @mrshananto @womencoalition @KomnasPerempuan @the_magdalene  #LawanKekerasanSistematis #IWD2020 #TolakOmnibusLaw #TolakRUUKetahananKeuarga #SahkanRUUPKS</t>
  </si>
  <si>
    <t>SOCIAL INSIGHT | Corona Masuk ke Indonesia? Halo, KBMFILKOM! Indonesia salah satu negara yang terdeteksi adanya WNI dinyatakan positif terkena virus corona (covid-19). Banyak fenomena terjadi dimasyarakat saat ini akibat dari virus corona hingga munculnya Instruksi Rektor</t>
  </si>
  <si>
    <t>@ayoberjuanggg Jadi selisih antara WNA sama WNI nya itu, kalau banyak yang WNA berarti di kurang sebanyak selisihnya kalau banyak yang WNI berarti ditambah sebanyak selisihnya</t>
  </si>
  <si>
    <t>@ayoberjuanggg Yang satunya misal GDP 100 WNA di dalam 50 WNI di luar 10 berarti selisihnya kan 40 banyak yang WNA di dalam jadi GNP=GDP-PFLN GNP = 100-40=60</t>
  </si>
  <si>
    <t>RT @suryaandreas71: Yg jelas2 dukung ISIS aja dibiarin 🤦🏻‍♂️</t>
  </si>
  <si>
    <t>Gue punya kliping asyik nih. Kagak ada yg bener cara kelian melindungi rakyat bangsa ini, padahal kelian pejabat bangsa ini. Kebijakan kelian radikal, jika gue yg radikal kalian tuduh pulak gue isis teroris lalu kena delik. Serasa ingin berkata kasar dan kotor😒😒</t>
  </si>
  <si>
    <t>@ayoberjuanggg Jadi misal GDP nya 100 trs WNA di dalam 40 trs WNI di luar 60 nah inikan selisihnya 20 kan? Banyakan yang WNI jadi nanti GNP=GDP+PFLN GNP= 100+20 = 120</t>
  </si>
  <si>
    <t>@AlmaSabrina7 rekening Tahapan Berjangka yaitu: WNI, usia minimal 12 tahun, maksimal 60 tahun. Jangka waktu menabung adalah maksimal sampai dengan usia ulang tahun 65 tahun. Memiliki produk Tahapan, Tahapan Gold, Tahapan Xpresi, atau Tapres. Mengisi formulir (2/5) ^Zihan</t>
  </si>
  <si>
    <t>@rinigrace @not_kirei @KompasTV @umaleao Kalo spt itu mungkin salah pilih guru ngaji....sama kasusnya dgn artis hijrah.....tetiba mulut belepotan krn bahasanya nyampur arab dan dlm sekali wawancara...ribuan kali menyebut nama Tuhan ....gk kebayang latihannya di rumah stlh hijrah 😂</t>
  </si>
  <si>
    <t>RT @MichelAdamNP: BELI ALAT TES CORONA SAJA GAK MAMPU, Kok mau pindahan ibu kota. Atau duit abis buat pindahan ibu kota asing aseng, rakyat ditelantarkan? Terungkap, 238 WNI dari Wuhan Tak Dites Virus Corona, Alatnya Mahal  #OmnibusLawHancurkanRI</t>
  </si>
  <si>
    <t>@ayoberjuanggg Tergantung kalau nanti misal banyak yang pendapatan WNI di luar negeri dibanding WNA di dalam berarti di tambah tapi kalau banyak pendapatan WNA di dalam di banding WNI di luar di kurangin😊</t>
  </si>
  <si>
    <t>Setelah mencuak berita tentang 2 warga wni dan penimbunan masker yg viral dimana. Btw, kabar omnibus law gimana ya? Kok semakin ilang kabarnya? Apakah ini termasuk dalam permainan media dalam agenda setting?</t>
  </si>
  <si>
    <t>Lain plan lain jadi. YaAllah 😌</t>
  </si>
  <si>
    <t>Negara hadir dg segala sumber daya yg dimilikinya. Kalo negara absen, penularan sudah meluas. Dan WNI yg di Wuhan gak akan tertolong. RT @zlametabidin: Klo ada yg bilang negara tdk hadir tuk menanggulangi virus corona, berarti orang tsb kurang piknik yg jauh dan di rumah saja hanya mengakibatkan kuper alias kurang pergaulan. @fadlizon</t>
  </si>
  <si>
    <t>Klarifikasi langsung dari Dubes RI untuk Saudi Arabia. Bapak Agus Maftuh tentang berita : UMROH DITANGGUHKAN SELAMA THN 2020 itu 👉HOAX (Yang Benar adalah di Tangguhkan Sementara) Dan terjadi pengusiran WNI juga 👉 HOAX #BijakBermedsos</t>
  </si>
  <si>
    <t>RT @CNNIDdaily: Kemenkes memantau 156 orang pasien dalam pengawasan di 35 rumah sakit yg tersebar di 23 provinsi. Dua WNI positif corona hanya akan menjalani 2 kali pemeriksaan lagi sesuai standar operasi. Bila hasilnya negatif, pasien bisa dipulangkan. #CNNIDAfter10</t>
  </si>
  <si>
    <t>Isis Bananada no 8 ball pool kkkkk</t>
  </si>
  <si>
    <t>Kemenkes memantau 156 orang pasien dalam pengawasan di 35 rumah sakit yg tersebar di 23 provinsi. Dua WNI positif corona hanya akan menjalani 2 kali pemeriksaan lagi sesuai standar operasi. Bila hasilnya negatif, pasien bisa dipulangkan. #CNNIDAfter10</t>
  </si>
  <si>
    <t>UPDATE Proses Naturalisasi Marc Klok, Sudah di DPR, Selangkah Lagi Jadi WNI</t>
  </si>
  <si>
    <t>Yg jelas2 dukung ISIS aja dibiarin 🤦🏻‍♂️ RT @Chusnul__Ch: Singapura Vonis Penjara Tiga TKI karena Dukung Teroris. Di Indonesia kapan? Lupa Sy, Sama HTI yg jelas sdh dibubarin aja takut.😂 @jokowi @Dr_Moeldoko</t>
  </si>
  <si>
    <t>@WSJ antifa,ninja,or isis ?</t>
  </si>
  <si>
    <t>RT @dyah1955:  Usai menangani 2 pasien positif terinfekasi virus corona , 70 an tenaga medis RS Mitra Keluarga Depok dirumahkan. Lho kok gak dikarantina yak Pd saat merawat pasien kan mrk berinteraksi lgs dan saat itu blm terdeteksi positif Bisa jd ada yg sempat kena</t>
  </si>
  <si>
    <t>RT @kaskus: Mimin mau ajakin kalian buat ngobrol langsung sama salah satu WNI yang pernah menjalani masa karantina di Natuna akibat wabah Corona di Wuhan. Buat GanSis yang ingin bertanya atau pun berdiskusi langsung aja pantengin Live Thread nya jam 2 Siang ini!</t>
  </si>
  <si>
    <t>Panglima Komando Tugas Gabungan Terpadu (Kogasgabpad) Laksamana Madya Yudo Margono mengatakan warga negara Indonesia eks Anak Buah Kapal MV.</t>
  </si>
  <si>
    <t>RT @AlissaWahid: Persaudaraan sesama muslim tetap harus berlandaskan nilai2 islami utamanya ketauhidan, keadilan, kemaslahatan. ISIS juga mengaku muslim, tapi nilai2nya tidak islami, maka tidak bisa diterima kaum aswaja annahdliyyah. Setan malah hepi kalau kita bersaudara dg mereka.</t>
  </si>
  <si>
    <t>RT @jamril_nursehan: Giliran ISIS pang tarikna jojorowokan, tuh di India Muslim di barunuh maraneh jarempe para jamaah toleran!! Teu beda jauh maraneh jiga tumila</t>
  </si>
  <si>
    <t>RT @dyah1955: Perangi corona, Bank Dunia kucurkan bantuan Rp 170 T u/ neg2 yg kena wabah Wabah virus corona Bank Dunia &amp; IMF tawarkan bantuan pinjaman Krn inikah yg akhirnya buat pengumuman bhw ada WNI yg terinfeksi virus corona 😉 Pancingan utang mmg ampuh WB&amp;amp;IMF paham tabiat rezim utang.</t>
  </si>
  <si>
    <t>RT @eko_kuntadhi: Gerombolan khilafah gak mau disamain dengan ISIS. Padahal ISIS pakai konsep khilafah juga. Kata mereka. ISIS itu bentukan AS. Beda sama Hizbut Tahrir. Emang Hizbut Tahrir bentukan siapa? Kantor pusatnya aja ada di London.</t>
  </si>
  <si>
    <t>Sahabat Inisiator, Senin lalu, Presiden Joko Widodo mengumumkan bahwa terdapat 2 orang WNI positif terjangkit virus #corona. Penyebaran arus informasi akan menjadi lebih cepat terkait pemberitaan virus ini.…</t>
  </si>
  <si>
    <t>Bekasi,KPonline- Anggota Komisi IX DPR RI Obon Tabroni angkat suara terkait rencana pemerintah dalam hal ini Kementerian Kesehatan (Kemenkes) yang akan mengkarantina dua Warga Negara Indonesia (WNI) yang merupakan anak selengkapnya</t>
  </si>
  <si>
    <t>@ustadtengkuzul Emang iya @ustadtengkuzul kan kau pendukung utama isis,al qaeda,taliban dan hti 😂😂 Teroris itu ktmu bkn islam, tp congormu tdk mrh saat dia teriak takbir membunuh org dan kau malah menyebut mrk dgn mujahid. Otakmu pke @ustadtengkuzul 😞😞</t>
  </si>
  <si>
    <t>@TanYoana Hrsnye teroris isis yg dilarang msk..nih cthnye</t>
  </si>
  <si>
    <t>@ghndrdff Media anjing 2 wni kena jadi postponed semua anjing media ngentot</t>
  </si>
  <si>
    <t>RT @didie_soeharto: @WartawanPensiun @AfifFuadS @jatmikoWwidodo Msyarakat yg waras bingung,keadaan di Nkri aja susah dikendalikan,mau ditmbah anak2 isis? Ambyar</t>
  </si>
  <si>
    <t>Tinggal 5 tahun di negala lain tanpa alasan, bisa dipecat jadi WNI. Halo, kamu yang meninggalkanku tanpa alasan..#daretoshare</t>
  </si>
  <si>
    <t>Dapat member mcm hawau ni another level of pain do🤟🏻😭</t>
  </si>
  <si>
    <t>RT @P_Eneste: @AfifFuadS Mulai unjuk gigi scr terang2an...... @prabowo @mohmahfudmd Presiden @jokowi @DPR_RI Bukankah kondisi seperti ini terjadi di Irak, Syria, 2 atau 3 tahun sblm ISIS memulai terornya??? Masih belum juga ditertibkan ormas yg jd sponsor? Masih mau pulangkan anak ISIS eks WNI?</t>
  </si>
  <si>
    <t>Panglima Kogasgabpad : 68 WNI Eks ABK MV. Diamond Princess Dipindahkan ke Pulau Sebaru Kecil -</t>
  </si>
  <si>
    <t>Klarifikasi langsung dari Dubes RI untuk Saudi Arabia. Bapak Agus Maftuh tentang berita UMROH DTANGGUHKAN SELAMA THN 2020 itu 👉HOAX Dan terjadi pengusiran WNI juga 👉 HOAX #CoronaVirusSA #منظر_الحرم #مكة_المكرمة #CoronaAlert</t>
  </si>
  <si>
    <t>RT @wartapoLitik: BANTAH Framing BuzzeRp, Warganet: 4 WNI Terjangkit Corona di Jepang Sembuh BUKAN karena Kinerja Jokowi!</t>
  </si>
  <si>
    <t>@gwstouchit @jin6oI Ariana ISIS member</t>
  </si>
  <si>
    <t>RT @AlexanderOscar5: Awas ISIS masih BERGENTAYANGAN 🇮🇩😡🇮🇩</t>
  </si>
  <si>
    <t>@rameshp585 @yogendranathti1 @RanaAyyub Ramesh Bhai yeh baaten Islam ka Naam Badnaam karny Waaly TTP, ISIS aur Bohat so ke khilaaf bhi hai jisko Israeli, Indian RAW, NDS Afghani, USA CIA support aur Funding karti hai! Any Religion doesn't teach Anti Human,Genocidal,Fascist Extremism,Terrorism except Hindutva,Zionist!</t>
  </si>
  <si>
    <t>@EKMotoyomoto @CNNIndonesia Kalau sudah berstatus „WNI“ dan punya „KTP“, apakah pantas „mereka“ disebut sebagai „Pendatang“? Memangnya di 34 provinsi di Indonesia sudah memberlakukan „Paspor“ atau „Visa“ bagi mereka atau bagaimana? 🤔</t>
  </si>
  <si>
    <t>RT @SondoroMusic: Untuk kita semua WNI yang cinta dan bangga akan NKRI 💪😊❤ #nusantara #irsoekarno #bungkarno</t>
  </si>
  <si>
    <t>RT @rob_love234: @BennyHarmanID Skrg sdg nge trend Issu ISIS sebagai alat pembelokan korupsi dan stlh selesai buat isu lagi biar kasus korupsi tenggelam ! Pola kerjanya sdh kebaca</t>
  </si>
  <si>
    <t>pada ribut NU - Muhammadiyah . inget hey, rujukan beragama itu tetep 1, Rasul. ngapa di kotak2 in sih? ga tau emg bahayanya fanatik kelompok? klean yg pada ribut, setuju kan ISIS itu sesat? kalau kalian fanatik kelompok terus, apa bedanya klean sama mereka?</t>
  </si>
  <si>
    <t>Merdeka bukan hanya lepas dari tangan penjajah, tapi lepas dari tangan jahil yg merampas hak kita sebagai WNI."</t>
  </si>
  <si>
    <t>Pertanyaan kedua, UU ITE berlaku untuk seluruh WNI (regardless mereka sekarang sedang tinggal dimana) atau yang berdomisili di Indonesia (regardless kewarganegaraannya)?</t>
  </si>
  <si>
    <t>RT @hum_initiative: Sahabat Inisiator, Senin lalu Presiden Joko Widodo mengumumkan bahwa terdapat 2 orang WNI positif terjangkit virus #corona.</t>
  </si>
  <si>
    <t>@detikcom @detikfood Merekalah yg lebih layak dibantu olh pemerintah daripada mengurusi anak-anak eks WNI ISIS cc @jokowi @muhadjir_ef @kemenkopmk @KemensosRI @mohmahfudmd</t>
  </si>
  <si>
    <t>RT @BirgaldoS: Ini Tentang Jenni Gadis kecil Papua yang belajar menulis di bawah lampu jalan sambil menemani ibunya jualan di trotoar jalan. Jenni bukan anak ISIS. Tapi nasibnya mengenaskan.</t>
  </si>
  <si>
    <t>Mimin mau ajakin kalian buat ngobrol langsung sama salah satu WNI yang pernah menjalani masa karantina di Natuna akibat wabah Corona di Wuhan. Buat GanSis yang ingin bertanya atau pun berdiskusi langsung aja pantengin Live Thread nya jam 2 Siang ini!</t>
  </si>
  <si>
    <t>@_taurusmoon kmrn bukan larangan warloknya ya?wni nya boleh?ini semuanya apa gimana sih?temen w nyaris...............</t>
  </si>
  <si>
    <t>Pasien Baru di RSPI Pernah Kontak Langsung dengan WNI Positif Corona</t>
  </si>
  <si>
    <t>Yaallah hyungwon yahudi memegang merch isis RT @chaesterias: YA ALLAH KOK ADA SIH ORANG BAGUS BANGET</t>
  </si>
  <si>
    <t>@NathPribady Sebulan gak bayar juga udah dikatakan non aktif sih. Tapi sepemahamanku, mohon koreksi kalau salah, BPJS ini mengikat semua WNI. Jadi nantinya ada konsekuensi kalau gak ikut BPJS. Beberapa bln lalu sempet ada wacana bikin sim/stnk/imb dipersulit sih.</t>
  </si>
  <si>
    <t>New post (Dua WNI Positif Virus Korona, DPR: Masyarakat Tidak Usah Panik) has been published on Dakwah Online -</t>
  </si>
  <si>
    <t>@TanYoana Yg di Bali aja pd perpanjang tinggal lm lm jd wni😏</t>
  </si>
  <si>
    <t>Sahabat Inisiator, Senin lalu Presiden Joko Widodo mengumumkan bahwa terdapat 2 orang WNI positif terjangkit virus #corona.</t>
  </si>
  <si>
    <t>Kita nyadar kalo tingkat literasi kurang, tapi dengan mengatakan bahwa seluruh WNI adalah idiot adalah penghinaan bagi seluruh masyarakat. Terutama anda tinggal di Belanda, jangan seenaknya merendahkan bangsamu sendiri. Kalau masih ingat rumah silahkan pulang.</t>
  </si>
  <si>
    <t>Jadi semalam di grup WhatsApp, kita cuma lagi nge jokes soal Ole (pelatih MU) lebih berbahaya dari virus Corona. Nah, orang ini (WNI di Belanda) gatau angin dari mana ngomong idiot dan bermacam penyakit mental lainnya. DAN MENEKANKAN BAHWA SELURUH WARGA INDONESIA ADALAH IDIOT.</t>
  </si>
  <si>
    <t>@VILLANBOS @rnjnrajiv @Ahsank503 @aajtak Han usne isis, al quida, taliban or asmani book padh li</t>
  </si>
  <si>
    <t>RT @riyadh_kbri: Himbauan kepada WNI di Arab Saudi untuk sementara TIDAK melakukan perjalanan ke Mekkah dan Madinah, menindaklanjuti edaran yg dikeluarkan Kementerian Dalam Negeri Kerajaan Arab Saudi @Kemlu_RI @Kemenag_RI @KemensetnegRI #NegaraMelindungi</t>
  </si>
  <si>
    <t>Saya sendiri yakin bahwa khilafah bukan bagian ajaran Islam. Setidaknya, tidak ada bentuk baku yang diajarkan dalam Islam. Terbentuknya negara-negara modern saat ini adalah bentuk khilafah yang disepakati. Jadi, tak harus seperti yang HTI atau ISIS suarakan.</t>
  </si>
  <si>
    <t>Imbas virus corona, KBRI Riyadh imbau WNI di Arab tak bepergian ke Madinah dan Mekkah  #VirusCorona</t>
  </si>
  <si>
    <t>@isis_macedo10 Ngn teve pena de Bia ,mais isso ngn merece</t>
  </si>
  <si>
    <t>Maksudnya china yg udah wni itu diusir juga kali bro @eko_kuntadhi Karena larangan untuk pengunjung dari wn china udh keluar bulan lalu. RT @eko_kuntadhi: Jangan dibully. Kasian...</t>
  </si>
  <si>
    <t>#LongMarch China memulih namun Dunia masih tutup pintu, Dan itu menjelaskan kenapa Indonesia Batasi Akses Masuk WNI / WNA dari Korsel, Italy, Iran China diatur dalam regulasi sebelumnya, namun tampaknya segera dibuka kembali Lebaran Indo-China 🌐</t>
  </si>
  <si>
    <t>New post (Rumah WNI Positif Corona Digaris Polisi, Kemenkes: Emangnya Virus Tahu itu Garis?) has been published on Dakwah Online -</t>
  </si>
  <si>
    <t>68 WNI kru kapal pesiar Diamond Princess tiba di Pulau Sebaru Kecil untuk proses observasi virus corona #coronavirus #VirusCorona #PulauSebaru #DiamondPrincess #JumatBerkah</t>
  </si>
  <si>
    <t>@Silkptr8 Nyata kalau orang tersebut keluar terus terpapar daerah yang ada coronannya. Makanya indonesia baru mengatakan 2 orang wni kena virus ini soalnya dia habis berpergian ke luar terus hasil ceknya ya seperti yang didiagnosis dokter.</t>
  </si>
  <si>
    <t>Dali Kebumen ke Bekasi buat kelja. Dapet suami, ajak hijlah ke Suliah. Di Suliah melahilkan anak tapi suami meninggal. Apa lasanya jadi kamu tuh, Mbak?</t>
  </si>
  <si>
    <t>@tvOneNews media lu ini miskin banget literasi, dah kek media abal2 yg click bait "CORONA MASUK INDONESIA" apa ga ada judul lain gitu ? evakuasi 68 WNI kek apa kek, judulnya kek pengen banget diomongin</t>
  </si>
  <si>
    <t>RT @kompascom: KBRI Riyadh imbau WNI di Arab Saudi untuk sementara waktu tidak melakukan perjalanan ke Kota Mekkah dan Madinah.</t>
  </si>
  <si>
    <t>Coronavirus: KBRI Ankara minta WNI tetap tenang</t>
  </si>
  <si>
    <t>Sebanyak 78 WNI Diamond Princess dipindah ke Pulau Sebaru Kecil untuk menjalani observasi selama 14 hari. Penurunan penumpang dilakukan kamis siang usai mundur tiga hari. DUL ⁣. #GTVNews #BuletiniNewsPagi #DiamondPrincess #Observasi #SebaruKecil #COVID19 #VirusKorona #Corona</t>
  </si>
  <si>
    <t>Humorku sebatas zizi jadi isis @pizapastasoso RT @OfficialMonstaX: [#MONSTA_X] #몬스타엑스 X #투턱곰 투턱곰 신상 인증샷 도착💌 투턱곰의 신상! 모두 확인하셨나요? '#몬스타엑스의투턱베베와의하루'도 놓치지말고 시청해주세요! @TWOTUCKGOM #MONSTAX #TWOTUCKGOM #KIHYUN #HYUNGWON #기현 #형원</t>
  </si>
  <si>
    <t>@bdulduldul Yng nyinyir adalah sebenernya orang bego. Dia nggatau kalau mayoritas di indonesia pake syafi'i. Dikasih hambali katanya ngga cocok. Dikasih maliki yang alfatihahnya ngga dikerasin katanya ISIS. Belom lagi kena rumus "yang tidak dilakukan nabi bidah"</t>
  </si>
  <si>
    <t>VIDEO: Dua WNI Dinyatakan Positif Corona, Ini Imbauan Jokowi</t>
  </si>
  <si>
    <t>@felwjy @ditjen_imigrasi Silakan mengisi formulir pendaftaran anak kewarganegaraan ganda di Kantor Imigrasi terkait, Akte kelahiran/Lapor lahir anak, KTP Orang Tua WNI, Paspor Orang Tua WNA, Kartu Keluarga, Paspor indonesia dan Paspor Asing anak jika ada, Surat nikah/Pelaporan pernikahan luar negeri.</t>
  </si>
  <si>
    <t>RT @tvOneNews: Setelah Presiden mengumumkan 2 WNI positif tertular virus corona, kecemasan seolah melanda masyarakat Indonesia. Seberapa luas penyebaran Corona di tanah air &amp; bagaimana penanggulangannya? Dua Sisi: Mampukah Indonesia Melawan Virus Corona? jam 21.00 WIB di tvOne. #DuaSisiCorona</t>
  </si>
  <si>
    <t>lw muslimnya kayak kamu ogah bela,, isis no temanmu dan kami suruh bela jadi musuh mau lw gua RT @pakWali_: @gus55177350 Yg haram itu menyembah kuburan, fanatik ke kiyai, bela non muslim dr pada muslim sendiri. Udah lah ya, smg antum dapat hidayah.</t>
  </si>
  <si>
    <t>ijinkanlah, selama ga temenan sm isis dan teroris serta kaum intoleran RT @ustadtengkuzul: Satu hari nanti jika orang ini mati, kalian izinkan kah dia ini dikubur di areal pemakaman kaum muslimin di wilayah anda...?</t>
  </si>
  <si>
    <t>Dulu klo di tanya: kenapa sih suka bgt nontonin video bunuh bunuhan gitu? Aku cuma jawab: gatau, suka aja gitu. Enak liat na DAHAL MAH HOBII ASTAGA😭 ada kenikmatan sendiri liat org di bunuh bunuh gitu. Apalagi eksekusi ISIS😭💙</t>
  </si>
  <si>
    <t>@TirtoID WNI dari china dateng ke indonesia di isolasi WNA dari china dateng ke indonesia dibiarkan Sungguh lucu negeriku, orangya goblog goblog</t>
  </si>
  <si>
    <t>Sebanyak 68 WNI Anak Buah Kapal Diamond Princess dipindahkan dari KRI dr. Soeharso-990 ke Pulau Sebaru Kecil, Kepulauan Seribu, kemarin. Adapun satu orang WNI yang hasil tes darahnya masih meragukan akan dibawa menuju Jakarta guna penanganan yang lebih intensif.#MostUpdate1058</t>
  </si>
  <si>
    <t>@Cangkemaaannn Tangkep pulisi karena bisnis impor daging korban kekejaman ISIS</t>
  </si>
  <si>
    <t>@KBRITokyo terkait berita sertifikat sehat masuk indonesia. Apakah sudah ada release resmi atau prosedur untuk WNi di Jepang yg ingin pulang ke Indonesia?</t>
  </si>
  <si>
    <t>RT @MrsRachelIn: @AnakLolina Enak ikut jd pejuang isis ya? diperhatikan pemrintah disiapin sgl sesuatunya' di dlm negri mau kelaparan ato ga sekolah ga ada yg peduli .. semoga sukses misi pemulangannya ya bapak2 pejabat yg terhornat .. siap2 Indonesia bubar 2030</t>
  </si>
  <si>
    <t>Akibat positifnya dua orang WNI yang terkena virus corona, berimbas kepada beberapa sektor salah satunya sepak bola. . #LIGA1 #corona</t>
  </si>
  <si>
    <t>@Puteriswift_ Tp lepas kau kena bahan ngan aku dulu la. HAHAHAHA🤪</t>
  </si>
  <si>
    <t>Pemerintah Terus Pantau Kondisi WNI yang Berada di Diamond Princess #LawanHoaxVirusCorona #VirusCorona #IndonesiaMaju</t>
  </si>
  <si>
    <t>@natsumiaya Biar isis mbaknya</t>
  </si>
  <si>
    <t>@ulil Apa termasuk konteks memulangkan "pegawai ISIS" Ke Indonesia hehehe... Perlu ditebus</t>
  </si>
  <si>
    <t>RT @Koarmada2SBY: KRI dr. Soeharso-990 Berhasil Evakuasi WNI Kru Diamond Princess Ke Pulau Sebaru</t>
  </si>
  <si>
    <t>RT @AkmalAbdRazak_: *Pickup line results spm untuk crush* B: you ohh you hmm results spm you dapat berapa? G: ye you ,hmmm i malu laa , you dulu la B: hmm i dapat dapat 7A 1B 1C G: wah tahniah hmm 1B 1C tu apa? B: 'B' mine &amp; 'C' you in pelamin.</t>
  </si>
  <si>
    <t>@Puteriswift_ Okay demi kau. Bahan aku🤟🏻</t>
  </si>
  <si>
    <t>@_wni_ Aku nak bahan jugak 😔✊🏻</t>
  </si>
  <si>
    <t>@Puteriswift_ Allah. Aku pitam je ngekkkkk</t>
  </si>
  <si>
    <t>KBRI Imbau WNI di Arab Saudi Tak Datangi Mekkah dan Madinah, Bantah Penangguhan Umrah Selama 1 Tahun</t>
  </si>
  <si>
    <t>@_wni_ HAAHAHHAHAHHA ATLEAST TAK PENGSAN HSHSHAHAHSHJA</t>
  </si>
  <si>
    <t>RT @JagoTrace: #Radikalisme + Kekuasaan= Selangkangan = ISIS Beragamalah dgn akal jgn tiru mrk #TolakRadikalisme  @zlametabidin @Hanifah933 @RD_4WR1212 @YoyokSubandriy3 @Klelur028 @Santoso26166908 @al_nghothot @KadrunHunter99 @SnolinkW @Emmy8412</t>
  </si>
  <si>
    <t>@jokowi ISIS sudah terbukti ganas nya di suriah...tolong jangan tambah takut kami dengan impor anak anak ISIS...</t>
  </si>
  <si>
    <t>@NRenny1778 @dawiguna Mau tau radikal,,tau isis??tau apa yg diajarkan isis?ajaran isis mengkafirkan sesama muslim,mensyirikan sesama muslim,menghalalkan darah sesama muslim,membidah'ah kan kegiatan muslim,,bukankah itu yg diajarkan guru mualap anda??😂ga usah malu untuk mengakuinnya🤭🤭</t>
  </si>
  <si>
    <t>Politisasi Corona (1) Sejak dua orang WNI terdeteksi Corona, Indonesia mulai "agak gempar", terlebih di daerah kota yg mobilitasnya 24 jam, orang2 memborong masker dan hand sanitizer, dan sampai hari ini saya belum punya, stok habis katanya.</t>
  </si>
  <si>
    <t>@_wni_ Aku minum air sampai dah tak larat sia pergi tandas. Tak sihat jugak 😭😭✊🏻</t>
  </si>
  <si>
    <t>Oouww... Ada dana besar dari AS untuk berantas Teroris ehhh tiba tiba merebak teroris...dana cair. Ada dana besar buat lawan ISIS....ehhh ada ISIS nongol...dana dapat Ada Dana besar IMF untuk Corona ..ehhh ..boleh juga nih . Di negeri Hayalan. RT @NdonTwit: Pantes ada duitnya IMF Siapkan Rp 700 Triliun Dana Pinjaman untuk Penanganan Virus Corona</t>
  </si>
  <si>
    <t>Hai Sobat Tele Ring.... Semenjak ada WNI di Indonesia yang positive terinfeksi Virus Conora, masyarakat banyak yang panik untuk mencari masker. Bahkan dimanfaatkan oleh oknum penjual masker dengan menaikan harga…</t>
  </si>
  <si>
    <t>t chrm p wni fl lk ts</t>
  </si>
  <si>
    <t>Gelandang Persija Jakarta Selangkah Lagi Jadi WNI, Marc Klok: Saya Sabar Menunggu,  [ADS] Dapatkan cashback reksadana dari Bibit senilai Rp50.000. Masukkan kode referral ini saat pendaftaran: bonusdaftar</t>
  </si>
  <si>
    <t>RT @GerryS: @arieparikesit @dirgarambe WNI pulang kena quarantine palingan kalo pulang dari: 1. Iran: Tehran, Qom, Gilan 2. Italy: Lombardy, Veneto, Emilio Romagna, Marche, Piedmont 3. S.Korea: Daegu and Gyeongsangbuk-do 4. Cina: Hubei (and rest of China).</t>
  </si>
  <si>
    <t>@Aguswahyono72 @JOINLampung @yush_abubakar @Vinesulaimanre1 @TheArieAir @CahJowoSemarang @WR_4AG226 @4Y4NKZ @polsekkalirejo Cc @jokowi @mohmahfudmd ..masih mau impor lagi dari ISIS pak.....@BNPTRI ..</t>
  </si>
  <si>
    <t>Bayangkan kalau Malaysia berdepan dengan ancaman ISIS, kebetulan PAS bentuk kerajaan pintu belakang... Takkan nak Menteri Pertahanan ikut sekali letak jawatan? Bukankah itu gila? Samalah dalam keadaan sekarang, memang mereng pi lepas jawatan waktu wabak meliar.</t>
  </si>
  <si>
    <t>Billboard besar di Irak bertuliskan: "Kaum Nasrani Irak tidak akan melupakan keagungan dan kemuliaan 2 Sosok Syahid mulia ini yang telah membebaskan wilayah mereka dari teroris ISIS" Semoga sobat ana di Indonesia @KatolikG @Protesgarislucu ga menganggap pahlawan kami teroris.🙊</t>
  </si>
  <si>
    <t>RT @MuhammadiyunGN: @mas__piyuuu Embargo itu bukan untuk tujuan pelemahan Qatar karena ekonomi Qatar itu kuat mandiri (MBS) Embargo itu bertujuan untuk menyudahi penghianat an Qatar karena mereka selalu membuka pintu bagi syiah dan khawarij(ikhwan, isis, dll) utk menusuk negara Teluk terkhusus Saudi dr belakang</t>
  </si>
  <si>
    <t>Karenanya, pernyataan FPI dan organisasi-organisasi serupa yang memberikan dukungan pada ISIS bisa dikategorikan sebagai hal yang berbahaya</t>
  </si>
  <si>
    <t>@jokowi saya baru tahu corona positif dari warga jepang, bagaimana bila bapak juga menelusuri informasi warga china soal corona, in sgt menghawatirkan keselamatan WNI</t>
  </si>
  <si>
    <t>@SUNARIYANTO1 @Raka_HI12 @AsepWij46498660 @FelipeSwanstAU @ILCtv1 @ilc Ngomong jgn kasar,saya TDK suka HTI,Krn ingin mengganti Dasar Negara dan mengganti dgn Khilafah. Kurang apa Islamnya di timur tengah ,ngak ada yg mendirikan khilafah,yg ada konflik hancur babak belur dan berkonflik . Oh ormas yg ngaku saudara dgn ISIS siapa ya(Googling ya)...</t>
  </si>
  <si>
    <t>RT @2024ErickThohir: @RockyBurung @Fahrihamzah Nanggung amat kau @Fahrihamzah sekalian kemanusiaan yang adil dan beradab buat orang ISIS ttd Mbang GULA</t>
  </si>
  <si>
    <t>@detikcom @detikfood Kayak gini yg seharusnya dibantu pemerintah Pak @mohmahfudmd @jokowi , bukan nya malah jemput anak ex Kombat ISIS.</t>
  </si>
  <si>
    <t>@TimkoT_official Tambahin min , Wahabi dan HTI, serta isis juga mungkin tetap di waspadai, bukan gak munhkin ke depan akan semakin menjadi masalah baru.🙏🙏</t>
  </si>
  <si>
    <t>@caknanto Dipundak mereka anak anak muda Muhammadiyah dan NU,,negara jaya,,ayo gelorakan persatuan Indonesia NKRI Pancasila bhinneka tunggal Ika lawan inteloransi,, HTI ISIS,,koruptor,,teroris...Takbir....👆</t>
  </si>
  <si>
    <t>Tipe cowok tuh memang cuma dua. Kalau gak blengsek, ya ngajak istlinya ikut gabung ISIS.</t>
  </si>
  <si>
    <t>Alhamdulillah..thank you @JapanGov dan para dokter2 Jepang yg sudah berjuang keras menyembuhkan. Arigatou Gozaimash...thank you Cc @BamsBulaksumur</t>
  </si>
  <si>
    <t>@arta_silalahi @Upidclxvi_ @qorygore Sedih bgt lihat banyak WNI seperti ini.</t>
  </si>
  <si>
    <t>68 WNI ABK Diamond Princess Dipindahkan ke Pulau Sebaru Kecil, Begini Penampakannya</t>
  </si>
  <si>
    <t>68 WNI Eks ABK MV. Diamond Princess Dipindahkan ke Pulau Sebaru Kecil. Ini Kata Panglima Kogasgabpad – JPNEWS</t>
  </si>
  <si>
    <t>Pak @jokowi anak2 NKRI iniloh yg lebih tepat dibantu, bukan anak ISIS eks WNI. Tolong mas @Chilli_Pari dan @kaesangp disampaikan ke bapak. cc Pak @mohmahfudmd RT @detikcom: Walau hidup dalam kekurangan masih banyak anak yang semangat mencari ilmu. Demi biayai sekolah mereka rela berjualan makanan tanpa lelah. Berikut kisah mereka yang inspiratif: #KisahInspiratif via @detikfood</t>
  </si>
  <si>
    <t>HDI Donasikan 200 Box Propoelix untuk WNI yang Dikarantina -  - Suara Merdeka CyberNews: HDI Donasikan 200 Box Propoelix untuk WNI yang Dikarantina -  Suara Merdeka CyberNews</t>
  </si>
  <si>
    <t>@Indonesianews15 Sabar aja dulu. Sekarang prioritas untuk menangani anak2 ex Kombatan isis yg mau diimport.</t>
  </si>
  <si>
    <t>@AnakLolina Pembela agama Alloh kok menelan ludah sendiri..berani bakar visa wni kok nangis2 minta masuk jadi wni lagi...Agama Alloh itu Mulia dan diajarkan pakai cara2 mulia..tidak mudah mengkafirkan muslim lain..</t>
  </si>
  <si>
    <t>Indonesia. Apakah pantas WNI menjustifi bahwa orang di Indonesia banyak yang tolol hanya karena dia tinggal di Belanda ? #IndonesiaTidakTolol #ShameOnRioalexchoky Retweet jika setuju Indonesia tidak tolol</t>
  </si>
  <si>
    <t>@ISIS_Balik_NO @not_kirei @KompasTV @umaleao Padahal teman sy tsb berpendidikan dan bekerja di sebuah lembaga donor. Dlm bekerja, cukup profesional, cakap dan fokus. Intinya, klo melihat profilnya kayak ga nyambung dia punya mindset seperti itu.</t>
  </si>
  <si>
    <t>@Shandy0892 @_imamprasetyo @AdityaWisnu @IdaMunfarida5 @Lukman_HARP Begini neeh klo sok tau tp bego. Ente tunjukin skrg negara2 Islam yg berlakukan jizyah. Plg Talibam sm ISIS doang. Tp zakat ttp diberlakukan karna itu kewajiban penganut agama Islam. Bkn penganut ya gk ada kewajiban. Masing2 dgn kewajiban agamanya sendiri2.</t>
  </si>
  <si>
    <t>@HmfaqihA Setiap WNI wajib patuh hukum tanpa kecuali, bahkan presiden akan patuh pada hukum karna hukum adalah panglima tertinggi kedua setelah Allah</t>
  </si>
  <si>
    <t>RT @kak_wew: @ErindaSofi @jokowi Menteri ny sdg noto sprei, bantal, selimut hangat ntuk ex wni isis</t>
  </si>
  <si>
    <t>@ErindaSofi @jokowi Menteri ny sdg noto sprei, bantal, selimut hangat ntuk ex wni isis</t>
  </si>
  <si>
    <t>Cocok lurrr? . Menteri Luar Negeri, Retno Marsudi telah mengumumkan untuk membatasi akses kedatangan WNA dan WNI dari negara terdampak virus corona, seperti Iran, Italia, dan Korea Selatan. _ Aturan tersebut berlaku…</t>
  </si>
  <si>
    <t>@EndjahH @SantriPasir Sebetulnya sdrhana,,NU dan Muhammadiyah gelorakan persatuan Indonesia,,NKRI,, Pancasila,, bhinneka tunggal Ika,,lawan teroris,, koruptor,,ISIS,,radikal,,krna mereka mayoritas,,Monggo PBNU dan PP Muhammadiyah,,demi NKRI.</t>
  </si>
  <si>
    <t>Nah! Mending uang yg rencananya bakal dialokasikan buat anak2 ISIS, diberikan kepada anak2 Indonesia yang berprestasi seperti mereka Pak @jokowi jaauuuhhhhh lebih bermanfaat untuk bangsa!!! RT @kompascom: Mereka akan berangkat ke AS pada Mei 2020, namun sempat terancam gagal lantaran tidak ada sponsor. Mereka sempat buka donasi secara online.</t>
  </si>
  <si>
    <t>@Kafir_GL Dan saya pingin pengurus yg diatas baik PBNU dan PP Muhammadiyah,,terus menggelorakan persatuan Indonesia, NKRI....,tolak khilafah,,koruptor,,teroris,, HTI,,ISIS..ayo ditunggu..wani pora...</t>
  </si>
  <si>
    <t>#IndonediaTidakTolol #ShameOnRioalexchoky @rioalexchoky WNI yang tinggal di 🇳🇱 menyebut banyak orang di Indonesia tolol hanya karena tidak suka Ole Gunnar disamakan dengan Virus Corona</t>
  </si>
  <si>
    <t>RT @HendroP90921707: @D4tuk_T4mburin China? dia sudah otomatis jadi WNI, bebas keluar masuk kayakx</t>
  </si>
  <si>
    <t>RT @fadjroeL: #MariMencegahCovid19 ini cara-cara menghormati dalam budaya Indonesia untuk mencegah Covid19. Alhamdulillah WNI kasus 1 &amp; kasus 2 sudah mulai membaik. Mari bergotongroyong membangun #SolidaritasKemanusiaanMelawanKorona seluruh rakyat Indonesia ~ #Jubir #BungJubir @JubirPresidenRI</t>
  </si>
  <si>
    <t>@mochamadarip isis trojan horse.......dan yg bawa masuk pemerintah sendiri</t>
  </si>
  <si>
    <t>@Puteriswift_ Banyak minum air wey. Cuaca pun on off je skrg</t>
  </si>
  <si>
    <t>@alonkii Denger2 sekarang aktif di isis?</t>
  </si>
  <si>
    <t>RT @PaijoAryanto__: @ErindaSofi @jokowi bagi pak @Jokowi dan team kerja, lebih penting anak ISIS drpd Rakyat Indonesia. miris kan ya punya presiden yg tak punya pendirian..?</t>
  </si>
  <si>
    <t>Aku mah ISIS</t>
  </si>
  <si>
    <t>Hyungwon isis</t>
  </si>
  <si>
    <t>RT @mimiweeka: Jauh di Jepang dekat di mata , setidaknya kami tau dirimu khususnya kerabat WNI di Jepang baik2 saja ( ga pake masker ) ALHAMDULILLAH</t>
  </si>
  <si>
    <t>@_wni_ Hahahah aku on off lah sakit ni. Macam demam pastu sakit tekak</t>
  </si>
  <si>
    <t>Jauh di Jepang dekat di mata , setidaknya kami tau dirimu khususnya kerabat WNI di Jepang baik2 saja ( ga pake masker ) ALHAMDULILLAH</t>
  </si>
  <si>
    <t>@Puteriswift_ Kau kenapa😭😭</t>
  </si>
  <si>
    <t>RT @kjrijohorbahru: KJRI Johor Bahru pada Senin (2/3) telah menangani, menyelesaikan kasus dan memulangkan 10 WNI/ABK di kapal Cahaya Abadi berbendera Indonesia yang mengalami kerusakan mesin dan kebocoran.</t>
  </si>
  <si>
    <t>aku denger udah ada WNI yg kena virus corona,jadi aku bikin thread ini buat antisipasi kalian</t>
  </si>
  <si>
    <t>RT @kjrijohorbahru: WNI/ABK tersebut telah dibantu pemulangannya dari pelabuhan ferry Stulang Laut, Johor, menuju Pelabuhan Batam dengan kapal ferry Marine Hawk II, pada Senin (2/3) berangkat pukul 18:30 WS. Mereka bertempat tinggal di Batam. #IniDiplomasi #NegaraMelindungi</t>
  </si>
  <si>
    <t>@AlainSchmidt4 @Aprilaza3 @WagimanDeep__ @ganjarpranowo @PitherYan @HD52766966 @sate_bekicot @NadNad191 @Tattyandra @FTanjung007 @Randall_Rain @edikadina02 @nnyzhuxin @AdigunaAtmaja @bendoganteng @babegalak1 @Abby_Budiyono97 @Sofy_Beeeeee Sedangkan anak pengkhianat isis mo dipelihara oleh negara, betul ga @mohmahfudmd ? Kebijakan yang ga bener dan ga baik..</t>
  </si>
  <si>
    <t>RT @Kiyai_MarufAmin: Pertama, pemerintah memperketat masuknya warga negara asing (WNA) maupun warga negara Indonesia (WNI) yang keluar masuk wilayah Indonesia, baik melalui darat, udara, dan laut. Hal itu dilakukan dengan pengawasan ketat melalui pemeriksaan di pintu masuk Indonesia.</t>
  </si>
  <si>
    <t>RT @amzarramza002: Video MOH Arab Saudi nak senang faham penularan Covid19</t>
  </si>
  <si>
    <t>@tempodotco Ceng dana-sby-jk-fks-gerindong-fpie-hti-isis-bang jafra.dsb.. Sdh siap buat 200024. Pake si SARA lagi. Sopo yg wani lawan???. Takebeer</t>
  </si>
  <si>
    <t>@salduttt rek jd isis ?</t>
  </si>
  <si>
    <t>WNI yang telah melaksanakan observasi di Natuna tetap dilakukan pengawasan untuk mengoptimalkan upaya penanganan Coronavirus disease (Covid-19)</t>
  </si>
  <si>
    <t>RT @RockyBurung: @KomnasHAM kakian hubung2kan dg Islamphobia; padahal banyak yang bilang ISIS bukan Islam siapa yang TOLOL ttd Dahnil Jabalekat</t>
  </si>
  <si>
    <t>@upilupiin Aela bukan pengikut isis😭</t>
  </si>
  <si>
    <t>RT @SugandiAwan: @Penerawang_09 Ktpnya wni bang mau pulangin ke mana hadeh</t>
  </si>
  <si>
    <t>@Sontolo29062151 @ISIS_Balik_NO @SammiSoh @CeciliaSuwanda1 Sing di keruk kali yang mana aja bos Coba minta link nya</t>
  </si>
  <si>
    <t>@KompasTV Masih mending cuma tertipu rumah, banyak kok yang tertipu ideologi khilafah model isis dan Ha Te i, itu lebih menyedihkan</t>
  </si>
  <si>
    <t>Tolong aku kaget Kimi nge-tweet pake bahasa Indonesia aku kira dia WNA dong bukan WNI :") maapkan daku Kimi.. 😬 RT @__minttin: fanartis. kadang gambarnya mirip, karena memang menggambar hal yg sama. mungkin hanya stylenya yg beda. maksutku ni ... ada baiknya ketika ada translator lain keliru jangan dihujat atau ditertawakan. coba dibenerin atau dibantu ..</t>
  </si>
  <si>
    <t>RT @mimiweeka: Jauh di Jepang dekat di mata , setidaknya kami tau dirimu dan Khususnya kerabat WNI di Jepang baik2 Saja ( ga pake masker )</t>
  </si>
  <si>
    <t>Jauh di Jepang dekat di mata , setidaknya kami tau dirimu dan Khususnya kerabat WNI di Jepang baik2 Saja ( ga pake masker ) RT @mimiweeka:</t>
  </si>
  <si>
    <t>@syafrinkar @msaid_didu Kalau berita ini benar WNI harus lebih waspada penyebaran virus</t>
  </si>
  <si>
    <t>@BSastranegara Oh ya banyak..!!! Banyak sekaleee... WNI ket. Yahudi di NKRI ya sangat banyak sekali, tersebar dari Sabang sampai Merauke, meski mereka saat ini menganut agama Katolik, Islam, Kristen atau bahkan Judaisme sekalipun, tapi mereka akan selalu bangga dengan ras'nya.</t>
  </si>
  <si>
    <t>Al-Zarqawi, Maha Guru ISIS dari Al-Qaedah (Bagian VII)</t>
  </si>
  <si>
    <t>Pemindahan 68 WNI ABK Diamond Princess ke Pulau Sebaru Kecil Berjalan Lancar</t>
  </si>
  <si>
    <t>8. Sementara, bagi WNI, yang sempat atau telah melakukan perjalanan dari tiga negara tersebut, utamanya di wilayah-wilayah yang dinyatakan diatas, akan dilakukan pemeriksaan kesehatan tambahan di bandara ketibaan #AngkieYudistia #JubirPresidenbidSosial</t>
  </si>
  <si>
    <t>@FerdinandHaean2 @DPR_RI Wah aneh2.aja bukankah pemakzulan presiden sdh jelas.prosedurnya kenapa kok ngebet mau gantikan tunggu dong 2024 kompetisi yg fair.jangan main jegal dan jagal ya,entah jika sdh jadi anaknya ISIS .</t>
  </si>
  <si>
    <t>@JoelFernando_13 Pir il miminti @jiinpiDizRinc qidi cincilidi 😒 Isis sin imigis 💔</t>
  </si>
  <si>
    <t>@ErindaSofi @jokowi bagi pak @Jokowi dan team kerja, lebih penting anak ISIS drpd Rakyat Indonesia. miris kan ya punya presiden yg tak punya pendirian..?</t>
  </si>
  <si>
    <t>@ReiMiechi99 @_Arrahim @detikcom Sebentar lagi anak anak teroris isis di bawa pulang oleh pemerintah makin banyak deh isis di indonesia 🤣🤣🤣</t>
  </si>
  <si>
    <t>Pendidikan kunci kemajuan. Akan tetapi tidak semua WNI bisa mengenyam pendidikan tinggi. Mari kita manfaatkan teknologi utk meningkatkan kualitas anak didik dan mahasiswa kita agar dunia pendidikan Indonesia semakin berkualitas</t>
  </si>
  <si>
    <t>RT @mediaindonesia: Anindia Afiyantari divonis penjara dua tahun karena mengeluarkan S$130 atau setara Rp1,3 juta yang disumbangkan kepada kelompok JAD.</t>
  </si>
  <si>
    <t>Pak @mohmahfudmd, apa buktinya mereka itu WNI ? Kenapa pemerintah memaksakan menyebut mereka WNI sedangkan mereka dengan sadar sudah membakar Paspornya ? RT @mochamadarip: Anak2 korban perang adalah mereka 'terperangkap' oleh keadaan. Anak2 ISIS, memang disiapkan untuk berperang. Anak2 ISIS secara sadar atau justru dialam bawah sadar, "ditanamkan kesadaran" untuk berperang. Indonesia sdh siap diperangi anak2 ISIS?</t>
  </si>
  <si>
    <t>Anindia Afiyantari divonis penjara dua tahun karena mengeluarkan S$130 atau setara Rp1,3 juta yang disumbangkan kepada kelompok JAD.</t>
  </si>
  <si>
    <t>@aryacokronegoro @MikeyAM97 @sandmanindo @yovie_myg @addamfarizi @jameshandaja @budy_marble Yup,negara2 ini sbnrnya travel tujuan utama WNI</t>
  </si>
  <si>
    <t>Kemarin aja yang di indonesia masih protes soal karantina wni yang jumlahnya gak sampe 300 di natuna, nah ini coba tempat bertemunya banyak orang dari satu bumi, apa gak khawatir pemerintahnya</t>
  </si>
  <si>
    <t>RT @kompascom: Menteri Kesehatan Terawan Agus Putranto menyebut dua orang warga negara Indonesia yang positif virus corona tinggal di wilayah Depok, Jawa Barat | #CoronaVirusUpdate #COVID19</t>
  </si>
  <si>
    <t>Kalimat ini mana nih yg mewakili kebebasan &amp; toleransi dalam memeluk agama sebagai WNI</t>
  </si>
  <si>
    <t>@nocturnalicious @detikcom Gerombolan khilafah gak mau disamain dengan ISIS. Padahal ISIS pakai konsep khilafah juga. Kata Kadrun2 ISIS itu bentukan AS. Beda sama Hizbut Tahrir. Emang Hizbut Tahrir bentukan siapa? Kantor pusatnya aja ada di London.</t>
  </si>
  <si>
    <t>RT @lodo_bengo: @mochamadarip Sebenarx menurut sy ya, setiap org yg tdk mau jd WNI dibiarin aja sekalipun itu satu rahim. Mengapa? Itu kan pilihannya utk merasa nyaman. Itu baru negara yg tegas lalu nyaman warganya. "Negara berdiri atas kesepakatan d kompromi bersama."</t>
  </si>
  <si>
    <t>@mochamadarip Lebih mengutamakan anak anak ISIS dibanding anak anak negri yang gigih bersekolah menyebrangi sungai ...tanpa infrastruktur yang memadai.</t>
  </si>
  <si>
    <t>@ISIS_Balik_NO @SammiSoh @CeciliaSuwanda1 Peninggalan raja babi</t>
  </si>
  <si>
    <t>@mochamadarip Sebenarx menurut sy ya, setiap org yg tdk mau jd WNI dibiarin aja sekalipun itu satu rahim. Mengapa? Itu kan pilihannya utk merasa nyaman. Itu baru negara yg tegas lalu nyaman warganya. "Negara berdiri atas kesepakatan d kompromi bersama."</t>
  </si>
  <si>
    <t>RT @04_adisetiawan: Tolak Eks ISIS Pulang, Said Aqil @saidaqil: Quran Perintahkan Nabi Usir Pembuat Gaduh Yth @PresidenRI Pak @jokowi @PolhukamRI Prof @mohmahfudmd @nu_online @AfifFuadS @TeddyGusnaidi @BadjaNuswantara @Hanifah933 @AnakKolong___ #tolakanakisiskembali</t>
  </si>
  <si>
    <t>@kangsemproel Mereka itu WNI : Warga Negara Istimewa... demikian sekilaf inpo 😂</t>
  </si>
  <si>
    <t>Contoh anak2 NKRI yg banyak tersebar dipelosok nusantara dan butuh sekali diayomi dan diurus pemerintah, Dimana pemerintah untuk ? ☹️ Malah anak2 kombatan ISIS yg diperhatikan. 😬</t>
  </si>
  <si>
    <t>@KontanNews pemeriksaan ketat jangan cuman sama WNI tapi juga sama WNA dari mana aja yang datang ke NKRI kudunya ⁉️</t>
  </si>
  <si>
    <t>Pedagang masker di Stasiun Bekasi diserbu pembeli dampak wabah virus corona yang menimpa 2 WNI positif Convid 19. #LiputanSonora by @j_sudiyana</t>
  </si>
  <si>
    <t>@NdonTwit Lalu bagaimana kabar 238 WNI dari WUHAN yg di Karantina 14 hari ???</t>
  </si>
  <si>
    <t>Padahal berita tersebut emang bener, kalo g percaya baca tuh di Web berita yg ada watermarknya di jelasin noh disitu kalo daftar orang yg kena suspect corona itu emang wni wuhan yg kmrn sempet di karantina di natuna, hoax nya dimana nyet?</t>
  </si>
  <si>
    <t>@Zulhaqie1 @TeddyGusnaidi Ngibul pakai bawa2 agama. Negara yg terbukti modern dan maju Sistem pemerintatahannya beragam tdk mutlak. Krn negara ada krn rakyatnya. ISIS sdh terbukti gagal. Ottoman sdh terbukti runtuh.</t>
  </si>
  <si>
    <t>@elisa_jkt Mungkin China sudah termasuk WNI. Atau negara ini masuk provinsi China.</t>
  </si>
  <si>
    <t>RT @privatelinny: A Sri Lankan princess 🥺</t>
  </si>
  <si>
    <t>WNI di Arab Diimbau Tidak ke Mekkah dan Madinah</t>
  </si>
  <si>
    <t>RT @Iuffy18: #PTM is #ISIS in Pakistan #NoMercyForTraitorPTM</t>
  </si>
  <si>
    <t>@belindch Itu kayanya deskripsi wni jepang yg kmrn kena krn ke amigos itu bukan ?</t>
  </si>
  <si>
    <t>RT @PakatDayak: Cc @Kemenag_RI dari pada kalian buang-buang waktu dan energi mikirin eks WNI Combatan ISIS... Kenapa tidak kalian pikirkan kami masyarakat Dayak yg hidup di tapal batas..? @WagimanDeep @permadiaktivis @Takviri @nadreaselta</t>
  </si>
  <si>
    <t>Beda jauh dgn kadrun, begitu bangganya mrk mendukung ISIS/HTI dgn kedok agama. #RakyatBersatuLawanCorona RT @detikcom: Seorang PRT asal Indonesia di Singapura dinyatakan bersalah mendukung ISIS dan mendanai terorisme. Dia divonis dua tahun penjara oleh pengadilan setempat. #TKI #PRT</t>
  </si>
  <si>
    <t>KRI dr Soeharso-990 Berhasil Evakuasi WNI Kru Diamond Princess ke Pulau Sebaru</t>
  </si>
  <si>
    <t>KRI dr Soeharso-990 Berhasil Evakuasi WNI Kru Diamond Princess ke Pulau Sebaru -</t>
  </si>
  <si>
    <t>Seperti kelompok belligerent and insurgency yang mengancam atau mengganggu stabilitas keamanan negara dan dunia internasional seperti : Terorisme Al Qaeda, ISIS, Boko Haram, dsb yang tergolong high politics issues karena membutuhkan penanganan militer dan law enforcement.</t>
  </si>
  <si>
    <t>RT @Kemenparekraf: Menteri Pariwisata dan Ekonomi Kreatif Wishnutama Kusubandio merespons kabar terbaru terkait dua WNI yang telah dinyatakan positif Corona. #WonderfulIndonesia #IndonesiaKreatif #DiIndonesiaAja</t>
  </si>
  <si>
    <t>@salahsambungya Termasuk juga eks WNI anggota ISIS ya...</t>
  </si>
  <si>
    <t>BANTAH Framing BuzzeRp, Warganet: 4 WNI Terjangkit Corona di Jepang Sembuh BUKAN karena Kinerja Jokowi!</t>
  </si>
  <si>
    <t>RT @GusNadjib: 6000 warga Yazidi terutama wanita dan anak yg diculik Isis  #PrayForYazidi</t>
  </si>
  <si>
    <t>Penyiapan sarana dan prasarana oleh Prajurit TNI dalam rangka evakuasi WNI dari kapal Diamond Princes Jepang untuk observasi di Pulau Sebaru.</t>
  </si>
  <si>
    <t>KBRI Ankara Imbau WNI Siap Antisipasi Cegah Covid-19</t>
  </si>
  <si>
    <t>Tugas Mulia Evakuasi WNI (ABK Diamond Princess) dari KRI Soeharso ke Pulau Sebaru.</t>
  </si>
  <si>
    <t>RT @wisanggeni_084: Anak² ini tidak seberuntung anak² dari Eks WNI jihadis ISIS yg dapat perhatian dari pemerintah... Mereka tidak dapat perhatian dari @KPAI_official dan Pemerintah, tetapi mereka sdh tunjukan betapa mereka mencintai negara ini. Cc: @mohmahfudmd @jokowi</t>
  </si>
  <si>
    <t>Bawa 69 WNI, KRI Dr Soeharso Tiba di Pulau Sebaru</t>
  </si>
  <si>
    <t>@syafrinkar @ChristWamea Karena rezim ini seolah ingin membunuh rakyatnya sendiri, diam" byk meloloskan ratusan org cina ke indonesia tanpa karantina dll. Jadi byk rakyat wni yg meninggal, si tkw cina bisa jadi penggantinya naudzubillah 😭 semoga saya salah !</t>
  </si>
  <si>
    <t>Silaturrahmi dengan PPMI Mesir dan Kekeluargaan Nusantara, Dubes RI Cairo Himbau WNI di Mesir Waspada Covid-19  #IniDiplomasi #IndonesianWay #NegaraMelindungi #DemiNKRI #Diplomacy4PeaceAndProsperity #KBRICairo</t>
  </si>
  <si>
    <t>RT @rqlabigail: Karena kemarin ada 1 WNI yang mengeluh batuk-batuk, ia tidak ikut karantina di Pulau Sebaru Kecil dan masih melakukan pemeriksaan lebih lanjut di Kapal. #PulauSebaru</t>
  </si>
  <si>
    <t>RT @rqlabigail: Setelah tiba di dermaga Pulau Sebaru Kecil, para WNI Kapal Pesiar Diamond Princess berkumpul di pintu masuk Pulau Sebaru Kecil. #PulauSebaru</t>
  </si>
  <si>
    <t>RT @rqlabigail: Ada beberapa WNI yang membawa koper lebih dari satu. #PulauSebaru</t>
  </si>
  <si>
    <t>RT @rqlabigail: Aku berharap semoga observasinya berjalan dengan lancar dan para WNI tetap sehat. Aminn #PulauSebaru</t>
  </si>
  <si>
    <t>RT @selfieituindah: Dari 69 WNI Kapal Pesiar Diamond Princess, ada 1 WNI yang belum bisa menjalani karantina di Pulau Sebaru Kecil karena masih melakukan pemeriksaan. #PulauSebaru</t>
  </si>
  <si>
    <t>@Yeremia99347104 @CCICPolri Hy krn KRISTEN &amp; KET.CHNS.... pdhal WNI loh😥</t>
  </si>
  <si>
    <t>Pemeriksaan ketat bagi WNI yang datang dari tiga negara, Korea, Iran dan Italia</t>
  </si>
  <si>
    <t>@DChaurasia2312 Bsdk Deepak lodasiya .... Kl Pankaj Gupta name Ka person BHI arrest hua h... Isis agent mai. Woo kya tera Damad thaa...</t>
  </si>
  <si>
    <t>@KRMTRoySuryo2 @Menlu_RI @Kemlu_RI Sama kayak kanker di payudara mas,trs yang di potong q malah dengkul nya kan lucu n goblok.ini membuat masy yakin pasti kita tkt sama china.apa kbr tka China di Sulawesi n Kalimantan masak kgk ada positif Corona.yg positif hanya 2 itupun wni kgk msk akal</t>
  </si>
  <si>
    <t>@Sir__md Thoh "kunu shinkafa" kaga wni Zaagaye fa</t>
  </si>
  <si>
    <t>Yuk tonton video India Minta WNI Tak Termakan Hoaks Kerusuhan Hindu-Muslim di channel Youtube kami. Untuk menuju ke videonya silahkan klik link 👉  Jangan lupa, tekan tombol like dan subscribenya juga yah guys.</t>
  </si>
  <si>
    <t>RT @KompasTV: Dinkes Bali Umumkan Hasil Lab WNI yang Kontak dengan WNA Jepang, Ini Isinya</t>
  </si>
  <si>
    <t>Aseng sll diistimewakan #RezimRente . Warganegara asal bbrp negara asia yg bkn asal usul #coronavirus tdk boleh masuk; justru warganegara biangnya virus mematikan itu bebas masuk. Apakah ada upaya binasakan WNI? Slamat pagi wankawan.</t>
  </si>
  <si>
    <t>@SahabatRG China bukan turis WNI katanya</t>
  </si>
  <si>
    <t>RT @xjuicyjesy: Sibeth Ndiaye</t>
  </si>
  <si>
    <t>RT @xjuicyjesy: Rachida Dati</t>
  </si>
  <si>
    <t>Kepala staf kepresidenan Moeldoko menegaskan bahwa ratusan warga negara indonesia mantan kombatan isis akan langsung diadili seandainya mereka pulang ke tanah air.</t>
  </si>
  <si>
    <t>RT @AutoAdsJa: 2013 Toyota ISIS For Sale in #Jamaica #usedcar #carforsale</t>
  </si>
  <si>
    <t>@estefanylima93 Satan = Isis</t>
  </si>
  <si>
    <t>RT @ivhan_low: para Eks WNI simpatisan ISIS yg umur dibawah 10thn, mrk sdh memilih utk tdk menjadi anak2 ibu pertiwi.tolong hilangkan niat itu. Cc = @jokowi , @Kemenkumham_RI</t>
  </si>
  <si>
    <t>RT @ivhan_low: Kepada yth : Bang @BirgaldoS Mas @permadiaktivis Tolong sampaikan kekhawatiran saya yg mgkn jg mewakili beberapa orang, yg sangat resah terhadap ISIS, gaungkan supaya sampai ke menteri @PolhukamRI bpk. @mohmahfudmd , bahwa sangat tidak diperlukan dan tidak ada guna memulangkan</t>
  </si>
  <si>
    <t>@ArSunantoaris @P3nj3l4j4h_id @Kiyai_MarufAmin Seharusnya.....😉</t>
  </si>
  <si>
    <t>RT @IvanRT05: Semoga sukses...! 👍 WNI juga sudah #bebasvisa ke Namibia 🇳🇦</t>
  </si>
  <si>
    <t>@isis_rfo 😍 carakho</t>
  </si>
  <si>
    <t>RT @ariyandi32: Katanya tiket pesawat ke China murah. 2 WNI yg terjangkit Corona, tertular dari WN Jepang.</t>
  </si>
  <si>
    <t>RT @__MV_llestari__: Seandainya karena satu dan lain hal ISIS atau HTI misalnya kemudian berkuasa di Indonesia, akankah banyak minoritas kabur ke Singapura dan Australia?</t>
  </si>
  <si>
    <t>Miiiinn.....tolong dibantu dong saat kita mau jd wni yang baik RT @Wild693: @DitjenPajakRI Min aku mention @kring_pajak yg mngenai lupa efin tapi gak direspon 😭😭</t>
  </si>
  <si>
    <t>Dan kurangnya keseriusan pmrth dr awal merebaknya wabah virus korona di Indonesia. Buktinya ada WN jepang positif korona yg msk ke Indonesia tanpa terdeteksi. Fokus hanya pd karantina WNI dr LN. Hrsnya jalur udara, laut &amp; darat diperketat.</t>
  </si>
  <si>
    <t>Semoga 69 WNI dan TIM MEDISnya serta yang ikut membantu dapat pulang ke rumah dengan sehat walafiat.... sehingga saat #PulauSebaru kosong lagi bisa di huni oleh para koruptor #PulauSebaru</t>
  </si>
  <si>
    <t>Makjang WNI mau pulang bisa2 di karantina RT @VIVAcoid: Bu Retno Larang Masuk Turis dari Iran, Italia, dan Korea Selatan</t>
  </si>
  <si>
    <t>Sorotan wawancana -Salah hidupku yg utama membayat ISIS -ISIS menghancur persepsi terhadap ISIS di seluruh dunia -Banyak yg dilalukan ISIS bukan sesuai dgn Islam lihat di  #dampakradikalisme #MenolakLupaKejahatanISIS @Bangzul__88 @Abah_Rois @priyant90676620</t>
  </si>
  <si>
    <t>Wawancara dgn mujahidin berhijrah ke Sham, lalu kabur. Tak sedikit menjadi sadar versi "manhaj" dan "jahiliyyah" ISIS tak benar. @tjhinfar21 @meydimuhammad @katamereka7 @EkarahmaBisnis #dampakradikalisme #menolaklupakejahatanisis</t>
  </si>
  <si>
    <t>RT @yusuf_dumdum: Assalamualaikum pak ketua MUI, Kalau menurut ane, islamisasi versi HTI dan ISIS cs itu justru yang akan timbulkan kekacauan, kerusakan dan perpecahan bangsa. Sampean mau bantah ? Ane siap debat terbuka, tapi syaratnya kagak boleh emosi main persekusi. 😅</t>
  </si>
  <si>
    <t>@ShamsiAli2 Sudah lebih dulu ditutup.</t>
  </si>
  <si>
    <t>@CocoMeena @___Muktar Wnn Iskanci ne me wni zddy</t>
  </si>
  <si>
    <t>Bpk gak mau jd WNI, jd WNI th 80an, menista agama Islam, skrg mau dibuatkan ibukota, MAKARMU SDH KETERLALUAN PYM @jokowi sy Pancasila, sy Indonesia, NKRI harga mati ? @Ronnie_Rusli @zarazettirazr @dr_koko28 @LisaAmartatara3 @Ndoro_Raghil @msaid_didu @RamliRizal @ustadtengkuzul RT @VIVAcoid: Masuk Bursa CEO, Jokowi Disebut Akan Buatkan Ahok Ibu Kota Baru</t>
  </si>
  <si>
    <t>@bonitamore_ Kenapa mesti ribut² sih soal agama .. Sesama wni kok Mending prbaiki diri semua orng sudah mngira dunia udh mau kiamat</t>
  </si>
  <si>
    <t>68 WNI eks ABK Diamond Princess Dipindahkan ke Pulau Sebaru Kecil The post</t>
  </si>
  <si>
    <t>Panglima Kogasgabpad : 68 WNI Eks ABK MV. Diamond Princess Dipindahkan ke Pulau Sebaru Kecil</t>
  </si>
  <si>
    <t>@HmfaqihA @jokowi Alasan,tolak Ahok apa? WNI, oke, sehat, nggak cacat, walaupun cacat fisik juga punya hak untuk di pilh,jng diskriminasi, WNI tulen#</t>
  </si>
  <si>
    <t>RT @vivanewscom: Urusan di Toilet: Orang Australia Borong Tisu, WNI Tetap Pilih Air  #vivanews</t>
  </si>
  <si>
    <t>@M__Recluse @inconvdiscourse @sankrant @TulsiGabbard Philanthropist ? Shakal sae toe total jobless chomu sanghi dikhta hai. Ghanta philantrophy karta hoga. Bloody sanghi terrorist............... RSS=ISIS</t>
  </si>
  <si>
    <t>Katanya tiket pesawat ke China murah. 2 WNI yg terjangkit Corona, tertular dari WN Jepang. RT @CyberSkuad: Sumber utama Corona dari China, kenapa turis China belum ada larangan masuk? 🤔 Cegah Corona, RI Larang Masuk Traveler dari Iran, Italia, dan Korsel</t>
  </si>
  <si>
    <t>69 WNI Kapal Pesiar World Dream terdiri dari 67 laki-laki dan dua perempuan. #PulauSebaru</t>
  </si>
  <si>
    <t>RT @AndyWu007: Ributin yg 600an padahal di Indo yg Pro ISIS ada 10 Juta, 2 Juta siap perang dan menjadikan negeri ini Suriah ke 2, Ane tdk bis mikir kok mrk bs dicuci otak ampe bgt, Kejahatan yg Sempurna Atas nama Agama</t>
  </si>
  <si>
    <t>@guddu00bhai @AbdulHamidAhmad @ZakirAh47125666 Kam pitna haa Jahadi ko to Isis Jada pitna chahia . Taki pathar uta na sa Pahala unka ruhu tak kap jaia .</t>
  </si>
  <si>
    <t>Urusan di Toilet: Orang Australia Borong Tisu, WNI Tetap Pilih Air  #vivanews</t>
  </si>
  <si>
    <t>Aku berharap semoga observasinya berjalan dengan lancar dan para WNI tetap sehat. Aminn #PulauSebaru</t>
  </si>
  <si>
    <t>KRI dr. Soeharso-990 Berhasil Evakuasi WNI Kru Diamond Princess Ke Pulau Sebaru</t>
  </si>
  <si>
    <t>Para WNI Kapal Pesiar Diamond Princess telah sampai di Pulau Sebaru Kecil hari senin kemarin jam 6 sore. #PulauSebaru</t>
  </si>
  <si>
    <t>RT @Katolik_GK: Tulisan ini mewakili tragedi kemanusiaan trhdp Kristiani di tngn ISIS dan di Middle-east. Contoh, dr 15.000 Kristiani di Mosul sblm ISIS, hny kmbli hny sekitar 40-an org saja yg kembali. Apkh lalu Kristiani di Indonesia menjadikan itu sbg alat provokasi?</t>
  </si>
  <si>
    <t>Heran sama warga +62. Dulunya aja bilang gini "virus Corona mana bisa masuk ke Indonesia". Eh pas diumumin 2 WNI kenak virus Corona langsung kelabakan-_- masker yg jadi target buat bisnis Sampek puluhan juta, berita hoax dimana-mana, tak ada otak emang :)#LawanHoaxVirusCorona</t>
  </si>
  <si>
    <t>Ada beberapa WNI Kapal Pesiar Diamond Princess yang membawa koper lebih dari satu. #PulauSebaru</t>
  </si>
  <si>
    <t>WNI di Arab Diimbau Tak ke Mekkah dan Madinah  #</t>
  </si>
  <si>
    <t>Semua WNI menjalani karantina selama 14 hari. Lama pemeriksaan ini ditentukan oleh Organisasi Kesehatan Dunia (WHO). #PulauSebaru</t>
  </si>
  <si>
    <t>Kemenkes Sebut WNI yang Terinfeksi Covid-19 Sehat Tanpa Obat Spesifik</t>
  </si>
  <si>
    <t>RT @01Hariyan: @permadiaktivis Bela isis, harta benda di jual, paspor di bakar, mewek minta pulang. Teriak" jihat bela moslem India, Bacot doang. Teriak" Corona tentara Alloh.. Yg di serang pemakan babi. Faktanya yg kena negara Islam.</t>
  </si>
  <si>
    <t>Ada beberapa WNI yang membawa koper lebih dari satu. #PulauSebaru</t>
  </si>
  <si>
    <t>ISIS leader Abu Bakr al-Baghdadi is dead</t>
  </si>
  <si>
    <t>Semoga sukses...! 👍 WNI juga sudah #bebasvisa ke Namibia 🇳🇦 RT @IndonesiaInWhk: Tarik Investor dan Tingkatkan Ekspor, Dubes RI ajak 50 Pengusaha Top Namibia ke Trade Expo Indonesia. Dubes RI Eddy Basuki membuka kegiatan Indonesian Business Forum di Kota Ongwediva, Provinsi Oshana, Namibia. (04/03/20) #IniDiplomasi #RintisKemajuan</t>
  </si>
  <si>
    <t>@theoluflakky Intel bawo... Lai kin se ISIS</t>
  </si>
  <si>
    <t>@mi_isis Info DM 📩</t>
  </si>
  <si>
    <t>Ketika sampai di dergama Pulau Sebaru Kecil, para WNI Kapal Pesiar Diamond Princess melambaikan tangan kepada Panglima Kogasgabpad Laksamana Madya Yudo Margono. #PulauSebaru</t>
  </si>
  <si>
    <t>@sambitswaraj Very true ..typical RSS n ISIS module ... Haggrahe ho to pura hago ... Bich mein haggkar mat bhaago..</t>
  </si>
  <si>
    <t>@harmorIey isis ja</t>
  </si>
  <si>
    <t>@Rai_isis @gabrielaberte1 MDSKSMDLSMEK pelo visto mt gente n tava aguentando rs</t>
  </si>
  <si>
    <t>68 WNI Kapal Pesiar Diamond Princess berada di gedung yang terpisah dengan 188 WNI ABK World Dream. #PulauSebaru</t>
  </si>
  <si>
    <t>Setelah tiba di dermaga Pulau Sebaru Kecil, para WNI Kapal Pesiar Diamond Princess berkumpul di pintu masuk Pulau Sebaru Kecil. #PulauSebaru</t>
  </si>
  <si>
    <t>@CNNIndonesia Wessss, bangganya punya wapres yg ngemong ke semua wni tanpa melihat agama,suku. Pantas utk dapat nobel perdamaian</t>
  </si>
  <si>
    <t>RT @FudhailNabil: Uruskan jenazah kau adalah benda paling pahit yg aku pernah buat. Aku syg kau wafeeq. Kaulah abg plng baik yg aku pernah ade.Aku cuba pikul tanggungjawab kau &amp; bimbing family kita.Aku rindu kau. Xsempat jumpa kau.Aku happy tengok jenazah kau senyum.Tenang di sana my brother😔</t>
  </si>
  <si>
    <t>Para WNI tidak menggunakan pakaian khusus. #PulauSebaru</t>
  </si>
  <si>
    <t>@VIVAcoid Ibukota baru aja Tabrak UU ibukota negara, aplg Napi, babihok bukan wni asli dari lahir ikut Wna bapakx yg Wna china, baru usia 20th daftar jd Wni, ini kata YIM.</t>
  </si>
  <si>
    <t>@kufaarcritic @LongLiveYemen suudi arap ISIS vs terror supporter</t>
  </si>
  <si>
    <t>@SantariTopan @miqbalnov @mas__piyuuu Ga jg, yg lbh benci sm Erdogan itu pengungsi suriah, perang lawan ISIS, ditambah diserang Turki</t>
  </si>
  <si>
    <t>Dari 69 WNI Kapal Pesiar Diamond Princess, ada 1 WNI yang belum bisa menjalani karantina di Pulau Sebaru Kecil karena masih melakukan pemeriksaan. #PulauSebaru</t>
  </si>
  <si>
    <t>RT @AnakKolong___: 15. Tapi, As'ad ogah menyamakan HT dgn kelompok ekstrem kanan seperti Islamis State of Iraq and Syria (ISIS). Menurut dia,ada perbedaan antara HT dengan ISIS. Meski keduanya sama2x mengusung khilafah,tp ISIS bergaya frontal dengan gerakan perlawanan fisik.</t>
  </si>
  <si>
    <t>Jumla ya magaidi 46 wa ISIS nchni Afganistan hivi leo (Alhamisi) wamejisalimisha kwa vikosi vya usalama katika mkoa wa Kunar, kaskazini mashariki mwa nchi hiyo, taarifa kutoka kwa serikali ya mkoa huo ilisema. #Afganistan</t>
  </si>
  <si>
    <t>RT @louisjulia220: Turkey = Al-Qaeda = ISIS</t>
  </si>
  <si>
    <t>Danai Terorisme, Pekerja WNI di Singapura Divonis 2 Tahun Penjara sementara sebuah penelitian mengungkapkan bahwa lembaga amal keagamaan sering digunakan kelompok militan untuk menggalang dana kegiatan terorisme. #pendanaanterorisme</t>
  </si>
  <si>
    <t>@YuliaaLaylyRHI Isis itu angin sepoi sepoi di sawah itu kan mbak 😃</t>
  </si>
  <si>
    <t>68 WNI Eks ABK Diamond Princess Dipindahkan ke Pulau Sebaru Kecil</t>
  </si>
  <si>
    <t>RT @e100ss: KRI dr. Soeharso-990 Evakuasi WNI ABK Diamond Princess Ke Pulau Sebaru</t>
  </si>
  <si>
    <t>Turkey = Al-Qaeda = ISIS</t>
  </si>
  <si>
    <t>RT @fadjroeL: Sudah 51.449 orang DINYATAKAN SEMBUH dari 95.180 yg terpapar Covid-19. Jadi Covid-19 BISA DISEMBUHKAN! #MariMencegahCovid19 Alhamdulillah WNI kasus 1 &amp; kasus 2 juga membaik. Mari bergotongroyong membangun #SolidaritasKemanusiaanMelawanKorona ~ #Jubir #BungJubir @JubirPresidenRI</t>
  </si>
  <si>
    <t>RT @fadjroeL: #MariMencegahCovid19 ini cara2 sopan dan dianjurkan terkait "terduga" terpapar Covid-19. Alhamdulillah WNI kasus 1 &amp; kasus 2 sudah mulai membaik. Mari bergotong-royong membangun #SolidaritasKemanusiaanMelawanKorona seluruh rakyat Indonesia ~ #Jubir #BungJubir @JubirPresidenRI</t>
  </si>
  <si>
    <t>@GusNadjib Otak mereka udah di cuci gak usah percaya sama grombolan isis , gak ada kata baik tersimpan dlm hati mereka 👍🙏</t>
  </si>
  <si>
    <t>68 WNI Kapal Pesiar Diamond Princess dan 10 kru pendamping telah turun dari kapal dan masuk ke lokasi observasi virus Corona di Pulau Sebaru Kecil, Kepulauan Seribu. #PulauSebaru</t>
  </si>
  <si>
    <t>RT @tempodotco: 68 WNI Eks ABK Diamond Princess Dipindahkan ke Pulau Sebaru Kecil</t>
  </si>
  <si>
    <t>RT @Puspen_TNI: Tugad mulia evakuasi WNI (ABK Diamond Princess) dari KRI Soeharso ke Pulau Sebaru😎💂 #TNIPeduli #VIRUS_CORONA #Sebaru #DiamondPrincess</t>
  </si>
  <si>
    <t>@mas_sastroo @cathydjaya @arjuno_ireng01 Lha kan emank dy masih wni toh masih ada pake bahasa indonesia... situ yang baperan dan mewek...</t>
  </si>
  <si>
    <t>@BBCHindi UK me ISIS Jindabad ka nara lagana ?</t>
  </si>
  <si>
    <t>@Kiyai_Kita Yang isis dan sekutunya juga lagi nunggu zuhur, ashar, maghrib dll</t>
  </si>
  <si>
    <t>6000 warga Yazidi terutama wanita dan anak yg diculik Isis  #PrayForYazidi RT @YuliaaLaylyRHI: @sayidmachmoed @estidwiamalia Hati mrk udh tertutup bib Sulit utk dimasukin kebenaran sprti isis brutal terus , Saya kan galak dan cerewet siap yg di depan bib 💪😊👍</t>
  </si>
  <si>
    <t>Para WNI Kapal Pesiar Diamond Princess ditempatkan dalam satu gedung. #PulauSebaru</t>
  </si>
  <si>
    <t>apa kabar pak @jokowi ??? apa yg ini tdk menyayat hati kah ?? daripada anak2 eks WNI ISIS ??? Tolong Tuhan lembutkan dan lunakkan paduka ku bapak @jokowi 🙏 RT @detikcom: Walau hidup dalam kekurangan masih banyak anak yang semangat mencari ilmu. Demi biayai sekolah mereka rela berjualan makanan tanpa lelah. Berikut kisah mereka yang inspiratif: #KisahInspiratif via @detikfood</t>
  </si>
  <si>
    <t>RT @FudhailNabil: Beliau terlibat dalam kemalangan jalan raya dan meninggal dunia di tempat kejadian. Alhamdulillah beliau sempat melafazkan dua kalimah syahadah seblum bertemu penciptanya. Mohon semua yg baca tweet ni sedekah kan alfatihah kepada beliau</t>
  </si>
  <si>
    <t>RT @amirfufu: 6.5k rt aku pakai baju shell</t>
  </si>
  <si>
    <t>RT @amirfufu: Saya nak claim scholarship @Shell</t>
  </si>
  <si>
    <t>@ISIS_Balik_NO @P3nj3l4j4h_id @Kiyai_MarufAmin Kalo ada yg lapor polisi/marah2 berarti kafirkah?</t>
  </si>
  <si>
    <t>Karena kemarin ada 1 WNI yang mengeluh batuk-batuk, ia tidak ikut karantina di Pulau Sebaru Kecil dan masih melakukan pemeriksaan lebih lanjut di Kapal. #PulauSebaru</t>
  </si>
  <si>
    <t>@salmansenpai InshaAllah.. syukran</t>
  </si>
  <si>
    <t>RT @catallunya96: me to myself "sampai bila nak jadi bodo. "</t>
  </si>
  <si>
    <t>@aajtak isis aatankbadi he aye shala ko fashi pe latkao</t>
  </si>
  <si>
    <t>Pemindahan 68 WNI Kapal Pesiar Diamond Princess dengan menggunakan satu kapal Landing Craft Utility (LCU) dan dikawal oleh 5 unit Sea Rider. #PulauSebaru</t>
  </si>
  <si>
    <t>Here we are, indonesian~ hhhhh Ga tau syp yg slh entqh petugas atau pengendaranya, tida menghilangkan fakta klo wni memang oon RT @zoelfick: Kota besar dan kelakuan warganya 🙄</t>
  </si>
  <si>
    <t>@P3nj3l4j4h_id @Kiyai_MarufAmin Korbannya saja pada rela kok mas.....kan ganjarannya SURGA...apalah artinya duit</t>
  </si>
  <si>
    <t>@Stefhan12628699 @eka_1305 @susioktavio @detikcom yah Stefhany isis israel ini... coba belajar lg yg rajin ya...😄☝️☝️☝️☝️😁</t>
  </si>
  <si>
    <t>@not_kirei @rinigrace @KompasTV @umaleao Tapi mental seperti inilah yg sebenarnya ditarget Sama halnya gagal umroh krn duit habis diembat travel agent....mereka rela dan bahkan merasa belom dapet ijin Tuhan...gak mikir laagi kalo mereka Ditipu....lagian BUNGULER.....saat ditipu seiman.... adalah BAROKAH</t>
  </si>
  <si>
    <t>@bungatitaaa wni alias waria negara ini🥳</t>
  </si>
  <si>
    <t>RT @jubidotcom: Papua Cegah Corona, kunjungan WNI ke Papua akan dibatasi, kunjungan WNA bakal dilarang</t>
  </si>
  <si>
    <t>@detikcom Kaum KAFIR KHILAFAH ISIS ya bgitulah.</t>
  </si>
  <si>
    <t>RT @KBRI_Islamabad: Imbauan Bagi WNI di Pakistan dan yang akan Melakukan Perjalanan dan Update Penanganan Virus Corona di Pakistan . . . . @Kemlu_RI @safetravelkemlu #IniDiplomasi #IndonesianWay #NegaraMelindungi</t>
  </si>
  <si>
    <t>@Sontolo29062151 @SammiSoh @CeciliaSuwanda1 Dia difitnah.....? Wkwkwkwkwkwk Bacot</t>
  </si>
  <si>
    <t>QUEEE? KMKKKKKK #BBB20 RT @malfoyystan: MENTIRA QUE TÃO PASSANDO A CONVERSA DAS MENINAS COM A GABI NO SE JOGA E ELE TÁ LÁ</t>
  </si>
  <si>
    <t>@SedhanSB Yeh rozey Roshan ki Tarah wazeh hey is mein agr magr ki gunjaish nhi hey sahib. Modi ko award kis kis ney dya hey Muslim Dunya mein dehshat gardi k peechey investment kis ki hey, isis ko fund kis ney kia sub clear hey. Saudi Arab UAE Bahrain nexus of evils.</t>
  </si>
  <si>
    <t>Imbauan Bagi WNI di Pakistan dan yang akan Melakukan Perjalanan dan Update Penanganan Virus Corona di Pakistan . . . . @Kemlu_RI @safetravelkemlu #IniDiplomasi #IndonesianWay #NegaraMelindungi</t>
  </si>
  <si>
    <t>@RanaAyyub traitor..... just shut u😂😂p. duniya ke jehadi kom....llalaalakbar bol ke logo ko mar rahe h..uspe bol.. ISIS KI AGENT H KYA TU..NA ISI KI.??</t>
  </si>
  <si>
    <t>Imbauan Bagi WNI yang akan Melakukan Perjalanan dan Update Penanganan Virus Corona di Bahrain . . . . @Kemlu_RI @safetravelkemlu #IniDiplomasi #IndonesianWay #NegaraMelindungi</t>
  </si>
  <si>
    <t>abis ngoles freshcare jari telunjuk kena dikit, lupa lgsg pegang mulut karena ada yang nyelilit, mulutku rasanya langsung isis cuy</t>
  </si>
  <si>
    <t>Tugad mulia evakuasi WNI (ABK Diamond Princess) dari KRI Soeharso ke Pulau Sebaru😎💂 #TNIPeduli #VIRUS_CORONA #Sebaru #DiamondPrincess</t>
  </si>
  <si>
    <t>@miqbalnov @Rasyeed3 @Fikri_Ramadhon7 @mas__piyuuu Amrik dasar apa mnghacurkn Assad disuriah? Sedangkn Assad bersama Rusia? Amrik datang ke Suriah utk mengadu domba sesama muslim Saudi ndk bisa apa2 disana. Karna terjebak orgnisasi anti Islam seperti ISIS yg dibuat Amrik Klw Turkey sich jelas utk melindungi perbatasn negarax.</t>
  </si>
  <si>
    <t>Dampak COVID-19 pada kesehatan WNI = &lt; 0.1%* Dampak COVID-19 pada ekonomi Indonesia = 100%* *tidak menunjukkan angka sesungguhnya</t>
  </si>
  <si>
    <t>@not_kirei @agnizar4 @TeddyGusnaidi Saya juga hanya menjelaskan Ke Khalifahan itu pernah ada... sebatas itu. Masalah lain2 saya gak masuk ke situ, ada orang pro Khilafah pengen ganti Pancasila dll itu bukan urusan saya. Apalagi ISIS, Istilah Teroris jelas juga belum ada masa itu.</t>
  </si>
  <si>
    <t>@sayidmachmoed @estidwiamalia Hati mrk udh tertutup bib Sulit utk dimasukin kebenaran sprti isis brutal terus , Saya kan galak dan cerewet siap yg di depan bib 💪😊👍</t>
  </si>
  <si>
    <t>WATAMPONE - Usai diumumkan 2 orang WNI suspect terdampak Covid-19, serta terbitnya himbauan mengenai pencegahan dan pengendalian penyakit menular oleh Direktorat Jenderal Pemasyarakatan pertanggal 4 maret…</t>
  </si>
  <si>
    <t>@agnizar4 @TeddyGusnaidi Justru Kakak Pembina yg angkat2 khilafah.... lah kita boleh dong bertanya apa sich khilafah itu ? kok di kait2kan dg ISIS ,teroris ... Khilafah itu kan sebuah sejarah Islam yg pernah ada... Terlepas ada oknum punya pemikiran ingin Khilafah kembali,saya pribadi gak mau pusing</t>
  </si>
  <si>
    <t>RT @_CHlS_: Keren apaan? Itu bukan prestasi pemerintahan ini Itu prestasi pemerintah Jepang yg sudah sudi menangani WNI yang bersangkutan Bangsat2 begini terlalu banyak cakap! Shut up!</t>
  </si>
  <si>
    <t>@ZeeNewsHindi isis aatankbadio ke liye school ka jarurat nehi in aatankbadi ke liye jihadi ka aada madarasa ho kafihe</t>
  </si>
  <si>
    <t>RT @ngeTweetAja: Gimana deh ini ??? 4 WNI itu kan dirawat di Jepang - Hubungannya sama pemerintahan Jokowi jdnya gimana ? 🧐🧐🧐🤔🤔 Lieur</t>
  </si>
  <si>
    <t>@Zulhaqie1 @agnizar4 @TeddyGusnaidi Lah, sampeyan ngotot khilafah alasannya apa? Ga salah persepsi orang kl memandang skeptis khilafah. Krn blm ada satupun negara yg sukses pk sistem khilafah murni. + yg usung modelan isis Saat ini muslim disini da kayak white supremacist d amrik. Mayoritas tp ngerasa minoritas</t>
  </si>
  <si>
    <t>Jadi pindah kemana? Pulau Selama? Cuaca Buruk, 69 WNI ABK Diamond Princess Urung Dipindahkan Ke Pulau Sebaru</t>
  </si>
  <si>
    <t>@AdhieMassardi Coba sy sambungkan frekwensinya 🙏. WNI ditarik dari Wuhan di karantina 14 hari dulu di Natuna. Presiden &amp; para pembantunya mengundang WNA masuk ke Indonesia tanpa karantina. Pas jatuh korban yg ditularkan olh WNA Jepang, justru buzzer2 istana yg lunglai.</t>
  </si>
  <si>
    <t>RT @TanDjiedin: Jilat Trosss sampe licin...😁😂 ☆Pasien dirawat diJepang ☆Dokter yg merawat org Jepang ☆Isolasi corona di RS Jepang ☆Yg menangani Pemerintah Jepang ☆Diobati dan Sembuh DiJepang Yang dipuja-puji Paduka Jokowi🙄 Apes Bener jadi orang jepang 🤣🤣🤣🤣</t>
  </si>
  <si>
    <t>Yess aku 17tahun, mampus mau bikin ktp. Bakalan jadi WNI aslii, gabakal ada yg bisa ngatain gue cina lagiii😤😭😭</t>
  </si>
  <si>
    <t>RT @CertifiedShiaa: @RusEmbSyria @mfa_russia @RussiaUN @UNEnvoySyria @Ibra_Joudeh @heba_jm @ejmalrai @LindseySnell @DrMarcusP @RealScottRitter @snarwani Turkey= Alqaeda +ISIS</t>
  </si>
  <si>
    <t>@detikcom Anak2 seperti ini yg perlu disupport Pak @mohmahfudmd @Kemdikbud_RI @jokowi , bukan malah jemput anak2 ex Kombat ISIS. 😢😢😢😢😢</t>
  </si>
  <si>
    <t>Tulisan ini mewakili tragedi kemanusiaan trhdp Kristiani di tngn ISIS dan di Middle-east. Contoh, dr 15.000 Kristiani di Mosul sblm ISIS, hny kmbli hny sekitar 40-an org saja yg kembali. Apkh lalu Kristiani di Indonesia menjadikan itu sbg alat provokasi?</t>
  </si>
  <si>
    <t>@eko_kuntadhi Mbalek eneh mbahas isis wong iki 🤣🤣</t>
  </si>
  <si>
    <t>Hallo #sobatKBRIAnkara, sehubungan dengan adanya wabah Virus Corona (COVID-19) yang saat ini telah menyebar ke sejumlah negara, berikut disampaikan himbauan KBRI Ankara kepada seluruh WNI di Turki. #IniDiplomasi #NegaraMelindungi</t>
  </si>
  <si>
    <t>RT @MZubir_ID: @SalmaBrecht @snjayajonggrang Erdogan pantas dicap penjahat perang dan kemanusiaan. Erdogan pendukung teroris ISIS, dia cukup banyak lakukan kejahatan dan pembunuhan terhadap rakyatnya, terhadap etnis Kurdi. Kudeta gagal adalah skenario Erdogan untuk tetap berkuasa diatas darah tentaranya yang dieksekusi.</t>
  </si>
  <si>
    <t>RT @drydjie: @BirgaldoS @jokowi @mohmahfudmd ANAK2 ISIS EX WNI DISAMBUT DAN DIFASILITASI KEBUTUHAN SERASA MEREKA BARU DAPAT PIALA DUNIA AJA... SERASA MEREKA SUDAH MEMBERIKAN MEDALI EMAS OLIMPIADE... INGAT, MEREKA ADALAH TERORIS EX WNI... EX PAK EX... EX ARTINYA BEKAS !!!!</t>
  </si>
  <si>
    <t>@agnizar4 @TeddyGusnaidi Khilafah itu pernah ada, itu saja kok, gak bisa di pungkiri..terlepas sejarah hilangnya sistem khilafah 1924 itu lain cerita... dan tidak benar khilafah itu dikait2 dg teroris, ISIS.... saat itu mana ada ISIS ... jadi ngapain phobia, alasannya apa ?</t>
  </si>
  <si>
    <t>@NdonTwit mungkin ngga ya 🤔 kalau WNI positif ini bukan tertular dari WN Jepang.Justru sebaliknya. Dan yg WNI justru kena dari orang lain,yang pembawa virus (tapi tidak/belum positif)</t>
  </si>
  <si>
    <t>RT @2019jkwsaja: @yunartowijaya IDENTITAS PASIEN Di Singapore ada WNI kena, dirahasiakan.. Di Jepang dirahasiakan.. Di Wuhan dirahasiakan.. Di Indonesia dibuka, hebat cc @IdrisAShomad</t>
  </si>
  <si>
    <t>Gimana deh ini ??? 4 WNI itu kan dirawat di Jepang - Hubungannya sama pemerintahan Jokowi jdnya gimana ? 🧐🧐🧐🤔🤔 Lieur RT @BamsBulaksumur: Keren kinerja pemerintahan Jokowi 🙏 4 WNI Terjangkit Corona di Jepang Sembuh!!!</t>
  </si>
  <si>
    <t>@BDUTT @Twitter I think u r nt good in indian language(hindi). Gaddar ka matlab urdu me kya hai malum nahi, but english me traiter kahe sakte ho. So unhe marne se apko taqlif kiu hai bahenji. R u with isis.</t>
  </si>
  <si>
    <t>@subtanyarl Tgl berita wni terkena Coronavirus :'</t>
  </si>
  <si>
    <t>@bowie_mas @BamsBulaksumur Yg keren itu malah bang Bowo, karena bisa memahami dg benar arti kalimat ‘4 WNI di jepang sembuh Corona’ 👍👍</t>
  </si>
  <si>
    <t>RT @Jelantik5: @Sutikno13706439 @AremaNita__ @Budihar21525608 @kakiangbagoes @daunsirih5 @onsrgst @rullyjoo27 @SeruniPuspaAlam @su7loo @pasektohpati @Tikayulie Anda bicara sistem pemerintahan... tapi anda ingkari..... anda ini WNI bukan ?</t>
  </si>
  <si>
    <t>@ISIS_Balik_NO @detikcom Kmrn kata 212/ FPI, Ahok/BTP ga boleh jd Komut Pertamina. Ya udah nanti dikabulkan. Jd nanti Ahok diusir dr Jawa. Diasingkan ke Kaltim. Biar mimpin ibukota baru aja.</t>
  </si>
  <si>
    <t>@be4anyonelse @Uniporxn_ 😂😂😂 Kok yhaaa ANAL-ISIS DATA Statisik ajaa sekalian :((</t>
  </si>
  <si>
    <t>@yunartowijaya IDENTITAS PASIEN Di Singapore ada WNI kena, dirahasiakan.. Di Jepang dirahasiakan.. Di Wuhan dirahasiakan.. Di Indonesia dibuka, hebat cc @IdrisAShomad</t>
  </si>
  <si>
    <t>@nalini51purohit @ggiittiikkaa @khamenei_ir 100% vs 100% Iran_Iraq Iraq_Kuwait Iraq_Saudia_Yemen Syria_Turkey_Kurds Turkey_Libya Af_Af_Af Taliban_Taliban Iran_Pashtun Pakjabi_Baloch_Pashtun_Sindhi_Mohajir Let JeM ETIM ISIS Al_Quida Kashmir_KPs No peace where in majority. No Peace where in Minority</t>
  </si>
  <si>
    <t>Kena Corona di Jepang, 4 ABK Diamond Princess WNI Dinyatakan Sembuh</t>
  </si>
  <si>
    <t>Benar Terbukti Ramalan Roy Kiyoshi Soal Penyakit Aneh Bermunculan? Jauh Sebelum 2 WNI Positif Corona</t>
  </si>
  <si>
    <t>@bdgfess Dia lagi join isis keknya</t>
  </si>
  <si>
    <t>RT @TofaTofa_id: Bro @Dennysiregar7 tolong diumumkan ke para buzzeRp, agar baca berita terbaru. Karena masih banyak anonim yg menyangkal ada WNI yg kena Corona. Biar mereka menghargai Pemerintah yg udah ngumumin tadi. Agar gak terus menerus tersesat.</t>
  </si>
  <si>
    <t>RT @malissaali: Dia merompak untuk bayar hutang adik dia RM 200. Berlinang jugak air mata baca ni</t>
  </si>
  <si>
    <t>@Sutikno13706439 @AremaNita__ @Budihar21525608 @kakiangbagoes @daunsirih5 @onsrgst @rullyjoo27 @SeruniPuspaAlam @su7loo @pasektohpati @Tikayulie Anda bicara sistem pemerintahan... tapi anda ingkari..... anda ini WNI bukan ?</t>
  </si>
  <si>
    <t>RT @aryacokronegoro: @chuentoi @MikeyAM97 @sandmanindo @yovie_myg @addamfarizi @jameshandaja @budy_marble Kalau saya sih ga yakin paspor RI bisa kuat sekuat paspor tetangga. Cukup bebas visa dikawasan Asia saja itu sudah baik sbnrnya. Ini saja dikawasan Asia belum semuanya memudahkan visa bagi WNI. Malah ada yang menyulitkan bgt visa bagi wni</t>
  </si>
  <si>
    <t>Virus Corona mulai memasuki Indonesia! Warga dibuat gempar dengan konfirmasi dari Presiden bahwa ada dua WNI asal Depok yang terinfeksi Virus Corona.</t>
  </si>
  <si>
    <t>@ditjen_imigrasi Untuk foto ini, mau konfirmasi dong, berarti kalau ada WNi yg datang dari luar negri bukan dari ketiga negara tersebut, hanya diperiksa di bandara kan ya? Tidak perlu bawa suket?</t>
  </si>
  <si>
    <t>Baru anak tentara ngapain ditakutin, gua aja yg tentara isis biasa aja wkwk</t>
  </si>
  <si>
    <t>RT @Puspen_TNI: 2 KAPAL PERANG KOLINLAMIL ANDALAN SATGAS OPERASI KEMANUSIAAN . Mereka tergabung dlm Kogasgabpad utk membantu Operasi Bantuan Kemanusiaan Observasi WNI di Pulau Sebaru, Kepuluan Seribu, Jakarta Utara😎💂 #TNIPeduli #TNIAL #KRIBandaAceh #KRIBanjarmasin</t>
  </si>
  <si>
    <t>RT @kompasiana: Bertemu Eks ISIS Dalam Film "Seeking The Imam"</t>
  </si>
  <si>
    <t>@KRMTRoySuryo2 @ChristWamea @Menlu_RI @Kemlu_RI Kemaren wni kita yg di pulangkan dari wuhan katanya dalm kondisi sehat. Tapi sampai di indonesia mereka di karantina/ di isolasi untuk di observasi 14 hari di natuna. Klu benar msh ada tka dari cina masuk, mengapa mereka tdk di isolasi/ di ovservasi terlebih dulu..?????</t>
  </si>
  <si>
    <t>RT @faniasari1234: Yuk yg mau isis lot aku Wa 082179763994 #AvailJaksel #availjakpus #BOjakarta #bojakartapusat #bisyarJaksel #bisyarjakpus #bisyarjakbar #boserpong #BISYARSERPONG #bisyarsurabaya #bisyarsemarang #bosemarangkota #BOdepok #bisyardepok #bobogor #bobekasi #bobatam</t>
  </si>
  <si>
    <t>@shoaibalij7 @prakashraaj Syria main Hindu aur BJP dono nahi hai. ISIS hai. Soch ke comparison karo na yaar!</t>
  </si>
  <si>
    <t>Palembang Pemain Persija Ini Selangkah Lagi Jadi WNI  cc</t>
  </si>
  <si>
    <t>Bertemu Eks ISIS Dalam Film "Seeking The Imam"</t>
  </si>
  <si>
    <t>mincirigikin sikili</t>
  </si>
  <si>
    <t>@Sutikno13706439 @AremaNita__ @Budihar21525608 @kakiangbagoes @daunsirih5 @onsrgst @rullyjoo27 @SeruniPuspaAlam @su7loo @pasektohpati @Tikayulie Anda WNI kan?</t>
  </si>
  <si>
    <t>@khanumarfa Madam ISIS</t>
  </si>
  <si>
    <t>Sempat Mengeluh Batuk, 1 WNI Kru Diamond Princess Tak Ikut Turun ke Pulau Sebaru</t>
  </si>
  <si>
    <t>Dua orang warga negara Indonesia (WNI) positif terinfeksi virus korona (Covid-19) membuat masyarakat semakin waspada. Kini, saatnya Anda lebih peduli menjaga kesehatan.</t>
  </si>
  <si>
    <t>wni yg masih kejebak di wuhan itu lucu bgt deh cara ngomongnya:( semangat trs masnyaaa</t>
  </si>
  <si>
    <t>Syria-Turkey Escalation &amp; Iraqi PMU Targets ISIS Ft Marwa Osman on MidEa...  via @YouTube</t>
  </si>
  <si>
    <t>Bgst banyak yg maruk masker tai:( gua yang sakit juga butuh, udah cari sana sini gadapet, what?!?! Waktu itu santuy bae sama kasus virus corona, eh ada wni yang positif kena virus corona langsung maruk marukkan beli masker. Fagh u! there is someone who is more in need than you!</t>
  </si>
  <si>
    <t>@Keshack21 @ynms79797979 Isis tartar mongolian</t>
  </si>
  <si>
    <t>Beberapa hari terakhir Indonesia di hebohkan dengan isu wabah virus corona yang sudah menginfeksi 2 orang WNI di Indonesia. Lalu, sebenarnya Apa yang harus kita lakukan untuk menghadapi Wabah Virus Corona ini? Nah,…</t>
  </si>
  <si>
    <t>Sempat Mengeluh Batuk,1 WNI Tak Ikut Turun ke Pulau Sebaru Kecil</t>
  </si>
  <si>
    <t>@FirzaHusain Cara ISIS.</t>
  </si>
  <si>
    <t>@CyberSkuad Kau dengar baik baik TOLOL... dari negara negara yg terjangkit atau WNI yg pulang dari negara2 terjangkit... itu semua artinya TRAVELER... yg 14 hari terakhir ada di DAERAH itu... apapun KEWARGANEGARAANNYA</t>
  </si>
  <si>
    <t>68 WNI Kru Kapal Pesiar Diamond Princess Tiba di Pulau Sebaru Kecil  #vivanews</t>
  </si>
  <si>
    <t>@CyberSkuad WNI yg tinggal di Amerika mau umroh ke Saudi Boleh gak ?? Yah boleh... karena yg di tutup itu yg dari traveler dari INDONESIA. Sudah ngerti belon ?</t>
  </si>
  <si>
    <t>@RashtraPratham9 @_YogendraYadav Yeh Tere Chaddi Gang ka karnama he..chutiya banana band kar.. RSS is the ISIS of India..</t>
  </si>
  <si>
    <t>@eko_kuntadhi Ya iyalah,...lu nya aja yang sok tahu!!! Sok bicara konsep khilafah,.ISIS itu buatan para KAPITALIS Ametika dan kongsinya,.demi Lancarnya Penjualan Senjata,.ISIS iyu sebagai Alat propaganda sebuah PRODUK SENJATA! klo lu bukan MUSLIM jgn bicara tentang Konsep Khilafah,.sok Tahu!</t>
  </si>
  <si>
    <t>RT @bujibu__chempel: Tak boleh tengok kita senang sikit..</t>
  </si>
  <si>
    <t>@UtuhWibowo @msaid_didu @KPK_RI Sebagai WNI yg baik, kita harus menjaga marwah presiden. Tapi kalau marwahnya si jae sih bodo amat</t>
  </si>
  <si>
    <t>Dan gue menolak Mujahid 212 untuk hidup dimuka bumi ini.... ape loe ape loe ..... RT @detikcom: Mujahid 212 menolak pemindahan ibu kota dari Jakarta ke Kalimantan Timur. Selain itu, Mujahid 212 menolak mantan Gubernur DKI Jakarta, Ahok menjadi Kepala Badan Otoritas Ibu Kota Negara (IKN). #PA212 #Ahok</t>
  </si>
  <si>
    <t>RT @ruangobrol_id: Warganet belum bisa membedakan antara returnees dan deportan ISIS asal Indonesia. Apa sih bedanya?</t>
  </si>
  <si>
    <t>"..Memperketat dan memberikan Sertifikat Bebas Corona dari setiap WNA maupun WNI yang masuk ke wilayah Indonesia.." NICEEEEEE👍</t>
  </si>
  <si>
    <t>@chuentoi @MikeyAM97 @sandmanindo @yovie_myg @addamfarizi @jameshandaja @budy_marble Kalau saya sih ga yakin paspor RI bisa kuat sekuat paspor tetangga. Cukup bebas visa dikawasan Asia saja itu sudah baik sbnrnya. Ini saja dikawasan Asia belum semuanya memudahkan visa bagi WNI. Malah ada yang menyulitkan bgt visa bagi wni</t>
  </si>
  <si>
    <t>Kadin DKI mengkhawatirkan terjadi kenaikan harga kebutuhan pokok di DKI, yang dipicu oleh virus corona jenis baru atau COVID-19. dimana setelah pemerintah mengumumkan 2 WNI positif terjaangkit Covid-19. Talk: Dewan Penasihat HIPPINDO, Tutum Rahanta ➡️</t>
  </si>
  <si>
    <t>@duo_hh @P3nj3l4j4h_id maaf obrolan sudah di tutup lagian salah besar kalo menyebut ex WNI, karna secara undang undang mereka masih WNI makanya negara mau memulangkan mereka. silahkan simak penjelasan nya  sebelum dan sesudah nya maaf ya saya gx akan jawab lg🙏</t>
  </si>
  <si>
    <t>@m_ameen_ @NetajiBond we know u support ISIS, hizbul mujahiddin, LeT, Osama.</t>
  </si>
  <si>
    <t>Kerusuhan di India, Kementerian Luar Negeri Beri Imbauan bagi WNI di India</t>
  </si>
  <si>
    <t>@victorpangkey @TDR__00 @WandySulastra @UstadzWaloni Malah akan sulit mengajak kristen radikal untuk dbt seperti halnya KKK sama kayak ISIS pikirannya hanya membunuh atau menyakiti</t>
  </si>
  <si>
    <t>RT @Bolanet: Marc Klok: Sedikit Lagi Saya Jadi WNI -</t>
  </si>
  <si>
    <t>RT @KartelEgo: Ternyata negara masih kalah ama : 1. khilafah (jogja) 2. pemulangan anak eks wni isis 3. hoax &amp; penanganan banjir anies (jkt) 4. toleransi ada apa ini mr. @jokowi dan yang mulia pimpinan para partai rakjat ?? ada apa denganmu??</t>
  </si>
  <si>
    <t>KBRI Ankara Imbau WNI di Turki Terkait Covid-19 #Kbriankara #turki #Viruscorona #Wniditurki</t>
  </si>
  <si>
    <t>RT @aslipribumiraya: @zulhendribasri2 @opposite6890 @LangitQuinn10 @tvOneNews @ILCtv1 @karniilyas dapat surat keterangan dari menkes bebas corona</t>
  </si>
  <si>
    <t>RT @noeruzzaman: Mengenal kelompok dan ideologi ISIS  via @YouTube cc @kirekswasta @mantriss @permadiaktivis @AmbarwatiRexy</t>
  </si>
  <si>
    <t>Terkait Virus Corona, KBRI Ankara Keluarkan Imbauan bagi WNI di Turki</t>
  </si>
  <si>
    <t>@subtanyarl jadi budak isis di korut</t>
  </si>
  <si>
    <t>RT @eZLeW12021U: Turkey = ISIS-DAIS Akp-Erdogan = El Baghdadi</t>
  </si>
  <si>
    <t>@jaehzuyn @lmnayeion @dejunxio Isis maksudnya. Jari gue abis salto</t>
  </si>
  <si>
    <t>@lmnayeion @euintseo @dejunxio isis : indah sekali ibu saminah.</t>
  </si>
  <si>
    <t>RT @ariomazda: Kondisi seperti ini pernah saya rasakan pada 2016, saat ada kabar penusukan di Sydney Barat yang melibatkan simpatisan ISIS. Muslim kena sorot lagi. Jangankan mau "aneh-aneh" dan bersikap "tidak bijak". Yang ada malah malu dan takut tiap mau mana-mana. Guilty by association.</t>
  </si>
  <si>
    <t>Dibaca dong, mutualqq. Penulisnya salah satu WNI yg sempet keisolir di Wuhan, awal tahun lalu. Jadi kurang lebih bisa mencerahkan, karena dikit banyak pahamlah soal kedua fragmen yg coba disatukan dalam artikel ini. Gass!!! RT @afnfahmi: @ndorokakung</t>
  </si>
  <si>
    <t>RT @Prof_Azyumardi: Eks ISIS, Harian Kompas, 13/2/2020</t>
  </si>
  <si>
    <t>@BamsBulaksumur Aduuuh om mending didelete aja tuitanmu ini. Malu2in. Kalau Maya mah salut sama pemerintahnya pak Shinzo Abe yg bs bikin sembuh pasien WNI😂😂</t>
  </si>
  <si>
    <t>#SahabatKemlu, untuk lindungi WNI dari Covid - 19, Pemerintah RI perketat syarat masuk dan transit ke Indonesia dari negara Iran, Italia dan Korea Selatan. Selengkapnya pada tautan :  Video…</t>
  </si>
  <si>
    <t>RT @IntisariOnline: Jangan Panik, Ini 100 Rumah Sakit yang Bisa Buat Rujukan Penanganan Virus Corona yang Positif Menginfeksi 2 WNI</t>
  </si>
  <si>
    <t>Kondisi seperti ini pernah saya rasakan pada 2016, saat ada kabar penusukan di Sydney Barat yang melibatkan simpatisan ISIS. Muslim kena sorot lagi. Jangankan mau "aneh-aneh" dan bersikap "tidak bijak". Yang ada malah malu dan takut tiap mau mana-mana. Guilty by association.</t>
  </si>
  <si>
    <t>Dinkes Bali Umumkan Hasil Lab WNI yang Kontak dengan WNA Jepang, Ini Isinya</t>
  </si>
  <si>
    <t>Yth. Bp/Ibu WNI di Iran, KBRI Tehran telah membuka Pos Aju/shelter bagi Bp/Ibu yg merasa penyebaran virus Corona di wilayahnya sudah mengkhawatirkan. Silahkan hubungi nomor hotline/staf KBRI utk menggunakan fasilitas tersebut... #IniDiplomasi #IndonesianWay @Kemlu_RI @octavino</t>
  </si>
  <si>
    <t>Sejak WNI kena virus Corona - media : "asik, cuan cuan cuan" - gubernur : "Alhamdulillah, ga perlu mikir pengalihan isu" - ustadz kadrun : (set materi ceramah)</t>
  </si>
  <si>
    <t>RT @vivanewscom: 68 WNI Kru Kapal Pesiar Diamond Princess Tiba di Pulau Sebaru Kecil  #vivanews</t>
  </si>
  <si>
    <t>@yudi682 @P3nj3l4j4h_id Ini naif atau sengaja krn emang supporter ex WNI pro isis? Mau ditest gak anak loe coba kirim ke sana, trus dicuci otak utk bunuh bapaknya sendiri trus pulang &amp; kita liat hasilnya? Indonesia sdh banyak problem krn kadrun intoleran, pemecah belah bangsa. Jgn tambahin problem lg</t>
  </si>
  <si>
    <t>RT @wartapoLitik: Warganet Bingung: Jokowi Umumkan 2 Orang WNI Positif Corona, Kok Denny Siregar Bilang "Yang Sebar Isu Corona Jelas-Jelas Binatang!"?</t>
  </si>
  <si>
    <t>dari segitu banyak artikel di internet widi memilih topik isis sebagai soal daftar pustaka. hmm mencurigakan</t>
  </si>
  <si>
    <t>Marc Klok: Sedikit Lagi Saya Jadi WNI -</t>
  </si>
  <si>
    <t>RT @_aiek_esthreem_: Jokowi minta para menteri peka thd situasi ekonomi dunia yg khawatir dgn Covid-19 China mitra dagang utama Indonesia tengah terpuruk 👇 Rakyat jg jengkel dgn presiden yg cuma kaget &amp; ngomel tanpa solusi &amp;amp; lbh memikirkan China drpd WNI #RezimTutupiCorona</t>
  </si>
  <si>
    <t>@pujangga1123 @KakekHalal @fahiraidris Waduh fahira idris ngebolos,alasan tugas Negara,tapi kalau yg Manggil @karniilyas Setor Muka alias Tampil di @tvOneNews Tancap Gas lari 200KM/jam kali?? Pemerintah lagi sibuk menyelamatkan WNI dari wuhan wabah Corona Virus.Fahira Idris sibuk Tampil di TV One Club @karniilyas 🐒</t>
  </si>
  <si>
    <t>Klo boleh menduga duga kira² berapa wni yg ternyata trjangkit corona tanpa spengthuan pmrnth? Mnuurut sya 833 org</t>
  </si>
  <si>
    <t>@AlfaOmega0110 @Kurniaw33757005 @Widya27213661 @jokowi Mau WNI atau bukan, anak2 tetaplah anak2. Situ ga faham ya arti anak2 ??!</t>
  </si>
  <si>
    <t>@SalmaBrecht @snjayajonggrang Erdogan pantas dicap penjahat perang dan kemanusiaan. Erdogan pendukung teroris ISIS, dia cukup banyak lakukan kejahatan dan pembunuhan terhadap rakyatnya, terhadap etnis Kurdi. Kudeta gagal adalah skenario Erdogan untuk tetap berkuasa diatas darah tentaranya yang dieksekusi.</t>
  </si>
  <si>
    <t>RT @AnakLolina: Hallo @DivHumas_Polri ini tidak bisa di tolerir lagi, harap segerah di mintai pertanggung jawabannya. Masalah agama atau apapun di negara lain, tidak bisa di jadikan acuan utk mengancam minoritas di negeri ini. Di RT gaes biar cepat di tanggapi.</t>
  </si>
  <si>
    <t>5 Maret 2020 21:50 Resmi ditinggal fakboi ganteng WNI :) . (aku ganangis :( )</t>
  </si>
  <si>
    <t>@TeddyGusnaidi Dari awal pembukaan ilc, host ilc yg plontos maaf sy ga tau namanya, memperkenalkan para nara sumber, beliau ada mengatakan warga perum studio alam sutra wni dari wuhan.. Harus fair juga dong, @ILCtv1 harus klarifikasi atas nama ilc jgn atas nama si ibu yg bertamu.</t>
  </si>
  <si>
    <t>@detikcom BODO AMAT !</t>
  </si>
  <si>
    <t>KRI Soeharso-990 Evakuasi WNI Kru Diamond Princess ke Pulau Sebaru</t>
  </si>
  <si>
    <t>@amirerlangga1 Jijik...tapi nyari MUTUALAN...... Kebanyakan COLI lo !</t>
  </si>
  <si>
    <t>RT @r4y_4lf: @spektrumku Untung aja itu di gambar paling kanan tulisannya ISIS, coba kalo IS... Bahaya... 😂😂</t>
  </si>
  <si>
    <t>@LukmanHarijanto @DTanjung15 Bolehlah....kalo bukan suami...siapa lagi ? Jawara ?</t>
  </si>
  <si>
    <t>@DTanjung15 @ISIS_Balik_NO Apa boleh nyaii suaminya sendiri jadi pengacaranya</t>
  </si>
  <si>
    <t>@didi_armayanto @DTanjung15 Buener banget ...tioe anak kroni orba....nyari suami buat pelampiasan kekesalan di luar rumah 😂</t>
  </si>
  <si>
    <t>RT @APramono6: @do_ra_dong Kita pakai logika waras aja,ind bebas keluar masuk warga atw tka dari China masak yg positif hanya 2 org itupun wni.gmn kbrnya tka China yg di Sulawesi n Kalimantan jumlahnya ribuan.masak tdk ada yg positif Corona 1 org pun??? Rasanya kgk mungkin</t>
  </si>
  <si>
    <t>@DTanjung15 Kagak modal ternyatah...... Pengacara 👉👉👉 suami Bodigar 👉👉👉👉 jawara Keren juga si endut gemez berlemak !</t>
  </si>
  <si>
    <t>@retheeshraj10 Ya n isis n radical islam n yea...commnunism..wow</t>
  </si>
  <si>
    <t>RT @DTanjung15: Ooh Ternyata Suaminya Sendiri Toh yg jadi Kuasa Hukum si Fahira Idris..🤭🤭🤣🤣</t>
  </si>
  <si>
    <t>@AlfaOmega0110 @Widya27213661 @jokowi Elu mau melawan undang2.Memang masih banyak anak2 terlantar di luar sana yang butuh perhatian.Tapi enggak adil juga kalau membiarkan anak2 eks isis di luar sana tanpa perlindungan negara.Mereka "Hanya Korban".elu ngerti kan bahasa Hanya korban.</t>
  </si>
  <si>
    <t>RT @Dennysiregar7: Sudahkah warga Jakarta membeli masker seharga 300rb/box ?? Maaf ya, di Surabaya masker dibagiin gratis. Bahagia warganya, tambah kaya Gubernurnya.</t>
  </si>
  <si>
    <t>KRI dr. Soeharso-990 Evakuasi WNI ABK Diamond Princess Ke Pulau Sebaru</t>
  </si>
  <si>
    <t>RT @wahhabicc_jabar: Istana Minta Masyarakat Terima Kepulangan Anak-anak WNI Eks ISIS ------ Kami adalah bagian dari masyarakat yang tidak sepakat pd negara yg memulangkan anak² ISIS. Yang sepakat dengan kami, silahkan 🔁 RT @jokowi @KemensetnegRI @mohmahfudmd</t>
  </si>
  <si>
    <t>Himbauan kepada WNI di Arab Saudi untuk sementara TIDAK melakukan perjalanan ke Mekkah dan Madinah, menindaklanjuti edaran yg dikeluarkan Kementerian Dalam Negeri Kerajaan Arab Saudi @Kemlu_RI @Kemenag_RI @KemensetnegRI #NegaraMelindungi</t>
  </si>
  <si>
    <t>@aewin86 @hnurwahid pekaes punya nurani ? Come on !</t>
  </si>
  <si>
    <t>RT @1nserttranstv: Eksklusif! Klarifikasi WNI yang Terinfeksi Virus Corona</t>
  </si>
  <si>
    <t>@tkalimantan888 @hnurwahid Wah....bisa kejang2 nih Yayat Sapi 😂😂😂</t>
  </si>
  <si>
    <t>@AlfaOmega0110 @Widya27213661 @jokowi "istimewa"Dipulangin aja belum apa lagi di perlakukan istimewa.Lagian juga yang dipulangin anak yatim dan yang berumur di bawah 10 tahun.Mereka di luar sana terluntang lantung enggak punya negara.Mereka juga wni yang keberadaannya di jamin undang2.</t>
  </si>
  <si>
    <t>RT @dewipristia: @ulil @ILCtv1 @karniilyas Maaf mas ulil. Coba dilihat videonya. Memang tidak bilang warga situ tapi sebagai WNI ex wuhan yg kalau ke indo tinggal di situ. Ini tabayunnya biar imbang</t>
  </si>
  <si>
    <t>@ganjarpranowo Assalamu'alaikum pak Ganjar, saat ini di Kudus dan Jepara sudah ada kabar suspect Corona, yang di Kudus itu setelah pulang dari Korea Selatan kemungkinan TKI, harapan saya jika ada WNI yang dari luar negeri terutama dari negara yang terjangkit Corona sebaiknya</t>
  </si>
  <si>
    <t>@akshay2891 @NetajiBond I hate Kasab,Laden, ISIS ALQUEDA TALIBAN Do you hate Ihsan Jafri?</t>
  </si>
  <si>
    <t>@Aryprasetyo85 @agungnurh17 @Airin_NZ @My_LoveNebe @cintada17 Benar2 melaksanakan tugas anggota dewan; 1. mewakili rakyat makan dan hidup enak 2. mewakili rakyat pelisiran 3. mewakili rakyat ngeHoax krn kalo rakyat yg nyebar hoax bisa ditangkap kalo senator mah bebas..... Kurang puas apalg coba jadi WNI, smua sdh dilakukan oleh wakilnya...</t>
  </si>
  <si>
    <t>@jpnncom WNI yg dr Wuhan or Tiongkok hebat donk y bs sehat semua</t>
  </si>
  <si>
    <t>@SetuFery @kalangliwoo @ustadtengkuzul Bedakan kritik-solusi beserta nyinyir, orang WNI bukan ?</t>
  </si>
  <si>
    <t>#TopNewsMetroTV 68 dari 69 WNI ABK Diamond Princess dan 10 kru pendamping KRI dr. Soeharso telah dipindahkan ke pulau Sebaru Kecil pada Kamis siang.</t>
  </si>
  <si>
    <t>RT @Sontolo29062151: @ISIS_Balik_NO @SammiSoh @CeciliaSuwanda1 Nyangkeem mo ..aku ta tertawa ae cuk</t>
  </si>
  <si>
    <t>RT @Menlu_RI: Tadi malam di depan para Pemimpin Redaksi, saya menyampaikan perkembangan situasi global penanganan Covid-19 dan upaya perlindungan WNI terutama di negara-negara terdampak virus (3/3). Hadir dalam pertemuan Menko PMK, Menkes, dan Menkominfo.</t>
  </si>
  <si>
    <t>@Widya27213661 @adangsutisna5 @jokowi Hahaha oke mbakyu. disini doang gayaknya pd sengak. Tuh liat contoh nyata sodara2nya yg brgkt ke Suriah gabung isis. Eeh skrg ngemis2 sm negara thogut, supaya dibebaskan dr hukuman mati rezim Bashar 🤭</t>
  </si>
  <si>
    <t>@fadlizon Saya kira masker gratis bagi WNI, BPJS yg bayar; jadi tak ada masker yg mahal.</t>
  </si>
  <si>
    <t>@GatoLoc01284640 @na_dirs @sudjiwotedjo Tipikal teroris ISIS ya sepertimu ini. Jangankan ke orang yg beda keyakinan. Ke ulama yg beda paham aja nyinyir tanpa sebab musabab. Dasar teroris.</t>
  </si>
  <si>
    <t>RT @Apni: Ini kira kira Dewas TVRI tau nggak ya cuma TVRI yang live dari Jepang memberitakan evakuasi WNI ABK Diamond Princess. #CoronaVirusUpdates</t>
  </si>
  <si>
    <t>@adangsutisna5 @Widya27213661 @jokowi Jadi situ ngotot bela anak Eks Wni teroris ISIS yg katanya gak punya agama nih? 🤔</t>
  </si>
  <si>
    <t>#PTM is #ISIS in Pakistan #NoMercyForTraitorPTM</t>
  </si>
  <si>
    <t>RT @KompasTV: Sahabat KompasTV, apa komentarmu mengenai terjadinya kepanikan di masyarakat pasca diumumkannya WNI positif corona? Reply twit ini &amp; jangan lupa gunakan tagar #KoronaDiMedia ya!</t>
  </si>
  <si>
    <t>@collegemenfess Isis proteus. Kalo mau bikin gambar pcb design pake express pcb ato pcb wizard deh</t>
  </si>
  <si>
    <t>@Kurniaw33757005 @Widya27213661 @jokowi 🤭 inget? klo ada aksi teroris Bom Bunuh Diri,ngebom rmh ibadah/kntor polisi.Pasti selalu ada yg teriak"Teroris gak punya agama".FYI: ISIS =Organisasi Teroris.Jd ngapain juga repot ngurusin yg "katanya" gak beragama? 🤔🤔 Mending mikirin korban/keluarga korban bom bundir teroris</t>
  </si>
  <si>
    <t>@aripmas_ apakah isis adalah yakuza yg syariah</t>
  </si>
  <si>
    <t>Judul: Pedang Sang "Khalifah": ISIS dan Ancaman Radikalisasi dalam Perang Saudara di Suriah dan Irak Penulis: Nino Oktorino Penerbit: Elex Media Komputindo Tebal: 160 halaman Harga: Rp 25.000,- . Narahubung WA:</t>
  </si>
  <si>
    <t>RT @AlfaOmega0110: @adangsutisna5 @Widya27213661 @jokowi Kok ngegas. Bntr2. Loe inget kan klo di ada peristiwa peledakkan Bom di rmh2 ibadah dan kntor polisi. Selalu ada yg triak teroris tdk beragama. Fyi Isis=teroris. So ngapain sih org gak beragama diurusin? 😎 Atau...??</t>
  </si>
  <si>
    <t>@ChusnulCh__ @jokowi @Dr_Moeldoko eks WNI pro ISIS seperti dapat beasiswa dari pemerintahan si @jokowi untuk belajar jadi teroris dengan ISIS setelah lulus mau dipulangin untuk jadi teroris di indonesia</t>
  </si>
  <si>
    <t>@skitchesm Isis emg ada seragam?</t>
  </si>
  <si>
    <t>RT @aiek_esthreem__: Jokowi minta para menteri peka thd situasi ekonomi dunia yg khawatir dgn Covid-19 China mitra dagang utama Indonesia tengah terpuruk 👇 Rakyat jg jengkel dgn presiden yg cuma kaget &amp; ngomel tanpa solusi &amp;amp; lbh memikirkan China drpd WNI #RezimTutupiCorona</t>
  </si>
  <si>
    <t>@JerikoBaru2170 @AbdurachmanAl @jokowi @mohmahfudmd Seorang yang khawarij total seperti isis adalah pemahaman hampir tidak bisa dirubah , untuk merubah diri belajar dulu angka 0 adalah tuhan , Dan akui simbol Satu jari adalah bidah Dan kufur sangat besar pada ALLAH ....</t>
  </si>
  <si>
    <t>2014 Toyota ISIS For Sale in #Jamaica #usedcar #carforsale</t>
  </si>
  <si>
    <t>RT @Metro_TV: #PrimeTimeNews 68 dari 69 WNI Diamond Princess dan 10 kru pendamping dari KRI dr. Soeharso telah dipindahkan ke Pulau Sebaru Kecil pada Kamis siang. Proses pemindahan baru bisa dilakukan hari ini setelah rencana pemindahan Rabu kemarin batal.</t>
  </si>
  <si>
    <t>RT @Metro_TV: #PrimeTimeNews Kepala Pusat Krisis Kesehatan Kemenkes, dr. Budi Sylvana memastikan 1 orang WNI yang masih berada di KRI dr. Soeharso akan segera dibawa ke Jakarta untuk dilakukan pemeriksaan mendalam.</t>
  </si>
  <si>
    <t>@adangsutisna5 @Widya27213661 @jokowi Kok ngegas. Bntr2. Loe inget kan klo di ada peristiwa peledakkan Bom di rmh2 ibadah dan kntor polisi. Selalu ada yg triak teroris tdk beragama. Fyi Isis=teroris. So ngapain sih org gak beragama diurusin? 😎 Atau...??</t>
  </si>
  <si>
    <t>@ChusnulCh__ @jokowi @Dr_Moeldoko Lah di indonesia si @jokowi malah mau mulangin n pelihara bibit" teroris hasil didikan ISIS</t>
  </si>
  <si>
    <t>Tolak pemulangan WNI eks ISIS, strategi membendung radikalisme</t>
  </si>
  <si>
    <t>@_Banyoe @D4tuk_T4mburin China: Indonesia jgn membesar-besarkan mslh korona. So, jgn kn dilarang, mrk masuk ke sini sj tdk diperiksa di bandara, sementara WNI dr Wuhan dikarantina. Dan yg paling ajaib lg, bgmn mereka masuk bandara kita, sementara penerbangan dari &amp; menuju Cina sudh ditutup sejak 5 Feb.</t>
  </si>
  <si>
    <t>Umat TL... Covid-19 bukan tentara Allah. Hanya Allah bangsat yg mau matikan ciptaan yg dikasih-Nya. Makan babi juga bukan sebabkan Anda terjangkit Covid-19. Sebab sejak dulu sebagian dr WNI sdh mkn babi. Masak iya sih kita yg mkn babi, tp Iran yg tak mkn babi yg terinfeksi?</t>
  </si>
  <si>
    <t>RT @M3Danish: Tahniah geng🥳 -the end-</t>
  </si>
  <si>
    <t>Ade pernah bahas topik sensitif ttg WNI yang nikah sama orang mainland tapi twrnyata diperlakukan ga manusiawi sama keluarga besar mempelai pria. Dan tanggapan dia membuatku berpikir "he isnt the one". Terus kita ga kontakam seminggu. Grgr topik tadi. Kan was2 kalo jodoh haha</t>
  </si>
  <si>
    <t>RT @knockknock0408: NNG=NANUMI</t>
  </si>
  <si>
    <t>@jokowi Aku paniknya anda setujui embrio isis sbg virus racun ideologi balik dgn biaya negara..penjual khilafah masih bebas bersuara dan mengkibiri pancasila...mosok aku kudu nulis gini paak</t>
  </si>
  <si>
    <t>RT @KompasTV: Selagi nonton @Rosi_KompasTV, yuk kirimkan pendapatmu mengenai terjadinya kepanikan di masyarakat pasca diumumkannya WNI positif corona. Reply twit ini &amp; gunakan tagar #KoronaDiMedia ya!</t>
  </si>
  <si>
    <t>RT @suaradotcom: WNI Kena Corona, Kabareskrim Minta Dirjen Bea dan Cukai Tahan Ekspor Masker  #DariSuara</t>
  </si>
  <si>
    <t>@ANINewsUP @The_Raack Y bsdk ka isis join karne ja raha tha kya jo itna weapon nikla iske pass 😭</t>
  </si>
  <si>
    <t>RT @AlfaOmega0110: @Widya27213661 @jokowi Blm nyadar. Lah Anak2 Eks WNI ISIS genetika Pembantai Manusia aja konon bakal dijemput dan diperlakukan istimewa 😁</t>
  </si>
  <si>
    <t>pertama kali denger ada wni yg kena virus corona panik sih emang harus beli handsanitezer lah,masker,alkohol 70% lah karena kan apa apa gua naik kendaraan umum takut terpapar. Tapi di krl nya maupun stasiun( baru liat di nambo sih) di sediain hand gel, jd tenang aja sekarang wkwk</t>
  </si>
  <si>
    <t>@parasitlajang Dah, daftar isis aja km</t>
  </si>
  <si>
    <t>@sibeledmonds Wow, bombing alqada / isis is a war crime</t>
  </si>
  <si>
    <t>RT @mediaindonesia: Kesepakatan ini bakal mulai diberlakukan Senin (9/3) dengan secara resmi dikeluarkan Instruksi Gubernur.</t>
  </si>
  <si>
    <t>RT @KompasTV: Pasca diumumkannya kasus WNI positif korona beberapa hari lalu, menimbulkan kepanikan di masyarakat. Ikuti pembahasannya di @Rosi_KompasTV malam ini pkl 20.00 WIB. Live streaming:</t>
  </si>
  <si>
    <t>RT @TeddyGusnaidi: Kenapa kelompok teroris Hizbut Tahrir dan ISIS gunakan bendera bertulis kalimat Tauhid? ya agar orang-orang membenci Islam. Sesimpel itu..</t>
  </si>
  <si>
    <t>@jinggaa_07 Sebelumnya, Presiden Joko Widodo (Jokowi), Senin (2/3) siang, mengumumkan dua warga negara Indonesia (WNI) terjangkit virus Corona. WNI tersebut diidentifikasi sebagai Pasien 1 (31 tahun) dan Pasien 2 (64 tahun). #CegahCorona</t>
  </si>
  <si>
    <t>@muannas_alaidid Polisi, tentara dan lembaga² negara sudah berisi orang² khilafah. Sehingga mandul. Screening hanya mengidentifikasi PKI, bukan DI/TII, HTI, khilafah. Lha pendukung isis saja bebas masuk sekolah perwira.</t>
  </si>
  <si>
    <t>Sebelumnya, Presiden Joko Widodo (Jokowi), Senin (2/3) siang, mengumumkan dua warga negara Indonesia (WNI) terjangkit virus Corona. WNI tersebut diidentifikasi sebagai Pasien 1 (31 tahun) dan Pasien 2 (64 tahun). #CegahCorona</t>
  </si>
  <si>
    <t>RT @KompasTV: BREAKING NEWS - Kedatangan WNI ABK Diamon Prince di Pulau Sebaru</t>
  </si>
  <si>
    <t>Kesepakatan ini bakal mulai diberlakukan Senin (9/3) dengan secara resmi dikeluarkan Instruksi Gubernur.</t>
  </si>
  <si>
    <t>Aka ANAL-ISIS</t>
  </si>
  <si>
    <t>@skitchesm abisnya nekat, pake baju isis di negri +62 yg isinya orng2 bar-bar</t>
  </si>
  <si>
    <t>Empat WNI Terinfeksi Virus Corona di Jepang Dinyatakan Sembuh</t>
  </si>
  <si>
    <t>RT @Bolanet: Marc Klok: Sedikit Lagi Saya Jadi WNI</t>
  </si>
  <si>
    <t>Indonesia negri ku, WNI nya lucu lucu</t>
  </si>
  <si>
    <t>@ILCtv1 Bukan narasumber saja yg harus klarifikasi..@ILCtv1 juga harus klarifikasi..di awal mulai tayangan ILC jlas kok, sewaktu mengenalkan para narasumber, host nya ILC bapak2 yg maaf plontos bilang kok warga komplek studio alam indah wni di wuhan... Saya rasa @ILCtv1 jg hrs fair</t>
  </si>
  <si>
    <t>@JktSams @umaleao @really_groot @JktSams ah...anda bukan WNI... tidak perlu dilayani...</t>
  </si>
  <si>
    <t>Setelah Presiden mengumumkan 2 WNI positif tertular virus corona, kecemasan seolah melanda masyarakat Indonesia. Seberapa luas penyebaran Corona di tanah air &amp; bagaimana penanggulangannya? Dua Sisi: Mampukah Indonesia Melawan Virus Corona? jam 21.00 WIB di tvOne. #DuaSisiCorona</t>
  </si>
  <si>
    <t>WNI Kena Corona, Kabareskrim Minta Dirjen Bea dan Cukai Tahan Ekspor Masker  #DariSuara</t>
  </si>
  <si>
    <t>RT @KompasTV: Dengan diumumkannya kasus WNI positif korona beberapa hari lalu, menimbulkan terjadinya kepanikan di publik. Apa pendapatmu? Jangan lewatkan pembahasan #KoronaDiMedia di @Rosi_KompasTV pkl 20.00 WIB bersama Sarung Tenun Tangan @BhsSarung. #Ad #BHSbersamaROSI</t>
  </si>
  <si>
    <t>@AlfaOmega0110 @Rivelia9 @jokowi Dia gak baper tp munafikun..faktanya emg anggota ISIS eks WNI</t>
  </si>
  <si>
    <t>RT @fadjroeL: 4 WNI Terjangkit Corona di Jepang Sembuh!  &lt; Alhamdulillah! Semoga semangat para pasien dan kegigihan para tenaga2 kesehatan serta solidaritas masyarakat menjadi energi bersama melewati masa2 sulit ini ~ FR #Jubir #BungJubir @JubirPresidenRI</t>
  </si>
  <si>
    <t>Sahabat KompasTV, apa komentarmu mengenai terjadinya kepanikan di masyarakat pasca diumumkannya WNI positif corona? Reply twit ini &amp; jangan lupa gunakan tagar #KoronaDiMedia ya!</t>
  </si>
  <si>
    <t>@ChusnulCh__ @jokowi @Dr_Moeldoko Aku mah baca ini lsg nunggu tuh SJW tereak HAM dan nuntut pemerintah bela wni yg di perlakukan semena mena oleh negara lain... Abis tu ujungnya salah siapa permirsaa??????</t>
  </si>
  <si>
    <t>Salah satu antek ISIS yg msh berkeliaran bebas dgn menyebarkan faham khalifah di setiap ceramahnya. Orang ini jg petinggi ormas HTI yg udh dibubarin. Hati2 kalian semua. Brkt fkt nya;@narkosun @TolakBigotRI @jr_kw19 @WagimanDeep__ @wahhabicc_jabar #RezimKerjaAmburadul #Ahok #hti</t>
  </si>
  <si>
    <t>Semenjak ada WNI kena corona, banyak banget yg make masker wkwk jadi berasa ada di in game RE dah🧟‍♂️</t>
  </si>
  <si>
    <t>@syafrinkar typo, lulus syarat wni</t>
  </si>
  <si>
    <t>Kemkes Berharap 3 WNI di Diamond Princess Segera Dipulangkan</t>
  </si>
  <si>
    <t>@ISIS_Balik_NO @andre_rosiade Kerja nya sambil ngevlog nangkapin PSK eehh di jebak</t>
  </si>
  <si>
    <t>@zarazettirazr Kami tdk perlu katu prakerja! Kami perlu pemerintahan yg handal yg bisa menyediakan lapangan pekerjaan utk WNI!! #IndonesiaDiAmbangKebangkrutan</t>
  </si>
  <si>
    <t>RT @gen987fm: Menteri Luar Negeri Retno Marsudi mengungkapkan, 4 WNI ABK kapal pesiar Diamond Princess di Jepang yang sebelumnya positif virus corona telah dinyatakan sembuh. Retno menambahkan saat ini tersisa 5 WNI lain dari kapal tersebut yang masih positif corona.BeritaTerkiniGenfm</t>
  </si>
  <si>
    <t>@ustadtengkuzul Iya contohnya ISIS, dan disini ada benihnya yaitu ......</t>
  </si>
  <si>
    <t>RT @BakarSmith: Obat lupa ISIS - WAHABIS 🎥Sabilulungan cc. @AnakKolong___ @wahhabicc_jabar @PartaiSocmed</t>
  </si>
  <si>
    <t>Terlepas dr kelakuan Mus, Pedri Kasman, Sebagai wujud #teposliro, sy jg selalu membela Muhamadiyyah apabila ada yg menuduh mrk pro-radikalis Wong Pak Din pernah ttd deklarasi internasional anti ISIS dgn Habib Lutfi waktu awal2 ISIS muncul dulu</t>
  </si>
  <si>
    <t>@sukangetweet @jokowi @RizmaWidiono corona pun minggir ngeliat kebersamaan WNI dalam #CegahCorona</t>
  </si>
  <si>
    <t>@Rivelia9 @Widya27213661 @jokowi Awas sis ntar ada yg baper. Kyaknya ada yg gerah tuh krn sy sebut anak eks wni isis itu bergenetika pembantai 😁🤭</t>
  </si>
  <si>
    <t>@eddisimamora @Widya27213661 @jokowi Loh kok malah situ yg tersinggung? Yg pasti tersinggung biasanya simpatisan ISIS atau yg diem2 (gak brani terang2an) dukung ISIS 😁. Mudah2an situ bkn 😎😎</t>
  </si>
  <si>
    <t>Nasib ubat tk banyak this time</t>
  </si>
  <si>
    <t>KBRI Ankara imbau WNI di Turki cegah penularan COVID-19</t>
  </si>
  <si>
    <t>@jokowi Ngomong2 soal musuh, Kadrun al-kampreti, Pak 😀 Sales ex-HTI yg msh bebas keliaran juga tuh.. Potensi benih2 terorist dari anak2 ex WNI pro ISIS juga.. Jgn diremehkan :))</t>
  </si>
  <si>
    <t>RT @KienAnd_: Militan militan asing ini akhirnya berevolusi menjadi gerakan bersenjata mematikan diantaranya ISIS, Jabhah Nushra, Ahrar al syam yang berafiliasi dengan Alqaedah, dan Free Syrian Army yang berafiliasi dgn Ikhwanul Muslimin</t>
  </si>
  <si>
    <t>@wijaya_karenina @AndreClp @TeddyGusnaidi Makanya kasih pengertian dong... pengertian itu kan ada dua, positif dan negatif.... kakak Pembina itu mengkait2kan dg Teroris, isis dll.. apa iya Khilafah itu demikian.... Khilafah di bahas, mega Korupsi ngga? Apa yg begitu di sebut Pancasilais</t>
  </si>
  <si>
    <t>Im super duper not a big fans of nasi. 2 sudu je da kenyang.. tp kena paksa makan :(</t>
  </si>
  <si>
    <t>WNI memang top. Kuat daya tahannya. Yang panic buying borong masker &amp; sembako, sudah lah.</t>
  </si>
  <si>
    <t>@AlfaOmega0110 @jokowi Sgt miris kan..sdgkan anak2 Indonesia yg ada msh byk yg kurang perhatian koq mo ngurusin anak2 ISIS</t>
  </si>
  <si>
    <t>@Widya27213661 @jokowi Blm nyadar. Lah Anak2 Eks WNI ISIS genetika Pembantai Manusia aja konon bakal dijemput dan diperlakukan istimewa 😁</t>
  </si>
  <si>
    <t>Mas novan drr.. #TeamHumas Sudah berusaha komen Kritik keras ! kpd media tv.. Agar tdak terus menerus Menggoreng Kasus 2 WNI Positf #VirusCorona Smga musibah ini cepat Berlalu.. Hotel2 boss muda ramai lagi Di kunjungi..👌🙏 Mas novan drr.. Update.. #PrimeTalk #AkimalamtvOne RT @rafiki_team: @SrikandiTeam 1258 patner bisnis otomotiv Boss muda #AdipatiRafiki Di eropa.. Batal terbang ke bali Ultah #35tahunAdipatiRafiki Gara2 kasus 2WNI #VirusCorona Muncul..😇 #Lamborghini #bugatti #Ferrari #Lexus #BMW #MercedesBenz #Audi #Rolls #RollsRoyce #PagipagiHappy I love you..👄❤</t>
  </si>
  <si>
    <t>RT @sidewii: Begini gaes, dollar sudah naik dan rupiah sudah anjlok 4 hari sebelum presiden mengumumkan ada WNI yang terkena Corona.</t>
  </si>
  <si>
    <t>@ratjunn Gak beragama salah, sudah beragama tapi gak islam salah, sudah islam tapi gak sunni salah, sudah sunni gak NU salah, sudah NU kuliahnya di UMM masih salah? Enggak e ini kamu NU kok rasa ISIS. Udah sarungan kok masih ngisis</t>
  </si>
  <si>
    <t>@TeddyGusnaidi @FerdinandHaean2 Aku tantang juga kau sebutkan siapa pendukung ISIS? siapa pendukung hizbut tahrir? Siapa teroris yang anti pancasila itu. Kalau kau bisa sebutkan dengan jelas siapa orangnya ku kasi kau hadiah.</t>
  </si>
  <si>
    <t>@adamabdrr @mohmahfudmd ini lebih penting diurus ketimbang anak isis...mereka setia NKRi masih terlantar</t>
  </si>
  <si>
    <t>@BirgaldoS @jokowi @mohmahfudmd @KPAI_official Yang sabar dan tegar ya nak. Pemerintah masih sibuk mengurusi anak-anak Isis atas nama kemanusiaan. Tuhan Yesus memberkati.</t>
  </si>
  <si>
    <t>Begini gaes, dollar sudah naik dan rupiah sudah anjlok 4 hari sebelum presiden mengumumkan ada WNI yang terkena Corona.</t>
  </si>
  <si>
    <t>@eko_kuntadhi Anggaplah BENAR ISIS BENTUKAN AS &amp; HTI BENTUKAN INGGRIS... Trus yg TOLOL SIAPA? kok mau amat di-KADALIN sampai² melipir ke agama? 😂😂😂 #KasianAmat</t>
  </si>
  <si>
    <t>RT @republikaonline: WNI yang kontak dengan WN Jepang yang positif corona dinyatakan tidak terinfeksi.</t>
  </si>
  <si>
    <t>@MFikriZaki @CNNIndonesia Harusnya dikarantina. Seperti WNI yg datang dr Wuhan. Bukan dibiarkan bebas berkeliaran di bandara. Tapi ini rezim.... Yaa sudahlah! Konsisten utk tidak konsisten.</t>
  </si>
  <si>
    <t>Dengan syarat anak2 eks WNI Kombatan ISIS diperbolehkan pulang ke Indonesia dan wajib disambut dgn meriah ya pak @jokowi @mohmahfudmd @Kemenag_RI? Sama aja bohong... #JokowiNggedebusTok</t>
  </si>
  <si>
    <t>Landing Craft Utility (LCU) KRI dr Soeharso mengangkut WNI ABK Diamond Princess untuk diobservasi di Pulau Sebaru Kecil, Kepulauan Seribu, Jakarta, Kamis (5/3/2020).</t>
  </si>
  <si>
    <t>WNI yang kontak dengan WN Jepang yang positif corona dinyatakan tidak terinfeksi.</t>
  </si>
  <si>
    <t>@MohsinN38943542 @samim861658 @javanmard_2 @zeitoon1993 @JZarif ISIS koi place ni hai. It's ideology. Fr Pakistan Osama ko kiu rakhe tha. Accha tasweer dekhna tha Aapke hero ki. Terrorist ki puja krne</t>
  </si>
  <si>
    <t>Kerja cerdas tim news @TVRINasional untuk memenuhi kebutuhan informasi publik terkait pemindahan WNI dari dua kapal pesiar hingga memasuki masa observasi di P.Sebaru. terima kasih kawan kawan. Kira kira DEWAS ngerti gak ya? Haqul yakin,.. nope!! Pak @jokowi kami resah sekali</t>
  </si>
  <si>
    <t>@BirgaldoS @jokowi @mohmahfudmd @KPAI_official Tolak ex wni pro ISIS donk Pak @jokowi @mohmahfudmd</t>
  </si>
  <si>
    <t>RT @AnakLolina: Selamat datang pembela agama Allah, Indonesia sangat butuh kehadiran kalian sbg pemberani. Pluralisme tidak baik di negeri, saatnya Khilafah di tegakkan. Islamic State is the best. Jangan lupa sahabat NKRI siapkan nyanyian &amp; tarian sambut pembela agama.</t>
  </si>
  <si>
    <t>@ChusnulCh__ @jokowi @Dr_Moeldoko Mampus kau kadal gurun ISIS nikmati ya hotel prodeo mu</t>
  </si>
  <si>
    <t>HANCURKAN PENYEBAR KHILAFAH DAN ISIS  #MenolakKhilafah #MenolakLupaKejahatanIsis #NKRIHargaMati #pancasila #indonesiadamaitanpaisis #IndonesiaCorona #Toleranz #IndonesiaToleran #IndonesiaDamaiTanpaKhilafah</t>
  </si>
  <si>
    <t>@osehcloudoy wni kokkk. tapi bhs indonesia pas kecil ga bener² amat. thank youuu ❤</t>
  </si>
  <si>
    <t>RT @_shazairdinaa: Congracts ety! No.1 terbaik SABK seluruh Malaysia 🇲🇾🤩 Dh terbyg dh ayt2 pn pengetua penetapan target spm 2020, make sure sume muke tenang je ok 14 mac nanti 🙌</t>
  </si>
  <si>
    <t>Papua Cegah Corona, kunjungan WNI ke Papua akan dibatasi, kunjungan WNA bakal dilarang</t>
  </si>
  <si>
    <t>@leetennology bukan wni?? btw bagus bgt nilaiinya huhuu</t>
  </si>
  <si>
    <t>@ji_sungnoona @fluvvbanana mao kaos B ukuran XL(skaliyan yg gde biyar isis ko makek:)) mao boneka D yg warna KONENG YAA:((</t>
  </si>
  <si>
    <t>@ChusnulCh__ @jokowi @Dr_Moeldoko UBN yg tersangkut kirim dana ke ISIS gak ada updatenya??</t>
  </si>
  <si>
    <t>@MohsinN38943542 @samim861658 @javanmard_2 @zeitoon1993 @JZarif Osama azhar Hafiz ISIS Al queda Jem Let sbhi to pak m hai. Pakistan safe haven hai terrorist k liye. American ne kaise usko uthaya pakistan usko chupa rakha tha. Isi liye FATF grey m dla smjho jara</t>
  </si>
  <si>
    <t>RT @tananda23: "Terima kasih" kepada Tomy Winata, pemilik Pulau Sebaru yg "bangga dan gembira" telah meminjamkan pulau tsb kpd NKRI sbg tempat observasi WNI kru kapal pesiar Diamond Princess. #COVID19indonesia #CoronaAlert #Sarcasm #Indonesia</t>
  </si>
  <si>
    <t>RT @Sofianasution1: Akhirnya 4 WNI yang terjangkit virus corona di Jepang dinyatakan sembuh</t>
  </si>
  <si>
    <t>@AlterBase18Plus Bahas ex wni pengikut isis dipulangin, mau?</t>
  </si>
  <si>
    <t>RT @kompascom: Empat WNI yang dikonfirmasi positif Covid-19 di Jepang telah dinyatakan sembuh - #Tren</t>
  </si>
  <si>
    <t>RT @Jaya_Ind: @MurtadhaOne1 @Kemenag_RI @MUIPusat yg satu sibuk ngurusin penyambutan anak2 isis, yg satunya lg sibuk ngurusin 'tentara Allah' + nyinyirin babi</t>
  </si>
  <si>
    <t>@_wni_ Busy cetan event banyak 😀</t>
  </si>
  <si>
    <t>Satu-satunya cara menuntaskan virus corona di indonesia cuma khilafah sih. Gausah diobatin cukup dibaiat masuk isis</t>
  </si>
  <si>
    <t>@Puteriswift_ Balik la bodoh. Dekat jeeeeeee</t>
  </si>
  <si>
    <t>@NephiLaxmus @KemenkesRI Justru awalnya sy ga percaya 2 wni suspect corona krn yg bawa berita dia lagi dia lagi. Emang repot menghadapi pembohong.</t>
  </si>
  <si>
    <t>@ChusnulCh__ @jokowi @Dr_Moeldoko Setelah dipenjara ketiga orang itu juga akan dipulangkan dengan biaya negara, dan anak2nya dibiayai sampai dewasa? Seperti anak2 ISIS itu? 😃😃😃</t>
  </si>
  <si>
    <t>RT @jebat_165: Kejadian minggu lepas di k.krau temerloh pahang. Dah 3 bulan meninggal. Kerana anak2 tak ambil kisah tentang keberadaan bapa. Sbb arwah ada masalah mental. Semoga menjadi iktibar kepada kita. 😭 Siapa pn ibu dan ayah kita, tanggungjawab menjaga dan ambil peduli tentang mereka.</t>
  </si>
  <si>
    <t>Aku tknk update Twitter</t>
  </si>
  <si>
    <t>RT @BangGodham: @HisyamMochtar WNI dari China dikarantina... Giliran turis dari China lenggangn kangkung... Efek Dahsyat Hutang dari China...🤬 #BangsatBangsa</t>
  </si>
  <si>
    <t>terus ISIS tentaranya siapa ya... RT @kacok: tentara si somad makan babi</t>
  </si>
  <si>
    <t>RT @IdEmbassy_Seoul: Selain menyapa para mahasiswa, Dubes jg membagikan masker utk para mahasiswa Indonesia tsb. Bagi semua WNI yang berada di Korsel, mari kita tetap tenang dan meningkatkan kewaspadaan. Jgn khawatir, jmlh masker masih mencukupi. Jk dlm keadaan darurat, silakan hubungi hotline brkt:</t>
  </si>
  <si>
    <t>@jaakaajeeka @detikcom ngaku muslim tapi pada dasarnya merusak ...tidak ada ajaran islam yg kaya fpi..kecuali pengikut isis..</t>
  </si>
  <si>
    <t>Mengada</t>
  </si>
  <si>
    <t>Ngobrol Bareng WNI Eks Karantina Natuna Akibat Teror Virus Corona</t>
  </si>
  <si>
    <t>@KRMTRoySuryo2 @Menlu_RI @Kemlu_RI Hahahha,,asal mewabah virus covid dari chino singkek sipit,,,, Rupanya rezim ini sedang mempertaruhkan keselamatan wni dengan investasi Mulai awal ,rezim ini sangat berbahaya bagi lingkungan hidup beserta ekositemnya,dan kehidupan di dalamnya</t>
  </si>
  <si>
    <t>Nak gi penang☹</t>
  </si>
  <si>
    <t>Innalillahi wa'innailahiroojiuun. Telah meninggal dunia WNI a.n. Siti Aisyah Kecak, jemaah umroh asal Lombok Tengah. Almh. meninggal pada tanggal 2 Maret 2020 di pesawat AirAsia dalam perjalanan dari Jeddah menuju Kuala Lumpur, usai melaksanakan ibadah umroh.</t>
  </si>
  <si>
    <t>@aafreen20485884 tmne kha k check kiye thy tamatar kharaab h ya nai??? Yw tmne video banai thi jo tmh pta h Aatanki RSS k hai ya ISIS k?? Kitny jahil ho tm dekho kse mullana n fake video dikha dikha k tmhare dimaag m hinduon k khillaf nafrat bhar di hai..</t>
  </si>
  <si>
    <t>@Novreeze @olencieile @manyol666 @AdityaWisnu Tolong dicariin referensinya juga kalo mati dlm berjihad (konteksnya teroris, lempar bom, daesh/isis dll) dapet 72 bidadari?</t>
  </si>
  <si>
    <t>68 WNI Kapal Pesiar Diamond Princess terus dipantau oleh Tim Kesehatan di Pulau Sebaru Kecil, Kepulauan Seribu #PulauSebaru</t>
  </si>
  <si>
    <t>WNI ABK Diamond Princess Turun dari KRI Soeharso, Masuk ke Pulau Sebaru. #pulausebaru #Corona #VirusCorona #COVID19</t>
  </si>
  <si>
    <t>@R3sta_305 @IwanNurwulan Orang yg tak ber-etika seperti itu yg akan jadi gubernur ibu kita baru. Dan sepertinya, seandainya Pimpinan di Indonesia di Pimpin oleh WNI keturunan, maka Sepertinya Indonesia akan terjajah oleh keturunan dan akhirnya oleh Bangsa Asing</t>
  </si>
  <si>
    <t>RT @tvOneNews: Proses pemindahan 68 WNI ABK Diamond Princess ke Pulau Sebaru. Simak breaking news lainnya di tvOne connect. #tvOneNews #BreakingNews #observasi #Sebaru #corona</t>
  </si>
  <si>
    <t>Pasca diumumkannya kasus WNI positif korona beberapa hari lalu, menimbulkan kepanikan di masyarakat. Ikuti pembahasannya di @Rosi_KompasTV malam ini pkl 20.00 WIB. Live streaming:</t>
  </si>
  <si>
    <t>Seorang WNI kapal Diamond Princess batal diobservasi</t>
  </si>
  <si>
    <t>Pemerintah Optimal Menangani WNI Positif Covid-19.</t>
  </si>
  <si>
    <t>RT @Cobeh09: 238 WNI Dari Wuhan Tak Dites Virus Corona, Karena Alatnya Mahal .</t>
  </si>
  <si>
    <t>Presiden @jokowi mengonfirmasi ada 2 WNI yang terkena COVID-19. Sudah sepatutnya kita lebih berhati-hati terhadap penyebaran Virus ini. Simak info #covid19 di  via @pinterest</t>
  </si>
  <si>
    <t>@dulpantau dgn mengakses laman  atau melakukan scan QR pembukaan rekening menggunakan mobile browser yg ada di ponsel/ smartphone. Namun setiap Warga Negara Indonesia (WNI) yg memiliki Kartu Tanda Penduduk (KTP) (2)</t>
  </si>
  <si>
    <t>Alhamdulillah setelah dinanti nanti sekian purnama akhirnya terwujud utk mengamankan WNI. Nanti skalian revoke fasilitas free visa utk korsel @ditjen_imigrasi @Menlu_RI RT @BBCIndonesia: Virus corona: Indonesia melarang warga asing dari Iran, Italia, dan Korsel kunjungi dan transit ke Indonesia.</t>
  </si>
  <si>
    <t>@netmediatama Mayoritas WNI bucheen Jae 🤧</t>
  </si>
  <si>
    <t>RT @SelectaTiara: JANGAN PANIK ! UPDATE INFORMASI VIRUS CORONA (1) Sampai hari ini (Kamis, 5/3/2020) WNI yang dinayatakan positif terinfeksi virus Corona berjumlah dua orang. Itupun sudah ditangani dengan serius oleh Kementerian Kesehatan dan pihak RSPI Sulianti Saroso.</t>
  </si>
  <si>
    <t>TERNYATA SUDAH ADA KASUS ! Menkes mengkonfirmasi 2 WNI positif Corona😨sang anak berusia 31 th &amp; ibu berusia 64 th. Keduanya merupakan warga Depok ,Jawa Barat keduanya diketahui tertular WN Jepang 🇯🇵</t>
  </si>
  <si>
    <t>RT @validnewsco: Dua orang warga negara Indonesia (WNI) yang positif terkena virus corona jenis baru (COVID-19), disebut dalam kondisi membaik. #ValidNih</t>
  </si>
  <si>
    <t>Sejak Kemenkes RI mengatakan ada dua WNI yang terjangkit virus Corona (COVID-19) di Depok, menyebabkan harga masker dan harga barang lainnya melonjak naik dan mahal. . . . #Polisi #PolriPromoter #Poldakaltim #Polres #Kaltim #kamihumaspolri #thebestpol #sobatpolri</t>
  </si>
  <si>
    <t>RT @P3nj3l4j4h_id: Saya heran jokowi dan jajarannya sibuk banget persiapkan kepulangan anak sampah ke negeri ini? Apakah g mikir mereka ini jika kelak anak sampah ini akan jadi bumerang bagi negeri ini! #JokowiCintaAnakIsis mungkin y, tampung aja anak isis semuanya bukan hnya yg dr indonesia!</t>
  </si>
  <si>
    <t>Untuk mencegah sakit, suplemen bisa untuk menjaga imunitas tubuh. Penularan virus bisa dicegah jika daya tahan tubuh kita terjaga dengan baik. Korban virus corona atau Covid-19 di Indonesia akhirnya diberitakan bahwa ada 2 orang WNI yang positif terinfeksi corona.</t>
  </si>
  <si>
    <t>"Loh, aku etok teko media" yo ngerti rek info ngunu wi teko media, tapi setidake kene sebagai wni yang baik (uwwuu) harus bisa nge-filter berita aktual atau wacana, urgent atau masih dugaan. Diwoco sek, dipahami, baru disimpulkan. Oke sayang :v</t>
  </si>
  <si>
    <t>RT @asyikpolitik: --- MATI KETAWA ALA INDONESIA : PASIEN POSITIF CORONA DIWAWANCARAI MEDIA --- Menteri Luar Negeri Retno Marsudi sempat mengeluhkan tertutupnya pemerintah Jepang atau Kedutaan Jepang di Indonesia terkait identitas WNI yang positif terinfeksi virus Corona di kapal Diamond Princess</t>
  </si>
  <si>
    <t>@eko_kuntadhi Saya lagi ga bahas hizbut Tahrir.. Yg anda bahas kan Khilafah dan Isis..</t>
  </si>
  <si>
    <t>Saya tetap menolak dengan tegas WNI posting foto pakai BIKINI atau pakaian dalam. Sebutkan dengan bukti, sejarah mana yang menyetujui Indonesia pamer bikini di ruang publik? Dan untuk para ahli kitab, berhak bersuara. @Kemenag_RI @jokowi @Kemdikbud_RI @KemenkesRI #MentalHealth</t>
  </si>
  <si>
    <t>@ustadtengkuzul Apakah Anak Bangsa ISIS yang ku Maksud...?</t>
  </si>
  <si>
    <t>RT @rema_febrian: @MihammadWan @dwiclarita1 @Amahmuna3 Isis bukan islam bro itu propaganda negara libral</t>
  </si>
  <si>
    <t>@SMTOWN_JKT Tetap ingat keselamatan dan kesehatan warga WNI yg lebih utama bukan cuma bisnis dan duit saja.</t>
  </si>
  <si>
    <t>@ShamaJunejo Ap #MarviSarmad k ye comments or post read kr lain or phir sochna k is tara ki aurat k sath isis zuban mein bat krna nahe bnta tha kya ? #MeraJisamMeriMarzi #khalilurrehmanqamar #KhalilUrRahmanQamar #khalilurrehmanqamar_we_salute_you</t>
  </si>
  <si>
    <t>@Readfar WNI dari China dikarantina, giliran turis dari China lenggang saja Efek Dahsyat Hutang dari China</t>
  </si>
  <si>
    <t>RT @SarahHapsarii: Akhrinya WNI ABK Diamond Princes hari ini bakal segera bertemu keluarga juga</t>
  </si>
  <si>
    <t>Usai Dua WNI Positif Corona, Pemkot Bekasi Terbitkan Surat Edaran Larangan Menimbun Barang</t>
  </si>
  <si>
    <t>RT @7nagaO3MT3:  Lebih urgent dari anak2 ISIS eks WNI Pak @jokowi⁉️✅ @Kiyai_MarufAmin @mohmahfudmd @PolhukamRI @DivHumas_Polri @Puspen_TNI @KemensosRI @TheArieAir</t>
  </si>
  <si>
    <t>[ JOKOWI : 2 WNI DINYATAKAN POSITIF CORONA ] Mencegah lebih baik daripada mengobati(!) Tenang dalam kondisi apapun HIDUP MAHASISWA! HIDUP RAKYAT INDONESIA! FORKOMPI 2019/2020 SENADA HARMONI NUSANTARA #FORKOMPI #SENADAHARMONINUSANTARA</t>
  </si>
  <si>
    <t>Akhrinya WNI ABK Diamond Princes hari ini bakal segera bertemu keluarga juga.</t>
  </si>
  <si>
    <t>WOW Akhirnya 4 WNI yang terjangkit virus corona di Jepang dinyatakan sembuh</t>
  </si>
  <si>
    <t>RT @endaheraldo: Kepada yth pak @jokowi dan pak @mohmahfudmd . Stop urusi orang2 eks isis. Baik orang tuanya maupun anaknya. Tolong urusin kami rakyat yg selama ini setia kepada Pancasila dan cinta tanah air. Please pak. Mas @Chilli_Pari n mas @kaesangp . Tolong beri masukan ke bapak 🙏</t>
  </si>
  <si>
    <t>Lebih urgent dari anak2 ISIS eks WNI Pak @jokowi⁉️✅ @Kiyai_MarufAmin @mohmahfudmd @PolhukamRI @DivHumas_Polri @Puspen_TNI @KemensosRI @TheArieAir</t>
  </si>
  <si>
    <t>RT @Okihita: Moralitas itu soal konsistensi. Seseorang disebut "tidak bermoral", jika kepada orang yang berbeda dia menerapkan perlakuan-moral yang berbeda. Kalau dia sedih saat idolnya bunuh diri, tapi senang saat WNI ex-ISIS mati, dia tidak benar-benar menilai "hidup manusia itu berharga".</t>
  </si>
  <si>
    <t>Akhrinya WNI ABK Diamond Princes hari ini bakal segera bertemu keluarga juga</t>
  </si>
  <si>
    <t>4 WNI yang terjangkit virus corona di Jepang dinyatakan sembuh</t>
  </si>
  <si>
    <t>@Dhany019 @hmydarman Sdh sy jelaskan di salah 1 yg komen. Sy jelaskan lg gpp mumpung lg baik😅 Itu foto menkes kunjungan ke Natuna, pd saat wni dr wuhan di isolasi disana.</t>
  </si>
  <si>
    <t>Jangan panik! WNI pasien corona banyak yang sembuh. #SINDOgrafis</t>
  </si>
  <si>
    <t>RT @vianyayuni: 4 WNI yang terjangkit virus corona di Jepang dinyatakan sembuh</t>
  </si>
  <si>
    <t>Akhrinya WNI ABK Diamond Princes hari ini bakal segera bertemu keluarga jugahttp://correcto.id//homepage/read/20827</t>
  </si>
  <si>
    <t>Akhirnya 4 WNI yang terjangkit virus corona di Jepang dinyatakan sembuh.</t>
  </si>
  <si>
    <t>RT @suaradotcom: Urung Mendarat di Pulau Sebaru, 1 WNI Diamond Princess Masih Diperiksa  #DariSuara</t>
  </si>
  <si>
    <t>RT @FahmiATB: Proses evakuasi wni abk kapal diamon princes di pulau sebaru.</t>
  </si>
  <si>
    <t>#PrimeTimeNews Kepala Pusat Krisis Kesehatan Kemenkes, dr. Budi Sylvana memastikan 1 orang WNI yang masih berada di KRI dr. Soeharso akan segera dibawa ke Jakarta untuk dilakukan pemeriksaan mendalam.</t>
  </si>
  <si>
    <t>RT @anakmudanegara: #ANAKMUDA ingin mengucapkan tahniah kepada mereka yang bakal mendapat keputusan SPM tahun ini. Dikongsikan bersama Arah Tuju Selepas SPM, penulisan UUM untuk rujukan. Bagaimana pula saranan #ANAKMUDA kepada mereka? Kredit: Universiti Utara Malaysia</t>
  </si>
  <si>
    <t>#IniDiplomasi #NegaraMelindungi Repost from @Portal_Kemlu_RI #sahabatKJRIVancouver, Indonesia kembali melakukan langkah-langkah preventif untuk melindungi WNI dari Covid 19. Indonesia perketat syarat masuk dan…</t>
  </si>
  <si>
    <t>@qorygore "Presiden Umumkan Dua WNI Positif Corona di Indonesia" *Awto panick</t>
  </si>
  <si>
    <t>#PrimeTimeNews 68 dari 69 WNI Diamond Princess dan 10 kru pendamping dari KRI dr. Soeharso telah dipindahkan ke Pulau Sebaru Kecil pada Kamis siang. Proses pemindahan baru bisa dilakukan hari ini setelah rencana pemindahan Rabu kemarin batal.</t>
  </si>
  <si>
    <t>Dua orang warga negara Indonesia (WNI) yang positif terkena virus corona jenis baru (COVID-19), disebut dalam kondisi membaik. #ValidNih</t>
  </si>
  <si>
    <t>RT @AdDien90: Masa kecik dulu, tak sabar nak jadi dewasa. Bila dah dewasa, baru tahu betapa seronoknya jadi kanak-kanak. Dalam hujan pun sempat bermain dengan kawan².</t>
  </si>
  <si>
    <t>RT @KompasTV: Apa pendapatmu mengenai terjadinya kepanikan di publik pasca WNI positif corona? Reply twit ini &amp; gunakan tagar #KoronaDiMedia.</t>
  </si>
  <si>
    <t>WNI positive corona di kapal diamond princess udah sembuh. Mantep emang imun orang Indo. Semoga pasien 01 dan 02 cepet recovery aamiin</t>
  </si>
  <si>
    <t>RT @batasnaluri: Alhamdulillah, Terima kasih dokter dan pr medis lain di jepang. Kalian telah mengobati saudara kami yg terjangkit corona 🙏🙏🙏 4 WNI Terjangkit Corona di Jepang Sembuh!!!</t>
  </si>
  <si>
    <t>@detikcom WNI : jgn takut corona,corona hnya virus flu,angka kematian akibat corona kecil CORONA : hey kalian para WNI ne skg aku dtng kenegaramu WNI : ahirnyaa yg kita tunggu² telah tiba WALCOME CORONA di negri TERSANTUY 🌷🌹 CORONA : asemm.. hanya dinegara ini aku gak di segani 😭</t>
  </si>
  <si>
    <t>Tragedi Di Bandara Tianhe Wuhan. Cerita Di Balik Evak #uasi WNI Wuhan (Bag. 6)  #moreshareforum #beritaterkini</t>
  </si>
  <si>
    <t>@Luvita_julie Iya betul... mereka pembenci khilafah adalah kelompok Islam phobia,termakan propaganda barat dan komunis. dibenak mrk khilafah itu seperti ISIS atau Taliban. Padahal khilafah adalah sistem pemerintahan yg terbaik setelah Rasulullah SAW wafat.</t>
  </si>
  <si>
    <t>@ansordotcom @AwJiweg @FiersaBesari Nggak kak aku merah putih (WNI). 😁</t>
  </si>
  <si>
    <t>@HisyamMochtar WNI dari China dikarantina... Giliran turis dari China lenggangn kangkung... Efek Dahsyat Hutang dari China...🤬 #BangsatBangsa</t>
  </si>
  <si>
    <t>Apa pendapatmu mengenai terjadinya kepanikan di publik pasca WNI positif corona? Reply twit ini &amp; gunakan tagar #KoronaDiMedia.</t>
  </si>
  <si>
    <t>RT @kompascom: “Mereka akan pulang dengan pesawat komersial, tapi akan kami lakukan karantina di Badan Pelatihan Kesehatan (Bapelkes) Cikarang,”</t>
  </si>
  <si>
    <t>RT @KompasTV: Pasca diumumkannya WNI yang positif corona, menimbulkan kepanikan masyarakat Indonesia. Tonton pembahasan mengenai hal ini di @Rosi_KompasTV pkl 20.00 WIB eps #KoronaDiMedia. Live streaming:</t>
  </si>
  <si>
    <t>@KemenkesRI Salut sama kru yang selalu berusaha memberikan yang terbaik kepada para WNI. Semangat terus yaa</t>
  </si>
  <si>
    <t>RT @vianmdbsa: Detik-detik Kedatangan WNI ABK Diamond Princess di Pulau Sebaru...  via @YouTube</t>
  </si>
  <si>
    <t>RT @topinfo_id: Pemindahan WNI ABK Diamond Princess ke Pulau Sebaru Kecil</t>
  </si>
  <si>
    <t>Pemindahan WNI ABK Diamond Princess ke Pulau Sebaru Kecil</t>
  </si>
  <si>
    <t>Pemindahan 69 WNI ABK Diamond Princess ke Pulau Sebaru, Yurianto: 68 Negatif Corona, 1 Dites Ulang</t>
  </si>
  <si>
    <t>Yuuuuk, berguru ilmu halal kepada salah seorang ahlinya, beliau adalah Prof. Irwandi Jaswir, PhD irwandi.jaswir urang awak asli dan WNI hingga detik ini dari INHART IIUM inhart_iium,Malaysia. Masya Allah... @ Harris…</t>
  </si>
  <si>
    <t>Saya tidak sependapat jika Turkey di Syiria adalah peperangan melawan Rusia, krn keduanya pernah patroli bersama di area perbatasan. Rusia dan Bashar begitu erat pula hubugannya. Shg ada benarnya jika perang ini melawan ISIS dan pemberontak Kurdi. Menarik tahap2annya</t>
  </si>
  <si>
    <t>@Sontolo29062151 @ISIS_Balik_NO @FerdinandHaean2 @mohmahfudmd Selamat terus mencoba.. Golongan lu di timur tengah kandas, pilpres 2x KO Artinya apa, artinya Tuhan gk sudi negeri ini diisi golongan penjual agama</t>
  </si>
  <si>
    <t>Pemerintah siapkan Pulau Galang untuk rumah sakit dan observasi bagi WNI yang terjangkit Virus Corona.</t>
  </si>
  <si>
    <t>@ardiansyahdotid @Kemlu_RI WNI bebas</t>
  </si>
  <si>
    <t>Detik-detik 68 WNI kru kapal Diamond Princess tiba di pulau observasi</t>
  </si>
  <si>
    <t>Semoga Generasi Muda Pagar bangsa ini tidak terjerumus &amp; terinfeksi VIRUS Radikal ISIS/FPI/HTI/Alkaidah dll yg berkedok KeImanan.Sebab Indonesia di huni oleh berbagai Agama yg Legal oleh Negara &amp;amp; Pemerintah,maka Pagar Bangsa HARUS berjiwa NASIONAL &amp;amp; RASIONAL. Majulah Bangsaku.🇮🇩 RT @PecintaKomando: Wawasan Kebangsaan Sebagai Pilar Negara</t>
  </si>
  <si>
    <t>@budimandjatmiko Rupanya ISIS lebih trampil dari Pemerntah RI dgn TNI dan POlRI - nya dan telah lama menyusufp ke Indoneia. Sebblum anak-amak mereka ditampung olh pemerintah RI.</t>
  </si>
  <si>
    <t>@Jihan821 @eko_kuntadhi Ane sih ga ambil pusing klo gerombolan isis, hti, fpi, mau bebas hidup silahkan minggat dari nkri, dah...gitu aja</t>
  </si>
  <si>
    <t>RT @tempodotco: Anggaran dan stimulus untuk promosi pariwisata akan ditunda sampai semester dua akibat temuan WNI terjangkit virus Corona di Indonesia.</t>
  </si>
  <si>
    <t>RT @felsdar: Rumah WNI yang positif terkena virus COVID-19 dipasangi garis polisi. — Sebentar. Sebentar. Ini kenapa lebih mirip TKP pembunuhan ya jadinya?</t>
  </si>
  <si>
    <t>PLN sudah menyiapkan satu buah genset untuk para WNI yang di observasi di Pulau Sebaru Kecil, Kepulauan Seribu #PulauSebaru</t>
  </si>
  <si>
    <t>@rousgf isis x wuhan 😏💣💉🦠</t>
  </si>
  <si>
    <t>RT @eotari50_: @RAgust02 bukannya china udah lama dilarang masuk sama pemerintah, cek aja pas wni dijemput dari wuhan beritanya</t>
  </si>
  <si>
    <t>RT @bijakbersosmed_: Saat ini, masih banyak hoax tentang penyebaran virus corona di dunia digital yang bikin geger semua orang. Menurut @kemkominfo, sampai hari ini ada 147 berita hoax baru, duh banyak banget ya! Hoax ini datang setelah kehebohan 2 orang WNI yang sudah positif corona.</t>
  </si>
  <si>
    <t>Seskab juga menyebutkan kalau WNI yang Diobservasi Pulau Sebaru Belum Ada yang Suspect Corona. #pulausebaru #Covid19 #Corona</t>
  </si>
  <si>
    <t>Saat ini, masih banyak hoax tentang penyebaran virus corona di dunia digital yang bikin geger semua orang. Menurut @kemkominfo, sampai hari ini ada 147 berita hoax baru, duh banyak banget ya! Hoax ini datang setelah kehebohan 2 orang WNI yang sudah positif corona.</t>
  </si>
  <si>
    <t>@shvira Hi, mohon maaf atas hal ini. Identitas yang dapat digunakan Upgrade GoPay khusus WNI adalah eKTP. Untuk WNA menggunakan PasPor Jika identitas yang kamu gunakan rusak maka proses Upgrade GoPay tidak dapat dilakukan. (1/2) -RV</t>
  </si>
  <si>
    <t>@spektrumku Untung aja itu di gambar paling kanan tulisannya ISIS, coba kalo IS... Bahaya... 😂😂</t>
  </si>
  <si>
    <t>@ISIS_Balik_NO @givzas @FerdinandHaean2 @mohmahfudmd Bangkee ahoker kayakmu bicara surga.. Nyangkeem ae cuk Tai hok</t>
  </si>
  <si>
    <t>Yg terhormat bpk2 @MajelisUlamaID apa negara ini sdh menjadi negara syariah? Apakah memeluk agama skrg bukan termasuk Hak Asasi WNI di negara ini? RT @umaleao: kemunafikan indon memang ga ada obatnya</t>
  </si>
  <si>
    <t>Cegah Covid-19, WNI dari Korsel, Italia dan Iran Akan Diperiksa Kesehatan Tambahan</t>
  </si>
  <si>
    <t>Cek Fakta: [SALAH] 1000 Tiket Pesawat Gratis Untuk WNI Pulang Ke Tanah Air Dari PT Angkasa Pura 1  via @kabar_tangsel</t>
  </si>
  <si>
    <t>RT @Sofianasution1: Alhamdulillah, Akhirnya 4 WNI yang terjangkit virus corona di Jepang dinyatakan sembuh</t>
  </si>
  <si>
    <t>Korea Selatan ,iran dan Italia.., Bagaimana Jepang...? Sebab 2 WNI positif Corona kabarnya terjangkit dari warga jepang yg dari Malaysia</t>
  </si>
  <si>
    <t>Cegah Covid-19, WNI dari Korsel, Italia dan Iran Akan Diperiksa Kesehatan Tambahan : Okezone News</t>
  </si>
  <si>
    <t>RT @OfficialiNewsTV: Pemerintah berencana memberlakukan sertifikat bebas Virus Korona bagi setiap WNA atau WNI dari luar negeri yang ingin masuk ke Indonesia. Rencana ini mengundang sejumlah reaksi, lantas sertifikat bebas Korona, perlukah? Saksikan iNews Sore hari ini pukul 16.00 WIB hanya di iNews!</t>
  </si>
  <si>
    <t>@AyangCakep @Putrra34866780 @jokowi Ada apa, ahok kok jadi anak emas. Apa kobtribusinya untuk negara ini. Jd pejabat hanya bisa me-maki², marah²(bahkan kpd orang yg lebih tua darinya) , berkata kotor, sok kuasa. Mohon ma'af dia bukan WNI asli (penjelasan Yusril Ihza Mahendra). Ibukota negara bukan milik Presiden.</t>
  </si>
  <si>
    <t>@Kemlu_RI jadi WNI tinggal di Korsel (selain daegu) tidak perlu bawa sertifikat kesehatan dan juga pemeriksaan kesehatan kan ya?</t>
  </si>
  <si>
    <t>Turn Back Hoax: [SALAH] 1000 Tiket Pesawat Gratis Untuk WNI Pulang Ke Tanah Air Dari PT Angkasa Pura 1 Karena Virus Corona</t>
  </si>
  <si>
    <t>Sandera 5 WNI, Abu Sayyaf Minta Tebusan Rp 8,4 M</t>
  </si>
  <si>
    <t>RT @Metro_TV: #BreakingNewsMetroTV Sedang berlangsung proses penurunan WNI dari kapal KRI dr. Soeharso ke Pulau Sebaru Kecil menggunakan kapal Landing Craft Utility (LCU) yang biasanya dipakai oleh pasukan amfibi.</t>
  </si>
  <si>
    <t>@Independent ALLAHU AKBAR! ISIS BOMB BOOM BOOM</t>
  </si>
  <si>
    <t>Aming beri komentar melihat kepanikan masyarakat, dan ia menyatakan bukan corona yang membunuh namun saudara sendiri.</t>
  </si>
  <si>
    <t>@me_Arunkt @rahulelectra @SaniaAhmad1111 are kya bat he bhai itna sab janta he ki kisne atankwsd banaya he uske bad bhi keh rha he ki musalna atankwadi he kis vajah se ? jab tu janta he isis taliban al qaeda ue sabko fundi g karnewala america europe aur saudi arab he to fir isme muslimo ghasitna kaha tak thik he</t>
  </si>
  <si>
    <t>Bagi WNI yang sedang berada di New Delhi, hindari tempat kerusuhan dan berbagai hal lain sesuai imbauan Kementerian Luar Negeri.</t>
  </si>
  <si>
    <t>@D4tuk_T4mburin China? dia sudah otomatis jadi WNI, bebas keluar masuk kayakx</t>
  </si>
  <si>
    <t>RT @Metro_TV: #BreakingNewsMetroTV Proses penurunan puluhan WNI ABK Diamond Princess terbilang lama jika dibandingkan pada proses evakuasi yang lainnya karena otoritas terkait ingin pastikan seluruh WNI ini betul-betul negatif covid-19. #CoronaVirusIndonesia</t>
  </si>
  <si>
    <t>RT @Metro_TV: #BreakingNewsMetroTV WNI yang tengah dipindahkan dari KRI menuju pulau Sebaru Kecil melambaikan tangan kepada awak media. Proses observasi akan dilakukan selama 14 hari. Seluruh peserta observasi telah dikonfirmasi negatif covid-19. #CoronaVirusIndonesia</t>
  </si>
  <si>
    <t>RT @Metro_TV: #BreakingNewsMetroTV Pada observasi jilid II sudah ada 188 WNI dari kapal World Dream yang sudah menjalani observasi lebih dulu di Pulau Sebaru Kecil.</t>
  </si>
  <si>
    <t>RT @jusstme4u: Bersyukur bgt semua WNI ABK Diamond Princess Turun dari KRI Soeharso, Masuk ke Pulau Sebaru berjalan dengan lancar. #PulauSebaru #Covid19 #Corona</t>
  </si>
  <si>
    <t>RT @Metro_TV: #BreakingNewsMetroTV Saat ini tengah berlangsung proses penurunan WNI dari KRI Soeharso secara bertahap. Penurunan dilakukan sejak pukul 14.15 WIB. Proses akan hanya menggunakan 1 unit kapal LCU dengan kapasitas 100 orang. #CoronaVirusIndonesia</t>
  </si>
  <si>
    <t>RT @Metro_TV: #BreakingNewsMetroTV 1 WNI yang ditahan terkait keluhan batuk, akan dibawa ke Jakarta. WNI tersebut akan dirujuk ke Rumah Sakit yang ditunjuk oleh Kemenkes untuk menjalani pemeriksaan kesehatan lebih intensif. #CoronaVirusIndonesia</t>
  </si>
  <si>
    <t>RT @Metro_TV: #BreakingNewsMetroTV Sebanyak 68 dari total 69 WNI yang akan diobsevasi. Terdapat 1 orang yang ditahan guna menjalani pemeriksaan kesehatan lanjutan. Dari hasil screening, 1 WNI tersebut mengaku mengalami batuk-batuk. #CoronaVirusIndonesia</t>
  </si>
  <si>
    <t>RT @kompascom: Selain menyediakan shelter, KBRI Teheran juga membagikan masker gratis untuk para WNI.</t>
  </si>
  <si>
    <t>RT @tvOneNews: Sebanyak 68 WNI ABK Diamond Princess mengantri untuk memasuki wilayah observasi. Segala fasilitas dan kebutuhan untuk para WNI dikatakan sudah lengkap. Dapatkan berita breaking news lainnya di tvOne connect. #tvOneNews #BreakingNews #observasi #Sebaru #corona</t>
  </si>
  <si>
    <t>Detik-detik Kedatangan WNI ABK Diamond Princess di Pulau Sebaru...  via @YouTube</t>
  </si>
  <si>
    <t>Selain menyediakan shelter, KBRI Teheran juga membagikan masker gratis untuk para WNI.</t>
  </si>
  <si>
    <t>Sebanyak 69 WNI ABK Diamond Princess dari Yokohama Jepang telah tiba di Pulau Sebaru kecil sejak Senin (2/3). Mereka dijemput KRI dr Soeharso-990 dari dari pelabuhan PLTU Indramayu. #PulauSebaru #Corona #VirusCorona #Covid19</t>
  </si>
  <si>
    <t>@ArnoldPoernomo Sejujurnya akibat ulah pemerintah Saya sebagai wni malu banget</t>
  </si>
  <si>
    <t>RT @KompasTV: Merebaknya wabah virus corona di dunia membuat masyarakat Indonesia khawatir, terlebih setelah diumumkan 2 WNI positif corona. Yuk, kenali lebih dekat tentang virus ini &amp; cara tepat menghindarinya di @Kata_Netizen pkl 22.30 WIB. Live streaming:</t>
  </si>
  <si>
    <t>RT @KompasTV: Sempat Ditunda, Berikut Detik-Detik Pemindahan 69 WNI ke Pulau Sebaru</t>
  </si>
  <si>
    <t>@DukeCondet asli sy kesel dah liat org2 yg nganggep islam isis segala macem. mau ngucap aneh2 tp tar kena pidana, ribet duh🤦‍♂️</t>
  </si>
  <si>
    <t>@idafauziyah Tolong serius tangani masuknya TKA unskilled yg ambil jatah pekerjaan pengangguran di Indonesia, belum lagi draft Omnibus Law yg banyak disusupi pasal yg merugikan TK WNI.</t>
  </si>
  <si>
    <t>Pesanan bir pletok mulai ramai dalam kurun waktu tiga hari terakhir, tepatnya saat Presiden Joko Widodo mengumumkan adanya dua WNI yang positif corona</t>
  </si>
  <si>
    <t>@tribunnews @tribunjateng AstaqfirulAllah yaAllah ,kog diterima si Jebolan ISIS 😭😭😭</t>
  </si>
  <si>
    <t>Kalo gue anggota ISIS, maka lu udeh mampus, eh bangke. 😅 RT @Poposindoe: @DukeCondet @truextori @oxfara Wow akun dokter dikoment sama anggota isis wkwkw</t>
  </si>
  <si>
    <t>RT @tvOneNews: Penundaan 68 WNI diturunkan ke lokasi observasi disebabkan oleh beberapa hal. Salah satunya menunggu hasil laboratorium. Namun satu orang ditahan untuk pemeriksaan lebih lanjut. #tvOneNews #BreakingNews #observasi #Sebaru #corona</t>
  </si>
  <si>
    <t>@Poposindoe @truextori @oxfara Kalo gue anggota ISIS, maka lu udeh mampus, eh bangke. 😅</t>
  </si>
  <si>
    <t>Pemerintah berencana memberlakukan sertifikat bebas Virus Korona bagi setiap WNA atau WNI dari luar negeri yang ingin masuk ke Indonesia. Rencana ini mengundang sejumlah reaksi, lantas sertifikat bebas Korona, perlukah? Saksikan iNews Sore hari ini pukul 16.00 WIB hanya di iNews!</t>
  </si>
  <si>
    <t>Jelang Pemulangan Anak-anak Eks ISIS ke Indonesia, Pemerintah Minta Masyarakat Menyambut  via @tribunjateng</t>
  </si>
  <si>
    <t>@DukeCondet @truextori @oxfara Wow akun dokter dikoment sama anggota isis wkwkw</t>
  </si>
  <si>
    <t>@WakeUpKhaidir Hahahahaha, bro kes banglo dulu. Supporters ph pun bising tau, kenapa gugur. Isu ltte, pun penyokong ph bising au. We demand for the same treatment towards tahanan isis yang background kes lebih kurang. Bersihkan rumah dulu? You all jadi govt pun back door. Tak gentle lah bro!</t>
  </si>
  <si>
    <t>@RAgust02 bukannya china udah lama dilarang masuk sama pemerintah, cek aja pas wni dijemput dari wuhan beritanya</t>
  </si>
  <si>
    <t>RT @pesanbijakk: Seneng rasanya, WNI ABK Diamond Princess Turun dari KRI Soeharso, Masuk ke Pulau Sebaru. #PulauSebaru #Covid19 #Corona</t>
  </si>
  <si>
    <t>@logic_editor @telormatasapi00 @Solinlubis @fauzanindonisi @VIVAcoid Terlepas dari menganalisa mana isis mana yahudi mana syiah lebih mudah menganalisa mana cebong yaitu mudah mengeluarkan kata goblog dan mudah ngotot dan ngeyel disandingin data(kalah debat) bilangnya kadrun.</t>
  </si>
  <si>
    <t>Abu Sayyaf selalu meminta uang saat menyandera WNI.</t>
  </si>
  <si>
    <t>Keren kinerja pemerintahan @jokowi 🙏 4 WNI Terjangkit Corona di Jepang Sembuh!!! #PDIPerjuangan #JabarBangkit</t>
  </si>
  <si>
    <t>@arieparikesit @dirgarambe WNI pulang kena quarantine palingan kalo pulang dari: 1. Iran: Tehran, Qom, Gilan 2. Italy: Lombardy, Veneto, Emilio Romagna, Marche, Piedmont 3. S.Korea: Daegu and Gyeongsangbuk-do 4. Cina: Hubei (and rest of China).</t>
  </si>
  <si>
    <t>RT @maulatv: Julian Assange Ungkap Semua Pihak yang berada di balik ISIS -  #ISIS</t>
  </si>
  <si>
    <t>Setelah ada kabar 2 WNI kena virus corona langsung pada panik tingkat dewa😂 beli kebutuhan pokok, masker dll nya untuk melindungin diri... Ngapain sih warga +62 pada panik, kuker bangettt tau gak!!! kaya orang gasiap mati! Mati ya tinggal mati! Terima apa adanya🔥 #coronavirus</t>
  </si>
  <si>
    <t>RT @jawapos: 1 WNI ABK Diamond Princess Dipulangkan Hari Ini ke Indonesia</t>
  </si>
  <si>
    <t>RT @4Y4NKZ: Dua WNI terinfeksi virus corona warga berbondong-bondong menyerbu supermarket, ritel, hingga apotek. Fenomena panic buying terjadi di Jakarta,Pontianak, dan Kalimantan Barat. ~ Khusus yg kaya yg takut mati kelaparan. Kita orang kampung tetap enjoy 😁. #StopPanikLawanCorona</t>
  </si>
  <si>
    <t>Ada WNI Positif Terjangkit, Presiden Tegaskan Keseriusan Pemerintah Tangani Wabah Korona via  #beritaaktual #beritaterbaru #beritapolitik</t>
  </si>
  <si>
    <t>Penundaan 68 WNI diturunkan ke lokasi observasi disebabkan oleh beberapa hal. Salah satunya menunggu hasil laboratorium. Namun satu orang ditahan untuk pemeriksaan lebih lanjut. #tvOneNews #BreakingNews #observasi #Sebaru #corona</t>
  </si>
  <si>
    <t>Tak ada sumber informasi yg scr real time bisa diakses soal nasib WNI di luar negeri yg positif terkena Corona spt yg saat ini ada di kapal Diamond Princess, misalnya, atau informasi soal suspect Corona yg tersebar di berbagai provinsi--di RSPI, saat ini ada 6 org suspect.</t>
  </si>
  <si>
    <t>Sebanyak 69 WNI yang menjadi ABK Diamond Princess telah diobservasi.</t>
  </si>
  <si>
    <t>"Terima kasih" kepada Tomy Winata, pemilik Pulau Sebaru yg "bangga dan gembira" telah meminjamkan pulau tsb kpd NKRI sbg tempat observasi WNI kru kapal pesiar Diamond Princess. #COVID19indonesia #CoronaAlert #Sarcasm #Indonesia</t>
  </si>
  <si>
    <t>RT @vharianT29: URGENT..!! LOWONGAN KERJA Dicari yg benar2 WNI, bertugas mengurus bangsa dan negara scr bnr dgn syarat2 sbb: 1. NEGARAWAN sejati, Bkn politikus 2. Otak WARAS 3. Berpikir RASIONAL 4. Tidak RAKUS 5. Punya MALU 6. AKHLAK bagus 7. Tepat JANJI 8. Tdk OMONG KOSONG #RezimKerjaAmburadul</t>
  </si>
  <si>
    <t>@AdvSanwar @sambitswaraj mulsim ho.............aakhiri had tk defend kroge.............ISIS q nhe join kr lete miya..............</t>
  </si>
  <si>
    <t>RT @muel_power: @Dennysiregar7 Bang Denny, Kalo ada followers bang Denny, masih nawar harga ? Block aja akunnya. Sama sekali tdk menghargai Gabener yg susah2 buat narasi kepanikan. Kalo perlu ambil KTA Dennylover's, Segera bakar spt bakar paspor ISIS. #RakyatBersatuLawanCorona #RakyatBersatuLawanCorona</t>
  </si>
  <si>
    <t>#BreakingNewsMetroTV 1 WNI yang ditahan terkait keluhan batuk, akan dibawa ke Jakarta. WNI tersebut akan dirujuk ke Rumah Sakit yang ditunjuk oleh Kemenkes untuk menjalani pemeriksaan kesehatan lebih intensif. #CoronaVirusIndonesia</t>
  </si>
  <si>
    <t>Mari Kita sambut pahlawan ISIS, pengkhianat2 bangsa ! Sejarah akan mencatat pengkhianat berkedok Agama berapapun usianya lebih berharga dari pada rakyat sendiri !! RT @dhammaratano: Tuan @mohmahfudmd tuan @jokowi sungguh mulia hati anda semua begitu peduli dgn nasib anak2 yatim piatu ISIS. Disaat yg sama ada jutaan yatim piatu &amp; anak terlantar dalam negeri yg ngamen &amp;amp; ngemis di jalanan, Fasilitas penyelamatan apa yg kalian siapkan?</t>
  </si>
  <si>
    <t>188 WNI Kru Kapal Pesiar World Dream Bakal Diobservasi di Pulau Kosong Tak Berpenghuni Nonton video selengkapnya di:  #WorldDream #VirusCoronaindonesia #coronavirus</t>
  </si>
  <si>
    <t>@the6ifted Tuh di semangatin ama ibu ibu Isis. 🎉</t>
  </si>
  <si>
    <t>Moralitas itu soal konsistensi. Seseorang disebut "tidak bermoral", jika kepada orang yang berbeda dia menerapkan perlakuan-moral yang berbeda. Kalau dia sedih saat idolnya bunuh diri, tapi senang saat WNI ex-ISIS mati, dia tidak benar-benar menilai "hidup manusia itu berharga".</t>
  </si>
  <si>
    <t>ㅤㅤ ㅤ𝙺𝙴𝚆𝙰𝚁𝙶𝙰𝙽𝙴𝙶𝙰𝚁𝙰𝙰𝙽. ㅤ───────────── ㅤ“Ahem. Sebenernya agak aneh ㅤdapet pertanyaan kayak gini? ㅤSaya ini terdaftarnya sebagai ㅤWarga Negara Indonesia. Loh? ㅤPapa saya orang asli Indonesia. ㅤIbu saya yang orang Korea. ㅤMakanya saya WNI.” ㅤ</t>
  </si>
  <si>
    <t>@dewo_lelono @TeddyGusnaidi Kaitannya apa Khilafah dg ISIS .... ?</t>
  </si>
  <si>
    <t>#BreakingNewsMetroTV WNI yang tengah dipindahkan dari KRI menuju pulau Sebaru Kecil melambaikan tangan kepada awak media. Proses observasi akan dilakukan selama 14 hari. Seluruh peserta observasi telah dikonfirmasi negatif covid-19. #CoronaVirusIndonesia</t>
  </si>
  <si>
    <t>@AimanJudakusum1 @erikamelfa @kompascom Saya WNI asli, pribumi asli nusantara indonesia. Kakek buyut saya seseorang yang pernah ikut berjuang mengusir dan melawan penjajahan jepang dan belanda, termasuk juga perang melawan PKI. Dan pastinya saya bukan TKA asal china. 🤨 RT @AimanJudakusum1: @SugiKawuloAlit @erikamelfa @kompascom Yg ini jelas jujur, ternyata mayoritas warga bangsa ini memberi kepercayaan kpd beliau sbg presiden utk semua warganya. Dan sbg warga yg baik, sesuai ajaran agama pun hrs bisa menerima ketentuan ini. Termasuk anda 🙏 Oops maaf kalau anda bukan WNI.</t>
  </si>
  <si>
    <t>RT @Spider__matriX: Empat WNI ABK Diamond Princess Dinyatakan Sembuh dari Corona Covid-19 #LawanHoaxVirusCorona</t>
  </si>
  <si>
    <t>@jujurberkah @mas__piyuuu Wow wow wow.. Hold a second. !! Info nyomot dr media cebong mana lo?! Yg jelas2 kerjasama ama zionist itu saudi, n di balik zionist ada syiah, amerika yg artina ada isis. Bnykin baca al kahfi bong, biar dpt pencerahan jngn butek gtu.</t>
  </si>
  <si>
    <t>@Kiyai_MarufAmin Jangan pulangkan anak2 eks ISIS</t>
  </si>
  <si>
    <t>Militan militan asing ini akhirnya berevolusi menjadi gerakan bersenjata mematikan diantaranya ISIS, Jabhah Nushra, Ahrar al syam yang berafiliasi dengan Alqaedah, dan Free Syrian Army yang berafiliasi dgn Ikhwanul Muslimin</t>
  </si>
  <si>
    <t>1. Dalam rangka peringatan HPSN 2020, DLH Kota Bogor akan mengadakan lomba vlog dan kreasi guna ulang dari ecobrick dengan persyaratan sebagai berikut: 1. Lomba Kreasi Guna Ulang Ecobrick Syarat dan Ketentuan Lomba: • Peserta lomba adalah WNI yang berdomisili di Kota Bogor.</t>
  </si>
  <si>
    <t>@eko_kuntadhi Taliban, ISIS, Hamas di Palestina, Boko Haram di afrika termasuk gerombolan yg intolerans di Nusantara boneka mereka juga</t>
  </si>
  <si>
    <t>RT @AfiqShari: Keputusan penuh SPM 2019 SAM Bestari. Setelah diumumkan keputusan penuh di sekolah pada pagi tadi, berikut adalah butiran penuh: Calon mendaftar - 147 orang Calon hadir - 147 Calon lulus keseluruhan - 147 GRED PURATA SEKOLAH: 1.74, lebih baik berbanding tahun lalu (2.19)</t>
  </si>
  <si>
    <t>#BreakingNewsMetroTV Sebanyak 68 dari total 69 WNI yang akan diobsevasi. Terdapat 1 orang yang ditahan guna menjalani pemeriksaan kesehatan lanjutan. Dari hasil screening, 1 WNI tersebut mengaku mengalami batuk-batuk. #CoronaVirusIndonesia</t>
  </si>
  <si>
    <t>Indonesia Waspada Corona! Dua orang Warga Negara Indonesia (WNI) positif terinfeksi virus Corona. Presiden Jokowi menyatakan ada dua orang (ibu dan anak) yang terkena virus corona di Indonesia. Keduanya diduga telah berinteraksi dengan warga Jepang yang positif corona</t>
  </si>
  <si>
    <t>@Zulhaqie1 @TeddyGusnaidi Sejarah sistem khilafah itu benar adanya tapi di Suriah dg isis nya, isis hancur pengikutnya kabur.</t>
  </si>
  <si>
    <t>@detikcom Ini nih gerakan Islamisasi yang dibiarkan pemerintah yang kerjanya #RezimKerjaAmburadul hal2 seperti ini dibiarkan merajalela tumbuh subur didalam negeri, khawatir ISIS tapi lebih mengerikan Mujahidin 212 yang adalah musuh dalam selimut ingin ganti Pancasila jadi paham Islamisasi</t>
  </si>
  <si>
    <t>RT @MiikoThe13th: bila orang kurang ajar tapi aku kene sabar.</t>
  </si>
  <si>
    <t>WHO pun sudah mengakui proses evakuasi yang dilakukan pemerintah Indonesia berjalan dengan baik karena para WNI yang diovservasi di Pulua Sebaru benar-benar dijaga dengan baik. #pulausebaru #Corona #COVID19</t>
  </si>
  <si>
    <t>RT @intipseleb: Hanya 2 WNI yang Kena Virus Corona, Deddy Corbuzier: Gak Masuk Akal</t>
  </si>
  <si>
    <t>Hanya 2 WNI yang Kena Virus Corona, Deddy Corbuzier: Gak Masuk Akal</t>
  </si>
  <si>
    <t>Breaking news tvone live observasi 68 wni disebaru kecil.</t>
  </si>
  <si>
    <t>RT @mbahnoer88: @jokowi Masih ada 24,7 juta jiwa yg miskin tpi knapa bpk @jokowi mau mulangin anak2 kombatan eks wni isis?? Mereka itu gk punya legalitas macam KK,akta kelahiran kok mlh mau di jamin penghidupanya? Apa harus jd teroris dulu biar di jamin?? Anak2 korban bom isis mlh di telantarkan #Miris</t>
  </si>
  <si>
    <t>RT @nabellerabi: Nah result SPM untuk SABK dengan SMKA satu Malaysia. Tahniah SAMBEST!</t>
  </si>
  <si>
    <t>Pemerintah periksa kembali satu spesimen WNI ABK Diamond Princess, kenapa?  #VirusCorona</t>
  </si>
  <si>
    <t>Pertama, pemerintah memperketat masuknya warga negara asing (WNA) maupun warga negara Indonesia (WNI) yang keluar masuk wilayah Indonesia, baik melalui darat, udara, dan laut. Hal itu dilakukan dengan pengawasan ketat melalui pemeriksaan di pintu masuk Indonesia.</t>
  </si>
  <si>
    <t>BUKTI bahwa selama ini Pemerintah telah membohongi Rakyatnya..dan menangkap org yg menyebarkan informasi tentang covid-19 yg tlh terinfeksi pd WNI.. Tak Mau Disebut Tutupi Jumlah Pasien Corona, Moeldoko Beberkan Datanya  via @sorotnews</t>
  </si>
  <si>
    <t>Quote : Dengan adanya dua WNI yang positif Corona seharusnya membuat pemerintah memperketat seluruh pintu masuk warga negara asing ke Indonesia. Hal tersebut perlu dilakukan untuk menjaga keamanan rakyat dari virus mematikan tersebut.</t>
  </si>
  <si>
    <t>Inilah manusia otak goblok hasil kondom bocor.. Eks ISIS di tolak.. ya jelaslah.. namanya juga teroris.. Anak lonte goblok... RT @Aristan23377789: Ketua bpip seperti ini yg bodoh ketuanya atau yg memilih nya.... Eks ISIS ditolak tapi koruptor perusak bangsa dikasih sel khusus difasilitasi mewah snagat aneh</t>
  </si>
  <si>
    <t>- Kerusuhan sektarian yang melanda India pastilah terkait dengan konteks global, khususnya kemunculan kelompok teroris semisal ISIS. Sebagaimana yang diberitakan sebelumnya, kerusuhan melanda ibu kota New Delhi India</t>
  </si>
  <si>
    <t>BOKO HARAM ISIS LASHKAR JAISH AL QAEDA TALIBAN HAMAS ISIL srilanka church 9/11 26/11 kaun sa mazhab hai......?????? FEVICOL. FEVICOL. FEVICOL. @AskAnshul RT @khanumarfa: #NewProfilePic</t>
  </si>
  <si>
    <t>Beberapa tahun lalu juga Kelompok Abu Sayyaf ini pernah menyandera WNI dan juga minta tebusan. Tau gak siapa orang yg bisa bebasin WNI itu tanpa ngasih uang tebusan? MAYOR JENDRAL KIVLAN ZEN !! RT @jawapos: Abu Sayyaf Minta Tebusan Rp 8,4 M Untuk 5 WNI, Mahfud MD Santai</t>
  </si>
  <si>
    <t>Di Jepang ada 9 WNI positif Covid19. Separuhnya dinyatakan sudah sembuh &amp; tak satupun identitas pasien dibocorkan pemerintah maupun jurnalis di Jepang sana. Negri +62 perlu belajar banyak soal privasi pasien ke Jepang.</t>
  </si>
  <si>
    <t>RT @aldinalsya: Pemecah belah umat..emang ada yg puji puja ISIS..??? Emang NU mengakui syiah bagian dari islam??? Haduuhh..harus diapain org yg makan daging saudaranya kaya gini..</t>
  </si>
  <si>
    <t>Mahfud ingatkan masyarakat tidak panik setelah dua WNI positif terjangkit corona</t>
  </si>
  <si>
    <t>@PBLITANAGY @TeddyGusnaidi Isis buatan siapa?itu strategi barat memecah islam...</t>
  </si>
  <si>
    <t>RT @republikaonline: Seluruh orang dipantau tersebut adalah WNI yang mengalami gejala demam dan batuk.</t>
  </si>
  <si>
    <t>Abu Sayyaf Minta Tebusan Rp 8,4 M Untuk 5 WNI, Mahfud MD Santai</t>
  </si>
  <si>
    <t>Sejak diisolasi di RSPI Sulianti Saroso, kondisi dua WNI yang positif corona terus membaik. Sementara tujuh orang lainnya merupakan pasien dalam pengawasan. #MetroXinwen</t>
  </si>
  <si>
    <t>Dua WNI Terinfeksi #Corona, Tapi Kok RI Malah Tarik Banyak Wisatawan…  #BeritaWajo</t>
  </si>
  <si>
    <t>WNI di Singapura Divonis Penjara Usai Sumbang Uang untuk Teroris</t>
  </si>
  <si>
    <t>@AnakLolina @jokowi @mohmahfudmd @fadjroeL ttg korban teroris,klo anak2 ISIS ex WNI itu tetep dipulangkan,gue akan blg: Pemerintah keterlaluan..! smntra anak2 korban bom teroris, diinget aja ga,apalgi diurusin. cb klo bom itu kena dislh satu anak,cucu,ato sodara2 mrk,apa msh bs wacana ini berkumandang 😎😎</t>
  </si>
  <si>
    <t>Virus Corona di Italia, KBRI Imbau WNI Tak Lakukan Perjalanan ke 11 Kota Ini</t>
  </si>
  <si>
    <t>RT @KompasTV: 4 WNI yang Terinfeksi Corona di Jepang, Kini Dinyatakan Sembuh</t>
  </si>
  <si>
    <t>RT @Jerybon1: @Airin_NZ @DivHumas_Polri Bahaya ini org... Bagi kami...sodara kami adalah wni...bukan wna walau seiman.. Logika saja..anak muslim,ibu hindu,ayah kristen..apa anak akan bantai ortu nya? Dan itu byk di indonesia.tolong di pahami... Bikin lah kesejukan di semua lapisan..jgn bakar api dendam umat.</t>
  </si>
  <si>
    <t>RSPI Sulianti Saroso Benarkan 2 WNI Positif Corona yang Dirawat Bersama 7 Pasien Suspect Corona Tidak Diberi Obat, Mengapa?</t>
  </si>
  <si>
    <t>BREAKING NEWS - Kedatangan WNI ABK Diamon Prince di Pulau Sebaru</t>
  </si>
  <si>
    <t>@detikcom @veraagustian_ @detikfinance Yg mau pake cadar pindahin aja ke kantor cabang Suriah, suruh sekalian jd budak seks ISIS aja kan gampang.</t>
  </si>
  <si>
    <t>Dungu kok pamer, klo mau lu puji itu pemerintah jepang yg sdh memfasilitasi n merawat WNI RT @BamsBulaksumur: Keren kinerja pemerintahan Jokowi 🙏 4 WNI Terjangkit Corona di Jepang Sembuh!!!</t>
  </si>
  <si>
    <t>@BamsBulaksumur Dungu kok pamer, klo mau lu puji itu pemerintah jepang yg sdh memfasilitasi n merawat WNI</t>
  </si>
  <si>
    <t>@fadlizon Bongkar.</t>
  </si>
  <si>
    <t>RT @antaranews_bali: Pemeriksaan suhu tubuh di KBRI Kuala Lumpur: Petugas melakukan pemeriksaan suhu tubuh kepada tamu dan WNI yang berkunjung ke Kedutaan Besar Republik Indonesia (KBRI) Kuala Lumpur, Malaysia, Kamis (5/3/2020). Pemeriksaan dilakukan untuk mengantisipasi…</t>
  </si>
  <si>
    <t>RT @atr_bpn: Sehubungan pernyataan Presiden Republik Indonesia Joko Widodo pada Senin, 2 Maret 2020 bahwa 2 (dua) WNI telah terjangkit virus COVID-19, Kementerian ATR/BPN imbau keluarga besar Kementerian ATR/BPN dan juga masyarakat untuk waspada namun juga menyikapinya dengan tidak panik.</t>
  </si>
  <si>
    <t>Pemeriksaan suhu tubuh di KBRI Kuala Lumpur: Petugas melakukan pemeriksaan suhu tubuh kepada tamu dan WNI yang berkunjung ke Kedutaan Besar Republik Indonesia (KBRI) Kuala Lumpur, Malaysia, Kamis (5/3/2020). Pemeriksaan dilakukan untuk mengantisipasi…</t>
  </si>
  <si>
    <t>Empat WNI ABK Diamond Princess Dinyatakan Sembuh dari Corona Covid-19 #RadikHariIni #RadikRadio</t>
  </si>
  <si>
    <t>RT @CastilloJoshima: Denger ni sedari kecil mrk belajar memegang senjata,trus kita dong mau pulangin anak2 Eks ISIS kasih ruang trus ke mrk mikir gk klo kita disini ketar ketir 😢😢</t>
  </si>
  <si>
    <t>Fakta Keindahan Pulau Sebaru, Lokasi Karantina WNI Dari Virus Korona</t>
  </si>
  <si>
    <t>Seluruh orang dipantau tersebut adalah WNI yang mengalami gejala demam dan batuk.</t>
  </si>
  <si>
    <t>@sulsel22 @fery0052 @BKNgoid PNS itu SIPIL TENTARA itu MILITER Sipil dgn militer, apa sama?! 😂😂😂 Klu org Indonesia jd tentara di luar juga banyak... Tapi sy kurang tau juga peraturan di setiap negara sprti apa... Apakah wajib berkewarganegaraan sana, ataukah boleh tetap WNI</t>
  </si>
  <si>
    <t>RT @KompasTV: Dengan diumumkannya kasus WNI positif korona beberapa hari lalu, menimbulkan terjadinya kepanikan di publik. Apa pendapatmu? Jangan lewatkan pembahasan #KoronaDiMedia di @Rosi_KompasTV pkl 20.00 WIB hanya di KompasTV. Live streaming:</t>
  </si>
  <si>
    <t>@BamsBulaksumur Ni orang kegirangan krn apa ya? "...Retno menjelaskan, empat WNI yang dirawat di Jepang sudah sembuh. Sementara itu lima lainnya kondisinya makin baik di rumah sakit Jepang...." ????????????????????????????????????</t>
  </si>
  <si>
    <t>HTI, ISIS itu murni bisnis. Bisnis untuk membodoh-bodohi orang, dan itu berhasil. Kelompok-kelompok radikal dan almost-radical yang mendukung ideologi mereka banyak replikanya di Indonesia, Filipina, Inggris, ada juga tuh di Eropa..tapi ya, gimana ya, kalau anggota pemerintahan</t>
  </si>
  <si>
    <t>Presiden Perintahkan Lindungi Hak Pribadi WNI Teridentifikasi Positif Covid-19</t>
  </si>
  <si>
    <t>Boleh saya perkuat datanya mbk. Ini kasus di daerah kami. Ada 2 orang suspek "Corona" sedang diobservasi di RSU Tabanan Bali (2/3/2019) : 1 WNA asal Rusia, 1 WNI yg baru datang dari Umroh. RT @Sarah_Pndj: Gw boleh NGAKAK ga ??</t>
  </si>
  <si>
    <t>RT @bandabening: Virus tolol udah lebih dulu mewabah dibanding Corona. Ada 4 WNI terinfeksi virus Corona di Jepang. Dirawat di Jepang. Oleh dokter Jepang. Sembuh. Eh yang dipuji kinerja pemerintahan Jokowi. Kan jaka sembung mobilnya mogok di tol...😃</t>
  </si>
  <si>
    <t>Sebagai WNI kita hrs siap melawan apapun bentuknya. Melawan HOAX, Melawan INTOLERAN. Melawan RADIKALISME, Melawan Teroris dan yg penting melawan Virus Corona, #RakyatBersatuLawanCorona RT @tvOneNews: ILMUWAN ISRAEL PUNYA VAKSIN VIRUS CORONA Ilmuwan Israel mengaku hanya butuh beberapa minggu lagi untuk mengembangkan vaksin oral untuk melawan Virus Corona. Diperkirakan obat tersebut akan tersedia dalam waktu 90 hari setelah dilakukan beberapa tes terlebih dahulu #NewsOneMinute</t>
  </si>
  <si>
    <t>@segaseseganya @4smara1701 Bro nonton ga pas dia ngomong, emang apa yg si F katakan? Cba liat ilc di YouTube, biar jelas,,, statusdia kan wni di wuhan, bkan warga sono,, ntar dibuly lo kalo asal komen</t>
  </si>
  <si>
    <t>Tuan @mohmahfudmd tuan @jokowi sungguh mulia hati anda semua begitu peduli dgn nasib anak2 yatim piatu ISIS. Disaat yg sama ada jutaan yatim piatu &amp; anak terlantar dalam negeri yg ngamen &amp;amp; ngemis di jalanan, Fasilitas penyelamatan apa yg kalian siapkan?</t>
  </si>
  <si>
    <t>@MurtadhaOne1 @Kemenag_RI @MUIPusat yg satu sibuk ngurusin penyambutan anak2 isis, yg satunya lg sibuk ngurusin 'tentara Allah' + nyinyirin babi</t>
  </si>
  <si>
    <t>@givzas @ISIS_Balik_NO @FerdinandHaean2 @mohmahfudmd Penimbunnya kodok surabaya 😄😄😄😄</t>
  </si>
  <si>
    <t>Pak @basuki_btp memang Pantas dan Layak kita sayangin dan kita percayai krn kerjanya yg Nyata2 perduli dng Rakyat Indonesia. Saatnya kita sbg WNI #RakyatBersatuLawanCorona RT @fadlizon: Luar biasa P @jokowi ini memang percaya n sayang pd Ahok. Dlm situasi ekonomi kacau n virus corona, ibukota baru bukanlah prioritas. Sama sekali bukan prioritas. Serahkan saja urusan ibukota baru pada Presiden baru 2024. Sekarang tunaikan janji2 kampanye 2019 yg begitu banyak.</t>
  </si>
  <si>
    <t>Beredar kabar Kelompok Abu Sayyaf meminta tebusan Rp 8,4 miliar untuk 5 Warga Negara Indonesia (WNI) yang diculik.</t>
  </si>
  <si>
    <t>@telormatasapi00 @fauzanindonisi @VIVAcoid Syiah musuhnya Israel dan Amerika, mereka yang buat ISIS. Ente ikut musuhin Syiah?😆</t>
  </si>
  <si>
    <t>@budimandjatmiko hahhahaa.. ga kaget gimana mau masuk 100 besar kalau ada trend organisasi / kegiatan kampus yg terang terangan dukung ISIS</t>
  </si>
  <si>
    <t>2 WNI terinfeksi virus corona,.. ada yang tahu ga si kalo 2 orang itu ketahuan terinfeksi karena mereke datang sendri kerumah sakit dan bilang kalau pernah berinteraksi dengan WNA yang positif terkena virus corona?</t>
  </si>
  <si>
    <t>@Dennysiregar7 Bang Denny, Kalo ada followers bang Denny, masih nawar harga ? Block aja akunnya. Sama sekali tdk menghargai Gabener yg susah2 buat narasi kepanikan. Kalo perlu ambil KTA Dennylover's, Segera bakar spt bakar paspor ISIS. #RakyatBersatuLawanCorona #RakyatBersatuLawanCorona</t>
  </si>
  <si>
    <t>@realPriGim #RakyatBersatuLawanCorona Kita sbg WNI harus Bersatu melawan Corono dan melawan HOAX.</t>
  </si>
  <si>
    <t>@DeadlockHeaven 🤣🤣🤣. Itu 'tidak semengapa &amp; tidak seberapa daya rusaknya'. "Yang gawat", Sesama WNI, "Pada bisa di k#fir2i", "Itu yang berbahaya". Pancasila, Sila 1 "dibajak", Sila ke 3 "dilanggar habis". Lalu ber pura2 di Sila 2 &amp;amp; 5, Sila 4; ?Modal ramai?, ?Itulah benar?.</t>
  </si>
  <si>
    <t>Berangkat de keburu macet apa diberangkatin isis kah</t>
  </si>
  <si>
    <t>RT @KompasTV: Pemindahan 69 WNI ke Pulau Sebaru Ditunda, Ada Apa?</t>
  </si>
  <si>
    <t>Warganet belum bisa membedakan antara returnees dan deportan ISIS asal Indonesia. Apa sih bedanya?</t>
  </si>
  <si>
    <t>RT @RadioElshinta: @KemenkesRI 6. Untuk WNI ABK Diamond Princess yang masih di Jepang, 1 sudah keluar dari RS dan sudah ada di hotel. Besok dijadwalkan akan kembali ke Jakarta, setibanya di tanah air akan diobservasi. via @KemenkesRI</t>
  </si>
  <si>
    <t>@AjahSanusi yg gua pahami: al nusra, al qaeda, isis &amp; ht adalah gerombolan teroris dan sama2 berlindung dibalik kalimat tauhid 😂😂😂😂😂</t>
  </si>
  <si>
    <t>Ada wni nikah sama bule prancis. Punya anak. umur 3 bulan, ditinggal kerja ke LN dititipkan budenya. Ibunya ke hongkong, bapaknya ke Taiwan. Setelah 3/4 tahun ortu tsb pulang, anaknya diajak ngomong bhs inggris. Si anak gak mudeng, budenya yang disalahin 😂</t>
  </si>
  <si>
    <t>@collegemenfess Ikut ISIS aja</t>
  </si>
  <si>
    <t>RT @ChusnulCh__: Alhamdulillah 4 WNI di Jepang Dinyatakan Sembuh dari Virus Corona. Jadi sekali jgn panik, tetap waspada. Jgn langsung percaya berita yg tdk berasal pemerintah. Unk pelaku usaha jgn menimbun Krn selain pidana agama juga jelas melarang. #LawanHoaxVirusCorona</t>
  </si>
  <si>
    <t>@Fandom_ID Lanjut sih.. Karena kasus disini tdk sprti di Thailand Kenapa di Thailand berhenti? Karena yg sudah positif kena virus corona sudah banyak Sementara dikita yg baru positif 3 orang (2 wni &amp; 1 wna) Contoh : Liga Italia ditunda sementara EPL, laliga, Bundesliga dll tetep lanjut</t>
  </si>
  <si>
    <t>Pemerintah Pastikan WNI Pasien Corona Banyak yang Sembuh  #BersatuHadapiCorona</t>
  </si>
  <si>
    <t>@Neracaaa Aib wni yg 17+ tuh ada d poto ktp bang</t>
  </si>
  <si>
    <t>@victorpangkey @TDR__00 @WandySulastra @UstadzWaloni Hahaha makanya mas jauh jauh main mengudara...buka cakrawala pengetahuan mu...kamu tau ISIS yg paling banyak dia bunuh siapa? N tau pahamnya sngat jauh dr Al-Qur'an?...kamu tau tujuan di bentuk ISIS n al Qaidah?..semua tentang politik n sumberdaya minyak bos..jauh jauh mainnya</t>
  </si>
  <si>
    <t>Menteri Kesehatan Terawan Agus Putranto pun mengatakan saat ini kedua WNI tersebut dirawat di Rumah Sakit Penyakit Infeksi Sulianti Saroso, Jakarta Utara. #BPJSEdukasiCorona</t>
  </si>
  <si>
    <t>RT @eradotid: 1. Sebelum thread ini mimin mulai, silahkan cek dulu artikel @eradotid tentang awal mula kenapa dua WNI ini bisa tertular virus COVID-19 di Jakarta.</t>
  </si>
  <si>
    <t>Jokowi kemudian menjelaskan bahwa dua WNI yang terpapar virus corona itu merupakan ibu dan anak. Dua orang, ibu 64 tahun dan putrinya 31 tahun #BPJSEdukasiCorona</t>
  </si>
  <si>
    <t>Pemerintah telah memastikan ada dua orang warga negara Indonesia (WNI) yang terjangkit virus corona di Tanah Air. Hal ini bahkan diumumkan langsung oleh Presiden Joko Widodo di Istana Kepresidenan, Senin (2/3/2020). #BPJSEdukasiCorona</t>
  </si>
  <si>
    <t>@JemimaW5 @mas__piyuuu Embargo itu bukan untuk tujuan pelemahan Qatar karena ekonomi Qatar itu kuat mandiri (MBS) Embargo itu bertujuan untuk menyudahi penghianat an Qatar karena mereka selalu membuka pintu bagi syiah dan khawarij(ikhwan, isis, dll) utk menusuk negara Teluk terkhusus Saudi dr belakang</t>
  </si>
  <si>
    <t>@adilmer4 @mas__piyuuu Karena beda aliran Qatar aliran nya khawarij, jadi mereka cs sama al qaida, taliban, hamas, isis, Syi'ah, israel Saudi aliran nya sunnah madzhab hambali tidak punya hub diplomatik dg israel Makanya Qatar akrab sama turkey krn Sama2 cs dg israel</t>
  </si>
  <si>
    <t>@WagimanDeep__ Yaelah Bieb.... Harga segitu laskar mu masih ada yg nawar? Ambil KTA mereka, Segera bakar spt bakar paspor ISIS. #RakyatBersatuLawanCorona #RakyatBersatuLawanCorona</t>
  </si>
  <si>
    <t>RT @Gemacan70Back: BERTAMBAH, 8 WNI SUSPECT CORONA..❗#RezimTutupiCorona....kenapa harus di tutupi ya...itulah kalau gaul dgn negara Komunis RSPI Sulianti Saroso mengisolasi enam orang suspect baru virus corona mengalami gejala demam dan batuk. 🇮🇩🌏🌡🔍🔬🏥🚑✈</t>
  </si>
  <si>
    <t>Bro teddy mangkulangit. ISIS HTI ud ngk ada broo. Kemana aj. Hee hee bego jgn dipiara ah RT @TeddyGusnaidi: Gue tantang pendukung ISIS, Hizbut Tahrir dan kelompok teroris anti pancasila lainnya untuk menyebutkan 1 hal saja, bahwa Islam ditindas di negara Republik Indonesia. Kalau ada yang bisa, gue kasih duit..</t>
  </si>
  <si>
    <t>@GemaChaky @rakaynusantara Prasamu Anggota ISIS minum" ?</t>
  </si>
  <si>
    <t>@AdellaWibawa @RonaldLampard8 Anda aja ingin pulangkan ISIS kok bicara seakan indah Pak mahfud</t>
  </si>
  <si>
    <t>Oiya btw waktu kita antri online kita juga disuruh ngisi jam kira2 kapan kita dateng. Kita kudu jd WNI yg patuh. Jangan ngaret. Aku pilih opsi jam 11.00-12.00 krn pagi pasti ribet sm anak dan kalo kesorean Jogja biasanya hujan. Padahal sama aja pagi pun td ujan.</t>
  </si>
  <si>
    <t>@BattleHardenedz @D_m3chy Wong yg maling sama yg ngasih ngutang satu leluhur, uang hutang balik ke asal leluhur penuh 100%, aset JAMINAN NKRI 100% JADI MILIK LELUHUR, SAUDARA NYA PUN BEBAS BERKUASA BEKERJA BERDAGANG JADI WNI DI NKRI. Akibat #BangsatBangsa</t>
  </si>
  <si>
    <t>2. Lomba Vlog : Syarat dan Ketentuan Lomba: •Peserta lomba adalah WNI yang berdomisili di Kota Bogor. •Peserta lomba adalah perorangan, dan/atau kelompok maksimal 3 orang.</t>
  </si>
  <si>
    <t>1. Lomba Kreasi Guna Ulang Ecobrick Syarat dan Ketentuan Lomba: • Peserta lomba adalah WNI yang berdomisili di Kota Bogor. . • Peserta lomba adalah perorangan, dan/atau kelompok maksimal 3 orang.</t>
  </si>
  <si>
    <t>@EllaZefa Klu saya baca beritanya sih bener juga, Pemerintah akan menerapkan Sertifikat Bebas Corona bagi WNA dan WNI yg baru masuk ke Indonesia lewat pintu2 masuk, Bandara/Pelabuhan, agar upaya pencegahan lebih efektif.</t>
  </si>
  <si>
    <t>Bingung kan WNI sepulang dri china sampe ke indonesia harus di karantina,tp WNA china yg dtg ke indonesia bebas bergerak tanpa harus di karantina terlebih dahulu Sebenar nya indinesia milik siapa sih apa bener mak banteng udh jd makelar babu</t>
  </si>
  <si>
    <t>Negatif Corona, 4 WNI ABK di Jepang Boleh Pulang?  #Tagar #VirusCorona</t>
  </si>
  <si>
    <t>2. Lomba Vlog : Syarat dan Ketentuan Lomba: . •Peserta lomba adalah WNI yang berdomisili di Kota Bogor. . •Peserta lomba adalah perorangan, dan/atau kelompok maksimal 3 orang.</t>
  </si>
  <si>
    <t>Jalani Proses Naturalisasi Jadi WNI, Marc Klok: Semoga Cepat Selesai</t>
  </si>
  <si>
    <t>Dengan diumumkannya kasus WNI positif korona beberapa hari lalu, menimbulkan terjadinya kepanikan di publik. Apa pendapatmu? Jangan lewatkan pembahasan #KoronaDiMedia di @Rosi_KompasTV pkl 20.00 WIB hanya di KompasTV. Live streaming:</t>
  </si>
  <si>
    <t>RT @Koarmada2SBY: KRI dr. SOEHARSO-990 BANTU EVAKUASI WNI DIAMOND PRINCESS KE LOKASI OBSERVASI DI PULAU SEBARU KECIL Kapal rumah sakit TNI AL dari jajaran Satuan Kapal Bantu Koarmada II yakni KRI dr. Soeharso-990, kembali mendukung proses evakuasi WNI yang bekerja sebagai ABK di kapal pesiar.</t>
  </si>
  <si>
    <t>RT @Koarmada2SBY: Jaga Kesehatan Mental Para WNI ABK Diamond Princess, KRI dr. Soeharso-990 Berikan Pendampingan Psikologis Selain kondisi kesehatan fisik ke-69 WNI sebagai ABK Diamond Princess menjadi perhatian utama selama berada di KRI dr. Soeharso-990</t>
  </si>
  <si>
    <t>Seskab Sebut WNI yang Diobservasi Pulau Sebaru Belum Ada yang Suspect Corona #LawanHoaxVirusCorona</t>
  </si>
  <si>
    <t>Hanya Koperasi yang memfasilitasi pendirian Badan Usaha berbadan Hukum yang wajib dimiliki oleh WNI saja.. Sedangkan Badan Usaha Perusahaan bisa dimiliki oleh Investor Asing atau sahamnya dikuasai WNA</t>
  </si>
  <si>
    <t>RT @fadjroeL: PAGI #SahabatBungJubir ini 188 WNI ABK MV. World Dream berolahraga pagi di Pulau Sebaru Kecil menjalani transit observasi. Juga 68 WNI ABK MV. Diamond Princess akan menyusul dari Yokohama Jepang. Kita doakan segera berkumpul dengan keluarga~ FR #BungJubir #Jubir @JubirPresidenRI</t>
  </si>
  <si>
    <t>Pemerintah Pastikan WNI Pasien Corona Banyak yang Sembuh</t>
  </si>
  <si>
    <t>@permadiaktivis Bela isis, harta benda di jual, paspor di bakar, mewek minta pulang. Teriak" jihat bela moslem India, Bacot doang. Teriak" Corona tentara Alloh.. Yg di serang pemakan babi. Faktanya yg kena negara Islam.</t>
  </si>
  <si>
    <t>Orang dalam Pemantauan adalah semua orang yg masuk ke Indonesia baik WNI atau WNA yg berasal dari negara yg sudah diyakini terjadi penularan antar manusia. Negara tsb adalah Cina, Korea Selatan, Jepang, Iran, Italia, Singapura, dan Malaysia. #WaspadaCOVID19 #WaspadaVirusCorona</t>
  </si>
  <si>
    <t>RT @jg_indonesiaku: @AchmadRaniri @Aryprasetyo85 @Parapat_Nixon @arjuno_ireng01 @kantayu @BabahnoA @ign_djo666 @RiuUtomoRizki @Nyonyaa_R14 @haro_arnold @__MV_llestari__ @7endralKad_run @margran_imp @MoelyonovDjalil @samsudin102 @mbahCokro77 @jr_kw19 @muel_power @ChusnulCh__ Karakternya memang sudah biadab (serumpun isis sih)</t>
  </si>
  <si>
    <t>@AfifFuadS MD mirip radikal isis Sekrg yg ga sepaham di singkirkan</t>
  </si>
  <si>
    <t>Tolak pemulangan eks ISIS ke Indonesia #tolakisis</t>
  </si>
  <si>
    <t>#MetroSiang Pemerintah melalui Kemenkes menyiapkan skenario untuk menjadikan Pulau Galang di Batam untuk menampung WNI pasien Corona. Hal ini dilakukan sebagai langkah antisipasi menyusul banyaknya WNI yang berada di negara-negara epidemik.</t>
  </si>
  <si>
    <t>@465rozi @kantayu Outdoor wkwk isis silirrr</t>
  </si>
  <si>
    <t>@permadiaktivis ISIS itu cabul,pejuang mesum penggemar pesta sex,pengangguran hopelessness, otak sengkleh,bejat, sesat, gak punya otak, duh sampe kesel. 🤣🤣🤣 Syiah bagian dari islam,</t>
  </si>
  <si>
    <t>@abbaskamran110 @DineshK54461795 @akramtyagi @RakeshK35974444 @noidapolice @Uppolice @dgpup @HMOIndia For chid gaya bhai 😂😂🤣🤣 ISIS,Al-shabab,taliban,Alqaeda laura&amp;lehsuns sb fake hai tu rehen de bhai bs chidhna band kar de 😂😂🤣🤣🤣🤣</t>
  </si>
  <si>
    <t>@My_LoveNebe @jokowi Dah gini ko malah membela anak ISIS ya. Entah apa yg merasukinya.</t>
  </si>
  <si>
    <t>Inilah khalifa isis indonesia Pemprov DKI Jual Masker Rp 300 Ribu per Kotak, PSI: Kok Malah Cari Untung?</t>
  </si>
  <si>
    <t>TELL US ABOUT YOURSELF 1. "Aubyn Gamaliel Adipati." 2. "Single tapi not available." 3. "Whatever You Are nya One Ok Rock." 4. "178, 150 darinya aib Baran." 5. "Spotify." 6. "Dokumen negara, sangat rahasia." 7. "College." 8. "WNI." 9. "None." 10. "None."</t>
  </si>
  <si>
    <t>@GonzalezGarciaa Si vi li pilicili ni si priginti isis cisis</t>
  </si>
  <si>
    <t>RT @MaryamAleya: Dengan alasan kemanusian Istana meminta masyarakat menerima anak2 eks WNI combatan ISIS. Dengan alasan KESETANAN kami mengajak kalian terus bersuara "TOLAK BIBIT UNGGUL PERUSAK BANGSA!" #MenolakLupaKejahatanISIS</t>
  </si>
  <si>
    <t>RT @Nurhijr98062744: Panglima TNI dan Kapolri tinjau lokasi Observasi WNI di Pulau Sebaru. #BersamaCegahCorona</t>
  </si>
  <si>
    <t>RT @Nurhijr98062744: Observasi WNI Kru Kapal World Dream capai 85 persen. #BersamaCegahCorona</t>
  </si>
  <si>
    <t>RT @Nurhijr98062744: Memeriksa fasilitas observasi WNI di Pulau Sebaru. #BersamaCegahCorona</t>
  </si>
  <si>
    <t>RT @P3nj3l4j4h_id: Masyarakat diminta sambut sampah???? Mau sampai kapanpun saya pribadi "TETAP MENOLAK" Sampah peradaban masuk ke Indonesia!!!! Yang sependapat silahkan retwit biar tau mereka brp banyak masyarakat yg nolak!!! Cc Prof @mohmahfudmd @jokowi @Chilli_Pari</t>
  </si>
  <si>
    <t>Ndak cukup surat keterangan bebas corona kemenkes ya Yai buat WNI yg dr perjalanan luar negeri atau WNA yg baru aj bepergian dr negara2 endemik? Harus sertifikat nggih? Tpi sdh berpengalaman dink brtahun-tahun di dunia sertifikasi. Nggih monggo Yai. Manut kula. RT @CNNIndonesia: Ma'ruf Amin: Kita akan Terapkan Sertifikat Bebas Corona</t>
  </si>
  <si>
    <t>@LesmanaGagan @merapi_news hubungan teroris ro kilafah ki opo?? gudang isis ngendi meneh?? isis wes bubar pimpinane wes modar</t>
  </si>
  <si>
    <t>2 WNI Positif Corona, Safrial Imbau Masyarakat Tanjabbar Tidak Panik -  | Berita Jambi Digital</t>
  </si>
  <si>
    <t>@Dennysiregar7 @aniesbaswedan @DKIJakarta Org ini sptnya khalifah Isis di indonesia. Waspadalah wahai indonesia.</t>
  </si>
  <si>
    <t>RT @GnpfBullshit212: @SalmaBrecht Resuffle? apa maksudmu?! ini upaya PEMERINTAH melindungi Warganya agar tak tertular Corona dgn MEMPERKETAT masuknya Turis asing / WNI yg dari melancong ke LN Lantas dimana salahnya??</t>
  </si>
  <si>
    <t>@eko_kuntadhi Isis dibilang batas AS karena kalah. Coba isis menang.</t>
  </si>
  <si>
    <t>@nadreaselta @SalmaBrecht Bentuk Proteksi Pemerintah pada WNI</t>
  </si>
  <si>
    <t>@sari00925317 @Restichayah ISIS juga pake bendera tauhid</t>
  </si>
  <si>
    <t>RT @Nurhijr98062744: Meninjau lokasi yang akan dijadikan tempat observasi bagi 188 orang Warga Negara Indonesia (WNI) dari Kapal Pesiar World Dream. #BersamaCegahCorona</t>
  </si>
  <si>
    <t>@Riad_deLead @sakami1808 @kabarmuuu @IkanAsapBara @Lukman_HARP @djangrono @AdityaWisnu @IdaMunfarida5 ISIS bukan khilafah yg dimaksudkan. Dan terbukti ISIS adalah produk kafir. Banyak muslim yg dibunuh ISIS memastikan kelompok baghdadi ini bukan yg dimaksudkan. Soal ngebunuh orang/muslim? Tabulasi ulang negara2 yg demen nyerang negara muslim. Ntar ketemu kok kali ente obyektif</t>
  </si>
  <si>
    <t>@Y0Ez213 @is_pelssy moso mba...isis berarti yo</t>
  </si>
  <si>
    <t>RT @Nurhijr98062744: Tinjau Pulau Sebaru tempat WNI ABK World Dream. #BersamaCegahCorona</t>
  </si>
  <si>
    <t>RT @Nurhijr98062744: Ratusan WNI yang bekerja sebagai anak buah kapal (ABK) World Dream akan dievakuasi ke Pulau Sebaru Kecil pada Jumat (28/2) demi mengantisipasi Virus Corona. #BersamaCegahCorona</t>
  </si>
  <si>
    <t>Efek setelah ada pengumuman 2 orang WNI di Indonesia yg terkena virus sedikit terlihat kepanikan di tengah masyarakat dg terjadinya pembelian besar2an masker, hand sanitizer dan sembako dll, menjawab mengapa kebijakan pemerintah slm ini lebih. #RakyatBersatuLawanCorona</t>
  </si>
  <si>
    <t>Pangkogasgabpad Cek Sarana dan Prasarana 69 WNI Diamond Princess di Pulau Sebaru Kecil</t>
  </si>
  <si>
    <t>Dua WNI tertular corona.. saatnya jaga daya tahan tubuh kita bro dgn minum suplemen dan vitamin #StimunovsCorona</t>
  </si>
  <si>
    <t>2 WNI KTP Depok Terinfeksi, Jabar Bentuk Crisis Center Covid19</t>
  </si>
  <si>
    <t>RT @AlvinoLulu: Pemerintah kok rasanya nyeleneh , anak dr ISIS dipulangin sementara korban Bom kebiadaban teroris ISIS tdk dibantu sama sekali , apa tujuanya gk jelas .Knp tdk memikirkan rasa hati para KORBAN &amp; keluarga . Pak @mohmahfudmd @jokowi , kta tdk Rela anak ISIS dipulangkan @cintada17</t>
  </si>
  <si>
    <t>Gerombolan khilafah gak mau disamain dengan ISIS. Padahal ISIS pakai konsep khilafah juga. Kata mereka. ISIS itu bentukan AS. Beda sama Hizbut Tahrir. Emang Hizbut Tahrir bentukan siapa? Kantor pusatnya aja ada di London.</t>
  </si>
  <si>
    <t>@nahdlatululama Maaf ada pertanyaan; mantan WNI yg sudah minggat bergabung dengan ISIS kok masih ingin pulang..?</t>
  </si>
  <si>
    <t>KJRI Istanbul Bantu Pemulangan 769 WNI</t>
  </si>
  <si>
    <t>Beberapa di antaranya adalah dengan menjaga kesehatan dan meningkatkan imunitas tubuh.</t>
  </si>
  <si>
    <t>RT @MafiaWasit: Ada yg lagi bingung judul skripsi ga? Ajukan aja: PENGARUH TERPAAN MEDIA LEBAY TERHADAP TINGKAT KECEMASAN WARGA MARES (Studi Kasus Pemberitaan KaSUs Dua WNI Positif Corona di )</t>
  </si>
  <si>
    <t>Peluang sembuh dari corona sangat besar. 5 WNI positif virus tersebut di luar negeri dinyatakan sembuh. Baca di #KoranSINDO hari ini.</t>
  </si>
  <si>
    <t>RT @AngkieYudistia: ISTANA TERUS PANTAU PERKEMBANGAN PASIEN POSITIF COVID-19 1. Dua WNI yang sedang menjalani perawatan intensif di rumah sakit Sulianti Saroso, Jakarta Utara, hingga saat ini kondisinya baik #AngkieYudistia #JubirPresidenbidSosial</t>
  </si>
  <si>
    <t>@FaizaMardz @friscoo @joanwinona @lenaaliesa @alivefauzan @Kemendikbud_RI Setujuuu. Bacot dulu ajaa. Gak mau cari tahu apa yang mendasari bisa ada twit kaya gitu. Pokoknya intinya cewek yang buka mulut langsung dikatain feminis ini feminis itu dan semua perkataan civilized ala intelektual WNI. Gila salut sih sama energi sebesar itu.</t>
  </si>
  <si>
    <t>Farhan sempat ragu berintegrasi lagi dengan NKRI. Ia takut keputusannya akan mengancam keselamatannya. Tapi ia akhirnya kembali setia ke NKRI dan meninggalkan ansharu daulah.</t>
  </si>
  <si>
    <t>@CNNIndonesia Headlinennya kurang pas, jadi timbul pertanyaan yg macem2. Padahal maksud pak wapres baik, sertifikasi bagi WNA dan WNI yg pulang dari luar negeri dan ini menurut saya sangat baik sekali agar kita tak khawatir apakah saudara kita yg pulang dari luar negeri terinfeksi atau tidak.</t>
  </si>
  <si>
    <t>@rinaldysofwan Aku ga akan masuk ISIS kok tenang aja</t>
  </si>
  <si>
    <t>@AlissaWahid itu lah yang di nama kan "KAFIR''! Melenceng dari ajaran keyakinan nya, klo di bilang ISIS itu shaitan itu benar, sebab nilai nilai biadab nya itu yang masuk dalam kekafiran nya itu dan keras nya mereka masuk dalam arti sifat jahat alias "SHAITAN" ! Shaitan itu adalah sifat jahat</t>
  </si>
  <si>
    <t>KJRI Istanbul Bantu Pulangkan 769 WNI ke Indonesia, 378 Gagal Umroh</t>
  </si>
  <si>
    <t>RT @teh_tariq: KJRI Istanbul Bantu Pulangkan 769 WNI ke Indonesia, 378 Gagal Umroh</t>
  </si>
  <si>
    <t>Dihimbau agar tidak panik karena adanya pemberitaan WNI yg terkena virus Corona. Mari bersama-sama cegah penyebaran virus Corona, dgn melakukan hal-hal berikut ini. Tetap woles &amp; berpikir jernih ya. Repost IG @ditjenhubdat @kemenhub151 @AzwarAnas_A3 @aliruchiits</t>
  </si>
  <si>
    <t>@AnakLolina Pak Kyai Wapres mendingan terapkan sertifikat penceramah/pendakwah (agama apapun) bebas khilafah, HTI, terorisme, radikalisme, ISIS dll yg sejenisnya.</t>
  </si>
  <si>
    <t>RT @idntimes: Dua WNI akan diobservasi di Cikarang</t>
  </si>
  <si>
    <t>@kring_pajak Pagi Min, Perempuan WNI domisili Indonesia menikah dengan Pria WNA domisili tidak di Indonesia, apakah Wanita menikah ini dapat memperoleh NPWP atas namanya sendiri? Mengingat Pasal 8 UU PPh. Terima kasih</t>
  </si>
  <si>
    <t>RT @bayumhk: @mamaudrey14 @BaleBengong Lapor aja ke lurah, sekalian ke saber pungli. Logikanya, WNI kan sah sah saja tinggal di manapun di Indonesia. Turis aja beberapa bisa free Visa, masak orang Indonesia bayar tinggal di negara sendiri</t>
  </si>
  <si>
    <t>RT @skullcool_id: Pemerintah melakukan upaya maksimal utk mencegah wabah virus korona semakin meluas. Sejmlh langkah lanjutan tengah dilakukan pihak terkait utk menindaklanjuti 2 WNI yg sblmnya tlh dinyatakan positif virus korona. #2019nCoV #CoronaVirus #COVID19 #nCoV2019 #nCoV #COVID2019</t>
  </si>
  <si>
    <t>@Cobeh09 @TanYoana tetangga owe WNI keturunan, malah pernah jadi HANSIP 😁</t>
  </si>
  <si>
    <t>RT @TRANSTV_CORP: Virus #COVID19 mulai menyebar ke negara-negara di dunia. ⁣ ⁣ Di Indonesia, kemarin baru aja diumumkan bahwa ada 2 WNI yang terkena virus Corona.⁣ ⁣ Yuk kita pelajari lagi tentang gejala dan pencegahan #COVID19 ! #KamiTidakTakutVirusCorona</t>
  </si>
  <si>
    <t>@salsabila0307 @Rijalakiluck @baru_netas @duabela69862203 @arimaharta @ChusnulCh__ Kalau ke suriah, ntar di saat anda mati di china, otomatis tetap saya ga bisa balik indonesia. Karna pasti diprotes ama kaum ente dengan cap Isis atau apalah😊</t>
  </si>
  <si>
    <t>Begini saja terus saling bunuh membunuh, tuduh menuduh. Indonesia takkan pernah damai, kita semua gagal menjadi wni yang baik. RT @vyeimo: Jance Magay, Masyarakt sipil di Nahangia, Kali Kabur, Tembagapura diculik TNI/Polri hari Rabu, 26 Feb 2020, jam 08:40. Dia ditemukan tewas pada Minggu, 1 Maret 2020, di halaman rumahnya. Lutut kaki kiri ditembusi peluruh dengan luka luka akibat disiksa oleh militer Indonesia.</t>
  </si>
  <si>
    <t>Michi ——-&gt; Isis</t>
  </si>
  <si>
    <t>@mamaudrey14 @BaleBengong Lapor aja ke lurah, sekalian ke saber pungli. Logikanya, WNI kan sah sah saja tinggal di manapun di Indonesia. Turis aja beberapa bisa free Visa, masak orang Indonesia bayar tinggal di negara sendiri</t>
  </si>
  <si>
    <t>@teukufauzansyah Semoga 2 WNI yang terinfeksi virus Corona merupakan yang pertama dan terakhir kali di Indonesia Amiin.</t>
  </si>
  <si>
    <t>Negara susun skenario evakuasi WNI dari episentrum Covid-19</t>
  </si>
  <si>
    <t>@wahhabicc_jabar Yg bela Eks ISIS pasti kadrun Pak Hehehe</t>
  </si>
  <si>
    <t>RT @3_devout: Babi di sala"in..virus isis di biarin mala dibela?! Dazar t4i BABI klean 😘👌</t>
  </si>
  <si>
    <t>RT @wahhabicc_jabar: Mulai viral video anak yg (SEOLAH) jadi korban bapaknya yg ISIS. Mulai pd mlipir iba melihat anaknya! Mulai penggiringan opini sedikit demi sedikit dgn narasi HAM lah, Kasihan lah... Heh tong! Jika ISIS yg berkuasa, apakah kalian akan dimaafkan? ISIS kenal HAM? MIKIIIIIR..!</t>
  </si>
  <si>
    <t>Dua WNI akan diobservasi di Cikarang</t>
  </si>
  <si>
    <t>@AyuKmraReal Gak belajar dari Syria sama Irak yang porak poranda karena ISIS</t>
  </si>
  <si>
    <t>@BamsBulaksumur Selamat pak Jokowi, hasil kerja yg luarbiasa. Mampu meyakinkan pihak jepang utk sembuhkan WNI. Bravo.</t>
  </si>
  <si>
    <t>RT @HitamPutihT7: Presiden Jokowi mengkonfirmasi ada 2 WNI yg terjangkit corona. Sebenarnya apa itu virus corona? Bagaimana cara penyebarannya? Seperti apa gejala virus corona? Malam ini dr. Irwan Heriyanto, MARS akan menjelaskan semuanya di #HitamPutih. @HaloDocID #CegahCorona #TanyaDokterAsli</t>
  </si>
  <si>
    <t>Pantesan aku di ghosting, tauna kamu join isis</t>
  </si>
  <si>
    <t>Jika menarik kembali ke kisah awal konflik Syiria. Ashad di goyang kekuasaannya, kemudian muncul pemberontakan bersenjata, tak lama muncul ISIS sbg kekuatan militer baru &amp; konflik ini eskalasinya semakin membesar. Rusia muncul dlm menjaga stabilitas mempertahankan kekuasaan Ashad</t>
  </si>
  <si>
    <t>Meanwhile in indonesia : “A*yu Ting tong yang tinggal di Depok, Jawa Barat, kaget mendengar dua WNI yang positif virus corona tinggal di Depok”. Srsly? Wth is a*yu ting tong? RT @Box2BoxBola: Jawaban paling bagus dari Klopp saat ditanya soal virus Corona. 👏</t>
  </si>
  <si>
    <t>Mencegah lebih baik daripada mengobati. Ini adalah cara mencegah virus corona, virus yang sekarang sedang diwaspadai warga dunia. Sudah ada dua warga negara Indonesia (WNI) yang terjangkit COVID-19 di Indonesia.…</t>
  </si>
  <si>
    <t>Turkey menyerang Syiria.....ada beberapa kekuatan di Syiria. Ada militer Ashad, ada Kurdi, ada ISIS, yg tentunya didukung negara2 adidaya utk supply senjata. Saat ini hadir militer Turkey. Semakin komplek apa yg terjadi di Syiria.</t>
  </si>
  <si>
    <t>@TeddyGusnaidi Om teddy yg terhormat, klo korupsi sama koruptor itu apa yaaaa...ISIS, KHILAFAH, apalahitu sebagian orang juga ga tau apa itu, palingan cuma dengerin ato liat di tv, tapi gara gara KORUPTOR itu menghancurkan sendi sendi masyarakat, dan rakyat indonesia</t>
  </si>
  <si>
    <t>@Kimi58486332 @e100ss Kapal pesiar wes di cek mbek pihak jepang sak ero ku,wni wuhan kann ws di karantina bosque</t>
  </si>
  <si>
    <t>RT @KompasTV: 69 WNI ABK dari Diamond Princess Batal Diturunkan, Ada Apa?</t>
  </si>
  <si>
    <t>Pasca Presiden mengkonfirmasi ada dua WNI Positif tertular Virus Corona. Banyak Kepala Daerah yang berbondong-bondong mengeluarkan himbauan. Tentu itu hal yang baik, namun ada juga yg diduga memanfaatkan momen tersebut...</t>
  </si>
  <si>
    <t>@Semoet__ Aduh terus ga pake cawet dong, isis....</t>
  </si>
  <si>
    <t>@Firmana66382608 @BamsBulaksumur Ini orang semuanya kok pada kebakaran jenggot ya ada WNI sembuh dari korona??? Kita tinggal yakinin aja kok kesembuhan hanya dari Tuhan yg maha kuasa melalui tangan pemerintahan saat ini, bukannya di aminin kok malah ribut maki maki guyss. Kalian pd tinggal di Indonesia khan?</t>
  </si>
  <si>
    <t>RT @sorotnews: 2 WNI Positif, Indonesia Resmi Masuk Peta Sebaran Virus Corona Sedunia</t>
  </si>
  <si>
    <t>@Orangba75535309 @Aztrans_Yogya @abee_armalika @Dennysiregar7 @karniilyas @anishidayah Intinya 1. @ILCtv1 undang Firni selaku warga Depok eks WNI yg dikarantina di Natuna. 2.@ILCtv1 dan Firni sepanjang acara tidak pernah menyebut/klaim kehadirannya mewakili warga Studio Alam Indah.</t>
  </si>
  <si>
    <t>Waspada Virus Corona, Masker Habis Diborong di Pasaran dan Apotek di Banda Aceh, Harganya Melambung BANDA ACEH - Masker mulai langka di Banda Aceh menyusul pemerintah mengumumkan dua WNI terjangkit virus…</t>
  </si>
  <si>
    <t>@e100ss Begitu preventifnya arab saudi, sampai ibadah saja di larang sementara waktu.....beda di indonesia, penangkalnya DOA ,Usaha nanti aja, buktinya hari ini baru uji spesimen 462 seluruh indonesia , tidak termasuk WNI wuhan 248 dan kapal pesiar 188</t>
  </si>
  <si>
    <t>RT @Demokrat_TV: BMI: Pemerintah Harus Lindungi Kesehatan Rakyat  Ketum BMI: Sudah waktunya desk penanganan penyebaran Virus Corona dibentuk Presiden dlm bentuk Perpres di bawah Menko Pembangunan Manusia &amp; Kebudayaan, digerakkan dari pusat sampai daerah. #VirusCorona</t>
  </si>
  <si>
    <t>RT @TexasLord1: Asap 😤</t>
  </si>
  <si>
    <t>Selain Anjing, WNI Positif Corona Pelihara Kelinci, Ikut Tertular Majikan?</t>
  </si>
  <si>
    <t>@cecile2771 @JunLeesZone @SalmaBrecht intruksi presiden sering dianggap angin lalu oleh bawahannya, dari radikalisme, intoleransi, benih udang, ISIS, terorisme dll.</t>
  </si>
  <si>
    <t>@Parapat_Nixon @jokowi @kemendagri @DivHumas_Polri @dprddkijakarta Ketegasan pak Jokowi hanya sebuah harapan. Klemek2 gitu justru membela anak ISIS.</t>
  </si>
  <si>
    <t>RT @LesmanaGagan: @merapi_news Itu rombongan teroris khilafah yg kemaren lewat malioboro udah dpr izin, izin kewat kampus, buat ngayem2 mun aja dr pd teriak2 di perempatan. Saya yakin beliau tegas .Yg di larang umat islam pengusung khilafah, skrg jd ketauan kan kampus mana yg gudang isis n teroris. #jakunonta</t>
  </si>
  <si>
    <t>RT @AnakKolong___: KHILAFUCK WAHABISM | Target mereka ; NU bubar tahun 2025 - 2030. 1. Wahabi dgn berbagai Kedoknya (Wahabi-salafi, Wahabi-ISIS, Wahabi STDI, Wahabi-HTI dsb), telah mencoba mengemas agar doktrin mereka lebih diterima &amp; bisa pengaruhi WNI yg setia pada Pancasila. . .</t>
  </si>
  <si>
    <t>virus/kuman pnyakit panu tdk dpt hidup (akan auto mati)diiklim subtropis10°c - 15°c,mana ada org sono yg terkena panu😄 -virus corona tak tahan pd iklim tropis 27°- 31°c. 2 org wni positive sebab bersentuhan dgn warga jepang yg sdh terkena virus saat tiba. #LawanHoaxVirusCorona RT @ManafSamuel: @ustadtengkuzul Virus corona tak dpt hidup/berkembang biak pd suhu beriklim tropis(indonesia). beda dgn diwuhan china yg beriklim subtropis. Sama halnya; virus_bakteri_kuman panu tak dpt hidup berkembang biak diiklim subtropis. Fakta!mana ada org sana yg berpenyakit panu😅 #LawanHoaxVirusCorona</t>
  </si>
  <si>
    <t>RT @permadiaktivis: Tapanuli makan Babi dari jaman Belanda, gak ada virus Corona Minahasa makan Babi dari jaman Kumpeni, gak ada virus Corona Bali makan Babi dari jaman VOC, gak ada virus Corona Jadi yang masalah bukan Babi, tapi orang pake gamis sorban kelakuan kayak Babi DASAR BABI #NgegasPagi</t>
  </si>
  <si>
    <t>Sebagai WNI gue ga sepenuhnya dukung pemerintah untuk beberapa hal, termasuk juga dalam kasus corona, tapi untuk hasil tes kesehatan or yg berhubungan dengan positive negative corona, ini cobalah kita percaya ke pemerintah, harus punya prinsip, jangan melulu nyalahin pemerintah</t>
  </si>
  <si>
    <t>RT @wahhabicc_jabar: Jelang Pemulangan Anak² eks ISIS Pemerintah Minta Masy Menyambut. Ooooo.. Siapkan karpet merah! Bentangkan tulisan اهلا وسهلا ياداعش Welcome jgn ketinggalan! Umbul² berwarna pasang distiap pelosok! Grup Drumband dipersiapkn! Gitu Cukup? #HinaKhan ?</t>
  </si>
  <si>
    <t>@Orangba75535309 @Aztrans_Yogya @abee_armalika @Dennysiregar7 @karniilyas Tulisan @anishidayah akui bahwa TvOne undang warga perumahan tsb tapi tak ada yg mau datang. Kedatangan Firni selaku warga Depok dlm kapasitas sbg eks WNI yg dikarantina di Natuna. Kebetulan saat kasus"positif tsb" ,Firni tinggal di rumah kakaknya di SAI.Wajar tahu sikon saat itu</t>
  </si>
  <si>
    <t>@Maryam59771644 @tandanVradio @Restichayah @jokowi @prabowo @Dahnilanzar Lo pikir mereka dipake KAFIR ? BUKA MATA LO !</t>
  </si>
  <si>
    <t>RT @Amir_Faesal_70: @habibthink Berat dan penting!! Eh malah mikirin anak2 ex ISIS 😊</t>
  </si>
  <si>
    <t>@carvalhoheda_is POLIANA ISIS POLIANA</t>
  </si>
  <si>
    <t>@Maryam59771644 @tandanVradio @Restichayah @jokowi @prabowo @Dahnilanzar Penistaan agama masih berlaku yg Iblis....di Ahok kan....mewek lo ah....mo dibela bersilit2 ? Pantesan ente kagak maju2....jadi jongos kafir.... Nyari makan ngandelin kafir....kafir yg salah.. Makanya otak jangan dipake buat mikir selangkangan doang......ente masih butuh Maman 😂</t>
  </si>
  <si>
    <t>HALAH PREKETEK....!!! . . . Hanya perang dagang Missile Barat dengan Rudal BrahMos ( India - Rusia ) kau framing perlakuan tidak adil thd Muslim. DRUN... KHILAFUCK &amp; SEL ISIS memang harus digebuk di India sekalipun. . . . Busung Nalar...!!! . .  RT @MUIPusat: Tutup KUII, Menag Kecam Perlakuan Tidak Adil Terhadap Muslim India @Kemenag_RI  #india #newdelhi #islam #muslim #toleransi #hakasasimanusia #menag #cintadamai</t>
  </si>
  <si>
    <t>@Maryam59771644 @tandanVradio @Restichayah @jokowi @prabowo @Dahnilanzar Faham ?😂😂😂😂😂 RT @ISIS_Balik_NO: @Maryam59771644 @tandanVradio @Restichayah @jokowi @prabowo @Dahnilanzar Jadi Sodara krn tauhid ?</t>
  </si>
  <si>
    <t>@TaliUdeng @ajunsii @anjunyoanjun @GagakNeww2 @PakPeni @tika_sekti @VeyWiniy @mscendani @AldilaSandra @BertaDwita @amelianita27 @citogog Sarungan penak to Dhe, maleh isis njeh 😅</t>
  </si>
  <si>
    <t>Israel, Turki, Al-Qaeda, ISIS, &amp; FSA bersekutu #suriah #turkey RT @sahouraxo: BREAKING: Israel bombs #Syria AGAIN from Lebanon’s airspace, right in the middle of the night as Syrian and Lebanese families are sleeping. Every time Al-Qaeda is on the verge of total defeat, Israel intervenes to boost the morale of its terrorist proxies and keep the war going.</t>
  </si>
  <si>
    <t>RT @saifaliebahri_: @AnakKolong___ Bapak @kemenag_ri yth, daripada bapak sibuk ngurusi Kombatan ISIS untuk pulang kesini, sebaiknya Bapak Fokus dulu memberantas benih-benih penentang Pancasila yang masih tetap eksis menebarkan paham Khilafahnya.</t>
  </si>
  <si>
    <t>@merapi_news Itu rombongan teroris khilafah yg kemaren lewat malioboro udah dpr izin, izin kewat kampus, buat ngayem2 mun aja dr pd teriak2 di perempatan. Saya yakin beliau tegas .Yg di larang umat islam pengusung khilafah, skrg jd ketauan kan kampus mana yg gudang isis n teroris. #jakunonta</t>
  </si>
  <si>
    <t>@Yopiluthfi1 @BamsBulaksumur 😂😂 Jadi ingat kasus muslim India, yg ditanya &amp; disalahkan malah Jokowi 😊😊😊 Giliran WNI sembuh di dalam rawatan pemerintah Jepang, malah ngamuk2 saat dikaitkan dgn Jokowi. Bung @BamsBulaksumur sungguh berhasil menelanjangi cara berfikir kadrun dgn twit satire-nya 👍😂😂😂😂👍</t>
  </si>
  <si>
    <t>@LinaCaprichete Prior, Babu</t>
  </si>
  <si>
    <t>#MariMencegahCovid19 ini cara-cara menghormati dalam budaya Indonesia untuk mencegah Covid19. Alhamdulillah WNI kasus 1 &amp; kasus 2 sudah mulai membaik. Mari bergotongroyong membangun #SolidaritasKemanusiaanMelawanKorona seluruh rakyat Indonesia ~ #Jubir #BungJubir @JubirPresidenRI</t>
  </si>
  <si>
    <t>Ini Kombatan ISIS yang gagal berangkat jihat karena emang miskin. Miskin harta miskin moral. Terus masih mau mulangin EX WNI kombatan ISIS? Ngurusin beginian aja gak becus malah nambahin teroris disuruh pulang kesini. Gilak RT @HusinShihab: Lemahnya pemerintah terhadap penganut Islam aliran keras, intoleran dan bibit teroris akan menjadi bom atom yg dapat menghancurkan peradaban bangsa ini. @DivHumas_Polri @jokowi @mohmahfudmd @BNPTRI</t>
  </si>
  <si>
    <t>RT @setkabgoid: Jubir Penanganan Covid-19: 2 WNI dalam Perawatan, Kondisi Sehat dan Tidak Pakai Selang</t>
  </si>
  <si>
    <t>RT @BertemanM: Tuh kan ..... bisa sembuh. Jangan pada panik ya, pliss</t>
  </si>
  <si>
    <t>RT @BirgaldoS: Kalo ada yang tahu WA Menkopulhukam @mohmahfudmd atau Presiden @jokowi tolong diforward ya. Biar mereka tahu penderitaan anak2 ISIS Ex WNI itu gak ada apa2nya dibanding Trinity anak korban bom biadab teroris Gereja Samarinda.</t>
  </si>
  <si>
    <t>Empat WNI yang dikonfirmasi positif Covid-19 di Jepang telah dinyatakan sembuh - #Tren</t>
  </si>
  <si>
    <t>Sebanyak 69 WNI ABK Diamond Princess Olah Raga Pagi di KRI Soeharso</t>
  </si>
  <si>
    <t>@txtdrpemerintah @akupulaaang Padahal di isi beritanya masih "mungkin" dan pembahasan utamanya adalah soal apa yang saja yang dilakukan sebagai respon adanya virus corona. Bukan hanya bikin sertifikat saja, tapi ada beberapa hal lainnya seperti pengecekan riwayat perjalanan WNI dan WNA di luar negeri.</t>
  </si>
  <si>
    <t>@paquitacumadebu @yudi682 @SydSalesman @P3nj3l4j4h_id @eizanfolks @mohmahfudmd @jokowi @Chilli_Pari Nah itu dia!!! Kasian loh nasib mrk itu, ga jelas. Mo mencari nafkah buat keluarga di Indonesia malah dikerjain. Eh orang2 tuch yg byk omong ada mikirin nasib mrk ga sich?? Giliran ex ISIS lgsg gercep sembur sana-sini 😤</t>
  </si>
  <si>
    <t>RT @fivetvupnvj: [APENI : ADA YANG PENTING NIH] WASPADA VIRUS CORONA! Presiden Jokowi menyatakan bahwa terdapat WNI positif corona di Indonesia, hal tersebut disampaikan oleh presiden pada jumpa pers dadakan hari Senin (2/3).</t>
  </si>
  <si>
    <t>RT @jeprince97: @arjuno_ireng01 Tapi sayang masih banyak yg teriak2 rasis anti cina. Padahal mereka WNI yg cinta Indonesia. Perduli dgn negerinya.</t>
  </si>
  <si>
    <t>@ISIS_Balik_NO @tandanVradio @Restichayah @jokowi @prabowo @Dahnilanzar Orang Hindu, Budha, Kristen Islam ada yg jahat, pelacur, maling. Tapiiiii....ajaran kafir elu yg tuhannya cabul keluar dari vagina perawan, kitabnya porno, umatnya kemana2 pake kolor hotpants, ibadah pake rokmini. Negara2 kafir melegalkan pelacuran perjudian miras</t>
  </si>
  <si>
    <t>@PerwitasariAna Ngeri sekali..semoga WNI di hangguk selamat semua dr virus ini mbak..berkali" parah dibanding MARS dlu..</t>
  </si>
  <si>
    <t>Diwajibkan Memeluk Agama di KTP, WNI Penghayat Kepercayaan Merasa Dijajah  lewat @beritasatu</t>
  </si>
  <si>
    <t>@bagusjkusuma @sarahjalan @ArtemisNaufal @potutu_ @subtanyarl Beberapa waktu lalu pemerintah indo jg kirim banyak masker ke luar negri buat bantuan. Ada yg dikasih ke kjri di negara tujuan buat dibagiin ke wni yg ada disana. Skrg negaranya sendiri butuh, ada stock pun tp harga selangit. Yg disalahkan yg sehat krn borong masker.</t>
  </si>
  <si>
    <t>RT @KompasTV: Masih Ada 5 WNI Positif Corona di Jepang, Kementerian Luar Negeri Pastikan Terus Pantau Kondisinya</t>
  </si>
  <si>
    <t>@kompascom selalu suka penjelasan bapak ini sejak dia ikut evakuasi WNI wuhan ke natuna</t>
  </si>
  <si>
    <t>RT @P3nj3l4j4h_id: Lu pernah baca berita gaa satu keluarga di batam yg bapaknya adalah pegawai otorita batam pergi gabung dg isis karena pengaruh dari anaknya? Emang anak itu ga sekolah? Senjata? Jaman skrg nyari senjata ga sulit kali merakit senjata jg ada😴</t>
  </si>
  <si>
    <t>@AlissaWahid Lalu siapa lagi yg sejenis dengan ISIS ning?... Mari kita bikin para setan ndak hepi 🤭🤭🤭</t>
  </si>
  <si>
    <t>@BamsBulaksumur Woyyy bambang...bambang.... Itu 4 wni d sembuhinnya di jepang, bknny si Jokowi yg nyembuhin, koplak jg ya.... Sekali2 lah waras dikiiit aja... 😤</t>
  </si>
  <si>
    <t>RT @abah_godegan: RS INDONESIA CABANG JEPANG MENANGANI WNI POSITIF CORONA, SAMPAI SEMBUH. HEBATNYA PEMERINTAH INDONESIA.</t>
  </si>
  <si>
    <t>RT @inyongmanise: Milita ISIS asal Indonesia melirik Papua sbg tempat persembunyian dan pelatihan. @jokowi @mohmahfudmd</t>
  </si>
  <si>
    <t>RT @eko_kuntadhi: Khilafah ISIS di Suriah dan Irak hobi menyembelih orang dan perkosa perempuan. Itu contoh nyata apa yang dilakukan mereka kalau berkuasa. Eh, di Indonesia ada gerombolan pekok minta ditegakkan khilafah.</t>
  </si>
  <si>
    <t>RT @IndonesiaBaikId: Hai SohIB! Saat ini pemerintah sdg mengevakuasi 188 WNI ABK kapal pesiar World Dream di P. Sebaru Kecil 🏝️ Seperti apa prosesnya? #IndonesiaBaik #YangMudaSukaData #Infografis #ProgramPemerintah #VirusCorona #Covid19 @setkabgoid @antaranews</t>
  </si>
  <si>
    <t>RT @oceanflyer1: @KemenkesRI Ini lupa tidak masuk update, Min?</t>
  </si>
  <si>
    <t>Tiga WNI masih ada di Yokohama, sementara seorang lainnya sudah ikut pesawat dan dievakuasi dari Jepang.</t>
  </si>
  <si>
    <t>Panglima TNI Dan Kapolri Tinjau Kesiapan Lokasi Evakuasi Dan Observasi WNI Dipulau Sebaru</t>
  </si>
  <si>
    <t>Himbauan @KBRI_Paris bagi WNI mengenai situasi #convid19 di Prancis.</t>
  </si>
  <si>
    <t>RT @RadioElshinta: Empat WNI kru Diamond Princess dinyatakan sembuh dari corona</t>
  </si>
  <si>
    <t>Rustian (Direktur Pengelolaan Logistik Dan Peralatan BNPB) Menyatakan Bahwa Pulau Sebaru Bagus Untuk Observasi WNI</t>
  </si>
  <si>
    <t>hi isis ❤️</t>
  </si>
  <si>
    <t>5 th di bangun hancur dalam beberapa bulan.. habis di perebutkan.. evakuasi WNI.. dan sekarang di hancurkan sendiri.. natuna semenarik itu.. RT @susipudjiastuti: 😰😭😰😭😰😭😰30 kapal cantrang diberangkatkan dari Pantura ke Natuna. Nelayan Pantura akan melaut di Natuna selama dua bulan. #publisherstory</t>
  </si>
  <si>
    <t>@BertemanM Ada yang bilang ini prestasi pemerintah jokowi, karena bisa menyembuhkan WNI di Jepang 🤣🤣🤣</t>
  </si>
  <si>
    <t>Ini gemblung banget sih... Ya kan @KPAI_official? Tuh pak @jokowi @mohmahfudmd @Kiyai_MarufAmin di Indonesia aja masih banyak anak2 yg kayak gini, kok ya mau import anak2 eks wni pro ISIS... Apa masih kurang dgn masalah anak2 di Indonesia? RT @detikcom: FY, guru SMAN di Kecamatan Fatuleu Barat, Kabupaten Kupang, NTT mengalami luka berat setelah dikeroyok 3 siswanya.</t>
  </si>
  <si>
    <t>Milita ISIS asal Indonesia melirik Papua sbg tempat persembunyian dan pelatihan. @jokowi @mohmahfudmd</t>
  </si>
  <si>
    <t>-cont-diumumin 2 wni positif di indo baru bergerak semua. Apalagi warga indo kebanyakan seperti saya kadang menyepelekan soal cuci tangan dan memakai masker (dengan benar).</t>
  </si>
  <si>
    <t>Rencana ini merespons dua WNI asal Depok, Jawa Barat positif virus corona diduga karena tertular.</t>
  </si>
  <si>
    <t>@sbyfess Tak pikir wadahe sepatu ben gak basah. Langsung lapor nder sebagai wni yng baik</t>
  </si>
  <si>
    <t>pemberlakuan sertifikasi bebas virus corona bagi tiap warga negara asing (WNA) maupun warga negara Indonesia (WNI) dari luar negeri yang ingin masuk ke Indonesia. Sertifikat ini sebagai bagian pencegahan penyebaran virus corona di Indonesia.</t>
  </si>
  <si>
    <t>@Yopiluthfi1 @BamsBulaksumur Halah gombal, nnt klw WNI tidak sembuh pasti pemerintahan jokowi yg loe salahin. Kan assssu...</t>
  </si>
  <si>
    <t>Pemerintah melakukan upaya maksimal utk mencegah wabah virus korona semakin meluas. Sejmlh langkah lanjutan tengah dilakukan pihak terkait utk menindaklanjuti 2 WNI yg sblmnya tlh dinyatakan positif virus korona. #2019nCoV #CoronaVirus #COVID19 #nCoV2019 #nCoV #COVID2019</t>
  </si>
  <si>
    <t>@Roisnurihsan Intoleran dimulai dari ormas model gitu....jangankan ke agama lain sama sam islam aja intoleran kaya isis sama sama islam tetp di penggal</t>
  </si>
  <si>
    <t>Rustian (Direktur Pengelolaan Logistik Dan Peralatan BNPB) Menyatakan Bahwa Pulau Sebaru Sangat Baik Untuk Observasi WNI</t>
  </si>
  <si>
    <t>. @BirgaldoS : Laporrr Pak Presiden @jokowi Dan Pak @mohmahfudmd Inilah kondisi Trinity gadis kecil korban bom teroris di Gereja Ouikumene Samarinda. ... Semoga mata hati bapak tersentuh melihat gadis kecil Trinity ini. Bukan anak2 ISIS saja.  RT @BirgaldoS: Laporrr Pak Presiden @jokowi Dan Pak @mohmahfudmd Inilah kondisi Trinity gadis kecil korban bom teroris di Gereja Ouikumene Samarinda. Saya kunjungi pada 9/12/19. Semoga mata hati bapak tersentuh melihat gadis kecil Trinity ini. Bukan anak2 ISIS saja.</t>
  </si>
  <si>
    <t>23 tim evakuasi diterbangkan ke Yokohama Jepang untuk membawa pulang 68 WNI dari kapal pesiar Diamond Princess</t>
  </si>
  <si>
    <t>RT @Bisniscom: Virus Corona, HDI Donasikan Suplemen untuk WNI yang Dikarantina di Pulau Sebaru</t>
  </si>
  <si>
    <t>Kronologi 2 WNI Tertular Virus Corona (Covid-19) - Rakyat Cirebon</t>
  </si>
  <si>
    <t>Virus Corona, HDI Donasikan Suplemen untuk WNI yang Dikarantina di Pulau Sebaru</t>
  </si>
  <si>
    <t>Eks ISIS ditolak dgn marah2 , suspect corona disambut dgn karpet merah RT @T0NI361: itu bukan kunjungan tapi kabur dari china takut terkena virus corona, 🧐🧐</t>
  </si>
  <si>
    <t>🤔🙄 Terungkap, 238 WNI dari Wuhan Tak Dites Virus Corona, Alatnya Mahal</t>
  </si>
  <si>
    <t>@VIVAcoid viva pro pemberontak, sejarahnya isis yg paling banyak merusak makam, berita ini malah sebaliknya, aneh.</t>
  </si>
  <si>
    <t>RT @octania_: Terimakasih untuk Pemerintah Jepang yang sudah membantu merawat 4 WNI disana hingga dinyatakan sembuh</t>
  </si>
  <si>
    <t>@Beby__J ngapunten ya, aku yo malu sebagai sesama wni :(</t>
  </si>
  <si>
    <t>Dua WNI kru kapal Diamond Princess sembuh dari virus corona dan segera dipulangkan  #VirusCorona</t>
  </si>
  <si>
    <t>@ISIS_Balik_NO @tandanVradio @Restichayah @jokowi @prabowo @Dahnilanzar Saudara sebangsa Kalimat tauhid: tidak ada Tuhan selain Allah, dan Muhammad adalah Rasul Allah. Kalo tuhan kafir sampo 3in1</t>
  </si>
  <si>
    <t>RT @kompascom: Dua WNI yang dinyatakan sembuh itu sudah bisa dipulangkan ke Tanah Air.</t>
  </si>
  <si>
    <t>RT @WasitMedsos4677: PKI pada maskeran coy Cadaran ni yeee hihihi Kok gak pindah ke Arab? PKI jadi ISIS Wah gk NKRI tuh ! USIR 😀</t>
  </si>
  <si>
    <t>@ISIS_Balik_NO @tandanVradio @Restichayah @jokowi @prabowo @Dahnilanzar Tuhannya kafir ga ada martabat</t>
  </si>
  <si>
    <t>69 WNI ABK dari Diamond Princess Batal Diturunkan, Ada Apa?</t>
  </si>
  <si>
    <t>@ISIS_Balik_NO @tandanVradio @Restichayah @jokowi @prabowo @Dahnilanzar Amsal 7:18 Marilah kita memuaskan berahi hingga pagi hari, dan bersama-sama menikmati asmara. 7:19 Karena suamiku tidak di rumah, ia sedang dalam perjalanan jauh,</t>
  </si>
  <si>
    <t>@ISIS_Balik_NO @tandanVradio @Restichayah @jokowi @prabowo @Dahnilanzar Ajaran Islam melarang pelacuran. Tapi ajaran kafir membolehkan pelacuran, isi kitab membolehkan seks bebas dan selingkuh. Wanita kafir kemana2 pake hotpants rokmini, tuhannya cuma pake kolor</t>
  </si>
  <si>
    <t>RT @dubie_tina: TUH KAN KEBIASAAN KADRUN HTI ISIS RADIKAL ABIS BACOT SONTOLOYO TERUS VIRAL EIT DAAAH DI HAPUS CUUUUY ! ! KELAR IDUP LOE SEKARANG ! ! MUKA LOE UDAH VIRAL HEI SONTOLOYO HTI ISIS ! ! 😎🤟✅✅ 😇🇮🇩🦅🇮🇩😇</t>
  </si>
  <si>
    <t>🤣🤣🤣🤣.. aneh jg goblok kok di di borong ya ... WNI lakukan perawatan di Jepang ?.. trus ada hub nya gitu dgn kinerja pemerintah Indonesia RT @_CHlS_: Keren apaan? Itu bukan prestasi pemerintahan ini Itu prestasi pemerintah Jepang yg sudah sudi menangani WNI yang bersangkutan Bangsat2 begini terlalu banyak cakap! Shut up!</t>
  </si>
  <si>
    <t>@ISIS_Balik_NO @tandanVradio @Restichayah @jokowi @prabowo @Dahnilanzar 80% pastor adalah homoseks menurut penelitian jurnalis Prancis bernama frederic Martel dlm buku Sodoma in the closet of Vatican</t>
  </si>
  <si>
    <t>RT @zarazettirazr: Disebutkan pemerintah tampaknya lebih khawatir "tentang dampak sosial dan ekonomi dari histeria massal yang disebabkan oleh wabah virus daripada wabah itu sendiri"</t>
  </si>
  <si>
    <t>RT @narkosun: Alhamdulillaaah.. 4 WNI Terjangkit Corona di Jepang Sembuh!</t>
  </si>
  <si>
    <t>RT @kompascom: Menteri Luar Negeri RI Retno Marsudi mengungkapkan bahwa empat WNI ABK Diamond Princess yang dikonfirmasi positif Covid-19 telah dinyatakan sembuh.</t>
  </si>
  <si>
    <t>RT @SaveMoslem1: Ohh ini kah dia..?? Yang akhirnya membuat Mereka mengumumkan bahwa ada WNI yang terinfeksi Virus corona?</t>
  </si>
  <si>
    <t>@ondarnis Baca lagi .... "pengujian tidak dilakukan lantaran para WNI dinilai dalam kondisi sehat. Sehigga, menurut SOP yang ada tidak perlu dilakukan pemeriksaan virus corona."</t>
  </si>
  <si>
    <t>RT @oak_math_lee_91: @ariasarlito Waktu tahun 2018 ketika masih perlu buat LOI untuk visa ke sana, tidak perlh sertifikat yellow fever semacamnya. Ini saya screencap dari halaman IATA, WNI bebas visa 30 hari ke Kazakhstan</t>
  </si>
  <si>
    <t>RT @ariasarlito: Mohon pencerahannya tentang @BebasVisaID ke Kazakhstan di @safetravelkemlu seperti rancu info yang diberikan bebas visa tapi penjelasannya WNI harus mendapatkan visa sebelum melakukan perjalanan kesana @IvanRT05</t>
  </si>
  <si>
    <t>RT @alidabdul: @ariasarlito @BebasVisaID @safetravelkemlu @IvanRT05 Kemungkinan belum di-update. Info dari beberapa teman pejalan. Kazakhstan free visa untuk WNI</t>
  </si>
  <si>
    <t>@zoelfick @valencieam Ayo dong bikin petisi 50% APBN tahun depan di hibahkan buat bantu urus mereka ke tempat isis dan perpindahan kewarganegaraan.. Iklas banget gw..</t>
  </si>
  <si>
    <t>RT @kurawa: Kalo metode dokter terawan diakui singapura maka RS di singapura yang selama ini menjadi sumber devisa buat negara mereka dari WNI bisa kosong. 40 ribu nyawa pastinya bukan kaleng2 dan jerman sdh akui itu</t>
  </si>
  <si>
    <t>RT @kompascom: Yudhiawan mengatakan, keduanya telah mengumpulkan masker sebelum Presiden Jokowi mengumumkan dua WNI terkena virus corona, pada Senin lalu.</t>
  </si>
  <si>
    <t>@JPramudyo @oxfara Kan bisa ditanyain pasiennya kemana aja ketemu siapa aja...nah tinggal yg berwenang menemui org2 tersebut dan tempat mana yg harus di perhatikan...contoh Singapore yg positif WNI aja sampai udah sembuh pun ga ada yg tau siapa dia? Knp disini ga bisa ya?</t>
  </si>
  <si>
    <t>@mazzini_gsp Daripada ngasih sertifikat yang blom jelas nanti kyk mana teknisnya mending Batesi WNA yang dateng, kalo buat WNI dikarantina dulu baru dikasih surat keterangan bebas korona/sertifikat itu</t>
  </si>
  <si>
    <t>@ustadtengkuzul semakin cetek dengkul aja siopa dulzul, simak baik2 ngerti isis beritax baru kau main jari2 tuamu.</t>
  </si>
  <si>
    <t>PKI pada maskeran coy Cadaran ni yeee hihihi Kok gak pindah ke Arab? PKI jadi ISIS Wah gk NKRI tuh ! USIR 😀</t>
  </si>
  <si>
    <t>Dua WNI yang dinyatakan sembuh itu sudah bisa dipulangkan ke Tanah Air.</t>
  </si>
  <si>
    <t>Nggak semua WNI keturunan serakah. Temen gue jual masker harga normal.</t>
  </si>
  <si>
    <t>Hari ini terjadi peningkatan travel advisory bagi WNI ke Jepang dr hijau menjadi kuning. IMBAUAN TERKAIT PENINGKATAN KEWASPADAAN PERJALANAN KE JEPANG. Info Selengkapnya</t>
  </si>
  <si>
    <t>@04128123f33e4e5 @ustadtengkuzul @Januarjososusa1 Arab itu WNI kalau china dwi kewarganegaraan</t>
  </si>
  <si>
    <t>RT @ani_nyebar: Yg mana aman buat masyarakat? Kalau WNI ISIS tidak diberi peluang repatriasi dan diadili.... kemungkinan besar, banyak yang pulang secara diam2 tanpa kesempatan diadili dan ditahan. @jumadissakir @JulianaAisyahMI @Mamiagarislucu @Ale_nyonge @ovi_amaliah</t>
  </si>
  <si>
    <t>RT @lilobrr: Dpt A pun tak bersyukur haha kau ingat dia bersyukur ke ada kawan macam rambut si pink ni</t>
  </si>
  <si>
    <t>RT @Puteriswift_: Kalau buat dengan wani nanti orang ingat aku anak dia @_wni_</t>
  </si>
  <si>
    <t>@Puteriswift_ HAHAHAHAHA YE DOOO. TK PUN ADIK AKU</t>
  </si>
  <si>
    <t>Keren apaan? Itu bukan prestasi pemerintahan ini Itu prestasi pemerintah Jepang yg sudah sudi menangani WNI yang bersangkutan Bangsat2 begini terlalu banyak cakap! Shut up! RT @BamsBulaksumur: Keren kinerja pemerintahan Jokowi 🙏 4 WNI Terjangkit Corona di Jepang Sembuh!!!</t>
  </si>
  <si>
    <t>@ustadtengkuzul @kabarsurakarta Mereka itu harus dilindungi sbg wni pak bos tidak seperti anda yg suka bikin onar dan opini bodoh, udh deh diem aja pak bos @ustadtengkuzul</t>
  </si>
  <si>
    <t>RT @P3nj3l4j4h_id: Lu udah baca isi link berita yg gw share belum? Benar skrg mereka anak kecil tp di otaknya sudah di isi racun tentang membunuh dan orang tuanya mati karena membela isis otomatis dihati n pikirannya sdh tertanam dendam terhadap musuh isis yg akan terus dbawa sampai dewasa..paham?</t>
  </si>
  <si>
    <t>RT @dubie_tina: Sama Om ! Itulah Kenapa dari Semua Komentar sy tdk satupun Bahasa Baik Dan Sopan Dan ini sy Lakukan Buat Kaum HTI ISIS RADIKAL FPI PA212 GNPFUI PKS Termasuk Seluruh Kadrun Taliban ! Sy tdk Akan Mengubahnya itu Keputusan sy Dan sy tdk Menyesal ! 🤟😎🇮🇩🦅🇮🇩♥️😇</t>
  </si>
  <si>
    <t>Sama Om ! Itulah Kenapa dari Semua Komentar sy tdk satupun Bahasa Baik Dan Sopan Dan ini sy Lakukan Buat Kaum HTI ISIS RADIKAL FPI PA212 GNPFUI PKS Termasuk Seluruh Kadrun Taliban ! Sy tdk Akan Mengubahnya itu Keputusan sy Dan sy tdk Menyesal ! 🤟😎🇮🇩🦅🇮🇩♥️😇 RT @AnakKolong___: SEMENTARA CONGOR KAU TAK PERNAH PUASA NGEBACOT, MENGHASUT DAN MENYEBARKAN HOAKS !! . . . SAYA KESULITAN UNTUK BERUJAR DGN SANTUN KEPADA BANDIT HOAKS TUA SEPERTI KAU DRUN...!!! . . . . | @DivHumas_Polri @MUIPusat</t>
  </si>
  <si>
    <t>Empat WNI kru Diamond Princess dinyatakan sembuh dari corona</t>
  </si>
  <si>
    <t>Malahan yg sudah ada disini jg ga mau balik dg memperpanjang visa kunjungan,lama2 jg jadi wni tuh china. RT @T0NI361: itu bukan kunjungan tapi kabur dari china takut terkena virus corona, 🧐🧐</t>
  </si>
  <si>
    <t>RT @hermana_t: Sebanyak 69 WNI ABK Diamond Princess dikarantina hari ini Namun, terdapat satu ABK menunjukkan indikasi terserang virus corona (Covid-19) "Masih ada satu yg kami tahan di kapal. Karena dia mengeluh batuk," ujar Yurianto</t>
  </si>
  <si>
    <t>Alhamdulillaaah.. 4 WNI Terjangkit Corona di Jepang Sembuh!</t>
  </si>
  <si>
    <t>@ustadtengkuzul Kalo khilafah bisa bikin rakyat makmur gak?? Kayak isis gitu bikin pengikutnya jadi kaya raya dan hidup berlimpah harta</t>
  </si>
  <si>
    <t>TUH KAN KEBIASAAN KADRUN HTI ISIS RADIKAL ABIS BACOT SONTOLOYO TERUS VIRAL EIT DAAAH DI HAPUS CUUUUY ! ! KELAR IDUP LOE SEKARANG ! ! MUKA LOE UDAH VIRAL HEI SONTOLOYO HTI ISIS ! ! 😎🤟✅✅ 😇🇮🇩🦅🇮🇩😇 RT @wetanesiWas: Setelah ramai akhirnya dia manghapus semua tweetnya..</t>
  </si>
  <si>
    <t>RT @PDI_Perjuangan: Keterangan Pers Presiden RI terkait dua WNI positif korona, Istana Merdeka, 2 Maret 2020.  #PDIPerjuangan</t>
  </si>
  <si>
    <t>RT @tempocekfakta: [CEK FAKTA] Benarkah pesan berantai ini berasal dari WNI yang positif terinfeksi virus Corona Covid-19? #CoronaVirusFacts #DatosCoronaVirus #viruscorona #coronavirus #corona</t>
  </si>
  <si>
    <t>RT @ugrifter: ISIS, Taliban, Hezbollah, Boko Haram &amp; Al Qaeda 👇</t>
  </si>
  <si>
    <t>Turkey = ISIS-DAIS Akp-Erdogan = El Baghdadi RT @JokerDoasAlzlma: I didn't understand ! Samer are you with isis or with Turkey??? He's now in RasAlaaen city I have all information about him</t>
  </si>
  <si>
    <t>RT @Julia_Zeed: @P3nj3l4j4h_id Kita menolak anak2 ISIS ke Indonesia, jika Pemerintah ngeyel mungut anak ISIS silahkan di tampung Di ISTANA PRESIDEN</t>
  </si>
  <si>
    <t>@MSNBC @NBCNewsTHINK Coronavirus ?Taliban ?ISIS?</t>
  </si>
  <si>
    <t>@Ferlinlinlinlin @wirasuuu ki omongan opooooooo jane buka kabeh ben luweh sangar isis ben kebuka kabeh langsung</t>
  </si>
  <si>
    <t>@endaheraldo @wahhabicc_jabar @jokowi @mohmahfudmd @Chilli_Pari @kaesangp STOP NGURUSI EKS ISIS !! Mc bnyk rkyat miskin yg perlu diurusi..</t>
  </si>
  <si>
    <t>@Restichayah @Muhamad09147404 @jokowi Beberapa waktu lalu seorang WNI di London perkosa ratusan cowok bule, ketangkap dan mendunia beritanya, " prestasi atau kegagalan jokowi ya ?"...</t>
  </si>
  <si>
    <t>@bos_sir Setiap WNI mempunyai hak yg sama dalam berpolitik</t>
  </si>
  <si>
    <t>BNPB : 9 WNI ABK dari Jepang akan tiba di Indonesia Minggu Malam</t>
  </si>
  <si>
    <t>Yudhiawan mengatakan, keduanya telah mengumpulkan masker sebelum Presiden Jokowi mengumumkan dua WNI terkena virus corona, pada Senin lalu.</t>
  </si>
  <si>
    <t>@CNNIndonesia Kenapa semenjak pak Jokowi mengumumkan bahwa ada WNI yg kena virus Corona sekarang jadi lebih banyak , apa sebenernya dri kemarin emang sudah ada cuma di tutup ² pin oleh pemerintah?</t>
  </si>
  <si>
    <t>Yg mana aman buat masyarakat? Kalau WNI ISIS tidak diberi peluang repatriasi dan diadili.... kemungkinan besar, banyak yang pulang secara diam2 tanpa kesempatan diadili dan ditahan. @jumadissakir @JulianaAisyahMI @Mamiagarislucu @Ale_nyonge @ovi_amaliah</t>
  </si>
  <si>
    <t>Barisan Manusia Sakit Jiwa..kebanyakan makan doktrin ISIS..</t>
  </si>
  <si>
    <t>RT @Menlu_RI: Bersama Panglima TNI dan Kapolri, saya melepas 23 orang tim evakuasi untuk menjemput 68 WNI crew kapal Diamond Princess di Yokohama.</t>
  </si>
  <si>
    <t>RT @Anna_MaSue: Pak @jokowi Menteri Bapak kan sewa influencer 72 M utk promosi pariwisata sekaligus RI bebas Corona. Tiba-tiba, Bapak mengumumkan dua WNI positif. Dan berita itu akan viral. Kalau viral, turis jadi malas datang ke RI, Pak! Mendingan 72 M nya ditarik buat biaya penanggulangan!</t>
  </si>
  <si>
    <t>RT @R3sta_305: VIRUS NYA SEMBUH PAK MENTERI Kalau bisa sembuh sendiri kenapa panik WNI diisolasi di Natuna. Sementara turis aseng ribuan masuk tanpa isolasi. #RezimTutupiCorona Apa negara kita terlalu santuy ya Atau negara kita pandai menyembunyikan fakta. #RezimTutupiCorona Semoga saja tidak</t>
  </si>
  <si>
    <t>RT @muimisa: Parking tasik permaisuri now. Kalau ada lalu sini singgah la beli 5-6 biji. Rm1 je sebiji.</t>
  </si>
  <si>
    <t>RT @AdDien90: Aku suka mencari ilmu dan pengetahuan. Tapi ada satu hal yang masih belum bisa aku temukan jawapan. Kamu. Kamu adalah suatu ketidaktahuan yang selalu aku doakan.</t>
  </si>
  <si>
    <t>Mera jism meri marzi feat (Taliban + ISIS )#KhalilUrRahmanQamar</t>
  </si>
  <si>
    <t>@AminurasyidR U WNA dan WNI yg suka seliweran k LN katanya. Apakah rakyat kecil yg tinggal di desa di biarin aja??</t>
  </si>
  <si>
    <t>@yudi682 @paquitacumadebu @SydSalesman @P3nj3l4j4h_id @eizanfolks @mohmahfudmd @jokowi @Chilli_Pari Drpd ribut mikirin anak2 ex ISIS, napa ga mikirin TKW yg jelas2 msh WNI yg disiksa dan diperkosa yg nasibnya msh lom jelas di TimTeng. Lbh baik pemerintah memulangkan mrk kembali ke Indonesia. Ga usah jauh, msh byk ANAK2 yatim piatu atau dr keluarga miskin yg butuh bantuan.</t>
  </si>
  <si>
    <t>RT @PFTee: @AfifFuadS Pak @jokowi mohon yg di dalam negeri spt ini dulu di deradikalisasi, kalau berhasil, baru pikirkan jemput anak2 ISIS untuk di deradikalisasi juga🙏Terimakasih</t>
  </si>
  <si>
    <t>Cerita WNI Eks ISIS dalam Film Seeking The Imam</t>
  </si>
  <si>
    <t>RT @serambinews: 2 WNI POSITIF CORONA | #WNIPositifCorona #PositifCorona #CoronaVirusUpdate pasien pun mendapat fasilitas layaknya hotel seperti air conditioner (AC), televisi, dan tetap bisa berkomunikasi dengan kerabat serta keluarga melalui handphone</t>
  </si>
  <si>
    <t>@TanYoana Otak kalo di pantat itu nggak bisa menempatkan diri selalu mencari cari kesalahan dan menghubungkan dengan politik .kl nggak mau di pimpin pemerintah sekarang sebaiknya kabur sana ikut ISIS.warga yg terkena Corona itu warganya siapa gubernurnya siapa yg kecolongan siapa!</t>
  </si>
  <si>
    <t>Wah ternyata sebagian besar ratusan WNI yang di karantina di Pulau Sebaru Kecil memiliki latar belakang juru masak. #PulauSebaru</t>
  </si>
  <si>
    <t>@ispelssy_2 😂😂 pdhal media LN menyebut, tdk ada kesigapan pemerintah Indonesia menangani WNI yg jd crew Diamon princess selain pemeriksaan lendir. beda dg negara² lain yg segera mengevakuasi warganya.</t>
  </si>
  <si>
    <t>@Sarah_Pndj @Sastroklengsre1 Berdoa saja lah semoga tanah air kita Bumi Indonesia ini bisa terhindar dari virus Corona &amp; bagi WNI yang terkena suspect Corona bisa disembuhkan</t>
  </si>
  <si>
    <t>@HusinShihab @Mataka81760170 @DivHumas_Polri @jokowi @mohmahfudmd @BNPTRI bukan bom atom klo menurut ku tepat nya ibliz pencabut nyawa di tambah pemerintah akan memulangkan anak anak ibliz pencabut nyawa eks WNI klop !</t>
  </si>
  <si>
    <t>RT @arwidodo: MUI mengeluarkan respons atas 2 WNI yang dinyatakan positif terjangkitnya virus Corona, himbauan untuk mencegah virus corona agar membaca membaca qunut nazila</t>
  </si>
  <si>
    <t>@Asmeera18 Ba wni true... Ba duka muka zama daya ba p</t>
  </si>
  <si>
    <t>Para TNI mengajak 69 WNI ABK Diamond Princess berolahraga di KRI Soeharso #PulauSebaru</t>
  </si>
  <si>
    <t>@KrishiRajpoot @PaRiDhaliwal2 Avi queen Elizabeth 2 hai uske madat kar sakti hai nehi toh Abu Bakr al-Baghdadi isis head</t>
  </si>
  <si>
    <t>Semoga karantina dan observasi untuk 69 WNI Kapal Pesiar Diamond Princess juga berjalan dengan lancar. Amin #PulauSebaru</t>
  </si>
  <si>
    <t>188 WNI ABK World Dream didampingi oleh 67 petugas kesehatan selama 14 hari observasi. #PulauSebaru</t>
  </si>
  <si>
    <t>RT @BoberCafe: Pada hari senin kemarin, pemerintah mengumumkan dua WNI positif virus Corona (Covid-19). Agar virus tak semakin menyebar, ada sejumlah cara yang mesti dilakukan untuk mencegah virus tersebut. Yuk dilihat dulu slide keduanya!</t>
  </si>
  <si>
    <t>Billy Esteban Live Set at Flamingo Bar (Radisson Blu Palace Djerba Tunisia)</t>
  </si>
  <si>
    <t>RT @rongs_rong: @MimMimaciaen yg dipulangin harusnya orang ini, bukan isis (hahaha emang enak disambungin ke isis)🤣🤣🤣🤣</t>
  </si>
  <si>
    <t>RT @OANTIMOR6: @AnakLolina Sudah habiskah jumlah anak-anak Indonesia usia dibawah 10 tahun yang membutuhkan perhatian Pemerintah sehingga perlu memulangkan ANAK MACAN dari sarang ISIS ?</t>
  </si>
  <si>
    <t>Sampaikan Pesan #Jokowi , KSP Imbau #Warga Tenang meski WNI Positif #Corona : #Ini soal Kemanusiaan</t>
  </si>
  <si>
    <t>RT @YohanesPatty2: @KakekHalal Pentolan teroris ISIS. bernaung di PKS.</t>
  </si>
  <si>
    <t>Beberapa bulan yang lalu WNI dari cina sampe di karantina dan setiap penerbangan internasional sampe di semprot pake cairan ntah apala itu dan di cek kesehatanny, tapi sekarang kok bisa ya virus corona masuk ke indonesia? #pemerintahkendalikanhargamasker #CoronaVirusIndonesia</t>
  </si>
  <si>
    <t>RT @StellaSuwardi: Mrk membakar paspor Indonesia sbg simbol mrk keluar sbg WNI &amp; siap berperang dgn siapapun yg berbeda ideologi. Dan...skrg mrk minta pulang? NO WAY! Dukung pak @jokowi menolak kepulangan eks WNI pro ISIS!</t>
  </si>
  <si>
    <t>RT @MuhidinTeudumuk: @wahhabicc_jabar  Daripada ngurusin anak isis mending ngurusin anak di negeri sendiri.</t>
  </si>
  <si>
    <t>@BamsBulaksumur Yg nyembuhin bgs jepang ko elu bangga,klo gt demi keselamatan ank bgs gmn WNI yg terpapar corona kita kirim ke jepang biar sembuh,stuju enggak kamu..? Klo mau bangga yg btl dong..</t>
  </si>
  <si>
    <t>@P3nj3l4j4h_id Gini aja .. bagaimana kalo di balik.. kita teror anak2 isis yg mau pulang ke Indonesia.. biar mereka.nggak pingin pulang..</t>
  </si>
  <si>
    <t>188 WNI ABK World Dream dan 69 WNI Kapal Pesiar Diamond Princess mendapatkan pemeriksaan kesehatan secara rutin. #PulauSebaru</t>
  </si>
  <si>
    <t>@Rahwanto6 @colyhits @nusa1233 @haikal_hassan Isis teroris dan Islam</t>
  </si>
  <si>
    <t>RT @KompasTV: Sembuh! 4 WNI yang Terjangkit Virus Corona di Jepang Dinyatakan Sembuh</t>
  </si>
  <si>
    <t>Alhamduliah WNI yang diobservasi di Pulau Sebaru Kecil dinyatakan dalam keadaan sehat. #PulauSebaru</t>
  </si>
  <si>
    <t>188 WNI ABK World Dream dan 69 WNI Kapal Pesiar Diamond Princess beserta 23 kru akan menjalani observasi selama 28 hari di Pulau Sebaru Kecil, Kepulauan Seribu secara terpisah. #PulauSebaru</t>
  </si>
  <si>
    <t>@alialghazi_D ISIS?? Kan islam juga??</t>
  </si>
  <si>
    <t>RT @wisanggeni_084: Memulangkan anak² dari eks WNI kombatan ISIS sama saja sdg menghidupkan bom waktu ! Kemaren massa pendukung Khilafah (HTI) yg sdh dibubarkan sj mshh eksis berdemo ria di Jogja. Pikir lagi baik² pak @jokowi dan pak @mohmahfudmd Saya #TolakAnakIsisKembali</t>
  </si>
  <si>
    <t>Karena jawa barat lagi fokus pembangunan anak mudanya. Dan cianjur daerah paling angker sejawabarat. Kalau kalian awam masuk kesana bisa bisa ilang kesadaran deh. Tiba tiba jadi isis, jadi preman, jadi perampok. Karena butuh pengetahuan yang banyak biar dateng kesana.</t>
  </si>
  <si>
    <t>@yudi682 @P3nj3l4j4h_id Bgmn bisa masih dianggap WNI, pdhl mrk dg sadar dan sesadar2nya melepaskan ke WNi an mrk? Bgmn msih dianggap WNI, sedangkan mereka dg suka rela dan dg segala upaya berusaha keluar dr wni n bergabung dg orgnisasi terlarang?</t>
  </si>
  <si>
    <t>4 WNI Terjangkit Corona di Jepang Sembuh!  &lt; Alhamdulillah! Semoga semangat para pasien dan kegigihan para tenaga2 kesehatan serta solidaritas masyarakat menjadi energi bersama melewati masa2 sulit ini ~ FR #Jubir #BungJubir @JubirPresidenRI</t>
  </si>
  <si>
    <t>Menlu Retno: Pemerintah fokus pantau WNI di negara signifikan terdampak corona</t>
  </si>
  <si>
    <t>Pastikan Kondisi 2 WNI Positif Corona Baik, Kemenkes: Tapi Tak Nyaman Dikenal Publik &gt;&amp;gt;&amp;gt;&amp;gt;  #CoronavirusOutbreak</t>
  </si>
  <si>
    <t>@kompasiana @kompascom MAW BROUWER bercita-cita utk meninggal dunia di Indoneia.Tapi maksudnya tidak sampai karena permintaannya jadi WNI ditolak sebab tidak mau bayar SOGOKAN.Sedangkan seorang Tionghoa dalam 3 hari suah jadi WNI dan mendirikan bank.Yg sudah ditinggal lari sambil menggondol trilyunan.</t>
  </si>
  <si>
    <t>Kemarin 69 WNI Kapal Pesiar Diamond Princess belum sempat diturunkan dari kapal karena masih menunggu hasil laboratorium. Dan hari ini mereka diturunkan ke Pulau Sebaru Kecil #PulauSebaru</t>
  </si>
  <si>
    <t>MAW BROUWER bercita-cita utk meninggal dunia di Indoneia.Tapi maksudnya tidak sampai karena permintaannya jadi WNI ditolak sebab tidak mau bayar SOGOKAN.Sedangkan seorang Tionghoa dalam 3 hari suah jadi WNI dan mendirikan bank.Yg sudah ditinggal lari sambil menggondol trilyunan.</t>
  </si>
  <si>
    <t>@ichageuliz @VIVAcoid Pemukiman mewah bkn ikon indonesia adapun air mancur bundaran HI gk beda monas smua WNI yg ke jkt pst pengen mengetauinya.. Dari zaman belanda smp zaman milenia baru x itu kebanjiran dan gubernurnya adlh (ah malu sy menyebutnya).</t>
  </si>
  <si>
    <t>Cek Sarana dan Prasarana 69 WNI Diamond Princess di Pulau Sebaru Kecil The po</t>
  </si>
  <si>
    <t>Hingga saat ini virus ini telah menjangkit sekitar 90 ribu orang di dunia dan telah menewaskan lebih dari 3 ribu orang. Di Indonesia sendiri, per tanggal 2 maret bapak Jokowi sudah mengkonfimasi ada 2 WNI yang terjangkit virus ini.</t>
  </si>
  <si>
    <t>@Mamalo70016647 @mouza_zild @msaid_didu ISIS?? Tragedi 9/11?? Bom Bali??</t>
  </si>
  <si>
    <t>Bukan komunis , WNI ni RT @arjuno_ireng01: Di Teluk Gong Jkt -- Pedagang grosir kecil sembako kecil ini tdk jual kpd yg mampu walau di byr mahal, dia cuma layani langganan warung kecil dan orang yg kurang mampu dgn harga ttp spt biasa tdk naik harga,👍Sy selalu yakin msh byk orang baik di dunia ini 🙏</t>
  </si>
  <si>
    <t>@kangmas22592110 @P3nj3l4j4h_id oh udah bukan WNI ya? maaf kalo aku salah🙏 soalnya aku tau nya mereka masih WNI menurut penjelasan IrmanPutra Sidin coba aja tonton penjelasan nya</t>
  </si>
  <si>
    <t>Isis Penis  RT @wilnyl: Prototyping a game where you play as a missile</t>
  </si>
  <si>
    <t>@BloodyLoveMe Klo mau urus itu hti &amp; isis baru se7... gini aja mesti diajarin 😅</t>
  </si>
  <si>
    <t>RT @paquitacumadebu: @yudi682 @SydSalesman @P3nj3l4j4h_id @eizanfolks @mohmahfudmd @jokowi @Chilli_Pari Kamu mikirin anak2 isis, apa gk mikirin 260 juta penduduk Indonesia yg lain..? Kami yg keberatan anak2 isis masuk RI kmbl itu karena mikirin penduduk yg 260 juta itu, bukan yg sedikit plus berpotensi menteror kehidupan org banyak</t>
  </si>
  <si>
    <t>@WR_4AG226 Takut amat dgn kristen? Bukan harusnya... takut dgn Isis</t>
  </si>
  <si>
    <t>Ratusan WNI yang diobservasi di Pulau Sebaru Kecil, Kepulauan Seribu diberikan hiburan seperti karaoke, gitar, organ tunggal, dan sarana olahraga. #PulauSebaru</t>
  </si>
  <si>
    <t>Ratusan WNI Calon Jemaah Umrah Dipulangkan KJRI Istanbul Turki</t>
  </si>
  <si>
    <t>Alhamdulilah,Semoga Mrk Lekas Sembuh Smua Dan Indonesia Terbebas Dari #Covid_19 #COVID2019 #CoronaAlert #CoronaVirusIndonesia #CoronaVirusUpdates Empat WNI ABK Diamond Princess Dinyatakan Sembuh dari Corona Covid-19 -</t>
  </si>
  <si>
    <t>@yudi682 @P3nj3l4j4h_id Secara UU, mereka sdh bukan lg WNI Brprinsip utk sll hidup rukun dg siapapun adl hal bagus bang, tp menjaga dan mghindari hal2 yg bisa merusak kerukunan jg tdk kalah penting bang. Isis adl ideologi rusak dan merusak tatanan kemanusiaan</t>
  </si>
  <si>
    <t>@udhiens81 @Singleash1 @colyhits @haikal_hassan ISIS, Tragedi 9/11 di WTC USA?? Kan pelakunya orang Islam, bagaimana pendapat anda?? Apakah saya harus menghujat balik agama anda bahwa agama anda teroris sesungguhnya??</t>
  </si>
  <si>
    <t>@haiyun_wen Ditunggu orang orang WNI mempunyai jiwa pemikiran nasionalisme yg berani berkata benar jujur dan bijaksana. Entah ras apapun selama menjujung tinggi persatuan dan kesatuan kami sudah sangat bangga padamu. Kami juga tidak menolak kritik mu selama itu untuk perbaikan.</t>
  </si>
  <si>
    <t>Dinkes Sanggau pantau lima WNI setelah pulang dari Korsel dan Jepang</t>
  </si>
  <si>
    <t>RI tolak Kombatan ISIS.</t>
  </si>
  <si>
    <t>RT @paquitacumadebu: @yudi682 @SydSalesman @P3nj3l4j4h_id @eizanfolks @mohmahfudmd @jokowi @Chilli_Pari Gini, hdp bdampingan itu bs klo tdk MEMBAHAYAKAN salah satunya kan? Sy yakin Anda cukup dpt info ttg aktivitas isis mempsenjatai anak2 &amp; melatih mrk smp mengeksekusi mati tawanan2. Anda siap hdpi kcacatan ato kmatian anak Anda kena bom? Ya silakan. Tp sy &amp;amp;org lain sangat kberatan</t>
  </si>
  <si>
    <t>@arywsnu mau bikin adem keknya, temenan ama isis</t>
  </si>
  <si>
    <t>RT @HarryRidwan_Ay: Bener Pud @mohmahfudmd ucapaan lo. semuah kepala Daerah jangan Politisir Corona Untuk mencari panggung. lu lagi ngomongin pakde @jokowi ya pud @mohmahfudmd wkt jokowi ngumumkan dua WNI positif Corona di Indonesia. Cari Panggung juga dong pak jokowi. Berani bgt lu pud 🤭🤭</t>
  </si>
  <si>
    <t>jokowi masih mau nambah impor anak ISIS? jadi bahan ketawaan pak 😓KaimanaPoem3</t>
  </si>
  <si>
    <t>RT @KaimanaPoem: @jokowi masih mau nambah impor anak ISIS? jadi bahan ketawaan pak 😓</t>
  </si>
  <si>
    <t>RT @Kang_Pandu01: @jokowi @PerahuBambu Saya kecewa dgn keputusan pemerintah atas pemulangan anak² ISIS, rakyat miskin non ISIS msh banyak yg butuh kerjaan. Fokus ke mereka pak.</t>
  </si>
  <si>
    <t>@mohmahfudmd Pak bgmn dgn anak2 (yatim piatu) ex isis .. kl dipulangkan apakah bapak berani garansi tidak bikin onar suatu saat?</t>
  </si>
  <si>
    <t>Penolakan Pak Jokowi atas memulangkan mantan anggota ISIS kekny agak berat siii. Namanya juga ke brain wash. Orang tobat biasanya lebih terarah daripada orang biasa. Tapi males juga mengulik lebih dalam soal oknum tersebut.</t>
  </si>
  <si>
    <t>@7endralP @yudi682 @Bentalakelam @P3nj3l4j4h_id Hrs nya keputusan mengjinkan ISIS ex WNI balik ksini malu .. malu pd para korban nya, ga ush jauh-2, cb tya k kluarga-2 para korban, kluarga para petugas keamanan sperti para polisi yg jd korban d mako brimob.</t>
  </si>
  <si>
    <t>@kangmas22592110 @P3nj3l4j4h_id ia sih emang gx ada manfaat buat bangsa ataupun masyarakat kita, cuma kan mereka juga masih WNI dan berhak mendapatkn keamanan, jadi saya bukan dukung eks isis nya,, tapi saya menerima anak" itu karna prinsip saya yg akan selalu hidup rukun berdampingan dengan siapapun</t>
  </si>
  <si>
    <t>RT @kak_wew: @Bentalakelam @yudi682 @7endralP @P3nj3l4j4h_id Saya ga keminter ya .. klo seseorang kelaparan, kita beri makan akan kenyang n pulas tidur, sedangkan org yg sdh teracuni spirit ISIS dia ga lapar, dia g butuh pekerjaan yg dia butuhkan cm apa yg menjadi impian nya sbgaimana spirit yg d punya ISIS.</t>
  </si>
  <si>
    <t>@MaxStirnerJPEG @Yoopbl @OrangeManBadBad @TRHLofficial Al Qaeda and ISIS.</t>
  </si>
  <si>
    <t>@Bentalakelam @yudi682 @7endralP @P3nj3l4j4h_id Saya ga keminter ya .. klo seseorang kelaparan, kita beri makan akan kenyang n pulas tidur, sedangkan org yg sdh teracuni spirit ISIS dia ga lapar, dia g butuh pekerjaan yg dia butuhkan cm apa yg menjadi impian nya sbgaimana spirit yg d punya ISIS.</t>
  </si>
  <si>
    <t>Begitu ada 4 WNI yg sembuh dr cirona di Jepang..sekali LG di Jepang..dokter n susternya orang Jepang..yg di puji si jae..apa hubungannya coba..?? RT @AlfiraCahyo: @MichelAdamNP LOGIKA AKAL SEHAT,,AWAL MULA VIRUS DARI CHINO, ORANG ORANG CHINO DATANG KE INDONESIA RIBUAN PRANG,,,, KENAPA YG DI SALAHIN ORANG JEPANG</t>
  </si>
  <si>
    <t>@paquitacumadebu @SydSalesman @P3nj3l4j4h_id @eizanfolks @mohmahfudmd @jokowi @Chilli_Pari saya kan dari awal saya cuma menerima WNI yg eks isis, karna prinsip saya adalah hidup rukun berdampingan dengan siapapun tanpa terkecuali</t>
  </si>
  <si>
    <t>RT @republikaonline: Ada 769 WNI yang terdampak kebijakan penangguhan umroh oleh Saudi.</t>
  </si>
  <si>
    <t>RT @linkarika: @MimMimaciaen @haro_arnold Ikut merasakan kesedihan mas Humaidi. Smg segera dijemput daripada pemerintah mengurusi anak ISIS</t>
  </si>
  <si>
    <t>@Dark___Web Emang dari sononya WNI keturunan Tionghoa itu pengkhianat...</t>
  </si>
  <si>
    <t>Virus Corona Di Indonesia Positif Terjangkit Pada 2 WNI</t>
  </si>
  <si>
    <t>@ShekharGupta @BhardwajAnanya @Samyak_01 Shahrukh - aspiring model Kasab - Moli borne Hindu Burhan Wani - Son of school teacher Afzal guru - victim Yakoob Menon - Bhatka hua Naujawan Hindus - Intolerant fascists The Print - Holy book of ISIS Shekhar Gupta - Madarchod</t>
  </si>
  <si>
    <t>@yudi682 @P3nj3l4j4h_id Maaf bang,,, sebenarnya urgensi nya apasih sampe " harus memulangkan anak2 eks isis, trs manfaatnya buat bangsa/masyarakat kita apa?...</t>
  </si>
  <si>
    <t>Taufikurschman goblog bareng anies. Jg urus 238 wni dari Wuhan dan dua ratusan abk kapal pesiar adlah anies bukan pem pudat? Idiot ko barengan.</t>
  </si>
  <si>
    <t>@charbhardy It is Rhododendron carolinianum ‘P.J. Mezitt’ #rhododendron #gardening #earlyflowringspring</t>
  </si>
  <si>
    <t>@paquitacumadebu @SydSalesman @P3nj3l4j4h_id @eizanfolks @mohmahfudmd @jokowi @Chilli_Pari mana saya dapat info tentang isis mba, daripada saya cari info begituan lebih baik saya cari informasi yg lebih bermanfaat seperti sejarah sunda, budaya sunda, atau paling aku dengerin nasehat nenek yg lebih bermanfaat.</t>
  </si>
  <si>
    <t>RT @humasjateng: Doa Untuk Jateng dan Indonesia Terkait virus corona yang sudah menjangkit 2 WNI, Wagub @TajYasinMZ ajak masyarakat berdoa dan berikhtiar untuk mencegahnya. "Semoga Indonesia, Jateng, diridhoi dan dijaga Allah, sehingga tidak ada musibah yang terjadi"</t>
  </si>
  <si>
    <t>@yudi682 @SydSalesman @P3nj3l4j4h_id @eizanfolks @mohmahfudmd @jokowi @Chilli_Pari Gini, hdp bdampingan itu bs klo tdk MEMBAHAYAKAN salah satunya kan? Sy yakin Anda cukup dpt info ttg aktivitas isis mempsenjatai anak2 &amp; melatih mrk smp mengeksekusi mati tawanan2. Anda siap hdpi kcacatan ato kmatian anak Anda kena bom? Ya silakan. Tp sy &amp;amp;org lain sangat kberatan</t>
  </si>
  <si>
    <t>Cerita WNI ABK World Dream Jadi Koki Dadakan di Pulau Sebaru</t>
  </si>
  <si>
    <t>@yudi682 @Bentalakelam @P3nj3l4j4h_id oke silahkan bantu pahlawan devisa dlu bro.</t>
  </si>
  <si>
    <t>Menlu Bilang Kondisi WNI Penderita Corona Di Jepang Stabil</t>
  </si>
  <si>
    <t>@Bentalakelam @7endralP @P3nj3l4j4h_id saya bukan pecinta atau pun pendukung isis.. karna dari dulu saya gx tau apa itu teroris dan apa itu musuh, yg saya tau adalah kita sesama WNI harus saling berdampingan hidup rukun dan selalu saling bantu, gotong royong</t>
  </si>
  <si>
    <t>@eko_kuntadhi Sesama Budak Zionis aja si Kuntet takut ISIS,, apalagi dg Barisan Kokoh Umat ISLAM Ahli Sunnah Wal Jama'ah, boleh jadi para BUCHIN ini akan spt garam disiram air !</t>
  </si>
  <si>
    <t>@MimMimaciaen @haro_arnold Ikut merasakan kesedihan mas Humaidi. Smg segera dijemput daripada pemerintah mengurusi anak ISIS</t>
  </si>
  <si>
    <t>Menurut Panglima Komando Tugas Gabungan Terpadu (Kogasgabpad) Laksamana Madya Yudo Margono, para WNI yang menjalani observasi di Pulau Sebaru Kecil awalnya merasa sulit. Namun sekarang mereka merasa senang. #PulauSebaru</t>
  </si>
  <si>
    <t>RT @beirone: Apakah Iran..Irak..Arab Saudi makan babi...dan apakah yg WNI yg terpapar jg makan babi... mohon jgn asal bicara...MUI harus menyejukkan bukan malah membuat keruh situasi...</t>
  </si>
  <si>
    <t>Indian ISIS RT @LillyMaryPinto: The conspiracy of conquering Hindustan through Ghazwa-e-Hind, a barbaric war by MusIims. Know the teams in action against Hindus of Hindustan.</t>
  </si>
  <si>
    <t>RT @Bentalakelam: @yudi682 @7endralP @P3nj3l4j4h_id Kamu pencinta dan pendukung ISIS ya... Beda dong jgn disamakan objek dan subjeknya... Doktrin itu bisa jd pelaku pemikir,atau mempengaruhi...Smart dong..lgpula ngapain urus,msh byk anak2 lain yg lbh berguna dan mjd tgjwb penerintah di Indonesia.</t>
  </si>
  <si>
    <t>@paquitacumadebu @SydSalesman @P3nj3l4j4h_id @eizanfolks @mohmahfudmd @jokowi @Chilli_Pari saya bukan mikirin anak" exs isis mba cuma saya mikirin mereka juga sama" WNI yg butuh perlindungan dari pemerintah. jadi gitu mba.. jujur saya gx apa itu teroris atau apa tapi yg saya tau kita harus saling menjaga satu sama lain</t>
  </si>
  <si>
    <t>@Uniporxn_ gtw kak, ak seringnya anal-isis data praktikum</t>
  </si>
  <si>
    <t>Tidak ada jaminan eks kombatan isis tidak akan mengancam NKRI</t>
  </si>
  <si>
    <t>@yudi682 @7endralP @P3nj3l4j4h_id Kamu pencinta dan pendukung ISIS ya... Beda dong jgn disamakan objek dan subjeknya... Doktrin itu bisa jd pelaku pemikir,atau mempengaruhi...Smart dong..lgpula ngapain urus,msh byk anak2 lain yg lbh berguna dan mjd tgjwb penerintah di Indonesia.</t>
  </si>
  <si>
    <t>@yudi682 @SydSalesman @P3nj3l4j4h_id @eizanfolks @mohmahfudmd @jokowi @Chilli_Pari Kamu mikirin anak2 isis, apa gk mikirin 260 juta penduduk Indonesia yg lain..? Kami yg keberatan anak2 isis masuk RI kmbl itu karena mikirin penduduk yg 260 juta itu, bukan yg sedikit plus berpotensi menteror kehidupan org banyak</t>
  </si>
  <si>
    <t>@yudi682 @paquitacumadebu @P3nj3l4j4h_id @eizanfolks @mohmahfudmd @jokowi @Chilli_Pari tdk anak2 eks isis. mrk anak2 eks WNI. ssbaiknya segera dikuburkan.</t>
  </si>
  <si>
    <t>RT @Airin_NZ: Sales Khilafah brjln beriringan dMalioboro pagi in Entah mrka ingin mnyambut tentara Allah atau gmn😂 HTI adlh ormas trlarang di negara ini. Mrka sama sprti PKI Dri sini kita bsa mlihat utk urusin HTI aj gk bsa. Gaya2an mw pulangin ank2 ISIS @mohmahfudmd #StopPanikLawanCorona</t>
  </si>
  <si>
    <t>RI tolak kombatan Isis</t>
  </si>
  <si>
    <t>WNI di #Depok Positif Terjangkit #Virus #Corona , Kemenkes: Kakak &amp; Pembantunya Negatif</t>
  </si>
  <si>
    <t>@paquitacumadebu @SydSalesman @P3nj3l4j4h_id @eizanfolks @mohmahfudmd @jokowi @Chilli_Pari kamu juga gx mikirin orang lain.. buktinya kamu gx mikirin anak" eks isis....</t>
  </si>
  <si>
    <t>@TeddyGusnaidi Ranbutmu sdh memutih masih saja nyinyir isis,ati pancasila itu kelas politik anda saat ini.nyinyir sdh 8 thn ga juga diankat jadi pejabat negara kasian nasib lu tedd</t>
  </si>
  <si>
    <t>Para WNI yang dikarantina di Pulau Sebaru Kecil juga melakukan kegiatan senam pagi setiap hari bersama anggota TNI. #PulauSebaru</t>
  </si>
  <si>
    <t>@7endralP @Bentalakelam @P3nj3l4j4h_id kan pasti di awasi kalo anak" exs isis jadi pergerakan mereka pasti terjegal, jangankan untuk beli bahan merakit bom, keluar aja mereka pasti di awasi, sama halnya mantan narapidana narkoba pas keluar dia tetep di awasi.. orang yg pernag terjerat narkoba aja di awasi apalgi ini</t>
  </si>
  <si>
    <t>@kata_atina @sanos__ @obedkresna Jadi anda banyak belajar hadits, banyak belajar tentang bendera tauhid dan isis, biar tau bedanya, dan banyak belajar cara bernegara dalam demokrasi.</t>
  </si>
  <si>
    <t>RT @httpguianca: Scrr KKKKKKKKK</t>
  </si>
  <si>
    <t>Yth pak Presiden @jokowi dan pak Menkopolhukam @mohmahfudmd, masihkah kita diharuskan menerima anak-anak ISIS eks WNI, sementara anak-anak kandung NKRI (yg tdk pernah berkhianat atas negeri ini) masih banyak yg perlu disupport? RT @black__valley1: anak ini..jam segini harus buka karung ambil gelas plastik bekas untuk dijual 😓 Jadi merasa sedih masih ada anak yg harus cari rejeki malam hari, semoga hari² kedepan semakin baik semakin kuat dan jadilah org baik yang sukses...amin 🙏</t>
  </si>
  <si>
    <t>@Risdiyan @evalez_fr @nieke_aereta @andi_achilles Kenapa ebong rata-rata goblog ya? Apa mereka tidak mengambil hikmah dari yang awalnya "tidak ada Corona" , lalu "Menkes bantah Anies" hingga akhirnya menjadi "Jokowi umumkan 2 WNI positif Corona". Apakah kegoblogan kalian ini tak bertepi?🤔🙄</t>
  </si>
  <si>
    <t>@sakitotak3 @P3nj3l4j4h_id ya ia lah kalo exs WNI mana bisa di terima, kecuali WNI yang exs isis</t>
  </si>
  <si>
    <t>RT @angelmaximilan: @Bangzul__88 @ISIS_Balik_NO @PKSejahtera @CCICPolri @DivHumas_Polri @aduankonten @kemkominfo @YusufGayo7 @CCICPolri @BareskrimPolri @PolhukamRI Tindak Tegas dan Keras Provokator</t>
  </si>
  <si>
    <t>@yudi682 @P3nj3l4j4h_id Indonesia gak terima eks WNI pro ISIS</t>
  </si>
  <si>
    <t>@yusuf_dumdum HTI adalah boneka ISIS dan Zionis yang justru akan menghancurkan Islam dunia, saat ini mulai mencoba kacaukab NKRI, rakyat dan umat Islam hrs waspada krn cerdas dan faham saja tdk cukup utk tahu niat HTI yg sebenarnya!!!!</t>
  </si>
  <si>
    <t>Sejak Pak Jokowi menetapkan Pulau Sebaru Kecil sbg tempat observasi 188 WNI ABK World Dream dan 69 WNI Kapal Pesiar Diamond Princess, Artha Graha Peduli langsung mempersiapkan segala sesuatu yang dibutuhkan. #PulauSebaru #AGPeduli #ArthaGrahaPeduli #Coronavirus #Corona #Covid19</t>
  </si>
  <si>
    <t>RT @eko_kuntadhi: Demo masih klayar kluyur. Pengasong agama masih bebas sebar kebencian. Ngomongnya tertindas. Noh, khilafah ISIS di Syuriah. Mereka yang justru jadi tukang sembelih rakyat dan perkosa orang.</t>
  </si>
  <si>
    <t>Lu pernah baca berita gaa satu keluarga di batam yg bapaknya adalah pegawai otorita batam pergi gabung dg isis karena pengaruh dari anaknya? Emang anak itu ga sekolah? Senjata? Jaman skrg nyari senjata ga sulit kali merakit senjata jg ada😴 RT @yudi682: @P3nj3l4j4h_id emangnya di indonesia gx ada pendidik yg berkualitas apa? semua orang tidak akan diam di satu pendirian ada kalanya dia berpindah ke pendirian lain. jadi jangan takut sama anak kecil lagian walaupun dia radikal emang apa yg dia bisa kan pasti di awasi dan gx mungkin punya senjata</t>
  </si>
  <si>
    <t>Alhamdulillah kalo WNI yg di Jepang itu sembuh dari corona. Pertanyaanya itu Yg rawat WNI di Jepang itu dokter Jepang. Kinerja pemerintah itu yg mana?? RT @BamsBulaksumur: Keren kinerja pemerintahan Jokowi 🙏 4 WNI Terjangkit Corona di Jepang Sembuh!!!</t>
  </si>
  <si>
    <t>Inget bgt jaman dulu gue dikatain: lo buka detik/ berita di hp kek bapak2. Alhasil dl gue minder padahal interest gue soal ngr itu daridulu emg ada. Alhamdu gue masuk hukum yg emg kita wajib tau update lingk sekitar, yg bukan lg blg sok2 nasionalis. Ya karna kita wni ko🤔</t>
  </si>
  <si>
    <t>Kemenkes menyatakan bahwa 67 dari 69 WNI Kapal Pesiar Diamond Princess negatif virus Corona. Mereka telah dipindahkan ke Pulau Sebaru Kecil tadi siang. #PulauSebaru</t>
  </si>
  <si>
    <t>RT @shtf411: @RonPaul Syrian rebels aka ISIS</t>
  </si>
  <si>
    <t>@RonPaul Syrian rebels aka ISIS</t>
  </si>
  <si>
    <t>@wahhabicc_jabar @mohmahfudmd @jokowi @KomnasHAM Ini tidak adil buat wni yang setia kepada NKRI dan ingin hidup damai dalam ke Bhineka Tunggal Ika an</t>
  </si>
  <si>
    <t>RT @wakilgubernurKW: Hmmm Isis ya</t>
  </si>
  <si>
    <t>Lu udah baca isi link berita yg gw share belum? Benar skrg mereka anak kecil tp di otaknya sudah di isi racun tentang membunuh dan orang tuanya mati karena membela isis otomatis dihati n pikirannya sdh tertanam dendam terhadap musuh isis yg akan terus dbawa sampai dewasa..paham? RT @yudi682: @P3nj3l4j4h_id waduh sama anak kecil aja takut... gua gx bahas teroris yg dulu njir bisa pokus gx? kan yg di bahas anak kecil exs isis.. susah dah</t>
  </si>
  <si>
    <t>@AnakLolina Ayo bayar pajak untuk biayain anak2 isis!!!!</t>
  </si>
  <si>
    <t>@P3nj3l4j4h_id waduh sama anak kecil aja takut... gua gx bahas teroris yg dulu njir bisa pokus gx? kan yg di bahas anak kecil exs isis.. susah dah</t>
  </si>
  <si>
    <t>@KemenkesRI Ini lupa tidak masuk update, Min?</t>
  </si>
  <si>
    <t>@ISIS_Balik_NO @tandanVradio @Maryam59771644 @Restichayah @jokowi @prabowo @Dahnilanzar Ralat. Jadi saudara karena pakai tulisan tauhid?</t>
  </si>
  <si>
    <t>@Dr_Uditraj @INCIndia Or isis, alkayda, etc tumhare jmai h kya...</t>
  </si>
  <si>
    <t>#ArrestKapilMishra #bjp_mukt_bharat #BJPBurningIndia #BJPBurningIndia #BJP . Devendra Singh ? ISIS ke 11 agent pakde gaye unka kya ?? Kapil Mishra ? Anurag thakur ? BJP dangge karne vali party hai .</t>
  </si>
  <si>
    <t>Luar biasa,,,negara lain patut mencontoh Indonesia !! 4 WNI Terjangkit Corona di Jepang Sembuh!</t>
  </si>
  <si>
    <t>RT @alh_koentjoro: @jokowi semoga pajak kita bukan untuk membesarkan calon teroris asal ISIS 🙏🙏🙏</t>
  </si>
  <si>
    <t>RT @amirfufu: Esok nak pakai baju apa doooooo</t>
  </si>
  <si>
    <t>@KemenkesRI 6. Untuk WNI ABK Diamond Princess yang masih di Jepang, 1 sudah keluar dari RS dan sudah ada di hotel. Besok dijadwalkan akan kembali ke Jakarta, setibanya di tanah air akan diobservasi. via @KemenkesRI</t>
  </si>
  <si>
    <t>RT @itsmesyuha_: Aku ni takdelah elok mana tapi dah dah lah buat aku broken sia sakit bodo haih</t>
  </si>
  <si>
    <t>RT @geloraco: WNI Positif Corona, Media Asing Menyoroti Sikap Terawan</t>
  </si>
  <si>
    <t>@mdverse ISIS juga nyanyi lagu itu. Hiiiii</t>
  </si>
  <si>
    <t>6. Untuk WNI ABK Diamond Princess yang masih di Jepang, 1 sudah keluar dari RS dan sudah ada di hotel. Besok dijadwalkan akan kembali ke Jakarta, setibanya di tanah air akan diobservasi. #WaspadaCOVID19</t>
  </si>
  <si>
    <t>Apakah Iran..Irak..Arab Saudi makan babi...dan apakah yg WNI yg terpapar jg makan babi... mohon jgn asal bicara...MUI harus menyejukkan bukan malah membuat keruh situasi...</t>
  </si>
  <si>
    <t>RT @fbryn06: @AmmaApri @DynCurny @Mala_1920 @anjunyoanjun Sarungan iku praktis tur isis min. Ringkes. Aurat y ketutup. Nahdliyin banget lah. #SarunganChallenge</t>
  </si>
  <si>
    <t>RT @Singh1Tvitter: @Sukeshadube1 @ManojChetri_ @arihantknp @SirPareshRawal यह भी एक लडाई, जहाँ कोई और नहीं तो तुम और मै Syria_Turkey_Kurds Saudia_Turkey_Yemen Iran_Iraq Iraq_Kuwait Libya_Turkey Af_Af_Af Taliban_Tazak_Pathan Pakjabi_Mohatir_Sindhi Pakjabi_Baloch_Pashtun Pakjabi_Kadiani Let_JeM ETIM ISIS Al-Qaida BokoHaram 98%_2% 100%_100% NeverEnding</t>
  </si>
  <si>
    <t>Kalau buat dengan wani nanti orang ingat aku anak dia @_wni_ RT @riszjekot: Asal aku tatau ade pegang tangan mcm tu *no8</t>
  </si>
  <si>
    <t>RT @k4ng_C1reNG: BRIKING NIYUSS!!! Empat dari sembilan warga Negara Indonesia, ABK Diamond Princess, yang terinfeksi virus corona dinyatakan sembuh.</t>
  </si>
  <si>
    <t>RT @nety_rusi: Mas @CNNIndonesia, ini kalo orang baca judulnya aja bisa langsung reaksioner lho, padahal konteksnya Pak @Kiyai_MarufAmin ini adalah semacam keterangan rekam jejak WNA/WNI dari luar negeri yang akan masuk ke Indonesia, dari mana saja, adakah di LN pernah singgah di kota terdampak</t>
  </si>
  <si>
    <t>@mbahnoer88 @jokowi Yg loe omongin isas ISIS tapi pura² buta WNA China kerja di Indonesia ribuan orang.. tolol loe</t>
  </si>
  <si>
    <t>@Balistta @Dennysiregar7 kelompok isis yah gitu..hoax dulu baru cari dalilnya...mmg kelas kencing onta</t>
  </si>
  <si>
    <t>@khecang @arjuno_ireng01 @mas__piyuuu cina cina apaan enak aja ngejablak???...dia WNI.</t>
  </si>
  <si>
    <t>@zherebeth @fadlizon Emang dia msh dianggep sm prabowo ?</t>
  </si>
  <si>
    <t>RT @3_devout:  Anak" isis di urus negara? Mrka dicuekin #NegriKADRUN 👇</t>
  </si>
  <si>
    <t>@pupiz_8 Ni impicis cin isis psicipitiidis</t>
  </si>
  <si>
    <t>@NathPribady Mungkin pak wapres sedang absen lihat keadaan sekeliling</t>
  </si>
  <si>
    <t>@BamsBulaksumur Wni sakit dijepang trus sembuh lah kok yg dipuja puji jokowi. Itu kinerja para medis jepang dong, ato sembuh sendiri? Tanpa perlu diobati? Trus dimana peran zokowinya mbambang zheyang</t>
  </si>
  <si>
    <t>@kholiq486 baguslah kejadiannya gitu om klu kilapah isis yg menang ya kacau wes dunya eni..</t>
  </si>
  <si>
    <t>RT @abcaustralia_id: @jokowi Para WNI kru kapal Diamond Princess ini belum dikarantina sejak kapal bersandar di Yokohama, 4 Feb lalu. Mereka sampai kemarin masih bekerja dengan normal melayani penumpang yang dikarantina. Kini setelah penumpang kapal pulang, nasib mereka masih belum jelas.</t>
  </si>
  <si>
    <t>Babi di sala"in..virus isis di biarin mala dibela?! Dazar t4i BABI klean 😘👌</t>
  </si>
  <si>
    <t>• Nama: Budi Tama Diranu • Nama panggilan: Budi/Tama/Diranu • t/t/l: Sby, 08 Agustus 1995 • Jenis Kelamin: laki-laki • Gol. Darah: AB • Status: Belum menikah • Kewarganegaraan:WNI</t>
  </si>
  <si>
    <t>@TeddyGusnaidi Sdh 2 periode narasinya tetep Aja HTI, ISIS, TERORIS, ANTI PANCASILA. Hehehe sono bantu @jokowi YG pusing ekonomi nyungsep 😄😂😁😂😁😂😁👎👎🏾👎👎🏾👎👎🏾</t>
  </si>
  <si>
    <t>RT @Katolik_GK: Foto yg di bawah ini adalah 'the perfect tolerance in Indonesia", yaitu ketika minoritas dipaksa harus mengikuti keinginan mayoritas, kalau tidak, mk akan didemo.</t>
  </si>
  <si>
    <t>RT @herySbahri: Pakde... Org yg dr kementrian mu ini selalu bawa2 namamu trs. Mgk dia caper pakde... Ga puas dg posisi skrg. Bantulah pak. Cape sy baca keluhannya trs di twitter.😥</t>
  </si>
  <si>
    <t>RT @MZubir_ID: @wahhabicc_jabar Selamat datang anak² pahlawan ISIS, orang tua kalian telah berjuang hingga titik darah terakhir untuk mendirikan khilafah ISIS. Pemerintah dan rakyat Indonesia akan menyambut kepulangan kalian dengan penuh bangga. Lanjutkan perjuanganmu di Indonesia. @jokowi @mohmahfudmd @BNPTRI</t>
  </si>
  <si>
    <t>@nusantaradjaya1 Saya tak mengerti dgn omongan imam....kok bahas beginian dlm sidang korupsi ?</t>
  </si>
  <si>
    <t>Oh iya. Kiminfi kata ganti, ya. Bisa aja maknanya 'tolol', 'imbisil', 'retardasi mental', 'bego', 'goblok'. Pokoknya yang nge-gas nge-gas gitu. Kayak gini: ISIS, lu! Kiminfi, lu. . Gitu.</t>
  </si>
  <si>
    <t>RT @gusbayu: @wahhabicc_jabar Ternyata pemerintah lebih sibuk dgn pemulangan bibit² ISIS!!!! Gimana kabarnya dgn yg ini 👇 @jokowi @PolhukamRI @Kemenag_RI @DivHumas_Polri @KemenkesRI</t>
  </si>
  <si>
    <t>@DPP_PKB Stabilitas NKRI adlh tanggung jawab bg setiap WNI dlm menjaga&amp;merawat dm eksistensi NKRI smp kiamat. #IndonesiaDaruratIntoleransi</t>
  </si>
  <si>
    <t>@rongs_rong Bs ga qta mimpi yg indah2 tanpa ISIS 🙄</t>
  </si>
  <si>
    <t>RT @KerongKerang: @kerajaanpolitik @TheArieAir @03__nakula Angin segar buat khilafah dan semua ormas radikal. Ayo segera bangkit..... Mumpung pemerintahnya lagi sibuk ngurusin anak ISIS. Mumpung pemerintah cuma bacotan doang, HTI dilarang tp tumbuh subur.... Bagus lanjitkan aksi2 kalian. @jokowi @Kemenag_RI @mohmahfudmd</t>
  </si>
  <si>
    <t>@MimMimaciaen yg dipulangin harusnya orang ini, bukan isis (hahaha emang enak disambungin ke isis)🤣🤣🤣🤣</t>
  </si>
  <si>
    <t>Ada 769 WNI yang terdampak kebijakan penangguhan umroh oleh Saudi.</t>
  </si>
  <si>
    <t>@your2rl Assalamualaikum, ga jawab isis</t>
  </si>
  <si>
    <t>WNI kru Diamond Princess yang sembuh akan dipulangkan perusahaan</t>
  </si>
  <si>
    <t>Gerakan ikhwanul muslimin telah banyak membuat kerusakan di negeri kaum muslimin dan menjadi inspirasi lahirnya gerakan teror seperti: Al Qaidah di afganistan, Isis di syiria, hamas di palestina, grup teror imam samudra, grup teror abu bakar baasyir di indonesia, NII dsb.</t>
  </si>
  <si>
    <t>Himbauan Lanjutan kepada WNI di Tunisia mengenai penyebaran Corona Virus (COVID-19). @Kemlu_RI @KemenkesRI #inidiplomasi #indonesianway</t>
  </si>
  <si>
    <t>Ohh ini kah dia..?? Yang akhirnya membuat Mereka mengumumkan bahwa ada WNI yang terinfeksi Virus corona?</t>
  </si>
  <si>
    <t>@jiiviiw Tentang apa niih Kak? Virus or Anak ISIS?</t>
  </si>
  <si>
    <t>@YogaAdrianyoga6 @harihariono1 @HusinShihab @DivHumas_Polri @jokowi @mohmahfudmd @ganjarpranowo Lhah emang tujuannya ke sana kale??? Konsisten kan, dng pemulangan anak ISIS eks WNI?!! Tunggu aja.. Bentar lg betina2nya nyusul anak2nya ini..</t>
  </si>
  <si>
    <t>RT @SalmaBrecht: @AnakLolina Pertanyaannya? Dengan Kebijakan Pemerintah, kapan 12.000 anak terlantar yg hidup dijalanan di urus? Itu saja. Politik memang jahat. Demi menjaga stabilitas politik, takut sama politisasi agama. Calon monster saja diterima dan diurus.</t>
  </si>
  <si>
    <t>@ISIS_Balik_NO @Lerry28 Gaosah di zoom Juga kalee bang😭</t>
  </si>
  <si>
    <t>RT @wisanggeni_084: 4 dari 9 WNI yg bekerja sebagai ABK Diamond Princess yang terinfeksi virus Corona yg sdg rawat di Jepang nyatakan sembuh.. Semoga ke 5 lainnya serta seluruh pasien dapat segera sembuh Amin. #LawanHoaxVirusCorona 👇</t>
  </si>
  <si>
    <t>Wow.. @mohmahfudmd @KPAI_official @Kemenag_RI @DivHumas_Polri Sibuk urus anak isis, sementara anak Indonesia masih banyak yg terpapar intolerant &amp; radicalism. 😔 RT @BaskoroKata: Salah satu cara #Khilafah mencuci otak anak2 di NKRI! #saveNKRI #TolakKhilafah  @devanisher @budiarth4 @johhhnygudhel @Rasheed_inn @ign_djo666 @YoyokSubandriy3 @anak_anakafir @3kingd0m</t>
  </si>
  <si>
    <t>@DheaMerlinda Entahlah semakin parah dan menjadi GOBLOK nya🐸 Apa hubungannya 4 WNI di Jepang yang sembuh Virus Corolla eeehh Corona 🤭 Emang Jokowi yang sembuhkan 4 WNI yang di Jepang Harus ditest uji kelayakan dari otak🐸apakah masih sehat dan masih berfungsi atau memang tidak sama sekali🤭</t>
  </si>
  <si>
    <t>RT @republikaonline: Empat dari sembilan WNI kru Diamond Princess dikabarkan telah sembuh dari Covid-19.</t>
  </si>
  <si>
    <t>RT @UtuhWibowo: WNI yang sakit Corona dirawat dan berhasil diobati sampai sembuh di Jepang. Yang dipuji malah kinerja Jokowi. Emang dasar KOPLAK! 😅😂🤣</t>
  </si>
  <si>
    <t>@Paperclown_ @SGT_winarno Sensus WNI ya e</t>
  </si>
  <si>
    <t>RT @antaranews: Empat dari sembilan WNI kru Diamond Princess yang dirawat di Jepang telah sembuh dan akan dipulangkan.</t>
  </si>
  <si>
    <t>RT @MichelAdamNP: SEJAK AWAL, PEMERINTAH YANG GAK BISA KERJA, Cuma andalkan income dari pariwisata. Mereka lebih khawatir dampak ekonomi dan sosial daripada kesehatan rakyatnya. WNI Positif Corona, Media Asing Menyoroti Sikap Terawan  #CoronaBukaBorokRezim</t>
  </si>
  <si>
    <t>@tjapoenglaut ISIS, Hamas, Alqaeda itu atheis semua koq 😎 bagusan kafir, gada disuruh bunuh non-kafir trus diiming-imingi hadiah surga.</t>
  </si>
  <si>
    <t>@AnakLolina Seharusnya pemerintah memikirkan dampak jika anak2 ISIS ini kembali ke RI ? 1.Apakah Penerintah siapkan lokasi khusus membina mereka kejalan benar ? Bagaimana jika org tuanya ada yg ikut kembali ?</t>
  </si>
  <si>
    <t>Empat dari sembilan WNI kru Diamond Princess yang dirawat di Jepang telah sembuh dan akan dipulangkan.</t>
  </si>
  <si>
    <t>@BamsBulaksumur Kok pola pikirnya so weird gitu ya... 🤨.. apa hubnya sama kinerja pemerintah Jokowi atas kesembuhan WNI di RS Jepang?</t>
  </si>
  <si>
    <t>RT @rajtarangini2: 🤣🤣🤣 Osama bin laden - Social Reformer Baghdadi - Spiritual leader ISIS and Al Qeada - NGO And Shekhar Gupta - Journalist 🤣🤣🤣</t>
  </si>
  <si>
    <t>RT @Metro_TV: #TopNewsMetroTV 68 dari 69 WNI anak buah kapal Diamond Princess dipindahkan dari kapal KRI dr. Soeharso ke Pulau Sebaru Kecil, Kepulauan Seribu. Seorang WNI tidak ikut diturunkan karena sedang mengalami batuk.</t>
  </si>
  <si>
    <t>Empat dari sembilan WNI kru Diamond Princess dikabarkan telah sembuh dari Covid-19.</t>
  </si>
  <si>
    <t>69 WNI Kapal Pesiar Diamond Princess telah sampai di Pulau Sebaru Kecil pada senin kemarin. Namun hingga selasa petang mereka belum dipindahkan ke lokasi observasi karena masih menunggu hasil pemeriksaan PCR. #PulauSebaru</t>
  </si>
  <si>
    <t>Alhamdulillah, Terima kasih dokter dan pr medis lain di jepang. Kalian telah mengobati saudara kami yg terjangkit corona 🙏🙏🙏 4 WNI Terjangkit Corona di Jepang Sembuh!!!</t>
  </si>
  <si>
    <t>4 WNI yang Terinfeksi Corona di Jepang, Kini Dinyatakan Sembuh</t>
  </si>
  <si>
    <t>RT @CNI_ID: #2 Penyebaran virus corona menjadi perhatian banyak orang, termasuk di Indonesia. Ketika dua WNI positif terinfeksi Virus Corona, masyarakat berbondong-bondong untuk membeli masker agar dapat melindungi diri dari virus ini. #VirusCorona #CoronaAlert #Covid_19 #cniindonesia</t>
  </si>
  <si>
    <t>Pangkogasgabpad Cek Sarana dan Prasarana 69 WNI Diamond Princess di Pulau Sebaru Kecil – JPNEWS</t>
  </si>
  <si>
    <t>WN Singapura Positif Virus Corona Kunjungi Batam, 4 WNI Dikarantina</t>
  </si>
  <si>
    <t>Sepertinya dalam konteks pemulangan anak-anak eks ISIS baiknyanya keberadaannya tidak di tengah masyarakat ...! Jelang Pemulangan Anak-anak Eks ISIS ke Indonesia, Pemerintah Minta Masyarakat Menyambut</t>
  </si>
  <si>
    <t>#2 Penyebaran virus corona menjadi perhatian banyak orang, termasuk di Indonesia. Ketika dua WNI positif terinfeksi Virus Corona, masyarakat berbondong-bondong untuk membeli masker agar dapat melindungi diri dari virus ini. #VirusCorona #CoronaAlert #Covid_19 #cniindonesia</t>
  </si>
  <si>
    <t>#TopNewsMetroTV 68 dari 69 WNI anak buah kapal Diamond Princess dipindahkan dari kapal KRI dr. Soeharso ke Pulau Sebaru Kecil, Kepulauan Seribu. Seorang WNI tidak ikut diturunkan karena sedang mengalami batuk.</t>
  </si>
  <si>
    <t>@abdhy_sejiwa @Si_Bee @KavindraOemar Padahal waktu para wni pulang dr wuhan jg sama, disemprot disinfektan pd pakaian yg mereka pakai Kadang2 si menkes belo'on nye keterlaluan Atau emang sengaja kali ye biar rakyat marah gitu 🙄</t>
  </si>
  <si>
    <t>RT @Art_fleck_14: Teringat sebuah nama klo ada kejadian ini, siapa dia..? The one and only Jenderal @kivlan_zen Yang punya track record baik dalam membebaskan sandera, apalagi Warga Negara Indonesia yang menjadi sandera. #RezimTutupiCorona</t>
  </si>
  <si>
    <t>@ariasarlito @BebasVisaID @safetravelkemlu @IvanRT05 Kemungkinan belum di-update. Info dari beberapa teman pejalan. Kazakhstan free visa untuk WNI</t>
  </si>
  <si>
    <t>RT @mediaindonesia: Pembangunan Rumah Sakit tersebut dilakukan dalam rangka mengantisipasi diberlakukannya lockdown (penutupan) di negara-negara luar akibat pandemi Covid-19.</t>
  </si>
  <si>
    <t>@dawiguna @CNNIndonesia Sorry mas, apa saya salah paham, bukankah konteks nya sertifikasi itu di pintu masuk Indonesia. Kalo saya baca yg tempo, nggak ada terminologi sertifikat. Tp sertifikasi semacam isian data gitu buat ngecek WNA masuk dan atau wni dr LN.</t>
  </si>
  <si>
    <t>Meminta kepada masyarakat untuk waspada namun tetap tenang merespon pernyataan pemerintah terkait WNI yang terjangkit virus corona. #HargaMasker2000</t>
  </si>
  <si>
    <t>RT @panggilsaja_dan: @PakarLogika Pemerintah gamau ngasih mereka 1 pulau kecil di indonesia (yg terluar &amp; belum berpenghuni) aja buat mereka diriin negara, sekalian eks isis kirim ke sana aja. Mereka mau buat negara to. "Nyoh pulau kosong diriin negara lu, mulai sekarang jgn minta apa" sma NKRI".</t>
  </si>
  <si>
    <t>@TeddyGusnaidi Mereka itu kompor meleduk, musuh dalam selimut ngga berani turun ke medan perang ngga kaya ISIS..</t>
  </si>
  <si>
    <t>Jadi yang konfirm positif korona WNI 2 dan WNA 8?</t>
  </si>
  <si>
    <t>Awal mula kegaduhan. Senin, 2 Maret 2020, Presiden Joko Widodo secara resmi mengumumkan dua WNI positif Covid-19. Wawancara Khusus ”Kompas”: Pasien Covid-19 Mengaku Tertekan</t>
  </si>
  <si>
    <t>Pulau Sebaru Bagus Untuk Observasi WNI #MembangunIndonesia #WNIindonesia #Observasi</t>
  </si>
  <si>
    <t>RT @SalmaBrecht: @P3nj3l4j4h_id @mohmahfudmd @jokowi @Chilli_Pari Data Anak terlantar 2019, ada 12.000 anak yg tinggal di jalanan. Mereka korban orang tua yg gagal. Jauh lebih gagal Negara menjaga mereka. Anak jalanan tidak terpikirkan sprt Negara memikirkan anak² ISIS ex WNI. Tekanan pihak luar dan sikap hipokrit politik memang menyedihkan.</t>
  </si>
  <si>
    <t>Tolong kalo pulangin anak isis sampean sampean pake uang pribadi saja jangan pakai uang rakyat indonesia yang menjunjung tinggi bhineka tunggal ika Menjunjung tinggi pancasila @mohmahfudmd @jokowi #UangpancasilaantiIsis</t>
  </si>
  <si>
    <t>Pulau Sebaru bgs tuk Observasi WNI #MembangunIndonesia #WNIindonesia #Observasi</t>
  </si>
  <si>
    <t>Pengumuman tanggal 4 Maret 2020 untuk WNI di Kuwait. #inidiplomasi #indonesianway #indonesia #kuwait #negaramelindungi @Kemlu_RI @DitjenYankes @DiasporaRI @KemenkesRI</t>
  </si>
  <si>
    <t>RT @J4is_H3rnomo: Seharusnya di tutup bukan malah di gratiskan pak .!?? Apakah bapak ingin mengorbankan rakyatnya sendiri..!!  ---</t>
  </si>
  <si>
    <t>Pulau Sebaru bgs u / Observasi WNI #MembangunIndonesia #WNIindonesia #Observasi</t>
  </si>
  <si>
    <t>@BamsBulaksumur Jangan-jangan pasien WNI sembuh setelah dokter jepang baca qunut setelah konsultasi ke ma'ruf amin....</t>
  </si>
  <si>
    <t>Pembangunan Rumah Sakit tersebut dilakukan dalam rangka mengantisipasi diberlakukannya lockdown (penutupan) di negara-negara luar akibat pandemi Covid-19.</t>
  </si>
  <si>
    <t>Pulau Sebaru baguzbaguz uttk Observasi WNI #MembangunIndonesia #WNIindonesia #Observasi</t>
  </si>
  <si>
    <t>Tara basro heboh Kebayang ga kalo J Lo itu WNI?</t>
  </si>
  <si>
    <t>RT @oji_saeroji: @__MV_llestari__ Dan anda mengabaikan dengan pengaburan yg halus bahwa seolah menafikan ada korban jiwa yg terpampang jelas mengerikan, katakan salah dalam kesimpulan bukan mencoba memahami kemarahan massa terus diambil frase pembanding yang ngelantur dgn ISIS berkuasa</t>
  </si>
  <si>
    <t>RT @OmBrewoks3: Saat pak @aniesbaswedan buat pernyataan tentang virus Corona si @FerdinandHaean2 menuduh pak Anies menyebarkan HOAX. Saat @jokowi umumkan 2 org WNI positif Corona,baru dia sadar &amp; mengakui bhw virus Corona sdh ada sesuai dgn pernyataan pak Anies. Begitulah kalo mental penjilat.</t>
  </si>
  <si>
    <t>Pulau Sebaru apik tuk Observasi WNI #MembangunIndonesia #WNIindonesia #Observasi</t>
  </si>
  <si>
    <t>Angka kesepuluh Di umur berapa WNI dapat membuat SIM A</t>
  </si>
  <si>
    <t>@Dennysiregar7 @aniesbaswedan @DKIJakarta Di Luar negri khususnya HK , pihak KJRI membagikan 5 pcs masker untuk para WNI disana, yg register alamat &amp; no paspor dikirim via pos. bahkan beberapa kepala daerah di indonesia mengirimkan masker untuk warganya yg disana. lah ini kok malah cari untung 🤦‍♂️🤦‍♂️🤦‍♂️</t>
  </si>
  <si>
    <t>RT @fuccbay: BREAKING NEWS : Presiden Jokowi Umumkan 2 WNI Positif Corona. Aku : - Borong sembako ❌ - Nyetok masker ❌ - Nyetok alkohol ✅</t>
  </si>
  <si>
    <t>Pulau Sebaru baguz u / Observasi WNI #MembangunIndonesia #WNIindonesia #Observasi</t>
  </si>
  <si>
    <t>@__MV_llestari__ Dan anda mengabaikan dengan pengaburan yg halus bahwa seolah menafikan ada korban jiwa yg terpampang jelas mengerikan, katakan salah dalam kesimpulan bukan mencoba memahami kemarahan massa terus diambil frase pembanding yang ngelantur dgn ISIS berkuasa</t>
  </si>
  <si>
    <t>@syahbanu ditanggung negara from what i read sih. so semua WNI ditanggung baik yang punya BPJS/ngga mungkin maksudnya dari alokasi dana yang berbeda. dari dana pemerintah/pemda bukan BPJS Kesehatan ohiya, mungkin bisa dibaca dulu tweet kedua dari tweet tsbt</t>
  </si>
  <si>
    <t>RT @ganjarpranowo: Gubernur Ganjar tegas menolak pemulangan WNI eks ISIS</t>
  </si>
  <si>
    <t>RT @KatolikG: 700 WNI yang setia pancasila dan uud45, pembayar pajak dan hidup baik2 dimasyarakat sedang berjuang dalam sepi untuk mempertahankan IMB gereja. 600 WNI, membakar pasport, tidak membayar pajak, tidak setia pada pancasila dan UUD45 jadi perbincangan istana dan pemerintah.</t>
  </si>
  <si>
    <t>Sebanyak 68 warga negara Indonesia (WNI) kru kapal Diamond Princess telah diturunkan di Pulau Sebaru Kecil setelah dinyatakan negatif virus korona. Sementara satu WNI masih tertahan di KRI Soeharso.</t>
  </si>
  <si>
    <t>@renepatti @GeneralMoeldoko Yg pegang sertifikat apa akan di test? WNI dari Wuhan aja ga ditest. Kalo udah pegang sertifikat bisa ga kena virus gitu🤣 Ada2 aja ide gila pemerintah ini</t>
  </si>
  <si>
    <t>@wahhabicc_jabar Kesalahan terbesar bangsa indonesia adalah memilih presiden pro ISIS macam si @jokowi</t>
  </si>
  <si>
    <t>@T0NI361 Nggak perlu karantina? Kenapa WNI dari China dikarantina selama 14 hari? Enak ya kok, cik, cing, cang, koko, keke?</t>
  </si>
  <si>
    <t>@hafidafhmsr Wah bakal menarik banget ini. Unitku di Kemlu kebetulan ngurusin diseminasi WNI yg bekerja di OI nih mb, kapan-kapan kalau dikontak kantor untuk sharing live di IG kantor atau jadi narasumber pas ke Jakarta apakah boleh mb?</t>
  </si>
  <si>
    <t>RT @wahhabicc_jabar: ANDAI BENAR BERITA INI? Putus Sekolah, Remaja Putri Asal Jampang Tengah Sukabumi Ini Jualan Gambar Sketsa. Kemarin anak² yg kelaparan! Boro² sekolah, makan sabun jika lapar. Skrg muncul lagi ANAK PUTUS SEKOLAH krn biaya tak punya! Pintar lagi anaknya! MALAH MULANGIN ANAK ISIS</t>
  </si>
  <si>
    <t>@ISIS_Balik_NO @Lerry28 Woyyy. Tolonglah. Zoom in lagi</t>
  </si>
  <si>
    <t>@mistercebong @FerdinandHaean2 @ustadtengkuzul @DivHumas_Polri @jokowi Pemerintah ini beragama, presidennya Islam, wapresnya NU, didukung Muhammadiyah, juga anti teroris ISIS, kalau mereka anti Pemerintah berarti anti Islam, musuhi NU, anti Muhammadiyah dan pro Teroris (saya ikuti resep cara kadrun menilai situasi )</t>
  </si>
  <si>
    <t>Masker jadi langka disini setelah adany WNI yg kena Corona 😷</t>
  </si>
  <si>
    <t>RT @OfficialiNewsTV: Gubernur DKI Jakarta @aniesbaswedan meyakinkan stok kebutuhan warga cukup. Warga diimbau tidak perlu belanja secara berlebihan usai pemerintah mengumumkan dua kasus WNI terinfeksi Virus Korona. PAA #Korona #Coronavirus #CoronaVirusUpdate #COVID19indonesia #iNewsPrime #iNews</t>
  </si>
  <si>
    <t>RT @jenk_kelinn: Mau disambut seperti apa ? Dengan ribuan bunga ? Siapin pulpen dan kertas trus lari2 minta tanda tangan ? Spanduk kegembiraan yg segede gaban? tari perut yg eksotis (khas timteng) atau cheelleader ? *jangan bilang disabut, disambit ya mungkin</t>
  </si>
  <si>
    <t>RS INDONESIA CABANG JEPANG MENANGANI WNI POSITIF CORONA, SAMPAI SEMBUH. HEBATNYA PEMERINTAH INDONESIA.</t>
  </si>
  <si>
    <t>Empat WNI ABK Diamond Princess Dinyatakan Sembuh dari Corona Covid-19 #LawanHoaxVirusCorona</t>
  </si>
  <si>
    <t>@TeddyGusnaidi SETUJU... Tp sygnx pmerintah mlah ngurusin ank eks isis,, utk apa cb ?? @mohmahfudmd @jokowi @KSPgoid</t>
  </si>
  <si>
    <t>Kepada yth pak @jokowi dan pak @mohmahfudmd . Stop urusi orang2 eks isis. Baik orang tuanya maupun anaknya. Tolong urusin kami rakyat yg selama ini setia kepada Pancasila dan cinta tanah air. Please pak. Mas @Chilli_Pari n mas @kaesangp . Tolong beri masukan ke bapak 🙏 RT @wahhabicc_jabar: Jelang Pemulangan Anak² eks ISIS Pemerintah Minta Masy Menyambut. Ooooo.. Siapkan karpet merah! Bentangkan tulisan اهلا وسهلا ياداعش Welcome jgn ketinggalan! Umbul² berwarna pasang distiap pelosok! Grup Drumband dipersiapkn! Gitu Cukup? #HinaKhan ?</t>
  </si>
  <si>
    <t>Jokowi minta para menteri peka thd situasi ekonomi dunia yg khawatir dgn Covid-19 China mitra dagang utama Indonesia tengah terpuruk 👇 Rakyat jg jengkel dgn presiden yg cuma kaget &amp; ngomel tanpa solusi &amp;amp; lbh memikirkan China drpd WNI #RezimTutupiCorona</t>
  </si>
  <si>
    <t>@Maryam59771644 @tandanVradio @ISIS_Balik_NO @Restichayah @jokowi @prabowo @Dahnilanzar 😊😊😊 Tuhan Yesus Memberkatimu..</t>
  </si>
  <si>
    <t>@Maryam59771644 @tandanVradio @ISIS_Balik_NO @Restichayah @jokowi @prabowo @Dahnilanzar Silahkn d cek sndri.. Anda mau tahu kn..??!! 😊😊😊</t>
  </si>
  <si>
    <t>@SilitongaEfraim @Maryam59771644 @ISIS_Balik_NO @Restichayah @jokowi @prabowo @Dahnilanzar Saya tahu siapa gurunya 😩</t>
  </si>
  <si>
    <t>Mengenal kelompok dan ideologi ISIS  via @YouTube cc @kirekswasta @mantriss @permadiaktivis @AmbarwatiRexy</t>
  </si>
  <si>
    <t>@FiersaBesari Daaaaaaannn ,,, pajak kita untuk beaya anak anak eks ISIS Sangat barokah yaaa ? Ckckckckck</t>
  </si>
  <si>
    <t>@tandanVradio @SilitongaEfraim @ISIS_Balik_NO @Restichayah @jokowi @prabowo @Dahnilanzar Lu mau melupakan sejarah untuk membenarkan kesesatan? Lu takut dan malu bahas sejarah lahirnya agama sampo 3in1? Penggunaan alat penyiksaan sadis oleh agamamu? Dibunuhnya ilmuwan oleh rohaniawan kafir?</t>
  </si>
  <si>
    <t>RT @SeijiNobel: Khilafah adalah Bangsa Dajjal yang sebenarnya. HTI adalah Kelompok Simpatisan Teroris ISIS &amp; Al-Qaeda. Mereka Lebih Berbahaya daripada Virus Corona. #FuckKhilafah #HTIGoToHell</t>
  </si>
  <si>
    <t>Brp duit ni??? Kl pun gratis, brp APBN yg dikucurkan???? Woi!!!! Itu anak2 korban pemboman kalian biarkan berjuang sendiri bukan hanya hrs menahan sakit tp juga biayanya!!!! Buat yg gak penting kaluan sibuk kali, apalagi buat anak2 ISIS itu!!! RT @CNNIndonesia: Ma'ruf Amin: Kita akan Terapkan Sertifikat Bebas Corona</t>
  </si>
  <si>
    <t>@habibthink Maksud cecunguk2 ISIS itu knp tdk bs menindas.. 😁😁</t>
  </si>
  <si>
    <t>RT @PFTee: @BiLLRaY2019 @DivHumas_Polri Apakah polisi mendata KTP peserta demo? Spy bisa dipetakan dan mrk harus bertanggung jawab scr individu, tidak berlindung dibalik kata "massa". Bukankah WNI yg menghendaki bentuk pemerintahan baru selain NKRI adl tindakan MAKAR? @setkabgoid @permadiaktivis</t>
  </si>
  <si>
    <t>@BamsBulaksumur Keren kinerja dokter &amp; pemerintah jepang, 4 WNI terjangkit corona di jepang sembuh, Terima kasih PM Jepang</t>
  </si>
  <si>
    <t>69 WNI ABK Diamond Princess Olahraga Pagi di KRI Soeharso</t>
  </si>
  <si>
    <t>Pengelola Pastikan WNI Terinfeksi Virus Corona Bukan Host Amigos</t>
  </si>
  <si>
    <t>Personel yang ikut mengobservasi para WNI berjumlah 762 orang terdiri dari TNI, Polri, BNPB, Kementerian Kesehatan, Kementerian Luar Negeri, dan pihak swasta Artha Graha Peduli. #PulauSebaru</t>
  </si>
  <si>
    <t>RT @Angkasa_Magz:  - Bertempat di geladak KRI Dr. Soeharso-990, Satgas memandu olahraga pagi bagi 69 WNI ABK Diamond Princess yang sedang menjalani observasi di Pulau Sebaru Kecil, Selasa (3/3).</t>
  </si>
  <si>
    <t>RT @BaturajaRadio: #Berite_Senegal: " Empat WNI Sembuh dari Virus Corona " #MindangTeri @BaturajaRadio / @etnikom &gt;&amp;gt;</t>
  </si>
  <si>
    <t>Alhamdullilah 4 WNI sembuh, inalillahi 1 WNI ini terkena gangguan orientasi, 🤦🤦 RT @BamsBulaksumur: Keren kinerja pemerintahan Jokowi 🙏 4 WNI Terjangkit Corona di Jepang Sembuh!!!</t>
  </si>
  <si>
    <t>RT @jokowi: 243 WNI dari Provinsi Hubei, Tiongkok, sedang menjalani masa observasi di Natuna. Terima kasih kepada semua yang terlibat dalam evakuasi WNI dari daerah yang dilanda wabah virus korona ini. Terima kasih kepada masyarakat Natuna. Mereka ini adalah saudara-saudara kita sendiri.</t>
  </si>
  <si>
    <t>@jokowi masih mau nambah impor anak ISIS? jadi bahan ketawaan pak 😓</t>
  </si>
  <si>
    <t>RT @BertemanM: tuh kan, bisa sembuh</t>
  </si>
  <si>
    <t>Pasien corona yang sudah sembuh termasuk empat WNI ABK Diamond Princess.</t>
  </si>
  <si>
    <t>RT @Firmana66382608: 4 WNI pasien corona dirawat di Jepang,yg menyembuhkan dokter-dokterJepang..yg dibanggain pemerintah JKW.. dasar cebong.....😂 #RezimTutupiCorona #RezimTutupiCorona</t>
  </si>
  <si>
    <t>#Berite_Senegal: " Empat WNI Sembuh dari Virus Corona " #MindangTeri @BaturajaRadio / @etnikom &gt;&amp;gt;</t>
  </si>
  <si>
    <t>RT @KompasTV: WNI Kru Kapal Diamond Princess Dinyatakan Sembuh Corona Bertambah 2</t>
  </si>
  <si>
    <t>RT @KapanLagicom: Fakta Ratna Sari Dewi Janda Presiden Soekarno: Dilamar Super Romantis Saat Senja di Tampaksiring dan Masih WNI Demi Gampang Ziarah ke Blitar</t>
  </si>
  <si>
    <t>@Maryam59771644 @tandanVradio @Restichayah @jokowi @prabowo @Dahnilanzar Aduh keluar dari mulut seoramg MUSLIM ? 😞😞😞😞😞</t>
  </si>
  <si>
    <t>Fakta Ratna Sari Dewi Janda Presiden Soekarno: Dilamar Super Romantis Saat Senja di Tampaksiring dan Masih WNI Demi Gampang Ziarah ke Blitar</t>
  </si>
  <si>
    <t>@TheloAgoes ngerangkul ISIS mungkin 🤣🤣</t>
  </si>
  <si>
    <t>@ONLYRPE Isis pasti tengahe</t>
  </si>
  <si>
    <t>Semenjak kabar mengenai dua orang WNI yang positif terjangkit virus corona mencuat memberikan kewaspadaan warga. Untuk mengantisipasi kepanikan, pemerintah membuat beberapa kebijakan agar warga lebih tenang. Berikut fakta yang harus kalian ketahui agar tak termakan hoax</t>
  </si>
  <si>
    <t>4 WNI pasien corona dirawat di Jepang,yg menyembuhkan dokter-dokterJepang..yg dibanggain pemerintah JKW.. dasar cebong.....😂 #RezimTutupiCorona #RezimTutupiCorona  RT @BamsBulaksumur: Keren kinerja pemerintahan Jokowi 🙏 4 WNI Terjangkit Corona di Jepang Sembuh!!!</t>
  </si>
  <si>
    <t>@Rezakunarto1 Org2 dgn ideologi daesh/isis/HT &amp; anti NKRI bang, masih banyak &amp;amp; malah makin banyak. Koruptor juga termasuk dah..</t>
  </si>
  <si>
    <t>@SilitongaEfraim @tandanVradio @ISIS_Balik_NO @Restichayah @jokowi @prabowo @Dahnilanzar Tuh si nyAhok ngomong taik taik. Akibat kebanyakan makan babi. Tuhanmu udah mati ga bisa berkati. Lepas dari ikatan tali tiang jemuran pun ga bisa</t>
  </si>
  <si>
    <t>RT @sindynatassha: @afifahmarwaaa @CNNIndonesia Isinya bener, tapi banyak yg gagal paham. Pdhl mksdnya cm melakukan serangkaian proses hingga benar2 dinyatakan bebas dari corona. kalo dinyatakan bebas corona ya dikasih lah keterangannya dia bebas apa nggak masa gak dpt apa2 yg membenarkan wna/wni yg bebas corona.</t>
  </si>
  <si>
    <t>@BamsBulaksumur 4 WNI tersebut membaca postingan ini ?! Crooottt 👇 . . . HARAKIRI !</t>
  </si>
  <si>
    <t>Empat dari sembilan warga Negara Indonesia, ABK Diamond Princess, yang terinfeksi virus corona dinyatakan sembuh. Alhamdulillah. #SemangatIndonesia</t>
  </si>
  <si>
    <t>Di Teluk Gong Jkt. Beliau layani masyarakat yg kurang mampu dg tdk menaikkan harga. Jiwa nasionalisme ada padanya. Bgm dg kita, yg niat membantunya sebatas wacana. Beliau lah WNI yg sesungguhnya. S A L U T E ! !</t>
  </si>
  <si>
    <t>2 Wni Ktp Depok Kainfeksi, Jabar Ngadegkeun Crisis Center Covid-19</t>
  </si>
  <si>
    <t>WNI Kru Kapal Diamond Princess Dinyatakan Sembuh Corona Bertambah 2</t>
  </si>
  <si>
    <t>@Maryam59771644 @tandanVradio @ISIS_Balik_NO @Restichayah @jokowi @prabowo @Dahnilanzar Biasanya apa yg keluar dr mulut itu lah yg tersimpan dlm hati.. Semoga anda tdk menyimpan babi dlm hati. Tuhan berkati</t>
  </si>
  <si>
    <t>Dua WNI Positif Korona, Segera Bentuk Tim Khusus Tangani Covid-19</t>
  </si>
  <si>
    <t>BBC Biased Media and Vashingtion Post ko yeah nahin dikhayi diya hoga. AAP Corporator Tahir Hussain kaa ISIS kaa Aatanki Adda bhi nahin dikha hoga. RT @DVATW: BBC managed to miss this one.</t>
  </si>
  <si>
    <t>@mhdarief2208 TERNYATA YANG AKU SUKA ADALAH ANGGOTA ISIS, YANG NEMBAK ORANG SEMBARANGAN KARENA DI ANGGAP KAFIR 😭</t>
  </si>
  <si>
    <t>@SilitongaEfraim @tandanVradio @ISIS_Balik_NO @Restichayah @jokowi @prabowo @Dahnilanzar Congormu lebih parah dari babi. Babi makan taik, kafir makan babi. Kafir dan babi hidup sekandang</t>
  </si>
  <si>
    <t>tuh kan, bisa sembuh</t>
  </si>
  <si>
    <t>RT @VIVAcoid: Dua warga negara Indonesia (WNI) anak buah kapal (ABK) Diamond Princess yang positif terinfeksi virus corona Covid-19 dinyatakan sembuh. Mereka akan dipulangkan ke Tanah Air menggunakan pesawat komersial.  #Coronavirus #Viruscorona #Diamondprincess</t>
  </si>
  <si>
    <t>@WR_4AG226 Ada apa dgn negara ini? Bpk @jokowi @mohmahfudmd Apa tujuan yg sebenarnya? - Pembiaran kelompok ber IQ rendah dijogja yg merasa dizolimi. - Statement MUI ttg bahaya kristenisasi, dan virus corona yg berasal dr babi. - Pemulangan anak2 ISIS. Mohon penjelasan.</t>
  </si>
  <si>
    <t>Musisi senior Iwan Fals turut mengomentari pegumuman Jokowi terkait virus corona. Ia menulis komentarnya di akun Twitter pribadinya yang diunggah Senin (2/3/2020). 👇👇👇</t>
  </si>
  <si>
    <t>@ustadtengkuzul Itu kan permintaan lo juga WNI DI CINA bisa pulang ...dasar GOBLOK JUGA KOE TENGKU KOPLAK 😜😜😜😜</t>
  </si>
  <si>
    <t>Assalamualaikum. ga jawab isis</t>
  </si>
  <si>
    <t>Aneh bgt tiap mau isi data online selalu ada hambatan di NIK dan ketranganya selalu tdk ditemukan, ini keberadaan gw sebagai WNI perlu dipertanyakan keknyaa (?)</t>
  </si>
  <si>
    <t>@zoelfick Dalam UU nomor 12 tahun 2006 dan Peraturan Pemerintah (PP) nomor 2 tahun 2007 mengatur syarat untuk melepas status WNI. Dan kayanya untuk orang-orang macem mereka prosesnya bisa dipercepat aja kalo emang mau bikin Khilafah di negara lain.</t>
  </si>
  <si>
    <t>RT @mazzini_gsp: Kabar gembira gaes, WNI yang kena virus Corona ternyata masih sehat. Indikasinya? 👉 BISA MAIN HAPE!! 👨🏻 Menkes Terawan: "Semua pasien dalam kondisi baik, enggak ada demam, enggak ada sesak, enggak ada apa. MAIN HAPE SENDIRI JUGA BISA. MENURUT SAYA SEHAT"</t>
  </si>
  <si>
    <t>Setelah 2 WNI positif terinfeksi corona, apakah orang indonesia masih cuci tangan dengan air jeruk limo sebelum makan?</t>
  </si>
  <si>
    <t>RT @kompascom: Dengan sembuhnya empat WNI, berarti jumlah WNI ABK Diamond Princess yang masih berada dalam perawatan akibat virus corona sebanyak 5 orang ~ #Tren</t>
  </si>
  <si>
    <t>@Maryam59771644 @tandanVradio @ISIS_Balik_NO @Restichayah @jokowi @prabowo @Dahnilanzar Ini manusia kok congornya gk beraturan ya.. Tuh mulut d kasih behel dlu napa biar jelas congormu.</t>
  </si>
  <si>
    <t>Yth.. Sdra #RoryAsyari #PrimeTalk Sngat jelas ! issu 2 WNI terinfeksi #VirusCorona Berdampak buruk ! Kpd sektor parawisata Hotel &amp; Resort di #Bali Ribuan pengunjung Membatalkan pesanan hotel.. Jadi tolong.. Jgn membuat GADUH! Dgn pemberitaan media tv anda! Paham rory !! 🙏🙏</t>
  </si>
  <si>
    <t>Kronologi terpaparnya dua WNI oleh COVID-19</t>
  </si>
  <si>
    <t>Langkah Optimal Pemerintah Tenangani WNI Positif Corona</t>
  </si>
  <si>
    <t>RT @Metro_TV: Jelang kedatangan 69 ABK Diamond Princess, keamanan di Pulau Sebaru Kecil, Kepulauan Seribu, terus diperketat. Rencananya, Rabu (4/03/2020), 69 WNI ini akan diturunkan dari KRI Soeharso untuk menjalani observasi di Pulau Sebaru. #BreakingNewsMetroTV</t>
  </si>
  <si>
    <t>RT @Metro_TV: WNI dari Kapal Diamond Princess akan diturunkan ke Pulau Sebaru Kecil, Kepulauan Seribu, secara berkala sepanjang hari ini Rabu (4/03/2020). Namun, 1 orang di antaranya akan menjalani pemeriksaan ulang karena mengeluh sakit batuk. #HeadlineNewsMetroTV</t>
  </si>
  <si>
    <t>RT @Metro_TV: Proses penurunan WNI dr Kapal Diamond Princess blm berlangsung. Untuk saat ini pengamanan &amp; juga pengawasan di sekitar Pulau Sebaru Kecil diperketat. Pihak TNI mengatakan seluruh kondisi kesehatan dr 188 ABK World Dream yg lebih dulu sampai dlm kondisi sehat. #BreakingNewsMetroTV</t>
  </si>
  <si>
    <t>RT @SeputariNews: Hari ini (4/3) sekitar pukul delapan pagi, 69 WNI Kapal Diamond Princess dan tim penjemput akan tiba di Pulau Sebaru Kecil untuk memulai proses observasi selama 14 hari. DUL . #Observasi #DiamondPrincess #Korona #SebaruKecil #Coronavirus #SeputariNewsPagi #SeputariNewsRCTI</t>
  </si>
  <si>
    <t>4 WNI Positif Coronavirus di Jepang Dinyatakan Sembuh</t>
  </si>
  <si>
    <t>RT @wandazrin: Assalammu’alaikum semua. Nama saya Wan Aleesa Sofea Bt Wan Dazrin. Saya dh selamat dilahirkan pada 27-2-2020 yg lepas. Tepat jam 2 pagi. Hari ni hari ketujuh. Ayah saya kata nak umumkan nama saya. Jgn lupa doakan kebaikan2 umum buat saya ya. Yg benar, Wan Aleesa Sofea.</t>
  </si>
  <si>
    <t>@Ilham34818281 malah bebas kemana saja, kemaren WNI lansung d karantina 🤣🤣 itu kan namanya....</t>
  </si>
  <si>
    <t>@028Phs @mas__piyuuu Hasan surhim..hti bin isis itu laknatullah..hanya merusak d muka bumi mengikuti nafsu saitan..🤭🤭</t>
  </si>
  <si>
    <t>@Noerhakim19 @YohanesPatty2 @WR_4AG226 Lah gw ikut tahlilan, kendurian, depan kosan ada mesjid yg toa nya pas banget ngarah ke kamar gw, tiap hr denger adzan, ceramah, jg masih Katolik jg 🤣 Ngubah iman ga segampang itu kali ya. Masa baru terima sembako doang auto kristen/islam. Kecuali ad abcaman dibunuh (kaya ISIS)</t>
  </si>
  <si>
    <t>@dwinofias isis iki sumpa wkwkww koyo nggae AC</t>
  </si>
  <si>
    <t>Persija vs Persebaya resmi ditunda. Berpikir positif aja semoga pas lawan persebaya Mark klok udah jadi WNI dan punya pemain asing baru yang sangar. Amin.</t>
  </si>
  <si>
    <t>@Jurnal79662474 @MichaelHarto77 @mas__piyuuu Hti bin isis serasa abuj4hal milenial..🤣🤣🤣🤣</t>
  </si>
  <si>
    <t>[APENI : ADA YANG PENTING NIH] WASPADA VIRUS CORONA! Presiden Jokowi menyatakan bahwa terdapat WNI positif corona di Indonesia, hal tersebut disampaikan oleh presiden pada jumpa pers dadakan hari Senin (2/3).</t>
  </si>
  <si>
    <t>“Mereka akan pulang dengan pesawat komersial, tapi akan kami lakukan karantina di Badan Pelatihan Kesehatan (Bapelkes) Cikarang,”</t>
  </si>
  <si>
    <t>Masker sudah dua kali dikirim ke China sebelum Presiden Joko Widodo mengumumkan dua WNI positif terjangkit virus corona atau COVID-19.</t>
  </si>
  <si>
    <t>RT @Vendra_Deje: Coba kasih jalan aja mrk ke India. Ntar termehek² minta jemput. Kayak junjungan mrk di Saudi dan ISIS eks WNI di Suriah.</t>
  </si>
  <si>
    <t>Dua warga negara Indonesia (WNI) anak buah kapal (ABK) Diamond Princess yang positif terinfeksi virus corona Covid-19 dinyatakan sembuh. Mereka akan dipulangkan ke Tanah Air menggunakan pesawat komersial.  #Coronavirus #Viruscorona #Diamondprincess</t>
  </si>
  <si>
    <t>Presiden Jokowi telah mengumumkan 2 WNI yang positif tertular virus corona atau COVID-19. Kalian bisa akses langsung ke  untuk info terupdate tentang COVID-19. Tetap waspada dan jangan malas mencuci tangan ya! #invo</t>
  </si>
  <si>
    <t>@syasai444 @RudyRoedyanto @CNNIndonesia Hanya utk WNA dan WNI LN</t>
  </si>
  <si>
    <t>RT @husainabdullah1: 4 WNI Terjangkit Corona di Jepang Sembuh! WNI SEMBUH</t>
  </si>
  <si>
    <t>@staffgaksus @Wilson_P535 @kompascom Ini rekam jejak perjalanan pasien WNI Berdasar pantauan CCTV Taiwan. Dan pemerintah Taiwan Menyelidiki dan menghimbau agar melapor siapa saja yg saat itu ada kontak Fisik dengan Pasien. Sebelum masuk Di amankan Petugas dan masuk RS. Karantina. @panca66 @jansen_jsp</t>
  </si>
  <si>
    <t>@afifahmarwaaa @CNNIndonesia Isinya bener, tapi banyak yg gagal paham. Pdhl mksdnya cm melakukan serangkaian proses hingga benar2 dinyatakan bebas dari corona. kalo dinyatakan bebas corona ya dikasih lah keterangannya dia bebas apa nggak masa gak dpt apa2 yg membenarkan wna/wni yg bebas corona.</t>
  </si>
  <si>
    <t>Pemerintah Tak Bisa Pulangkan WNI Sembuh dari Korona</t>
  </si>
  <si>
    <t>#VirusCorona WNI dari wuhan dikarantina di Natuna MEANWHILE</t>
  </si>
  <si>
    <t>@na_dirs @maman1965 Bisa usulin dong bro buat ex anak isis biar jgn d pulangkan.. Kita masih pengen hdup tenang d indo ini 🙏🙏🙏</t>
  </si>
  <si>
    <t>RT @GetsemaniKaro: Anak2 korban pemboman diabaikan sedangkan anak2 eks isis disambut😣 Haloooooo yg terhormat pak @jokowi anda waras????</t>
  </si>
  <si>
    <t>WNI yang sakit Corona dirawat dan berhasil diobati sampai sembuh di Jepang. Yang dipuji malah kinerja Jokowi. Emang dasar KOPLAK! 😅😂🤣 RT @BamsBulaksumur: Keren kinerja pemerintahan Jokowi 🙏 4 WNI Terjangkit Corona di Jepang Sembuh!!!</t>
  </si>
  <si>
    <t>RT @kpp_pa: Sahabat Perempuan dan Anak, waspada boleh tapi tetap tenang ya.. Berita mengenai WNI yang positif corona di Indonesia memang membuat resah banyak pihak. Tentunya pemerintah akan terus berusaha semaksimal mungkin untuk dapat menangani dan mencegah penyebaran virus corona. ⠀</t>
  </si>
  <si>
    <t>@GetsemaniKaro @jokowi sumpah... aku dl bangga.. semenjak kasus INTOLERANSI mengembang... bendera ISIS berkibar mereka diam, anak isis di berikan KARPET MERAH, MENTRI2 yg plinplan... mau jadi apa bangsa ku ini ... respect... suarakan terus kawan ttg kebangsaan kita.. ayok saling follow ...</t>
  </si>
  <si>
    <t>@CNNIndonesia kira² isi berta cnn it gini,pmrintah bkal memberlakukan sertifkasi bgi wna/wni yg INGIN msuk k IND, krn 2 wni yg pstif covid'19 trtukar oleh wna jepang brkunjung k IND. inti ny wna msih lalu lalang msuk k IND.</t>
  </si>
  <si>
    <t>@AnakLolina Negara kita mempersiapkan pasukan isis generasi berikutnya…. I</t>
  </si>
  <si>
    <t>Virus Corona 2020; Observasi Virus Corona, WNI Pekerja Kapal Diamond Princess Siap Dipindah ke Pulau Sebaru | TIMES Indonesia</t>
  </si>
  <si>
    <t>Artha Graha Peduli aktif mengambil peran bersama aparat pemerintah dalam menangani WNI yang berada di luar negeri. #PulauSebaru #AGPeduli #ArthaGrahaPeduli #Coronavirus #Corona #Covid19</t>
  </si>
  <si>
    <t>RT @IBFtvOne: Virus corona masuk ke Indonesia, dua WNI terinfeksi covid-19. Pengumuman ini sempat membuat panik. Masyarakat memborong kebutuhan pokok,pasar keuangan terkena imbas.Rupiah dan IHSG sempat anjlok. Mampukah pemerintah atasi dampak penyebaran virus corona?@tvOneNews cc @karniilyas</t>
  </si>
  <si>
    <t>Coba Mama ikutin saran aku beberapa Minggu lalu (pas belum ada kejadian WNI ketahuan Corona) buat beli masker satu kotak doang, buat jaga-jaga aja, tapi Mama bilang ga perlu 🙄</t>
  </si>
  <si>
    <t>@BambangTenan @vdgzxx @Cak_Hariy @andesshhh @ngurahsaka @ustadabdulsomad Hindu india berarti lu smaain sma ISIS Berrati hindu India ISIS Apa hindu begitu yah maksud pernyataan lu</t>
  </si>
  <si>
    <t>@bebellaaacccc Its time wni yg ke bali</t>
  </si>
  <si>
    <t>Sembuh #covid19.</t>
  </si>
  <si>
    <t>Pulau Sebaru Kecil dipilih menjadi tempat observasi untuk 188 ABK World Dream dan 69 WNI Kapal Pesiar Diamond Princess. Pulau tersebut merupakan milik Artha Graha Group. #PulauSebaru #AGPeduli #ArthaGrahaPeduli #Coronavirus #Corona #Covid19</t>
  </si>
  <si>
    <t>Dari tadi liat metro tv bahas COVID-19 di Korea Selatan sama WNI yang ada di Daegu Dan tadi BTS Global Press Conference 'MAP OF THE SOUL : 7' Ditayangin :') dan BTS di sebut terus gagal tampil di acara terbesar di Korea Seharian ini BTS cukup sering di sebut :')</t>
  </si>
  <si>
    <t>4 WNI di Jepang Dinyatakan Sembuh dari Virus Corona Info buat para penyebar hiax; Virus Corona bukanlah barang menakutkan. Buktinya, banyak yg terpapar Corona dpt disembuhkan #LawanHoaxVirusCorona - Global</t>
  </si>
  <si>
    <t>@RoroMenduttt @joggelael Kalo menurut saya ni ya meskipun beliau raja di tanah jogja, beliau tetap hrs patuh pd kewenangan yg dibuat oleh pemerintah pusat, meski beberapa kewenangan blh diterbitkan secara mandiri. Dan masalah kadrun, saya rasa itu biasa saja, mereka wni yg jg memiliki hak utk berpendapat</t>
  </si>
  <si>
    <t>Menteri Agama Fachrul Razi Lempar Isu Pemulangan WNI Eks ISIS ke Mahfud MD #IndonesiaDaruratIntoleransi</t>
  </si>
  <si>
    <t>@IwanSukarno7 @UyokBack lo mau bilang @jokowi yg nyebarin hoax gara2 ngasi pengumuman 2 wni kena corona</t>
  </si>
  <si>
    <t>RT @idntimes: 1 WNI di Singapura dan 4 di Jepang yang sembuh</t>
  </si>
  <si>
    <t>Saat ini, jika ada orang batuk, pilek, dan demam, mereka akan ribut dan meminta otoritas untuk mengambil tindakan pengamanan. Sebelum pengumuman resmi oleh pemerintah ttg adanya dua WNI yg terinfeksi corona, mereka masih santai melihat orang batuk pilek (krn mrk sudah vaksin flu)</t>
  </si>
  <si>
    <t>Mau tanya, kalo WNI yang abis dari LN dan itu negara suspect sama corona, penindakan lanjutan dari pihak bandara kedatangan/pihak terkait melakukan pemeriksaan apa selain check suhu tubuh ?</t>
  </si>
  <si>
    <t>RT @arwidodo: Kabar adanya WNI positif Corona membuat panik sebagian warga. Padahal, kepanikan adalah awal mula timbulnya masalah baru. Jangan panik. Amalkan 9 sunnah dalam Islam ini, insya Allah mujarab menangkal Corona. Pada akhirnya sunnah Islam menjadi solusi</t>
  </si>
  <si>
    <t>Update Sumsel : 69 ABK WNI Diamond Princes Akan Dikarantina, Satu Indikasi Corona  #VirusCorona #rspisuliantisaroso #abkdiamondprinces #batuk</t>
  </si>
  <si>
    <t>Menteri Luar Negeri RI Retno Marsudi mengungkapkan bahwa empat WNI ABK Diamond Princess yang dikonfirmasi positif Covid-19 telah dinyatakan sembuh.</t>
  </si>
  <si>
    <t>RT @OfficialiNewsTV: 69 WNI dari Kapal Diamond Princess menjalani karantina dan observasi bersama WNI dari Kapal World Dream di Pulau Sebaru Kecil. CIL⁣ ⁣ #iNews #Karantina #Observasi #KapalDiamondPrincess #KapalWorldDream #PulauSebaru #Corona #VirusKorona #COVID19 #StopPanikLawanCorona</t>
  </si>
  <si>
    <t>RT @YogiPra90: @Khilap_ah @ChusnulCh__ @k4ng_C1reNG @yusuf_dumdum @Joker__Punk @Joker_SantuyLho @P3nj3l4j4h_id @AbdViking @KamFoengAnn @BundanyaINTANYK @connect2ps @MAIAsangJUARA @JogjaToday @eko_kuntadhi Ini yg diurus Pak @jokowi @mohmahfudmd bukan mulangin anak ISIS. Di depan mata nih kadrun berani beraksi pdhl sdh ilegal</t>
  </si>
  <si>
    <t>RT @ivanho439637: @AlvinoLulu @FerdinandHaean2 @mohmahfudmd @jokowi @cintada17 kenapa mereka yg ninggalin ind ke suriah terus bakar paspor ind {tdk mengakui wni lg} malah di istimewakan dan di urus? sementara bnyk anak ind yg butuh bantuan jg pertolongan tapi di biarkan. apa istimewanya anak2 isis ini?? bahkan sampai di fasilitasi kepulangan jg kehidupanya?</t>
  </si>
  <si>
    <t>@null 4 WNI Positif Virus Korona di Jepang Dinyatakan Sembuh Tiga di antara WNI terseb</t>
  </si>
  <si>
    <t>Hidup tolak angin</t>
  </si>
  <si>
    <t>Dinkes Sanggau pantau lima WNI setelah pulang dari Korsel-Jepang</t>
  </si>
  <si>
    <t>When orang2 panik dgn corona. Bpk Jokowi @jokowi tingkat kepanikannya mungkin saja dua kali lebih panik dari kita org biasa. Tapi mendengar kondisi dua WNI sudah berangsur membaik. Terimakasih pemerintah dan jangan worry to much!!! 😇😇😊</t>
  </si>
  <si>
    <t>@eko_kuntadhi isis bkn islam,tapi bentukan AS</t>
  </si>
  <si>
    <t>RT @ulinyusron: 4 WNI Terjangkit Corona di Jepang Sembuh! Yeaaah</t>
  </si>
  <si>
    <t>4 WNI Positif Virus Korona di Jepang Dinyatakan Sembuh #TauCepatTanpaBatas #BeritaTerkini #International #BeritaInternasional .</t>
  </si>
  <si>
    <t>@hasmi_bakhtiar @mas__piyuuu Ngapain turki perang ama syria? Rundingan damai aja. Bukannya Assad merangin Isis ama proxy eropa di Suriah?</t>
  </si>
  <si>
    <t>Anak" isis di urus negara? Mrka dicuekin #NegriKADRUN 👇</t>
  </si>
  <si>
    <t>Kemunculan Virus Corona sejak akhir Desember 2019 lalu masih menjadi momok di penjuru dunia. . Ditambah dengan kabar positifnya 2 WNI terjangkit virus ini, membuat sebagian warga Indonesia menjadi semakin was was.…</t>
  </si>
  <si>
    <t>Empat WNI Terjangkit Korona di Diamond Princess Sembuh</t>
  </si>
  <si>
    <t>@geloraco Ini asimiliasi isis</t>
  </si>
  <si>
    <t>RT @bhre_wengker84: Alhamdulillah, Satu lagi berita bahagia, 4 WNI di Kapal Diamond Princess Sembuh dari Corona. @KemenkesRI #LawanHoaxVirusCorona Cc @Airin_NZ @RizmaWidiono @ChusnulCh__ @Lady_Zeebo @elHurryKoRn @WagimanDeep__</t>
  </si>
  <si>
    <t>RT @vivanewscom: Moeldoko: 2 WNI Kru Diamond Princess Positif Corona Dinyatakan Sembuh  #vivanews</t>
  </si>
  <si>
    <t>Alhamdulillah, Satu lagi berita bahagia, 4 WNI di Kapal Diamond Princess Sembuh dari Corona. @KemenkesRI #LawanHoaxVirusCorona Cc @Airin_NZ @RizmaWidiono @ChusnulCh__ @Lady_Zeebo @elHurryKoRn @WagimanDeep__</t>
  </si>
  <si>
    <t>#PrimeTimeNews Saat ini belum ada informasi terkait kendala penurunan 68 WNI Diamond Princess yang harusnya dijadwalkan untuk turun pada pagi tadi untuk menjalani observasi di Pulau Sebaru Kecil.</t>
  </si>
  <si>
    <t>Sekarang WNI sudah VOA ke Nepal? 🇳🇵🤔 @budy_marble @addamfarizi @sandmanindo @yovie_myg @chuentoi @MikeyAM97 @jameshandaja RT @kompascom: Visa ke Nepal dapat diurus di Konsulat Jenderal Nepal di Indonesia, berlokasi di Jakarta Selatan.</t>
  </si>
  <si>
    <t>Moeldoko: 2 WNI Kru Diamond Princess Positif Corona Dinyatakan Sembuh  #vivanews</t>
  </si>
  <si>
    <t>@wimaiswahyudi bisik ono om neng pt.lib ojok alibi virus. padahal klok otw wni</t>
  </si>
  <si>
    <t>@AliLenon1 @fadlizon realitanya yg paling berbahaya itu ISIS &amp; koruptor jauh lebih bahaya dari corona kan ?</t>
  </si>
  <si>
    <t>RT @MondyJacob: @AnakLolina Lucu ya Anak2 ISIS diperhatikan sama Pemerintah sedangkan anak2 korban Bom yg cacat seumur hidup dibiarkan</t>
  </si>
  <si>
    <t>@torelwisnu @ustadtengkuzul @mohmahfudmd @aniesbaswedan Ow kalau itu saya 50 : 50 krn ada negara lain yg mulangin ISIS tapi yg di bawah 17 tahun usia nya.. Btw ini mo ngomong masker apa ISIS sih? Bapak mo ngomonfin anies yg konsisten gitu tp bapak mencla mencle kayanya kurang pas niihh 🤣</t>
  </si>
  <si>
    <t>@AnakLolina Eits nanti dulu Ini *PEMBOHONGAN PUBLIK* Eks-ISIS? Mana bukti otentik anda sudah keluar/dikeluarkan dari ISIS? Kapan ISIS resmi bubar &amp; mana bukti deklarasinya? @jokowi @fadjroel @kaesangp ingat, jangan tempatkan bangsa &amp;amp; negri ini pada posisi beralasan dibenci internasional</t>
  </si>
  <si>
    <t>@pramuktiga @ustadtengkuzul @mohmahfudmd @aniesbaswedan bete mau pulangin TERORIS ISIS, apa sih kontribusi ISIS ke indonesia sampe mau repot² ngurusin kepulangan. mba dukung ISIS pulang? kalo iya mba ini pendukung jokowi</t>
  </si>
  <si>
    <t>@josemates2 Diberita yang saya sebar ini bahwa virus ini menular dari club malam seorang wn jepang yg menularkan kepada wni, dan 50 org ini adalah suspect belum sepenuhnya positif jadi masih diperiksa atau dikarantina</t>
  </si>
  <si>
    <t>RT @HaryaWe_: Ini gmn @tvOneNews @karniilyas kok ada bantahan? Kalo mmg betul bkn warga SAI knp di minta mewakili Warga SAI? Gmn ini @KPI_Pusat utk hal spt ini. Narasi dr narsum tsb jg sgt tdk sesuai dg kondisi di TKP lho. Apakah ini sebuah konspirasi jahat kalian?</t>
  </si>
  <si>
    <t>@CoolSadoet @AlberaD5 Karni.......!👎👎👎</t>
  </si>
  <si>
    <t>RT @CoolSadoet: TvOne kembali bikin ulah. Menghadirkan narasumber palsu dan menyebarkan informasi sesat. Benar benar tak punya etika jurnalistik. Demi sensasi dan mengejar rating menghalalkan segala cara. #TVOne #ILCCoronadiIndonesia #sesat</t>
  </si>
  <si>
    <t>@pramuktiga @ustadtengkuzul @mohmahfudmd @aniesbaswedan gw lg ga suka jokowi gara² mau mulangin teroris ISIS.</t>
  </si>
  <si>
    <t>@AlvinoLulu @Darmalik3 @mohmahfudmd @jokowi @cintada17 Sepertinya pemerintah punya tujuan lain, pembiaran segerombolan manusia ber IQ rendah dijogja yg merasa dizolimi, pernyataan MUI yg blg Bahaya Kristeninasi, dan pemulangan anak2 ISIS.</t>
  </si>
  <si>
    <t>Total 5 WNI Sembuh dari Corona: 1 di Singapura, 4 di Jepang</t>
  </si>
  <si>
    <t>@idri_su Cuk kok isis i lho 🤣</t>
  </si>
  <si>
    <t>Hai SohIB! Saat ini pemerintah sdg mengevakuasi 188 WNI ABK kapal pesiar World Dream di P. Sebaru Kecil 🏝️ Seperti apa prosesnya? #IndonesiaBaik #YangMudaSukaData #Infografis #ProgramPemerintah #VirusCorona #Covid19 @setkabgoid @antaranews</t>
  </si>
  <si>
    <t>@arjuno_ireng01 Tapi sayang masih banyak yg teriak2 rasis anti cina. Padahal mereka WNI yg cinta Indonesia. Perduli dgn negerinya.</t>
  </si>
  <si>
    <t>RT @Dahnilanzar: Pak @prabowo mengecek kelayakan dan kondisi pangkalan militer yg menjadi tempat observasi 238 WNI dari Wuhan. Beliau ingin berinteraksi langsung.Namun, mhn maaf krn protap terkait masa observasi beliau dilarang kontak langsung. Dan memberikan semangat dari dalam Bus.</t>
  </si>
  <si>
    <t>RT @KompasTV: Menteri Pertahanan @prabowo meminta maaf kepada 237 WNI karena tidak dapat berinteraksi langsung dengan mereka ketika mengunjungi lokasi observasi di Natuna, Kepulauan Riau, Rabu (5/1/2020). Baca selengkapnya di</t>
  </si>
  <si>
    <t>Karena itu, sejumlah langkah lanjutan tengah dilakukan untuk menindaklanjuti dua warga negara Indonesia (WNI) yang telah dinyatakan positif virus korona. “Pemerintah melakukan upaya maksimal untuk mencegah agar jangan sampai titik awal penularan ini melu…</t>
  </si>
  <si>
    <t>@MaralatuIrfan Muka muka lah si kaya pengikut isis</t>
  </si>
  <si>
    <t>RT @jojo_botak: 4 WNI Terjangkit Corona di Jepang Sembuh!</t>
  </si>
  <si>
    <t>4 WNI Terjangkit Corona di Jepang Sembuh!</t>
  </si>
  <si>
    <t>@putroand Itu makanya gua tulis "stay safe everyone" itu tandanya gua care, dan lebih baik mencegah daripada mengobati, saya hanya memberi tahu dan memperingati dan skrng sudah jelas ada wni yg terjangkit dan wni tersrbut sedang di club malam bersama orang jepang ini, silahkan dicek</t>
  </si>
  <si>
    <t>@BirgaldoS @jokowi @mohmahfudmd Emang bisa hati mereka tersentuh? ... kenyataannya, anak2 ISIS calon teroris masa depan lebih menyentuh hati mereka</t>
  </si>
  <si>
    <t>RT @Metro_TV: #MetroHariIni 69 WNI awak kapal Diamond Princess telah tiba di Pulau Sebaru Kecil untuk menjalani observasi. Namun dari 69 WNI hanya 68 orang yang diturunkan, sementara seorang WNI tertahan di KRI dr. Soeharso karena adanya keluhan batuk dan harus kembali menjalani tes kesehatan.</t>
  </si>
  <si>
    <t>RT @IdEmbassy_Seoul: Bagi semua WNI yang berada di Korsel, mari kita tetap tenang dan meningkatkan kewaspadaan. Jangan khawatir, jumlah masker masih mencukupi. Jika dalam keadaan darurat, silakan menghubungi hotline berikut:</t>
  </si>
  <si>
    <t>@premchoudhary_ @ZeeNewsHindi Tu kya head h isis ka jo tujhe sb pta h</t>
  </si>
  <si>
    <t>RT @kompascom: Menteri Kesehatan Terawan Agus Putranto menyebut dua orang warga negara Indonesia yang positif virus corona tinggal di wilayah Depok, Jawa Barat.</t>
  </si>
  <si>
    <t>RT @KemenkesRI: Perlu dilakukan penyelarasan pemahaman mengenai terminologi orang dalam pemantauan. Orang dalam pemantauan adalah semua orang yg masuk ke Indonesia baik itu WNI maupun WNA dari negara yg sudah terjadi penularan dari manusia ke manusia. #WaspadaCOVID19 #StopPanikLawanCorona</t>
  </si>
  <si>
    <t>@AlissaWahid sy ini sbnrnya bgian dr mana? gak tau NU dan MU apa lg ISIS yg sy tau dr dlu hdup brtetngga ada yg muslim,kristen dan hindu.beli mas ttp k org budha bs jd jg konghucu(china).tp yg pnting nyaman ,tenang bs mkan dngn hlall.dosa/pahala bkan golongan yg nanggung...</t>
  </si>
  <si>
    <t>Gue tantang pendukung ISIS, Hizbut Tahrir dan kelompok teroris anti pancasila lainnya untuk menyebutkan 1 hal saja, bahwa Islam ditindas di negara Republik Indonesia. Kalau ada yang bisa, gue kasih duit..</t>
  </si>
  <si>
    <t>RT @iina_surbakti: 4 WNI Terjangkit Corona di Jepang Telah Sembuh! Alhamdulillah puji syukur 🇮🇩🤲🇮🇩 #SemangatIndonesia @ruhulmaani @caknur14 @fajar_istan @zlametabidin @StellaSuwardi</t>
  </si>
  <si>
    <t>RT @DODDI_F: Anies umumkan ANTISIPASI DINI thd ancaman virus corona bagi warganya, MEREKA TERIAKIN ANIES SEBARKAN JOAX DAN KEPANIKAN. Jokowi umumkan 2 orang WNI positif yg terkena virus CORONA, MEREKA JUGA YG PANIK, BORONG MASKER, RUSH BAHAN MAKANAN. Nyali mereka di BACOT doang 😎</t>
  </si>
  <si>
    <t>#InfoGenWaniPooll Presiden Joko Widodo menyatakan, ada 50 juta stok masker di Indonesia pasca-kasus 2 WNI positif Virus Corona. Sejumlah pemerintah daerah juga meminta warganya tidak panik memborong masker, karena alat kesehatan ini dianjurkan untuk yang sakit.</t>
  </si>
  <si>
    <t>@narkosun @KakekHalal ISIS memang kejam...bisanya mengadu domba bahkan membunuh!</t>
  </si>
  <si>
    <t>@maman1965 Sedih, marah tapi gak bisa berbuat apa-apa. WNI yang ada di luar negeri saja terkena covid langsung dilindungi identitasnya. 😭</t>
  </si>
  <si>
    <t>RT @aiek_esthreem__: #RezimJKWPembohong Natalius Pigai maklum &amp; tak salahkan Saudi yg tolak WNI umrah efek dari virus corona “Umat Allah tdk bisa Ibadah bkn salah Arab Saudi. Tp Dunia Internasional ragu dgn kredibilitas Pemimpin Indonesia yg suka bohong" Jgn suka BOHONG😎</t>
  </si>
  <si>
    <t>Lima WNI Terjebak di Zona Merah Wabah Corona Italia</t>
  </si>
  <si>
    <t>@SidrahDP @shahid_siddiqui ISIS, Al-Quida, Bin Laden, Dood brahim Aurangazeb, asim Gazvi(Telangana), Kusab Guzmal, Gufzal kuru, kakub kemam, et.c etc., etc., Duran Duni, etc., etc., all peaceful 🤣🤣🤣🤣🤣🤣🤣🤣🤣🤣🤣🤣🤣🤣🤣🤣🤣😂😂😂😂😂😂😂😂😂😂😂😂😂😂😂😂😆😆😆😆😆😆😆😆😆😆😆😆😆😆😆😆😆😆😆😆😆😆😆</t>
  </si>
  <si>
    <t>68 WNI Kru Diamond Princess Diturunkan ke Pulau Sebaru, 1 Orang Masih Dicek #TauCepatTanpaBatas #BeritaTerkini #Berita #News #BeritaNasional .</t>
  </si>
  <si>
    <t>Sebanyak 69 WNI ABK Diamond Princess dikarantina hari ini Namun, terdapat satu ABK menunjukkan indikasi terserang virus corona (Covid-19) "Masih ada satu yg kami tahan di kapal. Karena dia mengeluh batuk," ujar Yurianto</t>
  </si>
  <si>
    <t>Hi #Lur,. Simak informasi berikut ya #Lur dari @kemenkominfo Hai, #Sobatkom! Sudah dengar kabar mengenai dua WNI yang positif terkena virus corona? Tetap tenang, jangan panik. Selalu cari informasi dari sumber resmi agar tidak termakan hoaks, ya. .</t>
  </si>
  <si>
    <t>RT @anwar_suprijadi: @Handoko75161314 @Ndrews1162011 @__MV_llestari__ @jokowi Misal... RI 1 berani ngomong begitu...trus separo WNI bisa Imigrasi besar2an dong!! RI jadi sepi dong!! 😂😁😂</t>
  </si>
  <si>
    <t>@Handoko75161314 @Ndrews1162011 @__MV_llestari__ @jokowi Misal... RI 1 berani ngomong begitu...trus separo WNI bisa Imigrasi besar2an dong!! RI jadi sepi dong!! 😂😁😂</t>
  </si>
  <si>
    <t>Sigit BNPT: pemerintah sudah bulat tidak akan memulangkan eks ISIS asal Indonesia. #SeekingTheImam</t>
  </si>
  <si>
    <t>Dua WNI Terpapar Virus Corona, Gus Hans: Kenapa Harus Panik</t>
  </si>
  <si>
    <t>RT @BentenkNKRI: Gak semua WNI keturunan yg mengambil kesempatan dlm kesempitan. Ini salah satu contoh dan saya yakin, msh banyak orang2 yg idealis. Gbu Cik</t>
  </si>
  <si>
    <t>@AnakLolina Kelak jika ada yg mati karena bom atau perang di negeri ini jangan salahkan isis, salahkan yg memulangkan teroris tersebut Benerkan pak @jokowi dan pak @mohmahfudmd ? Dan mulai skrg kami hrs siap2 dgn sgl kemungkinan buruk yg trjd trhdp anak dan cucu kami😥😥😖</t>
  </si>
  <si>
    <t>Berita lama tp bikin emosi, E bangke! Loe kira mrk tamu kehormatan pk disambut segala? Ngeheq!!! 😡😡😡</t>
  </si>
  <si>
    <t>RT @kompascom: Kedua mahasiswa itu telah mengumpulkan masker sebelum Presiden Jokowi mengumumkan dua WNI terkena virus corona, Senin (2/3/2020) lalu.</t>
  </si>
  <si>
    <t>RT @Bsuworo: @wahhabicc_jabar Pemerintah Pusat rupanya nekat mau memulangkan anak2 ISIS ex WNI. Ingat: ANAK KAMBING TIDAK AKAN MENJADI ANAK HARIMAU. ANAK HARIMAU TETAP AKAN MENJADI HARIMAU. Deradikalisasi di Indonesia belum sepenuhnya berhasil. Mohon perhatian bapak @jokowi bapak @mohmahfudmd</t>
  </si>
  <si>
    <t>RT @mediaindonesia: Berdasarkan data World Health Organization (WHO) empat negara yang mengalami peningkatan kasus virus korona yakni Iran, Jepang, Korea Selatan, dan Italia.</t>
  </si>
  <si>
    <t>RT @Metro_TV: #MetroSiang RSPI Sulianto Saroso memilki pos screening 24 jam yang bisa didatangi oleh seluruh WNI dan WNA yang ingin mengecek kesehatan dirinya terkait Covid-19. Sejak pertama kali dibuka hingga saat ini sudah ada 451 warga yang memeriksakan diri.</t>
  </si>
  <si>
    <t>Gak semua WNI keturunan yg mengambil kesempatan dlm kesempitan. Ini salah satu contoh dan saya yakin, msh banyak orang2 yg idealis. Gbu Cik RT @herlambang_tan: COPAS WAG Di Teluk Gong Jkt -- Pedagang Grosir Kecil Sembako ini tidak jual kpd yg MAMPU wlau dibayar MAHAL, dia cm layani langganan warung kecil dan org yg kurang MAMPU dgn harga NORMAL tidak naik harga. FYI ANETU ga mahir Hokkian #HumanityFirst</t>
  </si>
  <si>
    <t>sell ISIS emang banyak pura-pura tidur... RT @tempodotco: Renovasi Gereja Santo Joseph Kabupaten Karimun ditolak sejumlah kelompok masyarakat. Salah satu penggerak unjuk rasa adalah anggota DPRD dari Partai Gerindra. Majalah Tempo edisi terkini.</t>
  </si>
  <si>
    <t>Ouw Tidakkkk Bibit2 unggul kehancuran Akan Datang !!! . Salahkah Jika kita menolaknya ?</t>
  </si>
  <si>
    <t>@abis_fulani Akwae matsalafa wayan nan dattawan sun fara shige gona da iri 😕 kna cikin love da yar babynka Boom sai kaji wni baba daga gefe yakai kudi</t>
  </si>
  <si>
    <t>RT @sanaasadi138: Be careful Dear Hindu Brthrs and Sistrs, Hinduism Ka naam Lekar RSS ke log Desh me Terrorism Pheila rhe hain Bilkul ISIS ki tarha jo Islam ka naam lekar Terror pehlate hain .. #Hindus_Under_Attack #SpeakAgainst #Hindutwa #Terrorism</t>
  </si>
  <si>
    <t>4 WNI Terjangkit Corona di Jepang Telah Sembuh! Alhamdulillah puji syukur 🇮🇩🤲🇮🇩 #SemangatIndonesia @ruhulmaani @caknur14 @fajar_istan @zlametabidin @StellaSuwardi</t>
  </si>
  <si>
    <t>RT @republikaonline: Hingga saat ini, mereka masih diisolasi di RS tersebut.</t>
  </si>
  <si>
    <t>RT @ruangobrol_id: Dania, returnee ISIS dan karakter film #SeekingTheImam mengawali sesi diskusi.</t>
  </si>
  <si>
    <t>RT @ruangobrol_id: "Mereka (ISIS) mengorupsi ayat-ayat alquran untuk kepentingan mereka. Maka kita harus mempelajari ayat-ayat alquran secara mendalam agar tidak tertipu"-Dania. #SeekingTheImam #isis</t>
  </si>
  <si>
    <t>Kedua mahasiswa itu telah mengumpulkan masker sebelum Presiden Jokowi mengumumkan dua WNI terkena virus corona, Senin (2/3/2020) lalu.</t>
  </si>
  <si>
    <t>@KSogemaking Betul ma.. Anak2 eks isis kan baru plang jihat.. Tpi anak2 timur tdk diperhatikan.. Saya perna bertugas di salah satu RS besar di Timur dan perna merasakan ICU karena DBD.. byk staf RS yg kena DBD karena over kapasitas kerja ditengah tenaga yg kurang di timur.</t>
  </si>
  <si>
    <t>RT @ruangobrol_id: "Jangan sampai ada yang tertipu ISIS lagi"-Dania di film #SeekingTheImam.</t>
  </si>
  <si>
    <t>Hingga saat ini, mereka masih diisolasi di RS tersebut.</t>
  </si>
  <si>
    <t>RT @just4WINmyHope: Point breaking News Kompastv wawancara MenKes Terawan: - 2 WNI yg positif ada di RS Saroso jakarta di gedung isolasi..berbeda dengan gedung lain. - Kondisinya sehat..tidak demam dan berkomunikasi dengan baik. - Terkena dr teman dekatnya yg merupakan WNI Jepang saat dansa ..cont</t>
  </si>
  <si>
    <t>RT @didin_amagai: @febrinapuus @noovi_a @tattoores @KemenkesRI Semoga bisa jadi pembanding apakah betul kita mampu mendeteksi ?</t>
  </si>
  <si>
    <t>Siapa hayo yg bilang indonesia kebal corona?🙄 Ternyata udah ada 2 kasus!! Menkes mengkonfirmasi 2 WNI positif corona. Keduanya ibu(64) dan anak(31)mereka warga Depok,Jawa Barat Diduga mereka tertular warga negara Jepang🇯🇵</t>
  </si>
  <si>
    <t>Sigit BNPT: sangat mungkin eks ISIS yg masih di Suriah pulang sendiri. Karena manusia pada dasarnya punya kemampuan survive. Yang paling memungkinkan lewat jalur laut. Ini yg diwaspadai pemerintah. #SeekingTheImam</t>
  </si>
  <si>
    <t>Sigit BNPT: bedanya dg yang ratusan sekarang, 18 orang yang dijemput dulu berusaha keluar sendiri dari wilayah ISIS dan bertemu ICRC. Mereka melakukan diplomasi sampai pemerintah Indonesia menjemput. #SeekingTheImam</t>
  </si>
  <si>
    <t>@rosyidhakiim: returnees seperti Dania yang sudah pernah ke sana dan merasakan ternyata di sana tak seperti propaganda ISIS. Sehingga mereka kapok ikut atau ke sana lagi. #SeekingTheImam</t>
  </si>
  <si>
    <t>@rosyidhakiim: kami melakukan observasi di online dan offline kepada mereka yg berisiko tterjerat propaganda ISIS. Terutama di online kami meneliti narasi-narasi yang mereka gunakan agar bisa mendeteksi. Karena dorongan untuk ke sana masih sangat banyak. #SeekingTheImam</t>
  </si>
  <si>
    <t>Masyarakat langsung berbondong-bondong membeli bahan pangan alias panic buying usai pemerintah mengonfirmasi adanya WNI terpapar virus corona.</t>
  </si>
  <si>
    <t>RT @wahhabicc_jabar: Coba dicek pak kebenaran berita ini! @Kemendikbud_RI @PolhukamRI Biar diurus! Gak mulangin anak isis!</t>
  </si>
  <si>
    <t>Empat WNI Positif Corona di Jepang Dinyatakan Sembuh</t>
  </si>
  <si>
    <t>Masker Mendadak Langka di Banda Aceh Sejak Ada 2 WNI Positif Korona #TauCepatTanpaBatas #BeritaTerkini #BeritaDaerah .</t>
  </si>
  <si>
    <t>RT @danrem: @zoelfick Saya kira ybs perlu piknik ke Suriah dan Irak utk merasakan bagaimana kilafah ISIS menghancurkan kedua negeri.</t>
  </si>
  <si>
    <t>1. Sebelum thread ini mimin mulai, silahkan cek dulu artikel @eradotid tentang awal mula kenapa dua WNI ini bisa tertular virus COVID-19 di Jakarta.</t>
  </si>
  <si>
    <t>RT @FaGtng: Cc. @kaesangp @Chilli_Pari Tolong sampaikan via telepon pada bapak.. Pendukung Garis keras @jokowi MENOLAK ANAK ISIS pulang ke Indonesia !! Sekali lagi, MENOLAK !!! Thank's bang @P3nj3l4j4h_id 🙏🇲🇨👍🏻</t>
  </si>
  <si>
    <t>@ThereseClaire_ @ribs_breakfast @AmerEurope Ya lawan ISIS itu mbak tapi ya nimbulin korban sipil juga to. Tapi yg aneh ya itu sama" lawan ISIS kok Qassem dibunuh ya. Baiknya bubarin military bases terutama yg NATO kerjaannya buat Warga sipil sampai veterannya sendiri stress.</t>
  </si>
  <si>
    <t>Menyambut? NAJIS TEUING!!😡</t>
  </si>
  <si>
    <t>69 WNI ABK Diamond Princess Senam di KRI Soeharso</t>
  </si>
  <si>
    <t>@wahhabicc_jabar Gegara ISIS anjeng. Pen ngomong yg kasar sekasar kasarnya.</t>
  </si>
  <si>
    <t>Welcome home alumni pondok ISIS. Selamat datang ke tanah air para calon bomber, kandidat jihadis dan kader pilihan umat kadrun 💝 Semoga ilmu bantai-membantai yg didapat dari Suriah bisa diterapkan, agar cita2 mendirikan Indonistan Berkhilafah bisa terwujud. Ea ea ea !!! RT @wahhabicc_jabar: Jelang Pemulangan Anak² eks ISIS Pemerintah Minta Masy Menyambut. Ooooo.. Siapkan karpet merah! Bentangkan tulisan اهلا وسهلا ياداعش Welcome jgn ketinggalan! Umbul² berwarna pasang distiap pelosok! Grup Drumband dipersiapkn! Gitu Cukup? #HinaKhan ?</t>
  </si>
  <si>
    <t>Nailah berharap pemerintah bisa memberi kesempatan kedua kepada eks ISIS yang masih berada di pengungsian, di Suriah. Karena tidak semua ikut karena berdasarkan alasan ideologis. "Ada yang bergabung ke ISIS cuma biar dapat apartemen gratis", kata Nailah. #SeekingTheImam #ISIS</t>
  </si>
  <si>
    <t>@mistercebong @Salim_Semm Belum berkuasa tetap aja ISIS menindas, apalagi mau tegak di penjuru dunia .... ga kebayang</t>
  </si>
  <si>
    <t>Identitas Tersebar, Aming Takut WNI Terjangkit Corona Dapat Stigma Negatif Dari Masyarakat</t>
  </si>
  <si>
    <t>RT @Pink_Cyber008: Indonesia bebas Corona karena doa,karena ngk tahan dengan suhu tropis dan karena ras melayu. Halah Tukang bohong dipercaya.. Mentri sama pemimpinnya sama2 tukang bual.. #VirusCorona #VirusCoronaindonesia</t>
  </si>
  <si>
    <t>RT @Wilson_P535: Saya juga menolak ISIS eks WNI pulang, pak @mohmahfudmd</t>
  </si>
  <si>
    <t>"Sampai di Suriah segalanya tidak seperti yang dijanjikan ISIS. Kata mereka, 'ngapain kami memenuhi janji ke kamu. Keluarga lelakimu tidak ikut berjuang dengan kami'."-Nailah. #SeekingTheImam #ISIS #daretoshare</t>
  </si>
  <si>
    <t>@kompascom Bentar lg berita baru judulnya " tanggapan ayah ayu tingting terkait anaknya yang kaget mendengar dua WNI yg positif virus corona tinggal di depok "</t>
  </si>
  <si>
    <t>BERTAMBAH, 8 WNI SUSPECT CORONA..❗#RezimTutupiCorona....kenapa harus di tutupi ya...itulah kalau gaul dgn negara Komunis RSPI Sulianti Saroso mengisolasi enam orang suspect baru virus corona mengalami gejala demam dan batuk. 🇮🇩🌏🌡🔍🔬🏥🚑✈</t>
  </si>
  <si>
    <t>@fery0052 @BKNgoid Tapi status mrka WNI atau WNA ??</t>
  </si>
  <si>
    <t>Hari ini (4/3) sekitar pukul delapan pagi, 69 WNI Kapal Diamond Princess dan tim penjemput akan tiba di Pulau Sebaru Kecil untuk memulai proses observasi selama 14 hari. DUL . #Observasi #DiamondPrincess #Korona #SebaruKecil #Coronavirus #SeputariNewsPagi #SeputariNewsRCTI</t>
  </si>
  <si>
    <t>@JoniSukaPaha Teriak2 khilafah tapi ga berangkat gabung sama isis. Yg udh gabung sama isis nangis2 minta tolong. Stok org bego pendukung khilafah begini hrsnya dienyahkan dr Indonesia!</t>
  </si>
  <si>
    <t>WNI positif virus corona sempat bersama WN Jepang di klub dansa, Presiden minta privasi pasien dilindungi</t>
  </si>
  <si>
    <t>RT @cagubnyinyir2: 2 warga Depok, positif terjangkit Virus Corona Covid-19, "SUDAH dalam kondisi baik". SUDAH Bisa pulang, Meski begitu akan dirawat selama 5 hari ke depan, ibu (64) &amp; putrinya (31) dirawat di RS Dr Sulianti Saroso.  @Nunung35Aza @USutendi @Adipugar3 @Bnie18</t>
  </si>
  <si>
    <t>@JoniSukaPaha Enak aja jual2 atas nma Ummat Islam, dasar penganut faham ISIS,.</t>
  </si>
  <si>
    <t>RT @saifaliebahri_: @wahhabicc_jabar Ini buktinya Gus, janji ISIS dibawah naungan khilafah.</t>
  </si>
  <si>
    <t>@wisanggeni_084 @jokowi @mohmahfudmd @DivHumas_Polri @kratonjogja generasi isis</t>
  </si>
  <si>
    <t>Presiden Jokowi Imbau Lindungi Hak Pribadi WNI yang Positif Terinfeksi Virus Corona</t>
  </si>
  <si>
    <t>"Diskusi dan komunikasi dalam keluarga harus aktif. Karena komunikasi di keluarga yang kurang jadi celah propaganda ISIS di media sosial"-Dania. #SeekingTheImam #daretoshare #ISIS</t>
  </si>
  <si>
    <t>RT @wahhabicc_jabar: @P3nj3l4j4h_id @mohmahfudmd @jokowi @Chilli_Pari Gelar tiker merah bro! TUK NYAMBUT ANAK² ISIS #tolakpulangkankombatanisis CAPEK!</t>
  </si>
  <si>
    <t>Pascapengumuman dua Warga Negara Indonesia (WNI) positif virus korona atau Covid-19 penjualan jamu tradisional di Kabupaten Kulonprogo, Yogyakarta, naik pesat.</t>
  </si>
  <si>
    <t>@Qshareina @armanhermawan3 @do_ra_dong Orang tiongkok disini sudah jd WNI. Mereka juga orng indonesia. Gag ada hubunganya dgn WN jepang</t>
  </si>
  <si>
    <t>Dua WNI terinfeksi virus corona warga berbondong-bondong menyerbu supermarket, ritel, hingga apotek. Fenomena panic buying terjadi di Jakarta,Pontianak, dan Kalimantan Barat. ~ Khusus yg kaya yg takut mati kelaparan. Kita orang kampung tetap enjoy 😁. #StopPanikLawanCorona</t>
  </si>
  <si>
    <t>"Mereka (ISIS) mengorupsi ayat-ayat alquran untuk kepentingan mereka. Maka kita harus mempelajari ayat-ayat alquran secara mendalam agar tidak tertipu"-Dania. #SeekingTheImam #isis</t>
  </si>
  <si>
    <t>RT @Julia_Zeed: Masyarakat Daerah mana yg siap Nampung Anak2 ISIS? 😆 Yang Nerima Berarti Pro ISIS Ternyata Pemerintah kita Pro ISIS gaeessss 🤭</t>
  </si>
  <si>
    <t>@ariasarlito Waktu tahun 2018 ketika masih perlu buat LOI untuk visa ke sana, tidak perlh sertifikat yellow fever semacamnya. Ini saya screencap dari halaman IATA, WNI bebas visa 30 hari ke Kazakhstan</t>
  </si>
  <si>
    <t>68 WNI ABK Diamond Princess Hari Ini Diturunkan ke Pulau Sebaru, Satu Masih Ditahan</t>
  </si>
  <si>
    <t>Update #Covid-19 di Thailand per-4 Maret 2020. Tidak ada kasus baru, jumlah kasus terkonfirmasi masih sebanyak 43 orang, 31 diantaranya dinyatakan sembuh, 11 di rumah sakit dan 1 orang meninggal dunia. WNI di Thailand untuk selalu jaga kesehatan. #Inidiplomasi #negaramelindungi</t>
  </si>
  <si>
    <t>@Fuzailhkhan @snigdharavi221 Jihadi terrorist ISIS</t>
  </si>
  <si>
    <t>Dania, returnee ISIS dan karakter film #SeekingTheImam mengawali sesi diskusi.</t>
  </si>
  <si>
    <t>@P3nj3l4j4h_id @mohmahfudmd @jokowi @Chilli_Pari Ywdh identitas lengkap Anak Isis diberitahu biar disambut.</t>
  </si>
  <si>
    <t>@anggorosabdo @LuqmanBeeNKRI @noeruzzaman @caknarto Jangan2 wilayah ini sdh jadi bagian dari ISIS</t>
  </si>
  <si>
    <t>@Pakistaaniii @peaceforchange @afzalkhan_bk He was ex DG isis Lt Gen Naveed Mukhtar</t>
  </si>
  <si>
    <t>RT @Ngaclog: @opposite6890 Catat....2 WNI yang terkena virus itu bukan karena terdeteksi oleh tenaga atau alat kesehatan....tapi karena ada yang kasih informasi via telefone</t>
  </si>
  <si>
    <t>RT @KompasTV: Kontak dengan WN Singapura yang Positif Corona, 9 WNI Jalani Observasi di Batam</t>
  </si>
  <si>
    <t>WNI tdk akan panik bila dr awal : 1. Pemerintah jujur atas ketidaksiapan sarana, prasarana &amp; SDM utk cegah corona. 2. Jujur bahwa cash flow atasi corona blm standbye. 3. Fokus utk memantau transmisi &amp;amp; antisipasi corona yg sdh mewabah dunia dlm segala aspek jika msk ke Indonesia. RT @merdekadotcom: Paham Tak Bisa Larang Kepanikan, Menteri Erick Yakinkan Stok Makanan Aman</t>
  </si>
  <si>
    <t>@sarju2170 @QSriwijaya @ustadtengkuzul HTI sdh dinyatakan sebagai paham radikal dan terlarang itu FIXED, dan sebagai WNI kita hargai dan patuh kpd keputusan pemerintah, tp kalo ada yg Demam Panas sama Bendera Tauhid mngkin ngopi nya kurang jauh, mending belajar ke pesantren terdekat..</t>
  </si>
  <si>
    <t>RT @mazzini_gsp: Bagus sih melarang WNI ke 12 kota di Italy, tapi lebih bagus lagi pemerintah buat travel warning juga biar wisatawan asing gak dateng dulu ke Indonesia. Lagian jumlah WNI yang bakal ke Italy gak banyak, mungkin cuma kalangan masyarakat ekonomi tertentu.</t>
  </si>
  <si>
    <t>2 WNI Positif Corona, 5 Mahasiswa di Serang Yang Pulang Dari Tiongkok Dipantau</t>
  </si>
  <si>
    <t>RT @jawapos: Hoax 1.000 Tiket Pemulangan Gratis untuk WNI di LN karena Virus Korona</t>
  </si>
  <si>
    <t>Jaga Kesehatan Mental Para WNI ABK Diamond Princess, KRI dr. Soeharso-990 Berikan Pendampingan Psikologis Selain kondisi kesehatan fisik ke-69 WNI sebagai ABK Diamond Princess menjadi perhatian utama selama berada di KRI dr. Soeharso-990</t>
  </si>
  <si>
    <t>Sebanyak 84 orang, meliputi warga negara asing (WNA) dan warga negara Indonesia (WNI), yang sebelumnya sempat diobservasi setelah pulang dari negara yang terdapat pasien postif virus corona (Covid-19), dinyatakan negatif dari virus corona.</t>
  </si>
  <si>
    <t>RT @Metro_TV: #MetroSiang Pemerintah meminta masyarakat tidak perlu panik dengan terdeteksinya WNI positif Corona. Masyarakat diimbau tidak perlu melakukan aksi borong sembako &amp; obat-obatan, karena pemerintah menjamin ketersediaannya.</t>
  </si>
  <si>
    <t>Banyak yg menyarankan ORANG SEHAT gk perlu masker (Setuju bgt)...hlaa tapi KONYOLNYA yg berpenyakitan gk ada yg mendeteksi... Semua bebas masuk NKRI termasuk yg dari agen CORONA kecuali WNI eks ISIS. #aneh #StopPanikLawanCorona #CoronaVirusIndonesia Masker</t>
  </si>
  <si>
    <t>Org yg panik memanfaatkan keadaan dg stok brg berlebihan, klo kaum santuyy yg pntg hari ini bsa mkan. Lebih panik saat denger khabar Penjemputan ank" eks WNI yg pro ISIS drpd kasus COVID-19. 🤪 Pejabat publik yg pntg memberikan informasi yg akurat jgn ditutup"i. 🙏 RT @DjanChoek: @ShyaReepah Kan gak semua bisa santuy, gak bisa juga menyalahkan yg panikan, setiap pribadi punya gradenya masing2. Pejabat publik harusnya bisa baca keadaan ini.</t>
  </si>
  <si>
    <t>@FabihaSays Ypg bna h kia tu isis bi tu bna gi😂</t>
  </si>
  <si>
    <t>@RickyVSim @mas__piyuuu Harus dicari tau sebabnya. Ada org mati 1 aja polisi selidiki masa iya WNI mati sebyk itu gak ada timdak lanjut nya? di otak lu takut bner jkw yg disalahkan 😁kagum boleh bego jgn</t>
  </si>
  <si>
    <t>RT @Azzarenkagabril: Anak2 exs ISIS pulang mau di sambut.. indonesia emang beda..lain dr yg lain.. Bnyak mantan atlet yg pernah mengharumkan bangsa mantan pejuang hidupnya terlunta2 tnpa ada apresiasi dr pemerintah...eh ini jelas2 anak dr pengkhinat bangsa kok mau di sambut. Yg pas itu di SAMBIT</t>
  </si>
  <si>
    <t>RT @KatolikG: Dengan terkonfirmasinya 2 WNI yg terkena Virus Corona Apakah dalam prosesi Jumat Agung nanti, acara cium salib tetap ada? Masalahnya tdk bisa diganti mencium sebelahmu, Jadi tetap ada dengan membawa salib sendiri sendiri atau cukup menunduk berlutut didepan salib. Menurutmu?</t>
  </si>
  <si>
    <t>RT @humasjateng: Terkait 2 WNI positif virus corona, Gubernur @ganjarpranowo imbau warga tak panik dan tetap beraktivitas. Pelajari penyebaran dan pencegahannya. “Jika flu dan demam, segera periksa ke fasilitas kesehatan. Semoga seluruh rakyat negeri ini diberi kesehatan oleh Allah SWT. Amin."</t>
  </si>
  <si>
    <t>Anak2 exs ISIS pulang mau di sambut.. indonesia emang beda..lain dr yg lain.. Bnyak mantan atlet yg pernah mengharumkan bangsa mantan pejuang hidupnya terlunta2 tnpa ada apresiasi dr pemerintah...eh ini jelas2 anak dr pengkhinat bangsa kok mau di sambut. Yg pas itu di SAMBIT</t>
  </si>
  <si>
    <t>Pemerintah akan evakuasi WNI ABK World Dream ke Pulau Sebaru #indonesia #nkri #evakuasi #wni</t>
  </si>
  <si>
    <t>RT @R3sta_305: Kementrian kesehatan beralasan pengujian tdk dilakukan karna alatnya mahal..tuk Reagen ditaksir dgn harga 1M #RezimTutupiCorona BuzzerRp 72M..? #RezimTutupiCorona Terungkap, Ternyata 238 WNI Yang Dipulangkan Dari Wuhan Tak Dites Virus Corona</t>
  </si>
  <si>
    <t>RT @SyaifulHooda: Saya turut prihatin, atas positifnya 2 WNI terinfeksi #CoronaVirusIndonesia. Berikut pernyataan saya menjawab beberapa pertanyaan wartawan, sore tadi, 2/3/2020: @cakimiNOW @DPP_PKB @Kemendikbud_RI</t>
  </si>
  <si>
    <t>@detikcom Ada yg tau nama WNI di Singapore yg kmaren dirawat krn Corona ?? Negara lain aja jaga privasi Warga kita .. disini pemimpin sendiri yang bocorin ... tega nya ...</t>
  </si>
  <si>
    <t>Suspect Corona dong WNI dr balikpapan yg abis liburan dr korsel</t>
  </si>
  <si>
    <t>Nanti kalo 2 wni yang kena corona sembuh, terus RI bebas corona makan sendiri ya itu masker dan hand sanitizer yg nimbun segudang buat dijual mahal, meninggal mayatnya dimandiin pake hand sanitizer aja terus dimaskerin gausa pake kain kafan mantep gatuh 🥂</t>
  </si>
  <si>
    <t>RT @jesswjk: Wow, so here’s how you can get your children dijamin negara. Just go be terrorist utk ISIS, nanti mereka dipulangin dan ditanggung sampe gede. Profit!!!</t>
  </si>
  <si>
    <t>@NgkongRoses Hermank juga liat yg beginian🤦🏻‍♀️ Apa gak melihat negara di Suriah yg porak poranda gegara ISIS?</t>
  </si>
  <si>
    <t>@adangsutisna5 Itu yg juga bikin aku gedegnya. Gak cak cek. Harusnya sudah menyiapkan hal2 begini sejak datengnya WNI dari Wuhan. Siapkan sistem informasi sebelom kejadian.</t>
  </si>
  <si>
    <t>@Apw2207 WNI berdomisili di Indonesia Pengajuan akan diproses selama 14 – 21 hari kerja. Besarnya plafon pinjaman yaitu minimal Rp 5.000.000 – Rp 100.000.000 dengan pilihan tenor 1 tahun (bunga 1.00% flat per bulan ), 2 tahun (1.03% flat per bulan ), dan 3 (6/9) ^Dyan</t>
  </si>
  <si>
    <t>@Apw2207 II/Skorsing -Dokumen yang dibutuhkan seperti: KTP, Slip gaji /Surat Keterangan Perusahaan, Paspor BCA dan NPWP (khusus pengajuan mulai dari Rp 50 juta) -Status Kewarganegaraan WNI berdomisili di Indonesia - Untuk Wiraswasta atau Profesional (3/9) ^Dyan</t>
  </si>
  <si>
    <t>Hoax 1.000 Tiket Pemulangan Gratis untuk WNI di LN karena Virus Korona</t>
  </si>
  <si>
    <t>pen main ini tapi nama-nama ex-wni yang jadi anggota isis RT @debrisumule: snaps is the name of the game 🙊✨</t>
  </si>
  <si>
    <t>"Jokowi umumkan 2 WNI positif corona" kasian pak jokowi dibilang binatang sama orang kek gini, yg sabar ya pak joko RT @Dennysiregar7: Banyak daerah wisata di Indo, sepi turis kena dampak Corona. Ekonomi anjlok, ribuan orang hilang pendapatan. @jokowi kucurkan ratusan M rupiah utk diskon tiket &amp; byr influencer luar spy terus promo wisata. Eh, ada org dgn teganya sibuk sebarkan isu Corona. Itu jelas2 binatang.</t>
  </si>
  <si>
    <t>RT @harewa13: @wisanggeni_084 @jokowi @mohmahfudmd tapi pemerintah kan sudah memastikan eks isis tidak pulang, ya maklumlah wakil jokowi skr siapa</t>
  </si>
  <si>
    <t>@GagaheCahLanang @do_ra_dong Wna cina dateng g pake karantina tapi wni dateng dr cina pake karantina segala Ngerti ga? Gw aje g ngerti</t>
  </si>
  <si>
    <t>RT @911comand: @detje1212 @JohnIrwan4 @TolakBigotRI sesama saudara muslim di tolak. Sesama ISIS tidak ditolak. ada waktunya tinggal tunggu waktu. Apakah Aming tinggal di Jogja?</t>
  </si>
  <si>
    <t>Bagus sih melarang WNI ke 12 kota di Italy, tapi lebih bagus lagi pemerintah buat travel warning juga biar wisatawan asing gak dateng dulu ke Indonesia. Lagian jumlah WNI yang bakal ke Italy gak banyak, mungkin cuma kalangan masyarakat ekonomi tertentu.</t>
  </si>
  <si>
    <t>Yeayy akhirnya resmi jadi WNI, dan 17 tahun 🥳🥳</t>
  </si>
  <si>
    <t>RT @JokoTar03424399: @JohnIrwan4 Tapi juga jgn dgn ramainya corona, anak isis eks wni dipulangkan.</t>
  </si>
  <si>
    <t>Aku tidak melihat manfaat daripada pemulangan anak2 teroris pengikut iblis ISIS, oleh karena itu aku Tidak Mendukungnya! Pemerintah yg berkepentingan, pemerintah saja yg bekerja! Disini ada banyak gelandangan dan yatim-piatu, kenapa bukan ini yg diurus?!</t>
  </si>
  <si>
    <t>RT @tempodotco: Menteri Kesehatan Terawan Agus Putranto mengimbau kepada masyarakat agar tak terlalu khawatir setelah dua WNI positif virus vorona. #CoronaVirusUpdate</t>
  </si>
  <si>
    <t>RT @Katrina__SO9: #RezimTutupiCorona Kontak dengan WN Singapura yang Positif Corona, 9 WNI Jalani Observasi di Batam   #RezimTutupiCorona @KompasTV 👇</t>
  </si>
  <si>
    <t>RT @Bangzul__88: Virus Corona adalah musibah untuk seluruh dunia international. Semua negara dunia terdampak Virus mematikan ini. Indonesia masih dikategorikan aman, walaupun ditemukan dua WNI positif terjangkit. Mari saling mengingatkan, jaga kebersihan diri &amp; lingkungan. #StopPanikLawanCorona</t>
  </si>
  <si>
    <t>Nggak setuju ISIS, tapi isi kepala lu tdk berbeda dgn ISIS. RT @FL_Gau: @Tulang_Godang @zoelfick Gue ga setuju sama isis, kalo lu masih sangkut pautin sama isis lu nya yang aneh.</t>
  </si>
  <si>
    <t>RT @zoelfick: Dgn cita-cita begini, isi kepalamu dgn isi kepala mereka di ISIS itu di mana?</t>
  </si>
  <si>
    <t>@nocturnalicious @detikcom Intoleransi adalah intoleran yg tidak bisa ditoleransi. Dulu di timteng spt suriah, Irak pergerakan ISIS masih kecil tidak dianggap serius oleh pemerintah dan skr faktanya ? HANCUR LEBUR. Untungnya Jokowi berani bertindak tegas dg membubarkan HTI bibit cikal-bakal Pemberontak..</t>
  </si>
  <si>
    <t>@paquitacumadebu @P3nj3l4j4h_id @eizanfolks @mohmahfudmd @jokowi @Chilli_Pari Itu kan cuma perumpamaan sih bang ...kan eks ISIS mau di tarik kemari utk anak yang Yatim piatu ...lha mereka aja udah niat tinggalkan RI kok pemerintah yg ngemis utk di pulangin 🙏🙏🙏</t>
  </si>
  <si>
    <t>RT @ChengliBro: @NataliusPigai2 @msaid_didu Saya tegas saja, ini adlh kerjaan pndukung Jokowi dn Ahok, ada yg di bayar sbg influencer + buzzerp memprovokasi netizen utk menjatuhkan semua pengkritik dn oposisi. Klau muslim d labeli teroris, radikal, ISIS, dll. Klau non muslim d cap provokator. MEREKA ADLH PENGHIANAT BANGSA!</t>
  </si>
  <si>
    <t>Permintaan masker di Kabupaten Sragen, Jawa Tengah (Jateng) meningkat pascapengumumam dua Warga Negara Indonesia (WNI) positif korona. Lonjakan harga pun membuat sejumlah apotek tak berani menjual masker.</t>
  </si>
  <si>
    <t>RT @zoelfick: Demen saya nih. Coba dong tunjukin perbedaan isi kepalamu dgn ISIS dulu. Di mana bedanya? Sama² sampah kan?</t>
  </si>
  <si>
    <t>@wahhabicc_jabar Sebaiknya niat mendatangkan ANAK-ANAK GEROMBOLAN ISIS diperuntukkan bagi jajaran kabinet JOKOWI mengadopsi mereka. NEGARA ini masih berharga bagi kami karena tak ingin kehadiran perampok antar negara.</t>
  </si>
  <si>
    <t>@Tulang_Godang @zoelfick Gue ga setuju sama isis, kalo lu masih sangkut pautin sama isis lu nya yang aneh.</t>
  </si>
  <si>
    <t>@FL_Gau @andi_dwan15 @zoelfick Kalo ISIS membunuh dan menyiksa tentasa Irak yang juga muslim, lu bilang itu apa, Mbak?</t>
  </si>
  <si>
    <t>RT @Bang_N_E_O: #RezimTutupiCorona #RezimTutupiCorona 2 WNI Positif Corona, Masih Mau Fokus Pariwisata?</t>
  </si>
  <si>
    <t>@FL_Gau @zoelfick Mbak, coba lihat video pembebasan Racca, Umat nya sendiri sangat bersyukur saat dibebaskan dari ISIS. Banyak belajar ya.</t>
  </si>
  <si>
    <t>@andi_dwan15 Mereka yang tergiur ISIS itu rata-rata isi kepalanya spt @FL_Gau ini. Semestinya anak ini perlu dibereskan dulu.</t>
  </si>
  <si>
    <t>@P3nj3l4j4h_id Kenapa sih pemerintah kelihatan kok sibuk banget dengan urusan isis?? Ada apa ini?</t>
  </si>
  <si>
    <t>Ini penjelasan dia (WNI) yg pernah tinggal di Wuhan. Dia tidak mengaku tinggal tetap disana. Tapi hanya numpang tinggal yg kebetulan dia datang di komplek kakaknya ada yg positif virus corona.</t>
  </si>
  <si>
    <t>@ninerionine @BadmintonTalk Yu Yang WNI cabang Depok?</t>
  </si>
  <si>
    <t>188 WNI ABK World Dream negatif virus Corona dan mereka juga dalam keadaan sehat. #PulauSebaru</t>
  </si>
  <si>
    <t>@rmol_id Menurut sy sih ini omong kosong Keselamatan WN mana? Kalo prioritasnya adalah keselamatan WNI,bknkah sehrsnya sdh dr awal dpt informasi wabah virus corona maka langsung sigap mengambil kebijakan sbgmn kebijakan yg diterapkan oleh pemerintah KSA utk melarang WNA masuk negaranya?</t>
  </si>
  <si>
    <t>@fadhlierlanda @ari_popeye Bisa...lihat aja khilafah yg diterapkan ISIS di Syiriah, bisa hancur maksudnya...</t>
  </si>
  <si>
    <t>Fakta Ratna Sari Dewi Janda Presiden Soekarno: Dilamar Super Romantis Saat Senja di Tampaksiring dan Masih WNI Demi Gampang Ziarah ke Blitar.</t>
  </si>
  <si>
    <t>Virus Corona saat ini sudah mulai menyebar ke negara-negara di dunia. ⁣Di Indonesia, baru saja diumumkan bahwa ada 2 WNI yang terkena.⁣ ⁣ Gak perlu takut yuk kita tangani dan cegah virus corona #COVID19 #coronavirus</t>
  </si>
  <si>
    <t>RT @MrsRachelIn: Ga salah masyarakat diminta nyambut Penghianat? Dipikir anak2 pengikut ISIS itu Pahlawan? Smntara anak2 dlm negri klaparan &amp; ga bs skl diabaikan. Jelang Pemulangan Anak-anak Eks ISIS ke Indonesia, Pemerintah Minta Masyarakat Menyambut</t>
  </si>
  <si>
    <t>RT @wow_keren: 4 WNI Positif Corona di Jepang Dinyatakan Sembuh</t>
  </si>
  <si>
    <t>RT @zoelfick: Bedanya ISIS dgn HTI itu semacam lu inilah, minder dgn diri sendiri. Cita-cita sama saja dgn ISIS. Lo numpang di rumah orang, lo mau ngerusak rumah orang, kelakuan gini kpn saja pasti kepala lo ditendang yg punya rumah.</t>
  </si>
  <si>
    <t>69 WNI dari Kapal Diamond Princess menjalani karantina dan observasi bersama WNI dari Kapal World Dream di Pulau Sebaru Kecil. CIL⁣ ⁣ #iNews #Karantina #Observasi #KapalDiamondPrincess #KapalWorldDream #PulauSebaru #Corona #VirusKorona #COVID19 #StopPanikLawanCorona</t>
  </si>
  <si>
    <t>Ini juga dagangannya ISIS, tapi faktanya? RT @FL_Gau: @andi_dwan15 @zoelfick Ya itu makanya mereka punya konsep melindungi. Gue sih belom tau praktiknya gimana yang jelas ide mereka salah stau nya melindungi umat agama lain juga. Diberi kebebasan, kesejahteraan, dan keamanan.</t>
  </si>
  <si>
    <t>Pak @IbnuSina mana suaranya? Masker dan hand sanitizer di Banjarmasin juga mulai langka. Banyak yg borong begitu pengumuman 2 WNI terinfeksi COVID - 19 harap gerak cepat pak supaya harga stabil RT @ganjarpranowo: Saya peringatkan, jangan mempermainkan stok dan harga masker! Jangan mancing di air keruh jika tidak ingin berurusan dengan hukum! Saat ini Polda Jateng telah bergerak. Kepada masyarakat, jangan panik.</t>
  </si>
  <si>
    <t>@P3nj3l4j4h_id @mohmahfudmd @jokowi @Chilli_Pari Data Anak terlantar 2019, ada 12.000 anak yg tinggal di jalanan. Mereka korban orang tua yg gagal. Jauh lebih gagal Negara menjaga mereka. Anak jalanan tidak terpikirkan sprt Negara memikirkan anak² ISIS ex WNI. Tekanan pihak luar dan sikap hipokrit politik memang menyedihkan.</t>
  </si>
  <si>
    <t>Rabu, 4 Maret 2020 ; Sidang Ajudikasi Sengketa Informasi Publik antara Pemohon WNI terhadap Termohon Dinas Tenaga Kerja dan Sertifikasi Kompetensi Kota Denpasar ....</t>
  </si>
  <si>
    <t>Eh, @PolhukamRI sedang fokus pulangkan anak isis... Betul, Prof. @mohmahfudmd ? RT @jenk_kelinn: Kalau NASIONALISME saja dianggap memecah belah oleh PAHAM yg ingin mndirikan negara dan anggapan itu hanya sbuah angin lalu buat KALIAN yg punya Kuasa, lalu buat apa sbgian rakyat dihimbau gaungkan tp KALIAN sndiri masa bodoh *organisasinya dibubarkan manusianya dikasih angin.</t>
  </si>
  <si>
    <t>@ditjen_imigrasi Halo imigrasi, bagaimana kebijakan WNI yg harus melakukan perjalanan ke eropa tgl 14 maret ini sampai 26 maret dan kemudian kembali ke Indonesia?</t>
  </si>
  <si>
    <t>RT @TurnBackHoax: [SALAH] 1000 Tiket Pesawat Gratis Untuk WNI Pulang Ke Tanah Air Dari PT Angkasa Pura 1 Karena Virus Corona Melalui akun media sosial, Angkasa Pura (AP) dan Kementerian Luar Negeri (Kemenlu) sudah memberikan bantahannya. Selengkapnya di  #LawanHoax</t>
  </si>
  <si>
    <t>RT @Ameeramantikah: Jokowi : 2 WNI Warga Depok Positif Corona. Anis Basweda : Ada Gejala Mirip Corona Kami Jemput. Ridwan Kamil: Tak Ada Bukti Virus Corona Hadir di Depok. Jauuuuh.</t>
  </si>
  <si>
    <t>@ustadtengkuzul Kau sendiri kapan Dengkul puasa main Twiter? 1. Pemerimtah legal zina. 2. Catur Haram 3. Pemerintah lebih respeck dgn China dari WNI. 4. Menuding pemerintah dan aparat penegak hukum atas kesalahan yg tdk pernh dilakukan..Dal lain sebagainya.</t>
  </si>
  <si>
    <t>Bedanya ISIS dgn HTI itu semacam lu inilah, minder dgn diri sendiri. Cita-cita sama saja dgn ISIS. Lo numpang di rumah orang, lo mau ngerusak rumah orang, kelakuan gini kpn saja pasti kepala lo ditendang yg punya rumah. RT @FL_Gau: @zoelfick Isis konsep wilayah sama penduduknya aja gajelas. Mereka pake cara kekerasan buat dapetin teritori. Bedain sama HTI, mereka cuma opini dan mengandalkan ide, kalau lu gasetuju silahkan debat ide mereka. Kalau lu sendiri aja rancu sama konsep mereka, pelajari dulu sblom kritik</t>
  </si>
  <si>
    <t>@Kemenag_RI Jangan Pernah Bela Teroris ISIS &amp; Al-Qaeda, itu pasti anda dihipnotis oleh Donald Trump. #FUCKYOUTRUMP</t>
  </si>
  <si>
    <t>@BagusPriyat Bukan wni namanya kalo ga naif dan bebal</t>
  </si>
  <si>
    <t>@unknownnote @kata_atina @karetlotek @obedkresna Nah krn saya jg sebenernya risih jg dgn orng2 yg selalu menghubungkan bendera tauhid berwarna hitam itu dgn HTI atau ISIS atau apapun itulah... Klo saya sih sebagai mana mestinya saja sebagai seorang muslim...</t>
  </si>
  <si>
    <t>Menlu Retno Marsudi mengungkapkan, 4 WNI ABK kapal pesiar Diamond Princess di Jepang yang sebelumnya positif virus corona telah dinyatakan sembuh.Retno menambahkan saat ini tersisa 5 WNI lain dari kapal tersebut yg masih positif corona namun dengan kondisi stabil.#MostUpdate1058</t>
  </si>
  <si>
    <t>RT @CHANBAEK_FAMILY: LOVE SHOT ︵ ︵ ( ╲ / / ╲ ╲/ / ╲ ╲ / ╭ ͡ ╲ ╲ ╭ ͡ ╲ ╲ ﾉ ╭ ͡ ╲ ╲ ╱</t>
  </si>
  <si>
    <t>@zoelfick Isis konsep wilayah sama penduduknya aja gajelas. Mereka pake cara kekerasan buat dapetin teritori. Bedain sama HTI, mereka cuma opini dan mengandalkan ide, kalau lu gasetuju silahkan debat ide mereka. Kalau lu sendiri aja rancu sama konsep mereka, pelajari dulu sblom kritik</t>
  </si>
  <si>
    <t>. Assalamualaikum Paket coklat 5 items merek lagie' Keterangan isi Yg pink isi kacang Yg wrana isis coklat kacang kaya cha cha Yh wrna putih coklat putih dgn kacang Yg itam coklat biskuit Dan yg tengah full cokkat…</t>
  </si>
  <si>
    <t>@geiszchalifah Liberal udik, baru jadi WNI.</t>
  </si>
  <si>
    <t>Demen saya nih. Coba dong tunjukin perbedaan isi kepalamu dgn ISIS dulu. Di mana bedanya? Sama² sampah kan? RT @FL_Gau: @zoelfick Hah? Mereka sama ISIS itu beda, kalo lu cuma paham konsep khilafah itu sama kayak ISIS ya berarti lu kurang baca. Saran gue, lu baca buku mereka, pahami, diskusi sama orang nya. Sejauh pemahaman gue, konsep mereka make sense dan jauh sama konsep Khilafah nya Isis</t>
  </si>
  <si>
    <t>[5] Ia menambahkan meski ada beberapa barang kebutuhan kesehatan seperti #handsanitizer &amp; masker penutup mulut kosong, namun ini terjadi jauh hari sebelum pemerintah mengumumkan adanya 2 orang WNI di #Indonesia positif virus Corona.</t>
  </si>
  <si>
    <t>Saya sebagai rakyat pemilih @jokowi saat pilpres, merasa sangat kecewa bila memang ini terlaksana. Apakah tidak sebaiknya mendidik dan membesarkan Anak2 jalanan saja bila opsinya harus Anak2? Istana Minta Masyarakat Terima Kepulangan Anak-anak WNI Eks ISIS</t>
  </si>
  <si>
    <t>[3] Kata Ardy, pihaknya melakukan pengecekan di salah satu pusat perbelanjaan di Kota #Blitar tidak menemukan adanya masyarakat yg berlebihan untuk berbelanja pasca pengumuman 2 orang #WNI di Indonesia yg positif terkena virus Corona.</t>
  </si>
  <si>
    <t>[2] pasca pemerintah mengumumkan adanya 2 orang #WargaNegaraIndonesia (WNI) di Indonesia yg positif terkena virus #Corona, Tim Satgas Pangan Satreskrim Polres Blitar Kota meminta masyarakat untuk tidak membeli barang secara berlebihan di pusat perbelanjaan.</t>
  </si>
  <si>
    <t>RT @Kemlu_RI: #SahabatKemlu, hari ini (1/3)para WNI ABK yang telah dikarantina 2 pekan lebih di kapal Diamond Princess di Yokohama memulai proses pemulangan ke tanah air. Selengkapnya:  #IniDiplomasi #NegaraMelindungi</t>
  </si>
  <si>
    <t>@DPR_RI Mohon ibu ketua @KomisiIX @DPR_RI srt sy bisa direspon soal laporan TKI (lht foto) yg tdk difollow up sama skli oleh Komisi IX periode 2014-2019 (mslhnya blum selesai).Mhon kiranya DPR RI mau melindungi WNI/TKI yg ditindas cmpny asing dzolim @dedeyusuf_1 @idafauziyah @riekediahp</t>
  </si>
  <si>
    <t>@zoelfick Hah? Mereka sama ISIS itu beda, kalo lu cuma paham konsep khilafah itu sama kayak ISIS ya berarti lu kurang baca. Saran gue, lu baca buku mereka, pahami, diskusi sama orang nya. Sejauh pemahaman gue, konsep mereka make sense dan jauh sama konsep Khilafah nya Isis</t>
  </si>
  <si>
    <t>FULL Kabar Terbaru Observasi WNI di Pulau Sebaru</t>
  </si>
  <si>
    <t>Karena Kontak Dengan Warga Negara Singapura yang Positif Corona, 9 WNI Jalani Observasi di Batam</t>
  </si>
  <si>
    <t>Hari ke 5 Observasi, Begini Kondisi Ratusan WNI di Pulau Sebaru #Sebaru</t>
  </si>
  <si>
    <t>@CNNIndonesia Klo istana diliburkan gak?? Soalnya pengakuan jokowi ada 2 WNI yg positif corona di depok bikin presiden cebong @Dennysiregar7 kesal berat.</t>
  </si>
  <si>
    <t>@FerdinandHaean2 @conan_idn @RTErdogan @CNNIndonesia @tvOneNews Kalau ISIS itu kebanggaan dan kebahagiaan lalu kenapa mayoritas ummat Islam membencinya?</t>
  </si>
  <si>
    <t>@kompascom Lebih baik @jokowi @mohmahfudmd fokus pulangkan bocah-bocah teroris ISIS, mungkin akhir tahun bisa panen gereja dibom??😵</t>
  </si>
  <si>
    <t>Kementrian kesehatan beralasan pengujian tdk dilakukan karna alatnya mahal..tuk Reagen ditaksir dgn harga 1M #RezimTutupiCorona BuzzerRp 72M..? #RezimTutupiCorona Terungkap, Ternyata 238 WNI Yang Dipulangkan Dari Wuhan Tak Dites Virus Corona</t>
  </si>
  <si>
    <t>@ulil @ILCtv1 @karniilyas Maaf mas ulil. Coba dilihat videonya. Memang tidak bilang warga situ tapi sebagai WNI ex wuhan yg kalau ke indo tinggal di situ. Ini tabayunnya biar imbang</t>
  </si>
  <si>
    <t>Hari ke 5 Observasi, Begini Kondisi Ratusan WNI di Pulau Sebaru #Sebaru #LawanHoaxVirusCorona Indonesia Trends: #WhatsApp #PolriAgenPerubahan #BUMNSiapLawanCorona #RabuAmbyar Via @Genpi_Co</t>
  </si>
  <si>
    <t>@octar_faco @FerdinandHaean2 @conan_idn @RTErdogan @CNNIndonesia @tvOneNews Cuma dia yang merasa ummat Islam bangga dengan kekejian ISIS. cuma perasaannya saja.</t>
  </si>
  <si>
    <t>[Nais Inpoh] WNI yang dinyatakan positif corona kini sedang menjalani perawatan di RSPI Sulianti Saroso Jakarta. Tetapi, tiga orang suspect corona yang telah meninggal dunia dinyatakan negatif. Ada baiknya bagi…</t>
  </si>
  <si>
    <t>@FerdinandHaean2 @conan_idn @RTErdogan @CNNIndonesia @tvOneNews Siapa yang bangga dengan kekejian ISIS? Cuma prajurit atau simpatisannya yang bangga. Mereka justru ditolak oleh negara-negara Islam. Kalau kelompok tersebut adalah kebanggaan maka pastilah didukung sehingga tidak perlu mereka berperang dengan ummat Islam. Asal ngomong.</t>
  </si>
  <si>
    <t>RT @medcom_id: WNI Diimbau Tidak Mengunjungi Wilayah Utara Italia</t>
  </si>
  <si>
    <t>@kata_atina @unknownnote @karetlotek @obedkresna Wkwkkw... Apakah dgn saya meluruskan hal seperti itu membuat saya seperti pembela isis?</t>
  </si>
  <si>
    <t>Ngurusin ginian aja g becus mau sok"an jemput ank" eks WNI pro ISIS!!! #MIKIR!!! RT @AnakKolong___: SPERMA IDEOLOGI | . . Gen KHILAFUCK yg salah satunya berkembang biak di JOGJA, adlh hasil bertemunya sperma &amp; sel telur di SALAH SATU rahim yg bernama LSM MUI. Utas berikut ini menerangkan peran DIN SYAMSUDDIN &amp;amp; intimnya Prabowo &amp;amp; Fadli Zon dgn kelompok konservatif radikal.</t>
  </si>
  <si>
    <t>Berdasarkan data World Health Organization (WHO) empat negara yang mengalami peningkatan kasus virus korona yakni Iran, Jepang, Korea Selatan, dan Italia.</t>
  </si>
  <si>
    <t>@sn_koprol @unknownnote @karetlotek @obedkresna Anda tanya saya Islam gak, Anda pembela ISIS?</t>
  </si>
  <si>
    <t>isis ga gini jg? hm RT @collegemenfess: [Cm] Di kampus gue udah mulai antisipasi virus corona,setiap masuk gedung kampus di periksa suhu tubuhnya dlu. Kampus kalian gimana? Stay safe guys</t>
  </si>
  <si>
    <t>2 WNI Positif Korona, Melly Goeslaw Sentil Oknum Pemborong Masker #TauCepatTanpaBatas #Celebrity #KabarArtis #Gosip .</t>
  </si>
  <si>
    <t>RT @harewa13: @wahhabicc_jabar @endoe21 @AnakKolong___ @mohmahfudmd @Puspen_TNI @jokowi @DivHumas_Polri @TjahjantoHadi skr ada 2 org yg satu pake kaos palu arit,yang satu pake kaos ISIS, pertanyaannya siapa yang dicokok duluan ???</t>
  </si>
  <si>
    <t>@RickyVSim @mas__piyuuu Ternyata goblok ya elu 😂😂😂😂😂baca gak yg lu komen seblmnya? 894 org yg meninggal itu sampai hari ini tdk ditindaklanjuti knp sebab meninggalnya. Skrg yg jdi presiden jkw bukan? Yg meningal itu WNI bukan?</t>
  </si>
  <si>
    <t>Jubir Penanganan Covid-19: 2 WNI dalam Perawatan, Kondisi Sehat dan Tidak Pakai Selang</t>
  </si>
  <si>
    <t>Presiden Joko Widodo mengingatkan kepada para menteri dan pejabat terkait untuk melindungi hak-hak pribadi warga negara Indonesia (WNI) yang telah diidentifikasi positif terkena Virus Corona (Covid-19).</t>
  </si>
  <si>
    <t>Keuntungan Punya Paspor Elektronik Bagi WNI, Termasuk ke #Jepang #Tak Perlu #Visa</t>
  </si>
  <si>
    <t>Hingga kini, 188 WNI dari Kapal World Dream yang tengah diobservasi di Pulau Sebaru Kecil, dinyatakan dalam keadaan sehat. #PulauSebaru #AGPeduli #ArthaGrahaPeduli #Coronavirus #Corona #Covid19</t>
  </si>
  <si>
    <t>Kegiatan rutin seperti senam pagi bersama anggota tni dilakukan seluruh WNI yang dikarantina di Kepulauan Seribu, Jakarta. #PulauSebaru #AGPeduli #ArthaGrahaPeduli #Coronavirus #Corona #Covid19</t>
  </si>
  <si>
    <t>RT @S0N_2000: ini bener bangeet..! Pigai: Bukan Salah Saudi Tolak Umrah WNI, Tapi Dunia Internasional Ragu Pemimpin RI Suka Bohong.</t>
  </si>
  <si>
    <t>@NetizenNasional @Dennysiregar7 @karniilyas @tvOneNews @ILCtv1 Luh baca lagi baik-baik bongak..... Dia mengatakan "Eh, ada orang dgn teganya sibuk sebarkan isu Corona. Itu jelas2 binatang." Pertanyaan gue Pak Jokowi mengatakan ada dua WNI positif Corona itu bukan binatang?</t>
  </si>
  <si>
    <t>MENOLAK LUPA KEBIADABAN ISIS  #MenolakKhilafah #MenolakLupaKejahatanIsis #NKRIHargaMati #pancasila #indonesiadamaitanpaisis #IndonesiaCorona #Toleranz #IndonesiaToleran #IndonesiaDamaiTanpaKhilafah</t>
  </si>
  <si>
    <t>Kenapa masih ada yg nanya itu “Ramen” apakah halal dan yg ditanya orang Jepang 🙄 Saya pernah 3x di tolak sama resto ramen disini gara2 berhijab.. Ow, come on girl.. Let’s think.. sudah gak perlu ditanya lagi lah hal seperti ini sama yg notabene bukan orang WNI 🤦‍♀️</t>
  </si>
  <si>
    <t>RT @Parapat_Nixon: SOAL DAMPAK ATAU KERENTANAN, TDK ADA PERBEDAAN SIGNIFIKAN ANTARA DAERAH PROPINSI JAWA TENGAH &amp; DKI JKT Tp 2 WNI Positif Virus Corona, @ganjarpranowo : Warga Jateng JGN PANIK !! . -- BEDA SKALI SOSOK KE-2 GUBERNUR INI Gitupun Toh jg otak Kadrun tak paham</t>
  </si>
  <si>
    <t>@CNNIndonesia Alhamdulilah semoga sehat selalu untuk semua WNI dan warga Indonesia Ucapan adalah DO'A</t>
  </si>
  <si>
    <t>@aisa_jasmine @WR_4AG226 Yang dukung ISIS itu jutaan Bu, bukan satuan</t>
  </si>
  <si>
    <t>RT @Metro_TV: #MetroSiang Jubir Penanganan Corona di Indonesia memberikan keterangan terkait rencana penurunan 69 WNI dari KRI dr. Soeharso ke Pulau Sebaru Kecil hari ini akan dilakukan secara bertahap. 1 WNI ditahan di atas kapal karena ada keluhan batuk.</t>
  </si>
  <si>
    <t>RT @Metro_TV: #MetroSiang Pemerintah Indonesia mengevakuasi 280 WNI dari 2 kapal pesiar, yakni World Dream &amp; Diamond Princess. Selanjutnya ratusan WNI tersebut akan menjalani observasi di Pulau Sebaru Kecil, Kepulauan Seribu, Jakarta.</t>
  </si>
  <si>
    <t>@simpatisanpss WELAH DADI WNI SAIKI KOE PON?</t>
  </si>
  <si>
    <t>Wilujeng siang wargi Sumedang... Sudah dengar kabar mengenai dua WNI yang positif terkena virus corona? Tetap tenang ya, jangan panik. Selalu cari informasi dari sumber resmi agar tidak termakan hoaks.</t>
  </si>
  <si>
    <t>Demi gengsi kebanyakan wni rela kredit mobil tapi gk punya rumah alias ngontrak. 🤣🤣🤣 Miris</t>
  </si>
  <si>
    <t>[4] Kata dia, 2 WNI yg positif terjangkit virus Corona ini sempat melakukan kontak langsung dengan warga Jepang. Dari penelusuran, 2 orang WNI tersebut terjangkit dari seorang Warga Negara #Jepang yg berkunjung ke rumah keduanya.</t>
  </si>
  <si>
    <t>#PatriaToday ► #AwasCorona. Presiden RI Joko Widodo &amp; Menteri Kesehatan RI Terawan Agus Putranto menyatakan 2 orang Warga Negara Indonesia atau #WNI yg ada di Indonesia positif terjangkit virus corona. Mereka, ibu berusia 64 tahun &amp;amp; putrinya berusia 31 tahun.</t>
  </si>
  <si>
    <t>Belum Dites Spesimennya, Perlukah 238 WNI dari Wuhan Diperiksa Lagi?</t>
  </si>
  <si>
    <t>@malunands pera</t>
  </si>
  <si>
    <t>RT @tjhinfar21: Apa sih urgensinya utk memulangkan mereka ? Padahal msh bnyk sekali anak² yg membutuhkan perhatian khusus Didaerah terpencil dan perdalaman Masalah intoleransi saja blm tuntas🙈 Mohon dipertimbangkan lg 🙏 @jokowi @mohmahfudmd #MenolakLupaKejahatanISIS</t>
  </si>
  <si>
    <t>RT @dwiyanaDKM: Clear ya, karena ini masalah nasional, Presiden @jokowi dan @KemenkesRI sdh umumkan 2 WNI yg terkena virus corona, gak ada yg ditutup2i. Announcement ini ranah @KemenkesRI, bukan ranah 4nies aibon juga bukan ranah anggota DPD. Caper! Stay safe tuips🙏🏼 #4niesRajaKambingHitam</t>
  </si>
  <si>
    <t>Orientasi: Heteroseksual. Kewarganegaraan: WNI. Tinggi/Berat Badan: 179 cm/60 kg. Pekerjaan: Corporate Social Responsibility Specialist, PT. Pertamina. Riwayat Pendidikan: ★ 2003-2006. SMAN 8 Jakarta.</t>
  </si>
  <si>
    <t>Kenaikan saham dinilai berhubungan dengan sektor kesehatan yang sedang menjadi fokus masyarakat akibat dari penyebaran virus Corona di Tanah Air.</t>
  </si>
  <si>
    <t>Kepedulian kali ini secara serius diwujudkan dalam bentuk mempersiapkan dan melengkapi Pulau Sebaru dengan fasilitas dan SDM yang dimiliki oleh Artha Graha untuk menangani para WNI yang rawan terpapar Covid-19. #PulauSebaru #AGPeduli #ArthaGrahaPeduli #Coronavirus #Covid19</t>
  </si>
  <si>
    <t>Pemerintah Pastikan 2 WNI Positif Corona dalam Keadaan Sehat  via @beritabaruco</t>
  </si>
  <si>
    <t>@Airin_NZ @ISIS_Balik_NO @dewanpers Viva Provokator satu grup dengan TV Oon</t>
  </si>
  <si>
    <t>@TolakBigotRI Mahluk satu ini kok masihbebas berkeliaran ya</t>
  </si>
  <si>
    <t>RT @aiek_esthreem__: #CoronaBukaBorokRezim Saudi tak percaya Indonesia bebas VirusCorona LBP ingin TKA China kembali ke Indonesia Mahfud MD: "kabar Corona hoaks" Jokowi "akan berdiri bersama China hadapi Corona" Negara2 lain isolasi China Tetiba ada 2 korban WNI😷 🔁❤️ Feb 2019 Rezim jg bohong👇</t>
  </si>
  <si>
    <t>@zoelfick @abglhfthlh Pergi sono ke ISIS!!!! Kita ga butuh kalian sama sekali!!! Sekalian dibakar ya passportnya, hilangin semua identitas WNI nya!</t>
  </si>
  <si>
    <t>Ternyata negara masih kalah ama : 1. khilafah (jogja) 2. pemulangan anak eks wni isis 3. hoax &amp; penanganan banjir anies (jkt) 4. toleransi ada apa ini mr. @jokowi dan yang mulia pimpinan para partai rakjat ?? ada apa denganmu??</t>
  </si>
  <si>
    <t>RT @w0ng4rab: Tolong pihak Kraton Jogja @GKRHayu , Itu HTI udah berani menginjak-injak martabat Jogjakarta. Mau bikin rusuh,.. Pakai sentimen agama.. Usir saja mereka dari Jogja.. @wisanggeni_084 @dwiyanaDKM</t>
  </si>
  <si>
    <t>RT @Airin_NZ: #LawanHoaxVirusCorona Pdhl britanya ud jls almrhum meninggal krn sakit jantung. Tp Vivanews msi buat berita sprti in👇? Media ud kebablasan dmi mnarik minat pmbaca mrk lupa sma kode etik. Enknya jd mrk. ktahuan NgeHOAX tnggl hpus brita. tnp ad tindakan appun dri @dewanpers MIRIS</t>
  </si>
  <si>
    <t>RT @M4ngU5il: ...wni tiba dikarantina, wisman china datang disambut bak pahlawan devisa?...</t>
  </si>
  <si>
    <t>RT @Zackf77156873: @jokowi JIKA ANAK2 ISIS ANDA PULANGKAN SY SIAP PERANG</t>
  </si>
  <si>
    <t>Sana ke isis aja RT @zoelfick: Apa nggak malu makhluk² ini mengaku-ngaku tertindas?</t>
  </si>
  <si>
    <t>Menteri Luar Negeri, Retno Marsudi mengatakan, warga negara Indonesia (WNI) yang tinggal di 4 negara itu tidak ada yang terinfeksi virus korona. #Menlu #RetnoMarsudi #WNI #Korsel #Covid19 #Corona</t>
  </si>
  <si>
    <t>Presiden Minta Lindungi Hak Pribadi WNI Positif Corona  via @beritabaruco</t>
  </si>
  <si>
    <t>@mistercebong @Candraasmara85 Krn mereka islam nya islam PKI (Pengikut Khilafah dan ISIS)</t>
  </si>
  <si>
    <t>Benarkah pesan berantai ini berasal dari WNI positif virus corona? #CekFakta #TempoCekFakta</t>
  </si>
  <si>
    <t>@KedubesJerman mohon info, apakah kedubes Jerman masih memberikan visa kunjungan bagi WNI sehubungan dgn presiden Jokowi sdh mengumumkan adanya suspect Covid-19 ?</t>
  </si>
  <si>
    <t>Julian Assange Ungkap Semua Pihak yang berada di balik ISIS -  #ISIS</t>
  </si>
  <si>
    <t>@jokowi JIKA ANAK2 ISIS ANDA PULANGKAN SY SIAP PERANG RT @P3nj3l4j4h_id: Saya heran jokowi dan jajarannya sibuk banget persiapkan kepulangan anak sampah ke negeri ini? Apakah g mikir mereka ini jika kelak anak sampah ini akan jadi bumerang bagi negeri ini! #JokowiCintaAnakIsis mungkin y, tampung aja anak isis semuanya bukan hnya yg dr indonesia!</t>
  </si>
  <si>
    <t>RT @Metro_TV: #BreakingNewsMetroTV 69 WNI dari Kapal Diamond Princess akan diturunkan secara berkala sepanjang hari ini hingga esok. 68 di antaranya sudah negatif, namun 1 sampel masih butuh pengecekan konfirmasi.</t>
  </si>
  <si>
    <t>#BreakingNewsMetroTV 69 WNI dari Kapal Diamond Princess akan diturunkan secara berkala sepanjang hari ini hingga esok. 68 di antaranya sudah negatif, namun 1 sampel masih butuh pengecekan konfirmasi.</t>
  </si>
  <si>
    <t>@wahhabicc_jabar Trus gimana nasib anak2 korban bom di Indonesia yg dilakukan para cecunguk ISIS..koq pemerintah lepas tangan ya gk ada upaya buat pemulihan mental dan fisik mereka sampai skrg?</t>
  </si>
  <si>
    <t>@wahhabicc_jabar @P3nj3l4j4h_id Awas awas Teroris merajalela lagi di NKRI,ISIS tetap ISIS dan ISIS tidak akan pernah menjadi Penganut NU, ISIS adalah Anak Anak Setan Padang Pasir.</t>
  </si>
  <si>
    <t>RT @kantayu: @wahhabicc_jabar @P3nj3l4j4h_id @mohmahfudmd @jokowi @Chilli_Pari Ada ribuan anak jalanan, yg perlu diperhatikan dr pd mendatangkan segelintir anak kombatan ISIS yg bisa jd Boom waktu dikemudian hari</t>
  </si>
  <si>
    <t>@BirgaldoS @mohmahfudmd @jokowi Sedih saya lihatnya Lae.. 🥺 Wahai Bapak2 yang diatas sana @jokowi @mohmahfudmd saya tidak sudi menerima anak2 ISIS ex WNI kembali ke Ibu Pertiwi</t>
  </si>
  <si>
    <t>RT @Djoko_Not: Hadapi yg kyk gini aja melempem kyk kerupuk kecelup air !! Koq malah mau import anak2 ISIS eks WNI yg nyata2 milisi terlatih &amp; auto siap porak porandakan republik ini !! Kmna lagi penghuni republik ini hrs berharap ketika pemegang otoritas kewenangan pun mengabaikan ANCAMAN ini ?</t>
  </si>
  <si>
    <t>@KRMTRoySuryo2 @KPK_RI @PDI_Perjuangan Mestinya HARUN MASIKU JADI PENTOLAN ISIS.</t>
  </si>
  <si>
    <t>Saya heran jokowi dan jajarannya sibuk banget persiapkan kepulangan anak sampah ke negeri ini? Apakah g mikir mereka ini jika kelak anak sampah ini akan jadi bumerang bagi negeri ini! #JokowiCintaAnakIsis mungkin y, tampung aja anak isis semuanya bukan hnya yg dr indonesia!</t>
  </si>
  <si>
    <t>SesditjenP2P Kementerian Kesehatan (Kemenkes), Achmad Yurianto, sebagai juru bicara terkait penanganan wabah virus corona di Indonesia, menyampaikan bahwa dua orang warga negara Indonesia (WNI) yang confirm positif, saat ini membaik. #ElshintaEdisiSiang</t>
  </si>
  <si>
    <t>Mohon info, apakah Kedutaan Jerman masih memberikan visa kunjungan ke Jerman utk WNI sehubungan pemerintah Indonesia telah mengumumkan adanya suspect covid-19?</t>
  </si>
  <si>
    <t>RT @ARMYTEAMID: [🎥] Jimin dance own it saat di BTS BEGINS #방탄소년단 #BTS @BTS_twt #7isJIMIN</t>
  </si>
  <si>
    <t>Boleh tanya gak, anak-anak isis agamanya apa &amp; anak korban teroris agamanya apa? Mungkin dari situ kita bisa tau jawaban terjadinya perbedaan perlakuan. RT @BirgaldoS: Anak2 korban bom teroris dicuekin cari biaya sendiri berobat ke luar negeri. Anak2 teroris ISIS di luar negeri akan dijemput dan dibiayai hidupnya sampai dewasa. Sesekali lihatlah isak tangis Alvaro dan Trinity itu Pak @jokowi Pak @mohmahfudmd</t>
  </si>
  <si>
    <t>5 WNI Positif Korona di Jepang Membaik</t>
  </si>
  <si>
    <t>RT @hidupnanindah: Sebagai pemilik Pulau Sebaru Kecil, Tomy Winata memberikan fasilitas-fasilitas yang terbaik untuk para WNI yang sedang dikarantina disana. #PulauSebaru #AGPeduli #ArthaGrahaPeduli #Coronavirus #Corona #Covid19</t>
  </si>
  <si>
    <t>@yourbabyys Wkwkwkwkwkkw Gapapa, perlu 5 tahun di indonesia sama mempelajari bahasanya baru bisa jadi WNI</t>
  </si>
  <si>
    <t>RT @Puspen_TNI: Jaga Kesehatan Mental WNI Kru Diamond Princess, KRI dr. Soeharso-990 Sediakan Pendampingan Psikiater . Usai melaksanakan olahraga pagi, Tim psikologi memberikan pendampingan berupa permainan interaktif yang melibatkan ke-69 ABK😎💂 #TNIPeduli #TNIAL #VIRUS_CORONA #KRISoeharso</t>
  </si>
  <si>
    <t>Jokowi mengajak masyarakat agar mendoakan dan memberi dukungan bagi dua WNI yang dinyatakan positif terjangkit virus corona</t>
  </si>
  <si>
    <t>@4nti_Cebon9 @Dennysiregar7 Kadrun goblok, pemilih Jokowi itu 85jt+, populasi WNI keturunan itu gk sampe 2% penduduk Indonesia. Gimana 70:30% ? Punya duit beli otak jgn rokok lu banyakin.</t>
  </si>
  <si>
    <t>2/3/2020, Pemerintah Indonesia resmi umunkan 2 WNI terjangkit wabah Corona. Tgl sama 2 Maret 55 tahun lalu (1965), untuk pertama kali film The Sounds of Music diluncurkan di Amerika Serikat. Adakah keduanya saling berhubungan?? Simak tulisan berikut...</t>
  </si>
  <si>
    <t>Isis ni esok...Jaga-jaga. RT @faisalrahmat__: @trisyiakhan ok done 🤲🏻</t>
  </si>
  <si>
    <t>RT @wahhabicc_jabar: Ha ha ha... 🤣 Anak² di negeri ini saja banyak yg tidak terdidik dan tidak tertangani oleh pemerintah! Bahkan ada yg kelaparan! Anak² isis biar tdk salah didik? 😆</t>
  </si>
  <si>
    <t>@DeHoutman7 Punya OTAK saja kagak....mana ngerti Nasionalisme..BUNGUL</t>
  </si>
  <si>
    <t>RT @siswanisenan: Punca KEGEMUKAN yg kita tidak sedar: 1. Skip sarapan pagi 2. Mkn nasi dgn kuah banjir 3. Tak mkn buah 4. Suka krim, cheesy, mayonis, dressing, sos etc 5. Minum minuman manis + susu pekat 6. Tak cukup rehat &amp; tidur RT &amp;amp; follow for more tips diet</t>
  </si>
  <si>
    <t>Alhamdulillah, semoga insentif bisa dialihkan sbg program pemberian masker gratis bagi wni. RT @kumparan: Setelah penemuan pertama kasus virus corona di Indonesia, pemerintah memutuskan untuk menunda pemberian insentif bagi influencer dan wisatawan asing.</t>
  </si>
  <si>
    <t>@DTanjung15 Kerena merrka pikir, yg menjadikan mereka kaya dan terkenal adalh somat...kufur nikmat</t>
  </si>
  <si>
    <t>RT @davidridwanbetz: Disaat ' Orang Cina' dihujat dan di' Bully' oleh masyarakat dunia terkait sumber malapetaka penyebaran Virus Korona, Presiden @jokowi malah sibuk menimang nimang Orang Cina bekas Narapidana penista Agama , ada apa dengan org Cina WNI keturanan ini yg bernama AHOK ? Cc ...</t>
  </si>
  <si>
    <t>Prajurit Korps Marinir TNI AL dari Pasmar-1 sedang melakukan pengambilan sampel darah WNI dari MV World Dream di Pulau Sebaru Kepulauan Seribu. (3/3/2020).</t>
  </si>
  <si>
    <t>RT @DTanjung15: Dear Tengku Wisnu and Artis Pendukung HTI Gua cuma mau mengingatkan loe orang. Loe anti Kafir dan Asing perlu loe ingat yaa selama ini loe kerja cari makan diPH punya orang2 Non Muslim lho🤣 Mereka berjasa membesarkan nama loe orang. Kalo bukan karna mereka loe ngga akan terkenal</t>
  </si>
  <si>
    <t>9. “Meskipun WNI tersebut sudah dinyatakan bebas Covid-19, masyarakat perlu memahami bagaimana upaya pencegahannya”, ujar Unang. Sahabat, bagaimana tanggapanmu mendengar kabar corona yang kian hari kian mengkhawatirkan?</t>
  </si>
  <si>
    <t>Kalau memang tertindas, mengapa tidak gabung sama ISIS kemarin-kemarin. RT @habibthink: Inilah contoh mayoritas yang merasa tertindas.</t>
  </si>
  <si>
    <t>Hampir sebulan tanpa ada tuntutan &amp; publikasi resmi dari pihak penculik? Tak ada pihak keluarga/institusi yang lapor kehilangan? Abu Sayyaf turun level kelas teri? Ada missi terlubung lain dibalik rencana kirim delegasikah? @jokowi @fadjroeL @kaesangp</t>
  </si>
  <si>
    <t>@detje1212 @JohnIrwan4 @TolakBigotRI sesama saudara muslim di tolak. Sesama ISIS tidak ditolak. ada waktunya tinggal tunggu waktu. Apakah Aming tinggal di Jogja?</t>
  </si>
  <si>
    <t>RT @Res_Dharmasraya: Pulau seluas 16,6 hektare tersebut rencananya akan digunakan bagi 188 WNI ABK kapal pesiar World Dream dan dijadwalkan berlabuh ke Pulau Sebaru, hari ini. #BersamaCegahCorona</t>
  </si>
  <si>
    <t>RT @Res_Dharmasraya: epolisian Republik Indonesia (Polri) akan turun mengamankan Pulau Sebaru, Kepuluan Seribu. Pasalnya, pulau seluas 16,6 hektare tersebut akan dijadikan tempat observasi penularan virus korona (Covid-19) bagi 188 WNI ABK kapal pesiar World Dream #BersamaCegahCorona</t>
  </si>
  <si>
    <t>RT @HmsPoldaSumsel: Panglima dan Kapolri tinjau lokasi obervasi WNI di Pulau Sebaru #BersamaCegahCorona #BersamaCegahCorona #BersamaCegahCorona</t>
  </si>
  <si>
    <t>bukti nyata orang2 yg gunakan anak2, bahkan bayi, u/ jadi tameng (human shield) &amp; cari simpati atas nama HAM semoga Indonesia tidak mudah lunak o/ propaganda HAM murahan dari pendukung ISIS ex WNI, walau mereka gunakan anak2 sebagai alasan u/ kembali 👎🏽 RT @AmyMek: MEDIA BLACKOUT Migrants (invading soldiers) are deliberately harming babies so they cry for the cameras in Greece &amp;amp; throughout Europe Human traffickers are smuggling these kids into Europe while jihadists &amp;amp; the fake news uses them as props to pimp &amp;amp; exploit emotions from public</t>
  </si>
  <si>
    <t>8. Terlebih, menurut kepala Puskesmas Gunung Sindur, Dr Unang mengatakan bahwa terdapat WNI yang berhasil dipulangkan dari Wuhan.</t>
  </si>
  <si>
    <t>RT @cangkir_plastik: Yg di dalam negri aja dah terang2an. Apalagi lw mulangin ex WNI ISIS. Makin parah nih</t>
  </si>
  <si>
    <t>Negara ini harus mengkarantina 14 hari setiap yang datang dari luar. Karena pemeriksaan di bandara tidak efektif yg dibuktikan adanya dua WNI yang positif corona setelah berkontak langsung dengan WNA. Kalau di dalam negeri tidak mampu dikendalikan bgmn? #CoronaVirusIndonesia</t>
  </si>
  <si>
    <t>@isis_macedo10 Keula</t>
  </si>
  <si>
    <t>RT @FerdinandHaean2: Korban Meninggal akibat Corona di Italia berjumlah 52 jiwa dari total 2 ribuan kasus dan Italia telah mengunci 10 lebih kota utk mencegah penyebaran Corona. Sementara itu ada 2 ribu orang lebih WNI di Italia. Semoga WNI di Italia baik2 dan sehat2 semua terhindar dr Corona.</t>
  </si>
  <si>
    <t>2 orang pasien positif Corona pertama di Indonesia sekarang kondisinya baik. Relatif sehat. Gejala yang masih ada cuma batuk sesekali. WNI yang kena Corona di Singapura sudah sembuh.</t>
  </si>
  <si>
    <t>Wajar KBRI Roma ngelarang WNI pergi ke kota-kota ini, kasus COVID-19 di Italia paling banyak setelah Korsel 😥</t>
  </si>
  <si>
    <t>... ninggalin rumah dan rutinitasnya buat ikut suatu organisasi yang mereka ga liat scr langsung kegiatannya seperti apa. Harusnya pernyataan mereka ttg kebobongan tsb bisa jadi testimonial buat calon calon yang pengen bgt join ISIS tapi belum berangkat kesana</t>
  </si>
  <si>
    <t>Komisi IX DPRRI melakukan Kunjungan Kerja On the spot, Rabu 4 Maret 2020 Jam 09.00 WIB ke Kementerian Kesehatan RI dlm rangka menanggapi lebih jauh ttg telah diketahuinya 2 orang WNI yg terjangkit virus Corona (COVID-19). #Komisi9 #DPRRI</t>
  </si>
  <si>
    <t>Disaat ' Orang Cina' dihujat dan di' Bully' oleh masyarakat dunia terkait sumber malapetaka penyebaran Virus Korona, Presiden @jokowi malah sibuk menimang nimang Orang Cina bekas Narapidana penista Agama , ada apa dengan org Cina WNI keturanan ini yg bernama AHOK ? Cc ... RT @rmol_id: Jika Ahok Terpilih Pimpin IKN, Novel Makin Yakin Ada Rahasia Jokowi Yang Digenggam #IbukotaBaru #Ahok #RepublikMerdeka</t>
  </si>
  <si>
    <t>RT @DTanjung15: Kira2 Si Fahira bakal Kena Patroli Polisi ngga ya karna dia udah menyebarkan Hoax tentang Corona...</t>
  </si>
  <si>
    <t>@masdyasri2 @aniesbaswedan @msaid_didu Wahh..ini kudet banget lu. Apa kamu lupa dgn berhasil nya semua WNI yg di evakuasi dari Wuhan ? Itu semua berkat kesigapan pemerintah. Goblok jgn di piara kek Wan abud drun😄</t>
  </si>
  <si>
    <t>Satu Orang WNI Positif Terinfeksi COVID-19 di Taiwan. Kemungkinan Akan ada yg lain karena sebelum terdeteksi pihak Otoritas Taiwan. Pasien Sempat bertemu dengan Teman teman sesama WNI.@YanHarahap @AgusYudhoyono @panca66 @akang_hero @jansen_jsp</t>
  </si>
  <si>
    <t>RT @kh_notodiputro: Jangan langsung dipercaya hasil JAJAK PENDAPAT ini, tapi jangan juga langsung ditolak.. Ternyata pak @ganjarpranowo merajai jajak pendapat ini (77%). Adakah yang tidak setuju dg hasil ini (silakan like)? Adakah yg setuju dgn hasil ini (silakan retweet)... monggo...</t>
  </si>
  <si>
    <t>abis baca wawancara2 tentang pengungsi WNI ex ISIS yang kejebakbdi camp pengungsian, dan ternyata mereka dapet propaganda dari internet. pas sampe di suriah baru sadar kalo semuanya bohong. yang gue pikirin emang kaya gimana propagandanya sampe orang bela belain...</t>
  </si>
  <si>
    <t>RT @tempodotco: Juru Bicara Pemerintah Indonesia untuk penanganan COVID-19, Achmad Yurianto, mengatakan 188 WNI kru Kapal World Dream semuanya dinyatakan negatif terinfeksi virus corona.</t>
  </si>
  <si>
    <t>RT @KRMTRoySuryo2: Tweeps, Astaghfirullah, ini Bukan HoaX. Barusan Menkes dr Terawan AP umumkan 2 (dua) WNI terkena SARS-CoV-2 alias Positif COVID-19. Tinggal di Depok; Ibu &amp; anak, usia 64 &amp;amp; 31 Th. Keduanya tertular WN Jepang yg ke Indonesia. @KemenkesRI juga sdh ada Website</t>
  </si>
  <si>
    <t>RT @ANDINI_MAHARAN1: INI BUKAN HOAX yah... 2 WNI POSITIP CORONA ini tinggal nya di Depok . terinfeksi krn pernah kontak dgn warga negara jepang.</t>
  </si>
  <si>
    <t>RT @ANDINI_MAHARAN1: YG NGGAK BEKERJA ITU PRESIDEN ATAU GUBERNUR INDONESIA ?? WOIII... mana neeh yg bilang GOVERNOR @aniesbaswedan tdk bekerja ? beliau lebih dulu sigap menangani pencegahan dan tindak lanjut untuk wabah VIRUS CORONA. dan sekarang terbukti positip , ada WNI yg terpapar Corona.</t>
  </si>
  <si>
    <t>@Parapat_Nixon @PBPGRI_OFFICIAL @PB_PGRI @Kemdikbud_RI Brengsek ni, ngak kbalik tah, Guru yg mstinya nglatih Ormas agar bljr akhlak, prilaku yg baik, cara brtutur kata &amp; mnyatakn pndpt yg santun, cara jadi WNI yg baik &amp;amp; Pancasilais, cara managemen konflik, itu semya fak Guru sbg PENGAJAR &amp;amp; PENDIDIK, apa2an ini rendahkan martabat guru</t>
  </si>
  <si>
    <t>@jokowi Maskapai apa yang digunakan oleh WN Jepang positif corona untuk fly ke Malaysia? Penerbangan nomor berapa? Apakah sudah disterilkan? Ada berapa WNI dalam maskapai itu? Apakah sudah diperiksa? Ini pandemic. People deserve to know for taking precautions.</t>
  </si>
  <si>
    <t>Kemkes: 67 dari 69 WNI ABK Diamond Princess Negatif COVID-19</t>
  </si>
  <si>
    <t>Juru Bicara Pemerintah Indonesia untuk penanganan COVID-19, Achmad Yurianto, mengatakan 188 WNI kru Kapal World Dream semuanya dinyatakan negatif terinfeksi virus corona.</t>
  </si>
  <si>
    <t>beware of these refugee propaganda.. termasuk juga hati2 terhadap pendukung ISIS ex WNI yg minta kembali ke Indonesia. semuanya PALSU 😡 jangan biarkan Indonesia dirusak pelan2 oleh gerombolan yg Anti-Pancasila ! #NKRIHargaMati RT @V8POW: Hey *Globalists*, next time you shoot refugee propaganda make sure your film crew isn't in the shot too. Btw her first take was better</t>
  </si>
  <si>
    <t>RT @APLpangeran1: Siapapun Boleh ikut Polling ini, tanpa terkecuali...👌👍🙏 Apakah anda setuju jika WNI anggota ISIS dipulangkan dari Timur Tengah ke Indonesia...?</t>
  </si>
  <si>
    <t>WN Jepang Penular Corona ke WNI Depok Juga Tulari 2 WN Malaysia</t>
  </si>
  <si>
    <t>Menunggu Khilafah Eks HTI-ISIS Deklarasikan Diri</t>
  </si>
  <si>
    <t>Penasaran sama kisah film ini? Ini sinopsisnya: Film ini berkisah tentang perjalanan gadis 17 tahun yang mengajak keluarga besarnya berhijrah gabung ISIS di Suriah. Mereka setahun tinggal di sana, di bawah kuasa ISIS. Merasakan daerah perang. Bagaimana kelanjutan nasibnya?</t>
  </si>
  <si>
    <t>@elHurryKoRn @imanhidayat1280 WNI mending simak statement dr jubir yg ditunjuk pemerintah,. cueki sj statement dr org2 yg mo cari panggung utk pilpres 2024 spt Anies</t>
  </si>
  <si>
    <t>@ISIS_Balik_NO @muannas_alaidid @77bayoe Langsung di karantina kan saja</t>
  </si>
  <si>
    <t>ORA SUDI !</t>
  </si>
  <si>
    <t>Penting! Ini PASTI DITUTUPI JOKOWI. Siapa yg lbh dulu kena Corona , Wanita Indonesia Depok atau WN Jepang ? Bongkar Histori Pertemuan WNI ini dg org2 sebelumnya. Bisa membuktikan RI SDH dlm KONDISI GENTING , SESUAI STATUS DARI GUBERNUR DKI MENGENAI JUML SUSPECT CORONA .</t>
  </si>
  <si>
    <t>RT @Prambors: #AdamLevine minta maaf krn kmrn sempet marah dan nyebut sebuah event di Chille gak profesional. Krn masalah teknis, perfom Maroon 5 jd ada trouble gitu. Trs Adam kesel &amp; ga mood deh~ Kalo hal yang bikin lo auto drop alias bete/kesel apasih? Isis dong #GwBeteKalo .. #DGITM</t>
  </si>
  <si>
    <t>Tapi rakyat gk siap ngadepin kepulangan anak2 kombatan isis yg sudah terlatih membunuh bahkan merakit bom... RT @wisanggeni_084: Presiden @jokowi menegaskan Pemerintah siap hadapi virus corona. #KamiTidakTakutVirusCorona #StopPanikLawanCorona</t>
  </si>
  <si>
    <t>Jokowi Umumkan WNI yang Positif Corona, Iwan Fals: Salaman Pakai Kaki Ajalah  #jitunews #mikir</t>
  </si>
  <si>
    <t>Korban keganasan teroris yang seharusnya lebih diprioritaskan.. bukannya anak2 eks WNI yang pro ISIS 🙄🤫!!! CC: @jokowi @mohmahfudmd @fadjroeL @BIN_Official @kemendagri @Kemenag_RI RT @BirgaldoS: Laporrr Pak Presiden @jokowi Dan Pak @mohmahfudmd Inilah kondisi Trinity gadis kecil korban bom teroris di Gereja Ouikumene Samarinda. Saya kunjungi pada 9/12/19. Semoga mata hati bapak tersentuh melihat gadis kecil Trinity ini. Bukan anak2 ISIS saja.</t>
  </si>
  <si>
    <t>RT @Puspen_TNI: "Kami sambut kedatangan WNI" kami ikut bertanggung jawab sepenuhnya untuk kesehatan serta keselamatan WNI😎💂 #TNIPeduli #VirusCorona #COVID19</t>
  </si>
  <si>
    <t>RT @J_JK2019: @AnakKolong___ @mohmahfudmd @Puspen_TNI Bosen ditindas, uthi2 ini menuntut utk "ditindih," layaknya di kekhilafahan ISIS ... Bib @WagimanDeep__ n lasekarnya hrsnya bertanggung jawab utk masalah tindih2an ini 😁 ... #BahayaLatenHTi tetap mengancam NKRI #BasmIAKAR2HTI</t>
  </si>
  <si>
    <t>Organisasinya dibubarkan, sementara sales2 khilafah masih bebas keliaran.. Ngurusin HTI aja enggak beres tuntas, masih ditambahin mau bawa balik anak2 ex WNI pro ISIS.. RT @budimandjatmiko: Hati &amp; pikiran mereka nyata2 bukan buat Indonesia. Sementara Indonesia adalah modal awal kita yg mutlak &amp;amp; perlu utk menyumbang bagi ketertiban dunia berdasar kemerdekaan, perdamaian abadi &amp;amp; keadilan sosial. Ditunggu sikap kita</t>
  </si>
  <si>
    <t>@AREAJULID Tau gak si gimana proses observasi buat wni itu. Mereka yang di suspect tuh di observasi selama 14 hari kalo selama itu gak menunjukkan gejala ya mereka gak perlu di tes corona.</t>
  </si>
  <si>
    <t>RT @setkabgoid: Presiden Perintahkan Lindungi Hak Pribadi WNI Teridentifikasi Positif Covid-19</t>
  </si>
  <si>
    <t>Pemerintah pantau WNI yang masih berada di negara signifikan terdampak corona</t>
  </si>
  <si>
    <t>Yg di dalam negri aja dah terang2an. Apalagi lw mulangin ex WNI ISIS. Makin parah nih RT @budimandjatmiko: Hati &amp; pikiran mereka nyata2 bukan buat Indonesia. Sementara Indonesia adalah modal awal kita yg mutlak &amp;amp; perlu utk menyumbang bagi ketertiban dunia berdasar kemerdekaan, perdamaian abadi &amp;amp; keadilan sosial. Ditunggu sikap kita</t>
  </si>
  <si>
    <t>RT @YWihardjo: @paparokenrol @wahhabicc_jabar Iya sibuk ngawal anak2 ISIS eks WNI, smp lupa ngawal anak2 bangsa sendiri</t>
  </si>
  <si>
    <t>RT @PDI_Perjuangan: Dua WNI Positif Terjangkit, Presiden Tegaskan Keseriusan Pemerintah Tangani Wabah Korona  #PDIPerjuangan</t>
  </si>
  <si>
    <t>RT @okezonenews: Pasien 'Suspect' Korona di Balikpapan Bukan Warga Korea, tapi WNI #TauCepatTanpaBatas #BeritaTerkini #BeritaDaerah .</t>
  </si>
  <si>
    <t>Demo masih klayar kluyur. Pengasong agama masih bebas sebar kebencian. Ngomongnya tertindas. Noh, khilafah ISIS di Syuriah. Mereka yang justru jadi tukang sembelih rakyat dan perkosa orang.</t>
  </si>
  <si>
    <t>RT @ReportNewsLive: Tim kesehatan @KemenkesRI bersama TNI sedang melakukan proses pengukuran suhu tubuh para WNI anak buah kapal World Dream di Pulau Sebaru Kecil. #WaspadaCOVID19 #CoronaVirusIndonesia #Covid_19</t>
  </si>
  <si>
    <t>Ini yg seharusnya jadi konsen pemerintah ... jgn anak ISIS ... buktikan bahwa pemerintah hadir bagi korban kebrutalan teroris .. semangat terus buat korban teroris ... biar Tuhan yg bertindak dgn keadilanNya RT @BirgaldoS: Laporrr Pak Presiden @jokowi Dan Pak @mohmahfudmd Inilah kondisi Trinity gadis kecil korban bom teroris di Gereja Ouikumene Samarinda. Saya kunjungi pada 9/12/19. Semoga mata hati bapak tersentuh melihat gadis kecil Trinity ini. Bukan anak2 ISIS saja.</t>
  </si>
  <si>
    <t>Apa yg mau di harapkan dari anak2 kombatan isis yg sudah terlatih u membunuh..gajah di pelupuk mata tiada kelihatan tpi virus disebrang lautan nampak jelas.. @jokowi @Kiyai_MarufAmin @mohmahfudmd @PolhukamRI RT @BirgaldoS: Laporrr Pak Presiden @jokowi Dan Pak @mohmahfudmd Inilah kondisi Trinity gadis kecil korban bom teroris di Gereja Ouikumene Samarinda. Saya kunjungi pada 9/12/19. Semoga mata hati bapak tersentuh melihat gadis kecil Trinity ini. Bukan anak2 ISIS saja.</t>
  </si>
  <si>
    <t>Dibalik tayangan #ILCCoronadiIndonesia semlm Gw salut Tuk @karniilyas brani undang WNI alumni wuhan ke studio tanpa safety. Sbb sependek yg gw tau nmnya virus itu walopun dinyatakan sembuh, virus msh ada pd tubuh Kpn daya tahan tubuh kita berkurang virus bs kembali aktif</t>
  </si>
  <si>
    <t>Pasien 'Suspect' Korona di Balikpapan Bukan Warga Korea, tapi WNI #TauCepatTanpaBatas #BeritaTerkini #BeritaDaerah .</t>
  </si>
  <si>
    <t>Masyarakat tidak setuju kok maksa utk nyambut.presiden @jokowi anda kecolongan.</t>
  </si>
  <si>
    <t>@paparokenrol @wahhabicc_jabar Iya sibuk ngawal anak2 ISIS eks WNI, smp lupa ngawal anak2 bangsa sendiri</t>
  </si>
  <si>
    <t>Siap2 lah ada video potong/penggal leher/kepala yg akan mereka (anak2 WNI eks ISIS) video-kan seperti yg sudah mereka lakukan sebelum nya. Saya ingin itu terjadi dan betul2 terjadi di Indonesia. Biar tahu pemerintahan yg sah saat ini. Bkn bgt pak Haji @HmfaqihA?🙄🙄🤔🤔 RT @AnakLolina: Selamat datang pembela agama Allah, Indonesia sangat butuh kehadiran kalian sbg pemberani. Pluralisme tidak baik di negeri, saatnya Khilafah di tegakkan. Islamic State is the best. Jangan lupa sahabat NKRI siapkan nyanyian &amp; tarian sambut pembela agama.</t>
  </si>
  <si>
    <t>@nanakimiko__ Karena bagi wni peringatan hanya sebatas gurauan semata</t>
  </si>
  <si>
    <t>Kalian ini.. tipikal maruk serakah ibadah gampang ga di tendang ga di bakar.. tp model kalian ini yg ngebom terorisme isis dll malu bor RT @negativisme: kasian mereka, mereka ini kan yang mau bikin tempat ibadah dipersulit?</t>
  </si>
  <si>
    <t>RT @ksrpmiunsyiah: Penyebaran virus corona yang mengalami peningkatan yang begitu cepat, kendati demikian presiden Jokowi menyatakan ada dua WNI positif terkena virus corona.⁣⁣ ⁣⁣ Pengumuman tersebut menjadikan kasus pertama penyakit Covid-19 yang dilaporkan di Indonesia.⁣⁣</t>
  </si>
  <si>
    <t>RT @golddiggeeeer:  dibaca guys minta tolong hehhe</t>
  </si>
  <si>
    <t>@_amandascheid @icretinoreal @isis_scheid KKKKKKKKKKKamoo</t>
  </si>
  <si>
    <t>RT @sopansantun55: Pemerintah Pusat , penegak hukum cuma lip service, bicara tanpa melakukan tindakan nyata atas pelanggaran berserikat / berkegiatan oleh ormas terlarang pengkhianat PANCASILA ! Dapat dilihat dengan wacana menyambut pengkhianat bangsa (pahlawan ISIS) demi bobol anggaran .</t>
  </si>
  <si>
    <t>pemerintah terus beri pengawasan dan pendampingan WNI teridentifikasi Corona #PanikJanganWaspadaHarus</t>
  </si>
  <si>
    <t>Pemerintah Optimal Menangani WNI Positif Corona -</t>
  </si>
  <si>
    <t>Seperti yang kita ketahui bersama, Presiden Jokowi (02/03) secara resmi mengumumkan bahwa dua WNI positif terjangkit Corona 😱 Namun masyarakat dihimbau untuk tidak panik dan tetap menerapkan perilaku hidup bersih dan sehat.</t>
  </si>
  <si>
    <t>RT @BakarSmith: Billboard besar di Irak Bertuliskan: "Kaum Nasrani Irak tidak akan melupakan keagungan dan kemuliaan 2 Sosok Syahid mulia ini yang telah membebaskan wilayah mereka dari teroris ISIS"</t>
  </si>
  <si>
    <t>RT @okkymadasari: Ketika satu pekerja rumah tangga RI positif terkena virus di SG (skrg sudah sembuh total), KBRI patuh hukum utk tak membuka data WNI tersebut. Sebab ada UU privacy di Singapore. Bahkan sampai skrg, ketika WNI sudah sembuh, identitasnya tetap tak diketahui publik.</t>
  </si>
  <si>
    <t>RT @GunRomli: 2 Orang yang Tinggal dengan 2 WNI Positif Corona Dipastikan Negatif, Kemenkes Jelaskan Penyebabnya</t>
  </si>
  <si>
    <t>Pemerintah Terus Pantau Kondisi WNI di Diamond Princess</t>
  </si>
  <si>
    <t>@Iwa_Kusuma @elkrova dan bakal hadir virus baru..anak" isis</t>
  </si>
  <si>
    <t>dibaca guys minta tolong hehhe</t>
  </si>
  <si>
    <t>@AnakLolina Enak ikut jd pejuang isis ya? diperhatikan pemrintah disiapin sgl sesuatunya' di dlm negri mau kelaparan ato ga sekolah ga ada yg peduli .. semoga sukses misi pemulangannya ya bapak2 pejabat yg terhornat .. siap2 Indonesia bubar 2030</t>
  </si>
  <si>
    <t>RT @Aryprasetyo85: #StopPanikLawanCorona Kemkes: 67 dari 69 WNI ABK Diamond Princess negatif COVID-19 "Dari 69 spesimen, sudah ada 67 yang sudah jelas negatif," kata Juru Bicara Pemerintah soal Penanganan Virus Corona, Achmad Yurianto,</t>
  </si>
  <si>
    <t>RT @KhilafahKw: @KadalGu @muhammadiyah @ChusnulCh__ @P3nj3l4j4h_id @permadiaktivis @triwul82 @areksosmed @pergusoID @Tali_Oedeng @Paltiwest @HatakeApi @kangenband123 @Black_lleviant Weh rame nih ?!!, Nggak usah pakai ribut, kekhalifahan kesultanan Mataram sampai saat ini masih yang terbaik bro, belum ada yang menandingi di wilayah NKRI, beda jauh dengan pandangan khilafah yang dibawa HTI dan ISIS.</t>
  </si>
  <si>
    <t>Dua WNI Positif Corona, Kabareskrim Perintahkan Anggota Amankan Pusat Perbelanjaan</t>
  </si>
  <si>
    <t>Saat pak @aniesbaswedan buat pernyataan tentang virus Corona si @FerdinandHaean2 menuduh pak Anies menyebarkan HOAX. Saat @jokowi umumkan 2 org WNI positif Corona,baru dia sadar &amp; mengakui bhw virus Corona sdh ada sesuai dgn pernyataan pak Anies. Begitulah kalo mental penjilat.</t>
  </si>
  <si>
    <t>Update #Covid-19 di Thailand per-3 Maret 2020. Tidak terdapat kasus baru, jumlah kasus terkonfirmasi masih sebanyak 43 orang, 31 dinyatakan sembuh, 11 dirawat rumah sakit dan 1 orang meninggal dunia. WNI di Thailand untuk selalu jaga kesehatan. #inidiplomasi #NegaraMelindungi</t>
  </si>
  <si>
    <t>RT @_therma_: Dua WNI positif terjangkit corona Penularan ini berawal dari kunjungan WN Jepang yg tinggal di Malaysia Sang wanita (31) terdeteksi berdansa dgn WN Jepang di klub Paloma "Dia guru dansa dan dia berdansa dgn teman dekatnya itu (WN Jepang)," kata Terawan</t>
  </si>
  <si>
    <t>Terima kasih suara2 penolakan pemulangan anak-anak ISIS tidak didengarkan pemerintah.</t>
  </si>
  <si>
    <t>RT @rmol_id: Berbarengan Dengan Penemuan Kasus Baru Virus Corona Di Arab, Seorang Jamaah WNI Alami Demam Tinggi #arabsaudi #RepublikMerdeka</t>
  </si>
  <si>
    <t>RT @bemfkh: [WASPADA VIRUS CORONA] Kolega, pada tanggal 2 maret 2020 kemarin Presiden Joko Widodo telah mengumumkan dan mengkonfirmasi bahwa 2 WNI asal depok positif virus corona.</t>
  </si>
  <si>
    <t>RT @detikcom: Menkes Terawan Agus Putranto menjelaskan kronologi 2 WNI terkena virus Corona dari WN Jepang. Begini kronologinya!</t>
  </si>
  <si>
    <t>@inyongmanise @jokowi @mohmahfudmd Sudah tdk percaya kalau Pemerintahan saat bisa tegas dgn kelompok ini . Maaf Pak @jokowi utk persoalan intoleransi , eks isis dan HTI saya akan trus kritik . Jgn krn sdh merasa tanpa beban akhirnya jadi banyak diam . Sementara fakta dilapangan sdh mengkhawatirkan .</t>
  </si>
  <si>
    <t>RT @tempodotco: Ketua Umum Aprindo Roy Mandey mengungkapkan, pasca diumumkannya dua WNI terjangkit virus corona (Covid-19) panic buying terjadi di enam kota.</t>
  </si>
  <si>
    <t>Hoaks, 1000 Tiket Pesawat Gratis untuk WNI Pulang ke Tanah Air Link Counter :    RT @AP_Airports: ⚠ WASPADA HOAX ⚠ Informasi pada gambar di bawah mohon dibaca dengan cermat ya, #SahabatAP1. Harap selalu berhati-hati dalam menerima dan menyebarkan informasi dari media sosial.</t>
  </si>
  <si>
    <t>@na_dirs @maman1965 Klo mau miara kombatan isis itu gmna gus?? Bahkan mau di pulangkan dan di jamin kehidupannya.. sedangkan korban kebiadaban mereka(isis) malah pemerintah gk mengurusi(Di jamin kehidupannya)</t>
  </si>
  <si>
    <t>RT @tribunnews: Kemenkes Ungkap Penyebab 2 Orang yang Tinggal dengan 2 WNI Positif Corona Tak Ikut Terjangkit  lewat @tribunnews</t>
  </si>
  <si>
    <t>Anglo ISIS bone shaman</t>
  </si>
  <si>
    <t>@kholiq486 @budimandjatmiko Fix visi dan misinya sama dengan ISIS</t>
  </si>
  <si>
    <t>2 WNI TERIDENTIFIKASI CORONA SUDAH DALAM PENANGANAN</t>
  </si>
  <si>
    <t>@KadalGu @muhammadiyah @ChusnulCh__ @P3nj3l4j4h_id @permadiaktivis @triwul82 @areksosmed @pergusoID @Tali_Oedeng @Paltiwest @HatakeApi @kangenband123 @Black_lleviant Weh rame nih ?!!, Nggak usah pakai ribut, kekhalifahan kesultanan Mataram sampai saat ini masih yang terbaik bro, belum ada yang menandingi di wilayah NKRI, beda jauh dengan pandangan khilafah yang dibawa HTI dan ISIS.</t>
  </si>
  <si>
    <t>@ernamh That becoz, Pengaruh wahabisme kuat di sana, memang x pelik sis kalau sana lebih "ekstrim" Nak kira balik, kebanyakkan ekstremis seperti Isis dan taliban memang mengikut Wahabi. N 1 more thing, dalam islam tiada paksaan, kalau apa yg sis nmpk tuh, it not the true Face of Islam</t>
  </si>
  <si>
    <t>RT @jenk_kelinn: Gak usah mikir mau mulangin anak2 eks WNI pro ISIS, kalau di Indonesia saja Anak2 pro KHILAFAH malah di obral. *jangan tulikan kuping buat mendengar masukan.</t>
  </si>
  <si>
    <t>@zoelfick Jadi istri pejuang ISIS disana mungkin mrk bisa bahagia</t>
  </si>
  <si>
    <t>RashidaTlaib defending murderous ISIS &amp; Hamas. RT @Imamofpeace: Is a sitting US Congresswoman referring to ISIS and Hamas terrorists jailed in Egypt as “Political Prisoners”!?</t>
  </si>
  <si>
    <t>Kemenkes Ungkap Penyebab 2 Orang yang Tinggal dengan 2 WNI Positif Corona Tak Ikut Terjangkit  lewat @tribunnews</t>
  </si>
  <si>
    <t>RT @anjarisme: Alhamdulillah! Semoga pasien WNI yg positif #COVID19 juga segera sembuh! _ Vietnam Umumkan Semua Pasien Virus Korona di Negaranya Berhasil Sembuh  #CoronaVirusIndonesia</t>
  </si>
  <si>
    <t>@WahabisLokal @Luana_LD @mohmahfudmd emang, cocok nya eks isis itu di satukan di jogja benar pak menag, pak mahfud senang</t>
  </si>
  <si>
    <t>RT @PRFMnews: "Hak-hak pribadi yang berkaitan dengan privasi itu betul-betul dilindunginya,” ujar Presiden Jokowi.</t>
  </si>
  <si>
    <t>Tim kesehatan @KemenkesRI bersama TNI sedang melakukan proses pengukuran suhu tubuh para WNI anak buah kapal World Dream di Pulau Sebaru Kecil. #WaspadaCOVID19 #CoronaVirusIndonesia #Covid_19</t>
  </si>
  <si>
    <t>RT @Aiek_Channel__: #IndonesiaDiAmbangKebangkrutan Walikota Depok mengatakan ada 76 perawat di rumah sakit di Depok terindikasi corona.  Hari ini (2/3/2030) Presiden umumkan 2 WNI asal Depok positif Corona 🔁 Retweet gaess✊ Simak Walikota Depok👇</t>
  </si>
  <si>
    <t>Yth pak @mohmahfudmd dan @kemenagri_pusat apakah masih ingin memulangkan anak2 eks WNI pro ISIS ke Indonesia, sedangkan yang sudah di bubarkan saja masih dapat eksis tanpa rasa takut. RT @WahabisLokal: Fiks yak....! Menag dan Menkopolhukam Pak @mohmahfudmd Kakean polah.... Alias banyak tingkah. Lha wong urus ISIS di dalam negri saja Gak Becus. Padahal mereka(HTI) sudah dilarang. Lha kok malah urus ISIS di luar negri. Mau diimport kesini lagi.</t>
  </si>
  <si>
    <t>RT @aiek_esthreem__: #IndonesiaDiAmbangKebangkrutan Rezim Jokowi yakin tdk ada kasus virus corona. Sbg antisipasi pariwisata sepi, disewa influencer 72M promosikan RI bebas virus corona Hari ini (2/3/2030) Presiden umumkan 2 WNI asal Depok positif Corona 72M unfaedah! Simak Walikota Depok👇 🔁</t>
  </si>
  <si>
    <t>RT @aiek_esthreem__: #IndonesiaDiAmbangKehancuran Menurut @jokowi WNI tertular WN Jepang yg datang ke Indonesia stlh dari Malaysia positif Corona. SDM Indonesia tak bisa dipercaya deteksi VirusCorona. Pantas klo internasional meragukan. Terbukti Jokowi bohong yg sblmnya jg akan tangkap penyebar HOAX</t>
  </si>
  <si>
    <t>RT @btsargento: prohibido olvidar cuando Jungkook y Taehyung se pusieron re locos al escuchar cypher pt3 y Taehyung al final dice “BANGTAN SONYEONDAN SARANGHAEYO” JAJAJAJAJA @BTS_twt</t>
  </si>
  <si>
    <t>@Buditaslim4 @jokow1langon @Entow1j4y4 Emang lu ngerti apa yg mereka omongin...??ISIS aja lagi nangis2 ketakutan di suriah sok2an India lah 😄</t>
  </si>
  <si>
    <t>RT @olencieile: Mudah2an anda @jokowi mengerti kekuatan ikatan Ibu dan anak. &amp; jika anda sdh mengerti marilah kita berdoa sang ibu/Ayah tak pernah membisikan: 1. “balaskan dendam ibu/ayah,nak!” 2. “Nanti jemput ibu/Ayah ya nak!” 3. “Jgn takut nanti kita kumpul di surga!”</t>
  </si>
  <si>
    <t>RT @aiek_esthreem__: #CoronaBukaBorokRezim Sebut Kekuasaan Keropos, Rocky Gerung: Saatnya Memindahkan Kepala Negara, Bukan Ibukota  Wacana ibukota msh tuai polemik 👇 Kmrn bohongi dunia internasional, akhirnya Jokowi umumkan 2 WNI terpapar VirusCorona</t>
  </si>
  <si>
    <t>Pemerintah Fokus Pantau WNI di Negara Signifikan Terdampak Corona</t>
  </si>
  <si>
    <t>RT @Anna_MaSue: Kutipan berita link di bawah ini: 238 WNI yang dievakuasi langsung dari Wuhan beberapa waktu yang lalu, TIDAK DILAKUKAN TES VIRUS CORONA.. Alasannya: 1. Mereka NAMPAK SEHAT 2. Alat pengetesan virus tersebut cukup mahal, 1 miliar.. Jadi..??? 🤦</t>
  </si>
  <si>
    <t>dari awal berita 2 WNI positif corona udah aneh, pemerintah g bikin tes untuk umum tau2 ketahuan cuma 2 org yg kena.. keliatan banget itu orgnya pasti aware dan self checking, bukan “ditemukan”</t>
  </si>
  <si>
    <t>[SIRI 2]: BERATUS-RATUS BEKAS ANGGOTA ISIS WARGA INDONESIA DAN KELUARGA BERKEMUNGKINAN DILUCUTKAN WARGANEGARA  Ikuti kami:  al-haqcentre.blogspot .com  "UNITED AGAINST TERORISME</t>
  </si>
  <si>
    <t>@UKI_djayengrono Semoga Hukum berlaku yg sama kpd semua WNI yg terkena indikasi penyebar hoax tdk tanggung jumlahnya.</t>
  </si>
  <si>
    <t>RT @descayes: Depok adalah tempat: 1. Penyebaran anak kobra yang diduga kerjaannya intel 2. Lokasi tumbuh dan besarnya ito Reinhard Sinaga yg terkenal di Inggris 3. Kediaman 2 WNI kasus pertama positif COVID-19 Wew</t>
  </si>
  <si>
    <t>RT @abah_godegan: KESIBUKAN BPK2 TNI MELAKSANAKAN OPERASI KEMANUSIAAN DI PULAU SIBARU. Gb. 1 Tampak dr jauh WNI yg di karantina di KRI ( RS) SOEHARSO melaksanakan senam pagi. Gb. Logistik yg di butuhkan selamat di karantina. TERIMA KASIH SEMOGA JADI AMAL IBADAH BPK2 TNI SEMUA. Aamiiin</t>
  </si>
  <si>
    <t>RT @salahsambungya: Pertanyaannya gini loh kalau mulangin anak ISIS eks WNI yang dibawah 10 tahun. Lalu disini mrk jd anak yatim piatu gitu? Rencananya apa? Ditaro di panti asuhan semua? Jgn ada cerita emaknya ikut pulang juga ya.</t>
  </si>
  <si>
    <t>RT @BeritaCOVID19: Menlu Retno Marsudi mengatakan 4 dari 9 WNI kru Diamond Princess yg menjalani isolasi di Jepang, telah sembuh, 5 masih di isolasi. Bahkan salah satu telah kembali. Mereka bagian 78 WNI kru Diamond Princess, 68 telah dievakuasi &amp; kini di karantina Pulau Sebaru, 1 masih di kapal.</t>
  </si>
  <si>
    <t>@AnakKolong___ @mohmahfudmd @Puspen_TNI Pak @mohmahfudmd ini dulu yang di urus baru yang dari suria ex anak isis, yang bibit ini sedikit lagi menjadi bibit bibit anti pancasila. dari sinilah intoleransi di mulai. bangsa ini akan mulai kehilangan idiology karena bibit bibit intoleransi di biarkan.</t>
  </si>
  <si>
    <t>RT @RadioElshinta: 2 Kapal Perang Kolinlamil Andalan Satgas Operasi Kemanuasiaan. Mereka tergabung dalam Kogasgabpad untuk membantu Operasi Bantuan Kemanusiaan Observasi WNI di Pulau Sebaru, Kepuluan Seribu, Jakarta. via @Puspen_TNI</t>
  </si>
  <si>
    <t>RT @Puspen_TNI: TNI selalu dampingi WNI seberat apapun resikonya, akan kami lindungi dan dampingi untuk kesehatan WNI😎💂 #TNIPeduli #KRISoeharso #VIRUS_CORONA</t>
  </si>
  <si>
    <t>RT @BNPB_Indonesia: Mengintip Aktivitas WNI World Dream di Pulau Sebaru Kecil, Kepulauan Seribu.</t>
  </si>
  <si>
    <t>2 Kapal Perang Kolinlamil Andalan Satgas Operasi Kemanuasiaan. Mereka tergabung dalam Kogasgabpad untuk membantu Operasi Bantuan Kemanusiaan Observasi WNI di Pulau Sebaru, Kepuluan Seribu, Jakarta. via @Puspen_TNI</t>
  </si>
  <si>
    <t>Pens elepce su kek wni yg panik krn ada 2, DUA, org yg kena korona.</t>
  </si>
  <si>
    <t>@budimandjatmiko Wah...sdh keterlaluan ini!!!...grombolan ini sdh menyerupai ISIS. Pemerintah wajib tegakkan hukum setegas2nya trhadap gerombolan ini...</t>
  </si>
  <si>
    <t>13. Kementerian Kesehatan mendapat dukungan penuh seluruh kementerian dan kelembagaan serta berkomunikasi dg setiap pemerintah daerah. kami meyakini prosedur pemeriksaan WNI maupun WNA yg berada di tanah air dilaksanakan tepat dan terukur #AngkieYudistia #JubirPresidenbidSosial</t>
  </si>
  <si>
    <t>RT @Julia_Zeed: Bisa di simpulkan bahwa Negara ini di huni oleh Banyak Ulama2 Karbitan yg merampas HAM seseorang yg mmbela kebenaran, bahkan pemerintah Jg melanggar konstitusi UUD 45 di mana kebebasan Beragama juga masih terabaikan, blm lgi wacana Pemulangan anak ISIS pake duit siapa?Pribadi?</t>
  </si>
  <si>
    <t>RT @kemkominfo: Pemerintah Terus Berupaya Tingkatkan Perlindungan WNI di Korea Selatan</t>
  </si>
  <si>
    <t>3/ Kijana! Sikiza! ISIS ni waovu na hawakujali. Watakudhulumu na watakuweka wewe mstari wa mbele kushambuliwa! Usiseme hukuonywa maanake umeonywa sasa! Jiepushe nao! Unasikia?</t>
  </si>
  <si>
    <t>Hadapi yg kyk gini aja melempem kyk kerupuk kecelup air !! Koq malah mau import anak2 ISIS eks WNI yg nyata2 milisi terlatih &amp; auto siap porak porandakan republik ini !! Kmna lagi penghuni republik ini hrs berharap ketika pemegang otoritas kewenangan pun mengabaikan ANCAMAN ini ? RT @DeHoutman7: Nasionalisme kok dibilang pemecah belah persatuan umat. Gimana judulnya?😆</t>
  </si>
  <si>
    <t>RT @DatuakAtuk: @Arissukamto @ChusnulCh__ 😂 Kebanyakan Kadrun Macam kamu @Arissukamto tidak tau kenerja &amp; kridibilitas Ahok.. , tau Ahok setelah ada kasus penistaan agama aja kan ? ... Lah dulu demo Ahok datang dari Aceh Padang ,Jabar Jateng &amp;amp; Jatim 😋 Kota Jakarta itu ibu kota RI wajar sebagai WNI peduli 😋</t>
  </si>
  <si>
    <t>6. Pengetatan akses masuk bagi setiap warga, baik WNI maupun warga asing juga terus dilakukan seluruh pintu masuk, baik di Bandara, pelabuhan, maupun perbatasan darat #AngkieYudistia #JubirPresidenbidSosial</t>
  </si>
  <si>
    <t>ISTANA TERUS PANTAU PERKEMBANGAN PASIEN POSITIF COVID-19 1. Dua WNI yang sedang menjalani perawatan intensif di rumah sakit Sulianti Saroso, Jakarta Utara, hingga saat ini kondisinya baik #AngkieYudistia #JubirPresidenbidSosial</t>
  </si>
  <si>
    <t>RT @Tarawinat4: 238 WNI dievakuasi dari Wuhan &amp; dikarantina diNatuna selama dua pekan tapi tidak dites virus corona dgn alasan alatnya mahal. Negara sudah berpindah status jadi negara maju, tapi alat tes virus corona pun tak mampu dibeli😂 #IndonesiaDiAmbangKebangkrutan</t>
  </si>
  <si>
    <t>@kharimahka Kok isis meh dadi opo we</t>
  </si>
  <si>
    <t>@Indianandabori1 @AbdurachmanAl @jokowi @mohmahfudmd Assad menyiksa sampai mati 11501 orang. ISIS menyiksa sampai mati 20 orang.</t>
  </si>
  <si>
    <t>Heran sama orang orang yg tiba tiba nyetok makanan instan secara berlebihan sejak dua WNI positif virus Corona. Padahal dianjurkan untuk makan makanan yg sehat bukan makanan instan😔✊</t>
  </si>
  <si>
    <t>@Generasi_MudaNU @caknanto Muhammadiayah dari dulu pro HTI dan selalu mendukung Isis</t>
  </si>
  <si>
    <t>RT @zarazettirazr: K : Apakah kemudian ada pemberitahuan Anda positif Covid-19? J: Enggak ada. Sampai kemudian heboh kemarin itu… (Senin, 2 Maret 2020, Presiden Joko Widodo secara resmi mengumumkan dua WNI positif Covid-19).</t>
  </si>
  <si>
    <t>RT @indahkus: DANG. JOKOWI: 2 WNI TERDIAGNOSIS CORONA. Yg diberitain malah; sejarah wni napa lolos thermal scanner lalu abis dr jepang singgah cantik ke malay baru ke indo. Ga penting anyg. Mending cari tau tu 2 pasien kunci lu abis dr mana aja pas di indo, smpet berobat kmn dll. ITU.</t>
  </si>
  <si>
    <t>RT @P3nj3l4j4h_id: Arab saudi, angola (afrika barat) sudah melarang wni u masuk kenegaranya efek corona. Bahkan ada yang sudah mendapat visa dan tiket terpaksa di cancel untuk berangkat. Pemerintah harus segera atasi wabah ini jika tidak dampakny akan semakin besar.</t>
  </si>
  <si>
    <t>@okkymadasari Buat g, +62 udah hopeless. Merasa mayonaise, sok jagoan dan sok tuan rumah, paling cempreng nindas minori. Gila agama. Pengen bawa pulang ISIS. Sekarang, lagi krisis, MALAH DGN SENGAJA persekusi korban Corona, melakukan kriminalitas melanggar privasi korban. 🤮🤮🤮</t>
  </si>
  <si>
    <t>@adimas_tedjo @k4ng_C1reNG yg beginian berasa dpt panggung smnjak ada rencana pemulangan dan fasilitas bibit radikal isis oleh pemerintah. bibit itu bom waktunya nah mereka2 ini triggernya.</t>
  </si>
  <si>
    <t>RT @WartawanPensiun: Pemerintah meminta masyarakat mau menerima anak2 eks WNI ISIS? Lihat video di bawah ini, apa mungkin masyarakat menerima, apa mungkin ikhlas? Sumpah, gue seeh gak ikhlas. Ngeri malah!!😭 Link:</t>
  </si>
  <si>
    <t>@budimandjatmiko Kenapa dibiarkan?? Saya dukung @jokowi duli berharap akan tegas mengatasi hal2.seperti ini. Nyatanya sangat mengecewakan, malah mau memgbalikan anak2 isis, apa maksudmya??</t>
  </si>
  <si>
    <t>@PipiCarreta Isis, Biscocha, Nutela, Coco</t>
  </si>
  <si>
    <t>RT @Somalilandhano1: @BBCWorld Taliban, Alqaeda and ISIS.....all Made in USA.</t>
  </si>
  <si>
    <t>Cc pak @mohmahfudmd anak2 ex isis klo di pulangin sekalian suruh gabung di sini aja pak. RT @EdyGypsum: Mereka tak pernah lupa membawa anak" kecil Poster yang di bawakan tentang kekerasan Curut HTI emng njelehi Mf muka sengaja tak tutupi</t>
  </si>
  <si>
    <t>*Bakal Disekolahkan Hingga SMA oleh Jokowi dengan Biaya Pribadi, Enam Bersaudara yang Yatim Piatu dalam Sehari di Balikpapan Ini Sampai Dibukakan Rekening Bank. =Yang begini baru pas. Bukan anak WNI eks ISIS yang di pelihara.</t>
  </si>
  <si>
    <t>RT @daudbpp: @AnakKolong___ @mohmahfudmd @Puspen_TNI Siapapun dia baik itu isis atau teroris,jgn coba2 memaksakan kehendakmu di Indonesia,saya pastikan akan melawan Kalian ingat itu!!!</t>
  </si>
  <si>
    <t>Video 188 WNI Jalani Observasi di Kepulauan Seribu dalam Pengawasan Dokter</t>
  </si>
  <si>
    <t>@AnakKolong___ @mohmahfudmd @Puspen_TNI Siapapun dia baik itu isis atau teroris,jgn coba2 memaksakan kehendakmu di Indonesia,saya pastikan akan melawan Kalian ingat itu!!!</t>
  </si>
  <si>
    <t>Menyambut anak anak Khilafah ISIS yg mau dipulangkan apalagi yg konvoi itu kebanyakan pelajar dan mahasiswa RT @elHurryKoRn: Meski Ormasnya udah Dibubarkan bukan berarti Urusan Selesai, karna blom ada UU yg bisa menjerat mreka scara individu di Malioboro hariini masih aja demo dg simbol2 Khilafah .</t>
  </si>
  <si>
    <t>RT @cagubnyinyir2: Dansa yok Penularan dansa ! Virus Corona ke 2 WNI asal Depok, SAAT Acara dansa dgn WN Jepang, di Restoran Amigos di Kemang JAKSEL!  @m_yanto_baemo @LisdiyantoR @Oetaryo7 @cahangon88 @marsonom97 @Barna_byo @Bubut871 @yogo_prst @novapermana8</t>
  </si>
  <si>
    <t>Beberapa perwakilan pengusaha WNI dan diaspora Indonesia di Kaledonia Baru berkumpul untuk saling berbincang berbagi pengalaman dan informasi di Wisma Kepala Perwakilan RI Noumea pada hari Senin, 17 Februari 2020. #IniDiplomasi #IndonesianWay #RintisKemajuan #KJRINoumea</t>
  </si>
  <si>
    <t>2 KAPAL PERANG KOLINLAMIL ANDALAN SATGAS OPERASI KEMANUSIAAN . Mereka tergabung dlm Kogasgabpad utk membantu Operasi Bantuan Kemanusiaan Observasi WNI di Pulau Sebaru, Kepuluan Seribu, Jakarta Utara😎💂 #TNIPeduli #TNIAL #KRIBandaAceh #KRIBanjarmasin</t>
  </si>
  <si>
    <t>RT @ndorokakung: Dua WNI positif Covid-19 berasal dari Depok. Para jurnalis harap waspada kalau cari pernyataan tetangga. Lindungi data pasien, lindungi dirimu sendiri jangan sampai tertular di lokasi yang dicari.</t>
  </si>
  <si>
    <t>JAWABAN: Kenapa WNI Eks-Karantina Natuna Tidak "Diperiksa"?</t>
  </si>
  <si>
    <t>@liayaharmani Liayah 😍😍</t>
  </si>
  <si>
    <t>: Jokowi Perintahkan Lindungi Hak Pribadi WNI Teride...</t>
  </si>
  <si>
    <t>@Fredi82095256 @BungIndra8 @Harjanto212 @ustadtengkuzul Dan Alkhamdulilah hidup saya punya hutang dengan orang tua. Karena mereka telah membesarkan saya hingga saya bisa seperti saat ini... Juga saya punya hutang dengn negara Indonesia karena telah membesarkan nama saya dan melindungi saya sebagai WNI. 😌</t>
  </si>
  <si>
    <t>Ini Aktivitas Ratusan ABK yang Diobservasi di Pulau Sebaru Pemerintah telah memilih Pulau Sebaru Kecil sebagai lokasi observasi 188 WNI Anak Buah Kapal (ABK) Kapal Pesiar World Dream, dan 69 ABK Kapal Diamond Princess.</t>
  </si>
  <si>
    <t>Kumpulan orang dungu. Mau tiru ISIS bangun Khilafah.... padahal yang dulu ikut ISIS malah mewek2 minta pulang ke RI. Innalillahi! Memanfaatkan Momen Corona, Pengasong Khilafah Parade di Jogja Bawa Bendera Eks HTI  via @suaraislamco</t>
  </si>
  <si>
    <t>Ini namanya orang miskin dan anak-anak isis yg terlantar di pelihara Negara ya pak @mohmahfudmd?????</t>
  </si>
  <si>
    <t>RT @laneije: @liputan6dotcom Dibaca dulu gais isi beritanya, jangan ketrigger sama judul. Isinya penjelasan itu lagi dicari orang orang yg sempet kontak sm 2 wni yg positif</t>
  </si>
  <si>
    <t>TNI selalu dampingi WNI seberat apapun resikonya, akan kami lindungi dan dampingi untuk kesehatan WNI😎💂 #TNIPeduli #KRISoeharso #VIRUS_CORONA</t>
  </si>
  <si>
    <t>Jaga Kesehatan Mental WNI Kru Diamond Princess, KRI dr. Soeharso-990 Sediakan Pendampingan Psikiater . Usai melaksanakan olahraga pagi, Tim psikologi memberikan pendampingan berupa permainan interaktif yang melibatkan ke-69 ABK😎💂 #TNIPeduli #TNIAL #VIRUS_CORONA #KRISoeharso</t>
  </si>
  <si>
    <t>RT @ramdanpurnamaa: #StopPanikLawanCorona #LawanCovid19 HEADLINE NEWS : 2 WNI POSITIF TERJANGKIT VIRUS CORONA MASYARAKAT INDONESIA :</t>
  </si>
  <si>
    <t>@CNNIndonesia 40 WNI positif CORENGEN!!!!!!!</t>
  </si>
  <si>
    <t>@djonnyrg @aniesbaswedan @dinkesJKT @DKIJakarta Otak di dengkul ky lu ya begini ini, bilang kalo virus corona bkn wewenang kasih komentar,lalu wewenang siapa ? Udah ada WNI yg terkena virus baru kepala rezim lu kasih pemberitahuan.gk ada reaksi buat proteksi ke rakyat !!!!!!</t>
  </si>
  <si>
    <t>Ini yg memang ingin diciptakan Amerika, created a new terorist. Setelah ISIS kalah di Suriah. Maka Amerika perlu menciptakan organisasi teroris baru. Agar cap teroris tetap pada ISLAM. Dan India dijadikan Ladang baru oleh Amerika. Jihad??? RT @jokow1langon: India mengobarkan perang terhadap Islam di sambut para mujahid Pintu Syurga terbuka, disambut takbir dan meriah, *1 juta mujahid siap masuk India* Alloohu Akbar *Copas* #Muslims #Indiamuslims #muslimindia</t>
  </si>
  <si>
    <t>RT @BaskoroKata: Seandainya mrk pulang, teroris2 junior ini akan menjadi tentara #Khilafah di NKRI! #TolakISIS  @Jaewongsingsong @purwantoraharjo @yurikoimut @tap_mz @Sidin79901699 @ISIS_Balik_NO</t>
  </si>
  <si>
    <t>RT @RoroMenduttt: @penk_windasmara @snmln_ @qzruh_jogja @kratonjogja @HemasGKR @GKRHayu @gkrcondrokirono @GKRMangkubumi @PoldaJogja Ya sudah kritik ini saja! Pengin tanya ke mereka; warga NON-pribumi itu yang kek opo?</t>
  </si>
  <si>
    <t>@makLambeTurah @AmbarwatiRexy @Ivone_RSZ Kayaknya beda ya mak. Klo liat resep2 di yutub oleh WNI yg ada diluar sana katanya pake bawang hrs banyak soalnya aromanya kurang. Gak kayak bawang lokal di indonesia. Selalu gtu katanya mak..</t>
  </si>
  <si>
    <t>RT @Jogja24Jam: Hari ini ramai sekali pemberitaan mengenai WNI yang positif terjangkit #VirusCorona. Yuk waspada, bagaimana #CoronaVirus dapat menyebar dan apa saja yang dapat kamu lakukan untuk melindungi diri? Ayo disimak lur 👇 Sumber @UNICEFIndonesia #COVID19⁣ #WaspadaVirusCorona⁣</t>
  </si>
  <si>
    <t>@KompasTV Pertama kpmbatan Isis maudipulangkan kedua ,salah agama binmas untuk Kisten Katolik ,nanti apa lagi ?, kabinet Jokowi sudah kemasukan angin HTI</t>
  </si>
  <si>
    <t>IHS = Isis + Horus + Seth (Ida Sushumna Pingala)</t>
  </si>
  <si>
    <t>Ketua Umum Aprindo Roy Mandey mengungkapkan, pasca diumumkannya dua WNI terjangkit virus corona (Covid-19) panic buying terjadi di enam kota.</t>
  </si>
  <si>
    <t>RT @CNNIndonesia: Empat WNI Positif Corona di Jepang Dinyatakan Sembuh</t>
  </si>
  <si>
    <t>RT @AutoAdsJa: 2011 Toyota Isis For Sale in #Jamaica #usedcar #carforsale</t>
  </si>
  <si>
    <t>@Parapat_Nixon @kemendagri @dprddkijakarta Trus statmen @aniesbaswedan yang 115 warga dki tu hoaks lo apa statment aslI? Tu @aniesbaswedan suruh nunjukin dimana saja RS nya .. Jd inget kepulangan wni dr china soal corona yang di demo warga</t>
  </si>
  <si>
    <t>@AfifFuadS Mengerikan ..khilafah itu juga aliran ISIS ...diluar faham keyakinan kelompok mereka dianggap kafir dan bisa dibunuh.....jelas itu bukan Islam sesuai Nabi Muhammad saw</t>
  </si>
  <si>
    <t>2maret pagi, presiden Jokowi umumkan bhw sdh ada 2 WNI yg terdeteksi positif virus covid-19. Warga Depok yg tertular dr teman wanita Jepang saat acara dance party di rest Amigos-kemang. Tak lama, viral warga yg panic buying di supermarket 🤦‍♀️</t>
  </si>
  <si>
    <t>2011 Toyota Isis For Sale in #Jamaica #usedcar #carforsale</t>
  </si>
  <si>
    <t>Reaksi Bunga Zainal terkait WNI Terinfeksi Virus Korona, Ajak Anak Tingkatkan Kewaspadaan</t>
  </si>
  <si>
    <t>@LuwitaEmilly878 Suruh kesana smua tu @FPI_isback ..masa kalah sama pejuang isis..kwkwkwk</t>
  </si>
  <si>
    <t>@rmol_id WNI pulang dari Cina dipantau, lah warga Cina yg plesiran kemari gimana?</t>
  </si>
  <si>
    <t>RT @kompascom: Untuk merespons masuknya corona ke Jakarta, Pemprov DKI akan menyetop izin perkumpulan orang dalam jumlah besar.</t>
  </si>
  <si>
    <t>Noo ba wni ne yasa bah pic dinta ne and acc dinta ne RT @Waspa_Jnr: Malam, you stole this photo from IG If it is not true, I dare you to prove me wrong Look at the size of the photo kai kana gani kasan anyi cropping nashi ne</t>
  </si>
  <si>
    <t>Himbauan KJRI Houston untuk WNI terkait bencana Tornado di Tennessee dan cuaca buruk di bagian selatan Amerika Serikat. #KJRI #KJRIHouston #IniDiplomasi #DemiNKRI #NegaraMelindungi #IndonesianWay #GeneralConsulateofIndonesia #WeatherForecast #WarningAlert #Houston #Alabama #Texas</t>
  </si>
  <si>
    <t>@MollyJongFast Nazi trump erdogan ISIS</t>
  </si>
  <si>
    <t>@maryambooth Hhhh kaii mryam booth u ar too funny tou kuma kinada lbryn wnda yga tsaraicin wni kuma ba muharraminsa ba shima ai knsan hkuncin ryt...tou deezell dai ya gnki kuma hr video ya mki kji tsoron Allah kadae ba wai abnda mtane ke fadi akai ba</t>
  </si>
  <si>
    <t>@mbahCokro77 Itu tandanya ISIS sudah dekat mbah.</t>
  </si>
  <si>
    <t>RT @shop7heavn: @blackmerz101 @Zamyusof2 banduan semua diorg nak bebaskn..guna nama hak asasi.. jangan lagi percaya pada puak2 nih... ADIB diorg abaikan , LTTE diorg sokong, pompuan melayu kene tuduh ISIS diorg abaikan... puak atheist nih anti Islam</t>
  </si>
  <si>
    <t>@juujulindaa 🤣🤣 juju jr</t>
  </si>
  <si>
    <t>Penelitian di Sumbar: Pengajian Radikal Cikal Bakal Jaringan Pro-ISIS  @DivHumas_Polri @sidneyIPAC @Kemenag_RI</t>
  </si>
  <si>
    <t>RT @YohanesPatty2: @adimas_tedjo @germantantra @k4ng_C1reNG Waduh, Malioboro yg damai kok jadi gini yah...apa kalau Khilafah rakyat langsung sugih opo...??? Suriah kere lur....krn ISIS.</t>
  </si>
  <si>
    <t>Aku nk @Alissonbecker laaaaaa RT @LFC: 🔴 TEAM NEWS 🔴 Our side to face @ChelseaFC in the #EmiratesFACup 👊</t>
  </si>
  <si>
    <t>@narkosun @mohmahfudmd Gini mau nerima balik anak-anak yang dari isis itu?</t>
  </si>
  <si>
    <t>@FerdinandHaean2 Bukannya suatu oknum yang merusak keamanan dan kenyamanan suatu negara itu bisa disebut sebagai penjajah? Seperti ISIS, teroris dan yang itu tuh</t>
  </si>
  <si>
    <t>RT @bimbimhockcae: @Cangkemaaannn 4. ngeden bukannya keluar eek malah keluar negeri membantai isis</t>
  </si>
  <si>
    <t>Sosok Letkol Sitanggang Juru Masak untuk WNI di Pulau Sebaru</t>
  </si>
  <si>
    <t>5 WNI Sepulang Umroh Alami Demam, Pilek, dan Batuk, Sedangkan Pasien Corona Meninggal di Cianjur  via @tribunmedan</t>
  </si>
  <si>
    <t>RT @liputan6dotcom: 2 WNI Positif Corona, Dinkes Periksa Keluarga hingga Teman Dansa</t>
  </si>
  <si>
    <t>2 WNI Positif Corona, Dinkes Periksa Keluarga hingga Teman Dansa</t>
  </si>
  <si>
    <t>@AlterBaseNSFW klo yg nge like lu ex isis, msh ttep mau u jadiin jdoh?!!!</t>
  </si>
  <si>
    <t>RT @tempodotco: Pemerintah tingkatkan pengawasan WNI di empat negara dengan kasus penyebaran virus Corona tertinggi di dunia setelah Cina.</t>
  </si>
  <si>
    <t>@ustadtengkuzul Otak dengkul klo bikin twit gk pake link valid. Yg ini maksud loe?  Asal turis dari Yunan (19 jam perjalanan jauhnya) WNI yg pulang dari Wuhan (kota asal virus) Trus, mau loe gimana? WNI gk dikarantina, biar loe ketularan gitu ya?</t>
  </si>
  <si>
    <t>RT @Beef2F: 2 WNI terinfeksi corona di amigos, kemang timur dan mereka berdomisili di depok. Saya berdomisili di kemang timur dan berkuliah di depok. Manjiw.</t>
  </si>
  <si>
    <t>@AnakLolina Pertanyaannya? Dengan Kebijakan Pemerintah, kapan 12.000 anak terlantar yg hidup dijalanan di urus? Itu saja. Politik memang jahat. Demi menjaga stabilitas politik, takut sama politisasi agama. Calon monster saja diterima dan diurus.</t>
  </si>
  <si>
    <t>@_wni_ AAAAA CUTENYAAA 😭❤❤❤❤❤❤ MUAH MUAH</t>
  </si>
  <si>
    <t>@elisa_jkt Kl kt pak Jokowi, pemerintah lah yg menyelidiki smpai malaysia hingga akhirny ktemu wni tsb. Tp kt wni tsb, mrk sndiri yg inisiatif ke rs.</t>
  </si>
  <si>
    <t>RT @AlfaOmega0110: @AdiMawa22441862 @AfifFuadS Knp hrs lama nunggu?Tdk mengikuti jejak sodara2mu Eks WNI ISIS ke Suriah?Knp lu masih nyaman di negara thogut ini? 😎 Nebak boleh kan?Krn loe pd takut mati, sperti halnya sodara2mu di suriah yg njerit2 mohon pertolongan dr Rezim Jokowi. Agar diselamatkan dr hukuman mati di Suriah</t>
  </si>
  <si>
    <t>Demontrasi anti Pancasila di Jogya.Rupanya ISIS lebih trampil dari Pemerntah RI dgn TNI dan POlRI -nya dan telah lama menyusufp ke Indonesia.Sebelum anak-amak mereka ditampung olh pemerintah RI..</t>
  </si>
  <si>
    <t>Mudah2an anda @jokowi mengerti kekuatan ikatan Ibu dan anak. &amp; jika anda sdh mengerti marilah kita berdoa sang ibu/Ayah tak pernah membisikan: 1. “balaskan dendam ibu/ayah,nak!” 2. “Nanti jemput ibu/Ayah ya nak!” 3. “Jgn takut nanti kita kumpul di surga!”</t>
  </si>
  <si>
    <t>RT @KBRI_Athena: Kelas Tari Saman di KBRI Athena, 28 Februari 2020 KBRI Athena menyelenggarakan kelas Tari tradisional Indonesia secara berkelanjutan yang diikuti oleh WNI, Warga Negara Yunani, dan warga negara lainnya yang berdomisili di Yunani. #inidiplomasi #indonesianway</t>
  </si>
  <si>
    <t>@budimandjatmiko Rupanya ISIS lebih trampil dari Pemerntah RI dgn TNI dan POlRI -nya dan telah lama menyusufp ke Indoneia.Sebblum anak-amak mereka ditampung olh pemerintah RI..</t>
  </si>
  <si>
    <t>Resto Ini Ditutup Karena Virus Corona, Ini Faktanya</t>
  </si>
  <si>
    <t>RT @PFTee: Anak2 ISIS X-WNI Akan DISAMBUT PEMERINTAH dgn pemenuhan sgl kebutuhannya sampai dewasa. Trinity, anak korban BOM Gereja Samarinda ini HARUS MENAHAN SAKIT SETIAP HARI di Guangzhou selama 3 tahun lebih, TANPA ADA PERHATIAN PEMERINTAH. HEBAT BETUL NEGARA INI @jokowi @KakekHalal</t>
  </si>
  <si>
    <t>RT @FaktaNew5: Jubir Penanganan Covid-19: 2 WNI dalam Perawatan, Kondisi Sehat dan Tidak Pakai Selang</t>
  </si>
  <si>
    <t>RT @TOGOG49674234: @budimandjatmiko Ini musuh yg lebih berbahaya dr corona dan ISIS, anak negeri yg menjadi provokator intoleransi. Rasio n arahan.. Jika POLRI melalui @DivHumas_Polri tidak bertindak maka kredibilitas POLRI membela NKRI dipertanyakan</t>
  </si>
  <si>
    <t>Himbauan kepada WNI di Panama, Kosta Rika, Honduras, dan Nikaragua terkait virus Corona (COVID-19) #negaramelindungi</t>
  </si>
  <si>
    <t>@penk_windasmara @snmln_ @qzruh_jogja @kratonjogja @HemasGKR @GKRHayu @gkrcondrokirono @GKRMangkubumi @PoldaJogja Ya sudah kritik ini saja! Pengin tanya ke mereka; warga NON-pribumi itu yang kek opo?</t>
  </si>
  <si>
    <t>RT @DjaritoSadewo: Jokowi Meninggalkan BOM WAKTU . 1. HTI dibiarkan Bergerak. 2. INTOLERAN DIBIARKAN 3. Anak Anak ISIS dirawat dan dijamin Negara. Harusnya diperiode kedua ini Jokowi menumpas Kelompok kelompok Pengacau terutama HTI , FPI dan Kadrun Kadrun yang tidak terima ideologi Pancasila</t>
  </si>
  <si>
    <t>Tolong semua yang menyela dan bertindak ekstrim kepada WNI berdarah Tionghoa untuk menghentikan aksi tersebut, ingat mereka juga korban. Indonesia adalah negara yang berpendidikan, bukan barbarik. Harap saling menjalin persatuan dan jangan terpecah-belah. #ILCCoronadiIndonesia</t>
  </si>
  <si>
    <t>Tolong semua yang menyela dan tindakan-tindakan ekstrim kepada WNI berdarah Tionghoa menghentikan aksi tersebut, ingat mereka juga korban. Indonesia adalah negara yang berpendidikan, bukan barbarik. Harap saling menjalin persatuan dan jangan terpecah-belah. #ILCCoronadiIndonesia</t>
  </si>
  <si>
    <t>Pemerintah tingkatkan pengawasan WNI di empat negara dengan kasus penyebaran virus Corona tertinggi di dunia setelah Cina.</t>
  </si>
  <si>
    <t>Pemerintah fokus pantau WNI di negara signifikan terdampak corona</t>
  </si>
  <si>
    <t>RT @Kemlu_RI: Saat melepas tim penjemput 68 WNI kru Diamond Princess di Soetta #MenluRetno tekankan pentingnya kerja sama &amp; koordinasi yang kuat dari setiap pihak untuk keberhasilan misi penjemputan. Para WNI akan kembali tiba di tanah air tgl 02/03 dini hari. #NegaraMelindungi #IniDiplomasi</t>
  </si>
  <si>
    <t>RT @Bang_Nago: @budimandjatmiko 😌 fanboy khilafah ini binatang yg sama dgn ISIS sih, cuma belum menggigit aja mau tunggu digigit dulu baru mereka dibersihkan? Brbeda dgn JI, mereka ga bisa dideradikalisasi 😌 DPR Kemenkumham Kemendagri TNI POLRI aja gimana? Mau diberantas atau nunggu gigit</t>
  </si>
  <si>
    <t>Kemarin sblm adanya konfirmasi warga indo yg kena corona, pada santuy bahkan kek yg nantangin bla bla bla. Giliran udh di konfirmasi bahwa wni ada yg kena corona eh kinap nya kan maen, payah netizen.</t>
  </si>
  <si>
    <t>@AbdurachmanAl @jokowi @mohmahfudmd Di irak tanah syiah yang dirampas paksa Sunni di era Saddam Hussein ( kaya minyak ) , di suriah tidak Ada tanah yang dirampas ( seluruh penduduk Sunni dulu punya rumah beton Dan tidak pernah Ada jadi pengungsi , jadi pengungsi hanya setelah isis masuk )</t>
  </si>
  <si>
    <t>@MaxAbrahms Ypg ypj iran france abd ISIS ....</t>
  </si>
  <si>
    <t>@abdolaaaliii @As_SourceBrkNew Hezbullah = Al Qaeda = ISIS</t>
  </si>
  <si>
    <t>@adimas_tedjo @k4ng_C1reNG @adimas_tedjo sebagai WNI harus terima. Dan sebagai Islam wajib menerima. Konstitusi menjamin. Tak ada soal dalam aksi ini. Yang menyoalkan aksi ini hanyala orang2 yang tak paham cara bernegara dan orang2 yg anti dengan Simbol2 Agama, khususnya Islam</t>
  </si>
  <si>
    <t>Kakak dan pembantu yang di tracking negatif korona dipulangkan sedangkan WNI yang dipulangkan diobservasi meski telah dinyatakan sehat. #CoronaBukaBorokRezim #CoronaVirusUpdate</t>
  </si>
  <si>
    <t>RT @CNNIDdaily: Kabar mengenai dua WNI yang positif virus corona, membuat sebagian warga mencari masker, serta cairan antiseptik untuk melindungi diri. Meski harganya melambung tinggi, warga tetap membelinya untuk berjaga-jaga.</t>
  </si>
  <si>
    <t>RT @YudaMYP: Yang bikin panik WNI bukan virus corona deh kayaknya, tapi harga maskernya</t>
  </si>
  <si>
    <t>@abah_godegan Udah dikasitau pd ngeyel #valentinebukanbudayakita Club dance pada malam Valentine.... pada 14 Februari 2020</t>
  </si>
  <si>
    <t>@Kemenparekraf dear Pak Wisnutama daripada bayarin influencer mahal2 Dan belum tentu menarik mending wajibkan sj setiap WNI yg bekerja/studi di LN jadi promo in wisata Kita @Kemlu_RI RT @kumparan: Setelah penemuan pertama kasus virus corona di Indonesia, pemerintah memutuskan untuk menunda pemberian insentif bagi influencer dan wisatawan asing.</t>
  </si>
  <si>
    <t>Menlu Retno Marsudi mengatakan 4 dari 9 WNI kru Diamond Princess yg menjalani isolasi di Jepang, telah sembuh, 5 masih di isolasi. Bahkan salah satu telah kembali. Mereka bagian 78 WNI kru Diamond Princess, 68 telah dievakuasi &amp; kini di karantina Pulau Sebaru, 1 masih di kapal. RT @CNNIndonesia: Empat WNI Positif Corona di Jepang Dinyatakan Sembuh</t>
  </si>
  <si>
    <t>RT @antaranews_bali: Pemerintah pantau WNI di negara terdampak corona: Menteri Luar Negeri (Menlu) Retno LP Marsudi mengatakan pemerintah tengah fokus memantau warga negara Indonesia di negara-negara yang paling signifikan terkena dampak virus corona (Covid-19)."Kita…</t>
  </si>
  <si>
    <t>RT @antaranews_bali: Arab Saudi umumkan kasus COVID-19, KBRI imbau WNI tetap tenang: Kedutaan Besar Republik Indonesia di Riyadh mengimbau warga negara Indonesia (WNI) di Arab Saudi untuk tetap tenang dan waspada, setelah pemerintah negara tersebut mengumumkan kasus COVID-19…</t>
  </si>
  <si>
    <t>Pemerintah pantau WNI di negara terdampak corona: Menteri Luar Negeri (Menlu) Retno LP Marsudi mengatakan pemerintah tengah fokus memantau warga negara Indonesia di negara-negara yang paling signifikan terkena dampak virus corona (Covid-19)."Kita…</t>
  </si>
  <si>
    <t>Arab Saudi umumkan kasus COVID-19, KBRI imbau WNI tetap tenang: Kedutaan Besar Republik Indonesia di Riyadh mengimbau warga negara Indonesia (WNI) di Arab Saudi untuk tetap tenang dan waspada, setelah pemerintah negara tersebut mengumumkan kasus COVID-19…</t>
  </si>
  <si>
    <t>Toyota ISIS 2005 Aut. Naf. Rec. Impor. Ofertaa!! Precio: 31.500.000 Gs. Consultas al 0981670933 en D y G Motors SRL</t>
  </si>
  <si>
    <t>Jokowi Meninggalkan BOM WAKTU . 1. HTI dibiarkan Bergerak. 2. INTOLERAN DIBIARKAN 3. Anak Anak ISIS dirawat dan dijamin Negara. Harusnya diperiode kedua ini Jokowi menumpas Kelompok kelompok Pengacau terutama HTI , FPI dan Kadrun Kadrun yang tidak terima ideologi Pancasila</t>
  </si>
  <si>
    <t>Pasca Dua WNI Positif Terjangkit Corona,Masker Dan Cairan antiseptik Diburu Warga</t>
  </si>
  <si>
    <t>Setelah ada pengumuman bahwa adanya 2 orang WNI terkena virus corona. Banyak orang" ramai mencari masker/pembersih tangan. Dgn berbondong" membeli sebanyak"nya. Aku kira sih kaya gitu. Dan tahulah masker sekarang di jual mahal.</t>
  </si>
  <si>
    <t>Berita Foto : 69 WNI ABK Diamond Princess Olahraga Pagi di KRI Soeharso</t>
  </si>
  <si>
    <t>RT @KemenkesRI: Malam tadi, telah dilakukan proses evakuasi terhadap 69 WNI ABK Diamond Princess dari Bandara Kertajati menuju Pelabuhan PLTU Indramayu untuk selanjutnya menjalani masa observasi di Pulau Sebaru Kecil. Berikut adalah detik-detik saat mereka di evakuasi. #WaspadaCOVID19</t>
  </si>
  <si>
    <t>Dengan adanya berita 2 WNI yang terkena penyakit corona membuat masyarakat menjadi panik. Seakan akan media terfokus oleh virus corona sehingga masyarakat dialihkan ke isu ini. Oke mission complete.. #TolakOmnibusLaw #CoronaOmnibusLaw</t>
  </si>
  <si>
    <t>RT @duttypaul: AN YU NUH LISTEN!!!</t>
  </si>
  <si>
    <t>Osama-bin-laden, abu-bakr-al-baghdadi,kasab,mualana haafeez Syed,Maulana masud Azhar,yakub menon, afzal guru,syed sallahuddin..ISIS,Talibaan, lashkare-taiyabaa, al-queda,hamaas..ye sb kon log hai Syria, iraq,Iran, Afghanistan, Pakistan me..Bol do Rss ke h.#IslamoPhobicIndianMedia</t>
  </si>
  <si>
    <t>RT @asumsico: Menurut Jokowi, dua WNI itu tersebut sempat kontak dengan warga negara Jepang yang datang ke Indonesia dan positif terdeteksi virus corona. Jokowi memastikan, kedua pasien tersebut kini telah dirawat di RS Sulianti Saroso, Jakarta Utara dengan penanganan intensif</t>
  </si>
  <si>
    <t>@Suparmi16343935 Aksi demo 212 rusuh sampai lempar batu itu sudah pertanda bisa menjadi seperti isis. Apa ada islam mengajarkan seperti itu? Kalau kalian ngaku orang beradab tau ajaran yg baik tidak akan melakukan hal semacam itu</t>
  </si>
  <si>
    <t>planet bollywood yang buat film ISIS warrock</t>
  </si>
  <si>
    <t>@aribgspanuntun Stay safe mas Bagus! Coba hubungi KBRI mas siapa tau bisa dibantu? Soalnya KBRI Indonesia di Korea ada jatah masker sama sanitizer buat WNI di sana</t>
  </si>
  <si>
    <t>RT @antasena_ind: pak @mohmahfudmd jadi pulangkan anak2 ISIS ? maaf ga pake "ex atau eks" karena IDEOLOGI tdk mengenal 'mantan atau bekas' 😁😁😁</t>
  </si>
  <si>
    <t>@swandarugen @wansenk_ajah @TheArieAir @GKRHayu @GkrBendara @HemasGKR @gkr_mangkubumi Astaga... Ini islam.atau isis?</t>
  </si>
  <si>
    <t>RT @KompasTV: Jelang Rampung Tes PCR, WNI ABK Diamond Princess Bersiap Pindah ke Sebaru Kecil</t>
  </si>
  <si>
    <t>Pemerintah Tanggap Pulangkan WNI Yang Berada Di Kapal Pesiar Diamond Princess di Yokohama, Jepang</t>
  </si>
  <si>
    <t>Kedutaan Besar Republik Indonesia di Riyadh mengimbau warga negara Indonesia (WNI) di Arab Saudi untuk tetap tenang dan waspada, usai pemerintah negara tersebut mengumumkan kasus COVID-19 pertama pada Senin (2/3) malam waktu setempat. #coronavirus</t>
  </si>
  <si>
    <t>Jelang Rampung Tes PCR, WNI ABK Diamond Princess Bersiap Pindah ke Sebaru Kecil</t>
  </si>
  <si>
    <t>Presiden Jokowi Perintahkan Lindungi Hak Pribadi WNI Teridentifikasi Positif Covid-19  #Nusantara #NKRI #Nasional #CoronaVirusIndonesia #CoronaOutbreak #coronavirus #nusantara</t>
  </si>
  <si>
    <t>Mereka Masih kurang garang om bud, butuh yg lebih sangar lagi. Bentar lagi pemerintah akan mengimpor anak anak isis. RT @budimandjatmiko: Hati &amp; pikiran mereka nyata2 bukan buat Indonesia. Sementara Indonesia adalah modal awal kita yg mutlak &amp;amp; perlu utk menyumbang bagi ketertiban dunia berdasar kemerdekaan, perdamaian abadi &amp;amp; keadilan sosial. Ditunggu sikap kita</t>
  </si>
  <si>
    <t>Jubir Penanganan Covid-19 Sebut 2 WNI dalam Perawatan, Kondisi Sehat dan Tidak Pakai Selang  #Nusantara #NKRI #Nasional #CoronaVirusIndonesia #CoronaOutbreak #coronavirus #nusantara</t>
  </si>
  <si>
    <t>@franceinfo @safetravelkemlu @Kemlu_RI Update #COVID19: Prancis sudah Siaga-2, dengan 204 korban positif, termasuk 4 meninggal. Arahan: 1) hindari jabat tangan, 2) hindari cium pipi, 3) larangan acara 5000 orang. Mohon WNI terus waspada, ikuti arahan resmi atau via KBRI Paris  #negaramelindungi</t>
  </si>
  <si>
    <t>RT @antaranews_bali: Kemkes: 67 WNI ABK Diamond Princess negatif COVID-19: Kementerian Kesehatan (Kemkes) mengatakan dari hasil pemeriksaan terhadap 69 warga negara Indonesia (WNI) anak buah kapal (ABK) Diamond Princess, 67 orang dinyatakan negatif COVID-19."Dari 69…</t>
  </si>
  <si>
    <t>@93463092kL_Bg33 Lha wong pemerintah Suriah lagi mau ngadain persidangan buat para ISIS kok malah kabur.</t>
  </si>
  <si>
    <t>Kemkes: 67 WNI ABK Diamond Princess negatif COVID-19: Kementerian Kesehatan (Kemkes) mengatakan dari hasil pemeriksaan terhadap 69 warga negara Indonesia (WNI) anak buah kapal (ABK) Diamond Princess, 67 orang dinyatakan negatif COVID-19."Dari 69…</t>
  </si>
  <si>
    <t>waktu ISIS warrock muncul di africa ... pulau madagaskar .... jg timur laut USA .....</t>
  </si>
  <si>
    <t>@kangdede78 @humaira979 Kasihan mereka di berada di zaman milenial, yg mereka ingin adalah hidup di zaman batu. Kembalikan mereka ke zaman batu!! Kirim mereka ke teman2 ISIS mereka. Jangan paksa mereka tinggal di Indonesia.</t>
  </si>
  <si>
    <t>RT @anamkoplak: @AnakLolina @RamadanAfdi @bendoganteng @Winardhi__ @KopralCebong @dsangg377 @AriWawolangi @siska_tambunanP @SUYONOBENDOL03 @SantiLim14 @ameliamel1701 @cintada17 @Mas_igi @Eva_ernawatiaji @RizkiR4madani @Ozastia @Piala96676876 Mukanya ngeselin bgt..bsok klo anak2 kombatan isis eks wni udah plg kesini..kasih aja dia buat latihan anak2 isis</t>
  </si>
  <si>
    <t>RT @translatorbali: @jokowi Terima kasih Pak Jokowi @KBRI_Beijing @cataya Menkes Dr Terawan Pastikan 243 WNI di Wuhan Tak Terjangkit #VirusCorona #Wuhan @KemenkesRI  Alhamdulilah, Puji Tuhan, kami semua sehat wal afiat di Wuhan 🙏</t>
  </si>
  <si>
    <t>RT @kompascom: Ayu Ting Ting yang tinggal di Depok, Jawa Barat, kaget mendengar dua WNI yang positif virus corona tinggal di Depok.</t>
  </si>
  <si>
    <t>@Suparmi16343935 Saya minta 1 hal, jangan jadikan negara ini seperti suriah!! ISIS ingin mendirikan khilafah, tapi dengan cara membantai sesama umat, yg berbeda ideologi mereka bunuh dengan keji! Negeri ini tidak perlu ada khilafah! Islam itu rahmatan lil alamin!!</t>
  </si>
  <si>
    <t>Gue pengen tau respon temen2 WNI yg kmren di evakuasi dr Wuhan setelah skrg di negara sendiri heboh COVID-19, yg masker mahalll, handsanitizer langka, dan sembako pada mo abis. Penasaran gue. Serius nanya, masyarakat +62 tu lebay ga si pada begitu? Atau malah memperburuk keadaan?</t>
  </si>
  <si>
    <t>Mohon penjelasan dari @itjenkemenkes @KemenkesRI mengenai isi konten di  yg mengatakan tes pcr untuk #COVID19 Mahal? #1M? Perhitungan dari mana? #72M bisa dialihkan ga untuk biaya test dari pd bayar influencer? thank you.</t>
  </si>
  <si>
    <t>@bengkeldodo @KangDez @dalgonyes @bang_dw @ArlexWu Tambhi bang..saya WNI..gitu..😁😁👍👍💪💪</t>
  </si>
  <si>
    <t>RT @ChristWamea: Berarti WNI dilarang kontak fisik dangan WNA. Pemerintah Per 1 Maret sdh diskon tiket ke 10 destinasi wisata unggulan di Indonesia. Pemerintah jg sdh siapkan 72 M utk promosi wisata bhw indonesia bebas virus corona. Jadi pemimpin itu jgn kepedean. Siagap itu perlu rkyt yg utama.</t>
  </si>
  <si>
    <t>@chccovanilla Ya abis gmn, kesel. Wni dr cina ke indo di karantina, Wna cina ke indo melalang buana bebas berjaya filing gud laik ay suld</t>
  </si>
  <si>
    <t>@zoelfick Sejak pilkada DKI, kayanya udah pada kecuci otaknya. Apalagi pendakwah2 kebencian merajalela. Sepertinya proses regenerasi di HTI, JI, ISIS berjalan bagus ya?</t>
  </si>
  <si>
    <t>RT @rmol_id: Menlu Retno: Kondisi Lima WNI Di Jepang Yang Positif Corona Stabil #VirusCorona #Kemlu #RepublikMerdeka</t>
  </si>
  <si>
    <t>@jenk_kelinn Mrk akan jadi pengasuh anak2 ISIS yg mau di pulangkan @mohmahfudmd @Menlu_RI @jokowi</t>
  </si>
  <si>
    <t>@AdityaWisnu Orang2 Turkey chususnya era Erdogan ini sgt membanggakan era Utsmani dan msh merindukan kejayaan Utsmani versi Khilafah Khilafaat ( bikin ISIS ) sampai hari ini.. RT @ibn_shabbir: Today, we visited the Corinth Canal in Greece with Mufti Muhammad Taqi Usmani. The Canal connects the Gulf of Corinth with the Saronic Gulf in the Aegean Sea. The scenes on the Canal and from the bridge were breathtaking.</t>
  </si>
  <si>
    <t>@narkosun tanya gubernurnya..msh mau gabung NKRI atau gabung ISIS..kyknya berat ke nomor dua..krn mendukung kaum kunyuk khilafah itu</t>
  </si>
  <si>
    <t>RT @MZubir_ID: @AnakLolina Mungkin pemerintah menganggap teroris ISIS dan teroris anak ISIS yang bertempur di Suriah untuk menegakkan khilafah ISIS adalah pahlawan bangsa sehingga harus dipulangkan dan diberikan penghargaan melebihi pahlawan kemerdekaan. Selamat datang pahlawan ISIS! @jokowi @mohmahfudmd</t>
  </si>
  <si>
    <t>@ISIS_Balik_NO @Sontolo29062151 @FerdinandHaean2 @mohmahfudmd Hhhaha.. Bela tamu dari arab</t>
  </si>
  <si>
    <t>@AlgojoKuburan @muhammadiyah @YogyakartaCity @wisanggeni_084 @MTuhasan Mrka tau gak siih eks WNI yg pd minta plg ksni itu diperlakukan gemana stlh mrka mati2an berjuang yg katanya demi khilafah? Haduuh kok pd bgni yaa..serem</t>
  </si>
  <si>
    <t>@muannas_alaidid @77bayoe Saya yakin, kalau pemerintah bisa tegas dgn "tokoh" penyebar HOAX spt ibu ini.....akan memberi efek jera bagi semua masyarakat untuk tidak ikut2an menyebar Hoax......#TangkapFahiraIdris #TangkapSenatorFahiraIdris</t>
  </si>
  <si>
    <t>@jokowi maaf sebelummya saya mengetik ini dalam keadaan emosi, musibah baru saja datang ke keluarga saya, saya tidak tau menyampaikan kemana, dan saya adalah WNI dan ANDALAH pemimpin Negara Kesatuan Republik Indonesia. Saya siap jika NKRI diambil alih Negeri Panda, Terima kasih!</t>
  </si>
  <si>
    <t>RT @4smara1701: Silah simak sampai tuntas 😎 Kondisi Terkini WNI Terjangkit Korona di RSPI Saroso Membaik Stay safe semuanya 🙏</t>
  </si>
  <si>
    <t>ribuan canibal vs jihaaad ISIS taon kemarin</t>
  </si>
  <si>
    <t>ISIS udah bubar taon kemarin</t>
  </si>
  <si>
    <t>tragedi ISIS di kiraaaa perang lawan USA ... ga' pernah ini ....</t>
  </si>
  <si>
    <t>@AnakLolina Mungkin pemerintah menganggap teroris ISIS dan teroris anak ISIS yang bertempur di Suriah untuk menegakkan khilafah ISIS adalah pahlawan bangsa sehingga harus dipulangkan dan diberikan penghargaan melebihi pahlawan kemerdekaan. Selamat datang pahlawan ISIS! @jokowi @mohmahfudmd</t>
  </si>
  <si>
    <t>Penolakan kepulangan ISIS sudah tepat #tolakISIS</t>
  </si>
  <si>
    <t>@CNNIndonesia Wah wah wah ... kemenkes... kemenkes... Mengarang bebas! Bs jd wn jepang tsb tertular dr org lain di acara tsb. Bs jd jg yg menularkan tsb wni. Bs jd karangan bebas tsb utk menutupi kemungkinan ini.</t>
  </si>
  <si>
    <t>Soal 2 WNI Terinfeksi Virus Corona, WHO: Kami Dapat Mengantisipasi Halaman all –</t>
  </si>
  <si>
    <t>WNI ABK Diamond Princess</t>
  </si>
  <si>
    <t>Tukang masker naik haji Lah lah mana bisa kan wni gaboleh ke arab😂</t>
  </si>
  <si>
    <t>@DodySyrd @ncokk @cintapertamamu_ @ojat36 @Kristinatalitha @pokopowwww @WNDRMMR @reyhan_____ @apelcascadian @littlem68770979 @mimikodook @aromsss @ArbArrff @januarikaa @kepoamatweh @MRifally @rvsml_ @indomikuahtelur @JazzKhAlia @sibobaluv @bennyarisk @bibitsugardaddy @fajaarbintangr @pacarbrian @squirreeelll @milkytwilights_ @mzicak_ @junirachmatp @Baraque7 @dellabukanadel @Rendiprdn_ @rizkywhyn1 @Sitikhotijahhh_ @lrstdw_ @PenjahatGunung Enak di situ isis di aku</t>
  </si>
  <si>
    <t>@AnakKolong___ @mohmahfudmd @Puspen_TNI Bosen ditindas, uthi2 ini menuntut utk "ditindih," layaknya di kekhilafahan ISIS ... Bib @WagimanDeep__ n lasekarnya hrsnya bertanggung jawab utk masalah tindih2an ini 😁 ... #BahayaLatenHTi tetap mengancam NKRI #BasmIAKAR2HTI</t>
  </si>
  <si>
    <t>Satu per satu negara dibobol corona. Tak terkecuali Arab Saudi. Ini imbauan untuk WNI di sana cc @Kemenag_RI #CoronaVirusUpdate #Corona</t>
  </si>
  <si>
    <t>RT @id_aksi: Naik Garuda Tiba di Bandara Kertajati, 69 WNI Kru Kapal Pesiar Diamond Princess Diboyong ke Indramayu untuk Naik Kapal ke Kepulauan Seribu  @IndonesiaGaruda @kertajati_ap2</t>
  </si>
  <si>
    <t>RT @klinikhukum: Jika WNI menikahi WNA, bagaimana status kepemilikan properti misalnya dalam hal warisan? Ingin tau, baca di -  #WNI #WNA #Waris #Perkawinan #Hukum #KlinikHukum</t>
  </si>
  <si>
    <t>RT @denmas_ajah: @Khilap_ah @ChusnulCh__ @k4ng_C1reNG @yusuf_dumdum @Joker__Punk @Joker_SantuyLho @P3nj3l4j4h_id @AbdViking @KamFoengAnn @BundanyaINTANYK @connect2ps @MAIAsangJUARA @JogjaToday @eko_kuntadhi Sudah dibubarin tapi masih berani seperti ini. Pak @mohmahfudmd ngga usah berpikiran mulangin anak2 eks isis dulu, ini ajah dulu urusin. Pak @polresjogja @DivHumas_Polri @PolhukamRI @mohmahfudmd iki piye masih bs beredar bebas? Cc : @jokowi</t>
  </si>
  <si>
    <t>RT @yudhapati88: @GagakNeww2 @AnakKolong___ @Hanifah933 link Khilafah ISIS sampai India ; Turkey-Pakistan-Khasmir. Sebelumnya Khurazan Jihadist sdh baiat ke ISIS. Media Mainstream Barat mungkin unfair atau bener2 tdk paham tapi bisa juga pura2 pilon...</t>
  </si>
  <si>
    <t>@AnakLolina Lucu ya Anak2 ISIS diperhatikan sama Pemerintah sedangkan anak2 korban Bom yg cacat seumur hidup dibiarkan</t>
  </si>
  <si>
    <t>@GagakNeww2 @AnakKolong___ @Hanifah933 link Khilafah ISIS sampai India ; Turkey-Pakistan-Khasmir. Sebelumnya Khurazan Jihadist sdh baiat ke ISIS. Media Mainstream Barat mungkin unfair atau bener2 tdk paham tapi bisa juga pura2 pilon... RT @amirraza100: @RT_Erdogan Pakistan's full &amp; unconditional support to Turkey in this war &amp;amp; in any war . Mehtar Band of the Usmani army sounds! Great</t>
  </si>
  <si>
    <t>Ngeten niki pripun pak @kominfodiy, pak @ganjarpranowo, pak @DivHumas_Polri . Niki potret warga ting jogja jateng. Paham HTI lan Isis kok tasih subur dan leluasa orasi dijalan umum. Colek @JogjaUpdate</t>
  </si>
  <si>
    <t>Menlu Retno: Kondisi Lima WNI Di Jepang Yang Positif Corona Stabil #VirusCorona #Kemlu #RepublikMerdeka</t>
  </si>
  <si>
    <t>RT @havzichiori: Anyway, demand utk homogeneous country ni boleh jadi ekstrimis juga. Lihat contoh ISIS dan LTTE. Asalnya, hanya tuntutan. Lps tu jadi gerakan bersenjata dan keganasan</t>
  </si>
  <si>
    <t>Orang Dalam Pemantauan: semua yg masuk ke Indonesia baik WNI maupun WNA dari negara yg sudah terjadi penularan. Orang Dalam Pengawasan: orang dalam pemantauan yg sakit dimana gejalanya mengarah influenza. Suspect: orang dalam pengawasan memiliki kontak dgn orang positif #COVID19 RT @KemenkesRI: 5. Hingga kini, di Indonesia ada 155 pasien dalam pengawasan yang telah dikirim ke Balitbangkes untuk diperiksa per tanggal (2/3) dari 35 rumah sakit di 23 provinsi. #WaspadaCOVID19 #StopPanikLawanCorona</t>
  </si>
  <si>
    <t>@UwanUrwan Jadi WNI yang baik, benar dan berfaedah gitu lohhh...😆</t>
  </si>
  <si>
    <t>Kabar mengenai dua WNI yang positif virus corona, membuat sebagian warga mencari masker, serta cairan antiseptik untuk melindungi diri. Meski harganya melambung tinggi, warga tetap membelinya untuk berjaga-jaga.</t>
  </si>
  <si>
    <t>pemenrintah bkl evakuasi WNI ABK World Dream Kepulau sebaru #abkworlddream #Indonesiadamai #COVID19</t>
  </si>
  <si>
    <t>RT @bersatulahnkri: @BirgaldoS Aneh aja kalo anak2 teroris ISIS itu dipulangkan dgn biaya yg mkn cukup besar, sementara ada anak yg tdk berdosa korban dri teman teroris ISIS di sepelehkan oleh pemerintah, tpi dgn viral begini smoga di perhatikan terutama @KemensosRI</t>
  </si>
  <si>
    <t>@JoniSukaPaha Dan yg dibenci malah wni keturunan cina, sementara keturunan penjajah dipuja2.. lihat sj berapa banyak yg tergila2 budaya jepang dan tergila2 pengen dapat laki bule</t>
  </si>
  <si>
    <t>188 WNI d Kapal World Dream dijemput KRI Soeharso 26 Februari 2020 #WorldDream #VirusCorona #Covid19</t>
  </si>
  <si>
    <t>188 WNI Di Kapal World Dream dijemput KRI Soeharso 26 Februari 2020 #WorldDream #VirusCorona #Covid19</t>
  </si>
  <si>
    <t>@zoelfick Mo khilafah seperti yg dijajakan ISIS? Justru mereka akan lebih tertindas.</t>
  </si>
  <si>
    <t>RT @setkabgoid: Presiden @jokowi didampingi Seskab, Mensesneg, Menkes menyampaikan keterangan pers di Beranda Istana Merdeka, Senin (2/3). Menurut Presiden, begitu terinfo ada WN Jepang ke Indonesia &amp; positif Corona, tim Indonesia lgsg menelusuri. Ternyata, 2 WNI telah positif terjangkit Corona</t>
  </si>
  <si>
    <t>pemrintah bkl Evakuasi WNI ABK World Dream k Pulau Sebaru #CoronaVirus #Covid19 #pulausebaru</t>
  </si>
  <si>
    <t>Pulau Sebaru menjadi tempat evakuasi wni world dream #CoronaVirusIndonesia</t>
  </si>
  <si>
    <t>@kvjisoou ea vini wni hiti pi besdey</t>
  </si>
  <si>
    <t>pemerinth akn Evakuasi WNI ABK World Dream k Pulau Sebaru #CoronaVirus #Covid19 #pulausebaru</t>
  </si>
  <si>
    <t>pemenrintah akn evakuasi WNI ABK World Dream Kepulau sebaru #abkworlddream #Indonesiadamai #COVID19</t>
  </si>
  <si>
    <t>dahlahh besok kuliah di isis aja klo gtuu😌</t>
  </si>
  <si>
    <t>pmrnth bakalan Evakuasi WNI ABK World Dream k Pulau Sebaru #CoronaVirus #Covid19 #pulausebaru</t>
  </si>
  <si>
    <t>WNI Positif Corona, Mengapa Pemerintah Tak Larang WNA Masuk Indonesia?</t>
  </si>
  <si>
    <t>@AnakLolina @RamadanAfdi @bendoganteng @Winardhi__ @KopralCebong @dsangg377 @AriWawolangi @siska_tambunanP @SUYONOBENDOL03 @SantiLim14 @ameliamel1701 @cintada17 @Mas_igi @Eva_ernawatiaji @RizkiR4madani @Ozastia @Piala96676876 Mukanya ngeselin bgt..bsok klo anak2 kombatan isis eks wni udah plg kesini..kasih aja dia buat latihan anak2 isis</t>
  </si>
  <si>
    <t>pemrintah bakalan Evakuasi WNI ABK World Dream k Pulau Sebaru #CoronaVirus #Covid19 #pulausebaru</t>
  </si>
  <si>
    <t>Kisah Iwan, Pemuda Keturunan WNI Tanpa Identitas di Malaysia, 15 Tahun Terpisah dari Ibu Kandungnya - Tribun Manado</t>
  </si>
  <si>
    <t>Pemerintah akan Evakuasi WNI ABK World Dream Ke Pulau Sebaru #CoronaVirus #Covid19 #pulausebaru</t>
  </si>
  <si>
    <t>pmrnth akn Evakuasi WNI ABK World Dream k Pulau Sebaru #CoronaVirus #Covid19 #pulausebaru</t>
  </si>
  <si>
    <t>@RD_4WR1212 Pembual tentara Allahhh..s Nened...kok ga jual koyo yaaakkk...sejak ada 2 WNI..yg katanya..terkena s covid19..❓ Apa ngumpett..takut d satroni ama s Covid19😅😅</t>
  </si>
  <si>
    <t>RT @WR_4AG226: Abdul Somad sebut Virus corona pertolongan Allah utk muslim Uighur, Tapi kenapa tentara Allah diturunkan juga di Indonesia Tadz..??😩😔😳 Jokowi Sebut 2 WNI Positif Virus Corona di Indonesia - Nasional</t>
  </si>
  <si>
    <t>pmrnth bakalan evakuasi WNI ABK World Dream Kepulau sebaru #abkworlddream #Indonesiadamai #COVID19</t>
  </si>
  <si>
    <t>188 WNI Di world dream dijemput untuk diobservasi di pulau sebaru #VirusCorona #WorldDream #Covid19</t>
  </si>
  <si>
    <t>pemerinth bkl evakuasi WNI ABK World Dream Kepulau sebaru #abkworlddream #Indonesiadamai #COVID19</t>
  </si>
  <si>
    <t>@AnakLolina Yaelaaaaa...sebegitu pentingkah itu...ky udah kehabisan akal yaakk❓ Mank d Kampoong ini..ga ada paaa..anak.anak yg lbh membutuhkan kasih-sayang Negara...drpd anak2 teroris ISIS eks WNI❓</t>
  </si>
  <si>
    <t>Pemerintah akan evakuasi WNI ABK World Dream Kepulau sebaru #abkworlddream #Indonesiadamai #COVID19</t>
  </si>
  <si>
    <t>pemerinth bkl Evakuasi WNI ABK World Dream k Pulau Sebaru #CoronaVirus #Covid19 #pulausebaru</t>
  </si>
  <si>
    <t>@Si_Bee @Qolybri_8216 Lah, terus ngapain barang bawaan WNI dr Wuhan disemprot....?</t>
  </si>
  <si>
    <t>RT @IndonesiaBaikId: Setelah kemarin ada WNI yg positif terinfeksi Covid-19, tentu kita perlu lebih waspada lagi dg melakukan pencegahan agar tidak sampai ikut terinfeksi. “Jangan panik ya, SohIB! Ayo kita waspada!” #IndonesiaBaik #YangMudaSukaData #Infografis #DailyIssue #VirusCorona #Covid19</t>
  </si>
  <si>
    <t>188 WNI d world dream dijemput ntuk diobservasi d pulau sebaru #VirusCorona #WorldDream #Covid19</t>
  </si>
  <si>
    <t>SOSIALISASI KEKONSULERAN DAN TINDAKAN PREVENTIF WNI KEPADA MAHASISWA INDONESIA DI KARACHI</t>
  </si>
  <si>
    <t>RT @OposisiCerdas: WNI Positif Corona, Media Asing Menyoroti Sikap Terawan</t>
  </si>
  <si>
    <t>RT @ILCtv1: #ILCCoronadiIndonesia | NARASUMBER ILC : FIRNI (Warga Komplek Studio Alam Indah / WNI di Wuhan)</t>
  </si>
  <si>
    <t>@AnakLolina Slmt datang ISIS eks WNI</t>
  </si>
  <si>
    <t>KBRI Tokyo Keluarkan Imbauan WNI Terkait Kondisi Terkini Virus Corona</t>
  </si>
  <si>
    <t>@erna_st WNI apa WNA?</t>
  </si>
  <si>
    <t>RT @bloggercrony: Jangan panik! Jaga kesehatan dan kebersihan diri, #BCCSquad di mana pun dan kapan pun berada. Presiden @jokowi baru saja menginformasikan 2 WNI terinfeksi virus corona. Pasien sudah dalam penanganan medis. Semoga yang sakit segera sembuh dan tidak mewabah ke yang lain. Aamiin.</t>
  </si>
  <si>
    <t>RT @GarengHallu: @salahsambungya @Gregorius841 Yang saya khawatir kan pulang trus di didik sama penyusup ISIS.. Yang pura2 jadi pembimbing, atau guru mereka 🤦‍♂🤦‍♂🤦‍♂🤦‍♂</t>
  </si>
  <si>
    <t>Selamat datang pembela agama Allah, Indonesia sangat butuh kehadiran kalian sbg pemberani. Pluralisme tidak baik di negeri, saatnya Khilafah di tegakkan. Islamic State is the best. Jangan lupa sahabat NKRI siapkan nyanyian &amp; tarian sambut pembela agama.</t>
  </si>
  <si>
    <t>RT @tribunnews: Tetangga Geram Identitas WNI yang Positif Virus Corona Tersebar, Sempat Gaduh di WAG Perumahaan  via @tribunnews</t>
  </si>
  <si>
    <t>@salahsambungya @Gregorius841 Yang saya khawatir kan pulang trus di didik sama penyusup ISIS.. Yang pura2 jadi pembimbing, atau guru mereka 🤦‍♂🤦‍♂🤦‍♂🤦‍♂</t>
  </si>
  <si>
    <t>RT @Mentimoen: Tetapi yg PASTI dlm pengumuman Jokowi ttg terinfeksinya 2 WNI adalah: Dengan ini Jokowi membantah wapres Maruf Amin yg bilang Indonesia terbebas dari coronavirus karena doa qunut para kyai. Berarti, doa para kyai ga ada efek sama sekali. 😆😆😆</t>
  </si>
  <si>
    <t>RT @JECEyeHospital: Kemarin Presiden Joko Widodo mengonfirmasi bahwa ada 2 orang WNI positif terkena COVID-19. Terkait berita ini, masyarakat diimbau untuk tidak panik dan tetap waspada untuk menjaga kesehatannya. Simak yuk infografis berikut ini untuk mencegah penularan COVID-19 bagi Sahabat JEC!</t>
  </si>
  <si>
    <t>RT @MrsRachelIn: Isis jg ingin mendirikan Khilafah ISIS 2.0: Evolusi Khilafah dan Transformasi Gerakan  via @the_geotimes</t>
  </si>
  <si>
    <t>WNI yg sudah ke Wuhan ndk usah suruh berkeliaran dulu di Indonesia</t>
  </si>
  <si>
    <t>@newbornspirit Winginane gaonok antis, akhire tak ganti freshcare. Pas sepedaan kok anget" isis mang sore.</t>
  </si>
  <si>
    <t>@Kush_voice Jnu direct Isis me bharti Keral bangal se adiwasi ladkiyo ko direct isis k liye supply kiya jata h Kon h iske piche #manuwadi ya #brahmn</t>
  </si>
  <si>
    <t>@tribunpontianak WNI yg sudah kewuhan . Ndk usah suruh berkeliaran dulu di indonesia</t>
  </si>
  <si>
    <t>@ustadtengkuzul Saya dukung tadz..akibat ketat thp pemulangan wni wuhan akhirnya abai thp yg lainnya (mengingat yg warga depok yg tertular dari orang jepang)bahkan wni yg pulang dari negara lainya lolos dari pengawasan sehingga berbaur dg keluarganya.</t>
  </si>
  <si>
    <t>@aewin86 @ISIS_Balik_NO Biasanya hari Kamis itu keramat</t>
  </si>
  <si>
    <t>Pengungsi eks ISIS asal Indonesia di kemah pengungsian UNHCR, di Suriah, senang setelah dapat kompor karena bisa bikin sambal. Ia mengajari pengungsi perempuan dari Tunisia bikin sambal ijo. *inget diet* *artikel makanan di malam hari bikin gagal diet*</t>
  </si>
  <si>
    <t>RT @BazarBuah_BB: 2 Maret 2020, Presiden Joko Widodo mengumumkan bahwa 2 orang WNI positif virus Corona atau yang biasa disebut Covid-19. Dua pasien tersebut saat ini sedang dirawat di RSPI Sulianti Saroso, Jakarta Utara. #viruscorona #infoviruscorona #bazarbuah #coronaindonesia #breakingnews</t>
  </si>
  <si>
    <t>@JoniSukaPaha @FerdinandHaean2 mungkin maksud mereka ngajak orang baiat pada KeKhalifahan ISIS yg sudah hancur di timur tengah??, negara perlu teliti mereka2 itu siapa ? jangan2 KTP dan Paspornya sdh dibakar</t>
  </si>
  <si>
    <t>@jenk_kelinn Orang orang ini cocoknya, jadi sampel kalau orang indonesia kena corona bagaimana, setelah dapat hasil, terus kirim buat dapur umum di pengungsian ISIS di suriah dan irak sana, jangan lupa abis itu paspornya dibakar....</t>
  </si>
  <si>
    <t>dulu semester 1 sering bgt krn gua ngekos di markas isis</t>
  </si>
  <si>
    <t>Guys! Semenjak hari Senin lalu pak Jokowi udah ngumumin kalo 2 WNI positif Corona. Nih Awmimin kasih tips pake masker yang baik dan benar ya! Stay safe stay healthy! #coronavirus #novelcoronavirus #ncov2019 #PMI #masker</t>
  </si>
  <si>
    <t>@ustadtengkuzul Ustad goblok. WNI itukan berasal dr kapal pesiaryg para penumpang dan kru nya sdh kena virus. Sdgkan para turis itu sdh melalui uji kesehatan. Makanya jangan nyinyir mulu. Ku doakan loe kena corona</t>
  </si>
  <si>
    <t>@Ucok29951035 @faqirah82 @jokowi Ya masa media sm pemerintah harus tutup mulut sih goblok jelas2 wni udh ada yang kena harus di tutup2 in? Yang harus di tutup (privasi) in itu ya identitasnya bego</t>
  </si>
  <si>
    <t>@don_rahmad @WiberMelayu6 @CNNIndonesia Punten loh yok aku bales lagi, 72 M mungkin bisa untuk membuat masker. Tapi ini untuk khalayak banyak loh yok. Arab Saudi saja umroh di hold dlu. Kenapa kita tidak seperti itu? Ini kan semua WNI kan dilindungi UUD. Ada beberapa yang nuntut perihal ini masa ga boleh?</t>
  </si>
  <si>
    <t>Informasi Dua WNI Terjangkit Virus Corona, Jajaran Polsek Kalideres Pantau Beberapa Pasar Modern dan Minimarket</t>
  </si>
  <si>
    <t>@05panji2 @AlfaOmega0110 @adimas_tedjo @k4ng_C1reNG Btw aku ga ngerti isis tu apaaa Sekolah dari kecil nu sama muhammadiyah , udah itu doang taunyaaa</t>
  </si>
  <si>
    <t>@BiLLRaY2019 @FerdinandHaean2 jangan2 pendemonya bukan warganya Sultan Jogya tapi mungkin mereka warganya Khalifah ISIS Albaghdadi ? perlu diselidiki siapa mereka</t>
  </si>
  <si>
    <t>@ILCtv1 @effendigazali Pak sekedar tanya,WNI yg dari wuhan sampe di karangtina sebelum ke masyarakat indonesia,tpi WNA dgn bebas datang ke indonesia tanpa ada karangtina</t>
  </si>
  <si>
    <t>Hmmmm.... panggung Anda sendiri (@mohmahfudmd) mengenai pemulangan eks WNI isi piye kepriben? Udah berhentikan panggung itu? RT @Lady_Zeebo: Mahfud Md mengingatkan kepala daerah utk tdk mempolitisir &amp; menjadikan corona sebagai panggung politik. Apalagi blm jelas, sdh konferensi pers Corona. Kami atas nama rakyat minta @mohmahfudmd sebut saja namanya siapa? #StopPanikLawanCorona</t>
  </si>
  <si>
    <t>RT @05panji2: @RinaMay05957576 @AlfaOmega0110 @adimas_tedjo @k4ng_C1reNG Pertanyaan replika yg sdh ditanamkan para pengusung khilafah /hti. Setiap yg tdk setuju selalu dilanjut dg pertanyaan sperti ini. brangkat sana ke isis.. biar tauu enaknya</t>
  </si>
  <si>
    <t>pak wali @IdrisAShomad , dinkes depok @dinkeskotadepok gak kasih saran kah apa yang dibuka dan diekspos ? dan untuk menghindari 'krisis komunikasi' apakah dari @depokdiskominfo juga tidak mendapatkan masukan ? btw semoga semua tetap sehat ya rekan WNI dan WNA RT @detikcom: "Itu tidak bijak dan malah memicu stigma bagi pasien serta memberi tekanan bagi pasien," kata Damar menambahkan. #VirusCorona via @detikinet</t>
  </si>
  <si>
    <t>@RinaMay05957576 @AlfaOmega0110 @adimas_tedjo @k4ng_C1reNG Pertanyaan replika yg sdh ditanamkan para pengusung khilafah /hti. Setiap yg tdk setuju selalu dilanjut dg pertanyaan sperti ini. brangkat sana ke isis.. biar tauu enaknya RT @RinaMay05957576: @AlfaOmega0110 @adimas_tedjo @k4ng_C1reNG Oh jadi emang ga suka islam ya wkwk</t>
  </si>
  <si>
    <t>@swandarugen @FerdinandHaean2 @wansenk_ajah @TheArieAir @GKRHayu @GkrBendara @HemasGKR @gkr_mangkubumi bukankah mereka rakyatnya Sultan ? mau ganti Khilafah ? mereka itu orang2 yg datang darimana? Afghanistankah atau Suriah? ataukah warga ke Khalifahan ISIS teroris?</t>
  </si>
  <si>
    <t>2 WNI Positif COVID-19, Ceramah UAS 'Corona Tentara Allah' Viral Lagi</t>
  </si>
  <si>
    <t>Ini ga ada yg mau demo Pamulangan anak ISIS ex WNI, sepi-sepi bae dah ?</t>
  </si>
  <si>
    <t>RT @haiqalaydiel_: Me: Jangan biar perempuan berkuasa Also me:</t>
  </si>
  <si>
    <t>@zoelfick @FerdinandHaean2 kalau ada Khilafah HTI, bukan cuma ummat Islam, ya semua tertindas oleh Khalifahnya, HTI atau ISIS atau yg sejenisnya</t>
  </si>
  <si>
    <t>@JaritaKirana @BlackRobusta @Mr_cosanostra @LisaAmartatara3 Pernah ke turkey nyak? Smua mujahid yg mau masuk ke suriah dipersulit hampir mustahil bisa msk, tp kalau isis atau syiah gampang2 aja msknya, km Kira dari mn ex isis indo masuk ke suriah kebanyakn?... erdogan bkn ustmani ingat itu ! Jgn mdh ditipu olh pencitraan spt +62 olh pakde</t>
  </si>
  <si>
    <t>😏 jogja benteng kekalifahan, ada kemungkinan isis akan bergejolak mulai dari jogja RT @TolakBigotRI: HTI Mendukung Khilafah. Anti Pancasila. Anti Nasionalisme. Polres Jogja ikut serta mengamankan aksi HTI. Silahkan kalian buat kesimpulan sendiri terhadap Polres Jogja yang memberi aksi kepada HTI dan mengamankan aksi HTI. Miris!</t>
  </si>
  <si>
    <t>@AlfaOmega0110 @arif2702daulay @AfifFuadS Ini namanya Ar Raya Al Liwa Bendera yg dibawa² Nabi SAW. Ini HTI apa ISIS apa Al Qaeda?</t>
  </si>
  <si>
    <t>Baru tau kalo WNI kepanjangan dari "warga negara indonesia" kudet bat awokawokawok</t>
  </si>
  <si>
    <t>RT @DeadlockHeaven: Hazmat Suit Kuning u/ gas beracun (bocor). Putih u/ krisis kesehatan (medis). Orange atau merah u/ kondisi sangat berbahaya seperti gas sarin atau radioaktif nuklir. Facemasknya jg menyesuaikan. Warna chemsuit u/ itu ngasih tanda orang2 sekitar.</t>
  </si>
  <si>
    <t>RT @linemarka: Dansubsatgas Komandan Lanud Sugiri Sukani Pimpin Proses Evakuasi WNI ABK Diamond Princess Cruise di BIJB Kertajati</t>
  </si>
  <si>
    <t>RT @mediaindonesia: Mereka lantas membawa kelima WNI itu ke Kota Parang, Pulau Sulare, Kepulauan Sulu. Yang berjaraknya sekitar 16 kilometer dari pulau utama.</t>
  </si>
  <si>
    <t>RT @___MrJuna____02: Tujuan diberi garis polisi agar masyarakat tak mendekat ke sekitar lokasi. Garis Polisi Bukan untuk si virus o'on....🐸🔨🔨</t>
  </si>
  <si>
    <t>RT @AmbarwatiRexy: Ini macem orang2 yg anaknya banyak, daripada beli kondom mending ngasih makan bocah walaupun empot2an, gitu gak sik?</t>
  </si>
  <si>
    <t>RT @gantenk69: Memastikan stok pangan adl respons BUMN atas kepanikan masyarakat usai pemerintah mengumumkan dua WNI terinfeksi virus corona #BUMNLawanCorona</t>
  </si>
  <si>
    <t>RT @ElishDinda: respons BUMN atas kepanikan masyarakat usai pemerintah mengumumkan dua WNI terinfeksi virus corona #BUMNLawanCorona gerak kercap</t>
  </si>
  <si>
    <t>RT @antarafoto: WNI kru Diamond Princess menikmati matahari tenggelam dari atas KRI dr Soeharso di kawasan perairan Pulau Sebaru Kecil, Kepulauan Seribu, Jakarta, Selasa (3/3/2020). Foto: Akbar Nugroho Gumay</t>
  </si>
  <si>
    <t>@permadiaktivis Tumben HTI/ISIS pd gak pasang spanduk "VIRUS CORONA? KHILAFAH SOLUSINYA" Padahal ini kesempatan HTI/ISIS utk promo bullshit khilafah.</t>
  </si>
  <si>
    <t>Pas kemarin ada berita 2 WNI positif Corona gue kaget sih sama respon warga Tgrg-Tangsel (sebagian). Panik sih gapapa wajar, tp dgn cara ngeborong sembako sampai berdus2 gitu gila. Hyperm*art, g*ant, farmer mrktnya SMS, aeon market, lulu abis ludes sembako. Semaruk itu kalian??</t>
  </si>
  <si>
    <t>RT @2Sry1609: @AfifFuadS Mereka menyambut kedatangan anak2 ISIS</t>
  </si>
  <si>
    <t>WNI kru Diamond Princess menikmati matahari tenggelam dari atas KRI dr Soeharso di kawasan perairan Pulau Sebaru Kecil, Kepulauan Seribu, Jakarta, Selasa (3/3/2020). Foto: Akbar Nugroho Gumay</t>
  </si>
  <si>
    <t>Ada hal lucu setalah ada yg positif Corona WNI di JKT, ramai ramai beli mie, cemilan, masker dan Handsanitezer. 1. Drpd beli mie cemilan, mendingan beli buah. Sehat kagak, diabetes iya. 2. Dateng ke tempat ramai, berbondong2 beli hal ga penting. Bukannya waktu dipake u/ olahraga</t>
  </si>
  <si>
    <t>@null WNI Positif Corona Akui Baru Tahu Penyakitnya Usai Diumumkan Jokowi, Ini Kata Is</t>
  </si>
  <si>
    <t>@Linkzcrosser @KienAnd_ Semestinya sebagai WNI ikut menjaga stabilitas di lingkungan masyarakat saat ini , ikut menyebarkan berita positif agar keresahan tidak bertambah</t>
  </si>
  <si>
    <t>Semenjak sudah dikonfirmasi klu adami WNI positif kena virus corona, gatal2 terus kurasa badanku. Benciku sama kepalaku yg selalu kepikirian. HAAHHHHH</t>
  </si>
  <si>
    <t>Sementara media lokal masih lebih banyak mengulas informasi dasar soal jumlah penderita, bahkan cinta lokasi yang terjadi antar WNI yang dikarantina. 🤔🤔 RT @adamaguss: itulah kenapa saya lebih suka menyebut PENYINTAS (survivor)💪 bukan korban 🙏 ⬇️⬇️⬇️⬇️⬇️ Komunikasi risiko juga berarti memanusiakan kesengsaraan orang dan menghindari komunikasi yang menyudutkan, mendiskriminasi dan menciptakan stigma.</t>
  </si>
  <si>
    <t>KBRI Kuala Lumpur telah menerjunkan tim monitoring dan pendampingan termasuk menyediakan jasa dokter dengan peralatan medis selama proses pemulangan jamaah umroh WNI.</t>
  </si>
  <si>
    <t>#KalimantanPost Presiden #Jokowi Ungkap Kondisi Terkini Dua WNI Positif #Corona di Ruang…</t>
  </si>
  <si>
    <t>RT @demokrasicoid: 5 WNI Diculik, Abu Sayaf Minta Tebusan Rp8,4 Miliar</t>
  </si>
  <si>
    <t>RT @diskopukm_jatim: Twips, Pemprov Jatim menanggapi isu #VirusCorona yang telah menjangkit Dua WNI, bagi warga Jatim, tetap tenang dan tak perlu panik yang berlebihan. Berikut tips pecegahan #CoronaVirus</t>
  </si>
  <si>
    <t>RT @RZIDN: @ObiWan_Catnobi Jadi pembantaian Ahmadiyah masih dianggap sesama muslim? Setidaknya ada kemajuan lah ya, Ahmadiyah dianggap muslim~ Pembantaian Yazidi oleh ISIS enggak masuk itungan juga? Apa mau pake alasan "ISIS bukan Islam" atau "ISIS bukan negara"?~</t>
  </si>
  <si>
    <t>RT @IneuPurwadewiS: Dua Warga Negara Indonesia (WNI) asal Jawa Barat dinyatakan positif terjangkit Covid-19 setelah berinteraksi dengan Warga Negara Asing (WNA) Jepang. @PDI_Perjuangan @DPD_PDIP_JABAR #TehIneu #PDIPerjuangan #JabarBangkit</t>
  </si>
  <si>
    <t>Apakah kemudian ada pemberitahuan Anda positif Covid-19? Enggak ada. Sampai kemudian heboh kemarin itu (Senin, 2 Maret 2020, Presiden Joko Widodo secara resmi mengumumkan dua WNI positif Covid-19). ~kutip~</t>
  </si>
  <si>
    <t>5 WNI Diculik, Abu Sayaf Minta Tebusan Rp8,4 Miliar</t>
  </si>
  <si>
    <t>@BasitAl59704039 @Khan_Inam1 @Aliwazirna50 Or Her TTP, ISIS, Daesh k pechy Agwanistan or Endia hai</t>
  </si>
  <si>
    <t>Hari ini berobat kedokter karena keluhan demam dan sakit tenggorokan, ditanya dokter ada riwayat dariluar negri gak, gue jawab enggak. Kata dokter itu radang tenggorokan padahal 2 wni yg positif corona virus jg gak ada riwayat dari luar negri.</t>
  </si>
  <si>
    <t>@MAHA51920783 @Soleh64268085 @SahlanAmin4 @Sammy_mujahidah @lubnarahman_ @tiRani1313 @asuhan101010101 @NowowoNowiwi @lambeintel @logic_editor @Nemo_4512 @Gus_KW @mahabaratha2019 @tijabar @IqVandys @sregar41 @Na_Nina08 @AlhabsyBoyamin @BumbleBee_2910 Babi bangsat ini pendukung ISIS kl kau pnya otak kau psti berfikir knp ISIS g prnh serang israel.. sayangnya kau babi betina</t>
  </si>
  <si>
    <t>@Ai_Alwii_ Saya juga heran bila WNI kembali kr Indonesia harus dikarantina, sementara orang.China blusak blusuk ke Indonesia dengan bebas tanpa halangan berarti. Ya Alloh Sabarkan kami dalam mendapatkan hak kami🙏😓</t>
  </si>
  <si>
    <t>Isi otak warga negara lain: kemanusiaan, peduli sesama, menebar kebaikan, pengen sehat semua. Isi otak WNI: duit, duit, duit, bodo amat org lain susah, org lain mati, org lain penyakitan, yg penting bisa tajir. RT @sotogirin: Di Jepang bagiin masker ke masyarakatnya. Di China buat pabrik masker selama 6 hari karena persediaan stok menipis. Di kita, masker ditimbun, lalu harga dinaikkan. Tukang masker naik haji :`)</t>
  </si>
  <si>
    <t>RT @wow_keren: Imbas 2 WNI Positif Corona, Masyarakat Diimbau Tak Buru-Buru Borong Stok Pangan</t>
  </si>
  <si>
    <t>@EdyGypsum jadi pak @jokowi @mohmahfudmd bawa pulang anak² tentara ISIS? apa malah bawa masalah baru radikalisme?</t>
  </si>
  <si>
    <t>RT @ichatipa1: Semenjak berita 2 wni positif corona, sekarang gue kalo di kampus bersin dikit langsung dikatain virus corona :(</t>
  </si>
  <si>
    <t>Jokowi Umumkan Dua WNI Positif Terpapar Corona di Indonesia</t>
  </si>
  <si>
    <t>ayu tingting tinggal didepok, jawa barat kaget mendengar dua wni yg positif virus corona tinggal didepok. RT @kompascom: Ayu Ting Ting yang tinggal di Depok, Jawa Barat, kaget mendengar dua WNI yang positif virus corona tinggal di Depok.</t>
  </si>
  <si>
    <t>RT @Metro_TV: #TopNewsMetroTV KRI dr. Soeharso yang sudah berada di perairan Kepulauan Seribu saat ini sedang melego jangkar di dekat Pulau Sebaru Kecil. Meski sudah tiba di dekat pulau, 69 WNI dari Diamond Princess yang akan diobservasi belum diturunkan.</t>
  </si>
  <si>
    <t>Kelas Tari Saman di KBRI Athena, 28 Februari 2020 KBRI Athena menyelenggarakan kelas Tari tradisional Indonesia secara berkelanjutan yang diikuti oleh WNI, Warga Negara Yunani, dan warga negara lainnya yang berdomisili di Yunani. #inidiplomasi #indonesianway</t>
  </si>
  <si>
    <t>RT @BANG_JOLA: Being broken home kid itu ga easy . Sampe sebuah istana yang kita bangun bersama sama juga harus menjadi korban dari keindahan keluarga aku . Aku tau akun aku kecil. Tapi rumah ini kudu banget cpt laku . Agar semua urusan dapat terselesaikan . Tolong banget bantu repost kak .</t>
  </si>
  <si>
    <t>@AndreasPevita @djorock_ Ha pie mas djo setan ae nuwun sewu lewat ngarepe andre andre, ukhti2 nek ora dadi isis, murtad to ngene ki carane wkwkwkwkwkwkw</t>
  </si>
  <si>
    <t>Kemkes: 67 dari 69 WNI ABK Diamond Princess Negatif COVID-19  lewat @sayangicom</t>
  </si>
  <si>
    <t>RT @xxviyys: @kompascom Dua WNI yang positif virus corona kaget mendengar ayu ting ting tinggal di Depok, Jawa Barat Mungkin yang bener gini</t>
  </si>
  <si>
    <t>RT @alineadotid: Dua WNI dinyatakan positif terjangkit #coronavirus. Bagaimana virus tersebut dapat menyebar dan apa saja yang dapat Teman Alinea lakukan untuk melindungi diri? Simak thread berikut ya! #COVID19 #StopPanikLawanCorona #Alineadotid</t>
  </si>
  <si>
    <t>@__usyy Ahapppp mukan mun ga rabon mu ay inda wni ma asakan mna musha kallo</t>
  </si>
  <si>
    <t>Dua WNI Positif Corona, Adnan Minta Warga Gowa Tidak Panik</t>
  </si>
  <si>
    <t>@ulowit Tebak kata : gajah e isis? 🙊</t>
  </si>
  <si>
    <t>RT @Moenthelicious: @elkrova @hemaviton99 @S_Hikmawatty @KPAI_official Harusnya Pak @mohmahfudmd fokus membina yg begini aja daripada mulangin kombatan isis 🤔</t>
  </si>
  <si>
    <t>4 WNI di Kapal Diamond Princess Positif Terjangkit Virus Corona</t>
  </si>
  <si>
    <t>@A_m1nsaja @bazokasmart @adimas_tedjo @k4ng_C1reNG Khilafah...? Ini contoh konkret pengusung khilafah. 👇🏻👇🏻👇🏻</t>
  </si>
  <si>
    <t>RT @rullyjoo27: @goziafdoli1 @GusMendem1 @Jelantik5 @AremaNita__ @BdyNusantara @Ani97174706 @daunsirih5 @onsrgst @su7loo @SeruniPuspaAlam @agama_nusantara @_nice69_ dan ternyata peristiwa yg sama dgn ISIS bukan ssuatu yg baru,sdh ada sejak awal lahirnya islam,,</t>
  </si>
  <si>
    <t>repost @ptwijayakarya 𝐒𝐚𝐥𝐢𝐧𝐠 𝐣𝐚𝐠𝐚 𝐮𝐧𝐭𝐮𝐤 𝐦𝐞𝐧𝐜𝐞𝐠𝐚𝐡 𝐂𝐨𝐫𝐨𝐧𝐚⁣ ⁣ Kemarin pemerintah Republik Indonesia mengumumkan 2 orang WNI positif terkena virus Corona. Tetap waspada dan jangan panik ya, #SobatWIKA. Baca cara…</t>
  </si>
  <si>
    <t>Kementerian Kesehatan (Kemkes) mengatakan dari hasil pemeriksaan terhadap 69 warga negara Indonesia (WNI) anak buah kapal (ABK) Diamond Princess, 67 orang dinyatakan negatif COVID-19.</t>
  </si>
  <si>
    <t>@goziafdoli1 @GusMendem1 @Jelantik5 @AremaNita__ @BdyNusantara @Ani97174706 @daunsirih5 @onsrgst @su7loo @SeruniPuspaAlam @agama_nusantara @_nice69_ dan ternyata peristiwa yg sama dgn ISIS bukan ssuatu yg baru,sdh ada sejak awal lahirnya islam,,</t>
  </si>
  <si>
    <t>Tolong bgt dong berenti nyebarin identitas WNI “pasien korona” mikir dikit lah tentang imbas ke mereka dan keluarganya gimana</t>
  </si>
  <si>
    <t>RT @Metro_TV: #PrimeTimeNews KRI dr. Soeharso yang sudah berada di perairan Kepulauan Seribu saat ini sedang melego jangkar di dekat Pulau Sebaru Kecil. Meski sudah tiba di dekat pulau, 69 WNI dari Diamond Princess belum diturunkan.</t>
  </si>
  <si>
    <t>Ga tau ya, tp adanya media sekarang tuh seolah bikin rendah empati. Jurnalis online jg menyebarkan info yg ga sesuai fokus bahasan. Ex : kasus WNI yg dihukum di LN krn pemerkosaan, yg dibahas malah harta tanah bokapnya :") sekepo itu kah masyarakat thd hal yg ga perlu mrk tau? RT @safenetvoice: PERINGATAN Saat ini beredar info dari WAG ke WAG tentang riwayat kesehatan 2 orang yg terkena virus corona. Disertai foto dan alamat rumah ybs. Riwayat kesehatan adalah data pribadi yg spesifik. Tidak boleh sembarang diedarkan. Jangan diedarkan lagi.</t>
  </si>
  <si>
    <t>Dokter mengimbau masyarakat jangan panik menghadapi WNI yang terinfeksi virus corona baru. Beberapa langkah preventif bisa dilakukan. #CoronaVirusUpdates #COVID2019.</t>
  </si>
  <si>
    <t>@narkosun @mohmahfudmd Mana jokowe mana?! Mendari mana?! Menaq mana? Gimana mau mengharapkan mereka , bibit isis aja mau di pulangkan. Sudah tidak ada harapan lagi dan tinggal bum waktu saja negera ini ancor!</t>
  </si>
  <si>
    <t>RT @goziafdoli1: @rullyjoo27 @GusMendem1 @Jelantik5 @AremaNita__ @BdyNusantara @Ani97174706 @daunsirih5 @onsrgst @su7loo @SeruniPuspaAlam @agama_nusantara @_nice69_ Nah itu dia,,, saya tambah bingung. Sy sendiri orang islam diajarin rahmatan lil alamin ini artinya rahmat bagi alam semesta. Tapi ISIS contohnya membunuh dan merusak alam dam manusia dengan perang. 😵😵🤯🤯</t>
  </si>
  <si>
    <t>RT @AinaQueen5: Semoga bermanfaat Ttp waspada &amp; jaga imunitas tubuh kita tuips Semoga Allah SWT menjaga &amp;amp; melindungi rakyat Indonesia dari bala &amp;amp; bencana wabah ini Hasbunallah wni' mal wakil ni'mal Maula w ni' man natsiirr #</t>
  </si>
  <si>
    <t>RT @ILCtv1: #ILCCoronadiIndonesia | NARASUMBER ILC : DODY SETIAWAN (WNI di Wuhan)</t>
  </si>
  <si>
    <t>Semoga bermanfaat Ttp waspada &amp; jaga imunitas tubuh kita tuips Semoga Allah SWT menjaga &amp;amp; melindungi rakyat Indonesia dari bala &amp;amp; bencana wabah ini Hasbunallah wni' mal wakil ni'mal Maula w ni' man natsiirr #</t>
  </si>
  <si>
    <t>@habibthink Tertindas...mna spion..apa mreka mau jd isis terus menindas seenaknya</t>
  </si>
  <si>
    <t>@goziafdoli1 @agama_nusantara @rullyjoo27 @GusMendem1 @Jelantik5 @AremaNita__ @BdyNusantara @Ani97174706 @daunsirih5 @onsrgst @su7loo @SeruniPuspaAlam @_nice69_ ISIS bukan Islam dul, Islam itu damai</t>
  </si>
  <si>
    <t>@AfifFuadS Gerombolan kadrun sok bener sendiri otak onta...pindah ke irak , suriah atau turki sana , gabung ama isis</t>
  </si>
  <si>
    <t>@BiLLRaY2019 Jangan mimpi bisa ngatasi eks kombatan isis kalau yg spt ini aja ga ada nyali buat bersikap tegas</t>
  </si>
  <si>
    <t>RT @aslipribumiraya: @Entow1j4y4 bapak itu memang benar. tapi kita harus ingat</t>
  </si>
  <si>
    <t>Pantau WNI dan WNA dari LN, Pemerintah: Jangan Diartikan Semua Orang Sakit</t>
  </si>
  <si>
    <t>Virus corona. Sars. MERS. H2N1. HIV. tidak seberapa bahayanya di banding virus rasikalisme. Intoleransi yg di sebarkan oleh kaum bani kadrun khilafah seperti FPI.HTI ISIS. WAHABI. RT @FirzaHusain: Giliran menanggulangi banjir kabur 😊😊😊 Gubernur DKI Jakarta mengaku menerbitkan instruksi gubernur terkait penanganan Virus Corona. Anies juga membentuk Tim Tanggap Virus Corona yang berkoordinasi dgn pemerintah pusat.</t>
  </si>
  <si>
    <t>Inilah yg ane kagumi dari Kurdi. Tak peduli saat menghadapi ISIS, Turki ataupun Covid 19. Mereka tak pernah lupa menari. Nostalgia "Dancing of Kobane".😃 RT @vvanwilgenburg: Still have to celebrate. It's almost Newroz.</t>
  </si>
  <si>
    <t>Data pribadi 2 WNI positif corona bocor, Kemenkes dianggap langgar kode etik</t>
  </si>
  <si>
    <t>@officialdeezell 🤣😂😂😂😂😂😂 Arradou Jaka ce wai wni vata yafe ba</t>
  </si>
  <si>
    <t>Mereka lantas membawa kelima WNI itu ke Kota Parang, Pulau Sulare, Kepulauan Sulu. Yang berjaraknya sekitar 16 kilometer dari pulau utama.</t>
  </si>
  <si>
    <t>Kondisi 2 WNI Positif Terinfeksi Virus Corona Stabil Selasa, 3 Maret 2020 Kanal Nasional</t>
  </si>
  <si>
    <t>WNI YANG PULANG DARI CINA DIKARANTINA DI NATUNA. WARGA CINA YANG DATANG KE INDONESIA BEBAS KEMANA AJA. OTAK OTAK MANA OTAK OTAK 😂😂😂 #StopPanikLawanCorona</t>
  </si>
  <si>
    <t>RT @jujutremeterra: @gui_isis relikyaaaaaaa</t>
  </si>
  <si>
    <t>RT @InfokomPMK: Hai, #Sobatkom! Sudah dengar kabar mengenai dua WNI yang positif terkena virus corona? Tetap tenang, jangan panik. Selalu cari informasi dari sumber resmi agar tidak termakan hoaks, ya. #viruscorona #coronavirus #infokompmk</t>
  </si>
  <si>
    <t>Presiden Ingatkan Pejabat Terkait Lindungi Hak Privasi WNI Positif Corona Selasa, 3 Maret 2020 Kanal Nasional</t>
  </si>
  <si>
    <t>@rifqidianss @haekalekaal Isis umi sekarang ada di pasar malem gai tiap hari Jum'at</t>
  </si>
  <si>
    <t>RT @BNPB_Indonesia: Para Warga Negara Indonesia (WNI) World Dream sebagai peserta observasi terkait virus corona melakukan rangkaian kegiatan yang seru dan pastinya membuat hati riang dan gembira.</t>
  </si>
  <si>
    <t>RT @UyokBack: "Model2 ISIS kita ini, kemana2 bawa golok dan senjata". "Kami sedang merawat kebangsaan dan meluruskan nalar yang bengkok" Kita, kami.. Belepotan lu Bong @aharisth. Lap dulu tuh iler.. :-)</t>
  </si>
  <si>
    <t>@wisanggeni_084 @jokowi @mohmahfudmd @DivHumas_Polri @kratonjogja Sebagai WNI dg kesadaran penuh menggantungkan hidup bersama dalam kerangka NKRI, Pancasila, Bhineka Tunggal Ika dengan dasar nasehat Ulama Hubul Waton Minal Iman, maka saya merasa kecewa dengan hal2 semacam ini dibiarkan terjadi di bumi Pertiwi.</t>
  </si>
  <si>
    <t>RT @KemenkesRI: #RilisSehat WNI di Wuhan Tak Ada yang Terjangkit nCoV @KemenkesRI</t>
  </si>
  <si>
    <t>1 hari paska konferensi pers WNI positif covid19: -Antrian BPJS di RS masih ramai -Banyak yg antre pake masker, bahkan ada eyang-eyang yg pakai masker N95 😅. -Banyak juga, yg masih cuek batuk-batuk, bersin, sendawa ga ditutup 😶.</t>
  </si>
  <si>
    <t>RT @tribunnews: Achmad Yurianto Sampaikan Kondisi Terkini 2 WNI yang Positif Virus Corona, Semakin Membaik  via @tribunnews</t>
  </si>
  <si>
    <t>RT @tvOneNews: 2 WNI berdomisili Depok terdekteksi positif terjangkit virus corona. Bagaimana Indonesia menghadapi Corona? Siapkah kita? . Saksikan ILC: Ketika Corona Sudah Sampai Di Inconesia malam ini jam 20.00 WIB. Live streaming klik &gt;&amp;gt;&amp;gt;  #ILCCoronadiIndonesia</t>
  </si>
  <si>
    <t>Abu Sayyaf Minta Rp 8,4 M untuk Tebus 5 WNI yang Diculik, Ini Kata Mahfud  #DariSuara</t>
  </si>
  <si>
    <t>Pantau WNI dan WNA dari LN, Pemerintah: Jangan Diartikan Semua Orang Sakit  #DariSuara</t>
  </si>
  <si>
    <t>Seandainya pengumuman WNI yang positif Covid19 itu keluar sebelum rame berita di orang Jepang yang ngeborong toilet paper dan tisu di supermarket, orang Indonesia tetap akan melakukan rush buying kayak kemarin ga ya?</t>
  </si>
  <si>
    <t>Achmad Yurianto Sampaikan Kondisi Terkini 2 WNI yang Positif Virus Corona, Semakin Membaik  via @tribunnews</t>
  </si>
  <si>
    <t>@AdiMawa22441862 @AfifFuadS Knp hrs lama nunggu?Tdk mengikuti jejak sodara2mu Eks WNI ISIS ke Suriah?Knp lu masih nyaman di negara thogut ini? 😎 Nebak boleh kan?Krn loe pd takut mati, sperti halnya sodara2mu di suriah yg njerit2 mohon pertolongan dr Rezim Jokowi. Agar diselamatkan dr hukuman mati di Suriah</t>
  </si>
  <si>
    <t>RT @KBRIWashDC: Himbauan bagi WNI di AS #NegaraMelindungi #WaspadaCOVID19 #IndonesianWay #IndonesiainUS</t>
  </si>
  <si>
    <t>238 WNI yg jelas2 dari Wuhan, jelas2 suspect virus Corona, ternyata ga melalui pemeriksaan seharusnya cuma karena rezim ini ga mau mengeluarkan duit untuk memastikan kesehatan dan keselamatan rakyatnya.</t>
  </si>
  <si>
    <t>2 Wni Ktp Depok Terinfeksi, Jabar Bentuk Crisis Center Covid19</t>
  </si>
  <si>
    <t>@Telkomsel sya mau bilang bahwa jaringan kalian tlah d salah gunakan oleh pihak WNI china mereka melakukan kejahatan melalui kartus simPATI mengirim konten2 yg merugikan masyarakat Indonesia,seperti penipuan.sya sudh melapor ini keCybercrimepolrli tpi tidak ad tnggapan.</t>
  </si>
  <si>
    <t>Abu Sayyaf Minta Tebusan Rp8,4 M Untuk Lima Sandera WNI</t>
  </si>
  <si>
    <t>Wabah virus corona telah masuk ke Indonesia dengan diawali dua WNI asal Depok, Jawa Barat terjangkit COVID-19.</t>
  </si>
  <si>
    <t>Gara2 berita ad WNI positif terjangkit Virus Corona, terkhusus di wilayah Jabodetabek, kantor jadi protektif banget.</t>
  </si>
  <si>
    <t>@sobatwirid solusi?solusi terbaik mnurut sy adalah nyingkirin orng2 kyk anda dr bumi Indonesia,ente mau negakin khilafah?pergi k syria bareng temen2mu ISIS sono</t>
  </si>
  <si>
    <t>RT @PANDHITADHYASA1: astaga dragon 😝😝😝 kirain cuman mie instan + beras aja yg di borong orang2 gegara berita 2 WNI di Depok terjangkit virus Corona 🤭🤭🤭 ternyata ... balon jg ludes diborong 😂😂😂 @RamadanAfdi @tri_lingga @AnakLolina @Owaala @Winardhi__ @eko2471 @4Y4NKZ @FarelmaxL</t>
  </si>
  <si>
    <t>@fandygr Aseemg.... Wingi 2000 pr bj rung suwe neng prambanan.. sebelum kasus wni terpapar</t>
  </si>
  <si>
    <t>@zarazettirazr Sebelumnya Presiden Jokowi memerintahkan Kapolri Jenderal Idham Aziz untuk menghukum para pelaku penimbunan masker yang semakin langka dengan harga yang melambung tinggi usai dua WNI asal Depok, Jawa Barat dinyatakan positif virus corona.... Wkwkwkwk.</t>
  </si>
  <si>
    <t>@NNA45962785 @eko63691 Merusak suatu negara yang aman tentram damai itu penjajah. Seperti ISIS, teroris, dan ah sudahlah</t>
  </si>
  <si>
    <t>2014 Toyota Isis For Sale in #Jamaica #usedcar #carforsale</t>
  </si>
  <si>
    <t>RT @aminnissan: @elHurryKoRn @Mmahalik2 Itu bocah goblok kali ya??? yg ikut isis aja pada pengen pulang, ini masih pada ngeyel begitu</t>
  </si>
  <si>
    <t>Apotek dan swalayan di Sleman mengaku tak memiliki stok masker setelah munculnya kabar ada WNI yang terjangkit COVID-19 atau virus corona. #maskermahal #CoronaVirusUpdate #VirusCorona #corona</t>
  </si>
  <si>
    <t>@tvOneNews konsekuensi dari mengabaikan seruan agama akan WAJIBnya dilakukan KARANTINA thd 1 wabah yg sedang bergolak, yg didlm tdk boleh keluar, yg diluar tdk boleh masuk, jadi jujur saja termasuk penjemputan WNI dari Wuhan itu saya tdk sependapat, apalagi terus dibukanya kran Turis 😢</t>
  </si>
  <si>
    <t>@ffadilaputra bapak lu kontolnya kecil terus join isis 😝😝😝</t>
  </si>
  <si>
    <t>@pengelana_10dua ISIS perjuangan kali 😁</t>
  </si>
  <si>
    <t>RT @TempoInstitute: Saksikan perjalanan gadis 17 tahun mengajak keluarganya ke ISIS di Suriah di film Seeking The Imam. Gratis dan terbuka untuk umum.</t>
  </si>
  <si>
    <t>Memastikan stok pangan adl respons BUMN atas kepanikan masyarakat usai pemerintah mengumumkan dua WNI terinfeksi virus corona #BUMNLawanCorona</t>
  </si>
  <si>
    <t>Beri semangat moral untuk WNI yg terkena corona bukan malah mempersekusi dengan menyebarkan foto dan menghujatnya. Tanpa ada kejadian ini kita mana sadar dgn yg namanya memproteksi diri. Bahkan kabarnya 2 WNI yang difonis itu berinisiatif sendiri memperiksakan kesehatannya</t>
  </si>
  <si>
    <t>@jetsilvers WNI itu kebanyakan skip nya</t>
  </si>
  <si>
    <t>RT @ZAEffendy: 2 WNI Positif #COVID19 adalah warga Depok, Jawa Barat dan Rawat Isolasi di RS PUSAT INFEKSI, Soelianti Saroso di Sunter, Jakarta Utara. Belum ada informasi SEJAK KAPAN?</t>
  </si>
  <si>
    <t>Update Jatim : Dua WNI Positif Corona, Bupati Probolinggo Imbau Warga Tidak Panik  #probolinggo #viruscorona #Puputtantriana</t>
  </si>
  <si>
    <t>RT @mendescxs: pls sebar ini ke teman2 kalian, keluarga kalian kalo bisa biar semua org tau. krn 2 WNI uda kena corona jadi aku mau kasi tau ini ke kalian. cr : di pic</t>
  </si>
  <si>
    <t>@FaridaAstuti11 @NgabehiWulungan Plis deh .. Jangan . saya sebagai muslim di nusantara sungguh sangat aman . karena khilafah yang kalian kampanyekan justru banyak yang merasa tidak nyaman, karena melihat peristiwa isis yang juga mengkampanyekan khilafah tp malah perang .</t>
  </si>
  <si>
    <t>Itu WNI yang dikabarin positif corona, rekam medisnya gimana dah wkwk</t>
  </si>
  <si>
    <t>@ustadtengkuzul  menteri terbalik sepanjang season II</t>
  </si>
  <si>
    <t>@Arissukamto @ChusnulCh__ 😂 Kebanyakan Kadrun Macam kamu @Arissukamto tidak tau kenerja &amp; kridibilitas Ahok.. , tau Ahok setelah ada kasus penistaan agama aja kan ? ... Lah dulu demo Ahok datang dari Aceh Padang ,Jabar Jateng &amp;amp; Jatim 😋 Kota Jakarta itu ibu kota RI wajar sebagai WNI peduli 😋</t>
  </si>
  <si>
    <t>RT @BudiSudarma: @DivHumas_Polri mohon ditindak segera , apalagi nanti ada eks anak ISIS lebih berbahaya</t>
  </si>
  <si>
    <t>@Sang_Rajawali @jetsilvers @msaid_didu Yaah kampret jg ternyata..🤣🤣Kasian deh kalo sudah terpapar virus otah gurun.. p3ndukung setia kilapah t3ror12 hti bin isis..🤭🤭 Tak beer..🍺🍺🍻🍻 sampe mabok minum pipis ontah gurun..🤣🤣</t>
  </si>
  <si>
    <t>RT @afnfahmi: JAWABAN SAYA: Kenapa WNI Eks-Karantina Natuna Tidak "Diperiksa"? #JanganPanik #WaspadaCOVID19  #ForumKaskus via @KASKUS</t>
  </si>
  <si>
    <t>RT @ruangobrol_id: Seorang mantan direktur perusahaan teknologi terjerat propaganda ISIS di medsos. Kenapa ia bisa terjerat padahal punya latar belakang bonafide? Apa yang dilakukannya kemudian?</t>
  </si>
  <si>
    <t>@menggemaskan_ Menyaingi isis Manthaaapp</t>
  </si>
  <si>
    <t>RT @dayuindiraa: denger2 ada WNI taiwan positif corona tapi malah tik tok an mas di RS, ada2 bae 😂 mau cari video nya ah @sapa_indonesia @AimanWitjaksono pelan2 buka hp matanya jangan melotot mas 🤣</t>
  </si>
  <si>
    <t>RT @kompascom: Desy Ratnasari imbau masyarakat tak panik terkait adanya dua WNI yang terjangkit virus corona. Ia menyarankan untuk hidup lebih bersih dan sehat</t>
  </si>
  <si>
    <t>denger2 ada WNI taiwan positif corona tapi malah tik tok an mas di RS, ada2 bae 😂 mau cari video nya ah @sapa_indonesia @AimanWitjaksono pelan2 buka hp matanya jangan melotot mas 🤣</t>
  </si>
  <si>
    <t>RT @tvOneNews: Virus corona sudah merambah ke berbagai negara &amp; sudah menelan ribuan nyawa. Kemarin, 2 WNI berdomisili Depok terdekteksi positif terjangkit virus ini. Bagaimana Indonesia menghadapi Corona? Siapkah kita? Saksikan ILC malam ini jam 20.00 WIB hanya di tvOne. #ILCCoronadiIndonesia</t>
  </si>
  <si>
    <t>Dua WNI Positif Corona, Banyak Warga Datang ke RSHS Bandung Minta Surat Bebas Corona</t>
  </si>
  <si>
    <t>@bivekkumar9 @SalmanNizami_ Pta ni tum log purn bhartiye bna rhe ya ISIS ki traf dhakel rhe ho Indian muslim ko</t>
  </si>
  <si>
    <t>RT @vivanewscom: Dua WNI Positif Corona, AP II: Pengawasan Bandara Soetta Sudah Ketat  #vivanews</t>
  </si>
  <si>
    <t>RT @kompascom: Persiapan balapan mobil listrik itu tetap dilakukan sambil menunggu perkembangan kasus virus Corona atau Covid-19 yang sudah terjadi di Indonesia.</t>
  </si>
  <si>
    <t>Dampak lainnya adalah semakin kecil kesempatan WNI jamaah umroh tsb terpapar virus COVID19. RT @CNNIndonesia: Kebijakan Arab Saudi untuk memberhentikan visa umroh akibat penyebaran virus corona membuat 2.393 jemaah WNI gagal umroh. Apa lagi dampak dari kebijakan ini? Baca selengkapnya dalam #Fokus #CNNIndonesia, di sini: !</t>
  </si>
  <si>
    <t>Virus corona sudah merambah ke berbagai negara &amp; sudah menelan ribuan nyawa. Kemarin, 2 WNI berdomisili Depok terdekteksi positif terjangkit virus ini. Bagaimana Indonesia menghadapi Corona? Siapkah kita? Saksikan ILC malam ini jam 20.00 WIB hanya di tvOne. #ILCCoronadiIndonesia</t>
  </si>
  <si>
    <t>Kementerian Kesehatan (Kemkes) sedang melacak sekitar 50-an orang yang hadir di pesta dansa di suatu klub di DKI Jakarta di WNI terinfeksi virus corona baru, COVID-19, dari kontak langsung saat berdansa dengan warga negara Jepang yang positif COVID-19.</t>
  </si>
  <si>
    <t>RT @JazzTorrance: @patton6966 @redpilledtee islam isis</t>
  </si>
  <si>
    <t>Desy Ratnasari imbau masyarakat tak panik terkait adanya dua WNI yang terjangkit virus corona. Ia menyarankan untuk hidup lebih bersih dan sehat</t>
  </si>
  <si>
    <t>RT @Rakha_boumi: #PemerintahCeroboh dalam hal Omnibus law juga soal pemulangan anak-anak eks Kombatan isis</t>
  </si>
  <si>
    <t>RT @alva_roe_lee_: Direktur Utama RSPI Sulianti Saroso, Mohammad Syahril, menyampaikan, kondisi dua warga negara Indonesia (WNI) asal Depok yang positif virus corona semakin membaik. "Alhamdulillah kedua pasien positif corona ini kondisinya membaik," kata Syahril di lokasi, Selasa (3/3/2020).</t>
  </si>
  <si>
    <t>Kemenkes telah memeriksa 69 spesimen (sampel) dari 69 WNI yang merupakan anak buah kapal (ABK) Diamond Princess.</t>
  </si>
  <si>
    <t>@doddy0020 @Mr_cosanostra @LisaAmartatara3 Sekarang jadi pindah bahas Arab dan Isis.. silahkan dah udah gak nyambung</t>
  </si>
  <si>
    <t>WNI positif Covid-19, DPR Aceh minta eksekutif siapkan langkah konkret</t>
  </si>
  <si>
    <t>RT @TirtoID: Direktur Utama Rumah Sakit Pusat Infeksi Sulianti Saroso, Mohammad Syahril menerangkan kondisi dua orang pasien Corona telah membaik.</t>
  </si>
  <si>
    <t>RT @kompascom: Sejumlah langkah langsung dilakukan untuk menelusuri paparan virus corona pasca dua orang WNI positif mengidap Covid-19.</t>
  </si>
  <si>
    <t>RT @voaindonesia: #PalingPopuler "Rasanya lebih dari sedih. Ingin nyebur ke sumur." Omed salah satu WNI yang batal dievakuasi dari Wuhan. Meski kesepian dan ketakutan terhadap virus corona, dia ‘tak berani’ berharap banyak akan dijemput pemerintah RI. #OmedJiayou #Wuhan #VirusCorona #CoronaVirus</t>
  </si>
  <si>
    <t>@R3sta_305 @HacktivisMca Sepertinya warga pada panik pasca pengumunan 2 org wni positif corona..🤔 Atau mungkin ga ada yg percaya cuma 2 org yg terinfeksi(jadi reaksinya diluar kewajaran...🤔)</t>
  </si>
  <si>
    <t>RT @D_m3chy: Maksudnya kita disuruh ngerasain Virus Corona jadi gk perlu pake Masker, Vangke 2 WNI Positif Corona, Menkes: Yang Sehat Tak Usah Pakai Masker #IndonesiaDiAmbangKebangkrutan #IndonesiaDiAmbangKebangkrutan  via @sorotnews</t>
  </si>
  <si>
    <t>@agusboy_1973 Ndak pake lama, apa yg di copy paste oleh uni @fahiraidris tentang wabah covid 19 yg sdh terdeteksi menjadi kenyataan dan yg terinfeksi covid 19 ada 2 WNI di umumkan sendiri oleh bapak Presiden Jokowi.</t>
  </si>
  <si>
    <t>RT @Indonesiaberit4: 2 WNI Positif Terjangkit, Presiden Tegaskan Keseriusan Pemerintah Tangani Wabah Korona</t>
  </si>
  <si>
    <t>RT @Indonesiaberit4: Ditemui Warga Negara Jepang, Jokowi: 2 WNI Terpapar Virus Korona</t>
  </si>
  <si>
    <t>Aku nyinyirin ke Pak @mohmahfudmd Pak yang ini 👇 urus dulu, baru deh 'genit-genitan' mikirin mulangi anak-anak Teroris pengikut iblis ISIS. RT @swandarugen: Jogja Kota Budaya Nasib mu kini.... @wisanggeni_084 @WahabisLokal @Takviri</t>
  </si>
  <si>
    <t>Masker menjadi salah satu barang yang paling dicari masyarakat di tanah air sejak pemerintah umumkan dua WNI yang positif corona. Harga masker pun melambung tinggi dan semakin langka. Dapatkan berita lainnya di tvOne connect. #tvOneNews #KabarPetangtvOne #corona #masker</t>
  </si>
  <si>
    <t>RT @Indonesiaberit4: 260 Juta Rakyat Indonesia, Pemerintah Tak Berencana Pulangkan Anggota ISIS Eks WNI</t>
  </si>
  <si>
    <t>RT @Indonesiaberit4: Pemerintah Pertimbangkan Pulangkan Anak-Anak dari Eks-ISIS</t>
  </si>
  <si>
    <t>@BlackRobusta @Mr_cosanostra @LisaAmartatara3 Tentara isis bersama pasukan turkey erdogan ???</t>
  </si>
  <si>
    <t>RT @Indonesiaberit4: Tolak Wacana Pemulangan Eks ISIS, HAI Sebut Tidak Ada Ruang Buat Penghianat</t>
  </si>
  <si>
    <t>Kelompok bersenjata Abu Sayyaf di Filipina dilaporkan meminta tebusan 30 juta Peso atau sekitar Rp8,4 miliar atas lima warga Indonesia (WNI) yang ditawan.</t>
  </si>
  <si>
    <t>Sejumlah langkah langsung dilakukan untuk menelusuri paparan virus corona pasca dua orang WNI positif mengidap Covid-19.</t>
  </si>
  <si>
    <t>@elHurryKoRn @Mmahalik2 Itu bocah goblok kali ya??? yg ikut isis aja pada pengen pulang, ini masih pada ngeyel begitu</t>
  </si>
  <si>
    <t>@Dennysiregar7 @tvOneNews Lha daripada elu. Sok2an ngatain binatang ke yg nginfoin Corona. Minta maaf dulu sono sama Pakde @jokowi yg nginfoin WNI positif Corona virus 😑</t>
  </si>
  <si>
    <t>RT @_bayangan_semar: Pukulan berat buat pasukan pembela hari Valentine.... Terbukti perayaan Valentine merupakan media penularan virus Corona. "Dia (WN Jepang) itu guru dansa. Dia dansa dengan teman dekatnya itu pada 14 Februari," kata Menkes Terawan. Senin (2/3/2020).</t>
  </si>
  <si>
    <t>_PASCA PENGUMUMAN PRESIDEN MENGENAI WNI KORBAN VIRUS SARS COV-2 (CORONA)_ Selasa tgl. 03-03-2020 pkl. 09.30 wib POLSEK BOJONGLOA KIDUL Telah melakukan koordinas Ka sub bag tata usaha bpk. Asep Nugraha di Puskesmas Kopo Bandung.</t>
  </si>
  <si>
    <t>RT @Metro_TV: Sekretaris Ditjen P2P Kemenkes sekaligus Jubir Penanganan Virus Corona, Achmad Yurianto, membeberkan kronologi dua warga negara Indonesia (WNI) yang dinyatakan positif terjangkit virus Corona di Indonesia. #BreakingNewsMetroTV</t>
  </si>
  <si>
    <t>RT @cnbcindonesia: Manajer Hotel Des Indes: WNI &amp; WN Jepang Ikuti Latin Dance</t>
  </si>
  <si>
    <t>Dua warga Depok, Jawa Barat dipastikan positif terkena Covid-19 atau virus korona. Menanggapi hal tersebut, Bunga Zainal yang dikenal cuek mendadak panik mendengarnya.</t>
  </si>
  <si>
    <t>Manajer Hotel Des Indes: WNI &amp; WN Jepang Ikuti Latin Dance</t>
  </si>
  <si>
    <t>Ya Ampun...statement bginianmah nanti aja atuh... /nasional/20200302181921-20-479854/menkes-sebut-wni-positif-corona-bisa-jadi-riset-untuk-vaksin</t>
  </si>
  <si>
    <t>@UmarKhalidJNU @republic @kunalkamra88 Neta ban rahe ho bsdk , Tera baap simi ka tha aur too to ISIS ka nikla</t>
  </si>
  <si>
    <t>Kementerian Kesehatan (Kemenkes) memiliki beberapa cara mendeteksi warga negara Indonesia (WNI) terduga (suspect) virus korona (Covid-19). Salah satunya mengambil spesimen para suspect korona.</t>
  </si>
  <si>
    <t>@FSawiya @kerajaanpolitik @muhammadiyah @KokamIndonesia @wisanggeni_084 @Takviri Anda tahukan siapa pengendali negeri +62 saat ini...? Mereka adalah perampok antek2 ISIS yg mengatasnamakan Pancasila, Bhineka Tunggal Ika, Toleransi, Nusantara, Demokrasi, HAM, dan lain-lain. Mereka rela membebani anak cucu negeri ini dengan utang yang 60%nya dirampok.</t>
  </si>
  <si>
    <t>Dua WNI Positif Covid-19, Status Babel Masuk Kesiapsiagaan</t>
  </si>
  <si>
    <t>_PASCA PENGUMUMAN PRESIDEN MENGENAI WNI KORBAN VIRUS SARS COV-2 (CORONA)_ Selasa tgl. 03-03-2020 pkl. 09.30 wib. Telah melakukan koordinasi dengan petugas Ka sub bag tata usaha bpk. Asep Nugraha di Puskesmas Kopo Bandung.</t>
  </si>
  <si>
    <t>@naxxnia @satoornuz @AREAJULID SIM ga dapet say tapi (dibuat) bagi yg mau aja, kl KTP baru pas kmu umur 17 dapet karena wajib sbg tanda WNI</t>
  </si>
  <si>
    <t>RT @erna_st: Terungkap, 238 WNI dari Wuhan Tak Dites Virus Corona, Alatnya Mahal Alat pengujian virus corona yang mahal menjadi alasan 238 WNI dari Wuhan tak dites virus mematikan Untuk reagen ditaksir dengan harga kisaran Rp 1 miliar.</t>
  </si>
  <si>
    <t>Gigi lu. WNI yg kena virus corona menular dr orang jepan mah lu bilang deteksi virus corona aman? Parah nih orang</t>
  </si>
  <si>
    <t>RT @MZubir_ID: @narkosun @wahhabicc_jabar @mohmahfudmd HTI kembali bangkit, negara tidak tegas. Wahai penguasa, menteri dan gubernur, jangan kalian pertaruhkan negara ini, ambil tindakan tegas kepada gerombolan HTI, teroris ISIS dan kelompok radikalis-ekstrimis agama yang ingin hancurkan NKRI berkedok khilafah. @jokowi @kemendagri</t>
  </si>
  <si>
    <t>_PASCA PENGUMUMAN PRESIDEN MENGENAI WNI KORBAN VIRUS SARS COV-2 (CORONA)_ Selasa tgl. 03-03-2020 pkl. 09.30 wib POLSEK BOJONGLOA KIDUL Telah melakukan koordinasi dengan petugas Ka sub bag tata usaha bpk. Asep Nugraha di Puskesmas Kopo Bandung.</t>
  </si>
  <si>
    <t>#PrimeTimeNews Dari 69 WNI dari kapal Diamond Princess yang saat ini masih berada di KRI dr. Soeharso, 67 diantaranya dinyatakan negatif #VirusCorona. Sementara 2 lainnya masih diuji kembali.</t>
  </si>
  <si>
    <t>RT @RadioElshinta: 69 WNI kru kapal pesiar Diamond Princess dari Yokohama, Jepang &amp; 188 WNI kru kapal pesiar World Dream masih menjalani proses observasi di Pulau Sebaru Kecil, Kep Seribu, Jakarta. Mereka menjalani observasi memasuki hari ke5. Bagaimana kondisi terkini? Talk Dr Erlang Samudro SpP.</t>
  </si>
  <si>
    <t>PTRI Jenewa turut mengimbau bagi seluruh WNI yang berada di Jenewa dan sekitarnya utk daftar diri guna memudahkan jangkauan @IndonesiainBern RT @IndonesiainBern: Kepada Bapak/Ibu/Kakak/Adik seluruh WNI di Swiss dan Liechtenstein, Sempatkan daftar diri melalui laman  karena #WNIPeduli isi #PeduliWNI Pastikan Anda juga terjangkau oleh KBRI! #WNISalingJaga #KBRIPastiJaga</t>
  </si>
  <si>
    <t>RT @McKayo_68: Menjadi Pemimpin yang Komunikatif ...? GoodBenar Anies harus beljar sama bapak2 ini 👇 #CoronaBukaBorokRezim #CoronaBukaBorokRezim Jokowi: 2 WNI Warga Depok Positif Corona Ridwan Kamil: Tak Ada Bukti Virus Corona Hadir di Depok Warganet: Lieur ah..</t>
  </si>
  <si>
    <t>RT @TeddyGusnaidi: 1. Dengan diumumkannya ada 2 WNI yang terkena virus corona, ini membuktikan bahwa metode dan alat pendeteksi yang diragukan WHO dan beberapa negara terhadap Indonesia, keliru. Ini juga membuktikan bahwa Indonesia tidak menutup-nutupi jika ada WNI yang terkena virus.</t>
  </si>
  <si>
    <t>RT @MNCNewsroom: Dirut RSPI Sulianti Saroso ungkapkan kondisi WNI yang positif korona terus membaik. #StopPanikLawanCorona</t>
  </si>
  <si>
    <t>RT @riyadh_kbri: Himbauan KBRI Riyadh kepada seluruh WNI di Arab Saudi terkait pengumuman resmi Pemerintah Arab Saudi terkait seorang pria yg terjangkit virus Corona di Arab Saudi. @Kemlu_RI @KemensetnegRI #negaramelindungi</t>
  </si>
  <si>
    <t>RT @cnbcindonesia: Direktorat Eropa I Kementerian Luar Negeri RI Ida Bagus Made Bimantara, mengutip laporan KBRI Roma, mengatakan sampai hari ini tidak ada satupun korban corona warga negara Indonesia (WNI) di sana.</t>
  </si>
  <si>
    <t>@AdhieMassardi Kronologisnya jg krg jelas, apkh WNA jepang kontak dg ke-2 WNI; ibu &amp; anaknya atau kontak sg salah satunya saja?</t>
  </si>
  <si>
    <t>@Ladybotol Cuekin aja lah.. Km bukan WNI juga kan.</t>
  </si>
  <si>
    <t>Dirut RSPI Sulianti Saroso ungkapkan kondisi WNI yang positif korona terus membaik. #StopPanikLawanCorona</t>
  </si>
  <si>
    <t>@FSawiya @kerajaanpolitik @muhammadiyah @KokamIndonesia @wisanggeni_084 @Takviri ISIS: Israel's Spy Intelligence Strategy. Mereka akan melakukan apa saja untuk memperburuk citra Islam. Bahkan tanpa belas kasihan menembaki anak2 Palestina dalam jarak beberapa meter, memenjarakan anak2 Palestina tanpa perikemanusiaan. Semoga paham. ￼</t>
  </si>
  <si>
    <t>@Taroentra @semestasains aku smpe 3 kali baca ttp terbaca ISIS.</t>
  </si>
  <si>
    <t>Sekretaris Ditjen P2P Kemenkes sekaligus Jubir Penanganan Virus Corona, Achmad Yurianto, membeberkan kronologi dua warga negara Indonesia (WNI) yang dinyatakan positif terjangkit virus Corona di Indonesia. #BreakingNewsMetroTV</t>
  </si>
  <si>
    <t>Seorang ilmuan Israil mengklaim telah menemukan vaksin virus Corona, banyak orang yg langsung percaya, meskipun ia belum pernah membuktikanya, Indonesia sebagai negara menggumumkan hanya ada dua WNI yg terinfeksi Corona bnyk yg tdk percaya, "Kenapa keilmuan Israel lbh dipercaya?</t>
  </si>
  <si>
    <t>RT @demokrasicoid: WNI Positif Corona Sempat Disuruh Pulang oleh Dokter saat Pertama Kali Periksa</t>
  </si>
  <si>
    <t>RT @OfficialBMI_: Mantan aktivis 98 ini menjelaskan, virus Corona, bukan sembarang virus karena jika tidak disikapi dengan serius bisa mengancam perekonomian baik dalam jangka pendek maupun jangka panjang. #BintangMudaIndonesia #VirusCorona</t>
  </si>
  <si>
    <t>Kemarin, Presiden Indonesia mengumumkan 2 WNI positif Corona, Sahabat Nutrimax. Tapi jangan panik, selalu jaga kesehatan dengan rajin mencuci tangan dengan benar, hindari tempat ramai, makan-makanan sehat dan olahraga ya, Sahabat Nutrimax. #AlamiLebihMaksimal</t>
  </si>
  <si>
    <t>@hrdbacot Di kantor malah udh dari 2 minggu lalu, di but beberapa stage gitu. Mulai dari stage 1, ada WNI yg infected tapi gak di Indonesia, yg kita harus lakukan ABCDE. Sampai stage 4 di mana ada yg terinfeksi di lingkungan perusahaan gitu.</t>
  </si>
  <si>
    <t>RT @iman100017: WNI Positif Corona, Media Asing Menyoroti Sikap Terawan - via @demokrasicoid</t>
  </si>
  <si>
    <t>@kompascom Apa benar wna jepang melakukan KONTAK dg ke-2 WNI ibu &amp; anaknya min?</t>
  </si>
  <si>
    <t>@AlfaOmega0110 @AfifFuadS Lagian yg ditempel di pintu rumah IB HRS bukan bendera HTI. Tapi bendera ISIS.</t>
  </si>
  <si>
    <t>Semenjak 2 wni positif corona Pasien datang demam dgn flu ga sesak minta diperiksakan PCR :( Dude dikepulauan kita ga punya :( RT @Asknonym: [asking] masih ada aja yang komen blg pernyataan ini goblok dll. cuy, gue tau lo gasuka doi sbg gubernur. tp pernyataan dia disini tuh bener, itu SOP. jgn buta karena politik knpsih tolong lah</t>
  </si>
  <si>
    <t>RT @Raj4Purwa: Indonesia Tak Lagi Bebas Corona, Mensos Imbau Warga Gunakan Masker WNI Positif Corona, Terawan: Yang Sehat Enggak Usah Pakai Masker Netizen : Dua menteri ini kasih ring aja dulu, wasitnya Pak Jokowi, suruh duel, yang menang kita ikuti himbauannya! 🤭</t>
  </si>
  <si>
    <t>@BirgaldoS hah gmn gmn udah bukan wni kan</t>
  </si>
  <si>
    <t>@RinaMay05957576 @adimas_tedjo @k4ng_C1reNG Korban brainwash HTI kah ini yg mbela? Berkaca aja dek. Saudari2mu , Eks WNI yg gabung ISIS di suriah yg terbuai bujukan Rayuan Pulau Khilafah. Namun apa? Skrg mereka menjerit2 mohon pertolongan dr negara thogut ini agar mereka dilepaskan dr ancaman hukuman mati pemerintah Suriah</t>
  </si>
  <si>
    <t>WNI ABK World Dream dan pembina observasi di Pulau Sebaru Kecil, Kep. Seribu, DKI Jakarta melaksanakan senam bersama. Olahraga jadi menu wajib untuk meningkatkan ketahanan tubuh guna cegah #COVID19  via @KemenkesRI</t>
  </si>
  <si>
    <t>RT @haziqjamali: Percaya tak? Ada orang yang dia memang tak pandai pun,tapi waktu dalam dewan dia boleh jawab semua. Then dia dapat straight A. Ada orang yang dalam dewan tak boleh jawab dengan baik pun, Tapi dia tetap dapat straight A.</t>
  </si>
  <si>
    <t>Warga yang Sempat Kontak dengan 2 WNI Positif Korona Sudah Diketahui</t>
  </si>
  <si>
    <t>Dengan begini, cukai rokok akan semakin melonjak. Tapi ga pp, demi kesehatan sesama WNI. RT @jsamodra: Indonesia &gt; United States of America In the U.S., a patient checked himself to the hospital on possible coronavirus symptoms ended up with $3,000 charge of treatment bill &amp; negative result. He is now struggling how to pay it. In Indonesia, coronavirus treatment is state funded</t>
  </si>
  <si>
    <t>RT @IraKencana: Baca komennya ini yg terlintas di otakku: gini amat orang indonesia Ada yg doain biar beliau kena sendiri lah. Ada yg bodo2in. Ada yg nyalahin jokowi. Ada yg sambung2in ke isis. What??????? Coba deh dicari dulu, penyakit virus itu emg self limiting tergantung imun masing2</t>
  </si>
  <si>
    <t>RT @kompascom: Jokowi menjelaskan bahwa dua orang WNI itu sempat kontak dengan warga negara Jepang yang terjangkit virus corona saat dia berada di Indonesia.</t>
  </si>
  <si>
    <t>@AfifFuadS Yg bgini gerombolwn otak teroris isis</t>
  </si>
  <si>
    <t>Italia Diteror Corona, Bagaimana Nasib 2.864 WNI di Sana?</t>
  </si>
  <si>
    <t>@blackmerz101 @Zamyusof2 banduan semua diorg nak bebaskn..guna nama hak asasi.. jangan lagi percaya pada puak2 nih... ADIB diorg abaikan , LTTE diorg sokong, pompuan melayu kene tuduh ISIS diorg abaikan... puak atheist nih anti Islam</t>
  </si>
  <si>
    <t>beberapa lalu bhkn hingga skrg wabah #dbd &amp; #demamvirus blm jg hilang, ditambah tersiar kabar 2 WNI positif corona serta puluhan lg terindikasi, &amp;amp; ditambah lagi hujan debu akibat batuknya gunung #merapi maka, masih kurang yakinkah dengan adanya pertanda huru-hara di akhir zaman?</t>
  </si>
  <si>
    <t>untuk memastikan stok pangan adl respons BUMN atas kepanikan masyarakat usai pemerintah mengumumkan dua WNI terinfeksi virus corona #BUMNLawanCorona</t>
  </si>
  <si>
    <t>RT @JJRizal: merujuk kpd pesan wakil presiden, maka pemkot depok sbg penguasa kota yg identik dgn penganut teguh islam harus segera mulai mengevaluasi kurang masif terstrukturnya pembacaan qunut di depok</t>
  </si>
  <si>
    <t>Kamu pasti udah tau kan kalau sudah ada 2 WNI yang positif terjangkit virus corona? Malang Strudel kasih tips buat kalian untuk mengantisipasi penyebaran virus corona. Catat baik-baik dan terapkan dalam menjalani aktivitasmu sehari-hari yuk strudelers! #coronavirus #corona</t>
  </si>
  <si>
    <t>Negara luar yg ngerawat WNI positif corona kayaknya nggak ada tuh yg gembar gemborin nama dan wajah korbannya. Sedangkan negara sendiri gampang bgt nunjukin nama dan wajah 2 korban warganya</t>
  </si>
  <si>
    <t>WNI/ABK tersebut telah dibantu pemulangannya dari pelabuhan ferry Stulang Laut, Johor, menuju Pelabuhan Batam dengan kapal ferry Marine Hawk II, pada Senin (2/3) berangkat pukul 18:30 WS. Mereka bertempat tinggal di Batam. #IniDiplomasi #NegaraMelindungi</t>
  </si>
  <si>
    <t>Sebelumnya, 10 WNI tsb diselamatkan oleh Jabatan Kastam Diraja Malaysia (KDRM) di perairan Sungai Rengit Johor pada Sabtu, 29 Februari 2020.</t>
  </si>
  <si>
    <t>KJRI Johor Bahru pada Senin (2/3) telah menangani, menyelesaikan kasus dan memulangkan 10 WNI/ABK di kapal Cahaya Abadi berbendera Indonesia yang mengalami kerusakan mesin dan kebocoran.</t>
  </si>
  <si>
    <t>@IdEmbassy_Seoul Halo, saya mhs UNAIR yg menjadi siswa student exchange selama spring smt di Chung Ang University dan akan tiba di Seoul tgl 14 Maret. Bgmn kondisi di Seoul saat ini &amp; Langkah apa yg perlu saya lakukan sbg WNI saat tiba disana terkait corona virus outbreak? Trims</t>
  </si>
  <si>
    <t>RT @brianbryann: yang berhutang yang bagi hutang</t>
  </si>
  <si>
    <t>@Pejuangkeadil13 @novian_sp @AfifFuadS @HemasGKR @DivHumas_Polri KTP elu WNI muka elu WNA</t>
  </si>
  <si>
    <t>RT @kompascom: 2. Menteri Kesehatan Terawan Agus Putranto mengatakan, kedua WNI ini tinggal di Depok, Jawa Barat. Dengan konfirmasi kasus positif ini, apa yang perlu diketahui soal virus corona? Apa saja gejalanya dan bagaimana pencegahannya? | #MerawatIndonesia .</t>
  </si>
  <si>
    <t>Pengumuman presiden mengenai 2 WNI positif terjangkit Covid-19 berdampak pada IHSG. Senin (2/3) sore IHSG ditutup melemah di level 5.361. Sedangkan Selasa (3/3) sore ini, IHSG ditutup di zona hijau, terapresiasi 2.94% di level 5,518.63. #CNNIDNewsroom</t>
  </si>
  <si>
    <t>RT @Ale8a8a: @WahabisLokal @mohmahfudmd Ini aja belum beres Masih mau mulangin anak isis eks wni</t>
  </si>
  <si>
    <t>Setelah diumumkan WNI terinfeksi virus corona, masyarakat dibuat semakin resah dengan adanya virus ini. Penyebaran virus Corona adalah hanya jika berdekatan dan terkena tetesan dahak atau bersih dari orang yang terinfeksi.</t>
  </si>
  <si>
    <t>@ken_mrizal @novian_sp @AfifFuadS @HemasGKR @DivHumas_Polri Gw WNI kenapa gw harus kecina ? Ada tuh yg onta arab kejebak doarab dibilang dicekal 🤭🤭🤭 padahal takut kena kasus</t>
  </si>
  <si>
    <t>Tidak Perlu Panik. Pemerintah Sudah Bergerak Cepat Dalam Penanganan 2 WNI.</t>
  </si>
  <si>
    <t>@Haibarakiky @vdgzxx @Cak_Hariy @andesshhh @ngurahsaka @ustadabdulsomad Hindu super cemen. Ngaku damai keroyakan. ISLAM ISIS super damai gak pernah keroyokan. Islam ISIS gak ada bakar bakaran, gebuk-gebukan gitu ya. Secara Islam itu kan damai. Sepeti ISIS damai bro.</t>
  </si>
  <si>
    <t>@vivanewscom @VIVAcoid Ketua RT 2 WNI yang Positif Corona Sayangkan Sikap Jokowi: Kenapa Tak Konfirmasi ke Pasien Dulu?</t>
  </si>
  <si>
    <t>Penuh haru banget baca kisah salah satu WNI dari Wuhan jalani 14 hari karantina di Natuna, 🥺</t>
  </si>
  <si>
    <t>Sejak diumumkannya 2 WNI positif terjangkit virus corona, warga di berbagai daerah berburu masker dan obat-obatan. Persediaan masker di apotek pun habis, sehingga warga terpaksa menggunakan masker bekas. #CNNIDNewsroom</t>
  </si>
  <si>
    <t>@swandarugen @wansenk_ajah @TheArieAir @GKRHayu @GkrBendara @HemasGKR @gkr_mangkubumi Tar di sana mau di jadikan negara isis pertama</t>
  </si>
  <si>
    <t>RT @CallMe_Valhalla: Kacung cukong ya begini ini. Mana peduli dgn keselamatan rakyat. Selama terhindar dari ancaman investor dan aseng2 biadab itu, rakyat mampus bukan urusan saya #CoronaBukaBorokRezim .... Meski 2 WNI Positif Corona, Pemerintah Tak Larang WNA Masuk Indonesia</t>
  </si>
  <si>
    <t>[SALAH] 1000 Tiket Pesawat Gratis Untuk WNI Pulang Ke Tanah Air Dari PT Angkasa Pura 1 Karena Virus Corona Melalui akun media sosial, Angkasa Pura (AP) dan Kementerian Luar Negeri (Kemenlu) sudah memberikan bantahannya. Selengkapnya di  #LawanHoax</t>
  </si>
  <si>
    <t>RT @KompasTV: Melihat Observasi WNI di Pulau Sebaru Kecil</t>
  </si>
  <si>
    <t>WNI ABK World Dream dan pembina observasi di Pulau Sebaru Kecil melaksanakan senam bersama. Olahraga jadi menu wajib untuk meningkatkan ketahanan tubuh guna cegah Covid-19. via @KemenkesRI #ElshintaEdisiSore</t>
  </si>
  <si>
    <t>RT @okezonenews: Memasak hingga Main Pingpong Dilakukan 188 WNI Peserta Observasi di Pulau Sebaru #TauCepatTanpaBatas #BeritaTerkini #Berita #News #BeritaNasional .</t>
  </si>
  <si>
    <t>@rizkung Palagi ada yg udah positif nih WNI mesti makin susah lg :(</t>
  </si>
  <si>
    <t>RT @ridwan2474: @LenteraMalam8 wah banyak juga ya akun2 radikal disini.. Coba takbirnya mana?? Awas jangan sampe islam di cap Teroris loh gara2 kalian. Biarin aja isis yg radikal kalian jangan ya, karna orang2 kayak kalian mah gaya2an doang radikalnya. Berobat masih pake bpjs. Walaupun jarang bayar iurannya</t>
  </si>
  <si>
    <t>RT @redaksisore_t7: Dalam 24 jam kebelakang, kepanikan sempat terlihat di masyarakat setelah pengumuman 2 WNI terpapar corona. Perlukan "panic buying" menghadapi wabah ini? #Redaksi</t>
  </si>
  <si>
    <t>Corona Virus membuat masyarakat Indonesia menjadi resah sejak dua WNI dinyatakan terinfeksi virus ini. Penyebaran Corona Virus adalah jika berkontak langsung dengan penderita, dan terkena tetesan dari dahak batuk…</t>
  </si>
  <si>
    <t>RT @PritaGhozie: Setelah Pak Presiden Jokowi mengumumkan bahwa di Indonesia ada 2 orang WNI positif terjangkit Virus Corona (Covid-19) kemarin, jujur aku sih agak kaget tapi berusaha tidak panik yaa.</t>
  </si>
  <si>
    <t>Dampak Corona, Harga Masker di Kendari Semakin Naik 10 Kali Lipat dari Sebelumnya  #wni #positif #corona #masker #melonjak #kendari #biromakassar</t>
  </si>
  <si>
    <t>@AfifFuadS Hilih kintil entar di kirim ke isis minta balik jancok lu</t>
  </si>
  <si>
    <t>#Corona #BPJS Indonesia positif virus corona, Jokowi menjelaskan ada dua WNI yang terpapar virus corona itu merupakan ibu dan anak. Timbul pertanyaan, apakah proses perawatan pasien yang terjangkit virus corona bakal dicover oleh BPJS Kesehatan?</t>
  </si>
  <si>
    <t>2 WNI positif #VirusCorona Berdampak Negatif Kpd sektor Usaha wisata Hotel2 &amp; Resort di #BALI dll.. 40 ribu lebih.. Pengunjung membatalkan Pesanan kamar Hotel. Pikirkan itu baik2.. Silahkan..!! Anda GORENG.. Sampai PUASS..!! 🙏🙏 #Kompaspetang #SapaIndonesiaMalam #Kompastv</t>
  </si>
  <si>
    <t>Persediaan masker di Korea Selatan sudah tercukupi. KBRI Korea Selatan berharap agar WNI yang berada disana agar tetap tenang. #ArthaGrahaPeduli</t>
  </si>
  <si>
    <t>RT @abadikinicom: Ini Lokasi Observasi WNI di Pulau Sebaru</t>
  </si>
  <si>
    <t>@kompascom Kalo pajak digunakan untuk mulangin isis walaupun mereka msh anak2 gak cm saya yg keberatan pak, warga negara yg waras dan cinta NKRI juga keberatan dan gak rela byr pajak kecuali para simpatisan teroris!</t>
  </si>
  <si>
    <t>@BambangTenan @vdgzxx @Cak_Hariy @andesshhh @ngurahsaka @ustadabdulsomad Yg kaga cerdas ya lu gog Sama kek raja lu bloon Kaga di apa2in klo otak masih nempel di kepala sih mikir</t>
  </si>
  <si>
    <t>Terungkap, 238 WNI dari Wuhan Tak Dites Virus Corona, Alatnya Mahal  Pantes gak d percaya LN... Pak presiden.. Dana Rakyat kemana?? #RezimJKWPembohong #RezimKorup</t>
  </si>
  <si>
    <t>RT @Taroentra: @semestasains Tiap ada tweet mengenai ISS, sekilas saya bacanya ISIS. 😭</t>
  </si>
  <si>
    <t>HTI az negara g bisa tegas,masih mau pulangkan anak" ISIS😬😬😬 ... pak @Jokowo @mohmahfudmd ...apakah bapak bisa dengar kita?? Apakah admin beliau ini benar" sudah sampaikan unek" rakyat ini yang masih pingin hidup damai😩😩. Ko beribu" mention dr rakyat sikap istana adem ayem😩 RT @sipenakecil: Letupan kecil disisi utara Merapi.. Sementara ditegah pusat peradaban jawa masa kini. Gerombolan pengusung peradaban gurun Berteriak, menunjukan taring ompong yg tumpul. Jogja, entah apa yg terjadi...</t>
  </si>
  <si>
    <t>@CNNIndonesia bukan anda saja yg sakit saat ini.. akan tetapi seluruh WNI skarang dalam kondisi kritis.. anda sudah dilakukan penanganan. tapi kami belum. kami tidak mengerti apakah rekan kami atau kami sendiri suda terinfeksi. jadi stop Rakyat saling menyalahkan. krna pmrinth yg brtggung jwb.</t>
  </si>
  <si>
    <t>Dua WNI Positif Corona, Netizen : Gengsi Demi Investasi, Taruhannya Warga Negara Sendiri</t>
  </si>
  <si>
    <t>Tukang kebun dan asisten rumah tangga 2 WNI positif COVID-19</t>
  </si>
  <si>
    <t>KBRI Korea Selatan berharap agar WNI yang berada disana untuk tetap tenang. #ArthaGrahaPeduli</t>
  </si>
  <si>
    <t>Health and Medical news: WNI Positif Corona, Kenali Cara Pencegahannya Gaya Hidup • 03 March 2020 13:13</t>
  </si>
  <si>
    <t>Bhuahaha.... Kena PHP juga si buzzeRp. Udah kere sok²an miara buzzeRp 72 M, insentif wisman ratusan miliar. Laah utk test WNI dr Wuhan aja gk sanggup. #CoronaBukaBorokRezim  RT @kumparan: Setelah penemuan pertama kasus virus corona di Indonesia, pemerintah memutuskan untuk menunda pemberian insentif bagi influencer dan wisatawan asing.</t>
  </si>
  <si>
    <t>RT @AsabriGate: Apakah BPJS Kesehatan Menanggung WNI yang Positif Virus Corona?</t>
  </si>
  <si>
    <t>RT @chef_master69: @BirgaldoS @nuansabening28 @jokowi @mohmahfudmd Rejim ini semakin gak jelas arahnya pertama bos @jokowi bilang tidak untuk ex ISIS eh tau2 keluar statement cak @mohmahfudmd tentang pemulangan anak isis ex wni apa2an ini ?</t>
  </si>
  <si>
    <t>RT @tribunnews: Ketua RT 2 WNI yang Positif Corona Sayangkan Sikap Jokowi: Kenapa Tak Konfirmasi ke Pasien Dulu?  via @tribunnews</t>
  </si>
  <si>
    <t>Kipas scanner : Marakno isis sing jogo scanner ❌ Marai kertas mliyek ✔✔✔✔✔ 😭😭😭😭😭</t>
  </si>
  <si>
    <t>@_wni_ Kacau laa org nak mimpi mimpi dulu turun padang main bola sekali ngan crush😒</t>
  </si>
  <si>
    <t>RT @ButetNakal: #BUMNLawanCorona Nahh Mungkin seperti yang teman2 tau kalau 2 WNI Positif Virus Corona, nah pemerintah janji atasi kelangkan masker</t>
  </si>
  <si>
    <t>WNI Depok 😂 RT @TirtoID: Direktur Utama Rumah Sakit Pusat Infeksi Sulianti Saroso, Mohammad Syahril menerangkan kondisi dua orang pasien Corona telah membaik.</t>
  </si>
  <si>
    <t>KBRI di Korea Selatan mengatakan bahwa kesediaan masker telah tercukupi. Diharapkan WNI di Korea Selatan untuk tetap tenang. . #ArthaGrahaPeduli</t>
  </si>
  <si>
    <t>WNI Positif Corona, Media Asing Menyoroti Sikap Terawan</t>
  </si>
  <si>
    <t>RT @TirtoID: Berikut kronologi penularan virus COVID-19 pada 2 orang WNI di Depok. Jangan lupa untuk selalu menjaga kesehatan, teman-teman!</t>
  </si>
  <si>
    <t>@semestasains Saya bacanya isis Mulu ya ampun</t>
  </si>
  <si>
    <t>@hannanihasnin Allah. Siapa je yg wujud kat Twitter ni</t>
  </si>
  <si>
    <t>Paniknya telat ah..harusnya ya semua turis &amp; WNI yg liburan dari LN (yg negaranya sdh ada yg positif corona) dites wkt tiba di Indo sejak udah ada kasus corona walaupun di Indo blom ada yg positif, buat jaga2.</t>
  </si>
  <si>
    <t>RT @KemensetnegRI: Dua WNI Positif Terjangkit, Presiden Tegaskan Keseriusan Pemerintah Tangani Wabah Korona</t>
  </si>
  <si>
    <t>Memastikan stok pangan adl respons BUMN atas kepanikan masyarakat usai pemerintah mengumumkan dua WNI terinfeksi�virus corona� #BUMNLawanCorona Bumn Maju</t>
  </si>
  <si>
    <t>RT @AlMaidah_54: Ingat yg kemarin2 msh keukeuh membantah &amp; dgn banggany katakan indo zero corona.Skr 1 per 1 korban teridentifikasi/meninggal.WNI dari luar dikarantina 14hari tp turis luar jgn kan dikarantina dicek pun tidak,logika rezim ini. @KemenkesRI @PolhukamRI #CoronaBukaBorokRezim</t>
  </si>
  <si>
    <t>Kemarin, Presiden Jokowi mengumumkan bahwa sudah ada dua WNI yang terinfeksi virus Corona sobs ⁣ Coronavirus atau 2019-nCoV merupakan virus dari familia Coronaviridae yang dapat menyebabkan penyakit pada hewan dan juga manusia.</t>
  </si>
  <si>
    <t>RT @Aggasiie: Di luar negeri pasien, rumah sakit bahkan obat2 an itu menjadi rahasia kalo sampai bocor akan dikenakan hukuman walaupun itu tidak sengaja contohnya WNI Indonesia di Taiwan yang tidak sengaja membocorkan alamat rumah sakit &amp; obat2an yang dia konsumsi, Meanwhile Indonesi ? ⬇️</t>
  </si>
  <si>
    <t>@bomieshell @safenetvoice Lau terus 114 wni yg di observasi di natuna itu gmn? Malah divideoin di foto bareng</t>
  </si>
  <si>
    <t>Kementerian Perhubungan memastikan seluruh penerbangan domestik di bandara-bandara utama di Indonesia berjalan normal menyusul ditemukannya dua kasus virus Corona di dalam negeri.</t>
  </si>
  <si>
    <t>RT @RadioElshinta: Gubernur Sumatera Barat, Irwan Prayitno meminta masyarakat untuk tidak panik namun tetap waspada terhadap penyebaran Virus Corona. Hal ini ditegaskan Gubernur setelah ditemukan dua WNI positif virus Corona, (3/3). (Mut) #CoronaVirusUpdate</t>
  </si>
  <si>
    <t>#News: Pemerintah Lakukan Perawatan Intensif bagi WNI Positif Korona  | Kabar Tangsel</t>
  </si>
  <si>
    <t>#News: Restoran Amigos Kemang Jakarta Sempat Dikunjungi WNI yang Positif Corona, Manajemen Lakukan Inspeksi Menyeluruh  | Kabar Tangsel</t>
  </si>
  <si>
    <t>Beli Alat Tes Corona Saja Ndak Mampu, Tapi Ngotot Mau Pindahan Ibu Kota. Kas Negara Habis Buat Pindahan Ibu Kota Asing Aseng, Rakyat Ditelantarkan? Terungkap, 238 WNI dari Wuhan Tak Dites Virus Corona, Alatnya Mahal  . #CoronaBukaBorokRezim</t>
  </si>
  <si>
    <t>Bersyukur hari ini belum ada penambahan WNI yang dinyatakan positif #COVID19 , semoga tidak. Melihat respon masyarakat setelah konfirmasi 2 kasus, kita gak akan siap bila terjadi pertambahan jumlah secara signifikan</t>
  </si>
  <si>
    <t>Kemarin, Presiden Jokowi mengumumkan bahwa sudah ada dua WNI yang terinfeksi virus Corona temans ⁣ Coronavirus atau 2019-nCoV merupakan virus dari familia Coronaviridae yang dapat menyebabkan penyakit pada hewan dan juga manusia.</t>
  </si>
  <si>
    <t>RT @KKMPutrajaya: Presiden Indonesia, Joko Widodo mengumumkan dua rakyat Indonesia yang positif #COVID19. Menurut Jokowi, dua WNI itu kontak rapat dengan warga negara Jepun yang datang ke Indonesia.</t>
  </si>
  <si>
    <t>RT @jokermannnnn: Siapa edit nie baik ngaku !! Hahaha</t>
  </si>
  <si>
    <t>Dua WNI Positif Virus Korona, DPR: Masyarakat Tidak Usah Panik</t>
  </si>
  <si>
    <t>@KhaledBeydoun Ab jo jhanda yha par lagega wo isis ka hoga</t>
  </si>
  <si>
    <t>RT @indiboyahoocom1: @Qiran14yra Hanya wisman yg masih bisa si boongin Kl wni udah paham.... Blas Gak percaya jae</t>
  </si>
  <si>
    <t>@SiswadiMargo @SusilawatiSisi2 @TopToross @jokowi Nggak cuman wni, harusnya juga WNA... Soalnya baru juga beberapa hari yg lalu liat vlog orang jepang masuk ke indonesia lewatin bandara nggak ada pemeriksaan dan sterilisasi wna di indo... Boro2 mau waspada virus, kalau bordernya aja nggak melakukan antisipasi🤣🤣🤣</t>
  </si>
  <si>
    <t>@jenk_kelinn Karena obral anak2 pro khilafah aman2 saja, maka timbul ide untuk pulangkan anak2 eks WNI pro isis Masuk kah???</t>
  </si>
  <si>
    <t>RT @KATADATAcoid: RSPI Sulianti Saroso menerima enam orang pasien diduga virus corona. Tiga di antaranya pernah kontak dengan dua WNI yang positif Covid-19.</t>
  </si>
  <si>
    <t>RT TRANS7 "RT selebrita7: Siapa 2 WNI yang positif terkena virus Corona? Bagaimana bisa tekena? #Selebrita "</t>
  </si>
  <si>
    <t>@rongs_rong @KartelEgo Pemerintah juga yg salah,, pengen mulangin anak anak isis segala sama aja ngasih angin yg ada di dlm negeri,, makin belagu mereka,,!!!</t>
  </si>
  <si>
    <t>@PakarLogika Pemerintah gamau ngasih mereka 1 pulau kecil di indonesia (yg terluar &amp; belum berpenghuni) aja buat mereka diriin negara, sekalian eks isis kirim ke sana aja. Mereka mau buat negara to. "Nyoh pulau kosong diriin negara lu, mulai sekarang jgn minta apa" sma NKRI".</t>
  </si>
  <si>
    <t>Seandainya WN Jepang tsb tidak menelfon WNI yg saat ini positif Covid-19,, Apa akan dianggap Sakit biasakah?? Berarti di Indo memang blm bisa mendeteksi donk ya.. Hmm..</t>
  </si>
  <si>
    <t>RSPI Sulianti Saroso menerima enam orang pasien diduga virus corona. Tiga di antaranya pernah kontak dengan dua WNI yang positif Covid-19.</t>
  </si>
  <si>
    <t>WNI : Kami butuh pemerintah seperti di Singapura Pemerintah Indonesia : Kami butuh warga negara seperti di singapura Keadaannya sekarang Pemerintah dan Masyarakat saling menyalahkan.</t>
  </si>
  <si>
    <t>RT @Adot1998: Wah kalau berita ini benar Tega benar , karena alat 1 milyar dibilang mahal dan ngak dites Semahal mahalnya alat, kalau untuk Rakyat sendiri Harusnya diadakan Apalagi cuma semilyar</t>
  </si>
  <si>
    <t>RT @IdEmbassy_Seoul: Bagi semua WNI yang berada di Korsel, mari kita tetap tenang dan meningkatkan kewaspadaan. Jangan khawatir, jumlah masker masih mencukupi karena persediaan masker sudah datang lagi.</t>
  </si>
  <si>
    <t>@KadalGu @jr_kw19 @WahabisLokal @arjuno_ireng01 @03__nakula @GfPlat @kangenband123 Pemerintahnya memble dan lembek, Menagnya jg pro Isis yah kloplah, apalg HTI n Khilafah sdh terindikasi kedlm tubuh aparatur negara akan menjadi masiv pergerakannya, mrk bergerilya dgn adanya spanduk spt itu bukti eksistensi mrk msh ada dan kompak! NKRI hrs segera bertindak!</t>
  </si>
  <si>
    <t>@narkosun @wahhabicc_jabar @mohmahfudmd HTI kembali bangkit, negara tidak tegas. Wahai penguasa, menteri dan gubernur, jangan kalian pertaruhkan negara ini, ambil tindakan tegas kepada gerombolan HTI, teroris ISIS dan kelompok radikalis-ekstrimis agama yang ingin hancurkan NKRI berkedok khilafah. @jokowi @kemendagri</t>
  </si>
  <si>
    <t>RT @demokrasicoid: Dua WNI Dinyatakan Positif Virus Corona, Menkes: Bukti Pemerintah Jujur</t>
  </si>
  <si>
    <t>Memastikan stok pangan adl respons BUMN atas kepanikan masyarakat usai pemerintah mengumumkan dua WNI terinfeksi virus corona #BUMNLawanCorona sigap! mantap!</t>
  </si>
  <si>
    <t>RT @mediaindonesia: Otoritas setempat tidak boleh membuka identitas pasien WNI kepada perwakilan RI sekalipun, tanpa adanya izin lebih dulu dari pasien yang bersangkutan.</t>
  </si>
  <si>
    <t>RT @Namaku_Mei: 2 WNI terinfeksi corona mulia membaik . Kondisi</t>
  </si>
  <si>
    <t>@semestasains Tiap ada tweet mengenai ISS, sekilas saya bacanya ISIS. 😭</t>
  </si>
  <si>
    <t>@AmalbidomUdin @widizay115 @ustadtengkuzul Fikir sj sendiri. Klmpk km yang ingin dirikan negara dgn faham baru. Contoh ISIS apa gk lbh jahat dari komunis.</t>
  </si>
  <si>
    <t>Dua WNI yang Diumumkan Pemerintah Positif Virus Corona Tinggal di Depok @kiasumarketer #VirusCorona #coronavirus</t>
  </si>
  <si>
    <t>RT @beritaKBR: "Goncangan" #VirusCorona, kini sampai di Indonesia. Dua orang WNI dinyatakan positif Covid-19. Namun, pemberitaan soal virus ini, disertainya dgn hoaks. Apa saja hoaks yg beredar di dan apa faktanya? Ini penjelasan dr. Erlina Burhan. Selengkapnya</t>
  </si>
  <si>
    <t>RT @arwidodo: Dirjen Pelayanan Kesehatan Kemenkes Bambang Wibowo mengatakan, WNI yang dinyatakan sebagai pasien virus corona tidak perlu membayar selama menjalani perawatan di rumah sakit.</t>
  </si>
  <si>
    <t>@Khilap_ah @ChusnulCh__ @k4ng_C1reNG @yusuf_dumdum @Joker__Punk @Joker_SantuyLho @P3nj3l4j4h_id @AbdViking @KamFoengAnn @BundanyaINTANYK @connect2ps @MAIAsangJUARA @JogjaToday @eko_kuntadhi Sudah dibubarin tapi masih berani seperti ini. Pak @mohmahfudmd ngga usah berpikiran mulangin anak2 eks isis dulu, ini ajah dulu urusin. Pak @polresjogja @DivHumas_Polri @PolhukamRI @mohmahfudmd iki piye masih bs beredar bebas? Cc : @jokowi</t>
  </si>
  <si>
    <t>RT @ZAEffendy: The Economist, Minggu 1 Maret: 238 WNI yg dievakuasi dari Wuhan jalani karantina di Natuna 2 minggu, tanpa protokol tes #SARSCoV2 ? Kemenkes berdalih mahal (harga reagen tes Rp1 Miliar) #Nalar &gt; Pemerintah keluarkan insentif 72M (termasuk influencer) utk redam dampak #COVID19 ??</t>
  </si>
  <si>
    <t>(FULL) Pernyataan Presiden Jokowi terkait 2 WNI yang Positif Terinfeksi Virus Corona @kiasumarketer #VirusCorona</t>
  </si>
  <si>
    <t>Restoran Amigos, Tempat Dansa WNI Positif Corona dan WN Jepang Tegaskan Karyawannya Bebas Virus</t>
  </si>
  <si>
    <t>RT @BakarSmith: Perhatikan..! ini wajah sang Jenderal yang Syahid, begitu bercahaya dan tawadhu (rendah hati) sesungguh beliaulah berkat pertolongan Allah dalam perang beroleh kemenangan dari ISIS. Lahumul faatehah ma’a shalawat🌹🌹🌹</t>
  </si>
  <si>
    <t>@KaimanaPoem Khilafah nya model ISIS malah menindas org yg tdk 1 pandangan...</t>
  </si>
  <si>
    <t>RT @anjarisme: "Alhamdulillah, keadaan umum pasien yang di rawat saat ini baik-baik saja. Pasien sadar penuh, keluhan panas tidak ada, batuk berkurang, tidak sesak napas," kata Syahril Senin (2/3/2020). - Dirut RSPI Sebut Kondisi 2 WNI Positif Corona dalam Keadaan Baik</t>
  </si>
  <si>
    <t>RT @tempodotco: Kendati ada temuan dua WNI yang positif terjangkit virus corona, program diskon tiket pesawat ke sepuluh destinasi wisata masih tetap dilanjutkan.</t>
  </si>
  <si>
    <t>Kapolri dan panglima TNI tinjau kesiapan lokasi evaluasi dan observasi WNI di pulau sebaru #BersamaCegahCorona</t>
  </si>
  <si>
    <t>@jandakembang78 @SaatTobat @yusuf_dumdum Go-Blok !!! Itu EX WNI terlunta² di Suriah sana setelah duwit mereka diambil ISIS pengusung Khilafah lu bulang bukan korup? Mata lu picek !!!😀😀😀</t>
  </si>
  <si>
    <t>@sehunfangirll94 Isis batsss pake dasterrrr awokawokawoka</t>
  </si>
  <si>
    <t>Resmi, 2 WNI Positif Corona, Ini Penjelasan Menkes @kiasumarketer #Indonesia #COVID</t>
  </si>
  <si>
    <t>Melihat Observasi WNI di Pulau Sebaru Kecil</t>
  </si>
  <si>
    <t>@Naseersaad39 @___d_gaye @Wy_dee Bafa bread bane zakace wni u can buy</t>
  </si>
  <si>
    <t>RT @valentina_rama: Tindakan pencegahan virus corona dg cara mrngkonsumsi suplemen daya tahan tbh akan percuma jk seseorg msh mengkonsumsi mknan ultraproses (mkn yg diolah dg proses lbh panjang) sbg kebiasaan. #StopPanikLawanCorona</t>
  </si>
  <si>
    <t>RT @rmol_id: Seorang WNA Dan 3 WNI Jalani Pemeriksaan Isolasi Di RSPI Sulianti Saroso #StopPanikLawanCorona #KamiTidakTakutVirusCorona #RepublikMerdeka</t>
  </si>
  <si>
    <t>Pemerintah terus memperhatikan kondisi WNI di kapal pesiar Diamond Princess, Yokohama Jepang..</t>
  </si>
  <si>
    <t>Dua WNI terinfeksi, Perindo minta pemerintah segera aktif sosialisasikan pencegahan corona  #PerindoUpdate | Ketum Partai Perindo @Hary_Tanoe</t>
  </si>
  <si>
    <t>FULL! Jokowi Ungkap Kronologi 2 WNI Positif Virus Corona @kiasumarketer #VirusCorona #coronavirus #covid19</t>
  </si>
  <si>
    <t>2 WNI udah positif Corona, kamu jangan ikutan tertular ya. Ini tipsnya!  #corona #demam #tips</t>
  </si>
  <si>
    <t>Dinkes DKI Lacak Pola Interaksi WNI Positif Korona di Tiga Lokasi</t>
  </si>
  <si>
    <t>Otoritas setempat tidak boleh membuka identitas pasien WNI kepada perwakilan RI sekalipun, tanpa adanya izin lebih dulu dari pasien yang bersangkutan.</t>
  </si>
  <si>
    <t>RT @tempodotco: Supermarket Tip Top di kawasan Rawamangun, Jakarta Timur, dipadati pembeli yang panik setelah dua WNI positif terjangkit virus Corona.</t>
  </si>
  <si>
    <t>Demi keselamatan WNI dalam negeri semua harus diketati RT @FerdinandHaean2: Saya ingin dengar komentar pendukung militan Anies Baswedan (meski anonim pengecut) @conan_idn ttg Formula E ini. Conan ngamuk2 ke Jokowi soal promosi wisata dan minta asing dilarang masuk. Nah, Formula E ini kan libatkan asing, lu omelin Anies ngga? 😁</t>
  </si>
  <si>
    <t>RT @JiwasrayaGate: Apakah BPJS Kesehatan Menanggung WNI yang Positif Virus Corona?</t>
  </si>
  <si>
    <t>BREAKING NEWS WNI Positif Virus Corona Adalah Guru Dansa WN Jepang @kiasumarketer #VirusCorona #coronavirus #covid19</t>
  </si>
  <si>
    <t>Ingatlah masa yang akan datang..nama kalian akan disebut sebagai orang yang telah memelihara anak-anak exs ISIS @jokowi @mohmahfudmd RT @Airin_NZ: Sales Khilafah brjln beriringan dMalioboro pagi in Entah mrka ingin mnyambut tentara Allah atau gmn😂 HTI adlh ormas trlarang di negara ini. Mrka sama sprti PKI Dri sini kita bsa mlihat utk urusin HTI aj gk bsa. Gaya2an mw pulangin ank2 ISIS @mohmahfudmd #StopPanikLawanCorona</t>
  </si>
  <si>
    <t>RT @neviwarti: @NephiLaxmus @zarazettirazr 76 perawat yang dirumahkan bisa menjadi inang penyebaran corona.. Mikiiirrr..!! Harusnya mereka diisolasi dulu sama seperti WNI yang dari wuhan dan kapal Princess..</t>
  </si>
  <si>
    <t>Kabar adanya WNI positif Corona membuat panik sebagian warga. Padahal, kepanikan adalah awal mula timbulnya masalah baru. Jangan panik. Amalkan 9 sunnah dalam Islam ini, insya Allah mujarab menangkal Corona. Pada akhirnya sunnah Islam menjadi solusi</t>
  </si>
  <si>
    <t>WHO Indonesia ungkapkan dapat mengantisipasi wabah virus corona yang muncul di Indonesia, seperti apa?</t>
  </si>
  <si>
    <t>Kemarin Presiden Joko Widodo mengonfirmasi bahwa ada 2 orang WNI positif terkena COVID-19. Terkait berita ini, masyarakat diimbau untuk tidak panik dan tetap waspada untuk menjaga kesehatannya. Simak yuk infografis berikut ini untuk mencegah penularan COVID-19 bagi Sahabat JEC!</t>
  </si>
  <si>
    <t>@ainunnajib @KawalCOVID19 Tlg dikonfirmasi dahulu, 2 wni yg positif corona kontak dg wna jeang atau tdk? Yg kontak keduanya atau salah satunya ?</t>
  </si>
  <si>
    <t>@CebongParno Untuk siapa??? wni / wna ??</t>
  </si>
  <si>
    <t>RT @TirtoID: Dua warga Depok yang dinyatakan positif Corona merupakan kasus pertama di Indonesia. Apa saja yang dilakukan pemerintah untuk menangani penyebaran virus ini?</t>
  </si>
  <si>
    <t>[WASPADA VIRUS CORONA] Kolega, pada tanggal 2 maret 2020 kemarin Presiden Joko Widodo telah mengumumkan dan mengkonfirmasi bahwa 2 WNI asal depok positif virus corona.</t>
  </si>
  <si>
    <t>Pada Senin, 2 Maret 2020, Presiden Joko Widodo mengeluarkan pernyataan bahwa dua WNI telah positif terjangkit COVID-19. Hal ini didukung oleh pengumuman yang dikeluarkan oleh Menteri Kesehatan, Terawan Agus Putranto, yang mengatakan bahwa kedua WNI yang terjangkit berdomisili -c-</t>
  </si>
  <si>
    <t>Dua WNI Positif Virus Korona, DPR Minta Masyarakat Jangan Panik -</t>
  </si>
  <si>
    <t>@AfifFuadS Lak pengen khilafah melu ISIS kono poo..</t>
  </si>
  <si>
    <t>RT @Ai_Alwii_: Ini WNI nya....?? Nanya doang jng pd ngamuk trus katakn hoax</t>
  </si>
  <si>
    <t>@kosendiri @gendadable @MatiusSFH @natalia2412 @Windakhan1 @Farrasky_ @CNNIndonesia Kan dulu juga sdh diusulkan bgitu Bang, bahkan WNI yg dikarantina di Natuna, infonya juga gak di scanner alat Corona, Bacot menterinya harganya mahal, 1 M, d Bandara ngandalin termal scanner padahal gk efektif. Tiru Saudi, tutup semua Umrah, dsb, walau kehilangan jutaan dollar</t>
  </si>
  <si>
    <t>RT @BirgaldoS: SUNGGUH TIDAK ADIL. Pak Menkopolhukam @mohmahfudmd Pak Presiden @jokowi Mengapa anak ISIS diperhatikan pemerintah, sementara anak korban bom teroris malah dicuekin nasibnya.</t>
  </si>
  <si>
    <t>RT @Paltiwest: Banjir di @DKIJakarta sudah memakan korban nyawa ga ada istilah genting, bahkan Formula E belum Dibatalkan.. Sekarang sibuk buat istilah Jakarta genting.. Cari panggung ga gini amat @aniesbaswedan</t>
  </si>
  <si>
    <t>@kompascom Kalo beritanya, "Ayu Ting Ting salto 2 WNI terjangkit corona". Baru menarik.</t>
  </si>
  <si>
    <t>Sejak dikatakan 2 wni positif corona..warga indonesia bondong2 beli masker dan hand sanitizer dan dijual dgn harga tinggi.. masker biasa 250rb, n95 2 jeti.. Disaat negara lain membagikan masker secara cuma2... dan menghukum org yg menjual dgn harga tinggi...</t>
  </si>
  <si>
    <t>RT @Indostransfer: Ya Tuhan.. #Liga1🇮🇩 2020 berjalan tepat waktu saat ini ada saja cobaan yang datang:( Ini terkait soal konfirmasi Dua WNI yang terjangkit virus Korona. Berharap yang terbaik🙏</t>
  </si>
  <si>
    <t>Respon ketua RT tempat 2 orang WNI yg terindikasi corona, ketika ditanya wartawan mengenai apakah ada firasat sebelum warganya terjangkit virus tersebut: RT @yusfadhiyah: Kepo bgt si andaa</t>
  </si>
  <si>
    <t>RT @wow_keren: 2 WNI Positif Corona, Arzeti Bilbina Minta Pemerintah Lebih Sigap</t>
  </si>
  <si>
    <t>terniat wkkk karna uda h-2 mau flight MY, tapi takut juga karna nonton berita yg wni kena covid-19 😭</t>
  </si>
  <si>
    <t>Kekeliruan ISIS Terhadap Dalil-dalil Jihad (Bagian VI)</t>
  </si>
  <si>
    <t>Curhat kesal Aming, harga masker mahal karena Virus Corona Semenjak beredar kabar 2 Warga Negara Indonesia (WNI) terjangkit Virus Corona, masyarakat mulai waspada dengan serangan virus ini. Berbagai imbauan mulai diberikan untuk mengantisipasi penyebaran…</t>
  </si>
  <si>
    <t>Tau kan Balamuda tentang virus Corona yang mulai masuk ke Indonesia? Nah kemarin itu setelah kabar 2 WNI yang positif terinfeksi, bahan-bahan pokok langsung diburu habis nih sama warga +62. Jadi kayak Panik gitu loh, duhh sabar-sabar yaa Balamuda 😞#OBRASS</t>
  </si>
  <si>
    <t>RT @_Naoliviea__: Menurut sy logikanya terbalik, orang pake masker krn tidak mau tertular penyakit, kalo orang sakit pake masker agar dia tidak menularkan penyakitnya Di udara bebas itu banyak virus penyakit pak, bisa flu, batuk dll</t>
  </si>
  <si>
    <t>RT @Zulkafli_BasraH: Para Heaters bernafsu melaporkan Karena Merasa membuat resah masyarakat. Bukankah Mencegah lebih baik mengobati(bagi Orang2 yg mau berfikir). Bbp moment berikutnya JKw mengumumkan WNI terinfeksi Virus. Seperti Petir saja.. Dan Mereka terdiam Bagaikan Anak Kecil Kebingungan..</t>
  </si>
  <si>
    <t>Ngerasa miris kenapa society kita sangat suka gosip, mengulik2 privasi seseorang. Bukannya fokus bagaimana mencegah corona agar tidak menyebar luas, baru2 ini pembahasan malah mengulik2 tentang privasi dua WNI yg positif corona. Sangat disayangkan ckck</t>
  </si>
  <si>
    <t>3 Hal Seputar WNI Positif Virus Corona</t>
  </si>
  <si>
    <t>RT @ResubunT: @DavidWijaya82 Untuk mengabarkan wni terserang virus corona, apa memang perlu dilaporkan dr tempat kediaman pasien ? #StopPanikLawanCorona</t>
  </si>
  <si>
    <t>RT @AlfaOmega0110: Mengapa Ideologi Anti Pancasila yg mereka usung tdk di banned oleh negara? TAP Anti Komunis sdh ada! Tp kalo paham ideologi Khilafah sperti cita2 HTI,DI/TII, ISIS? Blm ada TAPnya yg Tegas Melarang!!! Makanya bebas berkeliaran. Apa yg bikin TAP-nya TAKUT bakal dicap PKI?</t>
  </si>
  <si>
    <t>Tertahan di Wuhan, WNI Berharap Segera Dievakuasi</t>
  </si>
  <si>
    <t>RT @tempodotco: Anggota Komisi I DPR, Charles Honoris, mengatakan negara harus menjamin kerahasiaan identitas atau data pribadi WNI positif virus corona.</t>
  </si>
  <si>
    <t>Ketika isu corona meluas ke indonesa . Mau ga mau on bid demi dapur agar berasap . Stay safety buat abang ojol lain nya 🙏 #KamiTidakTakutVirusCorona #IndonesiaDiAmbangKebangkrutan #gojek Corona #CoronaVirusUpdates 2 WNI #COVID2019 #CoronaOutbreak Wuhan</t>
  </si>
  <si>
    <t>@LieYurika @Mataka81760170 apalagi pemerintah mau impor anak ex ISIS. makin serem aja ini.</t>
  </si>
  <si>
    <t>RT @TrisulaID: [Breaking News] Jokowi Umumkan Dua orang WNI positif terjangkit Corona di Indonesia , Jakarta (2/3) — Presiden Jokowi secara resmi mengumumkan bahwa sudah terjadi kasus pertama virus Corona Covid-19 di Indonesia.</t>
  </si>
  <si>
    <t>Ini baru gubernur Indonesia Tidak bikin panik masyarakat Tidak seperti yang satu nya Dongok..!!</t>
  </si>
  <si>
    <t>Sejak di nyatakan 2 org WNI positif corona... semua borong masker dan hand sanitizer dan dijual dgn harga tinggi... di saat negara lain membagikan masker secara gratis dan menghukum org yg menjual dgn harga tinggi..</t>
  </si>
  <si>
    <t>Apakah BPJS Kesehatan Menanggung WNI yang Positif Virus Corona? -</t>
  </si>
  <si>
    <t>RT @vivanewscom: Dua WNI Positif Corona, Bupati Gowa Imbau Warga Tidak Panik  #vivanews</t>
  </si>
  <si>
    <t>Jokowi: 2 WNI Warga Depok Positif Corona Ridwan Kamil: Tak Ada Bukti Virus Corona Hadir di Depok Warganet: Lieur ah..</t>
  </si>
  <si>
    <t>RT @vivanewscom: VIDEO: WNI Terinfeksi Corona Sesalkan Jokowi Umumkan Tanpa Konfirmasi  #vivanews</t>
  </si>
  <si>
    <t>RT @TeddyGusnaidi: 4. Tantangan selanjutnya lagi adalah bagaimana pemerintah menekan penyebaran, menyembuhkan WNI yang terjangkit virus corona dan memanfaatkan iklim di Indonesia yang menurut beberapa ahli mampu membunuh virus tersebut dapat terwujud. Ini yang menjadi tugas kedepan. @jokowi</t>
  </si>
  <si>
    <t>RT @MedanSoepriono: @UyokBack @aharisth Virus corono masuk karena Isis Bpjs naik karena Isis BBM naik karena Radikal Listrik naik karena Radikul Jiwasraya bamg0krut karna kadrun China bebas di RI karena kadrun BUMN bengkrap karena Isis lagi Dollar 14.500 karena Isisa Pentaran P4 tidak tp NKRI harga mati Pekokbangsat</t>
  </si>
  <si>
    <t>RT @newsmediacoid: WNI Positif Corona, Wali Kota Serang: Kalau Demam Tinggi Cek Ke Rumah Sakit</t>
  </si>
  <si>
    <t>Warga Kota Tanjungpinang, Kepulauan Riau, mengeluhkan harga hand sanitizer atau cairan pembersih tangan naik 10 kali lipat setelah Presiden Joko Widodo mengumumkan dua WNI positif virus corona.</t>
  </si>
  <si>
    <t>WNI Positif Corona, Wali Kota Serang: Kalau Demam Tinggi Cek Ke Rumah Sakit</t>
  </si>
  <si>
    <t>RT @BeritaCOVID19: Data terakhir Kapal Pesiar Diamond Princess yg terkena wabah COVID19. 705 penumpang positif COVID19. 7 tewas. Dari total 3.711 penumpang. Saat ini 7 WNI yang dinyatakan positif masih menjalani isolasi disana, 2 bertahan menjaga kapal, 69 di karantina Pulau Sebaru.</t>
  </si>
  <si>
    <t>RT @selebrita7: Siapa 2 WNI yang positif terkena virus Corona? Bagaimana bisa tekena? #Selebrita</t>
  </si>
  <si>
    <t>Untuk WNI yang kala itu mau dipindahkan atau di isolasi di pulau natuna. Jadi intinya buat mas/mba yang sekarang banyak ngeluh, kami yg bergerak dalam bidang (memperhatikan kesehatan anda) sudah mengeluh sejak lama.</t>
  </si>
  <si>
    <t>Thankiez om @ipul_HR sm tante @prastiwia_ , skrg aku dah jd WNI yg baik..</t>
  </si>
  <si>
    <t>Virus #COVID19 mulai menyebar ke negara-negara di dunia. ⁣ ⁣ Di Indonesia, kemarin baru aja diumumkan bahwa ada 2 WNI yang terkena virus Corona.⁣ ⁣ Yuk kita pelajari lagi tentang gejala dan pencegahan #COVID19 ! #KamiTidakTakutVirusCorona</t>
  </si>
  <si>
    <t>RT @KATADATAcoid: Pasca-pengumuman dua WNI di Depok terinfeksi virus corona, @kemkominfo mencatat setidaknya ada 147 hoax terkait wabah tersebut hingga hari ini.</t>
  </si>
  <si>
    <t>RT @J4ck_Pipp0: @jokowi Kementerian Kesehatan berdalih pengujian tidak dilakukan lantaran harga alat pengujian yang mahal. Untuk reagen ditaksir dengan harga kisaran Rp 1 M Lalu kok bisa yg 72 M malah cair utk menarik wisatawan d saat negara lain justru mengisolasi diri 🤔</t>
  </si>
  <si>
    <t>3 Maret 2020. Hari pertama setelah Presiden mengumumkan dua WNI terdampak Virus Corona. Dilain sisi, pagi tadi Gunung Merapi menghembuskan abu vulkanik.</t>
  </si>
  <si>
    <t>RT @tribunnews: Ketua RT 2 WNI yang Positif Corona Sayangkan Sikap Jokowi: Kenapa Tak Konfirmasi ke Pasien Dulu?  lewat @tribunnews</t>
  </si>
  <si>
    <t>Lapangan kerja untuk WNI / TKA ? RT @RamliRizal: Bang Luhut,, klo orang Sunda bilang,, “Ngadabrol jangan kebangetan atuh.” 😀😀🙏</t>
  </si>
  <si>
    <t>@fajarnugros @leksa @jokowi Ironi dalam hal apa? bandaranya? kata sepi nya? WNI kru diamondnya?</t>
  </si>
  <si>
    <t>RT @tribunnews: 2 Orang yang Tinggal dengan 2 WNI Positif Corona Dipastikan Negatif, Kemenkes Jelaskan Penyebabnya  lewat @tribunnews</t>
  </si>
  <si>
    <t>Pasca-pengumuman dua WNI di Depok terinfeksi virus corona, @kemkominfo mencatat setidaknya ada 147 hoax terkait wabah tersebut hingga hari ini.</t>
  </si>
  <si>
    <t>RT @amsalri: Petugas KPPS Meninggal Aja Tidak Peduli Apalagi Ini</t>
  </si>
  <si>
    <t>2 WNI didepok sudah kena korona mba RT @jadeyanh: Tell me something I don't know</t>
  </si>
  <si>
    <t>Dua warga negara Indonesia (WNI) yang positif virus corona tertular dari warga negara Jepang. Ketahui yuk Bun fakta-faktanya! #HaiBunda #CoronaVirusIndonesia #CoronaVirusUpdate</t>
  </si>
  <si>
    <t>RT @OposisiCerdas: WNI Positif Corona, Roy Suryo Sindir Anggaran Rp72 M Bayar Influencer</t>
  </si>
  <si>
    <t>Pak @mohmahfudmd bapak serius soal ini? Lha wong WNI yg dari Wuhan dites saja tidak....tentu saja “zero status”. RT @BennyHarmanID: Mahfud MD: Jangan Percaya Hoax, Sampai Hari Ini RI Masih Zero Corona. Sepakat dgn Pak Mahfud. Harun Masiku yg segede gajah saja susah ditemukan apalagi virus Corona yang tdk bisa dilihat dgn mata biasa. Urus Masiku saja gagal, apalagi urus Corona. Iya kan?</t>
  </si>
  <si>
    <t>Pemerintah Maksimal Tangani 2 WNI Positif Korona Agar Bisa Sembuh</t>
  </si>
  <si>
    <t>2019 : Dasar warga negara +62 2020 : Dasar WNI</t>
  </si>
  <si>
    <t>Pintu masuk orang dari luar gak hanya airport ya, kita punya pelabuhan dan juga jangan lupa kita berbatasan darat dengan beberapa negara. Lha, kmrn WNI dari Wuhan di karantina kan ya? Iya, betul. terus? Wisman yang dari mana2? Apa kabar?</t>
  </si>
  <si>
    <t>@jihan_______ Daripada pagi-pagi udah jadi isis</t>
  </si>
  <si>
    <t>RT @tempodotco: Menteri Kesehatan Terawan Agus Putranto terlihat kecewa dengan keputusan buntut 2 WNI positif kena virus Corona, yakni 76 pegawai Rumah Sakit Mitra Keluarga Kota Depok dirumahkan.</t>
  </si>
  <si>
    <t>@mkbijaksana Saya ikut bantu ng expor in utk yg kekurangan d luar buat wni, tp semenjak rush dn borong handsanitizer masker sabun dll kmrn lsg bermunculan olshop, ada kemungkinan d jual lagi sih yg begitu hhe</t>
  </si>
  <si>
    <t>RT @Kemenag_RI: Viral di media sosial, ada jemaah umrah Indonesia yg terinfeksi COVID-19 lalu ditolak masuk setibanya di Saudi. KJRI di Jeddah bantah hal itu, melalui rilis tanggal 28 Februari 2020 KJRI Jeddah: Tidak Terdapat Jemaah Umrah WNI Dinyatakan Positif COVID-19</t>
  </si>
  <si>
    <t>RT @UllbimaNtb: Gubernur Anies menyatakan bahwa situasi Jakarta saat ini genting. Sebab, dua WNI telah dinyatakan positif terinfeksi Covid-19 dan dirawat di RSPI Sulianti Saroso, Jakarta Utara</t>
  </si>
  <si>
    <t>Tiara dwi pratiwi yg tinggal di bogor pun kaget mendengar 2 WNI yg positif virus corona tinggal di depok, tetangganya bogor. RT @kompascom: Ayu Ting Ting yang tinggal di Depok, Jawa Barat, kaget mendengar dua WNI yang positif virus corona tinggal di Depok.</t>
  </si>
  <si>
    <t>Eka yg tinggal di Depok kaget mendengar Ayu Ting2 kaget mendengar dua WNI yg positif virus corona tinggal di Depok RT @kompascom: Ayu Ting Ting yang tinggal di Depok, Jawa Barat, kaget mendengar dua WNI yang positif virus corona tinggal di Depok.</t>
  </si>
  <si>
    <t>@aharisth @UyokBack Isis apa kang kelapa muda kok kemana mana bawa golok... apa lg nuduh @BangJapar_FI jawara betawi itu ISIS? secara mereka kemana mana bawa golok....</t>
  </si>
  <si>
    <t>RT @isari68: All, tidak ada gunanya berdebat ttg cara menangani virus corona yg telah diakui Pemerintah 2 org WNI kita positif terpapar.Yg diperlukan kini protokol yg ketat u penanganan &amp; saling berbagi info yg akurat, pendataan suspect yg transparan shg warga tdk perlu cemas. #Indonesiabisa</t>
  </si>
  <si>
    <t>Viral! Anies Baswedan Angkat Bicara Soal WNI Yang Dirawat Di Jakarta</t>
  </si>
  <si>
    <t>KRI dr Soeharso-990 Bantu Evakuasi WNI dari Kapal Pesiar Diamond Princes ke Lokasi Observadi di Pulau Sebaru Kecil</t>
  </si>
  <si>
    <t>RT @erikamelfa: @jokowi hal menyedihkan itu : 200 WNI yg dibawa dr wuhan,mesti dikarantina berhari2,krn diduga pny aspek bawa virus😂😂 tapi justru 1 WNA Jepang yg lolos sbg pembawa virus.IRONIS sekali ya pak😅😅..hrsnya ini jd WARNING,smua pintu2 msk WNA hrs pny sistem yg lbh ketat. bodohnya RI😅</t>
  </si>
  <si>
    <t>KRI dr Soeharso-990 Bantu Evakuasi WNI dari Kapal Pesiar Diamond Princes ke Lokasi Observadi di Pulau Sebaru Kecil -</t>
  </si>
  <si>
    <t>@ricky_Hf @opposite6890 Saya malu sbg WNI. Dancuk pemerintahhe</t>
  </si>
  <si>
    <t>@aharisth @UyokBack Kita kami isis... tokai lah</t>
  </si>
  <si>
    <t>💕💕 ILC MALAM INI Virus Corona sdh merambah ke berbagai negara lintas benua &amp; sdh menelan ribuan nyawa. Kmrn, 2 WNI berdomisili Depok terdekteksi positif terjangkit virus ini. Bagaimana Indonesia menghadapi Corona? Siapkah kita? SAKSIKAN LIVE #ILCCoronadiIndonesia .</t>
  </si>
  <si>
    <t>RT @Zahrah40291660: @jansen_jsp @mohmahfudmd Terungkap 238 WNI dari Wuhan tidak di tes, karena peralatan mahal. Buat kesehatan rakyat kok perhitungan ya...? Kenapa gak sita dan jual rumah serta harta benda milik para tersangka kasus koruptor ?</t>
  </si>
  <si>
    <t>@Tere_one34 @aagym 1. ditulis "kafir", bukan "kapir" :( 2 . bukan berkiblat, hanya saja video itu disebut "referensi" bagi Negara Indonesia untuk melindungi warganya dari virus dengan melakukan pengecekan suhu tubuh di darat, laut dan udara bagi WNI/WNA yg mau masuk kesini.</t>
  </si>
  <si>
    <t>WNI ABK World Dream dan pembina observasi di Pulau Sebaru Kecil melaksanakan senam bersama. Olahraga jadi menu wajib untuk meningkatkan ketahanan tubuh guna cegah #COVID19 #WaspadaCOVID19</t>
  </si>
  <si>
    <t>Dear @DitjenPajakRI Ditengah ancaman COVID-19, sebagai WNI yang baik, saya sudah melakukan kewajiban pelaporan pajak tahun 2019. Terima kasih #LebihAwalLebihNyaman</t>
  </si>
  <si>
    <t>RT @BerisikEmak: Premis 1 : PENYEBAR HOAX VIRUS CORONA AKAN DIKENAI DENDA 1 MILIAR. Premis 2 : Pakdhe umumkan 2 orang WNI asal Depok positif terpapar virus Corona. Premis 3 : 72 miliar dikucurkan kpd para influencer utk menangkal efek lanjutan dari virus Corona di bid pariwisata. JADI ?</t>
  </si>
  <si>
    <t>RT @sarimusdar09: Apakah kita bangsa yang emberan ? Pemerintah jepang waktu itu ngga mau kasih identitas WNI yang diduga terkena Covid19 ke KBRI Pemerintah Singapura ngga kasih data identitas ART asal Indonesia yang diduga suspect Covid 19.</t>
  </si>
  <si>
    <t>RT @inizali: "lo kok aktif banget sih di twitter ?" y daripada w aktif di ISIS.</t>
  </si>
  <si>
    <t>Komisi VI DPR RI Desak Pemerintah Bentuk Desk Covid-19 Terkait 2 WNI Yang Terpapar Virus Corona</t>
  </si>
  <si>
    <t>Dua WNI Positif Virus Korona, DPR Minta Masyarakat Jangan Panik</t>
  </si>
  <si>
    <t>RT @Metro_TV: #BREAKINGNEWSMETROTV - Menkes Nyatakan Dua WNI Positif Corona di Indonesia. Ikuti informasi terbaru dengan live streaming via: Youtube:  Website:</t>
  </si>
  <si>
    <t>SUDUT SOSIAL | Indonesia Positif Corona!⁣ ⁣ Selamat Pagi FISIP!⁣ ⁣ Pada Senin, 2 Maret 2020 Presiden Joko Widodo telah mengumumkan 2 WNI positif terjangkit Virus Corona.⁣ Bagaimana informasi, gejala &amp; pencegahan terkait Virus tersebut? Yuk cek!</t>
  </si>
  <si>
    <t>@RizmaWidiono @CCICPolri Bong Betina, @aniesbaswedan kualitasnya se level presiden, jd ga bisa diimbang seorang menkes yg pernah kebingungan cara jemput WNI di Wuhan. Terbuktikan? Boss nya si menteri itu sdh umumkan 2 org positif corona di Depok yg merupakan daerah penyanggah Jkt.</t>
  </si>
  <si>
    <t>@Wagun9 Udah telat,, pemerintah terlalu meremehkan, Seharusnya keamanan di perketat dan tidak boleh WNI ke luar indonesia atau WNA masuk ke negara indonesia, benar2 di jaga ketat,, ini mah selow2 aja,, giliran kena, pada panik .. dasar</t>
  </si>
  <si>
    <t>Yang bikin panik WNI bukan virus corona deh kayaknya, tapi harga maskernya</t>
  </si>
  <si>
    <t>2 WNI yg positif terinfeksi Covid-19 ditetapkan positif setelah tau temannya terinfeksi Covid-19 di Malaysia? Andai temannya belum terdeteksi apakah 2 WNI tersebut mendapat diagnosa yg sama? 🤷‍♀️</t>
  </si>
  <si>
    <t>Indonesia Sediakan 1.000 tiket Gratis untuk Pulangkan WNI, Cek Faktanya Di Sini</t>
  </si>
  <si>
    <t>RT @teraslampung_ok: Mewaspadai Taktik Licik dan Panik Singapura Persulit WNI Ikut “Tax Amnesty”</t>
  </si>
  <si>
    <t>@sundaybedranger Wedyan, pertandingan selesai jam 21.30 WITA, jam 22 WITA wes metu anal isis e 👍🏿👍🏿👍🏿</t>
  </si>
  <si>
    <t>RT @BertemanM: Jgn LATAH lalu ikut PANIK. Bila mmg ada yg tau kalo ada WNI di Indonesia yg terinfeksi virus corona, infokan saja ke rumah sakit terdekat. Di Indonesia kan ada 2.813 RS (63% swasta), dan kalo mmg ada penderita yg kena virus corona kan pasti gak diumpetin. Gitu aja koq repot.</t>
  </si>
  <si>
    <t>@Dennysiregar7 @jokowi Corona ko msh di anggap isu, up date info tong noh presiden sndri yg blang ad 2 WNI positif kena Covid19..jangan hanya fokus Rupiah "M" nya aj😃</t>
  </si>
  <si>
    <t>@Dennyal90053940 @kangdede78 @Kemenag_RI kebayang ngga,para jemaah yg jumlahnya bnyk itu jd jln pembawa virus ke negeri syalala yg tercintah ini..kebayang ngga?? wong ngurus 1 WNA pembawa virus dari airport bisa lolos,,kebyg ga jlhnya wni yg jlhnya bnyk? au ah glap 😭😭😭</t>
  </si>
  <si>
    <t>RT @RizmaWidiono: Menkes Umumkan 2 WNI Positif Virus Corona Lalu 4nies bicara soal Virus Corona, sedangkan bungkam soal Banjir Jakarta. 4nies: 155 orang DIPANTAU, 32 orang DIAWASI terkait Virus Corona di Jakarta. Data dari mana @aniesbaswedan.? #4niesRajaKambingHitam</t>
  </si>
  <si>
    <t>RT @jacktherock5: @aharisth @UyokBack Isas isis radikal radikul. Nongkrong di glodok puluhan tahun ga mau balik. Dasar Lolololol..</t>
  </si>
  <si>
    <t>@Spider__matriX 😳😳 klo mulangin WNI dr Wuhan kn wewenang Pemerintah maskuhh 🙈🙈, dlm hal ini kementrian LN..</t>
  </si>
  <si>
    <t>@DanU40904655 Maaf kamu WNI bukan?</t>
  </si>
  <si>
    <t>@aharisth @UyokBack Isas isis radikal radikul. Nongkrong di glodok puluhan tahun ga mau balik. Dasar Lolololol.. RT @aharisth: @UyokBack Soalmya kalo diserahkan ke kamu2 ptesidennya, ya model2 ISIS kita ini, kemana2 bawa golok dan senjata.... Kami sedang merawat kebangsaan dan meluruskan nalar bengkok....</t>
  </si>
  <si>
    <t>1 WNI di SG &amp; beberapa WNI ABK diamond princess positif Corona, tidak ada satupun data pribadi mereka bocor ke media. Dua WNI di Indonesia positif, data pribadi pasien diumbar ke media. Fucked up! Mohon perhatiannya pak @jokowi #invasionofprivacy</t>
  </si>
  <si>
    <t>RT @wonhocheekos: Indonesia: (confirms 2 cases of corona virus) Indonesian news portal: "Megahnya rumah WNI yang terserang Corona." "10 fakta hubungan rahasia keluarga penderita Corona di Depok, nomor 7 bikin kaget!" "Tinggal di Depok, Ayu Ting Ting kaget tetangganya terjangkit Corona!"</t>
  </si>
  <si>
    <t>RT @KPUGate: Apakah BPJS Kesehatan Menanggung WNI yang Positif Virus Corona?</t>
  </si>
  <si>
    <t>@Penol86 @makIqal anal isis dr ahlinya ahli ... 🤭</t>
  </si>
  <si>
    <t>@adianna70fans Bikin Panik bukan 2 wni terkena virus Corona tetapi sebelum ada yg 115 org oleh anggota DPD FI di perkirakan terkena Virus C bukan ahlinya utk bicara virus C + didukungan Gubernur DKI seolah2 adanya pembenaran berita FI tsb Via melalui kesiapan trhdp berita dari Pendukungnya tsb</t>
  </si>
  <si>
    <t>Ada 50 Warga Berbagai Negara Saat WNI Positif Corona Dansa dengan WN Jepang</t>
  </si>
  <si>
    <t>RT @JerikoBaru2170: @RaisaSukainah @zeynabqasanggi Apa sih kejahatan isis?</t>
  </si>
  <si>
    <t>1 org Jepang aja menularkan WNI, gimna dgn yg jutaan WNA dari China, sudah dicek kah dgn teliti? RT @tvOneNews: Benarkah Warga Jepang Suspect Corona Tularkan WNI, Begini Klarifikasi Presiden RI  Dapatkan berita lainnya di  #tvOneNews</t>
  </si>
  <si>
    <t>@aragrumpy Baru aja senang dapet ktp legal wni, sekarang ingin pensiun jd wni</t>
  </si>
  <si>
    <t>RT @medisal24jam: Upaya Penelusuran 2 WNI Positif Corona, Kemenkes Periksa Kerabat Terdekat</t>
  </si>
  <si>
    <t>Pangkogabwilhan I Tinjau Lokasi Observasi WNI di Pulau Sebaru</t>
  </si>
  <si>
    <t>Kok info terkait kontak penderita WNI dengan WN Jepang ini simpang siur ya.</t>
  </si>
  <si>
    <t>#menkes - yg sehat gak perlu pake masker. - "masker mahal" kenapa dibeli. - terakhir yg saya baca "rumah WNI positif Corona di garis polisi, BERLEBIHAN katanya, 😂😂</t>
  </si>
  <si>
    <t>@BirgaldoS @jokowi @mohmahfudmd Aku tak peduli.. anak anak isis kan muslim.. Muslim maha benar. Kafir selalu salah</t>
  </si>
  <si>
    <t>Bisa di simpulkan bahwa Negara ini di huni oleh Banyak Ulama2 Karbitan yg merampas HAM seseorang yg mmbela kebenaran, bahkan pemerintah Jg melanggar konstitusi UUD 45 di mana kebebasan Beragama juga masih terabaikan, blm lgi wacana Pemulangan anak ISIS pake duit siapa?Pribadi?</t>
  </si>
  <si>
    <t>"ayah att, bapak rojak, kaget melihat att yang kaget mendengar dua WNI yang positif virus corona tinggal di Depok, begini detik detik kejadian kagetnya". RT @wenstethic: ANJIR WKWKKW MARI KITA TUNGGU PENDAPAT AYAHANDA ROJAK</t>
  </si>
  <si>
    <t>Kayak kasus kriminal aja..... Harusnya Bukan Garis Polisi, tapi garis peringatan dari Kemenkes. Rumah WNI Yang Positif Virus Corona Diberi Garis Polisi, Yurianto: Berlebihan!</t>
  </si>
  <si>
    <t>Dua WNI Asal Depok Positif Corona dan 4 Berita Heboh Lain</t>
  </si>
  <si>
    <t>WNI Positif Corona Sempat Disuruh Pulang oleh Dokter saat Pertama Kali Periksa</t>
  </si>
  <si>
    <t>RT @SutrisnoYohanes: @WR_4AG226 Selain tdk mengakui pemerintahan Indonesia yg sah saat ini, RS juga menyatakan dukungannya kepada ISIS. Apa negara perlu ngurusin orang yg seperti begini? Silahkan lihat video ini!</t>
  </si>
  <si>
    <t>hal yang paling membuat emosi ketika belum ada informasi wni positif virus corona ini adalah reaksi pemerintah yg kurang berhasil menenangkan warganya. Mentri ngasih satement ngawur, presiden rapat malah yang dipikirin wisata, keluarin anggaran utk buzzer sosmed -__-</t>
  </si>
  <si>
    <t>RT @TeddyGusnaidi: 2. Beberapa saat lalu saya mengatakan bahwa Indonesia memiliki metode dan alat pendeteksi virus corona dan itu terbukti sekarang. Bahkan riwayat terpaparnya bisa diketahui sehingga bisa dengan mudah pemerintah mengantisipasi penyebaran virus ke WNI yang lainnya.</t>
  </si>
  <si>
    <t>@LorenzoName @aniesbaswedan @dinkesJKT @DKIJakarta @WHO @KemenkesRI Woy manusia otak goblok, mengalihkan gimana maksud lu Njing, udah jelas presiden lu aja dan konfpress klo ada 2 WNI di depok positif corona. Benci boleh blm move on boleh, goblok dungu tolol dengki jangan lu borong semua bodat @LorenzoName</t>
  </si>
  <si>
    <t>Rumah WNI Positif Corona Digaris Polisi, Kemenkes: Emangnya Virus Tahu itu Garis?</t>
  </si>
  <si>
    <t>RT @SaveMoslem1: Namanya juga Togog.Belum jelas beritanya sudah ramai2 buly Pak @aniesbaswedan begitu Junjunganya membenarkan 2 WNI sdh terkena virus corona semua pada mingkem? BEGITULAH CEBONG,DAN BUZER RECEHAN, HARGA DIRI &amp; AKAL SEHATNYA SUDAH TERTUKAR NASI BUNGKUS.!! ... OTAK DAH LENYAP</t>
  </si>
  <si>
    <t>@fadlizon Ah,,Indonesia banyak ribut lah, masalah Corona, singapur aja yg udah ratusan yg terinfeksi Corona ga sibuk amat masyarakatnya, kami WNI di Singapura juga berusaha jaga diri masing2, di Indonesia terlalu kepo dg Corona, bahkan mewabahnya jadi virus congorna</t>
  </si>
  <si>
    <t>RT @Rizqyfauzia: Negara lain namain kasus WNI covid19 dengan pasien no.1, no 2, no.3 dst untuk keperluan confidential, ini malah di Indo udah kesebar spot reports sampe jelas alamat rumahnya 🙈 Heol heol heol</t>
  </si>
  <si>
    <t>@MbahHadi2 @msaid_didu Isis kalo mau bunuh orang juga takbir dlu...</t>
  </si>
  <si>
    <t>RT @MarikaRahman_: Breaking News: Keadaan umum pasien yang di rawat saat ini baik-baik saja. Pasien sadar penuh, keluhan panas tidak ada, batuk berkurang, tidak sesak napas</t>
  </si>
  <si>
    <t>virus isis lbh menakutkan RT @Hilmi28: ALLAHUMMA INNII ‘AUUDZU BIKA MINAL BAROSHI WAL JUNUUNI WAL JUDZAAMI WA SAYYI-IL ASQOOM “Ya Allah, aku berlindung kepadaMu dari penyakit kulit, gila, lepra &amp; dari penyakit buruk lainnya”(HR. Abu Daud &amp;amp; Ahmad) Stlh ikhtiar, jgn lupa trs berdoa, atas izin Allah semua akn baik2 sj.</t>
  </si>
  <si>
    <t>@Febriansapoetra Febrian yang tinggal di cikendal, Jawa barat, biasa saja mendengar dua WNI yang positif virus congorna</t>
  </si>
  <si>
    <t>RT @ID_Rodriguez05: [BREAKING NEWS] WN Jepang tinggal di Malaysia terus berkunjung ke Indonesia nularin WNI ini 2 orang, ibu &amp; anak yg dikatakan langsung oleh Pak Presiden @jokowi &amp;amp; Pak Menkes RI. Diisukan yg terjangkit dirawat di depok! via @kumparan @kompascom #AGNATION #BestFanArmy #iHeartAwards</t>
  </si>
  <si>
    <t>Rumah WNI Positif Corona di Depok Dipasang Garis Polisi  Sejak kapan virus takut police line ???</t>
  </si>
  <si>
    <t>RT @AyubeeB: @jokowi Mooo ... kau gunakan pajak kami unt buzzer ora sudih... #IndonesiaDiambangKebangkrutan BPJS butuh dana, iurannya kalian naikan,kejam anda. Corona butuh alat tdk bisa anda wujudkan , anda melanggar konstitusi. Terungkap, 238 WNI dr Wuhan Tak Dites Virus Corona, Alatnya Mahal</t>
  </si>
  <si>
    <t>Ada yg nyimpen thread isi chatan wa wni yang katanya positif corona ga?</t>
  </si>
  <si>
    <t>Kemenkes Pastikan Kakak dan Pembantu WNI di Depok Negatif Virus Corona, Hanya Ibu-Anak yang Positif  lewat @tribunnews</t>
  </si>
  <si>
    <t>RT @sesuaiaplikasii: Aku cinta depok, semua masalah bermuara di Depok. Gembong narkoba ISIS Nabi palsu LGBT Dan finally Corona Ngapa gua tinggal di Depok ajg.</t>
  </si>
  <si>
    <t>Sejak kehadiran covid-19 pada Desember 2019. Baru Senin, (2/3/2020) Indonesia mendeteksi dua WNI yang positif terkena virus corona. #KamiTidakTakutVirusCorona karena kami cerdas tahu cara penyebaran &amp; pencegahannya..</t>
  </si>
  <si>
    <t>RT @republikaonline: KRI dr Soeharso tiba di Pulau Sebaru Senin (2/3) sekitar pukul 18.00 WIB.</t>
  </si>
  <si>
    <t>RT @elHurryKoRn: Menteri Kesehatan menjelaskan bahwa ada dua WNI yg terpapar virus Corona dari WN Jepang #CoronaVirusIndonesia</t>
  </si>
  <si>
    <t>RT @geloraco: Rumah WNI Positif Corona Digaris Polisi, Kemenkes: Emangnya Virus Tahu itu Garis?</t>
  </si>
  <si>
    <t>RT @suaranasional: New post: Akui Ada 2 WNI Terkena Corona, Bukti Kebohongan Rezim Jokowi tak Bisa Ditutupi</t>
  </si>
  <si>
    <t>RT @sorotnews: WNI Kena Corona ke RS Mitra Keluarga Depok, 70-an Tenaga Medis Dirumahkan</t>
  </si>
  <si>
    <t>"dikabarkan dua WNI positif terkena virus corona" ga takut ajik sini mana si corona gua timpuk pake sepatu;/</t>
  </si>
  <si>
    <t>RT @tvOneNews: Dua WNI positif terinfeksi virus corona merupakan ibu dan anak warga Depok, Jawa Barat yang sempat kontak dengan warga negara Jepang. Update berita lain di  #BreakingNews #tvOneNews #WaspadaVirusCorona</t>
  </si>
  <si>
    <t>@ErwinRabbani Mata pencaharian ? Apapun itu dia WNI katanya, kabar awal bertamu kerumahnya.</t>
  </si>
  <si>
    <t>RT @hannarayliza: WNI dari Wuhan tdk dites virus corona karena alatnya mahal, tetapi saya membacanya sebagai : nyawa rakyat Indonesia yg terlalu murah. Reagen utk tes harganya berkisar Rp. 1 Milyar. Mahal? Sedangkan bayar buzzeRp Rp.72 milyar saja sanggup.</t>
  </si>
  <si>
    <t>@na_dirs Betul sekali yai, sepengetahuan tinggal di LN mbak wni yang kemarin kena gak dikasih tahu isolasi RS mana</t>
  </si>
  <si>
    <t>RT @Imyurbee: @penyembahseblak soon "seorang wni mati mengenaskan tertimbun dan terlilit masker akibat terlalu serakah "</t>
  </si>
  <si>
    <t>RT @demokrasicoid: Tukang Kebun di Rumah WNI Positif Corona Disemprot Lalu Dibawa ke RSPI</t>
  </si>
  <si>
    <t>Gentng apa gentong? Gubernur DKI Anies Baswedan Sebut Situasi Jakarta Genting Setelah 2 WNI Positif Corona</t>
  </si>
  <si>
    <t>RT @Anna_MaSue: Di Wuhan, banyak sekali tim medis di RS yang terjangkit Corona. Bahkan diantaranya ada yang meninggal karenanya. Akan kah kejadian yang sama akan menimpa salah satu RS di Depok? Semoga tidak.. 😢</t>
  </si>
  <si>
    <t>@BirgaldoS Mau jemput anak Ex ISIS???? anak2 dan org2 korban bom aja gak dibiayain, gak diurusin. Gimana ini? gak sudi aku membantu manusia yg gak punya kemanusiaan. Awas aja.</t>
  </si>
  <si>
    <t>RT @Resty23189880: Ye.. Kalau dah di desak &amp; ditantang buat bicara di forum international kalo Indonesia memang bener2 Aman dari virus corona baru deh ngaku 🙄🙄</t>
  </si>
  <si>
    <t>RT @G00d__P4r3nts: Waduh... 🤸🤸 (Kaget) #IndonesiaDiAmbangKebangkrutan #IndonesiaDiAmbangKebangkrutan Warganet Bingung: Jokowi Umumkan 2 Orang WNI Positif Corona, Kok Denny Siregar Bilang "Yang Sebar Isu Corona Jelas-Jelas Binatang!"? | PORTAL ISLAM</t>
  </si>
  <si>
    <t>RT @dumplingkisses: @theo_zhang25 @BirgaldoS Betul. Di Indonesia aja selain korban bom aja masih banyak anak terlantar. Pulangin anak exWNI yang gabung ISIS hanya bikin Indonesia makin hancur. Satu keluarga aja udah bikin ketar ketir satu provinsi apalagi 600 orang. Bisa hancur negara ini.</t>
  </si>
  <si>
    <t>RT @KweTakShun: Ada kabar WNI kena covid, langsung panik. Sementara kabar adanya hari akhir dan siksa neraka, kamu abaikan..</t>
  </si>
  <si>
    <t>@dwipcurl @ivhan_low @BirgaldoS @permadiaktivis @PolhukamRI @mohmahfudmd Boleh jadi @jokowi sudah tak ada, tapi masih ada anak cucu belio yang bisa jadi korban teroris ISIS.</t>
  </si>
  <si>
    <t>RT @kompascom: Mereka bertemu dalam kegiatan dansa yang diselenggarakan di restoran bergaya Meksiko tersebut. / #Megapolitan</t>
  </si>
  <si>
    <t>@ciciayaa @TribowoTanoe @faraa_deela @shitegoblin Udah WNI pake JEPANG lagih🙂</t>
  </si>
  <si>
    <t>RT @rizalrahman23: @iHeartRadio @agnezmo presiden Bapak @jokowi menyampaikan bahwa dua Warga Negara Indonesia (WNI) terkena virus corona . #BestFanArmy #iHeartAwards #Agnation</t>
  </si>
  <si>
    <t>RT @taevilter: ꒰🐹:penyanyi dangdut apa yang menakutkan 💜: apa tuh 🐹: isis dahlia. ꒱ Arsd yg di sponsori oleh dad Jokes mas seokjin. #ARSD #ARMYSelcaDay @BTS_twt</t>
  </si>
  <si>
    <t>RT @dubie_tina: GAK NUNGGU HARI , JAM ITU JUGA SELESAI HIDUP DIA ! DAN INI FAKTA ABOUT SAUDI ARABIA 🇸🇦 UNTUK MENUMPAS ORMAS2 RADIKAL PAHAM HTI ISIS TERORIS ! ! HUKUM ⚖️⚖️ TEGAS DI SAUDI ARABIA 🇸🇦 ! Ok 👍 ....... Thanks 😇🤟✌️</t>
  </si>
  <si>
    <t>GAK NUNGGU HARI , JAM ITU JUGA SELESAI HIDUP DIA ! DAN INI FAKTA ABOUT SAUDI ARABIA 🇸🇦 UNTUK MENUMPAS ORMAS2 RADIKAL PAHAM HTI ISIS TERORIS ! ! HUKUM ⚖️⚖️ TEGAS DI SAUDI ARABIA 🇸🇦 ! Ok 👍 ....... Thanks 😇🤟✌️ RT @Spider__matriX: INI MANIPULATOR AGAMA, SEKALIGUS PROVOKATOR. SEMUA YANG DI SAMPAIKAN FITNAH BELAKA. BUKANYA BICARA KEIMANAN,JUSTRU MENCACI MAKI PEMIMPIN DAN NEGARA. KALAU DI ARAB SAUDI , SUDAH DI PANCUNG MANUSIA SEPERTI INI. @DivHumas_Polri</t>
  </si>
  <si>
    <t>RT @eko_kuntadhi: Perlu jg tiru saudara kita di Taiwan. Tahu kan, ada TKI kita di Taiwan suspect Corona. Ia diisolasi di sebuah rumah sakit. Apa dia nangis gegerungan? Atau menyesali nasib kayak abis diculik ISIS? Gak tuh. Dia malah main Tiktok #KamiTidakTakutVirusCorona</t>
  </si>
  <si>
    <t>Upaya Penelusuran 2 WNI Positif Corona, Kemenkes Periksa Kerabat Terdekat</t>
  </si>
  <si>
    <t>Warga Serbu Supermarket Setelah 2 WNI kena Corona, Polri Bakal Dikerahkan</t>
  </si>
  <si>
    <t>Kemenkes Pastikan Lokasi Dansa WNI yang Positif Corona di Paloma Bistro</t>
  </si>
  <si>
    <t>RT @tribunnews: 40 Petugas Medis Alami Gejala Pilek, Batuk, Demam Seusai Berinteraksi dengan Dua WNI Positif Corona  via @tribunnews</t>
  </si>
  <si>
    <t>RT @Depok2030: @KompasTV Tapi tidak berpengalaman dalam menyembunyikan informasi WNI yang terkena virus.</t>
  </si>
  <si>
    <t>Teruntuk pak @ganjarpranowo Sekedar bertanya, Meskipun ada tagar #KamiTidakTakutVirusCorona ... kalo ada WNI positif corona dari keluarga tak mampu... biaya rumah sakit di tanggung sendiri ato Gratis... terimakasih #CoronaOutbreak</t>
  </si>
  <si>
    <t>Dua WNI Terinfeksi Virus Corona, Ini 5 Kronologi Lengkapnya</t>
  </si>
  <si>
    <t>RT @emonikova: Hi, Indonesia... sbg WNI di Jepang, jangankan masker, kini pembalut dan tissue pun langka :’) Jangan panik... insha Allah kalau bisa menjaga kondisi tubuh, kita bisa lawan virus itu sih</t>
  </si>
  <si>
    <t>Himbauan KBRI Riyadh kepada seluruh WNI di Arab Saudi terkait pengumuman resmi Pemerintah Arab Saudi terkait seorang pria yg terjangkit virus Corona di Arab Saudi. @Kemlu_RI @KemensetnegRI #negaramelindungi</t>
  </si>
  <si>
    <t>@caprichreality_ KĶKKKĶKKK BERRO</t>
  </si>
  <si>
    <t>Warga Borong Makanan Usai 2 WNI Positif Corona #Corona #CoronaVirusIndonesia #CoronaOutbreak #Coronavirusnyc #COVID19 #Covid_19 #VirusCorona #VirusCoronaindonesia #indonesiaidol #imgxnct #AgenBandarQ #BandarTerbaik #PeteToWarren #PeteToBiden</t>
  </si>
  <si>
    <t>Pemerintah Perlu Telusuri Warga yang Ikut Dansa Bersama 2 WNI Positif…  via @ArrahmahID</t>
  </si>
  <si>
    <t>WNI Positif Corona Sempat Disuruh Pulang oleh Dokter Saat Pertama Kali Periksa Oleh Warta Ekonomi Online</t>
  </si>
  <si>
    <t>@mariana_ugalde Goei ya!!!!</t>
  </si>
  <si>
    <t>Menkes menyatakan, spesimen dua WNI positif corona akan diperiksa kembali.</t>
  </si>
  <si>
    <t>2 WNI Positif Terinfeksi Virus Korona, Begini Reaksi Govinda</t>
  </si>
  <si>
    <t>RT @CNNIDdaily: #BreakingNews Menteri Kesehatan, Terawan Agus Putranto menyatakan, domisili 2 orang WNI positif corona di daerah Depok, Jawa Barat. Terdeteksi per 1 Maret, langsung dilakukan penelusuran dan pemisahan.</t>
  </si>
  <si>
    <t>RT @republikaonline: Adanya WNI terjangkit virus corona berdampak pada pariwisata Indonesia.</t>
  </si>
  <si>
    <t>Baca komennya ini yg terlintas di otakku: gini amat orang indonesia Ada yg doain biar beliau kena sendiri lah. Ada yg bodo2in. Ada yg nyalahin jokowi. Ada yg sambung2in ke isis. What??????? Coba deh dicari dulu, penyakit virus itu emg self limiting tergantung imun masing2 RT @CNNIndonesia: Menkes: Virus Corona Penyakit yang Bisa Sembuh Sendiri</t>
  </si>
  <si>
    <t>RT @FEBRIANA_2506: Waspadalah virus corona sdh masuk ke indonesia...!! Ingub sdh menginformasikan kira2, 3 hr yg lalu,tapi di bantah oleh pak mentri ,tapi perhari ini berita di tv pak mentri mengakui bahwa mengiyakan 2 wni sdh terjangkit virus corona, hadeuh pak,,, pak🤦‍♀️🤦‍♀️</t>
  </si>
  <si>
    <t>RT @republikaonline: WNI itu berdansa dengan temannya yang merupakan WN Jepang dan positif Corona.</t>
  </si>
  <si>
    <t>Dua WNI Positif Terjangkit, Presiden Tegaskan Keseriusan Pemerintah Tangani Wabah Virus Corona - Pikiran Rakyat</t>
  </si>
  <si>
    <t>@TeddyGusnaidi Ngeles aja loe tong demi junjunganmu.negara lain sdh ngeluarkan warning terhadap Indonesia.anies lebih cpt mengingatkan warga DKI ,eh dibantah Menkes,apa yg terjadi JKW umumkan ada2 WNI positif Corona. Kok ngurus negara seperti ini.</t>
  </si>
  <si>
    <t>Dalam rangka meningkatkan kewaspadaan dan perlindungan WNI dan Seluruh Staf KBRI, pada Minggu 1 Maret 2020 telah diadakan pemeriksaan kesehatan dan Implementasi imbauan untuk memakai masker bagi setiap orang yang masuk ke wilayah KBRI Beirut #NegaraMelindungi @Kemlu_RI</t>
  </si>
  <si>
    <t>Kemenkes Akan Periksa Kesehatan Kelompok Dansa Terkait 2 WNI Positif Corona</t>
  </si>
  <si>
    <t>RT @KemenkesRI: Dengan dilaporkannya kasus tersebut, surveilans tracking sudah dilakukan untuk mengetahui riwayat kontak yang bersangkutan. Diketahui bawah pada 14 Februari telah terjadi kontak erat antara WN Jepang dengan WNI tersebut yakni berdansa bersama. #WaspadaCOVID19</t>
  </si>
  <si>
    <t>RT @tempodotco: Jokowi sudah mengumumkan ada dua warga negara indonesia atau WNI positif terpapar virus Corona. Bagaimana dampaknya ke harga masker di sejumlah toko online saat ini? #CoronaVirusUpdate</t>
  </si>
  <si>
    <t>ngm p conversar af</t>
  </si>
  <si>
    <t>Kepala BNPB: Makanan kunci pemulihan WNI yang diobservasi di Sebaru</t>
  </si>
  <si>
    <t>@Isis_Dirr ... u r lucky u r u</t>
  </si>
  <si>
    <t>Ada beberapa WNI ABK World Dream yang menjadi koki dadakan selama proses observasi. #PulauSebaru</t>
  </si>
  <si>
    <t>RT @hermana_t: setelah lebih dari dua bln indonesia mengklaim bebas corona, hari ini status itu gugur dgn ditemukannya pasien positif corona pengumuman ini langsung disampaikan jokowi, setelah mendapat konfirmasi dari menkes sebaiknya hati2 beraktifitas di luar ruang</t>
  </si>
  <si>
    <t>Dua WNI Positif Corona, DKK Salatiga Minta Warga Tidak Paranoid</t>
  </si>
  <si>
    <t>Kemenkes Pastikan Lokasi Dansa WNI yang Positif Corona di Paloma Bistro  #DariSuara</t>
  </si>
  <si>
    <t>RT @fmta66: Indonesia positif corona Presiden : ada WNI yg positif di Indonesia namun tidak sy sebutkan tempatnya. Media lain lain : dua wni positif di depok, tanggapan walikota depok, penampakan rumah korban di depok... 🤦🏻‍♀️🙃</t>
  </si>
  <si>
    <t>Jare hoax corona ne, kok 2 WNI positif. Pie sih, ojo ndelik2 ke lah. Bicara ke rakyat apa yang terjadi sebenarnya. Awas wae ngasi cangkemmu sing hoax, titeni we lek @KemenkesRI</t>
  </si>
  <si>
    <t>Restoran Amigos Kemang Tempat WNI Tertular Corona Benarkan Ada Kegiatan Dansa. Petik Hikmahnya ; Dansa/ bersentuhan lgsg dg yg bukan Muhrim dlm bentuk apapun, smtr/ selamanya di HENTIKAN. Secara Agama gak Boleh, secara Covid-19 boleh tapi Resiko Menular😝</t>
  </si>
  <si>
    <t>@digeeembok Interupsi. Wkk... Saya ndak rela kalau anggota isis ndak diserang corona..</t>
  </si>
  <si>
    <t>di sg gratis dong masker. ini sih yang bikin kwatir kalo pemerintah udah open ke publik ada korban corona wni di negara sendiri. makin banyak hoax, ada yg nimbun2 masker, harga jadi ngga stabil. jgn sampe rempah2 penangkal virus ada yg nimbun &amp; jadi mahal juga ☹️ RT @WidasSatyo: 325rb/box?? Anda stock sebanyak ini buat apa?? Apa alasan Anda jual dgn harga segitu?? Atau ini sengaja nimbun buat dijual lagi ketika inflasi?? Well, bener kata lagunya om Ebiet. "Memang bila kita kaji lebih jauh.. Dalam kekalutan, masih banyak tangan yg tega berbuat nista.."</t>
  </si>
  <si>
    <t>RT @tempodotco: 2 WNI Diisolasi karena Corona, Kemenkes: Tak Demam, Bisa Main HP</t>
  </si>
  <si>
    <t>RT @voaindonesia: 2 WNI Positif Korona, Pemerintah Disarankan Bentuk Pusat Krisis</t>
  </si>
  <si>
    <t>RT @tribunnews: Dihadiri WNI Positif Corona, Kemenkes Duga Acara Dansa di Kemang Ada 50 Orang dari Sejumlah Negara  via @tribunnews</t>
  </si>
  <si>
    <t>68 WNI Kapal Pesiar Diamond Princess akan memulai karantina terpisah dengan 188 WNI ABK World Dream. #PulauSebaru</t>
  </si>
  <si>
    <t>@ramosszju Gataaa</t>
  </si>
  <si>
    <t>Apa beda: 1. WNI Negatif yg dari luar negeri, dgn 2. WNI Negatif yg ada didalam Negeri?</t>
  </si>
  <si>
    <t>RT @EvelloCorp: @jokowi @Kemenag_RI @mohmahfudmd @kompascom Kesimpulan: Diluar keramaian percakapan #banjir, #jiwasraya &amp; #corona, rencana pemulangan eks ISIS menjadi perhatian masyarakat Indonesia. Stakeholder pemerintah seperti @Kemenag_RI &amp;amp; @mohmahfudmd perlu menempatkan isu ini secara serius terhadap kebijakan yg diambil. #BigData</t>
  </si>
  <si>
    <t>@triwul82 Gak ada virus.. gak ada virus, yg bilang ada virus itu penyebar hoaks.. ..*tak berapa lama kemudian*.. Presiden: 2 WNI positif Corona.. Hadeuhhh....</t>
  </si>
  <si>
    <t>RT @EvelloCorp: @jokowi @Kemenag_RI @mohmahfudmd Hasil penelusuran @evellocorp terhadap berita dgn komentar terbanyak di #facebook menemukan berita @kompascom berjudul: "Eks ISIS, Perlukah Dipulangkan?" juga ramai menjadi perhatian netizen. #BigData</t>
  </si>
  <si>
    <t>RT @EvelloCorp: @jokowi @Kemenag_RI @mohmahfudmd Demikian pula percakapan dengan melibatkan akun Menkopolhukam @mohmahfudmd. Keramaian percakapan berkaitan dgn rencana pemulangan eks ISIS. Sebagian besar menolak rencana tersebut. #BigData</t>
  </si>
  <si>
    <t>Gak ada virus.. gak ada virus, yg bilang ada virus itu penyebar hoaks.. ..*tak berapa lama kemudian*.. Presiden: 2 WNI positif Corona.. Hadeuhhh.... RT @triwul82: 2 WNI Positif Corona, Menkes: Tak Ada Istilah Kecolongan  Terawan membantah pemerintah kecolongan terhadap masuknya virus corona ke RI. Dia menegaskan semuanya sudah bekerja keras menjaga ketahanan kesehatan nasional.</t>
  </si>
  <si>
    <t>RT @EvelloCorp: @jokowi @Kemenag_RI @mohmahfudmd Setelah ditelaah lebih lanjut isi sebagian besar percakapan ttg @Kemenag_RI berkaitan dengan rencana pemulangan eks anggota ISIS. Apa yang dipercakapkan? menolak pemulangan. #BigData</t>
  </si>
  <si>
    <t>Di depok JAWA BARAT ada 2 WNI yang kena bikin takut kemana mana di walaupun gua Bandung masih 1 provinsi dong :(( #CoronaVirusIndonesia #depok #CoronaVirusUpdate #Corona</t>
  </si>
  <si>
    <t>Hm, sejujurnya saya tidak tau korban ledakan bom ini. Tapi, jujur saya sangat prihatin. Bukan saya tidak peduli hak asasi manusia anak-anak ISIS eks WNI. Tapi, pajak yang dibayarkan oleh masyarakat Indonesia saya rasa lebih baikn digunakan untuk berobat korban ledakan bom tsb. RT @BirgaldoS: Anak2 ISIS Ex WNI sdg dipersiapkan utk plg ke tanah air. Disambut pemerintah dgn pemenuhan segala kebutuhannya sampai dewasa. Sementara korban bom teroris Gereja Samarinda Trinity hrs menahan sakit setiap hari di Guangzhou slama 3 thn lebih tanpa ada perhatian dari pemerintah</t>
  </si>
  <si>
    <t>Jaringan Telkomsel di Pulau Sebaru Kecil Dukung Observasi WNI Terkait Covid-19</t>
  </si>
  <si>
    <t>Kepala Badan Nasional Penanggulangan Bencana (BNPB) Doni Monardo mengatakan bahwa makanan adalah obat. Dan makanan yang diberikan kepada WNI yang menjalani observasi di Pulau Sebaru Kecil, Kepulauan Seribu harus berkualitas. #PulauSebaru</t>
  </si>
  <si>
    <t>@SanjayRraj @JatinPaul @Nidhi Ab kisi ko bahar jaake Al-qaeda/ISIS join karne ki zaroorat nahi.. India mein hi RSS ya BJP join kar le..</t>
  </si>
  <si>
    <t>Mereka beranggapan pergi bergabung dng ISIS seperti pergi menunaikan ibadah haji. Selesai beribadah pulang kembali ke tanah air. Tidak diperhitungkan bhw berangkat sembunyi2, adalah sama dng mengkhianati negaranya sendiri yg ternyata tdk suka ada ISIS. Lalu, knp hrs plg? Bgmn?</t>
  </si>
  <si>
    <t>@trierodex @ustadtengkuzul Ini foto menkes waktu kunjungan ke pulau natuna observasi wni dr wuhan yg ada potensi kena virus. Dia pakai buat melindungi diri dr org2 yg punya potensi penyebaran. Bkn krn sakit</t>
  </si>
  <si>
    <t>RT @M4ngU5il: ...lah di berita saja wni yg dievakuasi &amp; selama diisolasi gak diperiksa karena alatnya mahal bagaiman ceritanya lebih dari 100 rumkit punya peralatan standar internasional pak?...</t>
  </si>
  <si>
    <t>2 WNI Positif Korona, Pemerintah Disarankan Bentuk Pusat Krisis</t>
  </si>
  <si>
    <t>@zarazettirazr Cc: @ridwankamil kumaha bro, tos asup yeuh corona, kamari bilangna teu aya, eh dunungan sehut 2 wni di depok positif. Kumaha bro emil? Main deui tik tok atuh.</t>
  </si>
  <si>
    <t>Imbauan KBRI London bagi WNI di Inggris dan Irlandia terkait Penyebaran Virus #COVID-19</t>
  </si>
  <si>
    <t>@BirgaldoS @jokowi @mohmahfudmd Biarlah mereka berpihak pada anak" hasil didikan ISIS nanti suatu saat mereka akan menuai apa yg mereka ambil dan perhatikan sekarang . Saya hanya bisa berharap agar Ade" ini masa depannya cerah</t>
  </si>
  <si>
    <t>66 Warga China Menipu di Indonesia Karena Banyak WNI Tionghoa -</t>
  </si>
  <si>
    <t>@faraa_deela @shitegoblin (((((WNI JEPANG))))</t>
  </si>
  <si>
    <t>Toh alhamdulillah mereka di karantina dan ga terjadi apa apa. Tapi huft tadi pagi keluar berita yg mungkin bikin satu indo geger, yaitu dinyatakanya 2 WNI positif corona, apalagi buat yg tinggal di kota depok, karena 2 WNI itu org depok.</t>
  </si>
  <si>
    <t>RT @Dolley_Agri: @kartarahardja @na_dirs Sama euii, lugas ramah dan senyum selalu menyertai beliau, padahal td tengah malam info tv media masih di bandara kertadjati ngawal penanganan WNI dr jepang. Capek, tapi senyum terus ada dibeliau, salut eui</t>
  </si>
  <si>
    <t>Terus parno lagi pas tau WNI yang ada di wuhan balik ke indo. Sempet mikir kayak yang "hah demi apa ini namanya lu jemput penyakit ke negara lu sendiri, udah gila, kl nular gimana astaga" gt gt de pokoknyaa. Trs gua mikir mereka juga WNI mau hidup tenang juga kaya kita.</t>
  </si>
  <si>
    <t>RT @Syarman59: Soal Virus Corona, percayakan pada Presiden dan Menkes, bukan yang lain apalagi Anies Baswedan dan Fahira Idris. 2 WNI Warga Depok Positive Virus Corona dan dirawat di RSPI Sunter. #waspadaviruscorona</t>
  </si>
  <si>
    <t>udah nerima turis cina terus sekarang mau menyambut anak ex isis besok besok dakjal juga di sambut</t>
  </si>
  <si>
    <t>Woy @mohmahfudmd Lau bilang virus Corona kagak ada di Indonesia TERBUKTI DUA WNI POSITIF TERKENA VIRUS CORONA</t>
  </si>
  <si>
    <t>Posisi baru di area turis, denger kabar ada wni kena corona kok bisa bisa nya tetep nyantuy gini :(</t>
  </si>
  <si>
    <t>RT @Hanifah933: Breaking News : Menteri Kesehatan 'Terawan Agus Putranto menyebutkan, DUA orang WARGA NEGARA #Indonesia (WNI) yang POSITIF VIRUS CORONA tinggal di wilayah #Depok, Jawa Barat ... Stay safe Indonesia 🙏 #coronavirus #CoronaVirusIndonesia #CoronaOutbreak #CoronaVirusUpdates</t>
  </si>
  <si>
    <t>Para WNI Kapal Pesiar Diamond Princess melanjutkan perjalanan ke Pulau Sebaru dengan KRI dr Soeharso. Perjalanan sekitar 15 jam. #PulauSebaru</t>
  </si>
  <si>
    <t>@Saaki_Naaka fake hi hai..tum 100% pure follower hoga isis ka..😃😃</t>
  </si>
  <si>
    <t>RT @kumparan: Pengalaman WNI Jalani Karantina di Natuna -A thread-</t>
  </si>
  <si>
    <t>@RafaellenderG @Restichayah ANJING ISIS, TERORIS BANGSAT!!! MATI AJA LU NJING!!!</t>
  </si>
  <si>
    <t>panic buying = cuman horang kayaah doang dan kebanyakan WNI etnis tertentu *NoOffence</t>
  </si>
  <si>
    <t>Setelah Presiden Jokowi dan Menkes menyatakan dua Warga Negara Indonesia (WNI) positif terkena virus korona, toko peralatan kesehatan diburu warga untuk mencari masker.</t>
  </si>
  <si>
    <t>RT @DjanChoek: Aku sangat jarang baca berita di suara, tapi artikel yg katanya disulih dari media asing ini menggelitik. Jika benar adanya, sungguh sangat mengkhawatirnya sikap yang diambil oleh pemerintah.</t>
  </si>
  <si>
    <t>RT @deborahdewi: Entah siapa yang memulai, tapi penyebaran foto 2 WNI yang terinfeksi virus Corona secara jelas tanpa perlindungan identitas adalah bukti bahwa empati sudah mati. . . . Bagi yang menyebarkannya.</t>
  </si>
  <si>
    <t>RT @twitpos: Rumah WNI Positif Corona di Depok Dipasang Garis Polisi #CoronaVirusUpdate #CoronaVirusIndonesia</t>
  </si>
  <si>
    <t>RT @bemkmunp: Hari ini, 2 WNI di Indonesia positif terjangkit virus Corona. Virus ini menyerang saluran pernapasan dengan gejala batuk, demam, dan sesak napas. Melalui postingan ini, Sahabat KM UNP ingin mengajakmu untuk terus waspada #CoronaVirusIndonesia #COVID19indonesia #corona</t>
  </si>
  <si>
    <t>RT @primanthaevelin: @BirgaldoS kabarnya ortu anak itu sampe jual harta benda sampe ngutang sana sini untuk pemulihan anaknya. gak rela pajak yang dibayar keluarga gw dan gw untuk menghidupi anak anak eks isis, pokoe aku lebis setju mereka dibiarkan sengsara disana sampe ketemu 72 bidadari</t>
  </si>
  <si>
    <t>tau berita ttg wni positif covid19 sekitar jam 11an siang dari  😆 percaya tidak percaya</t>
  </si>
  <si>
    <t>@01Hariyan @ISIS_Balik_NO @fahiraidris Populer krn sesuatu yg bermartabat sih ngk ap" 2 jempol 👍 akn aku kasih secara cuman" tapi kalau soal berita hoax jangankan jempol tngn, jempol kakipun akn aku turunkan 👎👎 Ngk tau malu dirinya 🙅🙅🙅🙅🙅🙅💇💇💇💆💆💆 #TangkapFahiraIdris</t>
  </si>
  <si>
    <t>Update Covid-19: Menkes Pastikan 2 WNI Positif, Israel Luncurkan Vaksin</t>
  </si>
  <si>
    <t>RT @KemenkesRI: Sebelumnya, Senin pagi (2/3), bertempat di Istana Negara, Presiden @jokowi telah mengumumkan adanya 2 WNI yang terpapar #COVID19 yakni ibu (64) dan anak (31). #WaspadaCOVID19</t>
  </si>
  <si>
    <t>@aliahsayuti Itulah kondisi negara kita kak, Saat penolakan pemulangan eks ISIS WNI, narasi yg dipake, “demi keselamatan 260jt rakyat” Saat mendatangkan turis China, narasi yg dipake kira2 begini, “demi investasi dan indonesia lebih maju”</t>
  </si>
  <si>
    <t>Dua WNI dinyatakan positif terkena virus korona atau Covid-19. Terkait penyebaran tersebut tidak akan mengganggu insentif Airline yang diberikan pemerintah.</t>
  </si>
  <si>
    <t>RT @KemenkesRI: Kemarin, telah dilaksanakan simulasi pemindahan 69 WNI ABK Diamond Princess dari Bandara Kertajati menuju Pelabuhan PLTU Indramayu oleh KKP Kelas II Bandung dan TNI (1/3). #WaspadaCOVID19</t>
  </si>
  <si>
    <t>RT @KemenkesRI: Siang tadi, Menkes bersama Menko PMK &amp; Menhub telah tiba di Bandara Kertajati, Majalengka dalam rangka meninjau kesiapan bandara untuk menerima kepulangan 69 WNI anak buah kapal Diamond Princess dari Jepang yg dijadwalkan akan tiba di Indonesia malam ini (1/3) #WaspadaCOVID19</t>
  </si>
  <si>
    <t>RT @jr_kw19: Cepat Tanggap Hadapi Corona di Kepulauan Riau 15 orang WNI di Batam jalani ovservasi karena telah berinteraksi dengan warga negara Singapura yang positif corona</t>
  </si>
  <si>
    <t>@kompascom Sebentar lagi ada berita gini nih "Malih Tong Tong pun ikut kaget seperti Ayu Ting Ting mendengar ada WNI yang positif virus corona"</t>
  </si>
  <si>
    <t>Warganet Bingung: Jokowi Umumkan 2 Orang WNI Positif Corona, Kok Denny Siregar Bilang Yang Sebar Isu Corona Jelas-Jelas Binatang ?  @Dennysiregar7 si Tolol dungu berani melawan Paduka @jokowi</t>
  </si>
  <si>
    <t>@kompascom warga depok kaget hanya ayu tingting yang kaget mendengar dua WNI yang kaget positif corona dan dokter2 kaget yang menanganinya</t>
  </si>
  <si>
    <t>Berdasarkan Keputusan Menteri Kesehatan, seluruh biaya pengobatan pasien yang terjangkit corona akan ditanggung oleh pemerintah melalui anggaran Kemenkes, bukan oleh BPJS Kesehatan. #JanganPanik #CoronaVirusIndonesia #corona #COVID19</t>
  </si>
  <si>
    <t>jangankan ayu ting ting, hampir semua orang yang tinggal di Indonesia kaget mendengar dua WNI positif virus corona RT @kompascom: Ayu Ting Ting yang tinggal di Depok, Jawa Barat, kaget mendengar dua WNI yang positif virus corona tinggal di Depok.</t>
  </si>
  <si>
    <t>@minjoojakarta SEGENAP WARGA INDONESIA kaget mendengar dua WNI yang positif virus corona tinggal di Depok. '-')b</t>
  </si>
  <si>
    <t>@bureau_in Js hi ok Isis up sj</t>
  </si>
  <si>
    <t>RT @shabirun_husnum: Apa makna tersirat di balik rentetan pernyataan di bawah ini ; 1. Anis =&gt; Covid-19 sdh di level tertinggi. 2. Terawan =&amp;gt; Bantah Anis 3. Jokowi =&amp;gt; 2 WNI + Covid-19 2024 masih jauh lho ... 😂😂</t>
  </si>
  <si>
    <t>RT @OpsiMetroTV: Presiden @Jokowi umumkan 2 WNI positif terinfeksi corona. Sanggupkah pemerintah jamin #viruscorona tak akan menyebar luas di Indonesia? Apa strategi pemerintah agar tak timbulkan kepanikan di tengah masyarakat? #OPSIMetroTV #IndonesiaTakBebasCorona Senin (2/3) LIVE pkl 20.05 WIB</t>
  </si>
  <si>
    <t>RT @_TNIAL_: OPERASI KEMANUSIAN EVAKUASI ABK WNI MV WORLD DREAM OLEH TNI AL  #jalesvevajayamahe #tnial</t>
  </si>
  <si>
    <t>@JoniSukaPaha @ISIS_Balik_NO Maksudnya Threesome? Wow</t>
  </si>
  <si>
    <t>COVID-19. Dua WNI positif corona. Pintu Bandara terbuka lebar untuk semua tempat wisata.Harga masker melunjak dimana-mana.</t>
  </si>
  <si>
    <t>Supermarket Tip Top di kawasan Rawamangun, Jakarta Timur, dipadati pembeli yang panik setelah dua WNI positif terjangkit virus Corona.</t>
  </si>
  <si>
    <t>Dua WNI Positif Korona, Ini Respons Wishnutama terhadap Pariwisata</t>
  </si>
  <si>
    <t>Wabah Virus Corona, Kemlu Beri Imbauan Perjalanan bagi WNI</t>
  </si>
  <si>
    <t>@detikcom Trus kenapa lagi pesawat yg bawa wni yg sudah jelas dikasih surat sehat dr jepang, dan 238 yg dikarantina 14 hari ternyata sehat. harus juga didisinfektan pak? Kenapa???</t>
  </si>
  <si>
    <t>RT @geloraco: Rumah WNI Positif Corona di Depok Dipasang Garis Polisi</t>
  </si>
  <si>
    <t>@pimamanggala Mungkin sih. Soalnya ingatan gw juga sama kayak lo. Pemerintah aktif traceback dari wn jepang, lalu mereka yang kontak dua wni itu dan dari situ ketahuan mereka positif. Cuman gw cari lagi kok ga kayak gitu...</t>
  </si>
  <si>
    <t>Saya WNI dan bekerja di luar negri, hanya karna dua orang WNI kena virus corona, trus semua WNI lu pikir kena virus corona dong, jadi waras sikit bolehkan. Kan gak semua orang china juga bervirus corona. Bangke!</t>
  </si>
  <si>
    <t>@jokowi Apa ada WNI lain yg terserang corona pak?</t>
  </si>
  <si>
    <t>WNI EX ISIS emg mau dipulangin?!</t>
  </si>
  <si>
    <t>Sesungguhnya, Virus Corona yg udah menular ke dua WNI di Depok gak perlu digede-gedein, apalagi saat semua org pada norak belanja sembako, terus malah nye-tock sembako kek besok mau kiamat. Gak pernah paham sama efek domino sih.</t>
  </si>
  <si>
    <t>RT @kompascom: Warga berbondong-bondorng memborong mie instan hingga berdus-dus setelah Presiden Jokowi mengumumkan ada 2 pasien terinfeksi corona.</t>
  </si>
  <si>
    <t>RT @abu_waras: Presiden Sudah Menyatakan 2 WNI Terinfeksi Corona. Tapi masih saja yang ada yang menganggap bahwa Virus Corona di Indonesia hanya Issue. Dasar Binatang!.</t>
  </si>
  <si>
    <t>@taeran02 "DUA WNI POSITIF VIRUS CORONA, AYU TING TING BELI MASKER SENILAI 2 JUTA"</t>
  </si>
  <si>
    <t>@opposite6890 Mereka merasa terpukul setelah mengetahui bahwa temuan Corona di Indonesia disebabkan karena WNI telah berinteraksi dg WN Jepang sebelumnya. Bukan karena interaksi WNI dg WN China.</t>
  </si>
  <si>
    <t>RT @geloraco: Ada 50 Warga Berbagai Negara Saat WNI Positif Corona Dansa dengan WN Jepang</t>
  </si>
  <si>
    <t>RT @Aryprasetyo85: BREAKING NEWS: @jokowi Umumkan Dua Orang di Indonesia Positif Corona Presiden Jokowi mengumumkan adanya dua orang di Indonesia yg positif terjangkit virus corona Menurut Jokowi,3 WNI itu tersebut sempat kontak dgn warga negara Jepang yg dtg ke Indonesia @My_LoveNebe @cintada17</t>
  </si>
  <si>
    <t>Di gertak isis kaget, digertak corona kaget. Dadi wong kok kagetan. Arah e lo ws kewoco padalan. Mek pengalihan isu omnibus law. Ngono2 ae. Chill bro</t>
  </si>
  <si>
    <t>RT @validnewsco: Virus corona memang telah membuat dunia geger. Di Indonesia sendiri telah ditemukan 2 WNI dinyatakan positif. Perhatian berbagai pihak seolah teralihkan. Namun, jauh sebelum itu, Indonesia sempat pula dibikin pusing merebaknya wabah cacar pada tahun 60an.</t>
  </si>
  <si>
    <t>Spesimen dua WNI positif COVID-19 diperiksa kembali 5 hari lagi</t>
  </si>
  <si>
    <t>Dengan dilaporkannya kasus tersebut, surveilans tracking sudah dilakukan untuk mengetahui riwayat kontak yang bersangkutan. Diketahui bawah pada 14 Februari telah terjadi kontak erat antara WN Jepang dengan WNI tersebut yakni berdansa bersama. #WaspadaCOVID19</t>
  </si>
  <si>
    <t>@zarazettirazr 2 WNI Dinyatakan Positif CORONA</t>
  </si>
  <si>
    <t>Warganet Bingung: Jokowi Umumkan 2 Orang WNI Positif Corona, Kok Denny Siregar Bilang "Yang Sebar Isu Corona Jelas-Jelas Binatang" ?! | PORTAL ISLAM</t>
  </si>
  <si>
    <t>Perkembangan 2 WNI yang Positif Korona, Menkes: Enggak Ada Sesak Napas</t>
  </si>
  <si>
    <t>RT @Nouna_jessica94: Udah di tebak dari awal juga kok , sebenarnya byk negara mencibir Indonesia masalah ini , entah knp Indonesia begitu slow react wabah ini ? Jangan² hmm Kalau kutuliskan disini ntar pada sakit hati ...</t>
  </si>
  <si>
    <t>RT @Nobita_qu: Kementerian Kesehatan berdalih pengujian tidak dilakukan lantaran harga alat pengujian yang mahal. Untuk reagen ditaksir dengan harga kisaran Rp 1 miliar. Alat pengujian lebih mahal dr Nyawa warga negara. #IndonesiaDiAmbangKebangkrutan</t>
  </si>
  <si>
    <t>RT @SalmaBrecht: @ChusnulCh__ @RizmaWidiono Padahal kita tidak menyerang namun kita ngetwett karena kesalahan mereka sendiri dan harus ada tindakan hukum yg tidak berpihak</t>
  </si>
  <si>
    <t>Dibatam masker dan hand sanitizer udah langka sejak kasus awal corona wuhan dan wni yg dikarantina di Natuna :"</t>
  </si>
  <si>
    <t>@ChusnulCh__ @RizmaWidiono Ngeri ya.....bang jawara lapar</t>
  </si>
  <si>
    <t>RT @wow_keren: 2 WNI Positif Corona, DPR Desak Pemerintah Bentuk Crisis Center</t>
  </si>
  <si>
    <t>@kurawa Turut Berduka Cita🙏🙏🙏</t>
  </si>
  <si>
    <t>@a_dnwm W kasihh riwayat ya Semua berawal dari jakarta 1 hari kemudian nyebar pas yang terinfeksi kena corona Brengseekk emang china ama jepangg Ras mata sipit ga tau diri terutama wna ama wna ngaku wni</t>
  </si>
  <si>
    <t>@republikaonline Jadi maunya apa sih? Pada saat pemerintah belum mengumumkan adanya WNI yang terinfeksi dikatakan pemerintah menyembunyikan informasi. Eh pada saat diumumkan, dikatakan tidak ada buktinya. Jadi maunya apa ini para oposisi?</t>
  </si>
  <si>
    <t>Kerasa bgt efek wni positif corona di jkt, hectic dmn mana</t>
  </si>
  <si>
    <t>RT @tribunnews: WNI Positif Corona Lakukan Dansa Saat Acara Valentine, Manager Restoran Pastikan Karyawannya Steril  via @tribunnews</t>
  </si>
  <si>
    <t>RT @kompascom: Warga Depok bertemu WN Jepang dalam kegiatan dansa yang diselenggarakan di restoran bergaya Meksiko di Kemang.</t>
  </si>
  <si>
    <t>RT @pilightful: ⚠2 WNI positif corona⚠ org indo : nyetok indomie.</t>
  </si>
  <si>
    <t>RT @Andini_932: Dear pak @jokowi 🙏 Anak2 ISIS Ex WNI SEDANG di PERSIAPKAN untuk KEMBALI ke TANAH AIR dan DISAMBUT PEMERINTAH dengan PEMENUHAN SEGALA KEBUTUHANNYA sampai DEWASA .... #Indonesia CC : @Hanifah933</t>
  </si>
  <si>
    <t>RT @JiwasrayaGate: WNI Positif Virus Corona Tinggal di Perumahan Studio Alam Depok</t>
  </si>
  <si>
    <t>RT @peachandpeony97: Monggo yang lagi di Jepang atau mau ke Jepang terus pengen tau gimana keadaan sebenernya di Jepang sekarang. Aku ambil dari instagramnya Bu Iresh, WNI yg udah tinggal di Jepang selama 21 tahun. Credit to @/tokushige_iresh (Instagram)</t>
  </si>
  <si>
    <t>RT @almaasyifa7x: CORONA DI INDONESIA Saat ini gua lagi nonton Breaking News dan Presiden Jokowi sudah mengumumkan jika ada dua orang WNI yang POSITIF terkena virus corona setelah melakukan kontak dengan WN Jepang. Dua pasien WNI yang terjangkit berasal dari Depok</t>
  </si>
  <si>
    <t>Tidak hanya berikan himbauan terkait pencegahan #COVID19, Dubes RI Addis Ababa, AL Busyra Basnur, dan para WNI di Hawassa, #Ethiopia, lakukan nonton bersama film Indonesia. Terima kasih Century Garment, Plc. @Kemlu_RI RT @RakyatMerdeka99: Lepas Rindu, Dubes dan WNI Ethiopia Nonton Bareng Film Surat dari Praha @IndoEthio #Ethiopia #NontonBareng #WNI #SuratdariPraha #RakyatMerdeka #BacaKoranRM</t>
  </si>
  <si>
    <t>RT @Hmmurahmurahhm2: #IndonesiaDiAmbangKehancuran #IndonesiaDiAmbangKehancuran Presiden Mengumumkan Sendiri Dua WNI Terinfeksi Virus Corona,</t>
  </si>
  <si>
    <t>kena corona setwlah berdansa, hatiy hatiy @__karokekarokoe</t>
  </si>
  <si>
    <t>RT @KompasTV: BREAKING NEWS: Presiden Jokowi Umumkan 2 WNI Positif Corona</t>
  </si>
  <si>
    <t>2 WNI Positif Corona, Ganjar Minta Perketat Pintu Masuk ke Indonesia dan #Jateng #klikRMOL</t>
  </si>
  <si>
    <t>RT @OposisiCerdas: 2 WNI Positif Virus Corona, Faizal: Menkes Selama ini Tidak Jujur</t>
  </si>
  <si>
    <t>RT @___MrJuna____02: Mantri vekok, kalo nular emang loe tanggung jawab???🔨🔨🔨</t>
  </si>
  <si>
    <t>RT @CNNIDdaily: #BreakingNews Presiden @jokowi menyatakan, bahwa orang Jepang ke Indonesia bertemu dengan WNI berumur 31 tahun, dan ibunya 64 tahun. Setelah melakukan pemeriksaan, hasilnya kedua WNI tersebut positif corona.</t>
  </si>
  <si>
    <t>RT @7HYRSUS: ngga related to bts, tapi karena sudah ada WNI yang dikonfirmasi positif terkena virus corona, ini ada penjelasan mengenai penyebaran virus dan cara pencegahannya. bantu sebar ya, semoga kita semua selalu sehat💖</t>
  </si>
  <si>
    <t>RT @AnakLolina: Harus di akui dong kalau kita belum miliki alat yang mampu mendeteksi vCorona,. WN Jepang itu sudah terjangkit virus, namun di Bandara tak terdeteksi. Lalu saat di rumah sakit, pasien hanya sarankan rawat jalan, artinya kita kecolongan dimana-mana.</t>
  </si>
  <si>
    <t>RT @Metro_TV: RSPI Sulianti Saroso merawat dua WNI positif terjangkit virus covid-19. RSPI Sulianti Saroso membagi tiga zona dalam CFD, yaitu zona merah, zona kuning serta zona hijau. Zona merah artinya tidak ada yang boleh masuk ke dalam zona tersebut kecuali tim medis. #PrimetimeNews</t>
  </si>
  <si>
    <t>Dansa yok Penularan dansa ! Virus Corona ke 2 WNI asal Depok, SAAT Acara dansa dgn WN Jepang, di Restoran Amigos di Kemang JAKSEL!  @m_yanto_baemo @LisdiyantoR @Oetaryo7 @cahangon88 @marsonom97 @Barna_byo @Bubut871 @yogo_prst @novapermana8</t>
  </si>
  <si>
    <t>JADI PENASARAN NIH DUA WNI YANG DI VONIS TERJANGKIT VIRUS CORONA POSITIF HARUS CEK UP ULANG LAGI BEBERAPA KALI LAGI JANGAN HANYA ANDALKAN PERNAH CEK UP DIMALAYSIA DI VONIS TERJANGKIT VIRUS CORONA POSITIF DAN JADI DISEBUT POSITIF JUGA JADI HARAP TEAM MEDIS UNTUK CEK UP ULANG 2 WNI</t>
  </si>
  <si>
    <t>RT @Metro_TV: Wali Kota Depok, Muhammad Idris mengatakan tim nya sudah melakukan pengecekan ke alamat tempat tinggal WNI yang positif covid-19. Pemerintah Kota Depok juga tengah melakukan pendalaman mengenai siapa saja yang sudah melakukan kontak dengan 2 WNI tersebut. #MetroHariIni</t>
  </si>
  <si>
    <t>RT @DNK_TV: BREAKING NEWS "Dua WNI Positif Corona di Wilayah RI" #CoronaVirusUpdate #coronavirus #DNKNews</t>
  </si>
  <si>
    <t>RT @zarazettirazr: Kedutaan2 besar RI di beberapa negara telah melakukan KEGIATAN bagi masker Gratis ke WNI Apakah di Indonesia akan ada kegiatan yg sama? Semoga pemprov pemda terkait bisa mengorganisir ini Dan ga berharap pada pemerintah PUSAT</t>
  </si>
  <si>
    <t>IHSG Terpangkas Pasca Diumumkan Dua WNI Positif Covid-19 Senin, 2 Maret 2020 Kanal Ekonomi</t>
  </si>
  <si>
    <t>RT @RadioElshinta: Menteri Kesehatan RI, Terawan Agus Putranto menyatakan 2 WNI yang positif Corona Covid 19 adalah warga Depok, Jawa Barat. (Bai) #BreakingNews #CoronaVirusUpdate</t>
  </si>
  <si>
    <t>Sudah tau niis dan ISIS itu teroris kenapa suruh pulang. RT @UstadzWaloni: Fitnah aje lu...menurut laporan PBB NIIS itu melalukan genosida terhadap Yazidi, agama yg mereka anut sinkretisme. Semua negara Arab sdh mencap NIIS sbg teroris, sebaliknya pemerintah India belum mencap hindutva sbg gerakan ekstrimis.</t>
  </si>
  <si>
    <t>@Dennysiregar7 @jokowi Wahh, pagi setelah presiden @jokowi menyatakan ada WNI terkena virus corona ada yg twit yg sebarkan isu Corona adalah binatang. Tolong akun @Dennysiregar7 ditindak @DivHumas_Polri. Ini penghinaan kepala negara @jokowi.</t>
  </si>
  <si>
    <t>Catat! Ini 100 Rumah Sakit Rujukan Virus Corona di Indonesia . Pemerintah Indonesia mengumumkan adanya dua kasus virus corona di Indonesia. Keduanya merupakan WNI yang tinggal di Depok, Jawa Barat. . #CoronaVirusIndonesia</t>
  </si>
  <si>
    <t>RT @ibuibuyakult: guys seriously, enough with all the 'kepedean' memes. udah ada yang positif kena, nih. kemana2 harus pake masker pokoknya! terus jangan lupa minum air putih banyak2, bawa hand sanitizer kemana2 jugaak</t>
  </si>
  <si>
    <t>Terungkap, WNI Positif Virus Corona adalah Guru Dansa WN Jepang Terungkap, WNI Positif Virus Corona adalah Guru Dansa WN Jepang</t>
  </si>
  <si>
    <t>Di timeline lagi rame ada wni yg postitif kena virusnya. Jadi kepikiran sama keluarga di rumah, bikin hati gak tenang pengen ceoet pulang😢</t>
  </si>
  <si>
    <t>Semenjak ada berita wni positif corona, harga masker kini seperti harga skincare kelas atas:")</t>
  </si>
  <si>
    <t>RT @kompascom: Berikut cara melindungi diri agar tak tertular virus yang bermula di kota Wuhan itu, dilansir dari WHO</t>
  </si>
  <si>
    <t>@tjhinfar21 @jokowi @mohmahfudmd BIJAK bukan berarti harus menerima kelompok ISIS sekaligus EMBRIONYA. . BIJAK adalah sangat mengedepankan kepentingan BANGSA YG BESAR. . CORONA masih hangat, jangan lagi bawa PENYAKIT BARU lagi. . #tolakpulangkankombatanisis</t>
  </si>
  <si>
    <t>Di insragram banyak follow akun berita, jdi sekarang buka instagram isiny corona semua yg tulisanny sama "2 WNI positif corona, tertular dri orang Jepang" Aku sampe hapal isi beritany :(</t>
  </si>
  <si>
    <t>Baru baca di line tudey kalo wni yang pulang dari cina ga di tes korona karena ga munculin gejala 😭😭😭</t>
  </si>
  <si>
    <t>RT @zarazettirazr: FYI kata menkes bukan kata gue ya "Dia (WN Jepang) itu guru dansa. Dia dansa dengan teman dekatnya itu pada 14 Februari," kata Menkes Terawan di Rumah Sakit Penyakit Infeksi Prof. Dr. Sulianti Saroso, Senin (2/3/2020).</t>
  </si>
  <si>
    <t>@reynold_prima @ratu_adil @ghannyaz @VeronicaKoman @joshuawongcf ISIS itu False Flag Operation pihak Elit Global utk justifikasi pembenaran Perampokan SDA atas negara target !</t>
  </si>
  <si>
    <t>Pasca dpt info ada wni yg positif corona, dpt broadcast foto dari berbagai macam grup yg nampilin org2 pada belanja stock makanan, sabun, tisu dll. Gw jd mikir, org2 yg ga punya duit tabungan untuk beli stok makanan gimana yah? 😌 Iya. Terkadang kita seegois itu.</t>
  </si>
  <si>
    <t>RT @kenhans03: Pantesan.... banyak yg GETOL ingin Eks ISIS dipulangkan.. Mau diajak lomba... @MardaniAliSera @fadlizon</t>
  </si>
  <si>
    <t>RT @DanielArmy97: Berdoa untuk kesembuhan dua wni ini dan kesehatan seluruh penduduk indonesia</t>
  </si>
  <si>
    <t>RT @anjarisme: Menkes Terawan memastikan kesiapan penjemputan WNI ABK Diamond Princess di Bandara Kertajati #covid19Indonesia #COVID2019</t>
  </si>
  <si>
    <t>RT @HalodocID: 2 WNI dikabarkan terjangkit virus Corona (COVID-19). Yuk, waspada! Berikut aku share juga perbedaan antara corona vs flu biar kamu gak keliru. Kalau mau tanya informasi seputar corona lainnya , langsung #TanyaDokterAli di Halodoc. Kami siap jadi #TemanHidupSehat mu! 💪</t>
  </si>
  <si>
    <t>@jokowi Yg pertama deteksi klo warga negara Jepang kena corona adl Malaysia baru ditelusuri tnyata pernah ke Indonesia.. Brrti klo Malaysia gak ngumumin bhwa wrg negara jpng kena corona bisa jd sbnrnya 2 wni kena corona tdk terdeteksi n menular.Jng" tdk hnya 2 org mungkin bisa bnyk lg</t>
  </si>
  <si>
    <t>RT @Bangzul__88: Pasukan Demokratik Suriah (SDF) telah mengumumkan, bahwa ISIS telah kalah perang. Tapi jangan bersenang hati dulu, Di Indonesia pun jumlah mereka masih sangat banyak, belum lagi ada anak eks ISIS yg akan dipulangkan. #MenolakLupaKejahatanISIS #MenolakLupaKejahatanISIS</t>
  </si>
  <si>
    <t>Dua Orang WNI Positif Corona, Gubernur Isran Noor Minta Masyarakat Kaltim Waspada</t>
  </si>
  <si>
    <t>RT @siKartikaRibet: Mau ngadain giveaway 10k aja untuk pengguna ovo untuk 1 orang pemenang diundi nanti sore, cukup RT tweet ini, aku seneng WNI di sana dalam keadaan sehat dan Indonesia dijauhkan dari virus corona. aamiin</t>
  </si>
  <si>
    <t>RT @andpha81: Berhubung dgn kabar dari Presiden bahwa 2 WNI di Depok terjangkit virus Covid-19/dikenal Corona,gue mau coba kumpulin pendapat Fans JKT48,karena sedikit lagi kita tau ada event HSF,karena banyak pendapat dan opini berbeda. Klo ada pilihan lain &amp; alasan reply aja.</t>
  </si>
  <si>
    <t>RT @habibthink: Di tengah adanya WNI yang terkena virus corona, @aniesbaswedan masih ngotot ingin menggelar Formula E di Monas?</t>
  </si>
  <si>
    <t>@MAhmadiyah @BambiPutra @sipetir212 @dinisalimiah14 @YuanaRyanTresna Maksud pemaksaan itu : - Syiah : Khilafah itu hanya tegak dg Khalifah Imam 12. - Ahmadiah : Khalifah itu Mirza Ghulam Ahmad, dan HARUS berbaiat kpdnya. - ISIS : Khilafah telah tegak, dan semua muslimin harus baiat kpd Khalifah mereka Al Baghdadi</t>
  </si>
  <si>
    <t>RT @Metro_TV: Sebanyak 69 WNI ABK Diamond Princess telah bertolak dari Pelabuhan PLTU Indramayu menuju Pulau Sebaru Kecil, Kepulauan Seribu. Pengamanan di sekitar Pulau Sebaru Kecil pun diperketat jelang kedatangan 69 WNI. #BreakingNewsMetroTV</t>
  </si>
  <si>
    <t>Berdoa harus, takabur jangan. TERKONFIRMASI dua WNI positif Corona. Entah mendeteksinya dg metode apa mengingat peperintah enggan membeli Reagen. IMHO. RT @MarikaRahman_: Berapa kasus SARS di Indonesia pada tahun 2002: 2 Berapa kasus MERS di Indonesia pada tahun 2012: Nol Berapa kasus Covid19 di Indonesia pada tahun 2020: belum ada yang terkonfirmasi Semoga Indonesia terbebas juga dari Covid19 ... Ketiga virus ini satu family CORONAVIRIDAE ...</t>
  </si>
  <si>
    <t>RT @Metro_TV: #PrimeTimeNewsMetroTV Kepala Lembaga Biologi Molekuler Eijkman, Amin Soebandrio sebut Pemerintah harus tingkatkan surveilans track dimana dapat memastikan 2 WNI positif tidak menyebarkan virus dan seluruh orang yang terlibat kontak, harus di-observasi.</t>
  </si>
  <si>
    <t>RT @geloraco: Tukang Kebun di Rumah WNI Positif Corona Disemprot Lalu Dibawa ke RSPI</t>
  </si>
  <si>
    <t>@rmol_id Indonesia KECOLONGAN.... Warga Negara JEPANG Penderita Virus CORONA: Masuk &amp; Keluar Indonesia tdk Terdeteksi, WNI yg tertular diduga dari Tgl. 14 Feb.2020 hingga kemarin baru diketahui krn Penderita memberi tahu? @jokowi @KemenkesRI @ditjen_imigrasi @GPRindonesia @Dr_Moeldoko</t>
  </si>
  <si>
    <t>RT @validnewsco: Warga Negara Indonesia (WNI) yang positif terinfeksi ditenggarai terpapar virus Covid-19 di klub dansa Paloma dan Amigos di Jakarta. #ValidNih #CoronaVirusIndonesia</t>
  </si>
  <si>
    <t>COBA YA ANJ LGI GINI TU KNP MALAH DIMAHALIN SI HARGA MASKERNYA? NIAT BANTU SESAMA WNI GA SIH ANJ:(</t>
  </si>
  <si>
    <t>RT @beginu: Ini Pengumuman Lengkap Jokowi soal 2 WNI Positif Corona</t>
  </si>
  <si>
    <t>RT @hrdbacot: Dua oramg WNI sudah diumumkan terjangkit corona, mohon tetap jaga kebersihan dan kesehatan yah teman-teman, termasuk di lingkungan kerja :)</t>
  </si>
  <si>
    <t>RT @KompasTV: Menkes Terawan menjelaskan WN Jepang yang menularkan virus corona sempat berdansa bersama 2 WNI pada tanggal 14 Februari 2020. #CoronaVirusIndonesia Baca selengkapnya di</t>
  </si>
  <si>
    <t>#PrimeTimeNewsMetroTV Kepala Lembaga Biologi Molekuler Eijkman, Amin Soebandrio sebut Pemerintah harus tingkatkan surveilans track dimana dapat memastikan 2 WNI positif tidak menyebarkan virus dan seluruh orang yang terlibat kontak, harus di-observasi.</t>
  </si>
  <si>
    <t>RT @vivanewscom: Dua WNI Positif Corona, Pemerintah Diminta Perketat Bandara  #vivanews</t>
  </si>
  <si>
    <t>wow baru juga hari ini ada kabar WNI kena corona, hidungku langsung gaena wkwkw</t>
  </si>
  <si>
    <t>@jenk_kelinn Gawat nih kota ane🤦🏼‍♂️ Kalo pemerintah anggap enteng kasus ini, bisa KOSONG ini Batam 😭😭😭</t>
  </si>
  <si>
    <t>RT @KATADATAcoid: Virus corona akhirnya menginfeksi dua WNI di Depok, Jawa Barat. Selain mencuci tangan, Kementerian Kesehatan Singapura sempat mengungkapkan pentingnya membersihkan ponsel secara teratur untuk mencegah penyebaran covid-19.</t>
  </si>
  <si>
    <t>Dua WNI Positif Corona, Pemerintah Diminta Perketat Bandara  #vivanews</t>
  </si>
  <si>
    <t>RT @idn_cf: Corona dan ISIS itu sama2 berbahaya, Corona harus DiCEGAH bersama sedangkan ISIS harus DITOLAK bersama</t>
  </si>
  <si>
    <t>Sebanyak 70 tenaga medis dari sebuah Rumah Sakit di Depok terpaksa dirumahkan. Keputusan tersebut diambil demi mencegah penyebaran virus korona atau COVID-19 di kawasan Depok. #Depok #Covid19 #Corona #Korona #Virus</t>
  </si>
  <si>
    <t>RT @anjarisme: Keterangan Pers Presiden RI Terkait Dua WNI Positif Korona, Istana Merdeka, 2 Maret 2020  #COVID19 #covid19Indonesia</t>
  </si>
  <si>
    <t>RT @OposisiCerdas: WNI Positif Virus Corona Tinggal di Perumahan Studio Alam Depok</t>
  </si>
  <si>
    <t>@rtri_2512 Aku doakan balik dengan selamad yeu^^ klo nikah aghu di undang ga? :v Btw mksih infonya, hue Dri tdi mantengin Snap IG orng, pd bhs WNI yg kena Corona:( Jdi panik sndiri hrus ngapain:( Mna aku msih sklh jga:( hue</t>
  </si>
  <si>
    <t>RT @twitpos: BREAKING NEWS: Jokowi Umumkan Dua Orang di Indonesia Positif Corona Menurut Jokowi, dua WNI itu tersebut sempat kontak dengan warga negara Jepang yang datang ke Indonesia. #CoronaVirusIndonesia</t>
  </si>
  <si>
    <t>RT @UtuhWibowo: WNI Positif Corona, Menteri Kesehatan Terawan: Yang Sehat Enggak Usah Pakai Masker Jujur saya bingung, bukannya mencegah itu lebih baik dari mengobati? Bagaimana tanggapannya dok @dr_koko28 @LisaAmartatara3 @berlianidris @NilamZulaika @nirwan_anestesi?</t>
  </si>
  <si>
    <t>4 Fakta 2 WNI Positif Virus Corona: Tertular saat Dansa di Hari Valentine  #DariSuara</t>
  </si>
  <si>
    <t>@FerdinandHaean2 @KemenkesRI @aniesbaswedan Presiden @jokowi Umumkan 2 WNI Positif Corona. ￼Gelora News 2 Maret 2020 @Ferdinand_Haean</t>
  </si>
  <si>
    <t>WNI Positif Corona Diisolasi di Gedung Terpisah di RSPI</t>
  </si>
  <si>
    <t>Di rumah WNI yang positif virus corona di Depok, selain memasang garis polisi, asisten rumah tangga di rumah itu juga dievakuasi.</t>
  </si>
  <si>
    <t>Ridwan Kamil juga mengimbau agar masyarakat tetap tenang dan tidak panik menyikapi kepastian dua WNI yang dinyatakan positif terjangkit virus corona.</t>
  </si>
  <si>
    <t>2 WNI Positif Corona, Harga Masker Naik dari Rp 35 Ribu Jadi Rp 350 Ribu  #DariSuara</t>
  </si>
  <si>
    <t>Sampai kapan negara tetap diskriminatif terhadap korban bom karena ulah para ekstrimis kanan ISIS? Tapi negara begitu antusias menyambut dan memfasilitasi kebutuhan anak2 ISIS Eks WNI dari Suriah. Kebutuhan sandang papan mereka dipenuhi oleh negara.</t>
  </si>
  <si>
    <t>Heboh 2 WNI Positif Corona, Kadinkes Karimun Segera Gelar Rapat, Thermal Scanner Dipasang di Pelabuhan Domestik</t>
  </si>
  <si>
    <t>RT @hincapandjaitan: #BreakingNews Presiden @jokowi mengumumkan bahwa Dua WNI telah Positif mengidap Corona. Kedua pasien tersebut sudah dikirim ke Rumas Sakit Pusat Infeksi Sulianti Saroso. Tetap jaga kesehatan untuk semuanya, perkaya diri dengan pengetahuan pencegahan Virus Corona yang tepat.</t>
  </si>
  <si>
    <t>RT @Julia_Zeed: Pemerintah Negara Indonesia gak pernah ngurusin Ity ya? Anak Korban Bom Cc Bapak2 @jokowi @BNPTRI @mohmahfudmd @DPR_RI 👇👇👇👇 Penting mana Anak ISIS drpd ANAK INDONESIA? 👇👇</t>
  </si>
  <si>
    <t>RT @setkabgoid: 2 WNI Positif Terkena, Presiden Tegaskan Keseriusan Pemerintah Tangani Virus Corona</t>
  </si>
  <si>
    <t>Komisi Perlindungan Anak Indonesia, yg akhir-akhir ini jarang melindungi Anak Indonesia. Malah ngurusin Anak Eks ISIS, membela pelaku bullying, sampai sperma ngapung di kolam Mari berbasa basi bersama saya di #Pepstalk</t>
  </si>
  <si>
    <t>@farhandamarr Wni e bai yg terinfeksi tak🤦‍♀️</t>
  </si>
  <si>
    <t>Jokowi Nyatakan 2 WNI Positif Corona, Harga Maskerpun Ikut Meroket</t>
  </si>
  <si>
    <t>RT @tempodotco: Kepala Dinas Kesehatan Jawa Barat, Berli Hamdani Gelung Sakti, mengatakan saat ini timnya sedang menuju Depok untuk melacak semua orang yang pernah bersinggungan dengan 2 WNI positif corona. #CoronaVirusIndonesia</t>
  </si>
  <si>
    <t>RT @RRIPrograma3: Saat ini berlangsung konferensi pers langsung dari Rumah Sakit Sulianti Suroso terkait dua WNI terpapar virus corona . Dengarkan sekarang hanya di #IndonesiaSiang Pro 3 RRI.</t>
  </si>
  <si>
    <t>RT @demokrasicoid: WNI Kena Corona ke RS Mitra Keluarga Depok, 70-an Tenaga Medis Dirumahkan</t>
  </si>
  <si>
    <t>RT @KATADATAcoid: .@kemenhub151 belum akan membatasi operasional transportasi umum seiring dengan adanya dua orang WNI yang terpapar virus corona.</t>
  </si>
  <si>
    <t>Kronologi Lengkap 2 WNI Terinfeksi Virus Corona di Indonesia, Ada Kontak Langsung dengan WN Jepang</t>
  </si>
  <si>
    <t>RT @tempodotco: Presiden Joko Widodo mengakui bahwa sudah ada kasus positif virus corona di Indonesia. #CoronaVirusIndonesia</t>
  </si>
  <si>
    <t>RT @emakWulan: Presiden @jokowi umumkan 2 WNI positif Corona 😳😳😳 Mulai hati2 ya sahabaaat...</t>
  </si>
  <si>
    <t>RT @stephaniezen: Gue tuh kzl banget kalo netijen udah nyalah-nyalahin: "Ini gara-gara warga negara A/B/C nih yang nularin makanya WNI kena COVID-19!!" Yakali ada yg dengan sukarela pengen kena corona cuma demi sengaja nularin ke Indonesia 🤯🤦🏻‍♀️</t>
  </si>
  <si>
    <t>emang bener2 warga +62, disebarin alamatnya, abis itu wartawan nyerbu rumahnya, abis itu tidak lama muncul berita : "ini penampakan rumah WNI terinfeksi virus corona" "begini kondisi rumah WNI terinfeksi virus corona" terus lagi sakit diwawancarai hhhaaaahhh tidak bermutu :(((( RT @handokotjung: Nyebarin alamat pasien Korona di group Whatsapp buat apaan? Mau ngirim mail time?</t>
  </si>
  <si>
    <t>semoga jajaran yg berwenang bisa segercep mungkin nelusurin siapa2 aja yg udah kontak sama 2 WNI yg positif corona. karena termasuk 'a bit late' baru ke detect skrg, takutnya si ibu anak ini udah kontakan sm banyak orang, terus nyebar kemana mana. serem kalo kasusnya kek di Korea</t>
  </si>
  <si>
    <t>(( 2 Wni kena corona kontak sama warga negara jepang )) (( jepang )) Anjir untung kak Ryan uda pulang dari Kyoto😭😭 Kalian semua semoga ga kenapa napa ya😭 💜 jaga kesehatan♥♥</t>
  </si>
  <si>
    <t>RT @kompascom: Penularan penyakit endemik dari Kota Wuhan, China, ini tergantung pada imunitas masing-masing orang. "Kalau tidak ada keluhan, tidak ada yang dirasakan, ya tidak ada masalah. Orang ini kayak flu biasa juga, cuma ini namanya corona," ucap Terawan | #Covid19</t>
  </si>
  <si>
    <t>"Dia dansa dengan teman dekatnya, tanggal 14 Febuari," kata Terawan seusai menengok kedua pasien tersebut di RSPI, Senin (2/3/2020).  #CoronaVirusIndonesia #COVID19indonesia</t>
  </si>
  <si>
    <t>RT @okezonenews: 2 WNI Positif Korona, DPR Minta Pemerintah Buat 'Crisis Center' #TauCepatTanpaBatas #BeritaTerkini #Berita #News #BeritaNasional .</t>
  </si>
  <si>
    <t>RT @geloraco: 2 WNI Positif, Indonesia Resmi Masuk Peta Sebaran Virus Corona Sedunia</t>
  </si>
  <si>
    <t>@FerdinandHaean2 Konten apa bro2,org dr kmren pd nutupin baru skrg ngumumin ada wni kena corona baru lo percaya yg kmren2 lu bilang hoax,gini nih yg bikin suara demokrat anjlok dan pak @SBYudhoyono pasti malu nih pny kader sprt anda yg tdk rasional</t>
  </si>
  <si>
    <t>2 WNI Terjangkit Corona, Masker Ludes-Hand Sanitizer di Surabaya Ludes  #CoronaVirusUpdate</t>
  </si>
  <si>
    <t>RT @FadhilFirdausi: IKI LHO Selama mereka dikarantina di natuna itu mereka juga diobservasi langsung sama WHO. Yang artinya apa yang dilakukan pemerintah itu udah sesuai prosedur.</t>
  </si>
  <si>
    <t>RT @fadjroeL: Yuk seluruh rakyat Indonesia, mari kita semua bergotong-royong MENCEGAH Covid-19 dengan menjaga diri &amp; keluarga. Presiden @jokowi sudah menyelamatkan WNI dari Hubei RRT, World Dream &amp;amp; Diamond Princess. Tugas kita bersama MENCEGAH Covid-19 ~ FR #Jubir #BungJubir @JubirPresidenRI</t>
  </si>
  <si>
    <t>WNI Kena Corona ke RS Mitra Keluarga Depok, 70-an Tenaga Medis Dirumahkan</t>
  </si>
  <si>
    <t>RT @JohnIrwan4: Tolak Eks ISIS Pulang Said Aqil: Quran Perintahkan Nabi Usir Pembuat Gaduh</t>
  </si>
  <si>
    <t>terungkap-238-wni-dari-wuhan-tak-dites-corona-karena-alatnya-mahal</t>
  </si>
  <si>
    <t>Setelah muncul pemberitaan tentang adanya WNI yg terjangkit virus corona. Langkah apa yg akan diambil pemerintah? Apakah beberapa orang akan lebih mementingkan keselamatan banyak orang atau kepentingan segelintir orang ?</t>
  </si>
  <si>
    <t>2 WNI Positif Terjangkit, Presiden Tegaskan Keseriusan Pemerintah Tangani Wabah Korona</t>
  </si>
  <si>
    <t>RT @missqueeeeeeeen: Tolong, buku ini ditulis 1981. Tapi kok udah tau tentang corona dan wuhan? INI BENER APA GIMANA SIH?!! Bingung asli🤔 #CoronaVirusIndonesia #CoronaVirusUpdate</t>
  </si>
  <si>
    <t>Hahahah kebodohan awal bulan... Dalam perjalanan selalu 'ada2 ajasih, kenapa sih' Wkwkwk, geli sendiri. Belum jadi wni yg baik🤣🤣😭😭😭😭</t>
  </si>
  <si>
    <t>RT @yekasutikno87: @detikcom @jokowi @detikTravel WNI yg positif #corona di Depok, kontak dgn Warga negara Jepang yg positif corona, 14 Februari. Setelah itu ia mengalami gejala lalu berobat. Ibunya tertular tgl 22 Februari. Pertanyaannya : dari 14 februari, mereka sudah kontak dan sudah kemana saja? #CoronaVirusIndonesia</t>
  </si>
  <si>
    <t>RT @fadjroeL: Presiden Joko Widodo didampingi Menteri Kesehatan dr. Terawan hari ini Senin (2/3) mengumumkan bahwa ada dua orang WNI positif Covid-19 setelah bertemu warga negara Jepang yang baru diketahui mengidap Covid-19 pada pengecekan di Malaysia. @JubirPresidenRI #CoronaVirusIndonesia</t>
  </si>
  <si>
    <t>RT @kompascom: Mencuci tangan dengan benar Ini adalah hal paling sederhana dan efektif dalam mencegah penyebaran virus SARS-CoV-2 | #CoronaVirusUpdate #COVID19</t>
  </si>
  <si>
    <t>Presiden Jokowi menyatakan dua WNI positif terkena virus corona. Dua WNI ini adalah seorang ibu berusia 61 tahun dan putrinya yang berusia 31 tahun. #NewsOneMinute #VirusCorona</t>
  </si>
  <si>
    <t>RT @eko_kuntadhi: Akhirnya tentara Allah menyerang Indonesia...</t>
  </si>
  <si>
    <t>Seperti kata Pak Menteri, tertular saat berdansa di tanggal 14/2. Tepat hari valentine? "Dia (WN Jepang) itu guru dansa. Dia dansa dengan teman dekatnya itu pada 14 Februari," kata Menkes Terawan.</t>
  </si>
  <si>
    <t>RT @arieskradianto: BREAKING NEWS! Dua wni positif terjangkit virus corona. Untuk teman2 semua hati2 ya!! Jaga kebersihan, jangan lupa cuci tangan pakai sabun. Stay safe everyone. Semoga virusnya tidak menyebar luas lagi. #COVID19indonesia</t>
  </si>
  <si>
    <t>RT @Metro_TV: Presiden @jokowi mengumumkan dua orang di Indonesia positif terjangkit virus corona. Keduanya merupakan ibu dan anak berusia 64 tahun dan 31 tahun. Dua WNI ini sempat kontak dengan warga negara Jepang yang terjangkit corona. #BREAKINGNEWSMETROTV</t>
  </si>
  <si>
    <t>lg rame wni kena corona, barusan aja terima part langsung dr shanghai. hm</t>
  </si>
  <si>
    <t>@tawajkt Itu pun karena org jepang yg terkena corona menelepon WNI bahwa dia dirawat karena kena covid 19. Dan WNI tsb memberitahukan ke dokter ttg hal tsb</t>
  </si>
  <si>
    <t>Jokowi Sebut 2 WNI Positif Corona</t>
  </si>
  <si>
    <t>Presiden @jokowi Umumkan 2 WNI Positif Corona. ￼Gelora News 2 Maret 2020</t>
  </si>
  <si>
    <t>RT @SachaStevenson: Mengenai corvid 19 di Indonesia... Article ini bikin khawatir:</t>
  </si>
  <si>
    <t>RT @gitskuyz: @ahmadbaal diterima laporan kasus Pengawasan COVID-19 di Kota Depok Provinsi Jawa Barat pada tanggal 1 Maret 2020 2 kasus tanpa kematian Kasus 1 NT/31 th/Pr (WNI) Alamat : Perum Studio Alam Indah, A.2/9, Depok Gejala: batuk, sesak, demam Kronologi: 14 Februari ikut dalam</t>
  </si>
  <si>
    <t>Menkes Terawan Sebut 2 WNI Positif Corona Tinggal di Depok</t>
  </si>
  <si>
    <t>Presiden Jokowi Sebut 2 WNI Positif Terjangkit Virus Corona di Indonesia</t>
  </si>
  <si>
    <t>Ya Allah merinding banget denger berita WNI udah positif corona, mana warga depok lagi. Pantesan nyari masker mulut dimana2 kosong gak ada. Semoga gak ada lagi yg terjangkit Ya Allah, lindungilah kami semua. Aamiin. . .</t>
  </si>
  <si>
    <t>@AbdulhakimFikri cara paling murah buat wni sebenernya dengan daftar asuransi di singapore, lebih tercover dan tindakan lengkap, terutama kalau udah di rujuk ke rs mount elizabeth. tokcer punya.</t>
  </si>
  <si>
    <t>@JUNGH0SEOK_BTS Isis pacarnya diego bang?</t>
  </si>
  <si>
    <t>@detikcom @jokowi @detikTravel WNI yg positif #corona di Depok, kontak dgn Warga negara Jepang yg positif corona, 14 Februari. Setelah itu ia mengalami gejala lalu berobat. Ibunya tertular tgl 22 Februari. Pertanyaannya : dari 14 februari, mereka sudah kontak dan sudah kemana saja? #CoronaVirusIndonesia</t>
  </si>
  <si>
    <t>RT @TrisulaID: Terdapat dua orang WNI yang positif terjangkit virus Corona, yakni seorang ibu yang berumur 64 tahun dan putrinya yang berumur 31 tahun. "Ternyata orang yang terkena virus corona berhubungan dengan dua orang, ibu 64 tahun dan putrinya 31 tahun. Cek tim kita ternyata (cont.)</t>
  </si>
  <si>
    <t>@Readfar mendukung isis, al nusra, alqaida. meneror negara lain, trus cinta damai. para penipu dan sampah peradaban.</t>
  </si>
  <si>
    <t>#News: Dua WNI Positif Terjangkit, Presiden Tegaskan Keseriusan Pemerintah Tangani Wabah Korona  | Kabar Tangsel</t>
  </si>
  <si>
    <t>BREAKING NEWS!! PEMERINTAH INDONESIA MENGUMUMKAN 2 WNI POSITIF VIRUS CORONA  lewat @YouTube</t>
  </si>
  <si>
    <t>RT @kompascom: Jokowi menjelaskan bahwa dua orang WNI itu sempat kontak dengan warga negara Jepang yang terjangkit virus corona, saat dia berada di Indonesia - #Nasional</t>
  </si>
  <si>
    <t>RT @PRFMnews: Ada Dua WNI Positif Terjangkit Corona, Emil Ingatkan Dua Hal ini</t>
  </si>
  <si>
    <t>Kemaren aja so soan,, corona lewat corona lewat. Pas di umumin wni 2 org positif corona virus, panik lahir batin dari sabang sampai merauke. . . Disir +62</t>
  </si>
  <si>
    <t>RT @ajisaidiqbal: Ngakak banget WNI yang kena corona ketularan virus waktu joget2 valentine sama WN Jepang di amig*s😂😂😂 lu pada yang pernah joget di senop 2 minggu terakhir better watch urself😂😂😂</t>
  </si>
  <si>
    <t>RT @kaskus: Terungkap, 238 WNI dari Wuhan Tak Dites Virus Corona, Alatnya Mahal</t>
  </si>
  <si>
    <t>RT @auliaavita: @kokikazutobae @kumparan wn jepang tinggal dimalaysia trs berkunjung ke indonesia nularin wni ini 2 org ibu dan anak kak barusan menkes RI blg dimetro tv, cmiiw</t>
  </si>
  <si>
    <t>RT @fraksinasdemjkt: Pernyataan sikap Anggota DPRD DKI Jakarta H. Muhammad Idris terhadap upaya pemerintah pusat mengobservasi WNI pekerja Kapal World Dream ke Pulau Sebaru Kecil terkait Virus Corona yang meresahkan masyarakat Kepulauan Seribu. @DPWNasDemDKI @NasDem #CoronaVirus #PulauSebaru</t>
  </si>
  <si>
    <t>1. Pemerintah yakin tdk ada kasus virus corona di RI. 2. Sektor pariwisata sepi terdampak kasus virus corona. Sewa influencer 72 M utk mempromosikan RI bebas virus corona. 3. Presiden mengumumkan 2 WNI asal Depok positif Corona. 4. 72 miliar terlanjur DEAL. Sia-sia. Mubadzir.</t>
  </si>
  <si>
    <t>RT @gen987fm: Sesditjen Pencegahan &amp;Pengendalian Penyakit Kemenkes RI, dr Achmad Yurianto, menjelaskan dua orang WNI ABK Diamond Princess yg dinyatakan sembuh dari virus Corona ikut pulang ke tanah air. 67 ABK diharuskan menjalani 14 hari masa observasi di Pulau Sebaru.#BeritaTerkiniGenfm</t>
  </si>
  <si>
    <t>WNI PADA KENAPA SIH KEPO BANGET JADI MANUSIA 😭😭 RT @detikcom: Dokter mengimbau masyarakat jangan panik menghadapi WNI yang terinfeksi virus corona baru. Beberapa langkah preventif bisa dilakukan. #CoronaVirusUpdates #COVID2019 via @detikHealth</t>
  </si>
  <si>
    <t>RT @unilubis: 2 WNI Positif Virus Corona, Ini Pencegahan Paling Efektif Jangan panik yaaa, waspada okey. Monggo dibaca untuk pencegahan #VirusCoronaindonesia #VirusCorona #CoronaVirusUpdate  lewat @idntimes</t>
  </si>
  <si>
    <t>Menteri Kesehatan RI Terawan Agus Putranto, mengumumkan 2 WNI positif virus corona setelah melakukan kontak dengan WN Jepang. 2 orang tsb adalah seorang ibu yg umurnya 64 tahun &amp; putrinya 31 tahun. Terawan menjelaskan keduanya masih dlm perawatan intensif di RSPI Sulianti Suroso</t>
  </si>
  <si>
    <t>@xxlarasati @fiidzHafiidz Sudah banyak beredar kak. One of them:</t>
  </si>
  <si>
    <t>RT @Dae_1r0ne: Dilema : 2 WNI Positif Terpapar Corona. Gengsi karena dianggap tidak mampu mendeteksi Covid-19. Dan.. 72 M menguap tanpa hasil karena hanya buat biaya makan dan tidur para Influencer.. #IndonesiaDiAmbangKebangkrutan</t>
  </si>
  <si>
    <t>Baru 2 orang WNI yg positif kena virus corona aja berita di +62 udh gempar bner ya.. Pdahal mungkin lebih dari 2 orang positif hamil diluar nikah di +62 .. Lebih bahaya mana tuh?</t>
  </si>
  <si>
    <t>@rehuellahangela 2 wni sudah positif kena virus corona</t>
  </si>
  <si>
    <t>Dua WNI terinfeksi corona, IHSG langsung anjlok 1,02% ke bawah 5.400  #ElshintaEdisiSiang</t>
  </si>
  <si>
    <t>RT @just4WINmyHope: - 14 hari adalah masa inkubasi.. setelah 14H jika kondisi mereka tidak menurun akan dipulangkan seperti WNI dr Wuhan di Natuna. - Covid 19 ini tidak semematikan MERS atau SARS. tetapi memang penyebarannya sangat cepat. - Virus Flu juga merupakan Korona ringan. ..Cont</t>
  </si>
  <si>
    <t>Entah ingin berkata2 apa.</t>
  </si>
  <si>
    <t>RT @kompascom: Keduanya tertular dari warga negara Jepang yang berkunjung ke rumah mereka di Depok | #CoronaVirusUpdate #COVID19</t>
  </si>
  <si>
    <t>RT @BiLLRaY2019: BREAKING NEWS Presiden Jokowi umumkan WNI positif Corona di Indonesia</t>
  </si>
  <si>
    <t>@detikcom Mudah2n ga gini ya alur wni yg sdh trinfksi corona dimana mrk ngbrol2 sama ttngga..trus ktmu lg dgn kluarga di acra kluarga..bsokx kpasar kmudian ke mall..g lupa ke wrung mkan...trus klo gtu bisa bnyk yg trinfeksi..lngsung krantina kota depok sprti wuhan..if dont we are screw</t>
  </si>
  <si>
    <t>Pemerintah akhirnya mengonfirmasi kasus pertama warga Negara Indonesia (WNI) yang terinfeksi virus korona (COVID-19) di Tanah Air. Kabar buruk itu disampaikan langsung oleh Presiden Joko Widodo (Jokowi). #Jokowi #Covid19 #Corona #Virus #Korona #WNI</t>
  </si>
  <si>
    <t>Jd , bkn nya ga mo gaul atau ga mau silaturahim. Skrg kl ktm bkn WNI jaga jarak ah .. Busyet Corona ganas coy</t>
  </si>
  <si>
    <t>Presiden Joko Widodo mengumumkan bahwa ada 2 WNI yg positif terjangkit virus Corona. Menurut Jokowi, dua WNI tersebut sempat kontak dgn warga Jepang yg telah positif terjangkit Corona setelah meninggalkan Indonesia &amp; tiba di Malaysia. Waduh, yu jaga kesehatan yu Lovers!</t>
  </si>
  <si>
    <t>Kasus Covid-19 di Indonesia ditangani dgn kagok sekali. Terkadang diremehkan seakan2 penyakit ini tidak ada apa2nya, lalu dilebih2kan shg perlu sesi khusus dgn Presiden untuk mengumumkan dua WNI masuk rumah sakit. Saya tebak, ntar keduanya sembuh cepat dirayakan tumpengan. 😁😁</t>
  </si>
  <si>
    <t>@meihidaningrum @pegscart @cyslpnd @WeyV_official @GiaPratamaMD Iya kerabat org Jepang itu WNI yg terkena virus Corona itu.. Bedasarkan berita yg aku baca jg sih</t>
  </si>
  <si>
    <t>RT @kompascom: "Alhamdulillah, keadaan umum pasien yang di rawat saat ini baik-baik saja. Pasien sadar penuh, keluhan panas tidak ada, batuk berkurang, tidak sesak napas" kata Syahril ~ #Megapolitan</t>
  </si>
  <si>
    <t>RT @kompascom: Pemerintah telah memastikan bahwa ada dua orang warga negara Indonesia yang terjangkit virus corona di Tanah Air.</t>
  </si>
  <si>
    <t>RT @Luvita_julie: Pas udah didesak &amp; ditantang buat bicara di forum international kalo Indonesia memang bener2 Aman dari virus corona baru deh ngaku 😑😑</t>
  </si>
  <si>
    <t>Presiden Joko Widodo atau Jokowi mengatakan ada seorang anak dan ibu warga negara Indonesia yang positif virus corona.</t>
  </si>
  <si>
    <t>Laporan dua kasus positif Corona di Indonesia diterima Jokowi dari Menkes.</t>
  </si>
  <si>
    <t>RT @aintgoodz: @marvelouscarlt @CNNIndonesia Depok katanya</t>
  </si>
  <si>
    <t>RT @TezaSumendra: Mahal karena harga alatnya 1M</t>
  </si>
  <si>
    <t>"Alhamdulillah, keadaan umum pasien yang di rawat saat ini baik-baik saja. Pasien sadar penuh, keluhan panas tidak ada, batuk berkurang, tidak sesak napas," kata Syahril Senin (2/3/2020). - Dirut RSPI Sebut Kondisi 2 WNI Positif Corona dalam Keadaan Baik</t>
  </si>
  <si>
    <t>RT @MCAOps: Menteri Kesehatan menyebutkan, dua orang warga negara Indonesia (WNI) POSITIF virus #corona. Mereka tinggal di wilayah Depok, Jawa Barat.</t>
  </si>
  <si>
    <t>@dhean_pajapperu @aagym @CCICPolri @aduankonten Tweeps, Astaghfirullah, ini Bukan HoaX. Brsan Menkes dr Terawan AP umumkan 2 (dua) WNI terkena SARS-CoV-2, Pstf COVID-19. Tggal di Depok; Ibu &amp; anak, usia 64 &amp;amp; 31 Th. Keduanya tertular WN Jepang yg ke Indonesia. juga sdh ada Website</t>
  </si>
  <si>
    <t>2 WNI Positif Corona Terinfeksi WN Jepang di Depok</t>
  </si>
  <si>
    <t>RT @e100ss: #SSInfo: Jokowi Presiden mengatakan, dua WNI yang positif terjangkit virus corona sempat melakukan kontak langsung dengan warga Jepang. Menurut penelusuran, dua WNI tersebut terjangkit dari seorang WN Jepang yang berkunjung ke rumah keduanya.</t>
  </si>
  <si>
    <t>RT @reyhanbielfazaa: Telah diterima laporan kasus Pengawasan COVID-19 di Kota Depok Provinsi Jawa Barat pada tanggal 1 Maret 2020 2 kasus tanpa kematian Kasus 1 NT/31 th/Pr (WNI) Alamat : Perum Studio Alam Indah, A.2/9, Depok Gejala: batuk, sesak, demam Kronologi:</t>
  </si>
  <si>
    <t>RT @tiogeraldo: Kasus Corona: NT/31 th/Pr (WNI) Alamat : Perum Studio Alam Indah, A.2/9, Depok Gejala: batuk, sesak, demam Kronologi: 14 Februari ikut dalam acara klub dansa di Klub Paloma &amp; Amigos Jakarta dengan peserta multinasional.</t>
  </si>
  <si>
    <t>RT @albicanz: Duit rakyat 72 M habis buat bayar BuzzeRp 👊🏻😏😤🤥🐸🔨🤯🤬</t>
  </si>
  <si>
    <t>RT @RaisaSukainah: Memakai nama Islam untuk merusak citra Islam itulah ISIS. #MenolakLupaKejahatanISIS</t>
  </si>
  <si>
    <t>RT @TitikTerangNews: Pemulangan 69 WNI kru Diamond Princess di Jepang. Diangkut dengan Garuda Indonesia dan tiba di Bandara Kertajati untuk kemudian dibawa ke Pulau Sebaru untuk karantina. #CoronaVirusUpdate #CoronaVirusIndonesia #SeninSemangat</t>
  </si>
  <si>
    <t>Presiden Joko Widodo mengakui bahwa sudah ada kasus positif virus Corona di Indonesia. Jokowi menyebut dua orang warga negara Indonesia (WNI) yang ini tertular dari warga negara Jepang yang positif Corona, kemudian…</t>
  </si>
  <si>
    <t>Berita 2 :</t>
  </si>
  <si>
    <t>RT @SCTV: #BreakingNews: Presiden Jokowi umumkan dua WNI ibu dan anak di Indonesia positif terjangkit virus corona. #Liputan6SCTV</t>
  </si>
  <si>
    <t>Deskripsi Kejadian: Telah diterima laporan kasus Pengawasan COVID-19 di Kota Depok Provinsi Jawa Barat pada tanggal 1 Maret 2020 2 kasus tanpa kematian Kasus 1 NT/31 th/Pr (WNI) Alamat : Perum Studio Alam Indah, A.2/9, Depok Gejala: batuk, sesak, demam</t>
  </si>
  <si>
    <t>#Nasional Dua WNI Positif Virus Corona Tinggal di Depok</t>
  </si>
  <si>
    <t>RT @OpiniRakyat2: @Anna_MaSue Alkes kit 1 M saja tidak kebeli  Alasan Alat Mahal, WNI dari Wuhan Tak Dites Virus Corona ...  238 WNI dari Wuhan Ternyata Tidak Dites Virus Corona ...  Terungkap, 238 WNI dari Wuhan Tak Dites Virus ...</t>
  </si>
  <si>
    <t>WNi domisili Depok. Ketemu Warga Negara Jepangnya di JKT, awal Februari, kedeteknya awal Maret. Astagfirullah 😭</t>
  </si>
  <si>
    <t>RT @kompasiana: [BREAKING NEWS] Dilaporkan, 2 WNI Positif Virus Corona</t>
  </si>
  <si>
    <t>Semoga 2 WNI ini di cepat di beri kesembuhan , semoga ga menyebar ke mana2 😭 indonesia stay safe stay health🙏🙏 RT @KompasTV: BREAKING NEWS: Presiden Jokowi Umumkan 2 WNI Positif Corona</t>
  </si>
  <si>
    <t>RT @kompascom: Jokowi menjelaskan bahwa dua WNI yang terpapar virus corona itu merupakan ibu dan anak.</t>
  </si>
  <si>
    <t>Jokowi Umumkan Dua WNI Positif Corona di Indonesia</t>
  </si>
  <si>
    <t>RT @kompascom: "Dicek dan tadi pagi saya dapat laporan dari Pak Menkes bahwa Ibu ini dan putrinya positif corona," ujar Presiden.</t>
  </si>
  <si>
    <t>RT @ctrdm_: Semoga kita semua dalam perlindungan-Nya 🙏 dan semoga 238 WNI tidak terjangkit COVID-19 Aamiin 🙏</t>
  </si>
  <si>
    <t>RT @hermana_t: The Economist mengungkap WNI yg dievakuasi dari Wuhan dan menjalani karantina di Natuna tdk dites virus corona Kementerian Kesehatan berdalih pengujian tdk dilakukan lantaran harga alat pengujian mahal Utk reagen ditaksir harga kisaran Rp 1 miliar</t>
  </si>
  <si>
    <t>@Idahami93042042 Udh resmi beb... 2 WNI positif Corona.</t>
  </si>
  <si>
    <t>RT @eternalhope94: @tubirfess Ni yang nanya link</t>
  </si>
  <si>
    <t>2 WNI Positif Virus Corona. . . Semoga cukup disitu ya:")</t>
  </si>
  <si>
    <t>Ketauan setelah di telusuri ini WN Jepang udah ketemu siapa aja dan dimana. Ini yang WNI udah ketemu siapa aja ya disini....</t>
  </si>
  <si>
    <t>@tubirfess Gausah pulang simpatisan isis, mau anak2 mau org dewasa yg pasti mereka udh di doktrin. Jgn sampe bawa pulang dan memelihara bom waktu yg sewaktu2 bisa meledak dan menghancurkan indonesia</t>
  </si>
  <si>
    <t>RT @selfieituindah: 69 WNI Kapal Pesiar Diamond Express juga akan di observasi selama 14 hari. Semoga semuanya berjalan dengan lancar. Amin #PulauSebaru</t>
  </si>
  <si>
    <t>RT @sonkisseu: kpop aside, wni udh ada 2 org yg dinyatakn positif corona gengs.... tp yg perlu kalian tau mereka ini kenanya di luar dan langsung di karantina begitu masuk ke indonesia. jd blm sempet interaksi sama masyarakat. BUT STILL take care of yourself ya gengs. pake masker, cucitangan</t>
  </si>
  <si>
    <t>WNI positif corona. Corona dah msuk ke Indonesia</t>
  </si>
  <si>
    <t>Setelah saya melihat news di tv! Bapak @jokowi mengatakan langsung, bahwa ada wni di Indonesia positif New corona! Mohon pak @jokowi agar lebih gencar lagi menginformasikan, khususnya gejala akibat terinfeksinya virus tersebut! Agar masyarakat lebih waspada! Terima kasih</t>
  </si>
  <si>
    <t>RT @faizalassegaf: Apa benar demikian? Jgn main goreng2an deh, ntar bikin rakyat ngamuk &amp; semuanya jd gosong. Sebaiknya Istana undang 238 WNI yg baru balik dari Wuhan, ajak mrk santap malam dgn Presiden &amp;amp; Menkes. Klu 14 hari ke dpn, semuanya sehat, ya stop saling menyalahkan! #CoronaVirusUpdate</t>
  </si>
  <si>
    <t>Jokowi Sebut 2 WNI Positif Virus Corona  Pertanyaanya?ada apa dgn pemerintah ini?kenapa yidak disebutkan pasein itu ada di kota mana ?kacau ini</t>
  </si>
  <si>
    <t>68 WNI Diamond Express akan dikarantina juga selama 14 hari #pulausebaru #covid19</t>
  </si>
  <si>
    <t>nonton 2 wni positif Corona gue lgsg gemeteran😢</t>
  </si>
  <si>
    <t>RT @faizalassegaf: Sudalah, ga usah ribut soal 238 WNI yg baru balik dari Wuhan China, terungkap tidak di tes virus Corona. Hingga kini, semuanya sehat kok. Kalau ragu, silakan Istana undang mereka ketemu Jokowi &amp; Menkes. Yakinlah, semuanya bakal aman2 aje. Monggo! #COVID19 *FA*</t>
  </si>
  <si>
    <t>RT @merdekadotcom: Dua WNI positif terjangkit virus corona. Mereka sempat kontak dengan warga negara Jepang yang datang ke Indonesia.</t>
  </si>
  <si>
    <t>Indonesia Terdampak Virus Corona, Jokowi sebut 2 WNI Positif Covid-19</t>
  </si>
  <si>
    <t>@mxlonssi Di berita statusnya udah di umumin wni kan? Jadi dia kena di malay atau yg dirawat di malay tuh yg orang jepangnya? Bingung</t>
  </si>
  <si>
    <t>RT @tijabar: News Update 02.24 WIB: "Evakuasi 69 WNI" Sebanyak 69 WNI yg menjadi ABK Diamond Princess tiba di Pelabuhan PLTU Sumuradem, Kab. Indramayu, Jawa Barat, pd Senin (2/3) menggunakan bus dini hari tadi. Semua WNI tsbt akan diobservasi di Pulau Sebaru Kecil selama 14 hari.</t>
  </si>
  <si>
    <t>RT @BorobudurNews_: BREAKING NEWS: Akhirnya WNI Ada yang Terkena Virus Corona</t>
  </si>
  <si>
    <t>RT @BNGPY: Ada yang bisa bantu kasih tautan artikel asli dari The Economist yang dikatakan oleh beberapa media lokal memberitakan hari Minggu kemarin bahwa ada 238 WNI dari Wuhan tidak dites virus Corona karena alatnya mahal?</t>
  </si>
  <si>
    <t>Breakingnews live tvone wabah virus corona dua wni positif.</t>
  </si>
  <si>
    <t>RT @KATADATAcoid: Presiden @jokowi menyatakan ada dua WNI positif virus corona. Keduanya sempat kontak fisik dengan warga negara Jepang.</t>
  </si>
  <si>
    <t>RT @T0NI361: harga untuk bayar segitu mahal, tapi bayar Unfaedah seprti BPIP, STAF KHUSUS, Influencer, dan jubir malah bisa.. semakin hancur negara, #Hindu_India_Teroris #Hindu_India_Terorist</t>
  </si>
  <si>
    <t>@kumparan Detail WN Jepang bertemu 2 WN Indonesia di lokasi mana dan dalam rangka apa ? trs WNI Indonesia trb beriteraksi sama siapa aja ? Dan yg berinteraksi tsb sudah dikawal karantina juga engga ?</t>
  </si>
  <si>
    <t>Ya ampun.. Terungkap, 238 WNI dari Wuhan Tak Dites Virus Corona, Alatnya Mahal</t>
  </si>
  <si>
    <t>Apa benar demikian? Jgn main goreng2an deh, ntar bikin rakyat ngamuk &amp; semuanya jd gosong. Sebaiknya Istana undang 238 WNI yg baru balik dari Wuhan, ajak mrk santap malam dgn Presiden &amp;amp; Menkes. Klu 14 hari ke dpn, semuanya sehat, ya stop saling menyalahkan! #CoronaVirusUpdate RT @alvinlie21: Mampu sewa B777 utk pswt Kepresidenan ke AS tapi tak mampu biayai tes virus Corona bagi WNI yg dievakuasi dari Wuhan 😡🤬 Terungkap, 238 WNI dari Wuhan Tak Dites Virus Corona, Alatnya Mahal</t>
  </si>
  <si>
    <t>RT @Indonesi1aTimur: Puluhan ribu bahkan ratusan ribu anak lahir di Malaysia tanpa bisa memiliki kewarganegaraan. Banyak di antara mereka adalah keturunan TKI. Lebih baik anak2 dari pahlawan devisa ini yg diurus dokumennya, daripada ISIS eks WNI #MenolakLupaKejahatanIsis</t>
  </si>
  <si>
    <t>RT @Metro_TV: #MetroSiang 280 WNI akan menjalani observasi selama 28 hari di Pulau Sebaru, kawasan Kepulauan Seribu, DKI Jakarta. Adanya kontak fisik yang terjadi selama berada di lingkup kapal yang sempit menjadi salah satu faktor observasi dilakukan 2x14 hari.</t>
  </si>
  <si>
    <t>@Tersemogakan WNI murni nih 😁</t>
  </si>
  <si>
    <t>X......ISIS HADIR D LINGKUNGAN KAMI......KAMI MENOLAK......!!! RT @tjhinfar21: Apa sih urgensinya utk memulangkan mereka ? Padahal msh bnyk sekali anak² yg membutuhkan perhatian khusus Didaerah terpencil dan perdalaman Masalah intoleransi saja blm tuntas🙈 Mohon dipertimbangkan lg 🙏 @jokowi @mohmahfudmd #MenolakLupaKejahatanISIS</t>
  </si>
  <si>
    <t>RT @Fatimah4jeng: APAKAH INI WAJAH ISLAM?? Mungkin keadaan umat Islam di Rohingya, Uigur, India dan tempat lain adalah dampak dari kekejaman ISIS yang membuat nama Islam tercoreng dan dikenal sebagai agama terroris di saat Islam adalah Agama Rahmatan lil Alamin. #MenolakLupaKejahatanISIS</t>
  </si>
  <si>
    <t>#MetroSiang 280 WNI akan menjalani observasi selama 28 hari di Pulau Sebaru, kawasan Kepulauan Seribu, DKI Jakarta. Adanya kontak fisik yang terjadi selama berada di lingkup kapal yang sempit menjadi salah satu faktor observasi dilakukan 2x14 hari.</t>
  </si>
  <si>
    <t>@Hit_DX @MartinLS2 @BirgaldoS @Rakha_boumi @jokowi Pie iki pak @jokowi... Pejabat koplo dipertahanin.. Isis dipulangin.. 😖😖😖😖😖</t>
  </si>
  <si>
    <t>RT @___MrJuna____02: Terang aja Tidak Ditemukan Virus Corona, Karena Alatnya Mahal 🔨😝</t>
  </si>
  <si>
    <t>@brahmantariguna keluar negri aja bentar, ngaku2 jadi ISIS, balik2 udah dah makmur idup. BUMN jalur terrorist</t>
  </si>
  <si>
    <t>@theo_zhang25 @BirgaldoS @jokowi @mohmahfudmd mas @kaesangp tolong disampein ke bapak...korban bom juga perlu diperhatikan...kalo anak2 isis dibantu, seharusnya anak2 korban bom juga🙏 saya peecaya masi ada rasa keadilan di hati mas nya</t>
  </si>
  <si>
    <t>238 WNI terkena coronaa... Pemerintah belm bisa mengatasi kejadian ini. Alesannya "alatnya terlalu mahal". Kalo bisa mengendalikan corona, pengen ditujukan kepada pemerintah negara ini, biar bar bar sekalian. Asal jangan Prabowo yg kena hehe</t>
  </si>
  <si>
    <t>RT @hasn0religi0n: Berharap masih percaya pemerintah dlm isu Corona tp berat aplg stlh terbongkarnya hoaks yg tdk diakui terkait pelarian Harun Masiku, pemulangan anak2 ISIS, benih Lobster yg bakal diekspor, RUU Cilaka, terakhir isu ttg kayu ulin. Hahingan kabehhh !</t>
  </si>
  <si>
    <t>terus untuk nasib anak dari keluarga miskin sampai kelaparan yg bnr2 ada di Indonesia dan masih bangga menjadi WNI bagaimana???????? knp tdk ada perhatian jg dari pemerintah????? gimana nih Bpk. @jokowi ??? RT @BirgaldoS: Anak2 ISIS Ex WNI sdg dipersiapkan utk plg ke tanah air. Disambut pemerintah dgn pemenuhan segala kebutuhannya sampai dewasa. Sementara korban bom teroris Gereja Samarinda Trinity hrs menahan sakit setiap hari di Guangzhou slama 3 thn lebih tanpa ada perhatian dari pemerintah</t>
  </si>
  <si>
    <t>RT @KaharuddinIntan: Tips murah rezeki dari saya..</t>
  </si>
  <si>
    <t>Siang ini WNI kapal pesiar Diamond Express akan bergabung untuk observasi virus Corona di Pulau Sebaru. #PulauSebaru</t>
  </si>
  <si>
    <t>DANSAT BRIMOB POLDA JABAR Dampingi KAPOLDA JABAR Pantau Pengamanan Kepulangan 68 WNI ABK DIAMOND PRINCESS</t>
  </si>
  <si>
    <t>@CastilloJoshima @SuburBur @jokowi hebat. Merakyat. Peduli nasib anak - anak ISIS! Kasih tau bapakmu dong @kaesangp</t>
  </si>
  <si>
    <t>@_satriawigoena @Rishabundra @liem_id Baru 2 lan aja udah mau 1 T, gimana kalo 12 bulan??? Wkwkwkwkwkw Anal isis nya kerel bet dah Pokoknya apapun yg dilakukan anis itu udah paling bener</t>
  </si>
  <si>
    <t>RT @kumparan: Dubes Indonesia untuk Korsel Umar Hadi menyampaikan, saat ini, WNI sudah mengurangi dan menghentikan kegiatan mengumpulkan orang sementara waktu. Ia juga menyampaikan, Minggu (1/3), Gereja Indonesia melakukan kebaktian secara online di Korsel. #TopNews</t>
  </si>
  <si>
    <t>RT @MuhadklyAcho: Mending duit dan effortnya dipakai buat menjamin pengobatan dan hidupnya para anak korban bom isis dulu.</t>
  </si>
  <si>
    <t>RT @SamSoegi: Pemerintah kok ngotot banget pulangin anak2 ISIS eks WNI ini kenapa ya? Mau bicara HAM? Tuh tolongin anak2 &amp; korban teroris saja Pak @jokowi makin lama makin miring ke kanan. Lama2 ambruk lho pak</t>
  </si>
  <si>
    <t>RT @sztarmoon: @tubirfess Drpd nunggu sender -ns</t>
  </si>
  <si>
    <t>@PFTee @KakekHalal @jokowi Anak2 ISIS berguna kok, klo diambilin organnya buat bantu orang yg butuh donor organ. Tp klo hidup dan sampe dipelihara sih, lebih banyak mudaratnya.</t>
  </si>
  <si>
    <t>@adinrqb HTI, FPI, ISIS</t>
  </si>
  <si>
    <t>RT @MuhSujarw4: Yth Pak @jokowi dan Pak @mohmahfudmd . Saya tidak mengerti. Kenapa Negara ini sibuk memikirkan Nasib anak ISIS..?. Orangtua mereka adl pelaku Bom. Banyak anak2 yg jadi korban Bom. Yg sudah meninggal okelah. Tapi bagi yg Cacat, apa Negara sudah memikirkan?.</t>
  </si>
  <si>
    <t>RT @albertsamuel28: "Kementerian Kesehatan berdalih pengujian tidak dilakukan lantaran harga alat pengujian yang mahal. Untuk reagen ditaksir dengan harga kisaran Rp 1 miliar." Untuk buzzeRp 72 M pun pasti sanggup.</t>
  </si>
  <si>
    <t>RT @MuhSujarw4: Selamat pagi. Banyak anak2 Indonesia yg akhirnya Cacat fisik secara permanen. Mereka adl korban Bom. Orangtuanya sedih. Bagi Si anak, kedepan pasti ada kendala. Apa Negara menjamin kehidupan anak2 ini kelak?. Knp yg dipikir justru anak ISIS?. @mohmahfudmd</t>
  </si>
  <si>
    <t>RT @EkoSeputro13: Yang kek gini nih mau dipulangin ke Indonesia ???,mereka anak-anak ISIS dari kecil sudah dilatih menggunakan senjata dan melakukan bom bunuh diri !!! #MenolakLupaKejahatanISIS #tolakanakisiskembali</t>
  </si>
  <si>
    <t>RT @diajengmarta: Karna #kpai terlalu sibuk urus hamil berenang , @KomnasHAM terlalu sibuk urus anak ISIS, @jokowi dan @Kiyai_MarufAmin terlalu sibuk bikin wisata syariah. Mau ke greja kalo ga dibongkar ya di bom. TETAP YESUS, malah makin YESUS kalo diginiin tuh 🤣🤣 #IndahnyaToleransiBeragama</t>
  </si>
  <si>
    <t>RT @Galihzainur1: #Utas Kilas Balik ISIS dan Tragedi yg Telah Di Lakukan Oleh ISIS dan Pasukannya. Mungkin ini hanya Kumpulan Berita dari Beberapa Sumber Yg AQ Rangkum Mjd Satu Semoga Bermanfaat. Salam NKRI.</t>
  </si>
  <si>
    <t>RT @RaisaSukainah: ISIS sudah tumpahkan darah ratusan ribu manusia di timur tengah. mereka mengusung ideologi "khilafah". anda medukung "khilafah"? anda berakal? #MenolakLupaKejahatanISIS</t>
  </si>
  <si>
    <t>RT @bangtoyib1818: @jokowi buat biayai anak" isis sampai dewasa ya pak???? gk relaa aku pak...aku gak relaaa.......teganya pak....😪</t>
  </si>
  <si>
    <t>Kisah ABK World Dream jadi koki dadakan di Pulau Sebaru</t>
  </si>
  <si>
    <t>"Mereka dalam keadaan sehat, kalau tidak sehat, tidak boleh dievakuasi. Itu sudah jadi standar WHO. Tidak boleh ada orang dalam keadaan sakit dievakuasi,"</t>
  </si>
  <si>
    <t>RT @EkoSeputro13: Putar ulang video kekejian/ keganasan ISIS yang telah melakukan kejahatan mengatasnamakan agama !!! Cc.@mohmahfudmd #MenolakLupaKejahatanISIS #tolakanakisiskembali</t>
  </si>
  <si>
    <t>RT @Tri33milanisti: @mohmahfudmd @jokowi dan kalian malah sibuk dengan anak2 teroris ISIS</t>
  </si>
  <si>
    <t>@BirgaldoS Gw sih jujur, beban pajak yg gw bayarkan buat bantu pemenuhan anak2 ex ISIS smp dewasa, GW GA IKLAS. Mending ksh bantuan utk korban bom ini. Pemerintah tahu ttg hal ini ga ya? Gila ya, kalau gt smua anak2 jalanan kalian ke suriah aja, trus minta dipulangkan, hdp anda terbiayai</t>
  </si>
  <si>
    <t>RT @syam2s: Dengan kondisi chaos informasi seperti ini saya usul pak @jokowi punya lagi Menteri Penerangan sekelas pak Harmoko - dulu - semua dijelaskan mewakili pemerintah resmi dan clear serta dipercaya -- isue Isis -Corona #COVID2019 , isu karimun dsb - semoga - cc pak @GeneralMoeldoko</t>
  </si>
  <si>
    <t>@AnakKolong___ Manusia berislam KAFIR macam @Malahay48802284 hidupnya hanya dgn dalil dr ustad² KAFIRnya. Ajaran KHILAFAH dan ISIS yg slalu di junjung para Kaum KAFIR KADRUN.</t>
  </si>
  <si>
    <t>RT @sekitarbandung_: Dua WNI ABK Diamond Princess Dinyatakan Sembuh, Ikut Dijemput Pulang</t>
  </si>
  <si>
    <t>RT @ayah_9Garislucu: Selamat pagi manteman, semoga awal bulan maret ini menjadi pembuka bagi rejeki yang seret... ☕☕☕</t>
  </si>
  <si>
    <t>RT @TDoonal: Pak @jokowi dan @mohmahfudmd kebayang ga sih, jika ini salah Satu dari cucu Anda? Semoga yang menyetujui kepulangan anak2 penghianat kombatan ISIS paham resikonya, dan Semoga yang mereka mererima karma nya.. 🙏🙏🙏</t>
  </si>
  <si>
    <t>RT @sangalam2021: mungkin istana dengan pasti meyakinkan kepulangan anakw ex ISIS. tapi istana gagal meyakinkan pemulihan korban bom bunuh diri. saya hanya bisa ngelus dodo wae....semoga istana sadar apa yg sudah dilakukan melukai rakyat Indonesia jika masih ngotot urusi ex ISIS</t>
  </si>
  <si>
    <t>RT @DTanjung15: Fahira Idris Mengaku dia tidak menyebarkan Hoax. Fahira mengaku "ADA TERDUGA" pasien Corona di bawah pengawasan. Coba teman2 di cek lagi cuitan si Fahira Apa benar Ada Kata ""ADA TERDUGA"" Fahira ketakutan Nyai akan melaporkan dia ke polisi karna menyebarkan hoax</t>
  </si>
  <si>
    <t>RT @Hfnz9: Saya harap sangat agar kerajaan baru kembalikan ISA. Semoga Malaysia dijauhkan dari anasir-anasir penganas terutamanya LTTE, ISIS dan Komunis. Kredit gambar : artoise</t>
  </si>
  <si>
    <t>RT @kasehsaulmouk: @geloraco Lebih senang bayar buzzer 72 milliar ketimbang beli alat test, klo beli alat test takut ketahuan. Terungkap, 238 WNI dari Wuhan Tak Dites Virus Corona, Alatnya Mahal</t>
  </si>
  <si>
    <t>RT @Ghoz4ly: Biar murah, pakai bunga macan kera aja untuk mendeteksi nya min @KemenkesRI "Terungkap, 238 WNI dari Wuhan Tak Dites Virus Corona, Alatnya Mahal"</t>
  </si>
  <si>
    <t>@RAISYAELBIX1 @RyanDirhamsyah @elkrova @basuki_btp Bukti bahwa WNI zaman now lebih suka berpolitik tp gak paham muatan dasarnya.</t>
  </si>
  <si>
    <t>RT @Aryprasetyo85: Pemulangan WNI ke Indonesia berpegang kepada standar operasional prosedur yang ditetapkan oleh badan kesehatan dunia,WHO. Sebelumnya, 69 WNI ABK Diamond Princess dari Jepang. Mereka akhirnya tiba di Bandara Kertajati,Jawa barat, Minggu malam (01/03/2020) pada pukul 23:00 WIB</t>
  </si>
  <si>
    <t>Terungkap, 238 WNI dari Wuhan Tak Dites Virus Corona, Alatnya Mahal</t>
  </si>
  <si>
    <t>@BirgaldoS Saya heran kenapa pemerintah @jokowi ngotot banget memulangkan anak-anak ISIS sementara anak-anak pengungsi Ahmadiyah dan Syiah masih bercokol ditempat pengungsian</t>
  </si>
  <si>
    <t>@Ritafloras @BirgaldoS @mohmahfudmd Sy penasaran dgn cara pemerintah melakukan DERADIKALISASI pd anak2 ISIS itu nanti, apakah jg akan diajarkan TEPUK ANAK SOLEH spt anak2 Indonesia skrg ini? @Nadiem_Makarim @KemendikbudRI @KemensosRI @Kemenag_RI Bagi anak2 ISIS, bukankah lagu tsb semangat jihadnya "mirip"?</t>
  </si>
  <si>
    <t>Mending buat bayar buzzer mungkin</t>
  </si>
  <si>
    <t>RT @Aryprasetyo85: 69 WNI ABK Diamond Princess Akhirnya Tiba di Pelabuhan PLTU Indramayu Rombongan WNI ABK Diamond Princess tiba di Pelabuhan PLTU, Indramayu, Jawa Barat, senin pagi(03/02/20). 69 WNI ABK Pricess tida di Pelabuhan PLTU Indramatu pukul 02.30 WIB. @My_LoveNebe @cintada17 @Je_Ly</t>
  </si>
  <si>
    <t>@grathiapitaloka @KemenkesRI Eh.. itu WNI yang berhasil dievakuasi dari Wuhan 238 atau 328 ya, bli @WahyuDhyatmika ?</t>
  </si>
  <si>
    <t>Yth Pak: @jokowi @mohmahfudmd Mengapa pemerintah terlalu bersemangat memulangkan anak2 ex ISIS ke Indonesia sedangkan anak2 di Indonesia lebih butuh perhatian. Lihatlah contoh dibawah ini pak. Anak2 di Indonesia lebih layak dapat kebutuhan sampai dewasa tsb pak! Salam ~ RT @BirgaldoS: Anak2 ISIS Ex WNI sdg dipersiapkan utk plg ke tanah air. Disambut pemerintah dgn pemenuhan segala kebutuhannya sampai dewasa. Sementara korban bom teroris Gereja Samarinda Trinity hrs menahan sakit setiap hari di Guangzhou slama 3 thn lebih tanpa ada perhatian dari pemerintah</t>
  </si>
  <si>
    <t>Indonesia mengevakuasi 69 WNI dari Kapal Diamond Princess</t>
  </si>
  <si>
    <t>@drydjie @BirgaldoS @jokowi @mohmahfudmd &amp; begitu mengimbau masyarakat taat pajak. Hasil pajak sebagian dipakai utk biaya mereka. Pak rakyatmu yg jelas WNI tulen masih banyak yg hidup SENGSARA gak keurus... sampean yok opo sehhh pakk</t>
  </si>
  <si>
    <t>RT @aiek_esthreem__: #OmnibusLawHancurkanRI #OmnibusLawHancurkanRI Ketua Demokrat: Negara Lain Fokus Tutup Perbatasan, Kok Kita Malah Sibuk Ngundang Orang?  Ngundang org dari negara lain berpesta, WNI sendiri di bully seolah anak tiri</t>
  </si>
  <si>
    <t>RT @nicolaslkh: Pres @jokowi LEBIH MEMPERHATIKAN anak2 PENGKHIANAT BANGSA (ISIS) drpd anak2 dr warga negara yg setia pd UUD1945 dan Pancasila. Periode TANPA BEBAN nya emang TERLIHAT KETIDAKPEDULIANNYA</t>
  </si>
  <si>
    <t>RT @Puspen_TNI: Kegiatan Prajurit Pasmar 1 Marinir TNI AL yang tergabung dalam Satgaspad observasi Coronavirus di Pulau Sebaru Kecil 2020 . Dengan kekuatan 20 personel yg berada di ring 1, mengatur pelaksanaan makan pagi WNI dan pengecekan Suhu badan seluruh WNI😎💂 #TNIPeduli #Coronavid19</t>
  </si>
  <si>
    <t>RT @MT_Reborn: ISIS,Al-Qaida,Taliban adalah kelompok yg di labeli Kelompok Teroris. ISIS sdh habis. Al-Qaida dgn Osama bin Laden nya jg sdh habis. Taliban masih ada dan sekarang sdh bersepakat damai dgn Amerika. Artinya,apakah urusan Teroris sdh selesai?tergantung apa kata Amerika.. ☺️😀</t>
  </si>
  <si>
    <t>Cerita WNI ABK Kapal Pesiar World Dream Jadi ‘Koki Dadakan’ di Tempat Observasi Pulau Sebaru</t>
  </si>
  <si>
    <t>69 WNI ABK Langsung Menuju Pulau Sebaru Kecil usai Tiba di Pelabuhan Indramayu, Menko PMK: Mereka akan Dipisahkan</t>
  </si>
  <si>
    <t>@erikneoz @kompascom Dari total 78 kru WNI, 8 kru positif corona &amp; dirawat di Jepang</t>
  </si>
  <si>
    <t>@Nathasia_____ @tubirfess Mayoritas juga banyak yang setuju sama pernyataanmu kak, cuman sebagian aja yang sibuk banget belain ex isis biar masuk negara lagi, dan yang pasti mereka punya kepentingan dan mungkin se otak mengatasnamakan ham, korban dan blablabla.</t>
  </si>
  <si>
    <t>RT @antaranews_bali: Menko PMK tegaskan WNI awak kapal Diamond Princess sehat: Menteri Koordinator Bidang Pembangunan Manusia dan Kebudayaan Muhadjir Effendy menegaskan bahwa pemerintah melakukan pemeriksaan kesehatan berkali-kali pada 69 WNI kru kapal Diamond Princess yang…</t>
  </si>
  <si>
    <t>69 WNI ABK Diamond Princess tiba di Pelabuhan PLTU Sumuradem</t>
  </si>
  <si>
    <t>SIM Internasional Online Inovasi Korlantas Polri Untuk Dunia. SIM Internasional adalah dokumen legal yang wajib dimiliki oleh WNI maupun wisatawan mancanegara yang hendak mengemudi di luar negeri Registrasi melalui website</t>
  </si>
  <si>
    <t>@EkoSeputro13 @mohmahfudmd Lebih baik menyelamatkan binatang drpd menyelamatkan ex isis!</t>
  </si>
  <si>
    <t>RT @RoediMS: Terima kasih pak @jokowi dan pak @mohmahfudmd semoga anak2 ISIS segera cepat pulang ke pangkuan NKRI.</t>
  </si>
  <si>
    <t>RT @dbrahmantyo: @alvinlie21 Yth. Pak Alvin, apakah Anda praktisi kesehatan yang mampu memberikan argumentasi terkait pernyataan otoritas kesehatan negara terkait kondisi 238 WNI dari Wuhan tersebut? Pun otoritas telah melakukan observasi thdp para WNI tersebut. Skeptis penting, ttp mohon dpt lbh bijak.</t>
  </si>
  <si>
    <t>RT @budimandjatmiko: Saya bantu kumpulin. Sdh kukenalkan &amp; laporkan ke pak @jokowi. Ada ahli jaminan sosial kesehatan Inggris, kesehatan mental, robotik, komputer kuantum, bioteknologi, matematika, sensor pertanian di Mars yg mau dipakai NASA, kepala Inovasi Dubai dll. WNI semua!</t>
  </si>
  <si>
    <t>RT @kompascom: Walaupun sudah dinyatakan sehat oleh otoritas Jepang, para WNI kru kapal pesiar yang tiba di Bandara Kertajati terlihat memakai masker mulut.</t>
  </si>
  <si>
    <t>Tomy Winata sempat hidup terlunta-lunta, kini punya pulau</t>
  </si>
  <si>
    <t>RT @kompascom: Pemerintah Jepang juga telah mengecek 69 WNI tersebut dengan metode PCR dan dinyatakan negatif covid-19.</t>
  </si>
  <si>
    <t>para Eks WNI simpatisan ISIS yg umur dibawah 10thn, mrk sdh memilih utk tdk menjadi anak2 ibu pertiwi.tolong hilangkan niat itu. Cc = @jokowi , @Kemenkumham_RI</t>
  </si>
  <si>
    <t>@AbdurachmanAl @AlAzmy57779795 @mas__piyuuu @msaid_didu ISIS belom bubar di banyak otak umat Muslim Indonesia</t>
  </si>
  <si>
    <t>Kepada yth : Bang @BirgaldoS Mas @permadiaktivis Tolong sampaikan kekhawatiran saya yg mgkn jg mewakili beberapa orang, yg sangat resah terhadap ISIS, gaungkan supaya sampai ke menteri @PolhukamRI bpk. @mohmahfudmd , bahwa sangat tidak diperlukan dan tidak ada guna memulangkan</t>
  </si>
  <si>
    <t>@masipannnnn @ThomasEmir1 Yg gue tahu, die WNI keturunan yg aktivis jualan isu HAM ke asing, udah sekolah ke Aussie pakai beasiswa NKRI, tapi jadi penghinat NKRI... dipanah aje tuh mulutnye!</t>
  </si>
  <si>
    <t>Pemerintah pastikan 69 WNI kru kapal Diamond Princess negatif covid-19  #VirusCorona</t>
  </si>
  <si>
    <t>RT @seruanhl: Memulangkan anak-anak WNI eks ISIS sejatinya pihak pemerintah harus lebih ekstra hati-hati. Jangan sampai kita ngomong sana-sini bahwasanya siap memberantas ajaran ISIS, tapi sementara kita tdk pernah melakukan pencegahan terhadap bibit ajaran tsb. #MenolakLupaKejahatanISIS</t>
  </si>
  <si>
    <t>@BirgaldoS Ank telantar banyak, yg miskin banyak, yg gak bisa lanjut sekolah banyak, dan mereka warga negara Indonesia, tinggal diindonesia gak ada paham2 ISIS, itu dulu deh yg diperhatikan, diberikan hidup yg layak</t>
  </si>
  <si>
    <t>Naik Garuda Tiba di Bandara Kertajati, 69 WNI Kru Kapal Pesiar Diamond Princess Diboyong ke Indramayu untuk Naik Kapal ke Kepulauan Seribu  @IndonesiaGaruda @kertajati_ap2</t>
  </si>
  <si>
    <t>@musniumar Kalian diam pas masy Islam dibantai ama orang Islam jg di timteng, apa krn mrk2 dr ISIS dan sejenisnya, Tls Tolol, lht sejarah kekerasan bgs ini thd minoritas, tjd ampe skr juga, WTH lol</t>
  </si>
  <si>
    <t>@fadjroeL @jokowi @JubirPresidenRI Cegah anak2 ISIS eks WNI lebih penting. Selamanya kami hidup dlm kecemasan.</t>
  </si>
  <si>
    <t>Pemerintah jgn cari gara2 deh...banyak ank terlantar dijalan yg bisa diberi fasilitas daripada anak ex wni yg kini jadi ISIS RT @Parapat_Nixon: ISIS Latih RIBUAN Anak Kecil Sbg Pelaku Bom Bunuh Diri  Pemulangan Anak2 ISIS Eks WNI palagi yg ortunya tewas di sana, kan jd "BOM WAKTU"  Maaf, utk kesekian kali APA SIH MAU MU PAK @jokowi ? @mohmahfudmd 🙏</t>
  </si>
  <si>
    <t>RT @hamka_sutra: Anak-anak Indonesia gini aja senangnya uda minta ampun. Yuhuuu Mosok mau mulangin anak ISIS. Helowwwww. #MenolakLupaKejahatanIsis</t>
  </si>
  <si>
    <t>kalau diliat dari kesigapan pemerintah buat handel WNI yg ada di kapal pesiar termaksud yg cukup bagus dan sigap sih, cuma ya kali nunggu ada beberapa kasus dulu di indonesia baru pemerintah gercep kyk pemerintah ke ABK ini 😩 RT @KemenkesRI: Pesawat Garuda A330 yang menjemput 69 WNI ABK Diamond Princess di Haneda, Jepang telah mendarat di Bandara Kertajati, Majalengka (1/3) pukul 23.00 WIB. #WaspadaCOVID19</t>
  </si>
  <si>
    <t>RT @ipungelaja: Kementerian Kesehatan berdalih pengujian tidak dilakukan lantaran harga alat pengujian yang mahal. Untuk reagen ditaksir dengan harga kisaran Rp 1 miliar. Lalu kaliam gelontorkan 72 milyar untuk influencer?? Apakah kalian ini IBLIS?? 🤬🤬🤬🤬</t>
  </si>
  <si>
    <t>RT @Hanifah933: @haikal_hassan Coba ber-cermin ad ISIS, Al-Qaeda, Boko Haram, Al Sabab .. ap mau org Non Muslim bilang Islam Teroris ? Selevel ngaku Ustad tapi bikin tweet mlh provokasi ... Yakin follow Rasulullah tad ? 🙏</t>
  </si>
  <si>
    <t>Puluhan ABK WNI Diamond Princes Telah Tiba Lewat Bandara Kertajati #seninsemangat #7BillboardNo1Album #SeninAmbyar</t>
  </si>
  <si>
    <t>@sherrrinn @jokowi mending ngurusin yang didalam negri dulu pak, yanganak ex isis gausah diurusin apalagi fibawa pulang</t>
  </si>
  <si>
    <t>RT @Temulaw71417452: @_CHlS_ @KemenkesRI @Kemlu_RI @KSPgoid @WHOIndonesia @PBIDI @KemenkeuRI @WHO Yg pedih lg, lihatlah di akun puspentni. Wni yg baru dtg di pulau sibaru diperiksa anggota tni cumak pake Masker,,????😡 Omg, ini kan membahayakan bpk2 tni,,! Mana baju astronotnya,,? Gak ada duid ya buat beli ?, hbs buat foya2 buzzer ya ? 👺🐸💩</t>
  </si>
  <si>
    <t>RT @antaranews: "Mereka dalam keadaan sehat, kalau tidak sehat tidak boleh dievakuasi. Itu sudah jadi standar WHO. Tidak boleh ada orang dalam keadaan sakit dievakuasi," kata Muhadjir.</t>
  </si>
  <si>
    <t>Pemerintah Jepang juga telah mengecek 69 WNI tersebut dengan metode PCR dan dinyatakan negatif covid-19.</t>
  </si>
  <si>
    <t>RT @rmol_id: Sama-sama di Pulau Sebaru, Observasi 69 WNI Akan Dipisah Sementara Dengan 188 WNI Yang Datang Lebih Dulu #RepublikMerdeka</t>
  </si>
  <si>
    <t>@tjhinfar21 @jokowi @mohmahfudmd Proyek Pemulangan eks WNI anggota teroris ISIS.</t>
  </si>
  <si>
    <t>RT @ERumianti: @BirgaldoS @tedi_pirmansyah Mrk sedang memelihara anak ular,hebat deh duit negara ini buat biayai anak2 ex wni yg suatu saat siap menghancurkan negara ini</t>
  </si>
  <si>
    <t>RT @wakilgubernurKW: Anak Isis diperhatikan Anak korban isis diabaikan. Ada Apa dengan Mr @jokowi Mr @mohmahfudmd ?</t>
  </si>
  <si>
    <t>RT @AyunindyaRizkya: semua yg pergi bergabung ke kelompok itu hanya pulang membawa penyesalan. tak sesuai ekspektasi. Isis memang hanya membawa kerusakan dan kehancuran. #MenolakLupaKejahatanISIS</t>
  </si>
  <si>
    <t>@_CHlS_ @KemenkesRI @Kemlu_RI @KSPgoid @WHOIndonesia @PBIDI @KemenkeuRI @WHO Yg pedih lg, lihatlah di akun puspentni. Wni yg baru dtg di pulau sibaru diperiksa anggota tni cumak pake Masker,,????😡 Omg, ini kan membahayakan bpk2 tni,,! Mana baju astronotnya,,? Gak ada duid ya buat beli ?, hbs buat foya2 buzzer ya ? 👺🐸💩</t>
  </si>
  <si>
    <t>RT @jumianto_RK: Olahraga Senam Pagi 188 WNI ABK MV. World Dream di Pulau Sebaru Kecil Menjalani Transit Observasi Indonesia Aman dari Virus Corona</t>
  </si>
  <si>
    <t>RT @elHurryKoRn: "Kita ketawa Nanti Kalo ada Suara Bom" Begitulah si Ayah ajarkan pada Balitanya agar tidak Trauma saat terjadi bombardir di Syuriah Ketawa riang si Balita ini bikin kita Menangis membayangkan NKRI tercinta ini alami hal yg sama jika ISIS, HTI &amp; Antek2nya dibiarkan Eksis!</t>
  </si>
  <si>
    <t>@hasmi_bakhtiar Amerika mau fokus melawan musuh besarnya... ISIS</t>
  </si>
  <si>
    <t>RT @ayah_9Garislucu: Utas ini Mengupas tentang perilaku anak2 ISIS, baca.. Mengapa kita harus #MenolakLupaKejahatanISIS</t>
  </si>
  <si>
    <t>RT @Raj4Purwa: Waduh... Terungkap, 238 WNI dari Wuhan Tak Dites Virus Corona, Alatnya Mahal</t>
  </si>
  <si>
    <t>RT @___MrJuna____02: Ngetesnya pake tes apa nih?</t>
  </si>
  <si>
    <t>RT @kompascom: Emil meminta warganya tidak perlu khawatir dengan kedatangan WNI awak Kapal Diamond Princess karena mereka dinyatakan sehat, hanya perlu observasi.</t>
  </si>
  <si>
    <t>Alat Mahal, Benarkah WNI di Natuna Tak Pernah Dites Virus Corona?</t>
  </si>
  <si>
    <t>@budimandjatmiko Memangnya....yg kopar kapir di sini kan bosnya adalah Amrik. Amrik pencipta isis dan pengguna wahabi... Amrik ya Yahudi lah.</t>
  </si>
  <si>
    <t>RT @KompasTV: Inilah detik-detik evakuasi WNI dari Tokyo. 69 WNI dari kapal pesiar Diamond Princess dijemput oleh tim dari TNI, Kemenkes, dan Kemenlu.</t>
  </si>
  <si>
    <t>Utas ini Mengupas tentang perilaku anak2 ISIS, baca.. Mengapa kita harus #MenolakLupaKejahatanISIS RT @__MV_llestari__: MENJEMPUT TERORIS PULANG . . . Sempat kaget bercampur heran ketika seorang anak laki-laki berumur sekitar 8-9 tahunan menghampiriku dan menyodorkan tangannya dan kemudian meminta uang layaknya pengemis. Ini di Belanda pikirku.</t>
  </si>
  <si>
    <t>Sementara pemerintah sibuk urusin pemulangan ISIS, negara Israel habiskan pikiran melawan virus Covid 19. Sudah tau ya mana pemerintah yg perduli kemanusiaan mana pemerintah yg dukung ISIS. Kabar Gembira dari Galilea, Israel Temukan Anti Virus Corona</t>
  </si>
  <si>
    <t>RT @DenBagusDhewe: Kebayang ga pak @jokowi : -Perasaan 238 WNI ybs, dinyatakan sehat? -Perasaan dan resiko keluarganya, -Resiko besar jutaan rakyat? Katanya banyak uang? Katanya keuangan stabil? Rakyat bayar pajak, tak dipedulikan keselamatannya. Tapi bisa byr buzzer 72M</t>
  </si>
  <si>
    <t>Diangkut Bus, 69 WNI Kru Diamond Princess Tiba di Pelabuhan Indramayu  #DariSuara</t>
  </si>
  <si>
    <t>RT @zarazettirazr: TOLONG Diomelin Suara dot Com kalo ini HOAX Jangan ngomelin Netizen dan Rakyat Udah 72 M kontrol Media aja ga becus Apalagi kontrol suara rakyat yg ratusan juta jumlahnya</t>
  </si>
  <si>
    <t>@jr_kw19 @DPDRI @SenatorJakarta @DivHumas_Polri @BareskrimPolri polisi seharusnya bertindak cepat dengan pe yebar hoak tangkap dan proses sesuai hukum yg berlaku untuk semua wni</t>
  </si>
  <si>
    <t>RT @dewi_darmawati: @MrsRachelIn @jokowi @mohmahfudmd @Menlu_RI @KPAI_official @BNPTRI anak2 pengungsi syiah dan ahmadiyah yg sp sekarang masih di pengungsian lebih tidak berharga dibanding anak eks WNI, anak2 calon kombatan antiNKRI .. #NegeriYangAneh 😥😠</t>
  </si>
  <si>
    <t>Ternyata gini rasanya WNI yg pulang dari Wuhan Dapat diskriminasi padahal belum tentu teridentifikasi Gak apa apa sih gue mah dapat tambahan cuti lagi</t>
  </si>
  <si>
    <t>@BirgaldoS Gimana ini pak @jokowi masa ex isis mau dipulangin</t>
  </si>
  <si>
    <t>@tubirfess 1. How bout kaum Yazidi yg dibantai ISIS dan perempuan²nya dijadikan budak napsu mereka? 2. How bout Ahmaddiyahs di Indo? Udah, ga usah disensor username si doi, he clearly doesnt need your protection 😁</t>
  </si>
  <si>
    <t>RT @AsheelaB: *Said Aqil dalam pertemuan dg Menlu Retno Marsudi di kantor PBNU* : Quran perintahkan Nabi usir pembuat gaduh  #MenolakLupaKejahatanIsis #MenolakLupaKejahatanISIS</t>
  </si>
  <si>
    <t>RT @Metro_TV: #BreakingNewsMetroTV Jelang proses evakuasi WNI ABK Diamond Princess dari Jepang menuju Bandara Kertajati, Jawa Barat. LIVE @Metro_TV</t>
  </si>
  <si>
    <t>Karantina WNI Diamond Princess di Pulau Sebaru Kecil #CoronaVirus #Tagar</t>
  </si>
  <si>
    <t>RT @__MV_llestari__: Apakah dengan demikian anak-anak ini dapat dikatakan WNI? Sebaiknya negara justru berkontribusi pada membuat tekanan kepada Internasional agar pengadilan penjahat perang dan kejahatan internasional ini ditangani oleh PBB.</t>
  </si>
  <si>
    <t>Kapan Rubuhkan setan yg berdiri mengangkang?Terungkap, 238 WNI dari Wuhan Tak Dites Virus Corona, Alatnya Mahal Bukti panic game lainnya, diskusi siapa figur calon presiden 2024 sudah mulai dibicarakan,</t>
  </si>
  <si>
    <t>RT @republikaonline: selanjutnya 69 ABK ini langsung menuju ke Pulau Sebaru menggunakan KRI dr Soeharso.</t>
  </si>
  <si>
    <t>Terungkap, 238 WNI dari Wuhan Tak Dites Virus Corona, Alatnya Mahal Bukti panic game lainnya, diskusi siapa figur calon presiden 2024 sudah mulai dibicarakan, padahal Jokowi dan Maruf Amin baru saja dilantik. Orang2 partai dan lembaga survei sudah membicarakan suksesi Jokowi.  RT @msaid_didu: Ternyata hampir semua instansi dan BUMN gunakan dana APBN utk bayar buzzeRp.</t>
  </si>
  <si>
    <t>dan menerapkan aturan Islam yg sangat keras seperti hukum Rajam bagi pelaku zina, condong seperti Alqaeda dan ISIS. Namun ada beberapa orang bahkan tdk dapat lagi dihitung dengan jari, yg sejak kecil sampai tua saat ini tidak mempunyai ketertarikan kepada perempuan,</t>
  </si>
  <si>
    <t>Gubernur Jabar Belum Terima Data Warganya dari 69 WNI ABK Diamond Princess</t>
  </si>
  <si>
    <t>Bisa gak kemekes membuktikan / menjelaskan, kpada Dunia alat apa yg digunakan @KemenkesRI @jokowi utk mendeteksi ada tidaknya COVID-19 ini... Gk masuk akal soalnya tdk ada korban</t>
  </si>
  <si>
    <t>RT @evalez_fr: Alatnya Mahal 😱 solusi mudah, redam beritanya aja 🤦</t>
  </si>
  <si>
    <t>Nah loh, jd ini alasan kmrn keluar dana 72 M ?</t>
  </si>
  <si>
    <t>RT @Takviri: Iya pak @jokowi, Kita juga gotong royong awasi anak-anak teroris ISIS yg dipulangkan pemerintah koq</t>
  </si>
  <si>
    <t>@Nasution_eD Terungkap, 238 WNI dari Wuhan Tak Dites Virus Corona, Alatnya Mahal Kapan Rubuhkan setan yg berdiri mengangkang?</t>
  </si>
  <si>
    <t>@tjhinfar21 @ChusnulCh__ @jokowi @mohmahfudmd Kl anak anak yatim piatu yg balita is oke,belum dilatih isis</t>
  </si>
  <si>
    <t>Dialihbahasakan dari The Economist, Minggu (1/3/2020), para WNI yang telah dievakuasi dari Wuhan menjalani karantina di Natuna selama dua pekan. Selama itu pula mereka tidak dites virus corona.</t>
  </si>
  <si>
    <t>Terungkap, 238 WNI dari Wuhan Tak Dites Virus Corona, Alatnya Mahal RT @Fw_fa_h: Gubernur DKI Jakarta Anies Baswedan menegaskan, call center 112 siap merespons cepat aduan jika ada gejala virus corona. Cc @Nai_Nairen @billy_rania @twitpos @taharuddin_id @fai200220 @Fw_fa_h @hairunisah20 @aiek_esthreem__ @Vairply__V1 @TrisnaKSasmita</t>
  </si>
  <si>
    <t>RT @hermana_t: Sebanyak dua WNI Kru Diamond Princess yg sakit krn positif Corona sdh dinyatakan sembuh dan ikut kembali ke Indonesia bersama 67 WNI lainnya "Yg positif awalnya sembilan, satu sembuh. Satu lagi dinyatakan sembuh dari dua kali pemeriksaan," kata Yurianto</t>
  </si>
  <si>
    <t>@denmasbib @GHiugo apalagi yg pegang senjata ISIS?</t>
  </si>
  <si>
    <t>RT @Om_Djawa: 238 mahasiswa Indonesia dari Wuhan setelah dikarantina, tdk dilakukan pemeriksaan virus corona. Alasannya alat tes yang mahal (Rp. 1 M). Laah DOEL, katanya bayar Buzzer sampe 70 M. bisa..? Emangnya Banyakan 1 M dibanding 70 M ya DOEL..? 😂😂😂</t>
  </si>
  <si>
    <t>@7endralKad_run Knpa ISIS ga angkut kadrun ya</t>
  </si>
  <si>
    <t>RT @YohanesPatty2: @APalestin42 @hamka_sutra @jokowi @mohmahfudmd Negara Nekat memulangkan anak2 ISIS tapi negara mengabaikan prtmasalah TKI di luar Negeri. Mengembalikan anak2 ISIS artinya Negara mengabaikan 270 Juta Jiwa yg akan terancam ke damaiannya. Kalimatan sdh siap mandau terbang. @jokowi @DPR_RI @DPD_PDIP_JABAR @DPDRI kita perang saja.</t>
  </si>
  <si>
    <t>Tmnc Isis perfeita 😍🤮🤞 RT @isisz_: sexuau 😳🥳</t>
  </si>
  <si>
    <t>69 WNI ABK Diamond Princess telah Mendapat Sertivikat Kesehatan dari jepang</t>
  </si>
  <si>
    <t>RT @WidaLoveKidz: @VIVAcoid Pembuktiannya pake apa?? Lah wong mau beli reagen harganya 1 M aja dibilang mahal</t>
  </si>
  <si>
    <t>RT @hamka_sutra: Saya sangat yakin ini akan dibatalkan. Semoga saja Tidak kah anak-anak jalanan di Indonesia ini lebih memprihatinkan? Berapa banyak anak di negara ini tidak melanjutkan sekolah hanya karena ketiadaan biaya? @jokowi @mohmahfudmd #MenolakLupaKejahatanIsis</t>
  </si>
  <si>
    <t>@BirgaldoS Pak @jokowi tolonglah pak, korban teroris dibiayain sampai bnr2 sembuh baik fisik dan mentalnya, diberikan lapangan pekerjaan krn mereka mgkn sempat kehilangan pekerjaannya. YANG TERUTAMA DIURUS ITU YA MEREKA, BUKAN ANGGOTA ISIS EX WNI.</t>
  </si>
  <si>
    <t>@ArifinNKRI__ @Bangzul__88 @FTanjung007 @TeWeL7 @Nezhea_Thann Eks isis bukan warga negara indonesia,mereka penghianat,pk @mohmahfudmd tolong buka mata hati bapak pikirkan anak bangsa yg lebih cinta pancasila,pk @jokowi kami tidak mau kecewa karena memilih bapak.</t>
  </si>
  <si>
    <t>Turun dari Pesawat, 69 WNI Kru Kapal Diamond Princess Menuju Pelabuhan Indramayu</t>
  </si>
  <si>
    <t>RT @godonggodog: @collegemenfess  Ini linknya ya kawand2 - ns</t>
  </si>
  <si>
    <t>@CastilloJoshima @jokowi @mohmahfudmd cinta ISIS</t>
  </si>
  <si>
    <t>Menkes: Pemeriksaan 69 WNI ABK Diamond Princess Dilakukan Sangat Detail</t>
  </si>
  <si>
    <t>RT @Dnok_Ayu: Sedianya 188 WNI yg dievakuasi ini skrg udah sampai di Pulau Sebaru u/ proses karantina &amp; rehabilitasi. Hormat u/ semua yg telah terlibat pemindahan WNI ini 🙏 Semoga 14hr ini kondisi mereka ttp stabil &amp;amp; dinyatakan sehat kemudian. Semangat smua 💪</t>
  </si>
  <si>
    <t>RT @BoN_0_0_9: Selamat Akhir Zaman.. Ini Dosa siapa? Ini Salah siapa? Jika Umat Islam tdk bisa ibadah Umrah bkn salah Arab Saudi. Tp Dunia Internasional masih ragu dgn kredibilitas Pemimpin Indonesia yg suka berbohong," #Pray4MoslemIndia #Pray4MoslemIndia</t>
  </si>
  <si>
    <t>@adriankusaihir1 @Ndrews1162011 @sari00925317 @MAhmadiyah @Dennysiregar7 Nah itu tau klo Iraq dan ISIS sdh keok, sdh mulai pinter ya drun krn debat sama gw wkqkwkqk</t>
  </si>
  <si>
    <t>@isis__27 @TonTounsPrefere Bdh numero uno</t>
  </si>
  <si>
    <t>Mw msk isis btr eh abistu keluar lg trs menyesal Biar dibuatkan perumahan khusus, ngga perlu kpr lg😤</t>
  </si>
  <si>
    <t>RT @wisanggeni_084: 1 WNI tidak ingin kembali karena ingin menjadi relawan !!! Ketika jiwanya sdh terpanggil, resiko sebesar apapun takkan pernah menyurutkan keinginannya. Siapapun Anda, saya apresiasi setinggi2nya, Sehat selalu dan semoga selalu dalam perlindungan Tuhan YME. Amin. 🙏🙏😇😇</t>
  </si>
  <si>
    <t>RT @Metro_TV: @IndonesiaGaruda #BreakingNewsMetroTV "Proses evakuasi WNI ABK Diamond Princess melalui prosedur 2 tahap, yaitu pesawat menuju Kertajati &amp; kapal menuju Pulau Sebaru.- Budi Karya Sumadi (Menhub RI). Live @Metro_TV</t>
  </si>
  <si>
    <t>RT @KeyshaAdinda5: ISIS bukanlah bagian dari Islam tapi Anak dari arogansi barat yg ingin menghancurkan Islam.. Sekarang pemerintah mau mulangin anak2nya??? Gak salah? #MenolakLupaKejahatanISIS</t>
  </si>
  <si>
    <t>RT @babyguto1: “PAPAI, PAPAAAAAAAAAAI” @marilia_nery @evertonri</t>
  </si>
  <si>
    <t>RT @KPUGate: Terungkap, 238 WNI dari Wuhan Tak Dites Virus Corona, Alatnya Mahal</t>
  </si>
  <si>
    <t>Ketika Ridwan Kamil Pinjam Kamera Foto Pesawat Pengangkut 69 WNI Dari Jepang di Bandara Kertajati</t>
  </si>
  <si>
    <t>Menilik Kesibukan Petugas Saat Pesawat Pengangkut 69 WNI Dari Jepang Tiba di Bandara Kertajati</t>
  </si>
  <si>
    <t>RT @SaveMoslem1: ADA YANG TAHU INI SIAPA DAN BICARA APA ??? Kayaknya ini wni</t>
  </si>
  <si>
    <t>@adriankusaihir1 @sari00925317 @Ndrews1162011 @MAhmadiyah @Dennysiregar7 Hey drun, makanya keluar dari goa, liat dunia biar tau berita klo ISIS udh kelaut, keok, mati, mampus</t>
  </si>
  <si>
    <t>RT @KompasTV: BREAKING NEWS - Detik-Detik Kedatangan WNI Kru Kapal Diamond Princess</t>
  </si>
  <si>
    <t>RT @Sastroklengsre1: MENOLAK KERAS KEPULANGAN ISIS KE BUMI PERTIWIKU INDONESIA! #MenolakLupaKejahatanISIS #MenolakLupaKejahatanIsis</t>
  </si>
  <si>
    <t>Alur Pemulangan 69 WNI Kru Diamond Princess ke Indonesia</t>
  </si>
  <si>
    <t>Main tik tok biar kyk WNI yg kena korona.</t>
  </si>
  <si>
    <t>Menko PMK: Kondisi 69 WNI Kru Kapal Diamond Princess Sehat</t>
  </si>
  <si>
    <t>Nasdem Minta DPR Lebih Proaktif Buru Data WNI Di Luar Negeri #DPR #BNPB #RepublikMerdeka</t>
  </si>
  <si>
    <t>RT @bhre_wengker84: Meski telah dinyatakan sehat o/ otoritas Jepang, WNI awak kapal Diamond tetap memakai masker dan petugas bekerja melakukan penyemprotan cairan disinfektan ke seluruh tubuh WNI tsb.</t>
  </si>
  <si>
    <t>RT @Nouna_jessica94: ISIS itu sekelompok orang islam dari Irak dan Suriah yang bersatu untuk membentuk suatu kelompok demi kepentingan pribadi. #MenolakLupaKejahatanISIS</t>
  </si>
  <si>
    <t>@HenrySantika @sari00925317 @MAhmadiyah @Ndrews1162011 @Dennysiregar7 Iya yg biadab kafir mknya ada perang salib hingga ISIS</t>
  </si>
  <si>
    <t>Tiba Di Pelabuhan Indramayu, 69 WNI ABK Diamond Princess Langsung Naik KRI Dr Soeharso 990</t>
  </si>
  <si>
    <t>Wah kalau berita ini benar Tega benar , karena alat 1 milyar dibilang mahal dan ngak dites Semahal mahalnya alat, kalau untuk Rakyat sendiri Harusnya diadakan Apalagi cuma semilyar</t>
  </si>
  <si>
    <t>RT @KeyshaAdinda5: sebagian besar mereka yg gabung ISIS dan dikirim ke Suriah memang menyesal. tapi akidah yg mereka anut masih sama: takfirisme, radikalisme, intoleransi dan anti Pancasila #MenolakLupaKejahatanISIS</t>
  </si>
  <si>
    <t>RT @KeyshaAdinda5: Marwa Khedr, salah satu anak yang jadi budak seks ISIS dan dirudapaksa 100 jihadis ISIS hingga hamil di usia 10 tahun #MenolakLupaKejahatanISIS</t>
  </si>
  <si>
    <t>RT @voaindonesia: 69 WNI Awak “Diamond Princess” Tiba di Indonesia</t>
  </si>
  <si>
    <t>Gubernur: Belum ada data warga Jabar pada WNI ABK Diamond Princess</t>
  </si>
  <si>
    <t>Menko PMK tegaskan WNI kru kapal Diamond Princess sehat</t>
  </si>
  <si>
    <t>69 WNI kru Diamond Princess tiba di Bandara Kertajati</t>
  </si>
  <si>
    <t>Empat bus angkut 69 WNI ABK Diamond Princess berangkat dari Kertajati</t>
  </si>
  <si>
    <t>Segudang Fasilitas Lokasi Observasi WNI di Pulau Sebaru, Ada Tempat Karaoke</t>
  </si>
  <si>
    <t>@KeyshaAdinda5 @jokowi @mohmahfudmd Video Aksi Demo Teateritikal Tentang ISIS Di Kota London</t>
  </si>
  <si>
    <t>@collegemenfess kenapa gak dilakuin pemeriksaan? karena sebelum diberangkatkan menuju Natuna, WNI sudah diperiksa kondisinya (apakah demam? apakah batuk, pilek, dll?) kemudian setelah sampai Natuna kan dikarantina selama 14 hari (sesuai dengan masa inkubasi virus tsb),....</t>
  </si>
  <si>
    <t>RT @RaisaSukainah: Kedatangan anak-anak ISIS adalah tanggungjawab besar pemerintah. Mereka adalah manusia, bukan robot yang bisa di 'reset' dengan sekali pencet. #MenolakLupaKejahatanISIS</t>
  </si>
  <si>
    <t>RT @7endralKad_run: @Parkomburate hahaha 🤭 iya bang, sama seperti kata bg jack marpaung KUHP: KASIH UANG HABIS PERKARA (dalam bentuk bantuan) gimana lah bang mau dibilang lagi lebih sayangnya Negara ini sama anak2 ISIS dari pada Anak dalam Negeri yg jadi korban dan masih dalam kesusahan.</t>
  </si>
  <si>
    <t>@HenrySantika @sari00925317 @MAhmadiyah @Ndrews1162011 @Dennysiregar7 Gaklah kita kan bukan kafir cinta kasih yg hobi rusak dan fitnah agama dan negara org dari kasus Irak hingga ISIS kkkkkkk</t>
  </si>
  <si>
    <t>@Parkomburate hahaha 🤭 iya bang, sama seperti kata bg jack marpaung KUHP: KASIH UANG HABIS PERKARA (dalam bentuk bantuan) gimana lah bang mau dibilang lagi lebih sayangnya Negara ini sama anak2 ISIS dari pada Anak dalam Negeri yg jadi korban dan masih dalam kesusahan.</t>
  </si>
  <si>
    <t>RT @Parapat_Nixon: ISIS Latih RIBUAN Anak Kecil Sbg Pelaku Bom Bunuh Diri  Pemulangan Anak2 ISIS Eks WNI palagi yg ortunya tewas di sana, kan jd "BOM WAKTU"  Maaf, utk kesekian kali APA SIH MAU MU PAK @jokowi ? @mohmahfudmd 🙏</t>
  </si>
  <si>
    <t>RT @OposisiCerdas: Terungkap, 238 WNI dari Wuhan Tak Dites Virus Corona, Alatnya Mahal</t>
  </si>
  <si>
    <t>Habis wořĺď. dreàm,kembali Dia.mond princess dievakuasi WNI untuk. Đikarantinakan.</t>
  </si>
  <si>
    <t>Pemerintah Segera Evakuasi WNI di Diamond Princess  via @kabar_tangsel</t>
  </si>
  <si>
    <t>RT @ICorleano: @__MV_llestari__ Memulangkan anak" simpatisan ISIS... Sedangkan banyak anak" di negeri ini yg justru lbh banyak membutuhkan perhatian dr pemerintah, mslh pendidikan, kesehatan serta kesejahteraan yg blm mampu terpenuhi... Mohon dipertimbangkan lagi pak @mohmahfudmd 🙏🏻🙏🏻</t>
  </si>
  <si>
    <t>RT @7endralKad_run: @KATADATAcoid #MenolakLupaKejahatanISIS Getir &amp; Trauma Korban Terorisme Merespons Pemulangan 600 Eks ISIS -</t>
  </si>
  <si>
    <t>RT @Kareen_Sadaf: Apakah kalian setuju eks ISIS dipulangkan?? Please share #MenolakLupaKejahatanISIS</t>
  </si>
  <si>
    <t>RT @RaisaSukainah: Kalau emang tujuannya mau jihad fi sabilillah, kenapa ISIS gak berjihad memerangi Israel??!! #MenolakLupaKejahatanISIS</t>
  </si>
  <si>
    <t>@KATADATAcoid #MenolakLupaKejahatanISIS Getir &amp; Trauma Korban Terorisme Merespons Pemulangan 600 Eks ISIS -</t>
  </si>
  <si>
    <t>@hilyatul_afifah Anak jaman sekarang g peduli isis mbak, mereka udah terkontaminasi tik tok</t>
  </si>
  <si>
    <t>RT @S0N_2000: @geloraco @_ibaadurrahmaan dipulangkan ke keluarga ,tapi gak dites virus corona, alasan alatnya mahal. oh jadi ini bilang bebas virus corona, jelas saja gak terdeteksi gak pernah ad tes... Terungkap, 238 WNI dari Wuhan Tak Dites Virus Corona, Alatnya Mahal</t>
  </si>
  <si>
    <t>@penyejuk_hati_ Yang bagian subject-nya misal adalah member ISIS aja ko.^^</t>
  </si>
  <si>
    <t>Proses Evakuasi 68 ABK Diamond Princess Di Bandara Kertajati Mereka WNI yang bekerja sebagai ABK Kapal Diamond Princess. Mereka di pulangkan dari jepang setelah hasilnya negatif bebas dari korona. Sementara yang 8 orang tertahan karena positif terinfeksi virus corona.</t>
  </si>
  <si>
    <t>@HenrySantika @f4hm1e261216 @sari00925317 @MAhmadiyah @Ndrews1162011 @Dennysiregar7 Biang keroknya Syiah Iran Wahabi Khawarij ISIS AS Israel UE Rusia</t>
  </si>
  <si>
    <t>RT @7endralKad_run: @KATADATAcoid #MenolakLupaKejahatanISIS Setia pada ISIS, Teroris Medan Tidak Menyesal</t>
  </si>
  <si>
    <t>@KATADATAcoid #MenolakLupaKejahatanISIS Setia pada ISIS, Teroris Medan Tidak Menyesal</t>
  </si>
  <si>
    <t>@penyejuk_hati_ Aku tadi bikin twit juga kalau subject-nya beda orang i.e member ISIS, ternyata Oki bahas juga, my bad for not reading them all because I stopped when thought of getting his point, kuhapus aja mbok dikira aku copas idenya.</t>
  </si>
  <si>
    <t>69 WNI ABK Diamond Princess Diberangkatkan ke Pelabuhan Indramayu. #CoronaVirusUpdate #bandarakertajati #PulauSebaru #COVID19indonesia #jurnalwarga</t>
  </si>
  <si>
    <t>RT @7endralKad_run: @KATADATAcoid #MenolakLupaKejahatanISIS Soal Penusukan Wiranto, Ini Rentetan Jejak ISIS di Indonesia -</t>
  </si>
  <si>
    <t>@KATADATAcoid #MenolakLupaKejahatanISIS Soal Penusukan Wiranto, Ini Rentetan Jejak ISIS di Indonesia -</t>
  </si>
  <si>
    <t>Alasan Bandara Kertajati Dipilih Jadi Tempat Transit Evakuasi 69 WNI Kru Kapal Diamond Princess</t>
  </si>
  <si>
    <t>Diangkut 4 Bus, WNI Diamond Princess Dibawa ke Pelabuhan PLN Indramayu  #DariSuara</t>
  </si>
  <si>
    <t>BREAKING NEWS: Pesawat Pengangkut 69 WNI Kru Kapal Diamond Princess Jepang Tiba di Bandara Kertajati</t>
  </si>
  <si>
    <t>@Hana_Macchia Lah kan admin lagi mantau berita WNI dari Diamon Pricess 😞</t>
  </si>
  <si>
    <t>@Muhamma97478262 @WhoCare08773336 @BOLNETWORK @Dr_fizakhan Pakistan = terrorist factory Your country is in grey list of FATF. Aaj bharat ka banda Google ka CEO, Microsoft ka ceo hai etc etc.. or tum saale tatti kahi ke.. abhi bhi ISIS me career bana rhe ho. Pakistan ki aukat nhi hai Bharat se barabri karne ki.</t>
  </si>
  <si>
    <t>halah pak korupsi aja bisa kok ber triliyun2, masa beli reagen 1 milyar aja ga sanggup hehe</t>
  </si>
  <si>
    <t>69 ABK WNI Tiba Bakal Langsung Dibawa Lokasi ini</t>
  </si>
  <si>
    <t>@BirgaldoS Dibilangin, wni eks isis dijadiin relawan kerja paksa aja etdah.</t>
  </si>
  <si>
    <t>WNI di Taiwan Positif Corona</t>
  </si>
  <si>
    <t>RT @Puspen_TNI: Para pejuang kemanusiaan evakuasi WNI dari kapal pesiar "Diamond Princess"😎💂 #TNIPeduli #Satgas #diamondprincesscruise</t>
  </si>
  <si>
    <t>@tjhinfar21 @gunoto7 @jokowi @mohmahfudmd Jujur...Awalnya Saya Sudah Senang Lho.. Mendengar Pernyataan Yg TDK AKAN MEMULANGKAN KOMBATISAN ISIS..lhaah Tapi Saiki Koq...?????</t>
  </si>
  <si>
    <t>Yang kek gini nih mau dipulangin ke Indonesia ???,mereka anak-anak ISIS dari kecil sudah dilatih menggunakan senjata dan melakukan bom bunuh diri !!! #MenolakLupaKejahatanISIS #tolakanakisiskembali</t>
  </si>
  <si>
    <t>RT @SinghTvitter: @AxiJ5 @PickyPure @DVATW U close Ur eyes to reality? Kashmir_KPs 27/11,9/11 Shia_Sunni ISIS_BokoHaram LeT JeM ETIM Syria_Turkey Turkey_Kurds Lebnan_Jordan_Libya Saudia_Yemen Iran_Iraq Iraq_Kuwait Af_Pak_Taliban Pakjabi_Balochistan Pakjabi_Pashtun Pakjab_Mohajir LeT Jaish India_Supremacism of minority.</t>
  </si>
  <si>
    <t>Bantai saja semua ekstrimis terroris itu pak @IndianEmbJkt perusuh pemberontak jihadis pro al qaeda isis mohon dibasmi saja. RT @iskandar__fauzi: Kata pejabat kedutaan india @IndianEmbJkt yg ada di indonesia kerusuhan Hindu membantai muslim adlh hoax dan India dlm kondisi aman.mesjid dibakar,orang muslim dibantai masih jg kalian bilang hoax,biadab kalian.umat muslim di India sudah mulai bangkit melawan daripada mati konyol</t>
  </si>
  <si>
    <t>@seruanhl Yang bener ISIS ex WNI kali</t>
  </si>
  <si>
    <t>@BirgaldoS Anak2 pelaku pengeboman di fasilitasi hingga mereka dewasa. BIAYANYA dari kita bayar pajak. Suatu saat mereka akan menyebarkan paham RADIKALISME dan melakukan bom bunuh diri. Korbannya orang yg kita cintai. What the fuck. Kita lah yg membiayai ISIS #MenolakLupaKejahatanISIS</t>
  </si>
  <si>
    <t>Ami tu me das pena ajena.</t>
  </si>
  <si>
    <t>RT @republikaonline: Total ada 11 WNI yang positif terkena corona di luar Indonesia.</t>
  </si>
  <si>
    <t>Putar ulang video kekejian/ keganasan ISIS yang telah melakukan kejahatan mengatasnamakan agama, anak-anak ISIS dari kecil sudah diajari menggunakan senjata dan melakukan bom bunuh diri !!! CC.@mohmahfudmd #MenolakLupaKejahatanIsis #tolakanakisiskembali</t>
  </si>
  <si>
    <t>Sebanyak dua WNI Kru Diamond Princess yg sakit krn positif Corona sdh dinyatakan sembuh dan ikut kembali ke Indonesia bersama 67 WNI lainnya "Yg positif awalnya sembilan, satu sembuh. Satu lagi dinyatakan sembuh dari dua kali pemeriksaan," kata Yurianto</t>
  </si>
  <si>
    <t>RT @nousantarien: Ya Tuhan, buat influencer bisa. Ini gak bisa? 🤦🏽Terungkap, 238 WNI dari Wuhan Tak Dites Virus Corona, Alatnya Mahal</t>
  </si>
  <si>
    <t>Woi...kaum yg merasa paling beriman, Pemilik kavling sorga. Kalian hanya sekumpulan manusia munafiq..! Di mna suara kalian saat isis menebar kekejaman ny? Ribuan korban nya tp kalian cm diam.. Agama cuma kalian jd kan kedok! #MenolakLupaKejahatanISIS</t>
  </si>
  <si>
    <t>Sepakat Damai, Amerika Minta Taliban Perangi ISIS</t>
  </si>
  <si>
    <t>RT @P_Eneste: @Aslipriok1973 @musniumar Benar, Dan dlm jangka panjang, menghilangkan kemanusiaan dan nyawa banyak manusia tidak berdosa, serta menyisakan penderitaan panjang bagi yg hidup. Contoh aktual, korban2 Khilafah ala ISIS, baik yg mati, jutaan pengungsi dan korban perkosaan. Ingat itu! @KSPgoid @jokowi</t>
  </si>
  <si>
    <t>Semoga WNI yang baru tiba dengan keadaan sehat semua 🤲</t>
  </si>
  <si>
    <t>RT @Evando28527021: @BirgaldoS Semoga Trinity selalu kuat dalam proses pengobatan dan segera pulih/sembuh. Jika suatu saat anak eks ISIS menjadi teroris dengan membunuh dengan cara apapun, pihak yg mengijinkan anak eks ISIS pulang ke Indonesia harus bertanggung jawab dan diadili.</t>
  </si>
  <si>
    <t>RT @Metro_TV: @IndonesiaGaruda #BreakingNewsMetroTV "Terima kasih pada semua pihak yang telah membantu proses evakuasi 69 WNI ABK Diamond Princess yang telah berlangsung lancar."- Budi Karya Sumadi (Mentri Perhubungan RI). LIVE @Metro_TV</t>
  </si>
  <si>
    <t>RT @Fatimah4jeng: ISIS, Boko Haram (Nigeria) dua kelompok yg "katanya" berjuang atas nama Islam. Tpi hanya bau anyir darah yg membekas dlm setiap langkah mereka. Kalau memang pejuang Islam kenapa tidak memerangi Israel dan penindas di Myanmar, Uigur dan India? #MenolakLupaKejahatanIsis</t>
  </si>
  <si>
    <t>@BirgaldoS Ini beneran anak2 isis ex wni pada pen dijemput &amp; dijamin ampe dewasa? Di mana otaknya pak bu.</t>
  </si>
  <si>
    <t>RT @GagakNeww2: Rezim Usmani tanganya yg penuh Darah dan mesin pembunuh yg berlindung di Balik Agama,Erdogan adalah ISIS penerus Al baghdadi 👇👇👇</t>
  </si>
  <si>
    <t>Turun dari Pesawat, 69 WNI Kru Kapal Diamond Princess Menuju Pelabuhan Indramayu #TauCepatTanpaBatas #BeritaTerkini #Berita #News #BeritaNasional .</t>
  </si>
  <si>
    <t>Pesawat Bawa 69 WNI ABK Diamond Princess Telah Mendarat di Bandara Kertajati  #</t>
  </si>
  <si>
    <t>@ustadtengkuzul Dia kan bangga klo ada korban corona WNI</t>
  </si>
  <si>
    <t>@Parapat_Nixon @jokowi @mohmahfudmd Maaf saya juga tidak terima anak anak penghianat negara pemberontak pembunuh kejam dipulangkan dengan biaya dari pajak yg saya BAYARKAN , apa bapak @jokowi @mohmahfudmd pernah memikirkan penderitaan anak2 korban bom teroris ISIS itu? Apa sih untung nya memulangkan teroris ISIS?</t>
  </si>
  <si>
    <t>RT @Anggi14Dewi: Memakai nama Islam untuk merusak citra Islam itulah ISIS. #MenolakLupaKejahatanISIS</t>
  </si>
  <si>
    <t>RT @BNPB_Indonesia: Shalat Jumat di Pulau Sebaru Kecil (28/2). Menko PMK Prof Dr Muhadjir Effendi bertindak sbg Khatib di dampingi Kepala BNPB Doni Monardo, Pangkogabwilhan 1 Letjen Yudo di Pulau Sebaru Kecil pada misi kemanusiaan menjemput WNI dari kapal World Dream u/ observasi kasus virus corona.</t>
  </si>
  <si>
    <t>MENOLAK KERAS KEPULANGAN ISIS KE BUMI PERTIWIKU INDONESIA! #MenolakLupaKejahatanISIS #MenolakLupaKejahatanIsis RT @JohnIrwan4: Tolak Eks ISIS Pulang Said Aqil: Quran Perintahkan Nabi Usir Pembuat Gaduh</t>
  </si>
  <si>
    <t>Mereka turun dari pesawat satu per satu dan petugas berpakaian khusus sudah menanti dan langsung menyemprotkan cairan disinfektan sebelum masuk ke dalam bus khusus yang sudah disediakan. #observasi #corona #Sebaru #diamondprinces</t>
  </si>
  <si>
    <t>@Pun_Starr Other countries have Isis Taliban in India we RSS koi Allah huakbar kh k goli Marta hai koi jai Shri Ram kh k.</t>
  </si>
  <si>
    <t>hah? anak isis itu mau dibalikin ke indo? RT @BirgaldoS: Anak2 ISIS Ex WNI sdg dipersiapkan utk plg ke tanah air. Disambut pemerintah dgn pemenuhan segala kebutuhannya sampai dewasa. Sementara korban bom teroris Gereja Samarinda Trinity hrs menahan sakit setiap hari di Guangzhou slama 3 thn lebih tanpa ada perhatian dari pemerintah</t>
  </si>
  <si>
    <t>Lima Bus Mengantar WNI ABK Diamond Princess</t>
  </si>
  <si>
    <t>@IndonesiaGaruda #BreakingNewsMetroTV 69 WNI ABK Diamond Princess selesai di evakuasi. Kini proses evakuasi 23 kru medis dan Kementerian. LIVE @Metro_TV</t>
  </si>
  <si>
    <t>KJRI: Tak Ada Jamaah Umrah WNI Terinfeksi Virus Korona</t>
  </si>
  <si>
    <t>@mrbarens Menpung eks ISIS smnjg mentriger gerakan ISIS di IND yg sedang tiarap. #MenolakLupaKejahatanISIS #MenolakLupaKejahatanISIS</t>
  </si>
  <si>
    <t>68 WNI ABK Diamond Princess Tiba di Bandara Kertajati</t>
  </si>
  <si>
    <t>[BREAKING] WNI Diamond Princess akan Mendarat, Kertajati Dijaga Ketat</t>
  </si>
  <si>
    <t>@Calengklik @BPJSKesehatanRI Indonesia itu aman. Djamin lah klo Ada wni didn't luar negeri aja di jamin karantina</t>
  </si>
  <si>
    <t>RT @WahhabiCC: Sama tum, kami jg diblok sejak kami tunjukan dia pro dan rayakan kemunculan teroris ISIS bhkn scr vulgar dg menayangkan kedatangan pasukan pembebas akhir zaman yg tak lain menurutnya adlh ISIS dlm program khazanah trans 7; si @haikal_hassan pengasuh program kampanye terorisme itu</t>
  </si>
  <si>
    <t>69 WNI ABK Diamond Princess turun dari Pesawat Garuda - ANTARA News Jawa Barat</t>
  </si>
  <si>
    <t>@PensiunanRambo @BabahnoA @yohanagril @l07_te @MOMDian2 @denmas_ajah Meski masih Anak, paham RADIKALISME sdh tertanam. Say no To ISIS #MenolakLupaKejahatanISIS #MenolakLupaKejahatanISIS</t>
  </si>
  <si>
    <t>WNI ABK Diamond Princess turun dari Pesawat Garuda</t>
  </si>
  <si>
    <t>RT @Datuakpanduko2: Mujahid akhir zaman itu taliban Ga pernah kalah.. Isis mah ecek2 👎👎 Pasokan senjata menurun dari amerika Lansung keok Taliban di lawan rusia menang Lawan amerika menang Jelas mana yg mujahid asli Taliban jg bermain di suriah Bentrok dg Al nusra dan isis sekaligus dg syiah</t>
  </si>
  <si>
    <t>@laurakalinoski2 gata d+</t>
  </si>
  <si>
    <t>69 WNI dari Diamond Princess Mendarat di Kertajati. #kertajati #majalengka #VirusCorona #diamondprincesscruise #observasi #pulausebaru #jurnalwarga</t>
  </si>
  <si>
    <t>RT @MaryamAleya: Amerika juru selamat ISIS #MenolakLupaKejahatanISIS</t>
  </si>
  <si>
    <t>KJRI Jeddah Tegaskan Tidak Ada Laporan Jemaah Umroh WNI Terinfeksi Covid-19 di Arab Saudi</t>
  </si>
  <si>
    <t>69 WNI ABK Kapal Diamond Princess Dievakuasi ke Tanah Air</t>
  </si>
  <si>
    <t>RT @KompasTV: BREAKING NEWS. Akhirnya 69 WNI Dari Jepang, Tiba di Bandara Kertajati</t>
  </si>
  <si>
    <t>RT @kompascom: Sebanyak 8 petugas disebut bekerja melakukan penyemprotan cairan disinfektan ke seluruh tubuh WNI tersebut.</t>
  </si>
  <si>
    <t>RT @okezonenews: 5 Bus Angkut 69 WNI Kru Kapal Diamond Princess ke Pelabuhan Indramayu #TauCepatTanpaBatas #BeritaTerkini #Berita #News #BeritaNasional .</t>
  </si>
  <si>
    <t>Kondisi Hujan, Pesawat Pembawa 68 WNI dari Jepang Tiba di Bandara Kertajati</t>
  </si>
  <si>
    <t>@mrbarens Mereka masih kejam dan bengis. Tolak ISIS. #MenolakLupaKejahatanISIS #MenolakLupaKejahatanISIS</t>
  </si>
  <si>
    <t>RT @raafigani: @bertamasha @txtdrpemerintah 238 WNI yg dikarantina di Natuna pertengahan Februari kemarin sudah dites yg hasilnya negatif, bahkan sudah diberi sertifikat bebas Corona pula. Seluruh prosesnya juga dipantau oleh perwakilan WHO. Tolong jgn langsung percaya dgn berita yg kurang kredibel.</t>
  </si>
  <si>
    <t>RT @amalial59210614: Virus ISIS bisa menular lewat janji-janji manis #MenolakLupaKejahatanISIS</t>
  </si>
  <si>
    <t>#BreakingNewsMetroTV laporan M. Reysa dari Bandara Kertajati, Jawa Barat, pesawat yang membawa 69 WNI ABK Diamond Princess sudah mendarat sekitar pukul 11 malam.</t>
  </si>
  <si>
    <t>BREAKING NEWS - Detik-Detik Kedatangan WNI Kru Kapal Diamond Princess</t>
  </si>
  <si>
    <t>RT @IdoCaur: kita juga punya hak untuk hidup tenang, jangan pulangkan ISIS #MenolakLupaKejahatanISIS</t>
  </si>
  <si>
    <t>RT @KeyshaAdinda5: Apakah pemerintah mau menjamin ideologi anak2 WN ISIS berubah jika nanti dipulangkan ke Indonesia??? #MenolakLupaKejahatanISIS @tjhinfar21 @Bangzul__88 @ChusnulCh__ @Airin_NZ @WR_4AG226 @wisanggeni_084</t>
  </si>
  <si>
    <t>RT @IdoCaur: ya Allah Kita saksikan saat Islam pertama kali datang di Arab membawa kemajuan dalam berbagai aspek, sementara ISIS datang ke tanah Suriah &amp; Irak hanya membawa kehancuran. #MenolakLupaKejahatanISIS</t>
  </si>
  <si>
    <t>RT @ElvinaFazilla: Anak-anak ini yang sudah didoktrin dengan ideologi ISIS, mau dipulangkan? Bisa jadi 10 atau 20 tahun kedepan mereka akan mengacungkan senjata di hadapan NKRI #MenolakLupaKejahatanIsis #</t>
  </si>
  <si>
    <t>Isis micneheedu waa Imaaraadka iyo Sacuudiga isu kaashadey Somaliya. Laakiin Deni iyo Biixi ayaa diyaarado hub ah uga keeno imaaraadka. Marka nimankaas Deni iyo Biixi oo ummaddii isku dhammeeyey si ay sandareerto uga helaan ISIS dadyahaow iska qabta RT @WaliK100: These Jihadist cowards always destroy Islamic countries and kill Muslims in mass numbers.</t>
  </si>
  <si>
    <t>Siapakah dibalik ISIS ?!!! Tak lain dan tak bukan selsin pengrusak dunia #MenolakLupaKejahatanISIS</t>
  </si>
  <si>
    <t>RT @IdoCaur: Mereka gak mengakui keabsahan NKRI, pemerintah dianggap thaghut, keluar dari Indonesia dan gabung ISIS dengan kemauan sendiri. Begitu ISIS collaps minta balik. Enak aja! #MenolakLupaKejahatanISIS</t>
  </si>
  <si>
    <t>RT @7endralKad_run: Jaringan ISIS Menimbulkan 1.328 Kematian  via @KATADATAcoid #MenolakLupaKejahatanIsis</t>
  </si>
  <si>
    <t>RT @amalial59210614: Akibat dokrin ISIS, anak-anakpun jadi pembunuh, jangan sampai terjadi sama anak-anak kita #MenolakLupaKejahatanISIS</t>
  </si>
  <si>
    <t>RT @amalial59210614: Virus ISIS lebih menular dari virus corona #MenolakLupaKejahatanISIS</t>
  </si>
  <si>
    <t>RT @KangSabar19: Maaf nggak aku sensor..!! Biar kita inget atas keganasan ISIS, yg telah melakukan kejahatan, dgn atas nama agama #MenolakLupaKejahatanISIS @mohmahfudmd</t>
  </si>
  <si>
    <t>RT @cintada17: Ada yg menarik di sini, ada WNI yg menolak pulang karena inggin MENJADI SUKARELAWAN. Sungguh mulia🙏</t>
  </si>
  <si>
    <t>RT @KeyshaAdinda5: Apakah Islam Seperti ini??? #MenolakLupaKejahatanISIS</t>
  </si>
  <si>
    <t>LIVE! Pesawat yang membawa 69 WNI ABK Diamond Princess saat ini tiba di Bandara Kertajati, Jabar. (Enk)</t>
  </si>
  <si>
    <t>@KeyshaAdinda5 @tjhinfar21 @jokowi @mohmahfudmd Pak @jokowi prof @mohmahfudmd apasih pertimbangan negara mulangin anak eks wni isis? Selain kemanusiaan,, siapa yg bgtu ngotot buat mulangin mrk...</t>
  </si>
  <si>
    <t>RT @RaisaSukainah: Prilaku buruk ISIS muncul dari akidahnya yang sesat. #MenolakLupaKejahatanISIS</t>
  </si>
  <si>
    <t>69 WNI ABK Kapal diamond Princess Dipindahkan ke Pulau Sebaru</t>
  </si>
  <si>
    <t>Ngga ada bener2nya nih kelompok Tolong bantu RT n like pliss  #MenolakLupaKejahatanISIS</t>
  </si>
  <si>
    <t>RT @IdoCaur: Eks isis dulu diberi harapan seolah-olah menemukan kolam air ditengah gurun sahara yang nyatanya hanya imajinasi, sekarang minta kembali lagi karena rumput tetangga ternyata tak senikmat rumput rumah sendiri #MenolakLupaKejahatanISIS</t>
  </si>
  <si>
    <t>RT @BadriaNaila: simpatisan ISIS sudah banyak di Indonesia, tinggal nunggu jendralnya pulang dari suriah #MenolakLupaKejahatanISIS</t>
  </si>
  <si>
    <t>RT @Aisyah16391529: sebagian besar mereka yg gabung ISIS dan dikirim ke Suriah memang menyesal. tapi akidah yg mereka anut masih sama: takfirisme, radikalisme, intoleransi dan anti Pancasila #MenolakLupaKejahatanISIS</t>
  </si>
  <si>
    <t>RT @Metro_TV: #BreakingNewsMetroTV Pesawat @IndonesiaGaruda A330 telah mendarat. Pesawat ini membawa 69 WNI dari kapal pesiar Diamond Princess. Laporan Andromeda dari bandara Kertajati. LIVE @Metro_TV</t>
  </si>
  <si>
    <t>RT @KemenkesRI: Dalam keterangannya, Menkes Terawan menyatakan bahwa sampai saat ini belum ada kasus terkonfirmasi positif #COVID19 di Indonesia, termasuk 188 WNI anak buah kapal World Dream yang telah dievakuasi pada 26 Februari yang lalu. #WaspadaCOVID19</t>
  </si>
  <si>
    <t>RT @MinaHazelina: Kesan untuk Eks ISIS : Ada pepatah, sekali lancung ke ujian, orang tak akan percaya. #MenolakLupaKejahatanISIS</t>
  </si>
  <si>
    <t>RT @HusinShihab: Khalid Basalamah ini memang penganut Wahabi Ekstrimis, kalau di negeri Syam dia bakal diangkat jadi ulamanya ISIS dan para teroris yg benci sekali thd ukhuwah Islamiyah. Sunni-Syiah dari dulu bersaudara namun ada org2 sejenis Khalid yg hasud dan tak ingin Sunni-Syiah bersatu.</t>
  </si>
  <si>
    <t>RT @IdoCaur: simpatisan ISIS sudah banyak di Indonesia, tinggal nunggu jendralnya pulang dari suriah #MenolakLupaKejahatanISIS</t>
  </si>
  <si>
    <t>RT @amalial59210614: ngadepin kadrun di sosmed aja setengah mati, apa lagi ngadepin ISIS di dunia nyata #MenolakLupaKejahatanISIS</t>
  </si>
  <si>
    <t>RT @zara_melia: belajar dari kesalahan philipina, jangan kasih ruang buat kombatan ISIS #MenolakLupaKejahatanIsis</t>
  </si>
  <si>
    <t>RT @KeyshaAdinda5: @tjhinfar21 @jokowi @mohmahfudmd Anak2 kombatan ISIS Eks WNI adalah bom waktu bagi kedaulatan Indonesia... #MenolakLupaKejahatanISIS</t>
  </si>
  <si>
    <t>RT @IdoCaur: #MenolakLupaKejahatanISIS iblis hanya mengejak, isis memaksa dan membunuh</t>
  </si>
  <si>
    <t>RT @amalial59210614: @tjhinfar21 @jokowi @mohmahfudmd Wanita diangkat derajatnya oleh Islam sedemikian rupa, sementara ISIS menghinakannya sedemikian rupa sehingga dianggap hanya sebagai pemuas nafsu dan pabrik anak. #MenolakLupaKejahatanISIS</t>
  </si>
  <si>
    <t>RT @Tidak_jatuh: Link 1 :  Link 2 :  Ampe bingung gw, yg bener yg mana</t>
  </si>
  <si>
    <t>#BreakingNewsMetroTV Pesawat @IndonesiaGaruda A330 telah mendarat. Pesawat ini membawa 69 WNI dari kapal pesiar Diamond Princess. Laporan Andromeda dari bandara Kertajati. LIVE @Metro_TV</t>
  </si>
  <si>
    <t>RT @HusinShihab: Khalid Basalamah: Di Syria 225.000 Sunni dibunuh Syiah. Ini fitnah keji, berita bohong dan dpt memicu konflik! @DivHumas_Polri Sementara mrk yg dibunuh itu teroris. Propaganda ISIS sama spt Khalid ini, sebarkan berita bohong. Basar Asad difitnah Syiah pdhl dia Sunni.</t>
  </si>
  <si>
    <t>RT @KeyshaAdinda5: Daftar kebiadaban ISIS... Mereka bukan ingin membela Islam, tapi menghancurkan Islam. Anak2nya masih mau dipulangkan pak @jokowi @mohmahfudmd??? #MenolakLupaKejahatanISIS</t>
  </si>
  <si>
    <t>RT @ElvinaFazilla: ISIS tamat, namun ideologinya tetap ada #MenolakLupaKejahatanISIS</t>
  </si>
  <si>
    <t>dulu (atau kalo masih) main, pilih ras mana? aku Cora. Bawa Isis biru aman sekali ga diganggu.</t>
  </si>
  <si>
    <t>RT @YuliEndah3: Proses deradikalisasi terhadap ratusan orang WNI eks ISIS, yang sudah dipulangkan sekitar dua atau tiga tahun lalu, masih diragukan efektivitasnya. Apalagi sekarang... #MenolakLupaKejahatanISIS #MenolakLupaKejahatanISIS</t>
  </si>
  <si>
    <t>Bandara Kertajati Diguyur Hujan Ringan Jelang Evakuasi WNI dari Jepang #kertajati #viruscorona #WNI #jepang</t>
  </si>
  <si>
    <t>Pesawat Garuda yg membawa 68 WNI awak kapal pesiar Diamond Princess baru saja mendarat di Bandara Kertajati (info via ). Tolong @RadioElshinta berikan laporan on the spotnya dalam upaya berbagi informasi mewaspadai #CoronaVirusIndonesia</t>
  </si>
  <si>
    <t>RT @HardiantiKirana: Mereka bakar pasportnya secara terang-terangan, mereka tanggalkan kewarganegaraannya, apalagi statusnya saat ini? WNI eks ISIS atau ISIS eks WNI? #MenolakLupaKejahatanISIS</t>
  </si>
  <si>
    <t>RT @HardiantiKirana: Perempuan itu mulia di mata Islam, tapi jadi budak nafsu bejat di mata ISIS. #MenolakLupaKejahatanISIS</t>
  </si>
  <si>
    <t>RT @HardiantiKirana: Kita tidak menolak kalimat Tauhid yang diusung di bendera hitam ISIS, yang kita tolak adalah ideologi dan cara mereka dalam berislam. #MenolakLupaKejahatanISIS</t>
  </si>
  <si>
    <t>RT @7endralKad_run: "Fasilitas VIV NEGARA Untuk Kombatan ISIS" #MenolakLupaKejahatanIsis</t>
  </si>
  <si>
    <t>@Adipativan "Ini ibu.....tuebel bangtez...." gumamnya dalam hati</t>
  </si>
  <si>
    <t>RT @Anggi14Dewi: Kalau emang tujuannya mau jihad fi sabilillah, kenapa ISIS gak berjihad memerangi Israel??!! #MenolakLupaKejahatanISIS #RecehkanTwitter #BesokSenin</t>
  </si>
  <si>
    <t>RT @7endralKad_run: #MenolakLupaKejahatanIsis Kejahatan ISIS dari Makar, Terorisme, hingga Pelanggaran HAM  lewat @nu_online</t>
  </si>
  <si>
    <t>RT @7endralKad_run: Kalau Dengan Alasan Kemanusiaan, Bagaimana Nasip Kemanusiaan dari Para Korban??? #MenolakLupaKejahatanIsis Mahfud MD Sebut Ada Penambahan Data Jumlah WNI eks ISIS -</t>
  </si>
  <si>
    <t>RT @7endralKad_run: Pemerintah Terus Validasi Jumlah WNI yang Pernah Gabung ISIS #MenolakLupaKejahatanIsis Pemerintah Terus Validasi Jumlah WNI yang Pernah Gabung ISIS | Republika Online Mobile</t>
  </si>
  <si>
    <t>RT @RomeskoP: @BirgaldoS @YouTube 3. Pertimbangkan kembali pemulangan anak-anak Eks WNI ISIS ke Indonesia, menyelesaikan masalah Intoleransi saja masyarakat harus menjerit "Ribut di Medsos Saja," bagaimana menjamin anak-anak Eks WNI ISIS dimasa mendatang.</t>
  </si>
  <si>
    <t>RT @ngeTweetAja: Ini nih mr. @mohmahfudmd pura pura ga tahu apa malas tahu??? Parah ISIS dipulangin....</t>
  </si>
  <si>
    <t>#MenolakLupaKejahatanIsis Kejahatan ISIS dari Makar, Terorisme, hingga Pelanggaran HAM  lewat @nu_online</t>
  </si>
  <si>
    <t>RT @WagimanDeep__: Jejak genital Pahira anggota DPD inih pernah keritik pedas Pres @jokowi dgn mengataken "Klo gak sanggup dikritisi jangan jd presiden" Skarang wektu Gubrenur jinjingan nya dikritisi..dia Ngamuk, bhkan kga segan2 kerahken ormas Bang Lapar binaannya #TangkapFahiraIdris</t>
  </si>
  <si>
    <t>RT @hemaviton99: @KeyshaAdinda5 @Nouna_jessica94 Kesalahan TERBESAR pak @jokowi dan negara indonesia adalah SETUJU TERIMA ANAK ANAK EKS ISIS teroris,,,sedang dlm negeri korban TERORIS apakah sdh di jamin negara sampai tua?adakah diperhatikan kehidupanya?INTOLERANSI marak !sungguh tragis,,,</t>
  </si>
  <si>
    <t>RT @BromocorahGrCeb: ..pripun pak @jokowi ?? 1. Sebaiknya segera dirubah kebijakan pemulangan exs ISIS.. 2. Ambil tindakan tegas utk orang / kelompok/ ormas yg melakukan tindakan intoleransi. ..sumonggo 👍</t>
  </si>
  <si>
    <t>takpe takpe dah biasa. biarkan. biarkan, dia baik sendiri juga nanti.</t>
  </si>
  <si>
    <t>@nnyzhuxin @fahiraidris Mungkin si gembrot ada hate kadua halu</t>
  </si>
  <si>
    <t>Anak-anak Indonesia gini aja senangnya uda minta ampun. Yuhuuu Mosok mau mulangin anak ISIS. Helowwwww. #MenolakLupaKejahatanIsis</t>
  </si>
  <si>
    <t>@BirgaldoS @andiana Anak isis yg tidak mengerti di doktrin untuk melakukan yg salah.</t>
  </si>
  <si>
    <t>RT @NurazizaShima: Anak ini di culik oleh ISIS, kemudian di salib selama beberapa jam di bawah teriknya matahari karena "Buka puasa tanpa adanya alasan syar'i" begitu tulisan di kertas yang tertempel di baju anak kecil ini. #MenolakLupaKejahatanISIS</t>
  </si>
  <si>
    <t>@KeyshaAdinda5 Emang biadab ISIS manusia berhati setan</t>
  </si>
  <si>
    <t>@AdityaWisnu @Budihar21525608 Ya iyalh....pelaku di surabaya teman seiman</t>
  </si>
  <si>
    <t>@rtupradnya Isis malahan 🤣</t>
  </si>
  <si>
    <t>RT @AdityaWisnu: Saat bom Surabaya, bacotnya paling keras bilang teroris tidak punya agama. Saat kerusuhan India seenak jidat dia tulis tagar Hindu terorist tepat di hari Raya Kuningan. Teman, mohon bantuan report bangsat ini. Abusive harmful &gt; direct hate against religion &amp;gt; a group of people</t>
  </si>
  <si>
    <t>Gimana kita mau percaya sama pemerintah kalo gini caranya 😡🙄</t>
  </si>
  <si>
    <t>Pemerintah Terus Validasi Jumlah WNI yang Pernah Gabung ISIS #MenolakLupaKejahatanIsis Pemerintah Terus Validasi Jumlah WNI yang Pernah Gabung ISIS | Republika Online Mobile</t>
  </si>
  <si>
    <t>RT @Aryprasetyo85: Jelang Kedatangan ABK Diamond Princess, Pengamanan Bandara Kertajati Diperketat! Jelang kedatangan WNI ABK Diamond Princess dari Jepang. Pengamanan Bandara Internasional Jawa Barat atau Kertajati Majalengka Jawa Barat pada Minggu pagi (01/03) diperketat.</t>
  </si>
  <si>
    <t>RT @Aryprasetyo85: Pesawat yang Angkut WNI Kru Diamond Princess Diterbangkan dari Bandara Haneda Tokyo (WNI) anak buah kapal Diamond Princess sudah terbang menuju Tanah Air melalui Bandara Haneda di Tokyo, Minggu (1/3/2020). Pesawat akan bertolak ke Bandara Kertajati, Majelangka,</t>
  </si>
  <si>
    <t>RT @Aryprasetyo85: dengan perjalanan kurang lebih 2 jam. Kemudian menggunakan KRI dr. Soeharso menuju pulau Seberu Kecil, Kepulauan Seribu untuk dilakukan observasi.</t>
  </si>
  <si>
    <t>flu,batuk, panas tinggi. ah paling cuma masuk angin</t>
  </si>
  <si>
    <t>RT @Aryprasetyo85: Kepala Pusat Data Informasi dan Komunikasi Kebencanaan BNPB menyampaikan, para WNI itu diperkirakan sampai di Bandar Udara Kertajati, Majalengka,Jabar sekitar pukul 22.30 WIB. Selanjutnya, mereka akan dibawa menggunakan empat bus RSPAD menuju Pelabuhan PLTU Indramayu,</t>
  </si>
  <si>
    <t>RT @Aryprasetyo85: Detik2 69 WNI Dievakuasi dari Kapal Pesiar Diamond Princess di Tengah Corona Sebanyak 63 WNI ABK Diamond Princess dilaporkan tlh diterbangkan dari Jepang sekitar pukul 17.00 waktu setempat Kabarnya,puluhan WNI ini akan mendarat di Indonesia pada Minggu (1/3/2020),malam ini.</t>
  </si>
  <si>
    <t>ISIS mendapat sokongan Israel terutama dari sudut latihan dan persenjataan #MenolakLupaKejahatanISIS</t>
  </si>
  <si>
    <t>@tjhinfar21 @MudasirRomini @jokowi @mohmahfudmd anak mereka pasti ingat orang tuanya, kal ingat orang tuanya pasti ingat ISIS</t>
  </si>
  <si>
    <t>Jelas terlihat di media-media bagaimana ISIS mendidik anak-anak mereka, selain diperlihatkan bagaimana prosesi pembunuhan mereka juga menyuruh anak-anaknya bermain dengan kepala-kepala terpenggal. #MenolakLupaKejahatanISIS</t>
  </si>
  <si>
    <t>ISIS bukannya memperlihatkan nilai-nilai Islam, yang ada hanyalah membuat orang lain yg tak kenal Islam trauma dan risih dengan hal-hal yang berhubungan dengan Islam. #MenolakLupaKejahatanISIS</t>
  </si>
  <si>
    <t>Ditimbang dari segi apapun ISIS tidak seimbang atau selaras dengan Islam, atau jangankan itu, dengan kemanusiaanpun bertolakbelakang. #MenolakLupaKejahatanISIS</t>
  </si>
  <si>
    <t>Yg paling jelas terlihat sampe detik ini dari kehadiran kelompok ISIS ini adalah banyaknya kerugian dan korban kejahatan mereka, tak satupun dari kaum muslimin di dunia yg merasa terbantu atau mendapat manfaat dari mereka, yg ada malah sebaliknya. #MenolakLupaKejahatanISIS</t>
  </si>
  <si>
    <t>Sedihnya org tua Alvaro dan Trinity hrs menjual harta benda krn butuh biaya besar untuk operasi.Krn faktanya mrk cuma dapat bantuan sekali operasi.Jangan bandingin dgn anak2 Eks ISIS ya krn mrk dapat perlakuan istimewa dari Pemerintah</t>
  </si>
  <si>
    <t>@silverqing__ @dugongz @tubirfess Di negara lain aja kalo bisa ga dites ya ga dites dulu kok. Selama dikarantina para WNI juga baik2 aja.. RT @sebuah_anagram: @tubirfess Terus juga WNI itu gak nunjukin gejala kan. Di Korea aja kalo bisa gak dites atau dikasih obat dulu, ya dikasih obat biasa (?) gitu. Wni kemaren yg dr wuhan juga udah diasingkan cukup lama.. Simak mba Zara nih dia tinggal di Korea dan kemaren coba tes Corona,</t>
  </si>
  <si>
    <t>Kelakuan bengis ISIS membunuh pemuda #palestina dan menggantung tubuhnya dengan buldozer. #MenolakLupaKejahatanISIS</t>
  </si>
  <si>
    <t>RT @Reninura313: #MenolakLupaKejahatanISIS Demi membela kemanusiaan, memanusiakan manusia apapun tolak PEMULANGAN EKS WNI TERJARING ISIS!!</t>
  </si>
  <si>
    <t>RT @NFilhaqq: Dgn alasan kemanusian Istana meminta masyarakat mnrima anak2 eks WNI combatan ISIS. Dgn alsn KESETANAN kmi mengajak klian trs bersuara "TOLAK BIBIT UNGGUL PERUSAK BANGSA!" Knp ISTANA tdk mmprhatikan anak2 korban bom teroris? Ada apa dgnmu pak @jokowi??? #MenolakLupaKejahatanISIS</t>
  </si>
  <si>
    <t>ISIS membatasi Islam dengan kelompok mereka saja, selain mereka adalah kafir dan halal darahnya. Oleh sebab itu mereka tak segan menyembelih orang sunni maupun syiah. #MenolakLupaKejahatanISIS</t>
  </si>
  <si>
    <t>Anak-anak ISIS sudah diberi latihan pegang senjata, trained to be soldier, masih sudi memulangkan mereka ke negara tercinta kita Indonesia ?!! #MenolakLupaKejahatanISIS</t>
  </si>
  <si>
    <t>Jangan beri ruang untuk lahirnya faham radikalisme dan terorisme dengan alasan apapun dan stop berspekulasi dengan jaminan keselatan jiwa rakyat yang masih dihantui oleh aksi ISIS #MenolakLupaKejahatanISIS</t>
  </si>
  <si>
    <t>Pasukan ISIS (ISIL) telah melakukan pemerkosaan terorganisir, kekerasan seksual, dan kejahatan mengerikan lainnya. #MenolakLupaKejahatanISIS</t>
  </si>
  <si>
    <t>simpatisan ISIS sudah banyak di Indonesia, tinggal nunggu jendralnya pulang dari suriah #MenolakLupaKejahatanISIS</t>
  </si>
  <si>
    <t>Nah loh....</t>
  </si>
  <si>
    <t>ISIS=AMERIKA. #MenolakLupaKejahatanISIS</t>
  </si>
  <si>
    <t>RT @elasbuch: Kalau lah Kejadian di India bukan Propaganda. Kenapa di Indonesia yang sibuk turun itu kelompok itu-itu aja? Kelompok yang sama mendukung ISIS dan Al-Qaeda di Syria, Yemen, dan Uyghur. Selamat berpikir. Foto dibawah dari Dec 2019. Tapi tidak ada yang menanggapi 😅</t>
  </si>
  <si>
    <t>RT @Cak_Hariy: Yg akan dipulangkan anak ISIS usia dibawah 10th. Pertanyaannnya 10 th lg anak tsb sdh usia belasan tahun, terus pejabat sekarang yg memulangkan sdh ndak jadi pejabat lagi. Mngurus Deradikalisasi sekarng aja masih belm maksimal. Pikirkan lagi Pak @jokowi @mohmahfudmd BATALKAN!</t>
  </si>
  <si>
    <t>mereka WNISIS bukan WNI, gak usah pulangin #MenolakLupaKejahatanISIS</t>
  </si>
  <si>
    <t>@KeyshaAdinda5 @Black_lleviant @jokowi @mohmahfudmd Hahhaa nanti bisa kayak gini,,, kasih tahu pemerintah pulangkan aja semua eks isis</t>
  </si>
  <si>
    <t>Terungkap, 238 WNI dari Wuhan Ternyata Tidak Dites Virus Corona</t>
  </si>
  <si>
    <t>Terungkap, 238 WNI dari Wuhan Ternyata Tidak Dites Virus Corona -</t>
  </si>
  <si>
    <t>ISIS hanyalah propaganda USA DAN SEKUTUNYA #MenolakLupaKejahatanISIS</t>
  </si>
  <si>
    <t>@PensiunanRambo @MOMDian2 @JannesHutajulu @BabahnoA @yohanagril @l07_te @denmas_ajah @FPI_isback Saya lihat selama ini PBB dalam menangani hak hidup anak2 exs isis hanya diam .</t>
  </si>
  <si>
    <t>..kira2 upacara penyambutan kembalinya anak2 isis diselenggarakan di mana ya? Stadion GBK cocoklah, ntar tiap daerah menampilkan tarian daerahnya sbg partisipasi dan syukuran atas hari yg bersejarah itu</t>
  </si>
  <si>
    <t>RT @Hmmurahmurahhm2: Alat Test Mahal, Tapi Dana APBN Rp 72 Milyard Cair Untuk Influncer Virus Corona, Wongndeso Rakyat Kecil Gagal Paham ?</t>
  </si>
  <si>
    <t>Isis tidak mewakili islam #MenolakLupaKejahatanISIS #MenolakLupaKejahatanIsis</t>
  </si>
  <si>
    <t>RT @KeyshaAdinda5: Jangan sampe menyesal di kemudian, muncul teror sebab bibit-bibit ISIS ke tanah air. #MenolakLupaKejahatanISIS</t>
  </si>
  <si>
    <t>Ridwan Kamil Izinkan Puluhan WNI dari Diamond Princess Transit di BIJN Kertajati</t>
  </si>
  <si>
    <t>RT @sujatmi01570130: Demi berikan kesempatan pendidikan buat para WNI/ PMI di Brunei, Dubes dan staf KBRI di Bandar Seri Begawan rela korbankan hari libur dan secara tulus bersyukur dapat melayani demi masa depan mereka. (Foto: Dubes RI…</t>
  </si>
  <si>
    <t>Takbirnya ISIS bukan untuk membesarkan Allah swt, tapi sebuah pembenaran diri atas kekejian dan kebiadaban tindakan mereka. #MenolakLupaKejahatanISIS</t>
  </si>
  <si>
    <t>Eks isis ibaratnya udah minta cerai, surat nikah udah dibakar, udah pacaran sama yang baru, tiba tiba minta rujuk. #MenolakLupaKejahatanISIS</t>
  </si>
  <si>
    <t>@hnurwahid @haikal_hassan @aagym Anda setuju isis pembela islam ?? RT @MaryamAleya: Pengakuan WNI Sepulang dari Suriah, ISIS Perlakukan Perempuan Seperti Pabrik Anak, Dipaksa Nikah - Tribun Jateng -  #MenolakLupaKejahatanISIS</t>
  </si>
  <si>
    <t>Hal yang menonjol dari ISIS adalah radikalisme dan intoleransi, dimana nilai Islamnya jika mereka memakai label Islam? #MenolakLupaKejahatanISIS</t>
  </si>
  <si>
    <t>Mantan PM Qatar: "Saudi dan Amerika berada dibalik pendanaan kelompok teroris ISIS" #MenolakLupaKejahatanISIS</t>
  </si>
  <si>
    <t>@seruanhl @tjhinfar21 Astajim Menolak keras eks WNI ISIS Kadrun tak patut</t>
  </si>
  <si>
    <t>Yang lebih berbahaya dari serangan atau teror dari ISIS adalah penyebaran ideologinya, oleh sebab itu cegah penyebarannya sebelum muncul terornya. #MenolakLupaKejahatanISIS</t>
  </si>
  <si>
    <t>Bukan tidak mungkin mereka yang mengacungkan senjata adalah mereka yang brp taun lalu merupakan anak-anak yang dididik dengan paham radikal. Lalu, apa masih mau memulangkan anak-anak eks ISIS yang telah ditanami ideologi ISIS? #MenolakLupaKejahatanISIS</t>
  </si>
  <si>
    <t>RT @hilyatul_afifah: Mantan budak salah seorang ISIS. #MenolakLupaKejahatanISIS</t>
  </si>
  <si>
    <t>Yg akan dipulangkan anak ISIS usia dibawah 10th. Pertanyaannnya 10 th lg anak tsb sdh usia belasan tahun, terus pejabat sekarang yg memulangkan sdh ndak jadi pejabat lagi. Mngurus Deradikalisasi sekarng aja masih belm maksimal. Pikirkan lagi Pak @jokowi @mohmahfudmd BATALKAN! RT @AyunindyaRizkya: Coba pikir lagi, apa gak bahaya paham seperti mereka berkeliaran bebas? apalagi kalo menularkan ideologinya pada orang lain, makin banyak loh jadinya. #MenolakLupaKejahatanISIS</t>
  </si>
  <si>
    <t>Kejahatan ISIS mulai dari Makar, Pelanggaran HAM dan Terorisme mungkin lebih banyak lagi Masih ingin membela ISIS ? #MenolakLupaKejahatanISIS</t>
  </si>
  <si>
    <t>RT @RenoTitin: ketemu mantan pacar aja males... apalagi ketemu mantan ISIS.... mending gak usah dipulangin deh #MenolakLupaKejahatanISIS</t>
  </si>
  <si>
    <t>RT @ZNisva: Tujuan ISIS adalah untuk menghancurkan citra Islam dan persatuan ummat Islam. #MenolakLupaKejahatanISIS</t>
  </si>
  <si>
    <t>RT @AnakAbuNawas: @UyokBack @rmol_id Beli alat test virus Corona nga sanggup alasan mahal 1M tapi buat bayar buzzerRp 72M untuk meredam isu Virus Corona sanggup. Terus klaim tidak ada kasus. 🤧 #CoronaVirusUpdate #CoronaVirusIndonesia #Coronavid19</t>
  </si>
  <si>
    <t>Kombatan ISIS minta dipulangin? Ignore aja! Tuman! #MenolakLupaKejahatanISIS</t>
  </si>
  <si>
    <t>RT @RaisaSukainah: Eks isis dulu diberi harapan seolah-olah menemukan kolam air ditengah gurun sahara yang nyatanya hanya imajinasi, sekarang minta kembali lagi karena rumput tetangga ternyata tak senikmat rumput rumah sendiri #MenolakLupaKejahatanISIS</t>
  </si>
  <si>
    <t>ISIS tak berprikemanusiaan, seenaknya berbuat dan mengkafirkan. #MenolakLupaKejahatanISIS #MingguRebahan #MingEr</t>
  </si>
  <si>
    <t>RT @hilyatul_afifah: Anak-anak ISIS sudah diberi latihan pegang senjata, trained to be soldier, masih sudi memulangkan mereka ke negara tercinta kita Indonesia ?!! #MenolakLupaKejahatanISIS</t>
  </si>
  <si>
    <t>RT @Nouna_jessica94: ISIS identik dgn kekerasan atau pemberontakan yg dilakukan demi kepentingan kelompok. ISIS biasanya mencari cela untuk masuk ke berbagai wilayah di setiap negara dgn mempengaruhi dan mendoktrin org lain. #MenolakLupaKejahatanISIS</t>
  </si>
  <si>
    <t>RT @Anggi14Dewi: Dear kombatan ISIS Bukannya kalian udah melepeh NKRI, kok sekarang minta dipulangin?! #MenolakLupaKejahatanISIS</t>
  </si>
  <si>
    <t>Malam Ini, 69 WNI dari Kapal Diamond Princess Tiba di BIJB Kertajati Majalengka</t>
  </si>
  <si>
    <t>RT @Nouna_jessica94: Kelompok ISIS dideklarasikan pada tanggal 9 April 2013 oleh pemimpinnya Abu Bakar Al Baghdady dan disertai mulainya perang saudara antara Irak dan Suriah. Kelompok ini pd asalnya tidak mendapatkan sebuah persetujuan baik dari pihak Irak maupun Suriah #MenolakLupaKejahatanISIS</t>
  </si>
  <si>
    <t>mantan anggota ISIS ingin memindahkan medan pertempuran ke negeri tercinta ini #MenolakLupaKejahatanISIS</t>
  </si>
  <si>
    <t>Tangkal paham radikal dengan menolak kombatan ISIS. #MenolakLupaKejahatanISIS #MingguRebahan #MingEr #CoronaVirusUpdate</t>
  </si>
  <si>
    <t>Kelompok ISIS dideklarasikan pada tanggal 9 April 2013 oleh pemimpinnya Abu Bakar Al Baghdady dan disertai mulainya perang saudara antara Irak dan Suriah. Kelompok ini pd asalnya tidak mendapatkan sebuah persetujuan baik dari pihak Irak maupun Suriah #MenolakLupaKejahatanISIS</t>
  </si>
  <si>
    <t>Saya harap sangat agar kerajaan baru kembalikan ISA. Semoga Malaysia dijauhkan dari anasir-anasir penganas terutamanya LTTE, ISIS dan Komunis. Kredit gambar : artoise</t>
  </si>
  <si>
    <t>ISIS perangi muslim, tapi tak sedikitpun berani perangi zionis yg jajah Palestina. #MenolakLupaKejahatanISIS #MingguRebahan</t>
  </si>
  <si>
    <t>@pamiipams @anjarisme blm dibaca kayaknya yah mba 🙏 menurut beritanya, mereka akan dikarantina juga di Pulau Sebaru Kecil, dan disana juga sudah ada WNI yg lebih dahulu di karantina juga 🙏 #CMIIW</t>
  </si>
  <si>
    <t>Jangan tanyakan di mana hati nurani ISIS #MenolakLupaKejahatanISIS</t>
  </si>
  <si>
    <t>Memakai nama Islam untuk merusak citra Islam itulah ISIS. #MenolakLupaKejahatanISIS #MingguRebahan #MingEr</t>
  </si>
  <si>
    <t>#MenolakLupaKejahatanISIS Tujuan ISIS adalah untuk menghancurkan citra Islam dan persatuan ummat Islam</t>
  </si>
  <si>
    <t>RT @Kareen_Sadaf: Please pak @mohmahfudmd jangan pulangkan anak2 eks ISIS Doktrin lebih membekas di otak anak2 daripada orang dewasa Mereka juga sudah bakar pasport #MenolakLupaKejahatanISIS #MenolakLupaKejahatanISIS</t>
  </si>
  <si>
    <t>Orang terpapar paham ISIS lebih berbahaya dari terjangkit korona. #MenolakLupaKejahatanISIS #MingguRebahan #MingEr</t>
  </si>
  <si>
    <t>simpatisan ISIS aja udah bahaya, apalagi kombatan yang berpengalaman.. #MenolakLupaKejahatanISIS</t>
  </si>
  <si>
    <t>188 WNI ABK World Dream dan 68 WNI dari kapal pesiar Diamond Princess diobservasi secara terpisah. #PulauSebaru</t>
  </si>
  <si>
    <t>@Bangzul__88 Tolak eks ISIS #MenolakLupaKejahatanISIS #MenolakLupaKejahatanISIS</t>
  </si>
  <si>
    <t>RT @bakarricaicha1: Jangan pernah melupakan keganasan dan kekejian ISIS, sampai saat ini mereka tetap eksis dan bersembunyi menunggu kesempatan...!!! #MenolakLupaKejahatanISIS #MenolakLupaKejahatanISIS</t>
  </si>
  <si>
    <t>RT @bakarricaicha1: @Bangzul__88 Jangan sampe lengah dan tertipu oleh ISIS...!!! #MenolakLupaKejahatanISIS #MenolakLupaKejahatanISIS</t>
  </si>
  <si>
    <t>Prilaku buruk ISIS muncul dari akidahnya yang sesat. #MenolakLupaKejahatanISIS #MingguRebahan #CoronaVirusUpdate</t>
  </si>
  <si>
    <t>Tujuan ISIS adalah untuk menghancurkan citra Islam dan persatuan ummat Islam #MenolakLupaKejahatanISIS</t>
  </si>
  <si>
    <t>#MenolakLupaKejahatanISIS Hal yang menonjol dari ISIS adalah radikalisme dan intoleransi, dimana nilai Islamnya jika mereka memakai label Islam? #MenolakLupaKejahatanISIS</t>
  </si>
  <si>
    <t>Jangan sampai pemulangan kombatan ISIS menghancurkan masa depan bangsa #MenolakLupaKejahatanISIS #MenolakLupaKejahatanISIS</t>
  </si>
  <si>
    <t>Proses penjemputan ABK WNI dari kapal World Dream dan Diamond Princess.</t>
  </si>
  <si>
    <t>Agama Islam setara dan mendukung kemanusiaan sementara ISIS menginjak kemanusiaan dan mengusung nafsu. #MenolakLupaKejahatanISIS</t>
  </si>
  <si>
    <t>ISIS identik dgn kekerasan atau pemberontakan yg dilakukan demi kepentingan kelompok. ISIS biasanya mencari cela untuk masuk ke berbagai wilayah di setiap negara dgn mempengaruhi dan mendoktrin org lain. #MenolakLupaKejahatanISIS</t>
  </si>
  <si>
    <t>RT @MaryamAleya: Pengakuan WNI Sepulang dari Suriah, ISIS Perlakukan Perempuan Seperti Pabrik Anak, Dipaksa Nikah - Tribun Jateng -  #MenolakLupaKejahatanISIS</t>
  </si>
  <si>
    <t>#MenolakLupaKejahatanISIS Dear kombatan ISIS Bukannya kalian udah melepeh NKRI, kok sekarang minta dipulangin?!</t>
  </si>
  <si>
    <t>RT @RaisaSukainah: Dear kombatan ISIS Bukannya kalian udah melepeh NKRI, kok sekarang minta dipulangin?! #MenolakLupaKejahatanISIS</t>
  </si>
  <si>
    <t>RT @fadjroeL: Persiapan KRI dr. Soeharso-990 untuk pemindahan WNI Anak Buah Kapal (ABK) MV. Diamond Princess dari @IndonesiaGaruda (cont)  #Jubir #BungJubir @JubirPresidenRI @jokowi @Kiyai_MarufAmin #EvakuasiWNIDiamondPrincess</t>
  </si>
  <si>
    <t>@irwanariston Spertinya bkn hanya krn imun org Indonesia, krn di negri lain WNI ada kena. Mungkin krn kondisi alam Indonesia yg bikin #Corona jadi lbh jinak, org yg terinfeksi tdk sampai parah, efeknya sperti flu biasa. Tp saat org asing yg kena &amp; plg ke negara asal, di sana jadi lbh parah.</t>
  </si>
  <si>
    <t>RT @KemenkesRI: Alhamdulillah proses evakuasi 188 WNI ABK kapal World Dream telah berhasil dilaksanakan. Mereka dalam kondisi sehat, suhu tubuh normal tidak ada yg diatas 38 derajat celcius. Selanjutnya mereka akan menjalani masa observasi selama 14 hari di Pulau Sebaru Kecil. #WaspadaCOVID19</t>
  </si>
  <si>
    <t>RT @Stevaniehuangg: Maaf Nih @suaradotcom ini Berita Seriusan kah ????? Ngeri2 Sedap Kalo Ini Berita Fakta 😳 Kalo Dipikir Pake Akal Waras Drpd Duit 72M buat Bayar Influencer yg tugas Nutupin Isyu2 Corona Kan Tuh Duit Bisa Utk Beli Alat Pendeteksi Yg Katanya "MAHAL" itu 😒</t>
  </si>
  <si>
    <t>nangis gak sih 🙂</t>
  </si>
  <si>
    <t>RT @AdvokatlK: Waduh kere banget negara ku sekarang😐☹ Terungkap, 238 WNI dari Wuhan Tak Dites Virus Corona, Alatnya Mahal</t>
  </si>
  <si>
    <t>Bertambah 1, Total WNI Diamond Princess yang Dipulangkan 69 Orang</t>
  </si>
  <si>
    <t>Pak @jokowi selamat yg sdh mendorong proses evakuasi wni. Saya usulkan agar lebih memperhatikan sistem surveilans dan respon terhadap #CoronaOutbreak. Salah satu adalah memperkuat kapasitas laboratorium agar tidak hanya mengandalkan satu Lab saja. Perlu lebih banyak Lab. RT @KompasTV: Sebanyak 69 WNI akhirnya dievakuasi dari kapal pesiar Diamond Princess di Yokohama, Jepang, Minggu (1/3/2020) dan dipastikan sehat. Mereka diperkirakan akan sampai di bandara Kertajati pukul 23.30 WIB. Pemerintah pastikan seluruh prosedur keamanan &amp; kesehatan sesuai standar WHO</t>
  </si>
  <si>
    <t>untuk semua WNI di Korsel.... RT @IdEmbassy_Seoul: Bagi semua WNI yang berada di Korsel, mari kita tetap tenang dan meningkatkan kewaspadaan. Jangan khawatir, persediaan masker masih mencukupi.</t>
  </si>
  <si>
    <t>⠀ ⠀ ⠀ ⠀ ⠀ ⠀ ⠀ ⠀ ⠀ ⠀ ⠀ ⠀ I N D O N E S I A. tapi ndak apa, walaupun sakit harus tetap bahagia dan selalu positif. ⠀ ⠀ ⠀ ⠀ ⠀ ⠀ ⠀ ⠀ ⠀ ⠀ ⠀ ⠀</t>
  </si>
  <si>
    <t>RT @antaranews_bali: Pengamanan bandara Kertajati diperketat: Personel Brimob Polda Jabar melakukan pengamanan di Bandara Kertajati, Majalengka, Jawa Barat, Minggu (1/3/2020). TNI dan Polri memperketat pengamanan di Bandara Kertajati jelang pemulangan WNI Kru kapal pesiar…</t>
  </si>
  <si>
    <t>Komisi IX DPR: Penanganan Evakuasi WNI Kapal World Dream Dan Diamond Princess Berbeda, Hati-hati Pemerintah</t>
  </si>
  <si>
    <t>Pengamanan bandara Kertajati diperketat: Personel Brimob Polda Jabar melakukan pengamanan di Bandara Kertajati, Majalengka, Jawa Barat, Minggu (1/3/2020). TNI dan Polri memperketat pengamanan di Bandara Kertajati jelang pemulangan WNI Kru kapal pesiar…</t>
  </si>
  <si>
    <t>Menhub Beberkan Alasan Pilih Bandara Kertajati untuk Pemulangan 69 WNI #TauCepatTanpaBatas #BeritaTerkini .</t>
  </si>
  <si>
    <t>RT @OfficialiNewsTV: 188 WNI ABK Kapal World Dream saat ini masih menjalankan observasi selama 14 hari di Pulau Sebaru, Kepulauan Seribu. Fasilitas kesehatan disediakan untuk memberikan penangan medis, jika dari 188 WNI ada yang terinfeksi COVID-19. CIL⁣ ⁣ #iNews #PulauSebaru #KepulauanSeribu #WNI</t>
  </si>
  <si>
    <t>RT @FerdinandHaean2: Saya sarankan kpd Pemerintah @KemenkesRI @KSPgoid agar observasi WNI di Pulau Sebaru dilakukan tidak hanya 14 hari, tapi mgkn hingga 20 hari utk memastikan sepenuhnya para WNI tersebut tdk terinveksi corona. Hal ini perlu krn hingga kini Covid-19 msh dlm penelitian.</t>
  </si>
  <si>
    <t>tempat karantina wni abk diamond princess</t>
  </si>
  <si>
    <t>@PenguinMesir770 @hnurwahid Islam tdk mentoleransi sikap munafik.... Islam jg tidak membolehkan mengganggu rumah ibadah, proses ibadah, agama lain. Itu diperintahkan dlm Al-Qur'an. Kecuali ajaran Provokasi dari Khilafah ISIS...</t>
  </si>
  <si>
    <t>RT @kemenkopmk: Selain mengecek persiapan, Menko PMK turun langsung menyaksikan tibanya KRI dr Suharso-990 yang mengevakuasi 188 WNI ABK Kapal World Dream ke Pulau Sebaru Kecil, Kepulauan Seribu untuk memulai tahapan observasi corona virus (Covid-19).</t>
  </si>
  <si>
    <t>RT @TxtDPR: Anggota Komisi IX DPR RI, Saleh Partaonan Daulay meminta pemerintah memperhatikan secara sungguh-sungguh WNI yang sedang diobservasi di Pulau Sebaru, Kabupaten Kepulauan Seribu. Ia juga meminta agar para WNI tak merasa diasingkan.</t>
  </si>
  <si>
    <t>@mahardikaabet @JulioAndrea4 @kenhans03 Gw bukan HTI bukan ISIS fir ya sdh lw gw panggil bi aja dari babi kkkkkkk</t>
  </si>
  <si>
    <t>Siang tadi, Menkes bersama Menko PMK &amp; Menhub telah tiba di Bandara Kertajati, Majalengka dalam rangka meninjau kesiapan bandara untuk menerima kepulangan 69 WNI anak buah kapal Diamond Princess dari Jepang yg dijadwalkan akan tiba di Indonesia malam ini (1/3) #WaspadaCOVID19</t>
  </si>
  <si>
    <t>RT @republikaonline: 69 WNI ABK Diamond Princess akan tiba di Bandara Kertajati malam ini dari Jepang</t>
  </si>
  <si>
    <t>Update Jabar : Pemerintah Sebut 69 WNI ABK Diamond Princess Bebas Covid-19  #RMOLJabar #Covid19 #gubernurjabar #VirusCorona</t>
  </si>
  <si>
    <t>RT @geloraco: Bukan Salah Saudi Tolak Umrah WNI, Pigai: Karena Pemerintah Berbohong</t>
  </si>
  <si>
    <t>BIADAB...kalau untuk membayar para buzzer duitnya melimpah..</t>
  </si>
  <si>
    <t>RT @IdEmbassy_Seoul: Hari ini (28/2) Yeongchon dan Gumi menjadi tempat pembagian masker, hand sanitizer, dan disinfectant untuk para WNI. Tak kurang dari 6000 masker dibawa langsung oleh Tim Posko Aju.</t>
  </si>
  <si>
    <t>Beli alat tuk mendeteksi virus corona pd warga negaranya dianggap mahal, sementara menyewa pesawat tuk gunakan seorang presiden bs dilakukan. Negara ini terlihat seperti tak serius melindungi warga negaranya. #WargaIndonesiaDilarangSakit #AlatCoronaMahal</t>
  </si>
  <si>
    <t>@mahardikaabet @kenhans03 ISIS kan khilafah buatan kafir kkkkkkk</t>
  </si>
  <si>
    <t>RT @IdEmbassy_Seoul: Bagi semua WNI yang berada di Korsel, mari kita tetap tenang dan meningkatkan kewaspadaan. Jangan khawatir, persediaan masker masih mencukupi.</t>
  </si>
  <si>
    <t>MENHUB UNGKAP ALASAN PEMILIHAN BANDARA KERTAJATI SEBAGAI TEMPAT PENDARATAN 69 WNI KAPAL DIAMOND PRINCESS -</t>
  </si>
  <si>
    <t>RT @kemenkopmk: Diperkirakan sekitar pkl 23.00 malam ini, WNI ABK Kapal Diamond Princess yg diangkut menggunakan pesawat Garuda dari Jepang, akan tiba di Bandara Kertajati. Selanjutnya dari Bandara Kertajati mereka akan dibawa ke Pelabuhan PLN Indramayu &amp; selanjutnya berlayar ke P. Sebaru Kecil.</t>
  </si>
  <si>
    <t>RT @BiLLYKHAERUDIN: Bosnia banyak dibantu Indonesia. Tapi sampai sekarang ngga kasih bebas visa ke WNI. Serbia yang karena persahabatan sejak Yugoslavia, kasih bebas visa ke WNI</t>
  </si>
  <si>
    <t>Petugas kesehatan bersiap menyemprotkan cairan disinfektan kepada WNI ABK Diamond Princess dan barang bawaannya saat turun dari kapal di Yokohama, Jepang, Minggu (1/3/2020). Foto: KBRI Tokyo</t>
  </si>
  <si>
    <t>Bosnia banyak dibantu Indonesia. Tapi sampai sekarang ngga kasih bebas visa ke WNI. Serbia yang karena persahabatan sejak Yugoslavia, kasih bebas visa ke WNI RT @TirtoID: Bosnia, was so unkind Sarajevo, change my mind #MozaikTirto</t>
  </si>
  <si>
    <t>RT @anjarisme: Jajaran kesehatan bekerja dari pintu masuk negara; bandara dan pelabuhan. Bekerja di laboratorium dan rumah sakit. Mengedukasi masyarakat. Memeriksa dan merawat mereka yg "terduga" #COVID2019 dan WNI yg di observasi. Plzz, jika anda tak tahu bertanya. Jgn menuduh. Jgn hoaks.</t>
  </si>
  <si>
    <t>RT @RadioElshinta: Omed salah satu WNI yang batal dievakuasi dari Wuhan. Meski kesepian dan ketakutan terhadap Virus Corona, dia ‘tak berani’ berharap banyak akan dijemput pemerintah RI. via @voaindonesia #ElshintaEdisiSiang #CoronaVirusUpdates</t>
  </si>
  <si>
    <t>EXPO JAKBAR SAY yuk isis slot ya pelayanan servis serasa pacar #expojakbar #RECOMMENDED4BO #TrustedBO #Angeljakarta #bisyarjakarta #TrustedAngeL #bojakbar #cewekBO #vcsreal #availJakarta #RealAngel #expojakpus #ExpoJAKSEL #jakartaBo #RecommendeAngeL</t>
  </si>
  <si>
    <t>RT @Ramayan63810275: @__MV_llestari__ Semoga Bapak Presiden, Menkopolhukam memikirkan kembali, dikembalikannya anak ex NKRI pro isis ke Indonesia. Mungkin lebih banyak faedahnya perhatian ke anak anak yang terlantar didalam Negri.. Jika memakai Hati untuk masalah ini,jauh lebih butuh pertolongan...</t>
  </si>
  <si>
    <t>RT @cnbcindonesia: Mengintip Proses Pemulangan 69 WNI ABK Diamond Princess</t>
  </si>
  <si>
    <t>RT @republikaonline: Sebanyak 68 WNI ABK Diamond Princess akan mendarat di BIJB Kertajati pada Ahad malam.</t>
  </si>
  <si>
    <t>Begini rute WNI dari Jepang terbang ke Kertajati sebelum dibawa ke Pulau Sebaru  #WNI</t>
  </si>
  <si>
    <t>RT @vivanewscom: WNI Kru Diamond Princess dan World Dream Dipisah di Pulau Sebaru  #vivanews</t>
  </si>
  <si>
    <t>Sebanyak 68 WNI ABK Diamond Princess akan mendarat di BIJB Kertajati pada Ahad malam.</t>
  </si>
  <si>
    <t>yuk baca and retweet : KJRI bentuk satgas untuk kelancaran ibadah jamaah umrah WNI</t>
  </si>
  <si>
    <t>Terungkap, 238 WNI dari Wuhan Tak Dites Virus Corona, Alatnya Mahal ___ rasa kapitalis memang gitu deh.. nyawa kok kaya ga penting gitu</t>
  </si>
  <si>
    <t>Malam Ini Sampai di Indonesia, 68 WNI ABK Diamond Princess Negatif Corona?  #beritaterkinicorona</t>
  </si>
  <si>
    <t>RT @e100ss: 69 WNI ABK Diamond Princess Pulang Hari Ini</t>
  </si>
  <si>
    <t>Kemenkes: WNI ABK telah jalani observasi 14 hari di Kapal Pesiar Diamond Princess</t>
  </si>
  <si>
    <t>Dengan alasan tak mampu beli alat karena mahal,238 WNI dari wuhan (wilayah pusat corona virus) tidak menjalani tes virus mematikan tersebut.</t>
  </si>
  <si>
    <t>@elHurryKoRn isis jga bukan islam hanya mengaku islam...</t>
  </si>
  <si>
    <t>@e100ss Seperti 248 wni dari wuhan, tidak akan di test covid19, banyangkan 270.000.000 juta jiwa dan 2.000.000 turis china dalam setahun, hanya di test covid 143 spesimen seluruh indonesia , juara emang +62 , sementara sing 10.000 spesimen covid19, korea 15.000 perhari</t>
  </si>
  <si>
    <t>Sebanyak 69 warga negara Indonesia (WNI) kru Kapal Diamond Princess akan tiba di Bandar Udara Kertajati, Majalengka, Jawa Barat, Minggu (1/3/2020) pukul 22.30 WIB. Mereka telah dinyatakan sehat dari penyebaran virus korona.</t>
  </si>
  <si>
    <t>WNI Kru Diamond Princess dan World Dream Dipisah di Pulau Sebaru  #vivanews</t>
  </si>
  <si>
    <t>RT @sweethellena: Tanggal 15 Feb Kemenkes bilang 78 WNI di atas Diamond Princess sudah diperiksa dan negatif corona sehingga tidak ada perlakuan khusus bagi mereka. Padahal sesuai pengakuan kru WNI, mereka belum diperiksa sampai kemarin. Sekarang ada 3 yg terbukti positif.</t>
  </si>
  <si>
    <t>Adanya layanan baru ini diharapkan pembuatan SIM International akan menjadi lebih mudah dan terbuka dibanding sebelumnya. SIM ini nantinya bisa digunakan oleh Warga Negara Indonesia (WNI) di 188 negara. "SIM…</t>
  </si>
  <si>
    <t>@adriankusaihir1 @kenhans03 @gjxx41 @Slampdunk88 Gpp itu sudah takdir, Tapi kl elu duluan gmn,udah siap blom? Oh ya jgn lupa banyakin dulu foligami biar varokah.atau langsung gabung ke khilafah isis biar cepet ktemu surga n 72 bidadari</t>
  </si>
  <si>
    <t>Sebanyak 69 WNI Yang Pulang, Dipastikan Sehat</t>
  </si>
  <si>
    <t>RT @sarwonobs: @__MV_llestari__ Jika anak ISIS EKS WNI melakukan kegaduhan, kita minta @mohmahfudmd bertanggungjawab.</t>
  </si>
  <si>
    <t>Berhenti lah menutupi fakta dan berhenti lah memberikan makan Tuyul Internet untuk menangkis fakta.  #CoronaVirusUpdate</t>
  </si>
  <si>
    <t>RT @MCAOps: Ada kabar mengejutkan terkait proses evakuasi WNI dari Wuhan beberapa waktu yang lalu. Dialihbahasakan dari The Economist, mereka dipulangkan tanpa menjalani pemeriksaan virus corona. Alasannya alat tes yang mahal.</t>
  </si>
  <si>
    <t>Diperkirakan sekitar pkl 23.00 malam ini, WNI ABK Kapal Diamond Princess yg diangkut menggunakan pesawat Garuda dari Jepang, akan tiba di Bandara Kertajati. Selanjutnya dari Bandara Kertajati mereka akan dibawa ke Pelabuhan PLN Indramayu &amp; selanjutnya berlayar ke P. Sebaru Kecil.</t>
  </si>
  <si>
    <t>RT @kangsaiful_: @AmmaApri @DynCurny @Mala_1920 @anjunyoanjun ''alasan kenapa suka pake sarung?'' ''isis dan leluasa, bisa lebih sat set kalau kata payai Edi 😊'' #SarunganChallenge</t>
  </si>
  <si>
    <t>RT @amandagempita: Pendekar isis kah ??🤔🤔</t>
  </si>
  <si>
    <t>@PutuAriArtana2 @profrotigulung @jokowi Huhhah....ngomong ISIS otak lo ga nyampe. Percis kodok dlm tempurung !</t>
  </si>
  <si>
    <t>RT @republikaonline: WNI yang dievakuasi dari Diamond Princess akan tiba di Indonesia pada Ahad malam.</t>
  </si>
  <si>
    <t>RT @PresidenKopi: Benarkah berita ini @KemenkesRI ? Apa karena alatnya mahal??</t>
  </si>
  <si>
    <t>RT @lensaRTV: Pemerintah akan mengkarantina 68 WNI yang dievakuasi dari kapal pesiar 'Diamond Princess'. Mereka akan dikarantina selama 28 hari di Pulau Sebaru, Kepulauan Seribu, Jakarta. Diperkirakan mereka akan sampai Indonesia, dini hari nanti. #diamondprincesscruise #wni #kbritokyo</t>
  </si>
  <si>
    <t>RT @demokrasicoid: Terungkap, 238 WNI dari Wuhan Tak Dites Virus Corona, Alatnya Mahal</t>
  </si>
  <si>
    <t>Taktik Pemerintah Boyong 68 WNI Kru Diamond Princess</t>
  </si>
  <si>
    <t>@tempodotco @jokowi silakan umumkan keadaan terakhir pak, 1. Peralatan PCR kit Direct covid19 2.jumlah test spesimen 34 propinsi , kata ka litbang di @tvOneNews komulatif 143 saja dari 270.000.000 jiwa 3.ek WNI wuhan dan penjemputan yg diduga suspect tidak dilakukan test covid</t>
  </si>
  <si>
    <t>Benarkah berita ini @KemenkesRI ? Apa karena alatnya mahal??</t>
  </si>
  <si>
    <t>RT @KBRITokyo: KBRI Tokyo hingga Sabtu malam ini terus rapat dengan Tim Penjemput untuk menyiapkan misi penjemputan yang lancar bagi para WNI. Tugas utama kami di lapangan adalah melaksanakan koordinasi dengan semua pihak yang terlibat di Jepang. #NegaraMelindungi</t>
  </si>
  <si>
    <t>69 WNI dari kapal Diamond Princess dijadwalkan tiba di Majalengka malam ini.</t>
  </si>
  <si>
    <t>RT @wartapoLitik: Terungkap, 238 WNI dari Wuhan Tak Dites Virus Corona, Alatnya Mahal</t>
  </si>
  <si>
    <t>@Parapat_Nixon @jokowi @mohmahfudmd @jokowi @mohmahfudmd apakah ada jaminan anak" mereka tdk terpengaruh ISIS dan tdk membuat onar di NKRI? knp kalian suka mencari masalah. Lbh baik bina anak" WNI utk bs membuat Indonesia maju. Yg bukan WNI bukan tanggung jawab pemerintah.</t>
  </si>
  <si>
    <t>Pemerintah akan mengkarantina 68 WNI yang dievakuasi dari kapal pesiar 'Diamond Princess'. Mereka akan dikarantina selama 28 hari di Pulau Sebaru, Kepulauan Seribu, Jakarta. Diperkirakan mereka akan sampai Indonesia, dini hari nanti. #diamondprincesscruise #wni #kbritokyo</t>
  </si>
  <si>
    <t>RT @JiwasrayaGate: Pigai: Bukan Salah Saudi Tolak Umrah WNI, Tapi Dunia Internasional Ragu Pemimpin RI Suka Bohong</t>
  </si>
  <si>
    <t>@sushilsuni @jaavedjaaferi Do you think it is different from Kashmir_KPs 27/11,9/11 Shia_Sunni ISIS_BokoHaram LeT JeM ETIM,Syria_Turkey Turkey_Kurds Lebnan_Jordan_Libya Saudia_Yemen Iran_Iraq_Kuwait Af_Pak_Taliban Pakjabi_Balochistan Pakjabi_Pashtun/Mohajir/Sindhis Indian_Suprimacist Pl don't fan fire here</t>
  </si>
  <si>
    <t>69 WNI dari Diamond Princess Tiba Malam Ini, Diobservasi di Sebaru</t>
  </si>
  <si>
    <t>Sebanyak 69 WNI ABK Diamond Princess Segera Dipulangkan  lewat @sayangicom</t>
  </si>
  <si>
    <t>@abuhilalah Ya irhebe inta isis</t>
  </si>
  <si>
    <t>69 WNI ABK Diamond Princess Dijawalkan Tiba di Majalengka Malam Ini Minggu, 1 Maret 2020 Kanal Peristiwa</t>
  </si>
  <si>
    <t>@kenhans03 ISIS Berkedok Tegakan Hukum Islam Dan Dirikan Negara Khilafah Perkosa Dan Bunuh Lalu Jual 5000 Perempuan Yazidi , Di Indonesia Berkedok Syariat Yg Mereka Lakukan Bikin Fitnah, Kebohongan Hasut Luar Bisa Dengkinya</t>
  </si>
  <si>
    <t>69 WNI dari Kapal Diamond Princess Akan Tiba di Indonesia Malam Ini</t>
  </si>
  <si>
    <t>RT @csLz2AnVgzMSsW3: @AmmaApri @amrudinnejad_ @DynCurny @Mala_1920 @anjunyoanjun Selain isis dan ndak gerah,dg sarungan itu bebas bergerak jg bebas mencak2 #SarunganChallenge</t>
  </si>
  <si>
    <t>RT @05d95a682cea478: Pemda Kab. Pati dan Bank Jateng Lewat Bpk. Bupati Pati Menyerahkan Bantuan Masker Ke Pekerja Migrant &amp; WNI di Taiwan. Karena Susahnya cari stock masker di wilayah Kab. PATI dan Sekitar. Tahap pertama dikirim 6650 pcs. @panca66 @YanHarahap @AgusYudhoyono</t>
  </si>
  <si>
    <t>Mari berkawam dengan KUFFAR &amp; THOUGUT dengan dalih memerangi musuh bersama ialah "ISIS" padaha sudah bubar, dasar GOBLOK !!! RT @Partisangirl: The US deal with the Taliban was brokered by Qatar. - It shows a US pivot back to opposing Iran by supporting AlQaeda/Taliban - Iran's General Soleimani who Trump assassinated fought the Taliban alongside the US - US is allied to Al Qaeda in Syria. #TalibanPeaceDeal #Afghanistan</t>
  </si>
  <si>
    <t>RT @MMargani5: Kementerian Kesehatan berdalih pengujian tidak dilakukan lantaran harga alat pengujian yang mahal. Untuk reagen ditaksir dengan harga kisaran Rp 1 miliar. Ini serius? Bukan Hoax kan? 1M kok Mahal sih,kita kini trmsk Negara Maju &amp; Sbntr lg pindah Ibukota.🤔</t>
  </si>
  <si>
    <t>@hnurwahid Yth pak Nur Wahid, sy termsuk org yg antikekerasan dan sedih atas kej. di India. Tetapi sy penasaran ttg mengapa itu terjadi? Yg sy baca, jawabannya ternyata karena aksi reaksi. Sebelumnya para pakar terorisme bingung gimana menghentikan ISIS, Alqaeda dkk yg bertindak...</t>
  </si>
  <si>
    <t>Taktik Pemerintah Boyong 68 WNI Kru Diamond Princess: dari Bandara Kertajati ke Pulau Sebaru</t>
  </si>
  <si>
    <t>Wah ngeri sih! Gila kali ya cuma dilihat kondisinya cukup sehat trus lgsg disimpulkan kalau ngga kena corona. Wagelaseh!</t>
  </si>
  <si>
    <t>RT @PakatDayak: Dengan alasan kemanusian Istana meminta masyarakat menerima anak2 eks WNI combatan ISIS. Dengan alasan KESETANAN kami mengajak kalian terus bersuara "TOLAK BIBIT UNGGUL PERUSAK BANGSA!" Kenapa ISTANA tdk memperhatikan anak2 korban bom teroris?? Ada apa denganmu pak @jokowi???</t>
  </si>
  <si>
    <t>WNI ABK Diamond Princess akan menuju lokasi observasi dengan kapal  #VirusCorona</t>
  </si>
  <si>
    <t>RT @Azizmoidoci: @jokowi Semoga pajak panjenengan bukan untuk membina anak2 eks wni ISIS. Semoga pajak panjenengan di buat anak2 INDONESIA yg ada sekarang. Semoga pajak panjenengan bisa dipakai utk orang2 yang kerjanya memberi penjelasan thdp COVID19 sebenarnya. Jgn bohong!</t>
  </si>
  <si>
    <t>The Economist, Minggu 1 Maret: 238 WNI yg dievakuasi dari Wuhan jalani karantina di Natuna 2 minggu, tanpa protokol tes #SARSCoV2 ? Kemenkes berdalih mahal (harga reagen tes Rp1 Miliar) #Nalar &gt; Pemerintah keluarkan insentif 72M (termasuk influencer) utk redam dampak #COVID19 ?? RT @geloraco: Terungkap, 238 WNI dari Wuhan Tak Dites Virus Corona, Alatnya Mahal</t>
  </si>
  <si>
    <t>RT @Namaku_Anisa: Ini Negara atau Perusahan ? #Namaku_Anisa</t>
  </si>
  <si>
    <t>RT @John_Muhan: Anda @jokowi dan @mohmahfudmd sudah kasih perhatian dan bantuan kepada anak-anak WNI Korban Teroris ini???. ANAK-ANAK INI WARGA NEGARA INDONESIA bukan ANAK-ANAK EKS ISIS!!!</t>
  </si>
  <si>
    <t>@hnurwahid Dan juga kelompok anda bermula di Pilkada DKI...</t>
  </si>
  <si>
    <t>RT @radarbangsa_com: Pulau Sebaru Siap Jadi Lokasi Observasi WNI ABK Kapal World Dream dan Diamond Princes</t>
  </si>
  <si>
    <t>RT @BabeMude: Suasana Penjemputan WNI Kru Kapal Diamond Princess di BIJB Kertajati #CoronaVirusUpdate #Majalengka #IndonesiaTertib2020</t>
  </si>
  <si>
    <t>Terserah mau kalian jadikan raja n ratu anak2 isis itu di istana kalian. Tp jgn harap kami bs terima disaat anak2 yg jd korban teror kalian abaikan. Kami bangga dipimpin oleh kalian tp bkn pemimpin seperti ini yg kami dambakan. Pekalah dgn suara kami..</t>
  </si>
  <si>
    <t>Kemlu: 69 WNI Telah Dievakuasi Dari Kapal Diamond Princess</t>
  </si>
  <si>
    <t>RT @antaranews_bali: Evakuasi ABK Diamond Princess: Petugas kesehatan bersiap menyemprotkan cairan disinfektan kepada WNI ABK Diamond Princess dan barang bawaan saat turun dari kapal di Yokohama, Jepang, Minggu (2/3/3030). Pemerintah mengevakuasi 69 WNI ABK Diamond Princess…</t>
  </si>
  <si>
    <t>RT @MrsRachelIn: Yth presiden @jokowi @mohmahfudmd @Menlu_RI @KPAI_official @BNPTRI. seblom pulangin isis eks wni dg Dana Gede' sebaiknya benahi anak2 dlm negri dulu Kisah Keluarga Miskin Tinggal di Atas Makam dan Berutang Rp11 Juta ke RS di Banyumas</t>
  </si>
  <si>
    <t>Evakuasi ABK Diamond Princess: Petugas kesehatan bersiap menyemprotkan cairan disinfektan kepada WNI ABK Diamond Princess dan barang bawaan saat turun dari kapal di Yokohama, Jepang, Minggu (2/3/3030). Pemerintah mengevakuasi 69 WNI ABK Diamond Princess…</t>
  </si>
  <si>
    <t>WNI Dari Diamond Princess Tiba di Kertajati Malam Ini</t>
  </si>
  <si>
    <t>RT @MimMimaciaen: Berseberangan pun butuh dewasa &amp; jiwa bsr! Qta bole ga setuju ama Israel, tp hrs fair ngakui kelebihan mrk. Klo butuh ama penemuan mrk, bersikap cerdas aja. Ga penting jg buat sy blg "Hidup Palestina!", ga faham intern campus kedua negara. Hny WNI yg dukung sikap politik NKRI! 😎</t>
  </si>
  <si>
    <t>@dinikopi Ya saya WNI yg kerja di Taiwan udah dari imlek nyicil beli barang masker pun beli dari indo nyetok beras dan bahan makanan lainya dan mulai menghindari makanan yang setengah matang daging telur dll dan jangan lupa cuci tangan dan sedia alkohol yang 75%</t>
  </si>
  <si>
    <t>Suasana Penjemputan WNI Kru Kapal Diamond Princess di BIJB Kertajati #CoronaVirusUpdate #Majalengka #IndonesiaTertib2020</t>
  </si>
  <si>
    <t>@utopiarealist @aghniadi kenapa bisa ada kesimpulan pemerintah hanya prioritaskan ekonomi? ini ada ratas lainnya, ttg pemulangan WNI dari China Mainland, t’utama Wuhan. ratas lainnya? silakan gugling sendiri</t>
  </si>
  <si>
    <t>@Fahrihamzah Akan tetapi anda selalu absen ketika mayoritas mendjolimi minoritas di negri ini,,, anda tdk prnh bersuara ataupun berkicau, giliran umat muslim di jolomi s3kalipun itu planet lain pasti suara anda yg paling nyaring.... Berarti anda itu kan ....... Otak isis....</t>
  </si>
  <si>
    <t>Pulau Sebaru Siap Jadi Lokasi Observasi WNI ABK Kapal World Dream dan Diamond Princes</t>
  </si>
  <si>
    <t>RT @Bangzul__88: Kepolisian harus berani menindak tagas pelaku penyebar HOAX. Apalagi yang melakukan penyebaran berita bohong tersebut adalah elite politik juga sbg publik figur. Berita bohong yang disebarkan Fahira Idris sangat berbahaya utk bangsa Cc. @DivHumas_Polri 👇 #TangkapFahiraIdris</t>
  </si>
  <si>
    <t>Dinkes DKI Minta Warga Kepulauan Seribu Tak Cemas 188 WNI di Observasi #kepulauanseribu #wni #merahputih</t>
  </si>
  <si>
    <t>Pantesan tidak ditemukan kasus, ternyata gak dites too.. Ya iyalah... Gile lu ndro...?</t>
  </si>
  <si>
    <t>RT @AlfaOmega0110: @WR_4AG226 Sudah ada penegakkan hukum. Pertanyaannya apakah Polri @DivHumas_Polri @CCICPolri berani melakukan Supremasi Penegakkan Hukum Seadil2nya tanpa tebang pilih? Sekedar mengingatkan bhwa semua WNI sama di mata hukum. #TangkapFahiraIdris</t>
  </si>
  <si>
    <t>Tolak pemulangan ISIS eks WNI ke Indonesia</t>
  </si>
  <si>
    <t>Ini kira kira Dewas TVRI tau nggak ya cuma TVRI yang live dari Jepang memberitakan evakuasi WNI ABK Diamond Princess. #CoronaVirusUpdates</t>
  </si>
  <si>
    <t>kawannya ditolak masuk Indonesia, simpatisan ISIS ditengarai akan melakukan aksi balas dendam</t>
  </si>
  <si>
    <t>RT @Bangzul__88: Ahok tidak berniat untuk menistakan agama Islam dgn menyebut Surat Almaidah. Namun Dia tetap dinyatakan bersalah, setelah melalui bbrpa kali proses di Pengadilan. Apakabar dgn @fahiraidris yg telah dgn sengaja menyebar kabar bohong? #TangkapFahiraIdris</t>
  </si>
  <si>
    <t>@TimoSu1 @Airin_NZ @ISIS_Balik_NO @fahiraidris @DivHumas_Polri Gak bakal berani sob. Gw gak pake sempak seminggu kalo polisi berani.</t>
  </si>
  <si>
    <t>@Bang_Rayhan049 @DTanjung15 Diambil otak nya ?</t>
  </si>
  <si>
    <t>@DTanjung15 Ayo Nyai....maju terus, tumpas Kadrun !</t>
  </si>
  <si>
    <t>RT @KBRI_Bangkok: Update #Covid-19 di Thailand, per-1 Maret 2020, kasus terkonfirmasi 42 orang, 30 orang dinyatakan sembuh, 11 dalam perawatan di rumah sakit dan 1 orang meninggal dunia. WNI di Thailand ikuti selalu rekomendasi KemenkesRI, Kemenkes Thailand dan WHO #inidiplomasi #negaramelindungi</t>
  </si>
  <si>
    <t>Kombatan isis dilarang masuk</t>
  </si>
  <si>
    <t>Tolak pemulangan ISIS ke Indonesia</t>
  </si>
  <si>
    <t>RT @Puspen_TNI: Negara hadir untuk rakyat dimanapun berada "Pelepasan tim evakuasi 68 WNI ABK Diamond Princess"😎💂 #P5TNI #TNIPeduli #diamondprincesscruise #VIRUS_CORONA</t>
  </si>
  <si>
    <t>@geloraco @aniesbaswedan di indonesia tak akan pernah ketemu covid19 , kenapa ? Uji spesimen negara2 di luar indonesia sudah 10.000 bahkan korea 15.000 perhari , indonesia hanya 143 biji, terungkap dari ka.litbangkes di TVone, gilanya 248 WNI dari wuhan tidak pernah lakukan uji covid19</t>
  </si>
  <si>
    <t>Karantina yang dilakukan kepada 68 WNI abk Diamond Princess adalah sebagai kepedulian Pemerintah terhadap kesehatan &amp; keselamatan mereka serta memastikan kesehatan seluruh masyarakat Indonesia. #CoronaVirusUpdate #VirusCorona #waspadaviruscorona</t>
  </si>
  <si>
    <t>Fasilitas logistik Pulau Sebaru lebih bagus dibanding di Natuna untuk observasi WNI. Mulai dari ketersediaan kamar, alat medis, ahli gizi dan dokter. #COVID19 #COVID2019 #CoronaVirusUpdate</t>
  </si>
  <si>
    <t>Kapolri dan Panglima TNI tinjau kesiapan lokasi evakuasi dan observasi WNI di Pulau Sebaru. #COVID19 #Coronavid19</t>
  </si>
  <si>
    <t>Pemerintah terus pantau kondisi WNI di kapal pesiar #DiamondPrincess. #CoronaVirusUpdates #virusCoronaChina</t>
  </si>
  <si>
    <t>Negara Hadir Untuk Rakyat di manapun berada. Tim Evakuasi yang terdiri dari TNI dan Polri menuju Yokohama membawa pulang WNI abk Kapal Diamond Princess. #CoronavirusOutbreak #COVID2019</t>
  </si>
  <si>
    <t>Maaf Nih @suaradotcom ini Berita Seriusan kah ????? Ngeri2 Sedap Kalo Ini Berita Fakta 😳 Kalo Dipikir Pake Akal Waras Drpd Duit 72M buat Bayar Influencer yg tugas Nutupin Isyu2 Corona Kan Tuh Duit Bisa Utk Beli Alat Pendeteksi Yg Katanya "MAHAL" itu 😒</t>
  </si>
  <si>
    <t>RT @Nadila_ID: Mereka rela lembur demi kelancaran proses evakuasi para WNI ABK World Dream dan Diamond Princess. Sehat selaluu🙏🏻 #PulauSebaru</t>
  </si>
  <si>
    <t>RT @suaradotcom: Sebelum Dibawa ke Pulau Sebaru, Ridwan Kamil Mau Temui WNI Diamond Princess  #DariSuara</t>
  </si>
  <si>
    <t>Sebanyak 69 warga negara Indonesia (WNI) yang merupakan anak buah kapal pesiar Diamond Princess yang tertambat di Yokohama, Jepang, berkaitan dengan virus corona, segera dipulangkan ke Tanah Air. #coronavirus #diamondprincesscruise</t>
  </si>
  <si>
    <t>RT @jusstme4u: Selain kebutuhan sehari hari, fasilitas seperti rumah sakit mini juga disediakan di Pulau Sebaru untuk memantau kesehatan WNI yang dievakuasi dari Kapal World Dream ini. #PulauSebaru</t>
  </si>
  <si>
    <t>RT @ayyufriska: Pulau terpencil di seberang Jakarta itu dinilai tepat untuk mengobservasi wni nanti. #PulauSebaru</t>
  </si>
  <si>
    <t>RT @tribunjabar: 68 WNI ABK Kapal Pesiar Diamond Princess Transit di Bandara Kertajati Sebelum Dibawa ke Pulau Sebaru</t>
  </si>
  <si>
    <t>@Parapat_Nixon @jokowi @mohmahfudmd horeee allhamndulilah... Negri yg kita cintai akan ketambahan kulture baru, yakni; #ISIS #caliphate #khilafah yg kemungkinan akan di expand oleh mrk2 ini yg sedianya akan segera dipulangkan,!krn dimedan peperangan sana mrk2 ini adalah“SEORANG PAHLAWAN” #Satire #kudetamurahmeriah</t>
  </si>
  <si>
    <t>RT @kumparan: Sebanyak 69 WNI dari Diamond Princess akan dikarantina di Pulau Sebaru, Kepulauan Seribu.</t>
  </si>
  <si>
    <t>Kementerian Kesehatan mengatakan WNI yang bekerja sebagai ABK Diamond Princess telah menjalani observasi selama 14 hari di kapal dan setelah tiba di Tanah Air akan menjalani observasi selama 14 hari lagi di Pulau Sebaru Kecil, Kepulauan Seribu.</t>
  </si>
  <si>
    <t>RT @Lintas_MNCTV: Aktivitas 188 WNI ABK kapal World Dream selama observasi di Pulau Sebaru terpantau normal. Sementara pengaman masih cukup ketat dilakukan supaya pulau sebaru tetap steril. DUL . #MNCTVNews #LintasiNewsPagi #Korona #Coronavirus #SebaruKecil #WNI #Wuhan #WorldDream</t>
  </si>
  <si>
    <t>Malam Ini Tiba di Kertajati, 68 WNI ABK Diamond Princess Negatif Corona?</t>
  </si>
  <si>
    <t>RT @MAHA51920783: @wbintoro101209 @Soleh64268085 @dewantara_adjie @yayanz006 @asuhan101010101 @NowowoNowiwi @SahlanAmin4 @lambeintel @logic_editor @Nemo_4512 @Gus_KW @mahabaratha2019 @tijabar @IqVandys @tiRani1313 @sregar41 @Na_Nina08 @AlhabsyBoyamin Pki tryak pki dasar yahudi ISIS latnatuwlloh hahahhah membalikan fakta goblog</t>
  </si>
  <si>
    <t>RT @pendudukbiasa_: @TriAs_jam @haikal_hassan Salahnya dimana ? Kalo misalnya kasus isis, apakah agama anda dpt disalahkan ?</t>
  </si>
  <si>
    <t>Waduh! Alat Mahal, WNI yang Telah Dievakuasi dari Wuhan Ternyata Tak Dites Virus Corona</t>
  </si>
  <si>
    <t>Waduh! Alat Mahal, WNI yang Telah Dievakuasi dari Wuhan Ternyata Tak Dites Virus Corona  via @Indopolitika</t>
  </si>
  <si>
    <t>69 WNI ABK Kapal Diamond Princess Direncanakan Transit di Indramayu, Masyarakat Diminta Tak Panik</t>
  </si>
  <si>
    <t>Om @anjarisme , itu berita tgl 13 Feb yg lalu,@WHOIndonesia membahas ttg kepulangan WNI dari Wuhan. Penyebaran #CoronaVirus sangat pesat sekarang ini. Gak bisa di samakan dong dgn situasi 2 Minggu lalu. ☺️ RT @anjarisme: Ini kata @WHOIndonesia : Indonesia telah mengambil langkah konkret untuk bersiap menghadapi penyebaran virus corona Wuhan, yang juga dikenal dengan #COVID2019 _ Indonesia Negatif Virus Corona, Ini Kata WHO Indonesia -</t>
  </si>
  <si>
    <t>RT @RAISYAELBIX1: Istana Minta Masyarakat Terima Kepulangan Anak-anak WNI Eks ISIS -   Benar~benar...embuh...mo memelihara bibit penyakit...</t>
  </si>
  <si>
    <t>@amelyardian Kalo advice gampangku : 1. Pasangan bukan WNI, buat perjanjian pra nikah. Meski ga tinggal di Indo, biar gampang kl mo punya aset di Indo. 2. Pasangan pengusaha, buat perjanjian pra nikah. Biar kl usahanya rugi ga misqueen. 3. Punya kemungkinan berusaha, biar aman buat ajaa.</t>
  </si>
  <si>
    <t>RT @tempodotco: WNI Kru Diamond Princess Bakal Transit di Bandara Kertajati</t>
  </si>
  <si>
    <t>RT @lilyhotz: Dia punya relax main phone macam dah tak ingat minggu depan exam</t>
  </si>
  <si>
    <t>Menko PMK : Pulau Sebaru Kecil Siap Jadi Lokasi Observasi WNI ABK World Dream dan Diamond Princess</t>
  </si>
  <si>
    <t>Terimakasih.... Negara sudah Hadir utk memulangkan dan menyehatkan WNI yg terdampak Virus Corona. @jokowi #DRTerawan @KemenkesRI @Puspen_TNI</t>
  </si>
  <si>
    <t>@CamilleOtrakji @MaherBarotchi ISIS and AlQaida shaking hands</t>
  </si>
  <si>
    <t>Minggu Malam Ini, 68 WNI Kru Diamond Princess Dijadwalkan Mendarat di Kertajati</t>
  </si>
  <si>
    <t>@wbintoro101209 @Soleh64268085 @dewantara_adjie @yayanz006 @asuhan101010101 @NowowoNowiwi @SahlanAmin4 @lambeintel @logic_editor @Nemo_4512 @Gus_KW @mahabaratha2019 @tijabar @IqVandys @tiRani1313 @sregar41 @Na_Nina08 @AlhabsyBoyamin Pki tryak pki dasar yahudi ISIS latnatuwlloh hahahhah membalikan fakta goblog</t>
  </si>
  <si>
    <t>Sama-sama di Pulau Sebaru, Observasi WNI ABK Diamond Princess dan World Dream Terpisah</t>
  </si>
  <si>
    <t>RT @tempodotco: Proses Evakuasi WNI Kru Diamond Princess Dimulai</t>
  </si>
  <si>
    <t>Namun menurut saya, maksud dr Duta Besar India selaku wakil dr Pemerintah India tersebut adalah meminta supaya WNI tidak percaya pada hoaks yang berlebihan.</t>
  </si>
  <si>
    <t>Bukan Salah Saudi Tolak Umrah WNI, Pigai: Karena Pemerintah Berbohong</t>
  </si>
  <si>
    <t>Proses Evakuasi WNI Kru Diamond Princess Dimulai</t>
  </si>
  <si>
    <t>WNI Kru Diamond Princess Bakal Transit di Bandara Kertajati</t>
  </si>
  <si>
    <t>Juru Bicara Kementerian Luar Negeri Teuku Faizasyah mengungkap alasan bertambahnya WNI yang dievakuasi dari Diamond Princess.</t>
  </si>
  <si>
    <t>RT @YanHarahap: @05d95a682cea478 @panca66 @AgusYudhoyono Semoga bermanfaat dan para WNI di Taiwan terhindar dari segala macam penyakit. Bravo DPLN Demokrat Taiwan.</t>
  </si>
  <si>
    <t>@PowerMotivator Kita berdoa aja WNI AWAK kapal world dream tidak ada terindikasi Corona supaya cepat pulang ke keluarganya.</t>
  </si>
  <si>
    <t>RT @aw3126: Malam ini (1/3) atau dini hari nanti (2/3) WNI ABK Diamond Princess akan tiba untuk menjalani observasi #covid19Indonesia</t>
  </si>
  <si>
    <t>RT @ShyaReepah: @John_Muhan @Rakha_boumi @jokowi @mohmahfudmd Gmn pak @jokowi @mohmahfudmd lebih PENTING ank" Eks WNI yg pro ISIS yaa dibanding ank" Korban Teroris??? Menjemput mereka brt mempertaruhkan keselamatan seluruh WNI yg cinta NKRI. Menghadapi KKB Papua sja smp skrg belum jg slsai kok mau cri penyakit baru.</t>
  </si>
  <si>
    <t>Malam Ini Tiba di Kertajati, 68 WNI ABK Diamond Princess Negatif Corona?  #DariSuara</t>
  </si>
  <si>
    <t>RT @ansiboi: itu yang di sanction ama pemerintah yah, alias pelakunya kaga diapa2in lmaooo alias pemerintah dukung2 aje belon kalo kita bicara ISIS waduuch ISIS bukan islam kak namanya aja islamic state of iraq and syria kurang islam dimananya anjir lmaooo</t>
  </si>
  <si>
    <t>Pemulangan 69 WNI ABK dari Kapal Diamond Princess Yokohama</t>
  </si>
  <si>
    <t>RT @Paltiwest: 188 WNI ABK MV. World Dream berolahraga pagi di Pulau Sebaru Kecil menjalani transit observasi. Juga 68 WNI ABK MV. Diamond Princess akan menyusul dari Yokohama Jepang. Bukti pemerintah @jokowi hadir untuk WNI, bukan Warga negara lain.. Stop PULANGKAN warga ISIS!!</t>
  </si>
  <si>
    <t>RT @sauban_mirza: @IrfanRaazHadi @ProfNoorul Sanghi ISIS...</t>
  </si>
  <si>
    <t>Reposted from _yusufmuhammad_ Anak-anak ini tidak seberuntung anak dari eks WNI jihadis NGISIS yg dapat perhatian dari pemerintah. Bahkan mereka juga tidak mendapat perhatian dari @kpai_official Namun meskipun…</t>
  </si>
  <si>
    <t>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</si>
  <si>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@IrfanRaazHadi @ProfNoorul Sanghi ISIS...</t>
  </si>
  <si>
    <t>Apakah pemulangan WNI eks ISIS dirasa perlu? Apakah membahayakan karena dikhawatirkan membawa sisa-sisa virus ekstrimisme? Atau di sisi lain bahkan bisa menjadi mitra bagi BNPT dalam melakukan tindakan preventif penyebaran paham radikal dan ekstrem?.</t>
  </si>
  <si>
    <t>@05d95a682cea478 @panca66 @AgusYudhoyono Semoga bermanfaat dan para WNI di Taiwan terhindar dari segala macam penyakit. Bravo DPLN Demokrat Taiwan.</t>
  </si>
  <si>
    <t>RT @fadjroeL: Perintah Presiden @jokowi bahwa pemerintah tidak akan memulangkan anggota ISIS asal Indonesia ~ #Jubir #BungJubir @Kiyai_MarufAmin @KemensetnegRI @setkabgoid</t>
  </si>
  <si>
    <t>Jubir Presiden: WNI kru Diamond Princes dijadwalkan tiba di Bandara Kertajati pada Minggu malam - ANTARA News Jawa Barat</t>
  </si>
  <si>
    <t>RT @OposisiCerdas: Pigai: Bukan Salah Saudi Tolak Umrah WNI, Tapi Dunia Internasional Ragu Pemimpin RI Suka Bohong</t>
  </si>
  <si>
    <t>itu yang di sanction ama pemerintah yah, alias pelakunya kaga diapa2in lmaooo alias pemerintah dukung2 aje belon kalo kita bicara ISIS waduuch ISIS bukan islam kak namanya aja islamic state of iraq and syria kurang islam dimananya anjir lmaooo</t>
  </si>
  <si>
    <t>RT @basuki_rakhmad: Saya sudah bosan dengan huruf ini isis dan istilah khilafuck di semua media. Tidak ada manfaat yang bisa didapat selain mudarat. Untuk apa terlalu menghayal yang berlebihan, sudah enak hidup dengan tatanan Islam di Nusantara ini dengan aneka macam bumbunya. Kurang apalagi coba?</t>
  </si>
  <si>
    <t>69 ABK WNI Tinggalkan Diamond Princess</t>
  </si>
  <si>
    <t>Malam Ini, 68 WNI Kru Kapal Pesiar Dianmond Princess Mendarat di BIJB Kertajati</t>
  </si>
  <si>
    <t>@geloraco Ternyata 243 karantina wni dari wuhan tidak test spesimen sama sekali , dari kepala litbangkes hanya uji spesimen 143 dari 22 propinsi terungkap dalam acara @tvOneNews</t>
  </si>
  <si>
    <t>@hnurwahid @jokowi Sepertinya....saat babi berakpun...kalo dia mengutuk nama Jokowi.....akan anda sembah</t>
  </si>
  <si>
    <t>Jika ISIS adalah islam Apakah "Feminazi" adalah Feminis?</t>
  </si>
  <si>
    <t>RT @rsydanz: Sedihnya bila scroll photos lepastu jumpa gambar dengan orang yang dulu rapat gila but now macam strangers.</t>
  </si>
  <si>
    <t>RT @anjarisme: “Kondisi mereka baik. Selama tiga hari terakhir tidak ada keluhan panas, batuk, dan suhu tubuhnya juga tidak ada yang di atas 37 derajat (celcius),” _ WNI Kru Kapal World Dream Lega, Lepas dari Ancaman Virus Corona</t>
  </si>
  <si>
    <t>DPR Harap WNI yang Diobservasi di Pulau Sebaru Tak Merasa Diasingkan | Nasional -</t>
  </si>
  <si>
    <t>RT @Suriyakmaps: #Syria (31/1/2020): - #SAA : 118730,8 Km^2 (63,46%) [123749,54 Km^2 (66,14%) with joint #SDF-#SAA areas] ⏫ - #SDF : 47541,96 Km^2 (25,41%) ⏸️ - #Rebels : 18684,4 Km^2 (9,99%) ⏬ - #ISIS : 2138 Km^2 (1,14%) ⏸️</t>
  </si>
  <si>
    <t>NEGARA SENDIRI KOK DIJADIKAN KORBAN FITNAHAN UNTUK BENDUNG FITNAHAN DARI NEGARA LAIN GIMANA TOH APA KALIAN WNA YA BUKAN WNI SEHINGGA BELA NEGARA LUAR DAN KORBANKAN WNI JUGA NEGARA REPUBLIK INDONESIA (NEGARA KESATUAN REPUBLIK INDONESIA) YANG DI FITNAH TERJANGKIT VIRUS CORONA???</t>
  </si>
  <si>
    <t>RT @dondihananto: @setkabgoid @jokowi Ada arahan apa utk pencegahan atau deteksi WNI atau wisatawan yg ada risiko terpapar? Saya baca Qunut sih</t>
  </si>
  <si>
    <t>“Kondisi mereka baik. Selama tiga hari terakhir tidak ada keluhan panas, batuk, dan suhu tubuhnya juga tidak ada yang di atas 37 derajat (celcius),” _ WNI Kru Kapal World Dream Lega, Lepas dari Ancaman Virus Corona</t>
  </si>
  <si>
    <t>RT @revirezkyriady: @amasna Kalo ISIS past tense nya jadi WASWAS</t>
  </si>
  <si>
    <t>Ada juga video ini yg lumayan viral. Biasanya narasi yang muncul adalah adanya 280 WNI yg gagal umroh karena 18 positif virus corona. Sumber video masih diselidiki</t>
  </si>
  <si>
    <t>Selama observasi, 188 WNI ABK World Dream wajib mendapatkan asupan gizi dan istirahat yang cukup. #PulauSebaru</t>
  </si>
  <si>
    <t>Seandainya negara berperan aktif dgn kasus2 seperti ini, bkn dgn kasus memulangkan anak2 isis. @mohmahfudmd @KemensetnegRI @PolhukamRI @KemensosRI RT @BBCIndonesia: [Video terpopuler] Pertemuan Iwan dan ibunya yang sudah 15 tahun terpisah ini adalah video yang paling banyak dilihat di BBC Indonesia pekan ini. Versi lengkapnya dapat disaksikan di Youtube kami:</t>
  </si>
  <si>
    <t>Keturunan WNI tanpa identitas: 15 tahun terpisah, ibu dan anak bersatu k...  via @YouTube sediiiiiihb</t>
  </si>
  <si>
    <t>@mediocrickey Bahahahaha jan ngarep mas, anak u-10 isis aja ditolak. Palagi orang2 dewasa.</t>
  </si>
  <si>
    <t>Asik Main Tik tok di Ruang Isolasi, Virus Corona Tak Ada Harganya di Mata WNI via @melekpolitikcom</t>
  </si>
  <si>
    <t>RT @pattayonx: kalau kafirin pon reti pakai stongan, malu lah kite selaku muslimah tidak dpt menjaga aurat dengan sempurna.</t>
  </si>
  <si>
    <t>RT @permadiaktivis: Medsos geger uni @fahiraidris nebar HOAX ratusan orang positif virus Corona di Indonesia. Kita husnuzon positip thinking yuk tuips.. mungkin ini Corona yang uni maksud? 🤔 yang setuju uni Fahira ditangkap, RT tagar #TangkapFahiraIdris</t>
  </si>
  <si>
    <t>RT @SPION0251: @HusinShihab @cemaragunung @DivHumas_Polri Sahkan Sertifikasi ustad &amp; ulama segera 🙏.. Wahabi, salafi adalah sel isis yg ingin menghancurkan NKRI</t>
  </si>
  <si>
    <t>Pemda Kab. Pati dan Bank Jateng Lewat Bpk. Bupati Pati Menyerahkan Bantuan Masker Ke Pekerja Migrant &amp; WNI di Taiwan. Karena Susahnya cari stock masker di wilayah Kab. PATI dan Sekitar. Tahap pertama dikirim 6650 pcs. @panca66 @YanHarahap @AgusYudhoyono</t>
  </si>
  <si>
    <t>@hnurwahid @jokowi Muslim di Yaman dan Suriah di bantai sesama muslim, ente diam aja. Malam mendukung teroris isis . Ente sebenarnya bela muslim atau teroris?</t>
  </si>
  <si>
    <t>RT @HaniahHanamichi: Fasilitas observasi untuk WNI yang tersedia di Pulau Sebaru Kecil, Kepulauan Seribu, lebih lengkap dibanding dengan yang ada di Natuna. #IndonesiaTertib2020</t>
  </si>
  <si>
    <t>WNI ABK tersebut turun satu persatu untuk diukur suhu tubuhnya. Mereka yang suhunya lebih panas dari angka yang ditetapkan oleh Protokol Kesehatan Indonesia diminta untuk kembali ke kapal.</t>
  </si>
  <si>
    <t>RT @MrsRachelIn: Tawuran' Bullying &amp; intolerant ga pernah kelar' now mau di+ anak2 kombatan Isis❓🤥 Anak-Anak WNI Eks ISIS akan Segera Dipulangkan, Masyarakat Dihimbau untuk Menerima Keberadaan Mereka, Mahfud MD: Kebijakannya Sudah Resmi</t>
  </si>
  <si>
    <t>Evakuasi WNI dari Kapal Diamond Princess Tiba Malam Ini</t>
  </si>
  <si>
    <t>Sebanyak 69 WNI dari Diamond Princess akan dikarantina di Pulau Sebaru, Kepulauan Seribu.</t>
  </si>
  <si>
    <t>RT @radar_malang: Masih Berlangsung, WNI Dievakuasi Satu Per Satu dari Diamond Princess</t>
  </si>
  <si>
    <t>Tawuran' Bullying &amp; intolerant ga pernah kelar' now mau di+ anak2 kombatan Isis❓🤥 Anak-Anak WNI Eks ISIS akan Segera Dipulangkan, Masyarakat Dihimbau untuk Menerima Keberadaan Mereka, Mahfud MD: Kebijakannya Sudah Resmi</t>
  </si>
  <si>
    <t>RT @2024ErickThohir: Proses Desinvectan WNI dari Wuhan di Natuna ttd MbangGULA</t>
  </si>
  <si>
    <t>Masih Berlangsung, WNI Dievakuasi Satu Per Satu dari Diamond Princess</t>
  </si>
  <si>
    <t>RT @AnakLolina: Memaksa eks WNI akui Pancasila itu seperti memaksa minoritas jika ingin hidup damai harus jadi Islam. Walaupun terpaksa akan mengatakan iya, diam2 ibadah di rumahnya. Begitu juga ISIS demi kenyamanan terima dulu, diam2 lancarkan aksinya. @jokowi</t>
  </si>
  <si>
    <t>Legislator PDIP mengapresiasi langkah pemerintah evakuasi WNI dari Kapal World Dream.</t>
  </si>
  <si>
    <t>Pigai: Bukan Salah Saudi Tolak Umrah WNI, Tapi Dunia Internasional Ragu Pemimpin RI Suka Bohong</t>
  </si>
  <si>
    <t>NANTI WNI YANG ADA PENYAKIT ASMA KELUAR NEGERI DAN PULANG DISEBUT TERJANGKIT VIRUS CORONA KAN PUSING BANGET DAN BISA BUAT PASIAN STRESS BUNUH DIRI ??? BETUL KAGAK PUBLIK SELURUH DUNIA</t>
  </si>
  <si>
    <t>RT @noeruzzaman: Maksudnya apa sih nih orang? Lebih penting duit daripda nyawa manusia? Dulu pemulangan WNI eks ISIS sekarang, cc @kirekswasta @mantriss @wprasetyo73 @hasanuddinali Corona Mereda, Luhut Mau TKA Cina Segera Masuk Lagi ke Indonesia  via @tirtoid</t>
  </si>
  <si>
    <t>Pembatasan itu dilakukan agar tidak terjadi kumpulan antar kedua kelompok ~ #Nasional</t>
  </si>
  <si>
    <t>@KanimozhiDMK Isis kum dmk vu kum thordapu punda irukum pola</t>
  </si>
  <si>
    <t>RT @KadrunHunter99: Senator Fahira Isis sudah bikin gaduh.. Tangkap Tangkap Tangkap Fahira, Tangkap Fahira sekarang juga.. #TangkapFahiraIdris</t>
  </si>
  <si>
    <t>#SahabatKemlu, hari ini (1/3)para WNI ABK yang telah dikarantina 2 pekan lebih di kapal Diamond Princess di Yokohama memulai proses pemulangan ke tanah air. Selengkapnya:  #IniDiplomasi #NegaraMelindungi</t>
  </si>
  <si>
    <t>Juru Bicara Presiden, Fadjroel Rachman mengatakan, 68 warga negara Indonesia (WNI) kru kapal Diamond Princess yang dievakuasi dari Yokohama, Jepang, akan mendarat di Tanah Air, Minggu, 1 Maret 2020 malam. Baca selengkapnya klik  #NewsOne #VirusCorona</t>
  </si>
  <si>
    <t>Hayolah pak @jokowi ,, sudahi ide 'gila' pemulangan mereka.. anak" Jihadis ISIS eks WNI itu ibarat patung kuda dlm kisah Troya. Badan mereka adlh patungnya, dan hati/mental/moral mrk adalah 'pasukan terselubung' yg akan bangkit kpn saja utk membunuh!!! RT @wisanggeni_084: Anak² ini tidak seberuntung anak² dari Eks WNI jihadis ISIS yg dapat perhatian dari pemerintah... Mereka tidak dapat perhatian dari @KPAI_official dan Pemerintah, tetapi mereka sdh tunjukan betapa mereka mencintai negara ini. Cc: @mohmahfudmd @jokowi</t>
  </si>
  <si>
    <t>RT @RizmaWidiono: INSTRUKSI.!! Kepada seluruh anggota Bang Japar &amp; seluruh netizen bila menemukan Twitt seperti ini mohon agar difoto, segera lapor dan serahkan pada aparat yg berwajib. Atau nanti kita bakar bersama Turnbackhoax Yth @DivHumas_Polri @CCICPolri @BareskrimPolri #TangkapFahiraIdris</t>
  </si>
  <si>
    <t>RT @yusuf_dumdum: Waduh muncul tagar #TangkapFahiraIdris 🤭 Apa salah ukhty Fahira ?</t>
  </si>
  <si>
    <t>RT @oak_math_lee_91: @tonnywh @BebasVisaID @social_junkee Bapak dan Ibu @ditjen_imigrasi @Kemenkumham_RI @peruriID @kanim_soeta Bagaimana dengan wacana epaspor polikarbonat WNI? Apakah dalam waktu dekat ini sudah dapat diluncurkan untuk khalayak ramai?</t>
  </si>
  <si>
    <t>RT @edhi_shi: Nih perlu ditiru, usaha cegah utk diri sendiri dan keluarga serta org di sekitar terlebih dahulu. Setelah itu ada tenaga medis yg sdh bersiap di RS, puskesmas, klinik. Tuh ada yg terkena di singapore udah pulih, wni yg kerja di sana.</t>
  </si>
  <si>
    <t>@Bangzul__88 Jaringan Preman Lapar.....pas bangetz...💞💞💞💞</t>
  </si>
  <si>
    <t>@AhlulQohwah Pak @jokowi apakah bapak tdk menyadari bhw bapak sedang mempertaruhkan ketentraman anak2 di masa depan termasuk cucu2 bapak jika menerima kembali anak2 isis yg jelas2 tlh terindoktrinasi dr mereka kecil; bukankah kita lbh baik memikirkan anak Indonesia saja</t>
  </si>
  <si>
    <t>RT @Bangzul__88: Siapa berani tangkap Bu Ngul Fahira Idris? Doi dikawal oleh Bang Japar. Ada yang tau siapa Bang Japar? Katanya sih Jagoan Kampung yang dibentuk utk mengawal 4nies. Bukan Bang Japar, Jaringan Preman Lapar itu kan? 😅 #TangkapFahiraIdris #TangkapFahiraIdris</t>
  </si>
  <si>
    <t>RT @BGaber62: Jika rakyat sipil sdh banyak ditangkap dan diproses hukum terkait berita hoax virus Corona meskipun pelakunya sdh minta maaf, bagaimana dgn cuitan Fahira Idris? Apakah anggota DPD RI ini akan ttp "bebas" tanpa proses hukum. #TangkapFahiraIdris</t>
  </si>
  <si>
    <t>@syafrinkar Ha...ha....pastinya ngga aktive test spesimen , sampai saat ini komulatif 143 spesimen dari 22 propinsi, yg eks wni wuhan aja 243 orang ngga di ambil uji lab nya, sudah lah TOLOL ngga bisa sembuh</t>
  </si>
  <si>
    <t>@bejocyber @erwindoparulian @LaingenLisa @hnurwahid @jokowi Mau syiah , mau suni faktanya berada di rmh yg sama kok 😛 Lantas itu yg ngotot supaya iblis2 ISIS eks WNI supaya dipulangkan atas dasar apa nih? Semoga bkn krn dasar keseimanan 🙏😊</t>
  </si>
  <si>
    <t>RT @jr_kw19: Hukum jng tajam kebawah tapi tumpul ke atas tunggu apalagi jng karena dia anggota @DPDRI @SenatorJakarta tidak bisa diperiksa Ayo segara @DivHumas_Polri @CCICPolr @BareskrimPolri #TangkapFahiraIdris</t>
  </si>
  <si>
    <t>RT @yesmar_banu: @RomeskoP Sama kasusnya dengan anak2 korban bom di Samarinda yg dibantu bro @BirgaldoS semua pengobatan ditanggung sendiri, pemerintah kemana pak @mohmahfudmd ? Jadi lucu aja klo pemerintah sbuk mulangin org2 ISIS, trmasuk anak2 ISIS.</t>
  </si>
  <si>
    <t>@Parapat_Nixon @jokowi @mohmahfudmd Marwah negara turun, Bukankah mereka adalah eks WNI, @Menkopolhukam</t>
  </si>
  <si>
    <t>@Mertosari @tirtayasa72 @hasmi_bakhtiar isis nafasnya tinggal di ujung leher, yang ada hanya sedikit gerombolan lapar, tapi saya rasa erdogan pasti mewaspadai mereka, pintu gerbang pengungsi terbuka lebar, semua menincar eropa wilayah terdekat dan terpaling aman, disini kuncinya untuk menekan negara2 eropa, agar...</t>
  </si>
  <si>
    <t>Malam Ini, 68 WNI ABK Diamond Princess Tiba di Indonesia. Semoga Semua ABK Sehat-sehat Saja.😊 RT @Beritasatu: Malam ini, 68 ABK WNI Diamond Princess Tiba Bandara Kertajati</t>
  </si>
  <si>
    <t>BNPB pastikan fasilitas observasi di Pulau Sebaru siap terima ABK Diamond Princess</t>
  </si>
  <si>
    <t>RT @AnaRafly: @AmmaApri @DynCurny @Mala_1920 @anjunyoanjun Mengapa suka sarungan? Karena Sarung itu praktis, isis, bisa buat eksis dan juga narsis 😊. #SarunganChallenge</t>
  </si>
  <si>
    <t>RT @aw3126: WNI ABK Diamond Princess ajan diobservasi selama 28 hari #covid19Indonesia</t>
  </si>
  <si>
    <t>Minta boleh, tapi yg logis dong Jangan pulangkan anak isis eks wni Tolonglah, dan dengarlah harapan kami ini wahai presiden RT @wahhabicc_jabar: Istana Minta Masyarakat Terima Kepulangan Anak-anak WNI Eks ISIS ------ Kami adalah bagian dari masyarakat yang tidak sepakat pd negara yg memulangkan anak² ISIS. Yang sepakat dengan kami, silahkan 🔁 RT @jokowi @KemensetnegRI @mohmahfudmd</t>
  </si>
  <si>
    <t>Sebanyak 68 warga Negara Indonesia (WNI) yang bekerja sebagai anak buah kapal (ABK) Diamond Princess, akan dipulangkan dari Yokohama, Jepang. Sesampainya mereka di Tanah Air, para WNI itu bakal dikarantina atau diobservasi selama 28 hari.</t>
  </si>
  <si>
    <t>RT @mediaindonesia: Tidak seperti observasi pertama yang hanya mengandalkan pemeriksaan screening, kini Kemenkes langsung memeriksa spesimen dari tiap WNI observasi menggunakan PCR.</t>
  </si>
  <si>
    <t>RT @Katolik_GK: Kami sgt mendukung Indonesia merangkul anak2 eks WNI dgn alasan kemanusiaan. Pertanyaannya, APAKAH INDONESIA SUDAH SIAP MENERIMA MEREKA DAN MENJAMIN MEREKA BUKAN ANCAMAN, SEMENTARA INTOLERANSI PUN TIDAK MAMPU DIATASI PEMERINTAH? @jokowi @mohmahfudmd</t>
  </si>
  <si>
    <t>RT @harihariono1: Jika memperhatikan semua argumen dan langkah (penanganan intoleransi, radikalisme, keutuhan NKRI) yg dilakukan oleh pemerintahan @jokowi , masihkah layak pemerintahan ini disebut pemerintahan yg anti ISIS, menjaga Pancasila, UUD '45 &amp; Bineka Tunggal Ika dan Pro NKRI ?????</t>
  </si>
  <si>
    <t>Tidak seperti observasi pertama yang hanya mengandalkan pemeriksaan screening, kini Kemenkes langsung memeriksa spesimen dari tiap WNI observasi menggunakan PCR.</t>
  </si>
  <si>
    <t>Ini Sosok Kolonel Sitanggang, Juru Masak Tim Evakuasi WNI Kapal World Dream</t>
  </si>
  <si>
    <t>Malam ini, 68 ABK WNI Diamond Princess Tiba Bandara Kertajati</t>
  </si>
  <si>
    <t>@dcsprtsfan6 @sheggario @setkabgoid @jokowi Boss, mbok jgn blog2 lah. 1. Soal ratas2 ... cari sendiri, soal wni wuhan yg kemarin ... cari sendiri .... soal postingan setkab ... cari sendiri jg dong. 2. dampak thd ek hrs diantisipasi, krn sdh tjd, dull. 3. Ttg kesehatan - kan sdh ada instruksi. Yg penting menkes siap.</t>
  </si>
  <si>
    <t>@memefess susis (suami masuk isis)</t>
  </si>
  <si>
    <t>RT @RaymanLogic: Faktanya memang belum ada WNI yang terjangkit Virus Corona/COVID 19, ini cukup meragukan bisa jadi memang Indonesia belum ada alat-alat yang benar-benar bisa mendeteksi virus tsb atau memang sistem imune dari orang indonesia itu yang memang kuat melawanny? #coronavirusupdate</t>
  </si>
  <si>
    <t>RT @kesatu_co: Beberapa WNI tampak meneteskan air mata ketika berbaris rapi mendengar sambutan. #CoronaDiantaraKita #coronavirusupdate @KemenkesRI @jabarprovgoid</t>
  </si>
  <si>
    <t>Komnasham juga spertinya lbih pduli dg Hamnya isis eks WNI itu drpda hamnya korban bom... RT @ambargedon: @Parapat_Nixon @jokowi @mohmahfudmd Mau protes,ngomong sampai berbusa tetap tdk didengar Presiden dan mentri terkait.mrk sdh menyakiti hati dan harga diri yg paling dlm rakyat yg menolak pemulangan ISIS EX WNI,Pemerintah,komnasham,kpai tdk peduli perasaan korban bom dan keluarganya.</t>
  </si>
  <si>
    <t>@fathurrochman6 @listyaevans @putri_melayu01 @Fahrihamzah Cuy, lo yakin @putri_melayu01 tuh perempuan? 🤪. Dari bahasanye aje gw ngerih, udah mapping pola pikirnye blom? beuh lebih ngerih lagi, 11 12 sama penganten Bom, 12 13 sama Fighter ISIS. Abis lah lo klo jadi sama cewe radikalis kaya begitu mah..🤪</t>
  </si>
  <si>
    <t>@Parapat_Nixon @jokowi @mohmahfudmd Pak tolonglag ISIS gak usah di gubris,,mau yg anak2 atw yg udah tua,,bahaya...</t>
  </si>
  <si>
    <t>WNI kru Diamond Princes dijadwalkan tiba di Kertajati malam ini</t>
  </si>
  <si>
    <t>RT @RadioElshinta: Pernyataan Duta Besar Indonesia untuk Korea Selatan, Umar Hadi terkait update kondisi WNI di Korea Selatan saat ini. | Part II (Dok. KBRI Seoul) #ElshintaWeekend #CoronaVirusUpdate</t>
  </si>
  <si>
    <t>@GunRomli Sblnya penolakan 238 wni dari wuhan di natuna jg politis pilkada.....???</t>
  </si>
  <si>
    <t>RT @AhlulQohwah: Anak pengungsi Timtim masih terlunta di panti asuhan, Anak TKI kesulitan akses pendidikan, Anak2 syiah Sampang 6 tahun masih jadi pengungsi, Anak2 ahmadiyah di Lombok masih butuh pendampingan, Mereka semua cinta NKRI. Yg harus kita terima..?!! Anak ISIS</t>
  </si>
  <si>
    <t>@rmol_id Smg WNI terlindung dr kebiadaban ini #PPIIndia @PPIIndia @AlumniPPIDunia</t>
  </si>
  <si>
    <t>@SantorinisSun @Parapat_Nixon @jokowi @mohmahfudmd Dan satu hal, tak ada yg bisa jamin 100% ank2 eks kombatan isis itu bisa bnar² bebas dr faham radikal dan terorisme.</t>
  </si>
  <si>
    <t>RT @drpriono: Pak @jokowi, mohon alokasikan dana pada kegiatan yang tepat. Perlu dana untuk memperkuat surveilans dan peningkatan kapasitas laboratorium public health Sebagian dana kesehatan kita sudah tersedot untuk evakuasi warga WNI dan isolasi di pulau. #COVID2019 #COVID19indonesia</t>
  </si>
  <si>
    <t>WNI yang telah dinyatakan negatif Covid-19 tersebut kemudian dibawa ke Pulau Sebaru Kecil di Kepulauan Seribu untuk dikarantina selama 14 hari. #PulauSebaru</t>
  </si>
  <si>
    <t>RT @rmol_id: Kecam Kekerasan Di India, Pemuda Muhammadiyah Dorong Kemlu Jamin Keselamatan WNI #india #UUKewarganegaraan #CAB #RepublikMerdeka</t>
  </si>
  <si>
    <t>RT @RadioElshinta: Berikut pernyataan Duta Besar Indonesia untuk Korea Selatan, Umar Hadi terkait update kondisi WNI di Korea Selatan saat ini. | Part I (Dok. KBRI Seoul) #ElshintaWeekend</t>
  </si>
  <si>
    <t>@haikal_hassan Dan juga bagaimana muslim di suria dipenggal lehernya oleh isis...? Kok kamu diam ?</t>
  </si>
  <si>
    <t>Berikut pernyataan Duta Besar Indonesia untuk Korea Selatan, Umar Hadi terkait update kondisi WNI di Korea Selatan saat ini. | Part I (Dok. KBRI Seoul) #ElshintaWeekend</t>
  </si>
  <si>
    <t>@agpeduli Sumbang Masker ke Seoul. @agpeduli (AGP) bekerjasama dgn @Kemenlu &amp; KBRI di Seoul memberikan bantuan 200.000 masker kepada WNI di Seoul, Korea Selatan, Minggu (1/3/2020) Penyerahan bantuan dilakukan oleh Bpk Panji Winata. #AGPeduli #koronavirus</t>
  </si>
  <si>
    <t>@Parapat_Nixon @dionMomongan @jokowi @mohmahfudmd (2) anak2 isis diurusin anak2 mau sekolah minggu dicuekin</t>
  </si>
  <si>
    <t>RT @kompascom: "Take off dari Haneda pukul 18.00 waktu setempat. Sampai di Kertajati 23.30 WIB. Kemudian menuju ke pelabuhan PLTU Indramayu pada pukul 00.30 WIB,"</t>
  </si>
  <si>
    <t>@Hilmi28 WNI abu janda CS paling seneng jalan jalan gratis .BPJS aja nunggak😄🤭🤭🤭🤣🤣</t>
  </si>
  <si>
    <t>Dunia heboh karena Indonesia belum melaporkan satu pun kasus Virus Corona. Dunia tdk percaya dengan penanganan kesehatan di Indonesia. Saya sebagai WNI seharusnya percaya kpda pemerintah. Bagaikan anak yg percaya ke orang tuanya. Bukan ikut menjatuhkan mereka</t>
  </si>
  <si>
    <t>WHO menyatakan bahwa tindakan observasi WNI di Natuna adalah tindakan cerdas. #VirusCorona #WHO</t>
  </si>
  <si>
    <t>RT @AH26021967: Indonesia menganggap serius persoalan #coronavirus. Pemerintah sudah bekerja untuk melindungi seluruh WNI terkait wabah #CoronaVirusUpdate. Ikuti thread Praktisi Humas Kesehatan @anjarisme tentang upaya yang sudah dilakukan @KemenkesRI terhadap corona virus di Indonesia. Kuy!</t>
  </si>
  <si>
    <t>@luqmanaji13 Jaringan isis seh menyebarkan ajaranya kui ati2 koe</t>
  </si>
  <si>
    <t>188 WNI ABK World Dream melakukan pemeriksaan rutin setiap 12 jam sekali. #PulauSebaru</t>
  </si>
  <si>
    <t>Berarti pemerintah lebih takut terjadi krisis ekonomi karena corona daripada memberikan update siapa dan dimana aja WNI yang sudah positif terkena corona. Ditambah lg masyarakat msh pada santai, termasuk keluargaku Tbh, rada khawatir nih 😔 RT @jakpost: It appears that the problem lies with the fact that the government is worried more about the social and economic impact of a mass hysteria created by the virus outbreak than the outbreak itself. #jakpost #commentary</t>
  </si>
  <si>
    <t>Pak @mohmahfudmd apakah sudah menyiapkan tempat yg nyaman buat anak" Indonesia yg pernah bergabung dengan ISIS? RT @__MV_llestari__: MENJEMPUT TERORIS PULANG . . . Sempat kaget bercampur heran ketika seorang anak laki-laki berumur sekitar 8-9 tahunan menghampiriku dan menyodorkan tangannya dan kemudian meminta uang layaknya pengemis. Ini di Belanda pikirku.</t>
  </si>
  <si>
    <t>Ga usah menganjurkan ke masyarakat lagi pak @jokowi, @mohmahfudmd langsung Bawa masuk istana aja, cucu2 bapak butuh teman main tuh, sambil Latihan gorok2an.. Semoga yang memelihara anak2 penghianat kombatan ISIS paham resikonya,... 🙏🙏🙏 RT @Takviri: Masyarakat dikasih gawean baru oleh pemerintah.</t>
  </si>
  <si>
    <t>Shalat Jumat di Pulau Sebaru Kecil (28/2). Menko PMK Prof Dr Muhadjir Effendi bertindak sbg Khatib di dampingi Kepala BNPB Doni Monardo, Pangkogabwilhan 1 Letjen Yudo di Pulau Sebaru Kecil pada misi kemanusiaan menjemput WNI dari kapal World Dream u/ observasi kasus virus corona.</t>
  </si>
  <si>
    <t>@FArmijn @Hanifah933 Yg dipulangkan, anak yatim piatu jd hrsnya ga da ortu. Ada proses seleksinya. Tp ttp aja was². Prog deradikalisasi unt mrk hrs zero defect, kl tdk ... 😱😱😱 Apa pem bisa jamin ini? cc @mohmahfudmd , @jokowi</t>
  </si>
  <si>
    <t>Nantinya satu dari delapan gedung yang ada di Pulau Sebaru akan diperuntukkan sebagai tempat observasi bagi WNI kru kapal Diamond Princess. #PulauSebaru</t>
  </si>
  <si>
    <t>@John_Muhan @Rakha_boumi @jokowi @mohmahfudmd Gmn pak @jokowi @mohmahfudmd lebih PENTING ank" Eks WNI yg pro ISIS yaa dibanding ank" Korban Teroris??? Menjemput mereka brt mempertaruhkan keselamatan seluruh WNI yg cinta NKRI. Menghadapi KKB Papua sja smp skrg belum jg slsai kok mau cri penyakit baru.</t>
  </si>
  <si>
    <t>Ngeri juga virus corona ini, dikira semakin ketat pencegahan udah semakin lebih aman. Aplagi indo masih dibilang cukup aman jg kan... Nah setidaknya ada kebijakan pembatasan wna yg masuk dan wni yg keluar indo dulu deh. Biar wni di indo tetep bs liburan di negerinya tnp khawatir</t>
  </si>
  <si>
    <t>RT @tempodotco: WNI Kru Diamond Princess Bakal Dikarantina Hampir Sebulan</t>
  </si>
  <si>
    <t>RT @jusstme4u: 188 WNI di Pulau Sebaru Kecil menjalani pemeriksaan kesehatan menyeluruh. #PulauSebaru</t>
  </si>
  <si>
    <t>RT @kompascom: Ke-68 WNI tersebut akan menuju pelabuhan PLTU Indramayu pada pukul 00.30 WIB.</t>
  </si>
  <si>
    <t>RT @DairyMiilk: Al Qaeda + Taliban + ISIS + Haqani + JUD + D Company = ISI It's victory of the Pakistani terrorist state. No one can beat PAKISTANI JIHADI ISI THINK TANK.</t>
  </si>
  <si>
    <t>@Takviri Marc Stone, reporter Sky News, mendatangi kam penampungan eks ISIS di Al-Holl, Suriah. Di tempat ini berdiam sekitar 70,000 anggota ISIS dari berbagai negara. Tempat ini memang tidak memenuhi standar kelayakan, tapi itu justru makin mempertebal militansi mereka.</t>
  </si>
  <si>
    <t>RT @rqlabigail: Observasi terhadap 188 WNI ABK World Dream di Pulau Sebaru Kecil sama dengan ratusan WNI yang pulang dari kota Wuhan, China. #PulauSebaru</t>
  </si>
  <si>
    <t>Indonesia menganggap serius persoalan #coronavirus. Pemerintah sudah bekerja untuk melindungi seluruh WNI terkait wabah #CoronaVirusUpdate. Ikuti thread Praktisi Humas Kesehatan @anjarisme tentang upaya yang sudah dilakukan @KemenkesRI terhadap corona virus di Indonesia. Kuy! RT @anjarisme: Indonesia pengalaman dg flu burung. Indonesia terlindungi dari SARS yg mewabah ASIA &amp; MersCov melanda Timteng. Masih ragu belum ada kasus #covid19Indonesia saat ini? Apapun motifmu: ekonomi, politik &amp;amp; sosial; cukup utk dirimu sendiri. Jangan sebarkan ketakutan kpd orang lain</t>
  </si>
  <si>
    <t>@CNNIndonesia Berasa tinggal di Negara Islam Indonesia soalnya wapresnya apa2 syariah, apa2 halal apa2 Islam... Dia pikir WNI Islam semua</t>
  </si>
  <si>
    <t>@hnurwahid Yang di Tanah Arab gimana, ratusan ribu umat muslim tewas sama teroris ISIS</t>
  </si>
  <si>
    <t>Pak @jokowi, mohon alokasikan dana pada kegiatan yang tepat. Perlu dana untuk memperkuat surveilans dan peningkatan kapasitas laboratorium public health Sebagian dana kesehatan kita sudah tersedot untuk evakuasi warga WNI dan isolasi di pulau. #COVID2019 #COVID19indonesia RT @ridwanhr: Singapore ngasih insentif ke tenaga medis untuk menghadapi Corona Indonesia ngasih insentif ke influencer untuk meredam berita Corona</t>
  </si>
  <si>
    <t>@kompascom Google nggak mau ke Indo, banyak kadrun HTI PKS FPI ISIS. MEndingan di Vietnam atau Thai</t>
  </si>
  <si>
    <t>Kecam Kekerasan Di India, Pemuda Muhammadiyah Dorong Kemlu Jamin Keselamatan WNI #india #UUKewarganegaraan #CAB #RepublikMerdeka</t>
  </si>
  <si>
    <t>@hendralm WNI dilawan?</t>
  </si>
  <si>
    <t>Knpsi :((</t>
  </si>
  <si>
    <t>RT @kompascom: Observasi WNI kapal pesiar Diamond Princess dan World Dream di Pulau Sebaru, Kepulauan Seribu akan dilakukan secara terpisah. / #Nasional</t>
  </si>
  <si>
    <t>Proses observasi para WNI di Pulau Sebaru pun wajib dilakukan untuk memastikan saat mereka pulang ke keluarga dinyatakan dalam keaadan sehat. #Pulausebaru</t>
  </si>
  <si>
    <t>"Take off dari Haneda pukul 18.00 waktu setempat. Sampai di Kertajati 23.30 WIB. Kemudian menuju ke pelabuhan PLTU Indramayu pada pukul 00.30 WIB,"</t>
  </si>
  <si>
    <t>@ArjoenM @budimandjatmiko @jokowi Jaman Jahiliyah adanya di Arab, Suriah, Iraq dan ISIS Juga membantai namun Ini bukan masalah bantai membantai tp Toleransi antar umat beragama</t>
  </si>
  <si>
    <t>RT @RRIPrograma3: #LiveNow telewicara dengan Panglima Komando Gabungan Wilayah Pertahanan Satu, Laksmana Madya Yudo Margono terkait Update Observasi WNI ABK World Dream di Pulau Sebaru Simak informasinya di #IndonesiaPagi PRO 3 RRI</t>
  </si>
  <si>
    <t>@iceaen Kalo dipake sm WNI yg jalan pulang dr suriah cocok ga bang</t>
  </si>
  <si>
    <t>RT @republikaonline: ABK Diamond Princess akan diobservasi di Pulau Sebaru, Kepulauan Seribu.</t>
  </si>
  <si>
    <t>RT @cilliasiregar: Semua fasilitas dari sanitasi hingga fasilitas kesehatan bahkan fasiitas pendingin sudah disiapkan lho buat para WNI. #PulauSebaru</t>
  </si>
  <si>
    <t>RT @id_aksi: 188 WNI Kru Kapal Pesiar World Dream Mulai Diobservasi di Pulau Sebaru Kecil</t>
  </si>
  <si>
    <t>RT @jusstme4u: Dan sangat bersyukur banget ternyata banyak masyarakat di kepulauan sebaru yg mau kerja lembur demi berhasilnya evakuasi para WNI. #PulauSebaru</t>
  </si>
  <si>
    <t>RT @ayyufriska: WNI negatif corona tersebut kemudian dibawa ke Pulau Sebaru Kecil untuk dikarantina selama 14 hari. #PulauSebaru</t>
  </si>
  <si>
    <t>RT @bandungnews5: 68 WNI ABK Kapal Pesiar Diamond Princess Transit di Bandara Kertajati Sebelum Dibawa ke Pulau Sebaru,  [ADS] Dapatkan cashback reksadana dari Bibit senilai Rp50.000. Masukkan kode referral ini saat pendaftaran: bonusdaftar</t>
  </si>
  <si>
    <t>Byk mas..ikutin saja media2 Arab,serta akun2 besar dr Syiria dan Iraq yg Valid klo mau lbh jauh ikutin saja akun @yudhapati88 👈 dia byk simpan Vidio2 kekejaman ISIS RT @basuki_rakhmad: @GagakNeww2 Darimana tahunya, sumber beritanya?</t>
  </si>
  <si>
    <t>RT @FatiinS_L: Alhamdulilah proses evakuasi 188 WNI ABK World Dream dan 68 WNI Diamond Princess berjalan dengan lancar. #PulauSebaru</t>
  </si>
  <si>
    <t>RT @iNewsID: Pemprov Jakarta melalui Dinas Kesehatan (Dinkes) mengimbau warga Kepulauan Seribu tidak cemas dan khawatir terhadap kehadiran warga negara Indonesia (WNI) yang menjalani observasi virus korona di Pulau Sebaru Kecil.</t>
  </si>
  <si>
    <t>Selamat Akhir Zaman.. Ini Dosa siapa? Ini Salah siapa? Jika Umat Islam tdk bisa ibadah Umrah bkn salah Arab Saudi. Tp Dunia Internasional masih ragu dgn kredibilitas Pemimpin Indonesia yg suka berbohong," #Pray4MoslemIndia #Pray4MoslemIndia</t>
  </si>
  <si>
    <t>RT @Artortoise_full: Hari ini tular di media sosial bbrp video yg menunjukkan seorang remaja lelaki dipercayai "overdose" dadah di sbuah pusat hiburan. Menurut beberapa sumber, remaja itu dikatakn dipaksa teman wanitany &amp; rakan2 utk menelan dadah berbentuk pil yg blebihan myebabkanny diserang sawan.</t>
  </si>
  <si>
    <t>Evakuasi 68 WNI dari Kapal Diamond Princess akan menggunakan pesawat @IndonesiaGaruda yang diterbangkan langsung dari Bandara Haneda ke Bandara Kertajati.</t>
  </si>
  <si>
    <t>RT @Tosh_Tiwari: Book which motivated - Burhan Wani - Azmal Kasab - Yakoob Memon - Osama Bin Laden - ISIS Murderers - Yasin Malik - Abu Bakar Baghdadi - Al Qeada #BanTheBook</t>
  </si>
  <si>
    <t>RT @SiJombloKreatif: Komando Pasukan Katak (Kopaska) dan Satuan Polisi Perairan (Sat Polair) mensterilkan perairan Pulau Sebaru Kecil menjadi Ring 2 wilayah untuk observasi 188 WNI ABK World Dream. #PulauSebaru</t>
  </si>
  <si>
    <t>PADAHAL DINAS KESEHATAN UDAH MEMBANTAH DAN SUDAH MELAKUKAN CEK UP SEMUA WNI DIEVAKUASI DARI LUAR NEGERI SEBANYAK 115 ORANG SEMUA KEADAAN SEHAT WAFIAT DAN TIDAK TERJANGKIT WABAH VIRUS CORONA</t>
  </si>
  <si>
    <t>RT @voaindonesia: WNI Fokus Umroh di Tengah Penangguhan Visa Saudi</t>
  </si>
  <si>
    <t>WNI Fokus Umroh di Tengah Penangguhan Visa Saudi</t>
  </si>
  <si>
    <t>@AmerEurope 'Tetapi yang benar', 'Serta bukanlah kejahatan', 'Lalu tidak menjadikan pribadi menjadi pribadi kriminal2'. Se tidak2nya gak kek "ISIS", "BOKO HARAM", "AL SHABAAB" hingga "ABU SAYYAF", "Yang kriminal2" serta "sampah2".</t>
  </si>
  <si>
    <t>RT @hidupnanindah: Jadi ternyata para WNI ABK Diamond Princes yg berada di Pulau Sebaru Kecil menjalani pemeriksaan kesehatan menyeluruh ya. #PulauSebaru</t>
  </si>
  <si>
    <t>@chuentoi @tonnywh @BebasVisaID @social_junkee @oak_math_lee_91 @sandmanindo @IvanRT05 @PejuangPaspor @Menlu_RI @Kemlu_RI @LaolyYasonna Sy semenjak @jokowi bebasin visa negara Afrika yang notabennya endemik HIV Aids udah malas, apalagi soal Bangladesh ini, org wilayah sama luas negaranya banyak orangnya. Padahal WNI juga ga bebas visa ke negara mereka juga.</t>
  </si>
  <si>
    <t>RT @ayyufriska: WNI di kapal world dream ini dievakuasi ke Pulau Sebaru Kecil untuk menghindari wabah virus corona. #PulauSebaru</t>
  </si>
  <si>
    <t>#korpolairud #polripromoter . KORPOLAIRUD KERAHKAN 5 KAPAL PATROLI DAN 1 HELI BELL 429 DALAM PENGAMANAN EVAKUASI 188 WNI DARI MV. WORLD DREAM #polripromoter #korpolairud #polrihumanis #mabespolri #ditpolairbahatkam #polisishabatkita #Polri #baharkampolri #evakuasiwni</t>
  </si>
  <si>
    <t>@soranibrahim7 @anjarisme Aamiin.. Do'a terbaik untuk adik Mas @soranibrahim7 &amp; WNI lain yg di Sebaru</t>
  </si>
  <si>
    <t>#PalingPopuler "Rasanya lebih dari sedih. Ingin nyebur ke sumur." Omed salah satu WNI yang batal dievakuasi dari Wuhan. Meski kesepian dan ketakutan terhadap virus corona, dia ‘tak berani’ berharap banyak akan dijemput pemerintah RI. #OmedJiayou #Wuhan #VirusCorona #CoronaVirus</t>
  </si>
  <si>
    <t>@Asknonym Dulu pas masih sekolah, sma gw isinya isis semua</t>
  </si>
  <si>
    <t>RT @Agilsamal1: Wartawan TVRI sudah di Yokohama, untuk menyampaikan informasi publik terkait proses evakuasi WNI dari kapal diamond princess, KBRI Tokyo terkesan tertutup..ada apa sebenarnya ya bu @Menlu_RI padahal masyarakat di Indonesia menunggu kabar ini...</t>
  </si>
  <si>
    <t>188 WNI di Pulau Sebaru Kecil menjalani pemeriksaan kesehatan menyeluruh. #PulauSebaru</t>
  </si>
  <si>
    <t>WNI di kapal world dream ini dievakuasi ke Pulau Sebaru Kecil untuk menghindari wabah virus corona. #PulauSebaru</t>
  </si>
  <si>
    <t>RT @sissyfebrina: Nah WNI di kapal world dream ini dievakuasi ke Pulau Sebaru Kecil untuk menghindari wabah virus corona. #PulauSebaru</t>
  </si>
  <si>
    <t>Apa kabar TWK? Mengalami peningkatan dong. Tahun ini nasionalisme saya diuji dan lolos. Alhamdulillah, saya masih WNI.</t>
  </si>
  <si>
    <t>RT @Bisniscom: Ridwan Kamil ke Kertajati, Sambut 68 WNI ABK Diamond Princess</t>
  </si>
  <si>
    <t>Komando Pasukan Katak (Kopaska) dan Satuan Polisi Perairan (Sat Polair) mensterilkan perairan Pulau Sebaru Kecil menjadi Ring 2 wilayah untuk observasi 188 WNI ABK World Dream. #PulauSebaru</t>
  </si>
  <si>
    <t>RT @SiJombloKreatif: Bersyukur banget ternyata banyak masyarakat di kepulauan sebaru yg mau kerja lembur demi berhasilnya evakuasi para WNI. #PulauSebaru</t>
  </si>
  <si>
    <t>@wni_sni Maleh aku</t>
  </si>
  <si>
    <t>@lalapikachuu @OnaAriana1 @HPendul Banyak baca berita ya, isis itu bukan islam. Mereka bikinan barat. Intoleran yang bagaiaman muslim di indonesia? Tolong katakan, pernah kah umat muslim membantai kaum minorotas? Gk ada sejarah yg membuktikan</t>
  </si>
  <si>
    <t>@AnakLolina @elHurryKoRn @jokowi Bahwa memmaksa warga ISIS menjadi WNI adalah pelanggaran adab international dan pelanggaran hak asasi manusia... 😁😁😁</t>
  </si>
  <si>
    <t>RT @UjangBustomi: Kami Ansor Banser Cirebon,menolak ISIS kmbli ke NKRI,siapapun yg menerima mereka,dngn Alasan apapun,akan kami lawan demi kedamaian NKRI.</t>
  </si>
  <si>
    <t>RT @Kemlu_RI: Penangguhan izin masuk ke Arab Saudi berdampak lgsng bagi WNI yg akan Umrah terutama yang sudah meninggalkan Indonesia Upaya #NegaraMelindungi selalu hadir bagi warganya. Indonesia bantu kepulangan 65 WNI yg transit di Colombo, (27/02). Para WNI akan tiba di Jkt 28/02 pkl 10.55</t>
  </si>
  <si>
    <t>@RomeskoP Pemeritah cq,menteri agama agar memikirkan kembali perasaan mereka2 yg cacat krn ulah teroris,stop pulangkan kelompok isis ke indonesia...</t>
  </si>
  <si>
    <t>@schumss @Anti_Cebong07 @VIVAcoid ISIS Suriah Dan semua pemberontak bisa eksis krn bantuan pada mereka masuk lewat Turki. Itu yg mau diputis oleh Asad.</t>
  </si>
  <si>
    <t>188 WNI ABK MV. World Dream berolahraga pagi di Pulau Sebaru Kecil menjalani transit observasi. Juga 68 WNI ABK MV. Diamond Princess akan menyusul dari Yokohama Jepang. Bukti pemerintah @jokowi hadir untuk WNI, bukan Warga negara lain.. Stop PULANGKAN warga ISIS!!</t>
  </si>
  <si>
    <t>@erna_st Qts sbg WNI yg baik qta percaya pada informasi negara sendiri biarkan negara lain TDK percaya itu haknya,yg penting info Kemenkes benar benar valid</t>
  </si>
  <si>
    <t>RT @geloraco: Pesawat Evakuasi 68 WNI ABK Diamond Princess Akan Terbang ke RI Sore Ini</t>
  </si>
  <si>
    <t>RT @Takviri: Masyarakat dikasih gawean baru oleh pemerintah.</t>
  </si>
  <si>
    <t>FPI Ormas terstruktur bkn sih ? contoh NU &amp; Muhammadiyah. Negara kalau ada apa2 tanya ke ulama2 dua ormas itu. Jalin diplomasi yg baik. Fungsi Kedubes/Konsulat Jenderal itu memberi pelayanan konsular kpd WNA/WNI, reporting, protecting dst. FPI SALFOK. 🙄</t>
  </si>
  <si>
    <t>Jadi ternyata para WNI ABK Diamond Princes yg berada di Pulau Sebaru Kecil menjalani pemeriksaan kesehatan menyeluruh ya. #PulauSebaru</t>
  </si>
  <si>
    <t>Kelakuan Turki kayak ISIS Penjarah, pembunuh, penjajah This #Turkey this is #NATO RT @Partisangirl: Turkish soldiers beheading Syrian soldiers with Al Qaeda in #Idlib. This is #Turkey. This is #NATO.</t>
  </si>
  <si>
    <t>RT @GRLM1707: @Cak_Hariy @SukhendroPragul Setuju dgn pemikiran anda, seharusnya yg buat video ini bisa mengutamakan rasa persatuan dan kesatuan bangsa, jgn memperkeruh keadaan yg bs membuat kerukunan umat beragama jd retak, ayooo lah WNI berbuatlah hal2 simple sebagai sumbangsih kita kpd tanah air ini, kapan lagi ?</t>
  </si>
  <si>
    <t>Pemerintah Tengah mengupayakan jalan keluar terbaik untuk penanganan WNI awak kapal pesiar Diamond Princess di Jepang dan World Dream di Perairan Indonesia. #VirusCorona #virusCoronaChina #CoronavirusOutbreak</t>
  </si>
  <si>
    <t>@WahabisLokal @mohmahfudmd Saya sangat menolak keras pemulangan anak2 eks isis #tolakanakisiskembali</t>
  </si>
  <si>
    <t>RT @mpuanon: @Raj4Purwa @yudhawirapp Kasus di Malaysia adalah kasus impor, bukan penularan lokal. Coba ikuti berita ras apa saja yang terkena virus corona di Malaysia. Jadi jika #Menkosaurus memaksa TKA Cina masuk lagi maka kita akan melihat pengidap terbesar #COVID19 adalah WNI Tionghoa.</t>
  </si>
  <si>
    <t>@Endroid12 @agung_faysm @musniumar @YC3KUM Daripada junjungan lu didukung radikal teroris isis HTI khilaf...aahhhh 😂😂😂</t>
  </si>
  <si>
    <t>RT @AlbertSolo2: Menteri kesehatan RI: Saya juga baru saja mendapatkan informasi dari pak duta besar RI di Tokyo Jepang,bhawa kedua WNI yang di duga positif virus Corona, sudah berada di pusat karantina yang memang di sediakan oleh kementerian kesehatan Jepang.</t>
  </si>
  <si>
    <t>Menteri kesehatan RI: Saya juga baru saja mendapatkan informasi dari pak duta besar RI di Tokyo Jepang,bhawa kedua WNI yang di duga positif virus Corona, sudah berada di pusat karantina yang memang di sediakan oleh kementerian kesehatan Jepang.</t>
  </si>
  <si>
    <t>RT @kirekswasta: Gizinya tercukupi, hidupnya enak, sekolahnya tinggi, karir dan jabatannya strategis. Tapi goblok. Demikianlah profil stafsus presiden ini</t>
  </si>
  <si>
    <t>Yah krn WNI, ga heran guwe RT @hendralm: 😭😭😭😭😭😭😭</t>
  </si>
  <si>
    <t>RT @mazzini_gsp: Pemerintah Suriah meminta negara-negara yang warganya menjadi simpatisan ISIS untuk memulangkan mereka agar diadili di negara masing-masing, tapi banyak yang menolak. Bagaimana nasib mereka selanjutnya? Video selengkapnya:  Sumber: @voidotid</t>
  </si>
  <si>
    <t>@detikcom Buat jemput wni aja pa</t>
  </si>
  <si>
    <t>° Nama Lengkap : Abyasa Caka Nararya. ° Nama panggilan: Aby, Caca. ° Tempat, tanggal, &amp; Lahir: Bandung, 22 Desember 2003. ° Golongan Darah: A. ° Domisili: Bandung. ° Kewarganegaraan: WNI.</t>
  </si>
  <si>
    <t>WNI negatif corona tersebut kemudian dibawa ke Pulau Sebaru Kecil untuk dikarantina selama 14 hari. #PulauSebaru</t>
  </si>
  <si>
    <t>WNI yang telah dinyatakan negatif Covid-19 kemudian dibawa ke Pulau Sebaru Kecil di Kepulauan Seribu untuk dikarantina selama 14 hari. #PulauSebaru</t>
  </si>
  <si>
    <t>188 WNI ABK Diamond Princes yg berada di Pulau Sebaru Kecil menjalani pemeriksaan kesehatan menyeluruh. #PulauSebaru</t>
  </si>
  <si>
    <t>Pesawat Evakuasi 68 WNI ABK Diamond Princess Akan Terbang ke RI Sore Ini</t>
  </si>
  <si>
    <t>@Cak_Hariy @SukhendroPragul Setuju dgn pemikiran anda, seharusnya yg buat video ini bisa mengutamakan rasa persatuan dan kesatuan bangsa, jgn memperkeruh keadaan yg bs membuat kerukunan umat beragama jd retak, ayooo lah WNI berbuatlah hal2 simple sebagai sumbangsih kita kpd tanah air ini, kapan lagi ?</t>
  </si>
  <si>
    <t>Wabah Corona Menyebar di Korsel, Gimana Kabar WNI di Sana?</t>
  </si>
  <si>
    <t>@Parapat_Nixon @jokowi @mohmahfudmd Biarkan saja mereka hidup di luar,toh mereka sudah bukan urusan negara kita apalagi mereka sudah nyaman jadi warag isis. #tolakanakisiskembali</t>
  </si>
  <si>
    <t>RT @AlbertSolo2: Menteri kesehatan RI: Indonesia masih aman dari virus Corona.jadi saya himbau masyarakat jangan mudah percaya begitu saja dengan berita hoax di media sosial mengenai virus Corona.saya baru saja mendapatkan informasi bahwa semua WNI yang ada di kapal pesiar negatif virus Corona</t>
  </si>
  <si>
    <t>@doni_awak @LusiHQ @Jamsnonem @BiLLYKHAERUDIN Jangan lupa ISIS dan Alqaeda. Trigger!</t>
  </si>
  <si>
    <t>Menteri kesehatan RI: Indonesia masih aman dari virus Corona.jadi saya himbau masyarakat jangan mudah percaya begitu saja dengan berita hoax di media sosial mengenai virus Corona.saya baru saja mendapatkan informasi bahwa semua WNI yang ada di kapal pesiar negatif virus Corona</t>
  </si>
  <si>
    <t>Pulau Sebaru Kecil ga ada penduduknya sama sekali. Tapi sekarang udah ada fasilitas wifi untuk para WNI yang dikarantina disana. #PulauSebaru</t>
  </si>
  <si>
    <t>RT @nizzalsyafiq: Rakyat yg sekolah kebangsaan ramai, sekolah cina juga dpt paling bnyk dana. 1 org melayu suspek ISIS kena tangkap, 12 orang pengganas ltte kena tgkp dgn bukti pun kena lepas. Nk letak 1 tulisan jawi dlm buku cina pun gelabah beruk siap buat demo. Kau x tau ke benda ni jilakerrr</t>
  </si>
  <si>
    <t>@TVRINasional Breaking News proses pemulangan WNI dari Kapal Diamond Princess #mediapemersatubangsa</t>
  </si>
  <si>
    <t>Rezim Usmani tanganya yg penuh Darah dan mesin pembunuh yg berlindung di Balik Agama,Erdogan adalah ISIS penerus Al baghdadi 👇👇👇</t>
  </si>
  <si>
    <t>RT @P3nj3l4j4h_id: Sudah ga tau mau nulis gimna lg tentang kepulangan exs wni isis ini! Sampai kapanpun saya ga akan pernah ikhlas u nerima mereka kembali ke negeri ini!!! Saya kecewa Pak @jokowi krn mengambil sikap untuk pulangkan mereka!! 😡😡😡😡😡😡😡 Cc @Chilli_Pari</t>
  </si>
  <si>
    <t>Pemprov Jakarta melalui Dinas Kesehatan (Dinkes) mengimbau warga Kepulauan Seribu tidak cemas dan khawatir terhadap kehadiran warga negara Indonesia (WNI) yang menjalani observasi virus korona di Pulau Sebaru Kecil.</t>
  </si>
  <si>
    <t>@azril_me @fadjroeL @JubirPresidenRI mereka pakai 28hari untuk observasi WNI ini</t>
  </si>
  <si>
    <t>@aisa_jasmine @musniumar darah khilafah ISIS kau bodat, ga tahu malu bela terus yaman bodoh, tdk bs kerja tolol jgn dipelihara bodat bom bunuh diri</t>
  </si>
  <si>
    <t>RT @negativisme: masih banyak anak-anak WNI yg kesusahan, yang hak-haknya tak terpenuhi. ini malah mau mulangin anak -anak ISIS eks WNI, yg kemungkinan besar mereka udah dicuci otak. Kami TOLAK!</t>
  </si>
  <si>
    <t>@Parapat_Nixon @jokowi @mohmahfudmd Mau protes,ngomong sampai berbusa tetap tdk didengar Presiden dan mentri terkait.mrk sdh menyakiti hati dan harga diri yg paling dlm rakyat yg menolak pemulangan ISIS EX WNI,Pemerintah,komnasham,kpai tdk peduli perasaan korban bom dan keluarganya.</t>
  </si>
  <si>
    <t>@AnakLolina @HusinShihab YG NYATA KAO ANGGAP HOAX ,ISIS YG GA DA KAU NYINYIRI TIAP HARI.HATIMU BUTA</t>
  </si>
  <si>
    <t>@hnurwahid LALU KENAPA ANDA MENGHENDAKI ANGGOTA ISIS KEMBALI KE INDONESIA?</t>
  </si>
  <si>
    <t>@yogadika12 Misal kyk isis ya kn sudh difatwakan oleh mui klo itu aliran sesat atau itu buatan amerika yg ingin mengeruk minyk di timur tengah doang</t>
  </si>
  <si>
    <t>@Lady_Zeebo @mohmahfudmd Sekalipun itu seorang ibu atau anak tetapi kalau berlable isis tetaplah sangat berbahaya untuk kehidupan umat manusia khususnya bangsa Indonesia yg cinta damai.</t>
  </si>
  <si>
    <t>DPR HARAP WNI YANG DIOBSERVASI DI PULAU SEBARU TAK MERASA DIASINGKAN #TauCepatTanpaBatas</t>
  </si>
  <si>
    <t>@wahhabicc_jabar @jokowi @KemensetnegRI @mohmahfudmd Kami tidak setuju anak isis dipulangkan titik. Jika dipulangkan maaf pak Jokowi anda telah mengkhianati dukungan kami selama ini.. dukungan dar jutaan rakyat yg cinta NKRI</t>
  </si>
  <si>
    <t>RT @__MV_llestari__: Maka ketika MENKOPOLHUKAM @mohmahfudmd membuat pernyataan bahwa anak-anak eks WNI yang menjadi pejuang ISIS akan dipulangkan sudah resmi diputuskan, tentu harus kita pertanyakan.</t>
  </si>
  <si>
    <t>Entah apa yang merasukimuuu~</t>
  </si>
  <si>
    <t>RT @vonnycornellya_: Kok jadi gini Pak @jokowi ? Banyak video2 yg menceritakan bgmn mrk mencuci otak anak2 tsb sejak belia, bahkan ada cerita mrk hrs membunuh orgtuanya sendiri sbg tugas awal. Msh banyak anak2 Indonesia yg lbh layak diperhatikan khususnya yg ada didlm negri.</t>
  </si>
  <si>
    <t>@NurKLS_PNRG @efri_arsyad @na_dirs ISIS mo dirikan khilafah gagal total dn bikin hancur semuanya..suatu realita tdk dpt dibantah..🙏</t>
  </si>
  <si>
    <t>RT @ridlwandjogja: Yang percaya doa qunut menangkal bala musibah ya jutaan WNI Yang lebih nyaman periksa di RS Syariah ya jutaan WNI. Normal saja. Pilihan .</t>
  </si>
  <si>
    <t>Nahhh para WNI yang kemarin di observasi di Pulau Sebaru Kecil udah melalui tes PCR (Polymerase Chain Reaction) dan ternyata hasilnya negatif. #PulauSebaru</t>
  </si>
  <si>
    <t>Jadi WNI yang kemarin di observasi di Pulau Sebaru Kecil udah melalui tes PCR (Polymerase Chain Reaction) dan ternyata hasilnya negatif. #PulauSebaru</t>
  </si>
  <si>
    <t>@kompascom Tau gk ntar klau d pulangkan nasibny gmna? Bsa2 d bully, trus dendam, trus jadi isis jg ntar gdenya. Napa sih peduli amat sma nasib yg d luar sdngkan anak2 jalanan d dalem msh bnyk gk d tolong? #ngapain</t>
  </si>
  <si>
    <t>@opp522 Gampanggg.tinggal bales aja pake bom isis😂,duarrrr memeq</t>
  </si>
  <si>
    <t>@AdiAdi50429050 Krn 👉ISIS contoh SGT buruk! Di india..(blm lg Zakir naik...kl kotbah srg menyinggung agama lain)...jd Umats Hindu ini dendam ...</t>
  </si>
  <si>
    <t>@icblues @nisatyas Semua orang pasti panik kalau belakang rumahnya dijadikan tempat karantina tanpa koordinasi dari pemerintah. Hari H kedatangan WNI dari Wuhan emang mencekam kayak gak ada kehidupan besoknya normal lagi kok. Intinya ya keterbukaan informasi dari pemerintah.</t>
  </si>
  <si>
    <t>Yang benar sj 😭</t>
  </si>
  <si>
    <t>RT @kardusbox08: @kangdede78 Jgn pula memulangkan anak2 ISIS, tolong suara dari rakyat disampaikan ke Presiden</t>
  </si>
  <si>
    <t>RT @Hali__lintar: Semoga Pemerintah batalkan memulangkan embrio Teroris ISIS. Apapun alasannya negara masih punya tanggung jawab yg lebih besar .yakni mengurusi fakir miskin dan anak2 terlantar.masih banyak anak negeri yatim piatu yg harus di perhatikan ketimbang memulangkan bibit2 teroris</t>
  </si>
  <si>
    <t>@wahhabicc_jabar @jokowi @KemensetnegRI @mohmahfudmd TIDAK....!! Kami tidak sepakat pemerintah memulangkan siapa pun eks WNI ekstrimis ISIS, mau laki² pere, anak² bapak², TIDAK. Mereka minta pulang karena KALAH, apakah mrk akan minta itu kalo menang ? Pasti akan lbh banyak menebar maut.</t>
  </si>
  <si>
    <t>Kita tidak bisa mengandalkan hanya satu laboratorium @BadanLitbangkes. Kapasitas terbatas, hanya sedikit sekali yang diperiksa, bahwa kasus suspek DKI tidak diperiksa semua. Warga WNI yg dievakuasi juga tidak dites lab. Risiko banyak undetected cases jadi sumber penularan. RT @V2019N: “Essentially it’s opening up a clear and concise avenue for labs like the one at Brigham and Women’s (to test for novel #coronavirus). It’s what I’ve been advocating for a month now.” -@michaelmina_lab</t>
  </si>
  <si>
    <t>RT @OfficialiNewsTV: Kegiatan observasi WNI ABK kapal World Dream di Pulau Sebaru berjalan normal. Selain menjalani pemeriksaan kesehatan, mereka juga melakukan aktivitas lain termasuk berolahraga. DUL . #WNI #SebaruKecil #Korona #Coronavirus #WorldDream #ABK #iNewsMalam #iNews</t>
  </si>
  <si>
    <t>RT @meyysi: @__MV_llestari__ Wow serius mereka mau dipulangkan @mohmahfudmd @jokowi? Disaat disini kesulitan mengatasi radikalisme? Ditambahi anggota ISIS?</t>
  </si>
  <si>
    <t>@Raj4Purwa @yudhawirapp Kasus di Malaysia adalah kasus impor, bukan penularan lokal. Coba ikuti berita ras apa saja yang terkena virus corona di Malaysia. Jadi jika #Menkosaurus memaksa TKA Cina masuk lagi maka kita akan melihat pengidap terbesar #COVID19 adalah WNI Tionghoa. RT @Raj4Purwa: Bubar...bubar... 😂 Muncul teori Indonesia dianggap aman dari virus Corona karena termasuk ras Melayu. Teori itu rupanya adalah teori awal dan kini telah gugur. Seperti apa?</t>
  </si>
  <si>
    <t>Dr rossi mau berangkat jemput wni pake wa aku ya Allah... Klo abis ini baper berarti kamu baperan aja orgnya @.tiw</t>
  </si>
  <si>
    <t>Apa kabar warga Malaysia, singapura dan WNI yg kerja di luar negeri? RT @detikcom: Ahli kesehatan masyarakat menyebut Indonesia dianggap aman dari infeksi virus corona karena memiliki ras Melayu. Benarkah? #VirusCorona</t>
  </si>
  <si>
    <t>@amandagempita Masih ya ? Pantesan statement2nya blkgan kok soal halal haram melulu. Gak kasih masukan soal pemulangan anak2 eks ISIS atau soal susahnya pembangunan rmh ibadah, atau soal intoleransi lain.</t>
  </si>
  <si>
    <t>@ISIS_Balik_NO @nexlicia @Velope16 @qs_kahfi @arifz_tempo Ya goblok aja belajar sejarah dari filem...</t>
  </si>
  <si>
    <t>Cc @DivHumas_Polri ini provokasi dan pendukung ISIS, dia sebut ISIS mujahidin... RT @HusinShihab: Khalid Basalamah: Di Syria 225.000 Sunni dibunuh Syiah. Ini fitnah keji, berita bohong dan dpt memicu konflik! @DivHumas_Polri Sementara mrk yg dibunuh itu teroris. Propaganda ISIS sama spt Khalid ini, sebarkan berita bohong. Basar Asad difitnah Syiah pdhl dia Sunni.</t>
  </si>
  <si>
    <t>RT @medcom_id: WNI di Kapal Diamond Princess Dievakuasi Hari ini</t>
  </si>
  <si>
    <t>Kayaknya masih rame ya tentang Pulau Sebaru Kecil pulau yang terletak di Kepulauan Seribu tempat untuk observasi para WNI ABK Diamond Princess. #PulauSebaru</t>
  </si>
  <si>
    <t>Kegiatan observasi WNI ABK kapal World Dream di Pulau Sebaru berjalan normal. Selain menjalani pemeriksaan kesehatan, mereka juga melakukan aktivitas lain termasuk berolahraga. DUL . #WNI #SebaruKecil #Korona #Coronavirus #WorldDream #ABK #iNewsMalam #iNews</t>
  </si>
  <si>
    <t>@kangdede78 Jgn pula memulangkan anak2 ISIS, tolong suara dari rakyat disampaikan ke Presiden</t>
  </si>
  <si>
    <t>Saat orang indon terindikasi virus corona kelakuannya ada ada aja tp gpp kalau bentar lagi dia mati ya setidaknya dia mati dengan bahagia dan juga tenang karena sudah berhasil membuat dirinya bajagia pada saat2 terahir</t>
  </si>
  <si>
    <t>Indonesia ttp harus waspada, krn pasien2 yg ktanya sudah sembuh bs kambuh, yg dikhawatirkan adl pasien yg dinyatakan sembuh dr luar negri yg mengunjungi Indonesia/WNI yg sembuh yg dipulangkan ke Indonesia</t>
  </si>
  <si>
    <t>Dan hari wni dari sana dipulangin RT @OH_mes2: 376 new cases of Coronavirus in Korea There are now 3,526 total cases in Korea</t>
  </si>
  <si>
    <t>@aitanaocegueraa Jalo🍑</t>
  </si>
  <si>
    <t>RT @drzul_albakri: 8.46 pagi: Kenderaan rasmi Mufti Wilayah Persekutuan Kuala Lumpur, Datuk Seri Dr Zulkifli Mohamad Al-Bakri tiba di Istana Negara melalui Pintu 2.</t>
  </si>
  <si>
    <t>RT @ZAEffendy: Pemerintah Indonesia belum keluarkan travel warning bagi WNI mengunjungi Korea Selatan. Sementara Kedubes Korsel di Jakarta telah hentikan sementara pengajuan visa sampai batas waktu yang belum ditentukan. &gt;NO Sense of Crisis #COVID19 ?!</t>
  </si>
  <si>
    <t>RT @Lady_Zeebo: Video di atas juga menunjukkan kepada kita bahwa anak anak ISIS ini sudah diajarkan jd militan dimana saja mereka dan sampai kapan pun .. apa bapak @mohmahfudmd masih mau memulangkan anak-anak ISIS Eks WNI?</t>
  </si>
  <si>
    <t>@AhlulQohwah Karena pemerintah takut sama orang2 tertentu yg ngotot anak isis dipulangkan.lihat aja komen2nya din dan lain lain.padahal di indonesia,banyak anak2 jalanan,yatim,dan anak2 di pengungsian krn terusir krn soal agama,yg hrs diurusi.kok yg sdh bakar paspor diperhatikan.ampunn deh</t>
  </si>
  <si>
    <t>RT @FathiNizam: Agong dah perkenan untuk PM ke-8, yang kamu tu bila nak berkenan PM tepi?</t>
  </si>
  <si>
    <t>Semoga Pemerintah batalkan memulangkan embrio Teroris ISIS. Apapun alasannya negara masih punya tanggung jawab yg lebih besar .yakni mengurusi fakir miskin dan anak2 terlantar.masih banyak anak negeri yatim piatu yg harus di perhatikan ketimbang memulangkan bibit2 teroris RT @Lady_Zeebo: Pak @mohmahfudmd tonton baik2 video ini: Orator ini bilang ke anak2, apa kita muak stlh 10 th perang? apa menyerah? Dijawab Tidak. Trus anak2 diarahkan kpd Assad, Putin, Rouhani dan seluruh negara2 yg memerangi mereka, kami akan terus perangi kalian sampai 100 tahun lagi.</t>
  </si>
  <si>
    <t>RT @Anang050585: Ni anak lgi tdur pules.... Sma bpakny dputerin lgu kmerdekaan lngsung bngun... Sumpah smpek meleleh air mata ni liatny.... Drpda mulangin anak2ny isis mnding kita didik gnerasi2 mndatang yg ky gini.. @Midjan_La @RizmaWidiono</t>
  </si>
  <si>
    <t>@Yusmi_Mastam @ari_popeye Mereka WNI</t>
  </si>
  <si>
    <t>@kompascom Saya tidak sudi menerima anak ISIS. Saya berharap mereka tidak balik ke Indonesia dengan selamat. Semoga terjadi sesuatu, yg menggagalkan kepulangan mereka.</t>
  </si>
  <si>
    <t>@PakatDayak @FerdinandHaean2 @jokowi Wacana dan Kebijakan jokowi ini rasanya makin aneh2 saja, sepertinya kurang kerjaan ngurus ex ISIS,...dulu bicara gebuk intoleran nyatanya omong besar saja, apanya yang sudah anda gebuk pak????</t>
  </si>
  <si>
    <t>RT @EkoSeputro13: Daripada menjemput anak-anak iblis ISIS eks WNI, lebih baik pemerintah ngurusin anak-anak yatim piatu, gepeng di jalanan, anak-anak yang mengalami gizi buruk, masih sangat banyak sekali di Indonesia Pak, 🙏❤️🇮🇩 #TolakAnakISISKembali</t>
  </si>
  <si>
    <t>RT @vierda: Terus karena dibilang ahli, langsung pada percaya padahal kmrn di Singapura udah ada WNI yg kena 😅</t>
  </si>
  <si>
    <t>RT @Chikiajadong: @Lady_Zeebo @mohmahfudmd Mas @kaesangp mas @Chilli_Pari pleasee sampaikan ke Bapak. Jangan sampai memulangkan anak2 isis tersebut. Mereka pasti sudah termakan ideologi teroris. Apalagi kalo ortu mereka mati disana. Pasti mereka akan membalas dendam. Pleasee tolak kepulangan mereka</t>
  </si>
  <si>
    <t>TOLAK ISIS MASUK NKRI..!!!😡😡😡😡😡😡👊👊👊👊 RT @P3nj3l4j4h_id: Percuma kalian bangun banyak infrastruktur jika kelak dihancurkan oleh sampah sampah peradaban ini!!! Jika kelak ada korban jiwa karena ulah sampah ini maka kalianlah yg menyetujui kepulangan ini harus bertanggung jawab!!!! 😡😡😡😡😡</t>
  </si>
  <si>
    <t>Ini lah bangsatnya orang indon, di suru istrht krn kna korona mlh main tiktok 🤣🤣🤣</t>
  </si>
  <si>
    <t>Kalau emang udah ada kasus di indo, tolong pemerintah jangan sembunyikan hanya demi ekonomi negara. Saya sebagai WNI jujur sangat takut dengan virus ini. Apabila terus disembunyikan, warga yang lain akan terkena juga, dan itu akan merugikan negara juga nantinya. #COVID19indonesia</t>
  </si>
  <si>
    <t>@yusuf_dumdum Hizbut tahrir Itu sp ISIS, sampah arab yg diolah, dibumbui .&amp; dimasak lg, terus dihidangkan utk orang mabok agama yg kelaparan, jd lgsg disantap tanpa pikir panjang</t>
  </si>
  <si>
    <t>@cebong_togog @ngopiyungopi @arifprio itu faktor KEMANUSIAAN. sm kek anak2 isis kan dipulangin pdhl keputusan ga dipulangin si baazir teroris mau dikasih grasi.. cm krn terbentur mekanisme hukum jd ga ga. jd president emg ga bs cm patokan kpd hukum. ada faktor lain yg manusiawi. gw sih tetep ga setuju. isis balik</t>
  </si>
  <si>
    <t>Maturnuwun Gus.. Sangat tercerahkan. 🙏 Colek @NUgarislucu</t>
  </si>
  <si>
    <t>@Rianada7 @HusinShihab @DivHumas_Polri Itulah jika dongonya di formalin, yg pasti dimana ada wahabi pasti akan ada kekisruhan, lihat ideologi ISIS, para teroris dan para pendukung khilafah, ideologi mereka adalah ajaran wahabi</t>
  </si>
  <si>
    <t>@AntoniusMade @Rianada7 @HusinShihab @DivHumas_Polri Itulah jika dongonya di formalin, yg pasti dimana ada wahabi pasti akan ada kekisruhan, lihat ideologi ISIS, para teroris dan para pendukung khilafah, ideologi mereka adalah ajaran wahabi</t>
  </si>
  <si>
    <t>@Jokoumb64504158 Die salah 1 pendukung ISIS bro</t>
  </si>
  <si>
    <t>semangat minggu untuk WNI ABK World Dream yang sedang di observasi di pulau sebaru, kepulauan seribu. TNI POLRI dan masyarakat semangat juga membantu jalannya proses observasi @DivHumas_Polri @Puspen_TNI @KemenkesRI @jokowi #COVID19indonesia</t>
  </si>
  <si>
    <t>@jokowi Ga usah repot urus ex ISIS dan keturunnnya pak. Pemerintah kurang kerjaan urus ex ISIS, urus saja rakyat nkri, sejahterakan mereka</t>
  </si>
  <si>
    <t>Panglima TNI dan Kapolri tinjau lokasi Observasi WNI di Pulau Sebaru #BersamaCegahCorona</t>
  </si>
  <si>
    <t>@jokowi Bgaimana nasib Anak2 korban bom teroris ?? sudah diapakan saja oleh pemerintah?? Baikkah hidup mereka?? Tidak usah repot urus ex ISIS dan keturunannya pak, urus saja anak2 bangsa korban bom ini...pemerintah makin lama makin menjengkelkan kurang kerjaan urusin ex ISIS</t>
  </si>
  <si>
    <t>RT @coromodol: bisa masuk isis tanpa test nih, plus beasiswa juga</t>
  </si>
  <si>
    <t>"Old News" Pemimpin ISIS Abu Bakar al-Baghdadi dinyatakan tewas bunuh diri, setelah terkepung tentara Amerika Serikat di Suriah</t>
  </si>
  <si>
    <t>@jokowi Saran saja ini pak,...sebaiknya urus virus corona saja, bodo amat dgn ex ISIS dan keturunannya</t>
  </si>
  <si>
    <t>Nasib anak korban bom dirawatkah oleh negara? Dirawat ya bkn dibantu.Dirawat tuh smp sembuh,diperhatikan.Klu dibantu itu bisa sekedarnya trus menghilang.Berbagai ulasan bang @BirgaldoS ,mrk terabaikan oleh negara.</t>
  </si>
  <si>
    <t>Terinfeksi Virus Corona, WNI di Taiwan Malah Santai, Unggah Video Tik Tok</t>
  </si>
  <si>
    <t>Pas negara evakuasi WNI yg dari wuhan banyak media luar yg nyinyir.. Cuma di Indonesia manusia Disemprot kek hama.. Manusia lokal pun pada nyinyir jg padahal mereka yg nyinyir itu awam g tw apa2 ttg dunia medis..</t>
  </si>
  <si>
    <t>RT @BSamdee: Agong dah interview sekor sekor, pastu dah bermesyuarat dgn majlis raja-raja, pastu jumpa lagi sekor-sekor ketua parti untuk tentukan siapa PM, kerana korang semua tak reti nak bentuk kerajaan, pastu bila dah tentukan siapa PM, melawan. Apa yg aku sedang saksikan? Kebabian?</t>
  </si>
  <si>
    <t>RT @KompasTV: Hari Pertama Observasi WNI dari Kapal World Dream di Kepulauan Seribu, Seperti Apa?</t>
  </si>
  <si>
    <t>RT @HusinShihab: Ayo dukung Letkol Aloysius! Beliau sbg manusia &amp; WNI pny hak yg sama dlm beragama. Beliau protes ke @jokowi karna khawatir pemerintah lemah pada kaum intoleran &amp;amp; radikalis. Cc: @mohmahfudmd @tni_ad @makLambeTurah @Indonesianews15</t>
  </si>
  <si>
    <t>RT @muel_power: @FaGtng @permadiaktivis Bukan hanya kaum hawa yg kagum. Semua WNI yg berakal sehat dan mau jujur pada hati kecil nya, akan mendukung perjuangan Bang Permadi. #indahnyatoleransiberagama #indahnyatoleransiberagama</t>
  </si>
  <si>
    <t>@electrizenn @julerocks @hendralm Disini katanya uday bnyak wni yang kena corona</t>
  </si>
  <si>
    <t>@butetborjun @drydjie @RomeskoP @mohmahfudmd Iya, karena pemerintah dapat tekanan dunia internasional untuk memulangkan anak-anak eks ISIS. Makanya, @mohmahfudmd memang bukan siapa-siapa.</t>
  </si>
  <si>
    <t>RT @MurtadhaOne1: @MpetPesa lihatlah ISIS sbg bukti kekejaman islam terhadap islam</t>
  </si>
  <si>
    <t>@Soetikman1 Harusnya apapun alasannya mo anak, mo ibu"...tetap tolak karena doktrinan isis sangat membahayakan...</t>
  </si>
  <si>
    <t>RT @jpranotoM: Ini lebih penting dibahas, daripada memikirkan anak2 ISIS untuk kembali ke Indonesia</t>
  </si>
  <si>
    <t>@RomoJostKokoh @jokowi Tolak pemulangan anak2 isis eks wni!!!</t>
  </si>
  <si>
    <t>#SemangatPagiJogja |  | Observasi WNI yang Dievakuasi dari Diamond Princess Diputuskan 28 Hari #SmartFMJogja</t>
  </si>
  <si>
    <t>RT @eko63691: Rakyat yg cinta NKRI ngga setuju anak" eks ISIS dipulangkan..</t>
  </si>
  <si>
    <t>@kenhans03 Ghahahaha.... 🤣🤣🤣🤣🤣🤣 Kilapah sono ikutin ISIS noh, ngemis2 minta pulang 🤣😩🤣🤣🤣</t>
  </si>
  <si>
    <t>RT @AhlulQohwah: Kelakuan idola kadrun. Di saat dunia saling bantu melawan virus, malah memerangi negara tetangga yg gagal dirongrongnya lewat ISIS. Giliran digebuk nangis, ngadu ke paman. Paman mana peduli, survey terakhir Esdegan malah mau didepak dr NATO.</t>
  </si>
  <si>
    <t>@TjahjantoHadi Siap PANGLIMA. tp gmn dgn anak ISIS yg akan dtg di negara ini . Mhn di pertimbangkan demi 200jt lbh WNI , dan NKRI HARGA MATI.</t>
  </si>
  <si>
    <t>@hnurwahid Maka nya itu ex isis jangan boleh pulang biar aman Indonesia</t>
  </si>
  <si>
    <t>@Fahrihamzah Setiap negara punya masalah yg tdk selesai2, India dgn kejadian pembantaian Muslim yg selalu berulang ulang, Timur tengah dhn masalah seperti Isis yg berulang dan Indonesia dgn Masalah PKI yg selalu berulang juga</t>
  </si>
  <si>
    <t>@MSApunya HINDU is ISIS teroris radikal</t>
  </si>
  <si>
    <t>Wni yg hoby makan HOAX cuma suku kadrun RT @AnakLolina: Tidak usah terlalu mabok dengan sesama iman, kalau disini saja berkelakuan barbar, apa iya disana tidak seperti itu? Rajinlah kroscek berita agar tidak mudah terpancing amarah.</t>
  </si>
  <si>
    <t>RT @ReiMiechi99: @AnakKolong___ FPI212: Front Pembela ISIS FPI membawahi FUI °°°°°°°°°°°°°°°°°°°°°°°°°°° HT: KHILAFAH ISIS: TEROR RADIKALISME ••••••••••••••••••••••••••••••••••••••• FPI, FUI, HTI adalah ormas² TEROR RADIKALIS</t>
  </si>
  <si>
    <t>RT @WillaFernando: @YRadianto Kenapa gak sekalian aja berangkat ke India? Takut? Giliran saudara2 muslim dgn jumlah berkali2 lipat di Suriah di bantai ISIS, FPI malah bela ISISnya, kan itu namanya tolol pake kuadrat</t>
  </si>
  <si>
    <t>RT @CendolGudeg: @EL_Atheos @kompascom SAYA DG TEGAS #TolakAnakISISkembali tapi kalo sampe pemerintah tetap memutuskan anak isis kembali, bagi rata lalu kirim langsung ke rumah para pejabat yg support mrk kembali utk di adopsi ya pak @jokowi @mohmahfudmd @KomnasHAM @KPAI_official</t>
  </si>
  <si>
    <t>RT @J_Aryoko: @KissAnky @RomoJostKokoh @RomeskoP @jokowi Sebelum Pak Jokowi adopsi anak anak ISIS ex wni, tolong: 1. Negara harus beri ganti rugi kematian dan cacat bagi korban bom teroris sebesar 2M. 2. Negara harus beri jaminan hidup layak, askes dan jaminan pendidikan hingga perguruan tinggi di UI/UGM/ITB kepada anak korban.</t>
  </si>
  <si>
    <t>@Dennysiregar7 Mengutuk pemboman &amp; penembakan di tempat ibadah. Mengutuk penutupan, perusakan, &amp;amp; pembakaran masjid. Mengutuk penindasan &amp;amp; pembantaian minoritas. Sudah saya lakukan. Sekarang, kamu, sebagai pancasilais, sudahkah mengutuk hindu radikal di India seperti kamu mengutuk ISIS?</t>
  </si>
  <si>
    <t>PAGI #SahabatBungJubir ini 188 WNI ABK MV. World Dream berolahraga pagi di Pulau Sebaru Kecil menjalani transit observasi. Juga 68 WNI ABK MV. Diamond Princess akan menyusul dari Yokohama Jepang. Kita doakan segera berkumpul dengan keluarga~ FR #BungJubir #Jubir @JubirPresidenRI</t>
  </si>
  <si>
    <t>Istana Minta Masyarakat Terima Kepulangan Anak-anak WNI Eks ISIS -   Benar~benar...embuh...mo memelihara bibit penyakit...</t>
  </si>
  <si>
    <t>@innovesian yg kemarin pada nyinyir saat wni yg pulang dr wuhan disemprot anti bakteri di bandara batam matanya suruh liat yg ginian dan suruh liat berita dunia ttg virus corona kadang aku merasa miris kasian marah pada mereka knp masih getol percaya dgn penipu" yg brsembunyi dibalik ayat</t>
  </si>
  <si>
    <t>@hnurwahid Anak2 yg pawai suruh bunuh Ahok, sama anak2 pawai pake pakaian ISIS sambil bawa senjata mainan itu bukan bibit teroris?</t>
  </si>
  <si>
    <t>Tim KJRI Jeddah sejak kemarin terus berupaya memfasilitasi proses kepulangan WNI jemaah umrah yang dijadwalkan kembali ke Tanah Air dalam waktu dekat setelah menyelesaikan ibadah umrah.</t>
  </si>
  <si>
    <t>RT @Donal_golan: Yth @mahm @jokowi @JubirPresidenRI @BNPTRI @KSPgoid Kami katakan MENOLAK untuk menerimanya. Saran saya, pelihara saja anak-anak teroris ISIS eks WNI itu di istana presiden, jgn lemparkan ke kami yg MENOLAKNYA.</t>
  </si>
  <si>
    <t>KJRI Jeddah: Tidak Terdapat Jemaah Umrah WNI Dinyatakan Positif COVID-19</t>
  </si>
  <si>
    <t>RT @_bayangan_semar: Punten, Kang. Hindutva tidak bisa digebyah uyah dengan keseluruhan umat Hindu. BJP dan Modi juga tidak menjadi representasi umat Hindu. Ibarat menyamakan ISIS dengan seluruh umat muslim BJP ya analoginya PDIPnya Indonesia. Lagi berkuasa dan songong... 😊🙏</t>
  </si>
  <si>
    <t>@PrakosoMagung @ekoaprie @Rendy51500187 @deniachbas_ @Hilmi28 @aniesbaswedan Sesuatu cara yg merusak AQidah terutama Aqidah Islam dari Zaman Nabi Adam Sampai sekrng gak akan berhenti, Isis hukan gagal tp digagalkan, yg sebelumnya dinamai Al Qaidah, kalau di sini gak bisa pindah karena ada Pancasila, yg ada hanya PKI yg lebih Dahsyat ketimbang Isis,</t>
  </si>
  <si>
    <t>@Sgf98 Bel wej 3am ye7mo lebnan w bl afa fi ktir metlo fekeron ISIS</t>
  </si>
  <si>
    <t>@vinadok @oxfara @mazzini_gsp Yg pasti semua wni yg dr wuhan tdk di tes/uji diambil sampelnya pun tdk. Yg di uji adalah suspect yg sdh sakit parah, contoh terbaru yg meninggal di semarang dan batam. Tp tdk ada tes/uji utk yg sehat secara fisik.</t>
  </si>
  <si>
    <t>@RofiNugrahaP @syiahgl Kok jadi serem ya mas bro kalau makna hijrah di pakai oleh para simpatisan ISIS. Meninggalkan RI demi berlatih perang &amp; bergabung dengan ISIS.Lalu niat kembali ke RI</t>
  </si>
  <si>
    <t>RT @adiawae: Pak @jokowi dan @mohmahfudmd ada salam dr anak-anak yatim piatu di indonesia yg punya keinginan kuat utk tetap sekolah tapi terkendala biaya. Sy punya 11 anak yg seperti mereka apa bapak mau bantu, seperti anak-anak isis itu?</t>
  </si>
  <si>
    <t>@owri8 @lukmansaifuddin Kebathilan versi siapa?😀 Ibnu Muldjam juga merasa dirinya dan kelompoknya sedang membuyarkan kebathilan, dengan sebar fitnah hoax dan makar pada pemerintah yg sah. Pemberontak di Suriah: ISIS, an nusra, faksi2 lainnya jg merasa melawan kebathilan.</t>
  </si>
  <si>
    <t>@FahAunty @Brightsidealife @fLBzNLGEIXiLTQp @EllaHillUK @chippy_lippy @telford_gurl @jimallthetime @cbawiththiss @KateElysiaNWO Here you go: al qaeda, al shabab, boko haram, abu sayaf, isis, hamas, hezbolla, taliban, Lashkar-E-Taiba, al-Jama'a al-Islamiyya, Ansar al-Sharia I can actually keep going as there is more.</t>
  </si>
  <si>
    <t>@hendralm Dipikiran wni yg kena corona "ALAH INI DI KEROKIN TERUS MINUM TOLAK ANGIN JUGA SEMBUH"</t>
  </si>
  <si>
    <t>@Pastacrit @NadyaJuwita7 @AdiAdi50429050 Tapi ada perbedaan, muslim itu dibantai karena rasisme, nah yg isis ngebom lebih ke terorisme, soalnya kalo pembantaian ya yg ngelakuin mayo ke mino, kalo ngebom/teroris siapapun bisa ngelakuin bahkan cuma 1 orang pun bisa, keduanya salah, tapi alesan rasisme selalu muslim</t>
  </si>
  <si>
    <t>RT @fadjroeL: Sore #SahabatBungJubir 188 WNI ABK MV. World Dream yang mendarat di Pulau Sebaru Kecil menjalani transit observasi. Juga 68 WNI ABK MV. Diamond Princess akan menyusul dari Yokohama Jepang. Kita doakan semua segera berkumpul dengan keluarga~ FR #BungJubir #Jubir @JubirPresidenRI</t>
  </si>
  <si>
    <t>RT @suaradotcom: Virus Corona Terus Menyebar, 1.668 WNI Masih Bertahan di China  #DariSuara</t>
  </si>
  <si>
    <t>Virus Corona Terus Menyebar, 1.668 WNI Masih Bertahan di China</t>
  </si>
  <si>
    <t>RT @JajangRidwanK: @MIBAgent_ Ada info dari media asing bhw Turki sdg kerja sama dgn sisa" kombatan ISIS memerangi tentara dan membunuhi masyrkt Siria disekitar Iblib. Jk benar, mk memang politik merebut kekuasaan mengalahkan nalar. cc @__MV_llestari__</t>
  </si>
  <si>
    <t>Virus Corona Terus Menyebar, 1.668 WNI Masih Bertahan di China  #DariSuara</t>
  </si>
  <si>
    <t>Cuci otak anak2...pak @mohmahfudmd mohon pertimbangkan lagi mengembalikan anak eks WNI tsb kesini..jangan tambah masalah kita, lebih baik bantu eks TIMTIM di Atambua dan sekitarnya yg dulu rela hati bergabung dengan Indonesia, kasian kehidupan mereka terutama anak2nya.. RT @Lady_Zeebo: Pak @mohmahfudmd tonton baik2 video ini: Orator ini bilang ke anak2, apa kita muak stlh 10 th perang? apa menyerah? Dijawab Tidak. Trus anak2 diarahkan kpd Assad, Putin, Rouhani dan seluruh negara2 yg memerangi mereka, kami akan terus perangi kalian sampai 100 tahun lagi.</t>
  </si>
  <si>
    <t>@basuki_rakhmad @ISIS_Balik_NO @Be_Naya @P3nj3l4j4h_id @ayah_9Garislucu @TukangACkom @YRadianto1 @UjangBustomi @eko_kuntadhi @4Y4NKZ @permadiaktivis masukin kandang singa bang cocok itu 😄😄😄</t>
  </si>
  <si>
    <t>@revolutia @fajarnugros Penyebaran virus corona udah di rapatkan sebelum penjemputan wni cina</t>
  </si>
  <si>
    <t>@T0NI361 @kopiKaffah Siapa lagi kalau bukan aseng nama Jawa makanya kita usulkan identitas WNA yg menjadi WNI harus sesuai nama akte lahir bukan mengganti nama Indonesia hanya utk menipu merampok kekayaan SDA Bangsa kita.</t>
  </si>
  <si>
    <t>@ISIS_Balik_NO @Be_Naya @P3nj3l4j4h_id @ayah_9Garislucu @TukangACkom @YRadianto1 @UjangBustomi @eko_kuntadhi @4Y4NKZ @permadiaktivis @RAISYAELBIX1 Mungkin ruqyah juga tidak mempan 😀</t>
  </si>
  <si>
    <t>Masyarakat dunia menganggap masyarakat Muslim Indonesia sebagai pribadi-pribadi yang cenderung menghindari ragam aksi kekerasan atas nama agama.</t>
  </si>
  <si>
    <t>RT @okezonenews: Istana: Waktu Observasi WNI Kru Kapal Diamond Princess 28 Hari #TauCepatTanpaBatas #BeritaTerkini #Berita #News #BeritaNasional .</t>
  </si>
  <si>
    <t>@NadyaJuwita7 @AdiAdi50429050 Korban isis yang katanya "islam" ? Bukan dilihat dari jumlah korbannya, tapi moralnya manusianya Yang salah manusianya, bukan agamanya :)</t>
  </si>
  <si>
    <t>@wahhabicc_jabar @g0bell_78 @jokowi @KemensetnegRI @mohmahfudmd Anak2 yg boleh diterima masih umur 0-6 th karena anak2 itu belum bisa angkat senjata tetapi anak2 yg sudah masuk SD itu sudah menerima cuci otak dari kelompok ISIS , jadi Tidak Setuju utk anak2 ISIS di pulangkan kecuali yg masuk katagori bayi</t>
  </si>
  <si>
    <t>Istana: Waktu Observasi WNI Kru Kapal Diamond Princess 28 Hari #TauCepatTanpaBatas #BeritaTerkini #Berita #News #BeritaNasional .</t>
  </si>
  <si>
    <t>@MIBAgent_ Ada info dari media asing bhw Turki sdg kerja sama dgn sisa" kombatan ISIS memerangi tentara dan membunuhi masyrkt Siria disekitar Iblib. Jk benar, mk memang politik merebut kekuasaan mengalahkan nalar. cc @__MV_llestari__</t>
  </si>
  <si>
    <t>@edcfess2 Ttg arab itu lho yang menghentikan penerbangan wni ke indo</t>
  </si>
  <si>
    <t>@Be_Naya @basuki_rakhmad @P3nj3l4j4h_id @ayah_9Garislucu @TukangACkom @YRadianto1 @UjangBustomi @eko_kuntadhi @4Y4NKZ @permadiaktivis @RAISYAELBIX1 Aura Dajjal sudah menyelimutinya</t>
  </si>
  <si>
    <t>@deppzz12 Koyo isis medeni wong</t>
  </si>
  <si>
    <t>@Lady_Zeebo @mohmahfudmd @jokowi kami Rakyat Indonesia Tidak Menerima ISIS dalam bentuk apapun.</t>
  </si>
  <si>
    <t>68 WNI Kru Kapal Diamond Princess Siap Dievakuasi  #vivanews</t>
  </si>
  <si>
    <t>@Aaaamel96 @Aggasiie @Jaemincutest @seashone @Ardozan_ @electrizenn @hendralm Indonesia darurat baca beneran 😭😭😭😭😭 tolong dibaca dulu artikelnya yak sebelum komen 🙏🏻</t>
  </si>
  <si>
    <t>@maaricostaa_ Kkķķķkkk berro</t>
  </si>
  <si>
    <t>@Lady_Zeebo @mohmahfudmd Mas @kaesangp mas @Chilli_Pari pleasee sampaikan ke Bapak. Jangan sampai memulangkan anak2 isis tersebut. Mereka pasti sudah termakan ideologi teroris. Apalagi kalo ortu mereka mati disana. Pasti mereka akan membalas dendam. Pleasee tolak kepulangan mereka</t>
  </si>
  <si>
    <t>RT @almaaksela: @ririn63795590 @___CIMOL_Q7R @jokowi Sorry gue anti ISIS, gue keturunan DI</t>
  </si>
  <si>
    <t>WNI di Kapal Diamond Princess Dievakuasi Hari ini</t>
  </si>
  <si>
    <t>@habibthink @fahiraidris @DivHumas_Polri @CCICPolri Ohhh pantesan kemaren dapat info dari tetangga seorang pak Haji dia ngotot katanya WNI banyak yg sudah positif corona tp diumpetin ternyata beritanya dari sini...usut punya usut ternyata dia kadrun...knp kadrun gampang bgt percaya berita tanpa disaring dulu ckckckckck</t>
  </si>
  <si>
    <t>RT @FerdinandHaean2: @jokowi Nahh..!! Ini saya dukung 100% pak Presiden. Ini tepat dan benar. Jangan dengar orang2 yg sok bicara atas mama HAM atas 600 an org Terorist ISIS itu tp mengabaikan HAM ratusan juta rakyat bangsa ini yg ingin hidup damai bebas dr ancaman kekerasan. JANGAN BERUBAH LG PAK..!!</t>
  </si>
  <si>
    <t>RT @Hariannie3: @jokowi Dan kami punya usul pak yg sering bikin gaduh jualan agama dan mengkafirkan saudara2 nya tolong di data dan sekalian kirim menyusul yg eks wni Pro isis itu,</t>
  </si>
  <si>
    <t>@FaGtng @jokowi @kaesangp @Chilli_Pari @mohmahfudmd @jokowi @mohmahfudmd @Kemenag_RI @fadjroeL Elo2 semua yang sok2an gagah berani mulangin anak anak Isis, lalu ujung2nya masyarakat yang menentang disuruh menerima. Jadi bingung, ini yang Bego siapa sih ?</t>
  </si>
  <si>
    <t>@__MV_llestari__ Saya setuju, pemerintah hrs tegas &amp; bantu suriah utk menghukum mrk semua! justru yg bahaya anak isis krn mrk sdh dibrainwash utk jadi pembunuh. @jokowi @mohmahfudmd Anak2 isis sdh dibrainwash justru lebih berbahaya, mrk bom waktu yg siap membunuh</t>
  </si>
  <si>
    <t>@Lady_Zeebo @mohmahfudmd Wahai rezim @jokowi jeleke matane... Apakah NKRI akan dihancurkan 0leh anak anak ISIS eks WNI?</t>
  </si>
  <si>
    <t>Ketika ada Muslim di Indonesia prihatin dgn kejadian tragedi di India.. kenapa pula ada orang WNI lain (macem2 agamanya) yg klojotan gerah perih koar2. Ada apa dgn kalian.. ??</t>
  </si>
  <si>
    <t>@ninisnisakk @mukavintage Yoooo radikalmu gak dalam konteks yang sama karo ISIS. Kon radikal dalam hal liyo cuk wkwkwk</t>
  </si>
  <si>
    <t>@Purnama82397212 @AlissaWahid Lupa ma teroris isis? Tolol</t>
  </si>
  <si>
    <t>@Takviri Cuk.... Lapo ISIS diulehno, wonge dewe sik akeh sing perlu diurusi. Penyakit malah katene diulehno</t>
  </si>
  <si>
    <t>RT @wisanggeni_084: Maafkan kami saudaraku para penyitas terorisme yg kurang mendapat perhatian dari pemerintah 😭😭😭😭  Sementara mereka lebih peduli terhadapa anak² eks WNI yg orang tuanya adalah jihadis ISIS !!!</t>
  </si>
  <si>
    <t>@r1sta @doni_awak @erna_st Baru 64 dari 1000 reagen? Lah ini laporan suspected sdh brp? Blm masalah false negatif shg perlu diuji berulang? Blm hilir mudik WNA setiap harinya, dan WNI yg balik dari luar negeri. We need big more than that</t>
  </si>
  <si>
    <t>Anak2 bawah 10 tahun disini setara kelas 4 sd, dimana masa ceng2an masih kenceng...kebayang mereka sekolah diteriakin isas isis sama temen2nya...wis ambyar sisan RT @Takviri: Masyarakat dikasih gawean baru oleh pemerintah.</t>
  </si>
  <si>
    <t>@cendanao Coba aja cek.. Nga ada mereka teriak2 atas nama agama mereka.. Beda sama yg mau motong orang sambil teriak nama tuhan nya... Trs klo memang lh mau bela sesama islam.. Knpa pas isis bantai Orang2 muslim di Irak sama suriah kalian diam? Atau di yaman?? Disana rebutan ideologi jg!</t>
  </si>
  <si>
    <t>RT @nemosyus: Gw ridho kl istana kepresidenan dijadiin tmpt penampungan anak2 ISIS, bnran 😎</t>
  </si>
  <si>
    <t>@fadlizon lagi sibuk ngurusi kemauan anda² sekalian yg menginginkan tentara ISIS ex-WNI dipulangkan ke Indonesia.</t>
  </si>
  <si>
    <t>Sikap negara adalah dengan mencegah kedatangan dan juga mencegah keberangkatan warganya baik asing maupun tidak Jika benar-benar harus mendatangkan wni/wna maka secepatnya harus karantina terlebih dahulu</t>
  </si>
  <si>
    <t>RT @MemanggilMantan: MENOLAK KERAS PEMULANGAN ANAK-ANAK EX WNI PRO ISIS, SEKARANG DAN SELAMANYA... cc : @jokowi @Kiyai_MarufAmin @BNPTRI</t>
  </si>
  <si>
    <t>@kompascom Di indonesia masih byk anak yatim piatu &amp; anak terlantar jalanan yg belum benar2 diurus negara pak @jokowi @mohmahfudmd kenapa anak2 pembunuh yg sudah di 'brainwash' utk jd pembunuh sejak dini diurus? Atau pejabat yg setuju dijatahin utk adopsi anak isis.</t>
  </si>
  <si>
    <t>Para pejuang kemanusiaan evakuasi WNI dari kapal pesiar "Diamond Princess"😎💂 #TNIPeduli #Satgas #diamondprincesscruise</t>
  </si>
  <si>
    <t>Alhamdulillah lagi so far belum ada laporan WNI yg jadi pasien. Mudah2an seterusnya aman. Mudah2an WNI di Norwegia, Islandia, juga kita semua aman dan terhindar dari virus dan penyakit ini yaaa, amin!</t>
  </si>
  <si>
    <t>@IndianEmbJkt ... Tidak malu anda bicara WNI jangan termakan HOAX. PADAHAL NYATANYA INI TERJADI DINEGARA ANDA DIBAWAH KEPEMIMPINAN perdana menteri Fasis dan Rasis.... RT @UtuhWibowo: Coba mana yang sering teriak radikal radikul dan intoleransi mana suaranya? Menunggu tanggapan kalian mengenai video brutal ini 👇 #WeStandWithMuslimIndia</t>
  </si>
  <si>
    <t>@FerdinandHaean2 @jokowi @mohmahfudmd @KSPgoid @Kemhan_RI @Kemlu_RI @PolhukamRI @Kemenkumham_RI manusia sisa perang ISIS ngga layak ada di bumi NKRI.</t>
  </si>
  <si>
    <t>Menlu: Pemerintah Pantau WNI sedang dalam Perjalanan Umrah</t>
  </si>
  <si>
    <t>@nandadorn Hummmmm kelo 😔🥺</t>
  </si>
  <si>
    <t>RT @RinjaniJB: Ampuuun ! Sudah begitu banyak pihak yg memberi masukan agar #TolakPulangkanAnakISIS tapi pemerintah masih saja ngeyel mau pulangkan anak-anak ISIS. Apakah negara sengaja mau mempertaruhkan nyawa 260jt rakyatnya ? Pak @jokowi , saya kecewa !!</t>
  </si>
  <si>
    <t>Kenapa cuma anak2 ex WNI yg dipulangkan Pak @mohmahfudmd, sekalian saja semua teroris ISIS yg ada disana dipulangkan.....biar hancur negara ini😡😡😡😡😡😡 @jokowi @kaesangp @DPR_RI @kemendagri @Kemenlu @Kemenkumham_RI @PolhukamRI RT @__MV_llestari__: MENJEMPUT TERORIS PULANG . . . Sempat kaget bercampur heran ketika seorang anak laki-laki berumur sekitar 8-9 tahunan menghampiriku dan menyodorkan tangannya dan kemudian meminta uang layaknya pengemis. Ini di Belanda pikirku.</t>
  </si>
  <si>
    <t>@__MV_llestari__ Mereka memang mesti dipisahkan dari orangtua2 mereka, sehingga satu generasi ISIS hilang. Hanya saja setelah dipisahkan, gas chamber memang tidak akan pernah jadi opsi...</t>
  </si>
  <si>
    <t>@KomalMantri2 @AnupamPKher Santi dut isis wale😂</t>
  </si>
  <si>
    <t>RT @Mas_Eko_Hartono: @WahabisLokal @mohmahfudmd Jangan biarkan ISIS kembali ke Indonesia baik dewasa, maupun anak2, pria maupun wanita.</t>
  </si>
  <si>
    <t>RT @susiani19791: @WahabisLokal @mohmahfudmd Anak ISIS suruh tinggal di istana.</t>
  </si>
  <si>
    <t>Pasa RT @Fridasofiarg: Estando en villa quiero regresarme a mi casa, cuando lo hago, no quiero estar aquí, un ciclo sin fin.</t>
  </si>
  <si>
    <t>RT @WahabisLokal: Pasti ada kekuatan besar Wahhabi dan Bani Radikalis yg gerogoti Istana Presiden Bayangin; Munculnya Menag dari kelompok antah brantah(gak jelas). Tau2 selalu bela Radikalis dan Teroris. @mohmahfudmd njeketek juga ngikut. Skrg Istana👇🏻</t>
  </si>
  <si>
    <t>@Simi_Garewal @ArvindKejriwal @AamAadmiParty Simi apke kitni unbiased hai, isis wale apse bahot khush honge.</t>
  </si>
  <si>
    <t>om HAIKAL cs manfaatinnya buat NYARIK DONASI dimarih RT @Jokoumb64504158: Ketika di suriah manusia saling bantai krn kejahatan ISIS.. loe kemana San....? RT @haikal_hassan: Seekor pinguin diselamatkan dari genangan minyak, dunia memuji. Seekor panda diberi minum saat kebakaran hutan melanda, dunia memuji. Apa kabar dunia saat orang Islam hari ini dibantai diIndia? #Hinduterrorist @ india</t>
  </si>
  <si>
    <t>RT @KemensetnegRI: Pemerintah Segera Evakuasi WNI di Diamond Princess</t>
  </si>
  <si>
    <t>RT @MZubir_ID: @Lady_Zeebo @veraagustian_ @mohmahfudmd Jika pemerintahan pak @jokowi tetap kekeuh memulangkan teroris anak-anak ISIS eks WNI, berarti pemerintah tidak mempertaruhkan keamanan NKRI dan seluruh rakyat, dimana teroris anak-anak ISIS itu akan menjadi penerus teroris ISIS di Indonesia. @BNPTRI @Kemenag_RI @KPAI_official</t>
  </si>
  <si>
    <t>Melihat video anak kecil memenggal kepala tentara Kurdi dan berkaca pada kasus Bom Surabaya yg dilakukan ayah ibu dan anaknya.. Maka saya NO..!! Penyakit kok dipelihara.. Mungkin sobats twit ada yg YES..??</t>
  </si>
  <si>
    <t>@FaGtng @jokowi @kaesangp @Chilli_Pari @mohmahfudmd Nanti kader kader ISIS itu biar dipelihara oleh brlio belio ysng setuju memulangkan bibit bomber bomber itu</t>
  </si>
  <si>
    <t>@Anna_MaSue Penghuninya kan dr Tiongkok semua, ga ada WNI pribumi</t>
  </si>
  <si>
    <t>@nexlicia @Velope16 @qs_kahfi @arifz_tempo Di film g30s jelas....ya jelas dong mbak....siapa yg bikin dan tujuannya apa</t>
  </si>
  <si>
    <t>Daripada menjemput anak-anak iblis ISIS eks WNI, lebih baik pemerintah ngurusin anak-anak yatim piatu, gepeng di jalanan, anak-anak yang mengalami gizi buruk, masih sangat banyak sekali di Indonesia Pak, 🙏❤️🇮🇩 #TolakAnakISISKembali</t>
  </si>
  <si>
    <t>@sinkonkink Isis binti...</t>
  </si>
  <si>
    <t>@reykdjavik @BakarSmith ISIS itu muslim berpaham Wahabi. Seorang ulama wahabi sendiri mengatakan demikian. Lihat video wawancaranya:</t>
  </si>
  <si>
    <t>RT @__MV_llestari__: Dibanding anak-anak simpatisan ISIS, anak korban kekerasan ras dan agama di Bosnia mungkin masih tidak seberapa. Mereka seringkali adalah korban yang harus melihat dan mengalami kekerasan, namun lebih gila, adalah anak-anak simpatisan ISIS. Mereka dilibatkan..!!</t>
  </si>
  <si>
    <t>RT @Jokoumb64504158: Ketika di suriah manusia saling bantai krn kejahatan ISIS.. loe kemana San....?</t>
  </si>
  <si>
    <t>Ketika di suriah manusia saling bantai krn kejahatan ISIS.. loe kemana San....? RT @haikal_hassan: Seekor pinguin diselamatkan dari genangan minyak, dunia memuji. Seekor panda diberi minum saat kebakaran hutan melanda, dunia memuji. Apa kabar dunia saat orang Islam hari ini dibantai diIndia? #Hinduterrorist @ india</t>
  </si>
  <si>
    <t>RT @jee_creepers: @adtaufiq @Aryprasetyo85 @PartBurungGalak @ganjarpranowo @DivHumas_Polri Cc @mohmahfudmd Lihat wargamu disini masih ada yg butuh bantuan bukan EX WNI ISIS aja yg diirusin</t>
  </si>
  <si>
    <t>RT @abu_waras: Bacot doang abaikan kabar bohong. Buktinya Saudi melakukan penghentian Umroh WNI. Berani mengabaikan Saudi Mpud?</t>
  </si>
  <si>
    <t>@UNajib4 @PakatDayak @jokowi Ortu mereka kan sudah dgn sukarela menanggalkan kewarga negaraannya. Knp hrs menerapkan UU yg hanya menguntungkan mereka. Bgmn dgn rakyat yg masih WNI dan berada di Indonesia. Apakah kami tidak punya hak utk dilindungi?</t>
  </si>
  <si>
    <t>Menko PMK Muhadjir Effendy Sebut Pulau Sebaru Kecil Siap Jadi Lokasi Observasi WNI ABK World Dream dan Diamond Princess  #Nusantara #NKRI #Nasional #nusantara</t>
  </si>
  <si>
    <t>RT @AhmadMunif01: @AhlulQohwah Pak @jokowi Juga pak @mohmahfudmd Tolong tinjau ulang rencana pmulangan anak isis,suatu sa'at mereka akan menghancurkan negeri ini.</t>
  </si>
  <si>
    <t>Saya sangat tidak mengerti jika jumlah ratusan org eks wni pro ISIS menjadi lebih berharga dibandingkan 270 jt rakyat Indonesia.. RT @Lady_Zeebo: Pak @mohmahfudmd tonton baik2 video ini: Orator ini bilang ke anak2, apa kita muak stlh 10 th perang? apa menyerah? Dijawab Tidak. Trus anak2 diarahkan kpd Assad, Putin, Rouhani dan seluruh negara2 yg memerangi mereka, kami akan terus perangi kalian sampai 100 tahun lagi.</t>
  </si>
  <si>
    <t>RT @Mentimoen: Setidaknya 78 awak kapal warga Indonesia dari cruise World Dream sdh positif terinfeksi Covid-19. Semua WNI diberitakan akan dikarantina di pulau ga berpenghuni. Dengan demikian, Indonesia tidak bisa mengklaim 0 kasus lagi.</t>
  </si>
  <si>
    <t>RT @mhdjns: mb anya cantik tp standart fakgirlnya rendah diketawain sama perwmpuan perempuan yg 14 tahun udah gabung isis</t>
  </si>
  <si>
    <t>RT @tarmeasy: Gaya hidup sekadar sederhana tatkala itu mudah tertekan dan marah. #ISIS</t>
  </si>
  <si>
    <t>RT @labakuma: @jokowi Pak @jokowi pak @mohmahfudmd , mending urus anak WNI NKRI yg masih terlantar. Daripada ngurus anak2 ISIS. Mau ternak teroris apa gimana nih?</t>
  </si>
  <si>
    <t>KJRI Jeddah : WNI yang Umrah Sudah Pulang</t>
  </si>
  <si>
    <t>RT @NursandiGatot: @RomoJostKokoh @PakatDayak @jokowi Mbo ya dipikir kembali toh Pak @jokowi @mohmahfudmd @GeneralMoeldoko @prabowo ,Masa bibit unggul ISIS yg udah pinter nggorok orang mau dibawa ke nkri ini</t>
  </si>
  <si>
    <t>@AbuRafee5 @sunilrathi123 @ajay_singh5489 @khan_wajahath @RanaAyyub What about Osama bin Laden , hafeez sayeed, ajmal kasab ,Ayman al-Zawahiri,Abu Anas al Libi,al-Zawahiri , 130 UN designated terrorists, Al-Shabaab, Sipah Sahaba, Isis, Taliban, Al Queda, Hizbul Mujahideen, Hakkahni Network, Lashkar E Taiba, Jaish E Mohammad, Boko Haram etc etc</t>
  </si>
  <si>
    <t>@amasna Kalo ISIS past tense nya jadi WASWAS</t>
  </si>
  <si>
    <t>@permadiaktivis Cherry picking much? Let me help you. Ribuan innocent muslim dibunuh oleh Syi'ah di Yaman. Ribuan innocent muslim dibunuh oleh Syi'ah Iran dan anjing-anjing ISIS di Iraq. Ribuan innocent muslim dibunuh oleh Syi'ah Iran dan Suriah serta anjing-anjing ISIS di Suriah.</t>
  </si>
  <si>
    <t>@fahiraidris Yg lebih parah Kepala dan Otak Kena Virus Radikalisme, HTI dan ISIS 🤣</t>
  </si>
  <si>
    <t>@aryacokronegoro @jokowi @chuentoi @MikeyAM97 @yovie_myg @addamfarizi @sandmanindo Terima ISIS, terima Korsel, ck ck ck. "Open border" policy ini akan berakhir buruk. Lihat saja Swedia contohnya</t>
  </si>
  <si>
    <t>@jokowi pak kasus PEMBANTAIAN dipapua gimana tuh ? kemaren ada kasus yang katanya "RASISME" langsung gerak cepat, juga polisi polisinya tuh tindak lanjuti masa ada WNI diBANTAI cuma nonton, polisi brsenjata kok takut sama "manusia" bawa kayu mau ngomong binatang takut rasisme kek kemaren</t>
  </si>
  <si>
    <t>RT @LFCIndonesia: 🟡 MATCHDAY 🔴 The Reds kembali beraksi hari ini, siap untuk begadang lagi? 😆 🆚 @WatfordFC 🏆 @premierleague 🏟 Vicarage Road ⏰ 00.30 WIB (Dini hari) GASPOL REMBLONG, REDS! 👊🏽 #ThisMeansMore #WATLIV</t>
  </si>
  <si>
    <t>@salmansenpai Budak selekeh mmg mcm ni</t>
  </si>
  <si>
    <t>RT @jokowi: Soal WNI eks organisasi ISIS yang dikabarkan hendak kembali ke Tanah Air, para wartawan bertanya ke saya: bagaimana dengan mereka yang telah membakar paspornya. Kalau saya saja sih, ya saya akan bilang: tidak. Tapi tentu saja, ini masih akan dibahas dalam rapat terbatas.</t>
  </si>
  <si>
    <t>RT @jokowi: Saudara-saudara kita WNI di Provinsi Hubei, Tiongkok, telah tiba di Tanah Air dengan selamat, Alhamdulillah. Mereka termasuk tim penjemput, akan melalui masa observasi selama 14 hari di Kepulauan Natuna, sebelum kembali ke keluarga masing-masing.</t>
  </si>
  <si>
    <t>@DivHumas_Polri nitip info nih min, kasus PEMBANTAIAN di papua tuh tolong diangkat, polisi bawa senjata lengkap tapi cuma nonton ada WNI dibantai sampe meninggal</t>
  </si>
  <si>
    <t>RT @jokowi: Sejumlah WNI masih berada di Wuhan, kota di Tiongkok yang sedang diisolasi karena wabah virus korona. KBRI Beijing terus menjalin kontak dengan mereka serta berupaya mengirimkan bantuan kebutuhan logistik. Mudah-mudahan, pengiriman bantuan tersebut dapat berjalan dengan baik.</t>
  </si>
  <si>
    <t>RT @jokowi: Tim pendahulu telah memasuki Provinsi Hubei, RRT, dan melakukan persiapan penjemputan 243 WNI yang ada di Wuhan dan sekitarnya. Insya Allah, tim evakuasi akan berangkat kurang dari 24 jam lagi dengan pesawat berbadan lebar agar mereka semua bisa diterbangkan ke Tanah Air.</t>
  </si>
  <si>
    <t>RT @jokowi: Bertemu dengan beberapa menteri dan Kepala Badan Nasional Penanggulangan Bencana di ruang tunggu Pangkalan TNI AU Halim Perdanakusuma, sore tadi. Dari pertemuan terbatas ini, saya memutuskan untuk segera mengevakuasi WNI yang berada di Provinsi Hubei, Tiongkok.</t>
  </si>
  <si>
    <t>RT @syadzaa: @jokowi Males, bayar pajak tapi dibuat ngingoni anak e ISIS. Males!</t>
  </si>
  <si>
    <t>@iKabir_Khan Konse terrorist organisation me job doge ISIS ya fir LeT ya fir koi nayi jihadi organisation khole ho??</t>
  </si>
  <si>
    <t>@m_newsid @NuhaaUmmu Lalu gimana kalau ISIS membantai seluruh orang kristen saat itu ? Kamu anggap islam itu suci hingga merasa benar sendiri? Mbok ya ngaca.</t>
  </si>
  <si>
    <t>Syria lo ISIS vaade slingshot lantidi idi mana delhi lo vaadaru anamaata.</t>
  </si>
  <si>
    <t>@Benskuy Ada yg kalah tapi buka ISIS wkwkwk</t>
  </si>
  <si>
    <t>#Syria (31/1/2020): - #SAA : 118730,8 Km^2 (63,46%) [123749,54 Km^2 (66,14%) with joint #SDF-#SAA areas] ⏫ - #SDF : 47541,96 Km^2 (25,41%) ⏸️ - #Rebels : 18684,4 Km^2 (9,99%) ⏬ - #ISIS : 2138 Km^2 (1,14%) ⏸️</t>
  </si>
  <si>
    <t>@briones_isis Wuwuwuw</t>
  </si>
  <si>
    <t>RT @tama_tamaras: @jokowi Males sy bayar oajak lama2 pak..lihat DKi uangnya cuma buat dihabur2kan buat formulaE..knp.bpk ga tegur wan aibon..1 lg.bpk.kok lebih ngurus anak isis drpd anak.negri yg banyk.kekurangan...mohon pak jokowi pake nurani</t>
  </si>
  <si>
    <t>RT @OposisiCerdas: Bukan Salah Saudi Tolak Umrah WNI, Pigai: Karena Pemerintah Berbohong</t>
  </si>
  <si>
    <t>@mikejava85 @cool4uatul To Kashmir ka to nhi hai n ? Delhi Kashmir nhi Syria ban Chuka hai.. ISIS style Mara gya Ankit Sharma ko.. Koi bhi image ho normally mat lo seriously lo.😊</t>
  </si>
  <si>
    <t>jaga toleransi jaga kerukunan, kita semua wni berkepribadian sosial yang menjunjung tinggi gotong royong dan tolong menolong dalam menjalani hidup sehari-hari #cintapapuabarat #cintapapua</t>
  </si>
  <si>
    <t>RT @Sifudan_mora: Buka matamu pak @jokowi @Kemenag_RI @kemendagri @mohmahfudmd @PolhukamRI.... Ini adalah generasi NKRI korban dari kebiadaban teroris. Sudah sembuhkah luka mereka sampai kalian mau pulangkan generasi ISIS? Jancuk tenan.... Uh gawe emosi ae.... @PakatDayak @FarelmaxL @kenhans03</t>
  </si>
  <si>
    <t>@Lady_Zeebo @mohmahfudmd Atau..mereka cuma memikirkan kelangsungan Perioda kepemimpinanya? Setelah itu Indonesia mau Hancur bukan urusan mereka? Masih nekat mau pulangkan Cindil2 ISIS?</t>
  </si>
  <si>
    <t>@starjoonyoung JDNDNFNDNFNDNDND isis &lt;3 jacob</t>
  </si>
  <si>
    <t>Stafsus Presiden Sebut WNI yang Diobservasi di Sebaru Sesuai Standar WHO</t>
  </si>
  <si>
    <t>@J4is_H3rnomo disangkutkan sama Isis)dan apabila tiba tiba ada yang melakukan tidak kekerasan pada sebuah kaum dan penggiringan opini publik. Lalu kemudian terjadi konflik antar agama di Indonesia dan maaf sampai misal terjadi perang. Apakah itu yang di inginkan muslim di sini? Ya engga kan?</t>
  </si>
  <si>
    <t>RT @UvuvwevwevOssas: Kalau korang pon macam ni maknanya kita geng. 😂😂😂</t>
  </si>
  <si>
    <t>RT @chillinaris: Politik adu domba sepertinya masih menghantui persatuan bangsa Indonesia. Sesama WNI sering saling membenci hanya karena taggar receh SARA RASIS 100rb gak penting: #Hindu_Is_Terrorist. Sebegitu murahnya ongkos menghancurkan sebuah bangsa, oleh karena rendahnya SDM 1/4 rakyatnya.</t>
  </si>
  <si>
    <t>Semua taknak liverpool bawak balik piala emas tu😤</t>
  </si>
  <si>
    <t>RT @jowosunda: yaa gimana lagi dongg, org indo mah gini gaes wkwkw</t>
  </si>
  <si>
    <t>yaa gimana lagi dongg, org indo mah gini gaes wkwkw</t>
  </si>
  <si>
    <t>Bukan ketidaksetujuanya tp wajar kami takut, mereka pasti mndapat doktrin yg kuat sampai meninggalkan negaranya, kita berasumsi brainwash macam apa yg dilakukam ISIS kemudian RT @wahhabicc_jabar: Istana Minta Masyarakat Terima Kepulangan Anak-anak WNI Eks ISIS ------ Kami adalah bagian dari masyarakat yang tidak sepakat pd negara yg memulangkan anak² ISIS. Yang sepakat dengan kami, silahkan 🔁 RT @jokowi @KemensetnegRI @mohmahfudmd</t>
  </si>
  <si>
    <t>hati yang gembira adalah obat yang paling mujarab 😁 tetap dijalan santuy 😎</t>
  </si>
  <si>
    <t>@WeirdNaturally @asadk69 @Hindutva001 Isis or alqayada jra inka itihas pd lo ye kha se paida huye or inka mai baap kon hai Google kr lo...</t>
  </si>
  <si>
    <t>Pemerintah pinjam pakai pulau 😯</t>
  </si>
  <si>
    <t>di google di youtube dimana mana gak ada. Tapi pas buka twitter search " Sedih jadi WNI " lumayan banyak banget. Makin malu tiap liat Orang2 "hebat" debat di layar kaca pake2 sorban, bikin statemen2 gajelas hamil gr2 bernang lah itu ieu. Hadeuhh</t>
  </si>
  <si>
    <t>@_wni_ Wowow akutt titew</t>
  </si>
  <si>
    <t>RT @teresuch: RT RT RT</t>
  </si>
  <si>
    <t>@kompascom Katanya enggak dipulangkan, pak? @jokowi Kenapa sih? Apa ada uang proyek di balik pemulangan ISIS si manusia-manusia bajingan keparat?</t>
  </si>
  <si>
    <t>@narkosun Sdh di blokir, kalau ada yang buat tagar #fahirahoaxcorona Atau semacamnya mau ikut isis, ada gak</t>
  </si>
  <si>
    <t>RT @aliahmed94: Taliban in Afghanistan ISIS in Syria RSS in India #IndianMuslimsinDanger #INDIANMUSLIMSINDANGER</t>
  </si>
  <si>
    <t>Taliban in Afghanistan ISIS in Syria RSS in India #IndianMuslimsinDanger #INDIANMUSLIMSINDANGER</t>
  </si>
  <si>
    <t>@wahhabicc_jabar @eko63691 @jokowi @KemensetnegRI @mohmahfudmd Yang harus dipulang maling kayak Harun Masiku. ISIS cuma isu musiman yang dibuat para maling dkk.</t>
  </si>
  <si>
    <t>@mirfanhy kalo gw si simpel, habis diskus sm temen2 jg tadi, gimana kalo para peneliti WHO &amp; ahli dokter Indonesia ambil random sampling aja ke org2, entah WNI atau WNA. Sekalian bs jadi bukti tolak ukur apa bener Indonesia bebas dari Corona. Maklum obrolan warkop. Harusnya bisa! RT @mirfanhy: Gue mau marah marah soal coronavirus-2 ini, mumpung lagi weekend, kali aja pada baca Udah sering marah2 soal corona, tp kali ini gue mau bikin thread biar marahnya lebih pol</t>
  </si>
  <si>
    <t>@jahangir_mehta @JNUSUofficial @mamidala90 Ok ISIS,SIMI,Madarsa Riotor...💥💥</t>
  </si>
  <si>
    <t>@SKaspani_ong @ustadtengkuzul Betull ustad ini mabok ISIS Dan fpi wahabi.. Nggak pernah waras2 otaknya..ngaku up and tdk oernah menyejukkan omongannya 😆😀😄😁</t>
  </si>
  <si>
    <t>RT @VoxPopuliID: 188 wni bebas covid 19 #cegahcorona #coronavirus</t>
  </si>
  <si>
    <t>RT @narkosun: Mengapa kok sibuk mau pulangin anak2 teroris? Itu nasib warga syiah Sampang yg bertahun2 mengungsi gimana kabarnya? Mereka sudah pulang ke rumah lagi atau blm? Yg di depan mata saja pak diurus, drpd jauh dan ada potensi membahayakan. @mohmahfudmd</t>
  </si>
  <si>
    <t>@_isisdays @Santtosfdaniela nossa isis caladaaaaaaaaah</t>
  </si>
  <si>
    <t>mi linda isis 💕</t>
  </si>
  <si>
    <t>@ajiesara2 @Sidin79901699 😀😀😀 aku cemburu sama anak anak isis yang slalu diperhatikan 😥😥😥</t>
  </si>
  <si>
    <t>Bentar lagi temlen rame.. Pulau Sebaru Dipakai buat Karantina WNI, Ini Kata Tomy Winata</t>
  </si>
  <si>
    <t>@hnurwahid @jokowi 🤣🤣🤣 waktu isis membantai umat manusia termasuk org islam ,lo dimana ? waktu hama wereng dibasmi pigai dimana ?</t>
  </si>
  <si>
    <t>MENOLAK KERAS PEMULANGAN ANAK-ANAK EX WNI PRO ISIS, SEKARANG DAN SELAMANYA... cc : @jokowi @Kiyai_MarufAmin @BNPTRI RT @RomoJostKokoh: 𝗠𝗘𝗠𝗕𝗔𝗦𝗠𝗜 𝗜𝗡𝗗𝗨𝗞𝗡𝗬𝗔 TP 𝗠𝗘𝗥𝗔𝗪𝗔𝗧 𝗕𝗜𝗕𝗜𝗧𝗡𝗬𝗔? Apa negara yakin punya obat ampuh atasi teror pasca anak2 eks ISIS dibawa pulang? Apa manusiawi jika ibunya tdk ikut dipulangkan? HAM membuat kita shrs nya lbh paHAM bhw kerap lbh baik mencegah drpd mengobati</t>
  </si>
  <si>
    <t>@budimandjatmiko @jokowi Saat anak² makan sabun, dimana lukisan petruk dadi ratu jokowi. Disaat WNI yg terjebak di kapal minta pulang, dimana pesawat baru jokowi</t>
  </si>
  <si>
    <t>@ty_dontsin * sighs in Toyota Isis *</t>
  </si>
  <si>
    <t>buttdial or ISIS?</t>
  </si>
  <si>
    <t>RT @newsplatter: Gw menolak pemulangan ex WNI anggota ISIS atas dua alasan, dan dua2nya BUKAN sebagai "hukuman"/dendam: 1. Membakar paspor artinya sudah aktif menyatakan bukan WNI lagi. Jadi buat apa diurus? 2. Menjadi preseden buruk ke depan... (sambung)</t>
  </si>
  <si>
    <t>Ya terus main apa lagi donk? Futsal?</t>
  </si>
  <si>
    <t>@P3nj3l4j4h_id @jokowi @Chilli_Pari kalo istana memang meminta rakyat untuk iklas menerima anak² isis itu..maka lebih baik piara mereka di istana saja. kami tidak bakal setuju ide memulangkan mereka ketanah air.</t>
  </si>
  <si>
    <t>RT @cnbcindonesia: 188 WNI Kapal World Dream Mulai Dikarantina, Semua Negatif!</t>
  </si>
  <si>
    <t>RT @cnbcindonesia: Pulau Sebaru Dipakai buat Karantina WNI, Ini Kata Tomy Winata</t>
  </si>
  <si>
    <t>RT @Je_Ly: Smoga smua lancar tanpa halangan. Amin 🙏 23 org dr tim evakuasi diberangkatkan di Terminal 1 Soekarno Hatta &amp; akan kembali ke Indonesia Minggu, stlh terbang dr Yokohama , Jepang, dg membawa 68 WNI yg bekerja sbg kru Kapal Pesiar Diamond Princess. Selamat &amp;amp; baik2. Doa kami 🙏</t>
  </si>
  <si>
    <t>RT @enny_endah: Si pigai ini.lucu, pak Jokowi kan Presiden indonesia, kejadian itu ada di India, kecuali ada WNI yg jd korban :</t>
  </si>
  <si>
    <t>@ChiBi48_Chelsea Oh kalo WNI malah lebih banyak lagi: 8 di Yokohama dan 1 di Singapore</t>
  </si>
  <si>
    <t>@AnkitJa41902607 @nameisaflower @PipKipSip bhai sakhti dikhao pighalo mat isis mein recruit krti hai ye aise hi logon ko twitter ke throgh..</t>
  </si>
  <si>
    <t>Pemerintah Diminta Pastikan Keadaan WNI di India</t>
  </si>
  <si>
    <t>menangnya cuma jualan SARA para sell ISIS... RT @rizieqdivist: Sudah 2,5 tahun jadi gubernur kok masih nyalahin pendahulu²nya atas kefatalan yg terjadi. Dulu pas kampanye jualannya VERTICAL DRAINAGE buat ngatasi banjir. "Ngatasi banjir itu gampang, cuma BIKIN LUBANG!", katanya. Tau² program yg muncul Formula E. Lubang pantatnya dikemanakan?</t>
  </si>
  <si>
    <t>@MZubir_ID @sirajapadoha @makLambeTurah @fahiraidris @DPDRI @Kepolisian_RI @DivHumas_Polri @mohmahfudmd @BareskrimPolri @KemenkesRI Jika mmg anak x "teroris isis" itu dipulangkan ke NKRI, siapa yg berani menjamin kalo mereka tdk akan mengganggu keamanan, tata tertib dimasyarakat? Karena seorang anak mempunyai memori yg sangat tajam dlm mengingat. Pakde @jokowi harus tegas, tdk boleh ada lagi yg masuk ke NKRI</t>
  </si>
  <si>
    <t>RT @willbefine077: @caa_nrc_best Kya baat kar di, Bollywood mein kyun jayegi, Taaliban ya ISIS waalo ke pass jayegi, Jihaadan, 😆😆😆😆🙏</t>
  </si>
  <si>
    <t>@caa_nrc_best Kya baat kar di, Bollywood mein kyun jayegi, Taaliban ya ISIS waalo ke pass jayegi, Jihaadan, 😆😆😆😆🙏</t>
  </si>
  <si>
    <t>Armada - Asal kau bahagia</t>
  </si>
  <si>
    <t>@WahabisLokal @mohmahfudmd Jangan biarkan ISIS kembali ke Indonesia baik dewasa, maupun anak2, pria maupun wanita.</t>
  </si>
  <si>
    <t>Mujahid akhir zaman itu taliban Ga pernah kalah.. Isis mah ecek2 👎👎 Pasokan senjata menurun dari amerika Lansung keok Taliban di lawan rusia menang Lawan amerika menang Jelas mana yg mujahid asli Taliban jg bermain di suriah Bentrok dg Al nusra dan isis sekaligus dg syiah</t>
  </si>
  <si>
    <t>waspadai elemen sell tidur ISIS... RT @tempodotco: Kongres Ulama Tolak Omnibus Law, Wapres akan Bicara dengan MUI</t>
  </si>
  <si>
    <t>ISIS jangan dibiarkan bikin KISRUH atas nama apapun... @mohmahfudmd @Puspen_TNI RT @tempodotco: PA 212 Akan Demo Kedubes India Jumat Depan, Apa Tuntutannya?</t>
  </si>
  <si>
    <t>RT @sirajapadoha: @MZubir_ID @ba_ger91 @makLambeTurah @fahiraidris @DPDRI @Kepolisian_RI @DivHumas_Polri @mohmahfudmd @BareskrimPolri @KemenkesRI Memang kalo pemulangan anak2 teroris ISIS ex WNI itu benar adlh niat pemerintahan pak @jokowi walaupun sdh banyak org bilang sama aja pemerintah ikutan memelihara teroris</t>
  </si>
  <si>
    <t>RT @MZubir_ID: @sirajapadoha @ba_ger91 @makLambeTurah @fahiraidris @DPDRI @Kepolisian_RI @DivHumas_Polri @mohmahfudmd @BareskrimPolri @KemenkesRI Tapi kabar pemulangan teroris ISIS eks WNI (teroris anak ISIS) bukan hoax, meskipun ditentang publik tapi pemerintah akan tetap memulangkan teroris anak ISIS. Pemerintah mempertaruhkan keamanan negara dan rakyatnya demi memulangkan teroris ISIS. @mohmahfudmd</t>
  </si>
  <si>
    <t>@MZubir_ID @ba_ger91 @makLambeTurah @fahiraidris @DPDRI @Kepolisian_RI @DivHumas_Polri @mohmahfudmd @BareskrimPolri @KemenkesRI Memang kalo pemulangan anak2 teroris ISIS ex WNI itu benar adlh niat pemerintahan pak @jokowi walaupun sdh banyak org bilang sama aja pemerintah ikutan memelihara teroris</t>
  </si>
  <si>
    <t>RT @_bbgata11: Eu tnh PENA da Isis kkkkkkkkkkkkkkkkkkk</t>
  </si>
  <si>
    <t>@Fahrihamzah Set back ktk rusuh mei 98, wni keturunan dibunuh dan diperkosa, pem tiongkok protes keras. Saat itu tokoh2 Islam marah dan ingatkan beijing jngn ikut campur urusan RI. Pak fahri dipihak mana, setuju dg tokoh2 islam atau stuju dg protes pem cina ?</t>
  </si>
  <si>
    <t>Juru bicara Presiden bidang sosial Angkie Yudistia mengatakan pemerintah telah mulai mengobservasi 188 warga negara Indonesia yang dievakuasi dari kapal pesiar Dream World di Hong Kong ke Pulau Sebaru Kecil, Kepulauan Seribu, DKI Jakarta.</t>
  </si>
  <si>
    <t>Eu tnh PENA da Isis kkkkkkkkkkkkkkkkkkk</t>
  </si>
  <si>
    <t>RT @itsme_yourmama: @yeoubiwoo @sayangwonpeel @yolskey Sayang nya dapet kabar dari om saya sehabis pulang umrah, ada salah satu WNI yang terdeteksi virus corona.... Saya juga kurang tahu kepastian nya. Mungkin memang sudah masuk ke Indo, hanya masyarakatnya saja yang kurang kesadarannya</t>
  </si>
  <si>
    <t>@yeoubiwoo @sayangwonpeel @yolskey Sayang nya dapet kabar dari om saya sehabis pulang umrah, ada salah satu WNI yang terdeteksi virus corona.... Saya juga kurang tahu kepastian nya. Mungkin memang sudah masuk ke Indo, hanya masyarakatnya saja yang kurang kesadarannya</t>
  </si>
  <si>
    <t>RT @cuanbaksit: @__MV_llestari__ @KomnasHAM @komnas_anak @BNPTRI @jokowi @mohmahfudmd kl bpk2/ibu2 yakin anak isis ex wni ini bisa 'diputihkan'lg,beranikah memberi garansi? Jgn sampai di masa datang ada yg terlibat langsung atau tidak langsung dlm kegiatan teror/radikal anda semua cuci tangan</t>
  </si>
  <si>
    <t>RT @PresidentPocong: Setelah ISIS kalah tanpa syarat mestinya Suriah menjadi damai. Tapi ternyata tidak. Beberapa saat lalu muncul perang baru: Turki vs Syria. Perhatikan di Suriah, dibacking siapa para jihadis IM itu? Sekarang inangnya mulai muncul. ^_^</t>
  </si>
  <si>
    <t>RT @kawananraja: @__MV_llestari__ Dan anak² yg pulang ini akan menjadi MENTOR terbaik bagi anak² di Indonesia ....MIRIS !!! TOLAK ANAK MILITAN ISIS</t>
  </si>
  <si>
    <t>@DivHumas_Polri Propaganda ISIS sama spt Khalid ini, sebarkan berita bohong. Basar Asad difitnah Syiah pdhl dia Sunni.</t>
  </si>
  <si>
    <t>@AmbJohnBolton Started ISIS alquida ba quida baghdadi..shehzaadi😅😅</t>
  </si>
  <si>
    <t>Book which motivated - Burhan Wani - Azmal Kasab - Yakoob Memon - Osama Bin Laden - ISIS Murderers - Yasin Malik - Abu Bakar Baghdadi - Al Qeada #BanTheBook</t>
  </si>
  <si>
    <t>@sirajapadoha @ba_ger91 @makLambeTurah @fahiraidris @DPDRI @Kepolisian_RI @DivHumas_Polri @mohmahfudmd @BareskrimPolri @KemenkesRI Tapi kabar pemulangan teroris ISIS eks WNI (teroris anak ISIS) bukan hoax, meskipun ditentang publik tapi pemerintah akan tetap memulangkan teroris anak ISIS. Pemerintah mempertaruhkan keamanan negara dan rakyatnya demi memulangkan teroris ISIS. @mohmahfudmd</t>
  </si>
  <si>
    <t>Al Qaeda + Taliban + ISIS + Haqani + JUD + D Company = ISI It's victory of the Pakistani terrorist state. No one can beat PAKISTANI JIHADI ISI THINK TANK.</t>
  </si>
  <si>
    <t>@parkkimbyeon bentar lg jd wni😭✊🏾</t>
  </si>
  <si>
    <t>@Takviri FAAKKK......Kok jadi ginii yaahhh. Intoleransi disini makin lanjut, ditambah lagi sampah2 ISIS.</t>
  </si>
  <si>
    <t>@ales_tanjung Heh! Kamu mau dicoret dari WNI ? 🤣🤣🤣</t>
  </si>
  <si>
    <t>Dear @jokowi kami sebagai warga negara Indonesia yang tunduk kepada ajaran agama dan Pancasila menolak PARA ANAK² EKS KOMBATAN ISIS dipulangkan lebih baik kami membunuh mereka daripada mereka membunuh generasi Pancasila</t>
  </si>
  <si>
    <t>Orang tengok wayang aku tidur. Takde hal</t>
  </si>
  <si>
    <t>Sedih banget jadi WNI, dikibulin muluk sama pemerintah. Disuruh NKRI harga mati, tapi diam2 mereka mau kita mati. Shit!</t>
  </si>
  <si>
    <t>Fokuskan 👇👇👇menurut data Kementerian Sosial, masih ada 12.000 anak Indonesia masuk kategori anak jalanan. Data Kemensos 2017 menyebutkan ada lima provinsi dengan jumlah anak jalanan terbesar, yaitu Jawa Barat  Malah fokusnya kepada anak ISIS Ex WNI😥 RT @RomoJostKokoh: 𝗠𝗘𝗠𝗕𝗔𝗦𝗠𝗜 𝗜𝗡𝗗𝗨𝗞𝗡𝗬𝗔 TP 𝗠𝗘𝗥𝗔𝗪𝗔𝗧 𝗕𝗜𝗕𝗜𝗧𝗡𝗬𝗔? Apa negara yakin punya obat ampuh atasi teror pasca anak2 eks ISIS dibawa pulang? Apa manusiawi jika ibunya tdk ikut dipulangkan? HAM membuat kita shrs nya lbh paHAM bhw kerap lbh baik mencegah drpd mengobati</t>
  </si>
  <si>
    <t>RT @nisma_mokhtar: @dualahami @dasaralter @tanyaAzka @haikal_hassan Iya makanya kalau kita menolak ISIS disebut Islam teroris maka jgn melakukan standar ganda terhdp agama lainnya krn sejumlah umat Hindu pun sangat menentang hindutva bahkan mendukung umat muslim di India memprotes UU kewarganegaraan yg diskriminatif.</t>
  </si>
  <si>
    <t>@do_ra_dong  Kasihan ini sama Humadi pelajar WNI yg masih di wuhan .RT @VOAChinese: 来自印尼的胡马迪在武汉读语言学硕士，疫情蔓延时他因为咳嗽未能搭上印尼的撤侨飞机，他成了目前滞留在武汉的七名印尼公民中的一名。他自己一个人住在学校的宿舍里，周围没有人，他说他曾郁闷地想要跳井。那种与世隔绝的生活，他说只有你自己体会过才能知道其中的滋味。</t>
  </si>
  <si>
    <t>Menko PMK: Pulau Sebaru Kecil Siap Jadi Lokasi Observasi WNI ABK World Dream dan Diamond Princess</t>
  </si>
  <si>
    <t>WNI ABK Diamond Princess Dievakuasi ke Kertajati, Lanjut Pulau Sebaru Via Laut</t>
  </si>
  <si>
    <t>Sempet kesel sih pas wni dari wuhan pulang kan orang luar banyak yang ngetawain indonesia gara2 di natuna pake desinfektan eh taunya skarang2 banyak juga tuh negara2 lain yang pake juga</t>
  </si>
  <si>
    <t>RT @Matluthfi90: Good luck la anak cucu kita nanti jawab SPM Sejarah</t>
  </si>
  <si>
    <t>RT @feancessa: Aksi Kemanusiaan Mengantisipasi Virus Corona, TNI POLRI, PEMDA, Bersinergi tinjau kesiapan Fasilitas dan Keamanan Pulau Sebaru untuk Observasi WNI ABK World Dream. #BersamaCegahCorona</t>
  </si>
  <si>
    <t>Aksi Kemanusiaan Mengantisipasi Virus Corona, TNI POLRI, PEMDA, Bersinergi tinjau kesiapan Fasilitas dan Keamanan Pulau Sebaru untuk Observasi WNI ABK World Dream. #BersamaCegahCorona</t>
  </si>
  <si>
    <t>RT @fahadiman93: I IS KENOT!!! Rasa macam hukuman ni terlalu kejammm!! 😭😭😭</t>
  </si>
  <si>
    <t>RT @AnakLolina: Anak-anak korban pengusiran pendirian gereja gak ada rehabilitasinya pak @jokowi ? Kemanusiaan seperti apa kalau yg baik2 di persekusi, yang beringas di impikan datang?</t>
  </si>
  <si>
    <t>RT @bintangpiranha: “Siapa nak jadi PM, angkat tangan”</t>
  </si>
  <si>
    <t>@chandni2428 @TVMohandasPai @RanaAyyub @TIME @RanaAyyub tu journalism chood ke isis join karle.. iss tarah ki double life kabtak jiyegi...</t>
  </si>
  <si>
    <t>RT @ibcig: please lah apply BIASISWA-BIASISWA yang akan dibuka MARCH ni, belajar lah bersungguh-sungguh nanti kerja bagus-bagus, nak gelek kat TikTok takde hal asal otak geliga ni dah lah bodoh, gelek-gelek kat Tiktok mengharapkan kuasa viral untuk famous. jadilah nakal tapi IQ tinggi HiHi</t>
  </si>
  <si>
    <t>RT @Pelabur_Bijak: Suspek Menyamar buat delivery parcel untuk menyimbah asid kepada mangsa. Hati-hati korang dekat luar sana, just few steps dari rumah je tu pun boleh jadi 🥺</t>
  </si>
  <si>
    <t>RT @Katolik_GK: Kepada @jokowi @mohmahfudmd @Kemenag_RI @PolhukamRI @DivHumas_Polri. Apakah mereka ini bukan WNI? Mereka punya hak yg sm dgn semua WNI lainnya. Seharusnya negara harus dgn tegas menjamin terlaksananya UUD 45 tntng kebebasan beribadah. Apakah karena sibuk promosi wisata halal?</t>
  </si>
  <si>
    <t>RT @shfqhlmi: Aku harap 1. Semua MPs ada kes di mahkamah tidak dilantik jadi menteri kabinet 2. Plan ekonomi jangka pendek harus di bentangkan 3. Tiada toleransi kes keganasan baik LTTE, ISIS etc 4. Tiada lagi investment yg tidak sabar, fast money 5. Kestabilan semua bangsa, hormat bumi</t>
  </si>
  <si>
    <t>RT @taharuddin_id: @Raj4Purwa @rezimBodoh WNI yang terinfeksi di singapur sama taiwan bukan ras melayu, makin ngawur</t>
  </si>
  <si>
    <t>@ustadtengkuzul Muslim dibantai ISIS ngk disebut kong ...?</t>
  </si>
  <si>
    <t>Oh... Kalau saya NO Toling pak @jokowi Di Kaji lagi</t>
  </si>
  <si>
    <t>RT @Novelis11: @wahhabicc_jabar @jokowi @KemensetnegRI @mohmahfudmd Mending pak @jokowi @mohmahfudmd. Urus pengungsi ex Timor Timur dah. Semalam sy nonton di @KompasTV hidup mrk miris banget tidak terurus. Pdhl mrk mengungsi krn cinta NKRI. Tp apa yg sdh diberikan negara buat mrk? Nothing! Sementara pejabat kasak kusuk mau pulangkan anak2 ISIS?</t>
  </si>
  <si>
    <t>RT @shukery_azizan: SEMBAH DERHAKA Agong ini terlalu baik bagi saya. Sejak dari awal saya melihat bagaimana baginda berusaha keras untuk berlaku adil kepada semua. Ketika SD pertama dikemukakan, semua orang tahu Tun Mahathir (ketika itu calon Perikatan Nasional) telah mendapat sokongan majoriti.</t>
  </si>
  <si>
    <t>Oke lalu pernah muncul penolakan turis asing dan penjemputan wni dari wuhan plus karantina 14 hari di Natuna yang lagi gue bilang sangat baik karena ada tinfakan preventif. Tapi kok gue merasa makin sini makin wadaw ya komen orang2 di lingkaran atas.</t>
  </si>
  <si>
    <t>@im_your_yoj Ak wni tp</t>
  </si>
  <si>
    <t>@Raj4Purwa @rezimBodoh WNI yang terinfeksi di singapur sama taiwan bukan ras melayu, makin ngawur</t>
  </si>
  <si>
    <t>@ik4mawar3 @Callmeila itu yang katanya bener-bener islami banget, seperti ISIS, kenapa ga perang di sana aja ya? wkwk.</t>
  </si>
  <si>
    <t>RT @liputan6dotcom: Mengenal Komandan Juru Masak di Lokasi Karantina WNI di Pulau Sebaru Kecil</t>
  </si>
  <si>
    <t>Mengenal Komandan Juru Masak di Lokasi Karantina WNI di Pulau Sebaru Kecil</t>
  </si>
  <si>
    <t>@rachel090198 Hain puri dunia me ye isleyea atankvadi bne ghumte hai, Pakistan, Afghanistan, Seria, Iran,Iraq , ISIS sb bs isleyea atankvadi bne hai.</t>
  </si>
  <si>
    <t>@hasmi_bakhtiar Assad teroris, Isis teroris.. Asad Vs ISis. Turkey Vs Asad (Asad kill Isis) bisa jawab kang ?</t>
  </si>
  <si>
    <t>@GusMendem1 Twit ini pertama rasis, wni tidak boleh keturunan china.pikiran ini tidak sejalan dengan dimalaysia wnm tdk boleh keturunan indonesia...kedua ini twit kesukuan...kenapa ga bilang warga negara malaysia keturunan indonesia.. ketiga otak kok didalam kotak-kotak kedangkalan</t>
  </si>
  <si>
    <t>@hendralm corona : asik dapet inang baru lagi wni : *toktik feeling good..</t>
  </si>
  <si>
    <t>@filosofiksi Arab saudi larang wni masuk ke negaranya disamakan dg wna cina.. Penyebar virus.. Maunya protes.. Narasi.. Maklum</t>
  </si>
  <si>
    <t>orang orang makin hari makin aneh aja</t>
  </si>
  <si>
    <t>Tulsi: Perusahaan Media perlu berhenti menyebut Al-Qaeda di Idlib sebagai pemberontak dalam upaya menipu utk membuat mrk tampak seperti "Pejuang Kemerdekaan". Turki telah mendukung Al-Qaeda dan ISIS selama bertahun-tahun dalam upaya utk menggulingkan pemerintah Suriah. RT @TulsiGabbard: .@realDonaldTrump needs to make it clear to NATO and Erdogan that the United States will not be dragged into a war with Russia by the aggressive, Islamist, expansionist dictator of Turkey, a so-called “NATO” ally. #StandWithTulsi</t>
  </si>
  <si>
    <t>@wisanggeni_084 @KPAI_official @mohmahfudmd @jokowi Anak2 itu brusaha agar Merah Putih tdk jatuh mnyentuh banjir. Salut. Tp justru anak2 ISIS lah yg disayang @jokowi dan @mohmahfudmd Kalian tdk peduli pd anak negeri, tdk peduli pd anak2 pengungsi yg trusir di negerinya sendiri (NKRI). Shame on you.</t>
  </si>
  <si>
    <t>Saya salut sama mbaknya ini, beliau masih bisa positif banget di tengah-tengah kena virus. Semoga cepat sembuh Mbak.</t>
  </si>
  <si>
    <t>@setkabgoid @jokowi Tdnya sy berharap 1. Siagakan rs dgn kerjasama who dan organisasi dunia untuk preven corona 2. Memantau pos transit keluar masuk WNA/WNI 3. Memantau prioritas border gate Neraca positif tp kalo warganya sakit gak kedeteksi samimawon pak 😭😭😭</t>
  </si>
  <si>
    <t>Berapa sih jumlah anak Indonesia yg karakternya/perilakunya buruk atau ngelunjak sama gurunya? Jawabannya banyak koq nggak diperhatiin sama pemerintah. Malah anak eks ISIS yg sudah dididik orang tuanya membenci negerinya mau dibalikin. Pemerintah halu Cc @jokowi dan jajaran</t>
  </si>
  <si>
    <t>@AhlulQohwah Knp anak ISIS yg di perhatikan ya, anak2 yg cinta NKRI diabaikan</t>
  </si>
  <si>
    <t>Indonesia bebas virus corona karena, WNI nya nggak se aktif keluar negaranya ketimbang negara lain yg sudah terdampak. Atau WNI yang keluar negeri khususnya china emang nggak banyak pulang ke Indonesia. Analisa sotoy</t>
  </si>
  <si>
    <t>Bahkan stlh dicuci otaknya, emang ketauan dia bnr2 bersih atau ga? Gue mending mengorbankan 1 org eks isis buat ga pulang drpd harus mengorbankan berjuta2 rakyat indo klo nantinya pemikiran isis ini tersebar di indo. Well, isis issa curse dude!</t>
  </si>
  <si>
    <t>@SuksmaM @MpetPesa @GlHindu @KatolikG Syria porak poranda krn isis. Dia lupa isis juga ngaku islam yak 😊😊😊😊</t>
  </si>
  <si>
    <t>@RomeskoP Sebelum memutuskan utk mengembalikan anak2 eks isis, ada baiknya pihak istana bertemu dlu dg para penyintas ini. Kadang org lebih mudah memutuskan sesuatu jika belum mengalami</t>
  </si>
  <si>
    <t>Dijamin Corona nya gak betah tinggal di tubuh dia 😭</t>
  </si>
  <si>
    <t>RT @tubirfess: 2beer! Ada bilang corona bisa hidup pd benda mati (up to 9 hri). Lewat barang impor? Tapi ingat dlu Kemenkes prnah bilang virus gabisa hidup di benda mati dg pke analogi benalu (akhir Jan-2020). Tapi knp mereka WNI dri Wuhan disemprot ya? Buat pewangi?</t>
  </si>
  <si>
    <t>@Jesus_porvida @kjv_prepper @NagashDemina @GuyBeaumont Isis Horus Semiramis IHS.</t>
  </si>
  <si>
    <t>Gue setuju banget kalo eks wni isis dilarang buat masuk lagi ke indonesia. Toh mereka memilih untuk keluar dr indo dan udh tdk mengakui lagi indo sbg negaranya. Even someday mrk realise, eat ur shit men! Bertanggung jwb sm pilihan lo lah! Pemerintah jg ga segampang itu nyuci otak RT @__MV_llestari__: MENJEMPUT TERORIS PULANG . . . Sempat kaget bercampur heran ketika seorang anak laki-laki berumur sekitar 8-9 tahunan menghampiriku dan menyodorkan tangannya dan kemudian meminta uang layaknya pengemis. Ini di Belanda pikirku.</t>
  </si>
  <si>
    <t>Ngeri yh klo anak2 ISIS jd d pulangkan.... RT @Lady_Zeebo: Pak @mohmahfudmd tonton baik2 video ini: Orator ini bilang ke anak2, apa kita muak stlh 10 th perang? apa menyerah? Dijawab Tidak. Trus anak2 diarahkan kpd Assad, Putin, Rouhani dan seluruh negara2 yg memerangi mereka, kami akan terus perangi kalian sampai 100 tahun lagi.</t>
  </si>
  <si>
    <t>RT @then_kimberly: @Mentimoen Covid-19 tidak bisa masuk ke Indonesia karena beberapa sebab : Izinnya terlalu lama bisa jadi Covid-24, banjir, macet, dan takut sama virus kadrun yang mau pulangkan anak-anak ISIS yang terlatih bawa panci presto dan ransel isi C-4</t>
  </si>
  <si>
    <t>Gangerti lagi udeh. INDONESIA TERBAIK😘 Tertular Corona, WNI malah Main Tik tok di Ruang Isolasi  #malamminggu ngakak</t>
  </si>
  <si>
    <t>@Takviri OGAHHH!!! Mau anaknya, mau cucunya, yg brhubungan sm isis kami tolak pak. Ga pke nego!</t>
  </si>
  <si>
    <t>indonesia lebih peduli eks isis dibanding papua 🤷</t>
  </si>
  <si>
    <t>RT @Haluan_: Menko PMK : WNI dari 2 Kapal Pesiar Diobservasi Terpisah  #</t>
  </si>
  <si>
    <t>RT @kumparan: 188 WNI dari kapal pesiar World Dream akan menjalani masa observasi di Pulau Sebaru, Kepulauan Seribu. #kumparanNews</t>
  </si>
  <si>
    <t>@MarikaRahman_ @arli_ap @taufikbasari @riekediahp @PBIDI @KemenkesRI Apa benar bu ? RT @DTanjung15: Helloo Fahira Idris HALU.. Kau dapat informasi dari mana ini nanti aku akan cek ke Kemenkes benar tidak berita yg kau sebar kan ini.. Ngga Usah Norak sebar Hoax murahan deeh.. Kau Anggota DPD di Gaji oleh Negara bukan di Gaji Oleh Pemprov DKI... Paham kau Senator..</t>
  </si>
  <si>
    <t>Yth Bapak @jokowi @mohmahfudmd @setkabgoid @KemensetnegRI @KSPgoid @setan @TUHAN RUU KPK dipaksakan RUU Omnibus Law dipaksakan ISIS pulang dipaksakan Trus gunananya rakyat apa?? Trus gunanya kita pilih pak @jokowi apa?? Udah.... Paksakan aja semua...</t>
  </si>
  <si>
    <t>RT @BakarSmith: khatib (juru dakwah) Saudi Arabia 🇸🇦 Muhammad al-Anzi; Mengatakan bahwa ketika dia melihat kemenangan besar Syiah Ali di Fallujah atas ISIS dan kelompok Setan lainnya, saya yakin bahwa Ali bin Abi Talib adalah wakil terbaik Nabi Muhammad saw.</t>
  </si>
  <si>
    <t>@IvanaWirsa Entah Apa Yang Merasuki PEMERINTAH. Anak-anak ISIS Mau Di Pulangkan, Penerbangan Dari CHINA Mau Di Buka Lagi. SepertiNya Pemerintah Lebih Suka MENGOBATI Daripada MENCEGAH. 👏👏👏👏👏 🎉🎉🎉 @jokowi 🎉🎉🎉</t>
  </si>
  <si>
    <t>188 WNI dari kapal pesiar World Dream akan menjalani masa observasi di Pulau Sebaru, Kepulauan Seribu. #kumparanNews</t>
  </si>
  <si>
    <t>@elHurryKoRn @AtikahZahidah_ Yg dibawa agama....dukung reunian monas pula....kelakuan iblis</t>
  </si>
  <si>
    <t>@MatJohar2 @Bheesma4 @FerdinandHaean2 @aniesbaswedan Kalau prabowo dulu dituduh pro HTI, pro isis lantas siapa yg mengangkat "derajatnya"? ,yg mengangkat sama yg nuduh sama nggak sih?</t>
  </si>
  <si>
    <t>RT @elHurryKoRn: Puas2kan aja Hujatanmu Drun Cuma Tinggal Nunggu waktu aja Nyungsepmu, catat itu 😃</t>
  </si>
  <si>
    <t>@P3nj3l4j4h_id @jokowi @Chilli_Pari kalau balita mungkin bisa diterima tapi kalau diatas umur itu anak sudah nalar benci dan tidak, jd potensi timbul dendam pasti ada sama aja nyimpen bom waktu, tolak anak eks isis diatas 5 tahun</t>
  </si>
  <si>
    <t>RT @missfwul: @rarvianadya @mrshananto @martharosana @angga_saw @newsplatter @KemenkesRI Ini info dari dokter di Posko KLB DKI Mbak. Pemeriksaan virus corona untuk yg negatif sekalipun gratis, selama pasien adalah WNI.</t>
  </si>
  <si>
    <t>@diraaja03 @LeBrekele @nety_rusi @aniesbaswedan @Paltiwest @kokokdirgantoro @BadjaNuswantara @ulinyusron @tangan_kir1 @kondekturbus_ @tolakbigotnkri @StellaSuwardi @Twit_Opini @IraSKaminsky Dulu kagak pernah nyampe banjir kan ? Kurang banyak bikin sunatuloh....masuk bumi....</t>
  </si>
  <si>
    <t>RT @healthyliveID: Alhamdulilah ya hari pertama karantina semua berjalan dengan lancar. #PulauSebaru</t>
  </si>
  <si>
    <t>@missfwul @mrshananto @martharosana @angga_saw @newsplatter @KemenkesRI wiiih akhamdulillah kalo begitu, harusnya WNI yg merasa punya gejala tidak takut periksa ya.. 1 quest lagi, apa itu berlaku jika org itu belum pernah berpergian keluar negeri?? kita ini merasa belum 100% aman, krn bisa jd memang ada suspek tp lolos..</t>
  </si>
  <si>
    <t>RT @healthyliveID: Salutt sama Tim Gabungan Polri, TNI, BNPB, dan Kementrian Kesehatan. Rela lembur demi kelancaran proses observasi para WNI. #PulauSebaru</t>
  </si>
  <si>
    <t>RT @the_bLack12321: Bukan 100, tapi 1.000 % benar ✔✅</t>
  </si>
  <si>
    <t>@DenySibuea @Budihar21525608 @MrsRachelIn @fahiraidris Enek saja...punya suami sok bela laki orang....miara tukang pukul juga</t>
  </si>
  <si>
    <t>@BagusDLiran @Nayakaduarsa @bintangAS Padahal aku isis nok , ke ga aneh sama aku ? Wkwk</t>
  </si>
  <si>
    <t>Salutt sama Tim Gabungan Polri, TNI, BNPB, dan Kementrian Kesehatan. Rela lembur demi kelancaran proses observasi para WNI. #PulauSebaru</t>
  </si>
  <si>
    <t>@dsangg377 @MichaelHarto77 Emang sampah 😂😂😂</t>
  </si>
  <si>
    <t>RT @dsangg377: Bahh'HaHaHa 😅🤭 Viral Foto Anies Berendam di Air Penuh Sampah, Pemprov: Keterlaluan!</t>
  </si>
  <si>
    <t>@wahhabicc_jabar @jokowi @KemensetnegRI @mohmahfudmd Itu anak anak isis ☠️ bukan anak anak indonesia, ngapain repot2 terima mereka!? Masih banyak anak-anak indonesia yg perlu diperhatikan!</t>
  </si>
  <si>
    <t>KBRI Tokyo hingga Sabtu malam ini terus rapat dengan Tim Penjemput untuk menyiapkan misi penjemputan yang lancar bagi para WNI. Tugas utama kami di lapangan adalah melaksanakan koordinasi dengan semua pihak yang terlibat di Jepang. #NegaraMelindungi RT @Kemlu_RI: Saat melepas tim penjemput 68 WNI kru Diamond Princess di Soetta #MenluRetno tekankan pentingnya kerja sama &amp; koordinasi yang kuat dari setiap pihak untuk keberhasilan misi penjemputan. Para WNI akan kembali tiba di tanah air tgl 02/03 dini hari. #NegaraMelindungi #IniDiplomasi</t>
  </si>
  <si>
    <t>RT @Metro_TV: WNI awak kapal World Dream akan dievakuasi ke Pulau Sebaru Kecil di Kepulauan Seribu, Jakarta. Mereka diperkirakan akan sampai pukul 14.00 WIB atau paling lambat 16.00 WIB tergantung arus, cuaca dan gelombang selama perjalanan. #MetroSiang</t>
  </si>
  <si>
    <t>RT @OfficialiNewsTV: Tim Gabungan Polri, TNI, BNPB, dan Kementrian Kesehatan, menggelar upacara pelepasan dalam rangka operasi bantuan kemanusiaan Pulau Subaru. Operasi WNI terkait wabah Korona, upacara digelar di markas Komando Kolinlamil, Pelabuhan Tanjung Priuk Jakarta Utara, tadi Pagi. #iNews</t>
  </si>
  <si>
    <t>RT @tvOneNews: 188 WNI jalani observasi di Pulau Sebaru. Saksikan Kabar Siang jam 11.30 WIB hanya di tvOne &amp; streaming di tvOne Connect, android  &amp;amp; ios  #KabarSiangtvOne</t>
  </si>
  <si>
    <t>@SawadaSetsuna @pdr m kasi tangkap ini budak isis..</t>
  </si>
  <si>
    <t>@BagusDLiran Berat tut lir omongannya isis @Nayakaduarsa @bintangAS</t>
  </si>
  <si>
    <t>@kartikandyt WNI emang udah ada yang kena tik, tapi posisi mereka diluar indonesia, kalau di indonesia sendiri sih belum dilaporkan ~</t>
  </si>
  <si>
    <t>cc pres pak @jokowi @BNPTRI @PolhukamRI @BIN_Official biarkan aja mereka anak isis dsuriah paling mreka kena rudal turki atau rudal suriah atau kena bom peshmerga kurdi. RT @wisanggeni_084: Maafkan kami saudaraku para penyitas terorisme yg kurang mendapat perhatian dari pemerintah 😭😭😭😭  Sementara mereka lebih peduli terhadapa anak² eks WNI yg orang tuanya adalah jihadis ISIS !!!</t>
  </si>
  <si>
    <t>RT @ScholarlyHerit: 27th Feb 2020: Dhikr meeting with His Eminence Shaykh Muhammad al-Yaqoubi. In the Jummah Mosque, St. Louis, Mauritus. #prophetmuhammad #tawbah #dhikr #islam #sunnah #sufi #spirituality #mauritius2020 #tour #purehearts #shaykhalyaqoubi #scholarlyheritage</t>
  </si>
  <si>
    <t>NIH PERHATIIN TAMPANG SETAN KADRUN ISIS TERORIS PERUSAK PERSATUAN DAN KESATUAN PANCASILA BHINNEKA TUNGGAL IKA UUD45 NKRI ❗️❗️👉💩💩🐪🦇🐪🤑🤑🤑🤑👈 RT @BorneoMAX8000: @AnakKolong___ 🦎💰🐫💵</t>
  </si>
  <si>
    <t>Atas berkat arahan BPIP Yang Terhormat, karena Tiktok adalah platform kenegaraan 😀</t>
  </si>
  <si>
    <t>Alhamdulilah ya hari pertama karantina semua berjalan dengan lancar. #PulauSebaru</t>
  </si>
  <si>
    <t>188 WNI ABK Kapal World Dream dan 68 WNI kapal pesiar Diamond Princess dikarantina di Pulau Sebaru Kecil, Kepulauan Seribu selama 14 hari. #PulauSebaru</t>
  </si>
  <si>
    <t>Corona: "Hi Indonesian!" Indonesian people:</t>
  </si>
  <si>
    <t>Yaudahlah ya... Mungkin cuma ini cara satu²nya sebagai penghibur dia dikala sakit. Tapi perlu dicatat, lokasi rumah sakit si WNI ini dirawat jangan sampai diketahui tau semua orang. Kalau tidak pemerintah Taiwan akan... #COVID19indonesia #CoronaVirusIndonesia #CoronaVirus RT @hendralm: 😭😭😭😭😭😭😭</t>
  </si>
  <si>
    <t>doakan ayah saya, yang menjadi tim dokter pengurus WNI yang di karantina di pulau seribu gais. Dan doakan juga WNI yang dikarantina semoga benar2 tidak ada yang positif corona</t>
  </si>
  <si>
    <t>@urmyd3stiny dibruk ne ae tembok e ben isis pisan</t>
  </si>
  <si>
    <t>@itsNemaziz Biangnya Qatar Dan turki , awalnya bernama Al nusra , kelak orang dalam sadam husein yang dilatih mossad pisahkan diri lagi Dan jadilah isis ....</t>
  </si>
  <si>
    <t>@Hilmi28 Hahahahha..... @opposite6890 emang super mantul.... Akibat twetter nya para provokator diserbu WNI. Ampun ampun dech.... 👍👍👍👍</t>
  </si>
  <si>
    <t>Hari Pertama Observasi WNI dari Kapal World Dream di Kepulauan Seribu, Seperti Apa?</t>
  </si>
  <si>
    <t>@tubirfess wni kan manusia, dongdong</t>
  </si>
  <si>
    <t>@Zahrah40291660 @ustadtengkuzul @KomnasHAM @YLBHI isis n ALBAGBABI cees lu gk masukin??? mlah dia ngebantai sesama muslim yg nentank dia 🙄🙄</t>
  </si>
  <si>
    <t>@triana_juanda Maksudnya anak eks isis itu seperti anak anak yg bermain dan percaya di dekat Yesus ya ? Cuman nanya.</t>
  </si>
  <si>
    <t>@jiwonlism Hah serius?? Setauku wni tpi bukan di indo</t>
  </si>
  <si>
    <t>@jiwonlism WNI kalau diluar negeri emg udh ada yg kena bbrp sist</t>
  </si>
  <si>
    <t>banyak anak2 miskin terlantar di indonesia yg butuh pertolongan ! goblok pulangkan anak2 setan isis teroris yg sudah dicuciotak diprogram untuk jadi teroris2 pembunuh2 ! bahaya anak2 teroris di kemudian hari ! jangan pulangkan anak2 isis setan teroris demi keselamatan indonesia !</t>
  </si>
  <si>
    <t>@tubirfess Ya kan wni bukan benda mati bodoh</t>
  </si>
  <si>
    <t>RT @JingliatiTan: @wisanggeni_084 @arjuno_ireng01 @KPAI_official @mohmahfudmd @jokowi Mungkin meraka harus menjadi Anak Isis dulu baru dapat perhatian dari Pemerintah 😢😢😢</t>
  </si>
  <si>
    <t>@Odiets77 @TeddyGusnaidi Ada, wkt taun 1998, dimana wni keturunan Tionghoa DIBANTAI, bukan agama, tp berkaitan dgn minoritas</t>
  </si>
  <si>
    <t>@MIBAgent_ @__MV_llestari__ Pemerintah sedang membuat bom waktu yg siap meledak kapan saja utk menghancurkan negara ini. Program pemulangan anak2 ISIS adalah salah satu program kebodohan yg hrs disikapi oleh rakyatnya dg sangat hati2 dan waspada.</t>
  </si>
  <si>
    <t>RT @pikiran_rakyat: KBRI Seoul Tutup akibat Virus Corona, Duta Besar RI untuk Korea Selatan Sampaikan Kondisi Terkini WNI</t>
  </si>
  <si>
    <t>2beer! Ada bilang corona bisa hidup pd benda mati (up to 9 hri). Lewat barang impor? Tapi ingat dlu Kemenkes prnah bilang virus gabisa hidup di benda mati dg pke analogi benalu (akhir Jan-2020). Tapi knp mereka WNI dri Wuhan disemprot ya? Buat pewangi?</t>
  </si>
  <si>
    <t>RT @nonselfish: Daripada fasilitasi anak eks ISIS mending manusia kan anak dr korban penyintas aksi bom yg ada dinegeri sendiri. Ayolah jangan sampe ambil kucing dalam karung. @jokowi @mohmahfudmd</t>
  </si>
  <si>
    <t>wni udah ada yg kena corona? huhu stay safe semuanyaa, jaga kesehatan yaaa 😭😭😭😭</t>
  </si>
  <si>
    <t>@AhlulQohwah Pak @jokowi Juga pak @mohmahfudmd Tolong tinjau ulang rencana pmulangan anak isis,suatu sa'at mereka akan menghancurkan negeri ini.</t>
  </si>
  <si>
    <t>@annainggi @__MV_llestari__ Ya berarti ISIS menang. Karena mbak nya punya pikiran sama seperti mereka. Bahwa anak kecil harus ikut menderita</t>
  </si>
  <si>
    <t>RT @kbriabudhabi: Sehubungan dengan perkembangan penyebaran virus Corona (Coronavirus Disease-2019/COVID-19) di wilayah Uni Emirat Arab (UEA), KBRI Abu Dhabi telah menerbitkan imbauan kepada seluruh WNI yang tinggal di UEA. #indonesianway #inidiplomasi #negaramelindungi</t>
  </si>
  <si>
    <t>RT @MrReady3: Menolak jama'ah umrah adalah kerugian besar bagi devisa Arab Saudi. Tapi mereka tdk memandang nilai ekonominya. Keselamatan rakyat bagi mereka adalah yg utama. Karna tugas utama pemerintah adalah mlindungi rakyatnya.</t>
  </si>
  <si>
    <t>Bacot doang abaikan kabar bohong. Buktinya Saudi melakukan penghentian Umroh WNI. Berani mengabaikan Saudi Mpud? RT @kompascom: Menko Polhukam Mahfud MD meminta masyarakat mengabaikan berbagai kabar bohong atau hoaks yang menyebut sudah ada kasus virus corona di Indonesia.</t>
  </si>
  <si>
    <t>@AnakLolina @jokowi Nih beni ISIS 👇👇👇</t>
  </si>
  <si>
    <t>RT @ingzoen_y4y4: Siapa yg sanggup mengubah otak mereka yg sudah dicuci? Siapa yg mau memasukan mereka dlm KK? Siapa yg siap 'deg-degan' jika memori alam bawah sadar mereka keluar tengah malam &amp; bawa pisau? Jk dewasa nanti memori ISIS nya balik lg melawan NKRI gimana?</t>
  </si>
  <si>
    <t>Tim Evakuasi Tiba di Jepang, 68 WNI ABK Diamond Princess Akan Jalani Observasi 28 Hari</t>
  </si>
  <si>
    <t>RT @IdEmbassy_Seoul: Tak sedikit komponen masyarakat Indonesia di Korsel yang juga menggalang pengadaan masker.Setelah sebelumnya membagikan 14.000 masker, KBRI sudah kembali bersiap untuk mendistribusikan masker – masker tersebut dan berbagai kebutuhan lainnya untuk saudara-saudara kita sesama WNI.</t>
  </si>
  <si>
    <t>Saya sarankan kpd Pemerintah @KemenkesRI @KSPgoid agar observasi WNI di Pulau Sebaru dilakukan tidak hanya 14 hari, tapi mgkn hingga 20 hari utk memastikan sepenuhnya para WNI tersebut tdk terinveksi corona. Hal ini perlu krn hingga kini Covid-19 msh dlm penelitian.</t>
  </si>
  <si>
    <t>Kata nyokap gw WNI di Taiwan dah ada yg positif Corona karena keseringan ngelayap. Jd skrg nyokap gue diisolasi sm cowonya gabole keluar katanya gausah ngedate dl sampe virusnya adem 😔</t>
  </si>
  <si>
    <t>@MIBAgent_ @__MV_llestari__ Iya jgn krn isis kejam ato gmn,, bayi yg tak tau apa² jg hrs kt musuhi. Hanya org yg tak beriman yg slalu takut dgn bayangan. Isis memang biadap, tp bayi/anak² tdk ad sngkut pautnya dgn itu smua. Berhentilah kita jd tuhan bg manusia lain..</t>
  </si>
  <si>
    <t>RT @Sigromilir01: @Bubeng_siansu @Aryprasetyo85 @fahiraidris @DivHumas_Polri @DTanjung15 @permadiaktivis @WagimanDeep__ Jejak digital seorang anggota dewan telah menyebarkan berita yg belum tentu valid ttg pasien WNI dlm pengawasan virus corona dibeberapa kota, artinya apa..?..☹️</t>
  </si>
  <si>
    <t>RT @__MV_llestari__: BEBASKAN AKU DARI MIMPI BURUK-KU . . Perhatikan tatapan matanya. Anak ini menyaksikan dengan mata kepala sendiri pembunuhan dan kekejaman yang dilakukan Isis di Suriah.</t>
  </si>
  <si>
    <t>RT @bee_reinhard: Pak @jokowi kami memilih anda krn jiwa nasionalisme anda, anda tdk segan membubarkan ormas intoleran yg akan merusak NKRI, walaupun ini periode terakhir anda, tolong ttp jaga kepercayaan kami. Sangat riskan memulangkan anak Eks WNI ISIS, mereka bukan lagi anak WNI Eks ISIS.</t>
  </si>
  <si>
    <t>Kenapa wahai warga +62 kalian begitu santuy sekaliii si astagfiruloh mo ngakak aja tapi kesian juga😭😭</t>
  </si>
  <si>
    <t>Pulau Sebaru Dipakai buat Karantina WNI, Ini Kata Tomy Winata</t>
  </si>
  <si>
    <t>@Cutlem93857527 Yg dibantai isis ko loe ga persoalkan?</t>
  </si>
  <si>
    <t>@electrizenn @julerocks @hendralm Emang wni ga boleh ada di taiwan? Ngerti wni kan?</t>
  </si>
  <si>
    <t>"DNA orang Indonesia kebal virus(?)," Pernyataan itu bisa dipatahkan dengan adanya 9 WNI di Diamond Princess yang positif corona.</t>
  </si>
  <si>
    <t>Pak @jokowi kami memilih anda krn jiwa nasionalisme anda, anda tdk segan membubarkan ormas intoleran yg akan merusak NKRI, walaupun ini periode terakhir anda, tolong ttp jaga kepercayaan kami. Sangat riskan memulangkan anak Eks WNI ISIS, mereka bukan lagi anak WNI Eks ISIS. RT @__MV_llestari__: MENJEMPUT TERORIS PULANG . . . Sempat kaget bercampur heran ketika seorang anak laki-laki berumur sekitar 8-9 tahunan menghampiriku dan menyodorkan tangannya dan kemudian meminta uang layaknya pengemis. Ini di Belanda pikirku.</t>
  </si>
  <si>
    <t>RT @__MV_llestari__: Itu adalah beberapa kejadian saat ISIS masih berkuasa. Apakah kemudian akan sembuh dan selesai saat ISIS telah dikalahkan? Kasus penusukan yang dilakukan anak-anak remaja kepada tetangga dan bahkan kepada saudara sendiri banyak terjadi.</t>
  </si>
  <si>
    <t>Mas @fadjroeL, kenapa ya WNI tersebut harus diobservasi di pulau, sebelumnya pulau natuna, sekarang pulau sebaru kecil?</t>
  </si>
  <si>
    <t>#COVID19indonesia Indonesia itu beruntung karena menjadi salah satu negara yang belum punya kasus Coronavirus sampai sekarang, dan kita sebagai WNI sepatutnya bersyukur untuk itu. Tapi di sisi lain, kita juga harus waspada karena sewaktu-waktu virus tersebut pasti akan masuk.</t>
  </si>
  <si>
    <t>@KDroneHunter @ustadtengkuzul dapat referensi dr ahli hoax, fitnah, dan narasumber serta media2 setan s/t lu jdnye.. ISIS serang suriah yg mayoritas muslim.. Al-Qaedah memerangi kafir krn kafir yg menyerang mrk trlebih dulu.</t>
  </si>
  <si>
    <t>@detikcom Wuaduh, gimana anak ISIS ya 😢</t>
  </si>
  <si>
    <t>Masa karantina WNI kru Diamond Princess diperpanjang karena berkaca pada kondisi salah satu penumpang di kapal tersebut.</t>
  </si>
  <si>
    <t>Sore #SahabatBungJubir 188 WNI ABK MV. World Dream yang mendarat di Pulau Sebaru Kecil menjalani transit observasi. Juga 68 WNI ABK MV. Diamond Princess akan menyusul dari Yokohama Jepang. Kita doakan semua segera berkumpul dengan keluarga~ FR #BungJubir #Jubir @JubirPresidenRI</t>
  </si>
  <si>
    <t>RT @ahmadyanibs: #malamminggu gak tau mau ngomong apalagi, warga +62 emg RAS TERSANTUY di muka bumi, Nih buktinya  #COVID19indonesia #Ultah4TahunSekali</t>
  </si>
  <si>
    <t>Ankara juga ingin menghancurkan ISIS dan kelompok ekstrimis lainnya yang telah menyerang wilayah kedaulatan Turki. Di sisi lain Turki membutuhkan US untuk menuntut Assad turun dan memerangi Rusia di tanah Suriah.</t>
  </si>
  <si>
    <t>@null Pesawat Pengangkut WNI Kru Diamond Princess Akan Mendarat di Bandara Halim atau</t>
  </si>
  <si>
    <t>@SkriniV @HSyaif @gabriel_citra @mardiasih "belum ada WNI yang positif Covid" baiqla~ simpan argumenmu, bwaang. Gak, gak usah ngelawan. Gpp, Anda benar.</t>
  </si>
  <si>
    <t>#malamminggu gak tau mau ngomong apalagi, warga +62 emg RAS TERSANTUY di muka bumi, Nih buktinya  #COVID19indonesia #Ultah4TahunSekali</t>
  </si>
  <si>
    <t>@kompascom Pak, anak2 isis jgn dipulangin plisss.... @mohmahfudmd</t>
  </si>
  <si>
    <t>@jardim_isis KSKSMJEJWKKWKWMMEJKKK</t>
  </si>
  <si>
    <t>@fadhlisofyan @HSyaif @gabriel_citra @mardiasih Konferensi dalam negeri? Apa salahnya? Pertimbangannya saat ini kan blm ada WNI yg positif Covid. Kalau sdh ada kan ya pasti dipertimbangkan lagi. Iran dan Italy wilayah iklim subtropis dimana influenza membunuh lbh byk orang kok. Jd mereka pasti lebih preventif.</t>
  </si>
  <si>
    <t>@D_m3chy @sorotnews Dubes nya bilang “india sangat damai” padahal baru kemaren dah perasaan gw liat yutuber WNI yg tinggal di new delhi bilang minta doanya karena situasi mencekam! 😂</t>
  </si>
  <si>
    <t>Pesawat Pengangkut WNI Kru Diamond Princess Akan Mendarat di Bandara Halim atau Kertajati #TauCepatTanpaBatas #BeritaTerkini #Berita #News #BeritaNasional .</t>
  </si>
  <si>
    <t>@scocialife @cchamsaes @anndamynt @womanfeeds Nah yg aku maksudkan islam beda2 aliran ya itu memang aqidahnya sama, tp aplikasinya beda contoh(duh tkt slh ngomong) ya isis itu percaya Allah tp mereka membunuh orang2 yg berbeda dari mereka krn keyakinan mereka mengajarkan seperti itu, sementara kita gak boleh membunuh kan</t>
  </si>
  <si>
    <t>RT @DunguToing: Terima kasih pada semua yang terlibat dlm proses pembangunan Museum Internasional Sejarah Nabi Muhammad SAW Kami sebagai WNI menyambut baik pembangunannya kami bangga dan bahagia menjadi kehormatan dn kepercayaan untuk menerima amanah ini</t>
  </si>
  <si>
    <t>Malah gawat ini anak2 nya pulang. Pasti dari kecil udah tertanam didikan isis :') RT @__MV_llestari__: MENJEMPUT TERORIS PULANG . . . Sempat kaget bercampur heran ketika seorang anak laki-laki berumur sekitar 8-9 tahunan menghampiriku dan menyodorkan tangannya dan kemudian meminta uang layaknya pengemis. Ini di Belanda pikirku.</t>
  </si>
  <si>
    <t>@Katolik_GK @jokowi @mohmahfudmd Jangan mau ditunggangin Embel2 Kemanusiaan. Merupakan Hak ratusan juta rakyat di negeri ini utk menolak kepulangan anak2 Isis Eks WNI RT @AlfaOmega0110: Rakyat Indonesia yg sejak awal menolak kepulangan mereka,sy harapkan Tetap Teguh Pendirian dan JANGAN SAMPAI MENJADI IBA. Pura2 insyaf, menyesal,memohon atas nama kemanusiaan,Memanfaatkan Rasa IBA Karena seperti itulah STRATEGI CARA ex-kombatan agar bs masuk ke Medan Perang Baru.</t>
  </si>
  <si>
    <t>@aditya_njr @VIVAcoid Rezim syiah gundulmu, ngawur. YG jelas semua pemberontak dsana itu ISIS didukung Turki Dan Amerika</t>
  </si>
  <si>
    <t>RT @New_BUFFETT: @V_Stone_Kardol @jokowi @Kiyai_MarufAmin Ngeri membayangkan nkri hancur lebur seperti suriah, karena tindakan ini. Penyebaran Virus Corona bisa dihentikan dgn penemuan antivirus/vaksin. TIDAK ADA OBAT utk penyebaran virus ISIS, itu ibarat sel2 KANKER menyebar memberi daya rusak dahsyat.</t>
  </si>
  <si>
    <t>Indonesia satu satunya negara yang tidak terkena dampak dari virus corona, bangga banget jadi WNI</t>
  </si>
  <si>
    <t>@RadioElshinta Pendidikan modern cegah radikalisme tapi kaum radikal ISIS ditampung.</t>
  </si>
  <si>
    <t>@WartawanPensiun Itu selamanya jadi anak2 apa besok bisa jadi dewasa juga? Kalau selamanya jadi anak2 agak mudah ngawasinnya, nah kalau sampai dewasa.... Bantai hti kilapah isis model apapun yg mau merubah Ideologi NKRI</t>
  </si>
  <si>
    <t>Pemerintah Mulai Karantina WNI dari Kapal World Dream</t>
  </si>
  <si>
    <t>@_KiraAyz13 @detikcom Di singapur juga ada wni yg kena, tp udh sembuh.</t>
  </si>
  <si>
    <t>Kamu teroris, kamu syi'ah, kamu isis, kamu wahabi, kamu NU, KAMU BLABLABLA. Tuhan : nabi gua tu, gua gampar lu.</t>
  </si>
  <si>
    <t>RT @santya128: Halo Pak @jokowi @mohmahfudmd seberapa penting siy segitu perhatiannya sama anak2 isis sampe diurusin kepulangannya ketimbang anak2 indonesia yg mencintai NKRI</t>
  </si>
  <si>
    <t>RT @sorotnews: Bukan Salah Saudi Tolak Umrah WNI, Pigai: Karena Pemerintah Berbohong</t>
  </si>
  <si>
    <t>RT @bnopel: Internasional tidak percaya Indonesia bebas virus Corona.. Bukan Salah Saudi Tolak Umrah WNI, Pigai: Karena Pemerintah Berbohong.</t>
  </si>
  <si>
    <t>Dubes ini takut juga kl wni bergerak...kl takut, rakyat anda jgn rasisme terhadap perbedaan keyakinan Agama lain..!!</t>
  </si>
  <si>
    <t>@Wolverine_Nemo Joko kirain dia bs maen tebak2an nama ikan ame anak ISIS kali ye?🙄</t>
  </si>
  <si>
    <t>@Lady_Zeebo @mohmahfudmd Cc @kaesangp apakah anda tahu atau hanya diam saja membiarkan kepulangan anak3 ISIS yg bakal menghancurkan negara ini seperti Suriah ?</t>
  </si>
  <si>
    <t>RT @Wolverine_Nemo: bisanya minta sama rakyat kecil, giliran diminta sama rakyat kecil gak pernah didengar paling bagi2 sepeda dan serti lagi buat cari dukungan</t>
  </si>
  <si>
    <t>RT @NurSyahbana9: Pemerintah meminta masyarakat mau menerima anak2 eks WNI ISIS. Anak-anak yang sudah terpapar virus terorisme seperti ini, masyarakat Indonesia di suruh menerima? Coba deh bayangkan saja, jika mereka tumbuh dewasa, apa yang terjadi pada mereka? #NGERI</t>
  </si>
  <si>
    <t>RT @FatiinS_L: Komando Pasukan Katak (Kopaska) dan Satuan Polisi Perairan (Sat Polair) mensterilkan perairan Pulau Sebaru Kecil menjadi Ring 2 wilayah untuk observasi 188 WNI ABK World Dream. #PulauSebaru</t>
  </si>
  <si>
    <t>@crazysmartasian Wait- 2 WNI yg di Jepang udh positif korona kan? Aku juga denger 1 org WNI di Singapura juga sempet kena, tp udh sembuh.</t>
  </si>
  <si>
    <t>@liem_id Gini amat nasib jd wni ya #RezimJKWPembohong</t>
  </si>
  <si>
    <t>188 WNI dari kapal World Dream telah tiba pada Jumat 28 Februari 2020 yang akan di karantina di pulau Sebaru Kecil, Kepulauan Seribu, selama dua minggu. FER #MNCTVNews #LintasiNewsPagi #Corona #Coronavirus #VirusKorona #Jakarta #SebaruKecil #KepulauanSeribu #WorldDream</t>
  </si>
  <si>
    <t>@CNNIndonesia Gimick pemerintah rada² ga percaya, pas yakin Arab melarang jamaah asal WNI di larang sementara unk Umroh, da drpd lihat gimick pemerintah, setiap kluar kita pkai masker dan semantra waktu hindari keramaian.</t>
  </si>
  <si>
    <t>RT @negativisme: Sebagai Rakyat RI, agaimana sikap kamu pada anak-anak ISIS eks WNI yg mau dibalikin ke sini, pake duit rakyat pastinya. Sedang anak-anak Indonesia banyak yg masih kesusahan</t>
  </si>
  <si>
    <t>RT @RomeskoP: Lindungi dan berikan lah kesehatan untuk Trinity Korban Bom Gereja/aksi Teroris. Pemulangan Anak-anak Eks WNI ISIS sebaiknya dikaji dan dihentikan. Ini akan menjadi masalah dimasa mendatang. Saya tidak mau anak anak menjadi korban. Thanks @BirgaldoS</t>
  </si>
  <si>
    <t>bisanya minta sama rakyat kecil, giliran diminta sama rakyat kecil gak pernah didengar paling bagi2 sepeda dan serti lagi buat cari dukungan</t>
  </si>
  <si>
    <t>RT @1trenggalek: Inilah pulau Sebaru yg disiapkan pemerintah utk merehabilitasi 188 WNI dr kapal world dream. @tjhinfar21 @TheArieAir @Aryprasetyo85 @NotesofMila #BersamaCegahCorona</t>
  </si>
  <si>
    <t>RT @tienz95: Cc: pak @ganjarpranowo gub. ku yg paling baik dn tdk sombong, tolong sampaikan ke pak @jokowi , untuk mempertimbangkan kmbali memulangkan anak2 isis 🙏🙏🙏 Matur nuwun</t>
  </si>
  <si>
    <t>Pulau yang tak berpenghuni itu akan dipakai untuk observasi 188 WNI terkait Virus Corona selama 14 hari. #pulausebaru</t>
  </si>
  <si>
    <t>RT @1trenggalek: Kapolri Bersama Panglima TNI Tinjau Kesiapan Lokasi Evakuasi dan Observasi WNI di Pulau Sebaru  #BersamaCegahCorona</t>
  </si>
  <si>
    <t>WNI emang debest dah RT @hendralm: 😭😭😭😭😭😭😭</t>
  </si>
  <si>
    <t>@Ari3Pras @myname4571 @P3nj3l4j4h_id @jokowi @Chilli_Pari @KSPgoid saya sih sudah gak kecewa lagi karena dari awal ketika eks isis dibicarakan, saya sudah memprediksi bahwa pakde gak bisa tegas menolak dan itu terbukti. jadi kekecewaan saya sudah habis tuntas dan menjadi kemarahan. cuman karena saya tidak boleh marah, maka saya mendoakan saja.</t>
  </si>
  <si>
    <t>Semoga tidak meluas wabah virusnya karena ada ribuan WNI yang ada di Korea selatan. RT @pikiran_rakyat: KBRI Seoul Tutup akibat Virus Corona, Duta Besar RI untuk Korea Selatan Sampaikan Kondisi Terkini WNI</t>
  </si>
  <si>
    <t>@setkabgoid @jokowi Presidenku paling hebat dalam mengambil keputusan, paling berani memang top. Saya bangga jadi wni</t>
  </si>
  <si>
    <t>@wahhabicc_jabar @sanuri118 @jokowi @KemensetnegRI @mohmahfudmd GILA ... INI CARA MATI PELAN2 GEROMBOLAN ISIS ... MRK YG MERONGRONG WIBAWA PEMERINTAH SAJA TIDAK DIPROSES HUKUM ... EALAH DITAMBAH ANAK2 X.ISIS YG NYATA2 OTAK WARASNYA SUDAH DISEDOT DIGANTI OTAK TERORIS ... JGN PELIHARA ANAK ULAR ANAK2 ULAR JUGA BERBISA BERACUN.</t>
  </si>
  <si>
    <t>RT @imnainggolan: @wisanggeni_084 @sakitotak3 @KPAI_official @mohmahfudmd @jokowi Pak @mohmahfudmd, Pak @jokowi ... Kita ndak kekurangan WNI. klo mrk2 putuskan sepihak utk tinggalkan NKRI, gpp. Biarkan saja. Itu pilihan n tanggung jawab mrk sndiri. Pentingkan Kualitas, bukan Kuantitas.</t>
  </si>
  <si>
    <t>Menkes Terawan Ungkap Alasan Pemerintah Belum Bisa Evakuasi 4 WNI di Wuhan</t>
  </si>
  <si>
    <t>RT @TempoInstitute: Akibat media sosial, Dania, gadis 17 tahun bisa meyakinkan keluarganya berangkat ke #ISIS, Suriah. Tapi, kini mereka telah pulang ke Indonesia. Bagaimana ceritanya? Ikuti screening film Seeking The Imam, eksklusif hanya di Gedung TEMPO.</t>
  </si>
  <si>
    <t>Wah jadi parah WNI bakal terjamin kebutuhannya ya kak #pulausebaru RT @selfieituindah: Di Pulau Sebaru Kecil juga akan dipasang Base Transceiver Station dan Wifi. #PulauSebaru</t>
  </si>
  <si>
    <t>@Dennysiregar7 Kliatanya kurang pas klo di samakan bom bunuh diri karena bom bunuh diri adalah klompok ISIS apakah mau india di cap teroris</t>
  </si>
  <si>
    <t>RT @antio888: @Alitingting2 @habibthink Jangan lupa juga... Hampir separoh muslim di NKRI sini (±50%) kan memang PRO sekaligus plus simpatisan HTI, PKS, FPI, FUI, ISIS, Khilafah dsb itu.</t>
  </si>
  <si>
    <t>RT @sissyfebrina: Alhamdulillah hari Pertama di Pulau Sebaru, 188 WNI dalam Kondisi Sehat. #pulausebaru</t>
  </si>
  <si>
    <t>apa yang merasuki istana sampe sibuk ngurusi anak² tentara ISIS?</t>
  </si>
  <si>
    <t>@SalmanNizami_ To Terror down down nahi hona chaiye, wah re Bagdadi ke aulad. Terror se iyna puar hai to ISIS Al-qaeda kyon nahi join kar lete ho.</t>
  </si>
  <si>
    <t>Baru tau sih ternyata Pulau Sebaru Kecil terletak di Kepulauan Seribu lho. Pulau ini juga menjadi tempat karantina 188 WNI Anak Buah Kapal Diamond Princess. #pulausebaru</t>
  </si>
  <si>
    <t>Masyarakat dikasih gawean baru oleh pemerintah. Masyarakat yg mana? Masyarakat golongan 212 FPI? Biar ntah nambah personel demo. Wkwkwk</t>
  </si>
  <si>
    <t>RT @Salim_Semm: Gw sbg salah satu warga negara Indonesia menolak keras pengimportan anak2 ISIS Ke Indonesia. Apa bukti mereka WNI? Gw bisa bahasa Inggris bukan berarti gw bisa dianggap anak Inggris.</t>
  </si>
  <si>
    <t>WNI yg positif suspect diluar negeri ras apa ya min? RT @detikcom: Ahli kesehatan masyarakat menyebut Indonesia dianggap aman dari infeksi virus corona karena memiliki ras Melayu. Benarkah? #VirusCorona</t>
  </si>
  <si>
    <t>RT @cilliasiregar: Alhamdulillahnya seluruh WNI disana mendapatkan pendampingan dari tim medis Kemenkes termasuk dokter spesialis. #pulausebaru</t>
  </si>
  <si>
    <t>RT @FatiinS_L: Para WNI yang dikarantina di Pulau Sebaru Kecil telah melalui beberapa prosedur seperti pemeriksaan suhu tubuh, penyemprotan desifektan, dan mengganti pakaian lama dengan pakaian baru #PulauSebaru</t>
  </si>
  <si>
    <t>Nyaris 700 WNI Terdata Gabung ke ISIS #wni #isis #merahputih</t>
  </si>
  <si>
    <t>RT @JamieBegins: @DapunthaH @TengkuAdhitya @Hilmi28 @aniesbaswedan Eh buset.... lo bukan WNI? Tidak mengakui Presiden termasuk pidana loh...</t>
  </si>
  <si>
    <t>@Kanseulir WNI kan 200jtaan... Sisanya WNA china kali</t>
  </si>
  <si>
    <t>RT @sisakhai: I just nak share . Semoga dimanfaatkan 😊✨</t>
  </si>
  <si>
    <t>@ituAgnes_ isis ngeliat dia langsung sungkem kali yaa</t>
  </si>
  <si>
    <t>RT @facanns: Ikutan nangisss😭 ga kuat liatnya sampe sesek gitu😭 bestrong kak unge❤️❤️❤️✨✨✨ #bclsinclair</t>
  </si>
  <si>
    <t>KBRI Tokyo Siapkan Evakuasi untuk WNI ABK Diamond Princess</t>
  </si>
  <si>
    <t>Video di atas juga menunjukkan kepada kita bahwa anak anak ISIS ini sudah diajarkan jd militan dimana saja mereka dan sampai kapan pun .. apa bapak @mohmahfudmd masih mau memulangkan anak-anak ISIS Eks WNI?</t>
  </si>
  <si>
    <t>Birgaldo Sinaga: ANAK ISIS DIPERHATIKAN PEMERINTAH, ANAK KORBAN BOM TERO...  via @YouTube</t>
  </si>
  <si>
    <t>#gantimenag Mending bicara aja proisis daripada diem diem bikin kebijakan pemulangan isis atas nama kemanusiaan #mentriagama</t>
  </si>
  <si>
    <t>RT @ibuibuyakult: ya allah warga</t>
  </si>
  <si>
    <t>RT @kbri_tehran: Yth. Bp/Ibu WNI&amp;Diaspora Indonesia, sampai hari ini ada 245 kasus terinfeksi virus Corona di Iran dan 26 orang meninggal dunia.. Jangan panik, tetap waspada, jaga daya tahan tubuh &amp;amp; ikuti himbauan otoritas kesehatan setempat ya... #IndonesianWay #IniDiplomasi @Kemlu_RI @octavino</t>
  </si>
  <si>
    <t>Istana Minta Masyarakat Terima Kepulangan Anak-anak WNI Eks ISIS - apa pendapat jenengan? ⁦@faridafarichah⁩ ⁦@GPAnsor_Satu⁩</t>
  </si>
  <si>
    <t>@WinSamb @boncusho @fd_SatuLagi @raditya3003 @hnurwahid Jd betulkan bkn agama=Isis hehe</t>
  </si>
  <si>
    <t>@RomeskoP Dapat hibah apa pemerintah menghalalkan eks WNI ISIS meskipun msh anak anak u/ masuk k indonesia? Pak @jokowi pikirkan akibat setelahnya pak .tolong pak @mohmahfudmd knp bkn korban bom yg bpk bpk yg terhormat bantu. Mohon pak🙏</t>
  </si>
  <si>
    <t>@KakekHalal @Michael79820241 Maafken Pak.Menag lagi konsentrasi soal indiya dan ISIS</t>
  </si>
  <si>
    <t>@fastabib_fais @rizaladitiyoo neng tower isis cuk,semilir marakke merem</t>
  </si>
  <si>
    <t>RT @Andi60264157: @__MV_llestari__ Mendidik anak2 disini aja menjadi lebih bermoral masih Lom baik sampe srg terjad perundungan di sekolah sekolah apalagi mau mendidik anak2 isis wedeh</t>
  </si>
  <si>
    <t>RT @aewin86: Ada yang bisa jelasin: - 238 WNI di pusat Kota Coronavirus, tidak terjangkit - 188 WNI di kapal pesiar yang penuh dengan orang yang terjangkit corona, padahal selama itu mereka berinteraksi, negatif virus.</t>
  </si>
  <si>
    <t>@negativisme Salah besar kalo judulnya itu WNI ex Isis</t>
  </si>
  <si>
    <t>Apaan, mereka sudah bukan WNI. Mereka sendiri yang bakar tanda kewarganegaraan kan RT @negativisme: masih banyak anak-anak WNI yg kesusahan, yang hak-haknya tak terpenuhi. ini malah mau mulangin anak -anak ISIS eks WNI, yg kemungkinan besar mereka udah dicuci otak. Kami TOLAK!</t>
  </si>
  <si>
    <t>@Sarah_Pndj Solidarity! TOLAK ISIS-isasi Indonesia!</t>
  </si>
  <si>
    <t>Para WNI yang dikarantina di Pulau Sebaru Kecil telah melalui beberapa prosedur seperti pemeriksaan suhu tubuh, penyemprotan desifektan, dan mengganti pakaian lama dengan pakaian baru #PulauSebaru</t>
  </si>
  <si>
    <t>@wisanggeni_084 @sakitotak3 @KPAI_official @mohmahfudmd @jokowi Pak @mohmahfudmd, Pak @jokowi ... Kita ndak kekurangan WNI. klo mrk2 putuskan sepihak utk tinggalkan NKRI, gpp. Biarkan saja. Itu pilihan n tanggung jawab mrk sndiri. Pentingkan Kualitas, bukan Kuantitas.</t>
  </si>
  <si>
    <t>Terus karena dibilang ahli, langsung pada percaya padahal kmrn di Singapura udah ada WNI yg kena 😅 RT @salima252: Lah Singapore dan Malaysia mang ras apa 🙄</t>
  </si>
  <si>
    <t>Senangnya WNI ABK Diamond Princes Dengar Rencana Dipulangkan ke RI</t>
  </si>
  <si>
    <t>@StefanoHarmoni @RomeskoP @cadarmerah Sama kek eks Isis itu... Testing dl pulangin anak2... Ntar dh aman dr berita br deh biang terorisnya dipulangin..</t>
  </si>
  <si>
    <t>Q1 2020 hampir selesai, polemik isu berkurang tidak, nambah iya...pesimis Defect dari isu menjurus pada suatu yg mengerikan buat sejarah negara ini... Intoleran, persekusi/bullying siswa/i, mega korupsi, pemulang anak exs combatan ISIS....😓 Jelas sudah.....berat sebelah..</t>
  </si>
  <si>
    <t>Sabar ya dek, sementara perumahan baru tersedia untuk anak ISIS. RT @wisanggeni_084: Anak² ini tidak seberuntung anak² dari Eks WNI jihadis ISIS yg dapat perhatian dari pemerintah... Mereka tidak dapat perhatian dari @KPAI_official dan Pemerintah, tetapi mereka sdh tunjukan betapa mereka mencintai negara ini. Cc: @mohmahfudmd @jokowi</t>
  </si>
  <si>
    <t>RT @Ari3Pras: Kami tak peduli permintaan ini disampaikan kadrun atau pengasong khilafah yg bersembunyi di balik nama istana. Yg kami tahu ISTANA adalah representasi/simbol pemerintahan presiden @jokowi Yg PASTI, kami KECEWA &amp; MENOLAK menerima Anak2 Ex WNI PRO ISIS !</t>
  </si>
  <si>
    <t>@Sheshna31071450 @SNKBHAT @narendramodi177 @Javedakhtarjadu Aarey Abdul convert ho kar tuh love jihad karya hain, ISIS mein bharti karta hain, terror funding karta hain, tuh Ankit Sharma ko 400 bar chura marta hain, Hindu ladke ke sir mein drill machine ghusa deta hain par hain to tuh insaan re</t>
  </si>
  <si>
    <t>RT @kompascom: Beberapa media Taiwan memberitakan tentang WNI yang terinfeksi virus corona tapi malah bermain Tik Tok di bangsal isolasi</t>
  </si>
  <si>
    <t>@setkabgoid @jokowi Apes jd wni di rezim ini.</t>
  </si>
  <si>
    <t>@sadono_joko @FirzaHusain Hahaha setuju.. mantul.. mantab betul.. 👏👏👏👏 Oh iya.. tau gak ada juga amanat UUD'45 dalam bentuk aslinya yg belum direvisi, alias masih berlaku.. ..yaitu dilarang jadi kampret dan kadrun selama jadi WNI. Coba baca deh 👍</t>
  </si>
  <si>
    <t>Pemerintah Indonesia telah mengirimkan tim evakuasi untuk menjemput 68 warga negara Indonesia (WNI) di kapal pesiar Diamond Princess di Yokohama, Jepang. Setelah itu 68 WNI itu akan dikarantina di Pulau Sebaru Kecil, Kepulauan Seribu, Jakarta.</t>
  </si>
  <si>
    <t>@didie_soeharto Jangan kagok klo mau bicara HAM, urus anak2 WNI EKS ISIS itu sama pejabat berkompeten. Jadikan mereka anak angkat, tinggal satu atap dengan mereka, biar masyarakat tenang😁</t>
  </si>
  <si>
    <t>RT @fajaralam9: Anak2 bangsa sendiri masih terlalu banyak yg hidup susah. Bemikian juga dengan keluarga korban bom teroris. Ini kok sibuk ngurusin anak2 TERORIS ISIS ??? Kami pilih @jokowi sbg presiden bukan untuk ngurusin anak2 teroris ISIS</t>
  </si>
  <si>
    <t>@Stevaniehuangg ga lihat WNI yg diluar negeri positif Corona 9 orang, kl emang kebal haruse mereka ga kena, tp terbukti positif kan? parah ini ahlinya</t>
  </si>
  <si>
    <t>@Kemlu_RI @PolhukamRI @mohmahfudmd @Menlu_RI DPR Minta Pemerintah Pastikan Keadaan WNI di India</t>
  </si>
  <si>
    <t>Pigai: Bukan salah saudi tolak umrah wni, tapi dunia internasional ragu pemimpin indonesia suka berbohong •Mau nanya.. suka berbohong dengan suka menipu artinya sama ga..??  #UlahRezimIndonesiaSuram</t>
  </si>
  <si>
    <t>RT @RangCebol: @oxfara @mazzini_gsp Kalo disini nunggu suspect sekarat baru di tes/uji lab, kalo ga, yah ga di cek. Protap kemenkes. Liat aja wni dr wuhan yg di natuna, 1 org pun ga ada yg di uji/cek lab.</t>
  </si>
  <si>
    <t>@WartawanPensiun ga kebayang bakal jadi tetangga ISIS</t>
  </si>
  <si>
    <t>RT @DamaiSelalu86_V: @wahhabicc_jabar @jokowi @KemensetnegRI @mohmahfudmd Banyak anak2 baik di negeri ini yg butuh perhatian negara. Jumlahnya puluhan juta. Kenapa istana begitu perhatiannya pd anak2 setan isis ini? Ada kpentingan apakah. Sdemikian berpengaruhnya kah setan2 ini? Siapa org dalam istana yg sangat ingin mereka kembali?</t>
  </si>
  <si>
    <t>RT @Kurus_Tulus: pemulangan ISIS ini harus dikaji panjang Pak @jokowi @mohmahfudmd kita sedang genting hadapi #VirusCorona dan masih banyak anak terlantar di dalam negeri yg harus diperhatikan @KemensosRI @BNPTRI #tolakEksWNIanggotaISIS @TheArieAir @ChusnulCh__ @fadjroeL @detikcom</t>
  </si>
  <si>
    <t>RT @ayyufriska: Banyak masyarakat di kepulauan sebaru yg bantu kerja lembur demi berhasilnya evakuasi WNI. terharuuu #PulauSebaru</t>
  </si>
  <si>
    <t>Artha Graha ikut ngirim personel buat evakuasi WNI abk diamond princess di pulau sebaru #PulauSebaru</t>
  </si>
  <si>
    <t>Sebanyak 188 warga negara Indonesia (WNI) kru kapal pesiar World Dream tiba di Pulau Sebaru Kecil, Kepulauan Seribu, Jakarta pada Jumat (28/2/2020) sekitar pukul 17.30 WIB.</t>
  </si>
  <si>
    <t>RT @nurul_mgh: @__MV_llestari__ HTI yg ngakunya gk sama kayak ISIS &amp; mempunyai tujuan baik aja bikin kepala pusing &amp;amp; membuat orang² terus memikirkan kejelekan pemerintah &amp;amp; sistemnya, gimana kalau eks ISIS dateng? Gak bayangin gimana NKRI nantinya, astaghfirullah</t>
  </si>
  <si>
    <t>RT @witantochand: @wisanggeni_084 @adtaufiq @KPAI_official @mohmahfudmd @jokowi Karena KPAI ...merupakan cabang ISIS di Indonesia....pahamkan</t>
  </si>
  <si>
    <t>Banyak masyarakat di kepulauan sebaru yg bantu kerja lembur demi berhasilnya evakuasi WNI. terharuuu #PulauSebaru</t>
  </si>
  <si>
    <t>Anak-anak WNI eks-ISIS bakal dipulangkam, sebagai manusia beriman saya diajarkan utk mengasihi sesama meski dia sangat jahat di mata manusia. Apalagi anak2 tsb hasil kesalahan ortu, tak ada salahnya beri mereka kesempatan agar kelak tak seperti ortu mrk menjadi "monster" kejam.</t>
  </si>
  <si>
    <t>RT @P3nj3l4j4h_id: Trus isis yg gorok sesama muslim lu bilang apa zul? Mahluk mahluk seperti lu ini diciptakan sebenarnya emang tujuannya untuk jadi provokator ya zul? Umur da lanjut bukanny perbanyak ibadah tp malah ngumbar kebencian!</t>
  </si>
  <si>
    <t>@wahhabicc_jabar @jokowi @KemensetnegRI @mohmahfudmd Banyak anak2 baik di negeri ini yg butuh perhatian negara. Jumlahnya puluhan juta. Kenapa istana begitu perhatiannya pd anak2 setan isis ini? Ada kpentingan apakah. Sdemikian berpengaruhnya kah setan2 ini? Siapa org dalam istana yg sangat ingin mereka kembali?</t>
  </si>
  <si>
    <t>Polri bantu keamanan pulau sebaru menjelang kedatangan 188 wni dari kapal world dream #BersamaCegahCorona</t>
  </si>
  <si>
    <t>@CNNIndonesia Belum tau dia. Kita WNI ini kan paling doyan sama hoax..</t>
  </si>
  <si>
    <t>RT @KompasTV: Kondisi Terkini Proses Penjemputan WNI Awak Kapal Diamond Princess dari Jepang</t>
  </si>
  <si>
    <t>RT @anjares90: Sabar bang @permadiaktivis sabar. Klo gw di fitnah di katain apa aja gw gk marah. Tpi klo gw dkatain sebagai kadrun n sebagai kaum takfiri isis baru gw marah.</t>
  </si>
  <si>
    <t>@kh_alim Bisa jadi Lim. Soalnya belum pernah baca usaha pemerintah untuk antisipasi pandemik ini kecuali tentang karantina WNI di Natuna.</t>
  </si>
  <si>
    <t>@WartawanPensiun HRS ITU ,TUNJUKAN BHW PMRINTAH PEDULI ANAK2 ISIS,KASI CONTOH NYATA,SEMUA PEJABAT2/ISTANA,TAMPUNG/ANGKAT/ASUH SMUA MREKA !</t>
  </si>
  <si>
    <t>@P3nj3l4j4h_id @jokowi @Chilli_Pari ISIS Anti PKI lho mungkin di Negara Pancasila ini 😔😔😔</t>
  </si>
  <si>
    <t>RT @kitsiangfreddy: @wahhabicc_jabar @jokowi @KemensetnegRI @mohmahfudmd Maaf, pak @jokowi @mohmahfudmd masih banyak banget anak2 di Indonesia YG TERLANTAR..tolong mereka di beresin dulu baru minta kepada kami MASYARAKAT utk terima anak2 EX WNI anggt ISIS!!!!</t>
  </si>
  <si>
    <t>@hariyanto @arandfird @albertsamuel28 @auliakbarh Persis sama kaya kasus ISIS. Pada sibuk pulangin anak2 ISIS, tapi nggak mikirin trauma para korban. Entah otak pemerintah Indonesia ke mana</t>
  </si>
  <si>
    <t>Adanya islam syiah, sunni, wahabbi, zionis, lahirnya hezbulloh, ikhwanul muslimin sampai ISIS, kode geopolitik pernegara di kawasan Timur Tengah saat ini. Semua tidak terlepas dari sejarah baik atau kelamnya serta pemikiran politik timur tengah.</t>
  </si>
  <si>
    <t>Polri Bantu Jaga Pengamanan Kepulangan WNI di Pulau Sebaru. #BersamaCegahCorona</t>
  </si>
  <si>
    <t>@wisanggeni_084 @adtaufiq @KPAI_official @mohmahfudmd @jokowi Karena KPAI ...merupakan cabang ISIS di Indonesia....pahamkan</t>
  </si>
  <si>
    <t>@CNNIndonesia Umat Islam ibarat satu tubuh. Satu anggota tubuhnya tersakiti seluruhnya akan merasakan sakit. Byk video beredar dr sesama muslim di sana. Dan kami dilarang bereaksi. India tidak faham bahwa umat Islam di seluruh dunialah yang bereaksi. Bukan hanya WNI.</t>
  </si>
  <si>
    <t>@wahhabicc_jabar @asnug_id @jokowi @KemensetnegRI @mohmahfudmd Kalau benar dipulangkan, berikan sebagian sama @fadlizon dan @MardaniAliSera untuk dirawat. Krn mereka yang ngotot minta pulangkan warga ISIS eks Indonesia!</t>
  </si>
  <si>
    <t>@setkabgoid @jokowi suram betul jadi WNI. anak teroris saja diurusin negara sementara WNI yg taat ga diurusin.</t>
  </si>
  <si>
    <t>@yusuf_dumdum Pemerintah diam trs,ISIS yg sbnrnya ada di indoneia ya HTI shrnya @DivHumas_Polri menggebuknya</t>
  </si>
  <si>
    <t>Aku harap 1. Semua MPs ada kes di mahkamah tidak dilantik jadi menteri kabinet 2. Plan ekonomi jangka pendek harus di bentangkan 3. Tiada toleransi kes keganasan baik LTTE, ISIS etc 4. Tiada lagi investment yg tidak sabar, fast money 5. Kestabilan semua bangsa, hormat bumi</t>
  </si>
  <si>
    <t>RT @Donal_golan: @Theking3231Juan Sekali lagi catat ya. Bedakan yg didalam negri dgn WNI yg diluar negeri. Jika ditemukan ada yg terinfeksi virus Corona didalam negeri, baik itu turis ataupun warga setempat, artinya bahwa virus Corona sudah masuk ke Indonesia. Itu yg dipertanyakan @WHO terhadap pemerintah. 😆</t>
  </si>
  <si>
    <t>wni main tiktok padahal sakit sama aja kayak temen sakit tapi dijulidin karena update story diinfus padahalkan "yo mbok ben" ya, dia sakit nggak mati 💤</t>
  </si>
  <si>
    <t>@Julia_Zeed Istana tidak tahu atau tidak mau tahu bahwa mayoritas rakyat Indonesia kecuali ormas radikal dan sejenisnya tidak mau menerima kepulangan anak2 ISIS ? @jokowi</t>
  </si>
  <si>
    <t>@Dickusnadi1 dr pada bantu Eks ISIS mending anggaran Negara diperuntukan untuk orang2 miskin di Bangsa ini.</t>
  </si>
  <si>
    <t>RT @alfiliaazani: Tinggal nunggu akun julid dengan teori satanis, dajjal, Yakyuj Makyuj, iluminati, PKI, Sunda Empire, ISIS dan segala bentuk teori cekcoklogi yg ada. Hey Army tetap fokus.. Tahan tahan kalau ada yg nyenggol. Jangan kebawa es mochi, apa lagi mv kali ini byk mirip pilem2..</t>
  </si>
  <si>
    <t>Hati gembira adalah obat</t>
  </si>
  <si>
    <t>@kompascom Trus gimana ngawasinnya bambang... mana kita tau mana anak2 yg ex Isis.. identitasnya aja ga dikasih tau kok disuruh ngawasin..</t>
  </si>
  <si>
    <t>RT @__SisiLusipara: Katanya Aman .. Hloo Koq? 🤔 . Dilarang Masuk Arab Saudi, Rezim Jokowi Bohong WNI tak Terkena Virus Corona  #RezimJKWPembohong</t>
  </si>
  <si>
    <t>Pemantau Hak Asasi Manusia Suriah, Syrian Observatory for Human Rights, SOHR yg dekat dengan pemberontak Suriah, Jumat (28/2) mengklaim tentara Turki yang tewas di Idlib mencapai 34 orang. #ham #turki #suriah #sohr #aleppo #idlib #damaskus #teroris #isis</t>
  </si>
  <si>
    <t>@oka_Lestarii Biasalah WNI</t>
  </si>
  <si>
    <t>RT @geloraco: Pigai: Bukan Salah Saudi Tolak Umrah WNI, Tapi Dunia Internasional Ragu Pemimpin RI Suka Bohong</t>
  </si>
  <si>
    <t>RT @DivHumas_Polri: Surat Izin Mengemudi (SIM) Internasional Online resmi launching di kantor Korlantas Polri, Jumat (28/2/2020) SIM Internasional adalah dokumen legal yang wajib dimiliki oleh WNI maupun wisatawan mancanegara yang hendak mengemudi di luar negeri</t>
  </si>
  <si>
    <t>@Amartya_13 @PTI_News Kyu gand m mirchi lagi jihadi ??? Teri gand m danda diya jayega Tum isis walo ka loda chuso Tum lodu ghazwa-e-hind k liye lad rahe ho</t>
  </si>
  <si>
    <t>Staf Komando Armada Laut Rusia, Jumat (28/2/2020) pagi mengabarkan pengiriman dua kapal perang negara ini ke pesisir pantai Suriah. #rusia #turki #suriah #idlib #aleppo #teroros #daesh #isis</t>
  </si>
  <si>
    <t>@rykarlsen @zameckis93 @YorisLFC @bobyandika @LHafiyani Okelah my bad.. Yg di kapal doang. Jadi gini, mgkn aja kita yg disini kalau di scan satu2 ada yg positif juga. tp kan gejalanya cuma pilek, sakit kepala, demam. lah umumnya org kan pada minum obat aja. rata2 ga ada yg ke dokter. Yg gw maksud tu WNI yg meninggal belum ada dmn2.</t>
  </si>
  <si>
    <t>RT @Lucky_HS: Profesi yg jarang ditemuin.</t>
  </si>
  <si>
    <t>Nasib WNI tertinggal di Wuhan "Saat pesawat take off...saya pikir Ada staf KBRI yang jemput ternyata tidak.</t>
  </si>
  <si>
    <t>RT @BakarSmith: Fitnah Keji Khalid Basalamah tentang Syiah. [masih percaya fitnah wahabi s’perti ini? Go ahead...!]</t>
  </si>
  <si>
    <t>𝗠𝗘𝗠𝗕𝗔𝗦𝗠𝗜 𝗜𝗡𝗗𝗨𝗞𝗡𝗬𝗔 TP 𝗠𝗘𝗥𝗔𝗪𝗔𝗧 𝗕𝗜𝗕𝗜𝗧𝗡𝗬𝗔? Apa negara yakin punya obat ampuh atasi teror pasca anak2 eks ISIS dibawa pulang? Apa manusiawi jika ibunya tdk ikut dipulangkan? HAM membuat kita shrs nya lbh paHAM bhw kerap lbh baik mencegah drpd mengobati</t>
  </si>
  <si>
    <t>RT @samhudibae: Saya bersyukur hari ini Karena dpt berita bahwa DPRD DKI Jakarta telah membentuk pansus ( panitia khusus ) yg akan lakukan penyelidikan soal banjir Jakarta Ketua Dewan Perwakilan Rakyat Daerah (DPRD) DKI Jakarta, Prasetio Edi Marsudi, telah #1001AlasanGabener</t>
  </si>
  <si>
    <t>RT @WagimanDeep__: Mo'on ijinken pak anis bekerja ea pemirsa, selama 2th menjabat bliyow blom bekerja kerna blom klean ijinkan Klo bliyow sudah bekerja jangankan cumak banjir jakarta, laut pun bisya mengeringkan dirinya sdr dgn pendekatan eang persuasip dan diajak komunikasi #1001AlasanGabener</t>
  </si>
  <si>
    <t>RT @CastilloJoshima: Coba deh liat ini Pak @mohmahfudmd bocah ini2 mengibarkan bendera ditengah banjir spt ini?apa ada penghargaan untuk mrk?ah iya bapak terlalu cinta ke anak2 Eks ISIS sampai sudah menyiapkan tempat tinggal khusus untuk mereka miris bgt 😢😢</t>
  </si>
  <si>
    <t>@hendralm Kemudia corona enggan hinggap lagi pada tubuh WNI 😭😭😭</t>
  </si>
  <si>
    <t>RT @GunRomli: Jakarta Banjir Berjilid-jilid karena Pilih Gubernur Sembarangan. @aniesbaswedan Produk Politik SARA: politisasi ayat &amp; mayat. Banjir Jakarta bukan hanya karena buang sampah sembarangan, tapi karena pilih GUBERNUR SEMBARANGAN. #BanjirJakarta #banjir2020 #GubernurTerbodoh</t>
  </si>
  <si>
    <t>RT @kompascom: Duta Besar Indonesia untuk Korea Selatan, Umar Hadi mengatakan, seluruh WNI di Korsel dalam keadaan sehat dan aman.</t>
  </si>
  <si>
    <t>Anak pengungsi Timtim masih terlunta di panti asuhan, Anak TKI kesulitan akses pendidikan, Anak2 syiah Sampang 6 tahun masih jadi pengungsi, Anak2 ahmadiyah di Lombok masih butuh pendampingan, Mereka semua cinta NKRI. Yg harus kita terima..?!! Anak ISIS</t>
  </si>
  <si>
    <t>RT @jr_kw19: Ini baru keren ! @ganjarpranowo : yg tidak setuju Pancasila UUD45 dan NKRI boleh mengundurkan diri dari kepala Sekolah kita tunggu kepala daerah yg lain yg punya ketegasan seperti beliau</t>
  </si>
  <si>
    <t>@kbrikualalumpur saya sudah memberikan laporan di peduli wni sejak januari 30, sampai saat ini belum ada perkembangan sama sekali.</t>
  </si>
  <si>
    <t>Kok jadi gini Pak @jokowi ? Banyak video2 yg menceritakan bgmn mrk mencuci otak anak2 tsb sejak belia, bahkan ada cerita mrk hrs membunuh orgtuanya sendiri sbg tugas awal. Msh banyak anak2 Indonesia yg lbh layak diperhatikan khususnya yg ada didlm negri.</t>
  </si>
  <si>
    <t>RT @FC201173: Ternyata u mendapatkan perhatian dari pemerintah harus jd anggota ISIS dulu ya???. @jokowi @mohmahfudmd @KPAI_official</t>
  </si>
  <si>
    <t>@DamailahRI Mudah2an ga ada lg lah wni masuk isis</t>
  </si>
  <si>
    <t>RT @danimaksudi1: bisa di bayangkan ketika para Anak-anak WNI eks akan terjadi lagi tragedi bom dan teror terhadap negara. tolong pak @jokowi di pertimbangkan lagi</t>
  </si>
  <si>
    <t>WNI di kota Milan, Italia, kesulitan mendapatkan masker dan pembersih untuk mencegah virus corona. Kepanikan membua</t>
  </si>
  <si>
    <t>Pemerintah mulai observasi 188 WNI asal kapal Dream World</t>
  </si>
  <si>
    <t>@peachychy_ @rlthingy Iya bener. Kaya pemerintah juga gercep bgt kan kmrn ngambil wni yg ada di wuhan dan di luar. Tp kaya kemarin ada bbrp yg mungkin kena, contoh yg di semarang. Itu jd nya gmn deh? Katanya flu burung kan, tp juga ada berita yg bilang kalau itu covid-19. Nah -</t>
  </si>
  <si>
    <t>Wey maksud gue WNI disana bukan yng tinggal disini atuhlah. ._.</t>
  </si>
  <si>
    <t>Ternyata u mendapatkan perhatian dari pemerintah harus jd anggota ISIS dulu ya???. @jokowi @mohmahfudmd @KPAI_official RT @wisanggeni_084: Anak² ini tidak seberuntung anak² dari Eks WNI jihadis ISIS yg dapat perhatian dari pemerintah... Mereka tidak dapat perhatian dari @KPAI_official dan Pemerintah, tetapi mereka sdh tunjukan betapa mereka mencintai negara ini. Cc: @mohmahfudmd @jokowi</t>
  </si>
  <si>
    <t>@tubirfess ADA NDER, DI INDONESIA TAHUN 98 TEPATNYA. MEMPERKOSA JUGA, SAMA PERSIS KAYA ISIS NGEWE NYA KENCENG</t>
  </si>
  <si>
    <t>Sebelum Dirawat, WNI Terpapar Corona, Ternyata Sering Naik Taksi, Bus, dan Kereta  #BeritaIslam #eramuslim</t>
  </si>
  <si>
    <t>peak indonesian behavior | Tertular Corona, WNI malah Main Tik tok di Ruang Isolasi</t>
  </si>
  <si>
    <t>Di luar dari ‘kesalahan’ si pasien karena mengungkapkan lokasi dia dirawat, sebagai orang yang pernah diisolasi selama 9 minggu, aku sangat paham stresnya dan memaklumi usaha mbaknya dalam menjaga kewarasan. Semangat sembuh ya, mbak~ 💪</t>
  </si>
  <si>
    <t>RT @yusuf_dumdum: Liputan ekslusif Majalah Tempo dari kamp pengungsian ISIS di Suriah. Mereka berharap pemerintah Indonesia mau mengambil utk pulang, dan mendapat jaminan. Setujukah Anda? Jika tdk setuju, bantu RT dan beri komentar alasannya supaya pemerintah tdk terbujuk rayuan ISIS biadab!</t>
  </si>
  <si>
    <t>Dilarang Masuk Arab Saudi, Rezim Jokowi Bohong WNI tak Terkena Virus Corona</t>
  </si>
  <si>
    <t>68 WNI DARI KAPAL DIAMOND PRINCESS JUGA AKAN DIOBSERVASI DI PULAU SEBARU #TauCepatTanpaBatas</t>
  </si>
  <si>
    <t>RT @penerbitimania: @Kazhim [segera terbit] Jenderal Qasem Sulaymani Jalan Cinta Sang Penumpas ISIS | Penulis @Kazhim @irmanabd cc @Haidar_Bagir</t>
  </si>
  <si>
    <t>KBRI Seoul: Pemerintah Terus Berupaya Tingkatkan Perlindungan WNI di Korsel</t>
  </si>
  <si>
    <t>@kodobong @kaiwrey @kedelaipilihan_ @pinokinchan @DumaySyuhada @93715192kL_Bg33 Taliban, al-qaeda,isis juga "memakai" nama islam tuh, hindu ada banyak didunia sih. Jadi argumen nya udah malah makan tuan wkwkwkwkwk</t>
  </si>
  <si>
    <t>@tush_arrr @ROHITURR @VerySorrykar2 @abhijeet_dipke All agar koi ISIS was aayega to bolega.. Alhamdulillah.. Baki sab taqiya hai inke liye..</t>
  </si>
  <si>
    <t>Tolak eks isis. Apapun bentuknya. RT @wahhabicc_jabar: Istana Minta Masyarakat Terima Kepulangan Anak-anak WNI Eks ISIS ------ Kami adalah bagian dari masyarakat yang tidak sepakat pd negara yg memulangkan anak² ISIS. Yang sepakat dengan kami, silahkan 🔁 RT @jokowi @KemensetnegRI @mohmahfudmd</t>
  </si>
  <si>
    <t>RT @Toperendusara1: Apasih ini apaaa... kok @AlissaWahid jadi ngawur begini ya gak mencerminkan gusdurian Republik ini didirikan bukan untuk melindungi minoritas tidak juga untuk melindungi mayoritas. Republik ini melindungi seluruh WNI... hadeeeeh :p dapse'</t>
  </si>
  <si>
    <t>@Mentimoen Covid-19 tidak bisa masuk ke Indonesia karena beberapa sebab : Izinnya terlalu lama bisa jadi Covid-24, banjir, macet, dan takut sama virus kadrun yang mau pulangkan anak-anak ISIS yang terlatih bawa panci presto dan ransel isi C-4</t>
  </si>
  <si>
    <t>Negara berhak tangkal kepulangan ISIS #tolakISIS</t>
  </si>
  <si>
    <t>Pigai: Bukan Salah Saudi Tolak Umrah WNI, Tapi Ragu Pemimpin RI Suka Bohong</t>
  </si>
  <si>
    <t>Masih banyak anak terlantar di sini pak. Pada ngamen sama ngemis di perempatan tuh putus sekolah jg. Mbok tolong, gunakan pajak yang kami bayar untuk hal² yang lebih mutu dan masuk akal..</t>
  </si>
  <si>
    <t>@ohmybeautybank Maaf ak tim sandal. Isis bgt woy pake sandal</t>
  </si>
  <si>
    <t>@null Tim Evakuasi WNI Awak Princess Diamond Tiba di Jepang Tim gabungan pusat dan KBR</t>
  </si>
  <si>
    <t>RT @KienAnd_: Pun berapa kali kelompok ekstrimis islam di india yang berafiliasi dengan ISIS dan Alqaedah, melakukan serangan diberbagai kota di india yang menargetkan fasilitas umum dan warga sipil.</t>
  </si>
  <si>
    <t>Ogah! Masih banyak anak anak Indonesia dibawah 10 tahun yg amat sangat - sangat membutuhkan perhatian pemerintah!!</t>
  </si>
  <si>
    <t>RT @KienAnd_: Seringkali kelompok minoritas terutama Hindu dan Kristen di Pakistan, Afghanistan dan Bangladesh, menjadi sasaran pemboman kelompok ekstrimis seperti Al- Qaedah, ISIS yang menargetkan kuil hindu dan gereja.</t>
  </si>
  <si>
    <t>RT @Narasiku1: Pak @jokowi .. Jangan mengorbankan 260 jt+ jiwa demi simpatisan ISIS eks WNI itu! Mereka itu sebenarnya sedang terjepit!! Kata 'penyesalan' itu hanya satu alasan supaya mereka bisa pulang ke negara ini dan bebas mengebom semuanya yang dianggap kafir!!</t>
  </si>
  <si>
    <t>RT @KelianBanjar_GK: @wisanggeni_084 @KPAI_official @mohmahfudmd @jokowi Pengen tanya sama @jokowi dan @mohmahfudmd apa sih pertimbangan memulangkan anak” eks WNI sedangkan masuh panyak PR pemerintah mengatasi masalah Anak”di dalam negeri ?</t>
  </si>
  <si>
    <t>@SanatanKnowled1 Bhai you forgot ISIS in India in Kerala and Hyderabad</t>
  </si>
  <si>
    <t>RT @K_Ompu: @wisanggeni_084 Terima kasih Pak @jokowi 🙏 terima kasih Pak @mohmahfudmd 🙏 Biarkan anak2 ISIS memilih, ada 273juta Rakyat Indonesia yang bisa dijadikan korban teror.</t>
  </si>
  <si>
    <t>RT @__SisiLusipara: Bukan Salah Saudi Tolak Umrah WNI, Pigai: Karena Pemerintah Berbohong  . #RezimJKWPembohong #RezimJKWPembohong</t>
  </si>
  <si>
    <t>RT @sakitotak3: Pak @jokowi, kali ini saya tak ingin bersependapat dengan Bapak dalam hal menerima anak2 ISIS. Dan mohon maaf, koreksi Pak: mereka bukan WNI.. #TolakISISmasukINA #TolakISISmasukINA</t>
  </si>
  <si>
    <t>RT @Iron_Dizan: @sakitotak3 @wisanggeni_084 @jokowi Dasarnya apa kalau mereka dianggap WNI? Sementara dgn bangganya passpor mereka dibakar?! Fix mereka bukan WNI jd mereka tdk punya hak dioerlakukan sbg WNI! Biarkan anak2 itu bersama orang2 tua mereka disana! Itu konsekwensi yg harus mereka jalani sendiri atas pilihan hidupnya!</t>
  </si>
  <si>
    <t>RT @algifari_winer: Apa gak sekalian pindahin z markas ISIS ke indonesia ? Tanggung amat pak @jokowi @mohmahfudmd Ngotot amat bawa mereka kembali! 😡😡😡😡😡😡😡😡😡😡😡😡😡</t>
  </si>
  <si>
    <t>Kenapa pemerintah jadi mau memulangkan anak2 ISIS?? Wah ini aneh sih.</t>
  </si>
  <si>
    <t>@DukeCondet @jokowi Giliran muslim senggol umat lain langsung istana rame RADIKALIS, INTOLERAN, JARINGAN ISIS, KILAPAH, UPAYA ISLAMISASI INDO, TAIK KOTOK. 😂</t>
  </si>
  <si>
    <t>RT @EL_Atheos: @kompascom Bagaimana kalau 1 pejabat menanggung 5 anak ISIS...? Sekalian kalau mereka sudah diajarkan bunuh orang tua, biar dirasakan.</t>
  </si>
  <si>
    <t>Ini orang pendukung ISIS berhalusinasi menghidupkan kembali Dinasti Ottoman, tapi sampai sekarang masih menyembah Amerika dan Israel.</t>
  </si>
  <si>
    <t>@shinesaja 😲😲😲 Kok aku yg tanggung jawab? Yang balikin anak Isis kan Bapak ini 👉 @jokowi</t>
  </si>
  <si>
    <t>RT @gbagusss_: Sampe di indo, masuk sekolah, dibully karna ortunya ISIS, marah dendam , ingat dahulu pelatihan di camp ISIS cara merakit bom &amp; membunuh, 17 tahun kemudian. . . . . . . DDDUUAAARRR !!!!!!!</t>
  </si>
  <si>
    <t>Panglima TNI Tinjau Kesiapan Lokasi Evakuasi dan Karantina WNI</t>
  </si>
  <si>
    <t>RT @SitomulyaID: Pak @jokowi @Kiyai_MarufAmin @mohmahfudmd Pernahkah melihat anak macan yg sudah terbiasa melihat induknya menerkam dan mencabik-cabik mangsanya ? Dan apa kepentingan paling mendesak sehingga anak-anak eks WNI Kombatan ISIS teroris itu harus dikembalikan ke Indonesia ?</t>
  </si>
  <si>
    <t>RT @AkuNdpp: @penyejuk_hati_ Ada gitu orang goblok kebangetan, daripada nulis Indon icaaaa kaleeee nulis Indonesia. Terlalu panjang? Pake Indo/INA/WNI Hadeh, tolong cc kan ke orang yg nulis indan indon itu, trims 👌</t>
  </si>
  <si>
    <t>y drpd jalan jalan keluar lai secara ga langsung nyebarin virus???????</t>
  </si>
  <si>
    <t>@mbakdaraayu @annainggi @ustadtengkuzul Iya mbak kelihatan dari epngakuan pemerintah dan berita tentang kepulangan nya ks wni isis sdh merebak. Ccn jg membuat isu uighur dan beberapa media aust jg menyebar itu agar muslim tersulut emosi jd mereka bisa menguasai lg dan cina kalah</t>
  </si>
  <si>
    <t>@hendralm @kittensbud Ini udah fix wni kena berarti ya, kudu was-was nih</t>
  </si>
  <si>
    <t>RT @kompascom: Staf Khusus Presiden Diaz Hendropriyono menghimbau masyarakat untuk turut mempersiapkan diri menerima kepulangan anak-anak WNI eks ISIS</t>
  </si>
  <si>
    <t>@kompascom klo WNI dr Wuhan dipulangkan ke indonesia harus di observasi selama 2 minggu di Natuna... so anak2 ISIS itu juga hrs dikarantina dulu klo perlu di pulau kosong selama 5 tahun 😡</t>
  </si>
  <si>
    <t>RT @elasbuch: Ok, Saya akan mulai sedikit membahas tentang White Helmet False Flag(Propaganda) ISIS, Hayat Tahrir Sham, Al-Qaeda Arabia Penisula, Syrian Free Army, Dan barisan Teroris lainnya di Syria melawan Pemerintah Bashar al-Assad.</t>
  </si>
  <si>
    <t>68 WNI Kru Diamond Princess Bakal Diobservasi di Pulau Sebaru</t>
  </si>
  <si>
    <t>RT @FarelmaxL: @TaliUdeng @Kemenag_RI @mohmahfudmd @jokowi 😂😂😂 Ini pak Mentri @mohmahfudmd masih ada yang belom merdeka di tanah air KANDUNGNYA sendiri. GK perlu repot ngurusi anak anak ISIS!!!! ISIS tuh biadab. Coba yang seperti ini di benahi dulu. @Kemenag_RI @KemensosRI</t>
  </si>
  <si>
    <t>@eizanfolks @Harimauterakhi2 Org Inggris pintar anak2 virus ISIS ngga bakalan bisa pulang.</t>
  </si>
  <si>
    <t>RT @StellaSuwardi: Apapun topiknya ISIS itu identik dgn kekerasan. Lihat deh TL2 yg lg ngomongin ISIS, ada nggak yg peaceful? None of them! Itu baru TL, gmn kalau mrk tiba2 dtg ke dunia nyata kita? Dukung pak @jokowi menolak eks WNI pro ISIS ini kembali!</t>
  </si>
  <si>
    <t>KRI Soeharso yang membawa 188 WNI dari ABK kapal World Dream tiba di pulau Sebaru Jumat siang untuk menjalani observasi. Observasi dilakukan untuk memastikan mereka tidak terpapar virus corona berdasar protokol kesehatan WHO. #tvOneNews #ObservasiWNI</t>
  </si>
  <si>
    <t>@annainggi @tap_mz @ustadtengkuzul Cina menang perang dagang dari amerika makanya dgn berbagai cara amerika dan sekutu termasuk inggris,australi menyebarkan isu ini melalui media yg mereka bikin.lihat inggris melalui bbc membujuk indonesia untuk menerima eks wni isis.padahal belum ada utusan indonesia bicara itu</t>
  </si>
  <si>
    <t>RT @rmol_id: Tim Evakuasi Mendarat Di Jepang, Rapatkan Penjemputan 68 WNI Yang Ada di Kapal Diamond Princess #diamondprincess #RepublikMerdeka</t>
  </si>
  <si>
    <t>@P3nj3l4j4h_id @jokowi @Chilli_Pari Mgkn niatnya baik krn anak2, tp ga boleh dimasyarakat dlu minimal di karantina min 5 tahun pondok pesantren NU supaya otaknya hasil doktrinisasi isis bisa dipulihkan, dan tentu harus di awasi ketat jgn ni anak kena doktrin ustad/ormas radikal anti pancasila salah2 makin gakaruan</t>
  </si>
  <si>
    <t>RT @Julia_Zeed: Pemerintah Indonesia pa gk kasihan Memisahkan Anak2 ISIS dg Orang Tuanya yg berprofesi Sampah Peradaban? ☹️</t>
  </si>
  <si>
    <t>RT @jenk_kelinn: Tidak ada tempat bagi penghianat bangsa dinegeri ini. Walau dia anak2 sekalipun. !!! Buat apa dipulangkan ? Ingin memelihara Bom Waktu?! Anak2 Eks WNI Pro ISIS. "Anak2" yang dipelihara oleh negara ?? Jangan abai dgn suara penolakan rakyat. 😠 *muak</t>
  </si>
  <si>
    <t>Itu yg katanya pasien indo yg diduga kena corona kan itu mereka dari china kan ya, berarti mereka termasuk wni dijemput sama pemerintah? Dan itu tuh beneran positif atau engga? Hm... curiga sama media</t>
  </si>
  <si>
    <t>RT @wahhabicc_jabar: Barusan Baca 2 Berita yg seolah Gak Bisa Dipercaya! 1. Pemerintah telah menyiapkan segala keperluan untuk memulangkan anak² eks ISIS sampai disiapkan perumahan khusus! SEMENTARA.... 2. Anak yg di dalam negeri KELAPARAN sampai terpaksa MAKAN SABUN sampai SAKIT!</t>
  </si>
  <si>
    <t>Pak @jokowi @Kiyai_MarufAmin @mohmahfudmd Pernahkah melihat anak macan yg sudah terbiasa melihat induknya menerkam dan mencabik-cabik mangsanya ? Dan apa kepentingan paling mendesak sehingga anak-anak eks WNI Kombatan ISIS teroris itu harus dikembalikan ke Indonesia ? RT @__MV_llestari__: MENJEMPUT TERORIS PULANG . . . Sempat kaget bercampur heran ketika seorang anak laki-laki berumur sekitar 8-9 tahunan menghampiriku dan menyodorkan tangannya dan kemudian meminta uang layaknya pengemis. Ini di Belanda pikirku.</t>
  </si>
  <si>
    <t>RT @Anditeman_: @wahhabicc_jabar @miqa0912 @jokowi @KemensetnegRI @mohmahfudmd Masyarakat sdh gaduh dgn faham2 radikal dsni, skrg mau di tambahin? Apa jadinya anak2 ISIS belajar ngaji sama pendakwah2 ekstrim, KO lah penjaga2 NKRI</t>
  </si>
  <si>
    <t>Tim Evakuasi Mendarat Di Jepang, Rapatkan Penjemputan 68 WNI Yang Ada di Kapal Diamond Princess</t>
  </si>
  <si>
    <t>RT @IngNa70: “Akibat nihilnya bantuan dari pemerintah, para penyintas harus saling bantu satu sama lain” Tuan2 Mulia ⁦@jokowi⁩ ⁦@mohmahfudmd⁩ ,saya harap tuan2 berani menjawab mereka. Jangan cuma berani memakai uang pajak mereka utk bawa pulang anak2 ISIS.</t>
  </si>
  <si>
    <t>Tim Evakuasi Mendarat Di Jepang, Rapatkan Penjemputan 68 WNI Yang Ada di Kapal Diamond Princess #diamondprincess #RepublikMerdeka</t>
  </si>
  <si>
    <t>Pulau kecil di Kepulauan Seribu dipilih menjadi lokasi observasi 188 WNI ABK kapal World Dream. Sejumlah fasilitas disiapkan mulai dari tempat tinggal, wifi, hingga fasilitas kesehatan. DUL . #Wuhan #China #Korona #Coronavirus #WorldDream #Observasi #iNewsPagi #iNews</t>
  </si>
  <si>
    <t>Jadi ya pas bgtsih 188 WNI Anak Buah Kapal di evakuasi di Pulau Sebaru ini, ya karena fasilitasnya lengkap. #PulauSebaru</t>
  </si>
  <si>
    <t>@kompascom Bagaimana kalau 1 pejabat menanggung 5 anak ISIS...? Sekalian kalau mereka sudah diajarkan bunuh orang tua, biar dirasakan. RT @kompascom: Staf Khusus Presiden Diaz Hendropriyono menghimbau masyarakat untuk turut mempersiapkan diri menerima kepulangan anak-anak WNI eks ISIS</t>
  </si>
  <si>
    <t>KJRI Istanbul Fasilitasi Pemulangan 154 WNI Jemaah Umrah</t>
  </si>
  <si>
    <t>Pajak ttp hrs bayar, walaupun Indonesia saat ini berjalan "sangat menakjubkan", krn dgn membayar pajak itulah kita punya hak mempertanyakan "takjubnya" Ind periode 2 Pa Jkw. Contoh takjubnya, anak2 ISIS ex WNI akan diurus, sementara anak2 korban teroris tdk diperhatikan negara RT @RangCebol: Nah</t>
  </si>
  <si>
    <t>@PakatDayak @jokowi Hanya menunggu waktu menuju negeri ini porak poranda jika anak" isis itu di bawa pulang. Pak @jokowi jutaan anak" di negeri ini yg perlu perhatian dr pemerintah.</t>
  </si>
  <si>
    <t>@trisenka @ustadtengkuzul terus isis apaan bro dokter ?</t>
  </si>
  <si>
    <t>@alaszer @cocoulate @tegrexxx @esranataliaa @Highwind5 @KulitKacangRasa @anekwoodpecker @dimsumon @JOJOrowokan @putriyaka @kachanbin @encilokkk @guloireng @dobongdong_ @nayliya @anothermarr @squirreeelll @Jnami23 @howsgal @kutkukut @haykal_nda @itsanothermeh @motif_al @Aliencntk @wahyuarfany @firdauspakar @wlndr_m_u @riichlona @Flo_rify @zulfavaradisa @rdian2408 @CiLr14 @sascrassia @tehracik28 @jenniesurabaya @BukanKucingOren @dilardafa @bbygreyy @panggilajayul @riestoadi @GrahaRaya_ @milsatdang @asumsico prioritas utama saat ini, gimn tanggapan masyarakat mengenai kepulanga ISIS ex WNI, mau ga punya tetangga ISIS?</t>
  </si>
  <si>
    <t>Natalius Pigai: Bukan Salah Arab Saudi Tolak Umrah WNI, Tapi Dunia Internasional Ragu Pemimpin RI Suka Bohong - via @demokrasicoid</t>
  </si>
  <si>
    <t>mbok kiro WNI sing positif ning Jepang &amp; Singapura kui termasuk Meganthropus palaeojavanicus? RT @detikcom: Ahli kesehatan masyarakat menyebut Indonesia dianggap aman dari infeksi virus corona karena memiliki ras Melayu. Benarkah? #VirusCorona</t>
  </si>
  <si>
    <t>RT @FaGtng: Jujur saja , aku tak ngerti dgn anda pak Pressiden Kian hari kian melenceng dari yg bapak ucapkan saat kampanye. Ada apa ? Jangan minta masyarakat m'nerima Bom !!! Rakyat akan bersumpah serapah. *Elinglah @jokowi @kaesangp @Chilli_Pari @mohmahfudmd</t>
  </si>
  <si>
    <t>Corona, Menlu Retno Minta Seluruh WNI Umrah di Turki Dipulangkan  @Kemlu_RI</t>
  </si>
  <si>
    <t>RT @TeWeL7: @SaputraBerman @wahhabicc_jabar @jokowi @KemensetnegRI @mohmahfudmd Saya ndak setuju tetep,gak ada yg berani jamin keamanan mereka dan dampaknya. Apalagi dipelihara negara, mending negara pelihara anak2 lain yg masih banyak membutuhkan pertolongan kita di negeri ini. Eks ISIS bukan asli anak2 lagi, intinya tetap penghianat!</t>
  </si>
  <si>
    <t>RT @Cep87454000: @wisanggeni_084 Lapornya ke HAM sama KPAI,ada Anak-Anak Korban Hak,Menjalankan ibadah Ayah-Ibunya susah.khan HAM dan KPAI kalau ngomongin Anak2 pasti tereyuh Hatinya.contohnya Anak2 ISIS perduli ? Masa Anak2 yg mau menjalakan IBADAH seperti Ayah-Ibu nya,dipersulit ?</t>
  </si>
  <si>
    <t>RT @Hangudi_L: Ada vid reporter skynews, Marc Stones wwcr di penampungan ex ISIS, seorang bocah ktika ditanya nama malah menjawab "Bertobat, atau aku nanti menyembelihmu". Jawaban emak2pun penuh nafsu membunuh. Hmm...bocah2 kesetanan ini yg mo dipulangkan ??</t>
  </si>
  <si>
    <t>@mohmahfudmd Beneran ni anak2 warga isis ex Indonesia dipulangkan?saya cm mau blg,ketika keputusan ini menyebabkan terjadinya lagi terorisme dr mereka ini,darah yg tercurah itu krn anda...hehe</t>
  </si>
  <si>
    <t>Sedihnya Omed ditinggal di Wuhan, ambyar sendirian. Dia menunggi dievakuasi oleh pemerintah Indonesia setelah gagal dievakuasi bersama 245 WNI pada awal Februari lalu.</t>
  </si>
  <si>
    <t>@Novelis11 @wahhabicc_jabar @jokowi @KemensetnegRI @mohmahfudmd @KompasTV Faktor kepentingan dalam kasus anak anak ISIS ini sangat telanjang. Mustahil mereka ngotot kalau hanya mempertimbangkan faktor kemanusiaan.</t>
  </si>
  <si>
    <t>@ikaicus @VIVAcoid Perjanjian apaan? Emang Suriah perang melawan Turki?? Tidak Kan. Suriah meredam pemberontak di negri sendiri, terdiri dari musuh politik Dan ISIS. Turki ngapain masuk ikut perang? Udh kalah habis Dana bnyak, skrg teriak2 ke PBB Dan Sok bicara India.</t>
  </si>
  <si>
    <t>@CNNIndonesia Tai siaaa... WNI muslim geus jd korban..ayeuna rek balikin fakta... Naraka bagian sia....</t>
  </si>
  <si>
    <t>@kompascom Kalo masalah kyk gini semua unjuk gigi, prnh dgr org indo (khususnya PKS) mengutuk teroris boko haram di nigeria yg ingin mendirikan negara islam? Jgn ngmng gak prnh dgr boko haram krn mrk adalah teroris yg sadis jauh sblm ada isis.</t>
  </si>
  <si>
    <t>@ABnugrohoo Banyak kok negara yg blm kena corona. Kenapa pula ga bikin penelitian di Indonesia ga ada virus corona. Suspek2 nya malah negatif. WNI di singapura yg positif malah dinyatakan sembuh... Piye toh?</t>
  </si>
  <si>
    <t>RT @KPUGate: Bukan Salah Saudi Tolak Umrah WNI, Pigai: Karena Pemerintah Berbohong</t>
  </si>
  <si>
    <t>@kompascom Ga ada temen isis aja anak indonesia bully nya udah bisa bikin temennya diamputasi. Gimana gaul sm yg pengalaman gini🥺</t>
  </si>
  <si>
    <t>RT @KBRITokyo: Tim Evakuasi WNI telah tiba di Jepang dan mengadakan rapat persiapan dengan KBRI Tokyo, 29 Feb 2020. 🇲🇨 The Evacuation team from Indonesia held a meeting with Embassy officials in Tokyo, 29 Feb 2020. Click on the image for more info. #NegaraMelindungi</t>
  </si>
  <si>
    <t>RT @TeWeL7: @kenhans03 @yazid_fadhlan Owh.. Jadi karna mereka satu bagian jadi merasa perlu membela keluarga besarnya yaah... 🙄 eks ISIS adalah sampah, yg gak layak didaur ulang sekalipun.. Sampe kapanpun.</t>
  </si>
  <si>
    <t>RT @kenhans03: @TeWeL7 @yazid_fadhlan yg jelas KHILAFUCK adalah bagian di ISIS.</t>
  </si>
  <si>
    <t>RT @TeWeL7: @yazid_fadhlan @kenhans03 Ini mo ngomongin amerika atau Indonesia, jelaskan saja alesanmu knp tetep ngotot mendukung eks ISIS balik lagi?</t>
  </si>
  <si>
    <t>RT @Rizky0220421439: Bukan anak isis tapi anak pulisi yg menjaga ketertiban dan keselamatan di jalan raya Jangan tertawa, mesem saja #polisiindonesia</t>
  </si>
  <si>
    <t>@detikcom Minoritas di negeri mu sendiri tidak kau perhatikan Islam di luar kamu sangat perhatikan Kamu menteri agama Islam khusus Islam sedunia atau bagaimana Emang ada WNI dsna yg kena korban Menag ini gila</t>
  </si>
  <si>
    <t>@yazid_fadhlan @kenhans03 Eks ISIS potensial jadi teroris ... ngerti gsj son?</t>
  </si>
  <si>
    <t>Menuju Bandara Tianhe Wuhan. Cerita Di Balik Evak #uasi WNI Wuhan.  #moreshareforum #beritaterkini</t>
  </si>
  <si>
    <t>@yazid_fadhlan @kangenband123 @denmas_ajah @kenhans03 @PolhukamRI @mohmahfudmd @jokowi @Kiyai_MarufAmin @LAPOR1708 Mereka ingin pulang itu karena mereka kalah telak di suriah. Gimana kalo eks ISIS berulah kembali merekrut orang2 indo?</t>
  </si>
  <si>
    <t>Jujur saja , aku tak ngerti dgn anda pak Pressiden Kian hari kian melenceng dari yg bapak ucapkan saat kampanye. Ada apa ? Jangan minta masyarakat m'nerima Bom !!! Rakyat akan bersumpah serapah. *Elinglah @jokowi @kaesangp @Chilli_Pari @mohmahfudmd</t>
  </si>
  <si>
    <t>Maafkan kami saudaraku para penyitas terorisme yg kurang mendapat perhatian dari pemerintah 😭😭😭😭  Sementara mereka lebih peduli terhadapa anak² eks WNI yg orang tuanya adalah jihadis ISIS !!!</t>
  </si>
  <si>
    <t>@LBLiok Anak korban bom teroris tuh yg diurus jgn sok2 an mau urus anak dr jebolan isis @mohmahfudmd mau nanya sdh bagaimana pemerintah menangani anak2 dan korban bom tsb?</t>
  </si>
  <si>
    <t>pemulangan ISIS ini harus dikaji panjang Pak @jokowi @mohmahfudmd kita sedang genting hadapi #VirusCorona dan masih banyak anak terlantar di dalam negeri yg harus diperhatikan @KemensosRI @BNPTRI #tolakEksWNIanggotaISIS @TheArieAir @ChusnulCh__ @fadjroeL @detikcom</t>
  </si>
  <si>
    <t>RT @musubhan78: @fahiraidris Dan uni itu WNI apa TKA?</t>
  </si>
  <si>
    <t>SK 2 Mentri disuruh maju sendiri ke MK. Anak2 ISIS disuruh legowo terima. Non Moslem beribadah serba sulit. Mentri agamanya cuma gerak kalo agamanya kesenggol. Presidennya cuma urusin bangun ini bangun itu. Salah pilih Gubernur ? Salah pilih Mentri ? Salah pilih Presiden ?</t>
  </si>
  <si>
    <t>Duta Besar Indonesia untuk Korea Selatan, Umar Hadi mengatakan, seluruh WNI di Korsel dalam keadaan sehat dan aman.</t>
  </si>
  <si>
    <t>RT @Qshareina: @fahiraidris Pantes mempersiapkan sebuah pulau buat karantina suspect corona,agak aneh sih klo 1 pulau disiapkan hanya utk karantina wni yg baru pulang dr kapal pesiar, yg diduga terpapar corona. Jangan2 klo tiba2 boom banyak korban udah gak bisa ditutup2in lagi akan dibawa ke pualau itu.</t>
  </si>
  <si>
    <t>Bukan anak isis tapi anak pulisi yg menjaga ketertiban dan keselamatan di jalan raya Jangan tertawa, mesem saja #polisiindonesia RT @HoofdbureauID: Terpantau gelombang estafet maupun tret tret tret #AwayDays masih sepi lancar terkendali Terlihat Pak Pulisi yg tugasnya mengayomi melakukan pengaturan arus lalu lintas #Liga1</t>
  </si>
  <si>
    <t>@Donal_golan @TirtoID Silahkan terjemahkan twittan anda sendiri.jelas anda mempertanyakan 2 WNI yg meninggal karna virus Corona berdasarkan link berita @TirtoID nyatanya judul dan isi tdk bisa di pertanggung jawabkan.lantas apa hbgan nya turis dgn WNI.</t>
  </si>
  <si>
    <t>RT @Hariannie3: @__MV_llestari__ Saya bacanya aja dah ngeri gmana kalo itu terjadi benar mereka di plgkan apa jdnya ibupertiwi @mohmahfudmd bapak tidak memikirkan km rakyat yg menderita fisi sini mlh mau di+mulangin eks isis eks wni @jokowi kecewa pak sy x ini</t>
  </si>
  <si>
    <t>RT @mamiagarislucu: @kenhans03 @elkrova @jokowi Somehow, he was best of the others. Mungkin tugas kita skrg ngingetin @jokowi dan @mohmahfudmd bahwa kami tdk menerima isis dan sgala keturunannya.</t>
  </si>
  <si>
    <t>@kenhans03 @elkrova @jokowi Somehow, he was best of the others. Mungkin tugas kita skrg ngingetin @jokowi dan @mohmahfudmd bahwa kami tdk menerima isis dan sgala keturunannya.</t>
  </si>
  <si>
    <t>Menko PMK Turun Langsung Pulau Sebaru Kecil, Pastikan Observasi WNI ABK World Dream Lancar -</t>
  </si>
  <si>
    <t>WNI yang positif virus korona Covid19 di kapal Diamond Princess dirawat dan tak dievakuasi, selengkapnya di</t>
  </si>
  <si>
    <t>lokasi yang aman untuk observasi 188 WNI anak buah kapal (ABK) World Dream. #PulauSebaru</t>
  </si>
  <si>
    <t>@KienAnd_ Ente @haikal_hassan yg gemar dgn teriakan &amp; provokasi berbau rasis utk adu domba sesama WNI</t>
  </si>
  <si>
    <t>@syafrinkar @IndianEmbJkt Disini corona ditutup2i Disono bantai uyghur media d batasi Disitu muslim dibantai bilang hoax k WNI. Kok sama2 mbohongi....</t>
  </si>
  <si>
    <t>RT @elkrova: latihan menembak anak-anak ISIS</t>
  </si>
  <si>
    <t>KBRI Riyadh Upayakan WNI Pemegang Visa Umrah Bisa Masuk Arab Saudi</t>
  </si>
  <si>
    <t>RT @DanielSentanu: WNI = Warga Negara India</t>
  </si>
  <si>
    <t>@yazid_fadhlan @TeWeL7 @kenhans03 Arcandra bukan teroris dan tdk mengibarkan kain hitam yg pake coretan huruf arab, isis jelas teroris</t>
  </si>
  <si>
    <t>@BeritaCOVID19 @Emimooy Atau pakai saja "WNI"..lebih singkat, netral dan tepat bila memang mau menyingkat. Jangan pakai "indon"</t>
  </si>
  <si>
    <t>@kompascom Katanya dulu ga mau terima ex isis, sekarang berubah lagi, koq ga punya pendirian ya? Mencla mencle.. Ga ada yg bisa dipercaya di negeri ini..</t>
  </si>
  <si>
    <t>@ephraym8 @jokowi @mohmahfudmd Iyaa bener mending yg udah bakar pasport gosah diurus masih banyak hal yg urgent mesti diurus negara...abaikan itu anak" ex WNI ISIS 😒😒😒</t>
  </si>
  <si>
    <t>RT @hoetbarbae: Indonesian.... istg...</t>
  </si>
  <si>
    <t>@wahhabicc_jabar @jokowi @KemensetnegRI @mohmahfudmd Saya yakin ini pengalihan isu... org2 bekas isis itu selalu pulang dgn bebasnya sejak dulu. Selalu ada kadrun2 yg bantu mrk pulang walau/dgn alasan paspor ilang.</t>
  </si>
  <si>
    <t>RT @DharmaEL1: @randualit apa gk sekalian suriah dibantai isis, jokowi dmn ???</t>
  </si>
  <si>
    <t>@wahhabicc_jabar @jokowi @KemensetnegRI @mohmahfudmd Muak liat pemerintah sekarang, alasan HAM, mang yg terjadi sekarang di Indonesia bukan masalah HAM. Masalah Gereja Katolik Karimun blom kelar, masalah pembullyan masih banyak pa itu bukan bagian dr HAM?? Apakah HAM hanya untuk ISIS??</t>
  </si>
  <si>
    <t>C'mion Indo..ini beneran g ada yg positif disini ato ada yg disembunyikan?? Trus WNI yg evakuasi cuman observasi 14 hari ato di tes negatif ato positif? Kok jadi ngeri ☹ RT @kumparan: Sebelumnya Selandia Baru mengonfirmasi kasus virus corona pertamanya. Pasien tersebut sempat transit di Bandara Ngurah Rai Bali. #kumparanNews.</t>
  </si>
  <si>
    <t>"Kalau saya pribadi sih menolak", kata Jokowi terkait rencana pemulangan kombatan ISIS asal Indonesia beberapa waktu lalu.</t>
  </si>
  <si>
    <t>RT @infoppkk: Salam sehat #sobatkriskes Kementerian kesehatan telah bersiap dalam rangka penjemputan WNI dari Yokohama yang nantinya akan menjalani program observasi COVID-19.</t>
  </si>
  <si>
    <t>With anak buah dua🤫🤪  RT @AngTanongKoSayo: "drop your crush photo*</t>
  </si>
  <si>
    <t>@SaputraBerman @wahhabicc_jabar @jokowi @KemensetnegRI @mohmahfudmd Saya ndak setuju tetep,gak ada yg berani jamin keamanan mereka dan dampaknya. Apalagi dipelihara negara, mending negara pelihara anak2 lain yg masih banyak membutuhkan pertolongan kita di negeri ini. Eks ISIS bukan asli anak2 lagi, intinya tetap penghianat!</t>
  </si>
  <si>
    <t>Tolak anak-anak Kombatan ISIS ! RT @wahhabicc_jabar: Istana Minta Masyarakat Terima Kepulangan Anak-anak WNI Eks ISIS ------ Kami adalah bagian dari masyarakat yang tidak sepakat pd negara yg memulangkan anak² ISIS. Yang sepakat dengan kami, silahkan 🔁 RT @jokowi @KemensetnegRI @mohmahfudmd</t>
  </si>
  <si>
    <t>@kangenband123 @denmas_ajah @kenhans03 @PolhukamRI @mohmahfudmd @jokowi @Kiyai_MarufAmin @LAPOR1708 Bosss... Pemberontakan yg pernah ada jg menyerang negara ini, menyerang fasilitas n aparat negara bahkan rakyat biasa. Poinya.. Knp stlah damai anggota pemberontakan tsb bisa diterima sbg anak bangsa..??? Knp pd eks isis ndak bisa???</t>
  </si>
  <si>
    <t>@BudiSetyarso Ya nama rapatnya aja corona terhadap dampak ekonomi.. Ya yg dibahas ekonomi dan arahannya soal ekonomi.. Kalo rapatnya soal pemulangan wni, ga ada arahan tentang ekonomi..gini aja ga paham..</t>
  </si>
  <si>
    <t>RT @Jovanka_vanke: Apaaaahhhh...anak" ex WNI ISIS tetap dipulangin...pak @jokowi @mohmahfudmd masih kekeuh mau begitu doktrin ideologinya sudah dari usia dini loohh mereka 😌🥺🥺🥺🥺</t>
  </si>
  <si>
    <t>RT @denmas_ajah: @yazid_fadhlan @kangenband123 @kenhans03 @PolhukamRI @mohmahfudmd @jokowi @Kiyai_MarufAmin @LAPOR1708 Pernah ngga anda berempati pd korban2 yg dibunuh ISIS? Manusia tuh bro walaupun berbeda keyakinan. Allah yg menciptakan. Cek timeline anda kerjanya njelek2in pemerintah yg sah. Ngomong sama ember bro. Kadrun senangnya membela sesuai otaknya dia. Yg lain salah. NgHansip mah paham</t>
  </si>
  <si>
    <t>Dear Pak @jokowi , jgn pulangkan anak² ex ISIS kembali ke Indonesia</t>
  </si>
  <si>
    <t>RT @AYMEEN97619717: @Arc_Abdoul_ 😂😂😂😂😂...wae wni y qara yi😂😂 Kid dinnan dan Air ne</t>
  </si>
  <si>
    <t>@V_Stone_Kardol @jokowi @Kiyai_MarufAmin Isis itu 150% k-drone</t>
  </si>
  <si>
    <t>@IdEmbassy_Seoul Aminnn ya Alloh..semoga WNI dikorea senantiasa diberikan kesehatan dan wabah corona segera berlalu 🤲🤲</t>
  </si>
  <si>
    <t>@yazid_fadhlan @kangenband123 @denmas_ajah @kenhans03 @PolhukamRI @mohmahfudmd @jokowi @Kiyai_MarufAmin @LAPOR1708 Mereka terpaksa sadar karena ISIS kalah...Coba saja kalau ISIS menang maka pasti keadaan akan lain</t>
  </si>
  <si>
    <t>Pulau Sebaru Kecil yang merupakan tempat observasi bagi 188 WNI awak kapal Dream World dijaga ketat oleh aparat keamanan . . . source @hekahert . . #waspadakorona #SebaruKecil #koronavirus #daruratkesehatanglobal…</t>
  </si>
  <si>
    <t>Anak-anak Teroris ISiS DIPULANGKAN? ......APAKAH MEREKA BETUL JIWA DAN PIKIRANNYA ANAK-ANAK? APA INDIKATORNYA KL MEREKA (masih) ANAK-ANAK? APA KOMPENSASI BAGI RAKYAT Indonesia KALAU SALAH SATU ANAK-ANAK ITU BEBERAPA TAHUN KEMUDIA DI USIA BALIGH-nya jadi " pengantin?</t>
  </si>
  <si>
    <t>Kae WNI kae 🤣 RT @ladazaa: 😭😭😭😭🤙🏻🤙🏻🤙🏻</t>
  </si>
  <si>
    <t>RT @really_groot: Biji kecil dapat tumbuh jadi pohon yg sangat besar. Negara mungkin hanya melihat ukuran tubuh anak-anak ISIS ini yg lecil, dan gagal melihat raksasa teror yg bersembunyi dlm pikiran mereka.</t>
  </si>
  <si>
    <t>@TaliUdeng @Kemenag_RI @mohmahfudmd @jokowi 😂😂😂 Ini pak Mentri @mohmahfudmd masih ada yang belom merdeka di tanah air KANDUNGNYA sendiri. GK perlu repot ngurusi anak anak ISIS!!!! ISIS tuh biadab. Coba yang seperti ini di benahi dulu. @Kemenag_RI @KemensosRI</t>
  </si>
  <si>
    <t>@moh_arif_rah @yusuf_dumdum Urusannya apaan sama Jokowi... Emang WNI...</t>
  </si>
  <si>
    <t>@selfieituindah Iyah jadi WNI disana kebutuhannya tercukupi #Pulausebaru</t>
  </si>
  <si>
    <t>RT @Adot1998: DUNIA SIBUK MENCEGAH CORONA DISINI SEKELAS MENKO SIBUK TERIAK RADIKAL SADIKUL , ISIS KAPAN URUSAN RAKYAT DIPERHATIKAN</t>
  </si>
  <si>
    <t>Pulau Sebaru Kecil yang merupakan tempat observasi bagi 188 WNI awak kapal Dream World dijaga ketat oleh aparat keamanan . . . source @hekahert . .#waspadakorona #SebaruKecil #koronavirus #daruratkesehatanglobal…</t>
  </si>
  <si>
    <t>Misalnya: ga ngedukung km gabung ISIS... RT @nuggetenak: Sedih banget itu kalo orang tua ga mendukung apa yang kita mau.</t>
  </si>
  <si>
    <t>Apaaaahhhh...anak" ex WNI ISIS tetap dipulangin...pak @jokowi @mohmahfudmd masih kekeuh mau begitu doktrin ideologinya sudah dari usia dini loohh mereka 😌🥺🥺🥺🥺 RT @kompascom: Staf Khusus Presiden Diaz Hendropriyono menghimbau masyarakat untuk turut mempersiapkan diri menerima kepulangan anak-anak WNI eks ISIS</t>
  </si>
  <si>
    <t>@leehandoko WNI unfaedah dng keambiguannya ya gitu.😌</t>
  </si>
  <si>
    <t>RT @sirajapadoha: Pemerintah @jokowi @mohmahfudmd @BNPTRI mau memulangkan anak2 teroris ISIS ex WNI ini adlh para bibit2 pembunuh sadis,,, hadehhhh gak tau mau ngomong apa lageee,,,</t>
  </si>
  <si>
    <t>India ko Seria ,Iraq,banane Ka vikas Ho Raha waha par Isis Yaha par RSS</t>
  </si>
  <si>
    <t>RT @antarafoto: Pangkogabwilhan I Laksamana Madya TNI Yudo Margono memeriksa pasukan yang akan diberangkatkan ke Pulau Subaru untuk misi kemanusiaan di Mako Kolinlamil, Jakarta, Rabu (26/2/2020). Foto: M Risyal Hidayat</t>
  </si>
  <si>
    <t>DUNIA SIBUK MENCEGAH CORONA DISINI SEKELAS MENKO SIBUK TERIAK RADIKAL SADIKUL , ISIS KAPAN URUSAN RAKYAT DIPERHATIKAN</t>
  </si>
  <si>
    <t>RT @abdulkhaydir: Pak @jokowi bagaimana kalau anak anak isis ditampung di istana saja . agar masyarakat tenang dan Jan Ethes gembira .</t>
  </si>
  <si>
    <t>@enny_endah @TulusG1 @ISIS_Balik_NO Giginya putih apa kuning...?</t>
  </si>
  <si>
    <t>Setelah dievakuasi oleh pemerintah, WNI ABK World Dream diobservasi dulu nih di Pulau Sebaru Kecil, Kepulauan Seribu selama 14 hari. #PulauSebaru</t>
  </si>
  <si>
    <t>@ustadtengkuzul @alibastard1 @SofieBorneoNew Sth ISIS keok br bilang begini. Agustus 2014 HRS teken maklumat baiat setia pd boss ISIS. ISIS jg disebut mujahid, tentara Allah Apa skrg sdh belok ke HTS.</t>
  </si>
  <si>
    <t>3. Muhammad bin Abdul Wahab suka menghalalkan darah umat Islam sebagaimana dia telah menghalalkan darah saudaranya sendiri Syeikh Sulaiman Golongan yg dinamakan sebagai ISIS &amp; Daesh terkenal dengan keganasan &amp;amp; kekejaman juga ikut manhaj sama yg di bawa oleh Muhammad Abdul Wahab.</t>
  </si>
  <si>
    <t>RT @erika_sugandi: WNI yang telah dinyatakan negatif Covid-19 akan dibawa ke Pulau Sebaru. #PulauSebaru</t>
  </si>
  <si>
    <t>@RomoJostKokoh @PakatDayak @jokowi Mbo ya dipikir kembali toh Pak @jokowi @mohmahfudmd @GeneralMoeldoko @prabowo ,Masa bibit unggul ISIS yg udah pinter nggorok orang mau dibawa ke nkri ini</t>
  </si>
  <si>
    <t>@colyhits @nusa1233 @qianamia13 @sayurbayamenak @haikal_hassan Isis nih gua</t>
  </si>
  <si>
    <t>@sairamca @Zooo_bearr SIMI,PFI,ISIS,Tehreek-ul-Mujahideen, Jaish-E-Mohammed, Indian Mujahideen, Al-Qaeda, BOKO HARAM, Haqqani Network, Kataib Hezbollah,200+ all are Islamic...why????</t>
  </si>
  <si>
    <t>Lama-lama mau maki @jokowi @Kemenag_RI @kemendagri @mohmahfudmd @PolhukamRI aja rasanya dengan segala permainan politik jancuk ini. @Aryprasetyo85 @PakatDayak @jr_kw19</t>
  </si>
  <si>
    <t>@satzumyu @danielprataama @florenciafany 100% WNI. Ini tanah airku juga.</t>
  </si>
  <si>
    <t>1. Pak @mohmahfudmd @jokowi @ganjarpranowo saat ini kami Rakyat Minoritas sering bertanya,knapa Pemerintah begitu Peduli terhadap mereka para Teroris yg tertangkap &amp; EX WNI ISIS.Mereka di Deradikalisasi trus ada yg dikasi modal, dikasi pekerjaan, anak disekolahin &amp;amp; dikasi rumah??</t>
  </si>
  <si>
    <t>@randualit apa gk sekalian suriah dibantai isis, jokowi dmn ???</t>
  </si>
  <si>
    <t>@Takviri @heniunique Sdh sy blg pemerintah akan pk oprasi senyap utk memulangkan ex WNI ISIS, utk mslh pemulangan ex isis dan intoleransi d Indonesia sy sdh tdk percaya kpd pemerintah.</t>
  </si>
  <si>
    <t>@Gus_Raharjo @Namaku_Mei @ganjarpranowo Ayo giliran anda yth @ridwankamil @KhofifahIP @aniesbaswedan ,jgn mau hti,ISIS n khilafah tegak dinegara besar ini! NKRI harga mati</t>
  </si>
  <si>
    <t>@WagimanDeep__ soal masalah obat di indoneia tersedia beib akan tetapi soal eks WNI ISIS amsyong dech beib dinamit dipulangkan pemerintah</t>
  </si>
  <si>
    <t>Kepulangan Anak-anak WNI Eks ISIS, Netizen: Apakah Negri ini Kekurangan Anak-anak Bermasalah? via @melekpolitikcom</t>
  </si>
  <si>
    <t>RT @mbahndi: Viral WNI Terinfeksi Virus Corona Main Tik Tok di Rumah Sakit Taiwan</t>
  </si>
  <si>
    <t>@FerdinandHaean2 @conan_idn @RTErdogan @CNNIndonesia @tvOneNews negara mana yg bangga dengan isis?</t>
  </si>
  <si>
    <t>@yazid_fadhlan @denmas_ajah @kenhans03 @PolhukamRI @mohmahfudmd @jokowi @Kiyai_MarufAmin @LAPOR1708 Wkwk.korban bom teroris itu juga anak bangsa bos.yang harus di beri perhatian lebih. Lu pernah gak berempati ke mereka. gw rasa kagakk Kalo isis kan beda cung.mereka secara sadar gabung isis dan mereka pasti tau resiko yang di terimanya.</t>
  </si>
  <si>
    <t>@P3nj3l4j4h_id @jokowi @Chilli_Pari Saya kecewa dengan putusannya pemerintah menerima teroris eks isis...#tolakpulangkankombatanisis #tolakeksisis #tolakekswniproisis #tolakekswniproisis</t>
  </si>
  <si>
    <t>@denmas_ajah @PolhukamRI @mohmahfudmd @jokowi @Kiyai_MarufAmin @LAPOR1708 kita sebagai RAKYAT &amp; BANGSA punya hak untuk menolak rencana memulangkan anak anak kombatan ISIS,#TolakPulangkanAnakISIS</t>
  </si>
  <si>
    <t>@nusa1233 @goencobain @qianamia13 @sayurbayamenak @haikal_hassan Lu anggota isis Juga ?</t>
  </si>
  <si>
    <t>dibutuhkan oleh seluruh umat manusia tetap terjaga keberadaannya yang cukup dan terkendali.Kecuali diluar kemampuan Indonesia,baik di bidang apa pun.Penyusunan strategis yang terbaik,dan pemanfaatan bagi kehidupan seluruh WNI,tetap terkontrol sampai ke sudut terkecil di seluruh</t>
  </si>
  <si>
    <t>@FPL_oky17 @elHurryKoRn Poinnya @elHurryKoRn itu bukan Syiah, tapi sikap kadrun pd ISIS WKWKKWKWWKKWKW Masih Bego aja lu</t>
  </si>
  <si>
    <t>RT @ianbura: @Totok0912 @leonzio123 @yanahilman2 @__MV_llestari__ Yah gak perlu dipulangkan ex ISIS. Masih banyak kok anak2 yatim piatu dinegeri yg besar ini yg kesusahan &amp; tidak beruntung (miskin). Anak2 yg ortunya korban dr tindakan radikal. Mereka ini yg harusnya disupport. Kalau ngomong korban, mereka bukan korban karena pemerintah RI</t>
  </si>
  <si>
    <t>Pulau Sebaru kan pulau kosong yang gak ada penduduknya, jadi cocok sih kalau dijadiin tempat karantina 188 WNI ABK World Dream #PulauSebaru</t>
  </si>
  <si>
    <t>@colyhits @qianamia13 @sayurbayamenak @nusa1233 @haikal_hassan Gua nih anggota isis. Yuhuuu~</t>
  </si>
  <si>
    <t>dan kaum muslimin akhir nya disalahkan secara garis besar karena ISIS. taubatlah kalian para pengikut ISIS. kembali ke jalan yang benar, pegang alquran dan ikuti rasulullah ﷺ dan para salafushsholeh, #antiisis #isisbukanislam #ISIS</t>
  </si>
  <si>
    <t>@DonFlamingo_ @wahhabicc_jabar @jokowi @KemensetnegRI @mohmahfudmd ISIS = Indonesia Sedang krisIS, waduh jangan sampai deh... Bursa saham sudah anjlok, rupiah kemarin anjlok, pertumbuhan ekonomi Q4 turun, yang naik cuma utang. 🤦‍♂️</t>
  </si>
  <si>
    <t>RT @wdtu: @wahhabicc_jabar @jokowi @KemensetnegRI @mohmahfudmd Anak-anak ISIS ini sudah didoktrin sejak dini dan diajari bahwa mereka yang berbeda pemikiran, beda madzab dan beda aliran keyakinan adalah orang-orang yang harus mereka bunuh. Mereka diyakinkan, membunuh adalah sebuah ibadah. Ini masalah krusial yang sangat mengkhawatirkan.</t>
  </si>
  <si>
    <t>@doelkemplang Salah satu cara basmi isis adalah sebarin virus corona di pengungsian mereka, biarin virus yang bekerja😁</t>
  </si>
  <si>
    <t>Masih ingat kasus pemulangan WNI dari Wuhan untuk karantina di Natuna? Saat itu arus informasi tentang corona masih asing di telinga warga Natuna. Nah kini Kementerian Pariwisata mulai memberikan informasi secara jelas untuk masyarakat #COVID19</t>
  </si>
  <si>
    <t>Indonesian.... istg...</t>
  </si>
  <si>
    <t>RT @7evenClothes: @__MV_llestari__ Bukankah begitu adanya...</t>
  </si>
  <si>
    <t>@qianamia13 @goencobain @sayurbayamenak @nusa1233 @haikal_hassan kamu anggota ISIS ?</t>
  </si>
  <si>
    <t>Cuan dari jual masker ke china sekarang saya alokasiin buat bantu tmn WNI di jepang yg susah cari masker . Ganbatte ne !</t>
  </si>
  <si>
    <t>@azhar_can @ErsatKera @jokowi Kalo ISIS menang, mereka ngga minta kembali Mereka pengin kembali krn ISIS kalah &amp; hidupnya terlunta2 di suriah Saat ini sedang menunggu diadili di suriah</t>
  </si>
  <si>
    <t>Sebagai bekas tempat rehabilitasi narkoba, Pulau Sebaru layak digunakan sebagai tempat karantina 188 WNI ABK World Dream . #pulausebaru</t>
  </si>
  <si>
    <t>RT @JafYaya2150: #tolakanakisiskembali sebab #IndahnyaToleransiBeragama jangan sampai di ganggu oleh KETURUNAN WNI eks ISIS.biarkan NKRI DAMAI tanpa SAMPAH KHILAFAH.</t>
  </si>
  <si>
    <t>@fahiraidris Dan uni itu WNI apa TKA?</t>
  </si>
  <si>
    <t>DEMI APAPUN SANTAI 😢😢</t>
  </si>
  <si>
    <t>Pak @jokowi bagaimana kalau anak anak isis ditampung di istana saja . agar masyarakat tenang dan Jan Ethes gembira . RT @kompascom: Pemerintah telah menjadikan rencana pemulangan anak yatim piatu WNI eks ISIS sebagai kebijakan resmi. &gt; #Nasional</t>
  </si>
  <si>
    <t>RT @a98ep: @RinjaniJB @jokowi Sebenarnya tidak ada yang bisa menjamin. Tapi setidaknya anak² itu harus dijauhkan dari masyarakat dulu agar tidak menyebarkan doktrin yang mereka dapatkan selama di isis. Jangan sampai Indonesia setelah mereka pulang banyak kasus pengeboman+pembunuhan.</t>
  </si>
  <si>
    <t>Jenengan 👍 Aku belum mampu menterjemahkan semua ayat itu ke dalam kasus anak-anak ISIS, yg sangat dimungkinkan sudah jadi monster kecil. RT @triana_juanda: Markus 9:37 Barangsiapa menyambut seorang anak seperti ini dalam nama-Ku, ia menyambut Aku. Dan barangsiapa menyambut Aku, bukan Aku yang disambutnya, tetapi Dia yang mengutus Aku. Mba Rien... Mohon dimaafkan bila salah...</t>
  </si>
  <si>
    <t>terima kasih @jokowi udh menerima anak2 pahlawan ISIS... RT @kompascom: Staf Khusus Presiden Diaz Hendropriyono menghimbau masyarakat turut mempersiapkan diri menerima kepulangan anak-anak WNI eks ISIS | #Nasional</t>
  </si>
  <si>
    <t>#tolakanakisiskembali sebab #IndahnyaToleransiBeragama jangan sampai di ganggu oleh KETURUNAN WNI eks ISIS.biarkan NKRI DAMAI tanpa SAMPAH KHILAFAH. RT @wahhabicc_jabar: Istana Minta Masyarakat Terima Kepulangan Anak-anak WNI Eks ISIS ------ Kami adalah bagian dari masyarakat yang tidak sepakat pd negara yg memulangkan anak² ISIS. Yang sepakat dengan kami, silahkan 🔁 RT @jokowi @KemensetnegRI @mohmahfudmd</t>
  </si>
  <si>
    <t>Ah kamu, saya tidak masalah toh kalian bisa menangkal paham isis dengan cara doktrin anak2 eks isis utk lebih cinta kepada negara dan pancasila.. sekarang saya hanya khawatir virus corona.. naaarr sumati aku RT @kompascom: Staf Khusus Presiden Diaz Hendropriyono menghimbau masyarakat untuk turut mempersiapkan diri menerima kepulangan anak-anak WNI eks ISIS</t>
  </si>
  <si>
    <t>@__MV_llestari__ Bukankah begitu adanya...</t>
  </si>
  <si>
    <t>RT @iskanda80893534: @denmas_ajah @PolhukamRI @mohmahfudmd @jokowi @Kiyai_MarufAmin @LAPOR1708 memang aneh aneh saja sekarang mbok ya dipikir dulu dan jangan main coba coba sok patriot dan jangan karena alasan HAM sedangkan ISIS tak kenal HAM</t>
  </si>
  <si>
    <t>RT @oak_math_lee_91: @jokowi Bapak, mohon naikkan proposal bebas visa bagi WNI ke Inggris. 🙏🏻 🇮🇩 🇬🇧</t>
  </si>
  <si>
    <t>@Dennysiregar7 😀😀😀 Indah sekali pagi ini. Pak @Dennysiregar7 . Kalo anak2 isis yang dibawa pulang Anak siapa dan masuk mana? 😀😀😀😀😀😀😀😀😀😀😂😂😂</t>
  </si>
  <si>
    <t>RT @kompascom: Pemerintah memutuskan untuk mengevakuasi 68 WNI yang tengah dikarantina di kapal pesiar Diamond Princess akibat wabah virus corona di Yokohama, Jepang</t>
  </si>
  <si>
    <t>@kompascom Yang kamu himbau itu anak2 koruptor negara dan keluarganya , bahaya dari anak2 isis</t>
  </si>
  <si>
    <t>Bukan salah Saudi tolak WNI umroh, Pigai: Karena pemerintah bohong !</t>
  </si>
  <si>
    <t>@P3nj3l4j4h_id @jokowi @Chilli_Pari Katanya ISIS eks WNI. Bukan WNI eks ISIS. Ngp d pulangin Pak @jokowi</t>
  </si>
  <si>
    <t>No surprises here . Alqaeda, ISIS, ISI , @INCIndia - 4 terror groups RT @TimesNow: #Breaking | @INCIndia backs 'Tukde gang' &amp; slams Delhi Govt &amp;amp; Centre. 'Delhi Govt is no less ill-informed than the central government in its understanding of sedition law,' tweets @Pchidambaram_IN. Listen in. | #TukdeOnTrial</t>
  </si>
  <si>
    <t>Pemerintah memutuskan untuk mengevakuasi 68 WNI yang tengah dikarantina di kapal pesiar Diamond Princess akibat wabah virus corona di Yokohama, Jepang</t>
  </si>
  <si>
    <t>@FerdinandHaean2 @conan_idn @RTErdogan @CNNIndonesia @tvOneNews Tidak satu negara pun didunia ini yg mengatakan pembantaian ISIS itu sbg kebanggan dan kebahagian kecuali anda. Setiap yg namanya pembantain harus dikutuk. Janganlah kebencian anda pada umat Islam membuat anda kehilangan akal sehat.</t>
  </si>
  <si>
    <t>@jansen_jsp @Susilo91837249 Jika apa yg di alami Iran &amp; Para Petinggi Negerinya, terjadi juga pada Negeri kita &amp;amp; Para Petingginya, apakah kita masih akan mengkampanyekan diri bahwa Negara &amp;amp; Bangsa ini BEBAS dari VIRUS CORONA ?? Skrg aja bbrp Negara udh STOP kedatangan WNI, apa harus KAGEEET ?? KAGET laah !!</t>
  </si>
  <si>
    <t>@P3nj3l4j4h_id Saya KECEWA dengan rencana kepulangan BEDEBAH2 ISIS ini... sy muslim dan saya menolak kepulangan mereka... Cc @kaesangp @Chilli_Pari</t>
  </si>
  <si>
    <t>RT @DestinAsianID: Uni Emirat Arab keluarkan visa multiple entry untuk turis WNI. Bebas jika ingin bolak-balik ke #Dubai atau #AbuDhabi! Klik di</t>
  </si>
  <si>
    <t>Staf Khusus Presiden Diaz Hendropriyono menghimbau masyarakat turut mempersiapkan diri menerima kepulangan anak-anak WNI eks ISIS | #Nasional</t>
  </si>
  <si>
    <t>CC @jokowi @mohmahfudmd @BNPTRI @BIN_Official tolong dipikirkan kembali akan kepulangan anak2 maupun eks ISIS . Apakah kita akan menambah korban lagi? RT @RomeskoP: "Kadang saya pikir lebih enak jadi teroris. Pemerintah punya program rehabilitasi sampai memikirkan penghidupan untuk mereka. Tapi bagaimana dengan para penyintas? Siapa yang memikirkan kami?" tanya Isran.</t>
  </si>
  <si>
    <t>RT @Metro_TV: #MetroHariIni Proses penurunan WNI yang merupakan ABK dari kapal pesiar World Dream masih dilakukan oleh petugas sejak pukul 16.35 WIB. Situasi terkini, kapal kecil telah kembali merapat ke KRI Dr. Soeharso untuk mengangkut rombongan WNI selanjutnya.</t>
  </si>
  <si>
    <t>RT @JagoTrace: Stlh kalahkan ISIS, tentara wnt #Kurdish nari dijalanan dimn ISIS dulu jual beli prmpn di #raqqa @zlametabidin @Hanifah933 @Klelur028 @suka011 @raafiDs @YoyokSubandriy3 @jumadisakir @KadrunHunter99 @Resha_RP</t>
  </si>
  <si>
    <t>RT @seleb_berita: Tidak ada jaminan mereka akan kembali dgn damai... doktrinasi ISIS akan melekat sampai mereka dewasa !! #TolakAnakKombatanISIS</t>
  </si>
  <si>
    <t>RT @SCTV: Sejumlah 181 WNI bersiap jalani observasi di Pulau Sebaru Kecil, Kepulauan Seribu. Para WNI akan menjalani tindakan dekontaminasi untuk selanjutnya mengikuti rangkaian observasi selama 14 hari ke depan. #Liputan6SCTV</t>
  </si>
  <si>
    <t>Main TikTok, WNI Positif Corona di Taiwan Berurusan Hukum | Baca selengkapnya :</t>
  </si>
  <si>
    <t>Menit 5.00 keadaan TRINITY Korban BOM Samarinda di Rs.Sun Yat Sen Guangzhou #Anak ISIS dipedulikan,Anak Indonesia diTelantarkan</t>
  </si>
  <si>
    <t>@ustadtengkuzul orang Yazidi dan Kristiani dibantai dan diperbudak oleh muslim ISIS di Irak</t>
  </si>
  <si>
    <t>@kompascom Sebenarnya yang di himbau jangan masyarakat nya. Masyarakat tak tau ISIS itu apa.</t>
  </si>
  <si>
    <t>Tidak ada jaminan mereka akan kembali dgn damai... doktrinasi ISIS akan melekat sampai mereka dewasa !! #TolakAnakKombatanISIS RT @P3nj3l4j4h_id: Sudah ga tau mau nulis gimna lg tentang kepulangan exs wni isis ini! Sampai kapanpun saya ga akan pernah ikhlas u nerima mereka kembali ke negeri ini!!! Saya kecewa Pak @jokowi krn mengambil sikap untuk pulangkan mereka!! 😡😡😡😡😡😡😡 Cc @Chilli_Pari</t>
  </si>
  <si>
    <t>kemarin Brazil itu suspectnya plg lgsg dari Italia, ga lewat prosedur evakuasi pemerintahnya + usia renta pasien. malaysia jg gt, awalnya yg dr China trs plg ke malay trs interaksi sm tetangga. casenya di indo kemarin, pemerintah berusaha evacuate wni di China trs dikarantina. RT @tubbirfess: gue tadinya mikir (sotoy, bukan org kesehatan) mungkin emg kita tdk segitu rentan karena kita penduduk iklim tropis. Tapi kemarin Brazil udah confirm!!! Mexico!!! Malaysia!!! India!! Even pakistan!!!! Ni negara malah pada bangga karena ada konten banjir :(</t>
  </si>
  <si>
    <t>Saya secara pribadi sebagai warga NKRI tidak akan pernah setuju dengan permintaan ini...🤬🤬🤬 Apakah kalian setuju teman-teman??? Istana Minta Masyarakat Terima Kepulangan Anak-anak WNI Eks ISIS -</t>
  </si>
  <si>
    <t>Uni Emirat Arab keluarkan visa multiple entry untuk turis WNI. Bebas jika ingin bolak-balik ke #Dubai atau #AbuDhabi! Klik di</t>
  </si>
  <si>
    <t>Pak @jokowi .. Jangan mengorbankan 260 jt+ jiwa demi simpatisan ISIS eks WNI itu! Mereka itu sebenarnya sedang terjepit!! Kata 'penyesalan' itu hanya satu alasan supaya mereka bisa pulang ke negara ini dan bebas mengebom semuanya yang dianggap kafir!! RT @P3nj3l4j4h_id: Sudah ga tau mau nulis gimna lg tentang kepulangan exs wni isis ini! Sampai kapanpun saya ga akan pernah ikhlas u nerima mereka kembali ke negeri ini!!! Saya kecewa Pak @jokowi krn mengambil sikap untuk pulangkan mereka!! 😡😡😡😡😡😡😡 Cc @Chilli_Pari</t>
  </si>
  <si>
    <t>Buntut Kerusuhan India, DPR Minta Kemenlu Pastikan Keselamatan WNI</t>
  </si>
  <si>
    <t>@DaRtHVaDeR566 @CommandingCapt1 RSS hi ISIS hay!!</t>
  </si>
  <si>
    <t>RT @Suharto_BC: @BBCIndonesia Pro Kontra Pulangkan atau WNI mantan ISIS ...!!! Sedikit Video ...tentang ISIS Ngeri ...</t>
  </si>
  <si>
    <t>RT @fajar17: @ustadtengkuzul isis bunuin syiah ama zoroaster/yazidi stad</t>
  </si>
  <si>
    <t>@BakarSmith ini ustad apa ga ngarti daes? alias isis. mrk buatan cia dgn misi arab spring utk menguasai timor tengah. koq malah nuduh syiah. *tepokjidat</t>
  </si>
  <si>
    <t>#PengibulTingkatDewa Bukan Salah Saudi Tolak Umrah WNI, Pigai: Karena Pemerintah Berbohong #PengibulTingkatDewa @geloraco 👇</t>
  </si>
  <si>
    <t>@kompascom Paspornya telah mereka bakar makanya M E N O L A K Kepulangan ISIS EKS WNI demi menjaga 260 jutaan masyarakat Indonesia.</t>
  </si>
  <si>
    <t>@dualahami @dasaralter @tanyaAzka @haikal_hassan I knew kok. Tuit saya yg menyebutkan ISIS juga berdasarkan itu. Coba dibaca kembali pelan2.</t>
  </si>
  <si>
    <t>Pak Jokowi dan Pak Mahfud MD tolong jangan sampai salah langkah ambil keputusan memulangkan anak ISIS ke tanah air.... Jangan sampai bikin blunder ya Pak.... @ Demi NKRI dan PANCASILA RT @BirgaldoS: SUNGGUH TIDAK ADIL. Pak Menkopolhukam @mohmahfudmd Pak Presiden @jokowi Mengapa anak ISIS diperhatikan pemerintah, sementara anak korban bom teroris malah dicuekin nasibnya.</t>
  </si>
  <si>
    <t>RT @rmol_id: Alhamdulillah, 18 Ribu Masker Untuk WNI Di Korea Selatan Telah Tiba #RepublikMerdeka</t>
  </si>
  <si>
    <t>@AzzamIzzulhaq Subannalloh, berarti ISIS bukan teroris tapi para pejuang Islam yg sedang dijolimin 😭</t>
  </si>
  <si>
    <t>RT @YRadianto: Ex-WNI, ISIS, Agama, HAM &amp; moral manusia bernegara. Selama ini penglihatan kita sll terbiaskan oleh ekstrimitas luar biasa yg disodorkan tiap hari. Di akhir thread ini saya disodori sebuah perspektif yg selama ini terlewatkan : MORALITAS KITA SEBAGAI NEGARA-BANGSA YANG BERADAB</t>
  </si>
  <si>
    <t>RT @dkarhita: @hemaviton99 @rashelFarizi @jokowi @alva_roe_lee_ klu begitu orang arab picik dong, hanya melihat wninya, pdhl yg terserang itu wni yg ada di luar Indonesia... ah dasar orang arab itu licik dan picik, macam si anis al aibon itu!</t>
  </si>
  <si>
    <t>@kumparan Eks anak isis suruh main bareng sama anaknya baru bagus.</t>
  </si>
  <si>
    <t>@hemaviton99 @rashelFarizi @jokowi @alva_roe_lee_ klu begitu orang arab picik dong, hanya melihat wninya, pdhl yg terserang itu wni yg ada di luar Indonesia... ah dasar orang arab itu licik dan picik, macam si anis al aibon itu!</t>
  </si>
  <si>
    <t>RT @msaid_didu: Ternyata mahasiswa Indonesia di Luar Negeri pun "dimonitor" - kebebasan WNI sdh terpenjara di seluruh dunia</t>
  </si>
  <si>
    <t>@srivatsayb Or tu koun h ISIS ka</t>
  </si>
  <si>
    <t>RT @J4lakBali: @__MV_llestari__ Jika negara ini menjemput pulang mereka yg telah menjadi teroris ISIS sama saja menjemput kehancuran negara tercinta ini seperti hancurnya Suriah oleh teroris ISIS #JanganSuriahkanNKRI @mohmahfudmd</t>
  </si>
  <si>
    <t>@__MV_llestari__ Jika negara ini menjemput pulang mereka yg telah menjadi teroris ISIS sama saja menjemput kehancuran negara tercinta ini seperti hancurnya Suriah oleh teroris ISIS #JanganSuriahkanNKRI @mohmahfudmd</t>
  </si>
  <si>
    <t>@kompascom *ADA FEE DARI ASING HAHAHALALKAN ISIS SEIMAN</t>
  </si>
  <si>
    <t>Soal Saudi Tolak Umrah WNI, Pigai menilai, Bukan Salah Saudi Tapi Karena Pemerintah Berbohong</t>
  </si>
  <si>
    <t>RT @JiwasrayaGate: Bukan Salah Saudi Tolak Umrah WNI, Pigai: Karena Pemerintah Berbohong</t>
  </si>
  <si>
    <t>@profrotigulung @jokowi Bagi saya yang terpenting adalah urusan WNI kita bukan orang lain atau negara lain.</t>
  </si>
  <si>
    <t>RT @PrastD2: pemerintahan @jokowi daripada masukin bibit teroris ISIS ke Indonesia mending urusin anak2 terlantar dalam negri jangan buat warga Indonesia makin kecewa dengan kinerja pemerintahan Anda. Jikalaupun maksa tetap memulangkan Eks WNI tersebut semoga saja pesawat evakuasinya jatuh.</t>
  </si>
  <si>
    <t>RT @Iqbal__Kholidi: bakal rame lagi nih</t>
  </si>
  <si>
    <t>Marc Klok Selangkah Lagi WNI, Ini Deretan Pemain Asing yang Bakal Isi Slot yang Ditinggalkan Klok .</t>
  </si>
  <si>
    <t>@RealMattCouch Yeah China Russia Iran ISIS Al Qaeda The Taliban AQIM Al-Waleed bin Talal Mahmoud Ahmadinejad</t>
  </si>
  <si>
    <t>@alibastard1 @SofieBorneoNew ISIS buatan Amerika dipimpin keturunan Yahudi. Senjata buatan Israel. Ckckck masih saja buta...?</t>
  </si>
  <si>
    <t>@fitrarrijal @tehtiwi @dindaarlynie_ @KuntoAjiW udah kayak ketemu isis aja ada test nya 🤣🤣</t>
  </si>
  <si>
    <t>Mahfud Md Sebut Data WNI Eks ISIS Bertambah Jadi 699 Orang</t>
  </si>
  <si>
    <t>Staf Khusus Presiden Diaz Hendropriyono menghimbau masyarakat untuk turut mempersiapkan diri menerima kepulangan anak-anak WNI eks ISIS</t>
  </si>
  <si>
    <t>@hemaviton99 @jokowi @alva_roe_lee_ mikir dikit goblok, jlas melarang krn ad ksus WNI yg terjangkit di luar negeri. jd itu ud jd alasan utk wanti2, meskipun sejauh ini blm adnya keterangan resmi sejauh mn indo bebas corona. sblm flight cina indo ttup ud banyk tamu cina di bali tp sejauh ini dsni blm ad kabar corona</t>
  </si>
  <si>
    <t>Negara kita malah mau masukan eks WNI anggota ISIS RT @Hilmi28: Disaat pemerintah Arab Saudi berani dgn tegas menolak masuk jamaah umroh dr bbrpa negara utk sementara, yg pasti akan kehilangan devisa dgn jumlah yg besar, eh kita malah mengharap org2 dari negara sumber virus corona dtg ke Indonesia. 😓😥😪</t>
  </si>
  <si>
    <t>@DukeCondet @NephiLaxmus Internet troll nya hindutva ini jauh lebih ganas drpd isis fanboy</t>
  </si>
  <si>
    <t>@Sooahslosh naaah pasti rs juga udah ada penyuluhan soal ini, jadi kalo mau periksa bisa. emang org2 cuma suudzon + ngetik + koar di medsos doang. kalo emg peduli sama wni ya lindungin aja dulu diri sendiri &amp; kasih tau ke lingkungan terdekat buat jaga diri. yaallah emosi bgt aku dari kemarin</t>
  </si>
  <si>
    <t>@ustadtengkuzul Tapi tetep ADA muslim yg teroris haus darah, misal isis, boko haram, bashar assad, dan agressor di perang yaman.</t>
  </si>
  <si>
    <t>188 #WNI ABK Kapal World Dream Dipindahkan ke Pulau Sebaru Jalani Observasi #VirusCorona</t>
  </si>
  <si>
    <t>@KDroneHunter @ustadtengkuzul Justru korban ISIS terbesar non muslim, sebab ISIS buatan on muslim, AS.</t>
  </si>
  <si>
    <t>@Ai41870479 @EL_Atheos @Eximooz Lu tau apa malahan teroris taunya elu paling karena isis, radikalis, there's no other religion better than muslim, jihad? ... Bullshit itu Padahal zaman dulu udah ada pasukan kamikaze, bundir... Tau KKK? lebih bengis.</t>
  </si>
  <si>
    <t>@RudyRoedyanto Doakan WNI disini koh... emng makin hari kian bertambah pesat di Korsel</t>
  </si>
  <si>
    <t>RT @cagubnyinyir2: Mahfud MD: Mengatakan BNPT tengah mengidentifikasi yg tergolong anak eks WNI ISIS yg yatim piatu. Pemerintah hanya mempertimbangkan anak yatim piatu dipulangkan  @Ze_sukma @wrahardian2 @setiono_john @JohnIrwan4 @novapermana8 @BossToukeeIsa</t>
  </si>
  <si>
    <t>RT @cagubnyinyir2: Mahfud MD: BNPT tengah mengidentifikasi yg tergolong anak eks WNI ISIS yg yatim piatu. Pemerintah hanya mempertimbangkan anak yatim piatu dipulangkan  @USutendi @YoyokSubandriy3 @P_Eneste @Jokoumb64504158 @LisdiyantoR @angelmaximilan</t>
  </si>
  <si>
    <t>RT @BruceEmond: WNI miliarder (peringkat &amp; kekayaan) 60 R Budi Hartono=$18b 68 Michael Hartono=$17b 245 Prajogo Pangestu=$8b 415 Boejamin Setiawan &amp;amp; kel.=$5.5b 326 Susilo Wonowidjojo &amp;amp; kel=$6.5b 555 Anthoni Salim=$4.5b 573 Chairul Tanjung=$4.4b 1001 Elijah Widjaja=$2.8b 1146 Kel. Tahir=$2.5b</t>
  </si>
  <si>
    <t>@Rosidin87957796 @Cobeh09 Zakar naik who ? ISIS agent distrik kotbah-kotbah</t>
  </si>
  <si>
    <t>Edaran KBRI Washington, D.C. untuk WNI di AS terkait Meningkatnya Risiko Penyebaran Wabah Virus Corona di Amerika Serikat  #NegaraMelindungi #IndonesianWay #IndonesiainUS #IniDiplomasi #WaspadaCOVID19</t>
  </si>
  <si>
    <t>Bukan Salah Saudi Tolak Umrah WNI, Pigai: Karena Pemerintah Berbohong That's right👍 👇👇 #RezimJKWPembohong #RezimJKWPembohong</t>
  </si>
  <si>
    <t>Setelah Jemput WNI dari Diamond Princess, Pesawat Garuda Diistirahatkan 5 Hari</t>
  </si>
  <si>
    <t>Katanya Aman .. Hloo Koq? 🤔 . Dilarang Masuk Arab Saudi, Rezim Jokowi Bohong WNI tak Terkena Virus Corona  #RezimJKWPembohong</t>
  </si>
  <si>
    <t>RT @leonzio123: @J_Aryoko @Totok0912 @yanahilman2 @__MV_llestari__ Ex ISIS? EX WNI lbh tepat... Apa kurang byk anak2 terlantar di jalan sana yg seharusnya diurus pemerintah?</t>
  </si>
  <si>
    <t>@J_Aryoko @Totok0912 @yanahilman2 @__MV_llestari__ Ex ISIS? EX WNI lbh tepat... Apa kurang byk anak2 terlantar di jalan sana yg seharusnya diurus pemerintah?</t>
  </si>
  <si>
    <t>@SofieBorneoNew @ustadtengkuzul Ga ada gimana? Jadi isis itu bukan islam? Kalian bilang itu ga islam itukan ide kalian aja, ide mereka adalah islam, jangan sembunyiin bangke dibawah daun ya</t>
  </si>
  <si>
    <t>RT @J_Aryoko: @Totok0912 @leonzio123 @yanahilman2 @__MV_llestari__ Memulangkan anak ex ISIS boleh saja, tapi mereka harus dikarantina di pulau terpencil dan dideradikalisasi selama minimal 10 tahun. Mereka harus dicuci otak dan negara harus mengenalkan mereka dengan paham dan aliran cinta kasih.</t>
  </si>
  <si>
    <t>RT @tribunSUPERBALL: Marc Klok Selangkah Lagi Jadi WNI, Persija Tambah Pemain Sebelum Bursa Transfer Tutup?</t>
  </si>
  <si>
    <t>Yg gak jawab isis</t>
  </si>
  <si>
    <t>@Takviri Kemampuan @mohmahfudmd itu saja?🤭🤭 Sebelum menjabat,cara ngomongnya saya salut bener🤣 sekarang?? SKB suru ke MA, bahasnya pemulangan ISIS mulu.. Makasih prof ,anda sudah buat saya ketawa</t>
  </si>
  <si>
    <t>@amyprovis1987 @Sofia_ardani @msaid_didu Maunya khilafuck kayak isis. Biar dia jadi budak sex nya mereka.</t>
  </si>
  <si>
    <t>@Totok0912 @leonzio123 @yanahilman2 @__MV_llestari__ Memulangkan anak ex ISIS boleh saja, tapi mereka harus dikarantina di pulau terpencil dan dideradikalisasi selama minimal 10 tahun. Mereka harus dicuci otak dan negara harus mengenalkan mereka dengan paham dan aliran cinta kasih.</t>
  </si>
  <si>
    <t>RT @ANYudhp: @mhdjns Perempuan gabung isis</t>
  </si>
  <si>
    <t>@IdEmbassy_Seoul Semoga WNI dan seluruh masyarakat korea diberi ketabahan dan kesehatan atas musibah virus</t>
  </si>
  <si>
    <t>@Maulana_ImR @PratiktoSatrio @ustadtengkuzul Isis bentukan Amrik,Yahudi dan negara2 nato</t>
  </si>
  <si>
    <t>@yusuf_dumdum ...yang tidak setuju boleh mengundurkan diri menjadi WNI dan keluar dari wilayah NKRI 😊🇮🇩✊🙏</t>
  </si>
  <si>
    <t>Ada WNI kena CORONA. Kemudian meninggal karena virus FLU BABI. #ambyarrrr</t>
  </si>
  <si>
    <t>@DORKyungsoo4 Berarti pemerintah Indonesia ga ikut guideline WHO ya? Krn WNI yang dijemput dari Wuhan dan dikarantina di Natuna ga di swab sama sekali krn “tidak menunjukkan gejala klinis selama 2 minggu masa karantina”</t>
  </si>
  <si>
    <t>@AfriAdam jangan wni aja yg di periksa, klo perlu rakyat nya jga diperiksa</t>
  </si>
  <si>
    <t>RT @kjrijohorbahru: Kegiatan layanan yang dilakukan untuk WNI di Pahang dan sekitarnya mencakup layanan keimigrasian, penyerahan paspor yang telah selesai proses kepada 57 WNI, serta pengambilan biometrik bagi 27 orang pemohon yang akan melakukan pergantian paspor. #NegaraMelindungi #IniDiplomasi</t>
  </si>
  <si>
    <t>RT @kjrijohorbahru: Kegiatan rutin ini dilaksanakan KJRI Johor Bahru dalam rangka meningkatkan pelayanan kepada WNI yang berdomisili jauh dari KJRI Johor Bahru sehingga memberikan kemudahan dan keringanan dalam mengurus dan mendapatkan dokumen keimigrasian. #NegaraMelindungi #IniDiplomasi</t>
  </si>
  <si>
    <t>@RajaPetra mlys bukan tapak utk pengganas ISIS, LTTE , Daesh dsb</t>
  </si>
  <si>
    <t>8 WNI ABK Diamond Princess di Yokohama Tidak Ikut Dievakuasi Karena Corona</t>
  </si>
  <si>
    <t>@ustadtengkuzul ISIS membunuh orang yg lain dari ISLAM Bagaimana #zultikargulung?????</t>
  </si>
  <si>
    <t>@kisbet_ Eh ini ttg apa ya? Baca twitny jd agak bingung. Wni kena covid-19 di luar negeri?</t>
  </si>
  <si>
    <t>Sapatonaaa kkkkk❤ RT @trem_mtq01: 🥰</t>
  </si>
  <si>
    <t>RT @edhi_shi: @jenk_kelinn Ada warga yg kesusahan utk beli susu anaknya yg berumur 6 bln, ada 3 anak yatim yg kelaparan di sumut sana, ada 6 anak di balikpapan yg ditinggal ortunya wafat. Msh byk anak2 disini yg butuh negara. @mohmahfudmd @Dr_Moeldoko mohon dibatalkan memulangkan anak2 isis.</t>
  </si>
  <si>
    <t>Isis canta Taiwan RT @ofcericksouzaa: sco pa tu manaa</t>
  </si>
  <si>
    <t>RT @emak3bocah: Di saat kita sbg orang tua memperlakukan anak-anak kita sebagai HARTA YANG PALING BERHARGA, sebaliknya orang tua para ISIS menjadikan anak-anak mereka sebagai alat kekerasan. Tolong para pemegang keputusan di NKRI jangan pernah mempertimbangkan u/ membawa mereka kembali. @jokowi</t>
  </si>
  <si>
    <t>RT @KompasTV: Cegah Corona, 188 WNI Diobservasi di Pulau Sebaru</t>
  </si>
  <si>
    <t>Semua hal baik yg terjadi dan akan terjadi di Indonesia,menurut pak wapres adalah berkat doa para ulama Ingatlah..resiko para relawan Kerja keras para pilot dan tenaga medis yg terancam terpapar corona karena membntu wNI yg dikarantina Lebih fair lah pak wapres @Kiyai_MarufAmin RT @KakekHalal: Kita bisa bebas Corona krn doanya para ulama setiap subuh banyak kiai baca doa qunut," kata Wapres @Kiyai_MarufAmin saat membuka Kongres Umat Islam Indonesia (KUII) Ke-VII di Hotel Novotel Bangka Tengah kamis 27/2/2020. Istighfar pak... Istighfar... 🙈</t>
  </si>
  <si>
    <t>@diceplokjgboleh @davidsmarkbaby @Rahelli31625820 @Anggraini_4yu Hadehh.. Ngeyel.. 😒 Sekalipun oknum tetep aja.. Karena masyarakat taunya mereka Islam.. Apalagi fenomena kayak gitu juga ada d negara lain kyak al qaeda, taliban, isis.. Ya semakin besar kemungkinan orang" beranggapan sperti itu.. 😒</t>
  </si>
  <si>
    <t>@senhsenh @CNNIndonesia Tlng jgn pk kata  wni tdk mau mendoakan buruk utk org2 baik ya.silahkan kl mau doa buruk utk org baik pake nama pribadi</t>
  </si>
  <si>
    <t>Di saat kita sbg orang tua memperlakukan anak-anak kita sebagai HARTA YANG PALING BERHARGA, sebaliknya orang tua para ISIS menjadikan anak-anak mereka sebagai alat kekerasan. Tolong para pemegang keputusan di NKRI jangan pernah mempertimbangkan u/ membawa mereka kembali. @jokowi RT @__MV_llestari__: MENJEMPUT TERORIS PULANG . . . Sempat kaget bercampur heran ketika seorang anak laki-laki berumur sekitar 8-9 tahunan menghampiriku dan menyodorkan tangannya dan kemudian meminta uang layaknya pengemis. Ini di Belanda pikirku.</t>
  </si>
  <si>
    <t>RT @KompasTV: Begini Isi Cottage 188 WNI Jalani Observasi Corona 14 Hari</t>
  </si>
  <si>
    <t>Mahfud Sebut Jumlah WNI Kombatan ISIS Bertambah Jadi 699 Orang</t>
  </si>
  <si>
    <t>RT @setkabgoid: Pemerintah Terus Berupaya Tingkatkan Perlindungan WNI di Korea Selatan</t>
  </si>
  <si>
    <t>RT @rubiavianto: @__MV_llestari__ @budiarto689 Semoga dirataskan lagi dengan lebih detail jika ingin memulangkan yang usia 10 tahun kebawah. Jika karena kemanusiaan cukup yang bayi saja, yang belum terkontaminasi akal, pikiran dan jiwanya dengan paham ISIS.</t>
  </si>
  <si>
    <t>@ksjwish0115 Aku pura pura bukan wni aja deh</t>
  </si>
  <si>
    <t>Sebelum Dirawat, WNI Terpapar Corona, Ternyata Sering Naik Taksi, Bus, dan Kereta</t>
  </si>
  <si>
    <t>RT @black__valley1: Hanya warga +62 Yang bisa begini 🤣🤣🤣🤣 Viral WNI Terinfeksi Virus Corona Main Tik Tok di Rumah Sakit Taiwan</t>
  </si>
  <si>
    <t>RT @Alpins16: Hari ini, WNI dari kapal world dream di evakuasi ke pulau sebaru #BersamaCegahCorona</t>
  </si>
  <si>
    <t>@__MV_llestari__ @budiarto689 Semoga dirataskan lagi dengan lebih detail jika ingin memulangkan yang usia 10 tahun kebawah. Jika karena kemanusiaan cukup yang bayi saja, yang belum terkontaminasi akal, pikiran dan jiwanya dengan paham ISIS.</t>
  </si>
  <si>
    <t>Natalius Pigai: Bukan Salah Arab Saudi Tolak Umrah WNI, Tapi Dunia Internasional Ragu Pemimpin RI Suka Bohong</t>
  </si>
  <si>
    <t>Hanya warga +62 Yang bisa begini 🤣🤣🤣🤣 Viral WNI Terinfeksi Virus Corona Main Tik Tok di Rumah Sakit Taiwan</t>
  </si>
  <si>
    <t>@seisemayang @sahaL_AS @jokowi Dia mah kagak boleh lihat gorengan....pinginnya jualan saja.....kagak aneh</t>
  </si>
  <si>
    <t>Jangankan negara lain, saya saja sebagai rakyat Ragu dengan Pemimpin yang suka bohong. Natalius Pigai: Bukan Salah Arab Saudi Tolak Umrah WNI, Tapi Dunia Internasional Ragu Pemimpin RI Suka Bohong - via @demokrasicoid</t>
  </si>
  <si>
    <t>@ustadtengkuzul Suriah ....ISIS membunuh secara brutal,,,note ISIS membawa nama ISLAM</t>
  </si>
  <si>
    <t>@DEQLZ1012 @ustadtengkuzul Anjing ini ngomong isis, mungkin anjing ini orang hindu,</t>
  </si>
  <si>
    <t>Maksudnya menolak Khilafah "yang dipaksakan seperti sekarang" ini adalah wajib , karena sekarang ini kita hanya di suruh SABAR dan SHALAT hingga imam mahdi yg dijanjikan-Nya di munculkan oleh-Nya Bukan yg di dengung2 oleh PKS HTI ISIS ataupun AL QAEDAH maupun WAHABI</t>
  </si>
  <si>
    <t>RT @hermana_t: Pekerja Indonesia yg terpapar virus Corona ternyata pernah bepergian naik taksi, bus dan, kereta Pekerja migran dari Indonesia tsb adalah orang ke 32 di Taiwan yg dinyatakan positif Covid-19 Turut prihatin dan berduka cita cc. @Kemlu_RI @KemenkesRI</t>
  </si>
  <si>
    <t>#LiveNow telewicara dengan Acmad Yurianto – Sekretaris Direktur Jenderal Pencegahan dan Pengendalian Penyakit @KemenkesRI terkait kondisi terkini 188 WNI ABK Kapal World Dream yang diobservas di Pulau Sebaru Simak informasinya di #IndonesiaPagi PRO 3 RRI</t>
  </si>
  <si>
    <t>WNI Kru Diamond Princess Segera Dipulangkan</t>
  </si>
  <si>
    <t>@meganamram ISIL vs. ISIS</t>
  </si>
  <si>
    <t>Setiap nonton berita pemulangan WNI karena virus corona, rasanya terharu &amp; sedih. Terharu karena akhirnya mereka bisa pulang, pemerintah melakukan usaha utk WNnya. Sedih karena mereka harus dipulangkan secara "khusus", ngebayangin aja klo gw atau keluarga ada di posisi mereka.</t>
  </si>
  <si>
    <t>RT @IndonesiaBaikId: Hai SohIB! Sebanyak 238 WNI dari Wuhan yg dikarantina selama 14 hari dinyatakan bebas #VirusCorona. #IndonesiaBaik #YangMudaSukaData #Infografis #ProgramPemerintah #Virus_Corona #NovelCoronavirus #nCoV @KemenkesRI</t>
  </si>
  <si>
    <t>Fasilitas Observasi WNI di Pulau Sebaru Sama dengan Natuna</t>
  </si>
  <si>
    <t>@AnakLolina @permadiaktivis MUI sekarang sarang Intoleransi. @Kemenag_RI tempat ISIS @jokowi diam bae..tanpa beban..sakarep mu</t>
  </si>
  <si>
    <t>RT @AjiMulyaji2: @wahhabicc_jabar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</si>
  <si>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RT @geloraco: Sebelum Dirawat, WNI Terpapar Corona, Ternyata Sering Naik Taksi, Bus, dan Kereta</t>
  </si>
  <si>
    <t>RT @JubirPresidenRI: Update dari KRI dr. Soeharso. TNI AL memfasilitasi evakuasi 188 WNI Anak Buah Kapal (ABK) MV. World Dream dengan menggunakan KRI dr. Soeharso-990 di Perairan Selat Durian, Kepulauan Riau, pada hari Rabu, tanggal 26 Februari 2020.</t>
  </si>
  <si>
    <t>Itu adalah beberapa kejadian saat ISIS masih berkuasa. Apakah kemudian akan sembuh dan selesai saat ISIS telah dikalahkan? Kasus penusukan yang dilakukan anak-anak remaja kepada tetangga dan bahkan kepada saudara sendiri banyak terjadi.</t>
  </si>
  <si>
    <t>RT @P3nj3l4j4h_id: Bentar lagi negara ini berubah nama bukan lagi Republik Indonesia tapi Republik Halal Indonesia Exs WNI isis aja dibolehkan masuk bahkan disiapkan penjemputan dan tempat tinggal krn masih halal..😂 Makanya buruan bikin stempel halal agar kamu dterima di negeri ini..😝😋</t>
  </si>
  <si>
    <t>RT @berlianidris: Saya, dan saya yakin banyak Muslim lainnya, mengutuk semua kezaliman atas nama agama apapun, terlebih lagi atas nama Islam. Agama tidak boleh dipolitisasi untuk menghasut orang berbuat kezaliman. Saya percaya bahwa Hindutva ≠ Hindu, seperti halnya ISIS ≠ Islam.</t>
  </si>
  <si>
    <t>Dibanding anak-anak simpatisan ISIS, anak korban kekerasan ras dan agama di Bosnia mungkin masih tidak seberapa. Mereka seringkali adalah korban yang harus melihat dan mengalami kekerasan, namun lebih gila, adalah anak-anak simpatisan ISIS. Mereka dilibatkan..!!</t>
  </si>
  <si>
    <t>WNI masih baik dan masih menjalani perawatan medis di Taiwan.</t>
  </si>
  <si>
    <t>Udah biasa toh WNI sini kl udh urusannya sama muslim langsung belagak superhero gak liat latar belakang kejadian. RT @CNNIndonesia: India Minta WNI Tak Termakan Hoaks Kerusuhan Hindu-Muslim</t>
  </si>
  <si>
    <t>Kapolri mengucapkan Terima Kasih Kepada Forkopimda Kepri atas kegiatan Observasi WNI #BersamaCegahCorona</t>
  </si>
  <si>
    <t>Panglima TNI Dan Kapolri Tinjau Pelaksanaan Observasi WNI #BersamaCegahCorona</t>
  </si>
  <si>
    <t>Kapolri berikan Bingkisan Kepada Personil saat Tinjau Pelaksanaan Observasi WNI #BersamaCegahCorona</t>
  </si>
  <si>
    <t>Panglima TNI Dan Kapolri Tinjau Observasi WNI du Kepri #BersamaCegahCorona</t>
  </si>
  <si>
    <t>RT @Yusriza45937310: Setelah Arab Saudi mengeluarkan larangan masuk bagi WNI, demi keamanan dr Corona, kemungkinan banyak negara bakalan melarang warga negara mrk datang ke Indonesia. Pariwisata akan merugi, PHK massal pun mengancam. DAN ITU SEMUA GAK BISA DI ATASI MELALUI BUZZER</t>
  </si>
  <si>
    <t>@RanaAyyub @EdwardGLuce Tereko bhi india mein isis cahiye? Bhootni.</t>
  </si>
  <si>
    <t>Bikin malu org Indonesia.</t>
  </si>
  <si>
    <t>WNI di Spanyol Diimbau Batasi Perjalanan Antisipasi Corona</t>
  </si>
  <si>
    <t>@Biji_Pala @ustadtengkuzul Makanya baca yg banyak Agar faham mana musuh mana teman jadi jadian musuh islam. ISIS bukan islam, tapi bentukan AS dan dibiayai AS untuk memecah dan menyerang Islam. ISIS adalah fitnah terbesar pada ummat islam.</t>
  </si>
  <si>
    <t>RT @RullyOedaya: @RamliRizal Arab Saudi dan India melarang WNI berkunjung karena corona pasti punya argumentasi. 72 M dari APBN justru malah nutup-nutupin tanpa dasar ilmiah. Saham dan rupiah anjlok, utangan tambah susah. Malah cukai recehan yg digeber. Ekonomi Peringkat 7 dunia ? Ambyaarrr....</t>
  </si>
  <si>
    <t>RT @adrian_eko: @do_ra_dong  Yang ini bukan min?</t>
  </si>
  <si>
    <t>@_im_dad @KRRRRISSSSH @theskindoctor13 Humne toh ISIS,Boko haram,9/11 aisi bohat saari cheezein padhi haìn. Tum log phir bhi bolte jo ya toh "Terrorism has no religion " ya phir "Saffron terrorists ". Ab tum jahil jihadio se kya baat karna? Chhodo 😂😂</t>
  </si>
  <si>
    <t>RT @Airin_NZ: Klian sndiri yg buat Hoax ad WNI yg trjangkit Virus Corona. Pmerintah mngatakn it Hoax. Klian ttp ngotot it bnr Skrng Arab Saudi mlarang WNI umroh krn waspada Virus Corona. Skrng klian triak gk ad WNI yg trjangkit Corona Klian yg buat Hoax. Klian juga yg mmbantahnya😂 Mamam tuh</t>
  </si>
  <si>
    <t>@wahhabicc_jabar Tanpa generasi anak ISIS!!! INDONESIA RAYA AKAN TETAP DAMAI-SEJAHTERA. SAYA MENOLAK ISIS MASUK INDONESIA</t>
  </si>
  <si>
    <t>RT @ZAEffendy: Hari ini, 28 Feb: 188 WNI, Kru Kapal Pesiar World Dream, Hongkong tiba di P. Sebaru, Kep. Seribu, Jakarta Utara untuk menjalani protokol observasi #COVID19</t>
  </si>
  <si>
    <t>@So_Achu Kkķkkkķkkk olha o drama</t>
  </si>
  <si>
    <t>RT @elHurryKoRn: Kadrun: Syiah itu bukan Islam Mr. X: Lu kok tau Kadrun: Lihat aja Amalia &amp; sholatnya beda dg Muslim2 lain Itu sesat harus kita lawan! Mr. X: Lu yakin Ibadahlu diterima Alloh kok ribet urusin Syiah? Syiah ga pernah Ngebom Masjid golongan lain, beda dg ISIS temen2 Lu! Kadrun: 😡</t>
  </si>
  <si>
    <t>Loh jadi WNI eks-ISIS beneran mau dipulangin? Holyfak</t>
  </si>
  <si>
    <t>@ISIS_Balik_NO @P3nj3l4j4h_id Kata dia ini cara tuhan menyayangi nya dan 72 bidadari sudah menunggu dia</t>
  </si>
  <si>
    <t>@mbahCokro77 Jadi ingat isis yang dikutuk president erdogan</t>
  </si>
  <si>
    <t>@MISSARAP Haknyeon ude cocok jadi WNI :(</t>
  </si>
  <si>
    <t>@FerdinandHaean2 Ini baru namanya Indonesia maju,,, bukan urus eks ISIS sama WAN Kadrun...</t>
  </si>
  <si>
    <t>@AdamuJawad Kwarai ma kuwa Tun Dazu Muke Kaftawa Da Wni Amma Sam Sam Basa son Gaskiya 😄😄</t>
  </si>
  <si>
    <t>Marc Klok Selangkah Lagi Jadi WNI, Persija Tambah Pemain Sebelum Bursa Transfer Tutup?</t>
  </si>
  <si>
    <t>@ustadtengkuzul Lalu bgmn dengn ISIS yg nota Bene Islam.. Hitunglah Muslim yg di bantai mereka karenah tidak sepaham dengan Mereka..</t>
  </si>
  <si>
    <t>@jenk_kelinn sebagai WNI bangga aku melihat nya</t>
  </si>
  <si>
    <t>@fajar17 @ustadtengkuzul Isis jg membantai umat islam goblok, terus isis itu siapa?</t>
  </si>
  <si>
    <t>@yodichandra28 @dianwni Wni lagi di jonggol yod</t>
  </si>
  <si>
    <t>@DORKyungsoo4 Aku masih khawatir maafkan. Baru baca berita klo wni jepang dan selandia baru yang positif corona berkunjung ke indonesia. :((</t>
  </si>
  <si>
    <t>@VIVAcoid *DOG AN ANIMAL PEMBENTUK ISIS BERSAMA OMBAMA! HAHAHA</t>
  </si>
  <si>
    <t>Berkumpul bersama WNI di KBRI Seoul | Korea + Indonesia Family Vlog  via @YouTubeGETTING TOGETHER IN THE INDONESIAN EMBASSY IN SEOUL</t>
  </si>
  <si>
    <t>@DORKyungsoo4 Terimakasih atas threadnya. Kebetulan saya tinggal di negara suspect. Dan mohon doanya semoga WNI disini diberi kesehatan dan segera reda. Bener2 jd berantakan soalnya😭😭😭</t>
  </si>
  <si>
    <t>RT @Je_Ly: Inilah pulau Sebaru yg disiapkan pemerintah u/ merehabilitasi 188 WNI dr kapal world dream. Pemerintah tlhh menyiapkan slrh SDM, logistik, hingga peralatan yg diperlukan, mengerahkan 762 org personel (tim medis, ahli gizi, psikolog, tim pendukung, hingga tim keamanan).</t>
  </si>
  <si>
    <t>RT @cornelladonara: @CastilloJoshima @mohmahfudmd @mohmahfudmd lebih sayang sm anak2 ex WNI yg jd Kombatan ISIS</t>
  </si>
  <si>
    <t>WNI miliarder (peringkat &amp; kekayaan) 60 R Budi Hartono=$18b 68 Michael Hartono=$17b 245 Prajogo Pangestu=$8b 415 Boejamin Setiawan &amp;amp; kel.=$5.5b 326 Susilo Wonowidjojo &amp;amp; kel=$6.5b 555 Anthoni Salim=$4.5b 573 Chairul Tanjung=$4.4b 1001 Elijah Widjaja=$2.8b 1146 Kel. Tahir=$2.5b</t>
  </si>
  <si>
    <t>RT @kemenkopmk: Menko PMK bersama Kepala BNPB dan rombongan kembali meninjau P. Sebaru Kecil, Kabupaten Kepulauan Seribu, DKI Jakarta utk memastikan kesiapan seluruh fasilitas utk observasi WNI yg menjadi ABK (Anak Buah Kapal) Kapal Pesiar World Dream dan Diamond Princess pd hari Jumat, (28/2).</t>
  </si>
  <si>
    <t>RT @kemenkopmk: Dlm khotbahnya, Menko PMK menyampaikan bhw para petugas saat ini sedang melakukan misi kemanusiaan utk memastikan pelaksanaan observasi WNI ABK Kapal Dream World berjalan baik &amp; lancar. Menko PMK jg mengajak doa bersama agar seluruh proses berjalan sesuai dgn yg direncanakan.</t>
  </si>
  <si>
    <t>RT @kemenkopmk: Menko PMK Muhadjir Effendy menyaksikan proses evakuasi dari Pulau Pantara hingga proses usai. Ia pun memastikan jalannya proses pemulangan WNI berjalan dengan lancar.</t>
  </si>
  <si>
    <t>Siapkan Pangan 267 Juta WNI, Garut Siap Serap KUR Rp5 Triliun</t>
  </si>
  <si>
    <t>@AlissaWahid Udah langsung aja ngomong ; jangan ganggu TKA cina yg ngerebut lapangan pekerjaan WNI. Mereka minoritas tapi jangan diusik.. gitu aja kok repot, kata bapak lo</t>
  </si>
  <si>
    <t>Butuh 2 Hari untuk Evakuasi 68 WNI Kru Diamond Princess</t>
  </si>
  <si>
    <t>RT @Jiloh96H: @itsnezaa @HematKuota @mrymjameela @Naya18Na @tubbirfess @Cetrekanmejikom Pemerintah kita sudah sangat berhati hati dan tidak gegabah dalam mengevakuasi wni nya, memilih petugas yg berkaitan dg kompetensi tinggi untk menghindari sgl kemungkinan negatif. Maka ayolah kita saling dukung untuk melindungi sebagai satu kesatuan.</t>
  </si>
  <si>
    <t>$RPNRF Alert - RAPID NUTRITION PLC Nutrition / Weight Loss  #Nutrition #WeightLoss $WNI $NUTR $GNC</t>
  </si>
  <si>
    <t>188 WNI Awak Kapal World Dream Tiba di Pulau Sebaru untuk Diobservasi Covid-19</t>
  </si>
  <si>
    <t>RT @translatorbali: Alhamdulillah Puji Tuhan proses evakuasi 188 WNI ABK kapal World Dream berjalan lancar. Mereka dalam kondisi sehat, suhu tubuh normal tidak ada yg diatas 38 derajat celcius. Observasi 14 hari di #PulauSebaru Kecil. #IndonesiabebasCovid19 #WaspadaCOVID19</t>
  </si>
  <si>
    <t>Alhamdulillah Puji Tuhan proses evakuasi 188 WNI ABK kapal World Dream berjalan lancar. Mereka dalam kondisi sehat, suhu tubuh normal tidak ada yg diatas 38 derajat celcius. Observasi 14 hari di #PulauSebaru Kecil. #IndonesiabebasCovid19 #WaspadaCOVID19</t>
  </si>
  <si>
    <t>PENGUMUMAN Tim Pelayanan dan Perlindungan WNI KBRI Riyadh akan melaksanakan pelayanan warga di Najran, dengan jadwal sbb: Hotel Al-Okhdood, Najran pada Ahad-Senin, 1-2 Maret 2020 pukul 16.00 - 22.00 @Kemlu_RI @KemnakerRI #negaramelindungi</t>
  </si>
  <si>
    <t>RT @Hanifah933: Keputusan PEMERINTAH akan MENOLAK SEMUA anggota ISIS Eks WNI ... tapi akan memulangkn ANAK YATIM PIATU WNI EX ISIS k Indonesia ... dear pak @jokowi tlg pikirkan lagi pak 🙏 ad 250 jt lebih org dinegeri ini yg mungkin di masa dpn akn TERANCAM Kehidupan ny 🙏 🎥 2/2 -</t>
  </si>
  <si>
    <t>@elHurryKoRn @jokowi @KomnasHAM Kemana mereka saat umat muslim di bantai di suriah oleh isis?</t>
  </si>
  <si>
    <t>@ustadtengkuzul 1. ISIS membunuhi muslim dan non muslim; 2. Al Qaeda membunuhi muslim dan non muslim; 3. Taliban membunuhi muslim dan non muslim; 4. Jaringan ISIS membunuhi muslim dan non muslim di Indonesia;</t>
  </si>
  <si>
    <t>Kkķķķkkk BERRO RT @vittifalar: Meu Deus, se a pessoa tá cagando pro assunto pra quê postar 10 tweets sobre?</t>
  </si>
  <si>
    <t>Jangan suka bohong tak apik, nanti bagaimana kalau suka bohong hidung bisa memanjang mulut mecucu, tak bagus kan!?</t>
  </si>
  <si>
    <t>Habis mantengin IG KBRI Seoul. Terus kaya... Jadi diplomat emg ga mudah. Di saat outbreak kaya gini ga bisa mikir diri sendiri. Tapi mikirin WNI yg ada di korea. Harus cepat tanggap buat ngeprovide layanan apapun itu. Tanggung jawab gede. Bawa nama negara + ngurusin warganya</t>
  </si>
  <si>
    <t>RT @OposisiCerdas: Sebelum Dirawat, WNI Terpapar Corona, Ternyata Sering Naik Taksi, Bus, dan Kereta</t>
  </si>
  <si>
    <t>Kepada @jokowi @mohmahfudmd @Kemenag_RI @PolhukamRI @DivHumas_Polri. Apakah mereka ini bukan WNI? Mereka punya hak yg sm dgn semua WNI lainnya. Seharusnya negara harus dgn tegas menjamin terlaksananya UUD 45 tntng kebebasan beribadah. Apakah karena sibuk promosi wisata halal? RT @TambunJoseph: Karena itu Jemaat GKI Yasmin dan HKBP Filadelfia akan mengadakan kembali ibadah perjuangan pada: Hari/tanggal : Minggu/1 Maret 2020 Pukul : 13.00 Wib. Tempat : SEBERANG ISTANA MERDEKA, JAKARTA</t>
  </si>
  <si>
    <t>The execution showed on Isis media has been in Aughz Tangi area of Dih Bala district of Nangarhar RT @Shahin_Tangi: Qari Saaid ISKP member from Aamar Katibi (Isis faction from Chaparhar) Posing with Islamic Emirate Mujahd head in Chaparhar Executing 1 of their member after he refused to take orders and on Amaq claiming he was Taliban spy (February 2018) Executed in Kunar with dozens bullets</t>
  </si>
  <si>
    <t>RT @republikaonline: Kapal yang digunakan untuk mengangkut 188 WNI itu juga di karantina.</t>
  </si>
  <si>
    <t>Pekerja Indonesia yg terpapar virus Corona ternyata pernah bepergian naik taksi, bus dan, kereta Pekerja migran dari Indonesia tsb adalah orang ke 32 di Taiwan yg dinyatakan positif Covid-19 Turut prihatin dan berduka cita cc. @Kemlu_RI @KemenkesRI</t>
  </si>
  <si>
    <t>Tonton dah kalo lg pengen nangis. — Keturunan WNI tanpa identitas: 15 tahun terpisah, ibu dan anak bersatu k...  via @YouTube</t>
  </si>
  <si>
    <t>Kapal yang digunakan untuk mengangkut 188 WNI itu juga di karantina.</t>
  </si>
  <si>
    <t>Natuna Jadi Lokasi Karantina WNI dari Wuhan, Bupati Ungkap Alasan Warga Saat Menolak</t>
  </si>
  <si>
    <t>RT @BruceEmond: WNI yang masuk daftar 100 orang terkaya dunia: #60 R Budi Hartono (BCA); usia 79 =US$18 miliar (naik 13 peringkat) #68 Michael Hartono (BCA); usia 80 =$17 miliar (naik 20) Total ada 30 WNI antara 2,816 miliarder dunia. (belum termasuk 7 warga negara China berdomisili di RI)</t>
  </si>
  <si>
    <t>@BiaAndradeOfc Linda bb 🥰🥰🥰🥰</t>
  </si>
  <si>
    <t>Para WNI ABK World Dream mengikuti berbagai kegiatan rutin.</t>
  </si>
  <si>
    <t>RT @hidayat_y28: Daripada memulangkan anak-anak eks WNI yg bergabung dengan ISIS, lebih baik @jokowi memperhatikan anak2 di negeri ini yg memiliki rasa nasionalisme &amp; cinta tanah air Meskipun Banjir, tetap kibarkan merah putih SDN 3 Tanah Abang Kab Pali Sumsel</t>
  </si>
  <si>
    <t>@isisscoutinho opa isis</t>
  </si>
  <si>
    <t>@ustadtengkuzul isis bunuin syiah ama zoroaster/yazidi stad</t>
  </si>
  <si>
    <t>Curhatan Omed, WNI mahasiswa S2 Linguistik di Wuhan yg ditolak ikut pulang ke INA krn mengisi kolom batuk dan 3 kali hasil cek suhunya 36°C, " mental sy ndumplang, ingin nyebur sumur, sy jadi rajin sholat &amp; ngaji, disini sepi " 😢</t>
  </si>
  <si>
    <t>@rcallimachi ye isis ka screenshot apke pas kaha seaya</t>
  </si>
  <si>
    <t>@MNithiya @maszlee LTTE tu sama macam Hamas dan Daesh ISIS lah. Ikut definisi negara mana haramkan sebagai pengganas. Orang muslim pun kena tangkap uols dah bertahun dh kat malaysia ni hanya sebab simpan buku daesh/isis tu. just because u indian tak payah nak whining crying with victim card lah!!</t>
  </si>
  <si>
    <t>WNI yang masuk daftar 100 orang terkaya dunia: #60 R Budi Hartono (BCA); usia 79 =US$18 miliar (naik 13 peringkat) #68 Michael Hartono (BCA); usia 80 =$17 miliar (naik 20) Total ada 30 WNI antara 2,816 miliarder dunia. (belum termasuk 7 warga negara China berdomisili di RI) RT @quickclarity: Hurun Global Rich List 2020: Meet World’s Top 10 Richest People</t>
  </si>
  <si>
    <t>@poetswritersinc Art, "Kangaroo", by Isis Masshiro. #amwritingfantasy #writing #poetry #FacebookStoriespoetry #microfiction ?</t>
  </si>
  <si>
    <t>Trus isis yg gorok sesama muslim lu bilang apa zul? Mahluk mahluk seperti lu ini diciptakan sebenarnya emang tujuannya untuk jadi provokator ya zul? Umur da lanjut bukanny perbanyak ibadah tp malah ngumbar kebencian! RT @ustadtengkuzul: 1.Muslim dibantai di Rohingya, negara mayoritas Buddha. Muslim dibunuhi di Palestina oleh Yahudi. Muslim dibunuhi di Bosnia oleh Serbia, di Eropa. Muslim dibunuhi di India, negara mayoritas Hindhu Adakah penganut Agama selain Islam yg dibunuhi massal di negara mayoritas Muslim?</t>
  </si>
  <si>
    <t>Selain WNI yang dari kapal Diamond Princess, kayanya ibu2 ini perlu di isolasi juga karna kebodohannya :( Trus isolasi nya pake isolasi yg warna item biar kuat. RT @grace_nat: Malu banget 😭😭</t>
  </si>
  <si>
    <t>RT @kemenhub151: #KawulaModa, Keputusan Pemerintah Arab Saudi menutup akses masuk warga negara asing ke Arab Saudi, sangatlah mengagetkan. Keputusan tersebut dimaksudkan sebagai upaya mencegah penyebaran virus Corona hal ini berdampak pada WNI yang akan bertolak ke tanah suci.</t>
  </si>
  <si>
    <t>@pangestu_cakra @habibthink @jokowi Rohingya salah Jokowi, Uighur salah Jokowi, Palestina salah Jokowi, ISIS kalah salah Jokowi Yg Jokowi ga disalahin cuman pembantaian di Yaman oleh Arab Saudi.</t>
  </si>
  <si>
    <t>@Rendy51500187 @Gonopane1 @ekoaprie @deniachbas_ @Hilmi28 @aniesbaswedan Ex WNI</t>
  </si>
  <si>
    <t>@chikastuff logikanya WNI kan juga ada diseluruh dunia, tapi toh kabarnya belum ada satupun dr mereka yg meninggal. Ada emang yg terinfeksi, tapi udah sembuh gitu aja.</t>
  </si>
  <si>
    <t>#India Duta Besar India untuk Indonesia, Pradeep Kumar Rawat, mengklaim kondisi di New Delhi saat ini aman dan damai, terkait kerusuhan yang menewaskan puluhan orang.</t>
  </si>
  <si>
    <t>@Genma005 Pak @jokowi rico gk apal pancasila tolong pecat jd wni, pindah ke mars</t>
  </si>
  <si>
    <t>RT @Sudastika: 7) Salah satu hoax yang meresahkan masyarakat akibat wabah Corona adalah pengungsian warga Natuna. Mereka mengungsi akibat pangkalan militer di Natuna dijadikan transit karantina WNI dari Wuhan. #HPN2020 #PerangiHoax @yantischroder @emaknya_naila @Asti_Tyas</t>
  </si>
  <si>
    <t>Gua nonton ini tengah malem auto nangis, jadi kangen sososk ibu :') Keturunan WNI tanpa identitas: 15 tahun terpisah, ibu dan anak bersatu k...  lewat @YouTube</t>
  </si>
  <si>
    <t>RT @FerdinandHaean2: Tiga Kakak Beradik Miskin Kelaparan dan Terpaksa Makan Sabun, Kini Sakit Pak @jokowi yth, apa perasaan bpk membaca sprt ini? Membantu mrk jauh lbh mulia drpd memberi uang 72 M utk buzzer medsos. Pak @mohmahfudmd lbh baik urus yg sprt ini dprd anak ISIS.</t>
  </si>
  <si>
    <t>RT @KBRI__Roma: Himbauan bagi WNI di 🇮🇹 terkait penyebaran virus Covid-19. Tetaplah waspada,jaga kesehatan pribadi&amp; ikuti perkembangan informasi melalui berita,media sosial&amp;amp; @safetravelkemlu. Update data keberadaan diri Anda di 🇮🇹 pada link  #NegaraMelindungi @Kemlu_RI</t>
  </si>
  <si>
    <t>Terbukti santuy</t>
  </si>
  <si>
    <t>@tvOneNews Saya perkirakan rakyat Indonesia belum bisa menerima jika Indonesia memiliki presiden WNI Keturunan... (cina, arab, dll)</t>
  </si>
  <si>
    <t>Para WNI di kapal world dream ini dievakuasi ke Pulau Sebaru Kecil untuk menghindari wabah virus corona. #PulauSebaru #AGPeduli</t>
  </si>
  <si>
    <t>@Murtaza21216113 @Id_RajAgnihotri @ullahkhan_waqi @ZairaWasimmm 9/11, London Bombing, 26/11, ISIS... har jagah jihadis.. bahaane kahan chalenge???</t>
  </si>
  <si>
    <t>@Rendy51500187 @Gonopane1 @ekoaprie @deniachbas_ @Hilmi28 @aniesbaswedan 680 orang ex WNI Pejuang ISIS kabarnya tenggelam terdampar DIMANA-MANA WASPADALAH</t>
  </si>
  <si>
    <t>@jokowi Pak @jokowi , dr pd bapak kasak kusuk mau pulangkan anak anggota isis, kenapa bapak tidak melihat rakyat bapak ex pengungsi Timor Timur? Saya baru saja habis nonton di @KompasTV soal ini. Mereka terabaikan nyaris 6th pemerintahan bapak. Kl gak percaya minta videonya ke @KompasTV</t>
  </si>
  <si>
    <t>Mengingat di internet ada banyak sagapung, propagandis ISIS, dan buzzeRp, yeah gue pro "Anak2 gak punya privasi" RT @tilehopper: the replies to this thread are horrifying. Parents demanding their kids to give all their password accounts is teaching those kids bad privacy practice. What the fuck is wrong with those parents? Do they will give up their password if asked too?</t>
  </si>
  <si>
    <t>@mxfrt @anahsw8 @itswowgd @DORKyungsoo4 lah dikira org indonesia semuanya kerja dilapangan apa-_- WHO aja sampe nyindir ada negara yg kepedean virusnya ga bakal nyampe ke negaranya atau kena ke warganya toh tau taunya ada tuh wni yg kena</t>
  </si>
  <si>
    <t>@DEQLZ1012 @ustadtengkuzul Koplak isis usus... ngerti kagak lu!</t>
  </si>
  <si>
    <t>@jokowi Betul pak. Begitu juga dengan WNI, tolong jangan tutup-tutupi kalau memang wabah tersebut sudah masuk Indonesia. Jangan mentang-mentang menjaga investasi dr Tiongkok, mengakui Indonesia baik-baik saja.</t>
  </si>
  <si>
    <t>Su talalu karas ini kaka</t>
  </si>
  <si>
    <t>RT @EkoSeputro13: Napa yaa... Pemerintah kok takut sama Ormas ?!,🤔, daripada sibuk ngurusin anak-anak iblis ISIS eks WNI, lebih baik ngurusin anak-anak yatim piatu,Gepeng di jalanan, anak- anak-anak yang mengalami gizi buruk di Indonesia masih sangat banyak sekali, 😭😭😭 #tolakanakisiskembali</t>
  </si>
  <si>
    <t>RT @ricardotaomaria: • BISPO feat Ivangelizandro • Jacinta Cabello • Billie Amish</t>
  </si>
  <si>
    <t>RT @IdEmbassy_Seoul: Seperti apa sih suasana di Posko Aju KBRI Seoul? Sejak pagi, tim di Posko Aju KBRI sudah kembali bersiap untuk mendistribusikan berbagai kebutuhan untuk rekan-rekan WNI di Daegu dan sekitarnya, melakukan pemantauan situasi serta berkoordinasi dengan koordinator wilayah.</t>
  </si>
  <si>
    <t>RT @IdEmbassy_Seoul: Bagi WNI yang berada di Korsel, khususnya di Daegu dan Gyeongsangbuk-do, mari senantiasa tetap tenang dan tingkatkan kewaspadaan. Semoga wabah COVID-19 bisa cepat ditangani 🙏 #NegaraMelindungi</t>
  </si>
  <si>
    <t>@HorribIeAccount Only Kerala We sanghi terrorst klling ur isis mulsm brother in north</t>
  </si>
  <si>
    <t>@InayahRasyid ISIS lu ya bngst</t>
  </si>
  <si>
    <t>Video: Pelepasan Tim Evakuasi WNI dari Kapal Diamond Princess</t>
  </si>
  <si>
    <t>Tony Blair Adalah Penyokong SERANGAN Ke Irak Pada Sekitar April 2003,Akibatnya Ribuan Rakyat Irak Tewas Dan Muncullah ISIS. RT @KompasTV: Bahas Ibu Kota Baru, Presiden Jokowi dan Tony Blair Diskusi</t>
  </si>
  <si>
    <t>@iAmKingAbbasi @satish142107 @Khankamoo @daniel86cricket @thePSLt20 Isi k aage bs S laga de isis ho jata h Aur tum sb isis ki soch wale atankwadi ho Ghar maa behn ko marte ho aur dusre desh m jake bomb marte ho Abe Saudi Arabia jaisi country m b tum pakis ko chor ki nazar s dkhte h. Koi dusri country passport b nai deti ki atankwadi na aa jaye.</t>
  </si>
  <si>
    <t>@wisanggeni_084 @FerdinandHaean2 Kayaknya pinteran MONYET dibanding manusia BOTAK ini......muonyet saja ketawah...😂😂😂😂</t>
  </si>
  <si>
    <t>RT @effendy_seven: Ini rupanya yg terjadi. Paham jihad ISIS masuk India. Benar kata2 media, mereka akan pindah ke ASIA. Ya dah, pulangkan aja WNI ex ISIS nya Mr. President @jokowi . 🤭</t>
  </si>
  <si>
    <t>@cctvidiots Serasa jadi anak kandung 😂</t>
  </si>
  <si>
    <t>kalau emang udah ada wni yg positive covid at least ada suatu wil yg spread viruss nya cepet gitu, misal tb tb flu jamaah gitu di suatu wilayah, tapi smp skrg tu blm ada gituuu</t>
  </si>
  <si>
    <t>SAHAM ANJLOKKKK. Corona kontol, blm aja di bully WNI</t>
  </si>
  <si>
    <t>bbrpa th yg lalu faksi2 ekstrimis islamis India sudah menyatakan baiat ke ISIS dan trjadi bbrpa aksi terror mknya ada dan diusulkan nya UU anti islam. 13th yg lalu pun pernah ada aksi terror dr india al aqeda penyanderaan pd sebuah gedung yg akibatkan byk korban jiwa. RT @gadisresidu_b3: @GagakNeww2 @jenk_kelinn @yudhapati88 Di India kekerasan dipicu oleh pro-kontra UU anti Islam, di Indonesia meski belum ada UU anti kelompok tertentu, namun nuansa intoleran atas keberagaman juga cukup terasa.@jokowi</t>
  </si>
  <si>
    <t>RT @demokrasicoid: Dilarang Masuk Arab Saudi, Rezim Jokowi Bohong WNI tak Terkena Virus Corona</t>
  </si>
  <si>
    <t>Ini rupanya yg terjadi. Paham jihad ISIS masuk India. Benar kata2 media, mereka akan pindah ke ASIA. Ya dah, pulangkan aja WNI ex ISIS nya Mr. President @jokowi . 🤭 RT @SamardevChauhan: India is a secular country but Islamic Jihadist forces want to establish a Khilafaat here and India won't let it happen. Tell me how many Muslim majority country are democratic ? Islam is against democracy and secularism (Kaafirs and non kafirs). We hindu don't have such concept</t>
  </si>
  <si>
    <t>@syn_12 @KapanKematian @GalangMohammedd Ih itu bukan galang, itu siapa aduh, yang ikut isis</t>
  </si>
  <si>
    <t>RT @salahsambungya: Hhhh.. Emaknya ikut pulang gak? Misahin orangtua sama anaknya emang ide yang bagus ya? Setelah deradikalisasi anak2 itu dikirim kemana? Masuk panti asuhan semua? Ide cemerlang sekali mulangin anak2 ISIS</t>
  </si>
  <si>
    <t>Penyebar hoAks Kah? India Minta WNI Tak Termakan Hoaks Kerusuhan Hindu-Muslim</t>
  </si>
  <si>
    <t>@Radhika_Khera Sun be agar tere ko itna fikr h to Taliban ya ISIS ke pas chali ja tujhe samajh me aa jaiyega. Or meri Bhasha pe comment Mt Karna kyuki Tu izzat dene ke layek nhi h.</t>
  </si>
  <si>
    <t>@FikriAbdul13 @TofaTofa_id @DMainovel @IraSKaminsky Lu WNI bukan ? Atau lu ISIS ?</t>
  </si>
  <si>
    <t>Legislator ini Desak Pemerintah Segera Pulangkan WNI di Kapal Diamond Princess</t>
  </si>
  <si>
    <t>@msaid_didu WNI yg terkena ketika mereka di luar nwgeri Lalu gak banyak yg k3na Fan daya tahan kuat</t>
  </si>
  <si>
    <t>[FULL] Detik-detik 188 WNI Tiba di Pulau Sebaru, Disertai Pengawalan Ketat  via @YouTube</t>
  </si>
  <si>
    <t>RT @reconWaRRioRs: antik juga kapal ini 🙂,, kayak pendaratan di Normandy 1944 - dday, ,, pasti baru ini naik, bukan untuk umum,,</t>
  </si>
  <si>
    <t>Himbauan kepada seluruh WNI di Brasil terkait kasus positif CoVid-19 dan perkembangan terkini situasi di Brasil. Kiranya agar seluruh WNI meningkatkan kewaspadaan, namun tetap tenang dan tidak panik. Hotline KBRI: +55 61 991184650 #NegaraHadir #NegaraMelindungi #IniDiplomasi</t>
  </si>
  <si>
    <t>@enny_endah @ISIS_Balik_NO Hidupnya dlm kegelapan</t>
  </si>
  <si>
    <t>@TulusG1 @enny_endah @ISIS_Balik_NO Sunggu kejam dikau.... Tpi emang bener ko, setuju....</t>
  </si>
  <si>
    <t>@yolskey Bukannya 4 wni udah kena ya, kan ada beritanya 3 wni crew kapal jepang &amp; 1 wni taiwan</t>
  </si>
  <si>
    <t>RT @_zulhhh: 4 golongan yang tidak disentuh api neraka : 1) Hayyin : Tenangan jiwa 2) Layyin : Lemah lembut dan santun tuturnya 3) Qarib : Ramah dan suka senyum 4) Sahl : Memudahkan setiap urusan orang lain Semoga kita tergolong, Amin</t>
  </si>
  <si>
    <t>@jenk_kelinn Ada warga yg kesusahan utk beli susu anaknya yg berumur 6 bln, ada 3 anak yatim yg kelaparan di sumut sana, ada 6 anak di balikpapan yg ditinggal ortunya wafat. Msh byk anak2 disini yg butuh negara. @mohmahfudmd @Dr_Moeldoko mohon dibatalkan memulangkan anak2 isis. RT @jee_creepers: @adtaufiq @Aryprasetyo85 @PartBurungGalak @ganjarpranowo @DivHumas_Polri Cc @mohmahfudmd Lihat wargamu disini masih ada yg butuh bantuan bukan EX WNI ISIS aja yg diirusin</t>
  </si>
  <si>
    <t>TNI Amankan Lokasi Observasi WNI ABK World Dream - Tempo: TNI Amankan Lokasi Observasi WNI ABK World Dream Tempo</t>
  </si>
  <si>
    <t>Melihat Aktivitas WNI ABK World Dream di KRI dr Soeharso - Tempo: Melihat Aktivitas WNI ABK World Dream di KRI dr Soeharso Tempo</t>
  </si>
  <si>
    <t>Alasan anttisipàsi virus. Rombongan Wni yg aka n. UmŘah đitolak. Masuk ke. Jeddah.</t>
  </si>
  <si>
    <t>RT @DORKyungsoo4: @AFarasoraya Yg saya maksud itu "bila pasien itu negatif, maka ya negatif" Dan bbrp waktu lalu ada dari WNI bekerja di satu cruise intl yang positif bukan? Namun kini sedang tidak ditangani di Indo sesuai prosedur WHO dalam pengendalian infeksi. Tp kasusnya kalau di Indo sendiri, blm ada +</t>
  </si>
  <si>
    <t>RT @SelumaP: TNI-POLRI-Pemda Bersinergi tinjau kesiapan Fasilitas dan keamanan Pulau Sebaru untuk Observasi WNI ABK World Dream” #BersamaCegahCorona</t>
  </si>
  <si>
    <t>RT @kjrijohorbahru: KJRI Johor Bahru senantiasa membantu dan memastikan kelancaran pengurusan dokumen WNI sebagai komitmen Pemerintah Indonesia dalam rangka meningkatkan pelayanan dan pelindungan WNI di luar negeri. #IniDiplomasi #NegaraMelindungi</t>
  </si>
  <si>
    <t>Kepada Bapak/Ibu/Kakak/Adik seluruh WNI di Swiss dan Liechtenstein, Sempatkan daftar diri melalui laman  karena #WNIPeduli isi #PeduliWNI Pastikan Anda juga terjangkau oleh KBRI! #WNISalingJaga #KBRIPastiJaga</t>
  </si>
  <si>
    <t>RT @owlsblxck_: Hargai aku disaat aku masih berjuang, jangan hargai aku disaat aku sudah terluka. -Dilan 1991</t>
  </si>
  <si>
    <t>@Anna_MaSue Betul Tagar #MyPresidentIsAnIdiot memalukan Jngn lambungkan lagi #MyPresidentIsAnIdiot Saya sbg WNI malu #MyPresidentIsAnIdiot</t>
  </si>
  <si>
    <t>baru reda amarah aing, udh ade aje yee yg pengen pala nya diputer kyk isis</t>
  </si>
  <si>
    <t>antik juga kapal ini 🙂,, kayak pendaratan di Normandy 1944 - dday, ,, pasti baru ini naik, bukan untuk umum,,</t>
  </si>
  <si>
    <t>“Akibat nihilnya bantuan dari pemerintah, para penyintas harus saling bantu satu sama lain” Tuan2 Mulia ⁦@jokowi⁩ ⁦@mohmahfudmd⁩ ,saya harap tuan2 berani menjawab mereka. Jangan cuma berani memakai uang pajak mereka utk bawa pulang anak2 ISIS.</t>
  </si>
  <si>
    <t>RT @cnbcindonesia: Momen Menlu Cs Lepas Tim Evakuasi WNI di Diamond Princess</t>
  </si>
  <si>
    <t>Landing Craft Utility (LCU) KRI dr Soeharso mengangkut 188 WNI ABK World Dream untuk diobservasi di Pulau Sebaru Kecil, Kepulauan Seribu, Jakarta, Jumat (28/2/2020).</t>
  </si>
  <si>
    <t>Ini kakel aku kerja di cruise, kapalnya kena observe di HK, alhamdulillah semua ABK WNI gaada yang positif corona. sekarang diobserve lagi di pulau sebaru. semoga semuanya negatif corona🙏</t>
  </si>
  <si>
    <t>RT @Jiloh96H: @Nurul_Yeollipop @ccmlndsr31 @yolskey Pemerintah kita juga sangat hati hati dalam mengevakuasi wni, tidak gegabah dg tindakannya, tdk sprt negara lain yg gegabah mengevakuasi wn nya hingga akhirnya terjadi sprt ini. Yg penting jg terus kondisi tetap fit</t>
  </si>
  <si>
    <t>Mahfud MD Sebut Jumlah WNI Eks ISIS yang Terdata Bertambah</t>
  </si>
  <si>
    <t>RT @yudhapati88: @AnakKolong___ @GagakNeww2 @Iqbal__Kholidi mohon @CCICPolri @BIN_Official @Kepolisian_RI @BareskrimPolri @BaisTNI check telegram group genk ISIS dan BokoHaram ini ⬇️</t>
  </si>
  <si>
    <t>RT @xiyulinglee: @AlissaWahid @PP_LKKNU Dear ,Mohon Ajarkan &amp; tanamkan pada Mereka.Umat Kristen WNI itu Orang Indonesia Kita Satu Negara,satu Nenek Moyang.Janganlah Mendiskriminasi Umat Kristen Indonesia di Negaranya Sendiri.Lihat Pengungsi Umat Islam lebih senang hidup di Negara2 KRISTEN Eropa ketimbang ke ARAB .WAY?</t>
  </si>
  <si>
    <t>(WNI di jepang gak ada takut-takutnya sama virus corona, masih sempet-sempetnya cari makan jam segini)</t>
  </si>
  <si>
    <t>@genzong @hidayati006 @do_ra_dong  Yang ini bukan ?</t>
  </si>
  <si>
    <t>Evakuasi 68 WNI dari Kapal Diamond Princess, Tim Gabungan Terbang ke Jepang Menteri Luar Negeri Retno Marsudi melepaskan tim evakuasi 68 warga negara Indonesia (WNI) awak kapal pesiar Diamond Princess yang tertahan di Jepang</t>
  </si>
  <si>
    <t>@AnakKolong___ @GagakNeww2 @Iqbal__Kholidi mohon @CCICPolri @BIN_Official @Kepolisian_RI @BareskrimPolri @BaisTNI check telegram group genk ISIS dan BokoHaram ini ⬇️ RT @NicWalker8: @good_gang99</t>
  </si>
  <si>
    <t>Kuduna isis sparingkeun jeung jelma nu kararieu. Meh marusnah jelma2 lalieur kieu RT @Gilang_Mahesa: #BoikotIndia. !</t>
  </si>
  <si>
    <t>RT @yudhapati88: @AnakKolong___ @GagakNeww2 @Hanifah933 Jihadis India Pemuja Khilafah memang bbrpa kali bikin terror di India.. 3th sdh mreka baiat ke ISIS.</t>
  </si>
  <si>
    <t>RT @DeadlockHeaven: Kenapa heran? Buat kadrun Indonesia, umroh dan haji itu pengorbanan untuk bisa mendapat pahala surga. Buat Arab Saudi, WNI itu cuma turis.</t>
  </si>
  <si>
    <t>RT @Shalushal2602: 400......Bar........... Bcha kya fir......Isis me or Bharatiya mullo me?????</t>
  </si>
  <si>
    <t>4.078 Jemaah WNI Gagal Umrah: Ratusan Jemaah Dipulangkan dari Turki</t>
  </si>
  <si>
    <t>@Stark9773 Ni mi gistin isis cincinis 😂</t>
  </si>
  <si>
    <t>Jelang kedatangan WNI, Panglima TNI dan Kapolri cek kesiapan Sebaru #BersamaCegahCorona</t>
  </si>
  <si>
    <t>400......Bar........... Bcha kya fir......Isis me or Bharatiya mullo me?????</t>
  </si>
  <si>
    <t>RT @BeritaCOVID19: Dengan demikian telah ada 2 WNI pekerja di luar negeri yang positif tertular COVID19. Satu di Taiwan ini, dan satu seoranf asisten rumah tangga di Singapura.</t>
  </si>
  <si>
    <t>RT @BeritaCOVID19: Seorang WNI pekerja ilegal di Taiwan dinyatakan positif terinveksi virus SARS-CoV-2. Dia bekerja sebagai perawat lansia, diduga telah tertular dari pasien yang dia rawat.</t>
  </si>
  <si>
    <t>Natalius Pigai: Bukan Salah Arab Saudi Tolak Umrah WNI, Tapi Dunia Internasional Ragu Pemimpin RI Suka Bohong - Suara Nasional #MyPresidentIsAnIdiot</t>
  </si>
  <si>
    <t>RT @musniumar: Arab Saudi melarang WNI dan banyak negara utk umrah guna cegah penyebaran virus Corona. Banyak pengusaha dan warga yg rugi karena sudah bayar biaya umrah tiba2 batal umrah. Semoga sabar dan ambil hikmah dibalik itu. Manusia merencanakan, Allah yg menentukan.</t>
  </si>
  <si>
    <t>@BirgaldoS @mohmahfudmd @jokowi Tanggunglah kalok cuman anak2nya ISIS yg di peratikan, sekalian aja sama bapak2nya bang,</t>
  </si>
  <si>
    <t>Gak mau mewek sendirian gaes.... Keturunan WNI tanpa identitas: 15 tahun terpisah, ibu dan anak bersatu k...  lewat @YouTube</t>
  </si>
  <si>
    <t>@AnakKolong___ @GagakNeww2 @Hanifah933 Jihadis India Pemuja Khilafah memang bbrpa kali bikin terror di India.. 3th sdh mreka baiat ke ISIS. RT @rcallimachi: Unsurprisingly, the viral image of a Muslim man being beaten by a Hindu mob in Delhi has now been repurposed by ISIS, in a poster justifying retaliatory violence in “Wilayat al-Hind,” the Caliphate’s “Indian Province.”</t>
  </si>
  <si>
    <t>@DrKumarVishwas Yeh to isis se bhi berham h</t>
  </si>
  <si>
    <t>Sebenernya yang bikin resah tuh sikap denialnya pemerintah, termasuk kamu. :)) Indonesia udah jd bahan ghibah international, mau Rp 72 M digelontorin kalo trustnya ga dibangun ya ga guna. Plus WNI yg punya perlu ke negara dg penanganan COVID19 yg lebih baik bisa jadi ribet. RT @KemenkesRI: Arus informasi mengenai kasus #coronavirus begitu masif, supaya informasi yg beredar tidak simpang siur dan tidak menimbulkan hoax sehingga menciptakan keresahan pada masyarakat, @KemenkesRI menyediakan hotline #coronavirus di nomor berikut. Jangan lupa disimpan ya #Healthies!</t>
  </si>
  <si>
    <t>Kapolri dan Panglima TNI Tinjau Kesiapan Lokasi Evakuasi dan Observasi WNI di Pulau Serabu. . . . #bersamacegahcorona @divisihumaspolri @humaspolrestrobekasi @humas.pmj @beritaaktualindonesia</t>
  </si>
  <si>
    <t>RT @JennyLamtio: @kompascom Yah.. kayaknya byk yg ga baca beritanya sampe abis ya.. 😅dia main tiktok smbil sebutin nama rs n dokter, dan ternyata dia wni ga resmi jg kerja disana hadeh ~ i think tiktok cmn clickbait doang</t>
  </si>
  <si>
    <t>RT @_AmirAsyraf_: “ nak jumpa, jumpalah. Taknak takpa “ “ nak call, call jela dulu “ “ rasa nak pujuk, pujuk jelah “ Aku percaya 99.99% perempuan akan turn off jenis lelaki perangai yang macamni. Dahlah, Effort takda lepastu cepat give up. Am i right?</t>
  </si>
  <si>
    <t>@KemenkesRI Update #CoronavirusFrance #COVID19 untuk WNI (28/2): di Prancis sdh 38 kasus konfirmasi, dengan 2 korban meninggal. Utk WNI yg tiba dari CH, HK, SIN, SKor, antisipasi jk ada pemeriksaan medis di bandara. Bawa stok masker/hand sanitizer. Ikuti terus:</t>
  </si>
  <si>
    <t>RT @Art_fleck_14: Humaidi WNI di Wuhan yang tidak di terevakuasi kecewa terhadap pemerintah RI. Gimana ini 🙄🤔 #BUMNdikuasaiKoruptor</t>
  </si>
  <si>
    <t>RT @vivanewscom: Menlu: Dua WNI di Jepang Enggan Pulang  #vivanews</t>
  </si>
  <si>
    <t>Menlu: Dua WNI di Jepang Enggan Pulang  #vivanews</t>
  </si>
  <si>
    <t>Menolak jama'ah umrah adalah kerugian besar bagi devisa Arab Saudi. Tapi mereka tdk memandang nilai ekonominya. Keselamatan rakyat bagi mereka adalah yg utama. Karna tugas utama pemerintah adalah mlindungi rakyatnya.</t>
  </si>
  <si>
    <t>RT @MAHA51920783: @adusila @SahlanAmin4 @Soleh64268085 @asuhan101010101 @GusMendem1 @logic_editor @BerisikEmak @NowowoNowiwi @young_tanjuang @Nemo_4512 @Refan82237598 @lambeintel @el_loco234 @Aki7R3J0 @ErvineKiddies @Gus_KW Fpi di tuduh ISIS...yg cinta ISIS yahudi banser wkwkkqkqkqk</t>
  </si>
  <si>
    <t>RT @tiqwa_aziz: Jika karena ham mantan2 WNI yg jadi teroris bisa dipulangkan, kenapa sulit mengembalikan hak-hak warga Ahmadiyah di transito (Lombok) dengan alasan yang sama? @mohmahfudmd @jokowi @Kemendagri_RI @KSPgoid @Takviri</t>
  </si>
  <si>
    <t>RT @gmarthagraciela: org indo memang, terlalu santuy. kasian sama virus coronanya, kayak ga berharga dimata dia :”) source:</t>
  </si>
  <si>
    <t>@kompascom Dan tetiba WNI yang terinfeksi virus corona sembuh. Dan akhirnya semua warga yg terinfeksi Corina wajib main tik tok</t>
  </si>
  <si>
    <t>@detikcom WNI aman, pak Raja. Jangan syedih, coronanya males nempelin kita 🤣</t>
  </si>
  <si>
    <t>Hindu Taliban / Al Qaida / ISIS??? RT @Bahujan4India: ये रागनी तिवारी है जो 3-4 दिनों से FB पर लाइव भड़काऊ बयानबाजी कर रही थे ये देखो क्या बोले रही है "जो भी गद्दार हो उसको काट दो,ये भीम्टे है क्या?" जो लोग दंगा फसाद के लिए दलितों पे झूठे आरोप लगा रहे थे इसको देख कर साफ जो गया है कि ये लोग दलितों के साथ मुस्लिमो से भी नफ़रत करते है</t>
  </si>
  <si>
    <t>188 WNI Berhasil Dievakuasi ke Pulau Sebaru, Kemenkes: Mereka Sehat 188 WNI anak buah kapal (ABK) World Dream berhasil dievakusi dengan KRI dr. Soeharso dari perairan Durian, Kepulauan Riau.</t>
  </si>
  <si>
    <t>@toegiono @andori jadi pedagang tissue dan pembalut kali yah om jek haha semoga om jek dan WNI lain sehat sehat trs yah disana!</t>
  </si>
  <si>
    <t>@hidayat_y28 @azhar_can @jokowi 😀😀😀 jadi WNI yg lari dari Indonesia ke AS dgn pura2 jadi korban tragedi 98 tdk bisa dpt WNI lagi dong? Pdhl presiden Trump mau usir mereka krn imigran ilegal 😀😀</t>
  </si>
  <si>
    <t>RT @rarazkrl: hati-hati student Lendu yang duduk kolej Tun Fatimah. takut ada yang kena intai masa mandi 😥</t>
  </si>
  <si>
    <t>@nadyaprmsw Makanya smua WNI mustinya ikutin himbauan blio..</t>
  </si>
  <si>
    <t>RT @emirazahari: kdrama/movie: innocent witness: bljr psl law, cara saksi autistik menerangkan kejadian yg dilihat. dr romantic: bljr psll operation/medical pinocchio: psl tanggungjawab wartawan, betapa teruk kesan melaporkan fakta yg salah. drama melayu? kbnykn dri awl smpai habis psl cinta.</t>
  </si>
  <si>
    <t>RT @catallunya96: crush ni sebenarnya dia tahu je kau suka dia. Cuma dia buat buat bodo pura pura tak tahu.</t>
  </si>
  <si>
    <t>Dari presidennya Pak @SBYudhoyono sampai ganti @jokowi tdk ada yg pernah mendatangi/menyapa mereka, apakah mereka bukan warga NKRI @PresidenRI @wapres_ri atau warga NKRI itu adalah anak2 ISIS yg kalian akan bawa ke negeri ini. RT @TambunJoseph: UNDANGAN SOLIDARITAS IBADAH JEMAAT GKI YASMIN DAN HKBP FILADELFIA KE-214 DI SEBERANG ISTANA MERDEKA, JAKARTA MINGGU, 1 MARET 2020, PUKUL 13.00 WIB JEMAAT HKBP FILADELFIA DAN GKI YASMIN MEMANGGIL #CabutSKB2Menteri #BukaSegelGerejaKami</t>
  </si>
  <si>
    <t>RT @Ireneviena_: Umat dan ormas Islam utang budi dan harus bertrima kasih pada TB 1 yg konsiten mencegah institusinya ditunggangi kepentingan politik Jend Merah cq rekayasa aksi terorisme Isu ISIS sbg pengganti tidak laku dan basi Ki Lurah cs frustasi ...</t>
  </si>
  <si>
    <t>#TopNewsMetroTV 188 WNI yang merupakan anak buah kapal World Dream yang dipulangkan mengunakan KRI dr. Soeharso tiba di Pulau Sebaru, Kepulauan Seribu pada Jumat sore. Para ABK selanjutnya akan menjalani observasi selam 14 hari.</t>
  </si>
  <si>
    <t>RT @Kang_Pandu01: @enny_endah @ISIS_Balik_NO Nama yg aneh. Pig Gay 🤣🤣🤣</t>
  </si>
  <si>
    <t>@TulusG1 @ISIS_Balik_NO Bibirnya merah 😊</t>
  </si>
  <si>
    <t>RT @obatbatukwoodz: Barusan ngobrol sama orang di kantor. Dikasih tau sama temennya , WNI yang kerja di WHO. Itu virusnya ga bisa berkembang (bukan ga bisa hidup loh ya) di atas temperatur tertentu (lupa gw tadi nyebutnya berapa, 27°C apa ya?). Mungkin itu juga kenapa virus outbreaknya mostly di -c-</t>
  </si>
  <si>
    <t>RT @TulusG1: @enny_endah @ISIS_Balik_NO Pigai Pigai... Hitam kulitmu... Sehitam dan segelap pikiranmu..</t>
  </si>
  <si>
    <t>Maju terus Mas @permadiaktivis ..kami support niat yg mulia ini. Harapan kepada @jokowi sudah habis..beliau lagi fokus mau mulangin anggota isis ex warga negara RI RT @permadiaktivis: Saya Muslim yg peduli kebebasan beribadah umat minoritas. Hari selasa 3 maret jam 13, saya dan temen2 Lawyer PRM akan ke MA gugat uji materi SKB 3 menteri agar tak lagi persulit umat mino bangun rumah ibadah. Anda peduli ? yuk gabung ramaikan, jika tak bisa minimal bantu sebarkan</t>
  </si>
  <si>
    <t>RT @mediaindonesia: Mahfud MD menyebutkan data warga negara Indonesia yang pernah menjadi kombatan ISIS terus bertambah, kini mencapai 699 orang.</t>
  </si>
  <si>
    <t>@enny_endah @ISIS_Balik_NO Nama yg aneh. Pig Gay 🤣🤣🤣</t>
  </si>
  <si>
    <t>Observasi 188 WNI Kru Kapal World Dream Dimulai</t>
  </si>
  <si>
    <t>Di Dalam negeri sangat banyak Yatim Piatu yg tidak dapat perhatian. Ngapain susah susah cari masalah identivikasi anak ISIS. Cc @jokowi @mohmahfudmd RT @cagubnyinyir2: Mahfud MD: Mengatakan BNPT tengah mengidentifikasi yg tergolong anak eks WNI ISIS yg yatim piatu. Pemerintah hanya mempertimbangkan anak yatim piatu dipulangkan  @Ze_sukma @wrahardian2 @setiono_john @JohnIrwan4 @novapermana8 @BossToukeeIsa</t>
  </si>
  <si>
    <t>Sebanyak 188 warga negara Indonesia (WNI) yang dievakuasi dari kapal pesiar World Dream dilaporkan sudah tiba di Pulau Sebaru, Kepulauan Seribu, DKI Jakarta, Jumat (28/2/2020) sore.</t>
  </si>
  <si>
    <t>Berdasarkan data pemerintah saat ini, jumlah WNI yang merupakan mantan terduga teroris pelintas batas Islamic State of Iraq and Syiria ada 699 orang.</t>
  </si>
  <si>
    <t>RT @Kang_Pandu01: @enny_endah @ISIS_Balik_NO Begitulah cara Pig gay mencoba menghibur diri</t>
  </si>
  <si>
    <t>Tiba di Pulau Sebaru, 188 WNI ABK World Dream Diterima Tim Observasi Gabungan  #samudranesia</t>
  </si>
  <si>
    <t>@missqueeeeeeeen Galau banget posisinya kalo kaya gini ya 😅 Aamiin aamiin semoga kita bener2 ga kejangkit itu virus :( Meskipun emang ada wni yg kena tapi lg ga pas di indo :(</t>
  </si>
  <si>
    <t>RT @BruceEmond: Mampir di @seasidemuseum Herne Bay. Tempatnya mungil &amp; menarik, bisa lihat sejarah kota pantai ini. Banyak pameran Ada mainan kuno setiap seaside town, dimana kita masukin kepala di cut-out. Wajib foto dulu kayak WNI foto pakai pakaian Belanda di Amsterdam</t>
  </si>
  <si>
    <t>RT @Wes12320: Evakuasi 188 WNI ABK MV World Dream,dilaksanakn dgn Aman di perairan selat Durian Menggunakan KRI dr Soeharso-990 Bravo @_TNIAL_</t>
  </si>
  <si>
    <t>Ketua Komisi I DPR Meutya Hafid meminta Kementerian Luar Negeri (Kemenlu) memastikan keamanan warga negara Indonesia (WNI) di India.</t>
  </si>
  <si>
    <t>RT @RadioElshinta: Setelah berlayar selama 2 hari dari Selat Durian, Kep. Riau, kapal TNI AL KRI dr. Soeharso-990 tiba di Kep. Seribu, Jumat (28/2) menurunkan 188 WNI ABK Kapal Pesiar World Dream yang negatif Covid-19, menuju Pulau Sebaru. Sumber foto &amp; berita Dinas Penerangan Angkatan Laut.</t>
  </si>
  <si>
    <t>Jelang Kedatangan WNI, Panglima TNI- Kapolri Cek Kesiapan Sebaru #BersamaCegahCorona</t>
  </si>
  <si>
    <t>Indian ISIS RT @rcallimachi: Unsurprisingly, the viral image of a Muslim man being beaten by a Hindu mob in Delhi has now been repurposed by ISIS, in a poster justifying retaliatory violence in “Wilayat al-Hind,” the Caliphate’s “Indian Province.”</t>
  </si>
  <si>
    <t>Tragisnya, duit 72 M diksh ke influencer buat menghempas isu ini. Buat gue ini sih menunjukkan kalau nyawa WNI nggak penting buat negaranya. Murah gengs nyawa lo.</t>
  </si>
  <si>
    <t>RT @vivanewscom: Stafsus Jokowi Minta WNI eks ISIS yang Dipulangkan Diseleksi Ketat  #vivanews</t>
  </si>
  <si>
    <t>Mampir di @seasidemuseum Herne Bay. Tempatnya mungil &amp; menarik, bisa lihat sejarah kota pantai ini. Banyak pameran Ada mainan kuno setiap seaside town, dimana kita masukin kepala di cut-out. Wajib foto dulu kayak WNI foto pakai pakaian Belanda di Amsterdam</t>
  </si>
  <si>
    <t>@adusila @Nemo_4512 @SahlanAmin4 @asuhan101010101 @GusMendem1 @logic_editor @BerisikEmak @NowowoNowiwi @young_tanjuang @Refan82237598 @lambeintel @el_loco234 @Aki7R3J0 @ErvineKiddies @Gus_KW @Soleh64268085 ISIS komandan ISIS ternyata banser di Indonesia</t>
  </si>
  <si>
    <t>“Aksi Kemanusiaan mengantisipasi virus corona, TNI-POLRI-Pemda Bersinergi tinjau kesiapan Fasilitas dan keamanan Pulau Sebaru untuk Observasi WNI ABK World Dream” #BersamaCegahCorona</t>
  </si>
  <si>
    <t>RT @antaranews_bali: Proses observasi ABK World Dream: Sejumlah WNI ABK World Dream berada dalam Landing Craft Utility (LCU) bersiap keluar dari KRI dr Soeharso-990 untuk menjalani observasi di Pulau Sebaru Kecil, Kepulauan Seribu, Jakarta, Jumat (28/2/2020). ANTARA…</t>
  </si>
  <si>
    <t>@detikcom @detikinet Ini banyak pertanyaan sekali, bagaimana dengan WNI yang tinggal di luar dan membeli hp lalu kembali?? Bagaimana dengan WNA yang akan tinggal di Indonesia? Apakah bisa mendaftarkan IMEI</t>
  </si>
  <si>
    <t>Proses observasi ABK World Dream: Sejumlah WNI ABK World Dream berada dalam Landing Craft Utility (LCU) bersiap keluar dari KRI dr Soeharso-990 untuk menjalani observasi di Pulau Sebaru Kecil, Kepulauan Seribu, Jakarta, Jumat (28/2/2020). ANTARA…</t>
  </si>
  <si>
    <t>Tak Terinfeksi Virus Corona, 2 WNI ABK Diamond Princess Menolak Dievakuasi</t>
  </si>
  <si>
    <t>Selama hari itu Telpon ke 115 dan 112 hanya disuruh bersabar. Percuma punya e KTP sesama wni masing diasingkan .</t>
  </si>
  <si>
    <t>@Afsana_An_ ISIS ke saare terrorist ...musalman nii h Kya bsdk</t>
  </si>
  <si>
    <t>Panglima TNI dan Kapolri Tinjau Kesiapan Lokasi Evakuasi dan Observasi 188 WNI Di Pulau Sebaru Kepulauan Seribu Jakarta Utara.</t>
  </si>
  <si>
    <t>@Hilmi28 ISIS kontol</t>
  </si>
  <si>
    <t>RT @Hanifah933: Stone MENIMPALI bahwa ISIS lah yg MEMPERLAKUKAN ORANG LAIN seperti BINATANG, memenggal n membakar MANUSIA hidup2. "Semua itu ada di dlm Al-Quran," perempuan itu menjawabny dgn penuh keyakinan sembari meneriakkan TAKBIR.</t>
  </si>
  <si>
    <t>Kapolri Sumbang Selimut WNI ABK WORLD DREAM Yang Diobservasi #BersamaCegahCorona</t>
  </si>
  <si>
    <t>RT @Hanifah933: Ketika dia ditanya soal PEMIMPIN ISIS, Abu Bakar Al Baghdadi, dia hy MENJAWAB bahwa PEMIMPIN ny itu TERBUNUH, tapi pastiny akn DIGANTIKAN o/ ORANG LAIN, JIKA TERBUNUH lg akn DIGANTIKAN lg, n akn seperti itu strsny ...</t>
  </si>
  <si>
    <t>Himbauan bagi WNI di 🇮🇹 terkait penyebaran virus Covid-19. Tetaplah waspada,jaga kesehatan pribadi&amp; ikuti perkembangan informasi melalui berita,media sosial&amp;amp; @safetravelkemlu. Update data keberadaan diri Anda di 🇮🇹 pada link  #NegaraMelindungi @Kemlu_RI</t>
  </si>
  <si>
    <t>Hari.ini, WNI dari Kapal World Dream di Evakuasi Ke Pulau Sebaru #BersamaCegahCorona</t>
  </si>
  <si>
    <t>Kisah Nafisah: Terjebak Janji Manis ISIS</t>
  </si>
  <si>
    <t>Persiapan Pulau Sebaru Untuk Observasi WNI Kru Kapal Word Dream Capai 85% #BersamaCegahCorona</t>
  </si>
  <si>
    <t>RT @SasiKiron0: Semoga dengan di stopnya sementara ibadah Umroh oleh pemerintah Arab Saudi tidak buat MMD dan khususnya LBP murka karena itu virus Corona buat bisnis beliau2 terganggu.</t>
  </si>
  <si>
    <t>@arirangtvnews @yonhaptweet Evakuasi WNI di Korea dirasa belum dibutuhkan saat ini, mengingat Korea adalah negara dengan sistem penanganan paling canggih, aman, dan cepat. Proses evakuasi malah meningkatkan risiko penyebaran virus di perjalanan, di bandara, bahkan di pesawat.</t>
  </si>
  <si>
    <t>Shalat Jumat di Pulau Sebaru Kecil Jumat 28 Feb 2020, Kehadiran Menko PMK di Pulau Sebaru Kecil di dampingi Kepala BNPB Letjen Doni Monardo, dalam rangka misi kemanusiaan menjemput WNI dari kapal World Dream untuk mengikuti observasi terkait kasus virus corona.</t>
  </si>
  <si>
    <t>RT @KemenkesRI: 9. Dalam proses penjemputan WNI di kapal Diamond Princess, pemerintah mengutamakan dan mengedepankan prinsip kehati-hatian. Berbeda dengan ABK World Dream, ABK di Diamond Princess akan diobservasi selama 2 kali masa inkubasi. #WaspadaCOVID19</t>
  </si>
  <si>
    <t>Sebanyak 188 WNI pekerja Kapal World Dream mulai menjalani masa observasi.</t>
  </si>
  <si>
    <t>RT @setkabgoid: Menkes: Sedang Negosiasi Slot Penerbangan ke Jepang, 68 WNI Segera Dievakuasi</t>
  </si>
  <si>
    <t>RT @okezonenews: Garuda Indonesia Siapkan Pesawat Besar untuk Jemput WNI Awak Kapal Diamond Princess #TauCepatTanpaBatas #BeritaTerkini #Berita #News #BeritaNasional .</t>
  </si>
  <si>
    <t>RT @Namaku_Mei: 188 WNI tiba di pulau seribu Penjagaan pulau Sebaru kecil diperketat. Kedatangan 188 WNI yg akn mejalni observasi pulau Sebaru seribu saat ini di lakukan bertahap. Kepolisan perairan dan udara Kepolisan Negara (polairud)meperketat keamanan sekitar pulau tersebut</t>
  </si>
  <si>
    <t>@hasmi_bakhtiar Ngapain sih bang Erdogan ngrecokin dapurnya Assad. Suriah udah capek sama isis, malah ditambah perang vs Turki.</t>
  </si>
  <si>
    <t>@BetrayedDem @LATiffani1 @HongKongHermit @GeneElvie @RMWGTC @CamannRoxanne @RashidaTlaib Soleimani was an Iranian General who was combating ISIS</t>
  </si>
  <si>
    <t>@Perspicacious90 @ndtv Or hmlog india Kai hii barai Mai hii baat kartai hai.. ISIS Kai khtair ladnai Kai liyai.. Bangalore, Mumbai,kerla sai peaceful community Kai log gyai Thai.. hmm hindu log sai sbra kaa intiham mtt loo merai Bhai.. Kashmir Mai too bekasur log koo Nikal hii Diya..??</t>
  </si>
  <si>
    <t>Setelah berlayar selama 2 hari dari Selat Durian, Kep. Riau, kapal TNI AL KRI dr. Soeharso-990 tiba di Kep. Seribu, Jumat (28/2) menurunkan 188 WNI ABK Kapal Pesiar World Dream yang negatif Covid-19, menuju Pulau Sebaru. Sumber foto &amp; berita Dinas Penerangan Angkatan Laut.</t>
  </si>
  <si>
    <t>Pemerintah memutuskan menggunakan pesawat Garuda Indonesia untuk mengevakuasi 68 WNI kru kapal Diamond Princess yang sandar di Pelabuhan Yokohama, Jepang.</t>
  </si>
  <si>
    <t>" Aksi Kemanusiaan Mengantisipasi Virus Corona, TNI-POLRI - Pemda Bersinergi Tinjau kesiapan Fasilitas dan keamanan Pulau Sebaru Untuk Obsery WNI ABK World Dream " #BersamaCegahCorona</t>
  </si>
  <si>
    <t>RT @kompascom: WNI itu disebut berbagi status di bangsal isolasi di Kota Taipei melalui siaran langsung Facebook dan Tik Tok. &gt; #Tren</t>
  </si>
  <si>
    <t>Si pigai ini.lucu, pak Jokowi kan Presiden indonesia, kejadian itu ada di India, kecuali ada WNI yg jd korban :</t>
  </si>
  <si>
    <t>Itu kelakuan bani onta bin Taliban bin ISIS bin HTI gimana yat? Emang ahlak klean udah bagus gitu? Yg persekusi kaum minoritas gimna? Ngapain lu ngurusin yg di India? Knp ga lu urusin yg di Dalem negeri dulu? BACOT LU RT @hnurwahid: Sbg anggota Dewan HAM PBB, dan Negara demokrasi yg menolak radikalisme,intoleran dst, seharusnya minimal pemerintah RI lakukan protes keras ke pemerintah India, sbgm aspirasi dari GP Ansor dllnya. Agar radikalisme terkoreksi, agar keadilan&amp;harmoni tegak.</t>
  </si>
  <si>
    <t>RT @HumasTabesSmg: Kapolri dan Panglima TNI Tinjau Kesiapan Lokasi Evakuasi dan Observasi WNI di Pulau Sebaru. . #BersamaCegahCorona</t>
  </si>
  <si>
    <t>RT @tiqwa_aziz: Warga Ahmadiyah bukan ekstrimis sebagaimana para mantan WNI di Suriah sana, mereka adalah loyalis dan cinta pada negerinya, Indonesia @mohmahfudmd @jokowi @KSPgoid @Kemendagri_RI @takviri @permadiaktivis</t>
  </si>
  <si>
    <t>@Perspicacious90 @ndtv Or joo school jkaya hai naa islamic terrorist hai.. ISIS module India Mai lanai kaa bhool maat krna Bhai... Hmai pta hai aaplog koo school sai Lena dena hota haii nhi...</t>
  </si>
  <si>
    <t>RT @djonnyrg: @ISIS_Balik_NO @LaingenLisa @KienAnd_ Benar.pasal itu harus dihapus.</t>
  </si>
  <si>
    <t>RT @mazgres: @CastilloJoshima @muispebrianto @mohmahfudmd Semoga anak2 yang mengibarkan Bendera tersebut di tengah banjir, menjadi anak2 yang Sukses Memiliki Jabatan Tinggi di Negeri ini; Merakyat &amp; Cinta Tanah Air serta Mengusir Seluruh Wujud yang berAfiliasi ke ISIS, dari Negeri Ini. Amin</t>
  </si>
  <si>
    <t>@Hujandisenja Sebage kawan sejawat dari mba WNI ku sdg mengalami degradasi kondisi kulit. Ku mencoba glowing deh~~</t>
  </si>
  <si>
    <t>Viral WNI Terinfeksi Virus Corona Main Tik Tok di Rumah Sakit Taiwan</t>
  </si>
  <si>
    <t>Evakuasi WNI dari kapal Diamond Princess, pemerintah gunakan pesawat Garuda Indonesia  #VirusCorona</t>
  </si>
  <si>
    <t>Panglima TNI dan Kapolri meninjau pulau sebaru tempat WNI di kapal world dream akan dikarantina. #Pulausebaru #tnipolri</t>
  </si>
  <si>
    <t>Artha Graha Peduli ikut mengirim personel untuk membantu para WNI selama masa karantina #PulauSebaru #AGPeduli</t>
  </si>
  <si>
    <t>@kuntiladut Sebage mba WNI ya tentu sahaja aku harus glowing dari WNA dongs~~~</t>
  </si>
  <si>
    <t>WNI itu disebut berbagi status di bangsal isolasi di Kota Taipei melalui siaran langsung Facebook dan Tik Tok. &gt; #Tren</t>
  </si>
  <si>
    <t>RT @Lukman_HARP: kayaknya ada yang mau bikin private elite soldier yang isinya anak-anak eks ISIS nih ngotot amat mulangin pengkhianat negara NOH YANG TAHUN 60AN TERUSIR DARI INDONESIA, GAK DIPULANGIN PAK?</t>
  </si>
  <si>
    <t>@nu_online Penghinaan Arab Saudi kepada pemerintah indonesia.. wni disamakannya warga cita pembawa virus.. Pada hal berbagai kesempatan penguasa sudah jamin Indonesia kebal atas virus corona..</t>
  </si>
  <si>
    <t>RT @toto_widjojono: Dan yuakin seyakin-yakinnya ngga mungkin ISIS eks WNI peduli dgn peringatan agustusan</t>
  </si>
  <si>
    <t>Pemerintah mengkarantina WNI yang ada di Kapal Pesiar World Dream ke Pulau Sebaru. #Pulausebaru #AGPeduli</t>
  </si>
  <si>
    <t>RT @anismatta: Pemerintah perlu punya mitigation plan yang jelas ketika ada orang yang berada di Indonesia terjangkit Coronavirius, baik WNI maupun orang asing..</t>
  </si>
  <si>
    <t>Mark klok kek nya resmi wni deh</t>
  </si>
  <si>
    <t>RT @merdekadotcom: Menko Polhukam Sebut Jumlah WNI eks ISIS Bertambah Jadi 699 Orang</t>
  </si>
  <si>
    <t>Internasional tidak percaya Indonesia bebas virus Corona.. Bukan Salah Saudi Tolak Umrah WNI, Pigai: Karena Pemerintah Berbohong.</t>
  </si>
  <si>
    <t>Menko Polhukam Sebut Jumlah WNI eks ISIS Bertambah Jadi 699 Orang</t>
  </si>
  <si>
    <t>Pemerintah Kirim Tim Evakuasi Jemput WNI di Kapal Diamond Princess</t>
  </si>
  <si>
    <t>Sebanyak 68 WNI dikarantina di kapal Diamond Princess akibat munculnya wabah virus corona.</t>
  </si>
  <si>
    <t>RT @kompascom: Proses evakuasi penjemputan yang membawa 188 Warga Negara Indonesia (WNI) pekerja Kapal World Dream menggunakan Kapal LCU, jenis kapal yang digunakan pasukan amfibi. &gt; #Megapolitan</t>
  </si>
  <si>
    <t>Menlu, Retno Marsudi melepas tim evakuasi WNI dari Yokohama, Jepang yang terdiri atas 23 personel gabungan di ruang VIP Terminal I Bandara Soekarno Hatta pada Jumat (28/2) siang. #CNNIDPrimeNews</t>
  </si>
  <si>
    <t>RT @BhayangkaraRbn: Persiapan Pulau Sebaru Untuk Observasi WNI Kru Kapal Word Dream Capai 85% #BersamaCegahCorona</t>
  </si>
  <si>
    <t>ISIS member  RT @RanaAyyub: Forty dead in Delhi. Forty !</t>
  </si>
  <si>
    <t>RT @Singhai_09: Ye bandi kisi din ISIS join kar legi..</t>
  </si>
  <si>
    <t>@shahrulyussof isis bawak toyota 4x4 cane bob? hurmm</t>
  </si>
  <si>
    <t>@NauIkbar @anthoa27 @SuporterAsian @Indostransfer Atau grgr kontrak di psm masih sampe 2021 (pas 5 tahun) makanya bisa diajukan sama psm buat naturalisasi wni.</t>
  </si>
  <si>
    <t>@mohmahfudmd hati hati memulangkan anak isis bisa jadi bala bagi kerukunan Indonesia RT @Hanifah933: Beberapa ANAK kecil hidup dgn serba kekurangan. Yg mencengangkn bagi Stone adlh ketika dia MENEMUI seorg ANAK n menanyakn namany, si anak malah memintany untk bertobat n mengakui dosa2ny. "Jika tdk kata dianak kpd Stone "SY AKN MENYEMBELIHMU".</t>
  </si>
  <si>
    <t>@VIVAcoid Koq sering banget WNI di sandera Abu Sayyaf?</t>
  </si>
  <si>
    <t>WNI ABK World Dream Tiba di Pulau Sebaru Kecil  #DariSuara</t>
  </si>
  <si>
    <t>Angkut Tim Evakuasi WNI ke Jepang, Dirut Garuda: Pesawatnya Lega  #DariSuara</t>
  </si>
  <si>
    <t>RT @kompascom: Observasi itu rencananya dilakukan di Pulau Sebaru Kecil, Kepulauan Seribu.</t>
  </si>
  <si>
    <t>Hari ini sebanyak 188 WNI yang berada di Kapal Pesiar World Dream dijemput dan dibawa ke Pulau Sebaru, Kecamatan Kepulauan Seribu Utara, Kepulauan Seribu, Jakarta, Jumat (28/2/2020).</t>
  </si>
  <si>
    <t>RT @Indahsepnantya: “Aksi Kemanusiaan mengantisipasi virus corona, TNI-POLRI-Pemda Bersinergi tinjau kesiapan Fasilitas dan keamanan Pulau Sebaru untuk Observasi WNI ABK World Dream” #BersamaCegahCorona</t>
  </si>
  <si>
    <t>@HarbiehNadie NATO and US suport ISIS,Al Qaida,Boko Haram,Mujahedins in Bosnia and Kosovo and KLA in Kosovo and Macedonia.</t>
  </si>
  <si>
    <t>Kena Corona, WNI di Taiwan Main TikTok Live Facebook #Tagar</t>
  </si>
  <si>
    <t>#Nasional Mahfud MD, " Data WNI Pernah Jadi Kombatan ISIS Bertambah Capai 699 Orang"</t>
  </si>
  <si>
    <t>Hari ini, WNI dari kapal world dream di evakuasi ke pulau sebaru #BersamaCegahCorona</t>
  </si>
  <si>
    <t>RT @Metro_TV: 188 WNI ABK World Dream telah berada di Pulau Sebaru Kecil &amp; pemerintah kirim pesawat utk jemput 68 WNI ABK Diamod Princess. Hingga kini Indonesia masih bebas Corona. Apa yg bisa dilakukan pemerintah untuk tetap bebas dr Corona? #PrimeTalkMetroTV Jumat (28/2) LIVE pkl 19.05 WIB</t>
  </si>
  <si>
    <t>188 WNI ABK World Dream telah berada di Pulau Sebaru Kecil &amp; pemerintah kirim pesawat utk jemput 68 WNI ABK Diamod Princess. Hingga kini Indonesia masih bebas Corona. Apa yg bisa dilakukan pemerintah untuk tetap bebas dr Corona? #PrimeTalkMetroTV Jumat (28/2) LIVE pkl 19.05 WIB</t>
  </si>
  <si>
    <t>RT @Polsek_Remboken: Persiapan Pulau Sebaru Untuk Observasi WNI Kru Kapal Word Dream Capai 85% #BersamaCegahCorona</t>
  </si>
  <si>
    <t>@ustadtengkuzul Waspada dng # KAUM KHWARIIJ Sekarang Banyak Musang berbulu Sorban..maaf pinjam kata2 Ustad Bahtiar Nasir..sdh Rakyat tau kok Siapa Pro ISIS tolong di Putar Vidio Viralnya...dan Deklarasi HTI antara th 2013 Di Gedung Gelora Bung Karno...</t>
  </si>
  <si>
    <t>Kapolri dan Panglima TNI tinjau kesiapan lokasi evakuasi dan Observasi WNI #BersamaCegahCorona</t>
  </si>
  <si>
    <t>@Anggraini_4yu ISIS membantai secara membebek (ganti bebek karena babi haram) buta anda mendukung? Anda memang mantap gan.</t>
  </si>
  <si>
    <t>Konflik di India Meluas, Politikus PDIP Minta WNI Tenang dan Tahan Diri</t>
  </si>
  <si>
    <t>Kapolri sumbang selimut WNI ABK Word Dream yang di observasi #BersamaCegahCorona</t>
  </si>
  <si>
    <t>Wc portable hingga kulkas tiba di sebaru jelang observasi WNI #BersamaCegahCorona</t>
  </si>
  <si>
    <t>Panglima TNI dan Kapolri tinjau pulau sebaru tempat WNI ABK World Dream #BersamaCegahCorona</t>
  </si>
  <si>
    <t>RT @husni_nai: Sir baru cakap tadi, education kita kena masukkan field trip macam ni. Bagi student rasa, tahu dan faham apa yang tengah mereka(students) buat dan belajar sekarang. Jumpa researchers, duduk sebelah. Tengok apa dorang buat. 🙌😍</t>
  </si>
  <si>
    <t>Antisipasi Virus Corona Bermutasi, Pemerintah Hati-hati Jemput WNI dari Kapal Diamond Princess #PrimeTalkMetroTV</t>
  </si>
  <si>
    <t>RT @nemosyus: Anak indonesia kelaparan, anak ISIS keperluannya disiapin Anak indonesia-0 Anak ISIS-1</t>
  </si>
  <si>
    <t>Dear Bapak @jokowi apakah tidak ada rencana buat evakuasi wni di korea selatan ? Disini sudah “Red alert” dan semua penerbangan ke Indonesia dicancel semua... Mohon dibantu @kangdede78 @kurawa ...🙏🏻</t>
  </si>
  <si>
    <t>@BritishSyrian hypocrisy - who brought alQaeda ISIS into #Syria ??</t>
  </si>
  <si>
    <t>RT @_RizkiGondrong: @WagimanDeep Di dalam negeri ini masih banyak anak² terlantar dan (maaf) orang gila yg hidup di jalanan. Lebih baik dan bermanfaat dana mengurus mereka² ini daripada buat mulangin eks ISIS yg nyata² sudah hilang hak kewarganegaraannya. 🙏</t>
  </si>
  <si>
    <t>@frag_myristica WNI sdh ada yg terjangkit corona tetapi si dia masih saja heran, apes bener nasib rakyat punya pejabat kayak begini. #BUMNdikuasaiKoruptor #BUMNdikuasaiKoruptor</t>
  </si>
  <si>
    <t>RT @farid_wajdi70: +62...gituloh 😏🤔🤔🤔 Beberapa media Taiwan memberitakan tentang WNI yang terinfeksi virus corona tapi malah bermain Tik Tok di bangsal isolasi</t>
  </si>
  <si>
    <t>Corona : dah ah males</t>
  </si>
  <si>
    <t>Selain itu TNI dan POLRI bersama tinjau Pulau Sebaru tempat WNI Anak Buah Kapal World Dream #TNIPolri #PulauSebaru</t>
  </si>
  <si>
    <t>@_maylaghayatri @makLambeTurah Itu orang yang sama di video(wni) ?</t>
  </si>
  <si>
    <t>@KDroneHunter @AlissaWahid Lebih tepatnya "MENGATASNAMAKAN MAYORITAS". Saya yakin di India juga sama, garis keras yg mengatasnamakan mayoritas. Kelakuan "islam" juga sama, ISIS adalah puncak buktinya. China? Sama saja. Di setiap komunitas semua itu ada. RADIKALISME adl musuh bersama.</t>
  </si>
  <si>
    <t>“Aksi Kemanusiaan mengantisipasi virus corona, TNI-POLRI-Pemda Bersinergi tinjau kesiapan Fasilitas dan keamanan Pulau Sebaru untuk Observasi WNI ABK World Dream”</t>
  </si>
  <si>
    <t>RT @alexander_murfi: 33 Nelayan WNI Ditahan Di Thailand, Langgar Batas Wilayah Laut Ternyata negara Thailand lebih hebat menjaga kedaulatannya dibanding negara Tailand</t>
  </si>
  <si>
    <t>Ga cuman itu aja, ternyata Artha Graha Peduli pun ikut mengirim personel untuk membantu selama masa karantina. Para WNI ini dievakuasi ke Pulau Sebaru Kecil untuk menghindari wabah virus corona. #AGPeduli #PulauSebaru</t>
  </si>
  <si>
    <t>Artha Graha Peduli ikut mengirim personel untuk membantu selama masa karantina WNI nanti. #PeduliSebaru #AGPeduli</t>
  </si>
  <si>
    <t>RT @KATADATAcoid: Sebanyak 42 ribu orang Indonesia tinggal di Korea Selatan hingga Februari 2019. #Databoks</t>
  </si>
  <si>
    <t>RT @Khuluq333999: @dektampu Muslim melakukan pembelaan diri nanti dikatakan kelompok radikal, berhaluan ISIS, jaringan teroris.. Yaa Allah.. hanya kepada Engkaulah kami semua meminta pertolongan.. semoga saudara2 muslim kami di India diberikan kekuatan dan kesabaran..</t>
  </si>
  <si>
    <t>@1trenggalek @tjhinfar21 @TheArieAir @Aryprasetyo85 @NotesofMila Pulau Sebaris untuk merehabilitasi WNI yang terpapar VIRUS CORONA. Nusakambangan tempat PENJAHAT. ISIS, dijemput &amp; difasilitasi pondokan. RADIKALISME dapat BANSOS &amp;amp; ANIS menjadikan mereka sebagai SATGAS. Pengguna NARKOBA DIREHAB kalau punya duit, tak punya TAHANKAN DALAM PENJARA.</t>
  </si>
  <si>
    <t>Media Indonesia, jelang kedatangan WNI, Panglima TNI dan Kapolri cek kesiapan Sebaru #BersamaCegahCorona</t>
  </si>
  <si>
    <t>RT @MOMDian2: @SetiaAdy_p @lukmanalwahid @Ningnon11392644 @evisuryanti10 @JohnIrwan4 @periani @ambar7475 @Rezhi99 @BHD_8 @2024GanjarRisma @TukangMu @BHoaxx @CANDAdanBISNIS @CumiCue @Yul3h4 @felixaaf1 @edward_7011971 @MukhtarLuthfi12 @MaryanaNunung @LukmanHarijanto @RizkiR4madani @dwija_pangarsa @Galih_Akek @So3daRn0 @AriestaRiico @bhenytarika28 @Dickusnadi1 @Jokoumb64504158 @sofiankawar1 @APLpangeran1 @wantahgdn @RazkaFaiz @PLiantini @Zulfika35354359 @babegalak1 @HeriSu19 @mamiagarislucu @aguzts_ @SultanAnjar @BayuErrianto @jubrik844 @positive_values @kasrulsani9 @Edward_1smail @LiaIsti1 @basuki_btp @aniesbaswedan @ishaksp123 @PaijoTokpiL Masih ada lebih penting dari wan aibon.. seperti Toleransi Di NKRI, dan eks WNI ISIS kalau org punya akal sehat, sekali dikritiK langsung berubah</t>
  </si>
  <si>
    <t>Bukan Salah Saudi Tolak Umrah WNI, Pigai: Karena Pemerintah Berbohong -</t>
  </si>
  <si>
    <t>@Hanifah933 @jokowi Mungkinkah 10 atau 15 thn ke depan akan muncul teroris2 muda akibat plin plannya pemerintah dlm menyikapi Teroris Eks WNI krn ortu mereka terbunuh oleh pemerintahan yg mereka anggap Thogut dan Kafir,sehingga wajib mereka perangi.</t>
  </si>
  <si>
    <t>detikNews, Panglima TNI dan Kapolri tinjau lokasi observasi WNI di pulau sebaru #BersamaCegahCorona</t>
  </si>
  <si>
    <t>@voaindonesia @KemenkesRI_ @KemenkesRI @Puspen_TNI @IdEmbassy_Seoul Menlu Retno Marsudi didampingi Panglima TNI dan Kapolri melepas 23 orang tim evakuasi untuk menjemput 68 WNI crew kapal Diamond Princess yang kini berada di Yokohama, Jepang, Jumat (28/2). via @Menlu_RI #CoronaVirusUpdates</t>
  </si>
  <si>
    <t>188 WNI yang akan diobservasi sudah tiba di Pulau Sebaru Kecil pada Jumat (28/2) siang tadi. Seperti apa proses pemindahan serta mengapa sebenarnya Pulau Sebaru Kecil ini dipilih menjadi lokasi observasi. #CNNIDConnected</t>
  </si>
  <si>
    <t>Sebanyak 42 ribu orang Indonesia tinggal di Korea Selatan hingga Februari 2019. #Databoks</t>
  </si>
  <si>
    <t>RT @rmol_id: Masyarakat Kepulauan Seribu Pasrah Pulau Sebaru Kecil Jadi Lokasi Observasi WNI #CoronaVirusUpdates #Covid19 #RepublikMerdeka</t>
  </si>
  <si>
    <t>Panglima TNI- KAPOLRI Tinjau Lokasi Observasi WNI Di Pulau Sebaru #BersamaCegahCorona</t>
  </si>
  <si>
    <t>RT @vivanewscom: Ada 23 Orang Tim Penjemput 68 WNI di Kapal Diamond Princess  #vivanews</t>
  </si>
  <si>
    <t>RT @KemenkesRI: #RilisSehat WNI ABK Diamond Princess Diobservasi 28 Hari @KemenkesRI</t>
  </si>
  <si>
    <t>@kompascom terkadang cara isis harus di gunakan untuk hal hal seperti ini</t>
  </si>
  <si>
    <t>Ada 23 Orang Tim Penjemput 68 WNI di Kapal Diamond Princess  #vivanews</t>
  </si>
  <si>
    <t>[FULL] Detik-detik 188 WNI Tiba di Pulau Sebaru, Disertai Pengawalan Ketat</t>
  </si>
  <si>
    <t>pak @jokowi @mohmahfudmd @divhumas_polri anak2 ISIS ex Indonesia umur dibawah 10 thn yg mau diterima kembali itu jangan disepelekan, ini contohnya Tawuran Antar-pelajar SD Pecah, Masing-masing Bersenjatakan Celurit dan Gir -</t>
  </si>
  <si>
    <t>RT @PolisiSukoharjo: Kapolri dan Panglima TNI Tinjau Kesiapan Lokasi Evakuasi dan Observasi WNI di Pulau Sebaru, Kamis (27/02/2020). . #BersamaCegahCorona</t>
  </si>
  <si>
    <t>@tempodotco Sedih tau.... Sebagai WNI di sini mau keluar pun ketar ketir. Negara tak menjamin rasa percaya diri warganya di negara orang. Mereka gak percaya pemerintah kitaaaaa. Setiap 3 bulan saya pulang dan balik lagi nemenin misua. Sekarang gk bisa, saya pulang dan gk bisa balik lg..</t>
  </si>
  <si>
    <t>@Protesgarislucu Udah ketemu, aku pake kata kunci 'corona tiktok'. 😅😅 WNI nya perempuan kan? Antara sedih, ketawa, dan kasian. 😭😭</t>
  </si>
  <si>
    <t>Danlantamal III, Ikuti Rombongan Panglima TNI Tinjau Lokasi Observasi Bagi 188 WNI Di Pulau Sebaru Kepulauan Seribu -</t>
  </si>
  <si>
    <t>Persiapan Pulau Sebaru untuk observasi WNI kru kapal World Dream capai 85% #BersamaCegahCorona</t>
  </si>
  <si>
    <t>188 WNI Awak Kapal Wolrd Dream Tiba di Pulau Sebaru untuk Diobservasi Covid-19 #TauCepatTanpaBatas #BeritaTerkini #Berita #News #BeritaNasional .</t>
  </si>
  <si>
    <t>RT @Metro_TV: #PrimeTimeNews Pemerintah Indonesia memastikan akan mengevakuasi 68 WNI ABK Diamond Princess menggunakan pesawat. Sama halnya seperti 188 ABK World Dream, para WNI juga akan diobservasi terlebih dahulu.</t>
  </si>
  <si>
    <t>@Takviri Sudah sering kita temui statemen2 yg mengatakan bhwa Teroris/ISIS tdk beragama, rekayasa si a, si b ,si c, dll. Jadi sebaiknya, pihak yg ngotot utk memulangkan terus terang saja. Langkah tersebut dilakukan krn rasa kemanusiaan atau ada faktor X yg disembunyikan?</t>
  </si>
  <si>
    <t>5. H. Anies Rasyid Baswedan, S.E., M.P.P., Ph.D. Bidang Geologi "Air hujan mesti dimasukin ke tanah, kalo dialirkan ke laut Melanggar Sunnatullah" 6. Dr. H. Mochamad Ridwan Kamil, S.T., M.U.D. Bidang Terorisme "Terima ISIS eks WNI asal Insyaf"</t>
  </si>
  <si>
    <t>Wc portable hingga kulkas tiba di Sebaru Jelang Observasi WNI #BersamaCegahCorona</t>
  </si>
  <si>
    <t>RT @Jokowinomics_id: WNI Dilarang Memasuki Arab Saudi Dikarenakan COVID-19, Ini Penjelasan KBRI Riyadh  #IndonesiaMaju @jokowi @Kemlu_RI @fadjroeL</t>
  </si>
  <si>
    <t>RT @Tanpaagama: ISIS ngelakuin hal yang sama kamu diem aja kicep. Saudara sebangsa kena diskriminasi dari umat kayak kamu, kamu juga diem aja. Jadi.. jangan sok jadi korban, dik.</t>
  </si>
  <si>
    <t>Persiapan pulau sebaru untuk observasi WNI capai 85 persen #BersamaCegahCorona</t>
  </si>
  <si>
    <t>@ales_arema @KakekHalal @jokowi @PolhukamRI @mohmahfudmd Indonesia ga kurang anak2 terlantar yg butuh perhatian pemerintah, jgn ujug2 mau merhatiin anak kombatan ISIS.</t>
  </si>
  <si>
    <t>Terlantar di Malaysia, Jemaah Umrah WNI Dipulangkan</t>
  </si>
  <si>
    <t>Jemput 68 WNI, Menlu Lepas Tim Evakuasi ke Yokohama</t>
  </si>
  <si>
    <t>188 WNI ABK World Dream tiba di Pulau Sebaru Kecil</t>
  </si>
  <si>
    <t>Keturunan WNI tanpa identitas: 15 tahun terpisah, ibu dan anak bersatu k...  via @YouTube</t>
  </si>
  <si>
    <t>@BirgaldoS @AminSiregar75 @mohmahfudmd @jokowi HOW DO YOU HEAL A MIND LIKE THAT adalah pertanyaan pendek yg hrs dijawab pemerintah sblm memutuskan utk memulangkan anak2 combatan isis,krn tidak tertutup kemungkinan bocah2x tsb sdh punya pemikiran yg sama dgn bocah dlm tayangan ini,mohon dijawab pertanyaan tsb pa @mohmahfudmd</t>
  </si>
  <si>
    <t>Panglima TNI Dan Kapolri Tinjau Lokasi Observasi WNI Di Pulau Sebaru #BersamaCegahCorona</t>
  </si>
  <si>
    <t>#PrimeTimeNews Selain menjadi tempat observasi baru 188 WNI kru kapal pesiar World Dream, Pulau Sebaru juga dipilih sebagai lokasi observasi 68 kru Diamond Princess.</t>
  </si>
  <si>
    <t>RT @Metro_TV: #PrimeTimeNews Menteri Luar Negeri, Retno Marsudi didampingi oleh Panglima TNI, Marsekal Hadi Tjahjanto serta Kapolri, Jenderal Idham Azis, memimpin langsung pelepasan tim evakuasi 68 WNI ABK Diamond Princess di Yokohama, Jepang.</t>
  </si>
  <si>
    <t>"Aksi Kemanusiaan mengantisipasi virus corona, TNI-POLRI-Pemda Bersinergi tinjau kesiapan Fasilitas dan keamanan Pulau Sebaru untuk Observasi WNI ABK World Dream”</t>
  </si>
  <si>
    <t>Panglima TNI dan Kapolri tinjau lokasi observasi WNI di Pulau Sebaru #BersamaCegahCorona</t>
  </si>
  <si>
    <t>Jelang Kedatangan WNI, TNI-Kapolri cek Kesiapan Sebaru #BersamaCegahCorona</t>
  </si>
  <si>
    <t>TNI dan Polri lagi meninjau pulau sebaru tempat WNI akan dikarantina. #Pulausebaru #tnipolri</t>
  </si>
  <si>
    <t>@BJP4India @rsprasad Radical Islamik terrorism ISIS</t>
  </si>
  <si>
    <t>@clarisyanindira Warga? Gua juga WNI..</t>
  </si>
  <si>
    <t>RT @1trenggalek: Kapolri Jenderal Polisi Drs. Idham Azis, bersama Panglima TNI Marsekal TNI Hadi Tjahjanto, S.I.P., meninjau langsung kesiapan lokasi evakuasi, karantina dan observasi warga negara Indonesia (WNI) di Pulau Sebaru, Kepulauan Seribu, Jakarta Utara, #BersamaCegahCorona</t>
  </si>
  <si>
    <t>Menlu Lepas 23 Tim Evakuasi WNI ABK Diamond Princess</t>
  </si>
  <si>
    <t>#PrimeTimeNews Pemerintah Indonesia memastikan akan mengevakuasi 68 WNI ABK Diamond Princess menggunakan pesawat. Sama halnya seperti 188 ABK World Dream, para WNI juga akan diobservasi terlebih dahulu.</t>
  </si>
  <si>
    <t>RT @karim8karims: @FPD_DPR @PDemokrat @DPR_RI WNI dilarang datang &amp; masuk ke RS di Sydney. Membuktikan mereka tdk percaya dgn penanganan virus corona di Indonesia</t>
  </si>
  <si>
    <t>Persiapan Pulau Sebaru untuk Onservasi WNI capai 85% #BersamaCegahCorona</t>
  </si>
  <si>
    <t>Selamatkan WNI dari Corona #BersamaCegahCorona</t>
  </si>
  <si>
    <t>#PrimeTimeNews Menteri Luar Negeri, Retno Marsudi didampingi oleh Panglima TNI, Marsekal Hadi Tjahjanto serta Kapolri, Jenderal Idham Azis, memimpin langsung pelepasan tim evakuasi 68 WNI ABK Diamond Princess di Yokohama, Jepang.</t>
  </si>
  <si>
    <t>Semoga Proses Evakuasi dan Observasi terhadap WNI yang baru pulang dari Luar Negeri di Kepulauan Seribu berlangsung aman dan lancar. Semoga para WNI tersebut bebas dari Virus Corona #BersamaCegahCorona</t>
  </si>
  <si>
    <t>Demi WNI Pemerintah siap cegah Corona #BersamaCegahCorona</t>
  </si>
  <si>
    <t>Kumparan, Panglima TNI Ada 2 Ring Pengamanan Selama Observasi 188 WNI di Pulau Sebaru</t>
  </si>
  <si>
    <t>Arab Saudi Izinkan WNI yang Tiba pada 27 Februari Menjalankan Ibadah Umrah #TauCepatTanpaBatas #BeritaTerkini #International #BeritaInternasional .</t>
  </si>
  <si>
    <t>RT @HerryTonda: Kapolri dan Panglima TNI tinjau kesiapan lokasi evakuasi dan observasi WNI di Pulau Sebaru #BersamaCegahCorona</t>
  </si>
  <si>
    <t>@permadiaktivis isis itu kaum khawarij,tong....!!!mereka golongan yg salah... emang ente kagak dikasih tau sama temen banser lu😂 oh lupa,lu kan ustadz...pasti tau donk apa itu kaum khawarij #termasuk yg ada diindonesia(HTI,SYIAH,WAHABI)</t>
  </si>
  <si>
    <t>@ustadtengkuzul Klo itu benar, pasti rakyat pribumi jadi pembantu sdh byk WNI yg jd pembantu rmh tangga di luar negeri masa di negerinya sendiri jg dijadikan pembantu sih kpn merdekanya?</t>
  </si>
  <si>
    <t>Tentunya dengan kerja sama ini KJRI Johor Bahru dapat memberikan pelayanan yang lebih prima dan juga memudahkan bagi para WNI. #IndonesiaDiJohorBahru</t>
  </si>
  <si>
    <t>RT @Polsekluttawar1: Besok 188 WNI dari Kapal World Dream Tiba, Begini Persiapan di Pulau Sebaru #BersamaCegahCorona</t>
  </si>
  <si>
    <t>#MetroHariIni Proses penurunan WNI yang merupakan ABK dari kapal pesiar World Dream masih dilakukan oleh petugas sejak pukul 16.35 WIB. Situasi terkini, kapal kecil telah kembali merapat ke KRI Dr. Soeharso untuk mengangkut rombongan WNI selanjutnya.</t>
  </si>
  <si>
    <t>Dan cara memberantas teroris anti pancasila dgn memulangkan anak ISIS, gitu kan pak @jokowi @mohmahfudmd ? Pemerintah memang cerdas luarbiasssaa 😌 RT @geloraco: Kabareskrim: Kelompok Anti Pancasila Bakal Susupi Pilkada 2020</t>
  </si>
  <si>
    <t>RT @edisudwb: Kapolri dan Panglima TNI tinjau kesiapan lokasi evakuasi dan Observasi WNI #BersamaCegahCorona</t>
  </si>
  <si>
    <t>@chicohakim WNI di Taiwan juga ada mas, nular dari kakek yang diasuhnya.</t>
  </si>
  <si>
    <t>Hal ini juga merupakan perwujudan komitmen KJRI Johor Bahru utk terus meningkatkan pelayanan dan pelindungan bagi WNI,” kata Konsul Jenderal Indonesia–Johor Bahru Sunarko. #IndonesiaDiJohorBahru</t>
  </si>
  <si>
    <t>Panglima TNI Tinjau Lokasi Observasi WNI di Pulau Sebaru</t>
  </si>
  <si>
    <t>Viral!!! WNI Positif Terjangkit Virus Corona Main TikTok di Ruang Isolasi</t>
  </si>
  <si>
    <t>Bersama Panglima TNI dan Kapolri, saya melepas 23 orang tim evakuasi untuk menjemput 68 WNI crew kapal Diamond Princess di Yokohama.</t>
  </si>
  <si>
    <t>Besok 188 WNI dari Kapal World Drem Tiba, Begini Persiapan di Pulau Sebaru #BersamaCegahCorona</t>
  </si>
  <si>
    <t>#TERBARU : Polri luncurkan Surat Izin Mengemudi (SIM) Internasional Online pada Jumat (28/2) SIM Internasional adalah dokumen legal yang wajib dimiliki oleh WNI maupun wisatawan mancanegara yang hendak mengemudi di luar negeri. Registrasi : sim.korlan…</t>
  </si>
  <si>
    <t>#TERBARU : 188 #WNI tiba di Pulau Sebaru melalui KRI Soeharso. Para warga tersebut dievakuasi dari kapal ke lokasi karantina dengan menggunakan 2 kapal kecil.</t>
  </si>
  <si>
    <t>Terima kasih Indonesia telah menerima WNI dgn di Observasi di Pulau Sebaru guna cegah Corona #BersamaCegahCorona</t>
  </si>
  <si>
    <t>RT @Metro_TV: #MetroHariIni Sebanyak 188 WNI yang terbagi atas 16 wanita dan 172 laki-laki, seluruhnya diangkut dengan KRI Dr. Soeharso menuju lokasi observasi di pulau Sebaru Kecil, Kep. Seribu. Pembagian fasilitas dan perlengkapan pribadi telah disiapkan bagi peserta observasi.</t>
  </si>
  <si>
    <t>Kapolri dan Panglima Tinjau Lokasi Observasi WNI di Pulau Sebaru</t>
  </si>
  <si>
    <t>RT @ChodidjahHM: Indonesia bukan hanya punya kuliner di Johor Bahru. Tapi juga punya Konsulat yang melindungi seluruh WNI di Johor, Melaka, Negeri Sembilan hingga ke Pahang. Untuk mempermudah komunikasi langsung aja follow akunnya @kjrijohorbahru 😉 #indonesiadijohorbahru</t>
  </si>
  <si>
    <t>@aryacokronegoro @jokowi @Menlu_RI @Kemlu_RI @fadjroeL @BebasVisaID @sandmanindo @dennesbong @addamfarizi @yovie_myg @jameshandaja @StefRanda @MikeyAM97 @Lagnezmo17 Menurut saya sih,jika di bandingkan dgn presiden2 seblmnya selain Soekarno,Pak Jokowi adlh presiden yg kerjanya paling nyata dan terbaik. Dlm hal bebas visa dan reciprocity,menlu dan diplomat KBRI hrs bekerja keras,ditmbh dgn reputasi baik dr WNI sendiri.</t>
  </si>
  <si>
    <t>KJRI Johor Bahru dan Pos Malaysia Tingkatkan Pelayanan Bagi WNI  #IndonesiaDiJohorBahru</t>
  </si>
  <si>
    <t>Kapolri dan Panglima TNI Tinjau Kesiapan Lokasi Evakuasi dan Observasi WNI di Pulau Sebaru . . @DivHumas_Polri #polripromoter #BersamaCegahCorona</t>
  </si>
  <si>
    <t>Panglima TNI: Ada 2 Ring Pengamanan Selama Observasi 188 WNI di Pulau Sebaru #BersamaCegahCorona</t>
  </si>
  <si>
    <t>Kapolri dan Panglima TNI Tinjau Kesiapan Lokasi Evakuasi dan Observasi WNI di Pulau Sebaru #BersamaCegahCorona</t>
  </si>
  <si>
    <t>Aaaa, pokoknya jangan aborsi. 😭😭😭😭😭😭 Jadi inget anak2 eks isis, lebih baik mereka dapet pendidikan khusus kalo jadi dipulangkan pak @Kemdikbud_RI 😭😭 RT @RadiyanM: Kemudian pertanyaan kedua, bagaimana nasib anaknya? Anaknya tetap dilahirkan Insya Allah semoga sehat, tidak diterminasi sebelum waktunya. Ibu korban tetap mau merawat karena "bagaimanapun juga jalannya, tetep cucu saya" Masya Allah, love you bu :")</t>
  </si>
  <si>
    <t>@asadowaisi @PMOIndia @AmitShah Hindu never kills. Hindu just reacts over injustice to himself.. @RanaAyyub Itihas pada hoga shayad. Muslims nai Mandir tode or unpar maszid banai.. ISIS bhi Muslims caliphate lana chahate tha, bechare YAZIDI aurato ko rape Kara. Kashmir pandito ka rape kara,mara. Bahut Hua</t>
  </si>
  <si>
    <t>#MetroHariIni Berikut gambaran terkini proses pemindahan 188 WNI yang telah tiba di dermaga pulau Sebaru Kecil, Kep. Seribu. Seluruh WNI dievakuasi dari kapal World Dream sudah dinyatakan negatif Covid-19 namun akan tetap melakukan observasi selama 14 hari sesuai standar WHO.</t>
  </si>
  <si>
    <t>Hal ini juga merupakan perwujudan komitmen KJRI Johor Bahru untuk terus meningkatkan pelayanan dan pelindungan bagi WNI,” kata Konsul Jenderal Indonesia–Johor Bahru Sunarko. #IndonesiaDiJohorBahru</t>
  </si>
  <si>
    <t>Sangat mendukung WNI di Observasi guna cegah virus Corona #BersamaCegahCorona</t>
  </si>
  <si>
    <t>Ye satu dunia tahu. Aku minat dia as vocalist Slipknot. Aku tak peduli pon dia Pro LGBT ke, Pro BN ke Pro ISIS ke aku tak kisah. RT @zikrizameri: Corey Taylor is a pro-lgbt btw. Just saying.</t>
  </si>
  <si>
    <t>RT @8_fero_8: @CastilloJoshima @mohmahfudmd Saya lebih respect 100% sama anak2 ini,drpd sama2 anak2 ISIS eks WNI</t>
  </si>
  <si>
    <t>Menlu Retno Marsudi mengatakan, tidak semua warga negara Indonesia (WNI) di Kapal Pesiar Diamond Princess dievakuasi oleh Pemerintah.</t>
  </si>
  <si>
    <t>RT @polresjogja: Mari bersama-sama antisipasi... . “Aksi Kemanusiaan mengantisipasi virus corona, TNI-POLRI-Pemda Bersinergi tinjau kesiapan Fasilitas dan keamanan Pulau Sebaru untuk Observasi WNI ABK World Dream” . #BersamaCegahCorona</t>
  </si>
  <si>
    <t>Tentunya dengan kerja sama ini KJRI Johor Bahru dapat memberikan pelayanan yang lebih prima dan memudahkan bagi para WNI. #IndonesiaDiJohorBahru</t>
  </si>
  <si>
    <t>RT @ratu_adil: @elleanor12 Jangan lupa Eks Wilayah ISIS berada di Arsiran Penyebaran COVID-19 Iran dan Italy Itulah kenapa Saudi Tutup Pintu sementara Mencegah Mekkah jadi Episentrum Penyebaran COVID-19</t>
  </si>
  <si>
    <t>Waspada penyebaran virus corona melalu tiktok. Seorang WNI positif terjangkit virus corona dan tiktokan diruang isolasi perawatan. Sebarkan ke grup whatsapp keluarga kalian agar tidak bermain tiktok!!!!!!</t>
  </si>
  <si>
    <t>RT @suryaandreas71: Ada banyak anak WNI terlantar kekurangan pangan, sandang dan papan, kenapa anak teroris ISIS yg didahulukan ?</t>
  </si>
  <si>
    <t>@CastilloJoshima @mohmahfudmd Saya lebih respect 100% sama anak2 ini,drpd sama2 anak2 ISIS eks WNI</t>
  </si>
  <si>
    <t>RT @PIDPolresJepara: TNI-POLRI-Pemda Bersinergi Siap tinjau kesiapan Fasilitas dan keamanan Pulau Sebaru untuk Observasi WNI ABK World Dream” #BersamaCegahCorona</t>
  </si>
  <si>
    <t>@iroknmann Hal ini juga merupakan perwujudan komitmen KJRI Johor Bahru untuk terus meningkatkan pelayanan dan pelindungan bagi WNI,” kata Konsul Jenderal Indonesia–Johor Bahru Sunarko. #IndonesiaDiJohorBahru</t>
  </si>
  <si>
    <t>Aksi Kemanusiaan mengantisipasi virus corona, TNI-POLRI-Pemda Bersinergi tinjau kesiapan Fasilitas dan keamanan Pulau Sebaru untuk Observasi WNI ABK World Dream #BersamaCegahCorona</t>
  </si>
  <si>
    <t>@tubbirfess  Itu linknya Emang 2 minggu lalu, tapi yg berita terbaru juga belum ada kasus positif corona di indonesia Adanya WNI yg masih di luar kan?</t>
  </si>
  <si>
    <t>@iroknmann Tentunya dengan kerja sama ini KJRI Johor Bahru dapat memberikan pelayanan yang lebih prima dan memudahkan bagi para WNI. #IndonesiaDiJohorBahru</t>
  </si>
  <si>
    <t>Katanya; org Isis yg diampuni pemerintah Suriah udah mulai ngebom lage... isis siy ga bs dikasih hati</t>
  </si>
  <si>
    <t>@iroknmann Sesama WNI harus saling membantu #IndonesiaDiJohorBahru</t>
  </si>
  <si>
    <t>@iroknmann Semoga wni dapat terbantu #IndonesiaDiJohorBahru</t>
  </si>
  <si>
    <t>RT @Puspen_TNI: Panglima TNI Tinjau Lokasi Observasi WNI di Pulau Sebaru . Meminta kpd seluruh komponen yg tergabung dlm Kogasgabpad utk saling bahu membahu mempersiapkan segala sesuatu yg diperlukan sesuai dg standar Protokol kesehatan WHO yg sdh ditentukan😎💂 #P5TNI #Kapolri #VIRUS_CORONA</t>
  </si>
  <si>
    <t>RT @alucardiardo: @iroknmann Hal ini juga merupakan perwujudan komitmen KJRI Johor Bahru untuk terus meningkatkan pelayanan dan pelindungan bagi WNI,” kata Konsul Jenderal Indonesia–Johor Bahru Sunarko. #IndonesiaDiJohorBahru</t>
  </si>
  <si>
    <t>Aksi Kemanusiaan mengantisipasi virus corona, TNI-POLRI-Pemda Bersinergi tinjau kesiapan Fasilitas dan keamanan Pulau Sebaru untuk Observasi WNI ABK World Dream” #BersamaCegahCorona</t>
  </si>
  <si>
    <t>RT @Puspen_TNI: TNI AL fasilitasi evakuasi WNI ABK MV World Dream menggunakan KRI dr.Soeharso-990😎💂 #TNIPeduli #worlddream #KRISoeharso990 #TNIAL</t>
  </si>
  <si>
    <t>Jelang Kedatangan WNI Panglima TNI - Kapolri Cek Kesiapan Sebaru. #BersamaCegahCorona</t>
  </si>
  <si>
    <t>RT @JingliatiTan: @Hanifah933 @P3nj3l4j4h_id Tidak membayangkan seorang anak bisa berbicara seperti itu butuh waktu lama untuk merubahnya atau mungkin tidak bisa berubah sama sekali 😭😭😭 Apa Pemerintah masih mau memulangkan Anak Isis Eks WNI !!!!!!!!!</t>
  </si>
  <si>
    <t>RT @AmirAsyrxf_: Enjoy your student life “ Menangis tgh malam sbb give up belajar “ “ badan penat sbb trkejar assignment“ “ bergaduh sbb groupmate lepas tgn “ “ cinta tak berbalas” “ makan sama sama , jatuh bangun sama sama” benda tu la kau akan rindu.</t>
  </si>
  <si>
    <t>RT @EEllviera: Panglima TNI dan Kapolri Tinjau Lokasi Observasi WNI di Pulau Sebaru #BersamaCegahCorona</t>
  </si>
  <si>
    <t>@Hanifah933 @P3nj3l4j4h_id Tidak membayangkan seorang anak bisa berbicara seperti itu butuh waktu lama untuk merubahnya atau mungkin tidak bisa berubah sama sekali 😭😭😭 Apa Pemerintah masih mau memulangkan Anak Isis Eks WNI !!!!!!!!!</t>
  </si>
  <si>
    <t>@detikcom Protapnya bkn dr pengujiam atau tes, tp nunggu ada yg skt paru2/pernapasan hingga sekarat, baru di uji di lab. bukan kah seperti itu @KemenkesRI protap nya? Seperti wni yg dr wuhan, yg di natuna 2minggu, hanya ditunggu skt br di uji, jika ga skt dianggap negatif tanpa di uji lab</t>
  </si>
  <si>
    <t>Aksi Kemanusiaan mengantisipasi virus corona, TNI-POLRI-Pemda Bersinergi tinjau kesiapan Fasilitas dan keamanan Pulau Sebaru untuk Observasi WNI ABK World Dream” #BersamaCegahCorona RT @Kokov85147789: Welcome to Flores Paradise #Kamar66Ribu</t>
  </si>
  <si>
    <t>@SuksmaM @AnakKolong___ @Alfiangants Isis al qaeda buatan amrik bong🤣</t>
  </si>
  <si>
    <t>Kisah WNI di Arab Saudi, Sakit Parah hingga Dipulangkan ke Tanah Air</t>
  </si>
  <si>
    <t>RT @Faizbondz94: Ok dah leh buat room warming kot. #myroom</t>
  </si>
  <si>
    <t>Kapolri dan panglima tni tinjau kesiapan lokasi evakuasi dan observasi wni di pulau sebaru #BersamaCegahCorona</t>
  </si>
  <si>
    <t>RT @alex_hunter146: @Hanifah933 Stateless Akan Begitu Ngomongnya , Apalagi ISIS Yg Sudah Di Cekok Propaganda Kalau Di Tanya Media Pasti Akan Ngomong Begitu Mereka Takut Karena ISIS Masih Eksis Kalau Salah Ngomong Bisa Hilang Kepala</t>
  </si>
  <si>
    <t>RT @Metro_TV: #BreakingNewsMetroTV Terlihat 2 kapal sudah merapat ke lambung kiri dari KRI dr. Soeharso untuk proses penurunan 188 WNI ke Pulau Sebaru Kecil. 188 WNI tersebut sudah berada dalam perjalan selama kurang lebih 2 hari.</t>
  </si>
  <si>
    <t>Penangguhan izin masuk ke Arab Saudi berdampak lgsng bagi WNI yg akan Umrah terutama yang sudah meninggalkan Indonesia Upaya #NegaraMelindungi selalu hadir bagi warganya. Indonesia bantu kepulangan 65 WNI yg transit di Colombo, (27/02). Para WNI akan tiba di Jkt 28/02 pkl 10.55</t>
  </si>
  <si>
    <t>RT @agungkenyat:  Aksi Kemanusiaan mengantisipasi virus corona, TNI-POLRI-Pemda Bersinergi tinjau kesiapan Fasilitas dan keamanan Pulau Sebaru untuk Observasi WNI ABK World Dream #BersamaCegahCorona</t>
  </si>
  <si>
    <t>@Hanifah933 Stateless Akan Begitu Ngomongnya , Apalagi ISIS Yg Sudah Di Cekok Propaganda Kalau Di Tanya Media Pasti Akan Ngomong Begitu Mereka Takut Karena ISIS Masih Eksis Kalau Salah Ngomong Bisa Hilang Kepala</t>
  </si>
  <si>
    <t>RT @dzldnie: Tak ada kerajaan tapi masih aman. Sekarang engkorang nampak tak fungsi Raja? Daulat Tuanku.</t>
  </si>
  <si>
    <t>Besok 188 WNI dari kapal World Dream tiba, begini Persiapan di Pulau Sebaru #bersamacegahcorona #humaspolresmetrobekasi #HumasPolsekTambelang @divisihumaspolri @humas.pmj @humaspolrestrobekasi</t>
  </si>
  <si>
    <t>Hari Ini, WNI dari Kapal world Dream di Evaluasi ke Pulau Sebaru #BersamaCegahCorona</t>
  </si>
  <si>
    <t>Panglima TNI - Kapolri Tinjau Kesiapan Lokasi Observasi 188 WNI Di Pulau Sebaru</t>
  </si>
  <si>
    <t>RT @Lana55518: Jelang kedatangan WNI, Panglima TNI-Kapolri cek kesiapan Sebaru. #BersamaCegahCorona</t>
  </si>
  <si>
    <t>@abraham44289237 @Krisjonjojon1 @jokowi Tentang ketololan/ketidaktahuan saya, monggo diambil semua, Mas. Sudah baca full beritanya, toh? Tentu ada prosedur-prosedurnya, seperti dikarantina selama dua minggu di sana, serta memenuhi standard WHO, dsb. Terlebih, WNI dan WNA itu berbeda..</t>
  </si>
  <si>
    <t>RT @TigaraksaPolsek: Panglima TNI dan Kapolri Tinjau Pulau sebaru tempat WNI ABK World Dream #BersamaCegahCorona</t>
  </si>
  <si>
    <t>WC Portabel Hingga Kulkas Tiba di Sebaru Jelang Observasi WNI #BersamaCegahCorona</t>
  </si>
  <si>
    <t>RT @Enduro48802100: Panglima TNIdan Kapolri Tinjau Lokasi Observasi WNI di Pulau Sebaru #BersamaCegahCorona</t>
  </si>
  <si>
    <t>RT @WahyuDd82427933: WC portable hingga kulkas tiba di Sebaru jelang Observasi WNI. #BersamaCegahCorona</t>
  </si>
  <si>
    <t>“Aksi Kemanusiaan mengantisipasi virus corona, TNI-POLRI-Pemda Bersinergi tinjau kesiapan Fasilitas dan keamanan Pulau Sebaru untuk Observasi WNI ABK World Dream. #BersamaCegahCorona</t>
  </si>
  <si>
    <t>“Aksi Kemanusiaan mengantisipasi virus corona, TNI-POLRI-Pemda Bersinergi tinjau kesiapan Fasilitas dan keamanan Pulau Sebaru untuk Observasi WNI ABK World Dream” #BersamaCegahCorona #kepeduliankapolri…</t>
  </si>
  <si>
    <t>RT @kragilan_polsek: Jelang Kedatangan WNI, Panglima TNI - KAPOLRI Cek Kesiapan Sebaru. #bersamacegahcorona</t>
  </si>
  <si>
    <t>RT @RadioElshinta: @voaindonesia Proses evakuasi 188 WNI ABK kapal World Dream telah berhasil dilaksanakan. Mereka dlm kondisi sehat, suhu tubuh normal tdk ada yg diatas 38 derajat celcius. Slanjutnya mereka akan menjalani masa observasi selama 14 hari di Pulau Sebaru Kecil. via @KemenkesRI_ #CoronaVirusUpdates</t>
  </si>
  <si>
    <t>RT @Humaspolsekpsg: Panglima TNI dan Kapolri tinjau pulau sebaru tempat WNI ABK world Dream. #BersamaCegahCorona</t>
  </si>
  <si>
    <t>Panglima TNIdan Kapolri Tinjau Lokasi Observasi WNI di Pulau Sebaru #BersamaCegahCorona</t>
  </si>
  <si>
    <t>RT @Wandy96981138: Kapolri sumbang selimut WNI ABK Word Dream yang di observasi #BersamaCegahCorona</t>
  </si>
  <si>
    <t>WC Portable hingga Kulkas Tiba di Sebaru Jelang Observasi WNI #BersamaCegahCorona</t>
  </si>
  <si>
    <t>RT @Epson76066625: Jelang Kedatangan WNI, Panglima TNI-Kapolri Cek Kesiapan Sebaru #BersamaCegahCorona</t>
  </si>
  <si>
    <t>RT @polsekcibaliung: Panglima TNI dan Kapolri tinjau lokasi Observasi WNI di Pulau Sebaru #BersamaCegahCorona</t>
  </si>
  <si>
    <t>RT @Wandy96981138: Wc portable hingga kulkas tiba di sebaru jelang observasi WNI #BersamaCegahCorona</t>
  </si>
  <si>
    <t>RT @raharjoatlas80: Panglima TNI dan Kapolri tinjau pulau sebaru tempat WNI ABK World Dream #BersamaCegahCorona</t>
  </si>
  <si>
    <t>RT @HumasTambelang: Jelang kedatangan WNI, Panglima TNI dan Kapolri cek kesiapan di Pulau Sebaru #bersamacegahcorona #humaspolresmetrobekasi #HumasPolsekTambelang @divisihumaspolri @humas.pmj @humaspolrestrobekasi</t>
  </si>
  <si>
    <t>Kapolri dan Panglima TNI Tinjau Kesiapan Lokasi Evakuasi dan Observasi WNI di Pulau Sebaru. #BersamaCegahCorona</t>
  </si>
  <si>
    <t>Persiapan pulau sebaru untuk observasi WNI kru kapal world dream capai 85 % #BersamaCegahCorona</t>
  </si>
  <si>
    <t>WC Portable hingga Kulkas tiba di sebaru jelang observasi WNI #BersamaCegahCorona</t>
  </si>
  <si>
    <t>Jelang Kedatangan WNI, Panglima TNI-Kapolri Cek Kesiapan Sebaru #BersamaCegahCorona</t>
  </si>
  <si>
    <t>RT @Humaspolsekpsg: Besok 188 WNI dari kapal world Dream tiba, begini persiapan pulau Sebaru. #BersamaCegahCorona</t>
  </si>
  <si>
    <t>Panglima TNI dan Kapolri tinjau lokasi Observasi WNI di pulau sebaru #BersamaCegahCorona</t>
  </si>
  <si>
    <t>Panglima TNI dan Kapolri tinjau pulau Sebaru, tempat WNI ABK World Dream #bersamacegahcorona #humaspolresmetrobekasi #HumasPolsekTambelang @divisihumaspolri @humas.pmj @humaspolrestrobekasi</t>
  </si>
  <si>
    <t>RT @Polsekluttawar1: Kapolri Sumbang Selimut WNI ABK World Dream yang Diobservasi #BersamaCegahCorona</t>
  </si>
  <si>
    <t>Aksi kemanusiaan mengantisipasi virus corona,TNI - Polri Pemda bersinergi tinjau fasilitas dan keamanan pulau sebaru untuk Observasi WNI ABK World Dream #Bersamacegahcorona</t>
  </si>
  <si>
    <t>RT @teluseparo: Kapolri dan panglima TNI memeriksa Aksi kesiapan kemanusiaan TNI-Polri-Pemda mempersiapkan observasi WNI ABK World Dream #BersamaCegahCorona</t>
  </si>
  <si>
    <t>PANGLIMA TNI TINJAU LOKASI OBSERVASI WNI DI PULAU SEBARU  #jalesvevajayamahe #tnial</t>
  </si>
  <si>
    <t>RT @yudhaatmaja_: “Aksi Kemanusiaan mengantisipasi virus corona, TNI-POLRI-Pemda Bersinergi tinjau kesiapan Fasilitas dan keamanan Pulau Sebaru untuk Observasi WNI ABK World Dream” #BersamaCegahCorona</t>
  </si>
  <si>
    <t>RT @Panggah_Ap: “Aksi Kemanusiaan mengantisipasi virus corona, TNI-POLRI-Pemda Bersinergi tinjau kesiapan Fasilitas dan keamanan Pulau Sebaru untuk Observasi WNI ABK World Dream”</t>
  </si>
  <si>
    <t>RT @TigaraksaPolsek: Kapolri dan Panglima TNI Tinjau Kesiapan Lokasi Evakuasi dan Observasi WNI di Pulau Sebaru #BersamaCegahCorona</t>
  </si>
  <si>
    <t>Aksi kemanusiaan mengantisipasi virus Corona, TNI-Polri-Pemda bersinergi tinjau kesiapan fasilitas dan keamanan Pulau Senaru untuk observasi WNI ABK World Dream #BersamaCegahCorona</t>
  </si>
  <si>
    <t>Hari Ini WNI Dari Kapal Word Dream di Evakuasi Ke pulau Sebaru. . #BersamaCegahCorona</t>
  </si>
  <si>
    <t>Nangis bisa karena hal apa saja emang. Keturunan WNI tanpa identitas: 15 tahun terpisah, ibu dan anak bersatu k...  lewat @YouTube</t>
  </si>
  <si>
    <t>Panglima TNI dan Kapolri Tinjau Pulau sebaru tempat WNI ABK World Dream #BersamaCegahCorona</t>
  </si>
  <si>
    <t>RT @Hauw34631316: “Aksi Kemanusiaan mengantisipasi virus corona, TNI-POLRI-Pemda Bersinergi tinjau kesiapan Fasilitas dan keamanan Pulau Sebaru untuk Observasi WNI ABK World Dream”</t>
  </si>
  <si>
    <t>@AmitShah Jo judicial judge, beurocrat, ISLAMIC TERRORISTS, JEHAADI, ISIS, PFI, SDP , KO DIRECT &amp;INDIRECT MADAT KAR RAHA HAI, PROPERTY, INCOME, KI RAW JAANCH KARAYEIN, FULL LINK PATA CHAL JAYEGA, PROPERTY JAPT KARO , HINDUSTAN BACH JAYEGA. MARJI AAPKI.</t>
  </si>
  <si>
    <t>Demi WNI #BersamaCegahCorona</t>
  </si>
  <si>
    <t>Panglima dan Kapolri Memeriksa Fasilitas Observasi WNI #BersamaCegahCorona</t>
  </si>
  <si>
    <t>pengecekan persiapan observarsi 188 WNI ABK World Dream Pulau Sebaru, Kepulauan Seribu. #BersamaCegahCorona</t>
  </si>
  <si>
    <t>RT @SinggihDarmawa8: Kapolri Jenderal Polisi Drs. Idham Azis, bersama Panglima TNI Marsekal TNI Hadi Tjahjanto, S.I.P., meninjau langsung kesiapan lokasi evakuasi, karantina dan observasi warga negara Indonesia (WNI) di Pulau Sebaru, Kepulauan Seribu, Jakarta Utara, #BersamaCegahCorona</t>
  </si>
  <si>
    <t>RT @indratya92: “Aksi Kemanusiaan mengantisipasi virus corona, TNI-POLRI-Pemda Bersinergi tinjau kesiapan Fasilitas dan keamanan Pulau Sebaru untuk Observasi WNI ABK World Dream” #BersamaCegahCorona</t>
  </si>
  <si>
    <t>@nasyrhnr semoga lokasi observasi ini nyaman untuk di tempati &amp; layak untuk di tempati para WNI yang di evakuasi. terimakasih untuk pemerintah yang sudah sangat sigap &amp;amp; cepat dalam menangani hal ini. #BersamaCegahCorona</t>
  </si>
  <si>
    <t>Kondisi para jamaah seluruhnya dalam kondisi sehat sehingga seharusnya tidak akan ada masalah ketika transit di Singapura. KBRI Colombo telah berkoordinasi dengan KBRI Singapura dan Direktorat Perlindungan WNI dan BHI Kemlu untuk memonitor pergerakan 65 jamaah tersebut. RT @KBRIColombo: Kebijakan sepihak yang bersifat “immediate effect” tersebut disesalkan para jamaah asal Indonesia yang telah membayar biaya umrah sepenuhnya.#sahabatkemlu #kemlu_ri</t>
  </si>
  <si>
    <t>@nasyrhnr semoga dilancarkan semuanya evakuasi WNI ke lokasi observasi #BersamaCegahCorona</t>
  </si>
  <si>
    <t>RT @ratu_adil: Sebab Apabila 100 Ribu Warga Eks ISIS Terjangkit #WuhanCoronaVirusOutbreak Dan Dunia hanya membiarkannya mati tak terurus Maka hari itu, Alm Abu Bakar Al Baghdadi pun tersenyum Karena akhirnya Dunia pun menjadi Taggfiri Takfiri Global 🌐</t>
  </si>
  <si>
    <t>RT @ratu_adil: Pertanyaan paling kritis soal WNI saat ini adalah Saat Dunia berdebat soal Kewarganegaraan Eks ISIS Kemudian Timur Tengah dilanda Wabah #WuhanCoronaVirusOutbreak Ketika 100 Ribu Warga Eks ISIS Terjangkit COVID-19, Siapa masih punya hati nurani? 🌐</t>
  </si>
  <si>
    <t>RT @ratu_adil: Sidney Jones : Rencana Pemulangan Anak WNI ISIS Langkah Tepat IQ Bintang Berbicara 🌐</t>
  </si>
  <si>
    <t>RT @ratu_adil: Habibie Center : Pemerintah harus pulangkan Anak-Anak WNI ISIS IQ Bintang Berbicara 🌐</t>
  </si>
  <si>
    <t>RT @sunfloweraidil: berapa lagi tinggal di malaysia? • harimau malaya: &lt;200 • rusa sambar: 350-400 • seladang: 150-200 • kambing gurun: 200-500 • tenuk: 700-800 • gajah asia: 1,000-1,100 • beruang madu: 300-500 • orangutan: 11,000 • gajah borneo: 2,040 • harimau dahan borneo: &amp;lt;800 (sabah)</t>
  </si>
  <si>
    <t>RT @sharifahsalma1: 1. Be friend first 2. Buat dia selesa kawan dgn you 3. Tunjuk effort, care about her 4. Jangan tunjuk you desperate 5. Buat dia happy everyday 6. Comfort her bila dia sedih 7. Tk perlu confess dia sendiri akan bgitau dia suka u</t>
  </si>
  <si>
    <t>@WidasSatyo Berarti asumsinya adalah imunitas WNI tinggi. Imunitas wni tinggi atau rendah belum bisa dibuktikan. Gaada hubungannya dengan logic.</t>
  </si>
  <si>
    <t>@JasBJP @aajtak Sanghi Indian ISIS indian taliban</t>
  </si>
  <si>
    <t>RT @JubirPresidenRI: Pemerintah Tak Berencana Pulangkan WNI Eks ISIS. Keterangan Pers Presiden @jokowi di Istana Kepresidenan Jakarta, pada Rabu 12 Februari 2020.</t>
  </si>
  <si>
    <t>Kapolri dan Panglima TNI tinjau kesiapan evakuasi WNI di Pulau Sebaru #polripromoter</t>
  </si>
  <si>
    <t>@nasyrhnr semoga para wni selalu diberi kesehatan! #BersamaCegahCorona</t>
  </si>
  <si>
    <t>@dr_koko28 Dok...kenapa kita masuk dalam daftar merah ? Padahal dari info pemerintah kan gak ada WNI yg kena virus corona...atau jangan2 ada ketidakpercayaan pihak arab saudi ya dok ?</t>
  </si>
  <si>
    <t>Virus corona sudah mengkhawatirkan semoga Indonesia tidak lalai dengan menghabiskan waktu mikirin pulangin bibit teroris isis ke NKRI. Sementara virus corona juga mengancam. Iran Tiadakan Salat Jumat karena Virus Corona</t>
  </si>
  <si>
    <t>@Namaku_Mei wah,kalo ini gue curiga.soalnya spanyol itu termsk slh satu tujuan wisata,dan udh terindikasi ada virus covid disana. Pakmen Terawan,mesti cek&amp;ricek lagi nih..di Indonesia udh ada yg meninggal. Bisa jd Covid-19 udh ada disini,tapi symptomnya blm kliatan,krn WNI bnyk cuek😅</t>
  </si>
  <si>
    <t>Pemerintah yang emang denial masalah COVID-19 atau gue yang ga update ya sama antisipasi pemerintah terkait ini? Gue cuma inget gimmick awal aja tuh yg karantina wni dari wuhan.</t>
  </si>
  <si>
    <t>@nasyrhnr semoga para WNI sehat2 selalu tidak terpapar Virus Corona, Amiin Allahumma Amiin #BersamaCegahCorona</t>
  </si>
  <si>
    <t>@tempodotco Hati-hati kalian, ntar di cap makar lho...di cap radikal, taliban, isis, dll</t>
  </si>
  <si>
    <t>Pulau Sebaru Kecil, Kabupaten Administrasi Kepulauan Seribu, DKI Jakarta diputuskan sebagai lokasi observasi 188 WNI ABK kapal pesiar World Dream. Observasi merupakan protokol kesehatan merespons wabah virus korona (Convid-19). #Korona #Corona #PulauSebaru</t>
  </si>
  <si>
    <t>RT @RadioElshinta: Ratusan warga negara Indonesia (WNI) yang terdampak kebijakan penghentian penerimaan jemaah umrah oleh pemerintah Arab Saudi, dan menggunakan maskapai penerbangan Turkish Airlines, akan segera dipulangkan ke Tanah Air.</t>
  </si>
  <si>
    <t>Sebanyak 68 personel Komando Pasukan Katak (Kopaska) TNI Angkatan Laut bersiaga mengamankan Pulau Sebaru, Kepulauan Seribu.</t>
  </si>
  <si>
    <t>Tidak mungkin Indonesia bebas terkena virus corona. Berapa banyak yang sudah dilakukan pemeriksaan? Warga WNI yg dievakuasi ke Natuna saja tidak diperiksa, seharusnya diperiksa. RT @pinterpolitik: Nah loh, kesalahan apa yang dilakukan pemerintah #Indonesia #VirusCorona</t>
  </si>
  <si>
    <t>@prasannavishy N DTV MOUTHPICE OF ISIS(INDIAN GAZWA E HIND) WANT JAHILIA ERA</t>
  </si>
  <si>
    <t>@Yosrizal8486 @jansen_jsp Sdh menjado lumrah Bagi pembela penguasa.dan sebenar semua pendukung penguasa maupun pendukung kubi oposisi.sama” noraknya,hanya saja pendukung penguasa dapat jaminan kebebasan,ketimbang pendukung oposisi.maka jgm bicara pancasila kl mash ada pemecah belahan sebagai wni</t>
  </si>
  <si>
    <t>@_wni_ Sedap lah 😭😭</t>
  </si>
  <si>
    <t>Koordinator Kesehatan Observasi WNI, dr. Erlan Samoedro menjelaskan kesiapan para petugas medis dalam mengobservasi 188 ABK Kapal Pesiar World Dream di Pulau Sebaru. #CNNIDNewsReport</t>
  </si>
  <si>
    <t>@revolutia Mikirnya berarti imunitas WNI tinggi.</t>
  </si>
  <si>
    <t>@HannasyaEnE @DukeCondet @LisaAmartatara3 @FBI (1).ISIS bukan Islam (2).giliran yg BIADAB bukan dari islam kalian @HannasyaEnE GA BERANI bilang TERORIST. dalih A sampai Z d keluarkan demi bela para Harbi.</t>
  </si>
  <si>
    <t>RT @tahupetismanis: @Bocah__koplak Negara urus dlu anak2 spt ini,jgn urus anak2 pulangkan anak ISIS yg mgk jd ancaman masa depan</t>
  </si>
  <si>
    <t>Korsel Darurat Corona, Pemerintah RI Buka Pos untuk WNI di Daegu |   via @merdekadotcom</t>
  </si>
  <si>
    <t>@sallua786 @falgun_oza111 @nto1927 @ReallySwara @jimtom21 Haan bhai, tumhare tweet me pak aur ISIS kyu hoga? Wo to exist hu nai karte. Whch is why CAA is a prblm? Thanks for letting us know k gulf me training hui he, vo bhi 10 saal. Obviously hum hi gaddar he, jo jab musalmaan apna exclusive desh banake gaye, tab sabko jagah di</t>
  </si>
  <si>
    <t>RT @KBRITokyo: Bagi WNI pelajar/pekerja di Tokyo, atau Anda yang sedang berkunjung ke Tokyo: Pemerintah Metropolitan Tokyo mengumumkan beberapa info penting seputar berbagai upaya menahan penyebaran virus COVID-19, yang mungkin mempengaruhi kwalitas pengalaman Anda di Jepang. #NegaraMelindungi</t>
  </si>
  <si>
    <t>Untuk Sementara</t>
  </si>
  <si>
    <t>RT @kompascom: Najamudin menegaskan bahwa turis maupun WNI yang membeli ponsel dari luar negeri (hand carry), wajib melakukan registrasi ulang melalui pihak Bea Cukai. &gt; #Tekno</t>
  </si>
  <si>
    <t>@Parapat_Nixon @jokowi @mohmahfudmd Pulang aja ke Indonesia.. terkecuali isis</t>
  </si>
  <si>
    <t>WNI Dilarang Memasuki Arab Saudi Dikarenakan COVID-19, Ini Penjelasan KBRI Riyadh  #IndonesiaMaju @jokowi @Kemlu_RI @fadjroeL</t>
  </si>
  <si>
    <t>@indahhdwie 😂🤣🤣🤣🤣 Kok iso ne gak nggae sempak..ben isis be'ne yo..🤭🤭</t>
  </si>
  <si>
    <t>RT @Mukriiim: Tertular Corona, WNI malah Main Tik tok di Ruang Isolasi</t>
  </si>
  <si>
    <t>Tertular Corona, WNI malah Main Tik tok di Ruang Isolasi</t>
  </si>
  <si>
    <t>@VeritasArdentur @zalymam @angewwie ini contoh penghormatan ke agama lain ya @zalymam</t>
  </si>
  <si>
    <t>RT @KapanLagicom: Wawancara dengan Duta Besar Indonesia untuk Korea Selatan Seputar Virus Corona, Posko KBRI Siapkan Puluhan Ribu Masker untuk WNI di Daegu.</t>
  </si>
  <si>
    <t>Alhamdulillah proses evakuasi 188 WNI ABK kapal World Dream telah berhasil dilaksanakan. Mereka dalam kondisi sehat, suhu tubuh normal tidak ada yg diatas 38 derajat celcius. Selanjutnya mereka akan menjalani masa observasi selama 14 hari di Pulau Sebaru Kecil. #WaspadaCOVID19</t>
  </si>
  <si>
    <t>RT @Lady_Zeebo: @WR_4AG226 Pak @mohmahfudmd cabut saja status WNI HRS</t>
  </si>
  <si>
    <t>Ada wni 15 tahun ilang di malaysia, ga punya identitas.. Di usia 20 tahun akhirnya dia ketemu ibunya dan dia aja ga inget wajah ibunya.. kalian harus nonton aku nangis bombay liatnya</t>
  </si>
  <si>
    <t>Menjelang Meninggalkan Wuhan. Cerita Di Balik Evak #uasi WNI Wuhan.  #moreshareforum #beritaterkini</t>
  </si>
  <si>
    <t>KĶKKKĶKKK SOCORRO #BBB20  RT @btyrs: Manu, Gabi e Rafa acharam que a festa da Gabi e da Rafa foram as melhores festas. E é por isso que não dá para gostar delas nesse reality.</t>
  </si>
  <si>
    <t>@rmol_id Kan ada buzzer yg dapat anggaran 72 M dari APBN, kerahkan dong untuk pertanyakan ke Arab Saudi kenapa stop umrah WNI ? Takut ya....</t>
  </si>
  <si>
    <t>Najamudin menegaskan bahwa turis maupun WNI yang membeli ponsel dari luar negeri (hand carry), wajib melakukan registrasi ulang melalui pihak Bea Cukai. &gt; #Tekno</t>
  </si>
  <si>
    <t>@antihotonbanza 😂😂😂😂wayan yyi kama da na wni abokina</t>
  </si>
  <si>
    <t>Psm yg jd jalan klok buat jd wni, Persija yg metik hasilnya. Awokawok 😂</t>
  </si>
  <si>
    <t>@dektampu Kalo tdk diantisipasi Otoritas India, akan berakibat konflik berkepanjangan, bs jd Al-Qaida dan ISIS ambil bagian.</t>
  </si>
  <si>
    <t>RT @Metro_TV: #PrimeTalk 188 WNI yang merupakan ABK dari kapal World Dream dievakuasi oleh Pemerintah Indonesia dengan menggunakan KRI Soeharso, di Selat Durian, Kep. Riau. Rencananya 188 WNI akan dibawa ke pulau Sebaru Kecil, Kep. Seribu, Jakarta untuk diobservasi.</t>
  </si>
  <si>
    <t>RT @wahhabicc_jabar: @jokowi Iya Pak! Arab Saudi ingin melindungi warga negaranya dari wabah virus korona... Sementara Negara +62.... ingin melindungi warganya dari mendatangkan anak² ISIS gak? 🤭</t>
  </si>
  <si>
    <t>@jack18hrs @ustadtengkuzul Saya brketurunan India. Bapak saya asal sana dan skrg udah wni. Mereka mmng brdendam karna kerajaan2 besar rata2 punya Islam dan keraja-an hindu buddha di bawahnya. Aplgi pas 3 tahun merdeka perekonimian penganut Islam lebih bagus dripada mereka.</t>
  </si>
  <si>
    <t>Halo kak min @kring_pajak kalau WNI status SPDN tetapi di tengah tahun dapat penugasan ke kantor LN (process bisnis tidak di Indonesia) selama &gt;2 tahun, apakah statusnya menjadi WP non efektif? Perhitungan pajaknya seperti apa?</t>
  </si>
  <si>
    <t>Masa ya aku pernah mimpi masuk ISIS, gile serem bgt</t>
  </si>
  <si>
    <t>@DonAdam68 @LisaAmartatara3 Kenapa #MyPresidentIsAnIdiot bisa sampai trending, malu kita sebagai WNI</t>
  </si>
  <si>
    <t>Demi keselamatan warga negara Indonesia Mestinya WNI dilarang ke Iran,semua yang datang dari Iran harus diperiksa,bila perlu diisolasi dulu... Bener ga @syiahmenjawab ? RT @VIVAcoid: Giliran Wakil Presiden Iran Terinfeksi Virus Corona COVID-19</t>
  </si>
  <si>
    <t>Takda lagi ada muslim menyalahkan agama berdasarkan apa yg terjadi di india. Lain ragamnya bila taliban atau isis melakukan keganasan yg sama.</t>
  </si>
  <si>
    <t>RT @1997eunhee: Semoga aja semua WNI yang ada di Korea Selatan bisa terbantu 😭🙏</t>
  </si>
  <si>
    <t>@antonbuddy besarnya wilayah Indonesia dgn sekian Bandara Internasional dan pelabuhan yg jadi traffict keluar masuknya WNI WNA ke Indonesia menjadikan potensi penyebaran #VirusCorona lebih tinggi hingga keseriusan pemerintah pun dipertanyakan oleh kalangan diplomatik berbagai negara. cmiaw</t>
  </si>
  <si>
    <t>RT @pmbrutiketmurah: 10 aktiviti unik yang boleh anda buat bila bercuti di Penang Thread ini kami akan senaraikan aktiviti² best dan tempat makan yang unik bila korang datang ke Penang!</t>
  </si>
  <si>
    <t>@andibachtiar Gatau dah. Kabar terakhir yg wni pulang dari china kan mau di taro di kepulauan seribu dulu sementara</t>
  </si>
  <si>
    <t>iya sih mbak @MerryRiana , akan berujung sakit hati. contoh : 1. Marah karna wacana pemulangan anak2 Eks ISIS , tapi tetap akan dilakukan pemerintah. 2. Marah karna banyak nya kasus Intoleran , tapi ada pembiaran disana. 3. ......marah apa lagi ya ?🤔🤔🤔 Hehehe...🙂 RT @MerryRiana: Marah dengan mencaci hanya akan berujung sakit hati. Marah dengan memberikan nasihat akan jauh lebih sehat dan bermanfaat . Apakah menurut kamu marah itu baik? . #JadiOrangBaik</t>
  </si>
  <si>
    <t>WNI terdampak kebijakan penghentian umrah akan dipulangkan dari Turki</t>
  </si>
  <si>
    <t>11-12 dengan ISIS, rusak citra RT @business: The coronavirus is hurting the Corona beer brand — and its maker's share price</t>
  </si>
  <si>
    <t>Pemerintah Terus Berupaya Tingkatkan Perlindungan WNI di Korea Selatan</t>
  </si>
  <si>
    <t>Oh zorona,tentara Allah 😂😂😂 gegara ente,aq hrs merelakan tiket ke Osaka hangus 2 pax😅😅 Skrg,WNI jg hrs menderita😅😅</t>
  </si>
  <si>
    <t>RT @YogaAdrianyoga6: Negara lebih peduli anak2 ISIS</t>
  </si>
  <si>
    <t>RT @heNdi85: Saatnya jd ISIS, bisa jalan-jalan ke negara timur tengah. Balik ke Indonesia di sediakan fasilitas hidup dan pekerjaan. @jokowi oh @Kiyai_MarufAmin jgn sampai ada perlawan dr dlm rumah kalian sendiri. @budimandjatmiko @permadiaktivis @TeddyGusnaidi @AhlulQohwah @ChusnulCh__</t>
  </si>
  <si>
    <t>@Asknonym isis tuh apaya kayak adem banget gitu trs baunya beuhhh mantep😂</t>
  </si>
  <si>
    <t>Anak2 ibu ini yg semsetinya diperhatiken bukan anak2 ex ISIS yg org tuanya sudh membakar paspor Indonesia. Semoga ibu ini bisa mendpatkan bntuan. Agar kehidupannya lebih baik lagi.🙏🙏 RT @Dee_01984: Semoga dengan membaca screenshoot percakapan ini pun banyak yg memahami kesulitan ibu tersebut...😥 Cc : @KemensosRI @WagimanDeep__ @sherpa701 @MalvaSelena</t>
  </si>
  <si>
    <t>he is right.... ISIS BOKO HARAM LASHKAR JAISH HIZB TALIBAAN AL QAEDA HAMAAS RT @RanaAyyub: My Uber driver showing me a video on a youtube channel called Capital TV where the local journalist holds muslims responsible for the Delhi carnage. My driver not realising I am a muslim tells me in Hindi "Mam, these mohammedans are blood thirsty people"</t>
  </si>
  <si>
    <t>@Raizadam @ISIS_Balik_NO 😂🤣😃🤣😂 lucu2 komen dari luar itu pada ga mau nerima si mbak e...😀😂🤣😃🤣😂</t>
  </si>
  <si>
    <t>RT @kompascom: Tim evakuasi berangkat dari Bandar Udara Internasional Soekarno-Hatta, Tangerang, Banten pada pukul 14.00 WIB.</t>
  </si>
  <si>
    <t>Pak presiden @jokowi barusan saya dengar berita untuk WNI yg ada di Jepang di kapal diamon mereka bilang negatif corona. Namun hinngga saat ini blm ada tim evakuasi dari Pemerintah Indonesia utk memulangkan mereka. Krn warga2 negara lain sudah dijemput sama negaranya masing2. 🙏</t>
  </si>
  <si>
    <t>@ArjihanPutra Ya iyalah untuk sementara sebelum jadi WNI harus ngurus visa, telat sehari juga bakalan di deportasi</t>
  </si>
  <si>
    <t>@LekDamis @B4Y0NET @cendanao @SNF_888 @VIVAcoid Kubu sebelah santai2 aja.. Liat aja di yaman.. Sesama nya aja di bantai sesamanya.. Kalem aja.. Sampai sekarang nga ada yg berani ngedemo isis yg banyak memperbudak wanita dan membantai Orang2 sejenis nya.. Ckckkc</t>
  </si>
  <si>
    <t>Kapolri dan Panglima TNI Tinjau Kesiapan Lokasi Evakuasi dan Observasi WNI di Pulau Sebaru Kapolri Jenderal Polisi Drs. Idham Azis, ., bersama Panglima TNI Marsekal TNI Hadi Tjahjanto, S.I.P., meninjau langsung…</t>
  </si>
  <si>
    <t>@santosrv61 Jaae bb</t>
  </si>
  <si>
    <t>RT @republikaonline: Jokowi mengatakan pemerintah tak bisa tergesa-gesa menjemput semua WNI</t>
  </si>
  <si>
    <t>RT @IDWS: Positif COVID-19 dan Dikarantina, WNI di Taiwan Main TikTok dan Live-Streaming di Medsos  via @IDWS</t>
  </si>
  <si>
    <t>RT @kompascom: Untuk tempat observasi WNI Kapal pesiar Diamond Princess, salah satu opsi yang bisa digunakan adalah Pulau Sebaru di Kepulauan Seribu, Jakarta. &gt; #Tren</t>
  </si>
  <si>
    <t>@mikearmy_ot7 Semoga bangatn dan staff bighit serta wni yang di koreaa baik baik aja dan dalam keadaan sehat aamiin aamiin aamiin 😭💓💓💓</t>
  </si>
  <si>
    <t>Pastikan WNI Nyaman, BNPB Sebut Fasilitas Observasi di Sebaru Lebih Baik dari Natuna</t>
  </si>
  <si>
    <t>Tim evakuasi berangkat dari Bandar Udara Internasional Soekarno-Hatta, Tangerang, Banten pada pukul 14.00 WIB.</t>
  </si>
  <si>
    <t>Pernah tdk umat Islam melakukan kebiadaban spt ini? Gak pernah tuh... Para Little Frog pst diem deh... dasar ogog. Paling teriak2 ISIS lbh biadab, inget yaa semua umat ulama sdh claim ISIS bukan Islam... #SaveIndianMoslems #SaveIndianMoslems RT @cjwerleman: WARNING: a mob of Hindutva thugs near an already unconscious Muslim man with rods and sticks. What more can be said about India’s decent into Hindu Nazism, other than more than 30 Muslims have been killed by these Modi radicalized psychopaths in past 72 hours.</t>
  </si>
  <si>
    <t>Wawancara peneliti magang di IPAC ditanya seputar HTI, ISIS, FPI, Salafi, Jokowi, Ormas Radikal yang salah satu pertanyaannya pakai bahasa Inggris yang tentu saja harus dijawab pake bahasa Inggris juga. Nervous jelas. Tapi lega udah lewat. Masalah hasil kuserahkan pada Allah.</t>
  </si>
  <si>
    <t>@dularips Bikin lapangan kerja buat rakjat sendiri, jangan buat wna, Wni yg kerja diluar suruh balik aja, kerja disini.</t>
  </si>
  <si>
    <t>Kapolri dan Panglima TNI Tinjau Kesiapan Lokasi Evakuasi dan Observasi WNI di Pulau Sebaru #polripromoter</t>
  </si>
  <si>
    <t>Entah apa yang merasukimu? Virus corona</t>
  </si>
  <si>
    <t>WNI Jamaah Umrah Tertahan di Turki Segera Diterbangkan ke Tanah Air #NEWS</t>
  </si>
  <si>
    <t>RT @AndiatiSiska: @ylchaniago @ari_sup @Menlu_RI @jokowi @KBRI_Beijing TNI AU telah siaga, tp blm ada perintah Evakuasi WNI.</t>
  </si>
  <si>
    <t>Sandro Manurung: PN Jakarta Utara Belum Beri Keadilan Kepada WNI</t>
  </si>
  <si>
    <t>@Airin_NZ Tak yakin omongan penguasa.. Apa arab saudi yakin wni terjangkit virus corona karena TK cina puluhan ribu di Indonesia..</t>
  </si>
  <si>
    <t>Untuk tempat observasi WNI Kapal pesiar Diamond Princess, salah satu opsi yang bisa digunakan adalah Pulau Sebaru di Kepulauan Seribu, Jakarta. &gt; #Tren</t>
  </si>
  <si>
    <t>@V_xyz77 @Jontor_bruise_ @AlterBase18Plus heh, anak ptn ga jaminan pinter :)) yg milih gabung ke isis juga banyak</t>
  </si>
  <si>
    <t>udah WNI nih??</t>
  </si>
  <si>
    <t>beda perlakuan dengan WNI yg di jawa tengah. padahal sama sama negatif "katanya" RT @tempodotco: Jenazah pasien WNA suspect corona dimakamkan di Kota Batam. Jenazah dimakamkan seperti biasanya, karena sudah dipastikan negatif COVID-19. #covid19 #coronavirus</t>
  </si>
  <si>
    <t>Observasi WNI Di Kapal World Dream, Direncanakan Ke Pulau Kosong Dengan Fasilitas Bagus</t>
  </si>
  <si>
    <t>RT @KBRI__Roma: Terkait dengan perkembangan penyebaran covid-19 di Italia, disampaikan Himbauan kepada WNI di Italia untuk: (1) Tingkatkan kewaspadaan dan jaga kesehatan kebersihan (2) ...,.. #negaramelindungi @Kemlu_RI @DitEropa1_Kemlu</t>
  </si>
  <si>
    <t>“Kesiapan sudah 85 persen. Tinggal melengkapi fasilitas pendukung yang lain” kata Panglima TNI Hadi Tjahjanto.</t>
  </si>
  <si>
    <t>Ini yg lebih pantes di kasih pekerjaan , daripada mantan WNI yg gabung ISIS RT @Aryprasetyo85: Pangapunten Ndoro @ganjarpranowo Mohon di bantu Bpk ini dgn memberi pekerjaan Supaya si Bpk gk melakukan lgi hal yg sama di kemudian hari🙏🙏 Seorang bapak penjual es gepeng keliling nekat mencuri 1 kotak susu bayi SGM yang harganya Rp 37.000 di Kuripan Lor Pekalongan Selatan.</t>
  </si>
  <si>
    <t>Kapal Berkecepatan 40 Knot Disiagakan TNI di Pulau Sebaru Jaga WNI</t>
  </si>
  <si>
    <t>Korsel Darurat Corona, Pemerintah Buka Pos untuk WNI di Daegu</t>
  </si>
  <si>
    <t>Saatnya jd ISIS, bisa jalan-jalan ke negara timur tengah. Balik ke Indonesia di sediakan fasilitas hidup dan pekerjaan. @jokowi oh @Kiyai_MarufAmin jgn sampai ada perlawan dr dlm rumah kalian sendiri. @budimandjatmiko @permadiaktivis @TeddyGusnaidi @AhlulQohwah @ChusnulCh__ RT @AjiMulyaji2: @wahhabicc_jabar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</si>
  <si>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Pak @jokowi, pak @mohmahfudmd mending perhatikan anak2 disini yg sperti ini 👇 Daripada mikirin anak2 eks isis 👎 RT @hidayat_y28: Anak SD berjualan donat di POM Bensin utk menyambung hidup Semoga dimudahkan rizkinya, amin...</t>
  </si>
  <si>
    <t>@kumparan Udah yai... Klo mslh virus, Arab Saudi punya kewenangan sndiri, tegas, karena melindungi warganya sndiri. Mslh wni sini sehat ora urus yai... taati peraturanlaah</t>
  </si>
  <si>
    <t>@DukeCondet @LisaAmartatara3 @FBI Hi anda cerdas dikit kalo anda bikin statement, adkah isis yg mnamakan dirinya adlah islam pntas diseBUT AHMADI MEMBANTAI SESAMA ORNG ISLAM YG TDAK SJALAN DNGAN PMAHAMANYA, CB ANDA CERNA HINDU BUDHA KRISTEN UDAH GAK ANEH KALO DISEBUT TERORIS KRNA KYAKINANYA JELAS BEDA DNGAN ISLAM</t>
  </si>
  <si>
    <t>RT @qawixax: @dyanasmd Rakyat yg sekolah kebangsaan ramai, sekolah cina juga dpt paling bnyk dana. 1 org melayu suspek ISIS kena tangkap, 12 orang pengganas ltte kena tgkp dgn bukti pun kena lepas. Nk letak 1 tulisan jawi dlm buku cina pun gelabah beruk siap buat demo. Kau x tau ke benda ni jilakerrr</t>
  </si>
  <si>
    <t>@Auliaar__ Cepet banget nyebarnya, Taiwan baru 32... Itu yg terakhir yg WNI itu. Skrg semua tempat yg pernah didatangi dia dua minggu terakhir disteril, org2 yg pernah deket dia suruh lapor, pokoknya sibuk banget.</t>
  </si>
  <si>
    <t>@dyanasmd Rakyat yg sekolah kebangsaan ramai, sekolah cina juga dpt paling bnyk dana. 1 org melayu suspek ISIS kena tangkap, 12 orang pengganas ltte kena tgkp dgn bukti pun kena lepas. Nk letak 1 tulisan jawi dlm buku cina pun gelabah beruk siap buat demo. Kau x tau ke benda ni jilakerrr</t>
  </si>
  <si>
    <t>Satu WNI di Taiwan Positif Corona, Saat Dikarantina Malah Main TikTok Link⬇  #jabarnews #beritalokal #beritahiperlokal #jabarkini #harianjabar #jabartoday #beritajabar #jabar #wni #taiwan #positifcorona #saatdikarantina #malahmain #tiktok @KemenkesRI</t>
  </si>
  <si>
    <t>awas politisasi ISIS menggunakan DALIL #khilafah</t>
  </si>
  <si>
    <t>Menangani FTF ISIS Asal Indonesia</t>
  </si>
  <si>
    <t>"Seorang WNI terjangkit Corona karena Muhammadiyah"</t>
  </si>
  <si>
    <t>@abhijeet_dipke Abey Nausikhiya...Apne Baap Kejriwal Uske Bum me Dum hai kya Bolne ka... Mc Bho&amp;#%ke 60% population ISIS ko Vote kia hai BC...?? Sochke Bola kr😡😡</t>
  </si>
  <si>
    <t>pagi pagi nanges... Keturunan WNI tanpa identitas: 15 tahun terpisah, ibu dan anak bersatu k...  via @YouTube</t>
  </si>
  <si>
    <t>Jumat Siang Ini, WNI dari World Dream Tiba di Sebaru Kecil</t>
  </si>
  <si>
    <t>Inilah Keputusan Pemerintah untuk Segera Mengevakuasi 68 WNI</t>
  </si>
  <si>
    <t>#MetroSiang Panglima Komando Gabungan Wilayah Petahanan I, Laksamana Madya Yudo Margono mengungkapkan bahwa 188 WNI yang akan menjalani observasi di Pulau Sebaru akan tiba pada Jumat siang. #MetroTV</t>
  </si>
  <si>
    <t>@APLpangeran1 @jokowi Dari pd kluarin dana untuk siapkan sgl fasilitas anak kombatan isis ' mending untuk kemajuan pendidikan...</t>
  </si>
  <si>
    <t>Ratusan warga negara Indonesia (WNI) yang terdampak kebijakan penghentian penerimaan jemaah umrah oleh pemerintah Arab Saudi, dan menggunakan maskapai penerbangan Turkish Airlines, akan segera dipulangkan ke Tanah Air.</t>
  </si>
  <si>
    <t>@APLpangeran1 @CandoelSlankers @jokowi Iya pak Dhe, yang kayak gini yang perlu dibina dan dikembangkan, dikasi fasilitas. Bukan memulangkan anak2 ISIS dan dikasi fasilitas, nantinya mereka berkreasi menciptakan helm yang bisa meledak jika yang make tidak beriman</t>
  </si>
  <si>
    <t>RT @7nagaO3MT3: Harmoni warna yg pas.. Keragaman adalah keniscayaan, benerkan Pak @jokowi &amp; @Kiyai_MarufAmin ? Kita WNI tdk dpt mlh org tua atau terlahir sbg warga ngr lain. Kt hny bisa mencintai 🇮🇩 apapun Suku, agama, ras mu. Kt jaga itu! @TheArieAir @ChusnulCh__ @WR_4AG226 @permadiaktivis</t>
  </si>
  <si>
    <t>RT @kaankahfi: Kalau disini mba itu "dilindungi" menkes...dibilang flu babi bukan corona! Cara redam dampak corona nya pun ajaib lho di 62...negri miskin &amp; banyak utang ituh... Tau ga cara redamnya rezim? Pasti pada da tau yah?😋</t>
  </si>
  <si>
    <t>Reposted from divisihumaspolri Kapolri dan Panglima TNI Tinjau Kesiapan Lokasi Evakuasi dan Observasi WNI di Pulau Sebaru Kapolri Jenderal Polisi Drs. Idham Azis, ., bersama Panglima TNI Marsekal TNI Hadi…</t>
  </si>
  <si>
    <t>@BDUTT Oh behenji, kisne maara h ISIS style Mai vo bhi likho.. Ya toh poora likha Karo ya mat likha karo</t>
  </si>
  <si>
    <t>Persiapan terus dilakukan jelang kedatangan KRI Soeharso yang membawa 188 WNI pekerja kapal World Dream ke Pulau Sebaru. Hingga Kamis (27/2) kemarin persiapan sudah 85%. DUL . #SeputariNewsRCTI #SeputariNewsPagi #Observasi #Korona #Coronavirus #Wuhan #WorldDream #PulauSebaru</t>
  </si>
  <si>
    <t>Respon singkatku : 1. Melalui Pemerintah Arab maka ditamparlah kegemaran berbohong rezim ini menjalankan roda pemerintahan. 2. Jika rezim ini serius dlm menjalankan hak2 dasar beribadahah WNI maka uang 72 M utk influencer substitusikan utk mslh ini.</t>
  </si>
  <si>
    <t>Kalau disini mba itu "dilindungi" menkes...dibilang flu babi bukan corona! Cara redam dampak corona nya pun ajaib lho di 62...negri miskin &amp; banyak utang ituh... Tau ga cara redamnya rezim? Pasti pada da tau yah?😋</t>
  </si>
  <si>
    <t>Positif COVID-19 dan Dikarantina, WNI di Taiwan Main TikTok dan Live-Streaming di Medsos  via @IDWS</t>
  </si>
  <si>
    <t>Kapolri dan Panglima TNI Tinjau Kesiapan Lokasi Evakuasi dan Observasi WNI di Pulau Sebaru Kamis (27/2). Kapolri dan Panglima TNI hadir di Pulau Sebaru menggunakan KRI Jon Lie 358 milik TNI AL. Pulau Sebaru ini nantinya akan menjadi tempat karantina dan observasi untuk 188 WNI.</t>
  </si>
  <si>
    <t>RT @KienAnd_: Pernah tau kasus asia bibi di pakistan gak? Seorang wanita yang terkena pasal “penodaan agama” satu pasal yg juga di adopsi Indonesia, asia bibi mendapat vonis hukuman mati oleh pengadilan pakistan. Sampai obama dan paus fransiskus turun tangan krn kasus ini</t>
  </si>
  <si>
    <t>@KienAnd_ 👍👍👍 Saya sangat setuju kalau pasal Penodaan Agama diHAPUSkan karena pada Prakteknya hanya untuk melindungi Satu agama saja dan tak berpihak pada penganut agama lain selain golongan...Mayoritas.</t>
  </si>
  <si>
    <t>RT @anggia_ermarini: Observasi 188 WNI Dari Virus Corona di Pulau Sebaru @DPR_RI @radarbangsa_com @DPP_PKB @pkb_tv @nuonline_id @KompasTV #pkbmelayanirakyat #pkbmelayaniibupertiwi #anggotadprrikomisiix #dapiljatimvi #blitar #kediri #tulungagung #SAE #SahabatAnggiaErmarini</t>
  </si>
  <si>
    <t>@dext_r212 @editya77 @al_uetomo @AAR63028211 @mas__piyuuu @jokowi Kalau dari liat kata", mas mendiskriminasikan pekerjaan seorang tukang mebel, emang ga boleh apa mas pekerjaan usaha mebel berusaha maju menjadi Presiden? Padahal kan di UUD yang berhak menjadi presiden ialah WNI asli, ga ada harus dari pekerjaan apapun</t>
  </si>
  <si>
    <t>Pemerintah Segera Evakuasi WNI di Diamond Princess</t>
  </si>
  <si>
    <t>RT @MariawanDede: Kiranya menjadi salah satu indokator untuk tidak memulangkan eks ISIS maupun anak anak ISIS.. Semoga sampai ke telinga Yth. Bpk @mohmahfudmd @jokowi</t>
  </si>
  <si>
    <t>@ZiyaurR71283556 @aajtak Aur jo ISIS ka head hai wo RSS ka admi hai🤣</t>
  </si>
  <si>
    <t>Lumayan berdecak di part wakeboarding, keren loh 😎 Ditarik pake motor dan landasan airnya aspal loh. Kece bener dah WNI nih!</t>
  </si>
  <si>
    <t>@elleanor12 Jangan lupa Eks Wilayah ISIS berada di Arsiran Penyebaran COVID-19 Iran dan Italy Itulah kenapa Saudi Tutup Pintu sementara Mencegah Mekkah jadi Episentrum Penyebaran COVID-19</t>
  </si>
  <si>
    <t>Saya, dan saya yakin banyak Muslim lainnya, mengutuk semua kezaliman atas nama agama apapun, terlebih lagi atas nama Islam. Agama tidak boleh dipolitisasi untuk menghasut orang berbuat kezaliman. Saya percaya bahwa Hindutva ≠ Hindu, seperti halnya ISIS ≠ Islam.</t>
  </si>
  <si>
    <t>Gak habis pikir sama fans" yg komen di berita tentang corona di daegu 'ihh keluarganya idol ini gimana?' 'keluarganya idol ini aman gak ya?', kalian gak mikirin keluarga kalian sendiri? WNI" yang ada di sana? Parah dih -_-</t>
  </si>
  <si>
    <t>RT @pipit_prihyatna: @AnakKolong___ Kalo depag berperan, shrsnya ceramah model bgni, priitt.., kartu kuning Krn yg hrsnya mencerdaskan umat (dlm hal iman) malah jd koplak, umatnya kn wni Bgmn nasib negara ke dpn kalo isinya org2 koplak akbt patron koplak Ini virus yg sbnrnya, virus sinetron iman</t>
  </si>
  <si>
    <t>@nasiomu MAKANYA KAR trs kayak muridnya ada 400 anak gt dia casually throwing sex jokes... bukan wni sih makanya mungkin lbh vocal ttg hal hal gtan entahlah</t>
  </si>
  <si>
    <t>@Takviri @ronggo81 Tampung saja di rumah anda @mohmahfudmd atau anda kasih tampung di rumah pak presiden dan menteri2 lainnya. Saya menolak mereka eks isis.</t>
  </si>
  <si>
    <t>Di indonesia kan punya dasar negara Pancasila, sila pertama Ketuhanan Yang Maha Esa. Di sini jelas kita semua WNI semuanya beragama, dan diatur hukum, dimasukkan di KTP bahwa si A agamanya islam, si B kristen, dll.</t>
  </si>
  <si>
    <t>WNI terdampak kebijakan penghentian umrah dipulangkan dari Turki</t>
  </si>
  <si>
    <t>@ratu_adil Yg dimaksud eks kombatan ISIS juga belum jelas tdk melalui proses pengadilan apalagi cuma data CIA bisa sepihak kan?</t>
  </si>
  <si>
    <t>Sebab Apabila 100 Ribu Warga Eks ISIS Terjangkit #WuhanCoronaVirusOutbreak Dan Dunia hanya membiarkannya mati tak terurus Maka hari itu, Alm Abu Bakar Al Baghdadi pun tersenyum Karena akhirnya Dunia pun menjadi Taggfiri Takfiri Global 🌐 RT @ratu_adil: Pertanyaan paling kritis soal WNI saat ini adalah Saat Dunia berdebat soal Kewarganegaraan Eks ISIS Kemudian Timur Tengah dilanda Wabah #WuhanCoronaVirusOutbreak Ketika 100 Ribu Warga Eks ISIS Terjangkit COVID-19, Siapa masih punya hati nurani? 🌐</t>
  </si>
  <si>
    <t>RT @DolinSimbolon: Logika Sesat,jikalau memang org ini merasa paling BENAR dlm hal BERAGAMA mengapa dia tidak meminta Tuhan untuk melunakan hati Raja Saudi agar WNI yg beragama Muslim bisa melakukan Umroh? Dia pikir dia paling pintar tentang Agama. Miris.</t>
  </si>
  <si>
    <t>kemenhub151 : #KawulaModa, Keputusan Pemerintah Arab Saudi menutup akses masuk warga negara asing ke Arab Saudi, sangatlah mengagetkan. Keputusan tersebut dimaksudkan sebagai upaya mencegah penyebaran virus Corona hal ini berdampak pada WNI yang akan ber… RT @kemenhub151: #KawulaModa, Keputusan Pemerintah Arab Saudi menutup akses masuk warga negara asing ke Arab Saudi, sangatlah mengagetkan. Keputusan tersebut dimaksudkan sebagai upaya mencegah penyebaran virus Corona hal ini berdampak pada WNI yang akan bertolak ke tanah suci.</t>
  </si>
  <si>
    <t>RT @GalihZainur: Serius Naya nih orang apa tutup botol ya,.! Kok bisa Sekda setingkat Ibukota yg di bayar dr pajak Rakyat Namun Ajaib Tololnya. @fahiraidris @aniesbaswedan Kasih Obat dulu langsung Bobok,! Maljum #Kelonnnnn.😜😜😜</t>
  </si>
  <si>
    <t>@triefince @purnomo_jati1 @RomeskoP @KatolikG @mohmahfudmd @jokowi Kenapa negara memikirkan anak2 bekas ISIS..jelas2 mata terbuka lebar negara kita masih bnyak anak2 gelandangan dan terlantar..mreka anak terlantar juga pnya hak yg sama untuk diberikan perlindungan dan kesejahteraan oleh negara..dimana pemikiran negara saat ini..terlalu obsaid</t>
  </si>
  <si>
    <t>@plecidenPLONGO @TirtoID klo bukan islam knp ga ada yg demo penistaan ke isis?</t>
  </si>
  <si>
    <t>Pertanyaan paling kritis soal WNI saat ini adalah Saat Dunia berdebat soal Kewarganegaraan Eks ISIS Kemudian Timur Tengah dilanda Wabah #WuhanCoronaVirusOutbreak Ketika 100 Ribu Warga Eks ISIS Terjangkit COVID-19, Siapa masih punya hati nurani? 🌐 RT @elleanor12: @ratu_adil Sebenarnya tdk cuma anak2 nya termasuk eks-kombatan nya yg katanya punya data dari CIA kalo Indonesia punya visi mewujudkan perdamaian dunia</t>
  </si>
  <si>
    <t>Mohon bantuannya/perhatiannya ini masih ada 7 WNI tertinggal di Wuhan @Menlu_RI @KemenkesRI @jokowi @KBRI_Beijing @mohmahfudmd RT @tribunnews: Kekecewaan WNI yang Terjebak di Wuhan, Sebut Ada Kesalahan Soal Evakuasi : Kami Ingin Pulang</t>
  </si>
  <si>
    <t>@Parapat_Nixon, tlihat rencana pemulangan anak2teroris eksWNI-isis @jokowi n @mohmahfudmd bs jg bg Rizieq.</t>
  </si>
  <si>
    <t>Tentara Nasional Indonesia (TNI) dan Kepolisian Republik Indonesia (Polri) mengerahkan pasukan untuk mengamankan Pulau Sebaru Kecil, Kepulauan Seribu, DKI Jakarta yang menjadi tempat observasi bagi 188 WNI ABK kapal pesiar World Dream. #TNI #WHO #Corona</t>
  </si>
  <si>
    <t>@Koharrasmadi1 @AlfiraCahyo @ArgentianaA @fadlizon Betul.....ngaku ulama kagak bisa ngaji.....dipikir belajar agama sama dengan jualan MLM</t>
  </si>
  <si>
    <t>Turkish Airlines juga akan memberikan opsi kepada jemaah WNI untuk diterbangkan ke Arab Saudi pada saat kondisinya sudah memungkinkan, tanpa biaya tambahan.</t>
  </si>
  <si>
    <t>RT @RadioElshinta: Menlu Retno jelaskan soal penghentian umrah hingga WNI di kapal pesiar dan Korsel.</t>
  </si>
  <si>
    <t>@raymond_frans jadi teringat ISIS. Pergi ga pamit. Disana hujat negara asalnya. Salahkan sana sini. Pulangnya minta fasilitas dan nuntut harus dijemput sama org yang dihujatnya</t>
  </si>
  <si>
    <t>@aryacokronegoro @jokowi @Menlu_RI @Kemlu_RI @fadjroeL @BebasVisaID @sandmanindo @dennesbong @addamfarizi @yovie_myg @jameshandaja @StefRanda @MikeyAM97 @Lagnezmo17 Selama ini Korsel ga prnh membebaskan visa kpd WNI,pengajuan visa malah dipersulit,skrg Korsel parah terjngkt virus Corina,hrga diri kita dan antisipasi Indonesia trhdp virus Corona Korsel mana Bu @Menlu_RI @Kemlu_RI ?</t>
  </si>
  <si>
    <t>Berkat doa &amp; dukungan semua pihak, 125 WNI (bkn 124 sbgmn KBRI sampaikan sblmny) yang tdk bisa lanjutkan penerbangan ke Arab Saudi dan tertahan di Bandara Abu Dhabi Kamis (27/2/2020) sdh diterbangkan kembali ke Jkt (117 org) Jumat dini hari tadi &amp;amp; Kuala Lumpur (8 org) Kamis mlm.</t>
  </si>
  <si>
    <t>8 WNI asal Samarinda Kembali dari Natuna, Wawali Samarinda : Kita Tidak Perlu Khawatir - Tribun Kaltim</t>
  </si>
  <si>
    <t>@ISIS_Balik_NO @AlfiraCahyo @ArgentianaA @fadlizon Parah..asal bisa ngejelekin orang lain saja.</t>
  </si>
  <si>
    <t>@rmol_id Wey lu pikir jmput wni di cina pake pesawat ga pake biaya. Yg di tengah laut. Skarang nenek lu di china jokowi jmput cuma2 lu pikir negara ga ngeluarin duit...</t>
  </si>
  <si>
    <t>@oroorodowo40 Siap kang saya dukung anda.kita sama milih belio 2x.saya ga seruju ekswni pro isis diterima kembali di Indonesia.mereka sudah bukan warga Indonesia.sama aja pelihara anak singa itu namanya.</t>
  </si>
  <si>
    <t>@mas__piyuuu Gw sebagai WNI malu kalau omongan pemerintah negara gw udah gak dianggep. #MyPresidentIsAnIdiot #MyPresidentIsAnIdiot</t>
  </si>
  <si>
    <t>@barsnap @tubirfess Duain. Aku juga 'terpaksa' ikut pengajian mereka, tp belum ke tahap bai'at. Dan disaat itu aku ngerasain bgt namanya krisis kepercayaan. Dr saat itu aku tau aliran NII, kelompok ISIS, dll. Sampe akhirnya 6 bulan kerja ditempat itu aku ga kuat dan memilih pulang.</t>
  </si>
  <si>
    <t>RT @oroorodowo40: SATU UNGKAPAN DAN TAK AKAN PERNAH SAYA ULANG2 UNTUK BAPAK PRESIDEN PILIHAN SAYA 2014 &amp; 2019 . SAYA AKAN SANGAT KECEWA &amp;amp; MERASA BODOH KARENA 2 KALI MEMILIH BAPAK , BILA BAPAK BERENCANA MENERIMA EKS WNI ISIS MESKIPUN ITU ANAK2 !</t>
  </si>
  <si>
    <t>[ARTIKEL] PENGAKUAN NAPI TERORISME YANG 'MENOLAK' IKUT BAIAT ISIS: 'SAYA WAS-WAS SEKALI, KALAU LENGAH BISA LEWAT' SIRI 3: KHILAF, SEPERTI ORANG BODOH DISURUH DAN JALANKAN  FOLLOW US:   UNITED AGAINST EXTREMISM</t>
  </si>
  <si>
    <t>@AnkitLal Itni sidhat se Kam Kiya ISS bnde ne ki Pakistan me isis walo ne b nhi Kiya hoga Sala B&amp;D</t>
  </si>
  <si>
    <t>@TirtoID Harus nya ISIS sudah menyerang india... klo emang bener ISIS itu islam 🤔🤔🤔🤔</t>
  </si>
  <si>
    <t>Kekecewaan WNI yang Terjebak di Wuhan, Sebut Ada Kesalahan Soal Evakuasi : Kami Ingin Pulang</t>
  </si>
  <si>
    <t>RT @nindicaLim: I have no idea kenapa orang2 benci sama anak2 yang dibawa orang tuanya untuk jadi pengikut isis, they don't have choices don't they?</t>
  </si>
  <si>
    <t>Hawatir terdampak virus Corona, Rizki Aulia Rahman : 74 WNI harus segera dijemput oleh pemerintah... . Selengkapnya klik ⤵️</t>
  </si>
  <si>
    <t>RT @Ivone_RSZ: Ga ada guna bela belain @jokowi... bukannya pamrih lho ya Tapi dia jg ga peduli ama pendukungnya... kebijakan2 nya malah tidak sama sekali menunjukan simpati atau empati ama pendukungnya Contohnya intoleransi dan pemulangan ISIS.. omongannya semua ga ada jd kenyataan</t>
  </si>
  <si>
    <t>ngm p conversar, como smp</t>
  </si>
  <si>
    <t>#KawulaModa, Keputusan Pemerintah Arab Saudi menutup akses masuk warga negara asing ke Arab Saudi, sangatlah mengagetkan. Keputusan tersebut dimaksudkan sebagai upaya mencegah penyebaran virus Corona hal ini berdampak pada WNI yang akan bertolak ke tanah suci.</t>
  </si>
  <si>
    <t>RT @RullyOedaya: @kumparan Ayo para influencer yang sudah kecipratan anggaran 72 M dari APBN, berisiklah, gaduhlah, viralkan saham di Indonesia baik2 saja; tidak terpengaruh corona. Pertanyakan juga Arab Saudi dan India yg melarang WNI ke negaranya, ayo jangan makan gaji buta ya...</t>
  </si>
  <si>
    <t>@zwolftenaugust ISIS versi korea ya</t>
  </si>
  <si>
    <t>@wildynglist @MoffersYesaya @Anggraini_4yu Yg terjadi di Surabaya kan murni aksi teroris dn pelakunya kan sekeluarga (motif terkaitnya dri jaringan ISIS). Sedangkan di India muslim dibunuh secara membabi buta. Sbgai manusia yg berakal, saya mengecam mereka yg bertindak anarkis. UN pun bungkam sampai saat ini.</t>
  </si>
  <si>
    <t>Berdasarkan koordinasi dengan perwakilan RI di Turki, seperti disampaikan melalui keterangan tertulis KBRI Ankara, Turkish Airlines akan menerbangkan 74 WNI jemaah umrah ke Jakarta, pada Jumat, dengan nomor penerbangan TK 056.</t>
  </si>
  <si>
    <t>RT @RelawanNusanta1: Sebentar lagi ada tagar “Saudi ikut diserang tentara Allah” Karena uighur, Menyerang ISIS bla bla bla</t>
  </si>
  <si>
    <t>Memang harus dihormati semua orang, demi kemaslahatan org banyak, kmrn org sehat WNI dari wuhan pdhal udah diperiksa dgn teliti kesehatannya, org Natuna demo gak mau terima, apalagi yg jumlahnya ribuan dr berbagai negara ke saudi, terima aja RT @mediaindonesia: Iran Hormati Keputusan Arab Saudi Larang Umroh</t>
  </si>
  <si>
    <t>RT @polresmglkota: Kapolri dan Panglima TNI Tinjau Kesiapan Lokasi Evakuasi dan Observasi WNI di Pulau Sebaru, Kamis (28/2) @poldajateng_ @DivHumas_Polri</t>
  </si>
  <si>
    <t>RT @PutraErlangga_: Taiwan Peringatkan WNI yang Main TikTok di Bangsal Corona | Republika Online Mobile</t>
  </si>
  <si>
    <t>@gus55177350 Saya brketurunan India yg bapak berasal dri sana, di karna bapak merasa Islam akan di tindas makanya dri 90 bapak saya udah ke merantau dan jdi wni Indonesia. Apakah ad tindakkan menggulingkan India jika kami brwarganegara bukan india. Goblok bisa bung tapi jgn brlebihan.</t>
  </si>
  <si>
    <t>Menlu Retno jelaskan soal penghentian umrah hingga WNI di kapal pesiar dan Korsel  #ElshintaEdisiPagi</t>
  </si>
  <si>
    <t>@Anggraini_4yu Saya rasa masalah India bisa menjadi tolak ukur simpatisan ISIS untuk menegakkan khilafah alah mereka di India,tapi kalo ISIS kicep berarti ISIS bukan pejuang Islam yg selama ini di eluh"kan sebagian muslim di Indonesia</t>
  </si>
  <si>
    <t>NEWS UPDATE PAGI : Kapolri Apresiasi Penggunaan Pulau Sebaru Jadi Tempat Observasi 188 WNI ABK World Dream ??? Kepala Kepolisian Republik Indonesia Jenderal Polisi Idham Aziz menyampaikan apresiasi kepada…</t>
  </si>
  <si>
    <t>Udah mah gaptek... Knapa ya g bisa kirim foto...🤦... cerita dari teman WN India mereka sampe sekarang masih bebas Umroh ke Saudi...kenapa WNI g boleh ?...</t>
  </si>
  <si>
    <t>Golongan Darah: A Tinggi : 178 cm Berat : 60kg Kewarganegaraan : WNI</t>
  </si>
  <si>
    <t>Ini apa sih trending kok #MyPresidentIsAnIdiot.. tolong jangan lambungkan tagar #MyPresidentIsAnIdiot ini.. apa jadinya kalau sampai tagar #MyPresidentIsAnIdiot bener bener trending dunia, kan saya sebagai WNI jadi malu. Saya jg ga setuju sama #MyPresidentIsAnIdiot</t>
  </si>
  <si>
    <t>Semoga segera mendapatkan perhatian.. jgn dibalikkan fakta yg terjadi disana. 🙏 Humaidi, WNI di Wuhan yang Tidak Terevakuasi: Kecewa terhadap Pemerintah RI -</t>
  </si>
  <si>
    <t>Panglima TNI meminta seluruh komponen untuk lembur agar kesiapan Pulau Sebaru mencapai 100%. Mengingat, 188 WNI kru kapal pesiar World Dream akan tiba di lokasi observasi Jum'at (28/2) besok.</t>
  </si>
  <si>
    <t>Kementerian Kesehatan telah memeriksa kesehatan 188 WNI kru kapal pesiar World Dream yang dievakuasi. Ratusan WNI akan menjalani observasi di Pulau Sebaru, Kepulauan Riau.</t>
  </si>
  <si>
    <t>Yups,makin ngak jelas aja Apa mau negeri ini 10th kedepan seperti negara"yg sudah hancur berantakan gara"ISIS RT @Elina_Vay: Anak ISIS lah diurusin. Masih banyak anak Indonesia yang butuh diperhatikan. Pak @jokowi @mohmahfudmd @fadjroeL gimana ini?</t>
  </si>
  <si>
    <t>@mdafsar35903631 @prashanttadvi33 @JaiShreeRam90 @RubikaLiyaquat @KapilMishra_IND Tum log 72 hooro ke sapne dekho , body pe bomb bandho or fatt jao.. Isis ,alquayda or jehadio ka propoganda.. Baad me bolo hum mulsim dare hue he.. Sabko pata he tumhara Natak..</t>
  </si>
  <si>
    <t>Wilayah Pulau Sebaru di Kepulauan Seribu menjadi lokasi observasi WNI kru kapal pesiar World Dream, untuk mengantisipasi wabah korona. Panglima TNI menyebut kesiapan pulau sudah mencapai 85%.</t>
  </si>
  <si>
    <t>Kelakuan jinjingan sama junjungan...😷</t>
  </si>
  <si>
    <t>RT @wahhabicc_jabar: Warga Muslim Syiah yang terlupakan oleh pemerintah... Mereka cinta NKRI Mereka cinta Bangsa Indonesia Mereka BerPancasila 8 tahun hidup dalam pengungsian...? Dimana letak Toleransimu wahai negeri? Dimana Pancasilamu? __________ ANAK² ISIS LO URUSIN!</t>
  </si>
  <si>
    <t>RT @03__nakula: Teman" tolong RAS tagar berbau SARA yang digaungkan ISIS. Kerusuhan di India biar jadi tanggung jawab pemerintah India. Kita doakan kerusuhan tersebut segera bisa diatasi dan tidak ada lagi Korban jiwa. Tetap jaga persatuan dan kesatuan bangsa. #KitaSemuaSaudara #KitaIndonesia</t>
  </si>
  <si>
    <t>@WSetyorini2 @mutia_raaaaa @habiburokhman Akhirnya Brad Pitt jadi WNI!</t>
  </si>
  <si>
    <t>@drunk_auditor @panca66 @mpujayaprema @merdekadotcom Lah ga usah mengelak , yg bilang umat 212 radikal siapa, yg melarang islam eks isis adalah ISLAM RADIKAL siapa, yg teriak al Qaeda islam radikal siapa, LHA elu di bilang hindu radikal kok ga terima, 😀😀😀😀 klo ga mau di bilang gitu ya jangan sebut Islam, sebut saja organisasiny</t>
  </si>
  <si>
    <t>RT @merdekadotcom: Korsel Darurat Corona, Pemerintah RI Buka Pos untuk WNI di Daegu</t>
  </si>
  <si>
    <t>@basuki_rakhmad @RAISYAELBIX1 @TukangACkom @Wahrun12 @P3nj3l4j4h_id @ayah_9Garislucu @eko_kuntadhi @DTanjung15 @FirzaHusain @Jono_Fortunate @kantayu Dan dia muncul karena datang dari MAJELIS ULAMA.....ada yg salah di negeri ini</t>
  </si>
  <si>
    <t>RT @cadarmerah: Jd ISIS dulu agar nanti diurus negara @jokowi @mohmahfudmd</t>
  </si>
  <si>
    <t>Evakuasi WNI di Diamond Princes, Pemerintah sedang negosiasi slot penerbangan ke Jepang</t>
  </si>
  <si>
    <t>@Hilmi28 Heran saya, gemes Prioritas Kesehatan WNI jadi prioritas harusnya</t>
  </si>
  <si>
    <t>@Mentimoen @Tio7Willy Periode 2 amburadul @jokowi Wapres = Menag Menag = Menteri Islam &amp; Menkopolhukam Menkes = Menag Menkopolhukam = Menteri Pemulangan Anak Isis Menkeu = Pemungut cukai Men kelautan = Menteri Lobster</t>
  </si>
  <si>
    <t>RT @ArmandGusman: @KicauSunyi @Sarah_Pndj Ngenes banget lihatnya. Gimana pak @mohmahfudmd ? Tidakkah seharusnya kita prioritaskan Anak2 kita yg didalam negeri dulu ketimbang Anak2 ex ISIS?</t>
  </si>
  <si>
    <t>RT @jawapos: DPR Dukung Pemerintah Evakuasi Kru WNI Kapal Diamond Princess</t>
  </si>
  <si>
    <t>ngarep kelas isis</t>
  </si>
  <si>
    <t>@Koharrasmadi1 @AlfiraCahyo @ArgentianaA @fadlizon Karena ulamanya sapi....</t>
  </si>
  <si>
    <t>RT @Ryvanaziizan_: @diyahsiron17 @sugarwaste_ @Stayvaro @bucinkochenk @pamungxas @nollaaa_ @txtdaricowo Casis tuh calon isis tah..??</t>
  </si>
  <si>
    <t>Wawancara dengan Duta Besar Indonesia untuk Korea Selatan Seputar Virus Corona, Posko KBRI Siapkan Puluhan Ribu Masker untuk WNI di Daegu.</t>
  </si>
  <si>
    <t>RT @tribunnews: Kekecewaan WNI yang Terjebak di Wuhan, Sebut Ada Kesalahan Soal Evakuasi : Kami Ingin Pulang</t>
  </si>
  <si>
    <t>Virus Corona, Dua WNI Enggan Dievakuasi dari Jepang</t>
  </si>
  <si>
    <t>RT @kjrijohorbahru: Berbagai upaya trs dilakukan KJRI JB utk membantu proses pemulangan WNI. Pd Selasa &amp; Rabu (25-26 Februari 2020) KJRI JB berkoordinasi dgn Jabatan Imigrasi Malaysia membantu &amp;amp; memastikan kelancaran pemulangan 205 orang WNI/PMI yang telah menyelesaikan kasus-kasusnya,</t>
  </si>
  <si>
    <t>Apalagi WNI yang di luarnegeri #MyPresidentIsAnIdiot</t>
  </si>
  <si>
    <t>@ISIS_Balik_NO @triajaaa @LisaAmartatara3 Biar ga penyakitan dikasih VAKSIN palsu pula</t>
  </si>
  <si>
    <t>@mohmahfudmd Lalu siapa yg bikin Indonesia jadi sangat tidak Indonesiawi pak? Radikalis?ISIS?</t>
  </si>
  <si>
    <t>@Javedakhtarjadu Aap Syria jakar Isis join kar le , kyu ki apke tweet dekh kar lag raha h aap indian nhi muslim pahle ho or apme bhi Islamophobia aa chuka hain.</t>
  </si>
  <si>
    <t>Gue lagi dengerin salawatan, terus kawan gue yang kristen masuk dan diem sekejap. Gue langsung mikir, SUMPAH GUE GAK JOIN ISIS ATAU TALIBAN! TENANG!!!!</t>
  </si>
  <si>
    <t>@KakekHalal @jokowi Ya gimana lagi.. @jokowi udah gak ada beban. Mau hancur ya silaken.. mau dikuasai isis ya silaken. Pokoknya TANPA BEBAN...</t>
  </si>
  <si>
    <t>Satu WNI di Taiwan Positif Virus Korona</t>
  </si>
  <si>
    <t>RT @kompascom: Sesditjen Pencegahan dan Pengendalian Penyakit Kemenkes RI, dr. Achmad Yurianto mengatakan informasi yang diterimanya masih ada 9 ABK Diamond Princess yang merupakan WNI positif virus corona | #Tren</t>
  </si>
  <si>
    <t>Yes, it is just music. Adakah Muslims support ISIS sebab sama-sama Islam? Tak kan? Sebab tu jangan bodoh vien. RT @ComicsByVieN: i feel sorry for the people who replies to this. They seem confused. They love the band with a bi artist but they hate lgbt. camne tu? oh it's just music.</t>
  </si>
  <si>
    <t>@yusuf_dumdum @larozzz1 Yg meminta wni eks isis dipulangkan dia bagian dari isis dan mendukung gerakan isis</t>
  </si>
  <si>
    <t>@Ii72Ipul Ada bukti ngga bang ada korban wni kena korona?? Jangan sebar hoax, bu retno juga bilang begitu, agar kita selalu waspada, biar hati hati, dan arab juga melarang jemaat haji di stop, untuk antisipasi bukan berarti wni tertular.. Huh penyebar hoax</t>
  </si>
  <si>
    <t>@aditya_pwn Makanya di Katolik orang Awam nggak boleh sembarangan menafsirkan ayat2x injil,harus dari pusat Vatikan. Dulu jaman konstantinopel, katolik bobrok karena agama buat kekuasaan,banyak ayat yg diplintir! Dan sekarang ISIS =Biadad itu juga karena kekuasaan dan hasil ayat plintiran.</t>
  </si>
  <si>
    <t>@__sekar__ Tp masih menyayngkan sikap turki terhadap isis sih</t>
  </si>
  <si>
    <t>RT @Akbar5Wicaksono: @Anggraini_4yu Hubungannya apa dgn sama presiden indo mbak ?? Itu kan kejadian di india harusnya itu jadi tanggung jawab pemerintah india bukan indo kecuali kalau ada WNI yg ikut kebantai baru pemerintah indo ikut berperan benci boleh goblok jangan 😌</t>
  </si>
  <si>
    <t>188 WNI AWAK KAPAL WORLD DREAM TIBA DI PULAU SEBARU JUMAT SORE INI. #TauCepatTanpaBatas</t>
  </si>
  <si>
    <t>RT @Akbar5Wicaksono: @MpetPesa @Anggraini_4yu Nah bener tapi kalau menyalahkan preaiden indo juga gak masuk akal mas itu kan kejadian di india yg jadi tanggung jawab ya pemerintah india kita di indo cuman bisa berbela sungkawa sama berdoa semoga WNI yg ada di india gak menjadi korban</t>
  </si>
  <si>
    <t>Humaidi WNI di Wuhan yang tidak di terevakuasi kecewa terhadap pemerintah RI. Gimana ini 🙄🤔 #BUMNdikuasaiKoruptor</t>
  </si>
  <si>
    <t>karantina dan observasi untuk 188 WNI yang merupakan ABK dari kapal pesiar World Dream. . . @multimedia.humaspolri #polripromoter</t>
  </si>
  <si>
    <t>kesiapan lokasi evakuasi, karantina dan observasi warga negara Indonesia (WNI) di Pulau Sebaru, Kepulauan Seribu, Jakarta Utara, Kamis (27/2). Kapolri dan Panglima TNI hadir di Pulau Sebaru menggunakan KRI Jon Lie 358 milik TNI AL. Pulau Sebaru ini nantinya akan menjadi tempat</t>
  </si>
  <si>
    <t>#infopolsekbadau @divisihumaspolri ... Kapolri dan Panglima TNI Tinjau Kesiapan Lokasi Evakuasi dan Observasi WNI di Pulau Sebaru Kapolri Jenderal Polisi Drs. Idham Azis, ., bersama Panglima TNI Marsekal TNI Hadi Tjahjanto, S.I.P., meninjau langsung</t>
  </si>
  <si>
    <t>RT @budiwee: Teman saya nih kek gini... Blm jadi atheis sih, tapi udah malas ibadah. Dia Agamanya yg mayoritas koq Ndak mampu menciptakan kedamaian (rahmatan lil alamin), eh malah muncul ustad abal2 yg teriak kebencian, muncul ISIS, dia makin 'malu' dan...</t>
  </si>
  <si>
    <t>ANALISIS: PEMERINTAH PERLU MEMULANGKAN KELUARGA EKS ISIS DAN PROGRAM REHABILITASI SOSIAL ANAK DI INDONESIA  Follow us:    "UNITED AGAINST TERRORISME</t>
  </si>
  <si>
    <t>DPR Dukung Pemerintah Evakuasi Kru WNI Kapal Diamond Princess</t>
  </si>
  <si>
    <t>• • • • • • Kapolri dan Panglima TNI Tinjau Kesiapan Lokasi Evakuasi dan Observasi WNI di Pulau Sebaru Kapolri Jenderal Polisi Drs. Idham Azis, ., bersama Panglima TNI Marsekal TNI Hadi Tjahjanto, S.I.P.,…</t>
  </si>
  <si>
    <t>@billu_darbari @V64464168 @_basicallycold_ @Mdzeeshanayyub Ye dekh tera baap ISIS join kia 😂 RT @SKS_Shivhare: याद है JNU में आज़ादी गैंग वाला नजीब अहमद? 15 अक्टूबर 2016 को JNU से लापता। उसकी माँ ने हंगामा कर गुमशुदगी के लिए ABVP, भारत सरकार, दिल्ली पुलिस और सीधे PM मोदी को जिम्मेदार ठहराया था। अब चोंकाने वाली तस्वीर आयी है। वही नजीब अहमद अब ISIS का आंतकवादी बन चुका है। #Islamic_Jihad</t>
  </si>
  <si>
    <t>@musniumar Kalau muslim yg membunuh gimana dongok Anggota isis contohnya Kenapa islam banyak musuh karna mayoritas org islam itu GOBLOK</t>
  </si>
  <si>
    <t>RT @IdEmbassy_Seoul: Bagi WNI yang berdomisili di Korsel &amp; ingin mendapatkan info terbaru dari KBRI Seoul, ayo update data diri melalui WA Center KBRI Seoul. Gunakan format berikut: #nama#no.paspor#alamat korea#kota Contoh : #Ahmad Kurniawan #A1234567#380 Yeuoidaebangro, Yeongdeungpo - gu#Seoul</t>
  </si>
  <si>
    <t>Sesditjen Pencegahan dan Pengendalian Penyakit Kemenkes RI, dr. Achmad Yurianto mengatakan informasi yang diterimanya masih ada 9 ABK Diamond Princess yang merupakan WNI positif virus corona | #Tren</t>
  </si>
  <si>
    <t>@wolipop Heran sama indonesia. Coba deh sekali2 finalis PI tu yg pure orang indo jgn ada blasteran2nya gt. Walau sama2 WNI tp wajahnya bukan indonesia banget. Pantes lo gapernah menang di M.U 😶</t>
  </si>
  <si>
    <t>@jenk_kelinn @mohmahfudmd ANAK ANGGOTA ISIS EX WNI . Jangan dibalik, hati hati karena dimanfaatkan orang yg punya agenda. UU hanya menjamin anak anak Indonesia.</t>
  </si>
  <si>
    <t>@AjiMulyaji2 @eko2471 @wahhabicc_jabar @winarno4551 @jokowi Bila dipikir pikir mending jadi ISIS... Bila dipikir pikir mending jadi warga PAPUA..Bila dipikir pikir mending jadi warga Tumpang Pitu...Bila dipikir pikir mending jadi petani Kendeng..Trs skrg gimana? Yg menang ternyata oligarki, bukan rakyat..krn rakyat hny dimanfaatkan</t>
  </si>
  <si>
    <t>@whyujayapratama @Datuakpanduko2 Isis itu islam? Buktinya mana? Ahahaha Nah gua kasih data nih, bukan kaya lu yv cuma berkicau ahaha</t>
  </si>
  <si>
    <t>RT @SINDOnews: 310 WNI di Turki dan 910 di Jeddah Terkena Dampak Kebijakan Saudi</t>
  </si>
  <si>
    <t>RT @Je_Ly: Trimakasih bp @Jokowi menjawab harapan pr kru u/ dievakuasi segera. 🙏 Dg pesawat. Bukan kapal spt rencana sblmnya. Menko PMK Muhadjir Effendy menjelaskan pemerintah tlh memutuskan perintah akan mengevakuasi WNI di Diamond Princess di Yokohama, dg pesawat. Smoga lancar smua.🙏</t>
  </si>
  <si>
    <t>@aykentank Aku yg isis .wkwkwkwk</t>
  </si>
  <si>
    <t>Prajurit Marinir TNI AL yang tergabung dalam Satgaspad kesehatan observasi Coronavirus Pulau Sebaru Kecil di kepulauan seribu dengan kekuatan 20 personel DPP Lettu Laut (Kes) Nicolas mempersiapkan logistik 188 WNI yang akan tiba di pulau Sebaru.(27/02/2020)</t>
  </si>
  <si>
    <t>@aninditaairin1 Ok..dasteran kuwi penak lo mbak, isis😀</t>
  </si>
  <si>
    <t>Mohon Diizinkan Umrah, Menlu Minta ArabSaudi Cek Kesehatan WNI✔️Rasanya tdk hanya calon umrah dari WNI saja yg sdh terlanjur landing &amp; berada di kota Riyadh atau Jedah, juga calon umrah dari negara lain. Bgmn sikap pemerintah Saudi? Kita tunggu khabarnya</t>
  </si>
  <si>
    <t>@irlbtt_ @Datuakpanduko2 Tapi lebih banyak di indo bukannya? Blm lagi yg blm balik dari isis? Blm lagi kalo disatuin lebih banyakan korban yg mana kalo ditotalin? Lalalaaaa</t>
  </si>
  <si>
    <t>@bucin_nuna Yang neror ISIS dkk ya Allah yg difitnah satu agama</t>
  </si>
  <si>
    <t>@gommykyoong Ia kerja di karantina. Tp bkan yg skrg lagi krantina wni. Beda cabang 😁</t>
  </si>
  <si>
    <t>RT @shi__wie: Waktu isis menggal kepala orang, rusakin gereja, tembakin orang, gorokin orang,budakin orang, kalian protes gak kl ada yg teriak islam is teroris? Giliran kalian yg dizholimin, kalian lantang bener teriak #.Hindu_Is_Terrorist</t>
  </si>
  <si>
    <t>@kompascom lagi latihan ngadepin isis yg mau pada pulang kayanya...</t>
  </si>
  <si>
    <t>@MrsRachelIn senator isis..hihihii takuttttt</t>
  </si>
  <si>
    <t>Antisipasi Corona, WNI di Kapal Diamond Princess akan Diobservasi 28 Hari</t>
  </si>
  <si>
    <t>@SundaeKiss0921 Kerja di karantina wni?</t>
  </si>
  <si>
    <t>@MpetPesa @Anggraini_4yu Nah bener tapi kalau menyalahkan preaiden indo juga gak masuk akal mas itu kan kejadian di india yg jadi tanggung jawab ya pemerintah india kita di indo cuman bisa berbela sungkawa sama berdoa semoga WNI yg ada di india gak menjadi korban</t>
  </si>
  <si>
    <t>@lukmanalwahid Sekarang komunis kalah sama Isis ... 😛😆😄</t>
  </si>
  <si>
    <t>@mohmahfudmd Ntar kalau kedatangan anak-anak ISIS bisa berubah Pak.... Tunggu saja</t>
  </si>
  <si>
    <t>@SinthaS5 @BadjaNuswantara @Aryprasetyo85 @MurtadhaOne1 @Sarah_Pndj @4Y4NKZ ini contoh besarnya nanti anak_anak ISIS yang rencana di "pelihara" negara miris 😞</t>
  </si>
  <si>
    <t>RT @PEDOMAN_id: √ Pemerintah Segera Evakuasi WNI di Diamond Princess cc @jokowi @fadjroeL @JubirPresidenRI @PedomanNEWS</t>
  </si>
  <si>
    <t>Serangan biohazard dari isis? RT @suryadelalu: Saya curiga kenapa virus ini di Cina dan Iran?</t>
  </si>
  <si>
    <t>@mrshananto Jadi kepingin tau Rahasia NGACENG dr suami2nya yg sampe 24 jam siap ngeeue</t>
  </si>
  <si>
    <t>RT @Elina_Vay: Anak ISIS lah diurusin. Masih banyak anak Indonesia yang butuh diperhatikan. Pak @jokowi @mohmahfudmd @fadjroeL gimana ini?</t>
  </si>
  <si>
    <t>RT @GeorgeMarthin91: @narkosun @bintangbete Memang aneh ya pemerintah kita 😂 Padahal mereka kesana ngabisin duit buat hal gak guna, giliran pulang anaknya dapat fasilitas dari pemerintah 😂 Apakah anak jalanan harus jd eks isis baru bisa dapat perhatian pemerintah??</t>
  </si>
  <si>
    <t>Ketika Indonesia melakukan fogging desinfektan terhadap semua WNI yg dievakuasi dari Hubei, ketika mereka turun dari pesawat di Natuns, pada 3 pekan lalu. Video-nya viral dan menjadi pembicaraan global karena dipandang desinfektan tidak bisa membunuh virus yg hidup di inang.</t>
  </si>
  <si>
    <t>1 WNI perempuan 30 tahun, pekerja ilegal di Taiwan, confirmed #COVID19 RT @CNNIndonesia: Satu WNI di Taiwan Positif Virus Corona, Sempat Main Tik Tok</t>
  </si>
  <si>
    <t>Tega benar Pemerintah RI seorang jamaah umrah bertahun2 di Arab Saudi mau pulang tdk di jemput2, 238 WNI di Wuhan &amp; 188 WNI di Kapal World Dream dijemput sekarang gara2 Covid19 Arab Saudi melarang jemaah umroh datang berhentilah suplai logistik buat yg terlunta2 disana nasib 😂</t>
  </si>
  <si>
    <t>@oxfara gimana kl situ aja yg ke wuhan bantu evakuasi WNI</t>
  </si>
  <si>
    <t>Asli sih jadi bersyukur lagi Indonesia punya regulasi setiap WNI harus punya agama. RT @zwolftenaugust: gila ini serem abis. cerita istri yg suaminya graphic designer yg katanya mau diinterview orang karena menang award, ketemu sama senior kuliah dan diajak konseling sama psikolog karena si istri keguguran. istrinya ngerasa aneh, ditanya konsel ke mana taunya gereja SCJ.</t>
  </si>
  <si>
    <t>@jokowi Pak tolong anak anak isis eks WNI jangan dibawa pulang ya....</t>
  </si>
  <si>
    <t>@amrudinnejad_ @BiLLRaY2019 Mustof bukan nya anggota isis indo</t>
  </si>
  <si>
    <t>@NumberT21411654 @DukeCondet MAP bukan punya India kok. Sjamsul itu etnis tionghoa kalo ga salah. MAP murni didirikan WNI. Kebetulan aja petinggi2nya atau jajaran manajemen atau pemegang saham atau apapun itu ada yg india.</t>
  </si>
  <si>
    <t>Sebentar lagi ada tagar “Saudi ikut diserang tentara Allah” Karena uighur, Menyerang ISIS bla bla bla RT @AnakLolina: Gimana sih Arab Saudi, Indonesia itu terlindungi dari kutukan vCorona, apa mereka tidak paham kalau kita di lindungi 7 juta umat pemegang konci sorga? Saat ini saya dukung yang Mulia Habibana Rizieq Shihab &amp; FPI utk geruduk kedutaan Arab Saudi.</t>
  </si>
  <si>
    <t>@KBRITokyo Mohon info detail lebih lanjut mengenai kita WNI yg akan mengunjungi Jepang dan sudah membeli tiket yang tidak bisa di refund.</t>
  </si>
  <si>
    <t>Mewakili Menko PMK, Deputi Bid. Koordinasi Kerawanan Sosial &amp; Dampak Bencana Kemenko PMK Dody Usodo HGS bersama Panglima TNI Hadi Tjanjanto &amp;amp; Kapolri Idham Azis meninjau P. Sebaru Kecil, Kep. Seribu, yg menjadi lokasi observasi WNI ABK Kapal Pesiar World Dream, Kamis (27/2).</t>
  </si>
  <si>
    <t>RT @ETNewsIndonesia: Terkonfirmasi Tiga WNI Terinfeksi Virus Corona Nonton video selengkapnya di:  #WNI #coronavirus #Indonesia</t>
  </si>
  <si>
    <t>RT @alfiarnimakhtaf: @AlissaWahid @KDroneHunter Sumber masalah ada pada sebagian kecil WNI, jika mereka terus ditekan dengan narasi2 seperti yang anda sampaikan, sama saja mengipasi api dalam sekam. Kalau mau damai, simak mereka dengan empati, bukan merasa diserang. Bukankah dari protes mrk menujukan mrk-pu ingin damai?</t>
  </si>
  <si>
    <t>RT @AGurbachev: @Ngk0ng__R__R @qooi_mazz @mohmahfudmd @jokowi ANAK ANGGOTA ISIS EX WNI . Jangan dibalik, hati hati karena dimanfaatkan orang yg punya agenda. UU hanya menjamin anak anak Indonesia. Cc : @kangdede78 @HmfaqihA @jr_kw19 @03__nakula</t>
  </si>
  <si>
    <t>Pemerintah di LN sibuk urusin virus Corona Pemerintah Indo sibuk pulangin anak isis ex wni , khan kont*l RT @BBCIndonesia: Semua sekolah di Jepang diliburkan mulai pekan depan sampai akhir Maret untuk mencegah penyebaran virus corona</t>
  </si>
  <si>
    <t>RT @BobbyIrwanda: Saya baru dapat info dari istri kru kapal Diamond Princess bahwa pihak kemenlu &amp; kemenkes akan melakukan penjemputan para WNI kru kapal tsb dengan pesawat dalam waktu dekat. Saya mengucapkan terima kasih atas perhatian &amp;amp; bantuan teman2. Semoga Tuhan membalas kebaikan saudara.</t>
  </si>
  <si>
    <t>@dhanyismoyo @gm_sidiq @donijaua @Dennysiregar7 600 WNI di cekal tanpa proses hukum juga HRS, cebong phobia Islam...</t>
  </si>
  <si>
    <t>Seluruh WNI kru kapal World Dream hasil pemeriksaan klinisnya negatif corona.</t>
  </si>
  <si>
    <t>@jokowi @mohmahfudmd Masihkah ada wacana impor anak ISIS ?? Apakah atas dasar kemanusiaan?? Anak ISIS dapat jaminan pendidikan, hidup layak, anak bangsa sendiri kondisinya seperti ini... MENYEDIHKAN. RT @hidayat_y28: Anak SD berjualan donat di POM Bensin utk menyambung hidup Semoga dimudahkan rizkinya, amin...</t>
  </si>
  <si>
    <t>@hidayat_y28 Cc Pak @mohmahfudmd kalo punya hati dan masih konsisten bahwa yg pro ISIS itu pengkhianat NKRI...</t>
  </si>
  <si>
    <t>@Ngk0ng__R__R @qooi_mazz @mohmahfudmd @jokowi ANAK ANGGOTA ISIS EX WNI . Jangan dibalik, hati hati karena dimanfaatkan orang yg punya agenda. UU hanya menjamin anak anak Indonesia. Cc : @kangdede78 @HmfaqihA @jr_kw19 @03__nakula</t>
  </si>
  <si>
    <t>@KicauSunyi @Sarah_Pndj Ngenes banget lihatnya. Gimana pak @mohmahfudmd ? Tidakkah seharusnya kita prioritaskan Anak2 kita yg didalam negeri dulu ketimbang Anak2 ex ISIS?</t>
  </si>
  <si>
    <t>@agnes_djamis @KPAI_official Cermati dgn utuh rencana pak @jokowi utk menampung anak ISIS sd usia 10 tahun.</t>
  </si>
  <si>
    <t>Klo @SHikmawatty cma skdar WNI gpp lah Tpi ini kan @KPAI_official, waw malunya seIndonesia! RT @TSpartan99: Semua orang malu, kecuali kadrun betina @SHikmawatty yang tidak punya malu dan kemaluan. Hei kadrun betina @SHikmawatty, mundur kau! @KPAI_official</t>
  </si>
  <si>
    <t>RT @Kars104: Woy dongok! Sumpah prajurit no satu itu baca! Sok tahu loe! Konstitusi itu berlaku untuk semua WNI, baik sipil maupun militer. Yg sedang diperjuangkan Aloysius itu KEBENARAN! Bukan radikalisme. Paham loe??!</t>
  </si>
  <si>
    <t>@BuddhisGL Apakah ISIS mulai bermutasi?</t>
  </si>
  <si>
    <t>Menuntut Pemerintah Indonesia mengambil langkah tegas terhadap India. Hapus semua kerjasama dan usir dubes India. Kita tarik semua WNI yg ada di India. Dan WN India yg di Indonesia pulangkan segera ke negaranya kecuali jika mereka Muslim. Boycot semua produk India. #BoycottIndia</t>
  </si>
  <si>
    <t>@wahhabicc_jabar @Takviri Makasih utk link beritanya.. dan msh gemasss sama brita ttg pemulangan eks ISIS itu.. ada yg bisa bisik ke telinga Pak @jokowi dan Pak @MachfudMD gak klo bnyk yg gak stuju? Bukan atas dasar kemanusiaan atau karna mreka msh anak2.. mending urusin anak2 yg jelas terlantar di sini..</t>
  </si>
  <si>
    <t>Kapolri dan Panglima TNI Tinjau Kesiapan Lokasi Evakuasi dan Observasi WNI di Pulau Sebaru, Kamis (28/2) @poldajateng_ @DivHumas_Polri</t>
  </si>
  <si>
    <t>RT @radarbangsa_com: Pemerintah Pantau WNI Sedang Dalam Perjalanan Umrah</t>
  </si>
  <si>
    <t>@Vivittts Bkn WNI Kali gak mengakui president ...</t>
  </si>
  <si>
    <t>Pemerintah Jemput 68 WNI di Diamond Princess Pakai Pesawat</t>
  </si>
  <si>
    <t>Pemerintah Pantau WNI Sedang Dalam Perjalanan Umrah</t>
  </si>
  <si>
    <t>@jokowi Demikian juga saya berharap bapak @jokowi mencegah dan membatalkan kepulangan anak2 ISIS eks WNI untuk melindungi NKRI dari virus2 radikalis dan intoleransi. NKRI harga mati!</t>
  </si>
  <si>
    <t>RT @fadjroeL: Selamat Pagi #SahabatJUBIR Saat ini KRI dr. Soeharso-990 yang mengangkut 188 orang WNI ABK (Anak Buah Kapal) MV. World Dream (cont)  #Jubir #BungJubir @JubirPresidenRI @Jokowinomics_id @PEDOMAN_id</t>
  </si>
  <si>
    <t>RT @ariomazda: Sebagaimana umat Muslim yang namanya tercoreng karena ISIS, atau umat Buddhis yang ikut malu karena kasus Rohingya, saya yakin kawan-kawan Hindu Indonesia juga menyayangkan kejadian di India. Kita pernah di posisi mereka; dipukul rata ketika kita tidak terlibat amatlah tak enak.</t>
  </si>
  <si>
    <t>Terkonfirmasi Tiga WNI Terinfeksi Virus Corona Nonton video selengkapnya di:  #WNI #coronavirus #Indonesia</t>
  </si>
  <si>
    <t>@haibebyjo 😅🤣🤣 siooooo itu lebih dasyat lagi... Dengar2 bgini su gabung isis lagi...</t>
  </si>
  <si>
    <t>@DapunthaH @TengkuAdhitya @Hilmi28 @aniesbaswedan Eh buset.... lo bukan WNI? Tidak mengakui Presiden termasuk pidana loh...</t>
  </si>
  <si>
    <t>68 WNI dari Kapal Diamond Princes Dievakuasi Pakai Pesawat #merahputih #wni #diamondprincess</t>
  </si>
  <si>
    <t>RT @KicauSunyi: Anak isis bakalan dapet jaminan hidup nyaman dari pemerintah.... 😌</t>
  </si>
  <si>
    <t>@Ngk0ng__R__R @mohmahfudmd @jokowi Aneh kalo dibilang anak WNI. Legalitasnya aja udh tidak ada bahwa mereka masih warga WNI ??</t>
  </si>
  <si>
    <t>@PisauKarat @chedetofficial Sudah, sudah nyanyuk juga. Rakyat dan components trusted Tun. Look like UMNO latest sampah lagi turuk than the thieves they ran away from. Joh Low for PM, Muyudin for PAS, Hadi for ISIS</t>
  </si>
  <si>
    <t>RT @kompascom: Ke-188 WNI diperkirakan akan tiba di Pulau Sebaru Jumat Siang.</t>
  </si>
  <si>
    <t>RT @kompasiana: Peluang Bagi WNI Yang Berusia 18-30 Tahun</t>
  </si>
  <si>
    <t>@jokowi Tiru donk pak Tolong ditindak sikap intoleran &amp; please jgn pulangin isis</t>
  </si>
  <si>
    <t>@voaindonesia Keselamatan WNI no 1, kita kan gak akan tau, ada yg turis potensi Corona lolos n sudah di Arab Saudi</t>
  </si>
  <si>
    <t>RT @mpuanon: Jika #Menkosaurus Luhut Binsar Panjaitan terlalu dini membuka keran TKA asal negeri #coronavirus maka WNI yang memiliki potensi terbesar untuk diserang virus #COVID19 adalah... #SARSCoV2 #ACE2</t>
  </si>
  <si>
    <t>@AfifFuadS @SaatTobat @doniriw1 Di khilafah versi mereka ga pake pajak, tapi cukup jarah dan peras harta dr yg non muslim. Makanya pendukung HTI tergila2 menegakkan khilafah. Ga perlu kerja, cukup jd HTI maka dijamin makmur, butuh apa2 tinggal jarah. Model ISIS lah.</t>
  </si>
  <si>
    <t>@NFadhilaahh Pas baca judulnya juga kesel sih wkwk. Tulisannya juga ga runut. Padahal ini berita mau nyeritain si WNI ngebocorin lokasi ama obat ruang isolasi, tapi bahasnya status wni ilegal dulu</t>
  </si>
  <si>
    <t>Ke-188 WNI diperkirakan akan tiba di Pulau Sebaru Jumat Siang.</t>
  </si>
  <si>
    <t>Jika #Menkosaurus Luhut Binsar Panjaitan terlalu dini membuka keran TKA asal negeri #coronavirus maka WNI yang memiliki potensi terbesar untuk diserang virus #COVID19 adalah... #SARSCoV2 #ACE2</t>
  </si>
  <si>
    <t>@ManafSamuel @PrasterPeter @SeruniPuspaAlam Taunya salah-alamat qan sesudah saya tanya, dan sesudah pertanyaan dijawab. Bab donasi bgt qan bisa/layak+perlu ke personal masyarkat, sebelum ke dinsos. Kalo minta ke dinsos Iraq, mungkin malah ditangkap; kalo ketauan ISIS mungkin malah langsung dibunuh.. lha wong exit-Islam.</t>
  </si>
  <si>
    <t>RT @aliralira: Makin naik, persebaran makin cepat. Ada kabar (belum diverifikasi resmi) 1 WNI kena, tunggu press release dulu sebelum heboh. Imbasnya tempat wisata KOSOOOOOONG. Nami Island today.</t>
  </si>
  <si>
    <t>Teman saya nih kek gini... Blm jadi atheis sih, tapi udah malas ibadah. Dia Agamanya yg mayoritas koq Ndak mampu menciptakan kedamaian (rahmatan lil alamin), eh malah muncul ustad abal2 yg teriak kebencian, muncul ISIS, dia makin 'malu' dan... RT @timmymalachi: Justru yg lebih mengalami kejutan berupa kegelisahan dr kalangan mayoritas yg terpelajar, terdidik, berpenghasilan baik, kelas menengah. Seakan sudah berusaha hidup religius tapi kenyataannya kok nilai2 yg universal itu justru tidak muncul.</t>
  </si>
  <si>
    <t>@ghanieierfan @bundamaryam_ @basukids1 @PresidenKopi Tuan @ghanieierfan yg mulia. Kalo belum tau apa2 jangan asal koment. Nyerocos aja ente. Beberapa jam setelah KAS mengeluarkan kebijakan, Dubes RI di KAS lgsg menyampaikan rilis pagi itu jg. Malu2in lelaki aje ente. Nyalahin pemerintah, ente yg kagak baca</t>
  </si>
  <si>
    <t>RT @lovelyjmshi: dievakuasi ke luar negeri/tempat lain. Tapi warga biasa seperti ini, jauh lebih memprihatinkan, mereka ga tw harus berbuat apa. Kerja keluar rumah khawatir &amp; bahkan tempat kerja banyak yg ditutup sedangkan persediaan bahan makanan menipis. Apa lagi WNI disana butuh dukungan kita.</t>
  </si>
  <si>
    <t>@ghanieierfan @basukids1 @PresidenKopi Tuan @ghanieierfan yg mulia. Kalo belum tau apa2 jangan asal koment. Nyerocos aja ente. Beberapa jam setelah KAS mengeluarkan kebijakan, Dubes RI di KAS lgsg menyampaikan rilis pagi itu jg. Malu2in lelaki aje ente. Nyalahin pemerintah, ente yg kagak baca</t>
  </si>
  <si>
    <t>KRI Banda Aceh jadi Markas Selama WNI Diobservasi di Pulau Sebaru -  - Nasional : KRI Banda Aceh jadi Markas Selama WNI Diobservasi di Pulau Sebaru -  Nasional</t>
  </si>
  <si>
    <t>Kapan km mengkritisi pemulangan anak* ex isis ex wni?? Kamu setuju dg pemulangannya? RT @AntoniRaja: Anies Pecat Kadis Perumahan, Alasannya : Rumah DP 0 Rupiah Tidak Laku. Buruk wajah cermin dibelah.</t>
  </si>
  <si>
    <t>RT @zizirin: Fyi, ini WNI</t>
  </si>
  <si>
    <t>@Ladybotol Wajar kalau sebagian WNI yang tinggal di luar negeri, termasuk sahabatku semasa SMA yang tinggal di Rusia selama 4 th nggak mau balik lagi ke Indonesia karena pemerintahnya zhalim.</t>
  </si>
  <si>
    <t>@fg_fenny @mohmahfudmd @jokowi Bener banget, setuju. Tapi, ntahlah kebijakan yg akan diambil pemerintah ini nantinya seperti apa terkait eks WNI pengikut isis. Soal KPAI ini kan memang sering blunder. Entah apa maksudnya</t>
  </si>
  <si>
    <t>@hidayat_y28 Mending ngurusi anak" sperti ini pak @jokowi daripada ngurusi kepulangan anak isis</t>
  </si>
  <si>
    <t>@Ryvanaziizan_ @diyahsiron17 @sugarwaste_ @Stayvaro @bucinkochenk @pamungxas @nollaaa_ @txtdaricowo Anjayy calon isis 😂</t>
  </si>
  <si>
    <t>@wahhabicc_jabar @jokowi seperti katanya udah gak punya beban, klo terjadi anak2 kelaparan lalu makan sabun dan sakit, ketoane yo ben,,, tp klo anak2 isis kan masih ada nilai jualnya di luar negeri, pencitraan yg gak ada habis2nya,,,</t>
  </si>
  <si>
    <t>RT @rmol_id: WNI Yang Ada Di Kapal Diamond Princess Pun Akan Diobservasi Di Pulau Sebaru #worldDream #RepublikMerdeka</t>
  </si>
  <si>
    <t>@MariianaP12 @TrevizoYessenia Is di isis vicis qui istii di iquirdi</t>
  </si>
  <si>
    <t>WNI Yang Ada Di Kapal Diamond Princess Pun Akan Diobservasi Di Pulau Sebaru #worldDream #RepublikMerdeka</t>
  </si>
  <si>
    <t>I've just posted a new blog: Panglima TNI Tinjau Lokasi Observasi WNI di Pulau Sebaru</t>
  </si>
  <si>
    <t>RT @Andini_932: Karena membutuhkan SUMBER DAYA yg banyak sekali n KAPASITAS yg besar untk mampu menampung ANAK-ANAK Eks Kombatan ISIS, AGAR BISA BERPIKIR NORMAL KEMBALI seperti WARGA NEGARA LAINNY ...</t>
  </si>
  <si>
    <t>@jawad_hash @mutludc Defending al-Qaeda and ISIS</t>
  </si>
  <si>
    <t>Muslim jd korban terbunuh dan luka2 olh kelompok Hindu Radikal di India. Ribuan dibantai n perempuan Yazidi diperkosa jadi budak seks ISIS, yg dsb Negara Islam Irak. Rohingnya dibantai ekstrimis Budha di Myanmar. Makin jelas: ektrimis/radikalis hrs dilenyapkan dari agama apapun.</t>
  </si>
  <si>
    <t>BOOOOOOBA</t>
  </si>
  <si>
    <t>RT @enbrrrr93: Sdm ft Booba 🔥🔥🔥</t>
  </si>
  <si>
    <t>RT @ani_nyebar: Seorang penganut ISIS sendiri kurang tenang dgn amalan yg jelek dan tak sah. Dalam video ini, dia menjelaskan betapa sering perempuan Islam dibudakkan ISIS. #dampakradikalisme #lawanradikalisme tolakISIS @imbkosta @teppiepersz @Vinesulaimanre1 @jumadisakir @yusuf_dumdum</t>
  </si>
  <si>
    <t>RT @ani_nyebar: Wawancana ICSVE dgn anak ISIS: "Aku salah. Aku menyaksikan anak dilatih membunuh ISIS. ISIS Islam palsu." Semoga anak2 WNI bisa diarahkan ke jalan lurus. Lihat  @JulianaAisyahM1 @MbojoFarid @mamiagarislucu @AnakKolong___ @ulil #dampakradikalisme</t>
  </si>
  <si>
    <t>RT @gembus_1: Ada yg harus lebih diutamakan daripada mengurus anak-anak eks ISIS Cc:@KPAI_official Ayahnya meninggal saat jenazah ibunya dimandikan</t>
  </si>
  <si>
    <t>@chitraaum tahir hussain to isis aatankbadi se bhi zada krorr nikla</t>
  </si>
  <si>
    <t>@jokowi Nah dikau warga RRC sbg prioritas, dibanding WNI</t>
  </si>
  <si>
    <t>Detik Detik Menjelang Meninggalkan Wuhan. Cerita Di Balik Evak #uasi WNI Wuhan  #moreshareforum #beritaterkini</t>
  </si>
  <si>
    <t>@PutraErlangga_ Nah dikau warga RRC sebagai prioritas bkn WNI</t>
  </si>
  <si>
    <t>RT @ArmandDelly: @Rasheed_inn @dewi_darmawati Please.. Tolong..dibiasakan jgn menyebut mereka WNI eks ISIS.. Tp sebut mereka ISIS eks WNI.. Krn syarat2 dilepasnya kewarganegaraan sdh dipenuhi oleh mereka.. Mohon maaf.. Terima kasih 🙏🙏🙏</t>
  </si>
  <si>
    <t>2 WNI ABK DIamond Princess Enggak Ikut Evakuasi, Milih Tinggal di Jepang #merahputih #diamondprincess #jepang #jumatberkah</t>
  </si>
  <si>
    <t>RT @BadanBahasa: Pengutamaan bahasa Indonesia itu meliputi komunikasi resmi, administrasi publik, nama bangunan, merek dagang, nama lembaga usaha dan lembaga pendidikan, organisasi yang didirikan oleh WNI atau berbadan hukum Indonesia, informasi produk, spanduk, dan alat informasi lainnya.</t>
  </si>
  <si>
    <t>Di Taiwan seorang WNI malah sengaja menyebarkan virusnya bikin ketakutan orang2 yg disana.. Di Tuntut pihak rumah sakit pulak karna g bisa jaga privasi. Eh orangnya malah maen tiktokan trs kadang goblok bikin orang g tw apa yg kita perbuatan.. RT @detikcom: Menkes Veran mengatakan prioritas Prancis ialah mengendalikan penyebaran virus, karena negara tetangga Italia jadi negara dengan kasus corona terbesar di Eropa.</t>
  </si>
  <si>
    <t>@Anggraini_4yu Hubungannya apa dgn sama presiden indo mbak ?? Itu kan kejadian di india harusnya itu jadi tanggung jawab pemerintah india bukan indo kecuali kalau ada WNI yg ikut kebantai baru pemerintah indo ikut berperan benci boleh goblok jangan 😌</t>
  </si>
  <si>
    <t>@narkosun Emang kalo mau sejahtera harus masuk isis dulu??</t>
  </si>
  <si>
    <t>Karena adanya darah campuran, ia memutuskan untuk menjadi WNI seutuhnya pada umur yang ke 17 tahun. Orang tua Emer keduanya bekerja, sang ayah seorang direktur perusahaan kelapa sawit yang setiap bulan bisa melakukan perjalanan ke luar negri untuk berbisnis.</t>
  </si>
  <si>
    <t>@taharuddin_id Akan muncul kecurigaan, Corona dibiarkan mewabah Di Indonesia Dan menimpa WNI Asli pribumi, setelah Pribumi dihabisi, tahap kedua adalah Masuk nya secara besar besaran ( Exodus) WNA DARI CHINA🇨🇳 yang telah Dibekali anti Virus Corona,.... MARI KITA LIHAT BERSAMA DENGAN SANTAI.</t>
  </si>
  <si>
    <t>RT @salaamitusalam: @Paltiwest @ISIS_Balik_NO ooo ini yg sekarang jadi jubir kota banjir itu yah</t>
  </si>
  <si>
    <t>RT @samhudibae: INI DIA RETNO LISTYARTI KOMISIONER KPAI YANG PRO ANAK ISIS DI PULANGKAN! DIA Kepala Sekolah yang di pecat jaman Gubernur AHOK karena kedapatan keluyuran waktu Anak Didiknya sedang mengikuti Ujian Nasional. #PecatSittiHikmawatty</t>
  </si>
  <si>
    <t>@permadiaktivis @permadiaktis di yaman irak suriah yg pelaku pembunuh adlh syiah dan isis . Syiah bagi kami bkn islam krn sesat dan kafir. Termsk isis jg bkn mewakili islam. Tdk diajarkan dlm islam seorang tawanan dibunuh.</t>
  </si>
  <si>
    <t>@Negev52031680 @RAndilyan Dari pihak kami akan ada perwakilan disetiap daerah yang ingin mendiskusikan perihal tentang dialog keAgamaan. Anda @Negev52031680 tak perlu khawatir dng kami, sebab kami bukanlah kaum fasik dan jahat seperti teroris atau ISIS seperti tuduhan licik dan picik dari kelompok anda.</t>
  </si>
  <si>
    <t>@SHIFUJIJAIHIND Jnu Jamaiya Amu PFI Congress Aap party yeh sab isis se connect hai.</t>
  </si>
  <si>
    <t>Beruntung bagi mereka yang masih mempunyai orang tua lengkap, bersyukur bagi mereka yang masih bisa bertemu dengan mereka, Keturunan WNI tanpa identitas: 15 tahun terpisah, ibu dan anak bersatu k...  lewat @YouTube</t>
  </si>
  <si>
    <t>Sama,pas ada yg share vdeo isis gorok orang,sampe sekarang inget terus,gak buka pdhl,tp pas scroll kliatan 😠 untung vdeo ibu2 kecelakaan itu gk lewat di tlku,,,heran aku sama orang yg suka share ky gitu RT @ArieZefa: Banyak tersebar video ibu hamil yang ketabrak di WAG dan di TL, sama sekali gak ada keberanian buat buka apalagi liat. Trauma ini ada semenjak gua diliatin video eksekusi kartel di situs bestgore sama temen, langsung muntah dan blackout. Gak suka konten kekerasan.</t>
  </si>
  <si>
    <t>Ada WNI Menolak Dievakuasi dari Kapal Pesiar Diamond Princess</t>
  </si>
  <si>
    <t>@fadjroeL @jokowi @JubirPresidenRI Kalau masalah INTOLERANSI cepat ditanggapi oleh pihak istana, pemulangan anak ISIS dibatalkan, aku SUBSCRIBE youtube mu pak !!!</t>
  </si>
  <si>
    <t>RT @Airin_NZ: Mrka Protes soal keputusan Arab Saudi menolak jamaah umroh dari Indonesia dgn alasan Virus Corona.. Mrka lalu teriak WNI gk ada yg terjangkit Virus Corona.. Dulu saat pemerintah ud bilang gk ad WNI terjangkit corona mrka ttp ngotot ada krna trmakan Hoax nah Mamam lu skrng..!!</t>
  </si>
  <si>
    <t>@Lilis_suka34 Kipasan ben isis</t>
  </si>
  <si>
    <t>@ISIS_Balik_NO @sunartoadhie32 @LisaAmartatara3 Aturan buat sendiri langgar sendiri 👻</t>
  </si>
  <si>
    <t>RT @republikaonline: Pulau Sebaru Kecil menjadi lokasi observasi 188 WNI ABK kapal World Dream.</t>
  </si>
  <si>
    <t>"Kami tidak menyampaikan akan evakuasi, tapi kami sangat siap menjalankan evakuasi apabila diminta," ujar Dirut Garuda Indonesia Irfan Setiaputra.</t>
  </si>
  <si>
    <t>@ISIS_Balik_NO @LisaAmartatara3 Hahahhahaaa ada pelacur berbungkus juga ya???</t>
  </si>
  <si>
    <t>RT @jawapos: Satu WNI di Taiwan Postif Virus Korona, Pengajian Akbar Batal Digelar</t>
  </si>
  <si>
    <t>Wawancana ICSVE dgn anak ISIS: "Aku salah. Aku menyaksikan anak dilatih membunuh ISIS. ISIS Islam palsu." Semoga anak2 WNI bisa diarahkan ke jalan lurus. Lihat  @JulianaAisyahM1 @MbojoFarid @mamiagarislucu @AnakKolong___ @ulil #dampakradikalisme</t>
  </si>
  <si>
    <t>@Aniya_A 😂 isis meehun ves bunani emeehun rangalhu kamah emeehunge website thakuga. Dhen e gaboolu kuran v?</t>
  </si>
  <si>
    <t>RT @KompasTV: Tok! Pemerintah Memutuskan akan Evakuasi 68 WNI di Kapal Diamond Princess</t>
  </si>
  <si>
    <t>@GeopoliticalCen Soldati o mercenari ex Isis ... ?</t>
  </si>
  <si>
    <t>RT @AryoSen02332613: Ngak perlu capek2 memikirkan pemulangan eks WNI yg ikut ISIS.., perhatikan warga negeri ini yg masih di garis kekurangan ekonomi, sampai2 melakukan pencurian susu demi anak balitanya karena tidak mampu membelinya.. @jokowi @ganjarpranowo @MensosRI @Menkopolhukam @om_iswdg</t>
  </si>
  <si>
    <t>Saya yang WNI aja khawatir 🙄 RT @kompascom: Para diplomat Amerika Serikat telah menyatakan kekhawatirannya kepada pejabat tinggi Pemerintah Indonesia atas penanganan wabah virus corona</t>
  </si>
  <si>
    <t>@kangmutas Gue sumbangen ke korban teroris dan anak anak terlantar, kurang gizi, bangun sekolah yg Pancasilais, pulihkan rumah ibadah yg oernah dirusak kaum barbar teman isis (fpi) Tapi tak se sen pun akan aku kasi ke anak2 ISIS @jokowi @mohmahfudmd . Bahkan tak akan terlintas dalam otak</t>
  </si>
  <si>
    <t>Pemerintah Upayakan Skema Evakuasi Terbaik bagi WNI di World Dream dan Diamond Princess . Pemerintah Indonesia mengupayakan skema terbaik bagi warga negara Indonesia (WNI) yang berada di kapal pesiar Diamond…</t>
  </si>
  <si>
    <t>Menkes: Sedang Negosiasi Slot Penerbangan ke Jepang, 68 WNI Segera Dievakuasi</t>
  </si>
  <si>
    <t>Menlu: Pemerintah Pantau WNI Sedang Dalam Perjalanan Umrah</t>
  </si>
  <si>
    <t>Pemerintah menerjunkan 762 personel Komando Tugas Gabungan Terpadu (Kogasgabpad) untuk operasi bantuan kemanusiaan di Pulau Sebaru dalam rangka observasi atau karantina WNI di Kapal World Dream terkait wabah virus…</t>
  </si>
  <si>
    <t>RT @samhudibae: Di Malang anak dibully sampai patah tangan KPAI anteng, di Purworejo anak perempuan dianiaya banyak laki2 karena disabilitas anda anteng. Giliran anak ISIS suaranya kenceng belain. Dimulai dari diri sendiri aja Pak..angkat anak ini jadi anakmu. #PecatSittiHikmawatty</t>
  </si>
  <si>
    <t>OPERASI KEMANUSIAN EVAKUASI ABK WNI MV WORLD DREAM OLEH TNI AL . Evakuasi 188 orang WNI ABK MV World Dream telah dilaksanakan dengan aman di Perairan Selat Durian dari MV World Dream ke KRI DR Suharso. Upaya…</t>
  </si>
  <si>
    <t>TNI komit lindungi rakyat . #tni #tnipeduli #wni #corona</t>
  </si>
  <si>
    <t>RT @DjaritoSadewo: Bibit Bibit Radikal Regenerasi ISIS dirawat dan dibesarkan Pemerintah RI . Yth Bapak @jokowi diindonesia Masih Banyak Anak yatim Piatu dan Miskin . Lebih baik Bapak Rawat dan didik untuk Menjaga NKRI . Membesarkan Bibit Bibit Radikal sama saja Negara Produksi TERORIS 🙏♥️🇮🇩</t>
  </si>
  <si>
    <t>RT @EkoSeputro13: Kok mencla- mencle pagi tempe, sore dele kagak ada kepastian !!! Lebih baik mengurus anak yatim piatu, para gepeng di jalanan, anak-anak yang mengalami gizi buruk di Indonesia masih banyak Pak kok ngurusin anak-anak iblis ISIS eks WNI??? #tolakanakisiskembali</t>
  </si>
  <si>
    <t>RT @lion_nkri: @Ngk0ng__R__R @BadjaNuswantara @mohmahfudmd @jokowi Nih KPAI buka mata yg lebar. Apa jadinye anak didik ISIS pulang ke Indonesia.</t>
  </si>
  <si>
    <t>Selamat Pagi #SahabatJUBIR Saat ini KRI dr. Soeharso-990 yang mengangkut 188 orang WNI ABK (Anak Buah Kapal) MV. World Dream (cont)  #Jubir #BungJubir @JubirPresidenRI @Jokowinomics_id @PEDOMAN_id</t>
  </si>
  <si>
    <t>@KakekHalal @jokowi @PolhukamRI @mohmahfudmd Pertanyaan besar nya, hutang budi apa mereka sama ISIS? FPI pernah bilang mereka saudara ISIS, apakah fpi sebenarnya piaraan mereka? hingga harus datangkan isis, bahkan dengan potensi rusak paling dasyat. 10 y.o adalah bibit paling bagus untuk dibentuk krn sdh punya pengalaman</t>
  </si>
  <si>
    <t>Para tamu undangan dari perwakilan Kementerian Luar Negeri dan otoritas Denmark, para Duta Besar dan diplomatic corps negara sahabat, pelaku bisnis, akademisi, Friends of Indonesia dan WNI berbaur dan menikmati kuliner Nusantara dan Denmark 🇩🇰🇮🇩 - #IndonesianWay #IniDiplomasi</t>
  </si>
  <si>
    <t>@detikcom Salah satu kewajiban pemimpin negara adalah menyelamatkan warganya. Salah satu mencegah penularan dan penyebaran penyakit adalah menghindari kerumunan. Bagaimana jika ada yang WNI tertular penyakit di Saudi? Jangan memaksakan kehendak, keputusan pemerintah Saudi sangat tepat</t>
  </si>
  <si>
    <t>RILIS Saat ini KRI dr. Soeharso-990 yang mengangkut 188 orang WNI ABK (Anak Buah Kapal) MV. World Dream (cont)</t>
  </si>
  <si>
    <t>@anyysa24s Sbx quraan isis saar u crazy woman</t>
  </si>
  <si>
    <t>RT @SaatTobat: @Ngk0ng__R__R @mohmahfudmd @jokowi Ya benar, anak WNI wajib dilindungi. Tapi tidak utk anak yg ortunya sdh bakar pasport dan mengkhianati Pancasila, tidak peduli dgn alasan "ditipu" atau tidak!</t>
  </si>
  <si>
    <t>@AlissaWahid @KDroneHunter Sumber masalah ada pada sebagian kecil WNI, jika mereka terus ditekan dengan narasi2 seperti yang anda sampaikan, sama saja mengipasi api dalam sekam. Kalau mau damai, simak mereka dengan empati, bukan merasa diserang. Bukankah dari protes mrk menujukan mrk-pu ingin damai?</t>
  </si>
  <si>
    <t>@RaraNingAti @JokerChibichan @joker_songong__ @jokersantai @joker_madame @denni_loyz @ayah_9Garislucu @deel_en @LangitnyaCerah @dwisutiyanti6 @TheArieAir @tjhinfar21 @NotesofMila @wiwikherma @Nouna_jessica94 @ahmad_subana @Black_lleviant @JOINLampung @Indonesi1aTimur @Laurensialanny5 @EngelinLeonyD @Lintang2Andara @CintaNegeri_ID @Joker_SantuyLho @Jokeralay01 @Jokerneverjokes @Jd___Joker @Ajiesara1 @ajiesara2 @_JokerGL @JKemayu @JokerHansip @joker_manjah Yaaa kita emang bukan orang asing mbak.. WNI cinta #NKRI 🤟</t>
  </si>
  <si>
    <t>RT @TresnaCyber: yang benar dan waras : Eks WNI Pro ISIS</t>
  </si>
  <si>
    <t>RT @TriSartopo: @Ngk0ng__R__R @asnug_id @mohmahfudmd @jokowi Karena yg benar adalah anak ISIS ex WNI bukan WNI ex ISIS.. Menurut saya kalau masalah melindungi anak2 mereka itu hukumnya Mubah bukan Wajib. Bahkan bisa Makruh. KPAI jangan mewajib wajibkan yg bukan wajib.</t>
  </si>
  <si>
    <t>RT @ba_ger91: @Ngk0ng__R__R @mohmahfudmd @jokowi Baiknya org2 d @KPAI_official Dipecat semua. Berpendapat sama kayak org idiot. Anak2 di Indonesia ini masih banyak yg harus kalian urusi, ngapain kalian malah sibuk ngurusi anak2 "teroris isis"? Kalian pro "teroris isis" atau anak2 yg setia pada NKRI &amp; Pancasila?</t>
  </si>
  <si>
    <t>RT @kak_wew: @Ngk0ng__R__R @Budihar21525608 @mohmahfudmd @jokowi Daripada duit ntuk membiayai ISIS ex WNI lha mbok untuk membantu korban-2 ke biadaban ISIS ,, ISIS kan pelaku kejahatan trs akan d pulangkan/d lindungi atau apalah menyebut nya, dah 7 hari 7 mlm saya melek ttap blum bisa ketemu logika nya ? 🤔</t>
  </si>
  <si>
    <t>Peluang Bagi WNI Yang Berusia 18-30 Tahun</t>
  </si>
  <si>
    <t>68 WNI di Diamond Princess Bakal Dijemput Pakai Pesawat dari Jepang - MINEWS</t>
  </si>
  <si>
    <t>RT @republikaonline: WNI positif Corona bermain TikTok dan streaming Facebook di RS.</t>
  </si>
  <si>
    <t>RT @jlyyyyf: Mbrebes mili 😢😭 Kehabisan kata-kata malam ini dan cuma bisa bilang terimakasih banyak @BBCIndonesia 😭🌹 Keturunan WNI tanpa identitas: 15 tahun terpisah, ibu dan anak bersatu k...  via @YouTube</t>
  </si>
  <si>
    <t>@RangaSiyaar1 @ReallySwara @fayedsouza @bainjal Young thug tejasi. #RSS_Indian_ISIS.</t>
  </si>
  <si>
    <t>RT @apiksaitama: bagi yang tidak tahu nama prophet in english Adam = Adam Idris = Enoch Nuh = Noah Hud = Eber Saleh = Shelah Ibrahim = Abraham Lut = Lot Ismail = Ishmael Ishak = Isaac Yaakub = Jacob Yusuf = Joseph Aiyub = Job Syuaib = Jethro Musa = Moses Harun = Aaron Daud = David</t>
  </si>
  <si>
    <t>WNI positif Corona bermain TikTok dan streaming Facebook di RS.</t>
  </si>
  <si>
    <t>RT @Nantaariii: Ini adalah Evakuasi kemanusiaan tahap 2, mengevakuasi 188 WNI dari kapal World Dream ke KRI Soeharso di Selat Durian, Kepulauan Riau siang.</t>
  </si>
  <si>
    <t>@aesthevz Isis apaan deh smua smua di bilang teroris hilih</t>
  </si>
  <si>
    <t>@ylchaniago @SayurLodehBTW2 Masih ada wni di wuhan, masuk di voa tdi aku nnon. Katanya di tinggal.</t>
  </si>
  <si>
    <t>Ketika negara lain mulai ngasih travel warning dari korsel dan bahkan aku sebagai wni ga pulang karena takut nyebarin di rumah, pemerintahnya malah gini 🙈🙈 RT @TirtoID: Ketika negara lain ketar-ketir menangani virus Corona dan memberlakuan travel ban di sana-sini, pemerintah Indonesia justru menganggarkan Rp72 miliar untuk mendanai influencer dalam paket insentif pariwisata. hAaaaAhH?¿??</t>
  </si>
  <si>
    <t>RT @Ernie_es: @Andini_932 @wisanggeni_084 @mohmahfudmd Pertimbangkan lg kepulangan anak2 isis, pak. Jangan grusa grusu. Taruhannya negara dan seluruh rakyat Indonesia. Kalo dimasa depan terjadi hal yg tdk diinginkan, maka sejarah mencatat kebodohan bapak yg telah memberi kesempatan bibit teroris kembali ke Indonesia</t>
  </si>
  <si>
    <t>RT @Andini_932: Maka, tak heran jika sampai saat ini BELUM ada satu pun NEGARA yg MANTAP MEMUTUSKAN PEMULANGAN ANAK-ANAK EKS KOMBATAN ISIS ... Semoga bermanfaat 🙏 CC : @Hanifah933</t>
  </si>
  <si>
    <t>RT @Andini_932: Padahal, di sisi lain, negara2 itu BELUM PUNYA MODEL DERADIKALISASI bagi anak2 yg DIDUGA TELAH TERPAPAR IDE KEKERASAN ketika hidup dibawah ISIS.</t>
  </si>
  <si>
    <t>RT @Andini_932: DILEMA soal PEMULANGAN ANAK2 EKS KOMBATAN ISIS tidak hanya terjadi di #Indonesia ... Banyak NEGARA di DUNIA juga tengah menghadapi DILEMA yg SAMA. Dilema itu terletak pada KEWAJIBAN ETIS NEGARA MELINDUNGI ANAK2 Eks Kombatan ISIS yg menjadi KORBAN PILIHAN ORANGTUA ny.</t>
  </si>
  <si>
    <t>KJRI Sebut WNI yang Sudah Mendarat di Arab Saudi Boleh Umroh dan Ziarah</t>
  </si>
  <si>
    <t>RT @choi_bts2: @BTS_twt Trans) Seokjin-ssi, look at here😉 @BTS_twt</t>
  </si>
  <si>
    <t>Ketiga yg pny kostan galak beut, temen gw prnh dikira ISIS, smp yg tadinya mau nginep pas baru nyampe lgs pulang. Sama prnh listrik mau dinaikin gara2 dikira gw punya alat fotokopi, pdhl temen2 eug numpang ngeprint. RT @dioxalif: Selama kuliah 4x pindah kost blm prnh dikostan ada tulisan begini. Soalnya langsung disamperin. Kostan pertama prnh WC nya rembes ke rmh sblh, tiba2 orgnya dateng nyegel toilet. Kedua, kostan plg parah pernah kebanjiran.</t>
  </si>
  <si>
    <t>Berapa dana calon jamaah umrah yg tertahan ketika Saudi melarang sementara WNI yg ingin umrah ?.</t>
  </si>
  <si>
    <t>I have no idea kenapa orang2 benci sama anak2 yang dibawa orang tuanya untuk jadi pengikut isis, they don't have choices don't they?</t>
  </si>
  <si>
    <t>Himbauan dari KBRI Roma untuk WNI di Italia</t>
  </si>
  <si>
    <t>Akun2 ISIS dan HTI, FPI disosmed byk yg mengaku pro @prabowo yg sampai saat ini suka menjelekan @jokowi dan @nahdlatululama jg banser @GPAnsor_Satu gmn nih pak prabowo? Gmn indonesia bs maju dan damai kalau msh bgn terus @Generasi_MudaNU @saidaqil @na_dirs @detikcom @CNNIndonesia</t>
  </si>
  <si>
    <t>@UraySriwahyuni Kenapa TDK bersuara saat Yazidi d bunuh, diperbudak, dan genosida oleh ISIS? Mengapa anda bersuara lantang ketika sebaliknya terjadi?</t>
  </si>
  <si>
    <t>RT @om_iswdg: Inilah diantara bukti masih banyak anak2 dan masyarakat indonesia yang lebih butuh perhatian pemerintah daripada malah mengurusi eks WNI pro ISIS. 😭 @jokowi @mohmahfudmd</t>
  </si>
  <si>
    <t>@sardesairajdeep @IndiaToday We believe u rajdeep.. N v also believe barkha, ravish, NDTV, d wire, d Print, quint, rana ayub, swara bhaskar, kanhaiya, left, tukde tukde gang, owasi, zakir naik, devslutt pat naik, omar abdulla, afzal guru, dawood ibrahim, kasab, masood azhar, isi, taliban, ISIS, jihad.</t>
  </si>
  <si>
    <t>Semoga WNI disana tetap waspada &amp; dalam keadaan baik-baik saja 🙏</t>
  </si>
  <si>
    <t>RT @alfiliaazani: @armyindonesiaa2 @ghughu_din12 @BTS_twt Tinggal nunggu akun julid dengan teori satanis, dajjal, Yakyuj Makyuj, iluminati, PKI, Sunda Empire, ISIS dan segala bentuk teori cekcoklogi yg ada. Hey Army tetap fokus.. Tahan tahan kalau ada yg nyenggol. Jangan kebawa es mochi, apa lagi mv kali ini byk mirip pilem2..</t>
  </si>
  <si>
    <t>@Qir4niAyar4 Ekonomi benerin urus Radikal Asas isis usus Intoleran Paling Pancasila raja korupsi #MyPresidentIsAnIdiot ✊🇮🇩🇮🇩🇮🇩🇮🇩🇮🇩🇮🇩🇮🇩✊ #MyPresidentIsAnIdiot</t>
  </si>
  <si>
    <t>RT @SaluJasil: ISIS in Syria Allahu Akber RSS in india JaisreeRam Both are Terrorist.. #Delhigenocide #DelhiHighCourt #Delhi #DelhiBurning #DelhiRiotTruth #DelhiRiot</t>
  </si>
  <si>
    <t>Panglima TNI Tinjau Lokasi Observasi WNI di Pulau Sebaru -</t>
  </si>
  <si>
    <t>ISIS in Syria Allahu Akber RSS in india JaisreeRam Both are Terrorist.. #Delhigenocide #DelhiHighCourt #Delhi #DelhiBurning #DelhiRiotTruth #DelhiRiot</t>
  </si>
  <si>
    <t>@billu_darbari @Username1997AD @V64464168 @_basicallycold_ @Mdzeeshanayyub Abe RSS mai muslim wing bhi h..rss goons wahi h jo sbse pehle kahi koi calamity ati h to volunteer krne jate h..apne isis goons ki baat kr who pelted stones police pr acid giya,ib officer ka murder,bnde ke sor ke andr drill.</t>
  </si>
  <si>
    <t>@i_theindian @DrSidduG @anirudhganu @geetv79 @SwarajyaMag He must be from Isis RSS 😆😆😀😀 chutiya !! Aur Haan agar agar g**nd mein dum hai toh block mat Karna warna tu chhaka hua</t>
  </si>
  <si>
    <t>@narkosun Pak Menkopolhukam prof @mohmahfudmd kalo bicara kemanusiaan dan kesetaraan,mending fokus pada anak-anak negeri yang setia pada NKRI.daripada ngurusi anak-anak dari Kombatan ISIS eks WNI.tegas kami gelorakan #tolakpulangkankombatanisis beserta anak-anaknya</t>
  </si>
  <si>
    <t>RT @AriestaRiico: Perlu diketahui ISIS Buatan Amerika Fakta Yang Tak Pernah Diketahui Banyak Orang...#AwasAntek2ISIS</t>
  </si>
  <si>
    <t>KJRI Sebut WNI yang Sudah Mendarat di Arab Saudi Boleh Umroh dan Ziarah  #DariSuara</t>
  </si>
  <si>
    <t>Tok! Pemerintah Memutuskan akan Evakuasi 68 WNI di Kapal Diamond Princess</t>
  </si>
  <si>
    <t>Sementara WNI dilakukan observasi, eh ini malah nyuruh penduduk asli (pusat virus corona muncul) untuk segera ke Indonesia.. Bagaimana ini Paduka @jokowi ? (maaf, late take a picture, baru balik gawe.)  RT @IwanSumule86: Corona mereda? Justru corona skrg meluas dan semakin banyak negara yg laporkan warganya mati akibat terinveksi corona. Opung LBP ini aneh, kenapa begitu ngotot datangkan WNA China bekerja di Indonesia? Rakyat masih banyak nganggur, Pung. Iya gak sih?</t>
  </si>
  <si>
    <t>Pero isis dhdkslsudjk RT @hobisunmi: bueno la verdad es que es súper aweonao de su parte usar animales cuando a mi me tienen disfrazada de chancha en menos de 1 minuto y les actúo gratis</t>
  </si>
  <si>
    <t>@ANDINI_MAHARAN1 @permadiarya01 Aamiin ya Rabb. Dimasukin satu sel sama anggota ISIS. 😆🐸</t>
  </si>
  <si>
    <t>@AREAJULID Bukannya banyak wni yang positif ya?</t>
  </si>
  <si>
    <t>RT @Lady_Zeebo: Pak @mohmahfudmd berwacana ingin memulangkan anak2 ISIS Eks WNI Pak, di negeri sendiri masih banyak anak2 terlantar yg tak terjamah oleh negara bahkan negara seolah tak hadir utk mereka Sebelum memulangkan mereka, pikirkan anak2 di negeri sendiri dulu</t>
  </si>
  <si>
    <t>RT @WartawanPensiun: Anak2 jalanan, marak bertebaran di sudut kota. Mereka terlilit kemiskinan, meronta-ronta menahan lapar. Mengharap belas kasih sesama. Di sudut lain, demi dan atas nama HAM, PENGUASA malah fokus memanjakan anak2 eks ISIS. Adilkah ini? #AnomaliNegriku👇👇</t>
  </si>
  <si>
    <t>Bp/Ibu WNI&amp;Diaspora Indonesia, hingga 27/02/20, terdapat 245 kasus terinfeksi virus Corona di Iran&amp;amp; 26 orang meninggal. Jangan panik, tetap waspada, jaga kesehatan, daya tahan tubuh&amp;amp;ikuti himbauan otoritas kesehatan setempat ya...#IndonesianWay #IniDiplomasi @Kemlu_RI @octavino</t>
  </si>
  <si>
    <t>Panglima TNI Tinjau Lokasi Observasi WNI di Pulau Sebaru Panglima TNI Marsekal TNI Dr. (H.C.) Hadi Tjahjanto, S.I.P. bersama Kapolri Jenderal Polisi Drs. Idham Azis, ., Kasal Laksamana TNI Siwi Sukma Adji, S.E., M.M. dan Pangkogabwilhan I</t>
  </si>
  <si>
    <t>Saraqib again under ISIS control. RT @Ruptly: Turkish-backed forces claim control over #Saraqib #Syria</t>
  </si>
  <si>
    <t>188 WNI Kru World Dream Tidak Terindikasi Covid-19</t>
  </si>
  <si>
    <t>Panglima TNI Tinjau Lokasi Observasi WNI di Pulau Sebaru The post</t>
  </si>
  <si>
    <t>RT @1ndonesiaAkbar: Selamat bertugas para prajurit KRI dr Soeharso yg merupakan Kapal Bantu RS milik @_TNIAL_ yg mengevakuasi WNI ABK Kapal pesiar Dream World dr Hongkong ke Pulau sebaru. Semoga dilancarkan.. #TNISelaluBersamaRakyat #TNISelaluBersamaRakyat</t>
  </si>
  <si>
    <t>Yth. Bp/Ibu WNI&amp;Diaspora Indonesia, sampai hari ini ada 245 kasus terinfeksi virus Corona di Iran dan 26 orang meninggal dunia.. Jangan panik, tetap waspada, jaga daya tahan tubuh &amp;amp; ikuti himbauan otoritas kesehatan setempat ya... #IndonesianWay #IniDiplomasi @Kemlu_RI @octavino</t>
  </si>
  <si>
    <t>RT @RinjaniJB: @jokowi @Ari3Pras Biar aja aku dikata ratu tega. Wong ISIS juga luar biasa kejam kok. Wanita dan anak-anak ISIS itu apa ga kurang kejam, kalau sudah mampu penggal Kepala orang tuanya sendiri ? Apakah Pak Jokowi bisa jamin bhw anak-anak itu kelak tidak menjadi pemenggal kepala rakyat Indonesia ?</t>
  </si>
  <si>
    <t>RT @RinjaniJB: @jokowi @Ari3Pras Coba deh, bapak punya data atau tidak tentang jumlah anak yatim dan yatim piatu di Indonesia. Berapa banyak ? Yg karena korban aksi teroris berapa banyak ? Sudahkah semuanya dipelihara negara ? Itu dulu Pak, pastikan sudah dipelihara. Ngapain bapak urus anak-anak ISIS itu ?</t>
  </si>
  <si>
    <t>Cairan Tenggorokan 188 WNI ABK World Dream Diteliti</t>
  </si>
  <si>
    <t>Cairan Tenggorokan 188 WNI ABK World Dream Diteliti  via @Indopolitika</t>
  </si>
  <si>
    <t>@Shoaib85073 @Ankita_Shah8 @NasirKh69108217 Sab yaad rahega Pedophile Suar Aaladarja Wala ke followers Nadeena jehadi zaireen Islamic atankwadio ki harkat Isis style me 400 se jyada stabbing ki Haiwan Islamic jehadi Haiwan</t>
  </si>
  <si>
    <t>@ZBabankumbo LMAO 😂😂. Kaji su CATFISH 😂. Wae hrda wni dum!!!! 😂😂.</t>
  </si>
  <si>
    <t>Ngak perlu capek2 memikirkan pemulangan eks WNI yg ikut ISIS.., perhatikan warga negeri ini yg masih di garis kekurangan ekonomi, sampai2 melakukan pencurian susu demi anak balitanya karena tidak mampu membelinya.. @jokowi @ganjarpranowo @MensosRI @Menkopolhukam @om_iswdg RT @Aryprasetyo85: Pangapunten Ndoro @ganjarpranowo Mohon di bantu Bpk ini dgn memberi pekerjaan Supaya si Bpk gk melakukan lgi hal yg sama di kemudian hari🙏🙏 Seorang bapak penjual es gepeng keliling nekat mencuri 1 kotak susu bayi SGM yang harganya Rp 37.000 di Kuripan Lor Pekalongan Selatan.</t>
  </si>
  <si>
    <t>RT @benaziras: @kompascom Jangankan diplomat negara lain. Saya aja WNI asli juga khawatir🙈</t>
  </si>
  <si>
    <t>@Ngk0ng__R__R @Budihar21525608 @mohmahfudmd @jokowi Daripada duit ntuk membiayai ISIS ex WNI lha mbok untuk membantu korban-2 ke biadaban ISIS ,, ISIS kan pelaku kejahatan trs akan d pulangkan/d lindungi atau apalah menyebut nya, dah 7 hari 7 mlm saya melek ttap blum bisa ketemu logika nya ? 🤔</t>
  </si>
  <si>
    <t>Kok aku yakin bgt virus corona ini ga bisa bertahan di negara tropis, kalo sel imun org indo kuat2 harusnya WNI yg kena virus di kapal pesiar itu ga kena. Maafken😔 Efek baca berita orang jepang yg ngaku kena corona hbs dari indo padahal kena nya di jepang sana huh😤</t>
  </si>
  <si>
    <t>[BPLN] kabar Virus corona sekarang!! bagaimana kabarnya WNI disana?</t>
  </si>
  <si>
    <t>RT @voaindonesia: Pemerintah RI Siap Evakuasi ABK WNI "Diamond Princess"</t>
  </si>
  <si>
    <t>@HukumDan Sepertinya Rezim ini lebih menyukai TKA dari pada Tenaga kerja dari WNI Pribumi &amp; mungkin juga ibu itu tidak mau menjilat / PENCITRAAN atau membuat KONTROVERSI SESAT. Karena Sepertinya REZIM ini lebih suka pada yg SESAT. Seperti; Menghalalkan Sex Tanpa nikah.</t>
  </si>
  <si>
    <t>@kbriabudhabi Kamis (27/2/2020) telah membantu penanganan dan mendampingi 124 WNI yang transit di Bandara Abu Dhabi dan terkena imbas kebijakan Pemerintah Arab Saudi yang mencegah masuk sementara WNA dari sejumlah negara, termasuk Indonesia. #negarahadir #negaramelindungi</t>
  </si>
  <si>
    <t>@MNCkoranSINDO Intoleransi melalui : Tetap mempertahankan Pemberlakuan Peraturan Bersama Menteri Agama dan Menteri Dalam Negeri yg tdk sejalan dg amanat UUD 1945 Tentang Jaminan Negara kpd WNI dlm kebebasan menjalankan agama dn pendirian rumah ibadah, kenapa harus disyaratkan ijin rumah ibadah?</t>
  </si>
  <si>
    <t>@Gasswoo mereka tetep diberlakukan rehabilitasi untuk meminimalisir resiko/kemungkinan2 buruk yg mungkin bisa terjadi (kalau bisa yg jauh dari masyarakat). jg mengerahkan semua tenaga medis dan dokter spesialis buat bantu. 1 lg sementara stop kepulangan wni dari luar negeri dulu.</t>
  </si>
  <si>
    <t>@Airin_NZ @harihariono1 Sampai sesama wni aja didemo dan mau diusir dari Natuna. Emang suka2 mereka tampa malu.</t>
  </si>
  <si>
    <t>Pemerintah RI Siap Evakuasi ABK WNI "Diamond Princess"</t>
  </si>
  <si>
    <t>@NISHAANAND105 @pfi_india Yeh ISIS hai. PFI is ISIS..</t>
  </si>
  <si>
    <t>Daripada memulangkan anak-anak eks WNI yg bergabung dengan ISIS, lebih baik @jokowi memperhatikan anak2 di negeri ini yg memiliki rasa nasionalisme &amp; cinta tanah air Meskipun Banjir, tetap kibarkan merah putih SDN 3 Tanah Abang Kab Pali Sumsel</t>
  </si>
  <si>
    <t>RT @_TNIAL_: TNI AL FASILITASI EVAKUASI WNI ABK MV WORLD DREAM TNI AL memfasilitasi evakuasi WNI Anak Buah Kapal (ABK) MV. World Dream menuju KRI dr. Soeharso-990 di Perairan Selat Durian, Kepulauan Riau, pada hari Rabu, tanggal 26 Februari 2020. #jalesvevajayamahe #tnial #worldclassnavy</t>
  </si>
  <si>
    <t>@mohdwasim43 @MjnuBhai @vinodkapri chewtiye...honey trap...aur isis join karke masoomo ka katl krne me bhut farq h......lekin koi nhi koshish krta rh</t>
  </si>
  <si>
    <t>@armyindonesiaa2 @ghughu_din12 @BTS_twt Tinggal nunggu akun julid dengan teori satanis, dajjal, Yakyuj Makyuj, iluminati, PKI, Sunda Empire, ISIS dan segala bentuk teori cekcoklogi yg ada. Hey Army tetap fokus.. Tahan tahan kalau ada yg nyenggol. Jangan kebawa es mochi, apa lagi mv kali ini byk mirip pilem2..</t>
  </si>
  <si>
    <t>RT @I_am_maksud: Rss isis hai india k</t>
  </si>
  <si>
    <t>KBRI Damaskus pulangkan sebanyak 19 (sembilan belas) orang WNI Pekerja Migran Indonesia (PMI), dan 1 (satu) jenazah WNI ke Indonesia dalam repatriasi gelombang ke-2 tahun 2020 (26/2) #IniDiplomasi #NegaraMelindungi #KBRIDamaskus</t>
  </si>
  <si>
    <t>RT @yanniamari: Huh bruh!</t>
  </si>
  <si>
    <t>RT @mediaindonesia: Tim kesehatan telah mengecek suhu tubuh semua kru kapal dan seluruhnya dinyatakan rata-rata normal tanpa ada yang di atas 38 derajat celcius.</t>
  </si>
  <si>
    <t>@jokowi Seperti wacan menteri agama yg ingin memulangkan anak2 kombatan ISIS. Kalau bapak benar2 mau mengurus anak2 yatim, anak2 Jalanan yg betul2 bersih dari paham radikalisme masih banyak diIndonesia ini yg belum terurus oleh negara. Ngapain impor mereka yg sudah terpapar???</t>
  </si>
  <si>
    <t>Panglima TNI Tinjau Lokasi Observasi WNI di Pulau Sebaru: Panglima TNI Marsekal TNI Dr. (H…</t>
  </si>
  <si>
    <t>RT @xopch: Emang beda, siapa yg bilang sama? Gw nulis itu dgn kesadaran penuh kok. sadar kalo ga ada satu makhluk pun yg disucikan org muslim. Still, kalo mayoritas muslim indonesia radikal kyk di isis, gw udah dihukum saat itu juga. Babi bukan najis btw. Sok tau kok salah 😝 So, stfu🖕</t>
  </si>
  <si>
    <t>Rss isis hai india k RT @salmanalvi2: ये वीडियो बहुत डरावना है😢 इस वीडियो की जाँच हो… #Delhigenocide @RanaAyyub</t>
  </si>
  <si>
    <t>Terbaru, Satu WNI Positif Corona Covid-19 di Taiwan  #DariSuara</t>
  </si>
  <si>
    <t>RT @radar_malang: Satu WNI di Taiwan Postif Virus Korona, Pengajian Akbar Batal Digelar</t>
  </si>
  <si>
    <t>WNI di Pusat Corona Korea Selatan</t>
  </si>
  <si>
    <t>Emang beda, siapa yg bilang sama? Gw nulis itu dgn kesadaran penuh kok. sadar kalo ga ada satu makhluk pun yg disucikan org muslim. Still, kalo mayoritas muslim indonesia radikal kyk di isis, gw udah dihukum saat itu juga. Babi bukan najis btw. Sok tau kok salah 😝 So, stfu🖕 RT @grungkers: @Merciful010 @xopch @AlissaWahid goblok, beda antara yg disucikan dgn yg dinajiskan</t>
  </si>
  <si>
    <t>Pulau Sebaru Pulau yg tidak berpenghuni inilah Yang akan di gunakan untuk Karantina 188 WNI</t>
  </si>
  <si>
    <t>DETIK-DETIK MENINGGALKAN WUHAN | CERITA DI BALIK EVAKUASI WNI KOTA WUHAN</t>
  </si>
  <si>
    <t>Persiapan Pulau Sebaru Jelang Observasi Ratusan WNI</t>
  </si>
  <si>
    <t>RT @RadioElshinta: Seorang WNI di Taiwan dinyatakan positif terpapar virus Corona. WNI yang bekerja sebagai perawat orang tua dirawat di ruang isolasi di RS Taipei dan kondisinya stabil. Simak! penjelasan Kabid Perlindungan WNI dan Pensosbud KDEI Taipei, Fajar Nuradi.</t>
  </si>
  <si>
    <t>Evakuasi 188 WNI ABK MV World Dream,dilaksanakn dgn Aman di perairan selat Durian Menggunakan KRI dr Soeharso-990 Bravo @_TNIAL_</t>
  </si>
  <si>
    <t>@lukmansaifuddin Susah benar nalarnya ya Pak, Padahal demi kebaikan dia dan semua umat juga. Ntar disana, ada yg terjangkiti (WNI), selain pemerintah Saudi repot, Pemerintah kita lebih repot. Telat penanganan dibilang pemerintah lambat. Gak ditangani, dibilang pemerintah kejam. Warga @</t>
  </si>
  <si>
    <t>RT @YEngran: Maaf, aku akan menyentuh pada sisi lainnya. Pak @jokowi @mohmahfudmd dan seluruh jajarannya, daripada masih menyibukkan diri untuk membahas kepulangan anak-anak Teroris pengikut iblis ISIS, alangkah lebih baiknya Bpk-Bpk sekalian lebih memikirkan kesejahteraan rakyat yang ada!</t>
  </si>
  <si>
    <t>Pemerintah Memantau WNI dalam Perjalanan Umrah</t>
  </si>
  <si>
    <t>@Andini_932 @SaatTobat Bisa gak sih anak2 combatan isis itu dicairkan @jiiviiw</t>
  </si>
  <si>
    <t>@tjapoenglaut @jokowi Anak2 para penghiant di kasih rumah, anak2 yg setia kpd negara dan jd korban bom di anggap gak berguna. Atau jgn2 ini drama lg seperti kemarin saat heboh kepulangan ex wni anggota isis. Dan drama kali biar lebih greget ada aktor baru nya menko pula.....</t>
  </si>
  <si>
    <t>@endahfjrh Terus gimana solusinya terhadap wni yang minta pertolongan?</t>
  </si>
  <si>
    <t>RT @firdausspace: bahkan pelanggaran HAM masa lalu belum tuntas anak eks ISIS malah jadi prioritas beragam kasus pelanggaran HAM terjadi di setiap sudut negri ini, dari masa lalu hingga dewasa ini</t>
  </si>
  <si>
    <t>Para anggota ISIS eks WNI tidak akan lolos masuk Indonesia.</t>
  </si>
  <si>
    <t>@SDMJ19 @irenaakbar Chal be jihadi john.syria ja ISIS wale dhund rahe hai tujhe.</t>
  </si>
  <si>
    <t>Pemerintah AS lwt kedubes nya di Indonesia msh menahan beberapa VISA WNI yg hendak berkunjung ke AS, terkait virus corona &amp; bahaya ISIS, lalu apa respon pemerintah Indonesia?, bnr di Indonesia ada virus corona &amp;amp; virus ISIS?</t>
  </si>
  <si>
    <t>@diyahsiron17 @sugarwaste_ @Stayvaro @bucinkochenk @pamungxas @nollaaa_ @txtdaricowo Casis tuh calon isis tah..??</t>
  </si>
  <si>
    <t>mas mas nya udah cocok jadi wni nih</t>
  </si>
  <si>
    <t>RT @erikamelfa: lsg dong pak ke dubes Arab Saudi : "apa hak anda melarang WNI utk beribadah ke Mekkah....?" biar jgn heran gitu😂😂😂</t>
  </si>
  <si>
    <t>Indonesia🤟👏</t>
  </si>
  <si>
    <t>Satu WNI di Taiwan Postif Virus Korona, Pengajian Akbar Batal Digelar</t>
  </si>
  <si>
    <t>@purnomo_jati1 @RomeskoP @KatolikG @mohmahfudmd kan ngurus kepulangan anak-anak ex-WNI pro ISIS itu dulu... 🤪😅😅</t>
  </si>
  <si>
    <t>@95landlord Duk fa tsara komai sukai... So suke dole sai anso mutumin nn, shi Kuma kaga in yga wnnan zaiji dadi yyiwa mkrntr wni Abu 😂😂</t>
  </si>
  <si>
    <t>RT @voaindonesia: Pengamat Nilai Rencana Pemulangan Anak Mantan ISIS Langkah Tepat</t>
  </si>
  <si>
    <t>RT @kopipolitik1: 1) Halo tweeps, mimin mau berbagi cerita tentang penyelamatan 243 WNI di Wuhan dari keganasan virus novel Corona. Langkah cepat Pemerintah RI ini diambil setelah Badan Kesehatan Dunia( WHO) menetapkan darurat global virus Corona @DivHumas_Polri #Dinamika</t>
  </si>
  <si>
    <t>@GatariiSurya Setelah baca yg di batam wni singapore mati, gat?. Tapi serem an RUU Omnibus law gat~~</t>
  </si>
  <si>
    <t>Pengamat Nilai Rencana Pemulangan Anak Mantan ISIS Langkah Tepat</t>
  </si>
  <si>
    <t>Jungkook me matas @BTS_twt</t>
  </si>
  <si>
    <t>Sukamta PKS Desak Pemerintah Segera Pulangkan WNI di Diamond Princess</t>
  </si>
  <si>
    <t>Umrah Ditangguhkan, Jemaah WNI di Saudi Masih Bisa Ziarah ke Madinah</t>
  </si>
  <si>
    <t>RT @pujangga1123: Secuil Jejak Seorg "Mantan Pimpinan DPR" yg mendonasikan dana 20.000 USD (setara Rp. 270 juta) utk mendukung Pergerakan di Suriah via HASI (Hilal Ahmar Society Indonesia) utk menyalurkan Dana ke IHH. LSM terbesar, pendukung Mujahid &amp; ISIS di Suriah, ehem #TolakAnakISISKembali</t>
  </si>
  <si>
    <t>RT @MrsRachelIn: Sorry ya klo soal intolerant &amp; anak2 yg klaparan di dlm negri diabaikan dulu demi penghargaan Kemanusiaan dari Kombatan Isis. Sibuk nih fokus ngurusin import Anak2 eks isis' kan hrs disiapin sgl fasilitas &amp;amp; butuh anggaran yg gede' jangan sampe mrk stres 😕🤥</t>
  </si>
  <si>
    <t>Kapolri dan Panglima TNI Tinjau Kesiapan Lokasi Evakuasi dan Observasi WNI di Pulau Sebaru</t>
  </si>
  <si>
    <t>@Beni01876766 @AdiSukrawan16 ada, Islam versi ISIS, versi Alqaedah, Islam NU, Islam Muhammadiyah, Islam versi HTI, semua berbeda, perlu saling menghormati selama masih dalam koridor kemanusiaan dan tidak merasa paling benar</t>
  </si>
  <si>
    <t>RT @xpac_2k: @dyanasmd @kidxkl Sebab ada pertualang dlm masyarakat mcm ko... Isu ISIS laju je jailkan melayu. Tapi LTTE boleh lepas. Isu 3helai tulisan Jawi... Isu hina Raja2 dan Islam... nak lg ada banyak lg</t>
  </si>
  <si>
    <t>RT @AnakKolong___: Pak Presiden jauh lebih penting selesaikan masalah² berikut ini : 1. Pengungsi Jemaah Ahmadiyah yg belasan thn tdk bs kembali ke daerahnya. 2 Tumpas MAFIA MIGAS 3. Tumpas PROPAGANDIS KHILAFAH &amp; agen ISIS yg masih GENTAYANGAN di Republik ini berikut salah satu SALES ISIS ;</t>
  </si>
  <si>
    <t>Pemerintah Bakal Evakuasi WNI di Kapal Diamond Princess Lewat Jalur Udara</t>
  </si>
  <si>
    <t>RT @AnakKolong___: YANKEE JIHAD ISIS, HIZBUT TAHRIR, KHILAFAH, WAHABI, IKHWANUL MUSLIMIN HINGGA BEGUNDAL DI/TII itu baca QUR'AN bukan baca KOMIK SPIDERMAN. . . . Apa lantas Qur'an salah ? tentunya tidak OTAK MEREKA AJA YANG BEBAL &amp; TABIAT MEREKA MEMANG BAJINGAN AGAMA. . . .</t>
  </si>
  <si>
    <t>@Irtus_Laso @jokowi @agnezmo @iHeartRadio Emang dia wni?</t>
  </si>
  <si>
    <t>RT @Luana_LD: @jokowi @DemplonMak Lebih Baik Bapak Presiden Fokus kpd Anak2 yatim piatu yg ada di Indonesia pak mereka lebih layak diperhatikan dibandingkan Anak yatim piatu Eks ISIS yg Sudah Terpapar Radikalisme dan Bibit Terorisme Susah dibina pak, mohon jangan dipulangkan..🙏</t>
  </si>
  <si>
    <t>Tinggal nunggu akun julid dengan teori satanis, dajjal, Yakyuj Makyuj, iluminati, PKI, Sunda Empire, ISIS dan segala bentuk teori cekcoklogi yg ada. Hey Army tetap fokus.. Tahan tahan kalau ada yg nyenggol. Jangan kebawa es mochi, apa lagi mv kali ini byk mirip pilem2..</t>
  </si>
  <si>
    <t>@GP22051690 @PFIOfficial TERRORIST RSS = ISIS = TALIBAN</t>
  </si>
  <si>
    <t>RT @AnakKolong___: 3. Dalam Peraturan Internasional memang ada larangan membiarkan warga negara terlunta-lunta, tp apakah 600 Yankee Jihad pembakar paspor Indonesia itu WNI ? Tentunya tidak krn mereka hanya EKS WNI PRO ISIS. Bahkan Turki &amp; Amerika pun OGAH memberi Asylum, Assad PUN menegaskan,</t>
  </si>
  <si>
    <t>@conan_idn @4d_h1m Coba gw bantah ya jih.. 1. Iran negara Islam meski syiah pun wudhu 5x sehari tetap kena. 2. Saat ini Indonesia sedang musim hujan. 3. Gen orang Indonesia selalu dibawa kemanapun mereka pergi. WNI yang di Kapal pesiar pun positif suspect corona.</t>
  </si>
  <si>
    <t>Mrka Protes soal keputusan Arab Saudi menolak jamaah umroh dari Indonesia dgn alasan Virus Corona.. Mrka lalu teriak WNI gk ada yg terjangkit Virus Corona.. Dulu saat pemerintah ud bilang gk ad WNI terjangkit corona mrka ttp ngotot ada krna trmakan Hoax nah Mamam lu skrng..!!</t>
  </si>
  <si>
    <t>Kebanyakan dari koruptor kakap WNI Keturunan. Dan lucu Nya mereka dianggap bak Raja. RT @detikcom: Saat masih di Jakarta, Honggo tinggal di sebuah rumah mewah di Jakarta Selatan. Rumah itu sedang dilelang. Lelang dilakukan karena rumah itu untuk melunasi utang Honggo kepada perusahaan SMC. #Korupsi #Lelang</t>
  </si>
  <si>
    <t>Pemerintah Segera Evakuasi WNI di Diamond Princess  BuserBhindo BuserBhindo</t>
  </si>
  <si>
    <t>@Ngk0ng__R__R @mohmahfudmd @jokowi Baiknya org2 d @KPAI_official Dipecat semua. Berpendapat sama kayak org idiot. Anak2 di Indonesia ini masih banyak yg harus kalian urusi, ngapain kalian malah sibuk ngurusi anak2 "teroris isis"? Kalian pro "teroris isis" atau anak2 yg setia pada NKRI &amp; Pancasila?</t>
  </si>
  <si>
    <t>RT @AnakKolong___: 5. @BNPTRI @BIN_Official @Puspen_TNI @DivHumas_Polri @PPATK tentunya sudah tahu siapa² saja di Republik ini yang mendukung YINON PLAN dgn kemasan GAMIS &amp; SORBAN, sembunyi dlm ormas &amp;amp; parpol tapi diam² mendukung BERNARD HENRY LEVY &amp;amp; Mc CAIN. ISIS MAP hanya candaan kah ?</t>
  </si>
  <si>
    <t>RT @AnakKolong___: 2. PERTANYAANNYA KEMUDIAN | . . Mengapa pemerintan tidak bersikap spt Russia atau Chechnya dalam soal ISIS ? Apakah karena "DURI DALAM DAGING" @KomnasHAM ? Atau karena ada "negara" dalam NEGARA yang "MENGENDALIKAN" NEGARA ? . .</t>
  </si>
  <si>
    <t>@shelamargaretaa sek sek teh e campur tolak angin cek isis😭</t>
  </si>
  <si>
    <t>RT @marinir_tni_al: Batalyon Kesehatan 1 Marinir Pasmar 1, kembali mengirimkan para prajuritnya untuk melaksanakan evakuasi dan observasi Warga Negara Indonesia (WNI) dari kapal pesiar MV. World Dream ke Pulau Sebaru di Kepulauan Seribu.(26/02/2020)</t>
  </si>
  <si>
    <t>RT @ninalea: @hidayat_y28 Lebih berharga masa depan anak ini pak @jokowi dr pd bapak sibuk memikirkan anak anak ISIS. Tolong iba sekali ini saja dg anak anak di Nusantara yg masih mau setia berucap Pancasila dan menjunjung Toleransi</t>
  </si>
  <si>
    <t>@wennvar1 @Ngk0ng__R__R @mohmahfudmd @jokowi Salah tagarnya. Mereka bukan wni, tapi eks wni dan mereka isis</t>
  </si>
  <si>
    <t>@RanaAyyub Tum to journalist ho nhi tum ISIS ke spoke person Hai aur humare Desh Mey Tumko madrasha chaap Dalal darza Hai aur halala product agar journalists bn jayenge to fir Dalal ka shortage ho jayenge.</t>
  </si>
  <si>
    <t>Kisah WNI yang Terjebak di Tengah Sebaran Virus Corona</t>
  </si>
  <si>
    <t>@Javedakhtarjadu Salimkhan is real secular indian but ur r isis agent</t>
  </si>
  <si>
    <t>@hidayat_y28 Seandainya Ortu dia kombatan ISIS..pasti hidupnya akan lebih baik... bisa langung diurusi oleh "negara"... #treunyuh_pingin_misuh</t>
  </si>
  <si>
    <t>RT @drditri: @Satynistha @Javedakhtarjadu In dono ka ek hi rista hai jo ISIS ja tagline...Iska uska rista kya..laillaha......aaah</t>
  </si>
  <si>
    <t>RT @penerbitimania: [segera terbit] Jenderal Qasem Sulaymani Jalan Cinta Sang Penumpas ISIS | Penulis @Kazhim</t>
  </si>
  <si>
    <t>@hidayat_y28 Dimata pemerintah anak isis lebih mulia dan lebih difasilitasi</t>
  </si>
  <si>
    <t>Such brutality jihadis, ISI &amp; ISIS RT @a_sandhan: As per autopsy report of IB officer Ankit Sharma his body has 400 stab marks. No part of body spared. Doctor feels atleast 6 persons were stabbing him simultaneously. More detail follows.</t>
  </si>
  <si>
    <t>RT @1Spec1al: yaelah gimana sih pk joko anak eks isis tuh blm steril masa pengen dipulangin jg kecewa gw kecewaaaaaaa</t>
  </si>
  <si>
    <t>RT @melodramaalbum: So sorry about delhi but really indon???? Kalian ngeblame agama lain karna oknum nya???? Giliran isis yg teroris beneran bilangnya JaNgAn S4l4hkan 4gaMa i5l4m! Like wow!?!?!? Rendah bgt kalian</t>
  </si>
  <si>
    <t>@yodichandra28 @yuliasulis02 @dianwni Kuliah cu katanya, tanya wni dah tuh</t>
  </si>
  <si>
    <t>@AntaresRadarian sedang menjalani sanksi Surat Peringatan I, II, II/Skorsing -Dokumen yang dibutuhkan seperti: KTP, Slip gaji /Surat Keterangan Perusahaan, Paspor BCA dan NPWP (khusus pengajuan mulai dari Rp 50 juta) -Status Kewarganegaraan WNI berdomisili di (3/9) ^komar</t>
  </si>
  <si>
    <t>@AntaresRadarian Wiraswasta/Pengusaha wajib melampirkan SIUP/TDP. -Status Kewarganegaraan WNI berdomisili di Indonesia Pengajuan akan diproses selama 14 – 21 hari kerja. Besarnya plafon pinjaman yaitu minimal Rp 5.000.000 – Rp 100.000.000 dengan pilihan (6/9) ^komar</t>
  </si>
  <si>
    <t>@TarekFatah Tahir Khan is ISIS</t>
  </si>
  <si>
    <t>RT @ichigotalks: kubilang apa, pemerintah terlalu santuy terhadap radikalisme dan intoleransi. Dua kata itu saling terkait. ini buktinya:</t>
  </si>
  <si>
    <t>RT @topazaditia: Janjian orang Indonesia Telat: 1-2 jam: normal 3 jam: macet 3-4 jam: macet parah 5 jam: banjir 6 jam: ketiduran Gak nongol: masuk ISIS</t>
  </si>
  <si>
    <t>@mi_isis Excelente pregunta 🤔🤔🤔🤔🤔🤔🤔🤔🤔🤔🤔🤔🤔 mmmh 🤔🤨🧐 🤔🤔🤨🧐🤔🤔🤔🤔🤔🤔🤔🤔🤔🤔🤔🤔🤔🤔🤔🤔🤔🤔🤔🤔🤔🤔🤔🤔🤔🤔🤔🤔🤔🤔🤔🤔🤔🤔🤔🤔🤔 mmhhhh 🤔🤔🤔🤔 hhhjjjiiiimmmm😳😳😳😳 mmmmhhhjmmm 😊☺️☺️☺️🥰🥰mmhhh😏😏😏 ggggggrrrrrrrrrr 🐯😈🔥😈🔥😈🔥😈🔥😈🔥😈🔥😈🔥😈🔥😈🔥😈</t>
  </si>
  <si>
    <t>Pemerintah Negosiasi dengan Arab Saudi agar WNI Tak Dilarang Umrah</t>
  </si>
  <si>
    <t>@geloraco Ndak percaya arab saudi.. Mulai hari ini larang wni umrah..?</t>
  </si>
  <si>
    <t>@narkosun Anak2 yg terlantar dinegeri ini, diabaikan oleh negara. Anak2 ex combat ISIS, dijemput negara. Dagelan macam apa ini Pak @jokowi @mohmahfudmd ????</t>
  </si>
  <si>
    <t>WNI tertular Corona setelah merawat seorang lansia di Taiwan</t>
  </si>
  <si>
    <t>@SonaliKokra Tumne hinduo ka theka nhi liya ISIS join krlo waha koi Hindu nhi hai 😠</t>
  </si>
  <si>
    <t>@narkosun Aneh, sungguh aneh, isis dan pki itu sama2 mengancam ideologi bangsa, anak2 eks isis dipulangkan dan ditampung tp bagaimana kabar anak2 eks pki?</t>
  </si>
  <si>
    <t>@Instantkharma @KakekHalal @jokowi @PolhukamRI @mohmahfudmd Tapi kata Menko Polhukam @mohmahfudmd pemerintah "memastikan" telah menyiapkan "segala" keperluan untuk memulangkan anak-anak ISIS Eks WNI di bawah usia 10 tahun, padahal didalam negeri banyak anak2 terlantar?</t>
  </si>
  <si>
    <t>Pulau seribu jadi tempat Rehabilitasi para korban corona (wni/tkw luar negeri khususnya yang dari cina)</t>
  </si>
  <si>
    <t>@permadiaktivis @taksukabegitu Syetan tak melihat suku dan Agamamu.... Yg penting lu bisa tolol dan bodoh itu sudah cukup baginya... Ibu dan bapak kandungpun bisa di bunuh oleh anaknya jika sudah bejad seperti ISIS</t>
  </si>
  <si>
    <t>Ceritanya ini WNI statusnya ilegal di TW dan berprofesi sbg caregiver/perawat lansia. Salah satu majikannya yaitu lansia kasus ke 27 yg terkena covid-19 sebelumnya</t>
  </si>
  <si>
    <t>RT @CNNIDdaily: 39 ahli kesehatan dan satgas gabungan akan diberangkatkan ke Pulau Sebaru, Kepulauan Seribu, yang akan jadi lokasi observasi 188 WNI kru kapal pesiar MV World Dream, yang baru saja dievakuasi.</t>
  </si>
  <si>
    <t>Jaga Lokasi Observasi WNI di Pulau Sebaru, Panglima Kerahkan Pasukan Katak</t>
  </si>
  <si>
    <t>@wahhabicc_jabar @jokowi Percuma koar” sama Pak @jokowi @mohmahfudmd ga berguna, ga bakalan didengar. Pemerintah memulangkan eks ISIS biarpun anak” satu Negara kompak ga bayar pajak bisa apa Negara??. Salah satu senjata paling ampuh u/ saat ini biar pemerintah berpikir seribu kali.</t>
  </si>
  <si>
    <t>@BBCWorld Taliban, Alqaeda and ISIS.....all Made in USA.</t>
  </si>
  <si>
    <t>RT @AndryWaseso: Gw termasuk yg percaya bahwa agama ga mengajarkan kekerasan itu mitos. ISIS ambil ajaran darimana emang? Kitab silat butong pay?</t>
  </si>
  <si>
    <t>@ales_arema @KakekHalal @jokowi @PolhukamRI @mohmahfudmd sepertinya anak ini harus gabung ISIS dulu baru diperharikan negara.</t>
  </si>
  <si>
    <t>TL merupakan orang ke-32 yang terinfeksi virus corona di Taiwan</t>
  </si>
  <si>
    <t>@kochengmerah Ingat yak gw gk ANTI-CHINA !!! krn gw juga keturunan Yg gw maksud disini orang China dr RRC yg buka pabrik/company disini... Sebagian besar nerapin sistem overwork tp lowpay Klo WNI yg keturunan mah gk banyak yg nerapin kek gitu krn bisa didemo 🤣 auto-Quit</t>
  </si>
  <si>
    <t>Kamlesh Tiwari, Ankit Sharma, DCP Amit Sharma, RatanLal..... Jihadis are making ISIS footprint felt in India.</t>
  </si>
  <si>
    <t>Hindutva to Hinduism is like ISIS to Islam, KKK to Christianity and Feminazi (like the Megalia in South Korea) to feminism. Oknum2 jahat yg bikin imej buruk satu golongan. RT @Mentimoen: Seperti kelompok Islamist di Indonesia yg membuat Indonesia semakin tidak layak huni, demikian juga dgn kelompok supremasi Hindu di India, mencabik2 India.</t>
  </si>
  <si>
    <t>@jokowi Iya Pak! Arab Saudi ingin melindungi warga negaranya dari wabah virus korona... Sementara Negara +62.... ingin melindungi warganya dari mendatangkan anak² ISIS gak? 🤭</t>
  </si>
  <si>
    <t>Maaf, aku akan menyentuh pada sisi lainnya. Pak @jokowi @mohmahfudmd dan seluruh jajarannya, daripada masih menyibukkan diri untuk membahas kepulangan anak-anak Teroris pengikut iblis ISIS, alangkah lebih baiknya Bpk-Bpk sekalian lebih memikirkan kesejahteraan rakyat yang ada! RT @Aryprasetyo85: dia mengaku khilaf dan susu yang sebelumnya di curi si bapak ini akhirnya di bayarin sama pak Polisi nya Yah sepertinya hampir semua manusia pernah dalam posisi paling gelap dalam hidupnya, semoga bapak ini sabar dalam menghadapi cobaan, dan terimakasih untuk Pak Polisi nya juga</t>
  </si>
  <si>
    <t>Alhamdulillah BPJS beneran dah Milenial Amrik kalo tau manfaat BPJS mungkin akan berbondong2 jadi WNI RT @NomeDaBarbarian: I am not an expert in immunology - I follow doctors for that. But I did spend 9 years as a manager at a pizza place that paid better than average wages for food service. And I am terrified of #COVID19. Not because the virus is going to kill people, but because poverty might. /</t>
  </si>
  <si>
    <t>Oh iya. Waktu kami tinggal di philipin..peristiwa marawi terjadi. Jarak marawi ke san antonio ya jauuh..beda pulau udahan. Tapi kami ya panik dong :)) Sempet ada kabar WNI mau dievakuasi ke KBRI segala</t>
  </si>
  <si>
    <t>Antisipasi Corona, 69 WNI di Jepang akan Dievakuasi</t>
  </si>
  <si>
    <t>Menkes: 68 WNI ABK Diamond Princess Dievakuasi 1-2 Hari Ke Depan</t>
  </si>
  <si>
    <t>@wahhabicc_jabar @ErnaZahra Pak @mohmahfudmd siapa anak teroris ISIS yang mau dipulangkan? Apakah anak ISIS yang dibawa dari Indonesia? Atau anak ISIS yang lahir di Suriah? Kalau anak ISIS yang dibawa dari Indonesia mereka bukan lagi anak-anak. Sedangkan anak ISIS yang lahir di Suriah mereka bukan WNI.</t>
  </si>
  <si>
    <t>RT @Kemlu_RI: #SahabatKemlu, Imbauan bagi WNI menanggapi virus 2019-nCov (new coronavirus) dapat disimak melalui tautan ini:  #NegaraMelindungi</t>
  </si>
  <si>
    <t>Dengan hormat Uang 72 M yang anda bayarkan buat influemcer lebih baik diambil lagi saja lah Pak @jokowi Moratorium Saudi untuk cancel umrah bagi WNI saja sudah cukup membuat uang 72 milyar itu melayang sia sia... Oke kah Pak?</t>
  </si>
  <si>
    <t>Pulau Sebaru Kecil menjadi lokasi observasi 188 WNI ABK kapal World Dream.</t>
  </si>
  <si>
    <t>@ummufadhil11 @UdaBagindo @Lik49772481 @SupartaDian @yettiaka Berhukum Agama itu pakai realita Kamu bisa punya keyakinan agama seperti yg dianut oleh ISIS di Suriah, tapi kamu nggak boleh menjadi ISIS di Indonesia dan melakukan terorisme terhadap yg berbeda Nggak peduli walau kamu bilang itu dari Allah. Tetap ga boleh</t>
  </si>
  <si>
    <t>RT @VICE_ID: Berikut keadaan psikologi mereka yang saat remaja dipenuhi ingatan-ingatan pengalaman menembaki orang dengan AK47.</t>
  </si>
  <si>
    <t>@ayneei Kabari wong2. Wes gausah budal ng palestina melu isis. Kene wae melu aku ng pantura.</t>
  </si>
  <si>
    <t>RT @Kemlu_RI: #SahabatKemlu, 243 WNI berhasil dipulangkan dari Wuhan dan tiba di Natuna hari ini. Pemeriksaan kesehatan telah dilakukan dan mereka akan menjalani observasi selama 14 hari di Lanud Raden Sadjad. Selengkapnya  #NegaraMelindungi #IniDiplomasi</t>
  </si>
  <si>
    <t>Pemeriksaan klinis terhadap 188 WNI kru Kapal World Dream yang dilakukan oleh tim kesehatan di KRI dr Soeharso dinyatakan normal dan tidak terindikasi Covid-19 ... #coronavirus</t>
  </si>
  <si>
    <t>RT @BudiatnoGomarus: @wahhabicc_jabar Kok jadi terbalik ya...rakyat sengsara didalam negri tak dipedulikan ,ini eks WNI ISIS malah dipulangkan dan akan dirawat negara ... @jokowi @mohmahfudmd @DPR_RI @tni_ad</t>
  </si>
  <si>
    <t>@kohtotok @Aryprasetyo85 Bupati ini memang banyak tingkah; daerahnya minta dijadiin provinsi, WNI dari Wuhan didemo, minta rs internasional dsb. Jangan cepat bereaksi bro.Lihat dul sikonnya.</t>
  </si>
  <si>
    <t>RT @didi_armayanto: @wahhabicc_jabar Tidak ada tempat bagi mereka kaum ISIS eks WNI, eks WNI ya bukan eks ISIS .....</t>
  </si>
  <si>
    <t>Situasi kat india sekarang ni buat aku ada rasa nak taliban ke al-qaeda ke isis ke masuk negara india. Huhu</t>
  </si>
  <si>
    <t>Panglima TNI Marsekal Hadi Tjahjanto mengatakan Komando Pasukan Katak (Kopaska) dan Satuan Polisi Perairan (Satpolair) akan mensterilkan perairan Pulau Sebaru Kecil yang menjadi Ring 2 wilayah observasi 188 warga negara Indonesia ABK World Dream.</t>
  </si>
  <si>
    <t>RT @wennvar1: @Ngk0ng__R__R @mohmahfudmd @jokowi Gaungkan lagi tagar #TolakWNIEksISIS #tolakpulangkankombatanisis #TolakPulangkanAnakWNIEksISIS TWEET &amp; RETWEET Lagi berita2 kebiadapan kombatan ISIS......!!!! Jng sampai kehidupan kita tdak nyaman dgn kehadiran eks kombatan ISIS......!!!</t>
  </si>
  <si>
    <t>Saya baru dapat info dari istri kru kapal Diamond Princess bahwa pihak kemenlu &amp; kemenkes akan melakukan penjemputan para WNI kru kapal tsb dengan pesawat dalam waktu dekat. Saya mengucapkan terima kasih atas perhatian &amp;amp; bantuan teman2. Semoga Tuhan membalas kebaikan saudara. RT @BobbyIrwanda: @jokowi tolong diperhatikan WNI krew kapal ini. Tinggal mereka yang belum jelas kapan akan dijemput oleh negaranya, jumlah yang sakit dari 4 sudah menjadi 9. Di kapal tinggal tersisa krew dri filipina, india &amp;amp; indonesia. Hanya tinggal Indonesia saja yang blm jelas nasibnya.</t>
  </si>
  <si>
    <t>@ParinaazIsHere @RiaRevealed Thahir ka muh me lelungi aur RSS ko ISIS bol k cool Bhi banjaungi 😂😂😂</t>
  </si>
  <si>
    <t>@forzatives Pen cepet pindah ke korya klo gini trus wni wkwkwk</t>
  </si>
  <si>
    <t>RT @mumbai_kjri: (14/02/20) Diskusi Interaktif antara masyarakat Indonesia dengan KJRI Mumbai pada acara pertemuan WNI di kota Pune #PerlindunganWNI #IndonesiaWay</t>
  </si>
  <si>
    <t>Tangkal WNI eks ISIS ke tanah air #tolakisis</t>
  </si>
  <si>
    <t>@Ngk0ng__R__R @BadjaNuswantara @mohmahfudmd @jokowi Tanya dong KPAI, kalo para agg.ISIS itu berenang disana trus hamil dan gak ketauan anak siapa, apa mrk masuk WNI?</t>
  </si>
  <si>
    <t>RT @somat_amoral: @ISIS_Balik_NO @LisaAmartatara3 Hahahaaa dibungkus agama akthi</t>
  </si>
  <si>
    <t>Sejumlah anggota TNI bersiaga dan jaga ketat perairan sekitar Pulau Sebaru Kecil di Kepulauan Seribu, Jakarta, Kamis (27/2/2020). Pemerintah menyatakan pulau itu telah siap untuk dijadikan lokasi observasi 188 WNI ABK World Dream.</t>
  </si>
  <si>
    <t>Panglima TNI dan Kapolri Tinjau Lokasi Observasi WNI di Pulau Sebaru</t>
  </si>
  <si>
    <t>@Reshma85140 @sardesairajdeep No like Lashkar Hizbul mujaheden Jaish-e-mohamad SIMI PFI HuJI Al Qaeda ISIS Boko Haram Al Shabab Hizbollah HAMAS Taliban ISI Jhangvi Have some shame Miss bomb burkha jihadan . Your religion is nothing but HATE .</t>
  </si>
  <si>
    <t>Wapres kok ngomongnya HALAL &amp; HARAM ...negri ini bukan milik kaum Mayoritas aja pak Kiai ...berlakulah sebagai WNI ..bukan Warga negara ISLAM 🙏🙏🙏🙏🙏 RT @medcom_id: Ma'ruf Dorong Bangka Belitung Jadi Provinsi Halal</t>
  </si>
  <si>
    <t>@Satynistha @Javedakhtarjadu In dono ka ek hi rista hai jo ISIS ja tagline...Iska uska rista kya..laillaha......aaah</t>
  </si>
  <si>
    <t>@Rasheed_inn @dewi_darmawati Please.. Tolong..dibiasakan jgn menyebut mereka WNI eks ISIS.. Tp sebut mereka ISIS eks WNI.. Krn syarat2 dilepasnya kewarganegaraan sdh dipenuhi oleh mereka.. Mohon maaf.. Terima kasih 🙏🙏🙏</t>
  </si>
  <si>
    <t>Nah kan ... Ini baru namanya TOP , ga perlu liat latar belakang Klo isis wahabi hti yah maap2 masih pengeculian , tp klo ga bikin rusuh ya monggo2 ae sih 😂😂 Tp banyak bikin rusuhnya dan adu dombanya RT @vee_alaydrux: *MASJID JOGOKARIYAN JOGYAKARTA* MasyaAlloh Wajib Dibaca deh !! Warga kampung Jogokarian setiap waktu memakmurkan masjid ini, masjid ini buka 24 jam sebagai pusat ibadah, ekonomi, budaya penduduknya. setiap selesai subuhan ada sarapan berjamaah, ngeteh berjamaah..</t>
  </si>
  <si>
    <t>Presiden Jokowi Perintahkan 188 WNI di Kapal World Dream Dievakuasi</t>
  </si>
  <si>
    <t>@kompascom Pak @mohmahfudmd anak2 ini sj dibereain mentalnya, jangan anak eks isis dl.</t>
  </si>
  <si>
    <t>RT @fadlizon:  - Proses Evakuasi WNI di Diamond Princess Dinilai Lambat, Fadli Zon: Bisa Membahayakan Mereka</t>
  </si>
  <si>
    <t>yaelah gimana sih pk joko anak eks isis tuh blm steril masa pengen dipulangin jg kecewa gw kecewaaaaaaa RT @SalmaBrecht: Apakah kabar ini benar Bpk. Presiden Indonesia. Joko Widodo @jokowi ❓ Keperluan Pemulangan Anak WNI Eks ISIS Sudah Siap</t>
  </si>
  <si>
    <t>@ADC24905684 @dharmicverangna @PoojaNatoo sale India mei ayega ab...tu log jo suru kiya hai India mei ISIS ane mei der nehi hai...kutte ki mot marega tera RSS wale garib muslim ko julum karna chor de....</t>
  </si>
  <si>
    <t>@eko2471 Ajaran Katholik bagus dg Cinta Kasihnya...Tapi katholik pernah Bobrok digunakan untuk kepentingan nafsu kekuasaan (lihat film sejarah, AGORA)Apakah itu bobroknya karena ajarannya atau management organisasi katholik tsb?Begitu pula dg Isis, mrk mudah sekali memplintir Ktb suci !</t>
  </si>
  <si>
    <t>RT @do_ra_dong: Berteriak lantang menolak keluarga kombatan ISIS kembali ke Indonesia dgn alasan kuatir bahayakan Indonesia Yang teriak dari partai juara korupsi, garong dan maling uang negara ratusan triliun, suka melaporkan orang ke polisi, suka prostitusi pas rakernas partai Bahaya mana?</t>
  </si>
  <si>
    <t>@hyfik_ wah isis</t>
  </si>
  <si>
    <t>@ByAnalys @sha6har Trs ISIS kok bisa di bilang islam ya neng? Emang agama mereka islam? pernah liat mereka sholat? Dulu bilang islam intoleran dan terroris . Rasany gimana dimposisi kami yg selalu di fitnah . Ketika kalian g bersalah tapi di cap salah .. sakit gak?</t>
  </si>
  <si>
    <t>@V_Stone_Kardol @mohmahfudmd Masih banyak anak2 di NKRI yg butuh bantuan dana pendidikan dan kehidupan, mereka fakir miskin dan yatim piatu juga jelas orangtuanya bukan pengkhianat dan tidak terpapar ISIS. Lebih baik konsen membina dan memperbaiki tunas2 bangsa yg JELAS BUKAN ANAK dari para kombatan ISIS</t>
  </si>
  <si>
    <t>Pasukan Katak dan Polair sterilkan Ring 2 lokasi observasi 188 WNI  @antaranews #SOUNDOFLOVE</t>
  </si>
  <si>
    <t>Ingin kehidupan anak anda terjamin? Yuk join ISIS RT @narkosun: Enak ya disediakan rumah khusus segala. Padahal anak2 di Indonesia masih banyak yg hidupnya tidak layak. Keperluan Pemulangan Anak WNI Eks ISIS Sudah Siap.</t>
  </si>
  <si>
    <t>RT @twitpos: Pasien Negatif Corona Di Semarang Meninggal Dunia Menurut Dir Medik dan Kep RSUP Dr. Kariadi Semarang, dr. Agoes O.P pasien yg dimaksud WNI pria berusia 37 Thn sempat melakukan perjalanan dari Spanyol-Dubai-Jak. #WaspadaVirusCorona</t>
  </si>
  <si>
    <t>@DudyDam_ @AlissaWahid Hadeh. Agamanya Hindu. Tp persepsi bisa beda2 soal agama. Bisa moderat, konservatif sampe ekstrim. Dan ini terjadi di smua agama. Gk ada yg bela Hindutva di sini, sm sperti jg gk bela KKK, LRA, BBS, 969, ISIS, Boko Haram, etc. Ini masalah kemanusiaan yg dibumbui agama.</t>
  </si>
  <si>
    <t>@Ngk0ng__R__R @BadjaNuswantara @mohmahfudmd @jokowi Taruh saja 300 manusia ISIS dilingkungan @KPAI_official ,bisakan??😤😤😤</t>
  </si>
  <si>
    <t>mengapa ku setia pada kasih tak punya? @naimdanielx</t>
  </si>
  <si>
    <t>Jumlah WNI Terinfeksi Virus Corona Bertambah</t>
  </si>
  <si>
    <t>Em, memang depa ahli pon dalam hal ehwal islam. Siap ada cakap lagi kt aku muslim is terrorist and isis. Taknak ditindas, tapi dorang pon buat hal sama. RT @xidzhamohidzham: Bila kita kutuk, depa kata lah "Islam never taught mcm ni" kahkahkah playvictim.</t>
  </si>
  <si>
    <t>RT @Nier48909238: @AnakKolong___ ISIS BIADAB!!!</t>
  </si>
  <si>
    <t>Gw termasuk yg percaya bahwa agama ga mengajarkan kekerasan itu mitos. ISIS ambil ajaran darimana emang? Kitab silat butong pay?</t>
  </si>
  <si>
    <t>@AnakKolong___ ISIS BIADAB!!!</t>
  </si>
  <si>
    <t>#Video #KRIdrSoeharso #WNIkrukapalWorldDream VIDEO: 188 WNI Kru Kapal World Dream Dievakuasi</t>
  </si>
  <si>
    <t>RT @LiaPutr44029793: @CastilloJoshima Bapak2 itu pengin di sate atau di iris2 sama anak2 eks wni pendukung isis</t>
  </si>
  <si>
    <t>RT @amrudinnejad_: Pak, Pak @jokowi @mohmahfudmd masih banyak anak di Negeri ini yang butuh perhatian~ Ini malah sibuk ngurusin anak eks WNI eks ISIS😑😠 @WahabisLokal @RizmaWidiono</t>
  </si>
  <si>
    <t>@detikcom nnti kl ada wni yg kena saat umroh trs balik kesini bw virus kan lebih merugikan banyak org😭😭</t>
  </si>
  <si>
    <t>@Julia_Zeed @KPAI_official Mereka bukan wni</t>
  </si>
  <si>
    <t>@CastilloJoshima Bapak2 itu pengin di sate atau di iris2 sama anak2 eks wni pendukung isis</t>
  </si>
  <si>
    <t>RT @mediaindonesia: "Betul ada PMI (pekerja migran Indonesia) kita. Sekarang sudah dalam pengawasan karantina Taiwan," kata Kepala Kantor Dagang dan Ekonomi Indonesia (KDEI) Didi Sumedi</t>
  </si>
  <si>
    <t>RT @setkabgoid: Menlu: Pemerintah Pantau WNI Sedang Dalam Perjalanan Umrah</t>
  </si>
  <si>
    <t>@fadlizon Yg posting lebih Idiot Masa mau mulangin isis Kacau ni org</t>
  </si>
  <si>
    <t>RT @zenkdelya: @jokowi kesehatan ok lah pak tp keselamatan perlu di pertanyakan, karena wacana pemerintah yg bersedia menampung anak2 eks WNI yg jadi kombatan ISIS wujud mereka mungkin imut2 tp mereka sudah terdidik untuk membunuh</t>
  </si>
  <si>
    <t>Bener niii, jengah ngeliatnya !!!! Ngerusak persatuan !!!!! Masa sesama WNI jadi berantem gegara gubernur doang. RT @jansen_jsp: Akhirnya merembet jd main "idiot idiotan" gini khan. Utk alasan apapun saya pribadi tdk setuju. Krn secara medis dan psikologi idiot ini maknanya IQ nya sangat rendah dibawah 20. Istilah ini menurut saya tdk pantas dipakai jd bahan "olok-olokan" diruang publik apalagi politik.🙏</t>
  </si>
  <si>
    <t>Buat WNI yg ada di India.. Take care..</t>
  </si>
  <si>
    <t>Pemerintah telah menyiapkan pulau Sebaru di Kepulauan Seribu yang akan digunakan untuk observasi 188 WNI dari kapal World Dream. FER #MNCTVNews #LintasiNewsSiang #PulauSebaru #KepulauanSeribu #WorldDream #VirusKorona #Corona #Coronavirus</t>
  </si>
  <si>
    <t>@MOLENmontoxs @BEYONyonce Pastiles ISIS(Indang sepong indang sepong)</t>
  </si>
  <si>
    <t>Dan dlm hitungan ke 100 mentabnya isis rt an, RT @sneunddeo: @leejenom misi~ numpang ngebucin yaa dedek pacar 😍</t>
  </si>
  <si>
    <t>@kjwoolime disini juga kejadian WNI kena Corona gak mau di karantina malah kabur 🙈🙈🙈😭😭😭 dia jdi buronan negara ya Alloh malah dia naik kereta ,bis ke pasar malam mall sekarang dia ketangkap dan black list dan suruh jujur siapa aja yg di temui dan temen nya jg positif</t>
  </si>
  <si>
    <t>Keturunan WNI tanpa identitas: 15 tahun terpisah, ibu dan anak bersatu k...  via @YouTube nangis bos nangis.</t>
  </si>
  <si>
    <t>Skrg pihak2 dan kaum2 anti dan pembenci Islam mulai meng-kait2kan aspek kebangkrutan ekonomi KITA dgn wacana kepulangan WNI ex-ISIS... inilah contoh2 kebencian thd Islam yg sgt membahayakan persatuan bangsa ini....</t>
  </si>
  <si>
    <t>@do_ra_dong 7 juta cina wni 2 juta turis cina terus gak ada virus corona disini ? hellloooowww</t>
  </si>
  <si>
    <t>@lenathiara Terus ada lagi 1 WNI di Taiwan yang kena juga</t>
  </si>
  <si>
    <t>@gunjanm_ @LevinaNeythiri @swati_gs Ye sab bta dia thik ha bhai. Ab zra ye bhi bta do@ye baat kya @HMOIndia ko nhi pta hogi? NIA, IB ko nhi pata hogi? To ye aajtak kya krte rhe? Jaffrabad me 2018 me ISIS module pkda NIA ne including detonators and a damn rocket launcher! They didnt realise its a tinderbox?!</t>
  </si>
  <si>
    <t>Ini indonesia gak ada niatan buat ngelarang wni pergi dari atau keluar indonesia juga apa? Maksudnya serem juga gk sih?</t>
  </si>
  <si>
    <t>@im_PULSE @SenSanders @mattduss @RoKhanna Alqeada ISIS talking..</t>
  </si>
  <si>
    <t>@detikcom Jgn jgn isis juga nich pejabat</t>
  </si>
  <si>
    <t>RT @arkeologila: @jokowi Gak usah dipulangkan pak, anak2 di sana udah jadi tentara ISIS sejak dini. Dah biarin aja di sana, biar tau rasa. Mending pemerintah memperhatikan nasib anak jalanan, yatim/yatim piatu yg ada dalam negeri saja. Itu lebih bijak :)</t>
  </si>
  <si>
    <t>@mariaky600 Kl beritanya dr cnn kurang ok sih. Agak2 profokatif. Tp emg ttp gak setuju anak2 ISIS eks WNI dipulangkang.</t>
  </si>
  <si>
    <t>seperti halnya saat pemilu kemarin ada tina toon yg dikenal sbg penyanyi cilik bolo bolo nyaleg dan terpilih banyak yg mencibir dia bisa apa lho, she’s growing up dia S2 Hukum dan WNI kemudian dia bergabung ke parpol, nyalon, terpilih lo aja dulu cengeng sekarang udah bisa julit</t>
  </si>
  <si>
    <t>@Mandeep40244904 To yeah bat to hum mantai hain but hamare pass reason hai kyn keh 15 sal sa hum war mai thai taliban al qaida isis mqm .is the reason. yeah reason ha hamara country nhi itna uper or ab change araha ha apke pas kya waja ha???</t>
  </si>
  <si>
    <t>RT @CastilloJoshima: Miriskan Pemerintah fokus ke anak2 eks ISIS sementara disini ada yg kelaparan sampai makan sabun?😭</t>
  </si>
  <si>
    <t>@mas_sastroo @ArWiPam @MuhardiExco @ritageulis @mas__piyuuu @ridwankamil Oooo... Jd HRS itu sekarang warga arab saudi bukan WNI lgi ya..???</t>
  </si>
  <si>
    <t>Persiapan Pulau Sebaru untuk Observasi WNI Hampir Rampung #NEWS</t>
  </si>
  <si>
    <t>WNI kru kapal World Dream berolah raga bersama petugas di geladak KRI dr Soeharso ketika menuju lokasi observasi virus korona atau COVID-19 Pulau Sebaru Kecil, Kepulauan Seribu, Kamis (27/2/2020).</t>
  </si>
  <si>
    <t>@jokowi Iklan pelarangan ibadah thd minoritas juga ada ditujukan ke bapak? Iklan penolakan anak isis juga ada ditujukan ke bapak?</t>
  </si>
  <si>
    <t>Zah Rahan ki seangkatan karo John Tarkpor Sonkalie (saya sering memlesetkan jadi Sorkali) dan Essiah Pello Benson. Mantan lor ndeso dan kidul ndeso yang konon kabarnya kini sudah jadi WNI</t>
  </si>
  <si>
    <t>@purnomo_jati1 @CandraMartha4 @RomeskoP @KatolikG @mohmahfudmd @jokowi sambil mau mulangin anak eks WNI pro ISIS... RT @purnomo_jati1: @CandraMartha4 @RomeskoP @triefince @KatolikG @mohmahfudmd Yah... Kata prof @mohmahfudmd P4 akan kembali diajarkan di sekolah tapi ada baiknya para pejabat dan pemangku kebijakan publiklah yg seharusnya memberikan contoh nyata ttg pengamalan Pancasila... Dimulai dari @jokowi yg sejak menjabat mlempem klo berhadapan dgn kaum intoleran...</t>
  </si>
  <si>
    <t>Persiapan Observasi 188 WNI ABK Kapal World Dream di Pulau Sebaru Sudah 85 Persen</t>
  </si>
  <si>
    <t>"Betul ada PMI (pekerja migran Indonesia) kita. Sekarang sudah dalam pengawasan karantina Taiwan," kata Kepala Kantor Dagang dan Ekonomi Indonesia (KDEI) Didi Sumedi</t>
  </si>
  <si>
    <t>@TofaTofa_id Yg saya khawatirkan anda makin gila aja bang, bukankah kelompok anda sndri yg ingin pulangkan eks WNI ISIS... Gk usah bicara soal teroris klo kelompok anda msh mendukung teroris.. Klo goblok jgn diborong smua..</t>
  </si>
  <si>
    <t>@P3nj3l4j4h_id @mohmahfudmd Lalu gmn negara mengurus anak2 yg org tuanya meninggal krn bom teroris? Anak2 yg putus sekolah dn hrs membantu mencari uang. Knp hrs menambah maslh lagi dgn anak2 ISIS?</t>
  </si>
  <si>
    <t>RT @mamaciaaa: Lah napa nih Menag-nya kog gini? Wajar aja suatu negara mau amanin wilayahnya dr penyebaran virus. Kemarinan, WNI yg mau pulang Indo aja sempet dapat penolakan kog.</t>
  </si>
  <si>
    <t>@nishantpant_in @zoo_bear @DelhiPolice Sanghi Wahi Hai Hinduoun ke Liye Jo isis Wale Muslims Ke Liye Hain Black Spot Using Religion for Personal Agenda</t>
  </si>
  <si>
    <t>RT @TDoonal: Saya rasa bapak @mohmahfudmd juga ga ingin cucu nya jadi korban anak2 penghianat kombatan ISIS, Sama seperti saya yg selalu berdoa untuk anak saya di jauhKan dari segala Marah Dan bahaya. Semoga yang berbuat yg menerima karma nya, Semoga yg menerima ISIS, paham resikonya. 🙏🙏🙏</t>
  </si>
  <si>
    <t>RT @radar_malang: Larangan Umrah, KBRI Riyadh Perjuangkan WNI yang Sudah Pegang Visa</t>
  </si>
  <si>
    <t>@__N1l4m Tak sakit mcm haritu. Tp tk selesa</t>
  </si>
  <si>
    <t>Persiapan Pulau Sebaru untuk Observasi WNI Capai 85 Persen</t>
  </si>
  <si>
    <t>@kaichx_ @kimjongnina Dijepang ada 9 WNI ditaiwan 1 WNI 4 orang dari kapal diamond princess</t>
  </si>
  <si>
    <t>Tunggu 2 Hari, Menkes: 68 WNI Kapal Diamond Princess Dijemput Pesawat Wide Body</t>
  </si>
  <si>
    <t>Larangan Umrah, KBRI Riyadh Perjuangkan WNI yang Sudah Pegang Visa</t>
  </si>
  <si>
    <t>Saya rasa bapak @mohmahfudmd juga ga ingin cucu nya jadi korban anak2 penghianat kombatan ISIS, Sama seperti saya yg selalu berdoa untuk anak saya di jauhKan dari segala Marah Dan bahaya. Semoga yang berbuat yg menerima karma nya, Semoga yg menerima ISIS, paham resikonya. 🙏🙏🙏 RT @CastilloJoshima: Akhirnya anak2 Eks ISIS dipulangkan,pdhl anak2 terlantar,anak yatim piatu anak yg hidup di jalan masih banyak di Negri ini??kita gk peka ke mrk tapi lebih peka ke masa depan anak2 yg nantinya bisa jadi bom waktu.</t>
  </si>
  <si>
    <t>ㅤ ㅤㅤ ㅤㅤㅤ WAKIL DIREKTUR. Tangan kanannya yang akan mewakili perusahaan dalam menjalankan usaha juga berurusan baik di dalam atau pun di luar persidangan. Ketentuan: Pria, berusia diatas tiga puluh tahun, WNI.ㅤ ㅤㅤ ㅤㅤㅤ ㅤ ㅤㅤ ㅤㅤㅤ</t>
  </si>
  <si>
    <t>RT @SyPram_Khan: Dari peristiwa ini ... masihkah penting wacana utk menerima anak2 eksWNI simpatisan ISIS ?!?! 🤔🤔🤔🤷🏻‍♂️🤷🏻‍♂️ #ApaAlasannya</t>
  </si>
  <si>
    <t>Kalau bgini HAM mana. ???? Wahai umat Islam. India pertama ini terjadi adalah dengan mengado domba nya lalu setelah kaum munafikwndukung pemerintah India. Maka ISIS Syiah ahmadiah bermain. Maka mereka semakin berani melawan kepada umat Islam yg bener dan garis lurus RT @LisaAmartatara3: Astagfirullah Astagfirullah Astagfirullah 😭😭😭😭 Hasbunallah wanikmal wakil 🤲🤲🤲😭😭</t>
  </si>
  <si>
    <t>Sempat Main Tik Tok, Satu WNI Di Taiwan Positif Terjangkit Virus Corona</t>
  </si>
  <si>
    <t>@wiriantowidjaya @sahaL_AS ISIS biarpun berlabel islam tp bukan ajaran islam.</t>
  </si>
  <si>
    <t>8. Nationality/ethnicity? WNI asli, dan jawa asli 😆 Tapi aku jawa timuran jadi udah campur-campur bahasanya 🤣</t>
  </si>
  <si>
    <t>Satu WNI di Taipei Positif Mengidap Corona #NEWS</t>
  </si>
  <si>
    <t>RT @shinesaja: Anak² kek gini yg jumlahnya banyak banget di seluruh Indonesia yg perlu mendapat perhatian kita pak @mohmahfudmd dan @jokowi . Bukan anak² yg lahir dari rahim para pengkhianat ISIS!</t>
  </si>
  <si>
    <t>Ini semoga jadi doa semua anak-anak anggota isis dan teroris. 😭😭 RT @mariaky600: Nggak bisa ngebayangin kalo seandainya orangtuaku adalah eks-isis atau teroris. Apakah aku juga memiliki sifat sejahat itu? Oh Tuhan, aku ingin bahagia. Aku takut banget memiliki sifat sejahat itu. Jangan sampai ya Tuhan.. 😭😭</t>
  </si>
  <si>
    <t>@PaijoAryanto__ @NgkongRoses Blunder ini mah....ibarat nanam bom waktu,yg suatu saat akan meledak besar ,mengulangi kejayaan isis. Kasian anak cucu kelak.</t>
  </si>
  <si>
    <t>Perut masuk angin ni betul2 another level of pain dooo</t>
  </si>
  <si>
    <t>Observasi 188 WNI di Pulau Sebaru, TNI Kerahkan 3 Helikopter Artikel ini telah tayang di  dengan judul “Observasi 188 WNI di Pulau Sebaru, TNI Kerahkan 3 Helikopter”,…</t>
  </si>
  <si>
    <t>Sebanyak 188 anak buah kapal (ABK) World Dream yang merupakan warga negara Indonesia (WNI) telah berhasil dievakuasi.</t>
  </si>
  <si>
    <t>@deandry @sahaL_AS Ndak ada yg bisa kalahkan kekejaman ISIS</t>
  </si>
  <si>
    <t>Perkembangan persiapan yang dilakukan tim gabungan di lapangan proses persiapan dipastikan rampung pada hari Jumat (28/2/2020) sebelum pukul 08.00 WIB</t>
  </si>
  <si>
    <t>@KakekHalal @jokowi @PolhukamRI @mohmahfudmd Kan bgst nama nya.... Anak WNI aja gak bisa diurus , malah ngurus anak Teroris.</t>
  </si>
  <si>
    <t>RT @__MV_llestari__: Kayaknya sih kejam kita sampai hati tidak membiarkan anak² ex WNI pro ISIS itu kembali. Tapi atas nama kemanusiaan untuk jutaan anak INDONSIA biarkan mereka di sana deh. - utas - (repost) Cc. @AnakKolong___</t>
  </si>
  <si>
    <t>Dari peristiwa ini ... masihkah penting wacana utk menerima anak2 eksWNI simpatisan ISIS ?!?! 🤔🤔🤔🤷🏻‍♂️🤷🏻‍♂️ #ApaAlasannya RT @Aryprasetyo85: Pangapunten Ndoro @ganjarpranowo Mohon di bantu Bpk ini dgn memberi pekerjaan Supaya si Bpk gk melakukan lgi hal yg sama di kemudian hari🙏🙏 Seorang bapak penjual es gepeng keliling nekat mencuri 1 kotak susu bayi SGM yang harganya Rp 37.000 di Kuripan Lor Pekalongan Selatan.</t>
  </si>
  <si>
    <t>@jokowi Pak di negara kita masih banyak anak Yatim Piatu yg gak keurus Perasaan urus ex wni mulu kapan serius urus yg wni beneran</t>
  </si>
  <si>
    <t>KRI dr Soeharso-990 yang mengangkut 188 WNI ABK MV. World Dream sedang berlayar menuju Pulau Sebaru Kecil, Kepulauan Seribu, Jakarta. Diperkirakan, ratusan WNI itu akan tiba pada Jumat, 28 Februari 2020 siang.</t>
  </si>
  <si>
    <t>RT @antaranews: Video: Kawasan ring satu observasi WNI sejauh 50 meter</t>
  </si>
  <si>
    <t>Buat pak jokowi.buat org2 yg mikir anak combatan isis.lihat depan hidung kita..apa kita.smua buta mata buta hati..didepan perlu pertolongan kalian sibuk ngurus manusia2 jagal diluar negri..mana rasa manusia kalian RT @MrsRachelIn: Pak @mohmahfudmd @jokowi @Menlu_RI @wapres_ri IRONIS! saat pemrintah fokus dg anak2 Teroris ISIS' anak2 dlm negri ada yg kelaparan diabaikan! Tiga Kakak Beradik Miskin Kelaparan dan Terpaksa Makan Sabun, Kini Sakit</t>
  </si>
  <si>
    <t>RT @KBRI_Paris: @KemenkesRI Update #CoronavirusFrance #COVID19 untuk WNI (27/2): di Prancis sdh 18 kasus konfirmasi, 2 meninggal (1 turis Tiongkok, 1 Prancis), 4 opname, lainnya sembuh. Layanan medis bandara CDG-ORY utk arrivals dari CH,HK,SIN,SKor. Ikuti updatesnya di:  #pwniparis</t>
  </si>
  <si>
    <t>RT @setkabgoid: Sesuai Arahan Presiden @jokowi, KRI Dr. Soeharso Jemput 188 WNI di Kapal World Dream</t>
  </si>
  <si>
    <t>@detikcom Arab stop dl umroh, gak usah kaget.Kan jamaah sekian bnyk berkumpul lha klo ada yg #positif virus corona trs #nyebar ke yg lain tmsk WNI siapa yg tngg jwb sdg Saudi gak ada #timDokter yg nyeleksi mrk. #LebihBaikPreventi #DPRharusPunyaWawasanLuas</t>
  </si>
  <si>
    <t>RT @kompasiana: Ribuan ISIS bakal Banjiri Indonesia, Mahfud MD Tidak Salah</t>
  </si>
  <si>
    <t>Video: Kawasan ring satu observasi WNI sejauh 50 meter</t>
  </si>
  <si>
    <t>@KemenkesRI Update #CoronavirusFrance #COVID19 untuk WNI (27/2): di Prancis sdh 18 kasus konfirmasi, 2 meninggal (1 turis Tiongkok, 1 Prancis), 4 opname, lainnya sembuh. Layanan medis bandara CDG-ORY utk arrivals dari CH,HK,SIN,SKor. Ikuti updatesnya di:  #pwniparis</t>
  </si>
  <si>
    <t>RT @IdEmbassy_Seoul: Agar lebih dekat dengan WNI yang berada di Daegu, KBRI Seoul membentuk Posko Aju yang berlokasi 53 km atau sekitar 45 menit dari pusat kota Daegu. #IniDiplomasi #NegaraMelindungi #IndonesiaWay @Kemlu_RI @den_uh @sofia_sudarma</t>
  </si>
  <si>
    <t>@hidayat_y28 Lebih berharga masa depan anak ini pak @jokowi dr pd bapak sibuk memikirkan anak anak ISIS. Tolong iba sekali ini saja dg anak anak di Nusantara yg masih mau setia berucap Pancasila dan menjunjung Toleransi</t>
  </si>
  <si>
    <t>Panglima TNI bersama Kapolri Tinjau Lokasi Observasi WNI di Pulau Sebaru</t>
  </si>
  <si>
    <t>RT @republikaonline: WNI kru kapal World Dream saat ini menuju lokasi observasi Corona Pulau Sebaru Kecil.</t>
  </si>
  <si>
    <t>Pppp, ak baru bikin secreto ayo isi ngak maw taw 😠  drop link punya kalian juga nanti ak isis 😚</t>
  </si>
  <si>
    <t>RT @geloraco: Positif Virus Corona, WNI Di Taiwan Ini Malah Live Dan Bermain Tik Tok</t>
  </si>
  <si>
    <t>@Hilmi28 Rezim Modi Dan RSS laknatullah..mereka Akan membayarnya suatu harik, sama seperti ISiS Dan Pemberontak di Suriah yang Allah SWT permalukan dengan kekalahan oleh Russia</t>
  </si>
  <si>
    <t>Pak @mohmahfudmd mending urus yg begini drpd urus anak isis RT @BBCIndonesia: [Video] Iwan hidup tanpa kewarganegaraan di Malaysia. Keluarganya menemukannya dari video liputan BBC. Saksikan pertemuan ibu dan anak yang sudah terpisah selama 15 tahun, dan kronologi selengkapnya di YouTube BBC News Indonesia</t>
  </si>
  <si>
    <t>RT @antaranews: Video: Begini skema evakuasi 188 WNI ke Pulau Sebaru Kecil</t>
  </si>
  <si>
    <t>RT @pakBuena: @motherofstar1 @mohmahfudmd SELAMAT DATANG ANAK-ANAK ISIS INDONESIA</t>
  </si>
  <si>
    <t>Ribuan ISIS bakal Banjiri Indonesia, Mahfud MD Tidak Salah</t>
  </si>
  <si>
    <t>@baewinjun indonesia 🤗 masih wni juga haha</t>
  </si>
  <si>
    <t>Evakuasi 188 WNI ABK World Dream Selesai: Semuanya Dinyatakan Negatif Corona</t>
  </si>
  <si>
    <t>RT @3_devout: @yesmar_banu Ada satu again om 😘👌</t>
  </si>
  <si>
    <t>@ajiiinugraha dengkul isis</t>
  </si>
  <si>
    <t>@CNNIndonesia @ChristWamea loh katanya wni kebal corona? apa dia gk berdoa jd ke infeksi?</t>
  </si>
  <si>
    <t>Video: Begini skema evakuasi 188 WNI ke Pulau Sebaru Kecil</t>
  </si>
  <si>
    <t>WNI kru kapal World Dream saat ini menuju lokasi observasi Corona Pulau Sebaru Kecil.</t>
  </si>
  <si>
    <t>RT @Metro_TV: Jelang kedatangan 188 WNI ABK Kapal World Dream, sejumlah logistik mulai didatangkan ke Pulau Sebaru Kecil. Mulai dari bahan makanan hingga genset. #HeadlineNewsMetroTV</t>
  </si>
  <si>
    <t>Positif Virus Corona, WNI Di Taiwan Ini Malah Live Dan Bermain Tik Tok</t>
  </si>
  <si>
    <t>RT @Jokowinomics_id: Rilis: WNI ABK MV. World Dream yang dievakuasi sejumlah 188 orang terdiri dari 172 laki-laki dan 16 perempuan, seluruhnya telah dinyatakan negatif Covid-19.  #CoronaVirus #KRIWorldDream</t>
  </si>
  <si>
    <t>Pengamat Nilai Pemerintah Berhak Menolak WNI Eks ISIS #isis #merahputih #wni</t>
  </si>
  <si>
    <t>@taksukabegitu @permadiaktivis Analogi teroris kepale loe? Ente tau gak siapa yang bang @permadiaktivis maksud sesama muslim? Emang menurut ente ISIS mengatasnamakan teroris? Membantai umat muslim di Irak dan Syria...?</t>
  </si>
  <si>
    <t>RT @KompasTV: 8 WNI Positif Corona di Kapal Diamond Princess Tak Ikut Pulang Tetap Dirawat di Jepang</t>
  </si>
  <si>
    <t>@amrudinnejad_ @RizmaWidiono @jokowi @mohmahfudmd @WahabisLokal @GunRomli @adtaufiq @kirekswasta @03__nakula @GagakNeww2 @triwul82 @rizamsyafiq @AhlulQohwah @Rahman_Nashir @LuqmanBeeNKRI Apapun alasannya saya menolak anak ex isis difasilitasi negara....masih banyak rakyat yg setia pada NKRI yg hidup kelaparan..</t>
  </si>
  <si>
    <t>@frochaena Secara historis, memang boleh dan tidak perlu dinikahi. Fun fact: ISIS re-started slavery and get sex slaves as a result.</t>
  </si>
  <si>
    <t>RT @xiyulinglee: Hahha..MR @RahmayadiEdy masa Ibadah dilarang??? Makanya Sadarlah sbg WNI,SAKIT RASANYA.ya?? Mekah itu ada di Negara ARAB yg berkuasa tentu RAJA Arab Suka2 Arab dong😝,bukan @RahmayadiEdy,belum Paham??Gimana tuh umat Minoritas mau Bangun Rumah Ibah di Negaranya sendiri di LARANG!</t>
  </si>
  <si>
    <t>Video: Menlu upayakan WNI yang sudah tiba di Arab Saudi bisa tetap umrah.</t>
  </si>
  <si>
    <t>Kemlu Konfirmasi 1 WNI di Taiwan Terjangkit Virus Corona</t>
  </si>
  <si>
    <t>RT @antaranews: Terkait evakuasi WNI Diamond Princess, Rachamt Gobel: Ketidaktegasan pemerintah akan timbulkan was-was bagi para awak kapal.</t>
  </si>
  <si>
    <t>"Agar jemaah yang sedang melakukan ibadah dapat melanjutkan ibadah atau ziarahnya," kata Muhadjir di Kantor Kemenko PMK, Jakarta, Kamis (27/2/2020).</t>
  </si>
  <si>
    <t>Pemerintah Segera Evakuasi WNI di Diamond Princess  #PDIPerjuangan</t>
  </si>
  <si>
    <t>Kalau anak ex ISIS sama berbahayanya dengan pria ex ISIS, maka anak koruptor juga sama berbahayanya dengan koruptor. Kok aku jadi ingat stigma anak PKI ya....</t>
  </si>
  <si>
    <t>OPERASI KEMANUSIAN EVAKUASI ABK WNI MV WORLD DREAM OLEH TNI AL . Evakuasi 188 orang WNI ABK MV World Dream telah dilaksanakan dengan aman di Perairan Selat Durian dari MV World Dream ke KRI DR Suharso.</t>
  </si>
  <si>
    <t>@ylchaniago Nah yg jilbaban itu juga bukan WNI mbak...? Lalu kemarin saya Baca masih ada WNI di Wuhan yg kesepian dan ingin pulang...bener nggak mbak...?</t>
  </si>
  <si>
    <t>RT @detikcom: Pemerintah telah menyiapkan pulau kosong bernama Sebaru untuk mengevakuasi 270 WNI dari kapal pesiar World Dream terkait virus Corona (COVID-19). Menteri Kesehatan, Terawan Agus Putranto, menyebut bahwa fasilitas di Pulau Sebaru jauh lebih baik dari Natuna.</t>
  </si>
  <si>
    <t>@ISIS_Balik_NO @Lundaye1 Jagalah napsu jangan kau nodai. Jagalah napsu kebanyakan cahaya setan 😁😁😁</t>
  </si>
  <si>
    <t>Panglima TNI dan Kapolri Tinjau Observasi WNI di Pulau Sebaru @PolhukamRI @Kemhan_RI @Puspen_TNI @BIN_Official @DivHumas_Polri @NTMCLantasPolri @TMCPoldaMetro @PolriMultimedia</t>
  </si>
  <si>
    <t>Ibu sama anak akhirnya ketemu setelah 15 tahun berpisah, awalnya bisa ketemu karena Iwan diliput oleh @BBCIndonesia terkait status WNI yang tidak bisa diperolehnya karena tidak punya akte lalu ada keluarganya yg mencari &amp; akhirnya ketemu, nangis aku! 😭</t>
  </si>
  <si>
    <t>@Nouna_jessica94 Jujur yg pak presiden. Apabila anak2 ISIS di pulangkan ke indonesia.. Berarti Pak Presiden adalah pendukung ISIS. keluarga SAYA mendukung bapak 2 periode. Tp kenapa ex ISIS di beri fasilitas padahal mereka Teroris. Apakah Indonesia markas ISIS di dunia?</t>
  </si>
  <si>
    <t>@do_ra_dong  Yang ini bukan min?</t>
  </si>
  <si>
    <t>@K3muning_1 Amin rais meminta tolong pada BEBEK LUMPUH ? @hanumrais saya serius NANYA</t>
  </si>
  <si>
    <t>@777juniblack Mereka eks WNI... Jadi Negara gak wajib memperhatikan masa depan mereka yg dengan bangga bergabung dg kelompok teroris</t>
  </si>
  <si>
    <t>RT @awan137: @Lady_Zeebo @Mbelgdez11 @mohmahfudmd Lihat ini pak @jokowi sebelum memulangkan eks WNI pro ISIS</t>
  </si>
  <si>
    <t>RT @AkuPamuji: @MariawanDede @wahhabicc_jabar @jokowi @mohmahfudmd Intoleransi dan radikalisme makin marak terjadi sejak paham ideologi wahabi dibiarkan berkembang di masyarakat, dan ideologi wahabi inilah yg menjadi dasar ideologi ISIS, HTI dan kelompok pengusung khilafah lainnya.</t>
  </si>
  <si>
    <t>@Lady_Zeebo @Mbelgdez11 @mohmahfudmd Lihat ini pak @jokowi sebelum memulangkan eks WNI pro ISIS RT @Aryprasetyo85: Pangapunten Ndoro @ganjarpranowo Mohon di bantu Bpk ini dgn memberi pekerjaan Supaya si Bpk gk melakukan lgi hal yg sama di kemudian hari🙏🙏 Seorang bapak penjual es gepeng keliling nekat mencuri 1 kotak susu bayi SGM yang harganya Rp 37.000 di Kuripan Lor Pekalongan Selatan.</t>
  </si>
  <si>
    <t>Terkait evakuasi WNI Diamond Princess, Rachamt Gobel: Ketidaktegasan pemerintah akan timbulkan was-was bagi para awak kapal.</t>
  </si>
  <si>
    <t>@MariawanDede @wahhabicc_jabar @jokowi @mohmahfudmd Intoleransi dan radikalisme makin marak terjadi sejak paham ideologi wahabi dibiarkan berkembang di masyarakat, dan ideologi wahabi inilah yg menjadi dasar ideologi ISIS, HTI dan kelompok pengusung khilafah lainnya.</t>
  </si>
  <si>
    <t>Orang yang Dikarantina Rentan Mengalami Gangguan Psikologis • #InfoKesehatan #InfoDokter #Psikologi #Karantina Sejumlah WNI dipulangkan pada hari Sabtu, 15 Februari 2020 setelah menjalani karantina di pulau Natuna.…</t>
  </si>
  <si>
    <t>@GunRomli Emang dia faham agama? Saya sangsi.....</t>
  </si>
  <si>
    <t>Hahha..MR @RahmayadiEdy masa Ibadah dilarang??? Makanya Sadarlah sbg WNI,SAKIT RASANYA.ya?? Mekah itu ada di Negara ARAB yg berkuasa tentu RAJA Arab Suka2 Arab dong😝,bukan @RahmayadiEdy,belum Paham??Gimana tuh umat Minoritas mau Bangun Rumah Ibah di Negaranya sendiri di LARANG! RT @kangdede78: Kasian warga Sumut pnya Gubernur Sontoloyo seperti ini. Saudi Setop Umrah, Gubsu Edy: Masa Ibadah Dilarang</t>
  </si>
  <si>
    <t>RT @KakekHalal: Instruksi..!! Kepada seluruh anggota Bang Japar #FI @BangJapar_FI bila menemukan spanduk seperti ini dimedia sosial Facebook, Instagram &amp; Twitter.. mohon agar difoto, data lokasinya, copot, lapor dan serahkan pada saya.. Nanti kita bakar bersama..</t>
  </si>
  <si>
    <t>RT @AnakKolong___: FELIX SIAUW "AGEN" ISIS | #MenolakLupa BAJINGAN KHILAFAH @felixsiauw aktif mempropagandakan jihad dukung ISIS di Ghouta, Allepo &amp; wilayah² Syiria lainnya. 4 th "kami" menunggu fitnah dari BACOT FELIX TERUNGKAP. Kapan bajingan khilafah ini diringkus ? | @mohmahfudmd</t>
  </si>
  <si>
    <t>@ISIS_Balik_NO @Lundaye1 Mesti aagim iki. Bisa jaga hati g bisa jaga napsu</t>
  </si>
  <si>
    <t>@ISIS_Balik_NO @LisaAmartatara3 Hahahaaa dibungkus agama akthi</t>
  </si>
  <si>
    <t>Sangat tak bijak bila membuka pariwisata dari China saat virus Corona masih mengerikan. Sbg pembanding, Saudi Arabia bahkan tak menerima WNI umroh utk cegah penyakit Covid-19, meskipun belum ada kasus 1 pun di Indonesia. Bagaikan "impor" Covid-19 #OmnibusLawHabisiPribumi RT @OposisiCerdas: Kaget Influencer Diguyur Miliaran, Gerindra: Ini Hampir Sebesar 'Aibon' Di DKI</t>
  </si>
  <si>
    <t>RT @V_Stone_Kardol: Terimakasih Pak @jokowi atas kepedulian untuk melindungi 267 Juta penduduk Indonesia. Mohon Pak Jokowi Perintahkan kpd Menteri Bapak @mohmahfudmd dkk untuk menghentikan proses pemulangan para Eks WNI Eks ISIS ke NKRI ini. ingat Pak, kelak mereka bs lebih kejam dr Corona Pak. 🙏</t>
  </si>
  <si>
    <t>RT @cnbcindonesia: Menlu Ungkap Dalih 2 WNI ABK Diamond Princess tak Dievakuasi</t>
  </si>
  <si>
    <t>WNI yang Kena Virus Corona di Taiwan Malah Main TikTok Saat Diisolasi Santuy memang #IndonesiaBanget 😊  lewat @idntimes</t>
  </si>
  <si>
    <t>@fadlizon Anda sedang dimusuhi @prabowo ?</t>
  </si>
  <si>
    <t>@SalmaBrecht @jokowi 🗣..Wooii... !! mereka sdh bukan WNI lgi.. mereka sdh tak ingin kembali.. mereka sdh siap mati.. demi kesesatan yg diyakini.. Jdi jng palingkan muka negeri ini.. dari kewajiban menjaga hidup anak negeri..</t>
  </si>
  <si>
    <t>@LisaAmartatara3 Yawloh.....pemegang SURGA..... Jadi menurut ente perempuan semua harus spt ini? Mereka Pelacur...ughty</t>
  </si>
  <si>
    <t>Biasanya jalur antrian pemeriksaan paspor untuk WNI dipenuhi oleh rombongan jamaah umrah setiap harinya ada ratusan penumpang. Hari ini tak terlihat lagi antrian rombongan jamaah umrah. Sementara diluar masih banyak jamaah umrah yang terlantar karena penerbangan di batalkan.</t>
  </si>
  <si>
    <t>RT @Ad1t77: @Takviri Anak2 ex wni isis d selamatkan, giliran anak2 yg kelaparan d negrinya sendiri smp makan sabun malah d biarkan. Priode ke dua @jokowi makin mundur kebelakang, intoleran makin d kembang biakan.</t>
  </si>
  <si>
    <t>@permadiaktivis Eh antek zionis jangan pura-pura tidak tau siapa yang bermain di belakang isis</t>
  </si>
  <si>
    <t>RT @kemenkopmk: Setelah melalui serangkaian proses koordinasi yg dilakukan Menko PMK Muhadjir Effendy bersama Menteri Kesehatan, Kepala BNPB, Panglima TNI, perwakilan Kemenlu, serta beberapa pihak terkait, pemerintah hari ini, Rabu (26/2), melakukan evakuasi thd 188 WNI awak kapal World Dream.</t>
  </si>
  <si>
    <t>@hidayat_y28 @AbrarUtsman yg anaknya teroris ISIS mlh diurusi</t>
  </si>
  <si>
    <t>RT @Wilson_P535: @KakekHalal @jokowi @PolhukamRI @mohmahfudmd Lhoo...apa lagi sih ? Bukankah Presiden sudah mengatakan tidak akan menerima atau bahkan memulangkan eks WNI yang bergabung dengan ISIS ? Piye toh pak Menko @mohmahfudmd ?</t>
  </si>
  <si>
    <t>@kumparan Iyeee, masih bebas Ntar WNI pergi umroh kesono ketularan Balik ke INA dan nular kemana mana Ntar yg repot siapa? So pasti bukan elo, taik . Lagian pak presiden udah memaklumi pembatasan yg dilakukan Arab Saudi.</t>
  </si>
  <si>
    <t>WNI tak memiliki dokumen legal bekerja sebagai caregiver</t>
  </si>
  <si>
    <t>RT @KompasTV: Pemerintah Pastikan Anak WNI Eks ISIS Dipulangkan ke Indonesia</t>
  </si>
  <si>
    <t>TNI AL FASILITASI EVAKUASI WNI ABK MV WORLD DREAM TNI AL memfasilitasi evakuasi 188 WNI Anak Buah Kapal (ABK) MV. World Dream dengan menggunakan KRI dr. Soeharso-990 di Perairan Selat Durian, Kepulauan Riau, pada…</t>
  </si>
  <si>
    <t>@Adjoery1 @singdorukun @Restichayah Dah aku bilang Kolom Perjanjian lama buat Israel, yg Perjanjian baru masa Yesus tdk haram, yg haram hati dan kata2 yg keluar, keliatan bgt kamu tdk tau apa2, hanya kopas dr org, aq gak mau debat Agama disini, dah basi 😁 Urusin aja Kamu punya dah dan Junjungan km ISIS 😁😁😁</t>
  </si>
  <si>
    <t>@AndryWaseso Tahun segitu ormas yg skrg dibilang paling moderat &amp; penjaga nkri, justru mungkin jadi milisi paling berdarah....melebihi alqaeda &amp;amp; isis saat ini</t>
  </si>
  <si>
    <t>Bodoh! WNI yang Kena Virus Corona di Taiwan Malah Main TikTok Saat Diisolasi  via @idntimes</t>
  </si>
  <si>
    <t>Media Taiwan membahas tentang WNI yg positif Covid-19 tapi livestream FB dan tiktok. Sedih akutuuu sebagai warga Indonesia🥺🥺🥺</t>
  </si>
  <si>
    <t>@SayurLodehBTW2 Yang ada di dalam video itu bukan WNI ya mas 😅</t>
  </si>
  <si>
    <t>@BoysLoveFess Dia masih wni kah?</t>
  </si>
  <si>
    <t>@jokowi kesehatan ok lah pak tp keselamatan perlu di pertanyakan, karena wacana pemerintah yg bersedia menampung anak2 eks WNI yg jadi kombatan ISIS wujud mereka mungkin imut2 tp mereka sudah terdidik untuk membunuh</t>
  </si>
  <si>
    <t>@citmory Trs lu prcaya muka ganteng gua muka isis?</t>
  </si>
  <si>
    <t>Menlu Ungkap Dalih 2 WNI ABK Diamond Princess tak Dievakuasi</t>
  </si>
  <si>
    <t>@yolskey Lo fokus dari berita satu negara aja tanpa mau dengerin berita dari negara lo sendiri apa negara lain dan kalau emang indo ada yg kena dan gak kedeteksi karena kurangnya kesadaran masyarakat, kenapa pas ada dikapal jepang cuma WNI yg sehat??</t>
  </si>
  <si>
    <t>RT @chairulachir: Cc pak @mohmahfudmd I'm Bukan anak ISIS</t>
  </si>
  <si>
    <t>Kabar pemulangan WNI eks ISIS ke tanah air sempat diperbincangkan. Bagaimana pemulangan mereka ditilik melalui hak sebagai warga negara dan hak sebagai manusia? Simak opini berikut ini,  -Semangat Berbagi dan Menginspirasi-</t>
  </si>
  <si>
    <t>Selagi BNPB fokus sama Banjir dan evakuasi WNI dari kapal Dream World Jepang (plus karantinanya sepulangnya ke Indonesia), ini ada hotline dari @KemenkesRI Harusnya memang Kemenkes dan @BNPB_Indonesia tetap vokal menyuarakan tindakan preventif #COVID19 RT @KemenkesRI: Arus informasi mengenai kasus #coronavirus begitu masif, supaya informasi yg beredar tidak simpang siur dan tidak menimbulkan hoax sehingga menciptakan keresahan pada masyarakat, @KemenkesRI menyediakan hotline #coronavirus di nomor berikut. Jangan lupa disimpan ya #Healthies!</t>
  </si>
  <si>
    <t>@richgwend Gak sama sekali. Saya MENGUTUK KERAS. Termasuk mengutuk ISIS yg mengatasnamakan Islam, dsb. Anda tidak ingin mengutuk aksi di India?</t>
  </si>
  <si>
    <t>Cc pak @mohmahfudmd I'm Bukan anak ISIS RT @hidayat_y28: Anak SD berjualan donat di POM Bensin utk menyambung hidup Semoga dimudahkan rizkinya, amin...</t>
  </si>
  <si>
    <t>Cari la pasal ngan aku kalau nak kena maki</t>
  </si>
  <si>
    <t>@SaatTobat @Ngk0ng__R__R @mohmahfudmd @jokowi Komisi perlindungan anak ISIS? Bubarkan KPAI.</t>
  </si>
  <si>
    <t>@ISIS_Balik_NO @SammiSoh wkwkk , jadi penyakit akut sekali masuk circlenya ya 🤣🤣</t>
  </si>
  <si>
    <t>Pengutamaan bahasa Indonesia itu meliputi komunikasi resmi, administrasi publik, nama bangunan, merek dagang, nama lembaga usaha dan lembaga pendidikan, organisasi yang didirikan oleh WNI atau berbadan hukum Indonesia, informasi produk, spanduk, dan alat informasi lainnya.</t>
  </si>
  <si>
    <t>RT @PEDOMAN_id: √ TNI AL Fasilitas Evakuasi WNI ABK MV World Dream, Seluruh WNI ABK Negatif Cofid-19 cc @fadjroeL @JubirPresidenRI @PedomanNEWS</t>
  </si>
  <si>
    <t>RT @berlianidris: Sudah betul langkah pakde @jokowi menganggarkan Rp 72 M utk influencer mengatasi dampak virus Corona, sementara @KemenkesRI menghemat 1 M dgn tdk melakukan pemeriksaan swab pada WNI yg dikarantina di Natuna. Uangnya ada kok, tinggal kita mau hamburkan atau tidak. We ❤ Pakde</t>
  </si>
  <si>
    <t>Menlu Retno Marsudi menyatakan evakuasi WNI dari Diamond Princess bersifat suka rela</t>
  </si>
  <si>
    <t>@BbykimV Ur not alone :') my religion too. Banyak banget orang di luar sana yg rasis kalo ketemu org muslim bilangnya takut di bom lah ISIS lah😭😭 sedih aja gitu padahal kita sama sama manusia cuma beda kepercayaan tapi sampe sebenci itu😭😭😭</t>
  </si>
  <si>
    <t>@ISIS_Balik_NO @Donal_golan @fahiraidris @BangJapar_FI @DPDRI cantik tau om 🤣😂🤦🤭</t>
  </si>
  <si>
    <t>@Ngk0ng__R__R @mohmahfudmd @jokowi Ya benar, anak WNI wajib dilindungi. Tapi tidak utk anak yg ortunya sdh bakar pasport dan mengkhianati Pancasila, tidak peduli dgn alasan "ditipu" atau tidak!</t>
  </si>
  <si>
    <t>RT @Ari3Pras: Sudahlah, Pak @jokowi dan Prof @mohmahfudmd bertindaklah nyata selamatkan anak2 korban kemiskinan. Mengentaskan dr kemiskinan &amp; menyelamatkan masa depan mereka jauh lebih mulia dan bermanfaat dibanding BUANG2 WAKTU memikirkan anak2 ISIS EX-WNI.</t>
  </si>
  <si>
    <t>Berikut keadaan psikologi mereka yang saat remaja dipenuhi ingatan-ingatan pengalaman menembaki orang dengan AK47.</t>
  </si>
  <si>
    <t>Tiga WNI yang bekerja di kapal pesiar Diamond Princess dilaporkan positif tertular Virus Corona (COVID-19), selengkapnya di</t>
  </si>
  <si>
    <t>@MikirSok Gua ga bilang salah agamanya tapi isis memang beragama islam dan memakai alasan agama untuk membinasakan yang gua sendiri ga paham bener atau salah apa yang mereka pahami.</t>
  </si>
  <si>
    <t>RT @thedufresne: 16 Feb 2017, 3 tahun yg lalu. Anies: "Kirain sudah bebas banjir." Disambut gelak tawa pendukungnya. Sandi: "Genangan." Anies. "Oh genangan." Soal solusi banjir, Anies: "Aliran ke laut saja belum cukup. Tetap dimasukkan ke bumi (tanah) dan bumi di Jakarta memerlukan air."</t>
  </si>
  <si>
    <t>Lebih dari 1.000 WNI Pernah Gabung ISIS</t>
  </si>
  <si>
    <t>@MikirSok Ya kkk itu emang agnostic dan 666 itu pemuja setan. Mereka memang memakai paham mereka untuk melawan orang yang berlainan paham. Sama kayak isis, memakai agama islam sebagai alasan untuk membinasakan.</t>
  </si>
  <si>
    <t>Harusnya pak @mohmahfudmd urusin dulu yang beginian. Jangan ujuk-ujuk urusin ISIS. RT @DamarJuniarto: Duh siapa ini yg ngupas bawang? 😭😭😭 Mata jadi pedih, keluar air mata... Kisah Iwan, kisah ibunya. Kisah pelarian yang berujung kembali bersama. Terima kasih BBC dan jurnalis yang bekerja hingga Iwan bisa bersama ibunya kembali. Respek!</t>
  </si>
  <si>
    <t>8 WNI Positif Corona di Kapal Diamond Princess Tak Ikut Pulang Tetap Dirawat di Jepang</t>
  </si>
  <si>
    <t>@7endralKad_run @Donal_golan @fahiraidris @BangJapar_FI @DPDRI Tau sendiri kelakuan si Gembrot berlemak</t>
  </si>
  <si>
    <t>Membela Guru dibotakin karena lalai sebagai Pembina Pramuka, bukan berarti membela kelalaiannya. Membela anak-anak ISIS untuk dipulangkan, bukan berarti setuju dengan terorisme. Membela anak-anak PKI yang didiskriminasi bukan berarti setuju dengan PKI dsb. RT @fadillah_acmd: @angga_ramdhana Nah ini juga bahaya. Berfikir adil belum tentu sepakat. Kalau gua membela napi koruptor di pengadilan apa gua sepakat dengan perilakunya? Heheh</t>
  </si>
  <si>
    <t>@moonzizyaa Dan gw jga masi bingung dia bilang #Hindu_Is_Terrorist , emng isis agama ap? Dan apakah belia bukan terroris?</t>
  </si>
  <si>
    <t>RT @WartawanPensiun: Sementara di dalam negeri, rakyat begitu sulitnya untuk sekedar membeli masker😭 (Jangankan bantuan, mau beli ajah susahnya minta ampun)👇</t>
  </si>
  <si>
    <t>RT @Aryprasetyo85: Pangapunten Ndoro @ganjarpranowo Mohon di bantu Bpk ini dgn memberi pekerjaan Supaya si Bpk gk melakukan lgi hal yg sama di kemudian hari🙏🙏 Seorang bapak penjual es gepeng keliling nekat mencuri 1 kotak susu bayi SGM yang harganya Rp 37.000 di Kuripan Lor Pekalongan Selatan.</t>
  </si>
  <si>
    <t>@Aryprasetyo85 Salut dengan bapak Polisinya</t>
  </si>
  <si>
    <t>Jelang kedatangan 188 WNI ABK Kapal World Dream, sejumlah logistik mulai didatangkan ke Pulau Sebaru Kecil. Mulai dari bahan makanan hingga genset. #HeadlineNewsMetroTV</t>
  </si>
  <si>
    <t>Pemerintah Indonesia memutuskan menolak memulangkan ratusan WNI eks ISIS ke Indonesia, Keputusan diambil usai rapat kabinet yang dipimpin Presiden Joko Widodo. Kemudian pemerintah akan menghimpun data orang-orang yang diduga bergabung dengan ISIS. #IniSiklus #TerjadiPenting</t>
  </si>
  <si>
    <t>@Datuakpanduko2 ISIS juga pembunuh goblokkk,yg ngebom gereja juga pembunuh goblokkk itu kebanyakan juga oknum muslim !!</t>
  </si>
  <si>
    <t>@dieteariesta rekening Deposito Berjangka perorangan WNI: Kartu identitas (KTP/Paspor), NPWP, Menyerahkan identitas lain yang mencantumkan nama &amp;amp; alamat yang sama dengan KTP untuk calon nasabah yang KTP daerahnya berbeda dengan daerah cabang tempat membuka (2/5) ^Alif</t>
  </si>
  <si>
    <t>@rezza_rizaldy HTI ada di Indonesia mungkin belasan taun dan msh ada jg org2nya sampe skrg, tp ga ada tuh agenda kyk gtu. Kalau di sandingkan sm PKI atau ISIS, oke lah sepakat bro hehe..</t>
  </si>
  <si>
    <t>@Ngk0ng__R__R @mohmahfudmd @jokowi Nah .. Fixed kan? Kalau sdh bukan WNI berarti kan gak harus dilindungi Pemerintah.</t>
  </si>
  <si>
    <t>@subtanyarl Karna ak beda sendiri ak WNA mereka WNI huhuhu sampe benci bgt sm negara asli ak dlu skrng enggk hehe</t>
  </si>
  <si>
    <t>RT @RayvalAbdi: Tak semua Islam itu ISIS, tak semua Kristen itu KKK, tak semua Hindu itu Vishva Hindu Parishad, tak semua Buddha itu nasionalis Myanmar, tak semua Yahudi itu Zionis. Berhentilah menggeneralisasi sesuatu, bijaklah dalam berkomentar.</t>
  </si>
  <si>
    <t>@Donal_golan @ISIS_Balik_NO @fahiraidris @DPDRI Songongnya telah membuat dirinya seolah-olah manusia paling hebat di DKI.</t>
  </si>
  <si>
    <t>Sementara di dalam negeri, rakyat begitu sulitnya untuk sekedar membeli masker😭 (Jangankan bantuan, mau beli ajah susahnya minta ampun)👇</t>
  </si>
  <si>
    <t>RT @MuhSujarw4: @jokowi Katanya ISIS EKS WNI. artinya bukan WNI lagi. Lha wong yg jelas2 WNI masih banyak kok yg terlantar. Presiden kok molah malih.</t>
  </si>
  <si>
    <t>Kapolri dan Panglima TNI hadir di Pulau Sebaru menggunakan KRI Jon Lie 358 milik TNI AL. Pulau Sebaru ini nantinya akan menjadi tempat karantina dan observasi untuk 188 WNI yang merupakan ABK dari kapal pesiar World Dream.</t>
  </si>
  <si>
    <t>Kapolri Jenderal Polisi Drs. Idham Azis bersama Panglima TNI Marsekal TNI Hadi Tjahjanto meninjau langsung kesiapan lokasi evakuasi, karantina dan observasi warga negara Indonesia (WNI) di Pulau Sebaru, Kepulauan Seribu, Jakarta Utara, Kamis (27/2).</t>
  </si>
  <si>
    <t>RT @sisiroooo: WNI yg disini kena virus corona dia ceria banget, kita yg ngeliatnya nangis kejer 😭😭 Mba nya kuat banget 😭</t>
  </si>
  <si>
    <t>@arek_thampan @V_Stone_Kardol @mohmahfudmd Rupanya kamu mengalihkan pembicaraan, ya sudah terserah kamu tapi yang jelas banyak orang Indonesia yang menolak isis eks wni</t>
  </si>
  <si>
    <t>RT @bgrti0: Takde ke sesiapa yg nak sponsor dorang ape ape?? mana Burger Ramly, Milo, Powerbank Xioami, Pizza Cleopatra, Kedai pakaian Hari Hari ???</t>
  </si>
  <si>
    <t>@Donal_golan @ISIS_Balik_NO @fahiraidris @BangJapar_FI @DPDRI DPD Rasa Satpol PP</t>
  </si>
  <si>
    <t>RT @rsydanz: "Private college mahal lah" "Matriks susah" "Diploma 3 tahun, lama" "Form 6, kau nak sekolah balik ke?" Tak kisah kau study dekat mana sekalipun, yang penting kau usaha, kau dapatkan 4flat dan dapat happykan parents kau. Tu pun dah kira cukup. Pedulikan apa orang kata pada kau.</t>
  </si>
  <si>
    <t>RT @Donal_golan: Bu @fahiraidris sebagai anggota @DPDRI telah menyalahgunakan kewenangan jabatannya untuk menginstruksikan pada ormas. Seharusnya dia berkoordinasi dan memintanya pada Satpol-PP untuk mencopot spanduk. Bukan pada ormas. Dalam name Twitter @fahiraidris jelas memakai nama DPD RI.</t>
  </si>
  <si>
    <t>RT @Donal_golan: Pencopotan spanduk adalah tugasnya Satpol-PP (DKI) dibawah perintah Walikota / Gubernur. Bukan tugasnya ormas @BangJapar_FI, apa lagi ada instrumen dari anggota @DPDRI . Adapun tugas dan fungsi DPD RI sebagai berikut 👉</t>
  </si>
  <si>
    <t>RT @MaisarahMahmud: Hai everyone :-) Kalau you guys tengah cari bilik sewa dekat Kuantan, dapat kerja dkat sini ke, you guys boleh cari bilik sewa dekat AM Zimmer :) AM Zimmer mempunyai lebih daripada 50 bilik sewa fully furnished di sekitar Kuantan terutama di Indera Mahkota :)</t>
  </si>
  <si>
    <t>RT @Donal_golan: Jabatan Bu @fahiraidris itu adalah seorang anggota dewan DPD RI. Tugasnya bukan sebagai instrumen untuk mengurusi spanduk. Apa lagi dia menginstruksikan pada ormas @BangJapar_FI secara publik. kami menuntut kepada ketua @DPDRI segera menindaklanjuti pelanggaran etik pada beliau.</t>
  </si>
  <si>
    <t>@Nouna_jessica94 Weleehh...Kemaren bilangnya pemerintah tidak akan memulangkan EKS WNI PRO ISIS...kok, sekarang berubah lagi?? Ada apa dgn @jokowi , @mohmahfudmd ??</t>
  </si>
  <si>
    <t>@jokowidohoax @detikcom Buat gue ga perlu terisi otak menjijikan spt yg lu punya, lbh baik dikit tp "clean minded". Faham? Sesimple ini Lu ga bs mikir &gt; yg dihrapkn itu hukum yg brlaku universal artinya brlaku tuk smua baik pmbuat, pmerintah, pnegak hukum, n sluruh WNI n WNA yg lg tinggal di Indo</t>
  </si>
  <si>
    <t>RT @__MV_llestari__: Mereka adalah koban, mereka hanya kena akibat ataupun mereka justru bagian tak terpisahkan dari ISIS, sebaiknya keluar dari sebuah proses pengadilan yang jujur dan independen. Mereka akan ditampung dimana, dipenjara dimana, biarkan pengadilan berbicara.</t>
  </si>
  <si>
    <t>RT @FaktaBukanAuta: Kota Melaka tak kalah kerana teknologi persenjataan. Kita kalah kerana adanya Si Kitol. Renungi sejarah.</t>
  </si>
  <si>
    <t>@farabiillyas oh iya kurang gue ngejelasinnya. maksud gue, yang salah itu kelompok / individunya . bukan agamanya , dua yang ue sebut di atas kan selalu ngebawa agama. ISIS aja bisa di definisikan sebagai teroris atas organisasinya kok. kenapa ini di anggep teroris agamanya?</t>
  </si>
  <si>
    <t>RT @__MV_llestari__: ISIS Islamic State of Iraq and Suriah, kelompok pengejar mimpi khilafah. Mereka adalah kelompok masyarakat militan yang sengaja disuntikkan pada negara dimana kekacauan diciptakan demi sebuah keadaan seperti yang diinginkan negara sponsor.</t>
  </si>
  <si>
    <t>@BUKANgarangan @Lundaye1 Kalo begini jadi inget si aa....bisa jaga hati tapi kagak bisa jaga nafsu birahi 😂😂😂</t>
  </si>
  <si>
    <t>@narkosun Membuka ruang buat mereka eks isis,itu ancaman bagi kami yg lebih banyak pak @mohmahfudmd</t>
  </si>
  <si>
    <t>RT @__MV_llestari__: Demikianlah Eks WNI ISIS sebagai bagian dari keluarga Indonesia menemukan polemik. Perdebatan panjang tentang status mereka telah diulas banyak pakar. Pro dan kontra pandangan hukum maupun sisi kemanusiaan tentang apa yang seharusnya negara lakukan masih menyisakan gaung.</t>
  </si>
  <si>
    <t>WNI ABK Diamond Princess minta dievakuasi pemerintah</t>
  </si>
  <si>
    <t>@thanatosaragoto Isis kan emang dianggap teroris juga pel</t>
  </si>
  <si>
    <t>RT @goosbeen: @__MV_llestari__ @AnakKolong___ Sudahkah pemerintah bikin program recovery yg bisa menjamin bhw mereka meninggalkan ideologi yg sdh tertanam di benak anak" ISIS.. Tanpa itu saja juga memendam bara dlm sekam...ampun dah ah 😣</t>
  </si>
  <si>
    <t>RT @IndonesiaBaikId: Sampai saat ini pemerintah tlh mengevakuasi 188 WNI yg ada di kapal pesiar World Dream. Mereka akan diobservasi selama 14 hari @KemenkesRI @WHOIndonesia @KemensetnegRI #IndonesiaBaik #YangMudaSukaData #Miniclip #ProgramPemerintah #EvakuasiWNI #VirusCorona #NovelCoronavirus #nCoV</t>
  </si>
  <si>
    <t>kalau bisa -muslim radikalis diindo -hindu provoke di india -manusia2 isis timur tengah dikumpulin di satu pulau biarin mereka battle royal dipulau tersebut.</t>
  </si>
  <si>
    <t>Semangat tak padam walau positif virus corona..... Positif Virus Corona, WNI Di Taiwan Ini Malah Live Dan Bermain Tik Tok</t>
  </si>
  <si>
    <t>RT @kopipolitik1: 6) Lagi pula 243 WNi yang di Wuhan belum ada yang terinfeksi virus novel Corona. Meski begitu pemerintah tetap memastikan adanya lokasi dan waktu karantina sesaui prosedur WHO @DivHumas_Polri @Sudastika @AwangSancaka #Dinamika</t>
  </si>
  <si>
    <t>Pemerintah putuskan jemput segera 68 WNI di kapal diamond princess Jepang #Corona #wni</t>
  </si>
  <si>
    <t>wni yang stay di indo udah ada yg kena covid 19 ga</t>
  </si>
  <si>
    <t>RT @KompasTV: Menko PMK Muhadjir Effendy menjelaskan pemerintah telah memutuskan akan mengevakuasi WNI di Diamond Princess dengan menggunakan pesawat. Baca berita selengkapnya di</t>
  </si>
  <si>
    <t>@Ngk0ng__R__R @mohmahfudmd @jokowi KPAI ngotot banget sih sama anak ISIS</t>
  </si>
  <si>
    <t>RT @antaranews: ".. Posko Aju akan menjadi pusat bantuan bagi WNI yang berdomisili di Daegu dan Gyeongsangbuk-do,” #COVID19</t>
  </si>
  <si>
    <t>RT @My_LoveNebe: WNI yang Sudah Pegang Visa Umrah Tetap Kena Larangan Saudi  Untuk pencegahan.. penyebaran virus corona. Per hari ini, sebanyak 2.801 org di seluruh dunia meninggal akibat terinfeksi virus serupa SARS itu.</t>
  </si>
  <si>
    <t>Mengintip Isi Pulau Sebaru yang Menjadi Pusat Karantina Virus Corona Jumat, ratusan WNI akan berdatangan ke sana untuk dikarantina</t>
  </si>
  <si>
    <t>RT @kompascom: Menlu Retno mengaku telah bertemu Duta Besar Arab Saudi untuk RI pada Kamis siang.</t>
  </si>
  <si>
    <t>Evakuasi terhadap 68 warga negara Indonesia yang berada di kapal Diamond Princess di Yokohama, Jepang, terkait virus COVID-19, tinggal menunggu slot penerbangan. #ValidNih</t>
  </si>
  <si>
    <t>RT @cnbcindonesia: Saudi Larang Umroh, WNI Pegang Visa Tetap Tak Bisa Berangkat</t>
  </si>
  <si>
    <t>RT @cnbcindonesia: RI Segera Jemput WNI di Kapal Diamond Princess Naik Pesawat</t>
  </si>
  <si>
    <t>Menlu Retno mengaku telah bertemu Duta Besar Arab Saudi untuk RI pada Kamis siang.</t>
  </si>
  <si>
    <t>RT @cnbcindonesia: Garuda Siap Jemput WNI di Diamond Princess dan Arab</t>
  </si>
  <si>
    <t>RT @cnbcindonesia: Observasi WNI ABK di Diamond Princess di Mana, Pak Terawan?</t>
  </si>
  <si>
    <t>@detikcom Klo lihat orang macam gini pengen ane ketapel aja mulutnya. Namanya Arab Saudi jg pengen nyelametin warga mereka. Antisipasi kemungkinan buruk.. Klo sepulang dr sana WNI ketular warga negara lain terus blm boleh pulang suruh stay di Arab apa juga ga makin pusing 2 negara.. 🤫🤫🤫</t>
  </si>
  <si>
    <t>Operasi Kemanusian Evakuasi ABK WNI MV World Dream Oleh TNI AL -</t>
  </si>
  <si>
    <t>@zarazettirazr @tempodotco Ada seseorang WNI yg berada di arab saudi tdk boleh masuk ke indonesia oleh rezim,tp skrg ribuan WNI ditolak msk arab saudi,seseorang itu adlh Habib Rizieq Syihab,,wallohu a'lam</t>
  </si>
  <si>
    <t>@Takviri Untung ga jadi Wapres ( pdhal dulu saya ngarep). Coba blio jadi Wapres dgn kekuasaan lebih besar, bisa² semua kombatan asing eks ISIS diusung masuk ke sini semua.</t>
  </si>
  <si>
    <t>@idolfess Media mereka ttg islam. Media mereka yg ttg islam pasti jatohnya ke ISIS. Itu yg buat masyarakat sana sebagian punya pandangan jelek bgt ttg islam. Bahkan ada yg takut</t>
  </si>
  <si>
    <t>@fahiraidris Ada seseorang WNI yg berada di arab saudi tdk boleh masuk ke indonesia oleh rezim,tp skrg ribuan WNI ditolak msk arab saudi,seseorang itu adlh Habib Rizieq Syihab,,wallohu a'lam</t>
  </si>
  <si>
    <t>Positif Virus Corona, WNI Di Taiwan Ini Malah Live Dan Bermain Tik Tok #tiktok #RepublikMerdeka</t>
  </si>
  <si>
    <t>@SKS_Shivhare @BamKumarBJP Wah Wah Wah Akhir Mulla ki dhood ISIS tak hi hoti h 😂</t>
  </si>
  <si>
    <t>RT @HamdaanLW825Ky: Virus corona sudah ada sejak 2014 Dan itu terjadi justru di Arab Saudi. Artikel ini terbit pd 29 April 2014 Apakah msh akan selalu dikaitkan dgn Uyghur wahai yg terhormat bapak @hnurwahid ?</t>
  </si>
  <si>
    <t>RT @Metro_TV: #PrimetimeNewsMetroTV Pemerintah Indonesia memutuskan untuk memulangkan 68 WNI yang berada di Kapal Pesiar Diamond Princess yang berada di Yokohama, Jepang. Para WNI tersebut nantinya akan menjalani masa Observasi di Pulau Sebaru kecil selama 14 hari.</t>
  </si>
  <si>
    <t>RT @03__nakula: Kadrun ada yang mau bilang Arab Saudi anti Islam 🤭 #ISISGoToHell</t>
  </si>
  <si>
    <t>@Maryam59771644 @FloraSafira @RizmaWidiono Woi bujanginam , tole diho dohot pinahan ? Bagudung biang !!! Isis kau !!!</t>
  </si>
  <si>
    <t>@Ordinar25522630 @antithesis_4 Gue juga heran sama lu isis</t>
  </si>
  <si>
    <t>RT @padangkitacom: Pemerintah melaporkan akan melakukan evakuasi terhadap 68 WNI anak buah kapal (ABK) Kapal Pesiar Diamond Princess menggunakan pesawat. Kapal Diamond Princess saat ini masih berada bersandar di perairan Yokohama, Jepang.</t>
  </si>
  <si>
    <t>RT @BillTemporo: ISIS &amp; SURIAH TAKUT TERHADAP PASUKAN ARAB SAUDI</t>
  </si>
  <si>
    <t>@conan_idn Sama kayak isis</t>
  </si>
  <si>
    <t>RT @harun_saidi: Kisah Pilu WNI di Arab Saudi, Sakit Parah Hingga Dipulangkan ke Tanah Air</t>
  </si>
  <si>
    <t>@detikcom Kesehatan WNI kita semua di nomor berapa pak?</t>
  </si>
  <si>
    <t>@Aryprasetyo85 @ganjarpranowo @KPAI_official jangan urusi sperma di kolam renang aja ya....@mohmahfudmd daripada pelihara dan sibuk anak ISIS....di negeri kita ini banyak pak yg spt ini...@juliaribatubara bagaimana ini pak...</t>
  </si>
  <si>
    <t>#PrimetimeNewsMetroTV Pemerintah Indonesia memutuskan untuk memulangkan 68 WNI yang berada di Kapal Pesiar Diamond Princess yang berada di Yokohama, Jepang. Para WNI tersebut nantinya akan menjalani masa Observasi di Pulau Sebaru kecil selama 14 hari.</t>
  </si>
  <si>
    <t>@subtanyarl temen ada. adik(sodara) wna wni juga ada.</t>
  </si>
  <si>
    <t>@Wolverine_Nemo @agama_nusantara Mau ditambah anak2 isis lagi.. 😔</t>
  </si>
  <si>
    <t>WNI positif corona di Taiwan disebut sebagai TKW ilegal.</t>
  </si>
  <si>
    <t>RT @tempodotco: Menteri Luar Negeri Retno Marsudi mengatakan dari total 78 WNI yang menjadi kru Diamond Princess, hanya 68 yang akan dievakuasi.</t>
  </si>
  <si>
    <t>Antisipasi Virus Corona, Pulau Sebaru Jadi Tempat Observasi WNI Kru Kapal World Dream</t>
  </si>
  <si>
    <t>RT @antaranews_bali: Dua WNI kru Diamond Princess pilih tetap di Jepang: Menteri Luar Negeri (Menlu) Retno Marsudi mengatakan sebanyak dua warga negara Indonesia (WNI) yang menjadi Anak Buah Kapal (ABK) Diamond Princess memilih untuk tetap tinggal di Jepang."Berdasarkan…</t>
  </si>
  <si>
    <t>@jokowi Pak tolong di tingkatkan pengecekan terhadap masyarakatnya :( WNA aja pada mikir ga logis indo ga kena.. apalagi WNI ... bukan ingin.. naudzubillah 😣 tapi maksudnya berpikir lebih masuk akal bisa saja memang sudah ada tolong lebih tegas😭 @jokowi</t>
  </si>
  <si>
    <t>@Lini_ZQ Ada seseorang WNI yg berada di arab saudi tdk boleh masuk ke indonesia oleh rezim,tp skrg ribuan WNI ditolak msk arab saudi,seseorang itu adlh Habib Rizieq Syihab,,wallohu a'lam</t>
  </si>
  <si>
    <t>@Askrlfess Yo sak karep e lho, ya biar isis gulunya be e</t>
  </si>
  <si>
    <t>Narasumber wni di jepang suaranya kayak dubber kartun</t>
  </si>
  <si>
    <t>Ternyata Evakuasi WNi dari Diamond Princess Masih Tunggu Slot Penerbangan</t>
  </si>
  <si>
    <t>Pemerintah memastikan WNI terbebas dari virus corona #WaspadaCovid19</t>
  </si>
  <si>
    <t>RT @FArmijn: @CastilloJoshima Ngomong boleh bahasa Indonesia, tapi tetep..... WNA !!!! Disini kumpul2 lagi sesama ISIS yg WNI , sudah kebayang apa yg bakal terjadi . Kalau itu terjadi ...... SIAPA YANG MAU BERTANGGUNG JAWAB ???</t>
  </si>
  <si>
    <t>@KakekHalal @jokowi @PolhukamRI @mohmahfudmd Lhoo...apa lagi sih ? Bukankah Presiden sudah mengatakan tidak akan menerima atau bahkan memulangkan eks WNI yang bergabung dengan ISIS ? Piye toh pak Menko @mohmahfudmd ?</t>
  </si>
  <si>
    <t>RT @kopipolitik1: 3) Mulai dari penyediap tim medis, pesawat angkut WNI, peralatan medis, lokasi evakuasi dan observasi, hingga koordinasi dengan pihak pemerintah China dan juga daerah Wuhan. Pokoknya pemerintah telah readyb ambil tindakan penyelamatan l WNI @DivHumas_Polri #dinamika</t>
  </si>
  <si>
    <t>".. Posko Aju akan menjadi pusat bantuan bagi WNI yang berdomisili di Daegu dan Gyeongsangbuk-do,” #COVID19</t>
  </si>
  <si>
    <t>@cah_bagus05 @tembangjiwa Isis lu!</t>
  </si>
  <si>
    <t>#WaspadaCovid19 Pulau Sebaru Kecil lebih bagus dibandingkan dengan Natuna untuk mengobservasi WNI dari Kapal World Dream.</t>
  </si>
  <si>
    <t>RT @idha9n2ri: @jjsengui @tjapoenglaut @jokowi Kenapa yang diluar sana aja yang dipikirkan?? Yang didalam banyak yang lebih membutuhkan, anak yatim, janda-janda, orang tidak mampu, bahkan makan aja susah, kenapa bukan itu yang diurus, di negeri sendiri banyak susah karena tidak punya pilihan beda dengan ISIS Eks WNI 😭😭😭</t>
  </si>
  <si>
    <t>#WaspadaCovid19 BNPB Menyebutkan Observasi WNI di Sebaru Kecil Lebih Bagus dari Natuna.</t>
  </si>
  <si>
    <t>@jokowi WNI yg ingin jd TKA dibatasi jg lh pak Termasuk ke Malaysia Karena Malaysia adalah salah satu penerima TKA terbesar dr Indonesia</t>
  </si>
  <si>
    <t>@jokowi Pak @jokowi mohon katakan "TIDAK!!". Jgn membawa benih intoleran yg ada pada DNA mereka...masih banyak anak WNI yg lebih pantas kita beri perlindungan mereka bukan lagi WNI....jgn menambah bibit intoleransi di wilayah NKRI</t>
  </si>
  <si>
    <t>RT @budimandjatmiko: Membahagiakan anak lewat kebohongan putih (white lie) itu sehat, spt di video ini &amp; di film "Life is Beautiful" saat ayahnya pura2 main petak umpet pdhl mau dieksekusi Nazi. Yg buruk adalah membohongi anak bhw temannya kafir &amp;amp; layak dibunuh (spt doktrin ISIS)</t>
  </si>
  <si>
    <t>@dhitary06 @detikcom @detikfinance Baca lagi mba yang bener jamaah umroh ya bukan wni yang disana kan aman" aja</t>
  </si>
  <si>
    <t>Yang 10 jt dipenuhi, cuma bukan WNI, gak jauh béda kalau dia janji lagi RT @zarazettirazr: Ibu kotanya blon tau jadinya kapan aja uda janji2 dr sekarang Gunanya apa janji itu sih?</t>
  </si>
  <si>
    <t>@jokowi Berarti jokowi mengakui bahwa WNI itu pembawa virus corona... Parah....</t>
  </si>
  <si>
    <t>@SalmaBrecht @jokowi Anak2 ISIS dari Indonesia</t>
  </si>
  <si>
    <t>Pulau Sebaru Jadi Tempat Observasi WNI ABK World Dream, Pemprov DKI: Jangan Panik!</t>
  </si>
  <si>
    <t>Menkes Bingung Ada WNI yang Enggan Dievakuasi dari Jepang</t>
  </si>
  <si>
    <t>Observasi WNI ABK di Diamond Princess di Mana, Pak Terawan?</t>
  </si>
  <si>
    <t>(6) Sebagai langkah antisipasi kewaspadaan penyebaran virus corona di Italia, KBRI Roma sedang melakukan updating data WNI di Italia. Para WNI dipersilakan agar mengisi formulir dimaksud pada link:  terima kasih (end)</t>
  </si>
  <si>
    <t>@medicalfess Ini di kapal yosudarso gak sih? Yg katanya habis jemput WNI yg kejebak di kapal ituu</t>
  </si>
  <si>
    <t>RT @WartawanPensiun: Anak2 yang bernasib seperti ini, jauh lebih berhak 'dimuliakan' di negeri ini. Bukan malah anak2 eks ISIS PENGHIANAT BANGSA!!!! 👇👇</t>
  </si>
  <si>
    <t>Jokowi Putuskan Evakuasi 68 WNI ABK Diamond Princess Pakai Pesawat</t>
  </si>
  <si>
    <t>RT @IndonesiaRAW: Pulau Subaru bagus untuk observasi WNI. #WaspadaCovid19</t>
  </si>
  <si>
    <t>RT @IndonesiaRAW: BNPB sebut observasi WNI di Subaru kecil lebih bagus dari Natuna. #WaspadaCovid19</t>
  </si>
  <si>
    <t>WNI awak Kapal Diamond Princess yang masih berada di Jepang akan dievakuasi menggunakan pesawat.</t>
  </si>
  <si>
    <t>RT @IndonesiaRAW: Fasilitas observasi WNI di Sebaru lebih baik daripada di Natuna. #WaspadaCovid19</t>
  </si>
  <si>
    <t>RT @SahabatSaber: Jiayou Mas Omed.. 💪💪 Mas Omed adalah 1 dari 7 WNI yang belum bisa pulang dari Wuhan. Rasa sepi, takut tentu dirasakan tetapi semua itu justru mendekatkan dirinya pada sang maha kuasa.</t>
  </si>
  <si>
    <t>@wahhabicc_jabar Lohh..terus gembar gembor tidak memulangkan ISIS eks WNI kemarin apa artinya...</t>
  </si>
  <si>
    <t>RT @KBRI__Roma: (3) Bagi WNI yang tinggal di kota-kota tersebut, untuk selalu mengikuti arahan dan ketentuan pencegahan penyebaran virus corona yang telah ditetapkan oleh Pemerintah Italia dan Pemerintah Daerah setempat. ......</t>
  </si>
  <si>
    <t>(3) Bagi WNI yang tinggal di kota-kota tersebut, untuk selalu mengikuti arahan dan ketentuan pencegahan penyebaran virus corona yang telah ditetapkan oleh Pemerintah Italia dan Pemerintah Daerah setempat. ......</t>
  </si>
  <si>
    <t>Observasi yang dilakukan terhadap 188 WNI #WaspadaCovid19</t>
  </si>
  <si>
    <t>Sebaiknya @Kemenag_RI hentikan dulu pemberangkatan jamaah umroh ke Arab Saudi. Jangan memaksakan demi kejar keuntungan, resiko terpapar COVID-19 sangat besar.</t>
  </si>
  <si>
    <t>Sampai saat ini pemerintah tlh mengevakuasi 188 WNI yg ada di kapal pesiar World Dream. Mereka akan diobservasi selama 14 hari @KemenkesRI @WHOIndonesia @KemensetnegRI #IndonesiaBaik #YangMudaSukaData #Miniclip #ProgramPemerintah #EvakuasiWNI #VirusCorona #NovelCoronavirus #nCoV</t>
  </si>
  <si>
    <t>Pemerintah sudah sangat siap melakukan karantina untuk memastikan WNI terbebas dari virus corona. #WaspadaCovid19</t>
  </si>
  <si>
    <t>RT @RelawanNusanta1: Anak Indonesia dari mana? Bapaknya kan jihadis Negara Islam Iran Syiria. Perkawinannya jg ga jelas. Kawin pake hukum ISIS kok jd anak WNI</t>
  </si>
  <si>
    <t>188 WNI dari Kapal World Dream yang bersandar di Perairan Selat Johor telah dievakuasi ke Pulau Sebaru Kecil #WaspadaCovid19</t>
  </si>
  <si>
    <t>RT @PFTee: @rienkusayang @V_Stone_Kardol @mohmahfudmd @jokowi Kami yg teriak2 setengah mati cuma dibilang "Ga ada intoleransi, yg ribut hanya di medsos" Anak ISIS ga usah bilang apa2 lgs mau dipulangin. Korban BOM, Trinity dkk dibantu negara ga Bang Bir @BirgaldoS</t>
  </si>
  <si>
    <t>@grace_nat Bgmn dgn WNI yg mati dibunuh dihadapan polisi bersenjata lengkap di Papua? Apa tindakan polisi2 itu tdk mempermalukan atsu kasus itu tdk menjd konsen Grace Natalie dgn PSIx..? . 😫😫😫</t>
  </si>
  <si>
    <t>Dibandingkan dengan Natuna. Pulau Sebaru Kecil lebih bagus untuk mengobservasi WNI dari Kapal World Dream #WaspadaCovid19</t>
  </si>
  <si>
    <t>RT @newsmediacoid: Jokowi Putuskan Evakuasi 68 WNI ABK Diamond Princess Pakai Pesawat</t>
  </si>
  <si>
    <t>#WaspadaCovid19 Observasi WNI cegah Corona. di Sebaru Lebih Baik Daripada di Natuna.</t>
  </si>
  <si>
    <t>RT @tempodotco: Kepala Kepolisian Republik Indonesia Jenderal Idham Azis dan Panglima TNI Marsekal Hadi Tjahjanto meninjau lokasi observasi WNI ABK World Dream di Pulau Sebaru Kecil, Kepulauan Seribu, Jakarta.</t>
  </si>
  <si>
    <t>@Nouna_jessica94 @andrajoleno Pak @mohmahfudmd urusi dulu renovasi gereja katolik di Karimun nanti baru ngurusi anak2 ISIS itu.ntar kalau kaum minoritas ini jadi teroris semua kita bisa damai seperti Suriah lho pak.</t>
  </si>
  <si>
    <t>Observasi yang dilakukan terhadap 188 WNI menunjukan Pemerintah sudah sangat siap melakukan karantina untuk memastikan WNI terbebas dari virus corona. #WaspadaCovid19</t>
  </si>
  <si>
    <t>Kepala Kepolisian Republik Indonesia Jenderal Idham Azis dan Panglima TNI Marsekal Hadi Tjahjanto meninjau lokasi observasi WNI ABK World Dream di Pulau Sebaru Kecil, Kepulauan Seribu, Jakarta.</t>
  </si>
  <si>
    <t>@KatolikG @mohmahfudmd Gareja dibere ijin tapi barudak isis ex wni diajakan balik, keneh ketel Pak, tapi bisa jadi sigana mah ambeh mun barudak isis geus gede aya bahan jang dibaledogan...meureun.</t>
  </si>
  <si>
    <t>Menkes: Evakuasi WNI Diamond Princess tunggu slot penerbangan</t>
  </si>
  <si>
    <t>@Takviri Keperluan untuk biaya pengobatan anak2 yang di bom pendukung ISIS di Samarinda sudah disiapkan juga ga pak? @mohmahfudmd @jokowi</t>
  </si>
  <si>
    <t>WNI ABK Diamond Princess Juga Jalani Observasi di Pulau Sebaru</t>
  </si>
  <si>
    <t>Terkait dengan perkembangan penyebaran covid-19 di Italia, disampaikan Himbauan kepada WNI di Italia untuk: (1) Tingkatkan kewaspadaan dan jaga kesehatan kebersihan (2) ...,.. #negaramelindungi @Kemlu_RI @DitEropa1_Kemlu</t>
  </si>
  <si>
    <t>RT @antaranews: Apakah permintaan terkait WNI yang sudah terlanjur terbang, akan dikabulkan oleh pemerintah Arab Saudi? #Umrah</t>
  </si>
  <si>
    <t>RT @max_shia: ISIS in Saraqib</t>
  </si>
  <si>
    <t>@jokowi 👉"Kesehatan dan keselamatan warga harus menjadi PRIORITAS"👈 MOHON DENGAN SANGAT, ini juga menjadi pertimbangan &amp; pemikiran Bpk. Presiden..ketika mengambil keputusan utk "MEMULANGKAN ANAK2 Eks. ISIS". Saat ini mereka hny anak-anak...tp sesungguhnya mereka adl mesin pembunuh.</t>
  </si>
  <si>
    <t>@TofaTofa_id Gara2 pada ngeributin Anies, isu pemulangan para bajingan ISIS dan isu khilaf fuck mungkin sementara bisa tenang. Yang saya khawatirkan, jika setelah banjir mereka sudah sampai tanah air ..</t>
  </si>
  <si>
    <t>TNI AL memfasilitasi evakuasi 188 WNI Anak Buah Kapal (ABK) MV. World Dream dengan menggunakan KRI dr. Soeharso-990 di Perairan Selat Durian, Kepulauan Riau, pada hari Rabu, tanggal 26 Februari 2020. *Seluruh WNI ABK MV. World Dream telah dinyatakan negatif Covid-19.*</t>
  </si>
  <si>
    <t>RT @Metro_TV: Pemerintah kembali memindahkan warga negara Indonesia (WNI) dari luar negeri terkait kasus covid-19. Namun kali ini observasi bukan dilakukan di Kepulauan Natuna, Riau, melainkan di Pulau Sebaru, Kepulauan Seribu, DKI Jakarta. Apa plus dan minusnya? #FactCheckMetroTV</t>
  </si>
  <si>
    <t>Garuda Siap Jemput WNI di Diamond Princess dan Arab</t>
  </si>
  <si>
    <t>Pemerintah hanya akan mengevakuasi WNI yang mau pulang ke Indonesia. @KemenkesRI #republika #wni #jepang #evakuasi</t>
  </si>
  <si>
    <t>Apakah permintaan terkait WNI yang sudah terlanjur terbang, akan dikabulkan oleh pemerintah Arab Saudi? #Umrah</t>
  </si>
  <si>
    <t>Jangankan yang beda agama, Gandhi yang seagama juga disikat. Hindu Nazi ini 11:12 lah sama ISIS, yang ga sejalan halal darahnya ditumpahkan. RT @VICE_ID: Massa menyerang demonstran dan siapa saja yang tak sejalan dengan pemerintah nasionalis Hindu, seputar isu UU Kewarganegaraan yang diskriminatif terhadap muslim.</t>
  </si>
  <si>
    <t>Ratusan WNI Pekanbaru Tertahan Berangkat Umrah, Walaupun Sudah Pegang Visa</t>
  </si>
  <si>
    <t>@GHiugo 😥 Seharusnya seusianya belajar. Namun, ini harus berdagang. Ternyata di negara yg sdh maju ini (by Mr President @POTUS ), anak2 WNI masih perlu dieperhatikan sekali. Mari kita bantu anak2 WNI. Lupakan anak2 ISIS ex wni. cc: @mohmahfudmd @KPAI_official @KemensosRI @jokowi</t>
  </si>
  <si>
    <t>@SpeakZeeshan @DeepikaBhardwaj I condemn all hindu terror organisations like Al-Qaeda, Jamat-E-Ulema-E-Hind, Jaish-e-MOHAMMAD, ISIS, Hijb-Ul-Mujahiddin...... Madarssa Logic 🐐🐐</t>
  </si>
  <si>
    <t>Agar lebih dekat dengan WNI yang berada di Daegu, KBRI Seoul membentuk Posko Aju yang berlokasi 53 km atau sekitar 45 menit dari pusat kota Daegu. #IniDiplomasi #NegaraMelindungi #IndonesiaWay @Kemlu_RI @den_uh @sofia_sudarma</t>
  </si>
  <si>
    <t>Pemerintah hanya akan mengevakuasi WNI yang mau pulang ke Indonesia.</t>
  </si>
  <si>
    <t>Direncanakan. 188 WNI yang diberangkatkan dari Selat Durian. Riau akan tiba di Pulau Sebaru Kecil. Kepulauan Seribu pada Jumat. 28 Februari 2020 pukul 09.00 WIB #WaspadaCovid19</t>
  </si>
  <si>
    <t>Menurut Terawan, 68 WNI tersebut akan dijemput menggunakan pesawat berbadan lebar.</t>
  </si>
  <si>
    <t>@hakim_nurman @hernowosky @Vasgard @tzdijk @AchmadMundziri @Wirro20 @aniesbaswedan @DKIJakarta wkwkwkwkwk gue itu anti ama yg gabener. lu liat aja twit gue presiden pun gue protes mlenceng mau mulangin teroris ISIS kesini</t>
  </si>
  <si>
    <t>RT @UjKomar: @VIVAcoid @jiiviiw Woi @KPAI_official kalian sudah membuat WNI malu...</t>
  </si>
  <si>
    <t>Istana: 188 WNI yang Dievakuasi dari Kapal World Dream Tiba di Tempat Observasi Besok #TauCepatTanpaBatas #BeritaTerkini #Berita #News #BeritaNasional .</t>
  </si>
  <si>
    <t>@VIVAcoid @jiiviiw Woi @KPAI_official kalian sudah membuat WNI malu...</t>
  </si>
  <si>
    <t>@jokowi Tolong Pak untuk hal Isis di bicarakan di rapat Bapak bersama Menteri, sekaligus beri teguran bagi menteri jgn bikin gaduh di publik, dan juga jangan sampai berbeda dalam penanganan ISiS. Mayoritas tidak setuju mereka warga Isis ingin menjadi Warga Indonesia.</t>
  </si>
  <si>
    <t>Semoga WNI disini semua sehat Amiin</t>
  </si>
  <si>
    <t>RT @sfl_aimn: Cang Bincang Bersama Cak Thoriq sang Bupati Lumajang dg WNI di Malaysia,Cak Thoriq pernah jadi kader PKB Malaysia....selamat jaya mimpin.Lumajang... @cakimiNOW @thoriqul_haq @faisal_anas76 @DPP_PKB</t>
  </si>
  <si>
    <t>Pemerintah akan mengevakuasi para WNI dari kapal Diamond Princess dengan pesawat komersial berbadan lebar setelah mendapat slot penerbangan dari Jepang.</t>
  </si>
  <si>
    <t>@Datuakpanduko2 Bajingan ini yg bikin tagar,,isis pasti ini yg bikin tagar,,,pengen pecah belah org indonesia..</t>
  </si>
  <si>
    <t>@kompascom Jangankan diplomat negara lain. Saya aja WNI asli juga khawatir🙈</t>
  </si>
  <si>
    <t>@Datuakpanduko2 Astaghfirullah,, sebegitu mengkhawatirkannya toleransi di indonesia? Jelas yg salah orangnya. Agamanya dibawa2. Ya allah miriss bener kelakuan kaya gini. Dia sama aja dengan ISIS, merusak dengN mengatasnamakn agama. Pdahal saya yakin hindu tak mngkin mengajarkan hal tersebut.</t>
  </si>
  <si>
    <t>ditambah anak yatim isis dipulangkan,lumayan nambah quota islam indon 😆 RT @agama_nusantara: Kartu Keluarga: Kartu Keluarga (KK) Carlim yang diterbitkan Dukcapil Kab. Brebes tanggal 22 Agustus 2017 atau 10 hari setelah proses pengislaman anak-anak penganut kepercayaan. Foto: Ceprudin Tak Diketahui Ayahnya, Empat Penganut Kepercayaan Diislamkan Brebes,</t>
  </si>
  <si>
    <t>@kambingngamuk balik lagi kesini pembahasan, tdi lu udh setuju klo isis it extrimis, skrg mutar lagi, g kelar pembahasan ma lu</t>
  </si>
  <si>
    <t>@Takviri @KakekHalal Gimana kalo pak @mohmahfudmd yg begitu peduli dgn anak2 ISIS. silahkan terbang ke Suriah dan tinggal aja disana ngurusin anak2 ISIS, ga usah balik lagi ke Indonesia. saya sbgi WNI ogah bayar pajak utk ngasih makan anak2 teroris ISIS. Thanks</t>
  </si>
  <si>
    <t>Umrah Dihentikan Sementara Gara-gara Virus Corona, KBRI Riyadh Perjuangkan Nasib WNI yang Sudah Kantongi Visa</t>
  </si>
  <si>
    <t>RT @Kars104: Apakah sumpah tsb lebih tinggi kedudukannya dari pada sumber hukum positif RI (UUD 1945)? Konstitusi kita menjamin kebebasan menjalankan ibadah (pasal 29 ayat 2 &amp; pasal 28e ayat 1) serta menjamin kebebasan berpendapat (pasal 28e ayat 3). Semua WNI sama kedudukannya di mata hukum</t>
  </si>
  <si>
    <t>RT @Julia_Zeed: @jokowi Kalau anak2 ISIS gk penting Pak Jokowi,anak2 ISIS itu lebih kejam dr orng dewasa Tukang begal di sini, justru akan jd ancaman buat anak2 Indonesia pak 🙏</t>
  </si>
  <si>
    <t>@abhijeet_dipke Tahir hussian is part of ISIS gang</t>
  </si>
  <si>
    <t>RT @medcom_id: Dua WNI di Diamond Princess Menolak Dievakuasi</t>
  </si>
  <si>
    <t>@0m_Brewoks Hidup di ibunkota ngeri demi bs isis perut ,mending di desa masi banyak cara buat cr makan yg halal ...</t>
  </si>
  <si>
    <t>AMIN Pak @jokowi ,pak @mohmahfudmd banyak anak" di indonesia ini yang masih butuh hadirnya pendampingan negara buat menjadikn generasi yg lebih baik. Lihat kerja keras dan gigihnya mereka untuk berjuang hidup. Kenapa masih harus sibuk untuk anak" eks WNI??? RT @GHiugo: Semoga Kelak Besar Nanti Kau Menjadi Orang Yang Sukses Dik..!!</t>
  </si>
  <si>
    <t>RT @wisanggeni_084: @jokowi Pangapunten pak..... Kl mau tegas: Tolak tdk ada kata memberi peluang. Toh mereka juga bukan lagi WNI karena orang tuanya sdh eks WNI.. Sebaiknya fokus dan serius urus masalah intoleransi di dalam negri yg semuanya jelas WNI yg harus dilindungi. 🙏🙏🙏</t>
  </si>
  <si>
    <t>Rakyat yg sekolah kebangsaan ramai, sekolah cina juga dpt paling bnyk dana. 1 org melayu suspek ISIS kena tangkap, 12 orang pengganas ltte kena tgkp dgn bukti pun kena lepas. Nk letak 1 tulisan jawi dlm buku cina pun gelabah beruk siap buat demo. Kau x tau ke benda ni jilakerrr RT @dyanasmd: Malaysiaku. Agong melayu Islam, Sultan-sultan melayu Islam, majoriti pemimpin melayu Islam, majoriti rakyat pun melayu Islam. Tapi hari2 sembang betapa Melayu Islam tertindas seakan kaum minoriti paling kecik. Kenapa kita insecure?</t>
  </si>
  <si>
    <t>RT @Detektif_Ngibul: Contoh nyata antek isis yg berkeliaran di Indonesia. Ormas yg terkenal BRUTAL, sampai junjungan tertinggi menyerukan untuk membela ISIS. Ada juga partai yg mengusung pendukung ISIS. @AriestaRiico @jiiviiw @narkosun @wahhabicc_jabar @TolakBigotRI @P3nj3l4j4h_id #AwasAntek2ISIS</t>
  </si>
  <si>
    <t>Dua WNI di Diamond Princess Menolak Dievakuasi</t>
  </si>
  <si>
    <t>@renegad19207887 @edikadina02 Justru dari awal saya bicara logika. Sbg tentara yg berjiwa ksatria, harus berani membela kebenaran. Alat negara independen? Semua WNI itu (baik sipil maupun militer) TDK ada yg independen. Semua sdh diatur dalam UUD 1945. Kalau membela kebenaran ditangkap, beliau menjadi martir!</t>
  </si>
  <si>
    <t>@Datuakpanduko2 Gua islam tp cara berfikir g ky elo blok goblok,,kalo cuma soal pakain apakbr pkain yg dipakai isis,,,</t>
  </si>
  <si>
    <t>@Arulbaex Bang entah lo siapa, gw ada video di timur tengah mau ga? Bom bundir di nabawintahun 2016 lalu kelakuan ISIS. TERUS GW TWEET, (maaf) mayoritas mu adalah teroris?. Kami ga pernah melihat orang dari agama, apapun salahnya BOM BALI BOM GEREJA BOM JW MARRIOT.</t>
  </si>
  <si>
    <t>@jokowi Pangapunten pak..... Kl mau tegas: Tolak tdk ada kata memberi peluang. Toh mereka juga bukan lagi WNI karena orang tuanya sdh eks WNI.. Sebaiknya fokus dan serius urus masalah intoleransi di dalam negri yg semuanya jelas WNI yg harus dilindungi. 🙏🙏🙏</t>
  </si>
  <si>
    <t>@Ngk0ng__R__R @mohmahfudmd @jokowi Jangan pertaruhkan nyawa 260 jt WNI hnya demi segelintir orang tanpa kewarganegaraan</t>
  </si>
  <si>
    <t>@Hilmi28 Mana yg suka teriak2 radikal radikul, anti isis anti kekerasan. Kok pd mingkem semua dg kebrutalan hindu india terhadap muslim.</t>
  </si>
  <si>
    <t>Pd kesempatan tsb, Menlu Retno Marsudi mengungkapkan mulanya tdpt 78 WNI ABK di Diamond Princess. 9 diantaranya sempat didiagnosis positif, namun kemudian 1 dr mereka telah kembali dinyatakan sehat &amp; terbebas dari Novel Coronavirus. via  via @kemenkopmk</t>
  </si>
  <si>
    <t>RT @seinsaiyan_: tipulah kalau tak pernah menangis sebab study kan. kau tahu limit kau, kau tahu kau tak macam orang lain yang baca sekali terus masuk ke otak, ke hati. tapi bila setiap kali nak mengalah tu, benda yang buat kau ingat balik betapa seronoknya parents kau tgk kau sambung study.</t>
  </si>
  <si>
    <t>Saudi Hentikan Visa, WNI Tak Bisa Umrah Sementara Waktu  lewat @YouTube</t>
  </si>
  <si>
    <t>Pemerintah Jemput 68 WNI di Kapal Pesiar Diamond Princess Pakai Pesawat - Berita Trans  lewat @beritatrans</t>
  </si>
  <si>
    <t>Liat berita ini, kok aku jadi takut sama WNI yg ada di korea + grup2 kpop yg aku stan ya:( kya nya mkin hari mkin bnyk bgt kasus virus corona nmbh di korea dan jumlah nya ini terbesar kedua, di luar china. Doain ya, semoga mereka semua di lindungi tuhan🥺 RT @OH_mes2: 171 new cases of Coronavirus in Korea There are now 1,766 total cases in Korea</t>
  </si>
  <si>
    <t>Penjemputan WNI di kapal pesiar Diamond Princess menggunakan pesawat.</t>
  </si>
  <si>
    <t>RT @RadioElshinta: @kemenkopmk Evakuasi dilakukan menggunakan KRI dr. Soeharso scr boat to boat di Selat Durian, Kep. Riau. Selanjutnya slrh WNI dibawa menuju Pulau Sebaru Kecil, Kep. Seribu. Mereka diperkirakan akan tiba di Pulau Sebaru Kecil pd Jumat (28/2).  via @kemenkopmk</t>
  </si>
  <si>
    <t>RT @RadioElshinta: Setelah melalui serangkaian proses koordinasi yg dilakukan Menko PMK Muhadjir Effendy Menkes, Kepala BNPB, Panglima TNI, perwakilan Kemenlu, serta pihak terkait, pemerintah hari ini, Rabu (26/2) kemarin melakukan evakuasi thd 188 WNI awak kapal World Dream. via @kemenkopmk</t>
  </si>
  <si>
    <t>Menindaklanjuti keputusan dan arahan Presiden, pemerintah akan melakukan evakuasi terhadap sejumlah Warga Negara Indonesia (WNI) yang menjadi Anak Buah Kapal (ABK) Diamond Princess. Sampai hari ini (27/2), total 68 orang ABK akan dievakuasi kembali ke Tanah Air. via @kemenkopmk</t>
  </si>
  <si>
    <t>@Takviri Masih bnyak Saudara kita yg ga mampu di Indonesia, yg perlu perhatian dari kita Semua.. tp knpa Pemerintah sangat Perduli dgn anak2 ISIS yg jls ud berkhianat ???</t>
  </si>
  <si>
    <t>RT @ItsMeLeeyzs: Bila Sultan bagi KFC dgn MCD dekat org2 media yg buat liputan dekat istana. Barulah nampak ramai yg cuba buat benda yg sama untuk tolong satu sama lain.Dekat situ kita nampak konsep "Leaders become great not because of their power but,because of their ability to empower others"</t>
  </si>
  <si>
    <t>@geloraco Negara luar juga tau kita udah terjangkit Corona,, Saudi Arabia udah melarang jama'ah kita untuk datang,, besok akan menyusul lg mungkin negara negara yg akan melarang WNI datang ke negara nya</t>
  </si>
  <si>
    <t>RI Segera Jemput WNI di Kapal Diamond Princess Naik Pesawat</t>
  </si>
  <si>
    <t>@kemenkopmk Evakuasi dilakukan menggunakan KRI dr. Soeharso scr boat to boat di Selat Durian, Kep. Riau. Selanjutnya slrh WNI dibawa menuju Pulau Sebaru Kecil, Kep. Seribu. Mereka diperkirakan akan tiba di Pulau Sebaru Kecil pd Jumat (28/2).  via @kemenkopmk</t>
  </si>
  <si>
    <t>@P3nj3l4j4h_id @mohmahfudmd 5 saja anak ISIS dibawa ke sini,jadi sasaran empuk kaum liberal. Suatu hari mrk akan dijejeli doktrin, bpk/ibunya di bunuh demi menegakkan khilafah, saudaranya dibantai, bla bla @jokowi sedang merakit BOM di NKRI. Semoga saja bukan gedung yg anda bangun yg jd sasarannya.</t>
  </si>
  <si>
    <t>Setelah melalui serangkaian proses koordinasi yg dilakukan Menko PMK Muhadjir Effendy Menkes, Kepala BNPB, Panglima TNI, perwakilan Kemenlu, serta pihak terkait, pemerintah hari ini, Rabu (26/2) kemarin melakukan evakuasi thd 188 WNI awak kapal World Dream. via @kemenkopmk</t>
  </si>
  <si>
    <t>*SOC aku ulang lagi ya perkenalan ku. Nama ku Kwon Minji, ayah ku WNA dan ibu ku WNI. Orang Indonesia memanggil ku Raras, sudah empat tahun ini aku tinggal di Indonesia untuk studi, maukah kalian berteman dengan ku?</t>
  </si>
  <si>
    <t>Panglima TNI Marsekal Hadi Tjahjanto memerintahkan personel Komando Tugas Gabungan Terpadu (Kogasgabpad) untuk lembur hari ini.</t>
  </si>
  <si>
    <t>@MikirSok Kalau lu bilang islam bukan isis, gua setuju. Tapi kalau isis bukan islam, sorry to say lah yaa. Isis itu isinya orang islam.</t>
  </si>
  <si>
    <t>RT @WSetyorini2: belum lagi negara maju ini punya sistem karantina yang aduhai, dimana terdapat sebwah pulao terdepan yang dijadikan karantina yang warganya sangat welkam mau berbagi derita dengan saspek WNI dari Wuhan.. warbiyasa..</t>
  </si>
  <si>
    <t>RT @WSetyorini2: .. jalur air/ laut : Tenggelamkan! Jalur tanah/ darat : hanya malaisya negara berbatasan darat yang terjangkit, PNG dan Timor Timur (iya..iya Timor Leste) belom. daaan tau sendiri kan gimana Malaisya.. kalopun ada WNI terjangkit, pasti sudah mereka klaim.. (dasar pencuri)</t>
  </si>
  <si>
    <t>@pradaivon Emang mulai ada bersikap yang begitu? Terutama yang WNI kemarin pulang dari pulau natuna gitu ada ceritanya</t>
  </si>
  <si>
    <t>@Ngk0ng__R__R @mohmahfudmd @jokowi WNI itu punya pasport, tp kalau sdh gak adfa pasport apa masih bisa dikatakan WNI?</t>
  </si>
  <si>
    <t>RT @kemenkopmk: Pd kesempatan tsb, Menteri Luar Negeri Retno Marsudi turut mengungkapkan bahwa pada mulanya terdapat 78 WNI ABK di Diamond Princess. Sebanyak 9 diantaranya sempat didiagnosis positif, namun kemudian 1 dr mereka telah kembali dinyatakan sehat &amp; terbebas dari Novel Coronavirus.</t>
  </si>
  <si>
    <t>RT @kemenkopmk: Menindaklanjuti keputusan dan arahan Presiden, pemerintah akan melakukan evakuasi terhadap sejumlah Warga Negara Indonesia (WNI) yang menjadi Anak Buah Kapal (ABK) Diamond Princess. Sampai hari ini, total sebanyak 68 orang ABK yang akan dievakuasi kembali ke Tanah Air.</t>
  </si>
  <si>
    <t>RT @CastilloJoshima: Akhirnya anak2 Eks ISIS dipulangkan,pdhl anak2 terlantar,anak yatim piatu anak yg hidup di jalan masih banyak di Negri ini??kita gk peka ke mrk tapi lebih peka ke masa depan anak2 yg nantinya bisa jadi bom waktu.</t>
  </si>
  <si>
    <t>RT @yusakronny: @Ernie_es @Andini_932 @wisanggeni_084 @mohmahfudmd Kebodohan yang sudah terlihat dari awal. Taik lah HAM anak2 ISIS. Pikirkan HAM anak2 Indonesia yang loyal sama negara ini. Itu yang dipertimbangkan.</t>
  </si>
  <si>
    <t>@Nouna_jessica94 Pak @mohmahfudmd emang gak ada kerjaan lain pak selain mulangin kombatan isis ?</t>
  </si>
  <si>
    <t>@priscjel gatau soal ditutupin atau nggak, tapi soal WNI di natuna emang blunder, gak bisa dibantah. mereka gak diuji sampel, cuma cek temperatur. karantina cuma 14 hari sementara masa inkubasi corona 27 hari.</t>
  </si>
  <si>
    <t>Melindungi Anak WNI Eks ISIS</t>
  </si>
  <si>
    <t>@kambingngamuk ya gimana ya, klo ini sih tergantung perspektif lu, mau adu domba atau meluruskan, gw ya merasa wajib meluruskan klo isis bukan islam yg dimana pembahasan kita udh sepanjang kumis mas adam</t>
  </si>
  <si>
    <t>Panglima TNI Tinjau Lokasi Observasi 188 WNI di Pulau Sebaru</t>
  </si>
  <si>
    <t>Menindaklanjuti keputusan dan arahan Presiden, pemerintah akan melakukan evakuasi terhadap sejumlah Warga Negara Indonesia (WNI) yang menjadi Anak Buah Kapal (ABK) Diamond Princess. Sampai hari ini, total sebanyak 68 orang ABK yang akan dievakuasi kembali ke Tanah Air.</t>
  </si>
  <si>
    <t>WNI Awak Diamond Princess akan Dievakuasi dengan Pesawat</t>
  </si>
  <si>
    <t>TADI DEPAN RUMAH ADA YANG ....... AH SUDAHLAH INTINYA DAH KELUAR ITU ANAK ANAK TU MAKHLUK ! TIATI MURTAD TIATI AJARAN BARU TIATI ISIS TIATI BANYAK LAH AH</t>
  </si>
  <si>
    <t>@rachmarach__ Amiiiiiin. Horor banget ya ampuuun. Ga kebayang itu wni disana. Pasti banyak.</t>
  </si>
  <si>
    <t>Mens gapakek pembalut ini rasanya MasyaAllah :') Pliket-pliket isis.</t>
  </si>
  <si>
    <t>Sumpah sih, kalo aja Al-Qaeda sama ISIS ngebantu muslim india, rata tuh semua. RT @InayahRasyid: Why is the world silent ...? there is no human rights term if Muslims are tortured, boycotting films and Hindustan music, HINDU Tamil The Real TEROROST #ShameOnYouIndia #ShameOnYouIndia</t>
  </si>
  <si>
    <t>@don_howei @Ngk0ng__R__R @mohmahfudmd @jokowi Udah bukan WNI om...kalo stateless gitu, kan ada lembaga UNHCR PBB yg urusi ya??</t>
  </si>
  <si>
    <t>Omg kok masih ada yg bilang indonesia ga kena corona.. kalian baca berita ga sih WNI ada yg kena yg di kapal...</t>
  </si>
  <si>
    <t>TNI AL Fasilitas Evakuasi WNI ABK MV World Dream, Seluruh WNI ABK Negatif Cofid-19  @fadjroeL @SunandarPS @JubirPresidenRI @PEDOMAN_id @Jokowinomics_id</t>
  </si>
  <si>
    <t>@dyanasmd @kidxkl Sebab ada pertualang dlm masyarakat mcm ko... Isu ISIS laju je jailkan melayu. Tapi LTTE boleh lepas. Isu 3helai tulisan Jawi... Isu hina Raja2 dan Islam... nak lg ada banyak lg</t>
  </si>
  <si>
    <t>RT @Metro_TV: Eksklusif: Proses Evakuasi 188 WNI dari Kapal World Dream #TopNewsMetroTV</t>
  </si>
  <si>
    <t>RT @Metro_TV: #NewslineMetroTV Pemerintah RI putuskan untuk evakuasi WNI dari Diamond Princess gunakan pesawat udara. Keputusan diungkap oleh Menko PMK, Muhadjir Effendy yang menindaklanjuti keputusan Presiden atas evakuasi WNI dari Diamond Princess, Yokohama, Jepang.</t>
  </si>
  <si>
    <t>@VADUKA__KOLAK Yg di india bukan isis orang sipil bukan kah minoritas harus dilindungi bukan dibantai .</t>
  </si>
  <si>
    <t>@Ngk0ng__R__R @mohmahfudmd @jokowi Itu ISIS Eks WNI. Jangan putarbalikkan fakta.</t>
  </si>
  <si>
    <t>RT @Metro_TV: Setelah menjalani karantina karena berjangkitnya virus Corona, 188 WNI dievakuasi dari kapal pesiar World Dream yang berlabuh di Selat Durian, Kepulauan Riau. Mereka dipindahkan ke KRI Soeharso. #MetroMalam</t>
  </si>
  <si>
    <t>Observasi Corona di Natuna gaduh,eks wni Pro isis gaduh,gereja di Karimun gaduh,bangun terowongan gaduh,Resufle gaduh,lempar buku dr mobil gaduh,ekonomi naik 5,02% gaduh,impor bawang gaduh,dll. Tapi lupa bahwa.. "kontroversi itu merangsang kita utk berfikir &amp; mengkaji ulang" RT @jokowi: Masyarakat yang sehat adalah masyarakat yang mendapatkan informasi yang sehat dan baik. Negara membutuhkan kehadiran pers dengan perspektif jernihnya untuk berdiri di depan melawan kekacauan informasi, penyebaran hoaks, dan ujaran kebencian yang mengancam kehidupan demokrasi.</t>
  </si>
  <si>
    <t>RT @Metro_TV: Sebanyak 29 WNI tim sukarelawan MER-C Indonesia terus melakukan pembangunan RS Indonesia di Gaza, Palestrina. Walau serangan roket dari Israel masih berlangsung. #NewslineMetroTV</t>
  </si>
  <si>
    <t>RT @Metro_TV: Pulau Sebaru dipilih oleh pemerintah sebagai lokasi observasi 188 WNI kru Kapal Pesiar World Dream. Pulau tak berpenghuni ini dipilih karena dianggap aman dan memiliki fasilitas yang cukup memadai. Yuk lihat seperti apa pulaunya di video #TopNewsMetroTV berikut ini.</t>
  </si>
  <si>
    <t>RT @kopipolitik1: 2) Sebelum melakukan langkah evakuasi penyelamatan 243 WNI, pemerintah telah melakukan rapat koordinasi dan tindakan evakuasi yang sesuai dengan prosedur protocol WHO @DivHumas_Polri #Dinamika</t>
  </si>
  <si>
    <t>Selamat sore Indonesia. TNI AL Fasilitas Evakuasi WNI ABK MV World Dream, Seluruh WNI ABK Negatif Cofid-19  @fadjroeL @SunandarPS @JubirPresidenRI @PEDOMAN_id @Jokowinomics_id #kamismanis #KamisAmbyar #kamis #KamisOptimis</t>
  </si>
  <si>
    <t>@kambingngamuk kn lu bilang diawal isis itu islam, ga ada kata extrimisnya, makanya harus jelas</t>
  </si>
  <si>
    <t>@rasjawa 1 aja gak abis ya mas. 😃 ISIS = Ikatan Suami Istri Satu</t>
  </si>
  <si>
    <t>Dua WNI ABK Diamond Princess Memilih Tetap Tinggal di Jepang.</t>
  </si>
  <si>
    <t>Selamat sore mba #ArielTatum di #KamisAmbyar ini, jangan lupa klik berita yaaa TNI AL Fasilitas Evakuasi WNI ABK MV World Dream, Seluruh WNI ABK Negatif Cofid-19  @fadjroeL @SunandarPS @JubirPresidenRI @PEDOMAN_id @Jokowinomics_id</t>
  </si>
  <si>
    <t>√ TNI AL Fasilitas Evakuasi WNI ABK MV World Dream, Seluruh WNI ABK Negatif Cofid-19 cc @fadjroeL @JubirPresidenRI @PedomanNEWS</t>
  </si>
  <si>
    <t>RT @PDI_Perjuangan: Pemerintah Akan Evakuasi WNI ABK World Dream ke Pulau Sebaru  #PDIPerjuangan</t>
  </si>
  <si>
    <t>RT @PDI_Perjuangan: Pemerintah Utamakan Prinsip Kehati-hatian Tangani Pemulangan WNI di Diamond Princess  #PDIPerjuangan</t>
  </si>
  <si>
    <t>RT @JackSitoroes: KPAI lebih peduli anak2 ISIS ex-WNI.😔</t>
  </si>
  <si>
    <t>Sore semuanya #KamisAmbyar √ TNI AL Fasilitas Evakuasi WNI ABK MV World Dream, Seluruh WNI ABK Negatif Cofid-19  @fadjroeL @SunandarPS @JubirPresidenRI @PEDOMAN_id @Jokowinomics_id</t>
  </si>
  <si>
    <t>Hidayat Nur Wahid Ingatkan Pemerintah Ajak Bicara Warga Saat Evakuasi 188 WNI Kru Kapal World Dream</t>
  </si>
  <si>
    <t>RT @validnewsco: Dua warga negara Indonesia (WNI) yang menjadi Anak Buah Kapal (ABK) Diamond Princess disebut memilih untuk tetap tinggal di Jepang. #ValidNih</t>
  </si>
  <si>
    <t>- Proses Evakuasi WNI di Diamond Princess Dinilai Lambat, Fadli Zon: Bisa Membahayakan Mereka</t>
  </si>
  <si>
    <t>RT @ichigotalks: @Andini_932 kasih tahu Pak Dhe @jokowi biar tahu definsi anak-anak ISIS.</t>
  </si>
  <si>
    <t>RT @Ad1t77: @AnakKolong___ Anak2 ex wni isis d selamatkan, giliran anak2 yg kelaparan d negrinya sendiri smp makan sabun malah d biarkan. Priode ke dua @jokowi makin mundur kebelakan, intoleran makin d kembang biakan.</t>
  </si>
  <si>
    <t>RT @sunda_002: @twitpos Yang ngakunya agama islam tp gemarnya nyudutin islam,si ahlul isis yg doyan treak² teroris,kok pada mingkem,liat noh the real teroris yang ngebantai saudara seiman kita di india... #ShameOnYouIndia</t>
  </si>
  <si>
    <t>RT @SonoraFM92: 3 WNI yang Positif Corona Ditangani Pemerintah Jepang</t>
  </si>
  <si>
    <t>Ogah Bayar 8 Miliar Tebus Sandera 5 WNI, Tentara Mau Gempur Abu Sayyaf</t>
  </si>
  <si>
    <t>@Beebayu1 Cerdas sedikit lah, Apa bedanya dengan mereka yg melihat isis itu dgn "islam is teroris"?</t>
  </si>
  <si>
    <t>So sorry about delhi but really indon???? Kalian ngeblame agama lain karna oknum nya???? Giliran isis yg teroris beneran bilangnya JaNgAn S4l4hkan 4gaMa i5l4m! Like wow!?!?!? Rendah bgt kalian</t>
  </si>
  <si>
    <t>waah parah ye berita yg di india tuh, kalo pelakunya muslim pasti langsung dibilang radikal isis teroris, kalo nonis cuma dibilang oknum paling hihihi</t>
  </si>
  <si>
    <t>@black__valley1 Pak @mohmahfudmd @jokowi yg begini diurusin juga pak... jgn anak isis doang...</t>
  </si>
  <si>
    <t>RT @PDI_Perjuangan: Pemerintah Evakuasi WNI Yang Berada di Kapal Pesiar World Dream  #PDIPerjuangan</t>
  </si>
  <si>
    <t>RT @Widyarenee: AJAIB !! Menjelang kedatangan bocah &amp; 200 ISIS dr seberang laut...tiba2 200 pohon Mahoni yg raib tau2 muncul di taman Monas. Cm di Indonesia bisa begini... 😁😁😏</t>
  </si>
  <si>
    <t>Pasukan Katak Diterjunkan Jaga 188 WNI ABK Kapal World Dream</t>
  </si>
  <si>
    <t>3 WNI yang Positif Corona Ditangani Pemerintah Jepang</t>
  </si>
  <si>
    <t>@Paltiwest ISIS BUKAN..</t>
  </si>
  <si>
    <t>@arieoz @DesyArsud Semoga Semua WNI di Korea Sehat dan Baik2 saja👍💕</t>
  </si>
  <si>
    <t>• Nama Lengkap: Madha Rafardhan • Panggilan: Madha • Tempat, Tanggal Lahir: Yogyakarta, 13 Desember 1995 • Kewarganegaraan: WNI • Domisili: Denpasar, Bali.</t>
  </si>
  <si>
    <t>@syedsaim_mir @theLoveTeddy @Mdzeeshanayyub Waris pathan hmari kaum ka ni hai na owaisi pakistsn zindabad ke naare hmari kaum ni lgati isis hmari kaum ki ni hai na hizbul na al qaeda</t>
  </si>
  <si>
    <t>Pemerintah Pastikan Evakuasi 68 WNI di Kapal Diamond Princess Pakai Pesawat  #DariSuara</t>
  </si>
  <si>
    <t>RT @vivanewscom: Kesaksian WNI Kerja Ilegal di Perkebunan Australia  #vivanews</t>
  </si>
  <si>
    <t>Observasi WNI, Panglima TNI: Mudah-mudahan Besok Ombak Kepulauan Seribu Tidak Besar #ABK #Sebaru #RepublikMerdeka</t>
  </si>
  <si>
    <t>RT @IdEmbassy_Seoul: Simak wawancara Dubes @UmarHad73314840 dengan @Metro_TV pagi ini tentang situasi terkait wabah COVID-19 di Korsel.  @Kemlu_RI @sofia_sudarma</t>
  </si>
  <si>
    <t>Menteri Luar Negeri Retno Marsudi mengatakan dari total 78 WNI yang menjadi kru Diamond Princess, hanya 68 yang akan dievakuasi.</t>
  </si>
  <si>
    <t>@067fd754b2114fd Isis , Fpi.</t>
  </si>
  <si>
    <t>#Hindu_Is_Terrorist buat tagar atas perbuatan Hindutva itu sama aja kek #Islam_Is_Terrorist buat ISIS, #Christian_Is_Terrorist buat KKK, ato #Buddha_Is_Terrorist buat BBS. Ya smuanya teroris klo gitu.. 😁</t>
  </si>
  <si>
    <t>@jeruknyelap bukan WNI kali giii</t>
  </si>
  <si>
    <t>@free_thinker Spoke person for ISIS, Lashkar, Jamat, SiMi, Indian Mujahedin.</t>
  </si>
  <si>
    <t>spa mnaro bawang di yutub bbc ina yg wni tnp identitas heh imm kryyy kray😭</t>
  </si>
  <si>
    <t>Pemerintah memutuskan untuk mengevakuasi WNI ABK Diamond Princess dari Jepang dengan menggunakan pesawat terbang.</t>
  </si>
  <si>
    <t>RT @MikirSok: #islamphobia mulai playing victim di #Hindu_Is_Terrorist , mereka tdk trima&amp; menyamakan dgn Isis dri islam. Isis itu extrimis terlatih, dlatih organisasi, didanai utk membunuh demi kepentingan politik, india mreka rakyat biasa yg memang benci islam aja, JELAS BEDA #ShameOnIndia</t>
  </si>
  <si>
    <t>@Airin_NZ Naudzubillah mindalik, Ngeri ,knp ada pembelajaran spt itu pdhal msih ank kecil, Misal ank2 isis umur 9 thn ,7 thn lg sdh besar sdh jd ank remaja ,,kr2 menakutkan gak gayyyys sendainya da di kehidupan kita?</t>
  </si>
  <si>
    <t>Sebanyak 29 WNI tim sukarelawan MER-C Indonesia terus melakukan pembangunan RS Indonesia di Gaza, Palestrina. Walau serangan roket dari Israel masih berlangsung. #NewslineMetroTV</t>
  </si>
  <si>
    <t>RT @tempodotco: Menteri Luar Negeri Retno Marsudi memastikan hanya akan ada 68 WNI yang dievakuasi dari total 78 WNI awak kapal pesiar Diamond Princess, yang saat ini berlabuh di Yokohama, Jepang karena paparan virus Corona atau COVID-19.</t>
  </si>
  <si>
    <t>Puan Minta Pemerintah Cermat soal Evakuasi WNI ABK World Dream ke Pulau Sebaru</t>
  </si>
  <si>
    <t>Jangan ikut ikutan isis lah RT @_SJPeace_: This is the RSS, A Hindu Nationalist organization inspired by Nazis They have mobilized in India to create a Hindutva Republic They are hunting, beating Muslims. Burning down cities, homes and mosques THERE IS A GENOCIDE HAPPENING &amp; THE WORLD IS SILENT</t>
  </si>
  <si>
    <t>Eksklusif: Proses Evakuasi 188 WNI dari Kapal World Dream #TopNewsMetroTV</t>
  </si>
  <si>
    <t>Kesaksian WNI Kerja Ilegal di Perkebunan Australia  #vivanews</t>
  </si>
  <si>
    <t>Watch "Keturunan WNI tanpa identitas: 15 tahun terpisah, ibu dan anak bersatu kembali - BBC News Indonesia" on YouTube</t>
  </si>
  <si>
    <t>Menteri Luar Negeri Retno Marsudi memastikan hanya akan ada 68 WNI yang dievakuasi dari total 78 WNI awak kapal pesiar Diamond Princess, yang saat ini berlabuh di Yokohama, Jepang karena paparan virus Corona atau COVID-19.</t>
  </si>
  <si>
    <t>Setelah menjalani karantina karena berjangkitnya virus Corona, 188 WNI dievakuasi dari kapal pesiar World Dream yang berlabuh di Selat Durian, Kepulauan Riau. Mereka dipindahkan ke KRI Soeharso. #MetroMalam</t>
  </si>
  <si>
    <t>Artinya, jumlah WNI di kapal pesiar Diamond Princess yang terinfeksi virus corona berjumlah delapan orang.</t>
  </si>
  <si>
    <t>Woh to hai hi✔ + PFI +ISI +ISIS +KEJRIWAL RT @Rvi_India: @UnchaTiranga भाई मुझे सच में लगता है कि दिल्ली के मुsalmaन यहाँ के मुख्य अपराधी हैं।</t>
  </si>
  <si>
    <t>@JoniSukaPaha @777juniblack @mohmahfudmd Makin kesini, saya sbg pendukung Jokowi juga agak kesel ya. Walau dukung tp ga buta juga. Ngeliat keputusan yg begini bikin marah juga, udah tau bibit teroris msh mau dipulangin Pak Mahfud ? Pak, apa ga ad urusan lain yg lbh penting gitu dibanding anak anak ISIS ini ? Cc @jokowi</t>
  </si>
  <si>
    <t>@jokowi Sekalipun jangan menerima anggota ISIS meskipun anak-anak! Karena sebagiannya juga sudah ada yg memegang senjata dan ditanamkan pemikiran bahwa yang tidak sepahaman dengan ISIS akan dihalalkan darahnya!!! Jangan menerima!!</t>
  </si>
  <si>
    <t>Duh jadi inget ISIS RT @rendihanesa: @merdekadotcom India rasis, biadab.</t>
  </si>
  <si>
    <t>@INCIndia @priyankagandhi Tumara kuch nhi ho sakte saath mein Kerala k ISIS k recruiter ko lekhar ghoom rahe h</t>
  </si>
  <si>
    <t>@adysiswanto12 Sumpah kode etik itu apakah lebih tinggi dari pada UUD 1945, yg berlaku untuk semua WNI, baik sipil maupun militer?</t>
  </si>
  <si>
    <t>Pulau Sebaru Kecil adalah pulau tak berpenghuni yang dijadikan sebagai tempat karantina 188 WNI dari kapal pesiar World Dream.</t>
  </si>
  <si>
    <t>@jokowi Mohon maaf pak,saya tidak setuju dengan pemulangan siapapun mereka yg udah exs WNI</t>
  </si>
  <si>
    <t>@V_Stone_Kardol @mohmahfudmd Baru tau sekarang si @mohmahfudmd pro isis n berniat ternak teroris di indonesia</t>
  </si>
  <si>
    <t>Yang terhormat pak Presiden @jokowi &amp; pak Menkopolhukam @mohmahfudmd, semoga mata hati &amp;amp; nurani anda terketuk. Ini baru contoh kecil saja. Begitu bny anak2 NKRI yg perlu "kehadiran" negara/pemerintah, ktimbang anak2 kombatan ISIS yg hendak kalian perjuangkan. RT @black__valley1: PAK POLISI MENOLONG PENCURI. Seorang bapak penjual es gepeng keliling nekat mencuri 1 kotak susu bayi SGM yang harganya Rp 37.000 di Kuripan Lor Pekalongan Selatan. Sebetulnya dia niat untuk membeli susu namun uang nya kurang, akhirnya dia nekat memasukan susunya ke bajunya,</t>
  </si>
  <si>
    <t>@ridlwandjogja @PrijaRabbani_ Takut dia. Karena sudah ada contoh eks WNI yg gabung ISIS, ktka gagal sengsara mrk disana. Jadi cuma berani teriak2 di dlm negeri.</t>
  </si>
  <si>
    <t>Pemprov DKI: Warga Tak Perlu Cemas soal Kedatangan WNI ABK World Dream</t>
  </si>
  <si>
    <t>@Takviri Ngapain sih pak ngurusi anak2nya EX ISIS....masih banyak lho di negeri ini anak2 yg butuh perhatian...</t>
  </si>
  <si>
    <t>@V_Stone_Kardol @mohmahfudmd Oh begitu kualitas si @mohmahfudmd Baru tau dia pendukung isis</t>
  </si>
  <si>
    <t>MAHASISWA BERNAMA HUMAIDI ZAHID TERSEBUT PULA MENARUH KECEWANYA TERHADAP PEMERINTAH INDONESIA............. #Corona #VirusCorona #Wuhan #China #coronavirus #CoronavirusOutbreak</t>
  </si>
  <si>
    <t>@segarabanyu1 @rinichan02 Kok rasanya seprti di~khianati pacar ya ? Sakit banget sy denger pernyataan dia soal anak2 ISIS ini. Kemrin2 masih coba sabar, dr periode pertama sy berjuang bener2 utk pakde. 😌😌</t>
  </si>
  <si>
    <t>KRI Dr. Soeharso Jemput 188 WNI di Kapal World Dream  #pdiperjuangan</t>
  </si>
  <si>
    <t>RT @effendy_seven: @tjapoenglaut @jokowi Mengutuk keras teroris doang dia mah, tapi benih2 nya mau diambil lagi untuk apa entahlah 🤓 Korban bom cuma dikasih ucapan turut berduka. Alasan gak ada biaya untuk pengobatan korban bom. Tapi aneh ada dana untuk pulangkan keluarga ISIS ex WNI. Nyesek.</t>
  </si>
  <si>
    <t>Isis mijou mh cama td 😤😤</t>
  </si>
  <si>
    <t>@Tutut73233426 @Tanpaagama Kenapa selalu islam ya gaes ? Disini islam di india islam di timur isis islam juga. Ada apa sih dengan islam sebenarnya ?</t>
  </si>
  <si>
    <t>Pemerintah Evakuasi 188 WNI Kru Kapal Pesiar World Dream Kamis, 27 Februari 2020 Kanal Peristiwa</t>
  </si>
  <si>
    <t>Pentagon Kehilangan Persenjataan Senilai 715 Juta Dollar Di Suriah</t>
  </si>
  <si>
    <t>Larangan Masuk' Saudi Karena Corona, Dubes Agus Maftuh Upayakan WNI Bisa Umrah</t>
  </si>
  <si>
    <t>Yth Bpk/Ibu Masyarakat Indonesia di Provinsi Sindh, terlampir disampaikan imbauan KJRI Karachi kepada seluruh WNI dan Diaspora Indonesia di Wilayah Provinsi Sindh, khususnya Karachi untuk selalu waspada terhadap penyebaran Virus Corona (COVID-19) #negaramelindungi #peduliWNI</t>
  </si>
  <si>
    <t>RT @alvinbolang_: Dapet info dari tamu, "mas alvin ini gmn masih aman ke pulau seribu??"</t>
  </si>
  <si>
    <t>@karimnas_ @DukeCondet Isis bukan islam pak :) jd kalo mereka teroris, isis bukan islam. Aliran sesat tidak bisa digandeng didalam agama yg benarnya. Smaa juga agama lain yg kristen, budha dll.</t>
  </si>
  <si>
    <t>Mengintip lokasi observasi 188 WNI kru kapal pesiar World Dream di Pulau Sebaru Kecil, Kepulauan Seribu.</t>
  </si>
  <si>
    <t>@Syahtyfit_ heh di sana aja udah siaga satu, lagi urgent soal corona. bahkan udah dihimbau untuk gak pergi dulu kesana, wni aja mau dipulangin kok. lo tau corona gak sih? nganggep enteng amat</t>
  </si>
  <si>
    <t>@AjiMulyaji2 @wahhabicc_jabar @winarno4551 @jokowi Penghianat bangsa penghianat negara kok mau dipulangkan? Enak benar anggota dan anak isis... Jokowi kok lemah banget skrg? Ada tekanan dari kadrun atau ormas Islam radikal?</t>
  </si>
  <si>
    <t>@robbo1_87 @IndiaToday @sardesairajdeep Tumhe me RSS walon ne paida Kiya hoga, Sab RSS hi krti hai. ISIS , Al-qaida Hizbul Muzahideen sab RSS ne bnaya hai. Baki sab dudh k dhule Hain. Abe kitna andha bnoge be.....</t>
  </si>
  <si>
    <t>RT @kompascom: Muhadjir mengatakan 68 WNI yang akan dievakuasi ini telah melalui pemeriksaan kesehatan dari Jepang dan dinyatakan negatif dari infeksi virus corona.</t>
  </si>
  <si>
    <t>@Lembayung071 Pak @jokowi dan @mohmahfudmd tapi mengapa kami di anak tirikan dan tidak adil lalu apa gunanya kami ini tetapi hal saja yaitu tolong sebutkan jasa jasa teroris eks WNI itu kepad negara ini agar kami si anak tiri ini paham</t>
  </si>
  <si>
    <t>@MikirSok Kalau emang ada yang merasa jadi benci hanya karena baca "isis itu islam" BERARTI ITU ORANG GOBLOGNYA SAMPE BERAKAAAAR.</t>
  </si>
  <si>
    <t>RT @harihariono1: @wiwin40718731 @wahhabicc_jabar @Takviri @jokowi Apakah @jokowi ini agen isis yg nyamar jadi presiden ?????</t>
  </si>
  <si>
    <t>@ChusnulCh__ Anak ISIS difasilitasi pulang🤦‍♀️</t>
  </si>
  <si>
    <t>@Takviri Pak @mohmahfudmd serba salah, dipulangin jadi bom waktu. Ga dipulangin, lah wong ini demi ukhuwah islamiyah. Dia lupa klo Pak Jokowi kan sudah menyebut gerombolan ini sebagai EX. WNI yg berarti sudah bukan warga negara kita</t>
  </si>
  <si>
    <t>@SilentHug_ Kalo tagar islamisteroris tp yg nglakuin isis, gmna coba,,, kami jg ga terima dong,,, Diksinya jelas, hanya menyebut hidu doang</t>
  </si>
  <si>
    <t>@Aryprasetyo85 @ganjarpranowo 😢😢 Masih banyak anak2 bangsa Indonesia (WNI) yang sangat perlu diperhatikan. Anak perlu susu, sehingga berbuat seperti pd Video. 😢 Mari focus merawat &amp; membantu anak2 WNI. cc: @mohmahfudmd @KemensosRI @KPAI_official</t>
  </si>
  <si>
    <t>Pak @jokowi pak @mohmahfudmd di dlm negeri masih terjd yg spt ini, knp mesti urus anak2 ex WNI yg bergabung dg ISIS?? Belum lg @KPAI_official jg yg lbh banyak umbar kebodohan drpd kerja keras bermanfaat buat anak2 Indonesia sbgmn tujuan lembaga ini dibentuk @Takviri @PakatDayak RT @kumparan: Tiga anak di Tapanuli Selatan, Sumatera Utara, punya kebiasaan memakan sabun karena tidak ada yang mengurus. Ibunya sudah menikah lagi, sedangkan ayahnya dalam kondisi stres. Untuk memenuhi kebutuhan sehari-hari, mereka dibantu oleh para tetangga. #TopNews</t>
  </si>
  <si>
    <t>@Lembayung071 Cobak tegas pak @jokowi @mohmahfudmd soal eks WNI ini dengan menyebutkan dosa dosa kami agar kami tahu alasan mengapa kami yang jelas tidak ada ikatan dengan teroris tapi kami tak pernah di berlakukan adil dan makmur. Dan sebutkan pula apa jasa jasa eks WNI itu kepada negara ini</t>
  </si>
  <si>
    <t>Cerita WNI yang Bertahan di Daegu, Kota Hantu di Korsel Akibat Virus Corona  via @antvnewsplus</t>
  </si>
  <si>
    <t>Kenapa pride ke 2 jadi begini ? Cc @PDI_Perjuangan @kaesangp tolong sampaikan kepada bapak berpikirlah jernih masih banyak anak YATIM PIATU Di Indonesia Yang lebih kayak untuk dipikirkan Dan perjuangkan! Bukan ex ISIS yg sdh terpapar RADIKAL Dr kecil Terimakasih @mohmahfudmd ? RT @jokowi: Kita memang masih memberi peluang untuk yatim, yatim piatu, yang masih anak-anak di bawah 10 tahun. Tapi kita belum tahu apakah ada atau tidak ada. Semua akan terlihat setelah proses identifikasi dan verifikasi nantinya.</t>
  </si>
  <si>
    <t>Muhadjir mengatakan 68 WNI yang akan dievakuasi ini telah melalui pemeriksaan kesehatan dari Jepang dan dinyatakan negatif dari infeksi virus corona.</t>
  </si>
  <si>
    <t>Isis eks WNI adalah penghianat</t>
  </si>
  <si>
    <t>188 wni berhasil dievakuasi dari kapal world dream</t>
  </si>
  <si>
    <t>Dua WNI ABK Diamond Princess Pilih Tetap di Jepang</t>
  </si>
  <si>
    <t>Pemerintah menyediakan fasilitas yang lebih baik untuk 188 WNI yang menjalani masa observasi terkait wabah virus corona di Pulau Sebaru</t>
  </si>
  <si>
    <t>RT @antaranews: ".. ada dua warga negara kita yang memilih untuk tetap tinggal. Sekali lagi, evakuasi ini sifatnya sukarela," #DiamondPrincess</t>
  </si>
  <si>
    <t>RT @KTabahawa: @jokowi @C_AjiMahameru52 Bisakah berhenti sejenak tentang tal tal tol tol ini? Benarkah anak2 mantan wni yg gabung isis akan dijemput? Bagaimana dgn pembiayaan pengobatan korban bom yg juga anak2? Bagaimana dengan gereja yg di Pulau Karimun Kepri. Bapak Sudah tidak punya nuranikah? Cc.@oneaperture</t>
  </si>
  <si>
    <t>@Airin_NZ Duh Pak @jokowi itu anak kecil mungkin baru 2 tahun kurang Pak,coba Pak @mohmahfudmd dipikirkan kembali untuk memulangkan anak2 ex wni pro ISIS ini</t>
  </si>
  <si>
    <t>Evakuasi 68 WNI di Yokohama Jepang Siapkan Kapal Diamond Princess</t>
  </si>
  <si>
    <t>RT @masbarno: @jokowi @q___cilik Mending ini Pak daripada ex ISIS</t>
  </si>
  <si>
    <t>@AnakKolong___ @mohmahfudmd Byk ya yg senang ngomong ttg ham? ttg anaq2 isis yg notabene spt bom waktu itu? gmne dgn ham 260jt rakyat nkri? Yg berhak hidup tnp was2 dan tnp dihantui ketakutan??? MIKIRRRR!!!😑 @KomnasHAM @mohmahfudmd @jokowi</t>
  </si>
  <si>
    <t>@shiaLebaou @DepokXerof @tembangjiwa Jngan ska bgitu...amblas smua jngan ska bawa bwa islam...islam itu rohmatan lilalamin..jdi jngan usik agam kami..dan jngan bawa bwa islam isis.kta ngga ada ursan sma isis..sma tkang korp..di indo koruosi sdh kronis jngan sok sucu..ok</t>
  </si>
  <si>
    <t>BNPB menyebut fasilitas untuk observasi WNI anak buah kapal World Dream di Pulau Sebaru Kecil, Kepulauan Seribu lebih baik daripada fasilitas serupa di pulau Natuna.</t>
  </si>
  <si>
    <t>@Lembayung071 @MudasirRomini @jokowi @mohmahfudmd Memang bapak bapak yg terhormat ini apa lebih terhormat klo eks wni itu di pulangkan . apa dosa dosa kami kepada bapak bapak ? sampai sampai kami di negri sendiri tidak di berlakukan adil.</t>
  </si>
  <si>
    <t>RT @okezonenews: KBRI Riyadh Upayakan WNI Pemegang Visa Umrah Bisa Masuk Arab Saudi #TauCepatTanpaBatas #BeritaTerkini #International #BeritaInternasional .</t>
  </si>
  <si>
    <t>RT @niningasih: Pemerintah saat ini tengah bernegosiasi agar dapat menjemput sisa WNI yang berada di kapal Diamond Princess. Meski begitu, Terawan mengatakan pemerintah tidak akan gegabah menjemput para WNI tersebut.</t>
  </si>
  <si>
    <t>Kesulitan berasimilasi imigran muslim ini lah yang kemudian memunculkan praktek diskriminasi terhadap imigran muslim di Eropa, sehingga memunculkan paham radikalisme, makanya banyak dr warga muslim eropa yg bergabung ke ISIS.</t>
  </si>
  <si>
    <t>@cah_bagus05 @tembangjiwa isis mending diem</t>
  </si>
  <si>
    <t>Sesuai Arahan Presiden, KRI Dr. Soeharso Jemput 188 WNI di Kapal World Dream</t>
  </si>
  <si>
    <t>RT @harihariono1: Anak² ISIS lebih penting pemerintahan ini. @mohmahfudmd</t>
  </si>
  <si>
    <t>RT @Robert__Moses: Banyak yg lebih penting Boss dari pada ngurusin antek antek ISIS itu Apakah klo anak kecil itu sdh jaminan akan terbebas dari virus Radikal...Intoleran....Khilafah ...? Jgn biarkan Negeri ini di rasuki oleh virus" ISIS 💥💥💥 #AnakISISbibitKhilafah #AnakISISbibitKhilafah</t>
  </si>
  <si>
    <t>KBRI Riyadh Upayakan WNI Pemegang Visa Umrah Bisa Masuk Arab Saudi #TauCepatTanpaBatas #BeritaTerkini #International #BeritaInternasional .</t>
  </si>
  <si>
    <t>2 WNI ABK Diamond Princess Tolak Dievakuasi #TauCepatTanpaBatas #BeritaTerkini #Berita #News #BeritaNasional .</t>
  </si>
  <si>
    <t>Bukti Politisasi ISIS Terhadap Dalil Khilafah (Bagian V)</t>
  </si>
  <si>
    <t>Negara Lakukan Verifikasi dan Pencucian WNI Eks Kombatan ISIS</t>
  </si>
  <si>
    <t>@MikirSok Gua ga bilang islam itu isis ya, gua bilang isis itu islam. Karena agama mereka emang islam semua isinya. Lu bisa bedain ga antara "isis itu islam" dengan "islam itu isis" bisa ga dibedain?</t>
  </si>
  <si>
    <t>@MikirSok Isis mereka agama islam tapi ekstrimis. Jadinya? Ekstrimis Islam.</t>
  </si>
  <si>
    <t>Pdhl yg ngejalanin isis org as sendiri,teroris2 di cuci otaknya sama org2 sana, tapi as sok2an ngusir islam, islam agama teroris, pdhl pembunuh yg sebenernya ya mereka sendiri RT @liem_id: Di Rohingya, Uighur, India muslim yg jadi korban ketidakadilan, kebiadaban dan kekerasan knp muslim yg di tuduh teroris ? Kalian lah teroris sesungguhnya ! #ShameOnYouIndia Pecah Kerusuhan, Bendera Hanoman Dikibarkan di Menara Masjid</t>
  </si>
  <si>
    <t>Muslim terrorism ne jalaai. 9/11 kisne liya , 26/11 kisne liya /bamiyaan buddha kisne tore/srilanka bombing kisne ki/2017 barcelona bombings al qaeda,ISIS , Burkina Faso , hezbollah , boko haram , Taliban, al shabab.list is very long &amp; not just limited to india. Get facts rights RT @nazmaaman: 2002-"Pehle Train kisne jalayi"? 2020-" Pehle Bus kisne jalayi"? Answer-Is sitting in Parliament, voted by you.</t>
  </si>
  <si>
    <t>@MikirSok Lah? Agama mereka anggota isis tapi Islam, kan? Tapi mereka ekstrimis. Ya udah berarti isis itu agamanya islam, ya kali agama mereka kong hu chu?</t>
  </si>
  <si>
    <t>".. ada dua warga negara kita yang memilih untuk tetap tinggal. Sekali lagi, evakuasi ini sifatnya sukarela," #DiamondPrincess</t>
  </si>
  <si>
    <t>@Ngk0ng__R__R @mohmahfudmd @jokowi Anak2 eks WNI pro ISIS ....tepatnya ???????????????????????????????????????? Why..!</t>
  </si>
  <si>
    <t>RT @Istricansjimin: #ShameOnYouIndia Tindakan apapun yang mengatasnamakan Tuhan untuk membunuh dan menindas umat beragama lain, itu salah. Mau itu tindakan ISIS ataupun perlakuan dari umat agama hindu di india sekarang kepada umat islam disana. (cont...)</t>
  </si>
  <si>
    <t>Pemerintah Putuskan Evakuasi 68 WNI ABK Diamond Princess Pakai Pesawat</t>
  </si>
  <si>
    <t>188 WNI Kru World Dream Dievakuasi ke Kapal TNI AL, Semua Negatif Corona. Hebat.... harus begitu dong pemerintah...</t>
  </si>
  <si>
    <t>188 WNI dari Kapal Dream World Sudah Dievakuasi Alhamdulillah.... begitulah tanggungjawab pemerintah...  via @hariankompas</t>
  </si>
  <si>
    <t>Pemerintah Pastikan Observasi WNI di Pulau Sebaru Gunakan Fasilitas yang Lebih Baik</t>
  </si>
  <si>
    <t>Teman" tolong RAS tagar berbau SARA yang digaungkan ISIS. Kerusuhan di India biar jadi tanggung jawab pemerintah India. Kita doakan kerusuhan tersebut segera bisa diatasi dan tidak ada lagi Korban jiwa. Tetap jaga persatuan dan kesatuan bangsa. #KitaSemuaSaudara #KitaIndonesia</t>
  </si>
  <si>
    <t>JUMPA PERS KEPALA BNPT TERKAIT ISU PEMULANGAN WNI EKS ISIS DARI SURIAH  lewat @YouTube</t>
  </si>
  <si>
    <t>@Nouna_jessica94 Anak ISIS difasilitasi sementara anak2 Negeri hampir mati makan sabun karena ketiadaan makanan. Semakin hari rakyat semakin paham maksud dari pernyataan Jokowi : SAYA TIDAK PUNYA BEBAN !</t>
  </si>
  <si>
    <t>Bukti Politisasi ISIS Terhadap Dalil Khilafah</t>
  </si>
  <si>
    <t>BNPT Lanjutkan Pembahasan WNI FTF  lewat @YouTube</t>
  </si>
  <si>
    <t>#MetroSiang Setelah terombang-ambing di laut, pemerintah akhirnya mengevakuasi 188 WNI yang bekerja di Kapal Pesiar World Dream. Proses evakuasi menggunakan KRI Soeharso di Selat Durian, Kepulauan Riau. #MetroTV</t>
  </si>
  <si>
    <t>Panglima TNI tinjau lokasi observasi 188 WNI di Pulau Sebaru-Kepulauan Seribu</t>
  </si>
  <si>
    <t>@narkosun Kenapa ngotot banget memulangkan anak2 isis eks WNI ya?</t>
  </si>
  <si>
    <t>@KienAnd_ harusnya, apapun yg berhubungan sama ISIS gak usa masuk indo lagi sampe kapanpun ..</t>
  </si>
  <si>
    <t>@Siskawidiantii1 Kirain isis</t>
  </si>
  <si>
    <t>Enakan jadi anak2 ex Isis di bandingkan jadi anak2 Indonesis yg ibunya pertiwi? @mohmahfudmd @jokowi @fadjroeL RT @AhlulQohwah: Sementara itu, di Tapanuli ada 3 anak kakak beradik yg kelaparan sampai harus makan sabun.</t>
  </si>
  <si>
    <t>RT @fadlizon: Fadli Zon Sayangkan Evakuasi WNI di Kapal Diamond Princess Sangat Lambat</t>
  </si>
  <si>
    <t>Banyak yg lebih penting Boss dari pada ngurusin antek antek ISIS itu Apakah klo anak kecil itu sdh jaminan akan terbebas dari virus Radikal...Intoleran....Khilafah ...? Jgn biarkan Negeri ini di rasuki oleh virus" ISIS 💥💥💥 #AnakISISbibitKhilafah #AnakISISbibitKhilafah</t>
  </si>
  <si>
    <t>Pt 2 Zion 🏆🥇 #rt</t>
  </si>
  <si>
    <t>RT @wanabu740: Senjata pembunuh terbaik adalah anak2 pak @jokowi @mohmahfudmd karena kita tidak akan tahu jika mereka tentara dan kita tidak akan tega menyakiti mereka. Isis tahu itu dan memanfaatkannya!</t>
  </si>
  <si>
    <t>ngapain Negara repot apa sudah gak ada kerjaan? selain urusi bayi2 ISIS pak @jokowi RT @narkosun: Enak ya disediakan rumah khusus segala. Padahal anak2 di Indonesia masih banyak yg hidupnya tidak layak. Keperluan Pemulangan Anak WNI Eks ISIS Sudah Siap.</t>
  </si>
  <si>
    <t>Pak @jokowi dan @mohmahfudmd ada salam dr anak-anak yatim piatu di indonesia yg punya keinginan kuat utk tetap sekolah tapi terkendala biaya. Sy punya 11 anak yg seperti mereka apa bapak mau bantu, seperti anak-anak isis itu?</t>
  </si>
  <si>
    <t>Batalyon Kesehatan 1 Marinir Pasmar 1, kembali mengirimkan para prajuritnya untuk melaksanakan evakuasi dan observasi Warga Negara Indonesia (WNI) dari kapal pesiar MV. World Dream ke Pulau Sebaru di Kepulauan Seribu.(26/02/2020)</t>
  </si>
  <si>
    <t>Panglima TNI tinjau lokasi observasi corona bagi WNI di Pulau Sebaru Kecil - ANTARA News Jawa Barat</t>
  </si>
  <si>
    <t>Di Perairan Kepri, Evakuasi 188 WNI dari Kapal Pesiar World Dream Berjalan Lancar</t>
  </si>
  <si>
    <t>@BangCepot77 @putramuhlas @jojo_r_q @uc_surabaya @merdekadotcom Haha....saya kan bilang tka alias tenaga kerja asing dr india. Kl yg wni ya nggak. Bisa dikomplen pak punjabi ntar saya 😆</t>
  </si>
  <si>
    <t>@rahul_dongre @Tripathispeak @vinodkapri Sorry mae terror camps mae nahi jaata sir Marae liye ISIS,JeM aur RSS jaise terroristo mae koi fark nahi hai.</t>
  </si>
  <si>
    <t>68 WNI ABK Diamond Princess di Jepang Akan Dievakuasi, 2 Memilih Tinggal  #beritaterkini</t>
  </si>
  <si>
    <t>Tiap pekan berupaya gimana caranya dapat sesuatu buat anak2 yatim kog negara memfasilitasi WNI yg udah ikut bela ISIS. jujur saya sudah kurang ngeh lagi sama cara fikir anda @mohmahfudmd dan @jokowi Kali ini saya ngga akan cantumkan awalan PROF dan PAK utk menyebut anda</t>
  </si>
  <si>
    <t>@mohmahfudmd , masih banyak pak, anak2 Indonesia yg butuh uluran tangan pemerintah, butuh tempat utk berteduh dan bermalam. Lha kok malah mulangkan anak2 Isis. Bener kata org tua dulu : Gajah dipelupuk mata tidak tampak, kuman diseberang lautan tampak</t>
  </si>
  <si>
    <t>@SalmaBrecht @jokowi ISIS ex. Wni itu lebih berbahaya dari virus Corona. Lagian pake istilah Pak Jokowi, mereka itu EX. WNI. BUKAN WNI !!!! Termasuk anak2 mereka !</t>
  </si>
  <si>
    <t>@ateamindonesia ya kan, tukang ojek ikut isis trus ngebom di bilangnya oknum. goblok</t>
  </si>
  <si>
    <t>@BattleHardenedz @tembangjiwa Isis brutal , bunuh orang gak bersalah jadiin istri korban sebai budak sex , padahal tidak menikah di jadikan budak sex eh isis agamanya apa?</t>
  </si>
  <si>
    <t>RT @yusuf_dumdum: Waspada, kelompok ISIS ini punya doktrin "taqiyah" (berpura-pura) di depan musuh. Dengan kata lain, eks ISIS ini mudah berbohong! #AwasAntek2ISIS</t>
  </si>
  <si>
    <t>Saudi Hentikan Visa, WNI Tak Bisa Umrah Sementara Waktu</t>
  </si>
  <si>
    <t>Inget ga sih waktu 2018 kemarin heboh banget ISIS (yang katanya islam) bikin bom bunuh diri di beberapa tempat, termasuk di tanah kelahiran aku di Riau. Trus kita gembor gemborin #TeroristHasNoReligion ?</t>
  </si>
  <si>
    <t>sama kayak akal akalan barat bikin ISIS supaya bisa nyolong minyaknya Syria</t>
  </si>
  <si>
    <t>@jokowi Bapak Presiden Yang Kami Muliakan . ISIS adalah Gerombolan yang ingin Mengkhilafahkan Dunia termasuk Indonesia, mereka memulai dinegara negara timur tengah tapi mereka Gagal Krn Negara negara timur tengah Menolak . ISIS itu kejam dari anak kecil sampai dewasa mesin Pembunuh</t>
  </si>
  <si>
    <t>@Elina_Vay @jokowi @BobbyIrwanda "Kemarin setelah rapat beberapa kali kemudian kita putuskan terlebih dulu yang ada di World Dream. Jumlahnya lebih banyak, 188 orang yang itu juga berada di dekat kita. Sehingga kita putuskan, saya perintahkan ini diselesaikan dulu,"</t>
  </si>
  <si>
    <t>Ga ada guna bela belain @jokowi... bukannya pamrih lho ya Tapi dia jg ga peduli ama pendukungnya... kebijakan2 nya malah tidak sama sekali menunjukan simpati atau empati ama pendukungnya Contohnya intoleransi dan pemulangan ISIS.. omongannya semua ga ada jd kenyataan RT @AjiMulyaji2: @wahhabicc_jabar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</si>
  <si>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Kdang kalau ISLAM yg berbuat pasti di kait2 kan dengan teloris ISIS giliran agama lain biadap sma orng ISLAM pakai istilah toleransi segala memang ISLAM mngajarkan tentang perdamaian beragaman sesama manusia, tapi kalau udh merendahkan kan ISLAM itu beda ursan #Hindu_Is_Terrorist</t>
  </si>
  <si>
    <t>RT @Mulia07094480: @jokowi Jika Negri ini di masuki lagi Isis maka lengkaplah derita rakyat....... Koruptor sudah membunuh rakyat secara tidak langsung,,, di tambah Isis yg langsung biadab membunuh. .. Sudah jatuh ketimpa tangga. ...</t>
  </si>
  <si>
    <t>Evakuasi 188 WNI kru kapal pesiar World Dream langsung dijemput oleh kapal perang KRI Soeharso-990 di Perairan Selat Durian pada Rabu (26/2) siang. Sebanyak 39 ahli kesehatan dan satgas gabungan juga akan diberangkatkan ke Pulau Sebaru. #CNNIDAfter10</t>
  </si>
  <si>
    <t>@miqa0912 @jokowi *Nyangkut² masalah ex ISIS, *Pengancaman menjadi teroris, biar dihidupin negara....??</t>
  </si>
  <si>
    <t>@SyarifAlkadrie3 Bagai mana dengan isis ? Yang bela agama samapi bunuh orang tidak bersalah ? Seluruh orang mengecam isis bukan agamanya .</t>
  </si>
  <si>
    <t>Badan Nasional Penanggulangan Bencana memastikan logistik untuk observasi WNI dari kapal World Dream di Pulau Sebaru telah disiapkan. 188 anak buah kapal tersebut diperkirakan sampai di lokasi observasi Jumat (28/2) sore. #CNNIDAfter10</t>
  </si>
  <si>
    <t>belum lagi negara maju ini punya sistem karantina yang aduhai, dimana terdapat sebwah pulao terdepan yang dijadikan karantina yang warganya sangat welkam mau berbagi derita dengan saspek WNI dari Wuhan.. warbiyasa..</t>
  </si>
  <si>
    <t>@HanifaInayah @Ekayudhaandrian Terus yg ISIS itu kambing hitam kah?</t>
  </si>
  <si>
    <t>RT @Delman59979970: @yanto51541275 @yanto51541275 Klo ISIS yg ngebom "teroris ga punya agama" eeeh giliran kelompok lain lgsg deeeh 😂😂</t>
  </si>
  <si>
    <t>Kejadian di india, harusnya bisa bikin kita yang muslim bersyukur tinggal di indonesia, dan bisa lebih toleran lagi ke sesama WNI #bubarkanPKS 😂🤣</t>
  </si>
  <si>
    <t>188 WNI yang bekerja di kapal pesiar World Dream, akan menjalani masa observasi selama 14 hari di Pulau Sebaru Kecil, Kepulauan Seribu, Jakarta. POT . #Covid-19 #VirusKorona #CoronaVirus #KapalWorldDream #WNI #BuletiniNewsPagi #GTVNews</t>
  </si>
  <si>
    <t>@merdekadotcom Katanya dl partai nasdem yg brjasa membebaskan wni dr sanderaan abu sayaf. Ayo skr lakukan lg</t>
  </si>
  <si>
    <t>.. jalur air/ laut : Tenggelamkan! Jalur tanah/ darat : hanya malaisya negara berbatasan darat yang terjangkit, PNG dan Timor Timur (iya..iya Timor Leste) belom. daaan tau sendiri kan gimana Malaisya.. kalopun ada WNI terjangkit, pasti sudah mereka klaim.. (dasar pencuri)</t>
  </si>
  <si>
    <t>RT @yudhapati88: @AnakKolong___ minoritas muslim bbrpa kali melakukan terror di India.. islamist india ekstrimist berafiliasi dgn Al Qaeda , Taliban sejak lama.. yg baru2 ini dgn ISIS</t>
  </si>
  <si>
    <t>188 WNI Dievakuasi, Ini Tiga Rumah Sakit Rujukan Suspect Virus Corona</t>
  </si>
  <si>
    <t>Diperkirakan perjalanan memakan waktu dua hingga tiga jam untuk tiba di Pulau Sebaru.</t>
  </si>
  <si>
    <t>@0m_Sugeng @jokowi @Ari3Pras Apanya yg lebay ? Yg lebay itu yg buta mata bhw di sini masih banyak anak-anak yatim piatu yg masih steril dari ISIS yg perlu diurus negara, ngapain pakai APBN buat urus anak-anak ISIS ? Kamu simpatisan ISIS, ya ? Masih kurang referensi dan bukti bhw ISIS itu kejam ?</t>
  </si>
  <si>
    <t>@Hilmi28 Sangat ekstrim! Ternyata hindu ada yang ekstrim macam #ISIS #ShameOnYouIndia</t>
  </si>
  <si>
    <t>Kalau negara ingin damai, jangan pulangkan eks WNI ISIS. Kita perlu melindungi seluruh warga negara yg sehat. Kita kudu menjaga mereka semua. Jadi jangan dipulangkan yg sudah keluar dari NKRI. Mereka akan merusak cepat atau lambat.</t>
  </si>
  <si>
    <t>@HeriSahaja1 @CasperBeWin1 @Stevaniehuangg Maitrah islam keparat..isis islam pengebom @Yogismd1 wkwkwk🤣</t>
  </si>
  <si>
    <t>@Takviri @adi_iswantoro Mari kita dorong pak @mohmahfudmd menyiapkan karpet Merah untuk Anak-anak ISIS INDONESIA di Kantor @PolhukamRI dan Spanduk besar: SELAMAT DATANG ANAK-ANAK ISIS INDONESIA kami merindukan kepulanganmu.</t>
  </si>
  <si>
    <t>RT @buzgedebuz1: Yg salah agamnya apa orangnya? Thinking smart bro 😊 Ga ada agama yg mengajarkan keburukan Fakta orang muslim bnyak menjadi tentara ISIS, yg SALAH ORANGNYA, BUKAN AGAMNYA Fakta orang hindu di India menindas orang muslim, yg SALAH ORANGNYA, BUKAN AGAMANYA. #Hindu_Is_Terrorist</t>
  </si>
  <si>
    <t>Anak ISIS lah diurusin. Masih banyak anak Indonesia yang butuh diperhatikan. Pak @jokowi @mohmahfudmd @fadjroeL gimana ini?</t>
  </si>
  <si>
    <t>Skema Evakuasi Terbaik bagi WNI di World Dream dan Diamond Princess, Jokowi: Tidak Bisa Tergesa-gesa</t>
  </si>
  <si>
    <t>@naqsya77 @BudiAmbar3 jangan paok plis. NEGARA YG MAYORITASNYA ISLAM BELUM TENTU SISTEMNYA KHILAFAH. BUKTINYA? YA INDONESIA PUN TERMASUK. lah lo kata yg nyiptain isis itu Islam ape? makannya gausah sok iye, khilafah nanti tegak udah ga ada negara2, semua dalam satu.</t>
  </si>
  <si>
    <t>@ance_top @ImanuddinTeguh @Wongso_Soebali @zarazettirazr @Stevaniehuangg Apakabar isis yg sudah membunuh jutaan umat di seluruh dunia</t>
  </si>
  <si>
    <t>TNI AL memfasilitasi evakuasi WNI Anak Buah Kapal (ABK) MV. World Dream menuju KRI dr. Soeharso-990 di Perairan Selat Durian, Kepulauan Riau, pada hari Rabu (26/2). via @_TNIAL_ #VirusCorona #ElshintaEdisiSiang</t>
  </si>
  <si>
    <t>@jokowi Kayak Indonesia ini kebanyakan duit aja Pak... Rakyat yang di sini susah banget hidupnya, harga pada naik; eeeh pemerintah malah berencana membiayai anak-anaknya ISIS. Halah....halah.... Capek Pak begini terus.</t>
  </si>
  <si>
    <t>KPAI ngurusin sperma sama batminton aja gak becus mau ngurusin anak eks wni apa bisa ? 🤔🤔🤔 RT @Ngk0ng__R__R: KPAI: Pemerintah Wajib Lindungi Anak WNI Eks ISIS  Okelah UU mengatakan demikian (perlindungan anak), tapi bagi mereka yg sudah membakar passport mereka dan melahirkan anak di sana, apakah mereka masih termasuk WNI pak @mohmahfudmd @jokowi ?</t>
  </si>
  <si>
    <t>Ini yg akan terjadi jika kita msh terpaku dgn segala sesuatu berbalut agama. I'm a muslim but I'm not proud with that. Indonesia negara multi etnis, multi agama dan multi bahasa. JANGAN ISIS KAN INDONESIA. RT @Mentimoen: New Delhi rusuh, kelompok kanan Hindu menyerang warga muslim. Terakhir korban sdh 27 nyawa. Karena itulah India tidak akan bisa maju, ada kebencian antar warga yg masih mencekam disana.</t>
  </si>
  <si>
    <t>RT @gg_bgt: banyak cara untuk jihad di jalan Allah, mulai dari mensedekahkan harta, sayang kepada orang tua. hati hati propaganda selama ini di internet. laporkan pihak berwajib sebaiknya jika sudah sangat meresahkan #ISIS #Bukan #Islam #Khilafah</t>
  </si>
  <si>
    <t>@eyetothesees isis tanghaling tapat</t>
  </si>
  <si>
    <t>Yg salah agamnya apa orangnya? Thinking smart bro 😊 Ga ada agama yg mengajarkan keburukan Fakta orang muslim bnyak menjadi tentara ISIS, yg SALAH ORANGNYA, BUKAN AGAMNYA Fakta orang hindu di India menindas orang muslim, yg SALAH ORANGNYA, BUKAN AGAMANYA. #Hindu_Is_Terrorist</t>
  </si>
  <si>
    <t>@ade_isran Isis jg ngancurin semuanya.. bhkan sodara sesama muslim..isis kan org muslim juga. Gmn mnurut lo?? Bom d indo jg dilakukan org muslim? Gmn pndpat lo.??</t>
  </si>
  <si>
    <t>Pemprov DKI Minta Warga Tak Panik Terkait Observasi WNI di Pulau Sebaru #TauCepatTanpaBatas #BeritaTerkini #BeritaTerkini #NewsUpdate .</t>
  </si>
  <si>
    <t>@rotatimu @jokowi @Kemenag_RI @PolhukamRI @mohmahfudmd Ini urusan bernegara, semua org punya hak yg sama, lagian klo sudah dukung Isis dan sejenisnya, istiqomah saja disana ngapain pingin balik ke negara thogut spt anggapan kalian</t>
  </si>
  <si>
    <t>@AnakKolong___ @mohmahfudmd @jokowi @DPR_RI @mprgoid @KemensetnegRI @setkabgoid @Kemenkumham_RI @kemendagri @BNPTRI Kebahagiaan anak cucu Indonesia sirna dikemudian hari bila anak EKS ISIS kembali. Mungkin tidak 3-5 thn ini terlihatnya sbg jihadis. INTOLERANSI sekarang ini awal radikalisme.</t>
  </si>
  <si>
    <t>@asbonbon Buibu merkyuri bisa nggak sih dia dicoret aja dari daftar WNI</t>
  </si>
  <si>
    <t>@nadiafairuzf Isis cemriwing koyok ndk antartika koyok e</t>
  </si>
  <si>
    <t>Kemenkes cari kandidat Psikolog untuk mendampingi para WNI Kapal World Dream di Pulau Sebaru, siap mengajukan diri... tapi setelah meyakinkan melalui telepon celular di 10 menit 46 detik, Suami tetap bilang 'tidak'. Oke Shiyap!</t>
  </si>
  <si>
    <t>@Takviri Pak @mohmahfudmd semoga sebelum dipulangkan mereka sudah kena virus corona dl biar gak sempet sampai ke Indonesia manusia2 itu *doa dari WNI yg cinta damai.</t>
  </si>
  <si>
    <t>RT @Lumbalaut1: @AnakKolong___ @ChusjairiMb Semoga anak cucu kita termasuk cucu pak @mohmahfudmd kelak bs rasakan bhgia hdup di negaranya sndiri ,mkpun anak2 ISIS mau dikumpulkan dsni.kelak mrk sama2 bsar.</t>
  </si>
  <si>
    <t>Pulangin anak ISIS eks WNI, trus lngsng shareloc yaa. Kan lumayan bisa di jadi in samsak.</t>
  </si>
  <si>
    <t>@gembus_1 @KPAI_official masih byk anak" diindonesia yg pwrlu diperhatikan drpd anak" isis pak @jokowi</t>
  </si>
  <si>
    <t>@mohmahfudmd Pak anda serius mau pulangkan anak ex isis? Ga mikirin apa kalo cucu bapak dan anak2 saya bisa jadi tumbal mereka nanti. Mereka didoktrin dr kecil ttg jihad. Tolong dipikirkan lagi pak. Terima kasih</t>
  </si>
  <si>
    <t>WNI di Kapal Diamond Princess Belum Dievakuasi, Ini Alasannya</t>
  </si>
  <si>
    <t>@kompascom Informasi Rencana Pemulangan Anak WNI Eks ISIS Hanya Boleh Dijawab Mahfud MD --Rabu, 19 Februari 2020--  via @suaradotcom</t>
  </si>
  <si>
    <t>RT @MaswibA: @AnakKolong___ @LahAkuKenapa Seperti nya itu salah satu anak-anak dari WNI eks ISIS, gitu..??? Patut waspada, nanti bila masuk sekolah umum di Indonesia.. becanda dikit, temen nya langsung di gorok leher nya... 😧😧🤦‍♂️🤦‍♂️🤦‍♂️</t>
  </si>
  <si>
    <t>@ddllonsew Seorang WNI?</t>
  </si>
  <si>
    <t>RT @abcaustralia_id: @jokowi Kru WNI kapal baru diperiksa kesehatannya dgn metode swab lendir di tenggorokan pada Kamis (20/02) &amp; Jumat (21/02) lalu. Selain opsi dievakuasi dengan KRI Dr Soeharso, sempat dikabarkan opsi 14 hari karantina di atas Diamond Princess. Tetapi mereka minta dijemput secepatnya.</t>
  </si>
  <si>
    <t>@AnakKolong___ @LahAkuKenapa Seperti nya itu salah satu anak-anak dari WNI eks ISIS, gitu..??? Patut waspada, nanti bila masuk sekolah umum di Indonesia.. becanda dikit, temen nya langsung di gorok leher nya... 😧😧🤦‍♂️🤦‍♂️🤦‍♂️</t>
  </si>
  <si>
    <t>Kenapa di negara sendiri gwe susah banget nyari kerjaan, tapi orang asing malah enak nyari kerjaan di negara gwe sendiri, ini yg asli WNI gwe apa orang asing si !!!!!!!</t>
  </si>
  <si>
    <t>@jiecheonsa @twitpos Siap mendengar berita “WNI dari Semarang yg berlibur di Indonesia, sangat membutuhkan perhatian dari pemerintah” Nek saranku kue urungkan niatmu si cho @rychorsa</t>
  </si>
  <si>
    <t>@IwanSumule86 Bahh, wni yg kadung keinfeksi aj...lemot ngejemputnya. Ini mau cepet2 buka pintu lebar2 buat warga asing. Gk cukup ngutang aj?!</t>
  </si>
  <si>
    <t>RT @tvOneNews: Gunakan KRI Soeharso, Pemerintah Evakuasi 188 WNI Kru Kapal World Dream  Dapatkan berita lainnya di tvOne connect #tvOneNews</t>
  </si>
  <si>
    <t>@jokowi saya mendukung progam ini pak.. tapi buat evakuasi anak2 ISIS EKS wni SAYA MENOLAK DENGAN KERAS apa mau bapak melihat anak2 Indonesia nantinya MATI</t>
  </si>
  <si>
    <t>Memfasilitasi anak anak isis eks wni untuk kembali adlh tentang sosial kemanusiaan. Semoga sehat terus prof @mahfumd.</t>
  </si>
  <si>
    <t>@Syahidakbar_ Kalau soal memberontak dan merasa benar sendiri coba tanyakan kepada isis, boko haram, teroris thailand, burma, uighur dan semacamnya</t>
  </si>
  <si>
    <t>@Spider__matriX @PolhukamRI Apaan sih profesor ini @mohmahfudmd ,masih banyak anak terlantar,yatim,piatu,yatimpiatu di Indonesia pak, kenapa cuma ISIS doang yg diurus..😪😪😪</t>
  </si>
  <si>
    <t>RT @salmank11282943: BJP is the ISIS of India.@narendramodi Inshallah Ham aaenge Aur Teri Kodi ko Mitti ke sath nikala Denge Narayan takbeer Allahu Akbar</t>
  </si>
  <si>
    <t>Presiden Terkendala Negosiasi Jepang Untuk Evakuasi WNI</t>
  </si>
  <si>
    <t>Simpatisan ISIS sudah menyesal? Itu hanya satu alasan supaya bisa memindahkan markasnya ke Asia Tenggara.</t>
  </si>
  <si>
    <t>Presiden Terkendala Negosiasi Jepang Untuk Evakuasi WNI  via @Indopolitika</t>
  </si>
  <si>
    <t>Kru WNI di Kapal Diamond Princess RT @abcaustralia_id: @jokowi Kru WNI kapal baru diperiksa kesehatannya dgn metode swab lendir di tenggorokan pada Kamis (20/02) &amp; Jumat (21/02) lalu. Selain opsi dievakuasi dengan KRI Dr Soeharso, sempat dikabarkan opsi 14 hari karantina di atas Diamond Princess. Tetapi mereka minta dijemput secepatnya.</t>
  </si>
  <si>
    <t>This why i called y’all real journalist, proud of u guys @BBCIndonesia Kalian keren:)) Keturunan WNI tanpa identitas: 15 tahun terpisah, ibu dan anak bersatu k...  via @YouTube</t>
  </si>
  <si>
    <t>Panglima TNI Marsekal Hadi Tjahjanto meninjau lokasi observasi untuk COVID-19 bagi 188 Warga Negara Indonesia (WNI) dari kapal World Dream di Pulau Sebaru Kecil, Kepulauan Seribu, DKI Jakarta, Kamis.</t>
  </si>
  <si>
    <t>@wahhabicc_jabar Lebih setuju mereka dberi tanda tatto anak isis djidatnya</t>
  </si>
  <si>
    <t>pemerintahan @jokowi daripada masukin bibit teroris ISIS ke Indonesia mending urusin anak2 terlantar dalam negri jangan buat warga Indonesia makin kecewa dengan kinerja pemerintahan Anda. Jikalaupun maksa tetap memulangkan Eks WNI tersebut semoga saja pesawat evakuasinya jatuh. RT @gembus_1: Ada yg harus lebih diutamakan daripada mengurus anak-anak eks ISIS Cc:@KPAI_official Ayahnya meninggal saat jenazah ibunya dimandikan</t>
  </si>
  <si>
    <t>Panglima TNI Hadi Tjahjanto meninjau lokasi observasi WNI di Pulau Sebaru Kecil - ANTARA News Bangka Belitung</t>
  </si>
  <si>
    <t>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</si>
  <si>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Seluruh fasilitas di Pulau Sebaru Kecil dinyatakan siap dan memadai untuk melayani 188 WNI kru kapal pesiar World Dream. #Liputan6SCTV</t>
  </si>
  <si>
    <t>@machbeach @Dennysiregar7 Belajar agama dari ISIS ya bgni nih..</t>
  </si>
  <si>
    <t>@nangrangdans HAH ada kak? asli baru tau, kok kepikiran aja lagi orang... NGAPAIN WNI YG DI KR AJA MAU BALIK INI MALAH KESANA DEMI DEMO😭😭😭😭😭😭</t>
  </si>
  <si>
    <t>RT @pendividia: @V_Stone_Kardol @mohmahfudmd gak kebayang anak ini kalau udah besar cari tau ibu bapaknya ....dan tau ibu bapaknya gak anggota isis dan gak boleh pulang oleh negara...apa gak dendam itu anak....???</t>
  </si>
  <si>
    <t>Padahal berkali2 presiden mengatakan 'TIDAK ADA INTOLERANSI!!!!!!!!! Cukup satu kombatan ISIS aja bisa membunuh hingga ratusan orang!!!! Simpatisan ISIS mau pulang karena sudah kalah, bukannya karena menyesal!!!</t>
  </si>
  <si>
    <t>Valentine versi ISIS. Pernah ga sih kalian Takut saat bertemu wanita bercadar ??? Cuma nanya lo yaa</t>
  </si>
  <si>
    <t>#Hindu_Is_Terrorist kaliang ngk sadar...? ISIS itu teroris dari agama apa "ISLAM" kan..</t>
  </si>
  <si>
    <t>RT @veedorkable: Utamakan kesehatan diri, WNI di Korea aja mau dipulangkan ini malah pengen ke ladang tempur. Think twice sist. Desperate boleh, cuma jangan sampai pikirannya gak jalan begini ya.</t>
  </si>
  <si>
    <t>@Parapat_Nixon @jokowi Dia fokus ngurusin Anak2 isis yg disiapin sgl fasilitasnya ' makanya ada anak2 dlm negri klaparan mkn sabun ga tau</t>
  </si>
  <si>
    <t>Corona: Dramatis, TNI AL Evakuasi 188 WNI dari Kapal World Dream #HariSenyumNasional #Corona</t>
  </si>
  <si>
    <t>@Andrechristwo apaleh in isis”</t>
  </si>
  <si>
    <t>ISIS harusnya ke India sadja, jgn ke Indonesia. Bentrok² dah klean semua disana. #ShameOnYouIndia RT @idtodayco: Stidknya 7 org tewas, 150 lainya luka2 di New Delhi slma bntrokan ats undang2 kewrganegran India, yg menrut para kritikus anti-Muslim. Bentrokan itu hnya bbrpa mil dari tmpt Presiden Trump brtemu PM Modi. Bberapa gerombolan difoto memukuli sorang pria Muslim dgn tongkat: @ajplus</t>
  </si>
  <si>
    <t>@kirekswasta @habibthink Kurang lbh sama dgn pemerintah yg ngurus anak² eks WNI ISIS, tapi anak dalam negeri yang kelaparan, ahmadiya dan banyak lagi tdk diurus</t>
  </si>
  <si>
    <t>Jangan vonis gitu, sama aja Terorist Isis juga dari Islam #Hindu_Is_Terrorist</t>
  </si>
  <si>
    <t>ANAK-ANAK KITA APA BISA BAHAGIA &amp; DAMAI KELAK HIDUP NYA ?... KALO ANAK -ANAK EKS WNI (ORTUNYA) ANGGOTA ISIS DI AMBIL &amp;amp; DIFASILITASI DI REPUBLIK INI...? KELAK MRK SAMA-BESAR.</t>
  </si>
  <si>
    <t>@jokowi Anak2 segaris darah dari ortu teroris ISIS exWNI gak perlu diurusin. Di negara ini juga banyak kok yg dari kecil udah dicekokin paham2 ISIS. Kapan sadarnya sih pemerintah kalo gak pernah tegas &amp; ambil tindakan yg bikin jera buat penganut paham radikal????</t>
  </si>
  <si>
    <t>@tempodotco Bukannya dari dolo dah malu ? Sehingga bukan WNI lagi, iya tho? RT @tempodotco: Anggun C Sasmi ikut merasa malu setelah pernyataan komisioner Komisi Perlindungan Anak Indonesia Sitti Hikmawaty bahwa berenang yang bercampur bisa menyebabkan kehamilan mendunia.</t>
  </si>
  <si>
    <t>@kholiq486 @HusinShihab @RizmaWidiono @aniesbaswedan Wuih ada kampret HTI..pemuja khilafah..klo impian lo terujud jdi negri khilafah paling lo jadi budak belian sama cecurut isis dijadiin lonte ..goblok.</t>
  </si>
  <si>
    <t>@AnakKolong___ Nanti cucunya yg jd temen bermain anak2 isis ya pak Mentri😅😅😅</t>
  </si>
  <si>
    <t>RT @AnakKolong___: REINKARNASI ISIS DI MEDIA SOSIAL | . . Pada 2016 lalu, Twitter mencatat ada sekitar 125.000 akun yg ditengarai mempunyai hubungan dengan ISIS. . . - sebuah utas | habib @BakarSmith - . . Sumber : Analisis Zuhairi Misrawi Propaganda ISIS di Media Sosial . .</t>
  </si>
  <si>
    <t>RT @Elina_Vay: Sampai detik ini, pertanyaanku masih sama benarkah Indonesia zero case virus corona pak @jokowi ? 🙏 Koq hambur"in uang 72M untuk influencer. Lebih baik bantu dulu WNI yang masih di kapal Diamond Princess untuk pulang ke Indonesia, uda 9 orang yang terinfeksi. cc @BobbyIrwanda</t>
  </si>
  <si>
    <t>RT @WSetyorini2: @Elina_Vay @Bjang99 @jokowi @BobbyIrwanda Anak2 ISIS lebih penting...😔😔</t>
  </si>
  <si>
    <t>Demi apa sih,,, ISIS diurusin!!! Didalam negeri masih ada orang yang kelaparan!! RT @Nouna_jessica94: Wtf !!!! Luar biasa ya negeriku 🤤 Sementara sebagian minoritas di negeri sendiri mau beribadah saja susah , lah ini ada penghianat yg sgt di manjakan bak anak emas 🤤 Kepulangan mrk terjamin 🤤 Keperluan Pemulangan Anak WNI Eks ISIS Sudah Siap</t>
  </si>
  <si>
    <t>RT @Moniqueeee_n: @kompascom Bukannya ngurusin anak anak korban bom malah ngurusin anak anak isis. Aneh</t>
  </si>
  <si>
    <t>RT @Shellahibono: @kompascom Selamat datang radikalis kecil isis tolong @mohmahfudmd diurusin dirumah bapak ya.</t>
  </si>
  <si>
    <t>@sherrrinn @sqeuidy Maksud dr "mereka-mereka juga" tuh apa ya pak? Apakah... 1. PershSG? 2. Org tiongkok pemilik persh SG? 3. Org china? 4. WNI keturunan cina? Inti postingan ini membicarakan AICE,persh dr SG, bos perusahaan yg kebangsaan tiongkok atau pekerja china? Point AICE aja ga cukup mas bro?</t>
  </si>
  <si>
    <t>RT @__MV_llestari__: @AnakKolong___ @Eureeka__ Kayaknya sih kejam kita sampai hati tidak membiarkan anak² ex WNI pro ISIS itu kembali. 1 nyawa pun berharga. Tapi atas nama kemanusiaan untuk jutaan anak INDONSIA biarkan mereka di sana deh.</t>
  </si>
  <si>
    <t>@jokowi Mohon untuk segera dibatalkan rencana pemulangan anak eks ISIS U-10. Memulangkan mereka bisa membuat kami kembali menjadi orang yang paling bar-bar sedunia dan sejarah telah mengetahui hal itu</t>
  </si>
  <si>
    <t>RT @endoe21: @Onta_buluk @AnakKolong___ @Eureeka__ Untung msh mimpi... dan peluang untuk menolak anak2 ex isis kembali ke RI msh bsa</t>
  </si>
  <si>
    <t>RT @Bangzul__88: #DukungJokowiBerantasISIS PILIH SIAPA? @ridwankamil "saya terima WNI eks ISIS asal tobat" ❤ @ganjarpranowo "saya menanti kepulangan WNI asal Jateng yang sukses di luar negeri" RT Pilih siapa👇</t>
  </si>
  <si>
    <t>Pekerja migran ilegal diduga WNI jadi kasus terbaru COVID-19 di Taiwan RT @Focus_Taiwan: Migrant caregiver confirmed as Taiwan's 32nd COVID-19 case (update)</t>
  </si>
  <si>
    <t>kalo lagi gak ada virus jg bd amt tp plis deh wni aja mau pada di pulangin duh</t>
  </si>
  <si>
    <t>@TroyGranger77 @alhdrs @langitbiru310 @jokowi Yg berhasil... yg ngk berhasil gimana ? pikir aja yg sudah jadi korban bom dari anggota isis salah satu keluarga lu... apa lu masih bisa terima mereka di kembalikan ke indonesia ?</t>
  </si>
  <si>
    <t>RT @KosimPakde: @AnakKolong___ Dari pada ngurusin isis dan anak anaknya bakal jadi bumerang mendingan ngurusin anak yang terlantar masih banyak tuh</t>
  </si>
  <si>
    <t>@Nouna_jessica94 Lho pulang kemana? Anak-anaknya eks WNI eks ISIS lho. Ortunya aja udah bukan WNI apalagi anaknya</t>
  </si>
  <si>
    <t>Apakah sumpah tsb lebih tinggi kedudukannya dari pada sumber hukum positif RI (UUD 1945)? Konstitusi kita menjamin kebebasan menjalankan ibadah (pasal 29 ayat 2 &amp; pasal 28e ayat 1) serta menjamin kebebasan berpendapat (pasal 28e ayat 3). Semua WNI sama kedudukannya di mata hukum RT @Theking3231Juan: Dia bukan warga sipil melainkan prajurit dan setiap prajurit TNI sdh di sumpah untuk mematuhin sumpah/janji prajurit.dan sebagai prajurit harus taat dan loyal kepada atasan,pahamin konteksnya klu mau buat surat terbuka berhenti dr prajurit.</t>
  </si>
  <si>
    <t>RT @berharapdamai: @AnakKolong___ @Frans_Priyo @mohmahfudmd Anak2x isis adalah benih2x,cikal bakal kombatan isis,jgn pelihara anak ular berbisa pa..tinggal tunggu waktu kapan mereka akan beraksi...BIARKAN MEREKA TETAP DI KAMP PENGUNGSI ..MASIH BANYAK ANAK2X TERLANTAR DI DALAM NEGERI YG MEMERLUKAN PERHATIAN &amp; BANTUAN PA..</t>
  </si>
  <si>
    <t>Namaku Siska di panggil sis bukan ISIS ya jingan! #ISIS emng jingan</t>
  </si>
  <si>
    <t>RT @rpanggahza: @AnakKolong___ @yanahilman2 @Eureeka__ pemerintah lebih pduli dgn anak" ISIS ex WNI yg artinya pemerintah menyiapkan bom waktu yg bs meledak kapanpun, bandingkan dgn anak" pengungsi Ahmadiyah di Lombok, anak" pengungsi Syiàh di madura, &amp; anak" lain yg lebih butuh perhatian pemerintah..OMG!</t>
  </si>
  <si>
    <t>@aya_ddt @ephraym8 @RinjaniJB @jokowi @Ari3Pras Apakah mungkin yg ngotot minta mereka pulang ada hubungnnya(keluarga) atau ada keuntungan di balik kepulangan mereka ? Hanya sesama seperti mereka (isis) yg ingin supaya teroris itu bisa masuk indonesia lagi... anak" sama saja mereka sudah di cuci otaknya.</t>
  </si>
  <si>
    <t>@seunzz malesnya kalo sampe sini dikarantina nggak sih kak... tapi di sana juga serem... ada koordinasi ditarik pulang nggak kak wni?</t>
  </si>
  <si>
    <t>RT @kompascom: Seorang pemuda keturunan Indonesia yang hidup tanpa identitas kewarganegaraan di Malaysia terpisah dengan ibu kandung sejak umur sekitar enam tahun | #Internasional</t>
  </si>
  <si>
    <t>RT @kantayu: Saya setuju, Pak 267 juta rakyat Indonesia harus dilindungi Tapi bukan dari virus Corona saja, dari bahaya Virus ideologi ISIS juga Anak anak eks WNI bekas anggota ISIS gak perlu dibawa ke Indonesia Mereka sudah terpapar ISIS Sangat berbahaya</t>
  </si>
  <si>
    <t>@miqa0912 Cek yutub mas, klo pendapat pribadi pak @jokowi menolak isis, yg nerima itu hasil rapat dewan.. cmiiw 🤣🤣</t>
  </si>
  <si>
    <t>RT @Hendrasugandi: @AnakKolong___ @Eureeka__ yg pejabat2 tinggi itu sih pasti udah pada kabur duluan kalo isis berkuasa, yg bakal mati dibunuhin ya rakyat kecil yg beda paham/agama dgn isis</t>
  </si>
  <si>
    <t>RT @RadioElshinta: Proses pemindahan evakuasi kemanusiaan WNI dari Kapal World Dream ke KRI Dr. Soeharso pada #EvakuasiWNIWorldDream atas perintah Presiden @jokowi setelah #EvakuasiWNIWuhan. Insya Allah, menyusul #EvakuasiWNIYokohama. via @JubirPresidenRI #VirusCorona</t>
  </si>
  <si>
    <t>188 WNI ABK Kapal Pesiar World Dream Dievakuasi ke Pulau Sebaru</t>
  </si>
  <si>
    <t>@FerdinandHaean2 Rakyat dan pemimpinnya telah meninggalkannya..dan sekarang menjadi pemerkosa kaum wanita..pembinasa muslim lama2 spt ISIS..agama sebagaii alat meraih kekuasaan mereka dgn kejam menyingkirkan nilai2 suci yg terkandung didalamnya..@OHCHRAsia @realDonaldTrump @Kemlu_RI @jokowi</t>
  </si>
  <si>
    <t>@AmidalaNiang @DjanChoek , nah bnyk calon di DN:) gperlu pres @jokowi n menko @mohmahfudmd ribet pulangkn exwni^isis?</t>
  </si>
  <si>
    <t>ini salah setel. okelah anaknya eks ISIS dipulangin. tp lama2 dia kangen ama emak bapaknya di suriah sono. merengek rengek minta ketemu ama ortunya. jadilah kumpul keluarga cemara</t>
  </si>
  <si>
    <t>RT @MemetEdan1: @AhlulQohwah Mending rame2 jadi anggota isis..dri pada jadi tki....isis pulang di perhatikan negara..lucunya negeriku</t>
  </si>
  <si>
    <t>@AhlulQohwah Mending rame2 jadi anggota isis..dri pada jadi tki....isis pulang di perhatikan negara..lucunya negeriku</t>
  </si>
  <si>
    <t>@rotatimu @MrsRachelIn @Aryprasetyo85 @DivHumas_Polri Jika tdk termasuk penghina'an/pelecehan @DivHumas_Polri apa bro, klo menurut akal ku, @aniesbaswedan sdh TIDAK Menghargai/Mempercayai Pihak @DivHumas_Polri .. Dia lebih mengutamakan preman/ormas. Smentara, dia itu numpang di NKRI, yg notabene nya keturunan Arab, yg sdh jadi WNI.</t>
  </si>
  <si>
    <t>Wahai pemerintah tuh baca berita, anak di dalam negeri kalian abaikan anak2 ISIS kalian sibuk keluarkan dana utk diimport ke Indonesia. Mau digantikan negara apa Pancasila &amp; UUD 45 yg sekarang ada??? RT @MrsRachelIn: Pak @mohmahfudmd @jokowi @Menlu_RI @wapres_ri IRONIS! saat pemrintah fokus dg anak2 Teroris ISIS' anak2 dlm negri ada yg kelaparan diabaikan! Tiga Kakak Beradik Miskin Kelaparan dan Terpaksa Makan Sabun, Kini Sakit</t>
  </si>
  <si>
    <t>RT @supriyantokwik: @RiriJreeng @woelannnn @KemensosRI @juliaribatubara @mohmahfudmd @jokowi masih sempet mau mbalikin bocah ISIS...ini real pak didepan bapak...ada kelaparan dan kurang gizi pak..empatimu pak bukan citramu</t>
  </si>
  <si>
    <t>@wahhabicc_jabar Apa yg kalian pilih selama ini itu lah yg kalian dapatkan sekarang jadi ga usah usah sok sok an tolak #isis segala .. Itu mangka nya mikir woy jangan goblok,. Bangun woiii jangan tidur 🤣🤣</t>
  </si>
  <si>
    <t>RT @Chikiajadong: @AnakKolong___ @Eureeka__ Makanya saya setuju kalo anak2 Isis tersebut nfak usah dipulangkan. Apalaginkalo ortunya sudah mati. Bisa jadi mereka akan dendam dan melampiaskan dendamnya tersebut. Biar ajalah disana. Toh yg ambil.keputusan pergi dari Indonesia mereka sendiri. Hufft..</t>
  </si>
  <si>
    <t>Mereka bodoh tdk bisa membedakan antara anak WNI ex ISIS dengan anak ISIS ex WNI. RT @Nouna_jessica94: Wtf !!!! Luar biasa ya negeriku 🤤 Sementara sebagian minoritas di negeri sendiri mau beribadah saja susah , lah ini ada penghianat yg sgt di manjakan bak anak emas 🤤 Kepulangan mrk terjamin 🤤 Keperluan Pemulangan Anak WNI Eks ISIS Sudah Siap</t>
  </si>
  <si>
    <t>@Nouna_jessica94 apakah negeriku mendukung ISIS??</t>
  </si>
  <si>
    <t>@DumaySyuhada ISIS kemana nih...apa lg ke korut...inilah fakta yg ada,"kita"hanya bangga dgn sebutan terbesar,namun lalai dlm kebesaran</t>
  </si>
  <si>
    <t>Breaking,#coronavirus pagi ini di korea 334 kasus, total sdh 1,595 bagaimana dengan WNI yang di Korea, @KemenkesRI RT @lookner: The morning update from South Korea is almost as big as yesterday's update for all of China</t>
  </si>
  <si>
    <t>@narkosun Genahe pak., Ngertio ngene mending wingi aku melu ISIS, ono kemungkinan kerjo nang BUMN utowo minimal anak²ku di fasilitasi lah. Tiwas wingi wes bengak bengok TOLAK ANGGOTA ISIS EKS WNI, malah ngene kejadiane.</t>
  </si>
  <si>
    <t>Semoga WNI yang masih di China semuanya sehat dan bisa segera pulaaaaang! Amiiiin! Keluarganya pasti khawatir banget :/</t>
  </si>
  <si>
    <t>RT @ivanho439637: @wahhabicc_jabar @Takviri harus menerima kenyataan,bahwa saat ini jaman nya terbalik. yg jelas2 butuh bantuan dan sgt urgent, malah di biarkan tnp tindakan cepat. namun pengkhianat macam mrk yg gabung isis dan sdh tdk mengakui ke warganegaraanya dgn membakar paspor, malah mau di beri fasilitas bagus,sakit</t>
  </si>
  <si>
    <t>@P3nj3l4j4h_id @jr_kw19 @jokowi @Chilli_Pari Kemarin bilangnya ga mau resiko dengan jutaan WNI karena sekian ratus ex ISIS. Apa bedanya pulangkan anak ex.ISIS dengan yg bukan anak ya? Resiko? Jauh lebih besar,malah seperti bom waktu,bunuh ortunya sendiri. Mending mikir anak2 Indonesia yg kelaparan, pak @mohmahfudmd @jokowi</t>
  </si>
  <si>
    <t>@garamdanmicin Pake bendera isis?</t>
  </si>
  <si>
    <t>@Paltiwest @ISIS_Balik_NO Ini terbaru apa gimana?</t>
  </si>
  <si>
    <t>Paham sih kecewa, tapi... Humaidi, WNI yang Terjebak di Wuhan Kecewa terhadap Evakuasi Pemerintah RI</t>
  </si>
  <si>
    <t>@FerdinandHaean2 @mohmahfudmd hei kuntul..isas..isis aja bacot kau...tu teman kau sesama kafir d indiaatlh berlaku biadab thd muslim...mana tolerans yg sering kau koarkan ketika pihak kafir mndpat perlakuan yg intoleranasmpai bersilid2...</t>
  </si>
  <si>
    <t>Indonesian Muslim: "ISIS dan teroris bukan Islam!" Also (beberapa) Indonesian muslim: "Orang Hindu India biadab! Coba Hindu di Indonesia juga digituin" "Usir aja orang Hindu di Indonesia" "Beruntung kalian para minoritas di Indonesia" sumber kalimat: tweet orang di twitter.</t>
  </si>
  <si>
    <t>@narkosun Pengen jadi anak eks wni isis biar dapet rumah</t>
  </si>
  <si>
    <t>RT @Paltiwest: Ada yang tahu ini siapa?</t>
  </si>
  <si>
    <t>@SammiSoh Warning Buat Semua! Jangan pernah sekalipun MENCOBA jadi KADRUN....akan menjadi bego seumur umur dgn tanpa penyesalan</t>
  </si>
  <si>
    <t>SATU UNGKAPAN DAN TAK AKAN PERNAH SAYA ULANG2 UNTUK BAPAK PRESIDEN PILIHAN SAYA 2014 &amp; 2019 . SAYA AKAN SANGAT KECEWA &amp;amp; MERASA BODOH KARENA 2 KALI MEMILIH BAPAK , BILA BAPAK BERENCANA MENERIMA EKS WNI ISIS MESKIPUN ITU ANAK2 ! RT @jokowi: Kita memang masih memberi peluang untuk yatim, yatim piatu, yang masih anak-anak di bawah 10 tahun. Tapi kita belum tahu apakah ada atau tidak ada. Semua akan terlihat setelah proses identifikasi dan verifikasi nantinya.</t>
  </si>
  <si>
    <t>RT @r3nDYwJy: @AnakKolong___ @Ayuwidi24_ @mohmahfudmd Cucu anda @mohmahfudmd anak normal , beda sama anak² isis prof .... msih pantes gak ya dipanggil prof ??!!</t>
  </si>
  <si>
    <t>FOTO: Melihat Lokasi Obsevasi WNI Kapal World Dream di Pulau Sebaru</t>
  </si>
  <si>
    <t>@Onta_buluk @AnakKolong___ @Eureeka__ Untung msh mimpi... dan peluang untuk menolak anak2 ex isis kembali ke RI msh bsa</t>
  </si>
  <si>
    <t>Suruh battle sama ISIS harusnya biar seru RT @_SJPeace_: This is the RSS, A Hindu Nationalist organization inspired by Nazis They have mobilized in India to create a Hindutva Republic They are hunting, beating Muslims. Burning down cities, homes and mosques THERE IS A GENOCIDE HAPPENING &amp; THE WORLD IS SILENT</t>
  </si>
  <si>
    <t>Arahan Kakak Pembina dan Bos kalian cuma nyerang anies ya? Kalian ini WNI atau bukan sih? RT @psi_id: "Di akun medsos, Pak Anies semangat banget posting foto-foto JPO cantik dibubuhi kata-kata mutiara. Lalu untuk Formula E juga beliau bekerja serba cepat, sampai nabrak banyak aturan. Tapi untuk banjir, beliau malah bungkam." ujar Bro @JustinPsi</t>
  </si>
  <si>
    <t>@shahid_siddiqui But still joining ISIS STILL WIRKING FOR KASSAB YAKUB MEMAN AFZAL GURU STILL SAYING PAKISTAN ABBU JINDABAD</t>
  </si>
  <si>
    <t>RT @pakBuena: SELAMAT DATANG !!!! ANAK-ANAK ISIS INDONESIA....</t>
  </si>
  <si>
    <t>RT @tvOneNews: Pemetinrah jemput 188 WNI, Saksikan Kabar Utama bersama Windy Wellington jam 20.00 WIB hanya di tvOne &amp; streaming di  #KabarUtamatvOne</t>
  </si>
  <si>
    <t>@Bamz_DarieNov @HmfaqihA Apakah antum sudah pernah bertabayun. Mengklarifikasi langsung dengan HRS. ?? Karena setiap ucapan perkataaan akan berbeda penafsiran dan mudah di bantah dengan. Membuat penafsira. Tersendiri. ISIS. Antum bilang mendukung. Antum coba buka atau cari. Sdh jelas teroris jihad haram</t>
  </si>
  <si>
    <t>Kenapa orang orang pada kejam banget sih "(( Isis juga dah bangkrut tauk jadi gaada lagi yang nge bom pake nama islam tapi sesat gitu RT @_SJPeace_: Hindu Nationalists in India are buring down Muslim business, homes, their neighborhoods, and mosques. If they can't identify you as a Muslim, they ask you to recite Hanuman Chalisa (Hindu Verse), if you can't, they beat you to death and toy around with your corpse SPEAK UP 💔😭</t>
  </si>
  <si>
    <t>RT @tvOneNews: 188 WNI dievakuasi menuju Pulau Sebaru. Saksikan berita selengkapnya di Kabar Pagi, Kamis 27 Februari 2020 bersama Rendra dan Yaumi jam 04.30 WIB hanya di tvOne &amp; live streaming di  #KabarPagitvOne</t>
  </si>
  <si>
    <t>RT @umaleao: kubu kontra anies 10 kubu pro anies 11 kubu isis (ikut sana ikut sini) 2 tapi itu sebelum ada yang cair. kalo udah cair pasti beda</t>
  </si>
  <si>
    <t>Menghadiri bincang2 dg Cak Thoriq Bupari.Lumajang bersama WNI di Kuala Lumpur..acara si Hitel Adomson Kuala Lumpur...beliau orang Nomor 1 Lumajang @cakimiNOW @thoriqul_haq @faisal_anas76</t>
  </si>
  <si>
    <t>"Rasanya lebih dari sedih. Ingin nyebur ke sumur." Omed salah satu WNI yang batal dievakuasi dari Wuhan. Meski kesepian dan ketakutan terhadap virus corona, dia ‘tak berani’ berharap banyak akan dijemput pemerintah RI. #OmedJiayou #Wuhan #VirusCorona #CoronaVirus</t>
  </si>
  <si>
    <t>RT @D4tuk_T4mburin: ISIS BUKAN ISLAM ISLAM BUKAN AGAMA TEROR, ISLAM ITU BERSERAH DIRI, PENGABDIAN DAN DAMAI TEROR ITU DILARANG DAN JIHAD ITU BUKAN BERARTI PERANG ARTINYA BERJUANG BERTAHAN HIDUP CAMKAN ITU.. RT</t>
  </si>
  <si>
    <t>Gunakan KRI Soeharso, Pemerintah Evakuasi 188 WNI Kru Kapal World Dream  Dapatkan berita lainnya di tvOne connect #tvOneNews</t>
  </si>
  <si>
    <t>Indian media+ foreign media+foreign ngo+pakistan+china+indian writer+bollywood+dawood+indianmuslim+isis+@INCIndia +@AamAadmiParty +@MamataOfficial + @samajwadiparty + @cpimspeak @RJDforIndia</t>
  </si>
  <si>
    <t>RT @AntonyRiyanto: @V_Stone_Kardol @mohmahfudmd Masih banyak anak" dibangsa ini kekurang gizi yang perlu diperhatikan oleh pemerintahanmu pak @jokowi , Dari pada mengeluarkan biaya untuk memulangkan anak" ISIS eks WNI, lebih baik untuk mencukupi kebutuhan anak"mu yang kurang gizi.</t>
  </si>
  <si>
    <t>RT @FEMYLI4_KARIN3: @mohmahfudmd ngomong paling plan.ktnya sdh dipastikan hasil keputusan,mrk tdk dipulangkan!anak ISIS DIPULANGKAN,Emang anak e doang?ngomong mbulet semua kabinet @jokowi periode kedua ini!dl msh liat Bu @susipudjiastuti @IgnasiusJonan !orang yg terbgs dibuang,sp pembisik @jokowi ?</t>
  </si>
  <si>
    <t>@OposisiCerdas Apakah ini bisa masuk kategori “niat jahat”, dan “persekongkolan jahat”..? Ada dasar logika politik atau idiologi atau moral untuk mereka melakukan upaya penjegalan ini? Apakah mrk WNI yg sdh dewasa dan waras?</t>
  </si>
  <si>
    <t>@Adr_Nnaa Lah ISIS sj ga pakai pengaman, malah para Anak Haram Penjahat itu sedang di selamatkan oleh pak @jokowi loh na...</t>
  </si>
  <si>
    <t>RT @BradPitek: @V_Stone_Kardol @jr_kw19 @mohmahfudmd Rakyat dah lega dgn tdk pulangkan wni eks isis, skrg ada lg wacana pulangkan anak2 wni eks isis pak. Ciptakan bibit2 radikal radikal internasional. JOSSSS PAK</t>
  </si>
  <si>
    <t>RT @Buzzindi1: @AnakKolong___ Pikirkanlah Pak..mereka itu ex wni combatan isis jangan kasih ruang di negri ini. Pakailah cara cara Soeharto cabut rumput sampai ke akar akar nya. Bom waktu mereka ini. Apa mau mereka kelak membantai sanak saudara kita bahkan mungkin anak cucu mu .</t>
  </si>
  <si>
    <t>@AnakKolong___ Pikirkanlah Pak..mereka itu ex wni combatan isis jangan kasih ruang di negri ini. Pakailah cara cara Soeharto cabut rumput sampai ke akar akar nya. Bom waktu mereka ini. Apa mau mereka kelak membantai sanak saudara kita bahkan mungkin anak cucu mu .</t>
  </si>
  <si>
    <t>RT @oak_math_lee_91: Teman2 @BebasVisaID, Halaman notifikasi ETA Sri Lanka telah diperbaharui secara resmi. Kini tertulis ETA gratis bagi WNI dari 26 Februari 2020 hingga 30 April 2020. 🇱🇰</t>
  </si>
  <si>
    <t>@spideydi Actualy... WNI yg dicina bnyak yg kena... tpi mereka masih di kapal pesiar gitu dan kapal pesiarnya gak di pulangkan 😂 masih di tengah laut.</t>
  </si>
  <si>
    <t>@AnakKolong___ @Eureeka__ Makanya saya setuju kalo anak2 Isis tersebut nfak usah dipulangkan. Apalaginkalo ortunya sudah mati. Bisa jadi mereka akan dendam dan melampiaskan dendamnya tersebut. Biar ajalah disana. Toh yg ambil.keputusan pergi dari Indonesia mereka sendiri. Hufft..</t>
  </si>
  <si>
    <t>@oop_baboon wah lu bukan wni berarti.. (Warga negara indie)</t>
  </si>
  <si>
    <t>RT @RadarNegeriku: TNI Angkatan Laut evakuasi 188 WNI di kapal MV World Dream menuju KRI dr Soeharso-990 di Perairan Selat Durian, Kepulauan Riau.</t>
  </si>
  <si>
    <t>@jokowi Yang di Tol SUMBAR gimana kabarnya Pak? . . Dan betul juga, masalah yang lain gimana Pak? 1) banjir 2) agama 3) racist 4) bawa pulang mantan isis... Hah?!?!?! 5) gereja di karimun</t>
  </si>
  <si>
    <t>Pelepasan Satgas Operasi bantuan kemanusiaan observasi WNI di Pulau Sebaru . #tni #tnipeduli #wni</t>
  </si>
  <si>
    <t>RT @PFTee: @KSogemaking @IngNa70 @rienkusayang @V_Stone_Kardol @mohmahfudmd @jokowi @BirgaldoS @RomeskoP @KomsosKWI @PDI_Perjuangan @AlissaWahid @KakekHalal @Takviri @acehasan76 @PGI_Oikoumene @kompascom Entahlah😢 Yg dalam negeri belum/ga selesai Sekarang mau jemput ISIS Jangan bayangkan anak2 imut tidak berdaya yg harus dilindungi dan cukup ditangani @KemensosRI dan @KPAI_official Anak2 itu dididik untuk perang @permadiaktivis</t>
  </si>
  <si>
    <t>@AndiArief__ @msaid_didu WNI asli harus asli untuk NKRI</t>
  </si>
  <si>
    <t>TNI Angkatan Laut evakuasi 188 WNI di kapal MV World Dream menuju KRI dr Soeharso-990 di Perairan Selat Durian, Kepulauan Riau.</t>
  </si>
  <si>
    <t>Perbedaan MUSTAHAK antara pemimpin2 yg dilahirkan oleh demokrasi versus pemimpin2 yg ditempatkan oleh dajal hanya SATU: pemimpin2 demokratis berpegang teguh kpd HUKUM, bukan menjadi HAKIM bermata satu! #ISIS #Baiat</t>
  </si>
  <si>
    <t>RT @ngurahsaka: @Tio7Willy @mahatyantonikko @Mentimoen biarin aja, mereka dituduh ISIS diem aja karna mengamini, kalo aku mengelak kok. ga ada akaran begitu di hindu</t>
  </si>
  <si>
    <t>RT @Sentjoko: @Donal_golan @TweetSyarif @LusiHQ @eko2471 @DianVeei @PemikirGL  Itulah yang dulu hingga kini terjadi, terakhir dilakukan oleh ISIS-Boko Haram-Al Qaeda-Taliban dan sejenisnya. Ulama ini bicara JUJUR, beda dengan yang berusaha menutup2inya.</t>
  </si>
  <si>
    <t>@Tio7Willy @mahatyantonikko @Mentimoen biarin aja, mereka dituduh ISIS diem aja karna mengamini, kalo aku mengelak kok. ga ada akaran begitu di hindu</t>
  </si>
  <si>
    <t>Pak, mereka bukan WNI lg.. Mereka ISIS pak, ISIS.. Sedari kecil mainannya pistol dan senjata tajam yg bisa bikin nyawa melayang.. Sedangkan anak2 kita disini mainannya cuma pistol air.. Buka mata hati pak.. Tolonglah, anak2 kita disini pun banyak sekali yg butuh pertolongan.. RT @Takviri: Begitu menjunjung tinggi HAM, sehingga anak-anak teroris pun dimanjakan kebutuhannya. Di sudut lain tanah air,ada pengungsi Syiah yg terusir dari tempat asal&amp;nasibnya ga jelas. Ada kasus sekeluarga di Tapanuli Selatan yg kelaparan terpaksa makan sabun</t>
  </si>
  <si>
    <t>RT @Nouna_jessica94: @jokowi @anjares90 Bagaimana dgn pemulangan penghianat bangsa itu Pak ? Apakah kita msh terlindungi atau masuk dlm pusaran hidup yg selalu terancam setiap saat ? Apa yg istimewa dari anak² ISIS Pak ? I am so speechless ! Mengecewakan !!</t>
  </si>
  <si>
    <t>@narkosun sumpih mas anak2 isis mau dipulangkan???? sumpih serius tanya tlg djwb, bukannya kmren pemerintah udah fix gak mulangin mrk?? 😭😭😭</t>
  </si>
  <si>
    <t>@tubirfess -semua kena imbasnya. Gini deh kaya lu WNI nih, trus keluar negeri misalkan. Melakukan pelanggaran berat kaya teroris atau semacamnya. Apa negara mau nerima lu lagi? Masih rada sungkan karna takut dia bisa menyebarkan idealiasnya kan??? Nah menurut gua juga gitu, sekolah nge do-</t>
  </si>
  <si>
    <t>@jokowi Nah semoga tak ada diskusi lagi untuk pemulangan eks WNI pendukung isis kan pak..</t>
  </si>
  <si>
    <t>RT @deedee48524931: @Nouna_jessica94 anak2 eks isis disediakan perumahan khusus oleh pemerintah?????? wtf lah banyak anak2 di sini yg bukan bibit teroris juga butuh "tangan pemerintah"</t>
  </si>
  <si>
    <t>Toyota Isis Engine No.1zz Year 2005 Engine c.1790 9.5m</t>
  </si>
  <si>
    <t>RT @Goniar3: @AnugrahArgaS6 @AnakKolong___ @__MV_llestari__ @Eureeka__ Setuju. Tidak semua masyarakat kita disini mampu memberikan kesempatan kedua pada anak2 yayim piatu tsb. Yang saya takutkan mereka bakal jadi alat propaganda untuk menyebarkan ideologi isis yang akan atau bahkan sudah mulai berkembang disini</t>
  </si>
  <si>
    <t>@_BrunoSZN ISIS or Al-Qaeda</t>
  </si>
  <si>
    <t>Read my Feb 27 Newsletter featuring “Pemerintah Karantina 188 WNI ABK 'World Dream' di Pulau Sebaru Kecil”</t>
  </si>
  <si>
    <t>Sepertinya percuma dukung kebijakan pemerintah yg belaian eks wni isis..lbh lbh beruntung jd isis. RT @AjiMulyaji2: @wahhabicc_jabar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</si>
  <si>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RT @MrsRachelIn: Pak @mohmahfudmd @jokowi @Menlu_RI @wapres_ri IRONIS! saat pemrintah fokus dg anak2 Teroris ISIS' anak2 dlm negri ada yg kelaparan diabaikan! Tiga Kakak Beradik Miskin Kelaparan dan Terpaksa Makan Sabun, Kini Sakit</t>
  </si>
  <si>
    <t>@JinNyinyir @Tanpaagama hehe km kira kekalahan ISIS gaada kaitannya dgn kontribusi umat Muslim itu sendiri bro? baca lagi bro "kisah" Jenderal Qasem Soleimani yg dibunuh AS. akibat berkembangnya ekstremis Muslim apa akibat UU yg diskriminatif? yg sebenarnya msh bnyk rentetan diskriminasi sebelumnya😁</t>
  </si>
  <si>
    <t>TNI AL Fasilitasi evakuasi WNI ABK MV World Dream --</t>
  </si>
  <si>
    <t>@jokowi Pak, klo anak2 usia di bwh 10 thn di indonesia bermain dgn puzzle, dll... Anak2 isis bermain dgn senjata api / tajam... Bukan kami tak berempati pd anak2 pak, tp "dunia" mereka berbeda pak... Maaf klo lancang pak...</t>
  </si>
  <si>
    <t>@Nouna_jessica94 anak2 eks isis disediakan perumahan khusus oleh pemerintah?????? wtf lah banyak anak2 di sini yg bukan bibit teroris juga butuh "tangan pemerintah"</t>
  </si>
  <si>
    <t>Yasonna: Ada 200 Anggota ISIS eks WNI Terverifikasi Punya Paspor</t>
  </si>
  <si>
    <t>@jokowi presiden nganu.. kmren bilang yg terlibat isis jgn dipulangkan. skrg mau dipulangin. mereka anak2pun tp mereka terbiasa dgn senjata dan sudah didoktrin psti sm keluarga dan lingkungan. jgn sampe bom waktu meledak. ngurus rakyat sendiri aja gagal, msih bnyak yg miskin gabisa makan</t>
  </si>
  <si>
    <t>Teman2 @BebasVisaID, Halaman notifikasi ETA Sri Lanka telah diperbaharui secara resmi. Kini tertulis ETA gratis bagi WNI dari 26 Februari 2020 hingga 30 April 2020. 🇱🇰</t>
  </si>
  <si>
    <t>RT @Aryprasetyo85: Detik-detik 188 WNI Dibawa KRI Soeharso ke Pulau Sebaru Kepulauan Seribu KRI Dokter Suharso tlh bergerak menjemput 188 WNI di Teluk Durian,Rabu (26/02/2020) siang tadi Nantinya,para WNI yg berasal dari Kapal Pesiar World Dream akan diobservasi di Pulau Sebaru,Kepulauan Seribu</t>
  </si>
  <si>
    <t>@AnakKolong___ @mohmahfudmd Pak mentri mungkin mau belajar teknik nembak atau nyembelih dr pasukan anak2 ISIS ?</t>
  </si>
  <si>
    <t>RT @DeHoutman7: Anak di negeri ini masih banyak yang terlantar lalu memulangkan anak2 eks penjahat dengan alasan kemanusiaan. @mohmahfudmd mohon dipertimbangkan soal pemulangan anak2 ini.</t>
  </si>
  <si>
    <t>@AnakKolong___ @Eureeka__ yg pejabat2 tinggi itu sih pasti udah pada kabur duluan kalo isis berkuasa, yg bakal mati dibunuhin ya rakyat kecil yg beda paham/agama dgn isis</t>
  </si>
  <si>
    <t>dievakuasi ke luar negeri/tempat lain. Tapi warga biasa seperti ini, jauh lebih memprihatinkan, mereka ga tw harus berbuat apa. Kerja keluar rumah khawatir &amp; bahkan tempat kerja banyak yg ditutup sedangkan persediaan bahan makanan menipis. Apa lagi WNI disana butuh dukungan kita.</t>
  </si>
  <si>
    <t>Kalo buat yg *isis*#ISIS ma gua ngga paham ya Tapi kali buat anak yg makan sabun mah gua tergerak buat puitis Ini buat yg merasa: "pendapat, buka perang saudara Pangkat, tutup adilnya hukum Yang menagis diberi kesedihan Yamg tersenyum diberi kebahagiaan "</t>
  </si>
  <si>
    <t>Terkait anak Isis yg mau dipulangkan pemerintah sdh mempersiapkan segala kebutuhannya. Secara dinegeri sendiri masih banyak anak2 terlantar yg tdk pernah mengkhianati negaranya. Good job president and team RT @jokowi: Terkait WNI awak kapal Diamond Princess, kita sedang berdiskusi dengan pemerintah Jepang. Mengingat penyebaran virus korona di kapal itu, kita tidak boleh gegabah. Kita memiliki 267 juta penduduk yang juga harus dilindungi.</t>
  </si>
  <si>
    <t>@jokowi SAKAREPE MU PAK. Tapi ingat pak @jokowi . Bila aksi mereka nanti ADA, itu semua karena Restu mu. Sbg presiden yg beri restu KPD Anak2 ISIS buat melakukan aksi.</t>
  </si>
  <si>
    <t>New post (Baranusa: Kondisi Ekonomi Sudah Parah, Buat Apa Memikirkan WNI Eks ISIS) has been published on Dakwah Online -</t>
  </si>
  <si>
    <t>@TofaTofa_id kita lupa teroris ISIS diam2 plg ke sini pasti org ini bakal bela teroris</t>
  </si>
  <si>
    <t>@SuramaduJingga @Ibnu_Al_Addin @permadiaktivis @msaid_didu Kadrun ternyata modelnya pada kayak isis semua .. andalannya teriak komunis sama menggal kepala .. nggo heran selalu dibikin kalah sama Tuhan !</t>
  </si>
  <si>
    <t>@JinNyinyir @gebetansophie @Tanpaagama ISIS salah. Pembantaian di India juga salah. Tidak ada yang benar. Tidak ada pembantaian yang bisa dikatakan 'wajar'.</t>
  </si>
  <si>
    <t>kubu kontra anies 10 kubu pro anies 11 kubu isis (ikut sana ikut sini) 2 tapi itu sebelum ada yang cair. kalo udah cair pasti beda RT @PrasetyoEdi_: Komposisi Pansus Banjir Jakarta. Fraksi PDI Perjuangan : 6 orang Fraksi Gerindra : 5 orang Fraksi PKS : 4 orang Fraksi Demokrat : 2 orang Fraksi PAN : 2 orang Fraksi PSI : 2 orang Fraksi Nasdem : 2 orang Fraksi Golkar : 1 orang Fraksi PKB-PPP : 1 orang Cc @PDI_Perjuangan</t>
  </si>
  <si>
    <t>@jokowi Semoga observasi WNI kita di pulau sebaru berjalan lancar, tidak ada kendala yang berarti and indonesia bisa segera menemukan vasin virus coronanya.. Aamiin</t>
  </si>
  <si>
    <t>RT @fadjroeL: Proses Pemindahan Evakuasi Kemanusiaan WNI dari Kapal World Dream ke Kapal Dr. Soeharso pada #EvakuasiWNIWorldDream atas perintah Presiden @jokowi menyusul #EvakuasiWNIWuhan dan Insya Allah menyusul #EvakuasiWNIYokohama ~ #Jubir #BungJubir @JubirPresidenRI</t>
  </si>
  <si>
    <t>@AnakKolong___ @Ayuwidi24_ @mohmahfudmd Cucu anda @mohmahfudmd anak normal , beda sama anak² isis prof .... msih pantes gak ya dipanggil prof ??!!</t>
  </si>
  <si>
    <t>Pas nemu postingan kek gini di sosmed . Me : - diem2 nyari tau arti nama dalem hati , huruf demi huruf. - kalo kebetulan artinya bagus senyum2 sendiri,kalo jelek "ah tai nih , skip skip" - "post ga ya" "tar dikatain alay ga ya" "kirim ke crush ah biar ada topik" #ISIS</t>
  </si>
  <si>
    <t>RT @margareena_: Tapi tolong, tolong banget ketika kjadian kayak gini menimpa owner olshop barang kpop, mbok ya yg dijustifikasi bukan kpoper gitu loh. Owner2 ini juga WNI punya hak utk menuntut. Ga sekali 2 kali kita dicaci maki konsumen krn hal kaya gini, padahal kita udah menunaikan kewajiban.</t>
  </si>
  <si>
    <t>Perusahaan Tomy Winata Terlibat Evakuasi WNI di Kapal World Dream</t>
  </si>
  <si>
    <t>@jokojurnalis Kilafah ISIS maksudmu?</t>
  </si>
  <si>
    <t>@Takviri @BattoAjax heran jga knapa penguasa ini justru peduli keluarga isis, gereja di karimun didiamin pdhal sdh nyata punya imb, malah terlunta" di ptun</t>
  </si>
  <si>
    <t>@Airin_NZ @nnyzhuxin Jd inget yg demo besilit2 dgn Takbir2nya,,, ngikutin style nya ISIS Yo ternyata...hmmmm...</t>
  </si>
  <si>
    <t>RT @BubuNyaii: @vonbronbiru Mending Indonesia mempelihara anak2 yatim miskin yang banyak bertebaran di negeri ini. Daripada menjemput bocah2 setan ISIS atas nama HAM</t>
  </si>
  <si>
    <t>RT @siska_tambunanP: @CumiCue @FanChiangFa @jokowi Cuma sibuk mau ngurus kepulangan anak isis, ga tau rakyatnya masih butuh bantuan, ga malu sm negara lain</t>
  </si>
  <si>
    <t>@nubimaya_ Ni isis li mismi pisi qui tidis</t>
  </si>
  <si>
    <t>@AnakKolong___ @yanahilman2 @Eureeka__ pemerintah lebih pduli dgn anak" ISIS ex WNI yg artinya pemerintah menyiapkan bom waktu yg bs meledak kapanpun, bandingkan dgn anak" pengungsi Ahmadiyah di Lombok, anak" pengungsi Syiàh di madura, &amp; anak" lain yg lebih butuh perhatian pemerintah..OMG!</t>
  </si>
  <si>
    <t>Ini teaser film dokumenter penyesalan warga Indonesia yg pergi ke Suriah karena tertipu oleh ISIS. Surga ada di bawah telapak kaki Ibu, di tanah air tercinta kita Indonesia, bukan di negara lain yg dijanjikan kelompok teroris seperti ISIS dan Al-Qaeda! #TolakISIS #TolakAlQaeda RT @ruangobrol_id: Ini teasernya supaya semakin penasaran #SeekingTheImam</t>
  </si>
  <si>
    <t>@Airin_NZ @jokowi @mohmahfudmd Di telaah lg sebaik2nya Betul mereka bukan anak2 biasa...mereka bibit2 ISIS. Jngn pulangkan mereka,bukankah jita sdh riweuh dg yg ada skrg??!! #Tegas dong!!!!</t>
  </si>
  <si>
    <t>RT @CumiCue: @FanChiangFa @jokowi Pak @mohmahfudmd .. ini anak2 di Indonesia yg bs ditemuin langsung , bukan anak2 ISIS yg berada jauh disana.</t>
  </si>
  <si>
    <t>RT @dyah1955: Di negara2 lain brtnya ada antrian beli masker , beli makanan , beli sembako. Kl di Indon gerombolan influencer ke istana antre dana buzzeRp Dana APBN 72M bukan digunakan u/ penanggulangan Covid-19 &amp; menolong wni yg ada di kapal/LN Tp u/bayar buzer sialan mbuli netizen OtakPekok</t>
  </si>
  <si>
    <t>@laurennnkellyf Itiiii lindaaaa</t>
  </si>
  <si>
    <t>@isis_rfo mandaa</t>
  </si>
  <si>
    <t>@Takviri @ChusjairiMb Pak mahmud MD, definisi politik negara adalah mengusahakan dengan semua sumber daya yang dimiliki negara demi kesejahteraa rakyatnya demi kemanusiaan. Bukan mensejahterakan warga teroris ISIS.</t>
  </si>
  <si>
    <t>Tak Berpenghuni Sejak 2008, Begini Kondisi Pulau Sebaru Yang Dijadikan Lokasi Observasi WNI</t>
  </si>
  <si>
    <t>RT @jenk_kelinn: Kalian MENYEDIHKAN dan MEMUAKKAN !!!!</t>
  </si>
  <si>
    <t>Pemerintah Indonesia Pastikan Observasi 188 WNI Kru Kapal Word Dream Menggunakan Fasilitas Terbaik</t>
  </si>
  <si>
    <t>BNPB Sebut Fasilitas Observasi WNI di Pulau Sebaru Lebih Baik dari Natuna</t>
  </si>
  <si>
    <t>@AhlulQohwah Kepripun to pak @mohmahfudmd !! Urusan anak² di dalam negeri masih semrawut... njenengan kok malah repot ngurusi eks WNI Kombatan ISIS 😩 🤦‍♂️🤷🏻‍♂️</t>
  </si>
  <si>
    <t>RT @translatorbali: TNI AL fasilitasi evaluasi WNI ABK MV World Dream #worlddream yang berjumlah 188 orang, terdiri dari 172 laki-laki serta 16 perempuan dan seluruhnya telah dinyatakan negatif Covid-19. Mereka sudah berada KRI dr Soeharso yang akan dibawa menuju Pulau Sebaru</t>
  </si>
  <si>
    <t>TNI AL fasilitasi evaluasi WNI ABK MV World Dream #worlddream yang berjumlah 188 orang, terdiri dari 172 laki-laki serta 16 perempuan dan seluruhnya telah dinyatakan negatif Covid-19. Mereka sudah berada KRI dr Soeharso yang akan dibawa menuju Pulau Sebaru</t>
  </si>
  <si>
    <t>ISIS dan Pemerintah... dikendalikan oleh Kekuatan Finansial yang sama. Kepentingan yang sama... keduanya hanya boneka Politik Dunia dan para Bankir RT @AjiMulyaji2: @wahhabicc_jabar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</si>
  <si>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@Takviri WNI yang terlantar di tempat terjangkitnya Virus Corona aja ga dijemput2.</t>
  </si>
  <si>
    <t>Masyarakat tidak setuju dengan kepulangan WNI eks isis</t>
  </si>
  <si>
    <t>@7endralKad_run @AnakKolong___ Pemerintah anggap Ex ISIS itu adalah korban, tapi mereka menutup mata berapa korban ISIS dan cara cara mengeksekusi korbannya dgn menggunakan tentara anak, apakah video yg selama ini di share di jagat maya cuma akting dan aksi kamera tiktok an saja, atau karena Ada project nya🤫</t>
  </si>
  <si>
    <t>@Tanpaagama umat Muslim sepakat ISIS "sempalan" dari Islam, mereka jg mengutuk perbuatan ISIS. Menjadi sangat wajar utk mengutuk genosida di India baru ini. Sedangkan elu, kenceng ngebacot soal ISIS tapi buta dgn puluhan nyawa di India. Baru kali ini liat atheis tapi mendukung violence.</t>
  </si>
  <si>
    <t>Observasi WNI di Pulau Sebaru Gunakan Fasilitas yang Lebih Baik</t>
  </si>
  <si>
    <t>@Dee_01984 Pak @mohmahfudmd dgn hormat saya amat menentang rencana pemerintah memulangkan anak2 ex WNI pro ISIS. Bagaimanapun juga mrk dilahirkan dari para penghianat &amp; bisa melakukan hal yg sama dg org tuanya. Lebih baik pemerintah konsentrasi utk membantu anak2 yg spt di timeline ini.</t>
  </si>
  <si>
    <t>@medicalfess Ini kyknya observasi WNI penumpang kapal World Dream di Pulau Sebaru. CMIIW</t>
  </si>
  <si>
    <t>RT @V_Stone_Kardol: Yasonna: Sekitar 200 WNI Teroris Pelintas Batas Diketahui Identitasnya👇 Gmn Rakyat tdk sedih dgn sikap kalian ini, hamburkan uang negara untuk sesuatu yg berpotensi besar akan merusak bangsa ini dikemudian hari. Kalian bikin ISIS berpesta riang gembira.</t>
  </si>
  <si>
    <t>@vivanewscom @VIVAcoid Ga punya paspor RI di luar negri kog disebut WNI?</t>
  </si>
  <si>
    <t>@karthor20 @Alvaro_dustt SISISISISI... ISIS</t>
  </si>
  <si>
    <t>@P3nj3l4j4h_id @jr_kw19 @jokowi @Chilli_Pari Makin ke sini rejim ini makin gak jelas n gak tegas terhadap radikalism yg makin berkembang pesat dinegeri ini bagus cak @mohmahfudmd siapkan semua utk menyambut bocah2 isis biar ancur sekalian dah 😡</t>
  </si>
  <si>
    <t>RT @kompascom: Pemerintah menyediakan fasilitas yang lebih baik untuk 188 WNI yang menjalani masa observasi di Pulau Sebaru.</t>
  </si>
  <si>
    <t>Menkumham mengatakan baru sekitar 200 WNI eks ISIS yang sudah terverifikasi.</t>
  </si>
  <si>
    <t>RT @dangjunai1: Kalau begini, siapa yang rasis dan biadab...#ISIS</t>
  </si>
  <si>
    <t>RT @7endralKad_run: @AnakKolong___ Apakah Anak2 Terlantar yang didalam Negeri harus Gabung ISIS dulu baru diperhatikan Pemerintah??? 😏</t>
  </si>
  <si>
    <t>WNI di sini tiba2 jadi sorotan karena ada TKI yang positif COVID-19. Daaaan ternyata dia TKI ilegal. Udah gitu masih sempet jalan2 padahal lagi sakit. Ohmayyyyyyy😭😭😭😭😭😭</t>
  </si>
  <si>
    <t>Mereka yang teriak pakai #ShameOnYouIndia itu, mereka juga teriak protes ga ya waktu : Greja karimun didemo Beberapa greja dilarang termasuk di hartono mall Sweeping atribut Natal Pembiaran ustad2 radikal menghina dan melecehkan agama lain Wacana impor ISIS PENASARAN SAYA 😓</t>
  </si>
  <si>
    <t>@Takviri Anak2 ex wni isis d selamatkan, giliran anak2 yg kelaparan d negrinya sendiri smp makan sabun malah d biarkan. Priode ke dua @jokowi makin mundur kebelakang, intoleran makin d kembang biakan.</t>
  </si>
  <si>
    <t>RT @BubuNyaii: @AnakKolong___ Sangat mengerikan kalo anak ISIS haus darah dijemput pulang ke Indonesia..😱😱😱</t>
  </si>
  <si>
    <t>RT @BubuNyaii: @AnakKolong___ @mohmahfudmd Bagaimana ISIS sukses telah mengubah anak2 menjadi tentara anak2 haus darah dan mesin pembunuh. Apakah kita harus kembali menerima mereka dgn welas asih sebagai warga 62 yang terkenal pemaaf dan baik hati? Anak2 ISIS --Boneka Chucky.</t>
  </si>
  <si>
    <t>wahhabicc_jabar Kok jadi terbalik ya...rakyat sengsara didalam negri tak dipedulikan ,ini eks WNI ISIS malah dipulangkan dan akan dirawat negara ... jokowi mohmahfudmd DPR_RI tni_adBudiatnoGomarus1</t>
  </si>
  <si>
    <t>RT @oya_bindhie: @BubuNyaii @TofaTofa_id Prediksi ala ala menyorot kebijakan pemerintah untuk anak anak besutan ISIS. Pemikiran complicated bahkan terkesan keruh seperti banjir.</t>
  </si>
  <si>
    <t>@Aaapwala @inquestioner @RSSorg ISIS -Allahu akbar RSS - Jai Sri Ram</t>
  </si>
  <si>
    <t>@AnakKolong___ Apakah Anak2 Terlantar yang didalam Negeri harus Gabung ISIS dulu baru diperhatikan Pemerintah??? 😏</t>
  </si>
  <si>
    <t>@wahhabicc_jabar Kok jadi terbalik ya...rakyat sengsara didalam negri tak dipedulikan ,ini eks WNI ISIS malah dipulangkan dan akan dirawat negara ... @jokowi @mohmahfudmd @DPR_RI @tni_ad</t>
  </si>
  <si>
    <t>Menangani mantan Isis (kangker) beda cara dengan menangani gizi buruk/batuk pilek. Jangan disama ratakan semua minta di cuci darah , sampai disitu mulai paham belum?😁😁😁</t>
  </si>
  <si>
    <t>———24——— penah negos</t>
  </si>
  <si>
    <t>@narkosun Anak dan wanita ISIS sama bahayanya pak @mohmahfudmd utk Indonesia. Indonesia damai tanpa ISIS.</t>
  </si>
  <si>
    <t>@SajeedaAde @Airin_NZ @jokowi Klo mmg pak Jokowi salah kritik aja dengan bukti dan data yg di lapangan.. Skrg masih banyak yg kritik bawa anak plg mantan ISIS.. tapi anak dalam negeri masih banyak kurang diperhatikan.. Berharap segera ada reshuffle menteri yg lambat kerjanya..</t>
  </si>
  <si>
    <t>@AnakKolong___ Sangat mengerikan kalo anak ISIS haus darah dijemput pulang ke Indonesia..😱😱😱</t>
  </si>
  <si>
    <t>Pemerintah menyediakan fasilitas yang lebih baik untuk 188 WNI yang menjalani masa observasi di Pulau Sebaru.</t>
  </si>
  <si>
    <t>@AnakKolong___ Anak2 ex wni isis d selamatkan, giliran anak2 yg kelaparan d negrinya sendiri smp makan sabun malah d biarkan. Priode ke dua @jokowi makin mundur kebelakan, intoleran makin d kembang biakan.</t>
  </si>
  <si>
    <t>RT @KompasTV: Cukupkah 14 Hari Untuk Karantina WNI dari Kapal World Dreams?</t>
  </si>
  <si>
    <t>@Airin_NZ @jokowi @mohmahfudmd Mantap @mohmahfudmd ,apa gak ada lagi pikiran lain? Hanya ngurus ISIS doang.. pak @jokowi tertawa bersama yuk 😂😂😂😂😂</t>
  </si>
  <si>
    <t>Ini jauh lebih penting daripada anak anak isis pak @mohmahfudmd RT @adtaufiq: Sementara itu di pojok negeri sebuah ironi terjadi.</t>
  </si>
  <si>
    <t>@tempodotco Ngapain malu. Kan dia bukan wni?</t>
  </si>
  <si>
    <t>@SajeedaAde @Airin_NZ @jokowi Ttg KPK pada protes pemilih pak Jokowi..klo pilih pengawas jangan dari politik Jiwasraya jga.. akhirnya pak Erick berusaha selesaikan.. ISIS mau dikembalikan menteri agama habis2 an di kritik g mau terima teroris plg.. Jokowi g pake Bu Susi lagi.. tagar kembalikan Bu Susi ada..</t>
  </si>
  <si>
    <t>@ISIS_Balik_NO @TofaTofa_id Kagak makan kalau ga begini, mau cari kerja yang bener kagak ada yg mau terima krn mantan napi! Kesian juga sich sama dia sampe segitunya nasib</t>
  </si>
  <si>
    <t>@muchlis_ar @ISIS_Balik_NO Kualitas refill,ga penting apa isinya yg penting kemasannya bagus</t>
  </si>
  <si>
    <t>@narkosun Saya rasa tepat sekali penanganannya, dengan demikian dapat dikontrol perkembangan jiwa sianak mantan isis sejauh mana paparan isis masuk ke jiwanya. Dan tidak menyebar . Kalau kasus anak negri yg butuh penanganan contoh gizi buruk yg nangani Menkes / Mensos .</t>
  </si>
  <si>
    <t>@Aryprasetyo85 @ISIS_Balik_NO @IndraPachee @aniesbaswedan @My_LoveNebe @ensyclo47 @AlvinoLulu @Mama_Untari @pejuangind01 @cintada17 @DivHumas_Polri @Namaku_Mei @tahupetismanis @Je_Ly @aduankonten @CCICPolri Kelakuan penyembah dildo, !! Kaum fasik @TofaTofa_id A denial, a denial a denial (smell like teen spirit)</t>
  </si>
  <si>
    <t>@AjiMulyaji2 @wahhabicc_jabar @winarno4551 @jokowi Ya btl ... udah bakar status WNI udah nolak NKRI masih disayang' smntara yg belain presiden ga dipeduliin .</t>
  </si>
  <si>
    <t>@isis_B7 Abusada Tmnc beija florrrr</t>
  </si>
  <si>
    <t>@detikcom Lahh terus, anak2 terorist bekas ISIS juga mau dibawa balik. Sempurna! 5-10 tahun lagi, gk kebayang kondisi bangsa ini :(</t>
  </si>
  <si>
    <t>RT @DjanChoek: Didesak supaya dipulangkan, udah dipulangkan ditolak, didemo____kelakuan warga +62 memang tiada duanya...</t>
  </si>
  <si>
    <t>Menyikapi perkembangan terkini penyebaran virus corona, KBRI Oslo mengimbau seluruh WNI di Norwegia untuk tetap tenang dan terus menjaga kesehatan diri. Info mengenai virus corona dapat dilihat pada situs  #negaramelindungi</t>
  </si>
  <si>
    <t>RT @kopipolitik1: 23) Info rencana 600 WNI eks ISIS muncul usai koordinasi antara Kementerian Agama, BNPT dan juga kementerin hukum dan polkam. Koordinasi tersebut terkait ada sejumlah ekks ISIS dari Indonesia yang masih di Timteng @DivHumas_Polri @Sudastika #Dinamika</t>
  </si>
  <si>
    <t>@renegad19207887 @mohmahfudmd @jokowi @Menlu_RI @BNPTRI @wapres_ri Bayi aja udah diajarin nginjek kepala yg dipenggal ' virus Corona bs dideteksi' virus isis siapa yg bs deteksi?</t>
  </si>
  <si>
    <t>RT @kopipolitik1: 32) Pilihan eks ISIS yang kembali ke tanah air bisa jadi bagian dari kesadaran mereka dan ternyata hidup di Indonesia lebih baik dan lebih aman. Seperti ada eks teroris Nasir Abbas dan Ali Imron yang kini setia dengan NKRI @DivHumas_Polri @Sudastika</t>
  </si>
  <si>
    <t>@Rindu_MuhR015 India bangsat.....usir saja yg di indo , ( bukan wni ket india ) yg dateng untuk tipu2 di indo</t>
  </si>
  <si>
    <t>RT @Miracleforwei: Parah 😭😭 Ternyataaa ada WNI yang positif Corona. anaknya kabur setelah di beritahu terduga terkena virus😭😭 Ya Allah ini anak titisann nenek sekte yg di Daegu 😭😭😭</t>
  </si>
  <si>
    <t>@jenk_kelinn @herlambang_tan @mohmahfudmd Masih percaya sama kemampuan negara kalau tetap masukin anak isis? Sdh pernah ke NTT belum pak, ke Papua sdh belum? Masih banyak yg butuh perhatian serius, dan mrk belim punya dosa sama negara ini. Knp malah ngurusin pemberontak? Hutang budi apa negeara sama anggota ISIS?</t>
  </si>
  <si>
    <t>Kewarganegaraan: ㅤ━ Warga Negara Indonesia (WNI) Agama: ㅤ━ Katholik Status: ㅤ━ Pelajar, Pemilik Channel ㅤYoutube (heyalthen)</t>
  </si>
  <si>
    <t>RT @kopipolitik1: 26) Bagi mereka yang masih WNI tentu akan diharuskan sumpah setia untuk NKRI dan nantinya akan ada pendampingan bagi mereka secara ketat. Polri yang akan melakukan profiling ketat @DivHumas_Polri @Sudastika @AwangSancaka #Dinamika</t>
  </si>
  <si>
    <t>@kkpgoid @DitjenPRL @brsdm_kp @Ditjen_PDSPKP @ITJEN_KKP @HumasBKIPM @humaspsdkp @djpt_kkp @BudidayaKKP Salah satu upaya Ditjen PRL KKP melalui Dit KKHL dan UPT BPSPL tlh melaksnkan sosialisasi Permen KP No.8 thn 2020 ttg Perlindungan Penuh Bambu Laut (Isis spp) kpd instansi/lembaga/Dinas terkait serta pelaku usaha pd hr Selasa 25/2/2020 di Kantor BPSPL Makassar.</t>
  </si>
  <si>
    <t>@wahhabicc_jabar @winarno4551 Bila dipikir pikir mending jadi ISIS ... di fasilitasi oleh pemerintah sampai mau diberi rumah segala... padahal saya yg mati matian Dukung @jokowi saat Nyalon Presiden sampai sempat di usir di sebuah desa di kecamatan Argapura .. hidupnya terlunta lunta anak tdk bisa sekolah.</t>
  </si>
  <si>
    <t>RT @fajaralam9: @wahhabicc_jabar @bimatm1 Awal kemenangan ISIS</t>
  </si>
  <si>
    <t>RT @kopipolitik1: 28) Pemerintah jelas telah menyiapkan berbagaii plan dan program bagi mereka yang setia sebagai WNI dan NKRI. Prinsip ini tak bisa ditawar lagi bagi seluruh warga Negara Indonesia @DivHumas_Polri @AwangSancaka #Dinamika</t>
  </si>
  <si>
    <t>Bapak Mahfud MD mohon lebih memperhatikan ,masih banyak anak anak didalam negeri yang perlu dibantu,daripada focus untuk memulangkan anak Eks WNI anggota ISSIS</t>
  </si>
  <si>
    <t>Pak @jokowi Mohon diperhatikan anak" bangsa yg sangat memprihatinkan sprt ini,mrka yg tdk mengenal virus radikal,berjuang hidup ditengah kemiskinan.dan masih bayak yg lainya Bkn anak"ex kombatan ISIS saja yg perlu perhatian.</t>
  </si>
  <si>
    <t>@WartawanPensiun @mdpking78 @mohmahfudmd Aku muslim, aku pro NKRI, aku anti radikal diskriminasi SARA dan aku sedih atas ketidakadilan yg diterima Bp.Alojsius Sandi Sudirnan. WNI yg segar waras cinta NKRI pasti lah kecewa atas semua tindakan2an kelompok egois yang merugikan non muslim. Smoga ALLAH melindungi kita smua</t>
  </si>
  <si>
    <t>RT @soema23: Bomboclaat</t>
  </si>
  <si>
    <t>Cukupkah 14 Hari Untuk Karantina WNI dari Kapal World Dreams?</t>
  </si>
  <si>
    <t>WNI warga negara indie</t>
  </si>
  <si>
    <t>Hindu Ho? #Hindutva #HindutvaTerrorists #Hindutva_ISIS_of_India #HinduMuslimBhaiBhai #Arrest_Terrorist_Kapil_Mishra</t>
  </si>
  <si>
    <t>@jokowi @anjares90 Bagaimana dgn pemulangan penghianat bangsa itu Pak ? Apakah kita msh terlindungi atau masuk dlm pusaran hidup yg selalu terancam setiap saat ? Apa yg istimewa dari anak² ISIS Pak ? I am so speechless ! Mengecewakan !!</t>
  </si>
  <si>
    <t>RT @WahabisLokal: Kepada WNI Keturunan Arab: Kalian disini kami terima dan kami sambut dengan baik. Tapi jika Kelakuan Jahiliyah dari Moyangmu masih kamu lakukan disini, Maka lebih baik: Kalian Minggat Dari Sini👊 #TangkapHaikalHasan</t>
  </si>
  <si>
    <t>Ya, hanya sj bagaimana kalau anggaplah, sebagiannya berapa tuh? 36M atau bulatkan 40M dialokasikan dulu untuk Kementerian Kesehatan, untuk anggaran antisipasi dan evakuasi WNI selama ini. Walau sudah ada anggaran, tp itu kan butuh biaya gede banget. Ga hanya soal pariwisata aja. RT @CNNIndonesia: Redam Dampak Virus Corona, Jokowi Beri Influencer Rp72 M</t>
  </si>
  <si>
    <t>Di Balik Pulau Sebaru yang Dipilih Jadi Lokasi Karantina 188 WNI</t>
  </si>
  <si>
    <t>@wahhabicc_jabar Kenapa di pilih anak2 dibawah 10taun ? Apa YAKIN mereka masih polos bin steril ??? Sampai di Indonesia mereka direkrut oleh orang2 ISIS ??? Masih yakin ini BUKAN BOM WAKTU ???</t>
  </si>
  <si>
    <t>@Mey_MeynieJT @mohmahfudmd Soal isis saya tidak percaya sama negara, wong ngurusin hti aja kalian gk beres. Emang sy gk bisa pikir logis apa ya? Melihat sekitar banyak masalah, negara malah repot repot ngundang masalah. Berita "negara defisit 36t" trus bu sri pusing sampe mau pajakin orang kentut?</t>
  </si>
  <si>
    <t>@tribunnews Isas isis aja tiap hari Harun Masiku mana woyyyyyyy 😠😠😠</t>
  </si>
  <si>
    <t>@Nouna_jessica94 @achzam_prabu Terus kalau anak anak Eks ISIS dipulangkan.. mau gak suruh tinggal.serumah dulu sama mereka yang memulangkan, jadi sebelum terjadi sama orang lain mending di coba dahulu</t>
  </si>
  <si>
    <t>RT @KBRI__Roma: Himbauan KBRI Roma kepada WNI di Italia terkait dengan penyebaran virus corona di Italia.. @Kemlu_RI @DitEropa1_Kemlu #NegaraMelindungi</t>
  </si>
  <si>
    <t>Perm isis</t>
  </si>
  <si>
    <t>188 WNI dievakuasi menuju Pulau Sebaru. Saksikan berita selengkapnya di Kabar Pagi, Kamis 27 Februari 2020 bersama Rendra dan Yaumi jam 04.30 WIB hanya di tvOne &amp; live streaming di  #KabarPagitvOne</t>
  </si>
  <si>
    <t>@andirahmad3_ Ikut isis</t>
  </si>
  <si>
    <t>RT @bhagwa_e: @malaahmed2 @SJB94120643 ISIS Indian Muzahiddin Alkayeda Etc Ka naam suni hai? Terrorist ki beti aur apni bhaijaan se nikah karne wali kya sunegi HAHAHAHAHA</t>
  </si>
  <si>
    <t>RT @Fuad1899: Pak @mohmahfudmd di dalam negri masih ada nih pa yg kaya gini?? Gak usah lah jauh2 urusin anak2 combatan isis!</t>
  </si>
  <si>
    <t>RT @abcaustralia_id: @jokowi WNI kru kapal berharap Presiden @jokowi dan Pemerintah Indonesia segera tanggap dan memutuskan opsi evakuasi yang dipilih seperti halnya pemerintah negara lain yang sudah terlebih dahulu memberi kepastian evakuasi warga negaranya dari kapal Diamond Princess di Yokohama, Jepang.</t>
  </si>
  <si>
    <t>Peneliti: Pemerintah Harus Pulangkan Anak-Anak Eks-ISIS</t>
  </si>
  <si>
    <t>@Ndrews1162011 Apakah gambran anda tntg khilafah cuman ISIS ?</t>
  </si>
  <si>
    <t>Tapi tunggu dulu, ketika sy menyebut wanita/pria isis, janganlah jadi cap yang terlalu menakutkan buat pribadi mereka ya. Sebutlah saya adalah wanita dari kampung anu misalnya.</t>
  </si>
  <si>
    <t>@H_besar33 Btul, knapa anda gak berganung dengan isis ? Mereka merasa adalah Khilafah untuk umat muslim kan ?</t>
  </si>
  <si>
    <t>Pak @mohmahfudmd di dalam negri masih ada nih pa yg kaya gini?? Gak usah lah jauh2 urusin anak2 combatan isis! RT @Pasukan_5emut: Polisi moral? Nasioalis? Kaum syariah? Kaum berdasi? SJW? Kemana kalian halooooooooo,,, mereka yg bicara anak di TV, mereka yg bicara moral di TV seketika kalian ditampar tepat diwajah. 😭😭😭😭</t>
  </si>
  <si>
    <t>@Sulthan29543406 @HmfaqihA Ulama yg mana yg anda anggap tinggi ilmunya ? Apakah org yg terang2an mendukung ISIS depan publik, yg mengatakan pancasila ada di pantat, yg mengatakan Gus Dur Buta, tdk mengakui pemerintah yg sah, dan banyak ucapan ksar tak terhitung lainnya iitukah yg dimaksud?</t>
  </si>
  <si>
    <t>Proses evakuasi WNI di Diamond Princess lambat sekali. Bisa membahayakan mereka. Harusnya simultan tak perlu nunggu satu2. Negara2 lain lebih sigap selamatkan warganya Respons Jokowi soal Penjemputan WNI di Kapal Diamond Princess -</t>
  </si>
  <si>
    <t>RT @ikarbertweet: Ada vending machine Fresh Oren kat JPN Hartamas ni, pastu dlm mesin tu ada buah oren sebenar. Staf dia tengah reload buah oren ni. Whoaaa</t>
  </si>
  <si>
    <t>@V_Stone_Kardol @mohmahfudmd Pusing amat mikirnya, ISIS itu "Bukan Suatu Negara" atau hanya kelompok teroris. Sudah pasti Negara Syiria akan menghukum anggota ISIS dengan hukum yang berlaku disana. Bila ada yang dideportasi, nah orang orang itulah yang harus dibina deradikalisasi.</t>
  </si>
  <si>
    <t>RT @muchlis_ar: Ketika seorang komisaris perusahaan milik Pemprov dikasih panggung jadi pembela gubernur, dan disebut sebagai “Aktifis Sosial..” ILC sedang murah hati ngeframe “anak buah” gubernur dengan status “aktifis”. Itu kerja lembaga PR, bukan media independen.</t>
  </si>
  <si>
    <t>2. They kiss on the train. Bhaiqlah... Ini kedua kalinya gw liat adegan kayak gini di kereta. Kalau yang kmrn WNI dan duduk. Yang ini... berdiri trz kecup² semenit. Gw rasanya pengen nelpon Nomer kontak CP perjalanan kami supaya negor perilaku mereka. @KAI121 @keretaapikita</t>
  </si>
  <si>
    <t>Tapi yang aku tau mungkin sulit mengajak pria/wanita isis untuk suka padanya. Komentarnya lumayan pedas tapi kena.</t>
  </si>
  <si>
    <t>@Isis_santosss Ooh f*ck</t>
  </si>
  <si>
    <t>Foto: Evakuasi 188 WNI untuk Observasi Virus Corona di Kepulauan Riau - Tagar News: Foto: Evakuasi 188 WNI untuk Observasi Virus Corona di Kepulauan Riau Tagar News</t>
  </si>
  <si>
    <t>@wahhabicc_jabar Bahkan ada 6 orang anak kecil yg terlantar krn kedua ortunya meninggal hampir berbarengan pd hari yg sama dan butuh bantuan pemerintah. Mulia mana menolong mereka atau menolong anak yg ortunya eks (kombatan) isis?</t>
  </si>
  <si>
    <t>BNPB Pastikan Observasi WNI di Pulau Sebaru Menggunakan Fasilitas Yang Lebih Baik) |</t>
  </si>
  <si>
    <t>RT @GootkhaWala: Agr tujhe ye galat nai lgta toh Godse ko bhi galat mt bola kr! Agr tu iss #RadicalIslamicTerrorist ko defend kr skta h toh tu kch bhi kr skta h! Tere jaise keede ISIS ko bhi defend kr dega! Dafa ho ja!! 😠😠</t>
  </si>
  <si>
    <t>RT @rmolbantencom: 188 WNI Dievakuasi, Ini Tiga Rumah Sakit Rujukan Suspect Virus Corona -   #VIRUS_CORONA @jokowi @KemenkesRI</t>
  </si>
  <si>
    <t>@isis_B7 Agita!</t>
  </si>
  <si>
    <t>@agama_nusantara gak aneh kalo otak sdh tercuci seperti gerombolan ISIS</t>
  </si>
  <si>
    <t>Agr tujhe ye galat nai lgta toh Godse ko bhi galat mt bola kr! Agr tu iss #RadicalIslamicTerrorist ko defend kr skta h toh tu kch bhi kr skta h! Tere jaise keede ISIS ko bhi defend kr dega! Dafa ho ja!! 😠😠 RT @free2flicker: Picture of a man who lost all faith in the government, law enforcing agencies, the seculars, and their own leaders, left all by his own to defend his family. He is not a terrorist, only victim of state sponsored terrorism.</t>
  </si>
  <si>
    <t>@ApriliaLin @FaGtng Pemerintah mau mulangin2 anak2 ISIS IBLIS pengkhianat NEGARA.. PAK @jokowi</t>
  </si>
  <si>
    <t>RT @fadjroeL: Cerita WNI yang dievakuasi dari Wuhan dan diobservasi di Natuna. #CoronaVirusOutbreak #EvakuasiWNIWuhan #BungJubir @KemenkesRI @Kemlu_RI @Puspen_TNI @KBRI_Beijing @DivHumas_Polri</t>
  </si>
  <si>
    <t>RT @cel1n337: #TolakAnakISISKembali Lebih baik memastikan masa depan yang lebih baik bagi Anak Indonesia, daripada sibuk mengawasi dan mengurusi "Anak ISIS Eks WNI" yang dididik untuk men-Taghut-kan Pemerintah dan Negara ini 🙏🙏🙏 #MenujuIndonesiaMaju</t>
  </si>
  <si>
    <t>RT @AnakLolina: Lihatlah video singkat seorang anak ISIS berbicara : "Kami akan membantaimu". Yang terbiasa menyaksikan &amp; melakukan pembunuhan mau di deradikalisasi? Siapapun kalian, ISIS jangan di jadikan panggung politik, mereka adalah musibah. #TolakAnakISISKembali</t>
  </si>
  <si>
    <t>Keturunan WNI tanpa identitas: 15 tahun terpisah, ibu dan anak bersatu k...  via @YouTube | nangis bor pagi2</t>
  </si>
  <si>
    <t>RT @translatorbali: @jokowi @PrincessCruises Evakuasi dilakukan menggunakan KRI dr. Soeharso scr boat to boat di Selat Durian, Kep. Riau. Selanjutnya seluruh WNI dibawa menuju Pulau Sebaru Kecil, Kep. Seribu. Mereka diperkirakan akan tiba di Pulau Sebaru Kecil pada hari Jumat (28/2).</t>
  </si>
  <si>
    <t>@SahabatRG Cuma di Indonesia walaupun lagi sedih dan kena musibah rakyatnya masih bisa happy dan senang2....mana pada kompak lagi....bangga sebagai WNI...🙏😊</t>
  </si>
  <si>
    <t>perhatikan masalah dalam negri dulu masi banyak ketimpangan di negri ini. dari pada fokus kepada anak anak isis RT @AhlulQohwah: Sementara itu, di Tapanuli ada 3 anak kakak beradik yg kelaparan sampai harus makan sabun.</t>
  </si>
  <si>
    <t>RT @Pejuangkeadil13: @MpetPesa @GlHindu Hebatnyaa yaa tidak mau mengakui ISIS Islam tapi mengkategorikan hindu Indonesia sama dg Hindu India. Tonton saja pemgakuan ex ISIS dia itu agama apa.</t>
  </si>
  <si>
    <t>RT @DjanChoek: Aparat/pejabat setempat pada kemana? Bukankah yg ini lebih penting dari pada ngurus anak ISIS? Kalau pertimbangannya kemanusian trus yang ini apa? Woooi pejabat negara ojok ngacengan bae. @juliaribatubara bantuim dunk bung</t>
  </si>
  <si>
    <t>@Lavender_Isis Unamanga.... usazoyibuka....</t>
  </si>
  <si>
    <t>@jenk_kelinn @mohmahfudmd Kepekaan anda dimana pak ? Apa lebih penting yatim piatu ISIS d banding anak bangsa yg masih banyak kelaparan ? Biar apa pak nolong pengkhianat negara ? Solidaritas lg ?</t>
  </si>
  <si>
    <t>@malaahmed2 @SJB94120643 ISIS Indian Muzahiddin Alkayeda Etc Ka naam suni hai? Terrorist ki beti aur apni bhaijaan se nikah karne wali kya sunegi HAHAHAHAHA</t>
  </si>
  <si>
    <t>RT @SalmaBrecht: Letkol Aloysius Sandi dihukum penjara stlh kirim Surat Terbuka kpd Bpk. @jokowi tentang IMB Gereja Santo Joseph di Karimun. Akankah Pemerintah kalah dgn INTOLERANS? Dukung beliau menyuarakan kebenaran walau hukum menantinya. @mohmahfudmd #NegeriIntolerans</t>
  </si>
  <si>
    <t>@rofl_cheapika @Nehasinghh_ @asadowaisi Nahi India me isis ka branch hai RSS</t>
  </si>
  <si>
    <t>Lokasi Karantina WNI di Pulau Sebaru Disebut Lebih Bagus Ketimbang Natuna</t>
  </si>
  <si>
    <t>@jokowi @PrincessCruises Evakuasi dilakukan menggunakan KRI dr. Soeharso scr boat to boat di Selat Durian, Kep. Riau. Selanjutnya seluruh WNI dibawa menuju Pulau Sebaru Kecil, Kep. Seribu. Mereka diperkirakan akan tiba di Pulau Sebaru Kecil pada hari Jumat (28/2).</t>
  </si>
  <si>
    <t>@Airin_NZ Ngeri banget liat bocah isis otaknya sudah kriminal</t>
  </si>
  <si>
    <t>@V_Stone_Kardol @mohmahfudmd Masih banyak anak" dibangsa ini kekurang gizi yang perlu diperhatikan oleh pemerintahanmu pak @jokowi , Dari pada mengeluarkan biaya untuk memulangkan anak" ISIS eks WNI, lebih baik untuk mencukupi kebutuhan anak"mu yang kurang gizi.</t>
  </si>
  <si>
    <t>@ShahbazAnsar_ Apni party bro, isis ka Indian version 😍</t>
  </si>
  <si>
    <t>Salah satu pengecekan yakni melakukan pemeriksaan swab atau usap tenggorokan.</t>
  </si>
  <si>
    <t>RT @Official_Ansor: Kombatan ISIS Tidak Dipulangkan, What's Next ?</t>
  </si>
  <si>
    <t>RT @Official_Ansor: Diskusi Reboan dengan tema "Kombatan ISIS tidak dipulangkan, What's next ?" bersama Gus Yaqut, Sahabat Alto seorang pengamat intelejen Timur Tengah dan narasumber lainnya di Kantor DPP PKB Jakarta Pusat (Rabu, 12/2/20) #KitaIniSama #Ansor #Banser</t>
  </si>
  <si>
    <t>RT @FerdinandHaean2: Jk Pemerintah tak mampu jelaskan secara clear thdp isu2 ini : 1. Suspect corona meninggal di Jateng 2. Wisatawan Jepang yg kena Corona selepas dr Indonesia 3. Tuduhan Harvard kita tak mampu deteksi corona 4. WNI dr Wuhan tak ditest corona Mk percuma bayar influenzer 72 M.</t>
  </si>
  <si>
    <t>Bagaimana Prof. @mohmahfudmd ? Lebih fokus pulangin anak isis ? Jaga dan Rawat Pancasila, Presiden @jokowi . RT @KakekHalal: Saya lebih baik kehilangan followers daripada saudara2 saya yg berada di Paroki Santo Yosep Karimun Kehilangan Gereja 🥺😢</t>
  </si>
  <si>
    <t>@kaurdashiian Apne jihadi islam ko pehle theek karlo phir kisi aur religion ke baare me expert comment karna .. ISIS ku najayaz AULLAD</t>
  </si>
  <si>
    <t>Gajah di depan mata tak tampak, semut di seberang lautan terlihat. Anak2 kelaparan dalam negeri sampai makan sabun tak terlihat, anak2 setan isis diseberang nunjauh disana terlihat jelas.... Run... Kirun 😂😂 RT @jokowi: Pemerintah tengah mengupayakan jalan keluar terbaik penanganan WNI awak kapal pesiar Diamond Princess di Jepang dan World Dream di perairan Indonesia. 188 WNI di World Dream dijemput untuk diobservasi di Pulau Sebaru, gugus Kepulauan Seribu, yang sudah dipersiapkan.</t>
  </si>
  <si>
    <t>Must watch. Karena seambyar itu😭😭😭 Good Job, @BBCIndonesia Keturunan WNI tanpa identitas: 15 tahun terpisah, ibu dan anak bersatu k...  via @YouTube</t>
  </si>
  <si>
    <t>@KakaRK_ Isis.let.islamic jihad . La Ilaha Illallah</t>
  </si>
  <si>
    <t>RT @vivanewscom: Observasi WNI di Pulau Sebaru Gunakan Fasilitas yang Lebih Baik  #vivanews</t>
  </si>
  <si>
    <t>Tak Berpenghuni Sejak 2008, Begini Kondisi Pulau Sebaru Yang Dijadikan Lokasi Observasi WNI  #Corona</t>
  </si>
  <si>
    <t>188 WNI Dievakuasi, Ini Tiga Rumah Sakit Rujukan Suspect Virus Corona -</t>
  </si>
  <si>
    <t>@V_Stone_Kardol @mohmahfudmd Pak... Sedih pak.... @mohmahfudmd ga mau lah kalau mereka dipulangin, ntar nyebar juga tuh firus benci dr ISIS nya disini</t>
  </si>
  <si>
    <t>@jokowi Pak tolong anak ISIS eks WNI jan diajak pulang pak... Kita gtw tuh luka hati dan luka fikirannya sedalam apa pak... Kalau2 267jt penduduk terancam karna luka lama yg membekas dr mereka di bawa pulang juga 🙏🙏😭</t>
  </si>
  <si>
    <t>@AshrafFem Isis k layak ho tum log</t>
  </si>
  <si>
    <t>Prof. @mohmahfudmd lebih memilih fokus memulangkan anak isis ? RT @KakekHalal: Akun besar yang kakek harapkan bisa bersuara lantang terkait intoleransi Penolakan Renovasi Total Gereja Katolik Karimun malah takut juga &amp; tdk mau bersuara. Ok baik, kakek tdk akan menyerah, kakek &amp;amp; teman2 kakek yg peduli akan tetap terus bersuara. 🥺😢</t>
  </si>
  <si>
    <t>Ada ada aja kelakuan WNI :(</t>
  </si>
  <si>
    <t>RT @mediaindonesia: Observasi selama 14 hari di bawah pengawasan Kementerian Kesehatan sesuai protokol WHO. #VideoMI #jujurbersuara</t>
  </si>
  <si>
    <t>@Donal_golan @nanininaninna @mohmahfudmd @Menlu_RI @jokowi Satu sisi pemerintah seakan lebih mementingkan untuk memulangkan anak2 eks isis. Kasian WNI di Diamond princess</t>
  </si>
  <si>
    <t>188 WNI Dievakuasi, Ini Tiga Rumah Sakit Rujukan Suspect Virus Corona -   #VIRUS_CORONA @jokowi @KemenkesRI</t>
  </si>
  <si>
    <t>Tak Berpenghuni Sejak 2008, Begini Kondisi Pulau Sebaru Yang Dijadikan Lokasi Observasi WNI #pulausebaru #RepublikMerdeka</t>
  </si>
  <si>
    <t>@Stillyoung69 Indonesia menolak isis Waalaikumsalam geulis</t>
  </si>
  <si>
    <t>Sudahlah, Pak @jokowi dan Prof @mohmahfudmd bertindaklah nyata selamatkan anak2 korban kemiskinan. Mengentaskan dr kemiskinan &amp; menyelamatkan masa depan mereka jauh lebih mulia dan bermanfaat dibanding BUANG2 WAKTU memikirkan anak2 ISIS EX-WNI.</t>
  </si>
  <si>
    <t>@abhijeet_dipke Ya ha isis</t>
  </si>
  <si>
    <t>RT @Luana_LD: @ichigotalks @DimasyFermana Anak-anak yg Sudah Terpapar ISIS Begini Mau di Pulangkan? #TolakEksWNIproISIS</t>
  </si>
  <si>
    <t>RT @KerongKerang: @3_devout Ente2 @mohmahfudmd @Kemenag_RI @jokowi @KomnasHAM @fadlizon Ga ngerasain, korban kombatan isis seperti istri dan anak2 Aloysius Bayu Rendra yang meninggal karena bom bunuh diri di surabaya. Lalu karena air mata buaya, pada berlagak bisu tuli buta.</t>
  </si>
  <si>
    <t>RT @ediedot108: @Airin_NZ @jokowi @mohmahfudmd Pemerintah Payah nich !!! Kita semua mgk pernah melihat kehebatan para anak kombatan ISIS yg dg cepat dpt membongkar pasang senjata berat,lantas skg ada pemulangan anak2 dg berbagai alasan dan argumentasi. Jangan sampai ini menjadi bom waktu di 10 thn kemudian.</t>
  </si>
  <si>
    <t>RT @sirajapadoha: @Airin_NZ @jokowi @mohmahfudmd Anak2 teroris ISIS ini bahayanya utk keamanan negara jg gak main2,,, tp msh aja mau dipelihara sm pemerintah</t>
  </si>
  <si>
    <t>@anas_rehm @Atheist_Krishna @Photoshop Tu isis ka</t>
  </si>
  <si>
    <t>RT @satus_rolas: @777juniblack @mohmahfudmd semoga anda tahu genetika,buah jatuh tak akan jauh dr pohonya,jika orang tuanya anggota ISIS sudah pasti kelak anaknya akan mengikuti jejak perilaku org tuanya,tak perlu bilang demi kemanusiaan,jikalau hanya membuat keresahan sebagian besar rakyat indonesia.!!!</t>
  </si>
  <si>
    <t>@anas_rehm @Atheist_Krishna @Photoshop thu ISIS ka</t>
  </si>
  <si>
    <t>RT @marpaung913: @nemosyus @mohmahfudmd Kok Pak Mahfud berambisi mendatangkan KOTORAN ISIS ke tanah air ?</t>
  </si>
  <si>
    <t>RT @bungsirait: @nemosyus @AmstrongBiring @mohmahfudmd yg perlu diurus negara itu anak2 korban bom teroris loh pak macam Adek Alvaro dan Trinity yg sdh menghabiskan biaya besar utk pengobatan, jgn negara mlah sibuk &amp; lbh perhatian sma anak2 ISIS eks WNI. Apa krna alvaro &amp;amp; trinity minoritas jd tdk dprhatikan negara? *serius nanya pak</t>
  </si>
  <si>
    <t>RT @LaruMoke: @ApriliaLin Ini Mahmud kok ngotot banget ya? Yg tua kelak akan bawa lagi anak-anak kesana toh nanti juga di pulangkan negara. Habis duit pajak bayar menteri, habis lagi buat hidupi anak-anak eks WNI sedangkan masih banyak anak-anak yg bahkan harus jualan koran di lampu merah. Sial benar!!</t>
  </si>
  <si>
    <t>RT @BambangWisang17: @ApriliaLin @P3nj3l4j4h_id JUjur, saya menentang ide pemulangan ISIS Eks WNI, walaupun bayi sekalipun. Krn semua nya berawal dari bayi/ kecil. kalau sedari kecil sudah dididik RADIKAL, akan sgt sulit untuk menerima pluralisme. Akan sangat sulit beradaptasi dengan Indonesia yg beragam. @MachfudMD @jokowi</t>
  </si>
  <si>
    <t>RT @Ad1t77: @ApriliaLin @ChusnulCh__ Ex isis d piara, giliran mencabut skb 2 mentri smp skr blm terkabulkan. Pdhl ada yg janji d thn 2014</t>
  </si>
  <si>
    <t>RT @Sujono_Ykho: @ApriliaLin @P3nj3l4j4h_id Kalo nanti mrk plng, suruh tampung di rumah pak jokowi dan pak mahfud MD, biar mrk dulu yg merasakan kejamnya isis</t>
  </si>
  <si>
    <t>RT @kompasiana: Bertemu Eks ISIS dalam Film "Seeking The Imam"</t>
  </si>
  <si>
    <t>RT @AkbarKaromput: @wahhabicc_jabar dari awal, saya jg sangat merasa janggal dgn hal ini, walau itu anak2 atau balita, biaya pemulangan-rehab dll, kita tidak perlu jauh, lihat saja di pasar tradisional atau lampu merah dikota kita masing2 apakah diperlakukan sama? ☹️ spesialkah anak2 eks isis ini. #Indonesia #ISIS</t>
  </si>
  <si>
    <t>@karinedfs_13 Socega cr kkkkkklk</t>
  </si>
  <si>
    <t>RT @dewi_darmawati: @wahhabicc_jabar jujur penasaran, siapa yg punya ide ini @PolhukamRI pak Menteri Prof @mohmahfudmd , mungkin masih kurang info bgmn anak-anak ISIS dididik dan dilatih 🤔😠</t>
  </si>
  <si>
    <t>Jln menuju oposisi bagi aku, rupanya sdh dibuka lebar olh Rezim ini! Anak2 Teroris pengikut iblis ISIS, diperhatikan. Sementara yang disini, didalam negeri ini,ada anak-anak KELAPARAN, MENGALAMI BUSUNG LAPAR, mereka Diam! Tak Peduli!!! Pak @jokowi @mohmahfudmd Apa Mau Kalian?! RT @Kars104: Siapakah Aloysius? Aloysius adalah kita, yg membenci INTOLERANSI dan menjunjung tinggi TOLERANSI. Siapakah Aloysius? Aloysius adalah kita; yg rindu akan Indonesia yg toleran dan damai, yg membutuhkan pemimpin yg mengayomi minoritas. #AloysiusMenjadiMartir</t>
  </si>
  <si>
    <t>Bertemu Eks ISIS dalam Film "Seeking The Imam"</t>
  </si>
  <si>
    <t>RT @danielht2009: @V_Stone_Kardol @mohmahfudmd Justru anak2 yg sdh terdoktrinisasi ideologi ISIS jauh lbh berbahaya drpd org dewasa. Pemikiran mrk yg tadinya polos diisi sepenuh dgn ideologi ISIS, akan menjadi bibit unggul ISIS.</t>
  </si>
  <si>
    <t>RT @Ervan_jtm: @V_Stone_Kardol @mohmahfudmd Kalo suatu saat terjadi sesuatu Aman mrk ring 1, kalo toh jd korban pst bawahan + masyarakat , gampang aja mrk acc pemulangan isis eks wni ini 🤦‍♂️</t>
  </si>
  <si>
    <t>Mt kro badnam allah or uske rasool ko ISIS walo Or Mt kro badnam ram or Hanuman ko RSS VHP walo #peace🥀❤️</t>
  </si>
  <si>
    <t>@isis_ursa @H_Sigiloso Belas curvas 🤤</t>
  </si>
  <si>
    <t>Yah begitulah... Tapi @jokowi @mohmahfudmd lebih suka mulangin anak2 eks wni pengikut ISIS yg (katanya) yatim piatu daripada fokus ke anak2 kita sendiri yg benar2 sangat membutuhkan kehadiran negara... WTF dah... #JokowiNggedebusTok RT @CNNIndonesia: Pemerintah Akui Banyak Anak SD Desa Tertinggal Tak Bisa Baca</t>
  </si>
  <si>
    <t>RT @tirtops: @AhlulQohwah @kirekswasta eks isis dipulangin, fakir miskin dan anak terlantar diapain?</t>
  </si>
  <si>
    <t>RT @adiwijaya1968: @twitpos @deglt Hindu hanya india..... Sekali negara muslim bersatu...membela saudaranya yg teraniaya oleh mayoritas hindu di india. HANCUR ITU NEGARA... Seandainya Taliban...Al Qaeda...ISIS pindah ke India mungkin...banjir darah sungai gangga... 😑😑😑</t>
  </si>
  <si>
    <t>188 WNI ABK Kapal World Dream Bakal Dievakuasi ke Pulau Tak Berpenghuni - Kaltim Post</t>
  </si>
  <si>
    <t>@deddyhutapea_ itu anggota isis tapi s3 vacitan</t>
  </si>
  <si>
    <t>@Airin_NZ @jokowi @mohmahfudmd Pemerintah Payah nich !!! Kita semua mgk pernah melihat kehebatan para anak kombatan ISIS yg dg cepat dpt membongkar pasang senjata berat,lantas skg ada pemulangan anak2 dg berbagai alasan dan argumentasi. Jangan sampai ini menjadi bom waktu di 10 thn kemudian.</t>
  </si>
  <si>
    <t>Dalam acara Festival Kebhinekaan saya bertemu dengan eks ISIS yang beruntung kembali ke Indonesia dalam film dokumenter "Seeking The Imam".  @komik_ksiana @KreasiSasa #nobarkebhinekaan #festivalkebhinekaan3</t>
  </si>
  <si>
    <t>@edimaha233 @hasmi_bakhtiar @helmi75 @jokowi @mohmahfudmd @permadiaktivis @elishevadpw Juga buat anda bung permadi , biang utama Al qaeda + isis + Muslim brotherhood + taliban + Boko Haram adalah : Qatar ( dajjal besar tanah Arab )</t>
  </si>
  <si>
    <t>@shahid_siddiqui Tu apne musalmaan ko Bata..u guys are ISIS followers</t>
  </si>
  <si>
    <t>RT @adisatya: @RinjaniJB @WSuparmo @SHikmawatty @KPAI_official Yah gimana ya bu..... faktanya demikian. Ga lebih dr bagi2 kekuasaan sj. Coba perhatikan : lebih memilih membela anak ISIS eks WNI, di depan mata ada anak makan sabun mrk diam. Patern dan arahnya sbnrnya kebaca. Tp ya sudahlah..... Kadang pesimis dgn kondisi bgs ini ke depan</t>
  </si>
  <si>
    <t>@indomyfess bukan masalah mahal apa ngganya, tapi objectivenya wkwkwkwk kayak apa ya... bts bukan wni jg kenapa tiba2 kamu come out sm idea bts jd BA kita... BA INDONESIA kan ini maksudnya? ap gmn ak ga ngerti aowkakwk</t>
  </si>
  <si>
    <t>RT @erwindoparulian: @jenk_kelinn @jimmyherdyansy2 @mohmahfudmd Mau anak yatim kek, mau anak durhaka kek. Selama mereka eks isis sudah tidak ada tempat lg di Indonesia. Biarkan mereka pertahankan keyakinan mereka hingga ajal menjemput (entah dimana), tp bukan dipulangkan ke indonesia.</t>
  </si>
  <si>
    <t>@Indonesianews15 Kebanyakan WNI tidak mengerti aturan di militer sehingga banyak yang nyerocos di medsos. Setelah membaca sikap dan tindakan TNI terhadap Letkol Aloysius Sandi Sudirman akhirnya kami bisa mengerti.</t>
  </si>
  <si>
    <t>@777juniblack @mohmahfudmd semoga anda tahu genetika,buah jatuh tak akan jauh dr pohonya,jika orang tuanya anggota ISIS sudah pasti kelak anaknya akan mengikuti jejak perilaku org tuanya,tak perlu bilang demi kemanusiaan,jikalau hanya membuat keresahan sebagian besar rakyat indonesia.!!!</t>
  </si>
  <si>
    <t>@idhamrously @jokowi Noh mahasiswa di wuhan, noh WNI di Jepang, dibela belain sampe gitu, kok ya masih ada yang nethink sama pemerintah sendiri, HERAN.</t>
  </si>
  <si>
    <t>RT @suchisow9: ISIS - Syria RSS - India. #ThisisTN_GetoutRSS</t>
  </si>
  <si>
    <t>@AhlulQohwah @kirekswasta Anak-anak itu korban isis bukan bagian dr isis. Apalgi mmbandingkan dgn anak2 ditapanuli dll itu beda subtansinya.</t>
  </si>
  <si>
    <t>Pak @jokowi @mohmahfudmd buka matamu pak!!! Banyak anak2 di NKRI ini yg masih mencintai negara ini,dan butuh sekali bantuan. Bukan mereka wni eks isis atau anak wni eks isis!!!! RT @wahhabicc_jabar: Barusan Baca 2 Berita yg seolah Gak Bisa Dipercaya! 1. Pemerintah telah menyiapkan segala keperluan untuk memulangkan anak² eks ISIS sampai disiapkan perumahan khusus! SEMENTARA.... 2. Anak yg di dalam negeri KELAPARAN sampai terpaksa MAKAN SABUN sampai SAKIT!</t>
  </si>
  <si>
    <t>ISIS - Syria RSS - India. #ThisisTN_GetoutRSS</t>
  </si>
  <si>
    <t>RT @budiarto689: @jenk_kelinn @mohmahfudmd Pak @mohmahfudmd masalah kepulangan eks wni isis ga perlu di urus masalah dalam negeri masih banyak yg perlu diurus</t>
  </si>
  <si>
    <t>Skema Evakuasi Terbaik bagi WNI di World Dream dan Diamond Princess, Jokowi: Tidak Bisa Tergesa-gesa #coronavirus #viruscorona #RepublikMerdeka</t>
  </si>
  <si>
    <t>@senyaplagi Orang 120rb nama bisa lolos dari data kependudukan (termasuk para WNI bermasalah hukum) emang pemerintah aja yang siluman 😂</t>
  </si>
  <si>
    <t>Pemerintah Upayakan Skema Evakuasi Terbaik bagi WNI di World Dream dan Diamond Princess  BuserBhindo BuserBhindo</t>
  </si>
  <si>
    <t>@Mayvhia Gak akan terjadi Yg WNI cina jga aman, di daerah gue hampir 60presn WNI cina Jelambar namanya aman kok ga ada kek gitu....</t>
  </si>
  <si>
    <t>Ank ISIS,ank PKI apkh kita mau meniru gaya soeharto!kita waras bukn kaya soeharto smpi 7turunan yg tdk berdosa kena imbas,apkh kita pingn begitu! Ketika di lahirkan apakh anak itu pingn jdi ank PKI,ISIS seandainya ank itu bisa ngomong pasti bilng sama Allah aku ga mau lahir,</t>
  </si>
  <si>
    <t>Observasi WNI di Pulau Sebaru Gunakan Fasilitas yang Lebih Baik  #vivanews</t>
  </si>
  <si>
    <t>@izjoner KKKJJJJJK ISIS TU EH PERFEITA</t>
  </si>
  <si>
    <t>Presiden @jokowi menandatangani (Inpres) Nomor 7 Tahun 2019 tentang Percepatan Kemudahan Berusaha. Agar mendorong peningkatan iklim investasi, peningkatan pertumbuhan ekonomi, dan penyediaan lapangan kerja. Kontra produktif kalau mendatangkan teroris ISIS. Apa kata investor? RT @mediaindonesia: Yasonna menambahkan 200 WNI yang telah diverifikasi tersebut artinya berpaspor Indonesia dan identitasnya sudah jelas</t>
  </si>
  <si>
    <t>Pemindahan 188 WNI ABK Kapal World Dream Rampung, KRI Dr Soeharso Tinggalkan Perairan Kepri</t>
  </si>
  <si>
    <t>Ada sekitar 188 WNI yang nantinya akan langsung ditempatkan di Pulau Sebaru, Kepulauan Seribu. Sementara itu di Pulau Sebaru, tim gabungan yang ditunjuk oleh pemerintah telah mensterilkan lokasi pulau sebaru kecil, di Kepulauan Seribu.</t>
  </si>
  <si>
    <t>Belasan WNI Masih Tertahan di China Akibat Virus Corona</t>
  </si>
  <si>
    <t>Jadi inget zaman gubernur jakarta, "pilihlah yang SEIMAN jangan KAFIR" dan kejadian bom bundir di beberapa gereja Indo, Apakah kami saling mencaci? TIDAK!apakah kmi memusuhi? TIDAK! #ShameOnYouIndia tengoklah Isis sesama MUSLIM, mereka langsung menghabisi nyawa sesamanya</t>
  </si>
  <si>
    <t>@DukeCondet Harus nya TERORIS ISIS sudah menyerang india ... itupun klo emang bener ISIS itu islam 🤔🤔</t>
  </si>
  <si>
    <t>Sekarang sudah ada tim mau ke sana (Suriah). Biar nanti dapat datanya dulu," ungkap Yasonna</t>
  </si>
  <si>
    <t>RT @isalfatur: @BBCIndonesia Berdasarkan UUD 45, setiap warga negara yg berpartisipasi dgn kegiatan militer negara lain otomatis kehilangan kewarganegaraannya. Mau bagaimanapun juga, mereka semua secara hukum udh bukan WNI, kecuali pemerintah mau ganti UUD.</t>
  </si>
  <si>
    <t>Detik-detik sekoci berwarna merah menuju KRI Dokter Suharso membawa sejumlah WNI dari kapal WNI World Dream Dari visual dan foto yg berasal dri panglima TNI,tampak sejumlah WNI turun dari sekoci menuju kapal Dokter Suharso dgn pengawalan petugas yg berpakaian pelindung lengkap</t>
  </si>
  <si>
    <t>ya Allah ini sedih bgt tengah malem nangis sesenggukan | Keturunan WNI tanpa identitas: 15 tahun terpisah, ibu dan anak bersatu k...  via @YouTube</t>
  </si>
  <si>
    <t>Sembilan WNI positif #COVID19 coronavirus. Semuanya dirawat di Jepang. Stay safe teman-teman.</t>
  </si>
  <si>
    <t>RT @KATADATAcoid: TNI AL telah rampung mengevakuasi WNI ABK MV World Dream di perairan Batam menggunakan KRI dr Soeharso yang akan dibawa menuju Pulau Sebaru.</t>
  </si>
  <si>
    <t>VIDEO: Pulau Sebaru Lokasi Observasi 188 WNI Terkait Corona - : VIDEO: Pulau Sebaru Lokasi Observasi 188 WNI Terkait Corona</t>
  </si>
  <si>
    <t>@sbyfess Ayo ayo ae aku nyeker enak isis</t>
  </si>
  <si>
    <t>RT @KSGABGP: @JA66Y_ @AkbarAmir19 @prakas_padukun @BirgaldoS @KPAI_official Asal tau aja salah satu komisioner KPAI eks kepala sekolah dipecat jaman pak ahok pro pemulangan anak anak ISIS</t>
  </si>
  <si>
    <t>Baru tau kalo wni bebas visa di Belarus Tp tiket kesananya mahal pol wkwk pdhl menariq [soalnya perbatasan sm russia]</t>
  </si>
  <si>
    <t>RT @Officials_BS: Sesuai arahan Presiden Joko Widodo (Jokowi), pada hari ini, Rabu 26 Februari 2020, sebanyak 188 orang Warga Negara Indonesia (WNI), yang terdiri dari 16 perempuan dan 177 laki-laki, dijemput Kapal Republik Indonesia (KRI) Dr. Soeharso di Teluk Durian.</t>
  </si>
  <si>
    <t>Detik-detik 188 WNI Dibawa KRI Soeharso ke Pulau Sebaru Kepulauan Seribu KRI Dokter Suharso tlh bergerak menjemput 188 WNI di Teluk Durian,Rabu (26/02/2020) siang tadi Nantinya,para WNI yg berasal dari Kapal Pesiar World Dream akan diobservasi di Pulau Sebaru,Kepulauan Seribu</t>
  </si>
  <si>
    <t>Sesuai arahan Presiden Joko Widodo (Jokowi), pada hari ini, Rabu 26 Februari 2020, sebanyak 188 orang Warga Negara Indonesia (WNI), yang terdiri dari 16 perempuan dan 177 laki-laki, dijemput Kapal Republik Indonesia (KRI) Dr. Soeharso di Teluk Durian.</t>
  </si>
  <si>
    <t>@KiranNoorKN Kia aap bhool gain Jamiya e Hafsa ki Talibat or Molana Abdul Aziz ki BV nay Daosh or ISIS ki khilafat or unki bait ka iqrar kia tha .. or Halaf liya tha .. itni purani baat bhi nahi hay ..</t>
  </si>
  <si>
    <t>RT @okezonenews: 11 Meninggal Akibat Virus Korona di Italia, KBRI Roma Imbau WNI Tetap Tenang #TauCepatTanpaBatas #BeritaTerkini #International #BeritaInternasional .</t>
  </si>
  <si>
    <t>RT @tempodotco: Pemerintah menjadikan Pulau Sebaru Kecil, Kepulauan Seribu, sebagai tempat observasi WNI Anak Buah Kapal World Dream yang terdampak penyebaran virus corona (Covid-19). #VirusCorona</t>
  </si>
  <si>
    <t>RT @NyiGiri: Selamat pagi Kamis Optimis Indonesia Tegas menolak Teroris Katakan TIDAK pada golongan ISIS Indonesia Negeri Agamis, Nasionalis dan Pancasilais.. Berkah bagi saudara-saudari ku semua, Senyum manis bagimu Indonesia Raya..</t>
  </si>
  <si>
    <t>RT @cuk_raimu: @CastilloJoshima Pak @mohmahfudmd dan pak @jokowi, masih banyak anak di negeri ini TERLANTAR DAN TIDAK DIPERHATIKAN NEGARA, malah ngurusin CALON TERORIS. Usia emas mereka sdh direbut oleh ISIS. NEGARA MAKIN GAK JELAS KRN PRESIDEN SDH GAK ADA BEBAN!!!</t>
  </si>
  <si>
    <t>RT @Iqbal__Kholidi: ketika mantan budak seks ISIS dipertemukan dengan eks-komandan ISIS</t>
  </si>
  <si>
    <t>Bibit Bibit Radikal Regenerasi ISIS dirawat dan dibesarkan Pemerintah RI . Yth Bapak @jokowi diindonesia Masih Banyak Anak yatim Piatu dan Miskin . Lebih baik Bapak Rawat dan didik untuk Menjaga NKRI . Membesarkan Bibit Bibit Radikal sama saja Negara Produksi TERORIS 🙏♥️🇮🇩</t>
  </si>
  <si>
    <t>Sadiq Khan, London’s ‘Liberal Muslim’ Mayor, Has Ties To ISIS  via @yournewswire</t>
  </si>
  <si>
    <t>Gatau ya kok aku b aja pake fit-shirt gitu buat ngegym. Paling nyaman tanktop an sih emang kelek e isis haha</t>
  </si>
  <si>
    <t>RT @triefince: @CastilloJoshima Tuh org ngomongnya beda2, waktu belom jd menteri selalu nolak eks wni ISIS, pas jd menteri jg gitu berlagak nolak, trs diurus dan akhirnya dipulangin jg.. dasar kadrun, masa depan banyak teroris itu tanggung jawab dia dan presiden secara moral...</t>
  </si>
  <si>
    <t>@CastilloJoshima Tuh org ngomongnya beda2, waktu belom jd menteri selalu nolak eks wni ISIS, pas jd menteri jg gitu berlagak nolak, trs diurus dan akhirnya dipulangin jg.. dasar kadrun, masa depan banyak teroris itu tanggung jawab dia dan presiden secara moral...</t>
  </si>
  <si>
    <t>@DumaySyuhada Biasanya kl umat Islam melawan maka akan di cap ISIS dan radikal. Meradikal kan diri untuk melawan radikal² tulen apa itu salah....?</t>
  </si>
  <si>
    <t>Pemerintah Pastikan Fasilitas Observasi WNI di Pulau Sebaru Lebih Baik</t>
  </si>
  <si>
    <t>Islam Agama Sempurna Rahmatan Lil 'Alamin: &gt;Pilih Masuk Islam? &amp;gt;Pilih Bayar Upeti? &amp;gt;Pilih Perang? [Islam ISIS]. RT @Donal_golan: Ekspansi Islam, dlm ulasannya Khalid Zeed Abdullah Basalamah, Lc., M.A. (ustad Basalamah). 1. Tawaran masuk islam (jika menolak). 2. Jizyah / upeti (jika menolak). 3. Perang. Bagaimana tanggapan anda @TweetSyarif , @LusiHQ , @eko2471 @DianVeei @PemikirGL</t>
  </si>
  <si>
    <t>RT @soepeno321: @P3nj3l4j4h_id @jokowi @Chilli_Pari Bbrp waktu lalu: "Keputusan sudah final TIDAK AKAN memulangkan WNI eks ISIS",... sekarang "Pemulangan Anak WNI eks ISIS sdh siap!"... saya kecewa dg keputusan ini. Kasus Intoleransi yg ada aja belum bisa ditangani, sekarang memulangkan BIANG INTOLERANSI.</t>
  </si>
  <si>
    <t>RT @didi_armayanto: @GarengHallu @johhhnygudhel @mohmahfudmd Tidak ada kata2 "Anak WNI Eks ISIS" bagi kami mereka adalah "Anak ISIS Eks WNI", dan mereka akan menjadi trigger kekacauan kalo kembali ke NKRI, tidak ada tempat bagi mereka, mereka itu sudah menjadi bibitnya teroris .....</t>
  </si>
  <si>
    <t>RT @ign_djo666: @jokowi Pak, apa bener wacana anak eks isis mau di pulangin? Trus kapan bapak meninjau pembangunan gereja katolik st. Joseph di karimun. Oia, udah ada IMBnya tp harus nunggu keputusan PTUN, lucu ya pak!</t>
  </si>
  <si>
    <t>RT @MemanggilMantan: @P3nj3l4j4h_id @jokowi @Chilli_Pari Setuju. Pak @mohmahfudmd masih banyak anak yatim piatu di negeri ini yang perlu diurus, diayomi dengan baik oleh negara, jangan sia-siakan waktu dan dana untuk keturunan EKS WNI PRO ISIS... APBN, salah satunya dibayar oleh PAJAK RAKYAT lho Pak! #TolakPemulanganEksWNIProISIS</t>
  </si>
  <si>
    <t>RT @SukhendroPragul: @MoelyonovDjalil Kata Menachem Begin mantan Presiden Israel (Zionis)..." Untuk menghancurkan suatu bangsa tak perlu dibombardir, cukup hilangkan budaya dan sejarahnya" . Taktik ini digunakan oleh ISIS yg menghancurkan artefak Irak dan Suriah. Nuwun pak de 🙏🏻🙏🏻🙏🏻</t>
  </si>
  <si>
    <t>@ustadchen bah penasaran kalau WNI di jemput sama pemerintah babah bakal ikut pulang ngga?</t>
  </si>
  <si>
    <t>@dursalim2016 @detikcom Kok loyo sebelum bertanding? 🙈...payah. -. Gw ga nyerang islam. Bagi gw isis dan 212 bukan islam. Tapi Penjahat Islam. Ngerti beda nya? -. Manusia lbh tinggi derajat nya drpda hewan, walau sama2 makluk ciptaaNYA. So wajar bila diperlakukan lbh mulia dr pada hewan. 🙈🙈🤯</t>
  </si>
  <si>
    <t>@ongswelo sumpah kak wni disana mau keluar balik aja takutttt... apa dia gamikir kalo sekali kena dan pulang bakal sama aja kaya si mak2 daegu super spreader itu. allahu aku gamau ya... sakit gigi aja udh nyiksa</t>
  </si>
  <si>
    <t>WNI di World Dream Akan Dievakuasi Lebih Dahulu) |</t>
  </si>
  <si>
    <t>RT @aaizatnizam: Just nak share kpd semua fresh grads dan pencari kerja pelbagai peringkat lubuk-lubuk untuk mencari peluang pekerjaan. 😊 Hopefully dpt membantu semua Pastikan anda SAVE &amp; keep sharing senarai ini 1.  2.  3.</t>
  </si>
  <si>
    <t>RT @KompasTV: Detik-detik 188 WNI Dibawa KRI Soeharso ke Pulau Sebaru Kepulauan Seribu</t>
  </si>
  <si>
    <t>RT @KompasTV: Mengintip Fasilitas Observasi 188 WNI di Kepulauan Seribu</t>
  </si>
  <si>
    <t>Lokasi observasi WNI di Pulau Sebaru terus disiapkan</t>
  </si>
  <si>
    <t>RT @aabu_CA: Aku terima nikah... dengan mas kahwin rm300 tunai.</t>
  </si>
  <si>
    <t>Kemenkes Jamin Standar Prosedur Observasi WNI Sesuai WHO</t>
  </si>
  <si>
    <t>@P3nj3l4j4h_id @jokowi @Chilli_Pari Setuju. Pak @mohmahfudmd masih banyak anak yatim piatu di negeri ini yang perlu diurus, diayomi dengan baik oleh negara, jangan sia-siakan waktu dan dana untuk keturunan EKS WNI PRO ISIS... APBN, salah satunya dibayar oleh PAJAK RAKYAT lho Pak! #TolakPemulanganEksWNIProISIS</t>
  </si>
  <si>
    <t>@packiarajan @ntkwillpower ISIS ku... Bangladesh Muslims ku Indian Muslims support.. but Hindu ku Hindu support pana maatenguraanga</t>
  </si>
  <si>
    <t>@nemosyus @AmstrongBiring @mohmahfudmd yg perlu diurus negara itu anak2 korban bom teroris loh pak macam Adek Alvaro dan Trinity yg sdh menghabiskan biaya besar utk pengobatan, jgn negara mlah sibuk &amp; lbh perhatian sma anak2 ISIS eks WNI. Apa krna alvaro &amp;amp; trinity minoritas jd tdk dprhatikan negara? *serius nanya pak</t>
  </si>
  <si>
    <t>Yasonna menambahkan 200 WNI yang telah diverifikasi tersebut artinya berpaspor Indonesia dan identitasnya sudah jelas</t>
  </si>
  <si>
    <t>@chepperoni 😍😍😍😍😍 Kesha……</t>
  </si>
  <si>
    <t>@dpplif @dusrimulya Gak boleh, kecuali pelakunya muslim baru islam teroris, mabuk agama, isis, kadrun -sobat open minded-</t>
  </si>
  <si>
    <t>@CastilloJoshima Pak @mohmahfudmd dan pak @jokowi, masih banyak anak di negeri ini TERLANTAR DAN TIDAK DIPERHATIKAN NEGARA, malah ngurusin CALON TERORIS. Usia emas mereka sdh direbut oleh ISIS. NEGARA MAKIN GAK JELAS KRN PRESIDEN SDH GAK ADA BEBAN!!!</t>
  </si>
  <si>
    <t>RT @azissubekti: Keinginan warganet mengetahui persoalan WNI exs ISIS yg akan pulang ke Indonesia cukup tinggi. Pantauan @EvelloCorp tiga video ( @tvOneNews dan @KompasTV ) di kanal Youtube masuk trending video-mendapatkan view paling banyak. Diskusi terkait UU No 12/2006 ttg kewarganegaraan</t>
  </si>
  <si>
    <t>@rienkusayang @arhmsin @BNPTRI rilek dulu bentar, jgn tlalu tegang, pak Jokowi juga urusi negara ini malah bercanda dgn ISIS</t>
  </si>
  <si>
    <t>RT @Ajkwa4: @BBCIndonesia Tetap tolak mereka. Kami WNI berhak hidup normal dan tenang, tdk diganggu oleh para teroŕis dan pendukung teroris. Kalau diterima, malah seperti membawa virus dengan sengaja masuk ke Indonesia.</t>
  </si>
  <si>
    <t>Jadi inget video cerita pengalaman pak @mohmahfudmd ketika jd DPR. 1. Mencoba Melawan Arus 2. Berhenti melawan Arus 3. Mengikuti arus</t>
  </si>
  <si>
    <t>@euotrouxa Isis_kaliny_</t>
  </si>
  <si>
    <t>@Airin_NZ @laikarippang13 Pak @mohmahfudmd coba liat video anak isis ini pak!!</t>
  </si>
  <si>
    <t>Mending ngeramut mereka dr pada bawa masuk anak2 isis RT @KompasTV: Cerita Sedih 6 Bocah Yatim Piatu, Ayah dan Ibu Meninggal di Hari yang Sama</t>
  </si>
  <si>
    <t>RT @MedParahyangan: “Wawancara Bersama Adrianus Harsawaskita : Polemik ISIS Eks-WNI”</t>
  </si>
  <si>
    <t>@FerdinandHaean2 @jokowi @mohmahfudmd Pak @mohmahfudmd mendingan anda urus yg ini daripada anak anak isis , kalian ada masalah apa sih dengan anak mereka. Biarkan saja mereka dengan ortunya disana.</t>
  </si>
  <si>
    <t>@ichigotalks @DimasyFermana Anak-anak yg Sudah Terpapar ISIS Begini Mau di Pulangkan? #TolakEksWNIproISIS</t>
  </si>
  <si>
    <t>RT @GarengHallu: Pemerintah Pastikan Anak WNI Eks ISIS Dipulangkan ke Indonesia  Pak @mohmahfudmd .. Bapak yakin mau pulangin bibit (anak)ISIS.. Maaf pak disini masih banyak anak²yang perlu perhatian dan bantuan..... Kerja nyata pak, buat gebrakan pak.. 🙏🙏🙏</t>
  </si>
  <si>
    <t>Pemerintah Evakuasi WNI Yang Berada di Kapal Pesiar World Dream  #PDIPerjuangan</t>
  </si>
  <si>
    <t>@animalfess2 "km isis ya?"</t>
  </si>
  <si>
    <t>RT @evhia: @CastilloJoshima @ephraym8 Semoga sebelum dipulangin kamp isis kena virus korona</t>
  </si>
  <si>
    <t>@A_MutheJKT48 nunu suruh gabung isis aja</t>
  </si>
  <si>
    <t>RT @JubirPresidenRI: Proses Pemindahan Evakuasi Kemanusiaan WNI dari Kapal World Dream ke KRI Dr. Soeharso pada #EvakuasiWNIWorldDream atas perintah Presiden @jokowi setelah #EvakuasiWNIWuhan. Insya Allah, menyusul #EvakuasiWNIYokohama. Terimakasih @Puspen_TNI @KemenkesRI utk dedikasinya. #BungJubir</t>
  </si>
  <si>
    <t>Keturunan WNI tanpa identitas: 15 tahun terpisah, ibu dan anak bersatu k...  lewat @YouTube</t>
  </si>
  <si>
    <t>Saya adalah calon ISIS Ikatan Suami Istri Satu 😂</t>
  </si>
  <si>
    <t>RT @anarededd: Eu amu</t>
  </si>
  <si>
    <t>@jokowi Pak, apa bener wacana anak eks isis mau di pulangin? Trus kapan bapak meninjau pembangunan gereja katolik st. Joseph di karimun. Oia, udah ada IMBnya tp harus nunggu keputusan PTUN, lucu ya pak!</t>
  </si>
  <si>
    <t>RT @kompascom: Tangis Iwan, keturunan WNI tanpa identitas di Malaysia, meledak saat bertemu lagi dengan ibunya, Hana Beddong, setelah 15 tahun terpisah.</t>
  </si>
  <si>
    <t>@Lavender_Isis Mnakwethu, mina ngibona wena, ngizibonela umshado 😍</t>
  </si>
  <si>
    <t>@DukeCondet Islam itu indah. Isalam itu damai. Islam itu sejuk... isis itu buatan mamarika. Teroris itu bkn ajaran islam... bla..bla..bla... gk ngurus negara org.!</t>
  </si>
  <si>
    <t>RT @ZoelFawzie: Pingin eksis ya tidak begini amat broo.. Bedakan buat lucu²an dgn hal yg sakral.. Ibadah urusan kita dg Tuhan.. Tapi klo buat guyonan begitu bentar lagi pasti di tik tok sama .malaikat..😀</t>
  </si>
  <si>
    <t>Pulau Sebaru, Pulau Tak Berpenghuni yang Jadi Lokasi Observasi WNI ABK World Dream Halaman all –</t>
  </si>
  <si>
    <t>Proses evakuasi menggunakan mekanisme "ship to ship" untuk selanjutnya diberangkatkan ke Pulau Sebaru Kepulauan Seribu untuk menjalani observasi.</t>
  </si>
  <si>
    <t>Bagaimana saya percaya pemulangan ISIS sedangkan di dunia pokus ke virus 🤫👻👻🤔 #anistenggelamkanDki #coronavirusnobrasil</t>
  </si>
  <si>
    <t>WNI di Jepang Belum Dievakuasi, Pemerintah Masih Negosiasi</t>
  </si>
  <si>
    <t>@YaTaqwa83 @GusNadjib @FidiansyahReza Mantul. Udah di red notice eh bikin malu negara aja. Apa susahnya jemput paksa IB HRS. Ini malah difitnah dg nempel bendera ISIS. paraaaaaaah.... Rezim parno. 🤣🤣🤣</t>
  </si>
  <si>
    <t>@gunaaaa legal kalo punya akta lahir dan terdaftar di kk, atau kalo dia WNA sudah mengajukan naturalisasi jadi WNI #judimanissangcalonbini :3 uwuuuu</t>
  </si>
  <si>
    <t>RT @Spider__matriX: Pernyataan Bang Yos Sangat Masuk Logika. Tinggal @aniesbaswedan bisa menjalankan atau tidak. #JKTBanjir4niesMlipir Rusun tidak di bangun. Kali tidak di Normalisasi. Petugas PPSU dikurangi. Pompa Tidak Jalan. Mau tidak mau normalisasi sungai harus dilakukan !</t>
  </si>
  <si>
    <t>TNI Angkatan Laut mengevakuasi 188 Warga Negara Indonesia (WNI) yang menjadi kru Kapal Pesiar World Dream.</t>
  </si>
  <si>
    <t>@TofaTofa_id Yaelah....kagak ada kapok2nya kampret ini....kagak inget waktu diBui...sampe bini mewek2 ? Kalo lo percaya SURGA dan Agama....kagak mungkin hidup lo penuh Kebusukan</t>
  </si>
  <si>
    <t>RT @aewin86: @utowirdow Iya..sama Mayoritas di Amerika dicoreng oleh ulah KKK Mayoritas di Jerman, oleh NeoNazi Burma, Ashin Wiratu Indonesia, afiliasi ke Isis, alqaeda Srilanka, Rahwana Balaya.. Padahal Mayoritasnya menginginkan perdamaian</t>
  </si>
  <si>
    <t>@Airin_NZ Jika benar pemerintah jadi memulangkan anak2 isis eks wni saya tidak akan pernah mempercayai pemerintahan negeri ini..</t>
  </si>
  <si>
    <t>RT @Hariannie3: @P3nj3l4j4h_id @jokowi @Chilli_Pari Yg Di Negeri Sendiri Saja Masih Banyak Yg Susah Pendidikan Gak Terjamin Kesehatan TERABAIKAN masih mau ngurus mulangin yg nyata 2 sudah jd penghianat bangsa pak @mohmahfudmd kami kecewa bgt ttg pemulangan anak eks isis eks wni, sy sebagai penyumbang devisa negara/tki hkg kecewa,</t>
  </si>
  <si>
    <t>RT @altermarcello: @Ivone_RSZ @nonmolare @P3nj3l4j4h_id @jokowi @Chilli_Pari Lebih baik pemerintah mengurus anak2 ini daripada urus anak2 ex wni anggota isis @mohmahfudmd</t>
  </si>
  <si>
    <t>bahkan wakil menteri/official negara itu juga terjangkit. Lalu saya baca berita tentang warga Hubei yg positif Corona tapi baru nunjukin symtomp setelah 27 hari, berarti masa inkubasi 14 hari tidak menjamin wni yg dievakuasi ke Indonesia bakal bebas Corona.</t>
  </si>
  <si>
    <t>RT @pikiran_rakyat: Pemerintah Upayakan Skema Evakuasi Terbaik bagi WNI di World Dream dan Diamond Princess</t>
  </si>
  <si>
    <t>Saya berduka, tapi men-generalisir Hindu is Terrorist saya rasa kurang tepat. Analoginya saat kita sebagai Muslim digeneralisir teroris karena dunia berkaca pada Isis pastilah akan menyakitkan. Sampaikan berita dengan akurat, tanpa harus menebar kebencian. India tidak ramah... RT @tembangjiwa: muslim india dipukuli dengan brutal, mereka diteror bahkan ada yang dibunuh. tapi dunia diam terhadap tindakan tidak berperikemanusiaan ini. memang HAM bukan produk dan untuk islam jadi wajar saja kalian bungkam :-) #Hindu_Is_Terrorist</t>
  </si>
  <si>
    <t>@jokowi Pemerintah harus hadir bagi WNI penghasil devisa untuk Negara.</t>
  </si>
  <si>
    <t>@jenk_kelinn @mohmahfudmd Serius pak @mohmahfudmd menganggap mereka anak wni eks isis.. padahal jelas2 mereka isis eks wni. Kapan mreka jd eks isis?? Anak bangsa masi bnyk yg diurusin anak isis. Njg</t>
  </si>
  <si>
    <t>@MimrotReena ISIS jab a jayenge na tab kategi hamari garadan aur tum banogi sex slave, a machine to produce young jihadis, ab bato kaun jada khatarnak hai?</t>
  </si>
  <si>
    <t>@utowirdow Iya..sama Mayoritas di Amerika dicoreng oleh ulah KKK Mayoritas di Jerman, oleh NeoNazi Burma, Ashin Wiratu Indonesia, afiliasi ke Isis, alqaeda Srilanka, Rahwana Balaya.. Padahal Mayoritasnya menginginkan perdamaian</t>
  </si>
  <si>
    <t>@PaijoAryanto__ @rienkusayang Akuhh gak nyampek mas. 😭😭 Mrk pengungsi yg kini kembali. Apakah juga berlaku untuk bocah ISIS?</t>
  </si>
  <si>
    <t>TNI AL evakuasi 188 WNI dari Kapal World Dream di Selat Durian</t>
  </si>
  <si>
    <t>@FerdinandHaean2 @jokowi @mohmahfudmd Gue heran,kenceung banget mulangin anak" exs isis,sementara di dlm negeri masih banyak anak yatim piatu....terlantar</t>
  </si>
  <si>
    <t>RT @tjapoenglaut: @Wolverine_Nemo @Semar47913550 @PrasetyoEdi_ @PDI_Perjuangan Ada yang pernah ngemeng tak ada tempat buat radikalisme...tapi gelar karpet merah buat anak isis.....</t>
  </si>
  <si>
    <t>Yg terjadi di india itu salah satu akibat adanya isis/teroris yg pake jubah agama, islam. Mereka yg jadi sasaran dituduh kelompok radikal.</t>
  </si>
  <si>
    <t>@conevanillae Untunge bukan ukhti"jilbab macam isis</t>
  </si>
  <si>
    <t>@Wolverine_Nemo @Semar47913550 @PrasetyoEdi_ @PDI_Perjuangan Ada yang pernah ngemeng tak ada tempat buat radikalisme...tapi gelar karpet merah buat anak isis.....</t>
  </si>
  <si>
    <t>setelah kecewa melihat tingkah polah pak @jokowi dan @mohmahfudmd yg dgn seenaknya mulangin anak ISIS,maka lebih baik saya jadi Kalut ato kadal laut saja. saya cabut dukungan sy pada pak @jokowi dan antek2nya. Dah itu sj.</t>
  </si>
  <si>
    <t>@scarface_nrr Mudah mudahan ISIS pada pindah ke INDIA baru seru....! 😠😠😠😠😠😠😠😠😠😠😠😠😠😠😠😠😠😠😠😠</t>
  </si>
  <si>
    <t>RT @kompascom: TNI Angkatan Laut berhasil mengevakuasi 188 WNI yang menjadi anak buah kapal World Dream ke KRI dr Soeharso di Perairan Selat Durian, Kepulauan Riau ~ #Nasional</t>
  </si>
  <si>
    <t>RT @young_tanjuang: Dibalas oleh Muj4hidin nanti dituduh teroris ISIS...media selalu memutarbalik fakta</t>
  </si>
  <si>
    <t>@Spider__matriX @mohmahfudmd Belum lagi kepastian pemulangan anak2 eks ISIS.... Ada apa dengan pak @mohmahfudmd ?</t>
  </si>
  <si>
    <t>Keturunan WNI tanpa identitas: 15 tahun terpisah, ibu dan anak bersatu k...</t>
  </si>
  <si>
    <t>@BubuNyaii @TofaTofa_id Prediksi ala ala menyorot kebijakan pemerintah untuk anak anak besutan ISIS. Pemikiran complicated bahkan terkesan keruh seperti banjir.</t>
  </si>
  <si>
    <t>Pemerintah Upayakan Skema Evakuasi Terbaik bagi WNI di World Dream dan Diamond Princess</t>
  </si>
  <si>
    <t>RT @Metro_TV: #TopNewsMetroTV Setelah terombang-ambing di laut, pemerintah akhirnya mengevakuasi 188 WNI yang bekerja di Kapal Pesiar World Dream. Proses evakuasi menggunakan KRI Soeharso di Selat Durian, Kepulauan Riau. #MetroTV</t>
  </si>
  <si>
    <t>TNI Angkatan Laut berhasil mengevakuasi 188 WNI yang menjadi anak buah kapal World Dream ke KRI dr Soeharso di Perairan Selat Durian, Kepulauan Riau ~ #Nasional</t>
  </si>
  <si>
    <t>RT @Metro_TV: #TopNewsMetroTV Pulau Sebaru dipilih oleh pemerintah sebagai lokasi observasi 188 WNI kru Kapal Pesiar World Dream. Pulau tak berpenghuni ini dipilih karena dianggap aman dan memiliki fasilitas yang cukup memadai. #MetroTV</t>
  </si>
  <si>
    <t>Anak anak dalam negeri aja masih banyak yg keteteran pak @mohmahfudmd tambah lagi urus yg ISIS.. Nambahin kerjaan aja pakk...</t>
  </si>
  <si>
    <t>@PaijoAryanto__ @rienkusayang Welcome kalo gitu, en kudu siap nanggung resiko pulangin bocah ISIS 😎</t>
  </si>
  <si>
    <t>@Airin_NZ @harihariono1 @jokowi @mohmahfudmd Dulu sy berharap byk @mohmahfudmd bisa membuat perubahan soal intoleransi tp ternyata sm sj dan lbh parah lagi anak ISIS mau dibawa pulang ke negara ini padahal sudah jelas itu melanggar UU, tolong dong siapa sj yg ahli hukum menggugat mereka ke MA.</t>
  </si>
  <si>
    <t>Kenapa kasus India yang baru aja terjadi ini justru bikin aku takut. Karena apa? Disini juga ada masyarakat Hindu di Bali. Takut dong kalau nanti tbtb kaum itutuuuh jadi ikutan nyerang orang2 Bali, kayak mereka nyerang orang-orang WNI Cina disini.</t>
  </si>
  <si>
    <t>Terimakasih Pak @jokowi atas kepedulian untuk melindungi 267 Juta penduduk Indonesia. Mohon Pak Jokowi Perintahkan kpd Menteri Bapak @mohmahfudmd dkk untuk menghentikan proses pemulangan para Eks WNI Eks ISIS ke NKRI ini. ingat Pak, kelak mereka bs lebih kejam dr Corona Pak. 🙏  RT @jokowi: Terkait WNI awak kapal Diamond Princess, kita sedang berdiskusi dengan pemerintah Jepang. Mengingat penyebaran virus korona di kapal itu, kita tidak boleh gegabah. Kita memiliki 267 juta penduduk yang juga harus dilindungi.</t>
  </si>
  <si>
    <t>Keinginan warganet mengetahui persoalan WNI exs ISIS yg akan pulang ke Indonesia cukup tinggi. Pantauan @EvelloCorp tiga video ( @tvOneNews dan @KompasTV ) di kanal Youtube masuk trending video-mendapatkan view paling banyak. Diskusi terkait UU No 12/2006 ttg kewarganegaraan</t>
  </si>
  <si>
    <t>@DrHarjitBhatti @shahid_siddiqui Chlo rss bjp goons hai ok, lekin baki dangai ko bhi fir lashkar ya isis ka btao , unse kya yaari hai. Hn vo to shanti priye hai.</t>
  </si>
  <si>
    <t>RT @Metro_TV: Pulau Sebaru dipilih oleh Pemerintah sebagai lokasi observasi 188 WNI Kru Kapal Pesiar World Dream. Pulau tidak berpenghuni ini dipilih karena dianggap aman dan memiliki fasilitas yang cukup memadai. #TOPNEWS "Pulau Sebaru, Lokasi Observasi Jilid II" Rabu (26/2) pukul 21.05 WIB.</t>
  </si>
  <si>
    <t>#TopNewsMetroTV Pemerintah telah mengevakuasi 188 WNI yang bekerja di Kapal Pesiar World Dream. Proses evakuasi menggunakan KRI Soeharso di Selat Durian, Kepulauan Riau. #MetroTV</t>
  </si>
  <si>
    <t>RT @ImanAbdulRahim: Adakah I teringin nak beli sebab dia cantik...? Tapi kalau masuk Malaysia confirm I beli sebab nak try!</t>
  </si>
  <si>
    <t>Bgm bila didalam kapal tsb yg kena adalah pejabat pasti menggunakan pesawat vvip Moeldoko Sebut KRI Suharso Paling Siap Evakuasi WNI di Kapal Diamond Princess</t>
  </si>
  <si>
    <t>#TopNewsMetroTV Pemerintah telah mengevakuasi 188 WNI yang bekerja di kapal pesiar World Dream, proses evakuasi menggunakan kapal KRI dr. Soeharso di Selat Durian, Kepulauan Riau. #MetroTV</t>
  </si>
  <si>
    <t>RT @RepublikTweep: √ Pemerintah Upayakan Skema Evakuasi Terbaik bagi WNI di World Dream dan Diamond Princess  @fadjroeL @SunandarPS @Jokowinomics_id @JubirPresidenRI @PEDOMAN_id . . #AkuBisa</t>
  </si>
  <si>
    <t>kalau keluar mesti disuruh make masker sama bosku, soalnya ditaiwan udah ada 32 orang yang kena corona termasuk 2 wni</t>
  </si>
  <si>
    <t>Salah Besar..Seharusnya menggunakan Pesawat jgn mikirin banyak Faktor..Lihat luar negeri mereka tdk memikirkan faktor tapi memikirkan nyawa manusia Moeldoko Sebut KRI Suharso Paling Siap Evakuasi WNI di Kapal Diamond Princess</t>
  </si>
  <si>
    <t>@NainggolanAziz Yang gimini ini kalau belum viral gak bakalan peduli, beda kalau anak ISIS, menko yg turun tangan urus. #HidupKadangTakAdil</t>
  </si>
  <si>
    <t>RT @antaranews_bali: Pulau Sebaru Kecil, tempat observasi kru kapal World Dream: Foto aerial Pulau Sebaru Kecil di Kepulauan Seribu, Jakarta, Senin (26/2/2020). Pulau tersebut akan menjadi lokasi observasi 188 WNI ABK World Dream suspect virus corona. ANTARA FOTO/Akbar…</t>
  </si>
  <si>
    <t>Pulau Sebaru Kecil, tempat observasi kru kapal World Dream: Foto aerial Pulau Sebaru Kecil di Kepulauan Seribu, Jakarta, Senin (26/2/2020). Pulau tersebut akan menjadi lokasi observasi 188 WNI ABK World Dream suspect virus corona. ANTARA FOTO/Akbar…</t>
  </si>
  <si>
    <t>RT @SlametMuslim: Abu Sayyaf itu termasuk cabang ISIS...emang menculik dan minta tebusan itu termasuk jihad? Seharusnya penyelewengan2 seperti ini membuka mata orang2 thdp kebobrokan ISIS...</t>
  </si>
  <si>
    <t>@MardaniAliSera @CNNIndonesia Yang didukung pks itu ek. ISIS kembali ke Indonesia</t>
  </si>
  <si>
    <t>@TTerbelah @el_loco234 @NowowoNowiwi @GusMendem1 @Ibnu_Al_Addin @Nemo_4512 @teshar_parker @asuhan101010101 @Putie_bahara @logic_editor @ddw_2002 @SahlanAmin4 @mahyeldi_sp @adekdedees @young_tanjuang @sumadiseloguno @NanangFajari @JinKoplakKe4 @Mamieff_sG8 Loh ada, tapi buat apa dipamerkan ? Apakah suatu kebanggan klo menghafal mati isis seluruh kitab ?</t>
  </si>
  <si>
    <t>Evakuasi dilakukan menggunakan KRI dr. Soeharso scr boat to boat di Selat Durian, Kep. Riau. Selanjutnya slrh WNI dibawa menuju Pulau Sebaru Kecil, Kep. Seribu. Mereka diperkirakan akan tiba di Pulau Sebaru Kecil pd Jumat (28/2). Sumber: - RTM di Kemenko PMK - @fadjroelrachman</t>
  </si>
  <si>
    <t>@Ken2steve @GfPlat atas nama HAM, sementara mereka ISIS tidak mengenal HAM.</t>
  </si>
  <si>
    <t>√ Pemerintah Upayakan Skema Evakuasi Terbaik bagi WNI di World Dream dan Diamond Princess  @fadjroeL @SunandarPS @Jokowinomics_id @JubirPresidenRI @PEDOMAN_id . . #AkuBisa</t>
  </si>
  <si>
    <t>Pulau Sebaru dipilih oleh Pemerintah sebagai lokasi observasi 188 WNI Kru Kapal Pesiar World Dream. Pulau tidak berpenghuni ini dipilih karena dianggap aman dan memiliki fasilitas yang cukup memadai. #TOPNEWS "Pulau Sebaru, Lokasi Observasi Jilid II" Rabu (26/2) pukul 21.05 WIB.</t>
  </si>
  <si>
    <t>Setelah melalui serangkaian proses koordinasi yg dilakukan Menko PMK Muhadjir Effendy bersama Menteri Kesehatan, Kepala BNPB, Panglima TNI, perwakilan Kemenlu, serta beberapa pihak terkait, pemerintah hari ini, Rabu (26/2), melakukan evakuasi thd 188 WNI awak kapal World Dream.</t>
  </si>
  <si>
    <t>RT @dikechapin: - RT appreciated - Saya mencari responden utk metode diary study dlm rangka menyusun thesis bertopik "Customer Journey for Muslim-friendly tourism information" Kriteria: - Muslim WNI - Berencana ke Jepang pada Maret - Mei 2020 Renumerasi IDR 200k utk tiap responden DM ya! ☺️</t>
  </si>
  <si>
    <t>Malam √ Pemerintah Upayakan Skema Evakuasi Terbaik bagi WNI di World Dream dan Diamond Princess  @fadjroeL @SunandarPS @Jokowinomics_id @JubirPresidenRI @PEDOMAN_id #AkuBisa</t>
  </si>
  <si>
    <t>@7int4Putih @aniesbaswedan Tidak adakah yang menangkap kriminal sosial ini?😢 Brp wni hrs dirugikan, krn KETAKMAMPUANnya memimpin provinsinya?</t>
  </si>
  <si>
    <t>RT @rinichan02: Ini yg dikhawatirkan WNI yg berada di kapal tsb. Yg tadinya sehat, krn pemerintah terlalu lama mengambil keputusan, bisa jadi akhirnya tertular. Disamping itu, mental mrk mulai down... Ayolah, pemerintah pasti bs mengusahakan lbh cepat kepulangan mrk...</t>
  </si>
  <si>
    <t>@rinichan02 @KPAI_official Lbh penting anak2 eks isis!!!!!!!</t>
  </si>
  <si>
    <t>Ini yg dikhawatirkan WNI yg berada di kapal tsb. Yg tadinya sehat, krn pemerintah terlalu lama mengambil keputusan, bisa jadi akhirnya tertular. Disamping itu, mental mrk mulai down... Ayolah, pemerintah pasti bs mengusahakan lbh cepat kepulangan mrk...</t>
  </si>
  <si>
    <t>Malammm.. Yang masih #SAPAMANTAN √ Pemerintah Upayakan Skema Evakuasi Terbaik bagi WNI di World Dream dan Diamond Princess  @fadjroeL @SunandarPS @Jokowinomics_id @JubirPresidenRI @PEDOMAN_id</t>
  </si>
  <si>
    <t>@detikHealth jadi inget org rusia yg ngatain pemerintah Indonesia "goblok" saat ksh semprotan desinfektan ke WNI yg dipulangkan dr Wuhan.</t>
  </si>
  <si>
    <t>@wahhabicc_jabar Tidak ada tempat bagi mereka kaum ISIS eks WNI, eks WNI ya bukan eks ISIS .....</t>
  </si>
  <si>
    <t>@jenk_kelinn @mohmahfudmd Bagaimana ini? Kok malah pentingin anak anak ISIS ketimbang Anak Anak di Indonesia yang masih banyak menderita kelaparan. Miris lihat keadaan Negara belakangan ini.</t>
  </si>
  <si>
    <t>√ Pemerintah Upayakan Skema Evakuasi Terbaik bagi WNI di World Dream dan Diamond Princess  @fadjroeL @SunandarPS @Jokowinomics_id @JubirPresidenRI @PEDOMAN_id #AkuBisa</t>
  </si>
  <si>
    <t>@ichigotalks Biar sih ... kan mreka paling punya, belaga lupa anak2 itu sdh terpapar virus yg lebih dr corona. Woiii penguasa apa tindakan kalian terhadap anak2!terlantar, mikirrrr ... lupa kalian cm mementingkan anak2 pemuja isis drpd rakyat biasa. 👎👎👎😡😡😡</t>
  </si>
  <si>
    <t>RT @FarelmaxL: @V_Stone_Kardol @mohmahfudmd Mantap...!!!! Sekalian saja anggota ISIS Ex WNI di tampung di sini. Siap siap perang saudara.!!!!! #ISISMerdeka</t>
  </si>
  <si>
    <t>@_WWDC19 Kasihilah musuhmu jangan kau contoh kelakuan isis. Kasian amat orangnya</t>
  </si>
  <si>
    <t>@Airin_NZ Mrk sdh ditakdirkan hidup di timur tengah, jgn menyalahi sunatulloh, anak eks ISIS itu tempatnya disana. Mending ngurus anak yatim dan terlantar di NKRI</t>
  </si>
  <si>
    <t>RT @vinceney: @wisanggeni_084 @arjuno_ireng01 @V_Stone_Kardol @mohmahfudmd Kenapa ya dia begitu getol pengen mulangin anak eks isis? Kalo gini kan netijen jadi curiga, jangan² ada sesuatu.. . . . . . . Atau seseorang..</t>
  </si>
  <si>
    <t>@yowndown asli le aku aja mindblown abis sama ini. + inget berita yang penumpang kapal pesiar positif corona tapi semua awak kapal wni gak ada yang kena satupun gak :( bener kayak too good to be true sih</t>
  </si>
  <si>
    <t>TOP3NEWS: Tersangka Susur Sungai Jadi 3 Orang | WNI World Dream Dievakuasi | Anies Tak Rapat Banjir</t>
  </si>
  <si>
    <t>RT @7endralKad_run: "ANAK ISIS LEBIH PENTING"  #tolakanakisiskembali</t>
  </si>
  <si>
    <t>"ANAK ISIS LEBIH PENTING"  #tolakanakisiskembali</t>
  </si>
  <si>
    <t>Keturunan WNI tanpa identitas: 15 tahun terpisah, ibu dan anak bersatu kembali - BBC News Indonesia  lewat @YouTube</t>
  </si>
  <si>
    <t>@ImranKhanPTI BSDK ....tu pehle apna mulk dekh .. Tere yaha to ISIS ki ideology follow ki jati Hai Breaking, Riots has broken out in Islamia College #Peshawar.. #balakotairstrike #BackOurGirls #DelhiRiots</t>
  </si>
  <si>
    <t>@yazid_fadhlan @VIVAcoid Indinesia sdh bener gak pulangin teroris2 anjing eks WNI</t>
  </si>
  <si>
    <t>Fakta baru....ga jadi malu sbg WNI saya</t>
  </si>
  <si>
    <t>RT @heniunique: Prof @mohmahfudmd katanya negara lebih mementingkan keamanan penduduk yg ratusan juta. Ini koq malah mau urus anak2 isis. 😫 ibarat udah dikasih tau jangan pelihara ular.</t>
  </si>
  <si>
    <t>@Namaku_Mei @Aryprasetyo85 @MardaniAliSera @aniesbaswedan Salah makan ?</t>
  </si>
  <si>
    <t>@AlfaOmega0110 @wahhabicc_jabar ah, masa sih teroris/isis ga punya agama? malu ngaku aja paling 😂</t>
  </si>
  <si>
    <t>@myatharva Yaelah tuh BACOT !</t>
  </si>
  <si>
    <t>@JeptaM @kantayu @KPAI_official Kpai yg perlu dievaluasi. Anak isis mau dibalikin , anak djarum dihentikan. Waras????</t>
  </si>
  <si>
    <t>@wahhabicc_jabar Anda sekarang malah sudah mulai cara berpikir kayak orang orang ISIS</t>
  </si>
  <si>
    <t>@nazia_e Seems You never trusted India. Trusted Pakistan it seems? Syria_Iraq Iraq_Kurds Iran_Iraq Takiban_Takiban ISIS_Syria_Turkey_AfPak Pakistan_Pakistan Baloch_Pakjabi Mohajir_Pakjabi Pashtun_Pakjabi China_Uyghurs Saudia_Yemen.. Al_qaeda JaishulAlAdl LeT JeM ETIM Their list is Long</t>
  </si>
  <si>
    <t>@kompasiana Kno bingung, pergi-pergi sdri, tdk lapor/tdk ijin pemerintah, blm lgi bergbg isis jdi apa toh kita tdk tahu....jdi ingat para pelaku teror sekolah dl diluar sth itu kembali menebar teror dan buka cbg sesuai ajaran ia terima selama sekolah</t>
  </si>
  <si>
    <t>@Iyo63579667 @detikcom Ga nyambung komenya bro...kan lu nyerang agama islam dengan stampel isis...rasa sakit pada hewan dan manusia adalah sama jenis...hanya manusia mampu mengungkapkan berbeda dengan hewan...dah ya cukup diskusinya ga nambah ilmu sptnya</t>
  </si>
  <si>
    <t>RT @Je_Ly: Yg begini ini yg keren... 😉😎 Ayo bang @erickthohir gassskeeeennnn 💪 BUMN: Badan Usaha Milik Negara Bukan Badan Usaha Milik Nenek lu 😅😅 You're rock bang 🤟 *Lgsg keinget koh Ahok aja* 😁</t>
  </si>
  <si>
    <t>KRI dr Soeharso Jemput 188 WNI dari Kapal World Dream, Siang Ini Dibawa ke Pulau Sebaru</t>
  </si>
  <si>
    <t>Pemerintah Terus Perhatikan WNI di Kapal “Diamond Princess”  #pdiperjuangan</t>
  </si>
  <si>
    <t>@FerdinandHaean2 @jokowi @mohmahfudmd Yang disini terlantar eehh mereka lagi siap2 ngatur utk masukin anak2 isis asal Indonesia , makin kacau nih kayanya.</t>
  </si>
  <si>
    <t>@_nice69_ @wahhabicc_jabar Ya itu lah. Padahal byk sekali vocal2 yg selalu teriak paling keras bhwa Teroris - ISIS ga punya agama. Dan lucunya knp ada rencana mengistimewakan para iblis Eks Wni ISIS? MIRIS....INDONESIAKU</t>
  </si>
  <si>
    <t>RT @wanto_shen: @V_Stone_Kardol @mohmahfudmd Apaan ini prof @mohmahfudmd ??? Apa gak ada yg bisa dibahas lagi selain ISIS, masalah Indonesia sangat banyak bapak e.....🙈 Ampun nih pak @jokowi ,kenapa sebagian menteri begini sih..ya ela..🙈</t>
  </si>
  <si>
    <t>semoga kamu dan semua warga korsel/ WNI di korsel selalu dalam lindungan Nya.. Di jauhkan dari #VirusCorona , Sehat"disana syng..</t>
  </si>
  <si>
    <t>RT @D_rayanS: @V_Stone_Kardol @jr_kw19 @mohmahfudmd Anak2 ISIS d masukkan negara ? Hmmmm... apa nunggu negara d bom olh teroris baru paham bagaimana berbahaya nya para teroris itu pak @mohmahfudmd dan @jokowi</t>
  </si>
  <si>
    <t>Ak bingung knp hrs nyebutin shameonIndia pdhl org ekstremis di contoh lainnya ya ISIS. Apa org luar negeri blg shameonyouIndonesia dll??? RT @twitpos: 🇮🇳 India Saat Donald Trump dan Modi berpawai di seluruh negeri, massa secara terbuka menyerang Muslim, menjarah bisnis mereka dan menodai rumah-rumah ibadah seperti yang Anda lihat di video ini yang dilakukan oleh ekstrimis Hindu dinegara tersebut #ShameOnYouIndia From Arjun</t>
  </si>
  <si>
    <t>TNI Angkatan Laut (AL) berhasil mengevakuasi 188 warga negara Indonesia ( WNI) yang menjadi anak buah kapal (ABK) World Dream yang sempat terkatung-katung di perairan internasional ke KRI dr Soeharso di Perairan…</t>
  </si>
  <si>
    <t>@MushtaqAnsari80 @abhishekangad @IndianExpress Syria_Iraq Iraq_Kurds Iran_Iraq Takiban_Takiban ISIS_Syria_Turkey_AfPak Pakistan_Pakistan Baloch_Pakjabi Mohajir_Pakjabi Pashtun_Pakjabi China_Uyghurs Saudia_Yemen.. Al_qaeda JaishulAlAdl LeT JeM ETIM They are Enormous. List is long. And you blame Mishra.. Better blame Mashra.</t>
  </si>
  <si>
    <t>Ratusan Massa Tolak Kepulangan Warga Eks ISIS</t>
  </si>
  <si>
    <t>Pak @mohmahfudmd ISIS itu juga membunuh anak2 jadi kenapa anak2 dari pembunuh anak2 ini dibiarkan pulang? RT @V_Stone_Kardol: Keperluan Pemulangan Anak WNI Eks ISIS Sudah Siap👇 Benar kah isi berita ini Pak @mohmahfudmd? Tolong hal sprt ini jgn dianggap main2 Pak, jgn masukkan sesuatu yg berpotensi berbahaya. Jika Pak Mahfud jd Mentri untuk tujuan itu, baiknya mundur segera!🤒</t>
  </si>
  <si>
    <t>RT @kompasiana: ISIS Eks WNI Masih Pegang Paspor RI, Pemerintah Bingung?</t>
  </si>
  <si>
    <t>Sebanyak 762 personel Komando Tugas Gabungan Terpadu (Kogasgabpad) mengikuti upacara pelepasan misi kemanusiaan untuk mengobservasi 188 WNI dari Kapal World Dream di Markas Kolinlamil Jakarta Utara pada Rabu 26…</t>
  </si>
  <si>
    <t>@NSSPsec @jack @delbius @vijaya @TwitterSafety @TwitterSupport @sa7daam @meema161 @BahaBiyruti @DrJohnHanaDahle ✅ Acc #2 ➡️TD</t>
  </si>
  <si>
    <t>@kompascom missiiiii cyiin. Indonesia mau melambung. Indonesia bangga belum ada Corona sampe sekarang. Bersyukur sebagai WNI.</t>
  </si>
  <si>
    <t>RT @aizadfahmy: Yang paling takleh blah arini adalah tiba-tiba politician Singapore nak menyampuk kata perubahan kuasa kat Singapore smooth je tak macam kat Malaysia. Bitch you don't even have democracy</t>
  </si>
  <si>
    <t>Proses pemindahan dilakukan menggunakan transfer boat.</t>
  </si>
  <si>
    <t>@smoiz @abhishekangad @IndianExpress @KapilMishra_IND @AmitShah @narendramodi @DelhiPolice Who is responsible_Kapil Mishra,,? Syria_Iraq Iraq_Kurds Iran_Iraq Taliban_Taliban ISIS_Syria_Turkey_AfPak Pakistan_Pakistan Baloch_Pakjabi Mohajir_Pakjabi Pashtun_Pakjabi China_Uyghurs Saudia_Yemen.. Al_qaeda JaishulAlAdl LeT JeM ETIM They are Enormous.. List is Long..</t>
  </si>
  <si>
    <t>ISIS Eks WNI Masih Pegang Paspor RI, Pemerintah Bingung?</t>
  </si>
  <si>
    <t>Akibat media sosial, Dania, gadis 17 tahun bisa meyakinkan keluarganya berangkat ke #ISIS, Suriah. Tapi, kini mereka telah pulang ke Indonesia. Bagaimana ceritanya? Ikuti screening film Seeking The Imam, eksklusif hanya di Gedung TEMPO.</t>
  </si>
  <si>
    <t>@todayisgabi @idmnbundakm @kopiour Yang kaya gini boleh ga sih dikasih ke ISIS.. gratis gausah bayar</t>
  </si>
  <si>
    <t>Lokasi Observasi WNI di Pulau Sebaru Terus Disiapkan</t>
  </si>
  <si>
    <t>@nadreaselta kl itu bener ibunya atau kakanya trs gw jd cowok yg ada disitu, gw gampar abis tuh anak. anak2 didikan isis juga lewat ini sih 😡</t>
  </si>
  <si>
    <t>@adtaufiq @mohmahfudmd lbh fokus pemulangan anak ex ISIS? 🤣🤣🤣🤣🤣🤣🤣🤣🤣🤣🤣🤣</t>
  </si>
  <si>
    <t>RT @6xsix6_: Kes arwah Adib, kes LTTE, kes jawi, kes bendera terbalik dan setiap minggu mabuk langgar orang. Ada ambil tindakkan? Bila dah hilang kuasa baru nak ingat rakyat dan ekonomi. Tapi ekonomi makin teruk takda perubahan pastu tak habis2 salahkan kerajaan lama.</t>
  </si>
  <si>
    <t>@jenk_kelinn @jimmyherdyansy2 @mohmahfudmd Mau anak yatim kek, mau anak durhaka kek. Selama mereka eks isis sudah tidak ada tempat lg di Indonesia. Biarkan mereka pertahankan keyakinan mereka hingga ajal menjemput (entah dimana), tp bukan dipulangkan ke indonesia.</t>
  </si>
  <si>
    <t>RT @arjuno_ireng01: @V_Stone_Kardol @mohmahfudmd Beberapa hari yg lalu Pemerintah menolak kepulangan WNI EKS ISIS, Sekarang Bpk @mohmahfudmd statemen begini maksudnya apa Pak!!!</t>
  </si>
  <si>
    <t>@Thinks_1st Iran kena azab sm Allah SWT mnrt anal isis dr @abdulsomadlcma 😊😊</t>
  </si>
  <si>
    <t>RT @KompasTV: TNI Jemput 188 WNI Kru Kapal World Dream</t>
  </si>
  <si>
    <t>Evakuasi kemanusiaan tahap dua dari kapal World Dream ke KRI Soeharso tadi siang. Negara akan selalu hadir, tak satu orang pun WNI yang ditinggal 🇮🇩 Courtesy of Panglima TNI @TjahjantoHadi</t>
  </si>
  <si>
    <t>RT @lyhamidah: Dgn kerendahan hati aku meminta agar teman teman me-rt, salah satu keluargaku ada yg menjadi kru di kpl #DiamondPrincess. Mereka ingin sgera dievakuasi. Mohon dgn sgt pak @jokowi. Mhsswa Indo yg sgd bljr di Jpg sja bs cpt di evkuasi, HAK mrka sbg WNI SAMA BUKAN ? 🙏 -Terimakasih</t>
  </si>
  <si>
    <t>RT @JingliatiTan: @P3nj3l4j4h_id Pemikian anak kecil itu sangat sederhana kalau diajarkan sesuatu akan teringat selalu dimemori nya dan ini juga yang harus ditakuti dan diwaspadai gimana Anak Isis eks WNI mempelajari hal-hal yang kejam akan berdampak dalam kehidupannya sampai Tua 😑😑😑</t>
  </si>
  <si>
    <t>RT @dularips: @TirtoID Jangankan anak eks isis, anak FPI aja kagak bisa diapa2in. Coba admin tirtot aja yang turun lapangan, ajarin dong cara deradikalisasi. Kontol.</t>
  </si>
  <si>
    <t>Keturunan WNI tanpa identitas: 15 tahun terpisah, ibu dan anak bersatu k...  via @YouTube 👏🏻👏🏻👏🏻👏🏻👏🏻👏🏻👏🏻👏🏻👏🏻👏🏻👏🏻</t>
  </si>
  <si>
    <t>RT @mieayam70407440: Memulangkan anak eks ISIS sangat berpotensi menimbulkan masalah radikalisme di kemudian hari</t>
  </si>
  <si>
    <t>RT @Metro_TV: #PrimeTimeNews Menteri Kesehatan juga membenarkan, ada 9 WNI yang merupakan anak buah kapal pesiar Diamond Princess yang positif terjangkit virus Corona di Jepang. Menkes menyatakan pemerintah masih terus berusaha melakukan negosiasi untuk memulangkan WNI.</t>
  </si>
  <si>
    <t>4 Fakta Pulau Sebaru Kecil yang Jadi Tempat Observasi WNI dari Virus Corona</t>
  </si>
  <si>
    <t>@ISIS_Balik_NO @IndraPachee @aniesbaswedan Dgn bangganya memperlihatkan ketololan kadrun. Siap2 aja diburu polisi</t>
  </si>
  <si>
    <t>RT @FaGtng: @Airin_NZ Yg lebih mirissss.. Bukan anak eks WNI , malah dibalik : anak eks ISIS.. Ya Allah.. Bagaimana mungkin eks ISIS , doktrin di tanam secara masif dari bayi sampai usia si Anak Isis segini kecil sudah piawai bawa senjata dan cabik² boneka.. 😥😥 Ya Allah ..</t>
  </si>
  <si>
    <t>RT @aya_ddt: @tua_kladi @Sarah_Pndj Oh, seperti biasa: salahkan keturunan cina. WNI keturunan cina SELALU jadi pelampiasan ketololan bangsa ini dan jadi kambing hitam rejim yg busuk. Bangsa ini lama² menjadi bangsat, no hope.</t>
  </si>
  <si>
    <t>Jika di Natuna Gunakan Hanggar, Observasi 188 WNI di Pulau Sebaru Gunakan Fasilitas Eks Cottage</t>
  </si>
  <si>
    <t>@96Gino1 @Raden99566264 @jokowi Yap betul sekali...bagaimana dgn nasib anak2 terlantar di dlm negeri n juga byk yg di malaysia anak2 wni didaerah perkebunan yg membutuhkan bantuan.</t>
  </si>
  <si>
    <t>@96Gino1 @Raden99566264 @jokowi ya kan udah diputuskan ga bakal di pulang kan toh .malah paspor simpatisan isis udah diblokir 🙈</t>
  </si>
  <si>
    <t>RT @Metro_TV: #TopNewsMetroTV Menko PMK Muhadjir Effendy memimpin rapat koordinasi tingkat menteri untuk membahas rencana pemulangan WNI yang menjadi anak buah kapal World Dream.</t>
  </si>
  <si>
    <t>RT @Metro_TV: Pemerintah Indonesia bergerak mengevakuasi 188 WNI yang juga awal kapal pesiar World Dream dengan menggunakan KRI Dr Soeharso. Nantinya para WNI akan menjalani observasi di Pulau Sebaru Satu, Kepulauan Seribu, DKI Jakarta. #MetroHariIni</t>
  </si>
  <si>
    <t>@_EsTehHangat Gw islam tpi dgn liat twitt lu yg gini gw cuman bilang lu BODOH bro, apa mau agama kita disamain dgn isis ?</t>
  </si>
  <si>
    <t>Yasonna: Sekitar 200 WNI Teroris Pelintas Batas Diketahui Identitasnya👇 Gmn Rakyat tdk sedih dgn sikap kalian ini, hamburkan uang negara untuk sesuatu yg berpotensi besar akan merusak bangsa ini dikemudian hari. Kalian bikin ISIS berpesta riang gembira.</t>
  </si>
  <si>
    <t>:((((((((( Keturunan WNI tanpa identitas: 15 tahun terpisah, ibu dan anak bersatu kembali  via @YouTube</t>
  </si>
  <si>
    <t>RT @Donal_golan: @Hendrasugandi @mohmahfudmd Pemerintah tidak memikirkan stres rakyatnya, lebih mementingkan stresnya anak-anak teroris ISIS eks WNI. Begitu jalan logikanya.</t>
  </si>
  <si>
    <t>SIMAK Foto-foto saat Para WNI Memasuki KRI Dr Soeharso 990 di Perairan Batam</t>
  </si>
  <si>
    <t>RT @mnike_go: @jenk_kelinn @mohmahfudmd Anak eks isis dipelihara udah jelas itu bagaikan virus dimasa depan ... ehhh bapak2 ini mata hatinya ketutupan proyek kehancuran malah bangga ...👎👎👎🤮🤮🤮</t>
  </si>
  <si>
    <t>RT @antar_kabar: Pemulangan Anak WNI eks ISIS Tak Boleh Berdasar Kasihan</t>
  </si>
  <si>
    <t>RT @Gareng04188128: Ada apa dengan media (@kompascom) yang masih menggunakan istilah WNI eks ISIS, sementara pemerintah menggunakan ISIS eks WNI? Pemerintah Pastikan Anak WNI Eks ISIS Dipulangkan…:</t>
  </si>
  <si>
    <t>@jeends Seriusloh ini gabung isis</t>
  </si>
  <si>
    <t>memulangkan anak Isis berdalih anak yatim, @PolhukamRI @mohmahfudmd ceroboh dan tidak meenghargai 267jt Rakyat Indonesia. Cc Presiden @jokowi</t>
  </si>
  <si>
    <t>@Airin_NZ Yg lebih mirissss.. Bukan anak eks WNI , malah dibalik : anak eks ISIS.. Ya Allah.. Bagaimana mungkin eks ISIS , doktrin di tanam secara masif dari bayi sampai usia si Anak Isis segini kecil sudah piawai bawa senjata dan cabik² boneka.. 😥😥 Ya Allah ..</t>
  </si>
  <si>
    <t>@V_Stone_Kardol @mohmahfudmd Mantap...!!!! Sekalian saja anggota ISIS Ex WNI di tampung di sini. Siap siap perang saudara.!!!!! #ISISMerdeka</t>
  </si>
  <si>
    <t>Pak @mohmahfudmd dan pak @jokowi Apa tidak lebih baik, energi bapak difokuskan untuk mengurusi anak di dalam negeri yg kondisinya sj memprihatinkan? Drpd anak eks WNI anggota ISIS. Kalo ditanya dimana Pancasilamu, apa jawabmu pak @mohmahfudmd ? Kok berpihak yg berontak. RT @rinichan02: Mana @KPAI_official</t>
  </si>
  <si>
    <t>@P3nj3l4j4h_id @calankt1 @mohmahfudmd Seharusnya pemerintah harus hadir buat yg begini Nape malah pade sibuk ngurusin ISIS Cemana inih Kok yg sudah duduk di pemerintahan,kaya krupuk disiram kuah sih.</t>
  </si>
  <si>
    <t>Menteri Kesehatan (Menkes) Terawan Agus Putranto mengatakan bahwa sembilan warga negara Indonesia (WNI) yang dinyatakan positif terserang COVID-19 di kapal pesiar Diamond Princess tidak dalam keadaan sakit berat. . “Mereka dirawat…</t>
  </si>
  <si>
    <t>@Raden99566264 @jokowi You miss the point here, harusnya negara lebih mementingkan 267 juta penduduknya, dari pada memaksakan diri memulangkan anak anak ISIS ex WNI tersebut. Bagaimana bentuk tanggung jawab negara terhadap anak anak jalanan, anak2 yg terpaksa mencari rejeki pd usia dini.</t>
  </si>
  <si>
    <t>“Dibutuhkan WNI yang bisa berbahasa korea lancar untuk bekerja selama 6 bulan sebagai translator di Jakarta” tolong bisa disebarluaskan,mungkin ada teman atau kerabat yang membutuhkan😊 #lowongankerja #korea</t>
  </si>
  <si>
    <t>Detik-Detik Evakuasi WNI di Kapal World Dream Malaysia #VirusCorona #evakuasiWNI #jurnalwarga #DreamWorld</t>
  </si>
  <si>
    <t>Presiden Jokowi Akui Sulit Evakuasi WNI dari Kapal Diamond Princess  #NOTD</t>
  </si>
  <si>
    <t>RT @YohanesPatty2: Ternyata dua tahun tidak cukup waktu makan gratis di Prodeo. Alpian Tanjung Provokator. Bagai mana dgn rencana Negara ingin mengembalikan eks WNI ISIS..?? Yang ada di NKRI tdk berjalan redikalisasinya, bagai mana memelihara anak harimau ISIS...</t>
  </si>
  <si>
    <t>@i_theindian Jara Yahi bat Taliban, Alqayda, Hijbul, IM, SIMI, Huriyat, ISIS, ke netao ke bare me bhi kaho?</t>
  </si>
  <si>
    <t>RT @rotatimu: @FaGtng , itu berarti @jokowi akui ortu mrk msh #wni sbb anak2itu mengikut^WN ortu:( jd ortu jg hrs pulang. @kaesangp @Chilli_Pari</t>
  </si>
  <si>
    <t>WNI ABK #worlddream yang dievakuasi berjumlah 188 orang, terdiri dari 172 laki-laki serta 16 perempuan dan seluruhnya telah dinyatakan negatif Covid-19</t>
  </si>
  <si>
    <t>RT @Metro_TV: #BreakingNewsMetroTV 172 WNI laki-laki, dan 16 WNI perempuan dievakuasi. Setelah itu, mereka masuk melalui tank deck kapal KRI dr. Soeharso. Mereka melakukan proses sterilisasi menggunakan disinfektan. Setelah itu, mereka menjalani proses screening.</t>
  </si>
  <si>
    <t>RT @KompasTV: Menko Polhukam @mohmahfudmd memastikan pemerintah akan memulangkan anak-anak eks ISIS akan dibawa pulang ke Indonesia. Anak-anak yang dipulangkan adalah anak yatim piatu yang berusia di bawah 10 tahun. Baca selengkapnya di</t>
  </si>
  <si>
    <t>RT @Metro_TV: #BreakingNewsMetroTV Jika WNI tersebut mengalami demam, batuk, sesak napas, dan nyeri dada. Maka WNI tersebut akan langsung dimasukan ke ruang isolasi.</t>
  </si>
  <si>
    <t>RT @Metro_TV: #BreakingNewsMetroTV Bisa terlihat kondisi para WNI tersebut seperti biasa, seperti orang normal dan tidak dalam kondisi sakit. Pada dasarnya kondisi 188 WNI tersebut dalam kondisi sehat. Namun, langkah-langkah screening &amp; antisipasi terus dilakukan.</t>
  </si>
  <si>
    <t>RT @JingliatiTan: @P3nj3l4j4h_id @mohmahfudmd Tidak tega lihat nya 😭😭😭 Bpk Mahfud MD yth urusan didalam negeri saja belum beres sudah mengurus Anak Isis Eks WNI yang tidak diketahui seberapa besar mereka terpapar ajaran ISIS yang kejam &amp; tidak manusiawi apa Pemerintah ingin menciptakan mortil-mortil baru Pikirkan !!!</t>
  </si>
  <si>
    <t>@zamriksp @NajibRazak Bla bla bla tunggang agama pastu kata duit derma nak lwn iSIS . Keh3</t>
  </si>
  <si>
    <t>@ustadtengkuzul Yg ingin menghancurkan Abdul Shomad siapa...??? Anies gak perlu dijegal, dia jatuh sendiri dg yg "katanya" prestasi itu (wahana air dadakan) Kalo HRS kan menganggap pemerintahan ini ilegal, ngapain bingung kalo dicabut status WNI nya,,,?? Santai aja om,,,,,</t>
  </si>
  <si>
    <t>RT @GueSuparmin: Klonyar klonyor bawa bendera Isis kok kalean bilang Pro NKRI Pro Pancasila..... Tuaiiiik lu semua 🤬 #JokowiTakutFPI</t>
  </si>
  <si>
    <t>RT @antaranews_bali: Evakuasi kru kapal World Dream: Puluhan WNI kru kapal World Dream menaiki kapal saat akan dipindahkan ke KRI dr Soeharso yang difasilitasi TNI AL, di Selat Durian Kepulauan Riau, Rabu (26/2/2020). Sebanyak 188 awak kapal World Dream dievakuasi…</t>
  </si>
  <si>
    <t>Evakuasi kru kapal World Dream: Puluhan WNI kru kapal World Dream menaiki kapal saat akan dipindahkan ke KRI dr Soeharso yang difasilitasi TNI AL, di Selat Durian Kepulauan Riau, Rabu (26/2/2020). Sebanyak 188 awak kapal World Dream dievakuasi…</t>
  </si>
  <si>
    <t>lha ngapain ke @jokowi ? pemda nya aja yg ga becus kerja *Soal anggaran utk anak2 ISIS gw setuju klu @jokowi hrs dikritik dengan keras RT @FerdinandHaean2: Tiga Kakak Beradik Miskin Kelaparan dan Terpaksa Makan Sabun, Kini Sakit Pak @jokowi yth, apa perasaan bpk membaca sprt ini? Membantu mrk jauh lbh mulia drpd memberi uang 72 M utk buzzer medsos. Pak @mohmahfudmd lbh baik urus yg sprt ini dprd anak ISIS.</t>
  </si>
  <si>
    <t>RT @Gramsci18921: @asifansari88085 Islam a threat to humanity Recent- Ratan lal Ankit sharma In Kashmir- Lashkar Jaish-e-moham. Hizbul. World over Isis Al qaeda Al shabab East Turkestan islamic mom. ARSA myanmar Boko haram Chechnya XingXiang Mindanao 26/11 9/11 In muslim world Syria Yemen Libya Nigeria</t>
  </si>
  <si>
    <t>RT @mediaindonesia: TNI AL memfasilitasi evakuasi WNI kru kapal pesiar World Dream menuju KRI dr. Soeharso-990 di Selat Durian, Kepulauan Riau, Rabu (26/2). Selanjutnya, kapal bergerak ke Pulau Sebaru.</t>
  </si>
  <si>
    <t>Menkumham Sebut Baru 200 WNI Eks ISIS yang Terverifikasi</t>
  </si>
  <si>
    <t>Begini Pembagian Ring di Pulau Sebaru Kecil untuk Observasi WNI ABK</t>
  </si>
  <si>
    <t>RT @pemikir5: di India Masjid diHancurkan. 20 Muslim diBantai. Tapi Kaum KODOK &amp; BaBOn pada DIAM tdk ada yg teriak2 Radikal2. Berbeda ktk ada Seorang Muslim yg lakukan Bom Bunuh diri diSri Langka. Mereka ribut teriak2 Radikal2 ISIS sampai bawa2 ke Indonesia</t>
  </si>
  <si>
    <t>@sunda_002 @twitpos Isis kan udah tumbeng bang, kita serahkan aja ama yang diatas. Ingat allah tak pernah tidur dan maha melihat.</t>
  </si>
  <si>
    <t>RT @Metro_TV: #MetroHariIni Pulau Sebaru dipilih oleh pemerintah sebagai lokasi observasi 188 WNI kru Kapal Pesiar World Dream. Pulau tak berpenghuni ini dipilih karena dianggap aman dan memiliki fasilitas yang cukup memadai. #MetroTV</t>
  </si>
  <si>
    <t>@SuaraPapua ISIS yang beroperasi di Indonesia, aparat dibunuh disana, apalagi warga sipil papua! Faktanya sejak tahun 2018-2019 udh ada 49 korban tewas &amp; sebagaian korban itu warga sipil, &amp;amp; kalian ingat g sih pd Desember 2018 para teroris KKB itu membunuh 19 orang pekerja Indonesia dgn keji</t>
  </si>
  <si>
    <t>@wahhabicc_jabar jujur penasaran, siapa yg punya ide ini @PolhukamRI pak Menteri Prof @mohmahfudmd , mungkin masih kurang info bgmn anak-anak ISIS dididik dan dilatih 🤔😠</t>
  </si>
  <si>
    <t>Kementerian Kesehatan menyampaikan sebanyak 188 WNI yang menjadi awak kapal World Dream sudah dipindahkan ke KRI Soeharso dan kini sedang menuju Pulau Sebaru Kecil di Kepulauan Seribu.</t>
  </si>
  <si>
    <t>@Dargombessh @twitpos @permadiarya01 Bener tuh...ahlul isis si abu jahal and the genk..</t>
  </si>
  <si>
    <t>Presiden Joko Widodo menegaskan bahwa pemerintah klaim terus memperhatikan kondisi Warga Negara Indonesia (WNI) di kapal Diamond Princess. #ValidNih</t>
  </si>
  <si>
    <t>Parah 😭😭 Ternyataaa ada WNI yang positif Corona. anaknya kabur setelah di beritahu terduga terkena virus😭😭 Ya Allah ini anak titisann nenek sekte yg di Daegu 😭😭😭</t>
  </si>
  <si>
    <t>√ Pemerintah Upayakan Skema Evakuasi Terbaik bagi WNI di World Dream dan Diamond Princess cc @fadjroeL @JubirPresidenRI @PedomanNEWS</t>
  </si>
  <si>
    <t>Lokasi Observasi 188 WNI Terkait Virus Corona, Pangkogabwilhan I Pastikan Pulau Sebaru Steril  lewat @wartakotalive</t>
  </si>
  <si>
    <t>@SophiaNerissa @RRegenR @republikaonline Waduh.. belajar darimana kelalaian disamakan dengan pembunuhan? ISIS?</t>
  </si>
  <si>
    <t>RT @MegaSimarmata: Proses Pemindahan Evakuasi Kemanusiaan WNI dari Kapal World Dream ke Kapal Dr. Soeharso pada #EvakuasiWNIWorldDream atas perintah Presiden Jokowi setelah #EvakuasiWNIWuhan dan Insya Allah menyusul #EvakuasiWNIYokohama. Sumber : Akun IG Jubir Presiden</t>
  </si>
  <si>
    <t>Proses Pemindahan Evakuasi Kemanusiaan WNI dari Kapal World Dream ke Kapal Dr. Soeharso pada #EvakuasiWNIWorldDream atas perintah Presiden Jokowi setelah #EvakuasiWNIWuhan dan Insya Allah menyusul #EvakuasiWNIYokohama. Sumber : Akun IG Jubir Presiden</t>
  </si>
  <si>
    <t>Menteri Yasonna : 200 WNI Eks ISIS Terverifikasi Punya Paspor #TauCepatTanpaBatas #BeritaTerkini #Berita #News #BeritaNasional .</t>
  </si>
  <si>
    <t>@MoelyonovDjalil Kata Menachem Begin mantan Presiden Israel (Zionis)..." Untuk menghancurkan suatu bangsa tak perlu dibombardir, cukup hilangkan budaya dan sejarahnya" . Taktik ini digunakan oleh ISIS yg menghancurkan artefak Irak dan Suriah. Nuwun pak de 🙏🏻🙏🏻🙏🏻</t>
  </si>
  <si>
    <t>TNI AL memfasilitasi evakuasi WNI kru kapal pesiar World Dream menuju KRI dr. Soeharso-990 di Selat Durian, Kepulauan Riau, Rabu (26/2). Selanjutnya, kapal bergerak ke Pulau Sebaru.</t>
  </si>
  <si>
    <t>RT @sirajapadoha: @veraagustian_ @Airin_NZ @jokowi @mohmahfudmd Gitu donk cara berpikir yg lbh afdol,,, lbh baik 1000% pemerintah pikirkan tuhhh anak2 terlantar yg gak bs makan dari pada mulangin anak2 setan teroris ISIS</t>
  </si>
  <si>
    <t>RT @PEDOMAN_id: √ Hari Ini, KRI Soeharso Evakuasi 188 WNI di Teluk Durian cc @fadjroeL @JubirPresidenRI @PedomanNEWS</t>
  </si>
  <si>
    <t>@veraagustian_ @Airin_NZ @jokowi @mohmahfudmd Gitu donk cara berpikir yg lbh afdol,,, lbh baik 1000% pemerintah pikirkan tuhhh anak2 terlantar yg gak bs makan dari pada mulangin anak2 setan teroris ISIS</t>
  </si>
  <si>
    <t>RT @republikaonline: Sebanyak 188 WNI hari ini dievakuasi dari kapal Wolrd Dream ke KRI dr Soeharso.</t>
  </si>
  <si>
    <t>@jenk_kelinn @NgkongRoses @mohmahfudmd Padahal kita sdh dikeluarkan dr daftar negara berkembang oleh Mr. Pesident Trump @POTUS . Ternyata masih ada anak2 yg makan sabun. Namun, knp jadi anak2 ISIS Ex WNI perlu dipulangkan yah? Ada apa? Untungnya? 🤔 Semut di seberang lautan kelihatan, Gajah di depan mata tak kelihatan</t>
  </si>
  <si>
    <t>RT @TRANS7: Pulau Sebaru akan menjadi tempat karantina 180 WNI dari kapal pesiar World Dream. Pulau Sebaru yang tak berpenghuni ini sudah dipastikan aman. #Redaksi</t>
  </si>
  <si>
    <t>Evakuasi 188 WNI di Kapal World Dream, Istana: Tak Ada Seorangpun Ditinggalkan</t>
  </si>
  <si>
    <t>RT jokowi: Terkait WNI awak kapal Diamond Princess, kita sedang berdiskusi dengan pemerintah Jepang. Mengingat penyebaran virus korona di kapal itu, kita tidak boleh gegabah. Kita memiliki 267 juta penduduk yang juga harus dilindungi.</t>
  </si>
  <si>
    <t>RT jokowi: Pemerintah tengah mengupayakan jalan keluar terbaik penanganan WNI awak kapal pesiar Diamond Princess di Jepang dan World Dream di perairan Indonesia. 188 WNI di World Dream dijemput untuk diobservasi di Pulau Sebaru, gugus Kepulauan Seribu, …</t>
  </si>
  <si>
    <t>RT @iNewsID: KRI dr Soeharso telah bergerak menjemput 188 Warga Negara Indonesia (WNI) di Teluk Durian, Rabu (26/2/2020). Diperkirakan KRI tiba di lokasi pertemuan (rendevouz) dengan kapal pesiar World Dream pukul 12.00 WIB siang tadi. #KRI #WNI #WorldDream</t>
  </si>
  <si>
    <t>RT @Metro_TV: #MetroHariIni Pemerintah telah mengevakuasi 188 WNI yang bekerja di Kapal Pesiar World Dream. Proses evakuasi menggunakan KRI Dokter Soeharso di Selat Durian, Kepulauan Riau. #MetroTV</t>
  </si>
  <si>
    <t>BNPB Nilai Pulau Sebaru Lebih Bagus Dibandingkan Natuna untuk Observasi WNI</t>
  </si>
  <si>
    <t>RT @tempodotco: Kementerian Kesehatan menerjunkan 39 tenaga medis ke Pulau Sebaru Kecil untuk mendampingi observasi WNI di kapal World Dream.</t>
  </si>
  <si>
    <t>RT @okezonenews: BNPB Nilai Pulau Sebaru Lebih Bagus Dibandingkan Natuna untuk Observasi WNI #TauCepatTanpaBatas #BeritaTerkini #Berita #News #BeritaNasional .</t>
  </si>
  <si>
    <t>@jokowi pak, di-soetta kok gak ketat2 amat screening-nya. temen saya pulang dari malaysia melenggang masuk aja (tentu saja banyak orang asing yg ikut masuk). apa kita sudah punya antidote-nya? Just in case akhirnya ada WNI dan penduduk yg kena.</t>
  </si>
  <si>
    <t>@MpetPesa @GiaPratamaMD Pemuja ISIS dan HTI</t>
  </si>
  <si>
    <t>@scarface_nrr Ada yg tau akun resmi agama hindu Indonesia? saya ingin tanya, bgm menurut agama hindu thd tragedi yg menimpa Muslim di india? krn sejak awal kemunculan isis, kami Muslim Indonesia mengutuk &amp; menyatakan bhw isis bukan bagian dr Islam. Kami menolak sentimen ras atau agama.</t>
  </si>
  <si>
    <t>@jokowi Lebih baik ngurusi 188 WNI world dream drpda ngurusi 600 anggota isis ex WNI...</t>
  </si>
  <si>
    <t>@jokowi Terkait pemulangan anak2 ISIS ex WNI itu gimana? karena tetap kita memiliki 267 juta penduduk yg harus dilindungi..</t>
  </si>
  <si>
    <t>SEGERA PULANGKAN WNI KRU KAPAL PESIAR DIAMOND PRINCESS DI YOKOHAMA, JEPANG: LINDUNGI SEMUA…</t>
  </si>
  <si>
    <t>RT @KemenkesRI: 4. Kapal pesiar World Dream memiliki total ABK 1104 orang, yg mana sekitar 270 ABK adalah WNI. Seluruh penumpang diturunkan di Hongkong, saat semua penumpang turun maka otoritas Hongkong melakukan pemeriksaan kepada seluruh ABK dengan PCR &amp; hasilnya negatif. #WaspadaCOVID19</t>
  </si>
  <si>
    <t>Yonko 465 Paskhas Kembali Ke Natuna Amankan WNI dari Jepang – Warta Kepri</t>
  </si>
  <si>
    <t>@jokowi betul pak.drpd memulang kan anak yg katanya yatim piatu dr eks isis mending tki yg penyumbang devisa untuk bangsanya .dipulangkan. sekarang korea dan taiwan masih darurat</t>
  </si>
  <si>
    <t>Sudah Dievakuasi, 188 WNI Kru World Dream Menuju Pulau Sebaru</t>
  </si>
  <si>
    <t>Pulau Sebaru Kecil Siap Sambut 188 WNI Kru World Dream</t>
  </si>
  <si>
    <t>@jokowi untuk WNI awak kapal pesiar Diamond Princess emang harus dipulangkan, pak. tapi untuk ISIS eks WNI mohon jangan dipulangkan ya, pak! meski itu anak2.</t>
  </si>
  <si>
    <t>RT jokowi "Terkait WNI awak kapal Diamond Princess, kita sedang berdiskusi dengan pemerintah Jepang. Mengingat penyebaran virus korona di kapal itu, kita tidak boleh gegabah. Kita memiliki 267 juta penduduk yang juga harus dilindungi."</t>
  </si>
  <si>
    <t>RT jokowi "Pemerintah tengah mengupayakan jalan keluar terbaik penanganan WNI awak kapal pesiar Diamond Princess di Jepang dan World Dream di perairan Indonesia. 188 WNI di World Dream dijemput untuk diobservasi di Pulau Sebaru, gugus Kepulauan Seri… "</t>
  </si>
  <si>
    <t>Sudah dapat diduga jawabannya..... "Tanyakan ke Menko PMK, atau Menkes"</t>
  </si>
  <si>
    <t>#MetroHariIni Pemerintah telah mengevakuasi 188 WNI yang bekerja di Kapal Pesiar World Dream. Proses evakuasi menggunakan KRI Dokter Soeharso di Selat Durian, Kepulauan Riau. #MetroTV</t>
  </si>
  <si>
    <t>RT @muzzashark: Bercakap ttg fakta, beliau adalah manusia paling gila pernah wujud di muka bumi. Turunkan kereta nasional di kutub utara Bina bangunan berkembar tertinggi di dunia guna asas rakit Memenangi pilihanraya dgn masuk ke kubu musuh dan musnahkannya dari dalam. Dia, Tun. Dr Mahathir</t>
  </si>
  <si>
    <t>Ketiga helikopter itu disiagakan di tiga lokasi berbeda. Pertama berlokasi di Pulau Pantara yang tak jauh dari Pulau Sebaru.</t>
  </si>
  <si>
    <t>@Parapat_Nixon @jokowi @mohmahfudmd Bro, anak anak ISIS juga mau dipulangkan tuch! Semoga anak2x itu tdk dendam sama negara pd wkt mereka dewasa</t>
  </si>
  <si>
    <t>RT @tkdnxv: Jangan menjelaskan tentang dirimu kepada sesiapa pun. Kerana yang menyukaimu tidak perlukan itu, dan yang membencimu tidak mempercayai itu.</t>
  </si>
  <si>
    <t>RT @setkabgoid: Presiden @jokowi Perintahkan 188 WNI di Kapal World Dream Dievakuasi</t>
  </si>
  <si>
    <t>RT @PolsekDayeuhko2: Kapolsek Dayeuhkolot dan anggota melaksanakan pengamanan dan pengawalan pemberangkatan masyarakat jumlah 400 orang hendak menyampaikan pendapat menolak pemulangan WNI Eks ISIS di Gedung Sate Kota Bandung yang sebelumnya adanya wacana pemulangan WNI eks ISIS. @polrestabandung</t>
  </si>
  <si>
    <t>Bukan Hanya Viral Di Indonesia, Ternyata Statment KPAI 'Berenang di Kolam Pria Bisa Bikin Hamil' Juga Viral Di Luar Negeri, WNI di Luar Negeri Dipermalukan</t>
  </si>
  <si>
    <t>RT @KemensetnegRI: Pemerintah Upayakan Skema Evakuasi Terbaik bagi WNI di World Dream dan Diamond Princess</t>
  </si>
  <si>
    <t>RT @Aryprasetyo85: Pemerintah Upayakan Skema Evakuasi Terbaik bagi WNI di World Dream dan Diamond Princess Presiden @jokowi, dlm keterangannya, mengatakan bahwa pihaknya memiliki dua agenda evakuasi yang harus dijalankan satu per satu @My_LoveNebe @tahupetismanis @cintada17</t>
  </si>
  <si>
    <t>@Tanpaagama @JL_Apatheia I do Tapi jangan ilang empati. Hindu supremacist memang lagi membahana, seperti nazi dan ISIS</t>
  </si>
  <si>
    <t>@P3nj3l4j4h_id @jokowi @Chilli_Pari Mahfud yg gila mau pulangkan Isis,,, jika lihat bicaranya</t>
  </si>
  <si>
    <t>Jokowi Ngaku Susah Pulangkan WNI di Kapal Diamond Princess</t>
  </si>
  <si>
    <t>Renang bikin hamil, banjir gpp bersyukur aja, isis minta pulang hampir di iya in, kesian ceunah, org meninggal suspect covid iya sih dia suspect, tapi kenapa dia kok meninggal ga dijelasin.. wooyy +62 kok absurd!!! Parno akutuuuu 😌😌😌</t>
  </si>
  <si>
    <t>RT @geloraco: Korban Corona Di Korsel Hampir 1.000 Orang, KBRI Terus Pantau Kesehatan WNI</t>
  </si>
  <si>
    <t>Pulau Sebaru Kecil bagi Nelayan dan Masyarakat Selama Observasi 188 WNI ABK World Dream</t>
  </si>
  <si>
    <t>KRI dr Soeharso telah bergerak menjemput 188 Warga Negara Indonesia (WNI) di Teluk Durian, Rabu (26/2/2020). Diperkirakan KRI tiba di lokasi pertemuan (rendevouz) dengan kapal pesiar World Dream pukul 12.00 WIB siang tadi. #KRI #WNI #WorldDream</t>
  </si>
  <si>
    <t>RT @gresnewsdotcom: Analisis: pemerintah perlu memulangkan keluarga eks ISIS</t>
  </si>
  <si>
    <t>@jenk_kelinn @mohmahfudmd Lebih mengutaman anak2 ISIS</t>
  </si>
  <si>
    <t>@triwul82 @mediaindonesia Ati2 sj sama mmarika.. Dulu taluban jg merrka persenjatai.. Kabarnya isis jg..</t>
  </si>
  <si>
    <t>@P3nj3l4j4h_id @jokowi @Chilli_Pari Yg Di Negeri Sendiri Saja Masih Banyak Yg Susah Pendidikan Gak Terjamin Kesehatan TERABAIKAN masih mau ngurus mulangin yg nyata 2 sudah jd penghianat bangsa pak @mohmahfudmd kami kecewa bgt ttg pemulangan anak eks isis eks wni, sy sebagai penyumbang devisa negara/tki hkg kecewa,</t>
  </si>
  <si>
    <t>@Tanpaagama @JL_Apatheia Melawan idiologi ISIS juga tidak harus menghilangkan rasa manusia kita. India memang lagi ada sentimen anti-muslims. kejadian ini harus di kecam semua manusia.</t>
  </si>
  <si>
    <t>RT @CastilloJoshima: Sumpah sedih liatnya masih ada yg ngerasain kelaparan sampe hrs makan sabun,sementara Pemerintah fokus kembalikan anak2 eks ISIS ini yg namanya keadilan sosial bagi seluruh rakyat Indonesia Pak?@jokowi</t>
  </si>
  <si>
    <t>Nelayan diingatkan tak dekati Pulau Sebaru yang menjadi lokasi observasi WNI.</t>
  </si>
  <si>
    <t>@detikcom @detikhot Lah ngapa malu, dia kan bukan WNI...</t>
  </si>
  <si>
    <t>@manugrahraditya @MafiaWasit Oh manawi teh aseli wni pedah aya darah indo sami ciga si irfan</t>
  </si>
  <si>
    <t>Anda ingin tahu wakil rakyat yg kerjanya nyinyir di Medsos ? Anda ingin tau wakil rakyat yg menyuruh pemrth pulangkan eks ISIS ? Anda Ingin tau wakil rakyat yg setuju KPK bubar ? Hahaha....PASTI tau lahhh</t>
  </si>
  <si>
    <t>@VIVAcoid Ada apa WNI yang malu...biarkan yang ngomong malu sendiri.</t>
  </si>
  <si>
    <t>Presiden Joko Widodo menyatakan pemerintah terus memperhatikan kondisi Warga Negara Indonesia (WNI) di kapal pesiar Diamond Princess, Yokohama, Jepang, sembari melancarkan diplomasi kepada otoritas setempat demi kelancaran ... #Papua</t>
  </si>
  <si>
    <t>WHO menyatakan bahwa tindakan observasi WNI di Natuna adalah tindakan cerdas #JKTBanjir4niesMlipir</t>
  </si>
  <si>
    <t>Jokowi berharap pemerintah tidak didesak agar segera mengevakuasi WNI dari Kapal Diamond Princess</t>
  </si>
  <si>
    <t>ISIS ngelakuin hal yang sama kamu diem aja kicep. Saudara sebangsa kena diskriminasi dari umat kayak kamu, kamu juga diem aja. Jadi.. jangan sok jadi korban, dik. RT @CintaNKRI08: Wahai Sahabat Muslim Indonesia , coba lihat Saudara kalian di India!! Sakittt melihat ini , tdk ada lagi kedamaian dalam Beragama ! Islam yang selalu menjadi sasaran 😭😭😭 Ya Rabb Lindungi lah saudara kami Muslimdi India yaRabb Alfateha Aamiin 😭😭😭😭😭</t>
  </si>
  <si>
    <t>RT @medisal24jam: 188 WNI dari Kapal World Dream akan Dievakuasi Pakai KRI Dr Soeharso</t>
  </si>
  <si>
    <t>@Ivone_RSZ @yusuf_dumdum @GunRomli Kan menurut UUD setiap WNI berhak jd pemimpin,deuk jd RT,RW sampai presiden di jamin,tong Waka anis,tk Beca ge Mun kapilih deuk naon urg da eta pilihan rakyat,tinggal urgna kudu bisa milih pamimpin nu bener</t>
  </si>
  <si>
    <t>@abhijeet_dipke @SidrahDP Aur ISIS ka indian context me kya kaam hai, Zabardasti ki nalogy banana band karo..</t>
  </si>
  <si>
    <t>Sumpah sedih liatnya masih ada yg ngerasain kelaparan sampe hrs makan sabun,sementara Pemerintah fokus kembalikan anak2 eks ISIS ini yg namanya keadilan sosial bagi seluruh rakyat Indonesia Pak?@jokowi</t>
  </si>
  <si>
    <t>"Fasilitas di Sebaru lebih bagus karena ini adalah rumah-rumah yang ada kamar-kamarnya. Fasilitas ini adalah tempat rehabilitasi narkoba yang sudah kosong," #PulauSebaru #Corona</t>
  </si>
  <si>
    <t>Skema Evakuasi Terbaik bagi WNI di World Dream dan Diamond Princess, Sedang diupayakan Pemerintah  via @vibizmediacom</t>
  </si>
  <si>
    <t>@sslytherene aplot lah buktiin kl lo wni bkn warga gelap</t>
  </si>
  <si>
    <t>Pulau Sebaru akan menjadi tempat karantina 180 WNI dari kapal pesiar World Dream. Pulau Sebaru yang tak berpenghuni ini sudah dipastikan aman. #Redaksi</t>
  </si>
  <si>
    <t>RT @Metro_TV: #NewslineUpdate Walaupun kondisi Gaza yang tidak menentu dengan serangan roket Israel, 29 WNI yang bergabung dalam tim sukarelawan MER-C Indonesia terus melakukan pembangunan rumah sakit Indonesia tahap kedua.</t>
  </si>
  <si>
    <t>RT @Metro_TV: #NewslineUpdate Presiden Joko Widodo meminta pemerintah tak didesak untuk segera mengevakuasi WNI di kapal pesiar Diamond Princess yang kini berada di Yokohama, Jepang. Diketahui kapal tersebut menjadi titik pusat baru penyebaran virus Corona.</t>
  </si>
  <si>
    <t>Presiden: Pemerintah terus perhatikan kondisi WNI di Diamond Princess</t>
  </si>
  <si>
    <t>RT @Metro_TV: #NewslineUpdate 188 WNI kru kapal pesiar Dream World hari ini telah dievakuasi ke atas KRI DR Soeharso, rencananya mereka akan dibawa ke Pulau Sebaru untuk menjalani observasi.</t>
  </si>
  <si>
    <t>Pemerintah Evakuasi 188 WNI di Kapal Word Dream</t>
  </si>
  <si>
    <t>Kapolsek Dayeuhkolot dan anggota melaksanakan pengamanan dan pengawalan pemberangkatan masyarakat jumlah 400 orang hendak menyampaikan pendapat menolak pemulangan WNI Eks ISIS di Gedung Sate Kota Bandung yang sebelumnya adanya wacana pemulangan WNI eks ISIS. @polrestabandung</t>
  </si>
  <si>
    <t>Waduh! WNI Positif Virus Corona di Kapal Pesiar Diamond Princes Bertambah Jumlahnya</t>
  </si>
  <si>
    <t>@Ungkapkan3 @k4ng_C1reNG Ceuk saya mah Anies teu salah kang,secara pribadi Anis berhak jadi gubernur....kan Dina UUD setiap WNI berhak jd pemimpin........nu salah nyaeta nu milih manehna jd gubernur......ceuk abdi eta mah kang heheheheh</t>
  </si>
  <si>
    <t>RT @antaranews_bali: Aksi tolak kepulangan WNI eks ISIS: Massa yang tergabung dalam Aliansi Masyarakat Jawa Barat melakukan aksi tolak kepulangan warga eks isis di Halaman Gedung Sate, Bandung, Jawa Barat, Rabu (26/2/2020). Dalam aksinya, massa menduku kebijakan Presiden…</t>
  </si>
  <si>
    <t>RT @antaranews_bali: Aksi tolak kepulangan WNI eks ISIS</t>
  </si>
  <si>
    <t>Aksi tolak kepulangan WNI eks ISIS: Massa yang tergabung dalam Aliansi Masyarakat Jawa Barat melakukan aksi tolak kepulangan warga eks isis di Halaman Gedung Sate, Bandung, Jawa Barat, Rabu (26/2/2020). Dalam aksinya, massa menduku kebijakan Presiden…</t>
  </si>
  <si>
    <t>Aksi tolak kepulangan WNI eks ISIS</t>
  </si>
  <si>
    <t>WNI Belum Dievakuasi dari Kapal Diamond Princess, Jokowi: Tidak Bisa Didesak-desak #TauCepatTanpaBatas #BeritaTerkini #Berita #News #BeritaNasional .</t>
  </si>
  <si>
    <t>Presiden @jokowi Perintahkan 188 WNI di Kapal World Dream Dievakuasi</t>
  </si>
  <si>
    <t>Evakuasi WNI di Kapal Pesiar World Dream Akan Didahulukan</t>
  </si>
  <si>
    <t>Jokowi Tegaskan Pemerintah Terus Perhatikan Kondisi WNI di Diamond Princess</t>
  </si>
  <si>
    <t>WNI Belum Dievakuasi dari Kapal Diamond Princess, Jokowi: Tidak Bisa Didesak-desak</t>
  </si>
  <si>
    <t>Tak Ingin Kecolongan, Kemenkes Terjunkan 39 Dokter Spesialis Observasi WNI di Pulau Sebaru</t>
  </si>
  <si>
    <t>anak anak fakir miskin di daerah tertinggal mssih uakeeeehh teman gak diurusin, snak mantan ISIS diurusin, ikki negoro ISIS?</t>
  </si>
  <si>
    <t>@Dee_01984 untuk bapak @mohmahfudmd Yth, sebaiknya yg di urusin anak Indonesia yg menderita spt adik ini, daripada ngurusin anak ex WNI yg jadi ISIS</t>
  </si>
  <si>
    <t>Jokowi Soal Evakuasi WNI di Diamond Princess: Diplomasi Tak Semudah Itu</t>
  </si>
  <si>
    <t>Mas @kaesangp dan mas @Chilli_Pari mbok bapakmu dikandani... mosok KPAI do pekok2 ngono kui gajine diundaki? Mosok letkol aloysius nyurati bapak, saiki dipenjoro? Grejo sing gek mbangun di rusohi bapak meneng wae.. tulong mas bapak dikandani yo.. sing eks ISIS rasah digagas</t>
  </si>
  <si>
    <t>RT @ronggurs: @hannamicchiii @GiaPratamaMD Pemerintah sdh melarang penerbangan dari dan ke cina daratan sejak 2 feb, sdh mempersiapkan juga RS-RS yg menjadi rujukan kalo ada suspect corona, memulangkan WNI dari Wuhan, bhkan menkes berkantor di Natuna. Saya rasa itu ud bukti pemerintah kita serius.</t>
  </si>
  <si>
    <t>@Anggialfurqan @permadiaktivis @FerdinandHaean2 @aniesbaswedan Pengusung KAFIR KHILAFAH+ISIS.. Adalah Kaum KAFIR yg berOTAK TUMPUL.</t>
  </si>
  <si>
    <t>Pemerintah melakukan observasi terhadap WNI kru kapal pesiar World Dream di Pulau Sebaru, Kepulauan Seribu. Jumlah dokter pun tingkatkan agar hasilnya lebih maksimal.</t>
  </si>
  <si>
    <t>Dalam orasinya, Al Issa memaparkan kondisi darurat akibat konflik. Baik konflik antaragama. Bahkan, antar suku yang memprihatinkan. Dia juga menyoroti gerakan Islamic State of Iraq and Syria (ISIS) yang dinilai membahayakan perdamaian dunia.</t>
  </si>
  <si>
    <t>Hari ini, 188 WNI dari kapal pesiar World Dream dijemput KRI Dr. Soeharso di Teluk Durian, Kepulauan Riau. Selanjutnya mereka akan menjalani proses evakuasi. . . #worlddream #kapalpesiar #wni #kri #telukdurian #kepri #corona #viruscorona #coronavirus #who #kemenkes</t>
  </si>
  <si>
    <t>RT @koreanthingy: /krt/ korea semakin horor guys 😭 minta doanya untuk para wni yg sedang bekerja disana semoga selalu dalam lindungan tuhan 🙏</t>
  </si>
  <si>
    <t>Pemerintah masih bernegosiasi dengan Jepang guna mengevakuasi WNI dari kapal Diamond Princess yang kini tengah dikarantina terkait penyebaran virus corona.</t>
  </si>
  <si>
    <t>RT @Reemeora1: @wisanggeni_084 @PDI_Perjuangan Cool... Dan di sisi lain penerus ISIS akan segera dipulangkan dan dipelihara oleh negara...😊💥</t>
  </si>
  <si>
    <t>Proses Pemindahan Evakuasi Kemanusiaan WNI dari Kapal World Dream ke Kapal Dr. Soeharso pada #EvakuasiWNIWorldDream atas perintah Presiden @jokowi setelah #EvakuasiWNIWuhan dan Insya Allah menyusul #EvakuasiWNIYokohama. Terimakasih kepada Tim @Puspen_TNI &amp; @KemenkesRI #BungJubir</t>
  </si>
  <si>
    <t>RT @KompasTV: 20 tahun berlalu sejak Tim-Tim memisahkan diri dari NKRI, faktanya banyak WNI eks Tim-Tim masih hidup dalam nestapa kemiskinan, sehingga mereka harus tinggal di pengungsian yg jauh dari kata sejahtera. Ikuti penelusuran tim #BerkasKompas pkl 22.00 WIB.</t>
  </si>
  <si>
    <t>di India Masjid diHancurkan. 20 Muslim diBantai. Tapi Kaum KODOK &amp; BaBOn pada DIAM tdk ada yg teriak2 Radikal2. Berbeda ktk ada Seorang Muslim yg lakukan Bom Bunuh diri diSri Langka. Mereka ribut teriak2 Radikal2 ISIS sampai bawa2 ke Indonesia</t>
  </si>
  <si>
    <t>@wisanggeni_084 @PDI_Perjuangan Cool... Dan di sisi lain penerus ISIS akan segera dipulangkan dan dipelihara oleh negara...😊💥</t>
  </si>
  <si>
    <t>14.53 #BeritaSONORA - Pemerintah Upayakan Skema Evakuasi Terbaik bagi WNI di World Dream dan Diamond Princess</t>
  </si>
  <si>
    <t>Oh gitu?🤔 RT @samhudibae INI DIA RETNO LISTYARTI KOMISIONER KPAI YANG PRO ANAK ISIS DI PULANGKAN! DIA Kepala Sekolah yang di pecat jaman Gubernur AHOK karena kedapatan keluyuran waktu Anak Didiknya sedang mengikuti Ujian Nasional. #PecatSittiHikmawatty</t>
  </si>
  <si>
    <t>RT @aliurophlie: @tubirfess Mungkin maksudnya, kan dia udah kena dari pas di jpng, trus dia ke bali, pas balik baru kedeteksi dia kena. Nahh, masalahnya diake bali kan kesana kemari, trus bisa jadi (jangan sampai) ada wni yg tertular dia disana, makanya indo hrs waspad trs</t>
  </si>
  <si>
    <t>@KompasTV @mohmahfudmd Orang tuanya tidak di akui sebagai WNI lagi tapi anak-anaknya akan kalian pelihara, apakah anak-anak yatim-piatu di Indonesia sudah kalian sejahterakan dan pelihara dengan baik????</t>
  </si>
  <si>
    <t>Setelah personel gabungan diberangkatkan, perairan di sekitar Pulau Sebaru disterilkan dari warga sipil.</t>
  </si>
  <si>
    <t>@jenk_kelinn @mohmahfudmd Ber x x sy perhatiin, presiden selalu pake istilah eks wni. Tapi tv atao koran pake eks isis. Yg pro isis siapa dong ya.. Hihh</t>
  </si>
  <si>
    <t>RT @P3nj3l4j4h_id: Pantesan mereka sibuk mau minta pulang karena mau di adili sbntr lg..😂 Nikmati saja hasil perbuatan kalian wahai sampah peradaban!!!</t>
  </si>
  <si>
    <t>Ini Langkah TNI Apabila Ada WNI yang Terinfeksi Virus Corona di Pulau Sebaru</t>
  </si>
  <si>
    <t>RT @WSetyorini2: @adtaufiq @99garislucu Cc @mohmahfudmd ini jauh lebih urgent daripada anak2 ISIS..</t>
  </si>
  <si>
    <t>Jokowi Ingin Fokus Evakuasi 188 ABK WNI di World Dream  via @beritasatu</t>
  </si>
  <si>
    <t>Evakuasi 188 WNI di Kapal World Dream, Istana: Tak Ada Seorangpun Ditinggalkan #TauCepatTanpaBatas #BeritaTerkini #Berita #News #BeritaNasional .</t>
  </si>
  <si>
    <t>Kemenkes kerahkan 39 dokter spesialis saat observasi WNI di Pulau Sebaru  #VirusCorona</t>
  </si>
  <si>
    <t>@adtaufiq @99garislucu Cc @mohmahfudmd ini jauh lebih urgent daripada anak2 ISIS..</t>
  </si>
  <si>
    <t>RT @shashariffin: tak hina pun la amik aliran tasawwur ni. apa benda tah yang nak pandang serong sgt</t>
  </si>
  <si>
    <t>kenapa istilah yang digunakan beda? Pak Jokowi : eks WNI (di TV sesuai verbal beliau). Media : eks ISIS. Pak @mohmahfudmd pakai istilah yang mana??? RT @jenk_kelinn: Mau nanya sama pak @mohmahfudmd Di pasal 34 (1) UUD 1945 anak2 sperti apkah yg PANTAS dipelihara oleh negara &amp; lbih urgent penanganannya ? Bgtu mirisnya negri ini Smua dikalahkan oleh satu kata yang disebut PROYEK ? *Luka didepan mata tak tampak, luka disebrang lautan di obati.</t>
  </si>
  <si>
    <t>Soal WNI di Kapal Diamond Princess yang Minta Dipulangkan, Jokowi: Pemerintah Jangan Didesak-desak .</t>
  </si>
  <si>
    <t>@busanonni kak jaga diri di sana ya, semoga wni baik2 aja di sana semoga virus corona segera ilang aminn</t>
  </si>
  <si>
    <t>RT @paolalct: mon papa ❤️❤️❤️</t>
  </si>
  <si>
    <t>Apa dia juga simpatisan ISIS.....doi sasis cuk</t>
  </si>
  <si>
    <t>@idhamrously @jokowi LU KIRA VIRUS INI MAINAN KALI YA, 1 WNI MAU DIBUNUH DILUAR NEGERI AJA PEMERINTAH BELAIN MATI-MATIAN NAH INI ADA KONSPIRASI ANEH SEGALA YANG DAMPAKNYA MUNGKIN RIBUAN WNI BISA MATI. JANCOK LU!!!</t>
  </si>
  <si>
    <t>@alex_hunter146 @woelannnn @kakiangbagoes Salut dn angkat topi utk @PDI_Perjuangan atas reaksi cepat tanggapnya mmbuka dapur umum utk korban banjir.👍👍 Kalo FPI ma 212 mungkin buka dapur umumnya di Ngarab Saudi sanah😀😂 ataw di Suriah buat eks ISIS.</t>
  </si>
  <si>
    <t>WNI ABK Diamond Princess Diobservasi 28 Hari -</t>
  </si>
  <si>
    <t>Jokowi Tidak Ingin Tergesa-gesa Putuskan Evakuasi WNI</t>
  </si>
  <si>
    <t>RT @Beritasatu: Jokowi Minta Evakuasi WNI di Diamond Princess Dilakukan Hati-Hati</t>
  </si>
  <si>
    <t>RT @kondekturbus_: Sebanyak 188 WNI yang merupakan ABK kapal World Dream akan dievakuasi ke Pulau Sebaru Kecil (Wil. Kep Seribu), dengan menggunakan KRI Soeharso di perairan internasional, dekat Bintan, Kepri. Selamat bertugas, Ndan! #coronavirus Foto: Kumparan</t>
  </si>
  <si>
    <t>@DukeCondet Kita selalu dituduh teroris gegara ISIS. Pdhl kitapun menentang ISIS alias khawarij. Tiap ada ksus teroris, kena kita semua. Udh ikut mengutuk teroris, msh aja dibilang radikal. Bgsd kan.....</t>
  </si>
  <si>
    <t>#NewslineUpdate 188 WNI kru kapal pesiar Dream World hari ini telah dievakuasi ke atas KRI DR Soeharso, rencananya mereka akan dibawa ke Pulau Sebaru untuk menjalani observasi.</t>
  </si>
  <si>
    <t>Jokowi Minta Evakuasi WNI di Diamond Princess Dilakukan Hati-Hati</t>
  </si>
  <si>
    <t>#DelhiRiots2020 Terrorist groups from One religion: ISIS Al Qaeda Lashkar-e -Tiaba Hizbul Mujahideen Indian Mujahideen SIMI Al Badr Al-Umar Mujahideen Boko Haram Deendar Anjuman Dukhtaran-e-Millat Jamaat-ul-Mujahideen Jaish-e-Mohammed Tehreek-ul-Mujahideen Harakat Hezbollah</t>
  </si>
  <si>
    <t>TNI Jemput 188 WNI Kru Kapal World Dream</t>
  </si>
  <si>
    <t>RT @pennyhepiyani: @kompascom Nih prof @mohmahfudmd yg harusnya diperhatikan olh pemerntah bukannya anak2 ISIS Kadang orang berilmu menutup mata hatinya krn KEKUASAAN</t>
  </si>
  <si>
    <t>WNI di Kapal Diamond Princess Tak Kunjung Dievakuasi, Menko PMK: Kita Tunggu Keputusan Presiden</t>
  </si>
  <si>
    <t>wni tapi remed to b.indo</t>
  </si>
  <si>
    <t>Daegu Asdfghjkl, Mama mertua heh gimana Suga, Taehyung gak lagi panik kan. Keluarga mreka gimana, army disana gimana, Wni disana gimanaa. Yatuhan lindungi mereka hikd Stay safe everyone</t>
  </si>
  <si>
    <t>@CNNIndonesia sejak beliau ngomong masalah kombatan ISIS yg mau dipulangkan tapi ditolak.. jawaban beliau "asal insyaf" 😅😅😅 ga yakin lg sm beliau...👎</t>
  </si>
  <si>
    <t>Negera lain heran kenapa WNI susah kena virus corona? Ya ini jawabannya Banji aja jdi temoat sea games asw wkwk RT @indonesianturk: Jakartans sea games #WajahBanjirJakarta #BanjirJakarta #banjirbekasi #4niesGabenerBodong #BanjirDKIJakarta</t>
  </si>
  <si>
    <t>RT @KompasTV: 188 WNI dari Kapal Wold Dream Akan di Observasi Untuk Cegah Wabah Virus Corona</t>
  </si>
  <si>
    <t>Presiden Jokowi : Pemerintah terus perhatikan kondisi WNI di Diamond Princess</t>
  </si>
  <si>
    <t>Jokowi Ungkap Alasan Dahulukan Evakuasi ABK World Dream daripada WNI Diamond Princess</t>
  </si>
  <si>
    <t>@MpetPesa 1. Tdk usah membuat statement provokatif 2. Iya kl benar konteksnya, kalau enggak? Jaman sekarang kejadian di satu kota bisa jadi berita hoax di kota lainnya yg bertetangga. Apalagi lintas negara lintas benoa. 3. Coba cari berita taliban, ISIS, pakistan, dll, dll. Ngga kurang2.</t>
  </si>
  <si>
    <t>Mereka menyebarluaskan barbarisme dengan justifikasi agama dalam upaya mengeklaim kendali penguasaan atas kekuasaan tersebut.</t>
  </si>
  <si>
    <t>"Pemeriksaan yang standar Natuna tetap dilakukan, cuma yang kali ini agak sedikit lebih banyak," ungkap Budi.</t>
  </si>
  <si>
    <t>@isis_almeida5 Sai dae</t>
  </si>
  <si>
    <t>@aliurophlie @saj27n @tubirfess Ngga kebal, fakta 4 wni positif di kapal pesiar itu :) suhu? Loh spore yg suhunya sama kurang lebih kaya disini aja kena</t>
  </si>
  <si>
    <t>@tubirfess Mungkin maksudnya, kan dia udah kena dari pas di jpng, trus dia ke bali, pas balik baru kedeteksi dia kena. Nahh, masalahnya diake bali kan kesana kemari, trus bisa jadi (jangan sampai) ada wni yg tertular dia disana, makanya indo hrs waspad trs</t>
  </si>
  <si>
    <t>Tak Ingin Kecolongan, Kemenkes Terjunkan 39 Dokter Spesialis Observasi WNI di Pulau Sebaru #TauCepatTanpaBatas #BeritaTerkini #Berita #News #BeritaNasional .</t>
  </si>
  <si>
    <t>Proses Pemindahan Evakuasi Kemanusiaan WNI dari Kapal World Dream ke Kapal Dr. Soeharso pada #EvakuasiWNIWorldDream ats perintah Presiden @jokowi menyusul #EvakuasiWNIWuhan Insya Allah menyusul #EvakuasiWNIYokohama @jubir_presidenri @puspentni @kemenkes_ri</t>
  </si>
  <si>
    <t>@jokowi Pak banjir pak, pak itu kartu miskin gmn, pak ISIS pak, pak ada intoleransi disini, pak tolong korupsi msh banyak pak. BACOOOTTT urusin hidup sendiri2 dulu udh maju blm????, mau siapa presidennya kalo rakyatnya kaya loe semua ya sama aja.</t>
  </si>
  <si>
    <t>semoga keluarga WNI- dan staff kedutaan RI di korsel selalu sehat, cr. kak Dhita (staff kedutaan yg juga lulusan kampusku - bucin anak produce- makanya aku seneng banget sama story/post an dia...) stay safe</t>
  </si>
  <si>
    <t>Pantesan mereka sibuk mau minta pulang karena mau di adili sbntr lg..😂 Nikmati saja hasil perbuatan kalian wahai sampah peradaban!!!</t>
  </si>
  <si>
    <t>RT @vivanewscom: Fakta Pulau Sebaru Kecil, Lokasi Observasi 188 WNI Kru World Dream  #vivanews</t>
  </si>
  <si>
    <t>RT @vivanewscom: 188 WNI di Kapal World Dream Mulai Dievakuasi ke KRI Soeharso  #vivanews</t>
  </si>
  <si>
    <t>188 WNI dari Kapal Wold Dream Akan di Observasi Untuk Cegah Wabah Virus Corona</t>
  </si>
  <si>
    <t>WNI Kapal Dream World Masih Ditolak di Mana-mana, Menkes: Pemerintah Wajib Memperhatikan</t>
  </si>
  <si>
    <t>RT @Aiek_Channel__: #OmnibusLawOtoriter #OmnibusLawOtoriter Korban Corona Di Korsel Hampir 1.000 Orang, KBRI Terus Pantau Kesehatan WNI</t>
  </si>
  <si>
    <t>Korsel dan Italia Darurat Virus Korona, WNI Wajib Patuhi Aturan</t>
  </si>
  <si>
    <t>Fakta Pulau Sebaru Kecil, Lokasi Observasi 188 WNI Kru World Dream  #vivanews</t>
  </si>
  <si>
    <t>188 WNI di Kapal World Dream Mulai Dievakuasi ke KRI Soeharso  #vivanews</t>
  </si>
  <si>
    <t>RT @wow_keren: Desakan Agar Pemerintah Amankan WNI Dari 'Outbreak' Virus Corona di Korsel</t>
  </si>
  <si>
    <t>@medcom_id Maaf Pak Prof @mohmahfudmd . Anak2 di negeri kita masih banyak yg perlu dikasihi &amp; dirawat pak. Saran : Mari lbh baik kita gelontorkan dana utk anak2 WNI yg perlu dirawat. contoh:</t>
  </si>
  <si>
    <t>Sebanyak 188 WNI yang merupakan ABK kapal World Dream akan dievakuasi ke Pulau Sebaru Kecil (Wil. Kep Seribu), dengan menggunakan KRI Soeharso di perairan internasional, dekat Bintan, Kepri. Selamat bertugas, Ndan! #coronavirus Foto: Kumparan</t>
  </si>
  <si>
    <t>Virus Korona Kian Mewabah, WNI di Korsel Butuh Masker</t>
  </si>
  <si>
    <t>RT @IndraJPiliang: Idealnya, apa yg dikerjakan negara terkait nasib 600 org ex ISIS yg mayoritas adalah perempuan &amp; anak2? #NarasiReboan</t>
  </si>
  <si>
    <t>Saya gak setuju, anak kecil menyimpan memori yang sangat kuat, mereka diliputi kebencian dan amarah karena dipisahkan oleh ortu yg tidak bisa pulang! Gedenya pasti penuh amarah &amp; kebencian seperti ISIS 🤦🏻‍♀️😢 RT @KompasTV: Menko Polhukam @mohmahfudmd memastikan pemerintah akan memulangkan anak-anak eks ISIS akan dibawa pulang ke Indonesia. Anak-anak yang dipulangkan adalah anak yatim piatu yang berusia di bawah 10 tahun. Baca selengkapnya di</t>
  </si>
  <si>
    <t>Bagi mereka, Jepang, Korea, Taiwan termasuk WNI keturunan ya CINA! RT @NonaMaya222: Baca kejadian AEON JGC *tarik napas*. Dear orang2 norak, AEON itu punya JEPANG bukan punya CINA. Lu ngejarah mah ngejarah aja ga usah bawa2 ras dan ga usah pake dalih banjir. Emang lu aja mau cari kesempatan dalam kesempitan. Tai</t>
  </si>
  <si>
    <t>@aalfathh Sampai saat tanah moyangku tersentuh sebuah rencana dari serakahnya kota, terlihat murung wajah WNI terdengar langkah hewan bernyanyi</t>
  </si>
  <si>
    <t>Sebanyak 188 WNI World Dream Sudah di KRI Soeharso, Ini kata Jokowi Evakuasi Didahulukan</t>
  </si>
  <si>
    <t>@tictactoe___ @murryas @agunkwicaksana @oxfara Selain itu, blm lama kasus Natuna yg jadi lokasi observasi WNI yg dievakuasi dr Wuhan, pusat kurang koordinasi sm pemerintah lokal hingga timbul gaduh sesaat, yg mana akhirnya mereda sih setelah dijelasin.. tp ini menunjukkan skill komunikasi pihak" terkait yg perlu diperbaiki</t>
  </si>
  <si>
    <t>Menko Polhukam @mohmahfudmd memastikan pemerintah akan memulangkan anak-anak eks ISIS akan dibawa pulang ke Indonesia. Anak-anak yang dipulangkan adalah anak yatim piatu yang berusia di bawah 10 tahun. Baca selengkapnya di</t>
  </si>
  <si>
    <t>RT @KemensetnegRI: Pemerintah Utamakan Prinsip Kehati-hatian Tangani Pemulangan WNI di Diamond Princess</t>
  </si>
  <si>
    <t>Makanya tinggal di Indonesia aja, 100% Bebas #VirusCorona (katanya sih gitu)</t>
  </si>
  <si>
    <t>@adlimrn Masih merasa jumawa covid19 "alergi" sama WNI ahahahahhaa padahal udah ada case WNI di luar yang positif kena kan 😷😷</t>
  </si>
  <si>
    <t>@twitpos Yang ngakunya agama islam tp gemarnya nyudutin islam,si ahlul isis yg doyan treak² teroris,kok pada mingkem,liat noh the real teroris yang ngebantai saudara seiman kita di india... #ShameOnYouIndia</t>
  </si>
  <si>
    <t>dah ada wni... RT @GiaPratamaMD: Tanggal 26 Februari 2020, Ini 10 besar (negara + kapal pesiar) dengan jumlah penderita terbanyak. Dengan Total 41 Negara dan 81.012 penderita. 9 WNI di Diamond Princess positif COVID19. Jadi ini mematahkan opini bahwa DNA Indonesia kebal terhadap virus ini.</t>
  </si>
  <si>
    <t>ini yg bs mnyebabkan wni kebal virus corona, pisang buah yg tdk bermysim bnyak dn murah disini RT @esensi_id: Para peneliti dari Amerika Serikat menemukan bahwa buah pisang bisa menjadi solusi terbaru dalam melawan flu dan virus-virus mematikan lainnya.</t>
  </si>
  <si>
    <t>RT @indozonemedia: Sebelumnya, jumlah WNI eks simpatisan ISIS hanya berjumlah 689 orang. #KAMUHARUSTAU #ISIS #teroris #WNI</t>
  </si>
  <si>
    <t>Aku lompat sih dari kursi barusan, kaget beneran, oke dok @GiaPratamaMD I will do my best untuk bantu dokter dan bantu keluarga-keluarga WNI kita di Korea, I will send the update nanti malam via DM twitter ya dok, senang bisa bekerja sama dengan dokter GIA.</t>
  </si>
  <si>
    <t>RT @radar_malang: WNI di Korsel Butuh Masker</t>
  </si>
  <si>
    <t>@arieoz Semoga aman aman ya wni di korea aamiin</t>
  </si>
  <si>
    <t>WNI di Korsel Butuh Masker</t>
  </si>
  <si>
    <t>KBRI Kroasia di Zagreb mengeluarkan imbauan bagi WNI yang berada di negara tersebut untuk mewaspadai gejala penularan demi menghindari virus korona.</t>
  </si>
  <si>
    <t>Stay safe wni di korea</t>
  </si>
  <si>
    <t>Sebanyak 762 personel gabungan ikut dalam operasi observasi atau karantina WNI yang dievakuasi dari Kapal World Dream.</t>
  </si>
  <si>
    <t>Cerita WNI di Italia Terkait Wabah Korona</t>
  </si>
  <si>
    <t>@jenk_kelinn @mohmahfudmd Asli miris,saya yakin msih byk ank2 dilain tmpat yg bisa jd mengalami hal yg sma dg nasib ank2 itu, tp yg dpikir malah ank2 ISIS yg sdah pasti otaknya sudah diisi dg doktrin radikal. Jk suatu saat kedepan mreka besar dan terjadi bom bnuh dri,sp yg brtggg jwb?</t>
  </si>
  <si>
    <t>Evakuasi WNI dari Kapal World Dream ke Pulau Sebaru Dimulai Hari Ini</t>
  </si>
  <si>
    <t>Menko PMK: Pemerintah Masih Pertimbangkan Evakuasi WNI di Kapal Diamond Princess</t>
  </si>
  <si>
    <t>Menkes: Saat Ini Konsentrasi Penanganan Evakuasi WNI di Kapal Dream World</t>
  </si>
  <si>
    <t>nonton kompas tv, pasien wni dg riwayat kunjungan dari spanyol-dubai-jakarta-semarang dinyatakan negatif covid-19, namun dia meninggal dunia. di rs kariyadi semarang diisolasi, dan pemakamannya diperlakukan khusus spt pasien flu burung. keluhan: batuk, demam, sesak napas.</t>
  </si>
  <si>
    <t>RT @DreamersRadioID: Menteri Kesehatan Konfirmasi 9 WNI Positif Virus Corona di Kapal Diamond Princess</t>
  </si>
  <si>
    <t>Coronanya sj minder, makanya yg terserang WNI di kapal pesiar RT @mbahrunniam: @maman1965 versi lain</t>
  </si>
  <si>
    <t>Ini Alasan Pulau yang Tak Berpenghuni Jadi Lokasi Karantina 188 WNI</t>
  </si>
  <si>
    <t>Tapi tolong, tolong banget ketika kjadian kayak gini menimpa owner olshop barang kpop, mbok ya yg dijustifikasi bukan kpoper gitu loh. Owner2 ini juga WNI punya hak utk menuntut. Ga sekali 2 kali kita dicaci maki konsumen krn hal kaya gini, padahal kita udah menunaikan kewajiban.</t>
  </si>
  <si>
    <t>RT @OposisiCerdas: 78 WNI Terjebak di Kapal Diamond Princess, DPR Minta Pemerintah Segera Evakuasi</t>
  </si>
  <si>
    <t>Jk Pemerintah tak mampu jelaskan secara clear thdp isu2 ini : 1. Suspect corona meninggal di Jateng 2. Wisatawan Jepang yg kena Corona selepas dr Indonesia 3. Tuduhan Harvard kita tak mampu deteksi corona 4. WNI dr Wuhan tak ditest corona Mk percuma bayar influenzer 72 M.</t>
  </si>
  <si>
    <t>Dua Pejabat Iran Positif Terjangkit Virus Corona, KBRI Wanti-wanti WNI</t>
  </si>
  <si>
    <t>@VIVAcoid Bacot Turki, agresor pendukung ISiS, munafikun</t>
  </si>
  <si>
    <t>New post (WNI di Korsel Butuh Masker) has been published on Baca Pesan -</t>
  </si>
  <si>
    <t>RT @putri_lior4: @kkpgoid Pak Menteri tolong pak. Lindungi selat kami pak dari NELAYAN BAJINGAN kayak gini. Mosok cari ikan pakek BOM. Ini ISIS versi NELAYAN namanya.</t>
  </si>
  <si>
    <t>PLN siapkan genset di lokasi observasi 188 WNI di Pulau Sebaru. #Coronavirusourtbreak</t>
  </si>
  <si>
    <t>√ Hari Ini, KRI Soeharso Evakuasi 188 WNI di Teluk Durian cc @fadjroeL @JubirPresidenRI @PedomanNEWS</t>
  </si>
  <si>
    <t>@fadlizon betulll salahnya p jokowi ya zon, org ikut isis jg salah jokowi ya zon, ente gemblung jg salah jokowi zon</t>
  </si>
  <si>
    <t>@DukeCondet Ya kurang lebih sama, sama pas ISIS atau teroris Islam lain ngebantai umat agama lain, kan Islam disini juga bilang kalo ISIS dan teroris bukan baik dari ajaran Islam. Apa yg salah?</t>
  </si>
  <si>
    <t>RT @gen987fm: Pihak KBRI Seoul, Korea Selatan memastikan hingga kini seluruh WNI yang betada di Korea Selatan dalam keadaan baik dan sehat, dan tidak ada yang terinfeksi virus corona, menyusul status siaga 1 negara tersebut. #BeritaTerkiniGenfm</t>
  </si>
  <si>
    <t>Kroasia Konfirmasi Kasus Pertama Virus Corona, KBR Berikan Imbauan bagi WNI</t>
  </si>
  <si>
    <t>RT @radar_malang: Bahas Soal Bahaya ISIS, UIN Malang Kukuhkan Gelar Doktor HC Pada Sekjen RAI</t>
  </si>
  <si>
    <t>RT @republikaonline: WNI di Kroasia diimbau melakukan sejumlah langkah pencegahan tertular virus corona.</t>
  </si>
  <si>
    <t>RT @republikaonline: KRI dr Soeharso akan menjemput WNI yang jadi ABK di kapal pesiar World Dream.</t>
  </si>
  <si>
    <t>Bahas Soal Bahaya ISIS, UIN Malang Kukuhkan Gelar Doktor HC Pada Sekjen RAI</t>
  </si>
  <si>
    <t>"Warga Negara Indonesia, di manapun berada berhak atas perlindungan dari negaranya, termasuk dilindungi dari rasa takut" Apa Isu Utama WNI di Diamond Princess?</t>
  </si>
  <si>
    <t>@UyokBack @yunartowijaya Owh pantesan non pribumi ya, kirain teh WNI, pantes aja ngomel mulu tuh. Hah!!!</t>
  </si>
  <si>
    <t>RT @fendymojoo: Mengeluh tentang taraf kesenangan keluarga ni adalah perkara yang tak patut kau sebut. Kecuali mak ayah jenis hisap dadah dan takda tanggungjawab. Bersyukurlah parents tu susah payah cari rezeki nak besarkan kau sampai dewasa macam ni siap boleh main twitter lagi.</t>
  </si>
  <si>
    <t>WNI di Kroasia diimbau melakukan sejumlah langkah pencegahan tertular virus corona.</t>
  </si>
  <si>
    <t>RT @fendymojoo: Mak ayah kau kalau baca ni mesti terguris hati diorang. Yang mungkin diorang ingat dah buat yang terbaik untuk anak, rupa2nya anak dia penyimpan rasa tak senang macam ni. Mungkin sebab ni lah Allah tak berikan apa yang kau nak.</t>
  </si>
  <si>
    <t>@cagubnyinyir2 @gundala222 @ellys_kerhi @jonahmunda @BHD_8 Woiii kadrun goblok biarkan aja tuhhh mampoosss dipancung sihabib cabul di arab saudi sana dan sekalian munarman antek2 ISIS usir biar dua2nya digantung di arab sana</t>
  </si>
  <si>
    <t>@kompascom @komnas_anak @KomnasPerempuan , PKS, komnas HAM, ini yg harus segera diurus, bukan anak2 ISIS!</t>
  </si>
  <si>
    <t>@rustamharahap @bapakeasad @na_dirs itu sy belom nanya, khilafah dia mau versi siapa ? ISIS, HT, IM, alQaeda atau yang mana ? heheh... trus gimana kalo masing2 punya calon ? kan menurut mereka harus dibunuh tuh yang lain supaya khalifahnya cuma satu. Trus kapan majunya bunuh2an terus yah ?</t>
  </si>
  <si>
    <t>Investasi jadi dagangan tukang utang. Kalo investor nya gak niat menjadikan wni sbg jongos, akan mikir ribuan kali utk invest disini. Gak ada yg bs "menarik" investor kok. Kecuali menghabiskan sumber daya alam. Sistem ga beres, kepastian hukum ga punya, kondusif pun gak.</t>
  </si>
  <si>
    <t>Pemerintah Masih Persiapkan Evakuasi 188 WNI di Kapal World Dream Rabu, 26 Februari 2020 Kanal Nasional</t>
  </si>
  <si>
    <t>ISIS Termasuk Ancaman Aktual atau Potensial? Tonton pembahasannya di Youtube MNC Trijaya 104.6 FM Jakarta. #ISIS #TrijayaFM #News #International</t>
  </si>
  <si>
    <t>@Mahdi_BaReT212 @ustadtengkuzul Eh ada bang ISIS Apakabar syria ama irak bang? Koq ikut ngomenin presiden saya</t>
  </si>
  <si>
    <t>RT @03__nakula: Anak" eks WNI yang jadi pejuang ISIS yang berusia dibawah 10 tahun dan yatim piatu akan di pulangkan untuk dikembalikan ke sanak saudaranya. Ternyata saudaranya juga mendukung ISIS. Bagaimana prof @mohmahfudmd</t>
  </si>
  <si>
    <t>@03__nakula @mohmahfudmd Regenerasi ISIS masa depan dan PR buat anak cucu kelak, apakah demikian pak @jokowi @mohmahfudmd</t>
  </si>
  <si>
    <t>Gue sampe mikir gmn kalo ternyata ada WNI ibadah di Shincheonji . Terus dia gamau ngaku dia ibadah disana even ke temen2 / keluarganya. Terus dia pulang ke Indo... terus.... Aaakkk amit2. 😭</t>
  </si>
  <si>
    <t>@khanataurrehma3 @Soaib0 @crazysakuu @abhisar_sharma Tu yeh harami janwar ka certificate ISI or ISIS ko baant</t>
  </si>
  <si>
    <t>[ARTIKEL] PENGAKUAN NAPI TERORISME YANG 'MENOLAK' IKUT BAIAT ISIS: 'SAYA WAS-WAS SEKALI, KALAU LENGAH BISA LEWAT' SIRI 1: PERTEMUAN DENGAN ROIS DI LAPAS RISIKO TINGGI  FOLLOW US 👇   "UNITED AGAINST EXTREMISM!</t>
  </si>
  <si>
    <t>Para WNI di Kapal World Dream Akan Pulang ke Indonesia Menggunakan Kapal  #COVIDー19 #WorldDream #IndonesiaMaju @jokowi @fadjroeL</t>
  </si>
  <si>
    <t>@nemosyus @mohmahfudmd Kok Pak Mahfud berambisi mendatangkan KOTORAN ISIS ke tanah air ?</t>
  </si>
  <si>
    <t>@herman6x @vocketfcID Sudah WNI juga, apa yang membedakan mereka lagi ? Hak dan perlakuan harus sama. Naturalisasi itu proses atau cara, sekarang mereka sama seperti kita WARGA NEGARA INDONESIA.</t>
  </si>
  <si>
    <t>RT @vtaufiqv: @SyafaatNasir Esok ingat nak lepak depan istana..dapat makanan free</t>
  </si>
  <si>
    <t>Paspor ISIS Eks WNI Diblokir, Data Mulai Disetor ke Kemenkumham -</t>
  </si>
  <si>
    <t>RT @AremaNita__: Warga non WNI saja saat menyadari akan kesemestaannya sangat menghargai #BudayaNusantara, bagaimana dengan kita? #NusantaraBukanKhilafah #BangkitBudayaNusantara Rahayu 🙏 Selamat istirahat sedulur budaya dimanapun kalian berada... 🙏</t>
  </si>
  <si>
    <t>RT @vivanewscom: WNI Awak Kapal Pesiar Diamond Princess di Jepang: Kapan Kami Dijemput?  #vivanews</t>
  </si>
  <si>
    <t>WNI Awak Kapal Pesiar Diamond Princess di Jepang: Kapan Kami Dijemput?  #vivanews</t>
  </si>
  <si>
    <t>@4Y4NKZ @TofaTofa_id Kalo soal banjir aja gak mau percaya... Sebaiknya ikut pasukan jihad ISIS aja Bang Tofa...</t>
  </si>
  <si>
    <t>RT @tempodotco: Menteri Hukum dan Hak Asasi Manusia Yasonna Laoly mengatakan ada sekitar 1.276 orang Indonesia yang bergabung dengan ISIS di Suriah.</t>
  </si>
  <si>
    <t>Menteri Hukum dan Hak Asasi Manusia Yasonna Laoly mengatakan ada sekitar 1.276 orang Indonesia yang bergabung dengan ISIS di Suriah.</t>
  </si>
  <si>
    <t>Virus Korona Merebak di Korsel, WNI Diimbau Tenang dan Tetap Waspada</t>
  </si>
  <si>
    <t>@valhallavaasi @Human863 Inka nayam Boko haram Jaishemohammad Isis Taliban Pfi Andaru jai Shri ram antaru ani analedu</t>
  </si>
  <si>
    <t>Evakuasi 188 WNI Kru Kapal World Dream Dilakukan Hari Ini</t>
  </si>
  <si>
    <t>KBRI di Kroasia Imbau WNI Waspadai Virus Corona</t>
  </si>
  <si>
    <t>@sheinseiya @felixsiauw Agen ISIS keluar</t>
  </si>
  <si>
    <t>@mixberriex @meilkita @willy_billy_bit @silkcanva @nottfunnyy @BBCIndonesia Mas nya mungkin mau masuk ISIS dulu tapi ga kesampean mba😌</t>
  </si>
  <si>
    <t>RT @DPP_PKB: Pemerintah telah memutuskan tidak memulangkan 600 WNI eks anggota ISIS ke Indonesia. Keputusan itu diambil, pemerintah khawatir Kombatan ISIS akan jadi teroris baru di Indonesia. Tapi apa langkah pemerintah selanjutnya? yuk ikuti Diskusi Reboan hari ini #IndonesiaDamaiTanpaISIS</t>
  </si>
  <si>
    <t>@jansen_jsp Daripada Dana Segitu di berikan pada " Influencer " yg nggak jelas...Mending di belikan Masker untuk bantuan Kepada WNI yang ada di Taiwan, HK Terkena Dampak Virus Corona.</t>
  </si>
  <si>
    <t>Anak" eks WNI yang jadi pejuang ISIS yang berusia dibawah 10 tahun dan yatim piatu akan di pulangkan untuk dikembalikan ke sanak saudaranya. Ternyata saudaranya juga mendukung ISIS. Bagaimana prof @mohmahfudmd</t>
  </si>
  <si>
    <t>WNI yg di kapal pesiar itu gimana caranya utk bisa segera diselamatkan dari kapal pesiar tempat mereka bekerja dan Corona bekerja. Perlindungan WNI kita gimana Bu Menteri Luar Negeri?</t>
  </si>
  <si>
    <t>Viral WNI Awak Kapal Pesiar Jepang Negatif Corona Minta Dijemput Jokowi, Ini Pesannya</t>
  </si>
  <si>
    <t>Muhadjir Effendy: Observasi WNI ABK Kapal World Dream di Pulau Sebaru Kecil</t>
  </si>
  <si>
    <t>RT @imascorgan: Tolak semua PRO ISIS masuk ke Indonesia!! Sketch by @imascorgan for @TUI_officialid @jokowi @Dennysiregar7 @mohmahfudmd @AlissaWahid @yennywahid @NUgarislucu @nahdlatululama @sejutatemanid @sahaL_AS @GunRomli #TolakEksWNIproISIS #TolakEksISIS #tolakisis #tolakekshti #JAGANKRI</t>
  </si>
  <si>
    <t>Kmrn malem issued tiket palembang korea 800 ribu pp, baca thread ini, gw ikhlasin aja 800 ribu gw daripada gw jd wni pertama yg kena corona 😂😂😂 RT @arieoz: gue jadi pengen cerita dikit soal ahjumma si pasien ke-31 ini yang sekarang sama media disebut “super spreader”</t>
  </si>
  <si>
    <t>Tingkatkan Perlindungan WNI di Korsel, KBRI Seoul Buka Hotline 24 Jam #NEWS</t>
  </si>
  <si>
    <t>Kisah WNI di Arab Saudi, sakit parah hingga dipulangkan ke Tanah Air  #ElshintaMedan #ElshintaEdisiSiang</t>
  </si>
  <si>
    <t>Berdasarkan keterangan Kemkes, penjemputan rencananya berlangsung hari ini, Rabu (26/2) pukul 10.00 WIB. Pulau Sebaru di Kepulauan Seribu telah dipastikan menjadi tempat penampungan sementara. #WaktunyaLokadata</t>
  </si>
  <si>
    <t>RT @Iqbal__Kholidi: masih soal keluarga Daesh asal Indonesia, setelah putus asa menembus Suriah. ISIS mengarahkan pasangan suami-istri ini menjadi bomber di Filipina. simak video ini sampai selesai</t>
  </si>
  <si>
    <t>@13adbad iya ya ampun... mana banyak WNI di sana kan, yg jj kesana jg banyak dan gak tau jg kan kemaren2 papasan sama si pembawa virus apa enggak... dan di sini masih santuy banget...</t>
  </si>
  <si>
    <t>@StandwithAli @108mandeep @nto1927 Osama Bin laden, ISIS , Abu al bakar, Talibaan , al-qaida, UK grooming gangs are all spreading peace??</t>
  </si>
  <si>
    <t>RT @YRadianto: Bicara hukum? Mari bicara UU no. 12 thn 2006 dan PP no 2 tahun 2007. Mereka bukan WNI !!! Bicara HAM? Mari bicara tentang perlindungan HAM warga negara Indonesia yang tinggal dan mencintai Indonesia di sini. #TolakEksISIS</t>
  </si>
  <si>
    <t>@wisanggeni_084 @DemplonMak Sempat ada yg copas ini di WAG saya, nyindir mereka yang ada di HRD. Dan hampir 90% teman2 saya simpatisan 212 dkk termasuk ISIS. Tiap hari isi WAG soal dakwa dan hujatan ke pemerintah. Luar biasa memang</t>
  </si>
  <si>
    <t>@detikcom Pak mentri @Kemenkumham_RI gak usah ragu2 masukkan aja dia sbg ex wni, negara sdh dianggap dzolim, presidennya dianggap ilegal, mo apa lagi ? Toh dia kan sdh bahahahahagia di tanah leluhur</t>
  </si>
  <si>
    <t>RT @tempodotco: Bupati Husein Murad menyatakan warga Kepulauan Seribu siap menerima kedatangan warga negara Indonesia (WNI) yang akan diobservasi di Pulau Sebaru.</t>
  </si>
  <si>
    <t>RT @IrmanputraSidin: Kita tidak pernah merasa takut terhadap bangsa yg pernah menjajah kita padahal kekejamannya kita telah mengetahuinya, karenanya kita tidak perlu merasa takut terhadap saudara kita yang pernah bergabung dgn ISIS, krn mereka sesungguhnya adalah korban (saksikan lengkap YT UUD TV)</t>
  </si>
  <si>
    <t>@Kemlu_RI halo min saya mau tanya kalo untuk kepulangan wni dari korsel apa perlu dikarantina dahulu? Terimakasih</t>
  </si>
  <si>
    <t>RT @KBRITokyo: 19 Feb 2020: total 4 WNI dari kapal Diamond Princess yg terdeteksi virus corona. Dua dirawat di RS di Chiba, 2 di Tokyo. 🇲🇨 KBRI Tokyo upayakan mereka tetap bisa kontak keluarga &amp; ABK lainnya, dan kami tunggu tes yg menyatakan 74 WNI lainnya selesai dikarantina. #NegaraMelindungi</t>
  </si>
  <si>
    <t>@jek___ Pesan buat hansipnya, hati2 pak lain kali jangan mau diajak ngobrol sama orang asing yg gak dikenal, takutnya itu gerombolan ISIS mau merekrut anggota baru.</t>
  </si>
  <si>
    <t>Bupati Husein Murad menyatakan warga Kepulauan Seribu siap menerima kedatangan warga negara Indonesia (WNI) yang akan diobservasi di Pulau Sebaru.</t>
  </si>
  <si>
    <t>@ditjen_imigrasi halo min saya mau tanya kalo untuk kepulangan wni dari korsel apa perlu dikarantina dahulu? Terimakasih</t>
  </si>
  <si>
    <t>@negativisme Bangga menjadi WNI</t>
  </si>
  <si>
    <t>@noupeh Coro-nya yang takut kak.. Warga +62 luar biasa 🤣 Tapi udah ada wni yang kena e kak..</t>
  </si>
  <si>
    <t>Pemerintahan itu terlalu santuy.... Ya di tunggu ajalah :)</t>
  </si>
  <si>
    <t>RT @KompasTV: Begini Penampakan Pulau Sebaru Tempat Observasi WNI dari Corona</t>
  </si>
  <si>
    <t>@Andri_C1AB Kok dikipas kipasno ngono Mas..??? Ben isis mungkin yaa...???</t>
  </si>
  <si>
    <t>@sprngtyler @emptyvapors ANNYEONGHASEYO ISIS IMNIDAAAA</t>
  </si>
  <si>
    <t>ISIS menyerang semua kelompok, kecuali ISRAEL #Syria RT @Britanniacomms: This "simple" chart of the #Syria war shows it's mind-bogglingly complicated  c voxdotcom</t>
  </si>
  <si>
    <t>waduh stay safe ya masnya dan semua WNI yang ada di SK 🙏 RT @arieoz: gue jadi pengen cerita dikit soal ahjumma si pasien ke-31 ini yang sekarang sama media disebut “super spreader”</t>
  </si>
  <si>
    <t>RT @___CIMOL_Q7R: Hayy followers2 cimol yg ganteng yg cantik tolong bantu viralkan kadrun betina ini sampi dia kencing di celana klu sdh ketangkap Cc @DivHumas_Polri</t>
  </si>
  <si>
    <t>@dr_koko28 Jangankan itu dok.. buat evakuasi WNI di wuhan.. rezim.lama amat mikirnya.. lama amat actionnya.. Dari sini aja kelihatan.. bagaimana kerjaan rezim menghadapi kasus virus corona.. Slow respon.. telat mikir..telat action👊</t>
  </si>
  <si>
    <t>@rmol_id bgaimna dg statement menkes yg blg indonesia kebal virus corona krn doanya??? dg kematian ini dn wni yg msh di kapal pesiar yokohama, msh relevankah statement itu? dalil apa yg digunakan seorang medis mengadvis krn doa???</t>
  </si>
  <si>
    <t>Melihat Pulau Sebaru Kecil, Tempat Observasi WNI dari Virus Corona  #LINETODAY</t>
  </si>
  <si>
    <t>@hobisunmi ISIS WEOMDKDEKLWKDLSS</t>
  </si>
  <si>
    <t>@andre_rosiade Kalau anda ? Menjebak PSK? Demi Ahlak ?😂😂😂😂 Helo ?!!!</t>
  </si>
  <si>
    <t>WNI ABK Diamond Princess Diobservasi 28 Hari Jakarta, 25 Februari 2020 Saat ini ada 9 anak buah kapal (ABK) Diamond Princess yang merupakan warga negara Indonesia (WNI) positif Covid-19 dan ABK yang negatif Covid-19 masih berada di dalam kapal. Nantiny…</t>
  </si>
  <si>
    <t>#Radikalisme + Kekuasaan= Selangkangan = ISIS Beragamalah dgn akal jgn tiru mrk #TolakRadikalisme  @zlametabidin @Hanifah933 @RD_4WR1212 @YoyokSubandriy3 @Klelur028 @Santoso26166908 @al_nghothot @KadrunHunter99 @SnolinkW @Emmy8412</t>
  </si>
  <si>
    <t>"Isis ijitis mirrinis" 😤😔</t>
  </si>
  <si>
    <t>@fajar17 Patrick fix WNI</t>
  </si>
  <si>
    <t>Hari Ini, Pemerintah Jemput 188 WNI dari Kapal World Dream</t>
  </si>
  <si>
    <t>RT @05d95a682cea478: @YanHarahap @panca66 Dari pada bagi bagi uang ke yg nggak jelas kerjanya...mending bagi bagi bantuan masker yg banyak kepada para WNI di HK dan Taiwan. Sampai saat ini masih banyak kekurangan masker dan saat order online dari penjual di indonesia banyak yg kena tipu oleh penjual.</t>
  </si>
  <si>
    <t>Pulau Sebaru Jadi Tempat Observasi 188 WNI</t>
  </si>
  <si>
    <t>RT @KemensetnegRI: Pemerintah Akan Evakuasi WNI ABK World Dream ke Pulau Sebaru</t>
  </si>
  <si>
    <t>kubilang apa, pemerintah terlalu santuy terhadap radikalisme dan intoleransi. Dua kata itu saling terkait. ini buktinya:</t>
  </si>
  <si>
    <t>Pemerintah Utamakan Prinsip Kehati-hatian Tangani Pemulangan WNI di Diamond Princess</t>
  </si>
  <si>
    <t>@kompascom Calon President RI 2024-2029 sebaiknya WNI berumur 40 tahun-50 tahun. Di bawah umur 40 tahun, jangan. Di atas umur 50 tahun, juga jangan.</t>
  </si>
  <si>
    <t>Serangan Udara AS Tewaskan 4 Teroris ISIS di Afghanistan</t>
  </si>
  <si>
    <t>Kisah WNI di Arab Saudi Sakit Parah hingga Dipulangkan ke Tanah Air</t>
  </si>
  <si>
    <t>Ketiaknya berjamur alias jamuren...makanya suka dibuka biar isis...biar nggak gatel RT @Bagasta8: @mistercebong @aniesbaswedan Itu memang kebiasaan buruk 👎😏</t>
  </si>
  <si>
    <t>Pemerintah Akan Evakuasi WNI ABK World Dream ke Pulau Sebaru</t>
  </si>
  <si>
    <t>Kisah WNI di Arab Saudi, sakit parah hingga dipulangkan ke Tanah Air</t>
  </si>
  <si>
    <t>Itu WNI di kapal pesiar udah dievakuasi? RT @NephiLaxmus: Selain untuk influencer, demi meredam dampak virus corona pemerintah juga menganggarkan dana Rp103 miliar untuk promosi dan kegiatan pariwisata sebesar Rp25 miliar.</t>
  </si>
  <si>
    <t>gaes td pagi aku liat perasaan masih 977 😭😭 sekarang kok udah segini aja 😭😭 stay safe semua kawan kawan WNI dan WN disana dan juga oppa oppa kita 🥺🙏</t>
  </si>
  <si>
    <t>RT @GiaPratamaMD: Arie, kira2 ada berapa WNI yg ada di Daegu? Stay strong ya rie.</t>
  </si>
  <si>
    <t>MPR apresiasi langkah pencabutan kewarganegaraan eks ISIS #tolakisis #tolakwnieksisis</t>
  </si>
  <si>
    <t>RT @KemenkesRI: 8. Terkait ABK kapal Diamond Princess, saat ini ada 9 WNI yg dinyatakan positif #COVID19, mereka sudah dirawat di RS di Jepang. Untuk yang negatif masih berada di kapal. Pada prinsipnya mereka akan dijemput ke Indonesia. #WaspadaCOVID19</t>
  </si>
  <si>
    <t>RT @kompascom: Korea Selatan juga menjadi negara dengan wabah virus corona terbanyak kedua di dunia setelah China.</t>
  </si>
  <si>
    <t>Menteri Kesehatan, Terawan Agus Putranto mengatakan, saat ini terdapat 9 Warga Negara Indonesia (WNI) yang dirawat di Jepang lantaran positif virus Corona. . Sebelumnya, terdapat 4 orang dari Kapal Diamond Princess…</t>
  </si>
  <si>
    <t>Kapan Kami Dijemput? Kepulangan WNI di Kapal Diamond Princess Belum Jelas #TauCepatTanpaBatas #BeritaTerkini #International #BeritaInternasional .</t>
  </si>
  <si>
    <t>“Isis tt! Isis tt” @Jormc_ @naju_27</t>
  </si>
  <si>
    <t>@null Kapan Kami Dijemput? Kepulangan WNI di Kapal Diamond Princess Belum Jelas Kru ka</t>
  </si>
  <si>
    <t>KRI Soeharso Berangkat Hari ini Jemput 188 WNI  VIA @mediaindonesia #SLAGIHOT</t>
  </si>
  <si>
    <t>Pemerintah Pastikan Anak WNI Eks ISIS Dipulangkan ke Indonesia</t>
  </si>
  <si>
    <t>@eviariskaf @gebuuk Aku di dalem rumah sering pake baju haram yg terakir enak isis</t>
  </si>
  <si>
    <t>Arie, kira2 ada berapa WNI yg ada di Daegu? Stay strong ya rie. RT @arieoz: oke guys kayaknya gue butuh bantuan doa dari lu semua buat keselamatan orang indo di korea khususnya yang di daegu, tempat gue menetap sekarang</t>
  </si>
  <si>
    <t>Melihat Keindahan Pulau Sebaru, Lokasi Karantina WNI dari Virus Corona</t>
  </si>
  <si>
    <t>@Mmahalik2 @WidaMahalik Isis maneh Koyo ga Ono liyane Kita ga butuh Pengkhianat</t>
  </si>
  <si>
    <t>@jackblues_8 Sugeng enjang, sugeng makaryo ya. Taktambahi 😊😁😊 ben isis.😅</t>
  </si>
  <si>
    <t>RT @Widyarenee: Ada berapa anak ISIS ? 50 ? 100 ? Siapa yg mau mengurus mrk ? Saya usul mulai dr Presiden, KSP sampai jajaran menteri buat jd ortu n urus minimal 1 anak. Jangan bilang anak2 itu akan dikembalikan ke masyarakat. Kl gitu namanya cuci tangan..</t>
  </si>
  <si>
    <t>@siska_tambunanP @SantiLim14 @jokowi Aya aya wae,,, ngurusin yg dalem negri masi berantakan , mau pulangin Virus Isis, Pak De kalo masi mau blusukan , terutama ke Kabupaten jawa Barat/Bekasi ,pasti banyak ketemu kasus yang serupa . Jangan Kepala Daerahnya ,mereka ngga pernah mantau ke daerah2. 72 M</t>
  </si>
  <si>
    <t>Nasib WNI di Kapal Diamond Princess Belum Jelas Kapan Bakal Dijemput</t>
  </si>
  <si>
    <t>"Saya terus mengimbau agar masyarakat tetap tenang, selalu mengikuti perkembangan melalui sumber-sumber terpercaya</t>
  </si>
  <si>
    <t>RT @Aryprasetyo85: WNI ABK Kapal World Dream akan Diobservasi di Pulau Sebaru Satu Pemerintah Indonesia bergerak mengevakuasi 188 WNI yang juga awak kapal pesiar World Dream dengan menggunakan KRI Dr Soeharso. Nantinya, para WNI akan menjalani observasi di Pulau Sebaru Satu, Kepulauan Seribu</t>
  </si>
  <si>
    <t>WNI yang dievakuasi dari kapal World Dream akan diobserbasi di Pulau Sebaru Kecil.</t>
  </si>
  <si>
    <t>Pastikan semua WNI atau WNA yang berdomisili di wilayah Indonesia dari Sabang sampai Merauke ikut berpartisipasi secara Mandiri dalam sensus penduduk 2020 isi data secara online oleh BPS. http://sensus. bps. go. Id</t>
  </si>
  <si>
    <t>@nemosyus @Mun4fikunn @mohmahfudmd Negara lebih baik ngurusin Wanita ini dan anak2 kombatan ISIS 😆 Anak2 Korban Bom urusan Korban saja</t>
  </si>
  <si>
    <t>RT @radar_malang: Nasib WNI di Kapal Diamond Princess Belum Jelas Kapan Bakal Dijemput</t>
  </si>
  <si>
    <t>@Greschinov Klo saya isi kepala sekelebat lebih cepat sebelum terucap, kadang malah ga sinkron. Isis kepala A terucap B kadang temen ngobrol aja bingung...gmn tuh.</t>
  </si>
  <si>
    <t>@Dennysiregar7 @jokowi Si mulut nyinyir @RamliRizal apa dia kira WNi nggak nilai.manusia macam apa dia</t>
  </si>
  <si>
    <t>RT @fad___77: surat terbuka untuk @jokowi dari WNI di kapal pesiar Diamond prince Mereka minta dijemput segera karena Negatif virus Corona #Humanity</t>
  </si>
  <si>
    <t>WNI ABK Kapal World Dream akan Diobservasi di Pulau Sebaru Satu Pemerintah Indonesia bergerak mengevakuasi 188 WNI yang juga awak kapal pesiar World Dream dengan menggunakan KRI Dr Soeharso. Nantinya, para WNI akan menjalani observasi di Pulau Sebaru Satu, Kepulauan Seribu</t>
  </si>
  <si>
    <t>@Toyezzz1 @ustadtengkuzul @nunutulamaNU @TanSue10 Kau sendiri kenapa, bang Toyezz? Kau gk mencalonkan jadi presiden 2024 ? apa gk punya nyali? Atau gk punya otak buat mikir negara selain nyinyir sampai modar?.. Atau kau bukan wni?</t>
  </si>
  <si>
    <t>RT @kechapmx: - RT appreciated - Saya mencari responden utk metode diary study dlm rangka menyusun thesis bertopik "Customer Journey for Muslim-friendly tourism information" Kriteria: - Muslim WNI - Berencana ke Jepang pada Maret - Mei 2020 Renumerasi IDR 200k utk tiap responden DM ya! ☺️</t>
  </si>
  <si>
    <t>@Novalku @Raj4Purwa @RamliRizal @Dennysiregar7 @eko_kuntadhi Ane nyindir cebong yg sok2an bela rakyat kecil gan. Kalo ada 72 M ya lebih baik buat petani atw buat ngobatin WNI awak kapal yg kena virus corona di kapal Diamond Princess 👍👍😎😎</t>
  </si>
  <si>
    <t>@sipenakecil @edimulyanto Sebegitu indahnya indonesia, masih ada orang mau jadi warga negara isis</t>
  </si>
  <si>
    <t>RT @dagadgetboi: @KPAI_official Tolol. Ngurusin anak ISIS. ini anak bangsa yg kena bom, belum sembuh, gak loe urusin? Anak-anak di Bekasi banyak tuh yg kena kekerasan oleh gurunya, gak diurusin?? Otaknya proyek melulu.</t>
  </si>
  <si>
    <t>Di negara2 lain brtnya ada antrian beli masker , beli makanan , beli sembako. Kl di Indon gerombolan influencer ke istana antre dana buzzeRp Dana APBN 72M bukan digunakan u/ penanggulangan Covid-19 &amp; menolong wni yg ada di kapal/LN Tp u/bayar buzer sialan mbuli netizen OtakPekok RT @BBCIndonesia: [Video] Ini adalah antrean panjang untuk membeli masker di Kota Daegu, Korea Selatan. Otoritas menyebut, hingga Selasa (25/02) ada 893 kasus positif dan delapan pasien meninggal dunia. Korsel adalah negara kedua dengan jumlah pasien virus corona baru terbanyak setelah China.</t>
  </si>
  <si>
    <t>KRI Soeharso Berangkat Hari ini Jemput 188 WNI</t>
  </si>
  <si>
    <t>@nunutulamaNU @ustadtengkuzul Kalimat ente "Jawa siap cekal" itu artinya ente alergi alias benci arab. Padahal Jokowi aja orang China totok bisa jadi presiden...! Yg penting WNI..</t>
  </si>
  <si>
    <t>RT @uburubursakti: Sudah betul langkah pakde @jokowi menganggarkan Rp 72 M untuk influencer mengatasi dampak virus Corona, sementara @KemenkesRI menghemat 1 M dgn tdk melakukan pemeriksaan swab ke WNI yg dikarantina di Natuna. Uangnya ada kok, tinggal kita mau hamburkan atau tidak. We ♥️ Pakde</t>
  </si>
  <si>
    <t>Begini Penampakan Pulau Sebaru Tempat Observasi WNI dari Corona</t>
  </si>
  <si>
    <t>RT @ustadtengkuzul: @nunutulamaNU @TanSue10 Mana mungkin orang Arab mau dan bisa? Syarat jadi Presiden WAJIB WNI... Hehe</t>
  </si>
  <si>
    <t>RT @PFTee: Tenang sebentar lagi dia akan dpt tambahan tenaga segar yatim piatu kombatan ISIS yg dijemput. Anak2? Remaja? Young adult? Entahlah... Pemerintah begitu perhatian sm mereka. Seakan masih kurang greget radikalisme di dalam negri😢 @BNPTRI @setkabgoid @WagimanDeep__</t>
  </si>
  <si>
    <t>RT @MischordiasD: @BBCIndonesia WNI malah susah payah ngurus passport hanya buat berobat ke luar negeri.</t>
  </si>
  <si>
    <t>Tenang sebentar lagi dia akan dpt tambahan tenaga segar yatim piatu kombatan ISIS yg dijemput. Anak2? Remaja? Young adult? Entahlah... Pemerintah begitu perhatian sm mereka. Seakan masih kurang greget radikalisme di dalam negri😢 @BNPTRI @setkabgoid @WagimanDeep__ RT @Detektif_Ngibul: Ingat baik2 nama &amp; mukanya, FARID AHMAD OKBAH. Bpk ini mendukung teroris &amp;amp; siap ngirim 1jt muslim Indonesia ke Suriah bbrp thn lalu. Berikut beberapa faktanya; @narkosun @TolakBigotRI @jr_kw19 @WagimanDeep__ @ChusnulCh__ @habibthink #NegeriGaduhUlahPenguasa #AzabGabenerBodong</t>
  </si>
  <si>
    <t>RT @HJulkifliMarbun: @msaid_didu Sbnrnya influencer wisata plng bgs itu rekan2 mahasiswa/i yg di luar negeri. Ksh mrk 30 M. @oisaa @PPIIndia br kmudian WNI 2 yg sdh tinggal di LN sprti @zarazettirazr dll. Baru blogger n vlogger LN yg srng buat video di DN @jokowi @Kiyai_MarufAmin @perekonomianri @Kemenparekraf</t>
  </si>
  <si>
    <t>@mazzini_gsp Jika kalau dibiarkan pun pasti mereka bakal seperti ISIS, menimbang penyerbuan ini sebuah pelanggaran HAM berat karena melibatkan sipil, perempuan, dan anak</t>
  </si>
  <si>
    <t>RT @nabilfikran10: Wehh aku tersangkut dalam Maybank 😭 Aku nak keluarkan duit, aku tolak pintu boleh masuk. Tetiba nak keluar pintu lock Siot betul, nak nangis la. Dah la penat kerja</t>
  </si>
  <si>
    <t>@lilobrr Dia tu senak bukannya senggugut</t>
  </si>
  <si>
    <t>@Ahaasoy @collegemenfess kartu imigrasi perizinan hidup&amp;kerja permanen di amerika, tapi ttp wni</t>
  </si>
  <si>
    <t>RT @tribunnews: Kemenkes Tetapkan Pulau Sebaru Kecil sebagai Ring 1 Observasi 188 WNI Kru Kapal World Dream  via @tribunnews</t>
  </si>
  <si>
    <t>Kemenkes Tetapkan Pulau Sebaru Kecil sebagai Ring 1 Observasi 188 WNI Kru Kapal World Dream  via @tribunnews</t>
  </si>
  <si>
    <t>gak ada bangga bangganya kamu jadi wni - silk pana</t>
  </si>
  <si>
    <t>mudah2an simpatisan ISIS di DPR yg gemuk dari pajak Rakyat ini segera ditangkap cc @jokowi #DakwaSimpatisanISIS #TangkapFadliZon RT @JOKER_JJ_JOKER: @fadlizon @aniesbaswedan Ngajak orang lain jujur dan cerdas, namun anda sendiri ngak pernah melakukannya. Selama ini anda jadi anggota DPR emang pernah balain rakyat, dasar kucrut...😠😡</t>
  </si>
  <si>
    <t>@_wni_ Susah nak jadi buruk ni 😝🤘🏼</t>
  </si>
  <si>
    <t>@nemosyus @cinggaro @mohmahfudmd dipulangkan - dimasyarakatkan - ditangkap komunitasnya - sharing ilmu perang warisan isis - bikin pasukan - bye NKRI - selamat datang Indonistan gerakan paralel: bertahap ibadah non mereka dibatasi oooo ... ternyata begitu maksudnya 🤔🤨🙄😵</t>
  </si>
  <si>
    <t>@_wni_ Tu la apa la sajat nak sgt jadi perempuan 💁🏻‍♀️</t>
  </si>
  <si>
    <t>@YanHarahap @panca66 Dari pada bagi bagi uang ke yg nggak jelas kerjanya...mending bagi bagi bantuan masker yg banyak kepada para WNI di HK dan Taiwan. Sampai saat ini masih banyak kekurangan masker dan saat order online dari penjual di indonesia banyak yg kena tipu oleh penjual.</t>
  </si>
  <si>
    <t>Korban Corona Di Korsel Hampir 1.000 Orang, KBRI Terus Pantau Kesehatan WNI</t>
  </si>
  <si>
    <t>RT @ChusnulCh__: Dari soal anak2 yg teriak bunuh Ahok dijalan, demo 212 yg berkali2 memanfaatkn anak2, Audisi PB Djarum, anak2 ISIS hingga pernyataan kontroversi perempuan bisa hamil hny gara2 satu kolam dgn laki2, sebenarnya yg pantas itu KPAI langsung dibubarkan bkn cuma #PecatSittiHikmawatty.</t>
  </si>
  <si>
    <t>RT @oxfara: What can we do? Increase our surveillance, perbaiki case detection nya.Jgn cuma ngandalin pake gejala klinis dooang. Because in COVID-19, it’s pretty misleading. Orang high risk carier virus sprt WNI dari Wuhan harusnya dites dgn Covid test kit, jgn puas klo asimtomatik</t>
  </si>
  <si>
    <t>Sudah betul langkah pakde @jokowi menganggarkan Rp 72 M untuk influencer mengatasi dampak virus Corona, sementara @KemenkesRI menghemat 1 M dgn tdk melakukan pemeriksaan swab ke WNI yg dikarantina di Natuna. Uangnya ada kok, tinggal kita mau hamburkan atau tidak. We ♥️ Pakde</t>
  </si>
  <si>
    <t>@ahmad_subana @Marshmellouww Suriah itu karena ISIS BENTUKAN USA ISRAEL dan Pemimpin nya SYIAH @ahmad_subana FOKUS taipan BLBI Harun Masiku</t>
  </si>
  <si>
    <t>Bilik groudfloor ni banyak sangat semut😭</t>
  </si>
  <si>
    <t>RT @Mr_limbo97: @bro_pidot Dah yg single ni nak kena buat apa?</t>
  </si>
  <si>
    <t>RT @azrenfarhan: mati gitu je kena hempap 🤣</t>
  </si>
  <si>
    <t>@mailtoasiddiqui @PuneetVuneet Tum bhi toh bsdk ISIS wale ho mc</t>
  </si>
  <si>
    <t>@haikal_hassan WNI keturunan Arab BAHLUL. Jangan bawa kebiasaan nenek moyang kamu ke negeri kami....DRUN.</t>
  </si>
  <si>
    <t>@LhyaLihe Gampang sekali ya memprovokasi warga 😌 napasi orang senengnya marah”? merusak dan merugikan 1 pihak... padahal semua bencana dr Tuhan.. bisa jd ini teguran atau emg lu yg pd buang sampah seenak jidat. mereka yg merusak, gue yg malu sebagai WNI yg baikk :) *🙈 aw malu bgt wkwk</t>
  </si>
  <si>
    <t>Pengakuan WNI Eks ISIS: Gue Gabung ISIS untuk Better Life, Tapi..  #LINETODAY</t>
  </si>
  <si>
    <t>Iklim investasi pun menjadi lesu, karena akan adanya ancaman laten dari mereka. Islamofobia pun menjadi semakin bertambah</t>
  </si>
  <si>
    <t>Cara berfikir WNI keturunan ARAB berbeda dg cara berfikir WNI asli....faktor GEN &amp; DNA kaleeee..ye...wkwkwk Iya khan....DRUN ? ini bukan Rasis ini fakta..woiii</t>
  </si>
  <si>
    <t>Persoalan ISIS memang sempat menyita perhatian dunia, bukan soal gagasan sistem kenegaraan yang ditawarkan, tetapi lebih kepada aksi-aksi yang mempertontonkan kebiadaban sekelompok manusia.</t>
  </si>
  <si>
    <t>Ke-188 WNI tersebut harus menjalani masa observasi untuk memastikan tak terjangkit virus corona.</t>
  </si>
  <si>
    <t>RT @neorackle: @saifuddinabd @chedetofficial Cara sokong tu bawa rebah. Bersekongkol dengan penyangak dan perasuah. ISIS pun cakap bawa ajaran Muhammad. Tapi caranya salah. Jangan berbelitlah tuan.</t>
  </si>
  <si>
    <t>Yasonna Sebut Sedang Data 1.276 Orang Indonesia yang Gabung ISIS</t>
  </si>
  <si>
    <t>@ISIS_Balik_NO @_adityaiskandar @karniilyas Dia klo gak dg cara bgt mana bisa gandeng yg mulus2 ke clubbing?</t>
  </si>
  <si>
    <t>RT @dubie_tina: Hi Yat Siapapun Ente gak Penting Buat sy krn Buat sy Anda Adalah Sampah NKRI ! Itu sdh Cukup Buat sy Mengerti Anda ! Oh Di Tambah Lebel Anda ISIS HTI TERORIS Di Jidat Anda ! Buat Kami Yg Waras Rakyat NKRI Anda Adalah Poison ☠️ di NEGARA Kami yg Sy Cintai ini</t>
  </si>
  <si>
    <t>@collegemenfess s1 reguler - 7,5jt s1 paralel - 15jt (wni) 40jt (wna) s1 inter - 75jt (wni) - 86jt (wna)</t>
  </si>
  <si>
    <t>Kisah Pilu #WNI di #ArabSaudi, Sakit Parah Hingga Dipulangkan ke Tanah Air  #Jeddah #KJRIJeddah #Indonesia #Arab #SaudiArabia #Saudi</t>
  </si>
  <si>
    <t>RT @IrmanputraSidin: PEMERINTAH TOLAK PEMULANGAN WNI EKS ISIS?? || BICARA KONSTITUSI - A. IRM...  via @YouTube</t>
  </si>
  <si>
    <t>RT @derymdh: Suspectnya bukan hanya mereka (WNI dari china) ternyata luar dari Natuna juga masih di waspadai dalam surveilans aktif.</t>
  </si>
  <si>
    <t>@Aureliuvota @yunartowijaya @aniesbaswedan Wkwkwk sudah jelas kan @yunartowijaya bukan indonesia @sudjiwotedjo @pandji @NOTASLIMBOY @Cittairlanie Mending gua pulangij isis dah</t>
  </si>
  <si>
    <t>RT @demokrasicoid: Jumlah Korban Corona Di Korsel Terus Melonjak, DPR Minta Pemerintah Evakuasi WNI Di Daegu</t>
  </si>
  <si>
    <t>RT @paramanand_3: @BDUTT isIamic terrorism will end soon. #IslamicJihad #Islamic_terrorism #ISIS musalmaan dare hue hai , in : pakistan Afghanistan Iraq Iran Syria Libya US Sweden Norway France UK Italy Germany Russia. Waah chusalmaan waah.</t>
  </si>
  <si>
    <t>@Cobeh09 pondok syiah kah itu . nama pondoknya mirip petinggi isis</t>
  </si>
  <si>
    <t>@Aisyah_F4rh4n4h Aisa...... Penasaran.... Enak banget jilmek</t>
  </si>
  <si>
    <t>@KomalasariLola Mantap lola...... Merangsang kontolku</t>
  </si>
  <si>
    <t>RT @Donal_golan: SAH "Anak-anak di bawah 10 tahun yang yatim piatu itu akan dipulangkan, itu kebijakannya sudah resmi," ujar Mahfud di kantor Kemenko Polhukam, Jakarta, Senin (24/2/2020). Satu kata buat kalian para pemimpin, "SONTOLOYO" 👎👎🤬🤬🤬</t>
  </si>
  <si>
    <t>Pemerintah menyatakan WNI di kapal Diamond Princess yang positif Covid-19 menjadi 9 orang. Hal ini dinilai akan lebih memperumit proses evakuasi para WNI di kapal tersebut. #SorotanMedia #WaktunyaLokadata</t>
  </si>
  <si>
    <t>Pemerintah sudah mulai mendata anak-anak dari mantan anggota ISIS</t>
  </si>
  <si>
    <t>@_wni_ Susahkehidupan macam ni😭😂</t>
  </si>
  <si>
    <t>RT @D4tuk_T4mburin: Ada yang yang nyangkut pautkan Muslim Uighur dengan ISIS!!! Dasar Bacin pki ISIS itu siapa??? Simak 👇 Hillary Clinton Mengakui ISIS Buatan Amerika</t>
  </si>
  <si>
    <t>@AFP “Rebel” = ISIS</t>
  </si>
  <si>
    <t>RT @11hr11min: Tokyo, Japan via: yako_flpr3</t>
  </si>
  <si>
    <t>@_EnzoOrtiz Isis sin cilis</t>
  </si>
  <si>
    <t>@busanonni Semoga wni yg ada dikorsel selalu dalam lindungan tuhan, semoga abang gue baik baik aja</t>
  </si>
  <si>
    <t>@hobisunmi CTM JADKKCKS ISIS QLA</t>
  </si>
  <si>
    <t>@arieoz Semoga semua WNI yg disana dilindungi terus sama Alloh Swt Aamiin</t>
  </si>
  <si>
    <t>@arieoz semoga allah melindungi wni yg disana ya bang, allahuma aamiin...</t>
  </si>
  <si>
    <t>RT @TirtoID: Fachrul Razi kerap menjadi sorotan sejak dilantik Presiden Joko Widodo sebagai Menteri Agama pada 23 Oktober lalu. Bukan karena prestasinya, melainkan sejumlah pernyataan dan kebijakan yang memicu kontroversi. Apakah layak diganti?</t>
  </si>
  <si>
    <t>@ndtv NDTV=Jihadi ISIS propaganda channel.</t>
  </si>
  <si>
    <t>@ndtv Jihadi ISIS bride.</t>
  </si>
  <si>
    <t>RT @APLpangeran1: Apakah masih jg akan mempertimbangkan memulangkan anak2 eks pro ISIS..? Silahkan simak Video ini...👇 Yg wanita janda ISIS berhasil pulang bawa anaknya, lalu nikah, bapak sambungnya, mau ditebas lehernya oleh anaknya 🙈 lihat anaknya beri kode tebas leher hasil cuci otak isis</t>
  </si>
  <si>
    <t>RT @republikaonline: Kapal pesiar World Dream ditolak berlabuh oleh banyak negara.</t>
  </si>
  <si>
    <t>9 WNI Positif Virus Corona di Jepang. 50 Orang Meninggal di Iran karena #covid_19</t>
  </si>
  <si>
    <t>Lindungi 37.043 WNI di Korsel dari Virus Korona, KBRI Lakukan Langkah Ini</t>
  </si>
  <si>
    <t>@PJkanojia Ha kyo nahi ...isis me tere jija ...jaise Mohammad ...tere jija ka.. boko haram wala tere fufa ...Taliban ... laskare taiyaba me tu apni sister di hai ma EsliA to fir RSS great hai</t>
  </si>
  <si>
    <t>Hi Yat Siapapun Ente gak Penting Buat sy krn Buat sy Anda Adalah Sampah NKRI ! Itu sdh Cukup Buat sy Mengerti Anda ! Oh Di Tambah Lebel Anda ISIS HTI TERORIS Di Jidat Anda ! Buat Kami Yg Waras Rakyat NKRI Anda Adalah Poison ☠️ di NEGARA Kami yg Sy Cintai ini RT @hnurwahid: Ansory Siregar, Waket Komisi IX dari FPKS, dlm Dialog Publik di DPP PKS, Tegaskan Akan Bersama Buruh, Tolak Omnibus Law Cipta Lapangan Kerja. Al Krn RUU Itu CiLaKa;Lebih Berpihak Unt Cipta Lapangan Kerja Bagi Tenaga Kerja Asing&amp;Investor, Tapi Merugikan Buruh/Pekerja Indonesia.</t>
  </si>
  <si>
    <t>@ArifKha84763186 @KPUSHPENDRA15 @ReallySwara @DelhiPolice Wow ISIS al Qaida jaise Mahmoud Wow Pagal admi Ye sab dunia me nam Islam me ata hai Ramayan me mahommad nahi ata Dunia me Osama tha, baghdadi tha, Woh ram ke bakt nahi the Dunia Tererisom ko islam se jodti hai</t>
  </si>
  <si>
    <t>@BBCIndonesia Tidak hanya wni yg ada di kapal pesiar saja,seluruh wni lain yg berada disana pun ingin pulang.</t>
  </si>
  <si>
    <t>@Isis_Orbelli tava mt chapado isis Kakakwkak</t>
  </si>
  <si>
    <t>SISIS ISIS SJJSJAJAJA RT @kweenjvlia: alba y yo en la clase de escultura de hoy real</t>
  </si>
  <si>
    <t>RT @liputan6dotcom: Virus Corona COVID-19 Merebak di Korea Selatan, Ini Imbauan KBRI Seoul untuk WNI</t>
  </si>
  <si>
    <t>RT @fadjroeL: Presiden @jokowi memutuskan mengevakuasi WNI dari kapal World Dream memakai KRI Dr. Soeharso &amp; transit observasi di Pulau Sebaru, Kepulauan Seribu. Mari kita berdoa agar #EvakuasiWNIWorldDream ini sukses dan saudara2 kita sehat wal afiat ~ #Jubir #BungJubir @JubirPresidenRI</t>
  </si>
  <si>
    <t>Tentunya pemerintah juga akan memikirkan potensi penolakan-penolakan dari masyarakat. Sama halnya seperti kami sebelumnya. Bukan pula sedikit yang menolak kehadiran kami. Saya berharap agar secepatnya datang angin segar untuk temen-temen wni di sana.</t>
  </si>
  <si>
    <t>@followerBSingh @iamFaizanPathan @svaradarajan @thewire_in @narendramodi Or ha ISIS ek islamic terrorist group h or jitne bhi terrorist groups h islamic he h RSS hinduo ko unse bchane k liye bna h but tum jeso ko kha smj aana h jinko to halala psnd h</t>
  </si>
  <si>
    <t>Aku pribadi pun berharap ada angin segar dari Pemerintah kita untuk teman-teman WNI yang di Jepang dan di negara lain, untuk segera dipulangkan ke Indonesia.</t>
  </si>
  <si>
    <t>RT @SeijiNobel: @AnakKolong___ @BNPTRI @DivHumas_Polri @mohmahfudmd Ingat, Khilafah adalah Bangsa Teroris ISIS. Lebih Bahaya daripada Perampok.</t>
  </si>
  <si>
    <t>KBRI meningkatkan upaya perlindungan WNI di Korsel yang berjumlah 37.043 orang.</t>
  </si>
  <si>
    <t>Himbauan bagi WNI di Swiss dan Liechtenstein #COVID-19 #NegaraMelindungi</t>
  </si>
  <si>
    <t>Suspectnya bukan hanya mereka (WNI dari china) ternyata luar dari Natuna juga masih di waspadai dalam surveilans aktif.</t>
  </si>
  <si>
    <t>RT @cagubnyinyir2: Jumlah warga negara Indonesia eks WNI ISIS yg berada di Suriah ternyata 1.276 orang. “Berkembang dari data yang awalnya 689 orang"  @angelmaximilan @didi_armayanto @hputrantoadi @jonahmunda @Singkir_Geni @muhamma87797215 @tandanVradio</t>
  </si>
  <si>
    <t>RT @yudhapati88: Pasukan FSA yg dibekingi Turki ini biasa berafiliasi dgn Daesh ISIS.. sebagai pintu masuk para Kombatan ISIS yg dr luar negeri. Pertempuran selanjutnya SDF YPG PKK melawan FSA Turki.. semakin seru dan nampak wajah asli Turki sodara2</t>
  </si>
  <si>
    <t>@LandofMilkyways Jgn mau kalah sama isis</t>
  </si>
  <si>
    <t>RT @isis_rb7: Big da Juju doida ❤🤪</t>
  </si>
  <si>
    <t>@darkangelaz Isis et adjib</t>
  </si>
  <si>
    <t>Big da Juju doida ❤🤪</t>
  </si>
  <si>
    <t>Kemenlu mengeluarkan imbauan bagi WNI terkait dengan perjalanan dan situasi di Korea Selatan karena virus corona.</t>
  </si>
  <si>
    <t>Soal Perkembangan Anak-anak Eks ISIS, Mahfud Buka Rahasia… Oleh Warta Ekonomi Online</t>
  </si>
  <si>
    <t>Mengikuti perkembangan kasus virus Corona di Kroasia, KBRI Zagreb kembali menghimbau WNI di Kroasia untuk meningkatkan kewaspadaan. #negaramelindungi</t>
  </si>
  <si>
    <t>seru bgt ngikutin berita eks wni isis, kalau aku pribadi sih bener2 menolak, jangan sampe bener2 jangan sampe mereka masuk lagi ke indonesia</t>
  </si>
  <si>
    <t>RT @GabrielSander8: que dia merda tmnc</t>
  </si>
  <si>
    <t>Baru tahu WNi di Korsel menyentuh angka 37rb 👏👏👏</t>
  </si>
  <si>
    <t>@AyoubKi90169787 @bu_noor89 Isis is 🐖 ☝👱‍♀️ kufr 🐖</t>
  </si>
  <si>
    <t>RT @MusRules: @MiraHanafi90 @Nerchandise4 @hanifgenzo @emanhakim12 Isis tu israel nak rosakkan islam di mata orang kafir. Kenapa negara islam je ada hal macam tu? Sebab campurtangan luar lah nak rosakkan imej, pastu orang islam pun percaya segala news.</t>
  </si>
  <si>
    <t>RT @KompasTV: Evakuasi Corona: 188 WNI dari Kapal World Dream akan Dievakuasi Pakai KRI dr Soeharso</t>
  </si>
  <si>
    <t>RT @okezonenews: Lindungi 37.043 WNI di Korsel dari Virus Korona, KBRI Lakukan Langkah Ini #TauCepatTanpaBatas #BeritaTerkini #International #BeritaInternasional .</t>
  </si>
  <si>
    <t>@prashantpsingh3 @_sabanaqvi Jihadi mullah and their ISIS jihadi Randi like saba.</t>
  </si>
  <si>
    <t>Lindungi 37.043 WNI di Korsel dari Virus Korona, KBRI Lakukan Langkah Ini #TauCepatTanpaBatas #BeritaTerkini #International #BeritaInternasional .</t>
  </si>
  <si>
    <t>@Speshuledd @RoKhanna "Rebel forces" AKA Al Qaeda and ISIS</t>
  </si>
  <si>
    <t>Sembilan warga negara Indonesia (WNI) kru kapal pesiar Diamond Princess positif terjangkit virus corona.</t>
  </si>
  <si>
    <t>@maxdevi36455172 @KapilMishra_IND Konsa protest 70 din tkk chalaa tha be?? Yahaa terrorists protest krne wale nahi.. SABKO pataa h sare terrorists Muxlims hi hote h... 26/11, 9/11, Charlie Hebdo, france, London bridge, syria, gaja, ISIS, al qiada, pathankot, pura world pareshan h inn shanti dooto se</t>
  </si>
  <si>
    <t>After Kashmir, Punjab on ISI's radar: Amarinder Singh on Kartarpur controversy</t>
  </si>
  <si>
    <t>Besok, KRI Soeharso Jemput WNI dari Kapal World Dream</t>
  </si>
  <si>
    <t>Indonesia Kirim Tim Trauma Healing untuk Tangani WNI yang Merasa 'Dibunuh Pelan-Pelan' di Diamond Princess</t>
  </si>
  <si>
    <t>@Ranask35 @KapilMishra_IND Rahi baat ye survey sabb news channels k propaganda h... sabko pataa h... 9/11 kisne kiya... Charlie Hebdo kisne kia,, 26/11,, ISIS kiska h, Al qaida, Taliban, Muslim brotherhood sabb k sabb aatanki muxlims hi h</t>
  </si>
  <si>
    <t>RT @kopipolitik1: 22) selain isu virus Corona, #Dinamika isu terbaru juga muncul isu pemulangan eks ISIS. Tak perlu cemas Guys....@AwangSancaka @DivHumas_Polri</t>
  </si>
  <si>
    <t>@khanfaruk1993 @ndtv @MamataOfficial Aa gaya aukat pe You shit ppl Back stabbing INDIA from 1947. Haram ka khate ho salo shrm karo. Yahi ummed thi Teri maiya ki kar lena, vaise b baap ne 3 talak diya honga You ppl got independence my foot... You ppl just got bomb blst ISIS ka hi honga tu toh Sudhar jao.</t>
  </si>
  <si>
    <t>@PratikMahetani @ndtv @MamataOfficial koi difference mil raha-- ISIS allah huakbar bolke atankwad karta hai. RSS bhagwa terrorist JAI SHRI RAAM bolke. see, no difference.</t>
  </si>
  <si>
    <t>Menkes Kirim Tim Trauma Healing ke WNI yang Berada di Kapal Pesiar Diamond Princess</t>
  </si>
  <si>
    <t>@risetkomedi @BalinSyam @nisatyas @newsplatter woy tentara tuh harus under a state. kalo combatant ISIS itu non state actor dan ga keitung tentara. secara de jure itu ex combatant isis masi ngehold indonesian citizenship</t>
  </si>
  <si>
    <t>@iffah_hannah @wennyherusaleh @faisalhabsjah @Dreamy091_ @yettiaka Mbak WNI kan harusnya udah tahu dong bahwa Islam di Indonesia yg diakui pemerintah hanya aliran Ahlussunah (Sunni), dan refrensi hukum dari Ahlussunah itukan 4 Mazhab, dan pendapat dari ke 4 imam Mazhab itu sama, bahwa hijab itu wajib hukumnya bagi muslimah. 😀</t>
  </si>
  <si>
    <t>Anggota isis yg lari neh survive dengan jualan botol bekas... RT @Helenjunet: 1 bottle = 10 cents</t>
  </si>
  <si>
    <t>1 miliar untuk swab tenggorokan WNI yang diisolasi di Natuna ... mahal! 72 miliar untuk bajer melawan dampak Covid-19 di pariwisata ... kecil!</t>
  </si>
  <si>
    <t>3. Ikut merasakan apa yang orang pelosok rasakan mungkin ada beberapa wni yg tinggal didaerah pelosok without hp dan teknologi lainnya CMIIW. abis dr main ludo, adik2 w ngajak w buat keliling liat keadaan sekitar. so yup. gue turutin.</t>
  </si>
  <si>
    <t>Liat postingan wni yang di Jepang minta dipulangin, jadi kepikiran temen gue banyak yang lagi magang di Jepang. Semoga kalian baik-baik aja 🙏 Apalagi David 😭 manaan dia mah di laut</t>
  </si>
  <si>
    <t>RT @kopipolitik1: 29) Tak perlu khawatir terkait info adanya 600 eks ISIS yang kembali ke tanah air. Pemerintah pastikan semua dalam kendali dan sesuai prosedur hokum serta konstitusi @DivHumas_Polri @Sudastika @AwangSancaka #Dinamika</t>
  </si>
  <si>
    <t>@azhara934 @SenTi_GuLwisH Kn sa zulm phle yah btao mollna aabdul aziz woi hai jis ny phle be lal masjid mai terrioest KO barhwa deta raha isis jasi terrioest jamat KO spot krta raha par ap logo ki nazar mai wo hero hai</t>
  </si>
  <si>
    <t>Baca thread wni di daegu asli merinding pen nangis tapi geram juga gara2 “super spreader”</t>
  </si>
  <si>
    <t>@NeerajDhaked @Satyam04380385 @Siddhar84075489 @ippatel Hain...lain me Isis aur Taliban Ko support nahi karta lakin tu RSS , VHP aur Bajrang dal Ko karta hai....tu hai asli terrorist</t>
  </si>
  <si>
    <t>RT @PEDOMAN_id: √ Pemerintah akan Evakuasi WNI ABK World Dream ke Pulau Sebaru cc @fadjroeL @JubirPresidenRI @PedomanNEWS</t>
  </si>
  <si>
    <t>Cerita WNI yang dievakuasi dari Wuhan dan diobservasi di Natuna. #CoronaVirusOutbreak #EvakuasiWNIWuhan #BungJubir @KemenkesRI @Kemlu_RI @Puspen_TNI @KBRI_Beijing @DivHumas_Polri</t>
  </si>
  <si>
    <t>Pemerintah Tutup Identifikasi Anak WNI Eks ISIS ke Publik</t>
  </si>
  <si>
    <t>Virus Corona COVID-19 Merebak di Korea Selatan, Ini Imbauan KBRI Seoul untuk WNI</t>
  </si>
  <si>
    <t>Rezim Arab Saudi semakin mesra dengan Israel. Ibu bukan sesuatu yang luar biasa, rezim Arab Saudi dan Israel adalah sama biadabnya, penjahat perang dan pendukung teroris ISIS. @KingSalman</t>
  </si>
  <si>
    <t>Menkes Pastikan 9 WNI dari Kapal Diamond Princess Dirawat dengan Baik</t>
  </si>
  <si>
    <t>@onceiza a isis skdndkxmskxsn</t>
  </si>
  <si>
    <t>@servantmoney @banyudana_w @nisatyas @adamnitstrue @newsplatter ini kan baru baru aja menko polkuham bilang mereka memblokir semua paspor WNI former member ISIS, apa dengan memblokir paspor mereka berarti pemerintah menghilangkan kewarganegaraan ex combatant isis ini???</t>
  </si>
  <si>
    <t>RT @KSPgoid: Masyarakat juga dinilai merespon baik pemulangan WNI ke daerahnya masing-masing karena tidak ada penolakan. “Mereka juga kami pantau melalui Dinas Kesehatan di masing- masing daerah peserta,” ujar Menkes. #infocorona</t>
  </si>
  <si>
    <t>RT @KSPgoid: Menlu juga menegaskan KBRI terus memantau tiga WNI yang tidak dapat dievakuasi ke Indonesia. #infocorona</t>
  </si>
  <si>
    <t>RT @PankajN93588724: @salimdotcomrade Alquaida , bolo haram , al shahab , taliban , Hamas , pfi , jais e muhammad , jihadi , isis r 200 groups r hai enki soch wale logo se. acha to hum rss ke sath rhna pasand krenge R hi baat sabse peaceful muslim jinki kuran mai hi jihad likha hai to bhai 😂😂😂 #IslamicTerrorism</t>
  </si>
  <si>
    <t>9 WNI Positif Virus Corona di Jepang</t>
  </si>
  <si>
    <t>Dampak corona, tenaga kerja proyek kereta cepat asal China diganti WNI. #coronavirus. #keretacepat.</t>
  </si>
  <si>
    <t>ISIS Eks WNI yaa #tolakISISeksWNI</t>
  </si>
  <si>
    <t>Indonesia tolak ISIS, jelas dong ya #tolakISISeksWNI</t>
  </si>
  <si>
    <t>RT @voaindonesia: Virus Korona Merebak di Korsel, WNI Dihimbau Tenang dan Tetap Waspada</t>
  </si>
  <si>
    <t>@Hustleuthman Me zesa kce iyayenka sun rasu kuma dn wni abu dbn🤔😂😂</t>
  </si>
  <si>
    <t>RT @rinichan02: Pemerintah memulai mendata anak-anak dari eks WNI yang gabung ISIS untuk dipulangkan ke tanah air. Anak-anak yang dipulangkan harus memenuhi syarat ketat. Ampuuuun, jadi jugaaa ??🙈🙈🙈</t>
  </si>
  <si>
    <t>Wadidawww...diam2 jalan trus ternyata. Mau rakyat protes kayak gimana juga, ga ngaruh sama sekali. CC @mohmahfudmd @jokowi</t>
  </si>
  <si>
    <t>@RanaAyyub @zaidchishty1 marne wale 10 log me kitne hindu hain , ar kitne musalman , saala tu ja kar jihad kar jihadan ,isis join kr le officially, whan sex slave ki kmi hai, jakar unki sewa kar , bharat k tukde na kr ,</t>
  </si>
  <si>
    <t>@FUSUZY94 ...kang dadang siapanya kang isis?</t>
  </si>
  <si>
    <t>@UjangBustomi Ah eluh..takut smaa OPM aje yg jelas jelas udh ngebunuhi WNI</t>
  </si>
  <si>
    <t>@ustadtengkuzul @nunutulamaNU @TanSue10 Kenapa. Kau gk mencalonkan jadi presiden 2024 ?apa gk punya nyali? Atau gk punya otak buat mikir negara selain nyinyir sampai modar?.. Atau kau bukan wni?</t>
  </si>
  <si>
    <t>Sudah jelaskah? Indonesia tolak ISIS #TolakISISeksWNI</t>
  </si>
  <si>
    <t>MPR Apresiasi Langkah Pencabutan Kewarganegaraan WNI Eks ISIS</t>
  </si>
  <si>
    <t>Yasonna: Pemerintah Masih Kaji Nasib Anak-anak Eks WNI di Suriah</t>
  </si>
  <si>
    <t>Warga non WNI saja saat menyadari akan kesemestaannya sangat menghargai #BudayaNusantara, bagaimana dengan kita? #NusantaraBukanKhilafah #BangkitBudayaNusantara Rahayu 🙏 Selamat istirahat sedulur budaya dimanapun kalian berada... 🙏</t>
  </si>
  <si>
    <t>Lama-lama OPM sm ISIS bisa jd sponsor klub Liga 1 kalau ga ada larangannya 🤭 RT @CNNIndonesia: PSSI: Tak Ada Larangan Situs Judi Jadi Sponsor Klub Liga 1</t>
  </si>
  <si>
    <t>@oijap Aturan gini par "pun10, ga jawab isis"</t>
  </si>
  <si>
    <t>@cnnphilippines Dapat kasali CPP/NPA....MILF...MNLF....ABU SAYAF....MAUTE ISIS.....DDS....RAM/SFP/YOU....Tge more ..the merrier !</t>
  </si>
  <si>
    <t>RT @kulit_kcang: Corona virus benar2 membuat Korea mencekam,tempat ini biasanya ramai penuh kesibukan kini nampak lengang😢mohon do’anya semoga kami WNI yang tinggal di Korea selatan terhindar dari wabah ini🙏🙏</t>
  </si>
  <si>
    <t>@MarcoArrona Quiinis sin isis? 😑😆</t>
  </si>
  <si>
    <t>Pemerintah Rundingkan Skema Pemulangan WNI dari Jepang</t>
  </si>
  <si>
    <t>Virus Korona Merebak di Korsel, WNI Dihimbau Tenang dan Tetap Waspada</t>
  </si>
  <si>
    <t>RT @antaranews: KBRI Seoul terus menyebarkan berbagai informasi penting mengenai upaya meningkatkan kesadaran masyarakat dalam pencegahan virus COVID-19.</t>
  </si>
  <si>
    <t>Oh ini banyak Juga wni yg positif RT @KemenkesRI: 8. Terkait ABK kapal Diamond Princess, saat ini ada 9 WNI yg dinyatakan positif #COVID19, mereka sudah dirawat di RS di Jepang. Untuk yang negatif masih berada di kapal. Pada prinsipnya mereka akan dijemput ke Indonesia. #WaspadaCOVID19</t>
  </si>
  <si>
    <t>Baca thread ttg corona di korea kok jadi deg2an sendiri ya, apalagi pasti banyak WNI yg tinggal disana. Stay safe everyone, selalu pake masker kalo mau kemana-mana 🙏</t>
  </si>
  <si>
    <t>@mfariizsyafari Setujuuuu. Padahal sy wni, punya ktp juga</t>
  </si>
  <si>
    <t>966 warga cina di bali perpanjang visa waspada karena takut wabah corona, WNI terduga Isis di hilangkan kewarganegaraan sepihak, waspada eksodus RRC.. #NKRIdijajahChina</t>
  </si>
  <si>
    <t>@Arulbaex kalau mau fitnah NU cari cara yang lebih keren dikit ya Jangan kau bodohi umat..!! Berapa ratus didikan Baghdadi yg jadi ISIS..?  RT @Arulbaex: Mungkin ini yang di namakan dang dutan hasanah didikan dan ajaran Gus ngaNU, Maka jgn heran pula jika umat semakin rusak dan kemurnian syariat islam semakin di menipis. Hati2 ibu dan bapak menaruh putra putrinya di pondok, jgn sampai salah pilih pondok.</t>
  </si>
  <si>
    <t>MPR Apresiasi Langkah Pencabutan Kewarganegaraan WNI Eks ISIS  via @Indopolitika</t>
  </si>
  <si>
    <t>RT @ariryantama: @txtdaricewe main yang jauh itu yang kayak gimana, main ke rumah pimpinan tentara israel gitu? atau main ke rumah pencetus ide pertama isis? oh mungkin main ke kuburan adolf hitler?</t>
  </si>
  <si>
    <t>Negatif Corona, WNI Crew Kapal Diamond Princes Minta Dievakuasi: WNI Crew kapal pesiar Diamond Princes yang saat ini berada di Yokohama, Jepang, meminta kepada pemerintah Indonesia untuk segara mengevakuasi</t>
  </si>
  <si>
    <t>WNI ABK Diamond Princess Harap-harap Cemas, Pemerintah Bilang Sabar</t>
  </si>
  <si>
    <t>Sesumbar Eks Presiden ISIS Indonesia: Siap Tampung WNI Eks ISIS yang Pulang</t>
  </si>
  <si>
    <t>Pemerintah Akan Pulangkan Anak Yatim-Piatu WNI Eks ISIS di Bawah 10 Tahun</t>
  </si>
  <si>
    <t>RT @tempodotco: Pemerintah Tutup Identifikasi Anak WNI Eks ISIS ke Publik</t>
  </si>
  <si>
    <t>Menkum Yasonna Ungkap Ada 1.276 WNI Eks ISIS, 297 Punya Paspor RI</t>
  </si>
  <si>
    <t>gila2 hebat bener komennya china is terrorist wkokaoekawoekok isis noh teroris china mah negara RT @Deffjohn1: @dikychandra_ #China_is_terrorist #China_is_terrorist #China_is_terrorist #China_is_terrorist</t>
  </si>
  <si>
    <t>@mkusumawijaya @feryfarhati Jakarta Banjir woy.....</t>
  </si>
  <si>
    <t>@SaputraBerman @nemosyus @mohmahfudmd Eks WNI pengikut ISIS. Gak ada urusan sama NKRI.</t>
  </si>
  <si>
    <t>Ground Reality Of ISIS..!! | Maulana Syed Arif Hussain Kazmi | 4K  via @YouTube</t>
  </si>
  <si>
    <t>KRI Soeharso Bakal Jemput WNI di Kapal World Dream</t>
  </si>
  <si>
    <t>Istana: Pemerintah Beri Perlakuan Sama Terhadap WNI yang Berada di Lingkaran Wabah Corona</t>
  </si>
  <si>
    <t>WNI yg ditinggal di wuhan masih ingin pulang, kasian mental mereka mulai down, doain mereka ya netizen, semoga mereka selalu dilindungi Tuhan dan tetep bisa selamat dan ketemu keluarganya Semoga pemerintah nonton ini, bantu share dan like</t>
  </si>
  <si>
    <t>Melihat Pulau Sebaru Kecil, Tempat Observasi WNI dari Virus Corona</t>
  </si>
  <si>
    <t>Sudah Terdata WNI Eks ISIS 1.267 dan Hanya 297 Orang Yang Memiliki Paspor RI #TampilanNewsNasional #TampilanNasionalHarian #InfoBeritaNasional #InfoNasioanlTerkini #NewsNasionalTerpopuler #TampilanNewsBeritaHarian2020</t>
  </si>
  <si>
    <t>Pemulangan Anak eks ISIS, Bakesbangpol Sulsel Tunggu Arahan Pusat -</t>
  </si>
  <si>
    <t>@Ryanpierro1 Suganteh geus ka Suriah jadi relawan ISIS hahaha</t>
  </si>
  <si>
    <t>@KadrunHunter99 @karniilyas Perlu alat cukur ? Atau telat nyukur krn rebutam mr BENGEK?</t>
  </si>
  <si>
    <t>@OpusOfAli @Zainab_216 Ye hinduism kya soch k likha tune ?? Tumhare muslims k btao kasab kon tha ? Laden? Bagdadi? Abdul rahman yasin Isis kya hai Tumhara wo hafiz saed kya hai Pure world m ye haal kiya hai tumne Ab return gift milne lg gya hai tumhe Kaisa lg ra hai ???</t>
  </si>
  <si>
    <t>RT @revofebri: Disana kadrun minimalis, ijtima ulama sefihak kaga ada, sara dan ayat kaga dijual, demo berjilid ga ada/tdk separah Indonesia, pengunduran diri bukan krn perselisihan ormas, politik dan sara. Apa yg mesti dikhawatirkan? Khawatirkan aja kalau ISIS Eks WNI pulang dan ngamuk disini</t>
  </si>
  <si>
    <t>78 WNI Terjebak di Kapal Diamond Princess, DPR Minta Pemerintah Segera Evakuasi</t>
  </si>
  <si>
    <t>Dengerin WNI yg masih terjebak di Wuhan. Paham sih. Dia sulit, pemerintah juga sulit. Gloomy.</t>
  </si>
  <si>
    <t>@BirgaldoS @KPAI_official @KPAI_official wajarlah kena..blunder mulu Yg viral2 diurus, isis diurus, korban bom teroris dicuekin, lembaga unfaedah. Klo diaspora ditanyain, ya blg saja...kdg ada lembaga negara yg bocor alus.... Biar ga malu2 amat😄</t>
  </si>
  <si>
    <t>KBRI Seoul Lakukan Berbagai Upaya Lindungi WNI dari Covid-19</t>
  </si>
  <si>
    <t>RT @Theking3231Juan: Ngerinya ibukota negara seperti ini sampai rumah sakit pun tak luput dr banjir.wahai @aniesbaswedan stop la anda berkata2 tapi bekerja la gunakan nuranimu.pantaskah kau di sebut seorang pemimpin.2024 masih jauh boss.</t>
  </si>
  <si>
    <t>RT @yudhapati88: ISIS enlarges the spread of Indonesian IS magazine “Daulah Islam Baqiyah Dan Tidak Terkalahkan" issue 6 on social media platforms @BSSN_RI @Kepolisian_RI @Kemhan_RI @BIN_Official @StateDept @CIA @MFS001 @rnovoa @MossadNews</t>
  </si>
  <si>
    <t>@ChusnulCh__ @Ayah_Nahl Ini orang yg memperalat bini buat nyari pembebasan ya? Yang sampe mewek2....karena lakinya didalem sel Budukan ?</t>
  </si>
  <si>
    <t>@IdEmbassy_Seoul Apakah aman untuk WNI masuk ke Korea sekitar minggu depan? 😭</t>
  </si>
  <si>
    <t>RT @ChusnulCh__: Terimakasih infonya mas. Alhamdulillah selama ini sy mendapatkan kabar soal ibukota bkn dr tersangka penyebar hoax seperti orang ini makanya ga pernah ketipu. Kita memang harus berhati-hati dgn kaum fasik. Terimakasih sdh mengingatkan mas.🙏😂</t>
  </si>
  <si>
    <t>RT @ruhutsitompul: Akibat mau jadi Gubernur dengan cara SARA Ujaran Kebencian Fitnah dan Teror jadilah Gabenar sekarang stresssssss berat banjir berkepanjangan dan sebagian besar pendukungnya menjadi Korban Banjir pula, mau hujan &amp; banjir berakhir segera batalkan Penyelenggaraan Formula E MERDEKA.</t>
  </si>
  <si>
    <t>RT @rzkyayi: Ini warga Jakarta atau lebih khususnya warga Kepulauan Seribu kok adem ayem ya daerahnya bakal dipakai observasi WNI dari Kapal Pesair World Dream terkait coronavirus?</t>
  </si>
  <si>
    <t>Pemulangan Anak Eks ISIS, Mahfud: Percayakan Saja ke Negara Setiap perkembangan hasil identifikasi anak eks ISIS perlu dirahasiakan #ValidNih</t>
  </si>
  <si>
    <t>RT @samhudibae: Di Malang anak dibully sampai patah tangan KPAI anteng terus ada lagi di Purworejo anak perempuan dianiaya banyak laki2 karena disabilitas anda anteng alias diem2 bae. Eh Giliran anak ISIS suaranya kenceng belain. Dimulai dari diri sendiri aja Pak..angkat anak ini jadi anakmu.</t>
  </si>
  <si>
    <t>@Mentimoen  katanya NEGATIF</t>
  </si>
  <si>
    <t>RT @nvdzreen: awal lagi nak sedih, tunggu la malam sikit</t>
  </si>
  <si>
    <t>RT @ApriliaLin: Hotman Paris minta para LBH layangkan gugatan class action atas banjir JKT. Melalui jalur hukum gugatan class action, masyarakat bs menuntut ganti rugi akibat banjir. Dorong juga @dprddkijakarta gunakan hak interpelasi guna mazulkan anies. #AniesTakBecus</t>
  </si>
  <si>
    <t>@TajinderBagga Syria_Iraq Iraq_Kurds Iran_Iraq Takiban_Takiban ISIS_Syria_Turkey_AfPak Pakistan_Pakistan Baloch_Pakjabi Mohajir_Pakjabi Pashtun_Pakjabi China_Uyghurs Saudia_Yemen.. Al_qaeda JaishulAlAdl LeT JeM ETIM They are Enormous.. List is Long..</t>
  </si>
  <si>
    <t>@teshar_parker @logic_editor @FerdinandHaean2 @karniilyas Krn om melihat Syiah dr dari Khomeini. Khomeini itu banyak membubuh rakyatnya sendiri. Kadal gurun masalah dunia adalah FPI/Hizbut Tahrir/Muslim brotherhood/Khomeini/pemberontah Houti/Hamas/Hizbullah/ISIS/Alqaeda.</t>
  </si>
  <si>
    <t>Menkes Terawan Yakin 9 WNI ABK Diamond Princess Dapat Perawatan Baik di Jepang</t>
  </si>
  <si>
    <t>Paspor WNI Eks ISIS sudah diblokir</t>
  </si>
  <si>
    <t>@jokowi Kenapa observasi 188 WNI ABK World Dream itu harus dikepulauan seribu pak?</t>
  </si>
  <si>
    <t>Banyak Penolakan, Dalih Pemerintah Prioritaskan Evakuasi WNI di World Dream  #DariSuara</t>
  </si>
  <si>
    <t>Tokoh Natuna Ini Inginkan 78 WNI Kru Diamond Princess Diobservasi di KRI dr Soeharso-990  #samudranesia</t>
  </si>
  <si>
    <t>Ikuti penelusuran tim #BerkasKompas sesaat lagi! Malam ini Berkas Kompas akan menelusuri lokasi pengungsian dan resettlement WNI eks Timor Timur. Live streaming:</t>
  </si>
  <si>
    <t>RT @e100ss: Pulau Sebaru, Tempat Observasi Corona untuk WNI Eks Kru Kapal World Dream</t>
  </si>
  <si>
    <t>RT @liputan6dotcom: WNI Kru Kapal Diamond Princess Merasa Dibunuh Perlahan, Menkes: Itu Presepsi</t>
  </si>
  <si>
    <t>RT @sorotnews: Mahfud MD Minta Media Hentikan Bertanya Soal Pemulangan Anak-anak Eks ISIS</t>
  </si>
  <si>
    <t>WNI Kru Kapal Diamond Princess Merasa Dibunuh Perlahan, Menkes: Itu Presepsi</t>
  </si>
  <si>
    <t>Pemerintah Masih Cari Strategi Pemulangan WNI di Kapal Diamond Princess</t>
  </si>
  <si>
    <t>RT @khairunnisa9131: Introvert memerlukan tenaga seluruh alam untuk dieorg start first conversation,first move &amp; bila feedback tak pulang the same energy, maka murunglah mereka &amp;amp; memang kene la ignore pastu. Berbeza dgn extrovert,kiteorg kadang x sedar pon kiteorg kene palau 😂😂</t>
  </si>
  <si>
    <t>Andaikan paru2 dunia di jaga terus Atau mungkin di ads kan Mungkin Indonesia akan income bnyak bngts Seluruh negara jua butuh bernafas lho 😅 Untung aja Indonesia sangat baik. Bersyukur bangets deh jadi WNI tuh #SelasaMutualan</t>
  </si>
  <si>
    <t>RT @GUSDURians: BAGAIMANA TOKOH INDONESIA MEMBICARAKAN WACANA KEPULANGAN MANTAN ISIS? (A Thread) Tim Riset DNA GUSDURian (Tridian) memetakan pernyataan tokoh Indonesia terkait wacana kepulangan warga negara Indonesia yang pernah terlibat dalam perang bersama ISIS.</t>
  </si>
  <si>
    <t>Isis eks WNI tak akan bisa masuk Indonesia lagi</t>
  </si>
  <si>
    <t>Stay save kawan-kawan WNI di Korea, beneran khawatir yaampun. Belum lagi banjir, duh byk bgt PR Indonesia huhu</t>
  </si>
  <si>
    <t>@zainabsikander India has Hindu-isis</t>
  </si>
  <si>
    <t>@bacotbgtsumpa Ayo ikut isis</t>
  </si>
  <si>
    <t>Pemerintah sterilkan lokasi observasi WNI di Pulau Sebaru</t>
  </si>
  <si>
    <t>Korsel jd yg ke2 darurat corona,stelah cina yg no1. Smoga WNI,Sodara seiman ku,sodara sefandom ku,&amp; smua org" baik,&amp;amp; jg para idola ku yg ada d korsel selalu d lindungi &amp;amp; d jauhkan dr virus jahanam ini aaammmiiiinnnn ya robal alamin🙏🙏🙏💜 stay safe smua ny. #waspadaviruscorona</t>
  </si>
  <si>
    <t>Pemerintah siapkan evakuasi WNI Diamond Princess dengan pesawat Garuda</t>
  </si>
  <si>
    <t>Mahfud MD Minta Media Hentikan Bertanya Soal Pemulangan Anak-anak Eks ISIS</t>
  </si>
  <si>
    <t>RT @rmol_id: Mahfud MD Minta Media Hentikan Bertanya Soal Pemulangan Anak-anak Eks ISIS #Pers #MahfudMD #RepublikMerdeka</t>
  </si>
  <si>
    <t>@hidayatIDK @pekerja_malam2 @JohanesJamie @na_dirs Tergantung, jika kita sedang berada di posisi seperti perang badar, saya siap mati demi agama. Tapi, jika berada di posisi ISIS, mohon maaf, saya tidak ikut-ikutan</t>
  </si>
  <si>
    <t>@Cangkemaaannn @nksthi Jajaja aku ketawa sampe bom teruris isis meledak ndood fufufu</t>
  </si>
  <si>
    <t>@truelouuv iya isis</t>
  </si>
  <si>
    <t>RT @BaleBengong: Kartu Kewaspadaan Kesehatan yg harus diisi tiap orang yg baru datang dari luar negeri, termasuk WNI.</t>
  </si>
  <si>
    <t>RT @YEngran: @kpai Mana...?! MANA @KPAI_official ?!!!! Mana suaramu @kpai?! Anak-anak Teroris pengikut iblis ISIS di Suriah sana diperhatikan, tapi yang ada didepan mata pura-pura Buta! Gaji yang kalian terima bisa jadi sebagian adalah dari WP orang tua mereka, bukan dari pengikut iblis ISIS.</t>
  </si>
  <si>
    <t>@jyotiyadaav Esa kalyug ayega jab 'Allah ho Akbar' ka nara dekar; Terrorists banenge Talibani hongey ISIS hongey Kashmiri pandit Maa behno ki Izzat lutenge Sikhon ke galey main tyre jalayenge #DelhiRiots karenge</t>
  </si>
  <si>
    <t>Menteri Kesehatan Konfirmasi 9 WNI Positif Virus Corona di Kapal Diamond Princess</t>
  </si>
  <si>
    <t>@spikys666ds ajak gabung isis</t>
  </si>
  <si>
    <t>Mahfud MD Minta Media Hentikan Bertanya Soal Pemulangan Anak-anak Eks ISIS #Pers #MahfudMD #RepublikMerdeka</t>
  </si>
  <si>
    <t>@BhaiDesibhai10 @IncKinju @UNHumanRights @amnesty @CNN @FoxNews @nytimes @WSJ @washingtonpost @UNGeneva HINDU ISIS GANG</t>
  </si>
  <si>
    <t>@dearestjjh aku gapapa sih gamenang, tapi bener-bener ini doa ku semoga virus corona ini stop menyebar, berkurang, kalo bisa musnah dan ketemu obatnya, aku gabisa bantu apa-apa ka selain doa, semoga WNI yg ada disana sehat terus yaa, jaga kesehatan ka, cuci tangan dan pake masker trs ya ka!</t>
  </si>
  <si>
    <t>@arieoz Stay safe masss pake maskernya yaaa. Wni yang di daeguuu staysafe ya semuaaa sehat sehattt</t>
  </si>
  <si>
    <t>@iqbal_iftikar Baiat ke ISIS...</t>
  </si>
  <si>
    <t>@VIVAcoid *KAFIR KAFIR NAH ITU DIA CIRI KHAS TEMAN KARIB: ISIS! KEMARIN DI LONDON ISIS MENGAKUI TELAH MEMBOM KATEDRAL</t>
  </si>
  <si>
    <t>Masa Karantina WNI Kapal Pesiar Bakal Lebih Panjang, Kenapa?</t>
  </si>
  <si>
    <t>@Donal_golan TAKE BEEEEERRRRRR !!!!! Bnr kata pak @prabowo bhw th 2030 indonesia tdk ada lg... Krn anak2 ISIS sdh besar &amp; meneruskan "perjuangan" orgtuanya mendirikan Indonesia Khilafah !!! Yg msh cinta NKRI segeralah persiapkan anak2 &amp;amp; klrga kalian berlatih utk melawan mrka kelak !!!</t>
  </si>
  <si>
    <t>Setiap perkembangan hasil identifikasi anak-anak eks ISIS perlu dirahasiakan.</t>
  </si>
  <si>
    <t>@Khairaniss @Donal_golan @Takviri TAKE BEEEEERRRRRR !!!!! Bnr kata pak @prabowo bhw th 2030 indonesia tdk ada lg... Krn anak2 ISIS sdh besar &amp; meneruskan "perjuangan" orgtuanya mendirikan Indonesia Khilafah !!! Yg msh cinta NKRI segeralah persiapkan anak2 &amp;amp; klrga kalian berlatih utk melawan mrka kelak !!!</t>
  </si>
  <si>
    <t>Para WNI ini akan dijemput menggunakan KRI Soeharso pada 26 Febuari 2020. Diharapkan, pada Jumat (28/2/2020), ke-188 WNI sampai di lokasi observasi.</t>
  </si>
  <si>
    <t>Menkes Terawan: WNI Positif Covid-19 di Diamond Princess Tidak Sakit Berat  #DariSuara</t>
  </si>
  <si>
    <t>WNI di Diamond Princess Merasa Dibunuh Pelan-Pelan, Menkes Kirim Tim 'Trauma Healing' #TauCepatTanpaBatas #BeritaTerkini #Berita #News #BeritaNasional .</t>
  </si>
  <si>
    <t>Klo anak bekas didikan isis dipulangkan , siap2 mempersiapkan otak dan fisik anak2 ku 2x lipat lebih kuat u masa depan. Siap u melawan radikal !</t>
  </si>
  <si>
    <t>@adefs97 Lha dia yg WNI aja ngetuit Palestina. Kurang babi apa lagi @ronin_minang ini 🐽🐽🐽🐷</t>
  </si>
  <si>
    <t>Benang merahnya dapet, anak2 ISIS dipulangin... kemudian Rizieq mesum dibebaskan. Tugasnya mendidik anak2 ISIS menebar teror. Visi Misi Presiden ternyata koplak juga ya 🤭 RT @KompasTV: Menkumham Yasonna Laoly Bebaskan Rizieq Shihab Pulang ke Indonesia</t>
  </si>
  <si>
    <t>RT @ridlwandjogja: Akhirnya pemerintah punya data.</t>
  </si>
  <si>
    <t>@lyhamidah @silihungg Prihatin sekali mba, sedang ISIS Ex WNI bisa issuenya gencar banget buat dipulangin ke Indo yg akhirnya bikin polemik di Indo...</t>
  </si>
  <si>
    <t>@detikcom Ayo WNI kita ketawa Sj 😅😅😂😂😂😆🤣🤣🤣Sabang Merauke 🤣😆😂😅</t>
  </si>
  <si>
    <t>RT @kompascom: "Kami berpesan, agar sedikit bersabar karena pemerintah akan menjemput segera. Keputusan politik sudah diambil oleh Presiden Jokowi," kata Fadjroel.</t>
  </si>
  <si>
    <t>Anak Eks WNI Gabung ISIS Mulai Didata untuk Dipulangkan</t>
  </si>
  <si>
    <t>Anak2 Indonesia yg disini aja masih banyak yg kekurangan, apa perlunya ngurus anak ISIS? RT @detikcom: "Jadi percayakan saja ke negara, dirawat di mana dan sebagainya negara sudah menyiapkan," kata Mahfud Md.</t>
  </si>
  <si>
    <t>Mahfud MD meminta untuk mempercayakan sepenuhnya kepada pemerintah terkait penanganan anak-anak eks WNI yang terindikasi ISIS. #ValidNih</t>
  </si>
  <si>
    <t>Pemerintah Evakuasi Ratusan WNI dari Kapal World Dream di Hong Kong</t>
  </si>
  <si>
    <t>Telusuri terus, apa maksudnya. Lihat pula aktivitas politiknya, jangan sampai kecolongan, seperti kasus dosen PT di Bogor. Siapa tahu pengikut atau simpatisan ISIS, HTI yang tengah merencanakan sesuatu?! RT @antaranews: Pemilik zat radioaktif ilegal di Batan Indah pegawai BATAN</t>
  </si>
  <si>
    <t>Rp72 M padahal kayaknya bisa tuh lab test para WNI yang dijemput dari Wuhan kemarin. Nyisa banyak mungkin malahan.</t>
  </si>
  <si>
    <t>Menkes Terawan Ungkap Alasan Kepulauan Seribu Jadi Tempat Observasi WNI dari Virus Corona</t>
  </si>
  <si>
    <t>@detikcom Sesaat setelah mereka angkat senjata membela ISIS maka mereka bukan lagi WNI. Ga usah pake alasan 'anak yatim piatu'. Anak yati piatu di Indonesia saat ini aja banyak yang ga diurusin pemerintah.</t>
  </si>
  <si>
    <t>@rmld13 @rarajeonnn Katanya wni deagu di usir pulang?</t>
  </si>
  <si>
    <t>Jangan sampe wni eks isis dibolehkan pulang. Kalo ini terjadi, bukan tidak mungkin para pelanggar hukum makin banyak dapat keringanan. #eksISIS</t>
  </si>
  <si>
    <t>Dahulukan Evakuasi WNI di Kapal World Dream, Menkes: Mereka Ditolak di Mana-Mana #TauCepatTanpaBatas #BeritaTerkini #Berita #News #BeritaNasional .</t>
  </si>
  <si>
    <t>RT @KompasTV: Menkes Terawan Ungkap Alasan 188 WNI ABK World Dream Diobservasi di Kepulauan Seribu</t>
  </si>
  <si>
    <t>suka ngerasa bersyukur tinggal di negara ini, walaupun ada aja dramanya. at least ga sampe ikutan perang dan ngerasain ketakutan di perkosa dan di bunuh, ga ngerasain di tinggal ayah buat ikut perang dan ngeliat ayah sendiri di bunuh depan mata sama tentara israel atau isis😭</t>
  </si>
  <si>
    <t>Korsel jd yg ke2 darurat corona,stelah cina yg no1. Smoga WNI,Sodara seiman ku,sodara sefandom ku,&amp; smua org" baik,&amp;amp; jg para idola ku yg ada d korsel selalu d lindungi &amp;amp; d jauhkan dr virus jahanam ini aaammmiiiinnnn ya robal alamin🙏🙏🙏💜 stay safe smua ny. #WaspadaVirusCorona</t>
  </si>
  <si>
    <t>@navaidhamid @RanaAyyub Ya saffron terrorist following Gita like Ajmal Kasab , Osama Laden, ISIS leader Baghdadi</t>
  </si>
  <si>
    <t>Kasau Beri Perhargaan Kepada Personel Yang Terlibat Operasi Pemulangan WNI Wuhan</t>
  </si>
  <si>
    <t>RT @Bangzul__88: Menurut tentara Suriah, banyak sekali sel tidur di pengungsian eks ISIS yang mereka awasi. Mereka setia pada organisasinya, karena sudah mengalami proses cuci otak luar biasa. #DukungJokowiBerantasISIS Apakah masih yakin pemerintah Indonesia ingin pulangkan mereka? Cc @jokowi</t>
  </si>
  <si>
    <t>Menunggu Kepastian Penjemputan WNI yang Jadi ABK di Diamond Princess</t>
  </si>
  <si>
    <t>@Laibafatima76 @asadowaisi @PMOIndia Tum ISIS agent ho kya? Petrol pump ko Mosque bol rhi ho. Obesi se mili hui ho..🤣🤣🤣🤣</t>
  </si>
  <si>
    <t>Bupati Klaim Warga Pulau Seribu Siap Terima WNI Observasi Virus Corona</t>
  </si>
  <si>
    <t>"Kami berpesan, agar sedikit bersabar karena pemerintah akan menjemput segera. Keputusan politik sudah diambil oleh Presiden Jokowi," kata Fadjroel.</t>
  </si>
  <si>
    <t>@BodobodoMusafir @Indonesia878 @ChanelUdix @saja_Mardeka @Takviri @aniesbaswedan @DKIJakarta Ooo lu mau ngomong ama gue? Boleh. Jadi lebih baik mana buatumu, drun? Koruptor atau ISIS?</t>
  </si>
  <si>
    <t>RT @kompascom: Menkes memastikan, 9 WNI yang bekerja sebagai anak buah kapal (ABK) Diamond Princess dirawat dengan baik oleh otoritas Jepang.</t>
  </si>
  <si>
    <t>Sebanyak 800 orang lebih warga China minta tinggal di Bali karena takut Corona....demi kemanusiaan silahkan...tapi apakah orang China ada perikemanusiaan sama orang pribumi ?...entar udah jadi WNI tambah belagu,orang pribumi jadi babu...harusnya di apain ya China begini...</t>
  </si>
  <si>
    <t>RT @HusinShihab: Ini kejam sekali @SHikmawatty, bkn perbuatan seorang manusia apalagi seorg muslimah yg beriman. Saya duga karna ada sentimen thd non-muslim, spt ajaran khilafah, ISIS, wahabi yg menghalalkan darah non-muslim.</t>
  </si>
  <si>
    <t>@ShaikheMaaz @AJEnglish @AJENews @ReutersIndia @washingtonpost @RanaAyyub @ArundhatiRoy @NrcProtest @MaharashtraMe @InqalabOInqalab Ha aur Azmal vi tha RSS ka , Laden to PM ka mausi ka beta hain aur kya bhai. ISIS ka leader Baghdadi to Amit Shah ka grandson hain .</t>
  </si>
  <si>
    <t>@AnjouDauphin @Indonesia878 @ChanelUdix @saja_Mardeka @Takviri @aniesbaswedan @DKIJakarta Anda streees iya!!! Orang komen lain anda komen lain dasar otak nggak nyampe😛 Orang komen perampok uang rakyat eeee dianya nyerobot ke isis ises wooooiiii lu lihat ini kelakuannya bangsa loooh yg katanya paling pancasilais tapi kaya kerasukan iblis #NegeriGaduhUlahPenguasa</t>
  </si>
  <si>
    <t>Semalem rapat dadakan RT, RW, Kasek dan Bupati. Buat apa? 188 WNI yg dari luar negeri kena Corona dan mau di taro di PULAU SERIBU. Dan warga banyak yg belum tau.</t>
  </si>
  <si>
    <t>RT @rmol_id: Korban Corona Di Korsel Hampir 1.000 Orang, KBRI Terus Pantau Kesehatan WNI #corona #daegu #incheon #RepublikMerdeka</t>
  </si>
  <si>
    <t>@bibirkukelu iya makin banyak. sedih liatnya. terutama wni yg di sana</t>
  </si>
  <si>
    <t>@pamejuarez8 Tqm ok</t>
  </si>
  <si>
    <t>@rebello77 @shiaLebaou @black__valley1 @DivHumas_Polri PKI ? Wakakakakak.... udah nyungsep di thn 1965... sudah terlarang... sama dengan HTI sudah terlarang di NKRI... Memang yg jadi pengantin bom bukan ISIS ? Dan yg ditangkep2in oleh densus 88 memang pro PKI ? ISIS tuuuh...</t>
  </si>
  <si>
    <t>@BirgaldoS kalau masalah kadrun ex isis sit"" semangat soalnya se aliran dia</t>
  </si>
  <si>
    <t>Sentilan pertama (langit biru) sdr cukup diterima org byk termasuk saya. Sbg WNI dgn hampir 400rb follower, anda sangat mampu buat perubahan nyata, di saat sulit banjir. Namun anda memilih lbh senang memperkeruh suasana sm keruhnya dgn air banjir 😓🙏 RT @yunartowijaya: Selamat sore pak @aniesbaswedan dari saya, isteri dan kaosnya...</t>
  </si>
  <si>
    <t>RT @msaid_didu: Diskusi kebangsaan dg WNI di Islamic Muslim Center Quensland Brisbane - Australia</t>
  </si>
  <si>
    <t>RT @My_LoveNebe: PDIP-NU Bagi-Bagi Masker di Taiwan Sebanyak 2.000 masker dibagi serentak secara gratis di Taipei Main Station (TMS) yang menjadi lokasi pusat berkumpulnya WNI di Taiwan, Minggu (23/2). ⁦@PDI_Perjuangan⁩ ⁦@PPLPBINU⁩ ⁦@Pasukan_5emut⁩</t>
  </si>
  <si>
    <t>Akhirnya pemerintah punya data.</t>
  </si>
  <si>
    <t>@hahacuanet gamau join isis ma ak kak? seru loh kak</t>
  </si>
  <si>
    <t>RT @geloraco: Jumlah Korban Corona Di Korsel Terus Melonjak, DPR Minta Pemerintah Evakuasi WNI Di Daegu</t>
  </si>
  <si>
    <t>Semoga sodara2 kita yg tinggal di Daegu tetap dlm keadaan sehat &amp; Aman. Semoga pemerintah RI khususnya Kemenlu RI responsif krn WNI di Daegu sangat banyak. RT @kumparan: Kota Daegu di Korea Selatan mendadak jadi Kota Hantu. Mal, restoran, dan jalan utama di Kota Daegu kosong melompong. Padahal, Daegu merupakan kota terbesar keempat di Negeri Ginseng. Kota ini disinyalir merupakan asal virus corona sampai di Korea. #TopNews</t>
  </si>
  <si>
    <t>Sebanyak 188 warga negara Indonesia (WNI) yang menjadi kru Kapal World Dream akan dipulangkan dan diobservasi.</t>
  </si>
  <si>
    <t>@_wni_ Hellooo sorry sikit !! Awak tak tahu ke marshitah dgn dia Ben cinta ? 🤣</t>
  </si>
  <si>
    <t>@RudiTobinq 26 juta Salary sebulan cm spt itu bro, nyinyir ketika anak2 berprestasi dr Pb Djarum Kudus tp bela mati2an anak2 combatan eks isis.</t>
  </si>
  <si>
    <t>RT @NajibRazak: SAH! Guan Eng turun, saham naik. Biasanya, pelabur2 akan risau dan tak berani melabur jika sebuah negara tiba-tiba tidak ada kerajaan kekal. Tetapi hari ini, Indeks Bursa Malaysia melonjak naik pula selepas menteri-menteri PH disahkan hilang jawatan lewat petang semalam.</t>
  </si>
  <si>
    <t>@OldSchool2A Horus?? ISIS</t>
  </si>
  <si>
    <t>@demokrasicoid Yatim piatu ISIS yang kalian urus sedangkan RAKYAT MISKIN tak dapat RASKIN. Kalian katakan urusan pemda tapi mereka TAK PEDULI karena tak ada uang masuk mengurus orang miskin. SEBELUM BERANGKAT KE SURIAH, MEREKA BERAGAMA ISLAM, tapi mereka TERORIS. Apakah kalian ada hati ?</t>
  </si>
  <si>
    <t>RT @BorobudurNews_: Anak Yatim Piatu ISIS Akan Dipulangkan</t>
  </si>
  <si>
    <t>Pemerintah Memutuskan Memulangkan Anak Yatim Piatu ISIS Eks WNI #AnakWNIeksISIS</t>
  </si>
  <si>
    <t>Giliran para WNI yg di Wuhan, cepet bener jemputnya, wajarlah kalau mereka ini merasa dibunuh pelan2 RT RT @kompascom: "Ya itu kan persepsi. Makanya saya ngomong, tim trauma healing lah yang turun," kata Terawan di Istana Kepresidenan, Jakarta, Selasa (25/2/2020).</t>
  </si>
  <si>
    <t>Kebijakan pemerintah sudah resmi untuk memulangkan Anak Yatim Piatu WNI Eks ISIS #AnakWNIeksISIS</t>
  </si>
  <si>
    <t>RT @fadjroeL: Presiden @jokowi memutuskan untuk mengevakuasi WNI dari kapal World Dream memakai KRI Dr. Soeharso &amp; melakukan transit observasi di Pulau Sebaru, Kepulauan Seribu. Mari kita berdoa agar #EvakuasiWNIWorldDream ini sukses dan saudara2 kita sehat wal afiat ~ #Jubir #BungJubir</t>
  </si>
  <si>
    <t>Pemerintah telah menjadikan rencana pemulangan anak yatim piatu eks WNI berusia di bawah 10 tahun sebagai kebijakan resmi. namun Pemerintah akan mengkajinya lebih dalam lagi. #AnakWNIeksISIS</t>
  </si>
  <si>
    <t>data-data. baik WNI eks ISIS maupun anak-anaknya. belum boleh diumumkan #AnakWNIeksISIS</t>
  </si>
  <si>
    <t>@salmansenpai @hannanihasnin Jangan saya pulak serang lepasni🤟🏻😀</t>
  </si>
  <si>
    <t>WNI ABK Diamond Princess Terkait Corona: Kami Ibarat Dibunuh Pelan-Pelan, Menkes: Itu Persepsi “Kepada Pak Presiden Jokowi yang terhormat, kami yang berada di Diamond Princess di Yokohama sudah sangat takut, ibaratnya dibunuh pelan-pelan.”</t>
  </si>
  <si>
    <t>RT @aireenasofia4: Ni lipas punya pasal :( aku baru nak buat skincare routine 😔🤚🏻</t>
  </si>
  <si>
    <t>Jumlah WNI Positif Virus Corona Bertambah  Stay safe ya teman mootsku 😫💜</t>
  </si>
  <si>
    <t>RT @KemenkesRI: 10. Direncanakan, mereka akan dijemput dengan menggunakan Pesawat Garuda, karena maskapai tersebut telah memiliki rute penerbangan kesana. Nantinya para ABK WNI dari kendaraan akan langsung masuk ke pesawat untuk dipulangkan ke Indonesia. #WaspadaCOVID19</t>
  </si>
  <si>
    <t>RT @TVRINasional: Program INDONESIA BICARA, 24 Feb. 2020 thema "Pemulangan WNI Dari Kapal Pesiar"  #IndonesiaBicaraTVRI #MediaPemersatuBangsa</t>
  </si>
  <si>
    <t>RT @kompascom: "Ya itu kan persepsi. Makanya saya ngomong, tim trauma healing lah yang turun," kata Terawan di Istana Kepresidenan, Jakarta, Selasa (25/2/2020).</t>
  </si>
  <si>
    <t>Terharu pulak ada org care</t>
  </si>
  <si>
    <t>Pemerintah sudah tetapkan akan memulangkan Anak Yatim Piatu WNI Eks ISIS #AnakWNIeksISIS</t>
  </si>
  <si>
    <t>Pemerintah Umumkan Skema Penjemputan WNI di Kapal World Dream</t>
  </si>
  <si>
    <t>Program INDONESIA BICARA, 24 Feb. 2020 thema "Pemulangan WNI Dari Kapal Pesiar"  #IndonesiaBicaraTVRI #MediaPemersatuBangsa</t>
  </si>
  <si>
    <t>RT @republikaonline: KRI Soeharso besok berangkat menjemput WNI ABK Dream World.</t>
  </si>
  <si>
    <t>Besok Jemput WNI di Kapal World Dream, Natuna Batal Jadi Lokasi Karantina</t>
  </si>
  <si>
    <t>PKS Desak Pemerintah Jemput WNI di Kapal Diamond dengan Pesawat</t>
  </si>
  <si>
    <t>KRI Soeharso besok berangkat menjemput WNI ABK Dream World.</t>
  </si>
  <si>
    <t>@BankMuamalat Buka tabungan utk wni di luar negeri?</t>
  </si>
  <si>
    <t>Menurut Kementerian Kesehatan, pemulangan WNI dari kapal Diamond Princess bukan sebuah hal yang mudah.</t>
  </si>
  <si>
    <t>Evakuasi WNI di Diamond Princess Butuh Koordinasi Mendalam</t>
  </si>
  <si>
    <t>Corona virus benar2 membuat Korea mencekam,tempat ini biasanya ramai penuh kesibukan kini nampak lengang😢mohon do’anya semoga kami WNI yang tinggal di Korea selatan terhindar dari wabah ini🙏🙏</t>
  </si>
  <si>
    <t>RT @muktarlim: Mahfud MD Pastikan Anak Yatim Piatu Eks ISIS akan Dipulangkan ke Indonesia Test pasar umur dibawah 10 thn dulu ,ntar baru yg balita :bayi dibawah 50 thn</t>
  </si>
  <si>
    <t>Politikus PKS ini juga memaklumi jika para WNI itu kini merasa tertekan. Sebab, kru kapal dari negara lainnya sudah kembali ke negara masing-masing.</t>
  </si>
  <si>
    <t>Resmi Dipulangkan, Pemerintah Mulai Identifikasi Anak-anak WNI Eks ISIS</t>
  </si>
  <si>
    <t>@duerre__ @txtdrpemerintah @manusiapojokann Menteri yg onoh atur jodoh, ada juga menteri yg mengizinkan pulang ISIS 😁</t>
  </si>
  <si>
    <t>Ini isis kelas b bisa bisanya udah libur, tinggal nunggu uas</t>
  </si>
  <si>
    <t>@SammyWakatobi Eh goblok lo gak bisa bedain FPI, ISIS, TERORIS. PANTES OTAK LU GOBLOK. KETURUNAN ANJING LO.</t>
  </si>
  <si>
    <t>#Nasional #MenkumHAM #WNIEKSISIS 1.276 WNI Eks ISIS Huni Kamp Penampungan di Suriah dan Turki</t>
  </si>
  <si>
    <t>New video by ET Indonesia: 188 WNI Kru Kapal Pesiar World Dream Bakal Diobservasi di Pulau Kosong Tak Berpenghuni</t>
  </si>
  <si>
    <t>@KlMSEJE0NG Anyway, WNI juga udah ada yg kena lho jeong:”)</t>
  </si>
  <si>
    <t>@Taswan36398197 @SyairRevolusi Jegerrr ISIS wis modyar, nde'e masih ngurusi teroris 😂</t>
  </si>
  <si>
    <t>@AyeJugaRahman @yunartowijaya @aniesbaswedan Dia kan WNI...lo kali yg harusnya pulang ke Rahmatullah.</t>
  </si>
  <si>
    <t>Istana sebut KRI Suharso paling siap evakuasi WNI di kapal Diamond Princess  #VirusCorona</t>
  </si>
  <si>
    <t>Ini narasumber nya ngegas banget anti isis, sukaaa</t>
  </si>
  <si>
    <t>Pemerintah masih berkoordinasi dengan pihak-pihak terkait, terutama BNPT, terkait teknis pemulangan anak-anak WNI eks ISIS ini. Termasuk bagaimana pembinaannya nanti setibanya di Indonesia. #AnakWNIeksISIS | @PolhukamRI @mohmahfudmd</t>
  </si>
  <si>
    <t>RT @Aryprasetyo85: @tahupetismanis @GibranRakabumi @jokowi @KemenkesRI @Menlu_RI Semua lgi di persiapkan Pemerintah Akan Evakuasi WNI ABK World Dream ke Pulau Sebaru Menurut Menko PMK, Pulau Sebaru dipilih karena pulau tersebut tidak berpenghuni dan telah memiliki fasilitas yang dibutuhkan untuk observasi.</t>
  </si>
  <si>
    <t>RT @Aryprasetyo85: @tahupetismanis @GibranRakabumi @jokowi @KemenkesRI @Menlu_RI Pemerintah Utamakan Prinsip Kehati-hatian Tangani Pemulangan WNI di Diamond Princess Saat ini, pemerintah Indonesia masih berkomunikasi dengan otoritas pemerintah Jepang terkait proses pemulangan WNI tersebut.</t>
  </si>
  <si>
    <t>RT @narkosun: Dia juga yg mengapresiasi jika pemerintah memulangkan anak2 eks WNI 1SIS. KPAI: Negara Harus Siapkan Hak Asuh Anak WNI Terduga Teroris jika Pulang.</t>
  </si>
  <si>
    <t>Pemerintah Sterilkan Lokasi Oberservasi 188 WNI di Pulau Sebaru</t>
  </si>
  <si>
    <t>sudah saatnya ini buat WNI yang ada disana harus balik ke Indonesia RT @OH_mes2: 84 new cases of Coronavirus in Korea There are now 977 total cases in Korea 10 Coronavirus related deaths have been recorded</t>
  </si>
  <si>
    <t>@Ssaniya25 dimag se bukha utar de no to islamic state likh pehle wrna quran k hisab se tedhi pasli wali kheti krne wali aurat bn k reh jayegi jaisa isis syria wale krte h or ye dekho RT @MODIfiedVikas: #DelhiRiots Look at the mahem in Hindu majority areas. And look at how English speaking media is blaming it on Hindus.</t>
  </si>
  <si>
    <t>@MimrotReena @TajinderBagga @KapilMishra_IND to ISIS ki raat ki rani banogi ya pfi ke jihadiyo ki ??</t>
  </si>
  <si>
    <t>Gatau napa, para WNI dn idol, padahal mereka bukan siapa-siapa ku, sodara, keluarga, atau pacar juga bukan:( waktu baca berita Corona kalau uda nyebar luas di Korea, bikin panik, cemas, dan takut mereka kenapa-napa, dn harap-harap cemas untuk keselamatan dn kesehatan mereka :(</t>
  </si>
  <si>
    <t>@chickyjae15 Pertukaran WNI</t>
  </si>
  <si>
    <t>Meski WNI eks anggota ISIS tersebut memiliki paspor, namun pemerintah belum bisa memulangkan ke tanah air.</t>
  </si>
  <si>
    <t>@jr_kw19 Cita" mau nyalon Presiden RI, Republik Isis</t>
  </si>
  <si>
    <t>Akibat Corona, Pekerja China Proyek Kereta Cepat Jakarta-Bandung Diganti WNI</t>
  </si>
  <si>
    <t>TNI akan mengirim 191 personel kesehatan ke Pulau Sebaru. #Coronavirius</t>
  </si>
  <si>
    <t>Makin khawatit, karena penyebaran virus corona secpt ini di korea. Incheon sudah mulai ditutup. Dan semoga pemerintah cepat menamggulangi masalah tersebut, stay safe utk WNI yang ada disana, stay safe untuk para oppa dan unnie deul semuanya. Jaga kesehatan, jangan sampe sakit.</t>
  </si>
  <si>
    <t>Besok, 188 WNI di Kapal Pesiar World Dream Dievakuasi KRI Soeharso.. Selengkapnya di #InfoPro2 pukul 19.00 WIT.</t>
  </si>
  <si>
    <t>@HmfaqihA Yg tdk stia dgn NKRI silakan bakar e.KTP nya Biar kyk eks isis di sono... Klo kaki masih menginjak bumi NKRI jgn petantang petenteng yg like Masih mencari nafkah di bumi NKRI gak?? Sok gk mau stia sama NKRI Bakar e.ktp</t>
  </si>
  <si>
    <t>@msaid_didu Lu, bawa orang wni dari jakarta ke brisbane? utk diskusi mahal di ongkos</t>
  </si>
  <si>
    <t>9 WNI di Jepang Positif Terinfeksi Virus Corona</t>
  </si>
  <si>
    <t>@CNNIndonesia Pecat...!!! Sebagai WNI aku malu punya pejabat spt ini. Ini berita sudah nyebar ke media berita global. Sungguh Memalukan bagi negara ini. Ini bukan contoh manusia unggul.. Cc Pak @jokowi</t>
  </si>
  <si>
    <t>[Video] WNI awak kapal pesiar Diamond Princess mengirimkan video permohonan pada Presiden Joko Widodo untuk segera dipulangkan. "Jemput kami sekarang, pak, pakai pesawat," kata mereka. Menurutmu, apa yang seharusnya dilakukan pemerintah?</t>
  </si>
  <si>
    <t>RT @watanclub: Kisah WNI yang Terjebak di Tengah Sebaran Virus Corona</t>
  </si>
  <si>
    <t>@arieoz Ehhh di daegu? Semoga semua WNI disana bisa selamat dn ttp terlindungi oleh Tuhan dari virus corona :((( ttp semangat dn selalh jaga kesehatan yaaa kak ._.</t>
  </si>
  <si>
    <t>RT @okezonenews: Menko Polhukam Mahfud MD mengatakan, Pemerintah akan memulangkan anak WNI Eks ISIS ke Indonesia. Info lengkap: . Okezoners setuju enggak nih? #Okezone #TauCepatTanpaBatas</t>
  </si>
  <si>
    <t>RT @akhifairuz_: Biadap! Menggelegak jiwa tengok video ni!Seorang ibu dipercayai ke sekolah dan memaksa ustazah merangkak, merakam video &amp; menularkan dgn niat memalukan. Ya, ustazah ni ada silap mendenda pelajar dgn cara merangkak keliling kelas, tp tindakan ibu berkenaan lebih biadap!</t>
  </si>
  <si>
    <t>Liat tayangan hitam putih ttng pilot sama crew pesawat buat evakuasi wni di wuhan bikin tulisan "lets go home" buat wni yg di evakuasi ajaa saya nangiss, padahal gak gitu fokus sama videonyaa. Huft mellow2 nya balik lagee</t>
  </si>
  <si>
    <t>Pemerintah Filipina sudah lebih dulu mengevakuasi warganya hari Selasa</t>
  </si>
  <si>
    <t>Seperti yang gw bahas dengan @genilenggo &amp; @rsyksh. Cuma lahan gede di Jakarta udah gak ada. Tinggal jalan raya doang. Kalo mau ngerjain itu di jalan raya ya impossible. Contoh Jl. Raya Bekasi, area Gading. Ngerjain proyek ala WNI. RT @Gustika: The other day @margianta and I were wondering why Jakarta has not adopted an underground sewage system like New York. We could only wonder since neither of us are city planners.</t>
  </si>
  <si>
    <t>RT @utarioep: Atas dasar inilah, sambung dr Fathiyah, mereka yang dikarantina di Natuna tidak dites, karena seluruh WNI tidak menunjukkan gejala yang masuk ke kategori pasien dalam pengawasan. Padahal ada info pasien Corona Virus meninggal tanpa gejala</t>
  </si>
  <si>
    <t>Jadi Tempat Observasi WNI, Pulau Sebaru Mulai Disterilkan</t>
  </si>
  <si>
    <t>188 WNI di kapal World Dream akan dievakuasi menggunakan kapal KRI dr Soeharso. Kapal apakah itu?</t>
  </si>
  <si>
    <t>Pemerintah terus lancarkan diplomasi ke Jepang evakuasi 74 WNI yang masih berada di kapal pesiar Diamond Princess, Perairan Yokohama, Jepang. #viruscorona #coronavirus</t>
  </si>
  <si>
    <t>RT @GOAL_ID: Striker PSM Makassar, Ezra Walian, berharap masalahnya bisa segera dituntaskan. Seperti diketahui, Ezra yang sudah menjadi Warga Negara Indonesia (WNI) masih terganjal untuk bermain di kompetisi internasional dengan status WNI.</t>
  </si>
  <si>
    <t>Kendati demikian, pihaknya mempercayai bahwa pemerintah sedang mengkaji juga terkait evakuasi WNI yang ada di Korea Selatan.</t>
  </si>
  <si>
    <t>KJRI San Fransisco : Kecelakaan Lalin, 1 WNI Tewas, 1 Luka</t>
  </si>
  <si>
    <t>@salimdotcomrade Alquaida , bolo haram , al shahab , taliban , Hamas , pfi , jais e muhammad , jihadi , isis r 200 groups r hai enki soch wale logo se. acha to hum rss ke sath rhna pasand krenge R hi baat sabse peaceful muslim jinki kuran mai hi jihad likha hai to bhai 😂😂😂 #IslamicTerrorism</t>
  </si>
  <si>
    <t>RT @yohandewa: @yunartowijaya @aniesbaswedan Rumah lo gaya rumah kebanyakan Cina WNI ya, pake benteng tinggi, ngaku NKRI , saya Pancasila , gmn mau berbaur, pager aja pake benteng, parno urusan luar!!</t>
  </si>
  <si>
    <t>@arieoz Tak bantuin doa dari sini. Semoga wni yang ada disana sehat sehat ya. Kalopun udan terinfeksi semoga lekas sembuh</t>
  </si>
  <si>
    <t>Please stay safe every one, khususnya wni yang menetap di sana RT @OH_mes2: 84 new cases of Coronavirus in Korea There are now 977 total cases in Korea 10 Coronavirus related deaths have been recorded</t>
  </si>
  <si>
    <t>@precariat_sweat oh inikan yang kemaren belain eks isis pulang ke sini yak ?</t>
  </si>
  <si>
    <t>Seluruh Pulau Sebaru Kecil akan menjadi daerah Ring 1 yang hanya dapat dimasuki oleh tim Kemenkes saat 188 WNI dari kapal World Dreams tiba. #coronavirus</t>
  </si>
  <si>
    <t>RT @RinjaniJB: @Widyarenee Anak-anak ISIS itu supaya ditampung di rumah para menteri dan tokoh yg mendukung pemulangan mereka, jangan ditampung di lembaga apapun yg biaya operasionalnya dari APBN, ga rela saya.</t>
  </si>
  <si>
    <t>@Aafreen127 @AjazkhanActor @SalmanNizami_ Bagdhadi Osama Masood Azhar JeM LeT ISIS ALBADAR JAKIR NAIQ</t>
  </si>
  <si>
    <t>Wabah Corona Terbesar Kedua Ada di Korsel, Pemerintah Diminta Amankan WNI -</t>
  </si>
  <si>
    <t>@Widyarenee Anak-anak ISIS itu supaya ditampung di rumah para menteri dan tokoh yg mendukung pemulangan mereka, jangan ditampung di lembaga apapun yg biaya operasionalnya dari APBN, ga rela saya.</t>
  </si>
  <si>
    <t>RT @samhudibae: Makhluk yang bernama Haiqal hasan ini adalah pendukung utama kelompok RADIKAL radikul pendukung militan ISIS sehingga sampai kapan pun mahluq ini akan tetap menjadi musuh bagi pemerintahan yang sah. Dan ini jelas bahwa dia telah menjadi Pengkhianat bangsa. #UmatCerdas212Amblas</t>
  </si>
  <si>
    <t>Korsel Jadi Negara Terbesar Kedua Terinfeksi Wabah Corona, Pemerintah Diminta Segera Amankan WNI</t>
  </si>
  <si>
    <t>RT @kompascom: "Indonesia agar terus siaga terhadap penyebaran COVID-19, walaupun hingga saat ini belum terdeteksi WNI yang terjangkit COVID-19 di Indonesia."</t>
  </si>
  <si>
    <t>@novi_ula Sekuat apapun kita kalo bercampur dengan suspect tetep kena sih, itu yg di kapal pesiar akhirnya 9 orang wni kena 😭</t>
  </si>
  <si>
    <t>stay safe ya buat wni di korsel juga china :(</t>
  </si>
  <si>
    <t>Pemerintah memulai mendata anak-anak dari eks WNI yang gabung ISIS untuk dipulangkan ke tanah air. Anak-anak yang dipulangkan harus memenuhi syarat ketat. Ampuuuun, jadi jugaaa ??🙈🙈🙈</t>
  </si>
  <si>
    <t>@mEiZARo @NonaMaya222 Mang SOP nya begitu ya? Warga lain yg gak tahu apa apa harus kena imbasnya karena Balas dendam dgn kekerasan, merusak dan akan menjarah? Mino cina itu gak ada, yg ada wni tionghoa, sentimen Rasis ini akan terus menerus diteriakan akan terus menjadi wabah, miril teriakan pki. 😎😎</t>
  </si>
  <si>
    <t>Ada berapa anak ISIS ? 50 ? 100 ? Siapa yg mau mengurus mrk ? Saya usul mulai dr Presiden, KSP sampai jajaran menteri buat jd ortu n urus minimal 1 anak. Jangan bilang anak2 itu akan dikembalikan ke masyarakat. Kl gitu namanya cuci tangan..</t>
  </si>
  <si>
    <t>@aaskmaa ancem aja kabur dari rumah, ntar juga dikasih, ato bilang ke emak gini "Bolehin aku masuk HI ato nggak aku masuk ISIS nih" 😡</t>
  </si>
  <si>
    <t>Meski WNI di Indonesia Belum Terdeteksi Virus Corona, WHO Minta Indonesia Tetap Siaga</t>
  </si>
  <si>
    <t>Pilihan Bijak dan Tepat Menolak Kepulangan ISIS Eks WNI #IndonesiaTegasTolakISIS</t>
  </si>
  <si>
    <t>Ketegasan pemerintah menolak kepulangan ISIS eks WNI merupakan Sikap pilihan bijak. mengingat kepulangan kombatan ISIS ke Indonesia dapat menyebabrkan virus radikalisme dan meningkatkan potensi aksi teror. #IndonesiaTegasTolakISIS</t>
  </si>
  <si>
    <t>Sikap pemerintah menolak kepulangan FTF ISIS asal Indonesia adalah untuk kepentingan bangsa dan negara. karena tugas negara yang paling utama adalah memberi rasa aman kepada rakyatnya #IndonesiaTegasTolakISIS</t>
  </si>
  <si>
    <t>New post (KBRI Terima Konfirmasi Lisan Singapura soal WNI Positif Virus Corona) has been published on Dakwah Online -</t>
  </si>
  <si>
    <t>RT @maulatv: Upaya Mengacaukan Narasi Soal ISIS -</t>
  </si>
  <si>
    <t>Menolak kepulangan isis eks wni adalah pilihan bijak dan tepat #IndonesiaTegasTolakISIS</t>
  </si>
  <si>
    <t>@AA_Ical_ @TofaTofa_id Betina dia mah ....kemaren waktu dicyduk kan sudah kebongkar .....lakinya wara wiri nyari oenjamin kebebasan.....audah ditebus....masih blom kapok juga ...inilah VIRUS KHILAFAH ....HILANG MALU dan KEMALUAN</t>
  </si>
  <si>
    <t>Demi Rakyat dan Negara Penolakan Pemerintah Kepada ISIS Eks WNI Sudah Tepat. #IndonesiaTegasTolakISIS</t>
  </si>
  <si>
    <t>RT @aiek_esthreem__: #NegeriGaduhUlahPenguasa #NegeriGaduhUlahPenguasa Jumlah Korban Corona Di Korsel Terus Melonjak, DPR Minta Pemerintah Evakuasi WNI Di Daegu</t>
  </si>
  <si>
    <t>@pekerja_malam2 Korban2 akibat serangan Brutal Teroris sgt mengerikan ! Mereka &amp; keluarganya Masih trauma &amp;amp; ketakutan Tapi rezim &amp;amp; MUI Malah lebih peduli Kepada Nasib Penghianat Anggota Teroris ISIS Drpd Anak Bangsa Yg sudah cacat bahkan meninggal dunia Akibat teroris #CabutSKB2Mentri</t>
  </si>
  <si>
    <t>@Ayuangg61135854 Mohon pemerintah memberi seruan WNI untuk pulang. Adik saya ga mau pulang karena dpt info masih aman @budimandjatmiko @Menlu_RI</t>
  </si>
  <si>
    <t>Please disegerakan memulangkan WNI di Korsel @jokowi @DPR_RI @Menlu_RI @kompascom @republikaonline @budimandjatmiko RT @r_nazilah: Korea Selatan sudah menyatakan red alert untuk @coronvirus, apakah pemerintah tidak segera mengeluarkan WNI yang ada di sana. Salah satu mhs adalah keluarga saya. Please @IdEmbassy_Seoul segerakan memulangkan para mhs di korea</t>
  </si>
  <si>
    <t>RT @kompascom: "Selain kuliah, mereka juga ada pekerja migran. Pemerintah diharapkan tidak terlambat dalam melakukan penanganan," kata dia.</t>
  </si>
  <si>
    <t>"Selain kuliah, mereka juga ada pekerja migran. Pemerintah diharapkan tidak terlambat dalam melakukan penanganan," kata dia.</t>
  </si>
  <si>
    <t>Bupati: Warga Kepulauan Seribu Siap Terima WNI Observasi Korona</t>
  </si>
  <si>
    <t>RT @vivanewscom: WNI Kru Kapal Diamond Princess Menunggu Kepastian Evakuasi  #vivanews</t>
  </si>
  <si>
    <t>WNI Kru Kapal Diamond Princess Menunggu Kepastian Evakuasi  #vivanews</t>
  </si>
  <si>
    <t>Macam interview masuk sekolah 💆🏻‍♀️ RT @bekalmom: Plot twist: Interview will include reading and writing in Jawi</t>
  </si>
  <si>
    <t>Bupati Kepulauan Seribu mengatakan sudah menyosialisasikan dan masyarakat paham.</t>
  </si>
  <si>
    <t>RT @vivanewscom: Australia Tambah Jatah Working Holiday Visa untuk WNI Jadi 4100 Orang  #vivanews</t>
  </si>
  <si>
    <t>Wkwkwkwk 🤣🤣🤣, mental tempe. Pendukung Jokowi terhadap pemulangan anak-anak teroris ISIS.</t>
  </si>
  <si>
    <t>RT @senalkaff: Kalau minggu ni parlimen dibubarkan, percayalah tiada satu pun parti politik yang bersedia untuk PRU-15 kecuali DAP.</t>
  </si>
  <si>
    <t>Australia Tambah Jatah Working Holiday Visa untuk WNI Jadi 4100 Orang  #vivanews</t>
  </si>
  <si>
    <t>Pulau Sebaru, dulu judi narkoba kini observasi corona. Pulau ini telah dipilih pemerintah untuk observasi WNI Anak Buah kapal pesiar World Dream dan Diamond Princess. Dua kapala pesiar itu telah ditemukan kasus positif virus Corona.</t>
  </si>
  <si>
    <t>RT @kompascom: Ia pun meminta agar dilakukan simulasi untuk melakukan evakuasi WNI di Korea apabila dibutuhkan. Termasuk pendataannya.</t>
  </si>
  <si>
    <t>@BambangTenan Anak mu aja selamatkan, jgn anak-anaknya teroris ISIS. Sebab anak mu tak mewarisi Logika longor bapaknya. 😆😆😆😆</t>
  </si>
  <si>
    <t>RT @voaindonesia: KJRI San Fransisco : Kecelakaan Lalin, 1 WNI Tewas, 1 Luka</t>
  </si>
  <si>
    <t>@arieoz Masa tadi ada yg bilang dikorea baik baik aja terus media Kya melebih"kan , jdi Gatau mana yg bnr kalu gini ,terlepas dari itu saya berdoa semoga WNI yang ada disana baik-baik saaja, dan untuk masyarakat Korea juga smga semuanya baik baik saja. Aamiin</t>
  </si>
  <si>
    <t>@BambangYoga6 Enak... Isis mas... Geli2 gimana gt klo pas tengkuk</t>
  </si>
  <si>
    <t>Wabah Corona Terbesar Kedua Ada di Korsel, Pemerintah Diminta Amankan WNI</t>
  </si>
  <si>
    <t>RT @pekerja_malam2: Mengapa rezim &amp; MUI Sangat Perhatian &amp;amp; Peduli kpd Anggota ISIS ?? ISIS Jelas2 adlh Organisasi TERORIS TERLARANG baik Di NKRI maupun Dunia Anggota ISIS yg membakar Pasport NKRI &amp;amp; Menolak NKRI Adalah Penghianat ! Kok masih di perhatikan ? Bgmn dgn Anak bangsa yg lain?</t>
  </si>
  <si>
    <t>@NonaMaya222 @bilzarm Iyaaa bener makanya aku kalo isu gini pasti rada reaktif, pdhl WNI mata sipit itu udh bnyk lho yg lahir besar di indo bahkan cm bs bhs jawa medok ketimbang bahasa leluhurnya, udh ga kaya tahun 30-40 yg pengungsi/pedagang dr tiongkok. Rasisnya udh mendarah daging</t>
  </si>
  <si>
    <t>Striker PSM Makassar, Ezra Walian, berharap masalahnya bisa segera dituntaskan. Seperti diketahui, Ezra yang sudah menjadi Warga Negara Indonesia (WNI) masih terganjal untuk bermain di kompetisi internasional dengan status WNI.</t>
  </si>
  <si>
    <t>Ia pun meminta agar dilakukan simulasi untuk melakukan evakuasi WNI di Korea apabila dibutuhkan. Termasuk pendataannya.</t>
  </si>
  <si>
    <t>Pulau Sebaru, Pulau Tak berpenghuni yang Jadi Lokasi Observasi 188 WNI</t>
  </si>
  <si>
    <t>RT @cahklaten78: Mesir dhuwe isis ....jawa dhuwe bathari durga .....om namah durga ....nuwun .</t>
  </si>
  <si>
    <t>Jakarta, BuletinNusantara – Pemerintah akan mengevakuasi Warga Negara Indonesia (WNI) yang menjadi Anak Buah Kapal (ABK) World Dream ke Pulau Sebaru Kecil, menyusul dihentikannya pengoperasian kapal tersebut akibat wabah virus Covid-19. Sejumlah 188…</t>
  </si>
  <si>
    <t>RT @izzatbazaie: Sebelum PRU14 Selepas PRU14</t>
  </si>
  <si>
    <t>@pendakibudiman Gak ada sensasi punggung isis ngelepas keril dong 🤣</t>
  </si>
  <si>
    <t>Ternyata ada 4 org WNI yg kena virus corona di kapal jepang kemarin itu</t>
  </si>
  <si>
    <t>@bernamadotcom Kalau ISIS baca buku dah salah. Perempuan kena tangkap masuk penjara. Seorang je. Ni berkumpula . Apa cerita</t>
  </si>
  <si>
    <t>@AzzamIzzulhaq Konyol sih ini, masak bule non muslim lbh bs menghargai aturan Islam ketimbang oknum WNI muslimah. Ada bpip effect nih kyknya, negara makin gagal mencerdaskan kehidupan bangsa, ada yg seakan nuntut perlakuan sama thd pngunjung mesjid vs pngnjung mall 😡 RT @AbuGhaGha: @yettiaka Masak dek @yettiaka kalah ama bule non muslim? Dek @yettiaka sehat kan? Coba retweet lg sambil mention ke kaka @MichelleObama</t>
  </si>
  <si>
    <t>@ustadtengkuzul Gimana klo semua kadrun,yg mana semuanya terindikasi simpatisan isis teroris dikasih paspor,difasilitasi berangkat kesuriah bantu isis,bila perlu dipimpin gabener wan onta bin toa,pasti negara ini cepat maju.karena kadrun ini simbol keterbelakangan</t>
  </si>
  <si>
    <t>Besok, 188 WNI di Kapal World Dream Dikarantina di Pulau Sebaru</t>
  </si>
  <si>
    <t>RT @kompascom: "Anak-anak di bawah 10 tahun akan dipertimbangkan tapi case by case. Ya lihat saja apakah ada orangtuanya atau tidak, yatim piatu (atau tidak)," ujar Mahfud | #Nasional</t>
  </si>
  <si>
    <t>Ini Yang Dilakukan Pemerintah Setelah Tolak WNI Kombatan ISIS Pulang Ke Tanah Air</t>
  </si>
  <si>
    <t>Indonesia tidak melanggar Ham karena menolak ex isis, karena meraka bukan WNI lagi</t>
  </si>
  <si>
    <t>@Amirahnla Nek yg datangin isis gimane lai?</t>
  </si>
  <si>
    <t>Karena mereka sudah bukan WNI lagi.</t>
  </si>
  <si>
    <t>Pengakuan Hillary Clinton : Kami menciptakan Al Qaeda / ISIS. . . !!!</t>
  </si>
  <si>
    <t>@Donal_golan Begitu tiba disini, yg ngurusin mereka, orang2 yg pro ISIS, hancur dah nih negara 😔</t>
  </si>
  <si>
    <t>Perlu Gercep Evakuasi WNI Terjangkit Virus Corona di Jepang, Pemerintah Jangan Kelamaan…</t>
  </si>
  <si>
    <t>haiiiiiiiii g jwb isis</t>
  </si>
  <si>
    <t>RT @kemenkopmk: Terkait dengan rencana pemulangan WNI dari akapal World Dream dan Diamond Princess, #SobatPMK bisa cek pernyataan-pernyataan Menko PMK Muhadjir Effendy dalam press conference di depan awak media.</t>
  </si>
  <si>
    <t>RT @vivanewscom: Pesan WNI Kru Kapal Diamond Princess ke Jokowi: Jemput Kami Secepatnya  #vivanews</t>
  </si>
  <si>
    <t>Pesan WNI Kru Kapal Diamond Princess ke Jokowi: Jemput Kami Secepatnya  #vivanews</t>
  </si>
  <si>
    <t>RT @Hanifah933: #StopHoax ... Jangan Provokasi dan Jadilah Bijak di Medsos ! Pertama, Mengapa dikarantina ? Memang benar mereka WNI yg dievakuasi dari Wuhan, Cina dinyatakan sehat atau negatif terkena Virus Corona, tetapi Virus Corona bisa saja ada menempel pada mereka atau barang yg terbawa -</t>
  </si>
  <si>
    <t>Sepertinya indo bakal menolak WN korea/turis yg sebelumnya berada di korea. Kecuali WNI. (kemarin sudah berlaku utk China bahkan visa transit pun g dikasih utk org2 yg dari dan ke China alias transit di indo aja g bole kecuali WNI). Jdi mending Teman2 WNI di Korea segera pulang</t>
  </si>
  <si>
    <t>RT @KemenkesRI: #RilisSehat WNI di Kapal World Dream akan Diobservasi di Pulau Kosong Berfasilitas Bagus @KemenkesRI</t>
  </si>
  <si>
    <t>@SalmanNizami_ ISIS terrorists and bhagwa Terirejam sam2 sam</t>
  </si>
  <si>
    <t>#RilisSehat WNI di Kapal World Dream akan Diobservasi di Pulau Kosong Berfasilitas Bagus @KemenkesRI</t>
  </si>
  <si>
    <t>RT @kabarpolitik: Perlu Gercep Evakuasi WNI Terjangkit Virus Corona di Jepang, Pemerintah Jangan Kelamaan Mikir</t>
  </si>
  <si>
    <t>@Cuteeegurls Takut tb" balik dah jadi prajurit isis</t>
  </si>
  <si>
    <t>@svthop WNI yg crew diamond princess cruise akhirnya ada yg positif corona setelah diberitain gak ada satupun yg kena, yg periksa jg pihak Jepang</t>
  </si>
  <si>
    <t>RT @kabarpol: Perlu Gercep Evakuasi WNI Terjangkit Virus Corona di Jepang, Pemerintah Jangan Kelamaan Mikir</t>
  </si>
  <si>
    <t>Perlu Gercep Evakuasi WNI Terjangkit Virus Corona di Jepang, Pemerintah Jangan Kelamaan Mikir</t>
  </si>
  <si>
    <t>Mohatarma Wah "Nara e Takbir" "Ola hu ober" Hota hai.. ISIS beheading se lekar #DelhiBurning Tak sabkuch #RadicalIslamicTerrorism hai AntiHindu fake news factory... RT @jyotiyadaav: रामचंद्र कह गये सिया से ऐसा कलयुग आएगा, जय श्री राम का नारा बोलकर दंगाई आग लगाएगा!</t>
  </si>
  <si>
    <t>RT @ventustarigan: Dia bukan manusia biasa Mon, dia jelmaan pohon pisang kayaknya, punya jantung tapi nggak punya hati.. 🤭</t>
  </si>
  <si>
    <t>@Lusi73265492 @Ara8818 @YusufNusantara1 @Kemhan_RI @Dahnilanzar @jokowi Padahal sudah ada ibu juwangi......masih kalah juga😂</t>
  </si>
  <si>
    <t>@Bagas91988080 @RadioElshinta @satya20092013 Non pribumi itu yg Eks Isis ya? 🤣🤣🤣 Eu..we..lah.</t>
  </si>
  <si>
    <t>@adysiswanto12 Bngung jga mau diskusi apa. Diskusi corona anda larinya ke isis. Nnti ujung2nya kalo kalah argumen bawa2 hti, fpi, isis, radikal, intoleran, tdk pancasilais. Dikasi data nnti malah blang hoax. Trus aku kudu pie? 🤣🤣🤣</t>
  </si>
  <si>
    <t>anjing yg blg anies 2024 presiden jadi isis aja tae jgn tenggelemin indo cukup kali ni aja dia tenggelemin jkt 😭</t>
  </si>
  <si>
    <t>Perlu Gercep Evakuasi WNI Terjangkit Virus Corona di Jepang, Pemerintah Jangan Kelamaan Mikir  via @Indopolitika</t>
  </si>
  <si>
    <t>Taliban, ISIS, al-qayeda,jash-a-mohammad sab hi*d* h 🤯</t>
  </si>
  <si>
    <t>Pulau Sebaru Kecil, Lokasi Observasi 188 WNI Pekerja ABK World Dream) |</t>
  </si>
  <si>
    <t>RT @kaichx_: Semogaaa pada amaannn semuaaa exo svt semua idoll semua wni semua orang semuaaa dah semuaaan, semoga gua dapet duit juga</t>
  </si>
  <si>
    <t>@jammiali2 @MohdNad27517157 @aimim_national @asadowaisi Hahaha ISIS Taliban Hamas Hezbolla IM LeT JeM Hafiz Osama sab mere religion ke hain</t>
  </si>
  <si>
    <t>gapapa, alhamdulillah masih dikasih nya air. yaallah dikorea corona nya udh 88%. daegu udh keya kota mati, stok makanan udh abis semua, dan nyari masker udh keya nyari jarum ditumpukan jerami. semoga pd selamet semua yaallah wni yang disana. wnk nya jg semoga baik2 aja):</t>
  </si>
  <si>
    <t>#NegeriGaduhUlahPenguasa #NegeriGaduhUlahPenguasa Jumlah Korban Corona Di Korsel Terus Melonjak, DPR Minta Pemerintah Evakuasi WNI Di Daegu</t>
  </si>
  <si>
    <t>RT @merdekadotcom: Paspor WNI yang Gabung ISIS Bakal Diblokir Pemerintah</t>
  </si>
  <si>
    <t>Waktu itu WNI disemprot pakai disinfektan setelah dievakuasi, malah dinyinyirin. Lah ini 👇 di luar negeri malah bentuknya tunnel penyemprot disinfektan. RT @businessinsider: Disinfection tunnels have been erected and spray trucks dispatched in China to help sanitize streets, buildings, and even people See why experts aren't convinced of how effective these methods are in decontamination:</t>
  </si>
  <si>
    <t>@agil_alf Aku WNI, produk lokal</t>
  </si>
  <si>
    <t>@aliouz076 Haka wni abknh yaje ya dinga tura ma Namiji Kati ya dauka macece nasan zai ga wnn tweet dn yayi scrolling ya wuce 🤣🤣🤣</t>
  </si>
  <si>
    <t>Oh, dia bukan WNI. Pas ngebalikin hp nya ke gue ngomong pake bhs inggris. "Oh sorry i thought it was mine". Palelu mletak!!!!!!!!!!! Emosi gua</t>
  </si>
  <si>
    <t>RT @Datuakpanduko2: Taliban pasukan super.. Tak terkalahkan.. Rusia - amerika aja ga sanggup lawan mereka.. Di suriah pun mereka masih eksis.. Mereka make senjata sendiri.. Beda dg isis , yg dipersenjatai amerika.. Jika mereka bergerak ke yerusalem.. Itulah tandanya</t>
  </si>
  <si>
    <t>RT @Rharrys: Anak ISIS dibela, anak Indonesia mau dibina utk mjd atlet berprestasi dikritisi. Cara berpikirnya emang udh kebolak-balik dari sononya. Dan saya msh ingat lho kelakuan KPAI waktu menjegal roadshow bbrp tahun yg lalu. Jadi gak usah konyol2 deh ngasih saya celah utk menghajar 🤬</t>
  </si>
  <si>
    <t>@ron3yboy @ayahdiar @FerdinandHaean2 @aniesbaswedan @ridwankamil Isu gak di sholatin itu kan waktu pilkada 2017.. gak usah pura2 gak tau.. Anies pun saat itu dituduh macam2..mulai dari Jakarta akan seperti Suriah.. minoritas didiskriminasi..Jakarta bersyariah.. dan ISIS..</t>
  </si>
  <si>
    <t>@VIVAcoid ISIS mna kox diam aja,gx membela warga Palestina,padahal katanya islam,dan mna yg selalu koar2 tentang jihad</t>
  </si>
  <si>
    <t>@kigogo2014 @kitamandogoyo Itakuwa DOLA YA KIISLAM (ISIS) 😂😂😂😂</t>
  </si>
  <si>
    <t>Keputusan bersyarat pemerintah memulangkan WNI eks ISIS, namun harus dipastikan lagi bahwa tidak ada udang dibalik batu ketika mereka dipulangkan. Negara harus hadir untuk menyelamatkan masa depan mereka.</t>
  </si>
  <si>
    <t>Mahfud MD Pastikan Anak Yatim Piatu Eks ISIS akan Dipulangkan ke Indonesia Test pasar umur dibawah 10 thn dulu ,ntar baru yg balita :bayi dibawah 50 thn</t>
  </si>
  <si>
    <t>RT @KompasTV: 74 WNI di Diamond Princess Minta Dijemput Jokowi: Kami Seperti Dibunuh Pelan-pelan...</t>
  </si>
  <si>
    <t>@drchiragjv Bhai ye bhosdiwale ISIS wale terrorist se kam nhi h ... #Redical_Islamic_Terrorism mulli m bhi bhara pda. Isko b drd MC mullo ka hi dikhta h. BKL h ye #Redical_Islamic_Terrorism wale</t>
  </si>
  <si>
    <t>Fraksi PAN DPR RI Minta Pemerintah Lebih Bertindak Cepat Evakuasi WNI dari Diamond Princess</t>
  </si>
  <si>
    <t>@DanielMine @Aryprasetyo85 warga negara Cina yang masuk indonesia kalau gak utk liburan ya pasti untuk bekerja. sama seperti WNI kalau keluar negeri utk liburan atau bekerja. hal se simple itu gak paham ?</t>
  </si>
  <si>
    <t>@SinarOnline Pecat peguam negara. Takut nnt negara jadi sarang LTTE. Kalau ISIS ...baca buku pun kena tangkap tak lepas. Ingat kes Aisyah. Padahal seorang perempuan pelajar je pun</t>
  </si>
  <si>
    <t>@DeadlockHeaven Jadi pgn resign jadi WNI :(</t>
  </si>
  <si>
    <t>@rasdityalif Ikut dong, mau join isis</t>
  </si>
  <si>
    <t>RT @kompascom: Status kewaspadaan tertinggi atau red alert diberlakukan di Korea Selatan terkait virus corona COVID-19. Bagaimana kondisi WNI di sana?</t>
  </si>
  <si>
    <t>Wapres Ma'ruf Amin: Pemulangan Anak WNI Eks ISIS, Masih Dipertimbangkan</t>
  </si>
  <si>
    <t>Tentang Pulau Sebaru yang Jadi Lokasi Observasi WNI yang Dievakuasi dari Kapal Pesiar</t>
  </si>
  <si>
    <t>Pemerintah Sangat Hati-hati Evakuasi WNI di Kapal Pesiar Diamond Princess</t>
  </si>
  <si>
    <t>@soepono42 @XD_DX_b @Harry85469365 @shiaLebaou @black__valley1 @DivHumas_Polri ISIS jauh banget tempatnya, ngapain gw bela sampe mati. Nanti paspor gw di blokir, gw masih mau jalan-jalan soalnya. Eh, jadi buzzer digaji berapa? Mau juga dong gw. Jobdescnya cuma rusuh aja kan? Bisalah gw. Lumayan nih buat beli Starbucks, pengen juga koleksi tumblrnya</t>
  </si>
  <si>
    <t>Covid-19 'Ngamuk' di Daegu, Pemerintah Diminta Tak Lambat Tangani WNI</t>
  </si>
  <si>
    <t>@DeadlockHeaven bukannya emang bego semua ya. liat aja wkt kasus sm PB Djarum, anak2 eks ISIS.</t>
  </si>
  <si>
    <t>Pulau Sebaru, Pulau Tak Berpenghuni yang Jadi Lokasi Observasi WNI ABK World Dream -  -</t>
  </si>
  <si>
    <t>@tua_kladi @Sarah_Pndj Oh, seperti biasa: salahkan keturunan cina. WNI keturunan cina SELALU jadi pelampiasan ketololan bangsa ini dan jadi kambing hitam rejim yg busuk. Bangsa ini lama² menjadi bangsat, no hope.</t>
  </si>
  <si>
    <t>ha mc aja teri kami thi tera beta isis ka ad ertisement karaha tha tab ye gyan kaha gaya RT @Javedakhtarjadu: the level of violence is being increased in Delhi . All the Kapil Mishras are being unleashed . An atmosphere is being created to convince an average Delhiite that it is all because of the anti CAA protest and in a few days the Delhi Police will go for “ the final solution “</t>
  </si>
  <si>
    <t>@Putie_bahara @young_tanjuang @DhieanaNew @yettiaka @dorce_gamalama Lah itu mmg dilakukan sm isis. Kok ngegas sih 😎 udah aah...ntar ujung2 nya baper. Paham kan?</t>
  </si>
  <si>
    <t>RT @kisbet_: Memberantas teroris dengan memelihara bibit teroris 💩💩💩💩💩💩💩💩💩💩💩💩💩💩💩💩💩💩💩💩💩💩💩💩💩💩💩💩💩💩💩💩💩💩💩💩💩💩💩💩💩💩💩💩💩💩💩💩💩💩💩💩💩💩💩💩💩💩💩💩💩💩💩💩💩💩💩💩💩💩💩💩💩💩💩💩💩💩💩💩💩💩💩💩💩💩💩💩💩💩💩💩💩💩💩💩💩💩💩💩💩💩</t>
  </si>
  <si>
    <t>@AlfaOmega0110 @young_tanjuang @DhieanaNew @yettiaka @dorce_gamalama Jd skrg bahas isis nih?? Awal jilbab lalu melenceng ke lgbt lalu lebih melenceng lg ke isis 🙄 Habis ini apalagi?? :u</t>
  </si>
  <si>
    <t>@MohdNad27517157 @aimim_national 1993 mumbai blasts me 320 kaun the? Al Qaeda ke butchers kaun hai? ISIS ke rapists killers kaun hai? Talliban ke kutte kaun hai? Boko Haram ke darinde kaun hai? Kashmir me lashkar e taiyba ke suar kaun hai? duniya bhar me Wahhabi terrorism kaun failata hai? Islam! Mulle!</t>
  </si>
  <si>
    <t>@young_tanjuang @DhieanaNew @Putie_bahara @yettiaka @dorce_gamalama Semoga saja. Klo cm mau nyaksikan , itu eks wni isis di suriah udah kok ? 😎</t>
  </si>
  <si>
    <t>@SemaneiD @CoolHuh_ Lah kenapa dengan tentara Suriah? Tentara Suriah kan cuma mau membebaskan negaranya dari gempuran ISIS dan beberapa negara yg ikut"an menggempur mereka.</t>
  </si>
  <si>
    <t>RT @dinamatahari94: Jangan mau diprovokasi man teman, semua WNi yang dievakuasi sudah dipastikan kesehatanya. #coronavirus #AzabGabenerBodong #banjir #RomanticDoctorTeacherKim2 #SelasaSambat</t>
  </si>
  <si>
    <t>RT @salehdaulay: Jumlah Korban Corona Di Korsel Terus Melonjak, DPR Minta Pemerintah Evakuasi WNI Di Daegu</t>
  </si>
  <si>
    <t>RT @Julia_Zeed: @3_devout @Donal_golan @Sarah_Pndj @Jelantik5 @agama_nusantara @Parapat_Nixon @KakekHalal @tjapoengmerah @CastilloJoshima @sugi_0706 @herlambang_tan @HendiBram @aya_ddt @Kars104 @BirgaldoS @Nouna_jessica94 @Billbil_billa @LusiHQ @harihariono1 @oneaperture @Takviri @SWD_wolverine @1_devout @2_devout @4_devout Jangan lupa yg setuju untuk memulangin ISIS Adalah Binatang ISIS juga 👌</t>
  </si>
  <si>
    <t>“Kak kakak bisa gak ya koordinasi sm kemenlu atau kemenhub sounding kl ada crew wni yg sakit di kapal asing” Bisa, i got the connection tp buat bantuin anak angkat yg kurang ajar? NEVER EVER IN A MILLION YEARS. Mati aja lo njing.</t>
  </si>
  <si>
    <t>Jangan mau diprovokasi man teman, semua WNi yang dievakuasi sudah dipastikan kesehatanya. #coronavirus #AzabGabenerBodong #banjir #RomanticDoctorTeacherKim2 #SelasaSambat</t>
  </si>
  <si>
    <t>Makanya kan kalo nggak salah pihak sana nggak mau ks info detail wni yg dikarantina. Ya tujuannya mencegah warga kita yg nggak tau apa2 bikin hoax nyebar opini terkesan kyk fakta dan histeria dari org2 yg kenal</t>
  </si>
  <si>
    <t>@livewell_or_die @radhdindun @TENTORGOKIL @oxfara Punya tp nggak dipake, kemarin WNI Wuhan yg dikarantina itu cuma diobservasi ada gejala ato enggak selama 14 hari, padahal harusnya mereka di tes lab satu2 juga kalo mau ngikutin standarnya. Pemerintah kita kurang agresif buat nanggepin kasus global COVID 19 ini.</t>
  </si>
  <si>
    <t>Ratusan WNI itu saat ini masih berada di kapal pesiar yang ditolak bersandar di manapun. Kapal itu kini berada di perairan internasional dekat Bintan, Indonesia.</t>
  </si>
  <si>
    <t>Hhhh isis dapet 1/5 doang</t>
  </si>
  <si>
    <t>RT @mostradio1058fm: Pihak KBRI Seoul, Korea Selatan memastikan hingga kini seluruh WNI yang betada di Korea Selatan dalam keadaan baik dan sehat, dan tidak ada yang terinfeksi virus corona, menyusul status siaga 1 negara tersebut. #MostUpdate1058</t>
  </si>
  <si>
    <t>@BDUTT isIamic terrorism will end soon. #IslamicJihad #Islamic_terrorism #ISIS musalmaan dare hue hai , in : pakistan Afghanistan Iraq Iran Syria Libya US Sweden Norway France UK Italy Germany Russia. Waah chusalmaan waah.</t>
  </si>
  <si>
    <t>@abcdeaaf Loh kok dibajak? Loh kok bisa baca yg saya ketik? Loh kok loh kok mereka tahu yg saya buka di HP? Loh kok loh kok ternyata nyari ISIS, nyari jaringan NARKOBA, nyari HTI, nyari nyari apa saja 😁😁😁 mungkin nyari MAKArN</t>
  </si>
  <si>
    <t>Pemerintah akan segera memulangkan ratusan Warga Negara Indonesia (WNI) yang bekerja di kapal pesiar World Dream. POT . #Covid-19 #VirusKorona #CoronaVirus #WNI #DreamWorld #iNewsPagi #iNews</t>
  </si>
  <si>
    <t>@bang_sofy @XD_DX_b @Harry85469365 @shiaLebaou @black__valley1 @DivHumas_Polri Kalo ente tereak2 ISIS harga mati yaaa... wakakakakak</t>
  </si>
  <si>
    <t>RT @Gerindra: @Don_dasco Perlu diketahui, Kapal Diamond Princess berpenumpang 3.711 termasuk 78 diantaranya warga negara Indonesia (WNI) yang menjadi ABK, dan sudah terkonfirmasi 4 orang diantaranya positif terpapar virus corona. #SuaraGerindra</t>
  </si>
  <si>
    <t>@Dennysiregar7 @ILCtv1 @aniesbaswedan Salahkah Anies ? WNI akal sehat : "BANGET..." Anies : "balas bully dg Karya bla bla... Banjir mudah jika jadi presiden bla bla.... Banjir karena kiriman bla bla.. Salah Gub sblm nya bla bla.. Pusat harusnya urusi banjir bla bla.." Kadrun : "GoodBener rasa Presiden" Mbelgedes...</t>
  </si>
  <si>
    <t>RT @tribunnews: Korea Selatan Dinyatakan Berstatus 'Red Alert' Akibat Wabah Virus Corona, KBRI Ungkap Kondisi WNI  via @tribunpontianak</t>
  </si>
  <si>
    <t>PAKISTAN HAS NUKIFIED ISIS OUT LETS IN SYRIA....MANY JAAN JAHANUM....WITCH.....MARY TENU SO SALAAM....KAAT KAAT......ISI</t>
  </si>
  <si>
    <t>@deddot05 Paling Pemerintah Memulangkan Anak-anak Yatim Piatu EKS ISIS Ini Berdasarkan Hak Asasi Manusia. Tetapi Hak Asasi Manusia Di Dalam Negeri Ini Telah Terancam Dengan Kepulangan Bibit-bibit Suicide Bomber 💣 Ke Indonesia. 😢</t>
  </si>
  <si>
    <t>Semogaaa pada amaannn semuaaa exo svt semua idoll semua wni semua orang semuaaa dah semuaaan, semoga gua dapet duit juga</t>
  </si>
  <si>
    <t>RT @FerdinandHaean2: Oii makkkk ngeri kalipun..!! Kisah Bocah eks Tentara ISIS: Tugas Pertama Bunuh Orangtua</t>
  </si>
  <si>
    <t>Anak "ISIS EKS WNI", akan dipulangkan ke Indonesia?. . Trus kalau beranak lagi, akan dipulangkan lagi? Sehabis nifas, atau sehabis penyusuan, atau setelah berusia balita?. . Sampai kapan? Sampai orang tuanya meninggal disana, atau sampai mereka jd Imigran Gelap ke EKS NEGARANYA?</t>
  </si>
  <si>
    <t>btw wni kena virus masih dikapal kanya? ga di turunin? atau gmn deh</t>
  </si>
  <si>
    <t>Harusnya mrk sholat berjemaah dong di tempat banjir ya 10 juta orang gitu...reuni 262,272,282 apa kek...@Munarman_SH @haikal_hassan hayuu krahkan massa..sudah mulai terlihat hasilnya bencana demi bencana hadir di Indonesia... Ini Haram Itu Haram Sana haram ISIS hrs dipeilhara RT @GunRomli: Jakarta uda kelelep, pendukung2 &amp; buzzer2 @aniesbaswedan malah bela tuannya: #banjir itu berkah, bersyukurlah banjir hari libur... Keterlaluan banget pendukungmu Nies.</t>
  </si>
  <si>
    <t>RT @alightlily: Pantesan 4 WNI yang terkena corona ga boleh diambil sama Indonesia. Takutnya emang ga ngaku kalo mereka lagi terkena virus jadi malah menyebar ke penduduk sekitar. Stay safe everyone. ✋🏻</t>
  </si>
  <si>
    <t>RT @Macan4sia: Jumlah Korban Corona Di Korsel Terus Melonjak, DPR Minta Pemerintah Evakuasi WNI Di Daegu</t>
  </si>
  <si>
    <t>RT @VICE_ID: Kepada VICE, otoritas Kurdi berharap Indonesia mau terlibat dalam pengadilan tersebut.</t>
  </si>
  <si>
    <t>@Isis_alada Sepa la bola. 😐</t>
  </si>
  <si>
    <t>@samhudibae Kalau udah tinggalkan Indonesia tanpa pamit dan membakar phasphornya dan berganti phasphor otomatis hilang ke warganegara annya dan anak nya bukan WNI lagi kalau menolong itu bentuk empati sosial</t>
  </si>
  <si>
    <t>Sun bsdk aatanki tumhara dharm to pehchan Bngya h aatankwad ki Isis, lashkar e tayba hjibul mujhadin Isis Boko Haram aur kitne ginau Ek bhi hindu organization bta jo international ban ho RT @yhkMbSV9NHKMMgp: @AASHISHMUDGIL19 तेरा बाप आर एस एस देश का सब से बडा आतंकवादी 2 बजरंग दल हिन्दू 3 हिन्दू युवा वाहनी और 4 वी ई पी 5 नकसली 6 मावादी 7 गाय रछक 8 तुम जैसे लोग और रही खाने की बात तो हम अपनी देश की खाते भी है और गाने भी नहीं है समझा अन्ध भक्त चड्डी वाले मोहन भागवत से पूछ अब्बा कहे चड्डी फहराते हो</t>
  </si>
  <si>
    <t>@bang_sofy @XD_DX_b @Harry85469365 @shiaLebaou @black__valley1 @DivHumas_Polri Berarti kadrun ISIS harga mati yaaa</t>
  </si>
  <si>
    <t>Me, on how to avoid chat gapenting : Temen : 'pie kabare en? Wes nikah rung?' Me : 'durung, meh nikahi aku po?' Lalu dia menghilang, gabung gerilyawan isis</t>
  </si>
  <si>
    <t>RT @kompasiana: Resmi, Anak WNI Eks ISIS akan Dipulangkan</t>
  </si>
  <si>
    <t>@seokgyutiful Kalo menurut gue bentar lagi bakal kena lockdown kalo udah sampe 1000 orang bisa jadi di evakuasi juga wni disana</t>
  </si>
  <si>
    <t>Pantesan 4 WNI yang terkena corona ga boleh diambil sama Indonesia. Takutnya emang ga ngaku kalo mereka lagi terkena virus jadi malah menyebar ke penduduk sekitar. Stay safe everyone. ✋🏻</t>
  </si>
  <si>
    <t>RT @KangBangunan: @CameronRiyan @TofaTofa_id Manusia biasa yg pendukungnya: imbisil, pemalas, rasis, khawarij, ormas radikal, HTI, ormas penikmat dana hibah, preman tanah abang, PNS korup, ISIS, dan lain lain sebagainya yg sejenis.</t>
  </si>
  <si>
    <t>@CameronRiyan @TofaTofa_id Manusia biasa yg pendukungnya: imbisil, pemalas, rasis, khawarij, ormas radikal, HTI, ormas penikmat dana hibah, preman tanah abang, PNS korup, ISIS, dan lain lain sebagainya yg sejenis.</t>
  </si>
  <si>
    <t>Banyak nih pekerjaan yasonna laoly. Cabut kewarganegaraan Indonesia mantan WNI kombatan isis, cabut badan hukum pks.</t>
  </si>
  <si>
    <t>Jumlah Korban Corona Di Korsel Terus Melonjak, DPR Minta Pemerintah Evakuasi WNI Di Daegu</t>
  </si>
  <si>
    <t>@kompasiana @kompascom Bagaimana dgn anak2 yg sudah dilatih jadi kombatan? Adakah cara/perangkat utk mengidentifikasi sejauh mana paparan falsafah ISIS pada anak2 tsb?</t>
  </si>
  <si>
    <t>Guys, take a look. Forget about banjir dulu. This things happen, dan masih ada WNI di kapal tersebut. RT @spectatorindex: BREAKING: Fourth passenger on the Diamond Princess cruise ship has died of coronavirus</t>
  </si>
  <si>
    <t>@mohamed41958197 @MaridhasAnswers dei world level terrorists ... ISIS , JeM jihadhi... mooditu po pa... neelam suicide bomber... inga ena pandra</t>
  </si>
  <si>
    <t>RUU ketahanan keluarga, RUU perpajakan, Omnibus law, Kampus merdeka, WNI eks ISIS dipulangkan ? Isu nasional apalagi yang akan kita bahas ? Pengen open podcast sendiri gitu di spotify tapi takut narasumbernya kurang kredibel :')</t>
  </si>
  <si>
    <t>Gag nyangka yg di korea sebanyak ini WNI disana gag dibawa balik aja ini udh hampir rata lho</t>
  </si>
  <si>
    <t>Seharusnya pemerintah kita tuh ya kalo disatu negara yg ada wni dan udh diumumin jumlah covid19 ini makin ningkat ada gerakan cepat gitu buat pulangin, jangan tunggu sampe keadaannya gak kondusif gini</t>
  </si>
  <si>
    <t>@joaovmariga JAKSKAKDNAKE VARIAS</t>
  </si>
  <si>
    <t>@dysetyorini1 kok pesawat sekelas korean air ga siapin alat kusus kek lion air sih? klo ga salah lion air apa batik air yg jemput wni di wuhan katanya ada itu alat yg langsung bunuh virus misalnya kalau bersin etc jd ga nular saat dalem pesawat... misalnya klo itu fa-nya nular dr luar ya</t>
  </si>
  <si>
    <t>Pemerintah Diminta Segera Evakuasi WNI di Kapal Diamond Princess</t>
  </si>
  <si>
    <t>Update Jabar : Korsel Di Urutan Dua Kasus Virus Corona, DPR Minta Segera Evakuasi WNI Di Daegu  #RMOLJabar #VirusCorona #gubernurjabar</t>
  </si>
  <si>
    <t>@TaliUdeng Kirim ke isis aj bro , mgkin mrk butuh tkang cuci piring 🤭</t>
  </si>
  <si>
    <t>[segera terbit] Jenderal Qasem Sulaymani Jalan Cinta Sang Penumpas ISIS | Penulis @Kazhim</t>
  </si>
  <si>
    <t>Semoga WNI d sana sehat dan dimudahkan segala nya untuk bertahan RT @tribunnews: Korea Selatan Dinyatakan Berstatus 'Red Alert' Akibat Wabah Virus Corona, KBRI Ungkap Kondisi WNI  via @tribunpontianak</t>
  </si>
  <si>
    <t>@Redi_S @detikcom Mau dijual semua sama ngahok...semua wni wajib jadi sipit jg...bhuahahaha</t>
  </si>
  <si>
    <t>RT @tempodotco: Menko Polhukam Mahfud MD mengatakan tim gabungan pemerintah saat ini sedang mendata profil WNI eks ISIS.</t>
  </si>
  <si>
    <t>RT @ShyaReepah: Mkny "Periode Tanpa Beban" sdh 1 suara dg RI2, liat aja dg kasus" intoleransi g ada reaksi mlah pamer meresmikan fasilitas" agama mayo. #ehh malah mo jemput anak" ISIS yg sdh bukan lg warganya. Sok" memerintahkan bwhan tp cuma KAMUFLASE doang buktinya malah benturin rakyat.</t>
  </si>
  <si>
    <t>@kang_slupan @Jimmysimamora03 @yssetiawan07 KOYO HTI dan ISIS aja hasil asumsi dikatakan dari kitab suci pas ditanya ayat berapa?muter-muter mlipir-mlipir😛</t>
  </si>
  <si>
    <t>@zazaniche @edyhumaidy_e @Parapat_Nixon @WagimanDeep__ Yg dari Wuhan itu wni sehat Om; kalau yg dari kapal sdh ada yg diduga kena.Mudah2an sdh diatasi.</t>
  </si>
  <si>
    <t>@PASPusat kalau ada bukti... tunjuklah. ni takda bukti sibuk sembang nak lawan mush imaginasi. otak mana otak? fahaman penganas isis tu tak nak lawan pula.</t>
  </si>
  <si>
    <t>Korea Selatan Dinyatakan Berstatus 'Red Alert' Akibat Wabah Virus Corona, KBRI Ungkap Kondisi WNI  via @tribunpontianak</t>
  </si>
  <si>
    <t>@nyemilmulu Jaga kesehatan ya kak, semoga wni gk ada yg kena amin</t>
  </si>
  <si>
    <t>RT @KeyshaAdinda5: Israel serang Suriah, Kekalahan total ISIS di suriah ngebuka kedok kepentingan Zionist n sekutu d suriah. Terbukti mereka g beri ksmpatan bagi pmrintahn Assad memperbaiki negaranya yg hancur BTW, Erdogan jg ada sst dg Suriah loh.🤔 Cc sis @Nouna_jessica94</t>
  </si>
  <si>
    <t>@zazaniche @edyhumaidy_e @Parapat_Nixon @WagimanDeep__ Menurut khabar, kapal kesehatan tsb akan mengapung di kepulauan seribu sambil observasi wni yg diangkut.Kalau langsung berlabuh riskan (alasan u kesehatan masyarakat).</t>
  </si>
  <si>
    <t>@ISIS_Balik_NO @Ara8818 @YusufNusantara1 @Kemhan_RI @Dahnilanzar @jokowi Untung MK menangkn jokowi</t>
  </si>
  <si>
    <t>@Cobeh09 Berarti itu yg joget2 anggota ISIS semuanya... wong pimpinannya Albagdadi... Kurang ajar...!!</t>
  </si>
  <si>
    <t>RT @tempodotco: Pemerintah menetapkan Pulau Sebaru di Kepulauan Seribu jadi lokasi evakuasi WNI yang terdampak wabah virus Corona. #VirusCorona</t>
  </si>
  <si>
    <t>Kemlu Pastikan 362 Kru WNI Kapal Pesiar Westerdaam dalam Keadaan Sehat</t>
  </si>
  <si>
    <t>@senjamrahjingga Anda mau diskusi apa tentang corona yg diderita oleh wni pekerja kapal tsb,ayok face to face kita argumen</t>
  </si>
  <si>
    <t>KABAR WNI ??? #Corona #VirusCorona #Wuhan #China #coronavirus #CoronavirusOutbreak #Daegu #KoreaSelatan #SouthKorea #SouthKorean #Coronavirius #RedAlert</t>
  </si>
  <si>
    <t>@bahasrl Ini jadiin anggota ISIS aja , menuh2in indonesia</t>
  </si>
  <si>
    <t>Habis jdin corona guyonan abis itu 3 WNI di kapal pesiar positif corona Jakarta banjir di hari libur dibilang berkah gub sholeh, kl bkn gub sholeh banjirnya terjadi senin selasa rebo. Dan tiba2 selasanya banjir dmna2 Moral of the story: JANGAN TAKABUR</t>
  </si>
  <si>
    <t>kgaduhan trs trjd rakyat terbelah² krn pembiaran narasi politik oleh penguasa. Klimat spt aku pancasila,aku nkri, Islam radikal,isis,trpapar khilafah yaitu narasi provokatif y drawat &amp; dgaungkan agr rakyat tdk fokus k persoalan bangsa y sesungguhnya. #NegeriGaduhUlahPenguasa</t>
  </si>
  <si>
    <t>@msaid_didu Kanapa zaman anda dulu ga di Brantas hal2 yg menurut anda ga wajar, knp baru sekarang anda koar2 yg begini yg begitu, itu bertanda anda orang yg ngak gentle, saat ini anda bukan membantu pemerintahan supaya maju dan lebih baik, kalau anda merasa wni apakah anda sakit hati ya pak</t>
  </si>
  <si>
    <t>Jumlah Korban Corona Di Korsel Terus Melonjak, DPR Minta Pemerintah Evakuasi WNI Di Daegu #AwasHoaxVirusCorona #Coronavirus #RepublikMerdeka</t>
  </si>
  <si>
    <t>Menko PMK Muhadjir Effendy mengatakan, KRI Dokter Soeharso sudah merapat ke perairan Riau untuk mengevakuasi ratusan WNI yang berada di dalam Kapal World Dream. #Liputan6SCTV</t>
  </si>
  <si>
    <t>@adysiswanto12 @wiwin40718731 @abcaustralia_id @jokowi @Dahnilanzar @prabowo Hahahaha. Kbiasaan. Kalah argumen langsung isas isis, radikal radikul..</t>
  </si>
  <si>
    <t>RT @Kanseulir: Pesan WNI Yang Ada di Kapal Diamond Princess Untuk Jokowi: Kami Juga Indonesia, Pak Presiden YANG KALIAN TUJU HANYA BISA PLANGA PLONGO..! 😁😁</t>
  </si>
  <si>
    <t>Menjadi masyarakat yg anti isis</t>
  </si>
  <si>
    <t>RT @AWChuz: Adzab untuk pendukung ISIS yg berhasil menjadikan #wanbacot menjadi gubernur dapat dilihat saat ini berupa bencana banjir tak berkesudahan di jakarta. #AniesBaswedanJuaraBOHONG #AniesTenggelamkanDKI</t>
  </si>
  <si>
    <t>@UPIfess Banyak nder. 1. Urgensi kebijakan jokowi yang berupa pembangunan terowongan istiqlal - katendral. 2. Kasus Jiwasraya 3. Tentang kembalinya warga negara eks isis. 4. Tentang virus corona dan pariwisata indonesia juga masih bisa tuh masih anget beritanya</t>
  </si>
  <si>
    <t>Pak @mohmahfudmd untuk anak2 ISIS dibawah 10 thn yg sudah mahir pegang dan gunakan senjata gimana ?</t>
  </si>
  <si>
    <t>@7int4Putih @rpanggahza @aniesbaswedan Sdg musim hujan, banjir di DKI yg digoreng, masuk musim kemarau asap dan polusi di DKI yg goreng, tdk ketinggalan Radikal radikul, HTI, FPI, Intoleran, Telolis dan ISIS 😂😂😂</t>
  </si>
  <si>
    <t>RT @bpspl_makassar: #SahabatBahari, pagi ini dilaksanakan Kegiatan SOSIALISASI KEPMEN KP 8/2020 ttg Perlindungan Penuh Bambu Laut (Isis spp.) di kantor #BPSPLmakassar @DitjenPRL @aryohanggono @DitKKHL @a_rus2006 @andry_is</t>
  </si>
  <si>
    <t>@BudiKaryaS Maaf pak itu kelamaan. Jangan pelanggaran di biarkan nanti kayak ISIS malah sudah tidak bisa ditindak karena dibiarkan. Kata pak @jokowi sudah engak ada beban. Tindak saja pak. Jangan takut begitu donk!</t>
  </si>
  <si>
    <t>Kamu isis kamu teroris kamu syi'ah kamu bid'ah kamu wahabi. Los anying teu mikirkeun, sia yeuh geus boga polo teu aya guna na. Dek dianggep naon tah naon tah los goblog. -Muhammada.s</t>
  </si>
  <si>
    <t>33 Nelayan WNI Ditahan Di Thailand, Langgar Batas Wilayah Laut Ternyata negara Thailand lebih hebat menjaga kedaulatannya dibanding negara Tailand</t>
  </si>
  <si>
    <t>@donny_ibnu Gimana ga islamiphobia. Kampanye ISIS di timtemg bener2 mirip iblis.</t>
  </si>
  <si>
    <t>@IbuNe_neng @9GAG Team kerja pak @jokowi sering memper-tontonkan kegaduhan yg tak perlu, bahkan cenderung memalukan. Entah kemana arah bangsa ini mereka bawa, segala ISIS ko di bela..?</t>
  </si>
  <si>
    <t>@syacliffe Mendingan wni yg di sana dievakuasi deh kek yg di wuhan. Serem coy segitu banyaknya kena</t>
  </si>
  <si>
    <t>RT @TSpartan99: Mohon dibaca dan dipahami ya? Ternyata Presiden @jokowi memilih Fachrul Razi sebagai Menteri Agama @Kemenag_RI karena FR dari kalangan non partisan. Tapi mengapa FR partisan dengan memihak kaum intoleran, FPI dan ISIS?! @Takviri @KakekHalal @kemenagsulut</t>
  </si>
  <si>
    <t>RT @deninovita: @ferdinandouny @arieoz Pas yg wni di karantina di cruise itu dr kbri juga di kirimin berpak2 tolak angin loh.</t>
  </si>
  <si>
    <t>Menteri Kesehatan Terawan mengatakan tak ingin terburu-buru mengevakuasi WNI di Diamond Princess.</t>
  </si>
  <si>
    <t>@KurniaSubud Eks ISIS &amp; para koruptor di lempar kesini Cocok nih 😆</t>
  </si>
  <si>
    <t>RT @antaranews: Akibatnya para pengusaha menderita kerugian yang ditaksir berkisar puluhan miliar rupiah per hari. #banjir #Banjir2020</t>
  </si>
  <si>
    <t>@AREAJULID anak-anak dalam negeri kaga lo urusin, anak eks isis lo urusin jingan</t>
  </si>
  <si>
    <t>Menkes Terawan mengatakan bahwa pemerintah sampai saat ini belum memutuskan pilihan dalam mengevakuasi WNI yang menjadi kru kapal Diamond Princess.</t>
  </si>
  <si>
    <t>Pulau tak berpenghuni bakal observasi 188 WNI kapal pesiar Dream World #ElshintaEdisiPagi</t>
  </si>
  <si>
    <t>33 Nelayan WNI Ditahan Di Thailand, Langgar Batas Wilayah Laut</t>
  </si>
  <si>
    <t>RT @DreamersRadioID: Viral Video WNI Di Kapal Diamond Princess Mohon Dipulangkan Oleh Jokowi dengan Pesawat</t>
  </si>
  <si>
    <t>@yusuf_dumdum @tvOneNews Mungkin orang ini ngajinya ke isis...</t>
  </si>
  <si>
    <t>Adzab untuk pendukung ISIS yg berhasil menjadikan #wanbacot menjadi gubernur dapat dilihat saat ini berupa bencana banjir tak berkesudahan di jakarta. #AniesBaswedanJuaraBOHONG #AniesTenggelamkanDKI</t>
  </si>
  <si>
    <t>PEMERINTAH TOLAK PEMULANGAN WNI EKS ISIS?? || BICARA KONSTITUSI - A. IRM...  via @YouTube</t>
  </si>
  <si>
    <t>@TofaTofa_id andai ahok tidak dikriminilisasi oleh pendukung ISIS, pasti sekarang jakarta sudah seindah Tokyo.</t>
  </si>
  <si>
    <t>RT @geloraco: 33 Nelayan WNI Ditahan Di Thailand, Langgar Batas Wilayah Laut</t>
  </si>
  <si>
    <t>Mahfud MD: Pemerintah Bakal Pulangkan Anak Yatim Piatu WNI eks ISIS</t>
  </si>
  <si>
    <t>RT @giminELLex: Ribuan Prajurit ISIS di Suriah, Termasuk WNI Akan Diadili Maret 2020  Selamat menikmati. @TolakBigotRI @RizmaWidiono @triwul82</t>
  </si>
  <si>
    <t>@Cobeh09 Wiwwww...nama pesantrennya mirip nama petinggi ISIS ya....</t>
  </si>
  <si>
    <t>RT @nu_online: Wabah Virus Corona, PCINU Tiongkok Dukung Upaya Pemerintah Evakuasi WNI dari Hubei</t>
  </si>
  <si>
    <t>@edyhumaidy_e @Parapat_Nixon @WagimanDeep__ Masalahnya, di kapal laut (kapal kesehatan) durasi perjalanan u sambil observasi mereka. Info: kapal cuma sampai perairan Natuna.WNI bakalan diangkut pesawat dari Jepang.</t>
  </si>
  <si>
    <t>RT @KompasTV: Terkait 9 WNI yang Positif Corona di Jepang, Apa Rencana Pemerintah?</t>
  </si>
  <si>
    <t>@aagym Beda ma anak Isis pak... Di ajari penggal leher orang</t>
  </si>
  <si>
    <t>RT @BubuNyaii: Oh maiii hotttttt. Jadi pulang jugak anak anak Kadron ISIS?? Jadi ingat Vidio anaknya ISIS yg ekting nyembelih boneka pandanya😱😱 Beware mereka anak Kadron ISIS bisa jadi BONEKA CHUCKY 😱😱😱😱😱😱😱😱😱😱😱😱😱😱😱😱😱😱😱😱😱😱😱😱😱😱😱😱😱😱😱😱😱😱😱😱😱😱😱😱😱😱😱😱😱😱😱</t>
  </si>
  <si>
    <t>RT @tempodotco: Cerita WNI ABK Diamond Princess: Suasana Sangat Mencekam</t>
  </si>
  <si>
    <t>Cerita WNI ABK Diamond Princess: Suasana Sangat Mencekam</t>
  </si>
  <si>
    <t>WNI Awak Kapal Diamond Princess Berharap Dijemput dengan Pesawat</t>
  </si>
  <si>
    <t>WNI di Kapal World Dream Dijemput Pakai KRI Soeharso Besok</t>
  </si>
  <si>
    <t>RT @korantempo: Dunia yang Adil di Mata ISIS</t>
  </si>
  <si>
    <t>@sebbazuccala mi bebe isis 💕</t>
  </si>
  <si>
    <t>Bukan Natuna, Kini Pulau Sebaru, Kepulauan Seribu Jakarta Lokasi Observasi WNI dari Virus Corona  lewat @tribunmaduracom</t>
  </si>
  <si>
    <t>@Donal_golan @umardhan Anak2 ISIS nanti kalau mau bom diri jangan ke gereja lagi ya, udah sering. Coba sekali-sekali ke counter markobar atau outlet sang pisang ya</t>
  </si>
  <si>
    <t>Cegah virus Corona #Viruscorona #coronavírus #IndonesiaSehat #wni #indonesia</t>
  </si>
  <si>
    <t>Beda Nasib WNI World Dream &amp; Diamond Princess 'Kapal Corona'</t>
  </si>
  <si>
    <t>@jokowi @PlateJohnny @kemkominfo @DPR_RI @ErisMunandar05 @syafril_nst_se @mohmahfudmd @Supratm79927723 @KPI_Pusat @KRMTRoySuryo2 begitu besar yang harus dikeluarkan warga pelosok hanya untuk menyaksikan tv negaranya sendiri😥 apa ini sila ke lima bung🥵kami juga WNI</t>
  </si>
  <si>
    <t>Menko Polhukam Mahfud MD menyebut pemerintah telah menjadikan rencana pemulangan anak yatim piatu WNI eks ISIS sebagai kebijakan resmi. Seperti dikutip dari , Mahfud MD mengatakan, sejauh ini identitas anak-anak yang akan dipulangkan belum bisa diumumkan.</t>
  </si>
  <si>
    <t>Pemerintah memilih Pulau Sebaru sbg tempat observasi 188 WNI anak buah kapal (ABK) World Dream yg saat ini berada di jepang. Saat ini pemerintah juga sdg menyiapkan KRI Soeharso utk mengevakuasi secepatnya para WNI yg negatif dri virus corona di kapal tsb. #SEKAPURTULIS</t>
  </si>
  <si>
    <t>188 WNI akan Diobservasi di Pulau Kosong Tak Berpenghuni, Pulau Sebaru Kecil</t>
  </si>
  <si>
    <t>RT @UstianaRestian: WNI Kru Diamond Princess Minta Dievakuasi: Kami Sangat Takut, Ibaratnya Dibunuh Pelan-Pelan</t>
  </si>
  <si>
    <t>RT @BobbyIrwanda: @jokowi tolong diperhatikan WNI krew kapal ini. Tinggal mereka yang belum jelas kapan akan dijemput oleh negaranya, jumlah yang sakit dari 4 sudah menjadi 9. Di kapal tinggal tersisa krew dri filipina, india &amp; indonesia. Hanya tinggal Indonesia saja yang blm jelas nasibnya.</t>
  </si>
  <si>
    <t>Pulau tak berpenghuni bakal observasi 188 WNI kapal pesiar Dream World</t>
  </si>
  <si>
    <t>#SahabatBahari, pagi ini dilaksanakan Kegiatan SOSIALISASI KEPMEN KP 8/2020 ttg Perlindungan Penuh Bambu Laut (Isis spp.) di kantor #BPSPLmakassar @DitjenPRL @aryohanggono @DitKKHL @a_rus2006 @andry_is</t>
  </si>
  <si>
    <t>@haikal_hassan Yang mental pengemis dan peminta minta mulai nulis minta yang waras berbagi zakat... sementara warga ISIS mulai membuat dan mencari dukungan.</t>
  </si>
  <si>
    <t>@arieoz Masker di Indo udah mahal kak 😭😭 Semoga ada penanganan ya kak dari pihak sana Semoga kakak dan wni yg ada disana selalu dalam lindungan Nya</t>
  </si>
  <si>
    <t>RT @AkipFirmanshah: Hajar isis dan kadrun beh! Cuekin pembela2 isis macam pks, fpi, fadli zon ..</t>
  </si>
  <si>
    <t>Inilah Alasan kenapa negara tetangga kita udah maju berkembang pesat. WNI, +62 , WKWKWK LAND citizen nya aja masih modelan kayak gini. RT @popokman: Enak juga jadi pa anis, masih ada aja yang belain hehe</t>
  </si>
  <si>
    <t>Pemerintah terus mengoptimalkan berbagai upaya untuk memastikan warga negaranya tidak terpapar virus corona, termasuk melakukan pendampingan terhadap WNI yang sudah boleh pulang hingga ke daerah asal. #viruscorona</t>
  </si>
  <si>
    <t>@DjanChoek Anak anak ISIS dibawa plg ... 🤦🏻‍♀️pejabat ogeb dipelihara negara... ancorrr</t>
  </si>
  <si>
    <t>RT @AgengSelo_: @syiahgl karena gencarnya opini sejak dulu, Israel dianggap sebagian orang sebagai entitas negara. Padahal tidak ada bedanya dg ISIS. Gerombolan yang didatangkan dari berbagai penjuru dunia lalu membangun negara dalam sebuah negara. Israel bukan entitas apa-apa, NIHILISME!</t>
  </si>
  <si>
    <t>@syiahgl karena gencarnya opini sejak dulu, Israel dianggap sebagian orang sebagai entitas negara. Padahal tidak ada bedanya dg ISIS. Gerombolan yang didatangkan dari berbagai penjuru dunia lalu membangun negara dalam sebuah negara. Israel bukan entitas apa-apa, NIHILISME!</t>
  </si>
  <si>
    <t>Fuck, kerjaan Skeletiano NAMBAH ini! Moga mereka masih bisa dibina dan belum perlu dibinasakan.... 😢 #ISIS_eks_WNI #demi_kemanusiaan #anak_WNI_korban_ISIS_juga_manusia Anak Yatim Piatu WNI Eks ISIS Dipulangkan, Mahfud: Kebijakannya Sudah Resmi</t>
  </si>
  <si>
    <t>Jemput WNI dari Kapal World Dream Lebih Minim Risiko daripada Diamond</t>
  </si>
  <si>
    <t>RT @arfanalfikyy: tolong untuk pemerintah cepat dalam mengambil keputusan dalam evakuasi kru wni di kapal diamond princess pikirkan perasaan kami sebagai keluarga yang masih ada di dalam kapal @jokowi @mohmahfudmd @Menlu_RI #coronavirus #evakuasi #wni #DiamondPrincess</t>
  </si>
  <si>
    <t>RT @FerdinandHaean2: @detikcom @HusinShihab Salah pemahaman ttg NKRI ya ujungnya sprt ini. Ditanbah produk kebencian yg didapatnya dr komunitas hidup yg radikal akan membuat jiwanya tak normal. Sama dgn ISIS EKS WNI itu, mrk menyimpang pemahaman krn komunitas hidupnya yg extrim dan radikal dlm memberi kebencian.</t>
  </si>
  <si>
    <t>Btw korsel siaga 1 gara2 corona.. Tiket PP indo - korsel - indo di bawah 2jt. Harga yg terjun bebas dikarenakan masalah virus ini di korsel. WNI di sana minta pulang pada susah. Tapi wni sini malah berburu tiket murmer kesana . Entah apa yg merasuki mu😱😱</t>
  </si>
  <si>
    <t>@chittpbabw mei deus isis foi tombadaKKKKDKRKDJKK</t>
  </si>
  <si>
    <t>Anggota apa? ISIS? RT @ikesetiaan: Ak turut prihatin, sm cwe yg ngebet sm abdi abdi negara alias berseragam. Ky tmn ak nyakitin bgt:( tmn (cwo) ak mo knl m tmn (cwe) ku, trs s cwe bilang gini "kerjaanya ap ke?" Ak jwb "pt pt gt" s cwe "galah gamau lu taukan gue sukanya sm anggota gt" NUAJIS</t>
  </si>
  <si>
    <t>188 WNI Kru Kapal World Dream Nantinya Akan Dikarantina di Pulau Sebaru Selama 14 Hari  via @tribunnewswiki</t>
  </si>
  <si>
    <t>@wilarmono @wawanputro1 @msaid_didu Kelihatannya otak lu udah parah didoktrin kadal gurun...percuma ngomong ama org yg hati dan otaknya udah keracunan...gw usul mending lu minta suaka ke Suriah, ga usah jadi WNI lg spy hidup ga tersiksa.</t>
  </si>
  <si>
    <t>RT @Boemi_Pertiwi12: BAGUS LAH. .... PASPOR WNI DIBLOKIR Dipastikan Tak Bisa Kembali ke Indonesia, Paspor WNI Eks ISIS Diblokir</t>
  </si>
  <si>
    <t>Terkait dengan rencana pemulangan WNI dari akapal World Dream dan Diamond Princess, #SobatPMK bisa cek pernyataan-pernyataan Menko PMK Muhadjir Effendy dalam press conference di depan awak media.</t>
  </si>
  <si>
    <t>@Cobeh09 Al baghdadi itu bukannya isis ya....</t>
  </si>
  <si>
    <t>Setelah Natuna, Pulau Sebaru Disiapkan untuk Observasi 78 WNI dari Jepang</t>
  </si>
  <si>
    <t>@JayHind11544289 Ye ve hi ISIS ke follower hai Inka Kejriwal mashia hai</t>
  </si>
  <si>
    <t>RT @KBinsa: Jadi WNI yang baik tidak ada ruginya kok. Justru malah jadi contoh dalam kehidupan berbangsa 😊 Orang tua pasti bangga🤗 @jokowi @TjahjantoHadi @Puspen_TNI @DivHumas_Polri @BPIPRI #KomikKita #SiBinsa #P5TNI #NegaraHukum</t>
  </si>
  <si>
    <t>Begini Skema Evakuasi 188 WNI dari Kapal World Dream ke Pulau Sebaru Kecil</t>
  </si>
  <si>
    <t>@arieoz Stay safe WNI di sana 😭😭</t>
  </si>
  <si>
    <t>@JokesOnUBats @DedyPitopang @hannarayliza @ruhutsitompul Ini baru bener ternyata harus nunggu azab Allah dulu baru sadar... negerinya mau dikuasai aseng kok bangga...</t>
  </si>
  <si>
    <t>@ReVeronicaL @daisyminusone oh weird krn yg terjangkit corona rata2 wni di luar negeri? wkwk ngakak. ohmess kan org</t>
  </si>
  <si>
    <t>RT @RizmaWidiono: Begitu mereka membakar Paspor atau identitas mereka sbg WNI, disaat itulah mereka bukan WNI lagi. Mereka tidak perlu untuk di pulangkan. Biarkan mereka menikmati pilihannya. #ISISGoToHell</t>
  </si>
  <si>
    <t>Pak/bu @jokowi @aniesbaswedan @ridwankamil @CommuterLine saya mau resign aja jadi WNI, Pusing saya pak/bu. Nyari kerja di bogor susah, sekalinya ada umr nya umr bogor sedangkan biaya hidup di bogor = biaya hidup di jakarta.</t>
  </si>
  <si>
    <t>RT @FerdinandHaean2: Kalau sy jd Presiden, sy akan nyatakan secara tegas dan melarang seluruh jajaran sy untuk membahas kelompok ISIS EKS WNI ini. Abaikan mrk, tak perlu diurus dan lbh baik urus WNI yg msh butuh bantuan negara. Stop tak ada diskusi. Ayo pak @jokowi tegaslah</t>
  </si>
  <si>
    <t>S a h !! Anak Yatim Piatu WNI Eks ISIS Dipulangkan, Mahfud: Kebijakannya Sudah Resmi. Saat ditanya jumlah anak-anak eks WNI terpapar ISIS yang akan dipulangkan, Menkopolhukam Mahfud MD menjawab belum memiliki data secara detail.</t>
  </si>
  <si>
    <t>Italia Dihantui Virus Corona, WNI Diminta Waspada  #DariSuara</t>
  </si>
  <si>
    <t>Pihak KBRI Seoul, Korea Selatan memastikan hingga kini seluruh WNI yang betada di Korea Selatan dalam keadaan baik dan sehat, dan tidak ada yang terinfeksi virus corona, menyusul status siaga 1 negara tersebut. #MostUpdate1058</t>
  </si>
  <si>
    <t>Pihak KBRI Seoul, Korea Selatan memastikan hingga kini seluruh WNI yang betada di Korea Selatan dalam keadaan baik dan sehat, dan tidak ada yang terinfeksi virus corona, menyusul status siaga 1 negara tersebut. #BeritaTerkiniGenfm</t>
  </si>
  <si>
    <t>RT @AdhieMassardi: Pak Presiden &amp; Wapres RI Yth. Anda sdh ucapkan sumpah: "...memegang teguh UUD &amp;amp; jalankan segala UU, dst." ¤ perintah Konstitusi al: "melindungi segenap bangsa Indonesia..!" Maka kewajiban Anda berdua selamatkan WNI ABK kapal Diamond yg terancam jiwanya. DPR, DPD, ingatkan mereka!</t>
  </si>
  <si>
    <t>@night_mimee penah</t>
  </si>
  <si>
    <t>Pripun mbaaaah.. Soisoneee</t>
  </si>
  <si>
    <t>RT @setkabgoid: Pemerintah Utamakan Prinsip Kehati-hatian Tangani Pemulangan WNI di Diamond Princess</t>
  </si>
  <si>
    <t>@ruskadevushka ISIS.. Al Qaeda</t>
  </si>
  <si>
    <t>@Isis_brms Merciii Isisssss</t>
  </si>
  <si>
    <t>@Donal_golan Tau dari Mana umur nya kurang dari 10 tahun? ISIS bikinin akte lahir ya? Atau cuma sekedar tebak2 aja macam buah manggis nih Pak @mohmahfudmd ?</t>
  </si>
  <si>
    <t>Please pak @jokowi. Mereka lebih penting dari ex wni di suriah.. Dibunuh Pelan-pelan', Kru Kapal Asal Indonesia: Tolong Jemput Kami Pak Jokowi</t>
  </si>
  <si>
    <t>@tijabar Qo ga sekalian aza sampe wni di seluruh dunia... Biar Lebih multi DUNGU maksud nya... 😂😂😂</t>
  </si>
  <si>
    <t>Ke-sotoy an yang hqq. Jalan-jalan naik sepeda ke kawaguchiko, kehujanan &amp; berteduh lama bgt sambil VCall w/WNI yg belum bisa nyusul sambil ngbrl “Nanti bakal turun salju lho”, “Yauda kita pulangnya pas salju turun…</t>
  </si>
  <si>
    <t>Investasi baiknya meniru konsep Tambang Emas Freeport, 51% Holding BUMN-BUMD-Plasma Petani/Nelayan &amp; 49% PMA, krn Indonesia sdh dikategorikan Negara Maju shg hrs punya PNBP yg besar. Semua SDA hrs dikelola dgn konsep minimal 51% RI &amp;amp; maksimal 49% Asing, itupun 90% Naker hrs WNI.</t>
  </si>
  <si>
    <t>33 Nelayan WNI Ditahan Di Thailand, Langgar Batas Wilayah Laut #RepublikMerdeka</t>
  </si>
  <si>
    <t>RT @Donal_golan: Pak @mohmahfudmd @BNPTRI dan Bu @Menlu_RI , jika opsi pemulangan anak2 WNI eks teroris ISIS harus dipikirkan untuk membuat pertimbangan dlm kamanusian, apakah anak ini tak kalian lihat penderitaan panjangnya...?! Mengapa kalian begitu sibuk memikirkan anak2 WNI eks ISIS..?! 🤨🤨</t>
  </si>
  <si>
    <t>@Halilitar3 @meenachan @yunartowijaya @aniesbaswedan kalau mau dpt pahala tinggal di Suriah sama ISIS saja</t>
  </si>
  <si>
    <t>Pemerintah akan mengevakuasi warga Negara Indonesia (WNI) yang menjadi anak buah kapal (ABK) World Dream ke Pulau Sebaru Kecil, Kabupaten Administrasi Kepulauan Seribu, Jakarta. #WNI #ABK #WorldDream #BNPB</t>
  </si>
  <si>
    <t>Pemerintah Berencana Blokir Paspor ISIS Eks WNI</t>
  </si>
  <si>
    <t>Ternyata mahasiswa Indonesia di Luar Negeri pun "dimonitor" - kebebasan WNI sdh terpenjara di seluruh dunia</t>
  </si>
  <si>
    <t>188 WNI Kru Kapal World Dream akan Diobservasi di Pulau Kosong Tidak Berpenghuni</t>
  </si>
  <si>
    <t>sama seperti kalian suhada mental isis</t>
  </si>
  <si>
    <t>DAMPAK ILUSI ISIS BAGI KETENTRAMAN DUNIA.</t>
  </si>
  <si>
    <t>Sebanyak 188 WNI yang dijemput dari kapal pesiar World Dream akan dievakuasi dan diobservasi di Pulau Sebaru Kecil, Kepulauan Seribu, DKI Jakarta. Di sana mereka akan menjalani observasi selama 14 hari. #SorotanMedia #WaktunyaLokadata</t>
  </si>
  <si>
    <t>wni korea keren jg anjir udh segitu banyak case masi sehat. jjang!!!</t>
  </si>
  <si>
    <t>@Julian303 @FerdinandHaean2 @aniesbaswedan Ini jg salah 1 sampah nkri Ferdinand itu jabatan nya apa? Pak @jokowi itu di pilih oleh rakyat dgn cara apa?kl wan abud dgn cara jualan ayat n mayat. Kl ahok?..jelas2 kinerja nya jauh lbh baik dr wan abud..cm krn ga seiman lalu di demo. Inikah wajah wni yg dongokh permanen?</t>
  </si>
  <si>
    <t>@3_devout @Donal_golan @Sarah_Pndj @Jelantik5 @agama_nusantara @Parapat_Nixon @KakekHalal @tjapoengmerah @CastilloJoshima @sugi_0706 @herlambang_tan @HendiBram @aya_ddt @Kars104 @BirgaldoS @Nouna_jessica94 @Billbil_billa @LusiHQ @harihariono1 @oneaperture @Takviri @SWD_wolverine @1_devout @2_devout @4_devout Jangan lupa yg setuju untuk memulangin ISIS Adalah Binatang ISIS juga 👌</t>
  </si>
  <si>
    <t>RT @Sarjojo3: @permadiaktivis @jokowi @basuki_btp @aniesbaswedan Seharusnya jamaah monaslimin doa bersama lagi, seperti pada saat demo ke @basuki_btp yang diotaki oleh orang2 ini @haikal_hassan @aagym @musniumar @msaid_didu @hnurwahid @MardaniAliSera @fadlizon @MarwanBatubara @Hilmi28 @ustad_alhabsyi @NowowoNowiwi</t>
  </si>
  <si>
    <t>RT @PDI_Perjuangan: Pemerintah Siapkan Opsi Evakuasi WNI di kapal pesiar Diamond Princess yang berlabuh di Pelabuhan Yokohama Jepang  #PDIPerjuangan</t>
  </si>
  <si>
    <t>RT @geloraco: Dampak Korona, Pekerja Tiongkok di Proyek Kereta Cepat Diganti WNI</t>
  </si>
  <si>
    <t>@aewin86 Sudah dibully orang sedunia.....luar biasa...MENTAL KADRUN memang KUAT... .. .... ...kuat MALU #PecatSittiHikmawaty</t>
  </si>
  <si>
    <t>RT @8_fero_8: @Donal_golan @jokowi @3_devout @Sarah_Pndj @Takviri @KatolikG @snjayajonggrang @Billbil_billa @IngNa70 @Julie_Pandika @Nouna_jessica94 @Jelantik5 @JL_Apatheia @kimochiii_ alasan HAM,mrka ga pernah memanusiakan manusia lainya alasan ekonomi,mungkin mrka ga pernah mau usaha/pemalas alasan kasihan,mrka ga pernah kasian sm orang lain alasan WNI,mrka jelas2 Melepas dan berbaiat ke ISIS Adakah alasan yg urgent utk mereka dipulangkan pak @jokowi??</t>
  </si>
  <si>
    <t>RT @IMulya77: @Donal_golan @Akar0102 @jokowi @3_devout @Sarah_Pndj @Takviri @KatolikG @snjayajonggrang @Billbil_billa @IngNa70 @Julie_Pandika @Nouna_jessica94 @Jelantik5 @JL_Apatheia @kimochiii_ Pak @jokowi @mohmahfudmd @Kemenag_RI lbh baik perhatiin keluarga korban ledakan bom yg diakibatkan oleh antek2 ISIS drpd ngurusi org2 yg dgn sng hati meninggalkan NKRI demi ISIS.. Mrk jelas penghianat Negara.. Knp Negara malah ngurusi penghianat? Apa Negara sdh tdk ada kerjaan?</t>
  </si>
  <si>
    <t>Fasilitas kesehatan KRI Soeharso sudah memadai</t>
  </si>
  <si>
    <t>RT @el_kaezzar: 1. Emg dsitu era ahok ga banjir, kan @yunartowijaya dah blg ini 1st time dlm 7 thn. 2. Rumah gw sjk 2014 ga banjir. 2020 banjir 2x dlm 2 bln. 3. Dlm 5 thn, Jkw Ahok bikin byk daerah bebas banjir walo blm semua Jkt. 4. Dlm 2 thn, Anies bikin yg tadinya bebas banjir jd banjir lg.😅</t>
  </si>
  <si>
    <t>Perihal ras, agama, suku bangsa, mau ngomong apalagi? Udah jelas jelas chinese di indo itu WNI. WNI Y BAJINGAN, ga ada urusan sama pemerintah china, ngapain? Nenek moyangnya aja dari dulu udah tulen WNI. Sekali lagi, bajingan sekali kamu mas RT @black__valley1: Abang yg baju hitam ini brkebutuhan kusus, di buli sama orng yg baju merah, videonya cuman sbntr karna yg merekam hrus slamatin abang yg baju hitam, karna mau di timpuk menggunakan batu, bnyk orng di situ tapi gk mau misahin mereka, yg ada malah teriak hbisin ada yg teriak bakar</t>
  </si>
  <si>
    <t>@mosesfrancis @awkward_penyu Siapa pak turut dlm issu ltte? Melayu Isis kena tahan sosma dgn bukti yang lebih sedikit drp OKT ltte... Siapa pak turut, smp gagal bawa bukti yang dzn tu terrorist...</t>
  </si>
  <si>
    <t>Bahkan dahulu ada WNI kita di Jerman yg meninggal karena "shocking heat" karena berenang dengan pakaian renang Syar'i... RT @Agamajinasi: Rok panjang bikin meninggal. Common sense is not common.</t>
  </si>
  <si>
    <t>Paspor WNI Eks ISIS Sudah Diblokir  #LINETODAY</t>
  </si>
  <si>
    <t>Nah loh.... Gmn pangeran 🐸????? Warga Jepang dari Indonesia Kena Corona Sampai Evakuasi 180 WNI - VIVAnews</t>
  </si>
  <si>
    <t>@Donal_golan @Takviri Spt nya Negara takut dgn gerombolan teroris ISIS...??? 👎👎👎 Mending urusin anak² terlantar, yg krg mampu yg jls² dr klrg yg cinta NKRI &amp; Pancasila.</t>
  </si>
  <si>
    <t>@Shubhamp786 @rockfighter24 @NrcProtest Ok yha bhi tm missconcept hgye muslims me bhi firqe hote h..jese hindus me jain, sindhi etc sab alg alg hote Ek h religion ke hote h lr alg community ke... Isi trh muslim me bhi Ese h isis gruph jo ke shia etc or wo ye sab kr rha h or zulm bhi muslim ki doosri community pr ho rha</t>
  </si>
  <si>
    <t>RT @Donal_golan: Dimana hati nurani kalian wahai bapak / ibu pemimpin, sehingga kalian begitu sibuk memikirkan anak2 WNI eks teroris ISIS..?! Apakah bangsa ini sudah kehabisan akal sehat..?! Bukan kalian yg menjadi korbannya, apa lagi mayoritas, tapi kami Minoritas. 🤨🤨</t>
  </si>
  <si>
    <t>@null DPR Dukung Langkah Pemerintah Observasi 188 WNI di Pulau Sebaru Kecil Pemerintah</t>
  </si>
  <si>
    <t>Stay safe ya. Tmnku juga di daegu dah kasih kabar dia juga worry lot, bahkan yeungnam univ sampe ga ada wisudaan. Our pray here for all WNI there! RT @arieoz: oke guys kayaknya gue butuh bantuan doa dari lu semua buat keselamatan orang indo di korea khususnya yang di daegu, tempat gue menetap sekarang</t>
  </si>
  <si>
    <t>RT @KadrunHunter99: WNI yg telah bergabung dgn ISIS bukan lagi WNI menurut UU No 12 Th. 2006 Bab IV, namun secara de facto saja tidak cukup. Status WNI mereka harus dicabut secara de yure oleh Negara. Pemerintah hrs segera proses #CabutStatusWNIproISIS agar Sah scr Hukum. Cc: @jokowi @mohmahfudmd</t>
  </si>
  <si>
    <t>DPR Dukung Langkah Pemerintah Observasi 188 WNI di Pulau Sebaru Kecil #TauCepatTanpaBatas #BeritaTerkini #Berita #News #BeritaNasional .</t>
  </si>
  <si>
    <t>@arieoz Semoga lu dan semua WNI sehat dan baik-baik selalu ya bang 😢😢</t>
  </si>
  <si>
    <t>Nah, apakah ini pertanyaan atau tantangan? #dampakradikalisme #hakasasi #tolakradikalisme #lawanradikalisme @novitraramli777 @kabarkhusus @SoniMsi07</t>
  </si>
  <si>
    <t>Menkes Sebut Perlu Kehati-hatian Untuk Evakuasi WNI Kru Kapal Pesiar Diamond Princess  via @tribunnews</t>
  </si>
  <si>
    <t>@denyspam @oneaperture Kalau pun jadi atas nama HAM bocah2 ISIS ini dijemput ke Indonesia, bukan perkara mudah untuk deradikalisasi mereka. Krn sejak kecil sudah dicekoki dgn kekerasan.</t>
  </si>
  <si>
    <t>RT @aryacokronegoro: Dear Ibu @Menlu_RI @jokowi @LaolyYasonna tlg Cabut bebas visa warga negara Korea. Krn keadaan di sana makin tdk terkendali. Lgpla mrk sering nyusahin WNI dlm buat visa @BebasVisaID @sandmanindo @yovie_myg @addamfarizi @chuentoi @MikeyAM97 @IdEmbassy_Seoul @KTOJakarta @changbkim</t>
  </si>
  <si>
    <t>RT @republikaonline: Pemerintah juga mengidentifikasi anak-anak eks ISIS di bawah 10 tahun.</t>
  </si>
  <si>
    <t>@pencintaesteh Coba cari yang lain yg lebih bikin nyaman kalo masih ngulang kesalahan yg sama wkwk</t>
  </si>
  <si>
    <t>RT @vivanewscom: Warga Jepang dari Indonesia Kena Corona Sampai Evakuasi 180 WNI  #vivanews</t>
  </si>
  <si>
    <t>RT @ShyaReepah: Sdah g percaya ma bpk ini, setelah bergabung sma kabinet ini kok berasa bau"... Biar g heboh g bikin gejolak blgnya "ank" yatim piatu di bawah 10 th" pdhal mah...SEMUA DIPULANGIN!!!</t>
  </si>
  <si>
    <t>Warga Jepang dari Indonesia Kena Corona Sampai Evakuasi 180 WNI  #vivanews</t>
  </si>
  <si>
    <t>Hajar isis dan kadrun beh! Cuekin pembela2 isis macam pks, fpi, fadli zon .. RT @semiaji_w: *Bravoo Indonesia !🇮🇩🇮🇩🇮🇩*  Menko Polhukam Mahfud Md mengatakan data-data ISIS eks WNI sudah mulai disetor ke Kemenkum HAM. Paspor mereka segera diblokir.</t>
  </si>
  <si>
    <t>RT @Bangzul__88: 🇮🇩Tagar rakyat hari ini🇮🇩 #CabutStatusWNIproISIS Pemerintah jgn tertipu dg propaganda ISIS dan tipuan WNI pro ISIS. ISIS bertentangan dg Islam &amp; ideologi kita yg berazazkan Pancasila bukan Khilafah. Urus rakyat aja belum mampu kok mau sejahterakan teroris? @jokowi @Kemenag_RI</t>
  </si>
  <si>
    <t>RT @PutraErlangga_: Dampak Korona, Pekerja Tiongkok di Proyek Kereta Cepat Diganti WNI</t>
  </si>
  <si>
    <t>188 WNI ABK World Dream Akan Diobservasi di Pulau Tak Berpenghuni Ini  lewat @Tribun_Bali</t>
  </si>
  <si>
    <t>Viral Video WNI Di Kapal Diamond Princess Mohon Dipulangkan Oleh Jokowi dengan Pesawat</t>
  </si>
  <si>
    <t>Wilayahnya Jadi Tempat Observasi WNI Lagi, Bupati Natuna: Orang Sehat Kita Terima. #merahputih #WNI #Natuna #Indonesia</t>
  </si>
  <si>
    <t>Dear Ibu @Menlu_RI @jokowi @LaolyYasonna tlg Cabut bebas visa warga negara Korea. Krn keadaan di sana makin tdk terkendali. Lgpla mrk sering nyusahin WNI dlm buat visa @BebasVisaID @sandmanindo @yovie_myg @addamfarizi @chuentoi @MikeyAM97 @IdEmbassy_Seoul @KTOJakarta @changbkim RT @dailynaver: 70 new cases of the Coronavirus discovered in SK. Total of 833 and 8 fatalities. Of the 70 new cases: Daegu 42, Gyeongbuk 12, Busan 13, Gyeonggi 1, Seoul 1, Ulsan 1. More than 32,000 people diagnosed with corona-related symptoms.</t>
  </si>
  <si>
    <t>RT @__Ahmad_A1: @MallamRetweet Haha wai Mallam Retweet akwai wni dan Qasa ma Mallam Comment 🤣</t>
  </si>
  <si>
    <t>@MallamRetweet Haha wai Mallam Retweet akwai wni dan Qasa ma Mallam Comment 🤣</t>
  </si>
  <si>
    <t>RT @kekekapriana: Simak dialog mas Anggara @ICJRid tentang warga Indonesia ex simpatisan ISIS</t>
  </si>
  <si>
    <t>Lha jd inget pemimpinan ISIS Albaghdadi. RT @Cobeh09: = Uncensored = Acara Joget Dangdut "Plus" Pada Peresmian Pondok Pesantren Al Baghdadi Kec. Rengasdengklok Kab. Karawang Prov. Jawa Barat Sabtu, 14 Februari 2015.</t>
  </si>
  <si>
    <t>@pencintaesteh @aniesbaswedan Sabarr.puk puk</t>
  </si>
  <si>
    <t>RT @KATADATAcoid: Pemerintah tengah bernegosiasi dengan Jepang untuk memulangkan 74 WNI kru kapal Diamond Princess yang menjadi episentrum baru penyebaran virus corona.</t>
  </si>
  <si>
    <t>@detikcom @detikfinance Ngga usah takut bahkan sebaliknya USA pertumbuhan ekonominya berada di indonesia dari bisnis waralaba ,tekstil,perfilman,dan migas justru USA ketar ketir dg beban kenaikan bea masuk 100% barang barang impor USA,bagi wni doyan barang impor USA kena imbasnya mohon kurangin</t>
  </si>
  <si>
    <t>@MalvaSelena @WagimanDeep__ @Black_lleviant @DivHumas_Polri @CCICPolri @BareskrimPolri Ni songong hadapin ke gua gua ratain gigi ma muka lo sontoloyo , all wni adalah bangsa indonesia NKRI adalah milik bersama jangan lo Claim milik lo aja goblok</t>
  </si>
  <si>
    <t>Opsi Evakuasi WNI di Diamond Princess dan Negosiasi dengan Jepang</t>
  </si>
  <si>
    <t>@ardyfariyansyah @lho_koq @Aryprasetyo85 @DivHumas_Polri @jokowi Cie belain ISIS. Situ simpatisan ISIS apa gimana?</t>
  </si>
  <si>
    <t>@VIVAcoid Yg disurvei kadrun ama isis kali ya</t>
  </si>
  <si>
    <t>@KRMTRoySuryo2 Sah! Anda benar2 WNI. Tinggal ybs ditunggu postingannya. Sampe unta masuk lubang jarum keliatannya</t>
  </si>
  <si>
    <t>Banyak yg gak paham sama pemulangan wni yg d daerah yg kena virus corona.. "pergi gak pamit, pulang minta jemput? Kerja lama duitnya kemana? ".. The hell dude? Sekolah cma cari ijasah ya gitu dah</t>
  </si>
  <si>
    <t>RT @hariankompas: Sebanyak 188 warga negara Indonesia yang jadi awak kapal pesiar World Dream akan segera dievakuasi dan diobservasi di Pulau Sebaru Kecil, Kepulauan Seribu. #Humaniora #KawandalamPerubahan</t>
  </si>
  <si>
    <t>RT @kompascom: Pemerintah akan menjemput 188 WNI yang menjadi anak buah kapal (ABK) World Dream di Selat Johor, Malaysia dengan KRI Soeharso.</t>
  </si>
  <si>
    <t>RT @arwidodo: Dirut PT Kereta Cepat Indonesia China, Chandra Dwiputra menyatakan, ada tenaga kerja asal China yang tidak bisa ke Indonesia karena wabah Covid-19. Selain itu, bahan-bahan dari Tiongkok tidak bisa diimpor ke tanah air.</t>
  </si>
  <si>
    <t>Terkait 9 WNI yang Positif Corona di Jepang, Apa Rencana Pemerintah?</t>
  </si>
  <si>
    <t>Pemerintah Akan Pulangkan Anak Yatim Piatu WNI Eks ISIS di Bawah 10 Tahun</t>
  </si>
  <si>
    <t>TIMES Indonesia: Eks ISIS Ditinjau Dari Regulasi Anti Terorisme di Indonesia.</t>
  </si>
  <si>
    <t>9) dan kembali ke Uni Eropa dengan pengalaman menyerang, serta level indoktrinisasi tingkat tinggi. Pejabat tertinggi EUROPOL tetap memperingatkan bahwa mereka berpotensi kembali kepada Uni Eropa dengan maksud melancarkan operasi sebagaimana serangan di Paris pada 2015 oleh ISIS.</t>
  </si>
  <si>
    <t>8) Pada kasus warga negara yang terekrut/ diperkerjakan menjadi militan teroris pernah ada. Menurut estimasi EUROPOL yang merupakan badan khusus kriminalitas Uni Eropa (UE), setidaknya ada 3.000 s.d 5.000 masyarakat (UE) yang terjaring adalam kelompok teroris ISIS/Iraq &amp; Suriah..</t>
  </si>
  <si>
    <t>@RAYtrilogy Cek ig Keknya bukan wni</t>
  </si>
  <si>
    <t>@EnungMaryati @htsubiyantoro @KEMENPORA_RI Keknya bkn wni</t>
  </si>
  <si>
    <t>Presiden @jokowi memutuskan untuk mengevakuasi WNI yg berada di kapal pesiar World Dream memakai KRI Dr. Soeharso dlm beberapa jam mendatang dan melakukan transit observasi di Pulau Sebaru, Kepulauan Seribu. Semoga saudara2 kita sehat wal afiat #BungJubir</t>
  </si>
  <si>
    <t>Bahaya memang, org2 yg mengalami kepahitan krn kemiskinan, krn kekerasan, krn nasib dianggap gak adil bagi mrk, trus mereka dipanas2i menyalurkan kepahitan terpendam itu dan menyalurkannya jd sarana kebencian buat sesama WNI tp beda ras sama dia..</t>
  </si>
  <si>
    <t>Sebanyak 188 warga negara Indonesia yang jadi awak kapal pesiar World Dream akan segera dievakuasi dan diobservasi di Pulau Sebaru Kecil, Kepulauan Seribu. #Humaniora #KawandalamPerubahan</t>
  </si>
  <si>
    <t>@kangmirdja @yosefkrido07 @jokowi @DivHumas_Polri @mohmahfudmd Contoh masalah lain seputar kelemahan penanganan radikalisme. Saya ndak menyangka justru titik lemah nya ada di pak @mohmahfudmd sendiri.</t>
  </si>
  <si>
    <t>RT @Resof85: @Cobeh09 @93712853kL_Bg33 Al baghdadi kok mirip nama Pemimpin Isis?</t>
  </si>
  <si>
    <t>RT @jawapos: Jemput WNI dari Kapal World Dream Lebih Minim Risiko daripada Diamond</t>
  </si>
  <si>
    <t>RT @kompascom: "Anak-anak di bawah 10 tahun yang yatim piatu itu akan dipulangkan, itu kebijakannya sudah resmi," ujar Mahfud.</t>
  </si>
  <si>
    <t>Presiden @jokowi memutuskan untuk mengevakuasi WNI dari kapal World Dream memakai KRI Dr. Soeharso &amp; melakukan transit observasi di Pulau Sebaru, Kepulauan Seribu. Mari kita berdoa agar #EvakuasiWNIWorldDream ini sukses dan saudara2 kita sehat wal afiat ~ #Jubir #BungJubir</t>
  </si>
  <si>
    <t>188 WNI akan Diobservasi di Sebaru Mulai 28 Februari  #</t>
  </si>
  <si>
    <t>Belum Evakuasi WNI di Diamond Princess, Terawan: Masih Negosiasi</t>
  </si>
  <si>
    <t>Sebagai WNI yang taat bayar pajak, saya boleh komplain ngga sih #banjir</t>
  </si>
  <si>
    <t>@ekowboy2 meraka itu para bajingan perusak bangsa .. ISIS di dukung tolol</t>
  </si>
  <si>
    <t>@lyhamidah @habiiibbb @ernestprakasa @jokowi Sejauh ini sepanjang yang kami ikuti dari Kapal Diamond Princess, tidak ada kru WNI yg pernah mengatakan enggan pulang atau tidak mau pulang. Mereka bahkan masih (disuruh) bekerja sampai pekan lalu, padahal sejak pertama kali kami hubungi (13/02) mereka sudah khawatir ketularan.</t>
  </si>
  <si>
    <t>TENTANG : PELAYANAN TERPADU (YANDU) DI KOTA MADINAH  Diumumkan kpd delirium WNI yg berada di Kota Madinah dan sekitarnya, KJRI Jeddah akan menyelenggarakan kegiatan Sosialisasi Hukum Dan Pelayanan Terpadu (Yandu) #KJRIJeddahPelayananPrima #DemiNKRI</t>
  </si>
  <si>
    <t>RT @isari68: Sudah waktunya Pemerintah segera mengirim Tim Evakuasi u menjemput WNI kita yg berada di Kapal Pesiar Diamond Princess. Bagaimanapun mereka sdh lebih 2 pekan di lingkungan endemi. Ada baiknya mereka segera dijemput cc @KemenkesRI @Kemlu_RI @BNPB_Indonesia @jokowi</t>
  </si>
  <si>
    <t>@Datuakpanduko2 @Nijam_Arsyad ISIS yg Pasok Senjata China, Master mind dulu emg Bentukan America tp ditengah2 China yg Bermain via Demokrat Makanya Republican Getol bgt Bunuh Albaghdadi dan skrg dah tewas *ngabis2in anggaran, dana lebih urgent bangun ekonomi America ketimbang PERANG, dibawah republik terwujud</t>
  </si>
  <si>
    <t>Ayo dukung Letkol Aloysius! Beliau sbg manusia &amp; WNI pny hak yg sama dlm beragama. Beliau protes ke @jokowi karna khawatir pemerintah lemah pada kaum intoleran &amp;amp; radikalis. Cc: @mohmahfudmd @tni_ad @makLambeTurah @Indonesianews15</t>
  </si>
  <si>
    <t>Observasi corona berlangsung selama 14 hari di Pulau Sebaru Kecil, Kepulauan Seribu.</t>
  </si>
  <si>
    <t>@Anna_Isis La mejor boda wuwuwu</t>
  </si>
  <si>
    <t>RT @Amirmasoom131: Yum smjta ho pakistan be afghanistan ki tra bna de gy katpotli ajrti qatal froce Ya smjta hu sjam h bashir assad bn jao gy tu k taliban isis nhi bna gy him kashmiri ni jo 73 year wait kra 😎 2001 sa he dekh lo hshr apna😜</t>
  </si>
  <si>
    <t>Taliban pasukan super.. Tak terkalahkan.. Rusia - amerika aja ga sanggup lawan mereka.. Di suriah pun mereka masih eksis.. Mereka make senjata sendiri.. Beda dg isis , yg dipersenjatai amerika.. Jika mereka bergerak ke yerusalem.. Itulah tandanya RT @TheOnion: Taliban Agrees To Peace Deal Despite Concerns About America’s Human-Rights Record</t>
  </si>
  <si>
    <t>Yum smjta ho pakistan be afghanistan ki tra bna de gy katpotli ajrti qatal froce Ya smjta hu sjam h bashir assad bn jao gy tu k taliban isis nhi bna gy him kashmiri ni jo 73 year wait kra 😎 2001 sa he dekh lo hshr apna😜</t>
  </si>
  <si>
    <t>@anuragkashyap72 Anti CAA ka matlb ISIS hai bsdk</t>
  </si>
  <si>
    <t>RT @tempodotco: Belum Evakuasi WNI di Diamond Princess, Terawan: Masih Negosiasi</t>
  </si>
  <si>
    <t>Pemerintah Bersiap Evakuasi WNI di Kapal Pesiar World Dream</t>
  </si>
  <si>
    <t>Mahfud: Paspor ISIS Eks WNI akan diblokir</t>
  </si>
  <si>
    <t>@ChusnulCh__ Kalau kadrun berotak dikit aja, gak bakalan ada yang namanya Taliban, ISIS, Marawi.</t>
  </si>
  <si>
    <t>RT @okezonenews: WNI Positif Virus Korona di Kapal Diamond Princess Bertambah Jadi 9 Orang #TauCepatTanpaBatas #BeritaTerkini #Berita #News #BeritaNasional .</t>
  </si>
  <si>
    <t>RT @republikaonline: 188 WNI eks kru Kapal Pesiar World Dream akan dibawa ke Pulau Sebaru untuk observasi.</t>
  </si>
  <si>
    <t>@MulyanSonu @rohitpa10684627 @Aatish00959462 @ABPNews Isis wale kabse hindi mai tweet krne lage. 🤷‍♂️ Kuch b bol rha bhakt</t>
  </si>
  <si>
    <t>@SusyLiao @semiaji_w 10 tahun lagi matang.. tinggal nunggu isis isis muda ini beraksi mendirikan khilafah Negara Islam Indonesia</t>
  </si>
  <si>
    <t>Ini Penjelasan Menkes Terawan yang Tak Mau Buru-buru Evakuasi WNI di Jepang</t>
  </si>
  <si>
    <t>60 Prajurit Batalyon Komando 465 Paskhas ke Natuna Amankan WNI dari Jepang</t>
  </si>
  <si>
    <t>@247Mohitsingh @AdityaMenon22 Hindu ISIS</t>
  </si>
  <si>
    <t>@archnameena12 @KapilMishra_IND @AmitShah Tum IsIS ki dalal ho??</t>
  </si>
  <si>
    <t>RT @ElindaSan: Mesmerizing</t>
  </si>
  <si>
    <t>#BREAKING #NEWS : WNI Terinfeksi #Virus #Corona di #Jepang #Total #Orang</t>
  </si>
  <si>
    <t>RT @yoris_ab: @arilestari61 @majisyafii @jokowi itulah gaya isis.... menghancurkan budaya dan peradaban utk menguasai sebuah wilayah. hati2 yaaaa jangan sampe ada yg lebih isis daripada isis</t>
  </si>
  <si>
    <t>@zafarahmadifmr1 Aur @zafarahmadifmr1 isis jihadi terrorist hai , pakistani model wala</t>
  </si>
  <si>
    <t>@narkosun Saya hanya mengomentari apa yg njenengan posting ya pak. Ttg kasus SMPN Turi, KPAI masi dibutuhkan atau tidak terutama kaitannya dg pembela hak anak2, dalam hal ini yg anda share adl anak2 eks ISIS... 😄 mohon maaf ndak ada niat gelut...</t>
  </si>
  <si>
    <t>@Faizanazizi @t_d_h_nair Aur tm sb isis model dikha rhe to uska kya?</t>
  </si>
  <si>
    <t>@Omar_bilkisu Make sure kin auri wnda kk so kawai karma wni yyi tunanin You will come back</t>
  </si>
  <si>
    <t>RT @republikaonline: Level kewaspadaan virus corona di Korsel berada di level paling tinggi.</t>
  </si>
  <si>
    <t>RT @BBCIndonesia: [Video] BBC menelusuri jejak suami istri pengebom bunuh diri ISIS asal Indonesia, Ruille Zeke dan Ulfa. Dari tempat persembunyian mereka di Istanbul, Turki, setelah gagal memasuki Suriah, kemudian ke Malaysia dan berakhir sebagai martir di Filipina.</t>
  </si>
  <si>
    <t>SAH "Anak-anak di bawah 10 tahun yang yatim piatu itu akan dipulangkan, itu kebijakannya sudah resmi," ujar Mahfud di kantor Kemenko Polhukam, Jakarta, Senin (24/2/2020). Satu kata buat kalian para pemimpin, "SONTOLOYO" 👎👎🤬🤬🤬</t>
  </si>
  <si>
    <t>RT @hermana_t: Menkes Terawan menerangkan ada 9 WNI di Jepang yg terkena wabah corona "WNI yg kena dirawat oleh pemerintah Jepang, sembilan orang," ujar Terawan Mereka adalah kru kapal pesiar Diamond Princess yg berada di Jepang Nah, sudah gak bisa menyangkal lagi</t>
  </si>
  <si>
    <t>@RoflNana_ @anuragkashyap72 Islam mtlb bhai chara islamic mtlb isis? Clear</t>
  </si>
  <si>
    <t>Anak2 ISIS mau dipulangin, kelompok intoleran dielus2. Ini ada orang berjihad cari nafkah untuk keluarganya malah terkesan dibunuh pelan2 tidak ada kepastian evakuasi. Mereka tidak lebih berbahaya dibanding bibit ISIS &amp; virus intoleransi!</t>
  </si>
  <si>
    <t>Shaharukh is Islamic Terrorist. Shaharukh is Islamic Terrorist. Shaharukh is Islamic Terrorist. Shaharukh is Islamic Terrorist. Shaharukh is Islamic Terrorist. #IslamicTerrorism #ISIS #DelhiBurning #PoliceLivesMatters</t>
  </si>
  <si>
    <t>Virus Corona, WNI dari Kapal Pesiar Diobservasi di Pulau Kosong Kepulauan Seribu</t>
  </si>
  <si>
    <t>@ArifMoh57140866 @Real_Atul1 Phir bhi isis terrorist nhi bnte.</t>
  </si>
  <si>
    <t>Kesaksian Warga Bekasi Bertahan di Daegu Korea Selatan, Pelajar Dilarang Masuk Kampus dan Sekolah,  [ADS] Kode Referral Bibit : bonusdaftar</t>
  </si>
  <si>
    <t>Jai Shri Ram is for Sanghis what AllahuAkbar is for ISIS. RT @DeadZedb: Hear the chants of Jai Shri Ram as the Hindu terrorists burn Delhi with impunity.</t>
  </si>
  <si>
    <t>@marpaung913 @PolitikToday @ChristWamea Ekonomi melemah lah Kok jd isis ko salahkan Bengak x kau Bani sempak</t>
  </si>
  <si>
    <t>RT @eko_kuntadhi: Partai ini kalau soal ISIS selalu pasang badan.</t>
  </si>
  <si>
    <t>Mau Jemput 74 WNI di Diamond Princess? Begini Pesan Menkes  #</t>
  </si>
  <si>
    <t>RT @NileshResearch: @ShashiTharoor Quasim Gazani nader khilji babar tipu Aurangzeb caliphate Laden Isis abu bkr Taliban Muslim Brotherhood Hafiz afzal jinnah Iqbal imran khan Hamas boko haram kasab jklf Chechnya Al nusra Al Qaeda Somalian simi susidel bombers danagaye jihadi kafir haters ..world non violent mob🕵</t>
  </si>
  <si>
    <t>Yonko 465 Paskhas Kembali ke Natuna Amankan WNI dari Jepang Batalyon Komando 465 Paskhas memberangkatkan 60 orang prajuritnya ke Natuna dalam rangka pengamanan Lanud Raden Sadjad terkait rencana pemulangan 74 WNI dari Jepang ke Indonesia yang bekerja di…</t>
  </si>
  <si>
    <t>Yauwa ko kaifa ai ni bansan wni kut ba kai katumar durun uwa kawai RT @Abdallah_Abbas0: @moh_khalifa_ Kutumar dumadu</t>
  </si>
  <si>
    <t>RT @danianiesa: tun M dah nak 3 kali jadi PM and kita still lagi single</t>
  </si>
  <si>
    <t>Mohon dibaca dan dipahami ya? Ternyata Presiden @jokowi memilih Fachrul Razi sebagai Menteri Agama @Kemenag_RI karena FR dari kalangan non partisan. Tapi mengapa FR partisan dengan memihak kaum intoleran, FPI dan ISIS?! @Takviri @KakekHalal @kemenagsulut</t>
  </si>
  <si>
    <t>Aku salah rindu kau.</t>
  </si>
  <si>
    <t>RT @memekriot: Seorang laki-laki penyandang disabilitas diserang secara verbal oleh pria tak dikenal di Tanah Kusir, Jakata. Dia diteriaki "Natuna! Jawab, Cina!". Serangan verbal xenophobic, menyalahkan orang tidak bersalah atas isolasi WNI untuk screening Covid-19 di Natuna.</t>
  </si>
  <si>
    <t>Khawatir Virus Corona, WNI di Kapal Pesiar World Dream akan Dipulangkan #Coronavirus</t>
  </si>
  <si>
    <t>@vivekagnihotri Indian Vs RSS (isis) terrorists</t>
  </si>
  <si>
    <t>RT @dewikstp: ah..sialan..😏 Anak Yatim Piatu WNI Eks ISIS Dipulangkan, Mahfud: Kebijakannya Sudah Resmi -</t>
  </si>
  <si>
    <t>@ShashiTharoor Quasim Gazani nader khilji babar tipu Aurangzeb caliphate Laden Isis abu bkr Taliban Muslim Brotherhood Hafiz afzal jinnah Iqbal imran khan Hamas boko haram kasab jklf Chechnya Al nusra Al Qaeda Somalian simi susidel bombers danagaye jihadi kafir haters ..world non violent mob🕵</t>
  </si>
  <si>
    <t>Marajalela, 9 WNI Awak Kapal Pesiar Terinfeksi Corona  #</t>
  </si>
  <si>
    <t>@kompascom Masihkah Indonesia akan aman untuk kami 10-20 tahun lagi? Haruskah kami yg WNI akan pergi menyelamatkan diri, meninggalkan tanah kelahiran nenek buyut kami dan menjadi ex WNI di negara asing ?</t>
  </si>
  <si>
    <t>Level kewaspadaan virus corona di Korsel berada di level paling tinggi.</t>
  </si>
  <si>
    <t>Bupati Kepulauan Seribu Husein Murad menjelaskan bahwa di pulau itu telah terdapat beberapa fasilitas. #KAMUHARUSTAU</t>
  </si>
  <si>
    <t>Waduh.. anak setan ISIS mau dibawa pulang ke Tanah air.. benar2 kecewa sama pemerintah pakde @jokowi periode ini.. dmn ketegasan mu pak? Yg cinta NKRI,bayar pajak,taat peraturan tp minoritas bangun tempat ibadah aja susah.. hadeuh mabok bener ..ANJING!! KESEL #tolakeksisis</t>
  </si>
  <si>
    <t>@Fatima_Z0hra @_YogendraYadav Haa...road jam krk peace m protest krna h na. Bole to.isis bhi bomba guna le le ke ptotesta krte ab u ko b peace award milna bole to bot hogya..</t>
  </si>
  <si>
    <t>KBRI meyakini Korsel dapat mengatasi persebaran virus corona.</t>
  </si>
  <si>
    <t>Iya, mrk itu human resource terbaik u/ nkri bersyariah. *Anak isis diperhatiin, wni yg 'terjebak' di kapal pesiar di jepang sono dibiarin. #negeriPancasila Cc @BobbyIrwanda Anak Yatim Piatu WNI Eks ISIS Dipulangkan, Mahfud: Kebijakannya Sudah Resmi</t>
  </si>
  <si>
    <t>MALU JADI WNI RT @YRadianto: Akhirnya kebodohan atau kecerobohan itu menyebar ke seluruh dunia.. Kita dipermalukan! Silahkan komen dengan 3 kata 🙏 . #PecatSittiHikmawatty . . ()</t>
  </si>
  <si>
    <t>RT @translatorbali: @zkyhna_ @jokowi 9 ABK WNI Kena Corona di Kapal Diamond Princess. Pemerintah Masih Nego Jepang untuk Pulangkan WNI ABK #DiamondPrincess." Menkes Terawan usai menghadap Presiden Joko Widodo ,  #HangInThereDiamondPrincess</t>
  </si>
  <si>
    <t>RT @oak_math_lee_91: @IvanRT05 @xubundi @BebasVisaID Syukurlah kini WNI juga sudah bebas visa ke Timor Leste. Untuk kunjungan sosial sanak keluarga jadi lebih mudah dan murah. Apalagi buat warga kota2 perbatasan. 😊</t>
  </si>
  <si>
    <t>@dininovialisa ISIS yg itu?? Kabarnya sih bukan Islam mereka tu Cm propaganda pihak yg pengen jatuhin Islam</t>
  </si>
  <si>
    <t>Daegu Asdfghjkl, Mama mertua heh gimana 😭😭😭 Suga, Taehyung gak lagi panik kan. Keluarga mreka gimana, army disana gimana, Wni disana gimanaa. Yatuhan lindungi mereka hikd 😭😭🙏🥀🥀🥀 Stay safe everyone ✨ RT @kumparan: Kota Daegu di Korea Selatan mendadak jadi Kota Hantu. Mal, restoran, dan jalan utama di Kota Daegu kosong melompong. Padahal, Daegu merupakan kota terbesar keempat di Negeri Ginseng. Kota ini disinyalir merupakan asal virus corona sampai di Korea. #TopNews</t>
  </si>
  <si>
    <t>RT @afrizal_batuah: Siapakah yang layak meneriakkan NKRI harga mati? Apakah ormas tertentu yang meneriakkan itu? Bukan, namun pengungsi WNI Eks Timtim yang selama 20 TAHUN hidup di Kamp Pengungsi. Mereka masih bertahan sekalipun dalam kemiskinan. Yang jelas, mereka mempertahankan NKRI harga mati .</t>
  </si>
  <si>
    <t>@jagmesbon @lord_sbt @SalmaBrecht @jokowi Ga demo berjilid2 basmi ISIS?????</t>
  </si>
  <si>
    <t>@wulanda__ @nindicahyaa Bisajadi Management Bisnis Brand Fashion BALENCIAGA Pernah Ke indonesia'Hadir keNegeri indonAtau Naik Bus Transport indon'Atau Ada Pembeli Brand satu'ini Berpertualang berpergian ke Negeri indon naik bus transport indon'WNA atau Wni diabadikan moment 🤣🤣😊</t>
  </si>
  <si>
    <t>@ocee_me08 @amcay_immer @ghandhoze @shiaLebaou @black__valley1 @DivHumas_Polri @jokowi @prabowo Bacin ... bacin mulu. Coba anda jelasin disini apa itu bacin... ga berani yaaa ??? jadi terbukti bhw yg rasis itu anda. Bukankah keturunan China dan keturunan Arab itu sama... sama2 bukan pribumi tapi tetap WNI Kalo anda teriak2 bacin berarti anda barab domg wkwkwk</t>
  </si>
  <si>
    <t>@GeMelLoveSik Banyak kak, Islam abal2, salah satunya ISIS Mana Ada diajarin buat nyakitin orang gitu, nyakitin binatang aja gaboleh Di agama lain juga banyak tuh pastinya Karena orang2 sekarang uda pada gila</t>
  </si>
  <si>
    <t>RT @kjri_sf: Sebagian besar mahasiswa yang hadir merupakan penerima beasiswa otonomi khusus Pemprov Papua dan Papua Barat. Ketua Ikatan Mahasiswa Papua USA-Canada, Manuel Heselo, Ketua PERMIAS OSU, Augelvin Dermaga, serta WNI di Oregon juga turut hadir. @Kemlu_RI @KBRIWashDC #Indonesianway</t>
  </si>
  <si>
    <t>RT @NileshResearch: @_sabanaqvi Ya u jihadi panic with kafir :🕵 Complete panic shortlist Muslim list here :Quasim Gazani nader khilji babar tipu Aurangzeb caliphate Laden Isis abu bkr Taliban Muslim Brotherhood Hafiz afzal jinnah Iqbal imran khan Palestine Gaza boko haram kasab jklf islamist Somalian simi...</t>
  </si>
  <si>
    <t>@_sabanaqvi Ya u jihadi panic with kafir :🕵 Complete panic shortlist Muslim list here :Quasim Gazani nader khilji babar tipu Aurangzeb caliphate Laden Isis abu bkr Taliban Muslim Brotherhood Hafiz afzal jinnah Iqbal imran khan Palestine Gaza boko haram kasab jklf islamist Somalian simi...</t>
  </si>
  <si>
    <t>Ya u jihadi panic with kafir :🕵 Complete panic shortlist Muslim list here :Quasim Gazani nader khilji babar tipu Aurangzeb caliphate Laden Isis abu bkr Taliban Muslim Brotherhood Hafiz afzal jinnah Iqbal imran khan Palestine Gaza boko haram kasab jklf islamist Somalian simi... RT @_sabanaqvi: Complete panic in Muslim areas. No more words.</t>
  </si>
  <si>
    <t>188 WNI eks kru Kapal Pesiar World Dream akan dibawa ke Pulau Sebaru untuk observasi.</t>
  </si>
  <si>
    <t>SAK KAREPMU LAH PAK !!! @mohmahfudmd @jokowi anak yatim piatu wni eks isis-dipulangkan. mahfud : "kebijakannya sudah resmi"</t>
  </si>
  <si>
    <t>Pemerintah juga mengidentifikasi anak-anak eks ISIS di bawah 10 tahun.</t>
  </si>
  <si>
    <t>RT @VrushantM: President Trump used this words during his speech till now...😍 Chai wala Swami Vivekanand Bollywood DDLJ Sachin Tendulkar Virat Kohli Sardar Patel Diwali Holi Gujarat Terrorism ISIS Radical Islamic Terrorism Pakistan #NamasteyTrump</t>
  </si>
  <si>
    <t>ah..sialan..😏 Anak Yatim Piatu WNI Eks ISIS Dipulangkan, Mahfud: Kebijakannya Sudah Resmi -</t>
  </si>
  <si>
    <t>Paspor WNI eks ISIS Sudah Diblokir, Mahfud MD: Tidak Bisa Masuk Lagi ke Indonesia</t>
  </si>
  <si>
    <t>Kesaksian Warga Bekasi Bertahan di Daegu Korea Selatan, Pelajar Dilarang Masuk Kampus dan Sekolah,  [ADS] Masukan Kode Referral : bonusdaftar gratis 50rb daftar Bibit</t>
  </si>
  <si>
    <t>@andreasreki @Indostransfer Semua harus terpenuhi sih bukan cuman 1 poin lantas bisa mengajukan wni</t>
  </si>
  <si>
    <t>@Talhaaf11106240 😂😂🤣 hahahaha bola pak ki hum help kr rhe pak k andar k terrorist ko marne ki. And bola india n usa sath h islamic terrosr k.khilaf Aaty sath bola isis iran k zihadi ko humne mar diya.</t>
  </si>
  <si>
    <t>Masih Lobi Jepang, Menkes Ingin Proses Evakuasi WNI Berjalan Baik</t>
  </si>
  <si>
    <t>RT @reyputra_b: @detikcom Modal jualan ayat? Politisasi mayat? Azab? Didukung ngustad dan ngulama? Barisan seideologi simpatisan isis ?</t>
  </si>
  <si>
    <t>yuk baca and retweet : Berikut syarat yang harus dipenuhi WNI untuk melancong sebagai turis ke arab saudi</t>
  </si>
  <si>
    <t>@faisalrezabocah @ken_mrizal @guruseva108 @v_norman @GlHindu @bitieslopers @whyujayapratama @BuddhisGL Keturunan lonte wahabi berpikir ala ISIS, frisek</t>
  </si>
  <si>
    <t>makin heran soal virus corona, ada turis pulang dari indonesia kena corona, ada beberapa WNI terkena virus corona diluar negeri tapi ada juga yang sembuh nah setiap ada temuan kasus indonesia sampai hari ini hasilnya negatif.</t>
  </si>
  <si>
    <t>@iamrealmhfaisal @UmarKhalidJNU Tum kya ho isis ke ladake... Bloody radical islamists.. Jehadi saale.</t>
  </si>
  <si>
    <t>@null Paspor WNI eks ISIS Sudah Diblokir, Mahfud MD: Tidak Bisa Masuk Lagi ke Indonesi</t>
  </si>
  <si>
    <t>NELAYAN ACEH DI THAILAND | Dari 33 WNI asal Aceh tersebut, 30 orang dewasa, tiga orang lainnya merupakan anak di bawah umur</t>
  </si>
  <si>
    <t>RT @BobbyIrwanda: @supriadi7133334 @na_dirs @jokowi Sat, yg mau hujat jokowi dan rejim ini siapa? Gw cuma meminta jokowi sebagai kepala pemerintahan memperhatikan nasib WNI di kapal itu. Jdi orang itu jgn egois, mikirin keluarga sendiri trus liat org lain butuh pertolongan lu gk peduli? Kalo lu gk peduli, gk usah komen di sini!</t>
  </si>
  <si>
    <t>hmmm... Sudah kuduga @RetnoListyarti KPAI ternyata yang dukung pemulangan anak-anak ISIS eks Wni RT @samhudibae: INI DIA RETNO LISTYARTI KOMISIONER KPAI YANG PRO ANAK ISIS DI PULANGKAN! DIA Kepala Sekolah yang di pecat jaman Gubernur AHOK karena kedapatan keluyuran waktu Anak Didiknya sedang mengikuti Ujian Nasional. #PecatSittiHikmawatty</t>
  </si>
  <si>
    <t>@Cobeh09 @93712853kL_Bg33 Al baghdadi kok mirip nama Pemimpin Isis?</t>
  </si>
  <si>
    <t>@supriadi7133334 @na_dirs @jokowi Sat, yg mau hujat jokowi dan rejim ini siapa? Gw cuma meminta jokowi sebagai kepala pemerintahan memperhatikan nasib WNI di kapal itu. Jdi orang itu jgn egois, mikirin keluarga sendiri trus liat org lain butuh pertolongan lu gk peduli? Kalo lu gk peduli, gk usah komen di sini!</t>
  </si>
  <si>
    <t>Mata fah kmr mota suke wni Benz, wni Honda,Toyota,matrix,vibe,gasu nan dai.... Dan hka duk macen da ka aura to kasa a rnka watarana zakaga wadda ta fita dan hka Mallam broda riqe matarka kawai ka daina leqe_leqe atoh</t>
  </si>
  <si>
    <t>RT @ccpsugiono: Biarlah mereka memanen apa yg mereka semai Semoga yercapai2 angan2 mereka di surga Isis</t>
  </si>
  <si>
    <t>@Mentimoen @AmerEurope Setuju, kapan Pak Jokowi mau jemput WNI di kapal itu secepatnya?</t>
  </si>
  <si>
    <t>Tolak eks ISIS kembali ke Indonesia #tolakisis</t>
  </si>
  <si>
    <t>Anak Yatim Piatu WNI Eks ISIS Dipulangkan, Mahfud: Kebijakannya Sudah Resmi -</t>
  </si>
  <si>
    <t>@detikcom Modal jualan ayat? Politisasi mayat? Azab? Didukung ngustad dan ngulama? Barisan seideologi simpatisan isis ?</t>
  </si>
  <si>
    <t>RT @zarazettirazr: Mereka akan diobservasi Pulau Sebaru Kecil yang terletak di gugus Kepulauan Seribu, Jakarta. Pulau itu adalah pulau kosong, aman, pulau yang tidak berpenghuni dan memiliki fasilitas yang dibutuhkan untuk observasi selama beberapa hari.</t>
  </si>
  <si>
    <t>RT @radar_malang: Jemput WNI dari Kapal World Dream Lebih Minim Risiko daripada Diamond</t>
  </si>
  <si>
    <t>Sehubungan dgn kampanye kesehatan mengenai Corona Virus, dengan ini KBRI Manama mengeluarkan EDARAN bagi seluruh WNI di Bahrain utk menjadi perhatian bersama. Mari kita mulai hidup sehat. . . . #IniDiplomasi #IndonesianWay #NegaraMelindungi</t>
  </si>
  <si>
    <t>RT @mhmdfkrie: @_AfifMunir Tengok Libya selepas era Gaddafi , Huru Hara sana sini , banyak Government yang berperang untuk jadi "Legitimate Government" tambah pula dengan rise of ISIS Cawangan Libya.</t>
  </si>
  <si>
    <t>RT @KompasTV: Hati-hati Jemput 74 WNI di Diamond Princess, Menkes Terawan: Taruhannya Besar!</t>
  </si>
  <si>
    <t>@_AfifMunir Tengok Libya selepas era Gaddafi , Huru Hara sana sini , banyak Government yang berperang untuk jadi "Legitimate Government" tambah pula dengan rise of ISIS Cawangan Libya.</t>
  </si>
  <si>
    <t>RT @oppscausey: pyong: bom dia babu: bom dia o crlh AAAAAAAAAAAAAAAAAAAKKKKKKKKKKKKKKKKKKKKKKKKKKK #BBB20</t>
  </si>
  <si>
    <t>Pulau Karantina WNI Kru Kapal Pesiar Terkontaminasi Corona Masuk Wilayah Jakarta. #merahputih #WNI #Corona #Jakarta</t>
  </si>
  <si>
    <t>Dejavu beberapa tahun lalu, saat seorang pengantin pria Kurdi ditahan krn syal berwana bendera Kurdi. Dan tak lama berselang aksi bom bunuh diri ISIS pada resepsi pernikahan orang Kurdi, hingga pemakaman pun masih diserang fasis Turki. Tragis. RT @K24Turkce: #Diyarbakır'da ilk kez bir çift, düğünlerinde #Kürdistan Bayrağı kuşandı</t>
  </si>
  <si>
    <t>@FerryMaitimu Great... "@FerryMaitimu : Militan ISIS yang Diutus Memata-matai Gereja Jadi Pengikut Yesus: 'Aku Benci Mereka Tapi Mereka Menunjukkanku Cinta Kasih'"</t>
  </si>
  <si>
    <t>RT @Indostransfer: ASK: Kita sebenernya gak paham soal landasan hukum seorang mengajukan status WNI. Apakah dengan menikahi seorang WNI membuat proses naturalisasi lebih cepat? Yang sudah" soalnya seperti itu. Contoh: Beto Goncalves, Ilija Spasojevic, dan bbrp pemain Afrika.</t>
  </si>
  <si>
    <t>@Jean_Aprilia97 Lah yg eks ISIS kan lebih parah. Udah gak mengakui negaranya sendiri habis itu bikin rusuh di negeri orang. Lu lebih milih mana, anak lu ngelawan sama lu buat pindah rumah, atau anak lu gak ngakuin lu sebagai orang tua terus malah bikin rusuh di rumah tetangga.</t>
  </si>
  <si>
    <t>@shaheen11223 @ShivAroor @IAF_MCC @rahulsinghx @SandeepUnnithan @mileeashwarya @PenguinIndia @realDonaldTrump @ImranKhanPTI Ye to mara v nhi h... Ab tereko batao Islam terror, 9/11, 26/11, Paris blast, srilanka blast, mumbai serial blast, aur tumhare terrorist organization like JeM, LeT, ISIS, taliban etc etc. Puri library bhar jayegi lekin tumhare kaand khatam nhi honge.</t>
  </si>
  <si>
    <t>@AfzalBhaijan @assassi88313810 @KundanOfficial3 @WebTechEra @BheruLa92848816 @ANI Tabhi sharjeel islamic state chahta hai? Tabhi isis bna? Tbhi mazhab k naam pr khoon khraba hua? Tbhi peaceful protest me laillah ke naare lge? Iss sab k baad secular log kya kre bhai khud bta. Mai na tere khilaf hu na tere dost k khilaf hu bss un logo k khilaf hu jo ye krte hai.</t>
  </si>
  <si>
    <t>Mereka akan diobservasi Pulau Sebaru Kecil yang terletak di gugus Kepulauan Seribu, Jakarta. Pulau itu adalah pulau kosong, aman, pulau yang tidak berpenghuni dan memiliki fasilitas yang dibutuhkan untuk observasi selama beberapa hari.</t>
  </si>
  <si>
    <t>@pppootato ISIS = Ikatan Sepong Itil Soang</t>
  </si>
  <si>
    <t>Kemenhan Bolehkan Eks Anggota ISIS Gabung ke Komponen Cadangan, Pengamat: Asjep. #merahputih #ISIS #Kemenhan</t>
  </si>
  <si>
    <t>Kira-kira tim KBRI Beijing pas evakuasi WNI d Wuhan kemaren dengerin Evaluasi-nya @wordfangs ga ya? Trus diplesetin liriknya jadi “Bilas muka, gosok gigi, evakuasi”</t>
  </si>
  <si>
    <t>RT @4smara1701: Makin mantul aja nih Pak Rocky 😎 WNI yang di Amerika Serikat mulai mengevaluasi pemilu kemarin untuk menanamkan ulang kepercayaan pada masa depan Indonesia.. Virus akal sehat mulai mendunia 😎</t>
  </si>
  <si>
    <t>@ronpens Cewe isis knapaika</t>
  </si>
  <si>
    <t>188 WNI di Kapal World Dream Bakal Dievakuasi ke Pulau Tak Berpenghuni</t>
  </si>
  <si>
    <t>Pemerintah akan Evakuasi 188 WNI ABK World Dream ke Pulau Sebaru #dr.Terawan #Menkes #menkopmk #MuhadjirEffendy #PemerintahAkanEvakuasiWNIABKWorldDreamkePulauSebaru #Viruscorona</t>
  </si>
  <si>
    <t>Scr Kemanusiaan Anak Yatim piatu eks ISIS yg usianya dibawah 10 tahun Dipulangkan Dpt diterima Walaupun ada kemungkinan dampak negatif dimasa depan Jika sdh terpapar Lalu bgmn dgn Pembredelan Tempat ibadah Pak @mohmahfudmd ?? Perlakukan sama donk</t>
  </si>
  <si>
    <t>RT @hate_HTi: Beberapa kombatan ISIS siap dieksekusi di Suriah,, salah satunya dri Indonesia.. Mampooooss👍👍 #CegahISISmasukNKRI</t>
  </si>
  <si>
    <t>RT @hate_HTi: Ingat kekejaman yg mereka buat!! Betul kata bung @Dennysiregar7 bahwa ISIS itu keyakinan, dan keyakinan ga akan pudar sampai mati kecuali datang hidayah dariNya. #DukungJokowiBerantasISIS</t>
  </si>
  <si>
    <t>RT @Bangzul__88: #AwasHTImasihEksis Cara-cara yang dilakukan HTI mungkin lebih halus. kalau ISIS mengajarkan perjuangan untuk mendirikan khilafah itu harus dengan peran fisik, seperti menculik orang, menembak di mana-mana dg cara memaksa supaya orang mengikuti kehendak mereka.</t>
  </si>
  <si>
    <t>Langkah Pemerintah Tangani Pemulangan WNI di Diamond Princess, Utamakan Prinsip Kehati-hatian  via @vibizmediacom</t>
  </si>
  <si>
    <t>RT @Rimba_Kelana7: Ribuan Prajurit ISIS di Suriah, Termasuk WNI Akan Diadili Maret 2020 Emang masih WNI? Mereka penghianat oii @RinjaniJB @BiLLRaY2019</t>
  </si>
  <si>
    <t>@kompascom Selamat datang radikalis kecil isis tolong @mohmahfudmd diurusin dirumah bapak ya.</t>
  </si>
  <si>
    <t>74 WNI di Diamond Princess Minta Dijemput Jokowi: Kami Seperti Dibunuh Pelan-pelan...</t>
  </si>
  <si>
    <t>Pilihan terbaik untuk tidak memulangkan eks WNI ISIS #IndonesiaTegasTolakISIS</t>
  </si>
  <si>
    <t>RT @aya_ddt: Gw udah bilang kan? Rejim ini kalau maunya A ya dpt A, persetan dgn jeritan rakyat. Nanti nih kalau siluman² onta itu melakukan tindakan terorisme atau menyebarkan paham mereka, bangsat² yg mulangin mereka mah belagak bego. Paling max cuma mengutuk doang.</t>
  </si>
  <si>
    <t>Pulangkan WNI Eks ISIS, Mahfud Md: Hanya Anak Yatim Piatu Dibawah 10 Tahun &gt;&amp;gt;&amp;gt;&amp;gt;&amp;gt;  #ISIS #wnieksisis</t>
  </si>
  <si>
    <t>@Aluna_Safitri @kompascom @jokowi @PolhukamRI @mohmahfudmd @BNPTRI Luar biasaaa...pembelaan thd sesama mayoritas gercep, resmi, dan lgs putuskan. Hebat periode ke 2 ini, import teroris ISIS level usia dini.</t>
  </si>
  <si>
    <t>Masih Mengantre, WNI di Diamond Princess Belum Bisa Pulang</t>
  </si>
  <si>
    <t>@HmfaqihA Tidak setia pada NKRI tapi gak melepas status WNI ciri khas kadrun</t>
  </si>
  <si>
    <t>@Isis_Izzy Merci Isis!</t>
  </si>
  <si>
    <t>RT @kompascom: Mahfud mengatakan saat ini pemerintah tengah mengiventarisasi keberadaan anak yatim piatu yang berusia di bawah 10 tahun.</t>
  </si>
  <si>
    <t>RT @kisbet_: Gmna kita mau memberantas terorisme, radikalis dan intoleransi kalo perlakuan kita lembek. Bukankah dgn menolak ISIS yg kalah di jalan menuju nerakanya adalah salah satu cara memberantas terorisme? bibit2 teroris yg masih ada di Indonesia bisa liat konsekuensi gabung ke ISIS</t>
  </si>
  <si>
    <t>RT @kisbet_: Kok teroris yg merasa hidupnya trnyata gak enak di suriah sana dipikirkan dan dikasihani dan mau dipulangkan. WNI juga bukan, kalo hnya krna rasa kemanusiaan, rasa kemanusiaan kelen utk seluruh rakyat Indonesia yg bisa saja dan kapan saja jd korban teroris kmana?</t>
  </si>
  <si>
    <t>Hahahahahhahaa walcome Kadrun Junior Anak Yatim Piatu WNI Eks ISIS Dipulangkan, Mahfud: Kebijakannya Sudah Resmi -</t>
  </si>
  <si>
    <t>RT @kompascom: Kepala Dinas Kesehatan DKI Jakarta Widyastuti mengatakan bahwa jajarannya telah siap menerima dan membantu pemerintah pusat untuk mengobservasi.</t>
  </si>
  <si>
    <t>188 org banyak juga ya...Dinkes DKI Siap Bantu Observasi WNI di Kapal World Dream yang Dibawa ke Pulau Sebaru</t>
  </si>
  <si>
    <t>@faizanyacin Wasy AP log b sab 💚🇵🇰ii Kya churran bech rehy ho TRUMPHY ki is baat ka .... Pori baat Karyn Agy suna ha attack Endia ki awam pa hoa hum UN k sath khary hn ... Muslmano ka hath Terorisam hiden words jorey😠 ISIS baghadi tou kHUD in ki paidawar ha ... indirect False flag hints</t>
  </si>
  <si>
    <t>Kepala Dinas Kesehatan DKI Jakarta Widyastuti mengatakan bahwa jajarannya telah siap menerima dan membantu pemerintah pusat untuk mengobservasi.</t>
  </si>
  <si>
    <t>Jika Nanti Dievakuasi, WNI ABK Diamond Pricess Akan Diobservasi di Pulau Sebaru &gt;&amp;gt;&amp;gt;&amp;gt;  #Coronavirustruth #CoronaOutbreak</t>
  </si>
  <si>
    <t>Catet namanya siapa saja yg mengusulkan, mendukung dan menyetujui memasukkan org² isis itu ke Indonesia. HATI² dan awasi mereka krn mereka adalah islamist. Mereka² ini yg akan mengarahkan dan menjebloskan Indonesia ke NKRI bersyariah.</t>
  </si>
  <si>
    <t>Rencana Pemulangan WNI Dari Diamond Princess, Mahfud: Itu Sudah Resmi Pernyataan Presiden</t>
  </si>
  <si>
    <t>Gw udah bilang kan? Rejim ini kalau maunya A ya dpt A, persetan dgn jeritan rakyat. Nanti nih kalau siluman² onta itu melakukan tindakan terorisme atau menyebarkan paham mereka, bangsat² yg mulangin mereka mah belagak bego. Paling max cuma mengutuk doang.</t>
  </si>
  <si>
    <t>Simak dialog mas Anggara @ICJRid tentang warga Indonesia ex simpatisan ISIS</t>
  </si>
  <si>
    <t>RT @vierda: Bokap Aceh, suami Aceh Padang, agama Islam, pilpres kaga milih Jokowi, pilkada kagak milih Ahok, pileg kagak milih PDIP Untung kaga dicabut aja ini udah status WNI sayah 🤣</t>
  </si>
  <si>
    <t>kadang suka kepikiran dah kenapa tuhan yesus menciptakan gw sbg wni</t>
  </si>
  <si>
    <t>RT @dr_koko28: Saran saya kepada pres/wapres : energi BPIP dipakai membina eks isis. Lebih bisa terukur kinerjanya.</t>
  </si>
  <si>
    <t>Terkait Pemulangan WNI di Diamond Princess, Pemerintah Ekstra Hati-hati</t>
  </si>
  <si>
    <t>RT @voaindonesia: Pemerintah Bersiap Evakuasi WNI di Kapal Pesiar World Dream</t>
  </si>
  <si>
    <t>@samhudibae Kirim aja dia sekalian ke Suriah. Biar jadi budak ISIS sekalian</t>
  </si>
  <si>
    <t>RT @Kemlu_RI: #SahabatKemlu, hari ini #MenluRetno sambut kepulangan Tim Aju dan Tim Evakuasi WNI dari Wuhan (18/02). Berkat kerja sama dan koordinasi berbagai pihak, 237 WNI di Wuhan telah pulang dengan selamat ke pangkuan Ibu Pertiwi. Selengkapnya  #NegaraMelindungi</t>
  </si>
  <si>
    <t>Galau berangkat BKK lg gak bulan depaan. Vote buruan 1. Berangkat aja, corona kebal di orang Indo. 2. Jangan. Bahaya, udah ada WNI kena corona</t>
  </si>
  <si>
    <t>@ab_ksm @AnasApriyadi @Indostransfer Kalau Ezra bapake WNI cmiiw, kayaknya ada deh naturalisasi jalur khusus kayak pemain2 Basket naturalisasi cuma gw gak tau aturan yang mengatur itu.</t>
  </si>
  <si>
    <t>Hati-hati Jemput 74 WNI di Diamond Princess, Menkes Terawan: Taruhannya Besar!</t>
  </si>
  <si>
    <t>@buahkalindungan Komen2nya bikin geleng2 kepala.. Mereka gak mau ISIS itu dikorelasikan dengan suatu Agama, tapi komen2nnya kayak gitu semua.. Penolakan ISIS pulang dianggap kedzoliman terhadap suatu agama Jadi bertanya2 mereka itu sbnrnya dukung teroris apa gmn ya?</t>
  </si>
  <si>
    <t>RT @FPIgarislucu: Ratusan eks ISIS ingin pulang ke Indonesia. Ini bukti nyata bahwa Khilafah Islamiyyah ala ISIS dan HTI membawa kehancuran, sedangkan Indonesia yg berbhineka tunggal ika adalah harapan dan masa depan.</t>
  </si>
  <si>
    <t>BAGUS LAH. .... PASPOR WNI DIBLOKIR Dipastikan Tak Bisa Kembali ke Indonesia, Paspor WNI Eks ISIS Diblokir</t>
  </si>
  <si>
    <t>@frizqaa @womanfeeds itu softex model apasi, isis bener di anu bikin kaget :')</t>
  </si>
  <si>
    <t>RT @vivanewscom: Pulau Sebaru Kecil Jadi Tempat Observasi WNI Kru Kapal World Dream  #vivanews</t>
  </si>
  <si>
    <t>Gemati,sabaran, ra nesunan nek pas kecewa ngene nek mung di nengke ko ngene dadi males dadi wong apik. Hess peli unto isis</t>
  </si>
  <si>
    <t>Pulau Sebaru Kecil Jadi Tempat Observasi WNI Kru Kapal World Dream  #vivanews</t>
  </si>
  <si>
    <t>Dampak Korona, Pekerja Tiongkok di Proyek Kereta Cepat Diganti WNI</t>
  </si>
  <si>
    <t>WNI di Kapal World Dream akan Diobservasi di Pulau Kosong Berfasilitas Bagus Jakarta, 24 Februari 2020 Menteri Kesehatan RI dr. Terawan Agus Putranto mengatakan ada sekitar 181 dari 220-an Anak Buah Kapal warga negara Indonesia akan dijemput dari Kapal…</t>
  </si>
  <si>
    <t>@ammarsingh02 @PannunSFJ_2020 Wah Motherchod mulle kabi Isis lashikar taiba Taliban azhar Kasab Osama masood dawood Ibrahim unko terrorist NHi bolta lekin Modi terrorist kyunki modi ne Teri maa chodi hai kya</t>
  </si>
  <si>
    <t>RT @Keuangannews: Tak Mau Sakit dan Mati Perlahan, WNI Kru kapal Diamond Princess Beri Pesan Untuk Presiden #coronavirus #coronaviruslombardia #VirusWuhan #CoronaOutbreak #coronaviruschina</t>
  </si>
  <si>
    <t>di piara sell oleh tidur ISIS...jadi deh 5 tahun kedepan...bomber baru.... RT @jawapos: Mahfud: Kita Pulangkan Anak Yatim Piatu di Bawah 10 Tahun dari Syria</t>
  </si>
  <si>
    <t>@kumparan @Detektif_Ngibul ISIS eks WNI min</t>
  </si>
  <si>
    <t>@cuanbaksit @kompascom @mohmahfudmd @jokowi Mohon dipertimbangkan kembali pak.. WNI dsni yg punya anak msh balita pasti merasa sangat khawatir 🙏</t>
  </si>
  <si>
    <t>Pemerintah Indonesia Siapkan Opsi Penjemputan 74 WNI di Jepang</t>
  </si>
  <si>
    <t>RT @nemosyus: @SaputraBerman @kisbet_ @jokowi @mohmahfudmd Engga, kan beda iman, Joko &amp; mahfud gw harep adop tu anak ISIS, satu org satu minimal 😁</t>
  </si>
  <si>
    <t>@SalmaBrecht @jokowi @mohmahfudmd Udh bnyk yg cc ke mereka...kyknya anteng aja kok, gda perhatian kasus ini...yg urgent tuh mulangin balita isis eks wni,,, nyuruh ngelawan intoleransi eh mlh mo miara bibit intoleran...</t>
  </si>
  <si>
    <t>RT @kompasiana: Ada Opsi Anak-anak WNI Eks ISIS Akan Dipulangkan Pemerintah</t>
  </si>
  <si>
    <t>Mahfud MD: Paspor ISIS Eks WNI Segera Diblokir</t>
  </si>
  <si>
    <t>Ada Opsi Anak-anak WNI Eks ISIS Akan Dipulangkan Pemerintah</t>
  </si>
  <si>
    <t>Andai Putuskan Kontrak, WNI Kru Diamond Princess Tak Didenda</t>
  </si>
  <si>
    <t>DKI Pastikan Kepulauan Seribu Aman Jadi Lokasi Observasi Sebanyak 188 WNI yang akan dievakuasi dari kapal pesiar World Dream dan 78 lainnya dari Diamond Princess, akan menjalani observasi di Pulau Sebaru, Kepulauan Seribu, Jakarta #ValidNih</t>
  </si>
  <si>
    <t>@SaputraBerman @kisbet_ @jokowi @mohmahfudmd Engga, kan beda iman, Joko &amp; mahfud gw harep adop tu anak ISIS, satu org satu minimal 😁</t>
  </si>
  <si>
    <t>@chaaa1920 Please stay safe ka cha! Semoga segera ada kejelasan secepatnya untuk wni dikorea☹️</t>
  </si>
  <si>
    <t>Bukan di Natuna, 188 WNI dari Jepang Akan di Karantina di Pulau Ini</t>
  </si>
  <si>
    <t>Peng anal isis politik Prof Eriq Anak Aris RT @eriiiiqqq: I think its best for Mahathir to defend himself amidst this massive turmoil. He has yet to make a statement. Lets not put words into his mouth.</t>
  </si>
  <si>
    <t>@IkanAsapBara Saya kan sdg bicara ttg anak2, kepentingan adanya KPAI. Apakah anak2 ISIS itu memilih dilahirkan dr org tua radikal? Bisakah mereka minta pd Allah, "Ya Allah, saya ingin org tua NU yg shalih shalihah spt Gus Baha misalnya"</t>
  </si>
  <si>
    <t>@ISIS_Balik_NO @My_LoveNebe @TofaTofa_id Tul juga sih...mental si lemon digadaikan dengan asam lambung dan air mata bini.. wkwkwkwkwk</t>
  </si>
  <si>
    <t>Kalo lihat situasi dan keadaan di Indonesia, ya memang bener lebih bahaya isis daripada corona. Katanya corona kalah dengan cuaca panas, la isis?🙃 lebih baik gausa dipulangkan lah, kan jihad disana masa balik kucing wkw yatim piatu dalam negeri lebih urgen utk diperhatikan.</t>
  </si>
  <si>
    <t>WNI di Kapal Dream World, Kemenkes: Sehat-Sehat Saja</t>
  </si>
  <si>
    <t>Dinilai Aman, Observasi WNI Dilakukan di Kepulauan Seribu</t>
  </si>
  <si>
    <t>Tak Mau Sakit dan Mati Perlahan, WNI Kru kapal Diamond Princess Beri Pesan Untuk Presiden #coronavirus #coronaviruslombardia #VirusWuhan #CoronaOutbreak #coronaviruschina</t>
  </si>
  <si>
    <t>RT @ravenclawmate: @spoilagedcapo @catuaries 3 WNI TERPAPAR VIRUS CORONA! BEGINI PENDAPAT NIA RAMADHANI!</t>
  </si>
  <si>
    <t>"Kami hati-hati. Negara kita sangat berhati-hati dan mengikuti kaidah-kaidah apa yang sudah ditetapkan oleh Organisasi Kesehatan Dunia (WHO) dan itu akan kami lakukan dengan tertib dan ketat," ujarnya.</t>
  </si>
  <si>
    <t>@womanfeeds Itu mungkin duty free shop (toko bebas pajak), yg WNI ya ga bs beli.. Cuma org yg pny paspor luar negri aja yg bs. Sama kyk kita beli di dfs spore mis, ya org spore ga boleh beli kan bebas pajaknya cm buat turis. Gitu sih kyknya</t>
  </si>
  <si>
    <t>Pemerintah berupaya untuk menjaga agar 264 juta jiwa penduduk Indonesia selamat dari wabah virus corona, di samping tetap memberikan perhatian kepada WNI yang ada di Jepang.</t>
  </si>
  <si>
    <t>@IrwanBastian15 @bintangku206 @yunartowijaya @aniesbaswedan SILIT ASU PELER GAYA LU PERA JING! NEGARA NENEK MOYANG LU TOKAI?? NENEK MOYANG LU JG DIBAWA SM BELANDA DR PULAU ANTAH BERANTAH!!! TENANG AJA, GUA BKN WNI LG, SIAPA YG MAU DI NEGARA TERKORUP SEDUNIA. BENTAR LG NI NEGARA JG AMBRUK DIMAKAN SM ONTA YG GILA KORUPSI!!!</t>
  </si>
  <si>
    <t>188 WNI di Kapal Pesiar World Dream Akan Diobservasi di Pulau Sebaru Kecil</t>
  </si>
  <si>
    <t>Dia mengatakan, alotnya keputusan pemerintah menentukan opsi pemulangan kru kapal Diamond Princess ini karena ingin tetap mempertahankan Indonesia dalam zona hijau.</t>
  </si>
  <si>
    <t>Namun, ketika ditanya apakah pemerintah sedang bernegosiasi agar bisa memulangkan kru dengan kapal, Terawan tidak menjawab lugas. "Ya pokoknya kami nego untuk paling bagus lah, tenang aja," ujar Terawan.</t>
  </si>
  <si>
    <t>Kasihan banget harus bertindak..beberapa kali saya utarakan harus dipisahkan orang sakit dan sehat, dan lainnya WNI di Kapal Pesiar Diamond Princess Minta Dievakuasi, Ketakutan dan Tak Mau Mati Perlahan</t>
  </si>
  <si>
    <t>"Itu paksaan mereka (pakai pesawat), tapi kami masih nego," ujar Terawan usai bertemu Presiden Joko Widodo atau Jokowi di Istana Negara, Jakarta, pada Senin, 24 Februari 2020.</t>
  </si>
  <si>
    <t>@_WWDC19 Persis kaya ISIS, #whothereallterorist?</t>
  </si>
  <si>
    <t>Sebanyak 188 warga negara Indonesia (WNI) yang menjadi kru kapal pesiar World Dream dipulangkan menggunakan kapal TNI Angkatan Laut (AL) terkait kekhawatiran penyebaran virus korona.</t>
  </si>
  <si>
    <t>Kendati demikian, sampai saat ini pemerintah belum mengambil keputusan untuk menjemput kru tersebut dengan pesawat atau kapal.</t>
  </si>
  <si>
    <t>, Jakarta - Menteri Kesehatan Terawan Agus Putranto mengakui pemerintah Jepang sudah memaksa pemerintah Indonesia untuk segera menjemput para WNI yang merupakan kru kapal Diamond Princess menggunakan pesawat.</t>
  </si>
  <si>
    <t>Jepang Paksa RI Jemput WNI Pakai Pesawat, Terawan Berhati-hati (Senin, 24 Februari 2020 17:27 WIB )</t>
  </si>
  <si>
    <t>RT @tribunnews: WNI Kru Kapal Pesiar Diamond Princess yang Positif Virus Corona Bertambah Jadi 9 Orang  via @tribunnews</t>
  </si>
  <si>
    <t>Ini link pemberitaan tentang eks wni isis udah 6 page word kaga abis abis dahhhh anjir emg detik paling gege bray tapi capek jg bray rekapnye</t>
  </si>
  <si>
    <t>Pemerintah Indonesia bergerak mengevakuasi 188 WNI yang juga awal kapal pesiar World Dream dengan menggunakan KRI Dr Soeharso. Nantinya para WNI akan menjalani observasi di Pulau Sebaru Satu, Kepulauan Seribu, DKI Jakarta. #MetroHariIni</t>
  </si>
  <si>
    <t>Mereka telah dijebloskan ke penjara oleh pasukan Kurdi. Adapun pemerintah Indonesia menolak memulangkan mereka ke Tanah Air, dengan alasan pejuang ISIS beserta keluarganya sudah berstatus “eks-WNI”. @WahabisLokal @wisanggeni_084</t>
  </si>
  <si>
    <t>Sebagian besar pejuang asing, yang datang dari 50 negara lebih termasuk Indonesia, tidak diizinkan pulang ke tanah air masing-masing sejak kekalahan ISIS pada Maret 2019. @narkosun @YRadianto</t>
  </si>
  <si>
    <t>@rezfatti @Mada_Kelana71 @GusMendem1 Kata junjungan ente si Brizieq, ISIS adalah saudara😲</t>
  </si>
  <si>
    <t>Anak Yatim Piatu WNI Eks ISIS Dipulangkan, Mahfud: Kebijakannya Sudah Resmi</t>
  </si>
  <si>
    <t>@rinichan02 @supriadi7133334 @na_dirs @jokowi Iya mba, walau itu beda kapal mba. Yg kapal dimaksud di link berita tersebut berada di perairan internasional. Semoga semua WNI kita bisa dievakuasi. Amin</t>
  </si>
  <si>
    <t>Anak terlantar dan pengamen dll masih banyak pak! Kenapa para anak ISIS? mrk sdh terkontaminasi dg SIFAT bukan ajaran! RT @jawapos: Mahfud: Kita Pulangkan Anak Yatim Piatu di Bawah 10 Tahun dari Syria</t>
  </si>
  <si>
    <t>Kaget tau berita Eks-ISIS bisa dipulangkan ke RI. Meskipun ada syarat umur &lt;10th dan yatim piatu sih. Nanti masalah surat-surat pasti diurus pemerintah, semoga dia gak dibully teman-temannya kalau tau dia eks-isis 😭 berat kalo dia jadi isis lagi</t>
  </si>
  <si>
    <t>Mau berapa byk orang ditangkap krn terdoktrin seperti ini?. Rumah tahanan ga akan muat. Tangkaplah mereka2 yg selalu menggoreng isu keagamaan dan rasis. NKRI harga mati, yah benar tp apakah yg dikatain WNA? NO!! Dia pun WNI. Manusia tdk bs memilih lahir dari ras apa. Kuasa Tuhan.</t>
  </si>
  <si>
    <t>WNI dari Kapal Diamond Princess dan World Dream akan Dikarantina di Pulau Sebaru, bukan Natuna</t>
  </si>
  <si>
    <t>ISIS "Ikatan Suami Istri Satu" Gus Miftah</t>
  </si>
  <si>
    <t>Yonko 465 Paskhas Kembali Ke Natuna Amankan WNI dari Jepang -</t>
  </si>
  <si>
    <t>@ChusnulCh__ @RizmaWidiono membayangkan bank jappar masuk istana. hatei dihidupkan lagi. wanita dilarang keluar rumah. eks isis semua dipulangkan termasuk si gendud cabul. khaos! Indonesia dibagi2</t>
  </si>
  <si>
    <t>@mohmahfudmd apakah benar pernyataan anda bahwa anak ISIS usia dibawah 10th dan yatim piatu akan dibawa ke Indonesia?</t>
  </si>
  <si>
    <t>IBU @fahiraidris di mohonkan agar kiranya Sudi menyampaikan pesan ke Anggota DPRD, WNI Indonesia yang berada di kapal pesiar diamond Princess para kru memohon agar kiranya di pulangkan ke tanah Air Indonesia RT @abcaustralia_id: WNI Kru Kapal Pesiar Diamond Princess menitipkan melalui @abcaustralia_id video yang ditujukan kepada Presiden @jokowi. Para kru meminta pemerintah Indonesia segera menjemput mereka dari Yokohama, Jepang.</t>
  </si>
  <si>
    <t>Menkes: Khawatir Episentrum Baru, Evakuasi WNI di Diamond Princess Hati-hati</t>
  </si>
  <si>
    <t>Gajadi putus. Yg ada malah kita ngomongin ex isis sama parpol</t>
  </si>
  <si>
    <t>@KompasTV Isas isis mulu. Urus itu koruptor yg hilang diindonesia HARUN MASIKU, gini amat mengalihkan issu mega korupsi BUMN😑 #kpk_loyo</t>
  </si>
  <si>
    <t>WNI ABK World Dream Dikarantina ke Pulau Sebaru -</t>
  </si>
  <si>
    <t>RT @KompasTV: Enggan Dibunuh Pelan-pelan, WNI di Diamond Princess Kirim Pesan ke Jokowi</t>
  </si>
  <si>
    <t>188 WNI Kapal World Dream Bakal Dikarantina di Pulau Sebaru</t>
  </si>
  <si>
    <t>Pulangkan 73 WNI Dari Jepang, Kemenhub Mengaku Siap Fasilitasi</t>
  </si>
  <si>
    <t>@BacotDoangLu @adekdedees @mahyeldi_sp @yettiaka @Radja_Nusantara @tagarabak @Zukrilzaed Masalah...karena bukan ajaran Islam itu, kecuali kalau anda itu Kombatan ISIS atau Komunis...barulah bisa bilang kafir...</t>
  </si>
  <si>
    <t>@LukmanHarijanto Bawah 10 tahun. Tapi tetap aja didikan ISIS diajari mbeleh boneka</t>
  </si>
  <si>
    <t>@ayashalklar gue mantan ISIS.</t>
  </si>
  <si>
    <t>@BubuNyaii Anake ISIS masa pubertas sekarang sudah bukan anak lg 🤔</t>
  </si>
  <si>
    <t>RT @Metro_TV: #PrimeTalkMetroTV "Semua orang yang dinyatakan positif #VirusCorona dilarikan ke rumah sakit di daerah Chiba dan Tokyo, termasuk dengan 9 WNI tersebut." Alfend Elias, Kontributor Metro TV di Jepang. Live Streaming:</t>
  </si>
  <si>
    <t>Diskusi kebangsaan dg WNI di Islamic Muslim Center Quensland Brisbane - Australia</t>
  </si>
  <si>
    <t>RT @PEDOMAN_id: √ Masyarakat Menerima Sangat Terbuka kepada WNI yang Usai Observasi di Natuna cc @fadjroeL @JubirPresidenRI @PedomanNEWS</t>
  </si>
  <si>
    <t>@hermawn_wawan @momdoubleF @abcaustralia_id @jokowi Anda membahas jg soal wni isis yg dlm statementmu seolah positif dipulangkan, ya kita tahu ending keputusan pemerintah gimana. cuma mengoreksi tulisannya aja biar orang ga salah paham sama yg kamu kemukakan wkwk. Dah itu doang 😁🙏</t>
  </si>
  <si>
    <t>@bdgfess Tandanya kamu mau diajak gabung isis</t>
  </si>
  <si>
    <t>RT @RizmaWidiono: Bodoh itu Nasib, Bebal itu Pilihan Penghargaan 7 Kali Kebanjiran, Rekor Baru Gubernur @aniesbaswedan 4nies paling berhasil “Menenggelamkan Jakarta” membiarkan warga Jakarta menderita kebanjiran 7 kali Kebanjiran dalam 74 hari di tahun 2020 #Kick4nies</t>
  </si>
  <si>
    <t>@BobbyIrwanda @supriadi7133334 @na_dirs @jokowi Mdh2an berita ini bisa memberikan sedikit oksigen utk kita mas...</t>
  </si>
  <si>
    <t>9 WNI di Jepang Positif Terinfeksi Virus Corona  via @YouTube</t>
  </si>
  <si>
    <t>@Moinudd40423416 Han bhai Osama bin laden, maulana Masood Azhar Hindu the aur ISIS Hinduon ka Terrorist organization hai.</t>
  </si>
  <si>
    <t>RT @aiek_esthreem__: #ReshufflePengalihanIsu #ReshufflePengalihanIsu Pesan WNI Yang Ada di Kapal Diamond Princess Untuk aJokowi: Kami Juga Warga Indonesia, Pak Presiden, Jemput Kami  Ga ada dana Utang numpuk Gmn bisa jemput???</t>
  </si>
  <si>
    <t>RT @usepra1: @BobbyIrwanda @MadengIkhwnsyh @jokowi Untuk wni crew Diamond Princess blum ada kepastian karena who sudah menetapkan kapal itu sebagai epicentrum baru penyebaran virus corona</t>
  </si>
  <si>
    <t>@ISIS_Balik_NO @Dahnilanzar @jokowi @prabowo @Komisi_ASN @Kemendagri_RI , klo sudah berhenti/ diberhentikan dari ASN, apa msih boleh menjabat di Lembaga Kementerian/ Non Kementerian?</t>
  </si>
  <si>
    <t>Virus Corona, Dinkes DKI Siap Observasi WNI di Kapal World Dream</t>
  </si>
  <si>
    <t>RT @cempala: WNI Kru Kapal Pesiar Diamond Princess</t>
  </si>
  <si>
    <t>Pemerintah Akan Pulangkan Anak Yatim Piatu Eks ISIS di Bawah 10 Tahun  #LINETODAY hadeh buang2 uang negara, mesti pilih2 panti nih klo mau nyumbang najis bgt jgn sampe nyumbang ke anak2 isis</t>
  </si>
  <si>
    <t>RT @rinichan02: @BobbyIrwanda @supriadi7133334 @na_dirs @jokowi Utk urusan yg urgent begini malah santai. Wacana memulangkan kombatan ISIS malah semangat banget... duuuuhhh pemerintahku !!!</t>
  </si>
  <si>
    <t>@hera0498 @TaufiqMarhaban @ariel_heryanto ISIS nya dimana?</t>
  </si>
  <si>
    <t>@PresidenKopi Anies betul, ada pribumi ada non pribumi, kalau cina wni keturunan, selesai memang mereka mau jadi pribumi? Aduh Raja ngak ada negeri istiqfar dulu biar kepalamu jernih berpikirnya.</t>
  </si>
  <si>
    <t>@tifsembiring kok salamnya sama dgn laskar ISIS om</t>
  </si>
  <si>
    <t>itu anak eks isis beneran dipulangin?</t>
  </si>
  <si>
    <t>Pulangkan mereka secepatnya pak @jokowi kasihan mereka #coronavirus #DiamondPrincess</t>
  </si>
  <si>
    <t>@hermawn_wawan @momdoubleF @abcaustralia_id @jokowi 1. Kurang lengkap mase kalo pake pembelaan, mending ditulis di awal biar org g salah persepsi soal kata 'mau' tadi wkwk.. 2. Saya cuma mau ngoreksi kata" mase yg soal WNI isis aja, soal TKI Wuhan bisa diserahkan ke pemerintah</t>
  </si>
  <si>
    <t>Pemerintah akan memulangkan warga negara Indonesia (WNI) yang berada di Kapal Pesiar Diamond Princess di Perairan Yokohama, Jepang.</t>
  </si>
  <si>
    <t>@Indostransfer Kalau memang dia sudah memenuhi persyaratan sesuai UU misal tinggal 5 tahun, itu hak WNA utk mengajukan jadi wni. Kecuali yg ada sponsor2 khusus utk timnas harapannya selektif. Si klok itu apa sudah 5 tahun?</t>
  </si>
  <si>
    <t>@Indostransfer Bs ngajuin WNI itu: 5 tahun berturut turut atau 10 tahun tdk beruturut turut</t>
  </si>
  <si>
    <t>@KangUbiBakar94 @Lima_ratusan @Jejejejerr Iyaa putihan, aku sukanya yg isis isis hha</t>
  </si>
  <si>
    <t>Menko Polhukam Mahfud MD mengungkapkan pemerintah memutuskan untuk memulangkan anak-anak WNI eks ISIS yang masih berusia di bawah 10 tahun dan yatim piatu dari Suriah. #MostUpdate1058</t>
  </si>
  <si>
    <t>Upaya Mengacaukan Narasi Soal ISIS -</t>
  </si>
  <si>
    <t>@Indostransfer kalau sudah nikah dengan wni tapi syarat nya belum terpenuhi tetap tidak sah secara hukum min menurut uu 12/2006 cmiiw</t>
  </si>
  <si>
    <t>Pemerintah masih identifikasi anak Indonesia terlibat ISIS</t>
  </si>
  <si>
    <t>Aku menunggu komentar bapak ketua BPIP soal anak ISIS ini. Aku itu suka kontroversi bapak ketua BPIP soalnya tu</t>
  </si>
  <si>
    <t>@Indostransfer di dalam uu no 12 tahun 2006 memang diatur min di kriteria bahwa sudah menikah dengan wni, akan tetapi di pasal 9 juga mengatur syarat wna menjadi wni yaitu poin utama nya harus tinggal selama 5 tahun secara berturut turut di indonesia.</t>
  </si>
  <si>
    <t>Geleng2 kepala. WNI dari Wuhan tidak di tes coronavirus. Astaga ckckckc masa inkubasinya aja belum jelas berapa hari karena berbeda masing2 orang. Sangat berbahaya metodenya. RT @VIVAcoid: Alasan WNI Kapal Pesiar Dikarantina Lebih Lama dari WNI Asal Wuhan</t>
  </si>
  <si>
    <t>Drpada khawatir sama idola sendiri gegara Corona heboh di Korea...aku lbh khawatir WNI yg di Daegu, katanya meskipun kotanya udah mulai sepi, mereka masih tetep harus kerja tiap hari</t>
  </si>
  <si>
    <t>Malam semuanya #SahamBUMNAtraktif Pemerintah akan Evakuasi WNI ABK World Dream ke Pulau Sebaru cc @fadjroeL @JubirPresidenRI @PedomanNEWS @SunandarPS</t>
  </si>
  <si>
    <t>@BobbyIrwanda @supriadi7133334 @na_dirs @jokowi Utk urusan yg urgent begini malah santai. Wacana memulangkan kombatan ISIS malah semangat banget... duuuuhhh pemerintahku !!!</t>
  </si>
  <si>
    <t>Mba #NiaRamadhani baca berita dulu yaa. Pemerintah akan Evakuasi WNI ABK World Dream ke Pulau Sebaru cc @fadjroeL @JubirPresidenRI @PedomanNEWS @SunandarPS</t>
  </si>
  <si>
    <t>Wah, keren. Gitu dong. Kok sampah ditampung. Hahahahahaaaaaaaaaaaa.... Data WNI Eks ISIS Mulai Disetor ke Kemenkumham Agar Paspornya Diblokir  #LINETODAY</t>
  </si>
  <si>
    <t>Pemerintah akan Evakuasi WNI ABK World Dream ke Pulau Sebaru cc @fadjroeL @JubirPresidenRI @PedomanNEWS @SunandarPS</t>
  </si>
  <si>
    <t>RT @HimahiUnair: [ DIAS : The Dilemma of The Return of ISIS Terrorist Fighters and Preserving Indonesian Sovereignty 💣🗾] Pemerintah Indonesia secara resmi telah memutuskan untuk tidak memulangkan sekitar 689 WNI eks anggota/simpatisan ISIS.</t>
  </si>
  <si>
    <t>@leleyshow Isis adala koentji</t>
  </si>
  <si>
    <t>Pulau Sebaru disiapkan untuk karantina WNI terkait wabah Corona.</t>
  </si>
  <si>
    <t>👏👏👏 Mamtap Data WNI Eks ISIS Mulai Disetor ke Kemenkumham Agar Paspornya Diblokir  #LINETODAY</t>
  </si>
  <si>
    <t>Begini Taktik Penyelamatan Ratusan WNI dari 2 Kapal Pesiar Mewah. #merahputih #WNI #KapalPesiar #Indonesia</t>
  </si>
  <si>
    <t>@_aitia Bikin malu bgt sbg WNI 😫😫😫</t>
  </si>
  <si>
    <t>Menerima VCS gratis khusus wanita</t>
  </si>
  <si>
    <t>Ini beneran ga sih anak2 yatim piatu isis mau dipulangin (&lt;10 thn). Ntar balas dendam 🤨🤨 bener2 gausah pake mercy kalo kyk gini. Urusin anak2 sendiri dulu aja, yg sono biar diurusin hantu bapaknya</t>
  </si>
  <si>
    <t>@Indostransfer Jaman Gonzalez perasaan lama meski udah nikah sama wni juga, malahan dia jadi wni pas bukan lagi gacor gacornya</t>
  </si>
  <si>
    <t>RT @jokerpandey: ISIS ke muslim Or INDIAN muslim me ek hi difference hai.. Unke hath me gun rhta hai or inke hath me pthhr. #PoliceLivesMatter</t>
  </si>
  <si>
    <t>@Indostransfer Kalo Lee yoo joon bisa bilang Uler mlungker mlungker neng pager njuk gliyer,jadiin Wni langsung aja.</t>
  </si>
  <si>
    <t>@hermawn_wawan @momdoubleF @abcaustralia_id @jokowi Habis rapat kabinet kemarin", ga jadi dipulangkan sih WNI ISIS-nya</t>
  </si>
  <si>
    <t>Biarlah mereka memanen apa yg mereka semai Semoga yercapai2 angan2 mereka di surga Isis RT @giminELLex: Ribuan Prajurit ISIS di Suriah, Termasuk WNI Akan Diadili Maret 2020  Selamat menikmati. @TolakBigotRI @RizmaWidiono @triwul82</t>
  </si>
  <si>
    <t>ASK: Kita sebenernya gak paham soal landasan hukum seorang mengajukan status WNI. Apakah dengan menikahi seorang WNI membuat proses naturalisasi lebih cepat? Yang sudah" soalnya seperti itu. Contoh: Beto Goncalves, Ilija Spasojevic, dan bbrp pemain Afrika.</t>
  </si>
  <si>
    <t>Boro boro perhatian sama minoritas yang tempat ibadahnya dipersulit, digugat... Sibuk ngurusin........</t>
  </si>
  <si>
    <t>ISIS ke muslim Or INDIAN muslim me ek hi difference hai.. Unke hath me gun rhta hai or inke hath me pthhr. #PoliceLivesMatter</t>
  </si>
  <si>
    <t>@rinichan02 @supriadi7133334 @na_dirs @jokowi Nah inilah yang bikin panik ABK WNI di sana. Bayangin aja tinggal nasib mereka yg blm jelas. Kamu liat saja beritanya di tempo hari ini. Masih nego mau evakuasi pake kapal laut.</t>
  </si>
  <si>
    <t>RT @setkabgoid: Pemerintah Akan Evakuasi WNI ABK World Dream ke Pulau Sebaru</t>
  </si>
  <si>
    <t>"Contoh sekarang, apa negara yang keburu-buru ngambil, coba, Australia itu kan dari negatif jadi positif kan. Kita mau seperti itu? Amerika sama juga kan? Masak mau ngikutin yang seperti itu? Kami hati-hati," Kata Terawan.</t>
  </si>
  <si>
    <t>Pemerintah saat ini tengah bernegosiasi agar dapat menjemput sisa WNI yang berada di kapal Diamond Princess. Meski begitu, Terawan mengatakan pemerintah tidak akan gegabah menjemput para WNI tersebut.</t>
  </si>
  <si>
    <t>RT @cnbcindonesia: WNI ABK World Dream Dievakuasi, Diamond Princess Gimana?</t>
  </si>
  <si>
    <t>Menkes Akan Kirim Psikolog untuk WNI di Kapal Diamond Princess, Buat Apa?  #DariSuara</t>
  </si>
  <si>
    <t>RT @fadlizon: Tunggu apalagi, WNI harus dipulangkan n diselamatkan. Negara2 lain melakukan, knp kita lamban?</t>
  </si>
  <si>
    <t>@BubuNyaii Iya, yang cewek Annabelle,,🙄🙄🙄 Hasil ISIS ngapa dibalikin lageh? Mo bikin kita habis??😤</t>
  </si>
  <si>
    <t>@kisbet_ Yatim piatu di sana, begitu dibawa balik ke sini ntar banyak simpatisan isis yg didik mereka jadi teroris. Dah jelas kok di sini banyak sel2 teroris.</t>
  </si>
  <si>
    <t>@grmmrw Bor, brsyukur itu urusan pribadi sama Tuhan, dlm urusan Negara kgak bs lu bawa2 rasa syukur, krn dlm UU gak ada parameter "rasa syukur". gua WNI jg bs krja, ortu gua jg bs, semua kluarga gua jg bs, trs apa istimewanya lu ngoceh gt?</t>
  </si>
  <si>
    <t>@denganaul Pembukaan rek. Mandiri tabungan secara online dpt dilakukan oleh setiap Warga Negara Indonesia (WNI) yg memiliki Kartu Tanda Penduduk (KTP), tercatat di Data Kependudukan Kementerian Dalam Negeri Indonesia (Dukcapil) serta blm pernah menjadi nasabah Bank Mandiri ya. Tks~Sahal (2)</t>
  </si>
  <si>
    <t>@subtanyarl wni Sungguh the real Warga Negara Indonesia :)</t>
  </si>
  <si>
    <t>RT @kak_wew: @Dnok_Ayu Iya emg hitung-2 nya sperti itu mbak, ini td sy tengok d berita tv .. ad rencana WNI yg d evakuasi dri Yokohama akn d tmpatkan d sebuah pulau.</t>
  </si>
  <si>
    <t>@sharbiq @adfal_k @HarefaDalius @ustadtengkuzul Lope lupa membuat loe buta.. Woi kadrun.. Walaupun d ujung dunia selagi gw WNI pantas aj gw protes dn kritik.. Emang jakarta punya matamu doang.</t>
  </si>
  <si>
    <t>RT @kemenkopmk: Jakarta (24/2) -- Pemerintah akan segera melakukan evakuasi terhadap Warga Negara Indonesia (WNI) yang menjadi Anak Buah Kapal (ABK) World Dream dan juga Diamond Princess. Namun dalam prosesnya, evakuasi akan dilakukan bertahap dengan mengedepankan prinsip kehati-hatian.</t>
  </si>
  <si>
    <t>Dampak corona, pekerja Tiongkok di proyek kereta cepat diganti WNI</t>
  </si>
  <si>
    <t>"Anak-anak di bawah umur 10 tahun yang yatim piatu akan dipulangkan kebijakannya sudah resmi,"kata Mahfud</t>
  </si>
  <si>
    <t>RT @kesatu_co: Tiga pasien tersebut di antaranya seorang WNI yang memiliki riwayat ke luar negeri. #CoronavirusOutbreak @infobdg @humasjabar @InfoBekasi @kotaSUBANG</t>
  </si>
  <si>
    <t>Mahfud: Data ISIS Eks WNI Mulai Disetor ke Kemenkum, Paspornya Diblokir</t>
  </si>
  <si>
    <t>RT @Mpok_Hanum: Ternyata kemarin2 teriak ISIS ga boleh pulang baik anak-ortu nya, ga sepenuhnya berhasil ya? 😑 Yah....sekali dagelan...ya emang dagelan sih...😒 @Sarah_Pndj @LusiHQ @jiiviiw @Ivone_RSZ @3_devout</t>
  </si>
  <si>
    <t>"Estimasi pemindahan boat to boat akan dilakukan pada tanggal 26 Februari jam 10.00 di Selat Durian dan akan tiba di Pulau Sebaru Kecil 28 Februari sekitar jam 9.00 WIB," ujarnya usai RTM Rencana Pemulangan WNI ABK di Kantor Kemenko PMK, Jakarta, Senin (24/2).</t>
  </si>
  <si>
    <t>@heavenrose45 @TajinderBagga Ha. Bhosdike. 911, 26/11, ISIS, Al-Qaeda etc. RSS k member the na? Kuch bhi?</t>
  </si>
  <si>
    <t>@ken_mrizal @kwinarta279 @maunyaini @KamuBukanSaya1 @GlHindu @bitieslopers @whyujayapratama @BuddhisGL Perlu dikasihani gk ??</t>
  </si>
  <si>
    <t>Jakarta (24/2) -- Pemerintah akan segera melakukan evakuasi terhadap Warga Negara Indonesia (WNI) yang menjadi Anak Buah Kapal (ABK) World Dream dan juga Diamond Princess. Namun dalam prosesnya, evakuasi akan dilakukan bertahap dengan mengedepankan prinsip kehati-hatian.</t>
  </si>
  <si>
    <t>Yakin anak dibawah 10 tahun belum dilatih ??? Ingin berkata kasar tapi takut dosa sama orang tua 🤦‍♂️ Setelah itu PR nya Keamanan dalam Negeri 😪 Pemerintah Akan Pulangkan Anak Yatim Piatu Eks ISIS di Bawah 10 Tahun  #LINETODAY</t>
  </si>
  <si>
    <t>Sebelumnya diberitakan WNI yang akan dievakuasi dari kapal pesiar Diamond Princess dan World Dream akan diobservasi di Pulau Sebaru, Kepulauan Seribu. #VirusCorona</t>
  </si>
  <si>
    <t>RT @Metro_TV: #PrimeTalkMetroTV Menteri Kesehatan, Terawan memastikan ada 9 WNI di atas kapal pesiar Diamond Princess di Yokohama, Jepang yang positif terinfeksi #VirusCorona. Pemerintah memilih untuk sangat berhati-hati dan tidak ingin terburu-buru. Live Streaming:</t>
  </si>
  <si>
    <t>Bupati Kepulauan Seribu Husein Murad mengatakan, kegiatan itu dilakukan guna memberikan sosialisasi kepada masyarakat terkait observasi di sana.</t>
  </si>
  <si>
    <t>mindos gmn ni kabar Salles? Klok bs jdi WNI sblm tanggal 10 ga kira2? @Indostransfer</t>
  </si>
  <si>
    <t>RT @milliemello_: Stop do something yang orang tak pernah hargai</t>
  </si>
  <si>
    <t>Puluhan WNI di Kapal Pesiar Jepang Akan Diobservasi Terkait Corona di Indonesia</t>
  </si>
  <si>
    <t>@mediaindonesia @KPAI_official ..ayoo copot saja perempuan ini, kmrn bikin heboh soal bulutangkis, skrg soal berenang. Ingin hancur olahraga RI, spt ISIS menghancurkan kebudayaan!!!</t>
  </si>
  <si>
    <t>#PrimeTalkMetroTV "Semua orang yang dinyatakan positif #VirusCorona dilarikan ke rumah sakit di daerah Chiba dan Tokyo, termasuk dengan 9 WNI tersebut." Alfend Elias, Kontributor Metro TV di Jepang. Live Streaming:</t>
  </si>
  <si>
    <t>@Dnok_Ayu Iya emg hitung-2 nya sperti itu mbak, ini td sy tengok d berita tv .. ad rencana WNI yg d evakuasi dri Yokohama akn d tmpatkan d sebuah pulau.</t>
  </si>
  <si>
    <t>Oh maiii hotttttt. Jadi pulang jugak anak anak Kadron ISIS?? Jadi ingat Vidio anaknya ISIS yg ekting nyembelih boneka pandanya😱😱 Beware mereka anak Kadron ISIS bisa jadi BONEKA CHUCKY 😱😱😱😱😱😱😱😱😱😱😱😱😱😱😱😱😱😱😱😱😱😱😱😱😱😱😱😱😱😱😱😱😱😱😱😱😱😱😱😱😱😱😱😱😱😱😱 RT @kompascom: Pemerintah juga tengah membahas skema penjemputan dan pembinaannya ketika anak-anak tersebut berhasil dipulangkan.</t>
  </si>
  <si>
    <t>RT @kompascom: Pemblokiran paspor itu berlaku untuk WNI yang masuk kategori dewasa.</t>
  </si>
  <si>
    <t>RT @Metro_TV: #PrimeTalkMetroTV "Bagaimanapun juga mereka adalah WNI yang berhak dilindungi berdasarkan amanat konstitusi kita. Tapi di sisi lain pemerintah punya banyak pertimbangan terkait proses evakuasi." Saleh Partaonan Daulay, Anggota DPR Komisi IX/F-PAN.</t>
  </si>
  <si>
    <t>19 WNI Tertahan di Wilayah Isolasi Baru COVID-19 China #Viruscorona #Wnidichina</t>
  </si>
  <si>
    <t>RT @Metro_TV: #PrimeTalkMetroTV "Sekarang sedang diputuskan langkah-langkah teknis penjemputan WNI di kapal Diamond Princess. Sementara itu, Kita dahulukan WNI dari kapal World Dream karena paling mudah." Fadjroel Rachman, Juru Bicara Presiden. Live Streaming:</t>
  </si>
  <si>
    <t>RT @Metro_TV: #PrimeTalkMetroTV "Keputusan yang terbaik pasti akan dipilih untuk mengevakuasi WNI dari Diamond Princess. Kami berharap semua bersabar untuk mengambil langkah-langkah teknis." Fadjroel Rachman, Juru Bicara Presiden. Live Streaming:</t>
  </si>
  <si>
    <t>Kami ingin pulang secepatnya, Jangan biarkan kami terpapar virus covid-19, dan jemput kami pak presiden secepatnya".⁣ ⁣ Video yang disampaikan adalah suara yang mewakilkan puluhan WNI yang masih dikarantina di dalam kapal Diamond Princess di Yokohama, Jepang</t>
  </si>
  <si>
    <t>Beberapa pesan disampaikan dalam sebuah video pendek berdurasi 1 menit 9 detik yang berisi 10 WNI menggunakan masker.⁣ ⁣ Selain itu mereka juga membawa bebeapa secarik kertas yang bertuliskan "</t>
  </si>
  <si>
    <t>Puluhan Warga Negara Indonesia (WNI) yang merupakan kru kapal pesiar Diamond Princess menyampaikan permohanan evakuasi kepada Presiden Republik Indonesia, @jokowi sesegera mungkin.</t>
  </si>
  <si>
    <t>Meski telah kalah dan pemimpin tertingginya, Al Baghdadi, tewas, ISIS tetap menjadi ancaman yg berbahaya. Apalagi belum lama ini juru bicara mrk, Abu Hamzah al Quraisy, telah menyebarkan dokumen yang berisi seruan untuk bersiap melakukan serangan balasan.</t>
  </si>
  <si>
    <t>Pemblokiran paspor itu berlaku untuk WNI yang masuk kategori dewasa.</t>
  </si>
  <si>
    <t>@Cobeh09 Al Baghdadi kayak nama Dedengkot ISIS</t>
  </si>
  <si>
    <t>Ruu ketahanan keluarga apaansi sampah bgt gila, ga masuk dilogika DPR kurang kerjaan apa gimana si, padahal banyak isu yang perlu penyelesaian gausah repot2 bahas rumah tangga seks suami istri dan yg ga masuk akal lainnya, hih kasian wni bayar pajak buat pemikiran kalian yg cacat</t>
  </si>
  <si>
    <t>@kompascom Oh maiii hotttttt. Jadi pulang jugak anak anak Kadron ISIS??</t>
  </si>
  <si>
    <t>@geloraco Ya baguslah dan memang hrs mengutamakan WNI dong ...!!!</t>
  </si>
  <si>
    <t>Ga semua yang keluar rumah pake sarung itu orang maduraaa woyyyyyy Andaa tidak tau betapa isis nya keluar rumah pake sarung</t>
  </si>
  <si>
    <t>@kompascom Bukannya ngurusin anak anak korban bom malah ngurusin anak anak isis. Aneh</t>
  </si>
  <si>
    <t>Mereka telah dijebloskan ke penjara oleh pasukan Kurdi. Adapun pemerintah Indonesia menolak memulangkan mereka ke Tanah Air, dengan alasan pejuang ISIS beserta keluarganya sudah berstatus “eks-WNI”.</t>
  </si>
  <si>
    <t>Sebagian besar pejuang asing, yang datang dari 50 negara lebih termasuk Indonesia, tidak diizinkan pulang ke tanah air masing-masing sejak kekalahan ISIS pada Maret 2019.</t>
  </si>
  <si>
    <t>Ribuan Prajurit ISIS di Suriah, Termasuk WNI Akan Diadili Maret 2020  Selamat menikmati. @TolakBigotRI @RizmaWidiono @triwul82</t>
  </si>
  <si>
    <t>RT @moesa_jp02: @KPAI_official KPAI harus baca ini biar klir ya... LPSK: Anak dan Istri Eks ISIS Bukan Korban  via @Beritasatu</t>
  </si>
  <si>
    <t>@KPAI_official KPAI harus baca ini biar klir ya... LPSK: Anak dan Istri Eks ISIS Bukan Korban  via @Beritasatu</t>
  </si>
  <si>
    <t>RT @Sifudan_mora: Narasi si baju merah ini sudah familiar di telinga WNI. Itulah sebabnya kita serukan perlawanan terhadap narasi sesat seperti ini. Tapi @DivHumas_Polri @jokowi @mohmahfudmd adem ayem aja tuh...</t>
  </si>
  <si>
    <t>dari minggu kmrn mood pengen muterin pala orang kyk isis blm turun2 ya</t>
  </si>
  <si>
    <t>Alur Proses Pengusulan Pembebasan Bersyarat Bagi Narapidana WNI dan WNA</t>
  </si>
  <si>
    <t>188 WNI dari Kapal World Dream Diobservasi Bekas Rehabilitasi Pecandu Narkotika #TauCepatTanpaBatas #BeritaTerkini #Berita #News #BeritaNasional .</t>
  </si>
  <si>
    <t>Ini pramuka apa camp ISIS? RT @hendralm: biar apa?</t>
  </si>
  <si>
    <t>Pemulangan WNI di Diamond Princess, Pemerintah Utamakan Prinsip Kehati-hatian</t>
  </si>
  <si>
    <t>78 WNI ABK kapal pesiar Princess Diamond yg dikarantina di kapal tsb di Yokohama jepang meminta kpd pemerintah Indonesia untuk di jemput biar bisa pulang, dr 78 ABK tsb 9 diantaranya positif terpapar virus Corona…</t>
  </si>
  <si>
    <t>@JaritaKirana @ariefcf_ PKI bknya Bapakmu dan keluargamu 😆😆😆 bahkan PKI sudah gabung Dg ISIS terorist tuh 😆😆😆</t>
  </si>
  <si>
    <t>Batal ke Natuna, Karantina WNI di Kapal Pesiar World Dream ke Pulau Sebaru Jakarta – Warta Kepri</t>
  </si>
  <si>
    <t>Dgn kerendahan hati aku meminta agar teman teman me-rt, salah satu keluargaku ada yg menjadi kru di kpl #DiamondPrincess. Mereka ingin sgera dievakuasi. Mohon dgn sgt pak @jokowi. Mhsswa Indo yg sgd bljr di Jpg sja bs cpt di evkuasi, HAK mrka sbg WNI SAMA BUKAN ? 🙏 -Terimakasih RT @abcaustralia_id: WNI Kru Kapal Pesiar Diamond Princess menitipkan melalui @abcaustralia_id video yang ditujukan kepada Presiden @jokowi. Para kru meminta pemerintah Indonesia segera menjemput mereka dari Yokohama, Jepang.</t>
  </si>
  <si>
    <t>WNI Positif Virus Korona di Kapal Diamond Princess Bertambah Jadi 9 Orang #TauCepatTanpaBatas #BeritaTerkini #Berita #News #BeritaNasional .</t>
  </si>
  <si>
    <t>Korea Selatan sudah menyatakan red alert untuk @coronvirus, apakah pemerintah tidak segera mengeluarkan WNI yang ada di sana. Salah satu mhs adalah keluarga saya. Please @IdEmbassy_Seoul segerakan memulangkan para mhs di korea</t>
  </si>
  <si>
    <t>@MoralisMiranda Mendalami isis</t>
  </si>
  <si>
    <t>Pemerintah Berencana Evakuasi WNI ABK World Dream ke Pulau Sebaru  via @vibizmediacom</t>
  </si>
  <si>
    <t>Terdapat total 78 WNI yang berada di kapal pesiar tersebut, 4 orang sudah terjangkit virus korona. Namun, jumlahnya kini bertambah menjadi 9 orang.v</t>
  </si>
  <si>
    <t>Menolak Kepulangan ISIS Eks WNI Adalah Pilihan Bijak dan Tepat</t>
  </si>
  <si>
    <t>RT @binsbirowo: #ReshufflePengalihanIsu #ReshufflePengalihanIsu Kota Daegu Korsel mendadak jd kota hantu.. Mall, restoran,jalan kosong melompong.. Smoga WNI di Daegu selamat.. aamiin</t>
  </si>
  <si>
    <t>RT @vivanewscom: WNI Kru Kapal Diamond Princess Positif Corona Bertambah, Total 9 Orang  #vivanews</t>
  </si>
  <si>
    <t>[ DIAS : The Dilemma of The Return of ISIS Terrorist Fighters and Preserving Indonesian Sovereignty 💣🗾] Pemerintah Indonesia secara resmi telah memutuskan untuk tidak memulangkan sekitar 689 WNI eks anggota/simpatisan ISIS.</t>
  </si>
  <si>
    <t>RT @Tanpaagama: Mereka yang ngotot bilang isis tak beragama, mereka pula yang ngotot isis dipulangkan ke indonesia. Orang gila mah, bebas.</t>
  </si>
  <si>
    <t>@youngsyefura ini join terus jadi #LTTE member ke? I nak confirm je sebaba I ini quater Arab, kan nanti jadi ISIS pulak, takpun IRA separatist? Ini borang ke perjanjian syaitan ? ke kena sembah M16 dulu? RT @AuFaitMY: @youngsyefura Boring LTTE ada? Atau otomatik membership bila join DAP?</t>
  </si>
  <si>
    <t>WNI Kru Kapal Diamond Princess Positif Corona Bertambah, Total 9 Orang  #vivanews</t>
  </si>
  <si>
    <t>#ReshufflePengalihanIsu #ReshufflePengalihanIsu Kota Daegu Korsel mendadak jd kota hantu.. Mall, restoran,jalan kosong melompong.. Smoga WNI di Daegu selamat.. aamiin</t>
  </si>
  <si>
    <t>BEREDAR VIDEO WNI DI KAPAL DIAMOND PRINCESS UNTUK JOKOWI</t>
  </si>
  <si>
    <t>RT @emirazahari: berita: agong terima peletakan jawatan Tun M dan berkenan melantik Tun M sbg PM sementara. pening, pening 😂</t>
  </si>
  <si>
    <t>Pemerintah Utamakan Prinsip Kehati-hatian Tangani Pemulangan WNI di Diamond Princess  #PDIPerjuangan</t>
  </si>
  <si>
    <t>@kompascom Masih banyak yang lebih penting, masih banyak yang lebih urgent urusan segala bidang di dalam negeri negeri daripada mikirin eks ISIS pak.</t>
  </si>
  <si>
    <t>@Cobeh09 Namanya menginginkan kepada pimpinan ISIS.. wah pondok RADIKAL sebenarnya ini.. Radikal DUNGUNYA</t>
  </si>
  <si>
    <t>Jadi Tempat Observasi 188 WNI, Menkes Sebut Pulau Sebaru Kecil Miliki Fasilitas Baik #TauCepatTanpaBatas #BeritaTerkini #Berita #News #BeritaNasional .</t>
  </si>
  <si>
    <t>@PolitikToday @ChristWamea Patut kita hormati yang mana sebelumnya banyak WNI berprofesi sebagai TKI, PENGAMEN bahkan banyak ke SURIAH ikut GEROMBOLAN ISIS. Kini masuk kategori MAMPU di seantero dunia termasuk KADRUN.</t>
  </si>
  <si>
    <t>@Yricovery @micela_santos @dw_espanol Siguin isi, cin isis minsijis ciministis</t>
  </si>
  <si>
    <t>@Don_dasco Perlu diketahui, Kapal Diamond Princess berpenumpang 3.711 termasuk 78 diantaranya warga negara Indonesia (WNI) yang menjadi ABK, dan sudah terkonfirmasi 4 orang diantaranya positif terpapar virus corona. #SuaraGerindra</t>
  </si>
  <si>
    <t>@lanhudiee Gile, bisa dicabut ga sih kewarganegaraan dia? Malu2in sumpah 🤦 Udh kemaren ada WNI yg kena kasus di UK, sekarang ini pula 😑</t>
  </si>
  <si>
    <t>Teras Berita Virus Corona, WNI dari Kapal Pesiar Diobservasi di Pulau Kosong Kepulauan…</t>
  </si>
  <si>
    <t>@abcaustralia_id @jokowi Bagus sih.. melihat kesuksesan karantina di natuna kemarin jd banyak wni yg percaya sama proses observasi corona di indonesia.. Bertahanlah saudaraku. Semoga pemerintah cepat ambil tindakan, ini permintaan wni yg sah loh bukan isis, bkn wni yg udah bakar paspor</t>
  </si>
  <si>
    <t>Pemerintah telah memutuskan akan memulangkan anak eks ISIS usia 10 tahun ke bawah.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</si>
</sst>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quot;/&quot;mm&quot;/&quot;yyyy&quot; &quot;hh&quot;:&quot;mm"/>
  </numFmts>
  <fonts count="5">
    <font>
      <sz val="10"/>
      <color rgb="FF000000"/>
      <name val="Arial"/>
    </font>
    <font>
      <sz val="8"/>
      <color theme="1"/>
      <name val="Droid Sans"/>
    </font>
    <font>
      <sz val="8"/>
      <color rgb="FFFFFFFF"/>
      <name val="Droid Sans"/>
    </font>
    <font>
      <u/>
      <sz val="8"/>
      <color rgb="FF0000FF"/>
      <name val="Droid Sans"/>
    </font>
    <font>
      <sz val="8"/>
      <name val="Arial"/>
    </font>
  </fonts>
  <fills count="3">
    <fill>
      <patternFill patternType="none"/>
    </fill>
    <fill>
      <patternFill patternType="gray125"/>
    </fill>
    <fill>
      <patternFill patternType="solid">
        <fgColor rgb="FF3C78D8"/>
        <bgColor rgb="FF3C78D8"/>
      </patternFill>
    </fill>
  </fills>
  <borders count="1">
    <border>
      <left/>
      <right/>
      <top/>
      <bottom/>
      <diagonal/>
    </border>
  </borders>
  <cellStyleXfs count="1">
    <xf numFmtId="0" fontId="0" fillId="0" borderId="0"/>
  </cellStyleXfs>
  <cellXfs count="9">
    <xf numFmtId="0" fontId="0" fillId="0" borderId="0" xfId="0" applyFont="1" applyAlignment="1"/>
    <xf numFmtId="0" fontId="2" fillId="2" borderId="0" xfId="0" applyFont="1" applyFill="1" applyAlignment="1">
      <alignment horizontal="center" vertical="center"/>
    </xf>
    <xf numFmtId="0" fontId="2" fillId="2" borderId="0" xfId="0" applyFont="1" applyFill="1" applyAlignment="1">
      <alignment vertical="center"/>
    </xf>
    <xf numFmtId="0" fontId="3" fillId="0" borderId="0" xfId="0" applyFont="1" applyAlignment="1">
      <alignment vertical="center"/>
    </xf>
    <xf numFmtId="0" fontId="1" fillId="0" borderId="0" xfId="0" applyFont="1" applyAlignment="1">
      <alignment vertical="center"/>
    </xf>
    <xf numFmtId="0" fontId="1" fillId="0" borderId="0" xfId="0" applyFont="1" applyAlignment="1">
      <alignment horizontal="center" vertical="center"/>
    </xf>
    <xf numFmtId="164" fontId="1" fillId="0" borderId="0" xfId="0" applyNumberFormat="1" applyFont="1" applyAlignment="1">
      <alignment horizontal="center" vertical="center"/>
    </xf>
    <xf numFmtId="0" fontId="0" fillId="0" borderId="0" xfId="0"/>
    <xf numFmtId="0" fontId="0" fillId="0" borderId="0" xfId="0" applyFont="1" applyFill="1" applyAlignment="1"/>
  </cellXfs>
  <cellStyles count="1">
    <cellStyle name="Normal" xfId="0" builtinId="0"/>
  </cellStyles>
  <dxfs count="17">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8"/>
        <color rgb="FFFFFFFF"/>
        <name val="Droid Sans"/>
        <scheme val="none"/>
      </font>
      <fill>
        <patternFill patternType="solid">
          <fgColor rgb="FF3C78D8"/>
          <bgColor rgb="FF3C78D8"/>
        </patternFill>
      </fill>
      <alignment horizontal="general" vertical="center" textRotation="0" wrapText="0" indent="0" justifyLastLine="0" shrinkToFit="0" readingOrder="0"/>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3">
    <tableStyle name="Twitter Archiver Logs-style" pivot="0" count="3" xr9:uid="{00000000-0011-0000-FFFF-FFFF00000000}">
      <tableStyleElement type="headerRow" dxfId="16"/>
      <tableStyleElement type="firstRowStripe" dxfId="15"/>
      <tableStyleElement type="secondRowStripe" dxfId="14"/>
    </tableStyle>
    <tableStyle name="bpjs langid -filterretweets -fi-style" pivot="0" count="3" xr9:uid="{00000000-0011-0000-FFFF-FFFF01000000}">
      <tableStyleElement type="headerRow" dxfId="13"/>
      <tableStyleElement type="firstRowStripe" dxfId="12"/>
      <tableStyleElement type="secondRowStripe" dxfId="11"/>
    </tableStyle>
    <tableStyle name="wni OR isis langid -filternews-style" pivot="0" count="3" xr9:uid="{00000000-0011-0000-FFFF-FFFF02000000}">
      <tableStyleElement type="header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3" displayName="Table_3" ref="A1:F41527" headerRowDxfId="7" dataDxfId="0">
  <tableColumns count="6">
    <tableColumn id="1" xr3:uid="{00000000-0010-0000-0000-000001000000}" name="Date" dataDxfId="6"/>
    <tableColumn id="2" xr3:uid="{00000000-0010-0000-0000-000002000000}" name="Screen Name" dataDxfId="5"/>
    <tableColumn id="4" xr3:uid="{00000000-0010-0000-0000-000004000000}" name="Tweet Text" dataDxfId="4"/>
    <tableColumn id="9" xr3:uid="{00000000-0010-0000-0000-000009000000}" name="Retweets" dataDxfId="3"/>
    <tableColumn id="10" xr3:uid="{00000000-0010-0000-0000-00000A000000}" name="Favorites" dataDxfId="2"/>
    <tableColumn id="12" xr3:uid="{00000000-0010-0000-0000-00000C000000}" name="Followers" dataDxfId="1"/>
  </tableColumns>
  <tableStyleInfo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41726"/>
  <sheetViews>
    <sheetView tabSelected="1" workbookViewId="0">
      <pane ySplit="1" topLeftCell="A41502" activePane="bottomLeft" state="frozen"/>
      <selection pane="bottomLeft" activeCell="C41507" sqref="C41507"/>
    </sheetView>
  </sheetViews>
  <sheetFormatPr defaultColWidth="14.42578125" defaultRowHeight="15.75" customHeight="1"/>
  <cols>
    <col min="1" max="2" width="15.85546875" customWidth="1"/>
    <col min="3" max="3" width="43" customWidth="1"/>
  </cols>
  <sheetData>
    <row r="1" spans="1:6" ht="12.75">
      <c r="A1" s="1" t="s">
        <v>0</v>
      </c>
      <c r="B1" s="2" t="s">
        <v>1</v>
      </c>
      <c r="C1" s="2" t="s">
        <v>2</v>
      </c>
      <c r="D1" s="2" t="s">
        <v>3</v>
      </c>
      <c r="E1" s="2" t="s">
        <v>4</v>
      </c>
      <c r="F1" s="1" t="s">
        <v>5</v>
      </c>
    </row>
    <row r="2" spans="1:6" ht="12.75">
      <c r="A2" s="8">
        <v>43905.423460648148</v>
      </c>
      <c r="B2" s="8" t="str">
        <f>HYPERLINK("https://twitter.com/Mr_Bone007","@Mr_Bone007")</f>
        <v>@Mr_Bone007</v>
      </c>
      <c r="C2" s="8" t="s">
        <v>6</v>
      </c>
      <c r="D2" s="8">
        <v>0</v>
      </c>
      <c r="E2" s="8">
        <v>0</v>
      </c>
      <c r="F2" s="8">
        <v>1372</v>
      </c>
    </row>
    <row r="3" spans="1:6" ht="12.75">
      <c r="A3" s="8">
        <v>43905.42288194444</v>
      </c>
      <c r="B3" s="8" t="str">
        <f>HYPERLINK("https://twitter.com/HacktivisMca","@HacktivisMca")</f>
        <v>@HacktivisMca</v>
      </c>
      <c r="C3" s="8" t="s">
        <v>7</v>
      </c>
      <c r="D3" s="8">
        <v>129</v>
      </c>
      <c r="E3" s="8">
        <v>0</v>
      </c>
      <c r="F3" s="8">
        <v>21554</v>
      </c>
    </row>
    <row r="4" spans="1:6" ht="12.75">
      <c r="A4" s="8">
        <v>43905.421956018516</v>
      </c>
      <c r="B4" s="8" t="str">
        <f>HYPERLINK("https://twitter.com/Anaksemut4","@Anaksemut4")</f>
        <v>@Anaksemut4</v>
      </c>
      <c r="C4" s="8" t="s">
        <v>7</v>
      </c>
      <c r="D4" s="8">
        <v>129</v>
      </c>
      <c r="E4" s="8">
        <v>0</v>
      </c>
      <c r="F4" s="8">
        <v>4203</v>
      </c>
    </row>
    <row r="5" spans="1:6" ht="12.75">
      <c r="A5" s="8">
        <v>43905.421921296293</v>
      </c>
      <c r="B5" s="8" t="str">
        <f>HYPERLINK("https://twitter.com/ccrich","@ccrich")</f>
        <v>@ccrich</v>
      </c>
      <c r="C5" s="8" t="s">
        <v>8</v>
      </c>
      <c r="D5" s="8">
        <v>0</v>
      </c>
      <c r="E5" s="8">
        <v>0</v>
      </c>
      <c r="F5" s="8">
        <v>11</v>
      </c>
    </row>
    <row r="6" spans="1:6" ht="12.75">
      <c r="A6" s="8">
        <v>43905.421828703707</v>
      </c>
      <c r="B6" s="8" t="str">
        <f>HYPERLINK("https://twitter.com/NurlelySiregar","@NurlelySiregar")</f>
        <v>@NurlelySiregar</v>
      </c>
      <c r="C6" s="8" t="s">
        <v>9</v>
      </c>
      <c r="D6" s="8">
        <v>0</v>
      </c>
      <c r="E6" s="8">
        <v>0</v>
      </c>
      <c r="F6" s="8">
        <v>8502</v>
      </c>
    </row>
    <row r="7" spans="1:6" ht="12.75">
      <c r="A7" s="8">
        <v>43905.421782407408</v>
      </c>
      <c r="B7" s="8" t="str">
        <f>HYPERLINK("https://twitter.com/mr_supiansyah","@mr_supiansyah")</f>
        <v>@mr_supiansyah</v>
      </c>
      <c r="C7" s="8" t="s">
        <v>7</v>
      </c>
      <c r="D7" s="8">
        <v>129</v>
      </c>
      <c r="E7" s="8">
        <v>0</v>
      </c>
      <c r="F7" s="8">
        <v>2077</v>
      </c>
    </row>
    <row r="8" spans="1:6" ht="12.75">
      <c r="A8" s="8">
        <v>43905.421747685185</v>
      </c>
      <c r="B8" s="8" t="str">
        <f>HYPERLINK("https://twitter.com/ajenar","@ajenar")</f>
        <v>@ajenar</v>
      </c>
      <c r="C8" s="8" t="s">
        <v>7</v>
      </c>
      <c r="D8" s="8">
        <v>129</v>
      </c>
      <c r="E8" s="8">
        <v>0</v>
      </c>
      <c r="F8" s="8">
        <v>504</v>
      </c>
    </row>
    <row r="9" spans="1:6" ht="12.75">
      <c r="A9" s="8">
        <v>43905.421331018515</v>
      </c>
      <c r="B9" s="8" t="str">
        <f>HYPERLINK("https://twitter.com/Rejaullia1","@Rejaullia1")</f>
        <v>@Rejaullia1</v>
      </c>
      <c r="C9" s="8" t="s">
        <v>10</v>
      </c>
      <c r="D9" s="8">
        <v>67</v>
      </c>
      <c r="E9" s="8">
        <v>0</v>
      </c>
      <c r="F9" s="8">
        <v>54</v>
      </c>
    </row>
    <row r="10" spans="1:6" ht="12.75">
      <c r="A10" s="8">
        <v>43905.421168981484</v>
      </c>
      <c r="B10" s="8" t="str">
        <f>HYPERLINK("https://twitter.com/Akoe1008","@Akoe1008")</f>
        <v>@Akoe1008</v>
      </c>
      <c r="C10" s="8" t="s">
        <v>11</v>
      </c>
      <c r="D10" s="8">
        <v>4</v>
      </c>
      <c r="E10" s="8">
        <v>0</v>
      </c>
      <c r="F10" s="8">
        <v>1230</v>
      </c>
    </row>
    <row r="11" spans="1:6" ht="12.75">
      <c r="A11" s="8">
        <v>43905.420543981483</v>
      </c>
      <c r="B11" s="8" t="str">
        <f>HYPERLINK("https://twitter.com/Kabarsukadotcom","@Kabarsukadotcom")</f>
        <v>@Kabarsukadotcom</v>
      </c>
      <c r="C11" s="8" t="s">
        <v>12</v>
      </c>
      <c r="D11" s="8">
        <v>0</v>
      </c>
      <c r="E11" s="8">
        <v>0</v>
      </c>
      <c r="F11" s="8">
        <v>17</v>
      </c>
    </row>
    <row r="12" spans="1:6" ht="12.75">
      <c r="A12" s="8">
        <v>43905.420358796298</v>
      </c>
      <c r="B12" s="8" t="str">
        <f>HYPERLINK("https://twitter.com/Anita1024002","@Anita1024002")</f>
        <v>@Anita1024002</v>
      </c>
      <c r="C12" s="8" t="s">
        <v>13</v>
      </c>
      <c r="D12" s="8">
        <v>10</v>
      </c>
      <c r="E12" s="8">
        <v>0</v>
      </c>
      <c r="F12" s="8">
        <v>2747</v>
      </c>
    </row>
    <row r="13" spans="1:6" ht="12.75">
      <c r="A13" s="8">
        <v>43905.420347222222</v>
      </c>
      <c r="B13" s="8" t="str">
        <f>HYPERLINK("https://twitter.com/BatubaraFahreza","@BatubaraFahreza")</f>
        <v>@BatubaraFahreza</v>
      </c>
      <c r="C13" s="8" t="s">
        <v>7</v>
      </c>
      <c r="D13" s="8">
        <v>129</v>
      </c>
      <c r="E13" s="8">
        <v>0</v>
      </c>
      <c r="F13" s="8">
        <v>644</v>
      </c>
    </row>
    <row r="14" spans="1:6" ht="12.75">
      <c r="A14" s="8">
        <v>43905.420312499999</v>
      </c>
      <c r="B14" s="8" t="str">
        <f>HYPERLINK("https://twitter.com/EdyPurw09968584","@EdyPurw09968584")</f>
        <v>@EdyPurw09968584</v>
      </c>
      <c r="C14" s="8" t="s">
        <v>14</v>
      </c>
      <c r="D14" s="8">
        <v>16</v>
      </c>
      <c r="E14" s="8">
        <v>0</v>
      </c>
      <c r="F14" s="8">
        <v>2814</v>
      </c>
    </row>
    <row r="15" spans="1:6" ht="12.75">
      <c r="A15" s="8">
        <v>43905.420104166667</v>
      </c>
      <c r="B15" s="8" t="str">
        <f>HYPERLINK("https://twitter.com/anchndra","@anchndra")</f>
        <v>@anchndra</v>
      </c>
      <c r="C15" s="8" t="s">
        <v>15</v>
      </c>
      <c r="D15" s="8">
        <v>21</v>
      </c>
      <c r="E15" s="8">
        <v>0</v>
      </c>
      <c r="F15" s="8">
        <v>996</v>
      </c>
    </row>
    <row r="16" spans="1:6" ht="12.75">
      <c r="A16" s="8">
        <v>43905.420034722221</v>
      </c>
      <c r="B16" s="8" t="str">
        <f>HYPERLINK("https://twitter.com/hanyaSheehan","@hanyaSheehan")</f>
        <v>@hanyaSheehan</v>
      </c>
      <c r="C16" s="8" t="s">
        <v>16</v>
      </c>
      <c r="D16" s="8">
        <v>0</v>
      </c>
      <c r="E16" s="8">
        <v>0</v>
      </c>
      <c r="F16" s="8">
        <v>1155</v>
      </c>
    </row>
    <row r="17" spans="1:6" ht="12.75">
      <c r="A17" s="8">
        <v>43905.419467592597</v>
      </c>
      <c r="B17" s="8" t="str">
        <f>HYPERLINK("https://twitter.com/ryzkynza","@ryzkynza")</f>
        <v>@ryzkynza</v>
      </c>
      <c r="C17" s="8" t="s">
        <v>17</v>
      </c>
      <c r="D17" s="8">
        <v>0</v>
      </c>
      <c r="E17" s="8">
        <v>0</v>
      </c>
      <c r="F17" s="8">
        <v>247</v>
      </c>
    </row>
    <row r="18" spans="1:6" ht="12.75">
      <c r="A18" s="8">
        <v>43905.419282407413</v>
      </c>
      <c r="B18" s="8" t="str">
        <f>HYPERLINK("https://twitter.com/Beebayu1","@Beebayu1")</f>
        <v>@Beebayu1</v>
      </c>
      <c r="C18" s="8" t="s">
        <v>7</v>
      </c>
      <c r="D18" s="8">
        <v>129</v>
      </c>
      <c r="E18" s="8">
        <v>0</v>
      </c>
      <c r="F18" s="8">
        <v>741</v>
      </c>
    </row>
    <row r="19" spans="1:6" ht="12.75">
      <c r="A19" s="8">
        <v>43905.418356481481</v>
      </c>
      <c r="B19" s="8" t="str">
        <f>HYPERLINK("https://twitter.com/Firmansyah_198","@Firmansyah_198")</f>
        <v>@Firmansyah_198</v>
      </c>
      <c r="C19" s="8" t="s">
        <v>7</v>
      </c>
      <c r="D19" s="8">
        <v>129</v>
      </c>
      <c r="E19" s="8">
        <v>0</v>
      </c>
      <c r="F19" s="8">
        <v>465</v>
      </c>
    </row>
    <row r="20" spans="1:6" ht="12.75">
      <c r="A20" s="8">
        <v>43905.418310185181</v>
      </c>
      <c r="B20" s="8" t="str">
        <f>HYPERLINK("https://twitter.com/DAROSAFONTANAL1","@DAROSAFONTANAL1")</f>
        <v>@DAROSAFONTANAL1</v>
      </c>
      <c r="C20" s="8" t="s">
        <v>18</v>
      </c>
      <c r="D20" s="8">
        <v>0</v>
      </c>
      <c r="E20" s="8">
        <v>1</v>
      </c>
      <c r="F20" s="8">
        <v>1209</v>
      </c>
    </row>
    <row r="21" spans="1:6" ht="12.75">
      <c r="A21" s="8">
        <v>43905.418194444443</v>
      </c>
      <c r="B21" s="8" t="str">
        <f>HYPERLINK("https://twitter.com/wildanjeleek","@wildanjeleek")</f>
        <v>@wildanjeleek</v>
      </c>
      <c r="C21" s="8" t="s">
        <v>10</v>
      </c>
      <c r="D21" s="8">
        <v>67</v>
      </c>
      <c r="E21" s="8">
        <v>0</v>
      </c>
      <c r="F21" s="8">
        <v>100</v>
      </c>
    </row>
    <row r="22" spans="1:6" ht="12.75">
      <c r="A22" s="8">
        <v>43905.418194444443</v>
      </c>
      <c r="B22" s="8" t="str">
        <f>HYPERLINK("https://twitter.com/Mamangku2","@Mamangku2")</f>
        <v>@Mamangku2</v>
      </c>
      <c r="C22" s="8" t="s">
        <v>19</v>
      </c>
      <c r="D22" s="8">
        <v>28</v>
      </c>
      <c r="E22" s="8">
        <v>0</v>
      </c>
      <c r="F22" s="8">
        <v>47</v>
      </c>
    </row>
    <row r="23" spans="1:6" ht="12.75">
      <c r="A23" s="8">
        <v>43905.418182870373</v>
      </c>
      <c r="B23" s="8" t="str">
        <f>HYPERLINK("https://twitter.com/abdul19781","@abdul19781")</f>
        <v>@abdul19781</v>
      </c>
      <c r="C23" s="8" t="s">
        <v>20</v>
      </c>
      <c r="D23" s="8">
        <v>0</v>
      </c>
      <c r="E23" s="8">
        <v>2</v>
      </c>
      <c r="F23" s="8">
        <v>1624</v>
      </c>
    </row>
    <row r="24" spans="1:6" ht="12.75">
      <c r="A24" s="8">
        <v>43905.418171296296</v>
      </c>
      <c r="B24" s="8" t="str">
        <f>HYPERLINK("https://twitter.com/anastasiaera093","@anastasiaera093")</f>
        <v>@anastasiaera093</v>
      </c>
      <c r="C24" s="8" t="s">
        <v>10</v>
      </c>
      <c r="D24" s="8">
        <v>67</v>
      </c>
      <c r="E24" s="8">
        <v>0</v>
      </c>
      <c r="F24" s="8">
        <v>40</v>
      </c>
    </row>
    <row r="25" spans="1:6" ht="12.75">
      <c r="A25" s="8">
        <v>43905.417939814812</v>
      </c>
      <c r="B25" s="8" t="str">
        <f>HYPERLINK("https://twitter.com/diofaqih","@diofaqih")</f>
        <v>@diofaqih</v>
      </c>
      <c r="C25" s="8" t="s">
        <v>21</v>
      </c>
      <c r="D25" s="8">
        <v>0</v>
      </c>
      <c r="E25" s="8">
        <v>1</v>
      </c>
      <c r="F25" s="8">
        <v>314</v>
      </c>
    </row>
    <row r="26" spans="1:6" ht="12.75">
      <c r="A26" s="8">
        <v>43905.417754629627</v>
      </c>
      <c r="B26" s="8" t="str">
        <f>HYPERLINK("https://twitter.com/syam2s","@syam2s")</f>
        <v>@syam2s</v>
      </c>
      <c r="C26" s="8" t="s">
        <v>14</v>
      </c>
      <c r="D26" s="8">
        <v>16</v>
      </c>
      <c r="E26" s="8">
        <v>0</v>
      </c>
      <c r="F26" s="8">
        <v>811</v>
      </c>
    </row>
    <row r="27" spans="1:6" ht="12.75">
      <c r="A27" s="8">
        <v>43905.416967592595</v>
      </c>
      <c r="B27" s="8" t="str">
        <f>HYPERLINK("https://twitter.com/idn_cf","@idn_cf")</f>
        <v>@idn_cf</v>
      </c>
      <c r="C27" s="8" t="s">
        <v>14</v>
      </c>
      <c r="D27" s="8">
        <v>16</v>
      </c>
      <c r="E27" s="8">
        <v>0</v>
      </c>
      <c r="F27" s="8">
        <v>892</v>
      </c>
    </row>
    <row r="28" spans="1:6" ht="12.75">
      <c r="A28" s="8">
        <v>43905.416550925926</v>
      </c>
      <c r="B28" s="8" t="str">
        <f>HYPERLINK("https://twitter.com/Izznaq","@Izznaq")</f>
        <v>@Izznaq</v>
      </c>
      <c r="C28" s="8" t="s">
        <v>22</v>
      </c>
      <c r="D28" s="8">
        <v>6</v>
      </c>
      <c r="E28" s="8">
        <v>0</v>
      </c>
      <c r="F28" s="8">
        <v>986</v>
      </c>
    </row>
    <row r="29" spans="1:6" ht="12.75">
      <c r="A29" s="8">
        <v>43905.415567129632</v>
      </c>
      <c r="B29" s="8" t="str">
        <f>HYPERLINK("https://twitter.com/the_schloss","@the_schloss")</f>
        <v>@the_schloss</v>
      </c>
      <c r="C29" s="8" t="s">
        <v>7</v>
      </c>
      <c r="D29" s="8">
        <v>129</v>
      </c>
      <c r="E29" s="8">
        <v>0</v>
      </c>
      <c r="F29" s="8">
        <v>599</v>
      </c>
    </row>
    <row r="30" spans="1:6" ht="12.75">
      <c r="A30" s="8">
        <v>43905.415277777778</v>
      </c>
      <c r="B30" s="8" t="str">
        <f>HYPERLINK("https://twitter.com/jurnalpatrolin1","@jurnalpatrolin1")</f>
        <v>@jurnalpatrolin1</v>
      </c>
      <c r="C30" s="8" t="s">
        <v>23</v>
      </c>
      <c r="D30" s="8">
        <v>0</v>
      </c>
      <c r="E30" s="8">
        <v>0</v>
      </c>
      <c r="F30" s="8">
        <v>58</v>
      </c>
    </row>
    <row r="31" spans="1:6" ht="12.75">
      <c r="A31" s="8">
        <v>43905.415231481486</v>
      </c>
      <c r="B31" s="8" t="str">
        <f>HYPERLINK("https://twitter.com/Zionist_1","@Zionist_1")</f>
        <v>@Zionist_1</v>
      </c>
      <c r="C31" s="8" t="s">
        <v>24</v>
      </c>
      <c r="D31" s="8">
        <v>0</v>
      </c>
      <c r="E31" s="8">
        <v>0</v>
      </c>
      <c r="F31" s="8">
        <v>6</v>
      </c>
    </row>
    <row r="32" spans="1:6" ht="12.75">
      <c r="A32" s="8">
        <v>43905.414710648147</v>
      </c>
      <c r="B32" s="8" t="str">
        <f>HYPERLINK("https://twitter.com/windinugroho1","@windinugroho1")</f>
        <v>@windinugroho1</v>
      </c>
      <c r="C32" s="8" t="s">
        <v>7</v>
      </c>
      <c r="D32" s="8">
        <v>129</v>
      </c>
      <c r="E32" s="8">
        <v>0</v>
      </c>
      <c r="F32" s="8">
        <v>775</v>
      </c>
    </row>
    <row r="33" spans="1:6" ht="12.75">
      <c r="A33" s="8">
        <v>43905.414548611108</v>
      </c>
      <c r="B33" s="8" t="str">
        <f>HYPERLINK("https://twitter.com/rudyywo","@rudyywo")</f>
        <v>@rudyywo</v>
      </c>
      <c r="C33" s="8" t="s">
        <v>25</v>
      </c>
      <c r="D33" s="8">
        <v>0</v>
      </c>
      <c r="E33" s="8">
        <v>0</v>
      </c>
      <c r="F33" s="8">
        <v>57</v>
      </c>
    </row>
    <row r="34" spans="1:6" ht="12.75">
      <c r="A34" s="8">
        <v>43905.412407407406</v>
      </c>
      <c r="B34" s="8" t="str">
        <f>HYPERLINK("https://twitter.com/NannyAlexendry","@NannyAlexendry")</f>
        <v>@NannyAlexendry</v>
      </c>
      <c r="C34" s="8" t="s">
        <v>26</v>
      </c>
      <c r="D34" s="8">
        <v>186</v>
      </c>
      <c r="E34" s="8">
        <v>0</v>
      </c>
      <c r="F34" s="8">
        <v>2960</v>
      </c>
    </row>
    <row r="35" spans="1:6" ht="12.75">
      <c r="A35" s="8">
        <v>43905.411782407406</v>
      </c>
      <c r="B35" s="8" t="str">
        <f>HYPERLINK("https://twitter.com/sondangsway","@sondangsway")</f>
        <v>@sondangsway</v>
      </c>
      <c r="C35" s="8" t="s">
        <v>27</v>
      </c>
      <c r="D35" s="8">
        <v>0</v>
      </c>
      <c r="E35" s="8">
        <v>1</v>
      </c>
      <c r="F35" s="8">
        <v>621</v>
      </c>
    </row>
    <row r="36" spans="1:6" ht="12.75">
      <c r="A36" s="8">
        <v>43905.409988425927</v>
      </c>
      <c r="B36" s="8" t="str">
        <f>HYPERLINK("https://twitter.com/bayoep","@bayoep")</f>
        <v>@bayoep</v>
      </c>
      <c r="C36" s="8" t="s">
        <v>7</v>
      </c>
      <c r="D36" s="8">
        <v>129</v>
      </c>
      <c r="E36" s="8">
        <v>0</v>
      </c>
      <c r="F36" s="8">
        <v>875</v>
      </c>
    </row>
    <row r="37" spans="1:6" ht="12.75">
      <c r="A37" s="8">
        <v>43905.409618055557</v>
      </c>
      <c r="B37" s="8" t="str">
        <f>HYPERLINK("https://twitter.com/__SisiLusipara","@__SisiLusipara")</f>
        <v>@__SisiLusipara</v>
      </c>
      <c r="C37" s="8" t="s">
        <v>13</v>
      </c>
      <c r="D37" s="8">
        <v>10</v>
      </c>
      <c r="E37" s="8">
        <v>0</v>
      </c>
      <c r="F37" s="8">
        <v>4760</v>
      </c>
    </row>
    <row r="38" spans="1:6" ht="12.75">
      <c r="A38" s="8">
        <v>43905.409120370372</v>
      </c>
      <c r="B38" s="8" t="str">
        <f>HYPERLINK("https://twitter.com/namari_hikari","@namari_hikari")</f>
        <v>@namari_hikari</v>
      </c>
      <c r="C38" s="8" t="s">
        <v>28</v>
      </c>
      <c r="D38" s="8">
        <v>17</v>
      </c>
      <c r="E38" s="8">
        <v>0</v>
      </c>
      <c r="F38" s="8">
        <v>144</v>
      </c>
    </row>
    <row r="39" spans="1:6" ht="12.75">
      <c r="A39" s="8">
        <v>43905.409097222218</v>
      </c>
      <c r="B39" s="8" t="str">
        <f>HYPERLINK("https://twitter.com/kawiyanto","@kawiyanto")</f>
        <v>@kawiyanto</v>
      </c>
      <c r="C39" s="8" t="s">
        <v>29</v>
      </c>
      <c r="D39" s="8">
        <v>0</v>
      </c>
      <c r="E39" s="8">
        <v>0</v>
      </c>
      <c r="F39" s="8">
        <v>962</v>
      </c>
    </row>
    <row r="40" spans="1:6" ht="12.75">
      <c r="A40" s="8">
        <v>43905.40892361111</v>
      </c>
      <c r="B40" s="8" t="str">
        <f>HYPERLINK("https://twitter.com/hanyaSheehan","@hanyaSheehan")</f>
        <v>@hanyaSheehan</v>
      </c>
      <c r="C40" s="8" t="s">
        <v>30</v>
      </c>
      <c r="D40" s="8">
        <v>0</v>
      </c>
      <c r="E40" s="8">
        <v>0</v>
      </c>
      <c r="F40" s="8">
        <v>1155</v>
      </c>
    </row>
    <row r="41" spans="1:6" ht="12.75">
      <c r="A41" s="8">
        <v>43905.408090277779</v>
      </c>
      <c r="B41" s="8" t="str">
        <f>HYPERLINK("https://twitter.com/ReiMiechi99","@ReiMiechi99")</f>
        <v>@ReiMiechi99</v>
      </c>
      <c r="C41" s="8" t="s">
        <v>31</v>
      </c>
      <c r="D41" s="8">
        <v>0</v>
      </c>
      <c r="E41" s="8">
        <v>0</v>
      </c>
      <c r="F41" s="8">
        <v>106</v>
      </c>
    </row>
    <row r="42" spans="1:6" ht="12.75">
      <c r="A42" s="8">
        <v>43905.407372685186</v>
      </c>
      <c r="B42" s="8" t="str">
        <f>HYPERLINK("https://twitter.com/Afmarangga","@Afmarangga")</f>
        <v>@Afmarangga</v>
      </c>
      <c r="C42" s="8" t="s">
        <v>10</v>
      </c>
      <c r="D42" s="8">
        <v>67</v>
      </c>
      <c r="E42" s="8">
        <v>0</v>
      </c>
      <c r="F42" s="8">
        <v>260</v>
      </c>
    </row>
    <row r="43" spans="1:6" ht="12.75">
      <c r="A43" s="8">
        <v>43905.406793981485</v>
      </c>
      <c r="B43" s="8" t="str">
        <f>HYPERLINK("https://twitter.com/ReiMiechi99","@ReiMiechi99")</f>
        <v>@ReiMiechi99</v>
      </c>
      <c r="C43" s="8" t="s">
        <v>32</v>
      </c>
      <c r="D43" s="8">
        <v>0</v>
      </c>
      <c r="E43" s="8">
        <v>0</v>
      </c>
      <c r="F43" s="8">
        <v>106</v>
      </c>
    </row>
    <row r="44" spans="1:6" ht="12.75">
      <c r="A44" s="8">
        <v>43905.406759259262</v>
      </c>
      <c r="B44" s="8" t="str">
        <f>HYPERLINK("https://twitter.com/WillFianelfist","@WillFianelfist")</f>
        <v>@WillFianelfist</v>
      </c>
      <c r="C44" s="8" t="s">
        <v>33</v>
      </c>
      <c r="D44" s="8">
        <v>0</v>
      </c>
      <c r="E44" s="8">
        <v>0</v>
      </c>
      <c r="F44" s="8">
        <v>219</v>
      </c>
    </row>
    <row r="45" spans="1:6" ht="12.75">
      <c r="A45" s="8">
        <v>43905.406331018516</v>
      </c>
      <c r="B45" s="8" t="str">
        <f>HYPERLINK("https://twitter.com/2103_R4CHM4","@2103_R4CHM4")</f>
        <v>@2103_R4CHM4</v>
      </c>
      <c r="C45" s="8" t="s">
        <v>13</v>
      </c>
      <c r="D45" s="8">
        <v>10</v>
      </c>
      <c r="E45" s="8">
        <v>0</v>
      </c>
      <c r="F45" s="8">
        <v>2463</v>
      </c>
    </row>
    <row r="46" spans="1:6" ht="12.75">
      <c r="A46" s="8">
        <v>43905.405868055561</v>
      </c>
      <c r="B46" s="8" t="str">
        <f>HYPERLINK("https://twitter.com/mejouska","@mejouska")</f>
        <v>@mejouska</v>
      </c>
      <c r="C46" s="8" t="s">
        <v>34</v>
      </c>
      <c r="D46" s="8">
        <v>9</v>
      </c>
      <c r="E46" s="8">
        <v>0</v>
      </c>
      <c r="F46" s="8">
        <v>194</v>
      </c>
    </row>
    <row r="47" spans="1:6" ht="12.75">
      <c r="A47" s="8">
        <v>43905.405370370368</v>
      </c>
      <c r="B47" s="8" t="str">
        <f>HYPERLINK("https://twitter.com/WariorXman","@WariorXman")</f>
        <v>@WariorXman</v>
      </c>
      <c r="C47" s="8" t="s">
        <v>35</v>
      </c>
      <c r="D47" s="8">
        <v>0</v>
      </c>
      <c r="E47" s="8">
        <v>0</v>
      </c>
      <c r="F47" s="8">
        <v>71</v>
      </c>
    </row>
    <row r="48" spans="1:6" ht="12.75">
      <c r="A48" s="8">
        <v>43905.405300925922</v>
      </c>
      <c r="B48" s="8" t="str">
        <f t="shared" ref="B48:B49" si="0">HYPERLINK("https://twitter.com/cafebiru88","@cafebiru88")</f>
        <v>@cafebiru88</v>
      </c>
      <c r="C48" s="8" t="s">
        <v>36</v>
      </c>
      <c r="D48" s="8">
        <v>2</v>
      </c>
      <c r="E48" s="8">
        <v>0</v>
      </c>
      <c r="F48" s="8">
        <v>18007</v>
      </c>
    </row>
    <row r="49" spans="1:6" ht="12.75">
      <c r="A49" s="8">
        <v>43905.405115740738</v>
      </c>
      <c r="B49" s="8" t="str">
        <f t="shared" si="0"/>
        <v>@cafebiru88</v>
      </c>
      <c r="C49" s="8" t="s">
        <v>37</v>
      </c>
      <c r="D49" s="8">
        <v>3</v>
      </c>
      <c r="E49" s="8">
        <v>0</v>
      </c>
      <c r="F49" s="8">
        <v>18007</v>
      </c>
    </row>
    <row r="50" spans="1:6" ht="12.75">
      <c r="A50" s="8">
        <v>43905.405092592591</v>
      </c>
      <c r="B50" s="8" t="str">
        <f>HYPERLINK("https://twitter.com/cia_abdul","@cia_abdul")</f>
        <v>@cia_abdul</v>
      </c>
      <c r="C50" s="8" t="s">
        <v>7</v>
      </c>
      <c r="D50" s="8">
        <v>129</v>
      </c>
      <c r="E50" s="8">
        <v>0</v>
      </c>
      <c r="F50" s="8">
        <v>1480</v>
      </c>
    </row>
    <row r="51" spans="1:6" ht="12.75">
      <c r="A51" s="8">
        <v>43905.404560185183</v>
      </c>
      <c r="B51" s="8" t="str">
        <f>HYPERLINK("https://twitter.com/bathosai02","@bathosai02")</f>
        <v>@bathosai02</v>
      </c>
      <c r="C51" s="8" t="s">
        <v>7</v>
      </c>
      <c r="D51" s="8">
        <v>129</v>
      </c>
      <c r="E51" s="8">
        <v>0</v>
      </c>
      <c r="F51" s="8">
        <v>797</v>
      </c>
    </row>
    <row r="52" spans="1:6" ht="12.75">
      <c r="A52" s="8">
        <v>43905.404490740737</v>
      </c>
      <c r="B52" s="8" t="str">
        <f t="shared" ref="B52:B53" si="1">HYPERLINK("https://twitter.com/jusstme4u","@jusstme4u")</f>
        <v>@jusstme4u</v>
      </c>
      <c r="C52" s="8" t="s">
        <v>36</v>
      </c>
      <c r="D52" s="8">
        <v>2</v>
      </c>
      <c r="E52" s="8">
        <v>0</v>
      </c>
      <c r="F52" s="8">
        <v>75865</v>
      </c>
    </row>
    <row r="53" spans="1:6" ht="12.75">
      <c r="A53" s="8">
        <v>43905.404432870375</v>
      </c>
      <c r="B53" s="8" t="str">
        <f t="shared" si="1"/>
        <v>@jusstme4u</v>
      </c>
      <c r="C53" s="8" t="s">
        <v>37</v>
      </c>
      <c r="D53" s="8">
        <v>3</v>
      </c>
      <c r="E53" s="8">
        <v>0</v>
      </c>
      <c r="F53" s="8">
        <v>75865</v>
      </c>
    </row>
    <row r="54" spans="1:6" ht="12.75">
      <c r="A54" s="8">
        <v>43905.404409722221</v>
      </c>
      <c r="B54" s="8" t="str">
        <f>HYPERLINK("https://twitter.com/nurulalawiyah_","@nurulalawiyah_")</f>
        <v>@nurulalawiyah_</v>
      </c>
      <c r="C54" s="8" t="s">
        <v>38</v>
      </c>
      <c r="D54" s="8">
        <v>10</v>
      </c>
      <c r="E54" s="8">
        <v>0</v>
      </c>
      <c r="F54" s="8">
        <v>62</v>
      </c>
    </row>
    <row r="55" spans="1:6" ht="12.75">
      <c r="A55" s="8">
        <v>43905.404374999998</v>
      </c>
      <c r="B55" s="8" t="str">
        <f>HYPERLINK("https://twitter.com/BWayne_2016","@BWayne_2016")</f>
        <v>@BWayne_2016</v>
      </c>
      <c r="C55" s="8" t="s">
        <v>39</v>
      </c>
      <c r="D55" s="8">
        <v>11</v>
      </c>
      <c r="E55" s="8">
        <v>0</v>
      </c>
      <c r="F55" s="8">
        <v>50</v>
      </c>
    </row>
    <row r="56" spans="1:6" ht="12.75">
      <c r="A56" s="8">
        <v>43905.404224537036</v>
      </c>
      <c r="B56" s="8" t="str">
        <f>HYPERLINK("https://twitter.com/anak_rao","@anak_rao")</f>
        <v>@anak_rao</v>
      </c>
      <c r="C56" s="8" t="s">
        <v>7</v>
      </c>
      <c r="D56" s="8">
        <v>129</v>
      </c>
      <c r="E56" s="8">
        <v>0</v>
      </c>
      <c r="F56" s="8">
        <v>345</v>
      </c>
    </row>
    <row r="57" spans="1:6" ht="12.75">
      <c r="A57" s="8">
        <v>43905.403113425928</v>
      </c>
      <c r="B57" s="8" t="str">
        <f>HYPERLINK("https://twitter.com/cilliasiregar","@cilliasiregar")</f>
        <v>@cilliasiregar</v>
      </c>
      <c r="C57" s="8" t="s">
        <v>40</v>
      </c>
      <c r="D57" s="8">
        <v>10</v>
      </c>
      <c r="E57" s="8">
        <v>0</v>
      </c>
      <c r="F57" s="8">
        <v>6</v>
      </c>
    </row>
    <row r="58" spans="1:6" ht="12.75">
      <c r="A58" s="8">
        <v>43905.402824074074</v>
      </c>
      <c r="B58" s="8" t="str">
        <f>HYPERLINK("https://twitter.com/pr0f1tr0n1","@pr0f1tr0n1")</f>
        <v>@pr0f1tr0n1</v>
      </c>
      <c r="C58" s="8" t="s">
        <v>7</v>
      </c>
      <c r="D58" s="8">
        <v>129</v>
      </c>
      <c r="E58" s="8">
        <v>0</v>
      </c>
      <c r="F58" s="8">
        <v>176</v>
      </c>
    </row>
    <row r="59" spans="1:6" ht="12.75">
      <c r="A59" s="8">
        <v>43905.402407407411</v>
      </c>
      <c r="B59" s="8" t="str">
        <f>HYPERLINK("https://twitter.com/tahupetismanis","@tahupetismanis")</f>
        <v>@tahupetismanis</v>
      </c>
      <c r="C59" s="8" t="s">
        <v>10</v>
      </c>
      <c r="D59" s="8">
        <v>67</v>
      </c>
      <c r="E59" s="8">
        <v>0</v>
      </c>
      <c r="F59" s="8">
        <v>4281</v>
      </c>
    </row>
    <row r="60" spans="1:6" ht="12.75">
      <c r="A60" s="8">
        <v>43905.402013888888</v>
      </c>
      <c r="B60" s="8" t="str">
        <f>HYPERLINK("https://twitter.com/cilliasiregar","@cilliasiregar")</f>
        <v>@cilliasiregar</v>
      </c>
      <c r="C60" s="8" t="s">
        <v>41</v>
      </c>
      <c r="D60" s="8">
        <v>4</v>
      </c>
      <c r="E60" s="8">
        <v>0</v>
      </c>
      <c r="F60" s="8">
        <v>6</v>
      </c>
    </row>
    <row r="61" spans="1:6" ht="12.75">
      <c r="A61" s="8">
        <v>43905.401990740742</v>
      </c>
      <c r="B61" s="8" t="str">
        <f>HYPERLINK("https://twitter.com/ras_af06","@ras_af06")</f>
        <v>@ras_af06</v>
      </c>
      <c r="C61" s="8" t="s">
        <v>42</v>
      </c>
      <c r="D61" s="8">
        <v>68</v>
      </c>
      <c r="E61" s="8">
        <v>0</v>
      </c>
      <c r="F61" s="8">
        <v>141</v>
      </c>
    </row>
    <row r="62" spans="1:6" ht="12.75">
      <c r="A62" s="8">
        <v>43905.401967592596</v>
      </c>
      <c r="B62" s="8" t="str">
        <f>HYPERLINK("https://twitter.com/thriekomara","@thriekomara")</f>
        <v>@thriekomara</v>
      </c>
      <c r="C62" s="8" t="s">
        <v>7</v>
      </c>
      <c r="D62" s="8">
        <v>129</v>
      </c>
      <c r="E62" s="8">
        <v>0</v>
      </c>
      <c r="F62" s="8">
        <v>147</v>
      </c>
    </row>
    <row r="63" spans="1:6" ht="12.75">
      <c r="A63" s="8">
        <v>43905.401874999996</v>
      </c>
      <c r="B63" s="8" t="str">
        <f>HYPERLINK("https://twitter.com/bgDG_Stream","@bgDG_Stream")</f>
        <v>@bgDG_Stream</v>
      </c>
      <c r="C63" s="8" t="s">
        <v>7</v>
      </c>
      <c r="D63" s="8">
        <v>129</v>
      </c>
      <c r="E63" s="8">
        <v>0</v>
      </c>
      <c r="F63" s="8">
        <v>246</v>
      </c>
    </row>
    <row r="64" spans="1:6" ht="12.75">
      <c r="A64" s="8">
        <v>43905.40148148148</v>
      </c>
      <c r="B64" s="8" t="str">
        <f>HYPERLINK("https://twitter.com/Negev52031680","@Negev52031680")</f>
        <v>@Negev52031680</v>
      </c>
      <c r="C64" s="8" t="s">
        <v>43</v>
      </c>
      <c r="D64" s="8">
        <v>0</v>
      </c>
      <c r="E64" s="8">
        <v>0</v>
      </c>
      <c r="F64" s="8">
        <v>41</v>
      </c>
    </row>
    <row r="65" spans="1:6" ht="12.75">
      <c r="A65" s="8">
        <v>43905.400555555556</v>
      </c>
      <c r="B65" s="8" t="str">
        <f>HYPERLINK("https://twitter.com/tombakMatahar1","@tombakMatahar1")</f>
        <v>@tombakMatahar1</v>
      </c>
      <c r="C65" s="8" t="s">
        <v>7</v>
      </c>
      <c r="D65" s="8">
        <v>129</v>
      </c>
      <c r="E65" s="8">
        <v>0</v>
      </c>
      <c r="F65" s="8">
        <v>158</v>
      </c>
    </row>
    <row r="66" spans="1:6" ht="12.75">
      <c r="A66" s="8">
        <v>43905.400497685187</v>
      </c>
      <c r="B66" s="8" t="str">
        <f>HYPERLINK("https://twitter.com/Powerra60425707","@Powerra60425707")</f>
        <v>@Powerra60425707</v>
      </c>
      <c r="C66" s="8" t="s">
        <v>7</v>
      </c>
      <c r="D66" s="8">
        <v>129</v>
      </c>
      <c r="E66" s="8">
        <v>0</v>
      </c>
      <c r="F66" s="8">
        <v>180</v>
      </c>
    </row>
    <row r="67" spans="1:6" ht="12.75">
      <c r="A67" s="8">
        <v>43905.400243055556</v>
      </c>
      <c r="B67" s="8" t="str">
        <f>HYPERLINK("https://twitter.com/MhangunMr","@MhangunMr")</f>
        <v>@MhangunMr</v>
      </c>
      <c r="C67" s="8" t="s">
        <v>44</v>
      </c>
      <c r="D67" s="8">
        <v>0</v>
      </c>
      <c r="E67" s="8">
        <v>0</v>
      </c>
      <c r="F67" s="8">
        <v>211</v>
      </c>
    </row>
    <row r="68" spans="1:6" ht="12.75">
      <c r="A68" s="8">
        <v>43905.400150462963</v>
      </c>
      <c r="B68" s="8" t="str">
        <f>HYPERLINK("https://twitter.com/AdijayaSarlan","@AdijayaSarlan")</f>
        <v>@AdijayaSarlan</v>
      </c>
      <c r="C68" s="8" t="s">
        <v>45</v>
      </c>
      <c r="D68" s="8">
        <v>0</v>
      </c>
      <c r="E68" s="8">
        <v>1</v>
      </c>
      <c r="F68" s="8">
        <v>55</v>
      </c>
    </row>
    <row r="69" spans="1:6" ht="12.75">
      <c r="A69" s="8">
        <v>43905.399965277778</v>
      </c>
      <c r="B69" s="8" t="str">
        <f>HYPERLINK("https://twitter.com/oposisi4ever","@oposisi4ever")</f>
        <v>@oposisi4ever</v>
      </c>
      <c r="C69" s="8" t="s">
        <v>7</v>
      </c>
      <c r="D69" s="8">
        <v>129</v>
      </c>
      <c r="E69" s="8">
        <v>0</v>
      </c>
      <c r="F69" s="8">
        <v>415</v>
      </c>
    </row>
    <row r="70" spans="1:6" ht="12.75">
      <c r="A70" s="8">
        <v>43905.399351851855</v>
      </c>
      <c r="B70" s="8" t="str">
        <f>HYPERLINK("https://twitter.com/im_rosy","@im_rosy")</f>
        <v>@im_rosy</v>
      </c>
      <c r="C70" s="8" t="s">
        <v>22</v>
      </c>
      <c r="D70" s="8">
        <v>6</v>
      </c>
      <c r="E70" s="8">
        <v>0</v>
      </c>
      <c r="F70" s="8">
        <v>101</v>
      </c>
    </row>
    <row r="71" spans="1:6" ht="12.75">
      <c r="A71" s="8">
        <v>43905.399236111116</v>
      </c>
      <c r="B71" s="8" t="str">
        <f>HYPERLINK("https://twitter.com/Rajadero1","@Rajadero1")</f>
        <v>@Rajadero1</v>
      </c>
      <c r="C71" s="8" t="s">
        <v>7</v>
      </c>
      <c r="D71" s="8">
        <v>129</v>
      </c>
      <c r="E71" s="8">
        <v>0</v>
      </c>
      <c r="F71" s="8">
        <v>1916</v>
      </c>
    </row>
    <row r="72" spans="1:6" ht="12.75">
      <c r="A72" s="8">
        <v>43905.399236111116</v>
      </c>
      <c r="B72" s="8" t="str">
        <f>HYPERLINK("https://twitter.com/secondplatypus","@secondplatypus")</f>
        <v>@secondplatypus</v>
      </c>
      <c r="C72" s="8" t="s">
        <v>15</v>
      </c>
      <c r="D72" s="8">
        <v>21</v>
      </c>
      <c r="E72" s="8">
        <v>0</v>
      </c>
      <c r="F72" s="8">
        <v>2630</v>
      </c>
    </row>
    <row r="73" spans="1:6" ht="12.75">
      <c r="A73" s="8">
        <v>43905.399097222224</v>
      </c>
      <c r="B73" s="8" t="str">
        <f>HYPERLINK("https://twitter.com/EmmySumangkut","@EmmySumangkut")</f>
        <v>@EmmySumangkut</v>
      </c>
      <c r="C73" s="8" t="s">
        <v>7</v>
      </c>
      <c r="D73" s="8">
        <v>129</v>
      </c>
      <c r="E73" s="8">
        <v>0</v>
      </c>
      <c r="F73" s="8">
        <v>1319</v>
      </c>
    </row>
    <row r="74" spans="1:6" ht="12.75">
      <c r="A74" s="8">
        <v>43905.398460648154</v>
      </c>
      <c r="B74" s="8" t="str">
        <f>HYPERLINK("https://twitter.com/AjayNovrizal","@AjayNovrizal")</f>
        <v>@AjayNovrizal</v>
      </c>
      <c r="C74" s="8" t="s">
        <v>7</v>
      </c>
      <c r="D74" s="8">
        <v>129</v>
      </c>
      <c r="E74" s="8">
        <v>0</v>
      </c>
      <c r="F74" s="8">
        <v>82</v>
      </c>
    </row>
    <row r="75" spans="1:6" ht="12.75">
      <c r="A75" s="8">
        <v>43905.398344907408</v>
      </c>
      <c r="B75" s="8" t="str">
        <f>HYPERLINK("https://twitter.com/Sastidevi2","@Sastidevi2")</f>
        <v>@Sastidevi2</v>
      </c>
      <c r="C75" s="8" t="s">
        <v>7</v>
      </c>
      <c r="D75" s="8">
        <v>129</v>
      </c>
      <c r="E75" s="8">
        <v>0</v>
      </c>
      <c r="F75" s="8">
        <v>175</v>
      </c>
    </row>
    <row r="76" spans="1:6" ht="12.75">
      <c r="A76" s="8">
        <v>43905.398310185185</v>
      </c>
      <c r="B76" s="8" t="str">
        <f>HYPERLINK("https://twitter.com/sunarko_suwito","@sunarko_suwito")</f>
        <v>@sunarko_suwito</v>
      </c>
      <c r="C76" s="8" t="s">
        <v>46</v>
      </c>
      <c r="D76" s="8">
        <v>1</v>
      </c>
      <c r="E76" s="8">
        <v>0</v>
      </c>
      <c r="F76" s="8">
        <v>11</v>
      </c>
    </row>
    <row r="77" spans="1:6" ht="12.75">
      <c r="A77" s="8">
        <v>43905.398275462961</v>
      </c>
      <c r="B77" s="8" t="str">
        <f>HYPERLINK("https://twitter.com/faa_ra","@faa_ra")</f>
        <v>@faa_ra</v>
      </c>
      <c r="C77" s="8" t="s">
        <v>47</v>
      </c>
      <c r="D77" s="8">
        <v>0</v>
      </c>
      <c r="E77" s="8">
        <v>0</v>
      </c>
      <c r="F77" s="8">
        <v>1010</v>
      </c>
    </row>
    <row r="78" spans="1:6" ht="12.75">
      <c r="A78" s="8">
        <v>43905.397951388892</v>
      </c>
      <c r="B78" s="8" t="str">
        <f>HYPERLINK("https://twitter.com/KacungBukan","@KacungBukan")</f>
        <v>@KacungBukan</v>
      </c>
      <c r="C78" s="8" t="s">
        <v>7</v>
      </c>
      <c r="D78" s="8">
        <v>129</v>
      </c>
      <c r="E78" s="8">
        <v>0</v>
      </c>
      <c r="F78" s="8">
        <v>308</v>
      </c>
    </row>
    <row r="79" spans="1:6" ht="12.75">
      <c r="A79" s="8">
        <v>43905.397951388892</v>
      </c>
      <c r="B79" s="8" t="str">
        <f>HYPERLINK("https://twitter.com/ma_marilien","@ma_marilien")</f>
        <v>@ma_marilien</v>
      </c>
      <c r="C79" s="8" t="s">
        <v>48</v>
      </c>
      <c r="D79" s="8">
        <v>0</v>
      </c>
      <c r="E79" s="8">
        <v>0</v>
      </c>
      <c r="F79" s="8">
        <v>66</v>
      </c>
    </row>
    <row r="80" spans="1:6" ht="12.75">
      <c r="A80" s="8">
        <v>43905.397905092592</v>
      </c>
      <c r="B80" s="8" t="str">
        <f>HYPERLINK("https://twitter.com/susidiansafitri","@susidiansafitri")</f>
        <v>@susidiansafitri</v>
      </c>
      <c r="C80" s="8" t="s">
        <v>7</v>
      </c>
      <c r="D80" s="8">
        <v>129</v>
      </c>
      <c r="E80" s="8">
        <v>0</v>
      </c>
      <c r="F80" s="8">
        <v>2213</v>
      </c>
    </row>
    <row r="81" spans="1:6" ht="12.75">
      <c r="A81" s="8">
        <v>43905.397685185184</v>
      </c>
      <c r="B81" s="8" t="str">
        <f>HYPERLINK("https://twitter.com/liem_id","@liem_id")</f>
        <v>@liem_id</v>
      </c>
      <c r="C81" s="8" t="s">
        <v>7</v>
      </c>
      <c r="D81" s="8">
        <v>129</v>
      </c>
      <c r="E81" s="8">
        <v>0</v>
      </c>
      <c r="F81" s="8">
        <v>33123</v>
      </c>
    </row>
    <row r="82" spans="1:6" ht="12.75">
      <c r="A82" s="8">
        <v>43905.397546296299</v>
      </c>
      <c r="B82" s="8" t="str">
        <f>HYPERLINK("https://twitter.com/nanaa_zaa","@nanaa_zaa")</f>
        <v>@nanaa_zaa</v>
      </c>
      <c r="C82" s="8" t="s">
        <v>49</v>
      </c>
      <c r="D82" s="8">
        <v>13</v>
      </c>
      <c r="E82" s="8">
        <v>0</v>
      </c>
      <c r="F82" s="8">
        <v>89</v>
      </c>
    </row>
    <row r="83" spans="1:6" ht="12.75">
      <c r="A83" s="8">
        <v>43905.39744212963</v>
      </c>
      <c r="B83" s="8" t="str">
        <f>HYPERLINK("https://twitter.com/cma88888","@cma88888")</f>
        <v>@cma88888</v>
      </c>
      <c r="C83" s="8" t="s">
        <v>50</v>
      </c>
      <c r="D83" s="8">
        <v>0</v>
      </c>
      <c r="E83" s="8">
        <v>0</v>
      </c>
      <c r="F83" s="8">
        <v>141</v>
      </c>
    </row>
    <row r="84" spans="1:6" ht="12.75">
      <c r="A84" s="8">
        <v>43905.397407407407</v>
      </c>
      <c r="B84" s="8" t="str">
        <f>HYPERLINK("https://twitter.com/nanaa_zaa","@nanaa_zaa")</f>
        <v>@nanaa_zaa</v>
      </c>
      <c r="C84" s="8" t="s">
        <v>15</v>
      </c>
      <c r="D84" s="8">
        <v>21</v>
      </c>
      <c r="E84" s="8">
        <v>0</v>
      </c>
      <c r="F84" s="8">
        <v>89</v>
      </c>
    </row>
    <row r="85" spans="1:6" ht="12.75">
      <c r="A85" s="8">
        <v>43905.397129629629</v>
      </c>
      <c r="B85" s="8" t="str">
        <f>HYPERLINK("https://twitter.com/KJRI_Vancouver","@KJRI_Vancouver")</f>
        <v>@KJRI_Vancouver</v>
      </c>
      <c r="C85" s="8" t="s">
        <v>28</v>
      </c>
      <c r="D85" s="8">
        <v>17</v>
      </c>
      <c r="E85" s="8">
        <v>0</v>
      </c>
      <c r="F85" s="8">
        <v>2375</v>
      </c>
    </row>
    <row r="86" spans="1:6" ht="12.75">
      <c r="A86" s="8">
        <v>43905.396516203706</v>
      </c>
      <c r="B86" s="8" t="str">
        <f>HYPERLINK("https://twitter.com/ReiMiechi99","@ReiMiechi99")</f>
        <v>@ReiMiechi99</v>
      </c>
      <c r="C86" s="8" t="s">
        <v>51</v>
      </c>
      <c r="D86" s="8">
        <v>0</v>
      </c>
      <c r="E86" s="8">
        <v>0</v>
      </c>
      <c r="F86" s="8">
        <v>106</v>
      </c>
    </row>
    <row r="87" spans="1:6" ht="12.75">
      <c r="A87" s="8">
        <v>43905.396180555559</v>
      </c>
      <c r="B87" s="8" t="str">
        <f>HYPERLINK("https://twitter.com/SamsoelAlam","@SamsoelAlam")</f>
        <v>@SamsoelAlam</v>
      </c>
      <c r="C87" s="8" t="s">
        <v>7</v>
      </c>
      <c r="D87" s="8">
        <v>129</v>
      </c>
      <c r="E87" s="8">
        <v>0</v>
      </c>
      <c r="F87" s="8">
        <v>1031</v>
      </c>
    </row>
    <row r="88" spans="1:6" ht="12.75">
      <c r="A88" s="8">
        <v>43905.395729166667</v>
      </c>
      <c r="B88" s="8" t="str">
        <f>HYPERLINK("https://twitter.com/Henryawan_14","@Henryawan_14")</f>
        <v>@Henryawan_14</v>
      </c>
      <c r="C88" s="8" t="s">
        <v>49</v>
      </c>
      <c r="D88" s="8">
        <v>13</v>
      </c>
      <c r="E88" s="8">
        <v>0</v>
      </c>
      <c r="F88" s="8">
        <v>69</v>
      </c>
    </row>
    <row r="89" spans="1:6" ht="12.75">
      <c r="A89" s="8">
        <v>43905.395601851851</v>
      </c>
      <c r="B89" s="8" t="str">
        <f>HYPERLINK("https://twitter.com/faa_ra","@faa_ra")</f>
        <v>@faa_ra</v>
      </c>
      <c r="C89" s="8" t="s">
        <v>52</v>
      </c>
      <c r="D89" s="8">
        <v>0</v>
      </c>
      <c r="E89" s="8">
        <v>0</v>
      </c>
      <c r="F89" s="8">
        <v>1010</v>
      </c>
    </row>
    <row r="90" spans="1:6" ht="12.75">
      <c r="A90" s="8">
        <v>43905.395509259259</v>
      </c>
      <c r="B90" s="8" t="str">
        <f>HYPERLINK("https://twitter.com/pemikir5","@pemikir5")</f>
        <v>@pemikir5</v>
      </c>
      <c r="C90" s="8" t="s">
        <v>53</v>
      </c>
      <c r="D90" s="8">
        <v>0</v>
      </c>
      <c r="E90" s="8">
        <v>0</v>
      </c>
      <c r="F90" s="8">
        <v>15189</v>
      </c>
    </row>
    <row r="91" spans="1:6" ht="12.75">
      <c r="A91" s="8">
        <v>43905.395173611112</v>
      </c>
      <c r="B91" s="8" t="str">
        <f>HYPERLINK("https://twitter.com/arthamonicaaa","@arthamonicaaa")</f>
        <v>@arthamonicaaa</v>
      </c>
      <c r="C91" s="8" t="s">
        <v>54</v>
      </c>
      <c r="D91" s="8">
        <v>103</v>
      </c>
      <c r="E91" s="8">
        <v>0</v>
      </c>
      <c r="F91" s="8">
        <v>751</v>
      </c>
    </row>
    <row r="92" spans="1:6" ht="12.75">
      <c r="A92" s="8">
        <v>43905.394965277781</v>
      </c>
      <c r="B92" s="8" t="str">
        <f>HYPERLINK("https://twitter.com/ojoziemann","@ojoziemann")</f>
        <v>@ojoziemann</v>
      </c>
      <c r="C92" s="8" t="s">
        <v>10</v>
      </c>
      <c r="D92" s="8">
        <v>67</v>
      </c>
      <c r="E92" s="8">
        <v>0</v>
      </c>
      <c r="F92" s="8">
        <v>635</v>
      </c>
    </row>
    <row r="93" spans="1:6" ht="12.75">
      <c r="A93" s="8">
        <v>43905.394687499997</v>
      </c>
      <c r="B93" s="8" t="str">
        <f>HYPERLINK("https://twitter.com/ReiMiechi99","@ReiMiechi99")</f>
        <v>@ReiMiechi99</v>
      </c>
      <c r="C93" s="8" t="s">
        <v>55</v>
      </c>
      <c r="D93" s="8">
        <v>0</v>
      </c>
      <c r="E93" s="8">
        <v>0</v>
      </c>
      <c r="F93" s="8">
        <v>106</v>
      </c>
    </row>
    <row r="94" spans="1:6" ht="12.75">
      <c r="A94" s="8">
        <v>43905.394548611112</v>
      </c>
      <c r="B94" s="8" t="str">
        <f>HYPERLINK("https://twitter.com/WariorXman","@WariorXman")</f>
        <v>@WariorXman</v>
      </c>
      <c r="C94" s="8" t="s">
        <v>56</v>
      </c>
      <c r="D94" s="8">
        <v>0</v>
      </c>
      <c r="E94" s="8">
        <v>0</v>
      </c>
      <c r="F94" s="8">
        <v>71</v>
      </c>
    </row>
    <row r="95" spans="1:6" ht="12.75">
      <c r="A95" s="8">
        <v>43905.394456018519</v>
      </c>
      <c r="B95" s="8" t="str">
        <f>HYPERLINK("https://twitter.com/_ibaadurrahmaan","@_ibaadurrahmaan")</f>
        <v>@_ibaadurrahmaan</v>
      </c>
      <c r="C95" s="8" t="s">
        <v>7</v>
      </c>
      <c r="D95" s="8">
        <v>129</v>
      </c>
      <c r="E95" s="8">
        <v>0</v>
      </c>
      <c r="F95" s="8">
        <v>5097</v>
      </c>
    </row>
    <row r="96" spans="1:6" ht="12.75">
      <c r="A96" s="8">
        <v>43905.39434027778</v>
      </c>
      <c r="B96" s="8" t="str">
        <f>HYPERLINK("https://twitter.com/DiniAriyani20","@DiniAriyani20")</f>
        <v>@DiniAriyani20</v>
      </c>
      <c r="C96" s="8" t="s">
        <v>57</v>
      </c>
      <c r="D96" s="8">
        <v>9</v>
      </c>
      <c r="E96" s="8">
        <v>0</v>
      </c>
      <c r="F96" s="8">
        <v>519</v>
      </c>
    </row>
    <row r="97" spans="1:6" ht="12.75">
      <c r="A97" s="8">
        <v>43905.394305555557</v>
      </c>
      <c r="B97" s="8" t="str">
        <f>HYPERLINK("https://twitter.com/topinfo_id","@topinfo_id")</f>
        <v>@topinfo_id</v>
      </c>
      <c r="C97" s="8" t="s">
        <v>58</v>
      </c>
      <c r="D97" s="8">
        <v>0</v>
      </c>
      <c r="E97" s="8">
        <v>0</v>
      </c>
      <c r="F97" s="8">
        <v>117</v>
      </c>
    </row>
    <row r="98" spans="1:6" ht="12.75">
      <c r="A98" s="8">
        <v>43905.393599537041</v>
      </c>
      <c r="B98" s="8" t="str">
        <f>HYPERLINK("https://twitter.com/mujiant90379502","@mujiant90379502")</f>
        <v>@mujiant90379502</v>
      </c>
      <c r="C98" s="8" t="s">
        <v>7</v>
      </c>
      <c r="D98" s="8">
        <v>129</v>
      </c>
      <c r="E98" s="8">
        <v>0</v>
      </c>
      <c r="F98" s="8">
        <v>169</v>
      </c>
    </row>
    <row r="99" spans="1:6" ht="12.75">
      <c r="A99" s="8">
        <v>43905.393229166672</v>
      </c>
      <c r="B99" s="8" t="str">
        <f>HYPERLINK("https://twitter.com/twitaulia","@twitaulia")</f>
        <v>@twitaulia</v>
      </c>
      <c r="C99" s="8" t="s">
        <v>59</v>
      </c>
      <c r="D99" s="8">
        <v>0</v>
      </c>
      <c r="E99" s="8">
        <v>0</v>
      </c>
      <c r="F99" s="8">
        <v>8</v>
      </c>
    </row>
    <row r="100" spans="1:6" ht="12.75">
      <c r="A100" s="8">
        <v>43905.392997685187</v>
      </c>
      <c r="B100" s="8" t="str">
        <f>HYPERLINK("https://twitter.com/KSgroupAs","@KSgroupAs")</f>
        <v>@KSgroupAs</v>
      </c>
      <c r="C100" s="8" t="s">
        <v>60</v>
      </c>
      <c r="D100" s="8">
        <v>0</v>
      </c>
      <c r="E100" s="8">
        <v>0</v>
      </c>
      <c r="F100" s="8">
        <v>464</v>
      </c>
    </row>
    <row r="101" spans="1:6" ht="12.75">
      <c r="A101" s="8">
        <v>43905.392939814818</v>
      </c>
      <c r="B101" s="8" t="str">
        <f>HYPERLINK("https://twitter.com/medcom_id","@medcom_id")</f>
        <v>@medcom_id</v>
      </c>
      <c r="C101" s="8" t="s">
        <v>61</v>
      </c>
      <c r="D101" s="8">
        <v>0</v>
      </c>
      <c r="E101" s="8">
        <v>0</v>
      </c>
      <c r="F101" s="8">
        <v>18733</v>
      </c>
    </row>
    <row r="102" spans="1:6" ht="12.75">
      <c r="A102" s="8">
        <v>43905.381331018521</v>
      </c>
      <c r="B102" s="8" t="str">
        <f>HYPERLINK("https://twitter.com/ruditan1982","@ruditan1982")</f>
        <v>@ruditan1982</v>
      </c>
      <c r="C102" s="8" t="s">
        <v>62</v>
      </c>
      <c r="D102" s="8">
        <v>0</v>
      </c>
      <c r="E102" s="8">
        <v>0</v>
      </c>
      <c r="F102" s="8">
        <v>19</v>
      </c>
    </row>
    <row r="103" spans="1:6" ht="12.75">
      <c r="A103" s="8">
        <v>43905.381203703699</v>
      </c>
      <c r="B103" s="8" t="str">
        <f>HYPERLINK("https://twitter.com/prie_tim","@prie_tim")</f>
        <v>@prie_tim</v>
      </c>
      <c r="C103" s="8" t="s">
        <v>63</v>
      </c>
      <c r="D103" s="8">
        <v>74</v>
      </c>
      <c r="E103" s="8">
        <v>0</v>
      </c>
      <c r="F103" s="8">
        <v>158</v>
      </c>
    </row>
    <row r="104" spans="1:6" ht="12.75">
      <c r="A104" s="8">
        <v>43905.380196759259</v>
      </c>
      <c r="B104" s="8" t="str">
        <f>HYPERLINK("https://twitter.com/KBRI_Bangkok","@KBRI_Bangkok")</f>
        <v>@KBRI_Bangkok</v>
      </c>
      <c r="C104" s="8" t="s">
        <v>28</v>
      </c>
      <c r="D104" s="8">
        <v>13</v>
      </c>
      <c r="E104" s="8">
        <v>0</v>
      </c>
      <c r="F104" s="8">
        <v>3968</v>
      </c>
    </row>
    <row r="105" spans="1:6" ht="12.75">
      <c r="A105" s="8">
        <v>43905.379895833335</v>
      </c>
      <c r="B105" s="8" t="str">
        <f>HYPERLINK("https://twitter.com/m_burhanur","@m_burhanur")</f>
        <v>@m_burhanur</v>
      </c>
      <c r="C105" s="8" t="s">
        <v>64</v>
      </c>
      <c r="D105" s="8">
        <v>0</v>
      </c>
      <c r="E105" s="8">
        <v>0</v>
      </c>
      <c r="F105" s="8">
        <v>235</v>
      </c>
    </row>
    <row r="106" spans="1:6" ht="12.75">
      <c r="A106" s="8">
        <v>43905.379652777774</v>
      </c>
      <c r="B106" s="8" t="str">
        <f>HYPERLINK("https://twitter.com/Nadila_ID","@Nadila_ID")</f>
        <v>@Nadila_ID</v>
      </c>
      <c r="C106" s="8" t="s">
        <v>40</v>
      </c>
      <c r="D106" s="8">
        <v>9</v>
      </c>
      <c r="E106" s="8">
        <v>0</v>
      </c>
      <c r="F106" s="8">
        <v>7189</v>
      </c>
    </row>
    <row r="107" spans="1:6" ht="12.75">
      <c r="A107" s="8">
        <v>43905.379409722227</v>
      </c>
      <c r="B107" s="8" t="str">
        <f>HYPERLINK("https://twitter.com/AbolichdZ","@AbolichdZ")</f>
        <v>@AbolichdZ</v>
      </c>
      <c r="C107" s="8" t="s">
        <v>28</v>
      </c>
      <c r="D107" s="8">
        <v>13</v>
      </c>
      <c r="E107" s="8">
        <v>0</v>
      </c>
      <c r="F107" s="8">
        <v>851</v>
      </c>
    </row>
    <row r="108" spans="1:6" ht="12.75">
      <c r="A108" s="8">
        <v>43905.379305555558</v>
      </c>
      <c r="B108" s="8" t="str">
        <f>HYPERLINK("https://twitter.com/laksmipr","@laksmipr")</f>
        <v>@laksmipr</v>
      </c>
      <c r="C108" s="8" t="s">
        <v>65</v>
      </c>
      <c r="D108" s="8">
        <v>0</v>
      </c>
      <c r="E108" s="8">
        <v>0</v>
      </c>
      <c r="F108" s="8">
        <v>117</v>
      </c>
    </row>
    <row r="109" spans="1:6" ht="12.75">
      <c r="A109" s="8">
        <v>43905.379131944443</v>
      </c>
      <c r="B109" s="8" t="str">
        <f>HYPERLINK("https://twitter.com/sarkasimo","@sarkasimo")</f>
        <v>@sarkasimo</v>
      </c>
      <c r="C109" s="8" t="s">
        <v>66</v>
      </c>
      <c r="D109" s="8">
        <v>0</v>
      </c>
      <c r="E109" s="8">
        <v>0</v>
      </c>
      <c r="F109" s="8">
        <v>1197</v>
      </c>
    </row>
    <row r="110" spans="1:6" ht="12.75">
      <c r="A110" s="8">
        <v>43905.37835648148</v>
      </c>
      <c r="B110" s="8" t="str">
        <f>HYPERLINK("https://twitter.com/Rzl_ID","@Rzl_ID")</f>
        <v>@Rzl_ID</v>
      </c>
      <c r="C110" s="8" t="s">
        <v>67</v>
      </c>
      <c r="D110" s="8">
        <v>1</v>
      </c>
      <c r="E110" s="8">
        <v>0</v>
      </c>
      <c r="F110" s="8">
        <v>611</v>
      </c>
    </row>
    <row r="111" spans="1:6" ht="12.75">
      <c r="A111" s="8">
        <v>43905.378344907411</v>
      </c>
      <c r="B111" s="8" t="str">
        <f>HYPERLINK("https://twitter.com/wni_jmsri","@wni_jmsri")</f>
        <v>@wni_jmsri</v>
      </c>
      <c r="C111" s="8" t="s">
        <v>68</v>
      </c>
      <c r="D111" s="8">
        <v>5</v>
      </c>
      <c r="E111" s="8">
        <v>0</v>
      </c>
      <c r="F111" s="8">
        <v>200</v>
      </c>
    </row>
    <row r="112" spans="1:6" ht="12.75">
      <c r="A112" s="8">
        <v>43905.37667824074</v>
      </c>
      <c r="B112" s="8" t="str">
        <f>HYPERLINK("https://twitter.com/RivaldiZakie","@RivaldiZakie")</f>
        <v>@RivaldiZakie</v>
      </c>
      <c r="C112" s="8" t="s">
        <v>28</v>
      </c>
      <c r="D112" s="8">
        <v>13</v>
      </c>
      <c r="E112" s="8">
        <v>0</v>
      </c>
      <c r="F112" s="8">
        <v>14</v>
      </c>
    </row>
    <row r="113" spans="1:6" ht="12.75">
      <c r="A113" s="8">
        <v>43905.376574074078</v>
      </c>
      <c r="B113" s="8" t="str">
        <f>HYPERLINK("https://twitter.com/radensastro7579","@radensastro7579")</f>
        <v>@radensastro7579</v>
      </c>
      <c r="C113" s="8" t="s">
        <v>7</v>
      </c>
      <c r="D113" s="8">
        <v>84</v>
      </c>
      <c r="E113" s="8">
        <v>0</v>
      </c>
      <c r="F113" s="8">
        <v>491</v>
      </c>
    </row>
    <row r="114" spans="1:6" ht="12.75">
      <c r="A114" s="8">
        <v>43905.375648148147</v>
      </c>
      <c r="B114" s="8" t="str">
        <f>HYPERLINK("https://twitter.com/emestbg23","@emestbg23")</f>
        <v>@emestbg23</v>
      </c>
      <c r="C114" s="8" t="s">
        <v>69</v>
      </c>
      <c r="D114" s="8">
        <v>0</v>
      </c>
      <c r="E114" s="8">
        <v>0</v>
      </c>
      <c r="F114" s="8">
        <v>102</v>
      </c>
    </row>
    <row r="115" spans="1:6" ht="12.75">
      <c r="A115" s="8">
        <v>43905.375416666662</v>
      </c>
      <c r="B115" s="8" t="str">
        <f>HYPERLINK("https://twitter.com/Aiek_Channel__","@Aiek_Channel__")</f>
        <v>@Aiek_Channel__</v>
      </c>
      <c r="C115" s="8" t="s">
        <v>13</v>
      </c>
      <c r="D115" s="8">
        <v>7</v>
      </c>
      <c r="E115" s="8">
        <v>0</v>
      </c>
      <c r="F115" s="8">
        <v>9160</v>
      </c>
    </row>
    <row r="116" spans="1:6" ht="12.75">
      <c r="A116" s="8">
        <v>43905.3747337963</v>
      </c>
      <c r="B116" s="8" t="str">
        <f>HYPERLINK("https://twitter.com/FatiinS_L","@FatiinS_L")</f>
        <v>@FatiinS_L</v>
      </c>
      <c r="C116" s="8" t="s">
        <v>40</v>
      </c>
      <c r="D116" s="8">
        <v>9</v>
      </c>
      <c r="E116" s="8">
        <v>0</v>
      </c>
      <c r="F116" s="8">
        <v>16417</v>
      </c>
    </row>
    <row r="117" spans="1:6" ht="12.75">
      <c r="A117" s="8">
        <v>43905.374027777776</v>
      </c>
      <c r="B117" s="8" t="str">
        <f>HYPERLINK("https://twitter.com/ThenBagoess","@ThenBagoess")</f>
        <v>@ThenBagoess</v>
      </c>
      <c r="C117" s="8" t="s">
        <v>70</v>
      </c>
      <c r="D117" s="8">
        <v>0</v>
      </c>
      <c r="E117" s="8">
        <v>0</v>
      </c>
      <c r="F117" s="8">
        <v>6697</v>
      </c>
    </row>
    <row r="118" spans="1:6" ht="12.75">
      <c r="A118" s="8">
        <v>43905.373622685191</v>
      </c>
      <c r="B118" s="8" t="str">
        <f>HYPERLINK("https://twitter.com/kemalarsjad","@kemalarsjad")</f>
        <v>@kemalarsjad</v>
      </c>
      <c r="C118" s="8" t="s">
        <v>10</v>
      </c>
      <c r="D118" s="8">
        <v>57</v>
      </c>
      <c r="E118" s="8">
        <v>0</v>
      </c>
      <c r="F118" s="8">
        <v>26025</v>
      </c>
    </row>
    <row r="119" spans="1:6" ht="12.75">
      <c r="A119" s="8">
        <v>43905.373518518521</v>
      </c>
      <c r="B119" s="8" t="str">
        <f>HYPERLINK("https://twitter.com/rrrrrawrr","@rrrrrawrr")</f>
        <v>@rrrrrawrr</v>
      </c>
      <c r="C119" s="8" t="s">
        <v>34</v>
      </c>
      <c r="D119" s="8">
        <v>8</v>
      </c>
      <c r="E119" s="8">
        <v>0</v>
      </c>
      <c r="F119" s="8">
        <v>1816</v>
      </c>
    </row>
    <row r="120" spans="1:6" ht="12.75">
      <c r="A120" s="8">
        <v>43905.373425925922</v>
      </c>
      <c r="B120" s="8" t="str">
        <f>HYPERLINK("https://twitter.com/nabiilbenali","@nabiilbenali")</f>
        <v>@nabiilbenali</v>
      </c>
      <c r="C120" s="8" t="s">
        <v>71</v>
      </c>
      <c r="D120" s="8">
        <v>0</v>
      </c>
      <c r="E120" s="8">
        <v>0</v>
      </c>
      <c r="F120" s="8">
        <v>1278</v>
      </c>
    </row>
    <row r="121" spans="1:6" ht="12.75">
      <c r="A121" s="8">
        <v>43905.373113425929</v>
      </c>
      <c r="B121" s="8" t="str">
        <f>HYPERLINK("https://twitter.com/hamzahotae","@hamzahotae")</f>
        <v>@hamzahotae</v>
      </c>
      <c r="C121" s="8" t="s">
        <v>63</v>
      </c>
      <c r="D121" s="8">
        <v>74</v>
      </c>
      <c r="E121" s="8">
        <v>0</v>
      </c>
      <c r="F121" s="8">
        <v>641</v>
      </c>
    </row>
    <row r="122" spans="1:6" ht="12.75">
      <c r="A122" s="8">
        <v>43905.373090277775</v>
      </c>
      <c r="B122" s="8" t="str">
        <f>HYPERLINK("https://twitter.com/annandawarly","@annandawarly")</f>
        <v>@annandawarly</v>
      </c>
      <c r="C122" s="8" t="s">
        <v>72</v>
      </c>
      <c r="D122" s="8">
        <v>0</v>
      </c>
      <c r="E122" s="8">
        <v>0</v>
      </c>
      <c r="F122" s="8">
        <v>1208</v>
      </c>
    </row>
    <row r="123" spans="1:6" ht="12.75">
      <c r="A123" s="8">
        <v>43905.372546296298</v>
      </c>
      <c r="B123" s="8" t="str">
        <f>HYPERLINK("https://twitter.com/ParmonanganRaja","@ParmonanganRaja")</f>
        <v>@ParmonanganRaja</v>
      </c>
      <c r="C123" s="8" t="s">
        <v>73</v>
      </c>
      <c r="D123" s="8">
        <v>6</v>
      </c>
      <c r="E123" s="8">
        <v>0</v>
      </c>
      <c r="F123" s="8">
        <v>194</v>
      </c>
    </row>
    <row r="124" spans="1:6" ht="12.75">
      <c r="A124" s="8">
        <v>43905.371793981481</v>
      </c>
      <c r="B124" s="8" t="str">
        <f>HYPERLINK("https://twitter.com/JSamsyul","@JSamsyul")</f>
        <v>@JSamsyul</v>
      </c>
      <c r="C124" s="8" t="s">
        <v>74</v>
      </c>
      <c r="D124" s="8">
        <v>4</v>
      </c>
      <c r="E124" s="8">
        <v>0</v>
      </c>
      <c r="F124" s="8">
        <v>122</v>
      </c>
    </row>
    <row r="125" spans="1:6" ht="12.75">
      <c r="A125" s="8">
        <v>43905.371377314819</v>
      </c>
      <c r="B125" s="8" t="str">
        <f>HYPERLINK("https://twitter.com/selfediot","@selfediot")</f>
        <v>@selfediot</v>
      </c>
      <c r="C125" s="8" t="s">
        <v>54</v>
      </c>
      <c r="D125" s="8">
        <v>102</v>
      </c>
      <c r="E125" s="8">
        <v>0</v>
      </c>
      <c r="F125" s="8">
        <v>371</v>
      </c>
    </row>
    <row r="126" spans="1:6" ht="12.75">
      <c r="A126" s="8">
        <v>43905.371018518519</v>
      </c>
      <c r="B126" s="8" t="str">
        <f>HYPERLINK("https://twitter.com/Turunin_WanAbud","@Turunin_WanAbud")</f>
        <v>@Turunin_WanAbud</v>
      </c>
      <c r="C126" s="8" t="s">
        <v>75</v>
      </c>
      <c r="D126" s="8">
        <v>0</v>
      </c>
      <c r="E126" s="8">
        <v>0</v>
      </c>
      <c r="F126" s="8">
        <v>35</v>
      </c>
    </row>
    <row r="127" spans="1:6" ht="12.75">
      <c r="A127" s="8">
        <v>43905.370891203704</v>
      </c>
      <c r="B127" s="8" t="str">
        <f>HYPERLINK("https://twitter.com/erinsnote","@erinsnote")</f>
        <v>@erinsnote</v>
      </c>
      <c r="C127" s="8" t="s">
        <v>76</v>
      </c>
      <c r="D127" s="8">
        <v>0</v>
      </c>
      <c r="E127" s="8">
        <v>0</v>
      </c>
      <c r="F127" s="8">
        <v>1843</v>
      </c>
    </row>
    <row r="128" spans="1:6" ht="12.75">
      <c r="A128" s="8">
        <v>43905.370358796295</v>
      </c>
      <c r="B128" s="8" t="str">
        <f>HYPERLINK("https://twitter.com/Mey_MeynieJT","@Mey_MeynieJT")</f>
        <v>@Mey_MeynieJT</v>
      </c>
      <c r="C128" s="8" t="s">
        <v>10</v>
      </c>
      <c r="D128" s="8">
        <v>57</v>
      </c>
      <c r="E128" s="8">
        <v>0</v>
      </c>
      <c r="F128" s="8">
        <v>7356</v>
      </c>
    </row>
    <row r="129" spans="1:6" ht="12.75">
      <c r="A129" s="8">
        <v>43905.370081018518</v>
      </c>
      <c r="B129" s="8" t="str">
        <f t="shared" ref="B129:B130" si="2">HYPERLINK("https://twitter.com/wni_jmsri","@wni_jmsri")</f>
        <v>@wni_jmsri</v>
      </c>
      <c r="C129" s="8" t="s">
        <v>77</v>
      </c>
      <c r="D129" s="8">
        <v>9</v>
      </c>
      <c r="E129" s="8">
        <v>0</v>
      </c>
      <c r="F129" s="8">
        <v>200</v>
      </c>
    </row>
    <row r="130" spans="1:6" ht="12.75">
      <c r="A130" s="8">
        <v>43905.370023148149</v>
      </c>
      <c r="B130" s="8" t="str">
        <f t="shared" si="2"/>
        <v>@wni_jmsri</v>
      </c>
      <c r="C130" s="8" t="s">
        <v>78</v>
      </c>
      <c r="D130" s="8">
        <v>378</v>
      </c>
      <c r="E130" s="8">
        <v>0</v>
      </c>
      <c r="F130" s="8">
        <v>200</v>
      </c>
    </row>
    <row r="131" spans="1:6" ht="12.75">
      <c r="A131" s="8">
        <v>43905.369976851856</v>
      </c>
      <c r="B131" s="8" t="str">
        <f>HYPERLINK("https://twitter.com/Mohamad50983447","@Mohamad50983447")</f>
        <v>@Mohamad50983447</v>
      </c>
      <c r="C131" s="8" t="s">
        <v>22</v>
      </c>
      <c r="D131" s="8">
        <v>4</v>
      </c>
      <c r="E131" s="8">
        <v>0</v>
      </c>
      <c r="F131" s="8">
        <v>130</v>
      </c>
    </row>
    <row r="132" spans="1:6" ht="12.75">
      <c r="A132" s="8">
        <v>43905.36986111111</v>
      </c>
      <c r="B132" s="8" t="str">
        <f>HYPERLINK("https://twitter.com/yolanda_sprn","@yolanda_sprn")</f>
        <v>@yolanda_sprn</v>
      </c>
      <c r="C132" s="8" t="s">
        <v>54</v>
      </c>
      <c r="D132" s="8">
        <v>102</v>
      </c>
      <c r="E132" s="8">
        <v>0</v>
      </c>
      <c r="F132" s="8">
        <v>610</v>
      </c>
    </row>
    <row r="133" spans="1:6" ht="12.75">
      <c r="A133" s="8">
        <v>43905.369259259256</v>
      </c>
      <c r="B133" s="8" t="str">
        <f>HYPERLINK("https://twitter.com/rakyat_13","@rakyat_13")</f>
        <v>@rakyat_13</v>
      </c>
      <c r="C133" s="8" t="s">
        <v>42</v>
      </c>
      <c r="D133" s="8">
        <v>67</v>
      </c>
      <c r="E133" s="8">
        <v>0</v>
      </c>
      <c r="F133" s="8">
        <v>215</v>
      </c>
    </row>
    <row r="134" spans="1:6" ht="12.75">
      <c r="A134" s="8">
        <v>43905.368854166663</v>
      </c>
      <c r="B134" s="8" t="str">
        <f>HYPERLINK("https://twitter.com/handikoaj","@handikoaj")</f>
        <v>@handikoaj</v>
      </c>
      <c r="C134" s="8" t="s">
        <v>79</v>
      </c>
      <c r="D134" s="8">
        <v>1</v>
      </c>
      <c r="E134" s="8">
        <v>0</v>
      </c>
      <c r="F134" s="8">
        <v>1</v>
      </c>
    </row>
    <row r="135" spans="1:6" ht="12.75">
      <c r="A135" s="8">
        <v>43905.368472222224</v>
      </c>
      <c r="B135" s="8" t="str">
        <f>HYPERLINK("https://twitter.com/adikterakir","@adikterakir")</f>
        <v>@adikterakir</v>
      </c>
      <c r="C135" s="8" t="s">
        <v>73</v>
      </c>
      <c r="D135" s="8">
        <v>6</v>
      </c>
      <c r="E135" s="8">
        <v>0</v>
      </c>
      <c r="F135" s="8">
        <v>47</v>
      </c>
    </row>
    <row r="136" spans="1:6" ht="12.75">
      <c r="A136" s="8">
        <v>43905.368263888886</v>
      </c>
      <c r="B136" s="8" t="str">
        <f>HYPERLINK("https://twitter.com/alineadotid","@alineadotid")</f>
        <v>@alineadotid</v>
      </c>
      <c r="C136" s="8" t="s">
        <v>80</v>
      </c>
      <c r="D136" s="8">
        <v>0</v>
      </c>
      <c r="E136" s="8">
        <v>0</v>
      </c>
      <c r="F136" s="8">
        <v>611376</v>
      </c>
    </row>
    <row r="137" spans="1:6" ht="12.75">
      <c r="A137" s="8">
        <v>43905.367962962962</v>
      </c>
      <c r="B137" s="8" t="str">
        <f>HYPERLINK("https://twitter.com/BelajarSans","@BelajarSans")</f>
        <v>@BelajarSans</v>
      </c>
      <c r="C137" s="8" t="s">
        <v>81</v>
      </c>
      <c r="D137" s="8">
        <v>1</v>
      </c>
      <c r="E137" s="8">
        <v>1</v>
      </c>
      <c r="F137" s="8">
        <v>40</v>
      </c>
    </row>
    <row r="138" spans="1:6" ht="12.75">
      <c r="A138" s="8">
        <v>43905.367881944447</v>
      </c>
      <c r="B138" s="8" t="str">
        <f>HYPERLINK("https://twitter.com/DAROSAFONTANAL1","@DAROSAFONTANAL1")</f>
        <v>@DAROSAFONTANAL1</v>
      </c>
      <c r="C138" s="8" t="s">
        <v>82</v>
      </c>
      <c r="D138" s="8">
        <v>0</v>
      </c>
      <c r="E138" s="8">
        <v>1</v>
      </c>
      <c r="F138" s="8">
        <v>1208</v>
      </c>
    </row>
    <row r="139" spans="1:6" ht="12.75">
      <c r="A139" s="8">
        <v>43905.367847222224</v>
      </c>
      <c r="B139" s="8" t="str">
        <f>HYPERLINK("https://twitter.com/sintikheanggi","@sintikheanggi")</f>
        <v>@sintikheanggi</v>
      </c>
      <c r="C139" s="8" t="s">
        <v>28</v>
      </c>
      <c r="D139" s="8">
        <v>13</v>
      </c>
      <c r="E139" s="8">
        <v>0</v>
      </c>
      <c r="F139" s="8">
        <v>1062</v>
      </c>
    </row>
    <row r="140" spans="1:6" ht="12.75">
      <c r="A140" s="8">
        <v>43905.367129629631</v>
      </c>
      <c r="B140" s="8" t="str">
        <f>HYPERLINK("https://twitter.com/J_Aryoko","@J_Aryoko")</f>
        <v>@J_Aryoko</v>
      </c>
      <c r="C140" s="8" t="s">
        <v>83</v>
      </c>
      <c r="D140" s="8">
        <v>1</v>
      </c>
      <c r="E140" s="8">
        <v>0</v>
      </c>
      <c r="F140" s="8">
        <v>1434</v>
      </c>
    </row>
    <row r="141" spans="1:6" ht="12.75">
      <c r="A141" s="8">
        <v>43905.367002314815</v>
      </c>
      <c r="B141" s="8" t="str">
        <f>HYPERLINK("https://twitter.com/MuhammadRomliF3","@MuhammadRomliF3")</f>
        <v>@MuhammadRomliF3</v>
      </c>
      <c r="C141" s="8" t="s">
        <v>15</v>
      </c>
      <c r="D141" s="8">
        <v>18</v>
      </c>
      <c r="E141" s="8">
        <v>0</v>
      </c>
      <c r="F141" s="8">
        <v>45</v>
      </c>
    </row>
    <row r="142" spans="1:6" ht="12.75">
      <c r="A142" s="8">
        <v>43905.366944444446</v>
      </c>
      <c r="B142" s="8" t="str">
        <f>HYPERLINK("https://twitter.com/HumanSemesta","@HumanSemesta")</f>
        <v>@HumanSemesta</v>
      </c>
      <c r="C142" s="8" t="s">
        <v>84</v>
      </c>
      <c r="D142" s="8">
        <v>0</v>
      </c>
      <c r="E142" s="8">
        <v>0</v>
      </c>
      <c r="F142" s="8">
        <v>166</v>
      </c>
    </row>
    <row r="143" spans="1:6" ht="12.75">
      <c r="A143" s="8">
        <v>43905.365578703699</v>
      </c>
      <c r="B143" s="8" t="str">
        <f>HYPERLINK("https://twitter.com/MMargani5","@MMargani5")</f>
        <v>@MMargani5</v>
      </c>
      <c r="C143" s="8" t="s">
        <v>13</v>
      </c>
      <c r="D143" s="8">
        <v>7</v>
      </c>
      <c r="E143" s="8">
        <v>0</v>
      </c>
      <c r="F143" s="8">
        <v>5830</v>
      </c>
    </row>
    <row r="144" spans="1:6" ht="12.75">
      <c r="A144" s="8">
        <v>43905.365532407406</v>
      </c>
      <c r="B144" s="8" t="str">
        <f>HYPERLINK("https://twitter.com/DamnLoveNKRI","@DamnLoveNKRI")</f>
        <v>@DamnLoveNKRI</v>
      </c>
      <c r="C144" s="8" t="s">
        <v>85</v>
      </c>
      <c r="D144" s="8">
        <v>0</v>
      </c>
      <c r="E144" s="8">
        <v>0</v>
      </c>
      <c r="F144" s="8">
        <v>768</v>
      </c>
    </row>
    <row r="145" spans="1:6" ht="12.75">
      <c r="A145" s="8">
        <v>43905.365405092598</v>
      </c>
      <c r="B145" s="8" t="str">
        <f>HYPERLINK("https://twitter.com/SamrohSamaon","@SamrohSamaon")</f>
        <v>@SamrohSamaon</v>
      </c>
      <c r="C145" s="8" t="s">
        <v>86</v>
      </c>
      <c r="D145" s="8">
        <v>0</v>
      </c>
      <c r="E145" s="8">
        <v>0</v>
      </c>
      <c r="F145" s="8">
        <v>352</v>
      </c>
    </row>
    <row r="146" spans="1:6" ht="12.75">
      <c r="A146" s="8">
        <v>43905.365381944444</v>
      </c>
      <c r="B146" s="8" t="str">
        <f>HYPERLINK("https://twitter.com/abcd2878","@abcd2878")</f>
        <v>@abcd2878</v>
      </c>
      <c r="C146" s="8" t="s">
        <v>7</v>
      </c>
      <c r="D146" s="8">
        <v>84</v>
      </c>
      <c r="E146" s="8">
        <v>0</v>
      </c>
      <c r="F146" s="8">
        <v>150</v>
      </c>
    </row>
    <row r="147" spans="1:6" ht="12.75">
      <c r="A147" s="8">
        <v>43905.364502314813</v>
      </c>
      <c r="B147" s="8" t="str">
        <f>HYPERLINK("https://twitter.com/PutriRudianto17","@PutriRudianto17")</f>
        <v>@PutriRudianto17</v>
      </c>
      <c r="C147" s="8" t="s">
        <v>28</v>
      </c>
      <c r="D147" s="8">
        <v>13</v>
      </c>
      <c r="E147" s="8">
        <v>0</v>
      </c>
      <c r="F147" s="8">
        <v>173</v>
      </c>
    </row>
    <row r="148" spans="1:6" ht="12.75">
      <c r="A148" s="8">
        <v>43905.364398148144</v>
      </c>
      <c r="B148" s="8" t="str">
        <f>HYPERLINK("https://twitter.com/AyoeMimin","@AyoeMimin")</f>
        <v>@AyoeMimin</v>
      </c>
      <c r="C148" s="8" t="s">
        <v>19</v>
      </c>
      <c r="D148" s="8">
        <v>26</v>
      </c>
      <c r="E148" s="8">
        <v>0</v>
      </c>
      <c r="F148" s="8">
        <v>1528</v>
      </c>
    </row>
    <row r="149" spans="1:6" ht="12.75">
      <c r="A149" s="8">
        <v>43905.363912037035</v>
      </c>
      <c r="B149" s="8" t="str">
        <f>HYPERLINK("https://twitter.com/hermana_t","@hermana_t")</f>
        <v>@hermana_t</v>
      </c>
      <c r="C149" s="8" t="s">
        <v>28</v>
      </c>
      <c r="D149" s="8">
        <v>13</v>
      </c>
      <c r="E149" s="8">
        <v>0</v>
      </c>
      <c r="F149" s="8">
        <v>10869</v>
      </c>
    </row>
    <row r="150" spans="1:6" ht="12.75">
      <c r="A150" s="8">
        <v>43905.363240740742</v>
      </c>
      <c r="B150" s="8" t="str">
        <f>HYPERLINK("https://twitter.com/Mulyana83791524","@Mulyana83791524")</f>
        <v>@Mulyana83791524</v>
      </c>
      <c r="C150" s="8" t="s">
        <v>7</v>
      </c>
      <c r="D150" s="8">
        <v>84</v>
      </c>
      <c r="E150" s="8">
        <v>0</v>
      </c>
      <c r="F150" s="8">
        <v>748</v>
      </c>
    </row>
    <row r="151" spans="1:6" ht="12.75">
      <c r="A151" s="8">
        <v>43905.362800925926</v>
      </c>
      <c r="B151" s="8" t="str">
        <f>HYPERLINK("https://twitter.com/newsirahjingga","@newsirahjingga")</f>
        <v>@newsirahjingga</v>
      </c>
      <c r="C151" s="8" t="s">
        <v>7</v>
      </c>
      <c r="D151" s="8">
        <v>84</v>
      </c>
      <c r="E151" s="8">
        <v>0</v>
      </c>
      <c r="F151" s="8">
        <v>1737</v>
      </c>
    </row>
    <row r="152" spans="1:6" ht="12.75">
      <c r="A152" s="8">
        <v>43905.362557870365</v>
      </c>
      <c r="B152" s="8" t="str">
        <f>HYPERLINK("https://twitter.com/Masdjodi1","@Masdjodi1")</f>
        <v>@Masdjodi1</v>
      </c>
      <c r="C152" s="8" t="s">
        <v>87</v>
      </c>
      <c r="D152" s="8">
        <v>5</v>
      </c>
      <c r="E152" s="8">
        <v>0</v>
      </c>
      <c r="F152" s="8">
        <v>787</v>
      </c>
    </row>
    <row r="153" spans="1:6" ht="12.75">
      <c r="A153" s="8">
        <v>43905.361701388887</v>
      </c>
      <c r="B153" s="8" t="str">
        <f>HYPERLINK("https://twitter.com/mrsarmnt","@mrsarmnt")</f>
        <v>@mrsarmnt</v>
      </c>
      <c r="C153" s="8" t="s">
        <v>88</v>
      </c>
      <c r="D153" s="8">
        <v>0</v>
      </c>
      <c r="E153" s="8">
        <v>0</v>
      </c>
      <c r="F153" s="8">
        <v>315</v>
      </c>
    </row>
    <row r="154" spans="1:6" ht="12.75">
      <c r="A154" s="8">
        <v>43905.361192129625</v>
      </c>
      <c r="B154" s="8" t="str">
        <f>HYPERLINK("https://twitter.com/DanoeVandenberg","@DanoeVandenberg")</f>
        <v>@DanoeVandenberg</v>
      </c>
      <c r="C154" s="8" t="s">
        <v>7</v>
      </c>
      <c r="D154" s="8">
        <v>84</v>
      </c>
      <c r="E154" s="8">
        <v>0</v>
      </c>
      <c r="F154" s="8">
        <v>884</v>
      </c>
    </row>
    <row r="155" spans="1:6" ht="12.75">
      <c r="A155" s="8">
        <v>43905.361192129625</v>
      </c>
      <c r="B155" s="8" t="str">
        <f>HYPERLINK("https://twitter.com/Retnoningtyasw","@Retnoningtyasw")</f>
        <v>@Retnoningtyasw</v>
      </c>
      <c r="C155" s="8" t="s">
        <v>89</v>
      </c>
      <c r="D155" s="8">
        <v>0</v>
      </c>
      <c r="E155" s="8">
        <v>0</v>
      </c>
      <c r="F155" s="8">
        <v>210</v>
      </c>
    </row>
    <row r="156" spans="1:6" ht="12.75">
      <c r="A156" s="8">
        <v>43905.361041666663</v>
      </c>
      <c r="B156" s="8" t="str">
        <f>HYPERLINK("https://twitter.com/ahdeiV","@ahdeiV")</f>
        <v>@ahdeiV</v>
      </c>
      <c r="C156" s="8" t="s">
        <v>7</v>
      </c>
      <c r="D156" s="8">
        <v>84</v>
      </c>
      <c r="E156" s="8">
        <v>0</v>
      </c>
      <c r="F156" s="8">
        <v>345</v>
      </c>
    </row>
    <row r="157" spans="1:6" ht="12.75">
      <c r="A157" s="8">
        <v>43905.360925925925</v>
      </c>
      <c r="B157" s="8" t="str">
        <f>HYPERLINK("https://twitter.com/wipoooooooo_","@wipoooooooo_")</f>
        <v>@wipoooooooo_</v>
      </c>
      <c r="C157" s="8" t="s">
        <v>38</v>
      </c>
      <c r="D157" s="8">
        <v>6</v>
      </c>
      <c r="E157" s="8">
        <v>0</v>
      </c>
      <c r="F157" s="8">
        <v>65</v>
      </c>
    </row>
    <row r="158" spans="1:6" ht="12.75">
      <c r="A158" s="8">
        <v>43905.360856481479</v>
      </c>
      <c r="B158" s="8" t="str">
        <f>HYPERLINK("https://twitter.com/ambyarssador","@ambyarssador")</f>
        <v>@ambyarssador</v>
      </c>
      <c r="C158" s="8" t="s">
        <v>28</v>
      </c>
      <c r="D158" s="8">
        <v>13</v>
      </c>
      <c r="E158" s="8">
        <v>0</v>
      </c>
      <c r="F158" s="8">
        <v>2717</v>
      </c>
    </row>
    <row r="159" spans="1:6" ht="12.75">
      <c r="A159" s="8">
        <v>43905.360648148147</v>
      </c>
      <c r="B159" s="8" t="str">
        <f>HYPERLINK("https://twitter.com/Rachmadan10","@Rachmadan10")</f>
        <v>@Rachmadan10</v>
      </c>
      <c r="C159" s="8" t="s">
        <v>7</v>
      </c>
      <c r="D159" s="8">
        <v>84</v>
      </c>
      <c r="E159" s="8">
        <v>0</v>
      </c>
      <c r="F159" s="8">
        <v>252</v>
      </c>
    </row>
    <row r="160" spans="1:6" ht="12.75">
      <c r="A160" s="8">
        <v>43905.360567129625</v>
      </c>
      <c r="B160" s="8" t="str">
        <f>HYPERLINK("https://twitter.com/krishnayana95","@krishnayana95")</f>
        <v>@krishnayana95</v>
      </c>
      <c r="C160" s="8" t="s">
        <v>28</v>
      </c>
      <c r="D160" s="8">
        <v>13</v>
      </c>
      <c r="E160" s="8">
        <v>0</v>
      </c>
      <c r="F160" s="8">
        <v>314</v>
      </c>
    </row>
    <row r="161" spans="1:6" ht="12.75">
      <c r="A161" s="8">
        <v>43905.360405092593</v>
      </c>
      <c r="B161" s="8" t="str">
        <f>HYPERLINK("https://twitter.com/almitraimani","@almitraimani")</f>
        <v>@almitraimani</v>
      </c>
      <c r="C161" s="8" t="s">
        <v>49</v>
      </c>
      <c r="D161" s="8">
        <v>11</v>
      </c>
      <c r="E161" s="8">
        <v>0</v>
      </c>
      <c r="F161" s="8">
        <v>999</v>
      </c>
    </row>
    <row r="162" spans="1:6" ht="12.75">
      <c r="A162" s="8">
        <v>43905.360324074078</v>
      </c>
      <c r="B162" s="8" t="str">
        <f>HYPERLINK("https://twitter.com/indrayono2","@indrayono2")</f>
        <v>@indrayono2</v>
      </c>
      <c r="C162" s="8" t="s">
        <v>7</v>
      </c>
      <c r="D162" s="8">
        <v>84</v>
      </c>
      <c r="E162" s="8">
        <v>0</v>
      </c>
      <c r="F162" s="8">
        <v>1614</v>
      </c>
    </row>
    <row r="163" spans="1:6" ht="12.75">
      <c r="A163" s="8">
        <v>43905.360300925924</v>
      </c>
      <c r="B163" s="8" t="str">
        <f>HYPERLINK("https://twitter.com/lvcessa","@lvcessa")</f>
        <v>@lvcessa</v>
      </c>
      <c r="C163" s="8" t="s">
        <v>90</v>
      </c>
      <c r="D163" s="8">
        <v>0</v>
      </c>
      <c r="E163" s="8">
        <v>0</v>
      </c>
      <c r="F163" s="8">
        <v>517</v>
      </c>
    </row>
    <row r="164" spans="1:6" ht="12.75">
      <c r="A164" s="8">
        <v>43905.360208333332</v>
      </c>
      <c r="B164" s="8" t="str">
        <f>HYPERLINK("https://twitter.com/KRobet02","@KRobet02")</f>
        <v>@KRobet02</v>
      </c>
      <c r="C164" s="8" t="s">
        <v>7</v>
      </c>
      <c r="D164" s="8">
        <v>84</v>
      </c>
      <c r="E164" s="8">
        <v>0</v>
      </c>
      <c r="F164" s="8">
        <v>286</v>
      </c>
    </row>
    <row r="165" spans="1:6" ht="12.75">
      <c r="A165" s="8">
        <v>43905.360115740739</v>
      </c>
      <c r="B165" s="8" t="str">
        <f>HYPERLINK("https://twitter.com/rico_katsumoto","@rico_katsumoto")</f>
        <v>@rico_katsumoto</v>
      </c>
      <c r="C165" s="8" t="s">
        <v>91</v>
      </c>
      <c r="D165" s="8">
        <v>0</v>
      </c>
      <c r="E165" s="8">
        <v>1</v>
      </c>
      <c r="F165" s="8">
        <v>201</v>
      </c>
    </row>
    <row r="166" spans="1:6" ht="12.75">
      <c r="A166" s="8">
        <v>43905.360115740739</v>
      </c>
      <c r="B166" s="8" t="str">
        <f>HYPERLINK("https://twitter.com/DesyaPurnama2","@DesyaPurnama2")</f>
        <v>@DesyaPurnama2</v>
      </c>
      <c r="C166" s="8" t="s">
        <v>7</v>
      </c>
      <c r="D166" s="8">
        <v>84</v>
      </c>
      <c r="E166" s="8">
        <v>0</v>
      </c>
      <c r="F166" s="8">
        <v>344</v>
      </c>
    </row>
    <row r="167" spans="1:6" ht="12.75">
      <c r="A167" s="8">
        <v>43905.360069444447</v>
      </c>
      <c r="B167" s="8" t="str">
        <f>HYPERLINK("https://twitter.com/bibin_bey","@bibin_bey")</f>
        <v>@bibin_bey</v>
      </c>
      <c r="C167" s="8" t="s">
        <v>7</v>
      </c>
      <c r="D167" s="8">
        <v>84</v>
      </c>
      <c r="E167" s="8">
        <v>0</v>
      </c>
      <c r="F167" s="8">
        <v>1638</v>
      </c>
    </row>
    <row r="168" spans="1:6" ht="12.75">
      <c r="A168" s="8">
        <v>43905.359895833331</v>
      </c>
      <c r="B168" s="8" t="str">
        <f>HYPERLINK("https://twitter.com/nanniemontz","@nanniemontz")</f>
        <v>@nanniemontz</v>
      </c>
      <c r="C168" s="8" t="s">
        <v>92</v>
      </c>
      <c r="D168" s="8">
        <v>0</v>
      </c>
      <c r="E168" s="8">
        <v>0</v>
      </c>
      <c r="F168" s="8">
        <v>401</v>
      </c>
    </row>
    <row r="169" spans="1:6" ht="12.75">
      <c r="A169" s="8">
        <v>43905.359722222223</v>
      </c>
      <c r="B169" s="8" t="str">
        <f>HYPERLINK("https://twitter.com/prajnamu","@prajnamu")</f>
        <v>@prajnamu</v>
      </c>
      <c r="C169" s="8" t="s">
        <v>28</v>
      </c>
      <c r="D169" s="8">
        <v>13</v>
      </c>
      <c r="E169" s="8">
        <v>0</v>
      </c>
      <c r="F169" s="8">
        <v>2353</v>
      </c>
    </row>
    <row r="170" spans="1:6" ht="12.75">
      <c r="A170" s="8">
        <v>43905.359548611115</v>
      </c>
      <c r="B170" s="8" t="str">
        <f>HYPERLINK("https://twitter.com/metiyourgarden","@metiyourgarden")</f>
        <v>@metiyourgarden</v>
      </c>
      <c r="C170" s="8" t="s">
        <v>93</v>
      </c>
      <c r="D170" s="8">
        <v>0</v>
      </c>
      <c r="E170" s="8">
        <v>0</v>
      </c>
      <c r="F170" s="8">
        <v>4</v>
      </c>
    </row>
    <row r="171" spans="1:6" ht="12.75">
      <c r="A171" s="8">
        <v>43905.359201388885</v>
      </c>
      <c r="B171" s="8" t="str">
        <f>HYPERLINK("https://twitter.com/sweetztrash","@sweetztrash")</f>
        <v>@sweetztrash</v>
      </c>
      <c r="C171" s="8" t="s">
        <v>28</v>
      </c>
      <c r="D171" s="8">
        <v>13</v>
      </c>
      <c r="E171" s="8">
        <v>0</v>
      </c>
      <c r="F171" s="8">
        <v>174</v>
      </c>
    </row>
    <row r="172" spans="1:6" ht="12.75">
      <c r="A172" s="8">
        <v>43905.359143518523</v>
      </c>
      <c r="B172" s="8" t="str">
        <f>HYPERLINK("https://twitter.com/anaswongkamfung","@anaswongkamfung")</f>
        <v>@anaswongkamfung</v>
      </c>
      <c r="C172" s="8" t="s">
        <v>7</v>
      </c>
      <c r="D172" s="8">
        <v>84</v>
      </c>
      <c r="E172" s="8">
        <v>0</v>
      </c>
      <c r="F172" s="8">
        <v>1218</v>
      </c>
    </row>
    <row r="173" spans="1:6" ht="12.75">
      <c r="A173" s="8">
        <v>43905.358391203699</v>
      </c>
      <c r="B173" s="8" t="str">
        <f>HYPERLINK("https://twitter.com/YusufNusantara1","@YusufNusantara1")</f>
        <v>@YusufNusantara1</v>
      </c>
      <c r="C173" s="8" t="s">
        <v>94</v>
      </c>
      <c r="D173" s="8">
        <v>1</v>
      </c>
      <c r="E173" s="8">
        <v>0</v>
      </c>
      <c r="F173" s="8">
        <v>816</v>
      </c>
    </row>
    <row r="174" spans="1:6" ht="12.75">
      <c r="A174" s="8">
        <v>43905.35832175926</v>
      </c>
      <c r="B174" s="8" t="str">
        <f>HYPERLINK("https://twitter.com/Kemlu_RI","@Kemlu_RI")</f>
        <v>@Kemlu_RI</v>
      </c>
      <c r="C174" s="8" t="s">
        <v>95</v>
      </c>
      <c r="D174" s="8">
        <v>13</v>
      </c>
      <c r="E174" s="8">
        <v>16</v>
      </c>
      <c r="F174" s="8">
        <v>171592</v>
      </c>
    </row>
    <row r="175" spans="1:6" ht="12.75">
      <c r="A175" s="8">
        <v>43905.358032407406</v>
      </c>
      <c r="B175" s="8" t="str">
        <f>HYPERLINK("https://twitter.com/panggil_dilan","@panggil_dilan")</f>
        <v>@panggil_dilan</v>
      </c>
      <c r="C175" s="8" t="s">
        <v>96</v>
      </c>
      <c r="D175" s="8">
        <v>0</v>
      </c>
      <c r="E175" s="8">
        <v>0</v>
      </c>
      <c r="F175" s="8">
        <v>1083</v>
      </c>
    </row>
    <row r="176" spans="1:6" ht="12.75">
      <c r="A176" s="8">
        <v>43905.35802083333</v>
      </c>
      <c r="B176" s="8" t="str">
        <f>HYPERLINK("https://twitter.com/meiliaputri","@meiliaputri")</f>
        <v>@meiliaputri</v>
      </c>
      <c r="C176" s="8" t="s">
        <v>97</v>
      </c>
      <c r="D176" s="8">
        <v>0</v>
      </c>
      <c r="E176" s="8">
        <v>0</v>
      </c>
      <c r="F176" s="8">
        <v>308</v>
      </c>
    </row>
    <row r="177" spans="1:6" ht="12.75">
      <c r="A177" s="8">
        <v>43905.357685185183</v>
      </c>
      <c r="B177" s="8" t="str">
        <f>HYPERLINK("https://twitter.com/AllSamnun","@AllSamnun")</f>
        <v>@AllSamnun</v>
      </c>
      <c r="C177" s="8" t="s">
        <v>7</v>
      </c>
      <c r="D177" s="8">
        <v>84</v>
      </c>
      <c r="E177" s="8">
        <v>0</v>
      </c>
      <c r="F177" s="8">
        <v>882</v>
      </c>
    </row>
    <row r="178" spans="1:6" ht="12.75">
      <c r="A178" s="8">
        <v>43905.357407407406</v>
      </c>
      <c r="B178" s="8" t="str">
        <f>HYPERLINK("https://twitter.com/ibnu_hima","@ibnu_hima")</f>
        <v>@ibnu_hima</v>
      </c>
      <c r="C178" s="8" t="s">
        <v>7</v>
      </c>
      <c r="D178" s="8">
        <v>84</v>
      </c>
      <c r="E178" s="8">
        <v>0</v>
      </c>
      <c r="F178" s="8">
        <v>1310</v>
      </c>
    </row>
    <row r="179" spans="1:6" ht="12.75">
      <c r="A179" s="8">
        <v>43905.357361111106</v>
      </c>
      <c r="B179" s="8" t="str">
        <f>HYPERLINK("https://twitter.com/_luv_anne","@_luv_anne")</f>
        <v>@_luv_anne</v>
      </c>
      <c r="C179" s="8" t="s">
        <v>7</v>
      </c>
      <c r="D179" s="8">
        <v>84</v>
      </c>
      <c r="E179" s="8">
        <v>0</v>
      </c>
      <c r="F179" s="8">
        <v>2422</v>
      </c>
    </row>
    <row r="180" spans="1:6" ht="12.75">
      <c r="A180" s="8">
        <v>43905.357337962967</v>
      </c>
      <c r="B180" s="8" t="str">
        <f>HYPERLINK("https://twitter.com/N45_Obet","@N45_Obet")</f>
        <v>@N45_Obet</v>
      </c>
      <c r="C180" s="8" t="s">
        <v>7</v>
      </c>
      <c r="D180" s="8">
        <v>84</v>
      </c>
      <c r="E180" s="8">
        <v>0</v>
      </c>
      <c r="F180" s="8">
        <v>3244</v>
      </c>
    </row>
    <row r="181" spans="1:6" ht="12.75">
      <c r="A181" s="8">
        <v>43905.357187500005</v>
      </c>
      <c r="B181" s="8" t="str">
        <f>HYPERLINK("https://twitter.com/pemikir5","@pemikir5")</f>
        <v>@pemikir5</v>
      </c>
      <c r="C181" s="8" t="s">
        <v>98</v>
      </c>
      <c r="D181" s="8">
        <v>0</v>
      </c>
      <c r="E181" s="8">
        <v>0</v>
      </c>
      <c r="F181" s="8">
        <v>15188</v>
      </c>
    </row>
    <row r="182" spans="1:6" ht="12.75">
      <c r="A182" s="8">
        <v>43905.356828703705</v>
      </c>
      <c r="B182" s="8" t="str">
        <f>HYPERLINK("https://twitter.com/dharmayd1","@dharmayd1")</f>
        <v>@dharmayd1</v>
      </c>
      <c r="C182" s="8" t="s">
        <v>7</v>
      </c>
      <c r="D182" s="8">
        <v>84</v>
      </c>
      <c r="E182" s="8">
        <v>0</v>
      </c>
      <c r="F182" s="8">
        <v>410</v>
      </c>
    </row>
    <row r="183" spans="1:6" ht="12.75">
      <c r="A183" s="8">
        <v>43905.356759259259</v>
      </c>
      <c r="B183" s="8" t="str">
        <f>HYPERLINK("https://twitter.com/DamnLoveNKRI","@DamnLoveNKRI")</f>
        <v>@DamnLoveNKRI</v>
      </c>
      <c r="C183" s="8" t="s">
        <v>99</v>
      </c>
      <c r="D183" s="8">
        <v>1</v>
      </c>
      <c r="E183" s="8">
        <v>0</v>
      </c>
      <c r="F183" s="8">
        <v>768</v>
      </c>
    </row>
    <row r="184" spans="1:6" ht="12.75">
      <c r="A184" s="8">
        <v>43905.356516203705</v>
      </c>
      <c r="B184" s="8" t="str">
        <f>HYPERLINK("https://twitter.com/Bocah__koplak","@Bocah__koplak")</f>
        <v>@Bocah__koplak</v>
      </c>
      <c r="C184" s="8" t="s">
        <v>100</v>
      </c>
      <c r="D184" s="8">
        <v>1</v>
      </c>
      <c r="E184" s="8">
        <v>1</v>
      </c>
      <c r="F184" s="8">
        <v>6469</v>
      </c>
    </row>
    <row r="185" spans="1:6" ht="12.75">
      <c r="A185" s="8">
        <v>43905.35633101852</v>
      </c>
      <c r="B185" s="8" t="str">
        <f>HYPERLINK("https://twitter.com/Noy_BaoZuan","@Noy_BaoZuan")</f>
        <v>@Noy_BaoZuan</v>
      </c>
      <c r="C185" s="8" t="s">
        <v>73</v>
      </c>
      <c r="D185" s="8">
        <v>6</v>
      </c>
      <c r="E185" s="8">
        <v>0</v>
      </c>
      <c r="F185" s="8">
        <v>190</v>
      </c>
    </row>
    <row r="186" spans="1:6" ht="12.75">
      <c r="A186" s="8">
        <v>43905.356134259258</v>
      </c>
      <c r="B186" s="8" t="str">
        <f>HYPERLINK("https://twitter.com/EliteInteligent","@EliteInteligent")</f>
        <v>@EliteInteligent</v>
      </c>
      <c r="C186" s="8" t="s">
        <v>7</v>
      </c>
      <c r="D186" s="8">
        <v>84</v>
      </c>
      <c r="E186" s="8">
        <v>0</v>
      </c>
      <c r="F186" s="8">
        <v>1790</v>
      </c>
    </row>
    <row r="187" spans="1:6" ht="12.75">
      <c r="A187" s="8">
        <v>43905.356064814812</v>
      </c>
      <c r="B187" s="8" t="str">
        <f>HYPERLINK("https://twitter.com/orw7","@orw7")</f>
        <v>@orw7</v>
      </c>
      <c r="C187" s="8" t="s">
        <v>101</v>
      </c>
      <c r="D187" s="8">
        <v>0</v>
      </c>
      <c r="E187" s="8">
        <v>2</v>
      </c>
      <c r="F187" s="8">
        <v>8068</v>
      </c>
    </row>
    <row r="188" spans="1:6" ht="12.75">
      <c r="A188" s="8">
        <v>43905.354155092587</v>
      </c>
      <c r="B188" s="8" t="str">
        <f>HYPERLINK("https://twitter.com/Andi16339301","@Andi16339301")</f>
        <v>@Andi16339301</v>
      </c>
      <c r="C188" s="8" t="s">
        <v>102</v>
      </c>
      <c r="D188" s="8">
        <v>56</v>
      </c>
      <c r="E188" s="8">
        <v>0</v>
      </c>
      <c r="F188" s="8">
        <v>9</v>
      </c>
    </row>
    <row r="189" spans="1:6" ht="12.75">
      <c r="A189" s="8">
        <v>43905.353761574079</v>
      </c>
      <c r="B189" s="8" t="str">
        <f>HYPERLINK("https://twitter.com/abangez1","@abangez1")</f>
        <v>@abangez1</v>
      </c>
      <c r="C189" s="8" t="s">
        <v>103</v>
      </c>
      <c r="D189" s="8">
        <v>0</v>
      </c>
      <c r="E189" s="8">
        <v>0</v>
      </c>
      <c r="F189" s="8">
        <v>51</v>
      </c>
    </row>
    <row r="190" spans="1:6" ht="12.75">
      <c r="A190" s="8">
        <v>43905.353576388894</v>
      </c>
      <c r="B190" s="8" t="str">
        <f>HYPERLINK("https://twitter.com/Salman_afarisi","@Salman_afarisi")</f>
        <v>@Salman_afarisi</v>
      </c>
      <c r="C190" s="8" t="s">
        <v>54</v>
      </c>
      <c r="D190" s="8">
        <v>102</v>
      </c>
      <c r="E190" s="8">
        <v>0</v>
      </c>
      <c r="F190" s="8">
        <v>832</v>
      </c>
    </row>
    <row r="191" spans="1:6" ht="12.75">
      <c r="A191" s="8">
        <v>43905.352743055555</v>
      </c>
      <c r="B191" s="8" t="str">
        <f>HYPERLINK("https://twitter.com/selenach__","@selenach__")</f>
        <v>@selenach__</v>
      </c>
      <c r="C191" s="8" t="s">
        <v>7</v>
      </c>
      <c r="D191" s="8">
        <v>84</v>
      </c>
      <c r="E191" s="8">
        <v>0</v>
      </c>
      <c r="F191" s="8">
        <v>5471</v>
      </c>
    </row>
    <row r="192" spans="1:6" ht="12.75">
      <c r="A192" s="8">
        <v>43905.352581018524</v>
      </c>
      <c r="B192" s="8" t="str">
        <f>HYPERLINK("https://twitter.com/TedongNag4","@TedongNag4")</f>
        <v>@TedongNag4</v>
      </c>
      <c r="C192" s="8" t="s">
        <v>7</v>
      </c>
      <c r="D192" s="8">
        <v>84</v>
      </c>
      <c r="E192" s="8">
        <v>0</v>
      </c>
      <c r="F192" s="8">
        <v>531</v>
      </c>
    </row>
    <row r="193" spans="1:6" ht="12.75">
      <c r="A193" s="8">
        <v>43905.352048611108</v>
      </c>
      <c r="B193" s="8" t="str">
        <f>HYPERLINK("https://twitter.com/ayusumedi","@ayusumedi")</f>
        <v>@ayusumedi</v>
      </c>
      <c r="C193" s="8" t="s">
        <v>7</v>
      </c>
      <c r="D193" s="8">
        <v>84</v>
      </c>
      <c r="E193" s="8">
        <v>0</v>
      </c>
      <c r="F193" s="8">
        <v>2067</v>
      </c>
    </row>
    <row r="194" spans="1:6" ht="12.75">
      <c r="A194" s="8">
        <v>43905.352013888885</v>
      </c>
      <c r="B194" s="8" t="str">
        <f>HYPERLINK("https://twitter.com/torotrapah","@torotrapah")</f>
        <v>@torotrapah</v>
      </c>
      <c r="C194" s="8" t="s">
        <v>10</v>
      </c>
      <c r="D194" s="8">
        <v>57</v>
      </c>
      <c r="E194" s="8">
        <v>0</v>
      </c>
      <c r="F194" s="8">
        <v>71</v>
      </c>
    </row>
    <row r="195" spans="1:6" ht="12.75">
      <c r="A195" s="8">
        <v>43905.351851851854</v>
      </c>
      <c r="B195" s="8" t="str">
        <f>HYPERLINK("https://twitter.com/nurnurii","@nurnurii")</f>
        <v>@nurnurii</v>
      </c>
      <c r="C195" s="8" t="s">
        <v>104</v>
      </c>
      <c r="D195" s="8">
        <v>132</v>
      </c>
      <c r="E195" s="8">
        <v>0</v>
      </c>
      <c r="F195" s="8">
        <v>399</v>
      </c>
    </row>
    <row r="196" spans="1:6" ht="12.75">
      <c r="A196" s="8">
        <v>43905.351354166662</v>
      </c>
      <c r="B196" s="8" t="str">
        <f>HYPERLINK("https://twitter.com/fasyapam","@fasyapam")</f>
        <v>@fasyapam</v>
      </c>
      <c r="C196" s="8" t="s">
        <v>63</v>
      </c>
      <c r="D196" s="8">
        <v>74</v>
      </c>
      <c r="E196" s="8">
        <v>0</v>
      </c>
      <c r="F196" s="8">
        <v>449</v>
      </c>
    </row>
    <row r="197" spans="1:6" ht="12.75">
      <c r="A197" s="8">
        <v>43905.350995370369</v>
      </c>
      <c r="B197" s="8" t="str">
        <f>HYPERLINK("https://twitter.com/healthyliveID","@healthyliveID")</f>
        <v>@healthyliveID</v>
      </c>
      <c r="C197" s="8" t="s">
        <v>40</v>
      </c>
      <c r="D197" s="8">
        <v>9</v>
      </c>
      <c r="E197" s="8">
        <v>0</v>
      </c>
      <c r="F197" s="8">
        <v>45111</v>
      </c>
    </row>
    <row r="198" spans="1:6" ht="12.75">
      <c r="A198" s="8">
        <v>43905.349710648152</v>
      </c>
      <c r="B198" s="8" t="str">
        <f>HYPERLINK("https://twitter.com/TroperTero","@TroperTero")</f>
        <v>@TroperTero</v>
      </c>
      <c r="C198" s="8" t="s">
        <v>105</v>
      </c>
      <c r="D198" s="8">
        <v>0</v>
      </c>
      <c r="E198" s="8">
        <v>0</v>
      </c>
      <c r="F198" s="8">
        <v>423</v>
      </c>
    </row>
    <row r="199" spans="1:6" ht="12.75">
      <c r="A199" s="8">
        <v>43905.349641203706</v>
      </c>
      <c r="B199" s="8" t="str">
        <f>HYPERLINK("https://twitter.com/RKonsultasi","@RKonsultasi")</f>
        <v>@RKonsultasi</v>
      </c>
      <c r="C199" s="8" t="s">
        <v>7</v>
      </c>
      <c r="D199" s="8">
        <v>84</v>
      </c>
      <c r="E199" s="8">
        <v>0</v>
      </c>
      <c r="F199" s="8">
        <v>1060</v>
      </c>
    </row>
    <row r="200" spans="1:6" ht="12.75">
      <c r="A200" s="8">
        <v>43905.349618055552</v>
      </c>
      <c r="B200" s="8" t="str">
        <f>HYPERLINK("https://twitter.com/maulinaelmi_","@maulinaelmi_")</f>
        <v>@maulinaelmi_</v>
      </c>
      <c r="C200" s="8" t="s">
        <v>106</v>
      </c>
      <c r="D200" s="8">
        <v>1</v>
      </c>
      <c r="E200" s="8">
        <v>3</v>
      </c>
      <c r="F200" s="8">
        <v>106</v>
      </c>
    </row>
    <row r="201" spans="1:6" ht="12.75">
      <c r="A201" s="8">
        <v>43905.348425925928</v>
      </c>
      <c r="B201" s="8" t="str">
        <f>HYPERLINK("https://twitter.com/AgungWidrajat","@AgungWidrajat")</f>
        <v>@AgungWidrajat</v>
      </c>
      <c r="C201" s="8" t="s">
        <v>42</v>
      </c>
      <c r="D201" s="8">
        <v>67</v>
      </c>
      <c r="E201" s="8">
        <v>0</v>
      </c>
      <c r="F201" s="8">
        <v>2306</v>
      </c>
    </row>
    <row r="202" spans="1:6" ht="12.75">
      <c r="A202" s="8">
        <v>43905.340011574073</v>
      </c>
      <c r="B202" s="8" t="str">
        <f>HYPERLINK("https://twitter.com/Tommy11Dima","@Tommy11Dima")</f>
        <v>@Tommy11Dima</v>
      </c>
      <c r="C202" s="8" t="s">
        <v>107</v>
      </c>
      <c r="D202" s="8">
        <v>50</v>
      </c>
      <c r="E202" s="8">
        <v>0</v>
      </c>
      <c r="F202" s="8">
        <v>190</v>
      </c>
    </row>
    <row r="203" spans="1:6" ht="12.75">
      <c r="A203" s="8">
        <v>43905.33975694445</v>
      </c>
      <c r="B203" s="8" t="str">
        <f>HYPERLINK("https://twitter.com/Verinata8","@Verinata8")</f>
        <v>@Verinata8</v>
      </c>
      <c r="C203" s="8" t="s">
        <v>40</v>
      </c>
      <c r="D203" s="8">
        <v>3</v>
      </c>
      <c r="E203" s="8">
        <v>0</v>
      </c>
      <c r="F203" s="8">
        <v>302</v>
      </c>
    </row>
    <row r="204" spans="1:6" ht="12.75">
      <c r="A204" s="8">
        <v>43905.33975694445</v>
      </c>
      <c r="B204" s="8" t="str">
        <f>HYPERLINK("https://twitter.com/sadhorrolink","@sadhorrolink")</f>
        <v>@sadhorrolink</v>
      </c>
      <c r="C204" s="8" t="s">
        <v>108</v>
      </c>
      <c r="D204" s="8">
        <v>0</v>
      </c>
      <c r="E204" s="8">
        <v>1</v>
      </c>
      <c r="F204" s="8">
        <v>957</v>
      </c>
    </row>
    <row r="205" spans="1:6" ht="12.75">
      <c r="A205" s="8">
        <v>43905.33902777778</v>
      </c>
      <c r="B205" s="8" t="str">
        <f>HYPERLINK("https://twitter.com/eef_heryanto","@eef_heryanto")</f>
        <v>@eef_heryanto</v>
      </c>
      <c r="C205" s="8" t="s">
        <v>109</v>
      </c>
      <c r="D205" s="8">
        <v>0</v>
      </c>
      <c r="E205" s="8">
        <v>0</v>
      </c>
      <c r="F205" s="8">
        <v>349</v>
      </c>
    </row>
    <row r="206" spans="1:6" ht="12.75">
      <c r="A206" s="8">
        <v>43905.338900462964</v>
      </c>
      <c r="B206" s="8" t="str">
        <f>HYPERLINK("https://twitter.com/Recoignitionwal","@Recoignitionwal")</f>
        <v>@Recoignitionwal</v>
      </c>
      <c r="C206" s="8" t="s">
        <v>74</v>
      </c>
      <c r="D206" s="8">
        <v>2</v>
      </c>
      <c r="E206" s="8">
        <v>0</v>
      </c>
      <c r="F206" s="8">
        <v>2991</v>
      </c>
    </row>
    <row r="207" spans="1:6" ht="12.75">
      <c r="A207" s="8">
        <v>43905.337476851855</v>
      </c>
      <c r="B207" s="8" t="str">
        <f>HYPERLINK("https://twitter.com/PJustitia7","@PJustitia7")</f>
        <v>@PJustitia7</v>
      </c>
      <c r="C207" s="8" t="s">
        <v>110</v>
      </c>
      <c r="D207" s="8">
        <v>0</v>
      </c>
      <c r="E207" s="8">
        <v>1</v>
      </c>
      <c r="F207" s="8">
        <v>923</v>
      </c>
    </row>
    <row r="208" spans="1:6" ht="12.75">
      <c r="A208" s="8">
        <v>43905.336828703701</v>
      </c>
      <c r="B208" s="8" t="str">
        <f>HYPERLINK("https://twitter.com/Baliantaranews","@Baliantaranews")</f>
        <v>@Baliantaranews</v>
      </c>
      <c r="C208" s="8" t="s">
        <v>111</v>
      </c>
      <c r="D208" s="8">
        <v>1</v>
      </c>
      <c r="E208" s="8">
        <v>0</v>
      </c>
      <c r="F208" s="8">
        <v>745</v>
      </c>
    </row>
    <row r="209" spans="1:6" ht="12.75">
      <c r="A209" s="8">
        <v>43905.336747685185</v>
      </c>
      <c r="B209" s="8" t="str">
        <f>HYPERLINK("https://twitter.com/SamrohSamaon","@SamrohSamaon")</f>
        <v>@SamrohSamaon</v>
      </c>
      <c r="C209" s="8" t="s">
        <v>112</v>
      </c>
      <c r="D209" s="8">
        <v>0</v>
      </c>
      <c r="E209" s="8">
        <v>0</v>
      </c>
      <c r="F209" s="8">
        <v>337</v>
      </c>
    </row>
    <row r="210" spans="1:6" ht="12.75">
      <c r="A210" s="8">
        <v>43905.336493055554</v>
      </c>
      <c r="B210" s="8" t="str">
        <f>HYPERLINK("https://twitter.com/januarzann","@januarzann")</f>
        <v>@januarzann</v>
      </c>
      <c r="C210" s="8" t="s">
        <v>113</v>
      </c>
      <c r="D210" s="8">
        <v>5</v>
      </c>
      <c r="E210" s="8">
        <v>0</v>
      </c>
      <c r="F210" s="8">
        <v>359</v>
      </c>
    </row>
    <row r="211" spans="1:6" ht="12.75">
      <c r="A211" s="8">
        <v>43905.3362037037</v>
      </c>
      <c r="B211" s="8" t="str">
        <f>HYPERLINK("https://twitter.com/Addarul1","@Addarul1")</f>
        <v>@Addarul1</v>
      </c>
      <c r="C211" s="8" t="s">
        <v>7</v>
      </c>
      <c r="D211" s="8">
        <v>43</v>
      </c>
      <c r="E211" s="8">
        <v>0</v>
      </c>
      <c r="F211" s="8">
        <v>4828</v>
      </c>
    </row>
    <row r="212" spans="1:6" ht="12.75">
      <c r="A212" s="8">
        <v>43905.336157407408</v>
      </c>
      <c r="B212" s="8" t="str">
        <f>HYPERLINK("https://twitter.com/antaranews_bali","@antaranews_bali")</f>
        <v>@antaranews_bali</v>
      </c>
      <c r="C212" s="8" t="s">
        <v>114</v>
      </c>
      <c r="D212" s="8">
        <v>1</v>
      </c>
      <c r="E212" s="8">
        <v>0</v>
      </c>
      <c r="F212" s="8">
        <v>4963</v>
      </c>
    </row>
    <row r="213" spans="1:6" ht="12.75">
      <c r="A213" s="8">
        <v>43905.336122685185</v>
      </c>
      <c r="B213" s="8" t="str">
        <f>HYPERLINK("https://twitter.com/askyull","@askyull")</f>
        <v>@askyull</v>
      </c>
      <c r="C213" s="8" t="s">
        <v>115</v>
      </c>
      <c r="D213" s="8">
        <v>2</v>
      </c>
      <c r="E213" s="8">
        <v>0</v>
      </c>
      <c r="F213" s="8">
        <v>61</v>
      </c>
    </row>
    <row r="214" spans="1:6" ht="12.75">
      <c r="A214" s="8">
        <v>43905.335138888884</v>
      </c>
      <c r="B214" s="8" t="str">
        <f>HYPERLINK("https://twitter.com/MulyanaDipura","@MulyanaDipura")</f>
        <v>@MulyanaDipura</v>
      </c>
      <c r="C214" s="8" t="s">
        <v>102</v>
      </c>
      <c r="D214" s="8">
        <v>55</v>
      </c>
      <c r="E214" s="8">
        <v>0</v>
      </c>
      <c r="F214" s="8">
        <v>993</v>
      </c>
    </row>
    <row r="215" spans="1:6" ht="12.75">
      <c r="A215" s="8">
        <v>43905.334652777776</v>
      </c>
      <c r="B215" s="8" t="str">
        <f>HYPERLINK("https://twitter.com/cadarmerah","@cadarmerah")</f>
        <v>@cadarmerah</v>
      </c>
      <c r="C215" s="8" t="s">
        <v>116</v>
      </c>
      <c r="D215" s="8">
        <v>0</v>
      </c>
      <c r="E215" s="8">
        <v>2</v>
      </c>
      <c r="F215" s="8">
        <v>5666</v>
      </c>
    </row>
    <row r="216" spans="1:6" ht="12.75">
      <c r="A216" s="8">
        <v>43905.334618055553</v>
      </c>
      <c r="B216" s="8" t="str">
        <f>HYPERLINK("https://twitter.com/tualang","@tualang")</f>
        <v>@tualang</v>
      </c>
      <c r="C216" s="8" t="s">
        <v>117</v>
      </c>
      <c r="D216" s="8">
        <v>0</v>
      </c>
      <c r="E216" s="8">
        <v>0</v>
      </c>
      <c r="F216" s="8">
        <v>190</v>
      </c>
    </row>
    <row r="217" spans="1:6" ht="12.75">
      <c r="A217" s="8">
        <v>43905.334386574075</v>
      </c>
      <c r="B217" s="8" t="str">
        <f>HYPERLINK("https://twitter.com/Budihar21525608","@Budihar21525608")</f>
        <v>@Budihar21525608</v>
      </c>
      <c r="C217" s="8" t="s">
        <v>73</v>
      </c>
      <c r="D217" s="8">
        <v>3</v>
      </c>
      <c r="E217" s="8">
        <v>0</v>
      </c>
      <c r="F217" s="8">
        <v>6547</v>
      </c>
    </row>
    <row r="218" spans="1:6" ht="12.75">
      <c r="A218" s="8">
        <v>43905.332974537036</v>
      </c>
      <c r="B218" s="8" t="str">
        <f>HYPERLINK("https://twitter.com/Sastroklengsre1","@Sastroklengsre1")</f>
        <v>@Sastroklengsre1</v>
      </c>
      <c r="C218" s="8" t="s">
        <v>118</v>
      </c>
      <c r="D218" s="8">
        <v>2</v>
      </c>
      <c r="E218" s="8">
        <v>0</v>
      </c>
      <c r="F218" s="8">
        <v>3425</v>
      </c>
    </row>
    <row r="219" spans="1:6" ht="12.75">
      <c r="A219" s="8">
        <v>43905.332488425927</v>
      </c>
      <c r="B219" s="8" t="str">
        <f>HYPERLINK("https://twitter.com/tyodharm","@tyodharm")</f>
        <v>@tyodharm</v>
      </c>
      <c r="C219" s="8" t="s">
        <v>10</v>
      </c>
      <c r="D219" s="8">
        <v>51</v>
      </c>
      <c r="E219" s="8">
        <v>0</v>
      </c>
      <c r="F219" s="8">
        <v>174</v>
      </c>
    </row>
    <row r="220" spans="1:6" ht="12.75">
      <c r="A220" s="8">
        <v>43905.331192129626</v>
      </c>
      <c r="B220" s="8" t="str">
        <f>HYPERLINK("https://twitter.com/Juno87X","@Juno87X")</f>
        <v>@Juno87X</v>
      </c>
      <c r="C220" s="8" t="s">
        <v>7</v>
      </c>
      <c r="D220" s="8">
        <v>43</v>
      </c>
      <c r="E220" s="8">
        <v>0</v>
      </c>
      <c r="F220" s="8">
        <v>328</v>
      </c>
    </row>
    <row r="221" spans="1:6" ht="12.75">
      <c r="A221" s="8">
        <v>43905.330810185187</v>
      </c>
      <c r="B221" s="8" t="str">
        <f>HYPERLINK("https://twitter.com/itstitaaa11","@itstitaaa11")</f>
        <v>@itstitaaa11</v>
      </c>
      <c r="C221" s="8" t="s">
        <v>38</v>
      </c>
      <c r="D221" s="8">
        <v>4</v>
      </c>
      <c r="E221" s="8">
        <v>0</v>
      </c>
      <c r="F221" s="8">
        <v>1862</v>
      </c>
    </row>
    <row r="222" spans="1:6" ht="12.75">
      <c r="A222" s="8">
        <v>43905.330706018518</v>
      </c>
      <c r="B222" s="8" t="str">
        <f>HYPERLINK("https://twitter.com/larkapul","@larkapul")</f>
        <v>@larkapul</v>
      </c>
      <c r="C222" s="8" t="s">
        <v>119</v>
      </c>
      <c r="D222" s="8">
        <v>0</v>
      </c>
      <c r="E222" s="8">
        <v>1</v>
      </c>
      <c r="F222" s="8">
        <v>2201</v>
      </c>
    </row>
    <row r="223" spans="1:6" ht="12.75">
      <c r="A223" s="8">
        <v>43905.330671296295</v>
      </c>
      <c r="B223" s="8" t="str">
        <f>HYPERLINK("https://twitter.com/respati18311584","@respati18311584")</f>
        <v>@respati18311584</v>
      </c>
      <c r="C223" s="8" t="s">
        <v>7</v>
      </c>
      <c r="D223" s="8">
        <v>43</v>
      </c>
      <c r="E223" s="8">
        <v>0</v>
      </c>
      <c r="F223" s="8">
        <v>518</v>
      </c>
    </row>
    <row r="224" spans="1:6" ht="12.75">
      <c r="A224" s="8">
        <v>43905.330636574072</v>
      </c>
      <c r="B224" s="8" t="str">
        <f>HYPERLINK("https://twitter.com/jammy_shiba","@jammy_shiba")</f>
        <v>@jammy_shiba</v>
      </c>
      <c r="C224" s="8" t="s">
        <v>10</v>
      </c>
      <c r="D224" s="8">
        <v>51</v>
      </c>
      <c r="E224" s="8">
        <v>0</v>
      </c>
      <c r="F224" s="8">
        <v>128</v>
      </c>
    </row>
    <row r="225" spans="1:6" ht="12.75">
      <c r="A225" s="8">
        <v>43905.329942129625</v>
      </c>
      <c r="B225" s="8" t="str">
        <f>HYPERLINK("https://twitter.com/kadrun77853825","@kadrun77853825")</f>
        <v>@kadrun77853825</v>
      </c>
      <c r="C225" s="8" t="s">
        <v>120</v>
      </c>
      <c r="D225" s="8">
        <v>1</v>
      </c>
      <c r="E225" s="8">
        <v>0</v>
      </c>
      <c r="F225" s="8">
        <v>1039</v>
      </c>
    </row>
    <row r="226" spans="1:6" ht="12.75">
      <c r="A226" s="8">
        <v>43905.329583333332</v>
      </c>
      <c r="B226" s="8" t="str">
        <f>HYPERLINK("https://twitter.com/Netijen66562345","@Netijen66562345")</f>
        <v>@Netijen66562345</v>
      </c>
      <c r="C226" s="8" t="s">
        <v>121</v>
      </c>
      <c r="D226" s="8">
        <v>0</v>
      </c>
      <c r="E226" s="8">
        <v>0</v>
      </c>
      <c r="F226" s="8">
        <v>4</v>
      </c>
    </row>
    <row r="227" spans="1:6" ht="12.75">
      <c r="A227" s="8">
        <v>43905.329548611116</v>
      </c>
      <c r="B227" s="8" t="str">
        <f>HYPERLINK("https://twitter.com/Dinar13_","@Dinar13_")</f>
        <v>@Dinar13_</v>
      </c>
      <c r="C227" s="8" t="s">
        <v>10</v>
      </c>
      <c r="D227" s="8">
        <v>51</v>
      </c>
      <c r="E227" s="8">
        <v>0</v>
      </c>
      <c r="F227" s="8">
        <v>684</v>
      </c>
    </row>
    <row r="228" spans="1:6" ht="12.75">
      <c r="A228" s="8">
        <v>43905.328344907408</v>
      </c>
      <c r="B228" s="8" t="str">
        <f>HYPERLINK("https://twitter.com/TCdharma","@TCdharma")</f>
        <v>@TCdharma</v>
      </c>
      <c r="C228" s="8" t="s">
        <v>74</v>
      </c>
      <c r="D228" s="8">
        <v>2</v>
      </c>
      <c r="E228" s="8">
        <v>0</v>
      </c>
      <c r="F228" s="8">
        <v>4161</v>
      </c>
    </row>
    <row r="229" spans="1:6" ht="12.75">
      <c r="A229" s="8">
        <v>43905.327905092592</v>
      </c>
      <c r="B229" s="8" t="str">
        <f>HYPERLINK("https://twitter.com/Vwi_Vwi","@Vwi_Vwi")</f>
        <v>@Vwi_Vwi</v>
      </c>
      <c r="C229" s="8" t="s">
        <v>122</v>
      </c>
      <c r="D229" s="8">
        <v>1</v>
      </c>
      <c r="E229" s="8">
        <v>1</v>
      </c>
      <c r="F229" s="8">
        <v>0</v>
      </c>
    </row>
    <row r="230" spans="1:6" ht="12.75">
      <c r="A230" s="8">
        <v>43905.3278587963</v>
      </c>
      <c r="B230" s="8" t="str">
        <f>HYPERLINK("https://twitter.com/Sastroklengsre1","@Sastroklengsre1")</f>
        <v>@Sastroklengsre1</v>
      </c>
      <c r="C230" s="8" t="s">
        <v>123</v>
      </c>
      <c r="D230" s="8">
        <v>2</v>
      </c>
      <c r="E230" s="8">
        <v>2</v>
      </c>
      <c r="F230" s="8">
        <v>3425</v>
      </c>
    </row>
    <row r="231" spans="1:6" ht="12.75">
      <c r="A231" s="8">
        <v>43905.327152777776</v>
      </c>
      <c r="B231" s="8" t="str">
        <f>HYPERLINK("https://twitter.com/evand_7dragon","@evand_7dragon")</f>
        <v>@evand_7dragon</v>
      </c>
      <c r="C231" s="8" t="s">
        <v>124</v>
      </c>
      <c r="D231" s="8">
        <v>0</v>
      </c>
      <c r="E231" s="8">
        <v>0</v>
      </c>
      <c r="F231" s="8">
        <v>233</v>
      </c>
    </row>
    <row r="232" spans="1:6" ht="12.75">
      <c r="A232" s="8">
        <v>43905.326921296291</v>
      </c>
      <c r="B232" s="8" t="str">
        <f>HYPERLINK("https://twitter.com/Scoriestanggara","@Scoriestanggara")</f>
        <v>@Scoriestanggara</v>
      </c>
      <c r="C232" s="8" t="s">
        <v>10</v>
      </c>
      <c r="D232" s="8">
        <v>51</v>
      </c>
      <c r="E232" s="8">
        <v>0</v>
      </c>
      <c r="F232" s="8">
        <v>512</v>
      </c>
    </row>
    <row r="233" spans="1:6" ht="12.75">
      <c r="A233" s="8">
        <v>43905.32649305556</v>
      </c>
      <c r="B233" s="8" t="str">
        <f>HYPERLINK("https://twitter.com/alhdizt","@alhdizt")</f>
        <v>@alhdizt</v>
      </c>
      <c r="C233" s="8" t="s">
        <v>49</v>
      </c>
      <c r="D233" s="8">
        <v>10</v>
      </c>
      <c r="E233" s="8">
        <v>0</v>
      </c>
      <c r="F233" s="8">
        <v>440</v>
      </c>
    </row>
    <row r="234" spans="1:6" ht="12.75">
      <c r="A234" s="8">
        <v>43905.326203703706</v>
      </c>
      <c r="B234" s="8" t="str">
        <f>HYPERLINK("https://twitter.com/AlFatih24678932","@AlFatih24678932")</f>
        <v>@AlFatih24678932</v>
      </c>
      <c r="C234" s="8" t="s">
        <v>7</v>
      </c>
      <c r="D234" s="8">
        <v>43</v>
      </c>
      <c r="E234" s="8">
        <v>0</v>
      </c>
      <c r="F234" s="8">
        <v>765</v>
      </c>
    </row>
    <row r="235" spans="1:6" ht="12.75">
      <c r="A235" s="8">
        <v>43905.325520833328</v>
      </c>
      <c r="B235" s="8" t="str">
        <f>HYPERLINK("https://twitter.com/editya77","@editya77")</f>
        <v>@editya77</v>
      </c>
      <c r="C235" s="8" t="s">
        <v>22</v>
      </c>
      <c r="D235" s="8">
        <v>3</v>
      </c>
      <c r="E235" s="8">
        <v>0</v>
      </c>
      <c r="F235" s="8">
        <v>863</v>
      </c>
    </row>
    <row r="236" spans="1:6" ht="12.75">
      <c r="A236" s="8">
        <v>43905.325509259259</v>
      </c>
      <c r="B236" s="8" t="str">
        <f>HYPERLINK("https://twitter.com/el_ehek","@el_ehek")</f>
        <v>@el_ehek</v>
      </c>
      <c r="C236" s="8" t="s">
        <v>125</v>
      </c>
      <c r="D236" s="8">
        <v>0</v>
      </c>
      <c r="E236" s="8">
        <v>0</v>
      </c>
      <c r="F236" s="8">
        <v>40</v>
      </c>
    </row>
    <row r="237" spans="1:6" ht="12.75">
      <c r="A237" s="8">
        <v>43905.32540509259</v>
      </c>
      <c r="B237" s="8" t="str">
        <f>HYPERLINK("https://twitter.com/Kirana____2","@Kirana____2")</f>
        <v>@Kirana____2</v>
      </c>
      <c r="C237" s="8" t="s">
        <v>126</v>
      </c>
      <c r="D237" s="8">
        <v>1</v>
      </c>
      <c r="E237" s="8">
        <v>0</v>
      </c>
      <c r="F237" s="8">
        <v>882</v>
      </c>
    </row>
    <row r="238" spans="1:6" ht="12.75">
      <c r="A238" s="8">
        <v>43905.325023148151</v>
      </c>
      <c r="B238" s="8" t="str">
        <f>HYPERLINK("https://twitter.com/LaingenLisa","@LaingenLisa")</f>
        <v>@LaingenLisa</v>
      </c>
      <c r="C238" s="8" t="s">
        <v>118</v>
      </c>
      <c r="D238" s="8">
        <v>2</v>
      </c>
      <c r="E238" s="8">
        <v>0</v>
      </c>
      <c r="F238" s="8">
        <v>3665</v>
      </c>
    </row>
    <row r="239" spans="1:6" ht="12.75">
      <c r="A239" s="8">
        <v>43905.324803240743</v>
      </c>
      <c r="B239" s="8" t="str">
        <f>HYPERLINK("https://twitter.com/Musannifsanusi","@Musannifsanusi")</f>
        <v>@Musannifsanusi</v>
      </c>
      <c r="C239" s="8" t="s">
        <v>7</v>
      </c>
      <c r="D239" s="8">
        <v>43</v>
      </c>
      <c r="E239" s="8">
        <v>0</v>
      </c>
      <c r="F239" s="8">
        <v>525</v>
      </c>
    </row>
    <row r="240" spans="1:6" ht="12.75">
      <c r="A240" s="8">
        <v>43905.324710648143</v>
      </c>
      <c r="B240" s="8" t="str">
        <f>HYPERLINK("https://twitter.com/CaptainIndones7","@CaptainIndones7")</f>
        <v>@CaptainIndones7</v>
      </c>
      <c r="C240" s="8" t="s">
        <v>7</v>
      </c>
      <c r="D240" s="8">
        <v>43</v>
      </c>
      <c r="E240" s="8">
        <v>0</v>
      </c>
      <c r="F240" s="8">
        <v>95</v>
      </c>
    </row>
    <row r="241" spans="1:6" ht="12.75">
      <c r="A241" s="8">
        <v>43905.324675925927</v>
      </c>
      <c r="B241" s="8" t="str">
        <f>HYPERLINK("https://twitter.com/galamedianews","@galamedianews")</f>
        <v>@galamedianews</v>
      </c>
      <c r="C241" s="8" t="s">
        <v>127</v>
      </c>
      <c r="D241" s="8">
        <v>0</v>
      </c>
      <c r="E241" s="8">
        <v>1</v>
      </c>
      <c r="F241" s="8">
        <v>13880</v>
      </c>
    </row>
    <row r="242" spans="1:6" ht="12.75">
      <c r="A242" s="8">
        <v>43905.324293981481</v>
      </c>
      <c r="B242" s="8" t="str">
        <f>HYPERLINK("https://twitter.com/liputan6dotcom","@liputan6dotcom")</f>
        <v>@liputan6dotcom</v>
      </c>
      <c r="C242" s="8" t="s">
        <v>128</v>
      </c>
      <c r="D242" s="8">
        <v>2</v>
      </c>
      <c r="E242" s="8">
        <v>10</v>
      </c>
      <c r="F242" s="8">
        <v>3642360</v>
      </c>
    </row>
    <row r="243" spans="1:6" ht="12.75">
      <c r="A243" s="8">
        <v>43905.324143518519</v>
      </c>
      <c r="B243" s="8" t="str">
        <f>HYPERLINK("https://twitter.com/baysampurna","@baysampurna")</f>
        <v>@baysampurna</v>
      </c>
      <c r="C243" s="8" t="s">
        <v>129</v>
      </c>
      <c r="D243" s="8">
        <v>0</v>
      </c>
      <c r="E243" s="8">
        <v>0</v>
      </c>
      <c r="F243" s="8">
        <v>425</v>
      </c>
    </row>
    <row r="244" spans="1:6" ht="12.75">
      <c r="A244" s="8">
        <v>43905.324050925927</v>
      </c>
      <c r="B244" s="8" t="str">
        <f>HYPERLINK("https://twitter.com/sarbunceu","@sarbunceu")</f>
        <v>@sarbunceu</v>
      </c>
      <c r="C244" s="8" t="s">
        <v>130</v>
      </c>
      <c r="D244" s="8">
        <v>0</v>
      </c>
      <c r="E244" s="8">
        <v>0</v>
      </c>
      <c r="F244" s="8">
        <v>424</v>
      </c>
    </row>
    <row r="245" spans="1:6" ht="12.75">
      <c r="A245" s="8">
        <v>43905.323923611111</v>
      </c>
      <c r="B245" s="8" t="str">
        <f>HYPERLINK("https://twitter.com/desidugu","@desidugu")</f>
        <v>@desidugu</v>
      </c>
      <c r="C245" s="8" t="s">
        <v>131</v>
      </c>
      <c r="D245" s="8">
        <v>0</v>
      </c>
      <c r="E245" s="8">
        <v>0</v>
      </c>
      <c r="F245" s="8">
        <v>27</v>
      </c>
    </row>
    <row r="246" spans="1:6" ht="12.75">
      <c r="A246" s="8">
        <v>43905.322766203702</v>
      </c>
      <c r="B246" s="8" t="str">
        <f>HYPERLINK("https://twitter.com/Gunadi84380182","@Gunadi84380182")</f>
        <v>@Gunadi84380182</v>
      </c>
      <c r="C246" s="8" t="s">
        <v>102</v>
      </c>
      <c r="D246" s="8">
        <v>55</v>
      </c>
      <c r="E246" s="8">
        <v>0</v>
      </c>
      <c r="F246" s="8">
        <v>78</v>
      </c>
    </row>
    <row r="247" spans="1:6" ht="12.75">
      <c r="A247" s="8">
        <v>43905.321851851855</v>
      </c>
      <c r="B247" s="8" t="str">
        <f>HYPERLINK("https://twitter.com/aliframadhani37","@aliframadhani37")</f>
        <v>@aliframadhani37</v>
      </c>
      <c r="C247" s="8" t="s">
        <v>113</v>
      </c>
      <c r="D247" s="8">
        <v>5</v>
      </c>
      <c r="E247" s="8">
        <v>0</v>
      </c>
      <c r="F247" s="8">
        <v>228</v>
      </c>
    </row>
    <row r="248" spans="1:6" ht="12.75">
      <c r="A248" s="8">
        <v>43905.321712962963</v>
      </c>
      <c r="B248" s="8" t="str">
        <f>HYPERLINK("https://twitter.com/ObaiIdon","@ObaiIdon")</f>
        <v>@ObaiIdon</v>
      </c>
      <c r="C248" s="8" t="s">
        <v>132</v>
      </c>
      <c r="D248" s="8">
        <v>0</v>
      </c>
      <c r="E248" s="8">
        <v>0</v>
      </c>
      <c r="F248" s="8">
        <v>192</v>
      </c>
    </row>
    <row r="249" spans="1:6" ht="12.75">
      <c r="A249" s="8">
        <v>43905.32166666667</v>
      </c>
      <c r="B249" s="8" t="str">
        <f>HYPERLINK("https://twitter.com/adipurwa74","@adipurwa74")</f>
        <v>@adipurwa74</v>
      </c>
      <c r="C249" s="8" t="s">
        <v>73</v>
      </c>
      <c r="D249" s="8">
        <v>3</v>
      </c>
      <c r="E249" s="8">
        <v>0</v>
      </c>
      <c r="F249" s="8">
        <v>704</v>
      </c>
    </row>
    <row r="250" spans="1:6" ht="12.75">
      <c r="A250" s="8">
        <v>43905.321562500001</v>
      </c>
      <c r="B250" s="8" t="str">
        <f>HYPERLINK("https://twitter.com/Gudang_Survivor","@Gudang_Survivor")</f>
        <v>@Gudang_Survivor</v>
      </c>
      <c r="C250" s="8" t="s">
        <v>42</v>
      </c>
      <c r="D250" s="8">
        <v>63</v>
      </c>
      <c r="E250" s="8">
        <v>0</v>
      </c>
      <c r="F250" s="8">
        <v>234</v>
      </c>
    </row>
    <row r="251" spans="1:6" ht="12.75">
      <c r="A251" s="8">
        <v>43905.321226851855</v>
      </c>
      <c r="B251" s="8" t="str">
        <f>HYPERLINK("https://twitter.com/ummi_radhiaas","@ummi_radhiaas")</f>
        <v>@ummi_radhiaas</v>
      </c>
      <c r="C251" s="8" t="s">
        <v>7</v>
      </c>
      <c r="D251" s="8">
        <v>43</v>
      </c>
      <c r="E251" s="8">
        <v>0</v>
      </c>
      <c r="F251" s="8">
        <v>340</v>
      </c>
    </row>
    <row r="252" spans="1:6" ht="12.75">
      <c r="A252" s="8">
        <v>43905.320625</v>
      </c>
      <c r="B252" s="8" t="str">
        <f>HYPERLINK("https://twitter.com/ObaiIdon","@ObaiIdon")</f>
        <v>@ObaiIdon</v>
      </c>
      <c r="C252" s="8" t="s">
        <v>133</v>
      </c>
      <c r="D252" s="8">
        <v>2</v>
      </c>
      <c r="E252" s="8">
        <v>2</v>
      </c>
      <c r="F252" s="8">
        <v>192</v>
      </c>
    </row>
    <row r="253" spans="1:6" ht="12.75">
      <c r="A253" s="8">
        <v>43905.320057870369</v>
      </c>
      <c r="B253" s="8" t="str">
        <f>HYPERLINK("https://twitter.com/mazhudiy","@mazhudiy")</f>
        <v>@mazhudiy</v>
      </c>
      <c r="C253" s="8" t="s">
        <v>134</v>
      </c>
      <c r="D253" s="8">
        <v>46</v>
      </c>
      <c r="E253" s="8">
        <v>0</v>
      </c>
      <c r="F253" s="8">
        <v>18</v>
      </c>
    </row>
    <row r="254" spans="1:6" ht="12.75">
      <c r="A254" s="8">
        <v>43905.319432870368</v>
      </c>
      <c r="B254" s="8" t="str">
        <f>HYPERLINK("https://twitter.com/andikaputra92","@andikaputra92")</f>
        <v>@andikaputra92</v>
      </c>
      <c r="C254" s="8" t="s">
        <v>7</v>
      </c>
      <c r="D254" s="8">
        <v>43</v>
      </c>
      <c r="E254" s="8">
        <v>0</v>
      </c>
      <c r="F254" s="8">
        <v>484</v>
      </c>
    </row>
    <row r="255" spans="1:6" ht="12.75">
      <c r="A255" s="8">
        <v>43905.319189814814</v>
      </c>
      <c r="B255" s="8" t="str">
        <f>HYPERLINK("https://twitter.com/DAROSAFONTANAL1","@DAROSAFONTANAL1")</f>
        <v>@DAROSAFONTANAL1</v>
      </c>
      <c r="C255" s="8" t="s">
        <v>135</v>
      </c>
      <c r="D255" s="8">
        <v>0</v>
      </c>
      <c r="E255" s="8">
        <v>0</v>
      </c>
      <c r="F255" s="8">
        <v>1208</v>
      </c>
    </row>
    <row r="256" spans="1:6" ht="12.75">
      <c r="A256" s="8">
        <v>43905.318877314814</v>
      </c>
      <c r="B256" s="8" t="str">
        <f>HYPERLINK("https://twitter.com/HsbFerdinan","@HsbFerdinan")</f>
        <v>@HsbFerdinan</v>
      </c>
      <c r="C256" s="8" t="s">
        <v>136</v>
      </c>
      <c r="D256" s="8">
        <v>2800</v>
      </c>
      <c r="E256" s="8">
        <v>0</v>
      </c>
      <c r="F256" s="8">
        <v>19</v>
      </c>
    </row>
    <row r="257" spans="1:6" ht="12.75">
      <c r="A257" s="8">
        <v>43905.318715277783</v>
      </c>
      <c r="B257" s="8" t="str">
        <f>HYPERLINK("https://twitter.com/Muler53400507","@Muler53400507")</f>
        <v>@Muler53400507</v>
      </c>
      <c r="C257" s="8" t="s">
        <v>137</v>
      </c>
      <c r="D257" s="8">
        <v>0</v>
      </c>
      <c r="E257" s="8">
        <v>0</v>
      </c>
      <c r="F257" s="8">
        <v>7</v>
      </c>
    </row>
    <row r="258" spans="1:6" ht="12.75">
      <c r="A258" s="8">
        <v>43905.318229166667</v>
      </c>
      <c r="B258" s="8" t="str">
        <f>HYPERLINK("https://twitter.com/KoboiBengek","@KoboiBengek")</f>
        <v>@KoboiBengek</v>
      </c>
      <c r="C258" s="8" t="s">
        <v>138</v>
      </c>
      <c r="D258" s="8">
        <v>6</v>
      </c>
      <c r="E258" s="8">
        <v>0</v>
      </c>
      <c r="F258" s="8">
        <v>2288</v>
      </c>
    </row>
    <row r="259" spans="1:6" ht="12.75">
      <c r="A259" s="8">
        <v>43905.317905092597</v>
      </c>
      <c r="B259" s="8" t="str">
        <f>HYPERLINK("https://twitter.com/primusrlw","@primusrlw")</f>
        <v>@primusrlw</v>
      </c>
      <c r="C259" s="8" t="s">
        <v>139</v>
      </c>
      <c r="D259" s="8">
        <v>0</v>
      </c>
      <c r="E259" s="8">
        <v>0</v>
      </c>
      <c r="F259" s="8">
        <v>278</v>
      </c>
    </row>
    <row r="260" spans="1:6" ht="12.75">
      <c r="A260" s="8">
        <v>43905.31722222222</v>
      </c>
      <c r="B260" s="8" t="str">
        <f>HYPERLINK("https://twitter.com/Ellajbr","@Ellajbr")</f>
        <v>@Ellajbr</v>
      </c>
      <c r="C260" s="8" t="s">
        <v>7</v>
      </c>
      <c r="D260" s="8">
        <v>43</v>
      </c>
      <c r="E260" s="8">
        <v>0</v>
      </c>
      <c r="F260" s="8">
        <v>117</v>
      </c>
    </row>
    <row r="261" spans="1:6" ht="12.75">
      <c r="A261" s="8">
        <v>43905.317002314812</v>
      </c>
      <c r="B261" s="8" t="str">
        <f>HYPERLINK("https://twitter.com/Heri52237312","@Heri52237312")</f>
        <v>@Heri52237312</v>
      </c>
      <c r="C261" s="8" t="s">
        <v>140</v>
      </c>
      <c r="D261" s="8">
        <v>0</v>
      </c>
      <c r="E261" s="8">
        <v>0</v>
      </c>
      <c r="F261" s="8">
        <v>0</v>
      </c>
    </row>
    <row r="262" spans="1:6" ht="12.75">
      <c r="A262" s="8">
        <v>43905.316122685181</v>
      </c>
      <c r="B262" s="8" t="str">
        <f>HYPERLINK("https://twitter.com/UjangHadha","@UjangHadha")</f>
        <v>@UjangHadha</v>
      </c>
      <c r="C262" s="8" t="s">
        <v>141</v>
      </c>
      <c r="D262" s="8">
        <v>0</v>
      </c>
      <c r="E262" s="8">
        <v>0</v>
      </c>
      <c r="F262" s="8">
        <v>132</v>
      </c>
    </row>
    <row r="263" spans="1:6" ht="12.75">
      <c r="A263" s="8">
        <v>43905.315706018519</v>
      </c>
      <c r="B263" s="8" t="str">
        <f>HYPERLINK("https://twitter.com/doniazani","@doniazani")</f>
        <v>@doniazani</v>
      </c>
      <c r="C263" s="8" t="s">
        <v>142</v>
      </c>
      <c r="D263" s="8">
        <v>0</v>
      </c>
      <c r="E263" s="8">
        <v>0</v>
      </c>
      <c r="F263" s="8">
        <v>533</v>
      </c>
    </row>
    <row r="264" spans="1:6" ht="12.75">
      <c r="A264" s="8">
        <v>43905.314791666664</v>
      </c>
      <c r="B264" s="8" t="str">
        <f>HYPERLINK("https://twitter.com/gombesus","@gombesus")</f>
        <v>@gombesus</v>
      </c>
      <c r="C264" s="8" t="s">
        <v>42</v>
      </c>
      <c r="D264" s="8">
        <v>63</v>
      </c>
      <c r="E264" s="8">
        <v>0</v>
      </c>
      <c r="F264" s="8">
        <v>2445</v>
      </c>
    </row>
    <row r="265" spans="1:6" ht="12.75">
      <c r="A265" s="8">
        <v>43905.314641203702</v>
      </c>
      <c r="B265" s="8" t="str">
        <f>HYPERLINK("https://twitter.com/penanegericom","@penanegericom")</f>
        <v>@penanegericom</v>
      </c>
      <c r="C265" s="8" t="s">
        <v>143</v>
      </c>
      <c r="D265" s="8">
        <v>0</v>
      </c>
      <c r="E265" s="8">
        <v>0</v>
      </c>
      <c r="F265" s="8">
        <v>69</v>
      </c>
    </row>
    <row r="266" spans="1:6" ht="12.75">
      <c r="A266" s="8">
        <v>43905.314629629633</v>
      </c>
      <c r="B266" s="8" t="str">
        <f>HYPERLINK("https://twitter.com/DAROSAFONTANAL1","@DAROSAFONTANAL1")</f>
        <v>@DAROSAFONTANAL1</v>
      </c>
      <c r="C266" s="8" t="s">
        <v>144</v>
      </c>
      <c r="D266" s="8">
        <v>0</v>
      </c>
      <c r="E266" s="8">
        <v>0</v>
      </c>
      <c r="F266" s="8">
        <v>1208</v>
      </c>
    </row>
    <row r="267" spans="1:6" ht="12.75">
      <c r="A267" s="8">
        <v>43905.314363425925</v>
      </c>
      <c r="B267" s="8" t="str">
        <f>HYPERLINK("https://twitter.com/menotsbray","@menotsbray")</f>
        <v>@menotsbray</v>
      </c>
      <c r="C267" s="8" t="s">
        <v>10</v>
      </c>
      <c r="D267" s="8">
        <v>51</v>
      </c>
      <c r="E267" s="8">
        <v>0</v>
      </c>
      <c r="F267" s="8">
        <v>228</v>
      </c>
    </row>
    <row r="268" spans="1:6" ht="12.75">
      <c r="A268" s="8">
        <v>43905.313425925924</v>
      </c>
      <c r="B268" s="8" t="str">
        <f>HYPERLINK("https://twitter.com/sikecilmarmut","@sikecilmarmut")</f>
        <v>@sikecilmarmut</v>
      </c>
      <c r="C268" s="8" t="s">
        <v>145</v>
      </c>
      <c r="D268" s="8">
        <v>12</v>
      </c>
      <c r="E268" s="8">
        <v>0</v>
      </c>
      <c r="F268" s="8">
        <v>2289</v>
      </c>
    </row>
    <row r="269" spans="1:6" ht="12.75">
      <c r="A269" s="8">
        <v>43905.313078703708</v>
      </c>
      <c r="B269" s="8" t="str">
        <f>HYPERLINK("https://twitter.com/penanegericom","@penanegericom")</f>
        <v>@penanegericom</v>
      </c>
      <c r="C269" s="8" t="s">
        <v>146</v>
      </c>
      <c r="D269" s="8">
        <v>0</v>
      </c>
      <c r="E269" s="8">
        <v>0</v>
      </c>
      <c r="F269" s="8">
        <v>69</v>
      </c>
    </row>
    <row r="270" spans="1:6" ht="12.75">
      <c r="A270" s="8">
        <v>43905.313067129631</v>
      </c>
      <c r="B270" s="8" t="str">
        <f>HYPERLINK("https://twitter.com/damario04","@damario04")</f>
        <v>@damario04</v>
      </c>
      <c r="C270" s="8" t="s">
        <v>147</v>
      </c>
      <c r="D270" s="8">
        <v>0</v>
      </c>
      <c r="E270" s="8">
        <v>0</v>
      </c>
      <c r="F270" s="8">
        <v>402</v>
      </c>
    </row>
    <row r="271" spans="1:6" ht="12.75">
      <c r="A271" s="8">
        <v>43905.311805555553</v>
      </c>
      <c r="B271" s="8" t="str">
        <f>HYPERLINK("https://twitter.com/_____Tobat","@_____Tobat")</f>
        <v>@_____Tobat</v>
      </c>
      <c r="C271" s="8" t="s">
        <v>10</v>
      </c>
      <c r="D271" s="8">
        <v>51</v>
      </c>
      <c r="E271" s="8">
        <v>0</v>
      </c>
      <c r="F271" s="8">
        <v>2458</v>
      </c>
    </row>
    <row r="272" spans="1:6" ht="12.75">
      <c r="A272" s="8">
        <v>43905.311261574076</v>
      </c>
      <c r="B272" s="8" t="str">
        <f>HYPERLINK("https://twitter.com/__MV_llestari__","@__MV_llestari__")</f>
        <v>@__MV_llestari__</v>
      </c>
      <c r="C272" s="8" t="s">
        <v>73</v>
      </c>
      <c r="D272" s="8">
        <v>3</v>
      </c>
      <c r="E272" s="8">
        <v>0</v>
      </c>
      <c r="F272" s="8">
        <v>10237</v>
      </c>
    </row>
    <row r="273" spans="1:6" ht="12.75">
      <c r="A273" s="8">
        <v>43905.310567129629</v>
      </c>
      <c r="B273" s="8" t="str">
        <f>HYPERLINK("https://twitter.com/tiyeowo","@tiyeowo")</f>
        <v>@tiyeowo</v>
      </c>
      <c r="C273" s="8" t="s">
        <v>148</v>
      </c>
      <c r="D273" s="8">
        <v>0</v>
      </c>
      <c r="E273" s="8">
        <v>0</v>
      </c>
      <c r="F273" s="8">
        <v>680</v>
      </c>
    </row>
    <row r="274" spans="1:6" ht="12.75">
      <c r="A274" s="8">
        <v>43905.310289351852</v>
      </c>
      <c r="B274" s="8" t="str">
        <f>HYPERLINK("https://twitter.com/fuad_alkaf","@fuad_alkaf")</f>
        <v>@fuad_alkaf</v>
      </c>
      <c r="C274" s="8" t="s">
        <v>13</v>
      </c>
      <c r="D274" s="8">
        <v>4</v>
      </c>
      <c r="E274" s="8">
        <v>0</v>
      </c>
      <c r="F274" s="8">
        <v>184</v>
      </c>
    </row>
    <row r="275" spans="1:6" ht="12.75">
      <c r="A275" s="8">
        <v>43905.310231481482</v>
      </c>
      <c r="B275" s="8" t="str">
        <f>HYPERLINK("https://twitter.com/indomiliter","@indomiliter")</f>
        <v>@indomiliter</v>
      </c>
      <c r="C275" s="8" t="s">
        <v>149</v>
      </c>
      <c r="D275" s="8">
        <v>0</v>
      </c>
      <c r="E275" s="8">
        <v>1</v>
      </c>
      <c r="F275" s="8">
        <v>6298</v>
      </c>
    </row>
    <row r="276" spans="1:6" ht="12.75">
      <c r="A276" s="8">
        <v>43905.30978009259</v>
      </c>
      <c r="B276" s="8" t="str">
        <f>HYPERLINK("https://twitter.com/Adhi_Djo","@Adhi_Djo")</f>
        <v>@Adhi_Djo</v>
      </c>
      <c r="C276" s="8" t="s">
        <v>10</v>
      </c>
      <c r="D276" s="8">
        <v>51</v>
      </c>
      <c r="E276" s="8">
        <v>0</v>
      </c>
      <c r="F276" s="8">
        <v>394</v>
      </c>
    </row>
    <row r="277" spans="1:6" ht="12.75">
      <c r="A277" s="8">
        <v>43905.309687500005</v>
      </c>
      <c r="B277" s="8" t="str">
        <f>HYPERLINK("https://twitter.com/GajahMada1290","@GajahMada1290")</f>
        <v>@GajahMada1290</v>
      </c>
      <c r="C277" s="8" t="s">
        <v>150</v>
      </c>
      <c r="D277" s="8">
        <v>1</v>
      </c>
      <c r="E277" s="8">
        <v>2</v>
      </c>
      <c r="F277" s="8">
        <v>1956</v>
      </c>
    </row>
    <row r="278" spans="1:6" ht="12.75">
      <c r="A278" s="8">
        <v>43905.308668981481</v>
      </c>
      <c r="B278" s="8" t="str">
        <f>HYPERLINK("https://twitter.com/salehandy","@salehandy")</f>
        <v>@salehandy</v>
      </c>
      <c r="C278" s="8" t="s">
        <v>151</v>
      </c>
      <c r="D278" s="8">
        <v>3</v>
      </c>
      <c r="E278" s="8">
        <v>5</v>
      </c>
      <c r="F278" s="8">
        <v>290</v>
      </c>
    </row>
    <row r="279" spans="1:6" ht="12.75">
      <c r="A279" s="8">
        <v>43905.308287037042</v>
      </c>
      <c r="B279" s="8" t="str">
        <f>HYPERLINK("https://twitter.com/Marhaen777","@Marhaen777")</f>
        <v>@Marhaen777</v>
      </c>
      <c r="C279" s="8" t="s">
        <v>102</v>
      </c>
      <c r="D279" s="8">
        <v>55</v>
      </c>
      <c r="E279" s="8">
        <v>0</v>
      </c>
      <c r="F279" s="8">
        <v>1319</v>
      </c>
    </row>
    <row r="280" spans="1:6" ht="12.75">
      <c r="A280" s="8">
        <v>43905.308206018519</v>
      </c>
      <c r="B280" s="8" t="str">
        <f>HYPERLINK("https://twitter.com/hendrickliem","@hendrickliem")</f>
        <v>@hendrickliem</v>
      </c>
      <c r="C280" s="8" t="s">
        <v>22</v>
      </c>
      <c r="D280" s="8">
        <v>3</v>
      </c>
      <c r="E280" s="8">
        <v>0</v>
      </c>
      <c r="F280" s="8">
        <v>1010</v>
      </c>
    </row>
    <row r="281" spans="1:6" ht="12.75">
      <c r="A281" s="8">
        <v>43905.307905092588</v>
      </c>
      <c r="B281" s="8" t="str">
        <f>HYPERLINK("https://twitter.com/sandmanindo","@sandmanindo")</f>
        <v>@sandmanindo</v>
      </c>
      <c r="C281" s="8" t="s">
        <v>152</v>
      </c>
      <c r="D281" s="8">
        <v>2</v>
      </c>
      <c r="E281" s="8">
        <v>0</v>
      </c>
      <c r="F281" s="8">
        <v>399</v>
      </c>
    </row>
    <row r="282" spans="1:6" ht="12.75">
      <c r="A282" s="8">
        <v>43905.307708333334</v>
      </c>
      <c r="B282" s="8" t="str">
        <f>HYPERLINK("https://twitter.com/SCISTORE_M2M","@SCISTORE_M2M")</f>
        <v>@SCISTORE_M2M</v>
      </c>
      <c r="C282" s="8" t="s">
        <v>19</v>
      </c>
      <c r="D282" s="8">
        <v>25</v>
      </c>
      <c r="E282" s="8">
        <v>0</v>
      </c>
      <c r="F282" s="8">
        <v>732</v>
      </c>
    </row>
    <row r="283" spans="1:6" ht="12.75">
      <c r="A283" s="8">
        <v>43905.306550925925</v>
      </c>
      <c r="B283" s="8" t="str">
        <f>HYPERLINK("https://twitter.com/salehandy","@salehandy")</f>
        <v>@salehandy</v>
      </c>
      <c r="C283" s="8" t="s">
        <v>153</v>
      </c>
      <c r="D283" s="8">
        <v>0</v>
      </c>
      <c r="E283" s="8">
        <v>0</v>
      </c>
      <c r="F283" s="8">
        <v>290</v>
      </c>
    </row>
    <row r="284" spans="1:6" ht="12.75">
      <c r="A284" s="8">
        <v>43905.306539351848</v>
      </c>
      <c r="B284" s="8" t="str">
        <f>HYPERLINK("https://twitter.com/Jamhur92403284","@Jamhur92403284")</f>
        <v>@Jamhur92403284</v>
      </c>
      <c r="C284" s="8" t="s">
        <v>7</v>
      </c>
      <c r="D284" s="8">
        <v>43</v>
      </c>
      <c r="E284" s="8">
        <v>0</v>
      </c>
      <c r="F284" s="8">
        <v>237</v>
      </c>
    </row>
    <row r="285" spans="1:6" ht="12.75">
      <c r="A285" s="8">
        <v>43905.306192129632</v>
      </c>
      <c r="B285" s="8" t="str">
        <f>HYPERLINK("https://twitter.com/wisanggeni_084","@wisanggeni_084")</f>
        <v>@wisanggeni_084</v>
      </c>
      <c r="C285" s="8" t="s">
        <v>22</v>
      </c>
      <c r="D285" s="8">
        <v>3</v>
      </c>
      <c r="E285" s="8">
        <v>0</v>
      </c>
      <c r="F285" s="8">
        <v>18316</v>
      </c>
    </row>
    <row r="286" spans="1:6" ht="12.75">
      <c r="A286" s="8">
        <v>43905.306145833332</v>
      </c>
      <c r="B286" s="8" t="str">
        <f>HYPERLINK("https://twitter.com/kalap_corona","@kalap_corona")</f>
        <v>@kalap_corona</v>
      </c>
      <c r="C286" s="8" t="s">
        <v>154</v>
      </c>
      <c r="D286" s="8">
        <v>0</v>
      </c>
      <c r="E286" s="8">
        <v>0</v>
      </c>
      <c r="F286" s="8">
        <v>0</v>
      </c>
    </row>
    <row r="287" spans="1:6" ht="12.75">
      <c r="A287" s="8">
        <v>43905.305914351848</v>
      </c>
      <c r="B287" s="8" t="str">
        <f>HYPERLINK("https://twitter.com/rocketrever","@rocketrever")</f>
        <v>@rocketrever</v>
      </c>
      <c r="C287" s="8" t="s">
        <v>155</v>
      </c>
      <c r="D287" s="8">
        <v>2</v>
      </c>
      <c r="E287" s="8">
        <v>0</v>
      </c>
      <c r="F287" s="8">
        <v>9</v>
      </c>
    </row>
    <row r="288" spans="1:6" ht="12.75">
      <c r="A288" s="8">
        <v>43905.305219907408</v>
      </c>
      <c r="B288" s="8" t="str">
        <f>HYPERLINK("https://twitter.com/hans2u_ie","@hans2u_ie")</f>
        <v>@hans2u_ie</v>
      </c>
      <c r="C288" s="8" t="s">
        <v>156</v>
      </c>
      <c r="D288" s="8">
        <v>0</v>
      </c>
      <c r="E288" s="8">
        <v>0</v>
      </c>
      <c r="F288" s="8">
        <v>71</v>
      </c>
    </row>
    <row r="289" spans="1:6" ht="12.75">
      <c r="A289" s="8">
        <v>43905.305162037039</v>
      </c>
      <c r="B289" s="8" t="str">
        <f>HYPERLINK("https://twitter.com/nana040461","@nana040461")</f>
        <v>@nana040461</v>
      </c>
      <c r="C289" s="8" t="s">
        <v>7</v>
      </c>
      <c r="D289" s="8">
        <v>43</v>
      </c>
      <c r="E289" s="8">
        <v>0</v>
      </c>
      <c r="F289" s="8">
        <v>1918</v>
      </c>
    </row>
    <row r="290" spans="1:6" ht="12.75">
      <c r="A290" s="8">
        <v>43905.304594907408</v>
      </c>
      <c r="B290" s="8" t="str">
        <f>HYPERLINK("https://twitter.com/GajahMada1290","@GajahMada1290")</f>
        <v>@GajahMada1290</v>
      </c>
      <c r="C290" s="8" t="s">
        <v>157</v>
      </c>
      <c r="D290" s="8">
        <v>0</v>
      </c>
      <c r="E290" s="8">
        <v>1</v>
      </c>
      <c r="F290" s="8">
        <v>1956</v>
      </c>
    </row>
    <row r="291" spans="1:6" ht="12.75">
      <c r="A291" s="8">
        <v>43905.304594907408</v>
      </c>
      <c r="B291" s="8" t="str">
        <f>HYPERLINK("https://twitter.com/Ajiii58727382","@Ajiii58727382")</f>
        <v>@Ajiii58727382</v>
      </c>
      <c r="C291" s="8" t="s">
        <v>158</v>
      </c>
      <c r="D291" s="8">
        <v>20</v>
      </c>
      <c r="E291" s="8">
        <v>0</v>
      </c>
      <c r="F291" s="8">
        <v>3</v>
      </c>
    </row>
    <row r="292" spans="1:6" ht="12.75">
      <c r="A292" s="8">
        <v>43905.304351851853</v>
      </c>
      <c r="B292" s="8" t="str">
        <f>HYPERLINK("https://twitter.com/idn_cf","@idn_cf")</f>
        <v>@idn_cf</v>
      </c>
      <c r="C292" s="8" t="s">
        <v>159</v>
      </c>
      <c r="D292" s="8">
        <v>3</v>
      </c>
      <c r="E292" s="8">
        <v>6</v>
      </c>
      <c r="F292" s="8">
        <v>889</v>
      </c>
    </row>
    <row r="293" spans="1:6" ht="12.75">
      <c r="A293" s="8">
        <v>43905.303784722222</v>
      </c>
      <c r="B293" s="8" t="str">
        <f>HYPERLINK("https://twitter.com/MFeisalReza","@MFeisalReza")</f>
        <v>@MFeisalReza</v>
      </c>
      <c r="C293" s="8" t="s">
        <v>7</v>
      </c>
      <c r="D293" s="8">
        <v>43</v>
      </c>
      <c r="E293" s="8">
        <v>0</v>
      </c>
      <c r="F293" s="8">
        <v>779</v>
      </c>
    </row>
    <row r="294" spans="1:6" ht="12.75">
      <c r="A294" s="8">
        <v>43905.303715277776</v>
      </c>
      <c r="B294" s="8" t="str">
        <f>HYPERLINK("https://twitter.com/HoofdbureauID","@HoofdbureauID")</f>
        <v>@HoofdbureauID</v>
      </c>
      <c r="C294" s="8" t="s">
        <v>10</v>
      </c>
      <c r="D294" s="8">
        <v>51</v>
      </c>
      <c r="E294" s="8">
        <v>0</v>
      </c>
      <c r="F294" s="8">
        <v>11575</v>
      </c>
    </row>
    <row r="295" spans="1:6" ht="12.75">
      <c r="A295" s="8">
        <v>43905.303449074076</v>
      </c>
      <c r="B295" s="8" t="str">
        <f>HYPERLINK("https://twitter.com/visitortwt1","@visitortwt1")</f>
        <v>@visitortwt1</v>
      </c>
      <c r="C295" s="8" t="s">
        <v>10</v>
      </c>
      <c r="D295" s="8">
        <v>51</v>
      </c>
      <c r="E295" s="8">
        <v>0</v>
      </c>
      <c r="F295" s="8">
        <v>417</v>
      </c>
    </row>
    <row r="296" spans="1:6" ht="12.75">
      <c r="A296" s="8">
        <v>43905.303182870368</v>
      </c>
      <c r="B296" s="8" t="str">
        <f>HYPERLINK("https://twitter.com/ihsan_riz","@ihsan_riz")</f>
        <v>@ihsan_riz</v>
      </c>
      <c r="C296" s="8" t="s">
        <v>160</v>
      </c>
      <c r="D296" s="8">
        <v>0</v>
      </c>
      <c r="E296" s="8">
        <v>0</v>
      </c>
      <c r="F296" s="8">
        <v>74</v>
      </c>
    </row>
    <row r="297" spans="1:6" ht="12.75">
      <c r="A297" s="8">
        <v>43905.303148148145</v>
      </c>
      <c r="B297" s="8" t="str">
        <f>HYPERLINK("https://twitter.com/Novirana1","@Novirana1")</f>
        <v>@Novirana1</v>
      </c>
      <c r="C297" s="8" t="s">
        <v>7</v>
      </c>
      <c r="D297" s="8">
        <v>43</v>
      </c>
      <c r="E297" s="8">
        <v>0</v>
      </c>
      <c r="F297" s="8">
        <v>607</v>
      </c>
    </row>
    <row r="298" spans="1:6" ht="12.75">
      <c r="A298" s="8">
        <v>43905.303043981483</v>
      </c>
      <c r="B298" s="8" t="str">
        <f>HYPERLINK("https://twitter.com/abdulla41734805","@abdulla41734805")</f>
        <v>@abdulla41734805</v>
      </c>
      <c r="C298" s="8" t="s">
        <v>161</v>
      </c>
      <c r="D298" s="8">
        <v>0</v>
      </c>
      <c r="E298" s="8">
        <v>0</v>
      </c>
      <c r="F298" s="8">
        <v>19</v>
      </c>
    </row>
    <row r="299" spans="1:6" ht="12.75">
      <c r="A299" s="8">
        <v>43905.302870370375</v>
      </c>
      <c r="B299" s="8" t="str">
        <f>HYPERLINK("https://twitter.com/beritalimacom","@beritalimacom")</f>
        <v>@beritalimacom</v>
      </c>
      <c r="C299" s="8" t="s">
        <v>143</v>
      </c>
      <c r="D299" s="8">
        <v>0</v>
      </c>
      <c r="E299" s="8">
        <v>0</v>
      </c>
      <c r="F299" s="8">
        <v>1459</v>
      </c>
    </row>
    <row r="300" spans="1:6" ht="12.75">
      <c r="A300" s="8">
        <v>43905.30259259259</v>
      </c>
      <c r="B300" s="8" t="str">
        <f>HYPERLINK("https://twitter.com/goldgl0rygospel","@goldgl0rygospel")</f>
        <v>@goldgl0rygospel</v>
      </c>
      <c r="C300" s="8" t="s">
        <v>162</v>
      </c>
      <c r="D300" s="8">
        <v>155</v>
      </c>
      <c r="E300" s="8">
        <v>0</v>
      </c>
      <c r="F300" s="8">
        <v>4</v>
      </c>
    </row>
    <row r="301" spans="1:6" ht="12.75">
      <c r="A301" s="8">
        <v>43905.302476851852</v>
      </c>
      <c r="B301" s="8" t="str">
        <f>HYPERLINK("https://twitter.com/benkuswardhana","@benkuswardhana")</f>
        <v>@benkuswardhana</v>
      </c>
      <c r="C301" s="8" t="s">
        <v>7</v>
      </c>
      <c r="D301" s="8">
        <v>43</v>
      </c>
      <c r="E301" s="8">
        <v>0</v>
      </c>
      <c r="F301" s="8">
        <v>55</v>
      </c>
    </row>
    <row r="302" spans="1:6" ht="12.75">
      <c r="A302" s="8">
        <v>43905.298136574071</v>
      </c>
      <c r="B302" s="8" t="str">
        <f>HYPERLINK("https://twitter.com/airlangga65","@airlangga65")</f>
        <v>@airlangga65</v>
      </c>
      <c r="C302" s="8" t="s">
        <v>163</v>
      </c>
      <c r="D302" s="8">
        <v>0</v>
      </c>
      <c r="E302" s="8">
        <v>0</v>
      </c>
      <c r="F302" s="8">
        <v>38</v>
      </c>
    </row>
    <row r="303" spans="1:6" ht="12.75">
      <c r="A303" s="8">
        <v>43905.298090277778</v>
      </c>
      <c r="B303" s="8" t="str">
        <f>HYPERLINK("https://twitter.com/idham_doang","@idham_doang")</f>
        <v>@idham_doang</v>
      </c>
      <c r="C303" s="8" t="s">
        <v>164</v>
      </c>
      <c r="D303" s="8">
        <v>0</v>
      </c>
      <c r="E303" s="8">
        <v>0</v>
      </c>
      <c r="F303" s="8">
        <v>145</v>
      </c>
    </row>
    <row r="304" spans="1:6" ht="12.75">
      <c r="A304" s="8">
        <v>43905.298067129625</v>
      </c>
      <c r="B304" s="8" t="str">
        <f>HYPERLINK("https://twitter.com/ayubudiarjo","@ayubudiarjo")</f>
        <v>@ayubudiarjo</v>
      </c>
      <c r="C304" s="8" t="s">
        <v>7</v>
      </c>
      <c r="D304" s="8">
        <v>19</v>
      </c>
      <c r="E304" s="8">
        <v>0</v>
      </c>
      <c r="F304" s="8">
        <v>488</v>
      </c>
    </row>
    <row r="305" spans="1:6" ht="12.75">
      <c r="A305" s="8">
        <v>43905.297893518524</v>
      </c>
      <c r="B305" s="8" t="str">
        <f>HYPERLINK("https://twitter.com/hadi262","@hadi262")</f>
        <v>@hadi262</v>
      </c>
      <c r="C305" s="8" t="s">
        <v>7</v>
      </c>
      <c r="D305" s="8">
        <v>19</v>
      </c>
      <c r="E305" s="8">
        <v>0</v>
      </c>
      <c r="F305" s="8">
        <v>412</v>
      </c>
    </row>
    <row r="306" spans="1:6" ht="12.75">
      <c r="A306" s="8">
        <v>43905.297754629632</v>
      </c>
      <c r="B306" s="8" t="str">
        <f>HYPERLINK("https://twitter.com/wiriantowidjaya","@wiriantowidjaya")</f>
        <v>@wiriantowidjaya</v>
      </c>
      <c r="C306" s="8" t="s">
        <v>10</v>
      </c>
      <c r="D306" s="8">
        <v>39</v>
      </c>
      <c r="E306" s="8">
        <v>0</v>
      </c>
      <c r="F306" s="8">
        <v>1581</v>
      </c>
    </row>
    <row r="307" spans="1:6" ht="12.75">
      <c r="A307" s="8">
        <v>43905.297083333338</v>
      </c>
      <c r="B307" s="8" t="str">
        <f>HYPERLINK("https://twitter.com/Rian9G","@Rian9G")</f>
        <v>@Rian9G</v>
      </c>
      <c r="C307" s="8" t="s">
        <v>7</v>
      </c>
      <c r="D307" s="8">
        <v>19</v>
      </c>
      <c r="E307" s="8">
        <v>0</v>
      </c>
      <c r="F307" s="8">
        <v>4849</v>
      </c>
    </row>
    <row r="308" spans="1:6" ht="12.75">
      <c r="A308" s="8">
        <v>43905.296469907407</v>
      </c>
      <c r="B308" s="8" t="str">
        <f>HYPERLINK("https://twitter.com/sugianes31","@sugianes31")</f>
        <v>@sugianes31</v>
      </c>
      <c r="C308" s="8" t="s">
        <v>107</v>
      </c>
      <c r="D308" s="8">
        <v>48</v>
      </c>
      <c r="E308" s="8">
        <v>0</v>
      </c>
      <c r="F308" s="8">
        <v>212</v>
      </c>
    </row>
    <row r="309" spans="1:6" ht="12.75">
      <c r="A309" s="8">
        <v>43905.296342592592</v>
      </c>
      <c r="B309" s="8" t="str">
        <f>HYPERLINK("https://twitter.com/RakdjatDjelata","@RakdjatDjelata")</f>
        <v>@RakdjatDjelata</v>
      </c>
      <c r="C309" s="8" t="s">
        <v>7</v>
      </c>
      <c r="D309" s="8">
        <v>19</v>
      </c>
      <c r="E309" s="8">
        <v>0</v>
      </c>
      <c r="F309" s="8">
        <v>3415</v>
      </c>
    </row>
    <row r="310" spans="1:6" ht="12.75">
      <c r="A310" s="8">
        <v>43905.295856481476</v>
      </c>
      <c r="B310" s="8" t="str">
        <f>HYPERLINK("https://twitter.com/SamrohSamaon","@SamrohSamaon")</f>
        <v>@SamrohSamaon</v>
      </c>
      <c r="C310" s="8" t="s">
        <v>165</v>
      </c>
      <c r="D310" s="8">
        <v>137</v>
      </c>
      <c r="E310" s="8">
        <v>0</v>
      </c>
      <c r="F310" s="8">
        <v>327</v>
      </c>
    </row>
    <row r="311" spans="1:6" ht="12.75">
      <c r="A311" s="8">
        <v>43905.295706018514</v>
      </c>
      <c r="B311" s="8" t="str">
        <f>HYPERLINK("https://twitter.com/damario04","@damario04")</f>
        <v>@damario04</v>
      </c>
      <c r="C311" s="8" t="s">
        <v>166</v>
      </c>
      <c r="D311" s="8">
        <v>0</v>
      </c>
      <c r="E311" s="8">
        <v>0</v>
      </c>
      <c r="F311" s="8">
        <v>402</v>
      </c>
    </row>
    <row r="312" spans="1:6" ht="12.75">
      <c r="A312" s="8">
        <v>43905.295601851853</v>
      </c>
      <c r="B312" s="8" t="str">
        <f>HYPERLINK("https://twitter.com/Sayidnurahaqis","@Sayidnurahaqis")</f>
        <v>@Sayidnurahaqis</v>
      </c>
      <c r="C312" s="8" t="s">
        <v>54</v>
      </c>
      <c r="D312" s="8">
        <v>98</v>
      </c>
      <c r="E312" s="8">
        <v>0</v>
      </c>
      <c r="F312" s="8">
        <v>722</v>
      </c>
    </row>
    <row r="313" spans="1:6" ht="12.75">
      <c r="A313" s="8">
        <v>43905.293888888889</v>
      </c>
      <c r="B313" s="8" t="str">
        <f>HYPERLINK("https://twitter.com/Fajar_RAR","@Fajar_RAR")</f>
        <v>@Fajar_RAR</v>
      </c>
      <c r="C313" s="8" t="s">
        <v>7</v>
      </c>
      <c r="D313" s="8">
        <v>19</v>
      </c>
      <c r="E313" s="8">
        <v>0</v>
      </c>
      <c r="F313" s="8">
        <v>645</v>
      </c>
    </row>
    <row r="314" spans="1:6" ht="12.75">
      <c r="A314" s="8">
        <v>43905.293576388889</v>
      </c>
      <c r="B314" s="8" t="str">
        <f>HYPERLINK("https://twitter.com/akmalmursid1","@akmalmursid1")</f>
        <v>@akmalmursid1</v>
      </c>
      <c r="C314" s="8" t="s">
        <v>167</v>
      </c>
      <c r="D314" s="8">
        <v>0</v>
      </c>
      <c r="E314" s="8">
        <v>0</v>
      </c>
      <c r="F314" s="8">
        <v>130</v>
      </c>
    </row>
    <row r="315" spans="1:6" ht="12.75">
      <c r="A315" s="8">
        <v>43905.293414351851</v>
      </c>
      <c r="B315" s="8" t="str">
        <f>HYPERLINK("https://twitter.com/Ukhtaaa","@Ukhtaaa")</f>
        <v>@Ukhtaaa</v>
      </c>
      <c r="C315" s="8" t="s">
        <v>168</v>
      </c>
      <c r="D315" s="8">
        <v>1</v>
      </c>
      <c r="E315" s="8">
        <v>0</v>
      </c>
      <c r="F315" s="8">
        <v>10</v>
      </c>
    </row>
    <row r="316" spans="1:6" ht="12.75">
      <c r="A316" s="8">
        <v>43905.293321759258</v>
      </c>
      <c r="B316" s="8" t="str">
        <f>HYPERLINK("https://twitter.com/hendrickliem","@hendrickliem")</f>
        <v>@hendrickliem</v>
      </c>
      <c r="C316" s="8" t="s">
        <v>169</v>
      </c>
      <c r="D316" s="8">
        <v>0</v>
      </c>
      <c r="E316" s="8">
        <v>0</v>
      </c>
      <c r="F316" s="8">
        <v>1009</v>
      </c>
    </row>
    <row r="317" spans="1:6" ht="12.75">
      <c r="A317" s="8">
        <v>43905.293275462958</v>
      </c>
      <c r="B317" s="8" t="str">
        <f>HYPERLINK("https://twitter.com/urip_murup","@urip_murup")</f>
        <v>@urip_murup</v>
      </c>
      <c r="C317" s="8" t="s">
        <v>170</v>
      </c>
      <c r="D317" s="8">
        <v>9</v>
      </c>
      <c r="E317" s="8">
        <v>0</v>
      </c>
      <c r="F317" s="8">
        <v>240</v>
      </c>
    </row>
    <row r="318" spans="1:6" ht="12.75">
      <c r="A318" s="8">
        <v>43905.293182870373</v>
      </c>
      <c r="B318" s="8" t="str">
        <f>HYPERLINK("https://twitter.com/Riskonabdullah","@Riskonabdullah")</f>
        <v>@Riskonabdullah</v>
      </c>
      <c r="C318" s="8" t="s">
        <v>7</v>
      </c>
      <c r="D318" s="8">
        <v>19</v>
      </c>
      <c r="E318" s="8">
        <v>0</v>
      </c>
      <c r="F318" s="8">
        <v>1150</v>
      </c>
    </row>
    <row r="319" spans="1:6" ht="12.75">
      <c r="A319" s="8">
        <v>43905.293171296296</v>
      </c>
      <c r="B319" s="8" t="str">
        <f>HYPERLINK("https://twitter.com/nisriinaasalwa1","@nisriinaasalwa1")</f>
        <v>@nisriinaasalwa1</v>
      </c>
      <c r="C319" s="8" t="s">
        <v>162</v>
      </c>
      <c r="D319" s="8">
        <v>154</v>
      </c>
      <c r="E319" s="8">
        <v>0</v>
      </c>
      <c r="F319" s="8">
        <v>46</v>
      </c>
    </row>
    <row r="320" spans="1:6" ht="12.75">
      <c r="A320" s="8">
        <v>43905.293136574073</v>
      </c>
      <c r="B320" s="8" t="str">
        <f>HYPERLINK("https://twitter.com/hendrickliem","@hendrickliem")</f>
        <v>@hendrickliem</v>
      </c>
      <c r="C320" s="8" t="s">
        <v>171</v>
      </c>
      <c r="D320" s="8">
        <v>0</v>
      </c>
      <c r="E320" s="8">
        <v>0</v>
      </c>
      <c r="F320" s="8">
        <v>1009</v>
      </c>
    </row>
    <row r="321" spans="1:6" ht="12.75">
      <c r="A321" s="8">
        <v>43905.291828703703</v>
      </c>
      <c r="B321" s="8" t="str">
        <f>HYPERLINK("https://twitter.com/AEPishere","@AEPishere")</f>
        <v>@AEPishere</v>
      </c>
      <c r="C321" s="8" t="s">
        <v>40</v>
      </c>
      <c r="D321" s="8">
        <v>2</v>
      </c>
      <c r="E321" s="8">
        <v>0</v>
      </c>
      <c r="F321" s="8">
        <v>3004</v>
      </c>
    </row>
    <row r="322" spans="1:6" ht="12.75">
      <c r="A322" s="8">
        <v>43905.29178240741</v>
      </c>
      <c r="B322" s="8" t="str">
        <f>HYPERLINK("https://twitter.com/hati_irwan","@hati_irwan")</f>
        <v>@hati_irwan</v>
      </c>
      <c r="C322" s="8" t="s">
        <v>7</v>
      </c>
      <c r="D322" s="8">
        <v>19</v>
      </c>
      <c r="E322" s="8">
        <v>0</v>
      </c>
      <c r="F322" s="8">
        <v>61</v>
      </c>
    </row>
    <row r="323" spans="1:6" ht="12.75">
      <c r="A323" s="8">
        <v>43905.291712962964</v>
      </c>
      <c r="B323" s="8" t="str">
        <f>HYPERLINK("https://twitter.com/MatMer2024","@MatMer2024")</f>
        <v>@MatMer2024</v>
      </c>
      <c r="C323" s="8" t="s">
        <v>172</v>
      </c>
      <c r="D323" s="8">
        <v>0</v>
      </c>
      <c r="E323" s="8">
        <v>0</v>
      </c>
      <c r="F323" s="8">
        <v>1</v>
      </c>
    </row>
    <row r="324" spans="1:6" ht="12.75">
      <c r="A324" s="8">
        <v>43905.291643518518</v>
      </c>
      <c r="B324" s="8" t="str">
        <f>HYPERLINK("https://twitter.com/Beritasatu","@Beritasatu")</f>
        <v>@Beritasatu</v>
      </c>
      <c r="C324" s="8" t="s">
        <v>173</v>
      </c>
      <c r="D324" s="8">
        <v>2</v>
      </c>
      <c r="E324" s="8">
        <v>2</v>
      </c>
      <c r="F324" s="8">
        <v>619512</v>
      </c>
    </row>
    <row r="325" spans="1:6" ht="12.75">
      <c r="A325" s="8">
        <v>43905.29006944444</v>
      </c>
      <c r="B325" s="8" t="str">
        <f t="shared" ref="B325:B330" si="3">HYPERLINK("https://twitter.com/pesanbijakk","@pesanbijakk")</f>
        <v>@pesanbijakk</v>
      </c>
      <c r="C325" s="8" t="s">
        <v>174</v>
      </c>
      <c r="D325" s="8">
        <v>1</v>
      </c>
      <c r="E325" s="8">
        <v>0</v>
      </c>
      <c r="F325" s="8">
        <v>94033</v>
      </c>
    </row>
    <row r="326" spans="1:6" ht="12.75">
      <c r="A326" s="8">
        <v>43905.289606481485</v>
      </c>
      <c r="B326" s="8" t="str">
        <f t="shared" si="3"/>
        <v>@pesanbijakk</v>
      </c>
      <c r="C326" s="8" t="s">
        <v>175</v>
      </c>
      <c r="D326" s="8">
        <v>1</v>
      </c>
      <c r="E326" s="8">
        <v>0</v>
      </c>
      <c r="F326" s="8">
        <v>94033</v>
      </c>
    </row>
    <row r="327" spans="1:6" ht="12.75">
      <c r="A327" s="8">
        <v>43905.289270833338</v>
      </c>
      <c r="B327" s="8" t="str">
        <f t="shared" si="3"/>
        <v>@pesanbijakk</v>
      </c>
      <c r="C327" s="8" t="s">
        <v>176</v>
      </c>
      <c r="D327" s="8">
        <v>1</v>
      </c>
      <c r="E327" s="8">
        <v>0</v>
      </c>
      <c r="F327" s="8">
        <v>94033</v>
      </c>
    </row>
    <row r="328" spans="1:6" ht="12.75">
      <c r="A328" s="8">
        <v>43905.289166666669</v>
      </c>
      <c r="B328" s="8" t="str">
        <f t="shared" si="3"/>
        <v>@pesanbijakk</v>
      </c>
      <c r="C328" s="8" t="s">
        <v>177</v>
      </c>
      <c r="D328" s="8">
        <v>1</v>
      </c>
      <c r="E328" s="8">
        <v>0</v>
      </c>
      <c r="F328" s="8">
        <v>94033</v>
      </c>
    </row>
    <row r="329" spans="1:6" ht="12.75">
      <c r="A329" s="8">
        <v>43905.289143518516</v>
      </c>
      <c r="B329" s="8" t="str">
        <f t="shared" si="3"/>
        <v>@pesanbijakk</v>
      </c>
      <c r="C329" s="8" t="s">
        <v>178</v>
      </c>
      <c r="D329" s="8">
        <v>1</v>
      </c>
      <c r="E329" s="8">
        <v>0</v>
      </c>
      <c r="F329" s="8">
        <v>94033</v>
      </c>
    </row>
    <row r="330" spans="1:6" ht="12.75">
      <c r="A330" s="8">
        <v>43905.28907407407</v>
      </c>
      <c r="B330" s="8" t="str">
        <f t="shared" si="3"/>
        <v>@pesanbijakk</v>
      </c>
      <c r="C330" s="8" t="s">
        <v>179</v>
      </c>
      <c r="D330" s="8">
        <v>1</v>
      </c>
      <c r="E330" s="8">
        <v>0</v>
      </c>
      <c r="F330" s="8">
        <v>94033</v>
      </c>
    </row>
    <row r="331" spans="1:6" ht="12.75">
      <c r="A331" s="8">
        <v>43905.288368055553</v>
      </c>
      <c r="B331" s="8" t="str">
        <f>HYPERLINK("https://twitter.com/kalap_corona","@kalap_corona")</f>
        <v>@kalap_corona</v>
      </c>
      <c r="C331" s="8" t="s">
        <v>180</v>
      </c>
      <c r="D331" s="8">
        <v>0</v>
      </c>
      <c r="E331" s="8">
        <v>0</v>
      </c>
      <c r="F331" s="8">
        <v>0</v>
      </c>
    </row>
    <row r="332" spans="1:6" ht="12.75">
      <c r="A332" s="8">
        <v>43905.288321759261</v>
      </c>
      <c r="B332" s="8" t="str">
        <f>HYPERLINK("https://twitter.com/ircham_syah","@ircham_syah")</f>
        <v>@ircham_syah</v>
      </c>
      <c r="C332" s="8" t="s">
        <v>102</v>
      </c>
      <c r="D332" s="8">
        <v>51</v>
      </c>
      <c r="E332" s="8">
        <v>0</v>
      </c>
      <c r="F332" s="8">
        <v>470</v>
      </c>
    </row>
    <row r="333" spans="1:6" ht="12.75">
      <c r="A333" s="8">
        <v>43905.288217592592</v>
      </c>
      <c r="B333" s="8" t="str">
        <f>HYPERLINK("https://twitter.com/HidayatRaid","@HidayatRaid")</f>
        <v>@HidayatRaid</v>
      </c>
      <c r="C333" s="8" t="s">
        <v>7</v>
      </c>
      <c r="D333" s="8">
        <v>19</v>
      </c>
      <c r="E333" s="8">
        <v>0</v>
      </c>
      <c r="F333" s="8">
        <v>966</v>
      </c>
    </row>
    <row r="334" spans="1:6" ht="12.75">
      <c r="A334" s="8">
        <v>43905.28770833333</v>
      </c>
      <c r="B334" s="8" t="str">
        <f>HYPERLINK("https://twitter.com/RomelihSuhairi","@RomelihSuhairi")</f>
        <v>@RomelihSuhairi</v>
      </c>
      <c r="C334" s="8" t="s">
        <v>7</v>
      </c>
      <c r="D334" s="8">
        <v>19</v>
      </c>
      <c r="E334" s="8">
        <v>0</v>
      </c>
      <c r="F334" s="8">
        <v>491</v>
      </c>
    </row>
    <row r="335" spans="1:6" ht="12.75">
      <c r="A335" s="8">
        <v>43905.286828703705</v>
      </c>
      <c r="B335" s="8" t="str">
        <f>HYPERLINK("https://twitter.com/fik_okeh","@fik_okeh")</f>
        <v>@fik_okeh</v>
      </c>
      <c r="C335" s="8" t="s">
        <v>7</v>
      </c>
      <c r="D335" s="8">
        <v>19</v>
      </c>
      <c r="E335" s="8">
        <v>0</v>
      </c>
      <c r="F335" s="8">
        <v>557</v>
      </c>
    </row>
    <row r="336" spans="1:6" ht="12.75">
      <c r="A336" s="8">
        <v>43905.285833333328</v>
      </c>
      <c r="B336" s="8" t="str">
        <f>HYPERLINK("https://twitter.com/UmmiYasmine","@UmmiYasmine")</f>
        <v>@UmmiYasmine</v>
      </c>
      <c r="C336" s="8" t="s">
        <v>7</v>
      </c>
      <c r="D336" s="8">
        <v>19</v>
      </c>
      <c r="E336" s="8">
        <v>0</v>
      </c>
      <c r="F336" s="8">
        <v>2071</v>
      </c>
    </row>
    <row r="337" spans="1:6" ht="12.75">
      <c r="A337" s="8">
        <v>43905.285729166666</v>
      </c>
      <c r="B337" s="8" t="str">
        <f>HYPERLINK("https://twitter.com/Nadya96562589","@Nadya96562589")</f>
        <v>@Nadya96562589</v>
      </c>
      <c r="C337" s="8" t="s">
        <v>11</v>
      </c>
      <c r="D337" s="8">
        <v>1</v>
      </c>
      <c r="E337" s="8">
        <v>0</v>
      </c>
      <c r="F337" s="8">
        <v>109</v>
      </c>
    </row>
    <row r="338" spans="1:6" ht="12.75">
      <c r="A338" s="8">
        <v>43905.284907407404</v>
      </c>
      <c r="B338" s="8" t="str">
        <f>HYPERLINK("https://twitter.com/hendrickliem","@hendrickliem")</f>
        <v>@hendrickliem</v>
      </c>
      <c r="C338" s="8" t="s">
        <v>181</v>
      </c>
      <c r="D338" s="8">
        <v>0</v>
      </c>
      <c r="E338" s="8">
        <v>0</v>
      </c>
      <c r="F338" s="8">
        <v>1009</v>
      </c>
    </row>
    <row r="339" spans="1:6" ht="12.75">
      <c r="A339" s="8">
        <v>43905.284652777773</v>
      </c>
      <c r="B339" s="8" t="str">
        <f>HYPERLINK("https://twitter.com/Dave_Carli","@Dave_Carli")</f>
        <v>@Dave_Carli</v>
      </c>
      <c r="C339" s="8" t="s">
        <v>10</v>
      </c>
      <c r="D339" s="8">
        <v>39</v>
      </c>
      <c r="E339" s="8">
        <v>0</v>
      </c>
      <c r="F339" s="8">
        <v>362</v>
      </c>
    </row>
    <row r="340" spans="1:6" ht="12.75">
      <c r="A340" s="8">
        <v>43905.284467592588</v>
      </c>
      <c r="B340" s="8" t="str">
        <f>HYPERLINK("https://twitter.com/Nienun","@Nienun")</f>
        <v>@Nienun</v>
      </c>
      <c r="C340" s="8" t="s">
        <v>182</v>
      </c>
      <c r="D340" s="8">
        <v>4</v>
      </c>
      <c r="E340" s="8">
        <v>0</v>
      </c>
      <c r="F340" s="8">
        <v>110</v>
      </c>
    </row>
    <row r="341" spans="1:6" ht="12.75">
      <c r="A341" s="8">
        <v>43905.284166666665</v>
      </c>
      <c r="B341" s="8" t="str">
        <f>HYPERLINK("https://twitter.com/hendrickliem","@hendrickliem")</f>
        <v>@hendrickliem</v>
      </c>
      <c r="C341" s="8" t="s">
        <v>183</v>
      </c>
      <c r="D341" s="8">
        <v>0</v>
      </c>
      <c r="E341" s="8">
        <v>0</v>
      </c>
      <c r="F341" s="8">
        <v>1009</v>
      </c>
    </row>
    <row r="342" spans="1:6" ht="12.75">
      <c r="A342" s="8">
        <v>43905.284050925926</v>
      </c>
      <c r="B342" s="8" t="str">
        <f>HYPERLINK("https://twitter.com/kawan_pas","@kawan_pas")</f>
        <v>@kawan_pas</v>
      </c>
      <c r="C342" s="8" t="s">
        <v>7</v>
      </c>
      <c r="D342" s="8">
        <v>19</v>
      </c>
      <c r="E342" s="8">
        <v>0</v>
      </c>
      <c r="F342" s="8">
        <v>1756</v>
      </c>
    </row>
    <row r="343" spans="1:6" ht="12.75">
      <c r="A343" s="8">
        <v>43905.283125000002</v>
      </c>
      <c r="B343" s="8" t="str">
        <f>HYPERLINK("https://twitter.com/Si_Bee","@Si_Bee")</f>
        <v>@Si_Bee</v>
      </c>
      <c r="C343" s="8" t="s">
        <v>184</v>
      </c>
      <c r="D343" s="8">
        <v>19</v>
      </c>
      <c r="E343" s="8">
        <v>42</v>
      </c>
      <c r="F343" s="8">
        <v>9280</v>
      </c>
    </row>
    <row r="344" spans="1:6" ht="12.75">
      <c r="A344" s="8">
        <v>43905.283078703702</v>
      </c>
      <c r="B344" s="8" t="str">
        <f>HYPERLINK("https://twitter.com/AEPishere","@AEPishere")</f>
        <v>@AEPishere</v>
      </c>
      <c r="C344" s="8" t="s">
        <v>185</v>
      </c>
      <c r="D344" s="8">
        <v>2</v>
      </c>
      <c r="E344" s="8">
        <v>0</v>
      </c>
      <c r="F344" s="8">
        <v>3004</v>
      </c>
    </row>
    <row r="345" spans="1:6" ht="12.75">
      <c r="A345" s="8">
        <v>43905.280509259261</v>
      </c>
      <c r="B345" s="8" t="str">
        <f>HYPERLINK("https://twitter.com/pingoe12","@pingoe12")</f>
        <v>@pingoe12</v>
      </c>
      <c r="C345" s="8" t="s">
        <v>10</v>
      </c>
      <c r="D345" s="8">
        <v>39</v>
      </c>
      <c r="E345" s="8">
        <v>0</v>
      </c>
      <c r="F345" s="8">
        <v>197</v>
      </c>
    </row>
    <row r="346" spans="1:6" ht="12.75">
      <c r="A346" s="8">
        <v>43905.280370370368</v>
      </c>
      <c r="B346" s="8" t="str">
        <f>HYPERLINK("https://twitter.com/Muhamadluchika3","@Muhamadluchika3")</f>
        <v>@Muhamadluchika3</v>
      </c>
      <c r="C346" s="8" t="s">
        <v>186</v>
      </c>
      <c r="D346" s="8">
        <v>0</v>
      </c>
      <c r="E346" s="8">
        <v>1</v>
      </c>
      <c r="F346" s="8">
        <v>3</v>
      </c>
    </row>
    <row r="347" spans="1:6" ht="12.75">
      <c r="A347" s="8">
        <v>43905.277974537035</v>
      </c>
      <c r="B347" s="8" t="str">
        <f>HYPERLINK("https://twitter.com/brianabriansyah","@brianabriansyah")</f>
        <v>@brianabriansyah</v>
      </c>
      <c r="C347" s="8" t="s">
        <v>187</v>
      </c>
      <c r="D347" s="8">
        <v>0</v>
      </c>
      <c r="E347" s="8">
        <v>0</v>
      </c>
      <c r="F347" s="8">
        <v>477</v>
      </c>
    </row>
    <row r="348" spans="1:6" ht="12.75">
      <c r="A348" s="8">
        <v>43905.27743055555</v>
      </c>
      <c r="B348" s="8" t="str">
        <f>HYPERLINK("https://twitter.com/bbyforest","@bbyforest")</f>
        <v>@bbyforest</v>
      </c>
      <c r="C348" s="8" t="s">
        <v>15</v>
      </c>
      <c r="D348" s="8">
        <v>17</v>
      </c>
      <c r="E348" s="8">
        <v>0</v>
      </c>
      <c r="F348" s="8">
        <v>823</v>
      </c>
    </row>
    <row r="349" spans="1:6" ht="12.75">
      <c r="A349" s="8">
        <v>43905.275208333333</v>
      </c>
      <c r="B349" s="8" t="str">
        <f>HYPERLINK("https://twitter.com/uteaptaro","@uteaptaro")</f>
        <v>@uteaptaro</v>
      </c>
      <c r="C349" s="8" t="s">
        <v>10</v>
      </c>
      <c r="D349" s="8">
        <v>39</v>
      </c>
      <c r="E349" s="8">
        <v>0</v>
      </c>
      <c r="F349" s="8">
        <v>103</v>
      </c>
    </row>
    <row r="350" spans="1:6" ht="12.75">
      <c r="A350" s="8">
        <v>43905.27480324074</v>
      </c>
      <c r="B350" s="8" t="str">
        <f>HYPERLINK("https://twitter.com/Tiyasyoungapril","@Tiyasyoungapril")</f>
        <v>@Tiyasyoungapril</v>
      </c>
      <c r="C350" s="8" t="s">
        <v>188</v>
      </c>
      <c r="D350" s="8">
        <v>0</v>
      </c>
      <c r="E350" s="8">
        <v>0</v>
      </c>
      <c r="F350" s="8">
        <v>311</v>
      </c>
    </row>
    <row r="351" spans="1:6" ht="12.75">
      <c r="A351" s="8">
        <v>43905.272777777776</v>
      </c>
      <c r="B351" s="8" t="str">
        <f>HYPERLINK("https://twitter.com/angel_mell","@angel_mell")</f>
        <v>@angel_mell</v>
      </c>
      <c r="C351" s="8" t="s">
        <v>10</v>
      </c>
      <c r="D351" s="8">
        <v>39</v>
      </c>
      <c r="E351" s="8">
        <v>0</v>
      </c>
      <c r="F351" s="8">
        <v>567</v>
      </c>
    </row>
    <row r="352" spans="1:6" ht="12.75">
      <c r="A352" s="8">
        <v>43905.272604166668</v>
      </c>
      <c r="B352" s="8" t="str">
        <f>HYPERLINK("https://twitter.com/_aiek_esthreem_","@_aiek_esthreem_")</f>
        <v>@_aiek_esthreem_</v>
      </c>
      <c r="C352" s="8" t="s">
        <v>189</v>
      </c>
      <c r="D352" s="8">
        <v>1</v>
      </c>
      <c r="E352" s="8">
        <v>4</v>
      </c>
      <c r="F352" s="8">
        <v>17179</v>
      </c>
    </row>
    <row r="353" spans="1:6" ht="12.75">
      <c r="A353" s="8">
        <v>43905.272581018522</v>
      </c>
      <c r="B353" s="8" t="str">
        <f>HYPERLINK("https://twitter.com/syifaadnyana","@syifaadnyana")</f>
        <v>@syifaadnyana</v>
      </c>
      <c r="C353" s="8" t="s">
        <v>190</v>
      </c>
      <c r="D353" s="8">
        <v>0</v>
      </c>
      <c r="E353" s="8">
        <v>0</v>
      </c>
      <c r="F353" s="8">
        <v>298</v>
      </c>
    </row>
    <row r="354" spans="1:6" ht="12.75">
      <c r="A354" s="8">
        <v>43905.272453703699</v>
      </c>
      <c r="B354" s="8" t="str">
        <f>HYPERLINK("https://twitter.com/bianca25090809","@bianca25090809")</f>
        <v>@bianca25090809</v>
      </c>
      <c r="C354" s="8" t="s">
        <v>10</v>
      </c>
      <c r="D354" s="8">
        <v>39</v>
      </c>
      <c r="E354" s="8">
        <v>0</v>
      </c>
      <c r="F354" s="8">
        <v>521</v>
      </c>
    </row>
    <row r="355" spans="1:6" ht="12.75">
      <c r="A355" s="8">
        <v>43905.272268518514</v>
      </c>
      <c r="B355" s="8" t="str">
        <f>HYPERLINK("https://twitter.com/zeedn_a","@zeedn_a")</f>
        <v>@zeedn_a</v>
      </c>
      <c r="C355" s="8" t="s">
        <v>38</v>
      </c>
      <c r="D355" s="8">
        <v>3</v>
      </c>
      <c r="E355" s="8">
        <v>0</v>
      </c>
      <c r="F355" s="8">
        <v>356</v>
      </c>
    </row>
    <row r="356" spans="1:6" ht="12.75">
      <c r="A356" s="8">
        <v>43905.271666666667</v>
      </c>
      <c r="B356" s="8" t="str">
        <f>HYPERLINK("https://twitter.com/DwiDesi11","@DwiDesi11")</f>
        <v>@DwiDesi11</v>
      </c>
      <c r="C356" s="8" t="s">
        <v>54</v>
      </c>
      <c r="D356" s="8">
        <v>98</v>
      </c>
      <c r="E356" s="8">
        <v>0</v>
      </c>
      <c r="F356" s="8">
        <v>590</v>
      </c>
    </row>
    <row r="357" spans="1:6" ht="12.75">
      <c r="A357" s="8">
        <v>43905.27070601852</v>
      </c>
      <c r="B357" s="8" t="str">
        <f>HYPERLINK("https://twitter.com/salendra18","@salendra18")</f>
        <v>@salendra18</v>
      </c>
      <c r="C357" s="8" t="s">
        <v>191</v>
      </c>
      <c r="D357" s="8">
        <v>0</v>
      </c>
      <c r="E357" s="8">
        <v>0</v>
      </c>
      <c r="F357" s="8">
        <v>2471</v>
      </c>
    </row>
    <row r="358" spans="1:6" ht="12.75">
      <c r="A358" s="8">
        <v>43905.270601851851</v>
      </c>
      <c r="B358" s="8" t="str">
        <f>HYPERLINK("https://twitter.com/MtvLbs","@MtvLbs")</f>
        <v>@MtvLbs</v>
      </c>
      <c r="C358" s="8" t="s">
        <v>192</v>
      </c>
      <c r="D358" s="8">
        <v>0</v>
      </c>
      <c r="E358" s="8">
        <v>0</v>
      </c>
      <c r="F358" s="8">
        <v>0</v>
      </c>
    </row>
    <row r="359" spans="1:6" ht="12.75">
      <c r="A359" s="8">
        <v>43905.269386574073</v>
      </c>
      <c r="B359" s="8" t="str">
        <f>HYPERLINK("https://twitter.com/tastawidhana","@tastawidhana")</f>
        <v>@tastawidhana</v>
      </c>
      <c r="C359" s="8" t="s">
        <v>193</v>
      </c>
      <c r="D359" s="8">
        <v>1</v>
      </c>
      <c r="E359" s="8">
        <v>0</v>
      </c>
      <c r="F359" s="8">
        <v>28</v>
      </c>
    </row>
    <row r="360" spans="1:6" ht="12.75">
      <c r="A360" s="8">
        <v>43905.268958333334</v>
      </c>
      <c r="B360" s="8" t="str">
        <f>HYPERLINK("https://twitter.com/sadnajaa","@sadnajaa")</f>
        <v>@sadnajaa</v>
      </c>
      <c r="C360" s="8" t="s">
        <v>194</v>
      </c>
      <c r="D360" s="8">
        <v>0</v>
      </c>
      <c r="E360" s="8">
        <v>1</v>
      </c>
      <c r="F360" s="8">
        <v>487</v>
      </c>
    </row>
    <row r="361" spans="1:6" ht="12.75">
      <c r="A361" s="8">
        <v>43905.268807870365</v>
      </c>
      <c r="B361" s="8" t="str">
        <f>HYPERLINK("https://twitter.com/bumi_Luwuutara","@bumi_Luwuutara")</f>
        <v>@bumi_Luwuutara</v>
      </c>
      <c r="C361" s="8" t="s">
        <v>162</v>
      </c>
      <c r="D361" s="8">
        <v>154</v>
      </c>
      <c r="E361" s="8">
        <v>0</v>
      </c>
      <c r="F361" s="8">
        <v>49</v>
      </c>
    </row>
    <row r="362" spans="1:6" ht="12.75">
      <c r="A362" s="8">
        <v>43905.267685185187</v>
      </c>
      <c r="B362" s="8" t="str">
        <f>HYPERLINK("https://twitter.com/zfzmf","@zfzmf")</f>
        <v>@zfzmf</v>
      </c>
      <c r="C362" s="8" t="s">
        <v>195</v>
      </c>
      <c r="D362" s="8">
        <v>0</v>
      </c>
      <c r="E362" s="8">
        <v>0</v>
      </c>
      <c r="F362" s="8">
        <v>1315</v>
      </c>
    </row>
    <row r="363" spans="1:6" ht="12.75">
      <c r="A363" s="8">
        <v>43905.267546296294</v>
      </c>
      <c r="B363" s="8" t="str">
        <f>HYPERLINK("https://twitter.com/burungk97792018","@burungk97792018")</f>
        <v>@burungk97792018</v>
      </c>
      <c r="C363" s="8" t="s">
        <v>11</v>
      </c>
      <c r="D363" s="8">
        <v>1</v>
      </c>
      <c r="E363" s="8">
        <v>0</v>
      </c>
      <c r="F363" s="8">
        <v>151</v>
      </c>
    </row>
    <row r="364" spans="1:6" ht="12.75">
      <c r="A364" s="8">
        <v>43905.265752314815</v>
      </c>
      <c r="B364" s="8" t="str">
        <f>HYPERLINK("https://twitter.com/venyacantik","@venyacantik")</f>
        <v>@venyacantik</v>
      </c>
      <c r="C364" s="8" t="s">
        <v>196</v>
      </c>
      <c r="D364" s="8">
        <v>0</v>
      </c>
      <c r="E364" s="8">
        <v>0</v>
      </c>
      <c r="F364" s="8">
        <v>3089</v>
      </c>
    </row>
    <row r="365" spans="1:6" ht="12.75">
      <c r="A365" s="8">
        <v>43905.265173611115</v>
      </c>
      <c r="B365" s="8" t="str">
        <f>HYPERLINK("https://twitter.com/seadanyaa","@seadanyaa")</f>
        <v>@seadanyaa</v>
      </c>
      <c r="C365" s="8" t="s">
        <v>197</v>
      </c>
      <c r="D365" s="8">
        <v>0</v>
      </c>
      <c r="E365" s="8">
        <v>0</v>
      </c>
      <c r="F365" s="8">
        <v>46</v>
      </c>
    </row>
    <row r="366" spans="1:6" ht="12.75">
      <c r="A366" s="8">
        <v>43905.264999999999</v>
      </c>
      <c r="B366" s="8" t="str">
        <f>HYPERLINK("https://twitter.com/whisnuvandanu","@whisnuvandanu")</f>
        <v>@whisnuvandanu</v>
      </c>
      <c r="C366" s="8" t="s">
        <v>54</v>
      </c>
      <c r="D366" s="8">
        <v>98</v>
      </c>
      <c r="E366" s="8">
        <v>0</v>
      </c>
      <c r="F366" s="8">
        <v>457</v>
      </c>
    </row>
    <row r="367" spans="1:6" ht="12.75">
      <c r="A367" s="8">
        <v>43905.264907407407</v>
      </c>
      <c r="B367" s="8" t="str">
        <f>HYPERLINK("https://twitter.com/mattossmilene","@mattossmilene")</f>
        <v>@mattossmilene</v>
      </c>
      <c r="C367" s="8" t="s">
        <v>198</v>
      </c>
      <c r="D367" s="8">
        <v>0</v>
      </c>
      <c r="E367" s="8">
        <v>0</v>
      </c>
      <c r="F367" s="8">
        <v>593</v>
      </c>
    </row>
    <row r="368" spans="1:6" ht="12.75">
      <c r="A368" s="8">
        <v>43905.26326388889</v>
      </c>
      <c r="B368" s="8" t="str">
        <f>HYPERLINK("https://twitter.com/iz_wni","@iz_wni")</f>
        <v>@iz_wni</v>
      </c>
      <c r="C368" s="8" t="s">
        <v>199</v>
      </c>
      <c r="D368" s="8">
        <v>2759</v>
      </c>
      <c r="E368" s="8">
        <v>0</v>
      </c>
      <c r="F368" s="8">
        <v>88</v>
      </c>
    </row>
    <row r="369" spans="1:6" ht="12.75">
      <c r="A369" s="8">
        <v>43905.26295138889</v>
      </c>
      <c r="B369" s="8" t="str">
        <f t="shared" ref="B369:B370" si="4">HYPERLINK("https://twitter.com/boeroengmalam","@boeroengmalam")</f>
        <v>@boeroengmalam</v>
      </c>
      <c r="C369" s="8" t="s">
        <v>200</v>
      </c>
      <c r="D369" s="8">
        <v>0</v>
      </c>
      <c r="E369" s="8">
        <v>0</v>
      </c>
      <c r="F369" s="8">
        <v>166</v>
      </c>
    </row>
    <row r="370" spans="1:6" ht="12.75">
      <c r="A370" s="8">
        <v>43905.260520833333</v>
      </c>
      <c r="B370" s="8" t="str">
        <f t="shared" si="4"/>
        <v>@boeroengmalam</v>
      </c>
      <c r="C370" s="8" t="s">
        <v>201</v>
      </c>
      <c r="D370" s="8">
        <v>0</v>
      </c>
      <c r="E370" s="8">
        <v>0</v>
      </c>
      <c r="F370" s="8">
        <v>166</v>
      </c>
    </row>
    <row r="371" spans="1:6" ht="12.75">
      <c r="A371" s="8">
        <v>43905.259745370371</v>
      </c>
      <c r="B371" s="8" t="str">
        <f>HYPERLINK("https://twitter.com/InsanArifin1","@InsanArifin1")</f>
        <v>@InsanArifin1</v>
      </c>
      <c r="C371" s="8" t="s">
        <v>57</v>
      </c>
      <c r="D371" s="8">
        <v>7</v>
      </c>
      <c r="E371" s="8">
        <v>0</v>
      </c>
      <c r="F371" s="8">
        <v>277</v>
      </c>
    </row>
    <row r="372" spans="1:6" ht="12.75">
      <c r="A372" s="8">
        <v>43905.25944444444</v>
      </c>
      <c r="B372" s="8" t="str">
        <f>HYPERLINK("https://twitter.com/DjajaRider","@DjajaRider")</f>
        <v>@DjajaRider</v>
      </c>
      <c r="C372" s="8" t="s">
        <v>202</v>
      </c>
      <c r="D372" s="8">
        <v>6</v>
      </c>
      <c r="E372" s="8">
        <v>0</v>
      </c>
      <c r="F372" s="8">
        <v>733</v>
      </c>
    </row>
    <row r="373" spans="1:6" ht="12.75">
      <c r="A373" s="8">
        <v>43905.257337962961</v>
      </c>
      <c r="B373" s="8" t="str">
        <f>HYPERLINK("https://twitter.com/ichacln","@ichacln")</f>
        <v>@ichacln</v>
      </c>
      <c r="C373" s="8" t="s">
        <v>15</v>
      </c>
      <c r="D373" s="8">
        <v>17</v>
      </c>
      <c r="E373" s="8">
        <v>0</v>
      </c>
      <c r="F373" s="8">
        <v>1246</v>
      </c>
    </row>
    <row r="374" spans="1:6" ht="12.75">
      <c r="A374" s="8">
        <v>43905.255613425921</v>
      </c>
      <c r="B374" s="8" t="str">
        <f>HYPERLINK("https://twitter.com/Ngambissyok","@Ngambissyok")</f>
        <v>@Ngambissyok</v>
      </c>
      <c r="C374" s="8" t="s">
        <v>54</v>
      </c>
      <c r="D374" s="8">
        <v>94</v>
      </c>
      <c r="E374" s="8">
        <v>0</v>
      </c>
      <c r="F374" s="8">
        <v>591</v>
      </c>
    </row>
    <row r="375" spans="1:6" ht="12.75">
      <c r="A375" s="8">
        <v>43905.255555555559</v>
      </c>
      <c r="B375" s="8" t="str">
        <f>HYPERLINK("https://twitter.com/Syarif27264166","@Syarif27264166")</f>
        <v>@Syarif27264166</v>
      </c>
      <c r="C375" s="8" t="s">
        <v>87</v>
      </c>
      <c r="D375" s="8">
        <v>4</v>
      </c>
      <c r="E375" s="8">
        <v>0</v>
      </c>
      <c r="F375" s="8">
        <v>2</v>
      </c>
    </row>
    <row r="376" spans="1:6" ht="12.75">
      <c r="A376" s="8">
        <v>43905.255069444444</v>
      </c>
      <c r="B376" s="8" t="str">
        <f>HYPERLINK("https://twitter.com/Yurika01326264","@Yurika01326264")</f>
        <v>@Yurika01326264</v>
      </c>
      <c r="C376" s="8" t="s">
        <v>203</v>
      </c>
      <c r="D376" s="8">
        <v>54</v>
      </c>
      <c r="E376" s="8">
        <v>0</v>
      </c>
      <c r="F376" s="8">
        <v>1</v>
      </c>
    </row>
    <row r="377" spans="1:6" ht="12.75">
      <c r="A377" s="8">
        <v>43905.252789351856</v>
      </c>
      <c r="B377" s="8" t="str">
        <f>HYPERLINK("https://twitter.com/danurkm182","@danurkm182")</f>
        <v>@danurkm182</v>
      </c>
      <c r="C377" s="8" t="s">
        <v>54</v>
      </c>
      <c r="D377" s="8">
        <v>94</v>
      </c>
      <c r="E377" s="8">
        <v>0</v>
      </c>
      <c r="F377" s="8">
        <v>92</v>
      </c>
    </row>
    <row r="378" spans="1:6" ht="12.75">
      <c r="A378" s="8">
        <v>43905.25273148148</v>
      </c>
      <c r="B378" s="8" t="str">
        <f>HYPERLINK("https://twitter.com/Nrlazzhna","@Nrlazzhna")</f>
        <v>@Nrlazzhna</v>
      </c>
      <c r="C378" s="8" t="s">
        <v>49</v>
      </c>
      <c r="D378" s="8">
        <v>9</v>
      </c>
      <c r="E378" s="8">
        <v>0</v>
      </c>
      <c r="F378" s="8">
        <v>3106</v>
      </c>
    </row>
    <row r="379" spans="1:6" ht="12.75">
      <c r="A379" s="8">
        <v>43905.252199074079</v>
      </c>
      <c r="B379" s="8" t="str">
        <f t="shared" ref="B379:B380" si="5">HYPERLINK("https://twitter.com/mipangshit","@mipangshit")</f>
        <v>@mipangshit</v>
      </c>
      <c r="C379" s="8" t="s">
        <v>49</v>
      </c>
      <c r="D379" s="8">
        <v>9</v>
      </c>
      <c r="E379" s="8">
        <v>0</v>
      </c>
      <c r="F379" s="8">
        <v>935</v>
      </c>
    </row>
    <row r="380" spans="1:6" ht="12.75">
      <c r="A380" s="8">
        <v>43905.252187499995</v>
      </c>
      <c r="B380" s="8" t="str">
        <f t="shared" si="5"/>
        <v>@mipangshit</v>
      </c>
      <c r="C380" s="8" t="s">
        <v>15</v>
      </c>
      <c r="D380" s="8">
        <v>15</v>
      </c>
      <c r="E380" s="8">
        <v>0</v>
      </c>
      <c r="F380" s="8">
        <v>935</v>
      </c>
    </row>
    <row r="381" spans="1:6" ht="12.75">
      <c r="A381" s="8">
        <v>43905.251435185186</v>
      </c>
      <c r="B381" s="8" t="str">
        <f>HYPERLINK("https://twitter.com/tey_saja","@tey_saja")</f>
        <v>@tey_saja</v>
      </c>
      <c r="C381" s="8" t="s">
        <v>204</v>
      </c>
      <c r="D381" s="8">
        <v>0</v>
      </c>
      <c r="E381" s="8">
        <v>0</v>
      </c>
      <c r="F381" s="8">
        <v>10610</v>
      </c>
    </row>
    <row r="382" spans="1:6" ht="12.75">
      <c r="A382" s="8">
        <v>43905.251261574071</v>
      </c>
      <c r="B382" s="8" t="str">
        <f>HYPERLINK("https://twitter.com/Suluk_salik","@Suluk_salik")</f>
        <v>@Suluk_salik</v>
      </c>
      <c r="C382" s="8" t="s">
        <v>205</v>
      </c>
      <c r="D382" s="8">
        <v>0</v>
      </c>
      <c r="E382" s="8">
        <v>0</v>
      </c>
      <c r="F382" s="8">
        <v>640</v>
      </c>
    </row>
    <row r="383" spans="1:6" ht="12.75">
      <c r="A383" s="8">
        <v>43905.251099537039</v>
      </c>
      <c r="B383" s="8" t="str">
        <f>HYPERLINK("https://twitter.com/LisaAmartatara3","@LisaAmartatara3")</f>
        <v>@LisaAmartatara3</v>
      </c>
      <c r="C383" s="8" t="s">
        <v>87</v>
      </c>
      <c r="D383" s="8">
        <v>4</v>
      </c>
      <c r="E383" s="8">
        <v>0</v>
      </c>
      <c r="F383" s="8">
        <v>57184</v>
      </c>
    </row>
    <row r="384" spans="1:6" ht="12.75">
      <c r="A384" s="8">
        <v>43905.250914351855</v>
      </c>
      <c r="B384" s="8" t="str">
        <f>HYPERLINK("https://twitter.com/Twuryanto1","@Twuryanto1")</f>
        <v>@Twuryanto1</v>
      </c>
      <c r="C384" s="8" t="s">
        <v>206</v>
      </c>
      <c r="D384" s="8">
        <v>0</v>
      </c>
      <c r="E384" s="8">
        <v>0</v>
      </c>
      <c r="F384" s="8">
        <v>47</v>
      </c>
    </row>
    <row r="385" spans="1:6" ht="12.75">
      <c r="A385" s="8">
        <v>43905.250486111108</v>
      </c>
      <c r="B385" s="8" t="str">
        <f>HYPERLINK("https://twitter.com/AinaQueen5","@AinaQueen5")</f>
        <v>@AinaQueen5</v>
      </c>
      <c r="C385" s="8" t="s">
        <v>207</v>
      </c>
      <c r="D385" s="8">
        <v>4</v>
      </c>
      <c r="E385" s="8">
        <v>7</v>
      </c>
      <c r="F385" s="8">
        <v>2410</v>
      </c>
    </row>
    <row r="386" spans="1:6" ht="12.75">
      <c r="A386" s="8">
        <v>43905.247881944444</v>
      </c>
      <c r="B386" s="8" t="str">
        <f>HYPERLINK("https://twitter.com/Iyoong_","@Iyoong_")</f>
        <v>@Iyoong_</v>
      </c>
      <c r="C386" s="8" t="s">
        <v>208</v>
      </c>
      <c r="D386" s="8">
        <v>2</v>
      </c>
      <c r="E386" s="8">
        <v>0</v>
      </c>
      <c r="F386" s="8">
        <v>276</v>
      </c>
    </row>
    <row r="387" spans="1:6" ht="12.75">
      <c r="A387" s="8">
        <v>43905.247685185182</v>
      </c>
      <c r="B387" s="8" t="str">
        <f>HYPERLINK("https://twitter.com/AgusNutech","@AgusNutech")</f>
        <v>@AgusNutech</v>
      </c>
      <c r="C387" s="8" t="s">
        <v>209</v>
      </c>
      <c r="D387" s="8">
        <v>0</v>
      </c>
      <c r="E387" s="8">
        <v>0</v>
      </c>
      <c r="F387" s="8">
        <v>7</v>
      </c>
    </row>
    <row r="388" spans="1:6" ht="12.75">
      <c r="A388" s="8">
        <v>43905.247349537036</v>
      </c>
      <c r="B388" s="8" t="str">
        <f>HYPERLINK("https://twitter.com/Widiatis279","@Widiatis279")</f>
        <v>@Widiatis279</v>
      </c>
      <c r="C388" s="8" t="s">
        <v>113</v>
      </c>
      <c r="D388" s="8">
        <v>3</v>
      </c>
      <c r="E388" s="8">
        <v>0</v>
      </c>
      <c r="F388" s="8">
        <v>731</v>
      </c>
    </row>
    <row r="389" spans="1:6" ht="12.75">
      <c r="A389" s="8">
        <v>43905.246435185181</v>
      </c>
      <c r="B389" s="8" t="str">
        <f>HYPERLINK("https://twitter.com/555masteng","@555masteng")</f>
        <v>@555masteng</v>
      </c>
      <c r="C389" s="8" t="s">
        <v>210</v>
      </c>
      <c r="D389" s="8">
        <v>0</v>
      </c>
      <c r="E389" s="8">
        <v>1</v>
      </c>
      <c r="F389" s="8">
        <v>5663</v>
      </c>
    </row>
    <row r="390" spans="1:6" ht="12.75">
      <c r="A390" s="8">
        <v>43905.245127314818</v>
      </c>
      <c r="B390" s="8" t="str">
        <f>HYPERLINK("https://twitter.com/taufiq_xxx","@taufiq_xxx")</f>
        <v>@taufiq_xxx</v>
      </c>
      <c r="C390" s="8" t="s">
        <v>10</v>
      </c>
      <c r="D390" s="8">
        <v>33</v>
      </c>
      <c r="E390" s="8">
        <v>0</v>
      </c>
      <c r="F390" s="8">
        <v>260</v>
      </c>
    </row>
    <row r="391" spans="1:6" ht="12.75">
      <c r="A391" s="8">
        <v>43905.24490740741</v>
      </c>
      <c r="B391" s="8" t="str">
        <f>HYPERLINK("https://twitter.com/ariharsono","@ariharsono")</f>
        <v>@ariharsono</v>
      </c>
      <c r="C391" s="8" t="s">
        <v>211</v>
      </c>
      <c r="D391" s="8">
        <v>0</v>
      </c>
      <c r="E391" s="8">
        <v>0</v>
      </c>
      <c r="F391" s="8">
        <v>120</v>
      </c>
    </row>
    <row r="392" spans="1:6" ht="12.75">
      <c r="A392" s="8">
        <v>43905.243009259255</v>
      </c>
      <c r="B392" s="8" t="str">
        <f>HYPERLINK("https://twitter.com/IntVara","@IntVara")</f>
        <v>@IntVara</v>
      </c>
      <c r="C392" s="8" t="s">
        <v>102</v>
      </c>
      <c r="D392" s="8">
        <v>50</v>
      </c>
      <c r="E392" s="8">
        <v>0</v>
      </c>
      <c r="F392" s="8">
        <v>19</v>
      </c>
    </row>
    <row r="393" spans="1:6" ht="12.75">
      <c r="A393" s="8">
        <v>43905.240543981483</v>
      </c>
      <c r="B393" s="8" t="str">
        <f>HYPERLINK("https://twitter.com/andrynt24","@andrynt24")</f>
        <v>@andrynt24</v>
      </c>
      <c r="C393" s="8" t="s">
        <v>212</v>
      </c>
      <c r="D393" s="8">
        <v>0</v>
      </c>
      <c r="E393" s="8">
        <v>0</v>
      </c>
      <c r="F393" s="8">
        <v>1</v>
      </c>
    </row>
    <row r="394" spans="1:6" ht="12.75">
      <c r="A394" s="8">
        <v>43905.237824074073</v>
      </c>
      <c r="B394" s="8" t="str">
        <f>HYPERLINK("https://twitter.com/Maznga_jmikel","@Maznga_jmikel")</f>
        <v>@Maznga_jmikel</v>
      </c>
      <c r="C394" s="8" t="s">
        <v>14</v>
      </c>
      <c r="D394" s="8">
        <v>12</v>
      </c>
      <c r="E394" s="8">
        <v>0</v>
      </c>
      <c r="F394" s="8">
        <v>927</v>
      </c>
    </row>
    <row r="395" spans="1:6" ht="12.75">
      <c r="A395" s="8">
        <v>43905.234328703707</v>
      </c>
      <c r="B395" s="8" t="str">
        <f>HYPERLINK("https://twitter.com/kartikahari13","@kartikahari13")</f>
        <v>@kartikahari13</v>
      </c>
      <c r="C395" s="8" t="s">
        <v>102</v>
      </c>
      <c r="D395" s="8">
        <v>50</v>
      </c>
      <c r="E395" s="8">
        <v>0</v>
      </c>
      <c r="F395" s="8">
        <v>1417</v>
      </c>
    </row>
    <row r="396" spans="1:6" ht="12.75">
      <c r="A396" s="8">
        <v>43905.234085648146</v>
      </c>
      <c r="B396" s="8" t="str">
        <f>HYPERLINK("https://twitter.com/maday_isis","@maday_isis")</f>
        <v>@maday_isis</v>
      </c>
      <c r="C396" s="8" t="s">
        <v>213</v>
      </c>
      <c r="D396" s="8">
        <v>0</v>
      </c>
      <c r="E396" s="8">
        <v>0</v>
      </c>
      <c r="F396" s="8">
        <v>86</v>
      </c>
    </row>
    <row r="397" spans="1:6" ht="12.75">
      <c r="A397" s="8">
        <v>43905.232870370368</v>
      </c>
      <c r="B397" s="8" t="str">
        <f>HYPERLINK("https://twitter.com/itsri0n","@itsri0n")</f>
        <v>@itsri0n</v>
      </c>
      <c r="C397" s="8" t="s">
        <v>214</v>
      </c>
      <c r="D397" s="8">
        <v>0</v>
      </c>
      <c r="E397" s="8">
        <v>0</v>
      </c>
      <c r="F397" s="8">
        <v>262</v>
      </c>
    </row>
    <row r="398" spans="1:6" ht="12.75">
      <c r="A398" s="8">
        <v>43905.229189814811</v>
      </c>
      <c r="B398" s="8" t="str">
        <f>HYPERLINK("https://twitter.com/RFKMD","@RFKMD")</f>
        <v>@RFKMD</v>
      </c>
      <c r="C398" s="8" t="s">
        <v>54</v>
      </c>
      <c r="D398" s="8">
        <v>94</v>
      </c>
      <c r="E398" s="8">
        <v>0</v>
      </c>
      <c r="F398" s="8">
        <v>425</v>
      </c>
    </row>
    <row r="399" spans="1:6" ht="12.75">
      <c r="A399" s="8">
        <v>43905.22855324074</v>
      </c>
      <c r="B399" s="8" t="str">
        <f>HYPERLINK("https://twitter.com/Obiettttt","@Obiettttt")</f>
        <v>@Obiettttt</v>
      </c>
      <c r="C399" s="8" t="s">
        <v>215</v>
      </c>
      <c r="D399" s="8">
        <v>0</v>
      </c>
      <c r="E399" s="8">
        <v>0</v>
      </c>
      <c r="F399" s="8">
        <v>215</v>
      </c>
    </row>
    <row r="400" spans="1:6" ht="12.75">
      <c r="A400" s="8">
        <v>43905.228263888886</v>
      </c>
      <c r="B400" s="8" t="str">
        <f>HYPERLINK("https://twitter.com/trumpathon","@trumpathon")</f>
        <v>@trumpathon</v>
      </c>
      <c r="C400" s="8" t="s">
        <v>216</v>
      </c>
      <c r="D400" s="8">
        <v>0</v>
      </c>
      <c r="E400" s="8">
        <v>0</v>
      </c>
      <c r="F400" s="8">
        <v>823</v>
      </c>
    </row>
    <row r="401" spans="1:6" ht="12.75">
      <c r="A401" s="8">
        <v>43905.226076388892</v>
      </c>
      <c r="B401" s="8" t="str">
        <f>HYPERLINK("https://twitter.com/udinxxxxxxx","@udinxxxxxxx")</f>
        <v>@udinxxxxxxx</v>
      </c>
      <c r="C401" s="8" t="s">
        <v>15</v>
      </c>
      <c r="D401" s="8">
        <v>15</v>
      </c>
      <c r="E401" s="8">
        <v>0</v>
      </c>
      <c r="F401" s="8">
        <v>525</v>
      </c>
    </row>
    <row r="402" spans="1:6" ht="12.75">
      <c r="A402" s="8">
        <v>43905.224780092598</v>
      </c>
      <c r="B402" s="8" t="str">
        <f>HYPERLINK("https://twitter.com/ayulusiagustin","@ayulusiagustin")</f>
        <v>@ayulusiagustin</v>
      </c>
      <c r="C402" s="8" t="s">
        <v>217</v>
      </c>
      <c r="D402" s="8">
        <v>1</v>
      </c>
      <c r="E402" s="8">
        <v>0</v>
      </c>
      <c r="F402" s="8">
        <v>409</v>
      </c>
    </row>
    <row r="403" spans="1:6" ht="12.75">
      <c r="A403" s="8">
        <v>43905.224282407406</v>
      </c>
      <c r="B403" s="8" t="str">
        <f>HYPERLINK("https://twitter.com/Luthfi_nasrul","@Luthfi_nasrul")</f>
        <v>@Luthfi_nasrul</v>
      </c>
      <c r="C403" s="8" t="s">
        <v>57</v>
      </c>
      <c r="D403" s="8">
        <v>6</v>
      </c>
      <c r="E403" s="8">
        <v>0</v>
      </c>
      <c r="F403" s="8">
        <v>3391</v>
      </c>
    </row>
    <row r="404" spans="1:6" ht="12.75">
      <c r="A404" s="8">
        <v>43905.224062499998</v>
      </c>
      <c r="B404" s="8" t="str">
        <f>HYPERLINK("https://twitter.com/anggitradit","@anggitradit")</f>
        <v>@anggitradit</v>
      </c>
      <c r="C404" s="8" t="s">
        <v>218</v>
      </c>
      <c r="D404" s="8">
        <v>0</v>
      </c>
      <c r="E404" s="8">
        <v>0</v>
      </c>
      <c r="F404" s="8">
        <v>275</v>
      </c>
    </row>
    <row r="405" spans="1:6" ht="12.75">
      <c r="A405" s="8">
        <v>43905.221736111111</v>
      </c>
      <c r="B405" s="8" t="str">
        <f>HYPERLINK("https://twitter.com/Cahya1913","@Cahya1913")</f>
        <v>@Cahya1913</v>
      </c>
      <c r="C405" s="8" t="s">
        <v>219</v>
      </c>
      <c r="D405" s="8">
        <v>55</v>
      </c>
      <c r="E405" s="8">
        <v>0</v>
      </c>
      <c r="F405" s="8">
        <v>1</v>
      </c>
    </row>
    <row r="406" spans="1:6" ht="12.75">
      <c r="A406" s="8">
        <v>43905.221516203703</v>
      </c>
      <c r="B406" s="8" t="str">
        <f>HYPERLINK("https://twitter.com/emagunges","@emagunges")</f>
        <v>@emagunges</v>
      </c>
      <c r="C406" s="8" t="s">
        <v>15</v>
      </c>
      <c r="D406" s="8">
        <v>15</v>
      </c>
      <c r="E406" s="8">
        <v>0</v>
      </c>
      <c r="F406" s="8">
        <v>502</v>
      </c>
    </row>
    <row r="407" spans="1:6" ht="12.75">
      <c r="A407" s="8">
        <v>43905.22146990741</v>
      </c>
      <c r="B407" s="8" t="str">
        <f>HYPERLINK("https://twitter.com/voaislam","@voaislam")</f>
        <v>@voaislam</v>
      </c>
      <c r="C407" s="8" t="s">
        <v>220</v>
      </c>
      <c r="D407" s="8">
        <v>0</v>
      </c>
      <c r="E407" s="8">
        <v>1</v>
      </c>
      <c r="F407" s="8">
        <v>87809</v>
      </c>
    </row>
    <row r="408" spans="1:6" ht="12.75">
      <c r="A408" s="8">
        <v>43905.220775462964</v>
      </c>
      <c r="B408" s="8" t="str">
        <f>HYPERLINK("https://twitter.com/Kabarsukadotcom","@Kabarsukadotcom")</f>
        <v>@Kabarsukadotcom</v>
      </c>
      <c r="C408" s="8" t="s">
        <v>221</v>
      </c>
      <c r="D408" s="8">
        <v>0</v>
      </c>
      <c r="E408" s="8">
        <v>0</v>
      </c>
      <c r="F408" s="8">
        <v>17</v>
      </c>
    </row>
    <row r="409" spans="1:6" ht="12.75">
      <c r="A409" s="8">
        <v>43905.217534722222</v>
      </c>
      <c r="B409" s="8" t="str">
        <f t="shared" ref="B409:B410" si="6">HYPERLINK("https://twitter.com/AljabarDifa","@AljabarDifa")</f>
        <v>@AljabarDifa</v>
      </c>
      <c r="C409" s="8" t="s">
        <v>222</v>
      </c>
      <c r="D409" s="8">
        <v>1</v>
      </c>
      <c r="E409" s="8">
        <v>1</v>
      </c>
      <c r="F409" s="8">
        <v>33</v>
      </c>
    </row>
    <row r="410" spans="1:6" ht="12.75">
      <c r="A410" s="8">
        <v>43905.217361111107</v>
      </c>
      <c r="B410" s="8" t="str">
        <f t="shared" si="6"/>
        <v>@AljabarDifa</v>
      </c>
      <c r="C410" s="8" t="s">
        <v>222</v>
      </c>
      <c r="D410" s="8">
        <v>0</v>
      </c>
      <c r="E410" s="8">
        <v>0</v>
      </c>
      <c r="F410" s="8">
        <v>33</v>
      </c>
    </row>
    <row r="411" spans="1:6" ht="12.75">
      <c r="A411" s="8">
        <v>43905.217013888891</v>
      </c>
      <c r="B411" s="8" t="str">
        <f t="shared" ref="B411:B413" si="7">HYPERLINK("https://twitter.com/ISIS_Balik_NO","@ISIS_Balik_NO")</f>
        <v>@ISIS_Balik_NO</v>
      </c>
      <c r="C411" s="8" t="s">
        <v>223</v>
      </c>
      <c r="D411" s="8">
        <v>0</v>
      </c>
      <c r="E411" s="8">
        <v>1</v>
      </c>
      <c r="F411" s="8">
        <v>6273</v>
      </c>
    </row>
    <row r="412" spans="1:6" ht="12.75">
      <c r="A412" s="8">
        <v>43905.215763888889</v>
      </c>
      <c r="B412" s="8" t="str">
        <f t="shared" si="7"/>
        <v>@ISIS_Balik_NO</v>
      </c>
      <c r="C412" s="8" t="s">
        <v>224</v>
      </c>
      <c r="D412" s="8">
        <v>0</v>
      </c>
      <c r="E412" s="8">
        <v>0</v>
      </c>
      <c r="F412" s="8">
        <v>6273</v>
      </c>
    </row>
    <row r="413" spans="1:6" ht="12.75">
      <c r="A413" s="8">
        <v>43905.215162037042</v>
      </c>
      <c r="B413" s="8" t="str">
        <f t="shared" si="7"/>
        <v>@ISIS_Balik_NO</v>
      </c>
      <c r="C413" s="8" t="s">
        <v>225</v>
      </c>
      <c r="D413" s="8">
        <v>0</v>
      </c>
      <c r="E413" s="8">
        <v>0</v>
      </c>
      <c r="F413" s="8">
        <v>6273</v>
      </c>
    </row>
    <row r="414" spans="1:6" ht="12.75">
      <c r="A414" s="8">
        <v>43905.214594907404</v>
      </c>
      <c r="B414" s="8" t="str">
        <f>HYPERLINK("https://twitter.com/muhammad_ridhaa","@muhammad_ridhaa")</f>
        <v>@muhammad_ridhaa</v>
      </c>
      <c r="C414" s="8" t="s">
        <v>226</v>
      </c>
      <c r="D414" s="8">
        <v>0</v>
      </c>
      <c r="E414" s="8">
        <v>0</v>
      </c>
      <c r="F414" s="8">
        <v>729</v>
      </c>
    </row>
    <row r="415" spans="1:6" ht="12.75">
      <c r="A415" s="8">
        <v>43905.213310185187</v>
      </c>
      <c r="B415" s="8" t="str">
        <f>HYPERLINK("https://twitter.com/ISIS_Balik_NO","@ISIS_Balik_NO")</f>
        <v>@ISIS_Balik_NO</v>
      </c>
      <c r="C415" s="8" t="s">
        <v>227</v>
      </c>
      <c r="D415" s="8">
        <v>0</v>
      </c>
      <c r="E415" s="8">
        <v>0</v>
      </c>
      <c r="F415" s="8">
        <v>6273</v>
      </c>
    </row>
    <row r="416" spans="1:6" ht="12.75">
      <c r="A416" s="8">
        <v>43905.210451388892</v>
      </c>
      <c r="B416" s="8" t="str">
        <f>HYPERLINK("https://twitter.com/tarobulat","@tarobulat")</f>
        <v>@tarobulat</v>
      </c>
      <c r="C416" s="8" t="s">
        <v>228</v>
      </c>
      <c r="D416" s="8">
        <v>23</v>
      </c>
      <c r="E416" s="8">
        <v>0</v>
      </c>
      <c r="F416" s="8">
        <v>250</v>
      </c>
    </row>
    <row r="417" spans="1:6" ht="12.75">
      <c r="A417" s="8">
        <v>43905.208391203705</v>
      </c>
      <c r="B417" s="8" t="str">
        <f>HYPERLINK("https://twitter.com/ed_parmadi","@ed_parmadi")</f>
        <v>@ed_parmadi</v>
      </c>
      <c r="C417" s="8" t="s">
        <v>19</v>
      </c>
      <c r="D417" s="8">
        <v>24</v>
      </c>
      <c r="E417" s="8">
        <v>0</v>
      </c>
      <c r="F417" s="8">
        <v>245</v>
      </c>
    </row>
    <row r="418" spans="1:6" ht="12.75">
      <c r="A418" s="8">
        <v>43905.204768518517</v>
      </c>
      <c r="B418" s="8" t="str">
        <f>HYPERLINK("https://twitter.com/dpur7","@dpur7")</f>
        <v>@dpur7</v>
      </c>
      <c r="C418" s="8" t="s">
        <v>219</v>
      </c>
      <c r="D418" s="8">
        <v>54</v>
      </c>
      <c r="E418" s="8">
        <v>0</v>
      </c>
      <c r="F418" s="8">
        <v>106</v>
      </c>
    </row>
    <row r="419" spans="1:6" ht="12.75">
      <c r="A419" s="8">
        <v>43905.204108796301</v>
      </c>
      <c r="B419" s="8" t="str">
        <f t="shared" ref="B419:B421" si="8">HYPERLINK("https://twitter.com/ISIS_Balik_NO","@ISIS_Balik_NO")</f>
        <v>@ISIS_Balik_NO</v>
      </c>
      <c r="C419" s="8" t="s">
        <v>229</v>
      </c>
      <c r="D419" s="8">
        <v>17</v>
      </c>
      <c r="E419" s="8">
        <v>0</v>
      </c>
      <c r="F419" s="8">
        <v>6273</v>
      </c>
    </row>
    <row r="420" spans="1:6" ht="12.75">
      <c r="A420" s="8">
        <v>43905.203333333338</v>
      </c>
      <c r="B420" s="8" t="str">
        <f t="shared" si="8"/>
        <v>@ISIS_Balik_NO</v>
      </c>
      <c r="C420" s="8" t="s">
        <v>230</v>
      </c>
      <c r="D420" s="8">
        <v>127</v>
      </c>
      <c r="E420" s="8">
        <v>0</v>
      </c>
      <c r="F420" s="8">
        <v>6273</v>
      </c>
    </row>
    <row r="421" spans="1:6" ht="12.75">
      <c r="A421" s="8">
        <v>43905.202523148153</v>
      </c>
      <c r="B421" s="8" t="str">
        <f t="shared" si="8"/>
        <v>@ISIS_Balik_NO</v>
      </c>
      <c r="C421" s="8" t="s">
        <v>231</v>
      </c>
      <c r="D421" s="8">
        <v>1</v>
      </c>
      <c r="E421" s="8">
        <v>1</v>
      </c>
      <c r="F421" s="8">
        <v>6273</v>
      </c>
    </row>
    <row r="422" spans="1:6" ht="12.75">
      <c r="A422" s="8">
        <v>43905.202523148153</v>
      </c>
      <c r="B422" s="8" t="str">
        <f>HYPERLINK("https://twitter.com/ViaLaili","@ViaLaili")</f>
        <v>@ViaLaili</v>
      </c>
      <c r="C422" s="8" t="s">
        <v>232</v>
      </c>
      <c r="D422" s="8">
        <v>0</v>
      </c>
      <c r="E422" s="8">
        <v>0</v>
      </c>
      <c r="F422" s="8">
        <v>37</v>
      </c>
    </row>
    <row r="423" spans="1:6" ht="12.75">
      <c r="A423" s="8">
        <v>43905.20003472222</v>
      </c>
      <c r="B423" s="8" t="str">
        <f>HYPERLINK("https://twitter.com/ISIS_Balik_NO","@ISIS_Balik_NO")</f>
        <v>@ISIS_Balik_NO</v>
      </c>
      <c r="C423" s="8" t="s">
        <v>233</v>
      </c>
      <c r="D423" s="8">
        <v>0</v>
      </c>
      <c r="E423" s="8">
        <v>0</v>
      </c>
      <c r="F423" s="8">
        <v>6273</v>
      </c>
    </row>
    <row r="424" spans="1:6" ht="12.75">
      <c r="A424" s="8">
        <v>43905.199317129634</v>
      </c>
      <c r="B424" s="8" t="str">
        <f>HYPERLINK("https://twitter.com/2024ErickThohir","@2024ErickThohir")</f>
        <v>@2024ErickThohir</v>
      </c>
      <c r="C424" s="8" t="s">
        <v>234</v>
      </c>
      <c r="D424" s="8">
        <v>1</v>
      </c>
      <c r="E424" s="8">
        <v>0</v>
      </c>
      <c r="F424" s="8">
        <v>2096</v>
      </c>
    </row>
    <row r="425" spans="1:6" ht="12.75">
      <c r="A425" s="8">
        <v>43905.197430555556</v>
      </c>
      <c r="B425" s="8" t="str">
        <f>HYPERLINK("https://twitter.com/Aboodknsar","@Aboodknsar")</f>
        <v>@Aboodknsar</v>
      </c>
      <c r="C425" s="8" t="s">
        <v>235</v>
      </c>
      <c r="D425" s="8">
        <v>3</v>
      </c>
      <c r="E425" s="8">
        <v>0</v>
      </c>
      <c r="F425" s="8">
        <v>752</v>
      </c>
    </row>
    <row r="426" spans="1:6" ht="12.75">
      <c r="A426" s="8">
        <v>43905.19395833333</v>
      </c>
      <c r="B426" s="8" t="str">
        <f>HYPERLINK("https://twitter.com/ISIS_Balik_NO","@ISIS_Balik_NO")</f>
        <v>@ISIS_Balik_NO</v>
      </c>
      <c r="C426" s="8" t="s">
        <v>236</v>
      </c>
      <c r="D426" s="8">
        <v>0</v>
      </c>
      <c r="E426" s="8">
        <v>1</v>
      </c>
      <c r="F426" s="8">
        <v>6273</v>
      </c>
    </row>
    <row r="427" spans="1:6" ht="12.75">
      <c r="A427" s="8">
        <v>43905.190451388888</v>
      </c>
      <c r="B427" s="8" t="str">
        <f>HYPERLINK("https://twitter.com/jowokere","@jowokere")</f>
        <v>@jowokere</v>
      </c>
      <c r="C427" s="8" t="s">
        <v>237</v>
      </c>
      <c r="D427" s="8">
        <v>0</v>
      </c>
      <c r="E427" s="8">
        <v>0</v>
      </c>
      <c r="F427" s="8">
        <v>8792</v>
      </c>
    </row>
    <row r="428" spans="1:6" ht="12.75">
      <c r="A428" s="8">
        <v>43905.188043981485</v>
      </c>
      <c r="B428" s="8" t="str">
        <f>HYPERLINK("https://twitter.com/bobby_paribowo","@bobby_paribowo")</f>
        <v>@bobby_paribowo</v>
      </c>
      <c r="C428" s="8" t="s">
        <v>113</v>
      </c>
      <c r="D428" s="8">
        <v>2</v>
      </c>
      <c r="E428" s="8">
        <v>0</v>
      </c>
      <c r="F428" s="8">
        <v>66</v>
      </c>
    </row>
    <row r="429" spans="1:6" ht="12.75">
      <c r="A429" s="8">
        <v>43905.187777777777</v>
      </c>
      <c r="B429" s="8" t="str">
        <f>HYPERLINK("https://twitter.com/RockyBurung","@RockyBurung")</f>
        <v>@RockyBurung</v>
      </c>
      <c r="C429" s="8" t="s">
        <v>238</v>
      </c>
      <c r="D429" s="8">
        <v>1</v>
      </c>
      <c r="E429" s="8">
        <v>1</v>
      </c>
      <c r="F429" s="8">
        <v>2303</v>
      </c>
    </row>
    <row r="430" spans="1:6" ht="12.75">
      <c r="A430" s="8">
        <v>43905.186053240745</v>
      </c>
      <c r="B430" s="8" t="str">
        <f>HYPERLINK("https://twitter.com/Iabenjamim","@Iabenjamim")</f>
        <v>@Iabenjamim</v>
      </c>
      <c r="C430" s="8" t="s">
        <v>239</v>
      </c>
      <c r="D430" s="8">
        <v>0</v>
      </c>
      <c r="E430" s="8">
        <v>0</v>
      </c>
      <c r="F430" s="8">
        <v>80</v>
      </c>
    </row>
    <row r="431" spans="1:6" ht="12.75">
      <c r="A431" s="8">
        <v>43905.182326388887</v>
      </c>
      <c r="B431" s="8" t="str">
        <f>HYPERLINK("https://twitter.com/fatihsyuhud","@fatihsyuhud")</f>
        <v>@fatihsyuhud</v>
      </c>
      <c r="C431" s="8" t="s">
        <v>240</v>
      </c>
      <c r="D431" s="8">
        <v>0</v>
      </c>
      <c r="E431" s="8">
        <v>0</v>
      </c>
      <c r="F431" s="8">
        <v>11700</v>
      </c>
    </row>
    <row r="432" spans="1:6" ht="12.75">
      <c r="A432" s="8">
        <v>43905.174953703703</v>
      </c>
      <c r="B432" s="8" t="str">
        <f>HYPERLINK("https://twitter.com/siskavalentino1","@siskavalentino1")</f>
        <v>@siskavalentino1</v>
      </c>
      <c r="C432" s="8" t="s">
        <v>241</v>
      </c>
      <c r="D432" s="8">
        <v>0</v>
      </c>
      <c r="E432" s="8">
        <v>0</v>
      </c>
      <c r="F432" s="8">
        <v>116</v>
      </c>
    </row>
    <row r="433" spans="1:6" ht="12.75">
      <c r="A433" s="8">
        <v>43905.174247685187</v>
      </c>
      <c r="B433" s="8" t="str">
        <f>HYPERLINK("https://twitter.com/isis_scheid","@isis_scheid")</f>
        <v>@isis_scheid</v>
      </c>
      <c r="C433" s="8" t="s">
        <v>242</v>
      </c>
      <c r="D433" s="8">
        <v>0</v>
      </c>
      <c r="E433" s="8">
        <v>0</v>
      </c>
      <c r="F433" s="8">
        <v>453</v>
      </c>
    </row>
    <row r="434" spans="1:6" ht="12.75">
      <c r="A434" s="8">
        <v>43905.173750000002</v>
      </c>
      <c r="B434" s="8" t="str">
        <f>HYPERLINK("https://twitter.com/etty_markim","@etty_markim")</f>
        <v>@etty_markim</v>
      </c>
      <c r="C434" s="8" t="s">
        <v>243</v>
      </c>
      <c r="D434" s="8">
        <v>0</v>
      </c>
      <c r="E434" s="8">
        <v>0</v>
      </c>
      <c r="F434" s="8">
        <v>1304</v>
      </c>
    </row>
    <row r="435" spans="1:6" ht="12.75">
      <c r="A435" s="8">
        <v>43905.171087962968</v>
      </c>
      <c r="B435" s="8" t="str">
        <f>HYPERLINK("https://twitter.com/mudha_satriya","@mudha_satriya")</f>
        <v>@mudha_satriya</v>
      </c>
      <c r="C435" s="8" t="s">
        <v>113</v>
      </c>
      <c r="D435" s="8">
        <v>1</v>
      </c>
      <c r="E435" s="8">
        <v>0</v>
      </c>
      <c r="F435" s="8">
        <v>1890</v>
      </c>
    </row>
    <row r="436" spans="1:6" ht="12.75">
      <c r="A436" s="8">
        <v>43905.169363425928</v>
      </c>
      <c r="B436" s="8" t="str">
        <f>HYPERLINK("https://twitter.com/EmiRoldanP","@EmiRoldanP")</f>
        <v>@EmiRoldanP</v>
      </c>
      <c r="C436" s="8" t="s">
        <v>244</v>
      </c>
      <c r="D436" s="8">
        <v>0</v>
      </c>
      <c r="E436" s="8">
        <v>0</v>
      </c>
      <c r="F436" s="8">
        <v>381</v>
      </c>
    </row>
    <row r="437" spans="1:6" ht="12.75">
      <c r="A437" s="8">
        <v>43905.165717592594</v>
      </c>
      <c r="B437" s="8" t="str">
        <f>HYPERLINK("https://twitter.com/fadjroeL","@fadjroeL")</f>
        <v>@fadjroeL</v>
      </c>
      <c r="C437" s="8" t="s">
        <v>245</v>
      </c>
      <c r="D437" s="8">
        <v>1</v>
      </c>
      <c r="E437" s="8">
        <v>4</v>
      </c>
      <c r="F437" s="8">
        <v>997424</v>
      </c>
    </row>
    <row r="438" spans="1:6" ht="12.75">
      <c r="A438" s="8">
        <v>43905.162581018521</v>
      </c>
      <c r="B438" s="8" t="str">
        <f>HYPERLINK("https://twitter.com/ListianSA","@ListianSA")</f>
        <v>@ListianSA</v>
      </c>
      <c r="C438" s="8" t="s">
        <v>246</v>
      </c>
      <c r="D438" s="8">
        <v>1</v>
      </c>
      <c r="E438" s="8">
        <v>0</v>
      </c>
      <c r="F438" s="8">
        <v>112</v>
      </c>
    </row>
    <row r="439" spans="1:6" ht="12.75">
      <c r="A439" s="8">
        <v>43905.160844907412</v>
      </c>
      <c r="B439" s="8" t="str">
        <f>HYPERLINK("https://twitter.com/IndonesiaInCPH","@IndonesiaInCPH")</f>
        <v>@IndonesiaInCPH</v>
      </c>
      <c r="C439" s="8" t="s">
        <v>247</v>
      </c>
      <c r="D439" s="8">
        <v>1</v>
      </c>
      <c r="E439" s="8">
        <v>1</v>
      </c>
      <c r="F439" s="8">
        <v>1365</v>
      </c>
    </row>
    <row r="440" spans="1:6" ht="12.75">
      <c r="A440" s="8">
        <v>43905.159351851849</v>
      </c>
      <c r="B440" s="8" t="str">
        <f>HYPERLINK("https://twitter.com/devenucendres","@devenucendres")</f>
        <v>@devenucendres</v>
      </c>
      <c r="C440" s="8" t="s">
        <v>248</v>
      </c>
      <c r="D440" s="8">
        <v>0</v>
      </c>
      <c r="E440" s="8">
        <v>0</v>
      </c>
      <c r="F440" s="8">
        <v>14</v>
      </c>
    </row>
    <row r="441" spans="1:6" ht="12.75">
      <c r="A441" s="8">
        <v>43905.155798611115</v>
      </c>
      <c r="B441" s="8" t="str">
        <f>HYPERLINK("https://twitter.com/_wni_","@_wni_")</f>
        <v>@_wni_</v>
      </c>
      <c r="C441" s="8" t="s">
        <v>249</v>
      </c>
      <c r="D441" s="8">
        <v>435</v>
      </c>
      <c r="E441" s="8">
        <v>0</v>
      </c>
      <c r="F441" s="8">
        <v>21</v>
      </c>
    </row>
    <row r="442" spans="1:6" ht="12.75">
      <c r="A442" s="8">
        <v>43905.152349537035</v>
      </c>
      <c r="B442" s="8" t="str">
        <f>HYPERLINK("https://twitter.com/Exmus10","@Exmus10")</f>
        <v>@Exmus10</v>
      </c>
      <c r="C442" s="8" t="s">
        <v>250</v>
      </c>
      <c r="D442" s="8">
        <v>1</v>
      </c>
      <c r="E442" s="8">
        <v>0</v>
      </c>
      <c r="F442" s="8">
        <v>8</v>
      </c>
    </row>
    <row r="443" spans="1:6" ht="12.75">
      <c r="A443" s="8">
        <v>43905.145497685182</v>
      </c>
      <c r="B443" s="8" t="str">
        <f>HYPERLINK("https://twitter.com/meftafitri","@meftafitri")</f>
        <v>@meftafitri</v>
      </c>
      <c r="C443" s="8" t="s">
        <v>251</v>
      </c>
      <c r="D443" s="8">
        <v>0</v>
      </c>
      <c r="E443" s="8">
        <v>0</v>
      </c>
      <c r="F443" s="8">
        <v>408</v>
      </c>
    </row>
    <row r="444" spans="1:6" ht="12.75">
      <c r="A444" s="8">
        <v>43905.145034722227</v>
      </c>
      <c r="B444" s="8" t="str">
        <f>HYPERLINK("https://twitter.com/VelianiVelinars","@VelianiVelinars")</f>
        <v>@VelianiVelinars</v>
      </c>
      <c r="C444" s="8" t="s">
        <v>10</v>
      </c>
      <c r="D444" s="8">
        <v>32</v>
      </c>
      <c r="E444" s="8">
        <v>0</v>
      </c>
      <c r="F444" s="8">
        <v>5508</v>
      </c>
    </row>
    <row r="445" spans="1:6" ht="12.75">
      <c r="A445" s="8">
        <v>43905.140763888892</v>
      </c>
      <c r="B445" s="8" t="str">
        <f>HYPERLINK("https://twitter.com/DutaHapsara","@DutaHapsara")</f>
        <v>@DutaHapsara</v>
      </c>
      <c r="C445" s="8" t="s">
        <v>252</v>
      </c>
      <c r="D445" s="8">
        <v>1</v>
      </c>
      <c r="E445" s="8">
        <v>0</v>
      </c>
      <c r="F445" s="8">
        <v>3049</v>
      </c>
    </row>
    <row r="446" spans="1:6" ht="12.75">
      <c r="A446" s="8">
        <v>43905.138310185182</v>
      </c>
      <c r="B446" s="8" t="str">
        <f>HYPERLINK("https://twitter.com/SyarifAlkadrie3","@SyarifAlkadrie3")</f>
        <v>@SyarifAlkadrie3</v>
      </c>
      <c r="C446" s="8" t="s">
        <v>253</v>
      </c>
      <c r="D446" s="8">
        <v>1</v>
      </c>
      <c r="E446" s="8">
        <v>0</v>
      </c>
      <c r="F446" s="8">
        <v>955</v>
      </c>
    </row>
    <row r="447" spans="1:6" ht="12.75">
      <c r="A447" s="8">
        <v>43905.136192129634</v>
      </c>
      <c r="B447" s="8" t="str">
        <f>HYPERLINK("https://twitter.com/riyandistaa","@riyandistaa")</f>
        <v>@riyandistaa</v>
      </c>
      <c r="C447" s="8" t="s">
        <v>54</v>
      </c>
      <c r="D447" s="8">
        <v>90</v>
      </c>
      <c r="E447" s="8">
        <v>0</v>
      </c>
      <c r="F447" s="8">
        <v>105</v>
      </c>
    </row>
    <row r="448" spans="1:6" ht="12.75">
      <c r="A448" s="8">
        <v>43905.133252314816</v>
      </c>
      <c r="B448" s="8" t="str">
        <f>HYPERLINK("https://twitter.com/Irawanthea","@Irawanthea")</f>
        <v>@Irawanthea</v>
      </c>
      <c r="C448" s="8" t="s">
        <v>235</v>
      </c>
      <c r="D448" s="8">
        <v>2</v>
      </c>
      <c r="E448" s="8">
        <v>0</v>
      </c>
      <c r="F448" s="8">
        <v>2044</v>
      </c>
    </row>
    <row r="449" spans="1:6" ht="12.75">
      <c r="A449" s="8">
        <v>43905.132974537039</v>
      </c>
      <c r="B449" s="8" t="str">
        <f>HYPERLINK("https://twitter.com/AgusSup39011241","@AgusSup39011241")</f>
        <v>@AgusSup39011241</v>
      </c>
      <c r="C449" s="8" t="s">
        <v>254</v>
      </c>
      <c r="D449" s="8">
        <v>1</v>
      </c>
      <c r="E449" s="8">
        <v>0</v>
      </c>
      <c r="F449" s="8">
        <v>10505</v>
      </c>
    </row>
    <row r="450" spans="1:6" ht="12.75">
      <c r="A450" s="8">
        <v>43905.131956018522</v>
      </c>
      <c r="B450" s="8" t="str">
        <f>HYPERLINK("https://twitter.com/nurriniwyanti","@nurriniwyanti")</f>
        <v>@nurriniwyanti</v>
      </c>
      <c r="C450" s="8" t="s">
        <v>255</v>
      </c>
      <c r="D450" s="8">
        <v>2</v>
      </c>
      <c r="E450" s="8">
        <v>0</v>
      </c>
      <c r="F450" s="8">
        <v>397</v>
      </c>
    </row>
    <row r="451" spans="1:6" ht="12.75">
      <c r="A451" s="8">
        <v>43905.12903935185</v>
      </c>
      <c r="B451" s="8" t="str">
        <f>HYPERLINK("https://twitter.com/BilsonSS","@BilsonSS")</f>
        <v>@BilsonSS</v>
      </c>
      <c r="C451" s="8" t="s">
        <v>54</v>
      </c>
      <c r="D451" s="8">
        <v>89</v>
      </c>
      <c r="E451" s="8">
        <v>0</v>
      </c>
      <c r="F451" s="8">
        <v>226</v>
      </c>
    </row>
    <row r="452" spans="1:6" ht="12.75">
      <c r="A452" s="8">
        <v>43905.12871527778</v>
      </c>
      <c r="B452" s="8" t="str">
        <f>HYPERLINK("https://twitter.com/ahmadthreeten","@ahmadthreeten")</f>
        <v>@ahmadthreeten</v>
      </c>
      <c r="C452" s="8" t="s">
        <v>256</v>
      </c>
      <c r="D452" s="8">
        <v>0</v>
      </c>
      <c r="E452" s="8">
        <v>0</v>
      </c>
      <c r="F452" s="8">
        <v>1201</v>
      </c>
    </row>
    <row r="453" spans="1:6" ht="12.75">
      <c r="A453" s="8">
        <v>43905.12835648148</v>
      </c>
      <c r="B453" s="8" t="str">
        <f>HYPERLINK("https://twitter.com/kbrimanama","@kbrimanama")</f>
        <v>@kbrimanama</v>
      </c>
      <c r="C453" s="8" t="s">
        <v>203</v>
      </c>
      <c r="D453" s="8">
        <v>53</v>
      </c>
      <c r="E453" s="8">
        <v>0</v>
      </c>
      <c r="F453" s="8">
        <v>1435</v>
      </c>
    </row>
    <row r="454" spans="1:6" ht="12.75">
      <c r="A454" s="8">
        <v>43905.127951388888</v>
      </c>
      <c r="B454" s="8" t="str">
        <f>HYPERLINK("https://twitter.com/ahmadthreeten","@ahmadthreeten")</f>
        <v>@ahmadthreeten</v>
      </c>
      <c r="C454" s="8" t="s">
        <v>257</v>
      </c>
      <c r="D454" s="8">
        <v>0</v>
      </c>
      <c r="E454" s="8">
        <v>0</v>
      </c>
      <c r="F454" s="8">
        <v>1201</v>
      </c>
    </row>
    <row r="455" spans="1:6" ht="12.75">
      <c r="A455" s="8">
        <v>43905.127824074079</v>
      </c>
      <c r="B455" s="8" t="str">
        <f>HYPERLINK("https://twitter.com/arief_purnama","@arief_purnama")</f>
        <v>@arief_purnama</v>
      </c>
      <c r="C455" s="8" t="s">
        <v>258</v>
      </c>
      <c r="D455" s="8">
        <v>0</v>
      </c>
      <c r="E455" s="8">
        <v>0</v>
      </c>
      <c r="F455" s="8">
        <v>85</v>
      </c>
    </row>
    <row r="456" spans="1:6" ht="12.75">
      <c r="A456" s="8">
        <v>43905.122407407413</v>
      </c>
      <c r="B456" s="8" t="str">
        <f t="shared" ref="B456:B460" si="9">HYPERLINK("https://twitter.com/KBRI_Khartoum","@KBRI_Khartoum")</f>
        <v>@KBRI_Khartoum</v>
      </c>
      <c r="C456" s="8" t="s">
        <v>259</v>
      </c>
      <c r="D456" s="8">
        <v>0</v>
      </c>
      <c r="E456" s="8">
        <v>0</v>
      </c>
      <c r="F456" s="8">
        <v>634</v>
      </c>
    </row>
    <row r="457" spans="1:6" ht="12.75">
      <c r="A457" s="8">
        <v>43905.122349537036</v>
      </c>
      <c r="B457" s="8" t="str">
        <f t="shared" si="9"/>
        <v>@KBRI_Khartoum</v>
      </c>
      <c r="C457" s="8" t="s">
        <v>260</v>
      </c>
      <c r="D457" s="8">
        <v>0</v>
      </c>
      <c r="E457" s="8">
        <v>0</v>
      </c>
      <c r="F457" s="8">
        <v>634</v>
      </c>
    </row>
    <row r="458" spans="1:6" ht="12.75">
      <c r="A458" s="8">
        <v>43905.122314814813</v>
      </c>
      <c r="B458" s="8" t="str">
        <f t="shared" si="9"/>
        <v>@KBRI_Khartoum</v>
      </c>
      <c r="C458" s="8" t="s">
        <v>261</v>
      </c>
      <c r="D458" s="8">
        <v>0</v>
      </c>
      <c r="E458" s="8">
        <v>0</v>
      </c>
      <c r="F458" s="8">
        <v>634</v>
      </c>
    </row>
    <row r="459" spans="1:6" ht="12.75">
      <c r="A459" s="8">
        <v>43905.12228009259</v>
      </c>
      <c r="B459" s="8" t="str">
        <f t="shared" si="9"/>
        <v>@KBRI_Khartoum</v>
      </c>
      <c r="C459" s="8" t="s">
        <v>262</v>
      </c>
      <c r="D459" s="8">
        <v>0</v>
      </c>
      <c r="E459" s="8">
        <v>0</v>
      </c>
      <c r="F459" s="8">
        <v>634</v>
      </c>
    </row>
    <row r="460" spans="1:6" ht="12.75">
      <c r="A460" s="8">
        <v>43905.122233796297</v>
      </c>
      <c r="B460" s="8" t="str">
        <f t="shared" si="9"/>
        <v>@KBRI_Khartoum</v>
      </c>
      <c r="C460" s="8" t="s">
        <v>263</v>
      </c>
      <c r="D460" s="8">
        <v>0</v>
      </c>
      <c r="E460" s="8">
        <v>0</v>
      </c>
      <c r="F460" s="8">
        <v>634</v>
      </c>
    </row>
    <row r="461" spans="1:6" ht="12.75">
      <c r="A461" s="8">
        <v>43905.119108796294</v>
      </c>
      <c r="B461" s="8" t="str">
        <f>HYPERLINK("https://twitter.com/niningasih","@niningasih")</f>
        <v>@niningasih</v>
      </c>
      <c r="C461" s="8" t="s">
        <v>264</v>
      </c>
      <c r="D461" s="8">
        <v>0</v>
      </c>
      <c r="E461" s="8">
        <v>0</v>
      </c>
      <c r="F461" s="8">
        <v>1181</v>
      </c>
    </row>
    <row r="462" spans="1:6" ht="12.75">
      <c r="A462" s="8">
        <v>43905.118599537032</v>
      </c>
      <c r="B462" s="8" t="str">
        <f>HYPERLINK("https://twitter.com/taufiq_lamsuhur","@taufiq_lamsuhur")</f>
        <v>@taufiq_lamsuhur</v>
      </c>
      <c r="C462" s="8" t="s">
        <v>265</v>
      </c>
      <c r="D462" s="8">
        <v>2</v>
      </c>
      <c r="E462" s="8">
        <v>0</v>
      </c>
      <c r="F462" s="8">
        <v>119</v>
      </c>
    </row>
    <row r="463" spans="1:6" ht="12.75">
      <c r="A463" s="8">
        <v>43905.117164351846</v>
      </c>
      <c r="B463" s="8" t="str">
        <f t="shared" ref="B463:B464" si="10">HYPERLINK("https://twitter.com/BebasVisaID","@BebasVisaID")</f>
        <v>@BebasVisaID</v>
      </c>
      <c r="C463" s="8" t="s">
        <v>152</v>
      </c>
      <c r="D463" s="8">
        <v>1</v>
      </c>
      <c r="E463" s="8">
        <v>0</v>
      </c>
      <c r="F463" s="8">
        <v>7977</v>
      </c>
    </row>
    <row r="464" spans="1:6" ht="12.75">
      <c r="A464" s="8">
        <v>43905.117106481484</v>
      </c>
      <c r="B464" s="8" t="str">
        <f t="shared" si="10"/>
        <v>@BebasVisaID</v>
      </c>
      <c r="C464" s="8" t="s">
        <v>182</v>
      </c>
      <c r="D464" s="8">
        <v>3</v>
      </c>
      <c r="E464" s="8">
        <v>0</v>
      </c>
      <c r="F464" s="8">
        <v>7977</v>
      </c>
    </row>
    <row r="465" spans="1:6" ht="12.75">
      <c r="A465" s="8">
        <v>43905.116701388892</v>
      </c>
      <c r="B465" s="8" t="str">
        <f>HYPERLINK("https://twitter.com/wni_jmsri","@wni_jmsri")</f>
        <v>@wni_jmsri</v>
      </c>
      <c r="C465" s="8" t="s">
        <v>266</v>
      </c>
      <c r="D465" s="8">
        <v>814</v>
      </c>
      <c r="E465" s="8">
        <v>0</v>
      </c>
      <c r="F465" s="8">
        <v>199</v>
      </c>
    </row>
    <row r="466" spans="1:6" ht="12.75">
      <c r="A466" s="8">
        <v>43905.114710648151</v>
      </c>
      <c r="B466" s="8" t="str">
        <f>HYPERLINK("https://twitter.com/GoldenrulesJong","@GoldenrulesJong")</f>
        <v>@GoldenrulesJong</v>
      </c>
      <c r="C466" s="8" t="s">
        <v>102</v>
      </c>
      <c r="D466" s="8">
        <v>48</v>
      </c>
      <c r="E466" s="8">
        <v>0</v>
      </c>
      <c r="F466" s="8">
        <v>246</v>
      </c>
    </row>
    <row r="467" spans="1:6" ht="12.75">
      <c r="A467" s="8">
        <v>43905.112685185188</v>
      </c>
      <c r="B467" s="8" t="str">
        <f>HYPERLINK("https://twitter.com/IvanRT05","@IvanRT05")</f>
        <v>@IvanRT05</v>
      </c>
      <c r="C467" s="8" t="s">
        <v>267</v>
      </c>
      <c r="D467" s="8">
        <v>0</v>
      </c>
      <c r="E467" s="8">
        <v>0</v>
      </c>
      <c r="F467" s="8">
        <v>658</v>
      </c>
    </row>
    <row r="468" spans="1:6" ht="12.75">
      <c r="A468" s="8">
        <v>43905.112141203703</v>
      </c>
      <c r="B468" s="8" t="str">
        <f>HYPERLINK("https://twitter.com/sanuri118","@sanuri118")</f>
        <v>@sanuri118</v>
      </c>
      <c r="C468" s="8" t="s">
        <v>268</v>
      </c>
      <c r="D468" s="8">
        <v>0</v>
      </c>
      <c r="E468" s="8">
        <v>0</v>
      </c>
      <c r="F468" s="8">
        <v>1790</v>
      </c>
    </row>
    <row r="469" spans="1:6" ht="12.75">
      <c r="A469" s="8">
        <v>43905.110046296293</v>
      </c>
      <c r="B469" s="8" t="str">
        <f>HYPERLINK("https://twitter.com/LC01L","@LC01L")</f>
        <v>@LC01L</v>
      </c>
      <c r="C469" s="8" t="s">
        <v>102</v>
      </c>
      <c r="D469" s="8">
        <v>48</v>
      </c>
      <c r="E469" s="8">
        <v>0</v>
      </c>
      <c r="F469" s="8">
        <v>251</v>
      </c>
    </row>
    <row r="470" spans="1:6" ht="12.75">
      <c r="A470" s="8">
        <v>43905.109444444446</v>
      </c>
      <c r="B470" s="8" t="str">
        <f>HYPERLINK("https://twitter.com/BonnieAjah","@BonnieAjah")</f>
        <v>@BonnieAjah</v>
      </c>
      <c r="C470" s="8" t="s">
        <v>269</v>
      </c>
      <c r="D470" s="8">
        <v>12</v>
      </c>
      <c r="E470" s="8">
        <v>0</v>
      </c>
      <c r="F470" s="8">
        <v>4883</v>
      </c>
    </row>
    <row r="471" spans="1:6" ht="12.75">
      <c r="A471" s="8">
        <v>43905.107534722221</v>
      </c>
      <c r="B471" s="8" t="str">
        <f>HYPERLINK("https://twitter.com/KBRIWashDC","@KBRIWashDC")</f>
        <v>@KBRIWashDC</v>
      </c>
      <c r="C471" s="8" t="s">
        <v>270</v>
      </c>
      <c r="D471" s="8">
        <v>0</v>
      </c>
      <c r="E471" s="8">
        <v>0</v>
      </c>
      <c r="F471" s="8">
        <v>19464</v>
      </c>
    </row>
    <row r="472" spans="1:6" ht="12.75">
      <c r="A472" s="8">
        <v>43905.105787037042</v>
      </c>
      <c r="B472" s="8" t="str">
        <f>HYPERLINK("https://twitter.com/21Lai21","@21Lai21")</f>
        <v>@21Lai21</v>
      </c>
      <c r="C472" s="8" t="s">
        <v>107</v>
      </c>
      <c r="D472" s="8">
        <v>47</v>
      </c>
      <c r="E472" s="8">
        <v>0</v>
      </c>
      <c r="F472" s="8">
        <v>306</v>
      </c>
    </row>
    <row r="473" spans="1:6" ht="12.75">
      <c r="A473" s="8">
        <v>43905.102337962962</v>
      </c>
      <c r="B473" s="8" t="str">
        <f>HYPERLINK("https://twitter.com/KJRI_Vancouver","@KJRI_Vancouver")</f>
        <v>@KJRI_Vancouver</v>
      </c>
      <c r="C473" s="8" t="s">
        <v>203</v>
      </c>
      <c r="D473" s="8">
        <v>53</v>
      </c>
      <c r="E473" s="8">
        <v>0</v>
      </c>
      <c r="F473" s="8">
        <v>2375</v>
      </c>
    </row>
    <row r="474" spans="1:6" ht="12.75">
      <c r="A474" s="8">
        <v>43905.101493055554</v>
      </c>
      <c r="B474" s="8" t="str">
        <f>HYPERLINK("https://twitter.com/DenBagusDhewe","@DenBagusDhewe")</f>
        <v>@DenBagusDhewe</v>
      </c>
      <c r="C474" s="8" t="s">
        <v>271</v>
      </c>
      <c r="D474" s="8">
        <v>0</v>
      </c>
      <c r="E474" s="8">
        <v>0</v>
      </c>
      <c r="F474" s="8">
        <v>1194</v>
      </c>
    </row>
    <row r="475" spans="1:6" ht="12.75">
      <c r="A475" s="8">
        <v>43905.099305555559</v>
      </c>
      <c r="B475" s="8" t="str">
        <f>HYPERLINK("https://twitter.com/Putrape38639444","@Putrape38639444")</f>
        <v>@Putrape38639444</v>
      </c>
      <c r="C475" s="8" t="s">
        <v>272</v>
      </c>
      <c r="D475" s="8">
        <v>38</v>
      </c>
      <c r="E475" s="8">
        <v>0</v>
      </c>
      <c r="F475" s="8">
        <v>454</v>
      </c>
    </row>
    <row r="476" spans="1:6" ht="12.75">
      <c r="A476" s="8">
        <v>43905.097245370373</v>
      </c>
      <c r="B476" s="8" t="str">
        <f>HYPERLINK("https://twitter.com/Berita_Lainnya","@Berita_Lainnya")</f>
        <v>@Berita_Lainnya</v>
      </c>
      <c r="C476" s="8" t="s">
        <v>273</v>
      </c>
      <c r="D476" s="8">
        <v>0</v>
      </c>
      <c r="E476" s="8">
        <v>0</v>
      </c>
      <c r="F476" s="8">
        <v>1092</v>
      </c>
    </row>
    <row r="477" spans="1:6" ht="12.75">
      <c r="A477" s="8">
        <v>43905.096226851849</v>
      </c>
      <c r="B477" s="8" t="str">
        <f>HYPERLINK("https://twitter.com/koswara","@koswara")</f>
        <v>@koswara</v>
      </c>
      <c r="C477" s="8" t="s">
        <v>274</v>
      </c>
      <c r="D477" s="8">
        <v>0</v>
      </c>
      <c r="E477" s="8">
        <v>0</v>
      </c>
      <c r="F477" s="8">
        <v>736</v>
      </c>
    </row>
    <row r="478" spans="1:6" ht="12.75">
      <c r="A478" s="8">
        <v>43905.094212962962</v>
      </c>
      <c r="B478" s="8" t="str">
        <f>HYPERLINK("https://twitter.com/HESTCHI","@HESTCHI")</f>
        <v>@HESTCHI</v>
      </c>
      <c r="C478" s="8" t="s">
        <v>34</v>
      </c>
      <c r="D478" s="8">
        <v>7</v>
      </c>
      <c r="E478" s="8">
        <v>0</v>
      </c>
      <c r="F478" s="8">
        <v>1318</v>
      </c>
    </row>
    <row r="479" spans="1:6" ht="12.75">
      <c r="A479" s="8">
        <v>43905.094004629631</v>
      </c>
      <c r="B479" s="8" t="str">
        <f>HYPERLINK("https://twitter.com/YugiSus","@YugiSus")</f>
        <v>@YugiSus</v>
      </c>
      <c r="C479" s="8" t="s">
        <v>275</v>
      </c>
      <c r="D479" s="8">
        <v>0</v>
      </c>
      <c r="E479" s="8">
        <v>0</v>
      </c>
      <c r="F479" s="8">
        <v>1</v>
      </c>
    </row>
    <row r="480" spans="1:6" ht="12.75">
      <c r="A480" s="8">
        <v>43905.093310185184</v>
      </c>
      <c r="B480" s="8" t="str">
        <f>HYPERLINK("https://twitter.com/wiponk","@wiponk")</f>
        <v>@wiponk</v>
      </c>
      <c r="C480" s="8" t="s">
        <v>34</v>
      </c>
      <c r="D480" s="8">
        <v>7</v>
      </c>
      <c r="E480" s="8">
        <v>0</v>
      </c>
      <c r="F480" s="8">
        <v>1628</v>
      </c>
    </row>
    <row r="481" spans="1:6" ht="12.75">
      <c r="A481" s="8">
        <v>43905.093287037038</v>
      </c>
      <c r="B481" s="8" t="str">
        <f>HYPERLINK("https://twitter.com/Randdict","@Randdict")</f>
        <v>@Randdict</v>
      </c>
      <c r="C481" s="8" t="s">
        <v>276</v>
      </c>
      <c r="D481" s="8">
        <v>3</v>
      </c>
      <c r="E481" s="8">
        <v>0</v>
      </c>
      <c r="F481" s="8">
        <v>822</v>
      </c>
    </row>
    <row r="482" spans="1:6" ht="12.75">
      <c r="A482" s="8">
        <v>43905.092962962968</v>
      </c>
      <c r="B482" s="8" t="str">
        <f>HYPERLINK("https://twitter.com/harleyquish","@harleyquish")</f>
        <v>@harleyquish</v>
      </c>
      <c r="C482" s="8" t="s">
        <v>277</v>
      </c>
      <c r="D482" s="8">
        <v>4</v>
      </c>
      <c r="E482" s="8">
        <v>0</v>
      </c>
      <c r="F482" s="8">
        <v>1277</v>
      </c>
    </row>
    <row r="483" spans="1:6" ht="12.75">
      <c r="A483" s="8">
        <v>43905.09065972222</v>
      </c>
      <c r="B483" s="8" t="str">
        <f>HYPERLINK("https://twitter.com/masdanang","@masdanang")</f>
        <v>@masdanang</v>
      </c>
      <c r="C483" s="8" t="s">
        <v>278</v>
      </c>
      <c r="D483" s="8">
        <v>1</v>
      </c>
      <c r="E483" s="8">
        <v>0</v>
      </c>
      <c r="F483" s="8">
        <v>427</v>
      </c>
    </row>
    <row r="484" spans="1:6" ht="12.75">
      <c r="A484" s="8">
        <v>43905.089525462958</v>
      </c>
      <c r="B484" s="8" t="str">
        <f>HYPERLINK("https://twitter.com/KapoorManoj","@KapoorManoj")</f>
        <v>@KapoorManoj</v>
      </c>
      <c r="C484" s="8" t="s">
        <v>279</v>
      </c>
      <c r="D484" s="8">
        <v>0</v>
      </c>
      <c r="E484" s="8">
        <v>0</v>
      </c>
      <c r="F484" s="8">
        <v>36</v>
      </c>
    </row>
    <row r="485" spans="1:6" ht="12.75">
      <c r="A485" s="8">
        <v>43905.088263888887</v>
      </c>
      <c r="B485" s="8" t="str">
        <f>HYPERLINK("https://twitter.com/NicoleAngela23","@NicoleAngela23")</f>
        <v>@NicoleAngela23</v>
      </c>
      <c r="C485" s="8" t="s">
        <v>54</v>
      </c>
      <c r="D485" s="8">
        <v>87</v>
      </c>
      <c r="E485" s="8">
        <v>0</v>
      </c>
      <c r="F485" s="8">
        <v>441</v>
      </c>
    </row>
    <row r="486" spans="1:6" ht="12.75">
      <c r="A486" s="8">
        <v>43905.087060185186</v>
      </c>
      <c r="B486" s="8" t="str">
        <f>HYPERLINK("https://twitter.com/xsendoy","@xsendoy")</f>
        <v>@xsendoy</v>
      </c>
      <c r="C486" s="8" t="s">
        <v>280</v>
      </c>
      <c r="D486" s="8">
        <v>0</v>
      </c>
      <c r="E486" s="8">
        <v>0</v>
      </c>
      <c r="F486" s="8">
        <v>131</v>
      </c>
    </row>
    <row r="487" spans="1:6" ht="12.75">
      <c r="A487" s="8">
        <v>43905.086886574078</v>
      </c>
      <c r="B487" s="8" t="str">
        <f>HYPERLINK("https://twitter.com/DeanggaSemara","@DeanggaSemara")</f>
        <v>@DeanggaSemara</v>
      </c>
      <c r="C487" s="8" t="s">
        <v>281</v>
      </c>
      <c r="D487" s="8">
        <v>0</v>
      </c>
      <c r="E487" s="8">
        <v>0</v>
      </c>
      <c r="F487" s="8">
        <v>837</v>
      </c>
    </row>
    <row r="488" spans="1:6" ht="12.75">
      <c r="A488" s="8">
        <v>43905.08630787037</v>
      </c>
      <c r="B488" s="8" t="str">
        <f>HYPERLINK("https://twitter.com/ariefjoenaedy","@ariefjoenaedy")</f>
        <v>@ariefjoenaedy</v>
      </c>
      <c r="C488" s="8" t="s">
        <v>282</v>
      </c>
      <c r="D488" s="8">
        <v>44</v>
      </c>
      <c r="E488" s="8">
        <v>0</v>
      </c>
      <c r="F488" s="8">
        <v>218</v>
      </c>
    </row>
    <row r="489" spans="1:6" ht="12.75">
      <c r="A489" s="8">
        <v>43905.085497685184</v>
      </c>
      <c r="B489" s="8" t="str">
        <f>HYPERLINK("https://twitter.com/riyadhwinter","@riyadhwinter")</f>
        <v>@riyadhwinter</v>
      </c>
      <c r="C489" s="8" t="s">
        <v>203</v>
      </c>
      <c r="D489" s="8">
        <v>51</v>
      </c>
      <c r="E489" s="8">
        <v>0</v>
      </c>
      <c r="F489" s="8">
        <v>16</v>
      </c>
    </row>
    <row r="490" spans="1:6" ht="12.75">
      <c r="A490" s="8">
        <v>43905.085127314815</v>
      </c>
      <c r="B490" s="8" t="str">
        <f>HYPERLINK("https://twitter.com/kendalatanpaend","@kendalatanpaend")</f>
        <v>@kendalatanpaend</v>
      </c>
      <c r="C490" s="8" t="s">
        <v>283</v>
      </c>
      <c r="D490" s="8">
        <v>0</v>
      </c>
      <c r="E490" s="8">
        <v>0</v>
      </c>
      <c r="F490" s="8">
        <v>13</v>
      </c>
    </row>
    <row r="491" spans="1:6" ht="12.75">
      <c r="A491" s="8">
        <v>43905.085115740745</v>
      </c>
      <c r="B491" s="8" t="str">
        <f>HYPERLINK("https://twitter.com/21Lai21","@21Lai21")</f>
        <v>@21Lai21</v>
      </c>
      <c r="C491" s="8" t="s">
        <v>10</v>
      </c>
      <c r="D491" s="8">
        <v>31</v>
      </c>
      <c r="E491" s="8">
        <v>0</v>
      </c>
      <c r="F491" s="8">
        <v>306</v>
      </c>
    </row>
    <row r="492" spans="1:6" ht="12.75">
      <c r="A492" s="8">
        <v>43905.08121527778</v>
      </c>
      <c r="B492" s="8" t="str">
        <f>HYPERLINK("https://twitter.com/Handoyo_NP_06","@Handoyo_NP_06")</f>
        <v>@Handoyo_NP_06</v>
      </c>
      <c r="C492" s="8" t="s">
        <v>284</v>
      </c>
      <c r="D492" s="8">
        <v>1</v>
      </c>
      <c r="E492" s="8">
        <v>0</v>
      </c>
      <c r="F492" s="8">
        <v>1000</v>
      </c>
    </row>
    <row r="493" spans="1:6" ht="12.75">
      <c r="A493" s="8">
        <v>43905.077870370369</v>
      </c>
      <c r="B493" s="8" t="str">
        <f>HYPERLINK("https://twitter.com/herprivatemoon","@herprivatemoon")</f>
        <v>@herprivatemoon</v>
      </c>
      <c r="C493" s="8" t="s">
        <v>54</v>
      </c>
      <c r="D493" s="8">
        <v>87</v>
      </c>
      <c r="E493" s="8">
        <v>0</v>
      </c>
      <c r="F493" s="8">
        <v>151</v>
      </c>
    </row>
    <row r="494" spans="1:6" ht="12.75">
      <c r="A494" s="8">
        <v>43905.077789351853</v>
      </c>
      <c r="B494" s="8" t="str">
        <f>HYPERLINK("https://twitter.com/meliamaine","@meliamaine")</f>
        <v>@meliamaine</v>
      </c>
      <c r="C494" s="8" t="s">
        <v>10</v>
      </c>
      <c r="D494" s="8">
        <v>31</v>
      </c>
      <c r="E494" s="8">
        <v>0</v>
      </c>
      <c r="F494" s="8">
        <v>541</v>
      </c>
    </row>
    <row r="495" spans="1:6" ht="12.75">
      <c r="A495" s="8">
        <v>43905.076967592591</v>
      </c>
      <c r="B495" s="8" t="str">
        <f>HYPERLINK("https://twitter.com/alberthin_lucas","@alberthin_lucas")</f>
        <v>@alberthin_lucas</v>
      </c>
      <c r="C495" s="8" t="s">
        <v>54</v>
      </c>
      <c r="D495" s="8">
        <v>87</v>
      </c>
      <c r="E495" s="8">
        <v>0</v>
      </c>
      <c r="F495" s="8">
        <v>722</v>
      </c>
    </row>
    <row r="496" spans="1:6" ht="12.75">
      <c r="A496" s="8">
        <v>43905.076701388884</v>
      </c>
      <c r="B496" s="8" t="str">
        <f>HYPERLINK("https://twitter.com/masmulajah","@masmulajah")</f>
        <v>@masmulajah</v>
      </c>
      <c r="C496" s="8" t="s">
        <v>282</v>
      </c>
      <c r="D496" s="8">
        <v>44</v>
      </c>
      <c r="E496" s="8">
        <v>0</v>
      </c>
      <c r="F496" s="8">
        <v>360</v>
      </c>
    </row>
    <row r="497" spans="1:6" ht="12.75">
      <c r="A497" s="8">
        <v>43905.07640046296</v>
      </c>
      <c r="B497" s="8" t="str">
        <f>HYPERLINK("https://twitter.com/pakdeBins_____","@pakdeBins_____")</f>
        <v>@pakdeBins_____</v>
      </c>
      <c r="C497" s="8" t="s">
        <v>285</v>
      </c>
      <c r="D497" s="8">
        <v>3</v>
      </c>
      <c r="E497" s="8">
        <v>0</v>
      </c>
      <c r="F497" s="8">
        <v>19530</v>
      </c>
    </row>
    <row r="498" spans="1:6" ht="12.75">
      <c r="A498" s="8">
        <v>43905.076296296298</v>
      </c>
      <c r="B498" s="8" t="str">
        <f>HYPERLINK("https://twitter.com/bosedii3","@bosedii3")</f>
        <v>@bosedii3</v>
      </c>
      <c r="C498" s="8" t="s">
        <v>286</v>
      </c>
      <c r="D498" s="8">
        <v>0</v>
      </c>
      <c r="E498" s="8">
        <v>0</v>
      </c>
      <c r="F498" s="8">
        <v>14</v>
      </c>
    </row>
    <row r="499" spans="1:6" ht="12.75">
      <c r="A499" s="8">
        <v>43905.074756944443</v>
      </c>
      <c r="B499" s="8" t="str">
        <f>HYPERLINK("https://twitter.com/Mukulsaini11","@Mukulsaini11")</f>
        <v>@Mukulsaini11</v>
      </c>
      <c r="C499" s="8" t="s">
        <v>287</v>
      </c>
      <c r="D499" s="8">
        <v>0</v>
      </c>
      <c r="E499" s="8">
        <v>0</v>
      </c>
      <c r="F499" s="8">
        <v>3</v>
      </c>
    </row>
    <row r="500" spans="1:6" ht="12.75">
      <c r="A500" s="8">
        <v>43905.074594907404</v>
      </c>
      <c r="B500" s="8" t="str">
        <f>HYPERLINK("https://twitter.com/Handoyo_NP_06","@Handoyo_NP_06")</f>
        <v>@Handoyo_NP_06</v>
      </c>
      <c r="C500" s="8" t="s">
        <v>282</v>
      </c>
      <c r="D500" s="8">
        <v>44</v>
      </c>
      <c r="E500" s="8">
        <v>0</v>
      </c>
      <c r="F500" s="8">
        <v>1000</v>
      </c>
    </row>
    <row r="501" spans="1:6" ht="12.75">
      <c r="A501" s="8">
        <v>43905.071759259255</v>
      </c>
      <c r="B501" s="8" t="str">
        <f>HYPERLINK("https://twitter.com/ReformasiPan","@ReformasiPan")</f>
        <v>@ReformasiPan</v>
      </c>
      <c r="C501" s="8" t="s">
        <v>165</v>
      </c>
      <c r="D501" s="8">
        <v>136</v>
      </c>
      <c r="E501" s="8">
        <v>0</v>
      </c>
      <c r="F501" s="8">
        <v>1</v>
      </c>
    </row>
    <row r="502" spans="1:6" ht="12.75">
      <c r="A502" s="8">
        <v>43905.069282407407</v>
      </c>
      <c r="B502" s="8" t="str">
        <f>HYPERLINK("https://twitter.com/khloe_isis","@khloe_isis")</f>
        <v>@khloe_isis</v>
      </c>
      <c r="C502" s="8" t="s">
        <v>288</v>
      </c>
      <c r="D502" s="8">
        <v>3033</v>
      </c>
      <c r="E502" s="8">
        <v>0</v>
      </c>
      <c r="F502" s="8">
        <v>72</v>
      </c>
    </row>
    <row r="503" spans="1:6" ht="12.75">
      <c r="A503" s="8">
        <v>43905.068344907406</v>
      </c>
      <c r="B503" s="8" t="str">
        <f>HYPERLINK("https://twitter.com/Abrata73647759","@Abrata73647759")</f>
        <v>@Abrata73647759</v>
      </c>
      <c r="C503" s="8" t="s">
        <v>289</v>
      </c>
      <c r="D503" s="8">
        <v>162</v>
      </c>
      <c r="E503" s="8">
        <v>0</v>
      </c>
      <c r="F503" s="8">
        <v>72</v>
      </c>
    </row>
    <row r="504" spans="1:6" ht="12.75">
      <c r="A504" s="8">
        <v>43905.068148148144</v>
      </c>
      <c r="B504" s="8" t="str">
        <f>HYPERLINK("https://twitter.com/DAROSAFONTANAL1","@DAROSAFONTANAL1")</f>
        <v>@DAROSAFONTANAL1</v>
      </c>
      <c r="C504" s="8" t="s">
        <v>290</v>
      </c>
      <c r="D504" s="8">
        <v>1</v>
      </c>
      <c r="E504" s="8">
        <v>2</v>
      </c>
      <c r="F504" s="8">
        <v>1207</v>
      </c>
    </row>
    <row r="505" spans="1:6" ht="12.75">
      <c r="A505" s="8">
        <v>43905.066967592589</v>
      </c>
      <c r="B505" s="8" t="str">
        <f>HYPERLINK("https://twitter.com/yohandewa","@yohandewa")</f>
        <v>@yohandewa</v>
      </c>
      <c r="C505" s="8" t="s">
        <v>291</v>
      </c>
      <c r="D505" s="8">
        <v>0</v>
      </c>
      <c r="E505" s="8">
        <v>2</v>
      </c>
      <c r="F505" s="8">
        <v>3359</v>
      </c>
    </row>
    <row r="506" spans="1:6" ht="12.75">
      <c r="A506" s="8">
        <v>43905.066238425927</v>
      </c>
      <c r="B506" s="8" t="str">
        <f>HYPERLINK("https://twitter.com/tanianes","@tanianes")</f>
        <v>@tanianes</v>
      </c>
      <c r="C506" s="8" t="s">
        <v>14</v>
      </c>
      <c r="D506" s="8">
        <v>11</v>
      </c>
      <c r="E506" s="8">
        <v>0</v>
      </c>
      <c r="F506" s="8">
        <v>395</v>
      </c>
    </row>
    <row r="507" spans="1:6" ht="12.75">
      <c r="A507" s="8">
        <v>43905.065844907411</v>
      </c>
      <c r="B507" s="8" t="str">
        <f>HYPERLINK("https://twitter.com/adiwena_","@adiwena_")</f>
        <v>@adiwena_</v>
      </c>
      <c r="C507" s="8" t="s">
        <v>292</v>
      </c>
      <c r="D507" s="8">
        <v>0</v>
      </c>
      <c r="E507" s="8">
        <v>0</v>
      </c>
      <c r="F507" s="8">
        <v>202</v>
      </c>
    </row>
    <row r="508" spans="1:6" ht="12.75">
      <c r="A508" s="8">
        <v>43905.065254629633</v>
      </c>
      <c r="B508" s="8" t="str">
        <f>HYPERLINK("https://twitter.com/keziasapulete","@keziasapulete")</f>
        <v>@keziasapulete</v>
      </c>
      <c r="C508" s="8" t="s">
        <v>54</v>
      </c>
      <c r="D508" s="8">
        <v>87</v>
      </c>
      <c r="E508" s="8">
        <v>0</v>
      </c>
      <c r="F508" s="8">
        <v>646</v>
      </c>
    </row>
    <row r="509" spans="1:6" ht="12.75">
      <c r="A509" s="8">
        <v>43905.064722222218</v>
      </c>
      <c r="B509" s="8" t="str">
        <f>HYPERLINK("https://twitter.com/irfanms_12","@irfanms_12")</f>
        <v>@irfanms_12</v>
      </c>
      <c r="C509" s="8" t="s">
        <v>54</v>
      </c>
      <c r="D509" s="8">
        <v>87</v>
      </c>
      <c r="E509" s="8">
        <v>0</v>
      </c>
      <c r="F509" s="8">
        <v>319</v>
      </c>
    </row>
    <row r="510" spans="1:6" ht="12.75">
      <c r="A510" s="8">
        <v>43905.064583333333</v>
      </c>
      <c r="B510" s="8" t="str">
        <f>HYPERLINK("https://twitter.com/BerlandGroup","@BerlandGroup")</f>
        <v>@BerlandGroup</v>
      </c>
      <c r="C510" s="8" t="s">
        <v>293</v>
      </c>
      <c r="D510" s="8">
        <v>0</v>
      </c>
      <c r="E510" s="8">
        <v>0</v>
      </c>
      <c r="F510" s="8">
        <v>798</v>
      </c>
    </row>
    <row r="511" spans="1:6" ht="12.75">
      <c r="A511" s="8">
        <v>43905.06322916667</v>
      </c>
      <c r="B511" s="8" t="str">
        <f>HYPERLINK("https://twitter.com/jurnalpatrolin1","@jurnalpatrolin1")</f>
        <v>@jurnalpatrolin1</v>
      </c>
      <c r="C511" s="8" t="s">
        <v>294</v>
      </c>
      <c r="D511" s="8">
        <v>0</v>
      </c>
      <c r="E511" s="8">
        <v>0</v>
      </c>
      <c r="F511" s="8">
        <v>58</v>
      </c>
    </row>
    <row r="512" spans="1:6" ht="12.75">
      <c r="A512" s="8">
        <v>43905.063217592593</v>
      </c>
      <c r="B512" s="8" t="str">
        <f>HYPERLINK("https://twitter.com/KBRIDamaskus","@KBRIDamaskus")</f>
        <v>@KBRIDamaskus</v>
      </c>
      <c r="C512" s="8" t="s">
        <v>203</v>
      </c>
      <c r="D512" s="8">
        <v>51</v>
      </c>
      <c r="E512" s="8">
        <v>0</v>
      </c>
      <c r="F512" s="8">
        <v>342</v>
      </c>
    </row>
    <row r="513" spans="1:6" ht="12.75">
      <c r="A513" s="8">
        <v>43905.062083333338</v>
      </c>
      <c r="B513" s="8" t="str">
        <f>HYPERLINK("https://twitter.com/KangUbiBakar94","@KangUbiBakar94")</f>
        <v>@KangUbiBakar94</v>
      </c>
      <c r="C513" s="8" t="s">
        <v>295</v>
      </c>
      <c r="D513" s="8">
        <v>88</v>
      </c>
      <c r="E513" s="8">
        <v>0</v>
      </c>
      <c r="F513" s="8">
        <v>1361</v>
      </c>
    </row>
    <row r="514" spans="1:6" ht="12.75">
      <c r="A514" s="8">
        <v>43905.061284722222</v>
      </c>
      <c r="B514" s="8" t="str">
        <f>HYPERLINK("https://twitter.com/Amirmasoom131","@Amirmasoom131")</f>
        <v>@Amirmasoom131</v>
      </c>
      <c r="C514" s="8" t="s">
        <v>296</v>
      </c>
      <c r="D514" s="8">
        <v>0</v>
      </c>
      <c r="E514" s="8">
        <v>1</v>
      </c>
      <c r="F514" s="8">
        <v>746</v>
      </c>
    </row>
    <row r="515" spans="1:6" ht="12.75">
      <c r="A515" s="8">
        <v>43905.060266203705</v>
      </c>
      <c r="B515" s="8" t="str">
        <f>HYPERLINK("https://twitter.com/kembangIoyang","@kembangIoyang")</f>
        <v>@kembangIoyang</v>
      </c>
      <c r="C515" s="8" t="s">
        <v>49</v>
      </c>
      <c r="D515" s="8">
        <v>7</v>
      </c>
      <c r="E515" s="8">
        <v>0</v>
      </c>
      <c r="F515" s="8">
        <v>5416</v>
      </c>
    </row>
    <row r="516" spans="1:6" ht="12.75">
      <c r="A516" s="8">
        <v>43905.060254629629</v>
      </c>
      <c r="B516" s="8" t="str">
        <f>HYPERLINK("https://twitter.com/dnaminpark","@dnaminpark")</f>
        <v>@dnaminpark</v>
      </c>
      <c r="C516" s="8" t="s">
        <v>297</v>
      </c>
      <c r="D516" s="8">
        <v>0</v>
      </c>
      <c r="E516" s="8">
        <v>0</v>
      </c>
      <c r="F516" s="8">
        <v>36</v>
      </c>
    </row>
    <row r="517" spans="1:6" ht="12.75">
      <c r="A517" s="8">
        <v>43905.060150462959</v>
      </c>
      <c r="B517" s="8" t="str">
        <f>HYPERLINK("https://twitter.com/kembangIoyang","@kembangIoyang")</f>
        <v>@kembangIoyang</v>
      </c>
      <c r="C517" s="8" t="s">
        <v>15</v>
      </c>
      <c r="D517" s="8">
        <v>12</v>
      </c>
      <c r="E517" s="8">
        <v>0</v>
      </c>
      <c r="F517" s="8">
        <v>5416</v>
      </c>
    </row>
    <row r="518" spans="1:6" ht="12.75">
      <c r="A518" s="8">
        <v>43905.058645833335</v>
      </c>
      <c r="B518" s="8" t="str">
        <f>HYPERLINK("https://twitter.com/Amirmasoom131","@Amirmasoom131")</f>
        <v>@Amirmasoom131</v>
      </c>
      <c r="C518" s="8" t="s">
        <v>298</v>
      </c>
      <c r="D518" s="8">
        <v>0</v>
      </c>
      <c r="E518" s="8">
        <v>1</v>
      </c>
      <c r="F518" s="8">
        <v>746</v>
      </c>
    </row>
    <row r="519" spans="1:6" ht="12.75">
      <c r="A519" s="8">
        <v>43905.057962962965</v>
      </c>
      <c r="B519" s="8" t="str">
        <f>HYPERLINK("https://twitter.com/Dania59501024","@Dania59501024")</f>
        <v>@Dania59501024</v>
      </c>
      <c r="C519" s="8" t="s">
        <v>299</v>
      </c>
      <c r="D519" s="8">
        <v>4741</v>
      </c>
      <c r="E519" s="8">
        <v>0</v>
      </c>
      <c r="F519" s="8">
        <v>4</v>
      </c>
    </row>
    <row r="520" spans="1:6" ht="12.75">
      <c r="A520" s="8">
        <v>43905.057581018518</v>
      </c>
      <c r="B520" s="8" t="str">
        <f>HYPERLINK("https://twitter.com/damianusdalita6","@damianusdalita6")</f>
        <v>@damianusdalita6</v>
      </c>
      <c r="C520" s="8" t="s">
        <v>102</v>
      </c>
      <c r="D520" s="8">
        <v>46</v>
      </c>
      <c r="E520" s="8">
        <v>0</v>
      </c>
      <c r="F520" s="8">
        <v>2535</v>
      </c>
    </row>
    <row r="521" spans="1:6" ht="12.75">
      <c r="A521" s="8">
        <v>43905.057557870372</v>
      </c>
      <c r="B521" s="8" t="str">
        <f>HYPERLINK("https://twitter.com/arbinucup","@arbinucup")</f>
        <v>@arbinucup</v>
      </c>
      <c r="C521" s="8" t="s">
        <v>300</v>
      </c>
      <c r="D521" s="8">
        <v>0</v>
      </c>
      <c r="E521" s="8">
        <v>0</v>
      </c>
      <c r="F521" s="8">
        <v>845</v>
      </c>
    </row>
    <row r="522" spans="1:6" ht="12.75">
      <c r="A522" s="8">
        <v>43905.053067129629</v>
      </c>
      <c r="B522" s="8" t="str">
        <f>HYPERLINK("https://twitter.com/sandeeptathgar2","@sandeeptathgar2")</f>
        <v>@sandeeptathgar2</v>
      </c>
      <c r="C522" s="8" t="s">
        <v>301</v>
      </c>
      <c r="D522" s="8">
        <v>0</v>
      </c>
      <c r="E522" s="8">
        <v>0</v>
      </c>
      <c r="F522" s="8">
        <v>66</v>
      </c>
    </row>
    <row r="523" spans="1:6" ht="12.75">
      <c r="A523" s="8">
        <v>43905.050405092596</v>
      </c>
      <c r="B523" s="8" t="str">
        <f>HYPERLINK("https://twitter.com/insolence_apx","@insolence_apx")</f>
        <v>@insolence_apx</v>
      </c>
      <c r="C523" s="8" t="s">
        <v>302</v>
      </c>
      <c r="D523" s="8">
        <v>14</v>
      </c>
      <c r="E523" s="8">
        <v>0</v>
      </c>
      <c r="F523" s="8">
        <v>34</v>
      </c>
    </row>
    <row r="524" spans="1:6" ht="12.75">
      <c r="A524" s="8">
        <v>43905.050092592588</v>
      </c>
      <c r="B524" s="8" t="str">
        <f>HYPERLINK("https://twitter.com/Sigromilir01","@Sigromilir01")</f>
        <v>@Sigromilir01</v>
      </c>
      <c r="C524" s="8" t="s">
        <v>303</v>
      </c>
      <c r="D524" s="8">
        <v>0</v>
      </c>
      <c r="E524" s="8">
        <v>0</v>
      </c>
      <c r="F524" s="8">
        <v>33</v>
      </c>
    </row>
    <row r="525" spans="1:6" ht="12.75">
      <c r="A525" s="8">
        <v>43905.047731481478</v>
      </c>
      <c r="B525" s="8" t="str">
        <f>HYPERLINK("https://twitter.com/Nitizen_Zen","@Nitizen_Zen")</f>
        <v>@Nitizen_Zen</v>
      </c>
      <c r="C525" s="8" t="s">
        <v>269</v>
      </c>
      <c r="D525" s="8">
        <v>10</v>
      </c>
      <c r="E525" s="8">
        <v>0</v>
      </c>
      <c r="F525" s="8">
        <v>460</v>
      </c>
    </row>
    <row r="526" spans="1:6" ht="12.75">
      <c r="A526" s="8">
        <v>43905.047569444447</v>
      </c>
      <c r="B526" s="8" t="str">
        <f>HYPERLINK("https://twitter.com/iwansal06725139","@iwansal06725139")</f>
        <v>@iwansal06725139</v>
      </c>
      <c r="C526" s="8" t="s">
        <v>285</v>
      </c>
      <c r="D526" s="8">
        <v>1</v>
      </c>
      <c r="E526" s="8">
        <v>0</v>
      </c>
      <c r="F526" s="8">
        <v>246</v>
      </c>
    </row>
    <row r="527" spans="1:6" ht="12.75">
      <c r="A527" s="8">
        <v>43905.045763888891</v>
      </c>
      <c r="B527" s="8" t="str">
        <f>HYPERLINK("https://twitter.com/binsbirowo","@binsbirowo")</f>
        <v>@binsbirowo</v>
      </c>
      <c r="C527" s="8" t="s">
        <v>304</v>
      </c>
      <c r="D527" s="8">
        <v>1</v>
      </c>
      <c r="E527" s="8">
        <v>2</v>
      </c>
      <c r="F527" s="8">
        <v>2604</v>
      </c>
    </row>
    <row r="528" spans="1:6" ht="12.75">
      <c r="A528" s="8">
        <v>43905.045763888891</v>
      </c>
      <c r="B528" s="8" t="str">
        <f>HYPERLINK("https://twitter.com/akuluthfi","@akuluthfi")</f>
        <v>@akuluthfi</v>
      </c>
      <c r="C528" s="8" t="s">
        <v>10</v>
      </c>
      <c r="D528" s="8">
        <v>28</v>
      </c>
      <c r="E528" s="8">
        <v>0</v>
      </c>
      <c r="F528" s="8">
        <v>2127</v>
      </c>
    </row>
    <row r="529" spans="1:6" ht="12.75">
      <c r="A529" s="8">
        <v>43905.045601851853</v>
      </c>
      <c r="B529" s="8" t="str">
        <f>HYPERLINK("https://twitter.com/indhlza","@indhlza")</f>
        <v>@indhlza</v>
      </c>
      <c r="C529" s="8" t="s">
        <v>54</v>
      </c>
      <c r="D529" s="8">
        <v>80</v>
      </c>
      <c r="E529" s="8">
        <v>0</v>
      </c>
      <c r="F529" s="8">
        <v>482</v>
      </c>
    </row>
    <row r="530" spans="1:6" ht="12.75">
      <c r="A530" s="8">
        <v>43905.045439814814</v>
      </c>
      <c r="B530" s="8" t="str">
        <f>HYPERLINK("https://twitter.com/PancasilaSakti8","@PancasilaSakti8")</f>
        <v>@PancasilaSakti8</v>
      </c>
      <c r="C530" s="8" t="s">
        <v>57</v>
      </c>
      <c r="D530" s="8">
        <v>5</v>
      </c>
      <c r="E530" s="8">
        <v>0</v>
      </c>
      <c r="F530" s="8">
        <v>185</v>
      </c>
    </row>
    <row r="531" spans="1:6" ht="12.75">
      <c r="A531" s="8">
        <v>43905.045162037037</v>
      </c>
      <c r="B531" s="8" t="str">
        <f>HYPERLINK("https://twitter.com/ojoltrader","@ojoltrader")</f>
        <v>@ojoltrader</v>
      </c>
      <c r="C531" s="8" t="s">
        <v>102</v>
      </c>
      <c r="D531" s="8">
        <v>44</v>
      </c>
      <c r="E531" s="8">
        <v>0</v>
      </c>
      <c r="F531" s="8">
        <v>102</v>
      </c>
    </row>
    <row r="532" spans="1:6" ht="12.75">
      <c r="A532" s="8">
        <v>43905.044467592597</v>
      </c>
      <c r="B532" s="8" t="str">
        <f>HYPERLINK("https://twitter.com/PancasilaGema","@PancasilaGema")</f>
        <v>@PancasilaGema</v>
      </c>
      <c r="C532" s="8" t="s">
        <v>57</v>
      </c>
      <c r="D532" s="8">
        <v>5</v>
      </c>
      <c r="E532" s="8">
        <v>0</v>
      </c>
      <c r="F532" s="8">
        <v>458</v>
      </c>
    </row>
    <row r="533" spans="1:6" ht="12.75">
      <c r="A533" s="8">
        <v>43905.043240740742</v>
      </c>
      <c r="B533" s="8" t="str">
        <f>HYPERLINK("https://twitter.com/aldolmntng","@aldolmntng")</f>
        <v>@aldolmntng</v>
      </c>
      <c r="C533" s="8" t="s">
        <v>102</v>
      </c>
      <c r="D533" s="8">
        <v>44</v>
      </c>
      <c r="E533" s="8">
        <v>0</v>
      </c>
      <c r="F533" s="8">
        <v>246</v>
      </c>
    </row>
    <row r="534" spans="1:6" ht="12.75">
      <c r="A534" s="8">
        <v>43905.04184027778</v>
      </c>
      <c r="B534" s="8" t="str">
        <f>HYPERLINK("https://twitter.com/NannyAlexendry","@NannyAlexendry")</f>
        <v>@NannyAlexendry</v>
      </c>
      <c r="C534" s="8" t="s">
        <v>305</v>
      </c>
      <c r="D534" s="8">
        <v>4</v>
      </c>
      <c r="E534" s="8">
        <v>0</v>
      </c>
      <c r="F534" s="8">
        <v>2960</v>
      </c>
    </row>
    <row r="535" spans="1:6" ht="12.75">
      <c r="A535" s="8">
        <v>43905.041712962964</v>
      </c>
      <c r="B535" s="8" t="str">
        <f>HYPERLINK("https://twitter.com/BadjaNuswantara","@BadjaNuswantara")</f>
        <v>@BadjaNuswantara</v>
      </c>
      <c r="C535" s="8" t="s">
        <v>269</v>
      </c>
      <c r="D535" s="8">
        <v>10</v>
      </c>
      <c r="E535" s="8">
        <v>0</v>
      </c>
      <c r="F535" s="8">
        <v>44279</v>
      </c>
    </row>
    <row r="536" spans="1:6" ht="12.75">
      <c r="A536" s="8">
        <v>43905.041678240741</v>
      </c>
      <c r="B536" s="8" t="str">
        <f>HYPERLINK("https://twitter.com/Putrape38639444","@Putrape38639444")</f>
        <v>@Putrape38639444</v>
      </c>
      <c r="C536" s="8" t="s">
        <v>269</v>
      </c>
      <c r="D536" s="8">
        <v>10</v>
      </c>
      <c r="E536" s="8">
        <v>0</v>
      </c>
      <c r="F536" s="8">
        <v>445</v>
      </c>
    </row>
    <row r="537" spans="1:6" ht="12.75">
      <c r="A537" s="8">
        <v>43905.041620370372</v>
      </c>
      <c r="B537" s="8" t="str">
        <f>HYPERLINK("https://twitter.com/kimynjae09","@kimynjae09")</f>
        <v>@kimynjae09</v>
      </c>
      <c r="C537" s="8" t="s">
        <v>15</v>
      </c>
      <c r="D537" s="8">
        <v>11</v>
      </c>
      <c r="E537" s="8">
        <v>0</v>
      </c>
      <c r="F537" s="8">
        <v>4</v>
      </c>
    </row>
    <row r="538" spans="1:6" ht="12.75">
      <c r="A538" s="8">
        <v>43905.040671296301</v>
      </c>
      <c r="B538" s="8" t="str">
        <f>HYPERLINK("https://twitter.com/twitaulia","@twitaulia")</f>
        <v>@twitaulia</v>
      </c>
      <c r="C538" s="8" t="s">
        <v>306</v>
      </c>
      <c r="D538" s="8">
        <v>0</v>
      </c>
      <c r="E538" s="8">
        <v>0</v>
      </c>
      <c r="F538" s="8">
        <v>8</v>
      </c>
    </row>
    <row r="539" spans="1:6" ht="12.75">
      <c r="A539" s="8">
        <v>43905.040011574078</v>
      </c>
      <c r="B539" s="8" t="str">
        <f>HYPERLINK("https://twitter.com/prime_verdana","@prime_verdana")</f>
        <v>@prime_verdana</v>
      </c>
      <c r="C539" s="8" t="s">
        <v>307</v>
      </c>
      <c r="D539" s="8">
        <v>3</v>
      </c>
      <c r="E539" s="8">
        <v>0</v>
      </c>
      <c r="F539" s="8">
        <v>614</v>
      </c>
    </row>
    <row r="540" spans="1:6" ht="12.75">
      <c r="A540" s="8">
        <v>43905.03907407407</v>
      </c>
      <c r="B540" s="8" t="str">
        <f>HYPERLINK("https://twitter.com/cahadiyat","@cahadiyat")</f>
        <v>@cahadiyat</v>
      </c>
      <c r="C540" s="8" t="s">
        <v>308</v>
      </c>
      <c r="D540" s="8">
        <v>3</v>
      </c>
      <c r="E540" s="8">
        <v>0</v>
      </c>
      <c r="F540" s="8">
        <v>699</v>
      </c>
    </row>
    <row r="541" spans="1:6" ht="12.75">
      <c r="A541" s="8">
        <v>43905.038773148146</v>
      </c>
      <c r="B541" s="8" t="str">
        <f>HYPERLINK("https://twitter.com/RadioElshinta","@RadioElshinta")</f>
        <v>@RadioElshinta</v>
      </c>
      <c r="C541" s="8" t="s">
        <v>307</v>
      </c>
      <c r="D541" s="8">
        <v>3</v>
      </c>
      <c r="E541" s="8">
        <v>0</v>
      </c>
      <c r="F541" s="8">
        <v>3637747</v>
      </c>
    </row>
    <row r="542" spans="1:6" ht="12.75">
      <c r="A542" s="8">
        <v>43905.038553240738</v>
      </c>
      <c r="B542" s="8" t="str">
        <f>HYPERLINK("https://twitter.com/fithrasdiana_","@fithrasdiana_")</f>
        <v>@fithrasdiana_</v>
      </c>
      <c r="C542" s="8" t="s">
        <v>272</v>
      </c>
      <c r="D542" s="8">
        <v>37</v>
      </c>
      <c r="E542" s="8">
        <v>0</v>
      </c>
      <c r="F542" s="8">
        <v>1075</v>
      </c>
    </row>
    <row r="543" spans="1:6" ht="12.75">
      <c r="A543" s="8">
        <v>43905.038483796292</v>
      </c>
      <c r="B543" s="8" t="str">
        <f>HYPERLINK("https://twitter.com/be666u","@be666u")</f>
        <v>@be666u</v>
      </c>
      <c r="C543" s="8" t="s">
        <v>10</v>
      </c>
      <c r="D543" s="8">
        <v>28</v>
      </c>
      <c r="E543" s="8">
        <v>0</v>
      </c>
      <c r="F543" s="8">
        <v>867</v>
      </c>
    </row>
    <row r="544" spans="1:6" ht="12.75">
      <c r="A544" s="8">
        <v>43905.037523148145</v>
      </c>
      <c r="B544" s="8" t="str">
        <f>HYPERLINK("https://twitter.com/nabillaherischa","@nabillaherischa")</f>
        <v>@nabillaherischa</v>
      </c>
      <c r="C544" s="8" t="s">
        <v>54</v>
      </c>
      <c r="D544" s="8">
        <v>80</v>
      </c>
      <c r="E544" s="8">
        <v>0</v>
      </c>
      <c r="F544" s="8">
        <v>504</v>
      </c>
    </row>
    <row r="545" spans="1:6" ht="12.75">
      <c r="A545" s="8">
        <v>43905.036562499998</v>
      </c>
      <c r="B545" s="8" t="str">
        <f>HYPERLINK("https://twitter.com/becak125cc","@becak125cc")</f>
        <v>@becak125cc</v>
      </c>
      <c r="C545" s="8" t="s">
        <v>42</v>
      </c>
      <c r="D545" s="8">
        <v>58</v>
      </c>
      <c r="E545" s="8">
        <v>0</v>
      </c>
      <c r="F545" s="8">
        <v>577</v>
      </c>
    </row>
    <row r="546" spans="1:6" ht="12.75">
      <c r="A546" s="8">
        <v>43905.035370370373</v>
      </c>
      <c r="B546" s="8" t="str">
        <f>HYPERLINK("https://twitter.com/_wni_","@_wni_")</f>
        <v>@_wni_</v>
      </c>
      <c r="C546" s="8" t="s">
        <v>309</v>
      </c>
      <c r="D546" s="8">
        <v>0</v>
      </c>
      <c r="E546" s="8">
        <v>0</v>
      </c>
      <c r="F546" s="8">
        <v>21</v>
      </c>
    </row>
    <row r="547" spans="1:6" ht="12.75">
      <c r="A547" s="8">
        <v>43905.035370370373</v>
      </c>
      <c r="B547" s="8" t="str">
        <f>HYPERLINK("https://twitter.com/wilsonsun","@wilsonsun")</f>
        <v>@wilsonsun</v>
      </c>
      <c r="C547" s="8" t="s">
        <v>310</v>
      </c>
      <c r="D547" s="8">
        <v>0</v>
      </c>
      <c r="E547" s="8">
        <v>1</v>
      </c>
      <c r="F547" s="8">
        <v>1182</v>
      </c>
    </row>
    <row r="548" spans="1:6" ht="12.75">
      <c r="A548" s="8">
        <v>43905.035266203704</v>
      </c>
      <c r="B548" s="8" t="str">
        <f>HYPERLINK("https://twitter.com/HusainUchen","@HusainUchen")</f>
        <v>@HusainUchen</v>
      </c>
      <c r="C548" s="8" t="s">
        <v>311</v>
      </c>
      <c r="D548" s="8">
        <v>0</v>
      </c>
      <c r="E548" s="8">
        <v>0</v>
      </c>
      <c r="F548" s="8">
        <v>380</v>
      </c>
    </row>
    <row r="549" spans="1:6" ht="12.75">
      <c r="A549" s="8">
        <v>43905.032233796301</v>
      </c>
      <c r="B549" s="8" t="str">
        <f>HYPERLINK("https://twitter.com/chachaskiy","@chachaskiy")</f>
        <v>@chachaskiy</v>
      </c>
      <c r="C549" s="8" t="s">
        <v>312</v>
      </c>
      <c r="D549" s="8">
        <v>0</v>
      </c>
      <c r="E549" s="8">
        <v>0</v>
      </c>
      <c r="F549" s="8">
        <v>470</v>
      </c>
    </row>
    <row r="550" spans="1:6" ht="12.75">
      <c r="A550" s="8">
        <v>43905.031689814816</v>
      </c>
      <c r="B550" s="8" t="str">
        <f>HYPERLINK("https://twitter.com/cipley","@cipley")</f>
        <v>@cipley</v>
      </c>
      <c r="C550" s="8" t="s">
        <v>10</v>
      </c>
      <c r="D550" s="8">
        <v>28</v>
      </c>
      <c r="E550" s="8">
        <v>0</v>
      </c>
      <c r="F550" s="8">
        <v>483</v>
      </c>
    </row>
    <row r="551" spans="1:6" ht="12.75">
      <c r="A551" s="8">
        <v>43905.031064814815</v>
      </c>
      <c r="B551" s="8" t="str">
        <f>HYPERLINK("https://twitter.com/sitiasispert","@sitiasispert")</f>
        <v>@sitiasispert</v>
      </c>
      <c r="C551" s="8" t="s">
        <v>102</v>
      </c>
      <c r="D551" s="8">
        <v>44</v>
      </c>
      <c r="E551" s="8">
        <v>0</v>
      </c>
      <c r="F551" s="8">
        <v>30</v>
      </c>
    </row>
    <row r="552" spans="1:6" ht="12.75">
      <c r="A552" s="8">
        <v>43905.029548611114</v>
      </c>
      <c r="B552" s="8" t="str">
        <f>HYPERLINK("https://twitter.com/Ritafloras","@Ritafloras")</f>
        <v>@Ritafloras</v>
      </c>
      <c r="C552" s="8" t="s">
        <v>313</v>
      </c>
      <c r="D552" s="8">
        <v>0</v>
      </c>
      <c r="E552" s="8">
        <v>0</v>
      </c>
      <c r="F552" s="8">
        <v>78</v>
      </c>
    </row>
    <row r="553" spans="1:6" ht="12.75">
      <c r="A553" s="8">
        <v>43905.029282407406</v>
      </c>
      <c r="B553" s="8" t="str">
        <f>HYPERLINK("https://twitter.com/luisaaa__od","@luisaaa__od")</f>
        <v>@luisaaa__od</v>
      </c>
      <c r="C553" s="8" t="s">
        <v>314</v>
      </c>
      <c r="D553" s="8">
        <v>0</v>
      </c>
      <c r="E553" s="8">
        <v>1</v>
      </c>
      <c r="F553" s="8">
        <v>45</v>
      </c>
    </row>
    <row r="554" spans="1:6" ht="12.75">
      <c r="A554" s="8">
        <v>43905.028020833328</v>
      </c>
      <c r="B554" s="8" t="str">
        <f>HYPERLINK("https://twitter.com/visitortwt1","@visitortwt1")</f>
        <v>@visitortwt1</v>
      </c>
      <c r="C554" s="8" t="s">
        <v>57</v>
      </c>
      <c r="D554" s="8">
        <v>5</v>
      </c>
      <c r="E554" s="8">
        <v>0</v>
      </c>
      <c r="F554" s="8">
        <v>417</v>
      </c>
    </row>
    <row r="555" spans="1:6" ht="12.75">
      <c r="A555" s="8">
        <v>43905.027951388889</v>
      </c>
      <c r="B555" s="8" t="str">
        <f>HYPERLINK("https://twitter.com/Denny50457565","@Denny50457565")</f>
        <v>@Denny50457565</v>
      </c>
      <c r="C555" s="8" t="s">
        <v>315</v>
      </c>
      <c r="D555" s="8">
        <v>0</v>
      </c>
      <c r="E555" s="8">
        <v>0</v>
      </c>
      <c r="F555" s="8">
        <v>2</v>
      </c>
    </row>
    <row r="556" spans="1:6" ht="12.75">
      <c r="A556" s="8">
        <v>43905.027013888888</v>
      </c>
      <c r="B556" s="8" t="str">
        <f>HYPERLINK("https://twitter.com/adinANTON","@adinANTON")</f>
        <v>@adinANTON</v>
      </c>
      <c r="C556" s="8" t="s">
        <v>316</v>
      </c>
      <c r="D556" s="8">
        <v>0</v>
      </c>
      <c r="E556" s="8">
        <v>1</v>
      </c>
      <c r="F556" s="8">
        <v>1052</v>
      </c>
    </row>
    <row r="557" spans="1:6" ht="12.75">
      <c r="A557" s="8">
        <v>43905.026990740742</v>
      </c>
      <c r="B557" s="8" t="str">
        <f>HYPERLINK("https://twitter.com/iiiangarciaaa","@iiiangarciaaa")</f>
        <v>@iiiangarciaaa</v>
      </c>
      <c r="C557" s="8" t="s">
        <v>317</v>
      </c>
      <c r="D557" s="8">
        <v>0</v>
      </c>
      <c r="E557" s="8">
        <v>0</v>
      </c>
      <c r="F557" s="8">
        <v>50</v>
      </c>
    </row>
    <row r="558" spans="1:6" ht="12.75">
      <c r="A558" s="8">
        <v>43905.025624999995</v>
      </c>
      <c r="B558" s="8" t="str">
        <f>HYPERLINK("https://twitter.com/fahri_nusantara","@fahri_nusantara")</f>
        <v>@fahri_nusantara</v>
      </c>
      <c r="C558" s="8" t="s">
        <v>318</v>
      </c>
      <c r="D558" s="8">
        <v>1457</v>
      </c>
      <c r="E558" s="8">
        <v>0</v>
      </c>
      <c r="F558" s="8">
        <v>6725</v>
      </c>
    </row>
    <row r="559" spans="1:6" ht="12.75">
      <c r="A559" s="8">
        <v>43905.025300925925</v>
      </c>
      <c r="B559" s="8" t="str">
        <f>HYPERLINK("https://twitter.com/Puteriswift_","@Puteriswift_")</f>
        <v>@Puteriswift_</v>
      </c>
      <c r="C559" s="8" t="s">
        <v>319</v>
      </c>
      <c r="D559" s="8">
        <v>0</v>
      </c>
      <c r="E559" s="8">
        <v>1</v>
      </c>
      <c r="F559" s="8">
        <v>293</v>
      </c>
    </row>
    <row r="560" spans="1:6" ht="12.75">
      <c r="A560" s="8">
        <v>43905.025196759263</v>
      </c>
      <c r="B560" s="8" t="str">
        <f>HYPERLINK("https://twitter.com/EmilBaruLahir","@EmilBaruLahir")</f>
        <v>@EmilBaruLahir</v>
      </c>
      <c r="C560" s="8" t="s">
        <v>57</v>
      </c>
      <c r="D560" s="8">
        <v>5</v>
      </c>
      <c r="E560" s="8">
        <v>0</v>
      </c>
      <c r="F560" s="8">
        <v>72</v>
      </c>
    </row>
    <row r="561" spans="1:6" ht="12.75">
      <c r="A561" s="8">
        <v>43905.024548611109</v>
      </c>
      <c r="B561" s="8" t="str">
        <f>HYPERLINK("https://twitter.com/adisymhj","@adisymhj")</f>
        <v>@adisymhj</v>
      </c>
      <c r="C561" s="8" t="s">
        <v>320</v>
      </c>
      <c r="D561" s="8">
        <v>1</v>
      </c>
      <c r="E561" s="8">
        <v>0</v>
      </c>
      <c r="F561" s="8">
        <v>316</v>
      </c>
    </row>
    <row r="562" spans="1:6" ht="12.75">
      <c r="A562" s="8">
        <v>43905.023958333331</v>
      </c>
      <c r="B562" s="8" t="str">
        <f>HYPERLINK("https://twitter.com/AlviandraRahmat","@AlviandraRahmat")</f>
        <v>@AlviandraRahmat</v>
      </c>
      <c r="C562" s="8" t="s">
        <v>107</v>
      </c>
      <c r="D562" s="8">
        <v>45</v>
      </c>
      <c r="E562" s="8">
        <v>0</v>
      </c>
      <c r="F562" s="8">
        <v>24</v>
      </c>
    </row>
    <row r="563" spans="1:6" ht="12.75">
      <c r="A563" s="8">
        <v>43905.023784722223</v>
      </c>
      <c r="B563" s="8" t="str">
        <f>HYPERLINK("https://twitter.com/inidisazzz","@inidisazzz")</f>
        <v>@inidisazzz</v>
      </c>
      <c r="C563" s="8" t="s">
        <v>15</v>
      </c>
      <c r="D563" s="8">
        <v>11</v>
      </c>
      <c r="E563" s="8">
        <v>0</v>
      </c>
      <c r="F563" s="8">
        <v>49</v>
      </c>
    </row>
    <row r="564" spans="1:6" ht="12.75">
      <c r="A564" s="8">
        <v>43905.023275462961</v>
      </c>
      <c r="B564" s="8" t="str">
        <f>HYPERLINK("https://twitter.com/falentinoo_","@falentinoo_")</f>
        <v>@falentinoo_</v>
      </c>
      <c r="C564" s="8" t="s">
        <v>54</v>
      </c>
      <c r="D564" s="8">
        <v>80</v>
      </c>
      <c r="E564" s="8">
        <v>0</v>
      </c>
      <c r="F564" s="8">
        <v>43</v>
      </c>
    </row>
    <row r="565" spans="1:6" ht="12.75">
      <c r="A565" s="8">
        <v>43905.023206018523</v>
      </c>
      <c r="B565" s="8" t="str">
        <f>HYPERLINK("https://twitter.com/_wni_","@_wni_")</f>
        <v>@_wni_</v>
      </c>
      <c r="C565" s="8" t="s">
        <v>321</v>
      </c>
      <c r="D565" s="8">
        <v>0</v>
      </c>
      <c r="E565" s="8">
        <v>0</v>
      </c>
      <c r="F565" s="8">
        <v>21</v>
      </c>
    </row>
    <row r="566" spans="1:6" ht="12.75">
      <c r="A566" s="8">
        <v>43905.023194444446</v>
      </c>
      <c r="B566" s="8" t="str">
        <f>HYPERLINK("https://twitter.com/H4NES234","@H4NES234")</f>
        <v>@H4NES234</v>
      </c>
      <c r="C566" s="8" t="s">
        <v>10</v>
      </c>
      <c r="D566" s="8">
        <v>28</v>
      </c>
      <c r="E566" s="8">
        <v>0</v>
      </c>
      <c r="F566" s="8">
        <v>2242</v>
      </c>
    </row>
    <row r="567" spans="1:6" ht="12.75">
      <c r="A567" s="8">
        <v>43905.022789351853</v>
      </c>
      <c r="B567" s="8" t="str">
        <f>HYPERLINK("https://twitter.com/_wni_","@_wni_")</f>
        <v>@_wni_</v>
      </c>
      <c r="C567" s="8" t="s">
        <v>322</v>
      </c>
      <c r="D567" s="8">
        <v>0</v>
      </c>
      <c r="E567" s="8">
        <v>0</v>
      </c>
      <c r="F567" s="8">
        <v>21</v>
      </c>
    </row>
    <row r="568" spans="1:6" ht="12.75">
      <c r="A568" s="8">
        <v>43905.022650462968</v>
      </c>
      <c r="B568" s="8" t="str">
        <f>HYPERLINK("https://twitter.com/kondekturbus_","@kondekturbus_")</f>
        <v>@kondekturbus_</v>
      </c>
      <c r="C568" s="8" t="s">
        <v>10</v>
      </c>
      <c r="D568" s="8">
        <v>28</v>
      </c>
      <c r="E568" s="8">
        <v>0</v>
      </c>
      <c r="F568" s="8">
        <v>14388</v>
      </c>
    </row>
    <row r="569" spans="1:6" ht="12.75">
      <c r="A569" s="8">
        <v>43905.022488425922</v>
      </c>
      <c r="B569" s="8" t="str">
        <f>HYPERLINK("https://twitter.com/BillTemporo","@BillTemporo")</f>
        <v>@BillTemporo</v>
      </c>
      <c r="C569" s="8" t="s">
        <v>323</v>
      </c>
      <c r="D569" s="8">
        <v>0</v>
      </c>
      <c r="E569" s="8">
        <v>0</v>
      </c>
      <c r="F569" s="8">
        <v>11</v>
      </c>
    </row>
    <row r="570" spans="1:6" ht="12.75">
      <c r="A570" s="8">
        <v>43905.022199074076</v>
      </c>
      <c r="B570" s="8" t="str">
        <f>HYPERLINK("https://twitter.com/Puteriswift_","@Puteriswift_")</f>
        <v>@Puteriswift_</v>
      </c>
      <c r="C570" s="8" t="s">
        <v>324</v>
      </c>
      <c r="D570" s="8">
        <v>0</v>
      </c>
      <c r="E570" s="8">
        <v>1</v>
      </c>
      <c r="F570" s="8">
        <v>293</v>
      </c>
    </row>
    <row r="571" spans="1:6" ht="12.75">
      <c r="A571" s="8">
        <v>43905.021793981483</v>
      </c>
      <c r="B571" s="8" t="str">
        <f>HYPERLINK("https://twitter.com/Jaguita","@Jaguita")</f>
        <v>@Jaguita</v>
      </c>
      <c r="C571" s="8" t="s">
        <v>39</v>
      </c>
      <c r="D571" s="8">
        <v>9</v>
      </c>
      <c r="E571" s="8">
        <v>0</v>
      </c>
      <c r="F571" s="8">
        <v>174</v>
      </c>
    </row>
    <row r="572" spans="1:6" ht="12.75">
      <c r="A572" s="8">
        <v>43905.021365740744</v>
      </c>
      <c r="B572" s="8" t="str">
        <f>HYPERLINK("https://twitter.com/aewin86","@aewin86")</f>
        <v>@aewin86</v>
      </c>
      <c r="C572" s="8" t="s">
        <v>10</v>
      </c>
      <c r="D572" s="8">
        <v>28</v>
      </c>
      <c r="E572" s="8">
        <v>0</v>
      </c>
      <c r="F572" s="8">
        <v>16333</v>
      </c>
    </row>
    <row r="573" spans="1:6" ht="12.75">
      <c r="A573" s="8">
        <v>43905.020983796298</v>
      </c>
      <c r="B573" s="8" t="str">
        <f>HYPERLINK("https://twitter.com/asuhan101010101","@asuhan101010101")</f>
        <v>@asuhan101010101</v>
      </c>
      <c r="C573" s="8" t="s">
        <v>325</v>
      </c>
      <c r="D573" s="8">
        <v>1</v>
      </c>
      <c r="E573" s="8">
        <v>0</v>
      </c>
      <c r="F573" s="8">
        <v>2098</v>
      </c>
    </row>
    <row r="574" spans="1:6" ht="12.75">
      <c r="A574" s="8">
        <v>43905.020902777775</v>
      </c>
      <c r="B574" s="8" t="str">
        <f>HYPERLINK("https://twitter.com/anaswongkamfung","@anaswongkamfung")</f>
        <v>@anaswongkamfung</v>
      </c>
      <c r="C574" s="8" t="s">
        <v>228</v>
      </c>
      <c r="D574" s="8">
        <v>22</v>
      </c>
      <c r="E574" s="8">
        <v>0</v>
      </c>
      <c r="F574" s="8">
        <v>1217</v>
      </c>
    </row>
    <row r="575" spans="1:6" ht="12.75">
      <c r="A575" s="8">
        <v>43905.020821759259</v>
      </c>
      <c r="B575" s="8" t="str">
        <f>HYPERLINK("https://twitter.com/daaaaaahhh","@daaaaaahhh")</f>
        <v>@daaaaaahhh</v>
      </c>
      <c r="C575" s="8" t="s">
        <v>326</v>
      </c>
      <c r="D575" s="8">
        <v>0</v>
      </c>
      <c r="E575" s="8">
        <v>1</v>
      </c>
      <c r="F575" s="8">
        <v>43</v>
      </c>
    </row>
    <row r="576" spans="1:6" ht="12.75">
      <c r="A576" s="8">
        <v>43905.019687499997</v>
      </c>
      <c r="B576" s="8" t="str">
        <f>HYPERLINK("https://twitter.com/SetiadyHermawan","@SetiadyHermawan")</f>
        <v>@SetiadyHermawan</v>
      </c>
      <c r="C576" s="8" t="s">
        <v>57</v>
      </c>
      <c r="D576" s="8">
        <v>5</v>
      </c>
      <c r="E576" s="8">
        <v>0</v>
      </c>
      <c r="F576" s="8">
        <v>1874</v>
      </c>
    </row>
    <row r="577" spans="1:6" ht="12.75">
      <c r="A577" s="8">
        <v>43905.019594907411</v>
      </c>
      <c r="B577" s="8" t="str">
        <f>HYPERLINK("https://twitter.com/SecurityWatchk","@SecurityWatchk")</f>
        <v>@SecurityWatchk</v>
      </c>
      <c r="C577" s="8" t="s">
        <v>39</v>
      </c>
      <c r="D577" s="8">
        <v>9</v>
      </c>
      <c r="E577" s="8">
        <v>0</v>
      </c>
      <c r="F577" s="8">
        <v>1491</v>
      </c>
    </row>
    <row r="578" spans="1:6" ht="12.75">
      <c r="A578" s="8">
        <v>43905.019085648149</v>
      </c>
      <c r="B578" s="8" t="str">
        <f>HYPERLINK("https://twitter.com/InfodariAnda_ID","@InfodariAnda_ID")</f>
        <v>@InfodariAnda_ID</v>
      </c>
      <c r="C578" s="8" t="s">
        <v>307</v>
      </c>
      <c r="D578" s="8">
        <v>3</v>
      </c>
      <c r="E578" s="8">
        <v>0</v>
      </c>
      <c r="F578" s="8">
        <v>23897</v>
      </c>
    </row>
    <row r="579" spans="1:6" ht="12.75">
      <c r="A579" s="8">
        <v>43905.018761574072</v>
      </c>
      <c r="B579" s="8" t="str">
        <f>HYPERLINK("https://twitter.com/teh_tariq","@teh_tariq")</f>
        <v>@teh_tariq</v>
      </c>
      <c r="C579" s="8" t="s">
        <v>107</v>
      </c>
      <c r="D579" s="8">
        <v>45</v>
      </c>
      <c r="E579" s="8">
        <v>0</v>
      </c>
      <c r="F579" s="8">
        <v>6847</v>
      </c>
    </row>
    <row r="580" spans="1:6" ht="12.75">
      <c r="A580" s="8">
        <v>43905.018611111111</v>
      </c>
      <c r="B580" s="8" t="str">
        <f>HYPERLINK("https://twitter.com/NirmalaFirdaus_","@NirmalaFirdaus_")</f>
        <v>@NirmalaFirdaus_</v>
      </c>
      <c r="C580" s="8" t="s">
        <v>327</v>
      </c>
      <c r="D580" s="8">
        <v>5</v>
      </c>
      <c r="E580" s="8">
        <v>12</v>
      </c>
      <c r="F580" s="8">
        <v>2435</v>
      </c>
    </row>
    <row r="581" spans="1:6" ht="12.75">
      <c r="A581" s="8">
        <v>43905.01699074074</v>
      </c>
      <c r="B581" s="8" t="str">
        <f>HYPERLINK("https://twitter.com/RECOVERADIO","@RECOVERADIO")</f>
        <v>@RECOVERADIO</v>
      </c>
      <c r="C581" s="8" t="s">
        <v>328</v>
      </c>
      <c r="D581" s="8">
        <v>3</v>
      </c>
      <c r="E581" s="8">
        <v>3</v>
      </c>
      <c r="F581" s="8">
        <v>504</v>
      </c>
    </row>
    <row r="582" spans="1:6" ht="12.75">
      <c r="A582" s="8">
        <v>43905.016793981486</v>
      </c>
      <c r="B582" s="8" t="str">
        <f>HYPERLINK("https://twitter.com/rajawaliasia09","@rajawaliasia09")</f>
        <v>@rajawaliasia09</v>
      </c>
      <c r="C582" s="8" t="s">
        <v>329</v>
      </c>
      <c r="D582" s="8">
        <v>0</v>
      </c>
      <c r="E582" s="8">
        <v>0</v>
      </c>
      <c r="F582" s="8">
        <v>472</v>
      </c>
    </row>
    <row r="583" spans="1:6" ht="12.75">
      <c r="A583" s="8">
        <v>43905.0153587963</v>
      </c>
      <c r="B583" s="8" t="str">
        <f>HYPERLINK("https://twitter.com/rosmaksa","@rosmaksa")</f>
        <v>@rosmaksa</v>
      </c>
      <c r="C583" s="8" t="s">
        <v>330</v>
      </c>
      <c r="D583" s="8">
        <v>0</v>
      </c>
      <c r="E583" s="8">
        <v>0</v>
      </c>
      <c r="F583" s="8">
        <v>583</v>
      </c>
    </row>
    <row r="584" spans="1:6" ht="12.75">
      <c r="A584" s="8">
        <v>43905.01489583333</v>
      </c>
      <c r="B584" s="8" t="str">
        <f>HYPERLINK("https://twitter.com/iblisygsoleh","@iblisygsoleh")</f>
        <v>@iblisygsoleh</v>
      </c>
      <c r="C584" s="8" t="s">
        <v>102</v>
      </c>
      <c r="D584" s="8">
        <v>44</v>
      </c>
      <c r="E584" s="8">
        <v>0</v>
      </c>
      <c r="F584" s="8">
        <v>2986</v>
      </c>
    </row>
    <row r="585" spans="1:6" ht="12.75">
      <c r="A585" s="8">
        <v>43905.014317129629</v>
      </c>
      <c r="B585" s="8" t="str">
        <f>HYPERLINK("https://twitter.com/KBRI__Roma","@KBRI__Roma")</f>
        <v>@KBRI__Roma</v>
      </c>
      <c r="C585" s="8" t="s">
        <v>331</v>
      </c>
      <c r="D585" s="8">
        <v>0</v>
      </c>
      <c r="E585" s="8">
        <v>0</v>
      </c>
      <c r="F585" s="8">
        <v>1106</v>
      </c>
    </row>
    <row r="586" spans="1:6" ht="12.75">
      <c r="A586" s="8">
        <v>43905.014305555553</v>
      </c>
      <c r="B586" s="8" t="str">
        <f>HYPERLINK("https://twitter.com/ArdhiSearch","@ArdhiSearch")</f>
        <v>@ArdhiSearch</v>
      </c>
      <c r="C586" s="8" t="s">
        <v>54</v>
      </c>
      <c r="D586" s="8">
        <v>80</v>
      </c>
      <c r="E586" s="8">
        <v>0</v>
      </c>
      <c r="F586" s="8">
        <v>129</v>
      </c>
    </row>
    <row r="587" spans="1:6" ht="12.75">
      <c r="A587" s="8">
        <v>43905.01427083333</v>
      </c>
      <c r="B587" s="8" t="str">
        <f>HYPERLINK("https://twitter.com/crvg_isis","@crvg_isis")</f>
        <v>@crvg_isis</v>
      </c>
      <c r="C587" s="8" t="s">
        <v>332</v>
      </c>
      <c r="D587" s="8">
        <v>0</v>
      </c>
      <c r="E587" s="8">
        <v>1</v>
      </c>
      <c r="F587" s="8">
        <v>186</v>
      </c>
    </row>
    <row r="588" spans="1:6" ht="12.75">
      <c r="A588" s="8">
        <v>43905.013935185183</v>
      </c>
      <c r="B588" s="8" t="str">
        <f>HYPERLINK("https://twitter.com/Muladi13698518","@Muladi13698518")</f>
        <v>@Muladi13698518</v>
      </c>
      <c r="C588" s="8" t="s">
        <v>333</v>
      </c>
      <c r="D588" s="8">
        <v>1</v>
      </c>
      <c r="E588" s="8">
        <v>0</v>
      </c>
      <c r="F588" s="8">
        <v>201</v>
      </c>
    </row>
    <row r="589" spans="1:6" ht="12.75">
      <c r="A589" s="8">
        <v>43905.013194444444</v>
      </c>
      <c r="B589" s="8" t="str">
        <f>HYPERLINK("https://twitter.com/wandagirsang","@wandagirsang")</f>
        <v>@wandagirsang</v>
      </c>
      <c r="C589" s="8" t="s">
        <v>334</v>
      </c>
      <c r="D589" s="8">
        <v>1</v>
      </c>
      <c r="E589" s="8">
        <v>1</v>
      </c>
      <c r="F589" s="8">
        <v>500</v>
      </c>
    </row>
    <row r="590" spans="1:6" ht="12.75">
      <c r="A590" s="8">
        <v>43905.012731481482</v>
      </c>
      <c r="B590" s="8" t="str">
        <f>HYPERLINK("https://twitter.com/YulliaIndriyani","@YulliaIndriyani")</f>
        <v>@YulliaIndriyani</v>
      </c>
      <c r="C590" s="8" t="s">
        <v>49</v>
      </c>
      <c r="D590" s="8">
        <v>6</v>
      </c>
      <c r="E590" s="8">
        <v>0</v>
      </c>
      <c r="F590" s="8">
        <v>60</v>
      </c>
    </row>
    <row r="591" spans="1:6" ht="12.75">
      <c r="A591" s="8">
        <v>43905.012569444443</v>
      </c>
      <c r="B591" s="8" t="str">
        <f>HYPERLINK("https://twitter.com/nafahhhh","@nafahhhh")</f>
        <v>@nafahhhh</v>
      </c>
      <c r="C591" s="8" t="s">
        <v>335</v>
      </c>
      <c r="D591" s="8">
        <v>0</v>
      </c>
      <c r="E591" s="8">
        <v>0</v>
      </c>
      <c r="F591" s="8">
        <v>507</v>
      </c>
    </row>
    <row r="592" spans="1:6" ht="12.75">
      <c r="A592" s="8">
        <v>43905.011759259258</v>
      </c>
      <c r="B592" s="8" t="str">
        <f>HYPERLINK("https://twitter.com/HypeHagrah","@HypeHagrah")</f>
        <v>@HypeHagrah</v>
      </c>
      <c r="C592" s="8" t="s">
        <v>336</v>
      </c>
      <c r="D592" s="8">
        <v>0</v>
      </c>
      <c r="E592" s="8">
        <v>0</v>
      </c>
      <c r="F592" s="8">
        <v>10568</v>
      </c>
    </row>
    <row r="593" spans="1:6" ht="12.75">
      <c r="A593" s="8">
        <v>43905.011689814812</v>
      </c>
      <c r="B593" s="8" t="str">
        <f>HYPERLINK("https://twitter.com/BasukiDenny","@BasukiDenny")</f>
        <v>@BasukiDenny</v>
      </c>
      <c r="C593" s="8" t="s">
        <v>337</v>
      </c>
      <c r="D593" s="8">
        <v>0</v>
      </c>
      <c r="E593" s="8">
        <v>0</v>
      </c>
      <c r="F593" s="8">
        <v>58</v>
      </c>
    </row>
    <row r="594" spans="1:6" ht="12.75">
      <c r="A594" s="8">
        <v>43905.011342592596</v>
      </c>
      <c r="B594" s="8" t="str">
        <f>HYPERLINK("https://twitter.com/akbrhqq","@akbrhqq")</f>
        <v>@akbrhqq</v>
      </c>
      <c r="C594" s="8" t="s">
        <v>338</v>
      </c>
      <c r="D594" s="8">
        <v>0</v>
      </c>
      <c r="E594" s="8">
        <v>0</v>
      </c>
      <c r="F594" s="8">
        <v>99</v>
      </c>
    </row>
    <row r="595" spans="1:6" ht="12.75">
      <c r="A595" s="8">
        <v>43905.008946759262</v>
      </c>
      <c r="B595" s="8" t="str">
        <f>HYPERLINK("https://twitter.com/S_aulia26","@S_aulia26")</f>
        <v>@S_aulia26</v>
      </c>
      <c r="C595" s="8" t="s">
        <v>34</v>
      </c>
      <c r="D595" s="8">
        <v>5</v>
      </c>
      <c r="E595" s="8">
        <v>0</v>
      </c>
      <c r="F595" s="8">
        <v>4145</v>
      </c>
    </row>
    <row r="596" spans="1:6" ht="12.75">
      <c r="A596" s="8">
        <v>43905.00880787037</v>
      </c>
      <c r="B596" s="8" t="str">
        <f>HYPERLINK("https://twitter.com/miilakarmila_","@miilakarmila_")</f>
        <v>@miilakarmila_</v>
      </c>
      <c r="C596" s="8" t="s">
        <v>54</v>
      </c>
      <c r="D596" s="8">
        <v>80</v>
      </c>
      <c r="E596" s="8">
        <v>0</v>
      </c>
      <c r="F596" s="8">
        <v>372</v>
      </c>
    </row>
    <row r="597" spans="1:6" ht="12.75">
      <c r="A597" s="8">
        <v>43905.008738425924</v>
      </c>
      <c r="B597" s="8" t="str">
        <f>HYPERLINK("https://twitter.com/ngwkwk","@ngwkwk")</f>
        <v>@ngwkwk</v>
      </c>
      <c r="C597" s="8" t="s">
        <v>339</v>
      </c>
      <c r="D597" s="8">
        <v>0</v>
      </c>
      <c r="E597" s="8">
        <v>0</v>
      </c>
      <c r="F597" s="8">
        <v>1385</v>
      </c>
    </row>
    <row r="598" spans="1:6" ht="12.75">
      <c r="A598" s="8">
        <v>43905.008101851854</v>
      </c>
      <c r="B598" s="8" t="str">
        <f>HYPERLINK("https://twitter.com/difkamuh","@difkamuh")</f>
        <v>@difkamuh</v>
      </c>
      <c r="C598" s="8" t="s">
        <v>340</v>
      </c>
      <c r="D598" s="8">
        <v>1</v>
      </c>
      <c r="E598" s="8">
        <v>0</v>
      </c>
      <c r="F598" s="8">
        <v>292</v>
      </c>
    </row>
    <row r="599" spans="1:6" ht="12.75">
      <c r="A599" s="8">
        <v>43905.0080787037</v>
      </c>
      <c r="B599" s="8" t="str">
        <f>HYPERLINK("https://twitter.com/iyang88","@iyang88")</f>
        <v>@iyang88</v>
      </c>
      <c r="C599" s="8" t="s">
        <v>34</v>
      </c>
      <c r="D599" s="8">
        <v>5</v>
      </c>
      <c r="E599" s="8">
        <v>0</v>
      </c>
      <c r="F599" s="8">
        <v>637</v>
      </c>
    </row>
    <row r="600" spans="1:6" ht="12.75">
      <c r="A600" s="8">
        <v>43905.007905092592</v>
      </c>
      <c r="B600" s="8" t="str">
        <f>HYPERLINK("https://twitter.com/tresnowicaksono","@tresnowicaksono")</f>
        <v>@tresnowicaksono</v>
      </c>
      <c r="C600" s="8" t="s">
        <v>341</v>
      </c>
      <c r="D600" s="8">
        <v>0</v>
      </c>
      <c r="E600" s="8">
        <v>0</v>
      </c>
      <c r="F600" s="8">
        <v>751</v>
      </c>
    </row>
    <row r="601" spans="1:6" ht="12.75">
      <c r="A601" s="8">
        <v>43905.007245370369</v>
      </c>
      <c r="B601" s="8" t="str">
        <f>HYPERLINK("https://twitter.com/SahlanAmin4","@SahlanAmin4")</f>
        <v>@SahlanAmin4</v>
      </c>
      <c r="C601" s="8" t="s">
        <v>342</v>
      </c>
      <c r="D601" s="8">
        <v>1</v>
      </c>
      <c r="E601" s="8">
        <v>3</v>
      </c>
      <c r="F601" s="8">
        <v>805</v>
      </c>
    </row>
    <row r="602" spans="1:6" ht="12.75">
      <c r="A602" s="8">
        <v>43905.007106481484</v>
      </c>
      <c r="B602" s="8" t="str">
        <f>HYPERLINK("https://twitter.com/shantan85514039","@shantan85514039")</f>
        <v>@shantan85514039</v>
      </c>
      <c r="C602" s="8" t="s">
        <v>343</v>
      </c>
      <c r="D602" s="8">
        <v>0</v>
      </c>
      <c r="E602" s="8">
        <v>0</v>
      </c>
      <c r="F602" s="8">
        <v>305</v>
      </c>
    </row>
    <row r="603" spans="1:6" ht="12.75">
      <c r="A603" s="8">
        <v>43905.006724537037</v>
      </c>
      <c r="B603" s="8" t="str">
        <f>HYPERLINK("https://twitter.com/sikecilmarmut","@sikecilmarmut")</f>
        <v>@sikecilmarmut</v>
      </c>
      <c r="C603" s="8" t="s">
        <v>344</v>
      </c>
      <c r="D603" s="8">
        <v>1</v>
      </c>
      <c r="E603" s="8">
        <v>0</v>
      </c>
      <c r="F603" s="8">
        <v>2288</v>
      </c>
    </row>
    <row r="604" spans="1:6" ht="12.75">
      <c r="A604" s="8">
        <v>43905.006712962961</v>
      </c>
      <c r="B604" s="8" t="str">
        <f>HYPERLINK("https://twitter.com/ntieux1d4nt","@ntieux1d4nt")</f>
        <v>@ntieux1d4nt</v>
      </c>
      <c r="C604" s="8" t="s">
        <v>345</v>
      </c>
      <c r="D604" s="8">
        <v>0</v>
      </c>
      <c r="E604" s="8">
        <v>0</v>
      </c>
      <c r="F604" s="8">
        <v>2243</v>
      </c>
    </row>
    <row r="605" spans="1:6" ht="12.75">
      <c r="A605" s="8">
        <v>43905.006388888884</v>
      </c>
      <c r="B605" s="8" t="str">
        <f>HYPERLINK("https://twitter.com/oliviaika","@oliviaika")</f>
        <v>@oliviaika</v>
      </c>
      <c r="C605" s="8" t="s">
        <v>346</v>
      </c>
      <c r="D605" s="8">
        <v>0</v>
      </c>
      <c r="E605" s="8">
        <v>0</v>
      </c>
      <c r="F605" s="8">
        <v>662</v>
      </c>
    </row>
    <row r="606" spans="1:6" ht="12.75">
      <c r="A606" s="8">
        <v>43905.005752314813</v>
      </c>
      <c r="B606" s="8" t="str">
        <f>HYPERLINK("https://twitter.com/senengangue","@senengangue")</f>
        <v>@senengangue</v>
      </c>
      <c r="C606" s="8" t="s">
        <v>347</v>
      </c>
      <c r="D606" s="8">
        <v>0</v>
      </c>
      <c r="E606" s="8">
        <v>0</v>
      </c>
      <c r="F606" s="8">
        <v>1202</v>
      </c>
    </row>
    <row r="607" spans="1:6" ht="12.75">
      <c r="A607" s="8">
        <v>43905.00571759259</v>
      </c>
      <c r="B607" s="8" t="str">
        <f>HYPERLINK("https://twitter.com/ErvineKiddies","@ErvineKiddies")</f>
        <v>@ErvineKiddies</v>
      </c>
      <c r="C607" s="8" t="s">
        <v>348</v>
      </c>
      <c r="D607" s="8">
        <v>0</v>
      </c>
      <c r="E607" s="8">
        <v>1</v>
      </c>
      <c r="F607" s="8">
        <v>897</v>
      </c>
    </row>
    <row r="608" spans="1:6" ht="12.75">
      <c r="A608" s="8">
        <v>43905.005497685182</v>
      </c>
      <c r="B608" s="8" t="str">
        <f>HYPERLINK("https://twitter.com/Jaya_Ind","@Jaya_Ind")</f>
        <v>@Jaya_Ind</v>
      </c>
      <c r="C608" s="8" t="s">
        <v>272</v>
      </c>
      <c r="D608" s="8">
        <v>35</v>
      </c>
      <c r="E608" s="8">
        <v>0</v>
      </c>
      <c r="F608" s="8">
        <v>3045</v>
      </c>
    </row>
    <row r="609" spans="1:6" ht="12.75">
      <c r="A609" s="8">
        <v>43905.005219907413</v>
      </c>
      <c r="B609" s="8" t="str">
        <f>HYPERLINK("https://twitter.com/K_Ompu","@K_Ompu")</f>
        <v>@K_Ompu</v>
      </c>
      <c r="C609" s="8" t="s">
        <v>349</v>
      </c>
      <c r="D609" s="8">
        <v>0</v>
      </c>
      <c r="E609" s="8">
        <v>0</v>
      </c>
      <c r="F609" s="8">
        <v>161</v>
      </c>
    </row>
    <row r="610" spans="1:6" ht="12.75">
      <c r="A610" s="8">
        <v>43905.004895833335</v>
      </c>
      <c r="B610" s="8" t="str">
        <f>HYPERLINK("https://twitter.com/luthfi_fadhlil","@luthfi_fadhlil")</f>
        <v>@luthfi_fadhlil</v>
      </c>
      <c r="C610" s="8" t="s">
        <v>54</v>
      </c>
      <c r="D610" s="8">
        <v>71</v>
      </c>
      <c r="E610" s="8">
        <v>0</v>
      </c>
      <c r="F610" s="8">
        <v>3084</v>
      </c>
    </row>
    <row r="611" spans="1:6" ht="12.75">
      <c r="A611" s="8">
        <v>43905.004791666666</v>
      </c>
      <c r="B611" s="8" t="str">
        <f>HYPERLINK("https://twitter.com/Kirana____2","@Kirana____2")</f>
        <v>@Kirana____2</v>
      </c>
      <c r="C611" s="8" t="s">
        <v>350</v>
      </c>
      <c r="D611" s="8">
        <v>1</v>
      </c>
      <c r="E611" s="8">
        <v>0</v>
      </c>
      <c r="F611" s="8">
        <v>878</v>
      </c>
    </row>
    <row r="612" spans="1:6" ht="12.75">
      <c r="A612" s="8">
        <v>43905.003958333335</v>
      </c>
      <c r="B612" s="8" t="str">
        <f>HYPERLINK("https://twitter.com/saniadeva","@saniadeva")</f>
        <v>@saniadeva</v>
      </c>
      <c r="C612" s="8" t="s">
        <v>351</v>
      </c>
      <c r="D612" s="8">
        <v>1</v>
      </c>
      <c r="E612" s="8">
        <v>0</v>
      </c>
      <c r="F612" s="8">
        <v>388</v>
      </c>
    </row>
    <row r="613" spans="1:6" ht="12.75">
      <c r="A613" s="8">
        <v>43905.003831018519</v>
      </c>
      <c r="B613" s="8" t="str">
        <f>HYPERLINK("https://twitter.com/onsrgst","@onsrgst")</f>
        <v>@onsrgst</v>
      </c>
      <c r="C613" s="8" t="s">
        <v>352</v>
      </c>
      <c r="D613" s="8">
        <v>0</v>
      </c>
      <c r="E613" s="8">
        <v>1</v>
      </c>
      <c r="F613" s="8">
        <v>120</v>
      </c>
    </row>
    <row r="614" spans="1:6" ht="12.75">
      <c r="A614" s="8">
        <v>43905.003657407404</v>
      </c>
      <c r="B614" s="8" t="str">
        <f>HYPERLINK("https://twitter.com/tubagusamr","@tubagusamr")</f>
        <v>@tubagusamr</v>
      </c>
      <c r="C614" s="8" t="s">
        <v>54</v>
      </c>
      <c r="D614" s="8">
        <v>71</v>
      </c>
      <c r="E614" s="8">
        <v>0</v>
      </c>
      <c r="F614" s="8">
        <v>35</v>
      </c>
    </row>
    <row r="615" spans="1:6" ht="12.75">
      <c r="A615" s="8">
        <v>43905.003587962958</v>
      </c>
      <c r="B615" s="8" t="str">
        <f>HYPERLINK("https://twitter.com/BaliHanafi","@BaliHanafi")</f>
        <v>@BaliHanafi</v>
      </c>
      <c r="C615" s="8" t="s">
        <v>353</v>
      </c>
      <c r="D615" s="8">
        <v>148</v>
      </c>
      <c r="E615" s="8">
        <v>0</v>
      </c>
      <c r="F615" s="8">
        <v>400</v>
      </c>
    </row>
    <row r="616" spans="1:6" ht="12.75">
      <c r="A616" s="8">
        <v>43905.002500000002</v>
      </c>
      <c r="B616" s="8" t="str">
        <f>HYPERLINK("https://twitter.com/yuddychrisnandi","@yuddychrisnandi")</f>
        <v>@yuddychrisnandi</v>
      </c>
      <c r="C616" s="8" t="s">
        <v>354</v>
      </c>
      <c r="D616" s="8">
        <v>1</v>
      </c>
      <c r="E616" s="8">
        <v>7</v>
      </c>
      <c r="F616" s="8">
        <v>177080</v>
      </c>
    </row>
    <row r="617" spans="1:6" ht="12.75">
      <c r="A617" s="8">
        <v>43905.002025462964</v>
      </c>
      <c r="B617" s="8" t="str">
        <f>HYPERLINK("https://twitter.com/dwytono","@dwytono")</f>
        <v>@dwytono</v>
      </c>
      <c r="C617" s="8" t="s">
        <v>102</v>
      </c>
      <c r="D617" s="8">
        <v>40</v>
      </c>
      <c r="E617" s="8">
        <v>0</v>
      </c>
      <c r="F617" s="8">
        <v>1895</v>
      </c>
    </row>
    <row r="618" spans="1:6" ht="12.75">
      <c r="A618" s="8">
        <v>43905.001759259263</v>
      </c>
      <c r="B618" s="8" t="str">
        <f>HYPERLINK("https://twitter.com/BillTemporo","@BillTemporo")</f>
        <v>@BillTemporo</v>
      </c>
      <c r="C618" s="8" t="s">
        <v>355</v>
      </c>
      <c r="D618" s="8">
        <v>0</v>
      </c>
      <c r="E618" s="8">
        <v>0</v>
      </c>
      <c r="F618" s="8">
        <v>11</v>
      </c>
    </row>
    <row r="619" spans="1:6" ht="12.75">
      <c r="A619" s="8">
        <v>43905.001018518524</v>
      </c>
      <c r="B619" s="8" t="str">
        <f>HYPERLINK("https://twitter.com/DahlanMahmud","@DahlanMahmud")</f>
        <v>@DahlanMahmud</v>
      </c>
      <c r="C619" s="8" t="s">
        <v>356</v>
      </c>
      <c r="D619" s="8">
        <v>0</v>
      </c>
      <c r="E619" s="8">
        <v>0</v>
      </c>
      <c r="F619" s="8">
        <v>70</v>
      </c>
    </row>
    <row r="620" spans="1:6" ht="12.75">
      <c r="A620" s="8">
        <v>43905.000810185185</v>
      </c>
      <c r="B620" s="8" t="str">
        <f>HYPERLINK("https://twitter.com/dorseysilalahi","@dorseysilalahi")</f>
        <v>@dorseysilalahi</v>
      </c>
      <c r="C620" s="8" t="s">
        <v>10</v>
      </c>
      <c r="D620" s="8">
        <v>20</v>
      </c>
      <c r="E620" s="8">
        <v>0</v>
      </c>
      <c r="F620" s="8">
        <v>912</v>
      </c>
    </row>
    <row r="621" spans="1:6" ht="12.75">
      <c r="A621" s="8">
        <v>43904.9997337963</v>
      </c>
      <c r="B621" s="8" t="str">
        <f>HYPERLINK("https://twitter.com/_wni_","@_wni_")</f>
        <v>@_wni_</v>
      </c>
      <c r="C621" s="8" t="s">
        <v>357</v>
      </c>
      <c r="D621" s="8">
        <v>0</v>
      </c>
      <c r="E621" s="8">
        <v>0</v>
      </c>
      <c r="F621" s="8">
        <v>21</v>
      </c>
    </row>
    <row r="622" spans="1:6" ht="12.75">
      <c r="A622" s="8">
        <v>43904.999583333338</v>
      </c>
      <c r="B622" s="8" t="str">
        <f>HYPERLINK("https://twitter.com/07_liest","@07_liest")</f>
        <v>@07_liest</v>
      </c>
      <c r="C622" s="8" t="s">
        <v>358</v>
      </c>
      <c r="D622" s="8">
        <v>5</v>
      </c>
      <c r="E622" s="8">
        <v>0</v>
      </c>
      <c r="F622" s="8">
        <v>142</v>
      </c>
    </row>
    <row r="623" spans="1:6" ht="12.75">
      <c r="A623" s="8">
        <v>43904.999236111107</v>
      </c>
      <c r="B623" s="8" t="str">
        <f>HYPERLINK("https://twitter.com/rkivenus","@rkivenus")</f>
        <v>@rkivenus</v>
      </c>
      <c r="C623" s="8" t="s">
        <v>359</v>
      </c>
      <c r="D623" s="8">
        <v>0</v>
      </c>
      <c r="E623" s="8">
        <v>0</v>
      </c>
      <c r="F623" s="8">
        <v>436</v>
      </c>
    </row>
    <row r="624" spans="1:6" ht="12.75">
      <c r="A624" s="8">
        <v>43904.998078703706</v>
      </c>
      <c r="B624" s="8" t="str">
        <f>HYPERLINK("https://twitter.com/kindofbananas","@kindofbananas")</f>
        <v>@kindofbananas</v>
      </c>
      <c r="C624" s="8" t="s">
        <v>360</v>
      </c>
      <c r="D624" s="8">
        <v>0</v>
      </c>
      <c r="E624" s="8">
        <v>0</v>
      </c>
      <c r="F624" s="8">
        <v>127</v>
      </c>
    </row>
    <row r="625" spans="1:6" ht="12.75">
      <c r="A625" s="8">
        <v>43904.997800925921</v>
      </c>
      <c r="B625" s="8" t="str">
        <f>HYPERLINK("https://twitter.com/lowlipied","@lowlipied")</f>
        <v>@lowlipied</v>
      </c>
      <c r="C625" s="8" t="s">
        <v>361</v>
      </c>
      <c r="D625" s="8">
        <v>0</v>
      </c>
      <c r="E625" s="8">
        <v>0</v>
      </c>
      <c r="F625" s="8">
        <v>174</v>
      </c>
    </row>
    <row r="626" spans="1:6" ht="12.75">
      <c r="A626" s="8">
        <v>43904.997685185182</v>
      </c>
      <c r="B626" s="8" t="str">
        <f t="shared" ref="B626:B627" si="11">HYPERLINK("https://twitter.com/AryPrasetyo_85","@AryPrasetyo_85")</f>
        <v>@AryPrasetyo_85</v>
      </c>
      <c r="C626" s="8" t="s">
        <v>358</v>
      </c>
      <c r="D626" s="8">
        <v>5</v>
      </c>
      <c r="E626" s="8">
        <v>0</v>
      </c>
      <c r="F626" s="8">
        <v>5634</v>
      </c>
    </row>
    <row r="627" spans="1:6" ht="12.75">
      <c r="A627" s="8">
        <v>43904.997592592597</v>
      </c>
      <c r="B627" s="8" t="str">
        <f t="shared" si="11"/>
        <v>@AryPrasetyo_85</v>
      </c>
      <c r="C627" s="8" t="s">
        <v>362</v>
      </c>
      <c r="D627" s="8">
        <v>6</v>
      </c>
      <c r="E627" s="8">
        <v>0</v>
      </c>
      <c r="F627" s="8">
        <v>5634</v>
      </c>
    </row>
    <row r="628" spans="1:6" ht="12.75">
      <c r="A628" s="8">
        <v>43904.997465277775</v>
      </c>
      <c r="B628" s="8" t="str">
        <f>HYPERLINK("https://twitter.com/EndarwatiErna","@EndarwatiErna")</f>
        <v>@EndarwatiErna</v>
      </c>
      <c r="C628" s="8" t="s">
        <v>102</v>
      </c>
      <c r="D628" s="8">
        <v>40</v>
      </c>
      <c r="E628" s="8">
        <v>0</v>
      </c>
      <c r="F628" s="8">
        <v>1</v>
      </c>
    </row>
    <row r="629" spans="1:6" ht="12.75">
      <c r="A629" s="8">
        <v>43904.996608796297</v>
      </c>
      <c r="B629" s="8" t="str">
        <f>HYPERLINK("https://twitter.com/Saturdaeee","@Saturdaeee")</f>
        <v>@Saturdaeee</v>
      </c>
      <c r="C629" s="8" t="s">
        <v>42</v>
      </c>
      <c r="D629" s="8">
        <v>57</v>
      </c>
      <c r="E629" s="8">
        <v>0</v>
      </c>
      <c r="F629" s="8">
        <v>297</v>
      </c>
    </row>
    <row r="630" spans="1:6" ht="12.75">
      <c r="A630" s="8">
        <v>43904.996562500004</v>
      </c>
      <c r="B630" s="8" t="str">
        <f>HYPERLINK("https://twitter.com/daaaaaahhh","@daaaaaahhh")</f>
        <v>@daaaaaahhh</v>
      </c>
      <c r="C630" s="8" t="s">
        <v>363</v>
      </c>
      <c r="D630" s="8">
        <v>0</v>
      </c>
      <c r="E630" s="8">
        <v>0</v>
      </c>
      <c r="F630" s="8">
        <v>43</v>
      </c>
    </row>
    <row r="631" spans="1:6" ht="12.75">
      <c r="A631" s="8">
        <v>43904.996458333335</v>
      </c>
      <c r="B631" s="8" t="str">
        <f>HYPERLINK("https://twitter.com/ekasilabann","@ekasilabann")</f>
        <v>@ekasilabann</v>
      </c>
      <c r="C631" s="8" t="s">
        <v>364</v>
      </c>
      <c r="D631" s="8">
        <v>0</v>
      </c>
      <c r="E631" s="8">
        <v>0</v>
      </c>
      <c r="F631" s="8">
        <v>668</v>
      </c>
    </row>
    <row r="632" spans="1:6" ht="12.75">
      <c r="A632" s="8">
        <v>43904.995775462958</v>
      </c>
      <c r="B632" s="8" t="str">
        <f>HYPERLINK("https://twitter.com/angelmaximilan","@angelmaximilan")</f>
        <v>@angelmaximilan</v>
      </c>
      <c r="C632" s="8" t="s">
        <v>365</v>
      </c>
      <c r="D632" s="8">
        <v>1</v>
      </c>
      <c r="E632" s="8">
        <v>2</v>
      </c>
      <c r="F632" s="8">
        <v>6480</v>
      </c>
    </row>
    <row r="633" spans="1:6" ht="12.75">
      <c r="A633" s="8">
        <v>43904.995671296296</v>
      </c>
      <c r="B633" s="8" t="str">
        <f>HYPERLINK("https://twitter.com/KiGolan","@KiGolan")</f>
        <v>@KiGolan</v>
      </c>
      <c r="C633" s="8" t="s">
        <v>42</v>
      </c>
      <c r="D633" s="8">
        <v>57</v>
      </c>
      <c r="E633" s="8">
        <v>0</v>
      </c>
      <c r="F633" s="8">
        <v>212</v>
      </c>
    </row>
    <row r="634" spans="1:6" ht="12.75">
      <c r="A634" s="8">
        <v>43904.995138888888</v>
      </c>
      <c r="B634" s="8" t="str">
        <f>HYPERLINK("https://twitter.com/ndaru_wardani","@ndaru_wardani")</f>
        <v>@ndaru_wardani</v>
      </c>
      <c r="C634" s="8" t="s">
        <v>107</v>
      </c>
      <c r="D634" s="8">
        <v>43</v>
      </c>
      <c r="E634" s="8">
        <v>0</v>
      </c>
      <c r="F634" s="8">
        <v>301</v>
      </c>
    </row>
    <row r="635" spans="1:6" ht="12.75">
      <c r="A635" s="8">
        <v>43904.994490740741</v>
      </c>
      <c r="B635" s="8" t="str">
        <f>HYPERLINK("https://twitter.com/Evarosd8","@Evarosd8")</f>
        <v>@Evarosd8</v>
      </c>
      <c r="C635" s="8" t="s">
        <v>366</v>
      </c>
      <c r="D635" s="8">
        <v>0</v>
      </c>
      <c r="E635" s="8">
        <v>0</v>
      </c>
      <c r="F635" s="8">
        <v>51</v>
      </c>
    </row>
    <row r="636" spans="1:6" ht="12.75">
      <c r="A636" s="8">
        <v>43904.994062500002</v>
      </c>
      <c r="B636" s="8" t="str">
        <f>HYPERLINK("https://twitter.com/ShenRu013","@ShenRu013")</f>
        <v>@ShenRu013</v>
      </c>
      <c r="C636" s="8" t="s">
        <v>272</v>
      </c>
      <c r="D636" s="8">
        <v>35</v>
      </c>
      <c r="E636" s="8">
        <v>0</v>
      </c>
      <c r="F636" s="8">
        <v>444</v>
      </c>
    </row>
    <row r="637" spans="1:6" ht="12.75">
      <c r="A637" s="8">
        <v>43904.99355324074</v>
      </c>
      <c r="B637" s="8" t="str">
        <f>HYPERLINK("https://twitter.com/SirSanndy","@SirSanndy")</f>
        <v>@SirSanndy</v>
      </c>
      <c r="C637" s="8" t="s">
        <v>10</v>
      </c>
      <c r="D637" s="8">
        <v>20</v>
      </c>
      <c r="E637" s="8">
        <v>0</v>
      </c>
      <c r="F637" s="8">
        <v>608</v>
      </c>
    </row>
    <row r="638" spans="1:6" ht="12.75">
      <c r="A638" s="8">
        <v>43904.993356481486</v>
      </c>
      <c r="B638" s="8" t="str">
        <f>HYPERLINK("https://twitter.com/taufannurcahyo","@taufannurcahyo")</f>
        <v>@taufannurcahyo</v>
      </c>
      <c r="C638" s="8" t="s">
        <v>367</v>
      </c>
      <c r="D638" s="8">
        <v>1</v>
      </c>
      <c r="E638" s="8">
        <v>0</v>
      </c>
      <c r="F638" s="8">
        <v>382</v>
      </c>
    </row>
    <row r="639" spans="1:6" ht="12.75">
      <c r="A639" s="8">
        <v>43904.993310185186</v>
      </c>
      <c r="B639" s="8" t="str">
        <f>HYPERLINK("https://twitter.com/tszabita","@tszabita")</f>
        <v>@tszabita</v>
      </c>
      <c r="C639" s="8" t="s">
        <v>38</v>
      </c>
      <c r="D639" s="8">
        <v>1</v>
      </c>
      <c r="E639" s="8">
        <v>0</v>
      </c>
      <c r="F639" s="8">
        <v>2292</v>
      </c>
    </row>
    <row r="640" spans="1:6" ht="12.75">
      <c r="A640" s="8">
        <v>43904.992939814816</v>
      </c>
      <c r="B640" s="8" t="str">
        <f>HYPERLINK("https://twitter.com/chalsiyawasi","@chalsiyawasi")</f>
        <v>@chalsiyawasi</v>
      </c>
      <c r="C640" s="8" t="s">
        <v>368</v>
      </c>
      <c r="D640" s="8">
        <v>0</v>
      </c>
      <c r="E640" s="8">
        <v>0</v>
      </c>
      <c r="F640" s="8">
        <v>35</v>
      </c>
    </row>
    <row r="641" spans="1:6" ht="12.75">
      <c r="A641" s="8">
        <v>43904.992928240739</v>
      </c>
      <c r="B641" s="8" t="str">
        <f>HYPERLINK("https://twitter.com/YogaKrisnanda2","@YogaKrisnanda2")</f>
        <v>@YogaKrisnanda2</v>
      </c>
      <c r="C641" s="8" t="s">
        <v>369</v>
      </c>
      <c r="D641" s="8">
        <v>0</v>
      </c>
      <c r="E641" s="8">
        <v>0</v>
      </c>
      <c r="F641" s="8">
        <v>3196</v>
      </c>
    </row>
    <row r="642" spans="1:6" ht="12.75">
      <c r="A642" s="8">
        <v>43904.992777777778</v>
      </c>
      <c r="B642" s="8" t="str">
        <f>HYPERLINK("https://twitter.com/jhdamar","@jhdamar")</f>
        <v>@jhdamar</v>
      </c>
      <c r="C642" s="8" t="s">
        <v>107</v>
      </c>
      <c r="D642" s="8">
        <v>43</v>
      </c>
      <c r="E642" s="8">
        <v>0</v>
      </c>
      <c r="F642" s="8">
        <v>729</v>
      </c>
    </row>
    <row r="643" spans="1:6" ht="12.75">
      <c r="A643" s="8">
        <v>43904.991805555561</v>
      </c>
      <c r="B643" s="8" t="str">
        <f>HYPERLINK("https://twitter.com/dessyDMP","@dessyDMP")</f>
        <v>@dessyDMP</v>
      </c>
      <c r="C643" s="8" t="s">
        <v>54</v>
      </c>
      <c r="D643" s="8">
        <v>71</v>
      </c>
      <c r="E643" s="8">
        <v>0</v>
      </c>
      <c r="F643" s="8">
        <v>349</v>
      </c>
    </row>
    <row r="644" spans="1:6" ht="12.75">
      <c r="A644" s="8">
        <v>43904.991805555561</v>
      </c>
      <c r="B644" s="8" t="str">
        <f>HYPERLINK("https://twitter.com/KrisnaCurvaNord","@KrisnaCurvaNord")</f>
        <v>@KrisnaCurvaNord</v>
      </c>
      <c r="C644" s="8" t="s">
        <v>102</v>
      </c>
      <c r="D644" s="8">
        <v>40</v>
      </c>
      <c r="E644" s="8">
        <v>0</v>
      </c>
      <c r="F644" s="8">
        <v>2243</v>
      </c>
    </row>
    <row r="645" spans="1:6" ht="12.75">
      <c r="A645" s="8">
        <v>43904.990902777776</v>
      </c>
      <c r="B645" s="8" t="str">
        <f>HYPERLINK("https://twitter.com/sangweelee","@sangweelee")</f>
        <v>@sangweelee</v>
      </c>
      <c r="C645" s="8" t="s">
        <v>370</v>
      </c>
      <c r="D645" s="8">
        <v>1</v>
      </c>
      <c r="E645" s="8">
        <v>0</v>
      </c>
      <c r="F645" s="8">
        <v>1254</v>
      </c>
    </row>
    <row r="646" spans="1:6" ht="12.75">
      <c r="A646" s="8">
        <v>43904.990787037037</v>
      </c>
      <c r="B646" s="8" t="str">
        <f>HYPERLINK("https://twitter.com/YRadianto","@YRadianto")</f>
        <v>@YRadianto</v>
      </c>
      <c r="C646" s="8" t="s">
        <v>19</v>
      </c>
      <c r="D646" s="8">
        <v>23</v>
      </c>
      <c r="E646" s="8">
        <v>0</v>
      </c>
      <c r="F646" s="8">
        <v>29736</v>
      </c>
    </row>
    <row r="647" spans="1:6" ht="12.75">
      <c r="A647" s="8">
        <v>43904.990347222221</v>
      </c>
      <c r="B647" s="8" t="str">
        <f>HYPERLINK("https://twitter.com/arethesunshine","@arethesunshine")</f>
        <v>@arethesunshine</v>
      </c>
      <c r="C647" s="8" t="s">
        <v>54</v>
      </c>
      <c r="D647" s="8">
        <v>71</v>
      </c>
      <c r="E647" s="8">
        <v>0</v>
      </c>
      <c r="F647" s="8">
        <v>611</v>
      </c>
    </row>
    <row r="648" spans="1:6" ht="12.75">
      <c r="A648" s="8">
        <v>43904.989733796298</v>
      </c>
      <c r="B648" s="8" t="str">
        <f>HYPERLINK("https://twitter.com/nafisahreal7","@nafisahreal7")</f>
        <v>@nafisahreal7</v>
      </c>
      <c r="C648" s="8" t="s">
        <v>371</v>
      </c>
      <c r="D648" s="8">
        <v>0</v>
      </c>
      <c r="E648" s="8">
        <v>1</v>
      </c>
      <c r="F648" s="8">
        <v>223</v>
      </c>
    </row>
    <row r="649" spans="1:6" ht="12.75">
      <c r="A649" s="8">
        <v>43904.989594907413</v>
      </c>
      <c r="B649" s="8" t="str">
        <f>HYPERLINK("https://twitter.com/UrubingDilah","@UrubingDilah")</f>
        <v>@UrubingDilah</v>
      </c>
      <c r="C649" s="8" t="s">
        <v>42</v>
      </c>
      <c r="D649" s="8">
        <v>57</v>
      </c>
      <c r="E649" s="8">
        <v>0</v>
      </c>
      <c r="F649" s="8">
        <v>1378</v>
      </c>
    </row>
    <row r="650" spans="1:6" ht="12.75">
      <c r="A650" s="8">
        <v>43904.989074074074</v>
      </c>
      <c r="B650" s="8" t="str">
        <f>HYPERLINK("https://twitter.com/MandaNizami","@MandaNizami")</f>
        <v>@MandaNizami</v>
      </c>
      <c r="C650" s="8" t="s">
        <v>372</v>
      </c>
      <c r="D650" s="8">
        <v>0</v>
      </c>
      <c r="E650" s="8">
        <v>0</v>
      </c>
      <c r="F650" s="8">
        <v>300</v>
      </c>
    </row>
    <row r="651" spans="1:6" ht="12.75">
      <c r="A651" s="8">
        <v>43904.989027777774</v>
      </c>
      <c r="B651" s="8" t="str">
        <f>HYPERLINK("https://twitter.com/Evarosd8","@Evarosd8")</f>
        <v>@Evarosd8</v>
      </c>
      <c r="C651" s="8" t="s">
        <v>373</v>
      </c>
      <c r="D651" s="8">
        <v>0</v>
      </c>
      <c r="E651" s="8">
        <v>0</v>
      </c>
      <c r="F651" s="8">
        <v>51</v>
      </c>
    </row>
    <row r="652" spans="1:6" ht="12.75">
      <c r="A652" s="8">
        <v>43904.988692129627</v>
      </c>
      <c r="B652" s="8" t="str">
        <f>HYPERLINK("https://twitter.com/wavelumosxx","@wavelumosxx")</f>
        <v>@wavelumosxx</v>
      </c>
      <c r="C652" s="8" t="s">
        <v>15</v>
      </c>
      <c r="D652" s="8">
        <v>9</v>
      </c>
      <c r="E652" s="8">
        <v>0</v>
      </c>
      <c r="F652" s="8">
        <v>420</v>
      </c>
    </row>
    <row r="653" spans="1:6" ht="12.75">
      <c r="A653" s="8">
        <v>43904.988657407404</v>
      </c>
      <c r="B653" s="8" t="str">
        <f>HYPERLINK("https://twitter.com/sirajapadoha","@sirajapadoha")</f>
        <v>@sirajapadoha</v>
      </c>
      <c r="C653" s="8" t="s">
        <v>374</v>
      </c>
      <c r="D653" s="8">
        <v>0</v>
      </c>
      <c r="E653" s="8">
        <v>0</v>
      </c>
      <c r="F653" s="8">
        <v>2507</v>
      </c>
    </row>
    <row r="654" spans="1:6" ht="12.75">
      <c r="A654" s="8">
        <v>43904.988356481481</v>
      </c>
      <c r="B654" s="8" t="str">
        <f>HYPERLINK("https://twitter.com/AH26021967","@AH26021967")</f>
        <v>@AH26021967</v>
      </c>
      <c r="C654" s="8" t="s">
        <v>10</v>
      </c>
      <c r="D654" s="8">
        <v>20</v>
      </c>
      <c r="E654" s="8">
        <v>0</v>
      </c>
      <c r="F654" s="8">
        <v>280</v>
      </c>
    </row>
    <row r="655" spans="1:6" ht="12.75">
      <c r="A655" s="8">
        <v>43904.988171296296</v>
      </c>
      <c r="B655" s="8" t="str">
        <f>HYPERLINK("https://twitter.com/erinsnote","@erinsnote")</f>
        <v>@erinsnote</v>
      </c>
      <c r="C655" s="8" t="s">
        <v>76</v>
      </c>
      <c r="D655" s="8">
        <v>0</v>
      </c>
      <c r="E655" s="8">
        <v>0</v>
      </c>
      <c r="F655" s="8">
        <v>1843</v>
      </c>
    </row>
    <row r="656" spans="1:6" ht="12.75">
      <c r="A656" s="8">
        <v>43904.988125000003</v>
      </c>
      <c r="B656" s="8" t="str">
        <f>HYPERLINK("https://twitter.com/rzkyft","@rzkyft")</f>
        <v>@rzkyft</v>
      </c>
      <c r="C656" s="8" t="s">
        <v>102</v>
      </c>
      <c r="D656" s="8">
        <v>40</v>
      </c>
      <c r="E656" s="8">
        <v>0</v>
      </c>
      <c r="F656" s="8">
        <v>111</v>
      </c>
    </row>
    <row r="657" spans="1:6" ht="12.75">
      <c r="A657" s="8">
        <v>43904.98810185185</v>
      </c>
      <c r="B657" s="8" t="str">
        <f>HYPERLINK("https://twitter.com/Gombang7","@Gombang7")</f>
        <v>@Gombang7</v>
      </c>
      <c r="C657" s="8" t="s">
        <v>49</v>
      </c>
      <c r="D657" s="8">
        <v>5</v>
      </c>
      <c r="E657" s="8">
        <v>0</v>
      </c>
      <c r="F657" s="8">
        <v>36</v>
      </c>
    </row>
    <row r="658" spans="1:6" ht="12.75">
      <c r="A658" s="8">
        <v>43904.988078703704</v>
      </c>
      <c r="B658" s="8" t="str">
        <f>HYPERLINK("https://twitter.com/heychocolata_","@heychocolata_")</f>
        <v>@heychocolata_</v>
      </c>
      <c r="C658" s="8" t="s">
        <v>375</v>
      </c>
      <c r="D658" s="8">
        <v>0</v>
      </c>
      <c r="E658" s="8">
        <v>0</v>
      </c>
      <c r="F658" s="8">
        <v>119</v>
      </c>
    </row>
    <row r="659" spans="1:6" ht="12.75">
      <c r="A659" s="8">
        <v>43904.988020833334</v>
      </c>
      <c r="B659" s="8" t="str">
        <f>HYPERLINK("https://twitter.com/wni_jmsri","@wni_jmsri")</f>
        <v>@wni_jmsri</v>
      </c>
      <c r="C659" s="8" t="s">
        <v>376</v>
      </c>
      <c r="D659" s="8">
        <v>583</v>
      </c>
      <c r="E659" s="8">
        <v>0</v>
      </c>
      <c r="F659" s="8">
        <v>198</v>
      </c>
    </row>
    <row r="660" spans="1:6" ht="12.75">
      <c r="A660" s="8">
        <v>43904.986863425926</v>
      </c>
      <c r="B660" s="8" t="str">
        <f>HYPERLINK("https://twitter.com/bukanfaisa","@bukanfaisa")</f>
        <v>@bukanfaisa</v>
      </c>
      <c r="C660" s="8" t="s">
        <v>54</v>
      </c>
      <c r="D660" s="8">
        <v>71</v>
      </c>
      <c r="E660" s="8">
        <v>0</v>
      </c>
      <c r="F660" s="8">
        <v>43</v>
      </c>
    </row>
    <row r="661" spans="1:6" ht="12.75">
      <c r="A661" s="8">
        <v>43904.986446759256</v>
      </c>
      <c r="B661" s="8" t="str">
        <f>HYPERLINK("https://twitter.com/ISIS_Balik_NO","@ISIS_Balik_NO")</f>
        <v>@ISIS_Balik_NO</v>
      </c>
      <c r="C661" s="8" t="s">
        <v>377</v>
      </c>
      <c r="D661" s="8">
        <v>189</v>
      </c>
      <c r="E661" s="8">
        <v>0</v>
      </c>
      <c r="F661" s="8">
        <v>6276</v>
      </c>
    </row>
    <row r="662" spans="1:6" ht="12.75">
      <c r="A662" s="8">
        <v>43904.986412037033</v>
      </c>
      <c r="B662" s="8" t="str">
        <f>HYPERLINK("https://twitter.com/Edd51354072","@Edd51354072")</f>
        <v>@Edd51354072</v>
      </c>
      <c r="C662" s="8" t="s">
        <v>378</v>
      </c>
      <c r="D662" s="8">
        <v>0</v>
      </c>
      <c r="E662" s="8">
        <v>0</v>
      </c>
      <c r="F662" s="8">
        <v>2</v>
      </c>
    </row>
    <row r="663" spans="1:6" ht="12.75">
      <c r="A663" s="8">
        <v>43904.986342592594</v>
      </c>
      <c r="B663" s="8" t="str">
        <f>HYPERLINK("https://twitter.com/gsmrldy","@gsmrldy")</f>
        <v>@gsmrldy</v>
      </c>
      <c r="C663" s="8" t="s">
        <v>54</v>
      </c>
      <c r="D663" s="8">
        <v>71</v>
      </c>
      <c r="E663" s="8">
        <v>0</v>
      </c>
      <c r="F663" s="8">
        <v>856</v>
      </c>
    </row>
    <row r="664" spans="1:6" ht="12.75">
      <c r="A664" s="8">
        <v>43904.98574074074</v>
      </c>
      <c r="B664" s="8" t="str">
        <f>HYPERLINK("https://twitter.com/DenBagusDhewe","@DenBagusDhewe")</f>
        <v>@DenBagusDhewe</v>
      </c>
      <c r="C664" s="8" t="s">
        <v>379</v>
      </c>
      <c r="D664" s="8">
        <v>1</v>
      </c>
      <c r="E664" s="8">
        <v>1</v>
      </c>
      <c r="F664" s="8">
        <v>1193</v>
      </c>
    </row>
    <row r="665" spans="1:6" ht="12.75">
      <c r="A665" s="8">
        <v>43904.985706018517</v>
      </c>
      <c r="B665" s="8" t="str">
        <f>HYPERLINK("https://twitter.com/ISIS_Balik_NO","@ISIS_Balik_NO")</f>
        <v>@ISIS_Balik_NO</v>
      </c>
      <c r="C665" s="8" t="s">
        <v>380</v>
      </c>
      <c r="D665" s="8">
        <v>0</v>
      </c>
      <c r="E665" s="8">
        <v>2</v>
      </c>
      <c r="F665" s="8">
        <v>6276</v>
      </c>
    </row>
    <row r="666" spans="1:6" ht="12.75">
      <c r="A666" s="8">
        <v>43904.98537037037</v>
      </c>
      <c r="B666" s="8" t="str">
        <f>HYPERLINK("https://twitter.com/cik_kartika","@cik_kartika")</f>
        <v>@cik_kartika</v>
      </c>
      <c r="C666" s="8" t="s">
        <v>381</v>
      </c>
      <c r="D666" s="8">
        <v>0</v>
      </c>
      <c r="E666" s="8">
        <v>0</v>
      </c>
      <c r="F666" s="8">
        <v>654</v>
      </c>
    </row>
    <row r="667" spans="1:6" ht="12.75">
      <c r="A667" s="8">
        <v>43904.985335648147</v>
      </c>
      <c r="B667" s="8" t="str">
        <f>HYPERLINK("https://twitter.com/ISIS_Balik_NO","@ISIS_Balik_NO")</f>
        <v>@ISIS_Balik_NO</v>
      </c>
      <c r="C667" s="8" t="s">
        <v>382</v>
      </c>
      <c r="D667" s="8">
        <v>53</v>
      </c>
      <c r="E667" s="8">
        <v>0</v>
      </c>
      <c r="F667" s="8">
        <v>6276</v>
      </c>
    </row>
    <row r="668" spans="1:6" ht="12.75">
      <c r="A668" s="8">
        <v>43904.984942129631</v>
      </c>
      <c r="B668" s="8" t="str">
        <f>HYPERLINK("https://twitter.com/mzainismail","@mzainismail")</f>
        <v>@mzainismail</v>
      </c>
      <c r="C668" s="8" t="s">
        <v>54</v>
      </c>
      <c r="D668" s="8">
        <v>71</v>
      </c>
      <c r="E668" s="8">
        <v>0</v>
      </c>
      <c r="F668" s="8">
        <v>238</v>
      </c>
    </row>
    <row r="669" spans="1:6" ht="12.75">
      <c r="A669" s="8">
        <v>43904.983506944445</v>
      </c>
      <c r="B669" s="8" t="str">
        <f>HYPERLINK("https://twitter.com/bybyefever","@bybyefever")</f>
        <v>@bybyefever</v>
      </c>
      <c r="C669" s="8" t="s">
        <v>54</v>
      </c>
      <c r="D669" s="8">
        <v>71</v>
      </c>
      <c r="E669" s="8">
        <v>0</v>
      </c>
      <c r="F669" s="8">
        <v>962</v>
      </c>
    </row>
    <row r="670" spans="1:6" ht="12.75">
      <c r="A670" s="8">
        <v>43904.983252314814</v>
      </c>
      <c r="B670" s="8" t="str">
        <f>HYPERLINK("https://twitter.com/CeriaSinom","@CeriaSinom")</f>
        <v>@CeriaSinom</v>
      </c>
      <c r="C670" s="8" t="s">
        <v>10</v>
      </c>
      <c r="D670" s="8">
        <v>20</v>
      </c>
      <c r="E670" s="8">
        <v>0</v>
      </c>
      <c r="F670" s="8">
        <v>160</v>
      </c>
    </row>
    <row r="671" spans="1:6" ht="12.75">
      <c r="A671" s="8">
        <v>43904.982824074075</v>
      </c>
      <c r="B671" s="8" t="str">
        <f>HYPERLINK("https://twitter.com/defriHzikra","@defriHzikra")</f>
        <v>@defriHzikra</v>
      </c>
      <c r="C671" s="8" t="s">
        <v>54</v>
      </c>
      <c r="D671" s="8">
        <v>71</v>
      </c>
      <c r="E671" s="8">
        <v>0</v>
      </c>
      <c r="F671" s="8">
        <v>823</v>
      </c>
    </row>
    <row r="672" spans="1:6" ht="12.75">
      <c r="A672" s="8">
        <v>43904.982638888891</v>
      </c>
      <c r="B672" s="8" t="str">
        <f>HYPERLINK("https://twitter.com/dewifirdausi_","@dewifirdausi_")</f>
        <v>@dewifirdausi_</v>
      </c>
      <c r="C672" s="8" t="s">
        <v>54</v>
      </c>
      <c r="D672" s="8">
        <v>71</v>
      </c>
      <c r="E672" s="8">
        <v>0</v>
      </c>
      <c r="F672" s="8">
        <v>510</v>
      </c>
    </row>
    <row r="673" spans="1:6" ht="12.75">
      <c r="A673" s="8">
        <v>43904.982453703706</v>
      </c>
      <c r="B673" s="8" t="str">
        <f>HYPERLINK("https://twitter.com/jayagalihridho","@jayagalihridho")</f>
        <v>@jayagalihridho</v>
      </c>
      <c r="C673" s="8" t="s">
        <v>10</v>
      </c>
      <c r="D673" s="8">
        <v>20</v>
      </c>
      <c r="E673" s="8">
        <v>0</v>
      </c>
      <c r="F673" s="8">
        <v>58</v>
      </c>
    </row>
    <row r="674" spans="1:6" ht="12.75">
      <c r="A674" s="8">
        <v>43904.98137731482</v>
      </c>
      <c r="B674" s="8" t="str">
        <f>HYPERLINK("https://twitter.com/kalap_corona","@kalap_corona")</f>
        <v>@kalap_corona</v>
      </c>
      <c r="C674" s="8" t="s">
        <v>383</v>
      </c>
      <c r="D674" s="8">
        <v>0</v>
      </c>
      <c r="E674" s="8">
        <v>0</v>
      </c>
      <c r="F674" s="8">
        <v>0</v>
      </c>
    </row>
    <row r="675" spans="1:6" ht="12.75">
      <c r="A675" s="8">
        <v>43904.981261574074</v>
      </c>
      <c r="B675" s="8" t="str">
        <f>HYPERLINK("https://twitter.com/qisthinabila","@qisthinabila")</f>
        <v>@qisthinabila</v>
      </c>
      <c r="C675" s="8" t="s">
        <v>54</v>
      </c>
      <c r="D675" s="8">
        <v>71</v>
      </c>
      <c r="E675" s="8">
        <v>0</v>
      </c>
      <c r="F675" s="8">
        <v>486</v>
      </c>
    </row>
    <row r="676" spans="1:6" ht="12.75">
      <c r="A676" s="8">
        <v>43904.981249999997</v>
      </c>
      <c r="B676" s="8" t="str">
        <f>HYPERLINK("https://twitter.com/istichauliaa","@istichauliaa")</f>
        <v>@istichauliaa</v>
      </c>
      <c r="C676" s="8" t="s">
        <v>54</v>
      </c>
      <c r="D676" s="8">
        <v>71</v>
      </c>
      <c r="E676" s="8">
        <v>0</v>
      </c>
      <c r="F676" s="8">
        <v>797</v>
      </c>
    </row>
    <row r="677" spans="1:6" ht="12.75">
      <c r="A677" s="8">
        <v>43904.981145833328</v>
      </c>
      <c r="B677" s="8" t="str">
        <f>HYPERLINK("https://twitter.com/Jelantik5","@Jelantik5")</f>
        <v>@Jelantik5</v>
      </c>
      <c r="C677" s="8" t="s">
        <v>272</v>
      </c>
      <c r="D677" s="8">
        <v>35</v>
      </c>
      <c r="E677" s="8">
        <v>0</v>
      </c>
      <c r="F677" s="8">
        <v>6591</v>
      </c>
    </row>
    <row r="678" spans="1:6" ht="12.75">
      <c r="A678" s="8">
        <v>43904.980810185181</v>
      </c>
      <c r="B678" s="8" t="str">
        <f>HYPERLINK("https://twitter.com/BillTemporo","@BillTemporo")</f>
        <v>@BillTemporo</v>
      </c>
      <c r="C678" s="8" t="s">
        <v>384</v>
      </c>
      <c r="D678" s="8">
        <v>0</v>
      </c>
      <c r="E678" s="8">
        <v>0</v>
      </c>
      <c r="F678" s="8">
        <v>11</v>
      </c>
    </row>
    <row r="679" spans="1:6" ht="12.75">
      <c r="A679" s="8">
        <v>43904.98064814815</v>
      </c>
      <c r="B679" s="8" t="str">
        <f>HYPERLINK("https://twitter.com/tomsamaja","@tomsamaja")</f>
        <v>@tomsamaja</v>
      </c>
      <c r="C679" s="8" t="s">
        <v>10</v>
      </c>
      <c r="D679" s="8">
        <v>20</v>
      </c>
      <c r="E679" s="8">
        <v>0</v>
      </c>
      <c r="F679" s="8">
        <v>2970</v>
      </c>
    </row>
    <row r="680" spans="1:6" ht="12.75">
      <c r="A680" s="8">
        <v>43904.980590277773</v>
      </c>
      <c r="B680" s="8" t="str">
        <f>HYPERLINK("https://twitter.com/SebutNamaku2","@SebutNamaku2")</f>
        <v>@SebutNamaku2</v>
      </c>
      <c r="C680" s="8" t="s">
        <v>385</v>
      </c>
      <c r="D680" s="8">
        <v>0</v>
      </c>
      <c r="E680" s="8">
        <v>0</v>
      </c>
      <c r="F680" s="8">
        <v>210</v>
      </c>
    </row>
    <row r="681" spans="1:6" ht="12.75">
      <c r="A681" s="8">
        <v>43904.980497685188</v>
      </c>
      <c r="B681" s="8" t="str">
        <f>HYPERLINK("https://twitter.com/metabp","@metabp")</f>
        <v>@metabp</v>
      </c>
      <c r="C681" s="8" t="s">
        <v>10</v>
      </c>
      <c r="D681" s="8">
        <v>20</v>
      </c>
      <c r="E681" s="8">
        <v>0</v>
      </c>
      <c r="F681" s="8">
        <v>707</v>
      </c>
    </row>
    <row r="682" spans="1:6" ht="12.75">
      <c r="A682" s="8">
        <v>43904.980254629627</v>
      </c>
      <c r="B682" s="8" t="str">
        <f>HYPERLINK("https://twitter.com/SopirMikro","@SopirMikro")</f>
        <v>@SopirMikro</v>
      </c>
      <c r="C682" s="8" t="s">
        <v>386</v>
      </c>
      <c r="D682" s="8">
        <v>0</v>
      </c>
      <c r="E682" s="8">
        <v>0</v>
      </c>
      <c r="F682" s="8">
        <v>228</v>
      </c>
    </row>
    <row r="683" spans="1:6" ht="12.75">
      <c r="A683" s="8">
        <v>43904.979965277773</v>
      </c>
      <c r="B683" s="8" t="str">
        <f>HYPERLINK("https://twitter.com/AmmahGC","@AmmahGC")</f>
        <v>@AmmahGC</v>
      </c>
      <c r="C683" s="8" t="s">
        <v>387</v>
      </c>
      <c r="D683" s="8">
        <v>8</v>
      </c>
      <c r="E683" s="8">
        <v>0</v>
      </c>
      <c r="F683" s="8">
        <v>154</v>
      </c>
    </row>
    <row r="684" spans="1:6" ht="12.75">
      <c r="A684" s="8">
        <v>43904.979861111111</v>
      </c>
      <c r="B684" s="8" t="str">
        <f>HYPERLINK("https://twitter.com/meldagoel","@meldagoel")</f>
        <v>@meldagoel</v>
      </c>
      <c r="C684" s="8" t="s">
        <v>203</v>
      </c>
      <c r="D684" s="8">
        <v>49</v>
      </c>
      <c r="E684" s="8">
        <v>0</v>
      </c>
      <c r="F684" s="8">
        <v>0</v>
      </c>
    </row>
    <row r="685" spans="1:6" ht="12.75">
      <c r="A685" s="8">
        <v>43904.979664351849</v>
      </c>
      <c r="B685" s="8" t="str">
        <f>HYPERLINK("https://twitter.com/adtaufiq","@adtaufiq")</f>
        <v>@adtaufiq</v>
      </c>
      <c r="C685" s="8" t="s">
        <v>10</v>
      </c>
      <c r="D685" s="8">
        <v>20</v>
      </c>
      <c r="E685" s="8">
        <v>0</v>
      </c>
      <c r="F685" s="8">
        <v>8599</v>
      </c>
    </row>
    <row r="686" spans="1:6" ht="12.75">
      <c r="A686" s="8">
        <v>43904.979074074072</v>
      </c>
      <c r="B686" s="8" t="str">
        <f>HYPERLINK("https://twitter.com/DevanAba","@DevanAba")</f>
        <v>@DevanAba</v>
      </c>
      <c r="C686" s="8" t="s">
        <v>388</v>
      </c>
      <c r="D686" s="8">
        <v>1</v>
      </c>
      <c r="E686" s="8">
        <v>0</v>
      </c>
      <c r="F686" s="8">
        <v>45</v>
      </c>
    </row>
    <row r="687" spans="1:6" ht="12.75">
      <c r="A687" s="8">
        <v>43904.977685185186</v>
      </c>
      <c r="B687" s="8" t="str">
        <f>HYPERLINK("https://twitter.com/kucingdito","@kucingdito")</f>
        <v>@kucingdito</v>
      </c>
      <c r="C687" s="8" t="s">
        <v>389</v>
      </c>
      <c r="D687" s="8">
        <v>14</v>
      </c>
      <c r="E687" s="8">
        <v>0</v>
      </c>
      <c r="F687" s="8">
        <v>289</v>
      </c>
    </row>
    <row r="688" spans="1:6" ht="12.75">
      <c r="A688" s="8">
        <v>43904.97719907407</v>
      </c>
      <c r="B688" s="8" t="str">
        <f>HYPERLINK("https://twitter.com/Gopebagi3Back","@Gopebagi3Back")</f>
        <v>@Gopebagi3Back</v>
      </c>
      <c r="C688" s="8" t="s">
        <v>10</v>
      </c>
      <c r="D688" s="8">
        <v>20</v>
      </c>
      <c r="E688" s="8">
        <v>0</v>
      </c>
      <c r="F688" s="8">
        <v>974</v>
      </c>
    </row>
    <row r="689" spans="1:6" ht="12.75">
      <c r="A689" s="8">
        <v>43904.976979166662</v>
      </c>
      <c r="B689" s="8" t="str">
        <f>HYPERLINK("https://twitter.com/ramotgun","@ramotgun")</f>
        <v>@ramotgun</v>
      </c>
      <c r="C689" s="8" t="s">
        <v>10</v>
      </c>
      <c r="D689" s="8">
        <v>20</v>
      </c>
      <c r="E689" s="8">
        <v>0</v>
      </c>
      <c r="F689" s="8">
        <v>1688</v>
      </c>
    </row>
    <row r="690" spans="1:6" ht="12.75">
      <c r="A690" s="8">
        <v>43904.976944444439</v>
      </c>
      <c r="B690" s="8" t="str">
        <f>HYPERLINK("https://twitter.com/TolakBigotRI","@TolakBigotRI")</f>
        <v>@TolakBigotRI</v>
      </c>
      <c r="C690" s="8" t="s">
        <v>10</v>
      </c>
      <c r="D690" s="8">
        <v>20</v>
      </c>
      <c r="E690" s="8">
        <v>0</v>
      </c>
      <c r="F690" s="8">
        <v>26180</v>
      </c>
    </row>
    <row r="691" spans="1:6" ht="12.75">
      <c r="A691" s="8">
        <v>43904.976793981477</v>
      </c>
      <c r="B691" s="8" t="str">
        <f>HYPERLINK("https://twitter.com/tweetaje_aje","@tweetaje_aje")</f>
        <v>@tweetaje_aje</v>
      </c>
      <c r="C691" s="8" t="s">
        <v>54</v>
      </c>
      <c r="D691" s="8">
        <v>71</v>
      </c>
      <c r="E691" s="8">
        <v>0</v>
      </c>
      <c r="F691" s="8">
        <v>32</v>
      </c>
    </row>
    <row r="692" spans="1:6" ht="12.75">
      <c r="A692" s="8">
        <v>43904.976076388892</v>
      </c>
      <c r="B692" s="8" t="str">
        <f>HYPERLINK("https://twitter.com/nflalll","@nflalll")</f>
        <v>@nflalll</v>
      </c>
      <c r="C692" s="8" t="s">
        <v>390</v>
      </c>
      <c r="D692" s="8">
        <v>1</v>
      </c>
      <c r="E692" s="8">
        <v>0</v>
      </c>
      <c r="F692" s="8">
        <v>626</v>
      </c>
    </row>
    <row r="693" spans="1:6" ht="12.75">
      <c r="A693" s="8">
        <v>43904.975891203707</v>
      </c>
      <c r="B693" s="8" t="str">
        <f>HYPERLINK("https://twitter.com/sifulan_jr","@sifulan_jr")</f>
        <v>@sifulan_jr</v>
      </c>
      <c r="C693" s="8" t="s">
        <v>54</v>
      </c>
      <c r="D693" s="8">
        <v>71</v>
      </c>
      <c r="E693" s="8">
        <v>0</v>
      </c>
      <c r="F693" s="8">
        <v>298</v>
      </c>
    </row>
    <row r="694" spans="1:6" ht="12.75">
      <c r="A694" s="8">
        <v>43904.97556712963</v>
      </c>
      <c r="B694" s="8" t="str">
        <f>HYPERLINK("https://twitter.com/Aztrans_Yogya","@Aztrans_Yogya")</f>
        <v>@Aztrans_Yogya</v>
      </c>
      <c r="C694" s="8" t="s">
        <v>391</v>
      </c>
      <c r="D694" s="8">
        <v>40</v>
      </c>
      <c r="E694" s="8">
        <v>0</v>
      </c>
      <c r="F694" s="8">
        <v>1256</v>
      </c>
    </row>
    <row r="695" spans="1:6" ht="12.75">
      <c r="A695" s="8">
        <v>43904.975254629629</v>
      </c>
      <c r="B695" s="8" t="str">
        <f>HYPERLINK("https://twitter.com/KundanK95949360","@KundanK95949360")</f>
        <v>@KundanK95949360</v>
      </c>
      <c r="C695" s="8" t="s">
        <v>392</v>
      </c>
      <c r="D695" s="8">
        <v>0</v>
      </c>
      <c r="E695" s="8">
        <v>0</v>
      </c>
      <c r="F695" s="8">
        <v>3</v>
      </c>
    </row>
    <row r="696" spans="1:6" ht="12.75">
      <c r="A696" s="8">
        <v>43904.975104166668</v>
      </c>
      <c r="B696" s="8" t="str">
        <f>HYPERLINK("https://twitter.com/Ahmad_hendars","@Ahmad_hendars")</f>
        <v>@Ahmad_hendars</v>
      </c>
      <c r="C696" s="8" t="s">
        <v>10</v>
      </c>
      <c r="D696" s="8">
        <v>20</v>
      </c>
      <c r="E696" s="8">
        <v>0</v>
      </c>
      <c r="F696" s="8">
        <v>2197</v>
      </c>
    </row>
    <row r="697" spans="1:6" ht="12.75">
      <c r="A697" s="8">
        <v>43904.974814814814</v>
      </c>
      <c r="B697" s="8" t="str">
        <f>HYPERLINK("https://twitter.com/KBRI_Khartoum","@KBRI_Khartoum")</f>
        <v>@KBRI_Khartoum</v>
      </c>
      <c r="C697" s="8" t="s">
        <v>393</v>
      </c>
      <c r="D697" s="8">
        <v>0</v>
      </c>
      <c r="E697" s="8">
        <v>0</v>
      </c>
      <c r="F697" s="8">
        <v>634</v>
      </c>
    </row>
    <row r="698" spans="1:6" ht="12.75">
      <c r="A698" s="8">
        <v>43904.97388888889</v>
      </c>
      <c r="B698" s="8" t="str">
        <f>HYPERLINK("https://twitter.com/kardusbox08","@kardusbox08")</f>
        <v>@kardusbox08</v>
      </c>
      <c r="C698" s="8" t="s">
        <v>394</v>
      </c>
      <c r="D698" s="8">
        <v>0</v>
      </c>
      <c r="E698" s="8">
        <v>1</v>
      </c>
      <c r="F698" s="8">
        <v>1896</v>
      </c>
    </row>
    <row r="699" spans="1:6" ht="12.75">
      <c r="A699" s="8">
        <v>43904.973680555559</v>
      </c>
      <c r="B699" s="8" t="str">
        <f>HYPERLINK("https://twitter.com/AhmadMunif01","@AhmadMunif01")</f>
        <v>@AhmadMunif01</v>
      </c>
      <c r="C699" s="8" t="s">
        <v>395</v>
      </c>
      <c r="D699" s="8">
        <v>0</v>
      </c>
      <c r="E699" s="8">
        <v>1</v>
      </c>
      <c r="F699" s="8">
        <v>1525</v>
      </c>
    </row>
    <row r="700" spans="1:6" ht="12.75">
      <c r="A700" s="8">
        <v>43904.973506944443</v>
      </c>
      <c r="B700" s="8" t="str">
        <f>HYPERLINK("https://twitter.com/the_memorypage","@the_memorypage")</f>
        <v>@the_memorypage</v>
      </c>
      <c r="C700" s="8" t="s">
        <v>39</v>
      </c>
      <c r="D700" s="8">
        <v>7</v>
      </c>
      <c r="E700" s="8">
        <v>0</v>
      </c>
      <c r="F700" s="8">
        <v>316</v>
      </c>
    </row>
    <row r="701" spans="1:6" ht="12.75">
      <c r="A701" s="8">
        <v>43904.973483796297</v>
      </c>
      <c r="B701" s="8" t="str">
        <f>HYPERLINK("https://twitter.com/syennaal","@syennaal")</f>
        <v>@syennaal</v>
      </c>
      <c r="C701" s="8" t="s">
        <v>54</v>
      </c>
      <c r="D701" s="8">
        <v>71</v>
      </c>
      <c r="E701" s="8">
        <v>0</v>
      </c>
      <c r="F701" s="8">
        <v>988</v>
      </c>
    </row>
    <row r="702" spans="1:6" ht="12.75">
      <c r="A702" s="8">
        <v>43904.973194444443</v>
      </c>
      <c r="B702" s="8" t="str">
        <f>HYPERLINK("https://twitter.com/selviahimawan","@selviahimawan")</f>
        <v>@selviahimawan</v>
      </c>
      <c r="C702" s="8" t="s">
        <v>396</v>
      </c>
      <c r="D702" s="8">
        <v>0</v>
      </c>
      <c r="E702" s="8">
        <v>0</v>
      </c>
      <c r="F702" s="8">
        <v>51</v>
      </c>
    </row>
    <row r="703" spans="1:6" ht="12.75">
      <c r="A703" s="8">
        <v>43904.965150462958</v>
      </c>
      <c r="B703" s="8" t="str">
        <f>HYPERLINK("https://twitter.com/BromocorahGrCeb","@BromocorahGrCeb")</f>
        <v>@BromocorahGrCeb</v>
      </c>
      <c r="C703" s="8" t="s">
        <v>397</v>
      </c>
      <c r="D703" s="8">
        <v>0</v>
      </c>
      <c r="E703" s="8">
        <v>0</v>
      </c>
      <c r="F703" s="8">
        <v>4181</v>
      </c>
    </row>
    <row r="704" spans="1:6" ht="12.75">
      <c r="A704" s="8">
        <v>43904.965081018519</v>
      </c>
      <c r="B704" s="8" t="str">
        <f>HYPERLINK("https://twitter.com/fimaaaa_","@fimaaaa_")</f>
        <v>@fimaaaa_</v>
      </c>
      <c r="C704" s="8" t="s">
        <v>54</v>
      </c>
      <c r="D704" s="8">
        <v>24</v>
      </c>
      <c r="E704" s="8">
        <v>0</v>
      </c>
      <c r="F704" s="8">
        <v>235</v>
      </c>
    </row>
    <row r="705" spans="1:6" ht="12.75">
      <c r="A705" s="8">
        <v>43904.965046296296</v>
      </c>
      <c r="B705" s="8" t="str">
        <f>HYPERLINK("https://twitter.com/sandmanindo","@sandmanindo")</f>
        <v>@sandmanindo</v>
      </c>
      <c r="C705" s="8" t="s">
        <v>182</v>
      </c>
      <c r="D705" s="8">
        <v>2</v>
      </c>
      <c r="E705" s="8">
        <v>0</v>
      </c>
      <c r="F705" s="8">
        <v>399</v>
      </c>
    </row>
    <row r="706" spans="1:6" ht="12.75">
      <c r="A706" s="8">
        <v>43904.96502314815</v>
      </c>
      <c r="B706" s="8" t="str">
        <f>HYPERLINK("https://twitter.com/yourcereal_","@yourcereal_")</f>
        <v>@yourcereal_</v>
      </c>
      <c r="C706" s="8" t="s">
        <v>54</v>
      </c>
      <c r="D706" s="8">
        <v>24</v>
      </c>
      <c r="E706" s="8">
        <v>0</v>
      </c>
      <c r="F706" s="8">
        <v>1207</v>
      </c>
    </row>
    <row r="707" spans="1:6" ht="12.75">
      <c r="A707" s="8">
        <v>43904.964907407411</v>
      </c>
      <c r="B707" s="8" t="str">
        <f>HYPERLINK("https://twitter.com/goofyisnothere","@goofyisnothere")</f>
        <v>@goofyisnothere</v>
      </c>
      <c r="C707" s="8" t="s">
        <v>54</v>
      </c>
      <c r="D707" s="8">
        <v>24</v>
      </c>
      <c r="E707" s="8">
        <v>0</v>
      </c>
      <c r="F707" s="8">
        <v>94</v>
      </c>
    </row>
    <row r="708" spans="1:6" ht="12.75">
      <c r="A708" s="8">
        <v>43904.964884259258</v>
      </c>
      <c r="B708" s="8" t="str">
        <f>HYPERLINK("https://twitter.com/satriaaperdanaa","@satriaaperdanaa")</f>
        <v>@satriaaperdanaa</v>
      </c>
      <c r="C708" s="8" t="s">
        <v>54</v>
      </c>
      <c r="D708" s="8">
        <v>24</v>
      </c>
      <c r="E708" s="8">
        <v>0</v>
      </c>
      <c r="F708" s="8">
        <v>810</v>
      </c>
    </row>
    <row r="709" spans="1:6" ht="12.75">
      <c r="A709" s="8">
        <v>43904.964699074073</v>
      </c>
      <c r="B709" s="8" t="str">
        <f>HYPERLINK("https://twitter.com/aesthecticgurl","@aesthecticgurl")</f>
        <v>@aesthecticgurl</v>
      </c>
      <c r="C709" s="8" t="s">
        <v>54</v>
      </c>
      <c r="D709" s="8">
        <v>24</v>
      </c>
      <c r="E709" s="8">
        <v>0</v>
      </c>
      <c r="F709" s="8">
        <v>28</v>
      </c>
    </row>
    <row r="710" spans="1:6" ht="12.75">
      <c r="A710" s="8">
        <v>43904.964583333334</v>
      </c>
      <c r="B710" s="8" t="str">
        <f>HYPERLINK("https://twitter.com/maudyasmine","@maudyasmine")</f>
        <v>@maudyasmine</v>
      </c>
      <c r="C710" s="8" t="s">
        <v>54</v>
      </c>
      <c r="D710" s="8">
        <v>24</v>
      </c>
      <c r="E710" s="8">
        <v>0</v>
      </c>
      <c r="F710" s="8">
        <v>117</v>
      </c>
    </row>
    <row r="711" spans="1:6" ht="12.75">
      <c r="A711" s="8">
        <v>43904.964548611111</v>
      </c>
      <c r="B711" s="8" t="str">
        <f>HYPERLINK("https://twitter.com/Arvano007","@Arvano007")</f>
        <v>@Arvano007</v>
      </c>
      <c r="C711" s="8" t="s">
        <v>398</v>
      </c>
      <c r="D711" s="8">
        <v>0</v>
      </c>
      <c r="E711" s="8">
        <v>0</v>
      </c>
      <c r="F711" s="8">
        <v>48</v>
      </c>
    </row>
    <row r="712" spans="1:6" ht="12.75">
      <c r="A712" s="8">
        <v>43904.964548611111</v>
      </c>
      <c r="B712" s="8" t="str">
        <f>HYPERLINK("https://twitter.com/cspbajakan","@cspbajakan")</f>
        <v>@cspbajakan</v>
      </c>
      <c r="C712" s="8" t="s">
        <v>54</v>
      </c>
      <c r="D712" s="8">
        <v>24</v>
      </c>
      <c r="E712" s="8">
        <v>0</v>
      </c>
      <c r="F712" s="8">
        <v>277</v>
      </c>
    </row>
    <row r="713" spans="1:6" ht="12.75">
      <c r="A713" s="8">
        <v>43904.964421296296</v>
      </c>
      <c r="B713" s="8" t="str">
        <f>HYPERLINK("https://twitter.com/aagung_ws","@aagung_ws")</f>
        <v>@aagung_ws</v>
      </c>
      <c r="C713" s="8" t="s">
        <v>54</v>
      </c>
      <c r="D713" s="8">
        <v>24</v>
      </c>
      <c r="E713" s="8">
        <v>0</v>
      </c>
      <c r="F713" s="8">
        <v>153</v>
      </c>
    </row>
    <row r="714" spans="1:6" ht="12.75">
      <c r="A714" s="8">
        <v>43904.96429398148</v>
      </c>
      <c r="B714" s="8" t="str">
        <f>HYPERLINK("https://twitter.com/pewptr","@pewptr")</f>
        <v>@pewptr</v>
      </c>
      <c r="C714" s="8" t="s">
        <v>54</v>
      </c>
      <c r="D714" s="8">
        <v>24</v>
      </c>
      <c r="E714" s="8">
        <v>0</v>
      </c>
      <c r="F714" s="8">
        <v>45</v>
      </c>
    </row>
    <row r="715" spans="1:6" ht="12.75">
      <c r="A715" s="8">
        <v>43904.964201388888</v>
      </c>
      <c r="B715" s="8" t="str">
        <f>HYPERLINK("https://twitter.com/19fadhil","@19fadhil")</f>
        <v>@19fadhil</v>
      </c>
      <c r="C715" s="8" t="s">
        <v>54</v>
      </c>
      <c r="D715" s="8">
        <v>24</v>
      </c>
      <c r="E715" s="8">
        <v>0</v>
      </c>
      <c r="F715" s="8">
        <v>435</v>
      </c>
    </row>
    <row r="716" spans="1:6" ht="12.75">
      <c r="A716" s="8">
        <v>43904.964016203703</v>
      </c>
      <c r="B716" s="8" t="str">
        <f>HYPERLINK("https://twitter.com/ndinzky","@ndinzky")</f>
        <v>@ndinzky</v>
      </c>
      <c r="C716" s="8" t="s">
        <v>155</v>
      </c>
      <c r="D716" s="8">
        <v>1</v>
      </c>
      <c r="E716" s="8">
        <v>0</v>
      </c>
      <c r="F716" s="8">
        <v>806</v>
      </c>
    </row>
    <row r="717" spans="1:6" ht="12.75">
      <c r="A717" s="8">
        <v>43904.963877314818</v>
      </c>
      <c r="B717" s="8" t="str">
        <f>HYPERLINK("https://twitter.com/_svmmerdose","@_svmmerdose")</f>
        <v>@_svmmerdose</v>
      </c>
      <c r="C717" s="8" t="s">
        <v>54</v>
      </c>
      <c r="D717" s="8">
        <v>24</v>
      </c>
      <c r="E717" s="8">
        <v>0</v>
      </c>
      <c r="F717" s="8">
        <v>418</v>
      </c>
    </row>
    <row r="718" spans="1:6" ht="12.75">
      <c r="A718" s="8">
        <v>43904.963807870372</v>
      </c>
      <c r="B718" s="8" t="str">
        <f>HYPERLINK("https://twitter.com/elephantbaddd","@elephantbaddd")</f>
        <v>@elephantbaddd</v>
      </c>
      <c r="C718" s="8" t="s">
        <v>54</v>
      </c>
      <c r="D718" s="8">
        <v>24</v>
      </c>
      <c r="E718" s="8">
        <v>0</v>
      </c>
      <c r="F718" s="8">
        <v>719</v>
      </c>
    </row>
    <row r="719" spans="1:6" ht="12.75">
      <c r="A719" s="8">
        <v>43904.963796296295</v>
      </c>
      <c r="B719" s="8" t="str">
        <f>HYPERLINK("https://twitter.com/ridqi85","@ridqi85")</f>
        <v>@ridqi85</v>
      </c>
      <c r="C719" s="8" t="s">
        <v>54</v>
      </c>
      <c r="D719" s="8">
        <v>24</v>
      </c>
      <c r="E719" s="8">
        <v>0</v>
      </c>
      <c r="F719" s="8">
        <v>122</v>
      </c>
    </row>
    <row r="720" spans="1:6" ht="12.75">
      <c r="A720" s="8">
        <v>43904.963622685187</v>
      </c>
      <c r="B720" s="8" t="str">
        <f>HYPERLINK("https://twitter.com/gunturwidhia","@gunturwidhia")</f>
        <v>@gunturwidhia</v>
      </c>
      <c r="C720" s="8" t="s">
        <v>54</v>
      </c>
      <c r="D720" s="8">
        <v>24</v>
      </c>
      <c r="E720" s="8">
        <v>0</v>
      </c>
      <c r="F720" s="8">
        <v>47</v>
      </c>
    </row>
    <row r="721" spans="1:6" ht="12.75">
      <c r="A721" s="8">
        <v>43904.963495370372</v>
      </c>
      <c r="B721" s="8" t="str">
        <f>HYPERLINK("https://twitter.com/MbahSyong","@MbahSyong")</f>
        <v>@MbahSyong</v>
      </c>
      <c r="C721" s="8" t="s">
        <v>282</v>
      </c>
      <c r="D721" s="8">
        <v>38</v>
      </c>
      <c r="E721" s="8">
        <v>0</v>
      </c>
      <c r="F721" s="8">
        <v>970</v>
      </c>
    </row>
    <row r="722" spans="1:6" ht="12.75">
      <c r="A722" s="8">
        <v>43904.963414351849</v>
      </c>
      <c r="B722" s="8" t="str">
        <f>HYPERLINK("https://twitter.com/VICE_ID","@VICE_ID")</f>
        <v>@VICE_ID</v>
      </c>
      <c r="C722" s="8" t="s">
        <v>399</v>
      </c>
      <c r="D722" s="8">
        <v>24</v>
      </c>
      <c r="E722" s="8">
        <v>25</v>
      </c>
      <c r="F722" s="8">
        <v>256842</v>
      </c>
    </row>
    <row r="723" spans="1:6" ht="12.75">
      <c r="A723" s="8">
        <v>43904.962511574078</v>
      </c>
      <c r="B723" s="8" t="str">
        <f>HYPERLINK("https://twitter.com/maulanardm","@maulanardm")</f>
        <v>@maulanardm</v>
      </c>
      <c r="C723" s="8" t="s">
        <v>400</v>
      </c>
      <c r="D723" s="8">
        <v>0</v>
      </c>
      <c r="E723" s="8">
        <v>0</v>
      </c>
      <c r="F723" s="8">
        <v>465</v>
      </c>
    </row>
    <row r="724" spans="1:6" ht="12.75">
      <c r="A724" s="8">
        <v>43904.961782407408</v>
      </c>
      <c r="B724" s="8" t="str">
        <f>HYPERLINK("https://twitter.com/7int4Putih7","@7int4Putih7")</f>
        <v>@7int4Putih7</v>
      </c>
      <c r="C724" s="8" t="s">
        <v>10</v>
      </c>
      <c r="D724" s="8">
        <v>1</v>
      </c>
      <c r="E724" s="8">
        <v>0</v>
      </c>
      <c r="F724" s="8">
        <v>1270</v>
      </c>
    </row>
    <row r="725" spans="1:6" ht="12.75">
      <c r="A725" s="8">
        <v>43904.961388888885</v>
      </c>
      <c r="B725" s="8" t="str">
        <f>HYPERLINK("https://twitter.com/primusrlw","@primusrlw")</f>
        <v>@primusrlw</v>
      </c>
      <c r="C725" s="8" t="s">
        <v>401</v>
      </c>
      <c r="D725" s="8">
        <v>0</v>
      </c>
      <c r="E725" s="8">
        <v>0</v>
      </c>
      <c r="F725" s="8">
        <v>278</v>
      </c>
    </row>
    <row r="726" spans="1:6" ht="12.75">
      <c r="A726" s="8">
        <v>43904.960474537038</v>
      </c>
      <c r="B726" s="8" t="str">
        <f>HYPERLINK("https://twitter.com/Raniaiueoo","@Raniaiueoo")</f>
        <v>@Raniaiueoo</v>
      </c>
      <c r="C726" s="8" t="s">
        <v>402</v>
      </c>
      <c r="D726" s="8">
        <v>110</v>
      </c>
      <c r="E726" s="8">
        <v>0</v>
      </c>
      <c r="F726" s="8">
        <v>72</v>
      </c>
    </row>
    <row r="727" spans="1:6" ht="12.75">
      <c r="A727" s="8">
        <v>43904.959687499999</v>
      </c>
      <c r="B727" s="8" t="str">
        <f>HYPERLINK("https://twitter.com/bin_martakusuma","@bin_martakusuma")</f>
        <v>@bin_martakusuma</v>
      </c>
      <c r="C727" s="8" t="s">
        <v>403</v>
      </c>
      <c r="D727" s="8">
        <v>0</v>
      </c>
      <c r="E727" s="8">
        <v>0</v>
      </c>
      <c r="F727" s="8">
        <v>4604</v>
      </c>
    </row>
    <row r="728" spans="1:6" ht="12.75">
      <c r="A728" s="8">
        <v>43904.958611111113</v>
      </c>
      <c r="B728" s="8" t="str">
        <f>HYPERLINK("https://twitter.com/antikadrun4ever","@antikadrun4ever")</f>
        <v>@antikadrun4ever</v>
      </c>
      <c r="C728" s="8" t="s">
        <v>404</v>
      </c>
      <c r="D728" s="8">
        <v>0</v>
      </c>
      <c r="E728" s="8">
        <v>0</v>
      </c>
      <c r="F728" s="8">
        <v>1377</v>
      </c>
    </row>
    <row r="729" spans="1:6" ht="12.75">
      <c r="A729" s="8">
        <v>43904.958275462966</v>
      </c>
      <c r="B729" s="8" t="str">
        <f>HYPERLINK("https://twitter.com/mdrsdaa","@mdrsdaa")</f>
        <v>@mdrsdaa</v>
      </c>
      <c r="C729" s="8" t="s">
        <v>405</v>
      </c>
      <c r="D729" s="8">
        <v>0</v>
      </c>
      <c r="E729" s="8">
        <v>0</v>
      </c>
      <c r="F729" s="8">
        <v>159</v>
      </c>
    </row>
    <row r="730" spans="1:6" ht="12.75">
      <c r="A730" s="8">
        <v>43904.95793981482</v>
      </c>
      <c r="B730" s="8" t="str">
        <f>HYPERLINK("https://twitter.com/EllaZefa","@EllaZefa")</f>
        <v>@EllaZefa</v>
      </c>
      <c r="C730" s="8" t="s">
        <v>406</v>
      </c>
      <c r="D730" s="8">
        <v>0</v>
      </c>
      <c r="E730" s="8">
        <v>0</v>
      </c>
      <c r="F730" s="8">
        <v>12542</v>
      </c>
    </row>
    <row r="731" spans="1:6" ht="12.75">
      <c r="A731" s="8">
        <v>43904.957928240736</v>
      </c>
      <c r="B731" s="8" t="str">
        <f>HYPERLINK("https://twitter.com/Ratuta25","@Ratuta25")</f>
        <v>@Ratuta25</v>
      </c>
      <c r="C731" s="8" t="s">
        <v>407</v>
      </c>
      <c r="D731" s="8">
        <v>0</v>
      </c>
      <c r="E731" s="8">
        <v>0</v>
      </c>
      <c r="F731" s="8">
        <v>92</v>
      </c>
    </row>
    <row r="732" spans="1:6" ht="12.75">
      <c r="A732" s="8">
        <v>43904.957870370374</v>
      </c>
      <c r="B732" s="8" t="str">
        <f>HYPERLINK("https://twitter.com/YueHaikal","@YueHaikal")</f>
        <v>@YueHaikal</v>
      </c>
      <c r="C732" s="8" t="s">
        <v>408</v>
      </c>
      <c r="D732" s="8">
        <v>0</v>
      </c>
      <c r="E732" s="8">
        <v>0</v>
      </c>
      <c r="F732" s="8">
        <v>251</v>
      </c>
    </row>
    <row r="733" spans="1:6" ht="12.75">
      <c r="A733" s="8">
        <v>43904.957662037035</v>
      </c>
      <c r="B733" s="8" t="str">
        <f>HYPERLINK("https://twitter.com/Gg33385345","@Gg33385345")</f>
        <v>@Gg33385345</v>
      </c>
      <c r="C733" s="8" t="s">
        <v>409</v>
      </c>
      <c r="D733" s="8">
        <v>1</v>
      </c>
      <c r="E733" s="8">
        <v>0</v>
      </c>
      <c r="F733" s="8">
        <v>94</v>
      </c>
    </row>
    <row r="734" spans="1:6" ht="12.75">
      <c r="A734" s="8">
        <v>43904.957430555558</v>
      </c>
      <c r="B734" s="8" t="str">
        <f>HYPERLINK("https://twitter.com/mamaciaaa","@mamaciaaa")</f>
        <v>@mamaciaaa</v>
      </c>
      <c r="C734" s="8" t="s">
        <v>410</v>
      </c>
      <c r="D734" s="8">
        <v>1</v>
      </c>
      <c r="E734" s="8">
        <v>5</v>
      </c>
      <c r="F734" s="8">
        <v>20029</v>
      </c>
    </row>
    <row r="735" spans="1:6" ht="12.75">
      <c r="A735" s="8">
        <v>43904.956967592589</v>
      </c>
      <c r="B735" s="8" t="str">
        <f>HYPERLINK("https://twitter.com/ISIS_Balik_NO","@ISIS_Balik_NO")</f>
        <v>@ISIS_Balik_NO</v>
      </c>
      <c r="C735" s="8" t="s">
        <v>411</v>
      </c>
      <c r="D735" s="8">
        <v>0</v>
      </c>
      <c r="E735" s="8">
        <v>1</v>
      </c>
      <c r="F735" s="8">
        <v>6272</v>
      </c>
    </row>
    <row r="736" spans="1:6" ht="12.75">
      <c r="A736" s="8">
        <v>43904.956087962964</v>
      </c>
      <c r="B736" s="8" t="str">
        <f>HYPERLINK("https://twitter.com/antikadrun4ever","@antikadrun4ever")</f>
        <v>@antikadrun4ever</v>
      </c>
      <c r="C736" s="8" t="s">
        <v>412</v>
      </c>
      <c r="D736" s="8">
        <v>0</v>
      </c>
      <c r="E736" s="8">
        <v>1</v>
      </c>
      <c r="F736" s="8">
        <v>1377</v>
      </c>
    </row>
    <row r="737" spans="1:6" ht="12.75">
      <c r="A737" s="8">
        <v>43904.955972222218</v>
      </c>
      <c r="B737" s="8" t="str">
        <f>HYPERLINK("https://twitter.com/adiyatna09","@adiyatna09")</f>
        <v>@adiyatna09</v>
      </c>
      <c r="C737" s="8" t="s">
        <v>413</v>
      </c>
      <c r="D737" s="8">
        <v>0</v>
      </c>
      <c r="E737" s="8">
        <v>0</v>
      </c>
      <c r="F737" s="8">
        <v>472</v>
      </c>
    </row>
    <row r="738" spans="1:6" ht="12.75">
      <c r="A738" s="8">
        <v>43904.955833333333</v>
      </c>
      <c r="B738" s="8" t="str">
        <f>HYPERLINK("https://twitter.com/MadirodokSia","@MadirodokSia")</f>
        <v>@MadirodokSia</v>
      </c>
      <c r="C738" s="8" t="s">
        <v>146</v>
      </c>
      <c r="D738" s="8">
        <v>0</v>
      </c>
      <c r="E738" s="8">
        <v>0</v>
      </c>
      <c r="F738" s="8">
        <v>164</v>
      </c>
    </row>
    <row r="739" spans="1:6" ht="12.75">
      <c r="A739" s="8">
        <v>43904.95579861111</v>
      </c>
      <c r="B739" s="8" t="str">
        <f>HYPERLINK("https://twitter.com/lvuyoursmile","@lvuyoursmile")</f>
        <v>@lvuyoursmile</v>
      </c>
      <c r="C739" s="8" t="s">
        <v>15</v>
      </c>
      <c r="D739" s="8">
        <v>6</v>
      </c>
      <c r="E739" s="8">
        <v>0</v>
      </c>
      <c r="F739" s="8">
        <v>475</v>
      </c>
    </row>
    <row r="740" spans="1:6" ht="12.75">
      <c r="A740" s="8">
        <v>43904.955682870372</v>
      </c>
      <c r="B740" s="8" t="str">
        <f>HYPERLINK("https://twitter.com/AgungWidrajat","@AgungWidrajat")</f>
        <v>@AgungWidrajat</v>
      </c>
      <c r="C740" s="8" t="s">
        <v>305</v>
      </c>
      <c r="D740" s="8">
        <v>3</v>
      </c>
      <c r="E740" s="8">
        <v>0</v>
      </c>
      <c r="F740" s="8">
        <v>2307</v>
      </c>
    </row>
    <row r="741" spans="1:6" ht="12.75">
      <c r="A741" s="8">
        <v>43904.955625000002</v>
      </c>
      <c r="B741" s="8" t="str">
        <f>HYPERLINK("https://twitter.com/EldoradoDanielo","@EldoradoDanielo")</f>
        <v>@EldoradoDanielo</v>
      </c>
      <c r="C741" s="8" t="s">
        <v>414</v>
      </c>
      <c r="D741" s="8">
        <v>0</v>
      </c>
      <c r="E741" s="8">
        <v>0</v>
      </c>
      <c r="F741" s="8">
        <v>0</v>
      </c>
    </row>
    <row r="742" spans="1:6" ht="12.75">
      <c r="A742" s="8">
        <v>43904.955601851849</v>
      </c>
      <c r="B742" s="8" t="str">
        <f>HYPERLINK("https://twitter.com/InilahOnline","@InilahOnline")</f>
        <v>@InilahOnline</v>
      </c>
      <c r="C742" s="8" t="s">
        <v>146</v>
      </c>
      <c r="D742" s="8">
        <v>0</v>
      </c>
      <c r="E742" s="8">
        <v>0</v>
      </c>
      <c r="F742" s="8">
        <v>81</v>
      </c>
    </row>
    <row r="743" spans="1:6" ht="12.75">
      <c r="A743" s="8">
        <v>43904.955289351856</v>
      </c>
      <c r="B743" s="8" t="str">
        <f>HYPERLINK("https://twitter.com/abespawnie","@abespawnie")</f>
        <v>@abespawnie</v>
      </c>
      <c r="C743" s="8" t="s">
        <v>42</v>
      </c>
      <c r="D743" s="8">
        <v>53</v>
      </c>
      <c r="E743" s="8">
        <v>0</v>
      </c>
      <c r="F743" s="8">
        <v>306</v>
      </c>
    </row>
    <row r="744" spans="1:6" ht="12.75">
      <c r="A744" s="8">
        <v>43904.955196759256</v>
      </c>
      <c r="B744" s="8" t="str">
        <f>HYPERLINK("https://twitter.com/kiyudgirl","@kiyudgirl")</f>
        <v>@kiyudgirl</v>
      </c>
      <c r="C744" s="8" t="s">
        <v>415</v>
      </c>
      <c r="D744" s="8">
        <v>0</v>
      </c>
      <c r="E744" s="8">
        <v>0</v>
      </c>
      <c r="F744" s="8">
        <v>1964</v>
      </c>
    </row>
    <row r="745" spans="1:6" ht="12.75">
      <c r="A745" s="8">
        <v>43904.954733796301</v>
      </c>
      <c r="B745" s="8" t="str">
        <f>HYPERLINK("https://twitter.com/ephraym8","@ephraym8")</f>
        <v>@ephraym8</v>
      </c>
      <c r="C745" s="8" t="s">
        <v>416</v>
      </c>
      <c r="D745" s="8">
        <v>1</v>
      </c>
      <c r="E745" s="8">
        <v>0</v>
      </c>
      <c r="F745" s="8">
        <v>1225</v>
      </c>
    </row>
    <row r="746" spans="1:6" ht="12.75">
      <c r="A746" s="8">
        <v>43904.954652777778</v>
      </c>
      <c r="B746" s="8" t="str">
        <f>HYPERLINK("https://twitter.com/AnakKolong___","@AnakKolong___")</f>
        <v>@AnakKolong___</v>
      </c>
      <c r="C746" s="8" t="s">
        <v>305</v>
      </c>
      <c r="D746" s="8">
        <v>3</v>
      </c>
      <c r="E746" s="8">
        <v>0</v>
      </c>
      <c r="F746" s="8">
        <v>8572</v>
      </c>
    </row>
    <row r="747" spans="1:6" ht="12.75">
      <c r="A747" s="8">
        <v>43904.954432870371</v>
      </c>
      <c r="B747" s="8" t="str">
        <f>HYPERLINK("https://twitter.com/ISIS_Balik_NO","@ISIS_Balik_NO")</f>
        <v>@ISIS_Balik_NO</v>
      </c>
      <c r="C747" s="8" t="s">
        <v>417</v>
      </c>
      <c r="D747" s="8">
        <v>0</v>
      </c>
      <c r="E747" s="8">
        <v>0</v>
      </c>
      <c r="F747" s="8">
        <v>6272</v>
      </c>
    </row>
    <row r="748" spans="1:6" ht="12.75">
      <c r="A748" s="8">
        <v>43904.954317129625</v>
      </c>
      <c r="B748" s="8" t="str">
        <f>HYPERLINK("https://twitter.com/putrithalio","@putrithalio")</f>
        <v>@putrithalio</v>
      </c>
      <c r="C748" s="8" t="s">
        <v>418</v>
      </c>
      <c r="D748" s="8">
        <v>0</v>
      </c>
      <c r="E748" s="8">
        <v>0</v>
      </c>
      <c r="F748" s="8">
        <v>273</v>
      </c>
    </row>
    <row r="749" spans="1:6" ht="12.75">
      <c r="A749" s="8">
        <v>43904.954108796301</v>
      </c>
      <c r="B749" s="8" t="str">
        <f>HYPERLINK("https://twitter.com/ReiMiechi99","@ReiMiechi99")</f>
        <v>@ReiMiechi99</v>
      </c>
      <c r="C749" s="8" t="s">
        <v>419</v>
      </c>
      <c r="D749" s="8">
        <v>3</v>
      </c>
      <c r="E749" s="8">
        <v>3</v>
      </c>
      <c r="F749" s="8">
        <v>100</v>
      </c>
    </row>
    <row r="750" spans="1:6" ht="12.75">
      <c r="A750" s="8">
        <v>43904.953946759255</v>
      </c>
      <c r="B750" s="8" t="str">
        <f>HYPERLINK("https://twitter.com/jauzahryh","@jauzahryh")</f>
        <v>@jauzahryh</v>
      </c>
      <c r="C750" s="8" t="s">
        <v>162</v>
      </c>
      <c r="D750" s="8">
        <v>152</v>
      </c>
      <c r="E750" s="8">
        <v>0</v>
      </c>
      <c r="F750" s="8">
        <v>9</v>
      </c>
    </row>
    <row r="751" spans="1:6" ht="12.75">
      <c r="A751" s="8">
        <v>43904.953622685185</v>
      </c>
      <c r="B751" s="8" t="str">
        <f>HYPERLINK("https://twitter.com/Widyanaff","@Widyanaff")</f>
        <v>@Widyanaff</v>
      </c>
      <c r="C751" s="8" t="s">
        <v>420</v>
      </c>
      <c r="D751" s="8">
        <v>0</v>
      </c>
      <c r="E751" s="8">
        <v>0</v>
      </c>
      <c r="F751" s="8">
        <v>123</v>
      </c>
    </row>
    <row r="752" spans="1:6" ht="12.75">
      <c r="A752" s="8">
        <v>43904.953229166669</v>
      </c>
      <c r="B752" s="8" t="str">
        <f>HYPERLINK("https://twitter.com/RadioElshinta","@RadioElshinta")</f>
        <v>@RadioElshinta</v>
      </c>
      <c r="C752" s="8" t="s">
        <v>421</v>
      </c>
      <c r="D752" s="8">
        <v>0</v>
      </c>
      <c r="E752" s="8">
        <v>2</v>
      </c>
      <c r="F752" s="8">
        <v>3637746</v>
      </c>
    </row>
    <row r="753" spans="1:6" ht="12.75">
      <c r="A753" s="8">
        <v>43904.953067129631</v>
      </c>
      <c r="B753" s="8" t="str">
        <f>HYPERLINK("https://twitter.com/Upik1610","@Upik1610")</f>
        <v>@Upik1610</v>
      </c>
      <c r="C753" s="8" t="s">
        <v>34</v>
      </c>
      <c r="D753" s="8">
        <v>3</v>
      </c>
      <c r="E753" s="8">
        <v>0</v>
      </c>
      <c r="F753" s="8">
        <v>816</v>
      </c>
    </row>
    <row r="754" spans="1:6" ht="12.75">
      <c r="A754" s="8">
        <v>43904.953067129631</v>
      </c>
      <c r="B754" s="8" t="str">
        <f>HYPERLINK("https://twitter.com/kalkua1","@kalkua1")</f>
        <v>@kalkua1</v>
      </c>
      <c r="C754" s="8" t="s">
        <v>422</v>
      </c>
      <c r="D754" s="8">
        <v>1612</v>
      </c>
      <c r="E754" s="8">
        <v>0</v>
      </c>
      <c r="F754" s="8">
        <v>4152</v>
      </c>
    </row>
    <row r="755" spans="1:6" ht="12.75">
      <c r="A755" s="8">
        <v>43904.953055555554</v>
      </c>
      <c r="B755" s="8" t="str">
        <f>HYPERLINK("https://twitter.com/antikadrun4ever","@antikadrun4ever")</f>
        <v>@antikadrun4ever</v>
      </c>
      <c r="C755" s="8" t="s">
        <v>423</v>
      </c>
      <c r="D755" s="8">
        <v>0</v>
      </c>
      <c r="E755" s="8">
        <v>1</v>
      </c>
      <c r="F755" s="8">
        <v>1377</v>
      </c>
    </row>
    <row r="756" spans="1:6" ht="12.75">
      <c r="A756" s="8">
        <v>43904.952685185184</v>
      </c>
      <c r="B756" s="8" t="str">
        <f>HYPERLINK("https://twitter.com/nety_tarigan","@nety_tarigan")</f>
        <v>@nety_tarigan</v>
      </c>
      <c r="C756" s="8" t="s">
        <v>424</v>
      </c>
      <c r="D756" s="8">
        <v>0</v>
      </c>
      <c r="E756" s="8">
        <v>0</v>
      </c>
      <c r="F756" s="8">
        <v>224</v>
      </c>
    </row>
    <row r="757" spans="1:6" ht="12.75">
      <c r="A757" s="8">
        <v>43904.95248842593</v>
      </c>
      <c r="B757" s="8" t="str">
        <f>HYPERLINK("https://twitter.com/nisyala_a","@nisyala_a")</f>
        <v>@nisyala_a</v>
      </c>
      <c r="C757" s="8" t="s">
        <v>15</v>
      </c>
      <c r="D757" s="8">
        <v>6</v>
      </c>
      <c r="E757" s="8">
        <v>0</v>
      </c>
      <c r="F757" s="8">
        <v>968</v>
      </c>
    </row>
    <row r="758" spans="1:6" ht="12.75">
      <c r="A758" s="8">
        <v>43904.952326388884</v>
      </c>
      <c r="B758" s="8" t="str">
        <f>HYPERLINK("https://twitter.com/Risya_aprilia","@Risya_aprilia")</f>
        <v>@Risya_aprilia</v>
      </c>
      <c r="C758" s="8" t="s">
        <v>102</v>
      </c>
      <c r="D758" s="8">
        <v>31</v>
      </c>
      <c r="E758" s="8">
        <v>0</v>
      </c>
      <c r="F758" s="8">
        <v>2124</v>
      </c>
    </row>
    <row r="759" spans="1:6" ht="12.75">
      <c r="A759" s="8">
        <v>43904.952314814815</v>
      </c>
      <c r="B759" s="8" t="str">
        <f>HYPERLINK("https://twitter.com/Tio7Willy","@Tio7Willy")</f>
        <v>@Tio7Willy</v>
      </c>
      <c r="C759" s="8" t="s">
        <v>425</v>
      </c>
      <c r="D759" s="8">
        <v>1</v>
      </c>
      <c r="E759" s="8">
        <v>0</v>
      </c>
      <c r="F759" s="8">
        <v>272</v>
      </c>
    </row>
    <row r="760" spans="1:6" ht="12.75">
      <c r="A760" s="8">
        <v>43904.951909722222</v>
      </c>
      <c r="B760" s="8" t="str">
        <f>HYPERLINK("https://twitter.com/Shda_Agatha","@Shda_Agatha")</f>
        <v>@Shda_Agatha</v>
      </c>
      <c r="C760" s="8" t="s">
        <v>426</v>
      </c>
      <c r="D760" s="8">
        <v>0</v>
      </c>
      <c r="E760" s="8">
        <v>0</v>
      </c>
      <c r="F760" s="8">
        <v>17000</v>
      </c>
    </row>
    <row r="761" spans="1:6" ht="12.75">
      <c r="A761" s="8">
        <v>43904.951678240745</v>
      </c>
      <c r="B761" s="8" t="str">
        <f>HYPERLINK("https://twitter.com/ISIS_Balik_NO","@ISIS_Balik_NO")</f>
        <v>@ISIS_Balik_NO</v>
      </c>
      <c r="C761" s="8" t="s">
        <v>427</v>
      </c>
      <c r="D761" s="8">
        <v>0</v>
      </c>
      <c r="E761" s="8">
        <v>0</v>
      </c>
      <c r="F761" s="8">
        <v>6272</v>
      </c>
    </row>
    <row r="762" spans="1:6" ht="12.75">
      <c r="A762" s="8">
        <v>43904.95103009259</v>
      </c>
      <c r="B762" s="8" t="str">
        <f>HYPERLINK("https://twitter.com/sutrisno_rahayu","@sutrisno_rahayu")</f>
        <v>@sutrisno_rahayu</v>
      </c>
      <c r="C762" s="8" t="s">
        <v>38</v>
      </c>
      <c r="D762" s="8">
        <v>0</v>
      </c>
      <c r="E762" s="8">
        <v>0</v>
      </c>
      <c r="F762" s="8">
        <v>611</v>
      </c>
    </row>
    <row r="763" spans="1:6" ht="12.75">
      <c r="A763" s="8">
        <v>43904.950659722221</v>
      </c>
      <c r="B763" s="8" t="str">
        <f>HYPERLINK("https://twitter.com/antikadrun4ever","@antikadrun4ever")</f>
        <v>@antikadrun4ever</v>
      </c>
      <c r="C763" s="8" t="s">
        <v>428</v>
      </c>
      <c r="D763" s="8">
        <v>0</v>
      </c>
      <c r="E763" s="8">
        <v>1</v>
      </c>
      <c r="F763" s="8">
        <v>1377</v>
      </c>
    </row>
    <row r="764" spans="1:6" ht="12.75">
      <c r="A764" s="8">
        <v>43904.949907407412</v>
      </c>
      <c r="B764" s="8" t="str">
        <f>HYPERLINK("https://twitter.com/T3TT1R14","@T3TT1R14")</f>
        <v>@T3TT1R14</v>
      </c>
      <c r="C764" s="8" t="s">
        <v>162</v>
      </c>
      <c r="D764" s="8">
        <v>152</v>
      </c>
      <c r="E764" s="8">
        <v>0</v>
      </c>
      <c r="F764" s="8">
        <v>133</v>
      </c>
    </row>
    <row r="765" spans="1:6" ht="12.75">
      <c r="A765" s="8">
        <v>43904.949895833328</v>
      </c>
      <c r="B765" s="8" t="str">
        <f>HYPERLINK("https://twitter.com/Sir__md","@Sir__md")</f>
        <v>@Sir__md</v>
      </c>
      <c r="C765" s="8" t="s">
        <v>429</v>
      </c>
      <c r="D765" s="8">
        <v>0</v>
      </c>
      <c r="E765" s="8">
        <v>1</v>
      </c>
      <c r="F765" s="8">
        <v>27102</v>
      </c>
    </row>
    <row r="766" spans="1:6" ht="12.75">
      <c r="A766" s="8">
        <v>43904.949421296296</v>
      </c>
      <c r="B766" s="8" t="str">
        <f>HYPERLINK("https://twitter.com/kbenaranHakiki","@kbenaranHakiki")</f>
        <v>@kbenaranHakiki</v>
      </c>
      <c r="C766" s="8" t="s">
        <v>430</v>
      </c>
      <c r="D766" s="8">
        <v>0</v>
      </c>
      <c r="E766" s="8">
        <v>0</v>
      </c>
      <c r="F766" s="8">
        <v>1426</v>
      </c>
    </row>
    <row r="767" spans="1:6" ht="12.75">
      <c r="A767" s="8">
        <v>43904.949259259258</v>
      </c>
      <c r="B767" s="8" t="str">
        <f>HYPERLINK("https://twitter.com/ISIS_Balik_NO","@ISIS_Balik_NO")</f>
        <v>@ISIS_Balik_NO</v>
      </c>
      <c r="C767" s="8" t="s">
        <v>431</v>
      </c>
      <c r="D767" s="8">
        <v>0</v>
      </c>
      <c r="E767" s="8">
        <v>0</v>
      </c>
      <c r="F767" s="8">
        <v>6272</v>
      </c>
    </row>
    <row r="768" spans="1:6" ht="12.75">
      <c r="A768" s="8">
        <v>43904.949247685188</v>
      </c>
      <c r="B768" s="8" t="str">
        <f>HYPERLINK("https://twitter.com/antikadrun4ever","@antikadrun4ever")</f>
        <v>@antikadrun4ever</v>
      </c>
      <c r="C768" s="8" t="s">
        <v>432</v>
      </c>
      <c r="D768" s="8">
        <v>0</v>
      </c>
      <c r="E768" s="8">
        <v>0</v>
      </c>
      <c r="F768" s="8">
        <v>1377</v>
      </c>
    </row>
    <row r="769" spans="1:6" ht="12.75">
      <c r="A769" s="8">
        <v>43904.94903935185</v>
      </c>
      <c r="B769" s="8" t="str">
        <f>HYPERLINK("https://twitter.com/Lam_Sijan","@Lam_Sijan")</f>
        <v>@Lam_Sijan</v>
      </c>
      <c r="C769" s="8" t="s">
        <v>34</v>
      </c>
      <c r="D769" s="8">
        <v>3</v>
      </c>
      <c r="E769" s="8">
        <v>0</v>
      </c>
      <c r="F769" s="8">
        <v>498</v>
      </c>
    </row>
    <row r="770" spans="1:6" ht="12.75">
      <c r="A770" s="8">
        <v>43904.948657407411</v>
      </c>
      <c r="B770" s="8" t="str">
        <f>HYPERLINK("https://twitter.com/ISIS_Balik_NO","@ISIS_Balik_NO")</f>
        <v>@ISIS_Balik_NO</v>
      </c>
      <c r="C770" s="8" t="s">
        <v>433</v>
      </c>
      <c r="D770" s="8">
        <v>0</v>
      </c>
      <c r="E770" s="8">
        <v>0</v>
      </c>
      <c r="F770" s="8">
        <v>6272</v>
      </c>
    </row>
    <row r="771" spans="1:6" ht="12.75">
      <c r="A771" s="8">
        <v>43904.948298611111</v>
      </c>
      <c r="B771" s="8" t="str">
        <f t="shared" ref="B771:B772" si="12">HYPERLINK("https://twitter.com/kbrioslo","@kbrioslo")</f>
        <v>@kbrioslo</v>
      </c>
      <c r="C771" s="8" t="s">
        <v>434</v>
      </c>
      <c r="D771" s="8">
        <v>1</v>
      </c>
      <c r="E771" s="8">
        <v>0</v>
      </c>
      <c r="F771" s="8">
        <v>2432</v>
      </c>
    </row>
    <row r="772" spans="1:6" ht="12.75">
      <c r="A772" s="8">
        <v>43904.948182870372</v>
      </c>
      <c r="B772" s="8" t="str">
        <f t="shared" si="12"/>
        <v>@kbrioslo</v>
      </c>
      <c r="C772" s="8" t="s">
        <v>435</v>
      </c>
      <c r="D772" s="8">
        <v>0</v>
      </c>
      <c r="E772" s="8">
        <v>0</v>
      </c>
      <c r="F772" s="8">
        <v>2432</v>
      </c>
    </row>
    <row r="773" spans="1:6" ht="12.75">
      <c r="A773" s="8">
        <v>43904.948067129633</v>
      </c>
      <c r="B773" s="8" t="str">
        <f>HYPERLINK("https://twitter.com/Shlsbl","@Shlsbl")</f>
        <v>@Shlsbl</v>
      </c>
      <c r="C773" s="8" t="s">
        <v>102</v>
      </c>
      <c r="D773" s="8">
        <v>31</v>
      </c>
      <c r="E773" s="8">
        <v>0</v>
      </c>
      <c r="F773" s="8">
        <v>972</v>
      </c>
    </row>
    <row r="774" spans="1:6" ht="12.75">
      <c r="A774" s="8">
        <v>43904.947766203702</v>
      </c>
      <c r="B774" s="8" t="str">
        <f>HYPERLINK("https://twitter.com/ISIS_Balik_NO","@ISIS_Balik_NO")</f>
        <v>@ISIS_Balik_NO</v>
      </c>
      <c r="C774" s="8" t="s">
        <v>436</v>
      </c>
      <c r="D774" s="8">
        <v>0</v>
      </c>
      <c r="E774" s="8">
        <v>1</v>
      </c>
      <c r="F774" s="8">
        <v>6272</v>
      </c>
    </row>
    <row r="775" spans="1:6" ht="12.75">
      <c r="A775" s="8">
        <v>43904.947453703702</v>
      </c>
      <c r="B775" s="8" t="str">
        <f>HYPERLINK("https://twitter.com/VinodD89389312","@VinodD89389312")</f>
        <v>@VinodD89389312</v>
      </c>
      <c r="C775" s="8" t="s">
        <v>437</v>
      </c>
      <c r="D775" s="8">
        <v>4</v>
      </c>
      <c r="E775" s="8">
        <v>0</v>
      </c>
      <c r="F775" s="8">
        <v>624</v>
      </c>
    </row>
    <row r="776" spans="1:6" ht="12.75">
      <c r="A776" s="8">
        <v>43904.946817129632</v>
      </c>
      <c r="B776" s="8" t="str">
        <f>HYPERLINK("https://twitter.com/kbenaranHakiki","@kbenaranHakiki")</f>
        <v>@kbenaranHakiki</v>
      </c>
      <c r="C776" s="8" t="s">
        <v>438</v>
      </c>
      <c r="D776" s="8">
        <v>0</v>
      </c>
      <c r="E776" s="8">
        <v>0</v>
      </c>
      <c r="F776" s="8">
        <v>1426</v>
      </c>
    </row>
    <row r="777" spans="1:6" ht="12.75">
      <c r="A777" s="8">
        <v>43904.946296296301</v>
      </c>
      <c r="B777" s="8" t="str">
        <f>HYPERLINK("https://twitter.com/KamalRoland","@KamalRoland")</f>
        <v>@KamalRoland</v>
      </c>
      <c r="C777" s="8" t="s">
        <v>439</v>
      </c>
      <c r="D777" s="8">
        <v>0</v>
      </c>
      <c r="E777" s="8">
        <v>0</v>
      </c>
      <c r="F777" s="8">
        <v>3</v>
      </c>
    </row>
    <row r="778" spans="1:6" ht="12.75">
      <c r="A778" s="8">
        <v>43904.946168981478</v>
      </c>
      <c r="B778" s="8" t="str">
        <f>HYPERLINK("https://twitter.com/raaamsssss","@raaamsssss")</f>
        <v>@raaamsssss</v>
      </c>
      <c r="C778" s="8" t="s">
        <v>63</v>
      </c>
      <c r="D778" s="8">
        <v>67</v>
      </c>
      <c r="E778" s="8">
        <v>0</v>
      </c>
      <c r="F778" s="8">
        <v>436</v>
      </c>
    </row>
    <row r="779" spans="1:6" ht="12.75">
      <c r="A779" s="8">
        <v>43904.946157407408</v>
      </c>
      <c r="B779" s="8" t="str">
        <f>HYPERLINK("https://twitter.com/wbudi2003","@wbudi2003")</f>
        <v>@wbudi2003</v>
      </c>
      <c r="C779" s="8" t="s">
        <v>203</v>
      </c>
      <c r="D779" s="8">
        <v>48</v>
      </c>
      <c r="E779" s="8">
        <v>0</v>
      </c>
      <c r="F779" s="8">
        <v>50</v>
      </c>
    </row>
    <row r="780" spans="1:6" ht="12.75">
      <c r="A780" s="8">
        <v>43904.946099537032</v>
      </c>
      <c r="B780" s="8" t="str">
        <f>HYPERLINK("https://twitter.com/LAlessandro3","@LAlessandro3")</f>
        <v>@LAlessandro3</v>
      </c>
      <c r="C780" s="8" t="s">
        <v>440</v>
      </c>
      <c r="D780" s="8">
        <v>164</v>
      </c>
      <c r="E780" s="8">
        <v>0</v>
      </c>
      <c r="F780" s="8">
        <v>356</v>
      </c>
    </row>
    <row r="781" spans="1:6" ht="12.75">
      <c r="A781" s="8">
        <v>43904.945717592593</v>
      </c>
      <c r="B781" s="8" t="str">
        <f>HYPERLINK("https://twitter.com/Tiara_jkt","@Tiara_jkt")</f>
        <v>@Tiara_jkt</v>
      </c>
      <c r="C781" s="8" t="s">
        <v>441</v>
      </c>
      <c r="D781" s="8">
        <v>0</v>
      </c>
      <c r="E781" s="8">
        <v>0</v>
      </c>
      <c r="F781" s="8">
        <v>1306</v>
      </c>
    </row>
    <row r="782" spans="1:6" ht="12.75">
      <c r="A782" s="8">
        <v>43904.945613425924</v>
      </c>
      <c r="B782" s="8" t="str">
        <f>HYPERLINK("https://twitter.com/syahiraeryn","@syahiraeryn")</f>
        <v>@syahiraeryn</v>
      </c>
      <c r="C782" s="8" t="s">
        <v>442</v>
      </c>
      <c r="D782" s="8">
        <v>0</v>
      </c>
      <c r="E782" s="8">
        <v>0</v>
      </c>
      <c r="F782" s="8">
        <v>16</v>
      </c>
    </row>
    <row r="783" spans="1:6" ht="12.75">
      <c r="A783" s="8">
        <v>43904.944780092592</v>
      </c>
      <c r="B783" s="8" t="str">
        <f>HYPERLINK("https://twitter.com/kemocheinq","@kemocheinq")</f>
        <v>@kemocheinq</v>
      </c>
      <c r="C783" s="8" t="s">
        <v>15</v>
      </c>
      <c r="D783" s="8">
        <v>6</v>
      </c>
      <c r="E783" s="8">
        <v>0</v>
      </c>
      <c r="F783" s="8">
        <v>2767</v>
      </c>
    </row>
    <row r="784" spans="1:6" ht="12.75">
      <c r="A784" s="8">
        <v>43904.944386574076</v>
      </c>
      <c r="B784" s="8" t="str">
        <f>HYPERLINK("https://twitter.com/Ratuta25","@Ratuta25")</f>
        <v>@Ratuta25</v>
      </c>
      <c r="C784" s="8" t="s">
        <v>443</v>
      </c>
      <c r="D784" s="8">
        <v>0</v>
      </c>
      <c r="E784" s="8">
        <v>0</v>
      </c>
      <c r="F784" s="8">
        <v>92</v>
      </c>
    </row>
    <row r="785" spans="1:6" ht="12.75">
      <c r="A785" s="8">
        <v>43904.94431712963</v>
      </c>
      <c r="B785" s="8" t="str">
        <f>HYPERLINK("https://twitter.com/nitakill","@nitakill")</f>
        <v>@nitakill</v>
      </c>
      <c r="C785" s="8" t="s">
        <v>444</v>
      </c>
      <c r="D785" s="8">
        <v>0</v>
      </c>
      <c r="E785" s="8">
        <v>0</v>
      </c>
      <c r="F785" s="8">
        <v>13</v>
      </c>
    </row>
    <row r="786" spans="1:6" ht="12.75">
      <c r="A786" s="8">
        <v>43904.944027777776</v>
      </c>
      <c r="B786" s="8" t="str">
        <f>HYPERLINK("https://twitter.com/sudsNBT","@sudsNBT")</f>
        <v>@sudsNBT</v>
      </c>
      <c r="C786" s="8" t="s">
        <v>445</v>
      </c>
      <c r="D786" s="8">
        <v>0</v>
      </c>
      <c r="E786" s="8">
        <v>0</v>
      </c>
      <c r="F786" s="8">
        <v>138</v>
      </c>
    </row>
    <row r="787" spans="1:6" ht="12.75">
      <c r="A787" s="8">
        <v>43904.943865740745</v>
      </c>
      <c r="B787" s="8" t="str">
        <f>HYPERLINK("https://twitter.com/yunusbara71","@yunusbara71")</f>
        <v>@yunusbara71</v>
      </c>
      <c r="C787" s="8" t="s">
        <v>446</v>
      </c>
      <c r="D787" s="8">
        <v>0</v>
      </c>
      <c r="E787" s="8">
        <v>0</v>
      </c>
      <c r="F787" s="8">
        <v>1521</v>
      </c>
    </row>
    <row r="788" spans="1:6" ht="12.75">
      <c r="A788" s="8">
        <v>43904.943182870367</v>
      </c>
      <c r="B788" s="8" t="str">
        <f>HYPERLINK("https://twitter.com/ISIS_Balik_NO","@ISIS_Balik_NO")</f>
        <v>@ISIS_Balik_NO</v>
      </c>
      <c r="C788" s="8" t="s">
        <v>447</v>
      </c>
      <c r="D788" s="8">
        <v>0</v>
      </c>
      <c r="E788" s="8">
        <v>1</v>
      </c>
      <c r="F788" s="8">
        <v>6272</v>
      </c>
    </row>
    <row r="789" spans="1:6" ht="12.75">
      <c r="A789" s="8">
        <v>43904.942939814813</v>
      </c>
      <c r="B789" s="8" t="str">
        <f>HYPERLINK("https://twitter.com/AgungWidrajat","@AgungWidrajat")</f>
        <v>@AgungWidrajat</v>
      </c>
      <c r="C789" s="8" t="s">
        <v>107</v>
      </c>
      <c r="D789" s="8">
        <v>40</v>
      </c>
      <c r="E789" s="8">
        <v>0</v>
      </c>
      <c r="F789" s="8">
        <v>2307</v>
      </c>
    </row>
    <row r="790" spans="1:6" ht="12.75">
      <c r="A790" s="8">
        <v>43904.942407407405</v>
      </c>
      <c r="B790" s="8" t="str">
        <f>HYPERLINK("https://twitter.com/noviceLUCIFER","@noviceLUCIFER")</f>
        <v>@noviceLUCIFER</v>
      </c>
      <c r="C790" s="8" t="s">
        <v>448</v>
      </c>
      <c r="D790" s="8">
        <v>0</v>
      </c>
      <c r="E790" s="8">
        <v>0</v>
      </c>
      <c r="F790" s="8">
        <v>75</v>
      </c>
    </row>
    <row r="791" spans="1:6" ht="12.75">
      <c r="A791" s="8">
        <v>43904.942407407405</v>
      </c>
      <c r="B791" s="8" t="str">
        <f>HYPERLINK("https://twitter.com/wongmlaku","@wongmlaku")</f>
        <v>@wongmlaku</v>
      </c>
      <c r="C791" s="8" t="s">
        <v>449</v>
      </c>
      <c r="D791" s="8">
        <v>0</v>
      </c>
      <c r="E791" s="8">
        <v>1</v>
      </c>
      <c r="F791" s="8">
        <v>6212</v>
      </c>
    </row>
    <row r="792" spans="1:6" ht="12.75">
      <c r="A792" s="8">
        <v>43904.94222222222</v>
      </c>
      <c r="B792" s="8" t="str">
        <f>HYPERLINK("https://twitter.com/ISIS_Balik_NO","@ISIS_Balik_NO")</f>
        <v>@ISIS_Balik_NO</v>
      </c>
      <c r="C792" s="8" t="s">
        <v>450</v>
      </c>
      <c r="D792" s="8">
        <v>0</v>
      </c>
      <c r="E792" s="8">
        <v>1</v>
      </c>
      <c r="F792" s="8">
        <v>6272</v>
      </c>
    </row>
    <row r="793" spans="1:6" ht="12.75">
      <c r="A793" s="8">
        <v>43904.94149305555</v>
      </c>
      <c r="B793" s="8" t="str">
        <f>HYPERLINK("https://twitter.com/DsSupriyady","@DsSupriyady")</f>
        <v>@DsSupriyady</v>
      </c>
      <c r="C793" s="8" t="s">
        <v>451</v>
      </c>
      <c r="D793" s="8">
        <v>1</v>
      </c>
      <c r="E793" s="8">
        <v>2</v>
      </c>
      <c r="F793" s="8">
        <v>3814</v>
      </c>
    </row>
    <row r="794" spans="1:6" ht="12.75">
      <c r="A794" s="8">
        <v>43904.941435185188</v>
      </c>
      <c r="B794" s="8" t="str">
        <f>HYPERLINK("https://twitter.com/ISIS_Balik_NO","@ISIS_Balik_NO")</f>
        <v>@ISIS_Balik_NO</v>
      </c>
      <c r="C794" s="8" t="s">
        <v>452</v>
      </c>
      <c r="D794" s="8">
        <v>0</v>
      </c>
      <c r="E794" s="8">
        <v>0</v>
      </c>
      <c r="F794" s="8">
        <v>6272</v>
      </c>
    </row>
    <row r="795" spans="1:6" ht="12.75">
      <c r="A795" s="8">
        <v>43904.940821759257</v>
      </c>
      <c r="B795" s="8" t="str">
        <f>HYPERLINK("https://twitter.com/Sidin79901699","@Sidin79901699")</f>
        <v>@Sidin79901699</v>
      </c>
      <c r="C795" s="8" t="s">
        <v>102</v>
      </c>
      <c r="D795" s="8">
        <v>31</v>
      </c>
      <c r="E795" s="8">
        <v>0</v>
      </c>
      <c r="F795" s="8">
        <v>2463</v>
      </c>
    </row>
    <row r="796" spans="1:6" ht="12.75">
      <c r="A796" s="8">
        <v>43904.940555555557</v>
      </c>
      <c r="B796" s="8" t="str">
        <f>HYPERLINK("https://twitter.com/AnakKolong___","@AnakKolong___")</f>
        <v>@AnakKolong___</v>
      </c>
      <c r="C796" s="8" t="s">
        <v>453</v>
      </c>
      <c r="D796" s="8">
        <v>1</v>
      </c>
      <c r="E796" s="8">
        <v>0</v>
      </c>
      <c r="F796" s="8">
        <v>8572</v>
      </c>
    </row>
    <row r="797" spans="1:6" ht="12.75">
      <c r="A797" s="8">
        <v>43904.940289351856</v>
      </c>
      <c r="B797" s="8" t="str">
        <f>HYPERLINK("https://twitter.com/ReiMiechi99","@ReiMiechi99")</f>
        <v>@ReiMiechi99</v>
      </c>
      <c r="C797" s="8" t="s">
        <v>454</v>
      </c>
      <c r="D797" s="8">
        <v>1</v>
      </c>
      <c r="E797" s="8">
        <v>2</v>
      </c>
      <c r="F797" s="8">
        <v>100</v>
      </c>
    </row>
    <row r="798" spans="1:6" ht="12.75">
      <c r="A798" s="8">
        <v>43904.940266203703</v>
      </c>
      <c r="B798" s="8" t="str">
        <f>HYPERLINK("https://twitter.com/gxxda_","@gxxda_")</f>
        <v>@gxxda_</v>
      </c>
      <c r="C798" s="8" t="s">
        <v>455</v>
      </c>
      <c r="D798" s="8">
        <v>0</v>
      </c>
      <c r="E798" s="8">
        <v>1</v>
      </c>
      <c r="F798" s="8">
        <v>656</v>
      </c>
    </row>
    <row r="799" spans="1:6" ht="12.75">
      <c r="A799" s="8">
        <v>43904.940185185187</v>
      </c>
      <c r="B799" s="8" t="str">
        <f>HYPERLINK("https://twitter.com/antikadrun4ever","@antikadrun4ever")</f>
        <v>@antikadrun4ever</v>
      </c>
      <c r="C799" s="8" t="s">
        <v>456</v>
      </c>
      <c r="D799" s="8">
        <v>0</v>
      </c>
      <c r="E799" s="8">
        <v>0</v>
      </c>
      <c r="F799" s="8">
        <v>1377</v>
      </c>
    </row>
    <row r="800" spans="1:6" ht="12.75">
      <c r="A800" s="8">
        <v>43904.939791666664</v>
      </c>
      <c r="B800" s="8" t="str">
        <f>HYPERLINK("https://twitter.com/ISIS_Balik_NO","@ISIS_Balik_NO")</f>
        <v>@ISIS_Balik_NO</v>
      </c>
      <c r="C800" s="8" t="s">
        <v>457</v>
      </c>
      <c r="D800" s="8">
        <v>0</v>
      </c>
      <c r="E800" s="8">
        <v>0</v>
      </c>
      <c r="F800" s="8">
        <v>6272</v>
      </c>
    </row>
    <row r="801" spans="1:6" ht="12.75">
      <c r="A801" s="8">
        <v>43904.939409722225</v>
      </c>
      <c r="B801" s="8" t="str">
        <f>HYPERLINK("https://twitter.com/k0lgoreng","@k0lgoreng")</f>
        <v>@k0lgoreng</v>
      </c>
      <c r="C801" s="8" t="s">
        <v>15</v>
      </c>
      <c r="D801" s="8">
        <v>6</v>
      </c>
      <c r="E801" s="8">
        <v>0</v>
      </c>
      <c r="F801" s="8">
        <v>397</v>
      </c>
    </row>
    <row r="802" spans="1:6" ht="12.75">
      <c r="A802" s="8">
        <v>43904.93917824074</v>
      </c>
      <c r="B802" s="8" t="str">
        <f>HYPERLINK("https://twitter.com/Budihar21525608","@Budihar21525608")</f>
        <v>@Budihar21525608</v>
      </c>
      <c r="C802" s="8" t="s">
        <v>107</v>
      </c>
      <c r="D802" s="8">
        <v>40</v>
      </c>
      <c r="E802" s="8">
        <v>0</v>
      </c>
      <c r="F802" s="8">
        <v>6537</v>
      </c>
    </row>
    <row r="803" spans="1:6" ht="12.75">
      <c r="A803" s="8">
        <v>43904.923344907409</v>
      </c>
      <c r="B803" s="8" t="str">
        <f>HYPERLINK("https://twitter.com/AkuSwagKayaSuga","@AkuSwagKayaSuga")</f>
        <v>@AkuSwagKayaSuga</v>
      </c>
      <c r="C803" s="8" t="s">
        <v>458</v>
      </c>
      <c r="D803" s="8">
        <v>0</v>
      </c>
      <c r="E803" s="8">
        <v>0</v>
      </c>
      <c r="F803" s="8">
        <v>202</v>
      </c>
    </row>
    <row r="804" spans="1:6" ht="12.75">
      <c r="A804" s="8">
        <v>43904.923298611116</v>
      </c>
      <c r="B804" s="8" t="str">
        <f>HYPERLINK("https://twitter.com/antikadrun4ever","@antikadrun4ever")</f>
        <v>@antikadrun4ever</v>
      </c>
      <c r="C804" s="8" t="s">
        <v>459</v>
      </c>
      <c r="D804" s="8">
        <v>0</v>
      </c>
      <c r="E804" s="8">
        <v>0</v>
      </c>
      <c r="F804" s="8">
        <v>1377</v>
      </c>
    </row>
    <row r="805" spans="1:6" ht="12.75">
      <c r="A805" s="8">
        <v>43904.92324074074</v>
      </c>
      <c r="B805" s="8" t="str">
        <f>HYPERLINK("https://twitter.com/trtpnst","@trtpnst")</f>
        <v>@trtpnst</v>
      </c>
      <c r="C805" s="8" t="s">
        <v>460</v>
      </c>
      <c r="D805" s="8">
        <v>0</v>
      </c>
      <c r="E805" s="8">
        <v>0</v>
      </c>
      <c r="F805" s="8">
        <v>484</v>
      </c>
    </row>
    <row r="806" spans="1:6" ht="12.75">
      <c r="A806" s="8">
        <v>43904.922986111109</v>
      </c>
      <c r="B806" s="8" t="str">
        <f>HYPERLINK("https://twitter.com/Ternoda_","@Ternoda_")</f>
        <v>@Ternoda_</v>
      </c>
      <c r="C806" s="8" t="s">
        <v>228</v>
      </c>
      <c r="D806" s="8">
        <v>20</v>
      </c>
      <c r="E806" s="8">
        <v>0</v>
      </c>
      <c r="F806" s="8">
        <v>7459</v>
      </c>
    </row>
    <row r="807" spans="1:6" ht="12.75">
      <c r="A807" s="8">
        <v>43904.922650462962</v>
      </c>
      <c r="B807" s="8" t="str">
        <f>HYPERLINK("https://twitter.com/ISIS_Balik_NO","@ISIS_Balik_NO")</f>
        <v>@ISIS_Balik_NO</v>
      </c>
      <c r="C807" s="8" t="s">
        <v>461</v>
      </c>
      <c r="D807" s="8">
        <v>0</v>
      </c>
      <c r="E807" s="8">
        <v>1</v>
      </c>
      <c r="F807" s="8">
        <v>6272</v>
      </c>
    </row>
    <row r="808" spans="1:6" ht="12.75">
      <c r="A808" s="8">
        <v>43904.922256944439</v>
      </c>
      <c r="B808" s="8" t="str">
        <f>HYPERLINK("https://twitter.com/ylchaniago","@ylchaniago")</f>
        <v>@ylchaniago</v>
      </c>
      <c r="C808" s="8" t="s">
        <v>462</v>
      </c>
      <c r="D808" s="8">
        <v>0</v>
      </c>
      <c r="E808" s="8">
        <v>0</v>
      </c>
      <c r="F808" s="8">
        <v>5270</v>
      </c>
    </row>
    <row r="809" spans="1:6" ht="12.75">
      <c r="A809" s="8">
        <v>43904.921921296293</v>
      </c>
      <c r="B809" s="8" t="str">
        <f>HYPERLINK("https://twitter.com/ayxtyong","@ayxtyong")</f>
        <v>@ayxtyong</v>
      </c>
      <c r="C809" s="8" t="s">
        <v>463</v>
      </c>
      <c r="D809" s="8">
        <v>0</v>
      </c>
      <c r="E809" s="8">
        <v>0</v>
      </c>
      <c r="F809" s="8">
        <v>1523</v>
      </c>
    </row>
    <row r="810" spans="1:6" ht="12.75">
      <c r="A810" s="8">
        <v>43904.921585648146</v>
      </c>
      <c r="B810" s="8" t="str">
        <f>HYPERLINK("https://twitter.com/antikadrun4ever","@antikadrun4ever")</f>
        <v>@antikadrun4ever</v>
      </c>
      <c r="C810" s="8" t="s">
        <v>464</v>
      </c>
      <c r="D810" s="8">
        <v>0</v>
      </c>
      <c r="E810" s="8">
        <v>1</v>
      </c>
      <c r="F810" s="8">
        <v>1377</v>
      </c>
    </row>
    <row r="811" spans="1:6" ht="12.75">
      <c r="A811" s="8">
        <v>43904.921493055561</v>
      </c>
      <c r="B811" s="8" t="str">
        <f>HYPERLINK("https://twitter.com/ISIS_Balik_NO","@ISIS_Balik_NO")</f>
        <v>@ISIS_Balik_NO</v>
      </c>
      <c r="C811" s="8" t="s">
        <v>465</v>
      </c>
      <c r="D811" s="8">
        <v>0</v>
      </c>
      <c r="E811" s="8">
        <v>0</v>
      </c>
      <c r="F811" s="8">
        <v>6272</v>
      </c>
    </row>
    <row r="812" spans="1:6" ht="12.75">
      <c r="A812" s="8">
        <v>43904.921087962968</v>
      </c>
      <c r="B812" s="8" t="str">
        <f>HYPERLINK("https://twitter.com/jualBHMURMER","@jualBHMURMER")</f>
        <v>@jualBHMURMER</v>
      </c>
      <c r="C812" s="8" t="s">
        <v>466</v>
      </c>
      <c r="D812" s="8">
        <v>0</v>
      </c>
      <c r="E812" s="8">
        <v>0</v>
      </c>
      <c r="F812" s="8">
        <v>40</v>
      </c>
    </row>
    <row r="813" spans="1:6" ht="12.75">
      <c r="A813" s="8">
        <v>43904.921076388884</v>
      </c>
      <c r="B813" s="8" t="str">
        <f>HYPERLINK("https://twitter.com/intanrhmadani","@intanrhmadani")</f>
        <v>@intanrhmadani</v>
      </c>
      <c r="C813" s="8" t="s">
        <v>467</v>
      </c>
      <c r="D813" s="8">
        <v>0</v>
      </c>
      <c r="E813" s="8">
        <v>0</v>
      </c>
      <c r="F813" s="8">
        <v>593</v>
      </c>
    </row>
    <row r="814" spans="1:6" ht="12.75">
      <c r="A814" s="8">
        <v>43904.920717592591</v>
      </c>
      <c r="B814" s="8" t="str">
        <f>HYPERLINK("https://twitter.com/antikadrun4ever","@antikadrun4ever")</f>
        <v>@antikadrun4ever</v>
      </c>
      <c r="C814" s="8" t="s">
        <v>468</v>
      </c>
      <c r="D814" s="8">
        <v>0</v>
      </c>
      <c r="E814" s="8">
        <v>1</v>
      </c>
      <c r="F814" s="8">
        <v>1377</v>
      </c>
    </row>
    <row r="815" spans="1:6" ht="12.75">
      <c r="A815" s="8">
        <v>43904.92050925926</v>
      </c>
      <c r="B815" s="8" t="str">
        <f>HYPERLINK("https://twitter.com/_ilhamnh","@_ilhamnh")</f>
        <v>@_ilhamnh</v>
      </c>
      <c r="C815" s="8" t="s">
        <v>469</v>
      </c>
      <c r="D815" s="8">
        <v>0</v>
      </c>
      <c r="E815" s="8">
        <v>0</v>
      </c>
      <c r="F815" s="8">
        <v>386</v>
      </c>
    </row>
    <row r="816" spans="1:6" ht="12.75">
      <c r="A816" s="8">
        <v>43904.920023148152</v>
      </c>
      <c r="B816" s="8" t="str">
        <f>HYPERLINK("https://twitter.com/ISIS_Balik_NO","@ISIS_Balik_NO")</f>
        <v>@ISIS_Balik_NO</v>
      </c>
      <c r="C816" s="8" t="s">
        <v>470</v>
      </c>
      <c r="D816" s="8">
        <v>0</v>
      </c>
      <c r="E816" s="8">
        <v>1</v>
      </c>
      <c r="F816" s="8">
        <v>6272</v>
      </c>
    </row>
    <row r="817" spans="1:6" ht="12.75">
      <c r="A817" s="8">
        <v>43904.919687500005</v>
      </c>
      <c r="B817" s="8" t="str">
        <f>HYPERLINK("https://twitter.com/antikadrun4ever","@antikadrun4ever")</f>
        <v>@antikadrun4ever</v>
      </c>
      <c r="C817" s="8" t="s">
        <v>471</v>
      </c>
      <c r="D817" s="8">
        <v>0</v>
      </c>
      <c r="E817" s="8">
        <v>1</v>
      </c>
      <c r="F817" s="8">
        <v>1377</v>
      </c>
    </row>
    <row r="818" spans="1:6" ht="12.75">
      <c r="A818" s="8">
        <v>43904.919537037036</v>
      </c>
      <c r="B818" s="8" t="str">
        <f>HYPERLINK("https://twitter.com/_____Tobat","@_____Tobat")</f>
        <v>@_____Tobat</v>
      </c>
      <c r="C818" s="8" t="s">
        <v>107</v>
      </c>
      <c r="D818" s="8">
        <v>37</v>
      </c>
      <c r="E818" s="8">
        <v>0</v>
      </c>
      <c r="F818" s="8">
        <v>2453</v>
      </c>
    </row>
    <row r="819" spans="1:6" ht="12.75">
      <c r="A819" s="8">
        <v>43904.919374999998</v>
      </c>
      <c r="B819" s="8" t="str">
        <f>HYPERLINK("https://twitter.com/Ariiinnnn1","@Ariiinnnn1")</f>
        <v>@Ariiinnnn1</v>
      </c>
      <c r="C819" s="8" t="s">
        <v>102</v>
      </c>
      <c r="D819" s="8">
        <v>22</v>
      </c>
      <c r="E819" s="8">
        <v>0</v>
      </c>
      <c r="F819" s="8">
        <v>4</v>
      </c>
    </row>
    <row r="820" spans="1:6" ht="12.75">
      <c r="A820" s="8">
        <v>43904.919259259259</v>
      </c>
      <c r="B820" s="8" t="str">
        <f>HYPERLINK("https://twitter.com/raprafles","@raprafles")</f>
        <v>@raprafles</v>
      </c>
      <c r="C820" s="8" t="s">
        <v>472</v>
      </c>
      <c r="D820" s="8">
        <v>0</v>
      </c>
      <c r="E820" s="8">
        <v>0</v>
      </c>
      <c r="F820" s="8">
        <v>1</v>
      </c>
    </row>
    <row r="821" spans="1:6" ht="12.75">
      <c r="A821" s="8">
        <v>43904.91883101852</v>
      </c>
      <c r="B821" s="8" t="str">
        <f>HYPERLINK("https://twitter.com/antikadrun4ever","@antikadrun4ever")</f>
        <v>@antikadrun4ever</v>
      </c>
      <c r="C821" s="8" t="s">
        <v>473</v>
      </c>
      <c r="D821" s="8">
        <v>0</v>
      </c>
      <c r="E821" s="8">
        <v>1</v>
      </c>
      <c r="F821" s="8">
        <v>1377</v>
      </c>
    </row>
    <row r="822" spans="1:6" ht="12.75">
      <c r="A822" s="8">
        <v>43904.918634259258</v>
      </c>
      <c r="B822" s="8" t="str">
        <f>HYPERLINK("https://twitter.com/elokpsp","@elokpsp")</f>
        <v>@elokpsp</v>
      </c>
      <c r="C822" s="8" t="s">
        <v>277</v>
      </c>
      <c r="D822" s="8">
        <v>3</v>
      </c>
      <c r="E822" s="8">
        <v>0</v>
      </c>
      <c r="F822" s="8">
        <v>595</v>
      </c>
    </row>
    <row r="823" spans="1:6" ht="12.75">
      <c r="A823" s="8">
        <v>43904.918483796297</v>
      </c>
      <c r="B823" s="8" t="str">
        <f>HYPERLINK("https://twitter.com/albenooo","@albenooo")</f>
        <v>@albenooo</v>
      </c>
      <c r="C823" s="8" t="s">
        <v>474</v>
      </c>
      <c r="D823" s="8">
        <v>0</v>
      </c>
      <c r="E823" s="8">
        <v>0</v>
      </c>
      <c r="F823" s="8">
        <v>10321</v>
      </c>
    </row>
    <row r="824" spans="1:6" ht="12.75">
      <c r="A824" s="8">
        <v>43904.91815972222</v>
      </c>
      <c r="B824" s="8" t="str">
        <f>HYPERLINK("https://twitter.com/antikadrun4ever","@antikadrun4ever")</f>
        <v>@antikadrun4ever</v>
      </c>
      <c r="C824" s="8" t="s">
        <v>475</v>
      </c>
      <c r="D824" s="8">
        <v>0</v>
      </c>
      <c r="E824" s="8">
        <v>1</v>
      </c>
      <c r="F824" s="8">
        <v>1377</v>
      </c>
    </row>
    <row r="825" spans="1:6" ht="12.75">
      <c r="A825" s="8">
        <v>43904.917592592596</v>
      </c>
      <c r="B825" s="8" t="str">
        <f>HYPERLINK("https://twitter.com/ISIS_Balik_NO","@ISIS_Balik_NO")</f>
        <v>@ISIS_Balik_NO</v>
      </c>
      <c r="C825" s="8" t="s">
        <v>476</v>
      </c>
      <c r="D825" s="8">
        <v>0</v>
      </c>
      <c r="E825" s="8">
        <v>1</v>
      </c>
      <c r="F825" s="8">
        <v>6272</v>
      </c>
    </row>
    <row r="826" spans="1:6" ht="12.75">
      <c r="A826" s="8">
        <v>43904.917488425926</v>
      </c>
      <c r="B826" s="8" t="str">
        <f>HYPERLINK("https://twitter.com/crhisscoups","@crhisscoups")</f>
        <v>@crhisscoups</v>
      </c>
      <c r="C826" s="8" t="s">
        <v>477</v>
      </c>
      <c r="D826" s="8">
        <v>0</v>
      </c>
      <c r="E826" s="8">
        <v>0</v>
      </c>
      <c r="F826" s="8">
        <v>1343</v>
      </c>
    </row>
    <row r="827" spans="1:6" ht="12.75">
      <c r="A827" s="8">
        <v>43904.917465277773</v>
      </c>
      <c r="B827" s="8" t="str">
        <f>HYPERLINK("https://twitter.com/DelMely08","@DelMely08")</f>
        <v>@DelMely08</v>
      </c>
      <c r="C827" s="8" t="s">
        <v>39</v>
      </c>
      <c r="D827" s="8">
        <v>4</v>
      </c>
      <c r="E827" s="8">
        <v>0</v>
      </c>
      <c r="F827" s="8">
        <v>2668</v>
      </c>
    </row>
    <row r="828" spans="1:6" ht="12.75">
      <c r="A828" s="8">
        <v>43904.917256944449</v>
      </c>
      <c r="B828" s="8" t="str">
        <f>HYPERLINK("https://twitter.com/enricofernandos","@enricofernandos")</f>
        <v>@enricofernandos</v>
      </c>
      <c r="C828" s="8" t="s">
        <v>478</v>
      </c>
      <c r="D828" s="8">
        <v>0</v>
      </c>
      <c r="E828" s="8">
        <v>2</v>
      </c>
      <c r="F828" s="8">
        <v>11</v>
      </c>
    </row>
    <row r="829" spans="1:6" ht="12.75">
      <c r="A829" s="8">
        <v>43904.917118055557</v>
      </c>
      <c r="B829" s="8" t="str">
        <f>HYPERLINK("https://twitter.com/sskwy11","@sskwy11")</f>
        <v>@sskwy11</v>
      </c>
      <c r="C829" s="8" t="s">
        <v>63</v>
      </c>
      <c r="D829" s="8">
        <v>63</v>
      </c>
      <c r="E829" s="8">
        <v>0</v>
      </c>
      <c r="F829" s="8">
        <v>416</v>
      </c>
    </row>
    <row r="830" spans="1:6" ht="12.75">
      <c r="A830" s="8">
        <v>43904.917094907403</v>
      </c>
      <c r="B830" s="8" t="str">
        <f>HYPERLINK("https://twitter.com/antikadrun4ever","@antikadrun4ever")</f>
        <v>@antikadrun4ever</v>
      </c>
      <c r="C830" s="8" t="s">
        <v>479</v>
      </c>
      <c r="D830" s="8">
        <v>0</v>
      </c>
      <c r="E830" s="8">
        <v>0</v>
      </c>
      <c r="F830" s="8">
        <v>1377</v>
      </c>
    </row>
    <row r="831" spans="1:6" ht="12.75">
      <c r="A831" s="8">
        <v>43904.917037037041</v>
      </c>
      <c r="B831" s="8" t="str">
        <f>HYPERLINK("https://twitter.com/_wni_","@_wni_")</f>
        <v>@_wni_</v>
      </c>
      <c r="C831" s="8" t="s">
        <v>480</v>
      </c>
      <c r="D831" s="8">
        <v>0</v>
      </c>
      <c r="E831" s="8">
        <v>0</v>
      </c>
      <c r="F831" s="8">
        <v>21</v>
      </c>
    </row>
    <row r="832" spans="1:6" ht="12.75">
      <c r="A832" s="8">
        <v>43904.916956018518</v>
      </c>
      <c r="B832" s="8" t="str">
        <f>HYPERLINK("https://twitter.com/ISIS_Balik_NO","@ISIS_Balik_NO")</f>
        <v>@ISIS_Balik_NO</v>
      </c>
      <c r="C832" s="8" t="s">
        <v>481</v>
      </c>
      <c r="D832" s="8">
        <v>0</v>
      </c>
      <c r="E832" s="8">
        <v>1</v>
      </c>
      <c r="F832" s="8">
        <v>6272</v>
      </c>
    </row>
    <row r="833" spans="1:6" ht="12.75">
      <c r="A833" s="8">
        <v>43904.91678240741</v>
      </c>
      <c r="B833" s="8" t="str">
        <f>HYPERLINK("https://twitter.com/TiaSari_93","@TiaSari_93")</f>
        <v>@TiaSari_93</v>
      </c>
      <c r="C833" s="8" t="s">
        <v>277</v>
      </c>
      <c r="D833" s="8">
        <v>3</v>
      </c>
      <c r="E833" s="8">
        <v>0</v>
      </c>
      <c r="F833" s="8">
        <v>361</v>
      </c>
    </row>
    <row r="834" spans="1:6" ht="12.75">
      <c r="A834" s="8">
        <v>43904.916516203702</v>
      </c>
      <c r="B834" s="8" t="str">
        <f>HYPERLINK("https://twitter.com/raprafles","@raprafles")</f>
        <v>@raprafles</v>
      </c>
      <c r="C834" s="8" t="s">
        <v>482</v>
      </c>
      <c r="D834" s="8">
        <v>0</v>
      </c>
      <c r="E834" s="8">
        <v>0</v>
      </c>
      <c r="F834" s="8">
        <v>1</v>
      </c>
    </row>
    <row r="835" spans="1:6" ht="12.75">
      <c r="A835" s="8">
        <v>43904.916412037041</v>
      </c>
      <c r="B835" s="8" t="str">
        <f>HYPERLINK("https://twitter.com/antikadrun4ever","@antikadrun4ever")</f>
        <v>@antikadrun4ever</v>
      </c>
      <c r="C835" s="8" t="s">
        <v>483</v>
      </c>
      <c r="D835" s="8">
        <v>0</v>
      </c>
      <c r="E835" s="8">
        <v>1</v>
      </c>
      <c r="F835" s="8">
        <v>1377</v>
      </c>
    </row>
    <row r="836" spans="1:6" ht="12.75">
      <c r="A836" s="8">
        <v>43904.916273148148</v>
      </c>
      <c r="B836" s="8" t="str">
        <f>HYPERLINK("https://twitter.com/ISIS_Balik_NO","@ISIS_Balik_NO")</f>
        <v>@ISIS_Balik_NO</v>
      </c>
      <c r="C836" s="8" t="s">
        <v>484</v>
      </c>
      <c r="D836" s="8">
        <v>0</v>
      </c>
      <c r="E836" s="8">
        <v>1</v>
      </c>
      <c r="F836" s="8">
        <v>6272</v>
      </c>
    </row>
    <row r="837" spans="1:6" ht="12.75">
      <c r="A837" s="8">
        <v>43904.915914351848</v>
      </c>
      <c r="B837" s="8" t="str">
        <f>HYPERLINK("https://twitter.com/rebahanteeros","@rebahanteeros")</f>
        <v>@rebahanteeros</v>
      </c>
      <c r="C837" s="8" t="s">
        <v>277</v>
      </c>
      <c r="D837" s="8">
        <v>3</v>
      </c>
      <c r="E837" s="8">
        <v>0</v>
      </c>
      <c r="F837" s="8">
        <v>61</v>
      </c>
    </row>
    <row r="838" spans="1:6" ht="12.75">
      <c r="A838" s="8">
        <v>43904.915798611109</v>
      </c>
      <c r="B838" s="8" t="str">
        <f>HYPERLINK("https://twitter.com/brawijaya1970","@brawijaya1970")</f>
        <v>@brawijaya1970</v>
      </c>
      <c r="C838" s="8" t="s">
        <v>39</v>
      </c>
      <c r="D838" s="8">
        <v>4</v>
      </c>
      <c r="E838" s="8">
        <v>0</v>
      </c>
      <c r="F838" s="8">
        <v>152</v>
      </c>
    </row>
    <row r="839" spans="1:6" ht="12.75">
      <c r="A839" s="8">
        <v>43904.915671296301</v>
      </c>
      <c r="B839" s="8" t="str">
        <f>HYPERLINK("https://twitter.com/taeyong","@taeyong")</f>
        <v>@taeyong</v>
      </c>
      <c r="C839" s="8" t="s">
        <v>485</v>
      </c>
      <c r="D839" s="8">
        <v>0</v>
      </c>
      <c r="E839" s="8">
        <v>0</v>
      </c>
      <c r="F839" s="8">
        <v>3307</v>
      </c>
    </row>
    <row r="840" spans="1:6" ht="12.75">
      <c r="A840" s="8">
        <v>43904.915000000001</v>
      </c>
      <c r="B840" s="8" t="str">
        <f>HYPERLINK("https://twitter.com/apien_k19","@apien_k19")</f>
        <v>@apien_k19</v>
      </c>
      <c r="C840" s="8" t="s">
        <v>486</v>
      </c>
      <c r="D840" s="8">
        <v>8</v>
      </c>
      <c r="E840" s="8">
        <v>0</v>
      </c>
      <c r="F840" s="8">
        <v>519</v>
      </c>
    </row>
    <row r="841" spans="1:6" ht="12.75">
      <c r="A841" s="8">
        <v>43904.914513888885</v>
      </c>
      <c r="B841" s="8" t="str">
        <f>HYPERLINK("https://twitter.com/aldyan_Sunartho","@aldyan_Sunartho")</f>
        <v>@aldyan_Sunartho</v>
      </c>
      <c r="C841" s="8" t="s">
        <v>42</v>
      </c>
      <c r="D841" s="8">
        <v>45</v>
      </c>
      <c r="E841" s="8">
        <v>0</v>
      </c>
      <c r="F841" s="8">
        <v>281</v>
      </c>
    </row>
    <row r="842" spans="1:6" ht="12.75">
      <c r="A842" s="8">
        <v>43904.914305555554</v>
      </c>
      <c r="B842" s="8" t="str">
        <f>HYPERLINK("https://twitter.com/enricofernandos","@enricofernandos")</f>
        <v>@enricofernandos</v>
      </c>
      <c r="C842" s="8" t="s">
        <v>487</v>
      </c>
      <c r="D842" s="8">
        <v>0</v>
      </c>
      <c r="E842" s="8">
        <v>1</v>
      </c>
      <c r="F842" s="8">
        <v>11</v>
      </c>
    </row>
    <row r="843" spans="1:6" ht="12.75">
      <c r="A843" s="8">
        <v>43904.914305555554</v>
      </c>
      <c r="B843" s="8" t="str">
        <f>HYPERLINK("https://twitter.com/antikadrun4ever","@antikadrun4ever")</f>
        <v>@antikadrun4ever</v>
      </c>
      <c r="C843" s="8" t="s">
        <v>488</v>
      </c>
      <c r="D843" s="8">
        <v>0</v>
      </c>
      <c r="E843" s="8">
        <v>1</v>
      </c>
      <c r="F843" s="8">
        <v>1377</v>
      </c>
    </row>
    <row r="844" spans="1:6" ht="12.75">
      <c r="A844" s="8">
        <v>43904.914247685185</v>
      </c>
      <c r="B844" s="8" t="str">
        <f>HYPERLINK("https://twitter.com/ISIS_Balik_NO","@ISIS_Balik_NO")</f>
        <v>@ISIS_Balik_NO</v>
      </c>
      <c r="C844" s="8" t="s">
        <v>489</v>
      </c>
      <c r="D844" s="8">
        <v>0</v>
      </c>
      <c r="E844" s="8">
        <v>0</v>
      </c>
      <c r="F844" s="8">
        <v>6272</v>
      </c>
    </row>
    <row r="845" spans="1:6" ht="12.75">
      <c r="A845" s="8">
        <v>43904.914166666669</v>
      </c>
      <c r="B845" s="8" t="str">
        <f>HYPERLINK("https://twitter.com/apien_k19","@apien_k19")</f>
        <v>@apien_k19</v>
      </c>
      <c r="C845" s="8" t="s">
        <v>490</v>
      </c>
      <c r="D845" s="8">
        <v>4</v>
      </c>
      <c r="E845" s="8">
        <v>0</v>
      </c>
      <c r="F845" s="8">
        <v>519</v>
      </c>
    </row>
    <row r="846" spans="1:6" ht="12.75">
      <c r="A846" s="8">
        <v>43904.914108796293</v>
      </c>
      <c r="B846" s="8" t="str">
        <f>HYPERLINK("https://twitter.com/AminkRico","@AminkRico")</f>
        <v>@AminkRico</v>
      </c>
      <c r="C846" s="8" t="s">
        <v>491</v>
      </c>
      <c r="D846" s="8">
        <v>0</v>
      </c>
      <c r="E846" s="8">
        <v>1</v>
      </c>
      <c r="F846" s="8">
        <v>51</v>
      </c>
    </row>
    <row r="847" spans="1:6" ht="12.75">
      <c r="A847" s="8">
        <v>43904.914039351846</v>
      </c>
      <c r="B847" s="8" t="str">
        <f>HYPERLINK("https://twitter.com/no_itsmyturn","@no_itsmyturn")</f>
        <v>@no_itsmyturn</v>
      </c>
      <c r="C847" s="8" t="s">
        <v>39</v>
      </c>
      <c r="D847" s="8">
        <v>4</v>
      </c>
      <c r="E847" s="8">
        <v>0</v>
      </c>
      <c r="F847" s="8">
        <v>16336</v>
      </c>
    </row>
    <row r="848" spans="1:6" ht="12.75">
      <c r="A848" s="8">
        <v>43904.913761574076</v>
      </c>
      <c r="B848" s="8" t="str">
        <f>HYPERLINK("https://twitter.com/MossadNews","@MossadNews")</f>
        <v>@MossadNews</v>
      </c>
      <c r="C848" s="8" t="s">
        <v>492</v>
      </c>
      <c r="D848" s="8">
        <v>4</v>
      </c>
      <c r="E848" s="8">
        <v>9</v>
      </c>
      <c r="F848" s="8">
        <v>22749</v>
      </c>
    </row>
    <row r="849" spans="1:6" ht="12.75">
      <c r="A849" s="8">
        <v>43904.913726851853</v>
      </c>
      <c r="B849" s="8" t="str">
        <f>HYPERLINK("https://twitter.com/xxabury","@xxabury")</f>
        <v>@xxabury</v>
      </c>
      <c r="C849" s="8" t="s">
        <v>493</v>
      </c>
      <c r="D849" s="8">
        <v>1</v>
      </c>
      <c r="E849" s="8">
        <v>0</v>
      </c>
      <c r="F849" s="8">
        <v>395</v>
      </c>
    </row>
    <row r="850" spans="1:6" ht="12.75">
      <c r="A850" s="8">
        <v>43904.91369212963</v>
      </c>
      <c r="B850" s="8" t="str">
        <f>HYPERLINK("https://twitter.com/Abankgera999","@Abankgera999")</f>
        <v>@Abankgera999</v>
      </c>
      <c r="C850" s="8" t="s">
        <v>353</v>
      </c>
      <c r="D850" s="8">
        <v>147</v>
      </c>
      <c r="E850" s="8">
        <v>0</v>
      </c>
      <c r="F850" s="8">
        <v>510</v>
      </c>
    </row>
    <row r="851" spans="1:6" ht="12.75">
      <c r="A851" s="8">
        <v>43904.913449074069</v>
      </c>
      <c r="B851" s="8" t="str">
        <f>HYPERLINK("https://twitter.com/Subkhirizkii","@Subkhirizkii")</f>
        <v>@Subkhirizkii</v>
      </c>
      <c r="C851" s="8" t="s">
        <v>494</v>
      </c>
      <c r="D851" s="8">
        <v>0</v>
      </c>
      <c r="E851" s="8">
        <v>0</v>
      </c>
      <c r="F851" s="8">
        <v>761</v>
      </c>
    </row>
    <row r="852" spans="1:6" ht="12.75">
      <c r="A852" s="8">
        <v>43904.912974537037</v>
      </c>
      <c r="B852" s="8" t="str">
        <f>HYPERLINK("https://twitter.com/ISIS_Balik_NO","@ISIS_Balik_NO")</f>
        <v>@ISIS_Balik_NO</v>
      </c>
      <c r="C852" s="8" t="s">
        <v>495</v>
      </c>
      <c r="D852" s="8">
        <v>0</v>
      </c>
      <c r="E852" s="8">
        <v>2</v>
      </c>
      <c r="F852" s="8">
        <v>6272</v>
      </c>
    </row>
    <row r="853" spans="1:6" ht="12.75">
      <c r="A853" s="8">
        <v>43904.912812499999</v>
      </c>
      <c r="B853" s="8" t="str">
        <f>HYPERLINK("https://twitter.com/dinndac","@dinndac")</f>
        <v>@dinndac</v>
      </c>
      <c r="C853" s="8" t="s">
        <v>496</v>
      </c>
      <c r="D853" s="8">
        <v>4</v>
      </c>
      <c r="E853" s="8">
        <v>0</v>
      </c>
      <c r="F853" s="8">
        <v>377</v>
      </c>
    </row>
    <row r="854" spans="1:6" ht="12.75">
      <c r="A854" s="8">
        <v>43904.912673611107</v>
      </c>
      <c r="B854" s="8" t="str">
        <f>HYPERLINK("https://twitter.com/watikasbi","@watikasbi")</f>
        <v>@watikasbi</v>
      </c>
      <c r="C854" s="8" t="s">
        <v>497</v>
      </c>
      <c r="D854" s="8">
        <v>2</v>
      </c>
      <c r="E854" s="8">
        <v>0</v>
      </c>
      <c r="F854" s="8">
        <v>527</v>
      </c>
    </row>
    <row r="855" spans="1:6" ht="12.75">
      <c r="A855" s="8">
        <v>43904.912662037037</v>
      </c>
      <c r="B855" s="8" t="str">
        <f>HYPERLINK("https://twitter.com/BujangOta","@BujangOta")</f>
        <v>@BujangOta</v>
      </c>
      <c r="C855" s="8" t="s">
        <v>228</v>
      </c>
      <c r="D855" s="8">
        <v>20</v>
      </c>
      <c r="E855" s="8">
        <v>0</v>
      </c>
      <c r="F855" s="8">
        <v>20</v>
      </c>
    </row>
    <row r="856" spans="1:6" ht="12.75">
      <c r="A856" s="8">
        <v>43904.912569444445</v>
      </c>
      <c r="B856" s="8" t="str">
        <f t="shared" ref="B856:B857" si="13">HYPERLINK("https://twitter.com/antikadrun4ever","@antikadrun4ever")</f>
        <v>@antikadrun4ever</v>
      </c>
      <c r="C856" s="8" t="s">
        <v>498</v>
      </c>
      <c r="D856" s="8">
        <v>0</v>
      </c>
      <c r="E856" s="8">
        <v>1</v>
      </c>
      <c r="F856" s="8">
        <v>1377</v>
      </c>
    </row>
    <row r="857" spans="1:6" ht="12.75">
      <c r="A857" s="8">
        <v>43904.912037037036</v>
      </c>
      <c r="B857" s="8" t="str">
        <f t="shared" si="13"/>
        <v>@antikadrun4ever</v>
      </c>
      <c r="C857" s="8" t="s">
        <v>499</v>
      </c>
      <c r="D857" s="8">
        <v>0</v>
      </c>
      <c r="E857" s="8">
        <v>1</v>
      </c>
      <c r="F857" s="8">
        <v>1377</v>
      </c>
    </row>
    <row r="858" spans="1:6" ht="12.75">
      <c r="A858" s="8">
        <v>43904.911909722221</v>
      </c>
      <c r="B858" s="8" t="str">
        <f>HYPERLINK("https://twitter.com/alucyel","@alucyel")</f>
        <v>@alucyel</v>
      </c>
      <c r="C858" s="8" t="s">
        <v>102</v>
      </c>
      <c r="D858" s="8">
        <v>22</v>
      </c>
      <c r="E858" s="8">
        <v>0</v>
      </c>
      <c r="F858" s="8">
        <v>3949</v>
      </c>
    </row>
    <row r="859" spans="1:6" ht="12.75">
      <c r="A859" s="8">
        <v>43904.911527777775</v>
      </c>
      <c r="B859" s="8" t="str">
        <f>HYPERLINK("https://twitter.com/ISIS_Balik_NO","@ISIS_Balik_NO")</f>
        <v>@ISIS_Balik_NO</v>
      </c>
      <c r="C859" s="8" t="s">
        <v>500</v>
      </c>
      <c r="D859" s="8">
        <v>0</v>
      </c>
      <c r="E859" s="8">
        <v>1</v>
      </c>
      <c r="F859" s="8">
        <v>6272</v>
      </c>
    </row>
    <row r="860" spans="1:6" ht="12.75">
      <c r="A860" s="8">
        <v>43904.911435185189</v>
      </c>
      <c r="B860" s="8" t="str">
        <f>HYPERLINK("https://twitter.com/sati_datuak","@sati_datuak")</f>
        <v>@sati_datuak</v>
      </c>
      <c r="C860" s="8" t="s">
        <v>501</v>
      </c>
      <c r="D860" s="8">
        <v>0</v>
      </c>
      <c r="E860" s="8">
        <v>0</v>
      </c>
      <c r="F860" s="8">
        <v>1380</v>
      </c>
    </row>
    <row r="861" spans="1:6" ht="12.75">
      <c r="A861" s="8">
        <v>43904.911296296297</v>
      </c>
      <c r="B861" s="8" t="str">
        <f>HYPERLINK("https://twitter.com/al_nghothot","@al_nghothot")</f>
        <v>@al_nghothot</v>
      </c>
      <c r="C861" s="8" t="s">
        <v>502</v>
      </c>
      <c r="D861" s="8">
        <v>0</v>
      </c>
      <c r="E861" s="8">
        <v>1</v>
      </c>
      <c r="F861" s="8">
        <v>1445</v>
      </c>
    </row>
    <row r="862" spans="1:6" ht="12.75">
      <c r="A862" s="8">
        <v>43904.911111111112</v>
      </c>
      <c r="B862" s="8" t="str">
        <f>HYPERLINK("https://twitter.com/adlminil","@adlminil")</f>
        <v>@adlminil</v>
      </c>
      <c r="C862" s="8" t="s">
        <v>503</v>
      </c>
      <c r="D862" s="8">
        <v>0</v>
      </c>
      <c r="E862" s="8">
        <v>0</v>
      </c>
      <c r="F862" s="8">
        <v>218</v>
      </c>
    </row>
    <row r="863" spans="1:6" ht="12.75">
      <c r="A863" s="8">
        <v>43904.910937499997</v>
      </c>
      <c r="B863" s="8" t="str">
        <f>HYPERLINK("https://twitter.com/antikadrun4ever","@antikadrun4ever")</f>
        <v>@antikadrun4ever</v>
      </c>
      <c r="C863" s="8" t="s">
        <v>504</v>
      </c>
      <c r="D863" s="8">
        <v>0</v>
      </c>
      <c r="E863" s="8">
        <v>1</v>
      </c>
      <c r="F863" s="8">
        <v>1377</v>
      </c>
    </row>
    <row r="864" spans="1:6" ht="12.75">
      <c r="A864" s="8">
        <v>43904.910844907412</v>
      </c>
      <c r="B864" s="8" t="str">
        <f>HYPERLINK("https://twitter.com/breineran","@breineran")</f>
        <v>@breineran</v>
      </c>
      <c r="C864" s="8" t="s">
        <v>107</v>
      </c>
      <c r="D864" s="8">
        <v>37</v>
      </c>
      <c r="E864" s="8">
        <v>0</v>
      </c>
      <c r="F864" s="8">
        <v>134</v>
      </c>
    </row>
    <row r="865" spans="1:6" ht="12.75">
      <c r="A865" s="8">
        <v>43904.910810185189</v>
      </c>
      <c r="B865" s="8" t="str">
        <f>HYPERLINK("https://twitter.com/ISIS_Balik_NO","@ISIS_Balik_NO")</f>
        <v>@ISIS_Balik_NO</v>
      </c>
      <c r="C865" s="8" t="s">
        <v>505</v>
      </c>
      <c r="D865" s="8">
        <v>0</v>
      </c>
      <c r="E865" s="8">
        <v>2</v>
      </c>
      <c r="F865" s="8">
        <v>6272</v>
      </c>
    </row>
    <row r="866" spans="1:6" ht="12.75">
      <c r="A866" s="8">
        <v>43904.910613425927</v>
      </c>
      <c r="B866" s="8" t="str">
        <f>HYPERLINK("https://twitter.com/raprafles","@raprafles")</f>
        <v>@raprafles</v>
      </c>
      <c r="C866" s="8" t="s">
        <v>506</v>
      </c>
      <c r="D866" s="8">
        <v>0</v>
      </c>
      <c r="E866" s="8">
        <v>0</v>
      </c>
      <c r="F866" s="8">
        <v>1</v>
      </c>
    </row>
    <row r="867" spans="1:6" ht="12.75">
      <c r="A867" s="8">
        <v>43904.910439814819</v>
      </c>
      <c r="B867" s="8" t="str">
        <f>HYPERLINK("https://twitter.com/yosu_ind","@yosu_ind")</f>
        <v>@yosu_ind</v>
      </c>
      <c r="C867" s="8" t="s">
        <v>507</v>
      </c>
      <c r="D867" s="8">
        <v>0</v>
      </c>
      <c r="E867" s="8">
        <v>0</v>
      </c>
      <c r="F867" s="8">
        <v>29</v>
      </c>
    </row>
    <row r="868" spans="1:6" ht="12.75">
      <c r="A868" s="8">
        <v>43904.91033564815</v>
      </c>
      <c r="B868" s="8" t="str">
        <f>HYPERLINK("https://twitter.com/Mu7IRiN_070480","@Mu7IRiN_070480")</f>
        <v>@Mu7IRiN_070480</v>
      </c>
      <c r="C868" s="8" t="s">
        <v>228</v>
      </c>
      <c r="D868" s="8">
        <v>20</v>
      </c>
      <c r="E868" s="8">
        <v>0</v>
      </c>
      <c r="F868" s="8">
        <v>645</v>
      </c>
    </row>
    <row r="869" spans="1:6" ht="12.75">
      <c r="A869" s="8">
        <v>43904.909907407404</v>
      </c>
      <c r="B869" s="8" t="str">
        <f>HYPERLINK("https://twitter.com/Alamankk_","@Alamankk_")</f>
        <v>@Alamankk_</v>
      </c>
      <c r="C869" s="8" t="s">
        <v>508</v>
      </c>
      <c r="D869" s="8">
        <v>0</v>
      </c>
      <c r="E869" s="8">
        <v>0</v>
      </c>
      <c r="F869" s="8">
        <v>114</v>
      </c>
    </row>
    <row r="870" spans="1:6" ht="12.75">
      <c r="A870" s="8">
        <v>43904.909629629634</v>
      </c>
      <c r="B870" s="8" t="str">
        <f>HYPERLINK("https://twitter.com/antikadrun4ever","@antikadrun4ever")</f>
        <v>@antikadrun4ever</v>
      </c>
      <c r="C870" s="8" t="s">
        <v>509</v>
      </c>
      <c r="D870" s="8">
        <v>0</v>
      </c>
      <c r="E870" s="8">
        <v>1</v>
      </c>
      <c r="F870" s="8">
        <v>1377</v>
      </c>
    </row>
    <row r="871" spans="1:6" ht="12.75">
      <c r="A871" s="8">
        <v>43904.909560185188</v>
      </c>
      <c r="B871" s="8" t="str">
        <f>HYPERLINK("https://twitter.com/flaaneuse","@flaaneuse")</f>
        <v>@flaaneuse</v>
      </c>
      <c r="C871" s="8" t="s">
        <v>510</v>
      </c>
      <c r="D871" s="8">
        <v>0</v>
      </c>
      <c r="E871" s="8">
        <v>5</v>
      </c>
      <c r="F871" s="8">
        <v>829</v>
      </c>
    </row>
    <row r="872" spans="1:6" ht="12.75">
      <c r="A872" s="8">
        <v>43904.909189814818</v>
      </c>
      <c r="B872" s="8" t="str">
        <f>HYPERLINK("https://twitter.com/ratenassi","@ratenassi")</f>
        <v>@ratenassi</v>
      </c>
      <c r="C872" s="8" t="s">
        <v>511</v>
      </c>
      <c r="D872" s="8">
        <v>0</v>
      </c>
      <c r="E872" s="8">
        <v>0</v>
      </c>
      <c r="F872" s="8">
        <v>228</v>
      </c>
    </row>
    <row r="873" spans="1:6" ht="12.75">
      <c r="A873" s="8">
        <v>43904.908877314811</v>
      </c>
      <c r="B873" s="8" t="str">
        <f>HYPERLINK("https://twitter.com/antikadrun4ever","@antikadrun4ever")</f>
        <v>@antikadrun4ever</v>
      </c>
      <c r="C873" s="8" t="s">
        <v>512</v>
      </c>
      <c r="D873" s="8">
        <v>0</v>
      </c>
      <c r="E873" s="8">
        <v>1</v>
      </c>
      <c r="F873" s="8">
        <v>1377</v>
      </c>
    </row>
    <row r="874" spans="1:6" ht="12.75">
      <c r="A874" s="8">
        <v>43904.908865740741</v>
      </c>
      <c r="B874" s="8" t="str">
        <f>HYPERLINK("https://twitter.com/SigitSadiono","@SigitSadiono")</f>
        <v>@SigitSadiono</v>
      </c>
      <c r="C874" s="8" t="s">
        <v>203</v>
      </c>
      <c r="D874" s="8">
        <v>47</v>
      </c>
      <c r="E874" s="8">
        <v>0</v>
      </c>
      <c r="F874" s="8">
        <v>94</v>
      </c>
    </row>
    <row r="875" spans="1:6" ht="12.75">
      <c r="A875" s="8">
        <v>43904.908506944441</v>
      </c>
      <c r="B875" s="8" t="str">
        <f>HYPERLINK("https://twitter.com/wni_jmsri","@wni_jmsri")</f>
        <v>@wni_jmsri</v>
      </c>
      <c r="C875" s="8" t="s">
        <v>513</v>
      </c>
      <c r="D875" s="8">
        <v>6982</v>
      </c>
      <c r="E875" s="8">
        <v>0</v>
      </c>
      <c r="F875" s="8">
        <v>198</v>
      </c>
    </row>
    <row r="876" spans="1:6" ht="12.75">
      <c r="A876" s="8">
        <v>43904.908449074079</v>
      </c>
      <c r="B876" s="8" t="str">
        <f>HYPERLINK("https://twitter.com/ISIS_Balik_NO","@ISIS_Balik_NO")</f>
        <v>@ISIS_Balik_NO</v>
      </c>
      <c r="C876" s="8" t="s">
        <v>514</v>
      </c>
      <c r="D876" s="8">
        <v>0</v>
      </c>
      <c r="E876" s="8">
        <v>1</v>
      </c>
      <c r="F876" s="8">
        <v>6272</v>
      </c>
    </row>
    <row r="877" spans="1:6" ht="12.75">
      <c r="A877" s="8">
        <v>43904.908321759256</v>
      </c>
      <c r="B877" s="8" t="str">
        <f>HYPERLINK("https://twitter.com/ratenassi","@ratenassi")</f>
        <v>@ratenassi</v>
      </c>
      <c r="C877" s="8" t="s">
        <v>515</v>
      </c>
      <c r="D877" s="8">
        <v>3</v>
      </c>
      <c r="E877" s="8">
        <v>2</v>
      </c>
      <c r="F877" s="8">
        <v>228</v>
      </c>
    </row>
    <row r="878" spans="1:6" ht="12.75">
      <c r="A878" s="8">
        <v>43904.90662037037</v>
      </c>
      <c r="B878" s="8" t="str">
        <f>HYPERLINK("https://twitter.com/ISIS_Balik_NO","@ISIS_Balik_NO")</f>
        <v>@ISIS_Balik_NO</v>
      </c>
      <c r="C878" s="8" t="s">
        <v>516</v>
      </c>
      <c r="D878" s="8">
        <v>0</v>
      </c>
      <c r="E878" s="8">
        <v>0</v>
      </c>
      <c r="F878" s="8">
        <v>6272</v>
      </c>
    </row>
    <row r="879" spans="1:6" ht="12.75">
      <c r="A879" s="8">
        <v>43904.906435185185</v>
      </c>
      <c r="B879" s="8" t="str">
        <f>HYPERLINK("https://twitter.com/antikadrun4ever","@antikadrun4ever")</f>
        <v>@antikadrun4ever</v>
      </c>
      <c r="C879" s="8" t="s">
        <v>517</v>
      </c>
      <c r="D879" s="8">
        <v>0</v>
      </c>
      <c r="E879" s="8">
        <v>1</v>
      </c>
      <c r="F879" s="8">
        <v>1377</v>
      </c>
    </row>
    <row r="880" spans="1:6" ht="12.75">
      <c r="A880" s="8">
        <v>43904.90525462963</v>
      </c>
      <c r="B880" s="8" t="str">
        <f>HYPERLINK("https://twitter.com/angie_vountan","@angie_vountan")</f>
        <v>@angie_vountan</v>
      </c>
      <c r="C880" s="8" t="s">
        <v>14</v>
      </c>
      <c r="D880" s="8">
        <v>9</v>
      </c>
      <c r="E880" s="8">
        <v>0</v>
      </c>
      <c r="F880" s="8">
        <v>115</v>
      </c>
    </row>
    <row r="881" spans="1:6" ht="12.75">
      <c r="A881" s="8">
        <v>43904.905034722222</v>
      </c>
      <c r="B881" s="8" t="str">
        <f>HYPERLINK("https://twitter.com/jernihta_gulo","@jernihta_gulo")</f>
        <v>@jernihta_gulo</v>
      </c>
      <c r="C881" s="8" t="s">
        <v>102</v>
      </c>
      <c r="D881" s="8">
        <v>22</v>
      </c>
      <c r="E881" s="8">
        <v>0</v>
      </c>
      <c r="F881" s="8">
        <v>60</v>
      </c>
    </row>
    <row r="882" spans="1:6" ht="12.75">
      <c r="A882" s="8">
        <v>43904.904976851853</v>
      </c>
      <c r="B882" s="8" t="str">
        <f>HYPERLINK("https://twitter.com/novellamusya","@novellamusya")</f>
        <v>@novellamusya</v>
      </c>
      <c r="C882" s="8" t="s">
        <v>63</v>
      </c>
      <c r="D882" s="8">
        <v>63</v>
      </c>
      <c r="E882" s="8">
        <v>0</v>
      </c>
      <c r="F882" s="8">
        <v>231</v>
      </c>
    </row>
    <row r="883" spans="1:6" ht="12.75">
      <c r="A883" s="8">
        <v>43904.904861111107</v>
      </c>
      <c r="B883" s="8" t="str">
        <f>HYPERLINK("https://twitter.com/IndonesiaInWhk","@IndonesiaInWhk")</f>
        <v>@IndonesiaInWhk</v>
      </c>
      <c r="C883" s="8" t="s">
        <v>518</v>
      </c>
      <c r="D883" s="8">
        <v>0</v>
      </c>
      <c r="E883" s="8">
        <v>0</v>
      </c>
      <c r="F883" s="8">
        <v>569</v>
      </c>
    </row>
    <row r="884" spans="1:6" ht="12.75">
      <c r="A884" s="8">
        <v>43904.904803240745</v>
      </c>
      <c r="B884" s="8" t="str">
        <f>HYPERLINK("https://twitter.com/ISIS_Balik_NO","@ISIS_Balik_NO")</f>
        <v>@ISIS_Balik_NO</v>
      </c>
      <c r="C884" s="8" t="s">
        <v>519</v>
      </c>
      <c r="D884" s="8">
        <v>0</v>
      </c>
      <c r="E884" s="8">
        <v>1</v>
      </c>
      <c r="F884" s="8">
        <v>6272</v>
      </c>
    </row>
    <row r="885" spans="1:6" ht="12.75">
      <c r="A885" s="8">
        <v>43904.904756944445</v>
      </c>
      <c r="B885" s="8" t="str">
        <f>HYPERLINK("https://twitter.com/aulia2199","@aulia2199")</f>
        <v>@aulia2199</v>
      </c>
      <c r="C885" s="8" t="s">
        <v>520</v>
      </c>
      <c r="D885" s="8">
        <v>10</v>
      </c>
      <c r="E885" s="8">
        <v>0</v>
      </c>
      <c r="F885" s="8">
        <v>125</v>
      </c>
    </row>
    <row r="886" spans="1:6" ht="12.75">
      <c r="A886" s="8">
        <v>43904.904652777783</v>
      </c>
      <c r="B886" s="8" t="str">
        <f>HYPERLINK("https://twitter.com/UrubingDilah","@UrubingDilah")</f>
        <v>@UrubingDilah</v>
      </c>
      <c r="C886" s="8" t="s">
        <v>19</v>
      </c>
      <c r="D886" s="8">
        <v>20</v>
      </c>
      <c r="E886" s="8">
        <v>0</v>
      </c>
      <c r="F886" s="8">
        <v>1380</v>
      </c>
    </row>
    <row r="887" spans="1:6" ht="12.75">
      <c r="A887" s="8">
        <v>43904.90461805556</v>
      </c>
      <c r="B887" s="8" t="str">
        <f>HYPERLINK("https://twitter.com/kbenaranHakiki","@kbenaranHakiki")</f>
        <v>@kbenaranHakiki</v>
      </c>
      <c r="C887" s="8" t="s">
        <v>521</v>
      </c>
      <c r="D887" s="8">
        <v>0</v>
      </c>
      <c r="E887" s="8">
        <v>0</v>
      </c>
      <c r="F887" s="8">
        <v>1425</v>
      </c>
    </row>
    <row r="888" spans="1:6" ht="12.75">
      <c r="A888" s="8">
        <v>43904.904270833329</v>
      </c>
      <c r="B888" s="8" t="str">
        <f>HYPERLINK("https://twitter.com/antikadrun4ever","@antikadrun4ever")</f>
        <v>@antikadrun4ever</v>
      </c>
      <c r="C888" s="8" t="s">
        <v>522</v>
      </c>
      <c r="D888" s="8">
        <v>0</v>
      </c>
      <c r="E888" s="8">
        <v>1</v>
      </c>
      <c r="F888" s="8">
        <v>1377</v>
      </c>
    </row>
    <row r="889" spans="1:6" ht="12.75">
      <c r="A889" s="8">
        <v>43904.904097222221</v>
      </c>
      <c r="B889" s="8" t="str">
        <f>HYPERLINK("https://twitter.com/ogielord","@ogielord")</f>
        <v>@ogielord</v>
      </c>
      <c r="C889" s="8" t="s">
        <v>272</v>
      </c>
      <c r="D889" s="8">
        <v>31</v>
      </c>
      <c r="E889" s="8">
        <v>0</v>
      </c>
      <c r="F889" s="8">
        <v>1404</v>
      </c>
    </row>
    <row r="890" spans="1:6" ht="12.75">
      <c r="A890" s="8">
        <v>43904.903819444444</v>
      </c>
      <c r="B890" s="8" t="str">
        <f>HYPERLINK("https://twitter.com/RiyadiAtmodjo","@RiyadiAtmodjo")</f>
        <v>@RiyadiAtmodjo</v>
      </c>
      <c r="C890" s="8" t="s">
        <v>272</v>
      </c>
      <c r="D890" s="8">
        <v>31</v>
      </c>
      <c r="E890" s="8">
        <v>0</v>
      </c>
      <c r="F890" s="8">
        <v>1107</v>
      </c>
    </row>
    <row r="891" spans="1:6" ht="12.75">
      <c r="A891" s="8">
        <v>43904.903738425928</v>
      </c>
      <c r="B891" s="8" t="str">
        <f>HYPERLINK("https://twitter.com/supri_prp","@supri_prp")</f>
        <v>@supri_prp</v>
      </c>
      <c r="C891" s="8" t="s">
        <v>523</v>
      </c>
      <c r="D891" s="8">
        <v>0</v>
      </c>
      <c r="E891" s="8">
        <v>1</v>
      </c>
      <c r="F891" s="8">
        <v>477</v>
      </c>
    </row>
    <row r="892" spans="1:6" ht="12.75">
      <c r="A892" s="8">
        <v>43904.903368055559</v>
      </c>
      <c r="B892" s="8" t="str">
        <f>HYPERLINK("https://twitter.com/ASM_swag","@ASM_swag")</f>
        <v>@ASM_swag</v>
      </c>
      <c r="C892" s="8" t="s">
        <v>524</v>
      </c>
      <c r="D892" s="8">
        <v>4</v>
      </c>
      <c r="E892" s="8">
        <v>0</v>
      </c>
      <c r="F892" s="8">
        <v>104</v>
      </c>
    </row>
    <row r="893" spans="1:6" ht="12.75">
      <c r="A893" s="8">
        <v>43904.902754629627</v>
      </c>
      <c r="B893" s="8" t="str">
        <f>HYPERLINK("https://twitter.com/LeoBudiSuryanto","@LeoBudiSuryanto")</f>
        <v>@LeoBudiSuryanto</v>
      </c>
      <c r="C893" s="8" t="s">
        <v>525</v>
      </c>
      <c r="D893" s="8">
        <v>1</v>
      </c>
      <c r="E893" s="8">
        <v>0</v>
      </c>
      <c r="F893" s="8">
        <v>2086</v>
      </c>
    </row>
    <row r="894" spans="1:6" ht="12.75">
      <c r="A894" s="8">
        <v>43904.902743055558</v>
      </c>
      <c r="B894" s="8" t="str">
        <f>HYPERLINK("https://twitter.com/ISIS_Balik_NO","@ISIS_Balik_NO")</f>
        <v>@ISIS_Balik_NO</v>
      </c>
      <c r="C894" s="8" t="s">
        <v>526</v>
      </c>
      <c r="D894" s="8">
        <v>0</v>
      </c>
      <c r="E894" s="8">
        <v>0</v>
      </c>
      <c r="F894" s="8">
        <v>6272</v>
      </c>
    </row>
    <row r="895" spans="1:6" ht="12.75">
      <c r="A895" s="8">
        <v>43904.902662037042</v>
      </c>
      <c r="B895" s="8" t="str">
        <f>HYPERLINK("https://twitter.com/antikadrun4ever","@antikadrun4ever")</f>
        <v>@antikadrun4ever</v>
      </c>
      <c r="C895" s="8" t="s">
        <v>527</v>
      </c>
      <c r="D895" s="8">
        <v>0</v>
      </c>
      <c r="E895" s="8">
        <v>0</v>
      </c>
      <c r="F895" s="8">
        <v>1377</v>
      </c>
    </row>
    <row r="896" spans="1:6" ht="12.75">
      <c r="A896" s="8">
        <v>43904.902372685188</v>
      </c>
      <c r="B896" s="8" t="str">
        <f>HYPERLINK("https://twitter.com/ashmal_idrus","@ashmal_idrus")</f>
        <v>@ashmal_idrus</v>
      </c>
      <c r="C896" s="8" t="s">
        <v>528</v>
      </c>
      <c r="D896" s="8">
        <v>0</v>
      </c>
      <c r="E896" s="8">
        <v>1</v>
      </c>
      <c r="F896" s="8">
        <v>703</v>
      </c>
    </row>
    <row r="897" spans="1:6" ht="12.75">
      <c r="A897" s="8">
        <v>43904.902361111112</v>
      </c>
      <c r="B897" s="8" t="str">
        <f>HYPERLINK("https://twitter.com/ISIS_Balik_NO","@ISIS_Balik_NO")</f>
        <v>@ISIS_Balik_NO</v>
      </c>
      <c r="C897" s="8" t="s">
        <v>529</v>
      </c>
      <c r="D897" s="8">
        <v>0</v>
      </c>
      <c r="E897" s="8">
        <v>0</v>
      </c>
      <c r="F897" s="8">
        <v>6272</v>
      </c>
    </row>
    <row r="898" spans="1:6" ht="12.75">
      <c r="A898" s="8">
        <v>43904.902037037042</v>
      </c>
      <c r="B898" s="8" t="str">
        <f>HYPERLINK("https://twitter.com/countbela","@countbela")</f>
        <v>@countbela</v>
      </c>
      <c r="C898" s="8" t="s">
        <v>530</v>
      </c>
      <c r="D898" s="8">
        <v>1</v>
      </c>
      <c r="E898" s="8">
        <v>0</v>
      </c>
      <c r="F898" s="8">
        <v>251</v>
      </c>
    </row>
    <row r="899" spans="1:6" ht="12.75">
      <c r="A899" s="8">
        <v>43904.901759259257</v>
      </c>
      <c r="B899" s="8" t="str">
        <f>HYPERLINK("https://twitter.com/_wni_","@_wni_")</f>
        <v>@_wni_</v>
      </c>
      <c r="C899" s="8" t="s">
        <v>531</v>
      </c>
      <c r="D899" s="8">
        <v>0</v>
      </c>
      <c r="E899" s="8">
        <v>0</v>
      </c>
      <c r="F899" s="8">
        <v>21</v>
      </c>
    </row>
    <row r="900" spans="1:6" ht="12.75">
      <c r="A900" s="8">
        <v>43904.901643518519</v>
      </c>
      <c r="B900" s="8" t="str">
        <f>HYPERLINK("https://twitter.com/antikadrun4ever","@antikadrun4ever")</f>
        <v>@antikadrun4ever</v>
      </c>
      <c r="C900" s="8" t="s">
        <v>532</v>
      </c>
      <c r="D900" s="8">
        <v>0</v>
      </c>
      <c r="E900" s="8">
        <v>0</v>
      </c>
      <c r="F900" s="8">
        <v>1377</v>
      </c>
    </row>
    <row r="901" spans="1:6" ht="12.75">
      <c r="A901" s="8">
        <v>43904.90148148148</v>
      </c>
      <c r="B901" s="8" t="str">
        <f>HYPERLINK("https://twitter.com/ISIS_Balik_NO","@ISIS_Balik_NO")</f>
        <v>@ISIS_Balik_NO</v>
      </c>
      <c r="C901" s="8" t="s">
        <v>533</v>
      </c>
      <c r="D901" s="8">
        <v>0</v>
      </c>
      <c r="E901" s="8">
        <v>0</v>
      </c>
      <c r="F901" s="8">
        <v>6272</v>
      </c>
    </row>
    <row r="902" spans="1:6" ht="12.75">
      <c r="A902" s="8">
        <v>43904.900312500002</v>
      </c>
      <c r="B902" s="8" t="str">
        <f>HYPERLINK("https://twitter.com/antikadrun4ever","@antikadrun4ever")</f>
        <v>@antikadrun4ever</v>
      </c>
      <c r="C902" s="8" t="s">
        <v>534</v>
      </c>
      <c r="D902" s="8">
        <v>0</v>
      </c>
      <c r="E902" s="8">
        <v>1</v>
      </c>
      <c r="F902" s="8">
        <v>1377</v>
      </c>
    </row>
    <row r="903" spans="1:6" ht="12.75">
      <c r="A903" s="8">
        <v>43904.881736111114</v>
      </c>
      <c r="B903" s="8" t="str">
        <f>HYPERLINK("https://twitter.com/AnikXelfi","@AnikXelfi")</f>
        <v>@AnikXelfi</v>
      </c>
      <c r="C903" s="8" t="s">
        <v>272</v>
      </c>
      <c r="D903" s="8">
        <v>25</v>
      </c>
      <c r="E903" s="8">
        <v>0</v>
      </c>
      <c r="F903" s="8">
        <v>255</v>
      </c>
    </row>
    <row r="904" spans="1:6" ht="12.75">
      <c r="A904" s="8">
        <v>43904.881724537037</v>
      </c>
      <c r="B904" s="8" t="str">
        <f>HYPERLINK("https://twitter.com/ISIS_Balik_NO","@ISIS_Balik_NO")</f>
        <v>@ISIS_Balik_NO</v>
      </c>
      <c r="C904" s="8" t="s">
        <v>535</v>
      </c>
      <c r="D904" s="8">
        <v>0</v>
      </c>
      <c r="E904" s="8">
        <v>0</v>
      </c>
      <c r="F904" s="8">
        <v>6281</v>
      </c>
    </row>
    <row r="905" spans="1:6" ht="12.75">
      <c r="A905" s="8">
        <v>43904.881608796291</v>
      </c>
      <c r="B905" s="8" t="str">
        <f>HYPERLINK("https://twitter.com/moko_sd","@moko_sd")</f>
        <v>@moko_sd</v>
      </c>
      <c r="C905" s="8" t="s">
        <v>536</v>
      </c>
      <c r="D905" s="8">
        <v>0</v>
      </c>
      <c r="E905" s="8">
        <v>0</v>
      </c>
      <c r="F905" s="8">
        <v>1142</v>
      </c>
    </row>
    <row r="906" spans="1:6" ht="12.75">
      <c r="A906" s="8">
        <v>43904.881354166668</v>
      </c>
      <c r="B906" s="8" t="str">
        <f>HYPERLINK("https://twitter.com/_ririe13","@_ririe13")</f>
        <v>@_ririe13</v>
      </c>
      <c r="C906" s="8" t="s">
        <v>520</v>
      </c>
      <c r="D906" s="8">
        <v>6</v>
      </c>
      <c r="E906" s="8">
        <v>0</v>
      </c>
      <c r="F906" s="8">
        <v>444</v>
      </c>
    </row>
    <row r="907" spans="1:6" ht="12.75">
      <c r="A907" s="8">
        <v>43904.881354166668</v>
      </c>
      <c r="B907" s="8" t="str">
        <f>HYPERLINK("https://twitter.com/moko_sd","@moko_sd")</f>
        <v>@moko_sd</v>
      </c>
      <c r="C907" s="8" t="s">
        <v>537</v>
      </c>
      <c r="D907" s="8">
        <v>0</v>
      </c>
      <c r="E907" s="8">
        <v>0</v>
      </c>
      <c r="F907" s="8">
        <v>1142</v>
      </c>
    </row>
    <row r="908" spans="1:6" ht="12.75">
      <c r="A908" s="8">
        <v>43904.881168981483</v>
      </c>
      <c r="B908" s="8" t="str">
        <f>HYPERLINK("https://twitter.com/azayakanaria","@azayakanaria")</f>
        <v>@azayakanaria</v>
      </c>
      <c r="C908" s="8" t="s">
        <v>538</v>
      </c>
      <c r="D908" s="8">
        <v>0</v>
      </c>
      <c r="E908" s="8">
        <v>0</v>
      </c>
      <c r="F908" s="8">
        <v>268</v>
      </c>
    </row>
    <row r="909" spans="1:6" ht="12.75">
      <c r="A909" s="8">
        <v>43904.88071759259</v>
      </c>
      <c r="B909" s="8" t="str">
        <f>HYPERLINK("https://twitter.com/marcellinaom","@marcellinaom")</f>
        <v>@marcellinaom</v>
      </c>
      <c r="C909" s="8" t="s">
        <v>387</v>
      </c>
      <c r="D909" s="8">
        <v>7</v>
      </c>
      <c r="E909" s="8">
        <v>0</v>
      </c>
      <c r="F909" s="8">
        <v>755</v>
      </c>
    </row>
    <row r="910" spans="1:6" ht="12.75">
      <c r="A910" s="8">
        <v>43904.880659722221</v>
      </c>
      <c r="B910" s="8" t="str">
        <f>HYPERLINK("https://twitter.com/blibli_blue","@blibli_blue")</f>
        <v>@blibli_blue</v>
      </c>
      <c r="C910" s="8" t="s">
        <v>539</v>
      </c>
      <c r="D910" s="8">
        <v>0</v>
      </c>
      <c r="E910" s="8">
        <v>0</v>
      </c>
      <c r="F910" s="8">
        <v>6</v>
      </c>
    </row>
    <row r="911" spans="1:6" ht="12.75">
      <c r="A911" s="8">
        <v>43904.880520833336</v>
      </c>
      <c r="B911" s="8" t="str">
        <f>HYPERLINK("https://twitter.com/ISIS_Balik_NO","@ISIS_Balik_NO")</f>
        <v>@ISIS_Balik_NO</v>
      </c>
      <c r="C911" s="8" t="s">
        <v>540</v>
      </c>
      <c r="D911" s="8">
        <v>0</v>
      </c>
      <c r="E911" s="8">
        <v>0</v>
      </c>
      <c r="F911" s="8">
        <v>6281</v>
      </c>
    </row>
    <row r="912" spans="1:6" ht="12.75">
      <c r="A912" s="8">
        <v>43904.879884259259</v>
      </c>
      <c r="B912" s="8" t="str">
        <f>HYPERLINK("https://twitter.com/pattiradjawane_","@pattiradjawane_")</f>
        <v>@pattiradjawane_</v>
      </c>
      <c r="C912" s="8" t="s">
        <v>541</v>
      </c>
      <c r="D912" s="8">
        <v>0</v>
      </c>
      <c r="E912" s="8">
        <v>0</v>
      </c>
      <c r="F912" s="8">
        <v>223</v>
      </c>
    </row>
    <row r="913" spans="1:6" ht="12.75">
      <c r="A913" s="8">
        <v>43904.879803240736</v>
      </c>
      <c r="B913" s="8" t="str">
        <f>HYPERLINK("https://twitter.com/mdwidi14","@mdwidi14")</f>
        <v>@mdwidi14</v>
      </c>
      <c r="C913" s="8" t="s">
        <v>542</v>
      </c>
      <c r="D913" s="8">
        <v>0</v>
      </c>
      <c r="E913" s="8">
        <v>0</v>
      </c>
      <c r="F913" s="8">
        <v>6</v>
      </c>
    </row>
    <row r="914" spans="1:6" ht="12.75">
      <c r="A914" s="8">
        <v>43904.879583333328</v>
      </c>
      <c r="B914" s="8" t="str">
        <f>HYPERLINK("https://twitter.com/TuguMuda_Jersey","@TuguMuda_Jersey")</f>
        <v>@TuguMuda_Jersey</v>
      </c>
      <c r="C914" s="8" t="s">
        <v>520</v>
      </c>
      <c r="D914" s="8">
        <v>6</v>
      </c>
      <c r="E914" s="8">
        <v>0</v>
      </c>
      <c r="F914" s="8">
        <v>1897</v>
      </c>
    </row>
    <row r="915" spans="1:6" ht="12.75">
      <c r="A915" s="8">
        <v>43904.879386574074</v>
      </c>
      <c r="B915" s="8" t="str">
        <f>HYPERLINK("https://twitter.com/Pedang_Terhunus","@Pedang_Terhunus")</f>
        <v>@Pedang_Terhunus</v>
      </c>
      <c r="C915" s="8" t="s">
        <v>282</v>
      </c>
      <c r="D915" s="8">
        <v>36</v>
      </c>
      <c r="E915" s="8">
        <v>0</v>
      </c>
      <c r="F915" s="8">
        <v>225</v>
      </c>
    </row>
    <row r="916" spans="1:6" ht="12.75">
      <c r="A916" s="8">
        <v>43904.879375000004</v>
      </c>
      <c r="B916" s="8" t="str">
        <f>HYPERLINK("https://twitter.com/_____Tobat","@_____Tobat")</f>
        <v>@_____Tobat</v>
      </c>
      <c r="C916" s="8" t="s">
        <v>272</v>
      </c>
      <c r="D916" s="8">
        <v>25</v>
      </c>
      <c r="E916" s="8">
        <v>0</v>
      </c>
      <c r="F916" s="8">
        <v>2455</v>
      </c>
    </row>
    <row r="917" spans="1:6" ht="12.75">
      <c r="A917" s="8">
        <v>43904.879212962958</v>
      </c>
      <c r="B917" s="8" t="str">
        <f>HYPERLINK("https://twitter.com/sugengwahyudi03","@sugengwahyudi03")</f>
        <v>@sugengwahyudi03</v>
      </c>
      <c r="C917" s="8" t="s">
        <v>265</v>
      </c>
      <c r="D917" s="8">
        <v>1</v>
      </c>
      <c r="E917" s="8">
        <v>0</v>
      </c>
      <c r="F917" s="8">
        <v>654</v>
      </c>
    </row>
    <row r="918" spans="1:6" ht="12.75">
      <c r="A918" s="8">
        <v>43904.879155092596</v>
      </c>
      <c r="B918" s="8" t="str">
        <f>HYPERLINK("https://twitter.com/frikarashi","@frikarashi")</f>
        <v>@frikarashi</v>
      </c>
      <c r="C918" s="8" t="s">
        <v>543</v>
      </c>
      <c r="D918" s="8">
        <v>1</v>
      </c>
      <c r="E918" s="8">
        <v>0</v>
      </c>
      <c r="F918" s="8">
        <v>219</v>
      </c>
    </row>
    <row r="919" spans="1:6" ht="12.75">
      <c r="A919" s="8">
        <v>43904.879050925927</v>
      </c>
      <c r="B919" s="8" t="str">
        <f>HYPERLINK("https://twitter.com/SJatnika95","@SJatnika95")</f>
        <v>@SJatnika95</v>
      </c>
      <c r="C919" s="8" t="s">
        <v>544</v>
      </c>
      <c r="D919" s="8">
        <v>0</v>
      </c>
      <c r="E919" s="8">
        <v>0</v>
      </c>
      <c r="F919" s="8">
        <v>9</v>
      </c>
    </row>
    <row r="920" spans="1:6" ht="12.75">
      <c r="A920" s="8">
        <v>43904.87899305555</v>
      </c>
      <c r="B920" s="8" t="str">
        <f>HYPERLINK("https://twitter.com/aisyaranni","@aisyaranni")</f>
        <v>@aisyaranni</v>
      </c>
      <c r="C920" s="8" t="s">
        <v>545</v>
      </c>
      <c r="D920" s="8">
        <v>0</v>
      </c>
      <c r="E920" s="8">
        <v>1</v>
      </c>
      <c r="F920" s="8">
        <v>3241</v>
      </c>
    </row>
    <row r="921" spans="1:6" ht="12.75">
      <c r="A921" s="8">
        <v>43904.878923611112</v>
      </c>
      <c r="B921" s="8" t="str">
        <f>HYPERLINK("https://twitter.com/IndonesiainCOL","@IndonesiainCOL")</f>
        <v>@IndonesiainCOL</v>
      </c>
      <c r="C921" s="8" t="s">
        <v>546</v>
      </c>
      <c r="D921" s="8">
        <v>0</v>
      </c>
      <c r="E921" s="8">
        <v>0</v>
      </c>
      <c r="F921" s="8">
        <v>582</v>
      </c>
    </row>
    <row r="922" spans="1:6" ht="12.75">
      <c r="A922" s="8">
        <v>43904.87881944445</v>
      </c>
      <c r="B922" s="8" t="str">
        <f>HYPERLINK("https://twitter.com/ISIS_Balik_NO","@ISIS_Balik_NO")</f>
        <v>@ISIS_Balik_NO</v>
      </c>
      <c r="C922" s="8" t="s">
        <v>547</v>
      </c>
      <c r="D922" s="8">
        <v>0</v>
      </c>
      <c r="E922" s="8">
        <v>0</v>
      </c>
      <c r="F922" s="8">
        <v>6281</v>
      </c>
    </row>
    <row r="923" spans="1:6" ht="12.75">
      <c r="A923" s="8">
        <v>43904.878240740742</v>
      </c>
      <c r="B923" s="8" t="str">
        <f>HYPERLINK("https://twitter.com/IsoepardiJ","@IsoepardiJ")</f>
        <v>@IsoepardiJ</v>
      </c>
      <c r="C923" s="8" t="s">
        <v>548</v>
      </c>
      <c r="D923" s="8">
        <v>0</v>
      </c>
      <c r="E923" s="8">
        <v>0</v>
      </c>
      <c r="F923" s="8">
        <v>317</v>
      </c>
    </row>
    <row r="924" spans="1:6" ht="12.75">
      <c r="A924" s="8">
        <v>43904.878067129626</v>
      </c>
      <c r="B924" s="8" t="str">
        <f>HYPERLINK("https://twitter.com/sopian333351","@sopian333351")</f>
        <v>@sopian333351</v>
      </c>
      <c r="C924" s="8" t="s">
        <v>520</v>
      </c>
      <c r="D924" s="8">
        <v>6</v>
      </c>
      <c r="E924" s="8">
        <v>0</v>
      </c>
      <c r="F924" s="8">
        <v>1145</v>
      </c>
    </row>
    <row r="925" spans="1:6" ht="12.75">
      <c r="A925" s="8">
        <v>43904.877824074079</v>
      </c>
      <c r="B925" s="8" t="str">
        <f>HYPERLINK("https://twitter.com/01idham","@01idham")</f>
        <v>@01idham</v>
      </c>
      <c r="C925" s="8" t="s">
        <v>549</v>
      </c>
      <c r="D925" s="8">
        <v>0</v>
      </c>
      <c r="E925" s="8">
        <v>0</v>
      </c>
      <c r="F925" s="8">
        <v>612</v>
      </c>
    </row>
    <row r="926" spans="1:6" ht="12.75">
      <c r="A926" s="8">
        <v>43904.877824074079</v>
      </c>
      <c r="B926" s="8" t="str">
        <f>HYPERLINK("https://twitter.com/basrakh","@basrakh")</f>
        <v>@basrakh</v>
      </c>
      <c r="C926" s="8" t="s">
        <v>550</v>
      </c>
      <c r="D926" s="8">
        <v>0</v>
      </c>
      <c r="E926" s="8">
        <v>0</v>
      </c>
      <c r="F926" s="8">
        <v>264</v>
      </c>
    </row>
    <row r="927" spans="1:6" ht="12.75">
      <c r="A927" s="8">
        <v>43904.877812499995</v>
      </c>
      <c r="B927" s="8" t="str">
        <f>HYPERLINK("https://twitter.com/0v4lt1n3_","@0v4lt1n3_")</f>
        <v>@0v4lt1n3_</v>
      </c>
      <c r="C927" s="8" t="s">
        <v>282</v>
      </c>
      <c r="D927" s="8">
        <v>36</v>
      </c>
      <c r="E927" s="8">
        <v>0</v>
      </c>
      <c r="F927" s="8">
        <v>1905</v>
      </c>
    </row>
    <row r="928" spans="1:6" ht="12.75">
      <c r="A928" s="8">
        <v>43904.876493055555</v>
      </c>
      <c r="B928" s="8" t="str">
        <f>HYPERLINK("https://twitter.com/GoTotheJek","@GoTotheJek")</f>
        <v>@GoTotheJek</v>
      </c>
      <c r="C928" s="8" t="s">
        <v>520</v>
      </c>
      <c r="D928" s="8">
        <v>6</v>
      </c>
      <c r="E928" s="8">
        <v>0</v>
      </c>
      <c r="F928" s="8">
        <v>780</v>
      </c>
    </row>
    <row r="929" spans="1:6" ht="12.75">
      <c r="A929" s="8">
        <v>43904.876180555555</v>
      </c>
      <c r="B929" s="8" t="str">
        <f>HYPERLINK("https://twitter.com/HPTayulia","@HPTayulia")</f>
        <v>@HPTayulia</v>
      </c>
      <c r="C929" s="8" t="s">
        <v>551</v>
      </c>
      <c r="D929" s="8">
        <v>0</v>
      </c>
      <c r="E929" s="8">
        <v>0</v>
      </c>
      <c r="F929" s="8">
        <v>871</v>
      </c>
    </row>
    <row r="930" spans="1:6" ht="12.75">
      <c r="A930" s="8">
        <v>43904.876041666663</v>
      </c>
      <c r="B930" s="8" t="str">
        <f>HYPERLINK("https://twitter.com/rasionalisme_","@rasionalisme_")</f>
        <v>@rasionalisme_</v>
      </c>
      <c r="C930" s="8" t="s">
        <v>552</v>
      </c>
      <c r="D930" s="8">
        <v>0</v>
      </c>
      <c r="E930" s="8">
        <v>0</v>
      </c>
      <c r="F930" s="8">
        <v>404</v>
      </c>
    </row>
    <row r="931" spans="1:6" ht="12.75">
      <c r="A931" s="8">
        <v>43904.875879629632</v>
      </c>
      <c r="B931" s="8" t="str">
        <f>HYPERLINK("https://twitter.com/ayuyayuyayuya","@ayuyayuyayuya")</f>
        <v>@ayuyayuyayuya</v>
      </c>
      <c r="C931" s="8" t="s">
        <v>520</v>
      </c>
      <c r="D931" s="8">
        <v>6</v>
      </c>
      <c r="E931" s="8">
        <v>0</v>
      </c>
      <c r="F931" s="8">
        <v>252</v>
      </c>
    </row>
    <row r="932" spans="1:6" ht="12.75">
      <c r="A932" s="8">
        <v>43904.875717592593</v>
      </c>
      <c r="B932" s="8" t="str">
        <f>HYPERLINK("https://twitter.com/71muhammadfajri","@71muhammadfajri")</f>
        <v>@71muhammadfajri</v>
      </c>
      <c r="C932" s="8" t="s">
        <v>553</v>
      </c>
      <c r="D932" s="8">
        <v>0</v>
      </c>
      <c r="E932" s="8">
        <v>0</v>
      </c>
      <c r="F932" s="8">
        <v>28006</v>
      </c>
    </row>
    <row r="933" spans="1:6" ht="12.75">
      <c r="A933" s="8">
        <v>43904.875694444447</v>
      </c>
      <c r="B933" s="8" t="str">
        <f>HYPERLINK("https://twitter.com/imanbr","@imanbr")</f>
        <v>@imanbr</v>
      </c>
      <c r="C933" s="8" t="s">
        <v>554</v>
      </c>
      <c r="D933" s="8">
        <v>6</v>
      </c>
      <c r="E933" s="8">
        <v>1</v>
      </c>
      <c r="F933" s="8">
        <v>83389</v>
      </c>
    </row>
    <row r="934" spans="1:6" ht="12.75">
      <c r="A934" s="8">
        <v>43904.875590277778</v>
      </c>
      <c r="B934" s="8" t="str">
        <f>HYPERLINK("https://twitter.com/Sandi_alfarizie","@Sandi_alfarizie")</f>
        <v>@Sandi_alfarizie</v>
      </c>
      <c r="C934" s="8" t="s">
        <v>555</v>
      </c>
      <c r="D934" s="8">
        <v>4</v>
      </c>
      <c r="E934" s="8">
        <v>0</v>
      </c>
      <c r="F934" s="8">
        <v>1638</v>
      </c>
    </row>
    <row r="935" spans="1:6" ht="12.75">
      <c r="A935" s="8">
        <v>43904.875497685185</v>
      </c>
      <c r="B935" s="8" t="str">
        <f>HYPERLINK("https://twitter.com/Dhanes_AR","@Dhanes_AR")</f>
        <v>@Dhanes_AR</v>
      </c>
      <c r="C935" s="8" t="s">
        <v>556</v>
      </c>
      <c r="D935" s="8">
        <v>0</v>
      </c>
      <c r="E935" s="8">
        <v>0</v>
      </c>
      <c r="F935" s="8">
        <v>450</v>
      </c>
    </row>
    <row r="936" spans="1:6" ht="12.75">
      <c r="A936" s="8">
        <v>43904.875289351854</v>
      </c>
      <c r="B936" s="8" t="str">
        <f>HYPERLINK("https://twitter.com/diahprmatasr","@diahprmatasr")</f>
        <v>@diahprmatasr</v>
      </c>
      <c r="C936" s="8" t="s">
        <v>557</v>
      </c>
      <c r="D936" s="8">
        <v>0</v>
      </c>
      <c r="E936" s="8">
        <v>0</v>
      </c>
      <c r="F936" s="8">
        <v>152</v>
      </c>
    </row>
    <row r="937" spans="1:6" ht="12.75">
      <c r="A937" s="8">
        <v>43904.875069444446</v>
      </c>
      <c r="B937" s="8" t="str">
        <f>HYPERLINK("https://twitter.com/iNewsID","@iNewsID")</f>
        <v>@iNewsID</v>
      </c>
      <c r="C937" s="8" t="s">
        <v>558</v>
      </c>
      <c r="D937" s="8">
        <v>0</v>
      </c>
      <c r="E937" s="8">
        <v>0</v>
      </c>
      <c r="F937" s="8">
        <v>1404</v>
      </c>
    </row>
    <row r="938" spans="1:6" ht="12.75">
      <c r="A938" s="8">
        <v>43904.875023148154</v>
      </c>
      <c r="B938" s="8" t="str">
        <f>HYPERLINK("https://twitter.com/attararya","@attararya")</f>
        <v>@attararya</v>
      </c>
      <c r="C938" s="8" t="s">
        <v>559</v>
      </c>
      <c r="D938" s="8">
        <v>0</v>
      </c>
      <c r="E938" s="8">
        <v>0</v>
      </c>
      <c r="F938" s="8">
        <v>628</v>
      </c>
    </row>
    <row r="939" spans="1:6" ht="12.75">
      <c r="A939" s="8">
        <v>43904.874328703707</v>
      </c>
      <c r="B939" s="8" t="str">
        <f>HYPERLINK("https://twitter.com/Vincentravelino","@Vincentravelino")</f>
        <v>@Vincentravelino</v>
      </c>
      <c r="C939" s="8" t="s">
        <v>42</v>
      </c>
      <c r="D939" s="8">
        <v>40</v>
      </c>
      <c r="E939" s="8">
        <v>0</v>
      </c>
      <c r="F939" s="8">
        <v>347</v>
      </c>
    </row>
    <row r="940" spans="1:6" ht="12.75">
      <c r="A940" s="8">
        <v>43904.87399305556</v>
      </c>
      <c r="B940" s="8" t="str">
        <f>HYPERLINK("https://twitter.com/elinelinmaryani","@elinelinmaryani")</f>
        <v>@elinelinmaryani</v>
      </c>
      <c r="C940" s="8" t="s">
        <v>162</v>
      </c>
      <c r="D940" s="8">
        <v>148</v>
      </c>
      <c r="E940" s="8">
        <v>0</v>
      </c>
      <c r="F940" s="8">
        <v>295</v>
      </c>
    </row>
    <row r="941" spans="1:6" ht="12.75">
      <c r="A941" s="8">
        <v>43904.873958333337</v>
      </c>
      <c r="B941" s="8" t="str">
        <f>HYPERLINK("https://twitter.com/Wakapoldur","@Wakapoldur")</f>
        <v>@Wakapoldur</v>
      </c>
      <c r="C941" s="8" t="s">
        <v>560</v>
      </c>
      <c r="D941" s="8">
        <v>1</v>
      </c>
      <c r="E941" s="8">
        <v>0</v>
      </c>
      <c r="F941" s="8">
        <v>2278</v>
      </c>
    </row>
    <row r="942" spans="1:6" ht="12.75">
      <c r="A942" s="8">
        <v>43904.873912037037</v>
      </c>
      <c r="B942" s="8" t="str">
        <f>HYPERLINK("https://twitter.com/orangec4t","@orangec4t")</f>
        <v>@orangec4t</v>
      </c>
      <c r="C942" s="8" t="s">
        <v>555</v>
      </c>
      <c r="D942" s="8">
        <v>4</v>
      </c>
      <c r="E942" s="8">
        <v>0</v>
      </c>
      <c r="F942" s="8">
        <v>338</v>
      </c>
    </row>
    <row r="943" spans="1:6" ht="12.75">
      <c r="A943" s="8">
        <v>43904.87364583333</v>
      </c>
      <c r="B943" s="8" t="str">
        <f>HYPERLINK("https://twitter.com/kylnchzayx","@kylnchzayx")</f>
        <v>@kylnchzayx</v>
      </c>
      <c r="C943" s="8" t="s">
        <v>561</v>
      </c>
      <c r="D943" s="8">
        <v>0</v>
      </c>
      <c r="E943" s="8">
        <v>1</v>
      </c>
      <c r="F943" s="8">
        <v>2280</v>
      </c>
    </row>
    <row r="944" spans="1:6" ht="12.75">
      <c r="A944" s="8">
        <v>43904.873495370368</v>
      </c>
      <c r="B944" s="8" t="str">
        <f>HYPERLINK("https://twitter.com/Wakapoldur","@Wakapoldur")</f>
        <v>@Wakapoldur</v>
      </c>
      <c r="C944" s="8" t="s">
        <v>562</v>
      </c>
      <c r="D944" s="8">
        <v>4</v>
      </c>
      <c r="E944" s="8">
        <v>14</v>
      </c>
      <c r="F944" s="8">
        <v>2278</v>
      </c>
    </row>
    <row r="945" spans="1:6" ht="12.75">
      <c r="A945" s="8">
        <v>43904.873333333337</v>
      </c>
      <c r="B945" s="8" t="str">
        <f>HYPERLINK("https://twitter.com/wesgantijenengg","@wesgantijenengg")</f>
        <v>@wesgantijenengg</v>
      </c>
      <c r="C945" s="8" t="s">
        <v>563</v>
      </c>
      <c r="D945" s="8">
        <v>0</v>
      </c>
      <c r="E945" s="8">
        <v>0</v>
      </c>
      <c r="F945" s="8">
        <v>87</v>
      </c>
    </row>
    <row r="946" spans="1:6" ht="12.75">
      <c r="A946" s="8">
        <v>43904.87195601852</v>
      </c>
      <c r="B946" s="8" t="str">
        <f>HYPERLINK("https://twitter.com/Akoe1008","@Akoe1008")</f>
        <v>@Akoe1008</v>
      </c>
      <c r="C946" s="8" t="s">
        <v>564</v>
      </c>
      <c r="D946" s="8">
        <v>5</v>
      </c>
      <c r="E946" s="8">
        <v>0</v>
      </c>
      <c r="F946" s="8">
        <v>1229</v>
      </c>
    </row>
    <row r="947" spans="1:6" ht="12.75">
      <c r="A947" s="8">
        <v>43904.871886574074</v>
      </c>
      <c r="B947" s="8" t="str">
        <f>HYPERLINK("https://twitter.com/iNewsID","@iNewsID")</f>
        <v>@iNewsID</v>
      </c>
      <c r="C947" s="8" t="s">
        <v>565</v>
      </c>
      <c r="D947" s="8">
        <v>0</v>
      </c>
      <c r="E947" s="8">
        <v>0</v>
      </c>
      <c r="F947" s="8">
        <v>1404</v>
      </c>
    </row>
    <row r="948" spans="1:6" ht="12.75">
      <c r="A948" s="8">
        <v>43904.871319444443</v>
      </c>
      <c r="B948" s="8" t="str">
        <f>HYPERLINK("https://twitter.com/tunggalp","@tunggalp")</f>
        <v>@tunggalp</v>
      </c>
      <c r="C948" s="8" t="s">
        <v>566</v>
      </c>
      <c r="D948" s="8">
        <v>0</v>
      </c>
      <c r="E948" s="8">
        <v>2</v>
      </c>
      <c r="F948" s="8">
        <v>65394</v>
      </c>
    </row>
    <row r="949" spans="1:6" ht="12.75">
      <c r="A949" s="8">
        <v>43904.871099537035</v>
      </c>
      <c r="B949" s="8" t="str">
        <f>HYPERLINK("https://twitter.com/Manvend79745390","@Manvend79745390")</f>
        <v>@Manvend79745390</v>
      </c>
      <c r="C949" s="8" t="s">
        <v>567</v>
      </c>
      <c r="D949" s="8">
        <v>0</v>
      </c>
      <c r="E949" s="8">
        <v>0</v>
      </c>
      <c r="F949" s="8">
        <v>0</v>
      </c>
    </row>
    <row r="950" spans="1:6" ht="12.75">
      <c r="A950" s="8">
        <v>43904.870821759258</v>
      </c>
      <c r="B950" s="8" t="str">
        <f>HYPERLINK("https://twitter.com/NanaSuryacandra","@NanaSuryacandra")</f>
        <v>@NanaSuryacandra</v>
      </c>
      <c r="C950" s="8" t="s">
        <v>568</v>
      </c>
      <c r="D950" s="8">
        <v>11</v>
      </c>
      <c r="E950" s="8">
        <v>0</v>
      </c>
      <c r="F950" s="8">
        <v>705</v>
      </c>
    </row>
    <row r="951" spans="1:6" ht="12.75">
      <c r="A951" s="8">
        <v>43904.870798611111</v>
      </c>
      <c r="B951" s="8" t="str">
        <f>HYPERLINK("https://twitter.com/bukan_iko","@bukan_iko")</f>
        <v>@bukan_iko</v>
      </c>
      <c r="C951" s="8" t="s">
        <v>569</v>
      </c>
      <c r="D951" s="8">
        <v>0</v>
      </c>
      <c r="E951" s="8">
        <v>0</v>
      </c>
      <c r="F951" s="8">
        <v>362</v>
      </c>
    </row>
    <row r="952" spans="1:6" ht="12.75">
      <c r="A952" s="8">
        <v>43904.870648148149</v>
      </c>
      <c r="B952" s="8" t="str">
        <f>HYPERLINK("https://twitter.com/MesyaAnggi_","@MesyaAnggi_")</f>
        <v>@MesyaAnggi_</v>
      </c>
      <c r="C952" s="8" t="s">
        <v>570</v>
      </c>
      <c r="D952" s="8">
        <v>8</v>
      </c>
      <c r="E952" s="8">
        <v>0</v>
      </c>
      <c r="F952" s="8">
        <v>799</v>
      </c>
    </row>
    <row r="953" spans="1:6" ht="12.75">
      <c r="A953" s="8">
        <v>43904.870416666672</v>
      </c>
      <c r="B953" s="8" t="str">
        <f>HYPERLINK("https://twitter.com/awardrpexo","@awardrpexo")</f>
        <v>@awardrpexo</v>
      </c>
      <c r="C953" s="8" t="s">
        <v>571</v>
      </c>
      <c r="D953" s="8">
        <v>0</v>
      </c>
      <c r="E953" s="8">
        <v>0</v>
      </c>
      <c r="F953" s="8">
        <v>122</v>
      </c>
    </row>
    <row r="954" spans="1:6" ht="12.75">
      <c r="A954" s="8">
        <v>43904.870150462964</v>
      </c>
      <c r="B954" s="8" t="str">
        <f>HYPERLINK("https://twitter.com/Wakapoldur","@Wakapoldur")</f>
        <v>@Wakapoldur</v>
      </c>
      <c r="C954" s="8" t="s">
        <v>572</v>
      </c>
      <c r="D954" s="8">
        <v>1</v>
      </c>
      <c r="E954" s="8">
        <v>0</v>
      </c>
      <c r="F954" s="8">
        <v>2278</v>
      </c>
    </row>
    <row r="955" spans="1:6" ht="12.75">
      <c r="A955" s="8">
        <v>43904.869513888887</v>
      </c>
      <c r="B955" s="8" t="str">
        <f>HYPERLINK("https://twitter.com/byunhundredb","@byunhundredb")</f>
        <v>@byunhundredb</v>
      </c>
      <c r="C955" s="8" t="s">
        <v>573</v>
      </c>
      <c r="D955" s="8">
        <v>0</v>
      </c>
      <c r="E955" s="8">
        <v>0</v>
      </c>
      <c r="F955" s="8">
        <v>137</v>
      </c>
    </row>
    <row r="956" spans="1:6" ht="12.75">
      <c r="A956" s="8">
        <v>43904.86917824074</v>
      </c>
      <c r="B956" s="8" t="str">
        <f>HYPERLINK("https://twitter.com/guswp731","@guswp731")</f>
        <v>@guswp731</v>
      </c>
      <c r="C956" s="8" t="s">
        <v>269</v>
      </c>
      <c r="D956" s="8">
        <v>7</v>
      </c>
      <c r="E956" s="8">
        <v>0</v>
      </c>
      <c r="F956" s="8">
        <v>336</v>
      </c>
    </row>
    <row r="957" spans="1:6" ht="12.75">
      <c r="A957" s="8">
        <v>43904.869131944448</v>
      </c>
      <c r="B957" s="8" t="str">
        <f>HYPERLINK("https://twitter.com/krsumsel","@krsumsel")</f>
        <v>@krsumsel</v>
      </c>
      <c r="C957" s="8" t="s">
        <v>146</v>
      </c>
      <c r="D957" s="8">
        <v>0</v>
      </c>
      <c r="E957" s="8">
        <v>0</v>
      </c>
      <c r="F957" s="8">
        <v>230</v>
      </c>
    </row>
    <row r="958" spans="1:6" ht="12.75">
      <c r="A958" s="8">
        <v>43904.869131944448</v>
      </c>
      <c r="B958" s="8" t="str">
        <f>HYPERLINK("https://twitter.com/antarakldotcom","@antarakldotcom")</f>
        <v>@antarakldotcom</v>
      </c>
      <c r="C958" s="8" t="s">
        <v>574</v>
      </c>
      <c r="D958" s="8">
        <v>0</v>
      </c>
      <c r="E958" s="8">
        <v>0</v>
      </c>
      <c r="F958" s="8">
        <v>522</v>
      </c>
    </row>
    <row r="959" spans="1:6" ht="12.75">
      <c r="A959" s="8">
        <v>43904.868807870371</v>
      </c>
      <c r="B959" s="8" t="str">
        <f>HYPERLINK("https://twitter.com/ISIS_Balik_NO","@ISIS_Balik_NO")</f>
        <v>@ISIS_Balik_NO</v>
      </c>
      <c r="C959" s="8" t="s">
        <v>575</v>
      </c>
      <c r="D959" s="8">
        <v>0</v>
      </c>
      <c r="E959" s="8">
        <v>0</v>
      </c>
      <c r="F959" s="8">
        <v>6281</v>
      </c>
    </row>
    <row r="960" spans="1:6" ht="12.75">
      <c r="A960" s="8">
        <v>43904.868796296301</v>
      </c>
      <c r="B960" s="8" t="str">
        <f>HYPERLINK("https://twitter.com/ditya_mita","@ditya_mita")</f>
        <v>@ditya_mita</v>
      </c>
      <c r="C960" s="8" t="s">
        <v>576</v>
      </c>
      <c r="D960" s="8">
        <v>2</v>
      </c>
      <c r="E960" s="8">
        <v>0</v>
      </c>
      <c r="F960" s="8">
        <v>76</v>
      </c>
    </row>
    <row r="961" spans="1:6" ht="12.75">
      <c r="A961" s="8">
        <v>43904.868773148148</v>
      </c>
      <c r="B961" s="8" t="str">
        <f>HYPERLINK("https://twitter.com/kbri_tripoli","@kbri_tripoli")</f>
        <v>@kbri_tripoli</v>
      </c>
      <c r="C961" s="8" t="s">
        <v>203</v>
      </c>
      <c r="D961" s="8">
        <v>44</v>
      </c>
      <c r="E961" s="8">
        <v>0</v>
      </c>
      <c r="F961" s="8">
        <v>20</v>
      </c>
    </row>
    <row r="962" spans="1:6" ht="12.75">
      <c r="A962" s="8">
        <v>43904.868668981479</v>
      </c>
      <c r="B962" s="8" t="str">
        <f>HYPERLINK("https://twitter.com/chillinaris","@chillinaris")</f>
        <v>@chillinaris</v>
      </c>
      <c r="C962" s="8" t="s">
        <v>577</v>
      </c>
      <c r="D962" s="8">
        <v>0</v>
      </c>
      <c r="E962" s="8">
        <v>1</v>
      </c>
      <c r="F962" s="8">
        <v>37361</v>
      </c>
    </row>
    <row r="963" spans="1:6" ht="12.75">
      <c r="A963" s="8">
        <v>43904.867962962962</v>
      </c>
      <c r="B963" s="8" t="str">
        <f>HYPERLINK("https://twitter.com/whiskeyinthesky","@whiskeyinthesky")</f>
        <v>@whiskeyinthesky</v>
      </c>
      <c r="C963" s="8" t="s">
        <v>162</v>
      </c>
      <c r="D963" s="8">
        <v>148</v>
      </c>
      <c r="E963" s="8">
        <v>0</v>
      </c>
      <c r="F963" s="8">
        <v>90</v>
      </c>
    </row>
    <row r="964" spans="1:6" ht="12.75">
      <c r="A964" s="8">
        <v>43904.867847222224</v>
      </c>
      <c r="B964" s="8" t="str">
        <f>HYPERLINK("https://twitter.com/ISIS_Balik_NO","@ISIS_Balik_NO")</f>
        <v>@ISIS_Balik_NO</v>
      </c>
      <c r="C964" s="8" t="s">
        <v>578</v>
      </c>
      <c r="D964" s="8">
        <v>0</v>
      </c>
      <c r="E964" s="8">
        <v>0</v>
      </c>
      <c r="F964" s="8">
        <v>6281</v>
      </c>
    </row>
    <row r="965" spans="1:6" ht="12.75">
      <c r="A965" s="8">
        <v>43904.867581018523</v>
      </c>
      <c r="B965" s="8" t="str">
        <f>HYPERLINK("https://twitter.com/NyimakWongMaido","@NyimakWongMaido")</f>
        <v>@NyimakWongMaido</v>
      </c>
      <c r="C965" s="8" t="s">
        <v>19</v>
      </c>
      <c r="D965" s="8">
        <v>19</v>
      </c>
      <c r="E965" s="8">
        <v>0</v>
      </c>
      <c r="F965" s="8">
        <v>71</v>
      </c>
    </row>
    <row r="966" spans="1:6" ht="12.75">
      <c r="A966" s="8">
        <v>43904.866990740746</v>
      </c>
      <c r="B966" s="8" t="str">
        <f>HYPERLINK("https://twitter.com/ISIS_Balik_NO","@ISIS_Balik_NO")</f>
        <v>@ISIS_Balik_NO</v>
      </c>
      <c r="C966" s="8" t="s">
        <v>579</v>
      </c>
      <c r="D966" s="8">
        <v>0</v>
      </c>
      <c r="E966" s="8">
        <v>0</v>
      </c>
      <c r="F966" s="8">
        <v>6281</v>
      </c>
    </row>
    <row r="967" spans="1:6" ht="12.75">
      <c r="A967" s="8">
        <v>43904.866446759261</v>
      </c>
      <c r="B967" s="8" t="str">
        <f>HYPERLINK("https://twitter.com/bud1_f1","@bud1_f1")</f>
        <v>@bud1_f1</v>
      </c>
      <c r="C967" s="8" t="s">
        <v>42</v>
      </c>
      <c r="D967" s="8">
        <v>40</v>
      </c>
      <c r="E967" s="8">
        <v>0</v>
      </c>
      <c r="F967" s="8">
        <v>1811</v>
      </c>
    </row>
    <row r="968" spans="1:6" ht="12.75">
      <c r="A968" s="8">
        <v>43904.864895833336</v>
      </c>
      <c r="B968" s="8" t="str">
        <f>HYPERLINK("https://twitter.com/eka_dini722","@eka_dini722")</f>
        <v>@eka_dini722</v>
      </c>
      <c r="C968" s="8" t="s">
        <v>272</v>
      </c>
      <c r="D968" s="8">
        <v>25</v>
      </c>
      <c r="E968" s="8">
        <v>0</v>
      </c>
      <c r="F968" s="8">
        <v>2477</v>
      </c>
    </row>
    <row r="969" spans="1:6" ht="12.75">
      <c r="A969" s="8">
        <v>43904.864884259259</v>
      </c>
      <c r="B969" s="8" t="str">
        <f>HYPERLINK("https://twitter.com/Yazpratama","@Yazpratama")</f>
        <v>@Yazpratama</v>
      </c>
      <c r="C969" s="8" t="s">
        <v>580</v>
      </c>
      <c r="D969" s="8">
        <v>0</v>
      </c>
      <c r="E969" s="8">
        <v>0</v>
      </c>
      <c r="F969" s="8">
        <v>155</v>
      </c>
    </row>
    <row r="970" spans="1:6" ht="12.75">
      <c r="A970" s="8">
        <v>43904.864618055552</v>
      </c>
      <c r="B970" s="8" t="str">
        <f>HYPERLINK("https://twitter.com/NyimakWongMaido","@NyimakWongMaido")</f>
        <v>@NyimakWongMaido</v>
      </c>
      <c r="C970" s="8" t="s">
        <v>102</v>
      </c>
      <c r="D970" s="8">
        <v>17</v>
      </c>
      <c r="E970" s="8">
        <v>0</v>
      </c>
      <c r="F970" s="8">
        <v>71</v>
      </c>
    </row>
    <row r="971" spans="1:6" ht="12.75">
      <c r="A971" s="8">
        <v>43904.863668981481</v>
      </c>
      <c r="B971" s="8" t="str">
        <f>HYPERLINK("https://twitter.com/rollkedepan","@rollkedepan")</f>
        <v>@rollkedepan</v>
      </c>
      <c r="C971" s="8" t="s">
        <v>581</v>
      </c>
      <c r="D971" s="8">
        <v>0</v>
      </c>
      <c r="E971" s="8">
        <v>0</v>
      </c>
      <c r="F971" s="8">
        <v>761</v>
      </c>
    </row>
    <row r="972" spans="1:6" ht="12.75">
      <c r="A972" s="8">
        <v>43904.863518518519</v>
      </c>
      <c r="B972" s="8" t="str">
        <f>HYPERLINK("https://twitter.com/linggarkusuma","@linggarkusuma")</f>
        <v>@linggarkusuma</v>
      </c>
      <c r="C972" s="8" t="s">
        <v>162</v>
      </c>
      <c r="D972" s="8">
        <v>148</v>
      </c>
      <c r="E972" s="8">
        <v>0</v>
      </c>
      <c r="F972" s="8">
        <v>310</v>
      </c>
    </row>
    <row r="973" spans="1:6" ht="12.75">
      <c r="A973" s="8">
        <v>43904.86347222222</v>
      </c>
      <c r="B973" s="8" t="str">
        <f>HYPERLINK("https://twitter.com/RelawanUMKM","@RelawanUMKM")</f>
        <v>@RelawanUMKM</v>
      </c>
      <c r="C973" s="8" t="s">
        <v>269</v>
      </c>
      <c r="D973" s="8">
        <v>7</v>
      </c>
      <c r="E973" s="8">
        <v>0</v>
      </c>
      <c r="F973" s="8">
        <v>399</v>
      </c>
    </row>
    <row r="974" spans="1:6" ht="12.75">
      <c r="A974" s="8">
        <v>43904.863043981481</v>
      </c>
      <c r="B974" s="8" t="str">
        <f t="shared" ref="B974:B975" si="14">HYPERLINK("https://twitter.com/NannyAlexendry","@NannyAlexendry")</f>
        <v>@NannyAlexendry</v>
      </c>
      <c r="C974" s="8" t="s">
        <v>358</v>
      </c>
      <c r="D974" s="8">
        <v>3</v>
      </c>
      <c r="E974" s="8">
        <v>0</v>
      </c>
      <c r="F974" s="8">
        <v>2956</v>
      </c>
    </row>
    <row r="975" spans="1:6" ht="12.75">
      <c r="A975" s="8">
        <v>43904.862824074073</v>
      </c>
      <c r="B975" s="8" t="str">
        <f t="shared" si="14"/>
        <v>@NannyAlexendry</v>
      </c>
      <c r="C975" s="8" t="s">
        <v>362</v>
      </c>
      <c r="D975" s="8">
        <v>5</v>
      </c>
      <c r="E975" s="8">
        <v>0</v>
      </c>
      <c r="F975" s="8">
        <v>2956</v>
      </c>
    </row>
    <row r="976" spans="1:6" ht="12.75">
      <c r="A976" s="8">
        <v>43904.861875000002</v>
      </c>
      <c r="B976" s="8" t="str">
        <f>HYPERLINK("https://twitter.com/MHargul","@MHargul")</f>
        <v>@MHargul</v>
      </c>
      <c r="C976" s="8" t="s">
        <v>42</v>
      </c>
      <c r="D976" s="8">
        <v>40</v>
      </c>
      <c r="E976" s="8">
        <v>0</v>
      </c>
      <c r="F976" s="8">
        <v>52</v>
      </c>
    </row>
    <row r="977" spans="1:6" ht="12.75">
      <c r="A977" s="8">
        <v>43904.861342592594</v>
      </c>
      <c r="B977" s="8" t="str">
        <f>HYPERLINK("https://twitter.com/Sastroklengsre1","@Sastroklengsre1")</f>
        <v>@Sastroklengsre1</v>
      </c>
      <c r="C977" s="8" t="s">
        <v>42</v>
      </c>
      <c r="D977" s="8">
        <v>40</v>
      </c>
      <c r="E977" s="8">
        <v>0</v>
      </c>
      <c r="F977" s="8">
        <v>3391</v>
      </c>
    </row>
    <row r="978" spans="1:6" ht="12.75">
      <c r="A978" s="8">
        <v>43904.861296296294</v>
      </c>
      <c r="B978" s="8" t="str">
        <f>HYPERLINK("https://twitter.com/TheShrek3","@TheShrek3")</f>
        <v>@TheShrek3</v>
      </c>
      <c r="C978" s="8" t="s">
        <v>582</v>
      </c>
      <c r="D978" s="8">
        <v>38</v>
      </c>
      <c r="E978" s="8">
        <v>0</v>
      </c>
      <c r="F978" s="8">
        <v>171</v>
      </c>
    </row>
    <row r="979" spans="1:6" ht="12.75">
      <c r="A979" s="8">
        <v>43904.861041666663</v>
      </c>
      <c r="B979" s="8" t="str">
        <f>HYPERLINK("https://twitter.com/IndonesiaInPL","@IndonesiaInPL")</f>
        <v>@IndonesiaInPL</v>
      </c>
      <c r="C979" s="8" t="s">
        <v>583</v>
      </c>
      <c r="D979" s="8">
        <v>1</v>
      </c>
      <c r="E979" s="8">
        <v>1</v>
      </c>
      <c r="F979" s="8">
        <v>1401</v>
      </c>
    </row>
    <row r="980" spans="1:6" ht="12.75">
      <c r="A980" s="8">
        <v>43904.860393518524</v>
      </c>
      <c r="B980" s="8" t="str">
        <f>HYPERLINK("https://twitter.com/Jeffydzar","@Jeffydzar")</f>
        <v>@Jeffydzar</v>
      </c>
      <c r="C980" s="8" t="s">
        <v>584</v>
      </c>
      <c r="D980" s="8">
        <v>0</v>
      </c>
      <c r="E980" s="8">
        <v>0</v>
      </c>
      <c r="F980" s="8">
        <v>136</v>
      </c>
    </row>
    <row r="981" spans="1:6" ht="12.75">
      <c r="A981" s="8">
        <v>43904.858113425929</v>
      </c>
      <c r="B981" s="8" t="str">
        <f>HYPERLINK("https://twitter.com/OOttit","@OOttit")</f>
        <v>@OOttit</v>
      </c>
      <c r="C981" s="8" t="s">
        <v>585</v>
      </c>
      <c r="D981" s="8">
        <v>0</v>
      </c>
      <c r="E981" s="8">
        <v>0</v>
      </c>
      <c r="F981" s="8">
        <v>28</v>
      </c>
    </row>
    <row r="982" spans="1:6" ht="12.75">
      <c r="A982" s="8">
        <v>43904.857210648144</v>
      </c>
      <c r="B982" s="8" t="str">
        <f>HYPERLINK("https://twitter.com/jaipurice","@jaipurice")</f>
        <v>@jaipurice</v>
      </c>
      <c r="C982" s="8" t="s">
        <v>586</v>
      </c>
      <c r="D982" s="8">
        <v>0</v>
      </c>
      <c r="E982" s="8">
        <v>0</v>
      </c>
      <c r="F982" s="8">
        <v>104</v>
      </c>
    </row>
    <row r="983" spans="1:6" ht="12.75">
      <c r="A983" s="8">
        <v>43904.857025462959</v>
      </c>
      <c r="B983" s="8" t="str">
        <f>HYPERLINK("https://twitter.com/thailuvies","@thailuvies")</f>
        <v>@thailuvies</v>
      </c>
      <c r="C983" s="8" t="s">
        <v>587</v>
      </c>
      <c r="D983" s="8">
        <v>53</v>
      </c>
      <c r="E983" s="8">
        <v>0</v>
      </c>
      <c r="F983" s="8">
        <v>209</v>
      </c>
    </row>
    <row r="984" spans="1:6" ht="12.75">
      <c r="A984" s="8">
        <v>43904.856956018513</v>
      </c>
      <c r="B984" s="8" t="str">
        <f>HYPERLINK("https://twitter.com/ypypm_ypypm","@ypypm_ypypm")</f>
        <v>@ypypm_ypypm</v>
      </c>
      <c r="C984" s="8" t="s">
        <v>564</v>
      </c>
      <c r="D984" s="8">
        <v>5</v>
      </c>
      <c r="E984" s="8">
        <v>0</v>
      </c>
      <c r="F984" s="8">
        <v>729</v>
      </c>
    </row>
    <row r="985" spans="1:6" ht="12.75">
      <c r="A985" s="8">
        <v>43904.856886574074</v>
      </c>
      <c r="B985" s="8" t="str">
        <f>HYPERLINK("https://twitter.com/blackpink828","@blackpink828")</f>
        <v>@blackpink828</v>
      </c>
      <c r="C985" s="8" t="s">
        <v>564</v>
      </c>
      <c r="D985" s="8">
        <v>5</v>
      </c>
      <c r="E985" s="8">
        <v>0</v>
      </c>
      <c r="F985" s="8">
        <v>2860</v>
      </c>
    </row>
    <row r="986" spans="1:6" ht="12.75">
      <c r="A986" s="8">
        <v>43904.856782407413</v>
      </c>
      <c r="B986" s="8" t="str">
        <f>HYPERLINK("https://twitter.com/Fm98Sonora","@Fm98Sonora")</f>
        <v>@Fm98Sonora</v>
      </c>
      <c r="C986" s="8" t="s">
        <v>588</v>
      </c>
      <c r="D986" s="8">
        <v>1</v>
      </c>
      <c r="E986" s="8">
        <v>0</v>
      </c>
      <c r="F986" s="8">
        <v>27</v>
      </c>
    </row>
    <row r="987" spans="1:6" ht="12.75">
      <c r="A987" s="8">
        <v>43904.85664351852</v>
      </c>
      <c r="B987" s="8" t="str">
        <f>HYPERLINK("https://twitter.com/KompasTV","@KompasTV")</f>
        <v>@KompasTV</v>
      </c>
      <c r="C987" s="8" t="s">
        <v>589</v>
      </c>
      <c r="D987" s="8">
        <v>1</v>
      </c>
      <c r="E987" s="8">
        <v>13</v>
      </c>
      <c r="F987" s="8">
        <v>2964604</v>
      </c>
    </row>
    <row r="988" spans="1:6" ht="12.75">
      <c r="A988" s="8">
        <v>43904.85637731482</v>
      </c>
      <c r="B988" s="8" t="str">
        <f>HYPERLINK("https://twitter.com/blackpink828","@blackpink828")</f>
        <v>@blackpink828</v>
      </c>
      <c r="C988" s="8" t="s">
        <v>590</v>
      </c>
      <c r="D988" s="8">
        <v>3</v>
      </c>
      <c r="E988" s="8">
        <v>0</v>
      </c>
      <c r="F988" s="8">
        <v>2860</v>
      </c>
    </row>
    <row r="989" spans="1:6" ht="12.75">
      <c r="A989" s="8">
        <v>43904.855196759258</v>
      </c>
      <c r="B989" s="8" t="str">
        <f>HYPERLINK("https://twitter.com/KunalBa48041640","@KunalBa48041640")</f>
        <v>@KunalBa48041640</v>
      </c>
      <c r="C989" s="8" t="s">
        <v>582</v>
      </c>
      <c r="D989" s="8">
        <v>38</v>
      </c>
      <c r="E989" s="8">
        <v>0</v>
      </c>
      <c r="F989" s="8">
        <v>169</v>
      </c>
    </row>
    <row r="990" spans="1:6" ht="12.75">
      <c r="A990" s="8">
        <v>43904.855057870373</v>
      </c>
      <c r="B990" s="8" t="str">
        <f>HYPERLINK("https://twitter.com/ngeTweetAja","@ngeTweetAja")</f>
        <v>@ngeTweetAja</v>
      </c>
      <c r="C990" s="8" t="s">
        <v>590</v>
      </c>
      <c r="D990" s="8">
        <v>3</v>
      </c>
      <c r="E990" s="8">
        <v>0</v>
      </c>
      <c r="F990" s="8">
        <v>4331</v>
      </c>
    </row>
    <row r="991" spans="1:6" ht="12.75">
      <c r="A991" s="8">
        <v>43904.854629629626</v>
      </c>
      <c r="B991" s="8" t="str">
        <f>HYPERLINK("https://twitter.com/RazkaFaiz","@RazkaFaiz")</f>
        <v>@RazkaFaiz</v>
      </c>
      <c r="C991" s="8" t="s">
        <v>591</v>
      </c>
      <c r="D991" s="8">
        <v>0</v>
      </c>
      <c r="E991" s="8">
        <v>1</v>
      </c>
      <c r="F991" s="8">
        <v>1261</v>
      </c>
    </row>
    <row r="992" spans="1:6" ht="12.75">
      <c r="A992" s="8">
        <v>43904.854594907403</v>
      </c>
      <c r="B992" s="8" t="str">
        <f>HYPERLINK("https://twitter.com/LieYurika","@LieYurika")</f>
        <v>@LieYurika</v>
      </c>
      <c r="C992" s="8" t="s">
        <v>592</v>
      </c>
      <c r="D992" s="8">
        <v>0</v>
      </c>
      <c r="E992" s="8">
        <v>1</v>
      </c>
      <c r="F992" s="8">
        <v>917</v>
      </c>
    </row>
    <row r="993" spans="1:6" ht="12.75">
      <c r="A993" s="8">
        <v>43904.854050925926</v>
      </c>
      <c r="B993" s="8" t="str">
        <f>HYPERLINK("https://twitter.com/kaniapeni","@kaniapeni")</f>
        <v>@kaniapeni</v>
      </c>
      <c r="C993" s="8" t="s">
        <v>353</v>
      </c>
      <c r="D993" s="8">
        <v>146</v>
      </c>
      <c r="E993" s="8">
        <v>0</v>
      </c>
      <c r="F993" s="8">
        <v>165</v>
      </c>
    </row>
    <row r="994" spans="1:6" ht="12.75">
      <c r="A994" s="8">
        <v>43904.853796296295</v>
      </c>
      <c r="B994" s="8" t="str">
        <f>HYPERLINK("https://twitter.com/Fm98Sonora","@Fm98Sonora")</f>
        <v>@Fm98Sonora</v>
      </c>
      <c r="C994" s="8" t="s">
        <v>564</v>
      </c>
      <c r="D994" s="8">
        <v>5</v>
      </c>
      <c r="E994" s="8">
        <v>0</v>
      </c>
      <c r="F994" s="8">
        <v>27</v>
      </c>
    </row>
    <row r="995" spans="1:6" ht="12.75">
      <c r="A995" s="8">
        <v>43904.853530092594</v>
      </c>
      <c r="B995" s="8" t="str">
        <f>HYPERLINK("https://twitter.com/erinsnote","@erinsnote")</f>
        <v>@erinsnote</v>
      </c>
      <c r="C995" s="8" t="s">
        <v>76</v>
      </c>
      <c r="D995" s="8">
        <v>0</v>
      </c>
      <c r="E995" s="8">
        <v>0</v>
      </c>
      <c r="F995" s="8">
        <v>1843</v>
      </c>
    </row>
    <row r="996" spans="1:6" ht="12.75">
      <c r="A996" s="8">
        <v>43904.853310185186</v>
      </c>
      <c r="B996" s="8" t="str">
        <f>HYPERLINK("https://twitter.com/Bjang99","@Bjang99")</f>
        <v>@Bjang99</v>
      </c>
      <c r="C996" s="8" t="s">
        <v>590</v>
      </c>
      <c r="D996" s="8">
        <v>3</v>
      </c>
      <c r="E996" s="8">
        <v>0</v>
      </c>
      <c r="F996" s="8">
        <v>252</v>
      </c>
    </row>
    <row r="997" spans="1:6" ht="12.75">
      <c r="A997" s="8">
        <v>43904.853275462963</v>
      </c>
      <c r="B997" s="8" t="str">
        <f>HYPERLINK("https://twitter.com/kesayangandoi","@kesayangandoi")</f>
        <v>@kesayangandoi</v>
      </c>
      <c r="C997" s="8" t="s">
        <v>593</v>
      </c>
      <c r="D997" s="8">
        <v>495</v>
      </c>
      <c r="E997" s="8">
        <v>0</v>
      </c>
      <c r="F997" s="8">
        <v>458</v>
      </c>
    </row>
    <row r="998" spans="1:6" ht="12.75">
      <c r="A998" s="8">
        <v>43904.853090277778</v>
      </c>
      <c r="B998" s="8" t="str">
        <f>HYPERLINK("https://twitter.com/wawan_mlg","@wawan_mlg")</f>
        <v>@wawan_mlg</v>
      </c>
      <c r="C998" s="8" t="s">
        <v>594</v>
      </c>
      <c r="D998" s="8">
        <v>0</v>
      </c>
      <c r="E998" s="8">
        <v>0</v>
      </c>
      <c r="F998" s="8">
        <v>348</v>
      </c>
    </row>
    <row r="999" spans="1:6" ht="12.75">
      <c r="A999" s="8">
        <v>43904.852488425924</v>
      </c>
      <c r="B999" s="8" t="str">
        <f>HYPERLINK("https://twitter.com/queenxuxi","@queenxuxi")</f>
        <v>@queenxuxi</v>
      </c>
      <c r="C999" s="8" t="s">
        <v>595</v>
      </c>
      <c r="D999" s="8">
        <v>0</v>
      </c>
      <c r="E999" s="8">
        <v>0</v>
      </c>
      <c r="F999" s="8">
        <v>259</v>
      </c>
    </row>
    <row r="1000" spans="1:6" ht="12.75">
      <c r="A1000" s="8">
        <v>43904.852175925931</v>
      </c>
      <c r="B1000" s="8" t="str">
        <f>HYPERLINK("https://twitter.com/kompascom","@kompascom")</f>
        <v>@kompascom</v>
      </c>
      <c r="C1000" s="8" t="s">
        <v>596</v>
      </c>
      <c r="D1000" s="8">
        <v>5</v>
      </c>
      <c r="E1000" s="8">
        <v>6</v>
      </c>
      <c r="F1000" s="8">
        <v>7547996</v>
      </c>
    </row>
    <row r="1001" spans="1:6" ht="12.75">
      <c r="A1001" s="8">
        <v>43904.852071759262</v>
      </c>
      <c r="B1001" s="8" t="str">
        <f>HYPERLINK("https://twitter.com/thesandblazt","@thesandblazt")</f>
        <v>@thesandblazt</v>
      </c>
      <c r="C1001" s="8" t="s">
        <v>597</v>
      </c>
      <c r="D1001" s="8">
        <v>3</v>
      </c>
      <c r="E1001" s="8">
        <v>9</v>
      </c>
      <c r="F1001" s="8">
        <v>3576</v>
      </c>
    </row>
    <row r="1002" spans="1:6" ht="12.75">
      <c r="A1002" s="8">
        <v>43904.851990740739</v>
      </c>
      <c r="B1002" s="8" t="str">
        <f>HYPERLINK("https://twitter.com/77bayoe","@77bayoe")</f>
        <v>@77bayoe</v>
      </c>
      <c r="C1002" s="8" t="s">
        <v>19</v>
      </c>
      <c r="D1002" s="8">
        <v>19</v>
      </c>
      <c r="E1002" s="8">
        <v>0</v>
      </c>
      <c r="F1002" s="8">
        <v>2150</v>
      </c>
    </row>
    <row r="1003" spans="1:6" ht="12.75">
      <c r="A1003" s="8">
        <v>43904.839571759258</v>
      </c>
      <c r="B1003" s="8" t="str">
        <f>HYPERLINK("https://twitter.com/andhhikarp1701","@andhhikarp1701")</f>
        <v>@andhhikarp1701</v>
      </c>
      <c r="C1003" s="8" t="s">
        <v>203</v>
      </c>
      <c r="D1003" s="8">
        <v>43</v>
      </c>
      <c r="E1003" s="8">
        <v>0</v>
      </c>
      <c r="F1003" s="8">
        <v>7</v>
      </c>
    </row>
    <row r="1004" spans="1:6" ht="12.75">
      <c r="A1004" s="8">
        <v>43904.838912037041</v>
      </c>
      <c r="B1004" s="8" t="str">
        <f>HYPERLINK("https://twitter.com/KompasTravel","@KompasTravel")</f>
        <v>@KompasTravel</v>
      </c>
      <c r="C1004" s="8" t="s">
        <v>598</v>
      </c>
      <c r="D1004" s="8">
        <v>0</v>
      </c>
      <c r="E1004" s="8">
        <v>1</v>
      </c>
      <c r="F1004" s="8">
        <v>88024</v>
      </c>
    </row>
    <row r="1005" spans="1:6" ht="12.75">
      <c r="A1005" s="8">
        <v>43904.837638888886</v>
      </c>
      <c r="B1005" s="8" t="str">
        <f>HYPERLINK("https://twitter.com/epulabinagalih","@epulabinagalih")</f>
        <v>@epulabinagalih</v>
      </c>
      <c r="C1005" s="8" t="s">
        <v>219</v>
      </c>
      <c r="D1005" s="8">
        <v>53</v>
      </c>
      <c r="E1005" s="8">
        <v>0</v>
      </c>
      <c r="F1005" s="8">
        <v>638</v>
      </c>
    </row>
    <row r="1006" spans="1:6" ht="12.75">
      <c r="A1006" s="8">
        <v>43904.837129629625</v>
      </c>
      <c r="B1006" s="8" t="str">
        <f>HYPERLINK("https://twitter.com/AnnaHindusthani","@AnnaHindusthani")</f>
        <v>@AnnaHindusthani</v>
      </c>
      <c r="C1006" s="8" t="s">
        <v>599</v>
      </c>
      <c r="D1006" s="8">
        <v>1</v>
      </c>
      <c r="E1006" s="8">
        <v>0</v>
      </c>
      <c r="F1006" s="8">
        <v>359</v>
      </c>
    </row>
    <row r="1007" spans="1:6" ht="12.75">
      <c r="A1007" s="8">
        <v>43904.836782407408</v>
      </c>
      <c r="B1007" s="8" t="str">
        <f>HYPERLINK("https://twitter.com/CitaAnanda","@CitaAnanda")</f>
        <v>@CitaAnanda</v>
      </c>
      <c r="C1007" s="8" t="s">
        <v>600</v>
      </c>
      <c r="D1007" s="8">
        <v>0</v>
      </c>
      <c r="E1007" s="8">
        <v>0</v>
      </c>
      <c r="F1007" s="8">
        <v>1152</v>
      </c>
    </row>
    <row r="1008" spans="1:6" ht="12.75">
      <c r="A1008" s="8">
        <v>43904.836562500001</v>
      </c>
      <c r="B1008" s="8" t="str">
        <f>HYPERLINK("https://twitter.com/yudhawirapp","@yudhawirapp")</f>
        <v>@yudhawirapp</v>
      </c>
      <c r="C1008" s="8" t="s">
        <v>282</v>
      </c>
      <c r="D1008" s="8">
        <v>33</v>
      </c>
      <c r="E1008" s="8">
        <v>0</v>
      </c>
      <c r="F1008" s="8">
        <v>773</v>
      </c>
    </row>
    <row r="1009" spans="1:6" ht="12.75">
      <c r="A1009" s="8">
        <v>43904.835590277777</v>
      </c>
      <c r="B1009" s="8" t="str">
        <f>HYPERLINK("https://twitter.com/becak125cc","@becak125cc")</f>
        <v>@becak125cc</v>
      </c>
      <c r="C1009" s="8" t="s">
        <v>107</v>
      </c>
      <c r="D1009" s="8">
        <v>33</v>
      </c>
      <c r="E1009" s="8">
        <v>0</v>
      </c>
      <c r="F1009" s="8">
        <v>576</v>
      </c>
    </row>
    <row r="1010" spans="1:6" ht="12.75">
      <c r="A1010" s="8">
        <v>43904.834803240738</v>
      </c>
      <c r="B1010" s="8" t="str">
        <f>HYPERLINK("https://twitter.com/sofia_sudarma","@sofia_sudarma")</f>
        <v>@sofia_sudarma</v>
      </c>
      <c r="C1010" s="8" t="s">
        <v>203</v>
      </c>
      <c r="D1010" s="8">
        <v>43</v>
      </c>
      <c r="E1010" s="8">
        <v>0</v>
      </c>
      <c r="F1010" s="8">
        <v>862</v>
      </c>
    </row>
    <row r="1011" spans="1:6" ht="12.75">
      <c r="A1011" s="8">
        <v>43904.834722222222</v>
      </c>
      <c r="B1011" s="8" t="str">
        <f>HYPERLINK("https://twitter.com/howtobechill_","@howtobechill_")</f>
        <v>@howtobechill_</v>
      </c>
      <c r="C1011" s="8" t="s">
        <v>601</v>
      </c>
      <c r="D1011" s="8">
        <v>0</v>
      </c>
      <c r="E1011" s="8">
        <v>1</v>
      </c>
      <c r="F1011" s="8">
        <v>905</v>
      </c>
    </row>
    <row r="1012" spans="1:6" ht="12.75">
      <c r="A1012" s="8">
        <v>43904.834351851852</v>
      </c>
      <c r="B1012" s="8" t="str">
        <f>HYPERLINK("https://twitter.com/jakatuak16","@jakatuak16")</f>
        <v>@jakatuak16</v>
      </c>
      <c r="C1012" s="8" t="s">
        <v>602</v>
      </c>
      <c r="D1012" s="8">
        <v>0</v>
      </c>
      <c r="E1012" s="8">
        <v>0</v>
      </c>
      <c r="F1012" s="8">
        <v>17</v>
      </c>
    </row>
    <row r="1013" spans="1:6" ht="12.75">
      <c r="A1013" s="8">
        <v>43904.83384259259</v>
      </c>
      <c r="B1013" s="8" t="str">
        <f>HYPERLINK("https://twitter.com/INAinLisbon","@INAinLisbon")</f>
        <v>@INAinLisbon</v>
      </c>
      <c r="C1013" s="8" t="s">
        <v>603</v>
      </c>
      <c r="D1013" s="8">
        <v>0</v>
      </c>
      <c r="E1013" s="8">
        <v>0</v>
      </c>
      <c r="F1013" s="8">
        <v>484</v>
      </c>
    </row>
    <row r="1014" spans="1:6" ht="12.75">
      <c r="A1014" s="8">
        <v>43904.833344907413</v>
      </c>
      <c r="B1014" s="8" t="str">
        <f>HYPERLINK("https://twitter.com/healthyliveID","@healthyliveID")</f>
        <v>@healthyliveID</v>
      </c>
      <c r="C1014" s="8" t="s">
        <v>604</v>
      </c>
      <c r="D1014" s="8">
        <v>0</v>
      </c>
      <c r="E1014" s="8">
        <v>0</v>
      </c>
      <c r="F1014" s="8">
        <v>45113</v>
      </c>
    </row>
    <row r="1015" spans="1:6" ht="12.75">
      <c r="A1015" s="8">
        <v>43904.833333333328</v>
      </c>
      <c r="B1015" s="8" t="str">
        <f>HYPERLINK("https://twitter.com/zaviyareza","@zaviyareza")</f>
        <v>@zaviyareza</v>
      </c>
      <c r="C1015" s="8" t="s">
        <v>605</v>
      </c>
      <c r="D1015" s="8">
        <v>0</v>
      </c>
      <c r="E1015" s="8">
        <v>0</v>
      </c>
      <c r="F1015" s="8">
        <v>338</v>
      </c>
    </row>
    <row r="1016" spans="1:6" ht="12.75">
      <c r="A1016" s="8">
        <v>43904.833090277782</v>
      </c>
      <c r="B1016" s="8" t="str">
        <f>HYPERLINK("https://twitter.com/hvrriz","@hvrriz")</f>
        <v>@hvrriz</v>
      </c>
      <c r="C1016" s="8" t="s">
        <v>606</v>
      </c>
      <c r="D1016" s="8">
        <v>0</v>
      </c>
      <c r="E1016" s="8">
        <v>0</v>
      </c>
      <c r="F1016" s="8">
        <v>186</v>
      </c>
    </row>
    <row r="1017" spans="1:6" ht="12.75">
      <c r="A1017" s="8">
        <v>43904.832638888889</v>
      </c>
      <c r="B1017" s="8" t="str">
        <f>HYPERLINK("https://twitter.com/shantyweis","@shantyweis")</f>
        <v>@shantyweis</v>
      </c>
      <c r="C1017" s="8" t="s">
        <v>605</v>
      </c>
      <c r="D1017" s="8">
        <v>0</v>
      </c>
      <c r="E1017" s="8">
        <v>0</v>
      </c>
      <c r="F1017" s="8">
        <v>62</v>
      </c>
    </row>
    <row r="1018" spans="1:6" ht="12.75">
      <c r="A1018" s="8">
        <v>43904.832638888889</v>
      </c>
      <c r="B1018" s="8" t="str">
        <f>HYPERLINK("https://twitter.com/anisasifana","@anisasifana")</f>
        <v>@anisasifana</v>
      </c>
      <c r="C1018" s="8" t="s">
        <v>601</v>
      </c>
      <c r="D1018" s="8">
        <v>0</v>
      </c>
      <c r="E1018" s="8">
        <v>0</v>
      </c>
      <c r="F1018" s="8">
        <v>291</v>
      </c>
    </row>
    <row r="1019" spans="1:6" ht="12.75">
      <c r="A1019" s="8">
        <v>43904.832557870366</v>
      </c>
      <c r="B1019" s="8" t="str">
        <f>HYPERLINK("https://twitter.com/wni_jmsri","@wni_jmsri")</f>
        <v>@wni_jmsri</v>
      </c>
      <c r="C1019" s="8" t="s">
        <v>607</v>
      </c>
      <c r="D1019" s="8">
        <v>7179</v>
      </c>
      <c r="E1019" s="8">
        <v>0</v>
      </c>
      <c r="F1019" s="8">
        <v>198</v>
      </c>
    </row>
    <row r="1020" spans="1:6" ht="12.75">
      <c r="A1020" s="8">
        <v>43904.832465277781</v>
      </c>
      <c r="B1020" s="8" t="str">
        <f>HYPERLINK("https://twitter.com/Ayu__Nisya","@Ayu__Nisya")</f>
        <v>@Ayu__Nisya</v>
      </c>
      <c r="C1020" s="8" t="s">
        <v>608</v>
      </c>
      <c r="D1020" s="8">
        <v>1</v>
      </c>
      <c r="E1020" s="8">
        <v>0</v>
      </c>
      <c r="F1020" s="8">
        <v>375</v>
      </c>
    </row>
    <row r="1021" spans="1:6" ht="12.75">
      <c r="A1021" s="8">
        <v>43904.832175925927</v>
      </c>
      <c r="B1021" s="8" t="str">
        <f>HYPERLINK("https://twitter.com/555masteng","@555masteng")</f>
        <v>@555masteng</v>
      </c>
      <c r="C1021" s="8" t="s">
        <v>19</v>
      </c>
      <c r="D1021" s="8">
        <v>17</v>
      </c>
      <c r="E1021" s="8">
        <v>0</v>
      </c>
      <c r="F1021" s="8">
        <v>5668</v>
      </c>
    </row>
    <row r="1022" spans="1:6" ht="12.75">
      <c r="A1022" s="8">
        <v>43904.83194444445</v>
      </c>
      <c r="B1022" s="8" t="str">
        <f>HYPERLINK("https://twitter.com/AyundaNaditya","@AyundaNaditya")</f>
        <v>@AyundaNaditya</v>
      </c>
      <c r="C1022" s="8" t="s">
        <v>601</v>
      </c>
      <c r="D1022" s="8">
        <v>0</v>
      </c>
      <c r="E1022" s="8">
        <v>0</v>
      </c>
      <c r="F1022" s="8">
        <v>518</v>
      </c>
    </row>
    <row r="1023" spans="1:6" ht="12.75">
      <c r="A1023" s="8">
        <v>43904.83194444445</v>
      </c>
      <c r="B1023" s="8" t="str">
        <f>HYPERLINK("https://twitter.com/MeliaAmel14","@MeliaAmel14")</f>
        <v>@MeliaAmel14</v>
      </c>
      <c r="C1023" s="8" t="s">
        <v>605</v>
      </c>
      <c r="D1023" s="8">
        <v>0</v>
      </c>
      <c r="E1023" s="8">
        <v>0</v>
      </c>
      <c r="F1023" s="8">
        <v>19</v>
      </c>
    </row>
    <row r="1024" spans="1:6" ht="12.75">
      <c r="A1024" s="8">
        <v>43904.831250000003</v>
      </c>
      <c r="B1024" s="8" t="str">
        <f>HYPERLINK("https://twitter.com/haizalayf","@haizalayf")</f>
        <v>@haizalayf</v>
      </c>
      <c r="C1024" s="8" t="s">
        <v>605</v>
      </c>
      <c r="D1024" s="8">
        <v>0</v>
      </c>
      <c r="E1024" s="8">
        <v>0</v>
      </c>
      <c r="F1024" s="8">
        <v>509</v>
      </c>
    </row>
    <row r="1025" spans="1:6" ht="12.75">
      <c r="A1025" s="8">
        <v>43904.830810185187</v>
      </c>
      <c r="B1025" s="8" t="str">
        <f>HYPERLINK("https://twitter.com/_wni_","@_wni_")</f>
        <v>@_wni_</v>
      </c>
      <c r="C1025" s="8" t="s">
        <v>609</v>
      </c>
      <c r="D1025" s="8">
        <v>1495</v>
      </c>
      <c r="E1025" s="8">
        <v>0</v>
      </c>
      <c r="F1025" s="8">
        <v>21</v>
      </c>
    </row>
    <row r="1026" spans="1:6" ht="12.75">
      <c r="A1026" s="8">
        <v>43904.830763888887</v>
      </c>
      <c r="B1026" s="8" t="str">
        <f>HYPERLINK("https://twitter.com/echoPiR","@echoPiR")</f>
        <v>@echoPiR</v>
      </c>
      <c r="C1026" s="8" t="s">
        <v>610</v>
      </c>
      <c r="D1026" s="8">
        <v>0</v>
      </c>
      <c r="E1026" s="8">
        <v>3</v>
      </c>
      <c r="F1026" s="8">
        <v>185</v>
      </c>
    </row>
    <row r="1027" spans="1:6" ht="12.75">
      <c r="A1027" s="8">
        <v>43904.830601851849</v>
      </c>
      <c r="B1027" s="8" t="str">
        <f>HYPERLINK("https://twitter.com/_Sjam","@_Sjam")</f>
        <v>@_Sjam</v>
      </c>
      <c r="C1027" s="8" t="s">
        <v>146</v>
      </c>
      <c r="D1027" s="8">
        <v>0</v>
      </c>
      <c r="E1027" s="8">
        <v>0</v>
      </c>
      <c r="F1027" s="8">
        <v>695</v>
      </c>
    </row>
    <row r="1028" spans="1:6" ht="12.75">
      <c r="A1028" s="8">
        <v>43904.830555555556</v>
      </c>
      <c r="B1028" s="8" t="str">
        <f>HYPERLINK("https://twitter.com/saorisaos_tiram","@saorisaos_tiram")</f>
        <v>@saorisaos_tiram</v>
      </c>
      <c r="C1028" s="8" t="s">
        <v>605</v>
      </c>
      <c r="D1028" s="8">
        <v>0</v>
      </c>
      <c r="E1028" s="8">
        <v>0</v>
      </c>
      <c r="F1028" s="8">
        <v>262</v>
      </c>
    </row>
    <row r="1029" spans="1:6" ht="12.75">
      <c r="A1029" s="8">
        <v>43904.829930555556</v>
      </c>
      <c r="B1029" s="8" t="str">
        <f>HYPERLINK("https://twitter.com/pradaivon","@pradaivon")</f>
        <v>@pradaivon</v>
      </c>
      <c r="C1029" s="8" t="s">
        <v>611</v>
      </c>
      <c r="D1029" s="8">
        <v>0</v>
      </c>
      <c r="E1029" s="8">
        <v>0</v>
      </c>
      <c r="F1029" s="8">
        <v>1683</v>
      </c>
    </row>
    <row r="1030" spans="1:6" ht="12.75">
      <c r="A1030" s="8">
        <v>43904.829930555556</v>
      </c>
      <c r="B1030" s="8" t="str">
        <f>HYPERLINK("https://twitter.com/utamanewscom","@utamanewscom")</f>
        <v>@utamanewscom</v>
      </c>
      <c r="C1030" s="8" t="s">
        <v>612</v>
      </c>
      <c r="D1030" s="8">
        <v>0</v>
      </c>
      <c r="E1030" s="8">
        <v>0</v>
      </c>
      <c r="F1030" s="8">
        <v>964</v>
      </c>
    </row>
    <row r="1031" spans="1:6" ht="12.75">
      <c r="A1031" s="8">
        <v>43904.82913194444</v>
      </c>
      <c r="B1031" s="8" t="str">
        <f>HYPERLINK("https://twitter.com/illyakbar","@illyakbar")</f>
        <v>@illyakbar</v>
      </c>
      <c r="C1031" s="8" t="s">
        <v>613</v>
      </c>
      <c r="D1031" s="8">
        <v>0</v>
      </c>
      <c r="E1031" s="8">
        <v>0</v>
      </c>
      <c r="F1031" s="8">
        <v>1510</v>
      </c>
    </row>
    <row r="1032" spans="1:6" ht="12.75">
      <c r="A1032" s="8">
        <v>43904.828831018516</v>
      </c>
      <c r="B1032" s="8" t="str">
        <f>HYPERLINK("https://twitter.com/inisayaraka","@inisayaraka")</f>
        <v>@inisayaraka</v>
      </c>
      <c r="C1032" s="8" t="s">
        <v>614</v>
      </c>
      <c r="D1032" s="8">
        <v>0</v>
      </c>
      <c r="E1032" s="8">
        <v>0</v>
      </c>
      <c r="F1032" s="8">
        <v>281</v>
      </c>
    </row>
    <row r="1033" spans="1:6" ht="12.75">
      <c r="A1033" s="8">
        <v>43904.828784722224</v>
      </c>
      <c r="B1033" s="8" t="str">
        <f>HYPERLINK("https://twitter.com/wni_jmsri","@wni_jmsri")</f>
        <v>@wni_jmsri</v>
      </c>
      <c r="C1033" s="8" t="s">
        <v>615</v>
      </c>
      <c r="D1033" s="8">
        <v>3567</v>
      </c>
      <c r="E1033" s="8">
        <v>0</v>
      </c>
      <c r="F1033" s="8">
        <v>198</v>
      </c>
    </row>
    <row r="1034" spans="1:6" ht="12.75">
      <c r="A1034" s="8">
        <v>43904.828634259262</v>
      </c>
      <c r="B1034" s="8" t="str">
        <f>HYPERLINK("https://twitter.com/fakeoaktree","@fakeoaktree")</f>
        <v>@fakeoaktree</v>
      </c>
      <c r="C1034" s="8" t="s">
        <v>616</v>
      </c>
      <c r="D1034" s="8">
        <v>1</v>
      </c>
      <c r="E1034" s="8">
        <v>0</v>
      </c>
      <c r="F1034" s="8">
        <v>678</v>
      </c>
    </row>
    <row r="1035" spans="1:6" ht="12.75">
      <c r="A1035" s="8">
        <v>43904.828078703707</v>
      </c>
      <c r="B1035" s="8" t="str">
        <f>HYPERLINK("https://twitter.com/rulnipz_71","@rulnipz_71")</f>
        <v>@rulnipz_71</v>
      </c>
      <c r="C1035" s="8" t="s">
        <v>617</v>
      </c>
      <c r="D1035" s="8">
        <v>0</v>
      </c>
      <c r="E1035" s="8">
        <v>0</v>
      </c>
      <c r="F1035" s="8">
        <v>3</v>
      </c>
    </row>
    <row r="1036" spans="1:6" ht="12.75">
      <c r="A1036" s="8">
        <v>43904.827939814815</v>
      </c>
      <c r="B1036" s="8" t="str">
        <f>HYPERLINK("https://twitter.com/ivanahari1","@ivanahari1")</f>
        <v>@ivanahari1</v>
      </c>
      <c r="C1036" s="8" t="s">
        <v>618</v>
      </c>
      <c r="D1036" s="8">
        <v>0</v>
      </c>
      <c r="E1036" s="8">
        <v>0</v>
      </c>
      <c r="F1036" s="8">
        <v>12</v>
      </c>
    </row>
    <row r="1037" spans="1:6" ht="12.75">
      <c r="A1037" s="8">
        <v>43904.827349537038</v>
      </c>
      <c r="B1037" s="8" t="str">
        <f>HYPERLINK("https://twitter.com/erik_dharmajaya","@erik_dharmajaya")</f>
        <v>@erik_dharmajaya</v>
      </c>
      <c r="C1037" s="8" t="s">
        <v>102</v>
      </c>
      <c r="D1037" s="8">
        <v>15</v>
      </c>
      <c r="E1037" s="8">
        <v>0</v>
      </c>
      <c r="F1037" s="8">
        <v>20</v>
      </c>
    </row>
    <row r="1038" spans="1:6" ht="12.75">
      <c r="A1038" s="8">
        <v>43904.827013888891</v>
      </c>
      <c r="B1038" s="8" t="str">
        <f>HYPERLINK("https://twitter.com/adelehehehe_","@adelehehehe_")</f>
        <v>@adelehehehe_</v>
      </c>
      <c r="C1038" s="8" t="s">
        <v>162</v>
      </c>
      <c r="D1038" s="8">
        <v>143</v>
      </c>
      <c r="E1038" s="8">
        <v>0</v>
      </c>
      <c r="F1038" s="8">
        <v>601</v>
      </c>
    </row>
    <row r="1039" spans="1:6" ht="12.75">
      <c r="A1039" s="8">
        <v>43904.826736111107</v>
      </c>
      <c r="B1039" s="8" t="str">
        <f>HYPERLINK("https://twitter.com/isis___souza","@isis___souza")</f>
        <v>@isis___souza</v>
      </c>
      <c r="C1039" s="8" t="s">
        <v>619</v>
      </c>
      <c r="D1039" s="8">
        <v>1</v>
      </c>
      <c r="E1039" s="8">
        <v>0</v>
      </c>
      <c r="F1039" s="8">
        <v>204</v>
      </c>
    </row>
    <row r="1040" spans="1:6" ht="12.75">
      <c r="A1040" s="8">
        <v>43904.826365740737</v>
      </c>
      <c r="B1040" s="8" t="str">
        <f>HYPERLINK("https://twitter.com/dwidiptayana","@dwidiptayana")</f>
        <v>@dwidiptayana</v>
      </c>
      <c r="C1040" s="8" t="s">
        <v>620</v>
      </c>
      <c r="D1040" s="8">
        <v>1</v>
      </c>
      <c r="E1040" s="8">
        <v>1</v>
      </c>
      <c r="F1040" s="8">
        <v>291</v>
      </c>
    </row>
    <row r="1041" spans="1:6" ht="12.75">
      <c r="A1041" s="8">
        <v>43904.825868055559</v>
      </c>
      <c r="B1041" s="8" t="str">
        <f>HYPERLINK("https://twitter.com/Ndrews1162011","@Ndrews1162011")</f>
        <v>@Ndrews1162011</v>
      </c>
      <c r="C1041" s="8" t="s">
        <v>621</v>
      </c>
      <c r="D1041" s="8">
        <v>0</v>
      </c>
      <c r="E1041" s="8">
        <v>0</v>
      </c>
      <c r="F1041" s="8">
        <v>1322</v>
      </c>
    </row>
    <row r="1042" spans="1:6" ht="12.75">
      <c r="A1042" s="8">
        <v>43904.825578703705</v>
      </c>
      <c r="B1042" s="8" t="str">
        <f>HYPERLINK("https://twitter.com/tololahha","@tololahha")</f>
        <v>@tololahha</v>
      </c>
      <c r="C1042" s="8" t="s">
        <v>622</v>
      </c>
      <c r="D1042" s="8">
        <v>0</v>
      </c>
      <c r="E1042" s="8">
        <v>0</v>
      </c>
      <c r="F1042" s="8">
        <v>104</v>
      </c>
    </row>
    <row r="1043" spans="1:6" ht="12.75">
      <c r="A1043" s="8">
        <v>43904.825150462959</v>
      </c>
      <c r="B1043" s="8" t="str">
        <f>HYPERLINK("https://twitter.com/ibnux","@ibnux")</f>
        <v>@ibnux</v>
      </c>
      <c r="C1043" s="8" t="s">
        <v>63</v>
      </c>
      <c r="D1043" s="8">
        <v>58</v>
      </c>
      <c r="E1043" s="8">
        <v>0</v>
      </c>
      <c r="F1043" s="8">
        <v>54250</v>
      </c>
    </row>
    <row r="1044" spans="1:6" ht="12.75">
      <c r="A1044" s="8">
        <v>43904.824780092589</v>
      </c>
      <c r="B1044" s="8" t="str">
        <f>HYPERLINK("https://twitter.com/keyshasasa3","@keyshasasa3")</f>
        <v>@keyshasasa3</v>
      </c>
      <c r="C1044" s="8" t="s">
        <v>623</v>
      </c>
      <c r="D1044" s="8">
        <v>0</v>
      </c>
      <c r="E1044" s="8">
        <v>0</v>
      </c>
      <c r="F1044" s="8">
        <v>3</v>
      </c>
    </row>
    <row r="1045" spans="1:6" ht="12.75">
      <c r="A1045" s="8">
        <v>43904.824745370366</v>
      </c>
      <c r="B1045" s="8" t="str">
        <f>HYPERLINK("https://twitter.com/chu3rry","@chu3rry")</f>
        <v>@chu3rry</v>
      </c>
      <c r="C1045" s="8" t="s">
        <v>624</v>
      </c>
      <c r="D1045" s="8">
        <v>0</v>
      </c>
      <c r="E1045" s="8">
        <v>0</v>
      </c>
      <c r="F1045" s="8">
        <v>14</v>
      </c>
    </row>
    <row r="1046" spans="1:6" ht="12.75">
      <c r="A1046" s="8">
        <v>43904.824421296296</v>
      </c>
      <c r="B1046" s="8" t="str">
        <f>HYPERLINK("https://twitter.com/regina2898","@regina2898")</f>
        <v>@regina2898</v>
      </c>
      <c r="C1046" s="8" t="s">
        <v>625</v>
      </c>
      <c r="D1046" s="8">
        <v>0</v>
      </c>
      <c r="E1046" s="8">
        <v>0</v>
      </c>
      <c r="F1046" s="8">
        <v>308</v>
      </c>
    </row>
    <row r="1047" spans="1:6" ht="12.75">
      <c r="A1047" s="8">
        <v>43904.824224537035</v>
      </c>
      <c r="B1047" s="8" t="str">
        <f>HYPERLINK("https://twitter.com/byungchanku","@byungchanku")</f>
        <v>@byungchanku</v>
      </c>
      <c r="C1047" s="8" t="s">
        <v>626</v>
      </c>
      <c r="D1047" s="8">
        <v>0</v>
      </c>
      <c r="E1047" s="8">
        <v>2</v>
      </c>
      <c r="F1047" s="8">
        <v>1711</v>
      </c>
    </row>
    <row r="1048" spans="1:6" ht="12.75">
      <c r="A1048" s="8">
        <v>43904.823449074072</v>
      </c>
      <c r="B1048" s="8" t="str">
        <f>HYPERLINK("https://twitter.com/chirp__john","@chirp__john")</f>
        <v>@chirp__john</v>
      </c>
      <c r="C1048" s="8" t="s">
        <v>627</v>
      </c>
      <c r="D1048" s="8">
        <v>0</v>
      </c>
      <c r="E1048" s="8">
        <v>0</v>
      </c>
      <c r="F1048" s="8">
        <v>5898</v>
      </c>
    </row>
    <row r="1049" spans="1:6" ht="12.75">
      <c r="A1049" s="8">
        <v>43904.823333333334</v>
      </c>
      <c r="B1049" s="8" t="str">
        <f>HYPERLINK("https://twitter.com/thesinisme","@thesinisme")</f>
        <v>@thesinisme</v>
      </c>
      <c r="C1049" s="8" t="s">
        <v>628</v>
      </c>
      <c r="D1049" s="8">
        <v>7</v>
      </c>
      <c r="E1049" s="8">
        <v>0</v>
      </c>
      <c r="F1049" s="8">
        <v>226</v>
      </c>
    </row>
    <row r="1050" spans="1:6" ht="12.75">
      <c r="A1050" s="8">
        <v>43904.823171296295</v>
      </c>
      <c r="B1050" s="8" t="str">
        <f>HYPERLINK("https://twitter.com/mksfess","@mksfess")</f>
        <v>@mksfess</v>
      </c>
      <c r="C1050" s="8" t="s">
        <v>629</v>
      </c>
      <c r="D1050" s="8">
        <v>0</v>
      </c>
      <c r="E1050" s="8">
        <v>1</v>
      </c>
      <c r="F1050" s="8">
        <v>4227</v>
      </c>
    </row>
    <row r="1051" spans="1:6" ht="12.75">
      <c r="A1051" s="8">
        <v>43904.82236111111</v>
      </c>
      <c r="B1051" s="8" t="str">
        <f>HYPERLINK("https://twitter.com/AnikXelfi","@AnikXelfi")</f>
        <v>@AnikXelfi</v>
      </c>
      <c r="C1051" s="8" t="s">
        <v>19</v>
      </c>
      <c r="D1051" s="8">
        <v>17</v>
      </c>
      <c r="E1051" s="8">
        <v>0</v>
      </c>
      <c r="F1051" s="8">
        <v>256</v>
      </c>
    </row>
    <row r="1052" spans="1:6" ht="12.75">
      <c r="A1052" s="8">
        <v>43904.822291666671</v>
      </c>
      <c r="B1052" s="8" t="str">
        <f>HYPERLINK("https://twitter.com/ekiprastanti","@ekiprastanti")</f>
        <v>@ekiprastanti</v>
      </c>
      <c r="C1052" s="8" t="s">
        <v>630</v>
      </c>
      <c r="D1052" s="8">
        <v>0</v>
      </c>
      <c r="E1052" s="8">
        <v>0</v>
      </c>
      <c r="F1052" s="8">
        <v>270</v>
      </c>
    </row>
    <row r="1053" spans="1:6" ht="12.75">
      <c r="A1053" s="8">
        <v>43904.821898148148</v>
      </c>
      <c r="B1053" s="8" t="str">
        <f>HYPERLINK("https://twitter.com/maumakanbanyak","@maumakanbanyak")</f>
        <v>@maumakanbanyak</v>
      </c>
      <c r="C1053" s="8" t="s">
        <v>162</v>
      </c>
      <c r="D1053" s="8">
        <v>143</v>
      </c>
      <c r="E1053" s="8">
        <v>0</v>
      </c>
      <c r="F1053" s="8">
        <v>14</v>
      </c>
    </row>
    <row r="1054" spans="1:6" ht="12.75">
      <c r="A1054" s="8">
        <v>43904.821134259255</v>
      </c>
      <c r="B1054" s="8" t="str">
        <f>HYPERLINK("https://twitter.com/dianayuhana","@dianayuhana")</f>
        <v>@dianayuhana</v>
      </c>
      <c r="C1054" s="8" t="s">
        <v>63</v>
      </c>
      <c r="D1054" s="8">
        <v>58</v>
      </c>
      <c r="E1054" s="8">
        <v>0</v>
      </c>
      <c r="F1054" s="8">
        <v>70</v>
      </c>
    </row>
    <row r="1055" spans="1:6" ht="12.75">
      <c r="A1055" s="8">
        <v>43904.820451388892</v>
      </c>
      <c r="B1055" s="8" t="str">
        <f>HYPERLINK("https://twitter.com/bijak_politik","@bijak_politik")</f>
        <v>@bijak_politik</v>
      </c>
      <c r="C1055" s="8" t="s">
        <v>631</v>
      </c>
      <c r="D1055" s="8">
        <v>0</v>
      </c>
      <c r="E1055" s="8">
        <v>0</v>
      </c>
      <c r="F1055" s="8">
        <v>893</v>
      </c>
    </row>
    <row r="1056" spans="1:6" ht="12.75">
      <c r="A1056" s="8">
        <v>43904.819988425923</v>
      </c>
      <c r="B1056" s="8" t="str">
        <f>HYPERLINK("https://twitter.com/anjanikhan4","@anjanikhan4")</f>
        <v>@anjanikhan4</v>
      </c>
      <c r="C1056" s="8" t="s">
        <v>632</v>
      </c>
      <c r="D1056" s="8">
        <v>0</v>
      </c>
      <c r="E1056" s="8">
        <v>0</v>
      </c>
      <c r="F1056" s="8">
        <v>4</v>
      </c>
    </row>
    <row r="1057" spans="1:6" ht="12.75">
      <c r="A1057" s="8">
        <v>43904.819155092591</v>
      </c>
      <c r="B1057" s="8" t="str">
        <f>HYPERLINK("https://twitter.com/hyeoksshi","@hyeoksshi")</f>
        <v>@hyeoksshi</v>
      </c>
      <c r="C1057" s="8" t="s">
        <v>633</v>
      </c>
      <c r="D1057" s="8">
        <v>0</v>
      </c>
      <c r="E1057" s="8">
        <v>0</v>
      </c>
      <c r="F1057" s="8">
        <v>1351</v>
      </c>
    </row>
    <row r="1058" spans="1:6" ht="12.75">
      <c r="A1058" s="8">
        <v>43904.818032407406</v>
      </c>
      <c r="B1058" s="8" t="str">
        <f>HYPERLINK("https://twitter.com/enny_endah","@enny_endah")</f>
        <v>@enny_endah</v>
      </c>
      <c r="C1058" s="8" t="s">
        <v>102</v>
      </c>
      <c r="D1058" s="8">
        <v>15</v>
      </c>
      <c r="E1058" s="8">
        <v>0</v>
      </c>
      <c r="F1058" s="8">
        <v>10746</v>
      </c>
    </row>
    <row r="1059" spans="1:6" ht="12.75">
      <c r="A1059" s="8">
        <v>43904.815833333334</v>
      </c>
      <c r="B1059" s="8" t="str">
        <f>HYPERLINK("https://twitter.com/Darmo_sajalah","@Darmo_sajalah")</f>
        <v>@Darmo_sajalah</v>
      </c>
      <c r="C1059" s="8" t="s">
        <v>634</v>
      </c>
      <c r="D1059" s="8">
        <v>0</v>
      </c>
      <c r="E1059" s="8">
        <v>0</v>
      </c>
      <c r="F1059" s="8">
        <v>253</v>
      </c>
    </row>
    <row r="1060" spans="1:6" ht="12.75">
      <c r="A1060" s="8">
        <v>43904.814965277779</v>
      </c>
      <c r="B1060" s="8" t="str">
        <f>HYPERLINK("https://twitter.com/hermanyosephlfd","@hermanyosephlfd")</f>
        <v>@hermanyosephlfd</v>
      </c>
      <c r="C1060" s="8" t="s">
        <v>391</v>
      </c>
      <c r="D1060" s="8">
        <v>38</v>
      </c>
      <c r="E1060" s="8">
        <v>0</v>
      </c>
      <c r="F1060" s="8">
        <v>344</v>
      </c>
    </row>
    <row r="1061" spans="1:6" ht="12.75">
      <c r="A1061" s="8">
        <v>43904.814143518517</v>
      </c>
      <c r="B1061" s="8" t="str">
        <f>HYPERLINK("https://twitter.com/pradaivon","@pradaivon")</f>
        <v>@pradaivon</v>
      </c>
      <c r="C1061" s="8" t="s">
        <v>635</v>
      </c>
      <c r="D1061" s="8">
        <v>0</v>
      </c>
      <c r="E1061" s="8">
        <v>0</v>
      </c>
      <c r="F1061" s="8">
        <v>1683</v>
      </c>
    </row>
    <row r="1062" spans="1:6" ht="12.75">
      <c r="A1062" s="8">
        <v>43904.813622685186</v>
      </c>
      <c r="B1062" s="8" t="str">
        <f>HYPERLINK("https://twitter.com/sibungsu23","@sibungsu23")</f>
        <v>@sibungsu23</v>
      </c>
      <c r="C1062" s="8" t="s">
        <v>636</v>
      </c>
      <c r="D1062" s="8">
        <v>0</v>
      </c>
      <c r="E1062" s="8">
        <v>0</v>
      </c>
      <c r="F1062" s="8">
        <v>55</v>
      </c>
    </row>
    <row r="1063" spans="1:6" ht="12.75">
      <c r="A1063" s="8">
        <v>43904.813113425931</v>
      </c>
      <c r="B1063" s="8" t="str">
        <f>HYPERLINK("https://twitter.com/egie234","@egie234")</f>
        <v>@egie234</v>
      </c>
      <c r="C1063" s="8" t="s">
        <v>637</v>
      </c>
      <c r="D1063" s="8">
        <v>7</v>
      </c>
      <c r="E1063" s="8">
        <v>0</v>
      </c>
      <c r="F1063" s="8">
        <v>403</v>
      </c>
    </row>
    <row r="1064" spans="1:6" ht="12.75">
      <c r="A1064" s="8">
        <v>43904.81251157407</v>
      </c>
      <c r="B1064" s="8" t="str">
        <f>HYPERLINK("https://twitter.com/pantau_com","@pantau_com")</f>
        <v>@pantau_com</v>
      </c>
      <c r="C1064" s="8" t="s">
        <v>638</v>
      </c>
      <c r="D1064" s="8">
        <v>0</v>
      </c>
      <c r="E1064" s="8">
        <v>0</v>
      </c>
      <c r="F1064" s="8">
        <v>2110</v>
      </c>
    </row>
    <row r="1065" spans="1:6" ht="12.75">
      <c r="A1065" s="8">
        <v>43904.812175925923</v>
      </c>
      <c r="B1065" s="8" t="str">
        <f>HYPERLINK("https://twitter.com/Goestavo","@Goestavo")</f>
        <v>@Goestavo</v>
      </c>
      <c r="C1065" s="8" t="s">
        <v>639</v>
      </c>
      <c r="D1065" s="8">
        <v>0</v>
      </c>
      <c r="E1065" s="8">
        <v>0</v>
      </c>
      <c r="F1065" s="8">
        <v>1271</v>
      </c>
    </row>
    <row r="1066" spans="1:6" ht="12.75">
      <c r="A1066" s="8">
        <v>43904.812037037038</v>
      </c>
      <c r="B1066" s="8" t="str">
        <f>HYPERLINK("https://twitter.com/ArnetzS_SABLENX","@ArnetzS_SABLENX")</f>
        <v>@ArnetzS_SABLENX</v>
      </c>
      <c r="C1066" s="8" t="s">
        <v>640</v>
      </c>
      <c r="D1066" s="8">
        <v>0</v>
      </c>
      <c r="E1066" s="8">
        <v>0</v>
      </c>
      <c r="F1066" s="8">
        <v>900</v>
      </c>
    </row>
    <row r="1067" spans="1:6" ht="12.75">
      <c r="A1067" s="8">
        <v>43904.811666666668</v>
      </c>
      <c r="B1067" s="8" t="str">
        <f>HYPERLINK("https://twitter.com/AminollahDj","@AminollahDj")</f>
        <v>@AminollahDj</v>
      </c>
      <c r="C1067" s="8" t="s">
        <v>162</v>
      </c>
      <c r="D1067" s="8">
        <v>143</v>
      </c>
      <c r="E1067" s="8">
        <v>0</v>
      </c>
      <c r="F1067" s="8">
        <v>216</v>
      </c>
    </row>
    <row r="1068" spans="1:6" ht="12.75">
      <c r="A1068" s="8">
        <v>43904.811516203699</v>
      </c>
      <c r="B1068" s="8" t="str">
        <f>HYPERLINK("https://twitter.com/nemosyus","@nemosyus")</f>
        <v>@nemosyus</v>
      </c>
      <c r="C1068" s="8" t="s">
        <v>641</v>
      </c>
      <c r="D1068" s="8">
        <v>0</v>
      </c>
      <c r="E1068" s="8">
        <v>1</v>
      </c>
      <c r="F1068" s="8">
        <v>566</v>
      </c>
    </row>
    <row r="1069" spans="1:6" ht="12.75">
      <c r="A1069" s="8">
        <v>43904.81149305556</v>
      </c>
      <c r="B1069" s="8" t="str">
        <f>HYPERLINK("https://twitter.com/cendananews","@cendananews")</f>
        <v>@cendananews</v>
      </c>
      <c r="C1069" s="8" t="s">
        <v>642</v>
      </c>
      <c r="D1069" s="8">
        <v>0</v>
      </c>
      <c r="E1069" s="8">
        <v>0</v>
      </c>
      <c r="F1069" s="8">
        <v>4590</v>
      </c>
    </row>
    <row r="1070" spans="1:6" ht="12.75">
      <c r="A1070" s="8">
        <v>43904.811365740738</v>
      </c>
      <c r="B1070" s="8" t="str">
        <f>HYPERLINK("https://twitter.com/pakWali_","@pakWali_")</f>
        <v>@pakWali_</v>
      </c>
      <c r="C1070" s="8" t="s">
        <v>643</v>
      </c>
      <c r="D1070" s="8">
        <v>0</v>
      </c>
      <c r="E1070" s="8">
        <v>1</v>
      </c>
      <c r="F1070" s="8">
        <v>450</v>
      </c>
    </row>
    <row r="1071" spans="1:6" ht="12.75">
      <c r="A1071" s="8">
        <v>43904.81113425926</v>
      </c>
      <c r="B1071" s="8" t="str">
        <f>HYPERLINK("https://twitter.com/leetyong___","@leetyong___")</f>
        <v>@leetyong___</v>
      </c>
      <c r="C1071" s="8" t="s">
        <v>644</v>
      </c>
      <c r="D1071" s="8">
        <v>3</v>
      </c>
      <c r="E1071" s="8">
        <v>0</v>
      </c>
      <c r="F1071" s="8">
        <v>244</v>
      </c>
    </row>
    <row r="1072" spans="1:6" ht="12.75">
      <c r="A1072" s="8">
        <v>43904.811111111107</v>
      </c>
      <c r="B1072" s="8" t="str">
        <f>HYPERLINK("https://twitter.com/SariAnnasia","@SariAnnasia")</f>
        <v>@SariAnnasia</v>
      </c>
      <c r="C1072" s="8" t="s">
        <v>645</v>
      </c>
      <c r="D1072" s="8">
        <v>0</v>
      </c>
      <c r="E1072" s="8">
        <v>0</v>
      </c>
      <c r="F1072" s="8">
        <v>1896</v>
      </c>
    </row>
    <row r="1073" spans="1:6" ht="12.75">
      <c r="A1073" s="8">
        <v>43904.811041666668</v>
      </c>
      <c r="B1073" s="8" t="str">
        <f>HYPERLINK("https://twitter.com/beritasumut","@beritasumut")</f>
        <v>@beritasumut</v>
      </c>
      <c r="C1073" s="8" t="s">
        <v>646</v>
      </c>
      <c r="D1073" s="8">
        <v>0</v>
      </c>
      <c r="E1073" s="8">
        <v>0</v>
      </c>
      <c r="F1073" s="8">
        <v>1821</v>
      </c>
    </row>
    <row r="1074" spans="1:6" ht="12.75">
      <c r="A1074" s="8">
        <v>43904.810960648145</v>
      </c>
      <c r="B1074" s="8" t="str">
        <f>HYPERLINK("https://twitter.com/Hildaaahildaw","@Hildaaahildaw")</f>
        <v>@Hildaaahildaw</v>
      </c>
      <c r="C1074" s="8" t="s">
        <v>647</v>
      </c>
      <c r="D1074" s="8">
        <v>0</v>
      </c>
      <c r="E1074" s="8">
        <v>0</v>
      </c>
      <c r="F1074" s="8">
        <v>229</v>
      </c>
    </row>
    <row r="1075" spans="1:6" ht="12.75">
      <c r="A1075" s="8">
        <v>43904.810416666667</v>
      </c>
      <c r="B1075" s="8" t="str">
        <f>HYPERLINK("https://twitter.com/Rudangtaa","@Rudangtaa")</f>
        <v>@Rudangtaa</v>
      </c>
      <c r="C1075" s="8" t="s">
        <v>648</v>
      </c>
      <c r="D1075" s="8">
        <v>0</v>
      </c>
      <c r="E1075" s="8">
        <v>0</v>
      </c>
      <c r="F1075" s="8">
        <v>309</v>
      </c>
    </row>
    <row r="1076" spans="1:6" ht="12.75">
      <c r="A1076" s="8">
        <v>43904.81013888889</v>
      </c>
      <c r="B1076" s="8" t="str">
        <f>HYPERLINK("https://twitter.com/filennn","@filennn")</f>
        <v>@filennn</v>
      </c>
      <c r="C1076" s="8" t="s">
        <v>649</v>
      </c>
      <c r="D1076" s="8">
        <v>0</v>
      </c>
      <c r="E1076" s="8">
        <v>0</v>
      </c>
      <c r="F1076" s="8">
        <v>1039</v>
      </c>
    </row>
    <row r="1077" spans="1:6" ht="12.75">
      <c r="A1077" s="8">
        <v>43904.81</v>
      </c>
      <c r="B1077" s="8" t="str">
        <f>HYPERLINK("https://twitter.com/syauki","@syauki")</f>
        <v>@syauki</v>
      </c>
      <c r="C1077" s="8" t="s">
        <v>650</v>
      </c>
      <c r="D1077" s="8">
        <v>0</v>
      </c>
      <c r="E1077" s="8">
        <v>0</v>
      </c>
      <c r="F1077" s="8">
        <v>487</v>
      </c>
    </row>
    <row r="1078" spans="1:6" ht="12.75">
      <c r="A1078" s="8">
        <v>43904.809953703705</v>
      </c>
      <c r="B1078" s="8" t="str">
        <f>HYPERLINK("https://twitter.com/hyeoksshi","@hyeoksshi")</f>
        <v>@hyeoksshi</v>
      </c>
      <c r="C1078" s="8" t="s">
        <v>644</v>
      </c>
      <c r="D1078" s="8">
        <v>3</v>
      </c>
      <c r="E1078" s="8">
        <v>0</v>
      </c>
      <c r="F1078" s="8">
        <v>1351</v>
      </c>
    </row>
    <row r="1079" spans="1:6" ht="12.75">
      <c r="A1079" s="8">
        <v>43904.80972222222</v>
      </c>
      <c r="B1079" s="8" t="str">
        <f>HYPERLINK("https://twitter.com/MiraAnjelita","@MiraAnjelita")</f>
        <v>@MiraAnjelita</v>
      </c>
      <c r="C1079" s="8" t="s">
        <v>651</v>
      </c>
      <c r="D1079" s="8">
        <v>0</v>
      </c>
      <c r="E1079" s="8">
        <v>0</v>
      </c>
      <c r="F1079" s="8">
        <v>2258</v>
      </c>
    </row>
    <row r="1080" spans="1:6" ht="12.75">
      <c r="A1080" s="8">
        <v>43904.809236111112</v>
      </c>
      <c r="B1080" s="8" t="str">
        <f>HYPERLINK("https://twitter.com/ahfrrl","@ahfrrl")</f>
        <v>@ahfrrl</v>
      </c>
      <c r="C1080" s="8" t="s">
        <v>652</v>
      </c>
      <c r="D1080" s="8">
        <v>0</v>
      </c>
      <c r="E1080" s="8">
        <v>0</v>
      </c>
      <c r="F1080" s="8">
        <v>583</v>
      </c>
    </row>
    <row r="1081" spans="1:6" ht="12.75">
      <c r="A1081" s="8">
        <v>43904.808715277773</v>
      </c>
      <c r="B1081" s="8" t="str">
        <f>HYPERLINK("https://twitter.com/claraaasheilla","@claraaasheilla")</f>
        <v>@claraaasheilla</v>
      </c>
      <c r="C1081" s="8" t="s">
        <v>653</v>
      </c>
      <c r="D1081" s="8">
        <v>0</v>
      </c>
      <c r="E1081" s="8">
        <v>1</v>
      </c>
      <c r="F1081" s="8">
        <v>1963</v>
      </c>
    </row>
    <row r="1082" spans="1:6" ht="12.75">
      <c r="A1082" s="8">
        <v>43904.808333333334</v>
      </c>
      <c r="B1082" s="8" t="str">
        <f>HYPERLINK("https://twitter.com/kangkolak_oh","@kangkolak_oh")</f>
        <v>@kangkolak_oh</v>
      </c>
      <c r="C1082" s="8" t="s">
        <v>601</v>
      </c>
      <c r="D1082" s="8">
        <v>0</v>
      </c>
      <c r="E1082" s="8">
        <v>0</v>
      </c>
      <c r="F1082" s="8">
        <v>604</v>
      </c>
    </row>
    <row r="1083" spans="1:6" ht="12.75">
      <c r="A1083" s="8">
        <v>43904.808159722219</v>
      </c>
      <c r="B1083" s="8" t="str">
        <f>HYPERLINK("https://twitter.com/myatharva","@myatharva")</f>
        <v>@myatharva</v>
      </c>
      <c r="C1083" s="8" t="s">
        <v>654</v>
      </c>
      <c r="D1083" s="8">
        <v>0</v>
      </c>
      <c r="E1083" s="8">
        <v>2</v>
      </c>
      <c r="F1083" s="8">
        <v>4040</v>
      </c>
    </row>
    <row r="1084" spans="1:6" ht="12.75">
      <c r="A1084" s="8">
        <v>43904.806828703702</v>
      </c>
      <c r="B1084" s="8" t="str">
        <f>HYPERLINK("https://twitter.com/Devito137","@Devito137")</f>
        <v>@Devito137</v>
      </c>
      <c r="C1084" s="8" t="s">
        <v>219</v>
      </c>
      <c r="D1084" s="8">
        <v>53</v>
      </c>
      <c r="E1084" s="8">
        <v>0</v>
      </c>
      <c r="F1084" s="8">
        <v>16231</v>
      </c>
    </row>
    <row r="1085" spans="1:6" ht="12.75">
      <c r="A1085" s="8">
        <v>43904.805555555555</v>
      </c>
      <c r="B1085" s="8" t="str">
        <f>HYPERLINK("https://twitter.com/HayuTuryanto","@HayuTuryanto")</f>
        <v>@HayuTuryanto</v>
      </c>
      <c r="C1085" s="8" t="s">
        <v>282</v>
      </c>
      <c r="D1085" s="8">
        <v>33</v>
      </c>
      <c r="E1085" s="8">
        <v>0</v>
      </c>
      <c r="F1085" s="8">
        <v>221</v>
      </c>
    </row>
    <row r="1086" spans="1:6" ht="12.75">
      <c r="A1086" s="8">
        <v>43904.804259259261</v>
      </c>
      <c r="B1086" s="8" t="str">
        <f>HYPERLINK("https://twitter.com/kahfitau","@kahfitau")</f>
        <v>@kahfitau</v>
      </c>
      <c r="C1086" s="8" t="s">
        <v>655</v>
      </c>
      <c r="D1086" s="8">
        <v>0</v>
      </c>
      <c r="E1086" s="8">
        <v>0</v>
      </c>
      <c r="F1086" s="8">
        <v>5</v>
      </c>
    </row>
    <row r="1087" spans="1:6" ht="12.75">
      <c r="A1087" s="8">
        <v>43904.803773148145</v>
      </c>
      <c r="B1087" s="8" t="str">
        <f>HYPERLINK("https://twitter.com/kemenkopmk","@kemenkopmk")</f>
        <v>@kemenkopmk</v>
      </c>
      <c r="C1087" s="8" t="s">
        <v>656</v>
      </c>
      <c r="D1087" s="8">
        <v>0</v>
      </c>
      <c r="E1087" s="8">
        <v>0</v>
      </c>
      <c r="F1087" s="8">
        <v>131554</v>
      </c>
    </row>
    <row r="1088" spans="1:6" ht="12.75">
      <c r="A1088" s="8">
        <v>43904.803749999999</v>
      </c>
      <c r="B1088" s="8" t="str">
        <f>HYPERLINK("https://twitter.com/antaranews","@antaranews")</f>
        <v>@antaranews</v>
      </c>
      <c r="C1088" s="8" t="s">
        <v>657</v>
      </c>
      <c r="D1088" s="8">
        <v>1</v>
      </c>
      <c r="E1088" s="8">
        <v>8</v>
      </c>
      <c r="F1088" s="8">
        <v>1107653</v>
      </c>
    </row>
    <row r="1089" spans="1:6" ht="12.75">
      <c r="A1089" s="8">
        <v>43904.803703703699</v>
      </c>
      <c r="B1089" s="8" t="str">
        <f>HYPERLINK("https://twitter.com/waajiibulcuddle","@waajiibulcuddle")</f>
        <v>@waajiibulcuddle</v>
      </c>
      <c r="C1089" s="8" t="s">
        <v>658</v>
      </c>
      <c r="D1089" s="8">
        <v>0</v>
      </c>
      <c r="E1089" s="8">
        <v>0</v>
      </c>
      <c r="F1089" s="8">
        <v>971</v>
      </c>
    </row>
    <row r="1090" spans="1:6" ht="12.75">
      <c r="A1090" s="8">
        <v>43904.803437499999</v>
      </c>
      <c r="B1090" s="8" t="str">
        <f>HYPERLINK("https://twitter.com/egasshi","@egasshi")</f>
        <v>@egasshi</v>
      </c>
      <c r="C1090" s="8" t="s">
        <v>659</v>
      </c>
      <c r="D1090" s="8">
        <v>0</v>
      </c>
      <c r="E1090" s="8">
        <v>0</v>
      </c>
      <c r="F1090" s="8">
        <v>97</v>
      </c>
    </row>
    <row r="1091" spans="1:6" ht="12.75">
      <c r="A1091" s="8">
        <v>43904.803344907406</v>
      </c>
      <c r="B1091" s="8" t="str">
        <f>HYPERLINK("https://twitter.com/AnakAbuNawas","@AnakAbuNawas")</f>
        <v>@AnakAbuNawas</v>
      </c>
      <c r="C1091" s="8" t="s">
        <v>660</v>
      </c>
      <c r="D1091" s="8">
        <v>6</v>
      </c>
      <c r="E1091" s="8">
        <v>0</v>
      </c>
      <c r="F1091" s="8">
        <v>127</v>
      </c>
    </row>
    <row r="1092" spans="1:6" ht="12.75">
      <c r="A1092" s="8">
        <v>43904.803124999999</v>
      </c>
      <c r="B1092" s="8" t="str">
        <f>HYPERLINK("https://twitter.com/kbenaranHakiki","@kbenaranHakiki")</f>
        <v>@kbenaranHakiki</v>
      </c>
      <c r="C1092" s="8" t="s">
        <v>661</v>
      </c>
      <c r="D1092" s="8">
        <v>0</v>
      </c>
      <c r="E1092" s="8">
        <v>0</v>
      </c>
      <c r="F1092" s="8">
        <v>1425</v>
      </c>
    </row>
    <row r="1093" spans="1:6" ht="12.75">
      <c r="A1093" s="8">
        <v>43904.802789351852</v>
      </c>
      <c r="B1093" s="8" t="str">
        <f>HYPERLINK("https://twitter.com/RahayuJessie","@RahayuJessie")</f>
        <v>@RahayuJessie</v>
      </c>
      <c r="C1093" s="8" t="s">
        <v>662</v>
      </c>
      <c r="D1093" s="8">
        <v>0</v>
      </c>
      <c r="E1093" s="8">
        <v>0</v>
      </c>
      <c r="F1093" s="8">
        <v>128</v>
      </c>
    </row>
    <row r="1094" spans="1:6" ht="12.75">
      <c r="A1094" s="8">
        <v>43904.802627314813</v>
      </c>
      <c r="B1094" s="8" t="str">
        <f>HYPERLINK("https://twitter.com/erinnnrin","@erinnnrin")</f>
        <v>@erinnnrin</v>
      </c>
      <c r="C1094" s="8" t="s">
        <v>663</v>
      </c>
      <c r="D1094" s="8">
        <v>0</v>
      </c>
      <c r="E1094" s="8">
        <v>0</v>
      </c>
      <c r="F1094" s="8">
        <v>186</v>
      </c>
    </row>
    <row r="1095" spans="1:6" ht="12.75">
      <c r="A1095" s="8">
        <v>43904.802546296298</v>
      </c>
      <c r="B1095" s="8" t="str">
        <f>HYPERLINK("https://twitter.com/kemenkopmk","@kemenkopmk")</f>
        <v>@kemenkopmk</v>
      </c>
      <c r="C1095" s="8" t="s">
        <v>664</v>
      </c>
      <c r="D1095" s="8">
        <v>0</v>
      </c>
      <c r="E1095" s="8">
        <v>1</v>
      </c>
      <c r="F1095" s="8">
        <v>131554</v>
      </c>
    </row>
    <row r="1096" spans="1:6" ht="12.75">
      <c r="A1096" s="8">
        <v>43904.802384259259</v>
      </c>
      <c r="B1096" s="8" t="str">
        <f>HYPERLINK("https://twitter.com/aphr0ditesbabe","@aphr0ditesbabe")</f>
        <v>@aphr0ditesbabe</v>
      </c>
      <c r="C1096" s="8" t="s">
        <v>665</v>
      </c>
      <c r="D1096" s="8">
        <v>0</v>
      </c>
      <c r="E1096" s="8">
        <v>0</v>
      </c>
      <c r="F1096" s="8">
        <v>400</v>
      </c>
    </row>
    <row r="1097" spans="1:6" ht="12.75">
      <c r="A1097" s="8">
        <v>43904.802210648151</v>
      </c>
      <c r="B1097" s="8" t="str">
        <f>HYPERLINK("https://twitter.com/Fandasari1","@Fandasari1")</f>
        <v>@Fandasari1</v>
      </c>
      <c r="C1097" s="8" t="s">
        <v>662</v>
      </c>
      <c r="D1097" s="8">
        <v>0</v>
      </c>
      <c r="E1097" s="8">
        <v>0</v>
      </c>
      <c r="F1097" s="8">
        <v>137</v>
      </c>
    </row>
    <row r="1098" spans="1:6" ht="12.75">
      <c r="A1098" s="8">
        <v>43904.802106481482</v>
      </c>
      <c r="B1098" s="8" t="str">
        <f>HYPERLINK("https://twitter.com/agusjurnalis","@agusjurnalis")</f>
        <v>@agusjurnalis</v>
      </c>
      <c r="C1098" s="8" t="s">
        <v>666</v>
      </c>
      <c r="D1098" s="8">
        <v>0</v>
      </c>
      <c r="E1098" s="8">
        <v>0</v>
      </c>
      <c r="F1098" s="8">
        <v>2602</v>
      </c>
    </row>
    <row r="1099" spans="1:6" ht="12.75">
      <c r="A1099" s="8">
        <v>43904.801817129628</v>
      </c>
      <c r="B1099" s="8" t="str">
        <f>HYPERLINK("https://twitter.com/Wakapoldur","@Wakapoldur")</f>
        <v>@Wakapoldur</v>
      </c>
      <c r="C1099" s="8" t="s">
        <v>667</v>
      </c>
      <c r="D1099" s="8">
        <v>0</v>
      </c>
      <c r="E1099" s="8">
        <v>1</v>
      </c>
      <c r="F1099" s="8">
        <v>2278</v>
      </c>
    </row>
    <row r="1100" spans="1:6" ht="12.75">
      <c r="A1100" s="8">
        <v>43904.801736111112</v>
      </c>
      <c r="B1100" s="8" t="str">
        <f>HYPERLINK("https://twitter.com/indriseska","@indriseska")</f>
        <v>@indriseska</v>
      </c>
      <c r="C1100" s="8" t="s">
        <v>668</v>
      </c>
      <c r="D1100" s="8">
        <v>1</v>
      </c>
      <c r="E1100" s="8">
        <v>0</v>
      </c>
      <c r="F1100" s="8">
        <v>9612</v>
      </c>
    </row>
    <row r="1101" spans="1:6" ht="12.75">
      <c r="A1101" s="8">
        <v>43904.801712962959</v>
      </c>
      <c r="B1101" s="8" t="str">
        <f>HYPERLINK("https://twitter.com/lalalalaland76","@lalalalaland76")</f>
        <v>@lalalalaland76</v>
      </c>
      <c r="C1101" s="8" t="s">
        <v>669</v>
      </c>
      <c r="D1101" s="8">
        <v>0</v>
      </c>
      <c r="E1101" s="8">
        <v>0</v>
      </c>
      <c r="F1101" s="8">
        <v>820</v>
      </c>
    </row>
    <row r="1102" spans="1:6" ht="12.75">
      <c r="A1102" s="8">
        <v>43904.801296296297</v>
      </c>
      <c r="B1102" s="8" t="str">
        <f>HYPERLINK("https://twitter.com/leni_mutiaaaa","@leni_mutiaaaa")</f>
        <v>@leni_mutiaaaa</v>
      </c>
      <c r="C1102" s="8" t="s">
        <v>102</v>
      </c>
      <c r="D1102" s="8">
        <v>15</v>
      </c>
      <c r="E1102" s="8">
        <v>0</v>
      </c>
      <c r="F1102" s="8">
        <v>579</v>
      </c>
    </row>
    <row r="1103" spans="1:6" ht="12.75">
      <c r="A1103" s="8">
        <v>43904.797592592593</v>
      </c>
      <c r="B1103" s="8" t="str">
        <f>HYPERLINK("https://twitter.com/AliKhat91200693","@AliKhat91200693")</f>
        <v>@AliKhat91200693</v>
      </c>
      <c r="C1103" s="8" t="s">
        <v>670</v>
      </c>
      <c r="D1103" s="8">
        <v>0</v>
      </c>
      <c r="E1103" s="8">
        <v>0</v>
      </c>
      <c r="F1103" s="8">
        <v>0</v>
      </c>
    </row>
    <row r="1104" spans="1:6" ht="12.75">
      <c r="A1104" s="8">
        <v>43904.797037037039</v>
      </c>
      <c r="B1104" s="8" t="str">
        <f>HYPERLINK("https://twitter.com/ISIS_Balik_NO","@ISIS_Balik_NO")</f>
        <v>@ISIS_Balik_NO</v>
      </c>
      <c r="C1104" s="8" t="s">
        <v>671</v>
      </c>
      <c r="D1104" s="8">
        <v>0</v>
      </c>
      <c r="E1104" s="8">
        <v>0</v>
      </c>
      <c r="F1104" s="8">
        <v>6282</v>
      </c>
    </row>
    <row r="1105" spans="1:6" ht="12.75">
      <c r="A1105" s="8">
        <v>43904.796967592592</v>
      </c>
      <c r="B1105" s="8" t="str">
        <f>HYPERLINK("https://twitter.com/harihariono1","@harihariono1")</f>
        <v>@harihariono1</v>
      </c>
      <c r="C1105" s="8" t="s">
        <v>42</v>
      </c>
      <c r="D1105" s="8">
        <v>35</v>
      </c>
      <c r="E1105" s="8">
        <v>0</v>
      </c>
      <c r="F1105" s="8">
        <v>9550</v>
      </c>
    </row>
    <row r="1106" spans="1:6" ht="12.75">
      <c r="A1106" s="8">
        <v>43904.796354166669</v>
      </c>
      <c r="B1106" s="8" t="str">
        <f>HYPERLINK("https://twitter.com/ISIS_Balik_NO","@ISIS_Balik_NO")</f>
        <v>@ISIS_Balik_NO</v>
      </c>
      <c r="C1106" s="8" t="s">
        <v>672</v>
      </c>
      <c r="D1106" s="8">
        <v>0</v>
      </c>
      <c r="E1106" s="8">
        <v>0</v>
      </c>
      <c r="F1106" s="8">
        <v>6282</v>
      </c>
    </row>
    <row r="1107" spans="1:6" ht="12.75">
      <c r="A1107" s="8">
        <v>43904.796273148153</v>
      </c>
      <c r="B1107" s="8" t="str">
        <f>HYPERLINK("https://twitter.com/swandywidjaja06","@swandywidjaja06")</f>
        <v>@swandywidjaja06</v>
      </c>
      <c r="C1107" s="8" t="s">
        <v>42</v>
      </c>
      <c r="D1107" s="8">
        <v>35</v>
      </c>
      <c r="E1107" s="8">
        <v>0</v>
      </c>
      <c r="F1107" s="8">
        <v>263</v>
      </c>
    </row>
    <row r="1108" spans="1:6" ht="12.75">
      <c r="A1108" s="8">
        <v>43904.79619212963</v>
      </c>
      <c r="B1108" s="8" t="str">
        <f>HYPERLINK("https://twitter.com/anastasiaera093","@anastasiaera093")</f>
        <v>@anastasiaera093</v>
      </c>
      <c r="C1108" s="8" t="s">
        <v>19</v>
      </c>
      <c r="D1108" s="8">
        <v>13</v>
      </c>
      <c r="E1108" s="8">
        <v>0</v>
      </c>
      <c r="F1108" s="8">
        <v>40</v>
      </c>
    </row>
    <row r="1109" spans="1:6" ht="12.75">
      <c r="A1109" s="8">
        <v>43904.795335648145</v>
      </c>
      <c r="B1109" s="8" t="str">
        <f>HYPERLINK("https://twitter.com/Layung_surya","@Layung_surya")</f>
        <v>@Layung_surya</v>
      </c>
      <c r="C1109" s="8" t="s">
        <v>570</v>
      </c>
      <c r="D1109" s="8">
        <v>7</v>
      </c>
      <c r="E1109" s="8">
        <v>0</v>
      </c>
      <c r="F1109" s="8">
        <v>2018</v>
      </c>
    </row>
    <row r="1110" spans="1:6" ht="12.75">
      <c r="A1110" s="8">
        <v>43904.794363425928</v>
      </c>
      <c r="B1110" s="8" t="str">
        <f t="shared" ref="B1110:B1111" si="15">HYPERLINK("https://twitter.com/BeritaMarufAmin","@BeritaMarufAmin")</f>
        <v>@BeritaMarufAmin</v>
      </c>
      <c r="C1110" s="8" t="s">
        <v>673</v>
      </c>
      <c r="D1110" s="8">
        <v>1</v>
      </c>
      <c r="E1110" s="8">
        <v>0</v>
      </c>
      <c r="F1110" s="8">
        <v>4</v>
      </c>
    </row>
    <row r="1111" spans="1:6" ht="12.75">
      <c r="A1111" s="8">
        <v>43904.794328703705</v>
      </c>
      <c r="B1111" s="8" t="str">
        <f t="shared" si="15"/>
        <v>@BeritaMarufAmin</v>
      </c>
      <c r="C1111" s="8" t="s">
        <v>674</v>
      </c>
      <c r="D1111" s="8">
        <v>1</v>
      </c>
      <c r="E1111" s="8">
        <v>0</v>
      </c>
      <c r="F1111" s="8">
        <v>4</v>
      </c>
    </row>
    <row r="1112" spans="1:6" ht="12.75">
      <c r="A1112" s="8">
        <v>43904.794178240743</v>
      </c>
      <c r="B1112" s="8" t="str">
        <f>HYPERLINK("https://twitter.com/ISIS_Balik_NO","@ISIS_Balik_NO")</f>
        <v>@ISIS_Balik_NO</v>
      </c>
      <c r="C1112" s="8" t="s">
        <v>675</v>
      </c>
      <c r="D1112" s="8">
        <v>0</v>
      </c>
      <c r="E1112" s="8">
        <v>0</v>
      </c>
      <c r="F1112" s="8">
        <v>6282</v>
      </c>
    </row>
    <row r="1113" spans="1:6" ht="12.75">
      <c r="A1113" s="8">
        <v>43904.794074074074</v>
      </c>
      <c r="B1113" s="8" t="str">
        <f>HYPERLINK("https://twitter.com/MrsAdhyta","@MrsAdhyta")</f>
        <v>@MrsAdhyta</v>
      </c>
      <c r="C1113" s="8" t="s">
        <v>676</v>
      </c>
      <c r="D1113" s="8">
        <v>0</v>
      </c>
      <c r="E1113" s="8">
        <v>0</v>
      </c>
      <c r="F1113" s="8">
        <v>545</v>
      </c>
    </row>
    <row r="1114" spans="1:6" ht="12.75">
      <c r="A1114" s="8">
        <v>43904.79378472222</v>
      </c>
      <c r="B1114" s="8" t="str">
        <f>HYPERLINK("https://twitter.com/Mr_Khepo","@Mr_Khepo")</f>
        <v>@Mr_Khepo</v>
      </c>
      <c r="C1114" s="8" t="s">
        <v>14</v>
      </c>
      <c r="D1114" s="8">
        <v>7</v>
      </c>
      <c r="E1114" s="8">
        <v>0</v>
      </c>
      <c r="F1114" s="8">
        <v>4263</v>
      </c>
    </row>
    <row r="1115" spans="1:6" ht="12.75">
      <c r="A1115" s="8">
        <v>43904.793194444443</v>
      </c>
      <c r="B1115" s="8" t="str">
        <f>HYPERLINK("https://twitter.com/MumuyZG","@MumuyZG")</f>
        <v>@MumuyZG</v>
      </c>
      <c r="C1115" s="8" t="s">
        <v>14</v>
      </c>
      <c r="D1115" s="8">
        <v>7</v>
      </c>
      <c r="E1115" s="8">
        <v>0</v>
      </c>
      <c r="F1115" s="8">
        <v>1139</v>
      </c>
    </row>
    <row r="1116" spans="1:6" ht="12.75">
      <c r="A1116" s="8">
        <v>43904.793009259258</v>
      </c>
      <c r="B1116" s="8" t="str">
        <f>HYPERLINK("https://twitter.com/ISIS_Balik_NO","@ISIS_Balik_NO")</f>
        <v>@ISIS_Balik_NO</v>
      </c>
      <c r="C1116" s="8" t="s">
        <v>677</v>
      </c>
      <c r="D1116" s="8">
        <v>0</v>
      </c>
      <c r="E1116" s="8">
        <v>1</v>
      </c>
      <c r="F1116" s="8">
        <v>6282</v>
      </c>
    </row>
    <row r="1117" spans="1:6" ht="12.75">
      <c r="A1117" s="8">
        <v>43904.79215277778</v>
      </c>
      <c r="B1117" s="8" t="str">
        <f>HYPERLINK("https://twitter.com/tuankurio","@tuankurio")</f>
        <v>@tuankurio</v>
      </c>
      <c r="C1117" s="8" t="s">
        <v>19</v>
      </c>
      <c r="D1117" s="8">
        <v>13</v>
      </c>
      <c r="E1117" s="8">
        <v>0</v>
      </c>
      <c r="F1117" s="8">
        <v>186</v>
      </c>
    </row>
    <row r="1118" spans="1:6" ht="12.75">
      <c r="A1118" s="8">
        <v>43904.791932870372</v>
      </c>
      <c r="B1118" s="8" t="str">
        <f>HYPERLINK("https://twitter.com/Adiraja61167404","@Adiraja61167404")</f>
        <v>@Adiraja61167404</v>
      </c>
      <c r="C1118" s="8" t="s">
        <v>678</v>
      </c>
      <c r="D1118" s="8">
        <v>0</v>
      </c>
      <c r="E1118" s="8">
        <v>0</v>
      </c>
      <c r="F1118" s="8">
        <v>8</v>
      </c>
    </row>
    <row r="1119" spans="1:6" ht="12.75">
      <c r="A1119" s="8">
        <v>43904.791678240741</v>
      </c>
      <c r="B1119" s="8" t="str">
        <f>HYPERLINK("https://twitter.com/RFKMD","@RFKMD")</f>
        <v>@RFKMD</v>
      </c>
      <c r="C1119" s="8" t="s">
        <v>162</v>
      </c>
      <c r="D1119" s="8">
        <v>140</v>
      </c>
      <c r="E1119" s="8">
        <v>0</v>
      </c>
      <c r="F1119" s="8">
        <v>424</v>
      </c>
    </row>
    <row r="1120" spans="1:6" ht="12.75">
      <c r="A1120" s="8">
        <v>43904.791550925926</v>
      </c>
      <c r="B1120" s="8" t="str">
        <f>HYPERLINK("https://twitter.com/Henry_Dijkhoff","@Henry_Dijkhoff")</f>
        <v>@Henry_Dijkhoff</v>
      </c>
      <c r="C1120" s="8" t="s">
        <v>302</v>
      </c>
      <c r="D1120" s="8">
        <v>13</v>
      </c>
      <c r="E1120" s="8">
        <v>0</v>
      </c>
      <c r="F1120" s="8">
        <v>1247</v>
      </c>
    </row>
    <row r="1121" spans="1:6" ht="12.75">
      <c r="A1121" s="8">
        <v>43904.790995370371</v>
      </c>
      <c r="B1121" s="8" t="str">
        <f>HYPERLINK("https://twitter.com/AfricaTN","@AfricaTN")</f>
        <v>@AfricaTN</v>
      </c>
      <c r="C1121" s="8" t="s">
        <v>302</v>
      </c>
      <c r="D1121" s="8">
        <v>13</v>
      </c>
      <c r="E1121" s="8">
        <v>0</v>
      </c>
      <c r="F1121" s="8">
        <v>678</v>
      </c>
    </row>
    <row r="1122" spans="1:6" ht="12.75">
      <c r="A1122" s="8">
        <v>43904.790995370371</v>
      </c>
      <c r="B1122" s="8" t="str">
        <f>HYPERLINK("https://twitter.com/prapti_sulistia","@prapti_sulistia")</f>
        <v>@prapti_sulistia</v>
      </c>
      <c r="C1122" s="8" t="s">
        <v>679</v>
      </c>
      <c r="D1122" s="8">
        <v>0</v>
      </c>
      <c r="E1122" s="8">
        <v>0</v>
      </c>
      <c r="F1122" s="8">
        <v>512</v>
      </c>
    </row>
    <row r="1123" spans="1:6" ht="12.75">
      <c r="A1123" s="8">
        <v>43904.790625000001</v>
      </c>
      <c r="B1123" s="8" t="str">
        <f>HYPERLINK("https://twitter.com/ryolandafit","@ryolandafit")</f>
        <v>@ryolandafit</v>
      </c>
      <c r="C1123" s="8" t="s">
        <v>680</v>
      </c>
      <c r="D1123" s="8">
        <v>8</v>
      </c>
      <c r="E1123" s="8">
        <v>0</v>
      </c>
      <c r="F1123" s="8">
        <v>662</v>
      </c>
    </row>
    <row r="1124" spans="1:6" ht="12.75">
      <c r="A1124" s="8">
        <v>43904.790497685186</v>
      </c>
      <c r="B1124" s="8" t="str">
        <f>HYPERLINK("https://twitter.com/handianiechiw","@handianiechiw")</f>
        <v>@handianiechiw</v>
      </c>
      <c r="C1124" s="8" t="s">
        <v>63</v>
      </c>
      <c r="D1124" s="8">
        <v>54</v>
      </c>
      <c r="E1124" s="8">
        <v>0</v>
      </c>
      <c r="F1124" s="8">
        <v>308</v>
      </c>
    </row>
    <row r="1125" spans="1:6" ht="12.75">
      <c r="A1125" s="8">
        <v>43904.789606481485</v>
      </c>
      <c r="B1125" s="8" t="str">
        <f>HYPERLINK("https://twitter.com/Papaoppah","@Papaoppah")</f>
        <v>@Papaoppah</v>
      </c>
      <c r="C1125" s="8" t="s">
        <v>681</v>
      </c>
      <c r="D1125" s="8">
        <v>0</v>
      </c>
      <c r="E1125" s="8">
        <v>0</v>
      </c>
      <c r="F1125" s="8">
        <v>1474</v>
      </c>
    </row>
    <row r="1126" spans="1:6" ht="12.75">
      <c r="A1126" s="8">
        <v>43904.788414351853</v>
      </c>
      <c r="B1126" s="8" t="str">
        <f>HYPERLINK("https://twitter.com/filosofiksi","@filosofiksi")</f>
        <v>@filosofiksi</v>
      </c>
      <c r="C1126" s="8" t="s">
        <v>102</v>
      </c>
      <c r="D1126" s="8">
        <v>10</v>
      </c>
      <c r="E1126" s="8">
        <v>0</v>
      </c>
      <c r="F1126" s="8">
        <v>2344</v>
      </c>
    </row>
    <row r="1127" spans="1:6" ht="12.75">
      <c r="A1127" s="8">
        <v>43904.788217592592</v>
      </c>
      <c r="B1127" s="8" t="str">
        <f>HYPERLINK("https://twitter.com/suaradotcom","@suaradotcom")</f>
        <v>@suaradotcom</v>
      </c>
      <c r="C1127" s="8" t="s">
        <v>682</v>
      </c>
      <c r="D1127" s="8">
        <v>0</v>
      </c>
      <c r="E1127" s="8">
        <v>1</v>
      </c>
      <c r="F1127" s="8">
        <v>25048</v>
      </c>
    </row>
    <row r="1128" spans="1:6" ht="12.75">
      <c r="A1128" s="8">
        <v>43904.787731481483</v>
      </c>
      <c r="B1128" s="8" t="str">
        <f>HYPERLINK("https://twitter.com/topinfo_id","@topinfo_id")</f>
        <v>@topinfo_id</v>
      </c>
      <c r="C1128" s="8" t="s">
        <v>683</v>
      </c>
      <c r="D1128" s="8">
        <v>0</v>
      </c>
      <c r="E1128" s="8">
        <v>0</v>
      </c>
      <c r="F1128" s="8">
        <v>117</v>
      </c>
    </row>
    <row r="1129" spans="1:6" ht="12.75">
      <c r="A1129" s="8">
        <v>43904.787141203706</v>
      </c>
      <c r="B1129" s="8" t="str">
        <f>HYPERLINK("https://twitter.com/karman_mustamin","@karman_mustamin")</f>
        <v>@karman_mustamin</v>
      </c>
      <c r="C1129" s="8" t="s">
        <v>570</v>
      </c>
      <c r="D1129" s="8">
        <v>7</v>
      </c>
      <c r="E1129" s="8">
        <v>0</v>
      </c>
      <c r="F1129" s="8">
        <v>7720</v>
      </c>
    </row>
    <row r="1130" spans="1:6" ht="12.75">
      <c r="A1130" s="8">
        <v>43904.786828703705</v>
      </c>
      <c r="B1130" s="8" t="str">
        <f>HYPERLINK("https://twitter.com/ichaculucul","@ichaculucul")</f>
        <v>@ichaculucul</v>
      </c>
      <c r="C1130" s="8" t="s">
        <v>684</v>
      </c>
      <c r="D1130" s="8">
        <v>2</v>
      </c>
      <c r="E1130" s="8">
        <v>0</v>
      </c>
      <c r="F1130" s="8">
        <v>7</v>
      </c>
    </row>
    <row r="1131" spans="1:6" ht="12.75">
      <c r="A1131" s="8">
        <v>43904.786712962959</v>
      </c>
      <c r="B1131" s="8" t="str">
        <f>HYPERLINK("https://twitter.com/bang_mudji","@bang_mudji")</f>
        <v>@bang_mudji</v>
      </c>
      <c r="C1131" s="8" t="s">
        <v>685</v>
      </c>
      <c r="D1131" s="8">
        <v>194</v>
      </c>
      <c r="E1131" s="8">
        <v>0</v>
      </c>
      <c r="F1131" s="8">
        <v>310</v>
      </c>
    </row>
    <row r="1132" spans="1:6" ht="12.75">
      <c r="A1132" s="8">
        <v>43904.786157407405</v>
      </c>
      <c r="B1132" s="8" t="str">
        <f>HYPERLINK("https://twitter.com/nawang_woelan","@nawang_woelan")</f>
        <v>@nawang_woelan</v>
      </c>
      <c r="C1132" s="8" t="s">
        <v>102</v>
      </c>
      <c r="D1132" s="8">
        <v>10</v>
      </c>
      <c r="E1132" s="8">
        <v>0</v>
      </c>
      <c r="F1132" s="8">
        <v>176</v>
      </c>
    </row>
    <row r="1133" spans="1:6" ht="12.75">
      <c r="A1133" s="8">
        <v>43904.786041666666</v>
      </c>
      <c r="B1133" s="8" t="str">
        <f>HYPERLINK("https://twitter.com/JLukup","@JLukup")</f>
        <v>@JLukup</v>
      </c>
      <c r="C1133" s="8" t="s">
        <v>686</v>
      </c>
      <c r="D1133" s="8">
        <v>0</v>
      </c>
      <c r="E1133" s="8">
        <v>0</v>
      </c>
      <c r="F1133" s="8">
        <v>71</v>
      </c>
    </row>
    <row r="1134" spans="1:6" ht="12.75">
      <c r="A1134" s="8">
        <v>43904.785405092596</v>
      </c>
      <c r="B1134" s="8" t="str">
        <f>HYPERLINK("https://twitter.com/L3OF14N","@L3OF14N")</f>
        <v>@L3OF14N</v>
      </c>
      <c r="C1134" s="8" t="s">
        <v>42</v>
      </c>
      <c r="D1134" s="8">
        <v>35</v>
      </c>
      <c r="E1134" s="8">
        <v>0</v>
      </c>
      <c r="F1134" s="8">
        <v>1325</v>
      </c>
    </row>
    <row r="1135" spans="1:6" ht="12.75">
      <c r="A1135" s="8">
        <v>43904.784942129627</v>
      </c>
      <c r="B1135" s="8" t="str">
        <f>HYPERLINK("https://twitter.com/ApriliaLin","@ApriliaLin")</f>
        <v>@ApriliaLin</v>
      </c>
      <c r="C1135" s="8" t="s">
        <v>687</v>
      </c>
      <c r="D1135" s="8">
        <v>1</v>
      </c>
      <c r="E1135" s="8">
        <v>0</v>
      </c>
      <c r="F1135" s="8">
        <v>26999</v>
      </c>
    </row>
    <row r="1136" spans="1:6" ht="12.75">
      <c r="A1136" s="8">
        <v>43904.784583333334</v>
      </c>
      <c r="B1136" s="8" t="str">
        <f>HYPERLINK("https://twitter.com/AndySianipar33","@AndySianipar33")</f>
        <v>@AndySianipar33</v>
      </c>
      <c r="C1136" s="8" t="s">
        <v>219</v>
      </c>
      <c r="D1136" s="8">
        <v>51</v>
      </c>
      <c r="E1136" s="8">
        <v>0</v>
      </c>
      <c r="F1136" s="8">
        <v>47</v>
      </c>
    </row>
    <row r="1137" spans="1:6" ht="12.75">
      <c r="A1137" s="8">
        <v>43904.784386574072</v>
      </c>
      <c r="B1137" s="8" t="str">
        <f>HYPERLINK("https://twitter.com/iNewsID","@iNewsID")</f>
        <v>@iNewsID</v>
      </c>
      <c r="C1137" s="8" t="s">
        <v>688</v>
      </c>
      <c r="D1137" s="8">
        <v>0</v>
      </c>
      <c r="E1137" s="8">
        <v>1</v>
      </c>
      <c r="F1137" s="8">
        <v>1403</v>
      </c>
    </row>
    <row r="1138" spans="1:6" ht="12.75">
      <c r="A1138" s="8">
        <v>43904.784131944441</v>
      </c>
      <c r="B1138" s="8" t="str">
        <f>HYPERLINK("https://twitter.com/Ivanyuma62","@Ivanyuma62")</f>
        <v>@Ivanyuma62</v>
      </c>
      <c r="C1138" s="8" t="s">
        <v>689</v>
      </c>
      <c r="D1138" s="8">
        <v>0</v>
      </c>
      <c r="E1138" s="8">
        <v>0</v>
      </c>
      <c r="F1138" s="8">
        <v>2</v>
      </c>
    </row>
    <row r="1139" spans="1:6" ht="12.75">
      <c r="A1139" s="8">
        <v>43904.784050925926</v>
      </c>
      <c r="B1139" s="8" t="str">
        <f>HYPERLINK("https://twitter.com/INAinLebanon","@INAinLebanon")</f>
        <v>@INAinLebanon</v>
      </c>
      <c r="C1139" s="8" t="s">
        <v>690</v>
      </c>
      <c r="D1139" s="8">
        <v>1</v>
      </c>
      <c r="E1139" s="8">
        <v>0</v>
      </c>
      <c r="F1139" s="8">
        <v>78</v>
      </c>
    </row>
    <row r="1140" spans="1:6" ht="12.75">
      <c r="A1140" s="8">
        <v>43904.784016203703</v>
      </c>
      <c r="B1140" s="8" t="str">
        <f>HYPERLINK("https://twitter.com/Dwijayanti59","@Dwijayanti59")</f>
        <v>@Dwijayanti59</v>
      </c>
      <c r="C1140" s="8" t="s">
        <v>440</v>
      </c>
      <c r="D1140" s="8">
        <v>163</v>
      </c>
      <c r="E1140" s="8">
        <v>0</v>
      </c>
      <c r="F1140" s="8">
        <v>214</v>
      </c>
    </row>
    <row r="1141" spans="1:6" ht="12.75">
      <c r="A1141" s="8">
        <v>43904.783472222218</v>
      </c>
      <c r="B1141" s="8" t="str">
        <f>HYPERLINK("https://twitter.com/blybby","@blybby")</f>
        <v>@blybby</v>
      </c>
      <c r="C1141" s="8" t="s">
        <v>691</v>
      </c>
      <c r="D1141" s="8">
        <v>0</v>
      </c>
      <c r="E1141" s="8">
        <v>0</v>
      </c>
      <c r="F1141" s="8">
        <v>12</v>
      </c>
    </row>
    <row r="1142" spans="1:6" ht="12.75">
      <c r="A1142" s="8">
        <v>43904.783449074079</v>
      </c>
      <c r="B1142" s="8" t="str">
        <f>HYPERLINK("https://twitter.com/jayplankt","@jayplankt")</f>
        <v>@jayplankt</v>
      </c>
      <c r="C1142" s="8" t="s">
        <v>692</v>
      </c>
      <c r="D1142" s="8">
        <v>0</v>
      </c>
      <c r="E1142" s="8">
        <v>0</v>
      </c>
      <c r="F1142" s="8">
        <v>714</v>
      </c>
    </row>
    <row r="1143" spans="1:6" ht="12.75">
      <c r="A1143" s="8">
        <v>43904.783113425925</v>
      </c>
      <c r="B1143" s="8" t="str">
        <f>HYPERLINK("https://twitter.com/DevinRmd","@DevinRmd")</f>
        <v>@DevinRmd</v>
      </c>
      <c r="C1143" s="8" t="s">
        <v>219</v>
      </c>
      <c r="D1143" s="8">
        <v>51</v>
      </c>
      <c r="E1143" s="8">
        <v>0</v>
      </c>
      <c r="F1143" s="8">
        <v>915</v>
      </c>
    </row>
    <row r="1144" spans="1:6" ht="12.75">
      <c r="A1144" s="8">
        <v>43904.782905092594</v>
      </c>
      <c r="B1144" s="8" t="str">
        <f>HYPERLINK("https://twitter.com/aikido_bushido","@aikido_bushido")</f>
        <v>@aikido_bushido</v>
      </c>
      <c r="C1144" s="8" t="s">
        <v>289</v>
      </c>
      <c r="D1144" s="8">
        <v>161</v>
      </c>
      <c r="E1144" s="8">
        <v>0</v>
      </c>
      <c r="F1144" s="8">
        <v>709</v>
      </c>
    </row>
    <row r="1145" spans="1:6" ht="12.75">
      <c r="A1145" s="8">
        <v>43904.782800925925</v>
      </c>
      <c r="B1145" s="8" t="str">
        <f>HYPERLINK("https://twitter.com/KBRIDoha","@KBRIDoha")</f>
        <v>@KBRIDoha</v>
      </c>
      <c r="C1145" s="8" t="s">
        <v>693</v>
      </c>
      <c r="D1145" s="8">
        <v>1</v>
      </c>
      <c r="E1145" s="8">
        <v>1</v>
      </c>
      <c r="F1145" s="8">
        <v>832</v>
      </c>
    </row>
    <row r="1146" spans="1:6" ht="12.75">
      <c r="A1146" s="8">
        <v>43904.782708333332</v>
      </c>
      <c r="B1146" s="8" t="str">
        <f>HYPERLINK("https://twitter.com/SumardiEvulae","@SumardiEvulae")</f>
        <v>@SumardiEvulae</v>
      </c>
      <c r="C1146" s="8" t="s">
        <v>694</v>
      </c>
      <c r="D1146" s="8">
        <v>0</v>
      </c>
      <c r="E1146" s="8">
        <v>0</v>
      </c>
      <c r="F1146" s="8">
        <v>11201</v>
      </c>
    </row>
    <row r="1147" spans="1:6" ht="12.75">
      <c r="A1147" s="8">
        <v>43904.782592592594</v>
      </c>
      <c r="B1147" s="8" t="str">
        <f>HYPERLINK("https://twitter.com/AkuSwagKayaSuga","@AkuSwagKayaSuga")</f>
        <v>@AkuSwagKayaSuga</v>
      </c>
      <c r="C1147" s="8" t="s">
        <v>695</v>
      </c>
      <c r="D1147" s="8">
        <v>0</v>
      </c>
      <c r="E1147" s="8">
        <v>0</v>
      </c>
      <c r="F1147" s="8">
        <v>201</v>
      </c>
    </row>
    <row r="1148" spans="1:6" ht="12.75">
      <c r="A1148" s="8">
        <v>43904.782106481478</v>
      </c>
      <c r="B1148" s="8" t="str">
        <f>HYPERLINK("https://twitter.com/AlwaysFaza","@AlwaysFaza")</f>
        <v>@AlwaysFaza</v>
      </c>
      <c r="C1148" s="8" t="s">
        <v>696</v>
      </c>
      <c r="D1148" s="8">
        <v>0</v>
      </c>
      <c r="E1148" s="8">
        <v>0</v>
      </c>
      <c r="F1148" s="8">
        <v>260</v>
      </c>
    </row>
    <row r="1149" spans="1:6" ht="12.75">
      <c r="A1149" s="8">
        <v>43904.782094907408</v>
      </c>
      <c r="B1149" s="8" t="str">
        <f>HYPERLINK("https://twitter.com/saraemad2001","@saraemad2001")</f>
        <v>@saraemad2001</v>
      </c>
      <c r="C1149" s="8" t="s">
        <v>697</v>
      </c>
      <c r="D1149" s="8">
        <v>0</v>
      </c>
      <c r="E1149" s="8">
        <v>7</v>
      </c>
      <c r="F1149" s="8">
        <v>415</v>
      </c>
    </row>
    <row r="1150" spans="1:6" ht="12.75">
      <c r="A1150" s="8">
        <v>43904.781712962962</v>
      </c>
      <c r="B1150" s="8" t="str">
        <f>HYPERLINK("https://twitter.com/DoddyDC","@DoddyDC")</f>
        <v>@DoddyDC</v>
      </c>
      <c r="C1150" s="8" t="s">
        <v>698</v>
      </c>
      <c r="D1150" s="8">
        <v>0</v>
      </c>
      <c r="E1150" s="8">
        <v>0</v>
      </c>
      <c r="F1150" s="8">
        <v>101</v>
      </c>
    </row>
    <row r="1151" spans="1:6" ht="12.75">
      <c r="A1151" s="8">
        <v>43904.781388888892</v>
      </c>
      <c r="B1151" s="8" t="str">
        <f>HYPERLINK("https://twitter.com/nmajid","@nmajid")</f>
        <v>@nmajid</v>
      </c>
      <c r="C1151" s="8" t="s">
        <v>276</v>
      </c>
      <c r="D1151" s="8">
        <v>2</v>
      </c>
      <c r="E1151" s="8">
        <v>0</v>
      </c>
      <c r="F1151" s="8">
        <v>204</v>
      </c>
    </row>
    <row r="1152" spans="1:6" ht="12.75">
      <c r="A1152" s="8">
        <v>43904.781145833331</v>
      </c>
      <c r="B1152" s="8" t="str">
        <f>HYPERLINK("https://twitter.com/adeputra151","@adeputra151")</f>
        <v>@adeputra151</v>
      </c>
      <c r="C1152" s="8" t="s">
        <v>699</v>
      </c>
      <c r="D1152" s="8">
        <v>0</v>
      </c>
      <c r="E1152" s="8">
        <v>1</v>
      </c>
      <c r="F1152" s="8">
        <v>254</v>
      </c>
    </row>
    <row r="1153" spans="1:6" ht="12.75">
      <c r="A1153" s="8">
        <v>43904.780844907407</v>
      </c>
      <c r="B1153" s="8" t="str">
        <f>HYPERLINK("https://twitter.com/utakutik","@utakutik")</f>
        <v>@utakutik</v>
      </c>
      <c r="C1153" s="8" t="s">
        <v>700</v>
      </c>
      <c r="D1153" s="8">
        <v>0</v>
      </c>
      <c r="E1153" s="8">
        <v>0</v>
      </c>
      <c r="F1153" s="8">
        <v>292</v>
      </c>
    </row>
    <row r="1154" spans="1:6" ht="12.75">
      <c r="A1154" s="8">
        <v>43904.780775462961</v>
      </c>
      <c r="B1154" s="8" t="str">
        <f>HYPERLINK("https://twitter.com/Puteriswift_","@Puteriswift_")</f>
        <v>@Puteriswift_</v>
      </c>
      <c r="C1154" s="8" t="s">
        <v>701</v>
      </c>
      <c r="D1154" s="8">
        <v>0</v>
      </c>
      <c r="E1154" s="8">
        <v>0</v>
      </c>
      <c r="F1154" s="8">
        <v>293</v>
      </c>
    </row>
    <row r="1155" spans="1:6" ht="12.75">
      <c r="A1155" s="8">
        <v>43904.78052083333</v>
      </c>
      <c r="B1155" s="8" t="str">
        <f>HYPERLINK("https://twitter.com/myatharva","@myatharva")</f>
        <v>@myatharva</v>
      </c>
      <c r="C1155" s="8" t="s">
        <v>702</v>
      </c>
      <c r="D1155" s="8">
        <v>0</v>
      </c>
      <c r="E1155" s="8">
        <v>0</v>
      </c>
      <c r="F1155" s="8">
        <v>4040</v>
      </c>
    </row>
    <row r="1156" spans="1:6" ht="12.75">
      <c r="A1156" s="8">
        <v>43904.780439814815</v>
      </c>
      <c r="B1156" s="8" t="str">
        <f>HYPERLINK("https://twitter.com/topinfo_id","@topinfo_id")</f>
        <v>@topinfo_id</v>
      </c>
      <c r="C1156" s="8" t="s">
        <v>703</v>
      </c>
      <c r="D1156" s="8">
        <v>0</v>
      </c>
      <c r="E1156" s="8">
        <v>0</v>
      </c>
      <c r="F1156" s="8">
        <v>117</v>
      </c>
    </row>
    <row r="1157" spans="1:6" ht="12.75">
      <c r="A1157" s="8">
        <v>43904.780312499999</v>
      </c>
      <c r="B1157" s="8" t="str">
        <f>HYPERLINK("https://twitter.com/abdulla41734805","@abdulla41734805")</f>
        <v>@abdulla41734805</v>
      </c>
      <c r="C1157" s="8" t="s">
        <v>704</v>
      </c>
      <c r="D1157" s="8">
        <v>0</v>
      </c>
      <c r="E1157" s="8">
        <v>0</v>
      </c>
      <c r="F1157" s="8">
        <v>19</v>
      </c>
    </row>
    <row r="1158" spans="1:6" ht="12.75">
      <c r="A1158" s="8">
        <v>43904.779664351852</v>
      </c>
      <c r="B1158" s="8" t="str">
        <f>HYPERLINK("https://twitter.com/FarelmaxL","@FarelmaxL")</f>
        <v>@FarelmaxL</v>
      </c>
      <c r="C1158" s="8" t="s">
        <v>705</v>
      </c>
      <c r="D1158" s="8">
        <v>1</v>
      </c>
      <c r="E1158" s="8">
        <v>0</v>
      </c>
      <c r="F1158" s="8">
        <v>1457</v>
      </c>
    </row>
    <row r="1159" spans="1:6" ht="12.75">
      <c r="A1159" s="8">
        <v>43904.779282407406</v>
      </c>
      <c r="B1159" s="8" t="str">
        <f>HYPERLINK("https://twitter.com/Rudatin7","@Rudatin7")</f>
        <v>@Rudatin7</v>
      </c>
      <c r="C1159" s="8" t="s">
        <v>19</v>
      </c>
      <c r="D1159" s="8">
        <v>13</v>
      </c>
      <c r="E1159" s="8">
        <v>0</v>
      </c>
      <c r="F1159" s="8">
        <v>583</v>
      </c>
    </row>
    <row r="1160" spans="1:6" ht="12.75">
      <c r="A1160" s="8">
        <v>43904.778935185182</v>
      </c>
      <c r="B1160" s="8" t="str">
        <f>HYPERLINK("https://twitter.com/mtaufikmJKT48","@mtaufikmJKT48")</f>
        <v>@mtaufikmJKT48</v>
      </c>
      <c r="C1160" s="8" t="s">
        <v>706</v>
      </c>
      <c r="D1160" s="8">
        <v>1</v>
      </c>
      <c r="E1160" s="8">
        <v>0</v>
      </c>
      <c r="F1160" s="8">
        <v>1466</v>
      </c>
    </row>
    <row r="1161" spans="1:6" ht="12.75">
      <c r="A1161" s="8">
        <v>43904.778761574074</v>
      </c>
      <c r="B1161" s="8" t="str">
        <f>HYPERLINK("https://twitter.com/demokrasicoid","@demokrasicoid")</f>
        <v>@demokrasicoid</v>
      </c>
      <c r="C1161" s="8" t="s">
        <v>707</v>
      </c>
      <c r="D1161" s="8">
        <v>1</v>
      </c>
      <c r="E1161" s="8">
        <v>0</v>
      </c>
      <c r="F1161" s="8">
        <v>23587</v>
      </c>
    </row>
    <row r="1162" spans="1:6" ht="12.75">
      <c r="A1162" s="8">
        <v>43904.77851851852</v>
      </c>
      <c r="B1162" s="8" t="str">
        <f>HYPERLINK("https://twitter.com/maltalina","@maltalina")</f>
        <v>@maltalina</v>
      </c>
      <c r="C1162" s="8" t="s">
        <v>708</v>
      </c>
      <c r="D1162" s="8">
        <v>0</v>
      </c>
      <c r="E1162" s="8">
        <v>0</v>
      </c>
      <c r="F1162" s="8">
        <v>323</v>
      </c>
    </row>
    <row r="1163" spans="1:6" ht="12.75">
      <c r="A1163" s="8">
        <v>43904.778483796297</v>
      </c>
      <c r="B1163" s="8" t="str">
        <f>HYPERLINK("https://twitter.com/hmzailanispog","@hmzailanispog")</f>
        <v>@hmzailanispog</v>
      </c>
      <c r="C1163" s="8" t="s">
        <v>709</v>
      </c>
      <c r="D1163" s="8">
        <v>0</v>
      </c>
      <c r="E1163" s="8">
        <v>0</v>
      </c>
      <c r="F1163" s="8">
        <v>372</v>
      </c>
    </row>
    <row r="1164" spans="1:6" ht="12.75">
      <c r="A1164" s="8">
        <v>43904.778460648144</v>
      </c>
      <c r="B1164" s="8" t="str">
        <f>HYPERLINK("https://twitter.com/Tusormin","@Tusormin")</f>
        <v>@Tusormin</v>
      </c>
      <c r="C1164" s="8" t="s">
        <v>42</v>
      </c>
      <c r="D1164" s="8">
        <v>35</v>
      </c>
      <c r="E1164" s="8">
        <v>0</v>
      </c>
      <c r="F1164" s="8">
        <v>38</v>
      </c>
    </row>
    <row r="1165" spans="1:6" ht="12.75">
      <c r="A1165" s="8">
        <v>43904.778009259258</v>
      </c>
      <c r="B1165" s="8" t="str">
        <f>HYPERLINK("https://twitter.com/AliandoSyrf__","@AliandoSyrf__")</f>
        <v>@AliandoSyrf__</v>
      </c>
      <c r="C1165" s="8" t="s">
        <v>570</v>
      </c>
      <c r="D1165" s="8">
        <v>7</v>
      </c>
      <c r="E1165" s="8">
        <v>0</v>
      </c>
      <c r="F1165" s="8">
        <v>90</v>
      </c>
    </row>
    <row r="1166" spans="1:6" ht="12.75">
      <c r="A1166" s="8">
        <v>43904.777280092589</v>
      </c>
      <c r="B1166" s="8" t="str">
        <f>HYPERLINK("https://twitter.com/apresiakirana","@apresiakirana")</f>
        <v>@apresiakirana</v>
      </c>
      <c r="C1166" s="8" t="s">
        <v>570</v>
      </c>
      <c r="D1166" s="8">
        <v>7</v>
      </c>
      <c r="E1166" s="8">
        <v>0</v>
      </c>
      <c r="F1166" s="8">
        <v>6</v>
      </c>
    </row>
    <row r="1167" spans="1:6" ht="12.75">
      <c r="A1167" s="8">
        <v>43904.776689814811</v>
      </c>
      <c r="B1167" s="8" t="str">
        <f>HYPERLINK("https://twitter.com/akunteeelor","@akunteeelor")</f>
        <v>@akunteeelor</v>
      </c>
      <c r="C1167" s="8" t="s">
        <v>570</v>
      </c>
      <c r="D1167" s="8">
        <v>7</v>
      </c>
      <c r="E1167" s="8">
        <v>0</v>
      </c>
      <c r="F1167" s="8">
        <v>92</v>
      </c>
    </row>
    <row r="1168" spans="1:6" ht="12.75">
      <c r="A1168" s="8">
        <v>43904.776307870372</v>
      </c>
      <c r="B1168" s="8" t="str">
        <f>HYPERLINK("https://twitter.com/RidhIbn","@RidhIbn")</f>
        <v>@RidhIbn</v>
      </c>
      <c r="C1168" s="8" t="s">
        <v>710</v>
      </c>
      <c r="D1168" s="8">
        <v>0</v>
      </c>
      <c r="E1168" s="8">
        <v>0</v>
      </c>
      <c r="F1168" s="8">
        <v>21</v>
      </c>
    </row>
    <row r="1169" spans="1:6" ht="12.75">
      <c r="A1169" s="8">
        <v>43904.776018518518</v>
      </c>
      <c r="B1169" s="8" t="str">
        <f>HYPERLINK("https://twitter.com/ChieRachmayanti","@ChieRachmayanti")</f>
        <v>@ChieRachmayanti</v>
      </c>
      <c r="C1169" s="8" t="s">
        <v>391</v>
      </c>
      <c r="D1169" s="8">
        <v>37</v>
      </c>
      <c r="E1169" s="8">
        <v>0</v>
      </c>
      <c r="F1169" s="8">
        <v>76</v>
      </c>
    </row>
    <row r="1170" spans="1:6" ht="12.75">
      <c r="A1170" s="8">
        <v>43904.775393518517</v>
      </c>
      <c r="B1170" s="8" t="str">
        <f>HYPERLINK("https://twitter.com/YoyokSubandriy3","@YoyokSubandriy3")</f>
        <v>@YoyokSubandriy3</v>
      </c>
      <c r="C1170" s="8" t="s">
        <v>19</v>
      </c>
      <c r="D1170" s="8">
        <v>13</v>
      </c>
      <c r="E1170" s="8">
        <v>0</v>
      </c>
      <c r="F1170" s="8">
        <v>1338</v>
      </c>
    </row>
    <row r="1171" spans="1:6" ht="12.75">
      <c r="A1171" s="8">
        <v>43904.775324074071</v>
      </c>
      <c r="B1171" s="8" t="str">
        <f>HYPERLINK("https://twitter.com/AJamilah1","@AJamilah1")</f>
        <v>@AJamilah1</v>
      </c>
      <c r="C1171" s="8" t="s">
        <v>711</v>
      </c>
      <c r="D1171" s="8">
        <v>0</v>
      </c>
      <c r="E1171" s="8">
        <v>4</v>
      </c>
      <c r="F1171" s="8">
        <v>15</v>
      </c>
    </row>
    <row r="1172" spans="1:6" ht="12.75">
      <c r="A1172" s="8">
        <v>43904.774409722224</v>
      </c>
      <c r="B1172" s="8" t="str">
        <f>HYPERLINK("https://twitter.com/NPutihtm","@NPutihtm")</f>
        <v>@NPutihtm</v>
      </c>
      <c r="C1172" s="8" t="s">
        <v>102</v>
      </c>
      <c r="D1172" s="8">
        <v>10</v>
      </c>
      <c r="E1172" s="8">
        <v>0</v>
      </c>
      <c r="F1172" s="8">
        <v>3694</v>
      </c>
    </row>
    <row r="1173" spans="1:6" ht="12.75">
      <c r="A1173" s="8">
        <v>43904.774409722224</v>
      </c>
      <c r="B1173" s="8" t="str">
        <f>HYPERLINK("https://twitter.com/donita_xena","@donita_xena")</f>
        <v>@donita_xena</v>
      </c>
      <c r="C1173" s="8" t="s">
        <v>570</v>
      </c>
      <c r="D1173" s="8">
        <v>7</v>
      </c>
      <c r="E1173" s="8">
        <v>0</v>
      </c>
      <c r="F1173" s="8">
        <v>522</v>
      </c>
    </row>
    <row r="1174" spans="1:6" ht="12.75">
      <c r="A1174" s="8">
        <v>43904.774212962962</v>
      </c>
      <c r="B1174" s="8" t="str">
        <f>HYPERLINK("https://twitter.com/Theking3231Juan","@Theking3231Juan")</f>
        <v>@Theking3231Juan</v>
      </c>
      <c r="C1174" s="8" t="s">
        <v>19</v>
      </c>
      <c r="D1174" s="8">
        <v>13</v>
      </c>
      <c r="E1174" s="8">
        <v>0</v>
      </c>
      <c r="F1174" s="8">
        <v>2446</v>
      </c>
    </row>
    <row r="1175" spans="1:6" ht="12.75">
      <c r="A1175" s="8">
        <v>43904.773958333331</v>
      </c>
      <c r="B1175" s="8" t="str">
        <f>HYPERLINK("https://twitter.com/SingaGimbal","@SingaGimbal")</f>
        <v>@SingaGimbal</v>
      </c>
      <c r="C1175" s="8" t="s">
        <v>570</v>
      </c>
      <c r="D1175" s="8">
        <v>7</v>
      </c>
      <c r="E1175" s="8">
        <v>0</v>
      </c>
      <c r="F1175" s="8">
        <v>1949</v>
      </c>
    </row>
    <row r="1176" spans="1:6" ht="12.75">
      <c r="A1176" s="8">
        <v>43904.773935185185</v>
      </c>
      <c r="B1176" s="8" t="str">
        <f>HYPERLINK("https://twitter.com/topinfo_id","@topinfo_id")</f>
        <v>@topinfo_id</v>
      </c>
      <c r="C1176" s="8" t="s">
        <v>712</v>
      </c>
      <c r="D1176" s="8">
        <v>0</v>
      </c>
      <c r="E1176" s="8">
        <v>0</v>
      </c>
      <c r="F1176" s="8">
        <v>117</v>
      </c>
    </row>
    <row r="1177" spans="1:6" ht="12.75">
      <c r="A1177" s="8">
        <v>43904.773831018523</v>
      </c>
      <c r="B1177" s="8" t="str">
        <f>HYPERLINK("https://twitter.com/_wni_","@_wni_")</f>
        <v>@_wni_</v>
      </c>
      <c r="C1177" s="8" t="s">
        <v>713</v>
      </c>
      <c r="D1177" s="8">
        <v>0</v>
      </c>
      <c r="E1177" s="8">
        <v>0</v>
      </c>
      <c r="F1177" s="8">
        <v>21</v>
      </c>
    </row>
    <row r="1178" spans="1:6" ht="12.75">
      <c r="A1178" s="8">
        <v>43904.773599537039</v>
      </c>
      <c r="B1178" s="8" t="str">
        <f>HYPERLINK("https://twitter.com/KBRIDoha","@KBRIDoha")</f>
        <v>@KBRIDoha</v>
      </c>
      <c r="C1178" s="8" t="s">
        <v>714</v>
      </c>
      <c r="D1178" s="8">
        <v>0</v>
      </c>
      <c r="E1178" s="8">
        <v>0</v>
      </c>
      <c r="F1178" s="8">
        <v>832</v>
      </c>
    </row>
    <row r="1179" spans="1:6" ht="12.75">
      <c r="A1179" s="8">
        <v>43904.773472222223</v>
      </c>
      <c r="B1179" s="8" t="str">
        <f>HYPERLINK("https://twitter.com/topinfo_id","@topinfo_id")</f>
        <v>@topinfo_id</v>
      </c>
      <c r="C1179" s="8" t="s">
        <v>712</v>
      </c>
      <c r="D1179" s="8">
        <v>0</v>
      </c>
      <c r="E1179" s="8">
        <v>0</v>
      </c>
      <c r="F1179" s="8">
        <v>117</v>
      </c>
    </row>
    <row r="1180" spans="1:6" ht="12.75">
      <c r="A1180" s="8">
        <v>43904.773009259261</v>
      </c>
      <c r="B1180" s="8" t="str">
        <f>HYPERLINK("https://twitter.com/aeshinn_","@aeshinn_")</f>
        <v>@aeshinn_</v>
      </c>
      <c r="C1180" s="8" t="s">
        <v>715</v>
      </c>
      <c r="D1180" s="8">
        <v>0</v>
      </c>
      <c r="E1180" s="8">
        <v>0</v>
      </c>
      <c r="F1180" s="8">
        <v>1028</v>
      </c>
    </row>
    <row r="1181" spans="1:6" ht="12.75">
      <c r="A1181" s="8">
        <v>43904.772314814814</v>
      </c>
      <c r="B1181" s="8" t="str">
        <f>HYPERLINK("https://twitter.com/nety_rusi","@nety_rusi")</f>
        <v>@nety_rusi</v>
      </c>
      <c r="C1181" s="8" t="s">
        <v>716</v>
      </c>
      <c r="D1181" s="8">
        <v>7</v>
      </c>
      <c r="E1181" s="8">
        <v>1</v>
      </c>
      <c r="F1181" s="8">
        <v>4500</v>
      </c>
    </row>
    <row r="1182" spans="1:6" ht="12.75">
      <c r="A1182" s="8">
        <v>43904.771365740744</v>
      </c>
      <c r="B1182" s="8" t="str">
        <f>HYPERLINK("https://twitter.com/IDN_Username","@IDN_Username")</f>
        <v>@IDN_Username</v>
      </c>
      <c r="C1182" s="8" t="s">
        <v>19</v>
      </c>
      <c r="D1182" s="8">
        <v>13</v>
      </c>
      <c r="E1182" s="8">
        <v>0</v>
      </c>
      <c r="F1182" s="8">
        <v>141</v>
      </c>
    </row>
    <row r="1183" spans="1:6" ht="12.75">
      <c r="A1183" s="8">
        <v>43904.770636574074</v>
      </c>
      <c r="B1183" s="8" t="str">
        <f>HYPERLINK("https://twitter.com/p023456","@p023456")</f>
        <v>@p023456</v>
      </c>
      <c r="C1183" s="8" t="s">
        <v>717</v>
      </c>
      <c r="D1183" s="8">
        <v>0</v>
      </c>
      <c r="E1183" s="8">
        <v>0</v>
      </c>
      <c r="F1183" s="8">
        <v>109</v>
      </c>
    </row>
    <row r="1184" spans="1:6" ht="12.75">
      <c r="A1184" s="8">
        <v>43904.770150462966</v>
      </c>
      <c r="B1184" s="8" t="str">
        <f>HYPERLINK("https://twitter.com/buruhtani_89","@buruhtani_89")</f>
        <v>@buruhtani_89</v>
      </c>
      <c r="C1184" s="8" t="s">
        <v>718</v>
      </c>
      <c r="D1184" s="8">
        <v>0</v>
      </c>
      <c r="E1184" s="8">
        <v>0</v>
      </c>
      <c r="F1184" s="8">
        <v>43</v>
      </c>
    </row>
    <row r="1185" spans="1:6" ht="12.75">
      <c r="A1185" s="8">
        <v>43904.769976851851</v>
      </c>
      <c r="B1185" s="8" t="str">
        <f>HYPERLINK("https://twitter.com/ImigrasiJambi","@ImigrasiJambi")</f>
        <v>@ImigrasiJambi</v>
      </c>
      <c r="C1185" s="8" t="s">
        <v>203</v>
      </c>
      <c r="D1185" s="8">
        <v>41</v>
      </c>
      <c r="E1185" s="8">
        <v>0</v>
      </c>
      <c r="F1185" s="8">
        <v>802</v>
      </c>
    </row>
    <row r="1186" spans="1:6" ht="12.75">
      <c r="A1186" s="8">
        <v>43904.769467592589</v>
      </c>
      <c r="B1186" s="8" t="str">
        <f>HYPERLINK("https://twitter.com/annainggi","@annainggi")</f>
        <v>@annainggi</v>
      </c>
      <c r="C1186" s="8" t="s">
        <v>358</v>
      </c>
      <c r="D1186" s="8">
        <v>2</v>
      </c>
      <c r="E1186" s="8">
        <v>0</v>
      </c>
      <c r="F1186" s="8">
        <v>920</v>
      </c>
    </row>
    <row r="1187" spans="1:6" ht="12.75">
      <c r="A1187" s="8">
        <v>43904.768726851849</v>
      </c>
      <c r="B1187" s="8" t="str">
        <f>HYPERLINK("https://twitter.com/Puteriswift_","@Puteriswift_")</f>
        <v>@Puteriswift_</v>
      </c>
      <c r="C1187" s="8" t="s">
        <v>719</v>
      </c>
      <c r="D1187" s="8">
        <v>0</v>
      </c>
      <c r="E1187" s="8">
        <v>1</v>
      </c>
      <c r="F1187" s="8">
        <v>293</v>
      </c>
    </row>
    <row r="1188" spans="1:6" ht="12.75">
      <c r="A1188" s="8">
        <v>43904.768113425926</v>
      </c>
      <c r="B1188" s="8" t="str">
        <f>HYPERLINK("https://twitter.com/ccpsugiono","@ccpsugiono")</f>
        <v>@ccpsugiono</v>
      </c>
      <c r="C1188" s="8" t="s">
        <v>102</v>
      </c>
      <c r="D1188" s="8">
        <v>10</v>
      </c>
      <c r="E1188" s="8">
        <v>0</v>
      </c>
      <c r="F1188" s="8">
        <v>738</v>
      </c>
    </row>
    <row r="1189" spans="1:6" ht="12.75">
      <c r="A1189" s="8">
        <v>43904.76798611111</v>
      </c>
      <c r="B1189" s="8" t="str">
        <f>HYPERLINK("https://twitter.com/AnujMalikk92","@AnujMalikk92")</f>
        <v>@AnujMalikk92</v>
      </c>
      <c r="C1189" s="8" t="s">
        <v>720</v>
      </c>
      <c r="D1189" s="8">
        <v>0</v>
      </c>
      <c r="E1189" s="8">
        <v>0</v>
      </c>
      <c r="F1189" s="8">
        <v>62</v>
      </c>
    </row>
    <row r="1190" spans="1:6" ht="12.75">
      <c r="A1190" s="8">
        <v>43904.767361111109</v>
      </c>
      <c r="B1190" s="8" t="str">
        <f>HYPERLINK("https://twitter.com/sebutalpacino","@sebutalpacino")</f>
        <v>@sebutalpacino</v>
      </c>
      <c r="C1190" s="8" t="s">
        <v>601</v>
      </c>
      <c r="D1190" s="8">
        <v>0</v>
      </c>
      <c r="E1190" s="8">
        <v>0</v>
      </c>
      <c r="F1190" s="8">
        <v>757</v>
      </c>
    </row>
    <row r="1191" spans="1:6" ht="12.75">
      <c r="A1191" s="8">
        <v>43904.767210648148</v>
      </c>
      <c r="B1191" s="8" t="str">
        <f>HYPERLINK("https://twitter.com/AEPishere","@AEPishere")</f>
        <v>@AEPishere</v>
      </c>
      <c r="C1191" s="8" t="s">
        <v>19</v>
      </c>
      <c r="D1191" s="8">
        <v>13</v>
      </c>
      <c r="E1191" s="8">
        <v>0</v>
      </c>
      <c r="F1191" s="8">
        <v>3006</v>
      </c>
    </row>
    <row r="1192" spans="1:6" ht="12.75">
      <c r="A1192" s="8">
        <v>43904.766666666663</v>
      </c>
      <c r="B1192" s="8" t="str">
        <f>HYPERLINK("https://twitter.com/Ayu__Nisya","@Ayu__Nisya")</f>
        <v>@Ayu__Nisya</v>
      </c>
      <c r="C1192" s="8" t="s">
        <v>601</v>
      </c>
      <c r="D1192" s="8">
        <v>0</v>
      </c>
      <c r="E1192" s="8">
        <v>0</v>
      </c>
      <c r="F1192" s="8">
        <v>377</v>
      </c>
    </row>
    <row r="1193" spans="1:6" ht="12.75">
      <c r="A1193" s="8">
        <v>43904.765752314815</v>
      </c>
      <c r="B1193" s="8" t="str">
        <f>HYPERLINK("https://twitter.com/sukard1_percaya","@sukard1_percaya")</f>
        <v>@sukard1_percaya</v>
      </c>
      <c r="C1193" s="8" t="s">
        <v>102</v>
      </c>
      <c r="D1193" s="8">
        <v>10</v>
      </c>
      <c r="E1193" s="8">
        <v>0</v>
      </c>
      <c r="F1193" s="8">
        <v>3</v>
      </c>
    </row>
    <row r="1194" spans="1:6" ht="12.75">
      <c r="A1194" s="8">
        <v>43904.765185185184</v>
      </c>
      <c r="B1194" s="8" t="str">
        <f>HYPERLINK("https://twitter.com/putrief30","@putrief30")</f>
        <v>@putrief30</v>
      </c>
      <c r="C1194" s="8" t="s">
        <v>721</v>
      </c>
      <c r="D1194" s="8">
        <v>0</v>
      </c>
      <c r="E1194" s="8">
        <v>0</v>
      </c>
      <c r="F1194" s="8">
        <v>10</v>
      </c>
    </row>
    <row r="1195" spans="1:6" ht="12.75">
      <c r="A1195" s="8">
        <v>43904.764803240745</v>
      </c>
      <c r="B1195" s="8" t="str">
        <f>HYPERLINK("https://twitter.com/olgakoswanurfan","@olgakoswanurfan")</f>
        <v>@olgakoswanurfan</v>
      </c>
      <c r="C1195" s="8" t="s">
        <v>722</v>
      </c>
      <c r="D1195" s="8">
        <v>1</v>
      </c>
      <c r="E1195" s="8">
        <v>0</v>
      </c>
      <c r="F1195" s="8">
        <v>30</v>
      </c>
    </row>
    <row r="1196" spans="1:6" ht="12.75">
      <c r="A1196" s="8">
        <v>43904.764687499999</v>
      </c>
      <c r="B1196" s="8" t="str">
        <f>HYPERLINK("https://twitter.com/miranaguib","@miranaguib")</f>
        <v>@miranaguib</v>
      </c>
      <c r="C1196" s="8" t="s">
        <v>723</v>
      </c>
      <c r="D1196" s="8">
        <v>1</v>
      </c>
      <c r="E1196" s="8">
        <v>0</v>
      </c>
      <c r="F1196" s="8">
        <v>358</v>
      </c>
    </row>
    <row r="1197" spans="1:6" ht="12.75">
      <c r="A1197" s="8">
        <v>43904.764652777776</v>
      </c>
      <c r="B1197" s="8" t="str">
        <f>HYPERLINK("https://twitter.com/rajaparuma","@rajaparuma")</f>
        <v>@rajaparuma</v>
      </c>
      <c r="C1197" s="8" t="s">
        <v>724</v>
      </c>
      <c r="D1197" s="8">
        <v>1</v>
      </c>
      <c r="E1197" s="8">
        <v>3</v>
      </c>
      <c r="F1197" s="8">
        <v>251</v>
      </c>
    </row>
    <row r="1198" spans="1:6" ht="12.75">
      <c r="A1198" s="8">
        <v>43904.764409722222</v>
      </c>
      <c r="B1198" s="8" t="str">
        <f>HYPERLINK("https://twitter.com/Mbakmjiyut","@Mbakmjiyut")</f>
        <v>@Mbakmjiyut</v>
      </c>
      <c r="C1198" s="8" t="s">
        <v>102</v>
      </c>
      <c r="D1198" s="8">
        <v>10</v>
      </c>
      <c r="E1198" s="8">
        <v>0</v>
      </c>
      <c r="F1198" s="8">
        <v>2933</v>
      </c>
    </row>
    <row r="1199" spans="1:6" ht="12.75">
      <c r="A1199" s="8">
        <v>43904.764097222222</v>
      </c>
      <c r="B1199" s="8" t="str">
        <f>HYPERLINK("https://twitter.com/kanggebuck","@kanggebuck")</f>
        <v>@kanggebuck</v>
      </c>
      <c r="C1199" s="8" t="s">
        <v>725</v>
      </c>
      <c r="D1199" s="8">
        <v>0</v>
      </c>
      <c r="E1199" s="8">
        <v>0</v>
      </c>
      <c r="F1199" s="8">
        <v>134</v>
      </c>
    </row>
    <row r="1200" spans="1:6" ht="12.75">
      <c r="A1200" s="8">
        <v>43904.760266203702</v>
      </c>
      <c r="B1200" s="8" t="str">
        <f>HYPERLINK("https://twitter.com/Jans33581974","@Jans33581974")</f>
        <v>@Jans33581974</v>
      </c>
      <c r="C1200" s="8" t="s">
        <v>660</v>
      </c>
      <c r="D1200" s="8">
        <v>5</v>
      </c>
      <c r="E1200" s="8">
        <v>0</v>
      </c>
      <c r="F1200" s="8">
        <v>258</v>
      </c>
    </row>
    <row r="1201" spans="1:6" ht="12.75">
      <c r="A1201" s="8">
        <v>43904.760069444441</v>
      </c>
      <c r="B1201" s="8" t="str">
        <f>HYPERLINK("https://twitter.com/blackpink828","@blackpink828")</f>
        <v>@blackpink828</v>
      </c>
      <c r="C1201" s="8" t="s">
        <v>102</v>
      </c>
      <c r="D1201" s="8">
        <v>10</v>
      </c>
      <c r="E1201" s="8">
        <v>0</v>
      </c>
      <c r="F1201" s="8">
        <v>2858</v>
      </c>
    </row>
    <row r="1202" spans="1:6" ht="12.75">
      <c r="A1202" s="8">
        <v>43904.758796296301</v>
      </c>
      <c r="B1202" s="8" t="str">
        <f>HYPERLINK("https://twitter.com/glodakh","@glodakh")</f>
        <v>@glodakh</v>
      </c>
      <c r="C1202" s="8" t="s">
        <v>726</v>
      </c>
      <c r="D1202" s="8">
        <v>11</v>
      </c>
      <c r="E1202" s="8">
        <v>0</v>
      </c>
      <c r="F1202" s="8">
        <v>5</v>
      </c>
    </row>
    <row r="1203" spans="1:6" ht="12.75">
      <c r="A1203" s="8">
        <v>43904.756608796291</v>
      </c>
      <c r="B1203" s="8" t="str">
        <f>HYPERLINK("https://twitter.com/Spider__id","@Spider__id")</f>
        <v>@Spider__id</v>
      </c>
      <c r="C1203" s="8" t="s">
        <v>727</v>
      </c>
      <c r="D1203" s="8">
        <v>0</v>
      </c>
      <c r="E1203" s="8">
        <v>0</v>
      </c>
      <c r="F1203" s="8">
        <v>5052</v>
      </c>
    </row>
    <row r="1204" spans="1:6" ht="12.75">
      <c r="A1204" s="8">
        <v>43904.756296296298</v>
      </c>
      <c r="B1204" s="8" t="str">
        <f>HYPERLINK("https://twitter.com/suaradotcom","@suaradotcom")</f>
        <v>@suaradotcom</v>
      </c>
      <c r="C1204" s="8" t="s">
        <v>728</v>
      </c>
      <c r="D1204" s="8">
        <v>0</v>
      </c>
      <c r="E1204" s="8">
        <v>0</v>
      </c>
      <c r="F1204" s="8">
        <v>25049</v>
      </c>
    </row>
    <row r="1205" spans="1:6" ht="12.75">
      <c r="A1205" s="8">
        <v>43904.755891203706</v>
      </c>
      <c r="B1205" s="8" t="str">
        <f>HYPERLINK("https://twitter.com/dennesbong","@dennesbong")</f>
        <v>@dennesbong</v>
      </c>
      <c r="C1205" s="8" t="s">
        <v>182</v>
      </c>
      <c r="D1205" s="8">
        <v>1</v>
      </c>
      <c r="E1205" s="8">
        <v>0</v>
      </c>
      <c r="F1205" s="8">
        <v>113</v>
      </c>
    </row>
    <row r="1206" spans="1:6" ht="12.75">
      <c r="A1206" s="8">
        <v>43904.755682870367</v>
      </c>
      <c r="B1206" s="8" t="str">
        <f>HYPERLINK("https://twitter.com/AndiChTh","@AndiChTh")</f>
        <v>@AndiChTh</v>
      </c>
      <c r="C1206" s="8" t="s">
        <v>272</v>
      </c>
      <c r="D1206" s="8">
        <v>21</v>
      </c>
      <c r="E1206" s="8">
        <v>0</v>
      </c>
      <c r="F1206" s="8">
        <v>87</v>
      </c>
    </row>
    <row r="1207" spans="1:6" ht="12.75">
      <c r="A1207" s="8">
        <v>43904.755509259259</v>
      </c>
      <c r="B1207" s="8" t="str">
        <f>HYPERLINK("https://twitter.com/_wni_","@_wni_")</f>
        <v>@_wni_</v>
      </c>
      <c r="C1207" s="8" t="s">
        <v>729</v>
      </c>
      <c r="D1207" s="8">
        <v>0</v>
      </c>
      <c r="E1207" s="8">
        <v>0</v>
      </c>
      <c r="F1207" s="8">
        <v>21</v>
      </c>
    </row>
    <row r="1208" spans="1:6" ht="12.75">
      <c r="A1208" s="8">
        <v>43904.755486111113</v>
      </c>
      <c r="B1208" s="8" t="str">
        <f>HYPERLINK("https://twitter.com/adeguncess","@adeguncess")</f>
        <v>@adeguncess</v>
      </c>
      <c r="C1208" s="8" t="s">
        <v>162</v>
      </c>
      <c r="D1208" s="8">
        <v>139</v>
      </c>
      <c r="E1208" s="8">
        <v>0</v>
      </c>
      <c r="F1208" s="8">
        <v>332</v>
      </c>
    </row>
    <row r="1209" spans="1:6" ht="12.75">
      <c r="A1209" s="8">
        <v>43904.754583333328</v>
      </c>
      <c r="B1209" s="8" t="str">
        <f>HYPERLINK("https://twitter.com/Popularitascom","@Popularitascom")</f>
        <v>@Popularitascom</v>
      </c>
      <c r="C1209" s="8" t="s">
        <v>730</v>
      </c>
      <c r="D1209" s="8">
        <v>0</v>
      </c>
      <c r="E1209" s="8">
        <v>0</v>
      </c>
      <c r="F1209" s="8">
        <v>133</v>
      </c>
    </row>
    <row r="1210" spans="1:6" ht="12.75">
      <c r="A1210" s="8">
        <v>43904.753865740742</v>
      </c>
      <c r="B1210" s="8" t="str">
        <f>HYPERLINK("https://twitter.com/PMoestazam","@PMoestazam")</f>
        <v>@PMoestazam</v>
      </c>
      <c r="C1210" s="8" t="s">
        <v>731</v>
      </c>
      <c r="D1210" s="8">
        <v>0</v>
      </c>
      <c r="E1210" s="8">
        <v>0</v>
      </c>
      <c r="F1210" s="8">
        <v>0</v>
      </c>
    </row>
    <row r="1211" spans="1:6" ht="12.75">
      <c r="A1211" s="8">
        <v>43904.753680555557</v>
      </c>
      <c r="B1211" s="8" t="str">
        <f>HYPERLINK("https://twitter.com/fferdiansyah13_","@fferdiansyah13_")</f>
        <v>@fferdiansyah13_</v>
      </c>
      <c r="C1211" s="8" t="s">
        <v>63</v>
      </c>
      <c r="D1211" s="8">
        <v>53</v>
      </c>
      <c r="E1211" s="8">
        <v>0</v>
      </c>
      <c r="F1211" s="8">
        <v>96</v>
      </c>
    </row>
    <row r="1212" spans="1:6" ht="12.75">
      <c r="A1212" s="8">
        <v>43904.753449074073</v>
      </c>
      <c r="B1212" s="8" t="str">
        <f>HYPERLINK("https://twitter.com/ummihasfa","@ummihasfa")</f>
        <v>@ummihasfa</v>
      </c>
      <c r="C1212" s="8" t="s">
        <v>440</v>
      </c>
      <c r="D1212" s="8">
        <v>162</v>
      </c>
      <c r="E1212" s="8">
        <v>0</v>
      </c>
      <c r="F1212" s="8">
        <v>7250</v>
      </c>
    </row>
    <row r="1213" spans="1:6" ht="12.75">
      <c r="A1213" s="8">
        <v>43904.752974537041</v>
      </c>
      <c r="B1213" s="8" t="str">
        <f>HYPERLINK("https://twitter.com/topinfo_id","@topinfo_id")</f>
        <v>@topinfo_id</v>
      </c>
      <c r="C1213" s="8" t="s">
        <v>732</v>
      </c>
      <c r="D1213" s="8">
        <v>0</v>
      </c>
      <c r="E1213" s="8">
        <v>0</v>
      </c>
      <c r="F1213" s="8">
        <v>116</v>
      </c>
    </row>
    <row r="1214" spans="1:6" ht="12.75">
      <c r="A1214" s="8">
        <v>43904.75236111111</v>
      </c>
      <c r="B1214" s="8" t="str">
        <f>HYPERLINK("https://twitter.com/KRobet02","@KRobet02")</f>
        <v>@KRobet02</v>
      </c>
      <c r="C1214" s="8" t="s">
        <v>219</v>
      </c>
      <c r="D1214" s="8">
        <v>49</v>
      </c>
      <c r="E1214" s="8">
        <v>0</v>
      </c>
      <c r="F1214" s="8">
        <v>286</v>
      </c>
    </row>
    <row r="1215" spans="1:6" ht="12.75">
      <c r="A1215" s="8">
        <v>43904.752256944441</v>
      </c>
      <c r="B1215" s="8" t="str">
        <f>HYPERLINK("https://twitter.com/_afaz","@_afaz")</f>
        <v>@_afaz</v>
      </c>
      <c r="C1215" s="8" t="s">
        <v>733</v>
      </c>
      <c r="D1215" s="8">
        <v>0</v>
      </c>
      <c r="E1215" s="8">
        <v>0</v>
      </c>
      <c r="F1215" s="8">
        <v>267</v>
      </c>
    </row>
    <row r="1216" spans="1:6" ht="12.75">
      <c r="A1216" s="8">
        <v>43904.751736111109</v>
      </c>
      <c r="B1216" s="8" t="str">
        <f>HYPERLINK("https://twitter.com/jklmiyua","@jklmiyua")</f>
        <v>@jklmiyua</v>
      </c>
      <c r="C1216" s="8" t="s">
        <v>734</v>
      </c>
      <c r="D1216" s="8">
        <v>0</v>
      </c>
      <c r="E1216" s="8">
        <v>0</v>
      </c>
      <c r="F1216" s="8">
        <v>21</v>
      </c>
    </row>
    <row r="1217" spans="1:6" ht="12.75">
      <c r="A1217" s="8">
        <v>43904.75172453704</v>
      </c>
      <c r="B1217" s="8" t="str">
        <f>HYPERLINK("https://twitter.com/HTIjancok","@HTIjancok")</f>
        <v>@HTIjancok</v>
      </c>
      <c r="C1217" s="8" t="s">
        <v>735</v>
      </c>
      <c r="D1217" s="8">
        <v>0</v>
      </c>
      <c r="E1217" s="8">
        <v>0</v>
      </c>
      <c r="F1217" s="8">
        <v>57</v>
      </c>
    </row>
    <row r="1218" spans="1:6" ht="12.75">
      <c r="A1218" s="8">
        <v>43904.751458333332</v>
      </c>
      <c r="B1218" s="8" t="str">
        <f>HYPERLINK("https://twitter.com/zipahutar","@zipahutar")</f>
        <v>@zipahutar</v>
      </c>
      <c r="C1218" s="8" t="s">
        <v>14</v>
      </c>
      <c r="D1218" s="8">
        <v>5</v>
      </c>
      <c r="E1218" s="8">
        <v>0</v>
      </c>
      <c r="F1218" s="8">
        <v>160</v>
      </c>
    </row>
    <row r="1219" spans="1:6" ht="12.75">
      <c r="A1219" s="8">
        <v>43904.751180555555</v>
      </c>
      <c r="B1219" s="8" t="str">
        <f>HYPERLINK("https://twitter.com/moesa_jp02","@moesa_jp02")</f>
        <v>@moesa_jp02</v>
      </c>
      <c r="C1219" s="8" t="s">
        <v>736</v>
      </c>
      <c r="D1219" s="8">
        <v>0</v>
      </c>
      <c r="E1219" s="8">
        <v>0</v>
      </c>
      <c r="F1219" s="8">
        <v>1383</v>
      </c>
    </row>
    <row r="1220" spans="1:6" ht="12.75">
      <c r="A1220" s="8">
        <v>43904.750474537039</v>
      </c>
      <c r="B1220" s="8" t="str">
        <f>HYPERLINK("https://twitter.com/SyarifAlkadrie3","@SyarifAlkadrie3")</f>
        <v>@SyarifAlkadrie3</v>
      </c>
      <c r="C1220" s="8" t="s">
        <v>219</v>
      </c>
      <c r="D1220" s="8">
        <v>49</v>
      </c>
      <c r="E1220" s="8">
        <v>0</v>
      </c>
      <c r="F1220" s="8">
        <v>957</v>
      </c>
    </row>
    <row r="1221" spans="1:6" ht="12.75">
      <c r="A1221" s="8">
        <v>43904.750231481477</v>
      </c>
      <c r="B1221" s="8" t="str">
        <f>HYPERLINK("https://twitter.com/bersatulahnkri","@bersatulahnkri")</f>
        <v>@bersatulahnkri</v>
      </c>
      <c r="C1221" s="8" t="s">
        <v>19</v>
      </c>
      <c r="D1221" s="8">
        <v>5</v>
      </c>
      <c r="E1221" s="8">
        <v>0</v>
      </c>
      <c r="F1221" s="8">
        <v>2144</v>
      </c>
    </row>
    <row r="1222" spans="1:6" ht="12.75">
      <c r="A1222" s="8">
        <v>43904.750173611115</v>
      </c>
      <c r="B1222" s="8" t="str">
        <f>HYPERLINK("https://twitter.com/ocong___","@ocong___")</f>
        <v>@ocong___</v>
      </c>
      <c r="C1222" s="8" t="s">
        <v>637</v>
      </c>
      <c r="D1222" s="8">
        <v>5</v>
      </c>
      <c r="E1222" s="8">
        <v>0</v>
      </c>
      <c r="F1222" s="8">
        <v>3739</v>
      </c>
    </row>
    <row r="1223" spans="1:6" ht="12.75">
      <c r="A1223" s="8">
        <v>43904.750034722223</v>
      </c>
      <c r="B1223" s="8" t="str">
        <f>HYPERLINK("https://twitter.com/Cyma_shop","@Cyma_shop")</f>
        <v>@Cyma_shop</v>
      </c>
      <c r="C1223" s="8" t="s">
        <v>737</v>
      </c>
      <c r="D1223" s="8">
        <v>0</v>
      </c>
      <c r="E1223" s="8">
        <v>0</v>
      </c>
      <c r="F1223" s="8">
        <v>261</v>
      </c>
    </row>
    <row r="1224" spans="1:6" ht="12.75">
      <c r="A1224" s="8">
        <v>43904.75</v>
      </c>
      <c r="B1224" s="8" t="str">
        <f>HYPERLINK("https://twitter.com/healthyliveID","@healthyliveID")</f>
        <v>@healthyliveID</v>
      </c>
      <c r="C1224" s="8" t="s">
        <v>738</v>
      </c>
      <c r="D1224" s="8">
        <v>0</v>
      </c>
      <c r="E1224" s="8">
        <v>0</v>
      </c>
      <c r="F1224" s="8">
        <v>45113</v>
      </c>
    </row>
    <row r="1225" spans="1:6" ht="12.75">
      <c r="A1225" s="8">
        <v>43904.75</v>
      </c>
      <c r="B1225" s="8" t="str">
        <f>HYPERLINK("https://twitter.com/RakyatMerdeka99","@RakyatMerdeka99")</f>
        <v>@RakyatMerdeka99</v>
      </c>
      <c r="C1225" s="8" t="s">
        <v>739</v>
      </c>
      <c r="D1225" s="8">
        <v>0</v>
      </c>
      <c r="E1225" s="8">
        <v>0</v>
      </c>
      <c r="F1225" s="8">
        <v>774</v>
      </c>
    </row>
    <row r="1226" spans="1:6" ht="12.75">
      <c r="A1226" s="8">
        <v>43904.749722222223</v>
      </c>
      <c r="B1226" s="8" t="str">
        <f>HYPERLINK("https://twitter.com/raynaldooctavio","@raynaldooctavio")</f>
        <v>@raynaldooctavio</v>
      </c>
      <c r="C1226" s="8" t="s">
        <v>740</v>
      </c>
      <c r="D1226" s="8">
        <v>0</v>
      </c>
      <c r="E1226" s="8">
        <v>0</v>
      </c>
      <c r="F1226" s="8">
        <v>66</v>
      </c>
    </row>
    <row r="1227" spans="1:6" ht="12.75">
      <c r="A1227" s="8">
        <v>43904.749652777777</v>
      </c>
      <c r="B1227" s="8" t="str">
        <f>HYPERLINK("https://twitter.com/titaniavk","@titaniavk")</f>
        <v>@titaniavk</v>
      </c>
      <c r="C1227" s="8" t="s">
        <v>741</v>
      </c>
      <c r="D1227" s="8">
        <v>0</v>
      </c>
      <c r="E1227" s="8">
        <v>0</v>
      </c>
      <c r="F1227" s="8">
        <v>20</v>
      </c>
    </row>
    <row r="1228" spans="1:6" ht="12.75">
      <c r="A1228" s="8">
        <v>43904.749293981484</v>
      </c>
      <c r="B1228" s="8" t="str">
        <f>HYPERLINK("https://twitter.com/marufamin_news","@marufamin_news")</f>
        <v>@marufamin_news</v>
      </c>
      <c r="C1228" s="8" t="s">
        <v>742</v>
      </c>
      <c r="D1228" s="8">
        <v>0</v>
      </c>
      <c r="E1228" s="8">
        <v>0</v>
      </c>
      <c r="F1228" s="8">
        <v>8</v>
      </c>
    </row>
    <row r="1229" spans="1:6" ht="12.75">
      <c r="A1229" s="8">
        <v>43904.749293981484</v>
      </c>
      <c r="B1229" s="8" t="str">
        <f>HYPERLINK("https://twitter.com/NaviriMag","@NaviriMag")</f>
        <v>@NaviriMag</v>
      </c>
      <c r="C1229" s="8" t="s">
        <v>743</v>
      </c>
      <c r="D1229" s="8">
        <v>0</v>
      </c>
      <c r="E1229" s="8">
        <v>0</v>
      </c>
      <c r="F1229" s="8">
        <v>1353</v>
      </c>
    </row>
    <row r="1230" spans="1:6" ht="12.75">
      <c r="A1230" s="8">
        <v>43904.748912037037</v>
      </c>
      <c r="B1230" s="8" t="str">
        <f>HYPERLINK("https://twitter.com/bakura_yamimode","@bakura_yamimode")</f>
        <v>@bakura_yamimode</v>
      </c>
      <c r="C1230" s="8" t="s">
        <v>744</v>
      </c>
      <c r="D1230" s="8">
        <v>0</v>
      </c>
      <c r="E1230" s="8">
        <v>0</v>
      </c>
      <c r="F1230" s="8">
        <v>10</v>
      </c>
    </row>
    <row r="1231" spans="1:6" ht="12.75">
      <c r="A1231" s="8">
        <v>43904.748842592591</v>
      </c>
      <c r="B1231" s="8" t="str">
        <f>HYPERLINK("https://twitter.com/marufamin_news","@marufamin_news")</f>
        <v>@marufamin_news</v>
      </c>
      <c r="C1231" s="8" t="s">
        <v>745</v>
      </c>
      <c r="D1231" s="8">
        <v>0</v>
      </c>
      <c r="E1231" s="8">
        <v>0</v>
      </c>
      <c r="F1231" s="8">
        <v>8</v>
      </c>
    </row>
    <row r="1232" spans="1:6" ht="12.75">
      <c r="A1232" s="8">
        <v>43904.748587962968</v>
      </c>
      <c r="B1232" s="8" t="str">
        <f>HYPERLINK("https://twitter.com/KBRIColombo","@KBRIColombo")</f>
        <v>@KBRIColombo</v>
      </c>
      <c r="C1232" s="8" t="s">
        <v>746</v>
      </c>
      <c r="D1232" s="8">
        <v>0</v>
      </c>
      <c r="E1232" s="8">
        <v>0</v>
      </c>
      <c r="F1232" s="8">
        <v>751</v>
      </c>
    </row>
    <row r="1233" spans="1:6" ht="12.75">
      <c r="A1233" s="8">
        <v>43904.747789351852</v>
      </c>
      <c r="B1233" s="8" t="str">
        <f>HYPERLINK("https://twitter.com/zaranj_a","@zaranj_a")</f>
        <v>@zaranj_a</v>
      </c>
      <c r="C1233" s="8" t="s">
        <v>747</v>
      </c>
      <c r="D1233" s="8">
        <v>0</v>
      </c>
      <c r="E1233" s="8">
        <v>0</v>
      </c>
      <c r="F1233" s="8">
        <v>61</v>
      </c>
    </row>
    <row r="1234" spans="1:6" ht="12.75">
      <c r="A1234" s="8">
        <v>43904.747546296298</v>
      </c>
      <c r="B1234" s="8" t="str">
        <f>HYPERLINK("https://twitter.com/Je_Ly","@Je_Ly")</f>
        <v>@Je_Ly</v>
      </c>
      <c r="C1234" s="8" t="s">
        <v>748</v>
      </c>
      <c r="D1234" s="8">
        <v>1</v>
      </c>
      <c r="E1234" s="8">
        <v>0</v>
      </c>
      <c r="F1234" s="8">
        <v>17405</v>
      </c>
    </row>
    <row r="1235" spans="1:6" ht="12.75">
      <c r="A1235" s="8">
        <v>43904.747534722221</v>
      </c>
      <c r="B1235" s="8" t="str">
        <f>HYPERLINK("https://twitter.com/NNugie","@NNugie")</f>
        <v>@NNugie</v>
      </c>
      <c r="C1235" s="8" t="s">
        <v>749</v>
      </c>
      <c r="D1235" s="8">
        <v>0</v>
      </c>
      <c r="E1235" s="8">
        <v>0</v>
      </c>
      <c r="F1235" s="8">
        <v>4883</v>
      </c>
    </row>
    <row r="1236" spans="1:6" ht="12.75">
      <c r="A1236" s="8">
        <v>43904.747256944444</v>
      </c>
      <c r="B1236" s="8" t="str">
        <f>HYPERLINK("https://twitter.com/alex_hunter146","@alex_hunter146")</f>
        <v>@alex_hunter146</v>
      </c>
      <c r="C1236" s="8" t="s">
        <v>750</v>
      </c>
      <c r="D1236" s="8">
        <v>1</v>
      </c>
      <c r="E1236" s="8">
        <v>1</v>
      </c>
      <c r="F1236" s="8">
        <v>1538</v>
      </c>
    </row>
    <row r="1237" spans="1:6" ht="12.75">
      <c r="A1237" s="8">
        <v>43904.746990740736</v>
      </c>
      <c r="B1237" s="8" t="str">
        <f>HYPERLINK("https://twitter.com/jon_sitanggang","@jon_sitanggang")</f>
        <v>@jon_sitanggang</v>
      </c>
      <c r="C1237" s="8" t="s">
        <v>660</v>
      </c>
      <c r="D1237" s="8">
        <v>4</v>
      </c>
      <c r="E1237" s="8">
        <v>0</v>
      </c>
      <c r="F1237" s="8">
        <v>240</v>
      </c>
    </row>
    <row r="1238" spans="1:6" ht="12.75">
      <c r="A1238" s="8">
        <v>43904.745358796295</v>
      </c>
      <c r="B1238" s="8" t="str">
        <f>HYPERLINK("https://twitter.com/penjelajahhh","@penjelajahhh")</f>
        <v>@penjelajahhh</v>
      </c>
      <c r="C1238" s="8" t="s">
        <v>751</v>
      </c>
      <c r="D1238" s="8">
        <v>0</v>
      </c>
      <c r="E1238" s="8">
        <v>0</v>
      </c>
      <c r="F1238" s="8">
        <v>268</v>
      </c>
    </row>
    <row r="1239" spans="1:6" ht="12.75">
      <c r="A1239" s="8">
        <v>43904.745219907403</v>
      </c>
      <c r="B1239" s="8" t="str">
        <f>HYPERLINK("https://twitter.com/crxdwnk","@crxdwnk")</f>
        <v>@crxdwnk</v>
      </c>
      <c r="C1239" s="8" t="s">
        <v>752</v>
      </c>
      <c r="D1239" s="8">
        <v>0</v>
      </c>
      <c r="E1239" s="8">
        <v>0</v>
      </c>
      <c r="F1239" s="8">
        <v>271</v>
      </c>
    </row>
    <row r="1240" spans="1:6" ht="12.75">
      <c r="A1240" s="8">
        <v>43904.745034722218</v>
      </c>
      <c r="B1240" s="8" t="str">
        <f>HYPERLINK("https://twitter.com/topinfo_id","@topinfo_id")</f>
        <v>@topinfo_id</v>
      </c>
      <c r="C1240" s="8" t="s">
        <v>753</v>
      </c>
      <c r="D1240" s="8">
        <v>0</v>
      </c>
      <c r="E1240" s="8">
        <v>0</v>
      </c>
      <c r="F1240" s="8">
        <v>116</v>
      </c>
    </row>
    <row r="1241" spans="1:6" ht="12.75">
      <c r="A1241" s="8">
        <v>43904.744884259257</v>
      </c>
      <c r="B1241" s="8" t="str">
        <f>HYPERLINK("https://twitter.com/detii0730","@detii0730")</f>
        <v>@detii0730</v>
      </c>
      <c r="C1241" s="8" t="s">
        <v>754</v>
      </c>
      <c r="D1241" s="8">
        <v>0</v>
      </c>
      <c r="E1241" s="8">
        <v>0</v>
      </c>
      <c r="F1241" s="8">
        <v>886</v>
      </c>
    </row>
    <row r="1242" spans="1:6" ht="12.75">
      <c r="A1242" s="8">
        <v>43904.744768518518</v>
      </c>
      <c r="B1242" s="8" t="str">
        <f>HYPERLINK("https://twitter.com/daaaahhh_i","@daaaahhh_i")</f>
        <v>@daaaahhh_i</v>
      </c>
      <c r="C1242" s="8" t="s">
        <v>755</v>
      </c>
      <c r="D1242" s="8">
        <v>0</v>
      </c>
      <c r="E1242" s="8">
        <v>0</v>
      </c>
      <c r="F1242" s="8">
        <v>16</v>
      </c>
    </row>
    <row r="1243" spans="1:6" ht="12.75">
      <c r="A1243" s="8">
        <v>43904.744467592594</v>
      </c>
      <c r="B1243" s="8" t="str">
        <f>HYPERLINK("https://twitter.com/CiwamP","@CiwamP")</f>
        <v>@CiwamP</v>
      </c>
      <c r="C1243" s="8" t="s">
        <v>165</v>
      </c>
      <c r="D1243" s="8">
        <v>135</v>
      </c>
      <c r="E1243" s="8">
        <v>0</v>
      </c>
      <c r="F1243" s="8">
        <v>574</v>
      </c>
    </row>
    <row r="1244" spans="1:6" ht="12.75">
      <c r="A1244" s="8">
        <v>43904.744305555556</v>
      </c>
      <c r="B1244" s="8" t="str">
        <f>HYPERLINK("https://twitter.com/Danimas19","@Danimas19")</f>
        <v>@Danimas19</v>
      </c>
      <c r="C1244" s="8" t="s">
        <v>107</v>
      </c>
      <c r="D1244" s="8">
        <v>31</v>
      </c>
      <c r="E1244" s="8">
        <v>0</v>
      </c>
      <c r="F1244" s="8">
        <v>153</v>
      </c>
    </row>
    <row r="1245" spans="1:6" ht="12.75">
      <c r="A1245" s="8">
        <v>43904.744027777779</v>
      </c>
      <c r="B1245" s="8" t="str">
        <f>HYPERLINK("https://twitter.com/ElvistDenali","@ElvistDenali")</f>
        <v>@ElvistDenali</v>
      </c>
      <c r="C1245" s="8" t="s">
        <v>756</v>
      </c>
      <c r="D1245" s="8">
        <v>0</v>
      </c>
      <c r="E1245" s="8">
        <v>0</v>
      </c>
      <c r="F1245" s="8">
        <v>452</v>
      </c>
    </row>
    <row r="1246" spans="1:6" ht="12.75">
      <c r="A1246" s="8">
        <v>43904.742800925931</v>
      </c>
      <c r="B1246" s="8" t="str">
        <f>HYPERLINK("https://twitter.com/huhulicious","@huhulicious")</f>
        <v>@huhulicious</v>
      </c>
      <c r="C1246" s="8" t="s">
        <v>757</v>
      </c>
      <c r="D1246" s="8">
        <v>0</v>
      </c>
      <c r="E1246" s="8">
        <v>0</v>
      </c>
      <c r="F1246" s="8">
        <v>938</v>
      </c>
    </row>
    <row r="1247" spans="1:6" ht="12.75">
      <c r="A1247" s="8">
        <v>43904.742731481485</v>
      </c>
      <c r="B1247" s="8" t="str">
        <f>HYPERLINK("https://twitter.com/Rambo25004053","@Rambo25004053")</f>
        <v>@Rambo25004053</v>
      </c>
      <c r="C1247" s="8" t="s">
        <v>758</v>
      </c>
      <c r="D1247" s="8">
        <v>0</v>
      </c>
      <c r="E1247" s="8">
        <v>0</v>
      </c>
      <c r="F1247" s="8">
        <v>184</v>
      </c>
    </row>
    <row r="1248" spans="1:6" ht="12.75">
      <c r="A1248" s="8">
        <v>43904.742361111115</v>
      </c>
      <c r="B1248" s="8" t="str">
        <f>HYPERLINK("https://twitter.com/wibie2018","@wibie2018")</f>
        <v>@wibie2018</v>
      </c>
      <c r="C1248" s="8" t="s">
        <v>759</v>
      </c>
      <c r="D1248" s="8">
        <v>0</v>
      </c>
      <c r="E1248" s="8">
        <v>0</v>
      </c>
      <c r="F1248" s="8">
        <v>728</v>
      </c>
    </row>
    <row r="1249" spans="1:6" ht="12.75">
      <c r="A1249" s="8">
        <v>43904.742280092592</v>
      </c>
      <c r="B1249" s="8" t="str">
        <f>HYPERLINK("https://twitter.com/fadlunrahman","@fadlunrahman")</f>
        <v>@fadlunrahman</v>
      </c>
      <c r="C1249" s="8" t="s">
        <v>219</v>
      </c>
      <c r="D1249" s="8">
        <v>49</v>
      </c>
      <c r="E1249" s="8">
        <v>0</v>
      </c>
      <c r="F1249" s="8">
        <v>2463</v>
      </c>
    </row>
    <row r="1250" spans="1:6" ht="12.75">
      <c r="A1250" s="8">
        <v>43904.742106481484</v>
      </c>
      <c r="B1250" s="8" t="str">
        <f>HYPERLINK("https://twitter.com/adnw__","@adnw__")</f>
        <v>@adnw__</v>
      </c>
      <c r="C1250" s="8" t="s">
        <v>440</v>
      </c>
      <c r="D1250" s="8">
        <v>162</v>
      </c>
      <c r="E1250" s="8">
        <v>0</v>
      </c>
      <c r="F1250" s="8">
        <v>1145</v>
      </c>
    </row>
    <row r="1251" spans="1:6" ht="12.75">
      <c r="A1251" s="8">
        <v>43904.741597222222</v>
      </c>
      <c r="B1251" s="8" t="str">
        <f>HYPERLINK("https://twitter.com/kbri_caracas","@kbri_caracas")</f>
        <v>@kbri_caracas</v>
      </c>
      <c r="C1251" s="8" t="s">
        <v>760</v>
      </c>
      <c r="D1251" s="8">
        <v>0</v>
      </c>
      <c r="E1251" s="8">
        <v>0</v>
      </c>
      <c r="F1251" s="8">
        <v>69</v>
      </c>
    </row>
    <row r="1252" spans="1:6" ht="12.75">
      <c r="A1252" s="8">
        <v>43904.741226851853</v>
      </c>
      <c r="B1252" s="8" t="str">
        <f>HYPERLINK("https://twitter.com/aiziz_m","@aiziz_m")</f>
        <v>@aiziz_m</v>
      </c>
      <c r="C1252" s="8" t="s">
        <v>63</v>
      </c>
      <c r="D1252" s="8">
        <v>53</v>
      </c>
      <c r="E1252" s="8">
        <v>0</v>
      </c>
      <c r="F1252" s="8">
        <v>53</v>
      </c>
    </row>
    <row r="1253" spans="1:6" ht="12.75">
      <c r="A1253" s="8">
        <v>43904.740358796298</v>
      </c>
      <c r="B1253" s="8" t="str">
        <f>HYPERLINK("https://twitter.com/gwfijey","@gwfijey")</f>
        <v>@gwfijey</v>
      </c>
      <c r="C1253" s="8" t="s">
        <v>761</v>
      </c>
      <c r="D1253" s="8">
        <v>0</v>
      </c>
      <c r="E1253" s="8">
        <v>1</v>
      </c>
      <c r="F1253" s="8">
        <v>41</v>
      </c>
    </row>
    <row r="1254" spans="1:6" ht="12.75">
      <c r="A1254" s="8">
        <v>43904.740312499998</v>
      </c>
      <c r="B1254" s="8" t="str">
        <f>HYPERLINK("https://twitter.com/AskaraOfficial","@AskaraOfficial")</f>
        <v>@AskaraOfficial</v>
      </c>
      <c r="C1254" s="8" t="s">
        <v>762</v>
      </c>
      <c r="D1254" s="8">
        <v>0</v>
      </c>
      <c r="E1254" s="8">
        <v>0</v>
      </c>
      <c r="F1254" s="8">
        <v>10</v>
      </c>
    </row>
    <row r="1255" spans="1:6" ht="12.75">
      <c r="A1255" s="8">
        <v>43904.740104166667</v>
      </c>
      <c r="B1255" s="8" t="str">
        <f t="shared" ref="B1255:B1257" si="16">HYPERLINK("https://twitter.com/ReiMiechi99","@ReiMiechi99")</f>
        <v>@ReiMiechi99</v>
      </c>
      <c r="C1255" s="8" t="s">
        <v>568</v>
      </c>
      <c r="D1255" s="8">
        <v>10</v>
      </c>
      <c r="E1255" s="8">
        <v>0</v>
      </c>
      <c r="F1255" s="8">
        <v>98</v>
      </c>
    </row>
    <row r="1256" spans="1:6" ht="12.75">
      <c r="A1256" s="8">
        <v>43904.740069444444</v>
      </c>
      <c r="B1256" s="8" t="str">
        <f t="shared" si="16"/>
        <v>@ReiMiechi99</v>
      </c>
      <c r="C1256" s="8" t="s">
        <v>763</v>
      </c>
      <c r="D1256" s="8">
        <v>6</v>
      </c>
      <c r="E1256" s="8">
        <v>0</v>
      </c>
      <c r="F1256" s="8">
        <v>98</v>
      </c>
    </row>
    <row r="1257" spans="1:6" ht="12.75">
      <c r="A1257" s="8">
        <v>43904.739988425921</v>
      </c>
      <c r="B1257" s="8" t="str">
        <f t="shared" si="16"/>
        <v>@ReiMiechi99</v>
      </c>
      <c r="C1257" s="8" t="s">
        <v>764</v>
      </c>
      <c r="D1257" s="8">
        <v>5</v>
      </c>
      <c r="E1257" s="8">
        <v>0</v>
      </c>
      <c r="F1257" s="8">
        <v>98</v>
      </c>
    </row>
    <row r="1258" spans="1:6" ht="12.75">
      <c r="A1258" s="8">
        <v>43904.739363425921</v>
      </c>
      <c r="B1258" s="8" t="str">
        <f>HYPERLINK("https://twitter.com/SaatTobat","@SaatTobat")</f>
        <v>@SaatTobat</v>
      </c>
      <c r="C1258" s="8" t="s">
        <v>272</v>
      </c>
      <c r="D1258" s="8">
        <v>21</v>
      </c>
      <c r="E1258" s="8">
        <v>0</v>
      </c>
      <c r="F1258" s="8">
        <v>1679</v>
      </c>
    </row>
    <row r="1259" spans="1:6" ht="12.75">
      <c r="A1259" s="8">
        <v>43904.738981481481</v>
      </c>
      <c r="B1259" s="8" t="str">
        <f>HYPERLINK("https://twitter.com/CHai_dicky1","@CHai_dicky1")</f>
        <v>@CHai_dicky1</v>
      </c>
      <c r="C1259" s="8" t="s">
        <v>289</v>
      </c>
      <c r="D1259" s="8">
        <v>160</v>
      </c>
      <c r="E1259" s="8">
        <v>0</v>
      </c>
      <c r="F1259" s="8">
        <v>1553</v>
      </c>
    </row>
    <row r="1260" spans="1:6" ht="12.75">
      <c r="A1260" s="8">
        <v>43904.738136574073</v>
      </c>
      <c r="B1260" s="8" t="str">
        <f>HYPERLINK("https://twitter.com/ahmad_deza","@ahmad_deza")</f>
        <v>@ahmad_deza</v>
      </c>
      <c r="C1260" s="8" t="s">
        <v>684</v>
      </c>
      <c r="D1260" s="8">
        <v>1</v>
      </c>
      <c r="E1260" s="8">
        <v>0</v>
      </c>
      <c r="F1260" s="8">
        <v>1335</v>
      </c>
    </row>
    <row r="1261" spans="1:6" ht="12.75">
      <c r="A1261" s="8">
        <v>43904.737916666665</v>
      </c>
      <c r="B1261" s="8" t="str">
        <f>HYPERLINK("https://twitter.com/AlyRabiee","@AlyRabiee")</f>
        <v>@AlyRabiee</v>
      </c>
      <c r="C1261" s="8" t="s">
        <v>765</v>
      </c>
      <c r="D1261" s="8">
        <v>0</v>
      </c>
      <c r="E1261" s="8">
        <v>0</v>
      </c>
      <c r="F1261" s="8">
        <v>303</v>
      </c>
    </row>
    <row r="1262" spans="1:6" ht="12.75">
      <c r="A1262" s="8">
        <v>43904.737824074073</v>
      </c>
      <c r="B1262" s="8" t="str">
        <f>HYPERLINK("https://twitter.com/wisanggeni_084","@wisanggeni_084")</f>
        <v>@wisanggeni_084</v>
      </c>
      <c r="C1262" s="8" t="s">
        <v>272</v>
      </c>
      <c r="D1262" s="8">
        <v>21</v>
      </c>
      <c r="E1262" s="8">
        <v>0</v>
      </c>
      <c r="F1262" s="8">
        <v>18307</v>
      </c>
    </row>
    <row r="1263" spans="1:6" ht="12.75">
      <c r="A1263" s="8">
        <v>43904.737581018519</v>
      </c>
      <c r="B1263" s="8" t="str">
        <f>HYPERLINK("https://twitter.com/AgusSup39011241","@AgusSup39011241")</f>
        <v>@AgusSup39011241</v>
      </c>
      <c r="C1263" s="8" t="s">
        <v>19</v>
      </c>
      <c r="D1263" s="8">
        <v>5</v>
      </c>
      <c r="E1263" s="8">
        <v>0</v>
      </c>
      <c r="F1263" s="8">
        <v>10488</v>
      </c>
    </row>
    <row r="1264" spans="1:6" ht="12.75">
      <c r="A1264" s="8">
        <v>43904.737523148149</v>
      </c>
      <c r="B1264" s="8" t="str">
        <f>HYPERLINK("https://twitter.com/AJazuli5","@AJazuli5")</f>
        <v>@AJazuli5</v>
      </c>
      <c r="C1264" s="8" t="s">
        <v>282</v>
      </c>
      <c r="D1264" s="8">
        <v>31</v>
      </c>
      <c r="E1264" s="8">
        <v>0</v>
      </c>
      <c r="F1264" s="8">
        <v>462</v>
      </c>
    </row>
    <row r="1265" spans="1:6" ht="12.75">
      <c r="A1265" s="8">
        <v>43904.737523148149</v>
      </c>
      <c r="B1265" s="8" t="str">
        <f>HYPERLINK("https://twitter.com/Firdhays","@Firdhays")</f>
        <v>@Firdhays</v>
      </c>
      <c r="C1265" s="8" t="s">
        <v>766</v>
      </c>
      <c r="D1265" s="8">
        <v>0</v>
      </c>
      <c r="E1265" s="8">
        <v>0</v>
      </c>
      <c r="F1265" s="8">
        <v>50</v>
      </c>
    </row>
    <row r="1266" spans="1:6" ht="12.75">
      <c r="A1266" s="8">
        <v>43904.73709490741</v>
      </c>
      <c r="B1266" s="8" t="str">
        <f>HYPERLINK("https://twitter.com/WartaKotaTribun","@WartaKotaTribun")</f>
        <v>@WartaKotaTribun</v>
      </c>
      <c r="C1266" s="8" t="s">
        <v>767</v>
      </c>
      <c r="D1266" s="8">
        <v>0</v>
      </c>
      <c r="E1266" s="8">
        <v>0</v>
      </c>
      <c r="F1266" s="8">
        <v>785</v>
      </c>
    </row>
    <row r="1267" spans="1:6" ht="12.75">
      <c r="A1267" s="8">
        <v>43904.736724537041</v>
      </c>
      <c r="B1267" s="8" t="str">
        <f>HYPERLINK("https://twitter.com/zahidshaikhin07","@zahidshaikhin07")</f>
        <v>@zahidshaikhin07</v>
      </c>
      <c r="C1267" s="8" t="s">
        <v>768</v>
      </c>
      <c r="D1267" s="8">
        <v>10</v>
      </c>
      <c r="E1267" s="8">
        <v>0</v>
      </c>
      <c r="F1267" s="8">
        <v>15</v>
      </c>
    </row>
    <row r="1268" spans="1:6" ht="12.75">
      <c r="A1268" s="8">
        <v>43904.73642361111</v>
      </c>
      <c r="B1268" s="8" t="str">
        <f>HYPERLINK("https://twitter.com/Joko70904583","@Joko70904583")</f>
        <v>@Joko70904583</v>
      </c>
      <c r="C1268" s="8" t="s">
        <v>769</v>
      </c>
      <c r="D1268" s="8">
        <v>0</v>
      </c>
      <c r="E1268" s="8">
        <v>0</v>
      </c>
      <c r="F1268" s="8">
        <v>1</v>
      </c>
    </row>
    <row r="1269" spans="1:6" ht="12.75">
      <c r="A1269" s="8">
        <v>43904.735821759255</v>
      </c>
      <c r="B1269" s="8" t="str">
        <f>HYPERLINK("https://twitter.com/ikbar_riez","@ikbar_riez")</f>
        <v>@ikbar_riez</v>
      </c>
      <c r="C1269" s="8" t="s">
        <v>770</v>
      </c>
      <c r="D1269" s="8">
        <v>0</v>
      </c>
      <c r="E1269" s="8">
        <v>0</v>
      </c>
      <c r="F1269" s="8">
        <v>95</v>
      </c>
    </row>
    <row r="1270" spans="1:6" ht="12.75">
      <c r="A1270" s="8">
        <v>43904.735451388886</v>
      </c>
      <c r="B1270" s="8" t="str">
        <f>HYPERLINK("https://twitter.com/Akashrajpathak1","@Akashrajpathak1")</f>
        <v>@Akashrajpathak1</v>
      </c>
      <c r="C1270" s="8" t="s">
        <v>771</v>
      </c>
      <c r="D1270" s="8">
        <v>0</v>
      </c>
      <c r="E1270" s="8">
        <v>0</v>
      </c>
      <c r="F1270" s="8">
        <v>132</v>
      </c>
    </row>
    <row r="1271" spans="1:6" ht="12.75">
      <c r="A1271" s="8">
        <v>43904.7340162037</v>
      </c>
      <c r="B1271" s="8" t="str">
        <f>HYPERLINK("https://twitter.com/mediaindonesia","@mediaindonesia")</f>
        <v>@mediaindonesia</v>
      </c>
      <c r="C1271" s="8" t="s">
        <v>772</v>
      </c>
      <c r="D1271" s="8">
        <v>1</v>
      </c>
      <c r="E1271" s="8">
        <v>5</v>
      </c>
      <c r="F1271" s="8">
        <v>1421379</v>
      </c>
    </row>
    <row r="1272" spans="1:6" ht="12.75">
      <c r="A1272" s="8">
        <v>43904.733680555553</v>
      </c>
      <c r="B1272" s="8" t="str">
        <f>HYPERLINK("https://twitter.com/berlin_hassan","@berlin_hassan")</f>
        <v>@berlin_hassan</v>
      </c>
      <c r="C1272" s="8" t="s">
        <v>289</v>
      </c>
      <c r="D1272" s="8">
        <v>160</v>
      </c>
      <c r="E1272" s="8">
        <v>0</v>
      </c>
      <c r="F1272" s="8">
        <v>2237</v>
      </c>
    </row>
    <row r="1273" spans="1:6" ht="12.75">
      <c r="A1273" s="8">
        <v>43904.732037037036</v>
      </c>
      <c r="B1273" s="8" t="str">
        <f t="shared" ref="B1273:B1274" si="17">HYPERLINK("https://twitter.com/angelmaximilan","@angelmaximilan")</f>
        <v>@angelmaximilan</v>
      </c>
      <c r="C1273" s="8" t="s">
        <v>773</v>
      </c>
      <c r="D1273" s="8">
        <v>1</v>
      </c>
      <c r="E1273" s="8">
        <v>0</v>
      </c>
      <c r="F1273" s="8">
        <v>6482</v>
      </c>
    </row>
    <row r="1274" spans="1:6" ht="12.75">
      <c r="A1274" s="8">
        <v>43904.731990740736</v>
      </c>
      <c r="B1274" s="8" t="str">
        <f t="shared" si="17"/>
        <v>@angelmaximilan</v>
      </c>
      <c r="C1274" s="8" t="s">
        <v>680</v>
      </c>
      <c r="D1274" s="8">
        <v>7</v>
      </c>
      <c r="E1274" s="8">
        <v>0</v>
      </c>
      <c r="F1274" s="8">
        <v>6482</v>
      </c>
    </row>
    <row r="1275" spans="1:6" ht="12.75">
      <c r="A1275" s="8">
        <v>43904.731828703705</v>
      </c>
      <c r="B1275" s="8" t="str">
        <f>HYPERLINK("https://twitter.com/dherhita","@dherhita")</f>
        <v>@dherhita</v>
      </c>
      <c r="C1275" s="8" t="s">
        <v>660</v>
      </c>
      <c r="D1275" s="8">
        <v>4</v>
      </c>
      <c r="E1275" s="8">
        <v>0</v>
      </c>
      <c r="F1275" s="8">
        <v>79</v>
      </c>
    </row>
    <row r="1276" spans="1:6" ht="12.75">
      <c r="A1276" s="8">
        <v>43904.730891203704</v>
      </c>
      <c r="B1276" s="8" t="str">
        <f>HYPERLINK("https://twitter.com/Finodoang1","@Finodoang1")</f>
        <v>@Finodoang1</v>
      </c>
      <c r="C1276" s="8" t="s">
        <v>774</v>
      </c>
      <c r="D1276" s="8">
        <v>12</v>
      </c>
      <c r="E1276" s="8">
        <v>0</v>
      </c>
      <c r="F1276" s="8">
        <v>7</v>
      </c>
    </row>
    <row r="1277" spans="1:6" ht="12.75">
      <c r="A1277" s="8">
        <v>43904.730532407411</v>
      </c>
      <c r="B1277" s="8" t="str">
        <f>HYPERLINK("https://twitter.com/Pesutitem","@Pesutitem")</f>
        <v>@Pesutitem</v>
      </c>
      <c r="C1277" s="8" t="s">
        <v>775</v>
      </c>
      <c r="D1277" s="8">
        <v>0</v>
      </c>
      <c r="E1277" s="8">
        <v>0</v>
      </c>
      <c r="F1277" s="8">
        <v>200</v>
      </c>
    </row>
    <row r="1278" spans="1:6" ht="12.75">
      <c r="A1278" s="8">
        <v>43904.730266203704</v>
      </c>
      <c r="B1278" s="8" t="str">
        <f>HYPERLINK("https://twitter.com/oak_math_lee_91","@oak_math_lee_91")</f>
        <v>@oak_math_lee_91</v>
      </c>
      <c r="C1278" s="8" t="s">
        <v>776</v>
      </c>
      <c r="D1278" s="8">
        <v>0</v>
      </c>
      <c r="E1278" s="8">
        <v>1</v>
      </c>
      <c r="F1278" s="8">
        <v>125</v>
      </c>
    </row>
    <row r="1279" spans="1:6" ht="12.75">
      <c r="A1279" s="8">
        <v>43904.729965277773</v>
      </c>
      <c r="B1279" s="8" t="str">
        <f>HYPERLINK("https://twitter.com/Wine138","@Wine138")</f>
        <v>@Wine138</v>
      </c>
      <c r="C1279" s="8" t="s">
        <v>680</v>
      </c>
      <c r="D1279" s="8">
        <v>7</v>
      </c>
      <c r="E1279" s="8">
        <v>0</v>
      </c>
      <c r="F1279" s="8">
        <v>1</v>
      </c>
    </row>
    <row r="1280" spans="1:6" ht="12.75">
      <c r="A1280" s="8">
        <v>43904.729722222226</v>
      </c>
      <c r="B1280" s="8" t="str">
        <f>HYPERLINK("https://twitter.com/pramudo","@pramudo")</f>
        <v>@pramudo</v>
      </c>
      <c r="C1280" s="8" t="s">
        <v>777</v>
      </c>
      <c r="D1280" s="8">
        <v>0</v>
      </c>
      <c r="E1280" s="8">
        <v>0</v>
      </c>
      <c r="F1280" s="8">
        <v>61</v>
      </c>
    </row>
    <row r="1281" spans="1:6" ht="12.75">
      <c r="A1281" s="8">
        <v>43904.729618055557</v>
      </c>
      <c r="B1281" s="8" t="str">
        <f>HYPERLINK("https://twitter.com/Choierabdul","@Choierabdul")</f>
        <v>@Choierabdul</v>
      </c>
      <c r="C1281" s="8" t="s">
        <v>778</v>
      </c>
      <c r="D1281" s="8">
        <v>0</v>
      </c>
      <c r="E1281" s="8">
        <v>0</v>
      </c>
      <c r="F1281" s="8">
        <v>5</v>
      </c>
    </row>
    <row r="1282" spans="1:6" ht="12.75">
      <c r="A1282" s="8">
        <v>43904.729537037041</v>
      </c>
      <c r="B1282" s="8" t="str">
        <f>HYPERLINK("https://twitter.com/cranberiesh","@cranberiesh")</f>
        <v>@cranberiesh</v>
      </c>
      <c r="C1282" s="8" t="s">
        <v>779</v>
      </c>
      <c r="D1282" s="8">
        <v>0</v>
      </c>
      <c r="E1282" s="8">
        <v>1</v>
      </c>
      <c r="F1282" s="8">
        <v>3806</v>
      </c>
    </row>
    <row r="1283" spans="1:6" ht="12.75">
      <c r="A1283" s="8">
        <v>43904.728587962964</v>
      </c>
      <c r="B1283" s="8" t="str">
        <f>HYPERLINK("https://twitter.com/bipolonline","@bipolonline")</f>
        <v>@bipolonline</v>
      </c>
      <c r="C1283" s="8" t="s">
        <v>780</v>
      </c>
      <c r="D1283" s="8">
        <v>0</v>
      </c>
      <c r="E1283" s="8">
        <v>0</v>
      </c>
      <c r="F1283" s="8">
        <v>216</v>
      </c>
    </row>
    <row r="1284" spans="1:6" ht="12.75">
      <c r="A1284" s="8">
        <v>43904.72855324074</v>
      </c>
      <c r="B1284" s="8" t="str">
        <f>HYPERLINK("https://twitter.com/istrisenang","@istrisenang")</f>
        <v>@istrisenang</v>
      </c>
      <c r="C1284" s="8" t="s">
        <v>781</v>
      </c>
      <c r="D1284" s="8">
        <v>0</v>
      </c>
      <c r="E1284" s="8">
        <v>0</v>
      </c>
      <c r="F1284" s="8">
        <v>174</v>
      </c>
    </row>
    <row r="1285" spans="1:6" ht="12.75">
      <c r="A1285" s="8">
        <v>43904.728356481486</v>
      </c>
      <c r="B1285" s="8" t="str">
        <f>HYPERLINK("https://twitter.com/saorisaos_tiram","@saorisaos_tiram")</f>
        <v>@saorisaos_tiram</v>
      </c>
      <c r="C1285" s="8" t="s">
        <v>782</v>
      </c>
      <c r="D1285" s="8">
        <v>1</v>
      </c>
      <c r="E1285" s="8">
        <v>0</v>
      </c>
      <c r="F1285" s="8">
        <v>262</v>
      </c>
    </row>
    <row r="1286" spans="1:6" ht="12.75">
      <c r="A1286" s="8">
        <v>43904.727777777778</v>
      </c>
      <c r="B1286" s="8" t="str">
        <f>HYPERLINK("https://twitter.com/Dimasarifantoni","@Dimasarifantoni")</f>
        <v>@Dimasarifantoni</v>
      </c>
      <c r="C1286" s="8" t="s">
        <v>783</v>
      </c>
      <c r="D1286" s="8">
        <v>0</v>
      </c>
      <c r="E1286" s="8">
        <v>0</v>
      </c>
      <c r="F1286" s="8">
        <v>245</v>
      </c>
    </row>
    <row r="1287" spans="1:6" ht="12.75">
      <c r="A1287" s="8">
        <v>43904.727592592593</v>
      </c>
      <c r="B1287" s="8" t="str">
        <f>HYPERLINK("https://twitter.com/ariefshell","@ariefshell")</f>
        <v>@ariefshell</v>
      </c>
      <c r="C1287" s="8" t="s">
        <v>282</v>
      </c>
      <c r="D1287" s="8">
        <v>31</v>
      </c>
      <c r="E1287" s="8">
        <v>0</v>
      </c>
      <c r="F1287" s="8">
        <v>37</v>
      </c>
    </row>
    <row r="1288" spans="1:6" ht="12.75">
      <c r="A1288" s="8">
        <v>43904.727407407408</v>
      </c>
      <c r="B1288" s="8" t="str">
        <f>HYPERLINK("https://twitter.com/faishal_Rmdhn","@faishal_Rmdhn")</f>
        <v>@faishal_Rmdhn</v>
      </c>
      <c r="C1288" s="8" t="s">
        <v>784</v>
      </c>
      <c r="D1288" s="8">
        <v>0</v>
      </c>
      <c r="E1288" s="8">
        <v>0</v>
      </c>
      <c r="F1288" s="8">
        <v>111</v>
      </c>
    </row>
    <row r="1289" spans="1:6" ht="12.75">
      <c r="A1289" s="8">
        <v>43904.726388888885</v>
      </c>
      <c r="B1289" s="8" t="str">
        <f>HYPERLINK("https://twitter.com/khanjun50891216","@khanjun50891216")</f>
        <v>@khanjun50891216</v>
      </c>
      <c r="C1289" s="8" t="s">
        <v>582</v>
      </c>
      <c r="D1289" s="8">
        <v>36</v>
      </c>
      <c r="E1289" s="8">
        <v>0</v>
      </c>
      <c r="F1289" s="8">
        <v>764</v>
      </c>
    </row>
    <row r="1290" spans="1:6" ht="12.75">
      <c r="A1290" s="8">
        <v>43904.72587962963</v>
      </c>
      <c r="B1290" s="8" t="str">
        <f>HYPERLINK("https://twitter.com/cycloneopropana","@cycloneopropana")</f>
        <v>@cycloneopropana</v>
      </c>
      <c r="C1290" s="8" t="s">
        <v>219</v>
      </c>
      <c r="D1290" s="8">
        <v>49</v>
      </c>
      <c r="E1290" s="8">
        <v>0</v>
      </c>
      <c r="F1290" s="8">
        <v>33</v>
      </c>
    </row>
    <row r="1291" spans="1:6" ht="12.75">
      <c r="A1291" s="8">
        <v>43904.725729166668</v>
      </c>
      <c r="B1291" s="8" t="str">
        <f>HYPERLINK("https://twitter.com/RofiNugrahaP","@RofiNugrahaP")</f>
        <v>@RofiNugrahaP</v>
      </c>
      <c r="C1291" s="8" t="s">
        <v>785</v>
      </c>
      <c r="D1291" s="8">
        <v>0</v>
      </c>
      <c r="E1291" s="8">
        <v>0</v>
      </c>
      <c r="F1291" s="8">
        <v>6132</v>
      </c>
    </row>
    <row r="1292" spans="1:6" ht="12.75">
      <c r="A1292" s="8">
        <v>43904.725520833337</v>
      </c>
      <c r="B1292" s="8" t="str">
        <f>HYPERLINK("https://twitter.com/AgustinCindie","@AgustinCindie")</f>
        <v>@AgustinCindie</v>
      </c>
      <c r="C1292" s="8" t="s">
        <v>786</v>
      </c>
      <c r="D1292" s="8">
        <v>0</v>
      </c>
      <c r="E1292" s="8">
        <v>0</v>
      </c>
      <c r="F1292" s="8">
        <v>4</v>
      </c>
    </row>
    <row r="1293" spans="1:6" ht="12.75">
      <c r="A1293" s="8">
        <v>43904.725057870368</v>
      </c>
      <c r="B1293" s="8" t="str">
        <f>HYPERLINK("https://twitter.com/adjieavatara","@adjieavatara")</f>
        <v>@adjieavatara</v>
      </c>
      <c r="C1293" s="8" t="s">
        <v>787</v>
      </c>
      <c r="D1293" s="8">
        <v>1</v>
      </c>
      <c r="E1293" s="8">
        <v>1</v>
      </c>
      <c r="F1293" s="8">
        <v>3198</v>
      </c>
    </row>
    <row r="1294" spans="1:6" ht="12.75">
      <c r="A1294" s="8">
        <v>43904.724386574075</v>
      </c>
      <c r="B1294" s="8" t="str">
        <f>HYPERLINK("https://twitter.com/Heiser007","@Heiser007")</f>
        <v>@Heiser007</v>
      </c>
      <c r="C1294" s="8" t="s">
        <v>788</v>
      </c>
      <c r="D1294" s="8">
        <v>1</v>
      </c>
      <c r="E1294" s="8">
        <v>0</v>
      </c>
      <c r="F1294" s="8">
        <v>5</v>
      </c>
    </row>
    <row r="1295" spans="1:6" ht="12.75">
      <c r="A1295" s="8">
        <v>43904.723981481482</v>
      </c>
      <c r="B1295" s="8" t="str">
        <f>HYPERLINK("https://twitter.com/04_prieslo","@04_prieslo")</f>
        <v>@04_prieslo</v>
      </c>
      <c r="C1295" s="8" t="s">
        <v>107</v>
      </c>
      <c r="D1295" s="8">
        <v>31</v>
      </c>
      <c r="E1295" s="8">
        <v>0</v>
      </c>
      <c r="F1295" s="8">
        <v>1870</v>
      </c>
    </row>
    <row r="1296" spans="1:6" ht="12.75">
      <c r="A1296" s="8">
        <v>43904.723715277782</v>
      </c>
      <c r="B1296" s="8" t="str">
        <f>HYPERLINK("https://twitter.com/dimanggoro","@dimanggoro")</f>
        <v>@dimanggoro</v>
      </c>
      <c r="C1296" s="8" t="s">
        <v>789</v>
      </c>
      <c r="D1296" s="8">
        <v>0</v>
      </c>
      <c r="E1296" s="8">
        <v>0</v>
      </c>
      <c r="F1296" s="8">
        <v>522</v>
      </c>
    </row>
    <row r="1297" spans="1:6" ht="12.75">
      <c r="A1297" s="8">
        <v>43904.721956018519</v>
      </c>
      <c r="B1297" s="8" t="str">
        <f>HYPERLINK("https://twitter.com/firraaisyaa","@firraaisyaa")</f>
        <v>@firraaisyaa</v>
      </c>
      <c r="C1297" s="8" t="s">
        <v>790</v>
      </c>
      <c r="D1297" s="8">
        <v>0</v>
      </c>
      <c r="E1297" s="8">
        <v>0</v>
      </c>
      <c r="F1297" s="8">
        <v>72</v>
      </c>
    </row>
    <row r="1298" spans="1:6" ht="12.75">
      <c r="A1298" s="8">
        <v>43904.721053240741</v>
      </c>
      <c r="B1298" s="8" t="str">
        <f>HYPERLINK("https://twitter.com/Fuadazhar6","@Fuadazhar6")</f>
        <v>@Fuadazhar6</v>
      </c>
      <c r="C1298" s="8" t="s">
        <v>791</v>
      </c>
      <c r="D1298" s="8">
        <v>84</v>
      </c>
      <c r="E1298" s="8">
        <v>0</v>
      </c>
      <c r="F1298" s="8">
        <v>2</v>
      </c>
    </row>
    <row r="1299" spans="1:6" ht="12.75">
      <c r="A1299" s="8">
        <v>43904.720706018517</v>
      </c>
      <c r="B1299" s="8" t="str">
        <f>HYPERLINK("https://twitter.com/aipsun","@aipsun")</f>
        <v>@aipsun</v>
      </c>
      <c r="C1299" s="8" t="s">
        <v>792</v>
      </c>
      <c r="D1299" s="8">
        <v>1</v>
      </c>
      <c r="E1299" s="8">
        <v>0</v>
      </c>
      <c r="F1299" s="8">
        <v>12562</v>
      </c>
    </row>
    <row r="1300" spans="1:6" ht="12.75">
      <c r="A1300" s="8">
        <v>43904.720671296294</v>
      </c>
      <c r="B1300" s="8" t="str">
        <f>HYPERLINK("https://twitter.com/aikido_bushido","@aikido_bushido")</f>
        <v>@aikido_bushido</v>
      </c>
      <c r="C1300" s="8" t="s">
        <v>107</v>
      </c>
      <c r="D1300" s="8">
        <v>31</v>
      </c>
      <c r="E1300" s="8">
        <v>0</v>
      </c>
      <c r="F1300" s="8">
        <v>709</v>
      </c>
    </row>
    <row r="1301" spans="1:6" ht="12.75">
      <c r="A1301" s="8">
        <v>43904.720185185186</v>
      </c>
      <c r="B1301" s="8" t="str">
        <f>HYPERLINK("https://twitter.com/eoshiwin","@eoshiwin")</f>
        <v>@eoshiwin</v>
      </c>
      <c r="C1301" s="8" t="s">
        <v>793</v>
      </c>
      <c r="D1301" s="8">
        <v>1</v>
      </c>
      <c r="E1301" s="8">
        <v>0</v>
      </c>
      <c r="F1301" s="8">
        <v>83</v>
      </c>
    </row>
    <row r="1302" spans="1:6" ht="12.75">
      <c r="A1302" s="8">
        <v>43904.720162037032</v>
      </c>
      <c r="B1302" s="8" t="str">
        <f>HYPERLINK("https://twitter.com/abheizthe","@abheizthe")</f>
        <v>@abheizthe</v>
      </c>
      <c r="C1302" s="8" t="s">
        <v>794</v>
      </c>
      <c r="D1302" s="8">
        <v>0</v>
      </c>
      <c r="E1302" s="8">
        <v>0</v>
      </c>
      <c r="F1302" s="8">
        <v>853</v>
      </c>
    </row>
    <row r="1303" spans="1:6" ht="12.75">
      <c r="A1303" s="8">
        <v>43904.714861111112</v>
      </c>
      <c r="B1303" s="8" t="str">
        <f>HYPERLINK("https://twitter.com/sammypasau","@sammypasau")</f>
        <v>@sammypasau</v>
      </c>
      <c r="C1303" s="8" t="s">
        <v>795</v>
      </c>
      <c r="D1303" s="8">
        <v>0</v>
      </c>
      <c r="E1303" s="8">
        <v>0</v>
      </c>
      <c r="F1303" s="8">
        <v>6662</v>
      </c>
    </row>
    <row r="1304" spans="1:6" ht="12.75">
      <c r="A1304" s="8">
        <v>43904.714814814812</v>
      </c>
      <c r="B1304" s="8" t="str">
        <f>HYPERLINK("https://twitter.com/ddyaryanto","@ddyaryanto")</f>
        <v>@ddyaryanto</v>
      </c>
      <c r="C1304" s="8" t="s">
        <v>796</v>
      </c>
      <c r="D1304" s="8">
        <v>0</v>
      </c>
      <c r="E1304" s="8">
        <v>0</v>
      </c>
      <c r="F1304" s="8">
        <v>344</v>
      </c>
    </row>
    <row r="1305" spans="1:6" ht="12.75">
      <c r="A1305" s="8">
        <v>43904.714236111111</v>
      </c>
      <c r="B1305" s="8" t="str">
        <f>HYPERLINK("https://twitter.com/wayan_ReogRock","@wayan_ReogRock")</f>
        <v>@wayan_ReogRock</v>
      </c>
      <c r="C1305" s="8" t="s">
        <v>797</v>
      </c>
      <c r="D1305" s="8">
        <v>0</v>
      </c>
      <c r="E1305" s="8">
        <v>0</v>
      </c>
      <c r="F1305" s="8">
        <v>539</v>
      </c>
    </row>
    <row r="1306" spans="1:6" ht="12.75">
      <c r="A1306" s="8">
        <v>43904.714074074072</v>
      </c>
      <c r="B1306" s="8" t="str">
        <f>HYPERLINK("https://twitter.com/raihanramdhani8","@raihanramdhani8")</f>
        <v>@raihanramdhani8</v>
      </c>
      <c r="C1306" s="8" t="s">
        <v>162</v>
      </c>
      <c r="D1306" s="8">
        <v>136</v>
      </c>
      <c r="E1306" s="8">
        <v>0</v>
      </c>
      <c r="F1306" s="8">
        <v>251</v>
      </c>
    </row>
    <row r="1307" spans="1:6" ht="12.75">
      <c r="A1307" s="8">
        <v>43904.713553240741</v>
      </c>
      <c r="B1307" s="8" t="str">
        <f>HYPERLINK("https://twitter.com/KFans97","@KFans97")</f>
        <v>@KFans97</v>
      </c>
      <c r="C1307" s="8" t="s">
        <v>680</v>
      </c>
      <c r="D1307" s="8">
        <v>4</v>
      </c>
      <c r="E1307" s="8">
        <v>0</v>
      </c>
      <c r="F1307" s="8">
        <v>74</v>
      </c>
    </row>
    <row r="1308" spans="1:6" ht="12.75">
      <c r="A1308" s="8">
        <v>43904.713553240741</v>
      </c>
      <c r="B1308" s="8" t="str">
        <f>HYPERLINK("https://twitter.com/cheagusto","@cheagusto")</f>
        <v>@cheagusto</v>
      </c>
      <c r="C1308" s="8" t="s">
        <v>798</v>
      </c>
      <c r="D1308" s="8">
        <v>0</v>
      </c>
      <c r="E1308" s="8">
        <v>0</v>
      </c>
      <c r="F1308" s="8">
        <v>0</v>
      </c>
    </row>
    <row r="1309" spans="1:6" ht="12.75">
      <c r="A1309" s="8">
        <v>43904.713194444441</v>
      </c>
      <c r="B1309" s="8" t="str">
        <f>HYPERLINK("https://twitter.com/FatiinS_L","@FatiinS_L")</f>
        <v>@FatiinS_L</v>
      </c>
      <c r="C1309" s="8" t="s">
        <v>799</v>
      </c>
      <c r="D1309" s="8">
        <v>0</v>
      </c>
      <c r="E1309" s="8">
        <v>0</v>
      </c>
      <c r="F1309" s="8">
        <v>16418</v>
      </c>
    </row>
    <row r="1310" spans="1:6" ht="12.75">
      <c r="A1310" s="8">
        <v>43904.712962962964</v>
      </c>
      <c r="B1310" s="8" t="str">
        <f>HYPERLINK("https://twitter.com/decalcomanei","@decalcomanei")</f>
        <v>@decalcomanei</v>
      </c>
      <c r="C1310" s="8" t="s">
        <v>800</v>
      </c>
      <c r="D1310" s="8">
        <v>0</v>
      </c>
      <c r="E1310" s="8">
        <v>0</v>
      </c>
      <c r="F1310" s="8">
        <v>275</v>
      </c>
    </row>
    <row r="1311" spans="1:6" ht="12.75">
      <c r="A1311" s="8">
        <v>43904.71292824074</v>
      </c>
      <c r="B1311" s="8" t="str">
        <f>HYPERLINK("https://twitter.com/deristg","@deristg")</f>
        <v>@deristg</v>
      </c>
      <c r="C1311" s="8" t="s">
        <v>637</v>
      </c>
      <c r="D1311" s="8">
        <v>3</v>
      </c>
      <c r="E1311" s="8">
        <v>0</v>
      </c>
      <c r="F1311" s="8">
        <v>340</v>
      </c>
    </row>
    <row r="1312" spans="1:6" ht="12.75">
      <c r="A1312" s="8">
        <v>43904.71230324074</v>
      </c>
      <c r="B1312" s="8" t="str">
        <f>HYPERLINK("https://twitter.com/andrewlaurensi3","@andrewlaurensi3")</f>
        <v>@andrewlaurensi3</v>
      </c>
      <c r="C1312" s="8" t="s">
        <v>680</v>
      </c>
      <c r="D1312" s="8">
        <v>4</v>
      </c>
      <c r="E1312" s="8">
        <v>0</v>
      </c>
      <c r="F1312" s="8">
        <v>22</v>
      </c>
    </row>
    <row r="1313" spans="1:6" ht="12.75">
      <c r="A1313" s="8">
        <v>43904.71193287037</v>
      </c>
      <c r="B1313" s="8" t="str">
        <f>HYPERLINK("https://twitter.com/rianoesmansyah","@rianoesmansyah")</f>
        <v>@rianoesmansyah</v>
      </c>
      <c r="C1313" s="8" t="s">
        <v>568</v>
      </c>
      <c r="D1313" s="8">
        <v>8</v>
      </c>
      <c r="E1313" s="8">
        <v>0</v>
      </c>
      <c r="F1313" s="8">
        <v>68</v>
      </c>
    </row>
    <row r="1314" spans="1:6" ht="12.75">
      <c r="A1314" s="8">
        <v>43904.711689814816</v>
      </c>
      <c r="B1314" s="8" t="str">
        <f>HYPERLINK("https://twitter.com/KECUBBUNG1","@KECUBBUNG1")</f>
        <v>@KECUBBUNG1</v>
      </c>
      <c r="C1314" s="8" t="s">
        <v>680</v>
      </c>
      <c r="D1314" s="8">
        <v>4</v>
      </c>
      <c r="E1314" s="8">
        <v>0</v>
      </c>
      <c r="F1314" s="8">
        <v>86</v>
      </c>
    </row>
    <row r="1315" spans="1:6" ht="12.75">
      <c r="A1315" s="8">
        <v>43904.711655092593</v>
      </c>
      <c r="B1315" s="8" t="str">
        <f>HYPERLINK("https://twitter.com/ocwahaha","@ocwahaha")</f>
        <v>@ocwahaha</v>
      </c>
      <c r="C1315" s="8" t="s">
        <v>680</v>
      </c>
      <c r="D1315" s="8">
        <v>4</v>
      </c>
      <c r="E1315" s="8">
        <v>0</v>
      </c>
      <c r="F1315" s="8">
        <v>327</v>
      </c>
    </row>
    <row r="1316" spans="1:6" ht="12.75">
      <c r="A1316" s="8">
        <v>43904.711180555554</v>
      </c>
      <c r="B1316" s="8" t="str">
        <f>HYPERLINK("https://twitter.com/Metro_TV","@Metro_TV")</f>
        <v>@Metro_TV</v>
      </c>
      <c r="C1316" s="8" t="s">
        <v>801</v>
      </c>
      <c r="D1316" s="8">
        <v>4</v>
      </c>
      <c r="E1316" s="8">
        <v>6</v>
      </c>
      <c r="F1316" s="8">
        <v>10520328</v>
      </c>
    </row>
    <row r="1317" spans="1:6" ht="12.75">
      <c r="A1317" s="8">
        <v>43904.711134259254</v>
      </c>
      <c r="B1317" s="8" t="str">
        <f>HYPERLINK("https://twitter.com/berrrnica","@berrrnica")</f>
        <v>@berrrnica</v>
      </c>
      <c r="C1317" s="8" t="s">
        <v>802</v>
      </c>
      <c r="D1317" s="8">
        <v>0</v>
      </c>
      <c r="E1317" s="8">
        <v>0</v>
      </c>
      <c r="F1317" s="8">
        <v>69</v>
      </c>
    </row>
    <row r="1318" spans="1:6" ht="12.75">
      <c r="A1318" s="8">
        <v>43904.711111111115</v>
      </c>
      <c r="B1318" s="8" t="str">
        <f>HYPERLINK("https://twitter.com/iina_surbakti","@iina_surbakti")</f>
        <v>@iina_surbakti</v>
      </c>
      <c r="C1318" s="8" t="s">
        <v>803</v>
      </c>
      <c r="D1318" s="8">
        <v>0</v>
      </c>
      <c r="E1318" s="8">
        <v>0</v>
      </c>
      <c r="F1318" s="8">
        <v>591</v>
      </c>
    </row>
    <row r="1319" spans="1:6" ht="12.75">
      <c r="A1319" s="8">
        <v>43904.709594907406</v>
      </c>
      <c r="B1319" s="8" t="str">
        <f>HYPERLINK("https://twitter.com/ysnfz15","@ysnfz15")</f>
        <v>@ysnfz15</v>
      </c>
      <c r="C1319" s="8" t="s">
        <v>804</v>
      </c>
      <c r="D1319" s="8">
        <v>1</v>
      </c>
      <c r="E1319" s="8">
        <v>0</v>
      </c>
      <c r="F1319" s="8">
        <v>439</v>
      </c>
    </row>
    <row r="1320" spans="1:6" ht="12.75">
      <c r="A1320" s="8">
        <v>43904.708738425921</v>
      </c>
      <c r="B1320" s="8" t="str">
        <f>HYPERLINK("https://twitter.com/blackpink828","@blackpink828")</f>
        <v>@blackpink828</v>
      </c>
      <c r="C1320" s="8" t="s">
        <v>185</v>
      </c>
      <c r="D1320" s="8">
        <v>1</v>
      </c>
      <c r="E1320" s="8">
        <v>0</v>
      </c>
      <c r="F1320" s="8">
        <v>2857</v>
      </c>
    </row>
    <row r="1321" spans="1:6" ht="12.75">
      <c r="A1321" s="8">
        <v>43904.708275462966</v>
      </c>
      <c r="B1321" s="8" t="str">
        <f>HYPERLINK("https://twitter.com/AlifBebank","@AlifBebank")</f>
        <v>@AlifBebank</v>
      </c>
      <c r="C1321" s="8" t="s">
        <v>805</v>
      </c>
      <c r="D1321" s="8">
        <v>0</v>
      </c>
      <c r="E1321" s="8">
        <v>0</v>
      </c>
      <c r="F1321" s="8">
        <v>669</v>
      </c>
    </row>
    <row r="1322" spans="1:6" ht="12.75">
      <c r="A1322" s="8">
        <v>43904.707986111112</v>
      </c>
      <c r="B1322" s="8" t="str">
        <f>HYPERLINK("https://twitter.com/NurMelanie1","@NurMelanie1")</f>
        <v>@NurMelanie1</v>
      </c>
      <c r="C1322" s="8" t="s">
        <v>806</v>
      </c>
      <c r="D1322" s="8">
        <v>0</v>
      </c>
      <c r="E1322" s="8">
        <v>0</v>
      </c>
      <c r="F1322" s="8">
        <v>137</v>
      </c>
    </row>
    <row r="1323" spans="1:6" ht="12.75">
      <c r="A1323" s="8">
        <v>43904.707488425927</v>
      </c>
      <c r="B1323" s="8" t="str">
        <f>HYPERLINK("https://twitter.com/matiitupasti5","@matiitupasti5")</f>
        <v>@matiitupasti5</v>
      </c>
      <c r="C1323" s="8" t="s">
        <v>807</v>
      </c>
      <c r="D1323" s="8">
        <v>0</v>
      </c>
      <c r="E1323" s="8">
        <v>0</v>
      </c>
      <c r="F1323" s="8">
        <v>546</v>
      </c>
    </row>
    <row r="1324" spans="1:6" ht="12.75">
      <c r="A1324" s="8">
        <v>43904.706620370373</v>
      </c>
      <c r="B1324" s="8" t="str">
        <f>HYPERLINK("https://twitter.com/vaiyo","@vaiyo")</f>
        <v>@vaiyo</v>
      </c>
      <c r="C1324" s="8" t="s">
        <v>808</v>
      </c>
      <c r="D1324" s="8">
        <v>1</v>
      </c>
      <c r="E1324" s="8">
        <v>0</v>
      </c>
      <c r="F1324" s="8">
        <v>5321</v>
      </c>
    </row>
    <row r="1325" spans="1:6" ht="12.75">
      <c r="A1325" s="8">
        <v>43904.705752314811</v>
      </c>
      <c r="B1325" s="8" t="str">
        <f t="shared" ref="B1325:B1327" si="18">HYPERLINK("https://twitter.com/Faisal592","@Faisal592")</f>
        <v>@Faisal592</v>
      </c>
      <c r="C1325" s="8" t="s">
        <v>809</v>
      </c>
      <c r="D1325" s="8">
        <v>1</v>
      </c>
      <c r="E1325" s="8">
        <v>0</v>
      </c>
      <c r="F1325" s="8">
        <v>2527</v>
      </c>
    </row>
    <row r="1326" spans="1:6" ht="12.75">
      <c r="A1326" s="8">
        <v>43904.705694444448</v>
      </c>
      <c r="B1326" s="8" t="str">
        <f t="shared" si="18"/>
        <v>@Faisal592</v>
      </c>
      <c r="C1326" s="8" t="s">
        <v>810</v>
      </c>
      <c r="D1326" s="8">
        <v>1</v>
      </c>
      <c r="E1326" s="8">
        <v>0</v>
      </c>
      <c r="F1326" s="8">
        <v>2527</v>
      </c>
    </row>
    <row r="1327" spans="1:6" ht="12.75">
      <c r="A1327" s="8">
        <v>43904.705462962964</v>
      </c>
      <c r="B1327" s="8" t="str">
        <f t="shared" si="18"/>
        <v>@Faisal592</v>
      </c>
      <c r="C1327" s="8" t="s">
        <v>811</v>
      </c>
      <c r="D1327" s="8">
        <v>1</v>
      </c>
      <c r="E1327" s="8">
        <v>0</v>
      </c>
      <c r="F1327" s="8">
        <v>2527</v>
      </c>
    </row>
    <row r="1328" spans="1:6" ht="12.75">
      <c r="A1328" s="8">
        <v>43904.705289351856</v>
      </c>
      <c r="B1328" s="8" t="str">
        <f>HYPERLINK("https://twitter.com/noffret","@noffret")</f>
        <v>@noffret</v>
      </c>
      <c r="C1328" s="8" t="s">
        <v>812</v>
      </c>
      <c r="D1328" s="8">
        <v>0</v>
      </c>
      <c r="E1328" s="8">
        <v>0</v>
      </c>
      <c r="F1328" s="8">
        <v>5289</v>
      </c>
    </row>
    <row r="1329" spans="1:6" ht="12.75">
      <c r="A1329" s="8">
        <v>43904.704317129625</v>
      </c>
      <c r="B1329" s="8" t="str">
        <f>HYPERLINK("https://twitter.com/satupentagon","@satupentagon")</f>
        <v>@satupentagon</v>
      </c>
      <c r="C1329" s="8" t="s">
        <v>813</v>
      </c>
      <c r="D1329" s="8">
        <v>0</v>
      </c>
      <c r="E1329" s="8">
        <v>4</v>
      </c>
      <c r="F1329" s="8">
        <v>24</v>
      </c>
    </row>
    <row r="1330" spans="1:6" ht="12.75">
      <c r="A1330" s="8">
        <v>43904.704305555555</v>
      </c>
      <c r="B1330" s="8" t="str">
        <f>HYPERLINK("https://twitter.com/Mohamad50983447","@Mohamad50983447")</f>
        <v>@Mohamad50983447</v>
      </c>
      <c r="C1330" s="8" t="s">
        <v>814</v>
      </c>
      <c r="D1330" s="8">
        <v>2</v>
      </c>
      <c r="E1330" s="8">
        <v>0</v>
      </c>
      <c r="F1330" s="8">
        <v>123</v>
      </c>
    </row>
    <row r="1331" spans="1:6" ht="12.75">
      <c r="A1331" s="8">
        <v>43904.704074074078</v>
      </c>
      <c r="B1331" s="8" t="str">
        <f>HYPERLINK("https://twitter.com/masdanang","@masdanang")</f>
        <v>@masdanang</v>
      </c>
      <c r="C1331" s="8" t="s">
        <v>815</v>
      </c>
      <c r="D1331" s="8">
        <v>1</v>
      </c>
      <c r="E1331" s="8">
        <v>0</v>
      </c>
      <c r="F1331" s="8">
        <v>426</v>
      </c>
    </row>
    <row r="1332" spans="1:6" ht="12.75">
      <c r="A1332" s="8">
        <v>43904.703541666662</v>
      </c>
      <c r="B1332" s="8" t="str">
        <f>HYPERLINK("https://twitter.com/antaranews","@antaranews")</f>
        <v>@antaranews</v>
      </c>
      <c r="C1332" s="8" t="s">
        <v>816</v>
      </c>
      <c r="D1332" s="8">
        <v>0</v>
      </c>
      <c r="E1332" s="8">
        <v>4</v>
      </c>
      <c r="F1332" s="8">
        <v>1107607</v>
      </c>
    </row>
    <row r="1333" spans="1:6" ht="12.75">
      <c r="A1333" s="8">
        <v>43904.703530092593</v>
      </c>
      <c r="B1333" s="8" t="str">
        <f>HYPERLINK("https://twitter.com/nurulasmiy","@nurulasmiy")</f>
        <v>@nurulasmiy</v>
      </c>
      <c r="C1333" s="8" t="s">
        <v>817</v>
      </c>
      <c r="D1333" s="8">
        <v>0</v>
      </c>
      <c r="E1333" s="8">
        <v>0</v>
      </c>
      <c r="F1333" s="8">
        <v>2590</v>
      </c>
    </row>
    <row r="1334" spans="1:6" ht="12.75">
      <c r="A1334" s="8">
        <v>43904.703368055554</v>
      </c>
      <c r="B1334" s="8" t="str">
        <f>HYPERLINK("https://twitter.com/jarangbercanda","@jarangbercanda")</f>
        <v>@jarangbercanda</v>
      </c>
      <c r="C1334" s="8" t="s">
        <v>818</v>
      </c>
      <c r="D1334" s="8">
        <v>0</v>
      </c>
      <c r="E1334" s="8">
        <v>1</v>
      </c>
      <c r="F1334" s="8">
        <v>708</v>
      </c>
    </row>
    <row r="1335" spans="1:6" ht="12.75">
      <c r="A1335" s="8">
        <v>43904.703321759254</v>
      </c>
      <c r="B1335" s="8" t="str">
        <f>HYPERLINK("https://twitter.com/dEyy_smi","@dEyy_smi")</f>
        <v>@dEyy_smi</v>
      </c>
      <c r="C1335" s="8" t="s">
        <v>819</v>
      </c>
      <c r="D1335" s="8">
        <v>0</v>
      </c>
      <c r="E1335" s="8">
        <v>0</v>
      </c>
      <c r="F1335" s="8">
        <v>43</v>
      </c>
    </row>
    <row r="1336" spans="1:6" ht="12.75">
      <c r="A1336" s="8">
        <v>43904.70311342593</v>
      </c>
      <c r="B1336" s="8" t="str">
        <f>HYPERLINK("https://twitter.com/mellaaissanti","@mellaaissanti")</f>
        <v>@mellaaissanti</v>
      </c>
      <c r="C1336" s="8" t="s">
        <v>820</v>
      </c>
      <c r="D1336" s="8">
        <v>0</v>
      </c>
      <c r="E1336" s="8">
        <v>0</v>
      </c>
      <c r="F1336" s="8">
        <v>5</v>
      </c>
    </row>
    <row r="1337" spans="1:6" ht="12.75">
      <c r="A1337" s="8">
        <v>43904.702870370369</v>
      </c>
      <c r="B1337" s="8" t="str">
        <f>HYPERLINK("https://twitter.com/dillyoursenpaii","@dillyoursenpaii")</f>
        <v>@dillyoursenpaii</v>
      </c>
      <c r="C1337" s="8" t="s">
        <v>821</v>
      </c>
      <c r="D1337" s="8">
        <v>0</v>
      </c>
      <c r="E1337" s="8">
        <v>0</v>
      </c>
      <c r="F1337" s="8">
        <v>4</v>
      </c>
    </row>
    <row r="1338" spans="1:6" ht="12.75">
      <c r="A1338" s="8">
        <v>43904.702847222223</v>
      </c>
      <c r="B1338" s="8" t="str">
        <f>HYPERLINK("https://twitter.com/Adhi_Faiz","@Adhi_Faiz")</f>
        <v>@Adhi_Faiz</v>
      </c>
      <c r="C1338" s="8" t="s">
        <v>822</v>
      </c>
      <c r="D1338" s="8">
        <v>0</v>
      </c>
      <c r="E1338" s="8">
        <v>0</v>
      </c>
      <c r="F1338" s="8">
        <v>1316</v>
      </c>
    </row>
    <row r="1339" spans="1:6" ht="12.75">
      <c r="A1339" s="8">
        <v>43904.702627314815</v>
      </c>
      <c r="B1339" s="8" t="str">
        <f>HYPERLINK("https://twitter.com/ByCubay","@ByCubay")</f>
        <v>@ByCubay</v>
      </c>
      <c r="C1339" s="8" t="s">
        <v>823</v>
      </c>
      <c r="D1339" s="8">
        <v>0</v>
      </c>
      <c r="E1339" s="8">
        <v>0</v>
      </c>
      <c r="F1339" s="8">
        <v>245</v>
      </c>
    </row>
    <row r="1340" spans="1:6" ht="12.75">
      <c r="A1340" s="8">
        <v>43904.702222222222</v>
      </c>
      <c r="B1340" s="8" t="str">
        <f>HYPERLINK("https://twitter.com/nobodyisinCTRL","@nobodyisinCTRL")</f>
        <v>@nobodyisinCTRL</v>
      </c>
      <c r="C1340" s="8" t="s">
        <v>824</v>
      </c>
      <c r="D1340" s="8">
        <v>1</v>
      </c>
      <c r="E1340" s="8">
        <v>0</v>
      </c>
      <c r="F1340" s="8">
        <v>544</v>
      </c>
    </row>
    <row r="1341" spans="1:6" ht="12.75">
      <c r="A1341" s="8">
        <v>43904.70211805556</v>
      </c>
      <c r="B1341" s="8" t="str">
        <f>HYPERLINK("https://twitter.com/mohpmbd_","@mohpmbd_")</f>
        <v>@mohpmbd_</v>
      </c>
      <c r="C1341" s="8" t="s">
        <v>162</v>
      </c>
      <c r="D1341" s="8">
        <v>136</v>
      </c>
      <c r="E1341" s="8">
        <v>0</v>
      </c>
      <c r="F1341" s="8">
        <v>47</v>
      </c>
    </row>
    <row r="1342" spans="1:6" ht="12.75">
      <c r="A1342" s="8">
        <v>43904.701261574075</v>
      </c>
      <c r="B1342" s="8" t="str">
        <f>HYPERLINK("https://twitter.com/topinfo_id","@topinfo_id")</f>
        <v>@topinfo_id</v>
      </c>
      <c r="C1342" s="8" t="s">
        <v>816</v>
      </c>
      <c r="D1342" s="8">
        <v>0</v>
      </c>
      <c r="E1342" s="8">
        <v>0</v>
      </c>
      <c r="F1342" s="8">
        <v>115</v>
      </c>
    </row>
    <row r="1343" spans="1:6" ht="12.75">
      <c r="A1343" s="8">
        <v>43904.700613425928</v>
      </c>
      <c r="B1343" s="8" t="str">
        <f>HYPERLINK("https://twitter.com/RECOVERADIO","@RECOVERADIO")</f>
        <v>@RECOVERADIO</v>
      </c>
      <c r="C1343" s="8" t="s">
        <v>825</v>
      </c>
      <c r="D1343" s="8">
        <v>2</v>
      </c>
      <c r="E1343" s="8">
        <v>0</v>
      </c>
      <c r="F1343" s="8">
        <v>498</v>
      </c>
    </row>
    <row r="1344" spans="1:6" ht="12.75">
      <c r="A1344" s="8">
        <v>43904.700254629628</v>
      </c>
      <c r="B1344" s="8" t="str">
        <f>HYPERLINK("https://twitter.com/RadioElshinta","@RadioElshinta")</f>
        <v>@RadioElshinta</v>
      </c>
      <c r="C1344" s="8" t="s">
        <v>826</v>
      </c>
      <c r="D1344" s="8">
        <v>2</v>
      </c>
      <c r="E1344" s="8">
        <v>4</v>
      </c>
      <c r="F1344" s="8">
        <v>3637709</v>
      </c>
    </row>
    <row r="1345" spans="1:6" ht="12.75">
      <c r="A1345" s="8">
        <v>43904.699965277774</v>
      </c>
      <c r="B1345" s="8" t="str">
        <f>HYPERLINK("https://twitter.com/lannymuchtar","@lannymuchtar")</f>
        <v>@lannymuchtar</v>
      </c>
      <c r="C1345" s="8" t="s">
        <v>827</v>
      </c>
      <c r="D1345" s="8">
        <v>0</v>
      </c>
      <c r="E1345" s="8">
        <v>0</v>
      </c>
      <c r="F1345" s="8">
        <v>367</v>
      </c>
    </row>
    <row r="1346" spans="1:6" ht="12.75">
      <c r="A1346" s="8">
        <v>43904.698807870373</v>
      </c>
      <c r="B1346" s="8" t="str">
        <f>HYPERLINK("https://twitter.com/Negev52031680","@Negev52031680")</f>
        <v>@Negev52031680</v>
      </c>
      <c r="C1346" s="8" t="s">
        <v>828</v>
      </c>
      <c r="D1346" s="8">
        <v>0</v>
      </c>
      <c r="E1346" s="8">
        <v>0</v>
      </c>
      <c r="F1346" s="8">
        <v>41</v>
      </c>
    </row>
    <row r="1347" spans="1:6" ht="12.75">
      <c r="A1347" s="8">
        <v>43904.698796296296</v>
      </c>
      <c r="B1347" s="8" t="str">
        <f t="shared" ref="B1347:B1348" si="19">HYPERLINK("https://twitter.com/topinfo_id","@topinfo_id")</f>
        <v>@topinfo_id</v>
      </c>
      <c r="C1347" s="8" t="s">
        <v>829</v>
      </c>
      <c r="D1347" s="8">
        <v>0</v>
      </c>
      <c r="E1347" s="8">
        <v>0</v>
      </c>
      <c r="F1347" s="8">
        <v>115</v>
      </c>
    </row>
    <row r="1348" spans="1:6" ht="12.75">
      <c r="A1348" s="8">
        <v>43904.698414351849</v>
      </c>
      <c r="B1348" s="8" t="str">
        <f t="shared" si="19"/>
        <v>@topinfo_id</v>
      </c>
      <c r="C1348" s="8" t="s">
        <v>829</v>
      </c>
      <c r="D1348" s="8">
        <v>0</v>
      </c>
      <c r="E1348" s="8">
        <v>0</v>
      </c>
      <c r="F1348" s="8">
        <v>115</v>
      </c>
    </row>
    <row r="1349" spans="1:6" ht="12.75">
      <c r="A1349" s="8">
        <v>43904.697731481487</v>
      </c>
      <c r="B1349" s="8" t="str">
        <f>HYPERLINK("https://twitter.com/Noviayu_Lestari","@Noviayu_Lestari")</f>
        <v>@Noviayu_Lestari</v>
      </c>
      <c r="C1349" s="8" t="s">
        <v>162</v>
      </c>
      <c r="D1349" s="8">
        <v>136</v>
      </c>
      <c r="E1349" s="8">
        <v>0</v>
      </c>
      <c r="F1349" s="8">
        <v>311</v>
      </c>
    </row>
    <row r="1350" spans="1:6" ht="12.75">
      <c r="A1350" s="8">
        <v>43904.69767361111</v>
      </c>
      <c r="B1350" s="8" t="str">
        <f>HYPERLINK("https://twitter.com/asnug_id","@asnug_id")</f>
        <v>@asnug_id</v>
      </c>
      <c r="C1350" s="8" t="s">
        <v>19</v>
      </c>
      <c r="D1350" s="8">
        <v>3</v>
      </c>
      <c r="E1350" s="8">
        <v>0</v>
      </c>
      <c r="F1350" s="8">
        <v>4080</v>
      </c>
    </row>
    <row r="1351" spans="1:6" ht="12.75">
      <c r="A1351" s="8">
        <v>43904.697650462964</v>
      </c>
      <c r="B1351" s="8" t="str">
        <f>HYPERLINK("https://twitter.com/tr4velcompass","@tr4velcompass")</f>
        <v>@tr4velcompass</v>
      </c>
      <c r="C1351" s="8" t="s">
        <v>830</v>
      </c>
      <c r="D1351" s="8">
        <v>0</v>
      </c>
      <c r="E1351" s="8">
        <v>0</v>
      </c>
      <c r="F1351" s="8">
        <v>597</v>
      </c>
    </row>
    <row r="1352" spans="1:6" ht="12.75">
      <c r="A1352" s="8">
        <v>43904.697280092594</v>
      </c>
      <c r="B1352" s="8" t="str">
        <f>HYPERLINK("https://twitter.com/hadi_cahbagus","@hadi_cahbagus")</f>
        <v>@hadi_cahbagus</v>
      </c>
      <c r="C1352" s="8" t="s">
        <v>219</v>
      </c>
      <c r="D1352" s="8">
        <v>43</v>
      </c>
      <c r="E1352" s="8">
        <v>0</v>
      </c>
      <c r="F1352" s="8">
        <v>41</v>
      </c>
    </row>
    <row r="1353" spans="1:6" ht="12.75">
      <c r="A1353" s="8">
        <v>43904.696620370371</v>
      </c>
      <c r="B1353" s="8" t="str">
        <f>HYPERLINK("https://twitter.com/dodisolehsuaedi","@dodisolehsuaedi")</f>
        <v>@dodisolehsuaedi</v>
      </c>
      <c r="C1353" s="8" t="s">
        <v>831</v>
      </c>
      <c r="D1353" s="8">
        <v>0</v>
      </c>
      <c r="E1353" s="8">
        <v>0</v>
      </c>
      <c r="F1353" s="8">
        <v>437</v>
      </c>
    </row>
    <row r="1354" spans="1:6" ht="12.75">
      <c r="A1354" s="8">
        <v>43904.696562500001</v>
      </c>
      <c r="B1354" s="8" t="str">
        <f>HYPERLINK("https://twitter.com/ulilfitria","@ulilfitria")</f>
        <v>@ulilfitria</v>
      </c>
      <c r="C1354" s="8" t="s">
        <v>568</v>
      </c>
      <c r="D1354" s="8">
        <v>8</v>
      </c>
      <c r="E1354" s="8">
        <v>0</v>
      </c>
      <c r="F1354" s="8">
        <v>709</v>
      </c>
    </row>
    <row r="1355" spans="1:6" ht="12.75">
      <c r="A1355" s="8">
        <v>43904.696388888886</v>
      </c>
      <c r="B1355" s="8" t="str">
        <f>HYPERLINK("https://twitter.com/WSetyorini2","@WSetyorini2")</f>
        <v>@WSetyorini2</v>
      </c>
      <c r="C1355" s="8" t="s">
        <v>832</v>
      </c>
      <c r="D1355" s="8">
        <v>0</v>
      </c>
      <c r="E1355" s="8">
        <v>0</v>
      </c>
      <c r="F1355" s="8">
        <v>1225</v>
      </c>
    </row>
    <row r="1356" spans="1:6" ht="12.75">
      <c r="A1356" s="8">
        <v>43904.696354166663</v>
      </c>
      <c r="B1356" s="8" t="str">
        <f>HYPERLINK("https://twitter.com/ISIS_Balik_NO","@ISIS_Balik_NO")</f>
        <v>@ISIS_Balik_NO</v>
      </c>
      <c r="C1356" s="8" t="s">
        <v>833</v>
      </c>
      <c r="D1356" s="8">
        <v>0</v>
      </c>
      <c r="E1356" s="8">
        <v>0</v>
      </c>
      <c r="F1356" s="8">
        <v>6281</v>
      </c>
    </row>
    <row r="1357" spans="1:6" ht="12.75">
      <c r="A1357" s="8">
        <v>43904.696238425924</v>
      </c>
      <c r="B1357" s="8" t="str">
        <f>HYPERLINK("https://twitter.com/rinichan02","@rinichan02")</f>
        <v>@rinichan02</v>
      </c>
      <c r="C1357" s="8" t="s">
        <v>660</v>
      </c>
      <c r="D1357" s="8">
        <v>2</v>
      </c>
      <c r="E1357" s="8">
        <v>0</v>
      </c>
      <c r="F1357" s="8">
        <v>2866</v>
      </c>
    </row>
    <row r="1358" spans="1:6" ht="12.75">
      <c r="A1358" s="8">
        <v>43904.695856481485</v>
      </c>
      <c r="B1358" s="8" t="str">
        <f>HYPERLINK("https://twitter.com/baenyanya","@baenyanya")</f>
        <v>@baenyanya</v>
      </c>
      <c r="C1358" s="8" t="s">
        <v>834</v>
      </c>
      <c r="D1358" s="8">
        <v>0</v>
      </c>
      <c r="E1358" s="8">
        <v>0</v>
      </c>
      <c r="F1358" s="8">
        <v>124</v>
      </c>
    </row>
    <row r="1359" spans="1:6" ht="12.75">
      <c r="A1359" s="8">
        <v>43904.695844907408</v>
      </c>
      <c r="B1359" s="8" t="str">
        <f>HYPERLINK("https://twitter.com/dyodharma","@dyodharma")</f>
        <v>@dyodharma</v>
      </c>
      <c r="C1359" s="8" t="s">
        <v>835</v>
      </c>
      <c r="D1359" s="8">
        <v>3</v>
      </c>
      <c r="E1359" s="8">
        <v>0</v>
      </c>
      <c r="F1359" s="8">
        <v>952</v>
      </c>
    </row>
    <row r="1360" spans="1:6" ht="12.75">
      <c r="A1360" s="8">
        <v>43904.695555555554</v>
      </c>
      <c r="B1360" s="8" t="str">
        <f>HYPERLINK("https://twitter.com/ISIS_Balik_NO","@ISIS_Balik_NO")</f>
        <v>@ISIS_Balik_NO</v>
      </c>
      <c r="C1360" s="8" t="s">
        <v>836</v>
      </c>
      <c r="D1360" s="8">
        <v>0</v>
      </c>
      <c r="E1360" s="8">
        <v>0</v>
      </c>
      <c r="F1360" s="8">
        <v>6281</v>
      </c>
    </row>
    <row r="1361" spans="1:6" ht="12.75">
      <c r="A1361" s="8">
        <v>43904.695416666669</v>
      </c>
      <c r="B1361" s="8" t="str">
        <f>HYPERLINK("https://twitter.com/goublokeee","@goublokeee")</f>
        <v>@goublokeee</v>
      </c>
      <c r="C1361" s="8" t="s">
        <v>837</v>
      </c>
      <c r="D1361" s="8">
        <v>0</v>
      </c>
      <c r="E1361" s="8">
        <v>0</v>
      </c>
      <c r="F1361" s="8">
        <v>0</v>
      </c>
    </row>
    <row r="1362" spans="1:6" ht="12.75">
      <c r="A1362" s="8">
        <v>43904.695243055554</v>
      </c>
      <c r="B1362" s="8" t="str">
        <f>HYPERLINK("https://twitter.com/ditjen_imigrasi","@ditjen_imigrasi")</f>
        <v>@ditjen_imigrasi</v>
      </c>
      <c r="C1362" s="8" t="s">
        <v>838</v>
      </c>
      <c r="D1362" s="8">
        <v>0</v>
      </c>
      <c r="E1362" s="8">
        <v>0</v>
      </c>
      <c r="F1362" s="8">
        <v>41087</v>
      </c>
    </row>
    <row r="1363" spans="1:6" ht="12.75">
      <c r="A1363" s="8">
        <v>43904.695219907408</v>
      </c>
      <c r="B1363" s="8" t="str">
        <f>HYPERLINK("https://twitter.com/becak125cc","@becak125cc")</f>
        <v>@becak125cc</v>
      </c>
      <c r="C1363" s="8" t="s">
        <v>272</v>
      </c>
      <c r="D1363" s="8">
        <v>18</v>
      </c>
      <c r="E1363" s="8">
        <v>0</v>
      </c>
      <c r="F1363" s="8">
        <v>576</v>
      </c>
    </row>
    <row r="1364" spans="1:6" ht="12.75">
      <c r="A1364" s="8">
        <v>43904.695</v>
      </c>
      <c r="B1364" s="8" t="str">
        <f>HYPERLINK("https://twitter.com/ISIS_Balik_NO","@ISIS_Balik_NO")</f>
        <v>@ISIS_Balik_NO</v>
      </c>
      <c r="C1364" s="8" t="s">
        <v>839</v>
      </c>
      <c r="D1364" s="8">
        <v>0</v>
      </c>
      <c r="E1364" s="8">
        <v>0</v>
      </c>
      <c r="F1364" s="8">
        <v>6281</v>
      </c>
    </row>
    <row r="1365" spans="1:6" ht="12.75">
      <c r="A1365" s="8">
        <v>43904.694247685184</v>
      </c>
      <c r="B1365" s="8" t="str">
        <f>HYPERLINK("https://twitter.com/Mahasiswa__13","@Mahasiswa__13")</f>
        <v>@Mahasiswa__13</v>
      </c>
      <c r="C1365" s="8" t="s">
        <v>840</v>
      </c>
      <c r="D1365" s="8">
        <v>0</v>
      </c>
      <c r="E1365" s="8">
        <v>2</v>
      </c>
      <c r="F1365" s="8">
        <v>1002</v>
      </c>
    </row>
    <row r="1366" spans="1:6" ht="12.75">
      <c r="A1366" s="8">
        <v>43904.694085648152</v>
      </c>
      <c r="B1366" s="8" t="str">
        <f>HYPERLINK("https://twitter.com/digdabarata","@digdabarata")</f>
        <v>@digdabarata</v>
      </c>
      <c r="C1366" s="8" t="s">
        <v>841</v>
      </c>
      <c r="D1366" s="8">
        <v>0</v>
      </c>
      <c r="E1366" s="8">
        <v>0</v>
      </c>
      <c r="F1366" s="8">
        <v>3</v>
      </c>
    </row>
    <row r="1367" spans="1:6" ht="12.75">
      <c r="A1367" s="8">
        <v>43904.693993055553</v>
      </c>
      <c r="B1367" s="8" t="str">
        <f>HYPERLINK("https://twitter.com/SOERYAWAD1","@SOERYAWAD1")</f>
        <v>@SOERYAWAD1</v>
      </c>
      <c r="C1367" s="8" t="s">
        <v>660</v>
      </c>
      <c r="D1367" s="8">
        <v>2</v>
      </c>
      <c r="E1367" s="8">
        <v>0</v>
      </c>
      <c r="F1367" s="8">
        <v>578</v>
      </c>
    </row>
    <row r="1368" spans="1:6" ht="12.75">
      <c r="A1368" s="8">
        <v>43904.693807870368</v>
      </c>
      <c r="B1368" s="8" t="str">
        <f>HYPERLINK("https://twitter.com/ISIS_Balik_NO","@ISIS_Balik_NO")</f>
        <v>@ISIS_Balik_NO</v>
      </c>
      <c r="C1368" s="8" t="s">
        <v>842</v>
      </c>
      <c r="D1368" s="8">
        <v>0</v>
      </c>
      <c r="E1368" s="8">
        <v>1</v>
      </c>
      <c r="F1368" s="8">
        <v>6281</v>
      </c>
    </row>
    <row r="1369" spans="1:6" ht="12.75">
      <c r="A1369" s="8">
        <v>43904.693437499998</v>
      </c>
      <c r="B1369" s="8" t="str">
        <f>HYPERLINK("https://twitter.com/WSetyorini2","@WSetyorini2")</f>
        <v>@WSetyorini2</v>
      </c>
      <c r="C1369" s="8" t="s">
        <v>843</v>
      </c>
      <c r="D1369" s="8">
        <v>0</v>
      </c>
      <c r="E1369" s="8">
        <v>2</v>
      </c>
      <c r="F1369" s="8">
        <v>1225</v>
      </c>
    </row>
    <row r="1370" spans="1:6" ht="12.75">
      <c r="A1370" s="8">
        <v>43904.692870370374</v>
      </c>
      <c r="B1370" s="8" t="str">
        <f>HYPERLINK("https://twitter.com/ISIS_Balik_NO","@ISIS_Balik_NO")</f>
        <v>@ISIS_Balik_NO</v>
      </c>
      <c r="C1370" s="8" t="s">
        <v>844</v>
      </c>
      <c r="D1370" s="8">
        <v>0</v>
      </c>
      <c r="E1370" s="8">
        <v>0</v>
      </c>
      <c r="F1370" s="8">
        <v>6281</v>
      </c>
    </row>
    <row r="1371" spans="1:6" ht="12.75">
      <c r="A1371" s="8">
        <v>43904.692789351851</v>
      </c>
      <c r="B1371" s="8" t="str">
        <f>HYPERLINK("https://twitter.com/islam_bayan","@islam_bayan")</f>
        <v>@islam_bayan</v>
      </c>
      <c r="C1371" s="8" t="s">
        <v>568</v>
      </c>
      <c r="D1371" s="8">
        <v>8</v>
      </c>
      <c r="E1371" s="8">
        <v>0</v>
      </c>
      <c r="F1371" s="8">
        <v>115</v>
      </c>
    </row>
    <row r="1372" spans="1:6" ht="12.75">
      <c r="A1372" s="8">
        <v>43904.69263888889</v>
      </c>
      <c r="B1372" s="8" t="str">
        <f>HYPERLINK("https://twitter.com/syfrdly","@syfrdly")</f>
        <v>@syfrdly</v>
      </c>
      <c r="C1372" s="8" t="s">
        <v>845</v>
      </c>
      <c r="D1372" s="8">
        <v>0</v>
      </c>
      <c r="E1372" s="8">
        <v>0</v>
      </c>
      <c r="F1372" s="8">
        <v>392</v>
      </c>
    </row>
    <row r="1373" spans="1:6" ht="12.75">
      <c r="A1373" s="8">
        <v>43904.692604166667</v>
      </c>
      <c r="B1373" s="8" t="str">
        <f>HYPERLINK("https://twitter.com/topinfo_id","@topinfo_id")</f>
        <v>@topinfo_id</v>
      </c>
      <c r="C1373" s="8" t="s">
        <v>846</v>
      </c>
      <c r="D1373" s="8">
        <v>0</v>
      </c>
      <c r="E1373" s="8">
        <v>0</v>
      </c>
      <c r="F1373" s="8">
        <v>115</v>
      </c>
    </row>
    <row r="1374" spans="1:6" ht="12.75">
      <c r="A1374" s="8">
        <v>43904.69259259259</v>
      </c>
      <c r="B1374" s="8" t="str">
        <f>HYPERLINK("https://twitter.com/kenshi_zot","@kenshi_zot")</f>
        <v>@kenshi_zot</v>
      </c>
      <c r="C1374" s="8" t="s">
        <v>835</v>
      </c>
      <c r="D1374" s="8">
        <v>3</v>
      </c>
      <c r="E1374" s="8">
        <v>0</v>
      </c>
      <c r="F1374" s="8">
        <v>18</v>
      </c>
    </row>
    <row r="1375" spans="1:6" ht="12.75">
      <c r="A1375" s="8">
        <v>43904.692418981482</v>
      </c>
      <c r="B1375" s="8" t="str">
        <f>HYPERLINK("https://twitter.com/thaiteacao","@thaiteacao")</f>
        <v>@thaiteacao</v>
      </c>
      <c r="C1375" s="8" t="s">
        <v>847</v>
      </c>
      <c r="D1375" s="8">
        <v>0</v>
      </c>
      <c r="E1375" s="8">
        <v>0</v>
      </c>
      <c r="F1375" s="8">
        <v>1042</v>
      </c>
    </row>
    <row r="1376" spans="1:6" ht="12.75">
      <c r="A1376" s="8">
        <v>43904.692395833335</v>
      </c>
      <c r="B1376" s="8" t="str">
        <f>HYPERLINK("https://twitter.com/KFans97","@KFans97")</f>
        <v>@KFans97</v>
      </c>
      <c r="C1376" s="8" t="s">
        <v>835</v>
      </c>
      <c r="D1376" s="8">
        <v>3</v>
      </c>
      <c r="E1376" s="8">
        <v>0</v>
      </c>
      <c r="F1376" s="8">
        <v>74</v>
      </c>
    </row>
    <row r="1377" spans="1:6" ht="12.75">
      <c r="A1377" s="8">
        <v>43904.691770833335</v>
      </c>
      <c r="B1377" s="8" t="str">
        <f>HYPERLINK("https://twitter.com/topinfo_id","@topinfo_id")</f>
        <v>@topinfo_id</v>
      </c>
      <c r="C1377" s="8" t="s">
        <v>846</v>
      </c>
      <c r="D1377" s="8">
        <v>0</v>
      </c>
      <c r="E1377" s="8">
        <v>0</v>
      </c>
      <c r="F1377" s="8">
        <v>115</v>
      </c>
    </row>
    <row r="1378" spans="1:6" ht="12.75">
      <c r="A1378" s="8">
        <v>43904.691759259258</v>
      </c>
      <c r="B1378" s="8" t="str">
        <f>HYPERLINK("https://twitter.com/Metro_TV","@Metro_TV")</f>
        <v>@Metro_TV</v>
      </c>
      <c r="C1378" s="8" t="s">
        <v>848</v>
      </c>
      <c r="D1378" s="8">
        <v>3</v>
      </c>
      <c r="E1378" s="8">
        <v>11</v>
      </c>
      <c r="F1378" s="8">
        <v>10520328</v>
      </c>
    </row>
    <row r="1379" spans="1:6" ht="12.75">
      <c r="A1379" s="8">
        <v>43904.691689814819</v>
      </c>
      <c r="B1379" s="8" t="str">
        <f>HYPERLINK("https://twitter.com/KapalPerang","@KapalPerang")</f>
        <v>@KapalPerang</v>
      </c>
      <c r="C1379" s="8" t="s">
        <v>849</v>
      </c>
      <c r="D1379" s="8">
        <v>0</v>
      </c>
      <c r="E1379" s="8">
        <v>0</v>
      </c>
      <c r="F1379" s="8">
        <v>561</v>
      </c>
    </row>
    <row r="1380" spans="1:6" ht="12.75">
      <c r="A1380" s="8">
        <v>43904.691099537042</v>
      </c>
      <c r="B1380" s="8" t="str">
        <f>HYPERLINK("https://twitter.com/WSetyorini2","@WSetyorini2")</f>
        <v>@WSetyorini2</v>
      </c>
      <c r="C1380" s="8" t="s">
        <v>850</v>
      </c>
      <c r="D1380" s="8">
        <v>2</v>
      </c>
      <c r="E1380" s="8">
        <v>5</v>
      </c>
      <c r="F1380" s="8">
        <v>1225</v>
      </c>
    </row>
    <row r="1381" spans="1:6" ht="12.75">
      <c r="A1381" s="8">
        <v>43904.690682870365</v>
      </c>
      <c r="B1381" s="8" t="str">
        <f>HYPERLINK("https://twitter.com/zikrilhakim_id","@zikrilhakim_id")</f>
        <v>@zikrilhakim_id</v>
      </c>
      <c r="C1381" s="8" t="s">
        <v>851</v>
      </c>
      <c r="D1381" s="8">
        <v>0</v>
      </c>
      <c r="E1381" s="8">
        <v>0</v>
      </c>
      <c r="F1381" s="8">
        <v>281</v>
      </c>
    </row>
    <row r="1382" spans="1:6" ht="12.75">
      <c r="A1382" s="8">
        <v>43904.690671296295</v>
      </c>
      <c r="B1382" s="8" t="str">
        <f>HYPERLINK("https://twitter.com/RubyAhmad18","@RubyAhmad18")</f>
        <v>@RubyAhmad18</v>
      </c>
      <c r="C1382" s="8" t="s">
        <v>19</v>
      </c>
      <c r="D1382" s="8">
        <v>3</v>
      </c>
      <c r="E1382" s="8">
        <v>0</v>
      </c>
      <c r="F1382" s="8">
        <v>1881</v>
      </c>
    </row>
    <row r="1383" spans="1:6" ht="12.75">
      <c r="A1383" s="8">
        <v>43904.68850694444</v>
      </c>
      <c r="B1383" s="8" t="str">
        <f>HYPERLINK("https://twitter.com/mellaaissanti","@mellaaissanti")</f>
        <v>@mellaaissanti</v>
      </c>
      <c r="C1383" s="8" t="s">
        <v>852</v>
      </c>
      <c r="D1383" s="8">
        <v>0</v>
      </c>
      <c r="E1383" s="8">
        <v>0</v>
      </c>
      <c r="F1383" s="8">
        <v>5</v>
      </c>
    </row>
    <row r="1384" spans="1:6" ht="12.75">
      <c r="A1384" s="8">
        <v>43904.688148148147</v>
      </c>
      <c r="B1384" s="8" t="str">
        <f>HYPERLINK("https://twitter.com/PSepeed","@PSepeed")</f>
        <v>@PSepeed</v>
      </c>
      <c r="C1384" s="8" t="s">
        <v>853</v>
      </c>
      <c r="D1384" s="8">
        <v>0</v>
      </c>
      <c r="E1384" s="8">
        <v>0</v>
      </c>
      <c r="F1384" s="8">
        <v>5</v>
      </c>
    </row>
    <row r="1385" spans="1:6" ht="12.75">
      <c r="A1385" s="8">
        <v>43904.687546296293</v>
      </c>
      <c r="B1385" s="8" t="str">
        <f>HYPERLINK("https://twitter.com/cnbcindonesia","@cnbcindonesia")</f>
        <v>@cnbcindonesia</v>
      </c>
      <c r="C1385" s="8" t="s">
        <v>854</v>
      </c>
      <c r="D1385" s="8">
        <v>1</v>
      </c>
      <c r="E1385" s="8">
        <v>0</v>
      </c>
      <c r="F1385" s="8">
        <v>32266</v>
      </c>
    </row>
    <row r="1386" spans="1:6" ht="12.75">
      <c r="A1386" s="8">
        <v>43904.687280092592</v>
      </c>
      <c r="B1386" s="8" t="str">
        <f>HYPERLINK("https://twitter.com/PurnGalih","@PurnGalih")</f>
        <v>@PurnGalih</v>
      </c>
      <c r="C1386" s="8" t="s">
        <v>855</v>
      </c>
      <c r="D1386" s="8">
        <v>0</v>
      </c>
      <c r="E1386" s="8">
        <v>0</v>
      </c>
      <c r="F1386" s="8">
        <v>14</v>
      </c>
    </row>
    <row r="1387" spans="1:6" ht="12.75">
      <c r="A1387" s="8">
        <v>43904.686979166669</v>
      </c>
      <c r="B1387" s="8" t="str">
        <f>HYPERLINK("https://twitter.com/GPerdikaris","@GPerdikaris")</f>
        <v>@GPerdikaris</v>
      </c>
      <c r="C1387" s="8" t="s">
        <v>726</v>
      </c>
      <c r="D1387" s="8">
        <v>10</v>
      </c>
      <c r="E1387" s="8">
        <v>0</v>
      </c>
      <c r="F1387" s="8">
        <v>5800</v>
      </c>
    </row>
    <row r="1388" spans="1:6" ht="12.75">
      <c r="A1388" s="8">
        <v>43904.685995370368</v>
      </c>
      <c r="B1388" s="8" t="str">
        <f>HYPERLINK("https://twitter.com/ikanjarang","@ikanjarang")</f>
        <v>@ikanjarang</v>
      </c>
      <c r="C1388" s="8" t="s">
        <v>856</v>
      </c>
      <c r="D1388" s="8">
        <v>0</v>
      </c>
      <c r="E1388" s="8">
        <v>1</v>
      </c>
      <c r="F1388" s="8">
        <v>26</v>
      </c>
    </row>
    <row r="1389" spans="1:6" ht="12.75">
      <c r="A1389" s="8">
        <v>43904.685462962967</v>
      </c>
      <c r="B1389" s="8" t="str">
        <f>HYPERLINK("https://twitter.com/antikadrun4ever","@antikadrun4ever")</f>
        <v>@antikadrun4ever</v>
      </c>
      <c r="C1389" s="8" t="s">
        <v>857</v>
      </c>
      <c r="D1389" s="8">
        <v>0</v>
      </c>
      <c r="E1389" s="8">
        <v>0</v>
      </c>
      <c r="F1389" s="8">
        <v>1379</v>
      </c>
    </row>
    <row r="1390" spans="1:6" ht="12.75">
      <c r="A1390" s="8">
        <v>43904.685381944444</v>
      </c>
      <c r="B1390" s="8" t="str">
        <f>HYPERLINK("https://twitter.com/Abie_cheppy","@Abie_cheppy")</f>
        <v>@Abie_cheppy</v>
      </c>
      <c r="C1390" s="8" t="s">
        <v>19</v>
      </c>
      <c r="D1390" s="8">
        <v>3</v>
      </c>
      <c r="E1390" s="8">
        <v>0</v>
      </c>
      <c r="F1390" s="8">
        <v>4244</v>
      </c>
    </row>
    <row r="1391" spans="1:6" ht="12.75">
      <c r="A1391" s="8">
        <v>43904.685173611113</v>
      </c>
      <c r="B1391" s="8" t="str">
        <f>HYPERLINK("https://twitter.com/tirtagooners","@tirtagooners")</f>
        <v>@tirtagooners</v>
      </c>
      <c r="C1391" s="8" t="s">
        <v>858</v>
      </c>
      <c r="D1391" s="8">
        <v>0</v>
      </c>
      <c r="E1391" s="8">
        <v>0</v>
      </c>
      <c r="F1391" s="8">
        <v>186</v>
      </c>
    </row>
    <row r="1392" spans="1:6" ht="12.75">
      <c r="A1392" s="8">
        <v>43904.685092592597</v>
      </c>
      <c r="B1392" s="8" t="str">
        <f>HYPERLINK("https://twitter.com/FerriNanto","@FerriNanto")</f>
        <v>@FerriNanto</v>
      </c>
      <c r="C1392" s="8" t="s">
        <v>42</v>
      </c>
      <c r="D1392" s="8">
        <v>31</v>
      </c>
      <c r="E1392" s="8">
        <v>0</v>
      </c>
      <c r="F1392" s="8">
        <v>1162</v>
      </c>
    </row>
    <row r="1393" spans="1:6" ht="12.75">
      <c r="A1393" s="8">
        <v>43904.685023148151</v>
      </c>
      <c r="B1393" s="8" t="str">
        <f>HYPERLINK("https://twitter.com/kampoengasri","@kampoengasri")</f>
        <v>@kampoengasri</v>
      </c>
      <c r="C1393" s="8" t="s">
        <v>42</v>
      </c>
      <c r="D1393" s="8">
        <v>31</v>
      </c>
      <c r="E1393" s="8">
        <v>0</v>
      </c>
      <c r="F1393" s="8">
        <v>129</v>
      </c>
    </row>
    <row r="1394" spans="1:6" ht="12.75">
      <c r="A1394" s="8">
        <v>43904.684976851851</v>
      </c>
      <c r="B1394" s="8" t="str">
        <f>HYPERLINK("https://twitter.com/syahidridlo","@syahidridlo")</f>
        <v>@syahidridlo</v>
      </c>
      <c r="C1394" s="8" t="s">
        <v>235</v>
      </c>
      <c r="D1394" s="8">
        <v>1</v>
      </c>
      <c r="E1394" s="8">
        <v>0</v>
      </c>
      <c r="F1394" s="8">
        <v>166</v>
      </c>
    </row>
    <row r="1395" spans="1:6" ht="12.75">
      <c r="A1395" s="8">
        <v>43904.684189814812</v>
      </c>
      <c r="B1395" s="8" t="str">
        <f>HYPERLINK("https://twitter.com/yusrinaad","@yusrinaad")</f>
        <v>@yusrinaad</v>
      </c>
      <c r="C1395" s="8" t="s">
        <v>162</v>
      </c>
      <c r="D1395" s="8">
        <v>136</v>
      </c>
      <c r="E1395" s="8">
        <v>0</v>
      </c>
      <c r="F1395" s="8">
        <v>875</v>
      </c>
    </row>
    <row r="1396" spans="1:6" ht="12.75">
      <c r="A1396" s="8">
        <v>43904.684108796297</v>
      </c>
      <c r="B1396" s="8" t="str">
        <f>HYPERLINK("https://twitter.com/abdulloh2015","@abdulloh2015")</f>
        <v>@abdulloh2015</v>
      </c>
      <c r="C1396" s="8" t="s">
        <v>859</v>
      </c>
      <c r="D1396" s="8">
        <v>0</v>
      </c>
      <c r="E1396" s="8">
        <v>0</v>
      </c>
      <c r="F1396" s="8">
        <v>60</v>
      </c>
    </row>
    <row r="1397" spans="1:6" ht="12.75">
      <c r="A1397" s="8">
        <v>43904.683530092589</v>
      </c>
      <c r="B1397" s="8" t="str">
        <f>HYPERLINK("https://twitter.com/SalmaBrecht","@SalmaBrecht")</f>
        <v>@SalmaBrecht</v>
      </c>
      <c r="C1397" s="8" t="s">
        <v>860</v>
      </c>
      <c r="D1397" s="8">
        <v>3</v>
      </c>
      <c r="E1397" s="8">
        <v>8</v>
      </c>
      <c r="F1397" s="8">
        <v>13881</v>
      </c>
    </row>
    <row r="1398" spans="1:6" ht="12.75">
      <c r="A1398" s="8">
        <v>43904.682662037041</v>
      </c>
      <c r="B1398" s="8" t="str">
        <f>HYPERLINK("https://twitter.com/ucoxregar","@ucoxregar")</f>
        <v>@ucoxregar</v>
      </c>
      <c r="C1398" s="8" t="s">
        <v>861</v>
      </c>
      <c r="D1398" s="8">
        <v>0</v>
      </c>
      <c r="E1398" s="8">
        <v>0</v>
      </c>
      <c r="F1398" s="8">
        <v>405</v>
      </c>
    </row>
    <row r="1399" spans="1:6" ht="12.75">
      <c r="A1399" s="8">
        <v>43904.682175925926</v>
      </c>
      <c r="B1399" s="8" t="str">
        <f t="shared" ref="B1399:B1400" si="20">HYPERLINK("https://twitter.com/elvira_dsasmita","@elvira_dsasmita")</f>
        <v>@elvira_dsasmita</v>
      </c>
      <c r="C1399" s="8" t="s">
        <v>764</v>
      </c>
      <c r="D1399" s="8">
        <v>4</v>
      </c>
      <c r="E1399" s="8">
        <v>0</v>
      </c>
      <c r="F1399" s="8">
        <v>275</v>
      </c>
    </row>
    <row r="1400" spans="1:6" ht="12.75">
      <c r="A1400" s="8">
        <v>43904.682094907403</v>
      </c>
      <c r="B1400" s="8" t="str">
        <f t="shared" si="20"/>
        <v>@elvira_dsasmita</v>
      </c>
      <c r="C1400" s="8" t="s">
        <v>391</v>
      </c>
      <c r="D1400" s="8">
        <v>35</v>
      </c>
      <c r="E1400" s="8">
        <v>0</v>
      </c>
      <c r="F1400" s="8">
        <v>275</v>
      </c>
    </row>
    <row r="1401" spans="1:6" ht="12.75">
      <c r="A1401" s="8">
        <v>43904.681168981479</v>
      </c>
      <c r="B1401" s="8" t="str">
        <f>HYPERLINK("https://twitter.com/agusboy_1973","@agusboy_1973")</f>
        <v>@agusboy_1973</v>
      </c>
      <c r="C1401" s="8" t="s">
        <v>862</v>
      </c>
      <c r="D1401" s="8">
        <v>1</v>
      </c>
      <c r="E1401" s="8">
        <v>0</v>
      </c>
      <c r="F1401" s="8">
        <v>4800</v>
      </c>
    </row>
    <row r="1402" spans="1:6" ht="12.75">
      <c r="A1402" s="8">
        <v>43904.680983796294</v>
      </c>
      <c r="B1402" s="8" t="str">
        <f>HYPERLINK("https://twitter.com/rickykim27","@rickykim27")</f>
        <v>@rickykim27</v>
      </c>
      <c r="C1402" s="8" t="s">
        <v>863</v>
      </c>
      <c r="D1402" s="8">
        <v>924</v>
      </c>
      <c r="E1402" s="8">
        <v>0</v>
      </c>
      <c r="F1402" s="8">
        <v>3340</v>
      </c>
    </row>
    <row r="1403" spans="1:6" ht="12.75">
      <c r="A1403" s="8">
        <v>43904.673321759255</v>
      </c>
      <c r="B1403" s="8" t="str">
        <f>HYPERLINK("https://twitter.com/DNgerten","@DNgerten")</f>
        <v>@DNgerten</v>
      </c>
      <c r="C1403" s="8" t="s">
        <v>726</v>
      </c>
      <c r="D1403" s="8">
        <v>2</v>
      </c>
      <c r="E1403" s="8">
        <v>0</v>
      </c>
      <c r="F1403" s="8">
        <v>14</v>
      </c>
    </row>
    <row r="1404" spans="1:6" ht="12.75">
      <c r="A1404" s="8">
        <v>43904.673252314809</v>
      </c>
      <c r="B1404" s="8" t="str">
        <f>HYPERLINK("https://twitter.com/SunggingJaladri","@SunggingJaladri")</f>
        <v>@SunggingJaladri</v>
      </c>
      <c r="C1404" s="8" t="s">
        <v>864</v>
      </c>
      <c r="D1404" s="8">
        <v>0</v>
      </c>
      <c r="E1404" s="8">
        <v>0</v>
      </c>
      <c r="F1404" s="8">
        <v>451</v>
      </c>
    </row>
    <row r="1405" spans="1:6" ht="12.75">
      <c r="A1405" s="8">
        <v>43904.672337962962</v>
      </c>
      <c r="B1405" s="8" t="str">
        <f>HYPERLINK("https://twitter.com/don_rahmad","@don_rahmad")</f>
        <v>@don_rahmad</v>
      </c>
      <c r="C1405" s="8" t="s">
        <v>865</v>
      </c>
      <c r="D1405" s="8">
        <v>0</v>
      </c>
      <c r="E1405" s="8">
        <v>0</v>
      </c>
      <c r="F1405" s="8">
        <v>499</v>
      </c>
    </row>
    <row r="1406" spans="1:6" ht="12.75">
      <c r="A1406" s="8">
        <v>43904.672048611115</v>
      </c>
      <c r="B1406" s="8" t="str">
        <f>HYPERLINK("https://twitter.com/Metro_TV","@Metro_TV")</f>
        <v>@Metro_TV</v>
      </c>
      <c r="C1406" s="8" t="s">
        <v>866</v>
      </c>
      <c r="D1406" s="8">
        <v>2</v>
      </c>
      <c r="E1406" s="8">
        <v>2</v>
      </c>
      <c r="F1406" s="8">
        <v>10520277</v>
      </c>
    </row>
    <row r="1407" spans="1:6" ht="12.75">
      <c r="A1407" s="8">
        <v>43904.671712962961</v>
      </c>
      <c r="B1407" s="8" t="str">
        <f>HYPERLINK("https://twitter.com/al_qassham","@al_qassham")</f>
        <v>@al_qassham</v>
      </c>
      <c r="C1407" s="8" t="s">
        <v>867</v>
      </c>
      <c r="D1407" s="8">
        <v>0</v>
      </c>
      <c r="E1407" s="8">
        <v>0</v>
      </c>
      <c r="F1407" s="8">
        <v>89</v>
      </c>
    </row>
    <row r="1408" spans="1:6" ht="12.75">
      <c r="A1408" s="8">
        <v>43904.671261574069</v>
      </c>
      <c r="B1408" s="8" t="str">
        <f>HYPERLINK("https://twitter.com/DeePdinata","@DeePdinata")</f>
        <v>@DeePdinata</v>
      </c>
      <c r="C1408" s="8" t="s">
        <v>14</v>
      </c>
      <c r="D1408" s="8">
        <v>4</v>
      </c>
      <c r="E1408" s="8">
        <v>0</v>
      </c>
      <c r="F1408" s="8">
        <v>466</v>
      </c>
    </row>
    <row r="1409" spans="1:6" ht="12.75">
      <c r="A1409" s="8">
        <v>43904.670810185184</v>
      </c>
      <c r="B1409" s="8" t="str">
        <f>HYPERLINK("https://twitter.com/YoyokSubandriy3","@YoyokSubandriy3")</f>
        <v>@YoyokSubandriy3</v>
      </c>
      <c r="C1409" s="8" t="s">
        <v>868</v>
      </c>
      <c r="D1409" s="8">
        <v>15</v>
      </c>
      <c r="E1409" s="8">
        <v>0</v>
      </c>
      <c r="F1409" s="8">
        <v>1338</v>
      </c>
    </row>
    <row r="1410" spans="1:6" ht="12.75">
      <c r="A1410" s="8">
        <v>43904.670567129629</v>
      </c>
      <c r="B1410" s="8" t="str">
        <f>HYPERLINK("https://twitter.com/theNehruvibes","@theNehruvibes")</f>
        <v>@theNehruvibes</v>
      </c>
      <c r="C1410" s="8" t="s">
        <v>582</v>
      </c>
      <c r="D1410" s="8">
        <v>35</v>
      </c>
      <c r="E1410" s="8">
        <v>0</v>
      </c>
      <c r="F1410" s="8">
        <v>39</v>
      </c>
    </row>
    <row r="1411" spans="1:6" ht="12.75">
      <c r="A1411" s="8">
        <v>43904.669895833329</v>
      </c>
      <c r="B1411" s="8" t="str">
        <f>HYPERLINK("https://twitter.com/BabangOwe","@BabangOwe")</f>
        <v>@BabangOwe</v>
      </c>
      <c r="C1411" s="8" t="s">
        <v>282</v>
      </c>
      <c r="D1411" s="8">
        <v>26</v>
      </c>
      <c r="E1411" s="8">
        <v>0</v>
      </c>
      <c r="F1411" s="8">
        <v>390</v>
      </c>
    </row>
    <row r="1412" spans="1:6" ht="12.75">
      <c r="A1412" s="8">
        <v>43904.66987268519</v>
      </c>
      <c r="B1412" s="8" t="str">
        <f>HYPERLINK("https://twitter.com/AyamBakarJoss","@AyamBakarJoss")</f>
        <v>@AyamBakarJoss</v>
      </c>
      <c r="C1412" s="8" t="s">
        <v>869</v>
      </c>
      <c r="D1412" s="8">
        <v>0</v>
      </c>
      <c r="E1412" s="8">
        <v>0</v>
      </c>
      <c r="F1412" s="8">
        <v>76</v>
      </c>
    </row>
    <row r="1413" spans="1:6" ht="12.75">
      <c r="A1413" s="8">
        <v>43904.669351851851</v>
      </c>
      <c r="B1413" s="8" t="str">
        <f>HYPERLINK("https://twitter.com/GardhaSiliwangi","@GardhaSiliwangi")</f>
        <v>@GardhaSiliwangi</v>
      </c>
      <c r="C1413" s="8" t="s">
        <v>870</v>
      </c>
      <c r="D1413" s="8">
        <v>0</v>
      </c>
      <c r="E1413" s="8">
        <v>0</v>
      </c>
      <c r="F1413" s="8">
        <v>4</v>
      </c>
    </row>
    <row r="1414" spans="1:6" ht="12.75">
      <c r="A1414" s="8">
        <v>43904.668611111112</v>
      </c>
      <c r="B1414" s="8" t="str">
        <f>HYPERLINK("https://twitter.com/imansalahin_put","@imansalahin_put")</f>
        <v>@imansalahin_put</v>
      </c>
      <c r="C1414" s="8" t="s">
        <v>219</v>
      </c>
      <c r="D1414" s="8">
        <v>39</v>
      </c>
      <c r="E1414" s="8">
        <v>0</v>
      </c>
      <c r="F1414" s="8">
        <v>881</v>
      </c>
    </row>
    <row r="1415" spans="1:6" ht="12.75">
      <c r="A1415" s="8">
        <v>43904.667407407411</v>
      </c>
      <c r="B1415" s="8" t="str">
        <f>HYPERLINK("https://twitter.com/Suginugroho","@Suginugroho")</f>
        <v>@Suginugroho</v>
      </c>
      <c r="C1415" s="8" t="s">
        <v>391</v>
      </c>
      <c r="D1415" s="8">
        <v>34</v>
      </c>
      <c r="E1415" s="8">
        <v>0</v>
      </c>
      <c r="F1415" s="8">
        <v>360</v>
      </c>
    </row>
    <row r="1416" spans="1:6" ht="12.75">
      <c r="A1416" s="8">
        <v>43904.667256944449</v>
      </c>
      <c r="B1416" s="8" t="str">
        <f>HYPERLINK("https://twitter.com/ad_dayun","@ad_dayun")</f>
        <v>@ad_dayun</v>
      </c>
      <c r="C1416" s="8" t="s">
        <v>871</v>
      </c>
      <c r="D1416" s="8">
        <v>0</v>
      </c>
      <c r="E1416" s="8">
        <v>0</v>
      </c>
      <c r="F1416" s="8">
        <v>339</v>
      </c>
    </row>
    <row r="1417" spans="1:6" ht="12.75">
      <c r="A1417" s="8">
        <v>43904.666909722218</v>
      </c>
      <c r="B1417" s="8" t="str">
        <f>HYPERLINK("https://twitter.com/WieRamly","@WieRamly")</f>
        <v>@WieRamly</v>
      </c>
      <c r="C1417" s="8" t="s">
        <v>107</v>
      </c>
      <c r="D1417" s="8">
        <v>24</v>
      </c>
      <c r="E1417" s="8">
        <v>0</v>
      </c>
      <c r="F1417" s="8">
        <v>429</v>
      </c>
    </row>
    <row r="1418" spans="1:6" ht="12.75">
      <c r="A1418" s="8">
        <v>43904.666747685187</v>
      </c>
      <c r="B1418" s="8" t="str">
        <f>HYPERLINK("https://twitter.com/atid2807","@atid2807")</f>
        <v>@atid2807</v>
      </c>
      <c r="C1418" s="8" t="s">
        <v>868</v>
      </c>
      <c r="D1418" s="8">
        <v>15</v>
      </c>
      <c r="E1418" s="8">
        <v>0</v>
      </c>
      <c r="F1418" s="8">
        <v>117</v>
      </c>
    </row>
    <row r="1419" spans="1:6" ht="12.75">
      <c r="A1419" s="8">
        <v>43904.666666666672</v>
      </c>
      <c r="B1419" s="8" t="str">
        <f>HYPERLINK("https://twitter.com/healthyliveID","@healthyliveID")</f>
        <v>@healthyliveID</v>
      </c>
      <c r="C1419" s="8" t="s">
        <v>872</v>
      </c>
      <c r="D1419" s="8">
        <v>0</v>
      </c>
      <c r="E1419" s="8">
        <v>0</v>
      </c>
      <c r="F1419" s="8">
        <v>45113</v>
      </c>
    </row>
    <row r="1420" spans="1:6" ht="12.75">
      <c r="A1420" s="8">
        <v>43904.666597222225</v>
      </c>
      <c r="B1420" s="8" t="str">
        <f>HYPERLINK("https://twitter.com/YoyokSubandriy3","@YoyokSubandriy3")</f>
        <v>@YoyokSubandriy3</v>
      </c>
      <c r="C1420" s="8" t="s">
        <v>873</v>
      </c>
      <c r="D1420" s="8">
        <v>1</v>
      </c>
      <c r="E1420" s="8">
        <v>0</v>
      </c>
      <c r="F1420" s="8">
        <v>1338</v>
      </c>
    </row>
    <row r="1421" spans="1:6" ht="12.75">
      <c r="A1421" s="8">
        <v>43904.666319444441</v>
      </c>
      <c r="B1421" s="8" t="str">
        <f>HYPERLINK("https://twitter.com/nurdanasobandi","@nurdanasobandi")</f>
        <v>@nurdanasobandi</v>
      </c>
      <c r="C1421" s="8" t="s">
        <v>874</v>
      </c>
      <c r="D1421" s="8">
        <v>76</v>
      </c>
      <c r="E1421" s="8">
        <v>0</v>
      </c>
      <c r="F1421" s="8">
        <v>206</v>
      </c>
    </row>
    <row r="1422" spans="1:6" ht="12.75">
      <c r="A1422" s="8">
        <v>43904.664155092592</v>
      </c>
      <c r="B1422" s="8" t="str">
        <f>HYPERLINK("https://twitter.com/Ronin_Indo","@Ronin_Indo")</f>
        <v>@Ronin_Indo</v>
      </c>
      <c r="C1422" s="8" t="s">
        <v>875</v>
      </c>
      <c r="D1422" s="8">
        <v>0</v>
      </c>
      <c r="E1422" s="8">
        <v>0</v>
      </c>
      <c r="F1422" s="8">
        <v>458</v>
      </c>
    </row>
    <row r="1423" spans="1:6" ht="12.75">
      <c r="A1423" s="8">
        <v>43904.664085648154</v>
      </c>
      <c r="B1423" s="8" t="str">
        <f>HYPERLINK("https://twitter.com/TajamPena","@TajamPena")</f>
        <v>@TajamPena</v>
      </c>
      <c r="C1423" s="8" t="s">
        <v>219</v>
      </c>
      <c r="D1423" s="8">
        <v>39</v>
      </c>
      <c r="E1423" s="8">
        <v>0</v>
      </c>
      <c r="F1423" s="8">
        <v>445</v>
      </c>
    </row>
    <row r="1424" spans="1:6" ht="12.75">
      <c r="A1424" s="8">
        <v>43904.664027777777</v>
      </c>
      <c r="B1424" s="8" t="str">
        <f>HYPERLINK("https://twitter.com/Supirangkot12","@Supirangkot12")</f>
        <v>@Supirangkot12</v>
      </c>
      <c r="C1424" s="8" t="s">
        <v>219</v>
      </c>
      <c r="D1424" s="8">
        <v>39</v>
      </c>
      <c r="E1424" s="8">
        <v>0</v>
      </c>
      <c r="F1424" s="8">
        <v>62</v>
      </c>
    </row>
    <row r="1425" spans="1:6" ht="12.75">
      <c r="A1425" s="8">
        <v>43904.663888888885</v>
      </c>
      <c r="B1425" s="8" t="str">
        <f>HYPERLINK("https://twitter.com/ani_nyebar","@ani_nyebar")</f>
        <v>@ani_nyebar</v>
      </c>
      <c r="C1425" s="8" t="s">
        <v>876</v>
      </c>
      <c r="D1425" s="8">
        <v>0</v>
      </c>
      <c r="E1425" s="8">
        <v>0</v>
      </c>
      <c r="F1425" s="8">
        <v>130</v>
      </c>
    </row>
    <row r="1426" spans="1:6" ht="12.75">
      <c r="A1426" s="8">
        <v>43904.663043981476</v>
      </c>
      <c r="B1426" s="8" t="str">
        <f>HYPERLINK("https://twitter.com/pure_o2","@pure_o2")</f>
        <v>@pure_o2</v>
      </c>
      <c r="C1426" s="8" t="s">
        <v>568</v>
      </c>
      <c r="D1426" s="8">
        <v>5</v>
      </c>
      <c r="E1426" s="8">
        <v>0</v>
      </c>
      <c r="F1426" s="8">
        <v>422</v>
      </c>
    </row>
    <row r="1427" spans="1:6" ht="12.75">
      <c r="A1427" s="8">
        <v>43904.662233796298</v>
      </c>
      <c r="B1427" s="8" t="str">
        <f>HYPERLINK("https://twitter.com/topinfo_id","@topinfo_id")</f>
        <v>@topinfo_id</v>
      </c>
      <c r="C1427" s="8" t="s">
        <v>877</v>
      </c>
      <c r="D1427" s="8">
        <v>0</v>
      </c>
      <c r="E1427" s="8">
        <v>0</v>
      </c>
      <c r="F1427" s="8">
        <v>115</v>
      </c>
    </row>
    <row r="1428" spans="1:6" ht="12.75">
      <c r="A1428" s="8">
        <v>43904.661539351851</v>
      </c>
      <c r="B1428" s="8" t="str">
        <f>HYPERLINK("https://twitter.com/beritalimacom","@beritalimacom")</f>
        <v>@beritalimacom</v>
      </c>
      <c r="C1428" s="8" t="s">
        <v>146</v>
      </c>
      <c r="D1428" s="8">
        <v>0</v>
      </c>
      <c r="E1428" s="8">
        <v>0</v>
      </c>
      <c r="F1428" s="8">
        <v>1457</v>
      </c>
    </row>
    <row r="1429" spans="1:6" ht="12.75">
      <c r="A1429" s="8">
        <v>43904.661504629628</v>
      </c>
      <c r="B1429" s="8" t="str">
        <f>HYPERLINK("https://twitter.com/AlwaysFaza","@AlwaysFaza")</f>
        <v>@AlwaysFaza</v>
      </c>
      <c r="C1429" s="8" t="s">
        <v>878</v>
      </c>
      <c r="D1429" s="8">
        <v>0</v>
      </c>
      <c r="E1429" s="8">
        <v>1</v>
      </c>
      <c r="F1429" s="8">
        <v>260</v>
      </c>
    </row>
    <row r="1430" spans="1:6" ht="12.75">
      <c r="A1430" s="8">
        <v>43904.661377314813</v>
      </c>
      <c r="B1430" s="8" t="str">
        <f t="shared" ref="B1430:B1432" si="21">HYPERLINK("https://twitter.com/RadioElshinta","@RadioElshinta")</f>
        <v>@RadioElshinta</v>
      </c>
      <c r="C1430" s="8" t="s">
        <v>879</v>
      </c>
      <c r="D1430" s="8">
        <v>0</v>
      </c>
      <c r="E1430" s="8">
        <v>0</v>
      </c>
      <c r="F1430" s="8">
        <v>3637704</v>
      </c>
    </row>
    <row r="1431" spans="1:6" ht="12.75">
      <c r="A1431" s="8">
        <v>43904.660868055551</v>
      </c>
      <c r="B1431" s="8" t="str">
        <f t="shared" si="21"/>
        <v>@RadioElshinta</v>
      </c>
      <c r="C1431" s="8" t="s">
        <v>880</v>
      </c>
      <c r="D1431" s="8">
        <v>0</v>
      </c>
      <c r="E1431" s="8">
        <v>0</v>
      </c>
      <c r="F1431" s="8">
        <v>3637704</v>
      </c>
    </row>
    <row r="1432" spans="1:6" ht="12.75">
      <c r="A1432" s="8">
        <v>43904.660416666666</v>
      </c>
      <c r="B1432" s="8" t="str">
        <f t="shared" si="21"/>
        <v>@RadioElshinta</v>
      </c>
      <c r="C1432" s="8" t="s">
        <v>881</v>
      </c>
      <c r="D1432" s="8">
        <v>0</v>
      </c>
      <c r="E1432" s="8">
        <v>0</v>
      </c>
      <c r="F1432" s="8">
        <v>3637704</v>
      </c>
    </row>
    <row r="1433" spans="1:6" ht="12.75">
      <c r="A1433" s="8">
        <v>43904.659849537042</v>
      </c>
      <c r="B1433" s="8" t="str">
        <f>HYPERLINK("https://twitter.com/ReiMiechi99","@ReiMiechi99")</f>
        <v>@ReiMiechi99</v>
      </c>
      <c r="C1433" s="8" t="s">
        <v>882</v>
      </c>
      <c r="D1433" s="8">
        <v>0</v>
      </c>
      <c r="E1433" s="8">
        <v>0</v>
      </c>
      <c r="F1433" s="8">
        <v>96</v>
      </c>
    </row>
    <row r="1434" spans="1:6" ht="12.75">
      <c r="A1434" s="8">
        <v>43904.659143518518</v>
      </c>
      <c r="B1434" s="8" t="str">
        <f>HYPERLINK("https://twitter.com/RadioElshinta","@RadioElshinta")</f>
        <v>@RadioElshinta</v>
      </c>
      <c r="C1434" s="8" t="s">
        <v>883</v>
      </c>
      <c r="D1434" s="8">
        <v>1</v>
      </c>
      <c r="E1434" s="8">
        <v>0</v>
      </c>
      <c r="F1434" s="8">
        <v>3637704</v>
      </c>
    </row>
    <row r="1435" spans="1:6" ht="12.75">
      <c r="A1435" s="8">
        <v>43904.658587962964</v>
      </c>
      <c r="B1435" s="8" t="str">
        <f>HYPERLINK("https://twitter.com/xldk_","@xldk_")</f>
        <v>@xldk_</v>
      </c>
      <c r="C1435" s="8" t="s">
        <v>884</v>
      </c>
      <c r="D1435" s="8">
        <v>0</v>
      </c>
      <c r="E1435" s="8">
        <v>0</v>
      </c>
      <c r="F1435" s="8">
        <v>92</v>
      </c>
    </row>
    <row r="1436" spans="1:6" ht="12.75">
      <c r="A1436" s="8">
        <v>43904.658379629633</v>
      </c>
      <c r="B1436" s="8" t="str">
        <f>HYPERLINK("https://twitter.com/Qwerty53676690","@Qwerty53676690")</f>
        <v>@Qwerty53676690</v>
      </c>
      <c r="C1436" s="8" t="s">
        <v>219</v>
      </c>
      <c r="D1436" s="8">
        <v>39</v>
      </c>
      <c r="E1436" s="8">
        <v>0</v>
      </c>
      <c r="F1436" s="8">
        <v>15</v>
      </c>
    </row>
    <row r="1437" spans="1:6" ht="12.75">
      <c r="A1437" s="8">
        <v>43904.658217592594</v>
      </c>
      <c r="B1437" s="8" t="str">
        <f>HYPERLINK("https://twitter.com/dedihermanto813","@dedihermanto813")</f>
        <v>@dedihermanto813</v>
      </c>
      <c r="C1437" s="8" t="s">
        <v>282</v>
      </c>
      <c r="D1437" s="8">
        <v>26</v>
      </c>
      <c r="E1437" s="8">
        <v>0</v>
      </c>
      <c r="F1437" s="8">
        <v>1959</v>
      </c>
    </row>
    <row r="1438" spans="1:6" ht="12.75">
      <c r="A1438" s="8">
        <v>43904.656909722224</v>
      </c>
      <c r="B1438" s="8" t="str">
        <f>HYPERLINK("https://twitter.com/satria_ganek","@satria_ganek")</f>
        <v>@satria_ganek</v>
      </c>
      <c r="C1438" s="8" t="s">
        <v>885</v>
      </c>
      <c r="D1438" s="8">
        <v>0</v>
      </c>
      <c r="E1438" s="8">
        <v>0</v>
      </c>
      <c r="F1438" s="8">
        <v>265</v>
      </c>
    </row>
    <row r="1439" spans="1:6" ht="12.75">
      <c r="A1439" s="8">
        <v>43904.6565162037</v>
      </c>
      <c r="B1439" s="8" t="str">
        <f>HYPERLINK("https://twitter.com/revansian1","@revansian1")</f>
        <v>@revansian1</v>
      </c>
      <c r="C1439" s="8" t="s">
        <v>886</v>
      </c>
      <c r="D1439" s="8">
        <v>0</v>
      </c>
      <c r="E1439" s="8">
        <v>0</v>
      </c>
      <c r="F1439" s="8">
        <v>572</v>
      </c>
    </row>
    <row r="1440" spans="1:6" ht="12.75">
      <c r="A1440" s="8">
        <v>43904.655787037038</v>
      </c>
      <c r="B1440" s="8" t="str">
        <f>HYPERLINK("https://twitter.com/antarajatimcom","@antarajatimcom")</f>
        <v>@antarajatimcom</v>
      </c>
      <c r="C1440" s="8" t="s">
        <v>887</v>
      </c>
      <c r="D1440" s="8">
        <v>0</v>
      </c>
      <c r="E1440" s="8">
        <v>0</v>
      </c>
      <c r="F1440" s="8">
        <v>858</v>
      </c>
    </row>
    <row r="1441" spans="1:6" ht="12.75">
      <c r="A1441" s="8">
        <v>43904.655636574069</v>
      </c>
      <c r="B1441" s="8" t="str">
        <f>HYPERLINK("https://twitter.com/BeautiAndSoul","@BeautiAndSoul")</f>
        <v>@BeautiAndSoul</v>
      </c>
      <c r="C1441" s="8" t="s">
        <v>888</v>
      </c>
      <c r="D1441" s="8">
        <v>0</v>
      </c>
      <c r="E1441" s="8">
        <v>1</v>
      </c>
      <c r="F1441" s="8">
        <v>2491</v>
      </c>
    </row>
    <row r="1442" spans="1:6" ht="12.75">
      <c r="A1442" s="8">
        <v>43904.655381944445</v>
      </c>
      <c r="B1442" s="8" t="str">
        <f>HYPERLINK("https://twitter.com/BroGanteng7","@BroGanteng7")</f>
        <v>@BroGanteng7</v>
      </c>
      <c r="C1442" s="8" t="s">
        <v>889</v>
      </c>
      <c r="D1442" s="8">
        <v>1</v>
      </c>
      <c r="E1442" s="8">
        <v>0</v>
      </c>
      <c r="F1442" s="8">
        <v>54</v>
      </c>
    </row>
    <row r="1443" spans="1:6" ht="12.75">
      <c r="A1443" s="8">
        <v>43904.654861111107</v>
      </c>
      <c r="B1443" s="8" t="str">
        <f>HYPERLINK("https://twitter.com/azzalzala","@azzalzala")</f>
        <v>@azzalzala</v>
      </c>
      <c r="C1443" s="8" t="s">
        <v>890</v>
      </c>
      <c r="D1443" s="8">
        <v>0</v>
      </c>
      <c r="E1443" s="8">
        <v>0</v>
      </c>
      <c r="F1443" s="8">
        <v>26</v>
      </c>
    </row>
    <row r="1444" spans="1:6" ht="12.75">
      <c r="A1444" s="8">
        <v>43904.654016203705</v>
      </c>
      <c r="B1444" s="8" t="str">
        <f>HYPERLINK("https://twitter.com/KibulJuragan","@KibulJuragan")</f>
        <v>@KibulJuragan</v>
      </c>
      <c r="C1444" s="8" t="s">
        <v>891</v>
      </c>
      <c r="D1444" s="8">
        <v>0</v>
      </c>
      <c r="E1444" s="8">
        <v>0</v>
      </c>
      <c r="F1444" s="8">
        <v>2</v>
      </c>
    </row>
    <row r="1445" spans="1:6" ht="12.75">
      <c r="A1445" s="8">
        <v>43904.65388888889</v>
      </c>
      <c r="B1445" s="8" t="str">
        <f>HYPERLINK("https://twitter.com/apriapyang","@apriapyang")</f>
        <v>@apriapyang</v>
      </c>
      <c r="C1445" s="8" t="s">
        <v>892</v>
      </c>
      <c r="D1445" s="8">
        <v>9</v>
      </c>
      <c r="E1445" s="8">
        <v>0</v>
      </c>
      <c r="F1445" s="8">
        <v>291</v>
      </c>
    </row>
    <row r="1446" spans="1:6" ht="12.75">
      <c r="A1446" s="8">
        <v>43904.653449074074</v>
      </c>
      <c r="B1446" s="8" t="str">
        <f>HYPERLINK("https://twitter.com/AEPishere","@AEPishere")</f>
        <v>@AEPishere</v>
      </c>
      <c r="C1446" s="8" t="s">
        <v>814</v>
      </c>
      <c r="D1446" s="8">
        <v>1</v>
      </c>
      <c r="E1446" s="8">
        <v>0</v>
      </c>
      <c r="F1446" s="8">
        <v>3006</v>
      </c>
    </row>
    <row r="1447" spans="1:6" ht="12.75">
      <c r="A1447" s="8">
        <v>43904.653402777782</v>
      </c>
      <c r="B1447" s="8" t="str">
        <f>HYPERLINK("https://twitter.com/Alfon369","@Alfon369")</f>
        <v>@Alfon369</v>
      </c>
      <c r="C1447" s="8" t="s">
        <v>42</v>
      </c>
      <c r="D1447" s="8">
        <v>28</v>
      </c>
      <c r="E1447" s="8">
        <v>0</v>
      </c>
      <c r="F1447" s="8">
        <v>1584</v>
      </c>
    </row>
    <row r="1448" spans="1:6" ht="12.75">
      <c r="A1448" s="8">
        <v>43904.65315972222</v>
      </c>
      <c r="B1448" s="8" t="str">
        <f>HYPERLINK("https://twitter.com/ZanstuyA","@ZanstuyA")</f>
        <v>@ZanstuyA</v>
      </c>
      <c r="C1448" s="8" t="s">
        <v>893</v>
      </c>
      <c r="D1448" s="8">
        <v>0</v>
      </c>
      <c r="E1448" s="8">
        <v>0</v>
      </c>
      <c r="F1448" s="8">
        <v>31</v>
      </c>
    </row>
    <row r="1449" spans="1:6" ht="12.75">
      <c r="A1449" s="8">
        <v>43904.652939814812</v>
      </c>
      <c r="B1449" s="8" t="str">
        <f>HYPERLINK("https://twitter.com/ihdaihda","@ihdaihda")</f>
        <v>@ihdaihda</v>
      </c>
      <c r="C1449" s="8" t="s">
        <v>894</v>
      </c>
      <c r="D1449" s="8">
        <v>0</v>
      </c>
      <c r="E1449" s="8">
        <v>0</v>
      </c>
      <c r="F1449" s="8">
        <v>1274</v>
      </c>
    </row>
    <row r="1450" spans="1:6" ht="12.75">
      <c r="A1450" s="8">
        <v>43904.652499999997</v>
      </c>
      <c r="B1450" s="8" t="str">
        <f>HYPERLINK("https://twitter.com/OkeJempol","@OkeJempol")</f>
        <v>@OkeJempol</v>
      </c>
      <c r="C1450" s="8" t="s">
        <v>219</v>
      </c>
      <c r="D1450" s="8">
        <v>39</v>
      </c>
      <c r="E1450" s="8">
        <v>0</v>
      </c>
      <c r="F1450" s="8">
        <v>21</v>
      </c>
    </row>
    <row r="1451" spans="1:6" ht="12.75">
      <c r="A1451" s="8">
        <v>43904.651076388887</v>
      </c>
      <c r="B1451" s="8" t="str">
        <f>HYPERLINK("https://twitter.com/david_edwinn","@david_edwinn")</f>
        <v>@david_edwinn</v>
      </c>
      <c r="C1451" s="8" t="s">
        <v>162</v>
      </c>
      <c r="D1451" s="8">
        <v>131</v>
      </c>
      <c r="E1451" s="8">
        <v>0</v>
      </c>
      <c r="F1451" s="8">
        <v>479</v>
      </c>
    </row>
    <row r="1452" spans="1:6" ht="12.75">
      <c r="A1452" s="8">
        <v>43904.650949074072</v>
      </c>
      <c r="B1452" s="8" t="str">
        <f>HYPERLINK("https://twitter.com/RaditRadooot","@RaditRadooot")</f>
        <v>@RaditRadooot</v>
      </c>
      <c r="C1452" s="8" t="s">
        <v>162</v>
      </c>
      <c r="D1452" s="8">
        <v>131</v>
      </c>
      <c r="E1452" s="8">
        <v>0</v>
      </c>
      <c r="F1452" s="8">
        <v>298</v>
      </c>
    </row>
    <row r="1453" spans="1:6" ht="12.75">
      <c r="A1453" s="8">
        <v>43904.650567129633</v>
      </c>
      <c r="B1453" s="8" t="str">
        <f>HYPERLINK("https://twitter.com/dias6969","@dias6969")</f>
        <v>@dias6969</v>
      </c>
      <c r="C1453" s="8" t="s">
        <v>895</v>
      </c>
      <c r="D1453" s="8">
        <v>1</v>
      </c>
      <c r="E1453" s="8">
        <v>1</v>
      </c>
      <c r="F1453" s="8">
        <v>59695</v>
      </c>
    </row>
    <row r="1454" spans="1:6" ht="12.75">
      <c r="A1454" s="8">
        <v>43904.650509259256</v>
      </c>
      <c r="B1454" s="8" t="str">
        <f>HYPERLINK("https://twitter.com/oak_math_lee_91","@oak_math_lee_91")</f>
        <v>@oak_math_lee_91</v>
      </c>
      <c r="C1454" s="8" t="s">
        <v>896</v>
      </c>
      <c r="D1454" s="8">
        <v>0</v>
      </c>
      <c r="E1454" s="8">
        <v>1</v>
      </c>
      <c r="F1454" s="8">
        <v>124</v>
      </c>
    </row>
    <row r="1455" spans="1:6" ht="12.75">
      <c r="A1455" s="8">
        <v>43904.649942129632</v>
      </c>
      <c r="B1455" s="8" t="str">
        <f>HYPERLINK("https://twitter.com/mx_rudy","@mx_rudy")</f>
        <v>@mx_rudy</v>
      </c>
      <c r="C1455" s="8" t="s">
        <v>269</v>
      </c>
      <c r="D1455" s="8">
        <v>5</v>
      </c>
      <c r="E1455" s="8">
        <v>0</v>
      </c>
      <c r="F1455" s="8">
        <v>1627</v>
      </c>
    </row>
    <row r="1456" spans="1:6" ht="12.75">
      <c r="A1456" s="8">
        <v>43904.6487962963</v>
      </c>
      <c r="B1456" s="8" t="str">
        <f>HYPERLINK("https://twitter.com/MKraanti","@MKraanti")</f>
        <v>@MKraanti</v>
      </c>
      <c r="C1456" s="8" t="s">
        <v>269</v>
      </c>
      <c r="D1456" s="8">
        <v>5</v>
      </c>
      <c r="E1456" s="8">
        <v>0</v>
      </c>
      <c r="F1456" s="8">
        <v>6</v>
      </c>
    </row>
    <row r="1457" spans="1:6" ht="12.75">
      <c r="A1457" s="8">
        <v>43904.648761574077</v>
      </c>
      <c r="B1457" s="8" t="str">
        <f>HYPERLINK("https://twitter.com/syarifntoke","@syarifntoke")</f>
        <v>@syarifntoke</v>
      </c>
      <c r="C1457" s="8" t="s">
        <v>63</v>
      </c>
      <c r="D1457" s="8">
        <v>49</v>
      </c>
      <c r="E1457" s="8">
        <v>0</v>
      </c>
      <c r="F1457" s="8">
        <v>1148</v>
      </c>
    </row>
    <row r="1458" spans="1:6" ht="12.75">
      <c r="A1458" s="8">
        <v>43904.64743055556</v>
      </c>
      <c r="B1458" s="8" t="str">
        <f>HYPERLINK("https://twitter.com/CGazee","@CGazee")</f>
        <v>@CGazee</v>
      </c>
      <c r="C1458" s="8" t="s">
        <v>897</v>
      </c>
      <c r="D1458" s="8">
        <v>0</v>
      </c>
      <c r="E1458" s="8">
        <v>0</v>
      </c>
      <c r="F1458" s="8">
        <v>1</v>
      </c>
    </row>
    <row r="1459" spans="1:6" ht="12.75">
      <c r="A1459" s="8">
        <v>43904.647129629629</v>
      </c>
      <c r="B1459" s="8" t="str">
        <f>HYPERLINK("https://twitter.com/ghosty491","@ghosty491")</f>
        <v>@ghosty491</v>
      </c>
      <c r="C1459" s="8" t="s">
        <v>165</v>
      </c>
      <c r="D1459" s="8">
        <v>134</v>
      </c>
      <c r="E1459" s="8">
        <v>0</v>
      </c>
      <c r="F1459" s="8">
        <v>122</v>
      </c>
    </row>
    <row r="1460" spans="1:6" ht="12.75">
      <c r="A1460" s="8">
        <v>43904.646793981483</v>
      </c>
      <c r="B1460" s="8" t="str">
        <f>HYPERLINK("https://twitter.com/2020lifesbetter","@2020lifesbetter")</f>
        <v>@2020lifesbetter</v>
      </c>
      <c r="C1460" s="8" t="s">
        <v>898</v>
      </c>
      <c r="D1460" s="8">
        <v>0</v>
      </c>
      <c r="E1460" s="8">
        <v>0</v>
      </c>
      <c r="F1460" s="8">
        <v>3</v>
      </c>
    </row>
    <row r="1461" spans="1:6" ht="12.75">
      <c r="A1461" s="8">
        <v>43904.646273148144</v>
      </c>
      <c r="B1461" s="8" t="str">
        <f>HYPERLINK("https://twitter.com/EdiManik6","@EdiManik6")</f>
        <v>@EdiManik6</v>
      </c>
      <c r="C1461" s="8" t="s">
        <v>899</v>
      </c>
      <c r="D1461" s="8">
        <v>0</v>
      </c>
      <c r="E1461" s="8">
        <v>0</v>
      </c>
      <c r="F1461" s="8">
        <v>718</v>
      </c>
    </row>
    <row r="1462" spans="1:6" ht="12.75">
      <c r="A1462" s="8">
        <v>43904.646203703705</v>
      </c>
      <c r="B1462" s="8" t="str">
        <f>HYPERLINK("https://twitter.com/Diti44668265","@Diti44668265")</f>
        <v>@Diti44668265</v>
      </c>
      <c r="C1462" s="8" t="s">
        <v>14</v>
      </c>
      <c r="D1462" s="8">
        <v>4</v>
      </c>
      <c r="E1462" s="8">
        <v>0</v>
      </c>
      <c r="F1462" s="8">
        <v>1344</v>
      </c>
    </row>
    <row r="1463" spans="1:6" ht="12.75">
      <c r="A1463" s="8">
        <v>43904.646099537036</v>
      </c>
      <c r="B1463" s="8" t="str">
        <f>HYPERLINK("https://twitter.com/Rahmabie7","@Rahmabie7")</f>
        <v>@Rahmabie7</v>
      </c>
      <c r="C1463" s="8" t="s">
        <v>568</v>
      </c>
      <c r="D1463" s="8">
        <v>5</v>
      </c>
      <c r="E1463" s="8">
        <v>0</v>
      </c>
      <c r="F1463" s="8">
        <v>109</v>
      </c>
    </row>
    <row r="1464" spans="1:6" ht="12.75">
      <c r="A1464" s="8">
        <v>43904.646099537036</v>
      </c>
      <c r="B1464" s="8" t="str">
        <f>HYPERLINK("https://twitter.com/JohnyMin66","@JohnyMin66")</f>
        <v>@JohnyMin66</v>
      </c>
      <c r="C1464" s="8" t="s">
        <v>162</v>
      </c>
      <c r="D1464" s="8">
        <v>131</v>
      </c>
      <c r="E1464" s="8">
        <v>0</v>
      </c>
      <c r="F1464" s="8">
        <v>728</v>
      </c>
    </row>
    <row r="1465" spans="1:6" ht="12.75">
      <c r="A1465" s="8">
        <v>43904.646053240736</v>
      </c>
      <c r="B1465" s="8" t="str">
        <f>HYPERLINK("https://twitter.com/isis_macedo10","@isis_macedo10")</f>
        <v>@isis_macedo10</v>
      </c>
      <c r="C1465" s="8" t="s">
        <v>900</v>
      </c>
      <c r="D1465" s="8">
        <v>0</v>
      </c>
      <c r="E1465" s="8">
        <v>1</v>
      </c>
      <c r="F1465" s="8">
        <v>5363</v>
      </c>
    </row>
    <row r="1466" spans="1:6" ht="12.75">
      <c r="A1466" s="8">
        <v>43904.645601851851</v>
      </c>
      <c r="B1466" s="8" t="str">
        <f>HYPERLINK("https://twitter.com/AnangNursyam","@AnangNursyam")</f>
        <v>@AnangNursyam</v>
      </c>
      <c r="C1466" s="8" t="s">
        <v>901</v>
      </c>
      <c r="D1466" s="8">
        <v>0</v>
      </c>
      <c r="E1466" s="8">
        <v>0</v>
      </c>
      <c r="F1466" s="8">
        <v>1944</v>
      </c>
    </row>
    <row r="1467" spans="1:6" ht="12.75">
      <c r="A1467" s="8">
        <v>43904.645324074074</v>
      </c>
      <c r="B1467" s="8" t="str">
        <f>HYPERLINK("https://twitter.com/bocoranmaster","@bocoranmaster")</f>
        <v>@bocoranmaster</v>
      </c>
      <c r="C1467" s="8" t="s">
        <v>902</v>
      </c>
      <c r="D1467" s="8">
        <v>0</v>
      </c>
      <c r="E1467" s="8">
        <v>0</v>
      </c>
      <c r="F1467" s="8">
        <v>93</v>
      </c>
    </row>
    <row r="1468" spans="1:6" ht="12.75">
      <c r="A1468" s="8">
        <v>43904.644895833335</v>
      </c>
      <c r="B1468" s="8" t="str">
        <f>HYPERLINK("https://twitter.com/nurkhafidh","@nurkhafidh")</f>
        <v>@nurkhafidh</v>
      </c>
      <c r="C1468" s="8" t="s">
        <v>219</v>
      </c>
      <c r="D1468" s="8">
        <v>39</v>
      </c>
      <c r="E1468" s="8">
        <v>0</v>
      </c>
      <c r="F1468" s="8">
        <v>425</v>
      </c>
    </row>
    <row r="1469" spans="1:6" ht="12.75">
      <c r="A1469" s="8">
        <v>43904.644895833335</v>
      </c>
      <c r="B1469" s="8" t="str">
        <f>HYPERLINK("https://twitter.com/RizvanZen","@RizvanZen")</f>
        <v>@RizvanZen</v>
      </c>
      <c r="C1469" s="8" t="s">
        <v>219</v>
      </c>
      <c r="D1469" s="8">
        <v>39</v>
      </c>
      <c r="E1469" s="8">
        <v>0</v>
      </c>
      <c r="F1469" s="8">
        <v>50</v>
      </c>
    </row>
    <row r="1470" spans="1:6" ht="12.75">
      <c r="A1470" s="8">
        <v>43904.64434027778</v>
      </c>
      <c r="B1470" s="8" t="str">
        <f>HYPERLINK("https://twitter.com/bethonpunx","@bethonpunx")</f>
        <v>@bethonpunx</v>
      </c>
      <c r="C1470" s="8" t="s">
        <v>162</v>
      </c>
      <c r="D1470" s="8">
        <v>131</v>
      </c>
      <c r="E1470" s="8">
        <v>0</v>
      </c>
      <c r="F1470" s="8">
        <v>382</v>
      </c>
    </row>
    <row r="1471" spans="1:6" ht="12.75">
      <c r="A1471" s="8">
        <v>43904.644259259258</v>
      </c>
      <c r="B1471" s="8" t="str">
        <f>HYPERLINK("https://twitter.com/jennyfebe","@jennyfebe")</f>
        <v>@jennyfebe</v>
      </c>
      <c r="C1471" s="8" t="s">
        <v>628</v>
      </c>
      <c r="D1471" s="8">
        <v>6</v>
      </c>
      <c r="E1471" s="8">
        <v>0</v>
      </c>
      <c r="F1471" s="8">
        <v>460</v>
      </c>
    </row>
    <row r="1472" spans="1:6" ht="12.75">
      <c r="A1472" s="8">
        <v>43904.643807870365</v>
      </c>
      <c r="B1472" s="8" t="str">
        <f>HYPERLINK("https://twitter.com/HanipUmardi","@HanipUmardi")</f>
        <v>@HanipUmardi</v>
      </c>
      <c r="C1472" s="8" t="s">
        <v>897</v>
      </c>
      <c r="D1472" s="8">
        <v>0</v>
      </c>
      <c r="E1472" s="8">
        <v>0</v>
      </c>
      <c r="F1472" s="8">
        <v>1</v>
      </c>
    </row>
    <row r="1473" spans="1:6" ht="12.75">
      <c r="A1473" s="8">
        <v>43904.643368055556</v>
      </c>
      <c r="B1473" s="8" t="str">
        <f>HYPERLINK("https://twitter.com/Metro_TV","@Metro_TV")</f>
        <v>@Metro_TV</v>
      </c>
      <c r="C1473" s="8" t="s">
        <v>903</v>
      </c>
      <c r="D1473" s="8">
        <v>1</v>
      </c>
      <c r="E1473" s="8">
        <v>4</v>
      </c>
      <c r="F1473" s="8">
        <v>10520277</v>
      </c>
    </row>
    <row r="1474" spans="1:6" ht="12.75">
      <c r="A1474" s="8">
        <v>43904.643125000002</v>
      </c>
      <c r="B1474" s="8" t="str">
        <f>HYPERLINK("https://twitter.com/satria_ganek","@satria_ganek")</f>
        <v>@satria_ganek</v>
      </c>
      <c r="C1474" s="8" t="s">
        <v>904</v>
      </c>
      <c r="D1474" s="8">
        <v>0</v>
      </c>
      <c r="E1474" s="8">
        <v>0</v>
      </c>
      <c r="F1474" s="8">
        <v>265</v>
      </c>
    </row>
    <row r="1475" spans="1:6" ht="12.75">
      <c r="A1475" s="8">
        <v>43904.643067129626</v>
      </c>
      <c r="B1475" s="8" t="str">
        <f>HYPERLINK("https://twitter.com/Bungilneh","@Bungilneh")</f>
        <v>@Bungilneh</v>
      </c>
      <c r="C1475" s="8" t="s">
        <v>219</v>
      </c>
      <c r="D1475" s="8">
        <v>39</v>
      </c>
      <c r="E1475" s="8">
        <v>0</v>
      </c>
      <c r="F1475" s="8">
        <v>542</v>
      </c>
    </row>
    <row r="1476" spans="1:6" ht="12.75">
      <c r="A1476" s="8">
        <v>43904.642870370371</v>
      </c>
      <c r="B1476" s="8" t="str">
        <f>HYPERLINK("https://twitter.com/didie_soeharto","@didie_soeharto")</f>
        <v>@didie_soeharto</v>
      </c>
      <c r="C1476" s="8" t="s">
        <v>107</v>
      </c>
      <c r="D1476" s="8">
        <v>24</v>
      </c>
      <c r="E1476" s="8">
        <v>0</v>
      </c>
      <c r="F1476" s="8">
        <v>1241</v>
      </c>
    </row>
    <row r="1477" spans="1:6" ht="12.75">
      <c r="A1477" s="8">
        <v>43904.642824074079</v>
      </c>
      <c r="B1477" s="8" t="str">
        <f>HYPERLINK("https://twitter.com/Megan_mahmud","@Megan_mahmud")</f>
        <v>@Megan_mahmud</v>
      </c>
      <c r="C1477" s="8" t="s">
        <v>162</v>
      </c>
      <c r="D1477" s="8">
        <v>131</v>
      </c>
      <c r="E1477" s="8">
        <v>0</v>
      </c>
      <c r="F1477" s="8">
        <v>450</v>
      </c>
    </row>
    <row r="1478" spans="1:6" ht="12.75">
      <c r="A1478" s="8">
        <v>43904.642789351856</v>
      </c>
      <c r="B1478" s="8" t="str">
        <f>HYPERLINK("https://twitter.com/hadenberg_ryan","@hadenberg_ryan")</f>
        <v>@hadenberg_ryan</v>
      </c>
      <c r="C1478" s="8" t="s">
        <v>107</v>
      </c>
      <c r="D1478" s="8">
        <v>24</v>
      </c>
      <c r="E1478" s="8">
        <v>0</v>
      </c>
      <c r="F1478" s="8">
        <v>255</v>
      </c>
    </row>
    <row r="1479" spans="1:6" ht="12.75">
      <c r="A1479" s="8">
        <v>43904.642604166671</v>
      </c>
      <c r="B1479" s="8" t="str">
        <f>HYPERLINK("https://twitter.com/hemaviton99","@hemaviton99")</f>
        <v>@hemaviton99</v>
      </c>
      <c r="C1479" s="8" t="s">
        <v>107</v>
      </c>
      <c r="D1479" s="8">
        <v>24</v>
      </c>
      <c r="E1479" s="8">
        <v>0</v>
      </c>
      <c r="F1479" s="8">
        <v>6233</v>
      </c>
    </row>
    <row r="1480" spans="1:6" ht="12.75">
      <c r="A1480" s="8">
        <v>43904.64163194444</v>
      </c>
      <c r="B1480" s="8" t="str">
        <f>HYPERLINK("https://twitter.com/jonathansurbak1","@jonathansurbak1")</f>
        <v>@jonathansurbak1</v>
      </c>
      <c r="C1480" s="8" t="s">
        <v>146</v>
      </c>
      <c r="D1480" s="8">
        <v>0</v>
      </c>
      <c r="E1480" s="8">
        <v>0</v>
      </c>
      <c r="F1480" s="8">
        <v>215</v>
      </c>
    </row>
    <row r="1481" spans="1:6" ht="12.75">
      <c r="A1481" s="8">
        <v>43904.639675925922</v>
      </c>
      <c r="B1481" s="8" t="str">
        <f>HYPERLINK("https://twitter.com/Mohamad50983447","@Mohamad50983447")</f>
        <v>@Mohamad50983447</v>
      </c>
      <c r="C1481" s="8" t="s">
        <v>107</v>
      </c>
      <c r="D1481" s="8">
        <v>24</v>
      </c>
      <c r="E1481" s="8">
        <v>0</v>
      </c>
      <c r="F1481" s="8">
        <v>123</v>
      </c>
    </row>
    <row r="1482" spans="1:6" ht="12.75">
      <c r="A1482" s="8">
        <v>43904.639247685191</v>
      </c>
      <c r="B1482" s="8" t="str">
        <f>HYPERLINK("https://twitter.com/trash_tht","@trash_tht")</f>
        <v>@trash_tht</v>
      </c>
      <c r="C1482" s="8" t="s">
        <v>905</v>
      </c>
      <c r="D1482" s="8">
        <v>0</v>
      </c>
      <c r="E1482" s="8">
        <v>0</v>
      </c>
      <c r="F1482" s="8">
        <v>18</v>
      </c>
    </row>
    <row r="1483" spans="1:6" ht="12.75">
      <c r="A1483" s="8">
        <v>43904.639236111107</v>
      </c>
      <c r="B1483" s="8" t="str">
        <f>HYPERLINK("https://twitter.com/estianisuarsih","@estianisuarsih")</f>
        <v>@estianisuarsih</v>
      </c>
      <c r="C1483" s="8" t="s">
        <v>162</v>
      </c>
      <c r="D1483" s="8">
        <v>131</v>
      </c>
      <c r="E1483" s="8">
        <v>0</v>
      </c>
      <c r="F1483" s="8">
        <v>416</v>
      </c>
    </row>
    <row r="1484" spans="1:6" ht="12.75">
      <c r="A1484" s="8">
        <v>43904.638819444444</v>
      </c>
      <c r="B1484" s="8" t="str">
        <f>HYPERLINK("https://twitter.com/kbriwina","@kbriwina")</f>
        <v>@kbriwina</v>
      </c>
      <c r="C1484" s="8" t="s">
        <v>906</v>
      </c>
      <c r="D1484" s="8">
        <v>1</v>
      </c>
      <c r="E1484" s="8">
        <v>0</v>
      </c>
      <c r="F1484" s="8">
        <v>1937</v>
      </c>
    </row>
    <row r="1485" spans="1:6" ht="12.75">
      <c r="A1485" s="8">
        <v>43904.637997685189</v>
      </c>
      <c r="B1485" s="8" t="str">
        <f>HYPERLINK("https://twitter.com/ikmar","@ikmar")</f>
        <v>@ikmar</v>
      </c>
      <c r="C1485" s="8" t="s">
        <v>628</v>
      </c>
      <c r="D1485" s="8">
        <v>6</v>
      </c>
      <c r="E1485" s="8">
        <v>0</v>
      </c>
      <c r="F1485" s="8">
        <v>1941</v>
      </c>
    </row>
    <row r="1486" spans="1:6" ht="12.75">
      <c r="A1486" s="8">
        <v>43904.637025462958</v>
      </c>
      <c r="B1486" s="8" t="str">
        <f>HYPERLINK("https://twitter.com/roes29","@roes29")</f>
        <v>@roes29</v>
      </c>
      <c r="C1486" s="8" t="s">
        <v>628</v>
      </c>
      <c r="D1486" s="8">
        <v>6</v>
      </c>
      <c r="E1486" s="8">
        <v>0</v>
      </c>
      <c r="F1486" s="8">
        <v>472</v>
      </c>
    </row>
    <row r="1487" spans="1:6" ht="12.75">
      <c r="A1487" s="8">
        <v>43904.63663194445</v>
      </c>
      <c r="B1487" s="8" t="str">
        <f>HYPERLINK("https://twitter.com/arbaiasa","@arbaiasa")</f>
        <v>@arbaiasa</v>
      </c>
      <c r="C1487" s="8" t="s">
        <v>282</v>
      </c>
      <c r="D1487" s="8">
        <v>26</v>
      </c>
      <c r="E1487" s="8">
        <v>0</v>
      </c>
      <c r="F1487" s="8">
        <v>83</v>
      </c>
    </row>
    <row r="1488" spans="1:6" ht="12.75">
      <c r="A1488" s="8">
        <v>43904.635752314818</v>
      </c>
      <c r="B1488" s="8" t="str">
        <f>HYPERLINK("https://twitter.com/ReiMiechi99","@ReiMiechi99")</f>
        <v>@ReiMiechi99</v>
      </c>
      <c r="C1488" s="8" t="s">
        <v>391</v>
      </c>
      <c r="D1488" s="8">
        <v>34</v>
      </c>
      <c r="E1488" s="8">
        <v>0</v>
      </c>
      <c r="F1488" s="8">
        <v>96</v>
      </c>
    </row>
    <row r="1489" spans="1:6" ht="12.75">
      <c r="A1489" s="8">
        <v>43904.635509259257</v>
      </c>
      <c r="B1489" s="8" t="str">
        <f>HYPERLINK("https://twitter.com/iqbal_XXI","@iqbal_XXI")</f>
        <v>@iqbal_XXI</v>
      </c>
      <c r="C1489" s="8" t="s">
        <v>892</v>
      </c>
      <c r="D1489" s="8">
        <v>9</v>
      </c>
      <c r="E1489" s="8">
        <v>0</v>
      </c>
      <c r="F1489" s="8">
        <v>133</v>
      </c>
    </row>
    <row r="1490" spans="1:6" ht="12.75">
      <c r="A1490" s="8">
        <v>43904.635266203702</v>
      </c>
      <c r="B1490" s="8" t="str">
        <f>HYPERLINK("https://twitter.com/topinfo_id","@topinfo_id")</f>
        <v>@topinfo_id</v>
      </c>
      <c r="C1490" s="8" t="s">
        <v>907</v>
      </c>
      <c r="D1490" s="8">
        <v>0</v>
      </c>
      <c r="E1490" s="8">
        <v>0</v>
      </c>
      <c r="F1490" s="8">
        <v>115</v>
      </c>
    </row>
    <row r="1491" spans="1:6" ht="12.75">
      <c r="A1491" s="8">
        <v>43904.634618055556</v>
      </c>
      <c r="B1491" s="8" t="str">
        <f>HYPERLINK("https://twitter.com/DunguToing","@DunguToing")</f>
        <v>@DunguToing</v>
      </c>
      <c r="C1491" s="8" t="s">
        <v>908</v>
      </c>
      <c r="D1491" s="8">
        <v>0</v>
      </c>
      <c r="E1491" s="8">
        <v>0</v>
      </c>
      <c r="F1491" s="8">
        <v>1044</v>
      </c>
    </row>
    <row r="1492" spans="1:6" ht="12.75">
      <c r="A1492" s="8">
        <v>43904.634143518517</v>
      </c>
      <c r="B1492" s="8" t="str">
        <f>HYPERLINK("https://twitter.com/vic_slay","@vic_slay")</f>
        <v>@vic_slay</v>
      </c>
      <c r="C1492" s="8" t="s">
        <v>909</v>
      </c>
      <c r="D1492" s="8">
        <v>0</v>
      </c>
      <c r="E1492" s="8">
        <v>0</v>
      </c>
      <c r="F1492" s="8">
        <v>3</v>
      </c>
    </row>
    <row r="1493" spans="1:6" ht="12.75">
      <c r="A1493" s="8">
        <v>43904.633680555555</v>
      </c>
      <c r="B1493" s="8" t="str">
        <f>HYPERLINK("https://twitter.com/01Hariyan","@01Hariyan")</f>
        <v>@01Hariyan</v>
      </c>
      <c r="C1493" s="8" t="s">
        <v>910</v>
      </c>
      <c r="D1493" s="8">
        <v>0</v>
      </c>
      <c r="E1493" s="8">
        <v>1</v>
      </c>
      <c r="F1493" s="8">
        <v>2092</v>
      </c>
    </row>
    <row r="1494" spans="1:6" ht="12.75">
      <c r="A1494" s="8">
        <v>43904.633252314816</v>
      </c>
      <c r="B1494" s="8" t="str">
        <f>HYPERLINK("https://twitter.com/topinfo_id","@topinfo_id")</f>
        <v>@topinfo_id</v>
      </c>
      <c r="C1494" s="8" t="s">
        <v>911</v>
      </c>
      <c r="D1494" s="8">
        <v>0</v>
      </c>
      <c r="E1494" s="8">
        <v>0</v>
      </c>
      <c r="F1494" s="8">
        <v>115</v>
      </c>
    </row>
    <row r="1495" spans="1:6" ht="12.75">
      <c r="A1495" s="8">
        <v>43904.632430555561</v>
      </c>
      <c r="B1495" s="8" t="str">
        <f>HYPERLINK("https://twitter.com/iNewsID","@iNewsID")</f>
        <v>@iNewsID</v>
      </c>
      <c r="C1495" s="8" t="s">
        <v>912</v>
      </c>
      <c r="D1495" s="8">
        <v>0</v>
      </c>
      <c r="E1495" s="8">
        <v>0</v>
      </c>
      <c r="F1495" s="8">
        <v>1403</v>
      </c>
    </row>
    <row r="1496" spans="1:6" ht="12.75">
      <c r="A1496" s="8">
        <v>43904.632361111115</v>
      </c>
      <c r="B1496" s="8" t="str">
        <f>HYPERLINK("https://twitter.com/GreatSpiderman7","@GreatSpiderman7")</f>
        <v>@GreatSpiderman7</v>
      </c>
      <c r="C1496" s="8" t="s">
        <v>219</v>
      </c>
      <c r="D1496" s="8">
        <v>39</v>
      </c>
      <c r="E1496" s="8">
        <v>0</v>
      </c>
      <c r="F1496" s="8">
        <v>208</v>
      </c>
    </row>
    <row r="1497" spans="1:6" ht="12.75">
      <c r="A1497" s="8">
        <v>43904.632222222222</v>
      </c>
      <c r="B1497" s="8" t="str">
        <f>HYPERLINK("https://twitter.com/Eman65740153","@Eman65740153")</f>
        <v>@Eman65740153</v>
      </c>
      <c r="C1497" s="8" t="s">
        <v>219</v>
      </c>
      <c r="D1497" s="8">
        <v>39</v>
      </c>
      <c r="E1497" s="8">
        <v>0</v>
      </c>
      <c r="F1497" s="8">
        <v>44</v>
      </c>
    </row>
    <row r="1498" spans="1:6" ht="12.75">
      <c r="A1498" s="8">
        <v>43904.63217592593</v>
      </c>
      <c r="B1498" s="8" t="str">
        <f>HYPERLINK("https://twitter.com/01Hariyan","@01Hariyan")</f>
        <v>@01Hariyan</v>
      </c>
      <c r="C1498" s="8" t="s">
        <v>913</v>
      </c>
      <c r="D1498" s="8">
        <v>0</v>
      </c>
      <c r="E1498" s="8">
        <v>1</v>
      </c>
      <c r="F1498" s="8">
        <v>2092</v>
      </c>
    </row>
    <row r="1499" spans="1:6" ht="12.75">
      <c r="A1499" s="8">
        <v>43904.631006944444</v>
      </c>
      <c r="B1499" s="8" t="str">
        <f>HYPERLINK("https://twitter.com/yudi_anto","@yudi_anto")</f>
        <v>@yudi_anto</v>
      </c>
      <c r="C1499" s="8" t="s">
        <v>628</v>
      </c>
      <c r="D1499" s="8">
        <v>2</v>
      </c>
      <c r="E1499" s="8">
        <v>0</v>
      </c>
      <c r="F1499" s="8">
        <v>299</v>
      </c>
    </row>
    <row r="1500" spans="1:6" ht="12.75">
      <c r="A1500" s="8">
        <v>43904.63082175926</v>
      </c>
      <c r="B1500" s="8" t="str">
        <f>HYPERLINK("https://twitter.com/dnooraa","@dnooraa")</f>
        <v>@dnooraa</v>
      </c>
      <c r="C1500" s="8" t="s">
        <v>162</v>
      </c>
      <c r="D1500" s="8">
        <v>124</v>
      </c>
      <c r="E1500" s="8">
        <v>0</v>
      </c>
      <c r="F1500" s="8">
        <v>376</v>
      </c>
    </row>
    <row r="1501" spans="1:6" ht="12.75">
      <c r="A1501" s="8">
        <v>43904.630266203705</v>
      </c>
      <c r="B1501" s="8" t="str">
        <f>HYPERLINK("https://twitter.com/dianpuspita0919","@dianpuspita0919")</f>
        <v>@dianpuspita0919</v>
      </c>
      <c r="C1501" s="8" t="s">
        <v>628</v>
      </c>
      <c r="D1501" s="8">
        <v>2</v>
      </c>
      <c r="E1501" s="8">
        <v>0</v>
      </c>
      <c r="F1501" s="8">
        <v>49</v>
      </c>
    </row>
    <row r="1502" spans="1:6" ht="12.75">
      <c r="A1502" s="8">
        <v>43904.630000000005</v>
      </c>
      <c r="B1502" s="8" t="str">
        <f>HYPERLINK("https://twitter.com/Iyink7","@Iyink7")</f>
        <v>@Iyink7</v>
      </c>
      <c r="C1502" s="8" t="s">
        <v>107</v>
      </c>
      <c r="D1502" s="8">
        <v>16</v>
      </c>
      <c r="E1502" s="8">
        <v>0</v>
      </c>
      <c r="F1502" s="8">
        <v>2402</v>
      </c>
    </row>
    <row r="1503" spans="1:6" ht="12.75">
      <c r="A1503" s="8">
        <v>43904.629780092597</v>
      </c>
      <c r="B1503" s="8" t="str">
        <f>HYPERLINK("https://twitter.com/Metro_TV","@Metro_TV")</f>
        <v>@Metro_TV</v>
      </c>
      <c r="C1503" s="8" t="s">
        <v>914</v>
      </c>
      <c r="D1503" s="8">
        <v>2</v>
      </c>
      <c r="E1503" s="8">
        <v>2</v>
      </c>
      <c r="F1503" s="8">
        <v>10520235</v>
      </c>
    </row>
    <row r="1504" spans="1:6" ht="12.75">
      <c r="A1504" s="8">
        <v>43904.629664351851</v>
      </c>
      <c r="B1504" s="8" t="str">
        <f>HYPERLINK("https://twitter.com/TonyFoo13","@TonyFoo13")</f>
        <v>@TonyFoo13</v>
      </c>
      <c r="C1504" s="8" t="s">
        <v>915</v>
      </c>
      <c r="D1504" s="8">
        <v>0</v>
      </c>
      <c r="E1504" s="8">
        <v>0</v>
      </c>
      <c r="F1504" s="8">
        <v>330</v>
      </c>
    </row>
    <row r="1505" spans="1:6" ht="12.75">
      <c r="A1505" s="8">
        <v>43904.627974537041</v>
      </c>
      <c r="B1505" s="8" t="str">
        <f>HYPERLINK("https://twitter.com/Anto_D_ES","@Anto_D_ES")</f>
        <v>@Anto_D_ES</v>
      </c>
      <c r="C1505" s="8" t="s">
        <v>219</v>
      </c>
      <c r="D1505" s="8">
        <v>27</v>
      </c>
      <c r="E1505" s="8">
        <v>0</v>
      </c>
      <c r="F1505" s="8">
        <v>200</v>
      </c>
    </row>
    <row r="1506" spans="1:6" ht="12.75">
      <c r="A1506" s="8">
        <v>43904.627800925926</v>
      </c>
      <c r="B1506" s="8" t="str">
        <f>HYPERLINK("https://twitter.com/topinfo_id","@topinfo_id")</f>
        <v>@topinfo_id</v>
      </c>
      <c r="C1506" s="8" t="s">
        <v>902</v>
      </c>
      <c r="D1506" s="8">
        <v>0</v>
      </c>
      <c r="E1506" s="8">
        <v>0</v>
      </c>
      <c r="F1506" s="8">
        <v>115</v>
      </c>
    </row>
    <row r="1507" spans="1:6" ht="12.75">
      <c r="A1507" s="8">
        <v>43904.62672453704</v>
      </c>
      <c r="B1507" s="8" t="str">
        <f>HYPERLINK("https://twitter.com/D4Rambe","@D4Rambe")</f>
        <v>@D4Rambe</v>
      </c>
      <c r="C1507" s="8" t="s">
        <v>42</v>
      </c>
      <c r="D1507" s="8">
        <v>27</v>
      </c>
      <c r="E1507" s="8">
        <v>0</v>
      </c>
      <c r="F1507" s="8">
        <v>204</v>
      </c>
    </row>
    <row r="1508" spans="1:6" ht="12.75">
      <c r="A1508" s="8">
        <v>43904.626261574071</v>
      </c>
      <c r="B1508" s="8" t="str">
        <f>HYPERLINK("https://twitter.com/MohammadRivai","@MohammadRivai")</f>
        <v>@MohammadRivai</v>
      </c>
      <c r="C1508" s="8" t="s">
        <v>219</v>
      </c>
      <c r="D1508" s="8">
        <v>27</v>
      </c>
      <c r="E1508" s="8">
        <v>0</v>
      </c>
      <c r="F1508" s="8">
        <v>160</v>
      </c>
    </row>
    <row r="1509" spans="1:6" ht="12.75">
      <c r="A1509" s="8">
        <v>43904.626145833332</v>
      </c>
      <c r="B1509" s="8" t="str">
        <f t="shared" ref="B1509:B1510" si="22">HYPERLINK("https://twitter.com/HaloBCA","@HaloBCA")</f>
        <v>@HaloBCA</v>
      </c>
      <c r="C1509" s="8" t="s">
        <v>916</v>
      </c>
      <c r="D1509" s="8">
        <v>0</v>
      </c>
      <c r="E1509" s="8">
        <v>0</v>
      </c>
      <c r="F1509" s="8">
        <v>233626</v>
      </c>
    </row>
    <row r="1510" spans="1:6" ht="12.75">
      <c r="A1510" s="8">
        <v>43904.626145833332</v>
      </c>
      <c r="B1510" s="8" t="str">
        <f t="shared" si="22"/>
        <v>@HaloBCA</v>
      </c>
      <c r="C1510" s="8" t="s">
        <v>917</v>
      </c>
      <c r="D1510" s="8">
        <v>0</v>
      </c>
      <c r="E1510" s="8">
        <v>0</v>
      </c>
      <c r="F1510" s="8">
        <v>233626</v>
      </c>
    </row>
    <row r="1511" spans="1:6" ht="12.75">
      <c r="A1511" s="8">
        <v>43904.625844907408</v>
      </c>
      <c r="B1511" s="8" t="str">
        <f>HYPERLINK("https://twitter.com/Abimanyu_05","@Abimanyu_05")</f>
        <v>@Abimanyu_05</v>
      </c>
      <c r="C1511" s="8" t="s">
        <v>282</v>
      </c>
      <c r="D1511" s="8">
        <v>22</v>
      </c>
      <c r="E1511" s="8">
        <v>0</v>
      </c>
      <c r="F1511" s="8">
        <v>497</v>
      </c>
    </row>
    <row r="1512" spans="1:6" ht="12.75">
      <c r="A1512" s="8">
        <v>43904.625243055554</v>
      </c>
      <c r="B1512" s="8" t="str">
        <f>HYPERLINK("https://twitter.com/ChronoQuarters","@ChronoQuarters")</f>
        <v>@ChronoQuarters</v>
      </c>
      <c r="C1512" s="8" t="s">
        <v>918</v>
      </c>
      <c r="D1512" s="8">
        <v>1</v>
      </c>
      <c r="E1512" s="8">
        <v>0</v>
      </c>
      <c r="F1512" s="8">
        <v>16</v>
      </c>
    </row>
    <row r="1513" spans="1:6" ht="12.75">
      <c r="A1513" s="8">
        <v>43904.625023148154</v>
      </c>
      <c r="B1513" s="8" t="str">
        <f>HYPERLINK("https://twitter.com/LaingenLisa","@LaingenLisa")</f>
        <v>@LaingenLisa</v>
      </c>
      <c r="C1513" s="8" t="s">
        <v>107</v>
      </c>
      <c r="D1513" s="8">
        <v>16</v>
      </c>
      <c r="E1513" s="8">
        <v>0</v>
      </c>
      <c r="F1513" s="8">
        <v>3661</v>
      </c>
    </row>
    <row r="1514" spans="1:6" ht="12.75">
      <c r="A1514" s="8">
        <v>43904.624583333338</v>
      </c>
      <c r="B1514" s="8" t="str">
        <f>HYPERLINK("https://twitter.com/GRLM1707","@GRLM1707")</f>
        <v>@GRLM1707</v>
      </c>
      <c r="C1514" s="8" t="s">
        <v>919</v>
      </c>
      <c r="D1514" s="8">
        <v>0</v>
      </c>
      <c r="E1514" s="8">
        <v>0</v>
      </c>
      <c r="F1514" s="8">
        <v>12</v>
      </c>
    </row>
    <row r="1515" spans="1:6" ht="12.75">
      <c r="A1515" s="8">
        <v>43904.624490740738</v>
      </c>
      <c r="B1515" s="8" t="str">
        <f>HYPERLINK("https://twitter.com/mbeweh31","@mbeweh31")</f>
        <v>@mbeweh31</v>
      </c>
      <c r="C1515" s="8" t="s">
        <v>391</v>
      </c>
      <c r="D1515" s="8">
        <v>30</v>
      </c>
      <c r="E1515" s="8">
        <v>0</v>
      </c>
      <c r="F1515" s="8">
        <v>175</v>
      </c>
    </row>
    <row r="1516" spans="1:6" ht="12.75">
      <c r="A1516" s="8">
        <v>43904.624374999999</v>
      </c>
      <c r="B1516" s="8" t="str">
        <f>HYPERLINK("https://twitter.com/pubinform","@pubinform")</f>
        <v>@pubinform</v>
      </c>
      <c r="C1516" s="8" t="s">
        <v>920</v>
      </c>
      <c r="D1516" s="8">
        <v>0</v>
      </c>
      <c r="E1516" s="8">
        <v>0</v>
      </c>
      <c r="F1516" s="8">
        <v>383</v>
      </c>
    </row>
    <row r="1517" spans="1:6" ht="12.75">
      <c r="A1517" s="8">
        <v>43904.623784722222</v>
      </c>
      <c r="B1517" s="8" t="str">
        <f>HYPERLINK("https://twitter.com/Budi_Lapar","@Budi_Lapar")</f>
        <v>@Budi_Lapar</v>
      </c>
      <c r="C1517" s="8" t="s">
        <v>921</v>
      </c>
      <c r="D1517" s="8">
        <v>0</v>
      </c>
      <c r="E1517" s="8">
        <v>0</v>
      </c>
      <c r="F1517" s="8">
        <v>144</v>
      </c>
    </row>
    <row r="1518" spans="1:6" ht="12.75">
      <c r="A1518" s="8">
        <v>43904.623773148152</v>
      </c>
      <c r="B1518" s="8" t="str">
        <f>HYPERLINK("https://twitter.com/YoyokSubandriy3","@YoyokSubandriy3")</f>
        <v>@YoyokSubandriy3</v>
      </c>
      <c r="C1518" s="8" t="s">
        <v>391</v>
      </c>
      <c r="D1518" s="8">
        <v>30</v>
      </c>
      <c r="E1518" s="8">
        <v>0</v>
      </c>
      <c r="F1518" s="8">
        <v>1337</v>
      </c>
    </row>
    <row r="1519" spans="1:6" ht="12.75">
      <c r="A1519" s="8">
        <v>43904.622986111106</v>
      </c>
      <c r="B1519" s="8" t="str">
        <f>HYPERLINK("https://twitter.com/DetikNewsDotID","@DetikNewsDotID")</f>
        <v>@DetikNewsDotID</v>
      </c>
      <c r="C1519" s="8" t="s">
        <v>922</v>
      </c>
      <c r="D1519" s="8">
        <v>0</v>
      </c>
      <c r="E1519" s="8">
        <v>0</v>
      </c>
      <c r="F1519" s="8">
        <v>80</v>
      </c>
    </row>
    <row r="1520" spans="1:6" ht="12.75">
      <c r="A1520" s="8">
        <v>43904.622719907406</v>
      </c>
      <c r="B1520" s="8" t="str">
        <f>HYPERLINK("https://twitter.com/AryaKRIDA","@AryaKRIDA")</f>
        <v>@AryaKRIDA</v>
      </c>
      <c r="C1520" s="8" t="s">
        <v>923</v>
      </c>
      <c r="D1520" s="8">
        <v>0</v>
      </c>
      <c r="E1520" s="8">
        <v>0</v>
      </c>
      <c r="F1520" s="8">
        <v>9944</v>
      </c>
    </row>
    <row r="1521" spans="1:6" ht="12.75">
      <c r="A1521" s="8">
        <v>43904.622523148151</v>
      </c>
      <c r="B1521" s="8" t="str">
        <f>HYPERLINK("https://twitter.com/ohoosav","@ohoosav")</f>
        <v>@ohoosav</v>
      </c>
      <c r="C1521" s="8" t="s">
        <v>924</v>
      </c>
      <c r="D1521" s="8">
        <v>41</v>
      </c>
      <c r="E1521" s="8">
        <v>0</v>
      </c>
      <c r="F1521" s="8">
        <v>54</v>
      </c>
    </row>
    <row r="1522" spans="1:6" ht="12.75">
      <c r="A1522" s="8">
        <v>43904.622071759259</v>
      </c>
      <c r="B1522" s="8" t="str">
        <f>HYPERLINK("https://twitter.com/Kevin_Anggie","@Kevin_Anggie")</f>
        <v>@Kevin_Anggie</v>
      </c>
      <c r="C1522" s="8" t="s">
        <v>391</v>
      </c>
      <c r="D1522" s="8">
        <v>30</v>
      </c>
      <c r="E1522" s="8">
        <v>0</v>
      </c>
      <c r="F1522" s="8">
        <v>1389</v>
      </c>
    </row>
    <row r="1523" spans="1:6" ht="12.75">
      <c r="A1523" s="8">
        <v>43904.622071759259</v>
      </c>
      <c r="B1523" s="8" t="str">
        <f>HYPERLINK("https://twitter.com/GagaheCahLanang","@GagaheCahLanang")</f>
        <v>@GagaheCahLanang</v>
      </c>
      <c r="C1523" s="8" t="s">
        <v>219</v>
      </c>
      <c r="D1523" s="8">
        <v>27</v>
      </c>
      <c r="E1523" s="8">
        <v>0</v>
      </c>
      <c r="F1523" s="8">
        <v>444</v>
      </c>
    </row>
    <row r="1524" spans="1:6" ht="12.75">
      <c r="A1524" s="8">
        <v>43904.621979166666</v>
      </c>
      <c r="B1524" s="8" t="str">
        <f>HYPERLINK("https://twitter.com/Prinsie","@Prinsie")</f>
        <v>@Prinsie</v>
      </c>
      <c r="C1524" s="8" t="s">
        <v>925</v>
      </c>
      <c r="D1524" s="8">
        <v>192</v>
      </c>
      <c r="E1524" s="8">
        <v>0</v>
      </c>
      <c r="F1524" s="8">
        <v>100</v>
      </c>
    </row>
    <row r="1525" spans="1:6" ht="12.75">
      <c r="A1525" s="8">
        <v>43904.620648148149</v>
      </c>
      <c r="B1525" s="8" t="str">
        <f>HYPERLINK("https://twitter.com/acepwijaya","@acepwijaya")</f>
        <v>@acepwijaya</v>
      </c>
      <c r="C1525" s="8" t="s">
        <v>391</v>
      </c>
      <c r="D1525" s="8">
        <v>30</v>
      </c>
      <c r="E1525" s="8">
        <v>0</v>
      </c>
      <c r="F1525" s="8">
        <v>73</v>
      </c>
    </row>
    <row r="1526" spans="1:6" ht="12.75">
      <c r="A1526" s="8">
        <v>43904.619872685187</v>
      </c>
      <c r="B1526" s="8" t="str">
        <f>HYPERLINK("https://twitter.com/heri_fitriawan","@heri_fitriawan")</f>
        <v>@heri_fitriawan</v>
      </c>
      <c r="C1526" s="8" t="s">
        <v>219</v>
      </c>
      <c r="D1526" s="8">
        <v>27</v>
      </c>
      <c r="E1526" s="8">
        <v>0</v>
      </c>
      <c r="F1526" s="8">
        <v>137</v>
      </c>
    </row>
    <row r="1527" spans="1:6" ht="12.75">
      <c r="A1527" s="8">
        <v>43904.619212962964</v>
      </c>
      <c r="B1527" s="8" t="str">
        <f>HYPERLINK("https://twitter.com/C_AjiMahameru52","@C_AjiMahameru52")</f>
        <v>@C_AjiMahameru52</v>
      </c>
      <c r="C1527" s="8" t="s">
        <v>391</v>
      </c>
      <c r="D1527" s="8">
        <v>30</v>
      </c>
      <c r="E1527" s="8">
        <v>0</v>
      </c>
      <c r="F1527" s="8">
        <v>3174</v>
      </c>
    </row>
    <row r="1528" spans="1:6" ht="12.75">
      <c r="A1528" s="8">
        <v>43904.618657407409</v>
      </c>
      <c r="B1528" s="8" t="str">
        <f>HYPERLINK("https://twitter.com/egaharianto555","@egaharianto555")</f>
        <v>@egaharianto555</v>
      </c>
      <c r="C1528" s="8" t="s">
        <v>897</v>
      </c>
      <c r="D1528" s="8">
        <v>0</v>
      </c>
      <c r="E1528" s="8">
        <v>0</v>
      </c>
      <c r="F1528" s="8">
        <v>3</v>
      </c>
    </row>
    <row r="1529" spans="1:6" ht="12.75">
      <c r="A1529" s="8">
        <v>43904.617766203708</v>
      </c>
      <c r="B1529" s="8" t="str">
        <f>HYPERLINK("https://twitter.com/PanaYt","@PanaYt")</f>
        <v>@PanaYt</v>
      </c>
      <c r="C1529" s="8" t="s">
        <v>162</v>
      </c>
      <c r="D1529" s="8">
        <v>124</v>
      </c>
      <c r="E1529" s="8">
        <v>0</v>
      </c>
      <c r="F1529" s="8">
        <v>927</v>
      </c>
    </row>
    <row r="1530" spans="1:6" ht="12.75">
      <c r="A1530" s="8">
        <v>43904.617743055554</v>
      </c>
      <c r="B1530" s="8" t="str">
        <f>HYPERLINK("https://twitter.com/Imam_RI","@Imam_RI")</f>
        <v>@Imam_RI</v>
      </c>
      <c r="C1530" s="8" t="s">
        <v>219</v>
      </c>
      <c r="D1530" s="8">
        <v>27</v>
      </c>
      <c r="E1530" s="8">
        <v>0</v>
      </c>
      <c r="F1530" s="8">
        <v>409</v>
      </c>
    </row>
    <row r="1531" spans="1:6" ht="12.75">
      <c r="A1531" s="8">
        <v>43904.617488425924</v>
      </c>
      <c r="B1531" s="8" t="str">
        <f>HYPERLINK("https://twitter.com/Beritadotnews","@Beritadotnews")</f>
        <v>@Beritadotnews</v>
      </c>
      <c r="C1531" s="8" t="s">
        <v>926</v>
      </c>
      <c r="D1531" s="8">
        <v>0</v>
      </c>
      <c r="E1531" s="8">
        <v>0</v>
      </c>
      <c r="F1531" s="8">
        <v>41</v>
      </c>
    </row>
    <row r="1532" spans="1:6" ht="12.75">
      <c r="A1532" s="8">
        <v>43904.617337962962</v>
      </c>
      <c r="B1532" s="8" t="str">
        <f>HYPERLINK("https://twitter.com/TMCPoldaMetro","@TMCPoldaMetro")</f>
        <v>@TMCPoldaMetro</v>
      </c>
      <c r="C1532" s="8" t="s">
        <v>391</v>
      </c>
      <c r="D1532" s="8">
        <v>30</v>
      </c>
      <c r="E1532" s="8">
        <v>0</v>
      </c>
      <c r="F1532" s="8">
        <v>7865048</v>
      </c>
    </row>
    <row r="1533" spans="1:6" ht="12.75">
      <c r="A1533" s="8">
        <v>43904.617002314815</v>
      </c>
      <c r="B1533" s="8" t="str">
        <f>HYPERLINK("https://twitter.com/BizlawIndonesia","@BizlawIndonesia")</f>
        <v>@BizlawIndonesia</v>
      </c>
      <c r="C1533" s="8" t="s">
        <v>927</v>
      </c>
      <c r="D1533" s="8">
        <v>0</v>
      </c>
      <c r="E1533" s="8">
        <v>0</v>
      </c>
      <c r="F1533" s="8">
        <v>25</v>
      </c>
    </row>
    <row r="1534" spans="1:6" ht="12.75">
      <c r="A1534" s="8">
        <v>43904.616759259261</v>
      </c>
      <c r="B1534" s="8" t="str">
        <f>HYPERLINK("https://twitter.com/yorineasm","@yorineasm")</f>
        <v>@yorineasm</v>
      </c>
      <c r="C1534" s="8" t="s">
        <v>162</v>
      </c>
      <c r="D1534" s="8">
        <v>124</v>
      </c>
      <c r="E1534" s="8">
        <v>0</v>
      </c>
      <c r="F1534" s="8">
        <v>9</v>
      </c>
    </row>
    <row r="1535" spans="1:6" ht="12.75">
      <c r="A1535" s="8">
        <v>43904.614745370374</v>
      </c>
      <c r="B1535" s="8" t="str">
        <f>HYPERLINK("https://twitter.com/Pandeka_Cyber","@Pandeka_Cyber")</f>
        <v>@Pandeka_Cyber</v>
      </c>
      <c r="C1535" s="8" t="s">
        <v>308</v>
      </c>
      <c r="D1535" s="8">
        <v>0</v>
      </c>
      <c r="E1535" s="8">
        <v>0</v>
      </c>
      <c r="F1535" s="8">
        <v>2448</v>
      </c>
    </row>
    <row r="1536" spans="1:6" ht="12.75">
      <c r="A1536" s="8">
        <v>43904.614270833335</v>
      </c>
      <c r="B1536" s="8" t="str">
        <f>HYPERLINK("https://twitter.com/Ardi22M","@Ardi22M")</f>
        <v>@Ardi22M</v>
      </c>
      <c r="C1536" s="8" t="s">
        <v>107</v>
      </c>
      <c r="D1536" s="8">
        <v>16</v>
      </c>
      <c r="E1536" s="8">
        <v>0</v>
      </c>
      <c r="F1536" s="8">
        <v>634</v>
      </c>
    </row>
    <row r="1537" spans="1:6" ht="12.75">
      <c r="A1537" s="8">
        <v>43904.613900462966</v>
      </c>
      <c r="B1537" s="8" t="str">
        <f>HYPERLINK("https://twitter.com/bruhtaf","@bruhtaf")</f>
        <v>@bruhtaf</v>
      </c>
      <c r="C1537" s="8" t="s">
        <v>928</v>
      </c>
      <c r="D1537" s="8">
        <v>0</v>
      </c>
      <c r="E1537" s="8">
        <v>0</v>
      </c>
      <c r="F1537" s="8">
        <v>652</v>
      </c>
    </row>
    <row r="1538" spans="1:6" ht="12.75">
      <c r="A1538" s="8">
        <v>43904.613032407404</v>
      </c>
      <c r="B1538" s="8" t="str">
        <f>HYPERLINK("https://twitter.com/priBUMI_DATAR","@priBUMI_DATAR")</f>
        <v>@priBUMI_DATAR</v>
      </c>
      <c r="C1538" s="8" t="s">
        <v>219</v>
      </c>
      <c r="D1538" s="8">
        <v>27</v>
      </c>
      <c r="E1538" s="8">
        <v>0</v>
      </c>
      <c r="F1538" s="8">
        <v>215</v>
      </c>
    </row>
    <row r="1539" spans="1:6" ht="12.75">
      <c r="A1539" s="8">
        <v>43904.612962962958</v>
      </c>
      <c r="B1539" s="8" t="str">
        <f>HYPERLINK("https://twitter.com/KBRI_Bangkok","@KBRI_Bangkok")</f>
        <v>@KBRI_Bangkok</v>
      </c>
      <c r="C1539" s="8" t="s">
        <v>929</v>
      </c>
      <c r="D1539" s="8">
        <v>0</v>
      </c>
      <c r="E1539" s="8">
        <v>0</v>
      </c>
      <c r="F1539" s="8">
        <v>3961</v>
      </c>
    </row>
    <row r="1540" spans="1:6" ht="12.75">
      <c r="A1540" s="8">
        <v>43904.612187499995</v>
      </c>
      <c r="B1540" s="8" t="str">
        <f>HYPERLINK("https://twitter.com/cadarmerah","@cadarmerah")</f>
        <v>@cadarmerah</v>
      </c>
      <c r="C1540" s="8" t="s">
        <v>930</v>
      </c>
      <c r="D1540" s="8">
        <v>0</v>
      </c>
      <c r="E1540" s="8">
        <v>0</v>
      </c>
      <c r="F1540" s="8">
        <v>5665</v>
      </c>
    </row>
    <row r="1541" spans="1:6" ht="12.75">
      <c r="A1541" s="8">
        <v>43904.610868055555</v>
      </c>
      <c r="B1541" s="8" t="str">
        <f>HYPERLINK("https://twitter.com/solitudegeeky","@solitudegeeky")</f>
        <v>@solitudegeeky</v>
      </c>
      <c r="C1541" s="8" t="s">
        <v>587</v>
      </c>
      <c r="D1541" s="8">
        <v>51</v>
      </c>
      <c r="E1541" s="8">
        <v>0</v>
      </c>
      <c r="F1541" s="8">
        <v>683</v>
      </c>
    </row>
    <row r="1542" spans="1:6" ht="12.75">
      <c r="A1542" s="8">
        <v>43904.610625000001</v>
      </c>
      <c r="B1542" s="8" t="str">
        <f>HYPERLINK("https://twitter.com/onomsalam2pas","@onomsalam2pas")</f>
        <v>@onomsalam2pas</v>
      </c>
      <c r="C1542" s="8" t="s">
        <v>162</v>
      </c>
      <c r="D1542" s="8">
        <v>124</v>
      </c>
      <c r="E1542" s="8">
        <v>0</v>
      </c>
      <c r="F1542" s="8">
        <v>512</v>
      </c>
    </row>
    <row r="1543" spans="1:6" ht="12.75">
      <c r="A1543" s="8">
        <v>43904.610474537039</v>
      </c>
      <c r="B1543" s="8" t="str">
        <f>HYPERLINK("https://twitter.com/Kaekaidk","@Kaekaidk")</f>
        <v>@Kaekaidk</v>
      </c>
      <c r="C1543" s="8" t="s">
        <v>162</v>
      </c>
      <c r="D1543" s="8">
        <v>124</v>
      </c>
      <c r="E1543" s="8">
        <v>0</v>
      </c>
      <c r="F1543" s="8">
        <v>2272</v>
      </c>
    </row>
    <row r="1544" spans="1:6" ht="12.75">
      <c r="A1544" s="8">
        <v>43904.609953703708</v>
      </c>
      <c r="B1544" s="8" t="str">
        <f>HYPERLINK("https://twitter.com/Billy_Irian","@Billy_Irian")</f>
        <v>@Billy_Irian</v>
      </c>
      <c r="C1544" s="8" t="s">
        <v>162</v>
      </c>
      <c r="D1544" s="8">
        <v>124</v>
      </c>
      <c r="E1544" s="8">
        <v>0</v>
      </c>
      <c r="F1544" s="8">
        <v>237</v>
      </c>
    </row>
    <row r="1545" spans="1:6" ht="12.75">
      <c r="A1545" s="8">
        <v>43904.609918981485</v>
      </c>
      <c r="B1545" s="8" t="str">
        <f>HYPERLINK("https://twitter.com/IndonesiaInPL","@IndonesiaInPL")</f>
        <v>@IndonesiaInPL</v>
      </c>
      <c r="C1545" s="8" t="s">
        <v>931</v>
      </c>
      <c r="D1545" s="8">
        <v>0</v>
      </c>
      <c r="E1545" s="8">
        <v>0</v>
      </c>
      <c r="F1545" s="8">
        <v>1402</v>
      </c>
    </row>
    <row r="1546" spans="1:6" ht="12.75">
      <c r="A1546" s="8">
        <v>43904.609907407408</v>
      </c>
      <c r="B1546" s="8" t="str">
        <f>HYPERLINK("https://twitter.com/adi_iswantoro","@adi_iswantoro")</f>
        <v>@adi_iswantoro</v>
      </c>
      <c r="C1546" s="8" t="s">
        <v>162</v>
      </c>
      <c r="D1546" s="8">
        <v>124</v>
      </c>
      <c r="E1546" s="8">
        <v>0</v>
      </c>
      <c r="F1546" s="8">
        <v>177</v>
      </c>
    </row>
    <row r="1547" spans="1:6" ht="12.75">
      <c r="A1547" s="8">
        <v>43904.609837962962</v>
      </c>
      <c r="B1547" s="8" t="str">
        <f>HYPERLINK("https://twitter.com/endoe21","@endoe21")</f>
        <v>@endoe21</v>
      </c>
      <c r="C1547" s="8" t="s">
        <v>42</v>
      </c>
      <c r="D1547" s="8">
        <v>27</v>
      </c>
      <c r="E1547" s="8">
        <v>0</v>
      </c>
      <c r="F1547" s="8">
        <v>2042</v>
      </c>
    </row>
    <row r="1548" spans="1:6" ht="12.75">
      <c r="A1548" s="8">
        <v>43904.609722222223</v>
      </c>
      <c r="B1548" s="8" t="str">
        <f>HYPERLINK("https://twitter.com/pandutabroni","@pandutabroni")</f>
        <v>@pandutabroni</v>
      </c>
      <c r="C1548" s="8" t="s">
        <v>162</v>
      </c>
      <c r="D1548" s="8">
        <v>124</v>
      </c>
      <c r="E1548" s="8">
        <v>0</v>
      </c>
      <c r="F1548" s="8">
        <v>70</v>
      </c>
    </row>
    <row r="1549" spans="1:6" ht="12.75">
      <c r="A1549" s="8">
        <v>43904.609722222223</v>
      </c>
      <c r="B1549" s="8" t="str">
        <f>HYPERLINK("https://twitter.com/Dimasatriamdl","@Dimasatriamdl")</f>
        <v>@Dimasatriamdl</v>
      </c>
      <c r="C1549" s="8" t="s">
        <v>932</v>
      </c>
      <c r="D1549" s="8">
        <v>0</v>
      </c>
      <c r="E1549" s="8">
        <v>0</v>
      </c>
      <c r="F1549" s="8">
        <v>72</v>
      </c>
    </row>
    <row r="1550" spans="1:6" ht="12.75">
      <c r="A1550" s="8">
        <v>43904.609664351854</v>
      </c>
      <c r="B1550" s="8" t="str">
        <f>HYPERLINK("https://twitter.com/IndonesiaAnkara","@IndonesiaAnkara")</f>
        <v>@IndonesiaAnkara</v>
      </c>
      <c r="C1550" s="8" t="s">
        <v>933</v>
      </c>
      <c r="D1550" s="8">
        <v>1</v>
      </c>
      <c r="E1550" s="8">
        <v>0</v>
      </c>
      <c r="F1550" s="8">
        <v>202</v>
      </c>
    </row>
    <row r="1551" spans="1:6" ht="12.75">
      <c r="A1551" s="8">
        <v>43904.609618055554</v>
      </c>
      <c r="B1551" s="8" t="str">
        <f>HYPERLINK("https://twitter.com/onomsalam2pas","@onomsalam2pas")</f>
        <v>@onomsalam2pas</v>
      </c>
      <c r="C1551" s="8" t="s">
        <v>219</v>
      </c>
      <c r="D1551" s="8">
        <v>27</v>
      </c>
      <c r="E1551" s="8">
        <v>0</v>
      </c>
      <c r="F1551" s="8">
        <v>512</v>
      </c>
    </row>
    <row r="1552" spans="1:6" ht="12.75">
      <c r="A1552" s="8">
        <v>43904.609467592592</v>
      </c>
      <c r="B1552" s="8" t="str">
        <f>HYPERLINK("https://twitter.com/dinoalves22","@dinoalves22")</f>
        <v>@dinoalves22</v>
      </c>
      <c r="C1552" s="8" t="s">
        <v>63</v>
      </c>
      <c r="D1552" s="8">
        <v>47</v>
      </c>
      <c r="E1552" s="8">
        <v>0</v>
      </c>
      <c r="F1552" s="8">
        <v>685</v>
      </c>
    </row>
    <row r="1553" spans="1:6" ht="12.75">
      <c r="A1553" s="8">
        <v>43904.609027777777</v>
      </c>
      <c r="B1553" s="8" t="str">
        <f>HYPERLINK("https://twitter.com/WPHalim","@WPHalim")</f>
        <v>@WPHalim</v>
      </c>
      <c r="C1553" s="8" t="s">
        <v>107</v>
      </c>
      <c r="D1553" s="8">
        <v>16</v>
      </c>
      <c r="E1553" s="8">
        <v>0</v>
      </c>
      <c r="F1553" s="8">
        <v>323</v>
      </c>
    </row>
    <row r="1554" spans="1:6" ht="12.75">
      <c r="A1554" s="8">
        <v>43904.608564814815</v>
      </c>
      <c r="B1554" s="8" t="str">
        <f>HYPERLINK("https://twitter.com/BORNEONEWS","@BORNEONEWS")</f>
        <v>@BORNEONEWS</v>
      </c>
      <c r="C1554" s="8" t="s">
        <v>934</v>
      </c>
      <c r="D1554" s="8">
        <v>0</v>
      </c>
      <c r="E1554" s="8">
        <v>0</v>
      </c>
      <c r="F1554" s="8">
        <v>6990</v>
      </c>
    </row>
    <row r="1555" spans="1:6" ht="12.75">
      <c r="A1555" s="8">
        <v>43904.608402777776</v>
      </c>
      <c r="B1555" s="8" t="str">
        <f>HYPERLINK("https://twitter.com/Din034","@Din034")</f>
        <v>@Din034</v>
      </c>
      <c r="C1555" s="8" t="s">
        <v>219</v>
      </c>
      <c r="D1555" s="8">
        <v>27</v>
      </c>
      <c r="E1555" s="8">
        <v>0</v>
      </c>
      <c r="F1555" s="8">
        <v>38</v>
      </c>
    </row>
    <row r="1556" spans="1:6" ht="12.75">
      <c r="A1556" s="8">
        <v>43904.607939814814</v>
      </c>
      <c r="B1556" s="8" t="str">
        <f>HYPERLINK("https://twitter.com/abbad911","@abbad911")</f>
        <v>@abbad911</v>
      </c>
      <c r="C1556" s="8" t="s">
        <v>219</v>
      </c>
      <c r="D1556" s="8">
        <v>27</v>
      </c>
      <c r="E1556" s="8">
        <v>0</v>
      </c>
      <c r="F1556" s="8">
        <v>8</v>
      </c>
    </row>
    <row r="1557" spans="1:6" ht="12.75">
      <c r="A1557" s="8">
        <v>43904.606666666667</v>
      </c>
      <c r="B1557" s="8" t="str">
        <f>HYPERLINK("https://twitter.com/LieYurika","@LieYurika")</f>
        <v>@LieYurika</v>
      </c>
      <c r="C1557" s="8" t="s">
        <v>935</v>
      </c>
      <c r="D1557" s="8">
        <v>0</v>
      </c>
      <c r="E1557" s="8">
        <v>1</v>
      </c>
      <c r="F1557" s="8">
        <v>910</v>
      </c>
    </row>
    <row r="1558" spans="1:6" ht="12.75">
      <c r="A1558" s="8">
        <v>43904.606307870374</v>
      </c>
      <c r="B1558" s="8" t="str">
        <f>HYPERLINK("https://twitter.com/ghifrohman","@ghifrohman")</f>
        <v>@ghifrohman</v>
      </c>
      <c r="C1558" s="8" t="s">
        <v>936</v>
      </c>
      <c r="D1558" s="8">
        <v>0</v>
      </c>
      <c r="E1558" s="8">
        <v>0</v>
      </c>
      <c r="F1558" s="8">
        <v>526</v>
      </c>
    </row>
    <row r="1559" spans="1:6" ht="12.75">
      <c r="A1559" s="8">
        <v>43904.605543981481</v>
      </c>
      <c r="B1559" s="8" t="str">
        <f>HYPERLINK("https://twitter.com/PadraPutra","@PadraPutra")</f>
        <v>@PadraPutra</v>
      </c>
      <c r="C1559" s="8" t="s">
        <v>219</v>
      </c>
      <c r="D1559" s="8">
        <v>27</v>
      </c>
      <c r="E1559" s="8">
        <v>0</v>
      </c>
      <c r="F1559" s="8">
        <v>1</v>
      </c>
    </row>
    <row r="1560" spans="1:6" ht="12.75">
      <c r="A1560" s="8">
        <v>43904.605509259258</v>
      </c>
      <c r="B1560" s="8" t="str">
        <f>HYPERLINK("https://twitter.com/adellyaaaa","@adellyaaaa")</f>
        <v>@adellyaaaa</v>
      </c>
      <c r="C1560" s="8" t="s">
        <v>587</v>
      </c>
      <c r="D1560" s="8">
        <v>51</v>
      </c>
      <c r="E1560" s="8">
        <v>0</v>
      </c>
      <c r="F1560" s="8">
        <v>1042</v>
      </c>
    </row>
    <row r="1561" spans="1:6" ht="12.75">
      <c r="A1561" s="8">
        <v>43904.604803240742</v>
      </c>
      <c r="B1561" s="8" t="str">
        <f>HYPERLINK("https://twitter.com/yamchakep","@yamchakep")</f>
        <v>@yamchakep</v>
      </c>
      <c r="C1561" s="8" t="s">
        <v>14</v>
      </c>
      <c r="D1561" s="8">
        <v>2</v>
      </c>
      <c r="E1561" s="8">
        <v>0</v>
      </c>
      <c r="F1561" s="8">
        <v>217</v>
      </c>
    </row>
    <row r="1562" spans="1:6" ht="12.75">
      <c r="A1562" s="8">
        <v>43904.603935185187</v>
      </c>
      <c r="B1562" s="8" t="str">
        <f>HYPERLINK("https://twitter.com/IvanRT05","@IvanRT05")</f>
        <v>@IvanRT05</v>
      </c>
      <c r="C1562" s="8" t="s">
        <v>937</v>
      </c>
      <c r="D1562" s="8">
        <v>0</v>
      </c>
      <c r="E1562" s="8">
        <v>0</v>
      </c>
      <c r="F1562" s="8">
        <v>657</v>
      </c>
    </row>
    <row r="1563" spans="1:6" ht="12.75">
      <c r="A1563" s="8">
        <v>43904.603749999995</v>
      </c>
      <c r="B1563" s="8" t="str">
        <f>HYPERLINK("https://twitter.com/supriya62582459","@supriya62582459")</f>
        <v>@supriya62582459</v>
      </c>
      <c r="C1563" s="8" t="s">
        <v>282</v>
      </c>
      <c r="D1563" s="8">
        <v>22</v>
      </c>
      <c r="E1563" s="8">
        <v>0</v>
      </c>
      <c r="F1563" s="8">
        <v>522</v>
      </c>
    </row>
    <row r="1564" spans="1:6" ht="12.75">
      <c r="A1564" s="8">
        <v>43904.60365740741</v>
      </c>
      <c r="B1564" s="8" t="str">
        <f>HYPERLINK("https://twitter.com/barsono","@barsono")</f>
        <v>@barsono</v>
      </c>
      <c r="C1564" s="8" t="s">
        <v>219</v>
      </c>
      <c r="D1564" s="8">
        <v>27</v>
      </c>
      <c r="E1564" s="8">
        <v>0</v>
      </c>
      <c r="F1564" s="8">
        <v>577</v>
      </c>
    </row>
    <row r="1565" spans="1:6" ht="12.75">
      <c r="A1565" s="8">
        <v>43904.603206018517</v>
      </c>
      <c r="B1565" s="8" t="str">
        <f>HYPERLINK("https://twitter.com/IvanRT05","@IvanRT05")</f>
        <v>@IvanRT05</v>
      </c>
      <c r="C1565" s="8" t="s">
        <v>938</v>
      </c>
      <c r="D1565" s="8">
        <v>0</v>
      </c>
      <c r="E1565" s="8">
        <v>0</v>
      </c>
      <c r="F1565" s="8">
        <v>657</v>
      </c>
    </row>
    <row r="1566" spans="1:6" ht="12.75">
      <c r="A1566" s="8">
        <v>43904.601944444439</v>
      </c>
      <c r="B1566" s="8" t="str">
        <f>HYPERLINK("https://twitter.com/eeeeeeeeeeevvvv","@eeeeeeeeeeevvvv")</f>
        <v>@eeeeeeeeeeevvvv</v>
      </c>
      <c r="C1566" s="8" t="s">
        <v>162</v>
      </c>
      <c r="D1566" s="8">
        <v>124</v>
      </c>
      <c r="E1566" s="8">
        <v>0</v>
      </c>
      <c r="F1566" s="8">
        <v>42</v>
      </c>
    </row>
    <row r="1567" spans="1:6" ht="12.75">
      <c r="A1567" s="8">
        <v>43904.60193287037</v>
      </c>
      <c r="B1567" s="8" t="str">
        <f>HYPERLINK("https://twitter.com/SamsulA44787617","@SamsulA44787617")</f>
        <v>@SamsulA44787617</v>
      </c>
      <c r="C1567" s="8" t="s">
        <v>269</v>
      </c>
      <c r="D1567" s="8">
        <v>3</v>
      </c>
      <c r="E1567" s="8">
        <v>0</v>
      </c>
      <c r="F1567" s="8">
        <v>57</v>
      </c>
    </row>
    <row r="1568" spans="1:6" ht="12.75">
      <c r="A1568" s="8">
        <v>43904.601759259254</v>
      </c>
      <c r="B1568" s="8" t="str">
        <f>HYPERLINK("https://twitter.com/diplik_kemlu","@diplik_kemlu")</f>
        <v>@diplik_kemlu</v>
      </c>
      <c r="C1568" s="8" t="s">
        <v>203</v>
      </c>
      <c r="D1568" s="8">
        <v>40</v>
      </c>
      <c r="E1568" s="8">
        <v>0</v>
      </c>
      <c r="F1568" s="8">
        <v>3316</v>
      </c>
    </row>
    <row r="1569" spans="1:6" ht="12.75">
      <c r="A1569" s="8">
        <v>43904.601655092592</v>
      </c>
      <c r="B1569" s="8" t="str">
        <f t="shared" ref="B1569:B1570" si="23">HYPERLINK("https://twitter.com/yourqueenesther","@yourqueenesther")</f>
        <v>@yourqueenesther</v>
      </c>
      <c r="C1569" s="8" t="s">
        <v>764</v>
      </c>
      <c r="D1569" s="8">
        <v>3</v>
      </c>
      <c r="E1569" s="8">
        <v>0</v>
      </c>
      <c r="F1569" s="8">
        <v>161</v>
      </c>
    </row>
    <row r="1570" spans="1:6" ht="12.75">
      <c r="A1570" s="8">
        <v>43904.601620370369</v>
      </c>
      <c r="B1570" s="8" t="str">
        <f t="shared" si="23"/>
        <v>@yourqueenesther</v>
      </c>
      <c r="C1570" s="8" t="s">
        <v>391</v>
      </c>
      <c r="D1570" s="8">
        <v>30</v>
      </c>
      <c r="E1570" s="8">
        <v>0</v>
      </c>
      <c r="F1570" s="8">
        <v>161</v>
      </c>
    </row>
    <row r="1571" spans="1:6" ht="12.75">
      <c r="A1571" s="8">
        <v>43904.600821759261</v>
      </c>
      <c r="B1571" s="8" t="str">
        <f>HYPERLINK("https://twitter.com/Askrlfess","@Askrlfess")</f>
        <v>@Askrlfess</v>
      </c>
      <c r="C1571" s="8" t="s">
        <v>939</v>
      </c>
      <c r="D1571" s="8">
        <v>0</v>
      </c>
      <c r="E1571" s="8">
        <v>0</v>
      </c>
      <c r="F1571" s="8">
        <v>33056</v>
      </c>
    </row>
    <row r="1572" spans="1:6" ht="12.75">
      <c r="A1572" s="8">
        <v>43904.599733796298</v>
      </c>
      <c r="B1572" s="8" t="str">
        <f>HYPERLINK("https://twitter.com/ivandnorrs44","@ivandnorrs44")</f>
        <v>@ivandnorrs44</v>
      </c>
      <c r="C1572" s="8" t="s">
        <v>219</v>
      </c>
      <c r="D1572" s="8">
        <v>27</v>
      </c>
      <c r="E1572" s="8">
        <v>0</v>
      </c>
      <c r="F1572" s="8">
        <v>1199</v>
      </c>
    </row>
    <row r="1573" spans="1:6" ht="12.75">
      <c r="A1573" s="8">
        <v>43904.59956018519</v>
      </c>
      <c r="B1573" s="8" t="str">
        <f>HYPERLINK("https://twitter.com/baihaqie2483","@baihaqie2483")</f>
        <v>@baihaqie2483</v>
      </c>
      <c r="C1573" s="8" t="s">
        <v>219</v>
      </c>
      <c r="D1573" s="8">
        <v>27</v>
      </c>
      <c r="E1573" s="8">
        <v>0</v>
      </c>
      <c r="F1573" s="8">
        <v>62</v>
      </c>
    </row>
    <row r="1574" spans="1:6" ht="12.75">
      <c r="A1574" s="8">
        <v>43904.599398148144</v>
      </c>
      <c r="B1574" s="8" t="str">
        <f>HYPERLINK("https://twitter.com/MuhidinTeudumuk","@MuhidinTeudumuk")</f>
        <v>@MuhidinTeudumuk</v>
      </c>
      <c r="C1574" s="8" t="s">
        <v>272</v>
      </c>
      <c r="D1574" s="8">
        <v>16</v>
      </c>
      <c r="E1574" s="8">
        <v>0</v>
      </c>
      <c r="F1574" s="8">
        <v>159</v>
      </c>
    </row>
    <row r="1575" spans="1:6" ht="12.75">
      <c r="A1575" s="8">
        <v>43904.59878472222</v>
      </c>
      <c r="B1575" s="8" t="str">
        <f>HYPERLINK("https://twitter.com/Chairulx","@Chairulx")</f>
        <v>@Chairulx</v>
      </c>
      <c r="C1575" s="8" t="s">
        <v>219</v>
      </c>
      <c r="D1575" s="8">
        <v>27</v>
      </c>
      <c r="E1575" s="8">
        <v>0</v>
      </c>
      <c r="F1575" s="8">
        <v>29</v>
      </c>
    </row>
    <row r="1576" spans="1:6" ht="12.75">
      <c r="A1576" s="8">
        <v>43904.597997685181</v>
      </c>
      <c r="B1576" s="8" t="str">
        <f>HYPERLINK("https://twitter.com/nengit80","@nengit80")</f>
        <v>@nengit80</v>
      </c>
      <c r="C1576" s="8" t="s">
        <v>219</v>
      </c>
      <c r="D1576" s="8">
        <v>27</v>
      </c>
      <c r="E1576" s="8">
        <v>0</v>
      </c>
      <c r="F1576" s="8">
        <v>624</v>
      </c>
    </row>
    <row r="1577" spans="1:6" ht="12.75">
      <c r="A1577" s="8">
        <v>43904.597719907411</v>
      </c>
      <c r="B1577" s="8" t="str">
        <f>HYPERLINK("https://twitter.com/NJKamka","@NJKamka")</f>
        <v>@NJKamka</v>
      </c>
      <c r="C1577" s="8" t="s">
        <v>219</v>
      </c>
      <c r="D1577" s="8">
        <v>27</v>
      </c>
      <c r="E1577" s="8">
        <v>0</v>
      </c>
      <c r="F1577" s="8">
        <v>5393</v>
      </c>
    </row>
    <row r="1578" spans="1:6" ht="12.75">
      <c r="A1578" s="8">
        <v>43904.597546296296</v>
      </c>
      <c r="B1578" s="8" t="str">
        <f>HYPERLINK("https://twitter.com/SantaPradana","@SantaPradana")</f>
        <v>@SantaPradana</v>
      </c>
      <c r="C1578" s="8" t="s">
        <v>219</v>
      </c>
      <c r="D1578" s="8">
        <v>27</v>
      </c>
      <c r="E1578" s="8">
        <v>0</v>
      </c>
      <c r="F1578" s="8">
        <v>496</v>
      </c>
    </row>
    <row r="1579" spans="1:6" ht="12.75">
      <c r="A1579" s="8">
        <v>43904.597337962958</v>
      </c>
      <c r="B1579" s="8" t="str">
        <f>HYPERLINK("https://twitter.com/elseditaa","@elseditaa")</f>
        <v>@elseditaa</v>
      </c>
      <c r="C1579" s="8" t="s">
        <v>940</v>
      </c>
      <c r="D1579" s="8">
        <v>0</v>
      </c>
      <c r="E1579" s="8">
        <v>0</v>
      </c>
      <c r="F1579" s="8">
        <v>380</v>
      </c>
    </row>
    <row r="1580" spans="1:6" ht="12.75">
      <c r="A1580" s="8">
        <v>43904.597233796296</v>
      </c>
      <c r="B1580" s="8" t="str">
        <f>HYPERLINK("https://twitter.com/HanielPurbowo","@HanielPurbowo")</f>
        <v>@HanielPurbowo</v>
      </c>
      <c r="C1580" s="8" t="s">
        <v>272</v>
      </c>
      <c r="D1580" s="8">
        <v>16</v>
      </c>
      <c r="E1580" s="8">
        <v>0</v>
      </c>
      <c r="F1580" s="8">
        <v>1366</v>
      </c>
    </row>
    <row r="1581" spans="1:6" ht="12.75">
      <c r="A1581" s="8">
        <v>43904.596967592588</v>
      </c>
      <c r="B1581" s="8" t="str">
        <f>HYPERLINK("https://twitter.com/Zahrafaiza","@Zahrafaiza")</f>
        <v>@Zahrafaiza</v>
      </c>
      <c r="C1581" s="8" t="s">
        <v>219</v>
      </c>
      <c r="D1581" s="8">
        <v>27</v>
      </c>
      <c r="E1581" s="8">
        <v>0</v>
      </c>
      <c r="F1581" s="8">
        <v>365</v>
      </c>
    </row>
    <row r="1582" spans="1:6" ht="12.75">
      <c r="A1582" s="8">
        <v>43904.596898148149</v>
      </c>
      <c r="B1582" s="8" t="str">
        <f>HYPERLINK("https://twitter.com/Bamshar_02","@Bamshar_02")</f>
        <v>@Bamshar_02</v>
      </c>
      <c r="C1582" s="8" t="s">
        <v>219</v>
      </c>
      <c r="D1582" s="8">
        <v>27</v>
      </c>
      <c r="E1582" s="8">
        <v>0</v>
      </c>
      <c r="F1582" s="8">
        <v>2196</v>
      </c>
    </row>
    <row r="1583" spans="1:6" ht="12.75">
      <c r="A1583" s="8">
        <v>43904.596817129626</v>
      </c>
      <c r="B1583" s="8" t="str">
        <f>HYPERLINK("https://twitter.com/roni_prastiawan","@roni_prastiawan")</f>
        <v>@roni_prastiawan</v>
      </c>
      <c r="C1583" s="8" t="s">
        <v>107</v>
      </c>
      <c r="D1583" s="8">
        <v>16</v>
      </c>
      <c r="E1583" s="8">
        <v>0</v>
      </c>
      <c r="F1583" s="8">
        <v>265</v>
      </c>
    </row>
    <row r="1584" spans="1:6" ht="12.75">
      <c r="A1584" s="8">
        <v>43904.596724537041</v>
      </c>
      <c r="B1584" s="8" t="str">
        <f>HYPERLINK("https://twitter.com/rinandhawildhan","@rinandhawildhan")</f>
        <v>@rinandhawildhan</v>
      </c>
      <c r="C1584" s="8" t="s">
        <v>162</v>
      </c>
      <c r="D1584" s="8">
        <v>124</v>
      </c>
      <c r="E1584" s="8">
        <v>0</v>
      </c>
      <c r="F1584" s="8">
        <v>1874</v>
      </c>
    </row>
    <row r="1585" spans="1:6" ht="12.75">
      <c r="A1585" s="8">
        <v>43904.596666666665</v>
      </c>
      <c r="B1585" s="8" t="str">
        <f>HYPERLINK("https://twitter.com/FirdausArvi","@FirdausArvi")</f>
        <v>@FirdausArvi</v>
      </c>
      <c r="C1585" s="8" t="s">
        <v>219</v>
      </c>
      <c r="D1585" s="8">
        <v>27</v>
      </c>
      <c r="E1585" s="8">
        <v>0</v>
      </c>
      <c r="F1585" s="8">
        <v>78</v>
      </c>
    </row>
    <row r="1586" spans="1:6" ht="12.75">
      <c r="A1586" s="8">
        <v>43904.596516203703</v>
      </c>
      <c r="B1586" s="8" t="str">
        <f>HYPERLINK("https://twitter.com/TeyengCekap","@TeyengCekap")</f>
        <v>@TeyengCekap</v>
      </c>
      <c r="C1586" s="8" t="s">
        <v>272</v>
      </c>
      <c r="D1586" s="8">
        <v>16</v>
      </c>
      <c r="E1586" s="8">
        <v>0</v>
      </c>
      <c r="F1586" s="8">
        <v>6075</v>
      </c>
    </row>
    <row r="1587" spans="1:6" ht="12.75">
      <c r="A1587" s="8">
        <v>43904.596365740741</v>
      </c>
      <c r="B1587" s="8" t="str">
        <f>HYPERLINK("https://twitter.com/meiisme","@meiisme")</f>
        <v>@meiisme</v>
      </c>
      <c r="C1587" s="8" t="s">
        <v>941</v>
      </c>
      <c r="D1587" s="8">
        <v>0</v>
      </c>
      <c r="E1587" s="8">
        <v>0</v>
      </c>
      <c r="F1587" s="8">
        <v>648</v>
      </c>
    </row>
    <row r="1588" spans="1:6" ht="12.75">
      <c r="A1588" s="8">
        <v>43904.596250000002</v>
      </c>
      <c r="B1588" s="8" t="str">
        <f>HYPERLINK("https://twitter.com/TeyengCekap","@TeyengCekap")</f>
        <v>@TeyengCekap</v>
      </c>
      <c r="C1588" s="8" t="s">
        <v>202</v>
      </c>
      <c r="D1588" s="8">
        <v>5</v>
      </c>
      <c r="E1588" s="8">
        <v>0</v>
      </c>
      <c r="F1588" s="8">
        <v>6075</v>
      </c>
    </row>
    <row r="1589" spans="1:6" ht="12.75">
      <c r="A1589" s="8">
        <v>43904.596053240741</v>
      </c>
      <c r="B1589" s="8" t="str">
        <f>HYPERLINK("https://twitter.com/ztw868992","@ztw868992")</f>
        <v>@ztw868992</v>
      </c>
      <c r="C1589" s="8" t="s">
        <v>269</v>
      </c>
      <c r="D1589" s="8">
        <v>3</v>
      </c>
      <c r="E1589" s="8">
        <v>0</v>
      </c>
      <c r="F1589" s="8">
        <v>3986</v>
      </c>
    </row>
    <row r="1590" spans="1:6" ht="12.75">
      <c r="A1590" s="8">
        <v>43904.595717592594</v>
      </c>
      <c r="B1590" s="8" t="str">
        <f>HYPERLINK("https://twitter.com/kemlonih","@kemlonih")</f>
        <v>@kemlonih</v>
      </c>
      <c r="C1590" s="8" t="s">
        <v>219</v>
      </c>
      <c r="D1590" s="8">
        <v>27</v>
      </c>
      <c r="E1590" s="8">
        <v>0</v>
      </c>
      <c r="F1590" s="8">
        <v>5356</v>
      </c>
    </row>
    <row r="1591" spans="1:6" ht="12.75">
      <c r="A1591" s="8">
        <v>43904.595173611116</v>
      </c>
      <c r="B1591" s="8" t="str">
        <f>HYPERLINK("https://twitter.com/WR_4AG226","@WR_4AG226")</f>
        <v>@WR_4AG226</v>
      </c>
      <c r="C1591" s="8" t="s">
        <v>107</v>
      </c>
      <c r="D1591" s="8">
        <v>16</v>
      </c>
      <c r="E1591" s="8">
        <v>0</v>
      </c>
      <c r="F1591" s="8">
        <v>58161</v>
      </c>
    </row>
    <row r="1592" spans="1:6" ht="12.75">
      <c r="A1592" s="8">
        <v>43904.595034722224</v>
      </c>
      <c r="B1592" s="8" t="str">
        <f>HYPERLINK("https://twitter.com/Johncen59726333","@Johncen59726333")</f>
        <v>@Johncen59726333</v>
      </c>
      <c r="C1592" s="8" t="s">
        <v>219</v>
      </c>
      <c r="D1592" s="8">
        <v>27</v>
      </c>
      <c r="E1592" s="8">
        <v>0</v>
      </c>
      <c r="F1592" s="8">
        <v>84</v>
      </c>
    </row>
    <row r="1593" spans="1:6" ht="12.75">
      <c r="A1593" s="8">
        <v>43904.594664351855</v>
      </c>
      <c r="B1593" s="8" t="str">
        <f>HYPERLINK("https://twitter.com/rizkiparanto","@rizkiparanto")</f>
        <v>@rizkiparanto</v>
      </c>
      <c r="C1593" s="8" t="s">
        <v>63</v>
      </c>
      <c r="D1593" s="8">
        <v>47</v>
      </c>
      <c r="E1593" s="8">
        <v>0</v>
      </c>
      <c r="F1593" s="8">
        <v>240</v>
      </c>
    </row>
    <row r="1594" spans="1:6" ht="12.75">
      <c r="A1594" s="8">
        <v>43904.594409722224</v>
      </c>
      <c r="B1594" s="8" t="str">
        <f>HYPERLINK("https://twitter.com/radin07632748","@radin07632748")</f>
        <v>@radin07632748</v>
      </c>
      <c r="C1594" s="8" t="s">
        <v>942</v>
      </c>
      <c r="D1594" s="8">
        <v>0</v>
      </c>
      <c r="E1594" s="8">
        <v>1</v>
      </c>
      <c r="F1594" s="8">
        <v>4</v>
      </c>
    </row>
    <row r="1595" spans="1:6" ht="12.75">
      <c r="A1595" s="8">
        <v>43904.594340277778</v>
      </c>
      <c r="B1595" s="8" t="str">
        <f>HYPERLINK("https://twitter.com/AnwarMu7762","@AnwarMu7762")</f>
        <v>@AnwarMu7762</v>
      </c>
      <c r="C1595" s="8" t="s">
        <v>219</v>
      </c>
      <c r="D1595" s="8">
        <v>27</v>
      </c>
      <c r="E1595" s="8">
        <v>0</v>
      </c>
      <c r="F1595" s="8">
        <v>2955</v>
      </c>
    </row>
    <row r="1596" spans="1:6" ht="12.75">
      <c r="A1596" s="8">
        <v>43904.594305555554</v>
      </c>
      <c r="B1596" s="8" t="str">
        <f>HYPERLINK("https://twitter.com/iammaulanna","@iammaulanna")</f>
        <v>@iammaulanna</v>
      </c>
      <c r="C1596" s="8" t="s">
        <v>162</v>
      </c>
      <c r="D1596" s="8">
        <v>124</v>
      </c>
      <c r="E1596" s="8">
        <v>0</v>
      </c>
      <c r="F1596" s="8">
        <v>99</v>
      </c>
    </row>
    <row r="1597" spans="1:6" ht="12.75">
      <c r="A1597" s="8">
        <v>43904.594166666662</v>
      </c>
      <c r="B1597" s="8" t="str">
        <f>HYPERLINK("https://twitter.com/hgberry","@hgberry")</f>
        <v>@hgberry</v>
      </c>
      <c r="C1597" s="8" t="s">
        <v>269</v>
      </c>
      <c r="D1597" s="8">
        <v>3</v>
      </c>
      <c r="E1597" s="8">
        <v>0</v>
      </c>
      <c r="F1597" s="8">
        <v>1654</v>
      </c>
    </row>
    <row r="1598" spans="1:6" ht="12.75">
      <c r="A1598" s="8">
        <v>43904.593842592592</v>
      </c>
      <c r="B1598" s="8" t="str">
        <f>HYPERLINK("https://twitter.com/Hidup_ituSimple","@Hidup_ituSimple")</f>
        <v>@Hidup_ituSimple</v>
      </c>
      <c r="C1598" s="8" t="s">
        <v>107</v>
      </c>
      <c r="D1598" s="8">
        <v>16</v>
      </c>
      <c r="E1598" s="8">
        <v>0</v>
      </c>
      <c r="F1598" s="8">
        <v>6107</v>
      </c>
    </row>
    <row r="1599" spans="1:6" ht="12.75">
      <c r="A1599" s="8">
        <v>43904.59</v>
      </c>
      <c r="B1599" s="8" t="str">
        <f>HYPERLINK("https://twitter.com/VeraAstutik","@VeraAstutik")</f>
        <v>@VeraAstutik</v>
      </c>
      <c r="C1599" s="8" t="s">
        <v>943</v>
      </c>
      <c r="D1599" s="8">
        <v>12</v>
      </c>
      <c r="E1599" s="8">
        <v>0</v>
      </c>
      <c r="F1599" s="8">
        <v>2</v>
      </c>
    </row>
    <row r="1600" spans="1:6" ht="12.75">
      <c r="A1600" s="8">
        <v>43904.589305555557</v>
      </c>
      <c r="B1600" s="8" t="str">
        <f>HYPERLINK("https://twitter.com/wni_jmsri","@wni_jmsri")</f>
        <v>@wni_jmsri</v>
      </c>
      <c r="C1600" s="8" t="s">
        <v>944</v>
      </c>
      <c r="D1600" s="8">
        <v>95</v>
      </c>
      <c r="E1600" s="8">
        <v>0</v>
      </c>
      <c r="F1600" s="8">
        <v>198</v>
      </c>
    </row>
    <row r="1601" spans="1:6" ht="12.75">
      <c r="A1601" s="8">
        <v>43904.58898148148</v>
      </c>
      <c r="B1601" s="8" t="str">
        <f>HYPERLINK("https://twitter.com/MulyanaDipura","@MulyanaDipura")</f>
        <v>@MulyanaDipura</v>
      </c>
      <c r="C1601" s="8" t="s">
        <v>107</v>
      </c>
      <c r="D1601" s="8">
        <v>5</v>
      </c>
      <c r="E1601" s="8">
        <v>0</v>
      </c>
      <c r="F1601" s="8">
        <v>846</v>
      </c>
    </row>
    <row r="1602" spans="1:6" ht="12.75">
      <c r="A1602" s="8">
        <v>43904.588726851856</v>
      </c>
      <c r="B1602" s="8" t="str">
        <f>HYPERLINK("https://twitter.com/immmmman","@immmmman")</f>
        <v>@immmmman</v>
      </c>
      <c r="C1602" s="8" t="s">
        <v>63</v>
      </c>
      <c r="D1602" s="8">
        <v>45</v>
      </c>
      <c r="E1602" s="8">
        <v>0</v>
      </c>
      <c r="F1602" s="8">
        <v>358</v>
      </c>
    </row>
    <row r="1603" spans="1:6" ht="12.75">
      <c r="A1603" s="8">
        <v>43904.588020833333</v>
      </c>
      <c r="B1603" s="8" t="str">
        <f>HYPERLINK("https://twitter.com/topinfo_id","@topinfo_id")</f>
        <v>@topinfo_id</v>
      </c>
      <c r="C1603" s="8" t="s">
        <v>421</v>
      </c>
      <c r="D1603" s="8">
        <v>0</v>
      </c>
      <c r="E1603" s="8">
        <v>0</v>
      </c>
      <c r="F1603" s="8">
        <v>115</v>
      </c>
    </row>
    <row r="1604" spans="1:6" ht="12.75">
      <c r="A1604" s="8">
        <v>43904.587870370371</v>
      </c>
      <c r="B1604" s="8" t="str">
        <f>HYPERLINK("https://twitter.com/suaradotcom","@suaradotcom")</f>
        <v>@suaradotcom</v>
      </c>
      <c r="C1604" s="8" t="s">
        <v>945</v>
      </c>
      <c r="D1604" s="8">
        <v>0</v>
      </c>
      <c r="E1604" s="8">
        <v>0</v>
      </c>
      <c r="F1604" s="8">
        <v>25048</v>
      </c>
    </row>
    <row r="1605" spans="1:6" ht="12.75">
      <c r="A1605" s="8">
        <v>43904.587696759263</v>
      </c>
      <c r="B1605" s="8" t="str">
        <f>HYPERLINK("https://twitter.com/wni_jmsri","@wni_jmsri")</f>
        <v>@wni_jmsri</v>
      </c>
      <c r="C1605" s="8" t="s">
        <v>946</v>
      </c>
      <c r="D1605" s="8">
        <v>11355</v>
      </c>
      <c r="E1605" s="8">
        <v>0</v>
      </c>
      <c r="F1605" s="8">
        <v>198</v>
      </c>
    </row>
    <row r="1606" spans="1:6" ht="12.75">
      <c r="A1606" s="8">
        <v>43904.587673611109</v>
      </c>
      <c r="B1606" s="8" t="str">
        <f>HYPERLINK("https://twitter.com/jennyfebe","@jennyfebe")</f>
        <v>@jennyfebe</v>
      </c>
      <c r="C1606" s="8" t="s">
        <v>353</v>
      </c>
      <c r="D1606" s="8">
        <v>144</v>
      </c>
      <c r="E1606" s="8">
        <v>0</v>
      </c>
      <c r="F1606" s="8">
        <v>462</v>
      </c>
    </row>
    <row r="1607" spans="1:6" ht="12.75">
      <c r="A1607" s="8">
        <v>43904.587627314817</v>
      </c>
      <c r="B1607" s="8" t="str">
        <f>HYPERLINK("https://twitter.com/wni_jmsri","@wni_jmsri")</f>
        <v>@wni_jmsri</v>
      </c>
      <c r="C1607" s="8" t="s">
        <v>947</v>
      </c>
      <c r="D1607" s="8">
        <v>2240</v>
      </c>
      <c r="E1607" s="8">
        <v>0</v>
      </c>
      <c r="F1607" s="8">
        <v>198</v>
      </c>
    </row>
    <row r="1608" spans="1:6" ht="12.75">
      <c r="A1608" s="8">
        <v>43904.586527777778</v>
      </c>
      <c r="B1608" s="8" t="str">
        <f>HYPERLINK("https://twitter.com/de_kvn2","@de_kvn2")</f>
        <v>@de_kvn2</v>
      </c>
      <c r="C1608" s="8" t="s">
        <v>107</v>
      </c>
      <c r="D1608" s="8">
        <v>5</v>
      </c>
      <c r="E1608" s="8">
        <v>0</v>
      </c>
      <c r="F1608" s="8">
        <v>298</v>
      </c>
    </row>
    <row r="1609" spans="1:6" ht="12.75">
      <c r="A1609" s="8">
        <v>43904.586122685185</v>
      </c>
      <c r="B1609" s="8" t="str">
        <f>HYPERLINK("https://twitter.com/LieYurika","@LieYurika")</f>
        <v>@LieYurika</v>
      </c>
      <c r="C1609" s="8" t="s">
        <v>948</v>
      </c>
      <c r="D1609" s="8">
        <v>0</v>
      </c>
      <c r="E1609" s="8">
        <v>0</v>
      </c>
      <c r="F1609" s="8">
        <v>910</v>
      </c>
    </row>
    <row r="1610" spans="1:6" ht="12.75">
      <c r="A1610" s="8">
        <v>43904.585358796292</v>
      </c>
      <c r="B1610" s="8" t="str">
        <f>HYPERLINK("https://twitter.com/Rislamie_11","@Rislamie_11")</f>
        <v>@Rislamie_11</v>
      </c>
      <c r="C1610" s="8" t="s">
        <v>63</v>
      </c>
      <c r="D1610" s="8">
        <v>45</v>
      </c>
      <c r="E1610" s="8">
        <v>0</v>
      </c>
      <c r="F1610" s="8">
        <v>148</v>
      </c>
    </row>
    <row r="1611" spans="1:6" ht="12.75">
      <c r="A1611" s="8">
        <v>43904.585115740745</v>
      </c>
      <c r="B1611" s="8" t="str">
        <f>HYPERLINK("https://twitter.com/nimble18___","@nimble18___")</f>
        <v>@nimble18___</v>
      </c>
      <c r="C1611" s="8" t="s">
        <v>162</v>
      </c>
      <c r="D1611" s="8">
        <v>109</v>
      </c>
      <c r="E1611" s="8">
        <v>0</v>
      </c>
      <c r="F1611" s="8">
        <v>167</v>
      </c>
    </row>
    <row r="1612" spans="1:6" ht="12.75">
      <c r="A1612" s="8">
        <v>43904.584965277776</v>
      </c>
      <c r="B1612" s="8" t="str">
        <f>HYPERLINK("https://twitter.com/pertamina135","@pertamina135")</f>
        <v>@pertamina135</v>
      </c>
      <c r="C1612" s="8" t="s">
        <v>949</v>
      </c>
      <c r="D1612" s="8">
        <v>0</v>
      </c>
      <c r="E1612" s="8">
        <v>0</v>
      </c>
      <c r="F1612" s="8">
        <v>505</v>
      </c>
    </row>
    <row r="1613" spans="1:6" ht="12.75">
      <c r="A1613" s="8">
        <v>43904.584895833337</v>
      </c>
      <c r="B1613" s="8" t="str">
        <f>HYPERLINK("https://twitter.com/FuadzAchie","@FuadzAchie")</f>
        <v>@FuadzAchie</v>
      </c>
      <c r="C1613" s="8" t="s">
        <v>353</v>
      </c>
      <c r="D1613" s="8">
        <v>144</v>
      </c>
      <c r="E1613" s="8">
        <v>0</v>
      </c>
      <c r="F1613" s="8">
        <v>180</v>
      </c>
    </row>
    <row r="1614" spans="1:6" ht="12.75">
      <c r="A1614" s="8">
        <v>43904.584791666668</v>
      </c>
      <c r="B1614" s="8" t="str">
        <f>HYPERLINK("https://twitter.com/zivarazalea15","@zivarazalea15")</f>
        <v>@zivarazalea15</v>
      </c>
      <c r="C1614" s="8" t="s">
        <v>950</v>
      </c>
      <c r="D1614" s="8">
        <v>0</v>
      </c>
      <c r="E1614" s="8">
        <v>0</v>
      </c>
      <c r="F1614" s="8">
        <v>913</v>
      </c>
    </row>
    <row r="1615" spans="1:6" ht="12.75">
      <c r="A1615" s="8">
        <v>43904.584108796298</v>
      </c>
      <c r="B1615" s="8" t="str">
        <f>HYPERLINK("https://twitter.com/sikecilmarmut","@sikecilmarmut")</f>
        <v>@sikecilmarmut</v>
      </c>
      <c r="C1615" s="8" t="s">
        <v>951</v>
      </c>
      <c r="D1615" s="8">
        <v>2</v>
      </c>
      <c r="E1615" s="8">
        <v>0</v>
      </c>
      <c r="F1615" s="8">
        <v>2285</v>
      </c>
    </row>
    <row r="1616" spans="1:6" ht="12.75">
      <c r="A1616" s="8">
        <v>43904.584062499998</v>
      </c>
      <c r="B1616" s="8" t="str">
        <f>HYPERLINK("https://twitter.com/tribunbatamku","@tribunbatamku")</f>
        <v>@tribunbatamku</v>
      </c>
      <c r="C1616" s="8" t="s">
        <v>952</v>
      </c>
      <c r="D1616" s="8">
        <v>0</v>
      </c>
      <c r="E1616" s="8">
        <v>0</v>
      </c>
      <c r="F1616" s="8">
        <v>5377</v>
      </c>
    </row>
    <row r="1617" spans="1:6" ht="12.75">
      <c r="A1617" s="8">
        <v>43904.583495370374</v>
      </c>
      <c r="B1617" s="8" t="str">
        <f>HYPERLINK("https://twitter.com/melanikristy","@melanikristy")</f>
        <v>@melanikristy</v>
      </c>
      <c r="C1617" s="8" t="s">
        <v>162</v>
      </c>
      <c r="D1617" s="8">
        <v>109</v>
      </c>
      <c r="E1617" s="8">
        <v>0</v>
      </c>
      <c r="F1617" s="8">
        <v>316</v>
      </c>
    </row>
    <row r="1618" spans="1:6" ht="12.75">
      <c r="A1618" s="8">
        <v>43904.582905092597</v>
      </c>
      <c r="B1618" s="8" t="str">
        <f>HYPERLINK("https://twitter.com/jawapos","@jawapos")</f>
        <v>@jawapos</v>
      </c>
      <c r="C1618" s="8" t="s">
        <v>953</v>
      </c>
      <c r="D1618" s="8">
        <v>0</v>
      </c>
      <c r="E1618" s="8">
        <v>0</v>
      </c>
      <c r="F1618" s="8">
        <v>130020</v>
      </c>
    </row>
    <row r="1619" spans="1:6" ht="12.75">
      <c r="A1619" s="8">
        <v>43904.582708333328</v>
      </c>
      <c r="B1619" s="8" t="str">
        <f>HYPERLINK("https://twitter.com/liliskhusniati","@liliskhusniati")</f>
        <v>@liliskhusniati</v>
      </c>
      <c r="C1619" s="8" t="s">
        <v>63</v>
      </c>
      <c r="D1619" s="8">
        <v>45</v>
      </c>
      <c r="E1619" s="8">
        <v>0</v>
      </c>
      <c r="F1619" s="8">
        <v>625</v>
      </c>
    </row>
    <row r="1620" spans="1:6" ht="12.75">
      <c r="A1620" s="8">
        <v>43904.58221064815</v>
      </c>
      <c r="B1620" s="8" t="str">
        <f>HYPERLINK("https://twitter.com/Kyugo_Kyujunana","@Kyugo_Kyujunana")</f>
        <v>@Kyugo_Kyujunana</v>
      </c>
      <c r="C1620" s="8" t="s">
        <v>954</v>
      </c>
      <c r="D1620" s="8">
        <v>0</v>
      </c>
      <c r="E1620" s="8">
        <v>0</v>
      </c>
      <c r="F1620" s="8">
        <v>0</v>
      </c>
    </row>
    <row r="1621" spans="1:6" ht="12.75">
      <c r="A1621" s="8">
        <v>43904.581608796296</v>
      </c>
      <c r="B1621" s="8" t="str">
        <f>HYPERLINK("https://twitter.com/KowSape","@KowSape")</f>
        <v>@KowSape</v>
      </c>
      <c r="C1621" s="8" t="s">
        <v>42</v>
      </c>
      <c r="D1621" s="8">
        <v>25</v>
      </c>
      <c r="E1621" s="8">
        <v>0</v>
      </c>
      <c r="F1621" s="8">
        <v>804</v>
      </c>
    </row>
    <row r="1622" spans="1:6" ht="12.75">
      <c r="A1622" s="8">
        <v>43904.581018518518</v>
      </c>
      <c r="B1622" s="8" t="str">
        <f>HYPERLINK("https://twitter.com/sally_rw","@sally_rw")</f>
        <v>@sally_rw</v>
      </c>
      <c r="C1622" s="8" t="s">
        <v>162</v>
      </c>
      <c r="D1622" s="8">
        <v>109</v>
      </c>
      <c r="E1622" s="8">
        <v>0</v>
      </c>
      <c r="F1622" s="8">
        <v>832</v>
      </c>
    </row>
    <row r="1623" spans="1:6" ht="12.75">
      <c r="A1623" s="8">
        <v>43904.580868055556</v>
      </c>
      <c r="B1623" s="8" t="str">
        <f>HYPERLINK("https://twitter.com/chanelterrier","@chanelterrier")</f>
        <v>@chanelterrier</v>
      </c>
      <c r="C1623" s="8" t="s">
        <v>955</v>
      </c>
      <c r="D1623" s="8">
        <v>0</v>
      </c>
      <c r="E1623" s="8">
        <v>0</v>
      </c>
      <c r="F1623" s="8">
        <v>506</v>
      </c>
    </row>
    <row r="1624" spans="1:6" ht="12.75">
      <c r="A1624" s="8">
        <v>43904.579710648148</v>
      </c>
      <c r="B1624" s="8" t="str">
        <f>HYPERLINK("https://twitter.com/siadind","@siadind")</f>
        <v>@siadind</v>
      </c>
      <c r="C1624" s="8" t="s">
        <v>636</v>
      </c>
      <c r="D1624" s="8">
        <v>0</v>
      </c>
      <c r="E1624" s="8">
        <v>0</v>
      </c>
      <c r="F1624" s="8">
        <v>1082</v>
      </c>
    </row>
    <row r="1625" spans="1:6" ht="12.75">
      <c r="A1625" s="8">
        <v>43904.579340277778</v>
      </c>
      <c r="B1625" s="8" t="str">
        <f>HYPERLINK("https://twitter.com/Gamelonlio","@Gamelonlio")</f>
        <v>@Gamelonlio</v>
      </c>
      <c r="C1625" s="8" t="s">
        <v>956</v>
      </c>
      <c r="D1625" s="8">
        <v>1</v>
      </c>
      <c r="E1625" s="8">
        <v>0</v>
      </c>
      <c r="F1625" s="8">
        <v>437</v>
      </c>
    </row>
    <row r="1626" spans="1:6" ht="12.75">
      <c r="A1626" s="8">
        <v>43904.579097222224</v>
      </c>
      <c r="B1626" s="8" t="str">
        <f>HYPERLINK("https://twitter.com/ehwhatlah","@ehwhatlah")</f>
        <v>@ehwhatlah</v>
      </c>
      <c r="C1626" s="8" t="s">
        <v>957</v>
      </c>
      <c r="D1626" s="8">
        <v>0</v>
      </c>
      <c r="E1626" s="8">
        <v>0</v>
      </c>
      <c r="F1626" s="8">
        <v>87</v>
      </c>
    </row>
    <row r="1627" spans="1:6" ht="12.75">
      <c r="A1627" s="8">
        <v>43904.578472222223</v>
      </c>
      <c r="B1627" s="8" t="str">
        <f>HYPERLINK("https://twitter.com/polikromasiii","@polikromasiii")</f>
        <v>@polikromasiii</v>
      </c>
      <c r="C1627" s="8" t="s">
        <v>958</v>
      </c>
      <c r="D1627" s="8">
        <v>0</v>
      </c>
      <c r="E1627" s="8">
        <v>0</v>
      </c>
      <c r="F1627" s="8">
        <v>1579</v>
      </c>
    </row>
    <row r="1628" spans="1:6" ht="12.75">
      <c r="A1628" s="8">
        <v>43904.578194444446</v>
      </c>
      <c r="B1628" s="8" t="str">
        <f>HYPERLINK("https://twitter.com/tribunnews","@tribunnews")</f>
        <v>@tribunnews</v>
      </c>
      <c r="C1628" s="8" t="s">
        <v>959</v>
      </c>
      <c r="D1628" s="8">
        <v>1</v>
      </c>
      <c r="E1628" s="8">
        <v>6</v>
      </c>
      <c r="F1628" s="8">
        <v>896883</v>
      </c>
    </row>
    <row r="1629" spans="1:6" ht="12.75">
      <c r="A1629" s="8">
        <v>43904.57712962963</v>
      </c>
      <c r="B1629" s="8" t="str">
        <f>HYPERLINK("https://twitter.com/BobbyUmaya","@BobbyUmaya")</f>
        <v>@BobbyUmaya</v>
      </c>
      <c r="C1629" s="8" t="s">
        <v>960</v>
      </c>
      <c r="D1629" s="8">
        <v>12</v>
      </c>
      <c r="E1629" s="8">
        <v>0</v>
      </c>
      <c r="F1629" s="8">
        <v>549</v>
      </c>
    </row>
    <row r="1630" spans="1:6" ht="12.75">
      <c r="A1630" s="8">
        <v>43904.576469907406</v>
      </c>
      <c r="B1630" s="8" t="str">
        <f>HYPERLINK("https://twitter.com/IDN_Username","@IDN_Username")</f>
        <v>@IDN_Username</v>
      </c>
      <c r="C1630" s="8" t="s">
        <v>961</v>
      </c>
      <c r="D1630" s="8">
        <v>0</v>
      </c>
      <c r="E1630" s="8">
        <v>0</v>
      </c>
      <c r="F1630" s="8">
        <v>141</v>
      </c>
    </row>
    <row r="1631" spans="1:6" ht="12.75">
      <c r="A1631" s="8">
        <v>43904.575810185182</v>
      </c>
      <c r="B1631" s="8" t="str">
        <f>HYPERLINK("https://twitter.com/SemmyNazri","@SemmyNazri")</f>
        <v>@SemmyNazri</v>
      </c>
      <c r="C1631" s="8" t="s">
        <v>892</v>
      </c>
      <c r="D1631" s="8">
        <v>7</v>
      </c>
      <c r="E1631" s="8">
        <v>0</v>
      </c>
      <c r="F1631" s="8">
        <v>204</v>
      </c>
    </row>
    <row r="1632" spans="1:6" ht="12.75">
      <c r="A1632" s="8">
        <v>43904.575543981482</v>
      </c>
      <c r="B1632" s="8" t="str">
        <f>HYPERLINK("https://twitter.com/AkhirZamanCoy","@AkhirZamanCoy")</f>
        <v>@AkhirZamanCoy</v>
      </c>
      <c r="C1632" s="8" t="s">
        <v>282</v>
      </c>
      <c r="D1632" s="8">
        <v>20</v>
      </c>
      <c r="E1632" s="8">
        <v>0</v>
      </c>
      <c r="F1632" s="8">
        <v>1394</v>
      </c>
    </row>
    <row r="1633" spans="1:6" ht="12.75">
      <c r="A1633" s="8">
        <v>43904.575312500005</v>
      </c>
      <c r="B1633" s="8" t="str">
        <f>HYPERLINK("https://twitter.com/ilham_bayu89","@ilham_bayu89")</f>
        <v>@ilham_bayu89</v>
      </c>
      <c r="C1633" s="8" t="s">
        <v>391</v>
      </c>
      <c r="D1633" s="8">
        <v>23</v>
      </c>
      <c r="E1633" s="8">
        <v>0</v>
      </c>
      <c r="F1633" s="8">
        <v>894</v>
      </c>
    </row>
    <row r="1634" spans="1:6" ht="12.75">
      <c r="A1634" s="8">
        <v>43904.575185185182</v>
      </c>
      <c r="B1634" s="8" t="str">
        <f>HYPERLINK("https://twitter.com/krisna_permas98","@krisna_permas98")</f>
        <v>@krisna_permas98</v>
      </c>
      <c r="C1634" s="8" t="s">
        <v>962</v>
      </c>
      <c r="D1634" s="8">
        <v>0</v>
      </c>
      <c r="E1634" s="8">
        <v>0</v>
      </c>
      <c r="F1634" s="8">
        <v>22</v>
      </c>
    </row>
    <row r="1635" spans="1:6" ht="12.75">
      <c r="A1635" s="8">
        <v>43904.57508101852</v>
      </c>
      <c r="B1635" s="8" t="str">
        <f>HYPERLINK("https://twitter.com/jawapos","@jawapos")</f>
        <v>@jawapos</v>
      </c>
      <c r="C1635" s="8" t="s">
        <v>963</v>
      </c>
      <c r="D1635" s="8">
        <v>0</v>
      </c>
      <c r="E1635" s="8">
        <v>0</v>
      </c>
      <c r="F1635" s="8">
        <v>130020</v>
      </c>
    </row>
    <row r="1636" spans="1:6" ht="12.75">
      <c r="A1636" s="8">
        <v>43904.572268518517</v>
      </c>
      <c r="B1636" s="8" t="str">
        <f>HYPERLINK("https://twitter.com/jhoween29","@jhoween29")</f>
        <v>@jhoween29</v>
      </c>
      <c r="C1636" s="8" t="s">
        <v>162</v>
      </c>
      <c r="D1636" s="8">
        <v>109</v>
      </c>
      <c r="E1636" s="8">
        <v>0</v>
      </c>
      <c r="F1636" s="8">
        <v>48</v>
      </c>
    </row>
    <row r="1637" spans="1:6" ht="12.75">
      <c r="A1637" s="8">
        <v>43904.57068287037</v>
      </c>
      <c r="B1637" s="8" t="str">
        <f>HYPERLINK("https://twitter.com/Nuhaa_Araa","@Nuhaa_Araa")</f>
        <v>@Nuhaa_Araa</v>
      </c>
      <c r="C1637" s="8" t="s">
        <v>162</v>
      </c>
      <c r="D1637" s="8">
        <v>109</v>
      </c>
      <c r="E1637" s="8">
        <v>0</v>
      </c>
      <c r="F1637" s="8">
        <v>542</v>
      </c>
    </row>
    <row r="1638" spans="1:6" ht="12.75">
      <c r="A1638" s="8">
        <v>43904.569907407407</v>
      </c>
      <c r="B1638" s="8" t="str">
        <f>HYPERLINK("https://twitter.com/medcom_id","@medcom_id")</f>
        <v>@medcom_id</v>
      </c>
      <c r="C1638" s="8" t="s">
        <v>964</v>
      </c>
      <c r="D1638" s="8">
        <v>0</v>
      </c>
      <c r="E1638" s="8">
        <v>0</v>
      </c>
      <c r="F1638" s="8">
        <v>18687</v>
      </c>
    </row>
    <row r="1639" spans="1:6" ht="12.75">
      <c r="A1639" s="8">
        <v>43904.569444444445</v>
      </c>
      <c r="B1639" s="8" t="str">
        <f>HYPERLINK("https://twitter.com/neyaz_razvi","@neyaz_razvi")</f>
        <v>@neyaz_razvi</v>
      </c>
      <c r="C1639" s="8" t="s">
        <v>582</v>
      </c>
      <c r="D1639" s="8">
        <v>34</v>
      </c>
      <c r="E1639" s="8">
        <v>0</v>
      </c>
      <c r="F1639" s="8">
        <v>56</v>
      </c>
    </row>
    <row r="1640" spans="1:6" ht="12.75">
      <c r="A1640" s="8">
        <v>43904.569074074076</v>
      </c>
      <c r="B1640" s="8" t="str">
        <f>HYPERLINK("https://twitter.com/katatodaycom","@katatodaycom")</f>
        <v>@katatodaycom</v>
      </c>
      <c r="C1640" s="8" t="s">
        <v>965</v>
      </c>
      <c r="D1640" s="8">
        <v>0</v>
      </c>
      <c r="E1640" s="8">
        <v>0</v>
      </c>
      <c r="F1640" s="8">
        <v>1336</v>
      </c>
    </row>
    <row r="1641" spans="1:6" ht="12.75">
      <c r="A1641" s="8">
        <v>43904.568668981483</v>
      </c>
      <c r="B1641" s="8" t="str">
        <f>HYPERLINK("https://twitter.com/Bestari99389359","@Bestari99389359")</f>
        <v>@Bestari99389359</v>
      </c>
      <c r="C1641" s="8" t="s">
        <v>966</v>
      </c>
      <c r="D1641" s="8">
        <v>0</v>
      </c>
      <c r="E1641" s="8">
        <v>0</v>
      </c>
      <c r="F1641" s="8">
        <v>1</v>
      </c>
    </row>
    <row r="1642" spans="1:6" ht="12.75">
      <c r="A1642" s="8">
        <v>43904.568611111114</v>
      </c>
      <c r="B1642" s="8" t="str">
        <f>HYPERLINK("https://twitter.com/indozonemedia","@indozonemedia")</f>
        <v>@indozonemedia</v>
      </c>
      <c r="C1642" s="8" t="s">
        <v>967</v>
      </c>
      <c r="D1642" s="8">
        <v>0</v>
      </c>
      <c r="E1642" s="8">
        <v>0</v>
      </c>
      <c r="F1642" s="8">
        <v>1788021</v>
      </c>
    </row>
    <row r="1643" spans="1:6" ht="12.75">
      <c r="A1643" s="8">
        <v>43904.567997685182</v>
      </c>
      <c r="B1643" s="8" t="str">
        <f>HYPERLINK("https://twitter.com/bambang_hesti","@bambang_hesti")</f>
        <v>@bambang_hesti</v>
      </c>
      <c r="C1643" s="8" t="s">
        <v>968</v>
      </c>
      <c r="D1643" s="8">
        <v>0</v>
      </c>
      <c r="E1643" s="8">
        <v>0</v>
      </c>
      <c r="F1643" s="8">
        <v>18</v>
      </c>
    </row>
    <row r="1644" spans="1:6" ht="12.75">
      <c r="A1644" s="8">
        <v>43904.567986111113</v>
      </c>
      <c r="B1644" s="8" t="str">
        <f>HYPERLINK("https://twitter.com/topinfo_id","@topinfo_id")</f>
        <v>@topinfo_id</v>
      </c>
      <c r="C1644" s="8" t="s">
        <v>969</v>
      </c>
      <c r="D1644" s="8">
        <v>0</v>
      </c>
      <c r="E1644" s="8">
        <v>0</v>
      </c>
      <c r="F1644" s="8">
        <v>115</v>
      </c>
    </row>
    <row r="1645" spans="1:6" ht="12.75">
      <c r="A1645" s="8">
        <v>43904.567928240736</v>
      </c>
      <c r="B1645" s="8" t="str">
        <f>HYPERLINK("https://twitter.com/selviaemanuella","@selviaemanuella")</f>
        <v>@selviaemanuella</v>
      </c>
      <c r="C1645" s="8" t="s">
        <v>970</v>
      </c>
      <c r="D1645" s="8">
        <v>2</v>
      </c>
      <c r="E1645" s="8">
        <v>0</v>
      </c>
      <c r="F1645" s="8">
        <v>447</v>
      </c>
    </row>
    <row r="1646" spans="1:6" ht="12.75">
      <c r="A1646" s="8">
        <v>43904.567743055552</v>
      </c>
      <c r="B1646" s="8" t="str">
        <f>HYPERLINK("https://twitter.com/teguhfajarr96","@teguhfajarr96")</f>
        <v>@teguhfajarr96</v>
      </c>
      <c r="C1646" s="8" t="s">
        <v>162</v>
      </c>
      <c r="D1646" s="8">
        <v>109</v>
      </c>
      <c r="E1646" s="8">
        <v>0</v>
      </c>
      <c r="F1646" s="8">
        <v>2</v>
      </c>
    </row>
    <row r="1647" spans="1:6" ht="12.75">
      <c r="A1647" s="8">
        <v>43904.56753472222</v>
      </c>
      <c r="B1647" s="8" t="str">
        <f>HYPERLINK("https://twitter.com/MMargani5","@MMargani5")</f>
        <v>@MMargani5</v>
      </c>
      <c r="C1647" s="8" t="s">
        <v>971</v>
      </c>
      <c r="D1647" s="8">
        <v>5</v>
      </c>
      <c r="E1647" s="8">
        <v>0</v>
      </c>
      <c r="F1647" s="8">
        <v>5816</v>
      </c>
    </row>
    <row r="1648" spans="1:6" ht="12.75">
      <c r="A1648" s="8">
        <v>43904.565995370373</v>
      </c>
      <c r="B1648" s="8" t="str">
        <f>HYPERLINK("https://twitter.com/mora_baee","@mora_baee")</f>
        <v>@mora_baee</v>
      </c>
      <c r="C1648" s="8" t="s">
        <v>282</v>
      </c>
      <c r="D1648" s="8">
        <v>20</v>
      </c>
      <c r="E1648" s="8">
        <v>0</v>
      </c>
      <c r="F1648" s="8">
        <v>458</v>
      </c>
    </row>
    <row r="1649" spans="1:6" ht="12.75">
      <c r="A1649" s="8">
        <v>43904.565636574072</v>
      </c>
      <c r="B1649" s="8" t="str">
        <f>HYPERLINK("https://twitter.com/AndyJuliyanto22","@AndyJuliyanto22")</f>
        <v>@AndyJuliyanto22</v>
      </c>
      <c r="C1649" s="8" t="s">
        <v>391</v>
      </c>
      <c r="D1649" s="8">
        <v>23</v>
      </c>
      <c r="E1649" s="8">
        <v>0</v>
      </c>
      <c r="F1649" s="8">
        <v>2016</v>
      </c>
    </row>
    <row r="1650" spans="1:6" ht="12.75">
      <c r="A1650" s="8">
        <v>43904.56527777778</v>
      </c>
      <c r="B1650" s="8" t="str">
        <f>HYPERLINK("https://twitter.com/anastasiaera093","@anastasiaera093")</f>
        <v>@anastasiaera093</v>
      </c>
      <c r="C1650" s="8" t="s">
        <v>972</v>
      </c>
      <c r="D1650" s="8">
        <v>0</v>
      </c>
      <c r="E1650" s="8">
        <v>0</v>
      </c>
      <c r="F1650" s="8">
        <v>40</v>
      </c>
    </row>
    <row r="1651" spans="1:6" ht="12.75">
      <c r="A1651" s="8">
        <v>43904.565011574072</v>
      </c>
      <c r="B1651" s="8" t="str">
        <f>HYPERLINK("https://twitter.com/yudhapati88","@yudhapati88")</f>
        <v>@yudhapati88</v>
      </c>
      <c r="C1651" s="8" t="s">
        <v>973</v>
      </c>
      <c r="D1651" s="8">
        <v>1</v>
      </c>
      <c r="E1651" s="8">
        <v>0</v>
      </c>
      <c r="F1651" s="8">
        <v>3483</v>
      </c>
    </row>
    <row r="1652" spans="1:6" ht="12.75">
      <c r="A1652" s="8">
        <v>43904.564525462964</v>
      </c>
      <c r="B1652" s="8" t="str">
        <f>HYPERLINK("https://twitter.com/Gabbybentz31","@Gabbybentz31")</f>
        <v>@Gabbybentz31</v>
      </c>
      <c r="C1652" s="8" t="s">
        <v>974</v>
      </c>
      <c r="D1652" s="8">
        <v>3</v>
      </c>
      <c r="E1652" s="8">
        <v>0</v>
      </c>
      <c r="F1652" s="8">
        <v>1310</v>
      </c>
    </row>
    <row r="1653" spans="1:6" ht="12.75">
      <c r="A1653" s="8">
        <v>43904.564409722225</v>
      </c>
      <c r="B1653" s="8" t="str">
        <f>HYPERLINK("https://twitter.com/f_purwatmo","@f_purwatmo")</f>
        <v>@f_purwatmo</v>
      </c>
      <c r="C1653" s="8" t="s">
        <v>107</v>
      </c>
      <c r="D1653" s="8">
        <v>5</v>
      </c>
      <c r="E1653" s="8">
        <v>0</v>
      </c>
      <c r="F1653" s="8">
        <v>490</v>
      </c>
    </row>
    <row r="1654" spans="1:6" ht="12.75">
      <c r="A1654" s="8">
        <v>43904.564340277779</v>
      </c>
      <c r="B1654" s="8" t="str">
        <f>HYPERLINK("https://twitter.com/Faat_Ip","@Faat_Ip")</f>
        <v>@Faat_Ip</v>
      </c>
      <c r="C1654" s="8" t="s">
        <v>282</v>
      </c>
      <c r="D1654" s="8">
        <v>20</v>
      </c>
      <c r="E1654" s="8">
        <v>0</v>
      </c>
      <c r="F1654" s="8">
        <v>2134</v>
      </c>
    </row>
    <row r="1655" spans="1:6" ht="12.75">
      <c r="A1655" s="8">
        <v>43904.56386574074</v>
      </c>
      <c r="B1655" s="8" t="str">
        <f>HYPERLINK("https://twitter.com/henri0205","@henri0205")</f>
        <v>@henri0205</v>
      </c>
      <c r="C1655" s="8" t="s">
        <v>162</v>
      </c>
      <c r="D1655" s="8">
        <v>109</v>
      </c>
      <c r="E1655" s="8">
        <v>0</v>
      </c>
      <c r="F1655" s="8">
        <v>72</v>
      </c>
    </row>
    <row r="1656" spans="1:6" ht="12.75">
      <c r="A1656" s="8">
        <v>43904.563750000001</v>
      </c>
      <c r="B1656" s="8" t="str">
        <f>HYPERLINK("https://twitter.com/__MV_llestari__","@__MV_llestari__")</f>
        <v>@__MV_llestari__</v>
      </c>
      <c r="C1656" s="8" t="s">
        <v>975</v>
      </c>
      <c r="D1656" s="8">
        <v>0</v>
      </c>
      <c r="E1656" s="8">
        <v>6</v>
      </c>
      <c r="F1656" s="8">
        <v>10042</v>
      </c>
    </row>
    <row r="1657" spans="1:6" ht="12.75">
      <c r="A1657" s="8">
        <v>43904.563645833332</v>
      </c>
      <c r="B1657" s="8" t="str">
        <f>HYPERLINK("https://twitter.com/GagakNeww2","@GagakNeww2")</f>
        <v>@GagakNeww2</v>
      </c>
      <c r="C1657" s="8" t="s">
        <v>976</v>
      </c>
      <c r="D1657" s="8">
        <v>1</v>
      </c>
      <c r="E1657" s="8">
        <v>1</v>
      </c>
      <c r="F1657" s="8">
        <v>576</v>
      </c>
    </row>
    <row r="1658" spans="1:6" ht="12.75">
      <c r="A1658" s="8">
        <v>43904.563483796301</v>
      </c>
      <c r="B1658" s="8" t="str">
        <f>HYPERLINK("https://twitter.com/LieYurika","@LieYurika")</f>
        <v>@LieYurika</v>
      </c>
      <c r="C1658" s="8" t="s">
        <v>977</v>
      </c>
      <c r="D1658" s="8">
        <v>0</v>
      </c>
      <c r="E1658" s="8">
        <v>0</v>
      </c>
      <c r="F1658" s="8">
        <v>910</v>
      </c>
    </row>
    <row r="1659" spans="1:6" ht="12.75">
      <c r="A1659" s="8">
        <v>43904.562465277777</v>
      </c>
      <c r="B1659" s="8" t="str">
        <f>HYPERLINK("https://twitter.com/OpRadioBnpb","@OpRadioBnpb")</f>
        <v>@OpRadioBnpb</v>
      </c>
      <c r="C1659" s="8" t="s">
        <v>391</v>
      </c>
      <c r="D1659" s="8">
        <v>23</v>
      </c>
      <c r="E1659" s="8">
        <v>0</v>
      </c>
      <c r="F1659" s="8">
        <v>112</v>
      </c>
    </row>
    <row r="1660" spans="1:6" ht="12.75">
      <c r="A1660" s="8">
        <v>43904.562037037038</v>
      </c>
      <c r="B1660" s="8" t="str">
        <f>HYPERLINK("https://twitter.com/kidumule1","@kidumule1")</f>
        <v>@kidumule1</v>
      </c>
      <c r="C1660" s="8" t="s">
        <v>974</v>
      </c>
      <c r="D1660" s="8">
        <v>3</v>
      </c>
      <c r="E1660" s="8">
        <v>0</v>
      </c>
      <c r="F1660" s="8">
        <v>66</v>
      </c>
    </row>
    <row r="1661" spans="1:6" ht="12.75">
      <c r="A1661" s="8">
        <v>43904.561435185184</v>
      </c>
      <c r="B1661" s="8" t="str">
        <f>HYPERLINK("https://twitter.com/rserenf","@rserenf")</f>
        <v>@rserenf</v>
      </c>
      <c r="C1661" s="8" t="s">
        <v>203</v>
      </c>
      <c r="D1661" s="8">
        <v>38</v>
      </c>
      <c r="E1661" s="8">
        <v>0</v>
      </c>
      <c r="F1661" s="8">
        <v>10</v>
      </c>
    </row>
    <row r="1662" spans="1:6" ht="12.75">
      <c r="A1662" s="8">
        <v>43904.561192129629</v>
      </c>
      <c r="B1662" s="8" t="str">
        <f>HYPERLINK("https://twitter.com/kudajingkrak666","@kudajingkrak666")</f>
        <v>@kudajingkrak666</v>
      </c>
      <c r="C1662" s="8" t="s">
        <v>978</v>
      </c>
      <c r="D1662" s="8">
        <v>0</v>
      </c>
      <c r="E1662" s="8">
        <v>0</v>
      </c>
      <c r="F1662" s="8">
        <v>258</v>
      </c>
    </row>
    <row r="1663" spans="1:6" ht="12.75">
      <c r="A1663" s="8">
        <v>43904.560613425929</v>
      </c>
      <c r="B1663" s="8" t="str">
        <f>HYPERLINK("https://twitter.com/DsSupriyady","@DsSupriyady")</f>
        <v>@DsSupriyady</v>
      </c>
      <c r="C1663" s="8" t="s">
        <v>162</v>
      </c>
      <c r="D1663" s="8">
        <v>109</v>
      </c>
      <c r="E1663" s="8">
        <v>0</v>
      </c>
      <c r="F1663" s="8">
        <v>3815</v>
      </c>
    </row>
    <row r="1664" spans="1:6" ht="12.75">
      <c r="A1664" s="8">
        <v>43904.560439814813</v>
      </c>
      <c r="B1664" s="8" t="str">
        <f>HYPERLINK("https://twitter.com/Barna_byo","@Barna_byo")</f>
        <v>@Barna_byo</v>
      </c>
      <c r="C1664" s="8" t="s">
        <v>362</v>
      </c>
      <c r="D1664" s="8">
        <v>2</v>
      </c>
      <c r="E1664" s="8">
        <v>0</v>
      </c>
      <c r="F1664" s="8">
        <v>7870</v>
      </c>
    </row>
    <row r="1665" spans="1:6" ht="12.75">
      <c r="A1665" s="8">
        <v>43904.559988425928</v>
      </c>
      <c r="B1665" s="8" t="str">
        <f>HYPERLINK("https://twitter.com/rifqy_cing","@rifqy_cing")</f>
        <v>@rifqy_cing</v>
      </c>
      <c r="C1665" s="8" t="s">
        <v>203</v>
      </c>
      <c r="D1665" s="8">
        <v>38</v>
      </c>
      <c r="E1665" s="8">
        <v>0</v>
      </c>
      <c r="F1665" s="8">
        <v>342</v>
      </c>
    </row>
    <row r="1666" spans="1:6" ht="12.75">
      <c r="A1666" s="8">
        <v>43904.55978009259</v>
      </c>
      <c r="B1666" s="8" t="str">
        <f>HYPERLINK("https://twitter.com/Aryprasetyo85","@Aryprasetyo85")</f>
        <v>@Aryprasetyo85</v>
      </c>
      <c r="C1666" s="8" t="s">
        <v>979</v>
      </c>
      <c r="D1666" s="8">
        <v>2</v>
      </c>
      <c r="E1666" s="8">
        <v>6</v>
      </c>
      <c r="F1666" s="8">
        <v>41133</v>
      </c>
    </row>
    <row r="1667" spans="1:6" ht="12.75">
      <c r="A1667" s="8">
        <v>43904.559560185182</v>
      </c>
      <c r="B1667" s="8" t="str">
        <f>HYPERLINK("https://twitter.com/jurnalpatrolin1","@jurnalpatrolin1")</f>
        <v>@jurnalpatrolin1</v>
      </c>
      <c r="C1667" s="8" t="s">
        <v>980</v>
      </c>
      <c r="D1667" s="8">
        <v>0</v>
      </c>
      <c r="E1667" s="8">
        <v>0</v>
      </c>
      <c r="F1667" s="8">
        <v>58</v>
      </c>
    </row>
    <row r="1668" spans="1:6" ht="12.75">
      <c r="A1668" s="8">
        <v>43904.55945601852</v>
      </c>
      <c r="B1668" s="8" t="str">
        <f>HYPERLINK("https://twitter.com/NaAlia13","@NaAlia13")</f>
        <v>@NaAlia13</v>
      </c>
      <c r="C1668" s="8" t="s">
        <v>981</v>
      </c>
      <c r="D1668" s="8">
        <v>0</v>
      </c>
      <c r="E1668" s="8">
        <v>0</v>
      </c>
      <c r="F1668" s="8">
        <v>1312</v>
      </c>
    </row>
    <row r="1669" spans="1:6" ht="12.75">
      <c r="A1669" s="8">
        <v>43904.559062500004</v>
      </c>
      <c r="B1669" s="8" t="str">
        <f>HYPERLINK("https://twitter.com/KontanNews","@KontanNews")</f>
        <v>@KontanNews</v>
      </c>
      <c r="C1669" s="8" t="s">
        <v>982</v>
      </c>
      <c r="D1669" s="8">
        <v>0</v>
      </c>
      <c r="E1669" s="8">
        <v>1</v>
      </c>
      <c r="F1669" s="8">
        <v>318873</v>
      </c>
    </row>
    <row r="1670" spans="1:6" ht="12.75">
      <c r="A1670" s="8">
        <v>43904.556759259256</v>
      </c>
      <c r="B1670" s="8" t="str">
        <f>HYPERLINK("https://twitter.com/tszabita","@tszabita")</f>
        <v>@tszabita</v>
      </c>
      <c r="C1670" s="8" t="s">
        <v>983</v>
      </c>
      <c r="D1670" s="8">
        <v>16</v>
      </c>
      <c r="E1670" s="8">
        <v>0</v>
      </c>
      <c r="F1670" s="8">
        <v>2296</v>
      </c>
    </row>
    <row r="1671" spans="1:6" ht="12.75">
      <c r="A1671" s="8">
        <v>43904.556701388894</v>
      </c>
      <c r="B1671" s="8" t="str">
        <f>HYPERLINK("https://twitter.com/LiaPutr44029793","@LiaPutr44029793")</f>
        <v>@LiaPutr44029793</v>
      </c>
      <c r="C1671" s="8" t="s">
        <v>358</v>
      </c>
      <c r="D1671" s="8">
        <v>1</v>
      </c>
      <c r="E1671" s="8">
        <v>0</v>
      </c>
      <c r="F1671" s="8">
        <v>2342</v>
      </c>
    </row>
    <row r="1672" spans="1:6" ht="12.75">
      <c r="A1672" s="8">
        <v>43904.55605324074</v>
      </c>
      <c r="B1672" s="8" t="str">
        <f>HYPERLINK("https://twitter.com/deirputraid","@deirputraid")</f>
        <v>@deirputraid</v>
      </c>
      <c r="C1672" s="8" t="s">
        <v>203</v>
      </c>
      <c r="D1672" s="8">
        <v>38</v>
      </c>
      <c r="E1672" s="8">
        <v>0</v>
      </c>
      <c r="F1672" s="8">
        <v>6</v>
      </c>
    </row>
    <row r="1673" spans="1:6" ht="12.75">
      <c r="A1673" s="8">
        <v>43904.55604166667</v>
      </c>
      <c r="B1673" s="8" t="str">
        <f>HYPERLINK("https://twitter.com/AnakKolong___","@AnakKolong___")</f>
        <v>@AnakKolong___</v>
      </c>
      <c r="C1673" s="8" t="s">
        <v>984</v>
      </c>
      <c r="D1673" s="8">
        <v>1</v>
      </c>
      <c r="E1673" s="8">
        <v>0</v>
      </c>
      <c r="F1673" s="8">
        <v>8543</v>
      </c>
    </row>
    <row r="1674" spans="1:6" ht="12.75">
      <c r="A1674" s="8">
        <v>43904.555578703701</v>
      </c>
      <c r="B1674" s="8" t="str">
        <f>HYPERLINK("https://twitter.com/HendarwatiH","@HendarwatiH")</f>
        <v>@HendarwatiH</v>
      </c>
      <c r="C1674" s="8" t="s">
        <v>107</v>
      </c>
      <c r="D1674" s="8">
        <v>5</v>
      </c>
      <c r="E1674" s="8">
        <v>0</v>
      </c>
      <c r="F1674" s="8">
        <v>2237</v>
      </c>
    </row>
    <row r="1675" spans="1:6" ht="12.75">
      <c r="A1675" s="8">
        <v>43904.553715277776</v>
      </c>
      <c r="B1675" s="8" t="str">
        <f>HYPERLINK("https://twitter.com/ditjen_imigrasi","@ditjen_imigrasi")</f>
        <v>@ditjen_imigrasi</v>
      </c>
      <c r="C1675" s="8" t="s">
        <v>203</v>
      </c>
      <c r="D1675" s="8">
        <v>38</v>
      </c>
      <c r="E1675" s="8">
        <v>0</v>
      </c>
      <c r="F1675" s="8">
        <v>41082</v>
      </c>
    </row>
    <row r="1676" spans="1:6" ht="12.75">
      <c r="A1676" s="8">
        <v>43904.553518518514</v>
      </c>
      <c r="B1676" s="8" t="str">
        <f>HYPERLINK("https://twitter.com/MZubir_ID","@MZubir_ID")</f>
        <v>@MZubir_ID</v>
      </c>
      <c r="C1676" s="8" t="s">
        <v>985</v>
      </c>
      <c r="D1676" s="8">
        <v>0</v>
      </c>
      <c r="E1676" s="8">
        <v>1</v>
      </c>
      <c r="F1676" s="8">
        <v>5854</v>
      </c>
    </row>
    <row r="1677" spans="1:6" ht="12.75">
      <c r="A1677" s="8">
        <v>43904.553414351853</v>
      </c>
      <c r="B1677" s="8" t="str">
        <f>HYPERLINK("https://twitter.com/LieYurika","@LieYurika")</f>
        <v>@LieYurika</v>
      </c>
      <c r="C1677" s="8" t="s">
        <v>986</v>
      </c>
      <c r="D1677" s="8">
        <v>0</v>
      </c>
      <c r="E1677" s="8">
        <v>0</v>
      </c>
      <c r="F1677" s="8">
        <v>910</v>
      </c>
    </row>
    <row r="1678" spans="1:6" ht="12.75">
      <c r="A1678" s="8">
        <v>43904.553043981483</v>
      </c>
      <c r="B1678" s="8" t="str">
        <f>HYPERLINK("https://twitter.com/Aryprasetyo85","@Aryprasetyo85")</f>
        <v>@Aryprasetyo85</v>
      </c>
      <c r="C1678" s="8" t="s">
        <v>987</v>
      </c>
      <c r="D1678" s="8">
        <v>1</v>
      </c>
      <c r="E1678" s="8">
        <v>3</v>
      </c>
      <c r="F1678" s="8">
        <v>41133</v>
      </c>
    </row>
    <row r="1679" spans="1:6" ht="12.75">
      <c r="A1679" s="8">
        <v>43904.552928240737</v>
      </c>
      <c r="B1679" s="8" t="str">
        <f>HYPERLINK("https://twitter.com/SaatTobat","@SaatTobat")</f>
        <v>@SaatTobat</v>
      </c>
      <c r="C1679" s="8" t="s">
        <v>202</v>
      </c>
      <c r="D1679" s="8">
        <v>4</v>
      </c>
      <c r="E1679" s="8">
        <v>0</v>
      </c>
      <c r="F1679" s="8">
        <v>1679</v>
      </c>
    </row>
    <row r="1680" spans="1:6" ht="12.75">
      <c r="A1680" s="8">
        <v>43904.55168981482</v>
      </c>
      <c r="B1680" s="8" t="str">
        <f>HYPERLINK("https://twitter.com/masSugie_","@masSugie_")</f>
        <v>@masSugie_</v>
      </c>
      <c r="C1680" s="8" t="s">
        <v>162</v>
      </c>
      <c r="D1680" s="8">
        <v>109</v>
      </c>
      <c r="E1680" s="8">
        <v>0</v>
      </c>
      <c r="F1680" s="8">
        <v>1283</v>
      </c>
    </row>
    <row r="1681" spans="1:6" ht="12.75">
      <c r="A1681" s="8">
        <v>43904.551412037035</v>
      </c>
      <c r="B1681" s="8" t="str">
        <f>HYPERLINK("https://twitter.com/Harian_Jogja","@Harian_Jogja")</f>
        <v>@Harian_Jogja</v>
      </c>
      <c r="C1681" s="8" t="s">
        <v>988</v>
      </c>
      <c r="D1681" s="8">
        <v>0</v>
      </c>
      <c r="E1681" s="8">
        <v>0</v>
      </c>
      <c r="F1681" s="8">
        <v>156402</v>
      </c>
    </row>
    <row r="1682" spans="1:6" ht="12.75">
      <c r="A1682" s="8">
        <v>43904.551203703704</v>
      </c>
      <c r="B1682" s="8" t="str">
        <f>HYPERLINK("https://twitter.com/rovsetta","@rovsetta")</f>
        <v>@rovsetta</v>
      </c>
      <c r="C1682" s="8" t="s">
        <v>763</v>
      </c>
      <c r="D1682" s="8">
        <v>3</v>
      </c>
      <c r="E1682" s="8">
        <v>0</v>
      </c>
      <c r="F1682" s="8">
        <v>793</v>
      </c>
    </row>
    <row r="1683" spans="1:6" ht="12.75">
      <c r="A1683" s="8">
        <v>43904.551064814819</v>
      </c>
      <c r="B1683" s="8" t="str">
        <f>HYPERLINK("https://twitter.com/aguslydiarto","@aguslydiarto")</f>
        <v>@aguslydiarto</v>
      </c>
      <c r="C1683" s="8" t="s">
        <v>989</v>
      </c>
      <c r="D1683" s="8">
        <v>0</v>
      </c>
      <c r="E1683" s="8">
        <v>0</v>
      </c>
      <c r="F1683" s="8">
        <v>478</v>
      </c>
    </row>
    <row r="1684" spans="1:6" ht="12.75">
      <c r="A1684" s="8">
        <v>43904.55096064815</v>
      </c>
      <c r="B1684" s="8" t="str">
        <f t="shared" ref="B1684:B1685" si="24">HYPERLINK("https://twitter.com/LieYurika","@LieYurika")</f>
        <v>@LieYurika</v>
      </c>
      <c r="C1684" s="8" t="s">
        <v>990</v>
      </c>
      <c r="D1684" s="8">
        <v>0</v>
      </c>
      <c r="E1684" s="8">
        <v>1</v>
      </c>
      <c r="F1684" s="8">
        <v>910</v>
      </c>
    </row>
    <row r="1685" spans="1:6" ht="12.75">
      <c r="A1685" s="8">
        <v>43904.55064814815</v>
      </c>
      <c r="B1685" s="8" t="str">
        <f t="shared" si="24"/>
        <v>@LieYurika</v>
      </c>
      <c r="C1685" s="8" t="s">
        <v>991</v>
      </c>
      <c r="D1685" s="8">
        <v>0</v>
      </c>
      <c r="E1685" s="8">
        <v>0</v>
      </c>
      <c r="F1685" s="8">
        <v>910</v>
      </c>
    </row>
    <row r="1686" spans="1:6" ht="12.75">
      <c r="A1686" s="8">
        <v>43904.55059027778</v>
      </c>
      <c r="B1686" s="8" t="str">
        <f>HYPERLINK("https://twitter.com/pertamakedua378","@pertamakedua378")</f>
        <v>@pertamakedua378</v>
      </c>
      <c r="C1686" s="8" t="s">
        <v>992</v>
      </c>
      <c r="D1686" s="8">
        <v>0</v>
      </c>
      <c r="E1686" s="8">
        <v>1</v>
      </c>
      <c r="F1686" s="8">
        <v>12</v>
      </c>
    </row>
    <row r="1687" spans="1:6" ht="12.75">
      <c r="A1687" s="8">
        <v>43904.549791666665</v>
      </c>
      <c r="B1687" s="8" t="str">
        <f>HYPERLINK("https://twitter.com/drSodie","@drSodie")</f>
        <v>@drSodie</v>
      </c>
      <c r="C1687" s="8" t="s">
        <v>763</v>
      </c>
      <c r="D1687" s="8">
        <v>3</v>
      </c>
      <c r="E1687" s="8">
        <v>0</v>
      </c>
      <c r="F1687" s="8">
        <v>686</v>
      </c>
    </row>
    <row r="1688" spans="1:6" ht="12.75">
      <c r="A1688" s="8">
        <v>43904.549629629633</v>
      </c>
      <c r="B1688" s="8" t="str">
        <f>HYPERLINK("https://twitter.com/dwiewibawanto","@dwiewibawanto")</f>
        <v>@dwiewibawanto</v>
      </c>
      <c r="C1688" s="8" t="s">
        <v>162</v>
      </c>
      <c r="D1688" s="8">
        <v>109</v>
      </c>
      <c r="E1688" s="8">
        <v>0</v>
      </c>
      <c r="F1688" s="8">
        <v>342</v>
      </c>
    </row>
    <row r="1689" spans="1:6" ht="12.75">
      <c r="A1689" s="8">
        <v>43904.549224537041</v>
      </c>
      <c r="B1689" s="8" t="str">
        <f>HYPERLINK("https://twitter.com/AufsLulu","@AufsLulu")</f>
        <v>@AufsLulu</v>
      </c>
      <c r="C1689" s="8" t="s">
        <v>282</v>
      </c>
      <c r="D1689" s="8">
        <v>20</v>
      </c>
      <c r="E1689" s="8">
        <v>0</v>
      </c>
      <c r="F1689" s="8">
        <v>769</v>
      </c>
    </row>
    <row r="1690" spans="1:6" ht="12.75">
      <c r="A1690" s="8">
        <v>43904.549155092594</v>
      </c>
      <c r="B1690" s="8" t="str">
        <f>HYPERLINK("https://twitter.com/sevi_sevie","@sevi_sevie")</f>
        <v>@sevi_sevie</v>
      </c>
      <c r="C1690" s="8" t="s">
        <v>162</v>
      </c>
      <c r="D1690" s="8">
        <v>109</v>
      </c>
      <c r="E1690" s="8">
        <v>0</v>
      </c>
      <c r="F1690" s="8">
        <v>102</v>
      </c>
    </row>
    <row r="1691" spans="1:6" ht="12.75">
      <c r="A1691" s="8">
        <v>43904.548483796301</v>
      </c>
      <c r="B1691" s="8" t="str">
        <f>HYPERLINK("https://twitter.com/Ahmad557956410","@Ahmad557956410")</f>
        <v>@Ahmad557956410</v>
      </c>
      <c r="C1691" s="8" t="s">
        <v>582</v>
      </c>
      <c r="D1691" s="8">
        <v>33</v>
      </c>
      <c r="E1691" s="8">
        <v>0</v>
      </c>
      <c r="F1691" s="8">
        <v>93</v>
      </c>
    </row>
    <row r="1692" spans="1:6" ht="12.75">
      <c r="A1692" s="8">
        <v>43904.548009259262</v>
      </c>
      <c r="B1692" s="8" t="str">
        <f>HYPERLINK("https://twitter.com/ryolandafit","@ryolandafit")</f>
        <v>@ryolandafit</v>
      </c>
      <c r="C1692" s="8" t="s">
        <v>993</v>
      </c>
      <c r="D1692" s="8">
        <v>1</v>
      </c>
      <c r="E1692" s="8">
        <v>0</v>
      </c>
      <c r="F1692" s="8">
        <v>663</v>
      </c>
    </row>
    <row r="1693" spans="1:6" ht="12.75">
      <c r="A1693" s="8">
        <v>43904.547916666663</v>
      </c>
      <c r="B1693" s="8" t="str">
        <f>HYPERLINK("https://twitter.com/amdfzi2915","@amdfzi2915")</f>
        <v>@amdfzi2915</v>
      </c>
      <c r="C1693" s="8" t="s">
        <v>162</v>
      </c>
      <c r="D1693" s="8">
        <v>97</v>
      </c>
      <c r="E1693" s="8">
        <v>0</v>
      </c>
      <c r="F1693" s="8">
        <v>455</v>
      </c>
    </row>
    <row r="1694" spans="1:6" ht="12.75">
      <c r="A1694" s="8">
        <v>43904.547824074078</v>
      </c>
      <c r="B1694" s="8" t="str">
        <f>HYPERLINK("https://twitter.com/humaira979","@humaira979")</f>
        <v>@humaira979</v>
      </c>
      <c r="C1694" s="8" t="s">
        <v>162</v>
      </c>
      <c r="D1694" s="8">
        <v>97</v>
      </c>
      <c r="E1694" s="8">
        <v>0</v>
      </c>
      <c r="F1694" s="8">
        <v>10963</v>
      </c>
    </row>
    <row r="1695" spans="1:6" ht="12.75">
      <c r="A1695" s="8">
        <v>43904.547766203701</v>
      </c>
      <c r="B1695" s="8" t="str">
        <f>HYPERLINK("https://twitter.com/audizarachma","@audizarachma")</f>
        <v>@audizarachma</v>
      </c>
      <c r="C1695" s="8" t="s">
        <v>994</v>
      </c>
      <c r="D1695" s="8">
        <v>0</v>
      </c>
      <c r="E1695" s="8">
        <v>0</v>
      </c>
      <c r="F1695" s="8">
        <v>430</v>
      </c>
    </row>
    <row r="1696" spans="1:6" ht="12.75">
      <c r="A1696" s="8">
        <v>43904.547256944439</v>
      </c>
      <c r="B1696" s="8" t="str">
        <f>HYPERLINK("https://twitter.com/Riau1Official","@Riau1Official")</f>
        <v>@Riau1Official</v>
      </c>
      <c r="C1696" s="8" t="s">
        <v>995</v>
      </c>
      <c r="D1696" s="8">
        <v>0</v>
      </c>
      <c r="E1696" s="8">
        <v>0</v>
      </c>
      <c r="F1696" s="8">
        <v>92</v>
      </c>
    </row>
    <row r="1697" spans="1:6" ht="12.75">
      <c r="A1697" s="8">
        <v>43904.547164351854</v>
      </c>
      <c r="B1697" s="8" t="str">
        <f>HYPERLINK("https://twitter.com/BNPB_Indonesia","@BNPB_Indonesia")</f>
        <v>@BNPB_Indonesia</v>
      </c>
      <c r="C1697" s="8" t="s">
        <v>996</v>
      </c>
      <c r="D1697" s="8">
        <v>0</v>
      </c>
      <c r="E1697" s="8">
        <v>2</v>
      </c>
      <c r="F1697" s="8">
        <v>231688</v>
      </c>
    </row>
    <row r="1698" spans="1:6" ht="12.75">
      <c r="A1698" s="8">
        <v>43904.546678240746</v>
      </c>
      <c r="B1698" s="8" t="str">
        <f>HYPERLINK("https://twitter.com/_bobbyalfandi","@_bobbyalfandi")</f>
        <v>@_bobbyalfandi</v>
      </c>
      <c r="C1698" s="8" t="s">
        <v>162</v>
      </c>
      <c r="D1698" s="8">
        <v>97</v>
      </c>
      <c r="E1698" s="8">
        <v>0</v>
      </c>
      <c r="F1698" s="8">
        <v>724</v>
      </c>
    </row>
    <row r="1699" spans="1:6" ht="12.75">
      <c r="A1699" s="8">
        <v>43904.546354166669</v>
      </c>
      <c r="B1699" s="8" t="str">
        <f>HYPERLINK("https://twitter.com/adjieyusman","@adjieyusman")</f>
        <v>@adjieyusman</v>
      </c>
      <c r="C1699" s="8" t="s">
        <v>162</v>
      </c>
      <c r="D1699" s="8">
        <v>97</v>
      </c>
      <c r="E1699" s="8">
        <v>0</v>
      </c>
      <c r="F1699" s="8">
        <v>966</v>
      </c>
    </row>
    <row r="1700" spans="1:6" ht="12.75">
      <c r="A1700" s="8">
        <v>43904.546203703707</v>
      </c>
      <c r="B1700" s="8" t="str">
        <f>HYPERLINK("https://twitter.com/jakatuak16","@jakatuak16")</f>
        <v>@jakatuak16</v>
      </c>
      <c r="C1700" s="8" t="s">
        <v>997</v>
      </c>
      <c r="D1700" s="8">
        <v>0</v>
      </c>
      <c r="E1700" s="8">
        <v>0</v>
      </c>
      <c r="F1700" s="8">
        <v>17</v>
      </c>
    </row>
    <row r="1701" spans="1:6" ht="12.75">
      <c r="A1701" s="8">
        <v>43904.545960648145</v>
      </c>
      <c r="B1701" s="8" t="str">
        <f>HYPERLINK("https://twitter.com/NannyAlexendry","@NannyAlexendry")</f>
        <v>@NannyAlexendry</v>
      </c>
      <c r="C1701" s="8" t="s">
        <v>998</v>
      </c>
      <c r="D1701" s="8">
        <v>1</v>
      </c>
      <c r="E1701" s="8">
        <v>0</v>
      </c>
      <c r="F1701" s="8">
        <v>2954</v>
      </c>
    </row>
    <row r="1702" spans="1:6" ht="12.75">
      <c r="A1702" s="8">
        <v>43904.545902777776</v>
      </c>
      <c r="B1702" s="8" t="str">
        <f>HYPERLINK("https://twitter.com/kondekturbus_","@kondekturbus_")</f>
        <v>@kondekturbus_</v>
      </c>
      <c r="C1702" s="8" t="s">
        <v>391</v>
      </c>
      <c r="D1702" s="8">
        <v>19</v>
      </c>
      <c r="E1702" s="8">
        <v>0</v>
      </c>
      <c r="F1702" s="8">
        <v>14387</v>
      </c>
    </row>
    <row r="1703" spans="1:6" ht="12.75">
      <c r="A1703" s="8">
        <v>43904.545833333337</v>
      </c>
      <c r="B1703" s="8" t="str">
        <f>HYPERLINK("https://twitter.com/FatiinS_L","@FatiinS_L")</f>
        <v>@FatiinS_L</v>
      </c>
      <c r="C1703" s="8" t="s">
        <v>999</v>
      </c>
      <c r="D1703" s="8">
        <v>0</v>
      </c>
      <c r="E1703" s="8">
        <v>0</v>
      </c>
      <c r="F1703" s="8">
        <v>16418</v>
      </c>
    </row>
    <row r="1704" spans="1:6" ht="12.75">
      <c r="A1704" s="8">
        <v>43904.545416666668</v>
      </c>
      <c r="B1704" s="8" t="str">
        <f>HYPERLINK("https://twitter.com/ashmal_idrus","@ashmal_idrus")</f>
        <v>@ashmal_idrus</v>
      </c>
      <c r="C1704" s="8" t="s">
        <v>1000</v>
      </c>
      <c r="D1704" s="8">
        <v>0</v>
      </c>
      <c r="E1704" s="8">
        <v>0</v>
      </c>
      <c r="F1704" s="8">
        <v>704</v>
      </c>
    </row>
    <row r="1705" spans="1:6" ht="12.75">
      <c r="A1705" s="8">
        <v>43904.545231481483</v>
      </c>
      <c r="B1705" s="8" t="str">
        <f>HYPERLINK("https://twitter.com/tvOneNews","@tvOneNews")</f>
        <v>@tvOneNews</v>
      </c>
      <c r="C1705" s="8" t="s">
        <v>1001</v>
      </c>
      <c r="D1705" s="8">
        <v>1</v>
      </c>
      <c r="E1705" s="8">
        <v>3</v>
      </c>
      <c r="F1705" s="8">
        <v>8734812</v>
      </c>
    </row>
    <row r="1706" spans="1:6" ht="12.75">
      <c r="A1706" s="8">
        <v>43904.545034722221</v>
      </c>
      <c r="B1706" s="8" t="str">
        <f>HYPERLINK("https://twitter.com/TvUmoja","@TvUmoja")</f>
        <v>@TvUmoja</v>
      </c>
      <c r="C1706" s="8" t="s">
        <v>1002</v>
      </c>
      <c r="D1706" s="8">
        <v>0</v>
      </c>
      <c r="E1706" s="8">
        <v>0</v>
      </c>
      <c r="F1706" s="8">
        <v>363</v>
      </c>
    </row>
    <row r="1707" spans="1:6" ht="12.75">
      <c r="A1707" s="8">
        <v>43904.544652777782</v>
      </c>
      <c r="B1707" s="8" t="str">
        <f>HYPERLINK("https://twitter.com/Asbrilyan1","@Asbrilyan1")</f>
        <v>@Asbrilyan1</v>
      </c>
      <c r="C1707" s="8" t="s">
        <v>965</v>
      </c>
      <c r="D1707" s="8">
        <v>0</v>
      </c>
      <c r="E1707" s="8">
        <v>0</v>
      </c>
      <c r="F1707" s="8">
        <v>73</v>
      </c>
    </row>
    <row r="1708" spans="1:6" ht="12.75">
      <c r="A1708" s="8">
        <v>43904.544224537036</v>
      </c>
      <c r="B1708" s="8" t="str">
        <f>HYPERLINK("https://twitter.com/knindyyk","@knindyyk")</f>
        <v>@knindyyk</v>
      </c>
      <c r="C1708" s="8" t="s">
        <v>162</v>
      </c>
      <c r="D1708" s="8">
        <v>97</v>
      </c>
      <c r="E1708" s="8">
        <v>0</v>
      </c>
      <c r="F1708" s="8">
        <v>213</v>
      </c>
    </row>
    <row r="1709" spans="1:6" ht="12.75">
      <c r="A1709" s="8">
        <v>43904.54378472222</v>
      </c>
      <c r="B1709" s="8" t="str">
        <f t="shared" ref="B1709:B1711" si="25">HYPERLINK("https://twitter.com/infomitigasi","@infomitigasi")</f>
        <v>@infomitigasi</v>
      </c>
      <c r="C1709" s="8" t="s">
        <v>763</v>
      </c>
      <c r="D1709" s="8">
        <v>1</v>
      </c>
      <c r="E1709" s="8">
        <v>0</v>
      </c>
      <c r="F1709" s="8">
        <v>24192</v>
      </c>
    </row>
    <row r="1710" spans="1:6" ht="12.75">
      <c r="A1710" s="8">
        <v>43904.543680555551</v>
      </c>
      <c r="B1710" s="8" t="str">
        <f t="shared" si="25"/>
        <v>@infomitigasi</v>
      </c>
      <c r="C1710" s="8" t="s">
        <v>764</v>
      </c>
      <c r="D1710" s="8">
        <v>2</v>
      </c>
      <c r="E1710" s="8">
        <v>0</v>
      </c>
      <c r="F1710" s="8">
        <v>24192</v>
      </c>
    </row>
    <row r="1711" spans="1:6" ht="12.75">
      <c r="A1711" s="8">
        <v>43904.543333333335</v>
      </c>
      <c r="B1711" s="8" t="str">
        <f t="shared" si="25"/>
        <v>@infomitigasi</v>
      </c>
      <c r="C1711" s="8" t="s">
        <v>391</v>
      </c>
      <c r="D1711" s="8">
        <v>19</v>
      </c>
      <c r="E1711" s="8">
        <v>0</v>
      </c>
      <c r="F1711" s="8">
        <v>24192</v>
      </c>
    </row>
    <row r="1712" spans="1:6" ht="12.75">
      <c r="A1712" s="8">
        <v>43904.543321759258</v>
      </c>
      <c r="B1712" s="8" t="str">
        <f>HYPERLINK("https://twitter.com/githriif","@githriif")</f>
        <v>@githriif</v>
      </c>
      <c r="C1712" s="8" t="s">
        <v>162</v>
      </c>
      <c r="D1712" s="8">
        <v>97</v>
      </c>
      <c r="E1712" s="8">
        <v>0</v>
      </c>
      <c r="F1712" s="8">
        <v>12</v>
      </c>
    </row>
    <row r="1713" spans="1:6" ht="12.75">
      <c r="A1713" s="8">
        <v>43904.543263888889</v>
      </c>
      <c r="B1713" s="8" t="str">
        <f>HYPERLINK("https://twitter.com/thedextazlab","@thedextazlab")</f>
        <v>@thedextazlab</v>
      </c>
      <c r="C1713" s="8" t="s">
        <v>974</v>
      </c>
      <c r="D1713" s="8">
        <v>1</v>
      </c>
      <c r="E1713" s="8">
        <v>0</v>
      </c>
      <c r="F1713" s="8">
        <v>1731</v>
      </c>
    </row>
    <row r="1714" spans="1:6" ht="12.75">
      <c r="A1714" s="8">
        <v>43904.543206018519</v>
      </c>
      <c r="B1714" s="8" t="str">
        <f>HYPERLINK("https://twitter.com/Pinokio26798831","@Pinokio26798831")</f>
        <v>@Pinokio26798831</v>
      </c>
      <c r="C1714" s="8" t="s">
        <v>1003</v>
      </c>
      <c r="D1714" s="8">
        <v>0</v>
      </c>
      <c r="E1714" s="8">
        <v>0</v>
      </c>
      <c r="F1714" s="8">
        <v>171</v>
      </c>
    </row>
    <row r="1715" spans="1:6" ht="12.75">
      <c r="A1715" s="8">
        <v>43904.543020833335</v>
      </c>
      <c r="B1715" s="8" t="str">
        <f>HYPERLINK("https://twitter.com/BNPB_Indonesia","@BNPB_Indonesia")</f>
        <v>@BNPB_Indonesia</v>
      </c>
      <c r="C1715" s="8" t="s">
        <v>1004</v>
      </c>
      <c r="D1715" s="8">
        <v>1</v>
      </c>
      <c r="E1715" s="8">
        <v>4</v>
      </c>
      <c r="F1715" s="8">
        <v>231688</v>
      </c>
    </row>
    <row r="1716" spans="1:6" ht="12.75">
      <c r="A1716" s="8">
        <v>43904.542928240742</v>
      </c>
      <c r="B1716" s="8" t="str">
        <f>HYPERLINK("https://twitter.com/yusup_gallagher","@yusup_gallagher")</f>
        <v>@yusup_gallagher</v>
      </c>
      <c r="C1716" s="8" t="s">
        <v>162</v>
      </c>
      <c r="D1716" s="8">
        <v>97</v>
      </c>
      <c r="E1716" s="8">
        <v>0</v>
      </c>
      <c r="F1716" s="8">
        <v>347</v>
      </c>
    </row>
    <row r="1717" spans="1:6" ht="12.75">
      <c r="A1717" s="8">
        <v>43904.542858796296</v>
      </c>
      <c r="B1717" s="8" t="str">
        <f>HYPERLINK("https://twitter.com/JamiiForums","@JamiiForums")</f>
        <v>@JamiiForums</v>
      </c>
      <c r="C1717" s="8" t="s">
        <v>1005</v>
      </c>
      <c r="D1717" s="8">
        <v>1</v>
      </c>
      <c r="E1717" s="8">
        <v>13</v>
      </c>
      <c r="F1717" s="8">
        <v>798034</v>
      </c>
    </row>
    <row r="1718" spans="1:6" ht="12.75">
      <c r="A1718" s="8">
        <v>43904.54210648148</v>
      </c>
      <c r="B1718" s="8" t="str">
        <f>HYPERLINK("https://twitter.com/giSECHS","@giSECHS")</f>
        <v>@giSECHS</v>
      </c>
      <c r="C1718" s="8" t="s">
        <v>1006</v>
      </c>
      <c r="D1718" s="8">
        <v>0</v>
      </c>
      <c r="E1718" s="8">
        <v>0</v>
      </c>
      <c r="F1718" s="8">
        <v>16</v>
      </c>
    </row>
    <row r="1719" spans="1:6" ht="12.75">
      <c r="A1719" s="8">
        <v>43904.542083333334</v>
      </c>
      <c r="B1719" s="8" t="str">
        <f>HYPERLINK("https://twitter.com/YoyokSubandriy3","@YoyokSubandriy3")</f>
        <v>@YoyokSubandriy3</v>
      </c>
      <c r="C1719" s="8" t="s">
        <v>1007</v>
      </c>
      <c r="D1719" s="8">
        <v>2</v>
      </c>
      <c r="E1719" s="8">
        <v>0</v>
      </c>
      <c r="F1719" s="8">
        <v>1337</v>
      </c>
    </row>
    <row r="1720" spans="1:6" ht="12.75">
      <c r="A1720" s="8">
        <v>43904.541261574079</v>
      </c>
      <c r="B1720" s="8" t="str">
        <f>HYPERLINK("https://twitter.com/PoojaSi56124428","@PoojaSi56124428")</f>
        <v>@PoojaSi56124428</v>
      </c>
      <c r="C1720" s="8" t="s">
        <v>1008</v>
      </c>
      <c r="D1720" s="8">
        <v>0</v>
      </c>
      <c r="E1720" s="8">
        <v>1</v>
      </c>
      <c r="F1720" s="8">
        <v>1</v>
      </c>
    </row>
    <row r="1721" spans="1:6" ht="12.75">
      <c r="A1721" s="8">
        <v>43904.541238425925</v>
      </c>
      <c r="B1721" s="8" t="str">
        <f>HYPERLINK("https://twitter.com/zikryfrdhanaf","@zikryfrdhanaf")</f>
        <v>@zikryfrdhanaf</v>
      </c>
      <c r="C1721" s="8" t="s">
        <v>63</v>
      </c>
      <c r="D1721" s="8">
        <v>40</v>
      </c>
      <c r="E1721" s="8">
        <v>0</v>
      </c>
      <c r="F1721" s="8">
        <v>192</v>
      </c>
    </row>
    <row r="1722" spans="1:6" ht="12.75">
      <c r="A1722" s="8">
        <v>43904.541122685187</v>
      </c>
      <c r="B1722" s="8" t="str">
        <f>HYPERLINK("https://twitter.com/ISIS_Balik_NO","@ISIS_Balik_NO")</f>
        <v>@ISIS_Balik_NO</v>
      </c>
      <c r="C1722" s="8" t="s">
        <v>1009</v>
      </c>
      <c r="D1722" s="8">
        <v>0</v>
      </c>
      <c r="E1722" s="8">
        <v>0</v>
      </c>
      <c r="F1722" s="8">
        <v>6278</v>
      </c>
    </row>
    <row r="1723" spans="1:6" ht="12.75">
      <c r="A1723" s="8">
        <v>43904.540949074071</v>
      </c>
      <c r="B1723" s="8" t="str">
        <f>HYPERLINK("https://twitter.com/Berita7dotid","@Berita7dotid")</f>
        <v>@Berita7dotid</v>
      </c>
      <c r="C1723" s="8" t="s">
        <v>707</v>
      </c>
      <c r="D1723" s="8">
        <v>0</v>
      </c>
      <c r="E1723" s="8">
        <v>0</v>
      </c>
      <c r="F1723" s="8">
        <v>2577</v>
      </c>
    </row>
    <row r="1724" spans="1:6" ht="12.75">
      <c r="A1724" s="8">
        <v>43904.540833333333</v>
      </c>
      <c r="B1724" s="8" t="str">
        <f>HYPERLINK("https://twitter.com/nikyandrian","@nikyandrian")</f>
        <v>@nikyandrian</v>
      </c>
      <c r="C1724" s="8" t="s">
        <v>391</v>
      </c>
      <c r="D1724" s="8">
        <v>19</v>
      </c>
      <c r="E1724" s="8">
        <v>0</v>
      </c>
      <c r="F1724" s="8">
        <v>520</v>
      </c>
    </row>
    <row r="1725" spans="1:6" ht="12.75">
      <c r="A1725" s="8">
        <v>43904.540532407409</v>
      </c>
      <c r="B1725" s="8" t="str">
        <f t="shared" ref="B1725:B1727" si="26">HYPERLINK("https://twitter.com/ISIS_Balik_NO","@ISIS_Balik_NO")</f>
        <v>@ISIS_Balik_NO</v>
      </c>
      <c r="C1725" s="8" t="s">
        <v>1010</v>
      </c>
      <c r="D1725" s="8">
        <v>0</v>
      </c>
      <c r="E1725" s="8">
        <v>0</v>
      </c>
      <c r="F1725" s="8">
        <v>6278</v>
      </c>
    </row>
    <row r="1726" spans="1:6" ht="12.75">
      <c r="A1726" s="8">
        <v>43904.539467592593</v>
      </c>
      <c r="B1726" s="8" t="str">
        <f t="shared" si="26"/>
        <v>@ISIS_Balik_NO</v>
      </c>
      <c r="C1726" s="8" t="s">
        <v>1011</v>
      </c>
      <c r="D1726" s="8">
        <v>39</v>
      </c>
      <c r="E1726" s="8">
        <v>0</v>
      </c>
      <c r="F1726" s="8">
        <v>6278</v>
      </c>
    </row>
    <row r="1727" spans="1:6" ht="12.75">
      <c r="A1727" s="8">
        <v>43904.539375</v>
      </c>
      <c r="B1727" s="8" t="str">
        <f t="shared" si="26"/>
        <v>@ISIS_Balik_NO</v>
      </c>
      <c r="C1727" s="8" t="s">
        <v>1012</v>
      </c>
      <c r="D1727" s="8">
        <v>61</v>
      </c>
      <c r="E1727" s="8">
        <v>0</v>
      </c>
      <c r="F1727" s="8">
        <v>6278</v>
      </c>
    </row>
    <row r="1728" spans="1:6" ht="12.75">
      <c r="A1728" s="8">
        <v>43904.539282407408</v>
      </c>
      <c r="B1728" s="8" t="str">
        <f>HYPERLINK("https://twitter.com/JLukup","@JLukup")</f>
        <v>@JLukup</v>
      </c>
      <c r="C1728" s="8" t="s">
        <v>1013</v>
      </c>
      <c r="D1728" s="8">
        <v>0</v>
      </c>
      <c r="E1728" s="8">
        <v>0</v>
      </c>
      <c r="F1728" s="8">
        <v>70</v>
      </c>
    </row>
    <row r="1729" spans="1:6" ht="12.75">
      <c r="A1729" s="8">
        <v>43904.539270833338</v>
      </c>
      <c r="B1729" s="8" t="str">
        <f>HYPERLINK("https://twitter.com/ISIS_Balik_NO","@ISIS_Balik_NO")</f>
        <v>@ISIS_Balik_NO</v>
      </c>
      <c r="C1729" s="8" t="s">
        <v>1014</v>
      </c>
      <c r="D1729" s="8">
        <v>0</v>
      </c>
      <c r="E1729" s="8">
        <v>1</v>
      </c>
      <c r="F1729" s="8">
        <v>6278</v>
      </c>
    </row>
    <row r="1730" spans="1:6" ht="12.75">
      <c r="A1730" s="8">
        <v>43904.53907407407</v>
      </c>
      <c r="B1730" s="8" t="str">
        <f>HYPERLINK("https://twitter.com/Versi_Ku","@Versi_Ku")</f>
        <v>@Versi_Ku</v>
      </c>
      <c r="C1730" s="8" t="s">
        <v>1015</v>
      </c>
      <c r="D1730" s="8">
        <v>0</v>
      </c>
      <c r="E1730" s="8">
        <v>0</v>
      </c>
      <c r="F1730" s="8">
        <v>1198</v>
      </c>
    </row>
    <row r="1731" spans="1:6" ht="12.75">
      <c r="A1731" s="8">
        <v>43904.538993055554</v>
      </c>
      <c r="B1731" s="8" t="str">
        <f>HYPERLINK("https://twitter.com/fajarrohmadi1","@fajarrohmadi1")</f>
        <v>@fajarrohmadi1</v>
      </c>
      <c r="C1731" s="8" t="s">
        <v>1016</v>
      </c>
      <c r="D1731" s="8">
        <v>0</v>
      </c>
      <c r="E1731" s="8">
        <v>0</v>
      </c>
      <c r="F1731" s="8">
        <v>9</v>
      </c>
    </row>
    <row r="1732" spans="1:6" ht="12.75">
      <c r="A1732" s="8">
        <v>43904.53806712963</v>
      </c>
      <c r="B1732" s="8" t="str">
        <f>HYPERLINK("https://twitter.com/ISIS_Balik_NO","@ISIS_Balik_NO")</f>
        <v>@ISIS_Balik_NO</v>
      </c>
      <c r="C1732" s="8" t="s">
        <v>1017</v>
      </c>
      <c r="D1732" s="8">
        <v>0</v>
      </c>
      <c r="E1732" s="8">
        <v>0</v>
      </c>
      <c r="F1732" s="8">
        <v>6278</v>
      </c>
    </row>
    <row r="1733" spans="1:6" ht="12.75">
      <c r="A1733" s="8">
        <v>43904.537581018521</v>
      </c>
      <c r="B1733" s="8" t="str">
        <f>HYPERLINK("https://twitter.com/miaemilymia","@miaemilymia")</f>
        <v>@miaemilymia</v>
      </c>
      <c r="C1733" s="8" t="s">
        <v>162</v>
      </c>
      <c r="D1733" s="8">
        <v>97</v>
      </c>
      <c r="E1733" s="8">
        <v>0</v>
      </c>
      <c r="F1733" s="8">
        <v>7299</v>
      </c>
    </row>
    <row r="1734" spans="1:6" ht="12.75">
      <c r="A1734" s="8">
        <v>43904.537546296298</v>
      </c>
      <c r="B1734" s="8" t="str">
        <f>HYPERLINK("https://twitter.com/ISIS_Balik_NO","@ISIS_Balik_NO")</f>
        <v>@ISIS_Balik_NO</v>
      </c>
      <c r="C1734" s="8" t="s">
        <v>1018</v>
      </c>
      <c r="D1734" s="8">
        <v>514</v>
      </c>
      <c r="E1734" s="8">
        <v>0</v>
      </c>
      <c r="F1734" s="8">
        <v>6278</v>
      </c>
    </row>
    <row r="1735" spans="1:6" ht="12.75">
      <c r="A1735" s="8">
        <v>43904.537465277783</v>
      </c>
      <c r="B1735" s="8" t="str">
        <f>HYPERLINK("https://twitter.com/giSECHS","@giSECHS")</f>
        <v>@giSECHS</v>
      </c>
      <c r="C1735" s="8" t="s">
        <v>1019</v>
      </c>
      <c r="D1735" s="8">
        <v>0</v>
      </c>
      <c r="E1735" s="8">
        <v>0</v>
      </c>
      <c r="F1735" s="8">
        <v>16</v>
      </c>
    </row>
    <row r="1736" spans="1:6" ht="12.75">
      <c r="A1736" s="8">
        <v>43904.536990740744</v>
      </c>
      <c r="B1736" s="8" t="str">
        <f>HYPERLINK("https://twitter.com/mahfud_syaroni","@mahfud_syaroni")</f>
        <v>@mahfud_syaroni</v>
      </c>
      <c r="C1736" s="8" t="s">
        <v>162</v>
      </c>
      <c r="D1736" s="8">
        <v>97</v>
      </c>
      <c r="E1736" s="8">
        <v>0</v>
      </c>
      <c r="F1736" s="8">
        <v>134</v>
      </c>
    </row>
    <row r="1737" spans="1:6" ht="12.75">
      <c r="A1737" s="8">
        <v>43904.536817129629</v>
      </c>
      <c r="B1737" s="8" t="str">
        <f>HYPERLINK("https://twitter.com/omboy78092452","@omboy78092452")</f>
        <v>@omboy78092452</v>
      </c>
      <c r="C1737" s="8" t="s">
        <v>764</v>
      </c>
      <c r="D1737" s="8">
        <v>2</v>
      </c>
      <c r="E1737" s="8">
        <v>0</v>
      </c>
      <c r="F1737" s="8">
        <v>12</v>
      </c>
    </row>
    <row r="1738" spans="1:6" ht="12.75">
      <c r="A1738" s="8">
        <v>43904.536782407406</v>
      </c>
      <c r="B1738" s="8" t="str">
        <f>HYPERLINK("https://twitter.com/RicoPreivet","@RicoPreivet")</f>
        <v>@RicoPreivet</v>
      </c>
      <c r="C1738" s="8" t="s">
        <v>391</v>
      </c>
      <c r="D1738" s="8">
        <v>19</v>
      </c>
      <c r="E1738" s="8">
        <v>0</v>
      </c>
      <c r="F1738" s="8">
        <v>14364</v>
      </c>
    </row>
    <row r="1739" spans="1:6" ht="12.75">
      <c r="A1739" s="8">
        <v>43904.536689814813</v>
      </c>
      <c r="B1739" s="8" t="str">
        <f>HYPERLINK("https://twitter.com/monitorindo","@monitorindo")</f>
        <v>@monitorindo</v>
      </c>
      <c r="C1739" s="8" t="s">
        <v>1020</v>
      </c>
      <c r="D1739" s="8">
        <v>0</v>
      </c>
      <c r="E1739" s="8">
        <v>0</v>
      </c>
      <c r="F1739" s="8">
        <v>4077</v>
      </c>
    </row>
    <row r="1740" spans="1:6" ht="12.75">
      <c r="A1740" s="8">
        <v>43904.536666666667</v>
      </c>
      <c r="B1740" s="8" t="str">
        <f>HYPERLINK("https://twitter.com/ndCapio","@ndCapio")</f>
        <v>@ndCapio</v>
      </c>
      <c r="C1740" s="8" t="s">
        <v>391</v>
      </c>
      <c r="D1740" s="8">
        <v>19</v>
      </c>
      <c r="E1740" s="8">
        <v>0</v>
      </c>
      <c r="F1740" s="8">
        <v>654</v>
      </c>
    </row>
    <row r="1741" spans="1:6" ht="12.75">
      <c r="A1741" s="8">
        <v>43904.536666666667</v>
      </c>
      <c r="B1741" s="8" t="str">
        <f>HYPERLINK("https://twitter.com/tarmeasy","@tarmeasy")</f>
        <v>@tarmeasy</v>
      </c>
      <c r="C1741" s="8" t="s">
        <v>1021</v>
      </c>
      <c r="D1741" s="8">
        <v>0</v>
      </c>
      <c r="E1741" s="8">
        <v>0</v>
      </c>
      <c r="F1741" s="8">
        <v>229</v>
      </c>
    </row>
    <row r="1742" spans="1:6" ht="12.75">
      <c r="A1742" s="8">
        <v>43904.536620370374</v>
      </c>
      <c r="B1742" s="8" t="str">
        <f>HYPERLINK("https://twitter.com/hui_windy","@hui_windy")</f>
        <v>@hui_windy</v>
      </c>
      <c r="C1742" s="8" t="s">
        <v>1022</v>
      </c>
      <c r="D1742" s="8">
        <v>1</v>
      </c>
      <c r="E1742" s="8">
        <v>0</v>
      </c>
      <c r="F1742" s="8">
        <v>25</v>
      </c>
    </row>
    <row r="1743" spans="1:6" ht="12.75">
      <c r="A1743" s="8">
        <v>43904.536539351851</v>
      </c>
      <c r="B1743" s="8" t="str">
        <f>HYPERLINK("https://twitter.com/NannyAlexendry","@NannyAlexendry")</f>
        <v>@NannyAlexendry</v>
      </c>
      <c r="C1743" s="8" t="s">
        <v>272</v>
      </c>
      <c r="D1743" s="8">
        <v>13</v>
      </c>
      <c r="E1743" s="8">
        <v>0</v>
      </c>
      <c r="F1743" s="8">
        <v>2954</v>
      </c>
    </row>
    <row r="1744" spans="1:6" ht="12.75">
      <c r="A1744" s="8">
        <v>43904.536319444444</v>
      </c>
      <c r="B1744" s="8" t="str">
        <f>HYPERLINK("https://twitter.com/omboy78092452","@omboy78092452")</f>
        <v>@omboy78092452</v>
      </c>
      <c r="C1744" s="8" t="s">
        <v>391</v>
      </c>
      <c r="D1744" s="8">
        <v>19</v>
      </c>
      <c r="E1744" s="8">
        <v>0</v>
      </c>
      <c r="F1744" s="8">
        <v>12</v>
      </c>
    </row>
    <row r="1745" spans="1:6" ht="12.75">
      <c r="A1745" s="8">
        <v>43904.536238425921</v>
      </c>
      <c r="B1745" s="8" t="str">
        <f>HYPERLINK("https://twitter.com/Jonior501","@Jonior501")</f>
        <v>@Jonior501</v>
      </c>
      <c r="C1745" s="8" t="s">
        <v>107</v>
      </c>
      <c r="D1745" s="8">
        <v>1</v>
      </c>
      <c r="E1745" s="8">
        <v>0</v>
      </c>
      <c r="F1745" s="8">
        <v>113</v>
      </c>
    </row>
    <row r="1746" spans="1:6" ht="12.75">
      <c r="A1746" s="8">
        <v>43904.536192129628</v>
      </c>
      <c r="B1746" s="8" t="str">
        <f>HYPERLINK("https://twitter.com/DesiArfisi","@DesiArfisi")</f>
        <v>@DesiArfisi</v>
      </c>
      <c r="C1746" s="8" t="s">
        <v>282</v>
      </c>
      <c r="D1746" s="8">
        <v>16</v>
      </c>
      <c r="E1746" s="8">
        <v>0</v>
      </c>
      <c r="F1746" s="8">
        <v>2233</v>
      </c>
    </row>
    <row r="1747" spans="1:6" ht="12.75">
      <c r="A1747" s="8">
        <v>43904.535821759258</v>
      </c>
      <c r="B1747" s="8" t="str">
        <f>HYPERLINK("https://twitter.com/aryaratri","@aryaratri")</f>
        <v>@aryaratri</v>
      </c>
      <c r="C1747" s="8" t="s">
        <v>162</v>
      </c>
      <c r="D1747" s="8">
        <v>97</v>
      </c>
      <c r="E1747" s="8">
        <v>0</v>
      </c>
      <c r="F1747" s="8">
        <v>146</v>
      </c>
    </row>
    <row r="1748" spans="1:6" ht="12.75">
      <c r="A1748" s="8">
        <v>43904.535717592589</v>
      </c>
      <c r="B1748" s="8" t="str">
        <f>HYPERLINK("https://twitter.com/BNPB_Indonesia","@BNPB_Indonesia")</f>
        <v>@BNPB_Indonesia</v>
      </c>
      <c r="C1748" s="8" t="s">
        <v>1023</v>
      </c>
      <c r="D1748" s="8">
        <v>2</v>
      </c>
      <c r="E1748" s="8">
        <v>5</v>
      </c>
      <c r="F1748" s="8">
        <v>231688</v>
      </c>
    </row>
    <row r="1749" spans="1:6" ht="12.75">
      <c r="A1749" s="8">
        <v>43904.535358796296</v>
      </c>
      <c r="B1749" s="8" t="str">
        <f>HYPERLINK("https://twitter.com/ranijkl","@ranijkl")</f>
        <v>@ranijkl</v>
      </c>
      <c r="C1749" s="8" t="s">
        <v>63</v>
      </c>
      <c r="D1749" s="8">
        <v>40</v>
      </c>
      <c r="E1749" s="8">
        <v>0</v>
      </c>
      <c r="F1749" s="8">
        <v>530</v>
      </c>
    </row>
    <row r="1750" spans="1:6" ht="12.75">
      <c r="A1750" s="8">
        <v>43904.534745370373</v>
      </c>
      <c r="B1750" s="8" t="str">
        <f>HYPERLINK("https://twitter.com/NannyAlexendry","@NannyAlexendry")</f>
        <v>@NannyAlexendry</v>
      </c>
      <c r="C1750" s="8" t="s">
        <v>202</v>
      </c>
      <c r="D1750" s="8">
        <v>3</v>
      </c>
      <c r="E1750" s="8">
        <v>0</v>
      </c>
      <c r="F1750" s="8">
        <v>2954</v>
      </c>
    </row>
    <row r="1751" spans="1:6" ht="12.75">
      <c r="A1751" s="8">
        <v>43904.534594907411</v>
      </c>
      <c r="B1751" s="8" t="str">
        <f>HYPERLINK("https://twitter.com/times_idn","@times_idn")</f>
        <v>@times_idn</v>
      </c>
      <c r="C1751" s="8" t="s">
        <v>1024</v>
      </c>
      <c r="D1751" s="8">
        <v>0</v>
      </c>
      <c r="E1751" s="8">
        <v>0</v>
      </c>
      <c r="F1751" s="8">
        <v>801</v>
      </c>
    </row>
    <row r="1752" spans="1:6" ht="12.75">
      <c r="A1752" s="8">
        <v>43904.534351851849</v>
      </c>
      <c r="B1752" s="8" t="str">
        <f>HYPERLINK("https://twitter.com/HafizhFarouq","@HafizhFarouq")</f>
        <v>@HafizhFarouq</v>
      </c>
      <c r="C1752" s="8" t="s">
        <v>983</v>
      </c>
      <c r="D1752" s="8">
        <v>14</v>
      </c>
      <c r="E1752" s="8">
        <v>0</v>
      </c>
      <c r="F1752" s="8">
        <v>282</v>
      </c>
    </row>
    <row r="1753" spans="1:6" ht="12.75">
      <c r="A1753" s="8">
        <v>43904.533935185187</v>
      </c>
      <c r="B1753" s="8" t="str">
        <f>HYPERLINK("https://twitter.com/ISIS_Balik_NO","@ISIS_Balik_NO")</f>
        <v>@ISIS_Balik_NO</v>
      </c>
      <c r="C1753" s="8" t="s">
        <v>1025</v>
      </c>
      <c r="D1753" s="8">
        <v>0</v>
      </c>
      <c r="E1753" s="8">
        <v>0</v>
      </c>
      <c r="F1753" s="8">
        <v>6278</v>
      </c>
    </row>
    <row r="1754" spans="1:6" ht="12.75">
      <c r="A1754" s="8">
        <v>43904.533888888887</v>
      </c>
      <c r="B1754" s="8" t="str">
        <f>HYPERLINK("https://twitter.com/zulsalampessy","@zulsalampessy")</f>
        <v>@zulsalampessy</v>
      </c>
      <c r="C1754" s="8" t="s">
        <v>1026</v>
      </c>
      <c r="D1754" s="8">
        <v>0</v>
      </c>
      <c r="E1754" s="8">
        <v>0</v>
      </c>
      <c r="F1754" s="8">
        <v>216</v>
      </c>
    </row>
    <row r="1755" spans="1:6" ht="12.75">
      <c r="A1755" s="8">
        <v>43904.533842592587</v>
      </c>
      <c r="B1755" s="8" t="str">
        <f>HYPERLINK("https://twitter.com/lutfiapia","@lutfiapia")</f>
        <v>@lutfiapia</v>
      </c>
      <c r="C1755" s="8" t="s">
        <v>1027</v>
      </c>
      <c r="D1755" s="8">
        <v>0</v>
      </c>
      <c r="E1755" s="8">
        <v>0</v>
      </c>
      <c r="F1755" s="8">
        <v>220</v>
      </c>
    </row>
    <row r="1756" spans="1:6" ht="12.75">
      <c r="A1756" s="8">
        <v>43904.533831018518</v>
      </c>
      <c r="B1756" s="8" t="str">
        <f>HYPERLINK("https://twitter.com/fikrydamar","@fikrydamar")</f>
        <v>@fikrydamar</v>
      </c>
      <c r="C1756" s="8" t="s">
        <v>162</v>
      </c>
      <c r="D1756" s="8">
        <v>97</v>
      </c>
      <c r="E1756" s="8">
        <v>0</v>
      </c>
      <c r="F1756" s="8">
        <v>336</v>
      </c>
    </row>
    <row r="1757" spans="1:6" ht="12.75">
      <c r="A1757" s="8">
        <v>43904.532581018517</v>
      </c>
      <c r="B1757" s="8" t="str">
        <f>HYPERLINK("https://twitter.com/onlyaidee","@onlyaidee")</f>
        <v>@onlyaidee</v>
      </c>
      <c r="C1757" s="8" t="s">
        <v>282</v>
      </c>
      <c r="D1757" s="8">
        <v>16</v>
      </c>
      <c r="E1757" s="8">
        <v>0</v>
      </c>
      <c r="F1757" s="8">
        <v>818</v>
      </c>
    </row>
    <row r="1758" spans="1:6" ht="12.75">
      <c r="A1758" s="8">
        <v>43904.532465277778</v>
      </c>
      <c r="B1758" s="8" t="str">
        <f>HYPERLINK("https://twitter.com/randyrama","@randyrama")</f>
        <v>@randyrama</v>
      </c>
      <c r="C1758" s="8" t="s">
        <v>162</v>
      </c>
      <c r="D1758" s="8">
        <v>97</v>
      </c>
      <c r="E1758" s="8">
        <v>0</v>
      </c>
      <c r="F1758" s="8">
        <v>250</v>
      </c>
    </row>
    <row r="1759" spans="1:6" ht="12.75">
      <c r="A1759" s="8">
        <v>43904.532071759255</v>
      </c>
      <c r="B1759" s="8" t="str">
        <f>HYPERLINK("https://twitter.com/ristykh","@ristykh")</f>
        <v>@ristykh</v>
      </c>
      <c r="C1759" s="8" t="s">
        <v>162</v>
      </c>
      <c r="D1759" s="8">
        <v>97</v>
      </c>
      <c r="E1759" s="8">
        <v>0</v>
      </c>
      <c r="F1759" s="8">
        <v>454</v>
      </c>
    </row>
    <row r="1760" spans="1:6" ht="12.75">
      <c r="A1760" s="8">
        <v>43904.531990740739</v>
      </c>
      <c r="B1760" s="8" t="str">
        <f>HYPERLINK("https://twitter.com/Irw4nsy4h745542","@Irw4nsy4h745542")</f>
        <v>@Irw4nsy4h745542</v>
      </c>
      <c r="C1760" s="8" t="s">
        <v>1028</v>
      </c>
      <c r="D1760" s="8">
        <v>0</v>
      </c>
      <c r="E1760" s="8">
        <v>0</v>
      </c>
      <c r="F1760" s="8">
        <v>553</v>
      </c>
    </row>
    <row r="1761" spans="1:6" ht="12.75">
      <c r="A1761" s="8">
        <v>43904.531736111108</v>
      </c>
      <c r="B1761" s="8" t="str">
        <f>HYPERLINK("https://twitter.com/RD_4WR1212","@RD_4WR1212")</f>
        <v>@RD_4WR1212</v>
      </c>
      <c r="C1761" s="8" t="s">
        <v>1029</v>
      </c>
      <c r="D1761" s="8">
        <v>1</v>
      </c>
      <c r="E1761" s="8">
        <v>13</v>
      </c>
      <c r="F1761" s="8">
        <v>10160</v>
      </c>
    </row>
    <row r="1762" spans="1:6" ht="12.75">
      <c r="A1762" s="8">
        <v>43904.5316087963</v>
      </c>
      <c r="B1762" s="8" t="str">
        <f>HYPERLINK("https://twitter.com/tasyamagfiraa","@tasyamagfiraa")</f>
        <v>@tasyamagfiraa</v>
      </c>
      <c r="C1762" s="8" t="s">
        <v>63</v>
      </c>
      <c r="D1762" s="8">
        <v>40</v>
      </c>
      <c r="E1762" s="8">
        <v>0</v>
      </c>
      <c r="F1762" s="8">
        <v>709</v>
      </c>
    </row>
    <row r="1763" spans="1:6" ht="12.75">
      <c r="A1763" s="8">
        <v>43904.531388888892</v>
      </c>
      <c r="B1763" s="8" t="str">
        <f>HYPERLINK("https://twitter.com/fikrydamar","@fikrydamar")</f>
        <v>@fikrydamar</v>
      </c>
      <c r="C1763" s="8" t="s">
        <v>1030</v>
      </c>
      <c r="D1763" s="8">
        <v>208</v>
      </c>
      <c r="E1763" s="8">
        <v>0</v>
      </c>
      <c r="F1763" s="8">
        <v>336</v>
      </c>
    </row>
    <row r="1764" spans="1:6" ht="12.75">
      <c r="A1764" s="8">
        <v>43904.5309837963</v>
      </c>
      <c r="B1764" s="8" t="str">
        <f>HYPERLINK("https://twitter.com/Ny_inayah","@Ny_inayah")</f>
        <v>@Ny_inayah</v>
      </c>
      <c r="C1764" s="8" t="s">
        <v>1031</v>
      </c>
      <c r="D1764" s="8">
        <v>0</v>
      </c>
      <c r="E1764" s="8">
        <v>0</v>
      </c>
      <c r="F1764" s="8">
        <v>370</v>
      </c>
    </row>
    <row r="1765" spans="1:6" ht="12.75">
      <c r="A1765" s="8">
        <v>43904.529861111107</v>
      </c>
      <c r="B1765" s="8" t="str">
        <f>HYPERLINK("https://twitter.com/MJohan31","@MJohan31")</f>
        <v>@MJohan31</v>
      </c>
      <c r="C1765" s="8" t="s">
        <v>1032</v>
      </c>
      <c r="D1765" s="8">
        <v>0</v>
      </c>
      <c r="E1765" s="8">
        <v>0</v>
      </c>
      <c r="F1765" s="8">
        <v>153</v>
      </c>
    </row>
    <row r="1766" spans="1:6" ht="12.75">
      <c r="A1766" s="8">
        <v>43904.529351851852</v>
      </c>
      <c r="B1766" s="8" t="str">
        <f>HYPERLINK("https://twitter.com/nisadyr","@nisadyr")</f>
        <v>@nisadyr</v>
      </c>
      <c r="C1766" s="8" t="s">
        <v>924</v>
      </c>
      <c r="D1766" s="8">
        <v>38</v>
      </c>
      <c r="E1766" s="8">
        <v>0</v>
      </c>
      <c r="F1766" s="8">
        <v>696</v>
      </c>
    </row>
    <row r="1767" spans="1:6" ht="12.75">
      <c r="A1767" s="8">
        <v>43904.529178240744</v>
      </c>
      <c r="B1767" s="8" t="str">
        <f>HYPERLINK("https://twitter.com/La_Maharadzy","@La_Maharadzy")</f>
        <v>@La_Maharadzy</v>
      </c>
      <c r="C1767" s="8" t="s">
        <v>1033</v>
      </c>
      <c r="D1767" s="8">
        <v>0</v>
      </c>
      <c r="E1767" s="8">
        <v>0</v>
      </c>
      <c r="F1767" s="8">
        <v>105</v>
      </c>
    </row>
    <row r="1768" spans="1:6" ht="12.75">
      <c r="A1768" s="8">
        <v>43904.528148148151</v>
      </c>
      <c r="B1768" s="8" t="str">
        <f>HYPERLINK("https://twitter.com/RadityaWenas","@RadityaWenas")</f>
        <v>@RadityaWenas</v>
      </c>
      <c r="C1768" s="8" t="s">
        <v>63</v>
      </c>
      <c r="D1768" s="8">
        <v>40</v>
      </c>
      <c r="E1768" s="8">
        <v>0</v>
      </c>
      <c r="F1768" s="8">
        <v>56</v>
      </c>
    </row>
    <row r="1769" spans="1:6" ht="12.75">
      <c r="A1769" s="8">
        <v>43904.527870370366</v>
      </c>
      <c r="B1769" s="8" t="str">
        <f>HYPERLINK("https://twitter.com/lvcessa","@lvcessa")</f>
        <v>@lvcessa</v>
      </c>
      <c r="C1769" s="8" t="s">
        <v>1034</v>
      </c>
      <c r="D1769" s="8">
        <v>0</v>
      </c>
      <c r="E1769" s="8">
        <v>0</v>
      </c>
      <c r="F1769" s="8">
        <v>517</v>
      </c>
    </row>
    <row r="1770" spans="1:6" ht="12.75">
      <c r="A1770" s="8">
        <v>43904.527592592596</v>
      </c>
      <c r="B1770" s="8" t="str">
        <f>HYPERLINK("https://twitter.com/twittiaraaaa","@twittiaraaaa")</f>
        <v>@twittiaraaaa</v>
      </c>
      <c r="C1770" s="8" t="s">
        <v>63</v>
      </c>
      <c r="D1770" s="8">
        <v>40</v>
      </c>
      <c r="E1770" s="8">
        <v>0</v>
      </c>
      <c r="F1770" s="8">
        <v>738</v>
      </c>
    </row>
    <row r="1771" spans="1:6" ht="12.75">
      <c r="A1771" s="8">
        <v>43904.527581018519</v>
      </c>
      <c r="B1771" s="8" t="str">
        <f>HYPERLINK("https://twitter.com/HendriHK95","@HendriHK95")</f>
        <v>@HendriHK95</v>
      </c>
      <c r="C1771" s="8" t="s">
        <v>162</v>
      </c>
      <c r="D1771" s="8">
        <v>97</v>
      </c>
      <c r="E1771" s="8">
        <v>0</v>
      </c>
      <c r="F1771" s="8">
        <v>295</v>
      </c>
    </row>
    <row r="1772" spans="1:6" ht="12.75">
      <c r="A1772" s="8">
        <v>43904.527442129634</v>
      </c>
      <c r="B1772" s="8" t="str">
        <f>HYPERLINK("https://twitter.com/darmintan","@darmintan")</f>
        <v>@darmintan</v>
      </c>
      <c r="C1772" s="8" t="s">
        <v>162</v>
      </c>
      <c r="D1772" s="8">
        <v>97</v>
      </c>
      <c r="E1772" s="8">
        <v>0</v>
      </c>
      <c r="F1772" s="8">
        <v>29</v>
      </c>
    </row>
    <row r="1773" spans="1:6" ht="12.75">
      <c r="A1773" s="8">
        <v>43904.527303240742</v>
      </c>
      <c r="B1773" s="8" t="str">
        <f>HYPERLINK("https://twitter.com/amelephantt","@amelephantt")</f>
        <v>@amelephantt</v>
      </c>
      <c r="C1773" s="8" t="s">
        <v>1035</v>
      </c>
      <c r="D1773" s="8">
        <v>0</v>
      </c>
      <c r="E1773" s="8">
        <v>0</v>
      </c>
      <c r="F1773" s="8">
        <v>392</v>
      </c>
    </row>
    <row r="1774" spans="1:6" ht="12.75">
      <c r="A1774" s="8">
        <v>43904.527118055557</v>
      </c>
      <c r="B1774" s="8" t="str">
        <f>HYPERLINK("https://twitter.com/napnapong","@napnapong")</f>
        <v>@napnapong</v>
      </c>
      <c r="C1774" s="8" t="s">
        <v>162</v>
      </c>
      <c r="D1774" s="8">
        <v>97</v>
      </c>
      <c r="E1774" s="8">
        <v>0</v>
      </c>
      <c r="F1774" s="8">
        <v>2326</v>
      </c>
    </row>
    <row r="1775" spans="1:6" ht="12.75">
      <c r="A1775" s="8">
        <v>43904.526979166665</v>
      </c>
      <c r="B1775" s="8" t="str">
        <f>HYPERLINK("https://twitter.com/AriePutraWijay1","@AriePutraWijay1")</f>
        <v>@AriePutraWijay1</v>
      </c>
      <c r="C1775" s="8" t="s">
        <v>162</v>
      </c>
      <c r="D1775" s="8">
        <v>97</v>
      </c>
      <c r="E1775" s="8">
        <v>0</v>
      </c>
      <c r="F1775" s="8">
        <v>218</v>
      </c>
    </row>
    <row r="1776" spans="1:6" ht="12.75">
      <c r="A1776" s="8">
        <v>43904.526874999996</v>
      </c>
      <c r="B1776" s="8" t="str">
        <f>HYPERLINK("https://twitter.com/keeendiw","@keeendiw")</f>
        <v>@keeendiw</v>
      </c>
      <c r="C1776" s="8" t="s">
        <v>1036</v>
      </c>
      <c r="D1776" s="8">
        <v>0</v>
      </c>
      <c r="E1776" s="8">
        <v>0</v>
      </c>
      <c r="F1776" s="8">
        <v>179</v>
      </c>
    </row>
    <row r="1777" spans="1:6" ht="12.75">
      <c r="A1777" s="8">
        <v>43904.526539351849</v>
      </c>
      <c r="B1777" s="8" t="str">
        <f>HYPERLINK("https://twitter.com/arahim_les","@arahim_les")</f>
        <v>@arahim_les</v>
      </c>
      <c r="C1777" s="8" t="s">
        <v>162</v>
      </c>
      <c r="D1777" s="8">
        <v>97</v>
      </c>
      <c r="E1777" s="8">
        <v>0</v>
      </c>
      <c r="F1777" s="8">
        <v>266</v>
      </c>
    </row>
    <row r="1778" spans="1:6" ht="12.75">
      <c r="A1778" s="8">
        <v>43904.526388888888</v>
      </c>
      <c r="B1778" s="8" t="str">
        <f>HYPERLINK("https://twitter.com/TFloH_","@TFloH_")</f>
        <v>@TFloH_</v>
      </c>
      <c r="C1778" s="8" t="s">
        <v>162</v>
      </c>
      <c r="D1778" s="8">
        <v>97</v>
      </c>
      <c r="E1778" s="8">
        <v>0</v>
      </c>
      <c r="F1778" s="8">
        <v>250</v>
      </c>
    </row>
    <row r="1779" spans="1:6" ht="12.75">
      <c r="A1779" s="8">
        <v>43904.525879629626</v>
      </c>
      <c r="B1779" s="8" t="str">
        <f>HYPERLINK("https://twitter.com/LieYurika","@LieYurika")</f>
        <v>@LieYurika</v>
      </c>
      <c r="C1779" s="8" t="s">
        <v>1037</v>
      </c>
      <c r="D1779" s="8">
        <v>0</v>
      </c>
      <c r="E1779" s="8">
        <v>0</v>
      </c>
      <c r="F1779" s="8">
        <v>908</v>
      </c>
    </row>
    <row r="1780" spans="1:6" ht="12.75">
      <c r="A1780" s="8">
        <v>43904.524884259255</v>
      </c>
      <c r="B1780" s="8" t="str">
        <f>HYPERLINK("https://twitter.com/al_rydho","@al_rydho")</f>
        <v>@al_rydho</v>
      </c>
      <c r="C1780" s="8" t="s">
        <v>162</v>
      </c>
      <c r="D1780" s="8">
        <v>97</v>
      </c>
      <c r="E1780" s="8">
        <v>0</v>
      </c>
      <c r="F1780" s="8">
        <v>245</v>
      </c>
    </row>
    <row r="1781" spans="1:6" ht="12.75">
      <c r="A1781" s="8">
        <v>43904.52480324074</v>
      </c>
      <c r="B1781" s="8" t="str">
        <f>HYPERLINK("https://twitter.com/ZakyMahady","@ZakyMahady")</f>
        <v>@ZakyMahady</v>
      </c>
      <c r="C1781" s="8" t="s">
        <v>63</v>
      </c>
      <c r="D1781" s="8">
        <v>40</v>
      </c>
      <c r="E1781" s="8">
        <v>0</v>
      </c>
      <c r="F1781" s="8">
        <v>486</v>
      </c>
    </row>
    <row r="1782" spans="1:6" ht="12.75">
      <c r="A1782" s="8">
        <v>43904.524201388893</v>
      </c>
      <c r="B1782" s="8" t="str">
        <f>HYPERLINK("https://twitter.com/widyaawast","@widyaawast")</f>
        <v>@widyaawast</v>
      </c>
      <c r="C1782" s="8" t="s">
        <v>162</v>
      </c>
      <c r="D1782" s="8">
        <v>97</v>
      </c>
      <c r="E1782" s="8">
        <v>0</v>
      </c>
      <c r="F1782" s="8">
        <v>1452</v>
      </c>
    </row>
    <row r="1783" spans="1:6" ht="12.75">
      <c r="A1783" s="8">
        <v>43904.523819444439</v>
      </c>
      <c r="B1783" s="8" t="str">
        <f t="shared" ref="B1783:B1784" si="27">HYPERLINK("https://twitter.com/pesanbijakk","@pesanbijakk")</f>
        <v>@pesanbijakk</v>
      </c>
      <c r="C1783" s="8" t="s">
        <v>1038</v>
      </c>
      <c r="D1783" s="8">
        <v>3</v>
      </c>
      <c r="E1783" s="8">
        <v>0</v>
      </c>
      <c r="F1783" s="8">
        <v>94039</v>
      </c>
    </row>
    <row r="1784" spans="1:6" ht="12.75">
      <c r="A1784" s="8">
        <v>43904.52380787037</v>
      </c>
      <c r="B1784" s="8" t="str">
        <f t="shared" si="27"/>
        <v>@pesanbijakk</v>
      </c>
      <c r="C1784" s="8" t="s">
        <v>1039</v>
      </c>
      <c r="D1784" s="8">
        <v>3</v>
      </c>
      <c r="E1784" s="8">
        <v>0</v>
      </c>
      <c r="F1784" s="8">
        <v>94039</v>
      </c>
    </row>
    <row r="1785" spans="1:6" ht="12.75">
      <c r="A1785" s="8">
        <v>43904.523668981477</v>
      </c>
      <c r="B1785" s="8" t="str">
        <f>HYPERLINK("https://twitter.com/revoriezza","@revoriezza")</f>
        <v>@revoriezza</v>
      </c>
      <c r="C1785" s="8" t="s">
        <v>162</v>
      </c>
      <c r="D1785" s="8">
        <v>97</v>
      </c>
      <c r="E1785" s="8">
        <v>0</v>
      </c>
      <c r="F1785" s="8">
        <v>194</v>
      </c>
    </row>
    <row r="1786" spans="1:6" ht="12.75">
      <c r="A1786" s="8">
        <v>43904.523657407408</v>
      </c>
      <c r="B1786" s="8" t="str">
        <f>HYPERLINK("https://twitter.com/pesanbijakk","@pesanbijakk")</f>
        <v>@pesanbijakk</v>
      </c>
      <c r="C1786" s="8" t="s">
        <v>1040</v>
      </c>
      <c r="D1786" s="8">
        <v>5</v>
      </c>
      <c r="E1786" s="8">
        <v>0</v>
      </c>
      <c r="F1786" s="8">
        <v>94039</v>
      </c>
    </row>
    <row r="1787" spans="1:6" ht="12.75">
      <c r="A1787" s="8">
        <v>43904.523634259254</v>
      </c>
      <c r="B1787" s="8" t="str">
        <f>HYPERLINK("https://twitter.com/rosanoboy","@rosanoboy")</f>
        <v>@rosanoboy</v>
      </c>
      <c r="C1787" s="8" t="s">
        <v>1041</v>
      </c>
      <c r="D1787" s="8">
        <v>0</v>
      </c>
      <c r="E1787" s="8">
        <v>0</v>
      </c>
      <c r="F1787" s="8">
        <v>27</v>
      </c>
    </row>
    <row r="1788" spans="1:6" ht="12.75">
      <c r="A1788" s="8">
        <v>43904.523541666669</v>
      </c>
      <c r="B1788" s="8" t="str">
        <f t="shared" ref="B1788:B1790" si="28">HYPERLINK("https://twitter.com/pesanbijakk","@pesanbijakk")</f>
        <v>@pesanbijakk</v>
      </c>
      <c r="C1788" s="8" t="s">
        <v>1042</v>
      </c>
      <c r="D1788" s="8">
        <v>6</v>
      </c>
      <c r="E1788" s="8">
        <v>0</v>
      </c>
      <c r="F1788" s="8">
        <v>94039</v>
      </c>
    </row>
    <row r="1789" spans="1:6" ht="12.75">
      <c r="A1789" s="8">
        <v>43904.523495370369</v>
      </c>
      <c r="B1789" s="8" t="str">
        <f t="shared" si="28"/>
        <v>@pesanbijakk</v>
      </c>
      <c r="C1789" s="8" t="s">
        <v>1043</v>
      </c>
      <c r="D1789" s="8">
        <v>6</v>
      </c>
      <c r="E1789" s="8">
        <v>0</v>
      </c>
      <c r="F1789" s="8">
        <v>94039</v>
      </c>
    </row>
    <row r="1790" spans="1:6" ht="12.75">
      <c r="A1790" s="8">
        <v>43904.52344907407</v>
      </c>
      <c r="B1790" s="8" t="str">
        <f t="shared" si="28"/>
        <v>@pesanbijakk</v>
      </c>
      <c r="C1790" s="8" t="s">
        <v>391</v>
      </c>
      <c r="D1790" s="8">
        <v>19</v>
      </c>
      <c r="E1790" s="8">
        <v>0</v>
      </c>
      <c r="F1790" s="8">
        <v>94039</v>
      </c>
    </row>
    <row r="1791" spans="1:6" ht="12.75">
      <c r="A1791" s="8">
        <v>43904.506643518514</v>
      </c>
      <c r="B1791" s="8" t="str">
        <f>HYPERLINK("https://twitter.com/botjahalit","@botjahalit")</f>
        <v>@botjahalit</v>
      </c>
      <c r="C1791" s="8" t="s">
        <v>924</v>
      </c>
      <c r="D1791" s="8">
        <v>37</v>
      </c>
      <c r="E1791" s="8">
        <v>0</v>
      </c>
      <c r="F1791" s="8">
        <v>153</v>
      </c>
    </row>
    <row r="1792" spans="1:6" ht="12.75">
      <c r="A1792" s="8">
        <v>43904.506597222222</v>
      </c>
      <c r="B1792" s="8" t="str">
        <f>HYPERLINK("https://twitter.com/Dabbang67558449","@Dabbang67558449")</f>
        <v>@Dabbang67558449</v>
      </c>
      <c r="C1792" s="8" t="s">
        <v>582</v>
      </c>
      <c r="D1792" s="8">
        <v>32</v>
      </c>
      <c r="E1792" s="8">
        <v>0</v>
      </c>
      <c r="F1792" s="8">
        <v>106</v>
      </c>
    </row>
    <row r="1793" spans="1:6" ht="12.75">
      <c r="A1793" s="8">
        <v>43904.506030092598</v>
      </c>
      <c r="B1793" s="8" t="str">
        <f>HYPERLINK("https://twitter.com/sam4Te","@sam4Te")</f>
        <v>@sam4Te</v>
      </c>
      <c r="C1793" s="8" t="s">
        <v>162</v>
      </c>
      <c r="D1793" s="8">
        <v>47</v>
      </c>
      <c r="E1793" s="8">
        <v>0</v>
      </c>
      <c r="F1793" s="8">
        <v>66</v>
      </c>
    </row>
    <row r="1794" spans="1:6" ht="12.75">
      <c r="A1794" s="8">
        <v>43904.505798611106</v>
      </c>
      <c r="B1794" s="8" t="str">
        <f>HYPERLINK("https://twitter.com/dzakimadhani","@dzakimadhani")</f>
        <v>@dzakimadhani</v>
      </c>
      <c r="C1794" s="8" t="s">
        <v>162</v>
      </c>
      <c r="D1794" s="8">
        <v>47</v>
      </c>
      <c r="E1794" s="8">
        <v>0</v>
      </c>
      <c r="F1794" s="8">
        <v>174</v>
      </c>
    </row>
    <row r="1795" spans="1:6" ht="12.75">
      <c r="A1795" s="8">
        <v>43904.505474537036</v>
      </c>
      <c r="B1795" s="8" t="str">
        <f>HYPERLINK("https://twitter.com/mbagigiloveyou","@mbagigiloveyou")</f>
        <v>@mbagigiloveyou</v>
      </c>
      <c r="C1795" s="8" t="s">
        <v>1044</v>
      </c>
      <c r="D1795" s="8">
        <v>0</v>
      </c>
      <c r="E1795" s="8">
        <v>0</v>
      </c>
      <c r="F1795" s="8">
        <v>21</v>
      </c>
    </row>
    <row r="1796" spans="1:6" ht="12.75">
      <c r="A1796" s="8">
        <v>43904.505405092597</v>
      </c>
      <c r="B1796" s="8" t="str">
        <f>HYPERLINK("https://twitter.com/RockersPantura","@RockersPantura")</f>
        <v>@RockersPantura</v>
      </c>
      <c r="C1796" s="8" t="s">
        <v>486</v>
      </c>
      <c r="D1796" s="8">
        <v>1</v>
      </c>
      <c r="E1796" s="8">
        <v>0</v>
      </c>
      <c r="F1796" s="8">
        <v>23560</v>
      </c>
    </row>
    <row r="1797" spans="1:6" ht="12.75">
      <c r="A1797" s="8">
        <v>43904.505324074074</v>
      </c>
      <c r="B1797" s="8" t="str">
        <f>HYPERLINK("https://twitter.com/inthuliaster","@inthuliaster")</f>
        <v>@inthuliaster</v>
      </c>
      <c r="C1797" s="8" t="s">
        <v>1045</v>
      </c>
      <c r="D1797" s="8">
        <v>0</v>
      </c>
      <c r="E1797" s="8">
        <v>0</v>
      </c>
      <c r="F1797" s="8">
        <v>152</v>
      </c>
    </row>
    <row r="1798" spans="1:6" ht="12.75">
      <c r="A1798" s="8">
        <v>43904.50509259259</v>
      </c>
      <c r="B1798" s="8" t="str">
        <f>HYPERLINK("https://twitter.com/siahaan_johan","@siahaan_johan")</f>
        <v>@siahaan_johan</v>
      </c>
      <c r="C1798" s="8" t="s">
        <v>1046</v>
      </c>
      <c r="D1798" s="8">
        <v>0</v>
      </c>
      <c r="E1798" s="8">
        <v>0</v>
      </c>
      <c r="F1798" s="8">
        <v>1131</v>
      </c>
    </row>
    <row r="1799" spans="1:6" ht="12.75">
      <c r="A1799" s="8">
        <v>43904.505011574074</v>
      </c>
      <c r="B1799" s="8" t="str">
        <f>HYPERLINK("https://twitter.com/ahar_1379","@ahar_1379")</f>
        <v>@ahar_1379</v>
      </c>
      <c r="C1799" s="8" t="s">
        <v>162</v>
      </c>
      <c r="D1799" s="8">
        <v>47</v>
      </c>
      <c r="E1799" s="8">
        <v>0</v>
      </c>
      <c r="F1799" s="8">
        <v>231</v>
      </c>
    </row>
    <row r="1800" spans="1:6" ht="12.75">
      <c r="A1800" s="8">
        <v>43904.504756944443</v>
      </c>
      <c r="B1800" s="8" t="str">
        <f>HYPERLINK("https://twitter.com/AncharPuang","@AncharPuang")</f>
        <v>@AncharPuang</v>
      </c>
      <c r="C1800" s="8" t="s">
        <v>1047</v>
      </c>
      <c r="D1800" s="8">
        <v>0</v>
      </c>
      <c r="E1800" s="8">
        <v>0</v>
      </c>
      <c r="F1800" s="8">
        <v>1491</v>
      </c>
    </row>
    <row r="1801" spans="1:6" ht="12.75">
      <c r="A1801" s="8">
        <v>43904.504687499997</v>
      </c>
      <c r="B1801" s="8" t="str">
        <f>HYPERLINK("https://twitter.com/sabdaprana","@sabdaprana")</f>
        <v>@sabdaprana</v>
      </c>
      <c r="C1801" s="8" t="s">
        <v>42</v>
      </c>
      <c r="D1801" s="8">
        <v>21</v>
      </c>
      <c r="E1801" s="8">
        <v>0</v>
      </c>
      <c r="F1801" s="8">
        <v>1910</v>
      </c>
    </row>
    <row r="1802" spans="1:6" ht="12.75">
      <c r="A1802" s="8">
        <v>43904.504687499997</v>
      </c>
      <c r="B1802" s="8" t="str">
        <f>HYPERLINK("https://twitter.com/BayaoAdityao","@BayaoAdityao")</f>
        <v>@BayaoAdityao</v>
      </c>
      <c r="C1802" s="8" t="s">
        <v>63</v>
      </c>
      <c r="D1802" s="8">
        <v>25</v>
      </c>
      <c r="E1802" s="8">
        <v>0</v>
      </c>
      <c r="F1802" s="8">
        <v>600</v>
      </c>
    </row>
    <row r="1803" spans="1:6" ht="12.75">
      <c r="A1803" s="8">
        <v>43904.50403935185</v>
      </c>
      <c r="B1803" s="8" t="str">
        <f>HYPERLINK("https://twitter.com/lizara_c16","@lizara_c16")</f>
        <v>@lizara_c16</v>
      </c>
      <c r="C1803" s="8" t="s">
        <v>162</v>
      </c>
      <c r="D1803" s="8">
        <v>47</v>
      </c>
      <c r="E1803" s="8">
        <v>0</v>
      </c>
      <c r="F1803" s="8">
        <v>221</v>
      </c>
    </row>
    <row r="1804" spans="1:6" ht="12.75">
      <c r="A1804" s="8">
        <v>43904.503067129626</v>
      </c>
      <c r="B1804" s="8" t="str">
        <f>HYPERLINK("https://twitter.com/chimni_sapna","@chimni_sapna")</f>
        <v>@chimni_sapna</v>
      </c>
      <c r="C1804" s="8" t="s">
        <v>582</v>
      </c>
      <c r="D1804" s="8">
        <v>32</v>
      </c>
      <c r="E1804" s="8">
        <v>0</v>
      </c>
      <c r="F1804" s="8">
        <v>1083</v>
      </c>
    </row>
    <row r="1805" spans="1:6" ht="12.75">
      <c r="A1805" s="8">
        <v>43904.502962962964</v>
      </c>
      <c r="B1805" s="8" t="str">
        <f>HYPERLINK("https://twitter.com/arizWanmerahs","@arizWanmerahs")</f>
        <v>@arizWanmerahs</v>
      </c>
      <c r="C1805" s="8" t="s">
        <v>162</v>
      </c>
      <c r="D1805" s="8">
        <v>47</v>
      </c>
      <c r="E1805" s="8">
        <v>0</v>
      </c>
      <c r="F1805" s="8">
        <v>442</v>
      </c>
    </row>
    <row r="1806" spans="1:6" ht="12.75">
      <c r="A1806" s="8">
        <v>43904.50271990741</v>
      </c>
      <c r="B1806" s="8" t="str">
        <f>HYPERLINK("https://twitter.com/FATTAH_JTR","@FATTAH_JTR")</f>
        <v>@FATTAH_JTR</v>
      </c>
      <c r="C1806" s="8" t="s">
        <v>63</v>
      </c>
      <c r="D1806" s="8">
        <v>25</v>
      </c>
      <c r="E1806" s="8">
        <v>0</v>
      </c>
      <c r="F1806" s="8">
        <v>351</v>
      </c>
    </row>
    <row r="1807" spans="1:6" ht="12.75">
      <c r="A1807" s="8">
        <v>43904.502638888887</v>
      </c>
      <c r="B1807" s="8" t="str">
        <f>HYPERLINK("https://twitter.com/terevishita","@terevishita")</f>
        <v>@terevishita</v>
      </c>
      <c r="C1807" s="8" t="s">
        <v>162</v>
      </c>
      <c r="D1807" s="8">
        <v>47</v>
      </c>
      <c r="E1807" s="8">
        <v>0</v>
      </c>
      <c r="F1807" s="8">
        <v>78</v>
      </c>
    </row>
    <row r="1808" spans="1:6" ht="12.75">
      <c r="A1808" s="8">
        <v>43904.502453703702</v>
      </c>
      <c r="B1808" s="8" t="str">
        <f>HYPERLINK("https://twitter.com/LieYurika","@LieYurika")</f>
        <v>@LieYurika</v>
      </c>
      <c r="C1808" s="8" t="s">
        <v>1048</v>
      </c>
      <c r="D1808" s="8">
        <v>0</v>
      </c>
      <c r="E1808" s="8">
        <v>0</v>
      </c>
      <c r="F1808" s="8">
        <v>905</v>
      </c>
    </row>
    <row r="1809" spans="1:6" ht="12.75">
      <c r="A1809" s="8">
        <v>43904.502245370371</v>
      </c>
      <c r="B1809" s="8" t="str">
        <f>HYPERLINK("https://twitter.com/avalo_isis","@avalo_isis")</f>
        <v>@avalo_isis</v>
      </c>
      <c r="C1809" s="8" t="s">
        <v>1049</v>
      </c>
      <c r="D1809" s="8">
        <v>0</v>
      </c>
      <c r="E1809" s="8">
        <v>0</v>
      </c>
      <c r="F1809" s="8">
        <v>26</v>
      </c>
    </row>
    <row r="1810" spans="1:6" ht="12.75">
      <c r="A1810" s="8">
        <v>43904.501840277779</v>
      </c>
      <c r="B1810" s="8" t="str">
        <f>HYPERLINK("https://twitter.com/Okhe_Khatika","@Okhe_Khatika")</f>
        <v>@Okhe_Khatika</v>
      </c>
      <c r="C1810" s="8" t="s">
        <v>162</v>
      </c>
      <c r="D1810" s="8">
        <v>47</v>
      </c>
      <c r="E1810" s="8">
        <v>0</v>
      </c>
      <c r="F1810" s="8">
        <v>759</v>
      </c>
    </row>
    <row r="1811" spans="1:6" ht="12.75">
      <c r="A1811" s="8">
        <v>43904.501817129625</v>
      </c>
      <c r="B1811" s="8" t="str">
        <f>HYPERLINK("https://twitter.com/NovrikoSulistio","@NovrikoSulistio")</f>
        <v>@NovrikoSulistio</v>
      </c>
      <c r="C1811" s="8" t="s">
        <v>162</v>
      </c>
      <c r="D1811" s="8">
        <v>47</v>
      </c>
      <c r="E1811" s="8">
        <v>0</v>
      </c>
      <c r="F1811" s="8">
        <v>1009</v>
      </c>
    </row>
    <row r="1812" spans="1:6" ht="12.75">
      <c r="A1812" s="8">
        <v>43904.501122685186</v>
      </c>
      <c r="B1812" s="8" t="str">
        <f>HYPERLINK("https://twitter.com/syeesheee","@syeesheee")</f>
        <v>@syeesheee</v>
      </c>
      <c r="C1812" s="8" t="s">
        <v>162</v>
      </c>
      <c r="D1812" s="8">
        <v>47</v>
      </c>
      <c r="E1812" s="8">
        <v>0</v>
      </c>
      <c r="F1812" s="8">
        <v>537</v>
      </c>
    </row>
    <row r="1813" spans="1:6" ht="12.75">
      <c r="A1813" s="8">
        <v>43904.500949074078</v>
      </c>
      <c r="B1813" s="8" t="str">
        <f>HYPERLINK("https://twitter.com/SiJombloKreatif","@SiJombloKreatif")</f>
        <v>@SiJombloKreatif</v>
      </c>
      <c r="C1813" s="8" t="s">
        <v>1050</v>
      </c>
      <c r="D1813" s="8">
        <v>0</v>
      </c>
      <c r="E1813" s="8">
        <v>0</v>
      </c>
      <c r="F1813" s="8">
        <v>120955</v>
      </c>
    </row>
    <row r="1814" spans="1:6" ht="12.75">
      <c r="A1814" s="8">
        <v>43904.500706018516</v>
      </c>
      <c r="B1814" s="8" t="str">
        <f>HYPERLINK("https://twitter.com/agooseWJ","@agooseWJ")</f>
        <v>@agooseWJ</v>
      </c>
      <c r="C1814" s="8" t="s">
        <v>162</v>
      </c>
      <c r="D1814" s="8">
        <v>47</v>
      </c>
      <c r="E1814" s="8">
        <v>0</v>
      </c>
      <c r="F1814" s="8">
        <v>211</v>
      </c>
    </row>
    <row r="1815" spans="1:6" ht="12.75">
      <c r="A1815" s="8">
        <v>43904.500671296293</v>
      </c>
      <c r="B1815" s="8" t="str">
        <f>HYPERLINK("https://twitter.com/YankYong","@YankYong")</f>
        <v>@YankYong</v>
      </c>
      <c r="C1815" s="8" t="s">
        <v>587</v>
      </c>
      <c r="D1815" s="8">
        <v>49</v>
      </c>
      <c r="E1815" s="8">
        <v>0</v>
      </c>
      <c r="F1815" s="8">
        <v>27</v>
      </c>
    </row>
    <row r="1816" spans="1:6" ht="12.75">
      <c r="A1816" s="8">
        <v>43904.500081018516</v>
      </c>
      <c r="B1816" s="8" t="str">
        <f>HYPERLINK("https://twitter.com/Profeeesor","@Profeeesor")</f>
        <v>@Profeeesor</v>
      </c>
      <c r="C1816" s="8" t="s">
        <v>1051</v>
      </c>
      <c r="D1816" s="8">
        <v>12</v>
      </c>
      <c r="E1816" s="8">
        <v>0</v>
      </c>
      <c r="F1816" s="8">
        <v>3555</v>
      </c>
    </row>
    <row r="1817" spans="1:6" ht="12.75">
      <c r="A1817" s="8">
        <v>43904.5</v>
      </c>
      <c r="B1817" s="8" t="str">
        <f>HYPERLINK("https://twitter.com/healthyliveID","@healthyliveID")</f>
        <v>@healthyliveID</v>
      </c>
      <c r="C1817" s="8" t="s">
        <v>1052</v>
      </c>
      <c r="D1817" s="8">
        <v>0</v>
      </c>
      <c r="E1817" s="8">
        <v>0</v>
      </c>
      <c r="F1817" s="8">
        <v>45115</v>
      </c>
    </row>
    <row r="1818" spans="1:6" ht="12.75">
      <c r="A1818" s="8">
        <v>43904.499965277777</v>
      </c>
      <c r="B1818" s="8" t="str">
        <f>HYPERLINK("https://twitter.com/SiJombloKreatif","@SiJombloKreatif")</f>
        <v>@SiJombloKreatif</v>
      </c>
      <c r="C1818" s="8" t="s">
        <v>1040</v>
      </c>
      <c r="D1818" s="8">
        <v>1</v>
      </c>
      <c r="E1818" s="8">
        <v>0</v>
      </c>
      <c r="F1818" s="8">
        <v>120955</v>
      </c>
    </row>
    <row r="1819" spans="1:6" ht="12.75">
      <c r="A1819" s="8">
        <v>43904.499814814815</v>
      </c>
      <c r="B1819" s="8" t="str">
        <f>HYPERLINK("https://twitter.com/Profeeesor","@Profeeesor")</f>
        <v>@Profeeesor</v>
      </c>
      <c r="C1819" s="8" t="s">
        <v>1053</v>
      </c>
      <c r="D1819" s="8">
        <v>13</v>
      </c>
      <c r="E1819" s="8">
        <v>0</v>
      </c>
      <c r="F1819" s="8">
        <v>3555</v>
      </c>
    </row>
    <row r="1820" spans="1:6" ht="12.75">
      <c r="A1820" s="8">
        <v>43904.499710648146</v>
      </c>
      <c r="B1820" s="8" t="str">
        <f t="shared" ref="B1820:B1821" si="29">HYPERLINK("https://twitter.com/SiJombloKreatif","@SiJombloKreatif")</f>
        <v>@SiJombloKreatif</v>
      </c>
      <c r="C1820" s="8" t="s">
        <v>1042</v>
      </c>
      <c r="D1820" s="8">
        <v>1</v>
      </c>
      <c r="E1820" s="8">
        <v>0</v>
      </c>
      <c r="F1820" s="8">
        <v>120955</v>
      </c>
    </row>
    <row r="1821" spans="1:6" ht="12.75">
      <c r="A1821" s="8">
        <v>43904.499652777777</v>
      </c>
      <c r="B1821" s="8" t="str">
        <f t="shared" si="29"/>
        <v>@SiJombloKreatif</v>
      </c>
      <c r="C1821" s="8" t="s">
        <v>1043</v>
      </c>
      <c r="D1821" s="8">
        <v>1</v>
      </c>
      <c r="E1821" s="8">
        <v>0</v>
      </c>
      <c r="F1821" s="8">
        <v>120955</v>
      </c>
    </row>
    <row r="1822" spans="1:6" ht="12.75">
      <c r="A1822" s="8">
        <v>43904.499120370368</v>
      </c>
      <c r="B1822" s="8" t="str">
        <f>HYPERLINK("https://twitter.com/janetsbislissin","@janetsbislissin")</f>
        <v>@janetsbislissin</v>
      </c>
      <c r="C1822" s="8" t="s">
        <v>391</v>
      </c>
      <c r="D1822" s="8">
        <v>5</v>
      </c>
      <c r="E1822" s="8">
        <v>0</v>
      </c>
      <c r="F1822" s="8">
        <v>73</v>
      </c>
    </row>
    <row r="1823" spans="1:6" ht="12.75">
      <c r="A1823" s="8">
        <v>43904.498414351852</v>
      </c>
      <c r="B1823" s="8" t="str">
        <f>HYPERLINK("https://twitter.com/PPI_Malaysiaa","@PPI_Malaysiaa")</f>
        <v>@PPI_Malaysiaa</v>
      </c>
      <c r="C1823" s="8" t="s">
        <v>1054</v>
      </c>
      <c r="D1823" s="8">
        <v>0</v>
      </c>
      <c r="E1823" s="8">
        <v>0</v>
      </c>
      <c r="F1823" s="8">
        <v>145</v>
      </c>
    </row>
    <row r="1824" spans="1:6" ht="12.75">
      <c r="A1824" s="8">
        <v>43904.498171296298</v>
      </c>
      <c r="B1824" s="8" t="str">
        <f>HYPERLINK("https://twitter.com/Je_Ly","@Je_Ly")</f>
        <v>@Je_Ly</v>
      </c>
      <c r="C1824" s="8" t="s">
        <v>1055</v>
      </c>
      <c r="D1824" s="8">
        <v>1</v>
      </c>
      <c r="E1824" s="8">
        <v>0</v>
      </c>
      <c r="F1824" s="8">
        <v>17390</v>
      </c>
    </row>
    <row r="1825" spans="1:6" ht="12.75">
      <c r="A1825" s="8">
        <v>43904.497291666667</v>
      </c>
      <c r="B1825" s="8" t="str">
        <f>HYPERLINK("https://twitter.com/windrisunarno","@windrisunarno")</f>
        <v>@windrisunarno</v>
      </c>
      <c r="C1825" s="8" t="s">
        <v>162</v>
      </c>
      <c r="D1825" s="8">
        <v>47</v>
      </c>
      <c r="E1825" s="8">
        <v>0</v>
      </c>
      <c r="F1825" s="8">
        <v>289</v>
      </c>
    </row>
    <row r="1826" spans="1:6" ht="12.75">
      <c r="A1826" s="8">
        <v>43904.497245370367</v>
      </c>
      <c r="B1826" s="8" t="str">
        <f>HYPERLINK("https://twitter.com/bscoyerico","@bscoyerico")</f>
        <v>@bscoyerico</v>
      </c>
      <c r="C1826" s="8" t="s">
        <v>162</v>
      </c>
      <c r="D1826" s="8">
        <v>47</v>
      </c>
      <c r="E1826" s="8">
        <v>0</v>
      </c>
      <c r="F1826" s="8">
        <v>0</v>
      </c>
    </row>
    <row r="1827" spans="1:6" ht="12.75">
      <c r="A1827" s="8">
        <v>43904.497094907405</v>
      </c>
      <c r="B1827" s="8" t="str">
        <f>HYPERLINK("https://twitter.com/Rulinnov","@Rulinnov")</f>
        <v>@Rulinnov</v>
      </c>
      <c r="C1827" s="8" t="s">
        <v>924</v>
      </c>
      <c r="D1827" s="8">
        <v>37</v>
      </c>
      <c r="E1827" s="8">
        <v>0</v>
      </c>
      <c r="F1827" s="8">
        <v>596</v>
      </c>
    </row>
    <row r="1828" spans="1:6" ht="12.75">
      <c r="A1828" s="8">
        <v>43904.496608796297</v>
      </c>
      <c r="B1828" s="8" t="str">
        <f>HYPERLINK("https://twitter.com/Yerimakoo","@Yerimakoo")</f>
        <v>@Yerimakoo</v>
      </c>
      <c r="C1828" s="8" t="s">
        <v>1056</v>
      </c>
      <c r="D1828" s="8">
        <v>0</v>
      </c>
      <c r="E1828" s="8">
        <v>0</v>
      </c>
      <c r="F1828" s="8">
        <v>29623</v>
      </c>
    </row>
    <row r="1829" spans="1:6" ht="12.75">
      <c r="A1829" s="8">
        <v>43904.496377314819</v>
      </c>
      <c r="B1829" s="8" t="str">
        <f>HYPERLINK("https://twitter.com/agelnegara20","@agelnegara20")</f>
        <v>@agelnegara20</v>
      </c>
      <c r="C1829" s="8" t="s">
        <v>162</v>
      </c>
      <c r="D1829" s="8">
        <v>47</v>
      </c>
      <c r="E1829" s="8">
        <v>0</v>
      </c>
      <c r="F1829" s="8">
        <v>100</v>
      </c>
    </row>
    <row r="1830" spans="1:6" ht="12.75">
      <c r="A1830" s="8">
        <v>43904.496249999997</v>
      </c>
      <c r="B1830" s="8" t="str">
        <f>HYPERLINK("https://twitter.com/padangekspres","@padangekspres")</f>
        <v>@padangekspres</v>
      </c>
      <c r="C1830" s="8" t="s">
        <v>391</v>
      </c>
      <c r="D1830" s="8">
        <v>5</v>
      </c>
      <c r="E1830" s="8">
        <v>0</v>
      </c>
      <c r="F1830" s="8">
        <v>25363</v>
      </c>
    </row>
    <row r="1831" spans="1:6" ht="12.75">
      <c r="A1831" s="8">
        <v>43904.496215277773</v>
      </c>
      <c r="B1831" s="8" t="str">
        <f>HYPERLINK("https://twitter.com/dzookeepers","@dzookeepers")</f>
        <v>@dzookeepers</v>
      </c>
      <c r="C1831" s="8" t="s">
        <v>162</v>
      </c>
      <c r="D1831" s="8">
        <v>47</v>
      </c>
      <c r="E1831" s="8">
        <v>0</v>
      </c>
      <c r="F1831" s="8">
        <v>265</v>
      </c>
    </row>
    <row r="1832" spans="1:6" ht="12.75">
      <c r="A1832" s="8">
        <v>43904.496018518519</v>
      </c>
      <c r="B1832" s="8" t="str">
        <f>HYPERLINK("https://twitter.com/anak_anakafir","@anak_anakafir")</f>
        <v>@anak_anakafir</v>
      </c>
      <c r="C1832" s="8" t="s">
        <v>1007</v>
      </c>
      <c r="D1832" s="8">
        <v>1</v>
      </c>
      <c r="E1832" s="8">
        <v>0</v>
      </c>
      <c r="F1832" s="8">
        <v>4106</v>
      </c>
    </row>
    <row r="1833" spans="1:6" ht="12.75">
      <c r="A1833" s="8">
        <v>43904.495624999996</v>
      </c>
      <c r="B1833" s="8" t="str">
        <f>HYPERLINK("https://twitter.com/connect2Shuja","@connect2Shuja")</f>
        <v>@connect2Shuja</v>
      </c>
      <c r="C1833" s="8" t="s">
        <v>582</v>
      </c>
      <c r="D1833" s="8">
        <v>32</v>
      </c>
      <c r="E1833" s="8">
        <v>0</v>
      </c>
      <c r="F1833" s="8">
        <v>179</v>
      </c>
    </row>
    <row r="1834" spans="1:6" ht="12.75">
      <c r="A1834" s="8">
        <v>43904.495405092588</v>
      </c>
      <c r="B1834" s="8" t="str">
        <f>HYPERLINK("https://twitter.com/Profeeesor","@Profeeesor")</f>
        <v>@Profeeesor</v>
      </c>
      <c r="C1834" s="8" t="s">
        <v>971</v>
      </c>
      <c r="D1834" s="8">
        <v>4</v>
      </c>
      <c r="E1834" s="8">
        <v>0</v>
      </c>
      <c r="F1834" s="8">
        <v>3555</v>
      </c>
    </row>
    <row r="1835" spans="1:6" ht="12.75">
      <c r="A1835" s="8">
        <v>43904.49523148148</v>
      </c>
      <c r="B1835" s="8" t="str">
        <f>HYPERLINK("https://twitter.com/Evitttt","@Evitttt")</f>
        <v>@Evitttt</v>
      </c>
      <c r="C1835" s="8" t="s">
        <v>162</v>
      </c>
      <c r="D1835" s="8">
        <v>47</v>
      </c>
      <c r="E1835" s="8">
        <v>0</v>
      </c>
      <c r="F1835" s="8">
        <v>77</v>
      </c>
    </row>
    <row r="1836" spans="1:6" ht="12.75">
      <c r="A1836" s="8">
        <v>43904.494953703703</v>
      </c>
      <c r="B1836" s="8" t="str">
        <f>HYPERLINK("https://twitter.com/p4dr1_chozan","@p4dr1_chozan")</f>
        <v>@p4dr1_chozan</v>
      </c>
      <c r="C1836" s="8" t="s">
        <v>282</v>
      </c>
      <c r="D1836" s="8">
        <v>12</v>
      </c>
      <c r="E1836" s="8">
        <v>0</v>
      </c>
      <c r="F1836" s="8">
        <v>4735</v>
      </c>
    </row>
    <row r="1837" spans="1:6" ht="12.75">
      <c r="A1837" s="8">
        <v>43904.494953703703</v>
      </c>
      <c r="B1837" s="8" t="str">
        <f>HYPERLINK("https://twitter.com/terses4t","@terses4t")</f>
        <v>@terses4t</v>
      </c>
      <c r="C1837" s="8" t="s">
        <v>162</v>
      </c>
      <c r="D1837" s="8">
        <v>47</v>
      </c>
      <c r="E1837" s="8">
        <v>0</v>
      </c>
      <c r="F1837" s="8">
        <v>395</v>
      </c>
    </row>
    <row r="1838" spans="1:6" ht="12.75">
      <c r="A1838" s="8">
        <v>43904.494340277779</v>
      </c>
      <c r="B1838" s="8" t="str">
        <f>HYPERLINK("https://twitter.com/pwipsang","@pwipsang")</f>
        <v>@pwipsang</v>
      </c>
      <c r="C1838" s="8" t="s">
        <v>162</v>
      </c>
      <c r="D1838" s="8">
        <v>47</v>
      </c>
      <c r="E1838" s="8">
        <v>0</v>
      </c>
      <c r="F1838" s="8">
        <v>1</v>
      </c>
    </row>
    <row r="1839" spans="1:6" ht="12.75">
      <c r="A1839" s="8">
        <v>43904.49418981481</v>
      </c>
      <c r="B1839" s="8" t="str">
        <f>HYPERLINK("https://twitter.com/zulsalampessy","@zulsalampessy")</f>
        <v>@zulsalampessy</v>
      </c>
      <c r="C1839" s="8" t="s">
        <v>1057</v>
      </c>
      <c r="D1839" s="8">
        <v>0</v>
      </c>
      <c r="E1839" s="8">
        <v>0</v>
      </c>
      <c r="F1839" s="8">
        <v>216</v>
      </c>
    </row>
    <row r="1840" spans="1:6" ht="12.75">
      <c r="A1840" s="8">
        <v>43904.493298611109</v>
      </c>
      <c r="B1840" s="8" t="str">
        <f>HYPERLINK("https://twitter.com/ImayldaNM","@ImayldaNM")</f>
        <v>@ImayldaNM</v>
      </c>
      <c r="C1840" s="8" t="s">
        <v>1058</v>
      </c>
      <c r="D1840" s="8">
        <v>0</v>
      </c>
      <c r="E1840" s="8">
        <v>0</v>
      </c>
      <c r="F1840" s="8">
        <v>189</v>
      </c>
    </row>
    <row r="1841" spans="1:6" ht="12.75">
      <c r="A1841" s="8">
        <v>43904.493263888886</v>
      </c>
      <c r="B1841" s="8" t="str">
        <f>HYPERLINK("https://twitter.com/belminthes","@belminthes")</f>
        <v>@belminthes</v>
      </c>
      <c r="C1841" s="8" t="s">
        <v>924</v>
      </c>
      <c r="D1841" s="8">
        <v>37</v>
      </c>
      <c r="E1841" s="8">
        <v>0</v>
      </c>
      <c r="F1841" s="8">
        <v>57</v>
      </c>
    </row>
    <row r="1842" spans="1:6" ht="12.75">
      <c r="A1842" s="8">
        <v>43904.492303240739</v>
      </c>
      <c r="B1842" s="8" t="str">
        <f>HYPERLINK("https://twitter.com/nuts_tun","@nuts_tun")</f>
        <v>@nuts_tun</v>
      </c>
      <c r="C1842" s="8" t="s">
        <v>162</v>
      </c>
      <c r="D1842" s="8">
        <v>47</v>
      </c>
      <c r="E1842" s="8">
        <v>0</v>
      </c>
      <c r="F1842" s="8">
        <v>228</v>
      </c>
    </row>
    <row r="1843" spans="1:6" ht="12.75">
      <c r="A1843" s="8">
        <v>43904.4921875</v>
      </c>
      <c r="B1843" s="8" t="str">
        <f>HYPERLINK("https://twitter.com/daniswdwt","@daniswdwt")</f>
        <v>@daniswdwt</v>
      </c>
      <c r="C1843" s="8" t="s">
        <v>162</v>
      </c>
      <c r="D1843" s="8">
        <v>47</v>
      </c>
      <c r="E1843" s="8">
        <v>0</v>
      </c>
      <c r="F1843" s="8">
        <v>407</v>
      </c>
    </row>
    <row r="1844" spans="1:6" ht="12.75">
      <c r="A1844" s="8">
        <v>43904.491840277777</v>
      </c>
      <c r="B1844" s="8" t="str">
        <f>HYPERLINK("https://twitter.com/jussyasha","@jussyasha")</f>
        <v>@jussyasha</v>
      </c>
      <c r="C1844" s="8" t="s">
        <v>391</v>
      </c>
      <c r="D1844" s="8">
        <v>5</v>
      </c>
      <c r="E1844" s="8">
        <v>0</v>
      </c>
      <c r="F1844" s="8">
        <v>87</v>
      </c>
    </row>
    <row r="1845" spans="1:6" ht="12.75">
      <c r="A1845" s="8">
        <v>43904.491666666669</v>
      </c>
      <c r="B1845" s="8" t="str">
        <f>HYPERLINK("https://twitter.com/BaskoroKata","@BaskoroKata")</f>
        <v>@BaskoroKata</v>
      </c>
      <c r="C1845" s="8" t="s">
        <v>1059</v>
      </c>
      <c r="D1845" s="8">
        <v>1</v>
      </c>
      <c r="E1845" s="8">
        <v>1</v>
      </c>
      <c r="F1845" s="8">
        <v>1692</v>
      </c>
    </row>
    <row r="1846" spans="1:6" ht="12.75">
      <c r="A1846" s="8">
        <v>43904.49155092593</v>
      </c>
      <c r="B1846" s="8" t="str">
        <f>HYPERLINK("https://twitter.com/monaaver77","@monaaver77")</f>
        <v>@monaaver77</v>
      </c>
      <c r="C1846" s="8" t="s">
        <v>162</v>
      </c>
      <c r="D1846" s="8">
        <v>47</v>
      </c>
      <c r="E1846" s="8">
        <v>0</v>
      </c>
      <c r="F1846" s="8">
        <v>531</v>
      </c>
    </row>
    <row r="1847" spans="1:6" ht="12.75">
      <c r="A1847" s="8">
        <v>43904.491469907407</v>
      </c>
      <c r="B1847" s="8" t="str">
        <f>HYPERLINK("https://twitter.com/RadioElshinta","@RadioElshinta")</f>
        <v>@RadioElshinta</v>
      </c>
      <c r="C1847" s="8" t="s">
        <v>1060</v>
      </c>
      <c r="D1847" s="8">
        <v>1</v>
      </c>
      <c r="E1847" s="8">
        <v>0</v>
      </c>
      <c r="F1847" s="8">
        <v>3637700</v>
      </c>
    </row>
    <row r="1848" spans="1:6" ht="12.75">
      <c r="A1848" s="8">
        <v>43904.49119212963</v>
      </c>
      <c r="B1848" s="8" t="str">
        <f>HYPERLINK("https://twitter.com/ghazyalfarras","@ghazyalfarras")</f>
        <v>@ghazyalfarras</v>
      </c>
      <c r="C1848" s="8" t="s">
        <v>162</v>
      </c>
      <c r="D1848" s="8">
        <v>47</v>
      </c>
      <c r="E1848" s="8">
        <v>0</v>
      </c>
      <c r="F1848" s="8">
        <v>3963</v>
      </c>
    </row>
    <row r="1849" spans="1:6" ht="12.75">
      <c r="A1849" s="8">
        <v>43904.490983796291</v>
      </c>
      <c r="B1849" s="8" t="str">
        <f>HYPERLINK("https://twitter.com/RizaldyDonny","@RizaldyDonny")</f>
        <v>@RizaldyDonny</v>
      </c>
      <c r="C1849" s="8" t="s">
        <v>162</v>
      </c>
      <c r="D1849" s="8">
        <v>47</v>
      </c>
      <c r="E1849" s="8">
        <v>0</v>
      </c>
      <c r="F1849" s="8">
        <v>200</v>
      </c>
    </row>
    <row r="1850" spans="1:6" ht="12.75">
      <c r="A1850" s="8">
        <v>43904.490983796291</v>
      </c>
      <c r="B1850" s="8" t="str">
        <f>HYPERLINK("https://twitter.com/Indounik","@Indounik")</f>
        <v>@Indounik</v>
      </c>
      <c r="C1850" s="8" t="s">
        <v>162</v>
      </c>
      <c r="D1850" s="8">
        <v>47</v>
      </c>
      <c r="E1850" s="8">
        <v>0</v>
      </c>
      <c r="F1850" s="8">
        <v>1803</v>
      </c>
    </row>
    <row r="1851" spans="1:6" ht="12.75">
      <c r="A1851" s="8">
        <v>43904.490775462968</v>
      </c>
      <c r="B1851" s="8" t="str">
        <f>HYPERLINK("https://twitter.com/cimimong150815","@cimimong150815")</f>
        <v>@cimimong150815</v>
      </c>
      <c r="C1851" s="8" t="s">
        <v>162</v>
      </c>
      <c r="D1851" s="8">
        <v>47</v>
      </c>
      <c r="E1851" s="8">
        <v>0</v>
      </c>
      <c r="F1851" s="8">
        <v>4577</v>
      </c>
    </row>
    <row r="1852" spans="1:6" ht="12.75">
      <c r="A1852" s="8">
        <v>43904.490763888884</v>
      </c>
      <c r="B1852" s="8" t="str">
        <f>HYPERLINK("https://twitter.com/rezaraihandhany","@rezaraihandhany")</f>
        <v>@rezaraihandhany</v>
      </c>
      <c r="C1852" s="8" t="s">
        <v>63</v>
      </c>
      <c r="D1852" s="8">
        <v>25</v>
      </c>
      <c r="E1852" s="8">
        <v>0</v>
      </c>
      <c r="F1852" s="8">
        <v>150</v>
      </c>
    </row>
    <row r="1853" spans="1:6" ht="12.75">
      <c r="A1853" s="8">
        <v>43904.490624999999</v>
      </c>
      <c r="B1853" s="8" t="str">
        <f>HYPERLINK("https://twitter.com/moesa_jp02","@moesa_jp02")</f>
        <v>@moesa_jp02</v>
      </c>
      <c r="C1853" s="8" t="s">
        <v>1061</v>
      </c>
      <c r="D1853" s="8">
        <v>0</v>
      </c>
      <c r="E1853" s="8">
        <v>1</v>
      </c>
      <c r="F1853" s="8">
        <v>1381</v>
      </c>
    </row>
    <row r="1854" spans="1:6" ht="12.75">
      <c r="A1854" s="8">
        <v>43904.490416666667</v>
      </c>
      <c r="B1854" s="8" t="str">
        <f>HYPERLINK("https://twitter.com/LieYurika","@LieYurika")</f>
        <v>@LieYurika</v>
      </c>
      <c r="C1854" s="8" t="s">
        <v>592</v>
      </c>
      <c r="D1854" s="8">
        <v>0</v>
      </c>
      <c r="E1854" s="8">
        <v>1</v>
      </c>
      <c r="F1854" s="8">
        <v>905</v>
      </c>
    </row>
    <row r="1855" spans="1:6" ht="12.75">
      <c r="A1855" s="8">
        <v>43904.490277777775</v>
      </c>
      <c r="B1855" s="8" t="str">
        <f>HYPERLINK("https://twitter.com/keranjangkecil","@keranjangkecil")</f>
        <v>@keranjangkecil</v>
      </c>
      <c r="C1855" s="8" t="s">
        <v>162</v>
      </c>
      <c r="D1855" s="8">
        <v>47</v>
      </c>
      <c r="E1855" s="8">
        <v>0</v>
      </c>
      <c r="F1855" s="8">
        <v>43</v>
      </c>
    </row>
    <row r="1856" spans="1:6" ht="12.75">
      <c r="A1856" s="8">
        <v>43904.49019675926</v>
      </c>
      <c r="B1856" s="8" t="str">
        <f>HYPERLINK("https://twitter.com/Yuzri_Andrean","@Yuzri_Andrean")</f>
        <v>@Yuzri_Andrean</v>
      </c>
      <c r="C1856" s="8" t="s">
        <v>162</v>
      </c>
      <c r="D1856" s="8">
        <v>47</v>
      </c>
      <c r="E1856" s="8">
        <v>0</v>
      </c>
      <c r="F1856" s="8">
        <v>736</v>
      </c>
    </row>
    <row r="1857" spans="1:6" ht="12.75">
      <c r="A1857" s="8">
        <v>43904.490046296298</v>
      </c>
      <c r="B1857" s="8" t="str">
        <f>HYPERLINK("https://twitter.com/R0FI0","@R0FI0")</f>
        <v>@R0FI0</v>
      </c>
      <c r="C1857" s="8" t="s">
        <v>524</v>
      </c>
      <c r="D1857" s="8">
        <v>3</v>
      </c>
      <c r="E1857" s="8">
        <v>0</v>
      </c>
      <c r="F1857" s="8">
        <v>447</v>
      </c>
    </row>
    <row r="1858" spans="1:6" ht="12.75">
      <c r="A1858" s="8">
        <v>43904.489907407406</v>
      </c>
      <c r="B1858" s="8" t="str">
        <f>HYPERLINK("https://twitter.com/rimamutia","@rimamutia")</f>
        <v>@rimamutia</v>
      </c>
      <c r="C1858" s="8" t="s">
        <v>391</v>
      </c>
      <c r="D1858" s="8">
        <v>5</v>
      </c>
      <c r="E1858" s="8">
        <v>0</v>
      </c>
      <c r="F1858" s="8">
        <v>180</v>
      </c>
    </row>
    <row r="1859" spans="1:6" ht="12.75">
      <c r="A1859" s="8">
        <v>43904.489479166667</v>
      </c>
      <c r="B1859" s="8" t="str">
        <f>HYPERLINK("https://twitter.com/pluffytaes","@pluffytaes")</f>
        <v>@pluffytaes</v>
      </c>
      <c r="C1859" s="8" t="s">
        <v>924</v>
      </c>
      <c r="D1859" s="8">
        <v>37</v>
      </c>
      <c r="E1859" s="8">
        <v>0</v>
      </c>
      <c r="F1859" s="8">
        <v>367</v>
      </c>
    </row>
    <row r="1860" spans="1:6" ht="12.75">
      <c r="A1860" s="8">
        <v>43904.48940972222</v>
      </c>
      <c r="B1860" s="8" t="str">
        <f>HYPERLINK("https://twitter.com/Rudatin7","@Rudatin7")</f>
        <v>@Rudatin7</v>
      </c>
      <c r="C1860" s="8" t="s">
        <v>391</v>
      </c>
      <c r="D1860" s="8">
        <v>5</v>
      </c>
      <c r="E1860" s="8">
        <v>0</v>
      </c>
      <c r="F1860" s="8">
        <v>583</v>
      </c>
    </row>
    <row r="1861" spans="1:6" ht="12.75">
      <c r="A1861" s="8">
        <v>43904.48914351852</v>
      </c>
      <c r="B1861" s="8" t="str">
        <f>HYPERLINK("https://twitter.com/brianfeca_","@brianfeca_")</f>
        <v>@brianfeca_</v>
      </c>
      <c r="C1861" s="8" t="s">
        <v>162</v>
      </c>
      <c r="D1861" s="8">
        <v>47</v>
      </c>
      <c r="E1861" s="8">
        <v>0</v>
      </c>
      <c r="F1861" s="8">
        <v>2589</v>
      </c>
    </row>
    <row r="1862" spans="1:6" ht="12.75">
      <c r="A1862" s="8">
        <v>43904.489131944443</v>
      </c>
      <c r="B1862" s="8" t="str">
        <f>HYPERLINK("https://twitter.com/elangbc","@elangbc")</f>
        <v>@elangbc</v>
      </c>
      <c r="C1862" s="8" t="s">
        <v>162</v>
      </c>
      <c r="D1862" s="8">
        <v>47</v>
      </c>
      <c r="E1862" s="8">
        <v>0</v>
      </c>
      <c r="F1862" s="8">
        <v>7942</v>
      </c>
    </row>
    <row r="1863" spans="1:6" ht="12.75">
      <c r="A1863" s="8">
        <v>43904.489108796297</v>
      </c>
      <c r="B1863" s="8" t="str">
        <f>HYPERLINK("https://twitter.com/AryNendezKombet","@AryNendezKombet")</f>
        <v>@AryNendezKombet</v>
      </c>
      <c r="C1863" s="8" t="s">
        <v>892</v>
      </c>
      <c r="D1863" s="8">
        <v>6</v>
      </c>
      <c r="E1863" s="8">
        <v>0</v>
      </c>
      <c r="F1863" s="8">
        <v>138</v>
      </c>
    </row>
    <row r="1864" spans="1:6" ht="12.75">
      <c r="A1864" s="8">
        <v>43904.489016203705</v>
      </c>
      <c r="B1864" s="8" t="str">
        <f>HYPERLINK("https://twitter.com/dyasdarcy","@dyasdarcy")</f>
        <v>@dyasdarcy</v>
      </c>
      <c r="C1864" s="8" t="s">
        <v>162</v>
      </c>
      <c r="D1864" s="8">
        <v>47</v>
      </c>
      <c r="E1864" s="8">
        <v>0</v>
      </c>
      <c r="F1864" s="8">
        <v>213</v>
      </c>
    </row>
    <row r="1865" spans="1:6" ht="12.75">
      <c r="A1865" s="8">
        <v>43904.489004629635</v>
      </c>
      <c r="B1865" s="8" t="str">
        <f>HYPERLINK("https://twitter.com/_Bakemono","@_Bakemono")</f>
        <v>@_Bakemono</v>
      </c>
      <c r="C1865" s="8" t="s">
        <v>162</v>
      </c>
      <c r="D1865" s="8">
        <v>47</v>
      </c>
      <c r="E1865" s="8">
        <v>0</v>
      </c>
      <c r="F1865" s="8">
        <v>835</v>
      </c>
    </row>
    <row r="1866" spans="1:6" ht="12.75">
      <c r="A1866" s="8">
        <v>43904.488877314812</v>
      </c>
      <c r="B1866" s="8" t="str">
        <f>HYPERLINK("https://twitter.com/nashigoryeng","@nashigoryeng")</f>
        <v>@nashigoryeng</v>
      </c>
      <c r="C1866" s="8" t="s">
        <v>162</v>
      </c>
      <c r="D1866" s="8">
        <v>47</v>
      </c>
      <c r="E1866" s="8">
        <v>0</v>
      </c>
      <c r="F1866" s="8">
        <v>74</v>
      </c>
    </row>
    <row r="1867" spans="1:6" ht="12.75">
      <c r="A1867" s="8">
        <v>43904.488622685181</v>
      </c>
      <c r="B1867" s="8" t="str">
        <f>HYPERLINK("https://twitter.com/kayakseulge","@kayakseulge")</f>
        <v>@kayakseulge</v>
      </c>
      <c r="C1867" s="8" t="s">
        <v>162</v>
      </c>
      <c r="D1867" s="8">
        <v>47</v>
      </c>
      <c r="E1867" s="8">
        <v>0</v>
      </c>
      <c r="F1867" s="8">
        <v>1495</v>
      </c>
    </row>
    <row r="1868" spans="1:6" ht="12.75">
      <c r="A1868" s="8">
        <v>43904.488622685181</v>
      </c>
      <c r="B1868" s="8" t="str">
        <f>HYPERLINK("https://twitter.com/dhikardus","@dhikardus")</f>
        <v>@dhikardus</v>
      </c>
      <c r="C1868" s="8" t="s">
        <v>162</v>
      </c>
      <c r="D1868" s="8">
        <v>47</v>
      </c>
      <c r="E1868" s="8">
        <v>0</v>
      </c>
      <c r="F1868" s="8">
        <v>171</v>
      </c>
    </row>
    <row r="1869" spans="1:6" ht="12.75">
      <c r="A1869" s="8">
        <v>43904.488495370373</v>
      </c>
      <c r="B1869" s="8" t="str">
        <f>HYPERLINK("https://twitter.com/herfarrah","@herfarrah")</f>
        <v>@herfarrah</v>
      </c>
      <c r="C1869" s="8" t="s">
        <v>162</v>
      </c>
      <c r="D1869" s="8">
        <v>47</v>
      </c>
      <c r="E1869" s="8">
        <v>0</v>
      </c>
      <c r="F1869" s="8">
        <v>528</v>
      </c>
    </row>
    <row r="1870" spans="1:6" ht="12.75">
      <c r="A1870" s="8">
        <v>43904.488483796296</v>
      </c>
      <c r="B1870" s="8" t="str">
        <f>HYPERLINK("https://twitter.com/miawmiawucul","@miawmiawucul")</f>
        <v>@miawmiawucul</v>
      </c>
      <c r="C1870" s="8" t="s">
        <v>162</v>
      </c>
      <c r="D1870" s="8">
        <v>47</v>
      </c>
      <c r="E1870" s="8">
        <v>0</v>
      </c>
      <c r="F1870" s="8">
        <v>895</v>
      </c>
    </row>
    <row r="1871" spans="1:6" ht="12.75">
      <c r="A1871" s="8">
        <v>43904.488287037035</v>
      </c>
      <c r="B1871" s="8" t="str">
        <f>HYPERLINK("https://twitter.com/Me_fahd","@Me_fahd")</f>
        <v>@Me_fahd</v>
      </c>
      <c r="C1871" s="8" t="s">
        <v>162</v>
      </c>
      <c r="D1871" s="8">
        <v>47</v>
      </c>
      <c r="E1871" s="8">
        <v>0</v>
      </c>
      <c r="F1871" s="8">
        <v>337</v>
      </c>
    </row>
    <row r="1872" spans="1:6" ht="12.75">
      <c r="A1872" s="8">
        <v>43904.488229166665</v>
      </c>
      <c r="B1872" s="8" t="str">
        <f>HYPERLINK("https://twitter.com/mauritzrafael","@mauritzrafael")</f>
        <v>@mauritzrafael</v>
      </c>
      <c r="C1872" s="8" t="s">
        <v>924</v>
      </c>
      <c r="D1872" s="8">
        <v>37</v>
      </c>
      <c r="E1872" s="8">
        <v>0</v>
      </c>
      <c r="F1872" s="8">
        <v>379</v>
      </c>
    </row>
    <row r="1873" spans="1:6" ht="12.75">
      <c r="A1873" s="8">
        <v>43904.48814814815</v>
      </c>
      <c r="B1873" s="8" t="str">
        <f>HYPERLINK("https://twitter.com/BNPB_Indonesia","@BNPB_Indonesia")</f>
        <v>@BNPB_Indonesia</v>
      </c>
      <c r="C1873" s="8" t="s">
        <v>1062</v>
      </c>
      <c r="D1873" s="8">
        <v>5</v>
      </c>
      <c r="E1873" s="8">
        <v>14</v>
      </c>
      <c r="F1873" s="8">
        <v>231686</v>
      </c>
    </row>
    <row r="1874" spans="1:6" ht="12.75">
      <c r="A1874" s="8">
        <v>43904.488009259258</v>
      </c>
      <c r="B1874" s="8" t="str">
        <f>HYPERLINK("https://twitter.com/gerahkali","@gerahkali")</f>
        <v>@gerahkali</v>
      </c>
      <c r="C1874" s="8" t="s">
        <v>1063</v>
      </c>
      <c r="D1874" s="8">
        <v>0</v>
      </c>
      <c r="E1874" s="8">
        <v>0</v>
      </c>
      <c r="F1874" s="8">
        <v>703</v>
      </c>
    </row>
    <row r="1875" spans="1:6" ht="12.75">
      <c r="A1875" s="8">
        <v>43904.487708333334</v>
      </c>
      <c r="B1875" s="8" t="str">
        <f>HYPERLINK("https://twitter.com/asofiyanfiyan","@asofiyanfiyan")</f>
        <v>@asofiyanfiyan</v>
      </c>
      <c r="C1875" s="8" t="s">
        <v>892</v>
      </c>
      <c r="D1875" s="8">
        <v>6</v>
      </c>
      <c r="E1875" s="8">
        <v>0</v>
      </c>
      <c r="F1875" s="8">
        <v>358</v>
      </c>
    </row>
    <row r="1876" spans="1:6" ht="12.75">
      <c r="A1876" s="8">
        <v>43904.487557870365</v>
      </c>
      <c r="B1876" s="8" t="str">
        <f>HYPERLINK("https://twitter.com/EgunFransiskus","@EgunFransiskus")</f>
        <v>@EgunFransiskus</v>
      </c>
      <c r="C1876" s="8" t="s">
        <v>162</v>
      </c>
      <c r="D1876" s="8">
        <v>47</v>
      </c>
      <c r="E1876" s="8">
        <v>0</v>
      </c>
      <c r="F1876" s="8">
        <v>154</v>
      </c>
    </row>
    <row r="1877" spans="1:6" ht="12.75">
      <c r="A1877" s="8">
        <v>43904.487210648149</v>
      </c>
      <c r="B1877" s="8" t="str">
        <f>HYPERLINK("https://twitter.com/dawnskyserenity","@dawnskyserenity")</f>
        <v>@dawnskyserenity</v>
      </c>
      <c r="C1877" s="8" t="s">
        <v>162</v>
      </c>
      <c r="D1877" s="8">
        <v>47</v>
      </c>
      <c r="E1877" s="8">
        <v>0</v>
      </c>
      <c r="F1877" s="8">
        <v>113</v>
      </c>
    </row>
    <row r="1878" spans="1:6" ht="12.75">
      <c r="A1878" s="8">
        <v>43904.48710648148</v>
      </c>
      <c r="B1878" s="8" t="str">
        <f>HYPERLINK("https://twitter.com/etnomenignotum","@etnomenignotum")</f>
        <v>@etnomenignotum</v>
      </c>
      <c r="C1878" s="8" t="s">
        <v>162</v>
      </c>
      <c r="D1878" s="8">
        <v>47</v>
      </c>
      <c r="E1878" s="8">
        <v>0</v>
      </c>
      <c r="F1878" s="8">
        <v>537</v>
      </c>
    </row>
    <row r="1879" spans="1:6" ht="12.75">
      <c r="A1879" s="8">
        <v>43904.487071759257</v>
      </c>
      <c r="B1879" s="8" t="str">
        <f>HYPERLINK("https://twitter.com/diahayuas","@diahayuas")</f>
        <v>@diahayuas</v>
      </c>
      <c r="C1879" s="8" t="s">
        <v>162</v>
      </c>
      <c r="D1879" s="8">
        <v>47</v>
      </c>
      <c r="E1879" s="8">
        <v>0</v>
      </c>
      <c r="F1879" s="8">
        <v>1579</v>
      </c>
    </row>
    <row r="1880" spans="1:6" ht="12.75">
      <c r="A1880" s="8">
        <v>43904.486956018518</v>
      </c>
      <c r="B1880" s="8" t="str">
        <f>HYPERLINK("https://twitter.com/kbrisingapura","@kbrisingapura")</f>
        <v>@kbrisingapura</v>
      </c>
      <c r="C1880" s="8" t="s">
        <v>1064</v>
      </c>
      <c r="D1880" s="8">
        <v>0</v>
      </c>
      <c r="E1880" s="8">
        <v>0</v>
      </c>
      <c r="F1880" s="8">
        <v>4696</v>
      </c>
    </row>
    <row r="1881" spans="1:6" ht="12.75">
      <c r="A1881" s="8">
        <v>43904.486840277779</v>
      </c>
      <c r="B1881" s="8" t="str">
        <f>HYPERLINK("https://twitter.com/bisnisindgroup","@bisnisindgroup")</f>
        <v>@bisnisindgroup</v>
      </c>
      <c r="C1881" s="8" t="s">
        <v>989</v>
      </c>
      <c r="D1881" s="8">
        <v>0</v>
      </c>
      <c r="E1881" s="8">
        <v>0</v>
      </c>
      <c r="F1881" s="8">
        <v>7411</v>
      </c>
    </row>
    <row r="1882" spans="1:6" ht="12.75">
      <c r="A1882" s="8">
        <v>43904.486782407403</v>
      </c>
      <c r="B1882" s="8" t="str">
        <f>HYPERLINK("https://twitter.com/ddefelly_","@ddefelly_")</f>
        <v>@ddefelly_</v>
      </c>
      <c r="C1882" s="8" t="s">
        <v>162</v>
      </c>
      <c r="D1882" s="8">
        <v>47</v>
      </c>
      <c r="E1882" s="8">
        <v>0</v>
      </c>
      <c r="F1882" s="8">
        <v>525</v>
      </c>
    </row>
    <row r="1883" spans="1:6" ht="12.75">
      <c r="A1883" s="8">
        <v>43904.486759259264</v>
      </c>
      <c r="B1883" s="8" t="str">
        <f>HYPERLINK("https://twitter.com/119twisted","@119twisted")</f>
        <v>@119twisted</v>
      </c>
      <c r="C1883" s="8" t="s">
        <v>162</v>
      </c>
      <c r="D1883" s="8">
        <v>47</v>
      </c>
      <c r="E1883" s="8">
        <v>0</v>
      </c>
      <c r="F1883" s="8">
        <v>1146</v>
      </c>
    </row>
    <row r="1884" spans="1:6" ht="12.75">
      <c r="A1884" s="8">
        <v>43904.486111111109</v>
      </c>
      <c r="B1884" s="8" t="str">
        <f>HYPERLINK("https://twitter.com/heruw95","@heruw95")</f>
        <v>@heruw95</v>
      </c>
      <c r="C1884" s="8" t="s">
        <v>282</v>
      </c>
      <c r="D1884" s="8">
        <v>12</v>
      </c>
      <c r="E1884" s="8">
        <v>0</v>
      </c>
      <c r="F1884" s="8">
        <v>2258</v>
      </c>
    </row>
    <row r="1885" spans="1:6" ht="12.75">
      <c r="A1885" s="8">
        <v>43904.486076388886</v>
      </c>
      <c r="B1885" s="8" t="str">
        <f>HYPERLINK("https://twitter.com/Rifkifahrezy_","@Rifkifahrezy_")</f>
        <v>@Rifkifahrezy_</v>
      </c>
      <c r="C1885" s="8" t="s">
        <v>1065</v>
      </c>
      <c r="D1885" s="8">
        <v>0</v>
      </c>
      <c r="E1885" s="8">
        <v>0</v>
      </c>
      <c r="F1885" s="8">
        <v>12</v>
      </c>
    </row>
    <row r="1886" spans="1:6" ht="12.75">
      <c r="A1886" s="8">
        <v>43904.485821759255</v>
      </c>
      <c r="B1886" s="8" t="str">
        <f>HYPERLINK("https://twitter.com/BBCIndonesia","@BBCIndonesia")</f>
        <v>@BBCIndonesia</v>
      </c>
      <c r="C1886" s="8" t="s">
        <v>1066</v>
      </c>
      <c r="D1886" s="8">
        <v>47</v>
      </c>
      <c r="E1886" s="8">
        <v>124</v>
      </c>
      <c r="F1886" s="8">
        <v>1213238</v>
      </c>
    </row>
    <row r="1887" spans="1:6" ht="12.75">
      <c r="A1887" s="8">
        <v>43904.485659722224</v>
      </c>
      <c r="B1887" s="8" t="str">
        <f>HYPERLINK("https://twitter.com/AribAffan1","@AribAffan1")</f>
        <v>@AribAffan1</v>
      </c>
      <c r="C1887" s="8" t="s">
        <v>582</v>
      </c>
      <c r="D1887" s="8">
        <v>32</v>
      </c>
      <c r="E1887" s="8">
        <v>0</v>
      </c>
      <c r="F1887" s="8">
        <v>40</v>
      </c>
    </row>
    <row r="1888" spans="1:6" ht="12.75">
      <c r="A1888" s="8">
        <v>43904.485254629632</v>
      </c>
      <c r="B1888" s="8" t="str">
        <f>HYPERLINK("https://twitter.com/gilang_coffee","@gilang_coffee")</f>
        <v>@gilang_coffee</v>
      </c>
      <c r="C1888" s="8" t="s">
        <v>282</v>
      </c>
      <c r="D1888" s="8">
        <v>12</v>
      </c>
      <c r="E1888" s="8">
        <v>0</v>
      </c>
      <c r="F1888" s="8">
        <v>7233</v>
      </c>
    </row>
    <row r="1889" spans="1:6" ht="12.75">
      <c r="A1889" s="8">
        <v>43904.485092592593</v>
      </c>
      <c r="B1889" s="8" t="str">
        <f>HYPERLINK("https://twitter.com/anisnuraini2","@anisnuraini2")</f>
        <v>@anisnuraini2</v>
      </c>
      <c r="C1889" s="8" t="s">
        <v>63</v>
      </c>
      <c r="D1889" s="8">
        <v>25</v>
      </c>
      <c r="E1889" s="8">
        <v>0</v>
      </c>
      <c r="F1889" s="8">
        <v>195</v>
      </c>
    </row>
    <row r="1890" spans="1:6" ht="12.75">
      <c r="A1890" s="8">
        <v>43904.484317129631</v>
      </c>
      <c r="B1890" s="8" t="str">
        <f>HYPERLINK("https://twitter.com/taufannurcahyo","@taufannurcahyo")</f>
        <v>@taufannurcahyo</v>
      </c>
      <c r="C1890" s="8" t="s">
        <v>282</v>
      </c>
      <c r="D1890" s="8">
        <v>12</v>
      </c>
      <c r="E1890" s="8">
        <v>0</v>
      </c>
      <c r="F1890" s="8">
        <v>384</v>
      </c>
    </row>
    <row r="1891" spans="1:6" ht="12.75">
      <c r="A1891" s="8">
        <v>43904.465104166666</v>
      </c>
      <c r="B1891" s="8" t="str">
        <f>HYPERLINK("https://twitter.com/bvl_qxs","@bvl_qxs")</f>
        <v>@bvl_qxs</v>
      </c>
      <c r="C1891" s="8" t="s">
        <v>1067</v>
      </c>
      <c r="D1891" s="8">
        <v>0</v>
      </c>
      <c r="E1891" s="8">
        <v>0</v>
      </c>
      <c r="F1891" s="8">
        <v>139</v>
      </c>
    </row>
    <row r="1892" spans="1:6" ht="12.75">
      <c r="A1892" s="8">
        <v>43904.465081018519</v>
      </c>
      <c r="B1892" s="8" t="str">
        <f>HYPERLINK("https://twitter.com/tjahtngina","@tjahtngina")</f>
        <v>@tjahtngina</v>
      </c>
      <c r="C1892" s="8" t="s">
        <v>1068</v>
      </c>
      <c r="D1892" s="8">
        <v>6</v>
      </c>
      <c r="E1892" s="8">
        <v>0</v>
      </c>
      <c r="F1892" s="8">
        <v>370</v>
      </c>
    </row>
    <row r="1893" spans="1:6" ht="12.75">
      <c r="A1893" s="8">
        <v>43904.464872685188</v>
      </c>
      <c r="B1893" s="8" t="str">
        <f>HYPERLINK("https://twitter.com/avalo_isis","@avalo_isis")</f>
        <v>@avalo_isis</v>
      </c>
      <c r="C1893" s="8" t="s">
        <v>1069</v>
      </c>
      <c r="D1893" s="8">
        <v>0</v>
      </c>
      <c r="E1893" s="8">
        <v>0</v>
      </c>
      <c r="F1893" s="8">
        <v>26</v>
      </c>
    </row>
    <row r="1894" spans="1:6" ht="12.75">
      <c r="A1894" s="8">
        <v>43904.464525462958</v>
      </c>
      <c r="B1894" s="8" t="str">
        <f>HYPERLINK("https://twitter.com/ughteaGrunge","@ughteaGrunge")</f>
        <v>@ughteaGrunge</v>
      </c>
      <c r="C1894" s="8" t="s">
        <v>924</v>
      </c>
      <c r="D1894" s="8">
        <v>31</v>
      </c>
      <c r="E1894" s="8">
        <v>0</v>
      </c>
      <c r="F1894" s="8">
        <v>1226</v>
      </c>
    </row>
    <row r="1895" spans="1:6" ht="12.75">
      <c r="A1895" s="8">
        <v>43904.463402777779</v>
      </c>
      <c r="B1895" s="8" t="str">
        <f>HYPERLINK("https://twitter.com/tvOneNews","@tvOneNews")</f>
        <v>@tvOneNews</v>
      </c>
      <c r="C1895" s="8" t="s">
        <v>1070</v>
      </c>
      <c r="D1895" s="8">
        <v>0</v>
      </c>
      <c r="E1895" s="8">
        <v>1</v>
      </c>
      <c r="F1895" s="8">
        <v>8734736</v>
      </c>
    </row>
    <row r="1896" spans="1:6" ht="12.75">
      <c r="A1896" s="8">
        <v>43904.46329861111</v>
      </c>
      <c r="B1896" s="8" t="str">
        <f>HYPERLINK("https://twitter.com/saiIoryoun","@saiIoryoun")</f>
        <v>@saiIoryoun</v>
      </c>
      <c r="C1896" s="8" t="s">
        <v>1071</v>
      </c>
      <c r="D1896" s="8">
        <v>1</v>
      </c>
      <c r="E1896" s="8">
        <v>0</v>
      </c>
      <c r="F1896" s="8">
        <v>1036</v>
      </c>
    </row>
    <row r="1897" spans="1:6" ht="12.75">
      <c r="A1897" s="8">
        <v>43904.463252314818</v>
      </c>
      <c r="B1897" s="8" t="str">
        <f>HYPERLINK("https://twitter.com/avalo_isis","@avalo_isis")</f>
        <v>@avalo_isis</v>
      </c>
      <c r="C1897" s="8" t="s">
        <v>1072</v>
      </c>
      <c r="D1897" s="8">
        <v>0</v>
      </c>
      <c r="E1897" s="8">
        <v>0</v>
      </c>
      <c r="F1897" s="8">
        <v>26</v>
      </c>
    </row>
    <row r="1898" spans="1:6" ht="12.75">
      <c r="A1898" s="8">
        <v>43904.462905092594</v>
      </c>
      <c r="B1898" s="8" t="str">
        <f>HYPERLINK("https://twitter.com/jeandhyuck","@jeandhyuck")</f>
        <v>@jeandhyuck</v>
      </c>
      <c r="C1898" s="8" t="s">
        <v>1073</v>
      </c>
      <c r="D1898" s="8">
        <v>0</v>
      </c>
      <c r="E1898" s="8">
        <v>0</v>
      </c>
      <c r="F1898" s="8">
        <v>2072</v>
      </c>
    </row>
    <row r="1899" spans="1:6" ht="12.75">
      <c r="A1899" s="8">
        <v>43904.46266203704</v>
      </c>
      <c r="B1899" s="8" t="str">
        <f>HYPERLINK("https://twitter.com/pinardi17","@pinardi17")</f>
        <v>@pinardi17</v>
      </c>
      <c r="C1899" s="8" t="s">
        <v>203</v>
      </c>
      <c r="D1899" s="8">
        <v>31</v>
      </c>
      <c r="E1899" s="8">
        <v>0</v>
      </c>
      <c r="F1899" s="8">
        <v>106</v>
      </c>
    </row>
    <row r="1900" spans="1:6" ht="12.75">
      <c r="A1900" s="8">
        <v>43904.46193287037</v>
      </c>
      <c r="B1900" s="8" t="str">
        <f>HYPERLINK("https://twitter.com/Kangcahyo1","@Kangcahyo1")</f>
        <v>@Kangcahyo1</v>
      </c>
      <c r="C1900" s="8" t="s">
        <v>925</v>
      </c>
      <c r="D1900" s="8">
        <v>189</v>
      </c>
      <c r="E1900" s="8">
        <v>0</v>
      </c>
      <c r="F1900" s="8">
        <v>240</v>
      </c>
    </row>
    <row r="1901" spans="1:6" ht="12.75">
      <c r="A1901" s="8">
        <v>43904.461712962962</v>
      </c>
      <c r="B1901" s="8" t="str">
        <f>HYPERLINK("https://twitter.com/arifkhusnull","@arifkhusnull")</f>
        <v>@arifkhusnull</v>
      </c>
      <c r="C1901" s="8" t="s">
        <v>1074</v>
      </c>
      <c r="D1901" s="8">
        <v>2</v>
      </c>
      <c r="E1901" s="8">
        <v>0</v>
      </c>
      <c r="F1901" s="8">
        <v>993</v>
      </c>
    </row>
    <row r="1902" spans="1:6" ht="12.75">
      <c r="A1902" s="8">
        <v>43904.461493055554</v>
      </c>
      <c r="B1902" s="8" t="str">
        <f>HYPERLINK("https://twitter.com/KaushalBizzle","@KaushalBizzle")</f>
        <v>@KaushalBizzle</v>
      </c>
      <c r="C1902" s="8" t="s">
        <v>1075</v>
      </c>
      <c r="D1902" s="8">
        <v>0</v>
      </c>
      <c r="E1902" s="8">
        <v>0</v>
      </c>
      <c r="F1902" s="8">
        <v>241</v>
      </c>
    </row>
    <row r="1903" spans="1:6" ht="12.75">
      <c r="A1903" s="8">
        <v>43904.460879629631</v>
      </c>
      <c r="B1903" s="8" t="str">
        <f>HYPERLINK("https://twitter.com/iNewsID","@iNewsID")</f>
        <v>@iNewsID</v>
      </c>
      <c r="C1903" s="8" t="s">
        <v>1076</v>
      </c>
      <c r="D1903" s="8">
        <v>0</v>
      </c>
      <c r="E1903" s="8">
        <v>0</v>
      </c>
      <c r="F1903" s="8">
        <v>1402</v>
      </c>
    </row>
    <row r="1904" spans="1:6" ht="12.75">
      <c r="A1904" s="8">
        <v>43904.45993055556</v>
      </c>
      <c r="B1904" s="8" t="str">
        <f>HYPERLINK("https://twitter.com/INAinLebanon","@INAinLebanon")</f>
        <v>@INAinLebanon</v>
      </c>
      <c r="C1904" s="8" t="s">
        <v>203</v>
      </c>
      <c r="D1904" s="8">
        <v>31</v>
      </c>
      <c r="E1904" s="8">
        <v>0</v>
      </c>
      <c r="F1904" s="8">
        <v>78</v>
      </c>
    </row>
    <row r="1905" spans="1:6" ht="12.75">
      <c r="A1905" s="8">
        <v>43904.458472222221</v>
      </c>
      <c r="B1905" s="8" t="str">
        <f>HYPERLINK("https://twitter.com/bpriady","@bpriady")</f>
        <v>@bpriady</v>
      </c>
      <c r="C1905" s="8" t="s">
        <v>353</v>
      </c>
      <c r="D1905" s="8">
        <v>142</v>
      </c>
      <c r="E1905" s="8">
        <v>0</v>
      </c>
      <c r="F1905" s="8">
        <v>617</v>
      </c>
    </row>
    <row r="1906" spans="1:6" ht="12.75">
      <c r="A1906" s="8">
        <v>43904.457175925927</v>
      </c>
      <c r="B1906" s="8" t="str">
        <f>HYPERLINK("https://twitter.com/gustielrazzaq","@gustielrazzaq")</f>
        <v>@gustielrazzaq</v>
      </c>
      <c r="C1906" s="8" t="s">
        <v>1077</v>
      </c>
      <c r="D1906" s="8">
        <v>0</v>
      </c>
      <c r="E1906" s="8">
        <v>0</v>
      </c>
      <c r="F1906" s="8">
        <v>78</v>
      </c>
    </row>
    <row r="1907" spans="1:6" ht="12.75">
      <c r="A1907" s="8">
        <v>43904.456435185188</v>
      </c>
      <c r="B1907" s="8" t="str">
        <f>HYPERLINK("https://twitter.com/AgusSup39011241","@AgusSup39011241")</f>
        <v>@AgusSup39011241</v>
      </c>
      <c r="C1907" s="8" t="s">
        <v>1078</v>
      </c>
      <c r="D1907" s="8">
        <v>706</v>
      </c>
      <c r="E1907" s="8">
        <v>0</v>
      </c>
      <c r="F1907" s="8">
        <v>10477</v>
      </c>
    </row>
    <row r="1908" spans="1:6" ht="12.75">
      <c r="A1908" s="8">
        <v>43904.456377314811</v>
      </c>
      <c r="B1908" s="8" t="str">
        <f>HYPERLINK("https://twitter.com/pavan_sethi","@pavan_sethi")</f>
        <v>@pavan_sethi</v>
      </c>
      <c r="C1908" s="8" t="s">
        <v>582</v>
      </c>
      <c r="D1908" s="8">
        <v>25</v>
      </c>
      <c r="E1908" s="8">
        <v>0</v>
      </c>
      <c r="F1908" s="8">
        <v>2873</v>
      </c>
    </row>
    <row r="1909" spans="1:6" ht="12.75">
      <c r="A1909" s="8">
        <v>43904.456076388888</v>
      </c>
      <c r="B1909" s="8" t="str">
        <f>HYPERLINK("https://twitter.com/NgkongRoses","@NgkongRoses")</f>
        <v>@NgkongRoses</v>
      </c>
      <c r="C1909" s="8" t="s">
        <v>299</v>
      </c>
      <c r="D1909" s="8">
        <v>4740</v>
      </c>
      <c r="E1909" s="8">
        <v>0</v>
      </c>
      <c r="F1909" s="8">
        <v>9918</v>
      </c>
    </row>
    <row r="1910" spans="1:6" ht="12.75">
      <c r="A1910" s="8">
        <v>43904.455740740741</v>
      </c>
      <c r="B1910" s="8" t="str">
        <f>HYPERLINK("https://twitter.com/aewin86","@aewin86")</f>
        <v>@aewin86</v>
      </c>
      <c r="C1910" s="8" t="s">
        <v>1079</v>
      </c>
      <c r="D1910" s="8">
        <v>0</v>
      </c>
      <c r="E1910" s="8">
        <v>0</v>
      </c>
      <c r="F1910" s="8">
        <v>16297</v>
      </c>
    </row>
    <row r="1911" spans="1:6" ht="12.75">
      <c r="A1911" s="8">
        <v>43904.455555555556</v>
      </c>
      <c r="B1911" s="8" t="str">
        <f>HYPERLINK("https://twitter.com/SiawFung88","@SiawFung88")</f>
        <v>@SiawFung88</v>
      </c>
      <c r="C1911" s="8" t="s">
        <v>1080</v>
      </c>
      <c r="D1911" s="8">
        <v>0</v>
      </c>
      <c r="E1911" s="8">
        <v>1</v>
      </c>
      <c r="F1911" s="8">
        <v>18</v>
      </c>
    </row>
    <row r="1912" spans="1:6" ht="12.75">
      <c r="A1912" s="8">
        <v>43904.455497685187</v>
      </c>
      <c r="B1912" s="8" t="str">
        <f>HYPERLINK("https://twitter.com/wongserang_","@wongserang_")</f>
        <v>@wongserang_</v>
      </c>
      <c r="C1912" s="8" t="s">
        <v>924</v>
      </c>
      <c r="D1912" s="8">
        <v>31</v>
      </c>
      <c r="E1912" s="8">
        <v>0</v>
      </c>
      <c r="F1912" s="8">
        <v>8467</v>
      </c>
    </row>
    <row r="1913" spans="1:6" ht="12.75">
      <c r="A1913" s="8">
        <v>43904.455312499995</v>
      </c>
      <c r="B1913" s="8" t="str">
        <f>HYPERLINK("https://twitter.com/andre_qoje","@andre_qoje")</f>
        <v>@andre_qoje</v>
      </c>
      <c r="C1913" s="8" t="s">
        <v>282</v>
      </c>
      <c r="D1913" s="8">
        <v>5</v>
      </c>
      <c r="E1913" s="8">
        <v>0</v>
      </c>
      <c r="F1913" s="8">
        <v>11414</v>
      </c>
    </row>
    <row r="1914" spans="1:6" ht="12.75">
      <c r="A1914" s="8">
        <v>43904.455011574071</v>
      </c>
      <c r="B1914" s="8" t="str">
        <f>HYPERLINK("https://twitter.com/schkyu","@schkyu")</f>
        <v>@schkyu</v>
      </c>
      <c r="C1914" s="8" t="s">
        <v>203</v>
      </c>
      <c r="D1914" s="8">
        <v>31</v>
      </c>
      <c r="E1914" s="8">
        <v>0</v>
      </c>
      <c r="F1914" s="8">
        <v>707</v>
      </c>
    </row>
    <row r="1915" spans="1:6" ht="12.75">
      <c r="A1915" s="8">
        <v>43904.454918981486</v>
      </c>
      <c r="B1915" s="8" t="str">
        <f>HYPERLINK("https://twitter.com/chan_dedot","@chan_dedot")</f>
        <v>@chan_dedot</v>
      </c>
      <c r="C1915" s="8" t="s">
        <v>282</v>
      </c>
      <c r="D1915" s="8">
        <v>5</v>
      </c>
      <c r="E1915" s="8">
        <v>0</v>
      </c>
      <c r="F1915" s="8">
        <v>55</v>
      </c>
    </row>
    <row r="1916" spans="1:6" ht="12.75">
      <c r="A1916" s="8">
        <v>43904.45484953704</v>
      </c>
      <c r="B1916" s="8" t="str">
        <f>HYPERLINK("https://twitter.com/supry_jkw","@supry_jkw")</f>
        <v>@supry_jkw</v>
      </c>
      <c r="C1916" s="8" t="s">
        <v>1081</v>
      </c>
      <c r="D1916" s="8">
        <v>0</v>
      </c>
      <c r="E1916" s="8">
        <v>0</v>
      </c>
      <c r="F1916" s="8">
        <v>1224</v>
      </c>
    </row>
    <row r="1917" spans="1:6" ht="12.75">
      <c r="A1917" s="8">
        <v>43904.454560185186</v>
      </c>
      <c r="B1917" s="8" t="str">
        <f>HYPERLINK("https://twitter.com/Amat_Selow","@Amat_Selow")</f>
        <v>@Amat_Selow</v>
      </c>
      <c r="C1917" s="8" t="s">
        <v>971</v>
      </c>
      <c r="D1917" s="8">
        <v>3</v>
      </c>
      <c r="E1917" s="8">
        <v>0</v>
      </c>
      <c r="F1917" s="8">
        <v>503</v>
      </c>
    </row>
    <row r="1918" spans="1:6" ht="12.75">
      <c r="A1918" s="8">
        <v>43904.454467592594</v>
      </c>
      <c r="B1918" s="8" t="str">
        <f>HYPERLINK("https://twitter.com/mysticsrishti","@mysticsrishti")</f>
        <v>@mysticsrishti</v>
      </c>
      <c r="C1918" s="8" t="s">
        <v>1082</v>
      </c>
      <c r="D1918" s="8">
        <v>0</v>
      </c>
      <c r="E1918" s="8">
        <v>1</v>
      </c>
      <c r="F1918" s="8">
        <v>3638</v>
      </c>
    </row>
    <row r="1919" spans="1:6" ht="12.75">
      <c r="A1919" s="8">
        <v>43904.454328703709</v>
      </c>
      <c r="B1919" s="8" t="str">
        <f>HYPERLINK("https://twitter.com/IndonesiaHanoi","@IndonesiaHanoi")</f>
        <v>@IndonesiaHanoi</v>
      </c>
      <c r="C1919" s="8" t="s">
        <v>1083</v>
      </c>
      <c r="D1919" s="8">
        <v>0</v>
      </c>
      <c r="E1919" s="8">
        <v>0</v>
      </c>
      <c r="F1919" s="8">
        <v>7182</v>
      </c>
    </row>
    <row r="1920" spans="1:6" ht="12.75">
      <c r="A1920" s="8">
        <v>43904.454166666663</v>
      </c>
      <c r="B1920" s="8" t="str">
        <f>HYPERLINK("https://twitter.com/KBRIBaghdad","@KBRIBaghdad")</f>
        <v>@KBRIBaghdad</v>
      </c>
      <c r="C1920" s="8" t="s">
        <v>203</v>
      </c>
      <c r="D1920" s="8">
        <v>31</v>
      </c>
      <c r="E1920" s="8">
        <v>0</v>
      </c>
      <c r="F1920" s="8">
        <v>487</v>
      </c>
    </row>
    <row r="1921" spans="1:6" ht="12.75">
      <c r="A1921" s="8">
        <v>43904.45413194444</v>
      </c>
      <c r="B1921" s="8" t="str">
        <f>HYPERLINK("https://twitter.com/Zombie_9Q","@Zombie_9Q")</f>
        <v>@Zombie_9Q</v>
      </c>
      <c r="C1921" s="8" t="s">
        <v>1084</v>
      </c>
      <c r="D1921" s="8">
        <v>5</v>
      </c>
      <c r="E1921" s="8">
        <v>4</v>
      </c>
      <c r="F1921" s="8">
        <v>8264</v>
      </c>
    </row>
    <row r="1922" spans="1:6" ht="12.75">
      <c r="A1922" s="8">
        <v>43904.453842592593</v>
      </c>
      <c r="B1922" s="8" t="str">
        <f>HYPERLINK("https://twitter.com/AsifKhanati","@AsifKhanati")</f>
        <v>@AsifKhanati</v>
      </c>
      <c r="C1922" s="8" t="s">
        <v>582</v>
      </c>
      <c r="D1922" s="8">
        <v>25</v>
      </c>
      <c r="E1922" s="8">
        <v>0</v>
      </c>
      <c r="F1922" s="8">
        <v>1283</v>
      </c>
    </row>
    <row r="1923" spans="1:6" ht="12.75">
      <c r="A1923" s="8">
        <v>43904.453240740739</v>
      </c>
      <c r="B1923" s="8" t="str">
        <f>HYPERLINK("https://twitter.com/mury_eko","@mury_eko")</f>
        <v>@mury_eko</v>
      </c>
      <c r="C1923" s="8" t="s">
        <v>272</v>
      </c>
      <c r="D1923" s="8">
        <v>10</v>
      </c>
      <c r="E1923" s="8">
        <v>0</v>
      </c>
      <c r="F1923" s="8">
        <v>1583</v>
      </c>
    </row>
    <row r="1924" spans="1:6" ht="12.75">
      <c r="A1924" s="8">
        <v>43904.452928240746</v>
      </c>
      <c r="B1924" s="8" t="str">
        <f>HYPERLINK("https://twitter.com/ScamanderRobin","@ScamanderRobin")</f>
        <v>@ScamanderRobin</v>
      </c>
      <c r="C1924" s="8" t="s">
        <v>1085</v>
      </c>
      <c r="D1924" s="8">
        <v>0</v>
      </c>
      <c r="E1924" s="8">
        <v>1</v>
      </c>
      <c r="F1924" s="8">
        <v>1695</v>
      </c>
    </row>
    <row r="1925" spans="1:6" ht="12.75">
      <c r="A1925" s="8">
        <v>43904.452893518523</v>
      </c>
      <c r="B1925" s="8" t="str">
        <f>HYPERLINK("https://twitter.com/dsino255","@dsino255")</f>
        <v>@dsino255</v>
      </c>
      <c r="C1925" s="8" t="s">
        <v>1086</v>
      </c>
      <c r="D1925" s="8">
        <v>0</v>
      </c>
      <c r="E1925" s="8">
        <v>0</v>
      </c>
      <c r="F1925" s="8">
        <v>32</v>
      </c>
    </row>
    <row r="1926" spans="1:6" ht="12.75">
      <c r="A1926" s="8">
        <v>43904.452685185184</v>
      </c>
      <c r="B1926" s="8" t="str">
        <f>HYPERLINK("https://twitter.com/lida_buaya","@lida_buaya")</f>
        <v>@lida_buaya</v>
      </c>
      <c r="C1926" s="8" t="s">
        <v>1087</v>
      </c>
      <c r="D1926" s="8">
        <v>0</v>
      </c>
      <c r="E1926" s="8">
        <v>1</v>
      </c>
      <c r="F1926" s="8">
        <v>607</v>
      </c>
    </row>
    <row r="1927" spans="1:6" ht="12.75">
      <c r="A1927" s="8">
        <v>43904.45211805556</v>
      </c>
      <c r="B1927" s="8" t="str">
        <f>HYPERLINK("https://twitter.com/awespatel18","@awespatel18")</f>
        <v>@awespatel18</v>
      </c>
      <c r="C1927" s="8" t="s">
        <v>582</v>
      </c>
      <c r="D1927" s="8">
        <v>25</v>
      </c>
      <c r="E1927" s="8">
        <v>0</v>
      </c>
      <c r="F1927" s="8">
        <v>417</v>
      </c>
    </row>
    <row r="1928" spans="1:6" ht="12.75">
      <c r="A1928" s="8">
        <v>43904.451678240745</v>
      </c>
      <c r="B1928" s="8" t="str">
        <f t="shared" ref="B1928:B1929" si="30">HYPERLINK("https://twitter.com/safetravelkemlu","@safetravelkemlu")</f>
        <v>@safetravelkemlu</v>
      </c>
      <c r="C1928" s="8" t="s">
        <v>1088</v>
      </c>
      <c r="D1928" s="8">
        <v>0</v>
      </c>
      <c r="E1928" s="8">
        <v>0</v>
      </c>
      <c r="F1928" s="8">
        <v>797</v>
      </c>
    </row>
    <row r="1929" spans="1:6" ht="12.75">
      <c r="A1929" s="8">
        <v>43904.45140046296</v>
      </c>
      <c r="B1929" s="8" t="str">
        <f t="shared" si="30"/>
        <v>@safetravelkemlu</v>
      </c>
      <c r="C1929" s="8" t="s">
        <v>1089</v>
      </c>
      <c r="D1929" s="8">
        <v>0</v>
      </c>
      <c r="E1929" s="8">
        <v>0</v>
      </c>
      <c r="F1929" s="8">
        <v>797</v>
      </c>
    </row>
    <row r="1930" spans="1:6" ht="12.75">
      <c r="A1930" s="8">
        <v>43904.451064814813</v>
      </c>
      <c r="B1930" s="8" t="str">
        <f>HYPERLINK("https://twitter.com/Katrina__SO9","@Katrina__SO9")</f>
        <v>@Katrina__SO9</v>
      </c>
      <c r="C1930" s="8" t="s">
        <v>1090</v>
      </c>
      <c r="D1930" s="8">
        <v>3</v>
      </c>
      <c r="E1930" s="8">
        <v>0</v>
      </c>
      <c r="F1930" s="8">
        <v>3541</v>
      </c>
    </row>
    <row r="1931" spans="1:6" ht="12.75">
      <c r="A1931" s="8">
        <v>43904.450486111113</v>
      </c>
      <c r="B1931" s="8" t="str">
        <f>HYPERLINK("https://twitter.com/hijabigaga","@hijabigaga")</f>
        <v>@hijabigaga</v>
      </c>
      <c r="C1931" s="8" t="s">
        <v>924</v>
      </c>
      <c r="D1931" s="8">
        <v>31</v>
      </c>
      <c r="E1931" s="8">
        <v>0</v>
      </c>
      <c r="F1931" s="8">
        <v>1012</v>
      </c>
    </row>
    <row r="1932" spans="1:6" ht="12.75">
      <c r="A1932" s="8">
        <v>43904.45012731482</v>
      </c>
      <c r="B1932" s="8" t="str">
        <f>HYPERLINK("https://twitter.com/Lizalarilari","@Lizalarilari")</f>
        <v>@Lizalarilari</v>
      </c>
      <c r="C1932" s="8" t="s">
        <v>63</v>
      </c>
      <c r="D1932" s="8">
        <v>19</v>
      </c>
      <c r="E1932" s="8">
        <v>0</v>
      </c>
      <c r="F1932" s="8">
        <v>17</v>
      </c>
    </row>
    <row r="1933" spans="1:6" ht="12.75">
      <c r="A1933" s="8">
        <v>43904.45</v>
      </c>
      <c r="B1933" s="8" t="str">
        <f>HYPERLINK("https://twitter.com/hbangsa19","@hbangsa19")</f>
        <v>@hbangsa19</v>
      </c>
      <c r="C1933" s="8" t="s">
        <v>1091</v>
      </c>
      <c r="D1933" s="8">
        <v>10</v>
      </c>
      <c r="E1933" s="8">
        <v>0</v>
      </c>
      <c r="F1933" s="8">
        <v>9</v>
      </c>
    </row>
    <row r="1934" spans="1:6" ht="12.75">
      <c r="A1934" s="8">
        <v>43904.449826388889</v>
      </c>
      <c r="B1934" s="8" t="str">
        <f>HYPERLINK("https://twitter.com/DLDCRO","@DLDCRO")</f>
        <v>@DLDCRO</v>
      </c>
      <c r="C1934" s="8" t="s">
        <v>1092</v>
      </c>
      <c r="D1934" s="8">
        <v>0</v>
      </c>
      <c r="E1934" s="8">
        <v>0</v>
      </c>
      <c r="F1934" s="8">
        <v>239</v>
      </c>
    </row>
    <row r="1935" spans="1:6" ht="12.75">
      <c r="A1935" s="8">
        <v>43904.44903935185</v>
      </c>
      <c r="B1935" s="8" t="str">
        <f>HYPERLINK("https://twitter.com/MrsRachelIn","@MrsRachelIn")</f>
        <v>@MrsRachelIn</v>
      </c>
      <c r="C1935" s="8" t="s">
        <v>1093</v>
      </c>
      <c r="D1935" s="8">
        <v>0</v>
      </c>
      <c r="E1935" s="8">
        <v>2</v>
      </c>
      <c r="F1935" s="8">
        <v>3578</v>
      </c>
    </row>
    <row r="1936" spans="1:6" ht="12.75">
      <c r="A1936" s="8">
        <v>43904.448217592595</v>
      </c>
      <c r="B1936" s="8" t="str">
        <f>HYPERLINK("https://twitter.com/pradaivon","@pradaivon")</f>
        <v>@pradaivon</v>
      </c>
      <c r="C1936" s="8" t="s">
        <v>1094</v>
      </c>
      <c r="D1936" s="8">
        <v>0</v>
      </c>
      <c r="E1936" s="8">
        <v>0</v>
      </c>
      <c r="F1936" s="8">
        <v>1682</v>
      </c>
    </row>
    <row r="1937" spans="1:6" ht="12.75">
      <c r="A1937" s="8">
        <v>43904.448194444441</v>
      </c>
      <c r="B1937" s="8" t="str">
        <f>HYPERLINK("https://twitter.com/cnbcindonesia","@cnbcindonesia")</f>
        <v>@cnbcindonesia</v>
      </c>
      <c r="C1937" s="8" t="s">
        <v>1095</v>
      </c>
      <c r="D1937" s="8">
        <v>3</v>
      </c>
      <c r="E1937" s="8">
        <v>3</v>
      </c>
      <c r="F1937" s="8">
        <v>32248</v>
      </c>
    </row>
    <row r="1938" spans="1:6" ht="12.75">
      <c r="A1938" s="8">
        <v>43904.447002314817</v>
      </c>
      <c r="B1938" s="8" t="str">
        <f>HYPERLINK("https://twitter.com/cendananews","@cendananews")</f>
        <v>@cendananews</v>
      </c>
      <c r="C1938" s="8" t="s">
        <v>1096</v>
      </c>
      <c r="D1938" s="8">
        <v>0</v>
      </c>
      <c r="E1938" s="8">
        <v>0</v>
      </c>
      <c r="F1938" s="8">
        <v>4590</v>
      </c>
    </row>
    <row r="1939" spans="1:6" ht="12.75">
      <c r="A1939" s="8">
        <v>43904.44604166667</v>
      </c>
      <c r="B1939" s="8" t="str">
        <f>HYPERLINK("https://twitter.com/ronirustamadji","@ronirustamadji")</f>
        <v>@ronirustamadji</v>
      </c>
      <c r="C1939" s="8" t="s">
        <v>42</v>
      </c>
      <c r="D1939" s="8">
        <v>16</v>
      </c>
      <c r="E1939" s="8">
        <v>0</v>
      </c>
      <c r="F1939" s="8">
        <v>3350</v>
      </c>
    </row>
    <row r="1940" spans="1:6" ht="12.75">
      <c r="A1940" s="8">
        <v>43904.445763888885</v>
      </c>
      <c r="B1940" s="8" t="str">
        <f>HYPERLINK("https://twitter.com/MrsRachelIn","@MrsRachelIn")</f>
        <v>@MrsRachelIn</v>
      </c>
      <c r="C1940" s="8" t="s">
        <v>1097</v>
      </c>
      <c r="D1940" s="8">
        <v>0</v>
      </c>
      <c r="E1940" s="8">
        <v>0</v>
      </c>
      <c r="F1940" s="8">
        <v>3578</v>
      </c>
    </row>
    <row r="1941" spans="1:6" ht="12.75">
      <c r="A1941" s="8">
        <v>43904.445231481484</v>
      </c>
      <c r="B1941" s="8" t="str">
        <f>HYPERLINK("https://twitter.com/antarajatimcom","@antarajatimcom")</f>
        <v>@antarajatimcom</v>
      </c>
      <c r="C1941" s="8" t="s">
        <v>1098</v>
      </c>
      <c r="D1941" s="8">
        <v>0</v>
      </c>
      <c r="E1941" s="8">
        <v>0</v>
      </c>
      <c r="F1941" s="8">
        <v>858</v>
      </c>
    </row>
    <row r="1942" spans="1:6" ht="12.75">
      <c r="A1942" s="8">
        <v>43904.445150462961</v>
      </c>
      <c r="B1942" s="8" t="str">
        <f>HYPERLINK("https://twitter.com/rita_tj","@rita_tj")</f>
        <v>@rita_tj</v>
      </c>
      <c r="C1942" s="8" t="s">
        <v>42</v>
      </c>
      <c r="D1942" s="8">
        <v>16</v>
      </c>
      <c r="E1942" s="8">
        <v>0</v>
      </c>
      <c r="F1942" s="8">
        <v>4719</v>
      </c>
    </row>
    <row r="1943" spans="1:6" ht="12.75">
      <c r="A1943" s="8">
        <v>43904.445023148146</v>
      </c>
      <c r="B1943" s="8" t="str">
        <f t="shared" ref="B1943:B1944" si="31">HYPERLINK("https://twitter.com/medcom_id","@medcom_id")</f>
        <v>@medcom_id</v>
      </c>
      <c r="C1943" s="8" t="s">
        <v>1099</v>
      </c>
      <c r="D1943" s="8">
        <v>0</v>
      </c>
      <c r="E1943" s="8">
        <v>0</v>
      </c>
      <c r="F1943" s="8">
        <v>18681</v>
      </c>
    </row>
    <row r="1944" spans="1:6" ht="12.75">
      <c r="A1944" s="8">
        <v>43904.444884259261</v>
      </c>
      <c r="B1944" s="8" t="str">
        <f t="shared" si="31"/>
        <v>@medcom_id</v>
      </c>
      <c r="C1944" s="8" t="s">
        <v>1100</v>
      </c>
      <c r="D1944" s="8">
        <v>0</v>
      </c>
      <c r="E1944" s="8">
        <v>1</v>
      </c>
      <c r="F1944" s="8">
        <v>18681</v>
      </c>
    </row>
    <row r="1945" spans="1:6" ht="12.75">
      <c r="A1945" s="8">
        <v>43904.444745370369</v>
      </c>
      <c r="B1945" s="8" t="str">
        <f>HYPERLINK("https://twitter.com/PerahuBambu","@PerahuBambu")</f>
        <v>@PerahuBambu</v>
      </c>
      <c r="C1945" s="8" t="s">
        <v>42</v>
      </c>
      <c r="D1945" s="8">
        <v>16</v>
      </c>
      <c r="E1945" s="8">
        <v>0</v>
      </c>
      <c r="F1945" s="8">
        <v>7605</v>
      </c>
    </row>
    <row r="1946" spans="1:6" ht="12.75">
      <c r="A1946" s="8">
        <v>43904.444652777776</v>
      </c>
      <c r="B1946" s="8" t="str">
        <f>HYPERLINK("https://twitter.com/Aminarief1","@Aminarief1")</f>
        <v>@Aminarief1</v>
      </c>
      <c r="C1946" s="8" t="s">
        <v>63</v>
      </c>
      <c r="D1946" s="8">
        <v>19</v>
      </c>
      <c r="E1946" s="8">
        <v>0</v>
      </c>
      <c r="F1946" s="8">
        <v>368</v>
      </c>
    </row>
    <row r="1947" spans="1:6" ht="12.75">
      <c r="A1947" s="8">
        <v>43904.444571759261</v>
      </c>
      <c r="B1947" s="8" t="str">
        <f>HYPERLINK("https://twitter.com/wearesodifferen","@wearesodifferen")</f>
        <v>@wearesodifferen</v>
      </c>
      <c r="C1947" s="8" t="s">
        <v>924</v>
      </c>
      <c r="D1947" s="8">
        <v>31</v>
      </c>
      <c r="E1947" s="8">
        <v>0</v>
      </c>
      <c r="F1947" s="8">
        <v>1036</v>
      </c>
    </row>
    <row r="1948" spans="1:6" ht="12.75">
      <c r="A1948" s="8">
        <v>43904.444027777776</v>
      </c>
      <c r="B1948" s="8" t="str">
        <f>HYPERLINK("https://twitter.com/bernicha","@bernicha")</f>
        <v>@bernicha</v>
      </c>
      <c r="C1948" s="8" t="s">
        <v>924</v>
      </c>
      <c r="D1948" s="8">
        <v>31</v>
      </c>
      <c r="E1948" s="8">
        <v>0</v>
      </c>
      <c r="F1948" s="8">
        <v>737</v>
      </c>
    </row>
    <row r="1949" spans="1:6" ht="12.75">
      <c r="A1949" s="8">
        <v>43904.443414351852</v>
      </c>
      <c r="B1949" s="8" t="str">
        <f>HYPERLINK("https://twitter.com/izzumtq","@izzumtq")</f>
        <v>@izzumtq</v>
      </c>
      <c r="C1949" s="8" t="s">
        <v>318</v>
      </c>
      <c r="D1949" s="8">
        <v>1456</v>
      </c>
      <c r="E1949" s="8">
        <v>0</v>
      </c>
      <c r="F1949" s="8">
        <v>354</v>
      </c>
    </row>
    <row r="1950" spans="1:6" ht="12.75">
      <c r="A1950" s="8">
        <v>43904.442881944444</v>
      </c>
      <c r="B1950" s="8" t="str">
        <f>HYPERLINK("https://twitter.com/karanpal32","@karanpal32")</f>
        <v>@karanpal32</v>
      </c>
      <c r="C1950" s="8" t="s">
        <v>582</v>
      </c>
      <c r="D1950" s="8">
        <v>25</v>
      </c>
      <c r="E1950" s="8">
        <v>0</v>
      </c>
      <c r="F1950" s="8">
        <v>153</v>
      </c>
    </row>
    <row r="1951" spans="1:6" ht="12.75">
      <c r="A1951" s="8">
        <v>43904.442800925928</v>
      </c>
      <c r="B1951" s="8" t="str">
        <f>HYPERLINK("https://twitter.com/wildanputragata","@wildanputragata")</f>
        <v>@wildanputragata</v>
      </c>
      <c r="C1951" s="8" t="s">
        <v>1074</v>
      </c>
      <c r="D1951" s="8">
        <v>2</v>
      </c>
      <c r="E1951" s="8">
        <v>0</v>
      </c>
      <c r="F1951" s="8">
        <v>210</v>
      </c>
    </row>
    <row r="1952" spans="1:6" ht="12.75">
      <c r="A1952" s="8">
        <v>43904.442557870367</v>
      </c>
      <c r="B1952" s="8" t="str">
        <f>HYPERLINK("https://twitter.com/SitiPatimahAja","@SitiPatimahAja")</f>
        <v>@SitiPatimahAja</v>
      </c>
      <c r="C1952" s="8" t="s">
        <v>971</v>
      </c>
      <c r="D1952" s="8">
        <v>3</v>
      </c>
      <c r="E1952" s="8">
        <v>0</v>
      </c>
      <c r="F1952" s="8">
        <v>3314</v>
      </c>
    </row>
    <row r="1953" spans="1:6" ht="12.75">
      <c r="A1953" s="8">
        <v>43904.442430555559</v>
      </c>
      <c r="B1953" s="8" t="str">
        <f>HYPERLINK("https://twitter.com/HeyItsmeAman","@HeyItsmeAman")</f>
        <v>@HeyItsmeAman</v>
      </c>
      <c r="C1953" s="8" t="s">
        <v>582</v>
      </c>
      <c r="D1953" s="8">
        <v>25</v>
      </c>
      <c r="E1953" s="8">
        <v>0</v>
      </c>
      <c r="F1953" s="8">
        <v>84</v>
      </c>
    </row>
    <row r="1954" spans="1:6" ht="12.75">
      <c r="A1954" s="8">
        <v>43904.442384259259</v>
      </c>
      <c r="B1954" s="8" t="str">
        <f>HYPERLINK("https://twitter.com/Rio_Kemilau","@Rio_Kemilau")</f>
        <v>@Rio_Kemilau</v>
      </c>
      <c r="C1954" s="8" t="s">
        <v>42</v>
      </c>
      <c r="D1954" s="8">
        <v>16</v>
      </c>
      <c r="E1954" s="8">
        <v>0</v>
      </c>
      <c r="F1954" s="8">
        <v>96</v>
      </c>
    </row>
    <row r="1955" spans="1:6" ht="12.75">
      <c r="A1955" s="8">
        <v>43904.442210648151</v>
      </c>
      <c r="B1955" s="8" t="str">
        <f>HYPERLINK("https://twitter.com/achanzeggie","@achanzeggie")</f>
        <v>@achanzeggie</v>
      </c>
      <c r="C1955" s="8" t="s">
        <v>1101</v>
      </c>
      <c r="D1955" s="8">
        <v>0</v>
      </c>
      <c r="E1955" s="8">
        <v>0</v>
      </c>
      <c r="F1955" s="8">
        <v>2816</v>
      </c>
    </row>
    <row r="1956" spans="1:6" ht="12.75">
      <c r="A1956" s="8">
        <v>43904.442175925928</v>
      </c>
      <c r="B1956" s="8" t="str">
        <f>HYPERLINK("https://twitter.com/iirkoe_","@iirkoe_")</f>
        <v>@iirkoe_</v>
      </c>
      <c r="C1956" s="8" t="s">
        <v>1102</v>
      </c>
      <c r="D1956" s="8">
        <v>4</v>
      </c>
      <c r="E1956" s="8">
        <v>0</v>
      </c>
      <c r="F1956" s="8">
        <v>571</v>
      </c>
    </row>
    <row r="1957" spans="1:6" ht="12.75">
      <c r="A1957" s="8">
        <v>43904.442118055551</v>
      </c>
      <c r="B1957" s="8" t="str">
        <f>HYPERLINK("https://twitter.com/kjri_ny","@kjri_ny")</f>
        <v>@kjri_ny</v>
      </c>
      <c r="C1957" s="8" t="s">
        <v>1103</v>
      </c>
      <c r="D1957" s="8">
        <v>0</v>
      </c>
      <c r="E1957" s="8">
        <v>0</v>
      </c>
      <c r="F1957" s="8">
        <v>2083</v>
      </c>
    </row>
    <row r="1958" spans="1:6" ht="12.75">
      <c r="A1958" s="8">
        <v>43904.441168981481</v>
      </c>
      <c r="B1958" s="8" t="str">
        <f>HYPERLINK("https://twitter.com/sisyphuuss","@sisyphuuss")</f>
        <v>@sisyphuuss</v>
      </c>
      <c r="C1958" s="8" t="s">
        <v>924</v>
      </c>
      <c r="D1958" s="8">
        <v>31</v>
      </c>
      <c r="E1958" s="8">
        <v>0</v>
      </c>
      <c r="F1958" s="8">
        <v>96</v>
      </c>
    </row>
    <row r="1959" spans="1:6" ht="12.75">
      <c r="A1959" s="8">
        <v>43904.441157407404</v>
      </c>
      <c r="B1959" s="8" t="str">
        <f>HYPERLINK("https://twitter.com/BharatDharmaom","@BharatDharmaom")</f>
        <v>@BharatDharmaom</v>
      </c>
      <c r="C1959" s="8" t="s">
        <v>1104</v>
      </c>
      <c r="D1959" s="8">
        <v>0</v>
      </c>
      <c r="E1959" s="8">
        <v>0</v>
      </c>
      <c r="F1959" s="8">
        <v>145</v>
      </c>
    </row>
    <row r="1960" spans="1:6" ht="12.75">
      <c r="A1960" s="8">
        <v>43904.440601851849</v>
      </c>
      <c r="B1960" s="8" t="str">
        <f>HYPERLINK("https://twitter.com/sikecilmarmut","@sikecilmarmut")</f>
        <v>@sikecilmarmut</v>
      </c>
      <c r="C1960" s="8" t="s">
        <v>1105</v>
      </c>
      <c r="D1960" s="8">
        <v>14</v>
      </c>
      <c r="E1960" s="8">
        <v>0</v>
      </c>
      <c r="F1960" s="8">
        <v>2285</v>
      </c>
    </row>
    <row r="1961" spans="1:6" ht="12.75">
      <c r="A1961" s="8">
        <v>43904.44049768518</v>
      </c>
      <c r="B1961" s="8" t="str">
        <f>HYPERLINK("https://twitter.com/erniS1909","@erniS1909")</f>
        <v>@erniS1909</v>
      </c>
      <c r="C1961" s="8" t="s">
        <v>42</v>
      </c>
      <c r="D1961" s="8">
        <v>16</v>
      </c>
      <c r="E1961" s="8">
        <v>0</v>
      </c>
      <c r="F1961" s="8">
        <v>494</v>
      </c>
    </row>
    <row r="1962" spans="1:6" ht="12.75">
      <c r="A1962" s="8">
        <v>43904.439537037033</v>
      </c>
      <c r="B1962" s="8" t="str">
        <f>HYPERLINK("https://twitter.com/tonggosmovic","@tonggosmovic")</f>
        <v>@tonggosmovic</v>
      </c>
      <c r="C1962" s="8" t="s">
        <v>63</v>
      </c>
      <c r="D1962" s="8">
        <v>19</v>
      </c>
      <c r="E1962" s="8">
        <v>0</v>
      </c>
      <c r="F1962" s="8">
        <v>384</v>
      </c>
    </row>
    <row r="1963" spans="1:6" ht="12.75">
      <c r="A1963" s="8">
        <v>43904.439467592594</v>
      </c>
      <c r="B1963" s="8" t="str">
        <f>HYPERLINK("https://twitter.com/mylovsilent","@mylovsilent")</f>
        <v>@mylovsilent</v>
      </c>
      <c r="C1963" s="8" t="s">
        <v>1106</v>
      </c>
      <c r="D1963" s="8">
        <v>0</v>
      </c>
      <c r="E1963" s="8">
        <v>0</v>
      </c>
      <c r="F1963" s="8">
        <v>75</v>
      </c>
    </row>
    <row r="1964" spans="1:6" ht="12.75">
      <c r="A1964" s="8">
        <v>43904.439328703702</v>
      </c>
      <c r="B1964" s="8" t="str">
        <f>HYPERLINK("https://twitter.com/nanaaratnaa","@nanaaratnaa")</f>
        <v>@nanaaratnaa</v>
      </c>
      <c r="C1964" s="8" t="s">
        <v>272</v>
      </c>
      <c r="D1964" s="8">
        <v>10</v>
      </c>
      <c r="E1964" s="8">
        <v>0</v>
      </c>
      <c r="F1964" s="8">
        <v>852</v>
      </c>
    </row>
    <row r="1965" spans="1:6" ht="12.75">
      <c r="A1965" s="8">
        <v>43904.439189814817</v>
      </c>
      <c r="B1965" s="8" t="str">
        <f>HYPERLINK("https://twitter.com/BillTemporo","@BillTemporo")</f>
        <v>@BillTemporo</v>
      </c>
      <c r="C1965" s="8" t="s">
        <v>323</v>
      </c>
      <c r="D1965" s="8">
        <v>0</v>
      </c>
      <c r="E1965" s="8">
        <v>0</v>
      </c>
      <c r="F1965" s="8">
        <v>11</v>
      </c>
    </row>
    <row r="1966" spans="1:6" ht="12.75">
      <c r="A1966" s="8">
        <v>43904.438599537039</v>
      </c>
      <c r="B1966" s="8" t="str">
        <f>HYPERLINK("https://twitter.com/hariankompas","@hariankompas")</f>
        <v>@hariankompas</v>
      </c>
      <c r="C1966" s="8" t="s">
        <v>1107</v>
      </c>
      <c r="D1966" s="8">
        <v>0</v>
      </c>
      <c r="E1966" s="8">
        <v>4</v>
      </c>
      <c r="F1966" s="8">
        <v>790261</v>
      </c>
    </row>
    <row r="1967" spans="1:6" ht="12.75">
      <c r="A1967" s="8">
        <v>43904.438055555554</v>
      </c>
      <c r="B1967" s="8" t="str">
        <f>HYPERLINK("https://twitter.com/KangDez","@KangDez")</f>
        <v>@KangDez</v>
      </c>
      <c r="C1967" s="8" t="s">
        <v>1108</v>
      </c>
      <c r="D1967" s="8">
        <v>0</v>
      </c>
      <c r="E1967" s="8">
        <v>1</v>
      </c>
      <c r="F1967" s="8">
        <v>79</v>
      </c>
    </row>
    <row r="1968" spans="1:6" ht="12.75">
      <c r="A1968" s="8">
        <v>43904.438009259262</v>
      </c>
      <c r="B1968" s="8" t="str">
        <f>HYPERLINK("https://twitter.com/tasya_4black","@tasya_4black")</f>
        <v>@tasya_4black</v>
      </c>
      <c r="C1968" s="8" t="s">
        <v>272</v>
      </c>
      <c r="D1968" s="8">
        <v>10</v>
      </c>
      <c r="E1968" s="8">
        <v>0</v>
      </c>
      <c r="F1968" s="8">
        <v>102</v>
      </c>
    </row>
    <row r="1969" spans="1:6" ht="12.75">
      <c r="A1969" s="8">
        <v>43904.437928240739</v>
      </c>
      <c r="B1969" s="8" t="str">
        <f>HYPERLINK("https://twitter.com/Anita1024002","@Anita1024002")</f>
        <v>@Anita1024002</v>
      </c>
      <c r="C1969" s="8" t="s">
        <v>1051</v>
      </c>
      <c r="D1969" s="8">
        <v>10</v>
      </c>
      <c r="E1969" s="8">
        <v>0</v>
      </c>
      <c r="F1969" s="8">
        <v>2743</v>
      </c>
    </row>
    <row r="1970" spans="1:6" ht="12.75">
      <c r="A1970" s="8">
        <v>43904.437847222223</v>
      </c>
      <c r="B1970" s="8" t="str">
        <f>HYPERLINK("https://twitter.com/arief_purnama","@arief_purnama")</f>
        <v>@arief_purnama</v>
      </c>
      <c r="C1970" s="8" t="s">
        <v>1109</v>
      </c>
      <c r="D1970" s="8">
        <v>0</v>
      </c>
      <c r="E1970" s="8">
        <v>0</v>
      </c>
      <c r="F1970" s="8">
        <v>85</v>
      </c>
    </row>
    <row r="1971" spans="1:6" ht="12.75">
      <c r="A1971" s="8">
        <v>43904.437581018516</v>
      </c>
      <c r="B1971" s="8" t="str">
        <f>HYPERLINK("https://twitter.com/wni_jmsri","@wni_jmsri")</f>
        <v>@wni_jmsri</v>
      </c>
      <c r="C1971" s="8" t="s">
        <v>1110</v>
      </c>
      <c r="D1971" s="8">
        <v>2893</v>
      </c>
      <c r="E1971" s="8">
        <v>0</v>
      </c>
      <c r="F1971" s="8">
        <v>198</v>
      </c>
    </row>
    <row r="1972" spans="1:6" ht="12.75">
      <c r="A1972" s="8">
        <v>43904.43751157407</v>
      </c>
      <c r="B1972" s="8" t="str">
        <f>HYPERLINK("https://twitter.com/_____Tobat","@_____Tobat")</f>
        <v>@_____Tobat</v>
      </c>
      <c r="C1972" s="8" t="s">
        <v>42</v>
      </c>
      <c r="D1972" s="8">
        <v>16</v>
      </c>
      <c r="E1972" s="8">
        <v>0</v>
      </c>
      <c r="F1972" s="8">
        <v>2452</v>
      </c>
    </row>
    <row r="1973" spans="1:6" ht="12.75">
      <c r="A1973" s="8">
        <v>43904.43748842593</v>
      </c>
      <c r="B1973" s="8" t="str">
        <f>HYPERLINK("https://twitter.com/trah1967","@trah1967")</f>
        <v>@trah1967</v>
      </c>
      <c r="C1973" s="8" t="s">
        <v>1111</v>
      </c>
      <c r="D1973" s="8">
        <v>5</v>
      </c>
      <c r="E1973" s="8">
        <v>0</v>
      </c>
      <c r="F1973" s="8">
        <v>1974</v>
      </c>
    </row>
    <row r="1974" spans="1:6" ht="12.75">
      <c r="A1974" s="8">
        <v>43904.437106481477</v>
      </c>
      <c r="B1974" s="8" t="str">
        <f>HYPERLINK("https://twitter.com/rayosenggani","@rayosenggani")</f>
        <v>@rayosenggani</v>
      </c>
      <c r="C1974" s="8" t="s">
        <v>1112</v>
      </c>
      <c r="D1974" s="8">
        <v>0</v>
      </c>
      <c r="E1974" s="8">
        <v>0</v>
      </c>
      <c r="F1974" s="8">
        <v>538</v>
      </c>
    </row>
    <row r="1975" spans="1:6" ht="12.75">
      <c r="A1975" s="8">
        <v>43904.436678240745</v>
      </c>
      <c r="B1975" s="8" t="str">
        <f>HYPERLINK("https://twitter.com/arief_purnama","@arief_purnama")</f>
        <v>@arief_purnama</v>
      </c>
      <c r="C1975" s="8" t="s">
        <v>1113</v>
      </c>
      <c r="D1975" s="8">
        <v>0</v>
      </c>
      <c r="E1975" s="8">
        <v>0</v>
      </c>
      <c r="F1975" s="8">
        <v>85</v>
      </c>
    </row>
    <row r="1976" spans="1:6" ht="12.75">
      <c r="A1976" s="8">
        <v>43904.436585648145</v>
      </c>
      <c r="B1976" s="8" t="str">
        <f>HYPERLINK("https://twitter.com/Anita1024002","@Anita1024002")</f>
        <v>@Anita1024002</v>
      </c>
      <c r="C1976" s="8" t="s">
        <v>1053</v>
      </c>
      <c r="D1976" s="8">
        <v>11</v>
      </c>
      <c r="E1976" s="8">
        <v>0</v>
      </c>
      <c r="F1976" s="8">
        <v>2743</v>
      </c>
    </row>
    <row r="1977" spans="1:6" ht="12.75">
      <c r="A1977" s="8">
        <v>43904.436435185184</v>
      </c>
      <c r="B1977" s="8" t="str">
        <f t="shared" ref="B1977:B1978" si="32">HYPERLINK("https://twitter.com/eunkyungz","@eunkyungz")</f>
        <v>@eunkyungz</v>
      </c>
      <c r="C1977" s="8" t="s">
        <v>1114</v>
      </c>
      <c r="D1977" s="8">
        <v>0</v>
      </c>
      <c r="E1977" s="8">
        <v>0</v>
      </c>
      <c r="F1977" s="8">
        <v>29</v>
      </c>
    </row>
    <row r="1978" spans="1:6" ht="12.75">
      <c r="A1978" s="8">
        <v>43904.436423611114</v>
      </c>
      <c r="B1978" s="8" t="str">
        <f t="shared" si="32"/>
        <v>@eunkyungz</v>
      </c>
      <c r="C1978" s="8" t="s">
        <v>1115</v>
      </c>
      <c r="D1978" s="8">
        <v>0</v>
      </c>
      <c r="E1978" s="8">
        <v>0</v>
      </c>
      <c r="F1978" s="8">
        <v>29</v>
      </c>
    </row>
    <row r="1979" spans="1:6" ht="12.75">
      <c r="A1979" s="8">
        <v>43904.43577546296</v>
      </c>
      <c r="B1979" s="8" t="str">
        <f>HYPERLINK("https://twitter.com/kenzo78418261","@kenzo78418261")</f>
        <v>@kenzo78418261</v>
      </c>
      <c r="C1979" s="8" t="s">
        <v>1116</v>
      </c>
      <c r="D1979" s="8">
        <v>0</v>
      </c>
      <c r="E1979" s="8">
        <v>0</v>
      </c>
      <c r="F1979" s="8">
        <v>42</v>
      </c>
    </row>
    <row r="1980" spans="1:6" ht="12.75">
      <c r="A1980" s="8">
        <v>43904.435543981483</v>
      </c>
      <c r="B1980" s="8" t="str">
        <f>HYPERLINK("https://twitter.com/KJRISYDNEY","@KJRISYDNEY")</f>
        <v>@KJRISYDNEY</v>
      </c>
      <c r="C1980" s="8" t="s">
        <v>1117</v>
      </c>
      <c r="D1980" s="8">
        <v>2</v>
      </c>
      <c r="E1980" s="8">
        <v>1</v>
      </c>
      <c r="F1980" s="8">
        <v>3693</v>
      </c>
    </row>
    <row r="1981" spans="1:6" ht="12.75">
      <c r="A1981" s="8">
        <v>43904.435115740736</v>
      </c>
      <c r="B1981" s="8" t="str">
        <f>HYPERLINK("https://twitter.com/kenkenews","@kenkenews")</f>
        <v>@kenkenews</v>
      </c>
      <c r="C1981" s="8" t="s">
        <v>707</v>
      </c>
      <c r="D1981" s="8">
        <v>0</v>
      </c>
      <c r="E1981" s="8">
        <v>0</v>
      </c>
      <c r="F1981" s="8">
        <v>166</v>
      </c>
    </row>
    <row r="1982" spans="1:6" ht="12.75">
      <c r="A1982" s="8">
        <v>43904.434652777782</v>
      </c>
      <c r="B1982" s="8" t="str">
        <f>HYPERLINK("https://twitter.com/alloy0969","@alloy0969")</f>
        <v>@alloy0969</v>
      </c>
      <c r="C1982" s="8" t="s">
        <v>1118</v>
      </c>
      <c r="D1982" s="8">
        <v>3</v>
      </c>
      <c r="E1982" s="8">
        <v>0</v>
      </c>
      <c r="F1982" s="8">
        <v>40</v>
      </c>
    </row>
    <row r="1983" spans="1:6" ht="12.75">
      <c r="A1983" s="8">
        <v>43904.434432870374</v>
      </c>
      <c r="B1983" s="8" t="str">
        <f>HYPERLINK("https://twitter.com/ISandakila","@ISandakila")</f>
        <v>@ISandakila</v>
      </c>
      <c r="C1983" s="8" t="s">
        <v>203</v>
      </c>
      <c r="D1983" s="8">
        <v>31</v>
      </c>
      <c r="E1983" s="8">
        <v>0</v>
      </c>
      <c r="F1983" s="8">
        <v>3</v>
      </c>
    </row>
    <row r="1984" spans="1:6" ht="12.75">
      <c r="A1984" s="8">
        <v>43904.434340277774</v>
      </c>
      <c r="B1984" s="8" t="str">
        <f>HYPERLINK("https://twitter.com/aswinsanjaya","@aswinsanjaya")</f>
        <v>@aswinsanjaya</v>
      </c>
      <c r="C1984" s="8" t="s">
        <v>1119</v>
      </c>
      <c r="D1984" s="8">
        <v>12205</v>
      </c>
      <c r="E1984" s="8">
        <v>0</v>
      </c>
      <c r="F1984" s="8">
        <v>939</v>
      </c>
    </row>
    <row r="1985" spans="1:6" ht="12.75">
      <c r="A1985" s="8">
        <v>43904.434270833328</v>
      </c>
      <c r="B1985" s="8" t="str">
        <f>HYPERLINK("https://twitter.com/roxieRot","@roxieRot")</f>
        <v>@roxieRot</v>
      </c>
      <c r="C1985" s="8" t="s">
        <v>63</v>
      </c>
      <c r="D1985" s="8">
        <v>19</v>
      </c>
      <c r="E1985" s="8">
        <v>0</v>
      </c>
      <c r="F1985" s="8">
        <v>177</v>
      </c>
    </row>
    <row r="1986" spans="1:6" ht="12.75">
      <c r="A1986" s="8">
        <v>43904.434131944443</v>
      </c>
      <c r="B1986" s="8" t="str">
        <f>HYPERLINK("https://twitter.com/leetyong___","@leetyong___")</f>
        <v>@leetyong___</v>
      </c>
      <c r="C1986" s="8" t="s">
        <v>924</v>
      </c>
      <c r="D1986" s="8">
        <v>31</v>
      </c>
      <c r="E1986" s="8">
        <v>0</v>
      </c>
      <c r="F1986" s="8">
        <v>244</v>
      </c>
    </row>
    <row r="1987" spans="1:6" ht="12.75">
      <c r="A1987" s="8">
        <v>43904.433298611111</v>
      </c>
      <c r="B1987" s="8" t="str">
        <f>HYPERLINK("https://twitter.com/catatankakihati","@catatankakihati")</f>
        <v>@catatankakihati</v>
      </c>
      <c r="C1987" s="8" t="s">
        <v>272</v>
      </c>
      <c r="D1987" s="8">
        <v>10</v>
      </c>
      <c r="E1987" s="8">
        <v>0</v>
      </c>
      <c r="F1987" s="8">
        <v>4004</v>
      </c>
    </row>
    <row r="1988" spans="1:6" ht="12.75">
      <c r="A1988" s="8">
        <v>43904.433287037042</v>
      </c>
      <c r="B1988" s="8" t="str">
        <f>HYPERLINK("https://twitter.com/arief_purnama","@arief_purnama")</f>
        <v>@arief_purnama</v>
      </c>
      <c r="C1988" s="8" t="s">
        <v>1120</v>
      </c>
      <c r="D1988" s="8">
        <v>0</v>
      </c>
      <c r="E1988" s="8">
        <v>0</v>
      </c>
      <c r="F1988" s="8">
        <v>85</v>
      </c>
    </row>
    <row r="1989" spans="1:6" ht="12.75">
      <c r="A1989" s="8">
        <v>43904.433194444442</v>
      </c>
      <c r="B1989" s="8" t="str">
        <f>HYPERLINK("https://twitter.com/SitiPatimahAja","@SitiPatimahAja")</f>
        <v>@SitiPatimahAja</v>
      </c>
      <c r="C1989" s="8" t="s">
        <v>1053</v>
      </c>
      <c r="D1989" s="8">
        <v>11</v>
      </c>
      <c r="E1989" s="8">
        <v>0</v>
      </c>
      <c r="F1989" s="8">
        <v>3314</v>
      </c>
    </row>
    <row r="1990" spans="1:6" ht="12.75">
      <c r="A1990" s="8">
        <v>43904.432847222226</v>
      </c>
      <c r="B1990" s="8" t="str">
        <f>HYPERLINK("https://twitter.com/reintabolla","@reintabolla")</f>
        <v>@reintabolla</v>
      </c>
      <c r="C1990" s="8" t="s">
        <v>924</v>
      </c>
      <c r="D1990" s="8">
        <v>31</v>
      </c>
      <c r="E1990" s="8">
        <v>0</v>
      </c>
      <c r="F1990" s="8">
        <v>684</v>
      </c>
    </row>
    <row r="1991" spans="1:6" ht="12.75">
      <c r="A1991" s="8">
        <v>43904.423449074078</v>
      </c>
      <c r="B1991" s="8" t="str">
        <f>HYPERLINK("https://twitter.com/tatsuyeyo","@tatsuyeyo")</f>
        <v>@tatsuyeyo</v>
      </c>
      <c r="C1991" s="8" t="s">
        <v>1121</v>
      </c>
      <c r="D1991" s="8">
        <v>3</v>
      </c>
      <c r="E1991" s="8">
        <v>0</v>
      </c>
      <c r="F1991" s="8">
        <v>654</v>
      </c>
    </row>
    <row r="1992" spans="1:6" ht="12.75">
      <c r="A1992" s="8">
        <v>43904.423437500001</v>
      </c>
      <c r="B1992" s="8" t="str">
        <f t="shared" ref="B1992:B1993" si="33">HYPERLINK("https://twitter.com/wni_jmsri","@wni_jmsri")</f>
        <v>@wni_jmsri</v>
      </c>
      <c r="C1992" s="8" t="s">
        <v>1122</v>
      </c>
      <c r="D1992" s="8">
        <v>248</v>
      </c>
      <c r="E1992" s="8">
        <v>0</v>
      </c>
      <c r="F1992" s="8">
        <v>198</v>
      </c>
    </row>
    <row r="1993" spans="1:6" ht="12.75">
      <c r="A1993" s="8">
        <v>43904.422905092593</v>
      </c>
      <c r="B1993" s="8" t="str">
        <f t="shared" si="33"/>
        <v>@wni_jmsri</v>
      </c>
      <c r="C1993" s="8" t="s">
        <v>1123</v>
      </c>
      <c r="D1993" s="8">
        <v>996</v>
      </c>
      <c r="E1993" s="8">
        <v>0</v>
      </c>
      <c r="F1993" s="8">
        <v>198</v>
      </c>
    </row>
    <row r="1994" spans="1:6" ht="12.75">
      <c r="A1994" s="8">
        <v>43904.422488425931</v>
      </c>
      <c r="B1994" s="8" t="str">
        <f>HYPERLINK("https://twitter.com/kakkoiisekai","@kakkoiisekai")</f>
        <v>@kakkoiisekai</v>
      </c>
      <c r="C1994" s="8" t="s">
        <v>63</v>
      </c>
      <c r="D1994" s="8">
        <v>8</v>
      </c>
      <c r="E1994" s="8">
        <v>0</v>
      </c>
      <c r="F1994" s="8">
        <v>592</v>
      </c>
    </row>
    <row r="1995" spans="1:6" ht="12.75">
      <c r="A1995" s="8">
        <v>43904.421805555554</v>
      </c>
      <c r="B1995" s="8" t="str">
        <f>HYPERLINK("https://twitter.com/AnitaPaud57","@AnitaPaud57")</f>
        <v>@AnitaPaud57</v>
      </c>
      <c r="C1995" s="8" t="s">
        <v>1051</v>
      </c>
      <c r="D1995" s="8">
        <v>9</v>
      </c>
      <c r="E1995" s="8">
        <v>0</v>
      </c>
      <c r="F1995" s="8">
        <v>500</v>
      </c>
    </row>
    <row r="1996" spans="1:6" ht="12.75">
      <c r="A1996" s="8">
        <v>43904.421377314815</v>
      </c>
      <c r="B1996" s="8" t="str">
        <f>HYPERLINK("https://twitter.com/revelionard","@revelionard")</f>
        <v>@revelionard</v>
      </c>
      <c r="C1996" s="8" t="s">
        <v>63</v>
      </c>
      <c r="D1996" s="8">
        <v>8</v>
      </c>
      <c r="E1996" s="8">
        <v>0</v>
      </c>
      <c r="F1996" s="8">
        <v>339</v>
      </c>
    </row>
    <row r="1997" spans="1:6" ht="12.75">
      <c r="A1997" s="8">
        <v>43904.421342592592</v>
      </c>
      <c r="B1997" s="8" t="str">
        <f>HYPERLINK("https://twitter.com/pradaivon","@pradaivon")</f>
        <v>@pradaivon</v>
      </c>
      <c r="C1997" s="8" t="s">
        <v>1124</v>
      </c>
      <c r="D1997" s="8">
        <v>0</v>
      </c>
      <c r="E1997" s="8">
        <v>0</v>
      </c>
      <c r="F1997" s="8">
        <v>1682</v>
      </c>
    </row>
    <row r="1998" spans="1:6" ht="12.75">
      <c r="A1998" s="8">
        <v>43904.420914351853</v>
      </c>
      <c r="B1998" s="8" t="str">
        <f>HYPERLINK("https://twitter.com/mr_blank69","@mr_blank69")</f>
        <v>@mr_blank69</v>
      </c>
      <c r="C1998" s="8" t="s">
        <v>158</v>
      </c>
      <c r="D1998" s="8">
        <v>20</v>
      </c>
      <c r="E1998" s="8">
        <v>0</v>
      </c>
      <c r="F1998" s="8">
        <v>8450</v>
      </c>
    </row>
    <row r="1999" spans="1:6" ht="12.75">
      <c r="A1999" s="8">
        <v>43904.420729166668</v>
      </c>
      <c r="B1999" s="8" t="str">
        <f>HYPERLINK("https://twitter.com/safirarch","@safirarch")</f>
        <v>@safirarch</v>
      </c>
      <c r="C1999" s="8" t="s">
        <v>387</v>
      </c>
      <c r="D1999" s="8">
        <v>3</v>
      </c>
      <c r="E1999" s="8">
        <v>0</v>
      </c>
      <c r="F1999" s="8">
        <v>1265</v>
      </c>
    </row>
    <row r="2000" spans="1:6" ht="12.75">
      <c r="A2000" s="8">
        <v>43904.420624999999</v>
      </c>
      <c r="B2000" s="8" t="str">
        <f>HYPERLINK("https://twitter.com/Kars104","@Kars104")</f>
        <v>@Kars104</v>
      </c>
      <c r="C2000" s="8" t="s">
        <v>42</v>
      </c>
      <c r="D2000" s="8">
        <v>8</v>
      </c>
      <c r="E2000" s="8">
        <v>0</v>
      </c>
      <c r="F2000" s="8">
        <v>1766</v>
      </c>
    </row>
    <row r="2001" spans="1:6" ht="12.75">
      <c r="A2001" s="8">
        <v>43904.420173611114</v>
      </c>
      <c r="B2001" s="8" t="str">
        <f>HYPERLINK("https://twitter.com/iwansetya","@iwansetya")</f>
        <v>@iwansetya</v>
      </c>
      <c r="C2001" s="8" t="s">
        <v>63</v>
      </c>
      <c r="D2001" s="8">
        <v>8</v>
      </c>
      <c r="E2001" s="8">
        <v>0</v>
      </c>
      <c r="F2001" s="8">
        <v>456</v>
      </c>
    </row>
    <row r="2002" spans="1:6" ht="12.75">
      <c r="A2002" s="8">
        <v>43904.420081018514</v>
      </c>
      <c r="B2002" s="8" t="str">
        <f>HYPERLINK("https://twitter.com/arian70","@arian70")</f>
        <v>@arian70</v>
      </c>
      <c r="C2002" s="8" t="s">
        <v>63</v>
      </c>
      <c r="D2002" s="8">
        <v>8</v>
      </c>
      <c r="E2002" s="8">
        <v>0</v>
      </c>
      <c r="F2002" s="8">
        <v>74</v>
      </c>
    </row>
    <row r="2003" spans="1:6" ht="12.75">
      <c r="A2003" s="8">
        <v>43904.420046296298</v>
      </c>
      <c r="B2003" s="8" t="str">
        <f>HYPERLINK("https://twitter.com/Amox1L1N","@Amox1L1N")</f>
        <v>@Amox1L1N</v>
      </c>
      <c r="C2003" s="8" t="s">
        <v>1125</v>
      </c>
      <c r="D2003" s="8">
        <v>0</v>
      </c>
      <c r="E2003" s="8">
        <v>0</v>
      </c>
      <c r="F2003" s="8">
        <v>245</v>
      </c>
    </row>
    <row r="2004" spans="1:6" ht="12.75">
      <c r="A2004" s="8">
        <v>43904.419861111106</v>
      </c>
      <c r="B2004" s="8" t="str">
        <f>HYPERLINK("https://twitter.com/zhipenk_","@zhipenk_")</f>
        <v>@zhipenk_</v>
      </c>
      <c r="C2004" s="8" t="s">
        <v>63</v>
      </c>
      <c r="D2004" s="8">
        <v>8</v>
      </c>
      <c r="E2004" s="8">
        <v>0</v>
      </c>
      <c r="F2004" s="8">
        <v>1003</v>
      </c>
    </row>
    <row r="2005" spans="1:6" ht="12.75">
      <c r="A2005" s="8">
        <v>43904.419756944444</v>
      </c>
      <c r="B2005" s="8" t="str">
        <f>HYPERLINK("https://twitter.com/rahung","@rahung")</f>
        <v>@rahung</v>
      </c>
      <c r="C2005" s="8" t="s">
        <v>63</v>
      </c>
      <c r="D2005" s="8">
        <v>8</v>
      </c>
      <c r="E2005" s="8">
        <v>0</v>
      </c>
      <c r="F2005" s="8">
        <v>185513</v>
      </c>
    </row>
    <row r="2006" spans="1:6" ht="12.75">
      <c r="A2006" s="8">
        <v>43904.419027777782</v>
      </c>
      <c r="B2006" s="8" t="str">
        <f>HYPERLINK("https://twitter.com/Fauza_an","@Fauza_an")</f>
        <v>@Fauza_an</v>
      </c>
      <c r="C2006" s="8" t="s">
        <v>203</v>
      </c>
      <c r="D2006" s="8">
        <v>24</v>
      </c>
      <c r="E2006" s="8">
        <v>0</v>
      </c>
      <c r="F2006" s="8">
        <v>230</v>
      </c>
    </row>
    <row r="2007" spans="1:6" ht="12.75">
      <c r="A2007" s="8">
        <v>43904.418923611112</v>
      </c>
      <c r="B2007" s="8" t="str">
        <f>HYPERLINK("https://twitter.com/wni_jmsri","@wni_jmsri")</f>
        <v>@wni_jmsri</v>
      </c>
      <c r="C2007" s="8" t="s">
        <v>1126</v>
      </c>
      <c r="D2007" s="8">
        <v>1721</v>
      </c>
      <c r="E2007" s="8">
        <v>0</v>
      </c>
      <c r="F2007" s="8">
        <v>198</v>
      </c>
    </row>
    <row r="2008" spans="1:6" ht="12.75">
      <c r="A2008" s="8">
        <v>43904.418796296297</v>
      </c>
      <c r="B2008" s="8" t="str">
        <f>HYPERLINK("https://twitter.com/BillTemporo","@BillTemporo")</f>
        <v>@BillTemporo</v>
      </c>
      <c r="C2008" s="8" t="s">
        <v>355</v>
      </c>
      <c r="D2008" s="8">
        <v>0</v>
      </c>
      <c r="E2008" s="8">
        <v>0</v>
      </c>
      <c r="F2008" s="8">
        <v>11</v>
      </c>
    </row>
    <row r="2009" spans="1:6" ht="12.75">
      <c r="A2009" s="8">
        <v>43904.41810185185</v>
      </c>
      <c r="B2009" s="8" t="str">
        <f>HYPERLINK("https://twitter.com/SAYEDZAMAN5","@SAYEDZAMAN5")</f>
        <v>@SAYEDZAMAN5</v>
      </c>
      <c r="C2009" s="8" t="s">
        <v>582</v>
      </c>
      <c r="D2009" s="8">
        <v>20</v>
      </c>
      <c r="E2009" s="8">
        <v>0</v>
      </c>
      <c r="F2009" s="8">
        <v>180</v>
      </c>
    </row>
    <row r="2010" spans="1:6" ht="12.75">
      <c r="A2010" s="8">
        <v>43904.417696759258</v>
      </c>
      <c r="B2010" s="8" t="str">
        <f>HYPERLINK("https://twitter.com/bigmamafirulais","@bigmamafirulais")</f>
        <v>@bigmamafirulais</v>
      </c>
      <c r="C2010" s="8" t="s">
        <v>1127</v>
      </c>
      <c r="D2010" s="8">
        <v>0</v>
      </c>
      <c r="E2010" s="8">
        <v>1</v>
      </c>
      <c r="F2010" s="8">
        <v>3417</v>
      </c>
    </row>
    <row r="2011" spans="1:6" ht="12.75">
      <c r="A2011" s="8">
        <v>43904.417604166665</v>
      </c>
      <c r="B2011" s="8" t="str">
        <f>HYPERLINK("https://twitter.com/nara_killjoy","@nara_killjoy")</f>
        <v>@nara_killjoy</v>
      </c>
      <c r="C2011" s="8" t="s">
        <v>1128</v>
      </c>
      <c r="D2011" s="8">
        <v>0</v>
      </c>
      <c r="E2011" s="8">
        <v>0</v>
      </c>
      <c r="F2011" s="8">
        <v>708</v>
      </c>
    </row>
    <row r="2012" spans="1:6" ht="12.75">
      <c r="A2012" s="8">
        <v>43904.417546296296</v>
      </c>
      <c r="B2012" s="8" t="str">
        <f>HYPERLINK("https://twitter.com/jsyfjk","@jsyfjk")</f>
        <v>@jsyfjk</v>
      </c>
      <c r="C2012" s="8" t="s">
        <v>1121</v>
      </c>
      <c r="D2012" s="8">
        <v>3</v>
      </c>
      <c r="E2012" s="8">
        <v>0</v>
      </c>
      <c r="F2012" s="8">
        <v>844</v>
      </c>
    </row>
    <row r="2013" spans="1:6" ht="12.75">
      <c r="A2013" s="8">
        <v>43904.41710648148</v>
      </c>
      <c r="B2013" s="8" t="str">
        <f>HYPERLINK("https://twitter.com/ecosocrights","@ecosocrights")</f>
        <v>@ecosocrights</v>
      </c>
      <c r="C2013" s="8" t="s">
        <v>1129</v>
      </c>
      <c r="D2013" s="8">
        <v>8</v>
      </c>
      <c r="E2013" s="8">
        <v>3</v>
      </c>
      <c r="F2013" s="8">
        <v>10622</v>
      </c>
    </row>
    <row r="2014" spans="1:6" ht="12.75">
      <c r="A2014" s="8">
        <v>43904.416585648149</v>
      </c>
      <c r="B2014" s="8" t="str">
        <f>HYPERLINK("https://twitter.com/adiw0","@adiw0")</f>
        <v>@adiw0</v>
      </c>
      <c r="C2014" s="8" t="s">
        <v>1130</v>
      </c>
      <c r="D2014" s="8">
        <v>0</v>
      </c>
      <c r="E2014" s="8">
        <v>0</v>
      </c>
      <c r="F2014" s="8">
        <v>18</v>
      </c>
    </row>
    <row r="2015" spans="1:6" ht="12.75">
      <c r="A2015" s="8">
        <v>43904.416331018518</v>
      </c>
      <c r="B2015" s="8" t="str">
        <f>HYPERLINK("https://twitter.com/renm0ominjun_","@renm0ominjun_")</f>
        <v>@renm0ominjun_</v>
      </c>
      <c r="C2015" s="8" t="s">
        <v>1121</v>
      </c>
      <c r="D2015" s="8">
        <v>3</v>
      </c>
      <c r="E2015" s="8">
        <v>0</v>
      </c>
      <c r="F2015" s="8">
        <v>584</v>
      </c>
    </row>
    <row r="2016" spans="1:6" ht="12.75">
      <c r="A2016" s="8">
        <v>43904.41611111111</v>
      </c>
      <c r="B2016" s="8" t="str">
        <f>HYPERLINK("https://twitter.com/Alok48088478","@Alok48088478")</f>
        <v>@Alok48088478</v>
      </c>
      <c r="C2016" s="8" t="s">
        <v>582</v>
      </c>
      <c r="D2016" s="8">
        <v>20</v>
      </c>
      <c r="E2016" s="8">
        <v>0</v>
      </c>
      <c r="F2016" s="8">
        <v>82</v>
      </c>
    </row>
    <row r="2017" spans="1:6" ht="12.75">
      <c r="A2017" s="8">
        <v>43904.415532407409</v>
      </c>
      <c r="B2017" s="8" t="str">
        <f>HYPERLINK("https://twitter.com/J_Aryoko","@J_Aryoko")</f>
        <v>@J_Aryoko</v>
      </c>
      <c r="C2017" s="8" t="s">
        <v>1131</v>
      </c>
      <c r="D2017" s="8">
        <v>10</v>
      </c>
      <c r="E2017" s="8">
        <v>0</v>
      </c>
      <c r="F2017" s="8">
        <v>1428</v>
      </c>
    </row>
    <row r="2018" spans="1:6" ht="12.75">
      <c r="A2018" s="8">
        <v>43904.415277777778</v>
      </c>
      <c r="B2018" s="8" t="str">
        <f>HYPERLINK("https://twitter.com/kkkjh26","@kkkjh26")</f>
        <v>@kkkjh26</v>
      </c>
      <c r="C2018" s="8" t="s">
        <v>1132</v>
      </c>
      <c r="D2018" s="8">
        <v>3</v>
      </c>
      <c r="E2018" s="8">
        <v>8</v>
      </c>
      <c r="F2018" s="8">
        <v>649</v>
      </c>
    </row>
    <row r="2019" spans="1:6" ht="12.75">
      <c r="A2019" s="8">
        <v>43904.414247685185</v>
      </c>
      <c r="B2019" s="8" t="str">
        <f>HYPERLINK("https://twitter.com/MohMaliki","@MohMaliki")</f>
        <v>@MohMaliki</v>
      </c>
      <c r="C2019" s="8" t="s">
        <v>289</v>
      </c>
      <c r="D2019" s="8">
        <v>156</v>
      </c>
      <c r="E2019" s="8">
        <v>0</v>
      </c>
      <c r="F2019" s="8">
        <v>1807</v>
      </c>
    </row>
    <row r="2020" spans="1:6" ht="12.75">
      <c r="A2020" s="8">
        <v>43904.414236111115</v>
      </c>
      <c r="B2020" s="8" t="str">
        <f>HYPERLINK("https://twitter.com/SyukriTakengon","@SyukriTakengon")</f>
        <v>@SyukriTakengon</v>
      </c>
      <c r="C2020" s="8" t="s">
        <v>1133</v>
      </c>
      <c r="D2020" s="8">
        <v>4</v>
      </c>
      <c r="E2020" s="8">
        <v>0</v>
      </c>
      <c r="F2020" s="8">
        <v>1300</v>
      </c>
    </row>
    <row r="2021" spans="1:6" ht="12.75">
      <c r="A2021" s="8">
        <v>43904.413784722223</v>
      </c>
      <c r="B2021" s="8" t="str">
        <f>HYPERLINK("https://twitter.com/syifa_unulz","@syifa_unulz")</f>
        <v>@syifa_unulz</v>
      </c>
      <c r="C2021" s="8" t="s">
        <v>1134</v>
      </c>
      <c r="D2021" s="8">
        <v>0</v>
      </c>
      <c r="E2021" s="8">
        <v>0</v>
      </c>
      <c r="F2021" s="8">
        <v>695</v>
      </c>
    </row>
    <row r="2022" spans="1:6" ht="12.75">
      <c r="A2022" s="8">
        <v>43904.41342592593</v>
      </c>
      <c r="B2022" s="8" t="str">
        <f>HYPERLINK("https://twitter.com/vinamvr","@vinamvr")</f>
        <v>@vinamvr</v>
      </c>
      <c r="C2022" s="8" t="s">
        <v>289</v>
      </c>
      <c r="D2022" s="8">
        <v>156</v>
      </c>
      <c r="E2022" s="8">
        <v>0</v>
      </c>
      <c r="F2022" s="8">
        <v>2435</v>
      </c>
    </row>
    <row r="2023" spans="1:6" ht="12.75">
      <c r="A2023" s="8">
        <v>43904.412951388891</v>
      </c>
      <c r="B2023" s="8" t="str">
        <f>HYPERLINK("https://twitter.com/_AzhrKhan","@_AzhrKhan")</f>
        <v>@_AzhrKhan</v>
      </c>
      <c r="C2023" s="8" t="s">
        <v>582</v>
      </c>
      <c r="D2023" s="8">
        <v>20</v>
      </c>
      <c r="E2023" s="8">
        <v>0</v>
      </c>
      <c r="F2023" s="8">
        <v>255</v>
      </c>
    </row>
    <row r="2024" spans="1:6" ht="12.75">
      <c r="A2024" s="8">
        <v>43904.412685185191</v>
      </c>
      <c r="B2024" s="8" t="str">
        <f>HYPERLINK("https://twitter.com/DavidKanata","@DavidKanata")</f>
        <v>@DavidKanata</v>
      </c>
      <c r="C2024" s="8" t="s">
        <v>1135</v>
      </c>
      <c r="D2024" s="8">
        <v>1</v>
      </c>
      <c r="E2024" s="8">
        <v>0</v>
      </c>
      <c r="F2024" s="8">
        <v>1363</v>
      </c>
    </row>
    <row r="2025" spans="1:6" ht="12.75">
      <c r="A2025" s="8">
        <v>43904.412199074075</v>
      </c>
      <c r="B2025" s="8" t="str">
        <f>HYPERLINK("https://twitter.com/sudaryanto_agus","@sudaryanto_agus")</f>
        <v>@sudaryanto_agus</v>
      </c>
      <c r="C2025" s="8" t="s">
        <v>272</v>
      </c>
      <c r="D2025" s="8">
        <v>5</v>
      </c>
      <c r="E2025" s="8">
        <v>0</v>
      </c>
      <c r="F2025" s="8">
        <v>1357</v>
      </c>
    </row>
    <row r="2026" spans="1:6" ht="12.75">
      <c r="A2026" s="8">
        <v>43904.411932870367</v>
      </c>
      <c r="B2026" s="8" t="str">
        <f>HYPERLINK("https://twitter.com/Sandeep09466793","@Sandeep09466793")</f>
        <v>@Sandeep09466793</v>
      </c>
      <c r="C2026" s="8" t="s">
        <v>582</v>
      </c>
      <c r="D2026" s="8">
        <v>20</v>
      </c>
      <c r="E2026" s="8">
        <v>0</v>
      </c>
      <c r="F2026" s="8">
        <v>249</v>
      </c>
    </row>
    <row r="2027" spans="1:6" ht="12.75">
      <c r="A2027" s="8">
        <v>43904.411840277782</v>
      </c>
      <c r="B2027" s="8" t="str">
        <f>HYPERLINK("https://twitter.com/YohanesMariono","@YohanesMariono")</f>
        <v>@YohanesMariono</v>
      </c>
      <c r="C2027" s="8" t="s">
        <v>272</v>
      </c>
      <c r="D2027" s="8">
        <v>5</v>
      </c>
      <c r="E2027" s="8">
        <v>0</v>
      </c>
      <c r="F2027" s="8">
        <v>1052</v>
      </c>
    </row>
    <row r="2028" spans="1:6" ht="12.75">
      <c r="A2028" s="8">
        <v>43904.411678240736</v>
      </c>
      <c r="B2028" s="8" t="str">
        <f>HYPERLINK("https://twitter.com/kenhans03","@kenhans03")</f>
        <v>@kenhans03</v>
      </c>
      <c r="C2028" s="8" t="s">
        <v>272</v>
      </c>
      <c r="D2028" s="8">
        <v>5</v>
      </c>
      <c r="E2028" s="8">
        <v>0</v>
      </c>
      <c r="F2028" s="8">
        <v>3162</v>
      </c>
    </row>
    <row r="2029" spans="1:6" ht="12.75">
      <c r="A2029" s="8">
        <v>43904.410636574074</v>
      </c>
      <c r="B2029" s="8" t="str">
        <f>HYPERLINK("https://twitter.com/hanajuda","@hanajuda")</f>
        <v>@hanajuda</v>
      </c>
      <c r="C2029" s="8" t="s">
        <v>272</v>
      </c>
      <c r="D2029" s="8">
        <v>5</v>
      </c>
      <c r="E2029" s="8">
        <v>0</v>
      </c>
      <c r="F2029" s="8">
        <v>3636</v>
      </c>
    </row>
    <row r="2030" spans="1:6" ht="12.75">
      <c r="A2030" s="8">
        <v>43904.410208333335</v>
      </c>
      <c r="B2030" s="8" t="str">
        <f>HYPERLINK("https://twitter.com/shiaLebaou","@shiaLebaou")</f>
        <v>@shiaLebaou</v>
      </c>
      <c r="C2030" s="8" t="s">
        <v>1136</v>
      </c>
      <c r="D2030" s="8">
        <v>0</v>
      </c>
      <c r="E2030" s="8">
        <v>0</v>
      </c>
      <c r="F2030" s="8">
        <v>1617</v>
      </c>
    </row>
    <row r="2031" spans="1:6" ht="12.75">
      <c r="A2031" s="8">
        <v>43904.410092592589</v>
      </c>
      <c r="B2031" s="8" t="str">
        <f>HYPERLINK("https://twitter.com/rongs_rong","@rongs_rong")</f>
        <v>@rongs_rong</v>
      </c>
      <c r="C2031" s="8" t="s">
        <v>272</v>
      </c>
      <c r="D2031" s="8">
        <v>5</v>
      </c>
      <c r="E2031" s="8">
        <v>0</v>
      </c>
      <c r="F2031" s="8">
        <v>3266</v>
      </c>
    </row>
    <row r="2032" spans="1:6" ht="12.75">
      <c r="A2032" s="8">
        <v>43904.410034722227</v>
      </c>
      <c r="B2032" s="8" t="str">
        <f>HYPERLINK("https://twitter.com/KikaOyes","@KikaOyes")</f>
        <v>@KikaOyes</v>
      </c>
      <c r="C2032" s="8" t="s">
        <v>1137</v>
      </c>
      <c r="D2032" s="8">
        <v>0</v>
      </c>
      <c r="E2032" s="8">
        <v>0</v>
      </c>
      <c r="F2032" s="8">
        <v>621</v>
      </c>
    </row>
    <row r="2033" spans="1:6" ht="12.75">
      <c r="A2033" s="8">
        <v>43904.409884259258</v>
      </c>
      <c r="B2033" s="8" t="str">
        <f>HYPERLINK("https://twitter.com/AnakKolong___","@AnakKolong___")</f>
        <v>@AnakKolong___</v>
      </c>
      <c r="C2033" s="8" t="s">
        <v>1138</v>
      </c>
      <c r="D2033" s="8">
        <v>5</v>
      </c>
      <c r="E2033" s="8">
        <v>13</v>
      </c>
      <c r="F2033" s="8">
        <v>8525</v>
      </c>
    </row>
    <row r="2034" spans="1:6" ht="12.75">
      <c r="A2034" s="8">
        <v>43904.408530092594</v>
      </c>
      <c r="B2034" s="8" t="str">
        <f>HYPERLINK("https://twitter.com/Sdhindsa17","@Sdhindsa17")</f>
        <v>@Sdhindsa17</v>
      </c>
      <c r="C2034" s="8" t="s">
        <v>582</v>
      </c>
      <c r="D2034" s="8">
        <v>20</v>
      </c>
      <c r="E2034" s="8">
        <v>0</v>
      </c>
      <c r="F2034" s="8">
        <v>1222</v>
      </c>
    </row>
    <row r="2035" spans="1:6" ht="12.75">
      <c r="A2035" s="8">
        <v>43904.40829861111</v>
      </c>
      <c r="B2035" s="8" t="str">
        <f>HYPERLINK("https://twitter.com/ipak_hana","@ipak_hana")</f>
        <v>@ipak_hana</v>
      </c>
      <c r="C2035" s="8" t="s">
        <v>1139</v>
      </c>
      <c r="D2035" s="8">
        <v>21</v>
      </c>
      <c r="E2035" s="8">
        <v>0</v>
      </c>
      <c r="F2035" s="8">
        <v>301</v>
      </c>
    </row>
    <row r="2036" spans="1:6" ht="12.75">
      <c r="A2036" s="8">
        <v>43904.408090277779</v>
      </c>
      <c r="B2036" s="8" t="str">
        <f>HYPERLINK("https://twitter.com/Danimas19","@Danimas19")</f>
        <v>@Danimas19</v>
      </c>
      <c r="C2036" s="8" t="s">
        <v>1131</v>
      </c>
      <c r="D2036" s="8">
        <v>10</v>
      </c>
      <c r="E2036" s="8">
        <v>0</v>
      </c>
      <c r="F2036" s="8">
        <v>149</v>
      </c>
    </row>
    <row r="2037" spans="1:6" ht="12.75">
      <c r="A2037" s="8">
        <v>43904.407638888893</v>
      </c>
      <c r="B2037" s="8" t="str">
        <f>HYPERLINK("https://twitter.com/BaskoroKata","@BaskoroKata")</f>
        <v>@BaskoroKata</v>
      </c>
      <c r="C2037" s="8" t="s">
        <v>1140</v>
      </c>
      <c r="D2037" s="8">
        <v>0</v>
      </c>
      <c r="E2037" s="8">
        <v>0</v>
      </c>
      <c r="F2037" s="8">
        <v>1691</v>
      </c>
    </row>
    <row r="2038" spans="1:6" ht="12.75">
      <c r="A2038" s="8">
        <v>43904.407395833332</v>
      </c>
      <c r="B2038" s="8" t="str">
        <f>HYPERLINK("https://twitter.com/kerigit","@kerigit")</f>
        <v>@kerigit</v>
      </c>
      <c r="C2038" s="8" t="s">
        <v>1141</v>
      </c>
      <c r="D2038" s="8">
        <v>1</v>
      </c>
      <c r="E2038" s="8">
        <v>0</v>
      </c>
      <c r="F2038" s="8">
        <v>36284</v>
      </c>
    </row>
    <row r="2039" spans="1:6" ht="12.75">
      <c r="A2039" s="8">
        <v>43904.40693287037</v>
      </c>
      <c r="B2039" s="8" t="str">
        <f>HYPERLINK("https://twitter.com/ning_jova","@ning_jova")</f>
        <v>@ning_jova</v>
      </c>
      <c r="C2039" s="8" t="s">
        <v>42</v>
      </c>
      <c r="D2039" s="8">
        <v>8</v>
      </c>
      <c r="E2039" s="8">
        <v>0</v>
      </c>
      <c r="F2039" s="8">
        <v>136</v>
      </c>
    </row>
    <row r="2040" spans="1:6" ht="12.75">
      <c r="A2040" s="8">
        <v>43904.406574074077</v>
      </c>
      <c r="B2040" s="8" t="str">
        <f>HYPERLINK("https://twitter.com/pevitapirss","@pevitapirss")</f>
        <v>@pevitapirss</v>
      </c>
      <c r="C2040" s="8" t="s">
        <v>1142</v>
      </c>
      <c r="D2040" s="8">
        <v>3</v>
      </c>
      <c r="E2040" s="8">
        <v>0</v>
      </c>
      <c r="F2040" s="8">
        <v>65</v>
      </c>
    </row>
    <row r="2041" spans="1:6" ht="12.75">
      <c r="A2041" s="8">
        <v>43904.406423611115</v>
      </c>
      <c r="B2041" s="8" t="str">
        <f>HYPERLINK("https://twitter.com/andreaswulando2","@andreaswulando2")</f>
        <v>@andreaswulando2</v>
      </c>
      <c r="C2041" s="8" t="s">
        <v>289</v>
      </c>
      <c r="D2041" s="8">
        <v>156</v>
      </c>
      <c r="E2041" s="8">
        <v>0</v>
      </c>
      <c r="F2041" s="8">
        <v>822</v>
      </c>
    </row>
    <row r="2042" spans="1:6" ht="12.75">
      <c r="A2042" s="8">
        <v>43904.406122685185</v>
      </c>
      <c r="B2042" s="8" t="str">
        <f>HYPERLINK("https://twitter.com/bangsatwika","@bangsatwika")</f>
        <v>@bangsatwika</v>
      </c>
      <c r="C2042" s="8" t="s">
        <v>1143</v>
      </c>
      <c r="D2042" s="8">
        <v>0</v>
      </c>
      <c r="E2042" s="8">
        <v>0</v>
      </c>
      <c r="F2042" s="8">
        <v>357</v>
      </c>
    </row>
    <row r="2043" spans="1:6" ht="12.75">
      <c r="A2043" s="8">
        <v>43904.405694444446</v>
      </c>
      <c r="B2043" s="8" t="str">
        <f>HYPERLINK("https://twitter.com/Popularitascom","@Popularitascom")</f>
        <v>@Popularitascom</v>
      </c>
      <c r="C2043" s="8" t="s">
        <v>730</v>
      </c>
      <c r="D2043" s="8">
        <v>0</v>
      </c>
      <c r="E2043" s="8">
        <v>0</v>
      </c>
      <c r="F2043" s="8">
        <v>132</v>
      </c>
    </row>
    <row r="2044" spans="1:6" ht="12.75">
      <c r="A2044" s="8">
        <v>43904.405462962968</v>
      </c>
      <c r="B2044" s="8" t="str">
        <f>HYPERLINK("https://twitter.com/MushonifulHanif","@MushonifulHanif")</f>
        <v>@MushonifulHanif</v>
      </c>
      <c r="C2044" s="8" t="s">
        <v>1144</v>
      </c>
      <c r="D2044" s="8">
        <v>0</v>
      </c>
      <c r="E2044" s="8">
        <v>0</v>
      </c>
      <c r="F2044" s="8">
        <v>185</v>
      </c>
    </row>
    <row r="2045" spans="1:6" ht="12.75">
      <c r="A2045" s="8">
        <v>43904.40524305556</v>
      </c>
      <c r="B2045" s="8" t="str">
        <f>HYPERLINK("https://twitter.com/nicoadi09","@nicoadi09")</f>
        <v>@nicoadi09</v>
      </c>
      <c r="C2045" s="8" t="s">
        <v>1145</v>
      </c>
      <c r="D2045" s="8">
        <v>521</v>
      </c>
      <c r="E2045" s="8">
        <v>0</v>
      </c>
      <c r="F2045" s="8">
        <v>24</v>
      </c>
    </row>
    <row r="2046" spans="1:6" ht="12.75">
      <c r="A2046" s="8">
        <v>43904.405092592591</v>
      </c>
      <c r="B2046" s="8" t="str">
        <f>HYPERLINK("https://twitter.com/Qshareina","@Qshareina")</f>
        <v>@Qshareina</v>
      </c>
      <c r="C2046" s="8" t="s">
        <v>1146</v>
      </c>
      <c r="D2046" s="8">
        <v>0</v>
      </c>
      <c r="E2046" s="8">
        <v>0</v>
      </c>
      <c r="F2046" s="8">
        <v>248</v>
      </c>
    </row>
    <row r="2047" spans="1:6" ht="12.75">
      <c r="A2047" s="8">
        <v>43904.404513888891</v>
      </c>
      <c r="B2047" s="8" t="str">
        <f>HYPERLINK("https://twitter.com/Moh_Jupri","@Moh_Jupri")</f>
        <v>@Moh_Jupri</v>
      </c>
      <c r="C2047" s="8" t="s">
        <v>1147</v>
      </c>
      <c r="D2047" s="8">
        <v>4</v>
      </c>
      <c r="E2047" s="8">
        <v>0</v>
      </c>
      <c r="F2047" s="8">
        <v>898</v>
      </c>
    </row>
    <row r="2048" spans="1:6" ht="12.75">
      <c r="A2048" s="8">
        <v>43904.402951388889</v>
      </c>
      <c r="B2048" s="8" t="str">
        <f>HYPERLINK("https://twitter.com/ferri_ScHpai","@ferri_ScHpai")</f>
        <v>@ferri_ScHpai</v>
      </c>
      <c r="C2048" s="8" t="s">
        <v>1148</v>
      </c>
      <c r="D2048" s="8">
        <v>31</v>
      </c>
      <c r="E2048" s="8">
        <v>0</v>
      </c>
      <c r="F2048" s="8">
        <v>216</v>
      </c>
    </row>
    <row r="2049" spans="1:6" ht="12.75">
      <c r="A2049" s="8">
        <v>43904.402453703704</v>
      </c>
      <c r="B2049" s="8" t="str">
        <f>HYPERLINK("https://twitter.com/pemikir5","@pemikir5")</f>
        <v>@pemikir5</v>
      </c>
      <c r="C2049" s="8" t="s">
        <v>1149</v>
      </c>
      <c r="D2049" s="8">
        <v>0</v>
      </c>
      <c r="E2049" s="8">
        <v>0</v>
      </c>
      <c r="F2049" s="8">
        <v>15179</v>
      </c>
    </row>
    <row r="2050" spans="1:6" ht="12.75">
      <c r="A2050" s="8">
        <v>43904.401944444442</v>
      </c>
      <c r="B2050" s="8" t="str">
        <f>HYPERLINK("https://twitter.com/ngonlain","@ngonlain")</f>
        <v>@ngonlain</v>
      </c>
      <c r="C2050" s="8" t="s">
        <v>387</v>
      </c>
      <c r="D2050" s="8">
        <v>3</v>
      </c>
      <c r="E2050" s="8">
        <v>0</v>
      </c>
      <c r="F2050" s="8">
        <v>2644</v>
      </c>
    </row>
    <row r="2051" spans="1:6" ht="12.75">
      <c r="A2051" s="8">
        <v>43904.401701388888</v>
      </c>
      <c r="B2051" s="8" t="str">
        <f>HYPERLINK("https://twitter.com/inspiredkim_","@inspiredkim_")</f>
        <v>@inspiredkim_</v>
      </c>
      <c r="C2051" s="8" t="s">
        <v>1150</v>
      </c>
      <c r="D2051" s="8">
        <v>0</v>
      </c>
      <c r="E2051" s="8">
        <v>0</v>
      </c>
      <c r="F2051" s="8">
        <v>2738</v>
      </c>
    </row>
    <row r="2052" spans="1:6" ht="12.75">
      <c r="A2052" s="8">
        <v>43904.40079861111</v>
      </c>
      <c r="B2052" s="8" t="str">
        <f>HYPERLINK("https://twitter.com/54V10UR_9","@54V10UR_9")</f>
        <v>@54V10UR_9</v>
      </c>
      <c r="C2052" s="8" t="s">
        <v>1151</v>
      </c>
      <c r="D2052" s="8">
        <v>1</v>
      </c>
      <c r="E2052" s="8">
        <v>0</v>
      </c>
      <c r="F2052" s="8">
        <v>8795</v>
      </c>
    </row>
    <row r="2053" spans="1:6" ht="12.75">
      <c r="A2053" s="8">
        <v>43904.400289351848</v>
      </c>
      <c r="B2053" s="8" t="str">
        <f>HYPERLINK("https://twitter.com/tunayble","@tunayble")</f>
        <v>@tunayble</v>
      </c>
      <c r="C2053" s="8" t="s">
        <v>1152</v>
      </c>
      <c r="D2053" s="8">
        <v>316</v>
      </c>
      <c r="E2053" s="8">
        <v>0</v>
      </c>
      <c r="F2053" s="8">
        <v>1184</v>
      </c>
    </row>
    <row r="2054" spans="1:6" ht="12.75">
      <c r="A2054" s="8">
        <v>43904.400208333333</v>
      </c>
      <c r="B2054" s="8" t="str">
        <f>HYPERLINK("https://twitter.com/ryolandafit","@ryolandafit")</f>
        <v>@ryolandafit</v>
      </c>
      <c r="C2054" s="8" t="s">
        <v>1153</v>
      </c>
      <c r="D2054" s="8">
        <v>12</v>
      </c>
      <c r="E2054" s="8">
        <v>0</v>
      </c>
      <c r="F2054" s="8">
        <v>662</v>
      </c>
    </row>
    <row r="2055" spans="1:6" ht="12.75">
      <c r="A2055" s="8">
        <v>43904.399699074071</v>
      </c>
      <c r="B2055" s="8" t="str">
        <f>HYPERLINK("https://twitter.com/dickyrrr","@dickyrrr")</f>
        <v>@dickyrrr</v>
      </c>
      <c r="C2055" s="8" t="s">
        <v>1154</v>
      </c>
      <c r="D2055" s="8">
        <v>0</v>
      </c>
      <c r="E2055" s="8">
        <v>0</v>
      </c>
      <c r="F2055" s="8">
        <v>235</v>
      </c>
    </row>
    <row r="2056" spans="1:6" ht="12.75">
      <c r="A2056" s="8">
        <v>43904.399456018524</v>
      </c>
      <c r="B2056" s="8" t="str">
        <f>HYPERLINK("https://twitter.com/Brunowicaksono","@Brunowicaksono")</f>
        <v>@Brunowicaksono</v>
      </c>
      <c r="C2056" s="8" t="s">
        <v>42</v>
      </c>
      <c r="D2056" s="8">
        <v>8</v>
      </c>
      <c r="E2056" s="8">
        <v>0</v>
      </c>
      <c r="F2056" s="8">
        <v>1801</v>
      </c>
    </row>
    <row r="2057" spans="1:6" ht="12.75">
      <c r="A2057" s="8">
        <v>43904.399386574078</v>
      </c>
      <c r="B2057" s="8" t="str">
        <f>HYPERLINK("https://twitter.com/amymura9","@amymura9")</f>
        <v>@amymura9</v>
      </c>
      <c r="C2057" s="8" t="s">
        <v>1155</v>
      </c>
      <c r="D2057" s="8">
        <v>1</v>
      </c>
      <c r="E2057" s="8">
        <v>0</v>
      </c>
      <c r="F2057" s="8">
        <v>104</v>
      </c>
    </row>
    <row r="2058" spans="1:6" ht="12.75">
      <c r="A2058" s="8">
        <v>43904.399351851855</v>
      </c>
      <c r="B2058" s="8" t="str">
        <f>HYPERLINK("https://twitter.com/nurohma11466192","@nurohma11466192")</f>
        <v>@nurohma11466192</v>
      </c>
      <c r="C2058" s="8" t="s">
        <v>1118</v>
      </c>
      <c r="D2058" s="8">
        <v>2</v>
      </c>
      <c r="E2058" s="8">
        <v>0</v>
      </c>
      <c r="F2058" s="8">
        <v>10</v>
      </c>
    </row>
    <row r="2059" spans="1:6" ht="12.75">
      <c r="A2059" s="8">
        <v>43904.398935185185</v>
      </c>
      <c r="B2059" s="8" t="str">
        <f>HYPERLINK("https://twitter.com/prabhushivbhole","@prabhushivbhole")</f>
        <v>@prabhushivbhole</v>
      </c>
      <c r="C2059" s="8" t="s">
        <v>582</v>
      </c>
      <c r="D2059" s="8">
        <v>20</v>
      </c>
      <c r="E2059" s="8">
        <v>0</v>
      </c>
      <c r="F2059" s="8">
        <v>421</v>
      </c>
    </row>
    <row r="2060" spans="1:6" ht="12.75">
      <c r="A2060" s="8">
        <v>43904.397997685184</v>
      </c>
      <c r="B2060" s="8" t="str">
        <f>HYPERLINK("https://twitter.com/iNewsID","@iNewsID")</f>
        <v>@iNewsID</v>
      </c>
      <c r="C2060" s="8" t="s">
        <v>1156</v>
      </c>
      <c r="D2060" s="8">
        <v>1</v>
      </c>
      <c r="E2060" s="8">
        <v>0</v>
      </c>
      <c r="F2060" s="8">
        <v>1401</v>
      </c>
    </row>
    <row r="2061" spans="1:6" ht="12.75">
      <c r="A2061" s="8">
        <v>43904.397847222222</v>
      </c>
      <c r="B2061" s="8" t="str">
        <f>HYPERLINK("https://twitter.com/DhindsaGurtej","@DhindsaGurtej")</f>
        <v>@DhindsaGurtej</v>
      </c>
      <c r="C2061" s="8" t="s">
        <v>582</v>
      </c>
      <c r="D2061" s="8">
        <v>20</v>
      </c>
      <c r="E2061" s="8">
        <v>0</v>
      </c>
      <c r="F2061" s="8">
        <v>410</v>
      </c>
    </row>
    <row r="2062" spans="1:6" ht="12.75">
      <c r="A2062" s="8">
        <v>43904.39775462963</v>
      </c>
      <c r="B2062" s="8" t="str">
        <f>HYPERLINK("https://twitter.com/palashdam","@palashdam")</f>
        <v>@palashdam</v>
      </c>
      <c r="C2062" s="8" t="s">
        <v>582</v>
      </c>
      <c r="D2062" s="8">
        <v>20</v>
      </c>
      <c r="E2062" s="8">
        <v>0</v>
      </c>
      <c r="F2062" s="8">
        <v>338</v>
      </c>
    </row>
    <row r="2063" spans="1:6" ht="12.75">
      <c r="A2063" s="8">
        <v>43904.397604166668</v>
      </c>
      <c r="B2063" s="8" t="str">
        <f>HYPERLINK("https://twitter.com/ManiSan52335150","@ManiSan52335150")</f>
        <v>@ManiSan52335150</v>
      </c>
      <c r="C2063" s="8" t="s">
        <v>582</v>
      </c>
      <c r="D2063" s="8">
        <v>20</v>
      </c>
      <c r="E2063" s="8">
        <v>0</v>
      </c>
      <c r="F2063" s="8">
        <v>5346</v>
      </c>
    </row>
    <row r="2064" spans="1:6" ht="12.75">
      <c r="A2064" s="8">
        <v>43904.397488425922</v>
      </c>
      <c r="B2064" s="8" t="str">
        <f>HYPERLINK("https://twitter.com/BillTemporo","@BillTemporo")</f>
        <v>@BillTemporo</v>
      </c>
      <c r="C2064" s="8" t="s">
        <v>384</v>
      </c>
      <c r="D2064" s="8">
        <v>0</v>
      </c>
      <c r="E2064" s="8">
        <v>0</v>
      </c>
      <c r="F2064" s="8">
        <v>11</v>
      </c>
    </row>
    <row r="2065" spans="1:6" ht="12.75">
      <c r="A2065" s="8">
        <v>43904.39743055556</v>
      </c>
      <c r="B2065" s="8" t="str">
        <f>HYPERLINK("https://twitter.com/AlicitoalichinK","@AlicitoalichinK")</f>
        <v>@AlicitoalichinK</v>
      </c>
      <c r="C2065" s="8" t="s">
        <v>1157</v>
      </c>
      <c r="D2065" s="8">
        <v>0</v>
      </c>
      <c r="E2065" s="8">
        <v>0</v>
      </c>
      <c r="F2065" s="8">
        <v>17634</v>
      </c>
    </row>
    <row r="2066" spans="1:6" ht="12.75">
      <c r="A2066" s="8">
        <v>43904.39708333333</v>
      </c>
      <c r="B2066" s="8" t="str">
        <f>HYPERLINK("https://twitter.com/timesyogyakarta","@timesyogyakarta")</f>
        <v>@timesyogyakarta</v>
      </c>
      <c r="C2066" s="8" t="s">
        <v>1158</v>
      </c>
      <c r="D2066" s="8">
        <v>0</v>
      </c>
      <c r="E2066" s="8">
        <v>0</v>
      </c>
      <c r="F2066" s="8">
        <v>85</v>
      </c>
    </row>
    <row r="2067" spans="1:6" ht="12.75">
      <c r="A2067" s="8">
        <v>43904.396944444445</v>
      </c>
      <c r="B2067" s="8" t="str">
        <f>HYPERLINK("https://twitter.com/RivaldiZakie","@RivaldiZakie")</f>
        <v>@RivaldiZakie</v>
      </c>
      <c r="C2067" s="8" t="s">
        <v>203</v>
      </c>
      <c r="D2067" s="8">
        <v>24</v>
      </c>
      <c r="E2067" s="8">
        <v>0</v>
      </c>
      <c r="F2067" s="8">
        <v>14</v>
      </c>
    </row>
    <row r="2068" spans="1:6" ht="12.75">
      <c r="A2068" s="8">
        <v>43904.396736111114</v>
      </c>
      <c r="B2068" s="8" t="str">
        <f>HYPERLINK("https://twitter.com/Ronin_Indo","@Ronin_Indo")</f>
        <v>@Ronin_Indo</v>
      </c>
      <c r="C2068" s="8" t="s">
        <v>1159</v>
      </c>
      <c r="D2068" s="8">
        <v>0</v>
      </c>
      <c r="E2068" s="8">
        <v>0</v>
      </c>
      <c r="F2068" s="8">
        <v>457</v>
      </c>
    </row>
    <row r="2069" spans="1:6" ht="12.75">
      <c r="A2069" s="8">
        <v>43904.396354166667</v>
      </c>
      <c r="B2069" s="8" t="str">
        <f>HYPERLINK("https://twitter.com/zindagijhandbaa","@zindagijhandbaa")</f>
        <v>@zindagijhandbaa</v>
      </c>
      <c r="C2069" s="8" t="s">
        <v>582</v>
      </c>
      <c r="D2069" s="8">
        <v>20</v>
      </c>
      <c r="E2069" s="8">
        <v>0</v>
      </c>
      <c r="F2069" s="8">
        <v>1851</v>
      </c>
    </row>
    <row r="2070" spans="1:6" ht="12.75">
      <c r="A2070" s="8">
        <v>43904.396192129629</v>
      </c>
      <c r="B2070" s="8" t="str">
        <f>HYPERLINK("https://twitter.com/MdsFaisal","@MdsFaisal")</f>
        <v>@MdsFaisal</v>
      </c>
      <c r="C2070" s="8" t="s">
        <v>1160</v>
      </c>
      <c r="D2070" s="8">
        <v>5</v>
      </c>
      <c r="E2070" s="8">
        <v>0</v>
      </c>
      <c r="F2070" s="8">
        <v>277</v>
      </c>
    </row>
    <row r="2071" spans="1:6" ht="12.75">
      <c r="A2071" s="8">
        <v>43904.395254629635</v>
      </c>
      <c r="B2071" s="8" t="str">
        <f>HYPERLINK("https://twitter.com/Kristison12","@Kristison12")</f>
        <v>@Kristison12</v>
      </c>
      <c r="C2071" s="8" t="s">
        <v>1161</v>
      </c>
      <c r="D2071" s="8">
        <v>0</v>
      </c>
      <c r="E2071" s="8">
        <v>0</v>
      </c>
      <c r="F2071" s="8">
        <v>0</v>
      </c>
    </row>
    <row r="2072" spans="1:6" ht="12.75">
      <c r="A2072" s="8">
        <v>43904.394918981481</v>
      </c>
      <c r="B2072" s="8" t="str">
        <f>HYPERLINK("https://twitter.com/txtdarianu","@txtdarianu")</f>
        <v>@txtdarianu</v>
      </c>
      <c r="C2072" s="8" t="s">
        <v>1162</v>
      </c>
      <c r="D2072" s="8">
        <v>4</v>
      </c>
      <c r="E2072" s="8">
        <v>0</v>
      </c>
      <c r="F2072" s="8">
        <v>256</v>
      </c>
    </row>
    <row r="2073" spans="1:6" ht="12.75">
      <c r="A2073" s="8">
        <v>43904.394733796296</v>
      </c>
      <c r="B2073" s="8" t="str">
        <f>HYPERLINK("https://twitter.com/Supri50","@Supri50")</f>
        <v>@Supri50</v>
      </c>
      <c r="C2073" s="8" t="s">
        <v>1163</v>
      </c>
      <c r="D2073" s="8">
        <v>0</v>
      </c>
      <c r="E2073" s="8">
        <v>0</v>
      </c>
      <c r="F2073" s="8">
        <v>108</v>
      </c>
    </row>
    <row r="2074" spans="1:6" ht="12.75">
      <c r="A2074" s="8">
        <v>43904.394537037035</v>
      </c>
      <c r="B2074" s="8" t="str">
        <f>HYPERLINK("https://twitter.com/geloraco","@geloraco")</f>
        <v>@geloraco</v>
      </c>
      <c r="C2074" s="8" t="s">
        <v>707</v>
      </c>
      <c r="D2074" s="8">
        <v>1</v>
      </c>
      <c r="E2074" s="8">
        <v>8</v>
      </c>
      <c r="F2074" s="8">
        <v>106685</v>
      </c>
    </row>
    <row r="2075" spans="1:6" ht="12.75">
      <c r="A2075" s="8">
        <v>43904.393680555557</v>
      </c>
      <c r="B2075" s="8" t="str">
        <f>HYPERLINK("https://twitter.com/AapKaTanu","@AapKaTanu")</f>
        <v>@AapKaTanu</v>
      </c>
      <c r="C2075" s="8" t="s">
        <v>582</v>
      </c>
      <c r="D2075" s="8">
        <v>20</v>
      </c>
      <c r="E2075" s="8">
        <v>0</v>
      </c>
      <c r="F2075" s="8">
        <v>2332</v>
      </c>
    </row>
    <row r="2076" spans="1:6" ht="12.75">
      <c r="A2076" s="8">
        <v>43904.39340277778</v>
      </c>
      <c r="B2076" s="8" t="str">
        <f>HYPERLINK("https://twitter.com/harya165","@harya165")</f>
        <v>@harya165</v>
      </c>
      <c r="C2076" s="8" t="s">
        <v>1164</v>
      </c>
      <c r="D2076" s="8">
        <v>0</v>
      </c>
      <c r="E2076" s="8">
        <v>0</v>
      </c>
      <c r="F2076" s="8">
        <v>108</v>
      </c>
    </row>
    <row r="2077" spans="1:6" ht="12.75">
      <c r="A2077" s="8">
        <v>43904.392800925925</v>
      </c>
      <c r="B2077" s="8" t="str">
        <f>HYPERLINK("https://twitter.com/YohanesMariono","@YohanesMariono")</f>
        <v>@YohanesMariono</v>
      </c>
      <c r="C2077" s="8" t="s">
        <v>42</v>
      </c>
      <c r="D2077" s="8">
        <v>8</v>
      </c>
      <c r="E2077" s="8">
        <v>0</v>
      </c>
      <c r="F2077" s="8">
        <v>1052</v>
      </c>
    </row>
    <row r="2078" spans="1:6" ht="12.75">
      <c r="A2078" s="8">
        <v>43904.392384259263</v>
      </c>
      <c r="B2078" s="8" t="str">
        <f>HYPERLINK("https://twitter.com/pikiran_rakyat","@pikiran_rakyat")</f>
        <v>@pikiran_rakyat</v>
      </c>
      <c r="C2078" s="8" t="s">
        <v>1165</v>
      </c>
      <c r="D2078" s="8">
        <v>0</v>
      </c>
      <c r="E2078" s="8">
        <v>0</v>
      </c>
      <c r="F2078" s="8">
        <v>413540</v>
      </c>
    </row>
    <row r="2079" spans="1:6" ht="12.75">
      <c r="A2079" s="8">
        <v>43904.392361111109</v>
      </c>
      <c r="B2079" s="8" t="str">
        <f>HYPERLINK("https://twitter.com/BustamyKarmen","@BustamyKarmen")</f>
        <v>@BustamyKarmen</v>
      </c>
      <c r="C2079" s="8" t="s">
        <v>1166</v>
      </c>
      <c r="D2079" s="8">
        <v>0</v>
      </c>
      <c r="E2079" s="8">
        <v>0</v>
      </c>
      <c r="F2079" s="8">
        <v>0</v>
      </c>
    </row>
    <row r="2080" spans="1:6" ht="12.75">
      <c r="A2080" s="8">
        <v>43904.391759259262</v>
      </c>
      <c r="B2080" s="8" t="str">
        <f>HYPERLINK("https://twitter.com/MrsRachelIn","@MrsRachelIn")</f>
        <v>@MrsRachelIn</v>
      </c>
      <c r="C2080" s="8" t="s">
        <v>1167</v>
      </c>
      <c r="D2080" s="8">
        <v>0</v>
      </c>
      <c r="E2080" s="8">
        <v>1</v>
      </c>
      <c r="F2080" s="8">
        <v>3578</v>
      </c>
    </row>
    <row r="2081" spans="1:6" ht="12.75">
      <c r="A2081" s="8">
        <v>43904.390868055554</v>
      </c>
      <c r="B2081" s="8" t="str">
        <f>HYPERLINK("https://twitter.com/newbie109","@newbie109")</f>
        <v>@newbie109</v>
      </c>
      <c r="C2081" s="8" t="s">
        <v>582</v>
      </c>
      <c r="D2081" s="8">
        <v>20</v>
      </c>
      <c r="E2081" s="8">
        <v>0</v>
      </c>
      <c r="F2081" s="8">
        <v>556</v>
      </c>
    </row>
    <row r="2082" spans="1:6" ht="12.75">
      <c r="A2082" s="8">
        <v>43904.390451388885</v>
      </c>
      <c r="B2082" s="8" t="str">
        <f>HYPERLINK("https://twitter.com/gisamustk2","@gisamustk2")</f>
        <v>@gisamustk2</v>
      </c>
      <c r="C2082" s="8" t="s">
        <v>925</v>
      </c>
      <c r="D2082" s="8">
        <v>188</v>
      </c>
      <c r="E2082" s="8">
        <v>0</v>
      </c>
      <c r="F2082" s="8">
        <v>19</v>
      </c>
    </row>
    <row r="2083" spans="1:6" ht="12.75">
      <c r="A2083" s="8">
        <v>43904.389212962968</v>
      </c>
      <c r="B2083" s="8" t="str">
        <f>HYPERLINK("https://twitter.com/imdancingclown","@imdancingclown")</f>
        <v>@imdancingclown</v>
      </c>
      <c r="C2083" s="8" t="s">
        <v>1168</v>
      </c>
      <c r="D2083" s="8">
        <v>0</v>
      </c>
      <c r="E2083" s="8">
        <v>0</v>
      </c>
      <c r="F2083" s="8">
        <v>361</v>
      </c>
    </row>
    <row r="2084" spans="1:6" ht="12.75">
      <c r="A2084" s="8">
        <v>43904.388854166667</v>
      </c>
      <c r="B2084" s="8" t="str">
        <f>HYPERLINK("https://twitter.com/Apatite_Blewbs","@Apatite_Blewbs")</f>
        <v>@Apatite_Blewbs</v>
      </c>
      <c r="C2084" s="8" t="s">
        <v>524</v>
      </c>
      <c r="D2084" s="8">
        <v>1</v>
      </c>
      <c r="E2084" s="8">
        <v>0</v>
      </c>
      <c r="F2084" s="8">
        <v>3347</v>
      </c>
    </row>
    <row r="2085" spans="1:6" ht="12.75">
      <c r="A2085" s="8">
        <v>43904.388819444444</v>
      </c>
      <c r="B2085" s="8" t="str">
        <f>HYPERLINK("https://twitter.com/Katolik_GK","@Katolik_GK")</f>
        <v>@Katolik_GK</v>
      </c>
      <c r="C2085" s="8" t="s">
        <v>1169</v>
      </c>
      <c r="D2085" s="8">
        <v>8</v>
      </c>
      <c r="E2085" s="8">
        <v>13</v>
      </c>
      <c r="F2085" s="8">
        <v>2748</v>
      </c>
    </row>
    <row r="2086" spans="1:6" ht="12.75">
      <c r="A2086" s="8">
        <v>43904.387546296297</v>
      </c>
      <c r="B2086" s="8" t="str">
        <f>HYPERLINK("https://twitter.com/ryolandafit","@ryolandafit")</f>
        <v>@ryolandafit</v>
      </c>
      <c r="C2086" s="8" t="s">
        <v>1170</v>
      </c>
      <c r="D2086" s="8">
        <v>13</v>
      </c>
      <c r="E2086" s="8">
        <v>0</v>
      </c>
      <c r="F2086" s="8">
        <v>662</v>
      </c>
    </row>
    <row r="2087" spans="1:6" ht="12.75">
      <c r="A2087" s="8">
        <v>43904.38753472222</v>
      </c>
      <c r="B2087" s="8" t="str">
        <f>HYPERLINK("https://twitter.com/sosasonia","@sosasonia")</f>
        <v>@sosasonia</v>
      </c>
      <c r="C2087" s="8" t="s">
        <v>203</v>
      </c>
      <c r="D2087" s="8">
        <v>24</v>
      </c>
      <c r="E2087" s="8">
        <v>0</v>
      </c>
      <c r="F2087" s="8">
        <v>810</v>
      </c>
    </row>
    <row r="2088" spans="1:6" ht="12.75">
      <c r="A2088" s="8">
        <v>43904.386724537035</v>
      </c>
      <c r="B2088" s="8" t="str">
        <f>HYPERLINK("https://twitter.com/VivekMi71650866","@VivekMi71650866")</f>
        <v>@VivekMi71650866</v>
      </c>
      <c r="C2088" s="8" t="s">
        <v>582</v>
      </c>
      <c r="D2088" s="8">
        <v>20</v>
      </c>
      <c r="E2088" s="8">
        <v>0</v>
      </c>
      <c r="F2088" s="8">
        <v>44</v>
      </c>
    </row>
    <row r="2089" spans="1:6" ht="12.75">
      <c r="A2089" s="8">
        <v>43904.386319444442</v>
      </c>
      <c r="B2089" s="8" t="str">
        <f>HYPERLINK("https://twitter.com/fallforfal","@fallforfal")</f>
        <v>@fallforfal</v>
      </c>
      <c r="C2089" s="8" t="s">
        <v>1171</v>
      </c>
      <c r="D2089" s="8">
        <v>0</v>
      </c>
      <c r="E2089" s="8">
        <v>0</v>
      </c>
      <c r="F2089" s="8">
        <v>19</v>
      </c>
    </row>
    <row r="2090" spans="1:6" ht="12.75">
      <c r="A2090" s="8">
        <v>43904.386111111111</v>
      </c>
      <c r="B2090" s="8" t="str">
        <f>HYPERLINK("https://twitter.com/Mohamma20611294","@Mohamma20611294")</f>
        <v>@Mohamma20611294</v>
      </c>
      <c r="C2090" s="8" t="s">
        <v>582</v>
      </c>
      <c r="D2090" s="8">
        <v>20</v>
      </c>
      <c r="E2090" s="8">
        <v>0</v>
      </c>
      <c r="F2090" s="8">
        <v>5673</v>
      </c>
    </row>
    <row r="2091" spans="1:6" ht="12.75">
      <c r="A2091" s="8">
        <v>43904.38181712963</v>
      </c>
      <c r="B2091" s="8" t="str">
        <f>HYPERLINK("https://twitter.com/_wni_","@_wni_")</f>
        <v>@_wni_</v>
      </c>
      <c r="C2091" s="8" t="s">
        <v>1172</v>
      </c>
      <c r="D2091" s="8">
        <v>11271</v>
      </c>
      <c r="E2091" s="8">
        <v>0</v>
      </c>
      <c r="F2091" s="8">
        <v>21</v>
      </c>
    </row>
    <row r="2092" spans="1:6" ht="12.75">
      <c r="A2092" s="8">
        <v>43904.381712962961</v>
      </c>
      <c r="B2092" s="8" t="str">
        <f>HYPERLINK("https://twitter.com/republikaonline","@republikaonline")</f>
        <v>@republikaonline</v>
      </c>
      <c r="C2092" s="8" t="s">
        <v>1173</v>
      </c>
      <c r="D2092" s="8">
        <v>0</v>
      </c>
      <c r="E2092" s="8">
        <v>0</v>
      </c>
      <c r="F2092" s="8">
        <v>1225918</v>
      </c>
    </row>
    <row r="2093" spans="1:6" ht="12.75">
      <c r="A2093" s="8">
        <v>43904.381504629629</v>
      </c>
      <c r="B2093" s="8" t="str">
        <f t="shared" ref="B2093:B2094" si="34">HYPERLINK("https://twitter.com/FatiinS_L","@FatiinS_L")</f>
        <v>@FatiinS_L</v>
      </c>
      <c r="C2093" s="8" t="s">
        <v>1170</v>
      </c>
      <c r="D2093" s="8">
        <v>12</v>
      </c>
      <c r="E2093" s="8">
        <v>0</v>
      </c>
      <c r="F2093" s="8">
        <v>16418</v>
      </c>
    </row>
    <row r="2094" spans="1:6" ht="12.75">
      <c r="A2094" s="8">
        <v>43904.381365740745</v>
      </c>
      <c r="B2094" s="8" t="str">
        <f t="shared" si="34"/>
        <v>@FatiinS_L</v>
      </c>
      <c r="C2094" s="8" t="s">
        <v>1153</v>
      </c>
      <c r="D2094" s="8">
        <v>11</v>
      </c>
      <c r="E2094" s="8">
        <v>0</v>
      </c>
      <c r="F2094" s="8">
        <v>16418</v>
      </c>
    </row>
    <row r="2095" spans="1:6" ht="12.75">
      <c r="A2095" s="8">
        <v>43904.381261574075</v>
      </c>
      <c r="B2095" s="8" t="str">
        <f>HYPERLINK("https://twitter.com/Berita9com","@Berita9com")</f>
        <v>@Berita9com</v>
      </c>
      <c r="C2095" s="8" t="s">
        <v>1174</v>
      </c>
      <c r="D2095" s="8">
        <v>0</v>
      </c>
      <c r="E2095" s="8">
        <v>0</v>
      </c>
      <c r="F2095" s="8">
        <v>428</v>
      </c>
    </row>
    <row r="2096" spans="1:6" ht="12.75">
      <c r="A2096" s="8">
        <v>43904.380868055552</v>
      </c>
      <c r="B2096" s="8" t="str">
        <f>HYPERLINK("https://twitter.com/Yatie84991237","@Yatie84991237")</f>
        <v>@Yatie84991237</v>
      </c>
      <c r="C2096" s="8" t="s">
        <v>1175</v>
      </c>
      <c r="D2096" s="8">
        <v>0</v>
      </c>
      <c r="E2096" s="8">
        <v>0</v>
      </c>
      <c r="F2096" s="8">
        <v>1508</v>
      </c>
    </row>
    <row r="2097" spans="1:6" ht="12.75">
      <c r="A2097" s="8">
        <v>43904.380833333329</v>
      </c>
      <c r="B2097" s="8" t="str">
        <f>HYPERLINK("https://twitter.com/affanusman","@affanusman")</f>
        <v>@affanusman</v>
      </c>
      <c r="C2097" s="8" t="s">
        <v>1176</v>
      </c>
      <c r="D2097" s="8">
        <v>0</v>
      </c>
      <c r="E2097" s="8">
        <v>0</v>
      </c>
      <c r="F2097" s="8">
        <v>125</v>
      </c>
    </row>
    <row r="2098" spans="1:6" ht="12.75">
      <c r="A2098" s="8">
        <v>43904.380370370374</v>
      </c>
      <c r="B2098" s="8" t="str">
        <f t="shared" ref="B2098:B2099" si="35">HYPERLINK("https://twitter.com/Partibha_Singh","@Partibha_Singh")</f>
        <v>@Partibha_Singh</v>
      </c>
      <c r="C2098" s="8" t="s">
        <v>582</v>
      </c>
      <c r="D2098" s="8">
        <v>3</v>
      </c>
      <c r="E2098" s="8">
        <v>0</v>
      </c>
      <c r="F2098" s="8">
        <v>9537</v>
      </c>
    </row>
    <row r="2099" spans="1:6" ht="12.75">
      <c r="A2099" s="8">
        <v>43904.380208333328</v>
      </c>
      <c r="B2099" s="8" t="str">
        <f t="shared" si="35"/>
        <v>@Partibha_Singh</v>
      </c>
      <c r="C2099" s="8" t="s">
        <v>1177</v>
      </c>
      <c r="D2099" s="8">
        <v>3</v>
      </c>
      <c r="E2099" s="8">
        <v>11</v>
      </c>
      <c r="F2099" s="8">
        <v>9537</v>
      </c>
    </row>
    <row r="2100" spans="1:6" ht="12.75">
      <c r="A2100" s="8">
        <v>43904.379479166666</v>
      </c>
      <c r="B2100" s="8" t="str">
        <f>HYPERLINK("https://twitter.com/viviyivi","@viviyivi")</f>
        <v>@viviyivi</v>
      </c>
      <c r="C2100" s="8" t="s">
        <v>203</v>
      </c>
      <c r="D2100" s="8">
        <v>19</v>
      </c>
      <c r="E2100" s="8">
        <v>0</v>
      </c>
      <c r="F2100" s="8">
        <v>274</v>
      </c>
    </row>
    <row r="2101" spans="1:6" ht="12.75">
      <c r="A2101" s="8">
        <v>43904.378483796296</v>
      </c>
      <c r="B2101" s="8" t="str">
        <f>HYPERLINK("https://twitter.com/barengarkananta","@barengarkananta")</f>
        <v>@barengarkananta</v>
      </c>
      <c r="C2101" s="8" t="s">
        <v>1139</v>
      </c>
      <c r="D2101" s="8">
        <v>19</v>
      </c>
      <c r="E2101" s="8">
        <v>0</v>
      </c>
      <c r="F2101" s="8">
        <v>1678</v>
      </c>
    </row>
    <row r="2102" spans="1:6" ht="12.75">
      <c r="A2102" s="8">
        <v>43904.378402777773</v>
      </c>
      <c r="B2102" s="8" t="str">
        <f>HYPERLINK("https://twitter.com/kbrioslo","@kbrioslo")</f>
        <v>@kbrioslo</v>
      </c>
      <c r="C2102" s="8" t="s">
        <v>203</v>
      </c>
      <c r="D2102" s="8">
        <v>19</v>
      </c>
      <c r="E2102" s="8">
        <v>0</v>
      </c>
      <c r="F2102" s="8">
        <v>2432</v>
      </c>
    </row>
    <row r="2103" spans="1:6" ht="12.75">
      <c r="A2103" s="8">
        <v>43904.377407407403</v>
      </c>
      <c r="B2103" s="8" t="str">
        <f>HYPERLINK("https://twitter.com/pramudo","@pramudo")</f>
        <v>@pramudo</v>
      </c>
      <c r="C2103" s="8" t="s">
        <v>1178</v>
      </c>
      <c r="D2103" s="8">
        <v>0</v>
      </c>
      <c r="E2103" s="8">
        <v>0</v>
      </c>
      <c r="F2103" s="8">
        <v>61</v>
      </c>
    </row>
    <row r="2104" spans="1:6" ht="12.75">
      <c r="A2104" s="8">
        <v>43904.376701388886</v>
      </c>
      <c r="B2104" s="8" t="str">
        <f>HYPERLINK("https://twitter.com/DwiSusilowati25","@DwiSusilowati25")</f>
        <v>@DwiSusilowati25</v>
      </c>
      <c r="C2104" s="8" t="s">
        <v>1030</v>
      </c>
      <c r="D2104" s="8">
        <v>207</v>
      </c>
      <c r="E2104" s="8">
        <v>0</v>
      </c>
      <c r="F2104" s="8">
        <v>59</v>
      </c>
    </row>
    <row r="2105" spans="1:6" ht="12.75">
      <c r="A2105" s="8">
        <v>43904.376504629632</v>
      </c>
      <c r="B2105" s="8" t="str">
        <f>HYPERLINK("https://twitter.com/ReiMiechi99","@ReiMiechi99")</f>
        <v>@ReiMiechi99</v>
      </c>
      <c r="C2105" s="8" t="s">
        <v>1179</v>
      </c>
      <c r="D2105" s="8">
        <v>0</v>
      </c>
      <c r="E2105" s="8">
        <v>0</v>
      </c>
      <c r="F2105" s="8">
        <v>97</v>
      </c>
    </row>
    <row r="2106" spans="1:6" ht="12.75">
      <c r="A2106" s="8">
        <v>43904.376041666663</v>
      </c>
      <c r="B2106" s="8" t="str">
        <f>HYPERLINK("https://twitter.com/CleosaLiim","@CleosaLiim")</f>
        <v>@CleosaLiim</v>
      </c>
      <c r="C2106" s="8" t="s">
        <v>587</v>
      </c>
      <c r="D2106" s="8">
        <v>48</v>
      </c>
      <c r="E2106" s="8">
        <v>0</v>
      </c>
      <c r="F2106" s="8">
        <v>216</v>
      </c>
    </row>
    <row r="2107" spans="1:6" ht="12.75">
      <c r="A2107" s="8">
        <v>43904.375752314816</v>
      </c>
      <c r="B2107" s="8" t="str">
        <f>HYPERLINK("https://twitter.com/KosmetikDinda","@KosmetikDinda")</f>
        <v>@KosmetikDinda</v>
      </c>
      <c r="C2107" s="8" t="s">
        <v>1139</v>
      </c>
      <c r="D2107" s="8">
        <v>19</v>
      </c>
      <c r="E2107" s="8">
        <v>0</v>
      </c>
      <c r="F2107" s="8">
        <v>1300</v>
      </c>
    </row>
    <row r="2108" spans="1:6" ht="12.75">
      <c r="A2108" s="8">
        <v>43904.375150462962</v>
      </c>
      <c r="B2108" s="8" t="str">
        <f>HYPERLINK("https://twitter.com/Beritasatu","@Beritasatu")</f>
        <v>@Beritasatu</v>
      </c>
      <c r="C2108" s="8" t="s">
        <v>1180</v>
      </c>
      <c r="D2108" s="8">
        <v>0</v>
      </c>
      <c r="E2108" s="8">
        <v>1</v>
      </c>
      <c r="F2108" s="8">
        <v>619310</v>
      </c>
    </row>
    <row r="2109" spans="1:6" ht="12.75">
      <c r="A2109" s="8">
        <v>43904.375034722223</v>
      </c>
      <c r="B2109" s="8" t="str">
        <f>HYPERLINK("https://twitter.com/YW_14","@YW_14")</f>
        <v>@YW_14</v>
      </c>
      <c r="C2109" s="8" t="s">
        <v>1181</v>
      </c>
      <c r="D2109" s="8">
        <v>0</v>
      </c>
      <c r="E2109" s="8">
        <v>0</v>
      </c>
      <c r="F2109" s="8">
        <v>487</v>
      </c>
    </row>
    <row r="2110" spans="1:6" ht="12.75">
      <c r="A2110" s="8">
        <v>43904.374664351853</v>
      </c>
      <c r="B2110" s="8" t="str">
        <f>HYPERLINK("https://twitter.com/digtara2","@digtara2")</f>
        <v>@digtara2</v>
      </c>
      <c r="C2110" s="8" t="s">
        <v>1182</v>
      </c>
      <c r="D2110" s="8">
        <v>0</v>
      </c>
      <c r="E2110" s="8">
        <v>0</v>
      </c>
      <c r="F2110" s="8">
        <v>31</v>
      </c>
    </row>
    <row r="2111" spans="1:6" ht="12.75">
      <c r="A2111" s="8">
        <v>43904.374305555553</v>
      </c>
      <c r="B2111" s="8" t="str">
        <f>HYPERLINK("https://twitter.com/istiah_titan","@istiah_titan")</f>
        <v>@istiah_titan</v>
      </c>
      <c r="C2111" s="8" t="s">
        <v>1183</v>
      </c>
      <c r="D2111" s="8">
        <v>8</v>
      </c>
      <c r="E2111" s="8">
        <v>0</v>
      </c>
      <c r="F2111" s="8">
        <v>991</v>
      </c>
    </row>
    <row r="2112" spans="1:6" ht="12.75">
      <c r="A2112" s="8">
        <v>43904.374293981484</v>
      </c>
      <c r="B2112" s="8" t="str">
        <f t="shared" ref="B2112:B2113" si="36">HYPERLINK("https://twitter.com/ItsMyRealQuotes","@ItsMyRealQuotes")</f>
        <v>@ItsMyRealQuotes</v>
      </c>
      <c r="C2112" s="8" t="s">
        <v>1184</v>
      </c>
      <c r="D2112" s="8">
        <v>3</v>
      </c>
      <c r="E2112" s="8">
        <v>0</v>
      </c>
      <c r="F2112" s="8">
        <v>182027</v>
      </c>
    </row>
    <row r="2113" spans="1:6" ht="12.75">
      <c r="A2113" s="8">
        <v>43904.374062499999</v>
      </c>
      <c r="B2113" s="8" t="str">
        <f t="shared" si="36"/>
        <v>@ItsMyRealQuotes</v>
      </c>
      <c r="C2113" s="8" t="s">
        <v>943</v>
      </c>
      <c r="D2113" s="8">
        <v>10</v>
      </c>
      <c r="E2113" s="8">
        <v>0</v>
      </c>
      <c r="F2113" s="8">
        <v>182027</v>
      </c>
    </row>
    <row r="2114" spans="1:6" ht="12.75">
      <c r="A2114" s="8">
        <v>43904.373969907407</v>
      </c>
      <c r="B2114" s="8" t="str">
        <f>HYPERLINK("https://twitter.com/BonnieAjah","@BonnieAjah")</f>
        <v>@BonnieAjah</v>
      </c>
      <c r="C2114" s="8" t="s">
        <v>1131</v>
      </c>
      <c r="D2114" s="8">
        <v>8</v>
      </c>
      <c r="E2114" s="8">
        <v>0</v>
      </c>
      <c r="F2114" s="8">
        <v>4876</v>
      </c>
    </row>
    <row r="2115" spans="1:6" ht="12.75">
      <c r="A2115" s="8">
        <v>43904.373935185184</v>
      </c>
      <c r="B2115" s="8" t="str">
        <f t="shared" ref="B2115:B2116" si="37">HYPERLINK("https://twitter.com/ItsMyRealQuotes","@ItsMyRealQuotes")</f>
        <v>@ItsMyRealQuotes</v>
      </c>
      <c r="C2115" s="8" t="s">
        <v>1170</v>
      </c>
      <c r="D2115" s="8">
        <v>12</v>
      </c>
      <c r="E2115" s="8">
        <v>0</v>
      </c>
      <c r="F2115" s="8">
        <v>182027</v>
      </c>
    </row>
    <row r="2116" spans="1:6" ht="12.75">
      <c r="A2116" s="8">
        <v>43904.37363425926</v>
      </c>
      <c r="B2116" s="8" t="str">
        <f t="shared" si="37"/>
        <v>@ItsMyRealQuotes</v>
      </c>
      <c r="C2116" s="8" t="s">
        <v>1153</v>
      </c>
      <c r="D2116" s="8">
        <v>11</v>
      </c>
      <c r="E2116" s="8">
        <v>0</v>
      </c>
      <c r="F2116" s="8">
        <v>182027</v>
      </c>
    </row>
    <row r="2117" spans="1:6" ht="12.75">
      <c r="A2117" s="8">
        <v>43904.373599537037</v>
      </c>
      <c r="B2117" s="8" t="str">
        <f>HYPERLINK("https://twitter.com/septiaria","@septiaria")</f>
        <v>@septiaria</v>
      </c>
      <c r="C2117" s="8" t="s">
        <v>587</v>
      </c>
      <c r="D2117" s="8">
        <v>48</v>
      </c>
      <c r="E2117" s="8">
        <v>0</v>
      </c>
      <c r="F2117" s="8">
        <v>504</v>
      </c>
    </row>
    <row r="2118" spans="1:6" ht="12.75">
      <c r="A2118" s="8">
        <v>43904.373425925922</v>
      </c>
      <c r="B2118" s="8" t="str">
        <f>HYPERLINK("https://twitter.com/SatiaYuni","@SatiaYuni")</f>
        <v>@SatiaYuni</v>
      </c>
      <c r="C2118" s="8" t="s">
        <v>353</v>
      </c>
      <c r="D2118" s="8">
        <v>140</v>
      </c>
      <c r="E2118" s="8">
        <v>0</v>
      </c>
      <c r="F2118" s="8">
        <v>33</v>
      </c>
    </row>
    <row r="2119" spans="1:6" ht="12.75">
      <c r="A2119" s="8">
        <v>43904.373252314814</v>
      </c>
      <c r="B2119" s="8" t="str">
        <f>HYPERLINK("https://twitter.com/priBUMI_DATAR","@priBUMI_DATAR")</f>
        <v>@priBUMI_DATAR</v>
      </c>
      <c r="C2119" s="8" t="s">
        <v>1139</v>
      </c>
      <c r="D2119" s="8">
        <v>19</v>
      </c>
      <c r="E2119" s="8">
        <v>0</v>
      </c>
      <c r="F2119" s="8">
        <v>215</v>
      </c>
    </row>
    <row r="2120" spans="1:6" ht="12.75">
      <c r="A2120" s="8">
        <v>43904.372337962966</v>
      </c>
      <c r="B2120" s="8" t="str">
        <f>HYPERLINK("https://twitter.com/thedracoartist","@thedracoartist")</f>
        <v>@thedracoartist</v>
      </c>
      <c r="C2120" s="8" t="s">
        <v>1185</v>
      </c>
      <c r="D2120" s="8">
        <v>0</v>
      </c>
      <c r="E2120" s="8">
        <v>1</v>
      </c>
      <c r="F2120" s="8">
        <v>421</v>
      </c>
    </row>
    <row r="2121" spans="1:6" ht="12.75">
      <c r="A2121" s="8">
        <v>43904.371724537035</v>
      </c>
      <c r="B2121" s="8" t="str">
        <f>HYPERLINK("https://twitter.com/abeng_nih","@abeng_nih")</f>
        <v>@abeng_nih</v>
      </c>
      <c r="C2121" s="8" t="s">
        <v>1186</v>
      </c>
      <c r="D2121" s="8">
        <v>434</v>
      </c>
      <c r="E2121" s="8">
        <v>0</v>
      </c>
      <c r="F2121" s="8">
        <v>634</v>
      </c>
    </row>
    <row r="2122" spans="1:6" ht="12.75">
      <c r="A2122" s="8">
        <v>43904.37122685185</v>
      </c>
      <c r="B2122" s="8" t="str">
        <f>HYPERLINK("https://twitter.com/_wni_","@_wni_")</f>
        <v>@_wni_</v>
      </c>
      <c r="C2122" s="8" t="s">
        <v>1187</v>
      </c>
      <c r="D2122" s="8">
        <v>21122</v>
      </c>
      <c r="E2122" s="8">
        <v>0</v>
      </c>
      <c r="F2122" s="8">
        <v>21</v>
      </c>
    </row>
    <row r="2123" spans="1:6" ht="12.75">
      <c r="A2123" s="8">
        <v>43904.371030092589</v>
      </c>
      <c r="B2123" s="8" t="str">
        <f>HYPERLINK("https://twitter.com/MrsRachelIn","@MrsRachelIn")</f>
        <v>@MrsRachelIn</v>
      </c>
      <c r="C2123" s="8" t="s">
        <v>1188</v>
      </c>
      <c r="D2123" s="8">
        <v>0</v>
      </c>
      <c r="E2123" s="8">
        <v>0</v>
      </c>
      <c r="F2123" s="8">
        <v>3577</v>
      </c>
    </row>
    <row r="2124" spans="1:6" ht="12.75">
      <c r="A2124" s="8">
        <v>43904.370740740742</v>
      </c>
      <c r="B2124" s="8" t="str">
        <f>HYPERLINK("https://twitter.com/tambonnideba","@tambonnideba")</f>
        <v>@tambonnideba</v>
      </c>
      <c r="C2124" s="8" t="s">
        <v>1189</v>
      </c>
      <c r="D2124" s="8">
        <v>0</v>
      </c>
      <c r="E2124" s="8">
        <v>0</v>
      </c>
      <c r="F2124" s="8">
        <v>147</v>
      </c>
    </row>
    <row r="2125" spans="1:6" ht="12.75">
      <c r="A2125" s="8">
        <v>43904.370636574073</v>
      </c>
      <c r="B2125" s="8" t="str">
        <f>HYPERLINK("https://twitter.com/topinfo_id","@topinfo_id")</f>
        <v>@topinfo_id</v>
      </c>
      <c r="C2125" s="8" t="s">
        <v>1190</v>
      </c>
      <c r="D2125" s="8">
        <v>0</v>
      </c>
      <c r="E2125" s="8">
        <v>0</v>
      </c>
      <c r="F2125" s="8">
        <v>113</v>
      </c>
    </row>
    <row r="2126" spans="1:6" ht="12.75">
      <c r="A2126" s="8">
        <v>43904.37054398148</v>
      </c>
      <c r="B2126" s="8" t="str">
        <f>HYPERLINK("https://twitter.com/ciptoApaCipta","@ciptoApaCipta")</f>
        <v>@ciptoApaCipta</v>
      </c>
      <c r="C2126" s="8" t="s">
        <v>1139</v>
      </c>
      <c r="D2126" s="8">
        <v>19</v>
      </c>
      <c r="E2126" s="8">
        <v>0</v>
      </c>
      <c r="F2126" s="8">
        <v>579</v>
      </c>
    </row>
    <row r="2127" spans="1:6" ht="12.75">
      <c r="A2127" s="8">
        <v>43904.370486111111</v>
      </c>
      <c r="B2127" s="8" t="str">
        <f>HYPERLINK("https://twitter.com/luqman78","@luqman78")</f>
        <v>@luqman78</v>
      </c>
      <c r="C2127" s="8" t="s">
        <v>1139</v>
      </c>
      <c r="D2127" s="8">
        <v>19</v>
      </c>
      <c r="E2127" s="8">
        <v>0</v>
      </c>
      <c r="F2127" s="8">
        <v>300</v>
      </c>
    </row>
    <row r="2128" spans="1:6" ht="12.75">
      <c r="A2128" s="8">
        <v>43904.370219907403</v>
      </c>
      <c r="B2128" s="8" t="str">
        <f>HYPERLINK("https://twitter.com/dimassharyanto","@dimassharyanto")</f>
        <v>@dimassharyanto</v>
      </c>
      <c r="C2128" s="8" t="s">
        <v>587</v>
      </c>
      <c r="D2128" s="8">
        <v>48</v>
      </c>
      <c r="E2128" s="8">
        <v>0</v>
      </c>
      <c r="F2128" s="8">
        <v>32</v>
      </c>
    </row>
    <row r="2129" spans="1:6" ht="12.75">
      <c r="A2129" s="8">
        <v>43904.370115740741</v>
      </c>
      <c r="B2129" s="8" t="str">
        <f>HYPERLINK("https://twitter.com/idpenamini","@idpenamini")</f>
        <v>@idpenamini</v>
      </c>
      <c r="C2129" s="8" t="s">
        <v>1190</v>
      </c>
      <c r="D2129" s="8">
        <v>0</v>
      </c>
      <c r="E2129" s="8">
        <v>0</v>
      </c>
      <c r="F2129" s="8">
        <v>174</v>
      </c>
    </row>
    <row r="2130" spans="1:6" ht="12.75">
      <c r="A2130" s="8">
        <v>43904.368425925924</v>
      </c>
      <c r="B2130" s="8" t="str">
        <f>HYPERLINK("https://twitter.com/galamedianews","@galamedianews")</f>
        <v>@galamedianews</v>
      </c>
      <c r="C2130" s="8" t="s">
        <v>1191</v>
      </c>
      <c r="D2130" s="8">
        <v>0</v>
      </c>
      <c r="E2130" s="8">
        <v>0</v>
      </c>
      <c r="F2130" s="8">
        <v>13876</v>
      </c>
    </row>
    <row r="2131" spans="1:6" ht="12.75">
      <c r="A2131" s="8">
        <v>43904.368402777778</v>
      </c>
      <c r="B2131" s="8" t="str">
        <f>HYPERLINK("https://twitter.com/toeng__","@toeng__")</f>
        <v>@toeng__</v>
      </c>
      <c r="C2131" s="8" t="s">
        <v>1111</v>
      </c>
      <c r="D2131" s="8">
        <v>4</v>
      </c>
      <c r="E2131" s="8">
        <v>0</v>
      </c>
      <c r="F2131" s="8">
        <v>145</v>
      </c>
    </row>
    <row r="2132" spans="1:6" ht="12.75">
      <c r="A2132" s="8">
        <v>43904.367835648147</v>
      </c>
      <c r="B2132" s="8" t="str">
        <f>HYPERLINK("https://twitter.com/4b1id__DzOE3","@4b1id__DzOE3")</f>
        <v>@4b1id__DzOE3</v>
      </c>
      <c r="C2132" s="8" t="s">
        <v>1192</v>
      </c>
      <c r="D2132" s="8">
        <v>4</v>
      </c>
      <c r="E2132" s="8">
        <v>0</v>
      </c>
      <c r="F2132" s="8">
        <v>1667</v>
      </c>
    </row>
    <row r="2133" spans="1:6" ht="12.75">
      <c r="A2133" s="8">
        <v>43904.367685185185</v>
      </c>
      <c r="B2133" s="8" t="str">
        <f>HYPERLINK("https://twitter.com/Betadin7","@Betadin7")</f>
        <v>@Betadin7</v>
      </c>
      <c r="C2133" s="8" t="s">
        <v>1111</v>
      </c>
      <c r="D2133" s="8">
        <v>4</v>
      </c>
      <c r="E2133" s="8">
        <v>0</v>
      </c>
      <c r="F2133" s="8">
        <v>300</v>
      </c>
    </row>
    <row r="2134" spans="1:6" ht="12.75">
      <c r="A2134" s="8">
        <v>43904.3674537037</v>
      </c>
      <c r="B2134" s="8" t="str">
        <f>HYPERLINK("https://twitter.com/bdg0919","@bdg0919")</f>
        <v>@bdg0919</v>
      </c>
      <c r="C2134" s="8" t="s">
        <v>1193</v>
      </c>
      <c r="D2134" s="8">
        <v>0</v>
      </c>
      <c r="E2134" s="8">
        <v>0</v>
      </c>
      <c r="F2134" s="8">
        <v>690</v>
      </c>
    </row>
    <row r="2135" spans="1:6" ht="12.75">
      <c r="A2135" s="8">
        <v>43904.366238425922</v>
      </c>
      <c r="B2135" s="8" t="str">
        <f>HYPERLINK("https://twitter.com/coffeefl12","@coffeefl12")</f>
        <v>@coffeefl12</v>
      </c>
      <c r="C2135" s="8" t="s">
        <v>1194</v>
      </c>
      <c r="D2135" s="8">
        <v>0</v>
      </c>
      <c r="E2135" s="8">
        <v>0</v>
      </c>
      <c r="F2135" s="8">
        <v>23</v>
      </c>
    </row>
    <row r="2136" spans="1:6" ht="12.75">
      <c r="A2136" s="8">
        <v>43904.365011574075</v>
      </c>
      <c r="B2136" s="8" t="str">
        <f>HYPERLINK("https://twitter.com/PrijaRabbani_","@PrijaRabbani_")</f>
        <v>@PrijaRabbani_</v>
      </c>
      <c r="C2136" s="8" t="s">
        <v>1111</v>
      </c>
      <c r="D2136" s="8">
        <v>4</v>
      </c>
      <c r="E2136" s="8">
        <v>0</v>
      </c>
      <c r="F2136" s="8">
        <v>748</v>
      </c>
    </row>
    <row r="2137" spans="1:6" ht="12.75">
      <c r="A2137" s="8">
        <v>43904.364733796298</v>
      </c>
      <c r="B2137" s="8" t="str">
        <f>HYPERLINK("https://twitter.com/miaemilymia","@miaemilymia")</f>
        <v>@miaemilymia</v>
      </c>
      <c r="C2137" s="8" t="s">
        <v>1139</v>
      </c>
      <c r="D2137" s="8">
        <v>19</v>
      </c>
      <c r="E2137" s="8">
        <v>0</v>
      </c>
      <c r="F2137" s="8">
        <v>7300</v>
      </c>
    </row>
    <row r="2138" spans="1:6" ht="12.75">
      <c r="A2138" s="8">
        <v>43904.364710648151</v>
      </c>
      <c r="B2138" s="8" t="str">
        <f>HYPERLINK("https://twitter.com/_mnsg","@_mnsg")</f>
        <v>@_mnsg</v>
      </c>
      <c r="C2138" s="8" t="s">
        <v>1195</v>
      </c>
      <c r="D2138" s="8">
        <v>2641</v>
      </c>
      <c r="E2138" s="8">
        <v>0</v>
      </c>
      <c r="F2138" s="8">
        <v>1015</v>
      </c>
    </row>
    <row r="2139" spans="1:6" ht="12.75">
      <c r="A2139" s="8">
        <v>43904.363668981481</v>
      </c>
      <c r="B2139" s="8" t="str">
        <f>HYPERLINK("https://twitter.com/winarto_sarsidi","@winarto_sarsidi")</f>
        <v>@winarto_sarsidi</v>
      </c>
      <c r="C2139" s="8" t="s">
        <v>1111</v>
      </c>
      <c r="D2139" s="8">
        <v>4</v>
      </c>
      <c r="E2139" s="8">
        <v>0</v>
      </c>
      <c r="F2139" s="8">
        <v>4870</v>
      </c>
    </row>
    <row r="2140" spans="1:6" ht="12.75">
      <c r="A2140" s="8">
        <v>43904.363634259258</v>
      </c>
      <c r="B2140" s="8" t="str">
        <f>HYPERLINK("https://twitter.com/nailasolihah","@nailasolihah")</f>
        <v>@nailasolihah</v>
      </c>
      <c r="C2140" s="8" t="s">
        <v>1139</v>
      </c>
      <c r="D2140" s="8">
        <v>19</v>
      </c>
      <c r="E2140" s="8">
        <v>0</v>
      </c>
      <c r="F2140" s="8">
        <v>245</v>
      </c>
    </row>
    <row r="2141" spans="1:6" ht="12.75">
      <c r="A2141" s="8">
        <v>43904.363599537042</v>
      </c>
      <c r="B2141" s="8" t="str">
        <f>HYPERLINK("https://twitter.com/am_irva","@am_irva")</f>
        <v>@am_irva</v>
      </c>
      <c r="C2141" s="8" t="s">
        <v>1196</v>
      </c>
      <c r="D2141" s="8">
        <v>0</v>
      </c>
      <c r="E2141" s="8">
        <v>0</v>
      </c>
      <c r="F2141" s="8">
        <v>1</v>
      </c>
    </row>
    <row r="2142" spans="1:6" ht="12.75">
      <c r="A2142" s="8">
        <v>43904.363437499997</v>
      </c>
      <c r="B2142" s="8" t="str">
        <f>HYPERLINK("https://twitter.com/veraagustian_","@veraagustian_")</f>
        <v>@veraagustian_</v>
      </c>
      <c r="C2142" s="8" t="s">
        <v>1139</v>
      </c>
      <c r="D2142" s="8">
        <v>19</v>
      </c>
      <c r="E2142" s="8">
        <v>0</v>
      </c>
      <c r="F2142" s="8">
        <v>3486</v>
      </c>
    </row>
    <row r="2143" spans="1:6" ht="12.75">
      <c r="A2143" s="8">
        <v>43904.363113425927</v>
      </c>
      <c r="B2143" s="8" t="str">
        <f>HYPERLINK("https://twitter.com/cekmint_sabang","@cekmint_sabang")</f>
        <v>@cekmint_sabang</v>
      </c>
      <c r="C2143" s="8" t="s">
        <v>1139</v>
      </c>
      <c r="D2143" s="8">
        <v>19</v>
      </c>
      <c r="E2143" s="8">
        <v>0</v>
      </c>
      <c r="F2143" s="8">
        <v>323</v>
      </c>
    </row>
    <row r="2144" spans="1:6" ht="12.75">
      <c r="A2144" s="8">
        <v>43904.363055555557</v>
      </c>
      <c r="B2144" s="8" t="str">
        <f>HYPERLINK("https://twitter.com/Menadion","@Menadion")</f>
        <v>@Menadion</v>
      </c>
      <c r="C2144" s="8" t="s">
        <v>1197</v>
      </c>
      <c r="D2144" s="8">
        <v>0</v>
      </c>
      <c r="E2144" s="8">
        <v>0</v>
      </c>
      <c r="F2144" s="8">
        <v>56</v>
      </c>
    </row>
    <row r="2145" spans="1:6" ht="12.75">
      <c r="A2145" s="8">
        <v>43904.362175925926</v>
      </c>
      <c r="B2145" s="8" t="str">
        <f>HYPERLINK("https://twitter.com/fahmihasan91","@fahmihasan91")</f>
        <v>@fahmihasan91</v>
      </c>
      <c r="C2145" s="8" t="s">
        <v>1139</v>
      </c>
      <c r="D2145" s="8">
        <v>19</v>
      </c>
      <c r="E2145" s="8">
        <v>0</v>
      </c>
      <c r="F2145" s="8">
        <v>313</v>
      </c>
    </row>
    <row r="2146" spans="1:6" ht="12.75">
      <c r="A2146" s="8">
        <v>43904.361967592587</v>
      </c>
      <c r="B2146" s="8" t="str">
        <f>HYPERLINK("https://twitter.com/CepJohan","@CepJohan")</f>
        <v>@CepJohan</v>
      </c>
      <c r="C2146" s="8" t="s">
        <v>1198</v>
      </c>
      <c r="D2146" s="8">
        <v>4</v>
      </c>
      <c r="E2146" s="8">
        <v>7</v>
      </c>
      <c r="F2146" s="8">
        <v>8228</v>
      </c>
    </row>
    <row r="2147" spans="1:6" ht="12.75">
      <c r="A2147" s="8">
        <v>43904.361932870372</v>
      </c>
      <c r="B2147" s="8" t="str">
        <f t="shared" ref="B2147:B2149" si="38">HYPERLINK("https://twitter.com/Nadila_ID","@Nadila_ID")</f>
        <v>@Nadila_ID</v>
      </c>
      <c r="C2147" s="8" t="s">
        <v>1199</v>
      </c>
      <c r="D2147" s="8">
        <v>11</v>
      </c>
      <c r="E2147" s="8">
        <v>0</v>
      </c>
      <c r="F2147" s="8">
        <v>7187</v>
      </c>
    </row>
    <row r="2148" spans="1:6" ht="12.75">
      <c r="A2148" s="8">
        <v>43904.361898148149</v>
      </c>
      <c r="B2148" s="8" t="str">
        <f t="shared" si="38"/>
        <v>@Nadila_ID</v>
      </c>
      <c r="C2148" s="8" t="s">
        <v>943</v>
      </c>
      <c r="D2148" s="8">
        <v>10</v>
      </c>
      <c r="E2148" s="8">
        <v>0</v>
      </c>
      <c r="F2148" s="8">
        <v>7187</v>
      </c>
    </row>
    <row r="2149" spans="1:6" ht="12.75">
      <c r="A2149" s="8">
        <v>43904.361724537041</v>
      </c>
      <c r="B2149" s="8" t="str">
        <f t="shared" si="38"/>
        <v>@Nadila_ID</v>
      </c>
      <c r="C2149" s="8" t="s">
        <v>1170</v>
      </c>
      <c r="D2149" s="8">
        <v>12</v>
      </c>
      <c r="E2149" s="8">
        <v>0</v>
      </c>
      <c r="F2149" s="8">
        <v>7187</v>
      </c>
    </row>
    <row r="2150" spans="1:6" ht="12.75">
      <c r="A2150" s="8">
        <v>43904.361215277779</v>
      </c>
      <c r="B2150" s="8" t="str">
        <f>HYPERLINK("https://twitter.com/ayahkasih","@ayahkasih")</f>
        <v>@ayahkasih</v>
      </c>
      <c r="C2150" s="8" t="s">
        <v>1200</v>
      </c>
      <c r="D2150" s="8">
        <v>0</v>
      </c>
      <c r="E2150" s="8">
        <v>0</v>
      </c>
      <c r="F2150" s="8">
        <v>1592</v>
      </c>
    </row>
    <row r="2151" spans="1:6" ht="12.75">
      <c r="A2151" s="8">
        <v>43904.361018518517</v>
      </c>
      <c r="B2151" s="8" t="str">
        <f>HYPERLINK("https://twitter.com/Nadila_ID","@Nadila_ID")</f>
        <v>@Nadila_ID</v>
      </c>
      <c r="C2151" s="8" t="s">
        <v>1153</v>
      </c>
      <c r="D2151" s="8">
        <v>11</v>
      </c>
      <c r="E2151" s="8">
        <v>0</v>
      </c>
      <c r="F2151" s="8">
        <v>7187</v>
      </c>
    </row>
    <row r="2152" spans="1:6" ht="12.75">
      <c r="A2152" s="8">
        <v>43904.360555555555</v>
      </c>
      <c r="B2152" s="8" t="str">
        <f>HYPERLINK("https://twitter.com/3MasPratt","@3MasPratt")</f>
        <v>@3MasPratt</v>
      </c>
      <c r="C2152" s="8" t="s">
        <v>1139</v>
      </c>
      <c r="D2152" s="8">
        <v>19</v>
      </c>
      <c r="E2152" s="8">
        <v>0</v>
      </c>
      <c r="F2152" s="8">
        <v>442</v>
      </c>
    </row>
    <row r="2153" spans="1:6" ht="12.75">
      <c r="A2153" s="8">
        <v>43904.36038194444</v>
      </c>
      <c r="B2153" s="8" t="str">
        <f>HYPERLINK("https://twitter.com/garrettpopkorn","@garrettpopkorn")</f>
        <v>@garrettpopkorn</v>
      </c>
      <c r="C2153" s="8" t="s">
        <v>1133</v>
      </c>
      <c r="D2153" s="8">
        <v>3</v>
      </c>
      <c r="E2153" s="8">
        <v>0</v>
      </c>
      <c r="F2153" s="8">
        <v>4464</v>
      </c>
    </row>
    <row r="2154" spans="1:6" ht="12.75">
      <c r="A2154" s="8">
        <v>43904.36037037037</v>
      </c>
      <c r="B2154" s="8" t="str">
        <f>HYPERLINK("https://twitter.com/Bang_Eri","@Bang_Eri")</f>
        <v>@Bang_Eri</v>
      </c>
      <c r="C2154" s="8" t="s">
        <v>1139</v>
      </c>
      <c r="D2154" s="8">
        <v>19</v>
      </c>
      <c r="E2154" s="8">
        <v>0</v>
      </c>
      <c r="F2154" s="8">
        <v>149</v>
      </c>
    </row>
    <row r="2155" spans="1:6" ht="12.75">
      <c r="A2155" s="8">
        <v>43904.360312500001</v>
      </c>
      <c r="B2155" s="8" t="str">
        <f>HYPERLINK("https://twitter.com/Gunadi84380182","@Gunadi84380182")</f>
        <v>@Gunadi84380182</v>
      </c>
      <c r="C2155" s="8" t="s">
        <v>1183</v>
      </c>
      <c r="D2155" s="8">
        <v>8</v>
      </c>
      <c r="E2155" s="8">
        <v>0</v>
      </c>
      <c r="F2155" s="8">
        <v>78</v>
      </c>
    </row>
    <row r="2156" spans="1:6" ht="12.75">
      <c r="A2156" s="8">
        <v>43904.36005787037</v>
      </c>
      <c r="B2156" s="8" t="str">
        <f>HYPERLINK("https://twitter.com/karman_mustamin","@karman_mustamin")</f>
        <v>@karman_mustamin</v>
      </c>
      <c r="C2156" s="8" t="s">
        <v>1201</v>
      </c>
      <c r="D2156" s="8">
        <v>0</v>
      </c>
      <c r="E2156" s="8">
        <v>0</v>
      </c>
      <c r="F2156" s="8">
        <v>7723</v>
      </c>
    </row>
    <row r="2157" spans="1:6" ht="12.75">
      <c r="A2157" s="8">
        <v>43904.359907407408</v>
      </c>
      <c r="B2157" s="8" t="str">
        <f>HYPERLINK("https://twitter.com/kartikahari13","@kartikahari13")</f>
        <v>@kartikahari13</v>
      </c>
      <c r="C2157" s="8" t="s">
        <v>1139</v>
      </c>
      <c r="D2157" s="8">
        <v>19</v>
      </c>
      <c r="E2157" s="8">
        <v>0</v>
      </c>
      <c r="F2157" s="8">
        <v>1420</v>
      </c>
    </row>
    <row r="2158" spans="1:6" ht="12.75">
      <c r="A2158" s="8">
        <v>43904.359317129631</v>
      </c>
      <c r="B2158" s="8" t="str">
        <f>HYPERLINK("https://twitter.com/republikaonline","@republikaonline")</f>
        <v>@republikaonline</v>
      </c>
      <c r="C2158" s="8" t="s">
        <v>1202</v>
      </c>
      <c r="D2158" s="8">
        <v>19</v>
      </c>
      <c r="E2158" s="8">
        <v>16</v>
      </c>
      <c r="F2158" s="8">
        <v>1225918</v>
      </c>
    </row>
    <row r="2159" spans="1:6" ht="12.75">
      <c r="A2159" s="8">
        <v>43904.358969907407</v>
      </c>
      <c r="B2159" s="8" t="str">
        <f>HYPERLINK("https://twitter.com/ahmdaminn","@ahmdaminn")</f>
        <v>@ahmdaminn</v>
      </c>
      <c r="C2159" s="8" t="s">
        <v>353</v>
      </c>
      <c r="D2159" s="8">
        <v>140</v>
      </c>
      <c r="E2159" s="8">
        <v>0</v>
      </c>
      <c r="F2159" s="8">
        <v>818</v>
      </c>
    </row>
    <row r="2160" spans="1:6" ht="12.75">
      <c r="A2160" s="8">
        <v>43904.358796296292</v>
      </c>
      <c r="B2160" s="8" t="str">
        <f>HYPERLINK("https://twitter.com/illuminationkey","@illuminationkey")</f>
        <v>@illuminationkey</v>
      </c>
      <c r="C2160" s="8" t="s">
        <v>203</v>
      </c>
      <c r="D2160" s="8">
        <v>19</v>
      </c>
      <c r="E2160" s="8">
        <v>0</v>
      </c>
      <c r="F2160" s="8">
        <v>580</v>
      </c>
    </row>
    <row r="2161" spans="1:6" ht="12.75">
      <c r="A2161" s="8">
        <v>43904.358634259261</v>
      </c>
      <c r="B2161" s="8" t="str">
        <f t="shared" ref="B2161:B2162" si="39">HYPERLINK("https://twitter.com/ISIS_Balik_NO","@ISIS_Balik_NO")</f>
        <v>@ISIS_Balik_NO</v>
      </c>
      <c r="C2161" s="8" t="s">
        <v>1203</v>
      </c>
      <c r="D2161" s="8">
        <v>0</v>
      </c>
      <c r="E2161" s="8">
        <v>1</v>
      </c>
      <c r="F2161" s="8">
        <v>6281</v>
      </c>
    </row>
    <row r="2162" spans="1:6" ht="12.75">
      <c r="A2162" s="8">
        <v>43904.357581018514</v>
      </c>
      <c r="B2162" s="8" t="str">
        <f t="shared" si="39"/>
        <v>@ISIS_Balik_NO</v>
      </c>
      <c r="C2162" s="8" t="s">
        <v>1204</v>
      </c>
      <c r="D2162" s="8">
        <v>70</v>
      </c>
      <c r="E2162" s="8">
        <v>0</v>
      </c>
      <c r="F2162" s="8">
        <v>6281</v>
      </c>
    </row>
    <row r="2163" spans="1:6" ht="12.75">
      <c r="A2163" s="8">
        <v>43904.35738425926</v>
      </c>
      <c r="B2163" s="8" t="str">
        <f>HYPERLINK("https://twitter.com/hans_tbn","@hans_tbn")</f>
        <v>@hans_tbn</v>
      </c>
      <c r="C2163" s="8" t="s">
        <v>1131</v>
      </c>
      <c r="D2163" s="8">
        <v>8</v>
      </c>
      <c r="E2163" s="8">
        <v>0</v>
      </c>
      <c r="F2163" s="8">
        <v>1294</v>
      </c>
    </row>
    <row r="2164" spans="1:6" ht="12.75">
      <c r="A2164" s="8">
        <v>43904.356736111113</v>
      </c>
      <c r="B2164" s="8" t="str">
        <f>HYPERLINK("https://twitter.com/kjriosaka","@kjriosaka")</f>
        <v>@kjriosaka</v>
      </c>
      <c r="C2164" s="8" t="s">
        <v>1205</v>
      </c>
      <c r="D2164" s="8">
        <v>0</v>
      </c>
      <c r="E2164" s="8">
        <v>3</v>
      </c>
      <c r="F2164" s="8">
        <v>1588</v>
      </c>
    </row>
    <row r="2165" spans="1:6" ht="12.75">
      <c r="A2165" s="8">
        <v>43904.356458333335</v>
      </c>
      <c r="B2165" s="8" t="str">
        <f>HYPERLINK("https://twitter.com/rijal07893466","@rijal07893466")</f>
        <v>@rijal07893466</v>
      </c>
      <c r="C2165" s="8" t="s">
        <v>1133</v>
      </c>
      <c r="D2165" s="8">
        <v>3</v>
      </c>
      <c r="E2165" s="8">
        <v>0</v>
      </c>
      <c r="F2165" s="8">
        <v>93</v>
      </c>
    </row>
    <row r="2166" spans="1:6" ht="12.75">
      <c r="A2166" s="8">
        <v>43904.356168981481</v>
      </c>
      <c r="B2166" s="8" t="str">
        <f>HYPERLINK("https://twitter.com/Laduni_Sadja","@Laduni_Sadja")</f>
        <v>@Laduni_Sadja</v>
      </c>
      <c r="C2166" s="8" t="s">
        <v>1133</v>
      </c>
      <c r="D2166" s="8">
        <v>3</v>
      </c>
      <c r="E2166" s="8">
        <v>0</v>
      </c>
      <c r="F2166" s="8">
        <v>1182</v>
      </c>
    </row>
    <row r="2167" spans="1:6" ht="12.75">
      <c r="A2167" s="8">
        <v>43904.355902777781</v>
      </c>
      <c r="B2167" s="8" t="str">
        <f>HYPERLINK("https://twitter.com/roselinaping","@roselinaping")</f>
        <v>@roselinaping</v>
      </c>
      <c r="C2167" s="8" t="s">
        <v>203</v>
      </c>
      <c r="D2167" s="8">
        <v>19</v>
      </c>
      <c r="E2167" s="8">
        <v>0</v>
      </c>
      <c r="F2167" s="8">
        <v>499</v>
      </c>
    </row>
    <row r="2168" spans="1:6" ht="12.75">
      <c r="A2168" s="8">
        <v>43904.355694444443</v>
      </c>
      <c r="B2168" s="8" t="str">
        <f>HYPERLINK("https://twitter.com/bersuarsuara","@bersuarsuara")</f>
        <v>@bersuarsuara</v>
      </c>
      <c r="C2168" s="8" t="s">
        <v>1206</v>
      </c>
      <c r="D2168" s="8">
        <v>0</v>
      </c>
      <c r="E2168" s="8">
        <v>0</v>
      </c>
      <c r="F2168" s="8">
        <v>1183</v>
      </c>
    </row>
    <row r="2169" spans="1:6" ht="12.75">
      <c r="A2169" s="8">
        <v>43904.35564814815</v>
      </c>
      <c r="B2169" s="8" t="str">
        <f>HYPERLINK("https://twitter.com/BossRini","@BossRini")</f>
        <v>@BossRini</v>
      </c>
      <c r="C2169" s="8" t="s">
        <v>203</v>
      </c>
      <c r="D2169" s="8">
        <v>19</v>
      </c>
      <c r="E2169" s="8">
        <v>0</v>
      </c>
      <c r="F2169" s="8">
        <v>552</v>
      </c>
    </row>
    <row r="2170" spans="1:6" ht="12.75">
      <c r="A2170" s="8">
        <v>43904.355162037042</v>
      </c>
      <c r="B2170" s="8" t="str">
        <f>HYPERLINK("https://twitter.com/ISIS_Balik_NO","@ISIS_Balik_NO")</f>
        <v>@ISIS_Balik_NO</v>
      </c>
      <c r="C2170" s="8" t="s">
        <v>1207</v>
      </c>
      <c r="D2170" s="8">
        <v>0</v>
      </c>
      <c r="E2170" s="8">
        <v>0</v>
      </c>
      <c r="F2170" s="8">
        <v>6281</v>
      </c>
    </row>
    <row r="2171" spans="1:6" ht="12.75">
      <c r="A2171" s="8">
        <v>43904.354999999996</v>
      </c>
      <c r="B2171" s="8" t="str">
        <f>HYPERLINK("https://twitter.com/antaranews","@antaranews")</f>
        <v>@antaranews</v>
      </c>
      <c r="C2171" s="8" t="s">
        <v>1208</v>
      </c>
      <c r="D2171" s="8">
        <v>3</v>
      </c>
      <c r="E2171" s="8">
        <v>3</v>
      </c>
      <c r="F2171" s="8">
        <v>1107555</v>
      </c>
    </row>
    <row r="2172" spans="1:6" ht="12.75">
      <c r="A2172" s="8">
        <v>43904.354467592595</v>
      </c>
      <c r="B2172" s="8" t="str">
        <f>HYPERLINK("https://twitter.com/coffeefl12","@coffeefl12")</f>
        <v>@coffeefl12</v>
      </c>
      <c r="C2172" s="8" t="s">
        <v>1209</v>
      </c>
      <c r="D2172" s="8">
        <v>0</v>
      </c>
      <c r="E2172" s="8">
        <v>0</v>
      </c>
      <c r="F2172" s="8">
        <v>23</v>
      </c>
    </row>
    <row r="2173" spans="1:6" ht="12.75">
      <c r="A2173" s="8">
        <v>43904.353449074071</v>
      </c>
      <c r="B2173" s="8" t="str">
        <f>HYPERLINK("https://twitter.com/Mertosari","@Mertosari")</f>
        <v>@Mertosari</v>
      </c>
      <c r="C2173" s="8" t="s">
        <v>1210</v>
      </c>
      <c r="D2173" s="8">
        <v>1</v>
      </c>
      <c r="E2173" s="8">
        <v>0</v>
      </c>
      <c r="F2173" s="8">
        <v>190</v>
      </c>
    </row>
    <row r="2174" spans="1:6" ht="12.75">
      <c r="A2174" s="8">
        <v>43904.353402777779</v>
      </c>
      <c r="B2174" s="8" t="str">
        <f>HYPERLINK("https://twitter.com/wtjhia1","@wtjhia1")</f>
        <v>@wtjhia1</v>
      </c>
      <c r="C2174" s="8" t="s">
        <v>1211</v>
      </c>
      <c r="D2174" s="8">
        <v>0</v>
      </c>
      <c r="E2174" s="8">
        <v>1</v>
      </c>
      <c r="F2174" s="8">
        <v>39</v>
      </c>
    </row>
    <row r="2175" spans="1:6" ht="12.75">
      <c r="A2175" s="8">
        <v>43904.353217592594</v>
      </c>
      <c r="B2175" s="8" t="str">
        <f>HYPERLINK("https://twitter.com/jusstme4u","@jusstme4u")</f>
        <v>@jusstme4u</v>
      </c>
      <c r="C2175" s="8" t="s">
        <v>1170</v>
      </c>
      <c r="D2175" s="8">
        <v>12</v>
      </c>
      <c r="E2175" s="8">
        <v>0</v>
      </c>
      <c r="F2175" s="8">
        <v>75861</v>
      </c>
    </row>
    <row r="2176" spans="1:6" ht="12.75">
      <c r="A2176" s="8">
        <v>43904.353136574078</v>
      </c>
      <c r="B2176" s="8" t="str">
        <f t="shared" ref="B2176:B2177" si="40">HYPERLINK("https://twitter.com/SydSalesman","@SydSalesman")</f>
        <v>@SydSalesman</v>
      </c>
      <c r="C2176" s="8" t="s">
        <v>138</v>
      </c>
      <c r="D2176" s="8">
        <v>4</v>
      </c>
      <c r="E2176" s="8">
        <v>0</v>
      </c>
      <c r="F2176" s="8">
        <v>6264</v>
      </c>
    </row>
    <row r="2177" spans="1:6" ht="12.75">
      <c r="A2177" s="8">
        <v>43904.353032407409</v>
      </c>
      <c r="B2177" s="8" t="str">
        <f t="shared" si="40"/>
        <v>@SydSalesman</v>
      </c>
      <c r="C2177" s="8" t="s">
        <v>1131</v>
      </c>
      <c r="D2177" s="8">
        <v>8</v>
      </c>
      <c r="E2177" s="8">
        <v>0</v>
      </c>
      <c r="F2177" s="8">
        <v>6264</v>
      </c>
    </row>
    <row r="2178" spans="1:6" ht="12.75">
      <c r="A2178" s="8">
        <v>43904.352384259255</v>
      </c>
      <c r="B2178" s="8" t="str">
        <f>HYPERLINK("https://twitter.com/Yuzri_Andrean","@Yuzri_Andrean")</f>
        <v>@Yuzri_Andrean</v>
      </c>
      <c r="C2178" s="8" t="s">
        <v>203</v>
      </c>
      <c r="D2178" s="8">
        <v>19</v>
      </c>
      <c r="E2178" s="8">
        <v>0</v>
      </c>
      <c r="F2178" s="8">
        <v>736</v>
      </c>
    </row>
    <row r="2179" spans="1:6" ht="12.75">
      <c r="A2179" s="8">
        <v>43904.352187500001</v>
      </c>
      <c r="B2179" s="8" t="str">
        <f>HYPERLINK("https://twitter.com/tatatatu99","@tatatatu99")</f>
        <v>@tatatatu99</v>
      </c>
      <c r="C2179" s="8" t="s">
        <v>1192</v>
      </c>
      <c r="D2179" s="8">
        <v>4</v>
      </c>
      <c r="E2179" s="8">
        <v>0</v>
      </c>
      <c r="F2179" s="8">
        <v>116</v>
      </c>
    </row>
    <row r="2180" spans="1:6" ht="12.75">
      <c r="A2180" s="8">
        <v>43904.351979166662</v>
      </c>
      <c r="B2180" s="8" t="str">
        <f>HYPERLINK("https://twitter.com/panggilaangel","@panggilaangel")</f>
        <v>@panggilaangel</v>
      </c>
      <c r="C2180" s="8" t="s">
        <v>203</v>
      </c>
      <c r="D2180" s="8">
        <v>19</v>
      </c>
      <c r="E2180" s="8">
        <v>0</v>
      </c>
      <c r="F2180" s="8">
        <v>1124</v>
      </c>
    </row>
    <row r="2181" spans="1:6" ht="12.75">
      <c r="A2181" s="8">
        <v>43904.351851851854</v>
      </c>
      <c r="B2181" s="8" t="str">
        <f>HYPERLINK("https://twitter.com/feylizzle","@feylizzle")</f>
        <v>@feylizzle</v>
      </c>
      <c r="C2181" s="8" t="s">
        <v>587</v>
      </c>
      <c r="D2181" s="8">
        <v>48</v>
      </c>
      <c r="E2181" s="8">
        <v>0</v>
      </c>
      <c r="F2181" s="8">
        <v>262</v>
      </c>
    </row>
    <row r="2182" spans="1:6" ht="12.75">
      <c r="A2182" s="8">
        <v>43904.351712962962</v>
      </c>
      <c r="B2182" s="8" t="str">
        <f>HYPERLINK("https://twitter.com/Gunadi84380182","@Gunadi84380182")</f>
        <v>@Gunadi84380182</v>
      </c>
      <c r="C2182" s="8" t="s">
        <v>925</v>
      </c>
      <c r="D2182" s="8">
        <v>186</v>
      </c>
      <c r="E2182" s="8">
        <v>0</v>
      </c>
      <c r="F2182" s="8">
        <v>78</v>
      </c>
    </row>
    <row r="2183" spans="1:6" ht="12.75">
      <c r="A2183" s="8">
        <v>43904.351504629631</v>
      </c>
      <c r="B2183" s="8" t="str">
        <f>HYPERLINK("https://twitter.com/buwahplum","@buwahplum")</f>
        <v>@buwahplum</v>
      </c>
      <c r="C2183" s="8" t="s">
        <v>1192</v>
      </c>
      <c r="D2183" s="8">
        <v>4</v>
      </c>
      <c r="E2183" s="8">
        <v>0</v>
      </c>
      <c r="F2183" s="8">
        <v>321</v>
      </c>
    </row>
    <row r="2184" spans="1:6" ht="12.75">
      <c r="A2184" s="8">
        <v>43904.351284722223</v>
      </c>
      <c r="B2184" s="8" t="str">
        <f>HYPERLINK("https://twitter.com/hyantzoe","@hyantzoe")</f>
        <v>@hyantzoe</v>
      </c>
      <c r="C2184" s="8" t="s">
        <v>1212</v>
      </c>
      <c r="D2184" s="8">
        <v>0</v>
      </c>
      <c r="E2184" s="8">
        <v>1</v>
      </c>
      <c r="F2184" s="8">
        <v>3207</v>
      </c>
    </row>
    <row r="2185" spans="1:6" ht="12.75">
      <c r="A2185" s="8">
        <v>43904.351226851853</v>
      </c>
      <c r="B2185" s="8" t="str">
        <f t="shared" ref="B2185:B2186" si="41">HYPERLINK("https://twitter.com/selfieituindah","@selfieituindah")</f>
        <v>@selfieituindah</v>
      </c>
      <c r="C2185" s="8" t="s">
        <v>1153</v>
      </c>
      <c r="D2185" s="8">
        <v>11</v>
      </c>
      <c r="E2185" s="8">
        <v>0</v>
      </c>
      <c r="F2185" s="8">
        <v>21339</v>
      </c>
    </row>
    <row r="2186" spans="1:6" ht="12.75">
      <c r="A2186" s="8">
        <v>43904.351064814815</v>
      </c>
      <c r="B2186" s="8" t="str">
        <f t="shared" si="41"/>
        <v>@selfieituindah</v>
      </c>
      <c r="C2186" s="8" t="s">
        <v>1170</v>
      </c>
      <c r="D2186" s="8">
        <v>12</v>
      </c>
      <c r="E2186" s="8">
        <v>0</v>
      </c>
      <c r="F2186" s="8">
        <v>21339</v>
      </c>
    </row>
    <row r="2187" spans="1:6" ht="12.75">
      <c r="A2187" s="8">
        <v>43904.35019675926</v>
      </c>
      <c r="B2187" s="8" t="str">
        <f>HYPERLINK("https://twitter.com/sideaprmswr","@sideaprmswr")</f>
        <v>@sideaprmswr</v>
      </c>
      <c r="C2187" s="8" t="s">
        <v>203</v>
      </c>
      <c r="D2187" s="8">
        <v>19</v>
      </c>
      <c r="E2187" s="8">
        <v>0</v>
      </c>
      <c r="F2187" s="8">
        <v>250</v>
      </c>
    </row>
    <row r="2188" spans="1:6" ht="12.75">
      <c r="A2188" s="8">
        <v>43904.350081018521</v>
      </c>
      <c r="B2188" s="8" t="str">
        <f>HYPERLINK("https://twitter.com/cnbcindonesia","@cnbcindonesia")</f>
        <v>@cnbcindonesia</v>
      </c>
      <c r="C2188" s="8" t="s">
        <v>1213</v>
      </c>
      <c r="D2188" s="8">
        <v>4</v>
      </c>
      <c r="E2188" s="8">
        <v>4</v>
      </c>
      <c r="F2188" s="8">
        <v>32245</v>
      </c>
    </row>
    <row r="2189" spans="1:6" ht="12.75">
      <c r="A2189" s="8">
        <v>43904.349537037036</v>
      </c>
      <c r="B2189" s="8" t="str">
        <f>HYPERLINK("https://twitter.com/gitataniadewi","@gitataniadewi")</f>
        <v>@gitataniadewi</v>
      </c>
      <c r="C2189" s="8" t="s">
        <v>203</v>
      </c>
      <c r="D2189" s="8">
        <v>19</v>
      </c>
      <c r="E2189" s="8">
        <v>0</v>
      </c>
      <c r="F2189" s="8">
        <v>61</v>
      </c>
    </row>
    <row r="2190" spans="1:6" ht="12.75">
      <c r="A2190" s="8">
        <v>43904.349525462967</v>
      </c>
      <c r="B2190" s="8" t="str">
        <f>HYPERLINK("https://twitter.com/topinfo_id","@topinfo_id")</f>
        <v>@topinfo_id</v>
      </c>
      <c r="C2190" s="8" t="s">
        <v>1214</v>
      </c>
      <c r="D2190" s="8">
        <v>0</v>
      </c>
      <c r="E2190" s="8">
        <v>0</v>
      </c>
      <c r="F2190" s="8">
        <v>113</v>
      </c>
    </row>
    <row r="2191" spans="1:6" ht="12.75">
      <c r="A2191" s="8">
        <v>43904.33997685185</v>
      </c>
      <c r="B2191" s="8" t="str">
        <f>HYPERLINK("https://twitter.com/monsterunivinc","@monsterunivinc")</f>
        <v>@monsterunivinc</v>
      </c>
      <c r="C2191" s="8" t="s">
        <v>203</v>
      </c>
      <c r="D2191" s="8">
        <v>5</v>
      </c>
      <c r="E2191" s="8">
        <v>0</v>
      </c>
      <c r="F2191" s="8">
        <v>387</v>
      </c>
    </row>
    <row r="2192" spans="1:6" ht="12.75">
      <c r="A2192" s="8">
        <v>43904.339560185181</v>
      </c>
      <c r="B2192" s="8" t="str">
        <f>HYPERLINK("https://twitter.com/translatorbali","@translatorbali")</f>
        <v>@translatorbali</v>
      </c>
      <c r="C2192" s="8" t="s">
        <v>1215</v>
      </c>
      <c r="D2192" s="8">
        <v>0</v>
      </c>
      <c r="E2192" s="8">
        <v>0</v>
      </c>
      <c r="F2192" s="8">
        <v>3877</v>
      </c>
    </row>
    <row r="2193" spans="1:6" ht="12.75">
      <c r="A2193" s="8">
        <v>43904.339236111111</v>
      </c>
      <c r="B2193" s="8" t="str">
        <f>HYPERLINK("https://twitter.com/syafiraagath","@syafiraagath")</f>
        <v>@syafiraagath</v>
      </c>
      <c r="C2193" s="8" t="s">
        <v>203</v>
      </c>
      <c r="D2193" s="8">
        <v>5</v>
      </c>
      <c r="E2193" s="8">
        <v>0</v>
      </c>
      <c r="F2193" s="8">
        <v>474</v>
      </c>
    </row>
    <row r="2194" spans="1:6" ht="12.75">
      <c r="A2194" s="8">
        <v>43904.339201388888</v>
      </c>
      <c r="B2194" s="8" t="str">
        <f>HYPERLINK("https://twitter.com/iqvaal","@iqvaal")</f>
        <v>@iqvaal</v>
      </c>
      <c r="C2194" s="8" t="s">
        <v>203</v>
      </c>
      <c r="D2194" s="8">
        <v>5</v>
      </c>
      <c r="E2194" s="8">
        <v>0</v>
      </c>
      <c r="F2194" s="8">
        <v>520</v>
      </c>
    </row>
    <row r="2195" spans="1:6" ht="12.75">
      <c r="A2195" s="8">
        <v>43904.338738425926</v>
      </c>
      <c r="B2195" s="8" t="str">
        <f>HYPERLINK("https://twitter.com/erikpejuang","@erikpejuang")</f>
        <v>@erikpejuang</v>
      </c>
      <c r="C2195" s="8" t="s">
        <v>203</v>
      </c>
      <c r="D2195" s="8">
        <v>5</v>
      </c>
      <c r="E2195" s="8">
        <v>0</v>
      </c>
      <c r="F2195" s="8">
        <v>4</v>
      </c>
    </row>
    <row r="2196" spans="1:6" ht="12.75">
      <c r="A2196" s="8">
        <v>43904.338587962964</v>
      </c>
      <c r="B2196" s="8" t="str">
        <f>HYPERLINK("https://twitter.com/cafebiru88","@cafebiru88")</f>
        <v>@cafebiru88</v>
      </c>
      <c r="C2196" s="8" t="s">
        <v>1153</v>
      </c>
      <c r="D2196" s="8">
        <v>3</v>
      </c>
      <c r="E2196" s="8">
        <v>0</v>
      </c>
      <c r="F2196" s="8">
        <v>18011</v>
      </c>
    </row>
    <row r="2197" spans="1:6" ht="12.75">
      <c r="A2197" s="8">
        <v>43904.338437500002</v>
      </c>
      <c r="B2197" s="8" t="str">
        <f>HYPERLINK("https://twitter.com/okinantan","@okinantan")</f>
        <v>@okinantan</v>
      </c>
      <c r="C2197" s="8" t="s">
        <v>1216</v>
      </c>
      <c r="D2197" s="8">
        <v>3</v>
      </c>
      <c r="E2197" s="8">
        <v>0</v>
      </c>
      <c r="F2197" s="8">
        <v>1011</v>
      </c>
    </row>
    <row r="2198" spans="1:6" ht="12.75">
      <c r="A2198" s="8">
        <v>43904.338287037041</v>
      </c>
      <c r="B2198" s="8" t="str">
        <f>HYPERLINK("https://twitter.com/cafebiru88","@cafebiru88")</f>
        <v>@cafebiru88</v>
      </c>
      <c r="C2198" s="8" t="s">
        <v>1217</v>
      </c>
      <c r="D2198" s="8">
        <v>0</v>
      </c>
      <c r="E2198" s="8">
        <v>0</v>
      </c>
      <c r="F2198" s="8">
        <v>18011</v>
      </c>
    </row>
    <row r="2199" spans="1:6" ht="12.75">
      <c r="A2199" s="8">
        <v>43904.338287037041</v>
      </c>
      <c r="B2199" s="8" t="str">
        <f>HYPERLINK("https://twitter.com/indonesiainist","@indonesiainist")</f>
        <v>@indonesiainist</v>
      </c>
      <c r="C2199" s="8" t="s">
        <v>203</v>
      </c>
      <c r="D2199" s="8">
        <v>5</v>
      </c>
      <c r="E2199" s="8">
        <v>0</v>
      </c>
      <c r="F2199" s="8">
        <v>707</v>
      </c>
    </row>
    <row r="2200" spans="1:6" ht="12.75">
      <c r="A2200" s="8">
        <v>43904.337789351848</v>
      </c>
      <c r="B2200" s="8" t="str">
        <f>HYPERLINK("https://twitter.com/lorkaq","@lorkaq")</f>
        <v>@lorkaq</v>
      </c>
      <c r="C2200" s="8" t="s">
        <v>1218</v>
      </c>
      <c r="D2200" s="8">
        <v>0</v>
      </c>
      <c r="E2200" s="8">
        <v>0</v>
      </c>
      <c r="F2200" s="8">
        <v>604</v>
      </c>
    </row>
    <row r="2201" spans="1:6" ht="12.75">
      <c r="A2201" s="8">
        <v>43904.337268518517</v>
      </c>
      <c r="B2201" s="8" t="str">
        <f>HYPERLINK("https://twitter.com/GajahNata","@GajahNata")</f>
        <v>@GajahNata</v>
      </c>
      <c r="C2201" s="8" t="s">
        <v>1216</v>
      </c>
      <c r="D2201" s="8">
        <v>3</v>
      </c>
      <c r="E2201" s="8">
        <v>0</v>
      </c>
      <c r="F2201" s="8">
        <v>1238</v>
      </c>
    </row>
    <row r="2202" spans="1:6" ht="12.75">
      <c r="A2202" s="8">
        <v>43904.337106481486</v>
      </c>
      <c r="B2202" s="8" t="str">
        <f>HYPERLINK("https://twitter.com/Kemlu_RI","@Kemlu_RI")</f>
        <v>@Kemlu_RI</v>
      </c>
      <c r="C2202" s="8" t="s">
        <v>1219</v>
      </c>
      <c r="D2202" s="8">
        <v>5</v>
      </c>
      <c r="E2202" s="8">
        <v>5</v>
      </c>
      <c r="F2202" s="8">
        <v>171493</v>
      </c>
    </row>
    <row r="2203" spans="1:6" ht="12.75">
      <c r="A2203" s="8">
        <v>43904.336979166663</v>
      </c>
      <c r="B2203" s="8" t="str">
        <f>HYPERLINK("https://twitter.com/ramdhan497","@ramdhan497")</f>
        <v>@ramdhan497</v>
      </c>
      <c r="C2203" s="8" t="s">
        <v>1170</v>
      </c>
      <c r="D2203" s="8">
        <v>5</v>
      </c>
      <c r="E2203" s="8">
        <v>0</v>
      </c>
      <c r="F2203" s="8">
        <v>204</v>
      </c>
    </row>
    <row r="2204" spans="1:6" ht="12.75">
      <c r="A2204" s="8">
        <v>43904.336817129632</v>
      </c>
      <c r="B2204" s="8" t="str">
        <f>HYPERLINK("https://twitter.com/Fm98Sonora","@Fm98Sonora")</f>
        <v>@Fm98Sonora</v>
      </c>
      <c r="C2204" s="8" t="s">
        <v>1220</v>
      </c>
      <c r="D2204" s="8">
        <v>1</v>
      </c>
      <c r="E2204" s="8">
        <v>0</v>
      </c>
      <c r="F2204" s="8">
        <v>27</v>
      </c>
    </row>
    <row r="2205" spans="1:6" ht="12.75">
      <c r="A2205" s="8">
        <v>43904.336689814816</v>
      </c>
      <c r="B2205" s="8" t="str">
        <f>HYPERLINK("https://twitter.com/tutsalfabet","@tutsalfabet")</f>
        <v>@tutsalfabet</v>
      </c>
      <c r="C2205" s="8" t="s">
        <v>1030</v>
      </c>
      <c r="D2205" s="8">
        <v>206</v>
      </c>
      <c r="E2205" s="8">
        <v>0</v>
      </c>
      <c r="F2205" s="8">
        <v>189</v>
      </c>
    </row>
    <row r="2206" spans="1:6" ht="12.75">
      <c r="A2206" s="8">
        <v>43904.33630787037</v>
      </c>
      <c r="B2206" s="8" t="str">
        <f>HYPERLINK("https://twitter.com/tiwitiiiw","@tiwitiiiw")</f>
        <v>@tiwitiiiw</v>
      </c>
      <c r="C2206" s="8" t="s">
        <v>587</v>
      </c>
      <c r="D2206" s="8">
        <v>43</v>
      </c>
      <c r="E2206" s="8">
        <v>0</v>
      </c>
      <c r="F2206" s="8">
        <v>135</v>
      </c>
    </row>
    <row r="2207" spans="1:6" ht="12.75">
      <c r="A2207" s="8">
        <v>43904.336087962962</v>
      </c>
      <c r="B2207" s="8" t="str">
        <f>HYPERLINK("https://twitter.com/Kita_NkRi","@Kita_NkRi")</f>
        <v>@Kita_NkRi</v>
      </c>
      <c r="C2207" s="8" t="s">
        <v>1221</v>
      </c>
      <c r="D2207" s="8">
        <v>0</v>
      </c>
      <c r="E2207" s="8">
        <v>0</v>
      </c>
      <c r="F2207" s="8">
        <v>133</v>
      </c>
    </row>
    <row r="2208" spans="1:6" ht="12.75">
      <c r="A2208" s="8">
        <v>43904.335486111115</v>
      </c>
      <c r="B2208" s="8" t="str">
        <f t="shared" ref="B2208:B2211" si="42">HYPERLINK("https://twitter.com/pesanbijakk","@pesanbijakk")</f>
        <v>@pesanbijakk</v>
      </c>
      <c r="C2208" s="8" t="s">
        <v>943</v>
      </c>
      <c r="D2208" s="8">
        <v>8</v>
      </c>
      <c r="E2208" s="8">
        <v>0</v>
      </c>
      <c r="F2208" s="8">
        <v>94043</v>
      </c>
    </row>
    <row r="2209" spans="1:6" ht="12.75">
      <c r="A2209" s="8">
        <v>43904.335150462968</v>
      </c>
      <c r="B2209" s="8" t="str">
        <f t="shared" si="42"/>
        <v>@pesanbijakk</v>
      </c>
      <c r="C2209" s="8" t="s">
        <v>1153</v>
      </c>
      <c r="D2209" s="8">
        <v>3</v>
      </c>
      <c r="E2209" s="8">
        <v>0</v>
      </c>
      <c r="F2209" s="8">
        <v>94043</v>
      </c>
    </row>
    <row r="2210" spans="1:6" ht="12.75">
      <c r="A2210" s="8">
        <v>43904.334907407407</v>
      </c>
      <c r="B2210" s="8" t="str">
        <f t="shared" si="42"/>
        <v>@pesanbijakk</v>
      </c>
      <c r="C2210" s="8" t="s">
        <v>1199</v>
      </c>
      <c r="D2210" s="8">
        <v>10</v>
      </c>
      <c r="E2210" s="8">
        <v>0</v>
      </c>
      <c r="F2210" s="8">
        <v>94043</v>
      </c>
    </row>
    <row r="2211" spans="1:6" ht="12.75">
      <c r="A2211" s="8">
        <v>43904.334872685184</v>
      </c>
      <c r="B2211" s="8" t="str">
        <f t="shared" si="42"/>
        <v>@pesanbijakk</v>
      </c>
      <c r="C2211" s="8" t="s">
        <v>1170</v>
      </c>
      <c r="D2211" s="8">
        <v>5</v>
      </c>
      <c r="E2211" s="8">
        <v>0</v>
      </c>
      <c r="F2211" s="8">
        <v>94043</v>
      </c>
    </row>
    <row r="2212" spans="1:6" ht="12.75">
      <c r="A2212" s="8">
        <v>43904.334756944445</v>
      </c>
      <c r="B2212" s="8" t="str">
        <f>HYPERLINK("https://twitter.com/MetroTVToday","@MetroTVToday")</f>
        <v>@MetroTVToday</v>
      </c>
      <c r="C2212" s="8" t="s">
        <v>1153</v>
      </c>
      <c r="D2212" s="8">
        <v>3</v>
      </c>
      <c r="E2212" s="8">
        <v>0</v>
      </c>
      <c r="F2212" s="8">
        <v>97726</v>
      </c>
    </row>
    <row r="2213" spans="1:6" ht="12.75">
      <c r="A2213" s="8">
        <v>43904.334629629629</v>
      </c>
      <c r="B2213" s="8" t="str">
        <f>HYPERLINK("https://twitter.com/Metro_TV","@Metro_TV")</f>
        <v>@Metro_TV</v>
      </c>
      <c r="C2213" s="8" t="s">
        <v>1222</v>
      </c>
      <c r="D2213" s="8">
        <v>3</v>
      </c>
      <c r="E2213" s="8">
        <v>3</v>
      </c>
      <c r="F2213" s="8">
        <v>10520091</v>
      </c>
    </row>
    <row r="2214" spans="1:6" ht="12.75">
      <c r="A2214" s="8">
        <v>43904.334525462968</v>
      </c>
      <c r="B2214" s="8" t="str">
        <f>HYPERLINK("https://twitter.com/pesanbijakk","@pesanbijakk")</f>
        <v>@pesanbijakk</v>
      </c>
      <c r="C2214" s="8" t="s">
        <v>1223</v>
      </c>
      <c r="D2214" s="8">
        <v>10</v>
      </c>
      <c r="E2214" s="8">
        <v>0</v>
      </c>
      <c r="F2214" s="8">
        <v>94043</v>
      </c>
    </row>
    <row r="2215" spans="1:6" ht="12.75">
      <c r="A2215" s="8">
        <v>43904.334432870368</v>
      </c>
      <c r="B2215" s="8" t="str">
        <f>HYPERLINK("https://twitter.com/smile_mamas","@smile_mamas")</f>
        <v>@smile_mamas</v>
      </c>
      <c r="C2215" s="8" t="s">
        <v>960</v>
      </c>
      <c r="D2215" s="8">
        <v>11</v>
      </c>
      <c r="E2215" s="8">
        <v>0</v>
      </c>
      <c r="F2215" s="8">
        <v>281</v>
      </c>
    </row>
    <row r="2216" spans="1:6" ht="12.75">
      <c r="A2216" s="8">
        <v>43904.333680555559</v>
      </c>
      <c r="B2216" s="8" t="str">
        <f>HYPERLINK("https://twitter.com/hikari_nozomi","@hikari_nozomi")</f>
        <v>@hikari_nozomi</v>
      </c>
      <c r="C2216" s="8" t="s">
        <v>1224</v>
      </c>
      <c r="D2216" s="8">
        <v>0</v>
      </c>
      <c r="E2216" s="8">
        <v>0</v>
      </c>
      <c r="F2216" s="8">
        <v>414</v>
      </c>
    </row>
    <row r="2217" spans="1:6" ht="12.75">
      <c r="A2217" s="8">
        <v>43904.333541666667</v>
      </c>
      <c r="B2217" s="8" t="str">
        <f>HYPERLINK("https://twitter.com/dityaFirdansyah","@dityaFirdansyah")</f>
        <v>@dityaFirdansyah</v>
      </c>
      <c r="C2217" s="8" t="s">
        <v>1225</v>
      </c>
      <c r="D2217" s="8">
        <v>0</v>
      </c>
      <c r="E2217" s="8">
        <v>0</v>
      </c>
      <c r="F2217" s="8">
        <v>433</v>
      </c>
    </row>
    <row r="2218" spans="1:6" ht="12.75">
      <c r="A2218" s="8">
        <v>43904.333391203705</v>
      </c>
      <c r="B2218" s="8" t="str">
        <f>HYPERLINK("https://twitter.com/cnbcindonesia","@cnbcindonesia")</f>
        <v>@cnbcindonesia</v>
      </c>
      <c r="C2218" s="8" t="s">
        <v>1226</v>
      </c>
      <c r="D2218" s="8">
        <v>3</v>
      </c>
      <c r="E2218" s="8">
        <v>0</v>
      </c>
      <c r="F2218" s="8">
        <v>32233</v>
      </c>
    </row>
    <row r="2219" spans="1:6" ht="12.75">
      <c r="A2219" s="8">
        <v>43904.333078703705</v>
      </c>
      <c r="B2219" s="8" t="str">
        <f>HYPERLINK("https://twitter.com/Fm98Sonora","@Fm98Sonora")</f>
        <v>@Fm98Sonora</v>
      </c>
      <c r="C2219" s="8" t="s">
        <v>1227</v>
      </c>
      <c r="D2219" s="8">
        <v>11</v>
      </c>
      <c r="E2219" s="8">
        <v>0</v>
      </c>
      <c r="F2219" s="8">
        <v>27</v>
      </c>
    </row>
    <row r="2220" spans="1:6" ht="12.75">
      <c r="A2220" s="8">
        <v>43904.333020833335</v>
      </c>
      <c r="B2220" s="8" t="str">
        <f t="shared" ref="B2220:B2222" si="43">HYPERLINK("https://twitter.com/cafebiru88","@cafebiru88")</f>
        <v>@cafebiru88</v>
      </c>
      <c r="C2220" s="8" t="s">
        <v>1199</v>
      </c>
      <c r="D2220" s="8">
        <v>10</v>
      </c>
      <c r="E2220" s="8">
        <v>0</v>
      </c>
      <c r="F2220" s="8">
        <v>18011</v>
      </c>
    </row>
    <row r="2221" spans="1:6" ht="12.75">
      <c r="A2221" s="8">
        <v>43904.332986111112</v>
      </c>
      <c r="B2221" s="8" t="str">
        <f t="shared" si="43"/>
        <v>@cafebiru88</v>
      </c>
      <c r="C2221" s="8" t="s">
        <v>943</v>
      </c>
      <c r="D2221" s="8">
        <v>8</v>
      </c>
      <c r="E2221" s="8">
        <v>0</v>
      </c>
      <c r="F2221" s="8">
        <v>18011</v>
      </c>
    </row>
    <row r="2222" spans="1:6" ht="12.75">
      <c r="A2222" s="8">
        <v>43904.332500000004</v>
      </c>
      <c r="B2222" s="8" t="str">
        <f t="shared" si="43"/>
        <v>@cafebiru88</v>
      </c>
      <c r="C2222" s="8" t="s">
        <v>1170</v>
      </c>
      <c r="D2222" s="8">
        <v>5</v>
      </c>
      <c r="E2222" s="8">
        <v>0</v>
      </c>
      <c r="F2222" s="8">
        <v>18011</v>
      </c>
    </row>
    <row r="2223" spans="1:6" ht="12.75">
      <c r="A2223" s="8">
        <v>43904.331562499996</v>
      </c>
      <c r="B2223" s="8" t="str">
        <f>HYPERLINK("https://twitter.com/delaMayore","@delaMayore")</f>
        <v>@delaMayore</v>
      </c>
      <c r="C2223" s="8" t="s">
        <v>1228</v>
      </c>
      <c r="D2223" s="8">
        <v>0</v>
      </c>
      <c r="E2223" s="8">
        <v>0</v>
      </c>
      <c r="F2223" s="8">
        <v>185</v>
      </c>
    </row>
    <row r="2224" spans="1:6" ht="12.75">
      <c r="A2224" s="8">
        <v>43904.331493055557</v>
      </c>
      <c r="B2224" s="8" t="str">
        <f>HYPERLINK("https://twitter.com/Fm98Sonora","@Fm98Sonora")</f>
        <v>@Fm98Sonora</v>
      </c>
      <c r="C2224" s="8" t="s">
        <v>960</v>
      </c>
      <c r="D2224" s="8">
        <v>11</v>
      </c>
      <c r="E2224" s="8">
        <v>0</v>
      </c>
      <c r="F2224" s="8">
        <v>27</v>
      </c>
    </row>
    <row r="2225" spans="1:6" ht="12.75">
      <c r="A2225" s="8">
        <v>43904.330243055556</v>
      </c>
      <c r="B2225" s="8" t="str">
        <f>HYPERLINK("https://twitter.com/idayu_wien","@idayu_wien")</f>
        <v>@idayu_wien</v>
      </c>
      <c r="C2225" s="8" t="s">
        <v>1229</v>
      </c>
      <c r="D2225" s="8">
        <v>0</v>
      </c>
      <c r="E2225" s="8">
        <v>0</v>
      </c>
      <c r="F2225" s="8">
        <v>1399</v>
      </c>
    </row>
    <row r="2226" spans="1:6" ht="12.75">
      <c r="A2226" s="8">
        <v>43904.33011574074</v>
      </c>
      <c r="B2226" s="8" t="str">
        <f>HYPERLINK("https://twitter.com/delaMayore","@delaMayore")</f>
        <v>@delaMayore</v>
      </c>
      <c r="C2226" s="8" t="s">
        <v>1230</v>
      </c>
      <c r="D2226" s="8">
        <v>0</v>
      </c>
      <c r="E2226" s="8">
        <v>0</v>
      </c>
      <c r="F2226" s="8">
        <v>185</v>
      </c>
    </row>
    <row r="2227" spans="1:6" ht="12.75">
      <c r="A2227" s="8">
        <v>43904.32949074074</v>
      </c>
      <c r="B2227" s="8" t="str">
        <f>HYPERLINK("https://twitter.com/XtoperFerry","@XtoperFerry")</f>
        <v>@XtoperFerry</v>
      </c>
      <c r="C2227" s="8" t="s">
        <v>960</v>
      </c>
      <c r="D2227" s="8">
        <v>11</v>
      </c>
      <c r="E2227" s="8">
        <v>0</v>
      </c>
      <c r="F2227" s="8">
        <v>206</v>
      </c>
    </row>
    <row r="2228" spans="1:6" ht="12.75">
      <c r="A2228" s="8">
        <v>43904.328981481478</v>
      </c>
      <c r="B2228" s="8" t="str">
        <f>HYPERLINK("https://twitter.com/PHNCX","@PHNCX")</f>
        <v>@PHNCX</v>
      </c>
      <c r="C2228" s="8" t="s">
        <v>1183</v>
      </c>
      <c r="D2228" s="8">
        <v>6</v>
      </c>
      <c r="E2228" s="8">
        <v>0</v>
      </c>
      <c r="F2228" s="8">
        <v>416</v>
      </c>
    </row>
    <row r="2229" spans="1:6" ht="12.75">
      <c r="A2229" s="8">
        <v>43904.328310185185</v>
      </c>
      <c r="B2229" s="8" t="str">
        <f t="shared" ref="B2229:B2230" si="44">HYPERLINK("https://twitter.com/jusstme4u","@jusstme4u")</f>
        <v>@jusstme4u</v>
      </c>
      <c r="C2229" s="8" t="s">
        <v>943</v>
      </c>
      <c r="D2229" s="8">
        <v>8</v>
      </c>
      <c r="E2229" s="8">
        <v>0</v>
      </c>
      <c r="F2229" s="8">
        <v>75861</v>
      </c>
    </row>
    <row r="2230" spans="1:6" ht="12.75">
      <c r="A2230" s="8">
        <v>43904.328275462962</v>
      </c>
      <c r="B2230" s="8" t="str">
        <f t="shared" si="44"/>
        <v>@jusstme4u</v>
      </c>
      <c r="C2230" s="8" t="s">
        <v>1199</v>
      </c>
      <c r="D2230" s="8">
        <v>10</v>
      </c>
      <c r="E2230" s="8">
        <v>0</v>
      </c>
      <c r="F2230" s="8">
        <v>75861</v>
      </c>
    </row>
    <row r="2231" spans="1:6" ht="12.75">
      <c r="A2231" s="8">
        <v>43904.327916666662</v>
      </c>
      <c r="B2231" s="8" t="str">
        <f>HYPERLINK("https://twitter.com/MetroTVToday","@MetroTVToday")</f>
        <v>@MetroTVToday</v>
      </c>
      <c r="C2231" s="8" t="s">
        <v>1170</v>
      </c>
      <c r="D2231" s="8">
        <v>5</v>
      </c>
      <c r="E2231" s="8">
        <v>0</v>
      </c>
      <c r="F2231" s="8">
        <v>97726</v>
      </c>
    </row>
    <row r="2232" spans="1:6" ht="12.75">
      <c r="A2232" s="8">
        <v>43904.327569444446</v>
      </c>
      <c r="B2232" s="8" t="str">
        <f>HYPERLINK("https://twitter.com/rudydarwin80","@rudydarwin80")</f>
        <v>@rudydarwin80</v>
      </c>
      <c r="C2232" s="8" t="s">
        <v>1231</v>
      </c>
      <c r="D2232" s="8">
        <v>0</v>
      </c>
      <c r="E2232" s="8">
        <v>0</v>
      </c>
      <c r="F2232" s="8">
        <v>330</v>
      </c>
    </row>
    <row r="2233" spans="1:6" ht="12.75">
      <c r="A2233" s="8">
        <v>43904.32748842593</v>
      </c>
      <c r="B2233" s="8" t="str">
        <f>HYPERLINK("https://twitter.com/kayla_adzra","@kayla_adzra")</f>
        <v>@kayla_adzra</v>
      </c>
      <c r="C2233" s="8" t="s">
        <v>1232</v>
      </c>
      <c r="D2233" s="8">
        <v>0</v>
      </c>
      <c r="E2233" s="8">
        <v>0</v>
      </c>
      <c r="F2233" s="8">
        <v>1</v>
      </c>
    </row>
    <row r="2234" spans="1:6" ht="12.75">
      <c r="A2234" s="8">
        <v>43904.327465277776</v>
      </c>
      <c r="B2234" s="8" t="str">
        <f>HYPERLINK("https://twitter.com/Metro_TV","@Metro_TV")</f>
        <v>@Metro_TV</v>
      </c>
      <c r="C2234" s="8" t="s">
        <v>1233</v>
      </c>
      <c r="D2234" s="8">
        <v>5</v>
      </c>
      <c r="E2234" s="8">
        <v>6</v>
      </c>
      <c r="F2234" s="8">
        <v>10520091</v>
      </c>
    </row>
    <row r="2235" spans="1:6" ht="12.75">
      <c r="A2235" s="8">
        <v>43904.326851851853</v>
      </c>
      <c r="B2235" s="8" t="str">
        <f>HYPERLINK("https://twitter.com/MrsRachelIn","@MrsRachelIn")</f>
        <v>@MrsRachelIn</v>
      </c>
      <c r="C2235" s="8" t="s">
        <v>1234</v>
      </c>
      <c r="D2235" s="8">
        <v>0</v>
      </c>
      <c r="E2235" s="8">
        <v>1</v>
      </c>
      <c r="F2235" s="8">
        <v>3576</v>
      </c>
    </row>
    <row r="2236" spans="1:6" ht="12.75">
      <c r="A2236" s="8">
        <v>43904.326388888891</v>
      </c>
      <c r="B2236" s="8" t="str">
        <f>HYPERLINK("https://twitter.com/No_Mosss","@No_Mosss")</f>
        <v>@No_Mosss</v>
      </c>
      <c r="C2236" s="8" t="s">
        <v>925</v>
      </c>
      <c r="D2236" s="8">
        <v>185</v>
      </c>
      <c r="E2236" s="8">
        <v>0</v>
      </c>
      <c r="F2236" s="8">
        <v>2073</v>
      </c>
    </row>
    <row r="2237" spans="1:6" ht="12.75">
      <c r="A2237" s="8">
        <v>43904.326284722221</v>
      </c>
      <c r="B2237" s="8" t="str">
        <f>HYPERLINK("https://twitter.com/muruhpuy","@muruhpuy")</f>
        <v>@muruhpuy</v>
      </c>
      <c r="C2237" s="8" t="s">
        <v>1235</v>
      </c>
      <c r="D2237" s="8">
        <v>0</v>
      </c>
      <c r="E2237" s="8">
        <v>0</v>
      </c>
      <c r="F2237" s="8">
        <v>206</v>
      </c>
    </row>
    <row r="2238" spans="1:6" ht="12.75">
      <c r="A2238" s="8">
        <v>43904.325960648144</v>
      </c>
      <c r="B2238" s="8" t="str">
        <f>HYPERLINK("https://twitter.com/titiktitikblank","@titiktitikblank")</f>
        <v>@titiktitikblank</v>
      </c>
      <c r="C2238" s="8" t="s">
        <v>960</v>
      </c>
      <c r="D2238" s="8">
        <v>11</v>
      </c>
      <c r="E2238" s="8">
        <v>0</v>
      </c>
      <c r="F2238" s="8">
        <v>359</v>
      </c>
    </row>
    <row r="2239" spans="1:6" ht="12.75">
      <c r="A2239" s="8">
        <v>43904.32545138889</v>
      </c>
      <c r="B2239" s="8" t="str">
        <f>HYPERLINK("https://twitter.com/Adhyatomo1","@Adhyatomo1")</f>
        <v>@Adhyatomo1</v>
      </c>
      <c r="C2239" s="8" t="s">
        <v>1236</v>
      </c>
      <c r="D2239" s="8">
        <v>0</v>
      </c>
      <c r="E2239" s="8">
        <v>0</v>
      </c>
      <c r="F2239" s="8">
        <v>301</v>
      </c>
    </row>
    <row r="2240" spans="1:6" ht="12.75">
      <c r="A2240" s="8">
        <v>43904.324571759258</v>
      </c>
      <c r="B2240" s="8" t="str">
        <f>HYPERLINK("https://twitter.com/rifak_arzerro","@rifak_arzerro")</f>
        <v>@rifak_arzerro</v>
      </c>
      <c r="C2240" s="8" t="s">
        <v>1199</v>
      </c>
      <c r="D2240" s="8">
        <v>10</v>
      </c>
      <c r="E2240" s="8">
        <v>0</v>
      </c>
      <c r="F2240" s="8">
        <v>718</v>
      </c>
    </row>
    <row r="2241" spans="1:6" ht="12.75">
      <c r="A2241" s="8">
        <v>43904.324328703704</v>
      </c>
      <c r="B2241" s="8" t="str">
        <f>HYPERLINK("https://twitter.com/dyhngrhn","@dyhngrhn")</f>
        <v>@dyhngrhn</v>
      </c>
      <c r="C2241" s="8" t="s">
        <v>1227</v>
      </c>
      <c r="D2241" s="8">
        <v>11</v>
      </c>
      <c r="E2241" s="8">
        <v>0</v>
      </c>
      <c r="F2241" s="8">
        <v>101</v>
      </c>
    </row>
    <row r="2242" spans="1:6" ht="12.75">
      <c r="A2242" s="8">
        <v>43904.323564814811</v>
      </c>
      <c r="B2242" s="8" t="str">
        <f>HYPERLINK("https://twitter.com/budhartono","@budhartono")</f>
        <v>@budhartono</v>
      </c>
      <c r="C2242" s="8" t="s">
        <v>1068</v>
      </c>
      <c r="D2242" s="8">
        <v>5</v>
      </c>
      <c r="E2242" s="8">
        <v>0</v>
      </c>
      <c r="F2242" s="8">
        <v>548</v>
      </c>
    </row>
    <row r="2243" spans="1:6" ht="12.75">
      <c r="A2243" s="8">
        <v>43904.322847222225</v>
      </c>
      <c r="B2243" s="8" t="str">
        <f>HYPERLINK("https://twitter.com/LoneWol03810460","@LoneWol03810460")</f>
        <v>@LoneWol03810460</v>
      </c>
      <c r="C2243" s="8" t="s">
        <v>1237</v>
      </c>
      <c r="D2243" s="8">
        <v>0</v>
      </c>
      <c r="E2243" s="8">
        <v>0</v>
      </c>
      <c r="F2243" s="8">
        <v>11</v>
      </c>
    </row>
    <row r="2244" spans="1:6" ht="12.75">
      <c r="A2244" s="8">
        <v>43904.322534722218</v>
      </c>
      <c r="B2244" s="8" t="str">
        <f>HYPERLINK("https://twitter.com/MichelAdamXL","@MichelAdamXL")</f>
        <v>@MichelAdamXL</v>
      </c>
      <c r="C2244" s="8" t="s">
        <v>1051</v>
      </c>
      <c r="D2244" s="8">
        <v>6</v>
      </c>
      <c r="E2244" s="8">
        <v>0</v>
      </c>
      <c r="F2244" s="8">
        <v>221</v>
      </c>
    </row>
    <row r="2245" spans="1:6" ht="12.75">
      <c r="A2245" s="8">
        <v>43904.321759259255</v>
      </c>
      <c r="B2245" s="8" t="str">
        <f>HYPERLINK("https://twitter.com/dyhngrhn","@dyhngrhn")</f>
        <v>@dyhngrhn</v>
      </c>
      <c r="C2245" s="8" t="s">
        <v>960</v>
      </c>
      <c r="D2245" s="8">
        <v>11</v>
      </c>
      <c r="E2245" s="8">
        <v>0</v>
      </c>
      <c r="F2245" s="8">
        <v>101</v>
      </c>
    </row>
    <row r="2246" spans="1:6" ht="12.75">
      <c r="A2246" s="8">
        <v>43904.321643518517</v>
      </c>
      <c r="B2246" s="8" t="str">
        <f t="shared" ref="B2246:B2247" si="45">HYPERLINK("https://twitter.com/cilliasiregar","@cilliasiregar")</f>
        <v>@cilliasiregar</v>
      </c>
      <c r="C2246" s="8" t="s">
        <v>1199</v>
      </c>
      <c r="D2246" s="8">
        <v>10</v>
      </c>
      <c r="E2246" s="8">
        <v>0</v>
      </c>
      <c r="F2246" s="8">
        <v>6</v>
      </c>
    </row>
    <row r="2247" spans="1:6" ht="12.75">
      <c r="A2247" s="8">
        <v>43904.321585648147</v>
      </c>
      <c r="B2247" s="8" t="str">
        <f t="shared" si="45"/>
        <v>@cilliasiregar</v>
      </c>
      <c r="C2247" s="8" t="s">
        <v>943</v>
      </c>
      <c r="D2247" s="8">
        <v>8</v>
      </c>
      <c r="E2247" s="8">
        <v>0</v>
      </c>
      <c r="F2247" s="8">
        <v>6</v>
      </c>
    </row>
    <row r="2248" spans="1:6" ht="12.75">
      <c r="A2248" s="8">
        <v>43904.321550925924</v>
      </c>
      <c r="B2248" s="8" t="str">
        <f>HYPERLINK("https://twitter.com/mayafarrell21","@mayafarrell21")</f>
        <v>@mayafarrell21</v>
      </c>
      <c r="C2248" s="8" t="s">
        <v>1238</v>
      </c>
      <c r="D2248" s="8">
        <v>0</v>
      </c>
      <c r="E2248" s="8">
        <v>0</v>
      </c>
      <c r="F2248" s="8">
        <v>977</v>
      </c>
    </row>
    <row r="2249" spans="1:6" ht="12.75">
      <c r="A2249" s="8">
        <v>43904.321481481486</v>
      </c>
      <c r="B2249" s="8" t="str">
        <f>HYPERLINK("https://twitter.com/ariefbud2","@ariefbud2")</f>
        <v>@ariefbud2</v>
      </c>
      <c r="C2249" s="8" t="s">
        <v>1239</v>
      </c>
      <c r="D2249" s="8">
        <v>0</v>
      </c>
      <c r="E2249" s="8">
        <v>0</v>
      </c>
      <c r="F2249" s="8">
        <v>2</v>
      </c>
    </row>
    <row r="2250" spans="1:6" ht="12.75">
      <c r="A2250" s="8">
        <v>43904.320023148146</v>
      </c>
      <c r="B2250" s="8" t="str">
        <f>HYPERLINK("https://twitter.com/cilliasiregar","@cilliasiregar")</f>
        <v>@cilliasiregar</v>
      </c>
      <c r="C2250" s="8" t="s">
        <v>1223</v>
      </c>
      <c r="D2250" s="8">
        <v>10</v>
      </c>
      <c r="E2250" s="8">
        <v>0</v>
      </c>
      <c r="F2250" s="8">
        <v>6</v>
      </c>
    </row>
    <row r="2251" spans="1:6" ht="12.75">
      <c r="A2251" s="8">
        <v>43904.319444444445</v>
      </c>
      <c r="B2251" s="8" t="str">
        <f>HYPERLINK("https://twitter.com/hidupnanindah","@hidupnanindah")</f>
        <v>@hidupnanindah</v>
      </c>
      <c r="C2251" s="8" t="s">
        <v>1240</v>
      </c>
      <c r="D2251" s="8">
        <v>1</v>
      </c>
      <c r="E2251" s="8">
        <v>0</v>
      </c>
      <c r="F2251" s="8">
        <v>14960</v>
      </c>
    </row>
    <row r="2252" spans="1:6" ht="12.75">
      <c r="A2252" s="8">
        <v>43904.318564814814</v>
      </c>
      <c r="B2252" s="8" t="str">
        <f>HYPERLINK("https://twitter.com/DandunSudarmono","@DandunSudarmono")</f>
        <v>@DandunSudarmono</v>
      </c>
      <c r="C2252" s="8" t="s">
        <v>1241</v>
      </c>
      <c r="D2252" s="8">
        <v>2</v>
      </c>
      <c r="E2252" s="8">
        <v>0</v>
      </c>
      <c r="F2252" s="8">
        <v>299</v>
      </c>
    </row>
    <row r="2253" spans="1:6" ht="12.75">
      <c r="A2253" s="8">
        <v>43904.318425925929</v>
      </c>
      <c r="B2253" s="8" t="str">
        <f t="shared" ref="B2253:B2255" si="46">HYPERLINK("https://twitter.com/hidupnanindah","@hidupnanindah")</f>
        <v>@hidupnanindah</v>
      </c>
      <c r="C2253" s="8" t="s">
        <v>1242</v>
      </c>
      <c r="D2253" s="8">
        <v>1</v>
      </c>
      <c r="E2253" s="8">
        <v>0</v>
      </c>
      <c r="F2253" s="8">
        <v>14960</v>
      </c>
    </row>
    <row r="2254" spans="1:6" ht="12.75">
      <c r="A2254" s="8">
        <v>43904.317939814813</v>
      </c>
      <c r="B2254" s="8" t="str">
        <f t="shared" si="46"/>
        <v>@hidupnanindah</v>
      </c>
      <c r="C2254" s="8" t="s">
        <v>1199</v>
      </c>
      <c r="D2254" s="8">
        <v>10</v>
      </c>
      <c r="E2254" s="8">
        <v>0</v>
      </c>
      <c r="F2254" s="8">
        <v>14960</v>
      </c>
    </row>
    <row r="2255" spans="1:6" ht="12.75">
      <c r="A2255" s="8">
        <v>43904.317916666667</v>
      </c>
      <c r="B2255" s="8" t="str">
        <f t="shared" si="46"/>
        <v>@hidupnanindah</v>
      </c>
      <c r="C2255" s="8" t="s">
        <v>943</v>
      </c>
      <c r="D2255" s="8">
        <v>8</v>
      </c>
      <c r="E2255" s="8">
        <v>0</v>
      </c>
      <c r="F2255" s="8">
        <v>14960</v>
      </c>
    </row>
    <row r="2256" spans="1:6" ht="12.75">
      <c r="A2256" s="8">
        <v>43904.317905092597</v>
      </c>
      <c r="B2256" s="8" t="str">
        <f>HYPERLINK("https://twitter.com/KwTesalonika","@KwTesalonika")</f>
        <v>@KwTesalonika</v>
      </c>
      <c r="C2256" s="8" t="s">
        <v>1243</v>
      </c>
      <c r="D2256" s="8">
        <v>0</v>
      </c>
      <c r="E2256" s="8">
        <v>0</v>
      </c>
      <c r="F2256" s="8">
        <v>9</v>
      </c>
    </row>
    <row r="2257" spans="1:6" ht="12.75">
      <c r="A2257" s="8">
        <v>43904.317291666666</v>
      </c>
      <c r="B2257" s="8" t="str">
        <f>HYPERLINK("https://twitter.com/hidupnanindah","@hidupnanindah")</f>
        <v>@hidupnanindah</v>
      </c>
      <c r="C2257" s="8" t="s">
        <v>1223</v>
      </c>
      <c r="D2257" s="8">
        <v>10</v>
      </c>
      <c r="E2257" s="8">
        <v>0</v>
      </c>
      <c r="F2257" s="8">
        <v>14960</v>
      </c>
    </row>
    <row r="2258" spans="1:6" ht="12.75">
      <c r="A2258" s="8">
        <v>43904.316701388889</v>
      </c>
      <c r="B2258" s="8" t="str">
        <f>HYPERLINK("https://twitter.com/AbidinZnl","@AbidinZnl")</f>
        <v>@AbidinZnl</v>
      </c>
      <c r="C2258" s="8" t="s">
        <v>289</v>
      </c>
      <c r="D2258" s="8">
        <v>152</v>
      </c>
      <c r="E2258" s="8">
        <v>0</v>
      </c>
      <c r="F2258" s="8">
        <v>1256</v>
      </c>
    </row>
    <row r="2259" spans="1:6" ht="12.75">
      <c r="A2259" s="8">
        <v>43904.31585648148</v>
      </c>
      <c r="B2259" s="8" t="str">
        <f t="shared" ref="B2259:B2260" si="47">HYPERLINK("https://twitter.com/SiJombloKreatif","@SiJombloKreatif")</f>
        <v>@SiJombloKreatif</v>
      </c>
      <c r="C2259" s="8" t="s">
        <v>1199</v>
      </c>
      <c r="D2259" s="8">
        <v>10</v>
      </c>
      <c r="E2259" s="8">
        <v>0</v>
      </c>
      <c r="F2259" s="8">
        <v>120959</v>
      </c>
    </row>
    <row r="2260" spans="1:6" ht="12.75">
      <c r="A2260" s="8">
        <v>43904.315833333334</v>
      </c>
      <c r="B2260" s="8" t="str">
        <f t="shared" si="47"/>
        <v>@SiJombloKreatif</v>
      </c>
      <c r="C2260" s="8" t="s">
        <v>943</v>
      </c>
      <c r="D2260" s="8">
        <v>8</v>
      </c>
      <c r="E2260" s="8">
        <v>0</v>
      </c>
      <c r="F2260" s="8">
        <v>120959</v>
      </c>
    </row>
    <row r="2261" spans="1:6" ht="12.75">
      <c r="A2261" s="8">
        <v>43904.314513888894</v>
      </c>
      <c r="B2261" s="8" t="str">
        <f>HYPERLINK("https://twitter.com/AdnanDasuki99","@AdnanDasuki99")</f>
        <v>@AdnanDasuki99</v>
      </c>
      <c r="C2261" s="8" t="s">
        <v>1244</v>
      </c>
      <c r="D2261" s="8">
        <v>0</v>
      </c>
      <c r="E2261" s="8">
        <v>0</v>
      </c>
      <c r="F2261" s="8">
        <v>134</v>
      </c>
    </row>
    <row r="2262" spans="1:6" ht="12.75">
      <c r="A2262" s="8">
        <v>43904.314386574071</v>
      </c>
      <c r="B2262" s="8" t="str">
        <f>HYPERLINK("https://twitter.com/zeekzakk","@zeekzakk")</f>
        <v>@zeekzakk</v>
      </c>
      <c r="C2262" s="8" t="s">
        <v>1245</v>
      </c>
      <c r="D2262" s="8">
        <v>0</v>
      </c>
      <c r="E2262" s="8">
        <v>0</v>
      </c>
      <c r="F2262" s="8">
        <v>199</v>
      </c>
    </row>
    <row r="2263" spans="1:6" ht="12.75">
      <c r="A2263" s="8">
        <v>43904.313078703708</v>
      </c>
      <c r="B2263" s="8" t="str">
        <f>HYPERLINK("https://twitter.com/damario04","@damario04")</f>
        <v>@damario04</v>
      </c>
      <c r="C2263" s="8" t="s">
        <v>147</v>
      </c>
      <c r="D2263" s="8">
        <v>0</v>
      </c>
      <c r="E2263" s="8">
        <v>0</v>
      </c>
      <c r="F2263" s="8">
        <v>402</v>
      </c>
    </row>
    <row r="2264" spans="1:6" ht="12.75">
      <c r="A2264" s="8">
        <v>43904.312939814816</v>
      </c>
      <c r="B2264" s="8" t="str">
        <f>HYPERLINK("https://twitter.com/miyamin48","@miyamin48")</f>
        <v>@miyamin48</v>
      </c>
      <c r="C2264" s="8" t="s">
        <v>960</v>
      </c>
      <c r="D2264" s="8">
        <v>11</v>
      </c>
      <c r="E2264" s="8">
        <v>0</v>
      </c>
      <c r="F2264" s="8">
        <v>323</v>
      </c>
    </row>
    <row r="2265" spans="1:6" ht="12.75">
      <c r="A2265" s="8">
        <v>43904.312546296293</v>
      </c>
      <c r="B2265" s="8" t="str">
        <f>HYPERLINK("https://twitter.com/btungka1997","@btungka1997")</f>
        <v>@btungka1997</v>
      </c>
      <c r="C2265" s="8" t="s">
        <v>289</v>
      </c>
      <c r="D2265" s="8">
        <v>152</v>
      </c>
      <c r="E2265" s="8">
        <v>0</v>
      </c>
      <c r="F2265" s="8">
        <v>432</v>
      </c>
    </row>
    <row r="2266" spans="1:6" ht="12.75">
      <c r="A2266" s="8">
        <v>43904.311608796299</v>
      </c>
      <c r="B2266" s="8" t="str">
        <f t="shared" ref="B2266:B2267" si="48">HYPERLINK("https://twitter.com/mboy72","@mboy72")</f>
        <v>@mboy72</v>
      </c>
      <c r="C2266" s="8" t="s">
        <v>1051</v>
      </c>
      <c r="D2266" s="8">
        <v>6</v>
      </c>
      <c r="E2266" s="8">
        <v>0</v>
      </c>
      <c r="F2266" s="8">
        <v>3774</v>
      </c>
    </row>
    <row r="2267" spans="1:6" ht="12.75">
      <c r="A2267" s="8">
        <v>43904.311099537037</v>
      </c>
      <c r="B2267" s="8" t="str">
        <f t="shared" si="48"/>
        <v>@mboy72</v>
      </c>
      <c r="C2267" s="8" t="s">
        <v>1053</v>
      </c>
      <c r="D2267" s="8">
        <v>7</v>
      </c>
      <c r="E2267" s="8">
        <v>0</v>
      </c>
      <c r="F2267" s="8">
        <v>3774</v>
      </c>
    </row>
    <row r="2268" spans="1:6" ht="12.75">
      <c r="A2268" s="8">
        <v>43904.310312500005</v>
      </c>
      <c r="B2268" s="8" t="str">
        <f>HYPERLINK("https://twitter.com/KompasTV_Mks","@KompasTV_Mks")</f>
        <v>@KompasTV_Mks</v>
      </c>
      <c r="C2268" s="8" t="s">
        <v>960</v>
      </c>
      <c r="D2268" s="8">
        <v>11</v>
      </c>
      <c r="E2268" s="8">
        <v>0</v>
      </c>
      <c r="F2268" s="8">
        <v>28828</v>
      </c>
    </row>
    <row r="2269" spans="1:6" ht="12.75">
      <c r="A2269" s="8">
        <v>43904.309884259259</v>
      </c>
      <c r="B2269" s="8" t="str">
        <f>HYPERLINK("https://twitter.com/wahyuOBEN","@wahyuOBEN")</f>
        <v>@wahyuOBEN</v>
      </c>
      <c r="C2269" s="8" t="s">
        <v>1246</v>
      </c>
      <c r="D2269" s="8">
        <v>0</v>
      </c>
      <c r="E2269" s="8">
        <v>0</v>
      </c>
      <c r="F2269" s="8">
        <v>114</v>
      </c>
    </row>
    <row r="2270" spans="1:6" ht="12.75">
      <c r="A2270" s="8">
        <v>43904.309490740736</v>
      </c>
      <c r="B2270" s="8" t="str">
        <f>HYPERLINK("https://twitter.com/andreaskoernia1","@andreaskoernia1")</f>
        <v>@andreaskoernia1</v>
      </c>
      <c r="C2270" s="8" t="s">
        <v>960</v>
      </c>
      <c r="D2270" s="8">
        <v>11</v>
      </c>
      <c r="E2270" s="8">
        <v>0</v>
      </c>
      <c r="F2270" s="8">
        <v>25</v>
      </c>
    </row>
    <row r="2271" spans="1:6" ht="12.75">
      <c r="A2271" s="8">
        <v>43904.309432870374</v>
      </c>
      <c r="B2271" s="8" t="str">
        <f>HYPERLINK("https://twitter.com/aam_cahyo","@aam_cahyo")</f>
        <v>@aam_cahyo</v>
      </c>
      <c r="C2271" s="8" t="s">
        <v>1247</v>
      </c>
      <c r="D2271" s="8">
        <v>0</v>
      </c>
      <c r="E2271" s="8">
        <v>0</v>
      </c>
      <c r="F2271" s="8">
        <v>74</v>
      </c>
    </row>
    <row r="2272" spans="1:6" ht="12.75">
      <c r="A2272" s="8">
        <v>43904.309305555551</v>
      </c>
      <c r="B2272" s="8" t="str">
        <f>HYPERLINK("https://twitter.com/Dimas_TC","@Dimas_TC")</f>
        <v>@Dimas_TC</v>
      </c>
      <c r="C2272" s="8" t="s">
        <v>1248</v>
      </c>
      <c r="D2272" s="8">
        <v>0</v>
      </c>
      <c r="E2272" s="8">
        <v>0</v>
      </c>
      <c r="F2272" s="8">
        <v>78</v>
      </c>
    </row>
    <row r="2273" spans="1:6" ht="12.75">
      <c r="A2273" s="8">
        <v>43904.309247685189</v>
      </c>
      <c r="B2273" s="8" t="str">
        <f>HYPERLINK("https://twitter.com/skyincolour","@skyincolour")</f>
        <v>@skyincolour</v>
      </c>
      <c r="C2273" s="8" t="s">
        <v>960</v>
      </c>
      <c r="D2273" s="8">
        <v>11</v>
      </c>
      <c r="E2273" s="8">
        <v>0</v>
      </c>
      <c r="F2273" s="8">
        <v>147</v>
      </c>
    </row>
    <row r="2274" spans="1:6" ht="12.75">
      <c r="A2274" s="8">
        <v>43904.309166666666</v>
      </c>
      <c r="B2274" s="8" t="str">
        <f>HYPERLINK("https://twitter.com/bangdedds","@bangdedds")</f>
        <v>@bangdedds</v>
      </c>
      <c r="C2274" s="8" t="s">
        <v>960</v>
      </c>
      <c r="D2274" s="8">
        <v>11</v>
      </c>
      <c r="E2274" s="8">
        <v>0</v>
      </c>
      <c r="F2274" s="8">
        <v>220</v>
      </c>
    </row>
    <row r="2275" spans="1:6" ht="12.75">
      <c r="A2275" s="8">
        <v>43904.307997685188</v>
      </c>
      <c r="B2275" s="8" t="str">
        <f t="shared" ref="B2275:B2276" si="49">HYPERLINK("https://twitter.com/ryolandafit","@ryolandafit")</f>
        <v>@ryolandafit</v>
      </c>
      <c r="C2275" s="8" t="s">
        <v>943</v>
      </c>
      <c r="D2275" s="8">
        <v>8</v>
      </c>
      <c r="E2275" s="8">
        <v>0</v>
      </c>
      <c r="F2275" s="8">
        <v>662</v>
      </c>
    </row>
    <row r="2276" spans="1:6" ht="12.75">
      <c r="A2276" s="8">
        <v>43904.307789351849</v>
      </c>
      <c r="B2276" s="8" t="str">
        <f t="shared" si="49"/>
        <v>@ryolandafit</v>
      </c>
      <c r="C2276" s="8" t="s">
        <v>1199</v>
      </c>
      <c r="D2276" s="8">
        <v>10</v>
      </c>
      <c r="E2276" s="8">
        <v>0</v>
      </c>
      <c r="F2276" s="8">
        <v>662</v>
      </c>
    </row>
    <row r="2277" spans="1:6" ht="12.75">
      <c r="A2277" s="8">
        <v>43904.30741898148</v>
      </c>
      <c r="B2277" s="8" t="str">
        <f>HYPERLINK("https://twitter.com/not2believe","@not2believe")</f>
        <v>@not2believe</v>
      </c>
      <c r="C2277" s="8" t="s">
        <v>1249</v>
      </c>
      <c r="D2277" s="8">
        <v>0</v>
      </c>
      <c r="E2277" s="8">
        <v>0</v>
      </c>
      <c r="F2277" s="8">
        <v>1218</v>
      </c>
    </row>
    <row r="2278" spans="1:6" ht="12.75">
      <c r="A2278" s="8">
        <v>43904.307326388887</v>
      </c>
      <c r="B2278" s="8" t="str">
        <f>HYPERLINK("https://twitter.com/ryolandafit","@ryolandafit")</f>
        <v>@ryolandafit</v>
      </c>
      <c r="C2278" s="8" t="s">
        <v>1183</v>
      </c>
      <c r="D2278" s="8">
        <v>6</v>
      </c>
      <c r="E2278" s="8">
        <v>0</v>
      </c>
      <c r="F2278" s="8">
        <v>662</v>
      </c>
    </row>
    <row r="2279" spans="1:6" ht="12.75">
      <c r="A2279" s="8">
        <v>43904.306967592594</v>
      </c>
      <c r="B2279" s="8" t="str">
        <f>HYPERLINK("https://twitter.com/kompascom","@kompascom")</f>
        <v>@kompascom</v>
      </c>
      <c r="C2279" s="8" t="s">
        <v>1250</v>
      </c>
      <c r="D2279" s="8">
        <v>11</v>
      </c>
      <c r="E2279" s="8">
        <v>17</v>
      </c>
      <c r="F2279" s="8">
        <v>7546255</v>
      </c>
    </row>
    <row r="2280" spans="1:6" ht="12.75">
      <c r="A2280" s="8">
        <v>43904.306921296295</v>
      </c>
      <c r="B2280" s="8" t="str">
        <f>HYPERLINK("https://twitter.com/anak_anakafir","@anak_anakafir")</f>
        <v>@anak_anakafir</v>
      </c>
      <c r="C2280" s="8" t="s">
        <v>1118</v>
      </c>
      <c r="D2280" s="8">
        <v>1</v>
      </c>
      <c r="E2280" s="8">
        <v>0</v>
      </c>
      <c r="F2280" s="8">
        <v>4108</v>
      </c>
    </row>
    <row r="2281" spans="1:6" ht="12.75">
      <c r="A2281" s="8">
        <v>43904.306111111116</v>
      </c>
      <c r="B2281" s="8" t="str">
        <f>HYPERLINK("https://twitter.com/131KIMHANBIN2","@131KIMHANBIN2")</f>
        <v>@131KIMHANBIN2</v>
      </c>
      <c r="C2281" s="8" t="s">
        <v>1183</v>
      </c>
      <c r="D2281" s="8">
        <v>6</v>
      </c>
      <c r="E2281" s="8">
        <v>0</v>
      </c>
      <c r="F2281" s="8">
        <v>90</v>
      </c>
    </row>
    <row r="2282" spans="1:6" ht="12.75">
      <c r="A2282" s="8">
        <v>43904.305590277778</v>
      </c>
      <c r="B2282" s="8" t="str">
        <f>HYPERLINK("https://twitter.com/KontanNews","@KontanNews")</f>
        <v>@KontanNews</v>
      </c>
      <c r="C2282" s="8" t="s">
        <v>1251</v>
      </c>
      <c r="D2282" s="8">
        <v>1</v>
      </c>
      <c r="E2282" s="8">
        <v>0</v>
      </c>
      <c r="F2282" s="8">
        <v>318849</v>
      </c>
    </row>
    <row r="2283" spans="1:6" ht="12.75">
      <c r="A2283" s="8">
        <v>43904.304918981477</v>
      </c>
      <c r="B2283" s="8" t="str">
        <f>HYPERLINK("https://twitter.com/avatarcs999","@avatarcs999")</f>
        <v>@avatarcs999</v>
      </c>
      <c r="C2283" s="8" t="s">
        <v>1252</v>
      </c>
      <c r="D2283" s="8">
        <v>0</v>
      </c>
      <c r="E2283" s="8">
        <v>0</v>
      </c>
      <c r="F2283" s="8">
        <v>2207</v>
      </c>
    </row>
    <row r="2284" spans="1:6" ht="12.75">
      <c r="A2284" s="8">
        <v>43904.304895833338</v>
      </c>
      <c r="B2284" s="8" t="str">
        <f>HYPERLINK("https://twitter.com/GqZ6HoLcyITrJcK","@GqZ6HoLcyITrJcK")</f>
        <v>@GqZ6HoLcyITrJcK</v>
      </c>
      <c r="C2284" s="8" t="s">
        <v>1253</v>
      </c>
      <c r="D2284" s="8">
        <v>0</v>
      </c>
      <c r="E2284" s="8">
        <v>1</v>
      </c>
      <c r="F2284" s="8">
        <v>120</v>
      </c>
    </row>
    <row r="2285" spans="1:6" ht="12.75">
      <c r="A2285" s="8">
        <v>43904.301261574074</v>
      </c>
      <c r="B2285" s="8" t="str">
        <f>HYPERLINK("https://twitter.com/muhammadinddra1","@muhammadinddra1")</f>
        <v>@muhammadinddra1</v>
      </c>
      <c r="C2285" s="8" t="s">
        <v>1254</v>
      </c>
      <c r="D2285" s="8">
        <v>0</v>
      </c>
      <c r="E2285" s="8">
        <v>0</v>
      </c>
      <c r="F2285" s="8">
        <v>1604</v>
      </c>
    </row>
    <row r="2286" spans="1:6" ht="12.75">
      <c r="A2286" s="8">
        <v>43904.300879629634</v>
      </c>
      <c r="B2286" s="8" t="str">
        <f>HYPERLINK("https://twitter.com/BagalueSunab","@BagalueSunab")</f>
        <v>@BagalueSunab</v>
      </c>
      <c r="C2286" s="8" t="s">
        <v>1183</v>
      </c>
      <c r="D2286" s="8">
        <v>6</v>
      </c>
      <c r="E2286" s="8">
        <v>0</v>
      </c>
      <c r="F2286" s="8">
        <v>2584</v>
      </c>
    </row>
    <row r="2287" spans="1:6" ht="12.75">
      <c r="A2287" s="8">
        <v>43904.30064814815</v>
      </c>
      <c r="B2287" s="8" t="str">
        <f>HYPERLINK("https://twitter.com/PaijoAryanto__","@PaijoAryanto__")</f>
        <v>@PaijoAryanto__</v>
      </c>
      <c r="C2287" s="8" t="s">
        <v>1255</v>
      </c>
      <c r="D2287" s="8">
        <v>0</v>
      </c>
      <c r="E2287" s="8">
        <v>0</v>
      </c>
      <c r="F2287" s="8">
        <v>759</v>
      </c>
    </row>
    <row r="2288" spans="1:6" ht="12.75">
      <c r="A2288" s="8">
        <v>43904.299780092595</v>
      </c>
      <c r="B2288" s="8" t="str">
        <f>HYPERLINK("https://twitter.com/MetroTVToday","@MetroTVToday")</f>
        <v>@MetroTVToday</v>
      </c>
      <c r="C2288" s="8" t="s">
        <v>1183</v>
      </c>
      <c r="D2288" s="8">
        <v>6</v>
      </c>
      <c r="E2288" s="8">
        <v>0</v>
      </c>
      <c r="F2288" s="8">
        <v>97726</v>
      </c>
    </row>
    <row r="2289" spans="1:6" ht="12.75">
      <c r="A2289" s="8">
        <v>43904.299479166672</v>
      </c>
      <c r="B2289" s="8" t="str">
        <f>HYPERLINK("https://twitter.com/Metro_TV","@Metro_TV")</f>
        <v>@Metro_TV</v>
      </c>
      <c r="C2289" s="8" t="s">
        <v>1256</v>
      </c>
      <c r="D2289" s="8">
        <v>6</v>
      </c>
      <c r="E2289" s="8">
        <v>8</v>
      </c>
      <c r="F2289" s="8">
        <v>10520091</v>
      </c>
    </row>
    <row r="2290" spans="1:6" ht="12.75">
      <c r="A2290" s="8">
        <v>43904.297199074077</v>
      </c>
      <c r="B2290" s="8" t="str">
        <f>HYPERLINK("https://twitter.com/Beritasatu","@Beritasatu")</f>
        <v>@Beritasatu</v>
      </c>
      <c r="C2290" s="8" t="s">
        <v>1257</v>
      </c>
      <c r="D2290" s="8">
        <v>0</v>
      </c>
      <c r="E2290" s="8">
        <v>0</v>
      </c>
      <c r="F2290" s="8">
        <v>619291</v>
      </c>
    </row>
    <row r="2291" spans="1:6" ht="12.75">
      <c r="A2291" s="8">
        <v>43904.296678240746</v>
      </c>
      <c r="B2291" s="8" t="str">
        <f>HYPERLINK("https://twitter.com/sylvkartika","@sylvkartika")</f>
        <v>@sylvkartika</v>
      </c>
      <c r="C2291" s="8" t="s">
        <v>1227</v>
      </c>
      <c r="D2291" s="8">
        <v>9</v>
      </c>
      <c r="E2291" s="8">
        <v>0</v>
      </c>
      <c r="F2291" s="8">
        <v>4081</v>
      </c>
    </row>
    <row r="2292" spans="1:6" ht="12.75">
      <c r="A2292" s="8">
        <v>43904.296365740738</v>
      </c>
      <c r="B2292" s="8" t="str">
        <f>HYPERLINK("https://twitter.com/ReiMiechi99","@ReiMiechi99")</f>
        <v>@ReiMiechi99</v>
      </c>
      <c r="C2292" s="8" t="s">
        <v>1258</v>
      </c>
      <c r="D2292" s="8">
        <v>0</v>
      </c>
      <c r="E2292" s="8">
        <v>0</v>
      </c>
      <c r="F2292" s="8">
        <v>98</v>
      </c>
    </row>
    <row r="2293" spans="1:6" ht="12.75">
      <c r="A2293" s="8">
        <v>43904.295995370368</v>
      </c>
      <c r="B2293" s="8" t="str">
        <f>HYPERLINK("https://twitter.com/Puteriswift_","@Puteriswift_")</f>
        <v>@Puteriswift_</v>
      </c>
      <c r="C2293" s="8" t="s">
        <v>1259</v>
      </c>
      <c r="D2293" s="8">
        <v>0</v>
      </c>
      <c r="E2293" s="8">
        <v>0</v>
      </c>
      <c r="F2293" s="8">
        <v>293</v>
      </c>
    </row>
    <row r="2294" spans="1:6" ht="12.75">
      <c r="A2294" s="8">
        <v>43904.295706018514</v>
      </c>
      <c r="B2294" s="8" t="str">
        <f>HYPERLINK("https://twitter.com/damario04","@damario04")</f>
        <v>@damario04</v>
      </c>
      <c r="C2294" s="8" t="s">
        <v>166</v>
      </c>
      <c r="D2294" s="8">
        <v>0</v>
      </c>
      <c r="E2294" s="8">
        <v>0</v>
      </c>
      <c r="F2294" s="8">
        <v>402</v>
      </c>
    </row>
    <row r="2295" spans="1:6" ht="12.75">
      <c r="A2295" s="8">
        <v>43904.294432870374</v>
      </c>
      <c r="B2295" s="8" t="str">
        <f>HYPERLINK("https://twitter.com/MaickhellSiswo1","@MaickhellSiswo1")</f>
        <v>@MaickhellSiswo1</v>
      </c>
      <c r="C2295" s="8" t="s">
        <v>289</v>
      </c>
      <c r="D2295" s="8">
        <v>150</v>
      </c>
      <c r="E2295" s="8">
        <v>0</v>
      </c>
      <c r="F2295" s="8">
        <v>259</v>
      </c>
    </row>
    <row r="2296" spans="1:6" ht="12.75">
      <c r="A2296" s="8">
        <v>43904.294328703705</v>
      </c>
      <c r="B2296" s="8" t="str">
        <f>HYPERLINK("https://twitter.com/SaputraBerman","@SaputraBerman")</f>
        <v>@SaputraBerman</v>
      </c>
      <c r="C2296" s="8" t="s">
        <v>925</v>
      </c>
      <c r="D2296" s="8">
        <v>184</v>
      </c>
      <c r="E2296" s="8">
        <v>0</v>
      </c>
      <c r="F2296" s="8">
        <v>121</v>
      </c>
    </row>
    <row r="2297" spans="1:6" ht="12.75">
      <c r="A2297" s="8">
        <v>43904.292916666665</v>
      </c>
      <c r="B2297" s="8" t="str">
        <f>HYPERLINK("https://twitter.com/ddalgisapsal_","@ddalgisapsal_")</f>
        <v>@ddalgisapsal_</v>
      </c>
      <c r="C2297" s="8" t="s">
        <v>1260</v>
      </c>
      <c r="D2297" s="8">
        <v>0</v>
      </c>
      <c r="E2297" s="8">
        <v>0</v>
      </c>
      <c r="F2297" s="8">
        <v>1134</v>
      </c>
    </row>
    <row r="2298" spans="1:6" ht="12.75">
      <c r="A2298" s="8">
        <v>43904.292719907404</v>
      </c>
      <c r="B2298" s="8" t="str">
        <f>HYPERLINK("https://twitter.com/MetroTVToday","@MetroTVToday")</f>
        <v>@MetroTVToday</v>
      </c>
      <c r="C2298" s="8" t="s">
        <v>943</v>
      </c>
      <c r="D2298" s="8">
        <v>1</v>
      </c>
      <c r="E2298" s="8">
        <v>0</v>
      </c>
      <c r="F2298" s="8">
        <v>97728</v>
      </c>
    </row>
    <row r="2299" spans="1:6" ht="12.75">
      <c r="A2299" s="8">
        <v>43904.292615740742</v>
      </c>
      <c r="B2299" s="8" t="str">
        <f>HYPERLINK("https://twitter.com/Metro_TV","@Metro_TV")</f>
        <v>@Metro_TV</v>
      </c>
      <c r="C2299" s="8" t="s">
        <v>1261</v>
      </c>
      <c r="D2299" s="8">
        <v>1</v>
      </c>
      <c r="E2299" s="8">
        <v>3</v>
      </c>
      <c r="F2299" s="8">
        <v>10520065</v>
      </c>
    </row>
    <row r="2300" spans="1:6" ht="12.75">
      <c r="A2300" s="8">
        <v>43904.291354166664</v>
      </c>
      <c r="B2300" s="8" t="str">
        <f>HYPERLINK("https://twitter.com/Sukikkura","@Sukikkura")</f>
        <v>@Sukikkura</v>
      </c>
      <c r="C2300" s="8" t="s">
        <v>1227</v>
      </c>
      <c r="D2300" s="8">
        <v>9</v>
      </c>
      <c r="E2300" s="8">
        <v>0</v>
      </c>
      <c r="F2300" s="8">
        <v>2356</v>
      </c>
    </row>
    <row r="2301" spans="1:6" ht="12.75">
      <c r="A2301" s="8">
        <v>43904.291342592594</v>
      </c>
      <c r="B2301" s="8" t="str">
        <f>HYPERLINK("https://twitter.com/Hunter64152084","@Hunter64152084")</f>
        <v>@Hunter64152084</v>
      </c>
      <c r="C2301" s="8" t="s">
        <v>1262</v>
      </c>
      <c r="D2301" s="8">
        <v>0</v>
      </c>
      <c r="E2301" s="8">
        <v>0</v>
      </c>
      <c r="F2301" s="8">
        <v>0</v>
      </c>
    </row>
    <row r="2302" spans="1:6" ht="12.75">
      <c r="A2302" s="8">
        <v>43904.290682870371</v>
      </c>
      <c r="B2302" s="8" t="str">
        <f>HYPERLINK("https://twitter.com/andreaskoernia1","@andreaskoernia1")</f>
        <v>@andreaskoernia1</v>
      </c>
      <c r="C2302" s="8" t="s">
        <v>1227</v>
      </c>
      <c r="D2302" s="8">
        <v>9</v>
      </c>
      <c r="E2302" s="8">
        <v>0</v>
      </c>
      <c r="F2302" s="8">
        <v>25</v>
      </c>
    </row>
    <row r="2303" spans="1:6" ht="12.75">
      <c r="A2303" s="8">
        <v>43904.290601851855</v>
      </c>
      <c r="B2303" s="8" t="str">
        <f>HYPERLINK("https://twitter.com/ramdhan497","@ramdhan497")</f>
        <v>@ramdhan497</v>
      </c>
      <c r="C2303" s="8" t="s">
        <v>1199</v>
      </c>
      <c r="D2303" s="8">
        <v>2</v>
      </c>
      <c r="E2303" s="8">
        <v>0</v>
      </c>
      <c r="F2303" s="8">
        <v>204</v>
      </c>
    </row>
    <row r="2304" spans="1:6" ht="12.75">
      <c r="A2304" s="8">
        <v>43904.288935185185</v>
      </c>
      <c r="B2304" s="8" t="str">
        <f>HYPERLINK("https://twitter.com/MetroTVToday","@MetroTVToday")</f>
        <v>@MetroTVToday</v>
      </c>
      <c r="C2304" s="8" t="s">
        <v>1199</v>
      </c>
      <c r="D2304" s="8">
        <v>2</v>
      </c>
      <c r="E2304" s="8">
        <v>0</v>
      </c>
      <c r="F2304" s="8">
        <v>97728</v>
      </c>
    </row>
    <row r="2305" spans="1:6" ht="12.75">
      <c r="A2305" s="8">
        <v>43904.288541666669</v>
      </c>
      <c r="B2305" s="8" t="str">
        <f>HYPERLINK("https://twitter.com/Metro_TV","@Metro_TV")</f>
        <v>@Metro_TV</v>
      </c>
      <c r="C2305" s="8" t="s">
        <v>1263</v>
      </c>
      <c r="D2305" s="8">
        <v>2</v>
      </c>
      <c r="E2305" s="8">
        <v>3</v>
      </c>
      <c r="F2305" s="8">
        <v>10520065</v>
      </c>
    </row>
    <row r="2306" spans="1:6" ht="12.75">
      <c r="A2306" s="8">
        <v>43904.288043981476</v>
      </c>
      <c r="B2306" s="8" t="str">
        <f>HYPERLINK("https://twitter.com/wni_jmsri","@wni_jmsri")</f>
        <v>@wni_jmsri</v>
      </c>
      <c r="C2306" s="8" t="s">
        <v>1264</v>
      </c>
      <c r="D2306" s="8">
        <v>13977</v>
      </c>
      <c r="E2306" s="8">
        <v>0</v>
      </c>
      <c r="F2306" s="8">
        <v>198</v>
      </c>
    </row>
    <row r="2307" spans="1:6" ht="12.75">
      <c r="A2307" s="8">
        <v>43904.287465277783</v>
      </c>
      <c r="B2307" s="8" t="str">
        <f>HYPERLINK("https://twitter.com/ERamdanni","@ERamdanni")</f>
        <v>@ERamdanni</v>
      </c>
      <c r="C2307" s="8" t="s">
        <v>587</v>
      </c>
      <c r="D2307" s="8">
        <v>42</v>
      </c>
      <c r="E2307" s="8">
        <v>0</v>
      </c>
      <c r="F2307" s="8">
        <v>26</v>
      </c>
    </row>
    <row r="2308" spans="1:6" ht="12.75">
      <c r="A2308" s="8">
        <v>43904.286863425921</v>
      </c>
      <c r="B2308" s="8" t="str">
        <f>HYPERLINK("https://twitter.com/sidikjj","@sidikjj")</f>
        <v>@sidikjj</v>
      </c>
      <c r="C2308" s="8" t="s">
        <v>925</v>
      </c>
      <c r="D2308" s="8">
        <v>184</v>
      </c>
      <c r="E2308" s="8">
        <v>0</v>
      </c>
      <c r="F2308" s="8">
        <v>64</v>
      </c>
    </row>
    <row r="2309" spans="1:6" ht="12.75">
      <c r="A2309" s="8">
        <v>43904.286643518513</v>
      </c>
      <c r="B2309" s="8" t="str">
        <f t="shared" ref="B2309:B2310" si="50">HYPERLINK("https://twitter.com/wni_jmsri","@wni_jmsri")</f>
        <v>@wni_jmsri</v>
      </c>
      <c r="C2309" s="8" t="s">
        <v>1265</v>
      </c>
      <c r="D2309" s="8">
        <v>338</v>
      </c>
      <c r="E2309" s="8">
        <v>0</v>
      </c>
      <c r="F2309" s="8">
        <v>198</v>
      </c>
    </row>
    <row r="2310" spans="1:6" ht="12.75">
      <c r="A2310" s="8">
        <v>43904.286585648151</v>
      </c>
      <c r="B2310" s="8" t="str">
        <f t="shared" si="50"/>
        <v>@wni_jmsri</v>
      </c>
      <c r="C2310" s="8" t="s">
        <v>1266</v>
      </c>
      <c r="D2310" s="8">
        <v>177</v>
      </c>
      <c r="E2310" s="8">
        <v>0</v>
      </c>
      <c r="F2310" s="8">
        <v>198</v>
      </c>
    </row>
    <row r="2311" spans="1:6" ht="12.75">
      <c r="A2311" s="8">
        <v>43904.285949074074</v>
      </c>
      <c r="B2311" s="8" t="str">
        <f>HYPERLINK("https://twitter.com/IndonesiaTani","@IndonesiaTani")</f>
        <v>@IndonesiaTani</v>
      </c>
      <c r="C2311" s="8" t="s">
        <v>1267</v>
      </c>
      <c r="D2311" s="8">
        <v>0</v>
      </c>
      <c r="E2311" s="8">
        <v>1</v>
      </c>
      <c r="F2311" s="8">
        <v>92</v>
      </c>
    </row>
    <row r="2312" spans="1:6" ht="12.75">
      <c r="A2312" s="8">
        <v>43904.285196759258</v>
      </c>
      <c r="B2312" s="8" t="str">
        <f>HYPERLINK("https://twitter.com/HandayaniRin","@HandayaniRin")</f>
        <v>@HandayaniRin</v>
      </c>
      <c r="C2312" s="8" t="s">
        <v>497</v>
      </c>
      <c r="D2312" s="8">
        <v>1</v>
      </c>
      <c r="E2312" s="8">
        <v>0</v>
      </c>
      <c r="F2312" s="8">
        <v>1952</v>
      </c>
    </row>
    <row r="2313" spans="1:6" ht="12.75">
      <c r="A2313" s="8">
        <v>43904.283333333333</v>
      </c>
      <c r="B2313" s="8" t="str">
        <f>HYPERLINK("https://twitter.com/tey_saja","@tey_saja")</f>
        <v>@tey_saja</v>
      </c>
      <c r="C2313" s="8" t="s">
        <v>1268</v>
      </c>
      <c r="D2313" s="8">
        <v>1</v>
      </c>
      <c r="E2313" s="8">
        <v>1</v>
      </c>
      <c r="F2313" s="8">
        <v>10619</v>
      </c>
    </row>
    <row r="2314" spans="1:6" ht="12.75">
      <c r="A2314" s="8">
        <v>43904.2815625</v>
      </c>
      <c r="B2314" s="8" t="str">
        <f>HYPERLINK("https://twitter.com/tweetaje_aje","@tweetaje_aje")</f>
        <v>@tweetaje_aje</v>
      </c>
      <c r="C2314" s="8" t="s">
        <v>1227</v>
      </c>
      <c r="D2314" s="8">
        <v>9</v>
      </c>
      <c r="E2314" s="8">
        <v>0</v>
      </c>
      <c r="F2314" s="8">
        <v>32</v>
      </c>
    </row>
    <row r="2315" spans="1:6" ht="12.75">
      <c r="A2315" s="8">
        <v>43904.280381944445</v>
      </c>
      <c r="B2315" s="8" t="str">
        <f>HYPERLINK("https://twitter.com/devy215","@devy215")</f>
        <v>@devy215</v>
      </c>
      <c r="C2315" s="8" t="s">
        <v>1269</v>
      </c>
      <c r="D2315" s="8">
        <v>0</v>
      </c>
      <c r="E2315" s="8">
        <v>0</v>
      </c>
      <c r="F2315" s="8">
        <v>3173</v>
      </c>
    </row>
    <row r="2316" spans="1:6" ht="12.75">
      <c r="A2316" s="8">
        <v>43904.279780092591</v>
      </c>
      <c r="B2316" s="8" t="str">
        <f>HYPERLINK("https://twitter.com/HalimTeuku","@HalimTeuku")</f>
        <v>@HalimTeuku</v>
      </c>
      <c r="C2316" s="8" t="s">
        <v>1270</v>
      </c>
      <c r="D2316" s="8">
        <v>256</v>
      </c>
      <c r="E2316" s="8">
        <v>0</v>
      </c>
      <c r="F2316" s="8">
        <v>3445</v>
      </c>
    </row>
    <row r="2317" spans="1:6" ht="12.75">
      <c r="A2317" s="8">
        <v>43904.279768518521</v>
      </c>
      <c r="B2317" s="8" t="str">
        <f>HYPERLINK("https://twitter.com/herubadala","@herubadala")</f>
        <v>@herubadala</v>
      </c>
      <c r="C2317" s="8" t="s">
        <v>289</v>
      </c>
      <c r="D2317" s="8">
        <v>150</v>
      </c>
      <c r="E2317" s="8">
        <v>0</v>
      </c>
      <c r="F2317" s="8">
        <v>537</v>
      </c>
    </row>
    <row r="2318" spans="1:6" ht="12.75">
      <c r="A2318" s="8">
        <v>43904.279629629629</v>
      </c>
      <c r="B2318" s="8" t="str">
        <f>HYPERLINK("https://twitter.com/MariaEmmanuelle","@MariaEmmanuelle")</f>
        <v>@MariaEmmanuelle</v>
      </c>
      <c r="C2318" s="8" t="s">
        <v>1227</v>
      </c>
      <c r="D2318" s="8">
        <v>9</v>
      </c>
      <c r="E2318" s="8">
        <v>0</v>
      </c>
      <c r="F2318" s="8">
        <v>670</v>
      </c>
    </row>
    <row r="2319" spans="1:6" ht="12.75">
      <c r="A2319" s="8">
        <v>43904.279537037037</v>
      </c>
      <c r="B2319" s="8" t="str">
        <f>HYPERLINK("https://twitter.com/ayuyayuyayuya","@ayuyayuyayuya")</f>
        <v>@ayuyayuyayuya</v>
      </c>
      <c r="C2319" s="8" t="s">
        <v>1227</v>
      </c>
      <c r="D2319" s="8">
        <v>9</v>
      </c>
      <c r="E2319" s="8">
        <v>0</v>
      </c>
      <c r="F2319" s="8">
        <v>251</v>
      </c>
    </row>
    <row r="2320" spans="1:6" ht="12.75">
      <c r="A2320" s="8">
        <v>43904.27924768519</v>
      </c>
      <c r="B2320" s="8" t="str">
        <f>HYPERLINK("https://twitter.com/DustinGeinbee","@DustinGeinbee")</f>
        <v>@DustinGeinbee</v>
      </c>
      <c r="C2320" s="8" t="s">
        <v>1227</v>
      </c>
      <c r="D2320" s="8">
        <v>9</v>
      </c>
      <c r="E2320" s="8">
        <v>0</v>
      </c>
      <c r="F2320" s="8">
        <v>10432</v>
      </c>
    </row>
    <row r="2321" spans="1:6" ht="12.75">
      <c r="A2321" s="8">
        <v>43904.278842592597</v>
      </c>
      <c r="B2321" s="8" t="str">
        <f>HYPERLINK("https://twitter.com/kompascom","@kompascom")</f>
        <v>@kompascom</v>
      </c>
      <c r="C2321" s="8" t="s">
        <v>1271</v>
      </c>
      <c r="D2321" s="8">
        <v>9</v>
      </c>
      <c r="E2321" s="8">
        <v>23</v>
      </c>
      <c r="F2321" s="8">
        <v>7546153</v>
      </c>
    </row>
    <row r="2322" spans="1:6" ht="12.75">
      <c r="A2322" s="8">
        <v>43904.277997685189</v>
      </c>
      <c r="B2322" s="8" t="str">
        <f>HYPERLINK("https://twitter.com/icandiw","@icandiw")</f>
        <v>@icandiw</v>
      </c>
      <c r="C2322" s="8" t="s">
        <v>1272</v>
      </c>
      <c r="D2322" s="8">
        <v>0</v>
      </c>
      <c r="E2322" s="8">
        <v>0</v>
      </c>
      <c r="F2322" s="8">
        <v>25</v>
      </c>
    </row>
    <row r="2323" spans="1:6" ht="12.75">
      <c r="A2323" s="8">
        <v>43904.276828703703</v>
      </c>
      <c r="B2323" s="8" t="str">
        <f>HYPERLINK("https://twitter.com/iNewsID","@iNewsID")</f>
        <v>@iNewsID</v>
      </c>
      <c r="C2323" s="8" t="s">
        <v>1273</v>
      </c>
      <c r="D2323" s="8">
        <v>0</v>
      </c>
      <c r="E2323" s="8">
        <v>0</v>
      </c>
      <c r="F2323" s="8">
        <v>1400</v>
      </c>
    </row>
    <row r="2324" spans="1:6" ht="12.75">
      <c r="A2324" s="8">
        <v>43904.273518518516</v>
      </c>
      <c r="B2324" s="8" t="str">
        <f>HYPERLINK("https://twitter.com/Coki03055491","@Coki03055491")</f>
        <v>@Coki03055491</v>
      </c>
      <c r="C2324" s="8" t="s">
        <v>1274</v>
      </c>
      <c r="D2324" s="8">
        <v>0</v>
      </c>
      <c r="E2324" s="8">
        <v>2</v>
      </c>
      <c r="F2324" s="8">
        <v>72</v>
      </c>
    </row>
    <row r="2325" spans="1:6" ht="12.75">
      <c r="A2325" s="8">
        <v>43904.272511574076</v>
      </c>
      <c r="B2325" s="8" t="str">
        <f>HYPERLINK("https://twitter.com/sophieeh13","@sophieeh13")</f>
        <v>@sophieeh13</v>
      </c>
      <c r="C2325" s="8" t="s">
        <v>983</v>
      </c>
      <c r="D2325" s="8">
        <v>12</v>
      </c>
      <c r="E2325" s="8">
        <v>0</v>
      </c>
      <c r="F2325" s="8">
        <v>887</v>
      </c>
    </row>
    <row r="2326" spans="1:6" ht="12.75">
      <c r="A2326" s="8">
        <v>43904.270416666666</v>
      </c>
      <c r="B2326" s="8" t="str">
        <f>HYPERLINK("https://twitter.com/Faylasalle2","@Faylasalle2")</f>
        <v>@Faylasalle2</v>
      </c>
      <c r="C2326" s="8" t="s">
        <v>1053</v>
      </c>
      <c r="D2326" s="8">
        <v>4</v>
      </c>
      <c r="E2326" s="8">
        <v>0</v>
      </c>
      <c r="F2326" s="8">
        <v>575</v>
      </c>
    </row>
    <row r="2327" spans="1:6" ht="12.75">
      <c r="A2327" s="8">
        <v>43904.268877314811</v>
      </c>
      <c r="B2327" s="8" t="str">
        <f>HYPERLINK("https://twitter.com/hairUnisah28","@hairUnisah28")</f>
        <v>@hairUnisah28</v>
      </c>
      <c r="C2327" s="8" t="s">
        <v>1051</v>
      </c>
      <c r="D2327" s="8">
        <v>2</v>
      </c>
      <c r="E2327" s="8">
        <v>0</v>
      </c>
      <c r="F2327" s="8">
        <v>2393</v>
      </c>
    </row>
    <row r="2328" spans="1:6" ht="12.75">
      <c r="A2328" s="8">
        <v>43904.268449074079</v>
      </c>
      <c r="B2328" s="8" t="str">
        <f>HYPERLINK("https://twitter.com/Apaajadehgitu","@Apaajadehgitu")</f>
        <v>@Apaajadehgitu</v>
      </c>
      <c r="C2328" s="8" t="s">
        <v>983</v>
      </c>
      <c r="D2328" s="8">
        <v>12</v>
      </c>
      <c r="E2328" s="8">
        <v>0</v>
      </c>
      <c r="F2328" s="8">
        <v>31</v>
      </c>
    </row>
    <row r="2329" spans="1:6" ht="12.75">
      <c r="A2329" s="8">
        <v>43904.268333333333</v>
      </c>
      <c r="B2329" s="8" t="str">
        <f>HYPERLINK("https://twitter.com/tidakbeda","@tidakbeda")</f>
        <v>@tidakbeda</v>
      </c>
      <c r="C2329" s="8" t="s">
        <v>1275</v>
      </c>
      <c r="D2329" s="8">
        <v>0</v>
      </c>
      <c r="E2329" s="8">
        <v>0</v>
      </c>
      <c r="F2329" s="8">
        <v>21</v>
      </c>
    </row>
    <row r="2330" spans="1:6" ht="12.75">
      <c r="A2330" s="8">
        <v>43904.268009259264</v>
      </c>
      <c r="B2330" s="8" t="str">
        <f>HYPERLINK("https://twitter.com/taercapaikan","@taercapaikan")</f>
        <v>@taercapaikan</v>
      </c>
      <c r="C2330" s="8" t="s">
        <v>1276</v>
      </c>
      <c r="D2330" s="8">
        <v>0</v>
      </c>
      <c r="E2330" s="8">
        <v>0</v>
      </c>
      <c r="F2330" s="8">
        <v>64</v>
      </c>
    </row>
    <row r="2331" spans="1:6" ht="12.75">
      <c r="A2331" s="8">
        <v>43904.267453703702</v>
      </c>
      <c r="B2331" s="8" t="str">
        <f>HYPERLINK("https://twitter.com/DahliaRosse","@DahliaRosse")</f>
        <v>@DahliaRosse</v>
      </c>
      <c r="C2331" s="8" t="s">
        <v>1277</v>
      </c>
      <c r="D2331" s="8">
        <v>0</v>
      </c>
      <c r="E2331" s="8">
        <v>0</v>
      </c>
      <c r="F2331" s="8">
        <v>422</v>
      </c>
    </row>
    <row r="2332" spans="1:6" ht="12.75">
      <c r="A2332" s="8">
        <v>43904.267141203702</v>
      </c>
      <c r="B2332" s="8" t="str">
        <f>HYPERLINK("https://twitter.com/primahyejoo","@primahyejoo")</f>
        <v>@primahyejoo</v>
      </c>
      <c r="C2332" s="8" t="s">
        <v>1278</v>
      </c>
      <c r="D2332" s="8">
        <v>0</v>
      </c>
      <c r="E2332" s="8">
        <v>1</v>
      </c>
      <c r="F2332" s="8">
        <v>567</v>
      </c>
    </row>
    <row r="2333" spans="1:6" ht="12.75">
      <c r="A2333" s="8">
        <v>43904.26663194444</v>
      </c>
      <c r="B2333" s="8" t="str">
        <f>HYPERLINK("https://twitter.com/AbuRizalMoet","@AbuRizalMoet")</f>
        <v>@AbuRizalMoet</v>
      </c>
      <c r="C2333" s="8" t="s">
        <v>1053</v>
      </c>
      <c r="D2333" s="8">
        <v>4</v>
      </c>
      <c r="E2333" s="8">
        <v>0</v>
      </c>
      <c r="F2333" s="8">
        <v>3031</v>
      </c>
    </row>
    <row r="2334" spans="1:6" ht="12.75">
      <c r="A2334" s="8">
        <v>43904.265520833331</v>
      </c>
      <c r="B2334" s="8" t="str">
        <f>HYPERLINK("https://twitter.com/_aiek_esthreem_","@_aiek_esthreem_")</f>
        <v>@_aiek_esthreem_</v>
      </c>
      <c r="C2334" s="8" t="s">
        <v>1279</v>
      </c>
      <c r="D2334" s="8">
        <v>2</v>
      </c>
      <c r="E2334" s="8">
        <v>5</v>
      </c>
      <c r="F2334" s="8">
        <v>17168</v>
      </c>
    </row>
    <row r="2335" spans="1:6" ht="12.75">
      <c r="A2335" s="8">
        <v>43904.263703703706</v>
      </c>
      <c r="B2335" s="8" t="str">
        <f>HYPERLINK("https://twitter.com/Kennya81607095","@Kennya81607095")</f>
        <v>@Kennya81607095</v>
      </c>
      <c r="C2335" s="8" t="s">
        <v>1280</v>
      </c>
      <c r="D2335" s="8">
        <v>2</v>
      </c>
      <c r="E2335" s="8">
        <v>0</v>
      </c>
      <c r="F2335" s="8">
        <v>696</v>
      </c>
    </row>
    <row r="2336" spans="1:6" ht="12.75">
      <c r="A2336" s="8">
        <v>43904.262800925921</v>
      </c>
      <c r="B2336" s="8" t="str">
        <f>HYPERLINK("https://twitter.com/batcycle1","@batcycle1")</f>
        <v>@batcycle1</v>
      </c>
      <c r="C2336" s="8" t="s">
        <v>1281</v>
      </c>
      <c r="D2336" s="8">
        <v>0</v>
      </c>
      <c r="E2336" s="8">
        <v>1</v>
      </c>
      <c r="F2336" s="8">
        <v>201</v>
      </c>
    </row>
    <row r="2337" spans="1:6" ht="12.75">
      <c r="A2337" s="8">
        <v>43904.261076388888</v>
      </c>
      <c r="B2337" s="8" t="str">
        <f>HYPERLINK("https://twitter.com/_aiek_esthreem_","@_aiek_esthreem_")</f>
        <v>@_aiek_esthreem_</v>
      </c>
      <c r="C2337" s="8" t="s">
        <v>1282</v>
      </c>
      <c r="D2337" s="8">
        <v>4</v>
      </c>
      <c r="E2337" s="8">
        <v>9</v>
      </c>
      <c r="F2337" s="8">
        <v>17168</v>
      </c>
    </row>
    <row r="2338" spans="1:6" ht="12.75">
      <c r="A2338" s="8">
        <v>43904.259999999995</v>
      </c>
      <c r="B2338" s="8" t="str">
        <f>HYPERLINK("https://twitter.com/AyameAka","@AyameAka")</f>
        <v>@AyameAka</v>
      </c>
      <c r="C2338" s="8" t="s">
        <v>1283</v>
      </c>
      <c r="D2338" s="8">
        <v>0</v>
      </c>
      <c r="E2338" s="8">
        <v>1</v>
      </c>
      <c r="F2338" s="8">
        <v>45</v>
      </c>
    </row>
    <row r="2339" spans="1:6" ht="12.75">
      <c r="A2339" s="8">
        <v>43904.259988425925</v>
      </c>
      <c r="B2339" s="8" t="str">
        <f>HYPERLINK("https://twitter.com/jark_dokes","@jark_dokes")</f>
        <v>@jark_dokes</v>
      </c>
      <c r="C2339" s="8" t="s">
        <v>1142</v>
      </c>
      <c r="D2339" s="8">
        <v>1</v>
      </c>
      <c r="E2339" s="8">
        <v>0</v>
      </c>
      <c r="F2339" s="8">
        <v>1499</v>
      </c>
    </row>
    <row r="2340" spans="1:6" ht="12.75">
      <c r="A2340" s="8">
        <v>43904.259664351848</v>
      </c>
      <c r="B2340" s="8" t="str">
        <f>HYPERLINK("https://twitter.com/senjaraku","@senjaraku")</f>
        <v>@senjaraku</v>
      </c>
      <c r="C2340" s="8" t="s">
        <v>983</v>
      </c>
      <c r="D2340" s="8">
        <v>12</v>
      </c>
      <c r="E2340" s="8">
        <v>0</v>
      </c>
      <c r="F2340" s="8">
        <v>333</v>
      </c>
    </row>
    <row r="2341" spans="1:6" ht="12.75">
      <c r="A2341" s="8">
        <v>43904.257314814815</v>
      </c>
      <c r="B2341" s="8" t="str">
        <f>HYPERLINK("https://twitter.com/RezanHayon","@RezanHayon")</f>
        <v>@RezanHayon</v>
      </c>
      <c r="C2341" s="8" t="s">
        <v>289</v>
      </c>
      <c r="D2341" s="8">
        <v>150</v>
      </c>
      <c r="E2341" s="8">
        <v>0</v>
      </c>
      <c r="F2341" s="8">
        <v>1218</v>
      </c>
    </row>
    <row r="2342" spans="1:6" ht="12.75">
      <c r="A2342" s="8">
        <v>43904.256921296299</v>
      </c>
      <c r="B2342" s="8" t="str">
        <f>HYPERLINK("https://twitter.com/Sandy_ervandi","@Sandy_ervandi")</f>
        <v>@Sandy_ervandi</v>
      </c>
      <c r="C2342" s="8" t="s">
        <v>289</v>
      </c>
      <c r="D2342" s="8">
        <v>150</v>
      </c>
      <c r="E2342" s="8">
        <v>0</v>
      </c>
      <c r="F2342" s="8">
        <v>101</v>
      </c>
    </row>
    <row r="2343" spans="1:6" ht="12.75">
      <c r="A2343" s="8">
        <v>43904.25618055556</v>
      </c>
      <c r="B2343" s="8" t="str">
        <f>HYPERLINK("https://twitter.com/an_Dika07","@an_Dika07")</f>
        <v>@an_Dika07</v>
      </c>
      <c r="C2343" s="8" t="s">
        <v>289</v>
      </c>
      <c r="D2343" s="8">
        <v>146</v>
      </c>
      <c r="E2343" s="8">
        <v>0</v>
      </c>
      <c r="F2343" s="8">
        <v>958</v>
      </c>
    </row>
    <row r="2344" spans="1:6" ht="12.75">
      <c r="A2344" s="8">
        <v>43904.255127314813</v>
      </c>
      <c r="B2344" s="8" t="str">
        <f>HYPERLINK("https://twitter.com/Eddoludwig1","@Eddoludwig1")</f>
        <v>@Eddoludwig1</v>
      </c>
      <c r="C2344" s="8" t="s">
        <v>353</v>
      </c>
      <c r="D2344" s="8">
        <v>135</v>
      </c>
      <c r="E2344" s="8">
        <v>0</v>
      </c>
      <c r="F2344" s="8">
        <v>346</v>
      </c>
    </row>
    <row r="2345" spans="1:6" ht="12.75">
      <c r="A2345" s="8">
        <v>43904.25267361111</v>
      </c>
      <c r="B2345" s="8" t="str">
        <f>HYPERLINK("https://twitter.com/Fm98Sonora","@Fm98Sonora")</f>
        <v>@Fm98Sonora</v>
      </c>
      <c r="C2345" s="8" t="s">
        <v>1284</v>
      </c>
      <c r="D2345" s="8">
        <v>9</v>
      </c>
      <c r="E2345" s="8">
        <v>0</v>
      </c>
      <c r="F2345" s="8">
        <v>27</v>
      </c>
    </row>
    <row r="2346" spans="1:6" ht="12.75">
      <c r="A2346" s="8">
        <v>43904.250891203701</v>
      </c>
      <c r="B2346" s="8" t="str">
        <f>HYPERLINK("https://twitter.com/inesrinda","@inesrinda")</f>
        <v>@inesrinda</v>
      </c>
      <c r="C2346" s="8" t="s">
        <v>1285</v>
      </c>
      <c r="D2346" s="8">
        <v>0</v>
      </c>
      <c r="E2346" s="8">
        <v>0</v>
      </c>
      <c r="F2346" s="8">
        <v>366</v>
      </c>
    </row>
    <row r="2347" spans="1:6" ht="12.75">
      <c r="A2347" s="8">
        <v>43904.250115740739</v>
      </c>
      <c r="B2347" s="8" t="str">
        <f>HYPERLINK("https://twitter.com/alaansor_1934","@alaansor_1934")</f>
        <v>@alaansor_1934</v>
      </c>
      <c r="C2347" s="8" t="s">
        <v>1286</v>
      </c>
      <c r="D2347" s="8">
        <v>13</v>
      </c>
      <c r="E2347" s="8">
        <v>0</v>
      </c>
      <c r="F2347" s="8">
        <v>501</v>
      </c>
    </row>
    <row r="2348" spans="1:6" ht="12.75">
      <c r="A2348" s="8">
        <v>43904.249050925922</v>
      </c>
      <c r="B2348" s="8" t="str">
        <f>HYPERLINK("https://twitter.com/Frxzzz","@Frxzzz")</f>
        <v>@Frxzzz</v>
      </c>
      <c r="C2348" s="8" t="s">
        <v>1287</v>
      </c>
      <c r="D2348" s="8">
        <v>1</v>
      </c>
      <c r="E2348" s="8">
        <v>0</v>
      </c>
      <c r="F2348" s="8">
        <v>364</v>
      </c>
    </row>
    <row r="2349" spans="1:6" ht="12.75">
      <c r="A2349" s="8">
        <v>43904.248969907407</v>
      </c>
      <c r="B2349" s="8" t="str">
        <f>HYPERLINK("https://twitter.com/Priyakannan_pk","@Priyakannan_pk")</f>
        <v>@Priyakannan_pk</v>
      </c>
      <c r="C2349" s="8" t="s">
        <v>1195</v>
      </c>
      <c r="D2349" s="8">
        <v>2641</v>
      </c>
      <c r="E2349" s="8">
        <v>0</v>
      </c>
      <c r="F2349" s="8">
        <v>1142</v>
      </c>
    </row>
    <row r="2350" spans="1:6" ht="12.75">
      <c r="A2350" s="8">
        <v>43904.248807870375</v>
      </c>
      <c r="B2350" s="8" t="str">
        <f>HYPERLINK("https://twitter.com/disaugusting","@disaugusting")</f>
        <v>@disaugusting</v>
      </c>
      <c r="C2350" s="8" t="s">
        <v>983</v>
      </c>
      <c r="D2350" s="8">
        <v>9</v>
      </c>
      <c r="E2350" s="8">
        <v>0</v>
      </c>
      <c r="F2350" s="8">
        <v>515</v>
      </c>
    </row>
    <row r="2351" spans="1:6" ht="12.75">
      <c r="A2351" s="8">
        <v>43904.248472222222</v>
      </c>
      <c r="B2351" s="8" t="str">
        <f>HYPERLINK("https://twitter.com/KartasasmitaID","@KartasasmitaID")</f>
        <v>@KartasasmitaID</v>
      </c>
      <c r="C2351" s="8" t="s">
        <v>1288</v>
      </c>
      <c r="D2351" s="8">
        <v>0</v>
      </c>
      <c r="E2351" s="8">
        <v>1</v>
      </c>
      <c r="F2351" s="8">
        <v>207</v>
      </c>
    </row>
    <row r="2352" spans="1:6" ht="12.75">
      <c r="A2352" s="8">
        <v>43904.246990740736</v>
      </c>
      <c r="B2352" s="8" t="str">
        <f>HYPERLINK("https://twitter.com/YukToleran","@YukToleran")</f>
        <v>@YukToleran</v>
      </c>
      <c r="C2352" s="8" t="s">
        <v>1289</v>
      </c>
      <c r="D2352" s="8">
        <v>0</v>
      </c>
      <c r="E2352" s="8">
        <v>0</v>
      </c>
      <c r="F2352" s="8">
        <v>1953</v>
      </c>
    </row>
    <row r="2353" spans="1:6" ht="12.75">
      <c r="A2353" s="8">
        <v>43904.246805555551</v>
      </c>
      <c r="B2353" s="8" t="str">
        <f>HYPERLINK("https://twitter.com/TandiDominikus","@TandiDominikus")</f>
        <v>@TandiDominikus</v>
      </c>
      <c r="C2353" s="8" t="s">
        <v>1290</v>
      </c>
      <c r="D2353" s="8">
        <v>0</v>
      </c>
      <c r="E2353" s="8">
        <v>0</v>
      </c>
      <c r="F2353" s="8">
        <v>29</v>
      </c>
    </row>
    <row r="2354" spans="1:6" ht="12.75">
      <c r="A2354" s="8">
        <v>43904.246099537035</v>
      </c>
      <c r="B2354" s="8" t="str">
        <f>HYPERLINK("https://twitter.com/rio_ayong","@rio_ayong")</f>
        <v>@rio_ayong</v>
      </c>
      <c r="C2354" s="8" t="s">
        <v>289</v>
      </c>
      <c r="D2354" s="8">
        <v>146</v>
      </c>
      <c r="E2354" s="8">
        <v>0</v>
      </c>
      <c r="F2354" s="8">
        <v>223</v>
      </c>
    </row>
    <row r="2355" spans="1:6" ht="12.75">
      <c r="A2355" s="8">
        <v>43904.245046296295</v>
      </c>
      <c r="B2355" s="8" t="str">
        <f>HYPERLINK("https://twitter.com/GoTotheJek","@GoTotheJek")</f>
        <v>@GoTotheJek</v>
      </c>
      <c r="C2355" s="8" t="s">
        <v>353</v>
      </c>
      <c r="D2355" s="8">
        <v>135</v>
      </c>
      <c r="E2355" s="8">
        <v>0</v>
      </c>
      <c r="F2355" s="8">
        <v>779</v>
      </c>
    </row>
    <row r="2356" spans="1:6" ht="12.75">
      <c r="A2356" s="8">
        <v>43904.245011574079</v>
      </c>
      <c r="B2356" s="8" t="str">
        <f>HYPERLINK("https://twitter.com/del_paizo","@del_paizo")</f>
        <v>@del_paizo</v>
      </c>
      <c r="C2356" s="8" t="s">
        <v>874</v>
      </c>
      <c r="D2356" s="8">
        <v>74</v>
      </c>
      <c r="E2356" s="8">
        <v>0</v>
      </c>
      <c r="F2356" s="8">
        <v>110</v>
      </c>
    </row>
    <row r="2357" spans="1:6" ht="12.75">
      <c r="A2357" s="8">
        <v>43904.244317129633</v>
      </c>
      <c r="B2357" s="8" t="str">
        <f>HYPERLINK("https://twitter.com/apri_lim","@apri_lim")</f>
        <v>@apri_lim</v>
      </c>
      <c r="C2357" s="8" t="s">
        <v>1291</v>
      </c>
      <c r="D2357" s="8">
        <v>0</v>
      </c>
      <c r="E2357" s="8">
        <v>0</v>
      </c>
      <c r="F2357" s="8">
        <v>72</v>
      </c>
    </row>
    <row r="2358" spans="1:6" ht="12.75">
      <c r="A2358" s="8">
        <v>43904.243900462963</v>
      </c>
      <c r="B2358" s="8" t="str">
        <f>HYPERLINK("https://twitter.com/robert868686","@robert868686")</f>
        <v>@robert868686</v>
      </c>
      <c r="C2358" s="8" t="s">
        <v>1292</v>
      </c>
      <c r="D2358" s="8">
        <v>0</v>
      </c>
      <c r="E2358" s="8">
        <v>0</v>
      </c>
      <c r="F2358" s="8">
        <v>261</v>
      </c>
    </row>
    <row r="2359" spans="1:6" ht="12.75">
      <c r="A2359" s="8">
        <v>43904.243715277778</v>
      </c>
      <c r="B2359" s="8" t="str">
        <f>HYPERLINK("https://twitter.com/Wakapoldur","@Wakapoldur")</f>
        <v>@Wakapoldur</v>
      </c>
      <c r="C2359" s="8" t="s">
        <v>1293</v>
      </c>
      <c r="D2359" s="8">
        <v>0</v>
      </c>
      <c r="E2359" s="8">
        <v>0</v>
      </c>
      <c r="F2359" s="8">
        <v>2277</v>
      </c>
    </row>
    <row r="2360" spans="1:6" ht="12.75">
      <c r="A2360" s="8">
        <v>43904.240243055552</v>
      </c>
      <c r="B2360" s="8" t="str">
        <f>HYPERLINK("https://twitter.com/Selpunca","@Selpunca")</f>
        <v>@Selpunca</v>
      </c>
      <c r="C2360" s="8" t="s">
        <v>1294</v>
      </c>
      <c r="D2360" s="8">
        <v>0</v>
      </c>
      <c r="E2360" s="8">
        <v>0</v>
      </c>
      <c r="F2360" s="8">
        <v>317</v>
      </c>
    </row>
    <row r="2361" spans="1:6" ht="12.75">
      <c r="A2361" s="8">
        <v>43904.240127314813</v>
      </c>
      <c r="B2361" s="8" t="str">
        <f>HYPERLINK("https://twitter.com/agoezzt","@agoezzt")</f>
        <v>@agoezzt</v>
      </c>
      <c r="C2361" s="8" t="s">
        <v>1295</v>
      </c>
      <c r="D2361" s="8">
        <v>0</v>
      </c>
      <c r="E2361" s="8">
        <v>0</v>
      </c>
      <c r="F2361" s="8">
        <v>63</v>
      </c>
    </row>
    <row r="2362" spans="1:6" ht="12.75">
      <c r="A2362" s="8">
        <v>43904.239884259259</v>
      </c>
      <c r="B2362" s="8" t="str">
        <f>HYPERLINK("https://twitter.com/TawakalBack","@TawakalBack")</f>
        <v>@TawakalBack</v>
      </c>
      <c r="C2362" s="8" t="s">
        <v>1296</v>
      </c>
      <c r="D2362" s="8">
        <v>0</v>
      </c>
      <c r="E2362" s="8">
        <v>1</v>
      </c>
      <c r="F2362" s="8">
        <v>697</v>
      </c>
    </row>
    <row r="2363" spans="1:6" ht="12.75">
      <c r="A2363" s="8">
        <v>43904.239502314813</v>
      </c>
      <c r="B2363" s="8" t="str">
        <f>HYPERLINK("https://twitter.com/swandywidjaja06","@swandywidjaja06")</f>
        <v>@swandywidjaja06</v>
      </c>
      <c r="C2363" s="8" t="s">
        <v>353</v>
      </c>
      <c r="D2363" s="8">
        <v>135</v>
      </c>
      <c r="E2363" s="8">
        <v>0</v>
      </c>
      <c r="F2363" s="8">
        <v>263</v>
      </c>
    </row>
    <row r="2364" spans="1:6" ht="12.75">
      <c r="A2364" s="8">
        <v>43904.237685185188</v>
      </c>
      <c r="B2364" s="8" t="str">
        <f>HYPERLINK("https://twitter.com/kusnida_iman","@kusnida_iman")</f>
        <v>@kusnida_iman</v>
      </c>
      <c r="C2364" s="8" t="s">
        <v>289</v>
      </c>
      <c r="D2364" s="8">
        <v>146</v>
      </c>
      <c r="E2364" s="8">
        <v>0</v>
      </c>
      <c r="F2364" s="8">
        <v>1319</v>
      </c>
    </row>
    <row r="2365" spans="1:6" ht="12.75">
      <c r="A2365" s="8">
        <v>43904.236145833333</v>
      </c>
      <c r="B2365" s="8" t="str">
        <f>HYPERLINK("https://twitter.com/hanybetro","@hanybetro")</f>
        <v>@hanybetro</v>
      </c>
      <c r="C2365" s="8" t="s">
        <v>1297</v>
      </c>
      <c r="D2365" s="8">
        <v>0</v>
      </c>
      <c r="E2365" s="8">
        <v>3</v>
      </c>
      <c r="F2365" s="8">
        <v>353</v>
      </c>
    </row>
    <row r="2366" spans="1:6" ht="12.75">
      <c r="A2366" s="8">
        <v>43904.234895833331</v>
      </c>
      <c r="B2366" s="8" t="str">
        <f>HYPERLINK("https://twitter.com/Kamarampasan","@Kamarampasan")</f>
        <v>@Kamarampasan</v>
      </c>
      <c r="C2366" s="8" t="s">
        <v>289</v>
      </c>
      <c r="D2366" s="8">
        <v>146</v>
      </c>
      <c r="E2366" s="8">
        <v>0</v>
      </c>
      <c r="F2366" s="8">
        <v>204</v>
      </c>
    </row>
    <row r="2367" spans="1:6" ht="12.75">
      <c r="A2367" s="8">
        <v>43904.233113425929</v>
      </c>
      <c r="B2367" s="8" t="str">
        <f>HYPERLINK("https://twitter.com/Hajan_rofiq","@Hajan_rofiq")</f>
        <v>@Hajan_rofiq</v>
      </c>
      <c r="C2367" s="8" t="s">
        <v>1298</v>
      </c>
      <c r="D2367" s="8">
        <v>0</v>
      </c>
      <c r="E2367" s="8">
        <v>1</v>
      </c>
      <c r="F2367" s="8">
        <v>375</v>
      </c>
    </row>
    <row r="2368" spans="1:6" ht="12.75">
      <c r="A2368" s="8">
        <v>43904.232708333337</v>
      </c>
      <c r="B2368" s="8" t="str">
        <f>HYPERLINK("https://twitter.com/monster_jnr","@monster_jnr")</f>
        <v>@monster_jnr</v>
      </c>
      <c r="C2368" s="8" t="s">
        <v>1299</v>
      </c>
      <c r="D2368" s="8">
        <v>1</v>
      </c>
      <c r="E2368" s="8">
        <v>0</v>
      </c>
      <c r="F2368" s="8">
        <v>58</v>
      </c>
    </row>
    <row r="2369" spans="1:6" ht="12.75">
      <c r="A2369" s="8">
        <v>43904.231851851851</v>
      </c>
      <c r="B2369" s="8" t="str">
        <f>HYPERLINK("https://twitter.com/me_zhu__Yusra","@me_zhu__Yusra")</f>
        <v>@me_zhu__Yusra</v>
      </c>
      <c r="C2369" s="8" t="s">
        <v>1300</v>
      </c>
      <c r="D2369" s="8">
        <v>0</v>
      </c>
      <c r="E2369" s="8">
        <v>0</v>
      </c>
      <c r="F2369" s="8">
        <v>3279</v>
      </c>
    </row>
    <row r="2370" spans="1:6" ht="12.75">
      <c r="A2370" s="8">
        <v>43904.230983796297</v>
      </c>
      <c r="B2370" s="8" t="str">
        <f>HYPERLINK("https://twitter.com/undertuscansky","@undertuscansky")</f>
        <v>@undertuscansky</v>
      </c>
      <c r="C2370" s="8" t="s">
        <v>1301</v>
      </c>
      <c r="D2370" s="8">
        <v>0</v>
      </c>
      <c r="E2370" s="8">
        <v>0</v>
      </c>
      <c r="F2370" s="8">
        <v>391</v>
      </c>
    </row>
    <row r="2371" spans="1:6" ht="12.75">
      <c r="A2371" s="8">
        <v>43904.230405092589</v>
      </c>
      <c r="B2371" s="8" t="str">
        <f>HYPERLINK("https://twitter.com/AgusSup39011241","@AgusSup39011241")</f>
        <v>@AgusSup39011241</v>
      </c>
      <c r="C2371" s="8" t="s">
        <v>1302</v>
      </c>
      <c r="D2371" s="8">
        <v>7</v>
      </c>
      <c r="E2371" s="8">
        <v>0</v>
      </c>
      <c r="F2371" s="8">
        <v>10470</v>
      </c>
    </row>
    <row r="2372" spans="1:6" ht="12.75">
      <c r="A2372" s="8">
        <v>43904.229745370365</v>
      </c>
      <c r="B2372" s="8" t="str">
        <f>HYPERLINK("https://twitter.com/DARMOGATY","@DARMOGATY")</f>
        <v>@DARMOGATY</v>
      </c>
      <c r="C2372" s="8" t="s">
        <v>353</v>
      </c>
      <c r="D2372" s="8">
        <v>135</v>
      </c>
      <c r="E2372" s="8">
        <v>0</v>
      </c>
      <c r="F2372" s="8">
        <v>1463</v>
      </c>
    </row>
    <row r="2373" spans="1:6" ht="12.75">
      <c r="A2373" s="8">
        <v>43904.229687500003</v>
      </c>
      <c r="B2373" s="8" t="str">
        <f>HYPERLINK("https://twitter.com/3082Ardian","@3082Ardian")</f>
        <v>@3082Ardian</v>
      </c>
      <c r="C2373" s="8" t="s">
        <v>353</v>
      </c>
      <c r="D2373" s="8">
        <v>135</v>
      </c>
      <c r="E2373" s="8">
        <v>0</v>
      </c>
      <c r="F2373" s="8">
        <v>23</v>
      </c>
    </row>
    <row r="2374" spans="1:6" ht="12.75">
      <c r="A2374" s="8">
        <v>43904.229513888888</v>
      </c>
      <c r="B2374" s="8" t="str">
        <f>HYPERLINK("https://twitter.com/ameyk12","@ameyk12")</f>
        <v>@ameyk12</v>
      </c>
      <c r="C2374" s="8" t="s">
        <v>1303</v>
      </c>
      <c r="D2374" s="8">
        <v>0</v>
      </c>
      <c r="E2374" s="8">
        <v>1</v>
      </c>
      <c r="F2374" s="8">
        <v>38</v>
      </c>
    </row>
    <row r="2375" spans="1:6" ht="12.75">
      <c r="A2375" s="8">
        <v>43904.227418981478</v>
      </c>
      <c r="B2375" s="8" t="str">
        <f>HYPERLINK("https://twitter.com/Widjaya198","@Widjaya198")</f>
        <v>@Widjaya198</v>
      </c>
      <c r="C2375" s="8" t="s">
        <v>1304</v>
      </c>
      <c r="D2375" s="8">
        <v>22</v>
      </c>
      <c r="E2375" s="8">
        <v>0</v>
      </c>
      <c r="F2375" s="8">
        <v>5</v>
      </c>
    </row>
    <row r="2376" spans="1:6" ht="12.75">
      <c r="A2376" s="8">
        <v>43904.227349537032</v>
      </c>
      <c r="B2376" s="8" t="str">
        <f>HYPERLINK("https://twitter.com/malanmudi","@malanmudi")</f>
        <v>@malanmudi</v>
      </c>
      <c r="C2376" s="8" t="s">
        <v>1305</v>
      </c>
      <c r="D2376" s="8">
        <v>1</v>
      </c>
      <c r="E2376" s="8">
        <v>1</v>
      </c>
      <c r="F2376" s="8">
        <v>832</v>
      </c>
    </row>
    <row r="2377" spans="1:6" ht="12.75">
      <c r="A2377" s="8">
        <v>43904.224699074075</v>
      </c>
      <c r="B2377" s="8" t="str">
        <f>HYPERLINK("https://twitter.com/radixwp","@radixwp")</f>
        <v>@radixwp</v>
      </c>
      <c r="C2377" s="8" t="s">
        <v>1306</v>
      </c>
      <c r="D2377" s="8">
        <v>0</v>
      </c>
      <c r="E2377" s="8">
        <v>0</v>
      </c>
      <c r="F2377" s="8">
        <v>8</v>
      </c>
    </row>
    <row r="2378" spans="1:6" ht="12.75">
      <c r="A2378" s="8">
        <v>43904.224444444444</v>
      </c>
      <c r="B2378" s="8" t="str">
        <f>HYPERLINK("https://twitter.com/adamnmbahdukun","@adamnmbahdukun")</f>
        <v>@adamnmbahdukun</v>
      </c>
      <c r="C2378" s="8" t="s">
        <v>1307</v>
      </c>
      <c r="D2378" s="8">
        <v>0</v>
      </c>
      <c r="E2378" s="8">
        <v>0</v>
      </c>
      <c r="F2378" s="8">
        <v>415</v>
      </c>
    </row>
    <row r="2379" spans="1:6" ht="12.75">
      <c r="A2379" s="8">
        <v>43904.22274305555</v>
      </c>
      <c r="B2379" s="8" t="str">
        <f>HYPERLINK("https://twitter.com/redaksidetail","@redaksidetail")</f>
        <v>@redaksidetail</v>
      </c>
      <c r="C2379" s="8" t="s">
        <v>1308</v>
      </c>
      <c r="D2379" s="8">
        <v>0</v>
      </c>
      <c r="E2379" s="8">
        <v>0</v>
      </c>
      <c r="F2379" s="8">
        <v>7</v>
      </c>
    </row>
    <row r="2380" spans="1:6" ht="12.75">
      <c r="A2380" s="8">
        <v>43904.222534722227</v>
      </c>
      <c r="B2380" s="8" t="str">
        <f>HYPERLINK("https://twitter.com/bud1_f1","@bud1_f1")</f>
        <v>@bud1_f1</v>
      </c>
      <c r="C2380" s="8" t="s">
        <v>289</v>
      </c>
      <c r="D2380" s="8">
        <v>146</v>
      </c>
      <c r="E2380" s="8">
        <v>0</v>
      </c>
      <c r="F2380" s="8">
        <v>1812</v>
      </c>
    </row>
    <row r="2381" spans="1:6" ht="12.75">
      <c r="A2381" s="8">
        <v>43904.222164351857</v>
      </c>
      <c r="B2381" s="8" t="str">
        <f>HYPERLINK("https://twitter.com/KhoNa71","@KhoNa71")</f>
        <v>@KhoNa71</v>
      </c>
      <c r="C2381" s="8" t="s">
        <v>1195</v>
      </c>
      <c r="D2381" s="8">
        <v>2641</v>
      </c>
      <c r="E2381" s="8">
        <v>0</v>
      </c>
      <c r="F2381" s="8">
        <v>57</v>
      </c>
    </row>
    <row r="2382" spans="1:6" ht="12.75">
      <c r="A2382" s="8">
        <v>43904.220185185186</v>
      </c>
      <c r="B2382" s="8" t="str">
        <f>HYPERLINK("https://twitter.com/syam2s","@syam2s")</f>
        <v>@syam2s</v>
      </c>
      <c r="C2382" s="8" t="s">
        <v>1309</v>
      </c>
      <c r="D2382" s="8">
        <v>1</v>
      </c>
      <c r="E2382" s="8">
        <v>0</v>
      </c>
      <c r="F2382" s="8">
        <v>814</v>
      </c>
    </row>
    <row r="2383" spans="1:6" ht="12.75">
      <c r="A2383" s="8">
        <v>43904.21980324074</v>
      </c>
      <c r="B2383" s="8" t="str">
        <f>HYPERLINK("https://twitter.com/ovick2000","@ovick2000")</f>
        <v>@ovick2000</v>
      </c>
      <c r="C2383" s="8" t="s">
        <v>874</v>
      </c>
      <c r="D2383" s="8">
        <v>74</v>
      </c>
      <c r="E2383" s="8">
        <v>0</v>
      </c>
      <c r="F2383" s="8">
        <v>1451</v>
      </c>
    </row>
    <row r="2384" spans="1:6" ht="12.75">
      <c r="A2384" s="8">
        <v>43904.219652777778</v>
      </c>
      <c r="B2384" s="8" t="str">
        <f>HYPERLINK("https://twitter.com/PradiptaArya4","@PradiptaArya4")</f>
        <v>@PradiptaArya4</v>
      </c>
      <c r="C2384" s="8" t="s">
        <v>289</v>
      </c>
      <c r="D2384" s="8">
        <v>146</v>
      </c>
      <c r="E2384" s="8">
        <v>0</v>
      </c>
      <c r="F2384" s="8">
        <v>2590</v>
      </c>
    </row>
    <row r="2385" spans="1:6" ht="12.75">
      <c r="A2385" s="8">
        <v>43904.219641203701</v>
      </c>
      <c r="B2385" s="8" t="str">
        <f>HYPERLINK("https://twitter.com/meikhaefghijklm","@meikhaefghijklm")</f>
        <v>@meikhaefghijklm</v>
      </c>
      <c r="C2385" s="8" t="s">
        <v>1310</v>
      </c>
      <c r="D2385" s="8">
        <v>0</v>
      </c>
      <c r="E2385" s="8">
        <v>0</v>
      </c>
      <c r="F2385" s="8">
        <v>32</v>
      </c>
    </row>
    <row r="2386" spans="1:6" ht="12.75">
      <c r="A2386" s="8">
        <v>43904.218993055554</v>
      </c>
      <c r="B2386" s="8" t="str">
        <f>HYPERLINK("https://twitter.com/SugiMauk","@SugiMauk")</f>
        <v>@SugiMauk</v>
      </c>
      <c r="C2386" s="8" t="s">
        <v>289</v>
      </c>
      <c r="D2386" s="8">
        <v>146</v>
      </c>
      <c r="E2386" s="8">
        <v>0</v>
      </c>
      <c r="F2386" s="8">
        <v>1568</v>
      </c>
    </row>
    <row r="2387" spans="1:6" ht="12.75">
      <c r="A2387" s="8">
        <v>43904.21837962963</v>
      </c>
      <c r="B2387" s="8" t="str">
        <f>HYPERLINK("https://twitter.com/ugisugiharto","@ugisugiharto")</f>
        <v>@ugisugiharto</v>
      </c>
      <c r="C2387" s="8" t="s">
        <v>289</v>
      </c>
      <c r="D2387" s="8">
        <v>146</v>
      </c>
      <c r="E2387" s="8">
        <v>0</v>
      </c>
      <c r="F2387" s="8">
        <v>3622</v>
      </c>
    </row>
    <row r="2388" spans="1:6" ht="12.75">
      <c r="A2388" s="8">
        <v>43904.218182870369</v>
      </c>
      <c r="B2388" s="8" t="str">
        <f>HYPERLINK("https://twitter.com/ilmalsatriani","@ilmalsatriani")</f>
        <v>@ilmalsatriani</v>
      </c>
      <c r="C2388" s="8" t="s">
        <v>1184</v>
      </c>
      <c r="D2388" s="8">
        <v>2</v>
      </c>
      <c r="E2388" s="8">
        <v>0</v>
      </c>
      <c r="F2388" s="8">
        <v>158</v>
      </c>
    </row>
    <row r="2389" spans="1:6" ht="12.75">
      <c r="A2389" s="8">
        <v>43904.217708333337</v>
      </c>
      <c r="B2389" s="8" t="str">
        <f>HYPERLINK("https://twitter.com/KikaOyes","@KikaOyes")</f>
        <v>@KikaOyes</v>
      </c>
      <c r="C2389" s="8" t="s">
        <v>1311</v>
      </c>
      <c r="D2389" s="8">
        <v>0</v>
      </c>
      <c r="E2389" s="8">
        <v>0</v>
      </c>
      <c r="F2389" s="8">
        <v>621</v>
      </c>
    </row>
    <row r="2390" spans="1:6" ht="12.75">
      <c r="A2390" s="8">
        <v>43904.217650462961</v>
      </c>
      <c r="B2390" s="8" t="str">
        <f>HYPERLINK("https://twitter.com/upelienta_sss","@upelienta_sss")</f>
        <v>@upelienta_sss</v>
      </c>
      <c r="C2390" s="8" t="s">
        <v>1312</v>
      </c>
      <c r="D2390" s="8">
        <v>0</v>
      </c>
      <c r="E2390" s="8">
        <v>3</v>
      </c>
      <c r="F2390" s="8">
        <v>13513</v>
      </c>
    </row>
    <row r="2391" spans="1:6" ht="12.75">
      <c r="A2391" s="8">
        <v>43904.217233796298</v>
      </c>
      <c r="B2391" s="8" t="str">
        <f>HYPERLINK("https://twitter.com/kendisdolong1","@kendisdolong1")</f>
        <v>@kendisdolong1</v>
      </c>
      <c r="C2391" s="8" t="s">
        <v>289</v>
      </c>
      <c r="D2391" s="8">
        <v>146</v>
      </c>
      <c r="E2391" s="8">
        <v>0</v>
      </c>
      <c r="F2391" s="8">
        <v>3227</v>
      </c>
    </row>
    <row r="2392" spans="1:6" ht="12.75">
      <c r="A2392" s="8">
        <v>43904.214606481481</v>
      </c>
      <c r="B2392" s="8" t="str">
        <f>HYPERLINK("https://twitter.com/CintaPoisonivy","@CintaPoisonivy")</f>
        <v>@CintaPoisonivy</v>
      </c>
      <c r="C2392" s="8" t="s">
        <v>1313</v>
      </c>
      <c r="D2392" s="8">
        <v>0</v>
      </c>
      <c r="E2392" s="8">
        <v>0</v>
      </c>
      <c r="F2392" s="8">
        <v>422</v>
      </c>
    </row>
    <row r="2393" spans="1:6" ht="12.75">
      <c r="A2393" s="8">
        <v>43904.214120370365</v>
      </c>
      <c r="B2393" s="8" t="str">
        <f>HYPERLINK("https://twitter.com/liber13daniele","@liber13daniele")</f>
        <v>@liber13daniele</v>
      </c>
      <c r="C2393" s="8" t="s">
        <v>1314</v>
      </c>
      <c r="D2393" s="8">
        <v>0</v>
      </c>
      <c r="E2393" s="8">
        <v>0</v>
      </c>
      <c r="F2393" s="8">
        <v>316</v>
      </c>
    </row>
    <row r="2394" spans="1:6" ht="12.75">
      <c r="A2394" s="8">
        <v>43904.212696759263</v>
      </c>
      <c r="B2394" s="8" t="str">
        <f>HYPERLINK("https://twitter.com/mayaraujooc","@mayaraujooc")</f>
        <v>@mayaraujooc</v>
      </c>
      <c r="C2394" s="8" t="s">
        <v>1315</v>
      </c>
      <c r="D2394" s="8">
        <v>0</v>
      </c>
      <c r="E2394" s="8">
        <v>2</v>
      </c>
      <c r="F2394" s="8">
        <v>252</v>
      </c>
    </row>
    <row r="2395" spans="1:6" ht="12.75">
      <c r="A2395" s="8">
        <v>43904.211851851855</v>
      </c>
      <c r="B2395" s="8" t="str">
        <f>HYPERLINK("https://twitter.com/denikov","@denikov")</f>
        <v>@denikov</v>
      </c>
      <c r="C2395" s="8" t="s">
        <v>1316</v>
      </c>
      <c r="D2395" s="8">
        <v>0</v>
      </c>
      <c r="E2395" s="8">
        <v>0</v>
      </c>
      <c r="F2395" s="8">
        <v>3021</v>
      </c>
    </row>
    <row r="2396" spans="1:6" ht="12.75">
      <c r="A2396" s="8">
        <v>43904.20958333333</v>
      </c>
      <c r="B2396" s="8" t="str">
        <f>HYPERLINK("https://twitter.com/bbytrrr","@bbytrrr")</f>
        <v>@bbytrrr</v>
      </c>
      <c r="C2396" s="8" t="s">
        <v>1317</v>
      </c>
      <c r="D2396" s="8">
        <v>0</v>
      </c>
      <c r="E2396" s="8">
        <v>0</v>
      </c>
      <c r="F2396" s="8">
        <v>3</v>
      </c>
    </row>
    <row r="2397" spans="1:6" ht="12.75">
      <c r="A2397" s="8">
        <v>43904.206458333334</v>
      </c>
      <c r="B2397" s="8" t="str">
        <f>HYPERLINK("https://twitter.com/Anam08S","@Anam08S")</f>
        <v>@Anam08S</v>
      </c>
      <c r="C2397" s="8" t="s">
        <v>874</v>
      </c>
      <c r="D2397" s="8">
        <v>72</v>
      </c>
      <c r="E2397" s="8">
        <v>0</v>
      </c>
      <c r="F2397" s="8">
        <v>700</v>
      </c>
    </row>
    <row r="2398" spans="1:6" ht="12.75">
      <c r="A2398" s="8">
        <v>43904.203125</v>
      </c>
      <c r="B2398" s="8" t="str">
        <f>HYPERLINK("https://twitter.com/Sastroklengsre1","@Sastroklengsre1")</f>
        <v>@Sastroklengsre1</v>
      </c>
      <c r="C2398" s="8" t="s">
        <v>874</v>
      </c>
      <c r="D2398" s="8">
        <v>72</v>
      </c>
      <c r="E2398" s="8">
        <v>0</v>
      </c>
      <c r="F2398" s="8">
        <v>3357</v>
      </c>
    </row>
    <row r="2399" spans="1:6" ht="12.75">
      <c r="A2399" s="8">
        <v>43904.201238425929</v>
      </c>
      <c r="B2399" s="8" t="str">
        <f>HYPERLINK("https://twitter.com/aeruyaaa","@aeruyaaa")</f>
        <v>@aeruyaaa</v>
      </c>
      <c r="C2399" s="8" t="s">
        <v>1318</v>
      </c>
      <c r="D2399" s="8">
        <v>23165</v>
      </c>
      <c r="E2399" s="8">
        <v>0</v>
      </c>
      <c r="F2399" s="8">
        <v>5</v>
      </c>
    </row>
    <row r="2400" spans="1:6" ht="12.75">
      <c r="A2400" s="8">
        <v>43904.20107638889</v>
      </c>
      <c r="B2400" s="8" t="str">
        <f>HYPERLINK("https://twitter.com/meikhaefghijklm","@meikhaefghijklm")</f>
        <v>@meikhaefghijklm</v>
      </c>
      <c r="C2400" s="8" t="s">
        <v>1319</v>
      </c>
      <c r="D2400" s="8">
        <v>0</v>
      </c>
      <c r="E2400" s="8">
        <v>0</v>
      </c>
      <c r="F2400" s="8">
        <v>32</v>
      </c>
    </row>
    <row r="2401" spans="1:6" ht="12.75">
      <c r="A2401" s="8">
        <v>43904.200474537036</v>
      </c>
      <c r="B2401" s="8" t="str">
        <f>HYPERLINK("https://twitter.com/germantantra","@germantantra")</f>
        <v>@germantantra</v>
      </c>
      <c r="C2401" s="8" t="s">
        <v>289</v>
      </c>
      <c r="D2401" s="8">
        <v>136</v>
      </c>
      <c r="E2401" s="8">
        <v>0</v>
      </c>
      <c r="F2401" s="8">
        <v>169</v>
      </c>
    </row>
    <row r="2402" spans="1:6" ht="12.75">
      <c r="A2402" s="8">
        <v>43904.198900462958</v>
      </c>
      <c r="B2402" s="8" t="str">
        <f>HYPERLINK("https://twitter.com/kbridenhaag","@kbridenhaag")</f>
        <v>@kbridenhaag</v>
      </c>
      <c r="C2402" s="8" t="s">
        <v>1320</v>
      </c>
      <c r="D2402" s="8">
        <v>0</v>
      </c>
      <c r="E2402" s="8">
        <v>1</v>
      </c>
      <c r="F2402" s="8">
        <v>6091</v>
      </c>
    </row>
    <row r="2403" spans="1:6" ht="12.75">
      <c r="A2403" s="8">
        <v>43904.197951388887</v>
      </c>
      <c r="B2403" s="8" t="str">
        <f>HYPERLINK("https://twitter.com/fchrulfrn","@fchrulfrn")</f>
        <v>@fchrulfrn</v>
      </c>
      <c r="C2403" s="8" t="s">
        <v>1321</v>
      </c>
      <c r="D2403" s="8">
        <v>0</v>
      </c>
      <c r="E2403" s="8">
        <v>0</v>
      </c>
      <c r="F2403" s="8">
        <v>2</v>
      </c>
    </row>
    <row r="2404" spans="1:6" ht="12.75">
      <c r="A2404" s="8">
        <v>43904.19363425926</v>
      </c>
      <c r="B2404" s="8" t="str">
        <f>HYPERLINK("https://twitter.com/MrsRachelIn","@MrsRachelIn")</f>
        <v>@MrsRachelIn</v>
      </c>
      <c r="C2404" s="8" t="s">
        <v>1322</v>
      </c>
      <c r="D2404" s="8">
        <v>0</v>
      </c>
      <c r="E2404" s="8">
        <v>0</v>
      </c>
      <c r="F2404" s="8">
        <v>3573</v>
      </c>
    </row>
    <row r="2405" spans="1:6" ht="12.75">
      <c r="A2405" s="8">
        <v>43904.189988425926</v>
      </c>
      <c r="B2405" s="8" t="str">
        <f>HYPERLINK("https://twitter.com/JakartaStar","@JakartaStar")</f>
        <v>@JakartaStar</v>
      </c>
      <c r="C2405" s="8" t="s">
        <v>1323</v>
      </c>
      <c r="D2405" s="8">
        <v>4</v>
      </c>
      <c r="E2405" s="8">
        <v>0</v>
      </c>
      <c r="F2405" s="8">
        <v>5788</v>
      </c>
    </row>
    <row r="2406" spans="1:6" ht="12.75">
      <c r="A2406" s="8">
        <v>43904.189317129625</v>
      </c>
      <c r="B2406" s="8" t="str">
        <f>HYPERLINK("https://twitter.com/saul_we","@saul_we")</f>
        <v>@saul_we</v>
      </c>
      <c r="C2406" s="8" t="s">
        <v>1323</v>
      </c>
      <c r="D2406" s="8">
        <v>4</v>
      </c>
      <c r="E2406" s="8">
        <v>0</v>
      </c>
      <c r="F2406" s="8">
        <v>1017</v>
      </c>
    </row>
    <row r="2407" spans="1:6" ht="12.75">
      <c r="A2407" s="8">
        <v>43904.187615740739</v>
      </c>
      <c r="B2407" s="8" t="str">
        <f>HYPERLINK("https://twitter.com/anak____desa","@anak____desa")</f>
        <v>@anak____desa</v>
      </c>
      <c r="C2407" s="8" t="s">
        <v>874</v>
      </c>
      <c r="D2407" s="8">
        <v>72</v>
      </c>
      <c r="E2407" s="8">
        <v>0</v>
      </c>
      <c r="F2407" s="8">
        <v>1174</v>
      </c>
    </row>
    <row r="2408" spans="1:6" ht="12.75">
      <c r="A2408" s="8">
        <v>43904.184050925927</v>
      </c>
      <c r="B2408" s="8" t="str">
        <f>HYPERLINK("https://twitter.com/ephraym8","@ephraym8")</f>
        <v>@ephraym8</v>
      </c>
      <c r="C2408" s="8" t="s">
        <v>1068</v>
      </c>
      <c r="D2408" s="8">
        <v>4</v>
      </c>
      <c r="E2408" s="8">
        <v>0</v>
      </c>
      <c r="F2408" s="8">
        <v>1224</v>
      </c>
    </row>
    <row r="2409" spans="1:6" ht="12.75">
      <c r="A2409" s="8">
        <v>43904.182905092588</v>
      </c>
      <c r="B2409" s="8" t="str">
        <f>HYPERLINK("https://twitter.com/Tommy93507168","@Tommy93507168")</f>
        <v>@Tommy93507168</v>
      </c>
      <c r="C2409" s="8" t="s">
        <v>1324</v>
      </c>
      <c r="D2409" s="8">
        <v>0</v>
      </c>
      <c r="E2409" s="8">
        <v>0</v>
      </c>
      <c r="F2409" s="8">
        <v>1264</v>
      </c>
    </row>
    <row r="2410" spans="1:6" ht="12.75">
      <c r="A2410" s="8">
        <v>43904.178749999999</v>
      </c>
      <c r="B2410" s="8" t="str">
        <f>HYPERLINK("https://twitter.com/ranioktaviani92","@ranioktaviani92")</f>
        <v>@ranioktaviani92</v>
      </c>
      <c r="C2410" s="8" t="s">
        <v>1325</v>
      </c>
      <c r="D2410" s="8">
        <v>0</v>
      </c>
      <c r="E2410" s="8">
        <v>0</v>
      </c>
      <c r="F2410" s="8">
        <v>24</v>
      </c>
    </row>
    <row r="2411" spans="1:6" ht="12.75">
      <c r="A2411" s="8">
        <v>43904.176388888889</v>
      </c>
      <c r="B2411" s="8" t="str">
        <f>HYPERLINK("https://twitter.com/ani_nyebar","@ani_nyebar")</f>
        <v>@ani_nyebar</v>
      </c>
      <c r="C2411" s="8" t="s">
        <v>1326</v>
      </c>
      <c r="D2411" s="8">
        <v>0</v>
      </c>
      <c r="E2411" s="8">
        <v>0</v>
      </c>
      <c r="F2411" s="8">
        <v>129</v>
      </c>
    </row>
    <row r="2412" spans="1:6" ht="12.75">
      <c r="A2412" s="8">
        <v>43904.176064814819</v>
      </c>
      <c r="B2412" s="8" t="str">
        <f>HYPERLINK("https://twitter.com/Andrea_AyanamiK","@Andrea_AyanamiK")</f>
        <v>@Andrea_AyanamiK</v>
      </c>
      <c r="C2412" s="8" t="s">
        <v>1327</v>
      </c>
      <c r="D2412" s="8">
        <v>0</v>
      </c>
      <c r="E2412" s="8">
        <v>1</v>
      </c>
      <c r="F2412" s="8">
        <v>894</v>
      </c>
    </row>
    <row r="2413" spans="1:6" ht="12.75">
      <c r="A2413" s="8">
        <v>43904.174988425926</v>
      </c>
      <c r="B2413" s="8" t="str">
        <f>HYPERLINK("https://twitter.com/ini_Alfred_yaa","@ini_Alfred_yaa")</f>
        <v>@ini_Alfred_yaa</v>
      </c>
      <c r="C2413" s="8" t="s">
        <v>874</v>
      </c>
      <c r="D2413" s="8">
        <v>72</v>
      </c>
      <c r="E2413" s="8">
        <v>0</v>
      </c>
      <c r="F2413" s="8">
        <v>326</v>
      </c>
    </row>
    <row r="2414" spans="1:6" ht="12.75">
      <c r="A2414" s="8">
        <v>43904.170671296291</v>
      </c>
      <c r="B2414" s="8" t="str">
        <f>HYPERLINK("https://twitter.com/DramaBrother","@DramaBrother")</f>
        <v>@DramaBrother</v>
      </c>
      <c r="C2414" s="8" t="s">
        <v>237</v>
      </c>
      <c r="D2414" s="8">
        <v>0</v>
      </c>
      <c r="E2414" s="8">
        <v>0</v>
      </c>
      <c r="F2414" s="8">
        <v>165</v>
      </c>
    </row>
    <row r="2415" spans="1:6" ht="12.75">
      <c r="A2415" s="8">
        <v>43904.16988425926</v>
      </c>
      <c r="B2415" s="8" t="str">
        <f>HYPERLINK("https://twitter.com/Caksoll","@Caksoll")</f>
        <v>@Caksoll</v>
      </c>
      <c r="C2415" s="8" t="s">
        <v>868</v>
      </c>
      <c r="D2415" s="8">
        <v>13</v>
      </c>
      <c r="E2415" s="8">
        <v>0</v>
      </c>
      <c r="F2415" s="8">
        <v>839</v>
      </c>
    </row>
    <row r="2416" spans="1:6" ht="12.75">
      <c r="A2416" s="8">
        <v>43904.168657407412</v>
      </c>
      <c r="B2416" s="8" t="str">
        <f>HYPERLINK("https://twitter.com/Brunowicaksono","@Brunowicaksono")</f>
        <v>@Brunowicaksono</v>
      </c>
      <c r="C2416" s="8" t="s">
        <v>289</v>
      </c>
      <c r="D2416" s="8">
        <v>135</v>
      </c>
      <c r="E2416" s="8">
        <v>0</v>
      </c>
      <c r="F2416" s="8">
        <v>1803</v>
      </c>
    </row>
    <row r="2417" spans="1:6" ht="12.75">
      <c r="A2417" s="8">
        <v>43904.168136574073</v>
      </c>
      <c r="B2417" s="8" t="str">
        <f>HYPERLINK("https://twitter.com/bambang_hesti","@bambang_hesti")</f>
        <v>@bambang_hesti</v>
      </c>
      <c r="C2417" s="8" t="s">
        <v>1328</v>
      </c>
      <c r="D2417" s="8">
        <v>0</v>
      </c>
      <c r="E2417" s="8">
        <v>0</v>
      </c>
      <c r="F2417" s="8">
        <v>17</v>
      </c>
    </row>
    <row r="2418" spans="1:6" ht="12.75">
      <c r="A2418" s="8">
        <v>43904.166631944448</v>
      </c>
      <c r="B2418" s="8" t="str">
        <f>HYPERLINK("https://twitter.com/kjri_ny","@kjri_ny")</f>
        <v>@kjri_ny</v>
      </c>
      <c r="C2418" s="8" t="s">
        <v>1329</v>
      </c>
      <c r="D2418" s="8">
        <v>0</v>
      </c>
      <c r="E2418" s="8">
        <v>0</v>
      </c>
      <c r="F2418" s="8">
        <v>2082</v>
      </c>
    </row>
    <row r="2419" spans="1:6" ht="12.75">
      <c r="A2419" s="8">
        <v>43904.165000000001</v>
      </c>
      <c r="B2419" s="8" t="str">
        <f>HYPERLINK("https://twitter.com/kampoengasri","@kampoengasri")</f>
        <v>@kampoengasri</v>
      </c>
      <c r="C2419" s="8" t="s">
        <v>289</v>
      </c>
      <c r="D2419" s="8">
        <v>135</v>
      </c>
      <c r="E2419" s="8">
        <v>0</v>
      </c>
      <c r="F2419" s="8">
        <v>129</v>
      </c>
    </row>
    <row r="2420" spans="1:6" ht="12.75">
      <c r="A2420" s="8">
        <v>43904.164953703701</v>
      </c>
      <c r="B2420" s="8" t="str">
        <f>HYPERLINK("https://twitter.com/pio_durjana","@pio_durjana")</f>
        <v>@pio_durjana</v>
      </c>
      <c r="C2420" s="8" t="s">
        <v>1330</v>
      </c>
      <c r="D2420" s="8">
        <v>0</v>
      </c>
      <c r="E2420" s="8">
        <v>0</v>
      </c>
      <c r="F2420" s="8">
        <v>235</v>
      </c>
    </row>
    <row r="2421" spans="1:6" ht="12.75">
      <c r="A2421" s="8">
        <v>43904.159756944442</v>
      </c>
      <c r="B2421" s="8" t="str">
        <f>HYPERLINK("https://twitter.com/aryahave","@aryahave")</f>
        <v>@aryahave</v>
      </c>
      <c r="C2421" s="8" t="s">
        <v>1331</v>
      </c>
      <c r="D2421" s="8">
        <v>2</v>
      </c>
      <c r="E2421" s="8">
        <v>0</v>
      </c>
      <c r="F2421" s="8">
        <v>315</v>
      </c>
    </row>
    <row r="2422" spans="1:6" ht="12.75">
      <c r="A2422" s="8">
        <v>43904.15623842593</v>
      </c>
      <c r="B2422" s="8" t="str">
        <f>HYPERLINK("https://twitter.com/NanaSuryacandra","@NanaSuryacandra")</f>
        <v>@NanaSuryacandra</v>
      </c>
      <c r="C2422" s="8" t="s">
        <v>1332</v>
      </c>
      <c r="D2422" s="8">
        <v>2</v>
      </c>
      <c r="E2422" s="8">
        <v>0</v>
      </c>
      <c r="F2422" s="8">
        <v>704</v>
      </c>
    </row>
    <row r="2423" spans="1:6" ht="12.75">
      <c r="A2423" s="8">
        <v>43904.154918981483</v>
      </c>
      <c r="B2423" s="8" t="str">
        <f>HYPERLINK("https://twitter.com/PartBurungGalak","@PartBurungGalak")</f>
        <v>@PartBurungGalak</v>
      </c>
      <c r="C2423" s="8" t="s">
        <v>874</v>
      </c>
      <c r="D2423" s="8">
        <v>68</v>
      </c>
      <c r="E2423" s="8">
        <v>0</v>
      </c>
      <c r="F2423" s="8">
        <v>7120</v>
      </c>
    </row>
    <row r="2424" spans="1:6" ht="12.75">
      <c r="A2424" s="8">
        <v>43904.154560185183</v>
      </c>
      <c r="B2424" s="8" t="str">
        <f>HYPERLINK("https://twitter.com/Hussain50664830","@Hussain50664830")</f>
        <v>@Hussain50664830</v>
      </c>
      <c r="C2424" s="8" t="s">
        <v>1333</v>
      </c>
      <c r="D2424" s="8">
        <v>0</v>
      </c>
      <c r="E2424" s="8">
        <v>0</v>
      </c>
      <c r="F2424" s="8">
        <v>106</v>
      </c>
    </row>
    <row r="2425" spans="1:6" ht="12.75">
      <c r="A2425" s="8">
        <v>43904.153078703705</v>
      </c>
      <c r="B2425" s="8" t="str">
        <f>HYPERLINK("https://twitter.com/anhtriyaaw","@anhtriyaaw")</f>
        <v>@anhtriyaaw</v>
      </c>
      <c r="C2425" s="8" t="s">
        <v>983</v>
      </c>
      <c r="D2425" s="8">
        <v>8</v>
      </c>
      <c r="E2425" s="8">
        <v>0</v>
      </c>
      <c r="F2425" s="8">
        <v>266</v>
      </c>
    </row>
    <row r="2426" spans="1:6" ht="12.75">
      <c r="A2426" s="8">
        <v>43904.152754629627</v>
      </c>
      <c r="B2426" s="8" t="str">
        <f>HYPERLINK("https://twitter.com/acacafior","@acacafior")</f>
        <v>@acacafior</v>
      </c>
      <c r="C2426" s="8" t="s">
        <v>289</v>
      </c>
      <c r="D2426" s="8">
        <v>135</v>
      </c>
      <c r="E2426" s="8">
        <v>0</v>
      </c>
      <c r="F2426" s="8">
        <v>2336</v>
      </c>
    </row>
    <row r="2427" spans="1:6" ht="12.75">
      <c r="A2427" s="8">
        <v>43904.148923611108</v>
      </c>
      <c r="B2427" s="8" t="str">
        <f>HYPERLINK("https://twitter.com/ameliaaristiaw","@ameliaaristiaw")</f>
        <v>@ameliaaristiaw</v>
      </c>
      <c r="C2427" s="8" t="s">
        <v>1334</v>
      </c>
      <c r="D2427" s="8">
        <v>0</v>
      </c>
      <c r="E2427" s="8">
        <v>0</v>
      </c>
      <c r="F2427" s="8">
        <v>583</v>
      </c>
    </row>
    <row r="2428" spans="1:6" ht="12.75">
      <c r="A2428" s="8">
        <v>43904.147777777776</v>
      </c>
      <c r="B2428" s="8" t="str">
        <f>HYPERLINK("https://twitter.com/Tat0ne1","@Tat0ne1")</f>
        <v>@Tat0ne1</v>
      </c>
      <c r="C2428" s="8" t="s">
        <v>1195</v>
      </c>
      <c r="D2428" s="8">
        <v>2639</v>
      </c>
      <c r="E2428" s="8">
        <v>0</v>
      </c>
      <c r="F2428" s="8">
        <v>115</v>
      </c>
    </row>
    <row r="2429" spans="1:6" ht="12.75">
      <c r="A2429" s="8">
        <v>43904.146550925929</v>
      </c>
      <c r="B2429" s="8" t="str">
        <f>HYPERLINK("https://twitter.com/KobusKeneng","@KobusKeneng")</f>
        <v>@KobusKeneng</v>
      </c>
      <c r="C2429" s="8" t="s">
        <v>1335</v>
      </c>
      <c r="D2429" s="8">
        <v>0</v>
      </c>
      <c r="E2429" s="8">
        <v>0</v>
      </c>
      <c r="F2429" s="8">
        <v>791</v>
      </c>
    </row>
    <row r="2430" spans="1:6" ht="12.75">
      <c r="A2430" s="8">
        <v>43904.142141203702</v>
      </c>
      <c r="B2430" s="8" t="str">
        <f>HYPERLINK("https://twitter.com/herubadala","@herubadala")</f>
        <v>@herubadala</v>
      </c>
      <c r="C2430" s="8" t="s">
        <v>874</v>
      </c>
      <c r="D2430" s="8">
        <v>68</v>
      </c>
      <c r="E2430" s="8">
        <v>0</v>
      </c>
      <c r="F2430" s="8">
        <v>537</v>
      </c>
    </row>
    <row r="2431" spans="1:6" ht="12.75">
      <c r="A2431" s="8">
        <v>43904.140625</v>
      </c>
      <c r="B2431" s="8" t="str">
        <f>HYPERLINK("https://twitter.com/JakartaStar","@JakartaStar")</f>
        <v>@JakartaStar</v>
      </c>
      <c r="C2431" s="8" t="s">
        <v>868</v>
      </c>
      <c r="D2431" s="8">
        <v>13</v>
      </c>
      <c r="E2431" s="8">
        <v>0</v>
      </c>
      <c r="F2431" s="8">
        <v>5787</v>
      </c>
    </row>
    <row r="2432" spans="1:6" ht="12.75">
      <c r="A2432" s="8">
        <v>43904.138090277775</v>
      </c>
      <c r="B2432" s="8" t="str">
        <f>HYPERLINK("https://twitter.com/B4T_","@B4T_")</f>
        <v>@B4T_</v>
      </c>
      <c r="C2432" s="8" t="s">
        <v>1336</v>
      </c>
      <c r="D2432" s="8">
        <v>0</v>
      </c>
      <c r="E2432" s="8">
        <v>0</v>
      </c>
      <c r="F2432" s="8">
        <v>7</v>
      </c>
    </row>
    <row r="2433" spans="1:6" ht="12.75">
      <c r="A2433" s="8">
        <v>43904.134340277778</v>
      </c>
      <c r="B2433" s="8" t="str">
        <f>HYPERLINK("https://twitter.com/topinfo_id","@topinfo_id")</f>
        <v>@topinfo_id</v>
      </c>
      <c r="C2433" s="8" t="s">
        <v>1337</v>
      </c>
      <c r="D2433" s="8">
        <v>0</v>
      </c>
      <c r="E2433" s="8">
        <v>0</v>
      </c>
      <c r="F2433" s="8">
        <v>109</v>
      </c>
    </row>
    <row r="2434" spans="1:6" ht="12.75">
      <c r="A2434" s="8">
        <v>43904.129247685181</v>
      </c>
      <c r="B2434" s="8" t="str">
        <f>HYPERLINK("https://twitter.com/IamYogas","@IamYogas")</f>
        <v>@IamYogas</v>
      </c>
      <c r="C2434" s="8" t="s">
        <v>925</v>
      </c>
      <c r="D2434" s="8">
        <v>182</v>
      </c>
      <c r="E2434" s="8">
        <v>0</v>
      </c>
      <c r="F2434" s="8">
        <v>269</v>
      </c>
    </row>
    <row r="2435" spans="1:6" ht="12.75">
      <c r="A2435" s="8">
        <v>43904.128495370373</v>
      </c>
      <c r="B2435" s="8" t="str">
        <f>HYPERLINK("https://twitter.com/MustofaAri463","@MustofaAri463")</f>
        <v>@MustofaAri463</v>
      </c>
      <c r="C2435" s="8" t="s">
        <v>1338</v>
      </c>
      <c r="D2435" s="8">
        <v>0</v>
      </c>
      <c r="E2435" s="8">
        <v>0</v>
      </c>
      <c r="F2435" s="8">
        <v>2</v>
      </c>
    </row>
    <row r="2436" spans="1:6" ht="12.75">
      <c r="A2436" s="8">
        <v>43904.127951388888</v>
      </c>
      <c r="B2436" s="8" t="str">
        <f>HYPERLINK("https://twitter.com/BewilderedArab","@BewilderedArab")</f>
        <v>@BewilderedArab</v>
      </c>
      <c r="C2436" s="8" t="s">
        <v>302</v>
      </c>
      <c r="D2436" s="8">
        <v>11</v>
      </c>
      <c r="E2436" s="8">
        <v>0</v>
      </c>
      <c r="F2436" s="8">
        <v>240</v>
      </c>
    </row>
    <row r="2437" spans="1:6" ht="12.75">
      <c r="A2437" s="8">
        <v>43904.126435185186</v>
      </c>
      <c r="B2437" s="8" t="str">
        <f>HYPERLINK("https://twitter.com/didiwrahmadi","@didiwrahmadi")</f>
        <v>@didiwrahmadi</v>
      </c>
      <c r="C2437" s="8" t="s">
        <v>874</v>
      </c>
      <c r="D2437" s="8">
        <v>66</v>
      </c>
      <c r="E2437" s="8">
        <v>0</v>
      </c>
      <c r="F2437" s="8">
        <v>312</v>
      </c>
    </row>
    <row r="2438" spans="1:6" ht="12.75">
      <c r="A2438" s="8">
        <v>43904.125034722223</v>
      </c>
      <c r="B2438" s="8" t="str">
        <f>HYPERLINK("https://twitter.com/ramespaulus","@ramespaulus")</f>
        <v>@ramespaulus</v>
      </c>
      <c r="C2438" s="8" t="s">
        <v>1339</v>
      </c>
      <c r="D2438" s="8">
        <v>0</v>
      </c>
      <c r="E2438" s="8">
        <v>0</v>
      </c>
      <c r="F2438" s="8">
        <v>843</v>
      </c>
    </row>
    <row r="2439" spans="1:6" ht="12.75">
      <c r="A2439" s="8">
        <v>43904.122546296298</v>
      </c>
      <c r="B2439" s="8" t="str">
        <f>HYPERLINK("https://twitter.com/fynda_afandi","@fynda_afandi")</f>
        <v>@fynda_afandi</v>
      </c>
      <c r="C2439" s="8" t="s">
        <v>1340</v>
      </c>
      <c r="D2439" s="8">
        <v>12</v>
      </c>
      <c r="E2439" s="8">
        <v>0</v>
      </c>
      <c r="F2439" s="8">
        <v>601</v>
      </c>
    </row>
    <row r="2440" spans="1:6" ht="12.75">
      <c r="A2440" s="8">
        <v>43904.119537037041</v>
      </c>
      <c r="B2440" s="8" t="str">
        <f>HYPERLINK("https://twitter.com/cahaya_nuh","@cahaya_nuh")</f>
        <v>@cahaya_nuh</v>
      </c>
      <c r="C2440" s="8" t="s">
        <v>1148</v>
      </c>
      <c r="D2440" s="8">
        <v>28</v>
      </c>
      <c r="E2440" s="8">
        <v>0</v>
      </c>
      <c r="F2440" s="8">
        <v>393</v>
      </c>
    </row>
    <row r="2441" spans="1:6" ht="12.75">
      <c r="A2441" s="8">
        <v>43904.11881944444</v>
      </c>
      <c r="B2441" s="8" t="str">
        <f>HYPERLINK("https://twitter.com/kenpatel","@kenpatel")</f>
        <v>@kenpatel</v>
      </c>
      <c r="C2441" s="8" t="s">
        <v>1195</v>
      </c>
      <c r="D2441" s="8">
        <v>2639</v>
      </c>
      <c r="E2441" s="8">
        <v>0</v>
      </c>
      <c r="F2441" s="8">
        <v>101</v>
      </c>
    </row>
    <row r="2442" spans="1:6" ht="12.75">
      <c r="A2442" s="8">
        <v>43904.118449074071</v>
      </c>
      <c r="B2442" s="8" t="str">
        <f>HYPERLINK("https://twitter.com/Kenzu_KPTB","@Kenzu_KPTB")</f>
        <v>@Kenzu_KPTB</v>
      </c>
      <c r="C2442" s="8" t="s">
        <v>353</v>
      </c>
      <c r="D2442" s="8">
        <v>130</v>
      </c>
      <c r="E2442" s="8">
        <v>0</v>
      </c>
      <c r="F2442" s="8">
        <v>1931</v>
      </c>
    </row>
    <row r="2443" spans="1:6" ht="12.75">
      <c r="A2443" s="8">
        <v>43904.118437500001</v>
      </c>
      <c r="B2443" s="8" t="str">
        <f>HYPERLINK("https://twitter.com/B4T_","@B4T_")</f>
        <v>@B4T_</v>
      </c>
      <c r="C2443" s="8" t="s">
        <v>1336</v>
      </c>
      <c r="D2443" s="8">
        <v>0</v>
      </c>
      <c r="E2443" s="8">
        <v>0</v>
      </c>
      <c r="F2443" s="8">
        <v>7</v>
      </c>
    </row>
    <row r="2444" spans="1:6" ht="12.75">
      <c r="A2444" s="8">
        <v>43904.114444444444</v>
      </c>
      <c r="B2444" s="8" t="str">
        <f>HYPERLINK("https://twitter.com/KBRI_Brasilia","@KBRI_Brasilia")</f>
        <v>@KBRI_Brasilia</v>
      </c>
      <c r="C2444" s="8" t="s">
        <v>1341</v>
      </c>
      <c r="D2444" s="8">
        <v>0</v>
      </c>
      <c r="E2444" s="8">
        <v>0</v>
      </c>
      <c r="F2444" s="8">
        <v>952</v>
      </c>
    </row>
    <row r="2445" spans="1:6" ht="12.75">
      <c r="A2445" s="8">
        <v>43904.113842592589</v>
      </c>
      <c r="B2445" s="8" t="str">
        <f>HYPERLINK("https://twitter.com/Amirmasoom131","@Amirmasoom131")</f>
        <v>@Amirmasoom131</v>
      </c>
      <c r="C2445" s="8" t="s">
        <v>1342</v>
      </c>
      <c r="D2445" s="8">
        <v>0</v>
      </c>
      <c r="E2445" s="8">
        <v>2</v>
      </c>
      <c r="F2445" s="8">
        <v>732</v>
      </c>
    </row>
    <row r="2446" spans="1:6" ht="12.75">
      <c r="A2446" s="8">
        <v>43904.102604166663</v>
      </c>
      <c r="B2446" s="8" t="str">
        <f>HYPERLINK("https://twitter.com/ryansamudra67","@ryansamudra67")</f>
        <v>@ryansamudra67</v>
      </c>
      <c r="C2446" s="8" t="s">
        <v>1343</v>
      </c>
      <c r="D2446" s="8">
        <v>22</v>
      </c>
      <c r="E2446" s="8">
        <v>0</v>
      </c>
      <c r="F2446" s="8">
        <v>2</v>
      </c>
    </row>
    <row r="2447" spans="1:6" ht="12.75">
      <c r="A2447" s="8">
        <v>43904.100462962961</v>
      </c>
      <c r="B2447" s="8" t="str">
        <f>HYPERLINK("https://twitter.com/vijrao918","@vijrao918")</f>
        <v>@vijrao918</v>
      </c>
      <c r="C2447" s="8" t="s">
        <v>1195</v>
      </c>
      <c r="D2447" s="8">
        <v>2639</v>
      </c>
      <c r="E2447" s="8">
        <v>0</v>
      </c>
      <c r="F2447" s="8">
        <v>157</v>
      </c>
    </row>
    <row r="2448" spans="1:6" ht="12.75">
      <c r="A2448" s="8">
        <v>43904.100150462968</v>
      </c>
      <c r="B2448" s="8" t="str">
        <f>HYPERLINK("https://twitter.com/fynda_afandi","@fynda_afandi")</f>
        <v>@fynda_afandi</v>
      </c>
      <c r="C2448" s="8" t="s">
        <v>1344</v>
      </c>
      <c r="D2448" s="8">
        <v>56</v>
      </c>
      <c r="E2448" s="8">
        <v>0</v>
      </c>
      <c r="F2448" s="8">
        <v>601</v>
      </c>
    </row>
    <row r="2449" spans="1:6" ht="12.75">
      <c r="A2449" s="8">
        <v>43904.093287037038</v>
      </c>
      <c r="B2449" s="8" t="str">
        <f>HYPERLINK("https://twitter.com/saf_ou812","@saf_ou812")</f>
        <v>@saf_ou812</v>
      </c>
      <c r="C2449" s="8" t="s">
        <v>1345</v>
      </c>
      <c r="D2449" s="8">
        <v>0</v>
      </c>
      <c r="E2449" s="8">
        <v>0</v>
      </c>
      <c r="F2449" s="8">
        <v>8</v>
      </c>
    </row>
    <row r="2450" spans="1:6" ht="12.75">
      <c r="A2450" s="8">
        <v>43904.092175925922</v>
      </c>
      <c r="B2450" s="8" t="str">
        <f>HYPERLINK("https://twitter.com/vjavol25","@vjavol25")</f>
        <v>@vjavol25</v>
      </c>
      <c r="C2450" s="8" t="s">
        <v>302</v>
      </c>
      <c r="D2450" s="8">
        <v>11</v>
      </c>
      <c r="E2450" s="8">
        <v>0</v>
      </c>
      <c r="F2450" s="8">
        <v>678</v>
      </c>
    </row>
    <row r="2451" spans="1:6" ht="12.75">
      <c r="A2451" s="8">
        <v>43904.09075231482</v>
      </c>
      <c r="B2451" s="8" t="str">
        <f>HYPERLINK("https://twitter.com/S4N_W1B1","@S4N_W1B1")</f>
        <v>@S4N_W1B1</v>
      </c>
      <c r="C2451" s="8" t="s">
        <v>1346</v>
      </c>
      <c r="D2451" s="8">
        <v>1</v>
      </c>
      <c r="E2451" s="8">
        <v>0</v>
      </c>
      <c r="F2451" s="8">
        <v>5449</v>
      </c>
    </row>
    <row r="2452" spans="1:6" ht="12.75">
      <c r="A2452" s="8">
        <v>43904.089861111112</v>
      </c>
      <c r="B2452" s="8" t="str">
        <f>HYPERLINK("https://twitter.com/ferry_yusrizal","@ferry_yusrizal")</f>
        <v>@ferry_yusrizal</v>
      </c>
      <c r="C2452" s="8" t="s">
        <v>1347</v>
      </c>
      <c r="D2452" s="8">
        <v>0</v>
      </c>
      <c r="E2452" s="8">
        <v>0</v>
      </c>
      <c r="F2452" s="8">
        <v>131</v>
      </c>
    </row>
    <row r="2453" spans="1:6" ht="12.75">
      <c r="A2453" s="8">
        <v>43904.08965277778</v>
      </c>
      <c r="B2453" s="8" t="str">
        <f>HYPERLINK("https://twitter.com/prihatinbanget","@prihatinbanget")</f>
        <v>@prihatinbanget</v>
      </c>
      <c r="C2453" s="8" t="s">
        <v>1102</v>
      </c>
      <c r="D2453" s="8">
        <v>3</v>
      </c>
      <c r="E2453" s="8">
        <v>0</v>
      </c>
      <c r="F2453" s="8">
        <v>77</v>
      </c>
    </row>
    <row r="2454" spans="1:6" ht="12.75">
      <c r="A2454" s="8">
        <v>43904.089571759258</v>
      </c>
      <c r="B2454" s="8" t="str">
        <f>HYPERLINK("https://twitter.com/Sant_Tingwe","@Sant_Tingwe")</f>
        <v>@Sant_Tingwe</v>
      </c>
      <c r="C2454" s="8" t="s">
        <v>289</v>
      </c>
      <c r="D2454" s="8">
        <v>130</v>
      </c>
      <c r="E2454" s="8">
        <v>0</v>
      </c>
      <c r="F2454" s="8">
        <v>3572</v>
      </c>
    </row>
    <row r="2455" spans="1:6" ht="12.75">
      <c r="A2455" s="8">
        <v>43904.087488425925</v>
      </c>
      <c r="B2455" s="8" t="str">
        <f>HYPERLINK("https://twitter.com/KevinBaguio_","@KevinBaguio_")</f>
        <v>@KevinBaguio_</v>
      </c>
      <c r="C2455" s="8" t="s">
        <v>1348</v>
      </c>
      <c r="D2455" s="8">
        <v>0</v>
      </c>
      <c r="E2455" s="8">
        <v>1</v>
      </c>
      <c r="F2455" s="8">
        <v>213</v>
      </c>
    </row>
    <row r="2456" spans="1:6" ht="12.75">
      <c r="A2456" s="8">
        <v>43904.086180555554</v>
      </c>
      <c r="B2456" s="8" t="str">
        <f>HYPERLINK("https://twitter.com/7evenClothes","@7evenClothes")</f>
        <v>@7evenClothes</v>
      </c>
      <c r="C2456" s="8" t="s">
        <v>289</v>
      </c>
      <c r="D2456" s="8">
        <v>130</v>
      </c>
      <c r="E2456" s="8">
        <v>0</v>
      </c>
      <c r="F2456" s="8">
        <v>3251</v>
      </c>
    </row>
    <row r="2457" spans="1:6" ht="12.75">
      <c r="A2457" s="8">
        <v>43904.0855787037</v>
      </c>
      <c r="B2457" s="8" t="str">
        <f>HYPERLINK("https://twitter.com/Beritasatu","@Beritasatu")</f>
        <v>@Beritasatu</v>
      </c>
      <c r="C2457" s="8" t="s">
        <v>1349</v>
      </c>
      <c r="D2457" s="8">
        <v>0</v>
      </c>
      <c r="E2457" s="8">
        <v>0</v>
      </c>
      <c r="F2457" s="8">
        <v>619271</v>
      </c>
    </row>
    <row r="2458" spans="1:6" ht="12.75">
      <c r="A2458" s="8">
        <v>43904.085497685184</v>
      </c>
      <c r="B2458" s="8" t="str">
        <f>HYPERLINK("https://twitter.com/TxtDPR","@TxtDPR")</f>
        <v>@TxtDPR</v>
      </c>
      <c r="C2458" s="8" t="s">
        <v>1350</v>
      </c>
      <c r="D2458" s="8">
        <v>0</v>
      </c>
      <c r="E2458" s="8">
        <v>0</v>
      </c>
      <c r="F2458" s="8">
        <v>134</v>
      </c>
    </row>
    <row r="2459" spans="1:6" ht="12.75">
      <c r="A2459" s="8">
        <v>43904.083738425921</v>
      </c>
      <c r="B2459" s="8" t="str">
        <f>HYPERLINK("https://twitter.com/harihariono1","@harihariono1")</f>
        <v>@harihariono1</v>
      </c>
      <c r="C2459" s="8" t="s">
        <v>925</v>
      </c>
      <c r="D2459" s="8">
        <v>180</v>
      </c>
      <c r="E2459" s="8">
        <v>0</v>
      </c>
      <c r="F2459" s="8">
        <v>9543</v>
      </c>
    </row>
    <row r="2460" spans="1:6" ht="12.75">
      <c r="A2460" s="8">
        <v>43904.078333333338</v>
      </c>
      <c r="B2460" s="8" t="str">
        <f>HYPERLINK("https://twitter.com/fatealism","@fatealism")</f>
        <v>@fatealism</v>
      </c>
      <c r="C2460" s="8" t="s">
        <v>1351</v>
      </c>
      <c r="D2460" s="8">
        <v>0</v>
      </c>
      <c r="E2460" s="8">
        <v>0</v>
      </c>
      <c r="F2460" s="8">
        <v>181</v>
      </c>
    </row>
    <row r="2461" spans="1:6" ht="12.75">
      <c r="A2461" s="8">
        <v>43904.076458333337</v>
      </c>
      <c r="B2461" s="8" t="str">
        <f>HYPERLINK("https://twitter.com/Oetaryo7","@Oetaryo7")</f>
        <v>@Oetaryo7</v>
      </c>
      <c r="C2461" s="8" t="s">
        <v>925</v>
      </c>
      <c r="D2461" s="8">
        <v>180</v>
      </c>
      <c r="E2461" s="8">
        <v>0</v>
      </c>
      <c r="F2461" s="8">
        <v>2213</v>
      </c>
    </row>
    <row r="2462" spans="1:6" ht="12.75">
      <c r="A2462" s="8">
        <v>43904.075486111113</v>
      </c>
      <c r="B2462" s="8" t="str">
        <f>HYPERLINK("https://twitter.com/aldinodimas","@aldinodimas")</f>
        <v>@aldinodimas</v>
      </c>
      <c r="C2462" s="8" t="s">
        <v>874</v>
      </c>
      <c r="D2462" s="8">
        <v>65</v>
      </c>
      <c r="E2462" s="8">
        <v>0</v>
      </c>
      <c r="F2462" s="8">
        <v>459</v>
      </c>
    </row>
    <row r="2463" spans="1:6" ht="12.75">
      <c r="A2463" s="8">
        <v>43904.072685185187</v>
      </c>
      <c r="B2463" s="8" t="str">
        <f>HYPERLINK("https://twitter.com/InaEmbTZ","@InaEmbTZ")</f>
        <v>@InaEmbTZ</v>
      </c>
      <c r="C2463" s="8" t="s">
        <v>1352</v>
      </c>
      <c r="D2463" s="8">
        <v>0</v>
      </c>
      <c r="E2463" s="8">
        <v>0</v>
      </c>
      <c r="F2463" s="8">
        <v>2156</v>
      </c>
    </row>
    <row r="2464" spans="1:6" ht="12.75">
      <c r="A2464" s="8">
        <v>43904.067060185189</v>
      </c>
      <c r="B2464" s="8" t="str">
        <f>HYPERLINK("https://twitter.com/RifckyAL","@RifckyAL")</f>
        <v>@RifckyAL</v>
      </c>
      <c r="C2464" s="8" t="s">
        <v>1102</v>
      </c>
      <c r="D2464" s="8">
        <v>3</v>
      </c>
      <c r="E2464" s="8">
        <v>0</v>
      </c>
      <c r="F2464" s="8">
        <v>785</v>
      </c>
    </row>
    <row r="2465" spans="1:6" ht="12.75">
      <c r="A2465" s="8">
        <v>43904.063263888893</v>
      </c>
      <c r="B2465" s="8" t="str">
        <f>HYPERLINK("https://twitter.com/alkurshfnov","@alkurshfnov")</f>
        <v>@alkurshfnov</v>
      </c>
      <c r="C2465" s="8" t="s">
        <v>1353</v>
      </c>
      <c r="D2465" s="8">
        <v>0</v>
      </c>
      <c r="E2465" s="8">
        <v>0</v>
      </c>
      <c r="F2465" s="8">
        <v>584</v>
      </c>
    </row>
    <row r="2466" spans="1:6" ht="12.75">
      <c r="A2466" s="8">
        <v>43904.062222222223</v>
      </c>
      <c r="B2466" s="8" t="str">
        <f>HYPERLINK("https://twitter.com/antar_kabar","@antar_kabar")</f>
        <v>@antar_kabar</v>
      </c>
      <c r="C2466" s="8" t="s">
        <v>1337</v>
      </c>
      <c r="D2466" s="8">
        <v>0</v>
      </c>
      <c r="E2466" s="8">
        <v>0</v>
      </c>
      <c r="F2466" s="8">
        <v>1127</v>
      </c>
    </row>
    <row r="2467" spans="1:6" ht="12.75">
      <c r="A2467" s="8">
        <v>43904.060613425929</v>
      </c>
      <c r="B2467" s="8" t="str">
        <f>HYPERLINK("https://twitter.com/topinfo_id","@topinfo_id")</f>
        <v>@topinfo_id</v>
      </c>
      <c r="C2467" s="8" t="s">
        <v>1354</v>
      </c>
      <c r="D2467" s="8">
        <v>0</v>
      </c>
      <c r="E2467" s="8">
        <v>0</v>
      </c>
      <c r="F2467" s="8">
        <v>109</v>
      </c>
    </row>
    <row r="2468" spans="1:6" ht="12.75">
      <c r="A2468" s="8">
        <v>43904.060173611113</v>
      </c>
      <c r="B2468" s="8" t="str">
        <f>HYPERLINK("https://twitter.com/Marrvelloo","@Marrvelloo")</f>
        <v>@Marrvelloo</v>
      </c>
      <c r="C2468" s="8" t="s">
        <v>1355</v>
      </c>
      <c r="D2468" s="8">
        <v>0</v>
      </c>
      <c r="E2468" s="8">
        <v>0</v>
      </c>
      <c r="F2468" s="8">
        <v>2</v>
      </c>
    </row>
    <row r="2469" spans="1:6" ht="12.75">
      <c r="A2469" s="8">
        <v>43904.059641203705</v>
      </c>
      <c r="B2469" s="8" t="str">
        <f>HYPERLINK("https://twitter.com/SATSIDD","@SATSIDD")</f>
        <v>@SATSIDD</v>
      </c>
      <c r="C2469" s="8" t="s">
        <v>1195</v>
      </c>
      <c r="D2469" s="8">
        <v>2637</v>
      </c>
      <c r="E2469" s="8">
        <v>0</v>
      </c>
      <c r="F2469" s="8">
        <v>113</v>
      </c>
    </row>
    <row r="2470" spans="1:6" ht="12.75">
      <c r="A2470" s="8">
        <v>43904.051111111112</v>
      </c>
      <c r="B2470" s="8" t="str">
        <f>HYPERLINK("https://twitter.com/ricky4763","@ricky4763")</f>
        <v>@ricky4763</v>
      </c>
      <c r="C2470" s="8" t="s">
        <v>925</v>
      </c>
      <c r="D2470" s="8">
        <v>180</v>
      </c>
      <c r="E2470" s="8">
        <v>0</v>
      </c>
      <c r="F2470" s="8">
        <v>1345</v>
      </c>
    </row>
    <row r="2471" spans="1:6" ht="12.75">
      <c r="A2471" s="8">
        <v>43904.049282407403</v>
      </c>
      <c r="B2471" s="8" t="str">
        <f>HYPERLINK("https://twitter.com/SinagaArmy","@SinagaArmy")</f>
        <v>@SinagaArmy</v>
      </c>
      <c r="C2471" s="8" t="s">
        <v>1356</v>
      </c>
      <c r="D2471" s="8">
        <v>1</v>
      </c>
      <c r="E2471" s="8">
        <v>0</v>
      </c>
      <c r="F2471" s="8">
        <v>2314</v>
      </c>
    </row>
    <row r="2472" spans="1:6" ht="12.75">
      <c r="A2472" s="8">
        <v>43904.047650462962</v>
      </c>
      <c r="B2472" s="8" t="str">
        <f>HYPERLINK("https://twitter.com/mudha_satriya","@mudha_satriya")</f>
        <v>@mudha_satriya</v>
      </c>
      <c r="C2472" s="8" t="s">
        <v>1284</v>
      </c>
      <c r="D2472" s="8">
        <v>7</v>
      </c>
      <c r="E2472" s="8">
        <v>0</v>
      </c>
      <c r="F2472" s="8">
        <v>1887</v>
      </c>
    </row>
    <row r="2473" spans="1:6" ht="12.75">
      <c r="A2473" s="8">
        <v>43904.045543981483</v>
      </c>
      <c r="B2473" s="8" t="str">
        <f>HYPERLINK("https://twitter.com/BryanKi0216","@BryanKi0216")</f>
        <v>@BryanKi0216</v>
      </c>
      <c r="C2473" s="8" t="s">
        <v>1357</v>
      </c>
      <c r="D2473" s="8">
        <v>0</v>
      </c>
      <c r="E2473" s="8">
        <v>0</v>
      </c>
      <c r="F2473" s="8">
        <v>10</v>
      </c>
    </row>
    <row r="2474" spans="1:6" ht="12.75">
      <c r="A2474" s="8">
        <v>43904.045127314814</v>
      </c>
      <c r="B2474" s="8" t="str">
        <f>HYPERLINK("https://twitter.com/mdkoir","@mdkoir")</f>
        <v>@mdkoir</v>
      </c>
      <c r="C2474" s="8" t="s">
        <v>1358</v>
      </c>
      <c r="D2474" s="8">
        <v>21</v>
      </c>
      <c r="E2474" s="8">
        <v>0</v>
      </c>
      <c r="F2474" s="8">
        <v>527</v>
      </c>
    </row>
    <row r="2475" spans="1:6" ht="12.75">
      <c r="A2475" s="8">
        <v>43904.041967592595</v>
      </c>
      <c r="B2475" s="8" t="str">
        <f>HYPERLINK("https://twitter.com/Lisapw","@Lisapw")</f>
        <v>@Lisapw</v>
      </c>
      <c r="C2475" s="8" t="s">
        <v>1318</v>
      </c>
      <c r="D2475" s="8">
        <v>23166</v>
      </c>
      <c r="E2475" s="8">
        <v>0</v>
      </c>
      <c r="F2475" s="8">
        <v>155</v>
      </c>
    </row>
    <row r="2476" spans="1:6" ht="12.75">
      <c r="A2476" s="8">
        <v>43904.041226851856</v>
      </c>
      <c r="B2476" s="8" t="str">
        <f>HYPERLINK("https://twitter.com/Yd_Arielz","@Yd_Arielz")</f>
        <v>@Yd_Arielz</v>
      </c>
      <c r="C2476" s="8" t="s">
        <v>353</v>
      </c>
      <c r="D2476" s="8">
        <v>129</v>
      </c>
      <c r="E2476" s="8">
        <v>0</v>
      </c>
      <c r="F2476" s="8">
        <v>466</v>
      </c>
    </row>
    <row r="2477" spans="1:6" ht="12.75">
      <c r="A2477" s="8">
        <v>43904.037199074075</v>
      </c>
      <c r="B2477" s="8" t="str">
        <f>HYPERLINK("https://twitter.com/ize24cafe","@ize24cafe")</f>
        <v>@ize24cafe</v>
      </c>
      <c r="C2477" s="8" t="s">
        <v>1030</v>
      </c>
      <c r="D2477" s="8">
        <v>206</v>
      </c>
      <c r="E2477" s="8">
        <v>0</v>
      </c>
      <c r="F2477" s="8">
        <v>400</v>
      </c>
    </row>
    <row r="2478" spans="1:6" ht="12.75">
      <c r="A2478" s="8">
        <v>43904.036793981482</v>
      </c>
      <c r="B2478" s="8" t="str">
        <f>HYPERLINK("https://twitter.com/kchua2000","@kchua2000")</f>
        <v>@kchua2000</v>
      </c>
      <c r="C2478" s="8" t="s">
        <v>925</v>
      </c>
      <c r="D2478" s="8">
        <v>177</v>
      </c>
      <c r="E2478" s="8">
        <v>0</v>
      </c>
      <c r="F2478" s="8">
        <v>47</v>
      </c>
    </row>
    <row r="2479" spans="1:6" ht="12.75">
      <c r="A2479" s="8">
        <v>43904.036631944444</v>
      </c>
      <c r="B2479" s="8" t="str">
        <f>HYPERLINK("https://twitter.com/faizalassegaf","@faizalassegaf")</f>
        <v>@faizalassegaf</v>
      </c>
      <c r="C2479" s="8" t="s">
        <v>1359</v>
      </c>
      <c r="D2479" s="8">
        <v>0</v>
      </c>
      <c r="E2479" s="8">
        <v>4</v>
      </c>
      <c r="F2479" s="8">
        <v>52021</v>
      </c>
    </row>
    <row r="2480" spans="1:6" ht="12.75">
      <c r="A2480" s="8">
        <v>43904.035949074074</v>
      </c>
      <c r="B2480" s="8" t="str">
        <f>HYPERLINK("https://twitter.com/AzevedoMylen","@AzevedoMylen")</f>
        <v>@AzevedoMylen</v>
      </c>
      <c r="C2480" s="8" t="s">
        <v>1360</v>
      </c>
      <c r="D2480" s="8">
        <v>0</v>
      </c>
      <c r="E2480" s="8">
        <v>0</v>
      </c>
      <c r="F2480" s="8">
        <v>1421</v>
      </c>
    </row>
    <row r="2481" spans="1:6" ht="12.75">
      <c r="A2481" s="8">
        <v>43904.035578703704</v>
      </c>
      <c r="B2481" s="8" t="str">
        <f>HYPERLINK("https://twitter.com/NandoMagnifico","@NandoMagnifico")</f>
        <v>@NandoMagnifico</v>
      </c>
      <c r="C2481" s="8" t="s">
        <v>925</v>
      </c>
      <c r="D2481" s="8">
        <v>177</v>
      </c>
      <c r="E2481" s="8">
        <v>0</v>
      </c>
      <c r="F2481" s="8">
        <v>220</v>
      </c>
    </row>
    <row r="2482" spans="1:6" ht="12.75">
      <c r="A2482" s="8">
        <v>43904.035162037035</v>
      </c>
      <c r="B2482" s="8" t="str">
        <f>HYPERLINK("https://twitter.com/abyfergiawan21","@abyfergiawan21")</f>
        <v>@abyfergiawan21</v>
      </c>
      <c r="C2482" s="8" t="s">
        <v>587</v>
      </c>
      <c r="D2482" s="8">
        <v>41</v>
      </c>
      <c r="E2482" s="8">
        <v>0</v>
      </c>
      <c r="F2482" s="8">
        <v>106</v>
      </c>
    </row>
    <row r="2483" spans="1:6" ht="12.75">
      <c r="A2483" s="8">
        <v>43904.033217592594</v>
      </c>
      <c r="B2483" s="8" t="str">
        <f>HYPERLINK("https://twitter.com/FaqihMaarif4","@FaqihMaarif4")</f>
        <v>@FaqihMaarif4</v>
      </c>
      <c r="C2483" s="8" t="s">
        <v>1030</v>
      </c>
      <c r="D2483" s="8">
        <v>206</v>
      </c>
      <c r="E2483" s="8">
        <v>0</v>
      </c>
      <c r="F2483" s="8">
        <v>2</v>
      </c>
    </row>
    <row r="2484" spans="1:6" ht="12.75">
      <c r="A2484" s="8">
        <v>43904.029965277776</v>
      </c>
      <c r="B2484" s="8" t="str">
        <f>HYPERLINK("https://twitter.com/askencana","@askencana")</f>
        <v>@askencana</v>
      </c>
      <c r="C2484" s="8" t="s">
        <v>1361</v>
      </c>
      <c r="D2484" s="8">
        <v>0</v>
      </c>
      <c r="E2484" s="8">
        <v>0</v>
      </c>
      <c r="F2484" s="8">
        <v>198</v>
      </c>
    </row>
    <row r="2485" spans="1:6" ht="12.75">
      <c r="A2485" s="8">
        <v>43904.028715277775</v>
      </c>
      <c r="B2485" s="8" t="str">
        <f>HYPERLINK("https://twitter.com/PeaceIndonesia3","@PeaceIndonesia3")</f>
        <v>@PeaceIndonesia3</v>
      </c>
      <c r="C2485" s="8" t="s">
        <v>1362</v>
      </c>
      <c r="D2485" s="8">
        <v>0</v>
      </c>
      <c r="E2485" s="8">
        <v>0</v>
      </c>
      <c r="F2485" s="8">
        <v>108</v>
      </c>
    </row>
    <row r="2486" spans="1:6" ht="12.75">
      <c r="A2486" s="8">
        <v>43904.025914351849</v>
      </c>
      <c r="B2486" s="8" t="str">
        <f>HYPERLINK("https://twitter.com/abespawnie","@abespawnie")</f>
        <v>@abespawnie</v>
      </c>
      <c r="C2486" s="8" t="s">
        <v>925</v>
      </c>
      <c r="D2486" s="8">
        <v>177</v>
      </c>
      <c r="E2486" s="8">
        <v>0</v>
      </c>
      <c r="F2486" s="8">
        <v>306</v>
      </c>
    </row>
    <row r="2487" spans="1:6" ht="12.75">
      <c r="A2487" s="8">
        <v>43904.023923611108</v>
      </c>
      <c r="B2487" s="8" t="str">
        <f>HYPERLINK("https://twitter.com/X_Mhmr","@X_Mhmr")</f>
        <v>@X_Mhmr</v>
      </c>
      <c r="C2487" s="8" t="s">
        <v>1363</v>
      </c>
      <c r="D2487" s="8">
        <v>0</v>
      </c>
      <c r="E2487" s="8">
        <v>0</v>
      </c>
      <c r="F2487" s="8">
        <v>389</v>
      </c>
    </row>
    <row r="2488" spans="1:6" ht="12.75">
      <c r="A2488" s="8">
        <v>43904.023310185185</v>
      </c>
      <c r="B2488" s="8" t="str">
        <f>HYPERLINK("https://twitter.com/MayorArnoldR1","@MayorArnoldR1")</f>
        <v>@MayorArnoldR1</v>
      </c>
      <c r="C2488" s="8" t="s">
        <v>1364</v>
      </c>
      <c r="D2488" s="8">
        <v>1</v>
      </c>
      <c r="E2488" s="8">
        <v>0</v>
      </c>
      <c r="F2488" s="8">
        <v>3</v>
      </c>
    </row>
    <row r="2489" spans="1:6" ht="12.75">
      <c r="A2489" s="8">
        <v>43904.020011574074</v>
      </c>
      <c r="B2489" s="8" t="str">
        <f>HYPERLINK("https://twitter.com/iz_wni","@iz_wni")</f>
        <v>@iz_wni</v>
      </c>
      <c r="C2489" s="8" t="s">
        <v>1365</v>
      </c>
      <c r="D2489" s="8">
        <v>401</v>
      </c>
      <c r="E2489" s="8">
        <v>0</v>
      </c>
      <c r="F2489" s="8">
        <v>88</v>
      </c>
    </row>
    <row r="2490" spans="1:6" ht="12.75">
      <c r="A2490" s="8">
        <v>43904.019513888888</v>
      </c>
      <c r="B2490" s="8" t="str">
        <f>HYPERLINK("https://twitter.com/gitacremo","@gitacremo")</f>
        <v>@gitacremo</v>
      </c>
      <c r="C2490" s="8" t="s">
        <v>1366</v>
      </c>
      <c r="D2490" s="8">
        <v>0</v>
      </c>
      <c r="E2490" s="8">
        <v>0</v>
      </c>
      <c r="F2490" s="8">
        <v>1265</v>
      </c>
    </row>
    <row r="2491" spans="1:6" ht="12.75">
      <c r="A2491" s="8">
        <v>43904.018692129626</v>
      </c>
      <c r="B2491" s="8" t="str">
        <f>HYPERLINK("https://twitter.com/B713Prince","@B713Prince")</f>
        <v>@B713Prince</v>
      </c>
      <c r="C2491" s="8" t="s">
        <v>1367</v>
      </c>
      <c r="D2491" s="8">
        <v>0</v>
      </c>
      <c r="E2491" s="8">
        <v>0</v>
      </c>
      <c r="F2491" s="8">
        <v>17</v>
      </c>
    </row>
    <row r="2492" spans="1:6" ht="12.75">
      <c r="A2492" s="8">
        <v>43904.018576388888</v>
      </c>
      <c r="B2492" s="8" t="str">
        <f>HYPERLINK("https://twitter.com/AriskaAnggun","@AriskaAnggun")</f>
        <v>@AriskaAnggun</v>
      </c>
      <c r="C2492" s="8" t="s">
        <v>1368</v>
      </c>
      <c r="D2492" s="8">
        <v>0</v>
      </c>
      <c r="E2492" s="8">
        <v>0</v>
      </c>
      <c r="F2492" s="8">
        <v>546</v>
      </c>
    </row>
    <row r="2493" spans="1:6" ht="12.75">
      <c r="A2493" s="8">
        <v>43904.016226851847</v>
      </c>
      <c r="B2493" s="8" t="str">
        <f>HYPERLINK("https://twitter.com/laxman_xy","@laxman_xy")</f>
        <v>@laxman_xy</v>
      </c>
      <c r="C2493" s="8" t="s">
        <v>1369</v>
      </c>
      <c r="D2493" s="8">
        <v>0</v>
      </c>
      <c r="E2493" s="8">
        <v>0</v>
      </c>
      <c r="F2493" s="8">
        <v>2759</v>
      </c>
    </row>
    <row r="2494" spans="1:6" ht="12.75">
      <c r="A2494" s="8">
        <v>43904.015775462962</v>
      </c>
      <c r="B2494" s="8" t="str">
        <f>HYPERLINK("https://twitter.com/joyjoey23","@joyjoey23")</f>
        <v>@joyjoey23</v>
      </c>
      <c r="C2494" s="8" t="s">
        <v>1370</v>
      </c>
      <c r="D2494" s="8">
        <v>0</v>
      </c>
      <c r="E2494" s="8">
        <v>0</v>
      </c>
      <c r="F2494" s="8">
        <v>1</v>
      </c>
    </row>
    <row r="2495" spans="1:6" ht="12.75">
      <c r="A2495" s="8">
        <v>43904.015659722223</v>
      </c>
      <c r="B2495" s="8" t="str">
        <f>HYPERLINK("https://twitter.com/seruanhl","@seruanhl")</f>
        <v>@seruanhl</v>
      </c>
      <c r="C2495" s="8" t="s">
        <v>353</v>
      </c>
      <c r="D2495" s="8">
        <v>129</v>
      </c>
      <c r="E2495" s="8">
        <v>0</v>
      </c>
      <c r="F2495" s="8">
        <v>13624</v>
      </c>
    </row>
    <row r="2496" spans="1:6" ht="12.75">
      <c r="A2496" s="8">
        <v>43904.015324074076</v>
      </c>
      <c r="B2496" s="8" t="str">
        <f>HYPERLINK("https://twitter.com/ryolandafit","@ryolandafit")</f>
        <v>@ryolandafit</v>
      </c>
      <c r="C2496" s="8" t="s">
        <v>1371</v>
      </c>
      <c r="D2496" s="8">
        <v>2</v>
      </c>
      <c r="E2496" s="8">
        <v>0</v>
      </c>
      <c r="F2496" s="8">
        <v>662</v>
      </c>
    </row>
    <row r="2497" spans="1:6" ht="12.75">
      <c r="A2497" s="8">
        <v>43904.015150462961</v>
      </c>
      <c r="B2497" s="8" t="str">
        <f>HYPERLINK("https://twitter.com/MikirSok","@MikirSok")</f>
        <v>@MikirSok</v>
      </c>
      <c r="C2497" s="8" t="s">
        <v>1372</v>
      </c>
      <c r="D2497" s="8">
        <v>0</v>
      </c>
      <c r="E2497" s="8">
        <v>0</v>
      </c>
      <c r="F2497" s="8">
        <v>18</v>
      </c>
    </row>
    <row r="2498" spans="1:6" ht="12.75">
      <c r="A2498" s="8">
        <v>43904.013321759259</v>
      </c>
      <c r="B2498" s="8" t="str">
        <f>HYPERLINK("https://twitter.com/RJelata02","@RJelata02")</f>
        <v>@RJelata02</v>
      </c>
      <c r="C2498" s="8" t="s">
        <v>1373</v>
      </c>
      <c r="D2498" s="8">
        <v>0</v>
      </c>
      <c r="E2498" s="8">
        <v>0</v>
      </c>
      <c r="F2498" s="8">
        <v>15</v>
      </c>
    </row>
    <row r="2499" spans="1:6" ht="12.75">
      <c r="A2499" s="8">
        <v>43904.012731481482</v>
      </c>
      <c r="B2499" s="8" t="str">
        <f>HYPERLINK("https://twitter.com/zakky_su","@zakky_su")</f>
        <v>@zakky_su</v>
      </c>
      <c r="C2499" s="8" t="s">
        <v>353</v>
      </c>
      <c r="D2499" s="8">
        <v>129</v>
      </c>
      <c r="E2499" s="8">
        <v>0</v>
      </c>
      <c r="F2499" s="8">
        <v>1386</v>
      </c>
    </row>
    <row r="2500" spans="1:6" ht="12.75">
      <c r="A2500" s="8">
        <v>43904.011597222227</v>
      </c>
      <c r="B2500" s="8" t="str">
        <f>HYPERLINK("https://twitter.com/ganiabd32363877","@ganiabd32363877")</f>
        <v>@ganiabd32363877</v>
      </c>
      <c r="C2500" s="8" t="s">
        <v>289</v>
      </c>
      <c r="D2500" s="8">
        <v>128</v>
      </c>
      <c r="E2500" s="8">
        <v>0</v>
      </c>
      <c r="F2500" s="8">
        <v>202</v>
      </c>
    </row>
    <row r="2501" spans="1:6" ht="12.75">
      <c r="A2501" s="8">
        <v>43904.009745370371</v>
      </c>
      <c r="B2501" s="8" t="str">
        <f>HYPERLINK("https://twitter.com/ryolandafit","@ryolandafit")</f>
        <v>@ryolandafit</v>
      </c>
      <c r="C2501" s="8" t="s">
        <v>1284</v>
      </c>
      <c r="D2501" s="8">
        <v>7</v>
      </c>
      <c r="E2501" s="8">
        <v>0</v>
      </c>
      <c r="F2501" s="8">
        <v>662</v>
      </c>
    </row>
    <row r="2502" spans="1:6" ht="12.75">
      <c r="A2502" s="8">
        <v>43904.008310185185</v>
      </c>
      <c r="B2502" s="8" t="str">
        <f>HYPERLINK("https://twitter.com/Daniel14279329","@Daniel14279329")</f>
        <v>@Daniel14279329</v>
      </c>
      <c r="C2502" s="8" t="s">
        <v>1374</v>
      </c>
      <c r="D2502" s="8">
        <v>0</v>
      </c>
      <c r="E2502" s="8">
        <v>0</v>
      </c>
      <c r="F2502" s="8">
        <v>3</v>
      </c>
    </row>
    <row r="2503" spans="1:6" ht="12.75">
      <c r="A2503" s="8">
        <v>43904.008090277777</v>
      </c>
      <c r="B2503" s="8" t="str">
        <f>HYPERLINK("https://twitter.com/PradityaBeni","@PradityaBeni")</f>
        <v>@PradityaBeni</v>
      </c>
      <c r="C2503" s="8" t="s">
        <v>1148</v>
      </c>
      <c r="D2503" s="8">
        <v>27</v>
      </c>
      <c r="E2503" s="8">
        <v>0</v>
      </c>
      <c r="F2503" s="8">
        <v>1306</v>
      </c>
    </row>
    <row r="2504" spans="1:6" ht="12.75">
      <c r="A2504" s="8">
        <v>43904.006099537037</v>
      </c>
      <c r="B2504" s="8" t="str">
        <f>HYPERLINK("https://twitter.com/isis_verissimo","@isis_verissimo")</f>
        <v>@isis_verissimo</v>
      </c>
      <c r="C2504" s="8" t="s">
        <v>1375</v>
      </c>
      <c r="D2504" s="8">
        <v>0</v>
      </c>
      <c r="E2504" s="8">
        <v>0</v>
      </c>
      <c r="F2504" s="8">
        <v>183</v>
      </c>
    </row>
    <row r="2505" spans="1:6" ht="12.75">
      <c r="A2505" s="8">
        <v>43904.005613425921</v>
      </c>
      <c r="B2505" s="8" t="str">
        <f t="shared" ref="B2505:B2507" si="51">HYPERLINK("https://twitter.com/susibantul62","@susibantul62")</f>
        <v>@susibantul62</v>
      </c>
      <c r="C2505" s="8" t="s">
        <v>1376</v>
      </c>
      <c r="D2505" s="8">
        <v>69</v>
      </c>
      <c r="E2505" s="8">
        <v>0</v>
      </c>
      <c r="F2505" s="8">
        <v>1</v>
      </c>
    </row>
    <row r="2506" spans="1:6" ht="12.75">
      <c r="A2506" s="8">
        <v>43904.005509259259</v>
      </c>
      <c r="B2506" s="8" t="str">
        <f t="shared" si="51"/>
        <v>@susibantul62</v>
      </c>
      <c r="C2506" s="8" t="s">
        <v>1377</v>
      </c>
      <c r="D2506" s="8">
        <v>2</v>
      </c>
      <c r="E2506" s="8">
        <v>0</v>
      </c>
      <c r="F2506" s="8">
        <v>1</v>
      </c>
    </row>
    <row r="2507" spans="1:6" ht="12.75">
      <c r="A2507" s="8">
        <v>43904.00545138889</v>
      </c>
      <c r="B2507" s="8" t="str">
        <f t="shared" si="51"/>
        <v>@susibantul62</v>
      </c>
      <c r="C2507" s="8" t="s">
        <v>1378</v>
      </c>
      <c r="D2507" s="8">
        <v>2</v>
      </c>
      <c r="E2507" s="8">
        <v>0</v>
      </c>
      <c r="F2507" s="8">
        <v>1</v>
      </c>
    </row>
    <row r="2508" spans="1:6" ht="12.75">
      <c r="A2508" s="8">
        <v>43904.005324074074</v>
      </c>
      <c r="B2508" s="8" t="str">
        <f>HYPERLINK("https://twitter.com/megakhristian","@megakhristian")</f>
        <v>@megakhristian</v>
      </c>
      <c r="C2508" s="8" t="s">
        <v>1379</v>
      </c>
      <c r="D2508" s="8">
        <v>2</v>
      </c>
      <c r="E2508" s="8">
        <v>0</v>
      </c>
      <c r="F2508" s="8">
        <v>53</v>
      </c>
    </row>
    <row r="2509" spans="1:6" ht="12.75">
      <c r="A2509" s="8">
        <v>43904.00503472222</v>
      </c>
      <c r="B2509" s="8" t="str">
        <f t="shared" ref="B2509:B2510" si="52">HYPERLINK("https://twitter.com/wawang_hermawan","@wawang_hermawan")</f>
        <v>@wawang_hermawan</v>
      </c>
      <c r="C2509" s="8" t="s">
        <v>1377</v>
      </c>
      <c r="D2509" s="8">
        <v>2</v>
      </c>
      <c r="E2509" s="8">
        <v>0</v>
      </c>
      <c r="F2509" s="8">
        <v>5</v>
      </c>
    </row>
    <row r="2510" spans="1:6" ht="12.75">
      <c r="A2510" s="8">
        <v>43904.004976851851</v>
      </c>
      <c r="B2510" s="8" t="str">
        <f t="shared" si="52"/>
        <v>@wawang_hermawan</v>
      </c>
      <c r="C2510" s="8" t="s">
        <v>1378</v>
      </c>
      <c r="D2510" s="8">
        <v>2</v>
      </c>
      <c r="E2510" s="8">
        <v>0</v>
      </c>
      <c r="F2510" s="8">
        <v>5</v>
      </c>
    </row>
    <row r="2511" spans="1:6" ht="12.75">
      <c r="A2511" s="8">
        <v>43904.004652777774</v>
      </c>
      <c r="B2511" s="8" t="str">
        <f>HYPERLINK("https://twitter.com/undefinengineer","@undefinengineer")</f>
        <v>@undefinengineer</v>
      </c>
      <c r="C2511" s="8" t="s">
        <v>1380</v>
      </c>
      <c r="D2511" s="8">
        <v>0</v>
      </c>
      <c r="E2511" s="8">
        <v>0</v>
      </c>
      <c r="F2511" s="8">
        <v>128</v>
      </c>
    </row>
    <row r="2512" spans="1:6" ht="12.75">
      <c r="A2512" s="8">
        <v>43904.004143518519</v>
      </c>
      <c r="B2512" s="8" t="str">
        <f>HYPERLINK("https://twitter.com/rakhmat_haikal","@rakhmat_haikal")</f>
        <v>@rakhmat_haikal</v>
      </c>
      <c r="C2512" s="8" t="s">
        <v>1381</v>
      </c>
      <c r="D2512" s="8">
        <v>3</v>
      </c>
      <c r="E2512" s="8">
        <v>0</v>
      </c>
      <c r="F2512" s="8">
        <v>788</v>
      </c>
    </row>
    <row r="2513" spans="1:6" ht="12.75">
      <c r="A2513" s="8">
        <v>43904.003703703704</v>
      </c>
      <c r="B2513" s="8" t="str">
        <f>HYPERLINK("https://twitter.com/iinrins","@iinrins")</f>
        <v>@iinrins</v>
      </c>
      <c r="C2513" s="8" t="s">
        <v>1382</v>
      </c>
      <c r="D2513" s="8">
        <v>0</v>
      </c>
      <c r="E2513" s="8">
        <v>0</v>
      </c>
      <c r="F2513" s="8">
        <v>506</v>
      </c>
    </row>
    <row r="2514" spans="1:6" ht="12.75">
      <c r="A2514" s="8">
        <v>43904.002858796295</v>
      </c>
      <c r="B2514" s="8" t="str">
        <f>HYPERLINK("https://twitter.com/PandoePertiwi","@PandoePertiwi")</f>
        <v>@PandoePertiwi</v>
      </c>
      <c r="C2514" s="8" t="s">
        <v>587</v>
      </c>
      <c r="D2514" s="8">
        <v>40</v>
      </c>
      <c r="E2514" s="8">
        <v>0</v>
      </c>
      <c r="F2514" s="8">
        <v>376</v>
      </c>
    </row>
    <row r="2515" spans="1:6" ht="12.75">
      <c r="A2515" s="8">
        <v>43904.002789351856</v>
      </c>
      <c r="B2515" s="8" t="str">
        <f>HYPERLINK("https://twitter.com/scrambleggx","@scrambleggx")</f>
        <v>@scrambleggx</v>
      </c>
      <c r="C2515" s="8" t="s">
        <v>1383</v>
      </c>
      <c r="D2515" s="8">
        <v>0</v>
      </c>
      <c r="E2515" s="8">
        <v>0</v>
      </c>
      <c r="F2515" s="8">
        <v>341</v>
      </c>
    </row>
    <row r="2516" spans="1:6" ht="12.75">
      <c r="A2516" s="8">
        <v>43904.002465277779</v>
      </c>
      <c r="B2516" s="8" t="str">
        <f>HYPERLINK("https://twitter.com/kbritunis","@kbritunis")</f>
        <v>@kbritunis</v>
      </c>
      <c r="C2516" s="8" t="s">
        <v>1384</v>
      </c>
      <c r="D2516" s="8">
        <v>0</v>
      </c>
      <c r="E2516" s="8">
        <v>0</v>
      </c>
      <c r="F2516" s="8">
        <v>1248</v>
      </c>
    </row>
    <row r="2517" spans="1:6" ht="12.75">
      <c r="A2517" s="8">
        <v>43904.002164351856</v>
      </c>
      <c r="B2517" s="8" t="str">
        <f>HYPERLINK("https://twitter.com/KBRI_Paris","@KBRI_Paris")</f>
        <v>@KBRI_Paris</v>
      </c>
      <c r="C2517" s="8" t="s">
        <v>1385</v>
      </c>
      <c r="D2517" s="8">
        <v>0</v>
      </c>
      <c r="E2517" s="8">
        <v>0</v>
      </c>
      <c r="F2517" s="8">
        <v>2386</v>
      </c>
    </row>
    <row r="2518" spans="1:6" ht="12.75">
      <c r="A2518" s="8">
        <v>43904.001145833332</v>
      </c>
      <c r="B2518" s="8" t="str">
        <f>HYPERLINK("https://twitter.com/alzsybn18","@alzsybn18")</f>
        <v>@alzsybn18</v>
      </c>
      <c r="C2518" s="8" t="s">
        <v>1284</v>
      </c>
      <c r="D2518" s="8">
        <v>5</v>
      </c>
      <c r="E2518" s="8">
        <v>0</v>
      </c>
      <c r="F2518" s="8">
        <v>33</v>
      </c>
    </row>
    <row r="2519" spans="1:6" ht="12.75">
      <c r="A2519" s="8">
        <v>43903.998229166667</v>
      </c>
      <c r="B2519" s="8" t="str">
        <f>HYPERLINK("https://twitter.com/dodiidamanku","@dodiidamanku")</f>
        <v>@dodiidamanku</v>
      </c>
      <c r="C2519" s="8" t="s">
        <v>1386</v>
      </c>
      <c r="D2519" s="8">
        <v>0</v>
      </c>
      <c r="E2519" s="8">
        <v>0</v>
      </c>
      <c r="F2519" s="8">
        <v>29</v>
      </c>
    </row>
    <row r="2520" spans="1:6" ht="12.75">
      <c r="A2520" s="8">
        <v>43903.998032407406</v>
      </c>
      <c r="B2520" s="8" t="str">
        <f>HYPERLINK("https://twitter.com/vitta_mangelep","@vitta_mangelep")</f>
        <v>@vitta_mangelep</v>
      </c>
      <c r="C2520" s="8" t="s">
        <v>1284</v>
      </c>
      <c r="D2520" s="8">
        <v>5</v>
      </c>
      <c r="E2520" s="8">
        <v>0</v>
      </c>
      <c r="F2520" s="8">
        <v>971</v>
      </c>
    </row>
    <row r="2521" spans="1:6" ht="12.75">
      <c r="A2521" s="8">
        <v>43903.996435185181</v>
      </c>
      <c r="B2521" s="8" t="str">
        <f>HYPERLINK("https://twitter.com/purnamadewisari","@purnamadewisari")</f>
        <v>@purnamadewisari</v>
      </c>
      <c r="C2521" s="8" t="s">
        <v>1284</v>
      </c>
      <c r="D2521" s="8">
        <v>5</v>
      </c>
      <c r="E2521" s="8">
        <v>0</v>
      </c>
      <c r="F2521" s="8">
        <v>145</v>
      </c>
    </row>
    <row r="2522" spans="1:6" ht="12.75">
      <c r="A2522" s="8">
        <v>43903.995381944449</v>
      </c>
      <c r="B2522" s="8" t="str">
        <f>HYPERLINK("https://twitter.com/Echiest","@Echiest")</f>
        <v>@Echiest</v>
      </c>
      <c r="C2522" s="8" t="s">
        <v>1387</v>
      </c>
      <c r="D2522" s="8">
        <v>2</v>
      </c>
      <c r="E2522" s="8">
        <v>0</v>
      </c>
      <c r="F2522" s="8">
        <v>121</v>
      </c>
    </row>
    <row r="2523" spans="1:6" ht="12.75">
      <c r="A2523" s="8">
        <v>43903.99454861111</v>
      </c>
      <c r="B2523" s="8" t="str">
        <f>HYPERLINK("https://twitter.com/emiyihihihi","@emiyihihihi")</f>
        <v>@emiyihihihi</v>
      </c>
      <c r="C2523" s="8" t="s">
        <v>1388</v>
      </c>
      <c r="D2523" s="8">
        <v>0</v>
      </c>
      <c r="E2523" s="8">
        <v>1</v>
      </c>
      <c r="F2523" s="8">
        <v>50</v>
      </c>
    </row>
    <row r="2524" spans="1:6" ht="12.75">
      <c r="A2524" s="8">
        <v>43903.992430555554</v>
      </c>
      <c r="B2524" s="8" t="str">
        <f>HYPERLINK("https://twitter.com/thegangaputra","@thegangaputra")</f>
        <v>@thegangaputra</v>
      </c>
      <c r="C2524" s="8" t="s">
        <v>1389</v>
      </c>
      <c r="D2524" s="8">
        <v>2</v>
      </c>
      <c r="E2524" s="8">
        <v>0</v>
      </c>
      <c r="F2524" s="8">
        <v>86</v>
      </c>
    </row>
    <row r="2525" spans="1:6" ht="12.75">
      <c r="A2525" s="8">
        <v>43903.992233796293</v>
      </c>
      <c r="B2525" s="8" t="str">
        <f>HYPERLINK("https://twitter.com/xirhopalocera_","@xirhopalocera_")</f>
        <v>@xirhopalocera_</v>
      </c>
      <c r="C2525" s="8" t="s">
        <v>1390</v>
      </c>
      <c r="D2525" s="8">
        <v>0</v>
      </c>
      <c r="E2525" s="8">
        <v>1</v>
      </c>
      <c r="F2525" s="8">
        <v>807</v>
      </c>
    </row>
    <row r="2526" spans="1:6" ht="12.75">
      <c r="A2526" s="8">
        <v>43903.992233796293</v>
      </c>
      <c r="B2526" s="8" t="str">
        <f>HYPERLINK("https://twitter.com/mediaindonesia","@mediaindonesia")</f>
        <v>@mediaindonesia</v>
      </c>
      <c r="C2526" s="8" t="s">
        <v>1391</v>
      </c>
      <c r="D2526" s="8">
        <v>2</v>
      </c>
      <c r="E2526" s="8">
        <v>2</v>
      </c>
      <c r="F2526" s="8">
        <v>1421259</v>
      </c>
    </row>
    <row r="2527" spans="1:6" ht="12.75">
      <c r="A2527" s="8">
        <v>43903.989178240736</v>
      </c>
      <c r="B2527" s="8" t="str">
        <f>HYPERLINK("https://twitter.com/ReformIndia_","@ReformIndia_")</f>
        <v>@ReformIndia_</v>
      </c>
      <c r="C2527" s="8" t="s">
        <v>1392</v>
      </c>
      <c r="D2527" s="8">
        <v>0</v>
      </c>
      <c r="E2527" s="8">
        <v>0</v>
      </c>
      <c r="F2527" s="8">
        <v>7</v>
      </c>
    </row>
    <row r="2528" spans="1:6" ht="12.75">
      <c r="A2528" s="8">
        <v>43903.989131944443</v>
      </c>
      <c r="B2528" s="8" t="str">
        <f>HYPERLINK("https://twitter.com/gimbuln","@gimbuln")</f>
        <v>@gimbuln</v>
      </c>
      <c r="C2528" s="8" t="s">
        <v>1393</v>
      </c>
      <c r="D2528" s="8">
        <v>0</v>
      </c>
      <c r="E2528" s="8">
        <v>0</v>
      </c>
      <c r="F2528" s="8">
        <v>120</v>
      </c>
    </row>
    <row r="2529" spans="1:6" ht="12.75">
      <c r="A2529" s="8">
        <v>43903.988530092596</v>
      </c>
      <c r="B2529" s="8" t="str">
        <f>HYPERLINK("https://twitter.com/SigitSadiono","@SigitSadiono")</f>
        <v>@SigitSadiono</v>
      </c>
      <c r="C2529" s="8" t="s">
        <v>1394</v>
      </c>
      <c r="D2529" s="8">
        <v>3</v>
      </c>
      <c r="E2529" s="8">
        <v>0</v>
      </c>
      <c r="F2529" s="8">
        <v>94</v>
      </c>
    </row>
    <row r="2530" spans="1:6" ht="12.75">
      <c r="A2530" s="8">
        <v>43903.987916666665</v>
      </c>
      <c r="B2530" s="8" t="str">
        <f>HYPERLINK("https://twitter.com/neussantara","@neussantara")</f>
        <v>@neussantara</v>
      </c>
      <c r="C2530" s="8" t="s">
        <v>1395</v>
      </c>
      <c r="D2530" s="8">
        <v>0</v>
      </c>
      <c r="E2530" s="8">
        <v>0</v>
      </c>
      <c r="F2530" s="8">
        <v>759</v>
      </c>
    </row>
    <row r="2531" spans="1:6" ht="12.75">
      <c r="A2531" s="8">
        <v>43903.987754629634</v>
      </c>
      <c r="B2531" s="8" t="str">
        <f t="shared" ref="B2531:B2532" si="53">HYPERLINK("https://twitter.com/SigitSadiono","@SigitSadiono")</f>
        <v>@SigitSadiono</v>
      </c>
      <c r="C2531" s="8" t="s">
        <v>1396</v>
      </c>
      <c r="D2531" s="8">
        <v>64</v>
      </c>
      <c r="E2531" s="8">
        <v>0</v>
      </c>
      <c r="F2531" s="8">
        <v>94</v>
      </c>
    </row>
    <row r="2532" spans="1:6" ht="12.75">
      <c r="A2532" s="8">
        <v>43903.987708333334</v>
      </c>
      <c r="B2532" s="8" t="str">
        <f t="shared" si="53"/>
        <v>@SigitSadiono</v>
      </c>
      <c r="C2532" s="8" t="s">
        <v>1397</v>
      </c>
      <c r="D2532" s="8">
        <v>29</v>
      </c>
      <c r="E2532" s="8">
        <v>0</v>
      </c>
      <c r="F2532" s="8">
        <v>94</v>
      </c>
    </row>
    <row r="2533" spans="1:6" ht="12.75">
      <c r="A2533" s="8">
        <v>43903.987685185188</v>
      </c>
      <c r="B2533" s="8" t="str">
        <f>HYPERLINK("https://twitter.com/b3811nez","@b3811nez")</f>
        <v>@b3811nez</v>
      </c>
      <c r="C2533" s="8" t="s">
        <v>1398</v>
      </c>
      <c r="D2533" s="8">
        <v>0</v>
      </c>
      <c r="E2533" s="8">
        <v>0</v>
      </c>
      <c r="F2533" s="8">
        <v>3653</v>
      </c>
    </row>
    <row r="2534" spans="1:6" ht="12.75">
      <c r="A2534" s="8">
        <v>43903.987662037034</v>
      </c>
      <c r="B2534" s="8" t="str">
        <f t="shared" ref="B2534:B2536" si="54">HYPERLINK("https://twitter.com/SigitSadiono","@SigitSadiono")</f>
        <v>@SigitSadiono</v>
      </c>
      <c r="C2534" s="8" t="s">
        <v>1399</v>
      </c>
      <c r="D2534" s="8">
        <v>58</v>
      </c>
      <c r="E2534" s="8">
        <v>0</v>
      </c>
      <c r="F2534" s="8">
        <v>94</v>
      </c>
    </row>
    <row r="2535" spans="1:6" ht="12.75">
      <c r="A2535" s="8">
        <v>43903.987199074079</v>
      </c>
      <c r="B2535" s="8" t="str">
        <f t="shared" si="54"/>
        <v>@SigitSadiono</v>
      </c>
      <c r="C2535" s="8" t="s">
        <v>1400</v>
      </c>
      <c r="D2535" s="8">
        <v>57</v>
      </c>
      <c r="E2535" s="8">
        <v>0</v>
      </c>
      <c r="F2535" s="8">
        <v>94</v>
      </c>
    </row>
    <row r="2536" spans="1:6" ht="12.75">
      <c r="A2536" s="8">
        <v>43903.98715277778</v>
      </c>
      <c r="B2536" s="8" t="str">
        <f t="shared" si="54"/>
        <v>@SigitSadiono</v>
      </c>
      <c r="C2536" s="8" t="s">
        <v>1401</v>
      </c>
      <c r="D2536" s="8">
        <v>6</v>
      </c>
      <c r="E2536" s="8">
        <v>0</v>
      </c>
      <c r="F2536" s="8">
        <v>94</v>
      </c>
    </row>
    <row r="2537" spans="1:6" ht="12.75">
      <c r="A2537" s="8">
        <v>43903.98637731481</v>
      </c>
      <c r="B2537" s="8" t="str">
        <f>HYPERLINK("https://twitter.com/PunderscoreH","@PunderscoreH")</f>
        <v>@PunderscoreH</v>
      </c>
      <c r="C2537" s="8" t="s">
        <v>1402</v>
      </c>
      <c r="D2537" s="8">
        <v>0</v>
      </c>
      <c r="E2537" s="8">
        <v>0</v>
      </c>
      <c r="F2537" s="8">
        <v>2</v>
      </c>
    </row>
    <row r="2538" spans="1:6" ht="12.75">
      <c r="A2538" s="8">
        <v>43903.986296296294</v>
      </c>
      <c r="B2538" s="8" t="str">
        <f>HYPERLINK("https://twitter.com/akmalarif90","@akmalarif90")</f>
        <v>@akmalarif90</v>
      </c>
      <c r="C2538" s="8" t="s">
        <v>1284</v>
      </c>
      <c r="D2538" s="8">
        <v>5</v>
      </c>
      <c r="E2538" s="8">
        <v>0</v>
      </c>
      <c r="F2538" s="8">
        <v>1014</v>
      </c>
    </row>
    <row r="2539" spans="1:6" ht="12.75">
      <c r="A2539" s="8">
        <v>43903.986180555556</v>
      </c>
      <c r="B2539" s="8" t="str">
        <f>HYPERLINK("https://twitter.com/PaijoAryanto__","@PaijoAryanto__")</f>
        <v>@PaijoAryanto__</v>
      </c>
      <c r="C2539" s="8" t="s">
        <v>1403</v>
      </c>
      <c r="D2539" s="8">
        <v>0</v>
      </c>
      <c r="E2539" s="8">
        <v>0</v>
      </c>
      <c r="F2539" s="8">
        <v>762</v>
      </c>
    </row>
    <row r="2540" spans="1:6" ht="12.75">
      <c r="A2540" s="8">
        <v>43903.985960648148</v>
      </c>
      <c r="B2540" s="8" t="str">
        <f>HYPERLINK("https://twitter.com/deandry","@deandry")</f>
        <v>@deandry</v>
      </c>
      <c r="C2540" s="8" t="s">
        <v>1358</v>
      </c>
      <c r="D2540" s="8">
        <v>20</v>
      </c>
      <c r="E2540" s="8">
        <v>0</v>
      </c>
      <c r="F2540" s="8">
        <v>2163</v>
      </c>
    </row>
    <row r="2541" spans="1:6" ht="12.75">
      <c r="A2541" s="8">
        <v>43903.985671296294</v>
      </c>
      <c r="B2541" s="8" t="str">
        <f>HYPERLINK("https://twitter.com/immu_pistachio","@immu_pistachio")</f>
        <v>@immu_pistachio</v>
      </c>
      <c r="C2541" s="8" t="s">
        <v>1404</v>
      </c>
      <c r="D2541" s="8">
        <v>0</v>
      </c>
      <c r="E2541" s="8">
        <v>1</v>
      </c>
      <c r="F2541" s="8">
        <v>2194</v>
      </c>
    </row>
    <row r="2542" spans="1:6" ht="12.75">
      <c r="A2542" s="8">
        <v>43903.985405092593</v>
      </c>
      <c r="B2542" s="8" t="str">
        <f>HYPERLINK("https://twitter.com/nove_rico","@nove_rico")</f>
        <v>@nove_rico</v>
      </c>
      <c r="C2542" s="8" t="s">
        <v>1405</v>
      </c>
      <c r="D2542" s="8">
        <v>0</v>
      </c>
      <c r="E2542" s="8">
        <v>0</v>
      </c>
      <c r="F2542" s="8">
        <v>318</v>
      </c>
    </row>
    <row r="2543" spans="1:6" ht="12.75">
      <c r="A2543" s="8">
        <v>43903.984953703708</v>
      </c>
      <c r="B2543" s="8" t="str">
        <f>HYPERLINK("https://twitter.com/vranajaya","@vranajaya")</f>
        <v>@vranajaya</v>
      </c>
      <c r="C2543" s="8" t="s">
        <v>1406</v>
      </c>
      <c r="D2543" s="8">
        <v>2</v>
      </c>
      <c r="E2543" s="8">
        <v>0</v>
      </c>
      <c r="F2543" s="8">
        <v>73</v>
      </c>
    </row>
    <row r="2544" spans="1:6" ht="12.75">
      <c r="A2544" s="8">
        <v>43903.984675925924</v>
      </c>
      <c r="B2544" s="8" t="str">
        <f>HYPERLINK("https://twitter.com/agungde13","@agungde13")</f>
        <v>@agungde13</v>
      </c>
      <c r="C2544" s="8" t="s">
        <v>983</v>
      </c>
      <c r="D2544" s="8">
        <v>7</v>
      </c>
      <c r="E2544" s="8">
        <v>0</v>
      </c>
      <c r="F2544" s="8">
        <v>539</v>
      </c>
    </row>
    <row r="2545" spans="1:6" ht="12.75">
      <c r="A2545" s="8">
        <v>43903.984456018516</v>
      </c>
      <c r="B2545" s="8" t="str">
        <f>HYPERLINK("https://twitter.com/fandy18058347","@fandy18058347")</f>
        <v>@fandy18058347</v>
      </c>
      <c r="C2545" s="8" t="s">
        <v>925</v>
      </c>
      <c r="D2545" s="8">
        <v>172</v>
      </c>
      <c r="E2545" s="8">
        <v>0</v>
      </c>
      <c r="F2545" s="8">
        <v>223</v>
      </c>
    </row>
    <row r="2546" spans="1:6" ht="12.75">
      <c r="A2546" s="8">
        <v>43903.984444444446</v>
      </c>
      <c r="B2546" s="8" t="str">
        <f>HYPERLINK("https://twitter.com/vranajaya","@vranajaya")</f>
        <v>@vranajaya</v>
      </c>
      <c r="C2546" s="8" t="s">
        <v>1394</v>
      </c>
      <c r="D2546" s="8">
        <v>3</v>
      </c>
      <c r="E2546" s="8">
        <v>0</v>
      </c>
      <c r="F2546" s="8">
        <v>73</v>
      </c>
    </row>
    <row r="2547" spans="1:6" ht="12.75">
      <c r="A2547" s="8">
        <v>43903.9840162037</v>
      </c>
      <c r="B2547" s="8" t="str">
        <f>HYPERLINK("https://twitter.com/evakusdinar","@evakusdinar")</f>
        <v>@evakusdinar</v>
      </c>
      <c r="C2547" s="8" t="s">
        <v>1407</v>
      </c>
      <c r="D2547" s="8">
        <v>0</v>
      </c>
      <c r="E2547" s="8">
        <v>0</v>
      </c>
      <c r="F2547" s="8">
        <v>275</v>
      </c>
    </row>
    <row r="2548" spans="1:6" ht="12.75">
      <c r="A2548" s="8">
        <v>43903.982407407406</v>
      </c>
      <c r="B2548" s="8" t="str">
        <f>HYPERLINK("https://twitter.com/nuhilistic","@nuhilistic")</f>
        <v>@nuhilistic</v>
      </c>
      <c r="C2548" s="8" t="s">
        <v>1408</v>
      </c>
      <c r="D2548" s="8">
        <v>0</v>
      </c>
      <c r="E2548" s="8">
        <v>1</v>
      </c>
      <c r="F2548" s="8">
        <v>512</v>
      </c>
    </row>
    <row r="2549" spans="1:6" ht="12.75">
      <c r="A2549" s="8">
        <v>43903.982337962967</v>
      </c>
      <c r="B2549" s="8" t="str">
        <f>HYPERLINK("https://twitter.com/MdSahadatalli1","@MdSahadatalli1")</f>
        <v>@MdSahadatalli1</v>
      </c>
      <c r="C2549" s="8" t="s">
        <v>768</v>
      </c>
      <c r="D2549" s="8">
        <v>9</v>
      </c>
      <c r="E2549" s="8">
        <v>0</v>
      </c>
      <c r="F2549" s="8">
        <v>15</v>
      </c>
    </row>
    <row r="2550" spans="1:6" ht="12.75">
      <c r="A2550" s="8">
        <v>43903.982175925921</v>
      </c>
      <c r="B2550" s="8" t="str">
        <f>HYPERLINK("https://twitter.com/mikhsanhkm","@mikhsanhkm")</f>
        <v>@mikhsanhkm</v>
      </c>
      <c r="C2550" s="8" t="s">
        <v>1409</v>
      </c>
      <c r="D2550" s="8">
        <v>0</v>
      </c>
      <c r="E2550" s="8">
        <v>0</v>
      </c>
      <c r="F2550" s="8">
        <v>591</v>
      </c>
    </row>
    <row r="2551" spans="1:6" ht="12.75">
      <c r="A2551" s="8">
        <v>43903.980879629627</v>
      </c>
      <c r="B2551" s="8" t="str">
        <f>HYPERLINK("https://twitter.com/Firellsp","@Firellsp")</f>
        <v>@Firellsp</v>
      </c>
      <c r="C2551" s="8" t="s">
        <v>1410</v>
      </c>
      <c r="D2551" s="8">
        <v>0</v>
      </c>
      <c r="E2551" s="8">
        <v>0</v>
      </c>
      <c r="F2551" s="8">
        <v>338</v>
      </c>
    </row>
    <row r="2552" spans="1:6" ht="12.75">
      <c r="A2552" s="8">
        <v>43903.980520833335</v>
      </c>
      <c r="B2552" s="8" t="str">
        <f>HYPERLINK("https://twitter.com/maday_isis","@maday_isis")</f>
        <v>@maday_isis</v>
      </c>
      <c r="C2552" s="8" t="s">
        <v>1411</v>
      </c>
      <c r="D2552" s="8">
        <v>439</v>
      </c>
      <c r="E2552" s="8">
        <v>0</v>
      </c>
      <c r="F2552" s="8">
        <v>86</v>
      </c>
    </row>
    <row r="2553" spans="1:6" ht="12.75">
      <c r="A2553" s="8">
        <v>43903.979999999996</v>
      </c>
      <c r="B2553" s="8" t="str">
        <f>HYPERLINK("https://twitter.com/kartikahari13","@kartikahari13")</f>
        <v>@kartikahari13</v>
      </c>
      <c r="C2553" s="8" t="s">
        <v>1284</v>
      </c>
      <c r="D2553" s="8">
        <v>5</v>
      </c>
      <c r="E2553" s="8">
        <v>0</v>
      </c>
      <c r="F2553" s="8">
        <v>1417</v>
      </c>
    </row>
    <row r="2554" spans="1:6" ht="12.75">
      <c r="A2554" s="8">
        <v>43903.979479166665</v>
      </c>
      <c r="B2554" s="8" t="str">
        <f>HYPERLINK("https://twitter.com/smartAde091","@smartAde091")</f>
        <v>@smartAde091</v>
      </c>
      <c r="C2554" s="8" t="s">
        <v>1412</v>
      </c>
      <c r="D2554" s="8">
        <v>0</v>
      </c>
      <c r="E2554" s="8">
        <v>0</v>
      </c>
      <c r="F2554" s="8">
        <v>15</v>
      </c>
    </row>
    <row r="2555" spans="1:6" ht="12.75">
      <c r="A2555" s="8">
        <v>43903.979363425926</v>
      </c>
      <c r="B2555" s="8" t="str">
        <f>HYPERLINK("https://twitter.com/okezonenews","@okezonenews")</f>
        <v>@okezonenews</v>
      </c>
      <c r="C2555" s="8" t="s">
        <v>1413</v>
      </c>
      <c r="D2555" s="8">
        <v>0</v>
      </c>
      <c r="E2555" s="8">
        <v>0</v>
      </c>
      <c r="F2555" s="8">
        <v>1744167</v>
      </c>
    </row>
    <row r="2556" spans="1:6" ht="12.75">
      <c r="A2556" s="8">
        <v>43903.979328703703</v>
      </c>
      <c r="B2556" s="8" t="str">
        <f>HYPERLINK("https://twitter.com/haidir_setiawan","@haidir_setiawan")</f>
        <v>@haidir_setiawan</v>
      </c>
      <c r="C2556" s="8" t="s">
        <v>1414</v>
      </c>
      <c r="D2556" s="8">
        <v>0</v>
      </c>
      <c r="E2556" s="8">
        <v>0</v>
      </c>
      <c r="F2556" s="8">
        <v>2318</v>
      </c>
    </row>
    <row r="2557" spans="1:6" ht="12.75">
      <c r="A2557" s="8">
        <v>43903.978842592594</v>
      </c>
      <c r="B2557" s="8" t="str">
        <f>HYPERLINK("https://twitter.com/KompasTV","@KompasTV")</f>
        <v>@KompasTV</v>
      </c>
      <c r="C2557" s="8" t="s">
        <v>1415</v>
      </c>
      <c r="D2557" s="8">
        <v>5</v>
      </c>
      <c r="E2557" s="8">
        <v>4</v>
      </c>
      <c r="F2557" s="8">
        <v>2963724</v>
      </c>
    </row>
    <row r="2558" spans="1:6" ht="12.75">
      <c r="A2558" s="8">
        <v>43903.978206018517</v>
      </c>
      <c r="B2558" s="8" t="str">
        <f>HYPERLINK("https://twitter.com/narpatsinhGP","@narpatsinhGP")</f>
        <v>@narpatsinhGP</v>
      </c>
      <c r="C2558" s="8" t="s">
        <v>1195</v>
      </c>
      <c r="D2558" s="8">
        <v>2635</v>
      </c>
      <c r="E2558" s="8">
        <v>0</v>
      </c>
      <c r="F2558" s="8">
        <v>195</v>
      </c>
    </row>
    <row r="2559" spans="1:6" ht="12.75">
      <c r="A2559" s="8">
        <v>43903.97756944444</v>
      </c>
      <c r="B2559" s="8" t="str">
        <f>HYPERLINK("https://twitter.com/selebardaunkel1","@selebardaunkel1")</f>
        <v>@selebardaunkel1</v>
      </c>
      <c r="C2559" s="8" t="s">
        <v>1416</v>
      </c>
      <c r="D2559" s="8">
        <v>0</v>
      </c>
      <c r="E2559" s="8">
        <v>0</v>
      </c>
      <c r="F2559" s="8">
        <v>1</v>
      </c>
    </row>
    <row r="2560" spans="1:6" ht="12.75">
      <c r="A2560" s="8">
        <v>43903.976666666669</v>
      </c>
      <c r="B2560" s="8" t="str">
        <f>HYPERLINK("https://twitter.com/SuarjokoW","@SuarjokoW")</f>
        <v>@SuarjokoW</v>
      </c>
      <c r="C2560" s="8" t="s">
        <v>1417</v>
      </c>
      <c r="D2560" s="8">
        <v>0</v>
      </c>
      <c r="E2560" s="8">
        <v>0</v>
      </c>
      <c r="F2560" s="8">
        <v>1</v>
      </c>
    </row>
    <row r="2561" spans="1:6" ht="12.75">
      <c r="A2561" s="8">
        <v>43903.976354166662</v>
      </c>
      <c r="B2561" s="8" t="str">
        <f>HYPERLINK("https://twitter.com/SaadProud","@SaadProud")</f>
        <v>@SaadProud</v>
      </c>
      <c r="C2561" s="8" t="s">
        <v>1418</v>
      </c>
      <c r="D2561" s="8">
        <v>0</v>
      </c>
      <c r="E2561" s="8">
        <v>0</v>
      </c>
      <c r="F2561" s="8">
        <v>27</v>
      </c>
    </row>
    <row r="2562" spans="1:6" ht="12.75">
      <c r="A2562" s="8">
        <v>43903.97592592593</v>
      </c>
      <c r="B2562" s="8" t="str">
        <f>HYPERLINK("https://twitter.com/ROktaaaa","@ROktaaaa")</f>
        <v>@ROktaaaa</v>
      </c>
      <c r="C2562" s="8" t="s">
        <v>1419</v>
      </c>
      <c r="D2562" s="8">
        <v>0</v>
      </c>
      <c r="E2562" s="8">
        <v>0</v>
      </c>
      <c r="F2562" s="8">
        <v>620</v>
      </c>
    </row>
    <row r="2563" spans="1:6" ht="12.75">
      <c r="A2563" s="8">
        <v>43903.974432870367</v>
      </c>
      <c r="B2563" s="8" t="str">
        <f>HYPERLINK("https://twitter.com/mrbambang","@mrbambang")</f>
        <v>@mrbambang</v>
      </c>
      <c r="C2563" s="8" t="s">
        <v>1420</v>
      </c>
      <c r="D2563" s="8">
        <v>0</v>
      </c>
      <c r="E2563" s="8">
        <v>0</v>
      </c>
      <c r="F2563" s="8">
        <v>4889</v>
      </c>
    </row>
    <row r="2564" spans="1:6" ht="12.75">
      <c r="A2564" s="8">
        <v>43903.974212962959</v>
      </c>
      <c r="B2564" s="8" t="str">
        <f>HYPERLINK("https://twitter.com/AdnanAlHanafi","@AdnanAlHanafi")</f>
        <v>@AdnanAlHanafi</v>
      </c>
      <c r="C2564" s="8" t="s">
        <v>1421</v>
      </c>
      <c r="D2564" s="8">
        <v>1</v>
      </c>
      <c r="E2564" s="8">
        <v>0</v>
      </c>
      <c r="F2564" s="8">
        <v>2872</v>
      </c>
    </row>
    <row r="2565" spans="1:6" ht="12.75">
      <c r="A2565" s="8">
        <v>43903.973530092597</v>
      </c>
      <c r="B2565" s="8" t="str">
        <f>HYPERLINK("https://twitter.com/pasir97126133","@pasir97126133")</f>
        <v>@pasir97126133</v>
      </c>
      <c r="C2565" s="8" t="s">
        <v>1422</v>
      </c>
      <c r="D2565" s="8">
        <v>0</v>
      </c>
      <c r="E2565" s="8">
        <v>0</v>
      </c>
      <c r="F2565" s="8">
        <v>20</v>
      </c>
    </row>
    <row r="2566" spans="1:6" ht="12.75">
      <c r="A2566" s="8">
        <v>43903.971504629633</v>
      </c>
      <c r="B2566" s="8" t="str">
        <f>HYPERLINK("https://twitter.com/Aidan63499469","@Aidan63499469")</f>
        <v>@Aidan63499469</v>
      </c>
      <c r="C2566" s="8" t="s">
        <v>1423</v>
      </c>
      <c r="D2566" s="8">
        <v>1</v>
      </c>
      <c r="E2566" s="8">
        <v>1</v>
      </c>
      <c r="F2566" s="8">
        <v>621</v>
      </c>
    </row>
    <row r="2567" spans="1:6" ht="12.75">
      <c r="A2567" s="8">
        <v>43903.970300925925</v>
      </c>
      <c r="B2567" s="8" t="str">
        <f>HYPERLINK("https://twitter.com/yeaheemansu","@yeaheemansu")</f>
        <v>@yeaheemansu</v>
      </c>
      <c r="C2567" s="8" t="s">
        <v>983</v>
      </c>
      <c r="D2567" s="8">
        <v>7</v>
      </c>
      <c r="E2567" s="8">
        <v>0</v>
      </c>
      <c r="F2567" s="8">
        <v>1936</v>
      </c>
    </row>
    <row r="2568" spans="1:6" ht="12.75">
      <c r="A2568" s="8">
        <v>43903.969421296293</v>
      </c>
      <c r="B2568" s="8" t="str">
        <f>HYPERLINK("https://twitter.com/IndoEthio","@IndoEthio")</f>
        <v>@IndoEthio</v>
      </c>
      <c r="C2568" s="8" t="s">
        <v>1424</v>
      </c>
      <c r="D2568" s="8">
        <v>0</v>
      </c>
      <c r="E2568" s="8">
        <v>0</v>
      </c>
      <c r="F2568" s="8">
        <v>3603</v>
      </c>
    </row>
    <row r="2569" spans="1:6" ht="12.75">
      <c r="A2569" s="8">
        <v>43903.969398148147</v>
      </c>
      <c r="B2569" s="8" t="str">
        <f>HYPERLINK("https://twitter.com/ISIS_Balik_NO","@ISIS_Balik_NO")</f>
        <v>@ISIS_Balik_NO</v>
      </c>
      <c r="C2569" s="8" t="s">
        <v>1425</v>
      </c>
      <c r="D2569" s="8">
        <v>274</v>
      </c>
      <c r="E2569" s="8">
        <v>0</v>
      </c>
      <c r="F2569" s="8">
        <v>6275</v>
      </c>
    </row>
    <row r="2570" spans="1:6" ht="12.75">
      <c r="A2570" s="8">
        <v>43903.968148148153</v>
      </c>
      <c r="B2570" s="8" t="str">
        <f>HYPERLINK("https://twitter.com/thisiskareen","@thisiskareen")</f>
        <v>@thisiskareen</v>
      </c>
      <c r="C2570" s="8" t="s">
        <v>983</v>
      </c>
      <c r="D2570" s="8">
        <v>7</v>
      </c>
      <c r="E2570" s="8">
        <v>0</v>
      </c>
      <c r="F2570" s="8">
        <v>895</v>
      </c>
    </row>
    <row r="2571" spans="1:6" ht="12.75">
      <c r="A2571" s="8">
        <v>43903.967731481476</v>
      </c>
      <c r="B2571" s="8" t="str">
        <f>HYPERLINK("https://twitter.com/masturbasri","@masturbasri")</f>
        <v>@masturbasri</v>
      </c>
      <c r="C2571" s="8" t="s">
        <v>1426</v>
      </c>
      <c r="D2571" s="8">
        <v>0</v>
      </c>
      <c r="E2571" s="8">
        <v>0</v>
      </c>
      <c r="F2571" s="8">
        <v>8</v>
      </c>
    </row>
    <row r="2572" spans="1:6" ht="12.75">
      <c r="A2572" s="8">
        <v>43903.966458333336</v>
      </c>
      <c r="B2572" s="8" t="str">
        <f>HYPERLINK("https://twitter.com/iyaakubucin97","@iyaakubucin97")</f>
        <v>@iyaakubucin97</v>
      </c>
      <c r="C2572" s="8" t="s">
        <v>1427</v>
      </c>
      <c r="D2572" s="8">
        <v>1064</v>
      </c>
      <c r="E2572" s="8">
        <v>0</v>
      </c>
      <c r="F2572" s="8">
        <v>376</v>
      </c>
    </row>
    <row r="2573" spans="1:6" ht="12.75">
      <c r="A2573" s="8">
        <v>43903.965578703705</v>
      </c>
      <c r="B2573" s="8" t="str">
        <f>HYPERLINK("https://twitter.com/hadiprayitno82","@hadiprayitno82")</f>
        <v>@hadiprayitno82</v>
      </c>
      <c r="C2573" s="8" t="s">
        <v>1428</v>
      </c>
      <c r="D2573" s="8">
        <v>0</v>
      </c>
      <c r="E2573" s="8">
        <v>2</v>
      </c>
      <c r="F2573" s="8">
        <v>1392</v>
      </c>
    </row>
    <row r="2574" spans="1:6" ht="12.75">
      <c r="A2574" s="8">
        <v>43903.962800925925</v>
      </c>
      <c r="B2574" s="8" t="str">
        <f>HYPERLINK("https://twitter.com/iqbal_khaerul","@iqbal_khaerul")</f>
        <v>@iqbal_khaerul</v>
      </c>
      <c r="C2574" s="8" t="s">
        <v>134</v>
      </c>
      <c r="D2574" s="8">
        <v>45</v>
      </c>
      <c r="E2574" s="8">
        <v>0</v>
      </c>
      <c r="F2574" s="8">
        <v>210</v>
      </c>
    </row>
    <row r="2575" spans="1:6" ht="12.75">
      <c r="A2575" s="8">
        <v>43903.962731481486</v>
      </c>
      <c r="B2575" s="8" t="str">
        <f>HYPERLINK("https://twitter.com/Andyrule9","@Andyrule9")</f>
        <v>@Andyrule9</v>
      </c>
      <c r="C2575" s="8" t="s">
        <v>1429</v>
      </c>
      <c r="D2575" s="8">
        <v>1</v>
      </c>
      <c r="E2575" s="8">
        <v>0</v>
      </c>
      <c r="F2575" s="8">
        <v>239</v>
      </c>
    </row>
    <row r="2576" spans="1:6" ht="12.75">
      <c r="A2576" s="8">
        <v>43903.96256944444</v>
      </c>
      <c r="B2576" s="8" t="str">
        <f>HYPERLINK("https://twitter.com/krizzllyy","@krizzllyy")</f>
        <v>@krizzllyy</v>
      </c>
      <c r="C2576" s="8" t="s">
        <v>1430</v>
      </c>
      <c r="D2576" s="8">
        <v>0</v>
      </c>
      <c r="E2576" s="8">
        <v>0</v>
      </c>
      <c r="F2576" s="8">
        <v>20</v>
      </c>
    </row>
    <row r="2577" spans="1:6" ht="12.75">
      <c r="A2577" s="8">
        <v>43903.962361111116</v>
      </c>
      <c r="B2577" s="8" t="str">
        <f>HYPERLINK("https://twitter.com/toedjoetiga","@toedjoetiga")</f>
        <v>@toedjoetiga</v>
      </c>
      <c r="C2577" s="8" t="s">
        <v>1431</v>
      </c>
      <c r="D2577" s="8">
        <v>0</v>
      </c>
      <c r="E2577" s="8">
        <v>0</v>
      </c>
      <c r="F2577" s="8">
        <v>1208</v>
      </c>
    </row>
    <row r="2578" spans="1:6" ht="12.75">
      <c r="A2578" s="8">
        <v>43903.961851851855</v>
      </c>
      <c r="B2578" s="8" t="str">
        <f>HYPERLINK("https://twitter.com/forddyce92","@forddyce92")</f>
        <v>@forddyce92</v>
      </c>
      <c r="C2578" s="8" t="s">
        <v>1432</v>
      </c>
      <c r="D2578" s="8">
        <v>0</v>
      </c>
      <c r="E2578" s="8">
        <v>0</v>
      </c>
      <c r="F2578" s="8">
        <v>30</v>
      </c>
    </row>
    <row r="2579" spans="1:6" ht="12.75">
      <c r="A2579" s="8">
        <v>43903.959560185191</v>
      </c>
      <c r="B2579" s="8" t="str">
        <f>HYPERLINK("https://twitter.com/AgungScorpion","@AgungScorpion")</f>
        <v>@AgungScorpion</v>
      </c>
      <c r="C2579" s="8" t="s">
        <v>874</v>
      </c>
      <c r="D2579" s="8">
        <v>63</v>
      </c>
      <c r="E2579" s="8">
        <v>0</v>
      </c>
      <c r="F2579" s="8">
        <v>137</v>
      </c>
    </row>
    <row r="2580" spans="1:6" ht="12.75">
      <c r="A2580" s="8">
        <v>43903.959143518514</v>
      </c>
      <c r="B2580" s="8" t="str">
        <f>HYPERLINK("https://twitter.com/Bhimar3","@Bhimar3")</f>
        <v>@Bhimar3</v>
      </c>
      <c r="C2580" s="8" t="s">
        <v>1433</v>
      </c>
      <c r="D2580" s="8">
        <v>0</v>
      </c>
      <c r="E2580" s="8">
        <v>0</v>
      </c>
      <c r="F2580" s="8">
        <v>78</v>
      </c>
    </row>
    <row r="2581" spans="1:6" ht="12.75">
      <c r="A2581" s="8">
        <v>43903.959027777775</v>
      </c>
      <c r="B2581" s="8" t="str">
        <f>HYPERLINK("https://twitter.com/INAinLisbon","@INAinLisbon")</f>
        <v>@INAinLisbon</v>
      </c>
      <c r="C2581" s="8" t="s">
        <v>603</v>
      </c>
      <c r="D2581" s="8">
        <v>0</v>
      </c>
      <c r="E2581" s="8">
        <v>1</v>
      </c>
      <c r="F2581" s="8">
        <v>484</v>
      </c>
    </row>
    <row r="2582" spans="1:6" ht="12.75">
      <c r="A2582" s="8">
        <v>43903.959004629629</v>
      </c>
      <c r="B2582" s="8" t="str">
        <f>HYPERLINK("https://twitter.com/vinaysagark","@vinaysagark")</f>
        <v>@vinaysagark</v>
      </c>
      <c r="C2582" s="8" t="s">
        <v>1195</v>
      </c>
      <c r="D2582" s="8">
        <v>2634</v>
      </c>
      <c r="E2582" s="8">
        <v>0</v>
      </c>
      <c r="F2582" s="8">
        <v>74</v>
      </c>
    </row>
    <row r="2583" spans="1:6" ht="12.75">
      <c r="A2583" s="8">
        <v>43903.958541666667</v>
      </c>
      <c r="B2583" s="8" t="str">
        <f>HYPERLINK("https://twitter.com/rizalkilasbalik","@rizalkilasbalik")</f>
        <v>@rizalkilasbalik</v>
      </c>
      <c r="C2583" s="8" t="s">
        <v>353</v>
      </c>
      <c r="D2583" s="8">
        <v>125</v>
      </c>
      <c r="E2583" s="8">
        <v>0</v>
      </c>
      <c r="F2583" s="8">
        <v>1755</v>
      </c>
    </row>
    <row r="2584" spans="1:6" ht="12.75">
      <c r="A2584" s="8">
        <v>43903.958194444444</v>
      </c>
      <c r="B2584" s="8" t="str">
        <f>HYPERLINK("https://twitter.com/dokter_onkologi","@dokter_onkologi")</f>
        <v>@dokter_onkologi</v>
      </c>
      <c r="C2584" s="8" t="s">
        <v>1434</v>
      </c>
      <c r="D2584" s="8">
        <v>1</v>
      </c>
      <c r="E2584" s="8">
        <v>2</v>
      </c>
      <c r="F2584" s="8">
        <v>1043</v>
      </c>
    </row>
    <row r="2585" spans="1:6" ht="12.75">
      <c r="A2585" s="8">
        <v>43903.95815972222</v>
      </c>
      <c r="B2585" s="8" t="str">
        <f>HYPERLINK("https://twitter.com/KODAYKOBEN","@KODAYKOBEN")</f>
        <v>@KODAYKOBEN</v>
      </c>
      <c r="C2585" s="8" t="s">
        <v>1435</v>
      </c>
      <c r="D2585" s="8">
        <v>835</v>
      </c>
      <c r="E2585" s="8">
        <v>0</v>
      </c>
      <c r="F2585" s="8">
        <v>45</v>
      </c>
    </row>
    <row r="2586" spans="1:6" ht="12.75">
      <c r="A2586" s="8">
        <v>43903.958020833335</v>
      </c>
      <c r="B2586" s="8" t="str">
        <f>HYPERLINK("https://twitter.com/boyke_lenzun","@boyke_lenzun")</f>
        <v>@boyke_lenzun</v>
      </c>
      <c r="C2586" s="8" t="s">
        <v>289</v>
      </c>
      <c r="D2586" s="8">
        <v>126</v>
      </c>
      <c r="E2586" s="8">
        <v>0</v>
      </c>
      <c r="F2586" s="8">
        <v>46</v>
      </c>
    </row>
    <row r="2587" spans="1:6" ht="12.75">
      <c r="A2587" s="8">
        <v>43903.957719907412</v>
      </c>
      <c r="B2587" s="8" t="str">
        <f>HYPERLINK("https://twitter.com/Ruth_Djojoning","@Ruth_Djojoning")</f>
        <v>@Ruth_Djojoning</v>
      </c>
      <c r="C2587" s="8" t="s">
        <v>1436</v>
      </c>
      <c r="D2587" s="8">
        <v>0</v>
      </c>
      <c r="E2587" s="8">
        <v>0</v>
      </c>
      <c r="F2587" s="8">
        <v>2254</v>
      </c>
    </row>
    <row r="2588" spans="1:6" ht="12.75">
      <c r="A2588" s="8">
        <v>43903.956018518518</v>
      </c>
      <c r="B2588" s="8" t="str">
        <f>HYPERLINK("https://twitter.com/Atha879","@Atha879")</f>
        <v>@Atha879</v>
      </c>
      <c r="C2588" s="8" t="s">
        <v>868</v>
      </c>
      <c r="D2588" s="8">
        <v>10</v>
      </c>
      <c r="E2588" s="8">
        <v>0</v>
      </c>
      <c r="F2588" s="8">
        <v>1493</v>
      </c>
    </row>
    <row r="2589" spans="1:6" ht="12.75">
      <c r="A2589" s="8">
        <v>43903.955775462964</v>
      </c>
      <c r="B2589" s="8" t="str">
        <f>HYPERLINK("https://twitter.com/ephraym8","@ephraym8")</f>
        <v>@ephraym8</v>
      </c>
      <c r="C2589" s="8" t="s">
        <v>925</v>
      </c>
      <c r="D2589" s="8">
        <v>170</v>
      </c>
      <c r="E2589" s="8">
        <v>0</v>
      </c>
      <c r="F2589" s="8">
        <v>1224</v>
      </c>
    </row>
    <row r="2590" spans="1:6" ht="12.75">
      <c r="A2590" s="8">
        <v>43903.95484953704</v>
      </c>
      <c r="B2590" s="8" t="str">
        <f>HYPERLINK("https://twitter.com/KECUBBUNG1","@KECUBBUNG1")</f>
        <v>@KECUBBUNG1</v>
      </c>
      <c r="C2590" s="8" t="s">
        <v>299</v>
      </c>
      <c r="D2590" s="8">
        <v>4742</v>
      </c>
      <c r="E2590" s="8">
        <v>0</v>
      </c>
      <c r="F2590" s="8">
        <v>54</v>
      </c>
    </row>
    <row r="2591" spans="1:6" ht="12.75">
      <c r="A2591" s="8">
        <v>43903.954305555555</v>
      </c>
      <c r="B2591" s="8" t="str">
        <f>HYPERLINK("https://twitter.com/nosa_her","@nosa_her")</f>
        <v>@nosa_her</v>
      </c>
      <c r="C2591" s="8" t="s">
        <v>353</v>
      </c>
      <c r="D2591" s="8">
        <v>125</v>
      </c>
      <c r="E2591" s="8">
        <v>0</v>
      </c>
      <c r="F2591" s="8">
        <v>612</v>
      </c>
    </row>
    <row r="2592" spans="1:6" ht="12.75">
      <c r="A2592" s="8">
        <v>43903.953287037039</v>
      </c>
      <c r="B2592" s="8" t="str">
        <f>HYPERLINK("https://twitter.com/saypunk16","@saypunk16")</f>
        <v>@saypunk16</v>
      </c>
      <c r="C2592" s="8" t="s">
        <v>1437</v>
      </c>
      <c r="D2592" s="8">
        <v>0</v>
      </c>
      <c r="E2592" s="8">
        <v>0</v>
      </c>
      <c r="F2592" s="8">
        <v>27</v>
      </c>
    </row>
    <row r="2593" spans="1:6" ht="12.75">
      <c r="A2593" s="8">
        <v>43903.95076388889</v>
      </c>
      <c r="B2593" s="8" t="str">
        <f>HYPERLINK("https://twitter.com/usssssssssstad","@usssssssssstad")</f>
        <v>@usssssssssstad</v>
      </c>
      <c r="C2593" s="8" t="s">
        <v>1438</v>
      </c>
      <c r="D2593" s="8">
        <v>0</v>
      </c>
      <c r="E2593" s="8">
        <v>0</v>
      </c>
      <c r="F2593" s="8">
        <v>22</v>
      </c>
    </row>
    <row r="2594" spans="1:6" ht="12.75">
      <c r="A2594" s="8">
        <v>43903.950671296298</v>
      </c>
      <c r="B2594" s="8" t="str">
        <f>HYPERLINK("https://twitter.com/jobieone_one","@jobieone_one")</f>
        <v>@jobieone_one</v>
      </c>
      <c r="C2594" s="8" t="s">
        <v>1439</v>
      </c>
      <c r="D2594" s="8">
        <v>0</v>
      </c>
      <c r="E2594" s="8">
        <v>0</v>
      </c>
      <c r="F2594" s="8">
        <v>0</v>
      </c>
    </row>
    <row r="2595" spans="1:6" ht="12.75">
      <c r="A2595" s="8">
        <v>43903.950416666667</v>
      </c>
      <c r="B2595" s="8" t="str">
        <f>HYPERLINK("https://twitter.com/rudysamosir_","@rudysamosir_")</f>
        <v>@rudysamosir_</v>
      </c>
      <c r="C2595" s="8" t="s">
        <v>587</v>
      </c>
      <c r="D2595" s="8">
        <v>39</v>
      </c>
      <c r="E2595" s="8">
        <v>0</v>
      </c>
      <c r="F2595" s="8">
        <v>408</v>
      </c>
    </row>
    <row r="2596" spans="1:6" ht="12.75">
      <c r="A2596" s="8">
        <v>43903.950381944444</v>
      </c>
      <c r="B2596" s="8" t="str">
        <f>HYPERLINK("https://twitter.com/KECUBBUNG1","@KECUBBUNG1")</f>
        <v>@KECUBBUNG1</v>
      </c>
      <c r="C2596" s="8" t="s">
        <v>685</v>
      </c>
      <c r="D2596" s="8">
        <v>194</v>
      </c>
      <c r="E2596" s="8">
        <v>0</v>
      </c>
      <c r="F2596" s="8">
        <v>54</v>
      </c>
    </row>
    <row r="2597" spans="1:6" ht="12.75">
      <c r="A2597" s="8">
        <v>43903.950150462959</v>
      </c>
      <c r="B2597" s="8" t="str">
        <f>HYPERLINK("https://twitter.com/sunphile_","@sunphile_")</f>
        <v>@sunphile_</v>
      </c>
      <c r="C2597" s="8" t="s">
        <v>1440</v>
      </c>
      <c r="D2597" s="8">
        <v>0</v>
      </c>
      <c r="E2597" s="8">
        <v>0</v>
      </c>
      <c r="F2597" s="8">
        <v>2573</v>
      </c>
    </row>
    <row r="2598" spans="1:6" ht="12.75">
      <c r="A2598" s="8">
        <v>43903.949733796297</v>
      </c>
      <c r="B2598" s="8" t="str">
        <f>HYPERLINK("https://twitter.com/Galihzainur1","@Galihzainur1")</f>
        <v>@Galihzainur1</v>
      </c>
      <c r="C2598" s="8" t="s">
        <v>1441</v>
      </c>
      <c r="D2598" s="8">
        <v>1</v>
      </c>
      <c r="E2598" s="8">
        <v>0</v>
      </c>
      <c r="F2598" s="8">
        <v>2667</v>
      </c>
    </row>
    <row r="2599" spans="1:6" ht="12.75">
      <c r="A2599" s="8">
        <v>43903.948703703703</v>
      </c>
      <c r="B2599" s="8" t="str">
        <f>HYPERLINK("https://twitter.com/Moonflawlesss","@Moonflawlesss")</f>
        <v>@Moonflawlesss</v>
      </c>
      <c r="C2599" s="8" t="s">
        <v>1442</v>
      </c>
      <c r="D2599" s="8">
        <v>0</v>
      </c>
      <c r="E2599" s="8">
        <v>0</v>
      </c>
      <c r="F2599" s="8">
        <v>43</v>
      </c>
    </row>
    <row r="2600" spans="1:6" ht="12.75">
      <c r="A2600" s="8">
        <v>43903.948530092588</v>
      </c>
      <c r="B2600" s="8" t="str">
        <f>HYPERLINK("https://twitter.com/lana_damanik","@lana_damanik")</f>
        <v>@lana_damanik</v>
      </c>
      <c r="C2600" s="8" t="s">
        <v>1443</v>
      </c>
      <c r="D2600" s="8">
        <v>0</v>
      </c>
      <c r="E2600" s="8">
        <v>0</v>
      </c>
      <c r="F2600" s="8">
        <v>124</v>
      </c>
    </row>
    <row r="2601" spans="1:6" ht="12.75">
      <c r="A2601" s="8">
        <v>43903.948009259257</v>
      </c>
      <c r="B2601" s="8" t="str">
        <f>HYPERLINK("https://twitter.com/ashishsingh973","@ashishsingh973")</f>
        <v>@ashishsingh973</v>
      </c>
      <c r="C2601" s="8" t="s">
        <v>1195</v>
      </c>
      <c r="D2601" s="8">
        <v>2634</v>
      </c>
      <c r="E2601" s="8">
        <v>0</v>
      </c>
      <c r="F2601" s="8">
        <v>117</v>
      </c>
    </row>
    <row r="2602" spans="1:6" ht="12.75">
      <c r="A2602" s="8">
        <v>43903.947951388887</v>
      </c>
      <c r="B2602" s="8" t="str">
        <f>HYPERLINK("https://twitter.com/ezarwira","@ezarwira")</f>
        <v>@ezarwira</v>
      </c>
      <c r="C2602" s="8" t="s">
        <v>1444</v>
      </c>
      <c r="D2602" s="8">
        <v>0</v>
      </c>
      <c r="E2602" s="8">
        <v>0</v>
      </c>
      <c r="F2602" s="8">
        <v>333</v>
      </c>
    </row>
    <row r="2603" spans="1:6" ht="12.75">
      <c r="A2603" s="8">
        <v>43903.947835648149</v>
      </c>
      <c r="B2603" s="8" t="str">
        <f>HYPERLINK("https://twitter.com/wahhabicc_jabar","@wahhabicc_jabar")</f>
        <v>@wahhabicc_jabar</v>
      </c>
      <c r="C2603" s="8" t="s">
        <v>925</v>
      </c>
      <c r="D2603" s="8">
        <v>170</v>
      </c>
      <c r="E2603" s="8">
        <v>0</v>
      </c>
      <c r="F2603" s="8">
        <v>31035</v>
      </c>
    </row>
    <row r="2604" spans="1:6" ht="12.75">
      <c r="A2604" s="8">
        <v>43903.94767361111</v>
      </c>
      <c r="B2604" s="8" t="str">
        <f>HYPERLINK("https://twitter.com/wni_jmsri","@wni_jmsri")</f>
        <v>@wni_jmsri</v>
      </c>
      <c r="C2604" s="8" t="s">
        <v>1445</v>
      </c>
      <c r="D2604" s="8">
        <v>59</v>
      </c>
      <c r="E2604" s="8">
        <v>0</v>
      </c>
      <c r="F2604" s="8">
        <v>200</v>
      </c>
    </row>
    <row r="2605" spans="1:6" ht="12.75">
      <c r="A2605" s="8">
        <v>43903.946712962963</v>
      </c>
      <c r="B2605" s="8" t="str">
        <f>HYPERLINK("https://twitter.com/AwanRahmat","@AwanRahmat")</f>
        <v>@AwanRahmat</v>
      </c>
      <c r="C2605" s="8" t="s">
        <v>587</v>
      </c>
      <c r="D2605" s="8">
        <v>39</v>
      </c>
      <c r="E2605" s="8">
        <v>0</v>
      </c>
      <c r="F2605" s="8">
        <v>43</v>
      </c>
    </row>
    <row r="2606" spans="1:6" ht="12.75">
      <c r="A2606" s="8">
        <v>43903.94631944444</v>
      </c>
      <c r="B2606" s="8" t="str">
        <f>HYPERLINK("https://twitter.com/HariOmIsOhm","@HariOmIsOhm")</f>
        <v>@HariOmIsOhm</v>
      </c>
      <c r="C2606" s="8" t="s">
        <v>1195</v>
      </c>
      <c r="D2606" s="8">
        <v>2634</v>
      </c>
      <c r="E2606" s="8">
        <v>0</v>
      </c>
      <c r="F2606" s="8">
        <v>238</v>
      </c>
    </row>
    <row r="2607" spans="1:6" ht="12.75">
      <c r="A2607" s="8">
        <v>43903.94530092593</v>
      </c>
      <c r="B2607" s="8" t="str">
        <f>HYPERLINK("https://twitter.com/eno_saca","@eno_saca")</f>
        <v>@eno_saca</v>
      </c>
      <c r="C2607" s="8" t="s">
        <v>1446</v>
      </c>
      <c r="D2607" s="8">
        <v>4</v>
      </c>
      <c r="E2607" s="8">
        <v>0</v>
      </c>
      <c r="F2607" s="8">
        <v>193</v>
      </c>
    </row>
    <row r="2608" spans="1:6" ht="12.75">
      <c r="A2608" s="8">
        <v>43903.944652777776</v>
      </c>
      <c r="B2608" s="8" t="str">
        <f>HYPERLINK("https://twitter.com/presa_kautsar","@presa_kautsar")</f>
        <v>@presa_kautsar</v>
      </c>
      <c r="C2608" s="8" t="s">
        <v>587</v>
      </c>
      <c r="D2608" s="8">
        <v>39</v>
      </c>
      <c r="E2608" s="8">
        <v>0</v>
      </c>
      <c r="F2608" s="8">
        <v>170</v>
      </c>
    </row>
    <row r="2609" spans="1:6" ht="12.75">
      <c r="A2609" s="8">
        <v>43903.944201388891</v>
      </c>
      <c r="B2609" s="8" t="str">
        <f>HYPERLINK("https://twitter.com/roni_prastiawan","@roni_prastiawan")</f>
        <v>@roni_prastiawan</v>
      </c>
      <c r="C2609" s="8" t="s">
        <v>874</v>
      </c>
      <c r="D2609" s="8">
        <v>63</v>
      </c>
      <c r="E2609" s="8">
        <v>0</v>
      </c>
      <c r="F2609" s="8">
        <v>265</v>
      </c>
    </row>
    <row r="2610" spans="1:6" ht="12.75">
      <c r="A2610" s="8">
        <v>43903.943483796298</v>
      </c>
      <c r="B2610" s="8" t="str">
        <f>HYPERLINK("https://twitter.com/suara1hati","@suara1hati")</f>
        <v>@suara1hati</v>
      </c>
      <c r="C2610" s="8" t="s">
        <v>1148</v>
      </c>
      <c r="D2610" s="8">
        <v>26</v>
      </c>
      <c r="E2610" s="8">
        <v>0</v>
      </c>
      <c r="F2610" s="8">
        <v>1428</v>
      </c>
    </row>
    <row r="2611" spans="1:6" ht="12.75">
      <c r="A2611" s="8">
        <v>43903.942256944443</v>
      </c>
      <c r="B2611" s="8" t="str">
        <f>HYPERLINK("https://twitter.com/tiiaara_","@tiiaara_")</f>
        <v>@tiiaara_</v>
      </c>
      <c r="C2611" s="8" t="s">
        <v>1446</v>
      </c>
      <c r="D2611" s="8">
        <v>4</v>
      </c>
      <c r="E2611" s="8">
        <v>0</v>
      </c>
      <c r="F2611" s="8">
        <v>508</v>
      </c>
    </row>
    <row r="2612" spans="1:6" ht="12.75">
      <c r="A2612" s="8">
        <v>43903.941365740742</v>
      </c>
      <c r="B2612" s="8" t="str">
        <f>HYPERLINK("https://twitter.com/hafidhazizi_","@hafidhazizi_")</f>
        <v>@hafidhazizi_</v>
      </c>
      <c r="C2612" s="8" t="s">
        <v>1447</v>
      </c>
      <c r="D2612" s="8">
        <v>0</v>
      </c>
      <c r="E2612" s="8">
        <v>0</v>
      </c>
      <c r="F2612" s="8">
        <v>155</v>
      </c>
    </row>
    <row r="2613" spans="1:6" ht="12.75">
      <c r="A2613" s="8">
        <v>43903.941006944442</v>
      </c>
      <c r="B2613" s="8" t="str">
        <f>HYPERLINK("https://twitter.com/KontanNews","@KontanNews")</f>
        <v>@KontanNews</v>
      </c>
      <c r="C2613" s="8" t="s">
        <v>1448</v>
      </c>
      <c r="D2613" s="8">
        <v>0</v>
      </c>
      <c r="E2613" s="8">
        <v>1</v>
      </c>
      <c r="F2613" s="8">
        <v>318824</v>
      </c>
    </row>
    <row r="2614" spans="1:6" ht="12.75">
      <c r="A2614" s="8">
        <v>43903.940960648149</v>
      </c>
      <c r="B2614" s="8" t="str">
        <f>HYPERLINK("https://twitter.com/amdfzi2915","@amdfzi2915")</f>
        <v>@amdfzi2915</v>
      </c>
      <c r="C2614" s="8" t="s">
        <v>1449</v>
      </c>
      <c r="D2614" s="8">
        <v>0</v>
      </c>
      <c r="E2614" s="8">
        <v>0</v>
      </c>
      <c r="F2614" s="8">
        <v>455</v>
      </c>
    </row>
    <row r="2615" spans="1:6" ht="12.75">
      <c r="A2615" s="8">
        <v>43903.939120370371</v>
      </c>
      <c r="B2615" s="8" t="str">
        <f>HYPERLINK("https://twitter.com/regofareyhan","@regofareyhan")</f>
        <v>@regofareyhan</v>
      </c>
      <c r="C2615" s="8" t="s">
        <v>1450</v>
      </c>
      <c r="D2615" s="8">
        <v>6</v>
      </c>
      <c r="E2615" s="8">
        <v>0</v>
      </c>
      <c r="F2615" s="8">
        <v>178</v>
      </c>
    </row>
    <row r="2616" spans="1:6" ht="12.75">
      <c r="A2616" s="8">
        <v>43903.938993055555</v>
      </c>
      <c r="B2616" s="8" t="str">
        <f>HYPERLINK("https://twitter.com/iwankecil","@iwankecil")</f>
        <v>@iwankecil</v>
      </c>
      <c r="C2616" s="8" t="s">
        <v>1451</v>
      </c>
      <c r="D2616" s="8">
        <v>0</v>
      </c>
      <c r="E2616" s="8">
        <v>1</v>
      </c>
      <c r="F2616" s="8">
        <v>790</v>
      </c>
    </row>
    <row r="2617" spans="1:6" ht="12.75">
      <c r="A2617" s="8">
        <v>43903.938599537039</v>
      </c>
      <c r="B2617" s="8" t="str">
        <f>HYPERLINK("https://twitter.com/Kibantar","@Kibantar")</f>
        <v>@Kibantar</v>
      </c>
      <c r="C2617" s="8" t="s">
        <v>925</v>
      </c>
      <c r="D2617" s="8">
        <v>170</v>
      </c>
      <c r="E2617" s="8">
        <v>0</v>
      </c>
      <c r="F2617" s="8">
        <v>78</v>
      </c>
    </row>
    <row r="2618" spans="1:6" ht="12.75">
      <c r="A2618" s="8">
        <v>43903.938530092593</v>
      </c>
      <c r="B2618" s="8" t="str">
        <f>HYPERLINK("https://twitter.com/WartawanPensiun","@WartawanPensiun")</f>
        <v>@WartawanPensiun</v>
      </c>
      <c r="C2618" s="8" t="s">
        <v>868</v>
      </c>
      <c r="D2618" s="8">
        <v>10</v>
      </c>
      <c r="E2618" s="8">
        <v>0</v>
      </c>
      <c r="F2618" s="8">
        <v>7543</v>
      </c>
    </row>
    <row r="2619" spans="1:6" ht="12.75">
      <c r="A2619" s="8">
        <v>43903.938090277778</v>
      </c>
      <c r="B2619" s="8" t="str">
        <f>HYPERLINK("https://twitter.com/margiesandjaya","@margiesandjaya")</f>
        <v>@margiesandjaya</v>
      </c>
      <c r="C2619" s="8" t="s">
        <v>1452</v>
      </c>
      <c r="D2619" s="8">
        <v>1</v>
      </c>
      <c r="E2619" s="8">
        <v>2</v>
      </c>
      <c r="F2619" s="8">
        <v>167</v>
      </c>
    </row>
    <row r="2620" spans="1:6" ht="12.75">
      <c r="A2620" s="8">
        <v>43903.937627314815</v>
      </c>
      <c r="B2620" s="8" t="str">
        <f>HYPERLINK("https://twitter.com/lord4atep","@lord4atep")</f>
        <v>@lord4atep</v>
      </c>
      <c r="C2620" s="8" t="s">
        <v>1453</v>
      </c>
      <c r="D2620" s="8">
        <v>0</v>
      </c>
      <c r="E2620" s="8">
        <v>0</v>
      </c>
      <c r="F2620" s="8">
        <v>17</v>
      </c>
    </row>
    <row r="2621" spans="1:6" ht="12.75">
      <c r="A2621" s="8">
        <v>43903.937071759261</v>
      </c>
      <c r="B2621" s="8" t="str">
        <f>HYPERLINK("https://twitter.com/aliandotcomm","@aliandotcomm")</f>
        <v>@aliandotcomm</v>
      </c>
      <c r="C2621" s="8" t="s">
        <v>1454</v>
      </c>
      <c r="D2621" s="8">
        <v>13</v>
      </c>
      <c r="E2621" s="8">
        <v>0</v>
      </c>
      <c r="F2621" s="8">
        <v>486</v>
      </c>
    </row>
    <row r="2622" spans="1:6" ht="12.75">
      <c r="A2622" s="8">
        <v>43903.936539351853</v>
      </c>
      <c r="B2622" s="8" t="str">
        <f>HYPERLINK("https://twitter.com/oevank","@oevank")</f>
        <v>@oevank</v>
      </c>
      <c r="C2622" s="8" t="s">
        <v>1446</v>
      </c>
      <c r="D2622" s="8">
        <v>4</v>
      </c>
      <c r="E2622" s="8">
        <v>0</v>
      </c>
      <c r="F2622" s="8">
        <v>2874</v>
      </c>
    </row>
    <row r="2623" spans="1:6" ht="12.75">
      <c r="A2623" s="8">
        <v>43903.936377314814</v>
      </c>
      <c r="B2623" s="8" t="str">
        <f>HYPERLINK("https://twitter.com/iz_wni","@iz_wni")</f>
        <v>@iz_wni</v>
      </c>
      <c r="C2623" s="8" t="s">
        <v>1455</v>
      </c>
      <c r="D2623" s="8">
        <v>0</v>
      </c>
      <c r="E2623" s="8">
        <v>0</v>
      </c>
      <c r="F2623" s="8">
        <v>88</v>
      </c>
    </row>
    <row r="2624" spans="1:6" ht="12.75">
      <c r="A2624" s="8">
        <v>43903.935960648145</v>
      </c>
      <c r="B2624" s="8" t="str">
        <f>HYPERLINK("https://twitter.com/danedgustama","@danedgustama")</f>
        <v>@danedgustama</v>
      </c>
      <c r="C2624" s="8" t="s">
        <v>1446</v>
      </c>
      <c r="D2624" s="8">
        <v>4</v>
      </c>
      <c r="E2624" s="8">
        <v>0</v>
      </c>
      <c r="F2624" s="8">
        <v>14764</v>
      </c>
    </row>
    <row r="2625" spans="1:6" ht="12.75">
      <c r="A2625" s="8">
        <v>43903.935555555552</v>
      </c>
      <c r="B2625" s="8" t="str">
        <f>HYPERLINK("https://twitter.com/dokteraria","@dokteraria")</f>
        <v>@dokteraria</v>
      </c>
      <c r="C2625" s="8" t="s">
        <v>1456</v>
      </c>
      <c r="D2625" s="8">
        <v>4</v>
      </c>
      <c r="E2625" s="8">
        <v>6</v>
      </c>
      <c r="F2625" s="8">
        <v>297</v>
      </c>
    </row>
    <row r="2626" spans="1:6" ht="12.75">
      <c r="A2626" s="8">
        <v>43903.935428240744</v>
      </c>
      <c r="B2626" s="8" t="str">
        <f>HYPERLINK("https://twitter.com/andisarinahrri","@andisarinahrri")</f>
        <v>@andisarinahrri</v>
      </c>
      <c r="C2626" s="8" t="s">
        <v>134</v>
      </c>
      <c r="D2626" s="8">
        <v>45</v>
      </c>
      <c r="E2626" s="8">
        <v>0</v>
      </c>
      <c r="F2626" s="8">
        <v>3153</v>
      </c>
    </row>
    <row r="2627" spans="1:6" ht="12.75">
      <c r="A2627" s="8">
        <v>43903.935023148151</v>
      </c>
      <c r="B2627" s="8" t="str">
        <f>HYPERLINK("https://twitter.com/iz_wni","@iz_wni")</f>
        <v>@iz_wni</v>
      </c>
      <c r="C2627" s="8" t="s">
        <v>1264</v>
      </c>
      <c r="D2627" s="8">
        <v>9704</v>
      </c>
      <c r="E2627" s="8">
        <v>0</v>
      </c>
      <c r="F2627" s="8">
        <v>88</v>
      </c>
    </row>
    <row r="2628" spans="1:6" ht="12.75">
      <c r="A2628" s="8">
        <v>43903.935023148151</v>
      </c>
      <c r="B2628" s="8" t="str">
        <f>HYPERLINK("https://twitter.com/eka_poerwanti","@eka_poerwanti")</f>
        <v>@eka_poerwanti</v>
      </c>
      <c r="C2628" s="8" t="s">
        <v>587</v>
      </c>
      <c r="D2628" s="8">
        <v>39</v>
      </c>
      <c r="E2628" s="8">
        <v>0</v>
      </c>
      <c r="F2628" s="8">
        <v>586</v>
      </c>
    </row>
    <row r="2629" spans="1:6" ht="12.75">
      <c r="A2629" s="8">
        <v>43903.934490740736</v>
      </c>
      <c r="B2629" s="8" t="str">
        <f>HYPERLINK("https://twitter.com/thebyuls","@thebyuls")</f>
        <v>@thebyuls</v>
      </c>
      <c r="C2629" s="8" t="s">
        <v>1457</v>
      </c>
      <c r="D2629" s="8">
        <v>0</v>
      </c>
      <c r="E2629" s="8">
        <v>0</v>
      </c>
      <c r="F2629" s="8">
        <v>62</v>
      </c>
    </row>
    <row r="2630" spans="1:6" ht="12.75">
      <c r="A2630" s="8">
        <v>43903.934328703705</v>
      </c>
      <c r="B2630" s="8" t="str">
        <f>HYPERLINK("https://twitter.com/HeraenicaL","@HeraenicaL")</f>
        <v>@HeraenicaL</v>
      </c>
      <c r="C2630" s="8" t="s">
        <v>1458</v>
      </c>
      <c r="D2630" s="8">
        <v>0</v>
      </c>
      <c r="E2630" s="8">
        <v>0</v>
      </c>
      <c r="F2630" s="8">
        <v>3799</v>
      </c>
    </row>
    <row r="2631" spans="1:6" ht="12.75">
      <c r="A2631" s="8">
        <v>43903.93372685185</v>
      </c>
      <c r="B2631" s="8" t="str">
        <f>HYPERLINK("https://twitter.com/tamiisnothere","@tamiisnothere")</f>
        <v>@tamiisnothere</v>
      </c>
      <c r="C2631" s="8" t="s">
        <v>1459</v>
      </c>
      <c r="D2631" s="8">
        <v>10</v>
      </c>
      <c r="E2631" s="8">
        <v>0</v>
      </c>
      <c r="F2631" s="8">
        <v>212</v>
      </c>
    </row>
    <row r="2632" spans="1:6" ht="12.75">
      <c r="A2632" s="8">
        <v>43903.932349537034</v>
      </c>
      <c r="B2632" s="8" t="str">
        <f>HYPERLINK("https://twitter.com/shiaLebaou","@shiaLebaou")</f>
        <v>@shiaLebaou</v>
      </c>
      <c r="C2632" s="8" t="s">
        <v>1460</v>
      </c>
      <c r="D2632" s="8">
        <v>0</v>
      </c>
      <c r="E2632" s="8">
        <v>0</v>
      </c>
      <c r="F2632" s="8">
        <v>1612</v>
      </c>
    </row>
    <row r="2633" spans="1:6" ht="12.75">
      <c r="A2633" s="8">
        <v>43903.931886574079</v>
      </c>
      <c r="B2633" s="8" t="str">
        <f>HYPERLINK("https://twitter.com/hammersonix","@hammersonix")</f>
        <v>@hammersonix</v>
      </c>
      <c r="C2633" s="8" t="s">
        <v>1461</v>
      </c>
      <c r="D2633" s="8">
        <v>0</v>
      </c>
      <c r="E2633" s="8">
        <v>0</v>
      </c>
      <c r="F2633" s="8">
        <v>1616</v>
      </c>
    </row>
    <row r="2634" spans="1:6" ht="12.75">
      <c r="A2634" s="8">
        <v>43903.931840277779</v>
      </c>
      <c r="B2634" s="8" t="str">
        <f>HYPERLINK("https://twitter.com/KBRI_Kuwait","@KBRI_Kuwait")</f>
        <v>@KBRI_Kuwait</v>
      </c>
      <c r="C2634" s="8" t="s">
        <v>1462</v>
      </c>
      <c r="D2634" s="8">
        <v>0</v>
      </c>
      <c r="E2634" s="8">
        <v>0</v>
      </c>
      <c r="F2634" s="8">
        <v>2600</v>
      </c>
    </row>
    <row r="2635" spans="1:6" ht="12.75">
      <c r="A2635" s="8">
        <v>43903.931770833333</v>
      </c>
      <c r="B2635" s="8" t="str">
        <f>HYPERLINK("https://twitter.com/ainunnajib_0","@ainunnajib_0")</f>
        <v>@ainunnajib_0</v>
      </c>
      <c r="C2635" s="8" t="s">
        <v>1463</v>
      </c>
      <c r="D2635" s="8">
        <v>0</v>
      </c>
      <c r="E2635" s="8">
        <v>0</v>
      </c>
      <c r="F2635" s="8">
        <v>25</v>
      </c>
    </row>
    <row r="2636" spans="1:6" ht="12.75">
      <c r="A2636" s="8">
        <v>43903.93074074074</v>
      </c>
      <c r="B2636" s="8" t="str">
        <f>HYPERLINK("https://twitter.com/wbudi2003","@wbudi2003")</f>
        <v>@wbudi2003</v>
      </c>
      <c r="C2636" s="8" t="s">
        <v>134</v>
      </c>
      <c r="D2636" s="8">
        <v>45</v>
      </c>
      <c r="E2636" s="8">
        <v>0</v>
      </c>
      <c r="F2636" s="8">
        <v>50</v>
      </c>
    </row>
    <row r="2637" spans="1:6" ht="12.75">
      <c r="A2637" s="8">
        <v>43903.929525462961</v>
      </c>
      <c r="B2637" s="8" t="str">
        <f>HYPERLINK("https://twitter.com/ISIS_Balik_NO","@ISIS_Balik_NO")</f>
        <v>@ISIS_Balik_NO</v>
      </c>
      <c r="C2637" s="8" t="s">
        <v>1464</v>
      </c>
      <c r="D2637" s="8">
        <v>711</v>
      </c>
      <c r="E2637" s="8">
        <v>0</v>
      </c>
      <c r="F2637" s="8">
        <v>6281</v>
      </c>
    </row>
    <row r="2638" spans="1:6" ht="12.75">
      <c r="A2638" s="8">
        <v>43903.929085648153</v>
      </c>
      <c r="B2638" s="8" t="str">
        <f>HYPERLINK("https://twitter.com/ahabibpaat1","@ahabibpaat1")</f>
        <v>@ahabibpaat1</v>
      </c>
      <c r="C2638" s="8" t="s">
        <v>134</v>
      </c>
      <c r="D2638" s="8">
        <v>45</v>
      </c>
      <c r="E2638" s="8">
        <v>0</v>
      </c>
      <c r="F2638" s="8">
        <v>29</v>
      </c>
    </row>
    <row r="2639" spans="1:6" ht="12.75">
      <c r="A2639" s="8">
        <v>43903.928854166668</v>
      </c>
      <c r="B2639" s="8" t="str">
        <f>HYPERLINK("https://twitter.com/Budihar21525608","@Budihar21525608")</f>
        <v>@Budihar21525608</v>
      </c>
      <c r="C2639" s="8" t="s">
        <v>868</v>
      </c>
      <c r="D2639" s="8">
        <v>10</v>
      </c>
      <c r="E2639" s="8">
        <v>0</v>
      </c>
      <c r="F2639" s="8">
        <v>6522</v>
      </c>
    </row>
    <row r="2640" spans="1:6" ht="12.75">
      <c r="A2640" s="8">
        <v>43903.928425925929</v>
      </c>
      <c r="B2640" s="8" t="str">
        <f>HYPERLINK("https://twitter.com/fachryfauzy","@fachryfauzy")</f>
        <v>@fachryfauzy</v>
      </c>
      <c r="C2640" s="8" t="s">
        <v>1465</v>
      </c>
      <c r="D2640" s="8">
        <v>5</v>
      </c>
      <c r="E2640" s="8">
        <v>0</v>
      </c>
      <c r="F2640" s="8">
        <v>328</v>
      </c>
    </row>
    <row r="2641" spans="1:6" ht="12.75">
      <c r="A2641" s="8">
        <v>43903.927256944444</v>
      </c>
      <c r="B2641" s="8" t="str">
        <f>HYPERLINK("https://twitter.com/sakairock","@sakairock")</f>
        <v>@sakairock</v>
      </c>
      <c r="C2641" s="8" t="s">
        <v>1466</v>
      </c>
      <c r="D2641" s="8">
        <v>0</v>
      </c>
      <c r="E2641" s="8">
        <v>0</v>
      </c>
      <c r="F2641" s="8">
        <v>258</v>
      </c>
    </row>
    <row r="2642" spans="1:6" ht="12.75">
      <c r="A2642" s="8">
        <v>43903.926342592589</v>
      </c>
      <c r="B2642" s="8" t="str">
        <f>HYPERLINK("https://twitter.com/BimoMangkulang1","@BimoMangkulang1")</f>
        <v>@BimoMangkulang1</v>
      </c>
      <c r="C2642" s="8" t="s">
        <v>925</v>
      </c>
      <c r="D2642" s="8">
        <v>170</v>
      </c>
      <c r="E2642" s="8">
        <v>0</v>
      </c>
      <c r="F2642" s="8">
        <v>285</v>
      </c>
    </row>
    <row r="2643" spans="1:6" ht="12.75">
      <c r="A2643" s="8">
        <v>43903.926238425927</v>
      </c>
      <c r="B2643" s="8" t="str">
        <f>HYPERLINK("https://twitter.com/gunoto777","@gunoto777")</f>
        <v>@gunoto777</v>
      </c>
      <c r="C2643" s="8" t="s">
        <v>353</v>
      </c>
      <c r="D2643" s="8">
        <v>125</v>
      </c>
      <c r="E2643" s="8">
        <v>0</v>
      </c>
      <c r="F2643" s="8">
        <v>1150</v>
      </c>
    </row>
    <row r="2644" spans="1:6" ht="12.75">
      <c r="A2644" s="8">
        <v>43903.925995370373</v>
      </c>
      <c r="B2644" s="8" t="str">
        <f>HYPERLINK("https://twitter.com/IndoEthio","@IndoEthio")</f>
        <v>@IndoEthio</v>
      </c>
      <c r="C2644" s="8" t="s">
        <v>1467</v>
      </c>
      <c r="D2644" s="8">
        <v>0</v>
      </c>
      <c r="E2644" s="8">
        <v>0</v>
      </c>
      <c r="F2644" s="8">
        <v>3603</v>
      </c>
    </row>
    <row r="2645" spans="1:6" ht="12.75">
      <c r="A2645" s="8">
        <v>43903.925925925927</v>
      </c>
      <c r="B2645" s="8" t="str">
        <f>HYPERLINK("https://twitter.com/RULLYHM10","@RULLYHM10")</f>
        <v>@RULLYHM10</v>
      </c>
      <c r="C2645" s="8" t="s">
        <v>353</v>
      </c>
      <c r="D2645" s="8">
        <v>125</v>
      </c>
      <c r="E2645" s="8">
        <v>0</v>
      </c>
      <c r="F2645" s="8">
        <v>78</v>
      </c>
    </row>
    <row r="2646" spans="1:6" ht="12.75">
      <c r="A2646" s="8">
        <v>43903.925300925926</v>
      </c>
      <c r="B2646" s="8" t="str">
        <f>HYPERLINK("https://twitter.com/ExploreAmadeus","@ExploreAmadeus")</f>
        <v>@ExploreAmadeus</v>
      </c>
      <c r="C2646" s="8" t="s">
        <v>1468</v>
      </c>
      <c r="D2646" s="8">
        <v>1</v>
      </c>
      <c r="E2646" s="8">
        <v>0</v>
      </c>
      <c r="F2646" s="8">
        <v>746</v>
      </c>
    </row>
    <row r="2647" spans="1:6" ht="12.75">
      <c r="A2647" s="8">
        <v>43903.924930555557</v>
      </c>
      <c r="B2647" s="8" t="str">
        <f>HYPERLINK("https://twitter.com/GagakNeww2","@GagakNeww2")</f>
        <v>@GagakNeww2</v>
      </c>
      <c r="C2647" s="8" t="s">
        <v>1469</v>
      </c>
      <c r="D2647" s="8">
        <v>0</v>
      </c>
      <c r="E2647" s="8">
        <v>0</v>
      </c>
      <c r="F2647" s="8">
        <v>580</v>
      </c>
    </row>
    <row r="2648" spans="1:6" ht="12.75">
      <c r="A2648" s="8">
        <v>43903.924907407403</v>
      </c>
      <c r="B2648" s="8" t="str">
        <f>HYPERLINK("https://twitter.com/IndonesiaInWhk","@IndonesiaInWhk")</f>
        <v>@IndonesiaInWhk</v>
      </c>
      <c r="C2648" s="8" t="s">
        <v>1470</v>
      </c>
      <c r="D2648" s="8">
        <v>1</v>
      </c>
      <c r="E2648" s="8">
        <v>0</v>
      </c>
      <c r="F2648" s="8">
        <v>569</v>
      </c>
    </row>
    <row r="2649" spans="1:6" ht="12.75">
      <c r="A2649" s="8">
        <v>43903.924861111111</v>
      </c>
      <c r="B2649" s="8" t="str">
        <f>HYPERLINK("https://twitter.com/findme_o","@findme_o")</f>
        <v>@findme_o</v>
      </c>
      <c r="C2649" s="8" t="s">
        <v>289</v>
      </c>
      <c r="D2649" s="8">
        <v>126</v>
      </c>
      <c r="E2649" s="8">
        <v>0</v>
      </c>
      <c r="F2649" s="8">
        <v>535</v>
      </c>
    </row>
    <row r="2650" spans="1:6" ht="12.75">
      <c r="A2650" s="8">
        <v>43903.924467592587</v>
      </c>
      <c r="B2650" s="8" t="str">
        <f>HYPERLINK("https://twitter.com/ISIS_Balik_NO","@ISIS_Balik_NO")</f>
        <v>@ISIS_Balik_NO</v>
      </c>
      <c r="C2650" s="8" t="s">
        <v>1471</v>
      </c>
      <c r="D2650" s="8">
        <v>0</v>
      </c>
      <c r="E2650" s="8">
        <v>1</v>
      </c>
      <c r="F2650" s="8">
        <v>6281</v>
      </c>
    </row>
    <row r="2651" spans="1:6" ht="12.75">
      <c r="A2651" s="8">
        <v>43903.924456018518</v>
      </c>
      <c r="B2651" s="8" t="str">
        <f>HYPERLINK("https://twitter.com/budakpetonk","@budakpetonk")</f>
        <v>@budakpetonk</v>
      </c>
      <c r="C2651" s="8" t="s">
        <v>1030</v>
      </c>
      <c r="D2651" s="8">
        <v>204</v>
      </c>
      <c r="E2651" s="8">
        <v>0</v>
      </c>
      <c r="F2651" s="8">
        <v>69</v>
      </c>
    </row>
    <row r="2652" spans="1:6" ht="12.75">
      <c r="A2652" s="8">
        <v>43903.924444444448</v>
      </c>
      <c r="B2652" s="8" t="str">
        <f>HYPERLINK("https://twitter.com/prianggoro25","@prianggoro25")</f>
        <v>@prianggoro25</v>
      </c>
      <c r="C2652" s="8" t="s">
        <v>1472</v>
      </c>
      <c r="D2652" s="8">
        <v>0</v>
      </c>
      <c r="E2652" s="8">
        <v>1</v>
      </c>
      <c r="F2652" s="8">
        <v>97</v>
      </c>
    </row>
    <row r="2653" spans="1:6" ht="12.75">
      <c r="A2653" s="8">
        <v>43903.923900462964</v>
      </c>
      <c r="B2653" s="8" t="str">
        <f>HYPERLINK("https://twitter.com/adjieavatara","@adjieavatara")</f>
        <v>@adjieavatara</v>
      </c>
      <c r="C2653" s="8" t="s">
        <v>1473</v>
      </c>
      <c r="D2653" s="8">
        <v>0</v>
      </c>
      <c r="E2653" s="8">
        <v>0</v>
      </c>
      <c r="F2653" s="8">
        <v>3202</v>
      </c>
    </row>
    <row r="2654" spans="1:6" ht="12.75">
      <c r="A2654" s="8">
        <v>43903.922777777778</v>
      </c>
      <c r="B2654" s="8" t="str">
        <f>HYPERLINK("https://twitter.com/belatijiwa","@belatijiwa")</f>
        <v>@belatijiwa</v>
      </c>
      <c r="C2654" s="8" t="s">
        <v>868</v>
      </c>
      <c r="D2654" s="8">
        <v>7</v>
      </c>
      <c r="E2654" s="8">
        <v>0</v>
      </c>
      <c r="F2654" s="8">
        <v>240</v>
      </c>
    </row>
    <row r="2655" spans="1:6" ht="12.75">
      <c r="A2655" s="8">
        <v>43903.922627314816</v>
      </c>
      <c r="B2655" s="8" t="str">
        <f>HYPERLINK("https://twitter.com/faik_fauzaan","@faik_fauzaan")</f>
        <v>@faik_fauzaan</v>
      </c>
      <c r="C2655" s="8" t="s">
        <v>1474</v>
      </c>
      <c r="D2655" s="8">
        <v>1</v>
      </c>
      <c r="E2655" s="8">
        <v>0</v>
      </c>
      <c r="F2655" s="8">
        <v>269</v>
      </c>
    </row>
    <row r="2656" spans="1:6" ht="12.75">
      <c r="A2656" s="8">
        <v>43903.922592592593</v>
      </c>
      <c r="B2656" s="8" t="str">
        <f>HYPERLINK("https://twitter.com/woy_lau","@woy_lau")</f>
        <v>@woy_lau</v>
      </c>
      <c r="C2656" s="8" t="s">
        <v>1475</v>
      </c>
      <c r="D2656" s="8">
        <v>3</v>
      </c>
      <c r="E2656" s="8">
        <v>0</v>
      </c>
      <c r="F2656" s="8">
        <v>184</v>
      </c>
    </row>
    <row r="2657" spans="1:6" ht="12.75">
      <c r="A2657" s="8">
        <v>43903.92224537037</v>
      </c>
      <c r="B2657" s="8" t="str">
        <f>HYPERLINK("https://twitter.com/ISIS_Balik_NO","@ISIS_Balik_NO")</f>
        <v>@ISIS_Balik_NO</v>
      </c>
      <c r="C2657" s="8" t="s">
        <v>1476</v>
      </c>
      <c r="D2657" s="8">
        <v>0</v>
      </c>
      <c r="E2657" s="8">
        <v>0</v>
      </c>
      <c r="F2657" s="8">
        <v>6280</v>
      </c>
    </row>
    <row r="2658" spans="1:6" ht="12.75">
      <c r="A2658" s="8">
        <v>43903.922060185185</v>
      </c>
      <c r="B2658" s="8" t="str">
        <f t="shared" ref="B2658:B2659" si="55">HYPERLINK("https://twitter.com/naadoorie","@naadoorie")</f>
        <v>@naadoorie</v>
      </c>
      <c r="C2658" s="8" t="s">
        <v>1477</v>
      </c>
      <c r="D2658" s="8">
        <v>1</v>
      </c>
      <c r="E2658" s="8">
        <v>0</v>
      </c>
      <c r="F2658" s="8">
        <v>35</v>
      </c>
    </row>
    <row r="2659" spans="1:6" ht="12.75">
      <c r="A2659" s="8">
        <v>43903.921990740739</v>
      </c>
      <c r="B2659" s="8" t="str">
        <f t="shared" si="55"/>
        <v>@naadoorie</v>
      </c>
      <c r="C2659" s="8" t="s">
        <v>1478</v>
      </c>
      <c r="D2659" s="8">
        <v>1</v>
      </c>
      <c r="E2659" s="8">
        <v>1</v>
      </c>
      <c r="F2659" s="8">
        <v>35</v>
      </c>
    </row>
    <row r="2660" spans="1:6" ht="12.75">
      <c r="A2660" s="8">
        <v>43903.921261574069</v>
      </c>
      <c r="B2660" s="8" t="str">
        <f>HYPERLINK("https://twitter.com/WieRamly","@WieRamly")</f>
        <v>@WieRamly</v>
      </c>
      <c r="C2660" s="8" t="s">
        <v>353</v>
      </c>
      <c r="D2660" s="8">
        <v>121</v>
      </c>
      <c r="E2660" s="8">
        <v>0</v>
      </c>
      <c r="F2660" s="8">
        <v>422</v>
      </c>
    </row>
    <row r="2661" spans="1:6" ht="12.75">
      <c r="A2661" s="8">
        <v>43903.921157407407</v>
      </c>
      <c r="B2661" s="8" t="str">
        <f>HYPERLINK("https://twitter.com/Noelstar4","@Noelstar4")</f>
        <v>@Noelstar4</v>
      </c>
      <c r="C2661" s="8" t="s">
        <v>1479</v>
      </c>
      <c r="D2661" s="8">
        <v>1</v>
      </c>
      <c r="E2661" s="8">
        <v>0</v>
      </c>
      <c r="F2661" s="8">
        <v>23</v>
      </c>
    </row>
    <row r="2662" spans="1:6" ht="12.75">
      <c r="A2662" s="8">
        <v>43903.919791666667</v>
      </c>
      <c r="B2662" s="8" t="str">
        <f>HYPERLINK("https://twitter.com/KBRIBaghdad","@KBRIBaghdad")</f>
        <v>@KBRIBaghdad</v>
      </c>
      <c r="C2662" s="8" t="s">
        <v>134</v>
      </c>
      <c r="D2662" s="8">
        <v>41</v>
      </c>
      <c r="E2662" s="8">
        <v>0</v>
      </c>
      <c r="F2662" s="8">
        <v>487</v>
      </c>
    </row>
    <row r="2663" spans="1:6" ht="12.75">
      <c r="A2663" s="8">
        <v>43903.91909722222</v>
      </c>
      <c r="B2663" s="8" t="str">
        <f>HYPERLINK("https://twitter.com/RyuukaTamae","@RyuukaTamae")</f>
        <v>@RyuukaTamae</v>
      </c>
      <c r="C2663" s="8" t="s">
        <v>1459</v>
      </c>
      <c r="D2663" s="8">
        <v>9</v>
      </c>
      <c r="E2663" s="8">
        <v>0</v>
      </c>
      <c r="F2663" s="8">
        <v>257</v>
      </c>
    </row>
    <row r="2664" spans="1:6" ht="12.75">
      <c r="A2664" s="8">
        <v>43903.918900462959</v>
      </c>
      <c r="B2664" s="8" t="str">
        <f>HYPERLINK("https://twitter.com/SasongkoTian","@SasongkoTian")</f>
        <v>@SasongkoTian</v>
      </c>
      <c r="C2664" s="8" t="s">
        <v>1480</v>
      </c>
      <c r="D2664" s="8">
        <v>0</v>
      </c>
      <c r="E2664" s="8">
        <v>0</v>
      </c>
      <c r="F2664" s="8">
        <v>379</v>
      </c>
    </row>
    <row r="2665" spans="1:6" ht="12.75">
      <c r="A2665" s="8">
        <v>43903.918611111112</v>
      </c>
      <c r="B2665" s="8" t="str">
        <f>HYPERLINK("https://twitter.com/TMukherjee6","@TMukherjee6")</f>
        <v>@TMukherjee6</v>
      </c>
      <c r="C2665" s="8" t="s">
        <v>1481</v>
      </c>
      <c r="D2665" s="8">
        <v>0</v>
      </c>
      <c r="E2665" s="8">
        <v>0</v>
      </c>
      <c r="F2665" s="8">
        <v>7</v>
      </c>
    </row>
    <row r="2666" spans="1:6" ht="12.75">
      <c r="A2666" s="8">
        <v>43903.918530092589</v>
      </c>
      <c r="B2666" s="8" t="str">
        <f>HYPERLINK("https://twitter.com/JhondoexlxG","@JhondoexlxG")</f>
        <v>@JhondoexlxG</v>
      </c>
      <c r="C2666" s="8" t="s">
        <v>1482</v>
      </c>
      <c r="D2666" s="8">
        <v>0</v>
      </c>
      <c r="E2666" s="8">
        <v>0</v>
      </c>
      <c r="F2666" s="8">
        <v>560</v>
      </c>
    </row>
    <row r="2667" spans="1:6" ht="12.75">
      <c r="A2667" s="8">
        <v>43903.917604166665</v>
      </c>
      <c r="B2667" s="8" t="str">
        <f>HYPERLINK("https://twitter.com/ErsatKera","@ErsatKera")</f>
        <v>@ErsatKera</v>
      </c>
      <c r="C2667" s="8" t="s">
        <v>1483</v>
      </c>
      <c r="D2667" s="8">
        <v>0</v>
      </c>
      <c r="E2667" s="8">
        <v>0</v>
      </c>
      <c r="F2667" s="8">
        <v>541</v>
      </c>
    </row>
    <row r="2668" spans="1:6" ht="12.75">
      <c r="A2668" s="8">
        <v>43903.915590277778</v>
      </c>
      <c r="B2668" s="8" t="str">
        <f>HYPERLINK("https://twitter.com/Steviyuk","@Steviyuk")</f>
        <v>@Steviyuk</v>
      </c>
      <c r="C2668" s="8" t="s">
        <v>1484</v>
      </c>
      <c r="D2668" s="8">
        <v>0</v>
      </c>
      <c r="E2668" s="8">
        <v>0</v>
      </c>
      <c r="F2668" s="8">
        <v>0</v>
      </c>
    </row>
    <row r="2669" spans="1:6" ht="12.75">
      <c r="A2669" s="8">
        <v>43903.915590277778</v>
      </c>
      <c r="B2669" s="8" t="str">
        <f>HYPERLINK("https://twitter.com/zamrud02","@zamrud02")</f>
        <v>@zamrud02</v>
      </c>
      <c r="C2669" s="8" t="s">
        <v>1148</v>
      </c>
      <c r="D2669" s="8">
        <v>24</v>
      </c>
      <c r="E2669" s="8">
        <v>0</v>
      </c>
      <c r="F2669" s="8">
        <v>191</v>
      </c>
    </row>
    <row r="2670" spans="1:6" ht="12.75">
      <c r="A2670" s="8">
        <v>43903.914270833338</v>
      </c>
      <c r="B2670" s="8" t="str">
        <f>HYPERLINK("https://twitter.com/qruinn","@qruinn")</f>
        <v>@qruinn</v>
      </c>
      <c r="C2670" s="8" t="s">
        <v>868</v>
      </c>
      <c r="D2670" s="8">
        <v>7</v>
      </c>
      <c r="E2670" s="8">
        <v>0</v>
      </c>
      <c r="F2670" s="8">
        <v>941</v>
      </c>
    </row>
    <row r="2671" spans="1:6" ht="12.75">
      <c r="A2671" s="8">
        <v>43903.913518518515</v>
      </c>
      <c r="B2671" s="8" t="str">
        <f>HYPERLINK("https://twitter.com/SQL2ooo","@SQL2ooo")</f>
        <v>@SQL2ooo</v>
      </c>
      <c r="C2671" s="8" t="s">
        <v>1485</v>
      </c>
      <c r="D2671" s="8">
        <v>0</v>
      </c>
      <c r="E2671" s="8">
        <v>0</v>
      </c>
      <c r="F2671" s="8">
        <v>2033</v>
      </c>
    </row>
    <row r="2672" spans="1:6" ht="12.75">
      <c r="A2672" s="8">
        <v>43903.913506944446</v>
      </c>
      <c r="B2672" s="8" t="str">
        <f>HYPERLINK("https://twitter.com/cigcga","@cigcga")</f>
        <v>@cigcga</v>
      </c>
      <c r="C2672" s="8" t="s">
        <v>1486</v>
      </c>
      <c r="D2672" s="8">
        <v>1</v>
      </c>
      <c r="E2672" s="8">
        <v>0</v>
      </c>
      <c r="F2672" s="8">
        <v>317</v>
      </c>
    </row>
    <row r="2673" spans="1:6" ht="12.75">
      <c r="A2673" s="8">
        <v>43903.91306712963</v>
      </c>
      <c r="B2673" s="8" t="str">
        <f>HYPERLINK("https://twitter.com/wni_jmsri","@wni_jmsri")</f>
        <v>@wni_jmsri</v>
      </c>
      <c r="C2673" s="8" t="s">
        <v>1487</v>
      </c>
      <c r="D2673" s="8">
        <v>2095</v>
      </c>
      <c r="E2673" s="8">
        <v>0</v>
      </c>
      <c r="F2673" s="8">
        <v>200</v>
      </c>
    </row>
    <row r="2674" spans="1:6" ht="12.75">
      <c r="A2674" s="8">
        <v>43903.911956018521</v>
      </c>
      <c r="B2674" s="8" t="str">
        <f>HYPERLINK("https://twitter.com/galangekw","@galangekw")</f>
        <v>@galangekw</v>
      </c>
      <c r="C2674" s="8" t="s">
        <v>1488</v>
      </c>
      <c r="D2674" s="8">
        <v>16</v>
      </c>
      <c r="E2674" s="8">
        <v>0</v>
      </c>
      <c r="F2674" s="8">
        <v>21</v>
      </c>
    </row>
    <row r="2675" spans="1:6" ht="12.75">
      <c r="A2675" s="8">
        <v>43903.911921296298</v>
      </c>
      <c r="B2675" s="8" t="str">
        <f>HYPERLINK("https://twitter.com/skylapjuly12","@skylapjuly12")</f>
        <v>@skylapjuly12</v>
      </c>
      <c r="C2675" s="8" t="s">
        <v>1489</v>
      </c>
      <c r="D2675" s="8">
        <v>0</v>
      </c>
      <c r="E2675" s="8">
        <v>1</v>
      </c>
      <c r="F2675" s="8">
        <v>11</v>
      </c>
    </row>
    <row r="2676" spans="1:6" ht="12.75">
      <c r="A2676" s="8">
        <v>43903.911770833336</v>
      </c>
      <c r="B2676" s="8" t="str">
        <f>HYPERLINK("https://twitter.com/hae_wa_dal","@hae_wa_dal")</f>
        <v>@hae_wa_dal</v>
      </c>
      <c r="C2676" s="8" t="s">
        <v>1490</v>
      </c>
      <c r="D2676" s="8">
        <v>1</v>
      </c>
      <c r="E2676" s="8">
        <v>0</v>
      </c>
      <c r="F2676" s="8">
        <v>1113</v>
      </c>
    </row>
    <row r="2677" spans="1:6" ht="12.75">
      <c r="A2677" s="8">
        <v>43903.910381944443</v>
      </c>
      <c r="B2677" s="8" t="str">
        <f>HYPERLINK("https://twitter.com/bersatulahnkri","@bersatulahnkri")</f>
        <v>@bersatulahnkri</v>
      </c>
      <c r="C2677" s="8" t="s">
        <v>1491</v>
      </c>
      <c r="D2677" s="8">
        <v>47</v>
      </c>
      <c r="E2677" s="8">
        <v>0</v>
      </c>
      <c r="F2677" s="8">
        <v>2147</v>
      </c>
    </row>
    <row r="2678" spans="1:6" ht="12.75">
      <c r="A2678" s="8">
        <v>43903.909710648149</v>
      </c>
      <c r="B2678" s="8" t="str">
        <f>HYPERLINK("https://twitter.com/Utpal65438374","@Utpal65438374")</f>
        <v>@Utpal65438374</v>
      </c>
      <c r="C2678" s="8" t="s">
        <v>1492</v>
      </c>
      <c r="D2678" s="8">
        <v>0</v>
      </c>
      <c r="E2678" s="8">
        <v>1</v>
      </c>
      <c r="F2678" s="8">
        <v>7</v>
      </c>
    </row>
    <row r="2679" spans="1:6" ht="12.75">
      <c r="A2679" s="8">
        <v>43903.908680555556</v>
      </c>
      <c r="B2679" s="8" t="str">
        <f>HYPERLINK("https://twitter.com/korintje","@korintje")</f>
        <v>@korintje</v>
      </c>
      <c r="C2679" s="8" t="s">
        <v>1459</v>
      </c>
      <c r="D2679" s="8">
        <v>9</v>
      </c>
      <c r="E2679" s="8">
        <v>0</v>
      </c>
      <c r="F2679" s="8">
        <v>45</v>
      </c>
    </row>
    <row r="2680" spans="1:6" ht="12.75">
      <c r="A2680" s="8">
        <v>43903.907951388886</v>
      </c>
      <c r="B2680" s="8" t="str">
        <f>HYPERLINK("https://twitter.com/TMukherjee6","@TMukherjee6")</f>
        <v>@TMukherjee6</v>
      </c>
      <c r="C2680" s="8" t="s">
        <v>1493</v>
      </c>
      <c r="D2680" s="8">
        <v>0</v>
      </c>
      <c r="E2680" s="8">
        <v>0</v>
      </c>
      <c r="F2680" s="8">
        <v>7</v>
      </c>
    </row>
    <row r="2681" spans="1:6" ht="12.75">
      <c r="A2681" s="8">
        <v>43903.90626157407</v>
      </c>
      <c r="B2681" s="8" t="str">
        <f>HYPERLINK("https://twitter.com/j_sulut","@j_sulut")</f>
        <v>@j_sulut</v>
      </c>
      <c r="C2681" s="8" t="s">
        <v>1332</v>
      </c>
      <c r="D2681" s="8">
        <v>1</v>
      </c>
      <c r="E2681" s="8">
        <v>0</v>
      </c>
      <c r="F2681" s="8">
        <v>1383</v>
      </c>
    </row>
    <row r="2682" spans="1:6" ht="12.75">
      <c r="A2682" s="8">
        <v>43903.905324074076</v>
      </c>
      <c r="B2682" s="8" t="str">
        <f>HYPERLINK("https://twitter.com/Wewei007","@Wewei007")</f>
        <v>@Wewei007</v>
      </c>
      <c r="C2682" s="8" t="s">
        <v>353</v>
      </c>
      <c r="D2682" s="8">
        <v>121</v>
      </c>
      <c r="E2682" s="8">
        <v>0</v>
      </c>
      <c r="F2682" s="8">
        <v>100</v>
      </c>
    </row>
    <row r="2683" spans="1:6" ht="12.75">
      <c r="A2683" s="8">
        <v>43903.90525462963</v>
      </c>
      <c r="B2683" s="8" t="str">
        <f>HYPERLINK("https://twitter.com/ayuuuafr","@ayuuuafr")</f>
        <v>@ayuuuafr</v>
      </c>
      <c r="C2683" s="8" t="s">
        <v>1494</v>
      </c>
      <c r="D2683" s="8">
        <v>0</v>
      </c>
      <c r="E2683" s="8">
        <v>0</v>
      </c>
      <c r="F2683" s="8">
        <v>430</v>
      </c>
    </row>
    <row r="2684" spans="1:6" ht="12.75">
      <c r="A2684" s="8">
        <v>43903.904872685191</v>
      </c>
      <c r="B2684" s="8" t="str">
        <f>HYPERLINK("https://twitter.com/RyanPMardiko","@RyanPMardiko")</f>
        <v>@RyanPMardiko</v>
      </c>
      <c r="C2684" s="8" t="s">
        <v>925</v>
      </c>
      <c r="D2684" s="8">
        <v>165</v>
      </c>
      <c r="E2684" s="8">
        <v>0</v>
      </c>
      <c r="F2684" s="8">
        <v>119</v>
      </c>
    </row>
    <row r="2685" spans="1:6" ht="12.75">
      <c r="A2685" s="8">
        <v>43903.904803240745</v>
      </c>
      <c r="B2685" s="8" t="str">
        <f>HYPERLINK("https://twitter.com/IndonesiaInWhk","@IndonesiaInWhk")</f>
        <v>@IndonesiaInWhk</v>
      </c>
      <c r="C2685" s="8" t="s">
        <v>693</v>
      </c>
      <c r="D2685" s="8">
        <v>0</v>
      </c>
      <c r="E2685" s="8">
        <v>0</v>
      </c>
      <c r="F2685" s="8">
        <v>569</v>
      </c>
    </row>
    <row r="2686" spans="1:6" ht="12.75">
      <c r="A2686" s="8">
        <v>43903.904513888891</v>
      </c>
      <c r="B2686" s="8" t="str">
        <f>HYPERLINK("https://twitter.com/wrongwaykid_","@wrongwaykid_")</f>
        <v>@wrongwaykid_</v>
      </c>
      <c r="C2686" s="8" t="s">
        <v>868</v>
      </c>
      <c r="D2686" s="8">
        <v>7</v>
      </c>
      <c r="E2686" s="8">
        <v>0</v>
      </c>
      <c r="F2686" s="8">
        <v>1515</v>
      </c>
    </row>
    <row r="2687" spans="1:6" ht="12.75">
      <c r="A2687" s="8">
        <v>43903.903749999998</v>
      </c>
      <c r="B2687" s="8" t="str">
        <f>HYPERLINK("https://twitter.com/BayuBoyaa","@BayuBoyaa")</f>
        <v>@BayuBoyaa</v>
      </c>
      <c r="C2687" s="8" t="s">
        <v>868</v>
      </c>
      <c r="D2687" s="8">
        <v>7</v>
      </c>
      <c r="E2687" s="8">
        <v>0</v>
      </c>
      <c r="F2687" s="8">
        <v>203</v>
      </c>
    </row>
    <row r="2688" spans="1:6" ht="12.75">
      <c r="A2688" s="8">
        <v>43903.903321759259</v>
      </c>
      <c r="B2688" s="8" t="str">
        <f>HYPERLINK("https://twitter.com/DamarT18","@DamarT18")</f>
        <v>@DamarT18</v>
      </c>
      <c r="C2688" s="8" t="s">
        <v>1495</v>
      </c>
      <c r="D2688" s="8">
        <v>2</v>
      </c>
      <c r="E2688" s="8">
        <v>0</v>
      </c>
      <c r="F2688" s="8">
        <v>77</v>
      </c>
    </row>
    <row r="2689" spans="1:6" ht="12.75">
      <c r="A2689" s="8">
        <v>43903.903078703705</v>
      </c>
      <c r="B2689" s="8" t="str">
        <f>HYPERLINK("https://twitter.com/KBRI__Roma","@KBRI__Roma")</f>
        <v>@KBRI__Roma</v>
      </c>
      <c r="C2689" s="8" t="s">
        <v>1496</v>
      </c>
      <c r="D2689" s="8">
        <v>0</v>
      </c>
      <c r="E2689" s="8">
        <v>0</v>
      </c>
      <c r="F2689" s="8">
        <v>1104</v>
      </c>
    </row>
    <row r="2690" spans="1:6" ht="12.75">
      <c r="A2690" s="8">
        <v>43903.90225694445</v>
      </c>
      <c r="B2690" s="8" t="str">
        <f>HYPERLINK("https://twitter.com/afifhansuri03","@afifhansuri03")</f>
        <v>@afifhansuri03</v>
      </c>
      <c r="C2690" s="8" t="s">
        <v>1497</v>
      </c>
      <c r="D2690" s="8">
        <v>0</v>
      </c>
      <c r="E2690" s="8">
        <v>0</v>
      </c>
      <c r="F2690" s="8">
        <v>12</v>
      </c>
    </row>
    <row r="2691" spans="1:6" ht="12.75">
      <c r="A2691" s="8">
        <v>43903.902048611111</v>
      </c>
      <c r="B2691" s="8" t="str">
        <f>HYPERLINK("https://twitter.com/kitsiangfreddy","@kitsiangfreddy")</f>
        <v>@kitsiangfreddy</v>
      </c>
      <c r="C2691" s="8" t="s">
        <v>874</v>
      </c>
      <c r="D2691" s="8">
        <v>61</v>
      </c>
      <c r="E2691" s="8">
        <v>0</v>
      </c>
      <c r="F2691" s="8">
        <v>2300</v>
      </c>
    </row>
    <row r="2692" spans="1:6" ht="12.75">
      <c r="A2692" s="8">
        <v>43903.901990740742</v>
      </c>
      <c r="B2692" s="8" t="str">
        <f>HYPERLINK("https://twitter.com/arryprof","@arryprof")</f>
        <v>@arryprof</v>
      </c>
      <c r="C2692" s="8" t="s">
        <v>868</v>
      </c>
      <c r="D2692" s="8">
        <v>7</v>
      </c>
      <c r="E2692" s="8">
        <v>0</v>
      </c>
      <c r="F2692" s="8">
        <v>279</v>
      </c>
    </row>
    <row r="2693" spans="1:6" ht="12.75">
      <c r="A2693" s="8">
        <v>43903.901979166665</v>
      </c>
      <c r="B2693" s="8" t="str">
        <f>HYPERLINK("https://twitter.com/watashiwaWidya","@watashiwaWidya")</f>
        <v>@watashiwaWidya</v>
      </c>
      <c r="C2693" s="8" t="s">
        <v>1491</v>
      </c>
      <c r="D2693" s="8">
        <v>47</v>
      </c>
      <c r="E2693" s="8">
        <v>0</v>
      </c>
      <c r="F2693" s="8">
        <v>515</v>
      </c>
    </row>
    <row r="2694" spans="1:6" ht="12.75">
      <c r="A2694" s="8">
        <v>43903.900972222225</v>
      </c>
      <c r="B2694" s="8" t="str">
        <f>HYPERLINK("https://twitter.com/ThataCyrill","@ThataCyrill")</f>
        <v>@ThataCyrill</v>
      </c>
      <c r="C2694" s="8" t="s">
        <v>1498</v>
      </c>
      <c r="D2694" s="8">
        <v>0</v>
      </c>
      <c r="E2694" s="8">
        <v>0</v>
      </c>
      <c r="F2694" s="8">
        <v>214</v>
      </c>
    </row>
    <row r="2695" spans="1:6" ht="12.75">
      <c r="A2695" s="8">
        <v>43903.900555555556</v>
      </c>
      <c r="B2695" s="8" t="str">
        <f>HYPERLINK("https://twitter.com/Antara_Jabar","@Antara_Jabar")</f>
        <v>@Antara_Jabar</v>
      </c>
      <c r="C2695" s="8" t="s">
        <v>1499</v>
      </c>
      <c r="D2695" s="8">
        <v>0</v>
      </c>
      <c r="E2695" s="8">
        <v>0</v>
      </c>
      <c r="F2695" s="8">
        <v>1670</v>
      </c>
    </row>
    <row r="2696" spans="1:6" ht="12.75">
      <c r="A2696" s="8">
        <v>43903.900381944448</v>
      </c>
      <c r="B2696" s="8" t="str">
        <f>HYPERLINK("https://twitter.com/neen4noor","@neen4noor")</f>
        <v>@neen4noor</v>
      </c>
      <c r="C2696" s="8" t="s">
        <v>353</v>
      </c>
      <c r="D2696" s="8">
        <v>121</v>
      </c>
      <c r="E2696" s="8">
        <v>0</v>
      </c>
      <c r="F2696" s="8">
        <v>896</v>
      </c>
    </row>
    <row r="2697" spans="1:6" ht="12.75">
      <c r="A2697" s="8">
        <v>43903.900370370371</v>
      </c>
      <c r="B2697" s="8" t="str">
        <f>HYPERLINK("https://twitter.com/KBRIMADRID","@KBRIMADRID")</f>
        <v>@KBRIMADRID</v>
      </c>
      <c r="C2697" s="8" t="s">
        <v>134</v>
      </c>
      <c r="D2697" s="8">
        <v>41</v>
      </c>
      <c r="E2697" s="8">
        <v>0</v>
      </c>
      <c r="F2697" s="8">
        <v>768</v>
      </c>
    </row>
    <row r="2698" spans="1:6" ht="12.75">
      <c r="A2698" s="8">
        <v>43903.900023148148</v>
      </c>
      <c r="B2698" s="8" t="str">
        <f>HYPERLINK("https://twitter.com/pangerantroya1","@pangerantroya1")</f>
        <v>@pangerantroya1</v>
      </c>
      <c r="C2698" s="8" t="s">
        <v>868</v>
      </c>
      <c r="D2698" s="8">
        <v>7</v>
      </c>
      <c r="E2698" s="8">
        <v>0</v>
      </c>
      <c r="F2698" s="8">
        <v>7062</v>
      </c>
    </row>
    <row r="2699" spans="1:6" ht="12.75">
      <c r="A2699" s="8">
        <v>43903.900023148148</v>
      </c>
      <c r="B2699" s="8" t="str">
        <f>HYPERLINK("https://twitter.com/sifa_farida","@sifa_farida")</f>
        <v>@sifa_farida</v>
      </c>
      <c r="C2699" s="8" t="s">
        <v>1495</v>
      </c>
      <c r="D2699" s="8">
        <v>2</v>
      </c>
      <c r="E2699" s="8">
        <v>0</v>
      </c>
      <c r="F2699" s="8">
        <v>1001</v>
      </c>
    </row>
    <row r="2700" spans="1:6" ht="12.75">
      <c r="A2700" s="8">
        <v>43903.899849537032</v>
      </c>
      <c r="B2700" s="8" t="str">
        <f>HYPERLINK("https://twitter.com/noezon","@noezon")</f>
        <v>@noezon</v>
      </c>
      <c r="C2700" s="8" t="s">
        <v>1500</v>
      </c>
      <c r="D2700" s="8">
        <v>0</v>
      </c>
      <c r="E2700" s="8">
        <v>0</v>
      </c>
      <c r="F2700" s="8">
        <v>713</v>
      </c>
    </row>
    <row r="2701" spans="1:6" ht="12.75">
      <c r="A2701" s="8">
        <v>43903.899375000001</v>
      </c>
      <c r="B2701" s="8" t="str">
        <f>HYPERLINK("https://twitter.com/Fathur4521","@Fathur4521")</f>
        <v>@Fathur4521</v>
      </c>
      <c r="C2701" s="8" t="s">
        <v>1148</v>
      </c>
      <c r="D2701" s="8">
        <v>24</v>
      </c>
      <c r="E2701" s="8">
        <v>0</v>
      </c>
      <c r="F2701" s="8">
        <v>67</v>
      </c>
    </row>
    <row r="2702" spans="1:6" ht="12.75">
      <c r="A2702" s="8">
        <v>43903.898958333331</v>
      </c>
      <c r="B2702" s="8" t="str">
        <f>HYPERLINK("https://twitter.com/jannotama","@jannotama")</f>
        <v>@jannotama</v>
      </c>
      <c r="C2702" s="8" t="s">
        <v>1501</v>
      </c>
      <c r="D2702" s="8">
        <v>0</v>
      </c>
      <c r="E2702" s="8">
        <v>0</v>
      </c>
      <c r="F2702" s="8">
        <v>327</v>
      </c>
    </row>
    <row r="2703" spans="1:6" ht="12.75">
      <c r="A2703" s="8">
        <v>43903.898912037039</v>
      </c>
      <c r="B2703" s="8" t="str">
        <f>HYPERLINK("https://twitter.com/eben_heizer","@eben_heizer")</f>
        <v>@eben_heizer</v>
      </c>
      <c r="C2703" s="8" t="s">
        <v>925</v>
      </c>
      <c r="D2703" s="8">
        <v>165</v>
      </c>
      <c r="E2703" s="8">
        <v>0</v>
      </c>
      <c r="F2703" s="8">
        <v>1620</v>
      </c>
    </row>
    <row r="2704" spans="1:6" ht="12.75">
      <c r="A2704" s="8">
        <v>43903.898206018523</v>
      </c>
      <c r="B2704" s="8" t="str">
        <f>HYPERLINK("https://twitter.com/INAinLebanon","@INAinLebanon")</f>
        <v>@INAinLebanon</v>
      </c>
      <c r="C2704" s="8" t="s">
        <v>1502</v>
      </c>
      <c r="D2704" s="8">
        <v>0</v>
      </c>
      <c r="E2704" s="8">
        <v>0</v>
      </c>
      <c r="F2704" s="8">
        <v>77</v>
      </c>
    </row>
    <row r="2705" spans="1:6" ht="12.75">
      <c r="A2705" s="8">
        <v>43903.898009259261</v>
      </c>
      <c r="B2705" s="8" t="str">
        <f>HYPERLINK("https://twitter.com/Mentimoen","@Mentimoen")</f>
        <v>@Mentimoen</v>
      </c>
      <c r="C2705" s="8" t="s">
        <v>1503</v>
      </c>
      <c r="D2705" s="8">
        <v>7</v>
      </c>
      <c r="E2705" s="8">
        <v>10</v>
      </c>
      <c r="F2705" s="8">
        <v>30425</v>
      </c>
    </row>
    <row r="2706" spans="1:6" ht="12.75">
      <c r="A2706" s="8">
        <v>43903.89707175926</v>
      </c>
      <c r="B2706" s="8" t="str">
        <f>HYPERLINK("https://twitter.com/Handrislow84","@Handrislow84")</f>
        <v>@Handrislow84</v>
      </c>
      <c r="C2706" s="8" t="s">
        <v>353</v>
      </c>
      <c r="D2706" s="8">
        <v>121</v>
      </c>
      <c r="E2706" s="8">
        <v>0</v>
      </c>
      <c r="F2706" s="8">
        <v>2035</v>
      </c>
    </row>
    <row r="2707" spans="1:6" ht="12.75">
      <c r="A2707" s="8">
        <v>43903.897013888884</v>
      </c>
      <c r="B2707" s="8" t="str">
        <f>HYPERLINK("https://twitter.com/merdekadotcom","@merdekadotcom")</f>
        <v>@merdekadotcom</v>
      </c>
      <c r="C2707" s="8" t="s">
        <v>1504</v>
      </c>
      <c r="D2707" s="8">
        <v>2</v>
      </c>
      <c r="E2707" s="8">
        <v>3</v>
      </c>
      <c r="F2707" s="8">
        <v>232162</v>
      </c>
    </row>
    <row r="2708" spans="1:6" ht="12.75">
      <c r="A2708" s="8">
        <v>43903.896643518514</v>
      </c>
      <c r="B2708" s="8" t="str">
        <f>HYPERLINK("https://twitter.com/neen4noor","@neen4noor")</f>
        <v>@neen4noor</v>
      </c>
      <c r="C2708" s="8" t="s">
        <v>925</v>
      </c>
      <c r="D2708" s="8">
        <v>165</v>
      </c>
      <c r="E2708" s="8">
        <v>0</v>
      </c>
      <c r="F2708" s="8">
        <v>896</v>
      </c>
    </row>
    <row r="2709" spans="1:6" ht="12.75">
      <c r="A2709" s="8">
        <v>43903.896469907406</v>
      </c>
      <c r="B2709" s="8" t="str">
        <f>HYPERLINK("https://twitter.com/dondihananto","@dondihananto")</f>
        <v>@dondihananto</v>
      </c>
      <c r="C2709" s="8" t="s">
        <v>1505</v>
      </c>
      <c r="D2709" s="8">
        <v>1</v>
      </c>
      <c r="E2709" s="8">
        <v>3</v>
      </c>
      <c r="F2709" s="8">
        <v>25328</v>
      </c>
    </row>
    <row r="2710" spans="1:6" ht="12.75">
      <c r="A2710" s="8">
        <v>43903.896238425921</v>
      </c>
      <c r="B2710" s="8" t="str">
        <f>HYPERLINK("https://twitter.com/JohnDo08621180","@JohnDo08621180")</f>
        <v>@JohnDo08621180</v>
      </c>
      <c r="C2710" s="8" t="s">
        <v>1506</v>
      </c>
      <c r="D2710" s="8">
        <v>0</v>
      </c>
      <c r="E2710" s="8">
        <v>0</v>
      </c>
      <c r="F2710" s="8">
        <v>3946</v>
      </c>
    </row>
    <row r="2711" spans="1:6" ht="12.75">
      <c r="A2711" s="8">
        <v>43903.89571759259</v>
      </c>
      <c r="B2711" s="8" t="str">
        <f>HYPERLINK("https://twitter.com/jawapos","@jawapos")</f>
        <v>@jawapos</v>
      </c>
      <c r="C2711" s="8" t="s">
        <v>1507</v>
      </c>
      <c r="D2711" s="8">
        <v>0</v>
      </c>
      <c r="E2711" s="8">
        <v>1</v>
      </c>
      <c r="F2711" s="8">
        <v>129776</v>
      </c>
    </row>
    <row r="2712" spans="1:6" ht="12.75">
      <c r="A2712" s="8">
        <v>43903.894409722227</v>
      </c>
      <c r="B2712" s="8" t="str">
        <f>HYPERLINK("https://twitter.com/bangkitriambada","@bangkitriambada")</f>
        <v>@bangkitriambada</v>
      </c>
      <c r="C2712" s="8" t="s">
        <v>1508</v>
      </c>
      <c r="D2712" s="8">
        <v>2</v>
      </c>
      <c r="E2712" s="8">
        <v>0</v>
      </c>
      <c r="F2712" s="8">
        <v>208</v>
      </c>
    </row>
    <row r="2713" spans="1:6" ht="12.75">
      <c r="A2713" s="8">
        <v>43903.894317129627</v>
      </c>
      <c r="B2713" s="8" t="str">
        <f>HYPERLINK("https://twitter.com/justbob616","@justbob616")</f>
        <v>@justbob616</v>
      </c>
      <c r="C2713" s="8" t="s">
        <v>874</v>
      </c>
      <c r="D2713" s="8">
        <v>61</v>
      </c>
      <c r="E2713" s="8">
        <v>0</v>
      </c>
      <c r="F2713" s="8">
        <v>964</v>
      </c>
    </row>
    <row r="2714" spans="1:6" ht="12.75">
      <c r="A2714" s="8">
        <v>43903.893865740742</v>
      </c>
      <c r="B2714" s="8" t="str">
        <f>HYPERLINK("https://twitter.com/RonaldLampard8","@RonaldLampard8")</f>
        <v>@RonaldLampard8</v>
      </c>
      <c r="C2714" s="8" t="s">
        <v>874</v>
      </c>
      <c r="D2714" s="8">
        <v>61</v>
      </c>
      <c r="E2714" s="8">
        <v>0</v>
      </c>
      <c r="F2714" s="8">
        <v>3050</v>
      </c>
    </row>
    <row r="2715" spans="1:6" ht="12.75">
      <c r="A2715" s="8">
        <v>43903.893680555557</v>
      </c>
      <c r="B2715" s="8" t="str">
        <f>HYPERLINK("https://twitter.com/bangkitriambada","@bangkitriambada")</f>
        <v>@bangkitriambada</v>
      </c>
      <c r="C2715" s="8" t="s">
        <v>1509</v>
      </c>
      <c r="D2715" s="8">
        <v>3</v>
      </c>
      <c r="E2715" s="8">
        <v>0</v>
      </c>
      <c r="F2715" s="8">
        <v>208</v>
      </c>
    </row>
    <row r="2716" spans="1:6" ht="12.75">
      <c r="A2716" s="8">
        <v>43903.892777777779</v>
      </c>
      <c r="B2716" s="8" t="str">
        <f>HYPERLINK("https://twitter.com/sunankaligempol","@sunankaligempol")</f>
        <v>@sunankaligempol</v>
      </c>
      <c r="C2716" s="8" t="s">
        <v>1510</v>
      </c>
      <c r="D2716" s="8">
        <v>2</v>
      </c>
      <c r="E2716" s="8">
        <v>0</v>
      </c>
      <c r="F2716" s="8">
        <v>1105</v>
      </c>
    </row>
    <row r="2717" spans="1:6" ht="12.75">
      <c r="A2717" s="8">
        <v>43903.892754629633</v>
      </c>
      <c r="B2717" s="8" t="str">
        <f>HYPERLINK("https://twitter.com/_wni_","@_wni_")</f>
        <v>@_wni_</v>
      </c>
      <c r="C2717" s="8" t="s">
        <v>1511</v>
      </c>
      <c r="D2717" s="8">
        <v>0</v>
      </c>
      <c r="E2717" s="8">
        <v>0</v>
      </c>
      <c r="F2717" s="8">
        <v>21</v>
      </c>
    </row>
    <row r="2718" spans="1:6" ht="12.75">
      <c r="A2718" s="8">
        <v>43903.892210648148</v>
      </c>
      <c r="B2718" s="8" t="str">
        <f>HYPERLINK("https://twitter.com/bangkitriambada","@bangkitriambada")</f>
        <v>@bangkitriambada</v>
      </c>
      <c r="C2718" s="8" t="s">
        <v>1512</v>
      </c>
      <c r="D2718" s="8">
        <v>3</v>
      </c>
      <c r="E2718" s="8">
        <v>0</v>
      </c>
      <c r="F2718" s="8">
        <v>208</v>
      </c>
    </row>
    <row r="2719" spans="1:6" ht="12.75">
      <c r="A2719" s="8">
        <v>43903.891689814816</v>
      </c>
      <c r="B2719" s="8" t="str">
        <f>HYPERLINK("https://twitter.com/VIVAcoid","@VIVAcoid")</f>
        <v>@VIVAcoid</v>
      </c>
      <c r="C2719" s="8" t="s">
        <v>1513</v>
      </c>
      <c r="D2719" s="8">
        <v>1</v>
      </c>
      <c r="E2719" s="8">
        <v>0</v>
      </c>
      <c r="F2719" s="8">
        <v>4177291</v>
      </c>
    </row>
    <row r="2720" spans="1:6" ht="12.75">
      <c r="A2720" s="8">
        <v>43903.891342592593</v>
      </c>
      <c r="B2720" s="8" t="str">
        <f>HYPERLINK("https://twitter.com/vivanewscom","@vivanewscom")</f>
        <v>@vivanewscom</v>
      </c>
      <c r="C2720" s="8" t="s">
        <v>1514</v>
      </c>
      <c r="D2720" s="8">
        <v>1</v>
      </c>
      <c r="E2720" s="8">
        <v>2</v>
      </c>
      <c r="F2720" s="8">
        <v>4966</v>
      </c>
    </row>
    <row r="2721" spans="1:6" ht="12.75">
      <c r="A2721" s="8">
        <v>43903.889178240745</v>
      </c>
      <c r="B2721" s="8" t="str">
        <f>HYPERLINK("https://twitter.com/Broto__Seno","@Broto__Seno")</f>
        <v>@Broto__Seno</v>
      </c>
      <c r="C2721" s="8" t="s">
        <v>1515</v>
      </c>
      <c r="D2721" s="8">
        <v>0</v>
      </c>
      <c r="E2721" s="8">
        <v>0</v>
      </c>
      <c r="F2721" s="8">
        <v>3364</v>
      </c>
    </row>
    <row r="2722" spans="1:6" ht="12.75">
      <c r="A2722" s="8">
        <v>43903.886979166666</v>
      </c>
      <c r="B2722" s="8" t="str">
        <f>HYPERLINK("https://twitter.com/kbrimanama","@kbrimanama")</f>
        <v>@kbrimanama</v>
      </c>
      <c r="C2722" s="8" t="s">
        <v>134</v>
      </c>
      <c r="D2722" s="8">
        <v>41</v>
      </c>
      <c r="E2722" s="8">
        <v>0</v>
      </c>
      <c r="F2722" s="8">
        <v>1432</v>
      </c>
    </row>
    <row r="2723" spans="1:6" ht="12.75">
      <c r="A2723" s="8">
        <v>43903.886412037042</v>
      </c>
      <c r="B2723" s="8" t="str">
        <f>HYPERLINK("https://twitter.com/sktripathi1","@sktripathi1")</f>
        <v>@sktripathi1</v>
      </c>
      <c r="C2723" s="8" t="s">
        <v>1516</v>
      </c>
      <c r="D2723" s="8">
        <v>7</v>
      </c>
      <c r="E2723" s="8">
        <v>0</v>
      </c>
      <c r="F2723" s="8">
        <v>783</v>
      </c>
    </row>
    <row r="2724" spans="1:6" ht="12.75">
      <c r="A2724" s="8">
        <v>43903.886180555557</v>
      </c>
      <c r="B2724" s="8" t="str">
        <f>HYPERLINK("https://twitter.com/SENDYYeah","@SENDYYeah")</f>
        <v>@SENDYYeah</v>
      </c>
      <c r="C2724" s="8" t="s">
        <v>1517</v>
      </c>
      <c r="D2724" s="8">
        <v>0</v>
      </c>
      <c r="E2724" s="8">
        <v>0</v>
      </c>
      <c r="F2724" s="8">
        <v>688</v>
      </c>
    </row>
    <row r="2725" spans="1:6" ht="12.75">
      <c r="A2725" s="8">
        <v>43903.886041666672</v>
      </c>
      <c r="B2725" s="8" t="str">
        <f>HYPERLINK("https://twitter.com/vitta_mangelep","@vitta_mangelep")</f>
        <v>@vitta_mangelep</v>
      </c>
      <c r="C2725" s="8" t="s">
        <v>1518</v>
      </c>
      <c r="D2725" s="8">
        <v>4</v>
      </c>
      <c r="E2725" s="8">
        <v>0</v>
      </c>
      <c r="F2725" s="8">
        <v>970</v>
      </c>
    </row>
    <row r="2726" spans="1:6" ht="12.75">
      <c r="A2726" s="8">
        <v>43903.885624999995</v>
      </c>
      <c r="B2726" s="8" t="str">
        <f>HYPERLINK("https://twitter.com/KATADATAcoid","@KATADATAcoid")</f>
        <v>@KATADATAcoid</v>
      </c>
      <c r="C2726" s="8" t="s">
        <v>1519</v>
      </c>
      <c r="D2726" s="8">
        <v>0</v>
      </c>
      <c r="E2726" s="8">
        <v>1</v>
      </c>
      <c r="F2726" s="8">
        <v>42172</v>
      </c>
    </row>
    <row r="2727" spans="1:6" ht="12.75">
      <c r="A2727" s="8">
        <v>43903.885416666672</v>
      </c>
      <c r="B2727" s="8" t="str">
        <f>HYPERLINK("https://twitter.com/jusstme4u","@jusstme4u")</f>
        <v>@jusstme4u</v>
      </c>
      <c r="C2727" s="8" t="s">
        <v>1520</v>
      </c>
      <c r="D2727" s="8">
        <v>0</v>
      </c>
      <c r="E2727" s="8">
        <v>0</v>
      </c>
      <c r="F2727" s="8">
        <v>75827</v>
      </c>
    </row>
    <row r="2728" spans="1:6" ht="12.75">
      <c r="A2728" s="8">
        <v>43903.884710648148</v>
      </c>
      <c r="B2728" s="8" t="str">
        <f>HYPERLINK("https://twitter.com/musadad5120","@musadad5120")</f>
        <v>@musadad5120</v>
      </c>
      <c r="C2728" s="8" t="s">
        <v>1521</v>
      </c>
      <c r="D2728" s="8">
        <v>0</v>
      </c>
      <c r="E2728" s="8">
        <v>0</v>
      </c>
      <c r="F2728" s="8">
        <v>1391</v>
      </c>
    </row>
    <row r="2729" spans="1:6" ht="12.75">
      <c r="A2729" s="8">
        <v>43903.883715277778</v>
      </c>
      <c r="B2729" s="8" t="str">
        <f>HYPERLINK("https://twitter.com/Antara_Jabar","@Antara_Jabar")</f>
        <v>@Antara_Jabar</v>
      </c>
      <c r="C2729" s="8" t="s">
        <v>1522</v>
      </c>
      <c r="D2729" s="8">
        <v>0</v>
      </c>
      <c r="E2729" s="8">
        <v>0</v>
      </c>
      <c r="F2729" s="8">
        <v>1670</v>
      </c>
    </row>
    <row r="2730" spans="1:6" ht="12.75">
      <c r="A2730" s="8">
        <v>43903.883587962962</v>
      </c>
      <c r="B2730" s="8" t="str">
        <f>HYPERLINK("https://twitter.com/luckypoki_","@luckypoki_")</f>
        <v>@luckypoki_</v>
      </c>
      <c r="C2730" s="8" t="s">
        <v>1523</v>
      </c>
      <c r="D2730" s="8">
        <v>0</v>
      </c>
      <c r="E2730" s="8">
        <v>0</v>
      </c>
      <c r="F2730" s="8">
        <v>72</v>
      </c>
    </row>
    <row r="2731" spans="1:6" ht="12.75">
      <c r="A2731" s="8">
        <v>43903.882766203707</v>
      </c>
      <c r="B2731" s="8" t="str">
        <f>HYPERLINK("https://twitter.com/ANS19842","@ANS19842")</f>
        <v>@ANS19842</v>
      </c>
      <c r="C2731" s="8" t="s">
        <v>1524</v>
      </c>
      <c r="D2731" s="8">
        <v>2</v>
      </c>
      <c r="E2731" s="8">
        <v>0</v>
      </c>
      <c r="F2731" s="8">
        <v>33</v>
      </c>
    </row>
    <row r="2732" spans="1:6" ht="12.75">
      <c r="A2732" s="8">
        <v>43903.882337962961</v>
      </c>
      <c r="B2732" s="8" t="str">
        <f>HYPERLINK("https://twitter.com/terseonghwakan","@terseonghwakan")</f>
        <v>@terseonghwakan</v>
      </c>
      <c r="C2732" s="8" t="s">
        <v>1525</v>
      </c>
      <c r="D2732" s="8">
        <v>0</v>
      </c>
      <c r="E2732" s="8">
        <v>0</v>
      </c>
      <c r="F2732" s="8">
        <v>73</v>
      </c>
    </row>
    <row r="2733" spans="1:6" ht="12.75">
      <c r="A2733" s="8">
        <v>43903.882256944446</v>
      </c>
      <c r="B2733" s="8" t="str">
        <f>HYPERLINK("https://twitter.com/Paulus_willy","@Paulus_willy")</f>
        <v>@Paulus_willy</v>
      </c>
      <c r="C2733" s="8" t="s">
        <v>1131</v>
      </c>
      <c r="D2733" s="8">
        <v>5</v>
      </c>
      <c r="E2733" s="8">
        <v>0</v>
      </c>
      <c r="F2733" s="8">
        <v>2101</v>
      </c>
    </row>
    <row r="2734" spans="1:6" ht="12.75">
      <c r="A2734" s="8">
        <v>43903.881736111114</v>
      </c>
      <c r="B2734" s="8" t="str">
        <f>HYPERLINK("https://twitter.com/Apriliyanto66","@Apriliyanto66")</f>
        <v>@Apriliyanto66</v>
      </c>
      <c r="C2734" s="8" t="s">
        <v>1526</v>
      </c>
      <c r="D2734" s="8">
        <v>0</v>
      </c>
      <c r="E2734" s="8">
        <v>0</v>
      </c>
      <c r="F2734" s="8">
        <v>103</v>
      </c>
    </row>
    <row r="2735" spans="1:6" ht="12.75">
      <c r="A2735" s="8">
        <v>43903.881168981483</v>
      </c>
      <c r="B2735" s="8" t="str">
        <f>HYPERLINK("https://twitter.com/21Lai21","@21Lai21")</f>
        <v>@21Lai21</v>
      </c>
      <c r="C2735" s="8" t="s">
        <v>138</v>
      </c>
      <c r="D2735" s="8">
        <v>2</v>
      </c>
      <c r="E2735" s="8">
        <v>0</v>
      </c>
      <c r="F2735" s="8">
        <v>310</v>
      </c>
    </row>
    <row r="2736" spans="1:6" ht="12.75">
      <c r="A2736" s="8">
        <v>43903.880405092597</v>
      </c>
      <c r="B2736" s="8" t="str">
        <f>HYPERLINK("https://twitter.com/akuitusianu","@akuitusianu")</f>
        <v>@akuitusianu</v>
      </c>
      <c r="C2736" s="8" t="s">
        <v>1527</v>
      </c>
      <c r="D2736" s="8">
        <v>0</v>
      </c>
      <c r="E2736" s="8">
        <v>0</v>
      </c>
      <c r="F2736" s="8">
        <v>2607</v>
      </c>
    </row>
    <row r="2737" spans="1:6" ht="12.75">
      <c r="A2737" s="8">
        <v>43903.880300925928</v>
      </c>
      <c r="B2737" s="8" t="str">
        <f>HYPERLINK("https://twitter.com/insider_geek","@insider_geek")</f>
        <v>@insider_geek</v>
      </c>
      <c r="C2737" s="8" t="s">
        <v>1528</v>
      </c>
      <c r="D2737" s="8">
        <v>4</v>
      </c>
      <c r="E2737" s="8">
        <v>0</v>
      </c>
      <c r="F2737" s="8">
        <v>110</v>
      </c>
    </row>
    <row r="2738" spans="1:6" ht="12.75">
      <c r="A2738" s="8">
        <v>43903.879513888889</v>
      </c>
      <c r="B2738" s="8" t="str">
        <f>HYPERLINK("https://twitter.com/bukanSiZonkie","@bukanSiZonkie")</f>
        <v>@bukanSiZonkie</v>
      </c>
      <c r="C2738" s="8" t="s">
        <v>353</v>
      </c>
      <c r="D2738" s="8">
        <v>112</v>
      </c>
      <c r="E2738" s="8">
        <v>0</v>
      </c>
      <c r="F2738" s="8">
        <v>145</v>
      </c>
    </row>
    <row r="2739" spans="1:6" ht="12.75">
      <c r="A2739" s="8">
        <v>43903.879236111112</v>
      </c>
      <c r="B2739" s="8" t="str">
        <f>HYPERLINK("https://twitter.com/BrantasPN","@BrantasPN")</f>
        <v>@BrantasPN</v>
      </c>
      <c r="C2739" s="8" t="s">
        <v>983</v>
      </c>
      <c r="D2739" s="8">
        <v>4</v>
      </c>
      <c r="E2739" s="8">
        <v>0</v>
      </c>
      <c r="F2739" s="8">
        <v>643</v>
      </c>
    </row>
    <row r="2740" spans="1:6" ht="12.75">
      <c r="A2740" s="8">
        <v>43903.878831018519</v>
      </c>
      <c r="B2740" s="8" t="str">
        <f>HYPERLINK("https://twitter.com/KurnadiD","@KurnadiD")</f>
        <v>@KurnadiD</v>
      </c>
      <c r="C2740" s="8" t="s">
        <v>353</v>
      </c>
      <c r="D2740" s="8">
        <v>112</v>
      </c>
      <c r="E2740" s="8">
        <v>0</v>
      </c>
      <c r="F2740" s="8">
        <v>1142</v>
      </c>
    </row>
    <row r="2741" spans="1:6" ht="12.75">
      <c r="A2741" s="8">
        <v>43903.877986111111</v>
      </c>
      <c r="B2741" s="8" t="str">
        <f>HYPERLINK("https://twitter.com/anitakartika97","@anitakartika97")</f>
        <v>@anitakartika97</v>
      </c>
      <c r="C2741" s="8" t="s">
        <v>1529</v>
      </c>
      <c r="D2741" s="8">
        <v>0</v>
      </c>
      <c r="E2741" s="8">
        <v>0</v>
      </c>
      <c r="F2741" s="8">
        <v>20</v>
      </c>
    </row>
    <row r="2742" spans="1:6" ht="12.75">
      <c r="A2742" s="8">
        <v>43903.877951388888</v>
      </c>
      <c r="B2742" s="8" t="str">
        <f>HYPERLINK("https://twitter.com/fififiaaa","@fififiaaa")</f>
        <v>@fififiaaa</v>
      </c>
      <c r="C2742" s="8" t="s">
        <v>1530</v>
      </c>
      <c r="D2742" s="8">
        <v>0</v>
      </c>
      <c r="E2742" s="8">
        <v>0</v>
      </c>
      <c r="F2742" s="8">
        <v>356</v>
      </c>
    </row>
    <row r="2743" spans="1:6" ht="12.75">
      <c r="A2743" s="8">
        <v>43903.877824074079</v>
      </c>
      <c r="B2743" s="8" t="str">
        <f>HYPERLINK("https://twitter.com/fikaaaaafikaaaa","@fikaaaaafikaaaa")</f>
        <v>@fikaaaaafikaaaa</v>
      </c>
      <c r="C2743" s="8" t="s">
        <v>1531</v>
      </c>
      <c r="D2743" s="8">
        <v>0</v>
      </c>
      <c r="E2743" s="8">
        <v>0</v>
      </c>
      <c r="F2743" s="8">
        <v>87</v>
      </c>
    </row>
    <row r="2744" spans="1:6" ht="12.75">
      <c r="A2744" s="8">
        <v>43903.877037037033</v>
      </c>
      <c r="B2744" s="8" t="str">
        <f>HYPERLINK("https://twitter.com/namasayaasa","@namasayaasa")</f>
        <v>@namasayaasa</v>
      </c>
      <c r="C2744" s="8" t="s">
        <v>1532</v>
      </c>
      <c r="D2744" s="8">
        <v>0</v>
      </c>
      <c r="E2744" s="8">
        <v>0</v>
      </c>
      <c r="F2744" s="8">
        <v>1</v>
      </c>
    </row>
    <row r="2745" spans="1:6" ht="12.75">
      <c r="A2745" s="8">
        <v>43903.876840277779</v>
      </c>
      <c r="B2745" s="8" t="str">
        <f>HYPERLINK("https://twitter.com/ika7MRC","@ika7MRC")</f>
        <v>@ika7MRC</v>
      </c>
      <c r="C2745" s="8" t="s">
        <v>925</v>
      </c>
      <c r="D2745" s="8">
        <v>161</v>
      </c>
      <c r="E2745" s="8">
        <v>0</v>
      </c>
      <c r="F2745" s="8">
        <v>1338</v>
      </c>
    </row>
    <row r="2746" spans="1:6" ht="12.75">
      <c r="A2746" s="8">
        <v>43903.876030092593</v>
      </c>
      <c r="B2746" s="8" t="str">
        <f>HYPERLINK("https://twitter.com/kbrihelsinki","@kbrihelsinki")</f>
        <v>@kbrihelsinki</v>
      </c>
      <c r="C2746" s="8" t="s">
        <v>1533</v>
      </c>
      <c r="D2746" s="8">
        <v>0</v>
      </c>
      <c r="E2746" s="8">
        <v>1</v>
      </c>
      <c r="F2746" s="8">
        <v>356</v>
      </c>
    </row>
    <row r="2747" spans="1:6" ht="12.75">
      <c r="A2747" s="8">
        <v>43903.875347222223</v>
      </c>
      <c r="B2747" s="8" t="str">
        <f>HYPERLINK("https://twitter.com/ConorMcGrGr","@ConorMcGrGr")</f>
        <v>@ConorMcGrGr</v>
      </c>
      <c r="C2747" s="8" t="s">
        <v>1534</v>
      </c>
      <c r="D2747" s="8">
        <v>0</v>
      </c>
      <c r="E2747" s="8">
        <v>0</v>
      </c>
      <c r="F2747" s="8">
        <v>42</v>
      </c>
    </row>
    <row r="2748" spans="1:6" ht="12.75">
      <c r="A2748" s="8">
        <v>43903.875</v>
      </c>
      <c r="B2748" s="8" t="str">
        <f>HYPERLINK("https://twitter.com/cilliasiregar","@cilliasiregar")</f>
        <v>@cilliasiregar</v>
      </c>
      <c r="C2748" s="8" t="s">
        <v>1535</v>
      </c>
      <c r="D2748" s="8">
        <v>0</v>
      </c>
      <c r="E2748" s="8">
        <v>0</v>
      </c>
      <c r="F2748" s="8">
        <v>6</v>
      </c>
    </row>
    <row r="2749" spans="1:6" ht="12.75">
      <c r="A2749" s="8">
        <v>43903.873935185184</v>
      </c>
      <c r="B2749" s="8" t="str">
        <f>HYPERLINK("https://twitter.com/twis_ter","@twis_ter")</f>
        <v>@twis_ter</v>
      </c>
      <c r="C2749" s="8" t="s">
        <v>1536</v>
      </c>
      <c r="D2749" s="8">
        <v>0</v>
      </c>
      <c r="E2749" s="8">
        <v>0</v>
      </c>
      <c r="F2749" s="8">
        <v>1242</v>
      </c>
    </row>
    <row r="2750" spans="1:6" ht="12.75">
      <c r="A2750" s="8">
        <v>43903.873923611114</v>
      </c>
      <c r="B2750" s="8" t="str">
        <f>HYPERLINK("https://twitter.com/Katrina__SO9","@Katrina__SO9")</f>
        <v>@Katrina__SO9</v>
      </c>
      <c r="C2750" s="8" t="s">
        <v>1537</v>
      </c>
      <c r="D2750" s="8">
        <v>0</v>
      </c>
      <c r="E2750" s="8">
        <v>0</v>
      </c>
      <c r="F2750" s="8">
        <v>3542</v>
      </c>
    </row>
    <row r="2751" spans="1:6" ht="12.75">
      <c r="A2751" s="8">
        <v>43903.873888888891</v>
      </c>
      <c r="B2751" s="8" t="str">
        <f>HYPERLINK("https://twitter.com/mat_sodor","@mat_sodor")</f>
        <v>@mat_sodor</v>
      </c>
      <c r="C2751" s="8" t="s">
        <v>1538</v>
      </c>
      <c r="D2751" s="8">
        <v>0</v>
      </c>
      <c r="E2751" s="8">
        <v>0</v>
      </c>
      <c r="F2751" s="8">
        <v>228</v>
      </c>
    </row>
    <row r="2752" spans="1:6" ht="12.75">
      <c r="A2752" s="8">
        <v>43903.872615740736</v>
      </c>
      <c r="B2752" s="8" t="str">
        <f>HYPERLINK("https://twitter.com/ocs0513","@ocs0513")</f>
        <v>@ocs0513</v>
      </c>
      <c r="C2752" s="8" t="s">
        <v>1539</v>
      </c>
      <c r="D2752" s="8">
        <v>0</v>
      </c>
      <c r="E2752" s="8">
        <v>0</v>
      </c>
      <c r="F2752" s="8">
        <v>171</v>
      </c>
    </row>
    <row r="2753" spans="1:6" ht="12.75">
      <c r="A2753" s="8">
        <v>43903.87222222222</v>
      </c>
      <c r="B2753" s="8" t="str">
        <f>HYPERLINK("https://twitter.com/cafebiru88","@cafebiru88")</f>
        <v>@cafebiru88</v>
      </c>
      <c r="C2753" s="8" t="s">
        <v>1540</v>
      </c>
      <c r="D2753" s="8">
        <v>0</v>
      </c>
      <c r="E2753" s="8">
        <v>0</v>
      </c>
      <c r="F2753" s="8">
        <v>18013</v>
      </c>
    </row>
    <row r="2754" spans="1:6" ht="12.75">
      <c r="A2754" s="8">
        <v>43903.871886574074</v>
      </c>
      <c r="B2754" s="8" t="str">
        <f>HYPERLINK("https://twitter.com/Metro_TV","@Metro_TV")</f>
        <v>@Metro_TV</v>
      </c>
      <c r="C2754" s="8" t="s">
        <v>1541</v>
      </c>
      <c r="D2754" s="8">
        <v>0</v>
      </c>
      <c r="E2754" s="8">
        <v>3</v>
      </c>
      <c r="F2754" s="8">
        <v>10519957</v>
      </c>
    </row>
    <row r="2755" spans="1:6" ht="12.75">
      <c r="A2755" s="8">
        <v>43903.871562500004</v>
      </c>
      <c r="B2755" s="8" t="str">
        <f>HYPERLINK("https://twitter.com/senderrellla","@senderrellla")</f>
        <v>@senderrellla</v>
      </c>
      <c r="C2755" s="8" t="s">
        <v>1542</v>
      </c>
      <c r="D2755" s="8">
        <v>0</v>
      </c>
      <c r="E2755" s="8">
        <v>0</v>
      </c>
      <c r="F2755" s="8">
        <v>205</v>
      </c>
    </row>
    <row r="2756" spans="1:6" ht="12.75">
      <c r="A2756" s="8">
        <v>43903.870925925927</v>
      </c>
      <c r="B2756" s="8" t="str">
        <f>HYPERLINK("https://twitter.com/GEMAS_JABAR","@GEMAS_JABAR")</f>
        <v>@GEMAS_JABAR</v>
      </c>
      <c r="C2756" s="8" t="s">
        <v>1148</v>
      </c>
      <c r="D2756" s="8">
        <v>22</v>
      </c>
      <c r="E2756" s="8">
        <v>0</v>
      </c>
      <c r="F2756" s="8">
        <v>287</v>
      </c>
    </row>
    <row r="2757" spans="1:6" ht="12.75">
      <c r="A2757" s="8">
        <v>43903.870879629627</v>
      </c>
      <c r="B2757" s="8" t="str">
        <f>HYPERLINK("https://twitter.com/yusup_gallagher","@yusup_gallagher")</f>
        <v>@yusup_gallagher</v>
      </c>
      <c r="C2757" s="8" t="s">
        <v>1488</v>
      </c>
      <c r="D2757" s="8">
        <v>15</v>
      </c>
      <c r="E2757" s="8">
        <v>0</v>
      </c>
      <c r="F2757" s="8">
        <v>347</v>
      </c>
    </row>
    <row r="2758" spans="1:6" ht="12.75">
      <c r="A2758" s="8">
        <v>43903.870706018519</v>
      </c>
      <c r="B2758" s="8" t="str">
        <f>HYPERLINK("https://twitter.com/arien06","@arien06")</f>
        <v>@arien06</v>
      </c>
      <c r="C2758" s="8" t="s">
        <v>353</v>
      </c>
      <c r="D2758" s="8">
        <v>112</v>
      </c>
      <c r="E2758" s="8">
        <v>0</v>
      </c>
      <c r="F2758" s="8">
        <v>1756</v>
      </c>
    </row>
    <row r="2759" spans="1:6" ht="12.75">
      <c r="A2759" s="8">
        <v>43903.868784722217</v>
      </c>
      <c r="B2759" s="8" t="str">
        <f>HYPERLINK("https://twitter.com/profanitties","@profanitties")</f>
        <v>@profanitties</v>
      </c>
      <c r="C2759" s="8" t="s">
        <v>983</v>
      </c>
      <c r="D2759" s="8">
        <v>4</v>
      </c>
      <c r="E2759" s="8">
        <v>0</v>
      </c>
      <c r="F2759" s="8">
        <v>107</v>
      </c>
    </row>
    <row r="2760" spans="1:6" ht="12.75">
      <c r="A2760" s="8">
        <v>43903.868750000001</v>
      </c>
      <c r="B2760" s="8" t="str">
        <f>HYPERLINK("https://twitter.com/hadenberg_ryan","@hadenberg_ryan")</f>
        <v>@hadenberg_ryan</v>
      </c>
      <c r="C2760" s="8" t="s">
        <v>353</v>
      </c>
      <c r="D2760" s="8">
        <v>112</v>
      </c>
      <c r="E2760" s="8">
        <v>0</v>
      </c>
      <c r="F2760" s="8">
        <v>256</v>
      </c>
    </row>
    <row r="2761" spans="1:6" ht="12.75">
      <c r="A2761" s="8">
        <v>43903.868159722224</v>
      </c>
      <c r="B2761" s="8" t="str">
        <f>HYPERLINK("https://twitter.com/arifbudinor","@arifbudinor")</f>
        <v>@arifbudinor</v>
      </c>
      <c r="C2761" s="8" t="s">
        <v>1488</v>
      </c>
      <c r="D2761" s="8">
        <v>15</v>
      </c>
      <c r="E2761" s="8">
        <v>0</v>
      </c>
      <c r="F2761" s="8">
        <v>85</v>
      </c>
    </row>
    <row r="2762" spans="1:6" ht="12.75">
      <c r="A2762" s="8">
        <v>43903.86755787037</v>
      </c>
      <c r="B2762" s="8" t="str">
        <f>HYPERLINK("https://twitter.com/555masteng","@555masteng")</f>
        <v>@555masteng</v>
      </c>
      <c r="C2762" s="8" t="s">
        <v>353</v>
      </c>
      <c r="D2762" s="8">
        <v>112</v>
      </c>
      <c r="E2762" s="8">
        <v>0</v>
      </c>
      <c r="F2762" s="8">
        <v>5650</v>
      </c>
    </row>
    <row r="2763" spans="1:6" ht="12.75">
      <c r="A2763" s="8">
        <v>43903.867488425924</v>
      </c>
      <c r="B2763" s="8" t="str">
        <f>HYPERLINK("https://twitter.com/JoeyBatter","@JoeyBatter")</f>
        <v>@JoeyBatter</v>
      </c>
      <c r="C2763" s="8" t="s">
        <v>925</v>
      </c>
      <c r="D2763" s="8">
        <v>161</v>
      </c>
      <c r="E2763" s="8">
        <v>0</v>
      </c>
      <c r="F2763" s="8">
        <v>211</v>
      </c>
    </row>
    <row r="2764" spans="1:6" ht="12.75">
      <c r="A2764" s="8">
        <v>43903.867268518516</v>
      </c>
      <c r="B2764" s="8" t="str">
        <f>HYPERLINK("https://twitter.com/C41__5R","@C41__5R")</f>
        <v>@C41__5R</v>
      </c>
      <c r="C2764" s="8" t="s">
        <v>1543</v>
      </c>
      <c r="D2764" s="8">
        <v>0</v>
      </c>
      <c r="E2764" s="8">
        <v>0</v>
      </c>
      <c r="F2764" s="8">
        <v>641</v>
      </c>
    </row>
    <row r="2765" spans="1:6" ht="12.75">
      <c r="A2765" s="8">
        <v>43903.863726851851</v>
      </c>
      <c r="B2765" s="8" t="str">
        <f>HYPERLINK("https://twitter.com/h19714","@h19714")</f>
        <v>@h19714</v>
      </c>
      <c r="C2765" s="8" t="s">
        <v>1544</v>
      </c>
      <c r="D2765" s="8">
        <v>0</v>
      </c>
      <c r="E2765" s="8">
        <v>0</v>
      </c>
      <c r="F2765" s="8">
        <v>8</v>
      </c>
    </row>
    <row r="2766" spans="1:6" ht="12.75">
      <c r="A2766" s="8">
        <v>43903.863564814819</v>
      </c>
      <c r="B2766" s="8" t="str">
        <f>HYPERLINK("https://twitter.com/dawiguna","@dawiguna")</f>
        <v>@dawiguna</v>
      </c>
      <c r="C2766" s="8" t="s">
        <v>1545</v>
      </c>
      <c r="D2766" s="8">
        <v>0</v>
      </c>
      <c r="E2766" s="8">
        <v>0</v>
      </c>
      <c r="F2766" s="8">
        <v>1464</v>
      </c>
    </row>
    <row r="2767" spans="1:6" ht="12.75">
      <c r="A2767" s="8">
        <v>43903.86347222222</v>
      </c>
      <c r="B2767" s="8" t="str">
        <f>HYPERLINK("https://twitter.com/zulnine09","@zulnine09")</f>
        <v>@zulnine09</v>
      </c>
      <c r="C2767" s="8" t="s">
        <v>1546</v>
      </c>
      <c r="D2767" s="8">
        <v>2</v>
      </c>
      <c r="E2767" s="8">
        <v>0</v>
      </c>
      <c r="F2767" s="8">
        <v>1331</v>
      </c>
    </row>
    <row r="2768" spans="1:6" ht="12.75">
      <c r="A2768" s="8">
        <v>43903.862812499996</v>
      </c>
      <c r="B2768" s="8" t="str">
        <f>HYPERLINK("https://twitter.com/prdptfirdaus","@prdptfirdaus")</f>
        <v>@prdptfirdaus</v>
      </c>
      <c r="C2768" s="8" t="s">
        <v>1547</v>
      </c>
      <c r="D2768" s="8">
        <v>1</v>
      </c>
      <c r="E2768" s="8">
        <v>0</v>
      </c>
      <c r="F2768" s="8">
        <v>842</v>
      </c>
    </row>
    <row r="2769" spans="1:6" ht="12.75">
      <c r="A2769" s="8">
        <v>43903.862581018519</v>
      </c>
      <c r="B2769" s="8" t="str">
        <f>HYPERLINK("https://twitter.com/platform_share","@platform_share")</f>
        <v>@platform_share</v>
      </c>
      <c r="C2769" s="8" t="s">
        <v>1195</v>
      </c>
      <c r="D2769" s="8">
        <v>2630</v>
      </c>
      <c r="E2769" s="8">
        <v>0</v>
      </c>
      <c r="F2769" s="8">
        <v>104</v>
      </c>
    </row>
    <row r="2770" spans="1:6" ht="12.75">
      <c r="A2770" s="8">
        <v>43903.861909722225</v>
      </c>
      <c r="B2770" s="8" t="str">
        <f>HYPERLINK("https://twitter.com/blrrzzzx","@blrrzzzx")</f>
        <v>@blrrzzzx</v>
      </c>
      <c r="C2770" s="8" t="s">
        <v>1548</v>
      </c>
      <c r="D2770" s="8">
        <v>0</v>
      </c>
      <c r="E2770" s="8">
        <v>0</v>
      </c>
      <c r="F2770" s="8">
        <v>54</v>
      </c>
    </row>
    <row r="2771" spans="1:6" ht="12.75">
      <c r="A2771" s="8">
        <v>43903.861250000002</v>
      </c>
      <c r="B2771" s="8" t="str">
        <f>HYPERLINK("https://twitter.com/maplepeaa","@maplepeaa")</f>
        <v>@maplepeaa</v>
      </c>
      <c r="C2771" s="8" t="s">
        <v>1549</v>
      </c>
      <c r="D2771" s="8">
        <v>0</v>
      </c>
      <c r="E2771" s="8">
        <v>0</v>
      </c>
      <c r="F2771" s="8">
        <v>5</v>
      </c>
    </row>
    <row r="2772" spans="1:6" ht="12.75">
      <c r="A2772" s="8">
        <v>43903.861157407402</v>
      </c>
      <c r="B2772" s="8" t="str">
        <f t="shared" ref="B2772:B2773" si="56">HYPERLINK("https://twitter.com/arifsetia2013d","@arifsetia2013d")</f>
        <v>@arifsetia2013d</v>
      </c>
      <c r="C2772" s="8" t="s">
        <v>1546</v>
      </c>
      <c r="D2772" s="8">
        <v>2</v>
      </c>
      <c r="E2772" s="8">
        <v>0</v>
      </c>
      <c r="F2772" s="8">
        <v>6647</v>
      </c>
    </row>
    <row r="2773" spans="1:6" ht="12.75">
      <c r="A2773" s="8">
        <v>43903.860706018517</v>
      </c>
      <c r="B2773" s="8" t="str">
        <f t="shared" si="56"/>
        <v>@arifsetia2013d</v>
      </c>
      <c r="C2773" s="8" t="s">
        <v>1550</v>
      </c>
      <c r="D2773" s="8">
        <v>2</v>
      </c>
      <c r="E2773" s="8">
        <v>2</v>
      </c>
      <c r="F2773" s="8">
        <v>6647</v>
      </c>
    </row>
    <row r="2774" spans="1:6" ht="12.75">
      <c r="A2774" s="8">
        <v>43903.860219907408</v>
      </c>
      <c r="B2774" s="8" t="str">
        <f>HYPERLINK("https://twitter.com/SetrahDwh","@SetrahDwh")</f>
        <v>@SetrahDwh</v>
      </c>
      <c r="C2774" s="8" t="s">
        <v>925</v>
      </c>
      <c r="D2774" s="8">
        <v>161</v>
      </c>
      <c r="E2774" s="8">
        <v>0</v>
      </c>
      <c r="F2774" s="8">
        <v>48</v>
      </c>
    </row>
    <row r="2775" spans="1:6" ht="12.75">
      <c r="A2775" s="8">
        <v>43903.860081018516</v>
      </c>
      <c r="B2775" s="8" t="str">
        <f>HYPERLINK("https://twitter.com/ryolandafit","@ryolandafit")</f>
        <v>@ryolandafit</v>
      </c>
      <c r="C2775" s="8" t="s">
        <v>1184</v>
      </c>
      <c r="D2775" s="8">
        <v>1</v>
      </c>
      <c r="E2775" s="8">
        <v>0</v>
      </c>
      <c r="F2775" s="8">
        <v>662</v>
      </c>
    </row>
    <row r="2776" spans="1:6" ht="12.75">
      <c r="A2776" s="8">
        <v>43903.859780092593</v>
      </c>
      <c r="B2776" s="8" t="str">
        <f>HYPERLINK("https://twitter.com/srintiil_","@srintiil_")</f>
        <v>@srintiil_</v>
      </c>
      <c r="C2776" s="8" t="s">
        <v>1551</v>
      </c>
      <c r="D2776" s="8">
        <v>0</v>
      </c>
      <c r="E2776" s="8">
        <v>0</v>
      </c>
      <c r="F2776" s="8">
        <v>14</v>
      </c>
    </row>
    <row r="2777" spans="1:6" ht="12.75">
      <c r="A2777" s="8">
        <v>43903.859178240746</v>
      </c>
      <c r="B2777" s="8" t="str">
        <f>HYPERLINK("https://twitter.com/Yasmiin_isis","@Yasmiin_isis")</f>
        <v>@Yasmiin_isis</v>
      </c>
      <c r="C2777" s="8" t="s">
        <v>1552</v>
      </c>
      <c r="D2777" s="8">
        <v>0</v>
      </c>
      <c r="E2777" s="8">
        <v>0</v>
      </c>
      <c r="F2777" s="8">
        <v>1046</v>
      </c>
    </row>
    <row r="2778" spans="1:6" ht="12.75">
      <c r="A2778" s="8">
        <v>43903.858449074076</v>
      </c>
      <c r="B2778" s="8" t="str">
        <f>HYPERLINK("https://twitter.com/amir40566505","@amir40566505")</f>
        <v>@amir40566505</v>
      </c>
      <c r="C2778" s="8" t="s">
        <v>1148</v>
      </c>
      <c r="D2778" s="8">
        <v>22</v>
      </c>
      <c r="E2778" s="8">
        <v>0</v>
      </c>
      <c r="F2778" s="8">
        <v>16</v>
      </c>
    </row>
    <row r="2779" spans="1:6" ht="12.75">
      <c r="A2779" s="8">
        <v>43903.858414351853</v>
      </c>
      <c r="B2779" s="8" t="str">
        <f>HYPERLINK("https://twitter.com/1_devout","@1_devout")</f>
        <v>@1_devout</v>
      </c>
      <c r="C2779" s="8" t="s">
        <v>1553</v>
      </c>
      <c r="D2779" s="8">
        <v>0</v>
      </c>
      <c r="E2779" s="8">
        <v>0</v>
      </c>
      <c r="F2779" s="8">
        <v>52</v>
      </c>
    </row>
    <row r="2780" spans="1:6" ht="12.75">
      <c r="A2780" s="8">
        <v>43903.858067129629</v>
      </c>
      <c r="B2780" s="8" t="str">
        <f>HYPERLINK("https://twitter.com/bilasaja_","@bilasaja_")</f>
        <v>@bilasaja_</v>
      </c>
      <c r="C2780" s="8" t="s">
        <v>1554</v>
      </c>
      <c r="D2780" s="8">
        <v>0</v>
      </c>
      <c r="E2780" s="8">
        <v>0</v>
      </c>
      <c r="F2780" s="8">
        <v>93</v>
      </c>
    </row>
    <row r="2781" spans="1:6" ht="12.75">
      <c r="A2781" s="8">
        <v>43903.857951388884</v>
      </c>
      <c r="B2781" s="8" t="str">
        <f>HYPERLINK("https://twitter.com/Metro_TV","@Metro_TV")</f>
        <v>@Metro_TV</v>
      </c>
      <c r="C2781" s="8" t="s">
        <v>1555</v>
      </c>
      <c r="D2781" s="8">
        <v>1</v>
      </c>
      <c r="E2781" s="8">
        <v>0</v>
      </c>
      <c r="F2781" s="8">
        <v>10519957</v>
      </c>
    </row>
    <row r="2782" spans="1:6" ht="12.75">
      <c r="A2782" s="8">
        <v>43903.856770833328</v>
      </c>
      <c r="B2782" s="8" t="str">
        <f>HYPERLINK("https://twitter.com/enda_LA","@enda_LA")</f>
        <v>@enda_LA</v>
      </c>
      <c r="C2782" s="8" t="s">
        <v>1556</v>
      </c>
      <c r="D2782" s="8">
        <v>0</v>
      </c>
      <c r="E2782" s="8">
        <v>0</v>
      </c>
      <c r="F2782" s="8">
        <v>1984</v>
      </c>
    </row>
    <row r="2783" spans="1:6" ht="12.75">
      <c r="A2783" s="8">
        <v>43903.856539351851</v>
      </c>
      <c r="B2783" s="8" t="str">
        <f>HYPERLINK("https://twitter.com/tsmfikrina","@tsmfikrina")</f>
        <v>@tsmfikrina</v>
      </c>
      <c r="C2783" s="8" t="s">
        <v>1557</v>
      </c>
      <c r="D2783" s="8">
        <v>0</v>
      </c>
      <c r="E2783" s="8">
        <v>0</v>
      </c>
      <c r="F2783" s="8">
        <v>6</v>
      </c>
    </row>
    <row r="2784" spans="1:6" ht="12.75">
      <c r="A2784" s="8">
        <v>43903.856296296297</v>
      </c>
      <c r="B2784" s="8" t="str">
        <f>HYPERLINK("https://twitter.com/fakkkgurl","@fakkkgurl")</f>
        <v>@fakkkgurl</v>
      </c>
      <c r="C2784" s="8" t="s">
        <v>1558</v>
      </c>
      <c r="D2784" s="8">
        <v>0</v>
      </c>
      <c r="E2784" s="8">
        <v>1</v>
      </c>
      <c r="F2784" s="8">
        <v>1266</v>
      </c>
    </row>
    <row r="2785" spans="1:6" ht="12.75">
      <c r="A2785" s="8">
        <v>43903.856180555551</v>
      </c>
      <c r="B2785" s="8" t="str">
        <f>HYPERLINK("https://twitter.com/natalia_dea01","@natalia_dea01")</f>
        <v>@natalia_dea01</v>
      </c>
      <c r="C2785" s="8" t="s">
        <v>1030</v>
      </c>
      <c r="D2785" s="8">
        <v>203</v>
      </c>
      <c r="E2785" s="8">
        <v>0</v>
      </c>
      <c r="F2785" s="8">
        <v>449</v>
      </c>
    </row>
    <row r="2786" spans="1:6" ht="12.75">
      <c r="A2786" s="8">
        <v>43903.855833333335</v>
      </c>
      <c r="B2786" s="8" t="str">
        <f>HYPERLINK("https://twitter.com/BillTemporo","@BillTemporo")</f>
        <v>@BillTemporo</v>
      </c>
      <c r="C2786" s="8" t="s">
        <v>323</v>
      </c>
      <c r="D2786" s="8">
        <v>0</v>
      </c>
      <c r="E2786" s="8">
        <v>0</v>
      </c>
      <c r="F2786" s="8">
        <v>11</v>
      </c>
    </row>
    <row r="2787" spans="1:6" ht="12.75">
      <c r="A2787" s="8">
        <v>43903.854988425926</v>
      </c>
      <c r="B2787" s="8" t="str">
        <f>HYPERLINK("https://twitter.com/WariorXman","@WariorXman")</f>
        <v>@WariorXman</v>
      </c>
      <c r="C2787" s="8" t="s">
        <v>1559</v>
      </c>
      <c r="D2787" s="8">
        <v>0</v>
      </c>
      <c r="E2787" s="8">
        <v>1</v>
      </c>
      <c r="F2787" s="8">
        <v>69</v>
      </c>
    </row>
    <row r="2788" spans="1:6" ht="12.75">
      <c r="A2788" s="8">
        <v>43903.854930555557</v>
      </c>
      <c r="B2788" s="8" t="str">
        <f>HYPERLINK("https://twitter.com/indonesiazagreb","@indonesiazagreb")</f>
        <v>@indonesiazagreb</v>
      </c>
      <c r="C2788" s="8" t="s">
        <v>1560</v>
      </c>
      <c r="D2788" s="8">
        <v>0</v>
      </c>
      <c r="E2788" s="8">
        <v>0</v>
      </c>
      <c r="F2788" s="8">
        <v>287</v>
      </c>
    </row>
    <row r="2789" spans="1:6" ht="12.75">
      <c r="A2789" s="8">
        <v>43903.854548611111</v>
      </c>
      <c r="B2789" s="8" t="str">
        <f>HYPERLINK("https://twitter.com/handiondang","@handiondang")</f>
        <v>@handiondang</v>
      </c>
      <c r="C2789" s="8" t="s">
        <v>353</v>
      </c>
      <c r="D2789" s="8">
        <v>112</v>
      </c>
      <c r="E2789" s="8">
        <v>0</v>
      </c>
      <c r="F2789" s="8">
        <v>249</v>
      </c>
    </row>
    <row r="2790" spans="1:6" ht="12.75">
      <c r="A2790" s="8">
        <v>43903.854374999995</v>
      </c>
      <c r="B2790" s="8" t="str">
        <f>HYPERLINK("https://twitter.com/Abhishe41811345","@Abhishe41811345")</f>
        <v>@Abhishe41811345</v>
      </c>
      <c r="C2790" s="8" t="s">
        <v>1195</v>
      </c>
      <c r="D2790" s="8">
        <v>2630</v>
      </c>
      <c r="E2790" s="8">
        <v>0</v>
      </c>
      <c r="F2790" s="8">
        <v>601</v>
      </c>
    </row>
    <row r="2791" spans="1:6" ht="12.75">
      <c r="A2791" s="8">
        <v>43903.853298611109</v>
      </c>
      <c r="B2791" s="8" t="str">
        <f>HYPERLINK("https://twitter.com/SakidiCayder","@SakidiCayder")</f>
        <v>@SakidiCayder</v>
      </c>
      <c r="C2791" s="8" t="s">
        <v>1561</v>
      </c>
      <c r="D2791" s="8">
        <v>0</v>
      </c>
      <c r="E2791" s="8">
        <v>0</v>
      </c>
      <c r="F2791" s="8">
        <v>5</v>
      </c>
    </row>
    <row r="2792" spans="1:6" ht="12.75">
      <c r="A2792" s="8">
        <v>43903.853217592594</v>
      </c>
      <c r="B2792" s="8" t="str">
        <f>HYPERLINK("https://twitter.com/halloenji","@halloenji")</f>
        <v>@halloenji</v>
      </c>
      <c r="C2792" s="8" t="s">
        <v>1562</v>
      </c>
      <c r="D2792" s="8">
        <v>0</v>
      </c>
      <c r="E2792" s="8">
        <v>0</v>
      </c>
      <c r="F2792" s="8">
        <v>816</v>
      </c>
    </row>
    <row r="2793" spans="1:6" ht="12.75">
      <c r="A2793" s="8">
        <v>43903.85292824074</v>
      </c>
      <c r="B2793" s="8" t="str">
        <f>HYPERLINK("https://twitter.com/Goeprulz","@Goeprulz")</f>
        <v>@Goeprulz</v>
      </c>
      <c r="C2793" s="8" t="s">
        <v>1563</v>
      </c>
      <c r="D2793" s="8">
        <v>0</v>
      </c>
      <c r="E2793" s="8">
        <v>0</v>
      </c>
      <c r="F2793" s="8">
        <v>157</v>
      </c>
    </row>
    <row r="2794" spans="1:6" ht="12.75">
      <c r="A2794" s="8">
        <v>43903.85261574074</v>
      </c>
      <c r="B2794" s="8" t="str">
        <f>HYPERLINK("https://twitter.com/SakidiCayder","@SakidiCayder")</f>
        <v>@SakidiCayder</v>
      </c>
      <c r="C2794" s="8" t="s">
        <v>1564</v>
      </c>
      <c r="D2794" s="8">
        <v>0</v>
      </c>
      <c r="E2794" s="8">
        <v>0</v>
      </c>
      <c r="F2794" s="8">
        <v>5</v>
      </c>
    </row>
    <row r="2795" spans="1:6" ht="12.75">
      <c r="A2795" s="8">
        <v>43903.851458333331</v>
      </c>
      <c r="B2795" s="8" t="str">
        <f>HYPERLINK("https://twitter.com/hikmatsholeh","@hikmatsholeh")</f>
        <v>@hikmatsholeh</v>
      </c>
      <c r="C2795" s="8" t="s">
        <v>925</v>
      </c>
      <c r="D2795" s="8">
        <v>161</v>
      </c>
      <c r="E2795" s="8">
        <v>0</v>
      </c>
      <c r="F2795" s="8">
        <v>1217</v>
      </c>
    </row>
    <row r="2796" spans="1:6" ht="12.75">
      <c r="A2796" s="8">
        <v>43903.850532407407</v>
      </c>
      <c r="B2796" s="8" t="str">
        <f>HYPERLINK("https://twitter.com/dulkhd","@dulkhd")</f>
        <v>@dulkhd</v>
      </c>
      <c r="C2796" s="8" t="s">
        <v>1565</v>
      </c>
      <c r="D2796" s="8">
        <v>0</v>
      </c>
      <c r="E2796" s="8">
        <v>0</v>
      </c>
      <c r="F2796" s="8">
        <v>1</v>
      </c>
    </row>
    <row r="2797" spans="1:6" ht="12.75">
      <c r="A2797" s="8">
        <v>43903.850335648152</v>
      </c>
      <c r="B2797" s="8" t="str">
        <f>HYPERLINK("https://twitter.com/OverflowJr","@OverflowJr")</f>
        <v>@OverflowJr</v>
      </c>
      <c r="C2797" s="8" t="s">
        <v>1566</v>
      </c>
      <c r="D2797" s="8">
        <v>0</v>
      </c>
      <c r="E2797" s="8">
        <v>1</v>
      </c>
      <c r="F2797" s="8">
        <v>826</v>
      </c>
    </row>
    <row r="2798" spans="1:6" ht="12.75">
      <c r="A2798" s="8">
        <v>43903.850115740745</v>
      </c>
      <c r="B2798" s="8" t="str">
        <f>HYPERLINK("https://twitter.com/Crystal95836602","@Crystal95836602")</f>
        <v>@Crystal95836602</v>
      </c>
      <c r="C2798" s="8" t="s">
        <v>1567</v>
      </c>
      <c r="D2798" s="8">
        <v>0</v>
      </c>
      <c r="E2798" s="8">
        <v>0</v>
      </c>
      <c r="F2798" s="8">
        <v>6</v>
      </c>
    </row>
    <row r="2799" spans="1:6" ht="12.75">
      <c r="A2799" s="8">
        <v>43903.849074074074</v>
      </c>
      <c r="B2799" s="8" t="str">
        <f>HYPERLINK("https://twitter.com/usha_kaul","@usha_kaul")</f>
        <v>@usha_kaul</v>
      </c>
      <c r="C2799" s="8" t="s">
        <v>1195</v>
      </c>
      <c r="D2799" s="8">
        <v>2630</v>
      </c>
      <c r="E2799" s="8">
        <v>0</v>
      </c>
      <c r="F2799" s="8">
        <v>1288</v>
      </c>
    </row>
    <row r="2800" spans="1:6" ht="12.75">
      <c r="A2800" s="8">
        <v>43903.848553240736</v>
      </c>
      <c r="B2800" s="8" t="str">
        <f>HYPERLINK("https://twitter.com/lapen_mocca78","@lapen_mocca78")</f>
        <v>@lapen_mocca78</v>
      </c>
      <c r="C2800" s="8" t="s">
        <v>1568</v>
      </c>
      <c r="D2800" s="8">
        <v>0</v>
      </c>
      <c r="E2800" s="8">
        <v>0</v>
      </c>
      <c r="F2800" s="8">
        <v>166</v>
      </c>
    </row>
    <row r="2801" spans="1:6" ht="12.75">
      <c r="A2801" s="8">
        <v>43903.848287037035</v>
      </c>
      <c r="B2801" s="8" t="str">
        <f>HYPERLINK("https://twitter.com/bbozuu","@bbozuu")</f>
        <v>@bbozuu</v>
      </c>
      <c r="C2801" s="8" t="s">
        <v>1569</v>
      </c>
      <c r="D2801" s="8">
        <v>47</v>
      </c>
      <c r="E2801" s="8">
        <v>0</v>
      </c>
      <c r="F2801" s="8">
        <v>162</v>
      </c>
    </row>
    <row r="2802" spans="1:6" ht="12.75">
      <c r="A2802" s="8">
        <v>43903.847962962958</v>
      </c>
      <c r="B2802" s="8" t="str">
        <f>HYPERLINK("https://twitter.com/Ronin_Indo","@Ronin_Indo")</f>
        <v>@Ronin_Indo</v>
      </c>
      <c r="C2802" s="8" t="s">
        <v>1570</v>
      </c>
      <c r="D2802" s="8">
        <v>0</v>
      </c>
      <c r="E2802" s="8">
        <v>0</v>
      </c>
      <c r="F2802" s="8">
        <v>457</v>
      </c>
    </row>
    <row r="2803" spans="1:6" ht="12.75">
      <c r="A2803" s="8">
        <v>43903.847222222219</v>
      </c>
      <c r="B2803" s="8" t="str">
        <f>HYPERLINK("https://twitter.com/healthyliveID","@healthyliveID")</f>
        <v>@healthyliveID</v>
      </c>
      <c r="C2803" s="8" t="s">
        <v>1571</v>
      </c>
      <c r="D2803" s="8">
        <v>0</v>
      </c>
      <c r="E2803" s="8">
        <v>0</v>
      </c>
      <c r="F2803" s="8">
        <v>45106</v>
      </c>
    </row>
    <row r="2804" spans="1:6" ht="12.75">
      <c r="A2804" s="8">
        <v>43903.846539351856</v>
      </c>
      <c r="B2804" s="8" t="str">
        <f>HYPERLINK("https://twitter.com/ardan___","@ardan___")</f>
        <v>@ardan___</v>
      </c>
      <c r="C2804" s="8" t="s">
        <v>1572</v>
      </c>
      <c r="D2804" s="8">
        <v>0</v>
      </c>
      <c r="E2804" s="8">
        <v>0</v>
      </c>
      <c r="F2804" s="8">
        <v>31</v>
      </c>
    </row>
    <row r="2805" spans="1:6" ht="12.75">
      <c r="A2805" s="8">
        <v>43903.846041666664</v>
      </c>
      <c r="B2805" s="8" t="str">
        <f>HYPERLINK("https://twitter.com/Budihar21525608","@Budihar21525608")</f>
        <v>@Budihar21525608</v>
      </c>
      <c r="C2805" s="8" t="s">
        <v>1573</v>
      </c>
      <c r="D2805" s="8">
        <v>2</v>
      </c>
      <c r="E2805" s="8">
        <v>0</v>
      </c>
      <c r="F2805" s="8">
        <v>6521</v>
      </c>
    </row>
    <row r="2806" spans="1:6" ht="12.75">
      <c r="A2806" s="8">
        <v>43903.84547453704</v>
      </c>
      <c r="B2806" s="8" t="str">
        <f>HYPERLINK("https://twitter.com/bobbagom","@bobbagom")</f>
        <v>@bobbagom</v>
      </c>
      <c r="C2806" s="8" t="s">
        <v>1574</v>
      </c>
      <c r="D2806" s="8">
        <v>0</v>
      </c>
      <c r="E2806" s="8">
        <v>1</v>
      </c>
      <c r="F2806" s="8">
        <v>816</v>
      </c>
    </row>
    <row r="2807" spans="1:6" ht="12.75">
      <c r="A2807" s="8">
        <v>43903.845185185186</v>
      </c>
      <c r="B2807" s="8" t="str">
        <f>HYPERLINK("https://twitter.com/_Henz14","@_Henz14")</f>
        <v>@_Henz14</v>
      </c>
      <c r="C2807" s="8" t="s">
        <v>1575</v>
      </c>
      <c r="D2807" s="8">
        <v>0</v>
      </c>
      <c r="E2807" s="8">
        <v>2</v>
      </c>
      <c r="F2807" s="8">
        <v>472</v>
      </c>
    </row>
    <row r="2808" spans="1:6" ht="12.75">
      <c r="A2808" s="8">
        <v>43903.844976851848</v>
      </c>
      <c r="B2808" s="8" t="str">
        <f>HYPERLINK("https://twitter.com/dorseysilalahi","@dorseysilalahi")</f>
        <v>@dorseysilalahi</v>
      </c>
      <c r="C2808" s="8" t="s">
        <v>874</v>
      </c>
      <c r="D2808" s="8">
        <v>57</v>
      </c>
      <c r="E2808" s="8">
        <v>0</v>
      </c>
      <c r="F2808" s="8">
        <v>912</v>
      </c>
    </row>
    <row r="2809" spans="1:6" ht="12.75">
      <c r="A2809" s="8">
        <v>43903.843946759254</v>
      </c>
      <c r="B2809" s="8" t="str">
        <f>HYPERLINK("https://twitter.com/JinNyinyir","@JinNyinyir")</f>
        <v>@JinNyinyir</v>
      </c>
      <c r="C2809" s="8" t="s">
        <v>1576</v>
      </c>
      <c r="D2809" s="8">
        <v>0</v>
      </c>
      <c r="E2809" s="8">
        <v>0</v>
      </c>
      <c r="F2809" s="8">
        <v>59</v>
      </c>
    </row>
    <row r="2810" spans="1:6" ht="12.75">
      <c r="A2810" s="8">
        <v>43903.843888888892</v>
      </c>
      <c r="B2810" s="8" t="str">
        <f>HYPERLINK("https://twitter.com/HESTCHI","@HESTCHI")</f>
        <v>@HESTCHI</v>
      </c>
      <c r="C2810" s="8" t="s">
        <v>1491</v>
      </c>
      <c r="D2810" s="8">
        <v>45</v>
      </c>
      <c r="E2810" s="8">
        <v>0</v>
      </c>
      <c r="F2810" s="8">
        <v>1319</v>
      </c>
    </row>
    <row r="2811" spans="1:6" ht="12.75">
      <c r="A2811" s="8">
        <v>43903.843888888892</v>
      </c>
      <c r="B2811" s="8" t="str">
        <f>HYPERLINK("https://twitter.com/Keterbatasan234","@Keterbatasan234")</f>
        <v>@Keterbatasan234</v>
      </c>
      <c r="C2811" s="8" t="s">
        <v>1091</v>
      </c>
      <c r="D2811" s="8">
        <v>2</v>
      </c>
      <c r="E2811" s="8">
        <v>0</v>
      </c>
      <c r="F2811" s="8">
        <v>210</v>
      </c>
    </row>
    <row r="2812" spans="1:6" ht="12.75">
      <c r="A2812" s="8">
        <v>43903.843564814815</v>
      </c>
      <c r="B2812" s="8" t="str">
        <f>HYPERLINK("https://twitter.com/MRidwanNst11","@MRidwanNst11")</f>
        <v>@MRidwanNst11</v>
      </c>
      <c r="C2812" s="8" t="s">
        <v>1577</v>
      </c>
      <c r="D2812" s="8">
        <v>6</v>
      </c>
      <c r="E2812" s="8">
        <v>0</v>
      </c>
      <c r="F2812" s="8">
        <v>28</v>
      </c>
    </row>
    <row r="2813" spans="1:6" ht="12.75">
      <c r="A2813" s="8">
        <v>43903.843287037038</v>
      </c>
      <c r="B2813" s="8" t="str">
        <f>HYPERLINK("https://twitter.com/MajRathod","@MajRathod")</f>
        <v>@MajRathod</v>
      </c>
      <c r="C2813" s="8" t="s">
        <v>1195</v>
      </c>
      <c r="D2813" s="8">
        <v>2630</v>
      </c>
      <c r="E2813" s="8">
        <v>0</v>
      </c>
      <c r="F2813" s="8">
        <v>137</v>
      </c>
    </row>
    <row r="2814" spans="1:6" ht="12.75">
      <c r="A2814" s="8">
        <v>43903.842685185184</v>
      </c>
      <c r="B2814" s="8" t="str">
        <f>HYPERLINK("https://twitter.com/echoPiR","@echoPiR")</f>
        <v>@echoPiR</v>
      </c>
      <c r="C2814" s="8" t="s">
        <v>1578</v>
      </c>
      <c r="D2814" s="8">
        <v>0</v>
      </c>
      <c r="E2814" s="8">
        <v>0</v>
      </c>
      <c r="F2814" s="8">
        <v>172</v>
      </c>
    </row>
    <row r="2815" spans="1:6" ht="12.75">
      <c r="A2815" s="8">
        <v>43903.842141203699</v>
      </c>
      <c r="B2815" s="8" t="str">
        <f>HYPERLINK("https://twitter.com/jagatguruindia","@jagatguruindia")</f>
        <v>@jagatguruindia</v>
      </c>
      <c r="C2815" s="8" t="s">
        <v>1195</v>
      </c>
      <c r="D2815" s="8">
        <v>2630</v>
      </c>
      <c r="E2815" s="8">
        <v>0</v>
      </c>
      <c r="F2815" s="8">
        <v>2499</v>
      </c>
    </row>
    <row r="2816" spans="1:6" ht="12.75">
      <c r="A2816" s="8">
        <v>43903.841886574075</v>
      </c>
      <c r="B2816" s="8" t="str">
        <f>HYPERLINK("https://twitter.com/KurniantoTjan","@KurniantoTjan")</f>
        <v>@KurniantoTjan</v>
      </c>
      <c r="C2816" s="8" t="s">
        <v>1131</v>
      </c>
      <c r="D2816" s="8">
        <v>4</v>
      </c>
      <c r="E2816" s="8">
        <v>0</v>
      </c>
      <c r="F2816" s="8">
        <v>960</v>
      </c>
    </row>
    <row r="2817" spans="1:6" ht="12.75">
      <c r="A2817" s="8">
        <v>43903.841574074075</v>
      </c>
      <c r="B2817" s="8" t="str">
        <f>HYPERLINK("https://twitter.com/m_airlangga","@m_airlangga")</f>
        <v>@m_airlangga</v>
      </c>
      <c r="C2817" s="8" t="s">
        <v>1579</v>
      </c>
      <c r="D2817" s="8">
        <v>0</v>
      </c>
      <c r="E2817" s="8">
        <v>0</v>
      </c>
      <c r="F2817" s="8">
        <v>3</v>
      </c>
    </row>
    <row r="2818" spans="1:6" ht="12.75">
      <c r="A2818" s="8">
        <v>43903.840960648144</v>
      </c>
      <c r="B2818" s="8" t="str">
        <f>HYPERLINK("https://twitter.com/kbrihelsinki","@kbrihelsinki")</f>
        <v>@kbrihelsinki</v>
      </c>
      <c r="C2818" s="8" t="s">
        <v>1580</v>
      </c>
      <c r="D2818" s="8">
        <v>0</v>
      </c>
      <c r="E2818" s="8">
        <v>2</v>
      </c>
      <c r="F2818" s="8">
        <v>356</v>
      </c>
    </row>
    <row r="2819" spans="1:6" ht="12.75">
      <c r="A2819" s="8">
        <v>43903.840844907405</v>
      </c>
      <c r="B2819" s="8" t="str">
        <f>HYPERLINK("https://twitter.com/rahimsitorus","@rahimsitorus")</f>
        <v>@rahimsitorus</v>
      </c>
      <c r="C2819" s="8" t="s">
        <v>1581</v>
      </c>
      <c r="D2819" s="8">
        <v>0</v>
      </c>
      <c r="E2819" s="8">
        <v>0</v>
      </c>
      <c r="F2819" s="8">
        <v>1701</v>
      </c>
    </row>
    <row r="2820" spans="1:6" ht="12.75">
      <c r="A2820" s="8">
        <v>43903.840833333335</v>
      </c>
      <c r="B2820" s="8" t="str">
        <f>HYPERLINK("https://twitter.com/irrobertsiahaan","@irrobertsiahaan")</f>
        <v>@irrobertsiahaan</v>
      </c>
      <c r="C2820" s="8" t="s">
        <v>1582</v>
      </c>
      <c r="D2820" s="8">
        <v>0</v>
      </c>
      <c r="E2820" s="8">
        <v>0</v>
      </c>
      <c r="F2820" s="8">
        <v>172</v>
      </c>
    </row>
    <row r="2821" spans="1:6" ht="12.75">
      <c r="A2821" s="8">
        <v>43903.840289351851</v>
      </c>
      <c r="B2821" s="8" t="str">
        <f>HYPERLINK("https://twitter.com/PolitikToday","@PolitikToday")</f>
        <v>@PolitikToday</v>
      </c>
      <c r="C2821" s="8" t="s">
        <v>1583</v>
      </c>
      <c r="D2821" s="8">
        <v>2</v>
      </c>
      <c r="E2821" s="8">
        <v>0</v>
      </c>
      <c r="F2821" s="8">
        <v>7238</v>
      </c>
    </row>
    <row r="2822" spans="1:6" ht="12.75">
      <c r="A2822" s="8">
        <v>43903.83975694445</v>
      </c>
      <c r="B2822" s="8" t="str">
        <f>HYPERLINK("https://twitter.com/weishinmanten","@weishinmanten")</f>
        <v>@weishinmanten</v>
      </c>
      <c r="C2822" s="8" t="s">
        <v>1584</v>
      </c>
      <c r="D2822" s="8">
        <v>0</v>
      </c>
      <c r="E2822" s="8">
        <v>0</v>
      </c>
      <c r="F2822" s="8">
        <v>57</v>
      </c>
    </row>
    <row r="2823" spans="1:6" ht="12.75">
      <c r="A2823" s="8">
        <v>43903.839629629627</v>
      </c>
      <c r="B2823" s="8" t="str">
        <f>HYPERLINK("https://twitter.com/alli_irmon","@alli_irmon")</f>
        <v>@alli_irmon</v>
      </c>
      <c r="C2823" s="8" t="s">
        <v>1030</v>
      </c>
      <c r="D2823" s="8">
        <v>202</v>
      </c>
      <c r="E2823" s="8">
        <v>0</v>
      </c>
      <c r="F2823" s="8">
        <v>70</v>
      </c>
    </row>
    <row r="2824" spans="1:6" ht="12.75">
      <c r="A2824" s="8">
        <v>43903.839189814811</v>
      </c>
      <c r="B2824" s="8" t="str">
        <f>HYPERLINK("https://twitter.com/RichelleEdita","@RichelleEdita")</f>
        <v>@RichelleEdita</v>
      </c>
      <c r="C2824" s="8" t="s">
        <v>1068</v>
      </c>
      <c r="D2824" s="8">
        <v>3</v>
      </c>
      <c r="E2824" s="8">
        <v>0</v>
      </c>
      <c r="F2824" s="8">
        <v>916</v>
      </c>
    </row>
    <row r="2825" spans="1:6" ht="12.75">
      <c r="A2825" s="8">
        <v>43903.837500000001</v>
      </c>
      <c r="B2825" s="8" t="str">
        <f>HYPERLINK("https://twitter.com/AnakLolina","@AnakLolina")</f>
        <v>@AnakLolina</v>
      </c>
      <c r="C2825" s="8" t="s">
        <v>1585</v>
      </c>
      <c r="D2825" s="8">
        <v>1</v>
      </c>
      <c r="E2825" s="8">
        <v>0</v>
      </c>
      <c r="F2825" s="8">
        <v>15378</v>
      </c>
    </row>
    <row r="2826" spans="1:6" ht="12.75">
      <c r="A2826" s="8">
        <v>43903.837395833332</v>
      </c>
      <c r="B2826" s="8" t="str">
        <f>HYPERLINK("https://twitter.com/JohnDo08621180","@JohnDo08621180")</f>
        <v>@JohnDo08621180</v>
      </c>
      <c r="C2826" s="8" t="s">
        <v>1586</v>
      </c>
      <c r="D2826" s="8">
        <v>0</v>
      </c>
      <c r="E2826" s="8">
        <v>0</v>
      </c>
      <c r="F2826" s="8">
        <v>3947</v>
      </c>
    </row>
    <row r="2827" spans="1:6" ht="12.75">
      <c r="A2827" s="8">
        <v>43903.836793981478</v>
      </c>
      <c r="B2827" s="8" t="str">
        <f>HYPERLINK("https://twitter.com/onlyaidee","@onlyaidee")</f>
        <v>@onlyaidee</v>
      </c>
      <c r="C2827" s="8" t="s">
        <v>1587</v>
      </c>
      <c r="D2827" s="8">
        <v>2</v>
      </c>
      <c r="E2827" s="8">
        <v>0</v>
      </c>
      <c r="F2827" s="8">
        <v>815</v>
      </c>
    </row>
    <row r="2828" spans="1:6" ht="12.75">
      <c r="A2828" s="8">
        <v>43903.836469907408</v>
      </c>
      <c r="B2828" s="8" t="str">
        <f>HYPERLINK("https://twitter.com/antoakrim1","@antoakrim1")</f>
        <v>@antoakrim1</v>
      </c>
      <c r="C2828" s="8" t="s">
        <v>1588</v>
      </c>
      <c r="D2828" s="8">
        <v>10</v>
      </c>
      <c r="E2828" s="8">
        <v>0</v>
      </c>
      <c r="F2828" s="8">
        <v>33</v>
      </c>
    </row>
    <row r="2829" spans="1:6" ht="12.75">
      <c r="A2829" s="8">
        <v>43903.836331018523</v>
      </c>
      <c r="B2829" s="8" t="str">
        <f>HYPERLINK("https://twitter.com/Yfais","@Yfais")</f>
        <v>@Yfais</v>
      </c>
      <c r="C2829" s="8" t="s">
        <v>1589</v>
      </c>
      <c r="D2829" s="8">
        <v>0</v>
      </c>
      <c r="E2829" s="8">
        <v>0</v>
      </c>
      <c r="F2829" s="8">
        <v>620</v>
      </c>
    </row>
    <row r="2830" spans="1:6" ht="12.75">
      <c r="A2830" s="8">
        <v>43903.835879629631</v>
      </c>
      <c r="B2830" s="8" t="str">
        <f>HYPERLINK("https://twitter.com/sunYell0w","@sunYell0w")</f>
        <v>@sunYell0w</v>
      </c>
      <c r="C2830" s="8" t="s">
        <v>1590</v>
      </c>
      <c r="D2830" s="8">
        <v>0</v>
      </c>
      <c r="E2830" s="8">
        <v>0</v>
      </c>
      <c r="F2830" s="8">
        <v>236</v>
      </c>
    </row>
    <row r="2831" spans="1:6" ht="12.75">
      <c r="A2831" s="8">
        <v>43903.835243055553</v>
      </c>
      <c r="B2831" s="8" t="str">
        <f>HYPERLINK("https://twitter.com/SantosoEkoS","@SantosoEkoS")</f>
        <v>@SantosoEkoS</v>
      </c>
      <c r="C2831" s="8" t="s">
        <v>925</v>
      </c>
      <c r="D2831" s="8">
        <v>156</v>
      </c>
      <c r="E2831" s="8">
        <v>0</v>
      </c>
      <c r="F2831" s="8">
        <v>175</v>
      </c>
    </row>
    <row r="2832" spans="1:6" ht="12.75">
      <c r="A2832" s="8">
        <v>43903.835219907407</v>
      </c>
      <c r="B2832" s="8" t="str">
        <f>HYPERLINK("https://twitter.com/BillTemporo","@BillTemporo")</f>
        <v>@BillTemporo</v>
      </c>
      <c r="C2832" s="8" t="s">
        <v>355</v>
      </c>
      <c r="D2832" s="8">
        <v>0</v>
      </c>
      <c r="E2832" s="8">
        <v>0</v>
      </c>
      <c r="F2832" s="8">
        <v>11</v>
      </c>
    </row>
    <row r="2833" spans="1:6" ht="12.75">
      <c r="A2833" s="8">
        <v>43903.835081018522</v>
      </c>
      <c r="B2833" s="8" t="str">
        <f>HYPERLINK("https://twitter.com/ramdansyh180","@ramdansyh180")</f>
        <v>@ramdansyh180</v>
      </c>
      <c r="C2833" s="8" t="s">
        <v>1591</v>
      </c>
      <c r="D2833" s="8">
        <v>0</v>
      </c>
      <c r="E2833" s="8">
        <v>0</v>
      </c>
      <c r="F2833" s="8">
        <v>23</v>
      </c>
    </row>
    <row r="2834" spans="1:6" ht="12.75">
      <c r="A2834" s="8">
        <v>43903.834826388891</v>
      </c>
      <c r="B2834" s="8" t="str">
        <f>HYPERLINK("https://twitter.com/anggorosabdo","@anggorosabdo")</f>
        <v>@anggorosabdo</v>
      </c>
      <c r="C2834" s="8" t="s">
        <v>1592</v>
      </c>
      <c r="D2834" s="8">
        <v>1</v>
      </c>
      <c r="E2834" s="8">
        <v>0</v>
      </c>
      <c r="F2834" s="8">
        <v>345</v>
      </c>
    </row>
    <row r="2835" spans="1:6" ht="12.75">
      <c r="A2835" s="8">
        <v>43903.834606481483</v>
      </c>
      <c r="B2835" s="8" t="str">
        <f>HYPERLINK("https://twitter.com/Fauzialiefa","@Fauzialiefa")</f>
        <v>@Fauzialiefa</v>
      </c>
      <c r="C2835" s="8" t="s">
        <v>1593</v>
      </c>
      <c r="D2835" s="8">
        <v>0</v>
      </c>
      <c r="E2835" s="8">
        <v>0</v>
      </c>
      <c r="F2835" s="8">
        <v>14</v>
      </c>
    </row>
    <row r="2836" spans="1:6" ht="12.75">
      <c r="A2836" s="8">
        <v>43903.834236111114</v>
      </c>
      <c r="B2836" s="8" t="str">
        <f>HYPERLINK("https://twitter.com/AB_Pamela","@AB_Pamela")</f>
        <v>@AB_Pamela</v>
      </c>
      <c r="C2836" s="8" t="s">
        <v>440</v>
      </c>
      <c r="D2836" s="8">
        <v>159</v>
      </c>
      <c r="E2836" s="8">
        <v>0</v>
      </c>
      <c r="F2836" s="8">
        <v>311</v>
      </c>
    </row>
    <row r="2837" spans="1:6" ht="12.75">
      <c r="A2837" s="8">
        <v>43903.833761574075</v>
      </c>
      <c r="B2837" s="8" t="str">
        <f>HYPERLINK("https://twitter.com/nutdn","@nutdn")</f>
        <v>@nutdn</v>
      </c>
      <c r="C2837" s="8" t="s">
        <v>1594</v>
      </c>
      <c r="D2837" s="8">
        <v>0</v>
      </c>
      <c r="E2837" s="8">
        <v>0</v>
      </c>
      <c r="F2837" s="8">
        <v>725</v>
      </c>
    </row>
    <row r="2838" spans="1:6" ht="12.75">
      <c r="A2838" s="8">
        <v>43903.833587962959</v>
      </c>
      <c r="B2838" s="8" t="str">
        <f>HYPERLINK("https://twitter.com/_p_u_n_k__","@_p_u_n_k__")</f>
        <v>@_p_u_n_k__</v>
      </c>
      <c r="C2838" s="8" t="s">
        <v>1595</v>
      </c>
      <c r="D2838" s="8">
        <v>0</v>
      </c>
      <c r="E2838" s="8">
        <v>0</v>
      </c>
      <c r="F2838" s="8">
        <v>227</v>
      </c>
    </row>
    <row r="2839" spans="1:6" ht="12.75">
      <c r="A2839" s="8">
        <v>43903.833333333328</v>
      </c>
      <c r="B2839" s="8" t="str">
        <f>HYPERLINK("https://twitter.com/ItsMyRealQuotes","@ItsMyRealQuotes")</f>
        <v>@ItsMyRealQuotes</v>
      </c>
      <c r="C2839" s="8" t="s">
        <v>1596</v>
      </c>
      <c r="D2839" s="8">
        <v>0</v>
      </c>
      <c r="E2839" s="8">
        <v>0</v>
      </c>
      <c r="F2839" s="8">
        <v>181990</v>
      </c>
    </row>
    <row r="2840" spans="1:6" ht="12.75">
      <c r="A2840" s="8">
        <v>43903.832361111112</v>
      </c>
      <c r="B2840" s="8" t="str">
        <f>HYPERLINK("https://twitter.com/gurlzattack","@gurlzattack")</f>
        <v>@gurlzattack</v>
      </c>
      <c r="C2840" s="8" t="s">
        <v>1597</v>
      </c>
      <c r="D2840" s="8">
        <v>0</v>
      </c>
      <c r="E2840" s="8">
        <v>0</v>
      </c>
      <c r="F2840" s="8">
        <v>215</v>
      </c>
    </row>
    <row r="2841" spans="1:6" ht="12.75">
      <c r="A2841" s="8">
        <v>43903.832141203704</v>
      </c>
      <c r="B2841" s="8" t="str">
        <f>HYPERLINK("https://twitter.com/CahayaBaktiGraf","@CahayaBaktiGraf")</f>
        <v>@CahayaBaktiGraf</v>
      </c>
      <c r="C2841" s="8" t="s">
        <v>1598</v>
      </c>
      <c r="D2841" s="8">
        <v>0</v>
      </c>
      <c r="E2841" s="8">
        <v>0</v>
      </c>
      <c r="F2841" s="8">
        <v>1066</v>
      </c>
    </row>
    <row r="2842" spans="1:6" ht="12.75">
      <c r="A2842" s="8">
        <v>43903.831145833334</v>
      </c>
      <c r="B2842" s="8" t="str">
        <f>HYPERLINK("https://twitter.com/DrRizalSukma","@DrRizalSukma")</f>
        <v>@DrRizalSukma</v>
      </c>
      <c r="C2842" s="8" t="s">
        <v>1599</v>
      </c>
      <c r="D2842" s="8">
        <v>6</v>
      </c>
      <c r="E2842" s="8">
        <v>0</v>
      </c>
      <c r="F2842" s="8">
        <v>2814</v>
      </c>
    </row>
    <row r="2843" spans="1:6" ht="12.75">
      <c r="A2843" s="8">
        <v>43903.831134259264</v>
      </c>
      <c r="B2843" s="8" t="str">
        <f>HYPERLINK("https://twitter.com/HendarwatiH","@HendarwatiH")</f>
        <v>@HendarwatiH</v>
      </c>
      <c r="C2843" s="8" t="s">
        <v>1524</v>
      </c>
      <c r="D2843" s="8">
        <v>1</v>
      </c>
      <c r="E2843" s="8">
        <v>0</v>
      </c>
      <c r="F2843" s="8">
        <v>2233</v>
      </c>
    </row>
    <row r="2844" spans="1:6" ht="12.75">
      <c r="A2844" s="8">
        <v>43903.828321759254</v>
      </c>
      <c r="B2844" s="8" t="str">
        <f>HYPERLINK("https://twitter.com/2dinesh","@2dinesh")</f>
        <v>@2dinesh</v>
      </c>
      <c r="C2844" s="8" t="s">
        <v>1195</v>
      </c>
      <c r="D2844" s="8">
        <v>2624</v>
      </c>
      <c r="E2844" s="8">
        <v>0</v>
      </c>
      <c r="F2844" s="8">
        <v>179</v>
      </c>
    </row>
    <row r="2845" spans="1:6" ht="12.75">
      <c r="A2845" s="8">
        <v>43903.8278587963</v>
      </c>
      <c r="B2845" s="8" t="str">
        <f>HYPERLINK("https://twitter.com/g0bell_78","@g0bell_78")</f>
        <v>@g0bell_78</v>
      </c>
      <c r="C2845" s="8" t="s">
        <v>353</v>
      </c>
      <c r="D2845" s="8">
        <v>105</v>
      </c>
      <c r="E2845" s="8">
        <v>0</v>
      </c>
      <c r="F2845" s="8">
        <v>3250</v>
      </c>
    </row>
    <row r="2846" spans="1:6" ht="12.75">
      <c r="A2846" s="8">
        <v>43903.827060185184</v>
      </c>
      <c r="B2846" s="8" t="str">
        <f>HYPERLINK("https://twitter.com/validnewsco","@validnewsco")</f>
        <v>@validnewsco</v>
      </c>
      <c r="C2846" s="8" t="s">
        <v>1600</v>
      </c>
      <c r="D2846" s="8">
        <v>0</v>
      </c>
      <c r="E2846" s="8">
        <v>2</v>
      </c>
      <c r="F2846" s="8">
        <v>32414</v>
      </c>
    </row>
    <row r="2847" spans="1:6" ht="12.75">
      <c r="A2847" s="8">
        <v>43903.825590277775</v>
      </c>
      <c r="B2847" s="8" t="str">
        <f>HYPERLINK("https://twitter.com/jkarji","@jkarji")</f>
        <v>@jkarji</v>
      </c>
      <c r="C2847" s="8" t="s">
        <v>1516</v>
      </c>
      <c r="D2847" s="8">
        <v>6</v>
      </c>
      <c r="E2847" s="8">
        <v>0</v>
      </c>
      <c r="F2847" s="8">
        <v>805</v>
      </c>
    </row>
    <row r="2848" spans="1:6" ht="12.75">
      <c r="A2848" s="8">
        <v>43903.824988425928</v>
      </c>
      <c r="B2848" s="8" t="str">
        <f>HYPERLINK("https://twitter.com/djimmortha","@djimmortha")</f>
        <v>@djimmortha</v>
      </c>
      <c r="C2848" s="8" t="s">
        <v>1588</v>
      </c>
      <c r="D2848" s="8">
        <v>10</v>
      </c>
      <c r="E2848" s="8">
        <v>0</v>
      </c>
      <c r="F2848" s="8">
        <v>824</v>
      </c>
    </row>
    <row r="2849" spans="1:6" ht="12.75">
      <c r="A2849" s="8">
        <v>43903.824803240743</v>
      </c>
      <c r="B2849" s="8" t="str">
        <f>HYPERLINK("https://twitter.com/Nouna_jessica94","@Nouna_jessica94")</f>
        <v>@Nouna_jessica94</v>
      </c>
      <c r="C2849" s="8" t="s">
        <v>1068</v>
      </c>
      <c r="D2849" s="8">
        <v>3</v>
      </c>
      <c r="E2849" s="8">
        <v>0</v>
      </c>
      <c r="F2849" s="8">
        <v>15060</v>
      </c>
    </row>
    <row r="2850" spans="1:6" ht="12.75">
      <c r="A2850" s="8">
        <v>43903.82435185185</v>
      </c>
      <c r="B2850" s="8" t="str">
        <f t="shared" ref="B2850:B2851" si="57">HYPERLINK("https://twitter.com/aslitulen","@aslitulen")</f>
        <v>@aslitulen</v>
      </c>
      <c r="C2850" s="8" t="s">
        <v>1601</v>
      </c>
      <c r="D2850" s="8">
        <v>0</v>
      </c>
      <c r="E2850" s="8">
        <v>0</v>
      </c>
      <c r="F2850" s="8">
        <v>0</v>
      </c>
    </row>
    <row r="2851" spans="1:6" ht="12.75">
      <c r="A2851" s="8">
        <v>43903.823831018519</v>
      </c>
      <c r="B2851" s="8" t="str">
        <f t="shared" si="57"/>
        <v>@aslitulen</v>
      </c>
      <c r="C2851" s="8" t="s">
        <v>1602</v>
      </c>
      <c r="D2851" s="8">
        <v>0</v>
      </c>
      <c r="E2851" s="8">
        <v>0</v>
      </c>
      <c r="F2851" s="8">
        <v>0</v>
      </c>
    </row>
    <row r="2852" spans="1:6" ht="12.75">
      <c r="A2852" s="8">
        <v>43903.823611111111</v>
      </c>
      <c r="B2852" s="8" t="str">
        <f>HYPERLINK("https://twitter.com/jusstme4u","@jusstme4u")</f>
        <v>@jusstme4u</v>
      </c>
      <c r="C2852" s="8" t="s">
        <v>1603</v>
      </c>
      <c r="D2852" s="8">
        <v>0</v>
      </c>
      <c r="E2852" s="8">
        <v>0</v>
      </c>
      <c r="F2852" s="8">
        <v>75825</v>
      </c>
    </row>
    <row r="2853" spans="1:6" ht="12.75">
      <c r="A2853" s="8">
        <v>43903.823101851856</v>
      </c>
      <c r="B2853" s="8" t="str">
        <f>HYPERLINK("https://twitter.com/_Pentulz","@_Pentulz")</f>
        <v>@_Pentulz</v>
      </c>
      <c r="C2853" s="8" t="s">
        <v>1604</v>
      </c>
      <c r="D2853" s="8">
        <v>0</v>
      </c>
      <c r="E2853" s="8">
        <v>0</v>
      </c>
      <c r="F2853" s="8">
        <v>80</v>
      </c>
    </row>
    <row r="2854" spans="1:6" ht="12.75">
      <c r="A2854" s="8">
        <v>43903.821828703702</v>
      </c>
      <c r="B2854" s="8" t="str">
        <f>HYPERLINK("https://twitter.com/RakaDotCom","@RakaDotCom")</f>
        <v>@RakaDotCom</v>
      </c>
      <c r="C2854" s="8" t="s">
        <v>1605</v>
      </c>
      <c r="D2854" s="8">
        <v>0</v>
      </c>
      <c r="E2854" s="8">
        <v>0</v>
      </c>
      <c r="F2854" s="8">
        <v>2220</v>
      </c>
    </row>
    <row r="2855" spans="1:6" ht="12.75">
      <c r="A2855" s="8">
        <v>43903.819907407407</v>
      </c>
      <c r="B2855" s="8" t="str">
        <f>HYPERLINK("https://twitter.com/HumasTeam","@HumasTeam")</f>
        <v>@HumasTeam</v>
      </c>
      <c r="C2855" s="8" t="s">
        <v>1606</v>
      </c>
      <c r="D2855" s="8">
        <v>0</v>
      </c>
      <c r="E2855" s="8">
        <v>0</v>
      </c>
      <c r="F2855" s="8">
        <v>180</v>
      </c>
    </row>
    <row r="2856" spans="1:6" ht="12.75">
      <c r="A2856" s="8">
        <v>43903.819189814814</v>
      </c>
      <c r="B2856" s="8" t="str">
        <f>HYPERLINK("https://twitter.com/whitvflag","@whitvflag")</f>
        <v>@whitvflag</v>
      </c>
      <c r="C2856" s="8" t="s">
        <v>1607</v>
      </c>
      <c r="D2856" s="8">
        <v>0</v>
      </c>
      <c r="E2856" s="8">
        <v>0</v>
      </c>
      <c r="F2856" s="8">
        <v>672</v>
      </c>
    </row>
    <row r="2857" spans="1:6" ht="12.75">
      <c r="A2857" s="8">
        <v>43903.818356481483</v>
      </c>
      <c r="B2857" s="8" t="str">
        <f>HYPERLINK("https://twitter.com/PolitikBobotoh","@PolitikBobotoh")</f>
        <v>@PolitikBobotoh</v>
      </c>
      <c r="C2857" s="8" t="s">
        <v>353</v>
      </c>
      <c r="D2857" s="8">
        <v>105</v>
      </c>
      <c r="E2857" s="8">
        <v>0</v>
      </c>
      <c r="F2857" s="8">
        <v>110</v>
      </c>
    </row>
    <row r="2858" spans="1:6" ht="12.75">
      <c r="A2858" s="8">
        <v>43903.816921296297</v>
      </c>
      <c r="B2858" s="8" t="str">
        <f>HYPERLINK("https://twitter.com/JambiCintaDamai","@JambiCintaDamai")</f>
        <v>@JambiCintaDamai</v>
      </c>
      <c r="C2858" s="8" t="s">
        <v>1510</v>
      </c>
      <c r="D2858" s="8">
        <v>1</v>
      </c>
      <c r="E2858" s="8">
        <v>0</v>
      </c>
      <c r="F2858" s="8">
        <v>550</v>
      </c>
    </row>
    <row r="2859" spans="1:6" ht="12.75">
      <c r="A2859" s="8">
        <v>43903.815879629634</v>
      </c>
      <c r="B2859" s="8" t="str">
        <f>HYPERLINK("https://twitter.com/priBUMI_DATAR","@priBUMI_DATAR")</f>
        <v>@priBUMI_DATAR</v>
      </c>
      <c r="C2859" s="8" t="s">
        <v>1358</v>
      </c>
      <c r="D2859" s="8">
        <v>18</v>
      </c>
      <c r="E2859" s="8">
        <v>0</v>
      </c>
      <c r="F2859" s="8">
        <v>215</v>
      </c>
    </row>
    <row r="2860" spans="1:6" ht="12.75">
      <c r="A2860" s="8">
        <v>43903.815810185188</v>
      </c>
      <c r="B2860" s="8" t="str">
        <f>HYPERLINK("https://twitter.com/ypypm_ypypm","@ypypm_ypypm")</f>
        <v>@ypypm_ypypm</v>
      </c>
      <c r="C2860" s="8" t="s">
        <v>1491</v>
      </c>
      <c r="D2860" s="8">
        <v>43</v>
      </c>
      <c r="E2860" s="8">
        <v>0</v>
      </c>
      <c r="F2860" s="8">
        <v>731</v>
      </c>
    </row>
    <row r="2861" spans="1:6" ht="12.75">
      <c r="A2861" s="8">
        <v>43903.815416666665</v>
      </c>
      <c r="B2861" s="8" t="str">
        <f>HYPERLINK("https://twitter.com/visitortwt1","@visitortwt1")</f>
        <v>@visitortwt1</v>
      </c>
      <c r="C2861" s="8" t="s">
        <v>353</v>
      </c>
      <c r="D2861" s="8">
        <v>105</v>
      </c>
      <c r="E2861" s="8">
        <v>0</v>
      </c>
      <c r="F2861" s="8">
        <v>420</v>
      </c>
    </row>
    <row r="2862" spans="1:6" ht="12.75">
      <c r="A2862" s="8">
        <v>43903.815208333333</v>
      </c>
      <c r="B2862" s="8" t="str">
        <f>HYPERLINK("https://twitter.com/kartikahari13","@kartikahari13")</f>
        <v>@kartikahari13</v>
      </c>
      <c r="C2862" s="8" t="s">
        <v>1475</v>
      </c>
      <c r="D2862" s="8">
        <v>2</v>
      </c>
      <c r="E2862" s="8">
        <v>0</v>
      </c>
      <c r="F2862" s="8">
        <v>1417</v>
      </c>
    </row>
    <row r="2863" spans="1:6" ht="12.75">
      <c r="A2863" s="8">
        <v>43903.815127314811</v>
      </c>
      <c r="B2863" s="8" t="str">
        <f>HYPERLINK("https://twitter.com/adhunlee","@adhunlee")</f>
        <v>@adhunlee</v>
      </c>
      <c r="C2863" s="8" t="s">
        <v>1608</v>
      </c>
      <c r="D2863" s="8">
        <v>0</v>
      </c>
      <c r="E2863" s="8">
        <v>0</v>
      </c>
      <c r="F2863" s="8">
        <v>192</v>
      </c>
    </row>
    <row r="2864" spans="1:6" ht="12.75">
      <c r="A2864" s="8">
        <v>43903.814363425925</v>
      </c>
      <c r="B2864" s="8" t="str">
        <f>HYPERLINK("https://twitter.com/republikaonline","@republikaonline")</f>
        <v>@republikaonline</v>
      </c>
      <c r="C2864" s="8" t="s">
        <v>1609</v>
      </c>
      <c r="D2864" s="8">
        <v>2</v>
      </c>
      <c r="E2864" s="8">
        <v>0</v>
      </c>
      <c r="F2864" s="8">
        <v>1225594</v>
      </c>
    </row>
    <row r="2865" spans="1:6" ht="12.75">
      <c r="A2865" s="8">
        <v>43903.814282407402</v>
      </c>
      <c r="B2865" s="8" t="str">
        <f>HYPERLINK("https://twitter.com/AaIdong","@AaIdong")</f>
        <v>@AaIdong</v>
      </c>
      <c r="C2865" s="8" t="s">
        <v>587</v>
      </c>
      <c r="D2865" s="8">
        <v>34</v>
      </c>
      <c r="E2865" s="8">
        <v>0</v>
      </c>
      <c r="F2865" s="8">
        <v>93</v>
      </c>
    </row>
    <row r="2866" spans="1:6" ht="12.75">
      <c r="A2866" s="8">
        <v>43903.814155092594</v>
      </c>
      <c r="B2866" s="8" t="str">
        <f>HYPERLINK("https://twitter.com/viickaas","@viickaas")</f>
        <v>@viickaas</v>
      </c>
      <c r="C2866" s="8" t="s">
        <v>1610</v>
      </c>
      <c r="D2866" s="8">
        <v>1</v>
      </c>
      <c r="E2866" s="8">
        <v>0</v>
      </c>
      <c r="F2866" s="8">
        <v>217</v>
      </c>
    </row>
    <row r="2867" spans="1:6" ht="12.75">
      <c r="A2867" s="8">
        <v>43903.814155092594</v>
      </c>
      <c r="B2867" s="8" t="str">
        <f>HYPERLINK("https://twitter.com/BillTemporo","@BillTemporo")</f>
        <v>@BillTemporo</v>
      </c>
      <c r="C2867" s="8" t="s">
        <v>384</v>
      </c>
      <c r="D2867" s="8">
        <v>0</v>
      </c>
      <c r="E2867" s="8">
        <v>0</v>
      </c>
      <c r="F2867" s="8">
        <v>11</v>
      </c>
    </row>
    <row r="2868" spans="1:6" ht="12.75">
      <c r="A2868" s="8">
        <v>43903.813888888893</v>
      </c>
      <c r="B2868" s="8" t="str">
        <f>HYPERLINK("https://twitter.com/kbri_kyiv","@kbri_kyiv")</f>
        <v>@kbri_kyiv</v>
      </c>
      <c r="C2868" s="8" t="s">
        <v>134</v>
      </c>
      <c r="D2868" s="8">
        <v>38</v>
      </c>
      <c r="E2868" s="8">
        <v>0</v>
      </c>
      <c r="F2868" s="8">
        <v>574</v>
      </c>
    </row>
    <row r="2869" spans="1:6" ht="12.75">
      <c r="A2869" s="8">
        <v>43903.813807870371</v>
      </c>
      <c r="B2869" s="8" t="str">
        <f>HYPERLINK("https://twitter.com/harihariono1","@harihariono1")</f>
        <v>@harihariono1</v>
      </c>
      <c r="C2869" s="8" t="s">
        <v>1491</v>
      </c>
      <c r="D2869" s="8">
        <v>43</v>
      </c>
      <c r="E2869" s="8">
        <v>0</v>
      </c>
      <c r="F2869" s="8">
        <v>9539</v>
      </c>
    </row>
    <row r="2870" spans="1:6" ht="12.75">
      <c r="A2870" s="8">
        <v>43903.813715277778</v>
      </c>
      <c r="B2870" s="8" t="str">
        <f>HYPERLINK("https://twitter.com/massalahudin","@massalahudin")</f>
        <v>@massalahudin</v>
      </c>
      <c r="C2870" s="8" t="s">
        <v>1611</v>
      </c>
      <c r="D2870" s="8">
        <v>0</v>
      </c>
      <c r="E2870" s="8">
        <v>0</v>
      </c>
      <c r="F2870" s="8">
        <v>501</v>
      </c>
    </row>
    <row r="2871" spans="1:6" ht="12.75">
      <c r="A2871" s="8">
        <v>43903.81177083333</v>
      </c>
      <c r="B2871" s="8" t="str">
        <f>HYPERLINK("https://twitter.com/setrasariputra","@setrasariputra")</f>
        <v>@setrasariputra</v>
      </c>
      <c r="C2871" s="8" t="s">
        <v>1612</v>
      </c>
      <c r="D2871" s="8">
        <v>0</v>
      </c>
      <c r="E2871" s="8">
        <v>0</v>
      </c>
      <c r="F2871" s="8">
        <v>57</v>
      </c>
    </row>
    <row r="2872" spans="1:6" ht="12.75">
      <c r="A2872" s="8">
        <v>43903.811157407406</v>
      </c>
      <c r="B2872" s="8" t="str">
        <f>HYPERLINK("https://twitter.com/andillick","@andillick")</f>
        <v>@andillick</v>
      </c>
      <c r="C2872" s="8" t="s">
        <v>1613</v>
      </c>
      <c r="D2872" s="8">
        <v>0</v>
      </c>
      <c r="E2872" s="8">
        <v>0</v>
      </c>
      <c r="F2872" s="8">
        <v>150</v>
      </c>
    </row>
    <row r="2873" spans="1:6" ht="12.75">
      <c r="A2873" s="8">
        <v>43903.810243055559</v>
      </c>
      <c r="B2873" s="8" t="str">
        <f>HYPERLINK("https://twitter.com/aisya_marvie","@aisya_marvie")</f>
        <v>@aisya_marvie</v>
      </c>
      <c r="C2873" s="8" t="s">
        <v>1614</v>
      </c>
      <c r="D2873" s="8">
        <v>0</v>
      </c>
      <c r="E2873" s="8">
        <v>0</v>
      </c>
      <c r="F2873" s="8">
        <v>424</v>
      </c>
    </row>
    <row r="2874" spans="1:6" ht="12.75">
      <c r="A2874" s="8">
        <v>43903.810173611113</v>
      </c>
      <c r="B2874" s="8" t="str">
        <f>HYPERLINK("https://twitter.com/Pakdhe_Didi","@Pakdhe_Didi")</f>
        <v>@Pakdhe_Didi</v>
      </c>
      <c r="C2874" s="8" t="s">
        <v>1615</v>
      </c>
      <c r="D2874" s="8">
        <v>0</v>
      </c>
      <c r="E2874" s="8">
        <v>0</v>
      </c>
      <c r="F2874" s="8">
        <v>228</v>
      </c>
    </row>
    <row r="2875" spans="1:6" ht="12.75">
      <c r="A2875" s="8">
        <v>43903.810150462959</v>
      </c>
      <c r="B2875" s="8" t="str">
        <f>HYPERLINK("https://twitter.com/rafrafrafa","@rafrafrafa")</f>
        <v>@rafrafrafa</v>
      </c>
      <c r="C2875" s="8" t="s">
        <v>1616</v>
      </c>
      <c r="D2875" s="8">
        <v>0</v>
      </c>
      <c r="E2875" s="8">
        <v>0</v>
      </c>
      <c r="F2875" s="8">
        <v>216</v>
      </c>
    </row>
    <row r="2876" spans="1:6" ht="12.75">
      <c r="A2876" s="8">
        <v>43903.809085648143</v>
      </c>
      <c r="B2876" s="8" t="str">
        <f>HYPERLINK("https://twitter.com/abdulloh2015","@abdulloh2015")</f>
        <v>@abdulloh2015</v>
      </c>
      <c r="C2876" s="8" t="s">
        <v>859</v>
      </c>
      <c r="D2876" s="8">
        <v>0</v>
      </c>
      <c r="E2876" s="8">
        <v>0</v>
      </c>
      <c r="F2876" s="8">
        <v>60</v>
      </c>
    </row>
    <row r="2877" spans="1:6" ht="12.75">
      <c r="A2877" s="8">
        <v>43903.809016203704</v>
      </c>
      <c r="B2877" s="8" t="str">
        <f>HYPERLINK("https://twitter.com/kireinaladeara","@kireinaladeara")</f>
        <v>@kireinaladeara</v>
      </c>
      <c r="C2877" s="8" t="s">
        <v>1617</v>
      </c>
      <c r="D2877" s="8">
        <v>1</v>
      </c>
      <c r="E2877" s="8">
        <v>0</v>
      </c>
      <c r="F2877" s="8">
        <v>694</v>
      </c>
    </row>
    <row r="2878" spans="1:6" ht="12.75">
      <c r="A2878" s="8">
        <v>43903.80736111111</v>
      </c>
      <c r="B2878" s="8" t="str">
        <f>HYPERLINK("https://twitter.com/erdian_n","@erdian_n")</f>
        <v>@erdian_n</v>
      </c>
      <c r="C2878" s="8" t="s">
        <v>1588</v>
      </c>
      <c r="D2878" s="8">
        <v>10</v>
      </c>
      <c r="E2878" s="8">
        <v>0</v>
      </c>
      <c r="F2878" s="8">
        <v>746</v>
      </c>
    </row>
    <row r="2879" spans="1:6" ht="12.75">
      <c r="A2879" s="8">
        <v>43903.807210648149</v>
      </c>
      <c r="B2879" s="8" t="str">
        <f>HYPERLINK("https://twitter.com/BWdesain","@BWdesain")</f>
        <v>@BWdesain</v>
      </c>
      <c r="C2879" s="8" t="s">
        <v>353</v>
      </c>
      <c r="D2879" s="8">
        <v>105</v>
      </c>
      <c r="E2879" s="8">
        <v>0</v>
      </c>
      <c r="F2879" s="8">
        <v>113</v>
      </c>
    </row>
    <row r="2880" spans="1:6" ht="12.75">
      <c r="A2880" s="8">
        <v>43903.806111111116</v>
      </c>
      <c r="B2880" s="8" t="str">
        <f>HYPERLINK("https://twitter.com/soffel84103944","@soffel84103944")</f>
        <v>@soffel84103944</v>
      </c>
      <c r="C2880" s="8" t="s">
        <v>925</v>
      </c>
      <c r="D2880" s="8">
        <v>156</v>
      </c>
      <c r="E2880" s="8">
        <v>0</v>
      </c>
      <c r="F2880" s="8">
        <v>640</v>
      </c>
    </row>
    <row r="2881" spans="1:6" ht="12.75">
      <c r="A2881" s="8">
        <v>43903.805972222224</v>
      </c>
      <c r="B2881" s="8" t="str">
        <f>HYPERLINK("https://twitter.com/dumbq_","@dumbq_")</f>
        <v>@dumbq_</v>
      </c>
      <c r="C2881" s="8" t="s">
        <v>1618</v>
      </c>
      <c r="D2881" s="8">
        <v>0</v>
      </c>
      <c r="E2881" s="8">
        <v>0</v>
      </c>
      <c r="F2881" s="8">
        <v>3143</v>
      </c>
    </row>
    <row r="2882" spans="1:6" ht="12.75">
      <c r="A2882" s="8">
        <v>43903.805555555555</v>
      </c>
      <c r="B2882" s="8" t="str">
        <f>HYPERLINK("https://twitter.com/healthyliveID","@healthyliveID")</f>
        <v>@healthyliveID</v>
      </c>
      <c r="C2882" s="8" t="s">
        <v>1619</v>
      </c>
      <c r="D2882" s="8">
        <v>0</v>
      </c>
      <c r="E2882" s="8">
        <v>0</v>
      </c>
      <c r="F2882" s="8">
        <v>45106</v>
      </c>
    </row>
    <row r="2883" spans="1:6" ht="12.75">
      <c r="A2883" s="8">
        <v>43903.805277777778</v>
      </c>
      <c r="B2883" s="8" t="str">
        <f>HYPERLINK("https://twitter.com/hdimara79","@hdimara79")</f>
        <v>@hdimara79</v>
      </c>
      <c r="C2883" s="8" t="s">
        <v>134</v>
      </c>
      <c r="D2883" s="8">
        <v>38</v>
      </c>
      <c r="E2883" s="8">
        <v>0</v>
      </c>
      <c r="F2883" s="8">
        <v>52</v>
      </c>
    </row>
    <row r="2884" spans="1:6" ht="12.75">
      <c r="A2884" s="8">
        <v>43903.804432870369</v>
      </c>
      <c r="B2884" s="8" t="str">
        <f>HYPERLINK("https://twitter.com/sushimentaii","@sushimentaii")</f>
        <v>@sushimentaii</v>
      </c>
      <c r="C2884" s="8" t="s">
        <v>1620</v>
      </c>
      <c r="D2884" s="8">
        <v>0</v>
      </c>
      <c r="E2884" s="8">
        <v>0</v>
      </c>
      <c r="F2884" s="8">
        <v>492</v>
      </c>
    </row>
    <row r="2885" spans="1:6" ht="12.75">
      <c r="A2885" s="8">
        <v>43903.804340277777</v>
      </c>
      <c r="B2885" s="8" t="str">
        <f>HYPERLINK("https://twitter.com/eldifaaa","@eldifaaa")</f>
        <v>@eldifaaa</v>
      </c>
      <c r="C2885" s="8" t="s">
        <v>1599</v>
      </c>
      <c r="D2885" s="8">
        <v>6</v>
      </c>
      <c r="E2885" s="8">
        <v>0</v>
      </c>
      <c r="F2885" s="8">
        <v>267</v>
      </c>
    </row>
    <row r="2886" spans="1:6" ht="12.75">
      <c r="A2886" s="8">
        <v>43903.804062499999</v>
      </c>
      <c r="B2886" s="8" t="str">
        <f>HYPERLINK("https://twitter.com/FoldMaulana30","@FoldMaulana30")</f>
        <v>@FoldMaulana30</v>
      </c>
      <c r="C2886" s="8" t="s">
        <v>1030</v>
      </c>
      <c r="D2886" s="8">
        <v>202</v>
      </c>
      <c r="E2886" s="8">
        <v>0</v>
      </c>
      <c r="F2886" s="8">
        <v>426</v>
      </c>
    </row>
    <row r="2887" spans="1:6" ht="12.75">
      <c r="A2887" s="8">
        <v>43903.803715277776</v>
      </c>
      <c r="B2887" s="8" t="str">
        <f>HYPERLINK("https://twitter.com/vachrie313","@vachrie313")</f>
        <v>@vachrie313</v>
      </c>
      <c r="C2887" s="8" t="s">
        <v>1621</v>
      </c>
      <c r="D2887" s="8">
        <v>46</v>
      </c>
      <c r="E2887" s="8">
        <v>0</v>
      </c>
      <c r="F2887" s="8">
        <v>143</v>
      </c>
    </row>
    <row r="2888" spans="1:6" ht="12.75">
      <c r="A2888" s="8">
        <v>43903.803344907406</v>
      </c>
      <c r="B2888" s="8" t="str">
        <f>HYPERLINK("https://twitter.com/anstsyaf","@anstsyaf")</f>
        <v>@anstsyaf</v>
      </c>
      <c r="C2888" s="8" t="s">
        <v>1621</v>
      </c>
      <c r="D2888" s="8">
        <v>46</v>
      </c>
      <c r="E2888" s="8">
        <v>0</v>
      </c>
      <c r="F2888" s="8">
        <v>505</v>
      </c>
    </row>
    <row r="2889" spans="1:6" ht="12.75">
      <c r="A2889" s="8">
        <v>43903.803032407406</v>
      </c>
      <c r="B2889" s="8" t="str">
        <f>HYPERLINK("https://twitter.com/MasPunakawan","@MasPunakawan")</f>
        <v>@MasPunakawan</v>
      </c>
      <c r="C2889" s="8" t="s">
        <v>1622</v>
      </c>
      <c r="D2889" s="8">
        <v>0</v>
      </c>
      <c r="E2889" s="8">
        <v>0</v>
      </c>
      <c r="F2889" s="8">
        <v>51</v>
      </c>
    </row>
    <row r="2890" spans="1:6" ht="12.75">
      <c r="A2890" s="8">
        <v>43903.802974537037</v>
      </c>
      <c r="B2890" s="8" t="str">
        <f>HYPERLINK("https://twitter.com/FerryM1","@FerryM1")</f>
        <v>@FerryM1</v>
      </c>
      <c r="C2890" s="8" t="s">
        <v>925</v>
      </c>
      <c r="D2890" s="8">
        <v>156</v>
      </c>
      <c r="E2890" s="8">
        <v>0</v>
      </c>
      <c r="F2890" s="8">
        <v>2329</v>
      </c>
    </row>
    <row r="2891" spans="1:6" ht="12.75">
      <c r="A2891" s="8">
        <v>43903.802731481483</v>
      </c>
      <c r="B2891" s="8" t="str">
        <f>HYPERLINK("https://twitter.com/krispakpahan","@krispakpahan")</f>
        <v>@krispakpahan</v>
      </c>
      <c r="C2891" s="8" t="s">
        <v>1623</v>
      </c>
      <c r="D2891" s="8">
        <v>0</v>
      </c>
      <c r="E2891" s="8">
        <v>0</v>
      </c>
      <c r="F2891" s="8">
        <v>679</v>
      </c>
    </row>
    <row r="2892" spans="1:6" ht="12.75">
      <c r="A2892" s="8">
        <v>43903.802430555559</v>
      </c>
      <c r="B2892" s="8" t="str">
        <f>HYPERLINK("https://twitter.com/wni_jmsri","@wni_jmsri")</f>
        <v>@wni_jmsri</v>
      </c>
      <c r="C2892" s="8" t="s">
        <v>1624</v>
      </c>
      <c r="D2892" s="8">
        <v>513</v>
      </c>
      <c r="E2892" s="8">
        <v>0</v>
      </c>
      <c r="F2892" s="8">
        <v>201</v>
      </c>
    </row>
    <row r="2893" spans="1:6" ht="12.75">
      <c r="A2893" s="8">
        <v>43903.802303240736</v>
      </c>
      <c r="B2893" s="8" t="str">
        <f>HYPERLINK("https://twitter.com/ajarangmandi","@ajarangmandi")</f>
        <v>@ajarangmandi</v>
      </c>
      <c r="C2893" s="8" t="s">
        <v>1625</v>
      </c>
      <c r="D2893" s="8">
        <v>0</v>
      </c>
      <c r="E2893" s="8">
        <v>1</v>
      </c>
      <c r="F2893" s="8">
        <v>78</v>
      </c>
    </row>
    <row r="2894" spans="1:6" ht="12.75">
      <c r="A2894" s="8">
        <v>43903.802002314813</v>
      </c>
      <c r="B2894" s="8" t="str">
        <f>HYPERLINK("https://twitter.com/Heri_aja","@Heri_aja")</f>
        <v>@Heri_aja</v>
      </c>
      <c r="C2894" s="8" t="s">
        <v>874</v>
      </c>
      <c r="D2894" s="8">
        <v>55</v>
      </c>
      <c r="E2894" s="8">
        <v>0</v>
      </c>
      <c r="F2894" s="8">
        <v>2129</v>
      </c>
    </row>
    <row r="2895" spans="1:6" ht="12.75">
      <c r="A2895" s="8">
        <v>43903.801863425921</v>
      </c>
      <c r="B2895" s="8" t="str">
        <f>HYPERLINK("https://twitter.com/MasPunakawan","@MasPunakawan")</f>
        <v>@MasPunakawan</v>
      </c>
      <c r="C2895" s="8" t="s">
        <v>1626</v>
      </c>
      <c r="D2895" s="8">
        <v>0</v>
      </c>
      <c r="E2895" s="8">
        <v>0</v>
      </c>
      <c r="F2895" s="8">
        <v>51</v>
      </c>
    </row>
    <row r="2896" spans="1:6" ht="12.75">
      <c r="A2896" s="8">
        <v>43903.801759259259</v>
      </c>
      <c r="B2896" s="8" t="str">
        <f>HYPERLINK("https://twitter.com/masbambang188","@masbambang188")</f>
        <v>@masbambang188</v>
      </c>
      <c r="C2896" s="8" t="s">
        <v>1627</v>
      </c>
      <c r="D2896" s="8">
        <v>0</v>
      </c>
      <c r="E2896" s="8">
        <v>2</v>
      </c>
      <c r="F2896" s="8">
        <v>565</v>
      </c>
    </row>
    <row r="2897" spans="1:6" ht="12.75">
      <c r="A2897" s="8">
        <v>43903.801712962959</v>
      </c>
      <c r="B2897" s="8" t="str">
        <f>HYPERLINK("https://twitter.com/kraksaan_online","@kraksaan_online")</f>
        <v>@kraksaan_online</v>
      </c>
      <c r="C2897" s="8" t="s">
        <v>1628</v>
      </c>
      <c r="D2897" s="8">
        <v>0</v>
      </c>
      <c r="E2897" s="8">
        <v>0</v>
      </c>
      <c r="F2897" s="8">
        <v>488</v>
      </c>
    </row>
    <row r="2898" spans="1:6" ht="12.75">
      <c r="A2898" s="8">
        <v>43903.801041666666</v>
      </c>
      <c r="B2898" s="8" t="str">
        <f>HYPERLINK("https://twitter.com/MasPunakawan","@MasPunakawan")</f>
        <v>@MasPunakawan</v>
      </c>
      <c r="C2898" s="8" t="s">
        <v>1629</v>
      </c>
      <c r="D2898" s="8">
        <v>0</v>
      </c>
      <c r="E2898" s="8">
        <v>0</v>
      </c>
      <c r="F2898" s="8">
        <v>51</v>
      </c>
    </row>
    <row r="2899" spans="1:6" ht="12.75">
      <c r="A2899" s="8">
        <v>43903.800706018519</v>
      </c>
      <c r="B2899" s="8" t="str">
        <f>HYPERLINK("https://twitter.com/Q_oposan","@Q_oposan")</f>
        <v>@Q_oposan</v>
      </c>
      <c r="C2899" s="8" t="s">
        <v>587</v>
      </c>
      <c r="D2899" s="8">
        <v>34</v>
      </c>
      <c r="E2899" s="8">
        <v>0</v>
      </c>
      <c r="F2899" s="8">
        <v>1295</v>
      </c>
    </row>
    <row r="2900" spans="1:6" ht="12.75">
      <c r="A2900" s="8">
        <v>43903.800520833334</v>
      </c>
      <c r="B2900" s="8" t="str">
        <f>HYPERLINK("https://twitter.com/triefince","@triefince")</f>
        <v>@triefince</v>
      </c>
      <c r="C2900" s="8" t="s">
        <v>1630</v>
      </c>
      <c r="D2900" s="8">
        <v>0</v>
      </c>
      <c r="E2900" s="8">
        <v>1</v>
      </c>
      <c r="F2900" s="8">
        <v>651</v>
      </c>
    </row>
    <row r="2901" spans="1:6" ht="12.75">
      <c r="A2901" s="8">
        <v>43903.800462962958</v>
      </c>
      <c r="B2901" s="8" t="str">
        <f>HYPERLINK("https://twitter.com/travellingpipi","@travellingpipi")</f>
        <v>@travellingpipi</v>
      </c>
      <c r="C2901" s="8" t="s">
        <v>1631</v>
      </c>
      <c r="D2901" s="8">
        <v>4</v>
      </c>
      <c r="E2901" s="8">
        <v>0</v>
      </c>
      <c r="F2901" s="8">
        <v>96</v>
      </c>
    </row>
    <row r="2902" spans="1:6" ht="12.75">
      <c r="A2902" s="8">
        <v>43903.800289351857</v>
      </c>
      <c r="B2902" s="8" t="str">
        <f>HYPERLINK("https://twitter.com/PenaMinang","@PenaMinang")</f>
        <v>@PenaMinang</v>
      </c>
      <c r="C2902" s="8" t="s">
        <v>1632</v>
      </c>
      <c r="D2902" s="8">
        <v>0</v>
      </c>
      <c r="E2902" s="8">
        <v>0</v>
      </c>
      <c r="F2902" s="8">
        <v>3798</v>
      </c>
    </row>
    <row r="2903" spans="1:6" ht="12.75">
      <c r="A2903" s="8">
        <v>43903.799537037034</v>
      </c>
      <c r="B2903" s="8" t="str">
        <f>HYPERLINK("https://twitter.com/Qshareina","@Qshareina")</f>
        <v>@Qshareina</v>
      </c>
      <c r="C2903" s="8" t="s">
        <v>1633</v>
      </c>
      <c r="D2903" s="8">
        <v>0</v>
      </c>
      <c r="E2903" s="8">
        <v>0</v>
      </c>
      <c r="F2903" s="8">
        <v>246</v>
      </c>
    </row>
    <row r="2904" spans="1:6" ht="12.75">
      <c r="A2904" s="8">
        <v>43903.799108796295</v>
      </c>
      <c r="B2904" s="8" t="str">
        <f>HYPERLINK("https://twitter.com/Nol92321065","@Nol92321065")</f>
        <v>@Nol92321065</v>
      </c>
      <c r="C2904" s="8" t="s">
        <v>1634</v>
      </c>
      <c r="D2904" s="8">
        <v>0</v>
      </c>
      <c r="E2904" s="8">
        <v>0</v>
      </c>
      <c r="F2904" s="8">
        <v>1</v>
      </c>
    </row>
    <row r="2905" spans="1:6" ht="12.75">
      <c r="A2905" s="8">
        <v>43903.79887731481</v>
      </c>
      <c r="B2905" s="8" t="str">
        <f>HYPERLINK("https://twitter.com/arafiansyah","@arafiansyah")</f>
        <v>@arafiansyah</v>
      </c>
      <c r="C2905" s="8" t="s">
        <v>1635</v>
      </c>
      <c r="D2905" s="8">
        <v>0</v>
      </c>
      <c r="E2905" s="8">
        <v>0</v>
      </c>
      <c r="F2905" s="8">
        <v>496</v>
      </c>
    </row>
    <row r="2906" spans="1:6" ht="12.75">
      <c r="A2906" s="8">
        <v>43903.798657407402</v>
      </c>
      <c r="B2906" s="8" t="str">
        <f>HYPERLINK("https://twitter.com/fableous","@fableous")</f>
        <v>@fableous</v>
      </c>
      <c r="C2906" s="8" t="s">
        <v>983</v>
      </c>
      <c r="D2906" s="8">
        <v>1</v>
      </c>
      <c r="E2906" s="8">
        <v>0</v>
      </c>
      <c r="F2906" s="8">
        <v>199</v>
      </c>
    </row>
    <row r="2907" spans="1:6" ht="12.75">
      <c r="A2907" s="8">
        <v>43903.798541666663</v>
      </c>
      <c r="B2907" s="8" t="str">
        <f>HYPERLINK("https://twitter.com/PerkasaHabsyah","@PerkasaHabsyah")</f>
        <v>@PerkasaHabsyah</v>
      </c>
      <c r="C2907" s="8" t="s">
        <v>1636</v>
      </c>
      <c r="D2907" s="8">
        <v>0</v>
      </c>
      <c r="E2907" s="8">
        <v>0</v>
      </c>
      <c r="F2907" s="8">
        <v>1132</v>
      </c>
    </row>
    <row r="2908" spans="1:6" ht="12.75">
      <c r="A2908" s="8">
        <v>43903.798495370371</v>
      </c>
      <c r="B2908" s="8" t="str">
        <f>HYPERLINK("https://twitter.com/iNewsID","@iNewsID")</f>
        <v>@iNewsID</v>
      </c>
      <c r="C2908" s="8" t="s">
        <v>1637</v>
      </c>
      <c r="D2908" s="8">
        <v>0</v>
      </c>
      <c r="E2908" s="8">
        <v>0</v>
      </c>
      <c r="F2908" s="8">
        <v>1397</v>
      </c>
    </row>
    <row r="2909" spans="1:6" ht="12.75">
      <c r="A2909" s="8">
        <v>43903.796817129631</v>
      </c>
      <c r="B2909" s="8" t="str">
        <f>HYPERLINK("https://twitter.com/ustadtengkuzull","@ustadtengkuzull")</f>
        <v>@ustadtengkuzull</v>
      </c>
      <c r="C2909" s="8" t="s">
        <v>1638</v>
      </c>
      <c r="D2909" s="8">
        <v>0</v>
      </c>
      <c r="E2909" s="8">
        <v>0</v>
      </c>
      <c r="F2909" s="8">
        <v>114</v>
      </c>
    </row>
    <row r="2910" spans="1:6" ht="12.75">
      <c r="A2910" s="8">
        <v>43903.796527777777</v>
      </c>
      <c r="B2910" s="8" t="str">
        <f>HYPERLINK("https://twitter.com/klasiaf","@klasiaf")</f>
        <v>@klasiaf</v>
      </c>
      <c r="C2910" s="8" t="s">
        <v>1639</v>
      </c>
      <c r="D2910" s="8">
        <v>0</v>
      </c>
      <c r="E2910" s="8">
        <v>0</v>
      </c>
      <c r="F2910" s="8">
        <v>383</v>
      </c>
    </row>
    <row r="2911" spans="1:6" ht="12.75">
      <c r="A2911" s="8">
        <v>43903.796261574069</v>
      </c>
      <c r="B2911" s="8" t="str">
        <f>HYPERLINK("https://twitter.com/Kasayanto_","@Kasayanto_")</f>
        <v>@Kasayanto_</v>
      </c>
      <c r="C2911" s="8" t="s">
        <v>1640</v>
      </c>
      <c r="D2911" s="8">
        <v>0</v>
      </c>
      <c r="E2911" s="8">
        <v>0</v>
      </c>
      <c r="F2911" s="8">
        <v>2025</v>
      </c>
    </row>
    <row r="2912" spans="1:6" ht="12.75">
      <c r="A2912" s="8">
        <v>43903.79582175926</v>
      </c>
      <c r="B2912" s="8" t="str">
        <f>HYPERLINK("https://twitter.com/Mulia07094480","@Mulia07094480")</f>
        <v>@Mulia07094480</v>
      </c>
      <c r="C2912" s="8" t="s">
        <v>1641</v>
      </c>
      <c r="D2912" s="8">
        <v>0</v>
      </c>
      <c r="E2912" s="8">
        <v>0</v>
      </c>
      <c r="F2912" s="8">
        <v>777</v>
      </c>
    </row>
    <row r="2913" spans="1:6" ht="12.75">
      <c r="A2913" s="8">
        <v>43903.795601851853</v>
      </c>
      <c r="B2913" s="8" t="str">
        <f>HYPERLINK("https://twitter.com/wiwinwajhudi","@wiwinwajhudi")</f>
        <v>@wiwinwajhudi</v>
      </c>
      <c r="C2913" s="8" t="s">
        <v>1642</v>
      </c>
      <c r="D2913" s="8">
        <v>0</v>
      </c>
      <c r="E2913" s="8">
        <v>0</v>
      </c>
      <c r="F2913" s="8">
        <v>46</v>
      </c>
    </row>
    <row r="2914" spans="1:6" ht="12.75">
      <c r="A2914" s="8">
        <v>43903.795428240745</v>
      </c>
      <c r="B2914" s="8" t="str">
        <f>HYPERLINK("https://twitter.com/astitiwidhiy","@astitiwidhiy")</f>
        <v>@astitiwidhiy</v>
      </c>
      <c r="C2914" s="8" t="s">
        <v>1643</v>
      </c>
      <c r="D2914" s="8">
        <v>131</v>
      </c>
      <c r="E2914" s="8">
        <v>0</v>
      </c>
      <c r="F2914" s="8">
        <v>393</v>
      </c>
    </row>
    <row r="2915" spans="1:6" ht="12.75">
      <c r="A2915" s="8">
        <v>43903.795034722221</v>
      </c>
      <c r="B2915" s="8" t="str">
        <f>HYPERLINK("https://twitter.com/bahtiar_izam","@bahtiar_izam")</f>
        <v>@bahtiar_izam</v>
      </c>
      <c r="C2915" s="8" t="s">
        <v>1644</v>
      </c>
      <c r="D2915" s="8">
        <v>0</v>
      </c>
      <c r="E2915" s="8">
        <v>0</v>
      </c>
      <c r="F2915" s="8">
        <v>30</v>
      </c>
    </row>
    <row r="2916" spans="1:6" ht="12.75">
      <c r="A2916" s="8">
        <v>43903.794861111106</v>
      </c>
      <c r="B2916" s="8" t="str">
        <f>HYPERLINK("https://twitter.com/Mulia07094480","@Mulia07094480")</f>
        <v>@Mulia07094480</v>
      </c>
      <c r="C2916" s="8" t="s">
        <v>1573</v>
      </c>
      <c r="D2916" s="8">
        <v>1</v>
      </c>
      <c r="E2916" s="8">
        <v>0</v>
      </c>
      <c r="F2916" s="8">
        <v>777</v>
      </c>
    </row>
    <row r="2917" spans="1:6" ht="12.75">
      <c r="A2917" s="8">
        <v>43903.794722222221</v>
      </c>
      <c r="B2917" s="8" t="str">
        <f>HYPERLINK("https://twitter.com/HaloBCA","@HaloBCA")</f>
        <v>@HaloBCA</v>
      </c>
      <c r="C2917" s="8" t="s">
        <v>1645</v>
      </c>
      <c r="D2917" s="8">
        <v>0</v>
      </c>
      <c r="E2917" s="8">
        <v>0</v>
      </c>
      <c r="F2917" s="8">
        <v>233574</v>
      </c>
    </row>
    <row r="2918" spans="1:6" ht="12.75">
      <c r="A2918" s="8">
        <v>43903.794722222221</v>
      </c>
      <c r="B2918" s="8" t="str">
        <f>HYPERLINK("https://twitter.com/denmassar","@denmassar")</f>
        <v>@denmassar</v>
      </c>
      <c r="C2918" s="8" t="s">
        <v>1646</v>
      </c>
      <c r="D2918" s="8">
        <v>0</v>
      </c>
      <c r="E2918" s="8">
        <v>0</v>
      </c>
      <c r="F2918" s="8">
        <v>2164</v>
      </c>
    </row>
    <row r="2919" spans="1:6" ht="12.75">
      <c r="A2919" s="8">
        <v>43903.794456018513</v>
      </c>
      <c r="B2919" s="8" t="str">
        <f>HYPERLINK("https://twitter.com/HumasTeam","@HumasTeam")</f>
        <v>@HumasTeam</v>
      </c>
      <c r="C2919" s="8" t="s">
        <v>1647</v>
      </c>
      <c r="D2919" s="8">
        <v>0</v>
      </c>
      <c r="E2919" s="8">
        <v>0</v>
      </c>
      <c r="F2919" s="8">
        <v>180</v>
      </c>
    </row>
    <row r="2920" spans="1:6" ht="12.75">
      <c r="A2920" s="8">
        <v>43903.794444444444</v>
      </c>
      <c r="B2920" s="8" t="str">
        <f>HYPERLINK("https://twitter.com/SiJombloKreatif","@SiJombloKreatif")</f>
        <v>@SiJombloKreatif</v>
      </c>
      <c r="C2920" s="8" t="s">
        <v>1648</v>
      </c>
      <c r="D2920" s="8">
        <v>0</v>
      </c>
      <c r="E2920" s="8">
        <v>0</v>
      </c>
      <c r="F2920" s="8">
        <v>120919</v>
      </c>
    </row>
    <row r="2921" spans="1:6" ht="12.75">
      <c r="A2921" s="8">
        <v>43903.793958333335</v>
      </c>
      <c r="B2921" s="8" t="str">
        <f>HYPERLINK("https://twitter.com/visitortwt1","@visitortwt1")</f>
        <v>@visitortwt1</v>
      </c>
      <c r="C2921" s="8" t="s">
        <v>1649</v>
      </c>
      <c r="D2921" s="8">
        <v>3</v>
      </c>
      <c r="E2921" s="8">
        <v>0</v>
      </c>
      <c r="F2921" s="8">
        <v>420</v>
      </c>
    </row>
    <row r="2922" spans="1:6" ht="12.75">
      <c r="A2922" s="8">
        <v>43903.792731481481</v>
      </c>
      <c r="B2922" s="8" t="str">
        <f>HYPERLINK("https://twitter.com/harihariono1","@harihariono1")</f>
        <v>@harihariono1</v>
      </c>
      <c r="C2922" s="8" t="s">
        <v>1068</v>
      </c>
      <c r="D2922" s="8">
        <v>1</v>
      </c>
      <c r="E2922" s="8">
        <v>0</v>
      </c>
      <c r="F2922" s="8">
        <v>9536</v>
      </c>
    </row>
    <row r="2923" spans="1:6" ht="12.75">
      <c r="A2923" s="8">
        <v>43903.792164351849</v>
      </c>
      <c r="B2923" s="8" t="str">
        <f>HYPERLINK("https://twitter.com/Nurtian8","@Nurtian8")</f>
        <v>@Nurtian8</v>
      </c>
      <c r="C2923" s="8" t="s">
        <v>1650</v>
      </c>
      <c r="D2923" s="8">
        <v>0</v>
      </c>
      <c r="E2923" s="8">
        <v>0</v>
      </c>
      <c r="F2923" s="8">
        <v>158</v>
      </c>
    </row>
    <row r="2924" spans="1:6" ht="12.75">
      <c r="A2924" s="8">
        <v>43903.791666666672</v>
      </c>
      <c r="B2924" s="8" t="str">
        <f>HYPERLINK("https://twitter.com/ItsMyRealQuotes","@ItsMyRealQuotes")</f>
        <v>@ItsMyRealQuotes</v>
      </c>
      <c r="C2924" s="8" t="s">
        <v>1651</v>
      </c>
      <c r="D2924" s="8">
        <v>0</v>
      </c>
      <c r="E2924" s="8">
        <v>0</v>
      </c>
      <c r="F2924" s="8">
        <v>181991</v>
      </c>
    </row>
    <row r="2925" spans="1:6" ht="12.75">
      <c r="A2925" s="8">
        <v>43903.791516203702</v>
      </c>
      <c r="B2925" s="8" t="str">
        <f>HYPERLINK("https://twitter.com/AnakLolina","@AnakLolina")</f>
        <v>@AnakLolina</v>
      </c>
      <c r="C2925" s="8" t="s">
        <v>1323</v>
      </c>
      <c r="D2925" s="8">
        <v>2</v>
      </c>
      <c r="E2925" s="8">
        <v>0</v>
      </c>
      <c r="F2925" s="8">
        <v>15375</v>
      </c>
    </row>
    <row r="2926" spans="1:6" ht="12.75">
      <c r="A2926" s="8">
        <v>43903.791087962964</v>
      </c>
      <c r="B2926" s="8" t="str">
        <f>HYPERLINK("https://twitter.com/0601c5f628aa43d","@0601c5f628aa43d")</f>
        <v>@0601c5f628aa43d</v>
      </c>
      <c r="C2926" s="8" t="s">
        <v>1652</v>
      </c>
      <c r="D2926" s="8">
        <v>2</v>
      </c>
      <c r="E2926" s="8">
        <v>0</v>
      </c>
      <c r="F2926" s="8">
        <v>2</v>
      </c>
    </row>
    <row r="2927" spans="1:6" ht="12.75">
      <c r="A2927" s="8">
        <v>43903.789571759262</v>
      </c>
      <c r="B2927" s="8" t="str">
        <f t="shared" ref="B2927:B2928" si="58">HYPERLINK("https://twitter.com/RinnaTantri","@RinnaTantri")</f>
        <v>@RinnaTantri</v>
      </c>
      <c r="C2927" s="8" t="s">
        <v>1653</v>
      </c>
      <c r="D2927" s="8">
        <v>10</v>
      </c>
      <c r="E2927" s="8">
        <v>0</v>
      </c>
      <c r="F2927" s="8">
        <v>732</v>
      </c>
    </row>
    <row r="2928" spans="1:6" ht="12.75">
      <c r="A2928" s="8">
        <v>43903.789490740739</v>
      </c>
      <c r="B2928" s="8" t="str">
        <f t="shared" si="58"/>
        <v>@RinnaTantri</v>
      </c>
      <c r="C2928" s="8" t="s">
        <v>1654</v>
      </c>
      <c r="D2928" s="8">
        <v>7</v>
      </c>
      <c r="E2928" s="8">
        <v>0</v>
      </c>
      <c r="F2928" s="8">
        <v>732</v>
      </c>
    </row>
    <row r="2929" spans="1:6" ht="12.75">
      <c r="A2929" s="8">
        <v>43903.7894212963</v>
      </c>
      <c r="B2929" s="8" t="str">
        <f>HYPERLINK("https://twitter.com/FarelmaxL","@FarelmaxL")</f>
        <v>@FarelmaxL</v>
      </c>
      <c r="C2929" s="8" t="s">
        <v>1655</v>
      </c>
      <c r="D2929" s="8">
        <v>0</v>
      </c>
      <c r="E2929" s="8">
        <v>0</v>
      </c>
      <c r="F2929" s="8">
        <v>1452</v>
      </c>
    </row>
    <row r="2930" spans="1:6" ht="12.75">
      <c r="A2930" s="8">
        <v>43903.789282407408</v>
      </c>
      <c r="B2930" s="8" t="str">
        <f>HYPERLINK("https://twitter.com/marhamahsahaja","@marhamahsahaja")</f>
        <v>@marhamahsahaja</v>
      </c>
      <c r="C2930" s="8" t="s">
        <v>1599</v>
      </c>
      <c r="D2930" s="8">
        <v>5</v>
      </c>
      <c r="E2930" s="8">
        <v>0</v>
      </c>
      <c r="F2930" s="8">
        <v>31</v>
      </c>
    </row>
    <row r="2931" spans="1:6" ht="12.75">
      <c r="A2931" s="8">
        <v>43903.788564814815</v>
      </c>
      <c r="B2931" s="8" t="str">
        <f>HYPERLINK("https://twitter.com/kantiwjanis","@kantiwjanis")</f>
        <v>@kantiwjanis</v>
      </c>
      <c r="C2931" s="8" t="s">
        <v>1656</v>
      </c>
      <c r="D2931" s="8">
        <v>3</v>
      </c>
      <c r="E2931" s="8">
        <v>0</v>
      </c>
      <c r="F2931" s="8">
        <v>1025</v>
      </c>
    </row>
    <row r="2932" spans="1:6" ht="12.75">
      <c r="A2932" s="8">
        <v>43903.788449074069</v>
      </c>
      <c r="B2932" s="8" t="str">
        <f>HYPERLINK("https://twitter.com/Zhongren15","@Zhongren15")</f>
        <v>@Zhongren15</v>
      </c>
      <c r="C2932" s="8" t="s">
        <v>1323</v>
      </c>
      <c r="D2932" s="8">
        <v>2</v>
      </c>
      <c r="E2932" s="8">
        <v>0</v>
      </c>
      <c r="F2932" s="8">
        <v>418</v>
      </c>
    </row>
    <row r="2933" spans="1:6" ht="12.75">
      <c r="A2933" s="8">
        <v>43903.788229166668</v>
      </c>
      <c r="B2933" s="8" t="str">
        <f>HYPERLINK("https://twitter.com/forddyce92","@forddyce92")</f>
        <v>@forddyce92</v>
      </c>
      <c r="C2933" s="8" t="s">
        <v>1657</v>
      </c>
      <c r="D2933" s="8">
        <v>0</v>
      </c>
      <c r="E2933" s="8">
        <v>0</v>
      </c>
      <c r="F2933" s="8">
        <v>30</v>
      </c>
    </row>
    <row r="2934" spans="1:6" ht="12.75">
      <c r="A2934" s="8">
        <v>43903.787824074076</v>
      </c>
      <c r="B2934" s="8" t="str">
        <f>HYPERLINK("https://twitter.com/ryolandafit","@ryolandafit")</f>
        <v>@ryolandafit</v>
      </c>
      <c r="C2934" s="8" t="s">
        <v>1652</v>
      </c>
      <c r="D2934" s="8">
        <v>2</v>
      </c>
      <c r="E2934" s="8">
        <v>0</v>
      </c>
      <c r="F2934" s="8">
        <v>662</v>
      </c>
    </row>
    <row r="2935" spans="1:6" ht="12.75">
      <c r="A2935" s="8">
        <v>43903.78769675926</v>
      </c>
      <c r="B2935" s="8" t="str">
        <f>HYPERLINK("https://twitter.com/demokrasicoid","@demokrasicoid")</f>
        <v>@demokrasicoid</v>
      </c>
      <c r="C2935" s="8" t="s">
        <v>1658</v>
      </c>
      <c r="D2935" s="8">
        <v>0</v>
      </c>
      <c r="E2935" s="8">
        <v>1</v>
      </c>
      <c r="F2935" s="8">
        <v>23499</v>
      </c>
    </row>
    <row r="2936" spans="1:6" ht="12.75">
      <c r="A2936" s="8">
        <v>43903.787615740745</v>
      </c>
      <c r="B2936" s="8" t="str">
        <f>HYPERLINK("https://twitter.com/bud1_f1","@bud1_f1")</f>
        <v>@bud1_f1</v>
      </c>
      <c r="C2936" s="8" t="s">
        <v>925</v>
      </c>
      <c r="D2936" s="8">
        <v>153</v>
      </c>
      <c r="E2936" s="8">
        <v>0</v>
      </c>
      <c r="F2936" s="8">
        <v>1814</v>
      </c>
    </row>
    <row r="2937" spans="1:6" ht="12.75">
      <c r="A2937" s="8">
        <v>43903.787569444445</v>
      </c>
      <c r="B2937" s="8" t="str">
        <f>HYPERLINK("https://twitter.com/Samlawi_84","@Samlawi_84")</f>
        <v>@Samlawi_84</v>
      </c>
      <c r="C2937" s="8" t="s">
        <v>1659</v>
      </c>
      <c r="D2937" s="8">
        <v>0</v>
      </c>
      <c r="E2937" s="8">
        <v>0</v>
      </c>
      <c r="F2937" s="8">
        <v>151</v>
      </c>
    </row>
    <row r="2938" spans="1:6" ht="12.75">
      <c r="A2938" s="8">
        <v>43903.78743055556</v>
      </c>
      <c r="B2938" s="8" t="str">
        <f>HYPERLINK("https://twitter.com/lensaRTV","@lensaRTV")</f>
        <v>@lensaRTV</v>
      </c>
      <c r="C2938" s="8" t="s">
        <v>1660</v>
      </c>
      <c r="D2938" s="8">
        <v>0</v>
      </c>
      <c r="E2938" s="8">
        <v>0</v>
      </c>
      <c r="F2938" s="8">
        <v>9517</v>
      </c>
    </row>
    <row r="2939" spans="1:6" ht="12.75">
      <c r="A2939" s="8">
        <v>43903.786944444444</v>
      </c>
      <c r="B2939" s="8" t="str">
        <f>HYPERLINK("https://twitter.com/Hanifah933","@Hanifah933")</f>
        <v>@Hanifah933</v>
      </c>
      <c r="C2939" s="8" t="s">
        <v>1661</v>
      </c>
      <c r="D2939" s="8">
        <v>1</v>
      </c>
      <c r="E2939" s="8">
        <v>0</v>
      </c>
      <c r="F2939" s="8">
        <v>7271</v>
      </c>
    </row>
    <row r="2940" spans="1:6" ht="12.75">
      <c r="A2940" s="8">
        <v>43903.786886574075</v>
      </c>
      <c r="B2940" s="8" t="str">
        <f>HYPERLINK("https://twitter.com/Sanghi_boy","@Sanghi_boy")</f>
        <v>@Sanghi_boy</v>
      </c>
      <c r="C2940" s="8" t="s">
        <v>1195</v>
      </c>
      <c r="D2940" s="8">
        <v>2623</v>
      </c>
      <c r="E2940" s="8">
        <v>0</v>
      </c>
      <c r="F2940" s="8">
        <v>302</v>
      </c>
    </row>
    <row r="2941" spans="1:6" ht="12.75">
      <c r="A2941" s="8">
        <v>43903.786875000005</v>
      </c>
      <c r="B2941" s="8" t="str">
        <f t="shared" ref="B2941:B2942" si="59">HYPERLINK("https://twitter.com/ryolandafit","@ryolandafit")</f>
        <v>@ryolandafit</v>
      </c>
      <c r="C2941" s="8" t="s">
        <v>1662</v>
      </c>
      <c r="D2941" s="8">
        <v>1</v>
      </c>
      <c r="E2941" s="8">
        <v>0</v>
      </c>
      <c r="F2941" s="8">
        <v>662</v>
      </c>
    </row>
    <row r="2942" spans="1:6" ht="12.75">
      <c r="A2942" s="8">
        <v>43903.786828703705</v>
      </c>
      <c r="B2942" s="8" t="str">
        <f t="shared" si="59"/>
        <v>@ryolandafit</v>
      </c>
      <c r="C2942" s="8" t="s">
        <v>1663</v>
      </c>
      <c r="D2942" s="8">
        <v>2</v>
      </c>
      <c r="E2942" s="8">
        <v>0</v>
      </c>
      <c r="F2942" s="8">
        <v>662</v>
      </c>
    </row>
    <row r="2943" spans="1:6" ht="12.75">
      <c r="A2943" s="8">
        <v>43903.786782407406</v>
      </c>
      <c r="B2943" s="8" t="str">
        <f>HYPERLINK("https://twitter.com/mahardikaLEMU","@mahardikaLEMU")</f>
        <v>@mahardikaLEMU</v>
      </c>
      <c r="C2943" s="8" t="s">
        <v>1465</v>
      </c>
      <c r="D2943" s="8">
        <v>4</v>
      </c>
      <c r="E2943" s="8">
        <v>0</v>
      </c>
      <c r="F2943" s="8">
        <v>322</v>
      </c>
    </row>
    <row r="2944" spans="1:6" ht="12.75">
      <c r="A2944" s="8">
        <v>43903.785358796296</v>
      </c>
      <c r="B2944" s="8" t="str">
        <f>HYPERLINK("https://twitter.com/ryolandafit","@ryolandafit")</f>
        <v>@ryolandafit</v>
      </c>
      <c r="C2944" s="8" t="s">
        <v>1656</v>
      </c>
      <c r="D2944" s="8">
        <v>3</v>
      </c>
      <c r="E2944" s="8">
        <v>0</v>
      </c>
      <c r="F2944" s="8">
        <v>662</v>
      </c>
    </row>
    <row r="2945" spans="1:6" ht="12.75">
      <c r="A2945" s="8">
        <v>43903.785185185188</v>
      </c>
      <c r="B2945" s="8" t="str">
        <f>HYPERLINK("https://twitter.com/m_cflurryoreo","@m_cflurryoreo")</f>
        <v>@m_cflurryoreo</v>
      </c>
      <c r="C2945" s="8" t="s">
        <v>1664</v>
      </c>
      <c r="D2945" s="8">
        <v>0</v>
      </c>
      <c r="E2945" s="8">
        <v>0</v>
      </c>
      <c r="F2945" s="8">
        <v>72</v>
      </c>
    </row>
    <row r="2946" spans="1:6" ht="12.75">
      <c r="A2946" s="8">
        <v>43903.78506944445</v>
      </c>
      <c r="B2946" s="8" t="str">
        <f>HYPERLINK("https://twitter.com/Metro_TV","@Metro_TV")</f>
        <v>@Metro_TV</v>
      </c>
      <c r="C2946" s="8" t="s">
        <v>1665</v>
      </c>
      <c r="D2946" s="8">
        <v>2</v>
      </c>
      <c r="E2946" s="8">
        <v>3</v>
      </c>
      <c r="F2946" s="8">
        <v>10519893</v>
      </c>
    </row>
    <row r="2947" spans="1:6" ht="12.75">
      <c r="A2947" s="8">
        <v>43903.784733796296</v>
      </c>
      <c r="B2947" s="8" t="str">
        <f>HYPERLINK("https://twitter.com/alinejimmy","@alinejimmy")</f>
        <v>@alinejimmy</v>
      </c>
      <c r="C2947" s="8" t="s">
        <v>925</v>
      </c>
      <c r="D2947" s="8">
        <v>153</v>
      </c>
      <c r="E2947" s="8">
        <v>0</v>
      </c>
      <c r="F2947" s="8">
        <v>263</v>
      </c>
    </row>
    <row r="2948" spans="1:6" ht="12.75">
      <c r="A2948" s="8">
        <v>43903.783391203702</v>
      </c>
      <c r="B2948" s="8" t="str">
        <f>HYPERLINK("https://twitter.com/MaulanaYanke","@MaulanaYanke")</f>
        <v>@MaulanaYanke</v>
      </c>
      <c r="C2948" s="8" t="s">
        <v>1588</v>
      </c>
      <c r="D2948" s="8">
        <v>6</v>
      </c>
      <c r="E2948" s="8">
        <v>0</v>
      </c>
      <c r="F2948" s="8">
        <v>13</v>
      </c>
    </row>
    <row r="2949" spans="1:6" ht="12.75">
      <c r="A2949" s="8">
        <v>43903.782986111109</v>
      </c>
      <c r="B2949" s="8" t="str">
        <f>HYPERLINK("https://twitter.com/OnnyDj4","@OnnyDj4")</f>
        <v>@OnnyDj4</v>
      </c>
      <c r="C2949" s="8" t="s">
        <v>353</v>
      </c>
      <c r="D2949" s="8">
        <v>101</v>
      </c>
      <c r="E2949" s="8">
        <v>0</v>
      </c>
      <c r="F2949" s="8">
        <v>143</v>
      </c>
    </row>
    <row r="2950" spans="1:6" ht="12.75">
      <c r="A2950" s="8">
        <v>43903.782465277778</v>
      </c>
      <c r="B2950" s="8" t="str">
        <f>HYPERLINK("https://twitter.com/LambeHoax","@LambeHoax")</f>
        <v>@LambeHoax</v>
      </c>
      <c r="C2950" s="8" t="s">
        <v>1666</v>
      </c>
      <c r="D2950" s="8">
        <v>0</v>
      </c>
      <c r="E2950" s="8">
        <v>0</v>
      </c>
      <c r="F2950" s="8">
        <v>516</v>
      </c>
    </row>
    <row r="2951" spans="1:6" ht="12.75">
      <c r="A2951" s="8">
        <v>43903.781782407408</v>
      </c>
      <c r="B2951" s="8" t="str">
        <f>HYPERLINK("https://twitter.com/tabodanita","@tabodanita")</f>
        <v>@tabodanita</v>
      </c>
      <c r="C2951" s="8" t="s">
        <v>1667</v>
      </c>
      <c r="D2951" s="8">
        <v>0</v>
      </c>
      <c r="E2951" s="8">
        <v>0</v>
      </c>
      <c r="F2951" s="8">
        <v>908</v>
      </c>
    </row>
    <row r="2952" spans="1:6" ht="12.75">
      <c r="A2952" s="8">
        <v>43903.781527777777</v>
      </c>
      <c r="B2952" s="8" t="str">
        <f>HYPERLINK("https://twitter.com/brrrawazer","@brrrawazer")</f>
        <v>@brrrawazer</v>
      </c>
      <c r="C2952" s="8" t="s">
        <v>1668</v>
      </c>
      <c r="D2952" s="8">
        <v>0</v>
      </c>
      <c r="E2952" s="8">
        <v>0</v>
      </c>
      <c r="F2952" s="8">
        <v>35</v>
      </c>
    </row>
    <row r="2953" spans="1:6" ht="12.75">
      <c r="A2953" s="8">
        <v>43903.780960648146</v>
      </c>
      <c r="B2953" s="8" t="str">
        <f>HYPERLINK("https://twitter.com/tifamaya2","@tifamaya2")</f>
        <v>@tifamaya2</v>
      </c>
      <c r="C2953" s="8" t="s">
        <v>587</v>
      </c>
      <c r="D2953" s="8">
        <v>32</v>
      </c>
      <c r="E2953" s="8">
        <v>0</v>
      </c>
      <c r="F2953" s="8">
        <v>167</v>
      </c>
    </row>
    <row r="2954" spans="1:6" ht="12.75">
      <c r="A2954" s="8">
        <v>43903.780624999999</v>
      </c>
      <c r="B2954" s="8" t="str">
        <f>HYPERLINK("https://twitter.com/AlanPrastya6","@AlanPrastya6")</f>
        <v>@AlanPrastya6</v>
      </c>
      <c r="C2954" s="8" t="s">
        <v>1669</v>
      </c>
      <c r="D2954" s="8">
        <v>0</v>
      </c>
      <c r="E2954" s="8">
        <v>0</v>
      </c>
      <c r="F2954" s="8">
        <v>469</v>
      </c>
    </row>
    <row r="2955" spans="1:6" ht="12.75">
      <c r="A2955" s="8">
        <v>43903.780486111107</v>
      </c>
      <c r="B2955" s="8" t="str">
        <f>HYPERLINK("https://twitter.com/MohHana09469935","@MohHana09469935")</f>
        <v>@MohHana09469935</v>
      </c>
      <c r="C2955" s="8" t="s">
        <v>874</v>
      </c>
      <c r="D2955" s="8">
        <v>54</v>
      </c>
      <c r="E2955" s="8">
        <v>0</v>
      </c>
      <c r="F2955" s="8">
        <v>935</v>
      </c>
    </row>
    <row r="2956" spans="1:6" ht="12.75">
      <c r="A2956" s="8">
        <v>43903.780451388884</v>
      </c>
      <c r="B2956" s="8" t="str">
        <f>HYPERLINK("https://twitter.com/SisiwittFrida","@SisiwittFrida")</f>
        <v>@SisiwittFrida</v>
      </c>
      <c r="C2956" s="8" t="s">
        <v>1670</v>
      </c>
      <c r="D2956" s="8">
        <v>0</v>
      </c>
      <c r="E2956" s="8">
        <v>0</v>
      </c>
      <c r="F2956" s="8">
        <v>65</v>
      </c>
    </row>
    <row r="2957" spans="1:6" ht="12.75">
      <c r="A2957" s="8">
        <v>43903.780358796299</v>
      </c>
      <c r="B2957" s="8" t="str">
        <f>HYPERLINK("https://twitter.com/budiartosjp","@budiartosjp")</f>
        <v>@budiartosjp</v>
      </c>
      <c r="C2957" s="8" t="s">
        <v>1671</v>
      </c>
      <c r="D2957" s="8">
        <v>0</v>
      </c>
      <c r="E2957" s="8">
        <v>0</v>
      </c>
      <c r="F2957" s="8">
        <v>15</v>
      </c>
    </row>
    <row r="2958" spans="1:6" ht="12.75">
      <c r="A2958" s="8">
        <v>43903.77957175926</v>
      </c>
      <c r="B2958" s="8" t="str">
        <f>HYPERLINK("https://twitter.com/iblisygsoleh","@iblisygsoleh")</f>
        <v>@iblisygsoleh</v>
      </c>
      <c r="C2958" s="8" t="s">
        <v>1672</v>
      </c>
      <c r="D2958" s="8">
        <v>0</v>
      </c>
      <c r="E2958" s="8">
        <v>1</v>
      </c>
      <c r="F2958" s="8">
        <v>2980</v>
      </c>
    </row>
    <row r="2959" spans="1:6" ht="12.75">
      <c r="A2959" s="8">
        <v>43903.779537037037</v>
      </c>
      <c r="B2959" s="8" t="str">
        <f>HYPERLINK("https://twitter.com/UmaAmalia","@UmaAmalia")</f>
        <v>@UmaAmalia</v>
      </c>
      <c r="C2959" s="8" t="s">
        <v>1673</v>
      </c>
      <c r="D2959" s="8">
        <v>0</v>
      </c>
      <c r="E2959" s="8">
        <v>0</v>
      </c>
      <c r="F2959" s="8">
        <v>467</v>
      </c>
    </row>
    <row r="2960" spans="1:6" ht="12.75">
      <c r="A2960" s="8">
        <v>43903.77952546296</v>
      </c>
      <c r="B2960" s="8" t="str">
        <f>HYPERLINK("https://twitter.com/mexicough","@mexicough")</f>
        <v>@mexicough</v>
      </c>
      <c r="C2960" s="8" t="s">
        <v>1674</v>
      </c>
      <c r="D2960" s="8">
        <v>0</v>
      </c>
      <c r="E2960" s="8">
        <v>0</v>
      </c>
      <c r="F2960" s="8">
        <v>0</v>
      </c>
    </row>
    <row r="2961" spans="1:6" ht="12.75">
      <c r="A2961" s="8">
        <v>43903.779513888891</v>
      </c>
      <c r="B2961" s="8" t="str">
        <f>HYPERLINK("https://twitter.com/ramadhaniawy","@ramadhaniawy")</f>
        <v>@ramadhaniawy</v>
      </c>
      <c r="C2961" s="8" t="s">
        <v>1599</v>
      </c>
      <c r="D2961" s="8">
        <v>5</v>
      </c>
      <c r="E2961" s="8">
        <v>0</v>
      </c>
      <c r="F2961" s="8">
        <v>103</v>
      </c>
    </row>
    <row r="2962" spans="1:6" ht="12.75">
      <c r="A2962" s="8">
        <v>43903.779097222221</v>
      </c>
      <c r="B2962" s="8" t="str">
        <f>HYPERLINK("https://twitter.com/PKSInggris","@PKSInggris")</f>
        <v>@PKSInggris</v>
      </c>
      <c r="C2962" s="8" t="s">
        <v>1599</v>
      </c>
      <c r="D2962" s="8">
        <v>5</v>
      </c>
      <c r="E2962" s="8">
        <v>0</v>
      </c>
      <c r="F2962" s="8">
        <v>24369</v>
      </c>
    </row>
    <row r="2963" spans="1:6" ht="12.75">
      <c r="A2963" s="8">
        <v>43903.778680555552</v>
      </c>
      <c r="B2963" s="8" t="str">
        <f>HYPERLINK("https://twitter.com/Bentalakelam","@Bentalakelam")</f>
        <v>@Bentalakelam</v>
      </c>
      <c r="C2963" s="8" t="s">
        <v>1675</v>
      </c>
      <c r="D2963" s="8">
        <v>0</v>
      </c>
      <c r="E2963" s="8">
        <v>3</v>
      </c>
      <c r="F2963" s="8">
        <v>2576</v>
      </c>
    </row>
    <row r="2964" spans="1:6" ht="12.75">
      <c r="A2964" s="8">
        <v>43903.778611111113</v>
      </c>
      <c r="B2964" s="8" t="str">
        <f>HYPERLINK("https://twitter.com/yingyangtw","@yingyangtw")</f>
        <v>@yingyangtw</v>
      </c>
      <c r="C2964" s="8" t="s">
        <v>587</v>
      </c>
      <c r="D2964" s="8">
        <v>32</v>
      </c>
      <c r="E2964" s="8">
        <v>0</v>
      </c>
      <c r="F2964" s="8">
        <v>107</v>
      </c>
    </row>
    <row r="2965" spans="1:6" ht="12.75">
      <c r="A2965" s="8">
        <v>43903.778506944444</v>
      </c>
      <c r="B2965" s="8" t="str">
        <f>HYPERLINK("https://twitter.com/pegawaijahat","@pegawaijahat")</f>
        <v>@pegawaijahat</v>
      </c>
      <c r="C2965" s="8" t="s">
        <v>1588</v>
      </c>
      <c r="D2965" s="8">
        <v>6</v>
      </c>
      <c r="E2965" s="8">
        <v>0</v>
      </c>
      <c r="F2965" s="8">
        <v>1046</v>
      </c>
    </row>
    <row r="2966" spans="1:6" ht="12.75">
      <c r="A2966" s="8">
        <v>43903.778402777782</v>
      </c>
      <c r="B2966" s="8" t="str">
        <f>HYPERLINK("https://twitter.com/ElvistDenali","@ElvistDenali")</f>
        <v>@ElvistDenali</v>
      </c>
      <c r="C2966" s="8" t="s">
        <v>1676</v>
      </c>
      <c r="D2966" s="8">
        <v>0</v>
      </c>
      <c r="E2966" s="8">
        <v>1</v>
      </c>
      <c r="F2966" s="8">
        <v>451</v>
      </c>
    </row>
    <row r="2967" spans="1:6" ht="12.75">
      <c r="A2967" s="8">
        <v>43903.778298611112</v>
      </c>
      <c r="B2967" s="8" t="str">
        <f>HYPERLINK("https://twitter.com/JamieBegins","@JamieBegins")</f>
        <v>@JamieBegins</v>
      </c>
      <c r="C2967" s="8" t="s">
        <v>1677</v>
      </c>
      <c r="D2967" s="8">
        <v>0</v>
      </c>
      <c r="E2967" s="8">
        <v>0</v>
      </c>
      <c r="F2967" s="8">
        <v>2545</v>
      </c>
    </row>
    <row r="2968" spans="1:6" ht="12.75">
      <c r="A2968" s="8">
        <v>43903.77825231482</v>
      </c>
      <c r="B2968" s="8" t="str">
        <f>HYPERLINK("https://twitter.com/rizqi_maulida","@rizqi_maulida")</f>
        <v>@rizqi_maulida</v>
      </c>
      <c r="C2968" s="8" t="s">
        <v>1599</v>
      </c>
      <c r="D2968" s="8">
        <v>5</v>
      </c>
      <c r="E2968" s="8">
        <v>0</v>
      </c>
      <c r="F2968" s="8">
        <v>403</v>
      </c>
    </row>
    <row r="2969" spans="1:6" ht="12.75">
      <c r="A2969" s="8">
        <v>43903.778194444443</v>
      </c>
      <c r="B2969" s="8" t="str">
        <f>HYPERLINK("https://twitter.com/nmldx","@nmldx")</f>
        <v>@nmldx</v>
      </c>
      <c r="C2969" s="8" t="s">
        <v>1599</v>
      </c>
      <c r="D2969" s="8">
        <v>5</v>
      </c>
      <c r="E2969" s="8">
        <v>0</v>
      </c>
      <c r="F2969" s="8">
        <v>111</v>
      </c>
    </row>
    <row r="2970" spans="1:6" ht="12.75">
      <c r="A2970" s="8">
        <v>43903.778124999997</v>
      </c>
      <c r="B2970" s="8" t="str">
        <f>HYPERLINK("https://twitter.com/Agistasyahka","@Agistasyahka")</f>
        <v>@Agistasyahka</v>
      </c>
      <c r="C2970" s="8" t="s">
        <v>1656</v>
      </c>
      <c r="D2970" s="8">
        <v>3</v>
      </c>
      <c r="E2970" s="8">
        <v>0</v>
      </c>
      <c r="F2970" s="8">
        <v>1292</v>
      </c>
    </row>
    <row r="2971" spans="1:6" ht="12.75">
      <c r="A2971" s="8">
        <v>43903.77716435185</v>
      </c>
      <c r="B2971" s="8" t="str">
        <f>HYPERLINK("https://twitter.com/KJRISYDNEY","@KJRISYDNEY")</f>
        <v>@KJRISYDNEY</v>
      </c>
      <c r="C2971" s="8" t="s">
        <v>1117</v>
      </c>
      <c r="D2971" s="8">
        <v>1</v>
      </c>
      <c r="E2971" s="8">
        <v>0</v>
      </c>
      <c r="F2971" s="8">
        <v>3688</v>
      </c>
    </row>
    <row r="2972" spans="1:6" ht="12.75">
      <c r="A2972" s="8">
        <v>43903.776851851857</v>
      </c>
      <c r="B2972" s="8" t="str">
        <f>HYPERLINK("https://twitter.com/Metro_TV","@Metro_TV")</f>
        <v>@Metro_TV</v>
      </c>
      <c r="C2972" s="8" t="s">
        <v>1678</v>
      </c>
      <c r="D2972" s="8">
        <v>3</v>
      </c>
      <c r="E2972" s="8">
        <v>10</v>
      </c>
      <c r="F2972" s="8">
        <v>10519893</v>
      </c>
    </row>
    <row r="2973" spans="1:6" ht="12.75">
      <c r="A2973" s="8">
        <v>43903.776458333334</v>
      </c>
      <c r="B2973" s="8" t="str">
        <f>HYPERLINK("https://twitter.com/ehakusiapa","@ehakusiapa")</f>
        <v>@ehakusiapa</v>
      </c>
      <c r="C2973" s="8" t="s">
        <v>1588</v>
      </c>
      <c r="D2973" s="8">
        <v>6</v>
      </c>
      <c r="E2973" s="8">
        <v>0</v>
      </c>
      <c r="F2973" s="8">
        <v>173</v>
      </c>
    </row>
    <row r="2974" spans="1:6" ht="12.75">
      <c r="A2974" s="8">
        <v>43903.776122685187</v>
      </c>
      <c r="B2974" s="8" t="str">
        <f>HYPERLINK("https://twitter.com/KBRILondon","@KBRILondon")</f>
        <v>@KBRILondon</v>
      </c>
      <c r="C2974" s="8" t="s">
        <v>1679</v>
      </c>
      <c r="D2974" s="8">
        <v>5</v>
      </c>
      <c r="E2974" s="8">
        <v>2</v>
      </c>
      <c r="F2974" s="8">
        <v>11380</v>
      </c>
    </row>
    <row r="2975" spans="1:6" ht="12.75">
      <c r="A2975" s="8">
        <v>43903.775995370372</v>
      </c>
      <c r="B2975" s="8" t="str">
        <f>HYPERLINK("https://twitter.com/aintgoodz","@aintgoodz")</f>
        <v>@aintgoodz</v>
      </c>
      <c r="C2975" s="8" t="s">
        <v>1680</v>
      </c>
      <c r="D2975" s="8">
        <v>0</v>
      </c>
      <c r="E2975" s="8">
        <v>0</v>
      </c>
      <c r="F2975" s="8">
        <v>833</v>
      </c>
    </row>
    <row r="2976" spans="1:6" ht="12.75">
      <c r="A2976" s="8">
        <v>43903.775763888887</v>
      </c>
      <c r="B2976" s="8" t="str">
        <f>HYPERLINK("https://twitter.com/LC01L","@LC01L")</f>
        <v>@LC01L</v>
      </c>
      <c r="C2976" s="8" t="s">
        <v>353</v>
      </c>
      <c r="D2976" s="8">
        <v>101</v>
      </c>
      <c r="E2976" s="8">
        <v>0</v>
      </c>
      <c r="F2976" s="8">
        <v>250</v>
      </c>
    </row>
    <row r="2977" spans="1:6" ht="12.75">
      <c r="A2977" s="8">
        <v>43903.77553240741</v>
      </c>
      <c r="B2977" s="8" t="str">
        <f>HYPERLINK("https://twitter.com/ISIS_Balik_NO","@ISIS_Balik_NO")</f>
        <v>@ISIS_Balik_NO</v>
      </c>
      <c r="C2977" s="8" t="s">
        <v>1681</v>
      </c>
      <c r="D2977" s="8">
        <v>0</v>
      </c>
      <c r="E2977" s="8">
        <v>1</v>
      </c>
      <c r="F2977" s="8">
        <v>6278</v>
      </c>
    </row>
    <row r="2978" spans="1:6" ht="12.75">
      <c r="A2978" s="8">
        <v>43903.775416666671</v>
      </c>
      <c r="B2978" s="8" t="str">
        <f>HYPERLINK("https://twitter.com/twitviw","@twitviw")</f>
        <v>@twitviw</v>
      </c>
      <c r="C2978" s="8" t="s">
        <v>1682</v>
      </c>
      <c r="D2978" s="8">
        <v>0</v>
      </c>
      <c r="E2978" s="8">
        <v>0</v>
      </c>
      <c r="F2978" s="8">
        <v>0</v>
      </c>
    </row>
    <row r="2979" spans="1:6" ht="12.75">
      <c r="A2979" s="8">
        <v>43903.775370370371</v>
      </c>
      <c r="B2979" s="8" t="str">
        <f>HYPERLINK("https://twitter.com/nurohma11466192","@nurohma11466192")</f>
        <v>@nurohma11466192</v>
      </c>
      <c r="C2979" s="8" t="s">
        <v>874</v>
      </c>
      <c r="D2979" s="8">
        <v>54</v>
      </c>
      <c r="E2979" s="8">
        <v>0</v>
      </c>
      <c r="F2979" s="8">
        <v>10</v>
      </c>
    </row>
    <row r="2980" spans="1:6" ht="12.75">
      <c r="A2980" s="8">
        <v>43903.775138888886</v>
      </c>
      <c r="B2980" s="8" t="str">
        <f>HYPERLINK("https://twitter.com/NigamNishkarsh","@NigamNishkarsh")</f>
        <v>@NigamNishkarsh</v>
      </c>
      <c r="C2980" s="8" t="s">
        <v>1195</v>
      </c>
      <c r="D2980" s="8">
        <v>2623</v>
      </c>
      <c r="E2980" s="8">
        <v>0</v>
      </c>
      <c r="F2980" s="8">
        <v>23</v>
      </c>
    </row>
    <row r="2981" spans="1:6" ht="12.75">
      <c r="A2981" s="8">
        <v>43903.774687500001</v>
      </c>
      <c r="B2981" s="8" t="str">
        <f>HYPERLINK("https://twitter.com/ISIS_Balik_NO","@ISIS_Balik_NO")</f>
        <v>@ISIS_Balik_NO</v>
      </c>
      <c r="C2981" s="8" t="s">
        <v>1683</v>
      </c>
      <c r="D2981" s="8">
        <v>0</v>
      </c>
      <c r="E2981" s="8">
        <v>0</v>
      </c>
      <c r="F2981" s="8">
        <v>6278</v>
      </c>
    </row>
    <row r="2982" spans="1:6" ht="12.75">
      <c r="A2982" s="8">
        <v>43903.774421296301</v>
      </c>
      <c r="B2982" s="8" t="str">
        <f>HYPERLINK("https://twitter.com/ryan_eza","@ryan_eza")</f>
        <v>@ryan_eza</v>
      </c>
      <c r="C2982" s="8" t="s">
        <v>1148</v>
      </c>
      <c r="D2982" s="8">
        <v>19</v>
      </c>
      <c r="E2982" s="8">
        <v>0</v>
      </c>
      <c r="F2982" s="8">
        <v>228</v>
      </c>
    </row>
    <row r="2983" spans="1:6" ht="12.75">
      <c r="A2983" s="8">
        <v>43903.773726851854</v>
      </c>
      <c r="B2983" s="8" t="str">
        <f>HYPERLINK("https://twitter.com/harihariono1","@harihariono1")</f>
        <v>@harihariono1</v>
      </c>
      <c r="C2983" s="8" t="s">
        <v>1131</v>
      </c>
      <c r="D2983" s="8">
        <v>3</v>
      </c>
      <c r="E2983" s="8">
        <v>0</v>
      </c>
      <c r="F2983" s="8">
        <v>9536</v>
      </c>
    </row>
    <row r="2984" spans="1:6" ht="12.75">
      <c r="A2984" s="8">
        <v>43903.773622685185</v>
      </c>
      <c r="B2984" s="8" t="str">
        <f>HYPERLINK("https://twitter.com/infoJATIASIH","@infoJATIASIH")</f>
        <v>@infoJATIASIH</v>
      </c>
      <c r="C2984" s="8" t="s">
        <v>1631</v>
      </c>
      <c r="D2984" s="8">
        <v>3</v>
      </c>
      <c r="E2984" s="8">
        <v>0</v>
      </c>
      <c r="F2984" s="8">
        <v>13487</v>
      </c>
    </row>
    <row r="2985" spans="1:6" ht="12.75">
      <c r="A2985" s="8">
        <v>43903.773576388892</v>
      </c>
      <c r="B2985" s="8" t="str">
        <f>HYPERLINK("https://twitter.com/KiN9_James","@KiN9_James")</f>
        <v>@KiN9_James</v>
      </c>
      <c r="C2985" s="8" t="s">
        <v>353</v>
      </c>
      <c r="D2985" s="8">
        <v>101</v>
      </c>
      <c r="E2985" s="8">
        <v>0</v>
      </c>
      <c r="F2985" s="8">
        <v>364</v>
      </c>
    </row>
    <row r="2986" spans="1:6" ht="12.75">
      <c r="A2986" s="8">
        <v>43903.773495370369</v>
      </c>
      <c r="B2986" s="8" t="str">
        <f>HYPERLINK("https://twitter.com/ISIS_Balik_NO","@ISIS_Balik_NO")</f>
        <v>@ISIS_Balik_NO</v>
      </c>
      <c r="C2986" s="8" t="s">
        <v>1684</v>
      </c>
      <c r="D2986" s="8">
        <v>0</v>
      </c>
      <c r="E2986" s="8">
        <v>0</v>
      </c>
      <c r="F2986" s="8">
        <v>6278</v>
      </c>
    </row>
    <row r="2987" spans="1:6" ht="12.75">
      <c r="A2987" s="8">
        <v>43903.773414351846</v>
      </c>
      <c r="B2987" s="8" t="str">
        <f>HYPERLINK("https://twitter.com/Risristidf","@Risristidf")</f>
        <v>@Risristidf</v>
      </c>
      <c r="C2987" s="8" t="s">
        <v>1542</v>
      </c>
      <c r="D2987" s="8">
        <v>0</v>
      </c>
      <c r="E2987" s="8">
        <v>0</v>
      </c>
      <c r="F2987" s="8">
        <v>15102</v>
      </c>
    </row>
    <row r="2988" spans="1:6" ht="12.75">
      <c r="A2988" s="8">
        <v>43903.773368055554</v>
      </c>
      <c r="B2988" s="8" t="str">
        <f>HYPERLINK("https://twitter.com/ideide48","@ideide48")</f>
        <v>@ideide48</v>
      </c>
      <c r="C2988" s="8" t="s">
        <v>1685</v>
      </c>
      <c r="D2988" s="8">
        <v>0</v>
      </c>
      <c r="E2988" s="8">
        <v>0</v>
      </c>
      <c r="F2988" s="8">
        <v>135</v>
      </c>
    </row>
    <row r="2989" spans="1:6" ht="12.75">
      <c r="A2989" s="8">
        <v>43903.773252314815</v>
      </c>
      <c r="B2989" s="8" t="str">
        <f>HYPERLINK("https://twitter.com/Ifaatqia1","@Ifaatqia1")</f>
        <v>@Ifaatqia1</v>
      </c>
      <c r="C2989" s="8" t="s">
        <v>1588</v>
      </c>
      <c r="D2989" s="8">
        <v>6</v>
      </c>
      <c r="E2989" s="8">
        <v>0</v>
      </c>
      <c r="F2989" s="8">
        <v>0</v>
      </c>
    </row>
    <row r="2990" spans="1:6" ht="12.75">
      <c r="A2990" s="8">
        <v>43903.772581018522</v>
      </c>
      <c r="B2990" s="8" t="str">
        <f>HYPERLINK("https://twitter.com/___Sinuhe___","@___Sinuhe___")</f>
        <v>@___Sinuhe___</v>
      </c>
      <c r="C2990" s="8" t="s">
        <v>302</v>
      </c>
      <c r="D2990" s="8">
        <v>8</v>
      </c>
      <c r="E2990" s="8">
        <v>0</v>
      </c>
      <c r="F2990" s="8">
        <v>1131</v>
      </c>
    </row>
    <row r="2991" spans="1:6" ht="12.75">
      <c r="A2991" s="8">
        <v>43903.772256944445</v>
      </c>
      <c r="B2991" s="8" t="str">
        <f>HYPERLINK("https://twitter.com/ProJustisiaNews","@ProJustisiaNews")</f>
        <v>@ProJustisiaNews</v>
      </c>
      <c r="C2991" s="8" t="s">
        <v>1686</v>
      </c>
      <c r="D2991" s="8">
        <v>0</v>
      </c>
      <c r="E2991" s="8">
        <v>0</v>
      </c>
      <c r="F2991" s="8">
        <v>35</v>
      </c>
    </row>
    <row r="2992" spans="1:6" ht="12.75">
      <c r="A2992" s="8">
        <v>43903.772152777776</v>
      </c>
      <c r="B2992" s="8" t="str">
        <f>HYPERLINK("https://twitter.com/ISIS_Balik_NO","@ISIS_Balik_NO")</f>
        <v>@ISIS_Balik_NO</v>
      </c>
      <c r="C2992" s="8" t="s">
        <v>1687</v>
      </c>
      <c r="D2992" s="8">
        <v>800</v>
      </c>
      <c r="E2992" s="8">
        <v>0</v>
      </c>
      <c r="F2992" s="8">
        <v>6278</v>
      </c>
    </row>
    <row r="2993" spans="1:6" ht="12.75">
      <c r="A2993" s="8">
        <v>43903.772060185191</v>
      </c>
      <c r="B2993" s="8" t="str">
        <f>HYPERLINK("https://twitter.com/irwanka","@irwanka")</f>
        <v>@irwanka</v>
      </c>
      <c r="C2993" s="8" t="s">
        <v>1688</v>
      </c>
      <c r="D2993" s="8">
        <v>0</v>
      </c>
      <c r="E2993" s="8">
        <v>0</v>
      </c>
      <c r="F2993" s="8">
        <v>1372</v>
      </c>
    </row>
    <row r="2994" spans="1:6" ht="12.75">
      <c r="A2994" s="8">
        <v>43903.772048611107</v>
      </c>
      <c r="B2994" s="8" t="str">
        <f>HYPERLINK("https://twitter.com/endeeste","@endeeste")</f>
        <v>@endeeste</v>
      </c>
      <c r="C2994" s="8" t="s">
        <v>353</v>
      </c>
      <c r="D2994" s="8">
        <v>101</v>
      </c>
      <c r="E2994" s="8">
        <v>0</v>
      </c>
      <c r="F2994" s="8">
        <v>233</v>
      </c>
    </row>
    <row r="2995" spans="1:6" ht="12.75">
      <c r="A2995" s="8">
        <v>43903.771909722222</v>
      </c>
      <c r="B2995" s="8" t="str">
        <f>HYPERLINK("https://twitter.com/EvaVEffendy","@EvaVEffendy")</f>
        <v>@EvaVEffendy</v>
      </c>
      <c r="C2995" s="8" t="s">
        <v>1587</v>
      </c>
      <c r="D2995" s="8">
        <v>1</v>
      </c>
      <c r="E2995" s="8">
        <v>0</v>
      </c>
      <c r="F2995" s="8">
        <v>22</v>
      </c>
    </row>
    <row r="2996" spans="1:6" ht="12.75">
      <c r="A2996" s="8">
        <v>43903.771828703699</v>
      </c>
      <c r="B2996" s="8" t="str">
        <f>HYPERLINK("https://twitter.com/Brunowicaksono","@Brunowicaksono")</f>
        <v>@Brunowicaksono</v>
      </c>
      <c r="C2996" s="8" t="s">
        <v>1131</v>
      </c>
      <c r="D2996" s="8">
        <v>3</v>
      </c>
      <c r="E2996" s="8">
        <v>0</v>
      </c>
      <c r="F2996" s="8">
        <v>1805</v>
      </c>
    </row>
    <row r="2997" spans="1:6" ht="12.75">
      <c r="A2997" s="8">
        <v>43903.771631944444</v>
      </c>
      <c r="B2997" s="8" t="str">
        <f>HYPERLINK("https://twitter.com/Nadya31861226","@Nadya31861226")</f>
        <v>@Nadya31861226</v>
      </c>
      <c r="C2997" s="8" t="s">
        <v>1689</v>
      </c>
      <c r="D2997" s="8">
        <v>2</v>
      </c>
      <c r="E2997" s="8">
        <v>0</v>
      </c>
      <c r="F2997" s="8">
        <v>392</v>
      </c>
    </row>
    <row r="2998" spans="1:6" ht="12.75">
      <c r="A2998" s="8">
        <v>43903.771122685182</v>
      </c>
      <c r="B2998" s="8" t="str">
        <f t="shared" ref="B2998:B2999" si="60">HYPERLINK("https://twitter.com/ISIS_Balik_NO","@ISIS_Balik_NO")</f>
        <v>@ISIS_Balik_NO</v>
      </c>
      <c r="C2998" s="8" t="s">
        <v>1690</v>
      </c>
      <c r="D2998" s="8">
        <v>201</v>
      </c>
      <c r="E2998" s="8">
        <v>0</v>
      </c>
      <c r="F2998" s="8">
        <v>6278</v>
      </c>
    </row>
    <row r="2999" spans="1:6" ht="12.75">
      <c r="A2999" s="8">
        <v>43903.770937499998</v>
      </c>
      <c r="B2999" s="8" t="str">
        <f t="shared" si="60"/>
        <v>@ISIS_Balik_NO</v>
      </c>
      <c r="C2999" s="8" t="s">
        <v>1691</v>
      </c>
      <c r="D2999" s="8">
        <v>14</v>
      </c>
      <c r="E2999" s="8">
        <v>0</v>
      </c>
      <c r="F2999" s="8">
        <v>6278</v>
      </c>
    </row>
    <row r="3000" spans="1:6" ht="12.75">
      <c r="A3000" s="8">
        <v>43903.770451388889</v>
      </c>
      <c r="B3000" s="8" t="str">
        <f>HYPERLINK("https://twitter.com/rosen_ocen","@rosen_ocen")</f>
        <v>@rosen_ocen</v>
      </c>
      <c r="C3000" s="8" t="s">
        <v>289</v>
      </c>
      <c r="D3000" s="8">
        <v>124</v>
      </c>
      <c r="E3000" s="8">
        <v>0</v>
      </c>
      <c r="F3000" s="8">
        <v>649</v>
      </c>
    </row>
    <row r="3001" spans="1:6" ht="12.75">
      <c r="A3001" s="8">
        <v>43903.770046296297</v>
      </c>
      <c r="B3001" s="8" t="str">
        <f>HYPERLINK("https://twitter.com/ISIS_Balik_NO","@ISIS_Balik_NO")</f>
        <v>@ISIS_Balik_NO</v>
      </c>
      <c r="C3001" s="8" t="s">
        <v>1692</v>
      </c>
      <c r="D3001" s="8">
        <v>0</v>
      </c>
      <c r="E3001" s="8">
        <v>0</v>
      </c>
      <c r="F3001" s="8">
        <v>6278</v>
      </c>
    </row>
    <row r="3002" spans="1:6" ht="12.75">
      <c r="A3002" s="8">
        <v>43903.769687499997</v>
      </c>
      <c r="B3002" s="8" t="str">
        <f>HYPERLINK("https://twitter.com/SydSalesman","@SydSalesman")</f>
        <v>@SydSalesman</v>
      </c>
      <c r="C3002" s="8" t="s">
        <v>874</v>
      </c>
      <c r="D3002" s="8">
        <v>54</v>
      </c>
      <c r="E3002" s="8">
        <v>0</v>
      </c>
      <c r="F3002" s="8">
        <v>6271</v>
      </c>
    </row>
    <row r="3003" spans="1:6" ht="12.75">
      <c r="A3003" s="8">
        <v>43903.769456018519</v>
      </c>
      <c r="B3003" s="8" t="str">
        <f>HYPERLINK("https://twitter.com/Dian_Supolo","@Dian_Supolo")</f>
        <v>@Dian_Supolo</v>
      </c>
      <c r="C3003" s="8" t="s">
        <v>1693</v>
      </c>
      <c r="D3003" s="8">
        <v>0</v>
      </c>
      <c r="E3003" s="8">
        <v>0</v>
      </c>
      <c r="F3003" s="8">
        <v>7871</v>
      </c>
    </row>
    <row r="3004" spans="1:6" ht="12.75">
      <c r="A3004" s="8">
        <v>43903.769282407404</v>
      </c>
      <c r="B3004" s="8" t="str">
        <f>HYPERLINK("https://twitter.com/Pancasila_K1ta","@Pancasila_K1ta")</f>
        <v>@Pancasila_K1ta</v>
      </c>
      <c r="C3004" s="8" t="s">
        <v>1694</v>
      </c>
      <c r="D3004" s="8">
        <v>1</v>
      </c>
      <c r="E3004" s="8">
        <v>4</v>
      </c>
      <c r="F3004" s="8">
        <v>379</v>
      </c>
    </row>
    <row r="3005" spans="1:6" ht="12.75">
      <c r="A3005" s="8">
        <v>43903.76835648148</v>
      </c>
      <c r="B3005" s="8" t="str">
        <f>HYPERLINK("https://twitter.com/Metro_TV","@Metro_TV")</f>
        <v>@Metro_TV</v>
      </c>
      <c r="C3005" s="8" t="s">
        <v>1695</v>
      </c>
      <c r="D3005" s="8">
        <v>1</v>
      </c>
      <c r="E3005" s="8">
        <v>3</v>
      </c>
      <c r="F3005" s="8">
        <v>10519893</v>
      </c>
    </row>
    <row r="3006" spans="1:6" ht="12.75">
      <c r="A3006" s="8">
        <v>43903.768055555556</v>
      </c>
      <c r="B3006" s="8" t="str">
        <f>HYPERLINK("https://twitter.com/Nadila_ID","@Nadila_ID")</f>
        <v>@Nadila_ID</v>
      </c>
      <c r="C3006" s="8" t="s">
        <v>1696</v>
      </c>
      <c r="D3006" s="8">
        <v>0</v>
      </c>
      <c r="E3006" s="8">
        <v>0</v>
      </c>
      <c r="F3006" s="8">
        <v>7180</v>
      </c>
    </row>
    <row r="3007" spans="1:6" ht="12.75">
      <c r="A3007" s="8">
        <v>43903.76798611111</v>
      </c>
      <c r="B3007" s="8" t="str">
        <f>HYPERLINK("https://twitter.com/AHKurnia","@AHKurnia")</f>
        <v>@AHKurnia</v>
      </c>
      <c r="C3007" s="8" t="s">
        <v>1631</v>
      </c>
      <c r="D3007" s="8">
        <v>3</v>
      </c>
      <c r="E3007" s="8">
        <v>0</v>
      </c>
      <c r="F3007" s="8">
        <v>604</v>
      </c>
    </row>
    <row r="3008" spans="1:6" ht="12.75">
      <c r="A3008" s="8">
        <v>43903.75608796296</v>
      </c>
      <c r="B3008" s="8" t="str">
        <f>HYPERLINK("https://twitter.com/bamzagli","@bamzagli")</f>
        <v>@bamzagli</v>
      </c>
      <c r="C3008" s="8" t="s">
        <v>1697</v>
      </c>
      <c r="D3008" s="8">
        <v>0</v>
      </c>
      <c r="E3008" s="8">
        <v>0</v>
      </c>
      <c r="F3008" s="8">
        <v>454</v>
      </c>
    </row>
    <row r="3009" spans="1:6" ht="12.75">
      <c r="A3009" s="8">
        <v>43903.755405092597</v>
      </c>
      <c r="B3009" s="8" t="str">
        <f>HYPERLINK("https://twitter.com/toffitorre781","@toffitorre781")</f>
        <v>@toffitorre781</v>
      </c>
      <c r="C3009" s="8" t="s">
        <v>1698</v>
      </c>
      <c r="D3009" s="8">
        <v>0</v>
      </c>
      <c r="E3009" s="8">
        <v>1</v>
      </c>
      <c r="F3009" s="8">
        <v>2815</v>
      </c>
    </row>
    <row r="3010" spans="1:6" ht="12.75">
      <c r="A3010" s="8">
        <v>43903.755162037036</v>
      </c>
      <c r="B3010" s="8" t="str">
        <f>HYPERLINK("https://twitter.com/Darmalik3","@Darmalik3")</f>
        <v>@Darmalik3</v>
      </c>
      <c r="C3010" s="8" t="s">
        <v>874</v>
      </c>
      <c r="D3010" s="8">
        <v>51</v>
      </c>
      <c r="E3010" s="8">
        <v>0</v>
      </c>
      <c r="F3010" s="8">
        <v>1912</v>
      </c>
    </row>
    <row r="3011" spans="1:6" ht="12.75">
      <c r="A3011" s="8">
        <v>43903.754872685182</v>
      </c>
      <c r="B3011" s="8" t="str">
        <f>HYPERLINK("https://twitter.com/ShashidharV18","@ShashidharV18")</f>
        <v>@ShashidharV18</v>
      </c>
      <c r="C3011" s="8" t="s">
        <v>1195</v>
      </c>
      <c r="D3011" s="8">
        <v>2621</v>
      </c>
      <c r="E3011" s="8">
        <v>0</v>
      </c>
      <c r="F3011" s="8">
        <v>289</v>
      </c>
    </row>
    <row r="3012" spans="1:6" ht="12.75">
      <c r="A3012" s="8">
        <v>43903.754780092597</v>
      </c>
      <c r="B3012" s="8" t="str">
        <f>HYPERLINK("https://twitter.com/Okhe_Khatika","@Okhe_Khatika")</f>
        <v>@Okhe_Khatika</v>
      </c>
      <c r="C3012" s="8" t="s">
        <v>1491</v>
      </c>
      <c r="D3012" s="8">
        <v>41</v>
      </c>
      <c r="E3012" s="8">
        <v>0</v>
      </c>
      <c r="F3012" s="8">
        <v>759</v>
      </c>
    </row>
    <row r="3013" spans="1:6" ht="12.75">
      <c r="A3013" s="8">
        <v>43903.754444444443</v>
      </c>
      <c r="B3013" s="8" t="str">
        <f>HYPERLINK("https://twitter.com/fiszaro","@fiszaro")</f>
        <v>@fiszaro</v>
      </c>
      <c r="C3013" s="8" t="s">
        <v>1699</v>
      </c>
      <c r="D3013" s="8">
        <v>2</v>
      </c>
      <c r="E3013" s="8">
        <v>0</v>
      </c>
      <c r="F3013" s="8">
        <v>420</v>
      </c>
    </row>
    <row r="3014" spans="1:6" ht="12.75">
      <c r="A3014" s="8">
        <v>43903.754398148143</v>
      </c>
      <c r="B3014" s="8" t="str">
        <f>HYPERLINK("https://twitter.com/imansalahin_put","@imansalahin_put")</f>
        <v>@imansalahin_put</v>
      </c>
      <c r="C3014" s="8" t="s">
        <v>1358</v>
      </c>
      <c r="D3014" s="8">
        <v>17</v>
      </c>
      <c r="E3014" s="8">
        <v>0</v>
      </c>
      <c r="F3014" s="8">
        <v>882</v>
      </c>
    </row>
    <row r="3015" spans="1:6" ht="12.75">
      <c r="A3015" s="8">
        <v>43903.753923611112</v>
      </c>
      <c r="B3015" s="8" t="str">
        <f>HYPERLINK("https://twitter.com/dannydhe","@dannydhe")</f>
        <v>@dannydhe</v>
      </c>
      <c r="C3015" s="8" t="s">
        <v>1148</v>
      </c>
      <c r="D3015" s="8">
        <v>17</v>
      </c>
      <c r="E3015" s="8">
        <v>0</v>
      </c>
      <c r="F3015" s="8">
        <v>3538</v>
      </c>
    </row>
    <row r="3016" spans="1:6" ht="12.75">
      <c r="A3016" s="8">
        <v>43903.753912037035</v>
      </c>
      <c r="B3016" s="8" t="str">
        <f>HYPERLINK("https://twitter.com/fwzakiy","@fwzakiy")</f>
        <v>@fwzakiy</v>
      </c>
      <c r="C3016" s="8" t="s">
        <v>134</v>
      </c>
      <c r="D3016" s="8">
        <v>35</v>
      </c>
      <c r="E3016" s="8">
        <v>0</v>
      </c>
      <c r="F3016" s="8">
        <v>1241</v>
      </c>
    </row>
    <row r="3017" spans="1:6" ht="12.75">
      <c r="A3017" s="8">
        <v>43903.75271990741</v>
      </c>
      <c r="B3017" s="8" t="str">
        <f>HYPERLINK("https://twitter.com/VostokMerah","@VostokMerah")</f>
        <v>@VostokMerah</v>
      </c>
      <c r="C3017" s="8" t="s">
        <v>1700</v>
      </c>
      <c r="D3017" s="8">
        <v>0</v>
      </c>
      <c r="E3017" s="8">
        <v>0</v>
      </c>
      <c r="F3017" s="8">
        <v>1350</v>
      </c>
    </row>
    <row r="3018" spans="1:6" ht="12.75">
      <c r="A3018" s="8">
        <v>43903.752337962964</v>
      </c>
      <c r="B3018" s="8" t="str">
        <f>HYPERLINK("https://twitter.com/arryprof","@arryprof")</f>
        <v>@arryprof</v>
      </c>
      <c r="C3018" s="8" t="s">
        <v>1701</v>
      </c>
      <c r="D3018" s="8">
        <v>0</v>
      </c>
      <c r="E3018" s="8">
        <v>0</v>
      </c>
      <c r="F3018" s="8">
        <v>279</v>
      </c>
    </row>
    <row r="3019" spans="1:6" ht="12.75">
      <c r="A3019" s="8">
        <v>43903.752187499995</v>
      </c>
      <c r="B3019" s="8" t="str">
        <f>HYPERLINK("https://twitter.com/barongbengkung","@barongbengkung")</f>
        <v>@barongbengkung</v>
      </c>
      <c r="C3019" s="8" t="s">
        <v>1491</v>
      </c>
      <c r="D3019" s="8">
        <v>41</v>
      </c>
      <c r="E3019" s="8">
        <v>0</v>
      </c>
      <c r="F3019" s="8">
        <v>893</v>
      </c>
    </row>
    <row r="3020" spans="1:6" ht="12.75">
      <c r="A3020" s="8">
        <v>43903.752083333333</v>
      </c>
      <c r="B3020" s="8" t="str">
        <f>HYPERLINK("https://twitter.com/SiJombloKreatif","@SiJombloKreatif")</f>
        <v>@SiJombloKreatif</v>
      </c>
      <c r="C3020" s="8" t="s">
        <v>1702</v>
      </c>
      <c r="D3020" s="8">
        <v>0</v>
      </c>
      <c r="E3020" s="8">
        <v>0</v>
      </c>
      <c r="F3020" s="8">
        <v>120918</v>
      </c>
    </row>
    <row r="3021" spans="1:6" ht="12.75">
      <c r="A3021" s="8">
        <v>43903.751851851848</v>
      </c>
      <c r="B3021" s="8" t="str">
        <f>HYPERLINK("https://twitter.com/didi_armayanto","@didi_armayanto")</f>
        <v>@didi_armayanto</v>
      </c>
      <c r="C3021" s="8" t="s">
        <v>1703</v>
      </c>
      <c r="D3021" s="8">
        <v>0</v>
      </c>
      <c r="E3021" s="8">
        <v>0</v>
      </c>
      <c r="F3021" s="8">
        <v>4805</v>
      </c>
    </row>
    <row r="3022" spans="1:6" ht="12.75">
      <c r="A3022" s="8">
        <v>43903.750763888893</v>
      </c>
      <c r="B3022" s="8" t="str">
        <f>HYPERLINK("https://twitter.com/MakassarStyle","@MakassarStyle")</f>
        <v>@MakassarStyle</v>
      </c>
      <c r="C3022" s="8" t="s">
        <v>1704</v>
      </c>
      <c r="D3022" s="8">
        <v>0</v>
      </c>
      <c r="E3022" s="8">
        <v>0</v>
      </c>
      <c r="F3022" s="8">
        <v>204</v>
      </c>
    </row>
    <row r="3023" spans="1:6" ht="12.75">
      <c r="A3023" s="8">
        <v>43903.75063657407</v>
      </c>
      <c r="B3023" s="8" t="str">
        <f>HYPERLINK("https://twitter.com/republikaonline","@republikaonline")</f>
        <v>@republikaonline</v>
      </c>
      <c r="C3023" s="8" t="s">
        <v>1705</v>
      </c>
      <c r="D3023" s="8">
        <v>0</v>
      </c>
      <c r="E3023" s="8">
        <v>3</v>
      </c>
      <c r="F3023" s="8">
        <v>1225530</v>
      </c>
    </row>
    <row r="3024" spans="1:6" ht="12.75">
      <c r="A3024" s="8">
        <v>43903.75</v>
      </c>
      <c r="B3024" s="8" t="str">
        <f>HYPERLINK("https://twitter.com/ItsMyRealQuotes","@ItsMyRealQuotes")</f>
        <v>@ItsMyRealQuotes</v>
      </c>
      <c r="C3024" s="8" t="s">
        <v>1706</v>
      </c>
      <c r="D3024" s="8">
        <v>0</v>
      </c>
      <c r="E3024" s="8">
        <v>0</v>
      </c>
      <c r="F3024" s="8">
        <v>181988</v>
      </c>
    </row>
    <row r="3025" spans="1:6" ht="12.75">
      <c r="A3025" s="8">
        <v>43903.749537037038</v>
      </c>
      <c r="B3025" s="8" t="str">
        <f>HYPERLINK("https://twitter.com/Devyslush","@Devyslush")</f>
        <v>@Devyslush</v>
      </c>
      <c r="C3025" s="8" t="s">
        <v>1707</v>
      </c>
      <c r="D3025" s="8">
        <v>0</v>
      </c>
      <c r="E3025" s="8">
        <v>0</v>
      </c>
      <c r="F3025" s="8">
        <v>1075</v>
      </c>
    </row>
    <row r="3026" spans="1:6" ht="12.75">
      <c r="A3026" s="8">
        <v>43903.749120370368</v>
      </c>
      <c r="B3026" s="8" t="str">
        <f>HYPERLINK("https://twitter.com/angelmaximilan","@angelmaximilan")</f>
        <v>@angelmaximilan</v>
      </c>
      <c r="C3026" s="8" t="s">
        <v>1708</v>
      </c>
      <c r="D3026" s="8">
        <v>3</v>
      </c>
      <c r="E3026" s="8">
        <v>0</v>
      </c>
      <c r="F3026" s="8">
        <v>6480</v>
      </c>
    </row>
    <row r="3027" spans="1:6" ht="12.75">
      <c r="A3027" s="8">
        <v>43903.748877314814</v>
      </c>
      <c r="B3027" s="8" t="str">
        <f>HYPERLINK("https://twitter.com/gusbayu","@gusbayu")</f>
        <v>@gusbayu</v>
      </c>
      <c r="C3027" s="8" t="s">
        <v>1379</v>
      </c>
      <c r="D3027" s="8">
        <v>1</v>
      </c>
      <c r="E3027" s="8">
        <v>0</v>
      </c>
      <c r="F3027" s="8">
        <v>1536</v>
      </c>
    </row>
    <row r="3028" spans="1:6" ht="12.75">
      <c r="A3028" s="8">
        <v>43903.74795138889</v>
      </c>
      <c r="B3028" s="8" t="str">
        <f>HYPERLINK("https://twitter.com/ferry_adamhar","@ferry_adamhar")</f>
        <v>@ferry_adamhar</v>
      </c>
      <c r="C3028" s="8" t="s">
        <v>1709</v>
      </c>
      <c r="D3028" s="8">
        <v>1</v>
      </c>
      <c r="E3028" s="8">
        <v>0</v>
      </c>
      <c r="F3028" s="8">
        <v>11</v>
      </c>
    </row>
    <row r="3029" spans="1:6" ht="12.75">
      <c r="A3029" s="8">
        <v>43903.746944444443</v>
      </c>
      <c r="B3029" s="8" t="str">
        <f>HYPERLINK("https://twitter.com/agoessp","@agoessp")</f>
        <v>@agoessp</v>
      </c>
      <c r="C3029" s="8" t="s">
        <v>874</v>
      </c>
      <c r="D3029" s="8">
        <v>51</v>
      </c>
      <c r="E3029" s="8">
        <v>0</v>
      </c>
      <c r="F3029" s="8">
        <v>143</v>
      </c>
    </row>
    <row r="3030" spans="1:6" ht="12.75">
      <c r="A3030" s="8">
        <v>43903.746828703705</v>
      </c>
      <c r="B3030" s="8" t="str">
        <f>HYPERLINK("https://twitter.com/avia_noer","@avia_noer")</f>
        <v>@avia_noer</v>
      </c>
      <c r="C3030" s="8" t="s">
        <v>353</v>
      </c>
      <c r="D3030" s="8">
        <v>94</v>
      </c>
      <c r="E3030" s="8">
        <v>0</v>
      </c>
      <c r="F3030" s="8">
        <v>572</v>
      </c>
    </row>
    <row r="3031" spans="1:6" ht="12.75">
      <c r="A3031" s="8">
        <v>43903.746747685189</v>
      </c>
      <c r="B3031" s="8" t="str">
        <f>HYPERLINK("https://twitter.com/veraagustian_","@veraagustian_")</f>
        <v>@veraagustian_</v>
      </c>
      <c r="C3031" s="8" t="s">
        <v>1710</v>
      </c>
      <c r="D3031" s="8">
        <v>0</v>
      </c>
      <c r="E3031" s="8">
        <v>0</v>
      </c>
      <c r="F3031" s="8">
        <v>3482</v>
      </c>
    </row>
    <row r="3032" spans="1:6" ht="12.75">
      <c r="A3032" s="8">
        <v>43903.746574074074</v>
      </c>
      <c r="B3032" s="8" t="str">
        <f>HYPERLINK("https://twitter.com/HarianKalteng","@HarianKalteng")</f>
        <v>@HarianKalteng</v>
      </c>
      <c r="C3032" s="8" t="s">
        <v>1711</v>
      </c>
      <c r="D3032" s="8">
        <v>0</v>
      </c>
      <c r="E3032" s="8">
        <v>0</v>
      </c>
      <c r="F3032" s="8">
        <v>435</v>
      </c>
    </row>
    <row r="3033" spans="1:6" ht="12.75">
      <c r="A3033" s="8">
        <v>43903.746064814812</v>
      </c>
      <c r="B3033" s="8" t="str">
        <f>HYPERLINK("https://twitter.com/Arif_fal97","@Arif_fal97")</f>
        <v>@Arif_fal97</v>
      </c>
      <c r="C3033" s="8" t="s">
        <v>1712</v>
      </c>
      <c r="D3033" s="8">
        <v>4</v>
      </c>
      <c r="E3033" s="8">
        <v>0</v>
      </c>
      <c r="F3033" s="8">
        <v>288</v>
      </c>
    </row>
    <row r="3034" spans="1:6" ht="12.75">
      <c r="A3034" s="8">
        <v>43903.746018518519</v>
      </c>
      <c r="B3034" s="8" t="str">
        <f>HYPERLINK("https://twitter.com/skyincolour","@skyincolour")</f>
        <v>@skyincolour</v>
      </c>
      <c r="C3034" s="8" t="s">
        <v>1712</v>
      </c>
      <c r="D3034" s="8">
        <v>4</v>
      </c>
      <c r="E3034" s="8">
        <v>0</v>
      </c>
      <c r="F3034" s="8">
        <v>147</v>
      </c>
    </row>
    <row r="3035" spans="1:6" ht="12.75">
      <c r="A3035" s="8">
        <v>43903.745717592596</v>
      </c>
      <c r="B3035" s="8" t="str">
        <f>HYPERLINK("https://twitter.com/131KIMHANBIN2","@131KIMHANBIN2")</f>
        <v>@131KIMHANBIN2</v>
      </c>
      <c r="C3035" s="8" t="s">
        <v>1712</v>
      </c>
      <c r="D3035" s="8">
        <v>4</v>
      </c>
      <c r="E3035" s="8">
        <v>0</v>
      </c>
      <c r="F3035" s="8">
        <v>90</v>
      </c>
    </row>
    <row r="3036" spans="1:6" ht="12.75">
      <c r="A3036" s="8">
        <v>43903.74527777778</v>
      </c>
      <c r="B3036" s="8" t="str">
        <f>HYPERLINK("https://twitter.com/andinihihi","@andinihihi")</f>
        <v>@andinihihi</v>
      </c>
      <c r="C3036" s="8" t="s">
        <v>1713</v>
      </c>
      <c r="D3036" s="8">
        <v>0</v>
      </c>
      <c r="E3036" s="8">
        <v>0</v>
      </c>
      <c r="F3036" s="8">
        <v>28</v>
      </c>
    </row>
    <row r="3037" spans="1:6" ht="12.75">
      <c r="A3037" s="8">
        <v>43903.745162037041</v>
      </c>
      <c r="B3037" s="8" t="str">
        <f>HYPERLINK("https://twitter.com/KaJoiixx__","@KaJoiixx__")</f>
        <v>@KaJoiixx__</v>
      </c>
      <c r="C3037" s="8" t="s">
        <v>1714</v>
      </c>
      <c r="D3037" s="8">
        <v>0</v>
      </c>
      <c r="E3037" s="8">
        <v>0</v>
      </c>
      <c r="F3037" s="8">
        <v>758</v>
      </c>
    </row>
    <row r="3038" spans="1:6" ht="12.75">
      <c r="A3038" s="8">
        <v>43903.745057870372</v>
      </c>
      <c r="B3038" s="8" t="str">
        <f>HYPERLINK("https://twitter.com/iNewsID","@iNewsID")</f>
        <v>@iNewsID</v>
      </c>
      <c r="C3038" s="8" t="s">
        <v>1715</v>
      </c>
      <c r="D3038" s="8">
        <v>0</v>
      </c>
      <c r="E3038" s="8">
        <v>0</v>
      </c>
      <c r="F3038" s="8">
        <v>1397</v>
      </c>
    </row>
    <row r="3039" spans="1:6" ht="12.75">
      <c r="A3039" s="8">
        <v>43903.745011574079</v>
      </c>
      <c r="B3039" s="8" t="str">
        <f>HYPERLINK("https://twitter.com/B_64_NIS","@B_64_NIS")</f>
        <v>@B_64_NIS</v>
      </c>
      <c r="C3039" s="8" t="s">
        <v>1716</v>
      </c>
      <c r="D3039" s="8">
        <v>0</v>
      </c>
      <c r="E3039" s="8">
        <v>0</v>
      </c>
      <c r="F3039" s="8">
        <v>616</v>
      </c>
    </row>
    <row r="3040" spans="1:6" ht="12.75">
      <c r="A3040" s="8">
        <v>43903.744930555556</v>
      </c>
      <c r="B3040" s="8" t="str">
        <f>HYPERLINK("https://twitter.com/ferry_adamhar","@ferry_adamhar")</f>
        <v>@ferry_adamhar</v>
      </c>
      <c r="C3040" s="8" t="s">
        <v>1717</v>
      </c>
      <c r="D3040" s="8">
        <v>1</v>
      </c>
      <c r="E3040" s="8">
        <v>0</v>
      </c>
      <c r="F3040" s="8">
        <v>11</v>
      </c>
    </row>
    <row r="3041" spans="1:6" ht="12.75">
      <c r="A3041" s="8">
        <v>43903.74454861111</v>
      </c>
      <c r="B3041" s="8" t="str">
        <f>HYPERLINK("https://twitter.com/_aiiechintya_","@_aiiechintya_")</f>
        <v>@_aiiechintya_</v>
      </c>
      <c r="C3041" s="8" t="s">
        <v>1542</v>
      </c>
      <c r="D3041" s="8">
        <v>0</v>
      </c>
      <c r="E3041" s="8">
        <v>0</v>
      </c>
      <c r="F3041" s="8">
        <v>868</v>
      </c>
    </row>
    <row r="3042" spans="1:6" ht="12.75">
      <c r="A3042" s="8">
        <v>43903.744259259256</v>
      </c>
      <c r="B3042" s="8" t="str">
        <f>HYPERLINK("https://twitter.com/setyobasuki16","@setyobasuki16")</f>
        <v>@setyobasuki16</v>
      </c>
      <c r="C3042" s="8" t="s">
        <v>1588</v>
      </c>
      <c r="D3042" s="8">
        <v>1</v>
      </c>
      <c r="E3042" s="8">
        <v>0</v>
      </c>
      <c r="F3042" s="8">
        <v>1697</v>
      </c>
    </row>
    <row r="3043" spans="1:6" ht="12.75">
      <c r="A3043" s="8">
        <v>43903.743888888886</v>
      </c>
      <c r="B3043" s="8" t="str">
        <f>HYPERLINK("https://twitter.com/RizkiR4madani","@RizkiR4madani")</f>
        <v>@RizkiR4madani</v>
      </c>
      <c r="C3043" s="8" t="s">
        <v>1718</v>
      </c>
      <c r="D3043" s="8">
        <v>6</v>
      </c>
      <c r="E3043" s="8">
        <v>0</v>
      </c>
      <c r="F3043" s="8">
        <v>4230</v>
      </c>
    </row>
    <row r="3044" spans="1:6" ht="12.75">
      <c r="A3044" s="8">
        <v>43903.743611111116</v>
      </c>
      <c r="B3044" s="8" t="str">
        <f>HYPERLINK("https://twitter.com/healthyliveID","@healthyliveID")</f>
        <v>@healthyliveID</v>
      </c>
      <c r="C3044" s="8" t="s">
        <v>1223</v>
      </c>
      <c r="D3044" s="8">
        <v>7</v>
      </c>
      <c r="E3044" s="8">
        <v>0</v>
      </c>
      <c r="F3044" s="8">
        <v>45106</v>
      </c>
    </row>
    <row r="3045" spans="1:6" ht="12.75">
      <c r="A3045" s="8">
        <v>43903.743159722224</v>
      </c>
      <c r="B3045" s="8" t="str">
        <f>HYPERLINK("https://twitter.com/rinjufajar","@rinjufajar")</f>
        <v>@rinjufajar</v>
      </c>
      <c r="C3045" s="8" t="s">
        <v>1719</v>
      </c>
      <c r="D3045" s="8">
        <v>0</v>
      </c>
      <c r="E3045" s="8">
        <v>0</v>
      </c>
      <c r="F3045" s="8">
        <v>316</v>
      </c>
    </row>
    <row r="3046" spans="1:6" ht="12.75">
      <c r="A3046" s="8">
        <v>43903.742662037039</v>
      </c>
      <c r="B3046" s="8" t="str">
        <f>HYPERLINK("https://twitter.com/ravindrat70","@ravindrat70")</f>
        <v>@ravindrat70</v>
      </c>
      <c r="C3046" s="8" t="s">
        <v>1195</v>
      </c>
      <c r="D3046" s="8">
        <v>2621</v>
      </c>
      <c r="E3046" s="8">
        <v>0</v>
      </c>
      <c r="F3046" s="8">
        <v>23</v>
      </c>
    </row>
    <row r="3047" spans="1:6" ht="12.75">
      <c r="A3047" s="8">
        <v>43903.742465277777</v>
      </c>
      <c r="B3047" s="8" t="str">
        <f>HYPERLINK("https://twitter.com/ryolandafit","@ryolandafit")</f>
        <v>@ryolandafit</v>
      </c>
      <c r="C3047" s="8" t="s">
        <v>1712</v>
      </c>
      <c r="D3047" s="8">
        <v>4</v>
      </c>
      <c r="E3047" s="8">
        <v>0</v>
      </c>
      <c r="F3047" s="8">
        <v>662</v>
      </c>
    </row>
    <row r="3048" spans="1:6" ht="12.75">
      <c r="A3048" s="8">
        <v>43903.742337962962</v>
      </c>
      <c r="B3048" s="8" t="str">
        <f>HYPERLINK("https://twitter.com/Metro_TV","@Metro_TV")</f>
        <v>@Metro_TV</v>
      </c>
      <c r="C3048" s="8" t="s">
        <v>1720</v>
      </c>
      <c r="D3048" s="8">
        <v>4</v>
      </c>
      <c r="E3048" s="8">
        <v>2</v>
      </c>
      <c r="F3048" s="8">
        <v>10519870</v>
      </c>
    </row>
    <row r="3049" spans="1:6" ht="12.75">
      <c r="A3049" s="8">
        <v>43903.7421875</v>
      </c>
      <c r="B3049" s="8" t="str">
        <f t="shared" ref="B3049:B3050" si="61">HYPERLINK("https://twitter.com/SisiwittFrida","@SisiwittFrida")</f>
        <v>@SisiwittFrida</v>
      </c>
      <c r="C3049" s="8" t="s">
        <v>1721</v>
      </c>
      <c r="D3049" s="8">
        <v>1</v>
      </c>
      <c r="E3049" s="8">
        <v>0</v>
      </c>
      <c r="F3049" s="8">
        <v>65</v>
      </c>
    </row>
    <row r="3050" spans="1:6" ht="12.75">
      <c r="A3050" s="8">
        <v>43903.742071759261</v>
      </c>
      <c r="B3050" s="8" t="str">
        <f t="shared" si="61"/>
        <v>@SisiwittFrida</v>
      </c>
      <c r="C3050" s="8" t="s">
        <v>1722</v>
      </c>
      <c r="D3050" s="8">
        <v>1</v>
      </c>
      <c r="E3050" s="8">
        <v>0</v>
      </c>
      <c r="F3050" s="8">
        <v>65</v>
      </c>
    </row>
    <row r="3051" spans="1:6" ht="12.75">
      <c r="A3051" s="8">
        <v>43903.741342592592</v>
      </c>
      <c r="B3051" s="8" t="str">
        <f>HYPERLINK("https://twitter.com/seasawgames","@seasawgames")</f>
        <v>@seasawgames</v>
      </c>
      <c r="C3051" s="8" t="s">
        <v>1723</v>
      </c>
      <c r="D3051" s="8">
        <v>0</v>
      </c>
      <c r="E3051" s="8">
        <v>0</v>
      </c>
      <c r="F3051" s="8">
        <v>394</v>
      </c>
    </row>
    <row r="3052" spans="1:6" ht="12.75">
      <c r="A3052" s="8">
        <v>43903.741099537037</v>
      </c>
      <c r="B3052" s="8" t="str">
        <f>HYPERLINK("https://twitter.com/iNewsID","@iNewsID")</f>
        <v>@iNewsID</v>
      </c>
      <c r="C3052" s="8" t="s">
        <v>1724</v>
      </c>
      <c r="D3052" s="8">
        <v>0</v>
      </c>
      <c r="E3052" s="8">
        <v>0</v>
      </c>
      <c r="F3052" s="8">
        <v>1397</v>
      </c>
    </row>
    <row r="3053" spans="1:6" ht="12.75">
      <c r="A3053" s="8">
        <v>43903.74083333333</v>
      </c>
      <c r="B3053" s="8" t="str">
        <f>HYPERLINK("https://twitter.com/HareshVithlani","@HareshVithlani")</f>
        <v>@HareshVithlani</v>
      </c>
      <c r="C3053" s="8" t="s">
        <v>1195</v>
      </c>
      <c r="D3053" s="8">
        <v>2621</v>
      </c>
      <c r="E3053" s="8">
        <v>0</v>
      </c>
      <c r="F3053" s="8">
        <v>17820</v>
      </c>
    </row>
    <row r="3054" spans="1:6" ht="12.75">
      <c r="A3054" s="8">
        <v>43903.740682870368</v>
      </c>
      <c r="B3054" s="8" t="str">
        <f>HYPERLINK("https://twitter.com/taplaks","@taplaks")</f>
        <v>@taplaks</v>
      </c>
      <c r="C3054" s="8" t="s">
        <v>1465</v>
      </c>
      <c r="D3054" s="8">
        <v>3</v>
      </c>
      <c r="E3054" s="8">
        <v>0</v>
      </c>
      <c r="F3054" s="8">
        <v>595</v>
      </c>
    </row>
    <row r="3055" spans="1:6" ht="12.75">
      <c r="A3055" s="8">
        <v>43903.740624999999</v>
      </c>
      <c r="B3055" s="8" t="str">
        <f>HYPERLINK("https://twitter.com/Rani_Reviana2","@Rani_Reviana2")</f>
        <v>@Rani_Reviana2</v>
      </c>
      <c r="C3055" s="8" t="s">
        <v>1725</v>
      </c>
      <c r="D3055" s="8">
        <v>1</v>
      </c>
      <c r="E3055" s="8">
        <v>6</v>
      </c>
      <c r="F3055" s="8">
        <v>120</v>
      </c>
    </row>
    <row r="3056" spans="1:6" ht="12.75">
      <c r="A3056" s="8">
        <v>43903.740416666667</v>
      </c>
      <c r="B3056" s="8" t="str">
        <f>HYPERLINK("https://twitter.com/AbdMuin87293941","@AbdMuin87293941")</f>
        <v>@AbdMuin87293941</v>
      </c>
      <c r="C3056" s="8" t="s">
        <v>1491</v>
      </c>
      <c r="D3056" s="8">
        <v>41</v>
      </c>
      <c r="E3056" s="8">
        <v>0</v>
      </c>
      <c r="F3056" s="8">
        <v>109</v>
      </c>
    </row>
    <row r="3057" spans="1:6" ht="12.75">
      <c r="A3057" s="8">
        <v>43903.740277777775</v>
      </c>
      <c r="B3057" s="8" t="str">
        <f>HYPERLINK("https://twitter.com/Nadila_ID","@Nadila_ID")</f>
        <v>@Nadila_ID</v>
      </c>
      <c r="C3057" s="8" t="s">
        <v>1726</v>
      </c>
      <c r="D3057" s="8">
        <v>0</v>
      </c>
      <c r="E3057" s="8">
        <v>0</v>
      </c>
      <c r="F3057" s="8">
        <v>7180</v>
      </c>
    </row>
    <row r="3058" spans="1:6" ht="12.75">
      <c r="A3058" s="8">
        <v>43903.740266203706</v>
      </c>
      <c r="B3058" s="8" t="str">
        <f>HYPERLINK("https://twitter.com/Apriyanto5yanto","@Apriyanto5yanto")</f>
        <v>@Apriyanto5yanto</v>
      </c>
      <c r="C3058" s="8" t="s">
        <v>1727</v>
      </c>
      <c r="D3058" s="8">
        <v>0</v>
      </c>
      <c r="E3058" s="8">
        <v>0</v>
      </c>
      <c r="F3058" s="8">
        <v>98</v>
      </c>
    </row>
    <row r="3059" spans="1:6" ht="12.75">
      <c r="A3059" s="8">
        <v>43903.74009259259</v>
      </c>
      <c r="B3059" s="8" t="str">
        <f>HYPERLINK("https://twitter.com/ryolandafit","@ryolandafit")</f>
        <v>@ryolandafit</v>
      </c>
      <c r="C3059" s="8" t="s">
        <v>1223</v>
      </c>
      <c r="D3059" s="8">
        <v>7</v>
      </c>
      <c r="E3059" s="8">
        <v>0</v>
      </c>
      <c r="F3059" s="8">
        <v>662</v>
      </c>
    </row>
    <row r="3060" spans="1:6" ht="12.75">
      <c r="A3060" s="8">
        <v>43903.739537037036</v>
      </c>
      <c r="B3060" s="8" t="str">
        <f>HYPERLINK("https://twitter.com/vhradi","@vhradi")</f>
        <v>@vhradi</v>
      </c>
      <c r="C3060" s="8" t="s">
        <v>1195</v>
      </c>
      <c r="D3060" s="8">
        <v>2621</v>
      </c>
      <c r="E3060" s="8">
        <v>0</v>
      </c>
      <c r="F3060" s="8">
        <v>1439</v>
      </c>
    </row>
    <row r="3061" spans="1:6" ht="12.75">
      <c r="A3061" s="8">
        <v>43903.739502314813</v>
      </c>
      <c r="B3061" s="8" t="str">
        <f>HYPERLINK("https://twitter.com/zyxrdo","@zyxrdo")</f>
        <v>@zyxrdo</v>
      </c>
      <c r="C3061" s="8" t="s">
        <v>1728</v>
      </c>
      <c r="D3061" s="8">
        <v>0</v>
      </c>
      <c r="E3061" s="8">
        <v>0</v>
      </c>
      <c r="F3061" s="8">
        <v>5303</v>
      </c>
    </row>
    <row r="3062" spans="1:6" ht="12.75">
      <c r="A3062" s="8">
        <v>43903.738888888889</v>
      </c>
      <c r="B3062" s="8" t="str">
        <f>HYPERLINK("https://twitter.com/SiJombloKreatif","@SiJombloKreatif")</f>
        <v>@SiJombloKreatif</v>
      </c>
      <c r="C3062" s="8" t="s">
        <v>1223</v>
      </c>
      <c r="D3062" s="8">
        <v>7</v>
      </c>
      <c r="E3062" s="8">
        <v>0</v>
      </c>
      <c r="F3062" s="8">
        <v>120918</v>
      </c>
    </row>
    <row r="3063" spans="1:6" ht="12.75">
      <c r="A3063" s="8">
        <v>43903.738750000004</v>
      </c>
      <c r="B3063" s="8" t="str">
        <f>HYPERLINK("https://twitter.com/reno_haritsun","@reno_haritsun")</f>
        <v>@reno_haritsun</v>
      </c>
      <c r="C3063" s="8" t="s">
        <v>1729</v>
      </c>
      <c r="D3063" s="8">
        <v>2</v>
      </c>
      <c r="E3063" s="8">
        <v>0</v>
      </c>
      <c r="F3063" s="8">
        <v>505</v>
      </c>
    </row>
    <row r="3064" spans="1:6" ht="12.75">
      <c r="A3064" s="8">
        <v>43903.738553240742</v>
      </c>
      <c r="B3064" s="8" t="str">
        <f>HYPERLINK("https://twitter.com/illshowyallsoon","@illshowyallsoon")</f>
        <v>@illshowyallsoon</v>
      </c>
      <c r="C3064" s="8" t="s">
        <v>134</v>
      </c>
      <c r="D3064" s="8">
        <v>35</v>
      </c>
      <c r="E3064" s="8">
        <v>0</v>
      </c>
      <c r="F3064" s="8">
        <v>232</v>
      </c>
    </row>
    <row r="3065" spans="1:6" ht="12.75">
      <c r="A3065" s="8">
        <v>43903.738333333335</v>
      </c>
      <c r="B3065" s="8" t="str">
        <f>HYPERLINK("https://twitter.com/inikatasultra","@inikatasultra")</f>
        <v>@inikatasultra</v>
      </c>
      <c r="C3065" s="8" t="s">
        <v>1730</v>
      </c>
      <c r="D3065" s="8">
        <v>0</v>
      </c>
      <c r="E3065" s="8">
        <v>0</v>
      </c>
      <c r="F3065" s="8">
        <v>41</v>
      </c>
    </row>
    <row r="3066" spans="1:6" ht="12.75">
      <c r="A3066" s="8">
        <v>43903.738240740742</v>
      </c>
      <c r="B3066" s="8" t="str">
        <f>HYPERLINK("https://twitter.com/kalangliwoo","@kalangliwoo")</f>
        <v>@kalangliwoo</v>
      </c>
      <c r="C3066" s="8" t="s">
        <v>1731</v>
      </c>
      <c r="D3066" s="8">
        <v>0</v>
      </c>
      <c r="E3066" s="8">
        <v>0</v>
      </c>
      <c r="F3066" s="8">
        <v>433</v>
      </c>
    </row>
    <row r="3067" spans="1:6" ht="12.75">
      <c r="A3067" s="8">
        <v>43903.736921296295</v>
      </c>
      <c r="B3067" s="8" t="str">
        <f>HYPERLINK("https://twitter.com/blackpink828","@blackpink828")</f>
        <v>@blackpink828</v>
      </c>
      <c r="C3067" s="8" t="s">
        <v>1732</v>
      </c>
      <c r="D3067" s="8">
        <v>7</v>
      </c>
      <c r="E3067" s="8">
        <v>0</v>
      </c>
      <c r="F3067" s="8">
        <v>2859</v>
      </c>
    </row>
    <row r="3068" spans="1:6" ht="12.75">
      <c r="A3068" s="8">
        <v>43903.736597222218</v>
      </c>
      <c r="B3068" s="8" t="str">
        <f>HYPERLINK("https://twitter.com/torro_al","@torro_al")</f>
        <v>@torro_al</v>
      </c>
      <c r="C3068" s="8" t="s">
        <v>1733</v>
      </c>
      <c r="D3068" s="8">
        <v>6</v>
      </c>
      <c r="E3068" s="8">
        <v>0</v>
      </c>
      <c r="F3068" s="8">
        <v>336</v>
      </c>
    </row>
    <row r="3069" spans="1:6" ht="12.75">
      <c r="A3069" s="8">
        <v>43903.736574074079</v>
      </c>
      <c r="B3069" s="8" t="str">
        <f>HYPERLINK("https://twitter.com/dwytono","@dwytono")</f>
        <v>@dwytono</v>
      </c>
      <c r="C3069" s="8" t="s">
        <v>1223</v>
      </c>
      <c r="D3069" s="8">
        <v>7</v>
      </c>
      <c r="E3069" s="8">
        <v>0</v>
      </c>
      <c r="F3069" s="8">
        <v>1902</v>
      </c>
    </row>
    <row r="3070" spans="1:6" ht="12.75">
      <c r="A3070" s="8">
        <v>43903.736180555556</v>
      </c>
      <c r="B3070" s="8" t="str">
        <f>HYPERLINK("https://twitter.com/KJRISYDNEY","@KJRISYDNEY")</f>
        <v>@KJRISYDNEY</v>
      </c>
      <c r="C3070" s="8" t="s">
        <v>1117</v>
      </c>
      <c r="D3070" s="8">
        <v>0</v>
      </c>
      <c r="E3070" s="8">
        <v>0</v>
      </c>
      <c r="F3070" s="8">
        <v>3688</v>
      </c>
    </row>
    <row r="3071" spans="1:6" ht="12.75">
      <c r="A3071" s="8">
        <v>43903.736064814817</v>
      </c>
      <c r="B3071" s="8" t="str">
        <f>HYPERLINK("https://twitter.com/cinnamongirldr","@cinnamongirldr")</f>
        <v>@cinnamongirldr</v>
      </c>
      <c r="C3071" s="8" t="s">
        <v>1734</v>
      </c>
      <c r="D3071" s="8">
        <v>1</v>
      </c>
      <c r="E3071" s="8">
        <v>0</v>
      </c>
      <c r="F3071" s="8">
        <v>2520</v>
      </c>
    </row>
    <row r="3072" spans="1:6" ht="12.75">
      <c r="A3072" s="8">
        <v>43903.735810185186</v>
      </c>
      <c r="B3072" s="8" t="str">
        <f>HYPERLINK("https://twitter.com/RKotibhat","@RKotibhat")</f>
        <v>@RKotibhat</v>
      </c>
      <c r="C3072" s="8" t="s">
        <v>1195</v>
      </c>
      <c r="D3072" s="8">
        <v>2621</v>
      </c>
      <c r="E3072" s="8">
        <v>0</v>
      </c>
      <c r="F3072" s="8">
        <v>42</v>
      </c>
    </row>
    <row r="3073" spans="1:6" ht="12.75">
      <c r="A3073" s="8">
        <v>43903.735763888893</v>
      </c>
      <c r="B3073" s="8" t="str">
        <f>HYPERLINK("https://twitter.com/enny_endah","@enny_endah")</f>
        <v>@enny_endah</v>
      </c>
      <c r="C3073" s="8" t="s">
        <v>1708</v>
      </c>
      <c r="D3073" s="8">
        <v>3</v>
      </c>
      <c r="E3073" s="8">
        <v>0</v>
      </c>
      <c r="F3073" s="8">
        <v>10745</v>
      </c>
    </row>
    <row r="3074" spans="1:6" ht="12.75">
      <c r="A3074" s="8">
        <v>43903.735567129625</v>
      </c>
      <c r="B3074" s="8" t="str">
        <f>HYPERLINK("https://twitter.com/spheretual","@spheretual")</f>
        <v>@spheretual</v>
      </c>
      <c r="C3074" s="8" t="s">
        <v>1735</v>
      </c>
      <c r="D3074" s="8">
        <v>0</v>
      </c>
      <c r="E3074" s="8">
        <v>0</v>
      </c>
      <c r="F3074" s="8">
        <v>654</v>
      </c>
    </row>
    <row r="3075" spans="1:6" ht="12.75">
      <c r="A3075" s="8">
        <v>43903.734502314815</v>
      </c>
      <c r="B3075" s="8" t="str">
        <f>HYPERLINK("https://twitter.com/Laylakamila6","@Laylakamila6")</f>
        <v>@Laylakamila6</v>
      </c>
      <c r="C3075" s="8" t="s">
        <v>1736</v>
      </c>
      <c r="D3075" s="8">
        <v>1</v>
      </c>
      <c r="E3075" s="8">
        <v>0</v>
      </c>
      <c r="F3075" s="8">
        <v>0</v>
      </c>
    </row>
    <row r="3076" spans="1:6" ht="12.75">
      <c r="A3076" s="8">
        <v>43903.734305555554</v>
      </c>
      <c r="B3076" s="8" t="str">
        <f>HYPERLINK("https://twitter.com/saat_akudankamu","@saat_akudankamu")</f>
        <v>@saat_akudankamu</v>
      </c>
      <c r="C3076" s="8" t="s">
        <v>289</v>
      </c>
      <c r="D3076" s="8">
        <v>123</v>
      </c>
      <c r="E3076" s="8">
        <v>0</v>
      </c>
      <c r="F3076" s="8">
        <v>373</v>
      </c>
    </row>
    <row r="3077" spans="1:6" ht="12.75">
      <c r="A3077" s="8">
        <v>43903.733240740738</v>
      </c>
      <c r="B3077" s="8" t="str">
        <f>HYPERLINK("https://twitter.com/ItsMyRealQuotes","@ItsMyRealQuotes")</f>
        <v>@ItsMyRealQuotes</v>
      </c>
      <c r="C3077" s="8" t="s">
        <v>1223</v>
      </c>
      <c r="D3077" s="8">
        <v>7</v>
      </c>
      <c r="E3077" s="8">
        <v>0</v>
      </c>
      <c r="F3077" s="8">
        <v>181988</v>
      </c>
    </row>
    <row r="3078" spans="1:6" ht="12.75">
      <c r="A3078" s="8">
        <v>43903.73300925926</v>
      </c>
      <c r="B3078" s="8" t="str">
        <f>HYPERLINK("https://twitter.com/prayusaa","@prayusaa")</f>
        <v>@prayusaa</v>
      </c>
      <c r="C3078" s="8" t="s">
        <v>1465</v>
      </c>
      <c r="D3078" s="8">
        <v>3</v>
      </c>
      <c r="E3078" s="8">
        <v>0</v>
      </c>
      <c r="F3078" s="8">
        <v>363</v>
      </c>
    </row>
    <row r="3079" spans="1:6" ht="12.75">
      <c r="A3079" s="8">
        <v>43903.732523148152</v>
      </c>
      <c r="B3079" s="8" t="str">
        <f>HYPERLINK("https://twitter.com/topinfo_id","@topinfo_id")</f>
        <v>@topinfo_id</v>
      </c>
      <c r="C3079" s="8" t="s">
        <v>1737</v>
      </c>
      <c r="D3079" s="8">
        <v>0</v>
      </c>
      <c r="E3079" s="8">
        <v>0</v>
      </c>
      <c r="F3079" s="8">
        <v>105</v>
      </c>
    </row>
    <row r="3080" spans="1:6" ht="12.75">
      <c r="A3080" s="8">
        <v>43903.731979166667</v>
      </c>
      <c r="B3080" s="8" t="str">
        <f>HYPERLINK("https://twitter.com/faridariadno","@faridariadno")</f>
        <v>@faridariadno</v>
      </c>
      <c r="C3080" s="8" t="s">
        <v>1223</v>
      </c>
      <c r="D3080" s="8">
        <v>7</v>
      </c>
      <c r="E3080" s="8">
        <v>0</v>
      </c>
      <c r="F3080" s="8">
        <v>734</v>
      </c>
    </row>
    <row r="3081" spans="1:6" ht="12.75">
      <c r="A3081" s="8">
        <v>43903.731886574074</v>
      </c>
      <c r="B3081" s="8" t="str">
        <f>HYPERLINK("https://twitter.com/MaulabasAhmad","@MaulabasAhmad")</f>
        <v>@MaulabasAhmad</v>
      </c>
      <c r="C3081" s="8" t="s">
        <v>1738</v>
      </c>
      <c r="D3081" s="8">
        <v>0</v>
      </c>
      <c r="E3081" s="8">
        <v>0</v>
      </c>
      <c r="F3081" s="8">
        <v>246</v>
      </c>
    </row>
    <row r="3082" spans="1:6" ht="12.75">
      <c r="A3082" s="8">
        <v>43903.731770833328</v>
      </c>
      <c r="B3082" s="8" t="str">
        <f>HYPERLINK("https://twitter.com/cafebiru88","@cafebiru88")</f>
        <v>@cafebiru88</v>
      </c>
      <c r="C3082" s="8" t="s">
        <v>1223</v>
      </c>
      <c r="D3082" s="8">
        <v>7</v>
      </c>
      <c r="E3082" s="8">
        <v>0</v>
      </c>
      <c r="F3082" s="8">
        <v>18015</v>
      </c>
    </row>
    <row r="3083" spans="1:6" ht="12.75">
      <c r="A3083" s="8">
        <v>43903.731504629628</v>
      </c>
      <c r="B3083" s="8" t="str">
        <f>HYPERLINK("https://twitter.com/sirajapadoha","@sirajapadoha")</f>
        <v>@sirajapadoha</v>
      </c>
      <c r="C3083" s="8" t="s">
        <v>1708</v>
      </c>
      <c r="D3083" s="8">
        <v>3</v>
      </c>
      <c r="E3083" s="8">
        <v>0</v>
      </c>
      <c r="F3083" s="8">
        <v>2502</v>
      </c>
    </row>
    <row r="3084" spans="1:6" ht="12.75">
      <c r="A3084" s="8">
        <v>43903.731319444443</v>
      </c>
      <c r="B3084" s="8" t="str">
        <f>HYPERLINK("https://twitter.com/ChrizAditya","@ChrizAditya")</f>
        <v>@ChrizAditya</v>
      </c>
      <c r="C3084" s="8" t="s">
        <v>925</v>
      </c>
      <c r="D3084" s="8">
        <v>150</v>
      </c>
      <c r="E3084" s="8">
        <v>0</v>
      </c>
      <c r="F3084" s="8">
        <v>166</v>
      </c>
    </row>
    <row r="3085" spans="1:6" ht="12.75">
      <c r="A3085" s="8">
        <v>43903.731296296297</v>
      </c>
      <c r="B3085" s="8" t="str">
        <f>HYPERLINK("https://twitter.com/kittynism","@kittynism")</f>
        <v>@kittynism</v>
      </c>
      <c r="C3085" s="8" t="s">
        <v>1459</v>
      </c>
      <c r="D3085" s="8">
        <v>6</v>
      </c>
      <c r="E3085" s="8">
        <v>0</v>
      </c>
      <c r="F3085" s="8">
        <v>258</v>
      </c>
    </row>
    <row r="3086" spans="1:6" ht="12.75">
      <c r="A3086" s="8">
        <v>43903.731134259258</v>
      </c>
      <c r="B3086" s="8" t="str">
        <f>HYPERLINK("https://twitter.com/dudukdibelakang","@dudukdibelakang")</f>
        <v>@dudukdibelakang</v>
      </c>
      <c r="C3086" s="8" t="s">
        <v>1459</v>
      </c>
      <c r="D3086" s="8">
        <v>6</v>
      </c>
      <c r="E3086" s="8">
        <v>0</v>
      </c>
      <c r="F3086" s="8">
        <v>83</v>
      </c>
    </row>
    <row r="3087" spans="1:6" ht="12.75">
      <c r="A3087" s="8">
        <v>43903.730937500004</v>
      </c>
      <c r="B3087" s="8" t="str">
        <f>HYPERLINK("https://twitter.com/HilmanNug","@HilmanNug")</f>
        <v>@HilmanNug</v>
      </c>
      <c r="C3087" s="8" t="s">
        <v>1465</v>
      </c>
      <c r="D3087" s="8">
        <v>3</v>
      </c>
      <c r="E3087" s="8">
        <v>0</v>
      </c>
      <c r="F3087" s="8">
        <v>839</v>
      </c>
    </row>
    <row r="3088" spans="1:6" ht="12.75">
      <c r="A3088" s="8">
        <v>43903.729594907403</v>
      </c>
      <c r="B3088" s="8" t="str">
        <f>HYPERLINK("https://twitter.com/Metro_TV","@Metro_TV")</f>
        <v>@Metro_TV</v>
      </c>
      <c r="C3088" s="8" t="s">
        <v>1739</v>
      </c>
      <c r="D3088" s="8">
        <v>7</v>
      </c>
      <c r="E3088" s="8">
        <v>0</v>
      </c>
      <c r="F3088" s="8">
        <v>10519870</v>
      </c>
    </row>
    <row r="3089" spans="1:6" ht="12.75">
      <c r="A3089" s="8">
        <v>43903.728819444441</v>
      </c>
      <c r="B3089" s="8" t="str">
        <f>HYPERLINK("https://twitter.com/niningasih","@niningasih")</f>
        <v>@niningasih</v>
      </c>
      <c r="C3089" s="8" t="s">
        <v>1732</v>
      </c>
      <c r="D3089" s="8">
        <v>7</v>
      </c>
      <c r="E3089" s="8">
        <v>0</v>
      </c>
      <c r="F3089" s="8">
        <v>1182</v>
      </c>
    </row>
    <row r="3090" spans="1:6" ht="12.75">
      <c r="A3090" s="8">
        <v>43903.728819444441</v>
      </c>
      <c r="B3090" s="8" t="str">
        <f>HYPERLINK("https://twitter.com/Dila50306460","@Dila50306460")</f>
        <v>@Dila50306460</v>
      </c>
      <c r="C3090" s="8" t="s">
        <v>1148</v>
      </c>
      <c r="D3090" s="8">
        <v>17</v>
      </c>
      <c r="E3090" s="8">
        <v>0</v>
      </c>
      <c r="F3090" s="8">
        <v>274</v>
      </c>
    </row>
    <row r="3091" spans="1:6" ht="12.75">
      <c r="A3091" s="8">
        <v>43903.727951388893</v>
      </c>
      <c r="B3091" s="8" t="str">
        <f>HYPERLINK("https://twitter.com/Radityo_utomo","@Radityo_utomo")</f>
        <v>@Radityo_utomo</v>
      </c>
      <c r="C3091" s="8" t="s">
        <v>1740</v>
      </c>
      <c r="D3091" s="8">
        <v>1</v>
      </c>
      <c r="E3091" s="8">
        <v>0</v>
      </c>
      <c r="F3091" s="8">
        <v>1275</v>
      </c>
    </row>
    <row r="3092" spans="1:6" ht="12.75">
      <c r="A3092" s="8">
        <v>43903.72729166667</v>
      </c>
      <c r="B3092" s="8" t="str">
        <f>HYPERLINK("https://twitter.com/DJKURO_","@DJKURO_")</f>
        <v>@DJKURO_</v>
      </c>
      <c r="C3092" s="8" t="s">
        <v>1741</v>
      </c>
      <c r="D3092" s="8">
        <v>1</v>
      </c>
      <c r="E3092" s="8">
        <v>1</v>
      </c>
      <c r="F3092" s="8">
        <v>556</v>
      </c>
    </row>
    <row r="3093" spans="1:6" ht="12.75">
      <c r="A3093" s="8">
        <v>43903.726909722223</v>
      </c>
      <c r="B3093" s="8" t="str">
        <f>HYPERLINK("https://twitter.com/mahmudfauzinas1","@mahmudfauzinas1")</f>
        <v>@mahmudfauzinas1</v>
      </c>
      <c r="C3093" s="8" t="s">
        <v>874</v>
      </c>
      <c r="D3093" s="8">
        <v>51</v>
      </c>
      <c r="E3093" s="8">
        <v>0</v>
      </c>
      <c r="F3093" s="8">
        <v>151</v>
      </c>
    </row>
    <row r="3094" spans="1:6" ht="12.75">
      <c r="A3094" s="8">
        <v>43903.726655092592</v>
      </c>
      <c r="B3094" s="8" t="str">
        <f>HYPERLINK("https://twitter.com/andibachtiar","@andibachtiar")</f>
        <v>@andibachtiar</v>
      </c>
      <c r="C3094" s="8" t="s">
        <v>1742</v>
      </c>
      <c r="D3094" s="8">
        <v>3</v>
      </c>
      <c r="E3094" s="8">
        <v>6</v>
      </c>
      <c r="F3094" s="8">
        <v>43436</v>
      </c>
    </row>
    <row r="3095" spans="1:6" ht="12.75">
      <c r="A3095" s="8">
        <v>43903.726435185185</v>
      </c>
      <c r="B3095" s="8" t="str">
        <f>HYPERLINK("https://twitter.com/taukemudaa","@taukemudaa")</f>
        <v>@taukemudaa</v>
      </c>
      <c r="C3095" s="8" t="s">
        <v>1743</v>
      </c>
      <c r="D3095" s="8">
        <v>1</v>
      </c>
      <c r="E3095" s="8">
        <v>0</v>
      </c>
      <c r="F3095" s="8">
        <v>189</v>
      </c>
    </row>
    <row r="3096" spans="1:6" ht="12.75">
      <c r="A3096" s="8">
        <v>43903.725763888884</v>
      </c>
      <c r="B3096" s="8" t="str">
        <f>HYPERLINK("https://twitter.com/cadarmerah","@cadarmerah")</f>
        <v>@cadarmerah</v>
      </c>
      <c r="C3096" s="8" t="s">
        <v>1649</v>
      </c>
      <c r="D3096" s="8">
        <v>2</v>
      </c>
      <c r="E3096" s="8">
        <v>0</v>
      </c>
      <c r="F3096" s="8">
        <v>5664</v>
      </c>
    </row>
    <row r="3097" spans="1:6" ht="12.75">
      <c r="A3097" s="8">
        <v>43903.725462962961</v>
      </c>
      <c r="B3097" s="8" t="str">
        <f>HYPERLINK("https://twitter.com/cherryboombshel","@cherryboombshel")</f>
        <v>@cherryboombshel</v>
      </c>
      <c r="C3097" s="8" t="s">
        <v>1744</v>
      </c>
      <c r="D3097" s="8">
        <v>15</v>
      </c>
      <c r="E3097" s="8">
        <v>0</v>
      </c>
      <c r="F3097" s="8">
        <v>191</v>
      </c>
    </row>
    <row r="3098" spans="1:6" ht="12.75">
      <c r="A3098" s="8">
        <v>43903.725312499999</v>
      </c>
      <c r="B3098" s="8" t="str">
        <f>HYPERLINK("https://twitter.com/mockthistweet","@mockthistweet")</f>
        <v>@mockthistweet</v>
      </c>
      <c r="C3098" s="8" t="s">
        <v>1745</v>
      </c>
      <c r="D3098" s="8">
        <v>0</v>
      </c>
      <c r="E3098" s="8">
        <v>0</v>
      </c>
      <c r="F3098" s="8">
        <v>24937</v>
      </c>
    </row>
    <row r="3099" spans="1:6" ht="12.75">
      <c r="A3099" s="8">
        <v>43903.725300925929</v>
      </c>
      <c r="B3099" s="8" t="str">
        <f>HYPERLINK("https://twitter.com/IrwantoArief1","@IrwantoArief1")</f>
        <v>@IrwantoArief1</v>
      </c>
      <c r="C3099" s="8" t="s">
        <v>1491</v>
      </c>
      <c r="D3099" s="8">
        <v>41</v>
      </c>
      <c r="E3099" s="8">
        <v>0</v>
      </c>
      <c r="F3099" s="8">
        <v>2163</v>
      </c>
    </row>
    <row r="3100" spans="1:6" ht="12.75">
      <c r="A3100" s="8">
        <v>43903.724444444444</v>
      </c>
      <c r="B3100" s="8" t="str">
        <f>HYPERLINK("https://twitter.com/cagubnyinyir2","@cagubnyinyir2")</f>
        <v>@cagubnyinyir2</v>
      </c>
      <c r="C3100" s="8" t="s">
        <v>1746</v>
      </c>
      <c r="D3100" s="8">
        <v>2</v>
      </c>
      <c r="E3100" s="8">
        <v>0</v>
      </c>
      <c r="F3100" s="8">
        <v>4585</v>
      </c>
    </row>
    <row r="3101" spans="1:6" ht="12.75">
      <c r="A3101" s="8">
        <v>43903.724317129629</v>
      </c>
      <c r="B3101" s="8" t="str">
        <f>HYPERLINK("https://twitter.com/KBRI_Athena","@KBRI_Athena")</f>
        <v>@KBRI_Athena</v>
      </c>
      <c r="C3101" s="8" t="s">
        <v>1747</v>
      </c>
      <c r="D3101" s="8">
        <v>1</v>
      </c>
      <c r="E3101" s="8">
        <v>2</v>
      </c>
      <c r="F3101" s="8">
        <v>1249</v>
      </c>
    </row>
    <row r="3102" spans="1:6" ht="12.75">
      <c r="A3102" s="8">
        <v>43903.724085648151</v>
      </c>
      <c r="B3102" s="8" t="str">
        <f>HYPERLINK("https://twitter.com/iManishJ","@iManishJ")</f>
        <v>@iManishJ</v>
      </c>
      <c r="C3102" s="8" t="s">
        <v>1195</v>
      </c>
      <c r="D3102" s="8">
        <v>2621</v>
      </c>
      <c r="E3102" s="8">
        <v>0</v>
      </c>
      <c r="F3102" s="8">
        <v>288</v>
      </c>
    </row>
    <row r="3103" spans="1:6" ht="12.75">
      <c r="A3103" s="8">
        <v>43903.723692129628</v>
      </c>
      <c r="B3103" s="8" t="str">
        <f>HYPERLINK("https://twitter.com/lightdiamond_","@lightdiamond_")</f>
        <v>@lightdiamond_</v>
      </c>
      <c r="C3103" s="8" t="s">
        <v>1748</v>
      </c>
      <c r="D3103" s="8">
        <v>0</v>
      </c>
      <c r="E3103" s="8">
        <v>0</v>
      </c>
      <c r="F3103" s="8">
        <v>1374</v>
      </c>
    </row>
    <row r="3104" spans="1:6" ht="12.75">
      <c r="A3104" s="8">
        <v>43903.723449074074</v>
      </c>
      <c r="B3104" s="8" t="str">
        <f t="shared" ref="B3104:B3105" si="62">HYPERLINK("https://twitter.com/vwerrong","@vwerrong")</f>
        <v>@vwerrong</v>
      </c>
      <c r="C3104" s="8" t="s">
        <v>1749</v>
      </c>
      <c r="D3104" s="8">
        <v>373</v>
      </c>
      <c r="E3104" s="8">
        <v>0</v>
      </c>
      <c r="F3104" s="8">
        <v>557</v>
      </c>
    </row>
    <row r="3105" spans="1:6" ht="12.75">
      <c r="A3105" s="8">
        <v>43903.723194444443</v>
      </c>
      <c r="B3105" s="8" t="str">
        <f t="shared" si="62"/>
        <v>@vwerrong</v>
      </c>
      <c r="C3105" s="8" t="s">
        <v>1750</v>
      </c>
      <c r="D3105" s="8">
        <v>41</v>
      </c>
      <c r="E3105" s="8">
        <v>0</v>
      </c>
      <c r="F3105" s="8">
        <v>557</v>
      </c>
    </row>
    <row r="3106" spans="1:6" ht="12.75">
      <c r="A3106" s="8">
        <v>43903.723125000004</v>
      </c>
      <c r="B3106" s="8" t="str">
        <f>HYPERLINK("https://twitter.com/bersatulahnkri","@bersatulahnkri")</f>
        <v>@bersatulahnkri</v>
      </c>
      <c r="C3106" s="8" t="s">
        <v>925</v>
      </c>
      <c r="D3106" s="8">
        <v>150</v>
      </c>
      <c r="E3106" s="8">
        <v>0</v>
      </c>
      <c r="F3106" s="8">
        <v>2146</v>
      </c>
    </row>
    <row r="3107" spans="1:6" ht="12.75">
      <c r="A3107" s="8">
        <v>43903.723078703704</v>
      </c>
      <c r="B3107" s="8" t="str">
        <f>HYPERLINK("https://twitter.com/jackodanish","@jackodanish")</f>
        <v>@jackodanish</v>
      </c>
      <c r="C3107" s="8" t="s">
        <v>1751</v>
      </c>
      <c r="D3107" s="8">
        <v>0</v>
      </c>
      <c r="E3107" s="8">
        <v>1</v>
      </c>
      <c r="F3107" s="8">
        <v>368</v>
      </c>
    </row>
    <row r="3108" spans="1:6" ht="12.75">
      <c r="A3108" s="8">
        <v>43903.715104166666</v>
      </c>
      <c r="B3108" s="8" t="str">
        <f>HYPERLINK("https://twitter.com/imanboer","@imanboer")</f>
        <v>@imanboer</v>
      </c>
      <c r="C3108" s="8" t="s">
        <v>1752</v>
      </c>
      <c r="D3108" s="8">
        <v>0</v>
      </c>
      <c r="E3108" s="8">
        <v>0</v>
      </c>
      <c r="F3108" s="8">
        <v>1199</v>
      </c>
    </row>
    <row r="3109" spans="1:6" ht="12.75">
      <c r="A3109" s="8">
        <v>43903.71471064815</v>
      </c>
      <c r="B3109" s="8" t="str">
        <f>HYPERLINK("https://twitter.com/XtoperFerry","@XtoperFerry")</f>
        <v>@XtoperFerry</v>
      </c>
      <c r="C3109" s="8" t="s">
        <v>353</v>
      </c>
      <c r="D3109" s="8">
        <v>91</v>
      </c>
      <c r="E3109" s="8">
        <v>0</v>
      </c>
      <c r="F3109" s="8">
        <v>207</v>
      </c>
    </row>
    <row r="3110" spans="1:6" ht="12.75">
      <c r="A3110" s="8">
        <v>43903.714606481481</v>
      </c>
      <c r="B3110" s="8" t="str">
        <f>HYPERLINK("https://twitter.com/kendisdolong1","@kendisdolong1")</f>
        <v>@kendisdolong1</v>
      </c>
      <c r="C3110" s="8" t="s">
        <v>1753</v>
      </c>
      <c r="D3110" s="8">
        <v>0</v>
      </c>
      <c r="E3110" s="8">
        <v>0</v>
      </c>
      <c r="F3110" s="8">
        <v>3225</v>
      </c>
    </row>
    <row r="3111" spans="1:6" ht="12.75">
      <c r="A3111" s="8">
        <v>43903.714398148149</v>
      </c>
      <c r="B3111" s="8" t="str">
        <f>HYPERLINK("https://twitter.com/NKRI__1707","@NKRI__1707")</f>
        <v>@NKRI__1707</v>
      </c>
      <c r="C3111" s="8" t="s">
        <v>874</v>
      </c>
      <c r="D3111" s="8">
        <v>47</v>
      </c>
      <c r="E3111" s="8">
        <v>0</v>
      </c>
      <c r="F3111" s="8">
        <v>311</v>
      </c>
    </row>
    <row r="3112" spans="1:6" ht="12.75">
      <c r="A3112" s="8">
        <v>43903.714074074072</v>
      </c>
      <c r="B3112" s="8" t="str">
        <f>HYPERLINK("https://twitter.com/heeru310","@heeru310")</f>
        <v>@heeru310</v>
      </c>
      <c r="C3112" s="8" t="s">
        <v>353</v>
      </c>
      <c r="D3112" s="8">
        <v>91</v>
      </c>
      <c r="E3112" s="8">
        <v>0</v>
      </c>
      <c r="F3112" s="8">
        <v>1686</v>
      </c>
    </row>
    <row r="3113" spans="1:6" ht="12.75">
      <c r="A3113" s="8">
        <v>43903.713749999995</v>
      </c>
      <c r="B3113" s="8" t="str">
        <f>HYPERLINK("https://twitter.com/abhiON_","@abhiON_")</f>
        <v>@abhiON_</v>
      </c>
      <c r="C3113" s="8" t="s">
        <v>1754</v>
      </c>
      <c r="D3113" s="8">
        <v>0</v>
      </c>
      <c r="E3113" s="8">
        <v>0</v>
      </c>
      <c r="F3113" s="8">
        <v>82</v>
      </c>
    </row>
    <row r="3114" spans="1:6" ht="12.75">
      <c r="A3114" s="8">
        <v>43903.712557870371</v>
      </c>
      <c r="B3114" s="8" t="str">
        <f>HYPERLINK("https://twitter.com/syllys__","@syllys__")</f>
        <v>@syllys__</v>
      </c>
      <c r="C3114" s="8" t="s">
        <v>1755</v>
      </c>
      <c r="D3114" s="8">
        <v>0</v>
      </c>
      <c r="E3114" s="8">
        <v>0</v>
      </c>
      <c r="F3114" s="8">
        <v>36</v>
      </c>
    </row>
    <row r="3115" spans="1:6" ht="12.75">
      <c r="A3115" s="8">
        <v>43903.711886574078</v>
      </c>
      <c r="B3115" s="8" t="str">
        <f>HYPERLINK("https://twitter.com/SemaneiD","@SemaneiD")</f>
        <v>@SemaneiD</v>
      </c>
      <c r="C3115" s="8" t="s">
        <v>1148</v>
      </c>
      <c r="D3115" s="8">
        <v>13</v>
      </c>
      <c r="E3115" s="8">
        <v>0</v>
      </c>
      <c r="F3115" s="8">
        <v>699</v>
      </c>
    </row>
    <row r="3116" spans="1:6" ht="12.75">
      <c r="A3116" s="8">
        <v>43903.711747685185</v>
      </c>
      <c r="B3116" s="8" t="str">
        <f>HYPERLINK("https://twitter.com/mitazoraida","@mitazoraida")</f>
        <v>@mitazoraida</v>
      </c>
      <c r="C3116" s="8" t="s">
        <v>1756</v>
      </c>
      <c r="D3116" s="8">
        <v>1</v>
      </c>
      <c r="E3116" s="8">
        <v>0</v>
      </c>
      <c r="F3116" s="8">
        <v>312</v>
      </c>
    </row>
    <row r="3117" spans="1:6" ht="12.75">
      <c r="A3117" s="8">
        <v>43903.711736111116</v>
      </c>
      <c r="B3117" s="8" t="str">
        <f>HYPERLINK("https://twitter.com/eggggsie","@eggggsie")</f>
        <v>@eggggsie</v>
      </c>
      <c r="C3117" s="8" t="s">
        <v>1757</v>
      </c>
      <c r="D3117" s="8">
        <v>0</v>
      </c>
      <c r="E3117" s="8">
        <v>0</v>
      </c>
      <c r="F3117" s="8">
        <v>10945</v>
      </c>
    </row>
    <row r="3118" spans="1:6" ht="12.75">
      <c r="A3118" s="8">
        <v>43903.7112962963</v>
      </c>
      <c r="B3118" s="8" t="str">
        <f>HYPERLINK("https://twitter.com/yana_udiyatna","@yana_udiyatna")</f>
        <v>@yana_udiyatna</v>
      </c>
      <c r="C3118" s="8" t="s">
        <v>1758</v>
      </c>
      <c r="D3118" s="8">
        <v>112</v>
      </c>
      <c r="E3118" s="8">
        <v>0</v>
      </c>
      <c r="F3118" s="8">
        <v>3996</v>
      </c>
    </row>
    <row r="3119" spans="1:6" ht="12.75">
      <c r="A3119" s="8">
        <v>43903.711226851854</v>
      </c>
      <c r="B3119" s="8" t="str">
        <f>HYPERLINK("https://twitter.com/GoTotheJek","@GoTotheJek")</f>
        <v>@GoTotheJek</v>
      </c>
      <c r="C3119" s="8" t="s">
        <v>1759</v>
      </c>
      <c r="D3119" s="8">
        <v>4</v>
      </c>
      <c r="E3119" s="8">
        <v>0</v>
      </c>
      <c r="F3119" s="8">
        <v>779</v>
      </c>
    </row>
    <row r="3120" spans="1:6" ht="12.75">
      <c r="A3120" s="8">
        <v>43903.710636574076</v>
      </c>
      <c r="B3120" s="8" t="str">
        <f>HYPERLINK("https://twitter.com/KBRI_Nairobi","@KBRI_Nairobi")</f>
        <v>@KBRI_Nairobi</v>
      </c>
      <c r="C3120" s="8" t="s">
        <v>1760</v>
      </c>
      <c r="D3120" s="8">
        <v>0</v>
      </c>
      <c r="E3120" s="8">
        <v>0</v>
      </c>
      <c r="F3120" s="8">
        <v>494</v>
      </c>
    </row>
    <row r="3121" spans="1:6" ht="12.75">
      <c r="A3121" s="8">
        <v>43903.710601851853</v>
      </c>
      <c r="B3121" s="8" t="str">
        <f>HYPERLINK("https://twitter.com/mahmara","@mahmara")</f>
        <v>@mahmara</v>
      </c>
      <c r="C3121" s="8" t="s">
        <v>1761</v>
      </c>
      <c r="D3121" s="8">
        <v>0</v>
      </c>
      <c r="E3121" s="8">
        <v>0</v>
      </c>
      <c r="F3121" s="8">
        <v>2223</v>
      </c>
    </row>
    <row r="3122" spans="1:6" ht="12.75">
      <c r="A3122" s="8">
        <v>43903.710034722222</v>
      </c>
      <c r="B3122" s="8" t="str">
        <f>HYPERLINK("https://twitter.com/umar_honda","@umar_honda")</f>
        <v>@umar_honda</v>
      </c>
      <c r="C3122" s="8" t="s">
        <v>1148</v>
      </c>
      <c r="D3122" s="8">
        <v>13</v>
      </c>
      <c r="E3122" s="8">
        <v>0</v>
      </c>
      <c r="F3122" s="8">
        <v>153</v>
      </c>
    </row>
    <row r="3123" spans="1:6" ht="12.75">
      <c r="A3123" s="8">
        <v>43903.709965277776</v>
      </c>
      <c r="B3123" s="8" t="str">
        <f>HYPERLINK("https://twitter.com/Lukmanul438","@Lukmanul438")</f>
        <v>@Lukmanul438</v>
      </c>
      <c r="C3123" s="8" t="s">
        <v>1762</v>
      </c>
      <c r="D3123" s="8">
        <v>0</v>
      </c>
      <c r="E3123" s="8">
        <v>0</v>
      </c>
      <c r="F3123" s="8">
        <v>1309</v>
      </c>
    </row>
    <row r="3124" spans="1:6" ht="12.75">
      <c r="A3124" s="8">
        <v>43903.709710648152</v>
      </c>
      <c r="B3124" s="8" t="str">
        <f>HYPERLINK("https://twitter.com/serambinews","@serambinews")</f>
        <v>@serambinews</v>
      </c>
      <c r="C3124" s="8" t="s">
        <v>1763</v>
      </c>
      <c r="D3124" s="8">
        <v>0</v>
      </c>
      <c r="E3124" s="8">
        <v>1</v>
      </c>
      <c r="F3124" s="8">
        <v>83937</v>
      </c>
    </row>
    <row r="3125" spans="1:6" ht="12.75">
      <c r="A3125" s="8">
        <v>43903.709479166668</v>
      </c>
      <c r="B3125" s="8" t="str">
        <f>HYPERLINK("https://twitter.com/hamaro_id","@hamaro_id")</f>
        <v>@hamaro_id</v>
      </c>
      <c r="C3125" s="8" t="s">
        <v>925</v>
      </c>
      <c r="D3125" s="8">
        <v>146</v>
      </c>
      <c r="E3125" s="8">
        <v>0</v>
      </c>
      <c r="F3125" s="8">
        <v>1736</v>
      </c>
    </row>
    <row r="3126" spans="1:6" ht="12.75">
      <c r="A3126" s="8">
        <v>43903.709155092598</v>
      </c>
      <c r="B3126" s="8" t="str">
        <f>HYPERLINK("https://twitter.com/BintiSutarna","@BintiSutarna")</f>
        <v>@BintiSutarna</v>
      </c>
      <c r="C3126" s="8" t="s">
        <v>587</v>
      </c>
      <c r="D3126" s="8">
        <v>27</v>
      </c>
      <c r="E3126" s="8">
        <v>0</v>
      </c>
      <c r="F3126" s="8">
        <v>109</v>
      </c>
    </row>
    <row r="3127" spans="1:6" ht="12.75">
      <c r="A3127" s="8">
        <v>43903.708877314813</v>
      </c>
      <c r="B3127" s="8" t="str">
        <f>HYPERLINK("https://twitter.com/nyinyir404","@nyinyir404")</f>
        <v>@nyinyir404</v>
      </c>
      <c r="C3127" s="8" t="s">
        <v>1764</v>
      </c>
      <c r="D3127" s="8">
        <v>1</v>
      </c>
      <c r="E3127" s="8">
        <v>0</v>
      </c>
      <c r="F3127" s="8">
        <v>4234</v>
      </c>
    </row>
    <row r="3128" spans="1:6" ht="12.75">
      <c r="A3128" s="8">
        <v>43903.708761574075</v>
      </c>
      <c r="B3128" s="8" t="str">
        <f>HYPERLINK("https://twitter.com/G336387","@G336387")</f>
        <v>@G336387</v>
      </c>
      <c r="C3128" s="8" t="s">
        <v>1765</v>
      </c>
      <c r="D3128" s="8">
        <v>0</v>
      </c>
      <c r="E3128" s="8">
        <v>1</v>
      </c>
      <c r="F3128" s="8">
        <v>698</v>
      </c>
    </row>
    <row r="3129" spans="1:6" ht="12.75">
      <c r="A3129" s="8">
        <v>43903.708634259259</v>
      </c>
      <c r="B3129" s="8" t="str">
        <f>HYPERLINK("https://twitter.com/OwinAjah","@OwinAjah")</f>
        <v>@OwinAjah</v>
      </c>
      <c r="C3129" s="8" t="s">
        <v>1766</v>
      </c>
      <c r="D3129" s="8">
        <v>2</v>
      </c>
      <c r="E3129" s="8">
        <v>0</v>
      </c>
      <c r="F3129" s="8">
        <v>148</v>
      </c>
    </row>
    <row r="3130" spans="1:6" ht="12.75">
      <c r="A3130" s="8">
        <v>43903.708541666667</v>
      </c>
      <c r="B3130" s="8" t="str">
        <f>HYPERLINK("https://twitter.com/DeeOmz","@DeeOmz")</f>
        <v>@DeeOmz</v>
      </c>
      <c r="C3130" s="8" t="s">
        <v>1767</v>
      </c>
      <c r="D3130" s="8">
        <v>0</v>
      </c>
      <c r="E3130" s="8">
        <v>0</v>
      </c>
      <c r="F3130" s="8">
        <v>1</v>
      </c>
    </row>
    <row r="3131" spans="1:6" ht="12.75">
      <c r="A3131" s="8">
        <v>43903.70826388889</v>
      </c>
      <c r="B3131" s="8" t="str">
        <f>HYPERLINK("https://twitter.com/FLa_Fadhilah","@FLa_Fadhilah")</f>
        <v>@FLa_Fadhilah</v>
      </c>
      <c r="C3131" s="8" t="s">
        <v>1768</v>
      </c>
      <c r="D3131" s="8">
        <v>0</v>
      </c>
      <c r="E3131" s="8">
        <v>0</v>
      </c>
      <c r="F3131" s="8">
        <v>737</v>
      </c>
    </row>
    <row r="3132" spans="1:6" ht="12.75">
      <c r="A3132" s="8">
        <v>43903.708067129628</v>
      </c>
      <c r="B3132" s="8" t="str">
        <f>HYPERLINK("https://twitter.com/nosickular","@nosickular")</f>
        <v>@nosickular</v>
      </c>
      <c r="C3132" s="8" t="s">
        <v>1769</v>
      </c>
      <c r="D3132" s="8">
        <v>0</v>
      </c>
      <c r="E3132" s="8">
        <v>0</v>
      </c>
      <c r="F3132" s="8">
        <v>226</v>
      </c>
    </row>
    <row r="3133" spans="1:6" ht="12.75">
      <c r="A3133" s="8">
        <v>43903.708009259259</v>
      </c>
      <c r="B3133" s="8" t="str">
        <f>HYPERLINK("https://twitter.com/purnomo_jati1","@purnomo_jati1")</f>
        <v>@purnomo_jati1</v>
      </c>
      <c r="C3133" s="8" t="s">
        <v>925</v>
      </c>
      <c r="D3133" s="8">
        <v>146</v>
      </c>
      <c r="E3133" s="8">
        <v>0</v>
      </c>
      <c r="F3133" s="8">
        <v>336</v>
      </c>
    </row>
    <row r="3134" spans="1:6" ht="12.75">
      <c r="A3134" s="8">
        <v>43903.70694444445</v>
      </c>
      <c r="B3134" s="8" t="str">
        <f>HYPERLINK("https://twitter.com/tinaagustin99","@tinaagustin99")</f>
        <v>@tinaagustin99</v>
      </c>
      <c r="C3134" s="8" t="s">
        <v>1770</v>
      </c>
      <c r="D3134" s="8">
        <v>0</v>
      </c>
      <c r="E3134" s="8">
        <v>0</v>
      </c>
      <c r="F3134" s="8">
        <v>54</v>
      </c>
    </row>
    <row r="3135" spans="1:6" ht="12.75">
      <c r="A3135" s="8">
        <v>43903.706921296296</v>
      </c>
      <c r="B3135" s="8" t="str">
        <f>HYPERLINK("https://twitter.com/tribunnews","@tribunnews")</f>
        <v>@tribunnews</v>
      </c>
      <c r="C3135" s="8" t="s">
        <v>1771</v>
      </c>
      <c r="D3135" s="8">
        <v>1</v>
      </c>
      <c r="E3135" s="8">
        <v>5</v>
      </c>
      <c r="F3135" s="8">
        <v>896028</v>
      </c>
    </row>
    <row r="3136" spans="1:6" ht="12.75">
      <c r="A3136" s="8">
        <v>43903.706701388888</v>
      </c>
      <c r="B3136" s="8" t="str">
        <f>HYPERLINK("https://twitter.com/bayukundanu","@bayukundanu")</f>
        <v>@bayukundanu</v>
      </c>
      <c r="C3136" s="8" t="s">
        <v>1459</v>
      </c>
      <c r="D3136" s="8">
        <v>4</v>
      </c>
      <c r="E3136" s="8">
        <v>0</v>
      </c>
      <c r="F3136" s="8">
        <v>161</v>
      </c>
    </row>
    <row r="3137" spans="1:6" ht="12.75">
      <c r="A3137" s="8">
        <v>43903.70512731481</v>
      </c>
      <c r="B3137" s="8" t="str">
        <f>HYPERLINK("https://twitter.com/r4chyudi","@r4chyudi")</f>
        <v>@r4chyudi</v>
      </c>
      <c r="C3137" s="8" t="s">
        <v>1744</v>
      </c>
      <c r="D3137" s="8">
        <v>12</v>
      </c>
      <c r="E3137" s="8">
        <v>0</v>
      </c>
      <c r="F3137" s="8">
        <v>929</v>
      </c>
    </row>
    <row r="3138" spans="1:6" ht="12.75">
      <c r="A3138" s="8">
        <v>43903.704444444447</v>
      </c>
      <c r="B3138" s="8" t="str">
        <f>HYPERLINK("https://twitter.com/tribunnews","@tribunnews")</f>
        <v>@tribunnews</v>
      </c>
      <c r="C3138" s="8" t="s">
        <v>1772</v>
      </c>
      <c r="D3138" s="8">
        <v>2</v>
      </c>
      <c r="E3138" s="8">
        <v>6</v>
      </c>
      <c r="F3138" s="8">
        <v>896028</v>
      </c>
    </row>
    <row r="3139" spans="1:6" ht="12.75">
      <c r="A3139" s="8">
        <v>43903.703738425931</v>
      </c>
      <c r="B3139" s="8" t="str">
        <f>HYPERLINK("https://twitter.com/digitiz1ng","@digitiz1ng")</f>
        <v>@digitiz1ng</v>
      </c>
      <c r="C3139" s="8" t="s">
        <v>1773</v>
      </c>
      <c r="D3139" s="8">
        <v>0</v>
      </c>
      <c r="E3139" s="8">
        <v>0</v>
      </c>
      <c r="F3139" s="8">
        <v>28</v>
      </c>
    </row>
    <row r="3140" spans="1:6" ht="12.75">
      <c r="A3140" s="8">
        <v>43903.703402777777</v>
      </c>
      <c r="B3140" s="8" t="str">
        <f>HYPERLINK("https://twitter.com/marchaussette_","@marchaussette_")</f>
        <v>@marchaussette_</v>
      </c>
      <c r="C3140" s="8" t="s">
        <v>1774</v>
      </c>
      <c r="D3140" s="8">
        <v>2</v>
      </c>
      <c r="E3140" s="8">
        <v>0</v>
      </c>
      <c r="F3140" s="8">
        <v>584</v>
      </c>
    </row>
    <row r="3141" spans="1:6" ht="12.75">
      <c r="A3141" s="8">
        <v>43903.702361111107</v>
      </c>
      <c r="B3141" s="8" t="str">
        <f>HYPERLINK("https://twitter.com/cadrune","@cadrune")</f>
        <v>@cadrune</v>
      </c>
      <c r="C3141" s="8" t="s">
        <v>874</v>
      </c>
      <c r="D3141" s="8">
        <v>47</v>
      </c>
      <c r="E3141" s="8">
        <v>0</v>
      </c>
      <c r="F3141" s="8">
        <v>199</v>
      </c>
    </row>
    <row r="3142" spans="1:6" ht="12.75">
      <c r="A3142" s="8">
        <v>43903.700983796298</v>
      </c>
      <c r="B3142" s="8" t="str">
        <f>HYPERLINK("https://twitter.com/Mahyani20","@Mahyani20")</f>
        <v>@Mahyani20</v>
      </c>
      <c r="C3142" s="8" t="s">
        <v>587</v>
      </c>
      <c r="D3142" s="8">
        <v>27</v>
      </c>
      <c r="E3142" s="8">
        <v>0</v>
      </c>
      <c r="F3142" s="8">
        <v>1283</v>
      </c>
    </row>
    <row r="3143" spans="1:6" ht="12.75">
      <c r="A3143" s="8">
        <v>43903.700833333336</v>
      </c>
      <c r="B3143" s="8" t="str">
        <f>HYPERLINK("https://twitter.com/iNewsID","@iNewsID")</f>
        <v>@iNewsID</v>
      </c>
      <c r="C3143" s="8" t="s">
        <v>1775</v>
      </c>
      <c r="D3143" s="8">
        <v>0</v>
      </c>
      <c r="E3143" s="8">
        <v>0</v>
      </c>
      <c r="F3143" s="8">
        <v>1397</v>
      </c>
    </row>
    <row r="3144" spans="1:6" ht="12.75">
      <c r="A3144" s="8">
        <v>43903.700717592597</v>
      </c>
      <c r="B3144" s="8" t="str">
        <f>HYPERLINK("https://twitter.com/Pakdedy2","@Pakdedy2")</f>
        <v>@Pakdedy2</v>
      </c>
      <c r="C3144" s="8" t="s">
        <v>353</v>
      </c>
      <c r="D3144" s="8">
        <v>91</v>
      </c>
      <c r="E3144" s="8">
        <v>0</v>
      </c>
      <c r="F3144" s="8">
        <v>274</v>
      </c>
    </row>
    <row r="3145" spans="1:6" ht="12.75">
      <c r="A3145" s="8">
        <v>43903.700324074074</v>
      </c>
      <c r="B3145" s="8" t="str">
        <f>HYPERLINK("https://twitter.com/sahirazayn","@sahirazayn")</f>
        <v>@sahirazayn</v>
      </c>
      <c r="C3145" s="8" t="s">
        <v>1776</v>
      </c>
      <c r="D3145" s="8">
        <v>0</v>
      </c>
      <c r="E3145" s="8">
        <v>0</v>
      </c>
      <c r="F3145" s="8">
        <v>859</v>
      </c>
    </row>
    <row r="3146" spans="1:6" ht="12.75">
      <c r="A3146" s="8">
        <v>43903.700023148151</v>
      </c>
      <c r="B3146" s="8" t="str">
        <f>HYPERLINK("https://twitter.com/antarabiz","@antarabiz")</f>
        <v>@antarabiz</v>
      </c>
      <c r="C3146" s="8" t="s">
        <v>1737</v>
      </c>
      <c r="D3146" s="8">
        <v>0</v>
      </c>
      <c r="E3146" s="8">
        <v>0</v>
      </c>
      <c r="F3146" s="8">
        <v>38</v>
      </c>
    </row>
    <row r="3147" spans="1:6" ht="12.75">
      <c r="A3147" s="8">
        <v>43903.69976851852</v>
      </c>
      <c r="B3147" s="8" t="str">
        <f>HYPERLINK("https://twitter.com/dhikaspu","@dhikaspu")</f>
        <v>@dhikaspu</v>
      </c>
      <c r="C3147" s="8" t="s">
        <v>1777</v>
      </c>
      <c r="D3147" s="8">
        <v>0</v>
      </c>
      <c r="E3147" s="8">
        <v>0</v>
      </c>
      <c r="F3147" s="8">
        <v>25</v>
      </c>
    </row>
    <row r="3148" spans="1:6" ht="12.75">
      <c r="A3148" s="8">
        <v>43903.699722222227</v>
      </c>
      <c r="B3148" s="8" t="str">
        <f>HYPERLINK("https://twitter.com/adepedia","@adepedia")</f>
        <v>@adepedia</v>
      </c>
      <c r="C3148" s="8" t="s">
        <v>1774</v>
      </c>
      <c r="D3148" s="8">
        <v>2</v>
      </c>
      <c r="E3148" s="8">
        <v>0</v>
      </c>
      <c r="F3148" s="8">
        <v>1836</v>
      </c>
    </row>
    <row r="3149" spans="1:6" ht="12.75">
      <c r="A3149" s="8">
        <v>43903.699340277773</v>
      </c>
      <c r="B3149" s="8" t="str">
        <f>HYPERLINK("https://twitter.com/ebithEBITH","@ebithEBITH")</f>
        <v>@ebithEBITH</v>
      </c>
      <c r="C3149" s="8" t="s">
        <v>1778</v>
      </c>
      <c r="D3149" s="8">
        <v>0</v>
      </c>
      <c r="E3149" s="8">
        <v>0</v>
      </c>
      <c r="F3149" s="8">
        <v>29564</v>
      </c>
    </row>
    <row r="3150" spans="1:6" ht="12.75">
      <c r="A3150" s="8">
        <v>43903.698749999996</v>
      </c>
      <c r="B3150" s="8" t="str">
        <f>HYPERLINK("https://twitter.com/iNewsID","@iNewsID")</f>
        <v>@iNewsID</v>
      </c>
      <c r="C3150" s="8" t="s">
        <v>1779</v>
      </c>
      <c r="D3150" s="8">
        <v>0</v>
      </c>
      <c r="E3150" s="8">
        <v>0</v>
      </c>
      <c r="F3150" s="8">
        <v>1397</v>
      </c>
    </row>
    <row r="3151" spans="1:6" ht="12.75">
      <c r="A3151" s="8">
        <v>43903.698645833334</v>
      </c>
      <c r="B3151" s="8" t="str">
        <f>HYPERLINK("https://twitter.com/antaranews","@antaranews")</f>
        <v>@antaranews</v>
      </c>
      <c r="C3151" s="8" t="s">
        <v>1780</v>
      </c>
      <c r="D3151" s="8">
        <v>2</v>
      </c>
      <c r="E3151" s="8">
        <v>2</v>
      </c>
      <c r="F3151" s="8">
        <v>1107471</v>
      </c>
    </row>
    <row r="3152" spans="1:6" ht="12.75">
      <c r="A3152" s="8">
        <v>43903.698171296295</v>
      </c>
      <c r="B3152" s="8" t="str">
        <f>HYPERLINK("https://twitter.com/Metro_TV","@Metro_TV")</f>
        <v>@Metro_TV</v>
      </c>
      <c r="C3152" s="8" t="s">
        <v>1781</v>
      </c>
      <c r="D3152" s="8">
        <v>1</v>
      </c>
      <c r="E3152" s="8">
        <v>1</v>
      </c>
      <c r="F3152" s="8">
        <v>10519831</v>
      </c>
    </row>
    <row r="3153" spans="1:6" ht="12.75">
      <c r="A3153" s="8">
        <v>43903.697939814811</v>
      </c>
      <c r="B3153" s="8" t="str">
        <f>HYPERLINK("https://twitter.com/erikamdnh","@erikamdnh")</f>
        <v>@erikamdnh</v>
      </c>
      <c r="C3153" s="8" t="s">
        <v>1782</v>
      </c>
      <c r="D3153" s="8">
        <v>0</v>
      </c>
      <c r="E3153" s="8">
        <v>0</v>
      </c>
      <c r="F3153" s="8">
        <v>636</v>
      </c>
    </row>
    <row r="3154" spans="1:6" ht="12.75">
      <c r="A3154" s="8">
        <v>43903.697754629626</v>
      </c>
      <c r="B3154" s="8" t="str">
        <f>HYPERLINK("https://twitter.com/iNewsID","@iNewsID")</f>
        <v>@iNewsID</v>
      </c>
      <c r="C3154" s="8" t="s">
        <v>1783</v>
      </c>
      <c r="D3154" s="8">
        <v>0</v>
      </c>
      <c r="E3154" s="8">
        <v>0</v>
      </c>
      <c r="F3154" s="8">
        <v>1397</v>
      </c>
    </row>
    <row r="3155" spans="1:6" ht="12.75">
      <c r="A3155" s="8">
        <v>43903.697326388894</v>
      </c>
      <c r="B3155" s="8" t="str">
        <f>HYPERLINK("https://twitter.com/tepigaris","@tepigaris")</f>
        <v>@tepigaris</v>
      </c>
      <c r="C3155" s="8" t="s">
        <v>1784</v>
      </c>
      <c r="D3155" s="8">
        <v>10</v>
      </c>
      <c r="E3155" s="8">
        <v>0</v>
      </c>
      <c r="F3155" s="8">
        <v>416</v>
      </c>
    </row>
    <row r="3156" spans="1:6" ht="12.75">
      <c r="A3156" s="8">
        <v>43903.696620370371</v>
      </c>
      <c r="B3156" s="8" t="str">
        <f>HYPERLINK("https://twitter.com/wni_jmsri","@wni_jmsri")</f>
        <v>@wni_jmsri</v>
      </c>
      <c r="C3156" s="8" t="s">
        <v>1785</v>
      </c>
      <c r="D3156" s="8">
        <v>1828</v>
      </c>
      <c r="E3156" s="8">
        <v>0</v>
      </c>
      <c r="F3156" s="8">
        <v>202</v>
      </c>
    </row>
    <row r="3157" spans="1:6" ht="12.75">
      <c r="A3157" s="8">
        <v>43903.696099537032</v>
      </c>
      <c r="B3157" s="8" t="str">
        <f>HYPERLINK("https://twitter.com/eizanfolks","@eizanfolks")</f>
        <v>@eizanfolks</v>
      </c>
      <c r="C3157" s="8" t="s">
        <v>1759</v>
      </c>
      <c r="D3157" s="8">
        <v>4</v>
      </c>
      <c r="E3157" s="8">
        <v>0</v>
      </c>
      <c r="F3157" s="8">
        <v>9183</v>
      </c>
    </row>
    <row r="3158" spans="1:6" ht="12.75">
      <c r="A3158" s="8">
        <v>43903.695752314816</v>
      </c>
      <c r="B3158" s="8" t="str">
        <f>HYPERLINK("https://twitter.com/dsutanandika","@dsutanandika")</f>
        <v>@dsutanandika</v>
      </c>
      <c r="C3158" s="8" t="s">
        <v>1148</v>
      </c>
      <c r="D3158" s="8">
        <v>13</v>
      </c>
      <c r="E3158" s="8">
        <v>0</v>
      </c>
      <c r="F3158" s="8">
        <v>325</v>
      </c>
    </row>
    <row r="3159" spans="1:6" ht="12.75">
      <c r="A3159" s="8">
        <v>43903.695335648154</v>
      </c>
      <c r="B3159" s="8" t="str">
        <f>HYPERLINK("https://twitter.com/lensaRTV","@lensaRTV")</f>
        <v>@lensaRTV</v>
      </c>
      <c r="C3159" s="8" t="s">
        <v>1786</v>
      </c>
      <c r="D3159" s="8">
        <v>0</v>
      </c>
      <c r="E3159" s="8">
        <v>0</v>
      </c>
      <c r="F3159" s="8">
        <v>9517</v>
      </c>
    </row>
    <row r="3160" spans="1:6" ht="12.75">
      <c r="A3160" s="8">
        <v>43903.69431712963</v>
      </c>
      <c r="B3160" s="8" t="str">
        <f>HYPERLINK("https://twitter.com/athet13261689","@athet13261689")</f>
        <v>@athet13261689</v>
      </c>
      <c r="C3160" s="8" t="s">
        <v>874</v>
      </c>
      <c r="D3160" s="8">
        <v>47</v>
      </c>
      <c r="E3160" s="8">
        <v>0</v>
      </c>
      <c r="F3160" s="8">
        <v>46</v>
      </c>
    </row>
    <row r="3161" spans="1:6" ht="12.75">
      <c r="A3161" s="8">
        <v>43903.693703703699</v>
      </c>
      <c r="B3161" s="8" t="str">
        <f>HYPERLINK("https://twitter.com/BobbyIrwanda","@BobbyIrwanda")</f>
        <v>@BobbyIrwanda</v>
      </c>
      <c r="C3161" s="8" t="s">
        <v>1759</v>
      </c>
      <c r="D3161" s="8">
        <v>4</v>
      </c>
      <c r="E3161" s="8">
        <v>0</v>
      </c>
      <c r="F3161" s="8">
        <v>1649</v>
      </c>
    </row>
    <row r="3162" spans="1:6" ht="12.75">
      <c r="A3162" s="8">
        <v>43903.693460648152</v>
      </c>
      <c r="B3162" s="8" t="str">
        <f>HYPERLINK("https://twitter.com/aidanurra","@aidanurra")</f>
        <v>@aidanurra</v>
      </c>
      <c r="C3162" s="8" t="s">
        <v>1732</v>
      </c>
      <c r="D3162" s="8">
        <v>5</v>
      </c>
      <c r="E3162" s="8">
        <v>0</v>
      </c>
      <c r="F3162" s="8">
        <v>167</v>
      </c>
    </row>
    <row r="3163" spans="1:6" ht="12.75">
      <c r="A3163" s="8">
        <v>43903.693402777775</v>
      </c>
      <c r="B3163" s="8" t="str">
        <f>HYPERLINK("https://twitter.com/UrubingDilah","@UrubingDilah")</f>
        <v>@UrubingDilah</v>
      </c>
      <c r="C3163" s="8" t="s">
        <v>353</v>
      </c>
      <c r="D3163" s="8">
        <v>91</v>
      </c>
      <c r="E3163" s="8">
        <v>0</v>
      </c>
      <c r="F3163" s="8">
        <v>1379</v>
      </c>
    </row>
    <row r="3164" spans="1:6" ht="12.75">
      <c r="A3164" s="8">
        <v>43903.692754629628</v>
      </c>
      <c r="B3164" s="8" t="str">
        <f>HYPERLINK("https://twitter.com/becak125cc","@becak125cc")</f>
        <v>@becak125cc</v>
      </c>
      <c r="C3164" s="8" t="s">
        <v>925</v>
      </c>
      <c r="D3164" s="8">
        <v>146</v>
      </c>
      <c r="E3164" s="8">
        <v>0</v>
      </c>
      <c r="F3164" s="8">
        <v>575</v>
      </c>
    </row>
    <row r="3165" spans="1:6" ht="12.75">
      <c r="A3165" s="8">
        <v>43903.69259259259</v>
      </c>
      <c r="B3165" s="8" t="str">
        <f>HYPERLINK("https://twitter.com/wni_jmsri","@wni_jmsri")</f>
        <v>@wni_jmsri</v>
      </c>
      <c r="C3165" s="8" t="s">
        <v>1787</v>
      </c>
      <c r="D3165" s="8">
        <v>4090</v>
      </c>
      <c r="E3165" s="8">
        <v>0</v>
      </c>
      <c r="F3165" s="8">
        <v>202</v>
      </c>
    </row>
    <row r="3166" spans="1:6" ht="12.75">
      <c r="A3166" s="8">
        <v>43903.691770833335</v>
      </c>
      <c r="B3166" s="8" t="str">
        <f>HYPERLINK("https://twitter.com/djadasjah","@djadasjah")</f>
        <v>@djadasjah</v>
      </c>
      <c r="C3166" s="8" t="s">
        <v>1358</v>
      </c>
      <c r="D3166" s="8">
        <v>16</v>
      </c>
      <c r="E3166" s="8">
        <v>0</v>
      </c>
      <c r="F3166" s="8">
        <v>538</v>
      </c>
    </row>
    <row r="3167" spans="1:6" ht="12.75">
      <c r="A3167" s="8">
        <v>43903.691481481481</v>
      </c>
      <c r="B3167" s="8" t="str">
        <f>HYPERLINK("https://twitter.com/topinfo_id","@topinfo_id")</f>
        <v>@topinfo_id</v>
      </c>
      <c r="C3167" s="8" t="s">
        <v>1788</v>
      </c>
      <c r="D3167" s="8">
        <v>0</v>
      </c>
      <c r="E3167" s="8">
        <v>0</v>
      </c>
      <c r="F3167" s="8">
        <v>105</v>
      </c>
    </row>
    <row r="3168" spans="1:6" ht="12.75">
      <c r="A3168" s="8">
        <v>43903.691458333335</v>
      </c>
      <c r="B3168" s="8" t="str">
        <f>HYPERLINK("https://twitter.com/angelmaximilan","@angelmaximilan")</f>
        <v>@angelmaximilan</v>
      </c>
      <c r="C3168" s="8" t="s">
        <v>353</v>
      </c>
      <c r="D3168" s="8">
        <v>91</v>
      </c>
      <c r="E3168" s="8">
        <v>0</v>
      </c>
      <c r="F3168" s="8">
        <v>6481</v>
      </c>
    </row>
    <row r="3169" spans="1:6" ht="12.75">
      <c r="A3169" s="8">
        <v>43903.690752314811</v>
      </c>
      <c r="B3169" s="8" t="str">
        <f>HYPERLINK("https://twitter.com/ANTARABengkulu","@ANTARABengkulu")</f>
        <v>@ANTARABengkulu</v>
      </c>
      <c r="C3169" s="8" t="s">
        <v>1789</v>
      </c>
      <c r="D3169" s="8">
        <v>0</v>
      </c>
      <c r="E3169" s="8">
        <v>0</v>
      </c>
      <c r="F3169" s="8">
        <v>2129</v>
      </c>
    </row>
    <row r="3170" spans="1:6" ht="12.75">
      <c r="A3170" s="8">
        <v>43903.69027777778</v>
      </c>
      <c r="B3170" s="8" t="str">
        <f>HYPERLINK("https://twitter.com/dolcemaria738","@dolcemaria738")</f>
        <v>@dolcemaria738</v>
      </c>
      <c r="C3170" s="8" t="s">
        <v>1491</v>
      </c>
      <c r="D3170" s="8">
        <v>37</v>
      </c>
      <c r="E3170" s="8">
        <v>0</v>
      </c>
      <c r="F3170" s="8">
        <v>230</v>
      </c>
    </row>
    <row r="3171" spans="1:6" ht="12.75">
      <c r="A3171" s="8">
        <v>43903.690243055556</v>
      </c>
      <c r="B3171" s="8" t="str">
        <f>HYPERLINK("https://twitter.com/Jaysyku","@Jaysyku")</f>
        <v>@Jaysyku</v>
      </c>
      <c r="C3171" s="8" t="s">
        <v>353</v>
      </c>
      <c r="D3171" s="8">
        <v>91</v>
      </c>
      <c r="E3171" s="8">
        <v>0</v>
      </c>
      <c r="F3171" s="8">
        <v>254</v>
      </c>
    </row>
    <row r="3172" spans="1:6" ht="12.75">
      <c r="A3172" s="8">
        <v>43903.689317129625</v>
      </c>
      <c r="B3172" s="8" t="str">
        <f>HYPERLINK("https://twitter.com/Rani_Reviana2","@Rani_Reviana2")</f>
        <v>@Rani_Reviana2</v>
      </c>
      <c r="C3172" s="8" t="s">
        <v>1790</v>
      </c>
      <c r="D3172" s="8">
        <v>0</v>
      </c>
      <c r="E3172" s="8">
        <v>0</v>
      </c>
      <c r="F3172" s="8">
        <v>120</v>
      </c>
    </row>
    <row r="3173" spans="1:6" ht="12.75">
      <c r="A3173" s="8">
        <v>43903.688912037032</v>
      </c>
      <c r="B3173" s="8" t="str">
        <f>HYPERLINK("https://twitter.com/cranberiesh","@cranberiesh")</f>
        <v>@cranberiesh</v>
      </c>
      <c r="C3173" s="8" t="s">
        <v>1791</v>
      </c>
      <c r="D3173" s="8">
        <v>0</v>
      </c>
      <c r="E3173" s="8">
        <v>0</v>
      </c>
      <c r="F3173" s="8">
        <v>3808</v>
      </c>
    </row>
    <row r="3174" spans="1:6" ht="12.75">
      <c r="A3174" s="8">
        <v>43903.68886574074</v>
      </c>
      <c r="B3174" s="8" t="str">
        <f>HYPERLINK("https://twitter.com/brongkosh","@brongkosh")</f>
        <v>@brongkosh</v>
      </c>
      <c r="C3174" s="8" t="s">
        <v>1792</v>
      </c>
      <c r="D3174" s="8">
        <v>0</v>
      </c>
      <c r="E3174" s="8">
        <v>0</v>
      </c>
      <c r="F3174" s="8">
        <v>222</v>
      </c>
    </row>
    <row r="3175" spans="1:6" ht="12.75">
      <c r="A3175" s="8">
        <v>43903.688414351855</v>
      </c>
      <c r="B3175" s="8" t="str">
        <f>HYPERLINK("https://twitter.com/DevinRmd","@DevinRmd")</f>
        <v>@DevinRmd</v>
      </c>
      <c r="C3175" s="8" t="s">
        <v>1358</v>
      </c>
      <c r="D3175" s="8">
        <v>16</v>
      </c>
      <c r="E3175" s="8">
        <v>0</v>
      </c>
      <c r="F3175" s="8">
        <v>914</v>
      </c>
    </row>
    <row r="3176" spans="1:6" ht="12.75">
      <c r="A3176" s="8">
        <v>43903.688414351855</v>
      </c>
      <c r="B3176" s="8" t="str">
        <f>HYPERLINK("https://twitter.com/kojiho3","@kojiho3")</f>
        <v>@kojiho3</v>
      </c>
      <c r="C3176" s="8" t="s">
        <v>1758</v>
      </c>
      <c r="D3176" s="8">
        <v>112</v>
      </c>
      <c r="E3176" s="8">
        <v>0</v>
      </c>
      <c r="F3176" s="8">
        <v>310</v>
      </c>
    </row>
    <row r="3177" spans="1:6" ht="12.75">
      <c r="A3177" s="8">
        <v>43903.687893518523</v>
      </c>
      <c r="B3177" s="8" t="str">
        <f>HYPERLINK("https://twitter.com/haqi11official","@haqi11official")</f>
        <v>@haqi11official</v>
      </c>
      <c r="C3177" s="8" t="s">
        <v>1577</v>
      </c>
      <c r="D3177" s="8">
        <v>5</v>
      </c>
      <c r="E3177" s="8">
        <v>0</v>
      </c>
      <c r="F3177" s="8">
        <v>509</v>
      </c>
    </row>
    <row r="3178" spans="1:6" ht="12.75">
      <c r="A3178" s="8">
        <v>43903.6878587963</v>
      </c>
      <c r="B3178" s="8" t="str">
        <f>HYPERLINK("https://twitter.com/jjsengui","@jjsengui")</f>
        <v>@jjsengui</v>
      </c>
      <c r="C3178" s="8" t="s">
        <v>925</v>
      </c>
      <c r="D3178" s="8">
        <v>146</v>
      </c>
      <c r="E3178" s="8">
        <v>0</v>
      </c>
      <c r="F3178" s="8">
        <v>899</v>
      </c>
    </row>
    <row r="3179" spans="1:6" ht="12.75">
      <c r="A3179" s="8">
        <v>43903.687835648147</v>
      </c>
      <c r="B3179" s="8" t="str">
        <f>HYPERLINK("https://twitter.com/fatehahhsalim","@fatehahhsalim")</f>
        <v>@fatehahhsalim</v>
      </c>
      <c r="C3179" s="8" t="s">
        <v>1793</v>
      </c>
      <c r="D3179" s="8">
        <v>0</v>
      </c>
      <c r="E3179" s="8">
        <v>1</v>
      </c>
      <c r="F3179" s="8">
        <v>200</v>
      </c>
    </row>
    <row r="3180" spans="1:6" ht="12.75">
      <c r="A3180" s="8">
        <v>43903.687731481477</v>
      </c>
      <c r="B3180" s="8" t="str">
        <f>HYPERLINK("https://twitter.com/Ekosaputra1Doni","@Ekosaputra1Doni")</f>
        <v>@Ekosaputra1Doni</v>
      </c>
      <c r="C3180" s="8" t="s">
        <v>289</v>
      </c>
      <c r="D3180" s="8">
        <v>121</v>
      </c>
      <c r="E3180" s="8">
        <v>0</v>
      </c>
      <c r="F3180" s="8">
        <v>608</v>
      </c>
    </row>
    <row r="3181" spans="1:6" ht="12.75">
      <c r="A3181" s="8">
        <v>43903.687581018516</v>
      </c>
      <c r="B3181" s="8" t="str">
        <f>HYPERLINK("https://twitter.com/topinfo_id","@topinfo_id")</f>
        <v>@topinfo_id</v>
      </c>
      <c r="C3181" s="8" t="s">
        <v>1788</v>
      </c>
      <c r="D3181" s="8">
        <v>0</v>
      </c>
      <c r="E3181" s="8">
        <v>0</v>
      </c>
      <c r="F3181" s="8">
        <v>105</v>
      </c>
    </row>
    <row r="3182" spans="1:6" ht="12.75">
      <c r="A3182" s="8">
        <v>43903.6875</v>
      </c>
      <c r="B3182" s="8" t="str">
        <f>HYPERLINK("https://twitter.com/JusDURIANs","@JusDURIANs")</f>
        <v>@JusDURIANs</v>
      </c>
      <c r="C3182" s="8" t="s">
        <v>1794</v>
      </c>
      <c r="D3182" s="8">
        <v>0</v>
      </c>
      <c r="E3182" s="8">
        <v>0</v>
      </c>
      <c r="F3182" s="8">
        <v>50</v>
      </c>
    </row>
    <row r="3183" spans="1:6" ht="12.75">
      <c r="A3183" s="8">
        <v>43903.68748842593</v>
      </c>
      <c r="B3183" s="8" t="str">
        <f>HYPERLINK("https://twitter.com/NKRI__17","@NKRI__17")</f>
        <v>@NKRI__17</v>
      </c>
      <c r="C3183" s="8" t="s">
        <v>874</v>
      </c>
      <c r="D3183" s="8">
        <v>47</v>
      </c>
      <c r="E3183" s="8">
        <v>0</v>
      </c>
      <c r="F3183" s="8">
        <v>252</v>
      </c>
    </row>
    <row r="3184" spans="1:6" ht="12.75">
      <c r="A3184" s="8">
        <v>43903.686851851853</v>
      </c>
      <c r="B3184" s="8" t="str">
        <f>HYPERLINK("https://twitter.com/dians1","@dians1")</f>
        <v>@dians1</v>
      </c>
      <c r="C3184" s="8" t="s">
        <v>1488</v>
      </c>
      <c r="D3184" s="8">
        <v>13</v>
      </c>
      <c r="E3184" s="8">
        <v>0</v>
      </c>
      <c r="F3184" s="8">
        <v>438</v>
      </c>
    </row>
    <row r="3185" spans="1:6" ht="12.75">
      <c r="A3185" s="8">
        <v>43903.686701388884</v>
      </c>
      <c r="B3185" s="8" t="str">
        <f>HYPERLINK("https://twitter.com/Av1Dlm","@Av1Dlm")</f>
        <v>@Av1Dlm</v>
      </c>
      <c r="C3185" s="8" t="s">
        <v>353</v>
      </c>
      <c r="D3185" s="8">
        <v>91</v>
      </c>
      <c r="E3185" s="8">
        <v>0</v>
      </c>
      <c r="F3185" s="8">
        <v>320</v>
      </c>
    </row>
    <row r="3186" spans="1:6" ht="12.75">
      <c r="A3186" s="8">
        <v>43903.68649305556</v>
      </c>
      <c r="B3186" s="8" t="str">
        <f>HYPERLINK("https://twitter.com/Tribun_Solo","@Tribun_Solo")</f>
        <v>@Tribun_Solo</v>
      </c>
      <c r="C3186" s="8" t="s">
        <v>1795</v>
      </c>
      <c r="D3186" s="8">
        <v>0</v>
      </c>
      <c r="E3186" s="8">
        <v>0</v>
      </c>
      <c r="F3186" s="8">
        <v>2224</v>
      </c>
    </row>
    <row r="3187" spans="1:6" ht="12.75">
      <c r="A3187" s="8">
        <v>43903.68613425926</v>
      </c>
      <c r="B3187" s="8" t="str">
        <f>HYPERLINK("https://twitter.com/JusDURIANs","@JusDURIANs")</f>
        <v>@JusDURIANs</v>
      </c>
      <c r="C3187" s="8" t="s">
        <v>1796</v>
      </c>
      <c r="D3187" s="8">
        <v>0</v>
      </c>
      <c r="E3187" s="8">
        <v>0</v>
      </c>
      <c r="F3187" s="8">
        <v>50</v>
      </c>
    </row>
    <row r="3188" spans="1:6" ht="12.75">
      <c r="A3188" s="8">
        <v>43903.685601851852</v>
      </c>
      <c r="B3188" s="8" t="str">
        <f>HYPERLINK("https://twitter.com/PPI_Montasik","@PPI_Montasik")</f>
        <v>@PPI_Montasik</v>
      </c>
      <c r="C3188" s="8" t="s">
        <v>1454</v>
      </c>
      <c r="D3188" s="8">
        <v>12</v>
      </c>
      <c r="E3188" s="8">
        <v>0</v>
      </c>
      <c r="F3188" s="8">
        <v>716</v>
      </c>
    </row>
    <row r="3189" spans="1:6" ht="12.75">
      <c r="A3189" s="8">
        <v>43903.685381944444</v>
      </c>
      <c r="B3189" s="8" t="str">
        <f>HYPERLINK("https://twitter.com/becak125cc","@becak125cc")</f>
        <v>@becak125cc</v>
      </c>
      <c r="C3189" s="8" t="s">
        <v>353</v>
      </c>
      <c r="D3189" s="8">
        <v>91</v>
      </c>
      <c r="E3189" s="8">
        <v>0</v>
      </c>
      <c r="F3189" s="8">
        <v>575</v>
      </c>
    </row>
    <row r="3190" spans="1:6" ht="12.75">
      <c r="A3190" s="8">
        <v>43903.685289351852</v>
      </c>
      <c r="B3190" s="8" t="str">
        <f>HYPERLINK("https://twitter.com/prmstay","@prmstay")</f>
        <v>@prmstay</v>
      </c>
      <c r="C3190" s="8" t="s">
        <v>1797</v>
      </c>
      <c r="D3190" s="8">
        <v>0</v>
      </c>
      <c r="E3190" s="8">
        <v>0</v>
      </c>
      <c r="F3190" s="8">
        <v>3791</v>
      </c>
    </row>
    <row r="3191" spans="1:6" ht="12.75">
      <c r="A3191" s="8">
        <v>43903.685069444444</v>
      </c>
      <c r="B3191" s="8" t="str">
        <f>HYPERLINK("https://twitter.com/AgustNardy","@AgustNardy")</f>
        <v>@AgustNardy</v>
      </c>
      <c r="C3191" s="8" t="s">
        <v>1798</v>
      </c>
      <c r="D3191" s="8">
        <v>1</v>
      </c>
      <c r="E3191" s="8">
        <v>0</v>
      </c>
      <c r="F3191" s="8">
        <v>129</v>
      </c>
    </row>
    <row r="3192" spans="1:6" ht="12.75">
      <c r="A3192" s="8">
        <v>43903.68472222222</v>
      </c>
      <c r="B3192" s="8" t="str">
        <f>HYPERLINK("https://twitter.com/abcd2878","@abcd2878")</f>
        <v>@abcd2878</v>
      </c>
      <c r="C3192" s="8" t="s">
        <v>1577</v>
      </c>
      <c r="D3192" s="8">
        <v>5</v>
      </c>
      <c r="E3192" s="8">
        <v>0</v>
      </c>
      <c r="F3192" s="8">
        <v>144</v>
      </c>
    </row>
    <row r="3193" spans="1:6" ht="12.75">
      <c r="A3193" s="8">
        <v>43903.684062500004</v>
      </c>
      <c r="B3193" s="8" t="str">
        <f>HYPERLINK("https://twitter.com/kinderrry","@kinderrry")</f>
        <v>@kinderrry</v>
      </c>
      <c r="C3193" s="8" t="s">
        <v>1799</v>
      </c>
      <c r="D3193" s="8">
        <v>0</v>
      </c>
      <c r="E3193" s="8">
        <v>0</v>
      </c>
      <c r="F3193" s="8">
        <v>2383</v>
      </c>
    </row>
    <row r="3194" spans="1:6" ht="12.75">
      <c r="A3194" s="8">
        <v>43903.68368055555</v>
      </c>
      <c r="B3194" s="8" t="str">
        <f>HYPERLINK("https://twitter.com/amdfzi2915","@amdfzi2915")</f>
        <v>@amdfzi2915</v>
      </c>
      <c r="C3194" s="8" t="s">
        <v>925</v>
      </c>
      <c r="D3194" s="8">
        <v>146</v>
      </c>
      <c r="E3194" s="8">
        <v>0</v>
      </c>
      <c r="F3194" s="8">
        <v>455</v>
      </c>
    </row>
    <row r="3195" spans="1:6" ht="12.75">
      <c r="A3195" s="8">
        <v>43903.683634259258</v>
      </c>
      <c r="B3195" s="8" t="str">
        <f>HYPERLINK("https://twitter.com/Ayasurya17","@Ayasurya17")</f>
        <v>@Ayasurya17</v>
      </c>
      <c r="C3195" s="8" t="s">
        <v>1800</v>
      </c>
      <c r="D3195" s="8">
        <v>79</v>
      </c>
      <c r="E3195" s="8">
        <v>0</v>
      </c>
      <c r="F3195" s="8">
        <v>1</v>
      </c>
    </row>
    <row r="3196" spans="1:6" ht="12.75">
      <c r="A3196" s="8">
        <v>43903.683564814812</v>
      </c>
      <c r="B3196" s="8" t="str">
        <f>HYPERLINK("https://twitter.com/Rifal1989","@Rifal1989")</f>
        <v>@Rifal1989</v>
      </c>
      <c r="C3196" s="8" t="s">
        <v>925</v>
      </c>
      <c r="D3196" s="8">
        <v>146</v>
      </c>
      <c r="E3196" s="8">
        <v>0</v>
      </c>
      <c r="F3196" s="8">
        <v>503</v>
      </c>
    </row>
    <row r="3197" spans="1:6" ht="12.75">
      <c r="A3197" s="8">
        <v>43903.683055555557</v>
      </c>
      <c r="B3197" s="8" t="str">
        <f>HYPERLINK("https://twitter.com/YayukWa01806028","@YayukWa01806028")</f>
        <v>@YayukWa01806028</v>
      </c>
      <c r="C3197" s="8" t="s">
        <v>874</v>
      </c>
      <c r="D3197" s="8">
        <v>47</v>
      </c>
      <c r="E3197" s="8">
        <v>0</v>
      </c>
      <c r="F3197" s="8">
        <v>1132</v>
      </c>
    </row>
    <row r="3198" spans="1:6" ht="12.75">
      <c r="A3198" s="8">
        <v>43903.683055555557</v>
      </c>
      <c r="B3198" s="8" t="str">
        <f>HYPERLINK("https://twitter.com/FerryNLangelo","@FerryNLangelo")</f>
        <v>@FerryNLangelo</v>
      </c>
      <c r="C3198" s="8" t="s">
        <v>925</v>
      </c>
      <c r="D3198" s="8">
        <v>146</v>
      </c>
      <c r="E3198" s="8">
        <v>0</v>
      </c>
      <c r="F3198" s="8">
        <v>3806</v>
      </c>
    </row>
    <row r="3199" spans="1:6" ht="12.75">
      <c r="A3199" s="8">
        <v>43903.68277777778</v>
      </c>
      <c r="B3199" s="8" t="str">
        <f>HYPERLINK("https://twitter.com/suko_sahabat","@suko_sahabat")</f>
        <v>@suko_sahabat</v>
      </c>
      <c r="C3199" s="8" t="s">
        <v>587</v>
      </c>
      <c r="D3199" s="8">
        <v>27</v>
      </c>
      <c r="E3199" s="8">
        <v>0</v>
      </c>
      <c r="F3199" s="8">
        <v>337</v>
      </c>
    </row>
    <row r="3200" spans="1:6" ht="12.75">
      <c r="A3200" s="8">
        <v>43903.682384259257</v>
      </c>
      <c r="B3200" s="8" t="str">
        <f>HYPERLINK("https://twitter.com/paquitacumadebu","@paquitacumadebu")</f>
        <v>@paquitacumadebu</v>
      </c>
      <c r="C3200" s="8" t="s">
        <v>1801</v>
      </c>
      <c r="D3200" s="8">
        <v>357</v>
      </c>
      <c r="E3200" s="8">
        <v>0</v>
      </c>
      <c r="F3200" s="8">
        <v>1770</v>
      </c>
    </row>
    <row r="3201" spans="1:6" ht="12.75">
      <c r="A3201" s="8">
        <v>43903.681423611109</v>
      </c>
      <c r="B3201" s="8" t="str">
        <f>HYPERLINK("https://twitter.com/AlBanna57697952","@AlBanna57697952")</f>
        <v>@AlBanna57697952</v>
      </c>
      <c r="C3201" s="8" t="s">
        <v>925</v>
      </c>
      <c r="D3201" s="8">
        <v>146</v>
      </c>
      <c r="E3201" s="8">
        <v>0</v>
      </c>
      <c r="F3201" s="8">
        <v>66</v>
      </c>
    </row>
    <row r="3202" spans="1:6" ht="12.75">
      <c r="A3202" s="8">
        <v>43903.681192129632</v>
      </c>
      <c r="B3202" s="8" t="str">
        <f>HYPERLINK("https://twitter.com/sabda_revolusi","@sabda_revolusi")</f>
        <v>@sabda_revolusi</v>
      </c>
      <c r="C3202" s="8" t="s">
        <v>353</v>
      </c>
      <c r="D3202" s="8">
        <v>91</v>
      </c>
      <c r="E3202" s="8">
        <v>0</v>
      </c>
      <c r="F3202" s="8">
        <v>102</v>
      </c>
    </row>
    <row r="3203" spans="1:6" ht="12.75">
      <c r="A3203" s="8">
        <v>43903.680509259255</v>
      </c>
      <c r="B3203" s="8" t="str">
        <f>HYPERLINK("https://twitter.com/sugandhi_hendra","@sugandhi_hendra")</f>
        <v>@sugandhi_hendra</v>
      </c>
      <c r="C3203" s="8" t="s">
        <v>1802</v>
      </c>
      <c r="D3203" s="8">
        <v>1</v>
      </c>
      <c r="E3203" s="8">
        <v>1</v>
      </c>
      <c r="F3203" s="8">
        <v>220</v>
      </c>
    </row>
    <row r="3204" spans="1:6" ht="12.75">
      <c r="A3204" s="8">
        <v>43903.679907407408</v>
      </c>
      <c r="B3204" s="8" t="str">
        <f>HYPERLINK("https://twitter.com/AdnanDasuki99","@AdnanDasuki99")</f>
        <v>@AdnanDasuki99</v>
      </c>
      <c r="C3204" s="8" t="s">
        <v>1803</v>
      </c>
      <c r="D3204" s="8">
        <v>0</v>
      </c>
      <c r="E3204" s="8">
        <v>0</v>
      </c>
      <c r="F3204" s="8">
        <v>134</v>
      </c>
    </row>
    <row r="3205" spans="1:6" ht="12.75">
      <c r="A3205" s="8">
        <v>43903.679722222223</v>
      </c>
      <c r="B3205" s="8" t="str">
        <f>HYPERLINK("https://twitter.com/dendy_dun","@dendy_dun")</f>
        <v>@dendy_dun</v>
      </c>
      <c r="C3205" s="8" t="s">
        <v>1804</v>
      </c>
      <c r="D3205" s="8">
        <v>0</v>
      </c>
      <c r="E3205" s="8">
        <v>1</v>
      </c>
      <c r="F3205" s="8">
        <v>596</v>
      </c>
    </row>
    <row r="3206" spans="1:6" ht="12.75">
      <c r="A3206" s="8">
        <v>43903.679583333331</v>
      </c>
      <c r="B3206" s="8" t="str">
        <f>HYPERLINK("https://twitter.com/agus_faqih_h","@agus_faqih_h")</f>
        <v>@agus_faqih_h</v>
      </c>
      <c r="C3206" s="8" t="s">
        <v>1148</v>
      </c>
      <c r="D3206" s="8">
        <v>13</v>
      </c>
      <c r="E3206" s="8">
        <v>0</v>
      </c>
      <c r="F3206" s="8">
        <v>775</v>
      </c>
    </row>
    <row r="3207" spans="1:6" ht="12.75">
      <c r="A3207" s="8">
        <v>43903.679363425923</v>
      </c>
      <c r="B3207" s="8" t="str">
        <f>HYPERLINK("https://twitter.com/RyanDirhamsyah","@RyanDirhamsyah")</f>
        <v>@RyanDirhamsyah</v>
      </c>
      <c r="C3207" s="8" t="s">
        <v>587</v>
      </c>
      <c r="D3207" s="8">
        <v>27</v>
      </c>
      <c r="E3207" s="8">
        <v>0</v>
      </c>
      <c r="F3207" s="8">
        <v>1157</v>
      </c>
    </row>
    <row r="3208" spans="1:6" ht="12.75">
      <c r="A3208" s="8">
        <v>43903.6721875</v>
      </c>
      <c r="B3208" s="8" t="str">
        <f>HYPERLINK("https://twitter.com/justubay","@justubay")</f>
        <v>@justubay</v>
      </c>
      <c r="C3208" s="8" t="s">
        <v>1805</v>
      </c>
      <c r="D3208" s="8">
        <v>0</v>
      </c>
      <c r="E3208" s="8">
        <v>0</v>
      </c>
      <c r="F3208" s="8">
        <v>539</v>
      </c>
    </row>
    <row r="3209" spans="1:6" ht="12.75">
      <c r="A3209" s="8">
        <v>43903.672048611115</v>
      </c>
      <c r="B3209" s="8" t="str">
        <f>HYPERLINK("https://twitter.com/anastasiaera093","@anastasiaera093")</f>
        <v>@anastasiaera093</v>
      </c>
      <c r="C3209" s="8" t="s">
        <v>1806</v>
      </c>
      <c r="D3209" s="8">
        <v>0</v>
      </c>
      <c r="E3209" s="8">
        <v>0</v>
      </c>
      <c r="F3209" s="8">
        <v>36</v>
      </c>
    </row>
    <row r="3210" spans="1:6" ht="12.75">
      <c r="A3210" s="8">
        <v>43903.672048611115</v>
      </c>
      <c r="B3210" s="8" t="str">
        <f>HYPERLINK("https://twitter.com/zulfafarhaana","@zulfafarhaana")</f>
        <v>@zulfafarhaana</v>
      </c>
      <c r="C3210" s="8" t="s">
        <v>440</v>
      </c>
      <c r="D3210" s="8">
        <v>158</v>
      </c>
      <c r="E3210" s="8">
        <v>0</v>
      </c>
      <c r="F3210" s="8">
        <v>823</v>
      </c>
    </row>
    <row r="3211" spans="1:6" ht="12.75">
      <c r="A3211" s="8">
        <v>43903.672048611115</v>
      </c>
      <c r="B3211" s="8" t="str">
        <f>HYPERLINK("https://twitter.com/JunPermana","@JunPermana")</f>
        <v>@JunPermana</v>
      </c>
      <c r="C3211" s="8" t="s">
        <v>587</v>
      </c>
      <c r="D3211" s="8">
        <v>23</v>
      </c>
      <c r="E3211" s="8">
        <v>0</v>
      </c>
      <c r="F3211" s="8">
        <v>322</v>
      </c>
    </row>
    <row r="3212" spans="1:6" ht="12.75">
      <c r="A3212" s="8">
        <v>43903.671944444446</v>
      </c>
      <c r="B3212" s="8" t="str">
        <f>HYPERLINK("https://twitter.com/rajarama_m","@rajarama_m")</f>
        <v>@rajarama_m</v>
      </c>
      <c r="C3212" s="8" t="s">
        <v>1195</v>
      </c>
      <c r="D3212" s="8">
        <v>2610</v>
      </c>
      <c r="E3212" s="8">
        <v>0</v>
      </c>
      <c r="F3212" s="8">
        <v>351</v>
      </c>
    </row>
    <row r="3213" spans="1:6" ht="12.75">
      <c r="A3213" s="8">
        <v>43903.671921296293</v>
      </c>
      <c r="B3213" s="8" t="str">
        <f>HYPERLINK("https://twitter.com/Beritabaruco","@Beritabaruco")</f>
        <v>@Beritabaruco</v>
      </c>
      <c r="C3213" s="8" t="s">
        <v>1807</v>
      </c>
      <c r="D3213" s="8">
        <v>0</v>
      </c>
      <c r="E3213" s="8">
        <v>0</v>
      </c>
      <c r="F3213" s="8">
        <v>194</v>
      </c>
    </row>
    <row r="3214" spans="1:6" ht="12.75">
      <c r="A3214" s="8">
        <v>43903.67186342593</v>
      </c>
      <c r="B3214" s="8" t="str">
        <f>HYPERLINK("https://twitter.com/rajarama_m","@rajarama_m")</f>
        <v>@rajarama_m</v>
      </c>
      <c r="C3214" s="8" t="s">
        <v>1808</v>
      </c>
      <c r="D3214" s="8">
        <v>948</v>
      </c>
      <c r="E3214" s="8">
        <v>0</v>
      </c>
      <c r="F3214" s="8">
        <v>351</v>
      </c>
    </row>
    <row r="3215" spans="1:6" ht="12.75">
      <c r="A3215" s="8">
        <v>43903.671840277777</v>
      </c>
      <c r="B3215" s="8" t="str">
        <f>HYPERLINK("https://twitter.com/curio_cherry","@curio_cherry")</f>
        <v>@curio_cherry</v>
      </c>
      <c r="C3215" s="8" t="s">
        <v>1744</v>
      </c>
      <c r="D3215" s="8">
        <v>10</v>
      </c>
      <c r="E3215" s="8">
        <v>0</v>
      </c>
      <c r="F3215" s="8">
        <v>271</v>
      </c>
    </row>
    <row r="3216" spans="1:6" ht="12.75">
      <c r="A3216" s="8">
        <v>43903.671782407408</v>
      </c>
      <c r="B3216" s="8" t="str">
        <f>HYPERLINK("https://twitter.com/Irawanthea","@Irawanthea")</f>
        <v>@Irawanthea</v>
      </c>
      <c r="C3216" s="8" t="s">
        <v>1809</v>
      </c>
      <c r="D3216" s="8">
        <v>5</v>
      </c>
      <c r="E3216" s="8">
        <v>0</v>
      </c>
      <c r="F3216" s="8">
        <v>2044</v>
      </c>
    </row>
    <row r="3217" spans="1:6" ht="12.75">
      <c r="A3217" s="8">
        <v>43903.671770833331</v>
      </c>
      <c r="B3217" s="8" t="str">
        <f>HYPERLINK("https://twitter.com/SifatDuniawi","@SifatDuniawi")</f>
        <v>@SifatDuniawi</v>
      </c>
      <c r="C3217" s="8" t="s">
        <v>1744</v>
      </c>
      <c r="D3217" s="8">
        <v>10</v>
      </c>
      <c r="E3217" s="8">
        <v>0</v>
      </c>
      <c r="F3217" s="8">
        <v>386</v>
      </c>
    </row>
    <row r="3218" spans="1:6" ht="12.75">
      <c r="A3218" s="8">
        <v>43903.671678240746</v>
      </c>
      <c r="B3218" s="8" t="str">
        <f>HYPERLINK("https://twitter.com/Irawanthea","@Irawanthea")</f>
        <v>@Irawanthea</v>
      </c>
      <c r="C3218" s="8" t="s">
        <v>1810</v>
      </c>
      <c r="D3218" s="8">
        <v>5</v>
      </c>
      <c r="E3218" s="8">
        <v>0</v>
      </c>
      <c r="F3218" s="8">
        <v>2044</v>
      </c>
    </row>
    <row r="3219" spans="1:6" ht="12.75">
      <c r="A3219" s="8">
        <v>43903.671527777777</v>
      </c>
      <c r="B3219" s="8" t="str">
        <f>HYPERLINK("https://twitter.com/hidupnanindah","@hidupnanindah")</f>
        <v>@hidupnanindah</v>
      </c>
      <c r="C3219" s="8" t="s">
        <v>1811</v>
      </c>
      <c r="D3219" s="8">
        <v>0</v>
      </c>
      <c r="E3219" s="8">
        <v>0</v>
      </c>
      <c r="F3219" s="8">
        <v>14958</v>
      </c>
    </row>
    <row r="3220" spans="1:6" ht="12.75">
      <c r="A3220" s="8">
        <v>43903.671342592592</v>
      </c>
      <c r="B3220" s="8" t="str">
        <f>HYPERLINK("https://twitter.com/Irawanthea","@Irawanthea")</f>
        <v>@Irawanthea</v>
      </c>
      <c r="C3220" s="8" t="s">
        <v>774</v>
      </c>
      <c r="D3220" s="8">
        <v>9</v>
      </c>
      <c r="E3220" s="8">
        <v>0</v>
      </c>
      <c r="F3220" s="8">
        <v>2044</v>
      </c>
    </row>
    <row r="3221" spans="1:6" ht="12.75">
      <c r="A3221" s="8">
        <v>43903.671226851853</v>
      </c>
      <c r="B3221" s="8" t="str">
        <f>HYPERLINK("https://twitter.com/topinfo_id","@topinfo_id")</f>
        <v>@topinfo_id</v>
      </c>
      <c r="C3221" s="8" t="s">
        <v>1812</v>
      </c>
      <c r="D3221" s="8">
        <v>0</v>
      </c>
      <c r="E3221" s="8">
        <v>0</v>
      </c>
      <c r="F3221" s="8">
        <v>105</v>
      </c>
    </row>
    <row r="3222" spans="1:6" ht="12.75">
      <c r="A3222" s="8">
        <v>43903.670937499999</v>
      </c>
      <c r="B3222" s="8" t="str">
        <f>HYPERLINK("https://twitter.com/bakaaaa_anego","@bakaaaa_anego")</f>
        <v>@bakaaaa_anego</v>
      </c>
      <c r="C3222" s="8" t="s">
        <v>1784</v>
      </c>
      <c r="D3222" s="8">
        <v>9</v>
      </c>
      <c r="E3222" s="8">
        <v>0</v>
      </c>
      <c r="F3222" s="8">
        <v>78</v>
      </c>
    </row>
    <row r="3223" spans="1:6" ht="12.75">
      <c r="A3223" s="8">
        <v>43903.670694444445</v>
      </c>
      <c r="B3223" s="8" t="str">
        <f>HYPERLINK("https://twitter.com/SyaefullahHamid","@SyaefullahHamid")</f>
        <v>@SyaefullahHamid</v>
      </c>
      <c r="C3223" s="8" t="s">
        <v>1813</v>
      </c>
      <c r="D3223" s="8">
        <v>0</v>
      </c>
      <c r="E3223" s="8">
        <v>0</v>
      </c>
      <c r="F3223" s="8">
        <v>944</v>
      </c>
    </row>
    <row r="3224" spans="1:6" ht="12.75">
      <c r="A3224" s="8">
        <v>43903.670381944445</v>
      </c>
      <c r="B3224" s="8" t="str">
        <f>HYPERLINK("https://twitter.com/heysonsin","@heysonsin")</f>
        <v>@heysonsin</v>
      </c>
      <c r="C3224" s="8" t="s">
        <v>1744</v>
      </c>
      <c r="D3224" s="8">
        <v>10</v>
      </c>
      <c r="E3224" s="8">
        <v>0</v>
      </c>
      <c r="F3224" s="8">
        <v>202</v>
      </c>
    </row>
    <row r="3225" spans="1:6" ht="12.75">
      <c r="A3225" s="8">
        <v>43903.669618055559</v>
      </c>
      <c r="B3225" s="8" t="str">
        <f>HYPERLINK("https://twitter.com/SpaceofBella","@SpaceofBella")</f>
        <v>@SpaceofBella</v>
      </c>
      <c r="C3225" s="8" t="s">
        <v>1814</v>
      </c>
      <c r="D3225" s="8">
        <v>0</v>
      </c>
      <c r="E3225" s="8">
        <v>0</v>
      </c>
      <c r="F3225" s="8">
        <v>117</v>
      </c>
    </row>
    <row r="3226" spans="1:6" ht="12.75">
      <c r="A3226" s="8">
        <v>43903.669606481482</v>
      </c>
      <c r="B3226" s="8" t="str">
        <f>HYPERLINK("https://twitter.com/kusnandarpc","@kusnandarpc")</f>
        <v>@kusnandarpc</v>
      </c>
      <c r="C3226" s="8" t="s">
        <v>1815</v>
      </c>
      <c r="D3226" s="8">
        <v>0</v>
      </c>
      <c r="E3226" s="8">
        <v>0</v>
      </c>
      <c r="F3226" s="8">
        <v>174</v>
      </c>
    </row>
    <row r="3227" spans="1:6" ht="12.75">
      <c r="A3227" s="8">
        <v>43903.668425925927</v>
      </c>
      <c r="B3227" s="8" t="str">
        <f>HYPERLINK("https://twitter.com/ambargedon","@ambargedon")</f>
        <v>@ambargedon</v>
      </c>
      <c r="C3227" s="8" t="s">
        <v>1816</v>
      </c>
      <c r="D3227" s="8">
        <v>0</v>
      </c>
      <c r="E3227" s="8">
        <v>1</v>
      </c>
      <c r="F3227" s="8">
        <v>317</v>
      </c>
    </row>
    <row r="3228" spans="1:6" ht="12.75">
      <c r="A3228" s="8">
        <v>43903.66788194445</v>
      </c>
      <c r="B3228" s="8" t="str">
        <f>HYPERLINK("https://twitter.com/Lizalarilari","@Lizalarilari")</f>
        <v>@Lizalarilari</v>
      </c>
      <c r="C3228" s="8" t="s">
        <v>1744</v>
      </c>
      <c r="D3228" s="8">
        <v>10</v>
      </c>
      <c r="E3228" s="8">
        <v>0</v>
      </c>
      <c r="F3228" s="8">
        <v>17</v>
      </c>
    </row>
    <row r="3229" spans="1:6" ht="12.75">
      <c r="A3229" s="8">
        <v>43903.667708333334</v>
      </c>
      <c r="B3229" s="8" t="str">
        <f>HYPERLINK("https://twitter.com/ewin8923","@ewin8923")</f>
        <v>@ewin8923</v>
      </c>
      <c r="C3229" s="8" t="s">
        <v>353</v>
      </c>
      <c r="D3229" s="8">
        <v>78</v>
      </c>
      <c r="E3229" s="8">
        <v>0</v>
      </c>
      <c r="F3229" s="8">
        <v>1055</v>
      </c>
    </row>
    <row r="3230" spans="1:6" ht="12.75">
      <c r="A3230" s="8">
        <v>43903.667048611111</v>
      </c>
      <c r="B3230" s="8" t="str">
        <f>HYPERLINK("https://twitter.com/AisSyariif","@AisSyariif")</f>
        <v>@AisSyariif</v>
      </c>
      <c r="C3230" s="8" t="s">
        <v>925</v>
      </c>
      <c r="D3230" s="8">
        <v>134</v>
      </c>
      <c r="E3230" s="8">
        <v>0</v>
      </c>
      <c r="F3230" s="8">
        <v>872</v>
      </c>
    </row>
    <row r="3231" spans="1:6" ht="12.75">
      <c r="A3231" s="8">
        <v>43903.667002314818</v>
      </c>
      <c r="B3231" s="8" t="str">
        <f>HYPERLINK("https://twitter.com/kbrihelsinki","@kbrihelsinki")</f>
        <v>@kbrihelsinki</v>
      </c>
      <c r="C3231" s="8" t="s">
        <v>1580</v>
      </c>
      <c r="D3231" s="8">
        <v>0</v>
      </c>
      <c r="E3231" s="8">
        <v>0</v>
      </c>
      <c r="F3231" s="8">
        <v>356</v>
      </c>
    </row>
    <row r="3232" spans="1:6" ht="12.75">
      <c r="A3232" s="8">
        <v>43903.66684027778</v>
      </c>
      <c r="B3232" s="8" t="str">
        <f>HYPERLINK("https://twitter.com/SIAAGA1","@SIAAGA1")</f>
        <v>@SIAAGA1</v>
      </c>
      <c r="C3232" s="8" t="s">
        <v>1817</v>
      </c>
      <c r="D3232" s="8">
        <v>2</v>
      </c>
      <c r="E3232" s="8">
        <v>0</v>
      </c>
      <c r="F3232" s="8">
        <v>68</v>
      </c>
    </row>
    <row r="3233" spans="1:6" ht="12.75">
      <c r="A3233" s="8">
        <v>43903.666805555556</v>
      </c>
      <c r="B3233" s="8" t="str">
        <f>HYPERLINK("https://twitter.com/alineadotid","@alineadotid")</f>
        <v>@alineadotid</v>
      </c>
      <c r="C3233" s="8" t="s">
        <v>1818</v>
      </c>
      <c r="D3233" s="8">
        <v>0</v>
      </c>
      <c r="E3233" s="8">
        <v>0</v>
      </c>
      <c r="F3233" s="8">
        <v>611402</v>
      </c>
    </row>
    <row r="3234" spans="1:6" ht="12.75">
      <c r="A3234" s="8">
        <v>43903.666643518518</v>
      </c>
      <c r="B3234" s="8" t="str">
        <f>HYPERLINK("https://twitter.com/ShamesSpoke","@ShamesSpoke")</f>
        <v>@ShamesSpoke</v>
      </c>
      <c r="C3234" s="8" t="s">
        <v>1195</v>
      </c>
      <c r="D3234" s="8">
        <v>2610</v>
      </c>
      <c r="E3234" s="8">
        <v>0</v>
      </c>
      <c r="F3234" s="8">
        <v>1401</v>
      </c>
    </row>
    <row r="3235" spans="1:6" ht="12.75">
      <c r="A3235" s="8">
        <v>43903.666527777779</v>
      </c>
      <c r="B3235" s="8" t="str">
        <f>HYPERLINK("https://twitter.com/labanux","@labanux")</f>
        <v>@labanux</v>
      </c>
      <c r="C3235" s="8" t="s">
        <v>1819</v>
      </c>
      <c r="D3235" s="8">
        <v>0</v>
      </c>
      <c r="E3235" s="8">
        <v>0</v>
      </c>
      <c r="F3235" s="8">
        <v>1328</v>
      </c>
    </row>
    <row r="3236" spans="1:6" ht="12.75">
      <c r="A3236" s="8">
        <v>43903.666226851856</v>
      </c>
      <c r="B3236" s="8" t="str">
        <f>HYPERLINK("https://twitter.com/bocoranmaster","@bocoranmaster")</f>
        <v>@bocoranmaster</v>
      </c>
      <c r="C3236" s="8" t="s">
        <v>1788</v>
      </c>
      <c r="D3236" s="8">
        <v>0</v>
      </c>
      <c r="E3236" s="8">
        <v>0</v>
      </c>
      <c r="F3236" s="8">
        <v>90</v>
      </c>
    </row>
    <row r="3237" spans="1:6" ht="12.75">
      <c r="A3237" s="8">
        <v>43903.666041666671</v>
      </c>
      <c r="B3237" s="8" t="str">
        <f>HYPERLINK("https://twitter.com/samoelli","@samoelli")</f>
        <v>@samoelli</v>
      </c>
      <c r="C3237" s="8" t="s">
        <v>587</v>
      </c>
      <c r="D3237" s="8">
        <v>23</v>
      </c>
      <c r="E3237" s="8">
        <v>0</v>
      </c>
      <c r="F3237" s="8">
        <v>535</v>
      </c>
    </row>
    <row r="3238" spans="1:6" ht="12.75">
      <c r="A3238" s="8">
        <v>43903.665879629625</v>
      </c>
      <c r="B3238" s="8" t="str">
        <f>HYPERLINK("https://twitter.com/sarathykousik","@sarathykousik")</f>
        <v>@sarathykousik</v>
      </c>
      <c r="C3238" s="8" t="s">
        <v>1195</v>
      </c>
      <c r="D3238" s="8">
        <v>2610</v>
      </c>
      <c r="E3238" s="8">
        <v>0</v>
      </c>
      <c r="F3238" s="8">
        <v>211</v>
      </c>
    </row>
    <row r="3239" spans="1:6" ht="12.75">
      <c r="A3239" s="8">
        <v>43903.665474537032</v>
      </c>
      <c r="B3239" s="8" t="str">
        <f>HYPERLINK("https://twitter.com/astilov3","@astilov3")</f>
        <v>@astilov3</v>
      </c>
      <c r="C3239" s="8" t="s">
        <v>1491</v>
      </c>
      <c r="D3239" s="8">
        <v>36</v>
      </c>
      <c r="E3239" s="8">
        <v>0</v>
      </c>
      <c r="F3239" s="8">
        <v>615</v>
      </c>
    </row>
    <row r="3240" spans="1:6" ht="12.75">
      <c r="A3240" s="8">
        <v>43903.665231481486</v>
      </c>
      <c r="B3240" s="8" t="str">
        <f>HYPERLINK("https://twitter.com/hibatus_z","@hibatus_z")</f>
        <v>@hibatus_z</v>
      </c>
      <c r="C3240" s="8" t="s">
        <v>1800</v>
      </c>
      <c r="D3240" s="8">
        <v>78</v>
      </c>
      <c r="E3240" s="8">
        <v>0</v>
      </c>
      <c r="F3240" s="8">
        <v>4</v>
      </c>
    </row>
    <row r="3241" spans="1:6" ht="12.75">
      <c r="A3241" s="8">
        <v>43903.665023148147</v>
      </c>
      <c r="B3241" s="8" t="str">
        <f>HYPERLINK("https://twitter.com/cahaya_inti","@cahaya_inti")</f>
        <v>@cahaya_inti</v>
      </c>
      <c r="C3241" s="8" t="s">
        <v>353</v>
      </c>
      <c r="D3241" s="8">
        <v>78</v>
      </c>
      <c r="E3241" s="8">
        <v>0</v>
      </c>
      <c r="F3241" s="8">
        <v>1501</v>
      </c>
    </row>
    <row r="3242" spans="1:6" ht="12.75">
      <c r="A3242" s="8">
        <v>43903.663877314815</v>
      </c>
      <c r="B3242" s="8" t="str">
        <f>HYPERLINK("https://twitter.com/loveurblood","@loveurblood")</f>
        <v>@loveurblood</v>
      </c>
      <c r="C3242" s="8" t="s">
        <v>1195</v>
      </c>
      <c r="D3242" s="8">
        <v>2610</v>
      </c>
      <c r="E3242" s="8">
        <v>0</v>
      </c>
      <c r="F3242" s="8">
        <v>350</v>
      </c>
    </row>
    <row r="3243" spans="1:6" ht="12.75">
      <c r="A3243" s="8">
        <v>43903.663310185184</v>
      </c>
      <c r="B3243" s="8" t="str">
        <f>HYPERLINK("https://twitter.com/bhavinhjoshi","@bhavinhjoshi")</f>
        <v>@bhavinhjoshi</v>
      </c>
      <c r="C3243" s="8" t="s">
        <v>1195</v>
      </c>
      <c r="D3243" s="8">
        <v>2610</v>
      </c>
      <c r="E3243" s="8">
        <v>0</v>
      </c>
      <c r="F3243" s="8">
        <v>484</v>
      </c>
    </row>
    <row r="3244" spans="1:6" ht="12.75">
      <c r="A3244" s="8">
        <v>43903.662928240738</v>
      </c>
      <c r="B3244" s="8" t="str">
        <f>HYPERLINK("https://twitter.com/idaida796853901","@idaida796853901")</f>
        <v>@idaida796853901</v>
      </c>
      <c r="C3244" s="8" t="s">
        <v>353</v>
      </c>
      <c r="D3244" s="8">
        <v>78</v>
      </c>
      <c r="E3244" s="8">
        <v>0</v>
      </c>
      <c r="F3244" s="8">
        <v>173</v>
      </c>
    </row>
    <row r="3245" spans="1:6" ht="12.75">
      <c r="A3245" s="8">
        <v>43903.661504629628</v>
      </c>
      <c r="B3245" s="8" t="str">
        <f>HYPERLINK("https://twitter.com/kentudoosh","@kentudoosh")</f>
        <v>@kentudoosh</v>
      </c>
      <c r="C3245" s="8" t="s">
        <v>134</v>
      </c>
      <c r="D3245" s="8">
        <v>32</v>
      </c>
      <c r="E3245" s="8">
        <v>0</v>
      </c>
      <c r="F3245" s="8">
        <v>403</v>
      </c>
    </row>
    <row r="3246" spans="1:6" ht="12.75">
      <c r="A3246" s="8">
        <v>43903.661365740743</v>
      </c>
      <c r="B3246" s="8" t="str">
        <f>HYPERLINK("https://twitter.com/mayankvatsa2","@mayankvatsa2")</f>
        <v>@mayankvatsa2</v>
      </c>
      <c r="C3246" s="8" t="s">
        <v>1820</v>
      </c>
      <c r="D3246" s="8">
        <v>0</v>
      </c>
      <c r="E3246" s="8">
        <v>0</v>
      </c>
      <c r="F3246" s="8">
        <v>9</v>
      </c>
    </row>
    <row r="3247" spans="1:6" ht="12.75">
      <c r="A3247" s="8">
        <v>43903.661307870367</v>
      </c>
      <c r="B3247" s="8" t="str">
        <f>HYPERLINK("https://twitter.com/ashutosh_sani","@ashutosh_sani")</f>
        <v>@ashutosh_sani</v>
      </c>
      <c r="C3247" s="8" t="s">
        <v>1195</v>
      </c>
      <c r="D3247" s="8">
        <v>2610</v>
      </c>
      <c r="E3247" s="8">
        <v>0</v>
      </c>
      <c r="F3247" s="8">
        <v>115</v>
      </c>
    </row>
    <row r="3248" spans="1:6" ht="12.75">
      <c r="A3248" s="8">
        <v>43903.660787037035</v>
      </c>
      <c r="B3248" s="8" t="str">
        <f>HYPERLINK("https://twitter.com/Basha0114","@Basha0114")</f>
        <v>@Basha0114</v>
      </c>
      <c r="C3248" s="8" t="s">
        <v>353</v>
      </c>
      <c r="D3248" s="8">
        <v>78</v>
      </c>
      <c r="E3248" s="8">
        <v>0</v>
      </c>
      <c r="F3248" s="8">
        <v>661</v>
      </c>
    </row>
    <row r="3249" spans="1:6" ht="12.75">
      <c r="A3249" s="8">
        <v>43903.660590277781</v>
      </c>
      <c r="B3249" s="8" t="str">
        <f>HYPERLINK("https://twitter.com/ayenzodearya","@ayenzodearya")</f>
        <v>@ayenzodearya</v>
      </c>
      <c r="C3249" s="8" t="s">
        <v>1821</v>
      </c>
      <c r="D3249" s="8">
        <v>3</v>
      </c>
      <c r="E3249" s="8">
        <v>0</v>
      </c>
      <c r="F3249" s="8">
        <v>830</v>
      </c>
    </row>
    <row r="3250" spans="1:6" ht="12.75">
      <c r="A3250" s="8">
        <v>43903.660462962958</v>
      </c>
      <c r="B3250" s="8" t="str">
        <f>HYPERLINK("https://twitter.com/LoveBrebes","@LoveBrebes")</f>
        <v>@LoveBrebes</v>
      </c>
      <c r="C3250" s="8" t="s">
        <v>1822</v>
      </c>
      <c r="D3250" s="8">
        <v>4</v>
      </c>
      <c r="E3250" s="8">
        <v>0</v>
      </c>
      <c r="F3250" s="8">
        <v>78</v>
      </c>
    </row>
    <row r="3251" spans="1:6" ht="12.75">
      <c r="A3251" s="8">
        <v>43903.660312499997</v>
      </c>
      <c r="B3251" s="8" t="str">
        <f>HYPERLINK("https://twitter.com/herdiman29","@herdiman29")</f>
        <v>@herdiman29</v>
      </c>
      <c r="C3251" s="8" t="s">
        <v>1823</v>
      </c>
      <c r="D3251" s="8">
        <v>0</v>
      </c>
      <c r="E3251" s="8">
        <v>1</v>
      </c>
      <c r="F3251" s="8">
        <v>1005</v>
      </c>
    </row>
    <row r="3252" spans="1:6" ht="12.75">
      <c r="A3252" s="8">
        <v>43903.660266203704</v>
      </c>
      <c r="B3252" s="8" t="str">
        <f>HYPERLINK("https://twitter.com/arga_dermawan","@arga_dermawan")</f>
        <v>@arga_dermawan</v>
      </c>
      <c r="C3252" s="8" t="s">
        <v>1824</v>
      </c>
      <c r="D3252" s="8">
        <v>0</v>
      </c>
      <c r="E3252" s="8">
        <v>0</v>
      </c>
      <c r="F3252" s="8">
        <v>7</v>
      </c>
    </row>
    <row r="3253" spans="1:6" ht="12.75">
      <c r="A3253" s="8">
        <v>43903.65996527778</v>
      </c>
      <c r="B3253" s="8" t="str">
        <f>HYPERLINK("https://twitter.com/Budihar21525608","@Budihar21525608")</f>
        <v>@Budihar21525608</v>
      </c>
      <c r="C3253" s="8" t="s">
        <v>353</v>
      </c>
      <c r="D3253" s="8">
        <v>78</v>
      </c>
      <c r="E3253" s="8">
        <v>0</v>
      </c>
      <c r="F3253" s="8">
        <v>6519</v>
      </c>
    </row>
    <row r="3254" spans="1:6" ht="12.75">
      <c r="A3254" s="8">
        <v>43903.659722222219</v>
      </c>
      <c r="B3254" s="8" t="str">
        <f>HYPERLINK("https://twitter.com/RakyatMerdeka99","@RakyatMerdeka99")</f>
        <v>@RakyatMerdeka99</v>
      </c>
      <c r="C3254" s="8" t="s">
        <v>1825</v>
      </c>
      <c r="D3254" s="8">
        <v>0</v>
      </c>
      <c r="E3254" s="8">
        <v>0</v>
      </c>
      <c r="F3254" s="8">
        <v>772</v>
      </c>
    </row>
    <row r="3255" spans="1:6" ht="12.75">
      <c r="A3255" s="8">
        <v>43903.659328703703</v>
      </c>
      <c r="B3255" s="8" t="str">
        <f>HYPERLINK("https://twitter.com/nawang_woelan","@nawang_woelan")</f>
        <v>@nawang_woelan</v>
      </c>
      <c r="C3255" s="8" t="s">
        <v>874</v>
      </c>
      <c r="D3255" s="8">
        <v>39</v>
      </c>
      <c r="E3255" s="8">
        <v>0</v>
      </c>
      <c r="F3255" s="8">
        <v>145</v>
      </c>
    </row>
    <row r="3256" spans="1:6" ht="12.75">
      <c r="A3256" s="8">
        <v>43903.658402777779</v>
      </c>
      <c r="B3256" s="8" t="str">
        <f>HYPERLINK("https://twitter.com/ratnasuryono","@ratnasuryono")</f>
        <v>@ratnasuryono</v>
      </c>
      <c r="C3256" s="8" t="s">
        <v>925</v>
      </c>
      <c r="D3256" s="8">
        <v>134</v>
      </c>
      <c r="E3256" s="8">
        <v>0</v>
      </c>
      <c r="F3256" s="8">
        <v>1166</v>
      </c>
    </row>
    <row r="3257" spans="1:6" ht="12.75">
      <c r="A3257" s="8">
        <v>43903.658055555556</v>
      </c>
      <c r="B3257" s="8" t="str">
        <f>HYPERLINK("https://twitter.com/MargarethaFia","@MargarethaFia")</f>
        <v>@MargarethaFia</v>
      </c>
      <c r="C3257" s="8" t="s">
        <v>1826</v>
      </c>
      <c r="D3257" s="8">
        <v>4</v>
      </c>
      <c r="E3257" s="8">
        <v>0</v>
      </c>
      <c r="F3257" s="8">
        <v>607</v>
      </c>
    </row>
    <row r="3258" spans="1:6" ht="12.75">
      <c r="A3258" s="8">
        <v>43903.658020833333</v>
      </c>
      <c r="B3258" s="8" t="str">
        <f>HYPERLINK("https://twitter.com/sifulan_jr","@sifulan_jr")</f>
        <v>@sifulan_jr</v>
      </c>
      <c r="C3258" s="8" t="s">
        <v>1744</v>
      </c>
      <c r="D3258" s="8">
        <v>10</v>
      </c>
      <c r="E3258" s="8">
        <v>0</v>
      </c>
      <c r="F3258" s="8">
        <v>296</v>
      </c>
    </row>
    <row r="3259" spans="1:6" ht="12.75">
      <c r="A3259" s="8">
        <v>43903.657916666663</v>
      </c>
      <c r="B3259" s="8" t="str">
        <f>HYPERLINK("https://twitter.com/shaik_faruque","@shaik_faruque")</f>
        <v>@shaik_faruque</v>
      </c>
      <c r="C3259" s="8" t="s">
        <v>768</v>
      </c>
      <c r="D3259" s="8">
        <v>8</v>
      </c>
      <c r="E3259" s="8">
        <v>0</v>
      </c>
      <c r="F3259" s="8">
        <v>5</v>
      </c>
    </row>
    <row r="3260" spans="1:6" ht="12.75">
      <c r="A3260" s="8">
        <v>43903.657870370371</v>
      </c>
      <c r="B3260" s="8" t="str">
        <f>HYPERLINK("https://twitter.com/AjiSoko02675905","@AjiSoko02675905")</f>
        <v>@AjiSoko02675905</v>
      </c>
      <c r="C3260" s="8" t="s">
        <v>1827</v>
      </c>
      <c r="D3260" s="8">
        <v>0</v>
      </c>
      <c r="E3260" s="8">
        <v>0</v>
      </c>
      <c r="F3260" s="8">
        <v>0</v>
      </c>
    </row>
    <row r="3261" spans="1:6" ht="12.75">
      <c r="A3261" s="8">
        <v>43903.657743055555</v>
      </c>
      <c r="B3261" s="8" t="str">
        <f>HYPERLINK("https://twitter.com/rsdnetid","@rsdnetid")</f>
        <v>@rsdnetid</v>
      </c>
      <c r="C3261" s="8" t="s">
        <v>874</v>
      </c>
      <c r="D3261" s="8">
        <v>39</v>
      </c>
      <c r="E3261" s="8">
        <v>0</v>
      </c>
      <c r="F3261" s="8">
        <v>1999</v>
      </c>
    </row>
    <row r="3262" spans="1:6" ht="12.75">
      <c r="A3262" s="8">
        <v>43903.657488425924</v>
      </c>
      <c r="B3262" s="8" t="str">
        <f>HYPERLINK("https://twitter.com/muttaqien1962y1","@muttaqien1962y1")</f>
        <v>@muttaqien1962y1</v>
      </c>
      <c r="C3262" s="8" t="s">
        <v>1828</v>
      </c>
      <c r="D3262" s="8">
        <v>0</v>
      </c>
      <c r="E3262" s="8">
        <v>0</v>
      </c>
      <c r="F3262" s="8">
        <v>0</v>
      </c>
    </row>
    <row r="3263" spans="1:6" ht="12.75">
      <c r="A3263" s="8">
        <v>43903.657337962963</v>
      </c>
      <c r="B3263" s="8" t="str">
        <f>HYPERLINK("https://twitter.com/JhonIrfan2","@JhonIrfan2")</f>
        <v>@JhonIrfan2</v>
      </c>
      <c r="C3263" s="8" t="s">
        <v>353</v>
      </c>
      <c r="D3263" s="8">
        <v>78</v>
      </c>
      <c r="E3263" s="8">
        <v>0</v>
      </c>
      <c r="F3263" s="8">
        <v>119</v>
      </c>
    </row>
    <row r="3264" spans="1:6" ht="12.75">
      <c r="A3264" s="8">
        <v>43903.657199074078</v>
      </c>
      <c r="B3264" s="8" t="str">
        <f>HYPERLINK("https://twitter.com/herdiman29","@herdiman29")</f>
        <v>@herdiman29</v>
      </c>
      <c r="C3264" s="8" t="s">
        <v>1829</v>
      </c>
      <c r="D3264" s="8">
        <v>0</v>
      </c>
      <c r="E3264" s="8">
        <v>2</v>
      </c>
      <c r="F3264" s="8">
        <v>1005</v>
      </c>
    </row>
    <row r="3265" spans="1:6" ht="12.75">
      <c r="A3265" s="8">
        <v>43903.657164351855</v>
      </c>
      <c r="B3265" s="8" t="str">
        <f>HYPERLINK("https://twitter.com/StevanyD","@StevanyD")</f>
        <v>@StevanyD</v>
      </c>
      <c r="C3265" s="8" t="s">
        <v>1744</v>
      </c>
      <c r="D3265" s="8">
        <v>10</v>
      </c>
      <c r="E3265" s="8">
        <v>0</v>
      </c>
      <c r="F3265" s="8">
        <v>1506</v>
      </c>
    </row>
    <row r="3266" spans="1:6" ht="12.75">
      <c r="A3266" s="8">
        <v>43903.656990740739</v>
      </c>
      <c r="B3266" s="8" t="str">
        <f>HYPERLINK("https://twitter.com/eggggsie","@eggggsie")</f>
        <v>@eggggsie</v>
      </c>
      <c r="C3266" s="8" t="s">
        <v>1744</v>
      </c>
      <c r="D3266" s="8">
        <v>10</v>
      </c>
      <c r="E3266" s="8">
        <v>0</v>
      </c>
      <c r="F3266" s="8">
        <v>10946</v>
      </c>
    </row>
    <row r="3267" spans="1:6" ht="12.75">
      <c r="A3267" s="8">
        <v>43903.65625</v>
      </c>
      <c r="B3267" s="8" t="str">
        <f>HYPERLINK("https://twitter.com/TirtoID","@TirtoID")</f>
        <v>@TirtoID</v>
      </c>
      <c r="C3267" s="8" t="s">
        <v>1830</v>
      </c>
      <c r="D3267" s="8">
        <v>10</v>
      </c>
      <c r="E3267" s="8">
        <v>30</v>
      </c>
      <c r="F3267" s="8">
        <v>499872</v>
      </c>
    </row>
    <row r="3268" spans="1:6" ht="12.75">
      <c r="A3268" s="8">
        <v>43903.656203703707</v>
      </c>
      <c r="B3268" s="8" t="str">
        <f>HYPERLINK("https://twitter.com/syawali_wal","@syawali_wal")</f>
        <v>@syawali_wal</v>
      </c>
      <c r="C3268" s="8" t="s">
        <v>1831</v>
      </c>
      <c r="D3268" s="8">
        <v>1</v>
      </c>
      <c r="E3268" s="8">
        <v>0</v>
      </c>
      <c r="F3268" s="8">
        <v>652</v>
      </c>
    </row>
    <row r="3269" spans="1:6" ht="12.75">
      <c r="A3269" s="8">
        <v>43903.656145833331</v>
      </c>
      <c r="B3269" s="8" t="str">
        <f>HYPERLINK("https://twitter.com/Lady_StayClassy","@Lady_StayClassy")</f>
        <v>@Lady_StayClassy</v>
      </c>
      <c r="C3269" s="8" t="s">
        <v>1718</v>
      </c>
      <c r="D3269" s="8">
        <v>5</v>
      </c>
      <c r="E3269" s="8">
        <v>0</v>
      </c>
      <c r="F3269" s="8">
        <v>3372</v>
      </c>
    </row>
    <row r="3270" spans="1:6" ht="12.75">
      <c r="A3270" s="8">
        <v>43903.655324074076</v>
      </c>
      <c r="B3270" s="8" t="str">
        <f>HYPERLINK("https://twitter.com/MuhamadHanafiID","@MuhamadHanafiID")</f>
        <v>@MuhamadHanafiID</v>
      </c>
      <c r="C3270" s="8" t="s">
        <v>1784</v>
      </c>
      <c r="D3270" s="8">
        <v>9</v>
      </c>
      <c r="E3270" s="8">
        <v>0</v>
      </c>
      <c r="F3270" s="8">
        <v>108</v>
      </c>
    </row>
    <row r="3271" spans="1:6" ht="12.75">
      <c r="A3271" s="8">
        <v>43903.654212962967</v>
      </c>
      <c r="B3271" s="8" t="str">
        <f>HYPERLINK("https://twitter.com/Siinafiq","@Siinafiq")</f>
        <v>@Siinafiq</v>
      </c>
      <c r="C3271" s="8" t="s">
        <v>1832</v>
      </c>
      <c r="D3271" s="8">
        <v>0</v>
      </c>
      <c r="E3271" s="8">
        <v>0</v>
      </c>
      <c r="F3271" s="8">
        <v>45</v>
      </c>
    </row>
    <row r="3272" spans="1:6" ht="12.75">
      <c r="A3272" s="8">
        <v>43903.654131944444</v>
      </c>
      <c r="B3272" s="8" t="str">
        <f>HYPERLINK("https://twitter.com/idntimes","@idntimes")</f>
        <v>@idntimes</v>
      </c>
      <c r="C3272" s="8" t="s">
        <v>1833</v>
      </c>
      <c r="D3272" s="8">
        <v>1</v>
      </c>
      <c r="E3272" s="8">
        <v>2</v>
      </c>
      <c r="F3272" s="8">
        <v>394586</v>
      </c>
    </row>
    <row r="3273" spans="1:6" ht="12.75">
      <c r="A3273" s="8">
        <v>43903.653854166667</v>
      </c>
      <c r="B3273" s="8" t="str">
        <f>HYPERLINK("https://twitter.com/smartAde091","@smartAde091")</f>
        <v>@smartAde091</v>
      </c>
      <c r="C3273" s="8" t="s">
        <v>1834</v>
      </c>
      <c r="D3273" s="8">
        <v>0</v>
      </c>
      <c r="E3273" s="8">
        <v>0</v>
      </c>
      <c r="F3273" s="8">
        <v>15</v>
      </c>
    </row>
    <row r="3274" spans="1:6" ht="12.75">
      <c r="A3274" s="8">
        <v>43903.65325231482</v>
      </c>
      <c r="B3274" s="8" t="str">
        <f>HYPERLINK("https://twitter.com/hydrocock0","@hydrocock0")</f>
        <v>@hydrocock0</v>
      </c>
      <c r="C3274" s="8" t="s">
        <v>1835</v>
      </c>
      <c r="D3274" s="8">
        <v>0</v>
      </c>
      <c r="E3274" s="8">
        <v>0</v>
      </c>
      <c r="F3274" s="8">
        <v>95</v>
      </c>
    </row>
    <row r="3275" spans="1:6" ht="12.75">
      <c r="A3275" s="8">
        <v>43903.652604166666</v>
      </c>
      <c r="B3275" s="8" t="str">
        <f>HYPERLINK("https://twitter.com/rinachaidir","@rinachaidir")</f>
        <v>@rinachaidir</v>
      </c>
      <c r="C3275" s="8" t="s">
        <v>1836</v>
      </c>
      <c r="D3275" s="8">
        <v>99</v>
      </c>
      <c r="E3275" s="8">
        <v>0</v>
      </c>
      <c r="F3275" s="8">
        <v>85</v>
      </c>
    </row>
    <row r="3276" spans="1:6" ht="12.75">
      <c r="A3276" s="8">
        <v>43903.65215277778</v>
      </c>
      <c r="B3276" s="8" t="str">
        <f>HYPERLINK("https://twitter.com/kompascom","@kompascom")</f>
        <v>@kompascom</v>
      </c>
      <c r="C3276" s="8" t="s">
        <v>1837</v>
      </c>
      <c r="D3276" s="8">
        <v>0</v>
      </c>
      <c r="E3276" s="8">
        <v>4</v>
      </c>
      <c r="F3276" s="8">
        <v>7544653</v>
      </c>
    </row>
    <row r="3277" spans="1:6" ht="12.75">
      <c r="A3277" s="8">
        <v>43903.651550925926</v>
      </c>
      <c r="B3277" s="8" t="str">
        <f>HYPERLINK("https://twitter.com/awdyrn","@awdyrn")</f>
        <v>@awdyrn</v>
      </c>
      <c r="C3277" s="8" t="s">
        <v>1821</v>
      </c>
      <c r="D3277" s="8">
        <v>3</v>
      </c>
      <c r="E3277" s="8">
        <v>0</v>
      </c>
      <c r="F3277" s="8">
        <v>606</v>
      </c>
    </row>
    <row r="3278" spans="1:6" ht="12.75">
      <c r="A3278" s="8">
        <v>43903.651539351849</v>
      </c>
      <c r="B3278" s="8" t="str">
        <f>HYPERLINK("https://twitter.com/HakimGarisLurus","@HakimGarisLurus")</f>
        <v>@HakimGarisLurus</v>
      </c>
      <c r="C3278" s="8" t="s">
        <v>925</v>
      </c>
      <c r="D3278" s="8">
        <v>134</v>
      </c>
      <c r="E3278" s="8">
        <v>0</v>
      </c>
      <c r="F3278" s="8">
        <v>1453</v>
      </c>
    </row>
    <row r="3279" spans="1:6" ht="12.75">
      <c r="A3279" s="8">
        <v>43903.650868055556</v>
      </c>
      <c r="B3279" s="8" t="str">
        <f>HYPERLINK("https://twitter.com/cnbcindonesia","@cnbcindonesia")</f>
        <v>@cnbcindonesia</v>
      </c>
      <c r="C3279" s="8" t="s">
        <v>1838</v>
      </c>
      <c r="D3279" s="8">
        <v>1</v>
      </c>
      <c r="E3279" s="8">
        <v>0</v>
      </c>
      <c r="F3279" s="8">
        <v>32165</v>
      </c>
    </row>
    <row r="3280" spans="1:6" ht="12.75">
      <c r="A3280" s="8">
        <v>43903.649976851855</v>
      </c>
      <c r="B3280" s="8" t="str">
        <f>HYPERLINK("https://twitter.com/DeasyKurniawati","@DeasyKurniawati")</f>
        <v>@DeasyKurniawati</v>
      </c>
      <c r="C3280" s="8" t="s">
        <v>1839</v>
      </c>
      <c r="D3280" s="8">
        <v>6</v>
      </c>
      <c r="E3280" s="8">
        <v>0</v>
      </c>
      <c r="F3280" s="8">
        <v>396</v>
      </c>
    </row>
    <row r="3281" spans="1:6" ht="12.75">
      <c r="A3281" s="8">
        <v>43903.649884259255</v>
      </c>
      <c r="B3281" s="8" t="str">
        <f>HYPERLINK("https://twitter.com/SuryaBorneo","@SuryaBorneo")</f>
        <v>@SuryaBorneo</v>
      </c>
      <c r="C3281" s="8" t="s">
        <v>1839</v>
      </c>
      <c r="D3281" s="8">
        <v>6</v>
      </c>
      <c r="E3281" s="8">
        <v>0</v>
      </c>
      <c r="F3281" s="8">
        <v>1033</v>
      </c>
    </row>
    <row r="3282" spans="1:6" ht="12.75">
      <c r="A3282" s="8">
        <v>43903.649745370371</v>
      </c>
      <c r="B3282" s="8" t="str">
        <f>HYPERLINK("https://twitter.com/dineolivia","@dineolivia")</f>
        <v>@dineolivia</v>
      </c>
      <c r="C3282" s="8" t="s">
        <v>1840</v>
      </c>
      <c r="D3282" s="8">
        <v>0</v>
      </c>
      <c r="E3282" s="8">
        <v>0</v>
      </c>
      <c r="F3282" s="8">
        <v>520</v>
      </c>
    </row>
    <row r="3283" spans="1:6" ht="12.75">
      <c r="A3283" s="8">
        <v>43903.649351851855</v>
      </c>
      <c r="B3283" s="8" t="str">
        <f>HYPERLINK("https://twitter.com/Kaleng_Kurma","@Kaleng_Kurma")</f>
        <v>@Kaleng_Kurma</v>
      </c>
      <c r="C3283" s="8" t="s">
        <v>1148</v>
      </c>
      <c r="D3283" s="8">
        <v>9</v>
      </c>
      <c r="E3283" s="8">
        <v>0</v>
      </c>
      <c r="F3283" s="8">
        <v>230</v>
      </c>
    </row>
    <row r="3284" spans="1:6" ht="12.75">
      <c r="A3284" s="8">
        <v>43903.649293981478</v>
      </c>
      <c r="B3284" s="8" t="str">
        <f>HYPERLINK("https://twitter.com/mataharikembar1","@mataharikembar1")</f>
        <v>@mataharikembar1</v>
      </c>
      <c r="C3284" s="8" t="s">
        <v>587</v>
      </c>
      <c r="D3284" s="8">
        <v>23</v>
      </c>
      <c r="E3284" s="8">
        <v>0</v>
      </c>
      <c r="F3284" s="8">
        <v>14</v>
      </c>
    </row>
    <row r="3285" spans="1:6" ht="12.75">
      <c r="A3285" s="8">
        <v>43903.649039351847</v>
      </c>
      <c r="B3285" s="8" t="str">
        <f>HYPERLINK("https://twitter.com/indonesia_sk","@indonesia_sk")</f>
        <v>@indonesia_sk</v>
      </c>
      <c r="C3285" s="8" t="s">
        <v>134</v>
      </c>
      <c r="D3285" s="8">
        <v>32</v>
      </c>
      <c r="E3285" s="8">
        <v>0</v>
      </c>
      <c r="F3285" s="8">
        <v>1071</v>
      </c>
    </row>
    <row r="3286" spans="1:6" ht="12.75">
      <c r="A3286" s="8">
        <v>43903.648819444439</v>
      </c>
      <c r="B3286" s="8" t="str">
        <f>HYPERLINK("https://twitter.com/just_mywin","@just_mywin")</f>
        <v>@just_mywin</v>
      </c>
      <c r="C3286" s="8" t="s">
        <v>587</v>
      </c>
      <c r="D3286" s="8">
        <v>23</v>
      </c>
      <c r="E3286" s="8">
        <v>0</v>
      </c>
      <c r="F3286" s="8">
        <v>2665</v>
      </c>
    </row>
    <row r="3287" spans="1:6" ht="12.75">
      <c r="A3287" s="8">
        <v>43903.64880787037</v>
      </c>
      <c r="B3287" s="8" t="str">
        <f>HYPERLINK("https://twitter.com/Billy_aprianto","@Billy_aprianto")</f>
        <v>@Billy_aprianto</v>
      </c>
      <c r="C3287" s="8" t="s">
        <v>925</v>
      </c>
      <c r="D3287" s="8">
        <v>134</v>
      </c>
      <c r="E3287" s="8">
        <v>0</v>
      </c>
      <c r="F3287" s="8">
        <v>2816</v>
      </c>
    </row>
    <row r="3288" spans="1:6" ht="12.75">
      <c r="A3288" s="8">
        <v>43903.64844907407</v>
      </c>
      <c r="B3288" s="8" t="str">
        <f>HYPERLINK("https://twitter.com/rahminova2","@rahminova2")</f>
        <v>@rahminova2</v>
      </c>
      <c r="C3288" s="8" t="s">
        <v>1841</v>
      </c>
      <c r="D3288" s="8">
        <v>1</v>
      </c>
      <c r="E3288" s="8">
        <v>0</v>
      </c>
      <c r="F3288" s="8">
        <v>1306</v>
      </c>
    </row>
    <row r="3289" spans="1:6" ht="12.75">
      <c r="A3289" s="8">
        <v>43903.647962962961</v>
      </c>
      <c r="B3289" s="8" t="str">
        <f>HYPERLINK("https://twitter.com/tempodotco","@tempodotco")</f>
        <v>@tempodotco</v>
      </c>
      <c r="C3289" s="8" t="s">
        <v>1842</v>
      </c>
      <c r="D3289" s="8">
        <v>1</v>
      </c>
      <c r="E3289" s="8">
        <v>4</v>
      </c>
      <c r="F3289" s="8">
        <v>1713664</v>
      </c>
    </row>
    <row r="3290" spans="1:6" ht="12.75">
      <c r="A3290" s="8">
        <v>43903.64775462963</v>
      </c>
      <c r="B3290" s="8" t="str">
        <f>HYPERLINK("https://twitter.com/Kevfirm","@Kevfirm")</f>
        <v>@Kevfirm</v>
      </c>
      <c r="C3290" s="8" t="s">
        <v>1729</v>
      </c>
      <c r="D3290" s="8">
        <v>1</v>
      </c>
      <c r="E3290" s="8">
        <v>0</v>
      </c>
      <c r="F3290" s="8">
        <v>107</v>
      </c>
    </row>
    <row r="3291" spans="1:6" ht="12.75">
      <c r="A3291" s="8">
        <v>43903.647604166668</v>
      </c>
      <c r="B3291" s="8" t="str">
        <f>HYPERLINK("https://twitter.com/kompascom","@kompascom")</f>
        <v>@kompascom</v>
      </c>
      <c r="C3291" s="8" t="s">
        <v>1843</v>
      </c>
      <c r="D3291" s="8">
        <v>3</v>
      </c>
      <c r="E3291" s="8">
        <v>6</v>
      </c>
      <c r="F3291" s="8">
        <v>7544653</v>
      </c>
    </row>
    <row r="3292" spans="1:6" ht="12.75">
      <c r="A3292" s="8">
        <v>43903.647199074076</v>
      </c>
      <c r="B3292" s="8" t="str">
        <f>HYPERLINK("https://twitter.com/davidhutauruk","@davidhutauruk")</f>
        <v>@davidhutauruk</v>
      </c>
      <c r="C3292" s="8" t="s">
        <v>1839</v>
      </c>
      <c r="D3292" s="8">
        <v>6</v>
      </c>
      <c r="E3292" s="8">
        <v>0</v>
      </c>
      <c r="F3292" s="8">
        <v>685</v>
      </c>
    </row>
    <row r="3293" spans="1:6" ht="12.75">
      <c r="A3293" s="8">
        <v>43903.646550925929</v>
      </c>
      <c r="B3293" s="8" t="str">
        <f>HYPERLINK("https://twitter.com/Dreamcoid","@Dreamcoid")</f>
        <v>@Dreamcoid</v>
      </c>
      <c r="C3293" s="8" t="s">
        <v>1844</v>
      </c>
      <c r="D3293" s="8">
        <v>0</v>
      </c>
      <c r="E3293" s="8">
        <v>0</v>
      </c>
      <c r="F3293" s="8">
        <v>11592</v>
      </c>
    </row>
    <row r="3294" spans="1:6" ht="12.75">
      <c r="A3294" s="8">
        <v>43903.645949074074</v>
      </c>
      <c r="B3294" s="8" t="str">
        <f>HYPERLINK("https://twitter.com/Sarah_Pndj","@Sarah_Pndj")</f>
        <v>@Sarah_Pndj</v>
      </c>
      <c r="C3294" s="8" t="s">
        <v>1839</v>
      </c>
      <c r="D3294" s="8">
        <v>6</v>
      </c>
      <c r="E3294" s="8">
        <v>0</v>
      </c>
      <c r="F3294" s="8">
        <v>27214</v>
      </c>
    </row>
    <row r="3295" spans="1:6" ht="12.75">
      <c r="A3295" s="8">
        <v>43903.645694444444</v>
      </c>
      <c r="B3295" s="8" t="str">
        <f>HYPERLINK("https://twitter.com/dekiasadi","@dekiasadi")</f>
        <v>@dekiasadi</v>
      </c>
      <c r="C3295" s="8" t="s">
        <v>136</v>
      </c>
      <c r="D3295" s="8">
        <v>2803</v>
      </c>
      <c r="E3295" s="8">
        <v>0</v>
      </c>
      <c r="F3295" s="8">
        <v>182</v>
      </c>
    </row>
    <row r="3296" spans="1:6" ht="12.75">
      <c r="A3296" s="8">
        <v>43903.644687499997</v>
      </c>
      <c r="B3296" s="8" t="str">
        <f>HYPERLINK("https://twitter.com/deineboo","@deineboo")</f>
        <v>@deineboo</v>
      </c>
      <c r="C3296" s="8" t="s">
        <v>1845</v>
      </c>
      <c r="D3296" s="8">
        <v>0</v>
      </c>
      <c r="E3296" s="8">
        <v>0</v>
      </c>
      <c r="F3296" s="8">
        <v>30</v>
      </c>
    </row>
    <row r="3297" spans="1:6" ht="12.75">
      <c r="A3297" s="8">
        <v>43903.644328703704</v>
      </c>
      <c r="B3297" s="8" t="str">
        <f>HYPERLINK("https://twitter.com/anggertito","@anggertito")</f>
        <v>@anggertito</v>
      </c>
      <c r="C3297" s="8" t="s">
        <v>1846</v>
      </c>
      <c r="D3297" s="8">
        <v>0</v>
      </c>
      <c r="E3297" s="8">
        <v>0</v>
      </c>
      <c r="F3297" s="8">
        <v>409</v>
      </c>
    </row>
    <row r="3298" spans="1:6" ht="12.75">
      <c r="A3298" s="8">
        <v>43903.643738425926</v>
      </c>
      <c r="B3298" s="8" t="str">
        <f>HYPERLINK("https://twitter.com/arian70","@arian70")</f>
        <v>@arian70</v>
      </c>
      <c r="C3298" s="8" t="s">
        <v>1839</v>
      </c>
      <c r="D3298" s="8">
        <v>6</v>
      </c>
      <c r="E3298" s="8">
        <v>0</v>
      </c>
      <c r="F3298" s="8">
        <v>74</v>
      </c>
    </row>
    <row r="3299" spans="1:6" ht="12.75">
      <c r="A3299" s="8">
        <v>43903.643113425926</v>
      </c>
      <c r="B3299" s="8" t="str">
        <f>HYPERLINK("https://twitter.com/KATADATAcoid","@KATADATAcoid")</f>
        <v>@KATADATAcoid</v>
      </c>
      <c r="C3299" s="8" t="s">
        <v>1847</v>
      </c>
      <c r="D3299" s="8">
        <v>6</v>
      </c>
      <c r="E3299" s="8">
        <v>4</v>
      </c>
      <c r="F3299" s="8">
        <v>42159</v>
      </c>
    </row>
    <row r="3300" spans="1:6" ht="12.75">
      <c r="A3300" s="8">
        <v>43903.642962962964</v>
      </c>
      <c r="B3300" s="8" t="str">
        <f>HYPERLINK("https://twitter.com/cybercivil_041","@cybercivil_041")</f>
        <v>@cybercivil_041</v>
      </c>
      <c r="C3300" s="8" t="s">
        <v>353</v>
      </c>
      <c r="D3300" s="8">
        <v>78</v>
      </c>
      <c r="E3300" s="8">
        <v>0</v>
      </c>
      <c r="F3300" s="8">
        <v>2268</v>
      </c>
    </row>
    <row r="3301" spans="1:6" ht="12.75">
      <c r="A3301" s="8">
        <v>43903.6402662037</v>
      </c>
      <c r="B3301" s="8" t="str">
        <f>HYPERLINK("https://twitter.com/marcos_O07","@marcos_O07")</f>
        <v>@marcos_O07</v>
      </c>
      <c r="C3301" s="8" t="s">
        <v>1848</v>
      </c>
      <c r="D3301" s="8">
        <v>3</v>
      </c>
      <c r="E3301" s="8">
        <v>0</v>
      </c>
      <c r="F3301" s="8">
        <v>336</v>
      </c>
    </row>
    <row r="3302" spans="1:6" ht="12.75">
      <c r="A3302" s="8">
        <v>43903.640081018515</v>
      </c>
      <c r="B3302" s="8" t="str">
        <f>HYPERLINK("https://twitter.com/intansavhyraa","@intansavhyraa")</f>
        <v>@intansavhyraa</v>
      </c>
      <c r="C3302" s="8" t="s">
        <v>1848</v>
      </c>
      <c r="D3302" s="8">
        <v>3</v>
      </c>
      <c r="E3302" s="8">
        <v>0</v>
      </c>
      <c r="F3302" s="8">
        <v>867</v>
      </c>
    </row>
    <row r="3303" spans="1:6" ht="12.75">
      <c r="A3303" s="8">
        <v>43903.639363425929</v>
      </c>
      <c r="B3303" s="8" t="str">
        <f>HYPERLINK("https://twitter.com/HartonoMobil","@HartonoMobil")</f>
        <v>@HartonoMobil</v>
      </c>
      <c r="C3303" s="8" t="s">
        <v>874</v>
      </c>
      <c r="D3303" s="8">
        <v>39</v>
      </c>
      <c r="E3303" s="8">
        <v>0</v>
      </c>
      <c r="F3303" s="8">
        <v>4187</v>
      </c>
    </row>
    <row r="3304" spans="1:6" ht="12.75">
      <c r="A3304" s="8">
        <v>43903.639328703706</v>
      </c>
      <c r="B3304" s="8" t="str">
        <f>HYPERLINK("https://twitter.com/tempodotco","@tempodotco")</f>
        <v>@tempodotco</v>
      </c>
      <c r="C3304" s="8" t="s">
        <v>1849</v>
      </c>
      <c r="D3304" s="8">
        <v>3</v>
      </c>
      <c r="E3304" s="8">
        <v>3</v>
      </c>
      <c r="F3304" s="8">
        <v>1713664</v>
      </c>
    </row>
    <row r="3305" spans="1:6" ht="12.75">
      <c r="A3305" s="8">
        <v>43903.639189814814</v>
      </c>
      <c r="B3305" s="8" t="str">
        <f>HYPERLINK("https://twitter.com/iirkoe_","@iirkoe_")</f>
        <v>@iirkoe_</v>
      </c>
      <c r="C3305" s="8" t="s">
        <v>1850</v>
      </c>
      <c r="D3305" s="8">
        <v>0</v>
      </c>
      <c r="E3305" s="8">
        <v>0</v>
      </c>
      <c r="F3305" s="8">
        <v>573</v>
      </c>
    </row>
    <row r="3306" spans="1:6" ht="12.75">
      <c r="A3306" s="8">
        <v>43903.639120370368</v>
      </c>
      <c r="B3306" s="8" t="str">
        <f>HYPERLINK("https://twitter.com/iomsharma30","@iomsharma30")</f>
        <v>@iomsharma30</v>
      </c>
      <c r="C3306" s="8" t="s">
        <v>1851</v>
      </c>
      <c r="D3306" s="8">
        <v>0</v>
      </c>
      <c r="E3306" s="8">
        <v>0</v>
      </c>
      <c r="F3306" s="8">
        <v>16</v>
      </c>
    </row>
    <row r="3307" spans="1:6" ht="12.75">
      <c r="A3307" s="8">
        <v>43903.638819444444</v>
      </c>
      <c r="B3307" s="8" t="str">
        <f>HYPERLINK("https://twitter.com/PRFMnews","@PRFMnews")</f>
        <v>@PRFMnews</v>
      </c>
      <c r="C3307" s="8" t="s">
        <v>1852</v>
      </c>
      <c r="D3307" s="8">
        <v>0</v>
      </c>
      <c r="E3307" s="8">
        <v>2</v>
      </c>
      <c r="F3307" s="8">
        <v>244189</v>
      </c>
    </row>
    <row r="3308" spans="1:6" ht="12.75">
      <c r="A3308" s="8">
        <v>43903.631620370375</v>
      </c>
      <c r="B3308" s="8" t="str">
        <f>HYPERLINK("https://twitter.com/_jabangtutuko_","@_jabangtutuko_")</f>
        <v>@_jabangtutuko_</v>
      </c>
      <c r="C3308" s="8" t="s">
        <v>874</v>
      </c>
      <c r="D3308" s="8">
        <v>28</v>
      </c>
      <c r="E3308" s="8">
        <v>0</v>
      </c>
      <c r="F3308" s="8">
        <v>422</v>
      </c>
    </row>
    <row r="3309" spans="1:6" ht="12.75">
      <c r="A3309" s="8">
        <v>43903.63144675926</v>
      </c>
      <c r="B3309" s="8" t="str">
        <f>HYPERLINK("https://twitter.com/kuninggemilang","@kuninggemilang")</f>
        <v>@kuninggemilang</v>
      </c>
      <c r="C3309" s="8" t="s">
        <v>587</v>
      </c>
      <c r="D3309" s="8">
        <v>17</v>
      </c>
      <c r="E3309" s="8">
        <v>0</v>
      </c>
      <c r="F3309" s="8">
        <v>3904</v>
      </c>
    </row>
    <row r="3310" spans="1:6" ht="12.75">
      <c r="A3310" s="8">
        <v>43903.631435185191</v>
      </c>
      <c r="B3310" s="8" t="str">
        <f>HYPERLINK("https://twitter.com/ru8ymarch","@ru8ymarch")</f>
        <v>@ru8ymarch</v>
      </c>
      <c r="C3310" s="8" t="s">
        <v>1853</v>
      </c>
      <c r="D3310" s="8">
        <v>0</v>
      </c>
      <c r="E3310" s="8">
        <v>0</v>
      </c>
      <c r="F3310" s="8">
        <v>0</v>
      </c>
    </row>
    <row r="3311" spans="1:6" ht="12.75">
      <c r="A3311" s="8">
        <v>43903.630509259259</v>
      </c>
      <c r="B3311" s="8" t="str">
        <f>HYPERLINK("https://twitter.com/tjok_gD","@tjok_gD")</f>
        <v>@tjok_gD</v>
      </c>
      <c r="C3311" s="8" t="s">
        <v>353</v>
      </c>
      <c r="D3311" s="8">
        <v>71</v>
      </c>
      <c r="E3311" s="8">
        <v>0</v>
      </c>
      <c r="F3311" s="8">
        <v>554</v>
      </c>
    </row>
    <row r="3312" spans="1:6" ht="12.75">
      <c r="A3312" s="8">
        <v>43903.630439814813</v>
      </c>
      <c r="B3312" s="8" t="str">
        <f>HYPERLINK("https://twitter.com/rizalrifada1","@rizalrifada1")</f>
        <v>@rizalrifada1</v>
      </c>
      <c r="C3312" s="8" t="s">
        <v>1854</v>
      </c>
      <c r="D3312" s="8">
        <v>0</v>
      </c>
      <c r="E3312" s="8">
        <v>0</v>
      </c>
      <c r="F3312" s="8">
        <v>149</v>
      </c>
    </row>
    <row r="3313" spans="1:6" ht="12.75">
      <c r="A3313" s="8">
        <v>43903.630243055552</v>
      </c>
      <c r="B3313" s="8" t="str">
        <f>HYPERLINK("https://twitter.com/ceknricekcom_id","@ceknricekcom_id")</f>
        <v>@ceknricekcom_id</v>
      </c>
      <c r="C3313" s="8" t="s">
        <v>1855</v>
      </c>
      <c r="D3313" s="8">
        <v>0</v>
      </c>
      <c r="E3313" s="8">
        <v>0</v>
      </c>
      <c r="F3313" s="8">
        <v>29565</v>
      </c>
    </row>
    <row r="3314" spans="1:6" ht="12.75">
      <c r="A3314" s="8">
        <v>43903.629953703705</v>
      </c>
      <c r="B3314" s="8" t="str">
        <f>HYPERLINK("https://twitter.com/ukymf","@ukymf")</f>
        <v>@ukymf</v>
      </c>
      <c r="C3314" s="8" t="s">
        <v>1784</v>
      </c>
      <c r="D3314" s="8">
        <v>7</v>
      </c>
      <c r="E3314" s="8">
        <v>0</v>
      </c>
      <c r="F3314" s="8">
        <v>246</v>
      </c>
    </row>
    <row r="3315" spans="1:6" ht="12.75">
      <c r="A3315" s="8">
        <v>43903.629120370373</v>
      </c>
      <c r="B3315" s="8" t="str">
        <f>HYPERLINK("https://twitter.com/mpu_gandhring","@mpu_gandhring")</f>
        <v>@mpu_gandhring</v>
      </c>
      <c r="C3315" s="8" t="s">
        <v>925</v>
      </c>
      <c r="D3315" s="8">
        <v>130</v>
      </c>
      <c r="E3315" s="8">
        <v>0</v>
      </c>
      <c r="F3315" s="8">
        <v>296</v>
      </c>
    </row>
    <row r="3316" spans="1:6" ht="12.75">
      <c r="A3316" s="8">
        <v>43903.628541666665</v>
      </c>
      <c r="B3316" s="8" t="str">
        <f>HYPERLINK("https://twitter.com/SisiwittFrida","@SisiwittFrida")</f>
        <v>@SisiwittFrida</v>
      </c>
      <c r="C3316" s="8" t="s">
        <v>1856</v>
      </c>
      <c r="D3316" s="8">
        <v>0</v>
      </c>
      <c r="E3316" s="8">
        <v>0</v>
      </c>
      <c r="F3316" s="8">
        <v>62</v>
      </c>
    </row>
    <row r="3317" spans="1:6" ht="12.75">
      <c r="A3317" s="8">
        <v>43903.628333333334</v>
      </c>
      <c r="B3317" s="8" t="str">
        <f>HYPERLINK("https://twitter.com/tpsumantri","@tpsumantri")</f>
        <v>@tpsumantri</v>
      </c>
      <c r="C3317" s="8" t="s">
        <v>1857</v>
      </c>
      <c r="D3317" s="8">
        <v>1</v>
      </c>
      <c r="E3317" s="8">
        <v>0</v>
      </c>
      <c r="F3317" s="8">
        <v>5</v>
      </c>
    </row>
    <row r="3318" spans="1:6" ht="12.75">
      <c r="A3318" s="8">
        <v>43903.628159722226</v>
      </c>
      <c r="B3318" s="8" t="str">
        <f>HYPERLINK("https://twitter.com/MulyadiMade","@MulyadiMade")</f>
        <v>@MulyadiMade</v>
      </c>
      <c r="C3318" s="8" t="s">
        <v>925</v>
      </c>
      <c r="D3318" s="8">
        <v>130</v>
      </c>
      <c r="E3318" s="8">
        <v>0</v>
      </c>
      <c r="F3318" s="8">
        <v>420</v>
      </c>
    </row>
    <row r="3319" spans="1:6" ht="12.75">
      <c r="A3319" s="8">
        <v>43903.627800925926</v>
      </c>
      <c r="B3319" s="8" t="str">
        <f>HYPERLINK("https://twitter.com/jubidotcom","@jubidotcom")</f>
        <v>@jubidotcom</v>
      </c>
      <c r="C3319" s="8" t="s">
        <v>1858</v>
      </c>
      <c r="D3319" s="8">
        <v>0</v>
      </c>
      <c r="E3319" s="8">
        <v>0</v>
      </c>
      <c r="F3319" s="8">
        <v>14454</v>
      </c>
    </row>
    <row r="3320" spans="1:6" ht="12.75">
      <c r="A3320" s="8">
        <v>43903.62563657407</v>
      </c>
      <c r="B3320" s="8" t="str">
        <f>HYPERLINK("https://twitter.com/enny_endah","@enny_endah")</f>
        <v>@enny_endah</v>
      </c>
      <c r="C3320" s="8" t="s">
        <v>874</v>
      </c>
      <c r="D3320" s="8">
        <v>28</v>
      </c>
      <c r="E3320" s="8">
        <v>0</v>
      </c>
      <c r="F3320" s="8">
        <v>10743</v>
      </c>
    </row>
    <row r="3321" spans="1:6" ht="12.75">
      <c r="A3321" s="8">
        <v>43903.625601851847</v>
      </c>
      <c r="B3321" s="8" t="str">
        <f>HYPERLINK("https://twitter.com/dyanvoughn","@dyanvoughn")</f>
        <v>@dyanvoughn</v>
      </c>
      <c r="C3321" s="8" t="s">
        <v>353</v>
      </c>
      <c r="D3321" s="8">
        <v>71</v>
      </c>
      <c r="E3321" s="8">
        <v>0</v>
      </c>
      <c r="F3321" s="8">
        <v>752</v>
      </c>
    </row>
    <row r="3322" spans="1:6" ht="12.75">
      <c r="A3322" s="8">
        <v>43903.624340277776</v>
      </c>
      <c r="B3322" s="8" t="str">
        <f>HYPERLINK("https://twitter.com/merdekadotcom","@merdekadotcom")</f>
        <v>@merdekadotcom</v>
      </c>
      <c r="C3322" s="8" t="s">
        <v>1859</v>
      </c>
      <c r="D3322" s="8">
        <v>1</v>
      </c>
      <c r="E3322" s="8">
        <v>2</v>
      </c>
      <c r="F3322" s="8">
        <v>232128</v>
      </c>
    </row>
    <row r="3323" spans="1:6" ht="12.75">
      <c r="A3323" s="8">
        <v>43903.623148148152</v>
      </c>
      <c r="B3323" s="8" t="str">
        <f>HYPERLINK("https://twitter.com/BadjaNuswantara","@BadjaNuswantara")</f>
        <v>@BadjaNuswantara</v>
      </c>
      <c r="C3323" s="8" t="s">
        <v>874</v>
      </c>
      <c r="D3323" s="8">
        <v>28</v>
      </c>
      <c r="E3323" s="8">
        <v>0</v>
      </c>
      <c r="F3323" s="8">
        <v>44256</v>
      </c>
    </row>
    <row r="3324" spans="1:6" ht="12.75">
      <c r="A3324" s="8">
        <v>43903.62263888889</v>
      </c>
      <c r="B3324" s="8" t="str">
        <f>HYPERLINK("https://twitter.com/AdzanMaghribbb","@AdzanMaghribbb")</f>
        <v>@AdzanMaghribbb</v>
      </c>
      <c r="C3324" s="8" t="s">
        <v>925</v>
      </c>
      <c r="D3324" s="8">
        <v>130</v>
      </c>
      <c r="E3324" s="8">
        <v>0</v>
      </c>
      <c r="F3324" s="8">
        <v>47</v>
      </c>
    </row>
    <row r="3325" spans="1:6" ht="12.75">
      <c r="A3325" s="8">
        <v>43903.621747685189</v>
      </c>
      <c r="B3325" s="8" t="str">
        <f>HYPERLINK("https://twitter.com/KadrunHunter99","@KadrunHunter99")</f>
        <v>@KadrunHunter99</v>
      </c>
      <c r="C3325" s="8" t="s">
        <v>1860</v>
      </c>
      <c r="D3325" s="8">
        <v>2</v>
      </c>
      <c r="E3325" s="8">
        <v>0</v>
      </c>
      <c r="F3325" s="8">
        <v>4257</v>
      </c>
    </row>
    <row r="3326" spans="1:6" ht="12.75">
      <c r="A3326" s="8">
        <v>43903.621099537035</v>
      </c>
      <c r="B3326" s="8" t="str">
        <f>HYPERLINK("https://twitter.com/RamasArrow","@RamasArrow")</f>
        <v>@RamasArrow</v>
      </c>
      <c r="C3326" s="8" t="s">
        <v>1195</v>
      </c>
      <c r="D3326" s="8">
        <v>2601</v>
      </c>
      <c r="E3326" s="8">
        <v>0</v>
      </c>
      <c r="F3326" s="8">
        <v>55</v>
      </c>
    </row>
    <row r="3327" spans="1:6" ht="12.75">
      <c r="A3327" s="8">
        <v>43903.619004629625</v>
      </c>
      <c r="B3327" s="8" t="str">
        <f>HYPERLINK("https://twitter.com/ansh_namberdar","@ansh_namberdar")</f>
        <v>@ansh_namberdar</v>
      </c>
      <c r="C3327" s="8" t="s">
        <v>1195</v>
      </c>
      <c r="D3327" s="8">
        <v>2601</v>
      </c>
      <c r="E3327" s="8">
        <v>0</v>
      </c>
      <c r="F3327" s="8">
        <v>87</v>
      </c>
    </row>
    <row r="3328" spans="1:6" ht="12.75">
      <c r="A3328" s="8">
        <v>43903.618981481486</v>
      </c>
      <c r="B3328" s="8" t="str">
        <f>HYPERLINK("https://twitter.com/IcaEndah","@IcaEndah")</f>
        <v>@IcaEndah</v>
      </c>
      <c r="C3328" s="8" t="s">
        <v>1861</v>
      </c>
      <c r="D3328" s="8">
        <v>0</v>
      </c>
      <c r="E3328" s="8">
        <v>0</v>
      </c>
      <c r="F3328" s="8">
        <v>434</v>
      </c>
    </row>
    <row r="3329" spans="1:6" ht="12.75">
      <c r="A3329" s="8">
        <v>43903.618460648147</v>
      </c>
      <c r="B3329" s="8" t="str">
        <f>HYPERLINK("https://twitter.com/jaatbhaiup14","@jaatbhaiup14")</f>
        <v>@jaatbhaiup14</v>
      </c>
      <c r="C3329" s="8" t="s">
        <v>1862</v>
      </c>
      <c r="D3329" s="8">
        <v>0</v>
      </c>
      <c r="E3329" s="8">
        <v>0</v>
      </c>
      <c r="F3329" s="8">
        <v>10</v>
      </c>
    </row>
    <row r="3330" spans="1:6" ht="12.75">
      <c r="A3330" s="8">
        <v>43903.616747685184</v>
      </c>
      <c r="B3330" s="8" t="str">
        <f>HYPERLINK("https://twitter.com/KavindraOemar","@KavindraOemar")</f>
        <v>@KavindraOemar</v>
      </c>
      <c r="C3330" s="8" t="s">
        <v>587</v>
      </c>
      <c r="D3330" s="8">
        <v>17</v>
      </c>
      <c r="E3330" s="8">
        <v>0</v>
      </c>
      <c r="F3330" s="8">
        <v>3747</v>
      </c>
    </row>
    <row r="3331" spans="1:6" ht="12.75">
      <c r="A3331" s="8">
        <v>43903.616354166668</v>
      </c>
      <c r="B3331" s="8" t="str">
        <f>HYPERLINK("https://twitter.com/Dreamcoid","@Dreamcoid")</f>
        <v>@Dreamcoid</v>
      </c>
      <c r="C3331" s="8" t="s">
        <v>1863</v>
      </c>
      <c r="D3331" s="8">
        <v>0</v>
      </c>
      <c r="E3331" s="8">
        <v>1</v>
      </c>
      <c r="F3331" s="8">
        <v>11592</v>
      </c>
    </row>
    <row r="3332" spans="1:6" ht="12.75">
      <c r="A3332" s="8">
        <v>43903.615717592591</v>
      </c>
      <c r="B3332" s="8" t="str">
        <f>HYPERLINK("https://twitter.com/TokenListrikmu","@TokenListrikmu")</f>
        <v>@TokenListrikmu</v>
      </c>
      <c r="C3332" s="8" t="s">
        <v>587</v>
      </c>
      <c r="D3332" s="8">
        <v>17</v>
      </c>
      <c r="E3332" s="8">
        <v>0</v>
      </c>
      <c r="F3332" s="8">
        <v>693</v>
      </c>
    </row>
    <row r="3333" spans="1:6" ht="12.75">
      <c r="A3333" s="8">
        <v>43903.615694444445</v>
      </c>
      <c r="B3333" s="8" t="str">
        <f>HYPERLINK("https://twitter.com/Radot_MS","@Radot_MS")</f>
        <v>@Radot_MS</v>
      </c>
      <c r="C3333" s="8" t="s">
        <v>1860</v>
      </c>
      <c r="D3333" s="8">
        <v>2</v>
      </c>
      <c r="E3333" s="8">
        <v>0</v>
      </c>
      <c r="F3333" s="8">
        <v>2162</v>
      </c>
    </row>
    <row r="3334" spans="1:6" ht="12.75">
      <c r="A3334" s="8">
        <v>43903.615601851852</v>
      </c>
      <c r="B3334" s="8" t="str">
        <f>HYPERLINK("https://twitter.com/SelectaTiara","@SelectaTiara")</f>
        <v>@SelectaTiara</v>
      </c>
      <c r="C3334" s="8" t="s">
        <v>1864</v>
      </c>
      <c r="D3334" s="8">
        <v>2</v>
      </c>
      <c r="E3334" s="8">
        <v>2</v>
      </c>
      <c r="F3334" s="8">
        <v>204</v>
      </c>
    </row>
    <row r="3335" spans="1:6" ht="12.75">
      <c r="A3335" s="8">
        <v>43903.614745370374</v>
      </c>
      <c r="B3335" s="8" t="str">
        <f>HYPERLINK("https://twitter.com/arisutrisna_ari","@arisutrisna_ari")</f>
        <v>@arisutrisna_ari</v>
      </c>
      <c r="C3335" s="8" t="s">
        <v>1865</v>
      </c>
      <c r="D3335" s="8">
        <v>0</v>
      </c>
      <c r="E3335" s="8">
        <v>0</v>
      </c>
      <c r="F3335" s="8">
        <v>455</v>
      </c>
    </row>
    <row r="3336" spans="1:6" ht="12.75">
      <c r="A3336" s="8">
        <v>43903.613611111112</v>
      </c>
      <c r="B3336" s="8" t="str">
        <f>HYPERLINK("https://twitter.com/Gadgetyotta","@Gadgetyotta")</f>
        <v>@Gadgetyotta</v>
      </c>
      <c r="C3336" s="8" t="s">
        <v>289</v>
      </c>
      <c r="D3336" s="8">
        <v>117</v>
      </c>
      <c r="E3336" s="8">
        <v>0</v>
      </c>
      <c r="F3336" s="8">
        <v>45</v>
      </c>
    </row>
    <row r="3337" spans="1:6" ht="12.75">
      <c r="A3337" s="8">
        <v>43903.613553240742</v>
      </c>
      <c r="B3337" s="8" t="str">
        <f>HYPERLINK("https://twitter.com/tarekk6666","@tarekk6666")</f>
        <v>@tarekk6666</v>
      </c>
      <c r="C3337" s="8" t="s">
        <v>302</v>
      </c>
      <c r="D3337" s="8">
        <v>7</v>
      </c>
      <c r="E3337" s="8">
        <v>0</v>
      </c>
      <c r="F3337" s="8">
        <v>611</v>
      </c>
    </row>
    <row r="3338" spans="1:6" ht="12.75">
      <c r="A3338" s="8">
        <v>43903.612974537042</v>
      </c>
      <c r="B3338" s="8" t="str">
        <f>HYPERLINK("https://twitter.com/K3muning_1","@K3muning_1")</f>
        <v>@K3muning_1</v>
      </c>
      <c r="C3338" s="8" t="s">
        <v>874</v>
      </c>
      <c r="D3338" s="8">
        <v>28</v>
      </c>
      <c r="E3338" s="8">
        <v>0</v>
      </c>
      <c r="F3338" s="8">
        <v>2408</v>
      </c>
    </row>
    <row r="3339" spans="1:6" ht="12.75">
      <c r="A3339" s="8">
        <v>43903.612245370372</v>
      </c>
      <c r="B3339" s="8" t="str">
        <f>HYPERLINK("https://twitter.com/karimamrullah82","@karimamrullah82")</f>
        <v>@karimamrullah82</v>
      </c>
      <c r="C3339" s="8" t="s">
        <v>587</v>
      </c>
      <c r="D3339" s="8">
        <v>17</v>
      </c>
      <c r="E3339" s="8">
        <v>0</v>
      </c>
      <c r="F3339" s="8">
        <v>365</v>
      </c>
    </row>
    <row r="3340" spans="1:6" ht="12.75">
      <c r="A3340" s="8">
        <v>43903.61215277778</v>
      </c>
      <c r="B3340" s="8" t="str">
        <f>HYPERLINK("https://twitter.com/korongna","@korongna")</f>
        <v>@korongna</v>
      </c>
      <c r="C3340" s="8" t="s">
        <v>587</v>
      </c>
      <c r="D3340" s="8">
        <v>17</v>
      </c>
      <c r="E3340" s="8">
        <v>0</v>
      </c>
      <c r="F3340" s="8">
        <v>478</v>
      </c>
    </row>
    <row r="3341" spans="1:6" ht="12.75">
      <c r="A3341" s="8">
        <v>43903.612129629633</v>
      </c>
      <c r="B3341" s="8" t="str">
        <f>HYPERLINK("https://twitter.com/insatanwetrust0","@insatanwetrust0")</f>
        <v>@insatanwetrust0</v>
      </c>
      <c r="C3341" s="8" t="s">
        <v>1866</v>
      </c>
      <c r="D3341" s="8">
        <v>0</v>
      </c>
      <c r="E3341" s="8">
        <v>0</v>
      </c>
      <c r="F3341" s="8">
        <v>31</v>
      </c>
    </row>
    <row r="3342" spans="1:6" ht="12.75">
      <c r="A3342" s="8">
        <v>43903.611759259264</v>
      </c>
      <c r="B3342" s="8" t="str">
        <f>HYPERLINK("https://twitter.com/BudakHerang","@BudakHerang")</f>
        <v>@BudakHerang</v>
      </c>
      <c r="C3342" s="8" t="s">
        <v>353</v>
      </c>
      <c r="D3342" s="8">
        <v>71</v>
      </c>
      <c r="E3342" s="8">
        <v>0</v>
      </c>
      <c r="F3342" s="8">
        <v>1339</v>
      </c>
    </row>
    <row r="3343" spans="1:6" ht="12.75">
      <c r="A3343" s="8">
        <v>43903.611724537041</v>
      </c>
      <c r="B3343" s="8" t="str">
        <f>HYPERLINK("https://twitter.com/jalunoeradi","@jalunoeradi")</f>
        <v>@jalunoeradi</v>
      </c>
      <c r="C3343" s="8" t="s">
        <v>1459</v>
      </c>
      <c r="D3343" s="8">
        <v>2</v>
      </c>
      <c r="E3343" s="8">
        <v>0</v>
      </c>
      <c r="F3343" s="8">
        <v>296</v>
      </c>
    </row>
    <row r="3344" spans="1:6" ht="12.75">
      <c r="A3344" s="8">
        <v>43903.611631944441</v>
      </c>
      <c r="B3344" s="8" t="str">
        <f>HYPERLINK("https://twitter.com/JSuhendarTea1","@JSuhendarTea1")</f>
        <v>@JSuhendarTea1</v>
      </c>
      <c r="C3344" s="8" t="s">
        <v>587</v>
      </c>
      <c r="D3344" s="8">
        <v>17</v>
      </c>
      <c r="E3344" s="8">
        <v>0</v>
      </c>
      <c r="F3344" s="8">
        <v>168</v>
      </c>
    </row>
    <row r="3345" spans="1:6" ht="12.75">
      <c r="A3345" s="8">
        <v>43903.611342592594</v>
      </c>
      <c r="B3345" s="8" t="str">
        <f>HYPERLINK("https://twitter.com/SINDOnews","@SINDOnews")</f>
        <v>@SINDOnews</v>
      </c>
      <c r="C3345" s="8" t="s">
        <v>1867</v>
      </c>
      <c r="D3345" s="8">
        <v>0</v>
      </c>
      <c r="E3345" s="8">
        <v>3</v>
      </c>
      <c r="F3345" s="8">
        <v>271873</v>
      </c>
    </row>
    <row r="3346" spans="1:6" ht="12.75">
      <c r="A3346" s="8">
        <v>43903.611134259263</v>
      </c>
      <c r="B3346" s="8" t="str">
        <f>HYPERLINK("https://twitter.com/absofyan24","@absofyan24")</f>
        <v>@absofyan24</v>
      </c>
      <c r="C3346" s="8" t="s">
        <v>1784</v>
      </c>
      <c r="D3346" s="8">
        <v>7</v>
      </c>
      <c r="E3346" s="8">
        <v>0</v>
      </c>
      <c r="F3346" s="8">
        <v>82</v>
      </c>
    </row>
    <row r="3347" spans="1:6" ht="12.75">
      <c r="A3347" s="8">
        <v>43903.610682870371</v>
      </c>
      <c r="B3347" s="8" t="str">
        <f>HYPERLINK("https://twitter.com/KJRI_Vancouver","@KJRI_Vancouver")</f>
        <v>@KJRI_Vancouver</v>
      </c>
      <c r="C3347" s="8" t="s">
        <v>134</v>
      </c>
      <c r="D3347" s="8">
        <v>28</v>
      </c>
      <c r="E3347" s="8">
        <v>0</v>
      </c>
      <c r="F3347" s="8">
        <v>2372</v>
      </c>
    </row>
    <row r="3348" spans="1:6" ht="12.75">
      <c r="A3348" s="8">
        <v>43903.610115740739</v>
      </c>
      <c r="B3348" s="8" t="str">
        <f>HYPERLINK("https://twitter.com/lantip","@lantip")</f>
        <v>@lantip</v>
      </c>
      <c r="C3348" s="8" t="s">
        <v>1784</v>
      </c>
      <c r="D3348" s="8">
        <v>7</v>
      </c>
      <c r="E3348" s="8">
        <v>0</v>
      </c>
      <c r="F3348" s="8">
        <v>26803</v>
      </c>
    </row>
    <row r="3349" spans="1:6" ht="12.75">
      <c r="A3349" s="8">
        <v>43903.6096875</v>
      </c>
      <c r="B3349" s="8" t="str">
        <f>HYPERLINK("https://twitter.com/palbapang1","@palbapang1")</f>
        <v>@palbapang1</v>
      </c>
      <c r="C3349" s="8" t="s">
        <v>587</v>
      </c>
      <c r="D3349" s="8">
        <v>17</v>
      </c>
      <c r="E3349" s="8">
        <v>0</v>
      </c>
      <c r="F3349" s="8">
        <v>1268</v>
      </c>
    </row>
    <row r="3350" spans="1:6" ht="12.75">
      <c r="A3350" s="8">
        <v>43903.609525462962</v>
      </c>
      <c r="B3350" s="8" t="str">
        <f>HYPERLINK("https://twitter.com/AhfaIkoni","@AhfaIkoni")</f>
        <v>@AhfaIkoni</v>
      </c>
      <c r="C3350" s="8" t="s">
        <v>1148</v>
      </c>
      <c r="D3350" s="8">
        <v>7</v>
      </c>
      <c r="E3350" s="8">
        <v>0</v>
      </c>
      <c r="F3350" s="8">
        <v>75</v>
      </c>
    </row>
    <row r="3351" spans="1:6" ht="12.75">
      <c r="A3351" s="8">
        <v>43903.60938657407</v>
      </c>
      <c r="B3351" s="8" t="str">
        <f>HYPERLINK("https://twitter.com/terapikomik","@terapikomik")</f>
        <v>@terapikomik</v>
      </c>
      <c r="C3351" s="8" t="s">
        <v>1784</v>
      </c>
      <c r="D3351" s="8">
        <v>7</v>
      </c>
      <c r="E3351" s="8">
        <v>0</v>
      </c>
      <c r="F3351" s="8">
        <v>431</v>
      </c>
    </row>
    <row r="3352" spans="1:6" ht="12.75">
      <c r="A3352" s="8">
        <v>43903.609340277777</v>
      </c>
      <c r="B3352" s="8" t="str">
        <f>HYPERLINK("https://twitter.com/Nick_DAlf","@Nick_DAlf")</f>
        <v>@Nick_DAlf</v>
      </c>
      <c r="C3352" s="8" t="s">
        <v>874</v>
      </c>
      <c r="D3352" s="8">
        <v>28</v>
      </c>
      <c r="E3352" s="8">
        <v>0</v>
      </c>
      <c r="F3352" s="8">
        <v>4149</v>
      </c>
    </row>
    <row r="3353" spans="1:6" ht="12.75">
      <c r="A3353" s="8">
        <v>43903.60873842593</v>
      </c>
      <c r="B3353" s="8" t="str">
        <f>HYPERLINK("https://twitter.com/TumijanAkhyar","@TumijanAkhyar")</f>
        <v>@TumijanAkhyar</v>
      </c>
      <c r="C3353" s="8" t="s">
        <v>1868</v>
      </c>
      <c r="D3353" s="8">
        <v>0</v>
      </c>
      <c r="E3353" s="8">
        <v>0</v>
      </c>
      <c r="F3353" s="8">
        <v>134</v>
      </c>
    </row>
    <row r="3354" spans="1:6" ht="12.75">
      <c r="A3354" s="8">
        <v>43903.60800925926</v>
      </c>
      <c r="B3354" s="8" t="str">
        <f>HYPERLINK("https://twitter.com/WPHalim","@WPHalim")</f>
        <v>@WPHalim</v>
      </c>
      <c r="C3354" s="8" t="s">
        <v>874</v>
      </c>
      <c r="D3354" s="8">
        <v>28</v>
      </c>
      <c r="E3354" s="8">
        <v>0</v>
      </c>
      <c r="F3354" s="8">
        <v>322</v>
      </c>
    </row>
    <row r="3355" spans="1:6" ht="12.75">
      <c r="A3355" s="8">
        <v>43903.607951388884</v>
      </c>
      <c r="B3355" s="8" t="str">
        <f>HYPERLINK("https://twitter.com/deavhy_hasan","@deavhy_hasan")</f>
        <v>@deavhy_hasan</v>
      </c>
      <c r="C3355" s="8" t="s">
        <v>134</v>
      </c>
      <c r="D3355" s="8">
        <v>28</v>
      </c>
      <c r="E3355" s="8">
        <v>0</v>
      </c>
      <c r="F3355" s="8">
        <v>70</v>
      </c>
    </row>
    <row r="3356" spans="1:6" ht="12.75">
      <c r="A3356" s="8">
        <v>43903.607800925922</v>
      </c>
      <c r="B3356" s="8" t="str">
        <f>HYPERLINK("https://twitter.com/brongkosh","@brongkosh")</f>
        <v>@brongkosh</v>
      </c>
      <c r="C3356" s="8" t="s">
        <v>1869</v>
      </c>
      <c r="D3356" s="8">
        <v>0</v>
      </c>
      <c r="E3356" s="8">
        <v>0</v>
      </c>
      <c r="F3356" s="8">
        <v>221</v>
      </c>
    </row>
    <row r="3357" spans="1:6" ht="12.75">
      <c r="A3357" s="8">
        <v>43903.607719907406</v>
      </c>
      <c r="B3357" s="8" t="str">
        <f>HYPERLINK("https://twitter.com/MrsRachelIn","@MrsRachelIn")</f>
        <v>@MrsRachelIn</v>
      </c>
      <c r="C3357" s="8" t="s">
        <v>1870</v>
      </c>
      <c r="D3357" s="8">
        <v>0</v>
      </c>
      <c r="E3357" s="8">
        <v>0</v>
      </c>
      <c r="F3357" s="8">
        <v>3591</v>
      </c>
    </row>
    <row r="3358" spans="1:6" ht="12.75">
      <c r="A3358" s="8">
        <v>43903.60738425926</v>
      </c>
      <c r="B3358" s="8" t="str">
        <f>HYPERLINK("https://twitter.com/__interlac_","@__interlac_")</f>
        <v>@__interlac_</v>
      </c>
      <c r="C3358" s="8" t="s">
        <v>587</v>
      </c>
      <c r="D3358" s="8">
        <v>17</v>
      </c>
      <c r="E3358" s="8">
        <v>0</v>
      </c>
      <c r="F3358" s="8">
        <v>7427</v>
      </c>
    </row>
    <row r="3359" spans="1:6" ht="12.75">
      <c r="A3359" s="8">
        <v>43903.60728009259</v>
      </c>
      <c r="B3359" s="8" t="str">
        <f>HYPERLINK("https://twitter.com/RickyVSim","@RickyVSim")</f>
        <v>@RickyVSim</v>
      </c>
      <c r="C3359" s="8" t="s">
        <v>353</v>
      </c>
      <c r="D3359" s="8">
        <v>71</v>
      </c>
      <c r="E3359" s="8">
        <v>0</v>
      </c>
      <c r="F3359" s="8">
        <v>556</v>
      </c>
    </row>
    <row r="3360" spans="1:6" ht="12.75">
      <c r="A3360" s="8">
        <v>43903.606759259259</v>
      </c>
      <c r="B3360" s="8" t="str">
        <f>HYPERLINK("https://twitter.com/jurniscom","@jurniscom")</f>
        <v>@jurniscom</v>
      </c>
      <c r="C3360" s="8" t="s">
        <v>1871</v>
      </c>
      <c r="D3360" s="8">
        <v>0</v>
      </c>
      <c r="E3360" s="8">
        <v>0</v>
      </c>
      <c r="F3360" s="8">
        <v>2383</v>
      </c>
    </row>
    <row r="3361" spans="1:6" ht="12.75">
      <c r="A3361" s="8">
        <v>43903.606469907405</v>
      </c>
      <c r="B3361" s="8" t="str">
        <f>HYPERLINK("https://twitter.com/Bintari80907573","@Bintari80907573")</f>
        <v>@Bintari80907573</v>
      </c>
      <c r="C3361" s="8" t="s">
        <v>587</v>
      </c>
      <c r="D3361" s="8">
        <v>17</v>
      </c>
      <c r="E3361" s="8">
        <v>0</v>
      </c>
      <c r="F3361" s="8">
        <v>552</v>
      </c>
    </row>
    <row r="3362" spans="1:6" ht="12.75">
      <c r="A3362" s="8">
        <v>43903.605694444443</v>
      </c>
      <c r="B3362" s="8" t="str">
        <f>HYPERLINK("https://twitter.com/muotan","@muotan")</f>
        <v>@muotan</v>
      </c>
      <c r="C3362" s="8" t="s">
        <v>1872</v>
      </c>
      <c r="D3362" s="8">
        <v>2</v>
      </c>
      <c r="E3362" s="8">
        <v>0</v>
      </c>
      <c r="F3362" s="8">
        <v>136</v>
      </c>
    </row>
    <row r="3363" spans="1:6" ht="12.75">
      <c r="A3363" s="8">
        <v>43903.605462962965</v>
      </c>
      <c r="B3363" s="8" t="str">
        <f>HYPERLINK("https://twitter.com/ghazyalfarras","@ghazyalfarras")</f>
        <v>@ghazyalfarras</v>
      </c>
      <c r="C3363" s="8" t="s">
        <v>1873</v>
      </c>
      <c r="D3363" s="8">
        <v>0</v>
      </c>
      <c r="E3363" s="8">
        <v>0</v>
      </c>
      <c r="F3363" s="8">
        <v>3960</v>
      </c>
    </row>
    <row r="3364" spans="1:6" ht="12.75">
      <c r="A3364" s="8">
        <v>43903.605243055557</v>
      </c>
      <c r="B3364" s="8" t="str">
        <f>HYPERLINK("https://twitter.com/TukangRitwiit","@TukangRitwiit")</f>
        <v>@TukangRitwiit</v>
      </c>
      <c r="C3364" s="8" t="s">
        <v>874</v>
      </c>
      <c r="D3364" s="8">
        <v>28</v>
      </c>
      <c r="E3364" s="8">
        <v>0</v>
      </c>
      <c r="F3364" s="8">
        <v>2058</v>
      </c>
    </row>
    <row r="3365" spans="1:6" ht="12.75">
      <c r="A3365" s="8">
        <v>43903.605243055557</v>
      </c>
      <c r="B3365" s="8" t="str">
        <f>HYPERLINK("https://twitter.com/Amansin78700568","@Amansin78700568")</f>
        <v>@Amansin78700568</v>
      </c>
      <c r="C3365" s="8" t="s">
        <v>1874</v>
      </c>
      <c r="D3365" s="8">
        <v>0</v>
      </c>
      <c r="E3365" s="8">
        <v>0</v>
      </c>
      <c r="F3365" s="8">
        <v>544</v>
      </c>
    </row>
    <row r="3366" spans="1:6" ht="12.75">
      <c r="A3366" s="8">
        <v>43903.605150462958</v>
      </c>
      <c r="B3366" s="8" t="str">
        <f>HYPERLINK("https://twitter.com/Wiggyap","@Wiggyap")</f>
        <v>@Wiggyap</v>
      </c>
      <c r="C3366" s="8" t="s">
        <v>1875</v>
      </c>
      <c r="D3366" s="8">
        <v>102</v>
      </c>
      <c r="E3366" s="8">
        <v>0</v>
      </c>
      <c r="F3366" s="8">
        <v>5</v>
      </c>
    </row>
    <row r="3367" spans="1:6" ht="12.75">
      <c r="A3367" s="8">
        <v>43903.604930555557</v>
      </c>
      <c r="B3367" s="8" t="str">
        <f>HYPERLINK("https://twitter.com/mrsnail22","@mrsnail22")</f>
        <v>@mrsnail22</v>
      </c>
      <c r="C3367" s="8" t="s">
        <v>925</v>
      </c>
      <c r="D3367" s="8">
        <v>130</v>
      </c>
      <c r="E3367" s="8">
        <v>0</v>
      </c>
      <c r="F3367" s="8">
        <v>424</v>
      </c>
    </row>
    <row r="3368" spans="1:6" ht="12.75">
      <c r="A3368" s="8">
        <v>43903.604768518519</v>
      </c>
      <c r="B3368" s="8" t="str">
        <f>HYPERLINK("https://twitter.com/okezonenews","@okezonenews")</f>
        <v>@okezonenews</v>
      </c>
      <c r="C3368" s="8" t="s">
        <v>1876</v>
      </c>
      <c r="D3368" s="8">
        <v>0</v>
      </c>
      <c r="E3368" s="8">
        <v>0</v>
      </c>
      <c r="F3368" s="8">
        <v>1744145</v>
      </c>
    </row>
    <row r="3369" spans="1:6" ht="12.75">
      <c r="A3369" s="8">
        <v>43903.604745370365</v>
      </c>
      <c r="B3369" s="8" t="str">
        <f>HYPERLINK("https://twitter.com/dodi_ahmad07","@dodi_ahmad07")</f>
        <v>@dodi_ahmad07</v>
      </c>
      <c r="C3369" s="8" t="s">
        <v>874</v>
      </c>
      <c r="D3369" s="8">
        <v>28</v>
      </c>
      <c r="E3369" s="8">
        <v>0</v>
      </c>
      <c r="F3369" s="8">
        <v>648</v>
      </c>
    </row>
    <row r="3370" spans="1:6" ht="12.75">
      <c r="A3370" s="8">
        <v>43903.603182870371</v>
      </c>
      <c r="B3370" s="8" t="str">
        <f>HYPERLINK("https://twitter.com/ru8ymarch","@ru8ymarch")</f>
        <v>@ru8ymarch</v>
      </c>
      <c r="C3370" s="8" t="s">
        <v>1877</v>
      </c>
      <c r="D3370" s="8">
        <v>0</v>
      </c>
      <c r="E3370" s="8">
        <v>0</v>
      </c>
      <c r="F3370" s="8">
        <v>0</v>
      </c>
    </row>
    <row r="3371" spans="1:6" ht="12.75">
      <c r="A3371" s="8">
        <v>43903.603090277778</v>
      </c>
      <c r="B3371" s="8" t="str">
        <f>HYPERLINK("https://twitter.com/samhudibae","@samhudibae")</f>
        <v>@samhudibae</v>
      </c>
      <c r="C3371" s="8" t="s">
        <v>874</v>
      </c>
      <c r="D3371" s="8">
        <v>28</v>
      </c>
      <c r="E3371" s="8">
        <v>0</v>
      </c>
      <c r="F3371" s="8">
        <v>3942</v>
      </c>
    </row>
    <row r="3372" spans="1:6" ht="12.75">
      <c r="A3372" s="8">
        <v>43903.602986111116</v>
      </c>
      <c r="B3372" s="8" t="str">
        <f>HYPERLINK("https://twitter.com/Nabila_Sasi","@Nabila_Sasi")</f>
        <v>@Nabila_Sasi</v>
      </c>
      <c r="C3372" s="8" t="s">
        <v>874</v>
      </c>
      <c r="D3372" s="8">
        <v>28</v>
      </c>
      <c r="E3372" s="8">
        <v>0</v>
      </c>
      <c r="F3372" s="8">
        <v>933</v>
      </c>
    </row>
    <row r="3373" spans="1:6" ht="12.75">
      <c r="A3373" s="8">
        <v>43903.60256944444</v>
      </c>
      <c r="B3373" s="8" t="str">
        <f>HYPERLINK("https://twitter.com/AnkitPa66737970","@AnkitPa66737970")</f>
        <v>@AnkitPa66737970</v>
      </c>
      <c r="C3373" s="8" t="s">
        <v>1195</v>
      </c>
      <c r="D3373" s="8">
        <v>2601</v>
      </c>
      <c r="E3373" s="8">
        <v>0</v>
      </c>
      <c r="F3373" s="8">
        <v>117</v>
      </c>
    </row>
    <row r="3374" spans="1:6" ht="12.75">
      <c r="A3374" s="8">
        <v>43903.601064814815</v>
      </c>
      <c r="B3374" s="8" t="str">
        <f>HYPERLINK("https://twitter.com/kompascom","@kompascom")</f>
        <v>@kompascom</v>
      </c>
      <c r="C3374" s="8" t="s">
        <v>1878</v>
      </c>
      <c r="D3374" s="8">
        <v>2</v>
      </c>
      <c r="E3374" s="8">
        <v>4</v>
      </c>
      <c r="F3374" s="8">
        <v>7544551</v>
      </c>
    </row>
    <row r="3375" spans="1:6" ht="12.75">
      <c r="A3375" s="8">
        <v>43903.600486111114</v>
      </c>
      <c r="B3375" s="8" t="str">
        <f>HYPERLINK("https://twitter.com/ulakoros","@ulakoros")</f>
        <v>@ulakoros</v>
      </c>
      <c r="C3375" s="8" t="s">
        <v>1879</v>
      </c>
      <c r="D3375" s="8">
        <v>0</v>
      </c>
      <c r="E3375" s="8">
        <v>0</v>
      </c>
      <c r="F3375" s="8">
        <v>452</v>
      </c>
    </row>
    <row r="3376" spans="1:6" ht="12.75">
      <c r="A3376" s="8">
        <v>43903.600370370375</v>
      </c>
      <c r="B3376" s="8" t="str">
        <f>HYPERLINK("https://twitter.com/kasman_vandi","@kasman_vandi")</f>
        <v>@kasman_vandi</v>
      </c>
      <c r="C3376" s="8" t="s">
        <v>1880</v>
      </c>
      <c r="D3376" s="8">
        <v>0</v>
      </c>
      <c r="E3376" s="8">
        <v>0</v>
      </c>
      <c r="F3376" s="8">
        <v>915</v>
      </c>
    </row>
    <row r="3377" spans="1:6" ht="12.75">
      <c r="A3377" s="8">
        <v>43903.600335648152</v>
      </c>
      <c r="B3377" s="8" t="str">
        <f t="shared" ref="B3377:B3378" si="63">HYPERLINK("https://twitter.com/wni_jmsri","@wni_jmsri")</f>
        <v>@wni_jmsri</v>
      </c>
      <c r="C3377" s="8" t="s">
        <v>1881</v>
      </c>
      <c r="D3377" s="8">
        <v>3954</v>
      </c>
      <c r="E3377" s="8">
        <v>0</v>
      </c>
      <c r="F3377" s="8">
        <v>202</v>
      </c>
    </row>
    <row r="3378" spans="1:6" ht="12.75">
      <c r="A3378" s="8">
        <v>43903.600231481483</v>
      </c>
      <c r="B3378" s="8" t="str">
        <f t="shared" si="63"/>
        <v>@wni_jmsri</v>
      </c>
      <c r="C3378" s="8" t="s">
        <v>1882</v>
      </c>
      <c r="D3378" s="8">
        <v>2</v>
      </c>
      <c r="E3378" s="8">
        <v>0</v>
      </c>
      <c r="F3378" s="8">
        <v>202</v>
      </c>
    </row>
    <row r="3379" spans="1:6" ht="12.75">
      <c r="A3379" s="8">
        <v>43903.600057870368</v>
      </c>
      <c r="B3379" s="8" t="str">
        <f>HYPERLINK("https://twitter.com/KadrunHunter99","@KadrunHunter99")</f>
        <v>@KadrunHunter99</v>
      </c>
      <c r="C3379" s="8" t="s">
        <v>874</v>
      </c>
      <c r="D3379" s="8">
        <v>28</v>
      </c>
      <c r="E3379" s="8">
        <v>0</v>
      </c>
      <c r="F3379" s="8">
        <v>4257</v>
      </c>
    </row>
    <row r="3380" spans="1:6" ht="12.75">
      <c r="A3380" s="8">
        <v>43903.6</v>
      </c>
      <c r="B3380" s="8" t="str">
        <f>HYPERLINK("https://twitter.com/azerhafNEW","@azerhafNEW")</f>
        <v>@azerhafNEW</v>
      </c>
      <c r="C3380" s="8" t="s">
        <v>1800</v>
      </c>
      <c r="D3380" s="8">
        <v>77</v>
      </c>
      <c r="E3380" s="8">
        <v>0</v>
      </c>
      <c r="F3380" s="8">
        <v>94</v>
      </c>
    </row>
    <row r="3381" spans="1:6" ht="12.75">
      <c r="A3381" s="8">
        <v>43903.599317129629</v>
      </c>
      <c r="B3381" s="8" t="str">
        <f t="shared" ref="B3381:B3382" si="64">HYPERLINK("https://twitter.com/auliarahmanl","@auliarahmanl")</f>
        <v>@auliarahmanl</v>
      </c>
      <c r="C3381" s="8" t="s">
        <v>1658</v>
      </c>
      <c r="D3381" s="8">
        <v>0</v>
      </c>
      <c r="E3381" s="8">
        <v>0</v>
      </c>
      <c r="F3381" s="8">
        <v>8703</v>
      </c>
    </row>
    <row r="3382" spans="1:6" ht="12.75">
      <c r="A3382" s="8">
        <v>43903.599236111113</v>
      </c>
      <c r="B3382" s="8" t="str">
        <f t="shared" si="64"/>
        <v>@auliarahmanl</v>
      </c>
      <c r="C3382" s="8" t="s">
        <v>1883</v>
      </c>
      <c r="D3382" s="8">
        <v>0</v>
      </c>
      <c r="E3382" s="8">
        <v>0</v>
      </c>
      <c r="F3382" s="8">
        <v>8703</v>
      </c>
    </row>
    <row r="3383" spans="1:6" ht="12.75">
      <c r="A3383" s="8">
        <v>43903.59847222222</v>
      </c>
      <c r="B3383" s="8" t="str">
        <f>HYPERLINK("https://twitter.com/del_paizo","@del_paizo")</f>
        <v>@del_paizo</v>
      </c>
      <c r="C3383" s="8" t="s">
        <v>925</v>
      </c>
      <c r="D3383" s="8">
        <v>130</v>
      </c>
      <c r="E3383" s="8">
        <v>0</v>
      </c>
      <c r="F3383" s="8">
        <v>110</v>
      </c>
    </row>
    <row r="3384" spans="1:6" ht="12.75">
      <c r="A3384" s="8">
        <v>43903.598263888889</v>
      </c>
      <c r="B3384" s="8" t="str">
        <f>HYPERLINK("https://twitter.com/RizkyNafi21","@RizkyNafi21")</f>
        <v>@RizkyNafi21</v>
      </c>
      <c r="C3384" s="8" t="s">
        <v>874</v>
      </c>
      <c r="D3384" s="8">
        <v>28</v>
      </c>
      <c r="E3384" s="8">
        <v>0</v>
      </c>
      <c r="F3384" s="8">
        <v>2293</v>
      </c>
    </row>
    <row r="3385" spans="1:6" ht="12.75">
      <c r="A3385" s="8">
        <v>43903.597546296296</v>
      </c>
      <c r="B3385" s="8" t="str">
        <f>HYPERLINK("https://twitter.com/myatharva","@myatharva")</f>
        <v>@myatharva</v>
      </c>
      <c r="C3385" s="8" t="s">
        <v>1884</v>
      </c>
      <c r="D3385" s="8">
        <v>1</v>
      </c>
      <c r="E3385" s="8">
        <v>0</v>
      </c>
      <c r="F3385" s="8">
        <v>4038</v>
      </c>
    </row>
    <row r="3386" spans="1:6" ht="12.75">
      <c r="A3386" s="8">
        <v>43903.597233796296</v>
      </c>
      <c r="B3386" s="8" t="str">
        <f>HYPERLINK("https://twitter.com/takdir17","@takdir17")</f>
        <v>@takdir17</v>
      </c>
      <c r="C3386" s="8" t="s">
        <v>774</v>
      </c>
      <c r="D3386" s="8">
        <v>8</v>
      </c>
      <c r="E3386" s="8">
        <v>0</v>
      </c>
      <c r="F3386" s="8">
        <v>340</v>
      </c>
    </row>
    <row r="3387" spans="1:6" ht="12.75">
      <c r="A3387" s="8">
        <v>43903.596273148149</v>
      </c>
      <c r="B3387" s="8" t="str">
        <f>HYPERLINK("https://twitter.com/jeff_pravda","@jeff_pravda")</f>
        <v>@jeff_pravda</v>
      </c>
      <c r="C3387" s="8" t="s">
        <v>1885</v>
      </c>
      <c r="D3387" s="8">
        <v>0</v>
      </c>
      <c r="E3387" s="8">
        <v>1</v>
      </c>
      <c r="F3387" s="8">
        <v>57</v>
      </c>
    </row>
    <row r="3388" spans="1:6" ht="12.75">
      <c r="A3388" s="8">
        <v>43903.595902777779</v>
      </c>
      <c r="B3388" s="8" t="str">
        <f>HYPERLINK("https://twitter.com/sirajapadoha","@sirajapadoha")</f>
        <v>@sirajapadoha</v>
      </c>
      <c r="C3388" s="8" t="s">
        <v>874</v>
      </c>
      <c r="D3388" s="8">
        <v>28</v>
      </c>
      <c r="E3388" s="8">
        <v>0</v>
      </c>
      <c r="F3388" s="8">
        <v>2501</v>
      </c>
    </row>
    <row r="3389" spans="1:6" ht="12.75">
      <c r="A3389" s="8">
        <v>43903.59584490741</v>
      </c>
      <c r="B3389" s="8" t="str">
        <f>HYPERLINK("https://twitter.com/Leoherlambang12","@Leoherlambang12")</f>
        <v>@Leoherlambang12</v>
      </c>
      <c r="C3389" s="8" t="s">
        <v>925</v>
      </c>
      <c r="D3389" s="8">
        <v>130</v>
      </c>
      <c r="E3389" s="8">
        <v>0</v>
      </c>
      <c r="F3389" s="8">
        <v>83</v>
      </c>
    </row>
    <row r="3390" spans="1:6" ht="12.75">
      <c r="A3390" s="8">
        <v>43903.595590277779</v>
      </c>
      <c r="B3390" s="8" t="str">
        <f>HYPERLINK("https://twitter.com/kardusbox08","@kardusbox08")</f>
        <v>@kardusbox08</v>
      </c>
      <c r="C3390" s="8" t="s">
        <v>874</v>
      </c>
      <c r="D3390" s="8">
        <v>28</v>
      </c>
      <c r="E3390" s="8">
        <v>0</v>
      </c>
      <c r="F3390" s="8">
        <v>1897</v>
      </c>
    </row>
    <row r="3391" spans="1:6" ht="12.75">
      <c r="A3391" s="8">
        <v>43903.595555555556</v>
      </c>
      <c r="B3391" s="8" t="str">
        <f>HYPERLINK("https://twitter.com/BiLLRaY2019","@BiLLRaY2019")</f>
        <v>@BiLLRaY2019</v>
      </c>
      <c r="C3391" s="8" t="s">
        <v>874</v>
      </c>
      <c r="D3391" s="8">
        <v>28</v>
      </c>
      <c r="E3391" s="8">
        <v>0</v>
      </c>
      <c r="F3391" s="8">
        <v>11186</v>
      </c>
    </row>
    <row r="3392" spans="1:6" ht="12.75">
      <c r="A3392" s="8">
        <v>43903.595532407402</v>
      </c>
      <c r="B3392" s="8" t="str">
        <f>HYPERLINK("https://twitter.com/JanbaWaingade","@JanbaWaingade")</f>
        <v>@JanbaWaingade</v>
      </c>
      <c r="C3392" s="8" t="s">
        <v>1886</v>
      </c>
      <c r="D3392" s="8">
        <v>0</v>
      </c>
      <c r="E3392" s="8">
        <v>0</v>
      </c>
      <c r="F3392" s="8">
        <v>8</v>
      </c>
    </row>
    <row r="3393" spans="1:6" ht="12.75">
      <c r="A3393" s="8">
        <v>43903.595254629632</v>
      </c>
      <c r="B3393" s="8" t="str">
        <f>HYPERLINK("https://twitter.com/azis_4215","@azis_4215")</f>
        <v>@azis_4215</v>
      </c>
      <c r="C3393" s="8" t="s">
        <v>1887</v>
      </c>
      <c r="D3393" s="8">
        <v>0</v>
      </c>
      <c r="E3393" s="8">
        <v>0</v>
      </c>
      <c r="F3393" s="8">
        <v>33</v>
      </c>
    </row>
    <row r="3394" spans="1:6" ht="12.75">
      <c r="A3394" s="8">
        <v>43903.595243055555</v>
      </c>
      <c r="B3394" s="8" t="str">
        <f>HYPERLINK("https://twitter.com/BahasaHati6","@BahasaHati6")</f>
        <v>@BahasaHati6</v>
      </c>
      <c r="C3394" s="8" t="s">
        <v>874</v>
      </c>
      <c r="D3394" s="8">
        <v>28</v>
      </c>
      <c r="E3394" s="8">
        <v>0</v>
      </c>
      <c r="F3394" s="8">
        <v>3734</v>
      </c>
    </row>
    <row r="3395" spans="1:6" ht="12.75">
      <c r="A3395" s="8">
        <v>43903.594340277778</v>
      </c>
      <c r="B3395" s="8" t="str">
        <f>HYPERLINK("https://twitter.com/moh_effendie","@moh_effendie")</f>
        <v>@moh_effendie</v>
      </c>
      <c r="C3395" s="8" t="s">
        <v>1888</v>
      </c>
      <c r="D3395" s="8">
        <v>0</v>
      </c>
      <c r="E3395" s="8">
        <v>0</v>
      </c>
      <c r="F3395" s="8">
        <v>8589</v>
      </c>
    </row>
    <row r="3396" spans="1:6" ht="12.75">
      <c r="A3396" s="8">
        <v>43903.594039351854</v>
      </c>
      <c r="B3396" s="8" t="str">
        <f>HYPERLINK("https://twitter.com/JanbaWaingade","@JanbaWaingade")</f>
        <v>@JanbaWaingade</v>
      </c>
      <c r="C3396" s="8" t="s">
        <v>1889</v>
      </c>
      <c r="D3396" s="8">
        <v>0</v>
      </c>
      <c r="E3396" s="8">
        <v>0</v>
      </c>
      <c r="F3396" s="8">
        <v>8</v>
      </c>
    </row>
    <row r="3397" spans="1:6" ht="12.75">
      <c r="A3397" s="8">
        <v>43903.593622685185</v>
      </c>
      <c r="B3397" s="8" t="str">
        <f>HYPERLINK("https://twitter.com/hyukssii","@hyukssii")</f>
        <v>@hyukssii</v>
      </c>
      <c r="C3397" s="8" t="s">
        <v>1890</v>
      </c>
      <c r="D3397" s="8">
        <v>1</v>
      </c>
      <c r="E3397" s="8">
        <v>0</v>
      </c>
      <c r="F3397" s="8">
        <v>652</v>
      </c>
    </row>
    <row r="3398" spans="1:6" ht="12.75">
      <c r="A3398" s="8">
        <v>43903.593333333338</v>
      </c>
      <c r="B3398" s="8" t="str">
        <f>HYPERLINK("https://twitter.com/Alfi_RPiliang","@Alfi_RPiliang")</f>
        <v>@Alfi_RPiliang</v>
      </c>
      <c r="C3398" s="8" t="s">
        <v>1891</v>
      </c>
      <c r="D3398" s="8">
        <v>0</v>
      </c>
      <c r="E3398" s="8">
        <v>3</v>
      </c>
      <c r="F3398" s="8">
        <v>693</v>
      </c>
    </row>
    <row r="3399" spans="1:6" ht="12.75">
      <c r="A3399" s="8">
        <v>43903.593321759261</v>
      </c>
      <c r="B3399" s="8" t="str">
        <f>HYPERLINK("https://twitter.com/smile_guys","@smile_guys")</f>
        <v>@smile_guys</v>
      </c>
      <c r="C3399" s="8" t="s">
        <v>1872</v>
      </c>
      <c r="D3399" s="8">
        <v>3</v>
      </c>
      <c r="E3399" s="8">
        <v>0</v>
      </c>
      <c r="F3399" s="8">
        <v>141</v>
      </c>
    </row>
    <row r="3400" spans="1:6" ht="12.75">
      <c r="A3400" s="8">
        <v>43903.593252314815</v>
      </c>
      <c r="B3400" s="8" t="str">
        <f>HYPERLINK("https://twitter.com/Paulus_willy","@Paulus_willy")</f>
        <v>@Paulus_willy</v>
      </c>
      <c r="C3400" s="8" t="s">
        <v>874</v>
      </c>
      <c r="D3400" s="8">
        <v>28</v>
      </c>
      <c r="E3400" s="8">
        <v>0</v>
      </c>
      <c r="F3400" s="8">
        <v>2097</v>
      </c>
    </row>
    <row r="3401" spans="1:6" ht="12.75">
      <c r="A3401" s="8">
        <v>43903.592800925922</v>
      </c>
      <c r="B3401" s="8" t="str">
        <f>HYPERLINK("https://twitter.com/jjsengui","@jjsengui")</f>
        <v>@jjsengui</v>
      </c>
      <c r="C3401" s="8" t="s">
        <v>353</v>
      </c>
      <c r="D3401" s="8">
        <v>71</v>
      </c>
      <c r="E3401" s="8">
        <v>0</v>
      </c>
      <c r="F3401" s="8">
        <v>898</v>
      </c>
    </row>
    <row r="3402" spans="1:6" ht="12.75">
      <c r="A3402" s="8">
        <v>43903.592280092591</v>
      </c>
      <c r="B3402" s="8" t="str">
        <f>HYPERLINK("https://twitter.com/Antoniowan","@Antoniowan")</f>
        <v>@Antoniowan</v>
      </c>
      <c r="C3402" s="8" t="s">
        <v>925</v>
      </c>
      <c r="D3402" s="8">
        <v>130</v>
      </c>
      <c r="E3402" s="8">
        <v>0</v>
      </c>
      <c r="F3402" s="8">
        <v>1375</v>
      </c>
    </row>
    <row r="3403" spans="1:6" ht="12.75">
      <c r="A3403" s="8">
        <v>43903.592199074075</v>
      </c>
      <c r="B3403" s="8" t="str">
        <f>HYPERLINK("https://twitter.com/AEPishere","@AEPishere")</f>
        <v>@AEPishere</v>
      </c>
      <c r="C3403" s="8" t="s">
        <v>1872</v>
      </c>
      <c r="D3403" s="8">
        <v>3</v>
      </c>
      <c r="E3403" s="8">
        <v>0</v>
      </c>
      <c r="F3403" s="8">
        <v>3009</v>
      </c>
    </row>
    <row r="3404" spans="1:6" ht="12.75">
      <c r="A3404" s="8">
        <v>43903.590995370367</v>
      </c>
      <c r="B3404" s="8" t="str">
        <f>HYPERLINK("https://twitter.com/Haluan_media","@Haluan_media")</f>
        <v>@Haluan_media</v>
      </c>
      <c r="C3404" s="8" t="s">
        <v>1892</v>
      </c>
      <c r="D3404" s="8">
        <v>0</v>
      </c>
      <c r="E3404" s="8">
        <v>0</v>
      </c>
      <c r="F3404" s="8">
        <v>1549</v>
      </c>
    </row>
    <row r="3405" spans="1:6" ht="12.75">
      <c r="A3405" s="8">
        <v>43903.590983796297</v>
      </c>
      <c r="B3405" s="8" t="str">
        <f>HYPERLINK("https://twitter.com/kompascom","@kompascom")</f>
        <v>@kompascom</v>
      </c>
      <c r="C3405" s="8" t="s">
        <v>1878</v>
      </c>
      <c r="D3405" s="8">
        <v>3</v>
      </c>
      <c r="E3405" s="8">
        <v>6</v>
      </c>
      <c r="F3405" s="8">
        <v>7544551</v>
      </c>
    </row>
    <row r="3406" spans="1:6" ht="12.75">
      <c r="A3406" s="8">
        <v>43903.590520833328</v>
      </c>
      <c r="B3406" s="8" t="str">
        <f>HYPERLINK("https://twitter.com/SoniMsi07","@SoniMsi07")</f>
        <v>@SoniMsi07</v>
      </c>
      <c r="C3406" s="8" t="s">
        <v>925</v>
      </c>
      <c r="D3406" s="8">
        <v>130</v>
      </c>
      <c r="E3406" s="8">
        <v>0</v>
      </c>
      <c r="F3406" s="8">
        <v>251</v>
      </c>
    </row>
    <row r="3407" spans="1:6" ht="12.75">
      <c r="A3407" s="8">
        <v>43903.590462962966</v>
      </c>
      <c r="B3407" s="8" t="str">
        <f>HYPERLINK("https://twitter.com/denni_loyz","@denni_loyz")</f>
        <v>@denni_loyz</v>
      </c>
      <c r="C3407" s="8" t="s">
        <v>874</v>
      </c>
      <c r="D3407" s="8">
        <v>28</v>
      </c>
      <c r="E3407" s="8">
        <v>0</v>
      </c>
      <c r="F3407" s="8">
        <v>13804</v>
      </c>
    </row>
    <row r="3408" spans="1:6" ht="12.75">
      <c r="A3408" s="8">
        <v>43903.590196759258</v>
      </c>
      <c r="B3408" s="8" t="str">
        <f>HYPERLINK("https://twitter.com/sahul_69","@sahul_69")</f>
        <v>@sahul_69</v>
      </c>
      <c r="C3408" s="8" t="s">
        <v>874</v>
      </c>
      <c r="D3408" s="8">
        <v>8</v>
      </c>
      <c r="E3408" s="8">
        <v>0</v>
      </c>
      <c r="F3408" s="8">
        <v>1655</v>
      </c>
    </row>
    <row r="3409" spans="1:6" ht="12.75">
      <c r="A3409" s="8">
        <v>43903.58997685185</v>
      </c>
      <c r="B3409" s="8" t="str">
        <f>HYPERLINK("https://twitter.com/DinaRah01430811","@DinaRah01430811")</f>
        <v>@DinaRah01430811</v>
      </c>
      <c r="C3409" s="8" t="s">
        <v>1893</v>
      </c>
      <c r="D3409" s="8">
        <v>0</v>
      </c>
      <c r="E3409" s="8">
        <v>0</v>
      </c>
      <c r="F3409" s="8">
        <v>60</v>
      </c>
    </row>
    <row r="3410" spans="1:6" ht="12.75">
      <c r="A3410" s="8">
        <v>43903.589895833335</v>
      </c>
      <c r="B3410" s="8" t="str">
        <f>HYPERLINK("https://twitter.com/NurIntani6","@NurIntani6")</f>
        <v>@NurIntani6</v>
      </c>
      <c r="C3410" s="8" t="s">
        <v>1893</v>
      </c>
      <c r="D3410" s="8">
        <v>0</v>
      </c>
      <c r="E3410" s="8">
        <v>0</v>
      </c>
      <c r="F3410" s="8">
        <v>15</v>
      </c>
    </row>
    <row r="3411" spans="1:6" ht="12.75">
      <c r="A3411" s="8">
        <v>43903.589837962965</v>
      </c>
      <c r="B3411" s="8" t="str">
        <f>HYPERLINK("https://twitter.com/waendhut","@waendhut")</f>
        <v>@waendhut</v>
      </c>
      <c r="C3411" s="8" t="s">
        <v>874</v>
      </c>
      <c r="D3411" s="8">
        <v>7</v>
      </c>
      <c r="E3411" s="8">
        <v>0</v>
      </c>
      <c r="F3411" s="8">
        <v>2394</v>
      </c>
    </row>
    <row r="3412" spans="1:6" ht="12.75">
      <c r="A3412" s="8">
        <v>43903.589814814812</v>
      </c>
      <c r="B3412" s="8" t="str">
        <f>HYPERLINK("https://twitter.com/LisaRah07320148","@LisaRah07320148")</f>
        <v>@LisaRah07320148</v>
      </c>
      <c r="C3412" s="8" t="s">
        <v>1893</v>
      </c>
      <c r="D3412" s="8">
        <v>0</v>
      </c>
      <c r="E3412" s="8">
        <v>0</v>
      </c>
      <c r="F3412" s="8">
        <v>23</v>
      </c>
    </row>
    <row r="3413" spans="1:6" ht="12.75">
      <c r="A3413" s="8">
        <v>43903.58966435185</v>
      </c>
      <c r="B3413" s="8" t="str">
        <f>HYPERLINK("https://twitter.com/prilcila","@prilcila")</f>
        <v>@prilcila</v>
      </c>
      <c r="C3413" s="8" t="s">
        <v>874</v>
      </c>
      <c r="D3413" s="8">
        <v>8</v>
      </c>
      <c r="E3413" s="8">
        <v>0</v>
      </c>
      <c r="F3413" s="8">
        <v>2432</v>
      </c>
    </row>
    <row r="3414" spans="1:6" ht="12.75">
      <c r="A3414" s="8">
        <v>43903.589629629627</v>
      </c>
      <c r="B3414" s="8" t="str">
        <f>HYPERLINK("https://twitter.com/IffahKhofifa","@IffahKhofifa")</f>
        <v>@IffahKhofifa</v>
      </c>
      <c r="C3414" s="8" t="s">
        <v>1893</v>
      </c>
      <c r="D3414" s="8">
        <v>0</v>
      </c>
      <c r="E3414" s="8">
        <v>0</v>
      </c>
      <c r="F3414" s="8">
        <v>27</v>
      </c>
    </row>
    <row r="3415" spans="1:6" ht="12.75">
      <c r="A3415" s="8">
        <v>43903.589502314819</v>
      </c>
      <c r="B3415" s="8" t="str">
        <f>HYPERLINK("https://twitter.com/jalukman1010","@jalukman1010")</f>
        <v>@jalukman1010</v>
      </c>
      <c r="C3415" s="8" t="s">
        <v>1893</v>
      </c>
      <c r="D3415" s="8">
        <v>0</v>
      </c>
      <c r="E3415" s="8">
        <v>0</v>
      </c>
      <c r="F3415" s="8">
        <v>39</v>
      </c>
    </row>
    <row r="3416" spans="1:6" ht="12.75">
      <c r="A3416" s="8">
        <v>43903.589432870373</v>
      </c>
      <c r="B3416" s="8" t="str">
        <f>HYPERLINK("https://twitter.com/IpinkPing","@IpinkPing")</f>
        <v>@IpinkPing</v>
      </c>
      <c r="C3416" s="8" t="s">
        <v>1893</v>
      </c>
      <c r="D3416" s="8">
        <v>0</v>
      </c>
      <c r="E3416" s="8">
        <v>0</v>
      </c>
      <c r="F3416" s="8">
        <v>19</v>
      </c>
    </row>
    <row r="3417" spans="1:6" ht="12.75">
      <c r="A3417" s="8">
        <v>43903.589340277773</v>
      </c>
      <c r="B3417" s="8" t="str">
        <f>HYPERLINK("https://twitter.com/IdaKarmila6","@IdaKarmila6")</f>
        <v>@IdaKarmila6</v>
      </c>
      <c r="C3417" s="8" t="s">
        <v>1893</v>
      </c>
      <c r="D3417" s="8">
        <v>0</v>
      </c>
      <c r="E3417" s="8">
        <v>0</v>
      </c>
      <c r="F3417" s="8">
        <v>21</v>
      </c>
    </row>
    <row r="3418" spans="1:6" ht="12.75">
      <c r="A3418" s="8">
        <v>43903.589317129634</v>
      </c>
      <c r="B3418" s="8" t="str">
        <f>HYPERLINK("https://twitter.com/AnakLolina","@AnakLolina")</f>
        <v>@AnakLolina</v>
      </c>
      <c r="C3418" s="8" t="s">
        <v>874</v>
      </c>
      <c r="D3418" s="8">
        <v>8</v>
      </c>
      <c r="E3418" s="8">
        <v>0</v>
      </c>
      <c r="F3418" s="8">
        <v>15365</v>
      </c>
    </row>
    <row r="3419" spans="1:6" ht="12.75">
      <c r="A3419" s="8">
        <v>43903.589259259257</v>
      </c>
      <c r="B3419" s="8" t="str">
        <f>HYPERLINK("https://twitter.com/ahmadaryadi499","@ahmadaryadi499")</f>
        <v>@ahmadaryadi499</v>
      </c>
      <c r="C3419" s="8" t="s">
        <v>1893</v>
      </c>
      <c r="D3419" s="8">
        <v>0</v>
      </c>
      <c r="E3419" s="8">
        <v>0</v>
      </c>
      <c r="F3419" s="8">
        <v>22</v>
      </c>
    </row>
    <row r="3420" spans="1:6" ht="12.75">
      <c r="A3420" s="8">
        <v>43903.588854166665</v>
      </c>
      <c r="B3420" s="8" t="str">
        <f>HYPERLINK("https://twitter.com/WidiaRiyad","@WidiaRiyad")</f>
        <v>@WidiaRiyad</v>
      </c>
      <c r="C3420" s="8" t="s">
        <v>1784</v>
      </c>
      <c r="D3420" s="8">
        <v>3</v>
      </c>
      <c r="E3420" s="8">
        <v>0</v>
      </c>
      <c r="F3420" s="8">
        <v>679</v>
      </c>
    </row>
    <row r="3421" spans="1:6" ht="12.75">
      <c r="A3421" s="8">
        <v>43903.588854166665</v>
      </c>
      <c r="B3421" s="8" t="str">
        <f>HYPERLINK("https://twitter.com/achzam_prabu","@achzam_prabu")</f>
        <v>@achzam_prabu</v>
      </c>
      <c r="C3421" s="8" t="s">
        <v>874</v>
      </c>
      <c r="D3421" s="8">
        <v>8</v>
      </c>
      <c r="E3421" s="8">
        <v>0</v>
      </c>
      <c r="F3421" s="8">
        <v>4934</v>
      </c>
    </row>
    <row r="3422" spans="1:6" ht="12.75">
      <c r="A3422" s="8">
        <v>43903.588379629626</v>
      </c>
      <c r="B3422" s="8" t="str">
        <f>HYPERLINK("https://twitter.com/EULIS61893872","@EULIS61893872")</f>
        <v>@EULIS61893872</v>
      </c>
      <c r="C3422" s="8" t="s">
        <v>587</v>
      </c>
      <c r="D3422" s="8">
        <v>8</v>
      </c>
      <c r="E3422" s="8">
        <v>0</v>
      </c>
      <c r="F3422" s="8">
        <v>437</v>
      </c>
    </row>
    <row r="3423" spans="1:6" ht="12.75">
      <c r="A3423" s="8">
        <v>43903.588020833333</v>
      </c>
      <c r="B3423" s="8" t="str">
        <f>HYPERLINK("https://twitter.com/bersatulahnkri","@bersatulahnkri")</f>
        <v>@bersatulahnkri</v>
      </c>
      <c r="C3423" s="8" t="s">
        <v>353</v>
      </c>
      <c r="D3423" s="8">
        <v>64</v>
      </c>
      <c r="E3423" s="8">
        <v>0</v>
      </c>
      <c r="F3423" s="8">
        <v>2146</v>
      </c>
    </row>
    <row r="3424" spans="1:6" ht="12.75">
      <c r="A3424" s="8">
        <v>43903.587824074071</v>
      </c>
      <c r="B3424" s="8" t="str">
        <f>HYPERLINK("https://twitter.com/AnsharKurniawan","@AnsharKurniawan")</f>
        <v>@AnsharKurniawan</v>
      </c>
      <c r="C3424" s="8" t="s">
        <v>1894</v>
      </c>
      <c r="D3424" s="8">
        <v>0</v>
      </c>
      <c r="E3424" s="8">
        <v>0</v>
      </c>
      <c r="F3424" s="8">
        <v>620</v>
      </c>
    </row>
    <row r="3425" spans="1:6" ht="12.75">
      <c r="A3425" s="8">
        <v>43903.587812500002</v>
      </c>
      <c r="B3425" s="8" t="str">
        <f>HYPERLINK("https://twitter.com/khoerunnisarah","@khoerunnisarah")</f>
        <v>@khoerunnisarah</v>
      </c>
      <c r="C3425" s="8" t="s">
        <v>925</v>
      </c>
      <c r="D3425" s="8">
        <v>118</v>
      </c>
      <c r="E3425" s="8">
        <v>0</v>
      </c>
      <c r="F3425" s="8">
        <v>537</v>
      </c>
    </row>
    <row r="3426" spans="1:6" ht="12.75">
      <c r="A3426" s="8">
        <v>43903.587685185186</v>
      </c>
      <c r="B3426" s="8" t="str">
        <f>HYPERLINK("https://twitter.com/pakehelem","@pakehelem")</f>
        <v>@pakehelem</v>
      </c>
      <c r="C3426" s="8" t="s">
        <v>1895</v>
      </c>
      <c r="D3426" s="8">
        <v>0</v>
      </c>
      <c r="E3426" s="8">
        <v>0</v>
      </c>
      <c r="F3426" s="8">
        <v>1161</v>
      </c>
    </row>
    <row r="3427" spans="1:6" ht="12.75">
      <c r="A3427" s="8">
        <v>43903.587500000001</v>
      </c>
      <c r="B3427" s="8" t="str">
        <f>HYPERLINK("https://twitter.com/MudasirRomini","@MudasirRomini")</f>
        <v>@MudasirRomini</v>
      </c>
      <c r="C3427" s="8" t="s">
        <v>874</v>
      </c>
      <c r="D3427" s="8">
        <v>8</v>
      </c>
      <c r="E3427" s="8">
        <v>0</v>
      </c>
      <c r="F3427" s="8">
        <v>8160</v>
      </c>
    </row>
    <row r="3428" spans="1:6" ht="12.75">
      <c r="A3428" s="8">
        <v>43903.587476851855</v>
      </c>
      <c r="B3428" s="8" t="str">
        <f>HYPERLINK("https://twitter.com/edward_7011971","@edward_7011971")</f>
        <v>@edward_7011971</v>
      </c>
      <c r="C3428" s="8" t="s">
        <v>874</v>
      </c>
      <c r="D3428" s="8">
        <v>8</v>
      </c>
      <c r="E3428" s="8">
        <v>0</v>
      </c>
      <c r="F3428" s="8">
        <v>2217</v>
      </c>
    </row>
    <row r="3429" spans="1:6" ht="12.75">
      <c r="A3429" s="8">
        <v>43903.587268518517</v>
      </c>
      <c r="B3429" s="8" t="str">
        <f>HYPERLINK("https://twitter.com/hanbeny3","@hanbeny3")</f>
        <v>@hanbeny3</v>
      </c>
      <c r="C3429" s="8" t="s">
        <v>1896</v>
      </c>
      <c r="D3429" s="8">
        <v>0</v>
      </c>
      <c r="E3429" s="8">
        <v>0</v>
      </c>
      <c r="F3429" s="8">
        <v>3518</v>
      </c>
    </row>
    <row r="3430" spans="1:6" ht="12.75">
      <c r="A3430" s="8">
        <v>43903.587210648147</v>
      </c>
      <c r="B3430" s="8" t="str">
        <f>HYPERLINK("https://twitter.com/TrueInd40971678","@TrueInd40971678")</f>
        <v>@TrueInd40971678</v>
      </c>
      <c r="C3430" s="8" t="s">
        <v>1897</v>
      </c>
      <c r="D3430" s="8">
        <v>0</v>
      </c>
      <c r="E3430" s="8">
        <v>0</v>
      </c>
      <c r="F3430" s="8">
        <v>20</v>
      </c>
    </row>
    <row r="3431" spans="1:6" ht="12.75">
      <c r="A3431" s="8">
        <v>43903.586805555555</v>
      </c>
      <c r="B3431" s="8" t="str">
        <f>HYPERLINK("https://twitter.com/kinqurro","@kinqurro")</f>
        <v>@kinqurro</v>
      </c>
      <c r="C3431" s="8" t="s">
        <v>1898</v>
      </c>
      <c r="D3431" s="8">
        <v>0</v>
      </c>
      <c r="E3431" s="8">
        <v>0</v>
      </c>
      <c r="F3431" s="8">
        <v>88</v>
      </c>
    </row>
    <row r="3432" spans="1:6" ht="12.75">
      <c r="A3432" s="8">
        <v>43903.586701388893</v>
      </c>
      <c r="B3432" s="8" t="str">
        <f>HYPERLINK("https://twitter.com/Spider__id","@Spider__id")</f>
        <v>@Spider__id</v>
      </c>
      <c r="C3432" s="8" t="s">
        <v>1899</v>
      </c>
      <c r="D3432" s="8">
        <v>8</v>
      </c>
      <c r="E3432" s="8">
        <v>10</v>
      </c>
      <c r="F3432" s="8">
        <v>5046</v>
      </c>
    </row>
    <row r="3433" spans="1:6" ht="12.75">
      <c r="A3433" s="8">
        <v>43903.586597222224</v>
      </c>
      <c r="B3433" s="8" t="str">
        <f>HYPERLINK("https://twitter.com/AbAz119","@AbAz119")</f>
        <v>@AbAz119</v>
      </c>
      <c r="C3433" s="8" t="s">
        <v>318</v>
      </c>
      <c r="D3433" s="8">
        <v>1455</v>
      </c>
      <c r="E3433" s="8">
        <v>0</v>
      </c>
      <c r="F3433" s="8">
        <v>29</v>
      </c>
    </row>
    <row r="3434" spans="1:6" ht="12.75">
      <c r="A3434" s="8">
        <v>43903.586354166662</v>
      </c>
      <c r="B3434" s="8" t="str">
        <f>HYPERLINK("https://twitter.com/MelkiSeptian","@MelkiSeptian")</f>
        <v>@MelkiSeptian</v>
      </c>
      <c r="C3434" s="8" t="s">
        <v>1900</v>
      </c>
      <c r="D3434" s="8">
        <v>0</v>
      </c>
      <c r="E3434" s="8">
        <v>0</v>
      </c>
      <c r="F3434" s="8">
        <v>24</v>
      </c>
    </row>
    <row r="3435" spans="1:6" ht="12.75">
      <c r="A3435" s="8">
        <v>43903.585983796293</v>
      </c>
      <c r="B3435" s="8" t="str">
        <f>HYPERLINK("https://twitter.com/mjenar2","@mjenar2")</f>
        <v>@mjenar2</v>
      </c>
      <c r="C3435" s="8" t="s">
        <v>1148</v>
      </c>
      <c r="D3435" s="8">
        <v>6</v>
      </c>
      <c r="E3435" s="8">
        <v>0</v>
      </c>
      <c r="F3435" s="8">
        <v>472</v>
      </c>
    </row>
    <row r="3436" spans="1:6" ht="12.75">
      <c r="A3436" s="8">
        <v>43903.585902777777</v>
      </c>
      <c r="B3436" s="8" t="str">
        <f>HYPERLINK("https://twitter.com/VanillaGelato1","@VanillaGelato1")</f>
        <v>@VanillaGelato1</v>
      </c>
      <c r="C3436" s="8" t="s">
        <v>587</v>
      </c>
      <c r="D3436" s="8">
        <v>8</v>
      </c>
      <c r="E3436" s="8">
        <v>0</v>
      </c>
      <c r="F3436" s="8">
        <v>3</v>
      </c>
    </row>
    <row r="3437" spans="1:6" ht="12.75">
      <c r="A3437" s="8">
        <v>43903.58525462963</v>
      </c>
      <c r="B3437" s="8" t="str">
        <f>HYPERLINK("https://twitter.com/BayuKhrisna14","@BayuKhrisna14")</f>
        <v>@BayuKhrisna14</v>
      </c>
      <c r="C3437" s="8" t="s">
        <v>1162</v>
      </c>
      <c r="D3437" s="8">
        <v>3</v>
      </c>
      <c r="E3437" s="8">
        <v>0</v>
      </c>
      <c r="F3437" s="8">
        <v>626</v>
      </c>
    </row>
    <row r="3438" spans="1:6" ht="12.75">
      <c r="A3438" s="8">
        <v>43903.58315972222</v>
      </c>
      <c r="B3438" s="8" t="str">
        <f>HYPERLINK("https://twitter.com/Victor_Tian17","@Victor_Tian17")</f>
        <v>@Victor_Tian17</v>
      </c>
      <c r="C3438" s="8" t="s">
        <v>1901</v>
      </c>
      <c r="D3438" s="8">
        <v>0</v>
      </c>
      <c r="E3438" s="8">
        <v>0</v>
      </c>
      <c r="F3438" s="8">
        <v>1419</v>
      </c>
    </row>
    <row r="3439" spans="1:6" ht="12.75">
      <c r="A3439" s="8">
        <v>43903.582986111112</v>
      </c>
      <c r="B3439" s="8" t="str">
        <f>HYPERLINK("https://twitter.com/jacyndista","@jacyndista")</f>
        <v>@jacyndista</v>
      </c>
      <c r="C3439" s="8" t="s">
        <v>289</v>
      </c>
      <c r="D3439" s="8">
        <v>116</v>
      </c>
      <c r="E3439" s="8">
        <v>0</v>
      </c>
      <c r="F3439" s="8">
        <v>584</v>
      </c>
    </row>
    <row r="3440" spans="1:6" ht="12.75">
      <c r="A3440" s="8">
        <v>43903.582916666666</v>
      </c>
      <c r="B3440" s="8" t="str">
        <f>HYPERLINK("https://twitter.com/editoraju","@editoraju")</f>
        <v>@editoraju</v>
      </c>
      <c r="C3440" s="8" t="s">
        <v>1516</v>
      </c>
      <c r="D3440" s="8">
        <v>4</v>
      </c>
      <c r="E3440" s="8">
        <v>0</v>
      </c>
      <c r="F3440" s="8">
        <v>525</v>
      </c>
    </row>
    <row r="3441" spans="1:6" ht="12.75">
      <c r="A3441" s="8">
        <v>43903.582696759258</v>
      </c>
      <c r="B3441" s="8" t="str">
        <f>HYPERLINK("https://twitter.com/brian_abdhiyoga","@brian_abdhiyoga")</f>
        <v>@brian_abdhiyoga</v>
      </c>
      <c r="C3441" s="8" t="s">
        <v>925</v>
      </c>
      <c r="D3441" s="8">
        <v>118</v>
      </c>
      <c r="E3441" s="8">
        <v>0</v>
      </c>
      <c r="F3441" s="8">
        <v>142</v>
      </c>
    </row>
    <row r="3442" spans="1:6" ht="12.75">
      <c r="A3442" s="8">
        <v>43903.582534722227</v>
      </c>
      <c r="B3442" s="8" t="str">
        <f>HYPERLINK("https://twitter.com/rex_1x","@rex_1x")</f>
        <v>@rex_1x</v>
      </c>
      <c r="C3442" s="8" t="s">
        <v>1902</v>
      </c>
      <c r="D3442" s="8">
        <v>0</v>
      </c>
      <c r="E3442" s="8">
        <v>0</v>
      </c>
      <c r="F3442" s="8">
        <v>1</v>
      </c>
    </row>
    <row r="3443" spans="1:6" ht="12.75">
      <c r="A3443" s="8">
        <v>43903.582326388889</v>
      </c>
      <c r="B3443" s="8" t="str">
        <f>HYPERLINK("https://twitter.com/Haluan_media","@Haluan_media")</f>
        <v>@Haluan_media</v>
      </c>
      <c r="C3443" s="8" t="s">
        <v>1903</v>
      </c>
      <c r="D3443" s="8">
        <v>0</v>
      </c>
      <c r="E3443" s="8">
        <v>0</v>
      </c>
      <c r="F3443" s="8">
        <v>1549</v>
      </c>
    </row>
    <row r="3444" spans="1:6" ht="12.75">
      <c r="A3444" s="8">
        <v>43903.581226851849</v>
      </c>
      <c r="B3444" s="8" t="str">
        <f>HYPERLINK("https://twitter.com/Wal_Ashr_","@Wal_Ashr_")</f>
        <v>@Wal_Ashr_</v>
      </c>
      <c r="C3444" s="8" t="s">
        <v>1904</v>
      </c>
      <c r="D3444" s="8">
        <v>0</v>
      </c>
      <c r="E3444" s="8">
        <v>0</v>
      </c>
      <c r="F3444" s="8">
        <v>1825</v>
      </c>
    </row>
    <row r="3445" spans="1:6" ht="12.75">
      <c r="A3445" s="8">
        <v>43903.581041666665</v>
      </c>
      <c r="B3445" s="8" t="str">
        <f>HYPERLINK("https://twitter.com/21Lai21","@21Lai21")</f>
        <v>@21Lai21</v>
      </c>
      <c r="C3445" s="8" t="s">
        <v>1784</v>
      </c>
      <c r="D3445" s="8">
        <v>3</v>
      </c>
      <c r="E3445" s="8">
        <v>0</v>
      </c>
      <c r="F3445" s="8">
        <v>309</v>
      </c>
    </row>
    <row r="3446" spans="1:6" ht="12.75">
      <c r="A3446" s="8">
        <v>43903.580613425926</v>
      </c>
      <c r="B3446" s="8" t="str">
        <f>HYPERLINK("https://twitter.com/cnbcindonesia","@cnbcindonesia")</f>
        <v>@cnbcindonesia</v>
      </c>
      <c r="C3446" s="8" t="s">
        <v>1905</v>
      </c>
      <c r="D3446" s="8">
        <v>0</v>
      </c>
      <c r="E3446" s="8">
        <v>1</v>
      </c>
      <c r="F3446" s="8">
        <v>32153</v>
      </c>
    </row>
    <row r="3447" spans="1:6" ht="12.75">
      <c r="A3447" s="8">
        <v>43903.580081018517</v>
      </c>
      <c r="B3447" s="8" t="str">
        <f>HYPERLINK("https://twitter.com/Hadesatria","@Hadesatria")</f>
        <v>@Hadesatria</v>
      </c>
      <c r="C3447" s="8" t="s">
        <v>1784</v>
      </c>
      <c r="D3447" s="8">
        <v>3</v>
      </c>
      <c r="E3447" s="8">
        <v>0</v>
      </c>
      <c r="F3447" s="8">
        <v>579</v>
      </c>
    </row>
    <row r="3448" spans="1:6" ht="12.75">
      <c r="A3448" s="8">
        <v>43903.579884259263</v>
      </c>
      <c r="B3448" s="8" t="str">
        <f>HYPERLINK("https://twitter.com/Devkash55157227","@Devkash55157227")</f>
        <v>@Devkash55157227</v>
      </c>
      <c r="C3448" s="8" t="s">
        <v>1195</v>
      </c>
      <c r="D3448" s="8">
        <v>2594</v>
      </c>
      <c r="E3448" s="8">
        <v>0</v>
      </c>
      <c r="F3448" s="8">
        <v>129</v>
      </c>
    </row>
    <row r="3449" spans="1:6" ht="12.75">
      <c r="A3449" s="8">
        <v>43903.579884259263</v>
      </c>
      <c r="B3449" s="8" t="str">
        <f>HYPERLINK("https://twitter.com/forddyce92","@forddyce92")</f>
        <v>@forddyce92</v>
      </c>
      <c r="C3449" s="8" t="s">
        <v>1906</v>
      </c>
      <c r="D3449" s="8">
        <v>0</v>
      </c>
      <c r="E3449" s="8">
        <v>0</v>
      </c>
      <c r="F3449" s="8">
        <v>29</v>
      </c>
    </row>
    <row r="3450" spans="1:6" ht="12.75">
      <c r="A3450" s="8">
        <v>43903.579016203701</v>
      </c>
      <c r="B3450" s="8" t="str">
        <f>HYPERLINK("https://twitter.com/lintarsatria","@lintarsatria")</f>
        <v>@lintarsatria</v>
      </c>
      <c r="C3450" s="8" t="s">
        <v>1491</v>
      </c>
      <c r="D3450" s="8">
        <v>34</v>
      </c>
      <c r="E3450" s="8">
        <v>0</v>
      </c>
      <c r="F3450" s="8">
        <v>429</v>
      </c>
    </row>
    <row r="3451" spans="1:6" ht="12.75">
      <c r="A3451" s="8">
        <v>43903.578726851847</v>
      </c>
      <c r="B3451" s="8" t="str">
        <f>HYPERLINK("https://twitter.com/AkhirZamanCoy","@AkhirZamanCoy")</f>
        <v>@AkhirZamanCoy</v>
      </c>
      <c r="C3451" s="8" t="s">
        <v>587</v>
      </c>
      <c r="D3451" s="8">
        <v>8</v>
      </c>
      <c r="E3451" s="8">
        <v>0</v>
      </c>
      <c r="F3451" s="8">
        <v>1382</v>
      </c>
    </row>
    <row r="3452" spans="1:6" ht="12.75">
      <c r="A3452" s="8">
        <v>43903.578564814816</v>
      </c>
      <c r="B3452" s="8" t="str">
        <f>HYPERLINK("https://twitter.com/frikarashi","@frikarashi")</f>
        <v>@frikarashi</v>
      </c>
      <c r="C3452" s="8" t="s">
        <v>1732</v>
      </c>
      <c r="D3452" s="8">
        <v>4</v>
      </c>
      <c r="E3452" s="8">
        <v>0</v>
      </c>
      <c r="F3452" s="8">
        <v>217</v>
      </c>
    </row>
    <row r="3453" spans="1:6" ht="12.75">
      <c r="A3453" s="8">
        <v>43903.57813657407</v>
      </c>
      <c r="B3453" s="8" t="str">
        <f>HYPERLINK("https://twitter.com/babedut","@babedut")</f>
        <v>@babedut</v>
      </c>
      <c r="C3453" s="8" t="s">
        <v>1907</v>
      </c>
      <c r="D3453" s="8">
        <v>0</v>
      </c>
      <c r="E3453" s="8">
        <v>0</v>
      </c>
      <c r="F3453" s="8">
        <v>1102</v>
      </c>
    </row>
    <row r="3454" spans="1:6" ht="12.75">
      <c r="A3454" s="8">
        <v>43903.578043981484</v>
      </c>
      <c r="B3454" s="8" t="str">
        <f>HYPERLINK("https://twitter.com/gc_renatha","@gc_renatha")</f>
        <v>@gc_renatha</v>
      </c>
      <c r="C3454" s="8" t="s">
        <v>104</v>
      </c>
      <c r="D3454" s="8">
        <v>132</v>
      </c>
      <c r="E3454" s="8">
        <v>0</v>
      </c>
      <c r="F3454" s="8">
        <v>173</v>
      </c>
    </row>
    <row r="3455" spans="1:6" ht="12.75">
      <c r="A3455" s="8">
        <v>43903.578020833331</v>
      </c>
      <c r="B3455" s="8" t="str">
        <f>HYPERLINK("https://twitter.com/21Lai21","@21Lai21")</f>
        <v>@21Lai21</v>
      </c>
      <c r="C3455" s="8" t="s">
        <v>925</v>
      </c>
      <c r="D3455" s="8">
        <v>118</v>
      </c>
      <c r="E3455" s="8">
        <v>0</v>
      </c>
      <c r="F3455" s="8">
        <v>309</v>
      </c>
    </row>
    <row r="3456" spans="1:6" ht="12.75">
      <c r="A3456" s="8">
        <v>43903.577083333337</v>
      </c>
      <c r="B3456" s="8" t="str">
        <f>HYPERLINK("https://twitter.com/Ato04139675","@Ato04139675")</f>
        <v>@Ato04139675</v>
      </c>
      <c r="C3456" s="8" t="s">
        <v>587</v>
      </c>
      <c r="D3456" s="8">
        <v>8</v>
      </c>
      <c r="E3456" s="8">
        <v>0</v>
      </c>
      <c r="F3456" s="8">
        <v>633</v>
      </c>
    </row>
    <row r="3457" spans="1:6" ht="12.75">
      <c r="A3457" s="8">
        <v>43903.576608796298</v>
      </c>
      <c r="B3457" s="8" t="str">
        <f>HYPERLINK("https://twitter.com/topinfo_id","@topinfo_id")</f>
        <v>@topinfo_id</v>
      </c>
      <c r="C3457" s="8" t="s">
        <v>1908</v>
      </c>
      <c r="D3457" s="8">
        <v>0</v>
      </c>
      <c r="E3457" s="8">
        <v>0</v>
      </c>
      <c r="F3457" s="8">
        <v>105</v>
      </c>
    </row>
    <row r="3458" spans="1:6" ht="12.75">
      <c r="A3458" s="8">
        <v>43903.576273148152</v>
      </c>
      <c r="B3458" s="8" t="str">
        <f>HYPERLINK("https://twitter.com/kenkenews","@kenkenews")</f>
        <v>@kenkenews</v>
      </c>
      <c r="C3458" s="8" t="s">
        <v>1658</v>
      </c>
      <c r="D3458" s="8">
        <v>0</v>
      </c>
      <c r="E3458" s="8">
        <v>0</v>
      </c>
      <c r="F3458" s="8">
        <v>165</v>
      </c>
    </row>
    <row r="3459" spans="1:6" ht="12.75">
      <c r="A3459" s="8">
        <v>43903.576203703706</v>
      </c>
      <c r="B3459" s="8" t="str">
        <f>HYPERLINK("https://twitter.com/harsohananto","@harsohananto")</f>
        <v>@harsohananto</v>
      </c>
      <c r="C3459" s="8" t="s">
        <v>587</v>
      </c>
      <c r="D3459" s="8">
        <v>8</v>
      </c>
      <c r="E3459" s="8">
        <v>0</v>
      </c>
      <c r="F3459" s="8">
        <v>639</v>
      </c>
    </row>
    <row r="3460" spans="1:6" ht="12.75">
      <c r="A3460" s="8">
        <v>43903.576064814813</v>
      </c>
      <c r="B3460" s="8" t="str">
        <f>HYPERLINK("https://twitter.com/lvxoxoe","@lvxoxoe")</f>
        <v>@lvxoxoe</v>
      </c>
      <c r="C3460" s="8" t="s">
        <v>925</v>
      </c>
      <c r="D3460" s="8">
        <v>118</v>
      </c>
      <c r="E3460" s="8">
        <v>0</v>
      </c>
      <c r="F3460" s="8">
        <v>732</v>
      </c>
    </row>
    <row r="3461" spans="1:6" ht="12.75">
      <c r="A3461" s="8">
        <v>43903.575798611113</v>
      </c>
      <c r="B3461" s="8" t="str">
        <f>HYPERLINK("https://twitter.com/Beritadotnews","@Beritadotnews")</f>
        <v>@Beritadotnews</v>
      </c>
      <c r="C3461" s="8" t="s">
        <v>1909</v>
      </c>
      <c r="D3461" s="8">
        <v>0</v>
      </c>
      <c r="E3461" s="8">
        <v>0</v>
      </c>
      <c r="F3461" s="8">
        <v>41</v>
      </c>
    </row>
    <row r="3462" spans="1:6" ht="12.75">
      <c r="A3462" s="8">
        <v>43903.575057870374</v>
      </c>
      <c r="B3462" s="8" t="str">
        <f>HYPERLINK("https://twitter.com/LokadataID","@LokadataID")</f>
        <v>@LokadataID</v>
      </c>
      <c r="C3462" s="8" t="s">
        <v>1910</v>
      </c>
      <c r="D3462" s="8">
        <v>0</v>
      </c>
      <c r="E3462" s="8">
        <v>0</v>
      </c>
      <c r="F3462" s="8">
        <v>512815</v>
      </c>
    </row>
    <row r="3463" spans="1:6" ht="12.75">
      <c r="A3463" s="8">
        <v>43903.574837962966</v>
      </c>
      <c r="B3463" s="8" t="str">
        <f>HYPERLINK("https://twitter.com/ry_shawk","@ry_shawk")</f>
        <v>@ry_shawk</v>
      </c>
      <c r="C3463" s="8" t="s">
        <v>289</v>
      </c>
      <c r="D3463" s="8">
        <v>116</v>
      </c>
      <c r="E3463" s="8">
        <v>0</v>
      </c>
      <c r="F3463" s="8">
        <v>190</v>
      </c>
    </row>
    <row r="3464" spans="1:6" ht="12.75">
      <c r="A3464" s="8">
        <v>43903.574525462958</v>
      </c>
      <c r="B3464" s="8" t="str">
        <f>HYPERLINK("https://twitter.com/asrainov","@asrainov")</f>
        <v>@asrainov</v>
      </c>
      <c r="C3464" s="8" t="s">
        <v>1911</v>
      </c>
      <c r="D3464" s="8">
        <v>0</v>
      </c>
      <c r="E3464" s="8">
        <v>0</v>
      </c>
      <c r="F3464" s="8">
        <v>301</v>
      </c>
    </row>
    <row r="3465" spans="1:6" ht="12.75">
      <c r="A3465" s="8">
        <v>43903.574108796296</v>
      </c>
      <c r="B3465" s="8" t="str">
        <f>HYPERLINK("https://twitter.com/LokadataID","@LokadataID")</f>
        <v>@LokadataID</v>
      </c>
      <c r="C3465" s="8" t="s">
        <v>1912</v>
      </c>
      <c r="D3465" s="8">
        <v>3</v>
      </c>
      <c r="E3465" s="8">
        <v>4</v>
      </c>
      <c r="F3465" s="8">
        <v>512815</v>
      </c>
    </row>
    <row r="3466" spans="1:6" ht="12.75">
      <c r="A3466" s="8">
        <v>43903.573900462958</v>
      </c>
      <c r="B3466" s="8" t="str">
        <f>HYPERLINK("https://twitter.com/EJunaedee","@EJunaedee")</f>
        <v>@EJunaedee</v>
      </c>
      <c r="C3466" s="8" t="s">
        <v>1454</v>
      </c>
      <c r="D3466" s="8">
        <v>10</v>
      </c>
      <c r="E3466" s="8">
        <v>0</v>
      </c>
      <c r="F3466" s="8">
        <v>201</v>
      </c>
    </row>
    <row r="3467" spans="1:6" ht="12.75">
      <c r="A3467" s="8">
        <v>43903.573842592596</v>
      </c>
      <c r="B3467" s="8" t="str">
        <f>HYPERLINK("https://twitter.com/WongNgawoer","@WongNgawoer")</f>
        <v>@WongNgawoer</v>
      </c>
      <c r="C3467" s="8" t="s">
        <v>587</v>
      </c>
      <c r="D3467" s="8">
        <v>8</v>
      </c>
      <c r="E3467" s="8">
        <v>0</v>
      </c>
      <c r="F3467" s="8">
        <v>465</v>
      </c>
    </row>
    <row r="3468" spans="1:6" ht="12.75">
      <c r="A3468" s="8">
        <v>43903.573773148149</v>
      </c>
      <c r="B3468" s="8" t="str">
        <f>HYPERLINK("https://twitter.com/gus_von_diajie","@gus_von_diajie")</f>
        <v>@gus_von_diajie</v>
      </c>
      <c r="C3468" s="8" t="s">
        <v>289</v>
      </c>
      <c r="D3468" s="8">
        <v>116</v>
      </c>
      <c r="E3468" s="8">
        <v>0</v>
      </c>
      <c r="F3468" s="8">
        <v>1228</v>
      </c>
    </row>
    <row r="3469" spans="1:6" ht="12.75">
      <c r="A3469" s="8">
        <v>43903.573321759264</v>
      </c>
      <c r="B3469" s="8" t="str">
        <f>HYPERLINK("https://twitter.com/toromingo","@toromingo")</f>
        <v>@toromingo</v>
      </c>
      <c r="C3469" s="8" t="s">
        <v>587</v>
      </c>
      <c r="D3469" s="8">
        <v>8</v>
      </c>
      <c r="E3469" s="8">
        <v>0</v>
      </c>
      <c r="F3469" s="8">
        <v>355</v>
      </c>
    </row>
    <row r="3470" spans="1:6" ht="12.75">
      <c r="A3470" s="8">
        <v>43903.57331018518</v>
      </c>
      <c r="B3470" s="8" t="str">
        <f>HYPERLINK("https://twitter.com/wow_keren","@wow_keren")</f>
        <v>@wow_keren</v>
      </c>
      <c r="C3470" s="8" t="s">
        <v>1913</v>
      </c>
      <c r="D3470" s="8">
        <v>0</v>
      </c>
      <c r="E3470" s="8">
        <v>0</v>
      </c>
      <c r="F3470" s="8">
        <v>32029</v>
      </c>
    </row>
    <row r="3471" spans="1:6" ht="12.75">
      <c r="A3471" s="8">
        <v>43903.572893518518</v>
      </c>
      <c r="B3471" s="8" t="str">
        <f>HYPERLINK("https://twitter.com/AER65997792","@AER65997792")</f>
        <v>@AER65997792</v>
      </c>
      <c r="C3471" s="8" t="s">
        <v>587</v>
      </c>
      <c r="D3471" s="8">
        <v>8</v>
      </c>
      <c r="E3471" s="8">
        <v>0</v>
      </c>
      <c r="F3471" s="8">
        <v>542</v>
      </c>
    </row>
    <row r="3472" spans="1:6" ht="12.75">
      <c r="A3472" s="8">
        <v>43903.572719907403</v>
      </c>
      <c r="B3472" s="8" t="str">
        <f>HYPERLINK("https://twitter.com/antarajatimcom","@antarajatimcom")</f>
        <v>@antarajatimcom</v>
      </c>
      <c r="C3472" s="8" t="s">
        <v>1914</v>
      </c>
      <c r="D3472" s="8">
        <v>0</v>
      </c>
      <c r="E3472" s="8">
        <v>0</v>
      </c>
      <c r="F3472" s="8">
        <v>855</v>
      </c>
    </row>
    <row r="3473" spans="1:6" ht="12.75">
      <c r="A3473" s="8">
        <v>43903.57267361111</v>
      </c>
      <c r="B3473" s="8" t="str">
        <f>HYPERLINK("https://twitter.com/SHIVAM72720602","@SHIVAM72720602")</f>
        <v>@SHIVAM72720602</v>
      </c>
      <c r="C3473" s="8" t="s">
        <v>1195</v>
      </c>
      <c r="D3473" s="8">
        <v>2594</v>
      </c>
      <c r="E3473" s="8">
        <v>0</v>
      </c>
      <c r="F3473" s="8">
        <v>166</v>
      </c>
    </row>
    <row r="3474" spans="1:6" ht="12.75">
      <c r="A3474" s="8">
        <v>43903.572511574079</v>
      </c>
      <c r="B3474" s="8" t="str">
        <f>HYPERLINK("https://twitter.com/intanRatuaja12","@intanRatuaja12")</f>
        <v>@intanRatuaja12</v>
      </c>
      <c r="C3474" s="8" t="s">
        <v>1915</v>
      </c>
      <c r="D3474" s="8">
        <v>8</v>
      </c>
      <c r="E3474" s="8">
        <v>18</v>
      </c>
      <c r="F3474" s="8">
        <v>13724</v>
      </c>
    </row>
    <row r="3475" spans="1:6" ht="12.75">
      <c r="A3475" s="8">
        <v>43903.572233796294</v>
      </c>
      <c r="B3475" s="8" t="str">
        <f>HYPERLINK("https://twitter.com/Roma13054710","@Roma13054710")</f>
        <v>@Roma13054710</v>
      </c>
      <c r="C3475" s="8" t="s">
        <v>1916</v>
      </c>
      <c r="D3475" s="8">
        <v>0</v>
      </c>
      <c r="E3475" s="8">
        <v>0</v>
      </c>
      <c r="F3475" s="8">
        <v>49</v>
      </c>
    </row>
    <row r="3476" spans="1:6" ht="12.75">
      <c r="A3476" s="8">
        <v>43903.572129629625</v>
      </c>
      <c r="B3476" s="8" t="str">
        <f>HYPERLINK("https://twitter.com/vikaswolverine1","@vikaswolverine1")</f>
        <v>@vikaswolverine1</v>
      </c>
      <c r="C3476" s="8" t="s">
        <v>1917</v>
      </c>
      <c r="D3476" s="8">
        <v>1540</v>
      </c>
      <c r="E3476" s="8">
        <v>0</v>
      </c>
      <c r="F3476" s="8">
        <v>67</v>
      </c>
    </row>
    <row r="3477" spans="1:6" ht="12.75">
      <c r="A3477" s="8">
        <v>43903.57194444444</v>
      </c>
      <c r="B3477" s="8" t="str">
        <f>HYPERLINK("https://twitter.com/aumpramod","@aumpramod")</f>
        <v>@aumpramod</v>
      </c>
      <c r="C3477" s="8" t="s">
        <v>1918</v>
      </c>
      <c r="D3477" s="8">
        <v>7</v>
      </c>
      <c r="E3477" s="8">
        <v>0</v>
      </c>
      <c r="F3477" s="8">
        <v>137</v>
      </c>
    </row>
    <row r="3478" spans="1:6" ht="12.75">
      <c r="A3478" s="8">
        <v>43903.570567129631</v>
      </c>
      <c r="B3478" s="8" t="str">
        <f>HYPERLINK("https://twitter.com/dedentr","@dedentr")</f>
        <v>@dedentr</v>
      </c>
      <c r="C3478" s="8" t="s">
        <v>1148</v>
      </c>
      <c r="D3478" s="8">
        <v>6</v>
      </c>
      <c r="E3478" s="8">
        <v>0</v>
      </c>
      <c r="F3478" s="8">
        <v>936</v>
      </c>
    </row>
    <row r="3479" spans="1:6" ht="12.75">
      <c r="A3479" s="8">
        <v>43903.569710648153</v>
      </c>
      <c r="B3479" s="8" t="str">
        <f>HYPERLINK("https://twitter.com/SoniMsi07","@SoniMsi07")</f>
        <v>@SoniMsi07</v>
      </c>
      <c r="C3479" s="8" t="s">
        <v>1919</v>
      </c>
      <c r="D3479" s="8">
        <v>52</v>
      </c>
      <c r="E3479" s="8">
        <v>0</v>
      </c>
      <c r="F3479" s="8">
        <v>251</v>
      </c>
    </row>
    <row r="3480" spans="1:6" ht="12.75">
      <c r="A3480" s="8">
        <v>43903.568888888884</v>
      </c>
      <c r="B3480" s="8" t="str">
        <f>HYPERLINK("https://twitter.com/DiartonoSapto","@DiartonoSapto")</f>
        <v>@DiartonoSapto</v>
      </c>
      <c r="C3480" s="8" t="s">
        <v>1920</v>
      </c>
      <c r="D3480" s="8">
        <v>3</v>
      </c>
      <c r="E3480" s="8">
        <v>0</v>
      </c>
      <c r="F3480" s="8">
        <v>496</v>
      </c>
    </row>
    <row r="3481" spans="1:6" ht="12.75">
      <c r="A3481" s="8">
        <v>43903.568645833337</v>
      </c>
      <c r="B3481" s="8" t="str">
        <f>HYPERLINK("https://twitter.com/Bubut871","@Bubut871")</f>
        <v>@Bubut871</v>
      </c>
      <c r="C3481" s="8" t="s">
        <v>1921</v>
      </c>
      <c r="D3481" s="8">
        <v>2</v>
      </c>
      <c r="E3481" s="8">
        <v>0</v>
      </c>
      <c r="F3481" s="8">
        <v>1807</v>
      </c>
    </row>
    <row r="3482" spans="1:6" ht="12.75">
      <c r="A3482" s="8">
        <v>43903.568449074075</v>
      </c>
      <c r="B3482" s="8" t="str">
        <f>HYPERLINK("https://twitter.com/umardhan","@umardhan")</f>
        <v>@umardhan</v>
      </c>
      <c r="C3482" s="8" t="s">
        <v>1919</v>
      </c>
      <c r="D3482" s="8">
        <v>52</v>
      </c>
      <c r="E3482" s="8">
        <v>0</v>
      </c>
      <c r="F3482" s="8">
        <v>826</v>
      </c>
    </row>
    <row r="3483" spans="1:6" ht="12.75">
      <c r="A3483" s="8">
        <v>43903.568032407406</v>
      </c>
      <c r="B3483" s="8" t="str">
        <f>HYPERLINK("https://twitter.com/woelannnn","@woelannnn")</f>
        <v>@woelannnn</v>
      </c>
      <c r="C3483" s="8" t="s">
        <v>1919</v>
      </c>
      <c r="D3483" s="8">
        <v>52</v>
      </c>
      <c r="E3483" s="8">
        <v>0</v>
      </c>
      <c r="F3483" s="8">
        <v>20985</v>
      </c>
    </row>
    <row r="3484" spans="1:6" ht="12.75">
      <c r="A3484" s="8">
        <v>43903.567962962959</v>
      </c>
      <c r="B3484" s="8" t="str">
        <f>HYPERLINK("https://twitter.com/anton_kaktuo","@anton_kaktuo")</f>
        <v>@anton_kaktuo</v>
      </c>
      <c r="C3484" s="8" t="s">
        <v>1922</v>
      </c>
      <c r="D3484" s="8">
        <v>0</v>
      </c>
      <c r="E3484" s="8">
        <v>0</v>
      </c>
      <c r="F3484" s="8">
        <v>255</v>
      </c>
    </row>
    <row r="3485" spans="1:6" ht="12.75">
      <c r="A3485" s="8">
        <v>43903.567418981482</v>
      </c>
      <c r="B3485" s="8" t="str">
        <f>HYPERLINK("https://twitter.com/printer_dr","@printer_dr")</f>
        <v>@printer_dr</v>
      </c>
      <c r="C3485" s="8" t="s">
        <v>1148</v>
      </c>
      <c r="D3485" s="8">
        <v>6</v>
      </c>
      <c r="E3485" s="8">
        <v>0</v>
      </c>
      <c r="F3485" s="8">
        <v>2056</v>
      </c>
    </row>
    <row r="3486" spans="1:6" ht="12.75">
      <c r="A3486" s="8">
        <v>43903.567303240736</v>
      </c>
      <c r="B3486" s="8" t="str">
        <f>HYPERLINK("https://twitter.com/missanaquita","@missanaquita")</f>
        <v>@missanaquita</v>
      </c>
      <c r="C3486" s="8" t="s">
        <v>1923</v>
      </c>
      <c r="D3486" s="8">
        <v>0</v>
      </c>
      <c r="E3486" s="8">
        <v>0</v>
      </c>
      <c r="F3486" s="8">
        <v>5915</v>
      </c>
    </row>
    <row r="3487" spans="1:6" ht="12.75">
      <c r="A3487" s="8">
        <v>43903.566875000004</v>
      </c>
      <c r="B3487" s="8" t="str">
        <f>HYPERLINK("https://twitter.com/ManusiaIkanDeni","@ManusiaIkanDeni")</f>
        <v>@ManusiaIkanDeni</v>
      </c>
      <c r="C3487" s="8" t="s">
        <v>1924</v>
      </c>
      <c r="D3487" s="8">
        <v>4</v>
      </c>
      <c r="E3487" s="8">
        <v>0</v>
      </c>
      <c r="F3487" s="8">
        <v>556</v>
      </c>
    </row>
    <row r="3488" spans="1:6" ht="12.75">
      <c r="A3488" s="8">
        <v>43903.56659722222</v>
      </c>
      <c r="B3488" s="8" t="str">
        <f>HYPERLINK("https://twitter.com/eizanfolks","@eizanfolks")</f>
        <v>@eizanfolks</v>
      </c>
      <c r="C3488" s="8" t="s">
        <v>925</v>
      </c>
      <c r="D3488" s="8">
        <v>118</v>
      </c>
      <c r="E3488" s="8">
        <v>0</v>
      </c>
      <c r="F3488" s="8">
        <v>9176</v>
      </c>
    </row>
    <row r="3489" spans="1:6" ht="12.75">
      <c r="A3489" s="8">
        <v>43903.565891203703</v>
      </c>
      <c r="B3489" s="8" t="str">
        <f>HYPERLINK("https://twitter.com/kbrimaputo","@kbrimaputo")</f>
        <v>@kbrimaputo</v>
      </c>
      <c r="C3489" s="8" t="s">
        <v>134</v>
      </c>
      <c r="D3489" s="8">
        <v>25</v>
      </c>
      <c r="E3489" s="8">
        <v>0</v>
      </c>
      <c r="F3489" s="8">
        <v>326</v>
      </c>
    </row>
    <row r="3490" spans="1:6" ht="12.75">
      <c r="A3490" s="8">
        <v>43903.565555555557</v>
      </c>
      <c r="B3490" s="8" t="str">
        <f>HYPERLINK("https://twitter.com/Waone781","@Waone781")</f>
        <v>@Waone781</v>
      </c>
      <c r="C3490" s="8" t="s">
        <v>1925</v>
      </c>
      <c r="D3490" s="8">
        <v>0</v>
      </c>
      <c r="E3490" s="8">
        <v>0</v>
      </c>
      <c r="F3490" s="8">
        <v>48</v>
      </c>
    </row>
    <row r="3491" spans="1:6" ht="12.75">
      <c r="A3491" s="8">
        <v>43903.565428240741</v>
      </c>
      <c r="B3491" s="8" t="str">
        <f>HYPERLINK("https://twitter.com/mrindia_in","@mrindia_in")</f>
        <v>@mrindia_in</v>
      </c>
      <c r="C3491" s="8" t="s">
        <v>1926</v>
      </c>
      <c r="D3491" s="8">
        <v>0</v>
      </c>
      <c r="E3491" s="8">
        <v>0</v>
      </c>
      <c r="F3491" s="8">
        <v>5</v>
      </c>
    </row>
    <row r="3492" spans="1:6" ht="12.75">
      <c r="A3492" s="8">
        <v>43903.565393518518</v>
      </c>
      <c r="B3492" s="8" t="str">
        <f>HYPERLINK("https://twitter.com/SapawargaSby","@SapawargaSby")</f>
        <v>@SapawargaSby</v>
      </c>
      <c r="C3492" s="8" t="s">
        <v>1927</v>
      </c>
      <c r="D3492" s="8">
        <v>0</v>
      </c>
      <c r="E3492" s="8">
        <v>0</v>
      </c>
      <c r="F3492" s="8">
        <v>72671</v>
      </c>
    </row>
    <row r="3493" spans="1:6" ht="12.75">
      <c r="A3493" s="8">
        <v>43903.565185185187</v>
      </c>
      <c r="B3493" s="8" t="str">
        <f>HYPERLINK("https://twitter.com/HPeridia","@HPeridia")</f>
        <v>@HPeridia</v>
      </c>
      <c r="C3493" s="8" t="s">
        <v>925</v>
      </c>
      <c r="D3493" s="8">
        <v>118</v>
      </c>
      <c r="E3493" s="8">
        <v>0</v>
      </c>
      <c r="F3493" s="8">
        <v>670</v>
      </c>
    </row>
    <row r="3494" spans="1:6" ht="12.75">
      <c r="A3494" s="8">
        <v>43903.565081018518</v>
      </c>
      <c r="B3494" s="8" t="str">
        <f>HYPERLINK("https://twitter.com/silviaa_rahma","@silviaa_rahma")</f>
        <v>@silviaa_rahma</v>
      </c>
      <c r="C3494" s="8" t="s">
        <v>1916</v>
      </c>
      <c r="D3494" s="8">
        <v>0</v>
      </c>
      <c r="E3494" s="8">
        <v>0</v>
      </c>
      <c r="F3494" s="8">
        <v>212</v>
      </c>
    </row>
    <row r="3495" spans="1:6" ht="12.75">
      <c r="A3495" s="8">
        <v>43903.564907407403</v>
      </c>
      <c r="B3495" s="8" t="str">
        <f>HYPERLINK("https://twitter.com/ayenzodearya","@ayenzodearya")</f>
        <v>@ayenzodearya</v>
      </c>
      <c r="C3495" s="8" t="s">
        <v>1924</v>
      </c>
      <c r="D3495" s="8">
        <v>4</v>
      </c>
      <c r="E3495" s="8">
        <v>0</v>
      </c>
      <c r="F3495" s="8">
        <v>830</v>
      </c>
    </row>
    <row r="3496" spans="1:6" ht="12.75">
      <c r="A3496" s="8">
        <v>43903.564212962963</v>
      </c>
      <c r="B3496" s="8" t="str">
        <f>HYPERLINK("https://twitter.com/fiyoza","@fiyoza")</f>
        <v>@fiyoza</v>
      </c>
      <c r="C3496" s="8" t="s">
        <v>1928</v>
      </c>
      <c r="D3496" s="8">
        <v>0</v>
      </c>
      <c r="E3496" s="8">
        <v>0</v>
      </c>
      <c r="F3496" s="8">
        <v>254</v>
      </c>
    </row>
    <row r="3497" spans="1:6" ht="12.75">
      <c r="A3497" s="8">
        <v>43903.563726851848</v>
      </c>
      <c r="B3497" s="8" t="str">
        <f>HYPERLINK("https://twitter.com/RealAshray","@RealAshray")</f>
        <v>@RealAshray</v>
      </c>
      <c r="C3497" s="8" t="s">
        <v>1929</v>
      </c>
      <c r="D3497" s="8">
        <v>0</v>
      </c>
      <c r="E3497" s="8">
        <v>0</v>
      </c>
      <c r="F3497" s="8">
        <v>42</v>
      </c>
    </row>
    <row r="3498" spans="1:6" ht="12.75">
      <c r="A3498" s="8">
        <v>43903.563692129625</v>
      </c>
      <c r="B3498" s="8" t="str">
        <f>HYPERLINK("https://twitter.com/triharjuni","@triharjuni")</f>
        <v>@triharjuni</v>
      </c>
      <c r="C3498" s="8" t="s">
        <v>1930</v>
      </c>
      <c r="D3498" s="8">
        <v>0</v>
      </c>
      <c r="E3498" s="8">
        <v>0</v>
      </c>
      <c r="F3498" s="8">
        <v>308</v>
      </c>
    </row>
    <row r="3499" spans="1:6" ht="12.75">
      <c r="A3499" s="8">
        <v>43903.563576388886</v>
      </c>
      <c r="B3499" s="8" t="str">
        <f>HYPERLINK("https://twitter.com/FahryBakrie","@FahryBakrie")</f>
        <v>@FahryBakrie</v>
      </c>
      <c r="C3499" s="8" t="s">
        <v>1148</v>
      </c>
      <c r="D3499" s="8">
        <v>6</v>
      </c>
      <c r="E3499" s="8">
        <v>0</v>
      </c>
      <c r="F3499" s="8">
        <v>2795</v>
      </c>
    </row>
    <row r="3500" spans="1:6" ht="12.75">
      <c r="A3500" s="8">
        <v>43903.563194444447</v>
      </c>
      <c r="B3500" s="8" t="str">
        <f>HYPERLINK("https://twitter.com/DidiEndangHard1","@DidiEndangHard1")</f>
        <v>@DidiEndangHard1</v>
      </c>
      <c r="C3500" s="8" t="s">
        <v>1931</v>
      </c>
      <c r="D3500" s="8">
        <v>0</v>
      </c>
      <c r="E3500" s="8">
        <v>0</v>
      </c>
      <c r="F3500" s="8">
        <v>8</v>
      </c>
    </row>
    <row r="3501" spans="1:6" ht="12.75">
      <c r="A3501" s="8">
        <v>43903.563159722224</v>
      </c>
      <c r="B3501" s="8" t="str">
        <f>HYPERLINK("https://twitter.com/Pandeka_Cyber","@Pandeka_Cyber")</f>
        <v>@Pandeka_Cyber</v>
      </c>
      <c r="C3501" s="8" t="s">
        <v>1932</v>
      </c>
      <c r="D3501" s="8">
        <v>1</v>
      </c>
      <c r="E3501" s="8">
        <v>0</v>
      </c>
      <c r="F3501" s="8">
        <v>2443</v>
      </c>
    </row>
    <row r="3502" spans="1:6" ht="12.75">
      <c r="A3502" s="8">
        <v>43903.562523148154</v>
      </c>
      <c r="B3502" s="8" t="str">
        <f>HYPERLINK("https://twitter.com/forddyce92","@forddyce92")</f>
        <v>@forddyce92</v>
      </c>
      <c r="C3502" s="8" t="s">
        <v>1933</v>
      </c>
      <c r="D3502" s="8">
        <v>0</v>
      </c>
      <c r="E3502" s="8">
        <v>0</v>
      </c>
      <c r="F3502" s="8">
        <v>29</v>
      </c>
    </row>
    <row r="3503" spans="1:6" ht="12.75">
      <c r="A3503" s="8">
        <v>43903.562407407408</v>
      </c>
      <c r="B3503" s="8" t="str">
        <f>HYPERLINK("https://twitter.com/sopian333351","@sopian333351")</f>
        <v>@sopian333351</v>
      </c>
      <c r="C3503" s="8" t="s">
        <v>289</v>
      </c>
      <c r="D3503" s="8">
        <v>116</v>
      </c>
      <c r="E3503" s="8">
        <v>0</v>
      </c>
      <c r="F3503" s="8">
        <v>1146</v>
      </c>
    </row>
    <row r="3504" spans="1:6" ht="12.75">
      <c r="A3504" s="8">
        <v>43903.562199074076</v>
      </c>
      <c r="B3504" s="8" t="str">
        <f>HYPERLINK("https://twitter.com/ragilsaputra645","@ragilsaputra645")</f>
        <v>@ragilsaputra645</v>
      </c>
      <c r="C3504" s="8" t="s">
        <v>1148</v>
      </c>
      <c r="D3504" s="8">
        <v>6</v>
      </c>
      <c r="E3504" s="8">
        <v>0</v>
      </c>
      <c r="F3504" s="8">
        <v>429</v>
      </c>
    </row>
    <row r="3505" spans="1:6" ht="12.75">
      <c r="A3505" s="8">
        <v>43903.562025462961</v>
      </c>
      <c r="B3505" s="8" t="str">
        <f>HYPERLINK("https://twitter.com/smartAde091","@smartAde091")</f>
        <v>@smartAde091</v>
      </c>
      <c r="C3505" s="8" t="s">
        <v>1934</v>
      </c>
      <c r="D3505" s="8">
        <v>0</v>
      </c>
      <c r="E3505" s="8">
        <v>0</v>
      </c>
      <c r="F3505" s="8">
        <v>15</v>
      </c>
    </row>
    <row r="3506" spans="1:6" ht="12.75">
      <c r="A3506" s="8">
        <v>43903.561990740738</v>
      </c>
      <c r="B3506" s="8" t="str">
        <f>HYPERLINK("https://twitter.com/inesrinda","@inesrinda")</f>
        <v>@inesrinda</v>
      </c>
      <c r="C3506" s="8" t="s">
        <v>1935</v>
      </c>
      <c r="D3506" s="8">
        <v>0</v>
      </c>
      <c r="E3506" s="8">
        <v>0</v>
      </c>
      <c r="F3506" s="8">
        <v>365</v>
      </c>
    </row>
    <row r="3507" spans="1:6" ht="12.75">
      <c r="A3507" s="8">
        <v>43903.561956018515</v>
      </c>
      <c r="B3507" s="8" t="str">
        <f>HYPERLINK("https://twitter.com/RobertAdhiKsp","@RobertAdhiKsp")</f>
        <v>@RobertAdhiKsp</v>
      </c>
      <c r="C3507" s="8" t="s">
        <v>1936</v>
      </c>
      <c r="D3507" s="8">
        <v>0</v>
      </c>
      <c r="E3507" s="8">
        <v>1</v>
      </c>
      <c r="F3507" s="8">
        <v>2345</v>
      </c>
    </row>
    <row r="3508" spans="1:6" ht="12.75">
      <c r="A3508" s="8">
        <v>43903.549780092595</v>
      </c>
      <c r="B3508" s="8" t="str">
        <f>HYPERLINK("https://twitter.com/endeeste","@endeeste")</f>
        <v>@endeeste</v>
      </c>
      <c r="C3508" s="8" t="s">
        <v>1937</v>
      </c>
      <c r="D3508" s="8">
        <v>8</v>
      </c>
      <c r="E3508" s="8">
        <v>0</v>
      </c>
      <c r="F3508" s="8">
        <v>233</v>
      </c>
    </row>
    <row r="3509" spans="1:6" ht="12.75">
      <c r="A3509" s="8">
        <v>43903.548159722224</v>
      </c>
      <c r="B3509" s="8" t="str">
        <f>HYPERLINK("https://twitter.com/PaitanJamaah","@PaitanJamaah")</f>
        <v>@PaitanJamaah</v>
      </c>
      <c r="C3509" s="8" t="s">
        <v>1938</v>
      </c>
      <c r="D3509" s="8">
        <v>1</v>
      </c>
      <c r="E3509" s="8">
        <v>0</v>
      </c>
      <c r="F3509" s="8">
        <v>1781</v>
      </c>
    </row>
    <row r="3510" spans="1:6" ht="12.75">
      <c r="A3510" s="8">
        <v>43903.547766203701</v>
      </c>
      <c r="B3510" s="8" t="str">
        <f>HYPERLINK("https://twitter.com/rizkalss","@rizkalss")</f>
        <v>@rizkalss</v>
      </c>
      <c r="C3510" s="8" t="s">
        <v>134</v>
      </c>
      <c r="D3510" s="8">
        <v>21</v>
      </c>
      <c r="E3510" s="8">
        <v>0</v>
      </c>
      <c r="F3510" s="8">
        <v>721</v>
      </c>
    </row>
    <row r="3511" spans="1:6" ht="12.75">
      <c r="A3511" s="8">
        <v>43903.547025462962</v>
      </c>
      <c r="B3511" s="8" t="str">
        <f>HYPERLINK("https://twitter.com/as_Smr","@as_Smr")</f>
        <v>@as_Smr</v>
      </c>
      <c r="C3511" s="8" t="s">
        <v>289</v>
      </c>
      <c r="D3511" s="8">
        <v>112</v>
      </c>
      <c r="E3511" s="8">
        <v>0</v>
      </c>
      <c r="F3511" s="8">
        <v>152</v>
      </c>
    </row>
    <row r="3512" spans="1:6" ht="12.75">
      <c r="A3512" s="8">
        <v>43903.546284722222</v>
      </c>
      <c r="B3512" s="8" t="str">
        <f>HYPERLINK("https://twitter.com/akoemala","@akoemala")</f>
        <v>@akoemala</v>
      </c>
      <c r="C3512" s="8" t="s">
        <v>1920</v>
      </c>
      <c r="D3512" s="8">
        <v>1</v>
      </c>
      <c r="E3512" s="8">
        <v>0</v>
      </c>
      <c r="F3512" s="8">
        <v>444</v>
      </c>
    </row>
    <row r="3513" spans="1:6" ht="12.75">
      <c r="A3513" s="8">
        <v>43903.545925925922</v>
      </c>
      <c r="B3513" s="8" t="str">
        <f>HYPERLINK("https://twitter.com/BPool01","@BPool01")</f>
        <v>@BPool01</v>
      </c>
      <c r="C3513" s="8" t="s">
        <v>925</v>
      </c>
      <c r="D3513" s="8">
        <v>108</v>
      </c>
      <c r="E3513" s="8">
        <v>0</v>
      </c>
      <c r="F3513" s="8">
        <v>121</v>
      </c>
    </row>
    <row r="3514" spans="1:6" ht="12.75">
      <c r="A3514" s="8">
        <v>43903.545543981483</v>
      </c>
      <c r="B3514" s="8" t="str">
        <f>HYPERLINK("https://twitter.com/wongserang_","@wongserang_")</f>
        <v>@wongserang_</v>
      </c>
      <c r="C3514" s="8" t="s">
        <v>1939</v>
      </c>
      <c r="D3514" s="8">
        <v>0</v>
      </c>
      <c r="E3514" s="8">
        <v>1</v>
      </c>
      <c r="F3514" s="8">
        <v>8469</v>
      </c>
    </row>
    <row r="3515" spans="1:6" ht="12.75">
      <c r="A3515" s="8">
        <v>43903.545324074075</v>
      </c>
      <c r="B3515" s="8" t="str">
        <f>HYPERLINK("https://twitter.com/hendoranto","@hendoranto")</f>
        <v>@hendoranto</v>
      </c>
      <c r="C3515" s="8" t="s">
        <v>1940</v>
      </c>
      <c r="D3515" s="8">
        <v>0</v>
      </c>
      <c r="E3515" s="8">
        <v>0</v>
      </c>
      <c r="F3515" s="8">
        <v>2408</v>
      </c>
    </row>
    <row r="3516" spans="1:6" ht="12.75">
      <c r="A3516" s="8">
        <v>43903.544918981483</v>
      </c>
      <c r="B3516" s="8" t="str">
        <f>HYPERLINK("https://twitter.com/tr4velcompass","@tr4velcompass")</f>
        <v>@tr4velcompass</v>
      </c>
      <c r="C3516" s="8" t="s">
        <v>1941</v>
      </c>
      <c r="D3516" s="8">
        <v>0</v>
      </c>
      <c r="E3516" s="8">
        <v>2</v>
      </c>
      <c r="F3516" s="8">
        <v>596</v>
      </c>
    </row>
    <row r="3517" spans="1:6" ht="12.75">
      <c r="A3517" s="8">
        <v>43903.544583333336</v>
      </c>
      <c r="B3517" s="8" t="str">
        <f>HYPERLINK("https://twitter.com/Daniel07570830","@Daniel07570830")</f>
        <v>@Daniel07570830</v>
      </c>
      <c r="C3517" s="8" t="s">
        <v>1942</v>
      </c>
      <c r="D3517" s="8">
        <v>1</v>
      </c>
      <c r="E3517" s="8">
        <v>0</v>
      </c>
      <c r="F3517" s="8">
        <v>2</v>
      </c>
    </row>
    <row r="3518" spans="1:6" ht="12.75">
      <c r="A3518" s="8">
        <v>43903.544236111113</v>
      </c>
      <c r="B3518" s="8" t="str">
        <f>HYPERLINK("https://twitter.com/topinfo_id","@topinfo_id")</f>
        <v>@topinfo_id</v>
      </c>
      <c r="C3518" s="8" t="s">
        <v>1943</v>
      </c>
      <c r="D3518" s="8">
        <v>0</v>
      </c>
      <c r="E3518" s="8">
        <v>0</v>
      </c>
      <c r="F3518" s="8">
        <v>104</v>
      </c>
    </row>
    <row r="3519" spans="1:6" ht="12.75">
      <c r="A3519" s="8">
        <v>43903.543576388889</v>
      </c>
      <c r="B3519" s="8" t="str">
        <f>HYPERLINK("https://twitter.com/arifbudinor","@arifbudinor")</f>
        <v>@arifbudinor</v>
      </c>
      <c r="C3519" s="8" t="s">
        <v>1944</v>
      </c>
      <c r="D3519" s="8">
        <v>0</v>
      </c>
      <c r="E3519" s="8">
        <v>0</v>
      </c>
      <c r="F3519" s="8">
        <v>85</v>
      </c>
    </row>
    <row r="3520" spans="1:6" ht="12.75">
      <c r="A3520" s="8">
        <v>43903.542928240742</v>
      </c>
      <c r="B3520" s="8" t="str">
        <f>HYPERLINK("https://twitter.com/kuroikyun","@kuroikyun")</f>
        <v>@kuroikyun</v>
      </c>
      <c r="C3520" s="8" t="s">
        <v>289</v>
      </c>
      <c r="D3520" s="8">
        <v>112</v>
      </c>
      <c r="E3520" s="8">
        <v>0</v>
      </c>
      <c r="F3520" s="8">
        <v>3614</v>
      </c>
    </row>
    <row r="3521" spans="1:6" ht="12.75">
      <c r="A3521" s="8">
        <v>43903.542002314818</v>
      </c>
      <c r="B3521" s="8" t="str">
        <f>HYPERLINK("https://twitter.com/panjikj","@panjikj")</f>
        <v>@panjikj</v>
      </c>
      <c r="C3521" s="8" t="s">
        <v>289</v>
      </c>
      <c r="D3521" s="8">
        <v>112</v>
      </c>
      <c r="E3521" s="8">
        <v>0</v>
      </c>
      <c r="F3521" s="8">
        <v>1058</v>
      </c>
    </row>
    <row r="3522" spans="1:6" ht="12.75">
      <c r="A3522" s="8">
        <v>43903.541655092587</v>
      </c>
      <c r="B3522" s="8" t="str">
        <f>HYPERLINK("https://twitter.com/cnbcindonesia","@cnbcindonesia")</f>
        <v>@cnbcindonesia</v>
      </c>
      <c r="C3522" s="8" t="s">
        <v>1936</v>
      </c>
      <c r="D3522" s="8">
        <v>1</v>
      </c>
      <c r="E3522" s="8">
        <v>0</v>
      </c>
      <c r="F3522" s="8">
        <v>32144</v>
      </c>
    </row>
    <row r="3523" spans="1:6" ht="12.75">
      <c r="A3523" s="8">
        <v>43903.541435185187</v>
      </c>
      <c r="B3523" s="8" t="str">
        <f>HYPERLINK("https://twitter.com/Luciferouz","@Luciferouz")</f>
        <v>@Luciferouz</v>
      </c>
      <c r="C3523" s="8" t="s">
        <v>289</v>
      </c>
      <c r="D3523" s="8">
        <v>112</v>
      </c>
      <c r="E3523" s="8">
        <v>0</v>
      </c>
      <c r="F3523" s="8">
        <v>253</v>
      </c>
    </row>
    <row r="3524" spans="1:6" ht="12.75">
      <c r="A3524" s="8">
        <v>43903.541134259256</v>
      </c>
      <c r="B3524" s="8" t="str">
        <f>HYPERLINK("https://twitter.com/tryumnaa","@tryumnaa")</f>
        <v>@tryumnaa</v>
      </c>
      <c r="C3524" s="8" t="s">
        <v>1732</v>
      </c>
      <c r="D3524" s="8">
        <v>1</v>
      </c>
      <c r="E3524" s="8">
        <v>0</v>
      </c>
      <c r="F3524" s="8">
        <v>428</v>
      </c>
    </row>
    <row r="3525" spans="1:6" ht="12.75">
      <c r="A3525" s="8">
        <v>43903.541041666671</v>
      </c>
      <c r="B3525" s="8" t="str">
        <f>HYPERLINK("https://twitter.com/lintangabd","@lintangabd")</f>
        <v>@lintangabd</v>
      </c>
      <c r="C3525" s="8" t="s">
        <v>1945</v>
      </c>
      <c r="D3525" s="8">
        <v>0</v>
      </c>
      <c r="E3525" s="8">
        <v>0</v>
      </c>
      <c r="F3525" s="8">
        <v>302</v>
      </c>
    </row>
    <row r="3526" spans="1:6" ht="12.75">
      <c r="A3526" s="8">
        <v>43903.540763888886</v>
      </c>
      <c r="B3526" s="8" t="str">
        <f>HYPERLINK("https://twitter.com/anisaarman","@anisaarman")</f>
        <v>@anisaarman</v>
      </c>
      <c r="C3526" s="8" t="s">
        <v>1946</v>
      </c>
      <c r="D3526" s="8">
        <v>0</v>
      </c>
      <c r="E3526" s="8">
        <v>0</v>
      </c>
      <c r="F3526" s="8">
        <v>111</v>
      </c>
    </row>
    <row r="3527" spans="1:6" ht="12.75">
      <c r="A3527" s="8">
        <v>43903.540231481486</v>
      </c>
      <c r="B3527" s="8" t="str">
        <f>HYPERLINK("https://twitter.com/rizaneda","@rizaneda")</f>
        <v>@rizaneda</v>
      </c>
      <c r="C3527" s="8" t="s">
        <v>1569</v>
      </c>
      <c r="D3527" s="8">
        <v>46</v>
      </c>
      <c r="E3527" s="8">
        <v>0</v>
      </c>
      <c r="F3527" s="8">
        <v>59</v>
      </c>
    </row>
    <row r="3528" spans="1:6" ht="12.75">
      <c r="A3528" s="8">
        <v>43903.539652777778</v>
      </c>
      <c r="B3528" s="8" t="str">
        <f>HYPERLINK("https://twitter.com/Brunowicaksono","@Brunowicaksono")</f>
        <v>@Brunowicaksono</v>
      </c>
      <c r="C3528" s="8" t="s">
        <v>1718</v>
      </c>
      <c r="D3528" s="8">
        <v>3</v>
      </c>
      <c r="E3528" s="8">
        <v>0</v>
      </c>
      <c r="F3528" s="8">
        <v>1802</v>
      </c>
    </row>
    <row r="3529" spans="1:6" ht="12.75">
      <c r="A3529" s="8">
        <v>43903.539571759262</v>
      </c>
      <c r="B3529" s="8" t="str">
        <f>HYPERLINK("https://twitter.com/greg_resto","@greg_resto")</f>
        <v>@greg_resto</v>
      </c>
      <c r="C3529" s="8" t="s">
        <v>289</v>
      </c>
      <c r="D3529" s="8">
        <v>112</v>
      </c>
      <c r="E3529" s="8">
        <v>0</v>
      </c>
      <c r="F3529" s="8">
        <v>495</v>
      </c>
    </row>
    <row r="3530" spans="1:6" ht="12.75">
      <c r="A3530" s="8">
        <v>43903.539560185185</v>
      </c>
      <c r="B3530" s="8" t="str">
        <f>HYPERLINK("https://twitter.com/antaranews","@antaranews")</f>
        <v>@antaranews</v>
      </c>
      <c r="C3530" s="8" t="s">
        <v>1947</v>
      </c>
      <c r="D3530" s="8">
        <v>1</v>
      </c>
      <c r="E3530" s="8">
        <v>2</v>
      </c>
      <c r="F3530" s="8">
        <v>1107444</v>
      </c>
    </row>
    <row r="3531" spans="1:6" ht="12.75">
      <c r="A3531" s="8">
        <v>43903.539409722223</v>
      </c>
      <c r="B3531" s="8" t="str">
        <f>HYPERLINK("https://twitter.com/AnakLolina","@AnakLolina")</f>
        <v>@AnakLolina</v>
      </c>
      <c r="C3531" s="8" t="s">
        <v>1937</v>
      </c>
      <c r="D3531" s="8">
        <v>8</v>
      </c>
      <c r="E3531" s="8">
        <v>0</v>
      </c>
      <c r="F3531" s="8">
        <v>15364</v>
      </c>
    </row>
    <row r="3532" spans="1:6" ht="12.75">
      <c r="A3532" s="8">
        <v>43903.539016203707</v>
      </c>
      <c r="B3532" s="8" t="str">
        <f>HYPERLINK("https://twitter.com/yenniprakarsa","@yenniprakarsa")</f>
        <v>@yenniprakarsa</v>
      </c>
      <c r="C3532" s="8" t="s">
        <v>1948</v>
      </c>
      <c r="D3532" s="8">
        <v>0</v>
      </c>
      <c r="E3532" s="8">
        <v>0</v>
      </c>
      <c r="F3532" s="8">
        <v>110</v>
      </c>
    </row>
    <row r="3533" spans="1:6" ht="12.75">
      <c r="A3533" s="8">
        <v>43903.53842592593</v>
      </c>
      <c r="B3533" s="8" t="str">
        <f>HYPERLINK("https://twitter.com/adityayu_","@adityayu_")</f>
        <v>@adityayu_</v>
      </c>
      <c r="C3533" s="8" t="s">
        <v>289</v>
      </c>
      <c r="D3533" s="8">
        <v>112</v>
      </c>
      <c r="E3533" s="8">
        <v>0</v>
      </c>
      <c r="F3533" s="8">
        <v>885</v>
      </c>
    </row>
    <row r="3534" spans="1:6" ht="12.75">
      <c r="A3534" s="8">
        <v>43903.538194444445</v>
      </c>
      <c r="B3534" s="8" t="str">
        <f>HYPERLINK("https://twitter.com/newsmerahputih","@newsmerahputih")</f>
        <v>@newsmerahputih</v>
      </c>
      <c r="C3534" s="8" t="s">
        <v>1949</v>
      </c>
      <c r="D3534" s="8">
        <v>0</v>
      </c>
      <c r="E3534" s="8">
        <v>0</v>
      </c>
      <c r="F3534" s="8">
        <v>8734</v>
      </c>
    </row>
    <row r="3535" spans="1:6" ht="12.75">
      <c r="A3535" s="8">
        <v>43903.537893518514</v>
      </c>
      <c r="B3535" s="8" t="str">
        <f>HYPERLINK("https://twitter.com/bebek_beruang","@bebek_beruang")</f>
        <v>@bebek_beruang</v>
      </c>
      <c r="C3535" s="8" t="s">
        <v>1950</v>
      </c>
      <c r="D3535" s="8">
        <v>7</v>
      </c>
      <c r="E3535" s="8">
        <v>0</v>
      </c>
      <c r="F3535" s="8">
        <v>48</v>
      </c>
    </row>
    <row r="3536" spans="1:6" ht="12.75">
      <c r="A3536" s="8">
        <v>43903.537476851852</v>
      </c>
      <c r="B3536" s="8" t="str">
        <f>HYPERLINK("https://twitter.com/Hendrik_B_Anto","@Hendrik_B_Anto")</f>
        <v>@Hendrik_B_Anto</v>
      </c>
      <c r="C3536" s="8" t="s">
        <v>289</v>
      </c>
      <c r="D3536" s="8">
        <v>112</v>
      </c>
      <c r="E3536" s="8">
        <v>0</v>
      </c>
      <c r="F3536" s="8">
        <v>72</v>
      </c>
    </row>
    <row r="3537" spans="1:6" ht="12.75">
      <c r="A3537" s="8">
        <v>43903.537094907406</v>
      </c>
      <c r="B3537" s="8" t="str">
        <f>HYPERLINK("https://twitter.com/chaniaago","@chaniaago")</f>
        <v>@chaniaago</v>
      </c>
      <c r="C3537" s="8" t="s">
        <v>289</v>
      </c>
      <c r="D3537" s="8">
        <v>112</v>
      </c>
      <c r="E3537" s="8">
        <v>0</v>
      </c>
      <c r="F3537" s="8">
        <v>1152</v>
      </c>
    </row>
    <row r="3538" spans="1:6" ht="12.75">
      <c r="A3538" s="8">
        <v>43903.536828703705</v>
      </c>
      <c r="B3538" s="8" t="str">
        <f>HYPERLINK("https://twitter.com/_HaddadP","@_HaddadP")</f>
        <v>@_HaddadP</v>
      </c>
      <c r="C3538" s="8" t="s">
        <v>289</v>
      </c>
      <c r="D3538" s="8">
        <v>112</v>
      </c>
      <c r="E3538" s="8">
        <v>0</v>
      </c>
      <c r="F3538" s="8">
        <v>8435</v>
      </c>
    </row>
    <row r="3539" spans="1:6" ht="12.75">
      <c r="A3539" s="8">
        <v>43903.536666666667</v>
      </c>
      <c r="B3539" s="8" t="str">
        <f>HYPERLINK("https://twitter.com/topinfo_id","@topinfo_id")</f>
        <v>@topinfo_id</v>
      </c>
      <c r="C3539" s="8" t="s">
        <v>1951</v>
      </c>
      <c r="D3539" s="8">
        <v>0</v>
      </c>
      <c r="E3539" s="8">
        <v>0</v>
      </c>
      <c r="F3539" s="8">
        <v>104</v>
      </c>
    </row>
    <row r="3540" spans="1:6" ht="12.75">
      <c r="A3540" s="8">
        <v>43903.536516203705</v>
      </c>
      <c r="B3540" s="8" t="str">
        <f>HYPERLINK("https://twitter.com/rizqi_maulida","@rizqi_maulida")</f>
        <v>@rizqi_maulida</v>
      </c>
      <c r="C3540" s="8" t="s">
        <v>1952</v>
      </c>
      <c r="D3540" s="8">
        <v>11</v>
      </c>
      <c r="E3540" s="8">
        <v>0</v>
      </c>
      <c r="F3540" s="8">
        <v>403</v>
      </c>
    </row>
    <row r="3541" spans="1:6" ht="12.75">
      <c r="A3541" s="8">
        <v>43903.536469907413</v>
      </c>
      <c r="B3541" s="8" t="str">
        <f>HYPERLINK("https://twitter.com/oevank","@oevank")</f>
        <v>@oevank</v>
      </c>
      <c r="C3541" s="8" t="s">
        <v>289</v>
      </c>
      <c r="D3541" s="8">
        <v>112</v>
      </c>
      <c r="E3541" s="8">
        <v>0</v>
      </c>
      <c r="F3541" s="8">
        <v>2874</v>
      </c>
    </row>
    <row r="3542" spans="1:6" ht="12.75">
      <c r="A3542" s="8">
        <v>43903.536134259259</v>
      </c>
      <c r="B3542" s="8" t="str">
        <f>HYPERLINK("https://twitter.com/MudasirRomini","@MudasirRomini")</f>
        <v>@MudasirRomini</v>
      </c>
      <c r="C3542" s="8" t="s">
        <v>1937</v>
      </c>
      <c r="D3542" s="8">
        <v>8</v>
      </c>
      <c r="E3542" s="8">
        <v>0</v>
      </c>
      <c r="F3542" s="8">
        <v>8159</v>
      </c>
    </row>
    <row r="3543" spans="1:6" ht="12.75">
      <c r="A3543" s="8">
        <v>43903.535659722227</v>
      </c>
      <c r="B3543" s="8" t="str">
        <f>HYPERLINK("https://twitter.com/myozhyme","@myozhyme")</f>
        <v>@myozhyme</v>
      </c>
      <c r="C3543" s="8" t="s">
        <v>1718</v>
      </c>
      <c r="D3543" s="8">
        <v>3</v>
      </c>
      <c r="E3543" s="8">
        <v>0</v>
      </c>
      <c r="F3543" s="8">
        <v>11143</v>
      </c>
    </row>
    <row r="3544" spans="1:6" ht="12.75">
      <c r="A3544" s="8">
        <v>43903.535405092596</v>
      </c>
      <c r="B3544" s="8" t="str">
        <f>HYPERLINK("https://twitter.com/RivaldiMCL","@RivaldiMCL")</f>
        <v>@RivaldiMCL</v>
      </c>
      <c r="C3544" s="8" t="s">
        <v>1953</v>
      </c>
      <c r="D3544" s="8">
        <v>0</v>
      </c>
      <c r="E3544" s="8">
        <v>0</v>
      </c>
      <c r="F3544" s="8">
        <v>132</v>
      </c>
    </row>
    <row r="3545" spans="1:6" ht="12.75">
      <c r="A3545" s="8">
        <v>43903.534768518519</v>
      </c>
      <c r="B3545" s="8" t="str">
        <f>HYPERLINK("https://twitter.com/suri95080404","@suri95080404")</f>
        <v>@suri95080404</v>
      </c>
      <c r="C3545" s="8" t="s">
        <v>1195</v>
      </c>
      <c r="D3545" s="8">
        <v>2589</v>
      </c>
      <c r="E3545" s="8">
        <v>0</v>
      </c>
      <c r="F3545" s="8">
        <v>113</v>
      </c>
    </row>
    <row r="3546" spans="1:6" ht="12.75">
      <c r="A3546" s="8">
        <v>43903.534502314811</v>
      </c>
      <c r="B3546" s="8" t="str">
        <f>HYPERLINK("https://twitter.com/topinfo_id","@topinfo_id")</f>
        <v>@topinfo_id</v>
      </c>
      <c r="C3546" s="8" t="s">
        <v>1954</v>
      </c>
      <c r="D3546" s="8">
        <v>0</v>
      </c>
      <c r="E3546" s="8">
        <v>0</v>
      </c>
      <c r="F3546" s="8">
        <v>104</v>
      </c>
    </row>
    <row r="3547" spans="1:6" ht="12.75">
      <c r="A3547" s="8">
        <v>43903.534016203703</v>
      </c>
      <c r="B3547" s="8" t="str">
        <f>HYPERLINK("https://twitter.com/akunugraha17","@akunugraha17")</f>
        <v>@akunugraha17</v>
      </c>
      <c r="C3547" s="8" t="s">
        <v>1955</v>
      </c>
      <c r="D3547" s="8">
        <v>0</v>
      </c>
      <c r="E3547" s="8">
        <v>1</v>
      </c>
      <c r="F3547" s="8">
        <v>8</v>
      </c>
    </row>
    <row r="3548" spans="1:6" ht="12.75">
      <c r="A3548" s="8">
        <v>43903.533206018517</v>
      </c>
      <c r="B3548" s="8" t="str">
        <f>HYPERLINK("https://twitter.com/YoyokSubandriy3","@YoyokSubandriy3")</f>
        <v>@YoyokSubandriy3</v>
      </c>
      <c r="C3548" s="8" t="s">
        <v>1822</v>
      </c>
      <c r="D3548" s="8">
        <v>3</v>
      </c>
      <c r="E3548" s="8">
        <v>0</v>
      </c>
      <c r="F3548" s="8">
        <v>1340</v>
      </c>
    </row>
    <row r="3549" spans="1:6" ht="12.75">
      <c r="A3549" s="8">
        <v>43903.533113425925</v>
      </c>
      <c r="B3549" s="8" t="str">
        <f>HYPERLINK("https://twitter.com/eMbahNyutz","@eMbahNyutz")</f>
        <v>@eMbahNyutz</v>
      </c>
      <c r="C3549" s="8" t="s">
        <v>1950</v>
      </c>
      <c r="D3549" s="8">
        <v>7</v>
      </c>
      <c r="E3549" s="8">
        <v>0</v>
      </c>
      <c r="F3549" s="8">
        <v>27413</v>
      </c>
    </row>
    <row r="3550" spans="1:6" ht="12.75">
      <c r="A3550" s="8">
        <v>43903.532581018517</v>
      </c>
      <c r="B3550" s="8" t="str">
        <f t="shared" ref="B3550:B3551" si="65">HYPERLINK("https://twitter.com/dw_saptarini","@dw_saptarini")</f>
        <v>@dw_saptarini</v>
      </c>
      <c r="C3550" s="8" t="s">
        <v>1400</v>
      </c>
      <c r="D3550" s="8">
        <v>56</v>
      </c>
      <c r="E3550" s="8">
        <v>0</v>
      </c>
      <c r="F3550" s="8">
        <v>4376</v>
      </c>
    </row>
    <row r="3551" spans="1:6" ht="12.75">
      <c r="A3551" s="8">
        <v>43903.531851851847</v>
      </c>
      <c r="B3551" s="8" t="str">
        <f t="shared" si="65"/>
        <v>@dw_saptarini</v>
      </c>
      <c r="C3551" s="8" t="s">
        <v>1401</v>
      </c>
      <c r="D3551" s="8">
        <v>5</v>
      </c>
      <c r="E3551" s="8">
        <v>0</v>
      </c>
      <c r="F3551" s="8">
        <v>4376</v>
      </c>
    </row>
    <row r="3552" spans="1:6" ht="12.75">
      <c r="A3552" s="8">
        <v>43903.531111111108</v>
      </c>
      <c r="B3552" s="8" t="str">
        <f>HYPERLINK("https://twitter.com/RangCebol","@RangCebol")</f>
        <v>@RangCebol</v>
      </c>
      <c r="C3552" s="8" t="s">
        <v>1956</v>
      </c>
      <c r="D3552" s="8">
        <v>0</v>
      </c>
      <c r="E3552" s="8">
        <v>0</v>
      </c>
      <c r="F3552" s="8">
        <v>24</v>
      </c>
    </row>
    <row r="3553" spans="1:6" ht="12.75">
      <c r="A3553" s="8">
        <v>43903.530868055561</v>
      </c>
      <c r="B3553" s="8" t="str">
        <f>HYPERLINK("https://twitter.com/kangkung0707","@kangkung0707")</f>
        <v>@kangkung0707</v>
      </c>
      <c r="C3553" s="8" t="s">
        <v>1822</v>
      </c>
      <c r="D3553" s="8">
        <v>3</v>
      </c>
      <c r="E3553" s="8">
        <v>0</v>
      </c>
      <c r="F3553" s="8">
        <v>2</v>
      </c>
    </row>
    <row r="3554" spans="1:6" ht="12.75">
      <c r="A3554" s="8">
        <v>43903.530532407407</v>
      </c>
      <c r="B3554" s="8" t="str">
        <f>HYPERLINK("https://twitter.com/elshinta_smg","@elshinta_smg")</f>
        <v>@elshinta_smg</v>
      </c>
      <c r="C3554" s="8" t="s">
        <v>1822</v>
      </c>
      <c r="D3554" s="8">
        <v>3</v>
      </c>
      <c r="E3554" s="8">
        <v>0</v>
      </c>
      <c r="F3554" s="8">
        <v>3817</v>
      </c>
    </row>
    <row r="3555" spans="1:6" ht="12.75">
      <c r="A3555" s="8">
        <v>43903.529930555553</v>
      </c>
      <c r="B3555" s="8" t="str">
        <f t="shared" ref="B3555:B3557" si="66">HYPERLINK("https://twitter.com/RAJPUTAKS7","@RAJPUTAKS7")</f>
        <v>@RAJPUTAKS7</v>
      </c>
      <c r="C3555" s="8" t="s">
        <v>1957</v>
      </c>
      <c r="D3555" s="8">
        <v>1552</v>
      </c>
      <c r="E3555" s="8">
        <v>0</v>
      </c>
      <c r="F3555" s="8">
        <v>3368</v>
      </c>
    </row>
    <row r="3556" spans="1:6" ht="12.75">
      <c r="A3556" s="8">
        <v>43903.52988425926</v>
      </c>
      <c r="B3556" s="8" t="str">
        <f t="shared" si="66"/>
        <v>@RAJPUTAKS7</v>
      </c>
      <c r="C3556" s="8" t="s">
        <v>1808</v>
      </c>
      <c r="D3556" s="8">
        <v>948</v>
      </c>
      <c r="E3556" s="8">
        <v>0</v>
      </c>
      <c r="F3556" s="8">
        <v>3368</v>
      </c>
    </row>
    <row r="3557" spans="1:6" ht="12.75">
      <c r="A3557" s="8">
        <v>43903.529803240745</v>
      </c>
      <c r="B3557" s="8" t="str">
        <f t="shared" si="66"/>
        <v>@RAJPUTAKS7</v>
      </c>
      <c r="C3557" s="8" t="s">
        <v>1195</v>
      </c>
      <c r="D3557" s="8">
        <v>2589</v>
      </c>
      <c r="E3557" s="8">
        <v>0</v>
      </c>
      <c r="F3557" s="8">
        <v>3368</v>
      </c>
    </row>
    <row r="3558" spans="1:6" ht="12.75">
      <c r="A3558" s="8">
        <v>43903.529687499999</v>
      </c>
      <c r="B3558" s="8" t="str">
        <f>HYPERLINK("https://twitter.com/rinichan02","@rinichan02")</f>
        <v>@rinichan02</v>
      </c>
      <c r="C3558" s="8" t="s">
        <v>1950</v>
      </c>
      <c r="D3558" s="8">
        <v>7</v>
      </c>
      <c r="E3558" s="8">
        <v>0</v>
      </c>
      <c r="F3558" s="8">
        <v>2872</v>
      </c>
    </row>
    <row r="3559" spans="1:6" ht="12.75">
      <c r="A3559" s="8">
        <v>43903.529293981483</v>
      </c>
      <c r="B3559" s="8" t="str">
        <f>HYPERLINK("https://twitter.com/cia_abdul","@cia_abdul")</f>
        <v>@cia_abdul</v>
      </c>
      <c r="C3559" s="8" t="s">
        <v>1358</v>
      </c>
      <c r="D3559" s="8">
        <v>10</v>
      </c>
      <c r="E3559" s="8">
        <v>0</v>
      </c>
      <c r="F3559" s="8">
        <v>1477</v>
      </c>
    </row>
    <row r="3560" spans="1:6" ht="12.75">
      <c r="A3560" s="8">
        <v>43903.529062500005</v>
      </c>
      <c r="B3560" s="8" t="str">
        <f>HYPERLINK("https://twitter.com/RadioElshinta","@RadioElshinta")</f>
        <v>@RadioElshinta</v>
      </c>
      <c r="C3560" s="8" t="s">
        <v>1958</v>
      </c>
      <c r="D3560" s="8">
        <v>3</v>
      </c>
      <c r="E3560" s="8">
        <v>5</v>
      </c>
      <c r="F3560" s="8">
        <v>3637645</v>
      </c>
    </row>
    <row r="3561" spans="1:6" ht="12.75">
      <c r="A3561" s="8">
        <v>43903.528553240743</v>
      </c>
      <c r="B3561" s="8" t="str">
        <f>HYPERLINK("https://twitter.com/billy4riez","@billy4riez")</f>
        <v>@billy4riez</v>
      </c>
      <c r="C3561" s="8" t="s">
        <v>1950</v>
      </c>
      <c r="D3561" s="8">
        <v>7</v>
      </c>
      <c r="E3561" s="8">
        <v>0</v>
      </c>
      <c r="F3561" s="8">
        <v>8082</v>
      </c>
    </row>
    <row r="3562" spans="1:6" ht="12.75">
      <c r="A3562" s="8">
        <v>43903.528425925921</v>
      </c>
      <c r="B3562" s="8" t="str">
        <f>HYPERLINK("https://twitter.com/btungka1997","@btungka1997")</f>
        <v>@btungka1997</v>
      </c>
      <c r="C3562" s="8" t="s">
        <v>925</v>
      </c>
      <c r="D3562" s="8">
        <v>108</v>
      </c>
      <c r="E3562" s="8">
        <v>0</v>
      </c>
      <c r="F3562" s="8">
        <v>429</v>
      </c>
    </row>
    <row r="3563" spans="1:6" ht="12.75">
      <c r="A3563" s="8">
        <v>43903.527939814812</v>
      </c>
      <c r="B3563" s="8" t="str">
        <f>HYPERLINK("https://twitter.com/lohjeni","@lohjeni")</f>
        <v>@lohjeni</v>
      </c>
      <c r="C3563" s="8" t="s">
        <v>1959</v>
      </c>
      <c r="D3563" s="8">
        <v>5</v>
      </c>
      <c r="E3563" s="8">
        <v>0</v>
      </c>
      <c r="F3563" s="8">
        <v>150</v>
      </c>
    </row>
    <row r="3564" spans="1:6" ht="12.75">
      <c r="A3564" s="8">
        <v>43903.52789351852</v>
      </c>
      <c r="B3564" s="8" t="str">
        <f>HYPERLINK("https://twitter.com/alineadotid","@alineadotid")</f>
        <v>@alineadotid</v>
      </c>
      <c r="C3564" s="8" t="s">
        <v>1960</v>
      </c>
      <c r="D3564" s="8">
        <v>0</v>
      </c>
      <c r="E3564" s="8">
        <v>0</v>
      </c>
      <c r="F3564" s="8">
        <v>611407</v>
      </c>
    </row>
    <row r="3565" spans="1:6" ht="12.75">
      <c r="A3565" s="8">
        <v>43903.527708333335</v>
      </c>
      <c r="B3565" s="8" t="str">
        <f>HYPERLINK("https://twitter.com/AliMelayu27","@AliMelayu27")</f>
        <v>@AliMelayu27</v>
      </c>
      <c r="C3565" s="8" t="s">
        <v>1961</v>
      </c>
      <c r="D3565" s="8">
        <v>0</v>
      </c>
      <c r="E3565" s="8">
        <v>0</v>
      </c>
      <c r="F3565" s="8">
        <v>35</v>
      </c>
    </row>
    <row r="3566" spans="1:6" ht="12.75">
      <c r="A3566" s="8">
        <v>43903.527407407411</v>
      </c>
      <c r="B3566" s="8" t="str">
        <f>HYPERLINK("https://twitter.com/tempodotco","@tempodotco")</f>
        <v>@tempodotco</v>
      </c>
      <c r="C3566" s="8" t="s">
        <v>1962</v>
      </c>
      <c r="D3566" s="8">
        <v>7</v>
      </c>
      <c r="E3566" s="8">
        <v>6</v>
      </c>
      <c r="F3566" s="8">
        <v>1713656</v>
      </c>
    </row>
    <row r="3567" spans="1:6" ht="12.75">
      <c r="A3567" s="8">
        <v>43903.526666666672</v>
      </c>
      <c r="B3567" s="8" t="str">
        <f>HYPERLINK("https://twitter.com/YoyokSubandriy3","@YoyokSubandriy3")</f>
        <v>@YoyokSubandriy3</v>
      </c>
      <c r="C3567" s="8" t="s">
        <v>353</v>
      </c>
      <c r="D3567" s="8">
        <v>60</v>
      </c>
      <c r="E3567" s="8">
        <v>0</v>
      </c>
      <c r="F3567" s="8">
        <v>1340</v>
      </c>
    </row>
    <row r="3568" spans="1:6" ht="12.75">
      <c r="A3568" s="8">
        <v>43903.526608796295</v>
      </c>
      <c r="B3568" s="8" t="str">
        <f>HYPERLINK("https://twitter.com/annasantoz318","@annasantoz318")</f>
        <v>@annasantoz318</v>
      </c>
      <c r="C3568" s="8" t="s">
        <v>925</v>
      </c>
      <c r="D3568" s="8">
        <v>108</v>
      </c>
      <c r="E3568" s="8">
        <v>0</v>
      </c>
      <c r="F3568" s="8">
        <v>12377</v>
      </c>
    </row>
    <row r="3569" spans="1:6" ht="12.75">
      <c r="A3569" s="8">
        <v>43903.526203703703</v>
      </c>
      <c r="B3569" s="8" t="str">
        <f>HYPERLINK("https://twitter.com/DcEliana","@DcEliana")</f>
        <v>@DcEliana</v>
      </c>
      <c r="C3569" s="8" t="s">
        <v>925</v>
      </c>
      <c r="D3569" s="8">
        <v>108</v>
      </c>
      <c r="E3569" s="8">
        <v>0</v>
      </c>
      <c r="F3569" s="8">
        <v>153</v>
      </c>
    </row>
    <row r="3570" spans="1:6" ht="12.75">
      <c r="A3570" s="8">
        <v>43903.526192129633</v>
      </c>
      <c r="B3570" s="8" t="str">
        <f>HYPERLINK("https://twitter.com/ahmadhabibiesal","@ahmadhabibiesal")</f>
        <v>@ahmadhabibiesal</v>
      </c>
      <c r="C3570" s="8" t="s">
        <v>1491</v>
      </c>
      <c r="D3570" s="8">
        <v>32</v>
      </c>
      <c r="E3570" s="8">
        <v>0</v>
      </c>
      <c r="F3570" s="8">
        <v>563</v>
      </c>
    </row>
    <row r="3571" spans="1:6" ht="12.75">
      <c r="A3571" s="8">
        <v>43903.526099537034</v>
      </c>
      <c r="B3571" s="8" t="str">
        <f>HYPERLINK("https://twitter.com/NgkongRoses","@NgkongRoses")</f>
        <v>@NgkongRoses</v>
      </c>
      <c r="C3571" s="8" t="s">
        <v>1718</v>
      </c>
      <c r="D3571" s="8">
        <v>3</v>
      </c>
      <c r="E3571" s="8">
        <v>0</v>
      </c>
      <c r="F3571" s="8">
        <v>9904</v>
      </c>
    </row>
    <row r="3572" spans="1:6" ht="12.75">
      <c r="A3572" s="8">
        <v>43903.525231481486</v>
      </c>
      <c r="B3572" s="8" t="str">
        <f>HYPERLINK("https://twitter.com/YusniarFidiyaN","@YusniarFidiyaN")</f>
        <v>@YusniarFidiyaN</v>
      </c>
      <c r="C3572" s="8" t="s">
        <v>1963</v>
      </c>
      <c r="D3572" s="8">
        <v>0</v>
      </c>
      <c r="E3572" s="8">
        <v>0</v>
      </c>
      <c r="F3572" s="8">
        <v>466</v>
      </c>
    </row>
    <row r="3573" spans="1:6" ht="12.75">
      <c r="A3573" s="8">
        <v>43903.524641203709</v>
      </c>
      <c r="B3573" s="8" t="str">
        <f>HYPERLINK("https://twitter.com/indonesiainist","@indonesiainist")</f>
        <v>@indonesiainist</v>
      </c>
      <c r="C3573" s="8" t="s">
        <v>134</v>
      </c>
      <c r="D3573" s="8">
        <v>21</v>
      </c>
      <c r="E3573" s="8">
        <v>0</v>
      </c>
      <c r="F3573" s="8">
        <v>706</v>
      </c>
    </row>
    <row r="3574" spans="1:6" ht="12.75">
      <c r="A3574" s="8">
        <v>43903.523645833338</v>
      </c>
      <c r="B3574" s="8" t="str">
        <f>HYPERLINK("https://twitter.com/tr4velcompass","@tr4velcompass")</f>
        <v>@tr4velcompass</v>
      </c>
      <c r="C3574" s="8" t="s">
        <v>1964</v>
      </c>
      <c r="D3574" s="8">
        <v>3</v>
      </c>
      <c r="E3574" s="8">
        <v>6</v>
      </c>
      <c r="F3574" s="8">
        <v>596</v>
      </c>
    </row>
    <row r="3575" spans="1:6" ht="12.75">
      <c r="A3575" s="8">
        <v>43903.522870370369</v>
      </c>
      <c r="B3575" s="8" t="str">
        <f>HYPERLINK("https://twitter.com/mohfajarsatria","@mohfajarsatria")</f>
        <v>@mohfajarsatria</v>
      </c>
      <c r="C3575" s="8" t="s">
        <v>1965</v>
      </c>
      <c r="D3575" s="8">
        <v>0</v>
      </c>
      <c r="E3575" s="8">
        <v>1</v>
      </c>
      <c r="F3575" s="8">
        <v>2106</v>
      </c>
    </row>
    <row r="3576" spans="1:6" ht="12.75">
      <c r="A3576" s="8">
        <v>43903.522650462968</v>
      </c>
      <c r="B3576" s="8" t="str">
        <f>HYPERLINK("https://twitter.com/arjo_munadi","@arjo_munadi")</f>
        <v>@arjo_munadi</v>
      </c>
      <c r="C3576" s="8" t="s">
        <v>1966</v>
      </c>
      <c r="D3576" s="8">
        <v>0</v>
      </c>
      <c r="E3576" s="8">
        <v>0</v>
      </c>
      <c r="F3576" s="8">
        <v>58</v>
      </c>
    </row>
    <row r="3577" spans="1:6" ht="12.75">
      <c r="A3577" s="8">
        <v>43903.522453703699</v>
      </c>
      <c r="B3577" s="8" t="str">
        <f>HYPERLINK("https://twitter.com/republikaonline","@republikaonline")</f>
        <v>@republikaonline</v>
      </c>
      <c r="C3577" s="8" t="s">
        <v>1967</v>
      </c>
      <c r="D3577" s="8">
        <v>2</v>
      </c>
      <c r="E3577" s="8">
        <v>1</v>
      </c>
      <c r="F3577" s="8">
        <v>1225369</v>
      </c>
    </row>
    <row r="3578" spans="1:6" ht="12.75">
      <c r="A3578" s="8">
        <v>43903.521828703699</v>
      </c>
      <c r="B3578" s="8" t="str">
        <f>HYPERLINK("https://twitter.com/sandyis5","@sandyis5")</f>
        <v>@sandyis5</v>
      </c>
      <c r="C3578" s="8" t="s">
        <v>1968</v>
      </c>
      <c r="D3578" s="8">
        <v>0</v>
      </c>
      <c r="E3578" s="8">
        <v>0</v>
      </c>
      <c r="F3578" s="8">
        <v>2760</v>
      </c>
    </row>
    <row r="3579" spans="1:6" ht="12.75">
      <c r="A3579" s="8">
        <v>43903.521678240737</v>
      </c>
      <c r="B3579" s="8" t="str">
        <f>HYPERLINK("https://twitter.com/othundang","@othundang")</f>
        <v>@othundang</v>
      </c>
      <c r="C3579" s="8" t="s">
        <v>1969</v>
      </c>
      <c r="D3579" s="8">
        <v>0</v>
      </c>
      <c r="E3579" s="8">
        <v>0</v>
      </c>
      <c r="F3579" s="8">
        <v>273</v>
      </c>
    </row>
    <row r="3580" spans="1:6" ht="12.75">
      <c r="A3580" s="8">
        <v>43903.520995370374</v>
      </c>
      <c r="B3580" s="8" t="str">
        <f>HYPERLINK("https://twitter.com/singgihk8","@singgihk8")</f>
        <v>@singgihk8</v>
      </c>
      <c r="C3580" s="8" t="s">
        <v>353</v>
      </c>
      <c r="D3580" s="8">
        <v>60</v>
      </c>
      <c r="E3580" s="8">
        <v>0</v>
      </c>
      <c r="F3580" s="8">
        <v>1563</v>
      </c>
    </row>
    <row r="3581" spans="1:6" ht="12.75">
      <c r="A3581" s="8">
        <v>43903.520879629628</v>
      </c>
      <c r="B3581" s="8" t="str">
        <f>HYPERLINK("https://twitter.com/lithaNov","@lithaNov")</f>
        <v>@lithaNov</v>
      </c>
      <c r="C3581" s="8" t="s">
        <v>1952</v>
      </c>
      <c r="D3581" s="8">
        <v>11</v>
      </c>
      <c r="E3581" s="8">
        <v>0</v>
      </c>
      <c r="F3581" s="8">
        <v>251</v>
      </c>
    </row>
    <row r="3582" spans="1:6" ht="12.75">
      <c r="A3582" s="8">
        <v>43903.520486111112</v>
      </c>
      <c r="B3582" s="8" t="str">
        <f>HYPERLINK("https://twitter.com/gorgodai","@gorgodai")</f>
        <v>@gorgodai</v>
      </c>
      <c r="C3582" s="8" t="s">
        <v>1491</v>
      </c>
      <c r="D3582" s="8">
        <v>32</v>
      </c>
      <c r="E3582" s="8">
        <v>0</v>
      </c>
      <c r="F3582" s="8">
        <v>279</v>
      </c>
    </row>
    <row r="3583" spans="1:6" ht="12.75">
      <c r="A3583" s="8">
        <v>43903.519409722227</v>
      </c>
      <c r="B3583" s="8" t="str">
        <f>HYPERLINK("https://twitter.com/zulfikarNahdy","@zulfikarNahdy")</f>
        <v>@zulfikarNahdy</v>
      </c>
      <c r="C3583" s="8" t="s">
        <v>1454</v>
      </c>
      <c r="D3583" s="8">
        <v>8</v>
      </c>
      <c r="E3583" s="8">
        <v>0</v>
      </c>
      <c r="F3583" s="8">
        <v>594</v>
      </c>
    </row>
    <row r="3584" spans="1:6" ht="12.75">
      <c r="A3584" s="8">
        <v>43903.519247685181</v>
      </c>
      <c r="B3584" s="8" t="str">
        <f>HYPERLINK("https://twitter.com/inothegreat","@inothegreat")</f>
        <v>@inothegreat</v>
      </c>
      <c r="C3584" s="8" t="s">
        <v>1643</v>
      </c>
      <c r="D3584" s="8">
        <v>130</v>
      </c>
      <c r="E3584" s="8">
        <v>0</v>
      </c>
      <c r="F3584" s="8">
        <v>485</v>
      </c>
    </row>
    <row r="3585" spans="1:6" ht="12.75">
      <c r="A3585" s="8">
        <v>43903.519155092596</v>
      </c>
      <c r="B3585" s="8" t="str">
        <f>HYPERLINK("https://twitter.com/godhani1974","@godhani1974")</f>
        <v>@godhani1974</v>
      </c>
      <c r="C3585" s="8" t="s">
        <v>1516</v>
      </c>
      <c r="D3585" s="8">
        <v>3</v>
      </c>
      <c r="E3585" s="8">
        <v>0</v>
      </c>
      <c r="F3585" s="8">
        <v>1441</v>
      </c>
    </row>
    <row r="3586" spans="1:6" ht="12.75">
      <c r="A3586" s="8">
        <v>43903.517881944441</v>
      </c>
      <c r="B3586" s="8" t="str">
        <f>HYPERLINK("https://twitter.com/Gulai_puyu","@Gulai_puyu")</f>
        <v>@Gulai_puyu</v>
      </c>
      <c r="C3586" s="8" t="s">
        <v>925</v>
      </c>
      <c r="D3586" s="8">
        <v>108</v>
      </c>
      <c r="E3586" s="8">
        <v>0</v>
      </c>
      <c r="F3586" s="8">
        <v>457</v>
      </c>
    </row>
    <row r="3587" spans="1:6" ht="12.75">
      <c r="A3587" s="8">
        <v>43903.517696759256</v>
      </c>
      <c r="B3587" s="8" t="str">
        <f>HYPERLINK("https://twitter.com/pizza_huttt","@pizza_huttt")</f>
        <v>@pizza_huttt</v>
      </c>
      <c r="C3587" s="8" t="s">
        <v>1454</v>
      </c>
      <c r="D3587" s="8">
        <v>8</v>
      </c>
      <c r="E3587" s="8">
        <v>0</v>
      </c>
      <c r="F3587" s="8">
        <v>240</v>
      </c>
    </row>
    <row r="3588" spans="1:6" ht="12.75">
      <c r="A3588" s="8">
        <v>43903.516921296294</v>
      </c>
      <c r="B3588" s="8" t="str">
        <f>HYPERLINK("https://twitter.com/Antoniowan","@Antoniowan")</f>
        <v>@Antoniowan</v>
      </c>
      <c r="C3588" s="8" t="s">
        <v>1491</v>
      </c>
      <c r="D3588" s="8">
        <v>32</v>
      </c>
      <c r="E3588" s="8">
        <v>0</v>
      </c>
      <c r="F3588" s="8">
        <v>1375</v>
      </c>
    </row>
    <row r="3589" spans="1:6" ht="12.75">
      <c r="A3589" s="8">
        <v>43903.515868055554</v>
      </c>
      <c r="B3589" s="8" t="str">
        <f>HYPERLINK("https://twitter.com/i_dheeraj_","@i_dheeraj_")</f>
        <v>@i_dheeraj_</v>
      </c>
      <c r="C3589" s="8" t="s">
        <v>1195</v>
      </c>
      <c r="D3589" s="8">
        <v>2589</v>
      </c>
      <c r="E3589" s="8">
        <v>0</v>
      </c>
      <c r="F3589" s="8">
        <v>1</v>
      </c>
    </row>
    <row r="3590" spans="1:6" ht="12.75">
      <c r="A3590" s="8">
        <v>43903.515601851846</v>
      </c>
      <c r="B3590" s="8" t="str">
        <f>HYPERLINK("https://twitter.com/Pjasree","@Pjasree")</f>
        <v>@Pjasree</v>
      </c>
      <c r="C3590" s="8" t="s">
        <v>1970</v>
      </c>
      <c r="D3590" s="8">
        <v>1348</v>
      </c>
      <c r="E3590" s="8">
        <v>0</v>
      </c>
      <c r="F3590" s="8">
        <v>214</v>
      </c>
    </row>
    <row r="3591" spans="1:6" ht="12.75">
      <c r="A3591" s="8">
        <v>43903.514999999999</v>
      </c>
      <c r="B3591" s="8" t="str">
        <f>HYPERLINK("https://twitter.com/baksogorengkeju","@baksogorengkeju")</f>
        <v>@baksogorengkeju</v>
      </c>
      <c r="C3591" s="8" t="s">
        <v>1971</v>
      </c>
      <c r="D3591" s="8">
        <v>0</v>
      </c>
      <c r="E3591" s="8">
        <v>0</v>
      </c>
      <c r="F3591" s="8">
        <v>37</v>
      </c>
    </row>
    <row r="3592" spans="1:6" ht="12.75">
      <c r="A3592" s="8">
        <v>43903.514479166668</v>
      </c>
      <c r="B3592" s="8" t="str">
        <f>HYPERLINK("https://twitter.com/BudiPra78779216","@BudiPra78779216")</f>
        <v>@BudiPra78779216</v>
      </c>
      <c r="C3592" s="8" t="s">
        <v>925</v>
      </c>
      <c r="D3592" s="8">
        <v>108</v>
      </c>
      <c r="E3592" s="8">
        <v>0</v>
      </c>
      <c r="F3592" s="8">
        <v>1614</v>
      </c>
    </row>
    <row r="3593" spans="1:6" ht="12.75">
      <c r="A3593" s="8">
        <v>43903.514062499999</v>
      </c>
      <c r="B3593" s="8" t="str">
        <f>HYPERLINK("https://twitter.com/legreens_marani","@legreens_marani")</f>
        <v>@legreens_marani</v>
      </c>
      <c r="C3593" s="8" t="s">
        <v>925</v>
      </c>
      <c r="D3593" s="8">
        <v>108</v>
      </c>
      <c r="E3593" s="8">
        <v>0</v>
      </c>
      <c r="F3593" s="8">
        <v>324</v>
      </c>
    </row>
    <row r="3594" spans="1:6" ht="12.75">
      <c r="A3594" s="8">
        <v>43903.513749999998</v>
      </c>
      <c r="B3594" s="8" t="str">
        <f>HYPERLINK("https://twitter.com/Brunowicaksono","@Brunowicaksono")</f>
        <v>@Brunowicaksono</v>
      </c>
      <c r="C3594" s="8" t="s">
        <v>1836</v>
      </c>
      <c r="D3594" s="8">
        <v>98</v>
      </c>
      <c r="E3594" s="8">
        <v>0</v>
      </c>
      <c r="F3594" s="8">
        <v>1802</v>
      </c>
    </row>
    <row r="3595" spans="1:6" ht="12.75">
      <c r="A3595" s="8">
        <v>43903.513356481482</v>
      </c>
      <c r="B3595" s="8" t="str">
        <f>HYPERLINK("https://twitter.com/gccers81","@gccers81")</f>
        <v>@gccers81</v>
      </c>
      <c r="C3595" s="8" t="s">
        <v>1972</v>
      </c>
      <c r="D3595" s="8">
        <v>0</v>
      </c>
      <c r="E3595" s="8">
        <v>0</v>
      </c>
      <c r="F3595" s="8">
        <v>10</v>
      </c>
    </row>
    <row r="3596" spans="1:6" ht="12.75">
      <c r="A3596" s="8">
        <v>43903.513252314813</v>
      </c>
      <c r="B3596" s="8" t="str">
        <f>HYPERLINK("https://twitter.com/singgihk8","@singgihk8")</f>
        <v>@singgihk8</v>
      </c>
      <c r="C3596" s="8" t="s">
        <v>925</v>
      </c>
      <c r="D3596" s="8">
        <v>108</v>
      </c>
      <c r="E3596" s="8">
        <v>0</v>
      </c>
      <c r="F3596" s="8">
        <v>1563</v>
      </c>
    </row>
    <row r="3597" spans="1:6" ht="12.75">
      <c r="A3597" s="8">
        <v>43903.513148148151</v>
      </c>
      <c r="B3597" s="8" t="str">
        <f>HYPERLINK("https://twitter.com/gusain_saurabh","@gusain_saurabh")</f>
        <v>@gusain_saurabh</v>
      </c>
      <c r="C3597" s="8" t="s">
        <v>1195</v>
      </c>
      <c r="D3597" s="8">
        <v>2589</v>
      </c>
      <c r="E3597" s="8">
        <v>0</v>
      </c>
      <c r="F3597" s="8">
        <v>70</v>
      </c>
    </row>
    <row r="3598" spans="1:6" ht="12.75">
      <c r="A3598" s="8">
        <v>43903.512361111112</v>
      </c>
      <c r="B3598" s="8" t="str">
        <f>HYPERLINK("https://twitter.com/cosplaykentang","@cosplaykentang")</f>
        <v>@cosplaykentang</v>
      </c>
      <c r="C3598" s="8" t="s">
        <v>1973</v>
      </c>
      <c r="D3598" s="8">
        <v>0</v>
      </c>
      <c r="E3598" s="8">
        <v>0</v>
      </c>
      <c r="F3598" s="8">
        <v>457</v>
      </c>
    </row>
    <row r="3599" spans="1:6" ht="12.75">
      <c r="A3599" s="8">
        <v>43903.512118055558</v>
      </c>
      <c r="B3599" s="8" t="str">
        <f>HYPERLINK("https://twitter.com/trisnowidibagus","@trisnowidibagus")</f>
        <v>@trisnowidibagus</v>
      </c>
      <c r="C3599" s="8" t="s">
        <v>1974</v>
      </c>
      <c r="D3599" s="8">
        <v>0</v>
      </c>
      <c r="E3599" s="8">
        <v>0</v>
      </c>
      <c r="F3599" s="8">
        <v>464</v>
      </c>
    </row>
    <row r="3600" spans="1:6" ht="12.75">
      <c r="A3600" s="8">
        <v>43903.511550925927</v>
      </c>
      <c r="B3600" s="8" t="str">
        <f>HYPERLINK("https://twitter.com/HartoyoMdn","@HartoyoMdn")</f>
        <v>@HartoyoMdn</v>
      </c>
      <c r="C3600" s="8" t="s">
        <v>1975</v>
      </c>
      <c r="D3600" s="8">
        <v>0</v>
      </c>
      <c r="E3600" s="8">
        <v>0</v>
      </c>
      <c r="F3600" s="8">
        <v>3351</v>
      </c>
    </row>
    <row r="3601" spans="1:6" ht="12.75">
      <c r="A3601" s="8">
        <v>43903.511435185181</v>
      </c>
      <c r="B3601" s="8" t="str">
        <f>HYPERLINK("https://twitter.com/oktafian","@oktafian")</f>
        <v>@oktafian</v>
      </c>
      <c r="C3601" s="8" t="s">
        <v>165</v>
      </c>
      <c r="D3601" s="8">
        <v>134</v>
      </c>
      <c r="E3601" s="8">
        <v>0</v>
      </c>
      <c r="F3601" s="8">
        <v>466</v>
      </c>
    </row>
    <row r="3602" spans="1:6" ht="12.75">
      <c r="A3602" s="8">
        <v>43903.510451388887</v>
      </c>
      <c r="B3602" s="8" t="str">
        <f>HYPERLINK("https://twitter.com/Krishna49037706","@Krishna49037706")</f>
        <v>@Krishna49037706</v>
      </c>
      <c r="C3602" s="8" t="s">
        <v>1516</v>
      </c>
      <c r="D3602" s="8">
        <v>3</v>
      </c>
      <c r="E3602" s="8">
        <v>0</v>
      </c>
      <c r="F3602" s="8">
        <v>2289</v>
      </c>
    </row>
    <row r="3603" spans="1:6" ht="12.75">
      <c r="A3603" s="8">
        <v>43903.510092592594</v>
      </c>
      <c r="B3603" s="8" t="str">
        <f>HYPERLINK("https://twitter.com/budiwicaksana","@budiwicaksana")</f>
        <v>@budiwicaksana</v>
      </c>
      <c r="C3603" s="8" t="s">
        <v>1800</v>
      </c>
      <c r="D3603" s="8">
        <v>76</v>
      </c>
      <c r="E3603" s="8">
        <v>0</v>
      </c>
      <c r="F3603" s="8">
        <v>436</v>
      </c>
    </row>
    <row r="3604" spans="1:6" ht="12.75">
      <c r="A3604" s="8">
        <v>43903.510023148148</v>
      </c>
      <c r="B3604" s="8" t="str">
        <f>HYPERLINK("https://twitter.com/mohfajarsatria","@mohfajarsatria")</f>
        <v>@mohfajarsatria</v>
      </c>
      <c r="C3604" s="8" t="s">
        <v>1976</v>
      </c>
      <c r="D3604" s="8">
        <v>0</v>
      </c>
      <c r="E3604" s="8">
        <v>1</v>
      </c>
      <c r="F3604" s="8">
        <v>2106</v>
      </c>
    </row>
    <row r="3605" spans="1:6" ht="12.75">
      <c r="A3605" s="8">
        <v>43903.509270833332</v>
      </c>
      <c r="B3605" s="8" t="str">
        <f>HYPERLINK("https://twitter.com/vinonasurya","@vinonasurya")</f>
        <v>@vinonasurya</v>
      </c>
      <c r="C3605" s="8" t="s">
        <v>1030</v>
      </c>
      <c r="D3605" s="8">
        <v>199</v>
      </c>
      <c r="E3605" s="8">
        <v>0</v>
      </c>
      <c r="F3605" s="8">
        <v>154</v>
      </c>
    </row>
    <row r="3606" spans="1:6" ht="12.75">
      <c r="A3606" s="8">
        <v>43903.509074074071</v>
      </c>
      <c r="B3606" s="8" t="str">
        <f>HYPERLINK("https://twitter.com/Sriniva97913531","@Sriniva97913531")</f>
        <v>@Sriniva97913531</v>
      </c>
      <c r="C3606" s="8" t="s">
        <v>1195</v>
      </c>
      <c r="D3606" s="8">
        <v>2589</v>
      </c>
      <c r="E3606" s="8">
        <v>0</v>
      </c>
      <c r="F3606" s="8">
        <v>111</v>
      </c>
    </row>
    <row r="3607" spans="1:6" ht="12.75">
      <c r="A3607" s="8">
        <v>43903.507210648153</v>
      </c>
      <c r="B3607" s="8" t="str">
        <f>HYPERLINK("https://twitter.com/yhand_92","@yhand_92")</f>
        <v>@yhand_92</v>
      </c>
      <c r="C3607" s="8" t="s">
        <v>1318</v>
      </c>
      <c r="D3607" s="8">
        <v>23168</v>
      </c>
      <c r="E3607" s="8">
        <v>0</v>
      </c>
      <c r="F3607" s="8">
        <v>93</v>
      </c>
    </row>
    <row r="3608" spans="1:6" ht="12.75">
      <c r="A3608" s="8">
        <v>43903.50644675926</v>
      </c>
      <c r="B3608" s="8" t="str">
        <f>HYPERLINK("https://twitter.com/thethirdchildrn","@thethirdchildrn")</f>
        <v>@thethirdchildrn</v>
      </c>
      <c r="C3608" s="8" t="s">
        <v>1977</v>
      </c>
      <c r="D3608" s="8">
        <v>0</v>
      </c>
      <c r="E3608" s="8">
        <v>0</v>
      </c>
      <c r="F3608" s="8">
        <v>174</v>
      </c>
    </row>
    <row r="3609" spans="1:6" ht="12.75">
      <c r="A3609" s="8">
        <v>43903.506400462968</v>
      </c>
      <c r="B3609" s="8" t="str">
        <f t="shared" ref="B3609:B3610" si="67">HYPERLINK("https://twitter.com/oktaviani_suciw","@oktaviani_suciw")</f>
        <v>@oktaviani_suciw</v>
      </c>
      <c r="C3609" s="8" t="s">
        <v>1817</v>
      </c>
      <c r="D3609" s="8">
        <v>1</v>
      </c>
      <c r="E3609" s="8">
        <v>0</v>
      </c>
      <c r="F3609" s="8">
        <v>7</v>
      </c>
    </row>
    <row r="3610" spans="1:6" ht="12.75">
      <c r="A3610" s="8">
        <v>43903.506319444445</v>
      </c>
      <c r="B3610" s="8" t="str">
        <f t="shared" si="67"/>
        <v>@oktaviani_suciw</v>
      </c>
      <c r="C3610" s="8" t="s">
        <v>1978</v>
      </c>
      <c r="D3610" s="8">
        <v>1</v>
      </c>
      <c r="E3610" s="8">
        <v>1</v>
      </c>
      <c r="F3610" s="8">
        <v>7</v>
      </c>
    </row>
    <row r="3611" spans="1:6" ht="12.75">
      <c r="A3611" s="8">
        <v>43903.505254629628</v>
      </c>
      <c r="B3611" s="8" t="str">
        <f>HYPERLINK("https://twitter.com/AnggaraDavid","@AnggaraDavid")</f>
        <v>@AnggaraDavid</v>
      </c>
      <c r="C3611" s="8" t="s">
        <v>1454</v>
      </c>
      <c r="D3611" s="8">
        <v>6</v>
      </c>
      <c r="E3611" s="8">
        <v>0</v>
      </c>
      <c r="F3611" s="8">
        <v>197</v>
      </c>
    </row>
    <row r="3612" spans="1:6" ht="12.75">
      <c r="A3612" s="8">
        <v>43903.505127314813</v>
      </c>
      <c r="B3612" s="8" t="str">
        <f>HYPERLINK("https://twitter.com/_wni_","@_wni_")</f>
        <v>@_wni_</v>
      </c>
      <c r="C3612" s="8" t="s">
        <v>1979</v>
      </c>
      <c r="D3612" s="8">
        <v>5284</v>
      </c>
      <c r="E3612" s="8">
        <v>0</v>
      </c>
      <c r="F3612" s="8">
        <v>21</v>
      </c>
    </row>
    <row r="3613" spans="1:6" ht="12.75">
      <c r="A3613" s="8">
        <v>43903.504953703705</v>
      </c>
      <c r="B3613" s="8" t="str">
        <f>HYPERLINK("https://twitter.com/RifkiMawlana","@RifkiMawlana")</f>
        <v>@RifkiMawlana</v>
      </c>
      <c r="C3613" s="8" t="s">
        <v>1491</v>
      </c>
      <c r="D3613" s="8">
        <v>28</v>
      </c>
      <c r="E3613" s="8">
        <v>0</v>
      </c>
      <c r="F3613" s="8">
        <v>967</v>
      </c>
    </row>
    <row r="3614" spans="1:6" ht="12.75">
      <c r="A3614" s="8">
        <v>43903.504699074074</v>
      </c>
      <c r="B3614" s="8" t="str">
        <f>HYPERLINK("https://twitter.com/ImeldaTheQueen","@ImeldaTheQueen")</f>
        <v>@ImeldaTheQueen</v>
      </c>
      <c r="C3614" s="8" t="s">
        <v>925</v>
      </c>
      <c r="D3614" s="8">
        <v>98</v>
      </c>
      <c r="E3614" s="8">
        <v>0</v>
      </c>
      <c r="F3614" s="8">
        <v>388</v>
      </c>
    </row>
    <row r="3615" spans="1:6" ht="12.75">
      <c r="A3615" s="8">
        <v>43903.504664351851</v>
      </c>
      <c r="B3615" s="8" t="str">
        <f>HYPERLINK("https://twitter.com/topinfo_id","@topinfo_id")</f>
        <v>@topinfo_id</v>
      </c>
      <c r="C3615" s="8" t="s">
        <v>1980</v>
      </c>
      <c r="D3615" s="8">
        <v>0</v>
      </c>
      <c r="E3615" s="8">
        <v>0</v>
      </c>
      <c r="F3615" s="8">
        <v>104</v>
      </c>
    </row>
    <row r="3616" spans="1:6" ht="12.75">
      <c r="A3616" s="8">
        <v>43903.504201388889</v>
      </c>
      <c r="B3616" s="8" t="str">
        <f>HYPERLINK("https://twitter.com/ParekhShital","@ParekhShital")</f>
        <v>@ParekhShital</v>
      </c>
      <c r="C3616" s="8" t="s">
        <v>1195</v>
      </c>
      <c r="D3616" s="8">
        <v>2580</v>
      </c>
      <c r="E3616" s="8">
        <v>0</v>
      </c>
      <c r="F3616" s="8">
        <v>301</v>
      </c>
    </row>
    <row r="3617" spans="1:6" ht="12.75">
      <c r="A3617" s="8">
        <v>43903.50409722222</v>
      </c>
      <c r="B3617" s="8" t="str">
        <f>HYPERLINK("https://twitter.com/Xaver25761586","@Xaver25761586")</f>
        <v>@Xaver25761586</v>
      </c>
      <c r="C3617" s="8" t="s">
        <v>289</v>
      </c>
      <c r="D3617" s="8">
        <v>102</v>
      </c>
      <c r="E3617" s="8">
        <v>0</v>
      </c>
      <c r="F3617" s="8">
        <v>635</v>
      </c>
    </row>
    <row r="3618" spans="1:6" ht="12.75">
      <c r="A3618" s="8">
        <v>43903.50381944445</v>
      </c>
      <c r="B3618" s="8" t="str">
        <f>HYPERLINK("https://twitter.com/DikdoYuswantoro","@DikdoYuswantoro")</f>
        <v>@DikdoYuswantoro</v>
      </c>
      <c r="C3618" s="8" t="s">
        <v>1030</v>
      </c>
      <c r="D3618" s="8">
        <v>198</v>
      </c>
      <c r="E3618" s="8">
        <v>0</v>
      </c>
      <c r="F3618" s="8">
        <v>337</v>
      </c>
    </row>
    <row r="3619" spans="1:6" ht="12.75">
      <c r="A3619" s="8">
        <v>43903.503738425927</v>
      </c>
      <c r="B3619" s="8" t="str">
        <f>HYPERLINK("https://twitter.com/windysugito","@windysugito")</f>
        <v>@windysugito</v>
      </c>
      <c r="C3619" s="8" t="s">
        <v>925</v>
      </c>
      <c r="D3619" s="8">
        <v>98</v>
      </c>
      <c r="E3619" s="8">
        <v>0</v>
      </c>
      <c r="F3619" s="8">
        <v>1017</v>
      </c>
    </row>
    <row r="3620" spans="1:6" ht="12.75">
      <c r="A3620" s="8">
        <v>43903.503379629634</v>
      </c>
      <c r="B3620" s="8" t="str">
        <f>HYPERLINK("https://twitter.com/_wni_","@_wni_")</f>
        <v>@_wni_</v>
      </c>
      <c r="C3620" s="8" t="s">
        <v>1981</v>
      </c>
      <c r="D3620" s="8">
        <v>0</v>
      </c>
      <c r="E3620" s="8">
        <v>0</v>
      </c>
      <c r="F3620" s="8">
        <v>21</v>
      </c>
    </row>
    <row r="3621" spans="1:6" ht="12.75">
      <c r="A3621" s="8">
        <v>43903.50335648148</v>
      </c>
      <c r="B3621" s="8" t="str">
        <f>HYPERLINK("https://twitter.com/_village_boy_","@_village_boy_")</f>
        <v>@_village_boy_</v>
      </c>
      <c r="C3621" s="8" t="s">
        <v>1982</v>
      </c>
      <c r="D3621" s="8">
        <v>0</v>
      </c>
      <c r="E3621" s="8">
        <v>0</v>
      </c>
      <c r="F3621" s="8">
        <v>18</v>
      </c>
    </row>
    <row r="3622" spans="1:6" ht="12.75">
      <c r="A3622" s="8">
        <v>43903.503113425926</v>
      </c>
      <c r="B3622" s="8" t="str">
        <f>HYPERLINK("https://twitter.com/asiansaga","@asiansaga")</f>
        <v>@asiansaga</v>
      </c>
      <c r="C3622" s="8" t="s">
        <v>1952</v>
      </c>
      <c r="D3622" s="8">
        <v>9</v>
      </c>
      <c r="E3622" s="8">
        <v>0</v>
      </c>
      <c r="F3622" s="8">
        <v>864</v>
      </c>
    </row>
    <row r="3623" spans="1:6" ht="12.75">
      <c r="A3623" s="8">
        <v>43903.502395833333</v>
      </c>
      <c r="B3623" s="8" t="str">
        <f>HYPERLINK("https://twitter.com/allwarman","@allwarman")</f>
        <v>@allwarman</v>
      </c>
      <c r="C3623" s="8" t="s">
        <v>1491</v>
      </c>
      <c r="D3623" s="8">
        <v>28</v>
      </c>
      <c r="E3623" s="8">
        <v>0</v>
      </c>
      <c r="F3623" s="8">
        <v>93</v>
      </c>
    </row>
    <row r="3624" spans="1:6" ht="12.75">
      <c r="A3624" s="8">
        <v>43903.502141203702</v>
      </c>
      <c r="B3624" s="8" t="str">
        <f>HYPERLINK("https://twitter.com/DrSuneelKVarma","@DrSuneelKVarma")</f>
        <v>@DrSuneelKVarma</v>
      </c>
      <c r="C3624" s="8" t="s">
        <v>1516</v>
      </c>
      <c r="D3624" s="8">
        <v>1</v>
      </c>
      <c r="E3624" s="8">
        <v>0</v>
      </c>
      <c r="F3624" s="8">
        <v>1220</v>
      </c>
    </row>
    <row r="3625" spans="1:6" ht="12.75">
      <c r="A3625" s="8">
        <v>43903.502060185187</v>
      </c>
      <c r="B3625" s="8" t="str">
        <f>HYPERLINK("https://twitter.com/imanbr","@imanbr")</f>
        <v>@imanbr</v>
      </c>
      <c r="C3625" s="8" t="s">
        <v>1883</v>
      </c>
      <c r="D3625" s="8">
        <v>0</v>
      </c>
      <c r="E3625" s="8">
        <v>1</v>
      </c>
      <c r="F3625" s="8">
        <v>83408</v>
      </c>
    </row>
    <row r="3626" spans="1:6" ht="12.75">
      <c r="A3626" s="8">
        <v>43903.501932870371</v>
      </c>
      <c r="B3626" s="8" t="str">
        <f>HYPERLINK("https://twitter.com/andi_saja","@andi_saja")</f>
        <v>@andi_saja</v>
      </c>
      <c r="C3626" s="8" t="s">
        <v>925</v>
      </c>
      <c r="D3626" s="8">
        <v>98</v>
      </c>
      <c r="E3626" s="8">
        <v>0</v>
      </c>
      <c r="F3626" s="8">
        <v>2020</v>
      </c>
    </row>
    <row r="3627" spans="1:6" ht="12.75">
      <c r="A3627" s="8">
        <v>43903.501712962963</v>
      </c>
      <c r="B3627" s="8" t="str">
        <f>HYPERLINK("https://twitter.com/raymanfish","@raymanfish")</f>
        <v>@raymanfish</v>
      </c>
      <c r="C3627" s="8" t="s">
        <v>925</v>
      </c>
      <c r="D3627" s="8">
        <v>98</v>
      </c>
      <c r="E3627" s="8">
        <v>0</v>
      </c>
      <c r="F3627" s="8">
        <v>1208</v>
      </c>
    </row>
    <row r="3628" spans="1:6" ht="12.75">
      <c r="A3628" s="8">
        <v>43903.501400462963</v>
      </c>
      <c r="B3628" s="8" t="str">
        <f>HYPERLINK("https://twitter.com/antikadrun4ever","@antikadrun4ever")</f>
        <v>@antikadrun4ever</v>
      </c>
      <c r="C3628" s="8" t="s">
        <v>1983</v>
      </c>
      <c r="D3628" s="8">
        <v>0</v>
      </c>
      <c r="E3628" s="8">
        <v>0</v>
      </c>
      <c r="F3628" s="8">
        <v>1374</v>
      </c>
    </row>
    <row r="3629" spans="1:6" ht="12.75">
      <c r="A3629" s="8">
        <v>43903.500625000001</v>
      </c>
      <c r="B3629" s="8" t="str">
        <f>HYPERLINK("https://twitter.com/BobbyIrwanda","@BobbyIrwanda")</f>
        <v>@BobbyIrwanda</v>
      </c>
      <c r="C3629" s="8" t="s">
        <v>925</v>
      </c>
      <c r="D3629" s="8">
        <v>98</v>
      </c>
      <c r="E3629" s="8">
        <v>0</v>
      </c>
      <c r="F3629" s="8">
        <v>1650</v>
      </c>
    </row>
    <row r="3630" spans="1:6" ht="12.75">
      <c r="A3630" s="8">
        <v>43903.500405092593</v>
      </c>
      <c r="B3630" s="8" t="str">
        <f>HYPERLINK("https://twitter.com/gumipurple","@gumipurple")</f>
        <v>@gumipurple</v>
      </c>
      <c r="C3630" s="8" t="s">
        <v>1984</v>
      </c>
      <c r="D3630" s="8">
        <v>0</v>
      </c>
      <c r="E3630" s="8">
        <v>0</v>
      </c>
      <c r="F3630" s="8">
        <v>104</v>
      </c>
    </row>
    <row r="3631" spans="1:6" ht="12.75">
      <c r="A3631" s="8">
        <v>43903.500254629631</v>
      </c>
      <c r="B3631" s="8" t="str">
        <f>HYPERLINK("https://twitter.com/JJaeyumixx","@JJaeyumixx")</f>
        <v>@JJaeyumixx</v>
      </c>
      <c r="C3631" s="8" t="s">
        <v>1491</v>
      </c>
      <c r="D3631" s="8">
        <v>28</v>
      </c>
      <c r="E3631" s="8">
        <v>0</v>
      </c>
      <c r="F3631" s="8">
        <v>164</v>
      </c>
    </row>
    <row r="3632" spans="1:6" ht="12.75">
      <c r="A3632" s="8">
        <v>43903.500231481477</v>
      </c>
      <c r="B3632" s="8" t="str">
        <f>HYPERLINK("https://twitter.com/MrHartono2","@MrHartono2")</f>
        <v>@MrHartono2</v>
      </c>
      <c r="C3632" s="8" t="s">
        <v>289</v>
      </c>
      <c r="D3632" s="8">
        <v>102</v>
      </c>
      <c r="E3632" s="8">
        <v>0</v>
      </c>
      <c r="F3632" s="8">
        <v>2246</v>
      </c>
    </row>
    <row r="3633" spans="1:6" ht="12.75">
      <c r="A3633" s="8">
        <v>43903.499791666662</v>
      </c>
      <c r="B3633" s="8" t="str">
        <f>HYPERLINK("https://twitter.com/htssurabaya","@htssurabaya")</f>
        <v>@htssurabaya</v>
      </c>
      <c r="C3633" s="8" t="s">
        <v>1985</v>
      </c>
      <c r="D3633" s="8">
        <v>6</v>
      </c>
      <c r="E3633" s="8">
        <v>0</v>
      </c>
      <c r="F3633" s="8">
        <v>2</v>
      </c>
    </row>
    <row r="3634" spans="1:6" ht="12.75">
      <c r="A3634" s="8">
        <v>43903.499722222223</v>
      </c>
      <c r="B3634" s="8" t="str">
        <f>HYPERLINK("https://twitter.com/oktafian","@oktafian")</f>
        <v>@oktafian</v>
      </c>
      <c r="C3634" s="8" t="s">
        <v>1986</v>
      </c>
      <c r="D3634" s="8">
        <v>880</v>
      </c>
      <c r="E3634" s="8">
        <v>0</v>
      </c>
      <c r="F3634" s="8">
        <v>466</v>
      </c>
    </row>
    <row r="3635" spans="1:6" ht="12.75">
      <c r="A3635" s="8">
        <v>43903.499583333338</v>
      </c>
      <c r="B3635" s="8" t="str">
        <f>HYPERLINK("https://twitter.com/abhymanyu1983","@abhymanyu1983")</f>
        <v>@abhymanyu1983</v>
      </c>
      <c r="C3635" s="8" t="s">
        <v>353</v>
      </c>
      <c r="D3635" s="8">
        <v>57</v>
      </c>
      <c r="E3635" s="8">
        <v>0</v>
      </c>
      <c r="F3635" s="8">
        <v>50</v>
      </c>
    </row>
    <row r="3636" spans="1:6" ht="12.75">
      <c r="A3636" s="8">
        <v>43903.499189814815</v>
      </c>
      <c r="B3636" s="8" t="str">
        <f>HYPERLINK("https://twitter.com/dwiyanaDKM","@dwiyanaDKM")</f>
        <v>@dwiyanaDKM</v>
      </c>
      <c r="C3636" s="8" t="s">
        <v>925</v>
      </c>
      <c r="D3636" s="8">
        <v>98</v>
      </c>
      <c r="E3636" s="8">
        <v>0</v>
      </c>
      <c r="F3636" s="8">
        <v>3055</v>
      </c>
    </row>
    <row r="3637" spans="1:6" ht="12.75">
      <c r="A3637" s="8">
        <v>43903.498796296291</v>
      </c>
      <c r="B3637" s="8" t="str">
        <f>HYPERLINK("https://twitter.com/Masbedjo19","@Masbedjo19")</f>
        <v>@Masbedjo19</v>
      </c>
      <c r="C3637" s="8" t="s">
        <v>1986</v>
      </c>
      <c r="D3637" s="8">
        <v>880</v>
      </c>
      <c r="E3637" s="8">
        <v>0</v>
      </c>
      <c r="F3637" s="8">
        <v>122</v>
      </c>
    </row>
    <row r="3638" spans="1:6" ht="12.75">
      <c r="A3638" s="8">
        <v>43903.498749999999</v>
      </c>
      <c r="B3638" s="8" t="str">
        <f>HYPERLINK("https://twitter.com/pr4jurit_langit","@pr4jurit_langit")</f>
        <v>@pr4jurit_langit</v>
      </c>
      <c r="C3638" s="8" t="s">
        <v>1987</v>
      </c>
      <c r="D3638" s="8">
        <v>0</v>
      </c>
      <c r="E3638" s="8">
        <v>0</v>
      </c>
      <c r="F3638" s="8">
        <v>831</v>
      </c>
    </row>
    <row r="3639" spans="1:6" ht="12.75">
      <c r="A3639" s="8">
        <v>43903.498541666668</v>
      </c>
      <c r="B3639" s="8" t="str">
        <f>HYPERLINK("https://twitter.com/Joglosemarnews","@Joglosemarnews")</f>
        <v>@Joglosemarnews</v>
      </c>
      <c r="C3639" s="8" t="s">
        <v>1988</v>
      </c>
      <c r="D3639" s="8">
        <v>0</v>
      </c>
      <c r="E3639" s="8">
        <v>0</v>
      </c>
      <c r="F3639" s="8">
        <v>321</v>
      </c>
    </row>
    <row r="3640" spans="1:6" ht="12.75">
      <c r="A3640" s="8">
        <v>43903.498206018514</v>
      </c>
      <c r="B3640" s="8" t="str">
        <f>HYPERLINK("https://twitter.com/Iyo63579667","@Iyo63579667")</f>
        <v>@Iyo63579667</v>
      </c>
      <c r="C3640" s="8" t="s">
        <v>1989</v>
      </c>
      <c r="D3640" s="8">
        <v>0</v>
      </c>
      <c r="E3640" s="8">
        <v>0</v>
      </c>
      <c r="F3640" s="8">
        <v>87</v>
      </c>
    </row>
    <row r="3641" spans="1:6" ht="12.75">
      <c r="A3641" s="8">
        <v>43903.497673611113</v>
      </c>
      <c r="B3641" s="8" t="str">
        <f>HYPERLINK("https://twitter.com/Kenjero7","@Kenjero7")</f>
        <v>@Kenjero7</v>
      </c>
      <c r="C3641" s="8" t="s">
        <v>1824</v>
      </c>
      <c r="D3641" s="8">
        <v>0</v>
      </c>
      <c r="E3641" s="8">
        <v>1</v>
      </c>
      <c r="F3641" s="8">
        <v>1</v>
      </c>
    </row>
    <row r="3642" spans="1:6" ht="12.75">
      <c r="A3642" s="8">
        <v>43903.497430555552</v>
      </c>
      <c r="B3642" s="8" t="str">
        <f>HYPERLINK("https://twitter.com/Widyarenee","@Widyarenee")</f>
        <v>@Widyarenee</v>
      </c>
      <c r="C3642" s="8" t="s">
        <v>1986</v>
      </c>
      <c r="D3642" s="8">
        <v>880</v>
      </c>
      <c r="E3642" s="8">
        <v>0</v>
      </c>
      <c r="F3642" s="8">
        <v>8295</v>
      </c>
    </row>
    <row r="3643" spans="1:6" ht="12.75">
      <c r="A3643" s="8">
        <v>43903.497037037036</v>
      </c>
      <c r="B3643" s="8" t="str">
        <f>HYPERLINK("https://twitter.com/FarzanaFauzii","@FarzanaFauzii")</f>
        <v>@FarzanaFauzii</v>
      </c>
      <c r="C3643" s="8" t="s">
        <v>1824</v>
      </c>
      <c r="D3643" s="8">
        <v>0</v>
      </c>
      <c r="E3643" s="8">
        <v>0</v>
      </c>
      <c r="F3643" s="8">
        <v>447</v>
      </c>
    </row>
    <row r="3644" spans="1:6" ht="12.75">
      <c r="A3644" s="8">
        <v>43903.496990740736</v>
      </c>
      <c r="B3644" s="8" t="str">
        <f>HYPERLINK("https://twitter.com/saudinesia","@saudinesia")</f>
        <v>@saudinesia</v>
      </c>
      <c r="C3644" s="8" t="s">
        <v>1990</v>
      </c>
      <c r="D3644" s="8">
        <v>0</v>
      </c>
      <c r="E3644" s="8">
        <v>1</v>
      </c>
      <c r="F3644" s="8">
        <v>711</v>
      </c>
    </row>
    <row r="3645" spans="1:6" ht="12.75">
      <c r="A3645" s="8">
        <v>43903.49664351852</v>
      </c>
      <c r="B3645" s="8" t="str">
        <f>HYPERLINK("https://twitter.com/ephraym8","@ephraym8")</f>
        <v>@ephraym8</v>
      </c>
      <c r="C3645" s="8" t="s">
        <v>1491</v>
      </c>
      <c r="D3645" s="8">
        <v>28</v>
      </c>
      <c r="E3645" s="8">
        <v>0</v>
      </c>
      <c r="F3645" s="8">
        <v>1222</v>
      </c>
    </row>
    <row r="3646" spans="1:6" ht="12.75">
      <c r="A3646" s="8">
        <v>43903.496342592596</v>
      </c>
      <c r="B3646" s="8" t="str">
        <f>HYPERLINK("https://twitter.com/abayoek","@abayoek")</f>
        <v>@abayoek</v>
      </c>
      <c r="C3646" s="8" t="s">
        <v>165</v>
      </c>
      <c r="D3646" s="8">
        <v>133</v>
      </c>
      <c r="E3646" s="8">
        <v>0</v>
      </c>
      <c r="F3646" s="8">
        <v>920</v>
      </c>
    </row>
    <row r="3647" spans="1:6" ht="12.75">
      <c r="A3647" s="8">
        <v>43903.49596064815</v>
      </c>
      <c r="B3647" s="8" t="str">
        <f>HYPERLINK("https://twitter.com/KJRI_Vancouver","@KJRI_Vancouver")</f>
        <v>@KJRI_Vancouver</v>
      </c>
      <c r="C3647" s="8" t="s">
        <v>1569</v>
      </c>
      <c r="D3647" s="8">
        <v>45</v>
      </c>
      <c r="E3647" s="8">
        <v>0</v>
      </c>
      <c r="F3647" s="8">
        <v>2372</v>
      </c>
    </row>
    <row r="3648" spans="1:6" ht="12.75">
      <c r="A3648" s="8">
        <v>43903.495682870373</v>
      </c>
      <c r="B3648" s="8" t="str">
        <f>HYPERLINK("https://twitter.com/SamKuma91092465","@SamKuma91092465")</f>
        <v>@SamKuma91092465</v>
      </c>
      <c r="C3648" s="8" t="s">
        <v>1195</v>
      </c>
      <c r="D3648" s="8">
        <v>2580</v>
      </c>
      <c r="E3648" s="8">
        <v>0</v>
      </c>
      <c r="F3648" s="8">
        <v>353</v>
      </c>
    </row>
    <row r="3649" spans="1:6" ht="12.75">
      <c r="A3649" s="8">
        <v>43903.495289351849</v>
      </c>
      <c r="B3649" s="8" t="str">
        <f>HYPERLINK("https://twitter.com/jakasem55591924","@jakasem55591924")</f>
        <v>@jakasem55591924</v>
      </c>
      <c r="C3649" s="8" t="s">
        <v>1991</v>
      </c>
      <c r="D3649" s="8">
        <v>0</v>
      </c>
      <c r="E3649" s="8">
        <v>0</v>
      </c>
      <c r="F3649" s="8">
        <v>29</v>
      </c>
    </row>
    <row r="3650" spans="1:6" ht="12.75">
      <c r="A3650" s="8">
        <v>43903.49486111111</v>
      </c>
      <c r="B3650" s="8" t="str">
        <f>HYPERLINK("https://twitter.com/buruhkapitalis","@buruhkapitalis")</f>
        <v>@buruhkapitalis</v>
      </c>
      <c r="C3650" s="8" t="s">
        <v>1030</v>
      </c>
      <c r="D3650" s="8">
        <v>198</v>
      </c>
      <c r="E3650" s="8">
        <v>0</v>
      </c>
      <c r="F3650" s="8">
        <v>28</v>
      </c>
    </row>
    <row r="3651" spans="1:6" ht="12.75">
      <c r="A3651" s="8">
        <v>43903.494560185187</v>
      </c>
      <c r="B3651" s="8" t="str">
        <f>HYPERLINK("https://twitter.com/omniasawii","@omniasawii")</f>
        <v>@omniasawii</v>
      </c>
      <c r="C3651" s="8" t="s">
        <v>1992</v>
      </c>
      <c r="D3651" s="8">
        <v>1</v>
      </c>
      <c r="E3651" s="8">
        <v>0</v>
      </c>
      <c r="F3651" s="8">
        <v>215</v>
      </c>
    </row>
    <row r="3652" spans="1:6" ht="12.75">
      <c r="A3652" s="8">
        <v>43903.492581018523</v>
      </c>
      <c r="B3652" s="8" t="str">
        <f>HYPERLINK("https://twitter.com/wbintoro101209","@wbintoro101209")</f>
        <v>@wbintoro101209</v>
      </c>
      <c r="C3652" s="8" t="s">
        <v>353</v>
      </c>
      <c r="D3652" s="8">
        <v>57</v>
      </c>
      <c r="E3652" s="8">
        <v>0</v>
      </c>
      <c r="F3652" s="8">
        <v>314</v>
      </c>
    </row>
    <row r="3653" spans="1:6" ht="12.75">
      <c r="A3653" s="8">
        <v>43903.492361111115</v>
      </c>
      <c r="B3653" s="8" t="str">
        <f>HYPERLINK("https://twitter.com/alec_bong","@alec_bong")</f>
        <v>@alec_bong</v>
      </c>
      <c r="C3653" s="8" t="s">
        <v>1993</v>
      </c>
      <c r="D3653" s="8">
        <v>5</v>
      </c>
      <c r="E3653" s="8">
        <v>0</v>
      </c>
      <c r="F3653" s="8">
        <v>78</v>
      </c>
    </row>
    <row r="3654" spans="1:6" ht="12.75">
      <c r="A3654" s="8">
        <v>43903.491643518515</v>
      </c>
      <c r="B3654" s="8" t="str">
        <f>HYPERLINK("https://twitter.com/yonna_double_n","@yonna_double_n")</f>
        <v>@yonna_double_n</v>
      </c>
      <c r="C3654" s="8" t="s">
        <v>1994</v>
      </c>
      <c r="D3654" s="8">
        <v>0</v>
      </c>
      <c r="E3654" s="8">
        <v>0</v>
      </c>
      <c r="F3654" s="8">
        <v>0</v>
      </c>
    </row>
    <row r="3655" spans="1:6" ht="12.75">
      <c r="A3655" s="8">
        <v>43903.491354166668</v>
      </c>
      <c r="B3655" s="8" t="str">
        <f>HYPERLINK("https://twitter.com/mudha_satriya","@mudha_satriya")</f>
        <v>@mudha_satriya</v>
      </c>
      <c r="C3655" s="8" t="s">
        <v>1995</v>
      </c>
      <c r="D3655" s="8">
        <v>2</v>
      </c>
      <c r="E3655" s="8">
        <v>0</v>
      </c>
      <c r="F3655" s="8">
        <v>1887</v>
      </c>
    </row>
    <row r="3656" spans="1:6" ht="12.75">
      <c r="A3656" s="8">
        <v>43903.491215277776</v>
      </c>
      <c r="B3656" s="8" t="str">
        <f>HYPERLINK("https://twitter.com/Sarah_Pndj","@Sarah_Pndj")</f>
        <v>@Sarah_Pndj</v>
      </c>
      <c r="C3656" s="8" t="s">
        <v>1995</v>
      </c>
      <c r="D3656" s="8">
        <v>2</v>
      </c>
      <c r="E3656" s="8">
        <v>0</v>
      </c>
      <c r="F3656" s="8">
        <v>27207</v>
      </c>
    </row>
    <row r="3657" spans="1:6" ht="12.75">
      <c r="A3657" s="8">
        <v>43903.490671296298</v>
      </c>
      <c r="B3657" s="8" t="str">
        <f>HYPERLINK("https://twitter.com/sudaryanto_agus","@sudaryanto_agus")</f>
        <v>@sudaryanto_agus</v>
      </c>
      <c r="C3657" s="8" t="s">
        <v>925</v>
      </c>
      <c r="D3657" s="8">
        <v>98</v>
      </c>
      <c r="E3657" s="8">
        <v>0</v>
      </c>
      <c r="F3657" s="8">
        <v>1359</v>
      </c>
    </row>
    <row r="3658" spans="1:6" ht="12.75">
      <c r="A3658" s="8">
        <v>43903.49019675926</v>
      </c>
      <c r="B3658" s="8" t="str">
        <f>HYPERLINK("https://twitter.com/tokiyorain","@tokiyorain")</f>
        <v>@tokiyorain</v>
      </c>
      <c r="C3658" s="8" t="s">
        <v>1491</v>
      </c>
      <c r="D3658" s="8">
        <v>28</v>
      </c>
      <c r="E3658" s="8">
        <v>0</v>
      </c>
      <c r="F3658" s="8">
        <v>141</v>
      </c>
    </row>
    <row r="3659" spans="1:6" ht="12.75">
      <c r="A3659" s="8">
        <v>43903.489664351851</v>
      </c>
      <c r="B3659" s="8" t="str">
        <f>HYPERLINK("https://twitter.com/CoRumara","@CoRumara")</f>
        <v>@CoRumara</v>
      </c>
      <c r="C3659" s="8" t="s">
        <v>1996</v>
      </c>
      <c r="D3659" s="8">
        <v>0</v>
      </c>
      <c r="E3659" s="8">
        <v>0</v>
      </c>
      <c r="F3659" s="8">
        <v>1235</v>
      </c>
    </row>
    <row r="3660" spans="1:6" ht="12.75">
      <c r="A3660" s="8">
        <v>43903.489618055552</v>
      </c>
      <c r="B3660" s="8" t="str">
        <f>HYPERLINK("https://twitter.com/Dhealestri","@Dhealestri")</f>
        <v>@Dhealestri</v>
      </c>
      <c r="C3660" s="8" t="s">
        <v>1824</v>
      </c>
      <c r="D3660" s="8">
        <v>0</v>
      </c>
      <c r="E3660" s="8">
        <v>0</v>
      </c>
      <c r="F3660" s="8">
        <v>203</v>
      </c>
    </row>
    <row r="3661" spans="1:6" ht="12.75">
      <c r="A3661" s="8">
        <v>43903.489421296297</v>
      </c>
      <c r="B3661" s="8" t="str">
        <f>HYPERLINK("https://twitter.com/erikamelfa","@erikamelfa")</f>
        <v>@erikamelfa</v>
      </c>
      <c r="C3661" s="8" t="s">
        <v>1997</v>
      </c>
      <c r="D3661" s="8">
        <v>2</v>
      </c>
      <c r="E3661" s="8">
        <v>3</v>
      </c>
      <c r="F3661" s="8">
        <v>606</v>
      </c>
    </row>
    <row r="3662" spans="1:6" ht="12.75">
      <c r="A3662" s="8">
        <v>43903.488969907412</v>
      </c>
      <c r="B3662" s="8" t="str">
        <f>HYPERLINK("https://twitter.com/EkaWiradana","@EkaWiradana")</f>
        <v>@EkaWiradana</v>
      </c>
      <c r="C3662" s="8" t="s">
        <v>925</v>
      </c>
      <c r="D3662" s="8">
        <v>98</v>
      </c>
      <c r="E3662" s="8">
        <v>0</v>
      </c>
      <c r="F3662" s="8">
        <v>40</v>
      </c>
    </row>
    <row r="3663" spans="1:6" ht="12.75">
      <c r="A3663" s="8">
        <v>43903.488599537042</v>
      </c>
      <c r="B3663" s="8" t="str">
        <f>HYPERLINK("https://twitter.com/AfifachJ","@AfifachJ")</f>
        <v>@AfifachJ</v>
      </c>
      <c r="C3663" s="8" t="s">
        <v>1998</v>
      </c>
      <c r="D3663" s="8">
        <v>0</v>
      </c>
      <c r="E3663" s="8">
        <v>0</v>
      </c>
      <c r="F3663" s="8">
        <v>332</v>
      </c>
    </row>
    <row r="3664" spans="1:6" ht="12.75">
      <c r="A3664" s="8">
        <v>43903.487361111111</v>
      </c>
      <c r="B3664" s="8" t="str">
        <f>HYPERLINK("https://twitter.com/baronessa_w","@baronessa_w")</f>
        <v>@baronessa_w</v>
      </c>
      <c r="C3664" s="8" t="s">
        <v>1491</v>
      </c>
      <c r="D3664" s="8">
        <v>28</v>
      </c>
      <c r="E3664" s="8">
        <v>0</v>
      </c>
      <c r="F3664" s="8">
        <v>31</v>
      </c>
    </row>
    <row r="3665" spans="1:6" ht="12.75">
      <c r="A3665" s="8">
        <v>43903.486724537041</v>
      </c>
      <c r="B3665" s="8" t="str">
        <f>HYPERLINK("https://twitter.com/2019Bintang","@2019Bintang")</f>
        <v>@2019Bintang</v>
      </c>
      <c r="C3665" s="8" t="s">
        <v>1999</v>
      </c>
      <c r="D3665" s="8">
        <v>0</v>
      </c>
      <c r="E3665" s="8">
        <v>0</v>
      </c>
      <c r="F3665" s="8">
        <v>680</v>
      </c>
    </row>
    <row r="3666" spans="1:6" ht="12.75">
      <c r="A3666" s="8">
        <v>43903.486516203702</v>
      </c>
      <c r="B3666" s="8" t="str">
        <f>HYPERLINK("https://twitter.com/BossRini","@BossRini")</f>
        <v>@BossRini</v>
      </c>
      <c r="C3666" s="8" t="s">
        <v>1491</v>
      </c>
      <c r="D3666" s="8">
        <v>28</v>
      </c>
      <c r="E3666" s="8">
        <v>0</v>
      </c>
      <c r="F3666" s="8">
        <v>552</v>
      </c>
    </row>
    <row r="3667" spans="1:6" ht="12.75">
      <c r="A3667" s="8">
        <v>43903.48637731481</v>
      </c>
      <c r="B3667" s="8" t="str">
        <f>HYPERLINK("https://twitter.com/IndiaYai","@IndiaYai")</f>
        <v>@IndiaYai</v>
      </c>
      <c r="C3667" s="8" t="s">
        <v>1195</v>
      </c>
      <c r="D3667" s="8">
        <v>2580</v>
      </c>
      <c r="E3667" s="8">
        <v>0</v>
      </c>
      <c r="F3667" s="8">
        <v>214</v>
      </c>
    </row>
    <row r="3668" spans="1:6" ht="12.75">
      <c r="A3668" s="8">
        <v>43903.486122685186</v>
      </c>
      <c r="B3668" s="8" t="str">
        <f>HYPERLINK("https://twitter.com/bang_bar0n","@bang_bar0n")</f>
        <v>@bang_bar0n</v>
      </c>
      <c r="C3668" s="8" t="s">
        <v>2000</v>
      </c>
      <c r="D3668" s="8">
        <v>0</v>
      </c>
      <c r="E3668" s="8">
        <v>0</v>
      </c>
      <c r="F3668" s="8">
        <v>2424</v>
      </c>
    </row>
    <row r="3669" spans="1:6" ht="12.75">
      <c r="A3669" s="8">
        <v>43903.485532407409</v>
      </c>
      <c r="B3669" s="8" t="str">
        <f>HYPERLINK("https://twitter.com/SheGozam","@SheGozam")</f>
        <v>@SheGozam</v>
      </c>
      <c r="C3669" s="8" t="s">
        <v>925</v>
      </c>
      <c r="D3669" s="8">
        <v>98</v>
      </c>
      <c r="E3669" s="8">
        <v>0</v>
      </c>
      <c r="F3669" s="8">
        <v>155</v>
      </c>
    </row>
    <row r="3670" spans="1:6" ht="12.75">
      <c r="A3670" s="8">
        <v>43903.485462962963</v>
      </c>
      <c r="B3670" s="8" t="str">
        <f>HYPERLINK("https://twitter.com/surajorcl","@surajorcl")</f>
        <v>@surajorcl</v>
      </c>
      <c r="C3670" s="8" t="s">
        <v>1195</v>
      </c>
      <c r="D3670" s="8">
        <v>2580</v>
      </c>
      <c r="E3670" s="8">
        <v>0</v>
      </c>
      <c r="F3670" s="8">
        <v>66</v>
      </c>
    </row>
    <row r="3671" spans="1:6" ht="12.75">
      <c r="A3671" s="8">
        <v>43903.485451388886</v>
      </c>
      <c r="B3671" s="8" t="str">
        <f>HYPERLINK("https://twitter.com/h3ns3n","@h3ns3n")</f>
        <v>@h3ns3n</v>
      </c>
      <c r="C3671" s="8" t="s">
        <v>925</v>
      </c>
      <c r="D3671" s="8">
        <v>98</v>
      </c>
      <c r="E3671" s="8">
        <v>0</v>
      </c>
      <c r="F3671" s="8">
        <v>152</v>
      </c>
    </row>
    <row r="3672" spans="1:6" ht="12.75">
      <c r="A3672" s="8">
        <v>43903.485324074078</v>
      </c>
      <c r="B3672" s="8" t="str">
        <f>HYPERLINK("https://twitter.com/Berita7dotid","@Berita7dotid")</f>
        <v>@Berita7dotid</v>
      </c>
      <c r="C3672" s="8" t="s">
        <v>1658</v>
      </c>
      <c r="D3672" s="8">
        <v>0</v>
      </c>
      <c r="E3672" s="8">
        <v>0</v>
      </c>
      <c r="F3672" s="8">
        <v>2575</v>
      </c>
    </row>
    <row r="3673" spans="1:6" ht="12.75">
      <c r="A3673" s="8">
        <v>43903.485127314816</v>
      </c>
      <c r="B3673" s="8" t="str">
        <f>HYPERLINK("https://twitter.com/mehmet_wahid","@mehmet_wahid")</f>
        <v>@mehmet_wahid</v>
      </c>
      <c r="C3673" s="8" t="s">
        <v>1952</v>
      </c>
      <c r="D3673" s="8">
        <v>9</v>
      </c>
      <c r="E3673" s="8">
        <v>0</v>
      </c>
      <c r="F3673" s="8">
        <v>1835</v>
      </c>
    </row>
    <row r="3674" spans="1:6" ht="12.75">
      <c r="A3674" s="8">
        <v>43903.485127314816</v>
      </c>
      <c r="B3674" s="8" t="str">
        <f>HYPERLINK("https://twitter.com/penyejuk_hati_","@penyejuk_hati_")</f>
        <v>@penyejuk_hati_</v>
      </c>
      <c r="C3674" s="8" t="s">
        <v>1491</v>
      </c>
      <c r="D3674" s="8">
        <v>28</v>
      </c>
      <c r="E3674" s="8">
        <v>0</v>
      </c>
      <c r="F3674" s="8">
        <v>3931</v>
      </c>
    </row>
    <row r="3675" spans="1:6" ht="12.75">
      <c r="A3675" s="8">
        <v>43903.484479166669</v>
      </c>
      <c r="B3675" s="8" t="str">
        <f>HYPERLINK("https://twitter.com/555masteng","@555masteng")</f>
        <v>@555masteng</v>
      </c>
      <c r="C3675" s="8" t="s">
        <v>925</v>
      </c>
      <c r="D3675" s="8">
        <v>98</v>
      </c>
      <c r="E3675" s="8">
        <v>0</v>
      </c>
      <c r="F3675" s="8">
        <v>5642</v>
      </c>
    </row>
    <row r="3676" spans="1:6" ht="12.75">
      <c r="A3676" s="8">
        <v>43903.484201388885</v>
      </c>
      <c r="B3676" s="8" t="str">
        <f>HYPERLINK("https://twitter.com/AlRasyidS","@AlRasyidS")</f>
        <v>@AlRasyidS</v>
      </c>
      <c r="C3676" s="8" t="s">
        <v>2001</v>
      </c>
      <c r="D3676" s="8">
        <v>0</v>
      </c>
      <c r="E3676" s="8">
        <v>0</v>
      </c>
      <c r="F3676" s="8">
        <v>2961</v>
      </c>
    </row>
    <row r="3677" spans="1:6" ht="12.75">
      <c r="A3677" s="8">
        <v>43903.483969907407</v>
      </c>
      <c r="B3677" s="8" t="str">
        <f>HYPERLINK("https://twitter.com/arjuno_ireng01","@arjuno_ireng01")</f>
        <v>@arjuno_ireng01</v>
      </c>
      <c r="C3677" s="8" t="s">
        <v>925</v>
      </c>
      <c r="D3677" s="8">
        <v>98</v>
      </c>
      <c r="E3677" s="8">
        <v>0</v>
      </c>
      <c r="F3677" s="8">
        <v>11382</v>
      </c>
    </row>
    <row r="3678" spans="1:6" ht="12.75">
      <c r="A3678" s="8">
        <v>43903.483715277776</v>
      </c>
      <c r="B3678" s="8" t="str">
        <f>HYPERLINK("https://twitter.com/galuhlalenta194","@galuhlalenta194")</f>
        <v>@galuhlalenta194</v>
      </c>
      <c r="C3678" s="8" t="s">
        <v>1454</v>
      </c>
      <c r="D3678" s="8">
        <v>6</v>
      </c>
      <c r="E3678" s="8">
        <v>0</v>
      </c>
      <c r="F3678" s="8">
        <v>160</v>
      </c>
    </row>
    <row r="3679" spans="1:6" ht="12.75">
      <c r="A3679" s="8">
        <v>43903.483333333337</v>
      </c>
      <c r="B3679" s="8" t="str">
        <f>HYPERLINK("https://twitter.com/anatoemon","@anatoemon")</f>
        <v>@anatoemon</v>
      </c>
      <c r="C3679" s="8" t="s">
        <v>2002</v>
      </c>
      <c r="D3679" s="8">
        <v>0</v>
      </c>
      <c r="E3679" s="8">
        <v>0</v>
      </c>
      <c r="F3679" s="8">
        <v>659</v>
      </c>
    </row>
    <row r="3680" spans="1:6" ht="12.75">
      <c r="A3680" s="8">
        <v>43903.483090277776</v>
      </c>
      <c r="B3680" s="8" t="str">
        <f>HYPERLINK("https://twitter.com/geloraco","@geloraco")</f>
        <v>@geloraco</v>
      </c>
      <c r="C3680" s="8" t="s">
        <v>1658</v>
      </c>
      <c r="D3680" s="8">
        <v>0</v>
      </c>
      <c r="E3680" s="8">
        <v>3</v>
      </c>
      <c r="F3680" s="8">
        <v>106444</v>
      </c>
    </row>
    <row r="3681" spans="1:6" ht="12.75">
      <c r="A3681" s="8">
        <v>43903.482997685191</v>
      </c>
      <c r="B3681" s="8" t="str">
        <f>HYPERLINK("https://twitter.com/DodolNabi","@DodolNabi")</f>
        <v>@DodolNabi</v>
      </c>
      <c r="C3681" s="8" t="s">
        <v>353</v>
      </c>
      <c r="D3681" s="8">
        <v>57</v>
      </c>
      <c r="E3681" s="8">
        <v>0</v>
      </c>
      <c r="F3681" s="8">
        <v>356</v>
      </c>
    </row>
    <row r="3682" spans="1:6" ht="12.75">
      <c r="A3682" s="8">
        <v>43903.482905092591</v>
      </c>
      <c r="B3682" s="8" t="str">
        <f>HYPERLINK("https://twitter.com/basahdeh","@basahdeh")</f>
        <v>@basahdeh</v>
      </c>
      <c r="C3682" s="8" t="s">
        <v>1454</v>
      </c>
      <c r="D3682" s="8">
        <v>6</v>
      </c>
      <c r="E3682" s="8">
        <v>0</v>
      </c>
      <c r="F3682" s="8">
        <v>1863</v>
      </c>
    </row>
    <row r="3683" spans="1:6" ht="12.75">
      <c r="A3683" s="8">
        <v>43903.482870370368</v>
      </c>
      <c r="B3683" s="8" t="str">
        <f>HYPERLINK("https://twitter.com/Komaini_ahmad24","@Komaini_ahmad24")</f>
        <v>@Komaini_ahmad24</v>
      </c>
      <c r="C3683" s="8" t="s">
        <v>1952</v>
      </c>
      <c r="D3683" s="8">
        <v>9</v>
      </c>
      <c r="E3683" s="8">
        <v>0</v>
      </c>
      <c r="F3683" s="8">
        <v>874</v>
      </c>
    </row>
    <row r="3684" spans="1:6" ht="12.75">
      <c r="A3684" s="8">
        <v>43903.482233796298</v>
      </c>
      <c r="B3684" s="8" t="str">
        <f>HYPERLINK("https://twitter.com/Ichamaryana1","@Ichamaryana1")</f>
        <v>@Ichamaryana1</v>
      </c>
      <c r="C3684" s="8" t="s">
        <v>1454</v>
      </c>
      <c r="D3684" s="8">
        <v>6</v>
      </c>
      <c r="E3684" s="8">
        <v>0</v>
      </c>
      <c r="F3684" s="8">
        <v>55</v>
      </c>
    </row>
    <row r="3685" spans="1:6" ht="12.75">
      <c r="A3685" s="8">
        <v>43903.482175925921</v>
      </c>
      <c r="B3685" s="8" t="str">
        <f>HYPERLINK("https://twitter.com/suciazizahfeb15","@suciazizahfeb15")</f>
        <v>@suciazizahfeb15</v>
      </c>
      <c r="C3685" s="8" t="s">
        <v>2003</v>
      </c>
      <c r="D3685" s="8">
        <v>0</v>
      </c>
      <c r="E3685" s="8">
        <v>0</v>
      </c>
      <c r="F3685" s="8">
        <v>85</v>
      </c>
    </row>
    <row r="3686" spans="1:6" ht="12.75">
      <c r="A3686" s="8">
        <v>43903.481770833328</v>
      </c>
      <c r="B3686" s="8" t="str">
        <f>HYPERLINK("https://twitter.com/bang_bar0n","@bang_bar0n")</f>
        <v>@bang_bar0n</v>
      </c>
      <c r="C3686" s="8" t="s">
        <v>2004</v>
      </c>
      <c r="D3686" s="8">
        <v>1</v>
      </c>
      <c r="E3686" s="8">
        <v>1</v>
      </c>
      <c r="F3686" s="8">
        <v>2424</v>
      </c>
    </row>
    <row r="3687" spans="1:6" ht="12.75">
      <c r="A3687" s="8">
        <v>43903.481631944444</v>
      </c>
      <c r="B3687" s="8" t="str">
        <f>HYPERLINK("https://twitter.com/okinantan","@okinantan")</f>
        <v>@okinantan</v>
      </c>
      <c r="C3687" s="8" t="s">
        <v>1454</v>
      </c>
      <c r="D3687" s="8">
        <v>6</v>
      </c>
      <c r="E3687" s="8">
        <v>0</v>
      </c>
      <c r="F3687" s="8">
        <v>1011</v>
      </c>
    </row>
    <row r="3688" spans="1:6" ht="12.75">
      <c r="A3688" s="8">
        <v>43903.481145833328</v>
      </c>
      <c r="B3688" s="8" t="str">
        <f>HYPERLINK("https://twitter.com/Aceh","@Aceh")</f>
        <v>@Aceh</v>
      </c>
      <c r="C3688" s="8" t="s">
        <v>2005</v>
      </c>
      <c r="D3688" s="8">
        <v>6</v>
      </c>
      <c r="E3688" s="8">
        <v>17</v>
      </c>
      <c r="F3688" s="8">
        <v>15094</v>
      </c>
    </row>
    <row r="3689" spans="1:6" ht="12.75">
      <c r="A3689" s="8">
        <v>43903.481064814812</v>
      </c>
      <c r="B3689" s="8" t="str">
        <f>HYPERLINK("https://twitter.com/idntimes","@idntimes")</f>
        <v>@idntimes</v>
      </c>
      <c r="C3689" s="8" t="s">
        <v>2006</v>
      </c>
      <c r="D3689" s="8">
        <v>0</v>
      </c>
      <c r="E3689" s="8">
        <v>0</v>
      </c>
      <c r="F3689" s="8">
        <v>394571</v>
      </c>
    </row>
    <row r="3690" spans="1:6" ht="12.75">
      <c r="A3690" s="8">
        <v>43903.480902777781</v>
      </c>
      <c r="B3690" s="8" t="str">
        <f>HYPERLINK("https://twitter.com/leitizia","@leitizia")</f>
        <v>@leitizia</v>
      </c>
      <c r="C3690" s="8" t="s">
        <v>2007</v>
      </c>
      <c r="D3690" s="8">
        <v>0</v>
      </c>
      <c r="E3690" s="8">
        <v>0</v>
      </c>
      <c r="F3690" s="8">
        <v>268</v>
      </c>
    </row>
    <row r="3691" spans="1:6" ht="12.75">
      <c r="A3691" s="8">
        <v>43903.480682870373</v>
      </c>
      <c r="B3691" s="8" t="str">
        <f>HYPERLINK("https://twitter.com/bambang_hesti","@bambang_hesti")</f>
        <v>@bambang_hesti</v>
      </c>
      <c r="C3691" s="8" t="s">
        <v>2008</v>
      </c>
      <c r="D3691" s="8">
        <v>0</v>
      </c>
      <c r="E3691" s="8">
        <v>0</v>
      </c>
      <c r="F3691" s="8">
        <v>16</v>
      </c>
    </row>
    <row r="3692" spans="1:6" ht="12.75">
      <c r="A3692" s="8">
        <v>43903.480613425927</v>
      </c>
      <c r="B3692" s="8" t="str">
        <f>HYPERLINK("https://twitter.com/gdeasw","@gdeasw")</f>
        <v>@gdeasw</v>
      </c>
      <c r="C3692" s="8" t="s">
        <v>925</v>
      </c>
      <c r="D3692" s="8">
        <v>98</v>
      </c>
      <c r="E3692" s="8">
        <v>0</v>
      </c>
      <c r="F3692" s="8">
        <v>212</v>
      </c>
    </row>
    <row r="3693" spans="1:6" ht="12.75">
      <c r="A3693" s="8">
        <v>43903.480312500003</v>
      </c>
      <c r="B3693" s="8" t="str">
        <f>HYPERLINK("https://twitter.com/rakayoangga_","@rakayoangga_")</f>
        <v>@rakayoangga_</v>
      </c>
      <c r="C3693" s="8" t="s">
        <v>1030</v>
      </c>
      <c r="D3693" s="8">
        <v>198</v>
      </c>
      <c r="E3693" s="8">
        <v>0</v>
      </c>
      <c r="F3693" s="8">
        <v>37</v>
      </c>
    </row>
    <row r="3694" spans="1:6" ht="12.75">
      <c r="A3694" s="8">
        <v>43903.480254629627</v>
      </c>
      <c r="B3694" s="8" t="str">
        <f>HYPERLINK("https://twitter.com/NaviriMag","@NaviriMag")</f>
        <v>@NaviriMag</v>
      </c>
      <c r="C3694" s="8" t="s">
        <v>2009</v>
      </c>
      <c r="D3694" s="8">
        <v>0</v>
      </c>
      <c r="E3694" s="8">
        <v>0</v>
      </c>
      <c r="F3694" s="8">
        <v>1353</v>
      </c>
    </row>
    <row r="3695" spans="1:6" ht="12.75">
      <c r="A3695" s="8">
        <v>43903.479675925926</v>
      </c>
      <c r="B3695" s="8" t="str">
        <f>HYPERLINK("https://twitter.com/GyanveerSingh8","@GyanveerSingh8")</f>
        <v>@GyanveerSingh8</v>
      </c>
      <c r="C3695" s="8" t="s">
        <v>1195</v>
      </c>
      <c r="D3695" s="8">
        <v>2580</v>
      </c>
      <c r="E3695" s="8">
        <v>0</v>
      </c>
      <c r="F3695" s="8">
        <v>965</v>
      </c>
    </row>
    <row r="3696" spans="1:6" ht="12.75">
      <c r="A3696" s="8">
        <v>43903.479467592595</v>
      </c>
      <c r="B3696" s="8" t="str">
        <f>HYPERLINK("https://twitter.com/Gairdoaldino","@Gairdoaldino")</f>
        <v>@Gairdoaldino</v>
      </c>
      <c r="C3696" s="8" t="s">
        <v>2010</v>
      </c>
      <c r="D3696" s="8">
        <v>0</v>
      </c>
      <c r="E3696" s="8">
        <v>0</v>
      </c>
      <c r="F3696" s="8">
        <v>79</v>
      </c>
    </row>
    <row r="3697" spans="1:6" ht="12.75">
      <c r="A3697" s="8">
        <v>43903.479131944448</v>
      </c>
      <c r="B3697" s="8" t="str">
        <f t="shared" ref="B3697:B3698" si="68">HYPERLINK("https://twitter.com/realPriGim","@realPriGim")</f>
        <v>@realPriGim</v>
      </c>
      <c r="C3697" s="8" t="s">
        <v>1921</v>
      </c>
      <c r="D3697" s="8">
        <v>1</v>
      </c>
      <c r="E3697" s="8">
        <v>0</v>
      </c>
      <c r="F3697" s="8">
        <v>3567</v>
      </c>
    </row>
    <row r="3698" spans="1:6" ht="12.75">
      <c r="A3698" s="8">
        <v>43903.479062500002</v>
      </c>
      <c r="B3698" s="8" t="str">
        <f t="shared" si="68"/>
        <v>@realPriGim</v>
      </c>
      <c r="C3698" s="8" t="s">
        <v>2011</v>
      </c>
      <c r="D3698" s="8">
        <v>1</v>
      </c>
      <c r="E3698" s="8">
        <v>1</v>
      </c>
      <c r="F3698" s="8">
        <v>3567</v>
      </c>
    </row>
    <row r="3699" spans="1:6" ht="12.75">
      <c r="A3699" s="8">
        <v>43903.478703703702</v>
      </c>
      <c r="B3699" s="8" t="str">
        <f>HYPERLINK("https://twitter.com/yowisssbi","@yowisssbi")</f>
        <v>@yowisssbi</v>
      </c>
      <c r="C3699" s="8" t="s">
        <v>2012</v>
      </c>
      <c r="D3699" s="8">
        <v>0</v>
      </c>
      <c r="E3699" s="8">
        <v>0</v>
      </c>
      <c r="F3699" s="8">
        <v>262</v>
      </c>
    </row>
    <row r="3700" spans="1:6" ht="12.75">
      <c r="A3700" s="8">
        <v>43903.47791666667</v>
      </c>
      <c r="B3700" s="8" t="str">
        <f>HYPERLINK("https://twitter.com/herlindatiana1","@herlindatiana1")</f>
        <v>@herlindatiana1</v>
      </c>
      <c r="C3700" s="8" t="s">
        <v>2013</v>
      </c>
      <c r="D3700" s="8">
        <v>0</v>
      </c>
      <c r="E3700" s="8">
        <v>0</v>
      </c>
      <c r="F3700" s="8">
        <v>4</v>
      </c>
    </row>
    <row r="3701" spans="1:6" ht="12.75">
      <c r="A3701" s="8">
        <v>43903.477418981478</v>
      </c>
      <c r="B3701" s="8" t="str">
        <f>HYPERLINK("https://twitter.com/RivaldiZakie","@RivaldiZakie")</f>
        <v>@RivaldiZakie</v>
      </c>
      <c r="C3701" s="8" t="s">
        <v>134</v>
      </c>
      <c r="D3701" s="8">
        <v>19</v>
      </c>
      <c r="E3701" s="8">
        <v>0</v>
      </c>
      <c r="F3701" s="8">
        <v>15</v>
      </c>
    </row>
    <row r="3702" spans="1:6" ht="12.75">
      <c r="A3702" s="8">
        <v>43903.477361111116</v>
      </c>
      <c r="B3702" s="8" t="str">
        <f>HYPERLINK("https://twitter.com/florensafiraa","@florensafiraa")</f>
        <v>@florensafiraa</v>
      </c>
      <c r="C3702" s="8" t="s">
        <v>2014</v>
      </c>
      <c r="D3702" s="8">
        <v>0</v>
      </c>
      <c r="E3702" s="8">
        <v>0</v>
      </c>
      <c r="F3702" s="8">
        <v>2</v>
      </c>
    </row>
    <row r="3703" spans="1:6" ht="12.75">
      <c r="A3703" s="8">
        <v>43903.476990740739</v>
      </c>
      <c r="B3703" s="8" t="str">
        <f t="shared" ref="B3703:B3704" si="69">HYPERLINK("https://twitter.com/virubha9","@virubha9")</f>
        <v>@virubha9</v>
      </c>
      <c r="C3703" s="8" t="s">
        <v>1957</v>
      </c>
      <c r="D3703" s="8">
        <v>1552</v>
      </c>
      <c r="E3703" s="8">
        <v>0</v>
      </c>
      <c r="F3703" s="8">
        <v>400</v>
      </c>
    </row>
    <row r="3704" spans="1:6" ht="12.75">
      <c r="A3704" s="8">
        <v>43903.476886574077</v>
      </c>
      <c r="B3704" s="8" t="str">
        <f t="shared" si="69"/>
        <v>@virubha9</v>
      </c>
      <c r="C3704" s="8" t="s">
        <v>1808</v>
      </c>
      <c r="D3704" s="8">
        <v>946</v>
      </c>
      <c r="E3704" s="8">
        <v>0</v>
      </c>
      <c r="F3704" s="8">
        <v>400</v>
      </c>
    </row>
    <row r="3705" spans="1:6" ht="12.75">
      <c r="A3705" s="8">
        <v>43903.476655092592</v>
      </c>
      <c r="B3705" s="8" t="str">
        <f>HYPERLINK("https://twitter.com/merahh_putihh","@merahh_putihh")</f>
        <v>@merahh_putihh</v>
      </c>
      <c r="C3705" s="8" t="s">
        <v>1824</v>
      </c>
      <c r="D3705" s="8">
        <v>0</v>
      </c>
      <c r="E3705" s="8">
        <v>0</v>
      </c>
      <c r="F3705" s="8">
        <v>43</v>
      </c>
    </row>
    <row r="3706" spans="1:6" ht="12.75">
      <c r="A3706" s="8">
        <v>43903.476053240738</v>
      </c>
      <c r="B3706" s="8" t="str">
        <f>HYPERLINK("https://twitter.com/PintuJawla","@PintuJawla")</f>
        <v>@PintuJawla</v>
      </c>
      <c r="C3706" s="8" t="s">
        <v>1195</v>
      </c>
      <c r="D3706" s="8">
        <v>2580</v>
      </c>
      <c r="E3706" s="8">
        <v>0</v>
      </c>
      <c r="F3706" s="8">
        <v>144</v>
      </c>
    </row>
    <row r="3707" spans="1:6" ht="12.75">
      <c r="A3707" s="8">
        <v>43903.476041666669</v>
      </c>
      <c r="B3707" s="8" t="str">
        <f>HYPERLINK("https://twitter.com/dayada5t3vh3nda","@dayada5t3vh3nda")</f>
        <v>@dayada5t3vh3nda</v>
      </c>
      <c r="C3707" s="8" t="s">
        <v>318</v>
      </c>
      <c r="D3707" s="8">
        <v>1455</v>
      </c>
      <c r="E3707" s="8">
        <v>0</v>
      </c>
      <c r="F3707" s="8">
        <v>1406</v>
      </c>
    </row>
    <row r="3708" spans="1:6" ht="12.75">
      <c r="A3708" s="8">
        <v>43903.465173611112</v>
      </c>
      <c r="B3708" s="8" t="str">
        <f>HYPERLINK("https://twitter.com/Riyanto80197551","@Riyanto80197551")</f>
        <v>@Riyanto80197551</v>
      </c>
      <c r="C3708" s="8" t="s">
        <v>289</v>
      </c>
      <c r="D3708" s="8">
        <v>100</v>
      </c>
      <c r="E3708" s="8">
        <v>0</v>
      </c>
      <c r="F3708" s="8">
        <v>7</v>
      </c>
    </row>
    <row r="3709" spans="1:6" ht="12.75">
      <c r="A3709" s="8">
        <v>43903.465046296296</v>
      </c>
      <c r="B3709" s="8" t="str">
        <f>HYPERLINK("https://twitter.com/Sinar_Harapan","@Sinar_Harapan")</f>
        <v>@Sinar_Harapan</v>
      </c>
      <c r="C3709" s="8" t="s">
        <v>1704</v>
      </c>
      <c r="D3709" s="8">
        <v>0</v>
      </c>
      <c r="E3709" s="8">
        <v>0</v>
      </c>
      <c r="F3709" s="8">
        <v>4976</v>
      </c>
    </row>
    <row r="3710" spans="1:6" ht="12.75">
      <c r="A3710" s="8">
        <v>43903.46366898148</v>
      </c>
      <c r="B3710" s="8" t="str">
        <f>HYPERLINK("https://twitter.com/_KAFAWA_","@_KAFAWA_")</f>
        <v>@_KAFAWA_</v>
      </c>
      <c r="C3710" s="8" t="s">
        <v>1195</v>
      </c>
      <c r="D3710" s="8">
        <v>2567</v>
      </c>
      <c r="E3710" s="8">
        <v>0</v>
      </c>
      <c r="F3710" s="8">
        <v>1753</v>
      </c>
    </row>
    <row r="3711" spans="1:6" ht="12.75">
      <c r="A3711" s="8">
        <v>43903.463043981479</v>
      </c>
      <c r="B3711" s="8" t="str">
        <f>HYPERLINK("https://twitter.com/Rakha_boumi","@Rakha_boumi")</f>
        <v>@Rakha_boumi</v>
      </c>
      <c r="C3711" s="8" t="s">
        <v>2015</v>
      </c>
      <c r="D3711" s="8">
        <v>0</v>
      </c>
      <c r="E3711" s="8">
        <v>0</v>
      </c>
      <c r="F3711" s="8">
        <v>1369</v>
      </c>
    </row>
    <row r="3712" spans="1:6" ht="12.75">
      <c r="A3712" s="8">
        <v>43903.462118055555</v>
      </c>
      <c r="B3712" s="8" t="str">
        <f>HYPERLINK("https://twitter.com/Dion81992405","@Dion81992405")</f>
        <v>@Dion81992405</v>
      </c>
      <c r="C3712" s="8" t="s">
        <v>2016</v>
      </c>
      <c r="D3712" s="8">
        <v>0</v>
      </c>
      <c r="E3712" s="8">
        <v>0</v>
      </c>
      <c r="F3712" s="8">
        <v>0</v>
      </c>
    </row>
    <row r="3713" spans="1:6" ht="12.75">
      <c r="A3713" s="8">
        <v>43903.46130787037</v>
      </c>
      <c r="B3713" s="8" t="str">
        <f>HYPERLINK("https://twitter.com/Bad_Ass_Moron","@Bad_Ass_Moron")</f>
        <v>@Bad_Ass_Moron</v>
      </c>
      <c r="C3713" s="8" t="s">
        <v>1195</v>
      </c>
      <c r="D3713" s="8">
        <v>2567</v>
      </c>
      <c r="E3713" s="8">
        <v>0</v>
      </c>
      <c r="F3713" s="8">
        <v>43</v>
      </c>
    </row>
    <row r="3714" spans="1:6" ht="12.75">
      <c r="A3714" s="8">
        <v>43903.460810185185</v>
      </c>
      <c r="B3714" s="8" t="str">
        <f>HYPERLINK("https://twitter.com/ViralFews","@ViralFews")</f>
        <v>@ViralFews</v>
      </c>
      <c r="C3714" s="8" t="s">
        <v>1195</v>
      </c>
      <c r="D3714" s="8">
        <v>2567</v>
      </c>
      <c r="E3714" s="8">
        <v>0</v>
      </c>
      <c r="F3714" s="8">
        <v>568</v>
      </c>
    </row>
    <row r="3715" spans="1:6" ht="12.75">
      <c r="A3715" s="8">
        <v>43903.460810185185</v>
      </c>
      <c r="B3715" s="8" t="str">
        <f>HYPERLINK("https://twitter.com/Zulhaqie1","@Zulhaqie1")</f>
        <v>@Zulhaqie1</v>
      </c>
      <c r="C3715" s="8" t="s">
        <v>2017</v>
      </c>
      <c r="D3715" s="8">
        <v>0</v>
      </c>
      <c r="E3715" s="8">
        <v>0</v>
      </c>
      <c r="F3715" s="8">
        <v>46</v>
      </c>
    </row>
    <row r="3716" spans="1:6" ht="12.75">
      <c r="A3716" s="8">
        <v>43903.460428240738</v>
      </c>
      <c r="B3716" s="8" t="str">
        <f>HYPERLINK("https://twitter.com/smart5g","@smart5g")</f>
        <v>@smart5g</v>
      </c>
      <c r="C3716" s="8" t="s">
        <v>1518</v>
      </c>
      <c r="D3716" s="8">
        <v>1</v>
      </c>
      <c r="E3716" s="8">
        <v>0</v>
      </c>
      <c r="F3716" s="8">
        <v>720</v>
      </c>
    </row>
    <row r="3717" spans="1:6" ht="12.75">
      <c r="A3717" s="8">
        <v>43903.459710648152</v>
      </c>
      <c r="B3717" s="8" t="str">
        <f>HYPERLINK("https://twitter.com/imdirty__","@imdirty__")</f>
        <v>@imdirty__</v>
      </c>
      <c r="C3717" s="8" t="s">
        <v>2018</v>
      </c>
      <c r="D3717" s="8">
        <v>0</v>
      </c>
      <c r="E3717" s="8">
        <v>1</v>
      </c>
      <c r="F3717" s="8">
        <v>324</v>
      </c>
    </row>
    <row r="3718" spans="1:6" ht="12.75">
      <c r="A3718" s="8">
        <v>43903.459537037037</v>
      </c>
      <c r="B3718" s="8" t="str">
        <f>HYPERLINK("https://twitter.com/idithea","@idithea")</f>
        <v>@idithea</v>
      </c>
      <c r="C3718" s="8" t="s">
        <v>2019</v>
      </c>
      <c r="D3718" s="8">
        <v>0</v>
      </c>
      <c r="E3718" s="8">
        <v>0</v>
      </c>
      <c r="F3718" s="8">
        <v>67</v>
      </c>
    </row>
    <row r="3719" spans="1:6" ht="12.75">
      <c r="A3719" s="8">
        <v>43903.459374999999</v>
      </c>
      <c r="B3719" s="8" t="str">
        <f>HYPERLINK("https://twitter.com/TheHind___","@TheHind___")</f>
        <v>@TheHind___</v>
      </c>
      <c r="C3719" s="8" t="s">
        <v>1195</v>
      </c>
      <c r="D3719" s="8">
        <v>2567</v>
      </c>
      <c r="E3719" s="8">
        <v>0</v>
      </c>
      <c r="F3719" s="8">
        <v>1620</v>
      </c>
    </row>
    <row r="3720" spans="1:6" ht="12.75">
      <c r="A3720" s="8">
        <v>43903.458912037036</v>
      </c>
      <c r="B3720" s="8" t="str">
        <f>HYPERLINK("https://twitter.com/mrulsfn","@mrulsfn")</f>
        <v>@mrulsfn</v>
      </c>
      <c r="C3720" s="8" t="s">
        <v>2020</v>
      </c>
      <c r="D3720" s="8">
        <v>0</v>
      </c>
      <c r="E3720" s="8">
        <v>0</v>
      </c>
      <c r="F3720" s="8">
        <v>127</v>
      </c>
    </row>
    <row r="3721" spans="1:6" ht="12.75">
      <c r="A3721" s="8">
        <v>43903.458854166667</v>
      </c>
      <c r="B3721" s="8" t="str">
        <f>HYPERLINK("https://twitter.com/Tukrat_16","@Tukrat_16")</f>
        <v>@Tukrat_16</v>
      </c>
      <c r="C3721" s="8" t="s">
        <v>2021</v>
      </c>
      <c r="D3721" s="8">
        <v>0</v>
      </c>
      <c r="E3721" s="8">
        <v>0</v>
      </c>
      <c r="F3721" s="8">
        <v>663</v>
      </c>
    </row>
    <row r="3722" spans="1:6" ht="12.75">
      <c r="A3722" s="8">
        <v>43903.458819444444</v>
      </c>
      <c r="B3722" s="8" t="str">
        <f>HYPERLINK("https://twitter.com/Zaroseven1","@Zaroseven1")</f>
        <v>@Zaroseven1</v>
      </c>
      <c r="C3722" s="8" t="s">
        <v>2022</v>
      </c>
      <c r="D3722" s="8">
        <v>2</v>
      </c>
      <c r="E3722" s="8">
        <v>0</v>
      </c>
      <c r="F3722" s="8">
        <v>56</v>
      </c>
    </row>
    <row r="3723" spans="1:6" ht="12.75">
      <c r="A3723" s="8">
        <v>43903.45821759259</v>
      </c>
      <c r="B3723" s="8" t="str">
        <f>HYPERLINK("https://twitter.com/VISHAL_SINGHA1","@VISHAL_SINGHA1")</f>
        <v>@VISHAL_SINGHA1</v>
      </c>
      <c r="C3723" s="8" t="s">
        <v>1195</v>
      </c>
      <c r="D3723" s="8">
        <v>2567</v>
      </c>
      <c r="E3723" s="8">
        <v>0</v>
      </c>
      <c r="F3723" s="8">
        <v>354</v>
      </c>
    </row>
    <row r="3724" spans="1:6" ht="12.75">
      <c r="A3724" s="8">
        <v>43903.456157407403</v>
      </c>
      <c r="B3724" s="8" t="str">
        <f>HYPERLINK("https://twitter.com/frida_rahardjo","@frida_rahardjo")</f>
        <v>@frida_rahardjo</v>
      </c>
      <c r="C3724" s="8" t="s">
        <v>925</v>
      </c>
      <c r="D3724" s="8">
        <v>79</v>
      </c>
      <c r="E3724" s="8">
        <v>0</v>
      </c>
      <c r="F3724" s="8">
        <v>1494</v>
      </c>
    </row>
    <row r="3725" spans="1:6" ht="12.75">
      <c r="A3725" s="8">
        <v>43903.455891203703</v>
      </c>
      <c r="B3725" s="8" t="str">
        <f>HYPERLINK("https://twitter.com/mat_sodor","@mat_sodor")</f>
        <v>@mat_sodor</v>
      </c>
      <c r="C3725" s="8" t="s">
        <v>2023</v>
      </c>
      <c r="D3725" s="8">
        <v>0</v>
      </c>
      <c r="E3725" s="8">
        <v>0</v>
      </c>
      <c r="F3725" s="8">
        <v>228</v>
      </c>
    </row>
    <row r="3726" spans="1:6" ht="12.75">
      <c r="A3726" s="8">
        <v>43903.455474537041</v>
      </c>
      <c r="B3726" s="8" t="str">
        <f>HYPERLINK("https://twitter.com/ritika_ok","@ritika_ok")</f>
        <v>@ritika_ok</v>
      </c>
      <c r="C3726" s="8" t="s">
        <v>437</v>
      </c>
      <c r="D3726" s="8">
        <v>3</v>
      </c>
      <c r="E3726" s="8">
        <v>0</v>
      </c>
      <c r="F3726" s="8">
        <v>2417</v>
      </c>
    </row>
    <row r="3727" spans="1:6" ht="12.75">
      <c r="A3727" s="8">
        <v>43903.454872685186</v>
      </c>
      <c r="B3727" s="8" t="str">
        <f>HYPERLINK("https://twitter.com/Abby_Isis","@Abby_Isis")</f>
        <v>@Abby_Isis</v>
      </c>
      <c r="C3727" s="8" t="s">
        <v>2024</v>
      </c>
      <c r="D3727" s="8">
        <v>15829</v>
      </c>
      <c r="E3727" s="8">
        <v>0</v>
      </c>
      <c r="F3727" s="8">
        <v>4</v>
      </c>
    </row>
    <row r="3728" spans="1:6" ht="12.75">
      <c r="A3728" s="8">
        <v>43903.454826388886</v>
      </c>
      <c r="B3728" s="8" t="str">
        <f>HYPERLINK("https://twitter.com/garisdepannkri","@garisdepannkri")</f>
        <v>@garisdepannkri</v>
      </c>
      <c r="C3728" s="8" t="s">
        <v>2025</v>
      </c>
      <c r="D3728" s="8">
        <v>0</v>
      </c>
      <c r="E3728" s="8">
        <v>0</v>
      </c>
      <c r="F3728" s="8">
        <v>7</v>
      </c>
    </row>
    <row r="3729" spans="1:6" ht="12.75">
      <c r="A3729" s="8">
        <v>43903.454641203702</v>
      </c>
      <c r="B3729" s="8" t="str">
        <f>HYPERLINK("https://twitter.com/bensutasoma","@bensutasoma")</f>
        <v>@bensutasoma</v>
      </c>
      <c r="C3729" s="8" t="s">
        <v>2025</v>
      </c>
      <c r="D3729" s="8">
        <v>0</v>
      </c>
      <c r="E3729" s="8">
        <v>0</v>
      </c>
      <c r="F3729" s="8">
        <v>1</v>
      </c>
    </row>
    <row r="3730" spans="1:6" ht="12.75">
      <c r="A3730" s="8">
        <v>43903.454594907409</v>
      </c>
      <c r="B3730" s="8" t="str">
        <f>HYPERLINK("https://twitter.com/SelasaKliwon__","@SelasaKliwon__")</f>
        <v>@SelasaKliwon__</v>
      </c>
      <c r="C3730" s="8" t="s">
        <v>2026</v>
      </c>
      <c r="D3730" s="8">
        <v>0</v>
      </c>
      <c r="E3730" s="8">
        <v>0</v>
      </c>
      <c r="F3730" s="8">
        <v>14</v>
      </c>
    </row>
    <row r="3731" spans="1:6" ht="12.75">
      <c r="A3731" s="8">
        <v>43903.454537037032</v>
      </c>
      <c r="B3731" s="8" t="str">
        <f>HYPERLINK("https://twitter.com/spirit_1945","@spirit_1945")</f>
        <v>@spirit_1945</v>
      </c>
      <c r="C3731" s="8" t="s">
        <v>2025</v>
      </c>
      <c r="D3731" s="8">
        <v>0</v>
      </c>
      <c r="E3731" s="8">
        <v>0</v>
      </c>
      <c r="F3731" s="8">
        <v>121</v>
      </c>
    </row>
    <row r="3732" spans="1:6" ht="12.75">
      <c r="A3732" s="8">
        <v>43903.454421296294</v>
      </c>
      <c r="B3732" s="8" t="str">
        <f>HYPERLINK("https://twitter.com/AbdullahMujeed","@AbdullahMujeed")</f>
        <v>@AbdullahMujeed</v>
      </c>
      <c r="C3732" s="8" t="s">
        <v>2025</v>
      </c>
      <c r="D3732" s="8">
        <v>0</v>
      </c>
      <c r="E3732" s="8">
        <v>0</v>
      </c>
      <c r="F3732" s="8">
        <v>3</v>
      </c>
    </row>
    <row r="3733" spans="1:6" ht="12.75">
      <c r="A3733" s="8">
        <v>43903.454351851848</v>
      </c>
      <c r="B3733" s="8" t="str">
        <f>HYPERLINK("https://twitter.com/ChopraTP","@ChopraTP")</f>
        <v>@ChopraTP</v>
      </c>
      <c r="C3733" s="8" t="s">
        <v>1195</v>
      </c>
      <c r="D3733" s="8">
        <v>2567</v>
      </c>
      <c r="E3733" s="8">
        <v>0</v>
      </c>
      <c r="F3733" s="8">
        <v>545</v>
      </c>
    </row>
    <row r="3734" spans="1:6" ht="12.75">
      <c r="A3734" s="8">
        <v>43903.454340277778</v>
      </c>
      <c r="B3734" s="8" t="str">
        <f>HYPERLINK("https://twitter.com/kurakuraninjaid","@kurakuraninjaid")</f>
        <v>@kurakuraninjaid</v>
      </c>
      <c r="C3734" s="8" t="s">
        <v>2025</v>
      </c>
      <c r="D3734" s="8">
        <v>0</v>
      </c>
      <c r="E3734" s="8">
        <v>0</v>
      </c>
      <c r="F3734" s="8">
        <v>308</v>
      </c>
    </row>
    <row r="3735" spans="1:6" ht="12.75">
      <c r="A3735" s="8">
        <v>43903.454270833332</v>
      </c>
      <c r="B3735" s="8" t="str">
        <f>HYPERLINK("https://twitter.com/VoxPopuliID","@VoxPopuliID")</f>
        <v>@VoxPopuliID</v>
      </c>
      <c r="C3735" s="8" t="s">
        <v>2025</v>
      </c>
      <c r="D3735" s="8">
        <v>0</v>
      </c>
      <c r="E3735" s="8">
        <v>0</v>
      </c>
      <c r="F3735" s="8">
        <v>726</v>
      </c>
    </row>
    <row r="3736" spans="1:6" ht="12.75">
      <c r="A3736" s="8">
        <v>43903.454212962963</v>
      </c>
      <c r="B3736" s="8" t="str">
        <f>HYPERLINK("https://twitter.com/cikyber","@cikyber")</f>
        <v>@cikyber</v>
      </c>
      <c r="C3736" s="8" t="s">
        <v>2025</v>
      </c>
      <c r="D3736" s="8">
        <v>0</v>
      </c>
      <c r="E3736" s="8">
        <v>0</v>
      </c>
      <c r="F3736" s="8">
        <v>291</v>
      </c>
    </row>
    <row r="3737" spans="1:6" ht="12.75">
      <c r="A3737" s="8">
        <v>43903.45380787037</v>
      </c>
      <c r="B3737" s="8" t="str">
        <f>HYPERLINK("https://twitter.com/pretyoktarinda","@pretyoktarinda")</f>
        <v>@pretyoktarinda</v>
      </c>
      <c r="C3737" s="8" t="s">
        <v>2027</v>
      </c>
      <c r="D3737" s="8">
        <v>0</v>
      </c>
      <c r="E3737" s="8">
        <v>0</v>
      </c>
      <c r="F3737" s="8">
        <v>123</v>
      </c>
    </row>
    <row r="3738" spans="1:6" ht="12.75">
      <c r="A3738" s="8">
        <v>43903.453414351854</v>
      </c>
      <c r="B3738" s="8" t="str">
        <f>HYPERLINK("https://twitter.com/ResimenRasiman","@ResimenRasiman")</f>
        <v>@ResimenRasiman</v>
      </c>
      <c r="C3738" s="8" t="s">
        <v>2028</v>
      </c>
      <c r="D3738" s="8">
        <v>0</v>
      </c>
      <c r="E3738" s="8">
        <v>0</v>
      </c>
      <c r="F3738" s="8">
        <v>708</v>
      </c>
    </row>
    <row r="3739" spans="1:6" ht="12.75">
      <c r="A3739" s="8">
        <v>43903.453298611115</v>
      </c>
      <c r="B3739" s="8" t="str">
        <f>HYPERLINK("https://twitter.com/WawanTrk","@WawanTrk")</f>
        <v>@WawanTrk</v>
      </c>
      <c r="C3739" s="8" t="s">
        <v>2029</v>
      </c>
      <c r="D3739" s="8">
        <v>0</v>
      </c>
      <c r="E3739" s="8">
        <v>0</v>
      </c>
      <c r="F3739" s="8">
        <v>140</v>
      </c>
    </row>
    <row r="3740" spans="1:6" ht="12.75">
      <c r="A3740" s="8">
        <v>43903.45207175926</v>
      </c>
      <c r="B3740" s="8" t="str">
        <f>HYPERLINK("https://twitter.com/HariSin95881846","@HariSin95881846")</f>
        <v>@HariSin95881846</v>
      </c>
      <c r="C3740" s="8" t="s">
        <v>1195</v>
      </c>
      <c r="D3740" s="8">
        <v>2567</v>
      </c>
      <c r="E3740" s="8">
        <v>0</v>
      </c>
      <c r="F3740" s="8">
        <v>183</v>
      </c>
    </row>
    <row r="3741" spans="1:6" ht="12.75">
      <c r="A3741" s="8">
        <v>43903.450509259259</v>
      </c>
      <c r="B3741" s="8" t="str">
        <f>HYPERLINK("https://twitter.com/jumadi097","@jumadi097")</f>
        <v>@jumadi097</v>
      </c>
      <c r="C3741" s="8" t="s">
        <v>925</v>
      </c>
      <c r="D3741" s="8">
        <v>79</v>
      </c>
      <c r="E3741" s="8">
        <v>0</v>
      </c>
      <c r="F3741" s="8">
        <v>1027</v>
      </c>
    </row>
    <row r="3742" spans="1:6" ht="12.75">
      <c r="A3742" s="8">
        <v>43903.450428240743</v>
      </c>
      <c r="B3742" s="8" t="str">
        <f>HYPERLINK("https://twitter.com/AuQo","@AuQo")</f>
        <v>@AuQo</v>
      </c>
      <c r="C3742" s="8" t="s">
        <v>1358</v>
      </c>
      <c r="D3742" s="8">
        <v>8</v>
      </c>
      <c r="E3742" s="8">
        <v>0</v>
      </c>
      <c r="F3742" s="8">
        <v>261</v>
      </c>
    </row>
    <row r="3743" spans="1:6" ht="12.75">
      <c r="A3743" s="8">
        <v>43903.449803240743</v>
      </c>
      <c r="B3743" s="8" t="str">
        <f>HYPERLINK("https://twitter.com/vivek_srisri","@vivek_srisri")</f>
        <v>@vivek_srisri</v>
      </c>
      <c r="C3743" s="8" t="s">
        <v>1195</v>
      </c>
      <c r="D3743" s="8">
        <v>2567</v>
      </c>
      <c r="E3743" s="8">
        <v>0</v>
      </c>
      <c r="F3743" s="8">
        <v>72</v>
      </c>
    </row>
    <row r="3744" spans="1:6" ht="12.75">
      <c r="A3744" s="8">
        <v>43903.449155092589</v>
      </c>
      <c r="B3744" s="8" t="str">
        <f>HYPERLINK("https://twitter.com/CHOKYPARHAS","@CHOKYPARHAS")</f>
        <v>@CHOKYPARHAS</v>
      </c>
      <c r="C3744" s="8" t="s">
        <v>2030</v>
      </c>
      <c r="D3744" s="8">
        <v>3</v>
      </c>
      <c r="E3744" s="8">
        <v>0</v>
      </c>
      <c r="F3744" s="8">
        <v>723</v>
      </c>
    </row>
    <row r="3745" spans="1:6" ht="12.75">
      <c r="A3745" s="8">
        <v>43903.449108796296</v>
      </c>
      <c r="B3745" s="8" t="str">
        <f>HYPERLINK("https://twitter.com/rinigrace","@rinigrace")</f>
        <v>@rinigrace</v>
      </c>
      <c r="C3745" s="8" t="s">
        <v>1491</v>
      </c>
      <c r="D3745" s="8">
        <v>17</v>
      </c>
      <c r="E3745" s="8">
        <v>0</v>
      </c>
      <c r="F3745" s="8">
        <v>573</v>
      </c>
    </row>
    <row r="3746" spans="1:6" ht="12.75">
      <c r="A3746" s="8">
        <v>43903.448726851857</v>
      </c>
      <c r="B3746" s="8" t="str">
        <f>HYPERLINK("https://twitter.com/bulandebuan","@bulandebuan")</f>
        <v>@bulandebuan</v>
      </c>
      <c r="C3746" s="8" t="s">
        <v>440</v>
      </c>
      <c r="D3746" s="8">
        <v>156</v>
      </c>
      <c r="E3746" s="8">
        <v>0</v>
      </c>
      <c r="F3746" s="8">
        <v>147</v>
      </c>
    </row>
    <row r="3747" spans="1:6" ht="12.75">
      <c r="A3747" s="8">
        <v>43903.448715277773</v>
      </c>
      <c r="B3747" s="8" t="str">
        <f>HYPERLINK("https://twitter.com/alelaki37","@alelaki37")</f>
        <v>@alelaki37</v>
      </c>
      <c r="C3747" s="8" t="s">
        <v>2031</v>
      </c>
      <c r="D3747" s="8">
        <v>0</v>
      </c>
      <c r="E3747" s="8">
        <v>0</v>
      </c>
      <c r="F3747" s="8">
        <v>217</v>
      </c>
    </row>
    <row r="3748" spans="1:6" ht="12.75">
      <c r="A3748" s="8">
        <v>43903.448680555557</v>
      </c>
      <c r="B3748" s="8" t="str">
        <f>HYPERLINK("https://twitter.com/melekpolitikcom","@melekpolitikcom")</f>
        <v>@melekpolitikcom</v>
      </c>
      <c r="C3748" s="8" t="s">
        <v>2032</v>
      </c>
      <c r="D3748" s="8">
        <v>0</v>
      </c>
      <c r="E3748" s="8">
        <v>0</v>
      </c>
      <c r="F3748" s="8">
        <v>4620</v>
      </c>
    </row>
    <row r="3749" spans="1:6" ht="12.75">
      <c r="A3749" s="8">
        <v>43903.44866898148</v>
      </c>
      <c r="B3749" s="8" t="str">
        <f>HYPERLINK("https://twitter.com/mohit_mannan","@mohit_mannan")</f>
        <v>@mohit_mannan</v>
      </c>
      <c r="C3749" s="8" t="s">
        <v>1195</v>
      </c>
      <c r="D3749" s="8">
        <v>2567</v>
      </c>
      <c r="E3749" s="8">
        <v>0</v>
      </c>
      <c r="F3749" s="8">
        <v>173</v>
      </c>
    </row>
    <row r="3750" spans="1:6" ht="12.75">
      <c r="A3750" s="8">
        <v>43903.447754629626</v>
      </c>
      <c r="B3750" s="8" t="str">
        <f>HYPERLINK("https://twitter.com/ahmadgufron_","@ahmadgufron_")</f>
        <v>@ahmadgufron_</v>
      </c>
      <c r="C3750" s="8" t="s">
        <v>1758</v>
      </c>
      <c r="D3750" s="8">
        <v>109</v>
      </c>
      <c r="E3750" s="8">
        <v>0</v>
      </c>
      <c r="F3750" s="8">
        <v>102</v>
      </c>
    </row>
    <row r="3751" spans="1:6" ht="12.75">
      <c r="A3751" s="8">
        <v>43903.447754629626</v>
      </c>
      <c r="B3751" s="8" t="str">
        <f>HYPERLINK("https://twitter.com/emayrlaa","@emayrlaa")</f>
        <v>@emayrlaa</v>
      </c>
      <c r="C3751" s="8" t="s">
        <v>1758</v>
      </c>
      <c r="D3751" s="8">
        <v>109</v>
      </c>
      <c r="E3751" s="8">
        <v>0</v>
      </c>
      <c r="F3751" s="8">
        <v>425</v>
      </c>
    </row>
    <row r="3752" spans="1:6" ht="12.75">
      <c r="A3752" s="8">
        <v>43903.447442129633</v>
      </c>
      <c r="B3752" s="8" t="str">
        <f>HYPERLINK("https://twitter.com/Awaaaan_","@Awaaaan_")</f>
        <v>@Awaaaan_</v>
      </c>
      <c r="C3752" s="8" t="s">
        <v>2033</v>
      </c>
      <c r="D3752" s="8">
        <v>0</v>
      </c>
      <c r="E3752" s="8">
        <v>0</v>
      </c>
      <c r="F3752" s="8">
        <v>640</v>
      </c>
    </row>
    <row r="3753" spans="1:6" ht="12.75">
      <c r="A3753" s="8">
        <v>43903.447418981479</v>
      </c>
      <c r="B3753" s="8" t="str">
        <f>HYPERLINK("https://twitter.com/leoyuwono","@leoyuwono")</f>
        <v>@leoyuwono</v>
      </c>
      <c r="C3753" s="8" t="s">
        <v>925</v>
      </c>
      <c r="D3753" s="8">
        <v>79</v>
      </c>
      <c r="E3753" s="8">
        <v>0</v>
      </c>
      <c r="F3753" s="8">
        <v>1091</v>
      </c>
    </row>
    <row r="3754" spans="1:6" ht="12.75">
      <c r="A3754" s="8">
        <v>43903.446574074071</v>
      </c>
      <c r="B3754" s="8" t="str">
        <f>HYPERLINK("https://twitter.com/zzzeen","@zzzeen")</f>
        <v>@zzzeen</v>
      </c>
      <c r="C3754" s="8" t="s">
        <v>2034</v>
      </c>
      <c r="D3754" s="8">
        <v>0</v>
      </c>
      <c r="E3754" s="8">
        <v>0</v>
      </c>
      <c r="F3754" s="8">
        <v>406</v>
      </c>
    </row>
    <row r="3755" spans="1:6" ht="12.75">
      <c r="A3755" s="8">
        <v>43903.446006944447</v>
      </c>
      <c r="B3755" s="8" t="str">
        <f>HYPERLINK("https://twitter.com/_rizkyrr","@_rizkyrr")</f>
        <v>@_rizkyrr</v>
      </c>
      <c r="C3755" s="8" t="s">
        <v>925</v>
      </c>
      <c r="D3755" s="8">
        <v>79</v>
      </c>
      <c r="E3755" s="8">
        <v>0</v>
      </c>
      <c r="F3755" s="8">
        <v>108</v>
      </c>
    </row>
    <row r="3756" spans="1:6" ht="12.75">
      <c r="A3756" s="8">
        <v>43903.445775462962</v>
      </c>
      <c r="B3756" s="8" t="str">
        <f>HYPERLINK("https://twitter.com/swandywidjaja06","@swandywidjaja06")</f>
        <v>@swandywidjaja06</v>
      </c>
      <c r="C3756" s="8" t="s">
        <v>925</v>
      </c>
      <c r="D3756" s="8">
        <v>79</v>
      </c>
      <c r="E3756" s="8">
        <v>0</v>
      </c>
      <c r="F3756" s="8">
        <v>263</v>
      </c>
    </row>
    <row r="3757" spans="1:6" ht="12.75">
      <c r="A3757" s="8">
        <v>43903.445763888885</v>
      </c>
      <c r="B3757" s="8" t="str">
        <f>HYPERLINK("https://twitter.com/fbynzki","@fbynzki")</f>
        <v>@fbynzki</v>
      </c>
      <c r="C3757" s="8" t="s">
        <v>2035</v>
      </c>
      <c r="D3757" s="8">
        <v>0</v>
      </c>
      <c r="E3757" s="8">
        <v>0</v>
      </c>
      <c r="F3757" s="8">
        <v>83</v>
      </c>
    </row>
    <row r="3758" spans="1:6" ht="12.75">
      <c r="A3758" s="8">
        <v>43903.445648148147</v>
      </c>
      <c r="B3758" s="8" t="str">
        <f>HYPERLINK("https://twitter.com/parmabar","@parmabar")</f>
        <v>@parmabar</v>
      </c>
      <c r="C3758" s="8" t="s">
        <v>925</v>
      </c>
      <c r="D3758" s="8">
        <v>79</v>
      </c>
      <c r="E3758" s="8">
        <v>0</v>
      </c>
      <c r="F3758" s="8">
        <v>1393</v>
      </c>
    </row>
    <row r="3759" spans="1:6" ht="12.75">
      <c r="A3759" s="8">
        <v>43903.445023148146</v>
      </c>
      <c r="B3759" s="8" t="str">
        <f>HYPERLINK("https://twitter.com/Abhishe68863017","@Abhishe68863017")</f>
        <v>@Abhishe68863017</v>
      </c>
      <c r="C3759" s="8" t="s">
        <v>1195</v>
      </c>
      <c r="D3759" s="8">
        <v>2567</v>
      </c>
      <c r="E3759" s="8">
        <v>0</v>
      </c>
      <c r="F3759" s="8">
        <v>117</v>
      </c>
    </row>
    <row r="3760" spans="1:6" ht="12.75">
      <c r="A3760" s="8">
        <v>43903.444548611107</v>
      </c>
      <c r="B3760" s="8" t="str">
        <f>HYPERLINK("https://twitter.com/re_dyta","@re_dyta")</f>
        <v>@re_dyta</v>
      </c>
      <c r="C3760" s="8" t="s">
        <v>2036</v>
      </c>
      <c r="D3760" s="8">
        <v>0</v>
      </c>
      <c r="E3760" s="8">
        <v>0</v>
      </c>
      <c r="F3760" s="8">
        <v>244</v>
      </c>
    </row>
    <row r="3761" spans="1:6" ht="12.75">
      <c r="A3761" s="8">
        <v>43903.444363425922</v>
      </c>
      <c r="B3761" s="8" t="str">
        <f>HYPERLINK("https://twitter.com/Raditakia","@Raditakia")</f>
        <v>@Raditakia</v>
      </c>
      <c r="C3761" s="8" t="s">
        <v>925</v>
      </c>
      <c r="D3761" s="8">
        <v>79</v>
      </c>
      <c r="E3761" s="8">
        <v>0</v>
      </c>
      <c r="F3761" s="8">
        <v>632</v>
      </c>
    </row>
    <row r="3762" spans="1:6" ht="12.75">
      <c r="A3762" s="8">
        <v>43903.444178240738</v>
      </c>
      <c r="B3762" s="8" t="str">
        <f>HYPERLINK("https://twitter.com/Ngk0ng__R__R","@Ngk0ng__R__R")</f>
        <v>@Ngk0ng__R__R</v>
      </c>
      <c r="C3762" s="8" t="s">
        <v>2030</v>
      </c>
      <c r="D3762" s="8">
        <v>3</v>
      </c>
      <c r="E3762" s="8">
        <v>0</v>
      </c>
      <c r="F3762" s="8">
        <v>2304</v>
      </c>
    </row>
    <row r="3763" spans="1:6" ht="12.75">
      <c r="A3763" s="8">
        <v>43903.444085648152</v>
      </c>
      <c r="B3763" s="8" t="str">
        <f>HYPERLINK("https://twitter.com/wibisono1","@wibisono1")</f>
        <v>@wibisono1</v>
      </c>
      <c r="C3763" s="8" t="s">
        <v>1358</v>
      </c>
      <c r="D3763" s="8">
        <v>8</v>
      </c>
      <c r="E3763" s="8">
        <v>0</v>
      </c>
      <c r="F3763" s="8">
        <v>734</v>
      </c>
    </row>
    <row r="3764" spans="1:6" ht="12.75">
      <c r="A3764" s="8">
        <v>43903.443495370375</v>
      </c>
      <c r="B3764" s="8" t="str">
        <f>HYPERLINK("https://twitter.com/TsTsp71","@TsTsp71")</f>
        <v>@TsTsp71</v>
      </c>
      <c r="C3764" s="8" t="s">
        <v>1358</v>
      </c>
      <c r="D3764" s="8">
        <v>8</v>
      </c>
      <c r="E3764" s="8">
        <v>0</v>
      </c>
      <c r="F3764" s="8">
        <v>567</v>
      </c>
    </row>
    <row r="3765" spans="1:6" ht="12.75">
      <c r="A3765" s="8">
        <v>43903.443148148144</v>
      </c>
      <c r="B3765" s="8" t="str">
        <f>HYPERLINK("https://twitter.com/Sugiyan10820087","@Sugiyan10820087")</f>
        <v>@Sugiyan10820087</v>
      </c>
      <c r="C3765" s="8" t="s">
        <v>2037</v>
      </c>
      <c r="D3765" s="8">
        <v>1</v>
      </c>
      <c r="E3765" s="8">
        <v>0</v>
      </c>
      <c r="F3765" s="8">
        <v>75</v>
      </c>
    </row>
    <row r="3766" spans="1:6" ht="12.75">
      <c r="A3766" s="8">
        <v>43903.443136574075</v>
      </c>
      <c r="B3766" s="8" t="str">
        <f>HYPERLINK("https://twitter.com/AIBONronde12","@AIBONronde12")</f>
        <v>@AIBONronde12</v>
      </c>
      <c r="C3766" s="8" t="s">
        <v>165</v>
      </c>
      <c r="D3766" s="8">
        <v>132</v>
      </c>
      <c r="E3766" s="8">
        <v>0</v>
      </c>
      <c r="F3766" s="8">
        <v>38</v>
      </c>
    </row>
    <row r="3767" spans="1:6" ht="12.75">
      <c r="A3767" s="8">
        <v>43903.442847222221</v>
      </c>
      <c r="B3767" s="8" t="str">
        <f>HYPERLINK("https://twitter.com/ermanushukla","@ermanushukla")</f>
        <v>@ermanushukla</v>
      </c>
      <c r="C3767" s="8" t="s">
        <v>1195</v>
      </c>
      <c r="D3767" s="8">
        <v>2567</v>
      </c>
      <c r="E3767" s="8">
        <v>0</v>
      </c>
      <c r="F3767" s="8">
        <v>122</v>
      </c>
    </row>
    <row r="3768" spans="1:6" ht="12.75">
      <c r="A3768" s="8">
        <v>43903.442685185189</v>
      </c>
      <c r="B3768" s="8" t="str">
        <f>HYPERLINK("https://twitter.com/nanininaninna","@nanininaninna")</f>
        <v>@nanininaninna</v>
      </c>
      <c r="C3768" s="8" t="s">
        <v>925</v>
      </c>
      <c r="D3768" s="8">
        <v>79</v>
      </c>
      <c r="E3768" s="8">
        <v>0</v>
      </c>
      <c r="F3768" s="8">
        <v>2742</v>
      </c>
    </row>
    <row r="3769" spans="1:6" ht="12.75">
      <c r="A3769" s="8">
        <v>43903.442523148144</v>
      </c>
      <c r="B3769" s="8" t="str">
        <f>HYPERLINK("https://twitter.com/kudrats381","@kudrats381")</f>
        <v>@kudrats381</v>
      </c>
      <c r="C3769" s="8" t="s">
        <v>2038</v>
      </c>
      <c r="D3769" s="8">
        <v>0</v>
      </c>
      <c r="E3769" s="8">
        <v>0</v>
      </c>
      <c r="F3769" s="8">
        <v>211</v>
      </c>
    </row>
    <row r="3770" spans="1:6" ht="12.75">
      <c r="A3770" s="8">
        <v>43903.442303240736</v>
      </c>
      <c r="B3770" s="8" t="str">
        <f>HYPERLINK("https://twitter.com/linkarika","@linkarika")</f>
        <v>@linkarika</v>
      </c>
      <c r="C3770" s="8" t="s">
        <v>925</v>
      </c>
      <c r="D3770" s="8">
        <v>79</v>
      </c>
      <c r="E3770" s="8">
        <v>0</v>
      </c>
      <c r="F3770" s="8">
        <v>332</v>
      </c>
    </row>
    <row r="3771" spans="1:6" ht="12.75">
      <c r="A3771" s="8">
        <v>43903.441979166666</v>
      </c>
      <c r="B3771" s="8" t="str">
        <f>HYPERLINK("https://twitter.com/WPHalim","@WPHalim")</f>
        <v>@WPHalim</v>
      </c>
      <c r="C3771" s="8" t="s">
        <v>1280</v>
      </c>
      <c r="D3771" s="8">
        <v>1</v>
      </c>
      <c r="E3771" s="8">
        <v>0</v>
      </c>
      <c r="F3771" s="8">
        <v>322</v>
      </c>
    </row>
    <row r="3772" spans="1:6" ht="12.75">
      <c r="A3772" s="8">
        <v>43903.441909722227</v>
      </c>
      <c r="B3772" s="8" t="str">
        <f>HYPERLINK("https://twitter.com/rinichan02","@rinichan02")</f>
        <v>@rinichan02</v>
      </c>
      <c r="C3772" s="8" t="s">
        <v>2039</v>
      </c>
      <c r="D3772" s="8">
        <v>3</v>
      </c>
      <c r="E3772" s="8">
        <v>4</v>
      </c>
      <c r="F3772" s="8">
        <v>2872</v>
      </c>
    </row>
    <row r="3773" spans="1:6" ht="12.75">
      <c r="A3773" s="8">
        <v>43903.441342592589</v>
      </c>
      <c r="B3773" s="8" t="str">
        <f>HYPERLINK("https://twitter.com/EnricoAlezandro","@EnricoAlezandro")</f>
        <v>@EnricoAlezandro</v>
      </c>
      <c r="C3773" s="8" t="s">
        <v>2040</v>
      </c>
      <c r="D3773" s="8">
        <v>4</v>
      </c>
      <c r="E3773" s="8">
        <v>0</v>
      </c>
      <c r="F3773" s="8">
        <v>473</v>
      </c>
    </row>
    <row r="3774" spans="1:6" ht="12.75">
      <c r="A3774" s="8">
        <v>43903.441238425927</v>
      </c>
      <c r="B3774" s="8" t="str">
        <f>HYPERLINK("https://twitter.com/Zakizaq1","@Zakizaq1")</f>
        <v>@Zakizaq1</v>
      </c>
      <c r="C3774" s="8" t="s">
        <v>2041</v>
      </c>
      <c r="D3774" s="8">
        <v>0</v>
      </c>
      <c r="E3774" s="8">
        <v>0</v>
      </c>
      <c r="F3774" s="8">
        <v>17</v>
      </c>
    </row>
    <row r="3775" spans="1:6" ht="12.75">
      <c r="A3775" s="8">
        <v>43903.440937499996</v>
      </c>
      <c r="B3775" s="8" t="str">
        <f>HYPERLINK("https://twitter.com/filosofiksi","@filosofiksi")</f>
        <v>@filosofiksi</v>
      </c>
      <c r="C3775" s="8" t="s">
        <v>925</v>
      </c>
      <c r="D3775" s="8">
        <v>79</v>
      </c>
      <c r="E3775" s="8">
        <v>0</v>
      </c>
      <c r="F3775" s="8">
        <v>2332</v>
      </c>
    </row>
    <row r="3776" spans="1:6" ht="12.75">
      <c r="A3776" s="8">
        <v>43903.440150462964</v>
      </c>
      <c r="B3776" s="8" t="str">
        <f>HYPERLINK("https://twitter.com/peachyglowyi","@peachyglowyi")</f>
        <v>@peachyglowyi</v>
      </c>
      <c r="C3776" s="8" t="s">
        <v>2042</v>
      </c>
      <c r="D3776" s="8">
        <v>0</v>
      </c>
      <c r="E3776" s="8">
        <v>0</v>
      </c>
      <c r="F3776" s="8">
        <v>119</v>
      </c>
    </row>
    <row r="3777" spans="1:6" ht="12.75">
      <c r="A3777" s="8">
        <v>43903.439652777779</v>
      </c>
      <c r="B3777" s="8" t="str">
        <f>HYPERLINK("https://twitter.com/inesrinda","@inesrinda")</f>
        <v>@inesrinda</v>
      </c>
      <c r="C3777" s="8" t="s">
        <v>2043</v>
      </c>
      <c r="D3777" s="8">
        <v>0</v>
      </c>
      <c r="E3777" s="8">
        <v>0</v>
      </c>
      <c r="F3777" s="8">
        <v>365</v>
      </c>
    </row>
    <row r="3778" spans="1:6" ht="12.75">
      <c r="A3778" s="8">
        <v>43903.439560185187</v>
      </c>
      <c r="B3778" s="8" t="str">
        <f>HYPERLINK("https://twitter.com/tempodotco","@tempodotco")</f>
        <v>@tempodotco</v>
      </c>
      <c r="C3778" s="8" t="s">
        <v>2044</v>
      </c>
      <c r="D3778" s="8">
        <v>4</v>
      </c>
      <c r="E3778" s="8">
        <v>8</v>
      </c>
      <c r="F3778" s="8">
        <v>1713646</v>
      </c>
    </row>
    <row r="3779" spans="1:6" ht="12.75">
      <c r="A3779" s="8">
        <v>43903.439398148148</v>
      </c>
      <c r="B3779" s="8" t="str">
        <f>HYPERLINK("https://twitter.com/ravibarapati","@ravibarapati")</f>
        <v>@ravibarapati</v>
      </c>
      <c r="C3779" s="8" t="s">
        <v>1195</v>
      </c>
      <c r="D3779" s="8">
        <v>2567</v>
      </c>
      <c r="E3779" s="8">
        <v>0</v>
      </c>
      <c r="F3779" s="8">
        <v>55</v>
      </c>
    </row>
    <row r="3780" spans="1:6" ht="12.75">
      <c r="A3780" s="8">
        <v>43903.439340277779</v>
      </c>
      <c r="B3780" s="8" t="str">
        <f>HYPERLINK("https://twitter.com/Rakha_boumi","@Rakha_boumi")</f>
        <v>@Rakha_boumi</v>
      </c>
      <c r="C3780" s="8" t="s">
        <v>2045</v>
      </c>
      <c r="D3780" s="8">
        <v>1</v>
      </c>
      <c r="E3780" s="8">
        <v>1</v>
      </c>
      <c r="F3780" s="8">
        <v>1369</v>
      </c>
    </row>
    <row r="3781" spans="1:6" ht="12.75">
      <c r="A3781" s="8">
        <v>43903.43917824074</v>
      </c>
      <c r="B3781" s="8" t="str">
        <f>HYPERLINK("https://twitter.com/dinodachi03","@dinodachi03")</f>
        <v>@dinodachi03</v>
      </c>
      <c r="C3781" s="8" t="s">
        <v>1358</v>
      </c>
      <c r="D3781" s="8">
        <v>8</v>
      </c>
      <c r="E3781" s="8">
        <v>0</v>
      </c>
      <c r="F3781" s="8">
        <v>1045</v>
      </c>
    </row>
    <row r="3782" spans="1:6" ht="12.75">
      <c r="A3782" s="8">
        <v>43903.439085648148</v>
      </c>
      <c r="B3782" s="8" t="str">
        <f>HYPERLINK("https://twitter.com/ppmisaudi","@ppmisaudi")</f>
        <v>@ppmisaudi</v>
      </c>
      <c r="C3782" s="8" t="s">
        <v>774</v>
      </c>
      <c r="D3782" s="8">
        <v>6</v>
      </c>
      <c r="E3782" s="8">
        <v>0</v>
      </c>
      <c r="F3782" s="8">
        <v>1257</v>
      </c>
    </row>
    <row r="3783" spans="1:6" ht="12.75">
      <c r="A3783" s="8">
        <v>43903.438807870371</v>
      </c>
      <c r="B3783" s="8" t="str">
        <f>HYPERLINK("https://twitter.com/WPHalim","@WPHalim")</f>
        <v>@WPHalim</v>
      </c>
      <c r="C3783" s="8" t="s">
        <v>925</v>
      </c>
      <c r="D3783" s="8">
        <v>79</v>
      </c>
      <c r="E3783" s="8">
        <v>0</v>
      </c>
      <c r="F3783" s="8">
        <v>322</v>
      </c>
    </row>
    <row r="3784" spans="1:6" ht="12.75">
      <c r="A3784" s="8">
        <v>43903.438796296294</v>
      </c>
      <c r="B3784" s="8" t="str">
        <f>HYPERLINK("https://twitter.com/Rakha_boumi","@Rakha_boumi")</f>
        <v>@Rakha_boumi</v>
      </c>
      <c r="C3784" s="8" t="s">
        <v>1491</v>
      </c>
      <c r="D3784" s="8">
        <v>17</v>
      </c>
      <c r="E3784" s="8">
        <v>0</v>
      </c>
      <c r="F3784" s="8">
        <v>1369</v>
      </c>
    </row>
    <row r="3785" spans="1:6" ht="12.75">
      <c r="A3785" s="8">
        <v>43903.438634259262</v>
      </c>
      <c r="B3785" s="8" t="str">
        <f>HYPERLINK("https://twitter.com/jacktherock5","@jacktherock5")</f>
        <v>@jacktherock5</v>
      </c>
      <c r="C3785" s="8" t="s">
        <v>2046</v>
      </c>
      <c r="D3785" s="8">
        <v>1</v>
      </c>
      <c r="E3785" s="8">
        <v>0</v>
      </c>
      <c r="F3785" s="8">
        <v>522</v>
      </c>
    </row>
    <row r="3786" spans="1:6" ht="12.75">
      <c r="A3786" s="8">
        <v>43903.438587962963</v>
      </c>
      <c r="B3786" s="8" t="str">
        <f>HYPERLINK("https://twitter.com/dendiayahalbarr","@dendiayahalbarr")</f>
        <v>@dendiayahalbarr</v>
      </c>
      <c r="C3786" s="8" t="s">
        <v>1358</v>
      </c>
      <c r="D3786" s="8">
        <v>8</v>
      </c>
      <c r="E3786" s="8">
        <v>0</v>
      </c>
      <c r="F3786" s="8">
        <v>274</v>
      </c>
    </row>
    <row r="3787" spans="1:6" ht="12.75">
      <c r="A3787" s="8">
        <v>43903.438518518524</v>
      </c>
      <c r="B3787" s="8" t="str">
        <f>HYPERLINK("https://twitter.com/samtejo","@samtejo")</f>
        <v>@samtejo</v>
      </c>
      <c r="C3787" s="8" t="s">
        <v>925</v>
      </c>
      <c r="D3787" s="8">
        <v>79</v>
      </c>
      <c r="E3787" s="8">
        <v>0</v>
      </c>
      <c r="F3787" s="8">
        <v>265</v>
      </c>
    </row>
    <row r="3788" spans="1:6" ht="12.75">
      <c r="A3788" s="8">
        <v>43903.438368055555</v>
      </c>
      <c r="B3788" s="8" t="str">
        <f>HYPERLINK("https://twitter.com/InvincibleI","@InvincibleI")</f>
        <v>@InvincibleI</v>
      </c>
      <c r="C3788" s="8" t="s">
        <v>2047</v>
      </c>
      <c r="D3788" s="8">
        <v>0</v>
      </c>
      <c r="E3788" s="8">
        <v>1</v>
      </c>
      <c r="F3788" s="8">
        <v>2</v>
      </c>
    </row>
    <row r="3789" spans="1:6" ht="12.75">
      <c r="A3789" s="8">
        <v>43903.438321759255</v>
      </c>
      <c r="B3789" s="8" t="str">
        <f>HYPERLINK("https://twitter.com/MsyaiinS","@MsyaiinS")</f>
        <v>@MsyaiinS</v>
      </c>
      <c r="C3789" s="8" t="s">
        <v>289</v>
      </c>
      <c r="D3789" s="8">
        <v>100</v>
      </c>
      <c r="E3789" s="8">
        <v>0</v>
      </c>
      <c r="F3789" s="8">
        <v>207</v>
      </c>
    </row>
    <row r="3790" spans="1:6" ht="12.75">
      <c r="A3790" s="8">
        <v>43903.438275462962</v>
      </c>
      <c r="B3790" s="8" t="str">
        <f>HYPERLINK("https://twitter.com/Onta_buluk","@Onta_buluk")</f>
        <v>@Onta_buluk</v>
      </c>
      <c r="C3790" s="8" t="s">
        <v>925</v>
      </c>
      <c r="D3790" s="8">
        <v>79</v>
      </c>
      <c r="E3790" s="8">
        <v>0</v>
      </c>
      <c r="F3790" s="8">
        <v>3735</v>
      </c>
    </row>
    <row r="3791" spans="1:6" ht="12.75">
      <c r="A3791" s="8">
        <v>43903.438171296293</v>
      </c>
      <c r="B3791" s="8" t="str">
        <f>HYPERLINK("https://twitter.com/jacktherock5","@jacktherock5")</f>
        <v>@jacktherock5</v>
      </c>
      <c r="C3791" s="8" t="s">
        <v>2048</v>
      </c>
      <c r="D3791" s="8">
        <v>1</v>
      </c>
      <c r="E3791" s="8">
        <v>1</v>
      </c>
      <c r="F3791" s="8">
        <v>522</v>
      </c>
    </row>
    <row r="3792" spans="1:6" ht="12.75">
      <c r="A3792" s="8">
        <v>43903.437939814816</v>
      </c>
      <c r="B3792" s="8" t="str">
        <f>HYPERLINK("https://twitter.com/bentpad","@bentpad")</f>
        <v>@bentpad</v>
      </c>
      <c r="C3792" s="8" t="s">
        <v>1569</v>
      </c>
      <c r="D3792" s="8">
        <v>44</v>
      </c>
      <c r="E3792" s="8">
        <v>0</v>
      </c>
      <c r="F3792" s="8">
        <v>121</v>
      </c>
    </row>
    <row r="3793" spans="1:6" ht="12.75">
      <c r="A3793" s="8">
        <v>43903.437685185185</v>
      </c>
      <c r="B3793" s="8" t="str">
        <f>HYPERLINK("https://twitter.com/CakMan70489610","@CakMan70489610")</f>
        <v>@CakMan70489610</v>
      </c>
      <c r="C3793" s="8" t="s">
        <v>1358</v>
      </c>
      <c r="D3793" s="8">
        <v>8</v>
      </c>
      <c r="E3793" s="8">
        <v>0</v>
      </c>
      <c r="F3793" s="8">
        <v>533</v>
      </c>
    </row>
    <row r="3794" spans="1:6" ht="12.75">
      <c r="A3794" s="8">
        <v>43903.437569444446</v>
      </c>
      <c r="B3794" s="8" t="str">
        <f>HYPERLINK("https://twitter.com/Jo_taris","@Jo_taris")</f>
        <v>@Jo_taris</v>
      </c>
      <c r="C3794" s="8" t="s">
        <v>1491</v>
      </c>
      <c r="D3794" s="8">
        <v>17</v>
      </c>
      <c r="E3794" s="8">
        <v>0</v>
      </c>
      <c r="F3794" s="8">
        <v>284</v>
      </c>
    </row>
    <row r="3795" spans="1:6" ht="12.75">
      <c r="A3795" s="8">
        <v>43903.437557870369</v>
      </c>
      <c r="B3795" s="8" t="str">
        <f>HYPERLINK("https://twitter.com/Gudang_Survivor","@Gudang_Survivor")</f>
        <v>@Gudang_Survivor</v>
      </c>
      <c r="C3795" s="8" t="s">
        <v>1491</v>
      </c>
      <c r="D3795" s="8">
        <v>17</v>
      </c>
      <c r="E3795" s="8">
        <v>0</v>
      </c>
      <c r="F3795" s="8">
        <v>234</v>
      </c>
    </row>
    <row r="3796" spans="1:6" ht="12.75">
      <c r="A3796" s="8">
        <v>43903.437048611115</v>
      </c>
      <c r="B3796" s="8" t="str">
        <f>HYPERLINK("https://twitter.com/Jo_taris","@Jo_taris")</f>
        <v>@Jo_taris</v>
      </c>
      <c r="C3796" s="8" t="s">
        <v>2049</v>
      </c>
      <c r="D3796" s="8">
        <v>2</v>
      </c>
      <c r="E3796" s="8">
        <v>0</v>
      </c>
      <c r="F3796" s="8">
        <v>284</v>
      </c>
    </row>
    <row r="3797" spans="1:6" ht="12.75">
      <c r="A3797" s="8">
        <v>43903.436990740738</v>
      </c>
      <c r="B3797" s="8" t="str">
        <f>HYPERLINK("https://twitter.com/Sastroklengsre1","@Sastroklengsre1")</f>
        <v>@Sastroklengsre1</v>
      </c>
      <c r="C3797" s="8" t="s">
        <v>353</v>
      </c>
      <c r="D3797" s="8">
        <v>52</v>
      </c>
      <c r="E3797" s="8">
        <v>0</v>
      </c>
      <c r="F3797" s="8">
        <v>3259</v>
      </c>
    </row>
    <row r="3798" spans="1:6" ht="12.75">
      <c r="A3798" s="8">
        <v>43903.436805555553</v>
      </c>
      <c r="B3798" s="8" t="str">
        <f>HYPERLINK("https://twitter.com/kompascom","@kompascom")</f>
        <v>@kompascom</v>
      </c>
      <c r="C3798" s="8" t="s">
        <v>2050</v>
      </c>
      <c r="D3798" s="8">
        <v>2</v>
      </c>
      <c r="E3798" s="8">
        <v>11</v>
      </c>
      <c r="F3798" s="8">
        <v>7544102</v>
      </c>
    </row>
    <row r="3799" spans="1:6" ht="12.75">
      <c r="A3799" s="8">
        <v>43903.436631944445</v>
      </c>
      <c r="B3799" s="8" t="str">
        <f>HYPERLINK("https://twitter.com/KevinAdam2017","@KevinAdam2017")</f>
        <v>@KevinAdam2017</v>
      </c>
      <c r="C3799" s="8" t="s">
        <v>134</v>
      </c>
      <c r="D3799" s="8">
        <v>16</v>
      </c>
      <c r="E3799" s="8">
        <v>0</v>
      </c>
      <c r="F3799" s="8">
        <v>198</v>
      </c>
    </row>
    <row r="3800" spans="1:6" ht="12.75">
      <c r="A3800" s="8">
        <v>43903.436620370368</v>
      </c>
      <c r="B3800" s="8" t="str">
        <f>HYPERLINK("https://twitter.com/agama_nusantara","@agama_nusantara")</f>
        <v>@agama_nusantara</v>
      </c>
      <c r="C3800" s="8" t="s">
        <v>1491</v>
      </c>
      <c r="D3800" s="8">
        <v>17</v>
      </c>
      <c r="E3800" s="8">
        <v>0</v>
      </c>
      <c r="F3800" s="8">
        <v>7524</v>
      </c>
    </row>
    <row r="3801" spans="1:6" ht="12.75">
      <c r="A3801" s="8">
        <v>43903.436550925922</v>
      </c>
      <c r="B3801" s="8" t="str">
        <f>HYPERLINK("https://twitter.com/Handoko_Sohardi","@Handoko_Sohardi")</f>
        <v>@Handoko_Sohardi</v>
      </c>
      <c r="C3801" s="8" t="s">
        <v>289</v>
      </c>
      <c r="D3801" s="8">
        <v>100</v>
      </c>
      <c r="E3801" s="8">
        <v>0</v>
      </c>
      <c r="F3801" s="8">
        <v>91</v>
      </c>
    </row>
    <row r="3802" spans="1:6" ht="12.75">
      <c r="A3802" s="8">
        <v>43903.436388888891</v>
      </c>
      <c r="B3802" s="8" t="str">
        <f>HYPERLINK("https://twitter.com/ShyaReepah","@ShyaReepah")</f>
        <v>@ShyaReepah</v>
      </c>
      <c r="C3802" s="8" t="s">
        <v>1937</v>
      </c>
      <c r="D3802" s="8">
        <v>4</v>
      </c>
      <c r="E3802" s="8">
        <v>0</v>
      </c>
      <c r="F3802" s="8">
        <v>1027</v>
      </c>
    </row>
    <row r="3803" spans="1:6" ht="12.75">
      <c r="A3803" s="8">
        <v>43903.436342592591</v>
      </c>
      <c r="B3803" s="8" t="str">
        <f>HYPERLINK("https://twitter.com/Gmontadaro","@Gmontadaro")</f>
        <v>@Gmontadaro</v>
      </c>
      <c r="C3803" s="8" t="s">
        <v>925</v>
      </c>
      <c r="D3803" s="8">
        <v>79</v>
      </c>
      <c r="E3803" s="8">
        <v>0</v>
      </c>
      <c r="F3803" s="8">
        <v>11017</v>
      </c>
    </row>
    <row r="3804" spans="1:6" ht="12.75">
      <c r="A3804" s="8">
        <v>43903.436307870375</v>
      </c>
      <c r="B3804" s="8" t="str">
        <f>HYPERLINK("https://twitter.com/BagongLie","@BagongLie")</f>
        <v>@BagongLie</v>
      </c>
      <c r="C3804" s="8" t="s">
        <v>2051</v>
      </c>
      <c r="D3804" s="8">
        <v>169</v>
      </c>
      <c r="E3804" s="8">
        <v>0</v>
      </c>
      <c r="F3804" s="8">
        <v>46</v>
      </c>
    </row>
    <row r="3805" spans="1:6" ht="12.75">
      <c r="A3805" s="8">
        <v>43903.436261574076</v>
      </c>
      <c r="B3805" s="8" t="str">
        <f>HYPERLINK("https://twitter.com/grandpa_miksoeh","@grandpa_miksoeh")</f>
        <v>@grandpa_miksoeh</v>
      </c>
      <c r="C3805" s="8" t="s">
        <v>2052</v>
      </c>
      <c r="D3805" s="8">
        <v>1</v>
      </c>
      <c r="E3805" s="8">
        <v>0</v>
      </c>
      <c r="F3805" s="8">
        <v>82</v>
      </c>
    </row>
    <row r="3806" spans="1:6" ht="12.75">
      <c r="A3806" s="8">
        <v>43903.436192129629</v>
      </c>
      <c r="B3806" s="8" t="str">
        <f>HYPERLINK("https://twitter.com/anisulul1","@anisulul1")</f>
        <v>@anisulul1</v>
      </c>
      <c r="C3806" s="8" t="s">
        <v>1030</v>
      </c>
      <c r="D3806" s="8">
        <v>194</v>
      </c>
      <c r="E3806" s="8">
        <v>0</v>
      </c>
      <c r="F3806" s="8">
        <v>71</v>
      </c>
    </row>
    <row r="3807" spans="1:6" ht="12.75">
      <c r="A3807" s="8">
        <v>43903.436087962968</v>
      </c>
      <c r="B3807" s="8" t="str">
        <f>HYPERLINK("https://twitter.com/irhamtoni","@irhamtoni")</f>
        <v>@irhamtoni</v>
      </c>
      <c r="C3807" s="8" t="s">
        <v>134</v>
      </c>
      <c r="D3807" s="8">
        <v>16</v>
      </c>
      <c r="E3807" s="8">
        <v>0</v>
      </c>
      <c r="F3807" s="8">
        <v>418</v>
      </c>
    </row>
    <row r="3808" spans="1:6" ht="12.75">
      <c r="A3808" s="8">
        <v>43903.42292824074</v>
      </c>
      <c r="B3808" s="8" t="str">
        <f>HYPERLINK("https://twitter.com/ISIS_Balik_NO","@ISIS_Balik_NO")</f>
        <v>@ISIS_Balik_NO</v>
      </c>
      <c r="C3808" s="8" t="s">
        <v>2053</v>
      </c>
      <c r="D3808" s="8">
        <v>0</v>
      </c>
      <c r="E3808" s="8">
        <v>0</v>
      </c>
      <c r="F3808" s="8">
        <v>6270</v>
      </c>
    </row>
    <row r="3809" spans="1:6" ht="12.75">
      <c r="A3809" s="8">
        <v>43903.422696759255</v>
      </c>
      <c r="B3809" s="8" t="str">
        <f>HYPERLINK("https://twitter.com/C41__5R","@C41__5R")</f>
        <v>@C41__5R</v>
      </c>
      <c r="C3809" s="8" t="s">
        <v>2054</v>
      </c>
      <c r="D3809" s="8">
        <v>0</v>
      </c>
      <c r="E3809" s="8">
        <v>0</v>
      </c>
      <c r="F3809" s="8">
        <v>634</v>
      </c>
    </row>
    <row r="3810" spans="1:6" ht="12.75">
      <c r="A3810" s="8">
        <v>43903.422673611116</v>
      </c>
      <c r="B3810" s="8" t="str">
        <f>HYPERLINK("https://twitter.com/Widyarenee","@Widyarenee")</f>
        <v>@Widyarenee</v>
      </c>
      <c r="C3810" s="8" t="s">
        <v>2055</v>
      </c>
      <c r="D3810" s="8">
        <v>0</v>
      </c>
      <c r="E3810" s="8">
        <v>0</v>
      </c>
      <c r="F3810" s="8">
        <v>8293</v>
      </c>
    </row>
    <row r="3811" spans="1:6" ht="12.75">
      <c r="A3811" s="8">
        <v>43903.422592592593</v>
      </c>
      <c r="B3811" s="8" t="str">
        <f>HYPERLINK("https://twitter.com/lusi_ramadhani","@lusi_ramadhani")</f>
        <v>@lusi_ramadhani</v>
      </c>
      <c r="C3811" s="8" t="s">
        <v>134</v>
      </c>
      <c r="D3811" s="8">
        <v>6</v>
      </c>
      <c r="E3811" s="8">
        <v>0</v>
      </c>
      <c r="F3811" s="8">
        <v>360</v>
      </c>
    </row>
    <row r="3812" spans="1:6" ht="12.75">
      <c r="A3812" s="8">
        <v>43903.4221875</v>
      </c>
      <c r="B3812" s="8" t="str">
        <f>HYPERLINK("https://twitter.com/earlytimess","@earlytimess")</f>
        <v>@earlytimess</v>
      </c>
      <c r="C3812" s="8" t="s">
        <v>2056</v>
      </c>
      <c r="D3812" s="8">
        <v>0</v>
      </c>
      <c r="E3812" s="8">
        <v>0</v>
      </c>
      <c r="F3812" s="8">
        <v>308</v>
      </c>
    </row>
    <row r="3813" spans="1:6" ht="12.75">
      <c r="A3813" s="8">
        <v>43903.421817129631</v>
      </c>
      <c r="B3813" s="8" t="str">
        <f>HYPERLINK("https://twitter.com/anipebr","@anipebr")</f>
        <v>@anipebr</v>
      </c>
      <c r="C3813" s="8" t="s">
        <v>1491</v>
      </c>
      <c r="D3813" s="8">
        <v>8</v>
      </c>
      <c r="E3813" s="8">
        <v>0</v>
      </c>
      <c r="F3813" s="8">
        <v>723</v>
      </c>
    </row>
    <row r="3814" spans="1:6" ht="12.75">
      <c r="A3814" s="8">
        <v>43903.421805555554</v>
      </c>
      <c r="B3814" s="8" t="str">
        <f>HYPERLINK("https://twitter.com/kbri_tashkent","@kbri_tashkent")</f>
        <v>@kbri_tashkent</v>
      </c>
      <c r="C3814" s="8" t="s">
        <v>134</v>
      </c>
      <c r="D3814" s="8">
        <v>6</v>
      </c>
      <c r="E3814" s="8">
        <v>0</v>
      </c>
      <c r="F3814" s="8">
        <v>387</v>
      </c>
    </row>
    <row r="3815" spans="1:6" ht="12.75">
      <c r="A3815" s="8">
        <v>43903.421782407408</v>
      </c>
      <c r="B3815" s="8" t="str">
        <f>HYPERLINK("https://twitter.com/ISIS_Balik_NO","@ISIS_Balik_NO")</f>
        <v>@ISIS_Balik_NO</v>
      </c>
      <c r="C3815" s="8" t="s">
        <v>2057</v>
      </c>
      <c r="D3815" s="8">
        <v>0</v>
      </c>
      <c r="E3815" s="8">
        <v>0</v>
      </c>
      <c r="F3815" s="8">
        <v>6270</v>
      </c>
    </row>
    <row r="3816" spans="1:6" ht="12.75">
      <c r="A3816" s="8">
        <v>43903.421759259261</v>
      </c>
      <c r="B3816" s="8" t="str">
        <f>HYPERLINK("https://twitter.com/kbri_tashkent","@kbri_tashkent")</f>
        <v>@kbri_tashkent</v>
      </c>
      <c r="C3816" s="8" t="s">
        <v>1569</v>
      </c>
      <c r="D3816" s="8">
        <v>43</v>
      </c>
      <c r="E3816" s="8">
        <v>0</v>
      </c>
      <c r="F3816" s="8">
        <v>387</v>
      </c>
    </row>
    <row r="3817" spans="1:6" ht="12.75">
      <c r="A3817" s="8">
        <v>43903.421678240746</v>
      </c>
      <c r="B3817" s="8" t="str">
        <f>HYPERLINK("https://twitter.com/IamErSPSingh","@IamErSPSingh")</f>
        <v>@IamErSPSingh</v>
      </c>
      <c r="C3817" s="8" t="s">
        <v>1195</v>
      </c>
      <c r="D3817" s="8">
        <v>2541</v>
      </c>
      <c r="E3817" s="8">
        <v>0</v>
      </c>
      <c r="F3817" s="8">
        <v>1553</v>
      </c>
    </row>
    <row r="3818" spans="1:6" ht="12.75">
      <c r="A3818" s="8">
        <v>43903.421388888892</v>
      </c>
      <c r="B3818" s="8" t="str">
        <f>HYPERLINK("https://twitter.com/meow_leader","@meow_leader")</f>
        <v>@meow_leader</v>
      </c>
      <c r="C3818" s="8" t="s">
        <v>925</v>
      </c>
      <c r="D3818" s="8">
        <v>53</v>
      </c>
      <c r="E3818" s="8">
        <v>0</v>
      </c>
      <c r="F3818" s="8">
        <v>3741</v>
      </c>
    </row>
    <row r="3819" spans="1:6" ht="12.75">
      <c r="A3819" s="8">
        <v>43903.421284722222</v>
      </c>
      <c r="B3819" s="8" t="str">
        <f>HYPERLINK("https://twitter.com/Han_raha","@Han_raha")</f>
        <v>@Han_raha</v>
      </c>
      <c r="C3819" s="8" t="s">
        <v>134</v>
      </c>
      <c r="D3819" s="8">
        <v>6</v>
      </c>
      <c r="E3819" s="8">
        <v>0</v>
      </c>
      <c r="F3819" s="8">
        <v>502</v>
      </c>
    </row>
    <row r="3820" spans="1:6" ht="12.75">
      <c r="A3820" s="8">
        <v>43903.421168981484</v>
      </c>
      <c r="B3820" s="8" t="str">
        <f>HYPERLINK("https://twitter.com/JL_Apatheia","@JL_Apatheia")</f>
        <v>@JL_Apatheia</v>
      </c>
      <c r="C3820" s="8" t="s">
        <v>1491</v>
      </c>
      <c r="D3820" s="8">
        <v>8</v>
      </c>
      <c r="E3820" s="8">
        <v>0</v>
      </c>
      <c r="F3820" s="8">
        <v>2409</v>
      </c>
    </row>
    <row r="3821" spans="1:6" ht="12.75">
      <c r="A3821" s="8">
        <v>43903.421157407407</v>
      </c>
      <c r="B3821" s="8" t="str">
        <f>HYPERLINK("https://twitter.com/pujangga1123","@pujangga1123")</f>
        <v>@pujangga1123</v>
      </c>
      <c r="C3821" s="8" t="s">
        <v>134</v>
      </c>
      <c r="D3821" s="8">
        <v>6</v>
      </c>
      <c r="E3821" s="8">
        <v>0</v>
      </c>
      <c r="F3821" s="8">
        <v>13233</v>
      </c>
    </row>
    <row r="3822" spans="1:6" ht="12.75">
      <c r="A3822" s="8">
        <v>43903.420949074076</v>
      </c>
      <c r="B3822" s="8" t="str">
        <f>HYPERLINK("https://twitter.com/i4LBE","@i4LBE")</f>
        <v>@i4LBE</v>
      </c>
      <c r="C3822" s="8" t="s">
        <v>925</v>
      </c>
      <c r="D3822" s="8">
        <v>53</v>
      </c>
      <c r="E3822" s="8">
        <v>0</v>
      </c>
      <c r="F3822" s="8">
        <v>303</v>
      </c>
    </row>
    <row r="3823" spans="1:6" ht="12.75">
      <c r="A3823" s="8">
        <v>43903.420810185184</v>
      </c>
      <c r="B3823" s="8" t="str">
        <f>HYPERLINK("https://twitter.com/panda_ramu","@panda_ramu")</f>
        <v>@panda_ramu</v>
      </c>
      <c r="C3823" s="8" t="s">
        <v>1195</v>
      </c>
      <c r="D3823" s="8">
        <v>2541</v>
      </c>
      <c r="E3823" s="8">
        <v>0</v>
      </c>
      <c r="F3823" s="8">
        <v>241</v>
      </c>
    </row>
    <row r="3824" spans="1:6" ht="12.75">
      <c r="A3824" s="8">
        <v>43903.420624999999</v>
      </c>
      <c r="B3824" s="8" t="str">
        <f>HYPERLINK("https://twitter.com/Certified_D_Vil","@Certified_D_Vil")</f>
        <v>@Certified_D_Vil</v>
      </c>
      <c r="C3824" s="8" t="s">
        <v>1195</v>
      </c>
      <c r="D3824" s="8">
        <v>2541</v>
      </c>
      <c r="E3824" s="8">
        <v>0</v>
      </c>
      <c r="F3824" s="8">
        <v>67</v>
      </c>
    </row>
    <row r="3825" spans="1:6" ht="12.75">
      <c r="A3825" s="8">
        <v>43903.420555555553</v>
      </c>
      <c r="B3825" s="8" t="str">
        <f>HYPERLINK("https://twitter.com/Kemlu_RI","@Kemlu_RI")</f>
        <v>@Kemlu_RI</v>
      </c>
      <c r="C3825" s="8" t="s">
        <v>2058</v>
      </c>
      <c r="D3825" s="8">
        <v>6</v>
      </c>
      <c r="E3825" s="8">
        <v>5</v>
      </c>
      <c r="F3825" s="8">
        <v>171449</v>
      </c>
    </row>
    <row r="3826" spans="1:6" ht="12.75">
      <c r="A3826" s="8">
        <v>43903.420393518521</v>
      </c>
      <c r="B3826" s="8" t="str">
        <f>HYPERLINK("https://twitter.com/Kimchigurlll","@Kimchigurlll")</f>
        <v>@Kimchigurlll</v>
      </c>
      <c r="C3826" s="8" t="s">
        <v>2059</v>
      </c>
      <c r="D3826" s="8">
        <v>0</v>
      </c>
      <c r="E3826" s="8">
        <v>0</v>
      </c>
      <c r="F3826" s="8">
        <v>146</v>
      </c>
    </row>
    <row r="3827" spans="1:6" ht="12.75">
      <c r="A3827" s="8">
        <v>43903.420266203699</v>
      </c>
      <c r="B3827" s="8" t="str">
        <f>HYPERLINK("https://twitter.com/_wms_","@_wms_")</f>
        <v>@_wms_</v>
      </c>
      <c r="C3827" s="8" t="s">
        <v>2060</v>
      </c>
      <c r="D3827" s="8">
        <v>0</v>
      </c>
      <c r="E3827" s="8">
        <v>0</v>
      </c>
      <c r="F3827" s="8">
        <v>3993</v>
      </c>
    </row>
    <row r="3828" spans="1:6" ht="12.75">
      <c r="A3828" s="8">
        <v>43903.420069444444</v>
      </c>
      <c r="B3828" s="8" t="str">
        <f>HYPERLINK("https://twitter.com/rainosubhan","@rainosubhan")</f>
        <v>@rainosubhan</v>
      </c>
      <c r="C3828" s="8" t="s">
        <v>1491</v>
      </c>
      <c r="D3828" s="8">
        <v>8</v>
      </c>
      <c r="E3828" s="8">
        <v>0</v>
      </c>
      <c r="F3828" s="8">
        <v>620</v>
      </c>
    </row>
    <row r="3829" spans="1:6" ht="12.75">
      <c r="A3829" s="8">
        <v>43903.419849537036</v>
      </c>
      <c r="B3829" s="8" t="str">
        <f>HYPERLINK("https://twitter.com/egret_isis","@egret_isis")</f>
        <v>@egret_isis</v>
      </c>
      <c r="C3829" s="8" t="s">
        <v>2061</v>
      </c>
      <c r="D3829" s="8">
        <v>0</v>
      </c>
      <c r="E3829" s="8">
        <v>0</v>
      </c>
      <c r="F3829" s="8">
        <v>695</v>
      </c>
    </row>
    <row r="3830" spans="1:6" ht="12.75">
      <c r="A3830" s="8">
        <v>43903.419791666667</v>
      </c>
      <c r="B3830" s="8" t="str">
        <f>HYPERLINK("https://twitter.com/BungDeak","@BungDeak")</f>
        <v>@BungDeak</v>
      </c>
      <c r="C3830" s="8" t="s">
        <v>2062</v>
      </c>
      <c r="D3830" s="8">
        <v>0</v>
      </c>
      <c r="E3830" s="8">
        <v>0</v>
      </c>
      <c r="F3830" s="8">
        <v>2</v>
      </c>
    </row>
    <row r="3831" spans="1:6" ht="12.75">
      <c r="A3831" s="8">
        <v>43903.419745370367</v>
      </c>
      <c r="B3831" s="8" t="str">
        <f>HYPERLINK("https://twitter.com/TimDavid4u","@TimDavid4u")</f>
        <v>@TimDavid4u</v>
      </c>
      <c r="C3831" s="8" t="s">
        <v>353</v>
      </c>
      <c r="D3831" s="8">
        <v>45</v>
      </c>
      <c r="E3831" s="8">
        <v>0</v>
      </c>
      <c r="F3831" s="8">
        <v>1258</v>
      </c>
    </row>
    <row r="3832" spans="1:6" ht="12.75">
      <c r="A3832" s="8">
        <v>43903.419699074075</v>
      </c>
      <c r="B3832" s="8" t="str">
        <f>HYPERLINK("https://twitter.com/noni_nitha","@noni_nitha")</f>
        <v>@noni_nitha</v>
      </c>
      <c r="C3832" s="8" t="s">
        <v>925</v>
      </c>
      <c r="D3832" s="8">
        <v>53</v>
      </c>
      <c r="E3832" s="8">
        <v>0</v>
      </c>
      <c r="F3832" s="8">
        <v>1625</v>
      </c>
    </row>
    <row r="3833" spans="1:6" ht="12.75">
      <c r="A3833" s="8">
        <v>43903.419467592597</v>
      </c>
      <c r="B3833" s="8" t="str">
        <f>HYPERLINK("https://twitter.com/agusbaktisnts","@agusbaktisnts")</f>
        <v>@agusbaktisnts</v>
      </c>
      <c r="C3833" s="8" t="s">
        <v>1491</v>
      </c>
      <c r="D3833" s="8">
        <v>8</v>
      </c>
      <c r="E3833" s="8">
        <v>0</v>
      </c>
      <c r="F3833" s="8">
        <v>70</v>
      </c>
    </row>
    <row r="3834" spans="1:6" ht="12.75">
      <c r="A3834" s="8">
        <v>43903.419108796297</v>
      </c>
      <c r="B3834" s="8" t="str">
        <f>HYPERLINK("https://twitter.com/egret_isis","@egret_isis")</f>
        <v>@egret_isis</v>
      </c>
      <c r="C3834" s="8" t="s">
        <v>2063</v>
      </c>
      <c r="D3834" s="8">
        <v>4</v>
      </c>
      <c r="E3834" s="8">
        <v>0</v>
      </c>
      <c r="F3834" s="8">
        <v>695</v>
      </c>
    </row>
    <row r="3835" spans="1:6" ht="12.75">
      <c r="A3835" s="8">
        <v>43903.419050925921</v>
      </c>
      <c r="B3835" s="8" t="str">
        <f>HYPERLINK("https://twitter.com/WSuryasana","@WSuryasana")</f>
        <v>@WSuryasana</v>
      </c>
      <c r="C3835" s="8" t="s">
        <v>925</v>
      </c>
      <c r="D3835" s="8">
        <v>53</v>
      </c>
      <c r="E3835" s="8">
        <v>0</v>
      </c>
      <c r="F3835" s="8">
        <v>5661</v>
      </c>
    </row>
    <row r="3836" spans="1:6" ht="12.75">
      <c r="A3836" s="8">
        <v>43903.418692129635</v>
      </c>
      <c r="B3836" s="8" t="str">
        <f>HYPERLINK("https://twitter.com/DenaNuryasha","@DenaNuryasha")</f>
        <v>@DenaNuryasha</v>
      </c>
      <c r="C3836" s="8" t="s">
        <v>925</v>
      </c>
      <c r="D3836" s="8">
        <v>53</v>
      </c>
      <c r="E3836" s="8">
        <v>0</v>
      </c>
      <c r="F3836" s="8">
        <v>1564</v>
      </c>
    </row>
    <row r="3837" spans="1:6" ht="12.75">
      <c r="A3837" s="8">
        <v>43903.418321759258</v>
      </c>
      <c r="B3837" s="8" t="str">
        <f>HYPERLINK("https://twitter.com/mega_ern","@mega_ern")</f>
        <v>@mega_ern</v>
      </c>
      <c r="C3837" s="8" t="s">
        <v>2064</v>
      </c>
      <c r="D3837" s="8">
        <v>2</v>
      </c>
      <c r="E3837" s="8">
        <v>0</v>
      </c>
      <c r="F3837" s="8">
        <v>392</v>
      </c>
    </row>
    <row r="3838" spans="1:6" ht="12.75">
      <c r="A3838" s="8">
        <v>43903.418020833335</v>
      </c>
      <c r="B3838" s="8" t="str">
        <f>HYPERLINK("https://twitter.com/BaladMu","@BaladMu")</f>
        <v>@BaladMu</v>
      </c>
      <c r="C3838" s="8" t="s">
        <v>289</v>
      </c>
      <c r="D3838" s="8">
        <v>96</v>
      </c>
      <c r="E3838" s="8">
        <v>0</v>
      </c>
      <c r="F3838" s="8">
        <v>1362</v>
      </c>
    </row>
    <row r="3839" spans="1:6" ht="12.75">
      <c r="A3839" s="8">
        <v>43903.417916666665</v>
      </c>
      <c r="B3839" s="8" t="str">
        <f>HYPERLINK("https://twitter.com/GangadharS69","@GangadharS69")</f>
        <v>@GangadharS69</v>
      </c>
      <c r="C3839" s="8" t="s">
        <v>1195</v>
      </c>
      <c r="D3839" s="8">
        <v>2541</v>
      </c>
      <c r="E3839" s="8">
        <v>0</v>
      </c>
      <c r="F3839" s="8">
        <v>30</v>
      </c>
    </row>
    <row r="3840" spans="1:6" ht="12.75">
      <c r="A3840" s="8">
        <v>43903.417581018519</v>
      </c>
      <c r="B3840" s="8" t="str">
        <f>HYPERLINK("https://twitter.com/mhmmdrizkihsn1","@mhmmdrizkihsn1")</f>
        <v>@mhmmdrizkihsn1</v>
      </c>
      <c r="C3840" s="8" t="s">
        <v>2065</v>
      </c>
      <c r="D3840" s="8">
        <v>0</v>
      </c>
      <c r="E3840" s="8">
        <v>0</v>
      </c>
      <c r="F3840" s="8">
        <v>22</v>
      </c>
    </row>
    <row r="3841" spans="1:6" ht="12.75">
      <c r="A3841" s="8">
        <v>43903.41741898148</v>
      </c>
      <c r="B3841" s="8" t="str">
        <f>HYPERLINK("https://twitter.com/Oodhi_tah","@Oodhi_tah")</f>
        <v>@Oodhi_tah</v>
      </c>
      <c r="C3841" s="8" t="s">
        <v>925</v>
      </c>
      <c r="D3841" s="8">
        <v>53</v>
      </c>
      <c r="E3841" s="8">
        <v>0</v>
      </c>
      <c r="F3841" s="8">
        <v>345</v>
      </c>
    </row>
    <row r="3842" spans="1:6" ht="12.75">
      <c r="A3842" s="8">
        <v>43903.417361111111</v>
      </c>
      <c r="B3842" s="8" t="str">
        <f>HYPERLINK("https://twitter.com/ThyaniPutri","@ThyaniPutri")</f>
        <v>@ThyaniPutri</v>
      </c>
      <c r="C3842" s="8" t="s">
        <v>1400</v>
      </c>
      <c r="D3842" s="8">
        <v>55</v>
      </c>
      <c r="E3842" s="8">
        <v>0</v>
      </c>
      <c r="F3842" s="8">
        <v>228</v>
      </c>
    </row>
    <row r="3843" spans="1:6" ht="12.75">
      <c r="A3843" s="8">
        <v>43903.417164351849</v>
      </c>
      <c r="B3843" s="8" t="str">
        <f>HYPERLINK("https://twitter.com/Mangu365xx7","@Mangu365xx7")</f>
        <v>@Mangu365xx7</v>
      </c>
      <c r="C3843" s="8" t="s">
        <v>1195</v>
      </c>
      <c r="D3843" s="8">
        <v>2541</v>
      </c>
      <c r="E3843" s="8">
        <v>0</v>
      </c>
      <c r="F3843" s="8">
        <v>180</v>
      </c>
    </row>
    <row r="3844" spans="1:6" ht="12.75">
      <c r="A3844" s="8">
        <v>43903.417141203703</v>
      </c>
      <c r="B3844" s="8" t="str">
        <f>HYPERLINK("https://twitter.com/DamailahRI","@DamailahRI")</f>
        <v>@DamailahRI</v>
      </c>
      <c r="C3844" s="8" t="s">
        <v>2066</v>
      </c>
      <c r="D3844" s="8">
        <v>0</v>
      </c>
      <c r="E3844" s="8">
        <v>0</v>
      </c>
      <c r="F3844" s="8">
        <v>32483</v>
      </c>
    </row>
    <row r="3845" spans="1:6" ht="12.75">
      <c r="A3845" s="8">
        <v>43903.416678240741</v>
      </c>
      <c r="B3845" s="8" t="str">
        <f>HYPERLINK("https://twitter.com/pemikir5","@pemikir5")</f>
        <v>@pemikir5</v>
      </c>
      <c r="C3845" s="8" t="s">
        <v>2067</v>
      </c>
      <c r="D3845" s="8">
        <v>0</v>
      </c>
      <c r="E3845" s="8">
        <v>1</v>
      </c>
      <c r="F3845" s="8">
        <v>15179</v>
      </c>
    </row>
    <row r="3846" spans="1:6" ht="12.75">
      <c r="A3846" s="8">
        <v>43903.416273148148</v>
      </c>
      <c r="B3846" s="8" t="str">
        <f>HYPERLINK("https://twitter.com/BossBigBoss8","@BossBigBoss8")</f>
        <v>@BossBigBoss8</v>
      </c>
      <c r="C3846" s="8" t="s">
        <v>1528</v>
      </c>
      <c r="D3846" s="8">
        <v>3</v>
      </c>
      <c r="E3846" s="8">
        <v>0</v>
      </c>
      <c r="F3846" s="8">
        <v>9</v>
      </c>
    </row>
    <row r="3847" spans="1:6" ht="12.75">
      <c r="A3847" s="8">
        <v>43903.415995370371</v>
      </c>
      <c r="B3847" s="8" t="str">
        <f>HYPERLINK("https://twitter.com/akhmadsayuti47","@akhmadsayuti47")</f>
        <v>@akhmadsayuti47</v>
      </c>
      <c r="C3847" s="8" t="s">
        <v>1491</v>
      </c>
      <c r="D3847" s="8">
        <v>8</v>
      </c>
      <c r="E3847" s="8">
        <v>0</v>
      </c>
      <c r="F3847" s="8">
        <v>56</v>
      </c>
    </row>
    <row r="3848" spans="1:6" ht="12.75">
      <c r="A3848" s="8">
        <v>43903.415613425925</v>
      </c>
      <c r="B3848" s="8" t="str">
        <f>HYPERLINK("https://twitter.com/rushtotp","@rushtotp")</f>
        <v>@rushtotp</v>
      </c>
      <c r="C3848" s="8" t="s">
        <v>1195</v>
      </c>
      <c r="D3848" s="8">
        <v>2541</v>
      </c>
      <c r="E3848" s="8">
        <v>0</v>
      </c>
      <c r="F3848" s="8">
        <v>192</v>
      </c>
    </row>
    <row r="3849" spans="1:6" ht="12.75">
      <c r="A3849" s="8">
        <v>43903.415613425925</v>
      </c>
      <c r="B3849" s="8" t="str">
        <f>HYPERLINK("https://twitter.com/wes_wel","@wes_wel")</f>
        <v>@wes_wel</v>
      </c>
      <c r="C3849" s="8" t="s">
        <v>2068</v>
      </c>
      <c r="D3849" s="8">
        <v>0</v>
      </c>
      <c r="E3849" s="8">
        <v>0</v>
      </c>
      <c r="F3849" s="8">
        <v>323</v>
      </c>
    </row>
    <row r="3850" spans="1:6" ht="12.75">
      <c r="A3850" s="8">
        <v>43903.41542824074</v>
      </c>
      <c r="B3850" s="8" t="str">
        <f>HYPERLINK("https://twitter.com/hgberry","@hgberry")</f>
        <v>@hgberry</v>
      </c>
      <c r="C3850" s="8" t="s">
        <v>925</v>
      </c>
      <c r="D3850" s="8">
        <v>53</v>
      </c>
      <c r="E3850" s="8">
        <v>0</v>
      </c>
      <c r="F3850" s="8">
        <v>1658</v>
      </c>
    </row>
    <row r="3851" spans="1:6" ht="12.75">
      <c r="A3851" s="8">
        <v>43903.415162037039</v>
      </c>
      <c r="B3851" s="8" t="str">
        <f>HYPERLINK("https://twitter.com/twottok","@twottok")</f>
        <v>@twottok</v>
      </c>
      <c r="C3851" s="8" t="s">
        <v>2069</v>
      </c>
      <c r="D3851" s="8">
        <v>3</v>
      </c>
      <c r="E3851" s="8">
        <v>0</v>
      </c>
      <c r="F3851" s="8">
        <v>2716</v>
      </c>
    </row>
    <row r="3852" spans="1:6" ht="12.75">
      <c r="A3852" s="8">
        <v>43903.414965277778</v>
      </c>
      <c r="B3852" s="8" t="str">
        <f>HYPERLINK("https://twitter.com/wes_wel","@wes_wel")</f>
        <v>@wes_wel</v>
      </c>
      <c r="C3852" s="8" t="s">
        <v>2070</v>
      </c>
      <c r="D3852" s="8">
        <v>0</v>
      </c>
      <c r="E3852" s="8">
        <v>1</v>
      </c>
      <c r="F3852" s="8">
        <v>323</v>
      </c>
    </row>
    <row r="3853" spans="1:6" ht="12.75">
      <c r="A3853" s="8">
        <v>43903.414837962962</v>
      </c>
      <c r="B3853" s="8" t="str">
        <f>HYPERLINK("https://twitter.com/botolanbekonang","@botolanbekonang")</f>
        <v>@botolanbekonang</v>
      </c>
      <c r="C3853" s="8" t="s">
        <v>2069</v>
      </c>
      <c r="D3853" s="8">
        <v>3</v>
      </c>
      <c r="E3853" s="8">
        <v>0</v>
      </c>
      <c r="F3853" s="8">
        <v>233</v>
      </c>
    </row>
    <row r="3854" spans="1:6" ht="12.75">
      <c r="A3854" s="8">
        <v>43903.414722222224</v>
      </c>
      <c r="B3854" s="8" t="str">
        <f>HYPERLINK("https://twitter.com/Tik_Tob","@Tik_Tob")</f>
        <v>@Tik_Tob</v>
      </c>
      <c r="C3854" s="8" t="s">
        <v>925</v>
      </c>
      <c r="D3854" s="8">
        <v>53</v>
      </c>
      <c r="E3854" s="8">
        <v>0</v>
      </c>
      <c r="F3854" s="8">
        <v>74</v>
      </c>
    </row>
    <row r="3855" spans="1:6" ht="12.75">
      <c r="A3855" s="8">
        <v>43903.414305555554</v>
      </c>
      <c r="B3855" s="8" t="str">
        <f>HYPERLINK("https://twitter.com/abdularey","@abdularey")</f>
        <v>@abdularey</v>
      </c>
      <c r="C3855" s="8" t="s">
        <v>2071</v>
      </c>
      <c r="D3855" s="8">
        <v>0</v>
      </c>
      <c r="E3855" s="8">
        <v>0</v>
      </c>
      <c r="F3855" s="8">
        <v>172</v>
      </c>
    </row>
    <row r="3856" spans="1:6" ht="12.75">
      <c r="A3856" s="8">
        <v>43903.414282407408</v>
      </c>
      <c r="B3856" s="8" t="str">
        <f>HYPERLINK("https://twitter.com/assaidiyyah2_BU","@assaidiyyah2_BU")</f>
        <v>@assaidiyyah2_BU</v>
      </c>
      <c r="C3856" s="8" t="s">
        <v>2072</v>
      </c>
      <c r="D3856" s="8">
        <v>0</v>
      </c>
      <c r="E3856" s="8">
        <v>0</v>
      </c>
      <c r="F3856" s="8">
        <v>24</v>
      </c>
    </row>
    <row r="3857" spans="1:6" ht="12.75">
      <c r="A3857" s="8">
        <v>43903.414212962962</v>
      </c>
      <c r="B3857" s="8" t="str">
        <f>HYPERLINK("https://twitter.com/intansavhyraa","@intansavhyraa")</f>
        <v>@intansavhyraa</v>
      </c>
      <c r="C3857" s="8" t="s">
        <v>1491</v>
      </c>
      <c r="D3857" s="8">
        <v>8</v>
      </c>
      <c r="E3857" s="8">
        <v>0</v>
      </c>
      <c r="F3857" s="8">
        <v>868</v>
      </c>
    </row>
    <row r="3858" spans="1:6" ht="12.75">
      <c r="A3858" s="8">
        <v>43903.413923611108</v>
      </c>
      <c r="B3858" s="8" t="str">
        <f>HYPERLINK("https://twitter.com/Harian_Jogja","@Harian_Jogja")</f>
        <v>@Harian_Jogja</v>
      </c>
      <c r="C3858" s="8" t="s">
        <v>2073</v>
      </c>
      <c r="D3858" s="8">
        <v>3</v>
      </c>
      <c r="E3858" s="8">
        <v>1</v>
      </c>
      <c r="F3858" s="8">
        <v>156321</v>
      </c>
    </row>
    <row r="3859" spans="1:6" ht="12.75">
      <c r="A3859" s="8">
        <v>43903.413715277777</v>
      </c>
      <c r="B3859" s="8" t="str">
        <f>HYPERLINK("https://twitter.com/earlytimess","@earlytimess")</f>
        <v>@earlytimess</v>
      </c>
      <c r="C3859" s="8" t="s">
        <v>2074</v>
      </c>
      <c r="D3859" s="8">
        <v>0</v>
      </c>
      <c r="E3859" s="8">
        <v>0</v>
      </c>
      <c r="F3859" s="8">
        <v>308</v>
      </c>
    </row>
    <row r="3860" spans="1:6" ht="12.75">
      <c r="A3860" s="8">
        <v>43903.413472222222</v>
      </c>
      <c r="B3860" s="8" t="str">
        <f>HYPERLINK("https://twitter.com/MrsRachelIn","@MrsRachelIn")</f>
        <v>@MrsRachelIn</v>
      </c>
      <c r="C3860" s="8" t="s">
        <v>2075</v>
      </c>
      <c r="D3860" s="8">
        <v>0</v>
      </c>
      <c r="E3860" s="8">
        <v>0</v>
      </c>
      <c r="F3860" s="8">
        <v>3590</v>
      </c>
    </row>
    <row r="3861" spans="1:6" ht="12.75">
      <c r="A3861" s="8">
        <v>43903.412951388891</v>
      </c>
      <c r="B3861" s="8" t="str">
        <f>HYPERLINK("https://twitter.com/earlytimess","@earlytimess")</f>
        <v>@earlytimess</v>
      </c>
      <c r="C3861" s="8" t="s">
        <v>2076</v>
      </c>
      <c r="D3861" s="8">
        <v>0</v>
      </c>
      <c r="E3861" s="8">
        <v>0</v>
      </c>
      <c r="F3861" s="8">
        <v>308</v>
      </c>
    </row>
    <row r="3862" spans="1:6" ht="12.75">
      <c r="A3862" s="8">
        <v>43903.412939814814</v>
      </c>
      <c r="B3862" s="8" t="str">
        <f>HYPERLINK("https://twitter.com/GoTotheJek","@GoTotheJek")</f>
        <v>@GoTotheJek</v>
      </c>
      <c r="C3862" s="8" t="s">
        <v>440</v>
      </c>
      <c r="D3862" s="8">
        <v>154</v>
      </c>
      <c r="E3862" s="8">
        <v>0</v>
      </c>
      <c r="F3862" s="8">
        <v>780</v>
      </c>
    </row>
    <row r="3863" spans="1:6" ht="12.75">
      <c r="A3863" s="8">
        <v>43903.412256944444</v>
      </c>
      <c r="B3863" s="8" t="str">
        <f>HYPERLINK("https://twitter.com/tempodotco","@tempodotco")</f>
        <v>@tempodotco</v>
      </c>
      <c r="C3863" s="8" t="s">
        <v>2077</v>
      </c>
      <c r="D3863" s="8">
        <v>8</v>
      </c>
      <c r="E3863" s="8">
        <v>8</v>
      </c>
      <c r="F3863" s="8">
        <v>1713634</v>
      </c>
    </row>
    <row r="3864" spans="1:6" ht="12.75">
      <c r="A3864" s="8">
        <v>43903.412164351852</v>
      </c>
      <c r="B3864" s="8" t="str">
        <f>HYPERLINK("https://twitter.com/earlytimess","@earlytimess")</f>
        <v>@earlytimess</v>
      </c>
      <c r="C3864" s="8" t="s">
        <v>2078</v>
      </c>
      <c r="D3864" s="8">
        <v>0</v>
      </c>
      <c r="E3864" s="8">
        <v>0</v>
      </c>
      <c r="F3864" s="8">
        <v>308</v>
      </c>
    </row>
    <row r="3865" spans="1:6" ht="12.75">
      <c r="A3865" s="8">
        <v>43903.411493055552</v>
      </c>
      <c r="B3865" s="8" t="str">
        <f>HYPERLINK("https://twitter.com/SebastianBara4","@SebastianBara4")</f>
        <v>@SebastianBara4</v>
      </c>
      <c r="C3865" s="8" t="s">
        <v>2025</v>
      </c>
      <c r="D3865" s="8">
        <v>0</v>
      </c>
      <c r="E3865" s="8">
        <v>0</v>
      </c>
      <c r="F3865" s="8">
        <v>1</v>
      </c>
    </row>
    <row r="3866" spans="1:6" ht="12.75">
      <c r="A3866" s="8">
        <v>43903.41138888889</v>
      </c>
      <c r="B3866" s="8" t="str">
        <f>HYPERLINK("https://twitter.com/JuanGon50694775","@JuanGon50694775")</f>
        <v>@JuanGon50694775</v>
      </c>
      <c r="C3866" s="8" t="s">
        <v>2079</v>
      </c>
      <c r="D3866" s="8">
        <v>0</v>
      </c>
      <c r="E3866" s="8">
        <v>0</v>
      </c>
      <c r="F3866" s="8">
        <v>25</v>
      </c>
    </row>
    <row r="3867" spans="1:6" ht="12.75">
      <c r="A3867" s="8">
        <v>43903.411145833335</v>
      </c>
      <c r="B3867" s="8" t="str">
        <f>HYPERLINK("https://twitter.com/ephraym8","@ephraym8")</f>
        <v>@ephraym8</v>
      </c>
      <c r="C3867" s="8" t="s">
        <v>2080</v>
      </c>
      <c r="D3867" s="8">
        <v>1</v>
      </c>
      <c r="E3867" s="8">
        <v>0</v>
      </c>
      <c r="F3867" s="8">
        <v>1221</v>
      </c>
    </row>
    <row r="3868" spans="1:6" ht="12.75">
      <c r="A3868" s="8">
        <v>43903.410960648151</v>
      </c>
      <c r="B3868" s="8" t="str">
        <f>HYPERLINK("https://twitter.com/Lugahonsolum","@Lugahonsolum")</f>
        <v>@Lugahonsolum</v>
      </c>
      <c r="C3868" s="8" t="s">
        <v>925</v>
      </c>
      <c r="D3868" s="8">
        <v>53</v>
      </c>
      <c r="E3868" s="8">
        <v>0</v>
      </c>
      <c r="F3868" s="8">
        <v>1135</v>
      </c>
    </row>
    <row r="3869" spans="1:6" ht="12.75">
      <c r="A3869" s="8">
        <v>43903.410266203704</v>
      </c>
      <c r="B3869" s="8" t="str">
        <f>HYPERLINK("https://twitter.com/earlytimess","@earlytimess")</f>
        <v>@earlytimess</v>
      </c>
      <c r="C3869" s="8" t="s">
        <v>2081</v>
      </c>
      <c r="D3869" s="8">
        <v>0</v>
      </c>
      <c r="E3869" s="8">
        <v>0</v>
      </c>
      <c r="F3869" s="8">
        <v>308</v>
      </c>
    </row>
    <row r="3870" spans="1:6" ht="12.75">
      <c r="A3870" s="8">
        <v>43903.409861111111</v>
      </c>
      <c r="B3870" s="8" t="str">
        <f>HYPERLINK("https://twitter.com/IrfanAl31135536","@IrfanAl31135536")</f>
        <v>@IrfanAl31135536</v>
      </c>
      <c r="C3870" s="8" t="s">
        <v>1918</v>
      </c>
      <c r="D3870" s="8">
        <v>6</v>
      </c>
      <c r="E3870" s="8">
        <v>0</v>
      </c>
      <c r="F3870" s="8">
        <v>30</v>
      </c>
    </row>
    <row r="3871" spans="1:6" ht="12.75">
      <c r="A3871" s="8">
        <v>43903.409733796296</v>
      </c>
      <c r="B3871" s="8" t="str">
        <f>HYPERLINK("https://twitter.com/B3rvboo","@B3rvboo")</f>
        <v>@B3rvboo</v>
      </c>
      <c r="C3871" s="8" t="s">
        <v>925</v>
      </c>
      <c r="D3871" s="8">
        <v>53</v>
      </c>
      <c r="E3871" s="8">
        <v>0</v>
      </c>
      <c r="F3871" s="8">
        <v>627</v>
      </c>
    </row>
    <row r="3872" spans="1:6" ht="12.75">
      <c r="A3872" s="8">
        <v>43903.409560185188</v>
      </c>
      <c r="B3872" s="8" t="str">
        <f>HYPERLINK("https://twitter.com/andi_chairil","@andi_chairil")</f>
        <v>@andi_chairil</v>
      </c>
      <c r="C3872" s="8" t="s">
        <v>925</v>
      </c>
      <c r="D3872" s="8">
        <v>53</v>
      </c>
      <c r="E3872" s="8">
        <v>0</v>
      </c>
      <c r="F3872" s="8">
        <v>70983</v>
      </c>
    </row>
    <row r="3873" spans="1:6" ht="12.75">
      <c r="A3873" s="8">
        <v>43903.408645833333</v>
      </c>
      <c r="B3873" s="8" t="str">
        <f>HYPERLINK("https://twitter.com/RiniWahyu07","@RiniWahyu07")</f>
        <v>@RiniWahyu07</v>
      </c>
      <c r="C3873" s="8" t="s">
        <v>925</v>
      </c>
      <c r="D3873" s="8">
        <v>53</v>
      </c>
      <c r="E3873" s="8">
        <v>0</v>
      </c>
      <c r="F3873" s="8">
        <v>1238</v>
      </c>
    </row>
    <row r="3874" spans="1:6" ht="12.75">
      <c r="A3874" s="8">
        <v>43903.408067129625</v>
      </c>
      <c r="B3874" s="8" t="str">
        <f>HYPERLINK("https://twitter.com/AlmaaTasya","@AlmaaTasya")</f>
        <v>@AlmaaTasya</v>
      </c>
      <c r="C3874" s="8" t="s">
        <v>2082</v>
      </c>
      <c r="D3874" s="8">
        <v>0</v>
      </c>
      <c r="E3874" s="8">
        <v>0</v>
      </c>
      <c r="F3874" s="8">
        <v>89</v>
      </c>
    </row>
    <row r="3875" spans="1:6" ht="12.75">
      <c r="A3875" s="8">
        <v>43903.408009259263</v>
      </c>
      <c r="B3875" s="8" t="str">
        <f>HYPERLINK("https://twitter.com/SakinahAssegaf","@SakinahAssegaf")</f>
        <v>@SakinahAssegaf</v>
      </c>
      <c r="C3875" s="8" t="s">
        <v>774</v>
      </c>
      <c r="D3875" s="8">
        <v>5</v>
      </c>
      <c r="E3875" s="8">
        <v>0</v>
      </c>
      <c r="F3875" s="8">
        <v>360</v>
      </c>
    </row>
    <row r="3876" spans="1:6" ht="12.75">
      <c r="A3876" s="8">
        <v>43903.407789351855</v>
      </c>
      <c r="B3876" s="8" t="str">
        <f>HYPERLINK("https://twitter.com/sipadecengi","@sipadecengi")</f>
        <v>@sipadecengi</v>
      </c>
      <c r="C3876" s="8" t="s">
        <v>2083</v>
      </c>
      <c r="D3876" s="8">
        <v>0</v>
      </c>
      <c r="E3876" s="8">
        <v>0</v>
      </c>
      <c r="F3876" s="8">
        <v>3</v>
      </c>
    </row>
    <row r="3877" spans="1:6" ht="12.75">
      <c r="A3877" s="8">
        <v>43903.407118055555</v>
      </c>
      <c r="B3877" s="8" t="str">
        <f>HYPERLINK("https://twitter.com/tpsumantri","@tpsumantri")</f>
        <v>@tpsumantri</v>
      </c>
      <c r="C3877" s="8" t="s">
        <v>1857</v>
      </c>
      <c r="D3877" s="8">
        <v>1</v>
      </c>
      <c r="E3877" s="8">
        <v>0</v>
      </c>
      <c r="F3877" s="8">
        <v>5</v>
      </c>
    </row>
    <row r="3878" spans="1:6" ht="12.75">
      <c r="A3878" s="8">
        <v>43903.407118055555</v>
      </c>
      <c r="B3878" s="8" t="str">
        <f>HYPERLINK("https://twitter.com/KangmasRoho","@KangmasRoho")</f>
        <v>@KangmasRoho</v>
      </c>
      <c r="C3878" s="8" t="s">
        <v>1488</v>
      </c>
      <c r="D3878" s="8">
        <v>10</v>
      </c>
      <c r="E3878" s="8">
        <v>0</v>
      </c>
      <c r="F3878" s="8">
        <v>27</v>
      </c>
    </row>
    <row r="3879" spans="1:6" ht="12.75">
      <c r="A3879" s="8">
        <v>43903.406990740739</v>
      </c>
      <c r="B3879" s="8" t="str">
        <f>HYPERLINK("https://twitter.com/rreno","@rreno")</f>
        <v>@rreno</v>
      </c>
      <c r="C3879" s="8" t="s">
        <v>2084</v>
      </c>
      <c r="D3879" s="8">
        <v>0</v>
      </c>
      <c r="E3879" s="8">
        <v>0</v>
      </c>
      <c r="F3879" s="8">
        <v>478</v>
      </c>
    </row>
    <row r="3880" spans="1:6" ht="12.75">
      <c r="A3880" s="8">
        <v>43903.406631944439</v>
      </c>
      <c r="B3880" s="8" t="str">
        <f>HYPERLINK("https://twitter.com/sigantengaduhai","@sigantengaduhai")</f>
        <v>@sigantengaduhai</v>
      </c>
      <c r="C3880" s="8" t="s">
        <v>2085</v>
      </c>
      <c r="D3880" s="8">
        <v>0</v>
      </c>
      <c r="E3880" s="8">
        <v>0</v>
      </c>
      <c r="F3880" s="8">
        <v>428</v>
      </c>
    </row>
    <row r="3881" spans="1:6" ht="12.75">
      <c r="A3881" s="8">
        <v>43903.406469907408</v>
      </c>
      <c r="B3881" s="8" t="str">
        <f>HYPERLINK("https://twitter.com/sharsanj","@sharsanj")</f>
        <v>@sharsanj</v>
      </c>
      <c r="C3881" s="8" t="s">
        <v>1195</v>
      </c>
      <c r="D3881" s="8">
        <v>2541</v>
      </c>
      <c r="E3881" s="8">
        <v>0</v>
      </c>
      <c r="F3881" s="8">
        <v>1703</v>
      </c>
    </row>
    <row r="3882" spans="1:6" ht="12.75">
      <c r="A3882" s="8">
        <v>43903.406423611115</v>
      </c>
      <c r="B3882" s="8" t="str">
        <f>HYPERLINK("https://twitter.com/Eprin14","@Eprin14")</f>
        <v>@Eprin14</v>
      </c>
      <c r="C3882" s="8" t="s">
        <v>2086</v>
      </c>
      <c r="D3882" s="8">
        <v>0</v>
      </c>
      <c r="E3882" s="8">
        <v>0</v>
      </c>
      <c r="F3882" s="8">
        <v>0</v>
      </c>
    </row>
    <row r="3883" spans="1:6" ht="12.75">
      <c r="A3883" s="8">
        <v>43903.406226851846</v>
      </c>
      <c r="B3883" s="8" t="str">
        <f>HYPERLINK("https://twitter.com/BebasVisaID","@BebasVisaID")</f>
        <v>@BebasVisaID</v>
      </c>
      <c r="C3883" s="8" t="s">
        <v>2064</v>
      </c>
      <c r="D3883" s="8">
        <v>2</v>
      </c>
      <c r="E3883" s="8">
        <v>0</v>
      </c>
      <c r="F3883" s="8">
        <v>7975</v>
      </c>
    </row>
    <row r="3884" spans="1:6" ht="12.75">
      <c r="A3884" s="8">
        <v>43903.406087962961</v>
      </c>
      <c r="B3884" s="8" t="str">
        <f>HYPERLINK("https://twitter.com/ewin8923","@ewin8923")</f>
        <v>@ewin8923</v>
      </c>
      <c r="C3884" s="8" t="s">
        <v>1919</v>
      </c>
      <c r="D3884" s="8">
        <v>47</v>
      </c>
      <c r="E3884" s="8">
        <v>0</v>
      </c>
      <c r="F3884" s="8">
        <v>1054</v>
      </c>
    </row>
    <row r="3885" spans="1:6" ht="12.75">
      <c r="A3885" s="8">
        <v>43903.405902777777</v>
      </c>
      <c r="B3885" s="8" t="str">
        <f>HYPERLINK("https://twitter.com/GKawi369","@GKawi369")</f>
        <v>@GKawi369</v>
      </c>
      <c r="C3885" s="8" t="s">
        <v>353</v>
      </c>
      <c r="D3885" s="8">
        <v>45</v>
      </c>
      <c r="E3885" s="8">
        <v>0</v>
      </c>
      <c r="F3885" s="8">
        <v>995</v>
      </c>
    </row>
    <row r="3886" spans="1:6" ht="12.75">
      <c r="A3886" s="8">
        <v>43903.405787037038</v>
      </c>
      <c r="B3886" s="8" t="str">
        <f>HYPERLINK("https://twitter.com/NKRI100persen","@NKRI100persen")</f>
        <v>@NKRI100persen</v>
      </c>
      <c r="C3886" s="8" t="s">
        <v>353</v>
      </c>
      <c r="D3886" s="8">
        <v>45</v>
      </c>
      <c r="E3886" s="8">
        <v>0</v>
      </c>
      <c r="F3886" s="8">
        <v>507</v>
      </c>
    </row>
    <row r="3887" spans="1:6" ht="12.75">
      <c r="A3887" s="8">
        <v>43903.40561342593</v>
      </c>
      <c r="B3887" s="8" t="str">
        <f>HYPERLINK("https://twitter.com/ayurvaidash","@ayurvaidash")</f>
        <v>@ayurvaidash</v>
      </c>
      <c r="C3887" s="8" t="s">
        <v>1195</v>
      </c>
      <c r="D3887" s="8">
        <v>2541</v>
      </c>
      <c r="E3887" s="8">
        <v>0</v>
      </c>
      <c r="F3887" s="8">
        <v>155</v>
      </c>
    </row>
    <row r="3888" spans="1:6" ht="12.75">
      <c r="A3888" s="8">
        <v>43903.405509259261</v>
      </c>
      <c r="B3888" s="8" t="str">
        <f>HYPERLINK("https://twitter.com/representatif","@representatif")</f>
        <v>@representatif</v>
      </c>
      <c r="C3888" s="8" t="s">
        <v>2087</v>
      </c>
      <c r="D3888" s="8">
        <v>0</v>
      </c>
      <c r="E3888" s="8">
        <v>2</v>
      </c>
      <c r="F3888" s="8">
        <v>4463</v>
      </c>
    </row>
    <row r="3889" spans="1:6" ht="12.75">
      <c r="A3889" s="8">
        <v>43903.405428240745</v>
      </c>
      <c r="B3889" s="8" t="str">
        <f>HYPERLINK("https://twitter.com/JrMaswatu","@JrMaswatu")</f>
        <v>@JrMaswatu</v>
      </c>
      <c r="C3889" s="8" t="s">
        <v>1286</v>
      </c>
      <c r="D3889" s="8">
        <v>12</v>
      </c>
      <c r="E3889" s="8">
        <v>0</v>
      </c>
      <c r="F3889" s="8">
        <v>6</v>
      </c>
    </row>
    <row r="3890" spans="1:6" ht="12.75">
      <c r="A3890" s="8">
        <v>43903.405393518522</v>
      </c>
      <c r="B3890" s="8" t="str">
        <f>HYPERLINK("https://twitter.com/GKawi369","@GKawi369")</f>
        <v>@GKawi369</v>
      </c>
      <c r="C3890" s="8" t="s">
        <v>925</v>
      </c>
      <c r="D3890" s="8">
        <v>53</v>
      </c>
      <c r="E3890" s="8">
        <v>0</v>
      </c>
      <c r="F3890" s="8">
        <v>995</v>
      </c>
    </row>
    <row r="3891" spans="1:6" ht="12.75">
      <c r="A3891" s="8">
        <v>43903.405335648145</v>
      </c>
      <c r="B3891" s="8" t="str">
        <f>HYPERLINK("https://twitter.com/mat_sodor","@mat_sodor")</f>
        <v>@mat_sodor</v>
      </c>
      <c r="C3891" s="8" t="s">
        <v>2088</v>
      </c>
      <c r="D3891" s="8">
        <v>0</v>
      </c>
      <c r="E3891" s="8">
        <v>0</v>
      </c>
      <c r="F3891" s="8">
        <v>228</v>
      </c>
    </row>
    <row r="3892" spans="1:6" ht="12.75">
      <c r="A3892" s="8">
        <v>43903.404988425929</v>
      </c>
      <c r="B3892" s="8" t="str">
        <f>HYPERLINK("https://twitter.com/CauKepoo","@CauKepoo")</f>
        <v>@CauKepoo</v>
      </c>
      <c r="C3892" s="8" t="s">
        <v>925</v>
      </c>
      <c r="D3892" s="8">
        <v>53</v>
      </c>
      <c r="E3892" s="8">
        <v>0</v>
      </c>
      <c r="F3892" s="8">
        <v>197</v>
      </c>
    </row>
    <row r="3893" spans="1:6" ht="12.75">
      <c r="A3893" s="8">
        <v>43903.404942129629</v>
      </c>
      <c r="B3893" s="8" t="str">
        <f>HYPERLINK("https://twitter.com/not_kirei","@not_kirei")</f>
        <v>@not_kirei</v>
      </c>
      <c r="C3893" s="8" t="s">
        <v>925</v>
      </c>
      <c r="D3893" s="8">
        <v>53</v>
      </c>
      <c r="E3893" s="8">
        <v>0</v>
      </c>
      <c r="F3893" s="8">
        <v>3306</v>
      </c>
    </row>
    <row r="3894" spans="1:6" ht="12.75">
      <c r="A3894" s="8">
        <v>43903.40452546296</v>
      </c>
      <c r="B3894" s="8" t="str">
        <f>HYPERLINK("https://twitter.com/mat_sodor","@mat_sodor")</f>
        <v>@mat_sodor</v>
      </c>
      <c r="C3894" s="8" t="s">
        <v>2089</v>
      </c>
      <c r="D3894" s="8">
        <v>0</v>
      </c>
      <c r="E3894" s="8">
        <v>0</v>
      </c>
      <c r="F3894" s="8">
        <v>228</v>
      </c>
    </row>
    <row r="3895" spans="1:6" ht="12.75">
      <c r="A3895" s="8">
        <v>43903.403321759259</v>
      </c>
      <c r="B3895" s="8" t="str">
        <f>HYPERLINK("https://twitter.com/DesiMogambo","@DesiMogambo")</f>
        <v>@DesiMogambo</v>
      </c>
      <c r="C3895" s="8" t="s">
        <v>1195</v>
      </c>
      <c r="D3895" s="8">
        <v>2541</v>
      </c>
      <c r="E3895" s="8">
        <v>0</v>
      </c>
      <c r="F3895" s="8">
        <v>88</v>
      </c>
    </row>
    <row r="3896" spans="1:6" ht="12.75">
      <c r="A3896" s="8">
        <v>43903.403078703705</v>
      </c>
      <c r="B3896" s="8" t="str">
        <f>HYPERLINK("https://twitter.com/Jayusian","@Jayusian")</f>
        <v>@Jayusian</v>
      </c>
      <c r="C3896" s="8" t="s">
        <v>2090</v>
      </c>
      <c r="D3896" s="8">
        <v>1</v>
      </c>
      <c r="E3896" s="8">
        <v>0</v>
      </c>
      <c r="F3896" s="8">
        <v>194</v>
      </c>
    </row>
    <row r="3897" spans="1:6" ht="12.75">
      <c r="A3897" s="8">
        <v>43903.403009259258</v>
      </c>
      <c r="B3897" s="8" t="str">
        <f>HYPERLINK("https://twitter.com/Satish86899118","@Satish86899118")</f>
        <v>@Satish86899118</v>
      </c>
      <c r="C3897" s="8" t="s">
        <v>1957</v>
      </c>
      <c r="D3897" s="8">
        <v>1551</v>
      </c>
      <c r="E3897" s="8">
        <v>0</v>
      </c>
      <c r="F3897" s="8">
        <v>450</v>
      </c>
    </row>
    <row r="3898" spans="1:6" ht="12.75">
      <c r="A3898" s="8">
        <v>43903.402986111112</v>
      </c>
      <c r="B3898" s="8" t="str">
        <f>HYPERLINK("https://twitter.com/ghilbanhaq","@ghilbanhaq")</f>
        <v>@ghilbanhaq</v>
      </c>
      <c r="C3898" s="8" t="s">
        <v>1758</v>
      </c>
      <c r="D3898" s="8">
        <v>107</v>
      </c>
      <c r="E3898" s="8">
        <v>0</v>
      </c>
      <c r="F3898" s="8">
        <v>237</v>
      </c>
    </row>
    <row r="3899" spans="1:6" ht="12.75">
      <c r="A3899" s="8">
        <v>43903.402951388889</v>
      </c>
      <c r="B3899" s="8" t="str">
        <f t="shared" ref="B3899:B3900" si="70">HYPERLINK("https://twitter.com/Satish86899118","@Satish86899118")</f>
        <v>@Satish86899118</v>
      </c>
      <c r="C3899" s="8" t="s">
        <v>1808</v>
      </c>
      <c r="D3899" s="8">
        <v>942</v>
      </c>
      <c r="E3899" s="8">
        <v>0</v>
      </c>
      <c r="F3899" s="8">
        <v>450</v>
      </c>
    </row>
    <row r="3900" spans="1:6" ht="12.75">
      <c r="A3900" s="8">
        <v>43903.402881944443</v>
      </c>
      <c r="B3900" s="8" t="str">
        <f t="shared" si="70"/>
        <v>@Satish86899118</v>
      </c>
      <c r="C3900" s="8" t="s">
        <v>1195</v>
      </c>
      <c r="D3900" s="8">
        <v>2541</v>
      </c>
      <c r="E3900" s="8">
        <v>0</v>
      </c>
      <c r="F3900" s="8">
        <v>450</v>
      </c>
    </row>
    <row r="3901" spans="1:6" ht="12.75">
      <c r="A3901" s="8">
        <v>43903.402268518519</v>
      </c>
      <c r="B3901" s="8" t="str">
        <f>HYPERLINK("https://twitter.com/awsubagio","@awsubagio")</f>
        <v>@awsubagio</v>
      </c>
      <c r="C3901" s="8" t="s">
        <v>2091</v>
      </c>
      <c r="D3901" s="8">
        <v>0</v>
      </c>
      <c r="E3901" s="8">
        <v>0</v>
      </c>
      <c r="F3901" s="8">
        <v>330</v>
      </c>
    </row>
    <row r="3902" spans="1:6" ht="12.75">
      <c r="A3902" s="8">
        <v>43903.40216435185</v>
      </c>
      <c r="B3902" s="8" t="str">
        <f>HYPERLINK("https://twitter.com/NKRI100persen","@NKRI100persen")</f>
        <v>@NKRI100persen</v>
      </c>
      <c r="C3902" s="8" t="s">
        <v>925</v>
      </c>
      <c r="D3902" s="8">
        <v>53</v>
      </c>
      <c r="E3902" s="8">
        <v>0</v>
      </c>
      <c r="F3902" s="8">
        <v>507</v>
      </c>
    </row>
    <row r="3903" spans="1:6" ht="12.75">
      <c r="A3903" s="8">
        <v>43903.401840277773</v>
      </c>
      <c r="B3903" s="8" t="str">
        <f>HYPERLINK("https://twitter.com/nandapradha_","@nandapradha_")</f>
        <v>@nandapradha_</v>
      </c>
      <c r="C3903" s="8" t="s">
        <v>2022</v>
      </c>
      <c r="D3903" s="8">
        <v>1</v>
      </c>
      <c r="E3903" s="8">
        <v>0</v>
      </c>
      <c r="F3903" s="8">
        <v>2048</v>
      </c>
    </row>
    <row r="3904" spans="1:6" ht="12.75">
      <c r="A3904" s="8">
        <v>43903.401238425926</v>
      </c>
      <c r="B3904" s="8" t="str">
        <f>HYPERLINK("https://twitter.com/dwiyono_ts","@dwiyono_ts")</f>
        <v>@dwiyono_ts</v>
      </c>
      <c r="C3904" s="8" t="s">
        <v>925</v>
      </c>
      <c r="D3904" s="8">
        <v>53</v>
      </c>
      <c r="E3904" s="8">
        <v>0</v>
      </c>
      <c r="F3904" s="8">
        <v>164</v>
      </c>
    </row>
    <row r="3905" spans="1:6" ht="12.75">
      <c r="A3905" s="8">
        <v>43903.400833333333</v>
      </c>
      <c r="B3905" s="8" t="str">
        <f>HYPERLINK("https://twitter.com/RadhaKr56691261","@RadhaKr56691261")</f>
        <v>@RadhaKr56691261</v>
      </c>
      <c r="C3905" s="8" t="s">
        <v>2092</v>
      </c>
      <c r="D3905" s="8">
        <v>5</v>
      </c>
      <c r="E3905" s="8">
        <v>0</v>
      </c>
      <c r="F3905" s="8">
        <v>112</v>
      </c>
    </row>
    <row r="3906" spans="1:6" ht="12.75">
      <c r="A3906" s="8">
        <v>43903.400763888887</v>
      </c>
      <c r="B3906" s="8" t="str">
        <f>HYPERLINK("https://twitter.com/agama_nusantara","@agama_nusantara")</f>
        <v>@agama_nusantara</v>
      </c>
      <c r="C3906" s="8" t="s">
        <v>925</v>
      </c>
      <c r="D3906" s="8">
        <v>53</v>
      </c>
      <c r="E3906" s="8">
        <v>0</v>
      </c>
      <c r="F3906" s="8">
        <v>7523</v>
      </c>
    </row>
    <row r="3907" spans="1:6" ht="12.75">
      <c r="A3907" s="8">
        <v>43903.400474537033</v>
      </c>
      <c r="B3907" s="8" t="str">
        <f>HYPERLINK("https://twitter.com/Ceha_Anwar","@Ceha_Anwar")</f>
        <v>@Ceha_Anwar</v>
      </c>
      <c r="C3907" s="8" t="s">
        <v>353</v>
      </c>
      <c r="D3907" s="8">
        <v>45</v>
      </c>
      <c r="E3907" s="8">
        <v>0</v>
      </c>
      <c r="F3907" s="8">
        <v>1519</v>
      </c>
    </row>
    <row r="3908" spans="1:6" ht="12.75">
      <c r="A3908" s="8">
        <v>43903.38181712963</v>
      </c>
      <c r="B3908" s="8" t="str">
        <f>HYPERLINK("https://twitter.com/R_Batara19","@R_Batara19")</f>
        <v>@R_Batara19</v>
      </c>
      <c r="C3908" s="8" t="s">
        <v>2093</v>
      </c>
      <c r="D3908" s="8">
        <v>0</v>
      </c>
      <c r="E3908" s="8">
        <v>0</v>
      </c>
      <c r="F3908" s="8">
        <v>23</v>
      </c>
    </row>
    <row r="3909" spans="1:6" ht="12.75">
      <c r="A3909" s="8">
        <v>43903.381620370375</v>
      </c>
      <c r="B3909" s="8" t="str">
        <f>HYPERLINK("https://twitter.com/hemaviton99","@hemaviton99")</f>
        <v>@hemaviton99</v>
      </c>
      <c r="C3909" s="8" t="s">
        <v>2094</v>
      </c>
      <c r="D3909" s="8">
        <v>0</v>
      </c>
      <c r="E3909" s="8">
        <v>0</v>
      </c>
      <c r="F3909" s="8">
        <v>6209</v>
      </c>
    </row>
    <row r="3910" spans="1:6" ht="12.75">
      <c r="A3910" s="8">
        <v>43903.381215277783</v>
      </c>
      <c r="B3910" s="8" t="str">
        <f>HYPERLINK("https://twitter.com/adrizal77","@adrizal77")</f>
        <v>@adrizal77</v>
      </c>
      <c r="C3910" s="8" t="s">
        <v>2095</v>
      </c>
      <c r="D3910" s="8">
        <v>1</v>
      </c>
      <c r="E3910" s="8">
        <v>0</v>
      </c>
      <c r="F3910" s="8">
        <v>47</v>
      </c>
    </row>
    <row r="3911" spans="1:6" ht="12.75">
      <c r="A3911" s="8">
        <v>43903.380347222221</v>
      </c>
      <c r="B3911" s="8" t="str">
        <f>HYPERLINK("https://twitter.com/_Henz14","@_Henz14")</f>
        <v>@_Henz14</v>
      </c>
      <c r="C3911" s="8" t="s">
        <v>2096</v>
      </c>
      <c r="D3911" s="8">
        <v>0</v>
      </c>
      <c r="E3911" s="8">
        <v>0</v>
      </c>
      <c r="F3911" s="8">
        <v>471</v>
      </c>
    </row>
    <row r="3912" spans="1:6" ht="12.75">
      <c r="A3912" s="8">
        <v>43903.380046296297</v>
      </c>
      <c r="B3912" s="8" t="str">
        <f>HYPERLINK("https://twitter.com/rishaziza","@rishaziza")</f>
        <v>@rishaziza</v>
      </c>
      <c r="C3912" s="8" t="s">
        <v>2097</v>
      </c>
      <c r="D3912" s="8">
        <v>0</v>
      </c>
      <c r="E3912" s="8">
        <v>0</v>
      </c>
      <c r="F3912" s="8">
        <v>202</v>
      </c>
    </row>
    <row r="3913" spans="1:6" ht="12.75">
      <c r="A3913" s="8">
        <v>43903.379918981482</v>
      </c>
      <c r="B3913" s="8" t="str">
        <f>HYPERLINK("https://twitter.com/DavidCh02636461","@DavidCh02636461")</f>
        <v>@DavidCh02636461</v>
      </c>
      <c r="C3913" s="8" t="s">
        <v>1758</v>
      </c>
      <c r="D3913" s="8">
        <v>106</v>
      </c>
      <c r="E3913" s="8">
        <v>0</v>
      </c>
      <c r="F3913" s="8">
        <v>70</v>
      </c>
    </row>
    <row r="3914" spans="1:6" ht="12.75">
      <c r="A3914" s="8">
        <v>43903.379907407405</v>
      </c>
      <c r="B3914" s="8" t="str">
        <f>HYPERLINK("https://twitter.com/Cheerfull_Uncle","@Cheerfull_Uncle")</f>
        <v>@Cheerfull_Uncle</v>
      </c>
      <c r="C3914" s="8" t="s">
        <v>2098</v>
      </c>
      <c r="D3914" s="8">
        <v>0</v>
      </c>
      <c r="E3914" s="8">
        <v>0</v>
      </c>
      <c r="F3914" s="8">
        <v>20</v>
      </c>
    </row>
    <row r="3915" spans="1:6" ht="12.75">
      <c r="A3915" s="8">
        <v>43903.379432870366</v>
      </c>
      <c r="B3915" s="8" t="str">
        <f>HYPERLINK("https://twitter.com/bysph","@bysph")</f>
        <v>@bysph</v>
      </c>
      <c r="C3915" s="8" t="s">
        <v>2099</v>
      </c>
      <c r="D3915" s="8">
        <v>0</v>
      </c>
      <c r="E3915" s="8">
        <v>0</v>
      </c>
      <c r="F3915" s="8">
        <v>361</v>
      </c>
    </row>
    <row r="3916" spans="1:6" ht="12.75">
      <c r="A3916" s="8">
        <v>43903.379189814819</v>
      </c>
      <c r="B3916" s="8" t="str">
        <f>HYPERLINK("https://twitter.com/padryfantastic","@padryfantastic")</f>
        <v>@padryfantastic</v>
      </c>
      <c r="C3916" s="8" t="s">
        <v>1985</v>
      </c>
      <c r="D3916" s="8">
        <v>1</v>
      </c>
      <c r="E3916" s="8">
        <v>0</v>
      </c>
      <c r="F3916" s="8">
        <v>5509</v>
      </c>
    </row>
    <row r="3917" spans="1:6" ht="12.75">
      <c r="A3917" s="8">
        <v>43903.379074074073</v>
      </c>
      <c r="B3917" s="8" t="str">
        <f>HYPERLINK("https://twitter.com/knightfloo","@knightfloo")</f>
        <v>@knightfloo</v>
      </c>
      <c r="C3917" s="8" t="s">
        <v>440</v>
      </c>
      <c r="D3917" s="8">
        <v>152</v>
      </c>
      <c r="E3917" s="8">
        <v>0</v>
      </c>
      <c r="F3917" s="8">
        <v>599</v>
      </c>
    </row>
    <row r="3918" spans="1:6" ht="12.75">
      <c r="A3918" s="8">
        <v>43903.378472222219</v>
      </c>
      <c r="B3918" s="8" t="str">
        <f>HYPERLINK("https://twitter.com/bysph","@bysph")</f>
        <v>@bysph</v>
      </c>
      <c r="C3918" s="8" t="s">
        <v>2100</v>
      </c>
      <c r="D3918" s="8">
        <v>0</v>
      </c>
      <c r="E3918" s="8">
        <v>0</v>
      </c>
      <c r="F3918" s="8">
        <v>361</v>
      </c>
    </row>
    <row r="3919" spans="1:6" ht="12.75">
      <c r="A3919" s="8">
        <v>43903.377511574072</v>
      </c>
      <c r="B3919" s="8" t="str">
        <f>HYPERLINK("https://twitter.com/sigantengaduhai","@sigantengaduhai")</f>
        <v>@sigantengaduhai</v>
      </c>
      <c r="C3919" s="8" t="s">
        <v>2101</v>
      </c>
      <c r="D3919" s="8">
        <v>0</v>
      </c>
      <c r="E3919" s="8">
        <v>0</v>
      </c>
      <c r="F3919" s="8">
        <v>428</v>
      </c>
    </row>
    <row r="3920" spans="1:6" ht="12.75">
      <c r="A3920" s="8">
        <v>43903.377453703702</v>
      </c>
      <c r="B3920" s="8" t="str">
        <f>HYPERLINK("https://twitter.com/PulauTidungTrav","@PulauTidungTrav")</f>
        <v>@PulauTidungTrav</v>
      </c>
      <c r="C3920" s="8" t="s">
        <v>2102</v>
      </c>
      <c r="D3920" s="8">
        <v>0</v>
      </c>
      <c r="E3920" s="8">
        <v>0</v>
      </c>
      <c r="F3920" s="8">
        <v>113</v>
      </c>
    </row>
    <row r="3921" spans="1:6" ht="12.75">
      <c r="A3921" s="8">
        <v>43903.377430555556</v>
      </c>
      <c r="B3921" s="8" t="str">
        <f>HYPERLINK("https://twitter.com/agwkandzzz","@agwkandzzz")</f>
        <v>@agwkandzzz</v>
      </c>
      <c r="C3921" s="8" t="s">
        <v>440</v>
      </c>
      <c r="D3921" s="8">
        <v>152</v>
      </c>
      <c r="E3921" s="8">
        <v>0</v>
      </c>
      <c r="F3921" s="8">
        <v>470</v>
      </c>
    </row>
    <row r="3922" spans="1:6" ht="12.75">
      <c r="A3922" s="8">
        <v>43903.377129629633</v>
      </c>
      <c r="B3922" s="8" t="str">
        <f>HYPERLINK("https://twitter.com/MukhtarLuthfi12","@MukhtarLuthfi12")</f>
        <v>@MukhtarLuthfi12</v>
      </c>
      <c r="C3922" s="8" t="s">
        <v>2103</v>
      </c>
      <c r="D3922" s="8">
        <v>0</v>
      </c>
      <c r="E3922" s="8">
        <v>0</v>
      </c>
      <c r="F3922" s="8">
        <v>1465</v>
      </c>
    </row>
    <row r="3923" spans="1:6" ht="12.75">
      <c r="A3923" s="8">
        <v>43903.37700231481</v>
      </c>
      <c r="B3923" s="8" t="str">
        <f>HYPERLINK("https://twitter.com/isis_dom2","@isis_dom2")</f>
        <v>@isis_dom2</v>
      </c>
      <c r="C3923" s="8" t="s">
        <v>2104</v>
      </c>
      <c r="D3923" s="8">
        <v>20</v>
      </c>
      <c r="E3923" s="8">
        <v>0</v>
      </c>
      <c r="F3923" s="8">
        <v>1257</v>
      </c>
    </row>
    <row r="3924" spans="1:6" ht="12.75">
      <c r="A3924" s="8">
        <v>43903.376701388886</v>
      </c>
      <c r="B3924" s="8" t="str">
        <f>HYPERLINK("https://twitter.com/ArWiPam","@ArWiPam")</f>
        <v>@ArWiPam</v>
      </c>
      <c r="C3924" s="8" t="s">
        <v>2105</v>
      </c>
      <c r="D3924" s="8">
        <v>0</v>
      </c>
      <c r="E3924" s="8">
        <v>0</v>
      </c>
      <c r="F3924" s="8">
        <v>29</v>
      </c>
    </row>
    <row r="3925" spans="1:6" ht="12.75">
      <c r="A3925" s="8">
        <v>43903.37635416667</v>
      </c>
      <c r="B3925" s="8" t="str">
        <f>HYPERLINK("https://twitter.com/capekgw1","@capekgw1")</f>
        <v>@capekgw1</v>
      </c>
      <c r="C3925" s="8" t="s">
        <v>353</v>
      </c>
      <c r="D3925" s="8">
        <v>37</v>
      </c>
      <c r="E3925" s="8">
        <v>0</v>
      </c>
      <c r="F3925" s="8">
        <v>204</v>
      </c>
    </row>
    <row r="3926" spans="1:6" ht="12.75">
      <c r="A3926" s="8">
        <v>43903.375775462962</v>
      </c>
      <c r="B3926" s="8" t="str">
        <f>HYPERLINK("https://twitter.com/devy215","@devy215")</f>
        <v>@devy215</v>
      </c>
      <c r="C3926" s="8" t="s">
        <v>2106</v>
      </c>
      <c r="D3926" s="8">
        <v>0</v>
      </c>
      <c r="E3926" s="8">
        <v>1</v>
      </c>
      <c r="F3926" s="8">
        <v>3171</v>
      </c>
    </row>
    <row r="3927" spans="1:6" ht="12.75">
      <c r="A3927" s="8">
        <v>43903.375393518523</v>
      </c>
      <c r="B3927" s="8" t="str">
        <f>HYPERLINK("https://twitter.com/tempodotco","@tempodotco")</f>
        <v>@tempodotco</v>
      </c>
      <c r="C3927" s="8" t="s">
        <v>2107</v>
      </c>
      <c r="D3927" s="8">
        <v>1</v>
      </c>
      <c r="E3927" s="8">
        <v>1</v>
      </c>
      <c r="F3927" s="8">
        <v>1713636</v>
      </c>
    </row>
    <row r="3928" spans="1:6" ht="12.75">
      <c r="A3928" s="8">
        <v>43903.375185185185</v>
      </c>
      <c r="B3928" s="8" t="str">
        <f>HYPERLINK("https://twitter.com/isis_macedo10","@isis_macedo10")</f>
        <v>@isis_macedo10</v>
      </c>
      <c r="C3928" s="8" t="s">
        <v>2108</v>
      </c>
      <c r="D3928" s="8">
        <v>1</v>
      </c>
      <c r="E3928" s="8">
        <v>0</v>
      </c>
      <c r="F3928" s="8">
        <v>5358</v>
      </c>
    </row>
    <row r="3929" spans="1:6" ht="12.75">
      <c r="A3929" s="8">
        <v>43903.375</v>
      </c>
      <c r="B3929" s="8" t="str">
        <f>HYPERLINK("https://twitter.com/OfficialiNewsTV","@OfficialiNewsTV")</f>
        <v>@OfficialiNewsTV</v>
      </c>
      <c r="C3929" s="8" t="s">
        <v>2109</v>
      </c>
      <c r="D3929" s="8">
        <v>1</v>
      </c>
      <c r="E3929" s="8">
        <v>0</v>
      </c>
      <c r="F3929" s="8">
        <v>96806</v>
      </c>
    </row>
    <row r="3930" spans="1:6" ht="12.75">
      <c r="A3930" s="8">
        <v>43903.37498842593</v>
      </c>
      <c r="B3930" s="8" t="str">
        <f>HYPERLINK("https://twitter.com/Prashanth1237","@Prashanth1237")</f>
        <v>@Prashanth1237</v>
      </c>
      <c r="C3930" s="8" t="s">
        <v>2110</v>
      </c>
      <c r="D3930" s="8">
        <v>0</v>
      </c>
      <c r="E3930" s="8">
        <v>0</v>
      </c>
      <c r="F3930" s="8">
        <v>465</v>
      </c>
    </row>
    <row r="3931" spans="1:6" ht="12.75">
      <c r="A3931" s="8">
        <v>43903.374155092592</v>
      </c>
      <c r="B3931" s="8" t="str">
        <f>HYPERLINK("https://twitter.com/ShofieAurizp","@ShofieAurizp")</f>
        <v>@ShofieAurizp</v>
      </c>
      <c r="C3931" s="8" t="s">
        <v>165</v>
      </c>
      <c r="D3931" s="8">
        <v>131</v>
      </c>
      <c r="E3931" s="8">
        <v>0</v>
      </c>
      <c r="F3931" s="8">
        <v>411</v>
      </c>
    </row>
    <row r="3932" spans="1:6" ht="12.75">
      <c r="A3932" s="8">
        <v>43903.373923611114</v>
      </c>
      <c r="B3932" s="8" t="str">
        <f>HYPERLINK("https://twitter.com/bysph","@bysph")</f>
        <v>@bysph</v>
      </c>
      <c r="C3932" s="8" t="s">
        <v>2111</v>
      </c>
      <c r="D3932" s="8">
        <v>0</v>
      </c>
      <c r="E3932" s="8">
        <v>0</v>
      </c>
      <c r="F3932" s="8">
        <v>361</v>
      </c>
    </row>
    <row r="3933" spans="1:6" ht="12.75">
      <c r="A3933" s="8">
        <v>43903.37363425926</v>
      </c>
      <c r="B3933" s="8" t="str">
        <f>HYPERLINK("https://twitter.com/olaprexa","@olaprexa")</f>
        <v>@olaprexa</v>
      </c>
      <c r="C3933" s="8" t="s">
        <v>1195</v>
      </c>
      <c r="D3933" s="8">
        <v>2515</v>
      </c>
      <c r="E3933" s="8">
        <v>0</v>
      </c>
      <c r="F3933" s="8">
        <v>497</v>
      </c>
    </row>
    <row r="3934" spans="1:6" ht="12.75">
      <c r="A3934" s="8">
        <v>43903.373472222222</v>
      </c>
      <c r="B3934" s="8" t="str">
        <f>HYPERLINK("https://twitter.com/djumelan","@djumelan")</f>
        <v>@djumelan</v>
      </c>
      <c r="C3934" s="8" t="s">
        <v>2112</v>
      </c>
      <c r="D3934" s="8">
        <v>0</v>
      </c>
      <c r="E3934" s="8">
        <v>0</v>
      </c>
      <c r="F3934" s="8">
        <v>342</v>
      </c>
    </row>
    <row r="3935" spans="1:6" ht="12.75">
      <c r="A3935" s="8">
        <v>43903.373356481483</v>
      </c>
      <c r="B3935" s="8" t="str">
        <f>HYPERLINK("https://twitter.com/JoPermadi","@JoPermadi")</f>
        <v>@JoPermadi</v>
      </c>
      <c r="C3935" s="8" t="s">
        <v>2051</v>
      </c>
      <c r="D3935" s="8">
        <v>168</v>
      </c>
      <c r="E3935" s="8">
        <v>0</v>
      </c>
      <c r="F3935" s="8">
        <v>494</v>
      </c>
    </row>
    <row r="3936" spans="1:6" ht="12.75">
      <c r="A3936" s="8">
        <v>43903.37295138889</v>
      </c>
      <c r="B3936" s="8" t="str">
        <f>HYPERLINK("https://twitter.com/lafille_content","@lafille_content")</f>
        <v>@lafille_content</v>
      </c>
      <c r="C3936" s="8" t="s">
        <v>2113</v>
      </c>
      <c r="D3936" s="8">
        <v>4</v>
      </c>
      <c r="E3936" s="8">
        <v>0</v>
      </c>
      <c r="F3936" s="8">
        <v>95</v>
      </c>
    </row>
    <row r="3937" spans="1:6" ht="12.75">
      <c r="A3937" s="8">
        <v>43903.372754629629</v>
      </c>
      <c r="B3937" s="8" t="str">
        <f>HYPERLINK("https://twitter.com/beasthoven","@beasthoven")</f>
        <v>@beasthoven</v>
      </c>
      <c r="C3937" s="8" t="s">
        <v>2114</v>
      </c>
      <c r="D3937" s="8">
        <v>0</v>
      </c>
      <c r="E3937" s="8">
        <v>0</v>
      </c>
      <c r="F3937" s="8">
        <v>153</v>
      </c>
    </row>
    <row r="3938" spans="1:6" ht="12.75">
      <c r="A3938" s="8">
        <v>43903.372743055559</v>
      </c>
      <c r="B3938" s="8" t="str">
        <f>HYPERLINK("https://twitter.com/ExcelJosaphine","@ExcelJosaphine")</f>
        <v>@ExcelJosaphine</v>
      </c>
      <c r="C3938" s="8" t="s">
        <v>2113</v>
      </c>
      <c r="D3938" s="8">
        <v>4</v>
      </c>
      <c r="E3938" s="8">
        <v>0</v>
      </c>
      <c r="F3938" s="8">
        <v>2481</v>
      </c>
    </row>
    <row r="3939" spans="1:6" ht="12.75">
      <c r="A3939" s="8">
        <v>43903.372546296298</v>
      </c>
      <c r="B3939" s="8" t="str">
        <f>HYPERLINK("https://twitter.com/adepedia","@adepedia")</f>
        <v>@adepedia</v>
      </c>
      <c r="C3939" s="8" t="s">
        <v>2113</v>
      </c>
      <c r="D3939" s="8">
        <v>4</v>
      </c>
      <c r="E3939" s="8">
        <v>0</v>
      </c>
      <c r="F3939" s="8">
        <v>1837</v>
      </c>
    </row>
    <row r="3940" spans="1:6" ht="12.75">
      <c r="A3940" s="8">
        <v>43903.372442129628</v>
      </c>
      <c r="B3940" s="8" t="str">
        <f>HYPERLINK("https://twitter.com/YuthikaSharma","@YuthikaSharma")</f>
        <v>@YuthikaSharma</v>
      </c>
      <c r="C3940" s="8" t="s">
        <v>1195</v>
      </c>
      <c r="D3940" s="8">
        <v>2515</v>
      </c>
      <c r="E3940" s="8">
        <v>0</v>
      </c>
      <c r="F3940" s="8">
        <v>1444</v>
      </c>
    </row>
    <row r="3941" spans="1:6" ht="12.75">
      <c r="A3941" s="8">
        <v>43903.37127314815</v>
      </c>
      <c r="B3941" s="8" t="str">
        <f>HYPERLINK("https://twitter.com/ari_ap","@ari_ap")</f>
        <v>@ari_ap</v>
      </c>
      <c r="C3941" s="8" t="s">
        <v>2115</v>
      </c>
      <c r="D3941" s="8">
        <v>4</v>
      </c>
      <c r="E3941" s="8">
        <v>0</v>
      </c>
      <c r="F3941" s="8">
        <v>20415</v>
      </c>
    </row>
    <row r="3942" spans="1:6" ht="12.75">
      <c r="A3942" s="8">
        <v>43903.371122685188</v>
      </c>
      <c r="B3942" s="8" t="str">
        <f>HYPERLINK("https://twitter.com/sad_dami","@sad_dami")</f>
        <v>@sad_dami</v>
      </c>
      <c r="C3942" s="8" t="s">
        <v>2116</v>
      </c>
      <c r="D3942" s="8">
        <v>74</v>
      </c>
      <c r="E3942" s="8">
        <v>0</v>
      </c>
      <c r="F3942" s="8">
        <v>42</v>
      </c>
    </row>
    <row r="3943" spans="1:6" ht="12.75">
      <c r="A3943" s="8">
        <v>43903.371111111112</v>
      </c>
      <c r="B3943" s="8" t="str">
        <f>HYPERLINK("https://twitter.com/RangCebol","@RangCebol")</f>
        <v>@RangCebol</v>
      </c>
      <c r="C3943" s="8" t="s">
        <v>2117</v>
      </c>
      <c r="D3943" s="8">
        <v>0</v>
      </c>
      <c r="E3943" s="8">
        <v>0</v>
      </c>
      <c r="F3943" s="8">
        <v>23</v>
      </c>
    </row>
    <row r="3944" spans="1:6" ht="12.75">
      <c r="A3944" s="8">
        <v>43903.37100694445</v>
      </c>
      <c r="B3944" s="8" t="str">
        <f>HYPERLINK("https://twitter.com/joeyjack04","@joeyjack04")</f>
        <v>@joeyjack04</v>
      </c>
      <c r="C3944" s="8" t="s">
        <v>289</v>
      </c>
      <c r="D3944" s="8">
        <v>94</v>
      </c>
      <c r="E3944" s="8">
        <v>0</v>
      </c>
      <c r="F3944" s="8">
        <v>634</v>
      </c>
    </row>
    <row r="3945" spans="1:6" ht="12.75">
      <c r="A3945" s="8">
        <v>43903.37096064815</v>
      </c>
      <c r="B3945" s="8" t="str">
        <f>HYPERLINK("https://twitter.com/PrasadGR4","@PrasadGR4")</f>
        <v>@PrasadGR4</v>
      </c>
      <c r="C3945" s="8" t="s">
        <v>1195</v>
      </c>
      <c r="D3945" s="8">
        <v>2515</v>
      </c>
      <c r="E3945" s="8">
        <v>0</v>
      </c>
      <c r="F3945" s="8">
        <v>212</v>
      </c>
    </row>
    <row r="3946" spans="1:6" ht="12.75">
      <c r="A3946" s="8">
        <v>43903.370648148149</v>
      </c>
      <c r="B3946" s="8" t="str">
        <f>HYPERLINK("https://twitter.com/MaverickLG","@MaverickLG")</f>
        <v>@MaverickLG</v>
      </c>
      <c r="C3946" s="8" t="s">
        <v>1195</v>
      </c>
      <c r="D3946" s="8">
        <v>2515</v>
      </c>
      <c r="E3946" s="8">
        <v>0</v>
      </c>
      <c r="F3946" s="8">
        <v>1040</v>
      </c>
    </row>
    <row r="3947" spans="1:6" ht="12.75">
      <c r="A3947" s="8">
        <v>43903.370613425926</v>
      </c>
      <c r="B3947" s="8" t="str">
        <f>HYPERLINK("https://twitter.com/bacotanduniawee","@bacotanduniawee")</f>
        <v>@bacotanduniawee</v>
      </c>
      <c r="C3947" s="8" t="s">
        <v>2118</v>
      </c>
      <c r="D3947" s="8">
        <v>0</v>
      </c>
      <c r="E3947" s="8">
        <v>0</v>
      </c>
      <c r="F3947" s="8">
        <v>34</v>
      </c>
    </row>
    <row r="3948" spans="1:6" ht="12.75">
      <c r="A3948" s="8">
        <v>43903.370578703703</v>
      </c>
      <c r="B3948" s="8" t="str">
        <f t="shared" ref="B3948:B3949" si="71">HYPERLINK("https://twitter.com/sabki2","@sabki2")</f>
        <v>@sabki2</v>
      </c>
      <c r="C3948" s="8" t="s">
        <v>2119</v>
      </c>
      <c r="D3948" s="8">
        <v>1312</v>
      </c>
      <c r="E3948" s="8">
        <v>0</v>
      </c>
      <c r="F3948" s="8">
        <v>179</v>
      </c>
    </row>
    <row r="3949" spans="1:6" ht="12.75">
      <c r="A3949" s="8">
        <v>43903.370393518519</v>
      </c>
      <c r="B3949" s="8" t="str">
        <f t="shared" si="71"/>
        <v>@sabki2</v>
      </c>
      <c r="C3949" s="8" t="s">
        <v>2120</v>
      </c>
      <c r="D3949" s="8">
        <v>583</v>
      </c>
      <c r="E3949" s="8">
        <v>0</v>
      </c>
      <c r="F3949" s="8">
        <v>179</v>
      </c>
    </row>
    <row r="3950" spans="1:6" ht="12.75">
      <c r="A3950" s="8">
        <v>43903.37018518518</v>
      </c>
      <c r="B3950" s="8" t="str">
        <f>HYPERLINK("https://twitter.com/mbakyayukk","@mbakyayukk")</f>
        <v>@mbakyayukk</v>
      </c>
      <c r="C3950" s="8" t="s">
        <v>2121</v>
      </c>
      <c r="D3950" s="8">
        <v>0</v>
      </c>
      <c r="E3950" s="8">
        <v>0</v>
      </c>
      <c r="F3950" s="8">
        <v>427</v>
      </c>
    </row>
    <row r="3951" spans="1:6" ht="12.75">
      <c r="A3951" s="8">
        <v>43903.369305555556</v>
      </c>
      <c r="B3951" s="8" t="str">
        <f>HYPERLINK("https://twitter.com/Fakharuddin_INC","@Fakharuddin_INC")</f>
        <v>@Fakharuddin_INC</v>
      </c>
      <c r="C3951" s="8" t="s">
        <v>1195</v>
      </c>
      <c r="D3951" s="8">
        <v>2515</v>
      </c>
      <c r="E3951" s="8">
        <v>0</v>
      </c>
      <c r="F3951" s="8">
        <v>21</v>
      </c>
    </row>
    <row r="3952" spans="1:6" ht="12.75">
      <c r="A3952" s="8">
        <v>43903.368564814809</v>
      </c>
      <c r="B3952" s="8" t="str">
        <f>HYPERLINK("https://twitter.com/pribadiriang","@pribadiriang")</f>
        <v>@pribadiriang</v>
      </c>
      <c r="C3952" s="8" t="s">
        <v>1758</v>
      </c>
      <c r="D3952" s="8">
        <v>106</v>
      </c>
      <c r="E3952" s="8">
        <v>0</v>
      </c>
      <c r="F3952" s="8">
        <v>430</v>
      </c>
    </row>
    <row r="3953" spans="1:6" ht="12.75">
      <c r="A3953" s="8">
        <v>43903.367893518516</v>
      </c>
      <c r="B3953" s="8" t="str">
        <f>HYPERLINK("https://twitter.com/Mujirahadi2","@Mujirahadi2")</f>
        <v>@Mujirahadi2</v>
      </c>
      <c r="C3953" s="8" t="s">
        <v>353</v>
      </c>
      <c r="D3953" s="8">
        <v>37</v>
      </c>
      <c r="E3953" s="8">
        <v>0</v>
      </c>
      <c r="F3953" s="8">
        <v>1789</v>
      </c>
    </row>
    <row r="3954" spans="1:6" ht="12.75">
      <c r="A3954" s="8">
        <v>43903.367303240739</v>
      </c>
      <c r="B3954" s="8" t="str">
        <f>HYPERLINK("https://twitter.com/lebah1906","@lebah1906")</f>
        <v>@lebah1906</v>
      </c>
      <c r="C3954" s="8" t="s">
        <v>353</v>
      </c>
      <c r="D3954" s="8">
        <v>37</v>
      </c>
      <c r="E3954" s="8">
        <v>0</v>
      </c>
      <c r="F3954" s="8">
        <v>185</v>
      </c>
    </row>
    <row r="3955" spans="1:6" ht="12.75">
      <c r="A3955" s="8">
        <v>43903.367303240739</v>
      </c>
      <c r="B3955" s="8" t="str">
        <f>HYPERLINK("https://twitter.com/tdktauakusapa","@tdktauakusapa")</f>
        <v>@tdktauakusapa</v>
      </c>
      <c r="C3955" s="8" t="s">
        <v>2122</v>
      </c>
      <c r="D3955" s="8">
        <v>0</v>
      </c>
      <c r="E3955" s="8">
        <v>0</v>
      </c>
      <c r="F3955" s="8">
        <v>95</v>
      </c>
    </row>
    <row r="3956" spans="1:6" ht="12.75">
      <c r="A3956" s="8">
        <v>43903.3671875</v>
      </c>
      <c r="B3956" s="8" t="str">
        <f>HYPERLINK("https://twitter.com/Shaunrises","@Shaunrises")</f>
        <v>@Shaunrises</v>
      </c>
      <c r="C3956" s="8" t="s">
        <v>2123</v>
      </c>
      <c r="D3956" s="8">
        <v>3</v>
      </c>
      <c r="E3956" s="8">
        <v>0</v>
      </c>
      <c r="F3956" s="8">
        <v>412</v>
      </c>
    </row>
    <row r="3957" spans="1:6" ht="12.75">
      <c r="A3957" s="8">
        <v>43903.366956018523</v>
      </c>
      <c r="B3957" s="8" t="str">
        <f>HYPERLINK("https://twitter.com/Pseudo_silk","@Pseudo_silk")</f>
        <v>@Pseudo_silk</v>
      </c>
      <c r="C3957" s="8" t="s">
        <v>2124</v>
      </c>
      <c r="D3957" s="8">
        <v>0</v>
      </c>
      <c r="E3957" s="8">
        <v>0</v>
      </c>
      <c r="F3957" s="8">
        <v>1264</v>
      </c>
    </row>
    <row r="3958" spans="1:6" ht="12.75">
      <c r="A3958" s="8">
        <v>43903.366840277777</v>
      </c>
      <c r="B3958" s="8" t="str">
        <f>HYPERLINK("https://twitter.com/fwamingo","@fwamingo")</f>
        <v>@fwamingo</v>
      </c>
      <c r="C3958" s="8" t="s">
        <v>2125</v>
      </c>
      <c r="D3958" s="8">
        <v>0</v>
      </c>
      <c r="E3958" s="8">
        <v>0</v>
      </c>
      <c r="F3958" s="8">
        <v>64</v>
      </c>
    </row>
    <row r="3959" spans="1:6" ht="12.75">
      <c r="A3959" s="8">
        <v>43903.366423611107</v>
      </c>
      <c r="B3959" s="8" t="str">
        <f>HYPERLINK("https://twitter.com/Gusde_IBWU","@Gusde_IBWU")</f>
        <v>@Gusde_IBWU</v>
      </c>
      <c r="C3959" s="8" t="s">
        <v>1643</v>
      </c>
      <c r="D3959" s="8">
        <v>129</v>
      </c>
      <c r="E3959" s="8">
        <v>0</v>
      </c>
      <c r="F3959" s="8">
        <v>323</v>
      </c>
    </row>
    <row r="3960" spans="1:6" ht="12.75">
      <c r="A3960" s="8">
        <v>43903.366215277776</v>
      </c>
      <c r="B3960" s="8" t="str">
        <f>HYPERLINK("https://twitter.com/buruhmigran","@buruhmigran")</f>
        <v>@buruhmigran</v>
      </c>
      <c r="C3960" s="8" t="s">
        <v>2126</v>
      </c>
      <c r="D3960" s="8">
        <v>0</v>
      </c>
      <c r="E3960" s="8">
        <v>0</v>
      </c>
      <c r="F3960" s="8">
        <v>176</v>
      </c>
    </row>
    <row r="3961" spans="1:6" ht="12.75">
      <c r="A3961" s="8">
        <v>43903.365729166668</v>
      </c>
      <c r="B3961" s="8" t="str">
        <f>HYPERLINK("https://twitter.com/ISIS_Balik_NO","@ISIS_Balik_NO")</f>
        <v>@ISIS_Balik_NO</v>
      </c>
      <c r="C3961" s="8" t="s">
        <v>2127</v>
      </c>
      <c r="D3961" s="8">
        <v>0</v>
      </c>
      <c r="E3961" s="8">
        <v>1</v>
      </c>
      <c r="F3961" s="8">
        <v>6269</v>
      </c>
    </row>
    <row r="3962" spans="1:6" ht="12.75">
      <c r="A3962" s="8">
        <v>43903.365381944444</v>
      </c>
      <c r="B3962" s="8" t="str">
        <f>HYPERLINK("https://twitter.com/RBagas_Hapsoro","@RBagas_Hapsoro")</f>
        <v>@RBagas_Hapsoro</v>
      </c>
      <c r="C3962" s="8" t="s">
        <v>1400</v>
      </c>
      <c r="D3962" s="8">
        <v>53</v>
      </c>
      <c r="E3962" s="8">
        <v>0</v>
      </c>
      <c r="F3962" s="8">
        <v>58</v>
      </c>
    </row>
    <row r="3963" spans="1:6" ht="12.75">
      <c r="A3963" s="8">
        <v>43903.364768518513</v>
      </c>
      <c r="B3963" s="8" t="str">
        <f>HYPERLINK("https://twitter.com/UnoDenk","@UnoDenk")</f>
        <v>@UnoDenk</v>
      </c>
      <c r="C3963" s="8" t="s">
        <v>2128</v>
      </c>
      <c r="D3963" s="8">
        <v>0</v>
      </c>
      <c r="E3963" s="8">
        <v>0</v>
      </c>
      <c r="F3963" s="8">
        <v>25</v>
      </c>
    </row>
    <row r="3964" spans="1:6" ht="12.75">
      <c r="A3964" s="8">
        <v>43903.364212962959</v>
      </c>
      <c r="B3964" s="8" t="str">
        <f>HYPERLINK("https://twitter.com/ISIS_Balik_NO","@ISIS_Balik_NO")</f>
        <v>@ISIS_Balik_NO</v>
      </c>
      <c r="C3964" s="8" t="s">
        <v>2129</v>
      </c>
      <c r="D3964" s="8">
        <v>1</v>
      </c>
      <c r="E3964" s="8">
        <v>0</v>
      </c>
      <c r="F3964" s="8">
        <v>6269</v>
      </c>
    </row>
    <row r="3965" spans="1:6" ht="12.75">
      <c r="A3965" s="8">
        <v>43903.363912037035</v>
      </c>
      <c r="B3965" s="8" t="str">
        <f>HYPERLINK("https://twitter.com/PatMonem","@PatMonem")</f>
        <v>@PatMonem</v>
      </c>
      <c r="C3965" s="8" t="s">
        <v>2130</v>
      </c>
      <c r="D3965" s="8">
        <v>0</v>
      </c>
      <c r="E3965" s="8">
        <v>0</v>
      </c>
      <c r="F3965" s="8">
        <v>216</v>
      </c>
    </row>
    <row r="3966" spans="1:6" ht="12.75">
      <c r="A3966" s="8">
        <v>43903.363784722227</v>
      </c>
      <c r="B3966" s="8" t="str">
        <f>HYPERLINK("https://twitter.com/xanarcry","@xanarcry")</f>
        <v>@xanarcry</v>
      </c>
      <c r="C3966" s="8" t="s">
        <v>2131</v>
      </c>
      <c r="D3966" s="8">
        <v>0</v>
      </c>
      <c r="E3966" s="8">
        <v>0</v>
      </c>
      <c r="F3966" s="8">
        <v>1728</v>
      </c>
    </row>
    <row r="3967" spans="1:6" ht="12.75">
      <c r="A3967" s="8">
        <v>43903.363726851851</v>
      </c>
      <c r="B3967" s="8" t="str">
        <f>HYPERLINK("https://twitter.com/yuyun_yuchan","@yuyun_yuchan")</f>
        <v>@yuyun_yuchan</v>
      </c>
      <c r="C3967" s="8" t="s">
        <v>1030</v>
      </c>
      <c r="D3967" s="8">
        <v>193</v>
      </c>
      <c r="E3967" s="8">
        <v>0</v>
      </c>
      <c r="F3967" s="8">
        <v>246</v>
      </c>
    </row>
    <row r="3968" spans="1:6" ht="12.75">
      <c r="A3968" s="8">
        <v>43903.363576388889</v>
      </c>
      <c r="B3968" s="8" t="str">
        <f>HYPERLINK("https://twitter.com/bambang_hesti","@bambang_hesti")</f>
        <v>@bambang_hesti</v>
      </c>
      <c r="C3968" s="8" t="s">
        <v>2132</v>
      </c>
      <c r="D3968" s="8">
        <v>0</v>
      </c>
      <c r="E3968" s="8">
        <v>0</v>
      </c>
      <c r="F3968" s="8">
        <v>16</v>
      </c>
    </row>
    <row r="3969" spans="1:6" ht="12.75">
      <c r="A3969" s="8">
        <v>43903.363240740742</v>
      </c>
      <c r="B3969" s="8" t="str">
        <f>HYPERLINK("https://twitter.com/OficialNikko","@OficialNikko")</f>
        <v>@OficialNikko</v>
      </c>
      <c r="C3969" s="8" t="s">
        <v>2133</v>
      </c>
      <c r="D3969" s="8">
        <v>3</v>
      </c>
      <c r="E3969" s="8">
        <v>0</v>
      </c>
      <c r="F3969" s="8">
        <v>301</v>
      </c>
    </row>
    <row r="3970" spans="1:6" ht="12.75">
      <c r="A3970" s="8">
        <v>43903.363078703704</v>
      </c>
      <c r="B3970" s="8" t="str">
        <f>HYPERLINK("https://twitter.com/ISIS_Balik_NO","@ISIS_Balik_NO")</f>
        <v>@ISIS_Balik_NO</v>
      </c>
      <c r="C3970" s="8" t="s">
        <v>2134</v>
      </c>
      <c r="D3970" s="8">
        <v>0</v>
      </c>
      <c r="E3970" s="8">
        <v>0</v>
      </c>
      <c r="F3970" s="8">
        <v>6269</v>
      </c>
    </row>
    <row r="3971" spans="1:6" ht="12.75">
      <c r="A3971" s="8">
        <v>43903.36237268518</v>
      </c>
      <c r="B3971" s="8" t="str">
        <f>HYPERLINK("https://twitter.com/AntonoYana","@AntonoYana")</f>
        <v>@AntonoYana</v>
      </c>
      <c r="C3971" s="8" t="s">
        <v>2135</v>
      </c>
      <c r="D3971" s="8">
        <v>0</v>
      </c>
      <c r="E3971" s="8">
        <v>0</v>
      </c>
      <c r="F3971" s="8">
        <v>36</v>
      </c>
    </row>
    <row r="3972" spans="1:6" ht="12.75">
      <c r="A3972" s="8">
        <v>43903.362256944441</v>
      </c>
      <c r="B3972" s="8" t="str">
        <f>HYPERLINK("https://twitter.com/ISIS_Balik_NO","@ISIS_Balik_NO")</f>
        <v>@ISIS_Balik_NO</v>
      </c>
      <c r="C3972" s="8" t="s">
        <v>2136</v>
      </c>
      <c r="D3972" s="8">
        <v>0</v>
      </c>
      <c r="E3972" s="8">
        <v>0</v>
      </c>
      <c r="F3972" s="8">
        <v>6269</v>
      </c>
    </row>
    <row r="3973" spans="1:6" ht="12.75">
      <c r="A3973" s="8">
        <v>43903.362222222218</v>
      </c>
      <c r="B3973" s="8" t="str">
        <f>HYPERLINK("https://twitter.com/LiiTLLe","@LiiTLLe")</f>
        <v>@LiiTLLe</v>
      </c>
      <c r="C3973" s="8" t="s">
        <v>1195</v>
      </c>
      <c r="D3973" s="8">
        <v>2515</v>
      </c>
      <c r="E3973" s="8">
        <v>0</v>
      </c>
      <c r="F3973" s="8">
        <v>678</v>
      </c>
    </row>
    <row r="3974" spans="1:6" ht="12.75">
      <c r="A3974" s="8">
        <v>43903.361747685187</v>
      </c>
      <c r="B3974" s="8" t="str">
        <f>HYPERLINK("https://twitter.com/kring_pajak","@kring_pajak")</f>
        <v>@kring_pajak</v>
      </c>
      <c r="C3974" s="8" t="s">
        <v>2137</v>
      </c>
      <c r="D3974" s="8">
        <v>0</v>
      </c>
      <c r="E3974" s="8">
        <v>0</v>
      </c>
      <c r="F3974" s="8">
        <v>96906</v>
      </c>
    </row>
    <row r="3975" spans="1:6" ht="12.75">
      <c r="A3975" s="8">
        <v>43903.361562499995</v>
      </c>
      <c r="B3975" s="8" t="str">
        <f>HYPERLINK("https://twitter.com/HANMAS19","@HANMAS19")</f>
        <v>@HANMAS19</v>
      </c>
      <c r="C3975" s="8" t="s">
        <v>2138</v>
      </c>
      <c r="D3975" s="8">
        <v>6</v>
      </c>
      <c r="E3975" s="8">
        <v>0</v>
      </c>
      <c r="F3975" s="8">
        <v>2671</v>
      </c>
    </row>
    <row r="3976" spans="1:6" ht="12.75">
      <c r="A3976" s="8">
        <v>43903.361412037033</v>
      </c>
      <c r="B3976" s="8" t="str">
        <f>HYPERLINK("https://twitter.com/PatMonem","@PatMonem")</f>
        <v>@PatMonem</v>
      </c>
      <c r="C3976" s="8" t="s">
        <v>2139</v>
      </c>
      <c r="D3976" s="8">
        <v>0</v>
      </c>
      <c r="E3976" s="8">
        <v>0</v>
      </c>
      <c r="F3976" s="8">
        <v>216</v>
      </c>
    </row>
    <row r="3977" spans="1:6" ht="12.75">
      <c r="A3977" s="8">
        <v>43903.361296296294</v>
      </c>
      <c r="B3977" s="8" t="str">
        <f>HYPERLINK("https://twitter.com/ISIS_Balik_NO","@ISIS_Balik_NO")</f>
        <v>@ISIS_Balik_NO</v>
      </c>
      <c r="C3977" s="8" t="s">
        <v>2140</v>
      </c>
      <c r="D3977" s="8">
        <v>0</v>
      </c>
      <c r="E3977" s="8">
        <v>0</v>
      </c>
      <c r="F3977" s="8">
        <v>6269</v>
      </c>
    </row>
    <row r="3978" spans="1:6" ht="12.75">
      <c r="A3978" s="8">
        <v>43903.360914351855</v>
      </c>
      <c r="B3978" s="8" t="str">
        <f>HYPERLINK("https://twitter.com/cinnamcnroll","@cinnamcnroll")</f>
        <v>@cinnamcnroll</v>
      </c>
      <c r="C3978" s="8" t="s">
        <v>2141</v>
      </c>
      <c r="D3978" s="8">
        <v>1</v>
      </c>
      <c r="E3978" s="8">
        <v>0</v>
      </c>
      <c r="F3978" s="8">
        <v>971</v>
      </c>
    </row>
    <row r="3979" spans="1:6" ht="12.75">
      <c r="A3979" s="8">
        <v>43903.360439814816</v>
      </c>
      <c r="B3979" s="8" t="str">
        <f>HYPERLINK("https://twitter.com/AntonoYana","@AntonoYana")</f>
        <v>@AntonoYana</v>
      </c>
      <c r="C3979" s="8" t="s">
        <v>2142</v>
      </c>
      <c r="D3979" s="8">
        <v>0</v>
      </c>
      <c r="E3979" s="8">
        <v>0</v>
      </c>
      <c r="F3979" s="8">
        <v>36</v>
      </c>
    </row>
    <row r="3980" spans="1:6" ht="12.75">
      <c r="A3980" s="8">
        <v>43903.360289351855</v>
      </c>
      <c r="B3980" s="8" t="str">
        <f>HYPERLINK("https://twitter.com/Heiser007","@Heiser007")</f>
        <v>@Heiser007</v>
      </c>
      <c r="C3980" s="8" t="s">
        <v>2143</v>
      </c>
      <c r="D3980" s="8">
        <v>1</v>
      </c>
      <c r="E3980" s="8">
        <v>0</v>
      </c>
      <c r="F3980" s="8">
        <v>3</v>
      </c>
    </row>
    <row r="3981" spans="1:6" ht="12.75">
      <c r="A3981" s="8">
        <v>43903.359421296293</v>
      </c>
      <c r="B3981" s="8" t="str">
        <f>HYPERLINK("https://twitter.com/wikusuparno","@wikusuparno")</f>
        <v>@wikusuparno</v>
      </c>
      <c r="C3981" s="8" t="s">
        <v>2144</v>
      </c>
      <c r="D3981" s="8">
        <v>0</v>
      </c>
      <c r="E3981" s="8">
        <v>0</v>
      </c>
      <c r="F3981" s="8">
        <v>35</v>
      </c>
    </row>
    <row r="3982" spans="1:6" ht="12.75">
      <c r="A3982" s="8">
        <v>43903.358912037038</v>
      </c>
      <c r="B3982" s="8" t="str">
        <f>HYPERLINK("https://twitter.com/SutrisnoPradja","@SutrisnoPradja")</f>
        <v>@SutrisnoPradja</v>
      </c>
      <c r="C3982" s="8" t="s">
        <v>289</v>
      </c>
      <c r="D3982" s="8">
        <v>94</v>
      </c>
      <c r="E3982" s="8">
        <v>0</v>
      </c>
      <c r="F3982" s="8">
        <v>312</v>
      </c>
    </row>
    <row r="3983" spans="1:6" ht="12.75">
      <c r="A3983" s="8">
        <v>43903.358414351853</v>
      </c>
      <c r="B3983" s="8" t="str">
        <f>HYPERLINK("https://twitter.com/iwan2701","@iwan2701")</f>
        <v>@iwan2701</v>
      </c>
      <c r="C3983" s="8" t="s">
        <v>353</v>
      </c>
      <c r="D3983" s="8">
        <v>37</v>
      </c>
      <c r="E3983" s="8">
        <v>0</v>
      </c>
      <c r="F3983" s="8">
        <v>261</v>
      </c>
    </row>
    <row r="3984" spans="1:6" ht="12.75">
      <c r="A3984" s="8">
        <v>43903.35659722222</v>
      </c>
      <c r="B3984" s="8" t="str">
        <f>HYPERLINK("https://twitter.com/PratibhaPal14","@PratibhaPal14")</f>
        <v>@PratibhaPal14</v>
      </c>
      <c r="C3984" s="8" t="s">
        <v>1195</v>
      </c>
      <c r="D3984" s="8">
        <v>2515</v>
      </c>
      <c r="E3984" s="8">
        <v>0</v>
      </c>
      <c r="F3984" s="8">
        <v>535</v>
      </c>
    </row>
    <row r="3985" spans="1:6" ht="12.75">
      <c r="A3985" s="8">
        <v>43903.356550925921</v>
      </c>
      <c r="B3985" s="8" t="str">
        <f>HYPERLINK("https://twitter.com/PakDe_nyaFella","@PakDe_nyaFella")</f>
        <v>@PakDe_nyaFella</v>
      </c>
      <c r="C3985" s="8" t="s">
        <v>2145</v>
      </c>
      <c r="D3985" s="8">
        <v>0</v>
      </c>
      <c r="E3985" s="8">
        <v>0</v>
      </c>
      <c r="F3985" s="8">
        <v>329</v>
      </c>
    </row>
    <row r="3986" spans="1:6" ht="12.75">
      <c r="A3986" s="8">
        <v>43903.356215277774</v>
      </c>
      <c r="B3986" s="8" t="str">
        <f>HYPERLINK("https://twitter.com/kartarsainani","@kartarsainani")</f>
        <v>@kartarsainani</v>
      </c>
      <c r="C3986" s="8" t="s">
        <v>1195</v>
      </c>
      <c r="D3986" s="8">
        <v>2515</v>
      </c>
      <c r="E3986" s="8">
        <v>0</v>
      </c>
      <c r="F3986" s="8">
        <v>101</v>
      </c>
    </row>
    <row r="3987" spans="1:6" ht="12.75">
      <c r="A3987" s="8">
        <v>43903.355972222227</v>
      </c>
      <c r="B3987" s="8" t="str">
        <f>HYPERLINK("https://twitter.com/yudhapati88","@yudhapati88")</f>
        <v>@yudhapati88</v>
      </c>
      <c r="C3987" s="8" t="s">
        <v>289</v>
      </c>
      <c r="D3987" s="8">
        <v>94</v>
      </c>
      <c r="E3987" s="8">
        <v>0</v>
      </c>
      <c r="F3987" s="8">
        <v>3480</v>
      </c>
    </row>
    <row r="3988" spans="1:6" ht="12.75">
      <c r="A3988" s="8">
        <v>43903.355752314819</v>
      </c>
      <c r="B3988" s="8" t="str">
        <f>HYPERLINK("https://twitter.com/granatkarat","@granatkarat")</f>
        <v>@granatkarat</v>
      </c>
      <c r="C3988" s="8" t="s">
        <v>2146</v>
      </c>
      <c r="D3988" s="8">
        <v>0</v>
      </c>
      <c r="E3988" s="8">
        <v>0</v>
      </c>
      <c r="F3988" s="8">
        <v>764</v>
      </c>
    </row>
    <row r="3989" spans="1:6" ht="12.75">
      <c r="A3989" s="8">
        <v>43903.355520833335</v>
      </c>
      <c r="B3989" s="8" t="str">
        <f>HYPERLINK("https://twitter.com/teofillin","@teofillin")</f>
        <v>@teofillin</v>
      </c>
      <c r="C3989" s="8" t="s">
        <v>2147</v>
      </c>
      <c r="D3989" s="8">
        <v>0</v>
      </c>
      <c r="E3989" s="8">
        <v>0</v>
      </c>
      <c r="F3989" s="8">
        <v>3150</v>
      </c>
    </row>
    <row r="3990" spans="1:6" ht="12.75">
      <c r="A3990" s="8">
        <v>43903.354756944449</v>
      </c>
      <c r="B3990" s="8" t="str">
        <f>HYPERLINK("https://twitter.com/niluhdevia","@niluhdevia")</f>
        <v>@niluhdevia</v>
      </c>
      <c r="C3990" s="8" t="s">
        <v>353</v>
      </c>
      <c r="D3990" s="8">
        <v>37</v>
      </c>
      <c r="E3990" s="8">
        <v>0</v>
      </c>
      <c r="F3990" s="8">
        <v>1063</v>
      </c>
    </row>
    <row r="3991" spans="1:6" ht="12.75">
      <c r="A3991" s="8">
        <v>43903.354722222226</v>
      </c>
      <c r="B3991" s="8" t="str">
        <f>HYPERLINK("https://twitter.com/roysahadoen","@roysahadoen")</f>
        <v>@roysahadoen</v>
      </c>
      <c r="C3991" s="8" t="s">
        <v>353</v>
      </c>
      <c r="D3991" s="8">
        <v>37</v>
      </c>
      <c r="E3991" s="8">
        <v>0</v>
      </c>
      <c r="F3991" s="8">
        <v>357</v>
      </c>
    </row>
    <row r="3992" spans="1:6" ht="12.75">
      <c r="A3992" s="8">
        <v>43903.352118055554</v>
      </c>
      <c r="B3992" s="8" t="str">
        <f>HYPERLINK("https://twitter.com/vithca","@vithca")</f>
        <v>@vithca</v>
      </c>
      <c r="C3992" s="8" t="s">
        <v>1030</v>
      </c>
      <c r="D3992" s="8">
        <v>193</v>
      </c>
      <c r="E3992" s="8">
        <v>0</v>
      </c>
      <c r="F3992" s="8">
        <v>431</v>
      </c>
    </row>
    <row r="3993" spans="1:6" ht="12.75">
      <c r="A3993" s="8">
        <v>43903.352106481485</v>
      </c>
      <c r="B3993" s="8" t="str">
        <f>HYPERLINK("https://twitter.com/RONCOULTER","@RONCOULTER")</f>
        <v>@RONCOULTER</v>
      </c>
      <c r="C3993" s="8" t="s">
        <v>2148</v>
      </c>
      <c r="D3993" s="8">
        <v>0</v>
      </c>
      <c r="E3993" s="8">
        <v>0</v>
      </c>
      <c r="F3993" s="8">
        <v>790</v>
      </c>
    </row>
    <row r="3994" spans="1:6" ht="12.75">
      <c r="A3994" s="8">
        <v>43903.351597222223</v>
      </c>
      <c r="B3994" s="8" t="str">
        <f>HYPERLINK("https://twitter.com/Think2_Smart","@Think2_Smart")</f>
        <v>@Think2_Smart</v>
      </c>
      <c r="C3994" s="8" t="s">
        <v>2149</v>
      </c>
      <c r="D3994" s="8">
        <v>0</v>
      </c>
      <c r="E3994" s="8">
        <v>0</v>
      </c>
      <c r="F3994" s="8">
        <v>169</v>
      </c>
    </row>
    <row r="3995" spans="1:6" ht="12.75">
      <c r="A3995" s="8">
        <v>43903.351041666669</v>
      </c>
      <c r="B3995" s="8" t="str">
        <f>HYPERLINK("https://twitter.com/KavindraOemar","@KavindraOemar")</f>
        <v>@KavindraOemar</v>
      </c>
      <c r="C3995" s="8" t="s">
        <v>2150</v>
      </c>
      <c r="D3995" s="8">
        <v>0</v>
      </c>
      <c r="E3995" s="8">
        <v>2</v>
      </c>
      <c r="F3995" s="8">
        <v>3746</v>
      </c>
    </row>
    <row r="3996" spans="1:6" ht="12.75">
      <c r="A3996" s="8">
        <v>43903.349340277782</v>
      </c>
      <c r="B3996" s="8" t="str">
        <f>HYPERLINK("https://twitter.com/ocong___","@ocong___")</f>
        <v>@ocong___</v>
      </c>
      <c r="C3996" s="8" t="s">
        <v>2151</v>
      </c>
      <c r="D3996" s="8">
        <v>2</v>
      </c>
      <c r="E3996" s="8">
        <v>0</v>
      </c>
      <c r="F3996" s="8">
        <v>3738</v>
      </c>
    </row>
    <row r="3997" spans="1:6" ht="12.75">
      <c r="A3997" s="8">
        <v>43903.34847222222</v>
      </c>
      <c r="B3997" s="8" t="str">
        <f>HYPERLINK("https://twitter.com/_wni_","@_wni_")</f>
        <v>@_wni_</v>
      </c>
      <c r="C3997" s="8" t="s">
        <v>2152</v>
      </c>
      <c r="D3997" s="8">
        <v>13651</v>
      </c>
      <c r="E3997" s="8">
        <v>0</v>
      </c>
      <c r="F3997" s="8">
        <v>20</v>
      </c>
    </row>
    <row r="3998" spans="1:6" ht="12.75">
      <c r="A3998" s="8">
        <v>43903.348055555558</v>
      </c>
      <c r="B3998" s="8" t="str">
        <f>HYPERLINK("https://twitter.com/tinybee83","@tinybee83")</f>
        <v>@tinybee83</v>
      </c>
      <c r="C3998" s="8" t="s">
        <v>1758</v>
      </c>
      <c r="D3998" s="8">
        <v>106</v>
      </c>
      <c r="E3998" s="8">
        <v>0</v>
      </c>
      <c r="F3998" s="8">
        <v>161</v>
      </c>
    </row>
    <row r="3999" spans="1:6" ht="12.75">
      <c r="A3999" s="8">
        <v>43903.347824074073</v>
      </c>
      <c r="B3999" s="8" t="str">
        <f>HYPERLINK("https://twitter.com/owengerrad88","@owengerrad88")</f>
        <v>@owengerrad88</v>
      </c>
      <c r="C3999" s="8" t="s">
        <v>1919</v>
      </c>
      <c r="D3999" s="8">
        <v>46</v>
      </c>
      <c r="E3999" s="8">
        <v>0</v>
      </c>
      <c r="F3999" s="8">
        <v>319</v>
      </c>
    </row>
    <row r="4000" spans="1:6" ht="12.75">
      <c r="A4000" s="8">
        <v>43903.347303240742</v>
      </c>
      <c r="B4000" s="8" t="str">
        <f>HYPERLINK("https://twitter.com/twittmbakk","@twittmbakk")</f>
        <v>@twittmbakk</v>
      </c>
      <c r="C4000" s="8" t="s">
        <v>1836</v>
      </c>
      <c r="D4000" s="8">
        <v>96</v>
      </c>
      <c r="E4000" s="8">
        <v>0</v>
      </c>
      <c r="F4000" s="8">
        <v>29</v>
      </c>
    </row>
    <row r="4001" spans="1:6" ht="12.75">
      <c r="A4001" s="8">
        <v>43903.347233796296</v>
      </c>
      <c r="B4001" s="8" t="str">
        <f>HYPERLINK("https://twitter.com/biiswarup","@biiswarup")</f>
        <v>@biiswarup</v>
      </c>
      <c r="C4001" s="8" t="s">
        <v>1195</v>
      </c>
      <c r="D4001" s="8">
        <v>2515</v>
      </c>
      <c r="E4001" s="8">
        <v>0</v>
      </c>
      <c r="F4001" s="8">
        <v>99</v>
      </c>
    </row>
    <row r="4002" spans="1:6" ht="12.75">
      <c r="A4002" s="8">
        <v>43903.347025462965</v>
      </c>
      <c r="B4002" s="8" t="str">
        <f>HYPERLINK("https://twitter.com/eziapia","@eziapia")</f>
        <v>@eziapia</v>
      </c>
      <c r="C4002" s="8" t="s">
        <v>289</v>
      </c>
      <c r="D4002" s="8">
        <v>94</v>
      </c>
      <c r="E4002" s="8">
        <v>0</v>
      </c>
      <c r="F4002" s="8">
        <v>85</v>
      </c>
    </row>
    <row r="4003" spans="1:6" ht="12.75">
      <c r="A4003" s="8">
        <v>43903.346875000003</v>
      </c>
      <c r="B4003" s="8" t="str">
        <f>HYPERLINK("https://twitter.com/bangkitriambada","@bangkitriambada")</f>
        <v>@bangkitriambada</v>
      </c>
      <c r="C4003" s="8" t="s">
        <v>2153</v>
      </c>
      <c r="D4003" s="8">
        <v>3</v>
      </c>
      <c r="E4003" s="8">
        <v>0</v>
      </c>
      <c r="F4003" s="8">
        <v>208</v>
      </c>
    </row>
    <row r="4004" spans="1:6" ht="12.75">
      <c r="A4004" s="8">
        <v>43903.346226851849</v>
      </c>
      <c r="B4004" s="8" t="str">
        <f>HYPERLINK("https://twitter.com/nanangswh","@nanangswh")</f>
        <v>@nanangswh</v>
      </c>
      <c r="C4004" s="8" t="s">
        <v>1801</v>
      </c>
      <c r="D4004" s="8">
        <v>358</v>
      </c>
      <c r="E4004" s="8">
        <v>0</v>
      </c>
      <c r="F4004" s="8">
        <v>11</v>
      </c>
    </row>
    <row r="4005" spans="1:6" ht="12.75">
      <c r="A4005" s="8">
        <v>43903.346168981487</v>
      </c>
      <c r="B4005" s="8" t="str">
        <f>HYPERLINK("https://twitter.com/_Henz14","@_Henz14")</f>
        <v>@_Henz14</v>
      </c>
      <c r="C4005" s="8" t="s">
        <v>2154</v>
      </c>
      <c r="D4005" s="8">
        <v>0</v>
      </c>
      <c r="E4005" s="8">
        <v>1</v>
      </c>
      <c r="F4005" s="8">
        <v>471</v>
      </c>
    </row>
    <row r="4006" spans="1:6" ht="12.75">
      <c r="A4006" s="8">
        <v>43903.345613425925</v>
      </c>
      <c r="B4006" s="8" t="str">
        <f>HYPERLINK("https://twitter.com/wlndrth","@wlndrth")</f>
        <v>@wlndrth</v>
      </c>
      <c r="C4006" s="8" t="s">
        <v>1030</v>
      </c>
      <c r="D4006" s="8">
        <v>193</v>
      </c>
      <c r="E4006" s="8">
        <v>0</v>
      </c>
      <c r="F4006" s="8">
        <v>1226</v>
      </c>
    </row>
    <row r="4007" spans="1:6" ht="12.75">
      <c r="A4007" s="8">
        <v>43903.344826388886</v>
      </c>
      <c r="B4007" s="8" t="str">
        <f>HYPERLINK("https://twitter.com/Ferry13602224","@Ferry13602224")</f>
        <v>@Ferry13602224</v>
      </c>
      <c r="C4007" s="8" t="s">
        <v>1836</v>
      </c>
      <c r="D4007" s="8">
        <v>96</v>
      </c>
      <c r="E4007" s="8">
        <v>0</v>
      </c>
      <c r="F4007" s="8">
        <v>407</v>
      </c>
    </row>
    <row r="4008" spans="1:6" ht="12.75">
      <c r="A4008" s="8">
        <v>43903.339282407411</v>
      </c>
      <c r="B4008" s="8" t="str">
        <f>HYPERLINK("https://twitter.com/YugoJokoLelono6","@YugoJokoLelono6")</f>
        <v>@YugoJokoLelono6</v>
      </c>
      <c r="C4008" s="8" t="s">
        <v>2155</v>
      </c>
      <c r="D4008" s="8">
        <v>0</v>
      </c>
      <c r="E4008" s="8">
        <v>0</v>
      </c>
      <c r="F4008" s="8">
        <v>1</v>
      </c>
    </row>
    <row r="4009" spans="1:6" ht="12.75">
      <c r="A4009" s="8">
        <v>43903.337719907402</v>
      </c>
      <c r="B4009" s="8" t="str">
        <f>HYPERLINK("https://twitter.com/lintangtingtung","@lintangtingtung")</f>
        <v>@lintangtingtung</v>
      </c>
      <c r="C4009" s="8" t="s">
        <v>2153</v>
      </c>
      <c r="D4009" s="8">
        <v>2</v>
      </c>
      <c r="E4009" s="8">
        <v>0</v>
      </c>
      <c r="F4009" s="8">
        <v>335</v>
      </c>
    </row>
    <row r="4010" spans="1:6" ht="12.75">
      <c r="A4010" s="8">
        <v>43903.337708333333</v>
      </c>
      <c r="B4010" s="8" t="str">
        <f>HYPERLINK("https://twitter.com/TorangPSi","@TorangPSi")</f>
        <v>@TorangPSi</v>
      </c>
      <c r="C4010" s="8" t="s">
        <v>2156</v>
      </c>
      <c r="D4010" s="8">
        <v>0</v>
      </c>
      <c r="E4010" s="8">
        <v>0</v>
      </c>
      <c r="F4010" s="8">
        <v>265</v>
      </c>
    </row>
    <row r="4011" spans="1:6" ht="12.75">
      <c r="A4011" s="8">
        <v>43903.337500000001</v>
      </c>
      <c r="B4011" s="8" t="str">
        <f>HYPERLINK("https://twitter.com/Brunowicaksono","@Brunowicaksono")</f>
        <v>@Brunowicaksono</v>
      </c>
      <c r="C4011" s="8" t="s">
        <v>353</v>
      </c>
      <c r="D4011" s="8">
        <v>27</v>
      </c>
      <c r="E4011" s="8">
        <v>0</v>
      </c>
      <c r="F4011" s="8">
        <v>1797</v>
      </c>
    </row>
    <row r="4012" spans="1:6" ht="12.75">
      <c r="A4012" s="8">
        <v>43903.337465277778</v>
      </c>
      <c r="B4012" s="8" t="str">
        <f>HYPERLINK("https://twitter.com/cadarmerah","@cadarmerah")</f>
        <v>@cadarmerah</v>
      </c>
      <c r="C4012" s="8" t="s">
        <v>2133</v>
      </c>
      <c r="D4012" s="8">
        <v>1</v>
      </c>
      <c r="E4012" s="8">
        <v>0</v>
      </c>
      <c r="F4012" s="8">
        <v>5665</v>
      </c>
    </row>
    <row r="4013" spans="1:6" ht="12.75">
      <c r="A4013" s="8">
        <v>43903.337418981479</v>
      </c>
      <c r="B4013" s="8" t="str">
        <f>HYPERLINK("https://twitter.com/bangSyahrir","@bangSyahrir")</f>
        <v>@bangSyahrir</v>
      </c>
      <c r="C4013" s="8" t="s">
        <v>2157</v>
      </c>
      <c r="D4013" s="8">
        <v>0</v>
      </c>
      <c r="E4013" s="8">
        <v>0</v>
      </c>
      <c r="F4013" s="8">
        <v>11</v>
      </c>
    </row>
    <row r="4014" spans="1:6" ht="12.75">
      <c r="A4014" s="8">
        <v>43903.33694444444</v>
      </c>
      <c r="B4014" s="8" t="str">
        <f>HYPERLINK("https://twitter.com/danank_huda","@danank_huda")</f>
        <v>@danank_huda</v>
      </c>
      <c r="C4014" s="8" t="s">
        <v>165</v>
      </c>
      <c r="D4014" s="8">
        <v>130</v>
      </c>
      <c r="E4014" s="8">
        <v>0</v>
      </c>
      <c r="F4014" s="8">
        <v>598</v>
      </c>
    </row>
    <row r="4015" spans="1:6" ht="12.75">
      <c r="A4015" s="8">
        <v>43903.336782407408</v>
      </c>
      <c r="B4015" s="8" t="str">
        <f>HYPERLINK("https://twitter.com/arsensjuventini","@arsensjuventini")</f>
        <v>@arsensjuventini</v>
      </c>
      <c r="C4015" s="8" t="s">
        <v>2158</v>
      </c>
      <c r="D4015" s="8">
        <v>1</v>
      </c>
      <c r="E4015" s="8">
        <v>0</v>
      </c>
      <c r="F4015" s="8">
        <v>2229</v>
      </c>
    </row>
    <row r="4016" spans="1:6" ht="12.75">
      <c r="A4016" s="8">
        <v>43903.336608796293</v>
      </c>
      <c r="B4016" s="8" t="str">
        <f>HYPERLINK("https://twitter.com/jisuish","@jisuish")</f>
        <v>@jisuish</v>
      </c>
      <c r="C4016" s="8" t="s">
        <v>2153</v>
      </c>
      <c r="D4016" s="8">
        <v>2</v>
      </c>
      <c r="E4016" s="8">
        <v>0</v>
      </c>
      <c r="F4016" s="8">
        <v>1255</v>
      </c>
    </row>
    <row r="4017" spans="1:6" ht="12.75">
      <c r="A4017" s="8">
        <v>43903.33625</v>
      </c>
      <c r="B4017" s="8" t="str">
        <f>HYPERLINK("https://twitter.com/agama_nusantara","@agama_nusantara")</f>
        <v>@agama_nusantara</v>
      </c>
      <c r="C4017" s="8" t="s">
        <v>2159</v>
      </c>
      <c r="D4017" s="8">
        <v>1</v>
      </c>
      <c r="E4017" s="8">
        <v>1</v>
      </c>
      <c r="F4017" s="8">
        <v>7518</v>
      </c>
    </row>
    <row r="4018" spans="1:6" ht="12.75">
      <c r="A4018" s="8">
        <v>43903.336192129631</v>
      </c>
      <c r="B4018" s="8" t="str">
        <f>HYPERLINK("https://twitter.com/Manishcongress","@Manishcongress")</f>
        <v>@Manishcongress</v>
      </c>
      <c r="C4018" s="8" t="s">
        <v>1917</v>
      </c>
      <c r="D4018" s="8">
        <v>1539</v>
      </c>
      <c r="E4018" s="8">
        <v>0</v>
      </c>
      <c r="F4018" s="8">
        <v>78</v>
      </c>
    </row>
    <row r="4019" spans="1:6" ht="12.75">
      <c r="A4019" s="8">
        <v>43903.336145833338</v>
      </c>
      <c r="B4019" s="8" t="str">
        <f>HYPERLINK("https://twitter.com/cermati_ID","@cermati_ID")</f>
        <v>@cermati_ID</v>
      </c>
      <c r="C4019" s="8" t="s">
        <v>2160</v>
      </c>
      <c r="D4019" s="8">
        <v>0</v>
      </c>
      <c r="E4019" s="8">
        <v>0</v>
      </c>
      <c r="F4019" s="8">
        <v>2471</v>
      </c>
    </row>
    <row r="4020" spans="1:6" ht="12.75">
      <c r="A4020" s="8">
        <v>43903.335590277777</v>
      </c>
      <c r="B4020" s="8" t="str">
        <f>HYPERLINK("https://twitter.com/heniunique","@heniunique")</f>
        <v>@heniunique</v>
      </c>
      <c r="C4020" s="8" t="s">
        <v>353</v>
      </c>
      <c r="D4020" s="8">
        <v>27</v>
      </c>
      <c r="E4020" s="8">
        <v>0</v>
      </c>
      <c r="F4020" s="8">
        <v>10055</v>
      </c>
    </row>
    <row r="4021" spans="1:6" ht="12.75">
      <c r="A4021" s="8">
        <v>43903.334918981476</v>
      </c>
      <c r="B4021" s="8" t="str">
        <f>HYPERLINK("https://twitter.com/iinrins","@iinrins")</f>
        <v>@iinrins</v>
      </c>
      <c r="C4021" s="8" t="s">
        <v>2161</v>
      </c>
      <c r="D4021" s="8">
        <v>0</v>
      </c>
      <c r="E4021" s="8">
        <v>0</v>
      </c>
      <c r="F4021" s="8">
        <v>507</v>
      </c>
    </row>
    <row r="4022" spans="1:6" ht="12.75">
      <c r="A4022" s="8">
        <v>43903.334062499998</v>
      </c>
      <c r="B4022" s="8" t="str">
        <f>HYPERLINK("https://twitter.com/tjamat","@tjamat")</f>
        <v>@tjamat</v>
      </c>
      <c r="C4022" s="8" t="s">
        <v>2162</v>
      </c>
      <c r="D4022" s="8">
        <v>0</v>
      </c>
      <c r="E4022" s="8">
        <v>0</v>
      </c>
      <c r="F4022" s="8">
        <v>411</v>
      </c>
    </row>
    <row r="4023" spans="1:6" ht="12.75">
      <c r="A4023" s="8">
        <v>43903.33357638889</v>
      </c>
      <c r="B4023" s="8" t="str">
        <f>HYPERLINK("https://twitter.com/lukisaepul","@lukisaepul")</f>
        <v>@lukisaepul</v>
      </c>
      <c r="C4023" s="8" t="s">
        <v>2163</v>
      </c>
      <c r="D4023" s="8">
        <v>11</v>
      </c>
      <c r="E4023" s="8">
        <v>0</v>
      </c>
      <c r="F4023" s="8">
        <v>793</v>
      </c>
    </row>
    <row r="4024" spans="1:6" ht="12.75">
      <c r="A4024" s="8">
        <v>43903.333333333328</v>
      </c>
      <c r="B4024" s="8" t="str">
        <f>HYPERLINK("https://twitter.com/anatoemon","@anatoemon")</f>
        <v>@anatoemon</v>
      </c>
      <c r="C4024" s="8" t="s">
        <v>2002</v>
      </c>
      <c r="D4024" s="8">
        <v>0</v>
      </c>
      <c r="E4024" s="8">
        <v>0</v>
      </c>
      <c r="F4024" s="8">
        <v>659</v>
      </c>
    </row>
    <row r="4025" spans="1:6" ht="12.75">
      <c r="A4025" s="8">
        <v>43903.33258101852</v>
      </c>
      <c r="B4025" s="8" t="str">
        <f>HYPERLINK("https://twitter.com/jarwo16","@jarwo16")</f>
        <v>@jarwo16</v>
      </c>
      <c r="C4025" s="8" t="s">
        <v>2051</v>
      </c>
      <c r="D4025" s="8">
        <v>166</v>
      </c>
      <c r="E4025" s="8">
        <v>0</v>
      </c>
      <c r="F4025" s="8">
        <v>899</v>
      </c>
    </row>
    <row r="4026" spans="1:6" ht="12.75">
      <c r="A4026" s="8">
        <v>43903.331828703704</v>
      </c>
      <c r="B4026" s="8" t="str">
        <f>HYPERLINK("https://twitter.com/CountryFirst02","@CountryFirst02")</f>
        <v>@CountryFirst02</v>
      </c>
      <c r="C4026" s="8" t="s">
        <v>1195</v>
      </c>
      <c r="D4026" s="8">
        <v>2494</v>
      </c>
      <c r="E4026" s="8">
        <v>0</v>
      </c>
      <c r="F4026" s="8">
        <v>468</v>
      </c>
    </row>
    <row r="4027" spans="1:6" ht="12.75">
      <c r="A4027" s="8">
        <v>43903.330995370372</v>
      </c>
      <c r="B4027" s="8" t="str">
        <f>HYPERLINK("https://twitter.com/mitravarun2","@mitravarun2")</f>
        <v>@mitravarun2</v>
      </c>
      <c r="C4027" s="8" t="s">
        <v>1195</v>
      </c>
      <c r="D4027" s="8">
        <v>2494</v>
      </c>
      <c r="E4027" s="8">
        <v>0</v>
      </c>
      <c r="F4027" s="8">
        <v>632</v>
      </c>
    </row>
    <row r="4028" spans="1:6" ht="12.75">
      <c r="A4028" s="8">
        <v>43903.330868055556</v>
      </c>
      <c r="B4028" s="8" t="str">
        <f>HYPERLINK("https://twitter.com/cnbcindonesia","@cnbcindonesia")</f>
        <v>@cnbcindonesia</v>
      </c>
      <c r="C4028" s="8" t="s">
        <v>2164</v>
      </c>
      <c r="D4028" s="8">
        <v>2</v>
      </c>
      <c r="E4028" s="8">
        <v>0</v>
      </c>
      <c r="F4028" s="8">
        <v>32094</v>
      </c>
    </row>
    <row r="4029" spans="1:6" ht="12.75">
      <c r="A4029" s="8">
        <v>43903.330196759256</v>
      </c>
      <c r="B4029" s="8" t="str">
        <f>HYPERLINK("https://twitter.com/tibetibetibe1","@tibetibetibe1")</f>
        <v>@tibetibetibe1</v>
      </c>
      <c r="C4029" s="8" t="s">
        <v>1836</v>
      </c>
      <c r="D4029" s="8">
        <v>92</v>
      </c>
      <c r="E4029" s="8">
        <v>0</v>
      </c>
      <c r="F4029" s="8">
        <v>9</v>
      </c>
    </row>
    <row r="4030" spans="1:6" ht="12.75">
      <c r="A4030" s="8">
        <v>43903.33017361111</v>
      </c>
      <c r="B4030" s="8" t="str">
        <f>HYPERLINK("https://twitter.com/UrubingDilah","@UrubingDilah")</f>
        <v>@UrubingDilah</v>
      </c>
      <c r="C4030" s="8" t="s">
        <v>2165</v>
      </c>
      <c r="D4030" s="8">
        <v>12</v>
      </c>
      <c r="E4030" s="8">
        <v>0</v>
      </c>
      <c r="F4030" s="8">
        <v>1379</v>
      </c>
    </row>
    <row r="4031" spans="1:6" ht="12.75">
      <c r="A4031" s="8">
        <v>43903.32949074074</v>
      </c>
      <c r="B4031" s="8" t="str">
        <f>HYPERLINK("https://twitter.com/AhmadMu61279394","@AhmadMu61279394")</f>
        <v>@AhmadMu61279394</v>
      </c>
      <c r="C4031" s="8" t="s">
        <v>1758</v>
      </c>
      <c r="D4031" s="8">
        <v>103</v>
      </c>
      <c r="E4031" s="8">
        <v>0</v>
      </c>
      <c r="F4031" s="8">
        <v>10</v>
      </c>
    </row>
    <row r="4032" spans="1:6" ht="12.75">
      <c r="A4032" s="8">
        <v>43903.329363425924</v>
      </c>
      <c r="B4032" s="8" t="str">
        <f>HYPERLINK("https://twitter.com/lebihtidak","@lebihtidak")</f>
        <v>@lebihtidak</v>
      </c>
      <c r="C4032" s="8" t="s">
        <v>1488</v>
      </c>
      <c r="D4032" s="8">
        <v>9</v>
      </c>
      <c r="E4032" s="8">
        <v>0</v>
      </c>
      <c r="F4032" s="8">
        <v>226</v>
      </c>
    </row>
    <row r="4033" spans="1:6" ht="12.75">
      <c r="A4033" s="8">
        <v>43903.329097222224</v>
      </c>
      <c r="B4033" s="8" t="str">
        <f>HYPERLINK("https://twitter.com/dim0716demak","@dim0716demak")</f>
        <v>@dim0716demak</v>
      </c>
      <c r="C4033" s="8" t="s">
        <v>2166</v>
      </c>
      <c r="D4033" s="8">
        <v>0</v>
      </c>
      <c r="E4033" s="8">
        <v>0</v>
      </c>
      <c r="F4033" s="8">
        <v>1213</v>
      </c>
    </row>
    <row r="4034" spans="1:6" ht="12.75">
      <c r="A4034" s="8">
        <v>43903.328935185185</v>
      </c>
      <c r="B4034" s="8" t="str">
        <f>HYPERLINK("https://twitter.com/juned_zeid","@juned_zeid")</f>
        <v>@juned_zeid</v>
      </c>
      <c r="C4034" s="8" t="s">
        <v>353</v>
      </c>
      <c r="D4034" s="8">
        <v>27</v>
      </c>
      <c r="E4034" s="8">
        <v>0</v>
      </c>
      <c r="F4034" s="8">
        <v>99</v>
      </c>
    </row>
    <row r="4035" spans="1:6" ht="12.75">
      <c r="A4035" s="8">
        <v>43903.328877314816</v>
      </c>
      <c r="B4035" s="8" t="str">
        <f>HYPERLINK("https://twitter.com/dim0716demak","@dim0716demak")</f>
        <v>@dim0716demak</v>
      </c>
      <c r="C4035" s="8" t="s">
        <v>2167</v>
      </c>
      <c r="D4035" s="8">
        <v>0</v>
      </c>
      <c r="E4035" s="8">
        <v>0</v>
      </c>
      <c r="F4035" s="8">
        <v>1213</v>
      </c>
    </row>
    <row r="4036" spans="1:6" ht="12.75">
      <c r="A4036" s="8">
        <v>43903.328611111108</v>
      </c>
      <c r="B4036" s="8" t="str">
        <f>HYPERLINK("https://twitter.com/SbBansal86","@SbBansal86")</f>
        <v>@SbBansal86</v>
      </c>
      <c r="C4036" s="8" t="s">
        <v>1195</v>
      </c>
      <c r="D4036" s="8">
        <v>2494</v>
      </c>
      <c r="E4036" s="8">
        <v>0</v>
      </c>
      <c r="F4036" s="8">
        <v>554</v>
      </c>
    </row>
    <row r="4037" spans="1:6" ht="12.75">
      <c r="A4037" s="8">
        <v>43903.328472222223</v>
      </c>
      <c r="B4037" s="8" t="str">
        <f>HYPERLINK("https://twitter.com/dim0716demak","@dim0716demak")</f>
        <v>@dim0716demak</v>
      </c>
      <c r="C4037" s="8" t="s">
        <v>2168</v>
      </c>
      <c r="D4037" s="8">
        <v>0</v>
      </c>
      <c r="E4037" s="8">
        <v>0</v>
      </c>
      <c r="F4037" s="8">
        <v>1213</v>
      </c>
    </row>
    <row r="4038" spans="1:6" ht="12.75">
      <c r="A4038" s="8">
        <v>43903.327384259261</v>
      </c>
      <c r="B4038" s="8" t="str">
        <f>HYPERLINK("https://twitter.com/nekogitan","@nekogitan")</f>
        <v>@nekogitan</v>
      </c>
      <c r="C4038" s="8" t="s">
        <v>440</v>
      </c>
      <c r="D4038" s="8">
        <v>149</v>
      </c>
      <c r="E4038" s="8">
        <v>0</v>
      </c>
      <c r="F4038" s="8">
        <v>150</v>
      </c>
    </row>
    <row r="4039" spans="1:6" ht="12.75">
      <c r="A4039" s="8">
        <v>43903.326886574076</v>
      </c>
      <c r="B4039" s="8" t="str">
        <f>HYPERLINK("https://twitter.com/SoniMsi07","@SoniMsi07")</f>
        <v>@SoniMsi07</v>
      </c>
      <c r="C4039" s="8" t="s">
        <v>353</v>
      </c>
      <c r="D4039" s="8">
        <v>27</v>
      </c>
      <c r="E4039" s="8">
        <v>0</v>
      </c>
      <c r="F4039" s="8">
        <v>251</v>
      </c>
    </row>
    <row r="4040" spans="1:6" ht="12.75">
      <c r="A4040" s="8">
        <v>43903.326192129629</v>
      </c>
      <c r="B4040" s="8" t="str">
        <f>HYPERLINK("https://twitter.com/esjeruktehpanas","@esjeruktehpanas")</f>
        <v>@esjeruktehpanas</v>
      </c>
      <c r="C4040" s="8" t="s">
        <v>1030</v>
      </c>
      <c r="D4040" s="8">
        <v>189</v>
      </c>
      <c r="E4040" s="8">
        <v>0</v>
      </c>
      <c r="F4040" s="8">
        <v>165</v>
      </c>
    </row>
    <row r="4041" spans="1:6" ht="12.75">
      <c r="A4041" s="8">
        <v>43903.325902777782</v>
      </c>
      <c r="B4041" s="8" t="str">
        <f>HYPERLINK("https://twitter.com/putrimarsellina","@putrimarsellina")</f>
        <v>@putrimarsellina</v>
      </c>
      <c r="C4041" s="8" t="s">
        <v>2165</v>
      </c>
      <c r="D4041" s="8">
        <v>12</v>
      </c>
      <c r="E4041" s="8">
        <v>0</v>
      </c>
      <c r="F4041" s="8">
        <v>461</v>
      </c>
    </row>
    <row r="4042" spans="1:6" ht="12.75">
      <c r="A4042" s="8">
        <v>43903.325717592597</v>
      </c>
      <c r="B4042" s="8" t="str">
        <f>HYPERLINK("https://twitter.com/clarinetwoman2","@clarinetwoman2")</f>
        <v>@clarinetwoman2</v>
      </c>
      <c r="C4042" s="8" t="s">
        <v>302</v>
      </c>
      <c r="D4042" s="8">
        <v>6</v>
      </c>
      <c r="E4042" s="8">
        <v>0</v>
      </c>
      <c r="F4042" s="8">
        <v>2616</v>
      </c>
    </row>
    <row r="4043" spans="1:6" ht="12.75">
      <c r="A4043" s="8">
        <v>43903.325590277775</v>
      </c>
      <c r="B4043" s="8" t="str">
        <f>HYPERLINK("https://twitter.com/aishawidodo","@aishawidodo")</f>
        <v>@aishawidodo</v>
      </c>
      <c r="C4043" s="8" t="s">
        <v>1758</v>
      </c>
      <c r="D4043" s="8">
        <v>103</v>
      </c>
      <c r="E4043" s="8">
        <v>0</v>
      </c>
      <c r="F4043" s="8">
        <v>387</v>
      </c>
    </row>
    <row r="4044" spans="1:6" ht="12.75">
      <c r="A4044" s="8">
        <v>43903.325416666667</v>
      </c>
      <c r="B4044" s="8" t="str">
        <f>HYPERLINK("https://twitter.com/DEEPAKRAJAK111","@DEEPAKRAJAK111")</f>
        <v>@DEEPAKRAJAK111</v>
      </c>
      <c r="C4044" s="8" t="s">
        <v>1195</v>
      </c>
      <c r="D4044" s="8">
        <v>2494</v>
      </c>
      <c r="E4044" s="8">
        <v>0</v>
      </c>
      <c r="F4044" s="8">
        <v>146</v>
      </c>
    </row>
    <row r="4045" spans="1:6" ht="12.75">
      <c r="A4045" s="8">
        <v>43903.325138888889</v>
      </c>
      <c r="B4045" s="8" t="str">
        <f>HYPERLINK("https://twitter.com/YCH7168","@YCH7168")</f>
        <v>@YCH7168</v>
      </c>
      <c r="C4045" s="8" t="s">
        <v>2169</v>
      </c>
      <c r="D4045" s="8">
        <v>1</v>
      </c>
      <c r="E4045" s="8">
        <v>0</v>
      </c>
      <c r="F4045" s="8">
        <v>7605</v>
      </c>
    </row>
    <row r="4046" spans="1:6" ht="12.75">
      <c r="A4046" s="8">
        <v>43903.324513888889</v>
      </c>
      <c r="B4046" s="8" t="str">
        <f>HYPERLINK("https://twitter.com/pongkyagung","@pongkyagung")</f>
        <v>@pongkyagung</v>
      </c>
      <c r="C4046" s="8" t="s">
        <v>1919</v>
      </c>
      <c r="D4046" s="8">
        <v>44</v>
      </c>
      <c r="E4046" s="8">
        <v>0</v>
      </c>
      <c r="F4046" s="8">
        <v>450</v>
      </c>
    </row>
    <row r="4047" spans="1:6" ht="12.75">
      <c r="A4047" s="8">
        <v>43903.323321759264</v>
      </c>
      <c r="B4047" s="8" t="str">
        <f>HYPERLINK("https://twitter.com/ruthdamayannti","@ruthdamayannti")</f>
        <v>@ruthdamayannti</v>
      </c>
      <c r="C4047" s="8" t="s">
        <v>2170</v>
      </c>
      <c r="D4047" s="8">
        <v>0</v>
      </c>
      <c r="E4047" s="8">
        <v>0</v>
      </c>
      <c r="F4047" s="8">
        <v>818</v>
      </c>
    </row>
    <row r="4048" spans="1:6" ht="12.75">
      <c r="A4048" s="8">
        <v>43903.32298611111</v>
      </c>
      <c r="B4048" s="8" t="str">
        <f>HYPERLINK("https://twitter.com/nofearcareup","@nofearcareup")</f>
        <v>@nofearcareup</v>
      </c>
      <c r="C4048" s="8" t="s">
        <v>353</v>
      </c>
      <c r="D4048" s="8">
        <v>27</v>
      </c>
      <c r="E4048" s="8">
        <v>0</v>
      </c>
      <c r="F4048" s="8">
        <v>318</v>
      </c>
    </row>
    <row r="4049" spans="1:6" ht="12.75">
      <c r="A4049" s="8">
        <v>43903.322245370371</v>
      </c>
      <c r="B4049" s="8" t="str">
        <f>HYPERLINK("https://twitter.com/arif_adinegoro","@arif_adinegoro")</f>
        <v>@arif_adinegoro</v>
      </c>
      <c r="C4049" s="8" t="s">
        <v>353</v>
      </c>
      <c r="D4049" s="8">
        <v>27</v>
      </c>
      <c r="E4049" s="8">
        <v>0</v>
      </c>
      <c r="F4049" s="8">
        <v>1395</v>
      </c>
    </row>
    <row r="4050" spans="1:6" ht="12.75">
      <c r="A4050" s="8">
        <v>43903.322210648148</v>
      </c>
      <c r="B4050" s="8" t="str">
        <f>HYPERLINK("https://twitter.com/vareastic","@vareastic")</f>
        <v>@vareastic</v>
      </c>
      <c r="C4050" s="8" t="s">
        <v>2171</v>
      </c>
      <c r="D4050" s="8">
        <v>4</v>
      </c>
      <c r="E4050" s="8">
        <v>0</v>
      </c>
      <c r="F4050" s="8">
        <v>690</v>
      </c>
    </row>
    <row r="4051" spans="1:6" ht="12.75">
      <c r="A4051" s="8">
        <v>43903.322025462963</v>
      </c>
      <c r="B4051" s="8" t="str">
        <f>HYPERLINK("https://twitter.com/5adja","@5adja")</f>
        <v>@5adja</v>
      </c>
      <c r="C4051" s="8" t="s">
        <v>2172</v>
      </c>
      <c r="D4051" s="8">
        <v>0</v>
      </c>
      <c r="E4051" s="8">
        <v>0</v>
      </c>
      <c r="F4051" s="8">
        <v>40053</v>
      </c>
    </row>
    <row r="4052" spans="1:6" ht="12.75">
      <c r="A4052" s="8">
        <v>43903.322013888886</v>
      </c>
      <c r="B4052" s="8" t="str">
        <f>HYPERLINK("https://twitter.com/rude9nnie","@rude9nnie")</f>
        <v>@rude9nnie</v>
      </c>
      <c r="C4052" s="8" t="s">
        <v>2173</v>
      </c>
      <c r="D4052" s="8">
        <v>0</v>
      </c>
      <c r="E4052" s="8">
        <v>0</v>
      </c>
      <c r="F4052" s="8">
        <v>168</v>
      </c>
    </row>
    <row r="4053" spans="1:6" ht="12.75">
      <c r="A4053" s="8">
        <v>43903.320393518516</v>
      </c>
      <c r="B4053" s="8" t="str">
        <f>HYPERLINK("https://twitter.com/sigit2930","@sigit2930")</f>
        <v>@sigit2930</v>
      </c>
      <c r="C4053" s="8" t="s">
        <v>1030</v>
      </c>
      <c r="D4053" s="8">
        <v>189</v>
      </c>
      <c r="E4053" s="8">
        <v>0</v>
      </c>
      <c r="F4053" s="8">
        <v>5</v>
      </c>
    </row>
    <row r="4054" spans="1:6" ht="12.75">
      <c r="A4054" s="8">
        <v>43903.320243055554</v>
      </c>
      <c r="B4054" s="8" t="str">
        <f>HYPERLINK("https://twitter.com/Greydoski","@Greydoski")</f>
        <v>@Greydoski</v>
      </c>
      <c r="C4054" s="8" t="s">
        <v>2174</v>
      </c>
      <c r="D4054" s="8">
        <v>0</v>
      </c>
      <c r="E4054" s="8">
        <v>0</v>
      </c>
      <c r="F4054" s="8">
        <v>3332</v>
      </c>
    </row>
    <row r="4055" spans="1:6" ht="12.75">
      <c r="A4055" s="8">
        <v>43903.319432870368</v>
      </c>
      <c r="B4055" s="8" t="str">
        <f>HYPERLINK("https://twitter.com/arjunasolo","@arjunasolo")</f>
        <v>@arjunasolo</v>
      </c>
      <c r="C4055" s="8" t="s">
        <v>1030</v>
      </c>
      <c r="D4055" s="8">
        <v>189</v>
      </c>
      <c r="E4055" s="8">
        <v>0</v>
      </c>
      <c r="F4055" s="8">
        <v>85</v>
      </c>
    </row>
    <row r="4056" spans="1:6" ht="12.75">
      <c r="A4056" s="8">
        <v>43903.318784722222</v>
      </c>
      <c r="B4056" s="8" t="str">
        <f>HYPERLINK("https://twitter.com/oak_math_lee_91","@oak_math_lee_91")</f>
        <v>@oak_math_lee_91</v>
      </c>
      <c r="C4056" s="8" t="s">
        <v>2175</v>
      </c>
      <c r="D4056" s="8">
        <v>0</v>
      </c>
      <c r="E4056" s="8">
        <v>1</v>
      </c>
      <c r="F4056" s="8">
        <v>123</v>
      </c>
    </row>
    <row r="4057" spans="1:6" ht="12.75">
      <c r="A4057" s="8">
        <v>43903.318773148145</v>
      </c>
      <c r="B4057" s="8" t="str">
        <f>HYPERLINK("https://twitter.com/justbob616","@justbob616")</f>
        <v>@justbob616</v>
      </c>
      <c r="C4057" s="8" t="s">
        <v>353</v>
      </c>
      <c r="D4057" s="8">
        <v>27</v>
      </c>
      <c r="E4057" s="8">
        <v>0</v>
      </c>
      <c r="F4057" s="8">
        <v>953</v>
      </c>
    </row>
    <row r="4058" spans="1:6" ht="12.75">
      <c r="A4058" s="8">
        <v>43903.318078703705</v>
      </c>
      <c r="B4058" s="8" t="str">
        <f>HYPERLINK("https://twitter.com/SiahaanIntel","@SiahaanIntel")</f>
        <v>@SiahaanIntel</v>
      </c>
      <c r="C4058" s="8" t="s">
        <v>353</v>
      </c>
      <c r="D4058" s="8">
        <v>27</v>
      </c>
      <c r="E4058" s="8">
        <v>0</v>
      </c>
      <c r="F4058" s="8">
        <v>627</v>
      </c>
    </row>
    <row r="4059" spans="1:6" ht="12.75">
      <c r="A4059" s="8">
        <v>43903.317731481482</v>
      </c>
      <c r="B4059" s="8" t="str">
        <f>HYPERLINK("https://twitter.com/Duntzrawk","@Duntzrawk")</f>
        <v>@Duntzrawk</v>
      </c>
      <c r="C4059" s="8" t="s">
        <v>2176</v>
      </c>
      <c r="D4059" s="8">
        <v>0</v>
      </c>
      <c r="E4059" s="8">
        <v>0</v>
      </c>
      <c r="F4059" s="8">
        <v>716</v>
      </c>
    </row>
    <row r="4060" spans="1:6" ht="12.75">
      <c r="A4060" s="8">
        <v>43903.31758101852</v>
      </c>
      <c r="B4060" s="8" t="str">
        <f t="shared" ref="B4060:B4061" si="72">HYPERLINK("https://twitter.com/ardhiaza","@ardhiaza")</f>
        <v>@ardhiaza</v>
      </c>
      <c r="C4060" s="8" t="s">
        <v>2177</v>
      </c>
      <c r="D4060" s="8">
        <v>56</v>
      </c>
      <c r="E4060" s="8">
        <v>0</v>
      </c>
      <c r="F4060" s="8">
        <v>15</v>
      </c>
    </row>
    <row r="4061" spans="1:6" ht="12.75">
      <c r="A4061" s="8">
        <v>43903.317500000005</v>
      </c>
      <c r="B4061" s="8" t="str">
        <f t="shared" si="72"/>
        <v>@ardhiaza</v>
      </c>
      <c r="C4061" s="8" t="s">
        <v>2178</v>
      </c>
      <c r="D4061" s="8">
        <v>60</v>
      </c>
      <c r="E4061" s="8">
        <v>0</v>
      </c>
      <c r="F4061" s="8">
        <v>15</v>
      </c>
    </row>
    <row r="4062" spans="1:6" ht="12.75">
      <c r="A4062" s="8">
        <v>43903.317361111112</v>
      </c>
      <c r="B4062" s="8" t="str">
        <f>HYPERLINK("https://twitter.com/SalahKunci","@SalahKunci")</f>
        <v>@SalahKunci</v>
      </c>
      <c r="C4062" s="8" t="s">
        <v>2179</v>
      </c>
      <c r="D4062" s="8">
        <v>0</v>
      </c>
      <c r="E4062" s="8">
        <v>0</v>
      </c>
      <c r="F4062" s="8">
        <v>659</v>
      </c>
    </row>
    <row r="4063" spans="1:6" ht="12.75">
      <c r="A4063" s="8">
        <v>43903.317326388889</v>
      </c>
      <c r="B4063" s="8" t="str">
        <f>HYPERLINK("https://twitter.com/ardhiaza","@ardhiaza")</f>
        <v>@ardhiaza</v>
      </c>
      <c r="C4063" s="8" t="s">
        <v>1569</v>
      </c>
      <c r="D4063" s="8">
        <v>37</v>
      </c>
      <c r="E4063" s="8">
        <v>0</v>
      </c>
      <c r="F4063" s="8">
        <v>15</v>
      </c>
    </row>
    <row r="4064" spans="1:6" ht="12.75">
      <c r="A4064" s="8">
        <v>43903.316770833335</v>
      </c>
      <c r="B4064" s="8" t="str">
        <f>HYPERLINK("https://twitter.com/Rajiv_siait","@Rajiv_siait")</f>
        <v>@Rajiv_siait</v>
      </c>
      <c r="C4064" s="8" t="s">
        <v>1195</v>
      </c>
      <c r="D4064" s="8">
        <v>2494</v>
      </c>
      <c r="E4064" s="8">
        <v>0</v>
      </c>
      <c r="F4064" s="8">
        <v>1736</v>
      </c>
    </row>
    <row r="4065" spans="1:6" ht="12.75">
      <c r="A4065" s="8">
        <v>43903.316620370373</v>
      </c>
      <c r="B4065" s="8" t="str">
        <f>HYPERLINK("https://twitter.com/teh_tariq","@teh_tariq")</f>
        <v>@teh_tariq</v>
      </c>
      <c r="C4065" s="8" t="s">
        <v>2180</v>
      </c>
      <c r="D4065" s="8">
        <v>0</v>
      </c>
      <c r="E4065" s="8">
        <v>0</v>
      </c>
      <c r="F4065" s="8">
        <v>6840</v>
      </c>
    </row>
    <row r="4066" spans="1:6" ht="12.75">
      <c r="A4066" s="8">
        <v>43903.31649305555</v>
      </c>
      <c r="B4066" s="8" t="str">
        <f>HYPERLINK("https://twitter.com/Dhinoe2","@Dhinoe2")</f>
        <v>@Dhinoe2</v>
      </c>
      <c r="C4066" s="8" t="s">
        <v>2181</v>
      </c>
      <c r="D4066" s="8">
        <v>0</v>
      </c>
      <c r="E4066" s="8">
        <v>0</v>
      </c>
      <c r="F4066" s="8">
        <v>303</v>
      </c>
    </row>
    <row r="4067" spans="1:6" ht="12.75">
      <c r="A4067" s="8">
        <v>43903.316377314812</v>
      </c>
      <c r="B4067" s="8" t="str">
        <f>HYPERLINK("https://twitter.com/Rayvita","@Rayvita")</f>
        <v>@Rayvita</v>
      </c>
      <c r="C4067" s="8" t="s">
        <v>165</v>
      </c>
      <c r="D4067" s="8">
        <v>130</v>
      </c>
      <c r="E4067" s="8">
        <v>0</v>
      </c>
      <c r="F4067" s="8">
        <v>331</v>
      </c>
    </row>
    <row r="4068" spans="1:6" ht="12.75">
      <c r="A4068" s="8">
        <v>43903.316099537042</v>
      </c>
      <c r="B4068" s="8" t="str">
        <f>HYPERLINK("https://twitter.com/RajaDewAQ666","@RajaDewAQ666")</f>
        <v>@RajaDewAQ666</v>
      </c>
      <c r="C4068" s="8" t="s">
        <v>2182</v>
      </c>
      <c r="D4068" s="8">
        <v>0</v>
      </c>
      <c r="E4068" s="8">
        <v>1</v>
      </c>
      <c r="F4068" s="8">
        <v>5161</v>
      </c>
    </row>
    <row r="4069" spans="1:6" ht="12.75">
      <c r="A4069" s="8">
        <v>43903.315972222219</v>
      </c>
      <c r="B4069" s="8" t="str">
        <f>HYPERLINK("https://twitter.com/ayparla","@ayparla")</f>
        <v>@ayparla</v>
      </c>
      <c r="C4069" s="8" t="s">
        <v>2183</v>
      </c>
      <c r="D4069" s="8">
        <v>0</v>
      </c>
      <c r="E4069" s="8">
        <v>0</v>
      </c>
      <c r="F4069" s="8">
        <v>3990</v>
      </c>
    </row>
    <row r="4070" spans="1:6" ht="12.75">
      <c r="A4070" s="8">
        <v>43903.315925925926</v>
      </c>
      <c r="B4070" s="8" t="str">
        <f>HYPERLINK("https://twitter.com/Coutinho_Isis_","@Coutinho_Isis_")</f>
        <v>@Coutinho_Isis_</v>
      </c>
      <c r="C4070" s="8" t="s">
        <v>2184</v>
      </c>
      <c r="D4070" s="8">
        <v>811</v>
      </c>
      <c r="E4070" s="8">
        <v>0</v>
      </c>
      <c r="F4070" s="8">
        <v>61</v>
      </c>
    </row>
    <row r="4071" spans="1:6" ht="12.75">
      <c r="A4071" s="8">
        <v>43903.314050925925</v>
      </c>
      <c r="B4071" s="8" t="str">
        <f>HYPERLINK("https://twitter.com/telltalefeliks","@telltalefeliks")</f>
        <v>@telltalefeliks</v>
      </c>
      <c r="C4071" s="8" t="s">
        <v>2185</v>
      </c>
      <c r="D4071" s="8">
        <v>7</v>
      </c>
      <c r="E4071" s="8">
        <v>0</v>
      </c>
      <c r="F4071" s="8">
        <v>157</v>
      </c>
    </row>
    <row r="4072" spans="1:6" ht="12.75">
      <c r="A4072" s="8">
        <v>43903.313842592594</v>
      </c>
      <c r="B4072" s="8" t="str">
        <f>HYPERLINK("https://twitter.com/MumuyZG","@MumuyZG")</f>
        <v>@MumuyZG</v>
      </c>
      <c r="C4072" s="8" t="s">
        <v>353</v>
      </c>
      <c r="D4072" s="8">
        <v>27</v>
      </c>
      <c r="E4072" s="8">
        <v>0</v>
      </c>
      <c r="F4072" s="8">
        <v>1138</v>
      </c>
    </row>
    <row r="4073" spans="1:6" ht="12.75">
      <c r="A4073" s="8">
        <v>43903.313784722224</v>
      </c>
      <c r="B4073" s="8" t="str">
        <f>HYPERLINK("https://twitter.com/harkun_id","@harkun_id")</f>
        <v>@harkun_id</v>
      </c>
      <c r="C4073" s="8" t="s">
        <v>2186</v>
      </c>
      <c r="D4073" s="8">
        <v>0</v>
      </c>
      <c r="E4073" s="8">
        <v>0</v>
      </c>
      <c r="F4073" s="8">
        <v>108</v>
      </c>
    </row>
    <row r="4074" spans="1:6" ht="12.75">
      <c r="A4074" s="8">
        <v>43903.313078703708</v>
      </c>
      <c r="B4074" s="8" t="str">
        <f>HYPERLINK("https://twitter.com/damario04","@damario04")</f>
        <v>@damario04</v>
      </c>
      <c r="C4074" s="8" t="s">
        <v>147</v>
      </c>
      <c r="D4074" s="8">
        <v>0</v>
      </c>
      <c r="E4074" s="8">
        <v>0</v>
      </c>
      <c r="F4074" s="8">
        <v>402</v>
      </c>
    </row>
    <row r="4075" spans="1:6" ht="12.75">
      <c r="A4075" s="8">
        <v>43903.312800925924</v>
      </c>
      <c r="B4075" s="8" t="str">
        <f>HYPERLINK("https://twitter.com/Bubble01997065","@Bubble01997065")</f>
        <v>@Bubble01997065</v>
      </c>
      <c r="C4075" s="8" t="s">
        <v>2187</v>
      </c>
      <c r="D4075" s="8">
        <v>0</v>
      </c>
      <c r="E4075" s="8">
        <v>0</v>
      </c>
      <c r="F4075" s="8">
        <v>3</v>
      </c>
    </row>
    <row r="4076" spans="1:6" ht="12.75">
      <c r="A4076" s="8">
        <v>43903.311469907407</v>
      </c>
      <c r="B4076" s="8" t="str">
        <f>HYPERLINK("https://twitter.com/Daun_Karisiak","@Daun_Karisiak")</f>
        <v>@Daun_Karisiak</v>
      </c>
      <c r="C4076" s="8" t="s">
        <v>2188</v>
      </c>
      <c r="D4076" s="8">
        <v>0</v>
      </c>
      <c r="E4076" s="8">
        <v>0</v>
      </c>
      <c r="F4076" s="8">
        <v>469</v>
      </c>
    </row>
    <row r="4077" spans="1:6" ht="12.75">
      <c r="A4077" s="8">
        <v>43903.310763888891</v>
      </c>
      <c r="B4077" s="8" t="str">
        <f>HYPERLINK("https://twitter.com/kbriportmoresby","@kbriportmoresby")</f>
        <v>@kbriportmoresby</v>
      </c>
      <c r="C4077" s="8" t="s">
        <v>2178</v>
      </c>
      <c r="D4077" s="8">
        <v>60</v>
      </c>
      <c r="E4077" s="8">
        <v>0</v>
      </c>
      <c r="F4077" s="8">
        <v>504</v>
      </c>
    </row>
    <row r="4078" spans="1:6" ht="12.75">
      <c r="A4078" s="8">
        <v>43903.310335648144</v>
      </c>
      <c r="B4078" s="8" t="str">
        <f>HYPERLINK("https://twitter.com/IThinkTheyKnow","@IThinkTheyKnow")</f>
        <v>@IThinkTheyKnow</v>
      </c>
      <c r="C4078" s="8" t="s">
        <v>2189</v>
      </c>
      <c r="D4078" s="8">
        <v>2</v>
      </c>
      <c r="E4078" s="8">
        <v>0</v>
      </c>
      <c r="F4078" s="8">
        <v>23</v>
      </c>
    </row>
    <row r="4079" spans="1:6" ht="12.75">
      <c r="A4079" s="8">
        <v>43903.309618055559</v>
      </c>
      <c r="B4079" s="8" t="str">
        <f>HYPERLINK("https://twitter.com/Roni64831039","@Roni64831039")</f>
        <v>@Roni64831039</v>
      </c>
      <c r="C4079" s="8" t="s">
        <v>353</v>
      </c>
      <c r="D4079" s="8">
        <v>27</v>
      </c>
      <c r="E4079" s="8">
        <v>0</v>
      </c>
      <c r="F4079" s="8">
        <v>310</v>
      </c>
    </row>
    <row r="4080" spans="1:6" ht="12.75">
      <c r="A4080" s="8">
        <v>43903.309351851851</v>
      </c>
      <c r="B4080" s="8" t="str">
        <f>HYPERLINK("https://twitter.com/Priyosusanto17","@Priyosusanto17")</f>
        <v>@Priyosusanto17</v>
      </c>
      <c r="C4080" s="8" t="s">
        <v>1875</v>
      </c>
      <c r="D4080" s="8">
        <v>96</v>
      </c>
      <c r="E4080" s="8">
        <v>0</v>
      </c>
      <c r="F4080" s="8">
        <v>28</v>
      </c>
    </row>
    <row r="4081" spans="1:6" ht="12.75">
      <c r="A4081" s="8">
        <v>43903.308865740742</v>
      </c>
      <c r="B4081" s="8" t="str">
        <f>HYPERLINK("https://twitter.com/SomedayBuls","@SomedayBuls")</f>
        <v>@SomedayBuls</v>
      </c>
      <c r="C4081" s="8" t="s">
        <v>1030</v>
      </c>
      <c r="D4081" s="8">
        <v>189</v>
      </c>
      <c r="E4081" s="8">
        <v>0</v>
      </c>
      <c r="F4081" s="8">
        <v>2286</v>
      </c>
    </row>
    <row r="4082" spans="1:6" ht="12.75">
      <c r="A4082" s="8">
        <v>43903.308854166666</v>
      </c>
      <c r="B4082" s="8" t="str">
        <f>HYPERLINK("https://twitter.com/usi_nina","@usi_nina")</f>
        <v>@usi_nina</v>
      </c>
      <c r="C4082" s="8" t="s">
        <v>2165</v>
      </c>
      <c r="D4082" s="8">
        <v>12</v>
      </c>
      <c r="E4082" s="8">
        <v>0</v>
      </c>
      <c r="F4082" s="8">
        <v>318</v>
      </c>
    </row>
    <row r="4083" spans="1:6" ht="12.75">
      <c r="A4083" s="8">
        <v>43903.308703703704</v>
      </c>
      <c r="B4083" s="8" t="str">
        <f>HYPERLINK("https://twitter.com/UFit24","@UFit24")</f>
        <v>@UFit24</v>
      </c>
      <c r="C4083" s="8" t="s">
        <v>2190</v>
      </c>
      <c r="D4083" s="8">
        <v>0</v>
      </c>
      <c r="E4083" s="8">
        <v>1</v>
      </c>
      <c r="F4083" s="8">
        <v>4473</v>
      </c>
    </row>
    <row r="4084" spans="1:6" ht="12.75">
      <c r="A4084" s="8">
        <v>43903.308472222227</v>
      </c>
      <c r="B4084" s="8" t="str">
        <f>HYPERLINK("https://twitter.com/kotiancr","@kotiancr")</f>
        <v>@kotiancr</v>
      </c>
      <c r="C4084" s="8" t="s">
        <v>1195</v>
      </c>
      <c r="D4084" s="8">
        <v>2494</v>
      </c>
      <c r="E4084" s="8">
        <v>0</v>
      </c>
      <c r="F4084" s="8">
        <v>4824</v>
      </c>
    </row>
    <row r="4085" spans="1:6" ht="12.75">
      <c r="A4085" s="8">
        <v>43903.308310185181</v>
      </c>
      <c r="B4085" s="8" t="str">
        <f>HYPERLINK("https://twitter.com/RumpudHijauu","@RumpudHijauu")</f>
        <v>@RumpudHijauu</v>
      </c>
      <c r="C4085" s="8" t="s">
        <v>2191</v>
      </c>
      <c r="D4085" s="8">
        <v>0</v>
      </c>
      <c r="E4085" s="8">
        <v>0</v>
      </c>
      <c r="F4085" s="8">
        <v>82</v>
      </c>
    </row>
    <row r="4086" spans="1:6" ht="12.75">
      <c r="A4086" s="8">
        <v>43903.307708333334</v>
      </c>
      <c r="B4086" s="8" t="str">
        <f>HYPERLINK("https://twitter.com/akun_juliddd","@akun_juliddd")</f>
        <v>@akun_juliddd</v>
      </c>
      <c r="C4086" s="8" t="s">
        <v>2192</v>
      </c>
      <c r="D4086" s="8">
        <v>0</v>
      </c>
      <c r="E4086" s="8">
        <v>0</v>
      </c>
      <c r="F4086" s="8">
        <v>13</v>
      </c>
    </row>
    <row r="4087" spans="1:6" ht="12.75">
      <c r="A4087" s="8">
        <v>43903.306516203702</v>
      </c>
      <c r="B4087" s="8" t="str">
        <f>HYPERLINK("https://twitter.com/Grenaldyprayoga","@Grenaldyprayoga")</f>
        <v>@Grenaldyprayoga</v>
      </c>
      <c r="C4087" s="8" t="s">
        <v>2193</v>
      </c>
      <c r="D4087" s="8">
        <v>0</v>
      </c>
      <c r="E4087" s="8">
        <v>0</v>
      </c>
      <c r="F4087" s="8">
        <v>947</v>
      </c>
    </row>
    <row r="4088" spans="1:6" ht="12.75">
      <c r="A4088" s="8">
        <v>43903.301886574074</v>
      </c>
      <c r="B4088" s="8" t="str">
        <f>HYPERLINK("https://twitter.com/ModiKant","@ModiKant")</f>
        <v>@ModiKant</v>
      </c>
      <c r="C4088" s="8" t="s">
        <v>1195</v>
      </c>
      <c r="D4088" s="8">
        <v>2494</v>
      </c>
      <c r="E4088" s="8">
        <v>0</v>
      </c>
      <c r="F4088" s="8">
        <v>198</v>
      </c>
    </row>
    <row r="4089" spans="1:6" ht="12.75">
      <c r="A4089" s="8">
        <v>43903.301875000005</v>
      </c>
      <c r="B4089" s="8" t="str">
        <f>HYPERLINK("https://twitter.com/ISIS_Balik_NO","@ISIS_Balik_NO")</f>
        <v>@ISIS_Balik_NO</v>
      </c>
      <c r="C4089" s="8" t="s">
        <v>2194</v>
      </c>
      <c r="D4089" s="8">
        <v>32</v>
      </c>
      <c r="E4089" s="8">
        <v>0</v>
      </c>
      <c r="F4089" s="8">
        <v>6269</v>
      </c>
    </row>
    <row r="4090" spans="1:6" ht="12.75">
      <c r="A4090" s="8">
        <v>43903.301620370374</v>
      </c>
      <c r="B4090" s="8" t="str">
        <f>HYPERLINK("https://twitter.com/KhulKeBolo","@KhulKeBolo")</f>
        <v>@KhulKeBolo</v>
      </c>
      <c r="C4090" s="8" t="s">
        <v>1195</v>
      </c>
      <c r="D4090" s="8">
        <v>2494</v>
      </c>
      <c r="E4090" s="8">
        <v>0</v>
      </c>
      <c r="F4090" s="8">
        <v>213</v>
      </c>
    </row>
    <row r="4091" spans="1:6" ht="12.75">
      <c r="A4091" s="8">
        <v>43903.301053240742</v>
      </c>
      <c r="B4091" s="8" t="str">
        <f>HYPERLINK("https://twitter.com/_wni_","@_wni_")</f>
        <v>@_wni_</v>
      </c>
      <c r="C4091" s="8" t="s">
        <v>2195</v>
      </c>
      <c r="D4091" s="8">
        <v>0</v>
      </c>
      <c r="E4091" s="8">
        <v>0</v>
      </c>
      <c r="F4091" s="8">
        <v>20</v>
      </c>
    </row>
    <row r="4092" spans="1:6" ht="12.75">
      <c r="A4092" s="8">
        <v>43903.300949074073</v>
      </c>
      <c r="B4092" s="8" t="str">
        <f>HYPERLINK("https://twitter.com/elroudzz","@elroudzz")</f>
        <v>@elroudzz</v>
      </c>
      <c r="C4092" s="8" t="s">
        <v>2196</v>
      </c>
      <c r="D4092" s="8">
        <v>0</v>
      </c>
      <c r="E4092" s="8">
        <v>0</v>
      </c>
      <c r="F4092" s="8">
        <v>455</v>
      </c>
    </row>
    <row r="4093" spans="1:6" ht="12.75">
      <c r="A4093" s="8">
        <v>43903.300300925926</v>
      </c>
      <c r="B4093" s="8" t="str">
        <f>HYPERLINK("https://twitter.com/nnamariyana","@nnamariyana")</f>
        <v>@nnamariyana</v>
      </c>
      <c r="C4093" s="8" t="s">
        <v>2197</v>
      </c>
      <c r="D4093" s="8">
        <v>1</v>
      </c>
      <c r="E4093" s="8">
        <v>0</v>
      </c>
      <c r="F4093" s="8">
        <v>498</v>
      </c>
    </row>
    <row r="4094" spans="1:6" ht="12.75">
      <c r="A4094" s="8">
        <v>43903.300208333334</v>
      </c>
      <c r="B4094" s="8" t="str">
        <f>HYPERLINK("https://twitter.com/boymarch27land","@boymarch27land")</f>
        <v>@boymarch27land</v>
      </c>
      <c r="C4094" s="8" t="s">
        <v>289</v>
      </c>
      <c r="D4094" s="8">
        <v>88</v>
      </c>
      <c r="E4094" s="8">
        <v>0</v>
      </c>
      <c r="F4094" s="8">
        <v>958</v>
      </c>
    </row>
    <row r="4095" spans="1:6" ht="12.75">
      <c r="A4095" s="8">
        <v>43903.300173611111</v>
      </c>
      <c r="B4095" s="8" t="str">
        <f>HYPERLINK("https://twitter.com/slametdinejad","@slametdinejad")</f>
        <v>@slametdinejad</v>
      </c>
      <c r="C4095" s="8" t="s">
        <v>2198</v>
      </c>
      <c r="D4095" s="8">
        <v>0</v>
      </c>
      <c r="E4095" s="8">
        <v>0</v>
      </c>
      <c r="F4095" s="8">
        <v>327</v>
      </c>
    </row>
    <row r="4096" spans="1:6" ht="12.75">
      <c r="A4096" s="8">
        <v>43903.300092592588</v>
      </c>
      <c r="B4096" s="8" t="str">
        <f>HYPERLINK("https://twitter.com/yosefyusman","@yosefyusman")</f>
        <v>@yosefyusman</v>
      </c>
      <c r="C4096" s="8" t="s">
        <v>2199</v>
      </c>
      <c r="D4096" s="8">
        <v>9094</v>
      </c>
      <c r="E4096" s="8">
        <v>0</v>
      </c>
      <c r="F4096" s="8">
        <v>57</v>
      </c>
    </row>
    <row r="4097" spans="1:6" ht="12.75">
      <c r="A4097" s="8">
        <v>43903.297222222223</v>
      </c>
      <c r="B4097" s="8" t="str">
        <f>HYPERLINK("https://twitter.com/amati_ani","@amati_ani")</f>
        <v>@amati_ani</v>
      </c>
      <c r="C4097" s="8" t="s">
        <v>2200</v>
      </c>
      <c r="D4097" s="8">
        <v>0</v>
      </c>
      <c r="E4097" s="8">
        <v>0</v>
      </c>
      <c r="F4097" s="8">
        <v>1</v>
      </c>
    </row>
    <row r="4098" spans="1:6" ht="12.75">
      <c r="A4098" s="8">
        <v>43903.297002314815</v>
      </c>
      <c r="B4098" s="8" t="str">
        <f>HYPERLINK("https://twitter.com/absimor","@absimor")</f>
        <v>@absimor</v>
      </c>
      <c r="C4098" s="8" t="s">
        <v>2201</v>
      </c>
      <c r="D4098" s="8">
        <v>0</v>
      </c>
      <c r="E4098" s="8">
        <v>0</v>
      </c>
      <c r="F4098" s="8">
        <v>2</v>
      </c>
    </row>
    <row r="4099" spans="1:6" ht="12.75">
      <c r="A4099" s="8">
        <v>43903.296655092592</v>
      </c>
      <c r="B4099" s="8" t="str">
        <f>HYPERLINK("https://twitter.com/igarsurya","@igarsurya")</f>
        <v>@igarsurya</v>
      </c>
      <c r="C4099" s="8" t="s">
        <v>440</v>
      </c>
      <c r="D4099" s="8">
        <v>148</v>
      </c>
      <c r="E4099" s="8">
        <v>0</v>
      </c>
      <c r="F4099" s="8">
        <v>758</v>
      </c>
    </row>
    <row r="4100" spans="1:6" ht="12.75">
      <c r="A4100" s="8">
        <v>43903.296620370369</v>
      </c>
      <c r="B4100" s="8" t="str">
        <f>HYPERLINK("https://twitter.com/TeguhSasongko17","@TeguhSasongko17")</f>
        <v>@TeguhSasongko17</v>
      </c>
      <c r="C4100" s="8" t="s">
        <v>353</v>
      </c>
      <c r="D4100" s="8">
        <v>11</v>
      </c>
      <c r="E4100" s="8">
        <v>0</v>
      </c>
      <c r="F4100" s="8">
        <v>179</v>
      </c>
    </row>
    <row r="4101" spans="1:6" ht="12.75">
      <c r="A4101" s="8">
        <v>43903.29614583333</v>
      </c>
      <c r="B4101" s="8" t="str">
        <f>HYPERLINK("https://twitter.com/CChotibulumam","@CChotibulumam")</f>
        <v>@CChotibulumam</v>
      </c>
      <c r="C4101" s="8" t="s">
        <v>1758</v>
      </c>
      <c r="D4101" s="8">
        <v>101</v>
      </c>
      <c r="E4101" s="8">
        <v>0</v>
      </c>
      <c r="F4101" s="8">
        <v>1108</v>
      </c>
    </row>
    <row r="4102" spans="1:6" ht="12.75">
      <c r="A4102" s="8">
        <v>43903.295706018514</v>
      </c>
      <c r="B4102" s="8" t="str">
        <f>HYPERLINK("https://twitter.com/damario04","@damario04")</f>
        <v>@damario04</v>
      </c>
      <c r="C4102" s="8" t="s">
        <v>166</v>
      </c>
      <c r="D4102" s="8">
        <v>0</v>
      </c>
      <c r="E4102" s="8">
        <v>0</v>
      </c>
      <c r="F4102" s="8">
        <v>402</v>
      </c>
    </row>
    <row r="4103" spans="1:6" ht="12.75">
      <c r="A4103" s="8">
        <v>43903.29519675926</v>
      </c>
      <c r="B4103" s="8" t="str">
        <f>HYPERLINK("https://twitter.com/soloposdotcom","@soloposdotcom")</f>
        <v>@soloposdotcom</v>
      </c>
      <c r="C4103" s="8" t="s">
        <v>2202</v>
      </c>
      <c r="D4103" s="8">
        <v>0</v>
      </c>
      <c r="E4103" s="8">
        <v>0</v>
      </c>
      <c r="F4103" s="8">
        <v>60053</v>
      </c>
    </row>
    <row r="4104" spans="1:6" ht="12.75">
      <c r="A4104" s="8">
        <v>43903.294467592597</v>
      </c>
      <c r="B4104" s="8" t="str">
        <f>HYPERLINK("https://twitter.com/KurnadiD","@KurnadiD")</f>
        <v>@KurnadiD</v>
      </c>
      <c r="C4104" s="8" t="s">
        <v>2165</v>
      </c>
      <c r="D4104" s="8">
        <v>9</v>
      </c>
      <c r="E4104" s="8">
        <v>0</v>
      </c>
      <c r="F4104" s="8">
        <v>1141</v>
      </c>
    </row>
    <row r="4105" spans="1:6" ht="12.75">
      <c r="A4105" s="8">
        <v>43903.29420138889</v>
      </c>
      <c r="B4105" s="8" t="str">
        <f>HYPERLINK("https://twitter.com/John53940170","@John53940170")</f>
        <v>@John53940170</v>
      </c>
      <c r="C4105" s="8" t="s">
        <v>2203</v>
      </c>
      <c r="D4105" s="8">
        <v>0</v>
      </c>
      <c r="E4105" s="8">
        <v>0</v>
      </c>
      <c r="F4105" s="8">
        <v>1701</v>
      </c>
    </row>
    <row r="4106" spans="1:6" ht="12.75">
      <c r="A4106" s="8">
        <v>43903.294027777782</v>
      </c>
      <c r="B4106" s="8" t="str">
        <f>HYPERLINK("https://twitter.com/ISIS_Balik_NO","@ISIS_Balik_NO")</f>
        <v>@ISIS_Balik_NO</v>
      </c>
      <c r="C4106" s="8" t="s">
        <v>2204</v>
      </c>
      <c r="D4106" s="8">
        <v>0</v>
      </c>
      <c r="E4106" s="8">
        <v>0</v>
      </c>
      <c r="F4106" s="8">
        <v>6267</v>
      </c>
    </row>
    <row r="4107" spans="1:6" ht="12.75">
      <c r="A4107" s="8">
        <v>43903.292326388888</v>
      </c>
      <c r="B4107" s="8" t="str">
        <f>HYPERLINK("https://twitter.com/nurulsyakirahsb","@nurulsyakirahsb")</f>
        <v>@nurulsyakirahsb</v>
      </c>
      <c r="C4107" s="8" t="s">
        <v>2205</v>
      </c>
      <c r="D4107" s="8">
        <v>1</v>
      </c>
      <c r="E4107" s="8">
        <v>0</v>
      </c>
      <c r="F4107" s="8">
        <v>108</v>
      </c>
    </row>
    <row r="4108" spans="1:6" ht="12.75">
      <c r="A4108" s="8">
        <v>43903.29173611111</v>
      </c>
      <c r="B4108" s="8" t="str">
        <f>HYPERLINK("https://twitter.com/Luki80282288","@Luki80282288")</f>
        <v>@Luki80282288</v>
      </c>
      <c r="C4108" s="8" t="s">
        <v>2178</v>
      </c>
      <c r="D4108" s="8">
        <v>58</v>
      </c>
      <c r="E4108" s="8">
        <v>0</v>
      </c>
      <c r="F4108" s="8">
        <v>4</v>
      </c>
    </row>
    <row r="4109" spans="1:6" ht="12.75">
      <c r="A4109" s="8">
        <v>43903.290648148148</v>
      </c>
      <c r="B4109" s="8" t="str">
        <f>HYPERLINK("https://twitter.com/John53940170","@John53940170")</f>
        <v>@John53940170</v>
      </c>
      <c r="C4109" s="8" t="s">
        <v>2206</v>
      </c>
      <c r="D4109" s="8">
        <v>0</v>
      </c>
      <c r="E4109" s="8">
        <v>0</v>
      </c>
      <c r="F4109" s="8">
        <v>1701</v>
      </c>
    </row>
    <row r="4110" spans="1:6" ht="12.75">
      <c r="A4110" s="8">
        <v>43903.289224537039</v>
      </c>
      <c r="B4110" s="8" t="str">
        <f>HYPERLINK("https://twitter.com/lokeshomkarvats","@lokeshomkarvats")</f>
        <v>@lokeshomkarvats</v>
      </c>
      <c r="C4110" s="8" t="s">
        <v>1195</v>
      </c>
      <c r="D4110" s="8">
        <v>2481</v>
      </c>
      <c r="E4110" s="8">
        <v>0</v>
      </c>
      <c r="F4110" s="8">
        <v>6617</v>
      </c>
    </row>
    <row r="4111" spans="1:6" ht="12.75">
      <c r="A4111" s="8">
        <v>43903.288877314815</v>
      </c>
      <c r="B4111" s="8" t="str">
        <f>HYPERLINK("https://twitter.com/ustadtengkuzull","@ustadtengkuzull")</f>
        <v>@ustadtengkuzull</v>
      </c>
      <c r="C4111" s="8" t="s">
        <v>2207</v>
      </c>
      <c r="D4111" s="8">
        <v>0</v>
      </c>
      <c r="E4111" s="8">
        <v>0</v>
      </c>
      <c r="F4111" s="8">
        <v>113</v>
      </c>
    </row>
    <row r="4112" spans="1:6" ht="12.75">
      <c r="A4112" s="8">
        <v>43903.28875</v>
      </c>
      <c r="B4112" s="8" t="str">
        <f>HYPERLINK("https://twitter.com/tris68pangjay","@tris68pangjay")</f>
        <v>@tris68pangjay</v>
      </c>
      <c r="C4112" s="8" t="s">
        <v>2208</v>
      </c>
      <c r="D4112" s="8">
        <v>0</v>
      </c>
      <c r="E4112" s="8">
        <v>0</v>
      </c>
      <c r="F4112" s="8">
        <v>61</v>
      </c>
    </row>
    <row r="4113" spans="1:6" ht="12.75">
      <c r="A4113" s="8">
        <v>43903.28869212963</v>
      </c>
      <c r="B4113" s="8" t="str">
        <f>HYPERLINK("https://twitter.com/ISIS_Balik_NO","@ISIS_Balik_NO")</f>
        <v>@ISIS_Balik_NO</v>
      </c>
      <c r="C4113" s="8" t="s">
        <v>2209</v>
      </c>
      <c r="D4113" s="8">
        <v>0</v>
      </c>
      <c r="E4113" s="8">
        <v>0</v>
      </c>
      <c r="F4113" s="8">
        <v>6267</v>
      </c>
    </row>
    <row r="4114" spans="1:6" ht="12.75">
      <c r="A4114" s="8">
        <v>43903.288206018522</v>
      </c>
      <c r="B4114" s="8" t="str">
        <f>HYPERLINK("https://twitter.com/b_vekaria","@b_vekaria")</f>
        <v>@b_vekaria</v>
      </c>
      <c r="C4114" s="8" t="s">
        <v>1195</v>
      </c>
      <c r="D4114" s="8">
        <v>2481</v>
      </c>
      <c r="E4114" s="8">
        <v>0</v>
      </c>
      <c r="F4114" s="8">
        <v>375</v>
      </c>
    </row>
    <row r="4115" spans="1:6" ht="12.75">
      <c r="A4115" s="8">
        <v>43903.287754629629</v>
      </c>
      <c r="B4115" s="8" t="str">
        <f>HYPERLINK("https://twitter.com/ChandraKuanar","@ChandraKuanar")</f>
        <v>@ChandraKuanar</v>
      </c>
      <c r="C4115" s="8" t="s">
        <v>1195</v>
      </c>
      <c r="D4115" s="8">
        <v>2481</v>
      </c>
      <c r="E4115" s="8">
        <v>0</v>
      </c>
      <c r="F4115" s="8">
        <v>368</v>
      </c>
    </row>
    <row r="4116" spans="1:6" ht="12.75">
      <c r="A4116" s="8">
        <v>43903.287164351852</v>
      </c>
      <c r="B4116" s="8" t="str">
        <f>HYPERLINK("https://twitter.com/AyahEnya","@AyahEnya")</f>
        <v>@AyahEnya</v>
      </c>
      <c r="C4116" s="8" t="s">
        <v>1919</v>
      </c>
      <c r="D4116" s="8">
        <v>43</v>
      </c>
      <c r="E4116" s="8">
        <v>0</v>
      </c>
      <c r="F4116" s="8">
        <v>1026</v>
      </c>
    </row>
    <row r="4117" spans="1:6" ht="12.75">
      <c r="A4117" s="8">
        <v>43903.286678240736</v>
      </c>
      <c r="B4117" s="8" t="str">
        <f>HYPERLINK("https://twitter.com/ISIS_Balik_NO","@ISIS_Balik_NO")</f>
        <v>@ISIS_Balik_NO</v>
      </c>
      <c r="C4117" s="8" t="s">
        <v>2210</v>
      </c>
      <c r="D4117" s="8">
        <v>0</v>
      </c>
      <c r="E4117" s="8">
        <v>0</v>
      </c>
      <c r="F4117" s="8">
        <v>6267</v>
      </c>
    </row>
    <row r="4118" spans="1:6" ht="12.75">
      <c r="A4118" s="8">
        <v>43903.286666666667</v>
      </c>
      <c r="B4118" s="8" t="str">
        <f>HYPERLINK("https://twitter.com/ashish20188","@ashish20188")</f>
        <v>@ashish20188</v>
      </c>
      <c r="C4118" s="8" t="s">
        <v>1195</v>
      </c>
      <c r="D4118" s="8">
        <v>2481</v>
      </c>
      <c r="E4118" s="8">
        <v>0</v>
      </c>
      <c r="F4118" s="8">
        <v>201</v>
      </c>
    </row>
    <row r="4119" spans="1:6" ht="12.75">
      <c r="A4119" s="8">
        <v>43903.285358796296</v>
      </c>
      <c r="B4119" s="8" t="str">
        <f>HYPERLINK("https://twitter.com/sopian333351","@sopian333351")</f>
        <v>@sopian333351</v>
      </c>
      <c r="C4119" s="8" t="s">
        <v>1993</v>
      </c>
      <c r="D4119" s="8">
        <v>4</v>
      </c>
      <c r="E4119" s="8">
        <v>0</v>
      </c>
      <c r="F4119" s="8">
        <v>1146</v>
      </c>
    </row>
    <row r="4120" spans="1:6" ht="12.75">
      <c r="A4120" s="8">
        <v>43903.285196759258</v>
      </c>
      <c r="B4120" s="8" t="str">
        <f>HYPERLINK("https://twitter.com/ISIS_Balik_NO","@ISIS_Balik_NO")</f>
        <v>@ISIS_Balik_NO</v>
      </c>
      <c r="C4120" s="8" t="s">
        <v>2211</v>
      </c>
      <c r="D4120" s="8">
        <v>1</v>
      </c>
      <c r="E4120" s="8">
        <v>0</v>
      </c>
      <c r="F4120" s="8">
        <v>6267</v>
      </c>
    </row>
    <row r="4121" spans="1:6" ht="12.75">
      <c r="A4121" s="8">
        <v>43903.284895833334</v>
      </c>
      <c r="B4121" s="8" t="str">
        <f>HYPERLINK("https://twitter.com/sateyakaushik","@sateyakaushik")</f>
        <v>@sateyakaushik</v>
      </c>
      <c r="C4121" s="8" t="s">
        <v>1195</v>
      </c>
      <c r="D4121" s="8">
        <v>2481</v>
      </c>
      <c r="E4121" s="8">
        <v>0</v>
      </c>
      <c r="F4121" s="8">
        <v>96</v>
      </c>
    </row>
    <row r="4122" spans="1:6" ht="12.75">
      <c r="A4122" s="8">
        <v>43903.284814814819</v>
      </c>
      <c r="B4122" s="8" t="str">
        <f>HYPERLINK("https://twitter.com/mulanbilqis","@mulanbilqis")</f>
        <v>@mulanbilqis</v>
      </c>
      <c r="C4122" s="8" t="s">
        <v>1919</v>
      </c>
      <c r="D4122" s="8">
        <v>43</v>
      </c>
      <c r="E4122" s="8">
        <v>0</v>
      </c>
      <c r="F4122" s="8">
        <v>13369</v>
      </c>
    </row>
    <row r="4123" spans="1:6" ht="12.75">
      <c r="A4123" s="8">
        <v>43903.284212962964</v>
      </c>
      <c r="B4123" s="8" t="str">
        <f>HYPERLINK("https://twitter.com/ustadtengkuzull","@ustadtengkuzull")</f>
        <v>@ustadtengkuzull</v>
      </c>
      <c r="C4123" s="8" t="s">
        <v>2212</v>
      </c>
      <c r="D4123" s="8">
        <v>0</v>
      </c>
      <c r="E4123" s="8">
        <v>1</v>
      </c>
      <c r="F4123" s="8">
        <v>113</v>
      </c>
    </row>
    <row r="4124" spans="1:6" ht="12.75">
      <c r="A4124" s="8">
        <v>43903.283784722225</v>
      </c>
      <c r="B4124" s="8" t="str">
        <f>HYPERLINK("https://twitter.com/Tr_rsnd","@Tr_rsnd")</f>
        <v>@Tr_rsnd</v>
      </c>
      <c r="C4124" s="8" t="s">
        <v>1030</v>
      </c>
      <c r="D4124" s="8">
        <v>184</v>
      </c>
      <c r="E4124" s="8">
        <v>0</v>
      </c>
      <c r="F4124" s="8">
        <v>378</v>
      </c>
    </row>
    <row r="4125" spans="1:6" ht="12.75">
      <c r="A4125" s="8">
        <v>43903.283414351856</v>
      </c>
      <c r="B4125" s="8" t="str">
        <f>HYPERLINK("https://twitter.com/mufashi2","@mufashi2")</f>
        <v>@mufashi2</v>
      </c>
      <c r="C4125" s="8" t="s">
        <v>1758</v>
      </c>
      <c r="D4125" s="8">
        <v>101</v>
      </c>
      <c r="E4125" s="8">
        <v>0</v>
      </c>
      <c r="F4125" s="8">
        <v>62</v>
      </c>
    </row>
    <row r="4126" spans="1:6" ht="12.75">
      <c r="A4126" s="8">
        <v>43903.283055555556</v>
      </c>
      <c r="B4126" s="8" t="str">
        <f>HYPERLINK("https://twitter.com/ParmonanganRaja","@ParmonanganRaja")</f>
        <v>@ParmonanganRaja</v>
      </c>
      <c r="C4126" s="8" t="s">
        <v>2213</v>
      </c>
      <c r="D4126" s="8">
        <v>1</v>
      </c>
      <c r="E4126" s="8">
        <v>0</v>
      </c>
      <c r="F4126" s="8">
        <v>194</v>
      </c>
    </row>
    <row r="4127" spans="1:6" ht="12.75">
      <c r="A4127" s="8">
        <v>43903.282858796301</v>
      </c>
      <c r="B4127" s="8" t="str">
        <f>HYPERLINK("https://twitter.com/RakhmanYudhi","@RakhmanYudhi")</f>
        <v>@RakhmanYudhi</v>
      </c>
      <c r="C4127" s="8" t="s">
        <v>2214</v>
      </c>
      <c r="D4127" s="8">
        <v>0</v>
      </c>
      <c r="E4127" s="8">
        <v>0</v>
      </c>
      <c r="F4127" s="8">
        <v>0</v>
      </c>
    </row>
    <row r="4128" spans="1:6" ht="12.75">
      <c r="A4128" s="8">
        <v>43903.282754629632</v>
      </c>
      <c r="B4128" s="8" t="str">
        <f>HYPERLINK("https://twitter.com/ISIS_Balik_NO","@ISIS_Balik_NO")</f>
        <v>@ISIS_Balik_NO</v>
      </c>
      <c r="C4128" s="8" t="s">
        <v>2215</v>
      </c>
      <c r="D4128" s="8">
        <v>58</v>
      </c>
      <c r="E4128" s="8">
        <v>0</v>
      </c>
      <c r="F4128" s="8">
        <v>6267</v>
      </c>
    </row>
    <row r="4129" spans="1:6" ht="12.75">
      <c r="A4129" s="8">
        <v>43903.282511574071</v>
      </c>
      <c r="B4129" s="8" t="str">
        <f>HYPERLINK("https://twitter.com/devy215","@devy215")</f>
        <v>@devy215</v>
      </c>
      <c r="C4129" s="8" t="s">
        <v>2216</v>
      </c>
      <c r="D4129" s="8">
        <v>0</v>
      </c>
      <c r="E4129" s="8">
        <v>1</v>
      </c>
      <c r="F4129" s="8">
        <v>3170</v>
      </c>
    </row>
    <row r="4130" spans="1:6" ht="12.75">
      <c r="A4130" s="8">
        <v>43903.282187500001</v>
      </c>
      <c r="B4130" s="8" t="str">
        <f>HYPERLINK("https://twitter.com/Evarosd8","@Evarosd8")</f>
        <v>@Evarosd8</v>
      </c>
      <c r="C4130" s="8" t="s">
        <v>2217</v>
      </c>
      <c r="D4130" s="8">
        <v>0</v>
      </c>
      <c r="E4130" s="8">
        <v>0</v>
      </c>
      <c r="F4130" s="8">
        <v>51</v>
      </c>
    </row>
    <row r="4131" spans="1:6" ht="12.75">
      <c r="A4131" s="8">
        <v>43903.281840277778</v>
      </c>
      <c r="B4131" s="8" t="str">
        <f>HYPERLINK("https://twitter.com/Sumarwoto18","@Sumarwoto18")</f>
        <v>@Sumarwoto18</v>
      </c>
      <c r="C4131" s="8" t="s">
        <v>1836</v>
      </c>
      <c r="D4131" s="8">
        <v>91</v>
      </c>
      <c r="E4131" s="8">
        <v>0</v>
      </c>
      <c r="F4131" s="8">
        <v>1340</v>
      </c>
    </row>
    <row r="4132" spans="1:6" ht="12.75">
      <c r="A4132" s="8">
        <v>43903.279293981483</v>
      </c>
      <c r="B4132" s="8" t="str">
        <f>HYPERLINK("https://twitter.com/johan_woda","@johan_woda")</f>
        <v>@johan_woda</v>
      </c>
      <c r="C4132" s="8" t="s">
        <v>353</v>
      </c>
      <c r="D4132" s="8">
        <v>11</v>
      </c>
      <c r="E4132" s="8">
        <v>0</v>
      </c>
      <c r="F4132" s="8">
        <v>520</v>
      </c>
    </row>
    <row r="4133" spans="1:6" ht="12.75">
      <c r="A4133" s="8">
        <v>43903.278865740736</v>
      </c>
      <c r="B4133" s="8" t="str">
        <f>HYPERLINK("https://twitter.com/kompascom","@kompascom")</f>
        <v>@kompascom</v>
      </c>
      <c r="C4133" s="8" t="s">
        <v>2218</v>
      </c>
      <c r="D4133" s="8">
        <v>1</v>
      </c>
      <c r="E4133" s="8">
        <v>3</v>
      </c>
      <c r="F4133" s="8">
        <v>7543891</v>
      </c>
    </row>
    <row r="4134" spans="1:6" ht="12.75">
      <c r="A4134" s="8">
        <v>43903.275983796295</v>
      </c>
      <c r="B4134" s="8" t="str">
        <f>HYPERLINK("https://twitter.com/Hegie_bae","@Hegie_bae")</f>
        <v>@Hegie_bae</v>
      </c>
      <c r="C4134" s="8" t="s">
        <v>289</v>
      </c>
      <c r="D4134" s="8">
        <v>87</v>
      </c>
      <c r="E4134" s="8">
        <v>0</v>
      </c>
      <c r="F4134" s="8">
        <v>413</v>
      </c>
    </row>
    <row r="4135" spans="1:6" ht="12.75">
      <c r="A4135" s="8">
        <v>43903.275347222225</v>
      </c>
      <c r="B4135" s="8" t="str">
        <f>HYPERLINK("https://twitter.com/maudinaeka","@maudinaeka")</f>
        <v>@maudinaeka</v>
      </c>
      <c r="C4135" s="8" t="s">
        <v>2165</v>
      </c>
      <c r="D4135" s="8">
        <v>9</v>
      </c>
      <c r="E4135" s="8">
        <v>0</v>
      </c>
      <c r="F4135" s="8">
        <v>1629</v>
      </c>
    </row>
    <row r="4136" spans="1:6" ht="12.75">
      <c r="A4136" s="8">
        <v>43903.274768518517</v>
      </c>
      <c r="B4136" s="8" t="str">
        <f>HYPERLINK("https://twitter.com/ISIS_Balik_NO","@ISIS_Balik_NO")</f>
        <v>@ISIS_Balik_NO</v>
      </c>
      <c r="C4136" s="8" t="s">
        <v>2219</v>
      </c>
      <c r="D4136" s="8">
        <v>0</v>
      </c>
      <c r="E4136" s="8">
        <v>1</v>
      </c>
      <c r="F4136" s="8">
        <v>6267</v>
      </c>
    </row>
    <row r="4137" spans="1:6" ht="12.75">
      <c r="A4137" s="8">
        <v>43903.274710648147</v>
      </c>
      <c r="B4137" s="8" t="str">
        <f>HYPERLINK("https://twitter.com/ppmisaudi","@ppmisaudi")</f>
        <v>@ppmisaudi</v>
      </c>
      <c r="C4137" s="8" t="s">
        <v>2220</v>
      </c>
      <c r="D4137" s="8">
        <v>0</v>
      </c>
      <c r="E4137" s="8">
        <v>0</v>
      </c>
      <c r="F4137" s="8">
        <v>1258</v>
      </c>
    </row>
    <row r="4138" spans="1:6" ht="12.75">
      <c r="A4138" s="8">
        <v>43903.274375000001</v>
      </c>
      <c r="B4138" s="8" t="str">
        <f>HYPERLINK("https://twitter.com/ikanjarang","@ikanjarang")</f>
        <v>@ikanjarang</v>
      </c>
      <c r="C4138" s="8" t="s">
        <v>2221</v>
      </c>
      <c r="D4138" s="8">
        <v>0</v>
      </c>
      <c r="E4138" s="8">
        <v>0</v>
      </c>
      <c r="F4138" s="8">
        <v>22</v>
      </c>
    </row>
    <row r="4139" spans="1:6" ht="12.75">
      <c r="A4139" s="8">
        <v>43903.273182870369</v>
      </c>
      <c r="B4139" s="8" t="str">
        <f t="shared" ref="B4139:B4141" si="73">HYPERLINK("https://twitter.com/___Rathorrrrrr","@___Rathorrrrrr")</f>
        <v>@___Rathorrrrrr</v>
      </c>
      <c r="C4139" s="8" t="s">
        <v>1195</v>
      </c>
      <c r="D4139" s="8">
        <v>2481</v>
      </c>
      <c r="E4139" s="8">
        <v>0</v>
      </c>
      <c r="F4139" s="8">
        <v>1833</v>
      </c>
    </row>
    <row r="4140" spans="1:6" ht="12.75">
      <c r="A4140" s="8">
        <v>43903.2730787037</v>
      </c>
      <c r="B4140" s="8" t="str">
        <f t="shared" si="73"/>
        <v>@___Rathorrrrrr</v>
      </c>
      <c r="C4140" s="8" t="s">
        <v>1808</v>
      </c>
      <c r="D4140" s="8">
        <v>943</v>
      </c>
      <c r="E4140" s="8">
        <v>0</v>
      </c>
      <c r="F4140" s="8">
        <v>1833</v>
      </c>
    </row>
    <row r="4141" spans="1:6" ht="12.75">
      <c r="A4141" s="8">
        <v>43903.272870370369</v>
      </c>
      <c r="B4141" s="8" t="str">
        <f t="shared" si="73"/>
        <v>@___Rathorrrrrr</v>
      </c>
      <c r="C4141" s="8" t="s">
        <v>1957</v>
      </c>
      <c r="D4141" s="8">
        <v>1552</v>
      </c>
      <c r="E4141" s="8">
        <v>0</v>
      </c>
      <c r="F4141" s="8">
        <v>1833</v>
      </c>
    </row>
    <row r="4142" spans="1:6" ht="12.75">
      <c r="A4142" s="8">
        <v>43903.272638888884</v>
      </c>
      <c r="B4142" s="8" t="str">
        <f>HYPERLINK("https://twitter.com/quin_ingrid","@quin_ingrid")</f>
        <v>@quin_ingrid</v>
      </c>
      <c r="C4142" s="8" t="s">
        <v>1919</v>
      </c>
      <c r="D4142" s="8">
        <v>43</v>
      </c>
      <c r="E4142" s="8">
        <v>0</v>
      </c>
      <c r="F4142" s="8">
        <v>1318</v>
      </c>
    </row>
    <row r="4143" spans="1:6" ht="12.75">
      <c r="A4143" s="8">
        <v>43903.272546296299</v>
      </c>
      <c r="B4143" s="8" t="str">
        <f>HYPERLINK("https://twitter.com/BillTemporo","@BillTemporo")</f>
        <v>@BillTemporo</v>
      </c>
      <c r="C4143" s="8" t="s">
        <v>323</v>
      </c>
      <c r="D4143" s="8">
        <v>0</v>
      </c>
      <c r="E4143" s="8">
        <v>0</v>
      </c>
      <c r="F4143" s="8">
        <v>11</v>
      </c>
    </row>
    <row r="4144" spans="1:6" ht="12.75">
      <c r="A4144" s="8">
        <v>43903.272210648152</v>
      </c>
      <c r="B4144" s="8" t="str">
        <f>HYPERLINK("https://twitter.com/himaliyanmadira","@himaliyanmadira")</f>
        <v>@himaliyanmadira</v>
      </c>
      <c r="C4144" s="8" t="s">
        <v>1195</v>
      </c>
      <c r="D4144" s="8">
        <v>2481</v>
      </c>
      <c r="E4144" s="8">
        <v>0</v>
      </c>
      <c r="F4144" s="8">
        <v>0</v>
      </c>
    </row>
    <row r="4145" spans="1:6" ht="12.75">
      <c r="A4145" s="8">
        <v>43903.271724537037</v>
      </c>
      <c r="B4145" s="8" t="str">
        <f>HYPERLINK("https://twitter.com/Manavi_19","@Manavi_19")</f>
        <v>@Manavi_19</v>
      </c>
      <c r="C4145" s="8" t="s">
        <v>1195</v>
      </c>
      <c r="D4145" s="8">
        <v>2481</v>
      </c>
      <c r="E4145" s="8">
        <v>0</v>
      </c>
      <c r="F4145" s="8">
        <v>339</v>
      </c>
    </row>
    <row r="4146" spans="1:6" ht="12.75">
      <c r="A4146" s="8">
        <v>43903.271423611106</v>
      </c>
      <c r="B4146" s="8" t="str">
        <f>HYPERLINK("https://twitter.com/choihanie","@choihanie")</f>
        <v>@choihanie</v>
      </c>
      <c r="C4146" s="8" t="s">
        <v>440</v>
      </c>
      <c r="D4146" s="8">
        <v>148</v>
      </c>
      <c r="E4146" s="8">
        <v>0</v>
      </c>
      <c r="F4146" s="8">
        <v>1026</v>
      </c>
    </row>
    <row r="4147" spans="1:6" ht="12.75">
      <c r="A4147" s="8">
        <v>43903.271111111113</v>
      </c>
      <c r="B4147" s="8" t="str">
        <f>HYPERLINK("https://twitter.com/RMaurdya","@RMaurdya")</f>
        <v>@RMaurdya</v>
      </c>
      <c r="C4147" s="8" t="s">
        <v>2222</v>
      </c>
      <c r="D4147" s="8">
        <v>0</v>
      </c>
      <c r="E4147" s="8">
        <v>0</v>
      </c>
      <c r="F4147" s="8">
        <v>227</v>
      </c>
    </row>
    <row r="4148" spans="1:6" ht="12.75">
      <c r="A4148" s="8">
        <v>43903.269791666666</v>
      </c>
      <c r="B4148" s="8" t="str">
        <f>HYPERLINK("https://twitter.com/dolomine","@dolomine")</f>
        <v>@dolomine</v>
      </c>
      <c r="C4148" s="8" t="s">
        <v>1195</v>
      </c>
      <c r="D4148" s="8">
        <v>2481</v>
      </c>
      <c r="E4148" s="8">
        <v>0</v>
      </c>
      <c r="F4148" s="8">
        <v>392</v>
      </c>
    </row>
    <row r="4149" spans="1:6" ht="12.75">
      <c r="A4149" s="8">
        <v>43903.268611111111</v>
      </c>
      <c r="B4149" s="8" t="str">
        <f>HYPERLINK("https://twitter.com/ISIS_Balik_NO","@ISIS_Balik_NO")</f>
        <v>@ISIS_Balik_NO</v>
      </c>
      <c r="C4149" s="8" t="s">
        <v>2223</v>
      </c>
      <c r="D4149" s="8">
        <v>0</v>
      </c>
      <c r="E4149" s="8">
        <v>0</v>
      </c>
      <c r="F4149" s="8">
        <v>6267</v>
      </c>
    </row>
    <row r="4150" spans="1:6" ht="12.75">
      <c r="A4150" s="8">
        <v>43903.268020833333</v>
      </c>
      <c r="B4150" s="8" t="str">
        <f>HYPERLINK("https://twitter.com/A17DYS","@A17DYS")</f>
        <v>@A17DYS</v>
      </c>
      <c r="C4150" s="8" t="s">
        <v>2224</v>
      </c>
      <c r="D4150" s="8">
        <v>0</v>
      </c>
      <c r="E4150" s="8">
        <v>0</v>
      </c>
      <c r="F4150" s="8">
        <v>83</v>
      </c>
    </row>
    <row r="4151" spans="1:6" ht="12.75">
      <c r="A4151" s="8">
        <v>43903.266875000001</v>
      </c>
      <c r="B4151" s="8" t="str">
        <f>HYPERLINK("https://twitter.com/wiriantowidjaya","@wiriantowidjaya")</f>
        <v>@wiriantowidjaya</v>
      </c>
      <c r="C4151" s="8" t="s">
        <v>353</v>
      </c>
      <c r="D4151" s="8">
        <v>11</v>
      </c>
      <c r="E4151" s="8">
        <v>0</v>
      </c>
      <c r="F4151" s="8">
        <v>1579</v>
      </c>
    </row>
    <row r="4152" spans="1:6" ht="12.75">
      <c r="A4152" s="8">
        <v>43903.2658912037</v>
      </c>
      <c r="B4152" s="8" t="str">
        <f>HYPERLINK("https://twitter.com/eccosee","@eccosee")</f>
        <v>@eccosee</v>
      </c>
      <c r="C4152" s="8" t="s">
        <v>2225</v>
      </c>
      <c r="D4152" s="8">
        <v>0</v>
      </c>
      <c r="E4152" s="8">
        <v>0</v>
      </c>
      <c r="F4152" s="8">
        <v>61</v>
      </c>
    </row>
    <row r="4153" spans="1:6" ht="12.75">
      <c r="A4153" s="8">
        <v>43903.265763888892</v>
      </c>
      <c r="B4153" s="8" t="str">
        <f>HYPERLINK("https://twitter.com/topinfo_id","@topinfo_id")</f>
        <v>@topinfo_id</v>
      </c>
      <c r="C4153" s="8" t="s">
        <v>2159</v>
      </c>
      <c r="D4153" s="8">
        <v>0</v>
      </c>
      <c r="E4153" s="8">
        <v>0</v>
      </c>
      <c r="F4153" s="8">
        <v>102</v>
      </c>
    </row>
    <row r="4154" spans="1:6" ht="12.75">
      <c r="A4154" s="8">
        <v>43903.265601851846</v>
      </c>
      <c r="B4154" s="8" t="str">
        <f>HYPERLINK("https://twitter.com/ahmadrachudin","@ahmadrachudin")</f>
        <v>@ahmadrachudin</v>
      </c>
      <c r="C4154" s="8" t="s">
        <v>2226</v>
      </c>
      <c r="D4154" s="8">
        <v>0</v>
      </c>
      <c r="E4154" s="8">
        <v>0</v>
      </c>
      <c r="F4154" s="8">
        <v>15</v>
      </c>
    </row>
    <row r="4155" spans="1:6" ht="12.75">
      <c r="A4155" s="8">
        <v>43903.265370370369</v>
      </c>
      <c r="B4155" s="8" t="str">
        <f>HYPERLINK("https://twitter.com/sonofpant","@sonofpant")</f>
        <v>@sonofpant</v>
      </c>
      <c r="C4155" s="8" t="s">
        <v>1195</v>
      </c>
      <c r="D4155" s="8">
        <v>2481</v>
      </c>
      <c r="E4155" s="8">
        <v>0</v>
      </c>
      <c r="F4155" s="8">
        <v>142</v>
      </c>
    </row>
    <row r="4156" spans="1:6" ht="12.75">
      <c r="A4156" s="8">
        <v>43903.264791666668</v>
      </c>
      <c r="B4156" s="8" t="str">
        <f>HYPERLINK("https://twitter.com/xFRDi","@xFRDi")</f>
        <v>@xFRDi</v>
      </c>
      <c r="C4156" s="8" t="s">
        <v>2227</v>
      </c>
      <c r="D4156" s="8">
        <v>6</v>
      </c>
      <c r="E4156" s="8">
        <v>0</v>
      </c>
      <c r="F4156" s="8">
        <v>175</v>
      </c>
    </row>
    <row r="4157" spans="1:6" ht="12.75">
      <c r="A4157" s="8">
        <v>43903.264652777776</v>
      </c>
      <c r="B4157" s="8" t="str">
        <f>HYPERLINK("https://twitter.com/dewi_darmawati","@dewi_darmawati")</f>
        <v>@dewi_darmawati</v>
      </c>
      <c r="C4157" s="8" t="s">
        <v>353</v>
      </c>
      <c r="D4157" s="8">
        <v>11</v>
      </c>
      <c r="E4157" s="8">
        <v>0</v>
      </c>
      <c r="F4157" s="8">
        <v>4447</v>
      </c>
    </row>
    <row r="4158" spans="1:6" ht="12.75">
      <c r="A4158" s="8">
        <v>43903.261840277773</v>
      </c>
      <c r="B4158" s="8" t="str">
        <f>HYPERLINK("https://twitter.com/suaradotcom","@suaradotcom")</f>
        <v>@suaradotcom</v>
      </c>
      <c r="C4158" s="8" t="s">
        <v>2228</v>
      </c>
      <c r="D4158" s="8">
        <v>0</v>
      </c>
      <c r="E4158" s="8">
        <v>2</v>
      </c>
      <c r="F4158" s="8">
        <v>25040</v>
      </c>
    </row>
    <row r="4159" spans="1:6" ht="12.75">
      <c r="A4159" s="8">
        <v>43903.261689814812</v>
      </c>
      <c r="B4159" s="8" t="str">
        <f>HYPERLINK("https://twitter.com/kardusbox08","@kardusbox08")</f>
        <v>@kardusbox08</v>
      </c>
      <c r="C4159" s="8" t="s">
        <v>353</v>
      </c>
      <c r="D4159" s="8">
        <v>11</v>
      </c>
      <c r="E4159" s="8">
        <v>0</v>
      </c>
      <c r="F4159" s="8">
        <v>1896</v>
      </c>
    </row>
    <row r="4160" spans="1:6" ht="12.75">
      <c r="A4160" s="8">
        <v>43903.260347222225</v>
      </c>
      <c r="B4160" s="8" t="str">
        <f>HYPERLINK("https://twitter.com/atharis787","@atharis787")</f>
        <v>@atharis787</v>
      </c>
      <c r="C4160" s="8" t="s">
        <v>1801</v>
      </c>
      <c r="D4160" s="8">
        <v>357</v>
      </c>
      <c r="E4160" s="8">
        <v>0</v>
      </c>
      <c r="F4160" s="8">
        <v>183</v>
      </c>
    </row>
    <row r="4161" spans="1:6" ht="12.75">
      <c r="A4161" s="8">
        <v>43903.260254629626</v>
      </c>
      <c r="B4161" s="8" t="str">
        <f>HYPERLINK("https://twitter.com/Sudharshan32","@Sudharshan32")</f>
        <v>@Sudharshan32</v>
      </c>
      <c r="C4161" s="8" t="s">
        <v>2092</v>
      </c>
      <c r="D4161" s="8">
        <v>4</v>
      </c>
      <c r="E4161" s="8">
        <v>0</v>
      </c>
      <c r="F4161" s="8">
        <v>20</v>
      </c>
    </row>
    <row r="4162" spans="1:6" ht="12.75">
      <c r="A4162" s="8">
        <v>43903.260127314818</v>
      </c>
      <c r="B4162" s="8" t="str">
        <f>HYPERLINK("https://twitter.com/ISIS_Balik_NO","@ISIS_Balik_NO")</f>
        <v>@ISIS_Balik_NO</v>
      </c>
      <c r="C4162" s="8" t="s">
        <v>2229</v>
      </c>
      <c r="D4162" s="8">
        <v>0</v>
      </c>
      <c r="E4162" s="8">
        <v>1</v>
      </c>
      <c r="F4162" s="8">
        <v>6267</v>
      </c>
    </row>
    <row r="4163" spans="1:6" ht="12.75">
      <c r="A4163" s="8">
        <v>43903.259826388894</v>
      </c>
      <c r="B4163" s="8" t="str">
        <f>HYPERLINK("https://twitter.com/supri_prp","@supri_prp")</f>
        <v>@supri_prp</v>
      </c>
      <c r="C4163" s="8" t="s">
        <v>2230</v>
      </c>
      <c r="D4163" s="8">
        <v>0</v>
      </c>
      <c r="E4163" s="8">
        <v>0</v>
      </c>
      <c r="F4163" s="8">
        <v>473</v>
      </c>
    </row>
    <row r="4164" spans="1:6" ht="12.75">
      <c r="A4164" s="8">
        <v>43903.25916666667</v>
      </c>
      <c r="B4164" s="8" t="str">
        <f>HYPERLINK("https://twitter.com/what_did_imiss","@what_did_imiss")</f>
        <v>@what_did_imiss</v>
      </c>
      <c r="C4164" s="8" t="s">
        <v>1195</v>
      </c>
      <c r="D4164" s="8">
        <v>2481</v>
      </c>
      <c r="E4164" s="8">
        <v>0</v>
      </c>
      <c r="F4164" s="8">
        <v>441</v>
      </c>
    </row>
    <row r="4165" spans="1:6" ht="12.75">
      <c r="A4165" s="8">
        <v>43903.256944444445</v>
      </c>
      <c r="B4165" s="8" t="str">
        <f>HYPERLINK("https://twitter.com/indonesiana","@indonesiana")</f>
        <v>@indonesiana</v>
      </c>
      <c r="C4165" s="8" t="s">
        <v>2231</v>
      </c>
      <c r="D4165" s="8">
        <v>0</v>
      </c>
      <c r="E4165" s="8">
        <v>0</v>
      </c>
      <c r="F4165" s="8">
        <v>49767</v>
      </c>
    </row>
    <row r="4166" spans="1:6" ht="12.75">
      <c r="A4166" s="8">
        <v>43903.256481481483</v>
      </c>
      <c r="B4166" s="8" t="str">
        <f>HYPERLINK("https://twitter.com/gerinisk","@gerinisk")</f>
        <v>@gerinisk</v>
      </c>
      <c r="C4166" s="8" t="s">
        <v>2232</v>
      </c>
      <c r="D4166" s="8">
        <v>0</v>
      </c>
      <c r="E4166" s="8">
        <v>0</v>
      </c>
      <c r="F4166" s="8">
        <v>138</v>
      </c>
    </row>
    <row r="4167" spans="1:6" ht="12.75">
      <c r="A4167" s="8">
        <v>43903.256331018521</v>
      </c>
      <c r="B4167" s="8" t="str">
        <f>HYPERLINK("https://twitter.com/Dio_masAri","@Dio_masAri")</f>
        <v>@Dio_masAri</v>
      </c>
      <c r="C4167" s="8" t="s">
        <v>2233</v>
      </c>
      <c r="D4167" s="8">
        <v>0</v>
      </c>
      <c r="E4167" s="8">
        <v>0</v>
      </c>
      <c r="F4167" s="8">
        <v>109</v>
      </c>
    </row>
    <row r="4168" spans="1:6" ht="12.75">
      <c r="A4168" s="8">
        <v>43903.255740740744</v>
      </c>
      <c r="B4168" s="8" t="str">
        <f>HYPERLINK("https://twitter.com/gerinisk","@gerinisk")</f>
        <v>@gerinisk</v>
      </c>
      <c r="C4168" s="8" t="s">
        <v>2234</v>
      </c>
      <c r="D4168" s="8">
        <v>0</v>
      </c>
      <c r="E4168" s="8">
        <v>0</v>
      </c>
      <c r="F4168" s="8">
        <v>138</v>
      </c>
    </row>
    <row r="4169" spans="1:6" ht="12.75">
      <c r="A4169" s="8">
        <v>43903.25571759259</v>
      </c>
      <c r="B4169" s="8" t="str">
        <f>HYPERLINK("https://twitter.com/RinjaniJB","@RinjaniJB")</f>
        <v>@RinjaniJB</v>
      </c>
      <c r="C4169" s="8" t="s">
        <v>353</v>
      </c>
      <c r="D4169" s="8">
        <v>4</v>
      </c>
      <c r="E4169" s="8">
        <v>0</v>
      </c>
      <c r="F4169" s="8">
        <v>19300</v>
      </c>
    </row>
    <row r="4170" spans="1:6" ht="12.75">
      <c r="A4170" s="8">
        <v>43903.255104166667</v>
      </c>
      <c r="B4170" s="8" t="str">
        <f>HYPERLINK("https://twitter.com/harishindira","@harishindira")</f>
        <v>@harishindira</v>
      </c>
      <c r="C4170" s="8" t="s">
        <v>1195</v>
      </c>
      <c r="D4170" s="8">
        <v>2469</v>
      </c>
      <c r="E4170" s="8">
        <v>0</v>
      </c>
      <c r="F4170" s="8">
        <v>177</v>
      </c>
    </row>
    <row r="4171" spans="1:6" ht="12.75">
      <c r="A4171" s="8">
        <v>43903.254918981482</v>
      </c>
      <c r="B4171" s="8" t="str">
        <f>HYPERLINK("https://twitter.com/Eprin14","@Eprin14")</f>
        <v>@Eprin14</v>
      </c>
      <c r="C4171" s="8" t="s">
        <v>2235</v>
      </c>
      <c r="D4171" s="8">
        <v>0</v>
      </c>
      <c r="E4171" s="8">
        <v>0</v>
      </c>
      <c r="F4171" s="8">
        <v>0</v>
      </c>
    </row>
    <row r="4172" spans="1:6" ht="12.75">
      <c r="A4172" s="8">
        <v>43903.253020833334</v>
      </c>
      <c r="B4172" s="8" t="str">
        <f>HYPERLINK("https://twitter.com/DeasyKurniawati","@DeasyKurniawati")</f>
        <v>@DeasyKurniawati</v>
      </c>
      <c r="C4172" s="8" t="s">
        <v>353</v>
      </c>
      <c r="D4172" s="8">
        <v>4</v>
      </c>
      <c r="E4172" s="8">
        <v>0</v>
      </c>
      <c r="F4172" s="8">
        <v>395</v>
      </c>
    </row>
    <row r="4173" spans="1:6" ht="12.75">
      <c r="A4173" s="8">
        <v>43903.25299768518</v>
      </c>
      <c r="B4173" s="8" t="str">
        <f>HYPERLINK("https://twitter.com/Albertsantoso7","@Albertsantoso7")</f>
        <v>@Albertsantoso7</v>
      </c>
      <c r="C4173" s="8" t="s">
        <v>2165</v>
      </c>
      <c r="D4173" s="8">
        <v>7</v>
      </c>
      <c r="E4173" s="8">
        <v>0</v>
      </c>
      <c r="F4173" s="8">
        <v>61</v>
      </c>
    </row>
    <row r="4174" spans="1:6" ht="12.75">
      <c r="A4174" s="8">
        <v>43903.252893518518</v>
      </c>
      <c r="B4174" s="8" t="str">
        <f>HYPERLINK("https://twitter.com/Eprin14","@Eprin14")</f>
        <v>@Eprin14</v>
      </c>
      <c r="C4174" s="8" t="s">
        <v>2236</v>
      </c>
      <c r="D4174" s="8">
        <v>0</v>
      </c>
      <c r="E4174" s="8">
        <v>0</v>
      </c>
      <c r="F4174" s="8">
        <v>0</v>
      </c>
    </row>
    <row r="4175" spans="1:6" ht="12.75">
      <c r="A4175" s="8">
        <v>43903.251944444448</v>
      </c>
      <c r="B4175" s="8" t="str">
        <f>HYPERLINK("https://twitter.com/BillTemporo","@BillTemporo")</f>
        <v>@BillTemporo</v>
      </c>
      <c r="C4175" s="8" t="s">
        <v>355</v>
      </c>
      <c r="D4175" s="8">
        <v>0</v>
      </c>
      <c r="E4175" s="8">
        <v>0</v>
      </c>
      <c r="F4175" s="8">
        <v>11</v>
      </c>
    </row>
    <row r="4176" spans="1:6" ht="12.75">
      <c r="A4176" s="8">
        <v>43903.251875000002</v>
      </c>
      <c r="B4176" s="8" t="str">
        <f>HYPERLINK("https://twitter.com/Barna_byo","@Barna_byo")</f>
        <v>@Barna_byo</v>
      </c>
      <c r="C4176" s="8" t="s">
        <v>353</v>
      </c>
      <c r="D4176" s="8">
        <v>4</v>
      </c>
      <c r="E4176" s="8">
        <v>0</v>
      </c>
      <c r="F4176" s="8">
        <v>7882</v>
      </c>
    </row>
    <row r="4177" spans="1:6" ht="12.75">
      <c r="A4177" s="8">
        <v>43903.251608796301</v>
      </c>
      <c r="B4177" s="8" t="str">
        <f>HYPERLINK("https://twitter.com/AlulSirajuddin","@AlulSirajuddin")</f>
        <v>@AlulSirajuddin</v>
      </c>
      <c r="C4177" s="8" t="s">
        <v>353</v>
      </c>
      <c r="D4177" s="8">
        <v>4</v>
      </c>
      <c r="E4177" s="8">
        <v>0</v>
      </c>
      <c r="F4177" s="8">
        <v>379</v>
      </c>
    </row>
    <row r="4178" spans="1:6" ht="12.75">
      <c r="A4178" s="8">
        <v>43903.251504629632</v>
      </c>
      <c r="B4178" s="8" t="str">
        <f>HYPERLINK("https://twitter.com/wadezzig","@wadezzig")</f>
        <v>@wadezzig</v>
      </c>
      <c r="C4178" s="8" t="s">
        <v>2051</v>
      </c>
      <c r="D4178" s="8">
        <v>165</v>
      </c>
      <c r="E4178" s="8">
        <v>0</v>
      </c>
      <c r="F4178" s="8">
        <v>406</v>
      </c>
    </row>
    <row r="4179" spans="1:6" ht="12.75">
      <c r="A4179" s="8">
        <v>43903.251296296294</v>
      </c>
      <c r="B4179" s="8" t="str">
        <f>HYPERLINK("https://twitter.com/NUGROS13","@NUGROS13")</f>
        <v>@NUGROS13</v>
      </c>
      <c r="C4179" s="8" t="s">
        <v>2237</v>
      </c>
      <c r="D4179" s="8">
        <v>0</v>
      </c>
      <c r="E4179" s="8">
        <v>0</v>
      </c>
      <c r="F4179" s="8">
        <v>840</v>
      </c>
    </row>
    <row r="4180" spans="1:6" ht="12.75">
      <c r="A4180" s="8">
        <v>43903.250092592592</v>
      </c>
      <c r="B4180" s="8" t="str">
        <f>HYPERLINK("https://twitter.com/mutiaradhani","@mutiaradhani")</f>
        <v>@mutiaradhani</v>
      </c>
      <c r="C4180" s="8" t="s">
        <v>2051</v>
      </c>
      <c r="D4180" s="8">
        <v>165</v>
      </c>
      <c r="E4180" s="8">
        <v>0</v>
      </c>
      <c r="F4180" s="8">
        <v>223</v>
      </c>
    </row>
    <row r="4181" spans="1:6" ht="12.75">
      <c r="A4181" s="8">
        <v>43903.249710648146</v>
      </c>
      <c r="B4181" s="8" t="str">
        <f>HYPERLINK("https://twitter.com/Jsr_avi","@Jsr_avi")</f>
        <v>@Jsr_avi</v>
      </c>
      <c r="C4181" s="8" t="s">
        <v>1195</v>
      </c>
      <c r="D4181" s="8">
        <v>2469</v>
      </c>
      <c r="E4181" s="8">
        <v>0</v>
      </c>
      <c r="F4181" s="8">
        <v>457</v>
      </c>
    </row>
    <row r="4182" spans="1:6" ht="12.75">
      <c r="A4182" s="8">
        <v>43903.249386574069</v>
      </c>
      <c r="B4182" s="8" t="str">
        <f>HYPERLINK("https://twitter.com/Kakak20268742","@Kakak20268742")</f>
        <v>@Kakak20268742</v>
      </c>
      <c r="C4182" s="8" t="s">
        <v>2238</v>
      </c>
      <c r="D4182" s="8">
        <v>0</v>
      </c>
      <c r="E4182" s="8">
        <v>0</v>
      </c>
      <c r="F4182" s="8">
        <v>72</v>
      </c>
    </row>
    <row r="4183" spans="1:6" ht="12.75">
      <c r="A4183" s="8">
        <v>43903.249386574069</v>
      </c>
      <c r="B4183" s="8" t="str">
        <f>HYPERLINK("https://twitter.com/KazaniRiel","@KazaniRiel")</f>
        <v>@KazaniRiel</v>
      </c>
      <c r="C4183" s="8" t="s">
        <v>2239</v>
      </c>
      <c r="D4183" s="8">
        <v>0</v>
      </c>
      <c r="E4183" s="8">
        <v>0</v>
      </c>
      <c r="F4183" s="8">
        <v>12</v>
      </c>
    </row>
    <row r="4184" spans="1:6" ht="12.75">
      <c r="A4184" s="8">
        <v>43903.24927083333</v>
      </c>
      <c r="B4184" s="8" t="str">
        <f>HYPERLINK("https://twitter.com/WR_4AG226","@WR_4AG226")</f>
        <v>@WR_4AG226</v>
      </c>
      <c r="C4184" s="8" t="s">
        <v>2240</v>
      </c>
      <c r="D4184" s="8">
        <v>4</v>
      </c>
      <c r="E4184" s="8">
        <v>5</v>
      </c>
      <c r="F4184" s="8">
        <v>58075</v>
      </c>
    </row>
    <row r="4185" spans="1:6" ht="12.75">
      <c r="A4185" s="8">
        <v>43903.248668981483</v>
      </c>
      <c r="B4185" s="8" t="str">
        <f>HYPERLINK("https://twitter.com/Hendrythierrry","@Hendrythierrry")</f>
        <v>@Hendrythierrry</v>
      </c>
      <c r="C4185" s="8" t="s">
        <v>1758</v>
      </c>
      <c r="D4185" s="8">
        <v>99</v>
      </c>
      <c r="E4185" s="8">
        <v>0</v>
      </c>
      <c r="F4185" s="8">
        <v>79</v>
      </c>
    </row>
    <row r="4186" spans="1:6" ht="12.75">
      <c r="A4186" s="8">
        <v>43903.248020833329</v>
      </c>
      <c r="B4186" s="8" t="str">
        <f>HYPERLINK("https://twitter.com/wni_jmsri","@wni_jmsri")</f>
        <v>@wni_jmsri</v>
      </c>
      <c r="C4186" s="8" t="s">
        <v>2152</v>
      </c>
      <c r="D4186" s="8">
        <v>9932</v>
      </c>
      <c r="E4186" s="8">
        <v>0</v>
      </c>
      <c r="F4186" s="8">
        <v>203</v>
      </c>
    </row>
    <row r="4187" spans="1:6" ht="12.75">
      <c r="A4187" s="8">
        <v>43903.247731481482</v>
      </c>
      <c r="B4187" s="8" t="str">
        <f>HYPERLINK("https://twitter.com/trudday","@trudday")</f>
        <v>@trudday</v>
      </c>
      <c r="C4187" s="8" t="s">
        <v>165</v>
      </c>
      <c r="D4187" s="8">
        <v>127</v>
      </c>
      <c r="E4187" s="8">
        <v>0</v>
      </c>
      <c r="F4187" s="8">
        <v>3980</v>
      </c>
    </row>
    <row r="4188" spans="1:6" ht="12.75">
      <c r="A4188" s="8">
        <v>43903.246145833335</v>
      </c>
      <c r="B4188" s="8" t="str">
        <f>HYPERLINK("https://twitter.com/chichacit","@chichacit")</f>
        <v>@chichacit</v>
      </c>
      <c r="C4188" s="8" t="s">
        <v>440</v>
      </c>
      <c r="D4188" s="8">
        <v>145</v>
      </c>
      <c r="E4188" s="8">
        <v>0</v>
      </c>
      <c r="F4188" s="8">
        <v>150</v>
      </c>
    </row>
    <row r="4189" spans="1:6" ht="12.75">
      <c r="A4189" s="8">
        <v>43903.245312500003</v>
      </c>
      <c r="B4189" s="8" t="str">
        <f>HYPERLINK("https://twitter.com/Moussaelzarif","@Moussaelzarif")</f>
        <v>@Moussaelzarif</v>
      </c>
      <c r="C4189" s="8" t="s">
        <v>302</v>
      </c>
      <c r="D4189" s="8">
        <v>5</v>
      </c>
      <c r="E4189" s="8">
        <v>0</v>
      </c>
      <c r="F4189" s="8">
        <v>1884</v>
      </c>
    </row>
    <row r="4190" spans="1:6" ht="12.75">
      <c r="A4190" s="8">
        <v>43903.244571759264</v>
      </c>
      <c r="B4190" s="8" t="str">
        <f>HYPERLINK("https://twitter.com/Barna_byo","@Barna_byo")</f>
        <v>@Barna_byo</v>
      </c>
      <c r="C4190" s="8" t="s">
        <v>1919</v>
      </c>
      <c r="D4190" s="8">
        <v>39</v>
      </c>
      <c r="E4190" s="8">
        <v>0</v>
      </c>
      <c r="F4190" s="8">
        <v>7882</v>
      </c>
    </row>
    <row r="4191" spans="1:6" ht="12.75">
      <c r="A4191" s="8">
        <v>43903.243449074071</v>
      </c>
      <c r="B4191" s="8" t="str">
        <f>HYPERLINK("https://twitter.com/heniunique","@heniunique")</f>
        <v>@heniunique</v>
      </c>
      <c r="C4191" s="8" t="s">
        <v>1919</v>
      </c>
      <c r="D4191" s="8">
        <v>39</v>
      </c>
      <c r="E4191" s="8">
        <v>0</v>
      </c>
      <c r="F4191" s="8">
        <v>10054</v>
      </c>
    </row>
    <row r="4192" spans="1:6" ht="12.75">
      <c r="A4192" s="8">
        <v>43903.242164351846</v>
      </c>
      <c r="B4192" s="8" t="str">
        <f>HYPERLINK("https://twitter.com/Eprin14","@Eprin14")</f>
        <v>@Eprin14</v>
      </c>
      <c r="C4192" s="8" t="s">
        <v>2241</v>
      </c>
      <c r="D4192" s="8">
        <v>0</v>
      </c>
      <c r="E4192" s="8">
        <v>0</v>
      </c>
      <c r="F4192" s="8">
        <v>0</v>
      </c>
    </row>
    <row r="4193" spans="1:6" ht="12.75">
      <c r="A4193" s="8">
        <v>43903.242037037038</v>
      </c>
      <c r="B4193" s="8" t="str">
        <f>HYPERLINK("https://twitter.com/zulsalampessy","@zulsalampessy")</f>
        <v>@zulsalampessy</v>
      </c>
      <c r="C4193" s="8" t="s">
        <v>2242</v>
      </c>
      <c r="D4193" s="8">
        <v>0</v>
      </c>
      <c r="E4193" s="8">
        <v>0</v>
      </c>
      <c r="F4193" s="8">
        <v>216</v>
      </c>
    </row>
    <row r="4194" spans="1:6" ht="12.75">
      <c r="A4194" s="8">
        <v>43903.241296296299</v>
      </c>
      <c r="B4194" s="8" t="str">
        <f>HYPERLINK("https://twitter.com/the_hero77","@the_hero77")</f>
        <v>@the_hero77</v>
      </c>
      <c r="C4194" s="8" t="s">
        <v>2243</v>
      </c>
      <c r="D4194" s="8">
        <v>0</v>
      </c>
      <c r="E4194" s="8">
        <v>0</v>
      </c>
      <c r="F4194" s="8">
        <v>501</v>
      </c>
    </row>
    <row r="4195" spans="1:6" ht="12.75">
      <c r="A4195" s="8">
        <v>43903.240868055553</v>
      </c>
      <c r="B4195" s="8" t="str">
        <f>HYPERLINK("https://twitter.com/heintje_han","@heintje_han")</f>
        <v>@heintje_han</v>
      </c>
      <c r="C4195" s="8" t="s">
        <v>1919</v>
      </c>
      <c r="D4195" s="8">
        <v>39</v>
      </c>
      <c r="E4195" s="8">
        <v>0</v>
      </c>
      <c r="F4195" s="8">
        <v>248</v>
      </c>
    </row>
    <row r="4196" spans="1:6" ht="12.75">
      <c r="A4196" s="8">
        <v>43903.240416666667</v>
      </c>
      <c r="B4196" s="8" t="str">
        <f>HYPERLINK("https://twitter.com/uyet_buyu","@uyet_buyu")</f>
        <v>@uyet_buyu</v>
      </c>
      <c r="C4196" s="8" t="s">
        <v>1836</v>
      </c>
      <c r="D4196" s="8">
        <v>90</v>
      </c>
      <c r="E4196" s="8">
        <v>0</v>
      </c>
      <c r="F4196" s="8">
        <v>805</v>
      </c>
    </row>
    <row r="4197" spans="1:6" ht="12.75">
      <c r="A4197" s="8">
        <v>43903.238668981481</v>
      </c>
      <c r="B4197" s="8" t="str">
        <f>HYPERLINK("https://twitter.com/TJ_Budi","@TJ_Budi")</f>
        <v>@TJ_Budi</v>
      </c>
      <c r="C4197" s="8" t="s">
        <v>2051</v>
      </c>
      <c r="D4197" s="8">
        <v>165</v>
      </c>
      <c r="E4197" s="8">
        <v>0</v>
      </c>
      <c r="F4197" s="8">
        <v>151</v>
      </c>
    </row>
    <row r="4198" spans="1:6" ht="12.75">
      <c r="A4198" s="8">
        <v>43903.237557870365</v>
      </c>
      <c r="B4198" s="8" t="str">
        <f>HYPERLINK("https://twitter.com/mineshah","@mineshah")</f>
        <v>@mineshah</v>
      </c>
      <c r="C4198" s="8" t="s">
        <v>1195</v>
      </c>
      <c r="D4198" s="8">
        <v>2469</v>
      </c>
      <c r="E4198" s="8">
        <v>0</v>
      </c>
      <c r="F4198" s="8">
        <v>313</v>
      </c>
    </row>
    <row r="4199" spans="1:6" ht="12.75">
      <c r="A4199" s="8">
        <v>43903.236261574071</v>
      </c>
      <c r="B4199" s="8" t="str">
        <f>HYPERLINK("https://twitter.com/syahrulakbar197","@syahrulakbar197")</f>
        <v>@syahrulakbar197</v>
      </c>
      <c r="C4199" s="8" t="s">
        <v>2244</v>
      </c>
      <c r="D4199" s="8">
        <v>0</v>
      </c>
      <c r="E4199" s="8">
        <v>0</v>
      </c>
      <c r="F4199" s="8">
        <v>1013</v>
      </c>
    </row>
    <row r="4200" spans="1:6" ht="12.75">
      <c r="A4200" s="8">
        <v>43903.235185185185</v>
      </c>
      <c r="B4200" s="8" t="str">
        <f t="shared" ref="B4200:B4201" si="74">HYPERLINK("https://twitter.com/dewi_darmawati","@dewi_darmawati")</f>
        <v>@dewi_darmawati</v>
      </c>
      <c r="C4200" s="8" t="s">
        <v>1919</v>
      </c>
      <c r="D4200" s="8">
        <v>39</v>
      </c>
      <c r="E4200" s="8">
        <v>0</v>
      </c>
      <c r="F4200" s="8">
        <v>4448</v>
      </c>
    </row>
    <row r="4201" spans="1:6" ht="12.75">
      <c r="A4201" s="8">
        <v>43903.23501157407</v>
      </c>
      <c r="B4201" s="8" t="str">
        <f t="shared" si="74"/>
        <v>@dewi_darmawati</v>
      </c>
      <c r="C4201" s="8" t="s">
        <v>2245</v>
      </c>
      <c r="D4201" s="8">
        <v>10</v>
      </c>
      <c r="E4201" s="8">
        <v>0</v>
      </c>
      <c r="F4201" s="8">
        <v>4448</v>
      </c>
    </row>
    <row r="4202" spans="1:6" ht="12.75">
      <c r="A4202" s="8">
        <v>43903.234456018516</v>
      </c>
      <c r="B4202" s="8" t="str">
        <f t="shared" ref="B4202:B4203" si="75">HYPERLINK("https://twitter.com/Hanifah933","@Hanifah933")</f>
        <v>@Hanifah933</v>
      </c>
      <c r="C4202" s="8" t="s">
        <v>2246</v>
      </c>
      <c r="D4202" s="8">
        <v>2</v>
      </c>
      <c r="E4202" s="8">
        <v>0</v>
      </c>
      <c r="F4202" s="8">
        <v>7262</v>
      </c>
    </row>
    <row r="4203" spans="1:6" ht="12.75">
      <c r="A4203" s="8">
        <v>43903.234421296293</v>
      </c>
      <c r="B4203" s="8" t="str">
        <f t="shared" si="75"/>
        <v>@Hanifah933</v>
      </c>
      <c r="C4203" s="8" t="s">
        <v>1919</v>
      </c>
      <c r="D4203" s="8">
        <v>39</v>
      </c>
      <c r="E4203" s="8">
        <v>0</v>
      </c>
      <c r="F4203" s="8">
        <v>7262</v>
      </c>
    </row>
    <row r="4204" spans="1:6" ht="12.75">
      <c r="A4204" s="8">
        <v>43903.23269675926</v>
      </c>
      <c r="B4204" s="8" t="str">
        <f>HYPERLINK("https://twitter.com/Infosureshom","@Infosureshom")</f>
        <v>@Infosureshom</v>
      </c>
      <c r="C4204" s="8" t="s">
        <v>1195</v>
      </c>
      <c r="D4204" s="8">
        <v>2469</v>
      </c>
      <c r="E4204" s="8">
        <v>0</v>
      </c>
      <c r="F4204" s="8">
        <v>136</v>
      </c>
    </row>
    <row r="4205" spans="1:6" ht="12.75">
      <c r="A4205" s="8">
        <v>43903.231203703705</v>
      </c>
      <c r="B4205" s="8" t="str">
        <f>HYPERLINK("https://twitter.com/idpenamini","@idpenamini")</f>
        <v>@idpenamini</v>
      </c>
      <c r="C4205" s="8" t="s">
        <v>2247</v>
      </c>
      <c r="D4205" s="8">
        <v>0</v>
      </c>
      <c r="E4205" s="8">
        <v>0</v>
      </c>
      <c r="F4205" s="8">
        <v>174</v>
      </c>
    </row>
    <row r="4206" spans="1:6" ht="12.75">
      <c r="A4206" s="8">
        <v>43903.230983796297</v>
      </c>
      <c r="B4206" s="8" t="str">
        <f>HYPERLINK("https://twitter.com/angie_vountan","@angie_vountan")</f>
        <v>@angie_vountan</v>
      </c>
      <c r="C4206" s="8" t="s">
        <v>2165</v>
      </c>
      <c r="D4206" s="8">
        <v>7</v>
      </c>
      <c r="E4206" s="8">
        <v>0</v>
      </c>
      <c r="F4206" s="8">
        <v>115</v>
      </c>
    </row>
    <row r="4207" spans="1:6" ht="12.75">
      <c r="A4207" s="8">
        <v>43903.230844907404</v>
      </c>
      <c r="B4207" s="8" t="str">
        <f>HYPERLINK("https://twitter.com/BilalAl42532277","@BilalAl42532277")</f>
        <v>@BilalAl42532277</v>
      </c>
      <c r="C4207" s="8" t="s">
        <v>2248</v>
      </c>
      <c r="D4207" s="8">
        <v>0</v>
      </c>
      <c r="E4207" s="8">
        <v>0</v>
      </c>
      <c r="F4207" s="8">
        <v>19</v>
      </c>
    </row>
    <row r="4208" spans="1:6" ht="12.75">
      <c r="A4208" s="8">
        <v>43903.230833333335</v>
      </c>
      <c r="B4208" s="8" t="str">
        <f>HYPERLINK("https://twitter.com/BillTemporo","@BillTemporo")</f>
        <v>@BillTemporo</v>
      </c>
      <c r="C4208" s="8" t="s">
        <v>384</v>
      </c>
      <c r="D4208" s="8">
        <v>0</v>
      </c>
      <c r="E4208" s="8">
        <v>0</v>
      </c>
      <c r="F4208" s="8">
        <v>11</v>
      </c>
    </row>
    <row r="4209" spans="1:6" ht="12.75">
      <c r="A4209" s="8">
        <v>43903.230370370366</v>
      </c>
      <c r="B4209" s="8" t="str">
        <f>HYPERLINK("https://twitter.com/555masteng","@555masteng")</f>
        <v>@555masteng</v>
      </c>
      <c r="C4209" s="8" t="s">
        <v>1919</v>
      </c>
      <c r="D4209" s="8">
        <v>39</v>
      </c>
      <c r="E4209" s="8">
        <v>0</v>
      </c>
      <c r="F4209" s="8">
        <v>5639</v>
      </c>
    </row>
    <row r="4210" spans="1:6" ht="12.75">
      <c r="A4210" s="8">
        <v>43903.228599537033</v>
      </c>
      <c r="B4210" s="8" t="str">
        <f>HYPERLINK("https://twitter.com/ProudHi63856632","@ProudHi63856632")</f>
        <v>@ProudHi63856632</v>
      </c>
      <c r="C4210" s="8" t="s">
        <v>1195</v>
      </c>
      <c r="D4210" s="8">
        <v>2469</v>
      </c>
      <c r="E4210" s="8">
        <v>0</v>
      </c>
      <c r="F4210" s="8">
        <v>78</v>
      </c>
    </row>
    <row r="4211" spans="1:6" ht="12.75">
      <c r="A4211" s="8">
        <v>43903.22856481481</v>
      </c>
      <c r="B4211" s="8" t="str">
        <f>HYPERLINK("https://twitter.com/gus_von_diajie","@gus_von_diajie")</f>
        <v>@gus_von_diajie</v>
      </c>
      <c r="C4211" s="8" t="s">
        <v>1919</v>
      </c>
      <c r="D4211" s="8">
        <v>39</v>
      </c>
      <c r="E4211" s="8">
        <v>0</v>
      </c>
      <c r="F4211" s="8">
        <v>1223</v>
      </c>
    </row>
    <row r="4212" spans="1:6" ht="12.75">
      <c r="A4212" s="8">
        <v>43903.227766203709</v>
      </c>
      <c r="B4212" s="8" t="str">
        <f>HYPERLINK("https://twitter.com/FreedySamuel","@FreedySamuel")</f>
        <v>@FreedySamuel</v>
      </c>
      <c r="C4212" s="8" t="s">
        <v>1030</v>
      </c>
      <c r="D4212" s="8">
        <v>181</v>
      </c>
      <c r="E4212" s="8">
        <v>0</v>
      </c>
      <c r="F4212" s="8">
        <v>163</v>
      </c>
    </row>
    <row r="4213" spans="1:6" ht="12.75">
      <c r="A4213" s="8">
        <v>43903.227662037039</v>
      </c>
      <c r="B4213" s="8" t="str">
        <f>HYPERLINK("https://twitter.com/varunSrkian","@varunSrkian")</f>
        <v>@varunSrkian</v>
      </c>
      <c r="C4213" s="8" t="s">
        <v>1195</v>
      </c>
      <c r="D4213" s="8">
        <v>2469</v>
      </c>
      <c r="E4213" s="8">
        <v>0</v>
      </c>
      <c r="F4213" s="8">
        <v>385</v>
      </c>
    </row>
    <row r="4214" spans="1:6" ht="12.75">
      <c r="A4214" s="8">
        <v>43903.223182870366</v>
      </c>
      <c r="B4214" s="8" t="str">
        <f>HYPERLINK("https://twitter.com/fichapu","@fichapu")</f>
        <v>@fichapu</v>
      </c>
      <c r="C4214" s="8" t="s">
        <v>440</v>
      </c>
      <c r="D4214" s="8">
        <v>145</v>
      </c>
      <c r="E4214" s="8">
        <v>0</v>
      </c>
      <c r="F4214" s="8">
        <v>272</v>
      </c>
    </row>
    <row r="4215" spans="1:6" ht="12.75">
      <c r="A4215" s="8">
        <v>43903.221608796295</v>
      </c>
      <c r="B4215" s="8" t="str">
        <f>HYPERLINK("https://twitter.com/yanahilman2","@yanahilman2")</f>
        <v>@yanahilman2</v>
      </c>
      <c r="C4215" s="8" t="s">
        <v>2249</v>
      </c>
      <c r="D4215" s="8">
        <v>2</v>
      </c>
      <c r="E4215" s="8">
        <v>0</v>
      </c>
      <c r="F4215" s="8">
        <v>4813</v>
      </c>
    </row>
    <row r="4216" spans="1:6" ht="12.75">
      <c r="A4216" s="8">
        <v>43903.221134259264</v>
      </c>
      <c r="B4216" s="8" t="str">
        <f>HYPERLINK("https://twitter.com/adjieavatara","@adjieavatara")</f>
        <v>@adjieavatara</v>
      </c>
      <c r="C4216" s="8" t="s">
        <v>2250</v>
      </c>
      <c r="D4216" s="8">
        <v>0</v>
      </c>
      <c r="E4216" s="8">
        <v>0</v>
      </c>
      <c r="F4216" s="8">
        <v>3204</v>
      </c>
    </row>
    <row r="4217" spans="1:6" ht="12.75">
      <c r="A4217" s="8">
        <v>43903.220046296294</v>
      </c>
      <c r="B4217" s="8" t="str">
        <f>HYPERLINK("https://twitter.com/pranav_psp","@pranav_psp")</f>
        <v>@pranav_psp</v>
      </c>
      <c r="C4217" s="8" t="s">
        <v>1195</v>
      </c>
      <c r="D4217" s="8">
        <v>2469</v>
      </c>
      <c r="E4217" s="8">
        <v>0</v>
      </c>
      <c r="F4217" s="8">
        <v>144</v>
      </c>
    </row>
    <row r="4218" spans="1:6" ht="12.75">
      <c r="A4218" s="8">
        <v>43903.2191087963</v>
      </c>
      <c r="B4218" s="8" t="str">
        <f>HYPERLINK("https://twitter.com/nununn","@nununn")</f>
        <v>@nununn</v>
      </c>
      <c r="C4218" s="8" t="s">
        <v>1450</v>
      </c>
      <c r="D4218" s="8">
        <v>5</v>
      </c>
      <c r="E4218" s="8">
        <v>0</v>
      </c>
      <c r="F4218" s="8">
        <v>773</v>
      </c>
    </row>
    <row r="4219" spans="1:6" ht="12.75">
      <c r="A4219" s="8">
        <v>43903.217430555553</v>
      </c>
      <c r="B4219" s="8" t="str">
        <f>HYPERLINK("https://twitter.com/Bul_Bul_Ependi","@Bul_Bul_Ependi")</f>
        <v>@Bul_Bul_Ependi</v>
      </c>
      <c r="C4219" s="8" t="s">
        <v>2251</v>
      </c>
      <c r="D4219" s="8">
        <v>0</v>
      </c>
      <c r="E4219" s="8">
        <v>1</v>
      </c>
      <c r="F4219" s="8">
        <v>3177</v>
      </c>
    </row>
    <row r="4220" spans="1:6" ht="12.75">
      <c r="A4220" s="8">
        <v>43903.217407407406</v>
      </c>
      <c r="B4220" s="8" t="str">
        <f>HYPERLINK("https://twitter.com/erryfreakz","@erryfreakz")</f>
        <v>@erryfreakz</v>
      </c>
      <c r="C4220" s="8" t="s">
        <v>2051</v>
      </c>
      <c r="D4220" s="8">
        <v>165</v>
      </c>
      <c r="E4220" s="8">
        <v>0</v>
      </c>
      <c r="F4220" s="8">
        <v>329</v>
      </c>
    </row>
    <row r="4221" spans="1:6" ht="12.75">
      <c r="A4221" s="8">
        <v>43903.216249999998</v>
      </c>
      <c r="B4221" s="8" t="str">
        <f>HYPERLINK("https://twitter.com/handia_hari","@handia_hari")</f>
        <v>@handia_hari</v>
      </c>
      <c r="C4221" s="8" t="s">
        <v>289</v>
      </c>
      <c r="D4221" s="8">
        <v>86</v>
      </c>
      <c r="E4221" s="8">
        <v>0</v>
      </c>
      <c r="F4221" s="8">
        <v>274</v>
      </c>
    </row>
    <row r="4222" spans="1:6" ht="12.75">
      <c r="A4222" s="8">
        <v>43903.214120370365</v>
      </c>
      <c r="B4222" s="8" t="str">
        <f>HYPERLINK("https://twitter.com/pensillicin","@pensillicin")</f>
        <v>@pensillicin</v>
      </c>
      <c r="C4222" s="8" t="s">
        <v>440</v>
      </c>
      <c r="D4222" s="8">
        <v>143</v>
      </c>
      <c r="E4222" s="8">
        <v>0</v>
      </c>
      <c r="F4222" s="8">
        <v>201</v>
      </c>
    </row>
    <row r="4223" spans="1:6" ht="12.75">
      <c r="A4223" s="8">
        <v>43903.213263888887</v>
      </c>
      <c r="B4223" s="8" t="str">
        <f>HYPERLINK("https://twitter.com/NGOBUSH3","@NGOBUSH3")</f>
        <v>@NGOBUSH3</v>
      </c>
      <c r="C4223" s="8" t="s">
        <v>1758</v>
      </c>
      <c r="D4223" s="8">
        <v>98</v>
      </c>
      <c r="E4223" s="8">
        <v>0</v>
      </c>
      <c r="F4223" s="8">
        <v>1051</v>
      </c>
    </row>
    <row r="4224" spans="1:6" ht="12.75">
      <c r="A4224" s="8">
        <v>43903.212245370371</v>
      </c>
      <c r="B4224" s="8" t="str">
        <f>HYPERLINK("https://twitter.com/ISandakila","@ISandakila")</f>
        <v>@ISandakila</v>
      </c>
      <c r="C4224" s="8" t="s">
        <v>1377</v>
      </c>
      <c r="D4224" s="8">
        <v>1</v>
      </c>
      <c r="E4224" s="8">
        <v>0</v>
      </c>
      <c r="F4224" s="8">
        <v>3</v>
      </c>
    </row>
    <row r="4225" spans="1:6" ht="12.75">
      <c r="A4225" s="8">
        <v>43903.211469907408</v>
      </c>
      <c r="B4225" s="8" t="str">
        <f t="shared" ref="B4225:B4226" si="76">HYPERLINK("https://twitter.com/wni_jmsri","@wni_jmsri")</f>
        <v>@wni_jmsri</v>
      </c>
      <c r="C4225" s="8" t="s">
        <v>2252</v>
      </c>
      <c r="D4225" s="8">
        <v>24146</v>
      </c>
      <c r="E4225" s="8">
        <v>0</v>
      </c>
      <c r="F4225" s="8">
        <v>203</v>
      </c>
    </row>
    <row r="4226" spans="1:6" ht="12.75">
      <c r="A4226" s="8">
        <v>43903.210821759261</v>
      </c>
      <c r="B4226" s="8" t="str">
        <f t="shared" si="76"/>
        <v>@wni_jmsri</v>
      </c>
      <c r="C4226" s="8" t="s">
        <v>2253</v>
      </c>
      <c r="D4226" s="8">
        <v>1121</v>
      </c>
      <c r="E4226" s="8">
        <v>0</v>
      </c>
      <c r="F4226" s="8">
        <v>203</v>
      </c>
    </row>
    <row r="4227" spans="1:6" ht="12.75">
      <c r="A4227" s="8">
        <v>43903.209965277776</v>
      </c>
      <c r="B4227" s="8" t="str">
        <f>HYPERLINK("https://twitter.com/NurliaUrli","@NurliaUrli")</f>
        <v>@NurliaUrli</v>
      </c>
      <c r="C4227" s="8" t="s">
        <v>1030</v>
      </c>
      <c r="D4227" s="8">
        <v>180</v>
      </c>
      <c r="E4227" s="8">
        <v>0</v>
      </c>
      <c r="F4227" s="8">
        <v>770</v>
      </c>
    </row>
    <row r="4228" spans="1:6" ht="12.75">
      <c r="A4228" s="8">
        <v>43903.208298611113</v>
      </c>
      <c r="B4228" s="8" t="str">
        <f>HYPERLINK("https://twitter.com/ciaaciull","@ciaaciull")</f>
        <v>@ciaaciull</v>
      </c>
      <c r="C4228" s="8" t="s">
        <v>2254</v>
      </c>
      <c r="D4228" s="8">
        <v>0</v>
      </c>
      <c r="E4228" s="8">
        <v>0</v>
      </c>
      <c r="F4228" s="8">
        <v>393</v>
      </c>
    </row>
    <row r="4229" spans="1:6" ht="12.75">
      <c r="A4229" s="8">
        <v>43903.207442129627</v>
      </c>
      <c r="B4229" s="8" t="str">
        <f>HYPERLINK("https://twitter.com/DhruvRaiyani","@DhruvRaiyani")</f>
        <v>@DhruvRaiyani</v>
      </c>
      <c r="C4229" s="8" t="s">
        <v>1195</v>
      </c>
      <c r="D4229" s="8">
        <v>2461</v>
      </c>
      <c r="E4229" s="8">
        <v>0</v>
      </c>
      <c r="F4229" s="8">
        <v>363</v>
      </c>
    </row>
    <row r="4230" spans="1:6" ht="12.75">
      <c r="A4230" s="8">
        <v>43903.205393518518</v>
      </c>
      <c r="B4230" s="8" t="str">
        <f>HYPERLINK("https://twitter.com/GoldenrulesJong","@GoldenrulesJong")</f>
        <v>@GoldenrulesJong</v>
      </c>
      <c r="C4230" s="8" t="s">
        <v>1643</v>
      </c>
      <c r="D4230" s="8">
        <v>126</v>
      </c>
      <c r="E4230" s="8">
        <v>0</v>
      </c>
      <c r="F4230" s="8">
        <v>246</v>
      </c>
    </row>
    <row r="4231" spans="1:6" ht="12.75">
      <c r="A4231" s="8">
        <v>43903.205393518518</v>
      </c>
      <c r="B4231" s="8" t="str">
        <f>HYPERLINK("https://twitter.com/Arnab_Dutta1","@Arnab_Dutta1")</f>
        <v>@Arnab_Dutta1</v>
      </c>
      <c r="C4231" s="8" t="s">
        <v>1195</v>
      </c>
      <c r="D4231" s="8">
        <v>2461</v>
      </c>
      <c r="E4231" s="8">
        <v>0</v>
      </c>
      <c r="F4231" s="8">
        <v>2092</v>
      </c>
    </row>
    <row r="4232" spans="1:6" ht="12.75">
      <c r="A4232" s="8">
        <v>43903.204837962963</v>
      </c>
      <c r="B4232" s="8" t="str">
        <f>HYPERLINK("https://twitter.com/edikadina02","@edikadina02")</f>
        <v>@edikadina02</v>
      </c>
      <c r="C4232" s="8" t="s">
        <v>1758</v>
      </c>
      <c r="D4232" s="8">
        <v>98</v>
      </c>
      <c r="E4232" s="8">
        <v>0</v>
      </c>
      <c r="F4232" s="8">
        <v>2205</v>
      </c>
    </row>
    <row r="4233" spans="1:6" ht="12.75">
      <c r="A4233" s="8">
        <v>43903.204814814817</v>
      </c>
      <c r="B4233" s="8" t="str">
        <f>HYPERLINK("https://twitter.com/rosamarina87","@rosamarina87")</f>
        <v>@rosamarina87</v>
      </c>
      <c r="C4233" s="8" t="s">
        <v>2255</v>
      </c>
      <c r="D4233" s="8">
        <v>2</v>
      </c>
      <c r="E4233" s="8">
        <v>0</v>
      </c>
      <c r="F4233" s="8">
        <v>79</v>
      </c>
    </row>
    <row r="4234" spans="1:6" ht="12.75">
      <c r="A4234" s="8">
        <v>43903.204340277778</v>
      </c>
      <c r="B4234" s="8" t="str">
        <f>HYPERLINK("https://twitter.com/yodanand","@yodanand")</f>
        <v>@yodanand</v>
      </c>
      <c r="C4234" s="8" t="s">
        <v>1195</v>
      </c>
      <c r="D4234" s="8">
        <v>2461</v>
      </c>
      <c r="E4234" s="8">
        <v>0</v>
      </c>
      <c r="F4234" s="8">
        <v>86</v>
      </c>
    </row>
    <row r="4235" spans="1:6" ht="12.75">
      <c r="A4235" s="8">
        <v>43903.203414351854</v>
      </c>
      <c r="B4235" s="8" t="str">
        <f>HYPERLINK("https://twitter.com/isab_sz","@isab_sz")</f>
        <v>@isab_sz</v>
      </c>
      <c r="C4235" s="8" t="s">
        <v>2256</v>
      </c>
      <c r="D4235" s="8">
        <v>0</v>
      </c>
      <c r="E4235" s="8">
        <v>1</v>
      </c>
      <c r="F4235" s="8">
        <v>580</v>
      </c>
    </row>
    <row r="4236" spans="1:6" ht="12.75">
      <c r="A4236" s="8">
        <v>43903.200289351851</v>
      </c>
      <c r="B4236" s="8" t="str">
        <f>HYPERLINK("https://twitter.com/I__Am__Ram","@I__Am__Ram")</f>
        <v>@I__Am__Ram</v>
      </c>
      <c r="C4236" s="8" t="s">
        <v>1195</v>
      </c>
      <c r="D4236" s="8">
        <v>2461</v>
      </c>
      <c r="E4236" s="8">
        <v>0</v>
      </c>
      <c r="F4236" s="8">
        <v>564</v>
      </c>
    </row>
    <row r="4237" spans="1:6" ht="12.75">
      <c r="A4237" s="8">
        <v>43903.20003472222</v>
      </c>
      <c r="B4237" s="8" t="str">
        <f>HYPERLINK("https://twitter.com/tempodotco","@tempodotco")</f>
        <v>@tempodotco</v>
      </c>
      <c r="C4237" s="8" t="s">
        <v>2231</v>
      </c>
      <c r="D4237" s="8">
        <v>2</v>
      </c>
      <c r="E4237" s="8">
        <v>2</v>
      </c>
      <c r="F4237" s="8">
        <v>1713640</v>
      </c>
    </row>
    <row r="4238" spans="1:6" ht="12.75">
      <c r="A4238" s="8">
        <v>43903.199444444443</v>
      </c>
      <c r="B4238" s="8" t="str">
        <f>HYPERLINK("https://twitter.com/papakilozero","@papakilozero")</f>
        <v>@papakilozero</v>
      </c>
      <c r="C4238" s="8" t="s">
        <v>1030</v>
      </c>
      <c r="D4238" s="8">
        <v>180</v>
      </c>
      <c r="E4238" s="8">
        <v>0</v>
      </c>
      <c r="F4238" s="8">
        <v>1</v>
      </c>
    </row>
    <row r="4239" spans="1:6" ht="12.75">
      <c r="A4239" s="8">
        <v>43903.197743055556</v>
      </c>
      <c r="B4239" s="8" t="str">
        <f>HYPERLINK("https://twitter.com/ambarsariyah","@ambarsariyah")</f>
        <v>@ambarsariyah</v>
      </c>
      <c r="C4239" s="8" t="s">
        <v>1195</v>
      </c>
      <c r="D4239" s="8">
        <v>2461</v>
      </c>
      <c r="E4239" s="8">
        <v>0</v>
      </c>
      <c r="F4239" s="8">
        <v>93</v>
      </c>
    </row>
    <row r="4240" spans="1:6" ht="12.75">
      <c r="A4240" s="8">
        <v>43903.197488425925</v>
      </c>
      <c r="B4240" s="8" t="str">
        <f>HYPERLINK("https://twitter.com/r6at4QWPVyTjpAf","@r6at4QWPVyTjpAf")</f>
        <v>@r6at4QWPVyTjpAf</v>
      </c>
      <c r="C4240" s="8" t="s">
        <v>1195</v>
      </c>
      <c r="D4240" s="8">
        <v>2461</v>
      </c>
      <c r="E4240" s="8">
        <v>0</v>
      </c>
      <c r="F4240" s="8">
        <v>252</v>
      </c>
    </row>
    <row r="4241" spans="1:6" ht="12.75">
      <c r="A4241" s="8">
        <v>43903.197476851856</v>
      </c>
      <c r="B4241" s="8" t="str">
        <f>HYPERLINK("https://twitter.com/hermannizam1902","@hermannizam1902")</f>
        <v>@hermannizam1902</v>
      </c>
      <c r="C4241" s="8" t="s">
        <v>2257</v>
      </c>
      <c r="D4241" s="8">
        <v>0</v>
      </c>
      <c r="E4241" s="8">
        <v>0</v>
      </c>
      <c r="F4241" s="8">
        <v>60</v>
      </c>
    </row>
    <row r="4242" spans="1:6" ht="12.75">
      <c r="A4242" s="8">
        <v>43903.196192129632</v>
      </c>
      <c r="B4242" s="8" t="str">
        <f>HYPERLINK("https://twitter.com/MitraPrakash","@MitraPrakash")</f>
        <v>@MitraPrakash</v>
      </c>
      <c r="C4242" s="8" t="s">
        <v>1195</v>
      </c>
      <c r="D4242" s="8">
        <v>2461</v>
      </c>
      <c r="E4242" s="8">
        <v>0</v>
      </c>
      <c r="F4242" s="8">
        <v>212</v>
      </c>
    </row>
    <row r="4243" spans="1:6" ht="12.75">
      <c r="A4243" s="8">
        <v>43903.195636574077</v>
      </c>
      <c r="B4243" s="8" t="str">
        <f>HYPERLINK("https://twitter.com/fallinchat","@fallinchat")</f>
        <v>@fallinchat</v>
      </c>
      <c r="C4243" s="8" t="s">
        <v>1195</v>
      </c>
      <c r="D4243" s="8">
        <v>2461</v>
      </c>
      <c r="E4243" s="8">
        <v>0</v>
      </c>
      <c r="F4243" s="8">
        <v>3479</v>
      </c>
    </row>
    <row r="4244" spans="1:6" ht="12.75">
      <c r="A4244" s="8">
        <v>43903.19258101852</v>
      </c>
      <c r="B4244" s="8" t="str">
        <f>HYPERLINK("https://twitter.com/RavirutulChavda","@RavirutulChavda")</f>
        <v>@RavirutulChavda</v>
      </c>
      <c r="C4244" s="8" t="s">
        <v>1195</v>
      </c>
      <c r="D4244" s="8">
        <v>2461</v>
      </c>
      <c r="E4244" s="8">
        <v>0</v>
      </c>
      <c r="F4244" s="8">
        <v>86</v>
      </c>
    </row>
    <row r="4245" spans="1:6" ht="12.75">
      <c r="A4245" s="8">
        <v>43903.188912037032</v>
      </c>
      <c r="B4245" s="8" t="str">
        <f>HYPERLINK("https://twitter.com/kattarhindu345","@kattarhindu345")</f>
        <v>@kattarhindu345</v>
      </c>
      <c r="C4245" s="8" t="s">
        <v>1195</v>
      </c>
      <c r="D4245" s="8">
        <v>2461</v>
      </c>
      <c r="E4245" s="8">
        <v>0</v>
      </c>
      <c r="F4245" s="8">
        <v>183</v>
      </c>
    </row>
    <row r="4246" spans="1:6" ht="12.75">
      <c r="A4246" s="8">
        <v>43903.18813657407</v>
      </c>
      <c r="B4246" s="8" t="str">
        <f>HYPERLINK("https://twitter.com/mayurpatel1661","@mayurpatel1661")</f>
        <v>@mayurpatel1661</v>
      </c>
      <c r="C4246" s="8" t="s">
        <v>1195</v>
      </c>
      <c r="D4246" s="8">
        <v>2461</v>
      </c>
      <c r="E4246" s="8">
        <v>0</v>
      </c>
      <c r="F4246" s="8">
        <v>691</v>
      </c>
    </row>
    <row r="4247" spans="1:6" ht="12.75">
      <c r="A4247" s="8">
        <v>43903.187222222223</v>
      </c>
      <c r="B4247" s="8" t="str">
        <f>HYPERLINK("https://twitter.com/ardylaw","@ardylaw")</f>
        <v>@ardylaw</v>
      </c>
      <c r="C4247" s="8" t="s">
        <v>1643</v>
      </c>
      <c r="D4247" s="8">
        <v>126</v>
      </c>
      <c r="E4247" s="8">
        <v>0</v>
      </c>
      <c r="F4247" s="8">
        <v>258</v>
      </c>
    </row>
    <row r="4248" spans="1:6" ht="12.75">
      <c r="A4248" s="8">
        <v>43903.185567129629</v>
      </c>
      <c r="B4248" s="8" t="str">
        <f>HYPERLINK("https://twitter.com/LaRose78992426","@LaRose78992426")</f>
        <v>@LaRose78992426</v>
      </c>
      <c r="C4248" s="8" t="s">
        <v>1643</v>
      </c>
      <c r="D4248" s="8">
        <v>126</v>
      </c>
      <c r="E4248" s="8">
        <v>0</v>
      </c>
      <c r="F4248" s="8">
        <v>280</v>
      </c>
    </row>
    <row r="4249" spans="1:6" ht="12.75">
      <c r="A4249" s="8">
        <v>43903.183865740742</v>
      </c>
      <c r="B4249" s="8" t="str">
        <f>HYPERLINK("https://twitter.com/goodmoaning","@goodmoaning")</f>
        <v>@goodmoaning</v>
      </c>
      <c r="C4249" s="8" t="s">
        <v>440</v>
      </c>
      <c r="D4249" s="8">
        <v>143</v>
      </c>
      <c r="E4249" s="8">
        <v>0</v>
      </c>
      <c r="F4249" s="8">
        <v>382</v>
      </c>
    </row>
    <row r="4250" spans="1:6" ht="12.75">
      <c r="A4250" s="8">
        <v>43903.182870370365</v>
      </c>
      <c r="B4250" s="8" t="str">
        <f>HYPERLINK("https://twitter.com/kbrihelsinki","@kbrihelsinki")</f>
        <v>@kbrihelsinki</v>
      </c>
      <c r="C4250" s="8" t="s">
        <v>1580</v>
      </c>
      <c r="D4250" s="8">
        <v>1</v>
      </c>
      <c r="E4250" s="8">
        <v>1</v>
      </c>
      <c r="F4250" s="8">
        <v>356</v>
      </c>
    </row>
    <row r="4251" spans="1:6" ht="12.75">
      <c r="A4251" s="8">
        <v>43903.182256944448</v>
      </c>
      <c r="B4251" s="8" t="str">
        <f t="shared" ref="B4251:B4252" si="77">HYPERLINK("https://twitter.com/rolfe59","@rolfe59")</f>
        <v>@rolfe59</v>
      </c>
      <c r="C4251" s="8" t="s">
        <v>1957</v>
      </c>
      <c r="D4251" s="8">
        <v>1553</v>
      </c>
      <c r="E4251" s="8">
        <v>0</v>
      </c>
      <c r="F4251" s="8">
        <v>119</v>
      </c>
    </row>
    <row r="4252" spans="1:6" ht="12.75">
      <c r="A4252" s="8">
        <v>43903.182222222225</v>
      </c>
      <c r="B4252" s="8" t="str">
        <f t="shared" si="77"/>
        <v>@rolfe59</v>
      </c>
      <c r="C4252" s="8" t="s">
        <v>1808</v>
      </c>
      <c r="D4252" s="8">
        <v>942</v>
      </c>
      <c r="E4252" s="8">
        <v>0</v>
      </c>
      <c r="F4252" s="8">
        <v>119</v>
      </c>
    </row>
    <row r="4253" spans="1:6" ht="12.75">
      <c r="A4253" s="8">
        <v>43903.182164351849</v>
      </c>
      <c r="B4253" s="8" t="str">
        <f>HYPERLINK("https://twitter.com/Roysangkelana","@Roysangkelana")</f>
        <v>@Roysangkelana</v>
      </c>
      <c r="C4253" s="8" t="s">
        <v>289</v>
      </c>
      <c r="D4253" s="8">
        <v>85</v>
      </c>
      <c r="E4253" s="8">
        <v>0</v>
      </c>
      <c r="F4253" s="8">
        <v>1726</v>
      </c>
    </row>
    <row r="4254" spans="1:6" ht="12.75">
      <c r="A4254" s="8">
        <v>43903.182118055556</v>
      </c>
      <c r="B4254" s="8" t="str">
        <f>HYPERLINK("https://twitter.com/rolfe59","@rolfe59")</f>
        <v>@rolfe59</v>
      </c>
      <c r="C4254" s="8" t="s">
        <v>1195</v>
      </c>
      <c r="D4254" s="8">
        <v>2461</v>
      </c>
      <c r="E4254" s="8">
        <v>0</v>
      </c>
      <c r="F4254" s="8">
        <v>119</v>
      </c>
    </row>
    <row r="4255" spans="1:6" ht="12.75">
      <c r="A4255" s="8">
        <v>43903.181886574079</v>
      </c>
      <c r="B4255" s="8" t="str">
        <f>HYPERLINK("https://twitter.com/Sidhanth_7","@Sidhanth_7")</f>
        <v>@Sidhanth_7</v>
      </c>
      <c r="C4255" s="8" t="s">
        <v>1195</v>
      </c>
      <c r="D4255" s="8">
        <v>2461</v>
      </c>
      <c r="E4255" s="8">
        <v>0</v>
      </c>
      <c r="F4255" s="8">
        <v>128</v>
      </c>
    </row>
    <row r="4256" spans="1:6" ht="12.75">
      <c r="A4256" s="8">
        <v>43903.179236111115</v>
      </c>
      <c r="B4256" s="8" t="str">
        <f>HYPERLINK("https://twitter.com/Avi_Strong7775","@Avi_Strong7775")</f>
        <v>@Avi_Strong7775</v>
      </c>
      <c r="C4256" s="8" t="s">
        <v>1195</v>
      </c>
      <c r="D4256" s="8">
        <v>2461</v>
      </c>
      <c r="E4256" s="8">
        <v>0</v>
      </c>
      <c r="F4256" s="8">
        <v>120</v>
      </c>
    </row>
    <row r="4257" spans="1:6" ht="12.75">
      <c r="A4257" s="8">
        <v>43903.177523148144</v>
      </c>
      <c r="B4257" s="8" t="str">
        <f t="shared" ref="B4257:B4259" si="78">HYPERLINK("https://twitter.com/rajput_awantika","@rajput_awantika")</f>
        <v>@rajput_awantika</v>
      </c>
      <c r="C4257" s="8" t="s">
        <v>1957</v>
      </c>
      <c r="D4257" s="8">
        <v>1553</v>
      </c>
      <c r="E4257" s="8">
        <v>0</v>
      </c>
      <c r="F4257" s="8">
        <v>2872</v>
      </c>
    </row>
    <row r="4258" spans="1:6" ht="12.75">
      <c r="A4258" s="8">
        <v>43903.177453703705</v>
      </c>
      <c r="B4258" s="8" t="str">
        <f t="shared" si="78"/>
        <v>@rajput_awantika</v>
      </c>
      <c r="C4258" s="8" t="s">
        <v>1808</v>
      </c>
      <c r="D4258" s="8">
        <v>942</v>
      </c>
      <c r="E4258" s="8">
        <v>0</v>
      </c>
      <c r="F4258" s="8">
        <v>2872</v>
      </c>
    </row>
    <row r="4259" spans="1:6" ht="12.75">
      <c r="A4259" s="8">
        <v>43903.177361111113</v>
      </c>
      <c r="B4259" s="8" t="str">
        <f t="shared" si="78"/>
        <v>@rajput_awantika</v>
      </c>
      <c r="C4259" s="8" t="s">
        <v>1195</v>
      </c>
      <c r="D4259" s="8">
        <v>2461</v>
      </c>
      <c r="E4259" s="8">
        <v>0</v>
      </c>
      <c r="F4259" s="8">
        <v>2872</v>
      </c>
    </row>
    <row r="4260" spans="1:6" ht="12.75">
      <c r="A4260" s="8">
        <v>43903.176898148144</v>
      </c>
      <c r="B4260" s="8" t="str">
        <f>HYPERLINK("https://twitter.com/strike_bravo_b","@strike_bravo_b")</f>
        <v>@strike_bravo_b</v>
      </c>
      <c r="C4260" s="8" t="s">
        <v>1488</v>
      </c>
      <c r="D4260" s="8">
        <v>8</v>
      </c>
      <c r="E4260" s="8">
        <v>0</v>
      </c>
      <c r="F4260" s="8">
        <v>266</v>
      </c>
    </row>
    <row r="4261" spans="1:6" ht="12.75">
      <c r="A4261" s="8">
        <v>43903.17292824074</v>
      </c>
      <c r="B4261" s="8" t="str">
        <f>HYPERLINK("https://twitter.com/ElokNurie","@ElokNurie")</f>
        <v>@ElokNurie</v>
      </c>
      <c r="C4261" s="8" t="s">
        <v>2258</v>
      </c>
      <c r="D4261" s="8">
        <v>0</v>
      </c>
      <c r="E4261" s="8">
        <v>0</v>
      </c>
      <c r="F4261" s="8">
        <v>174</v>
      </c>
    </row>
    <row r="4262" spans="1:6" ht="12.75">
      <c r="A4262" s="8">
        <v>43903.17260416667</v>
      </c>
      <c r="B4262" s="8" t="str">
        <f>HYPERLINK("https://twitter.com/azzmsf","@azzmsf")</f>
        <v>@azzmsf</v>
      </c>
      <c r="C4262" s="8" t="s">
        <v>2259</v>
      </c>
      <c r="D4262" s="8">
        <v>0</v>
      </c>
      <c r="E4262" s="8">
        <v>0</v>
      </c>
      <c r="F4262" s="8">
        <v>65</v>
      </c>
    </row>
    <row r="4263" spans="1:6" ht="12.75">
      <c r="A4263" s="8">
        <v>43903.171377314815</v>
      </c>
      <c r="B4263" s="8" t="str">
        <f>HYPERLINK("https://twitter.com/Mi10Patel","@Mi10Patel")</f>
        <v>@Mi10Patel</v>
      </c>
      <c r="C4263" s="8" t="s">
        <v>1195</v>
      </c>
      <c r="D4263" s="8">
        <v>2445</v>
      </c>
      <c r="E4263" s="8">
        <v>0</v>
      </c>
      <c r="F4263" s="8">
        <v>721</v>
      </c>
    </row>
    <row r="4264" spans="1:6" ht="12.75">
      <c r="A4264" s="8">
        <v>43903.169444444444</v>
      </c>
      <c r="B4264" s="8" t="str">
        <f>HYPERLINK("https://twitter.com/b94244763","@b94244763")</f>
        <v>@b94244763</v>
      </c>
      <c r="C4264" s="8" t="s">
        <v>302</v>
      </c>
      <c r="D4264" s="8">
        <v>4</v>
      </c>
      <c r="E4264" s="8">
        <v>0</v>
      </c>
      <c r="F4264" s="8">
        <v>160</v>
      </c>
    </row>
    <row r="4265" spans="1:6" ht="12.75">
      <c r="A4265" s="8">
        <v>43903.167361111111</v>
      </c>
      <c r="B4265" s="8" t="str">
        <f>HYPERLINK("https://twitter.com/GiridharMamidi","@GiridharMamidi")</f>
        <v>@GiridharMamidi</v>
      </c>
      <c r="C4265" s="8" t="s">
        <v>1195</v>
      </c>
      <c r="D4265" s="8">
        <v>2445</v>
      </c>
      <c r="E4265" s="8">
        <v>0</v>
      </c>
      <c r="F4265" s="8">
        <v>514</v>
      </c>
    </row>
    <row r="4266" spans="1:6" ht="12.75">
      <c r="A4266" s="8">
        <v>43903.165902777779</v>
      </c>
      <c r="B4266" s="8" t="str">
        <f>HYPERLINK("https://twitter.com/Shellahibono","@Shellahibono")</f>
        <v>@Shellahibono</v>
      </c>
      <c r="C4266" s="8" t="s">
        <v>1758</v>
      </c>
      <c r="D4266" s="8">
        <v>96</v>
      </c>
      <c r="E4266" s="8">
        <v>0</v>
      </c>
      <c r="F4266" s="8">
        <v>78</v>
      </c>
    </row>
    <row r="4267" spans="1:6" ht="12.75">
      <c r="A4267" s="8">
        <v>43903.163506944446</v>
      </c>
      <c r="B4267" s="8" t="str">
        <f>HYPERLINK("https://twitter.com/azeem0906","@azeem0906")</f>
        <v>@azeem0906</v>
      </c>
      <c r="C4267" s="8" t="s">
        <v>2260</v>
      </c>
      <c r="D4267" s="8">
        <v>0</v>
      </c>
      <c r="E4267" s="8">
        <v>0</v>
      </c>
      <c r="F4267" s="8">
        <v>156</v>
      </c>
    </row>
    <row r="4268" spans="1:6" ht="12.75">
      <c r="A4268" s="8">
        <v>43903.162164351852</v>
      </c>
      <c r="B4268" s="8" t="str">
        <f>HYPERLINK("https://twitter.com/MulyanaDipura","@MulyanaDipura")</f>
        <v>@MulyanaDipura</v>
      </c>
      <c r="C4268" s="8" t="s">
        <v>1758</v>
      </c>
      <c r="D4268" s="8">
        <v>96</v>
      </c>
      <c r="E4268" s="8">
        <v>0</v>
      </c>
      <c r="F4268" s="8">
        <v>676</v>
      </c>
    </row>
    <row r="4269" spans="1:6" ht="12.75">
      <c r="A4269" s="8">
        <v>43903.16024305555</v>
      </c>
      <c r="B4269" s="8" t="str">
        <f>HYPERLINK("https://twitter.com/justsameh","@justsameh")</f>
        <v>@justsameh</v>
      </c>
      <c r="C4269" s="8" t="s">
        <v>302</v>
      </c>
      <c r="D4269" s="8">
        <v>4</v>
      </c>
      <c r="E4269" s="8">
        <v>0</v>
      </c>
      <c r="F4269" s="8">
        <v>462</v>
      </c>
    </row>
    <row r="4270" spans="1:6" ht="12.75">
      <c r="A4270" s="8">
        <v>43903.159849537042</v>
      </c>
      <c r="B4270" s="8" t="str">
        <f>HYPERLINK("https://twitter.com/spartan4evr1","@spartan4evr1")</f>
        <v>@spartan4evr1</v>
      </c>
      <c r="C4270" s="8" t="s">
        <v>1195</v>
      </c>
      <c r="D4270" s="8">
        <v>2445</v>
      </c>
      <c r="E4270" s="8">
        <v>0</v>
      </c>
      <c r="F4270" s="8">
        <v>145</v>
      </c>
    </row>
    <row r="4271" spans="1:6" ht="12.75">
      <c r="A4271" s="8">
        <v>43903.159571759257</v>
      </c>
      <c r="B4271" s="8" t="str">
        <f>HYPERLINK("https://twitter.com/manju_net","@manju_net")</f>
        <v>@manju_net</v>
      </c>
      <c r="C4271" s="8" t="s">
        <v>1195</v>
      </c>
      <c r="D4271" s="8">
        <v>2445</v>
      </c>
      <c r="E4271" s="8">
        <v>0</v>
      </c>
      <c r="F4271" s="8">
        <v>61</v>
      </c>
    </row>
    <row r="4272" spans="1:6" ht="12.75">
      <c r="A4272" s="8">
        <v>43903.157638888893</v>
      </c>
      <c r="B4272" s="8" t="str">
        <f>HYPERLINK("https://twitter.com/MohanMarelli","@MohanMarelli")</f>
        <v>@MohanMarelli</v>
      </c>
      <c r="C4272" s="8" t="s">
        <v>1195</v>
      </c>
      <c r="D4272" s="8">
        <v>2445</v>
      </c>
      <c r="E4272" s="8">
        <v>0</v>
      </c>
      <c r="F4272" s="8">
        <v>63</v>
      </c>
    </row>
    <row r="4273" spans="1:6" ht="12.75">
      <c r="A4273" s="8">
        <v>43903.156331018516</v>
      </c>
      <c r="B4273" s="8" t="str">
        <f>HYPERLINK("https://twitter.com/belum_waras","@belum_waras")</f>
        <v>@belum_waras</v>
      </c>
      <c r="C4273" s="8" t="s">
        <v>2261</v>
      </c>
      <c r="D4273" s="8">
        <v>0</v>
      </c>
      <c r="E4273" s="8">
        <v>0</v>
      </c>
      <c r="F4273" s="8">
        <v>0</v>
      </c>
    </row>
    <row r="4274" spans="1:6" ht="12.75">
      <c r="A4274" s="8">
        <v>43903.153784722221</v>
      </c>
      <c r="B4274" s="8" t="str">
        <f>HYPERLINK("https://twitter.com/im_ayush01","@im_ayush01")</f>
        <v>@im_ayush01</v>
      </c>
      <c r="C4274" s="8" t="s">
        <v>1195</v>
      </c>
      <c r="D4274" s="8">
        <v>2445</v>
      </c>
      <c r="E4274" s="8">
        <v>0</v>
      </c>
      <c r="F4274" s="8">
        <v>838</v>
      </c>
    </row>
    <row r="4275" spans="1:6" ht="12.75">
      <c r="A4275" s="8">
        <v>43903.149872685186</v>
      </c>
      <c r="B4275" s="8" t="str">
        <f>HYPERLINK("https://twitter.com/SophiaNerissa","@SophiaNerissa")</f>
        <v>@SophiaNerissa</v>
      </c>
      <c r="C4275" s="8" t="s">
        <v>2262</v>
      </c>
      <c r="D4275" s="8">
        <v>0</v>
      </c>
      <c r="E4275" s="8">
        <v>0</v>
      </c>
      <c r="F4275" s="8">
        <v>6029</v>
      </c>
    </row>
    <row r="4276" spans="1:6" ht="12.75">
      <c r="A4276" s="8">
        <v>43903.149409722224</v>
      </c>
      <c r="B4276" s="8" t="str">
        <f>HYPERLINK("https://twitter.com/AlphaSaylici","@AlphaSaylici")</f>
        <v>@AlphaSaylici</v>
      </c>
      <c r="C4276" s="8" t="s">
        <v>302</v>
      </c>
      <c r="D4276" s="8">
        <v>4</v>
      </c>
      <c r="E4276" s="8">
        <v>0</v>
      </c>
      <c r="F4276" s="8">
        <v>1505</v>
      </c>
    </row>
    <row r="4277" spans="1:6" ht="12.75">
      <c r="A4277" s="8">
        <v>43903.149247685185</v>
      </c>
      <c r="B4277" s="8" t="str">
        <f>HYPERLINK("https://twitter.com/vaibhavpattadur","@vaibhavpattadur")</f>
        <v>@vaibhavpattadur</v>
      </c>
      <c r="C4277" s="8" t="s">
        <v>1195</v>
      </c>
      <c r="D4277" s="8">
        <v>2445</v>
      </c>
      <c r="E4277" s="8">
        <v>0</v>
      </c>
      <c r="F4277" s="8">
        <v>77</v>
      </c>
    </row>
    <row r="4278" spans="1:6" ht="12.75">
      <c r="A4278" s="8">
        <v>43903.145868055552</v>
      </c>
      <c r="B4278" s="8" t="str">
        <f>HYPERLINK("https://twitter.com/Joy45158415","@Joy45158415")</f>
        <v>@Joy45158415</v>
      </c>
      <c r="C4278" s="8" t="s">
        <v>1758</v>
      </c>
      <c r="D4278" s="8">
        <v>96</v>
      </c>
      <c r="E4278" s="8">
        <v>0</v>
      </c>
      <c r="F4278" s="8">
        <v>9</v>
      </c>
    </row>
    <row r="4279" spans="1:6" ht="12.75">
      <c r="A4279" s="8">
        <v>43903.144212962958</v>
      </c>
      <c r="B4279" s="8" t="str">
        <f>HYPERLINK("https://twitter.com/ReportHinduphob","@ReportHinduphob")</f>
        <v>@ReportHinduphob</v>
      </c>
      <c r="C4279" s="8" t="s">
        <v>1195</v>
      </c>
      <c r="D4279" s="8">
        <v>2445</v>
      </c>
      <c r="E4279" s="8">
        <v>0</v>
      </c>
      <c r="F4279" s="8">
        <v>212</v>
      </c>
    </row>
    <row r="4280" spans="1:6" ht="12.75">
      <c r="A4280" s="8">
        <v>43903.144178240742</v>
      </c>
      <c r="B4280" s="8" t="str">
        <f>HYPERLINK("https://twitter.com/arunkum37049562","@arunkum37049562")</f>
        <v>@arunkum37049562</v>
      </c>
      <c r="C4280" s="8" t="s">
        <v>1195</v>
      </c>
      <c r="D4280" s="8">
        <v>2445</v>
      </c>
      <c r="E4280" s="8">
        <v>0</v>
      </c>
      <c r="F4280" s="8">
        <v>267</v>
      </c>
    </row>
    <row r="4281" spans="1:6" ht="12.75">
      <c r="A4281" s="8">
        <v>43903.142951388887</v>
      </c>
      <c r="B4281" s="8" t="str">
        <f>HYPERLINK("https://twitter.com/Oded121351","@Oded121351")</f>
        <v>@Oded121351</v>
      </c>
      <c r="C4281" s="8" t="s">
        <v>2263</v>
      </c>
      <c r="D4281" s="8">
        <v>4</v>
      </c>
      <c r="E4281" s="8">
        <v>7</v>
      </c>
      <c r="F4281" s="8">
        <v>20842</v>
      </c>
    </row>
    <row r="4282" spans="1:6" ht="12.75">
      <c r="A4282" s="8">
        <v>43903.142696759256</v>
      </c>
      <c r="B4282" s="8" t="str">
        <f>HYPERLINK("https://twitter.com/Isis_Garay","@Isis_Garay")</f>
        <v>@Isis_Garay</v>
      </c>
      <c r="C4282" s="8" t="s">
        <v>2264</v>
      </c>
      <c r="D4282" s="8">
        <v>0</v>
      </c>
      <c r="E4282" s="8">
        <v>0</v>
      </c>
      <c r="F4282" s="8">
        <v>263</v>
      </c>
    </row>
    <row r="4283" spans="1:6" ht="12.75">
      <c r="A4283" s="8">
        <v>43903.141574074078</v>
      </c>
      <c r="B4283" s="8" t="str">
        <f>HYPERLINK("https://twitter.com/isis_yum","@isis_yum")</f>
        <v>@isis_yum</v>
      </c>
      <c r="C4283" s="8" t="s">
        <v>2265</v>
      </c>
      <c r="D4283" s="8">
        <v>0</v>
      </c>
      <c r="E4283" s="8">
        <v>1</v>
      </c>
      <c r="F4283" s="8">
        <v>70</v>
      </c>
    </row>
    <row r="4284" spans="1:6" ht="12.75">
      <c r="A4284" s="8">
        <v>43903.1409375</v>
      </c>
      <c r="B4284" s="8" t="str">
        <f>HYPERLINK("https://twitter.com/IIBeingM44ll","@IIBeingM44ll")</f>
        <v>@IIBeingM44ll</v>
      </c>
      <c r="C4284" s="8" t="s">
        <v>1195</v>
      </c>
      <c r="D4284" s="8">
        <v>2445</v>
      </c>
      <c r="E4284" s="8">
        <v>0</v>
      </c>
      <c r="F4284" s="8">
        <v>12927</v>
      </c>
    </row>
    <row r="4285" spans="1:6" ht="12.75">
      <c r="A4285" s="8">
        <v>43903.140787037039</v>
      </c>
      <c r="B4285" s="8" t="str">
        <f>HYPERLINK("https://twitter.com/hasan_75","@hasan_75")</f>
        <v>@hasan_75</v>
      </c>
      <c r="C4285" s="8" t="s">
        <v>2266</v>
      </c>
      <c r="D4285" s="8">
        <v>0</v>
      </c>
      <c r="E4285" s="8">
        <v>0</v>
      </c>
      <c r="F4285" s="8">
        <v>74</v>
      </c>
    </row>
    <row r="4286" spans="1:6" ht="12.75">
      <c r="A4286" s="8">
        <v>43903.140682870369</v>
      </c>
      <c r="B4286" s="8" t="str">
        <f>HYPERLINK("https://twitter.com/being_tabas","@being_tabas")</f>
        <v>@being_tabas</v>
      </c>
      <c r="C4286" s="8" t="s">
        <v>1195</v>
      </c>
      <c r="D4286" s="8">
        <v>2445</v>
      </c>
      <c r="E4286" s="8">
        <v>0</v>
      </c>
      <c r="F4286" s="8">
        <v>571</v>
      </c>
    </row>
    <row r="4287" spans="1:6" ht="12.75">
      <c r="A4287" s="8">
        <v>43903.139004629629</v>
      </c>
      <c r="B4287" s="8" t="str">
        <f>HYPERLINK("https://twitter.com/jain78ak","@jain78ak")</f>
        <v>@jain78ak</v>
      </c>
      <c r="C4287" s="8" t="s">
        <v>1195</v>
      </c>
      <c r="D4287" s="8">
        <v>2445</v>
      </c>
      <c r="E4287" s="8">
        <v>0</v>
      </c>
      <c r="F4287" s="8">
        <v>459</v>
      </c>
    </row>
    <row r="4288" spans="1:6" ht="12.75">
      <c r="A4288" s="8">
        <v>43903.137800925921</v>
      </c>
      <c r="B4288" s="8" t="str">
        <f>HYPERLINK("https://twitter.com/Shreemant_Yogi9","@Shreemant_Yogi9")</f>
        <v>@Shreemant_Yogi9</v>
      </c>
      <c r="C4288" s="8" t="s">
        <v>1195</v>
      </c>
      <c r="D4288" s="8">
        <v>2445</v>
      </c>
      <c r="E4288" s="8">
        <v>0</v>
      </c>
      <c r="F4288" s="8">
        <v>60</v>
      </c>
    </row>
    <row r="4289" spans="1:6" ht="12.75">
      <c r="A4289" s="8">
        <v>43903.136423611111</v>
      </c>
      <c r="B4289" s="8" t="str">
        <f>HYPERLINK("https://twitter.com/ToxicMoron","@ToxicMoron")</f>
        <v>@ToxicMoron</v>
      </c>
      <c r="C4289" s="8" t="s">
        <v>1195</v>
      </c>
      <c r="D4289" s="8">
        <v>2445</v>
      </c>
      <c r="E4289" s="8">
        <v>0</v>
      </c>
      <c r="F4289" s="8">
        <v>459</v>
      </c>
    </row>
    <row r="4290" spans="1:6" ht="12.75">
      <c r="A4290" s="8">
        <v>43903.135717592595</v>
      </c>
      <c r="B4290" s="8" t="str">
        <f>HYPERLINK("https://twitter.com/Yuangga63615301","@Yuangga63615301")</f>
        <v>@Yuangga63615301</v>
      </c>
      <c r="C4290" s="8" t="s">
        <v>1030</v>
      </c>
      <c r="D4290" s="8">
        <v>178</v>
      </c>
      <c r="E4290" s="8">
        <v>0</v>
      </c>
      <c r="F4290" s="8">
        <v>36</v>
      </c>
    </row>
    <row r="4291" spans="1:6" ht="12.75">
      <c r="A4291" s="8">
        <v>43903.135104166664</v>
      </c>
      <c r="B4291" s="8" t="str">
        <f>HYPERLINK("https://twitter.com/zzzNitiNzzz","@zzzNitiNzzz")</f>
        <v>@zzzNitiNzzz</v>
      </c>
      <c r="C4291" s="8" t="s">
        <v>1195</v>
      </c>
      <c r="D4291" s="8">
        <v>2445</v>
      </c>
      <c r="E4291" s="8">
        <v>0</v>
      </c>
      <c r="F4291" s="8">
        <v>296</v>
      </c>
    </row>
    <row r="4292" spans="1:6" ht="12.75">
      <c r="A4292" s="8">
        <v>43903.134687500002</v>
      </c>
      <c r="B4292" s="8" t="str">
        <f>HYPERLINK("https://twitter.com/gintinggg","@gintinggg")</f>
        <v>@gintinggg</v>
      </c>
      <c r="C4292" s="8" t="s">
        <v>2267</v>
      </c>
      <c r="D4292" s="8">
        <v>0</v>
      </c>
      <c r="E4292" s="8">
        <v>0</v>
      </c>
      <c r="F4292" s="8">
        <v>226</v>
      </c>
    </row>
    <row r="4293" spans="1:6" ht="12.75">
      <c r="A4293" s="8">
        <v>43903.134386574078</v>
      </c>
      <c r="B4293" s="8" t="str">
        <f>HYPERLINK("https://twitter.com/prats_ag","@prats_ag")</f>
        <v>@prats_ag</v>
      </c>
      <c r="C4293" s="8" t="s">
        <v>1195</v>
      </c>
      <c r="D4293" s="8">
        <v>2445</v>
      </c>
      <c r="E4293" s="8">
        <v>0</v>
      </c>
      <c r="F4293" s="8">
        <v>418</v>
      </c>
    </row>
    <row r="4294" spans="1:6" ht="12.75">
      <c r="A4294" s="8">
        <v>43903.133252314816</v>
      </c>
      <c r="B4294" s="8" t="str">
        <f>HYPERLINK("https://twitter.com/INAinLebanon","@INAinLebanon")</f>
        <v>@INAinLebanon</v>
      </c>
      <c r="C4294" s="8" t="s">
        <v>1569</v>
      </c>
      <c r="D4294" s="8">
        <v>36</v>
      </c>
      <c r="E4294" s="8">
        <v>0</v>
      </c>
      <c r="F4294" s="8">
        <v>77</v>
      </c>
    </row>
    <row r="4295" spans="1:6" ht="12.75">
      <c r="A4295" s="8">
        <v>43903.131435185191</v>
      </c>
      <c r="B4295" s="8" t="str">
        <f>HYPERLINK("https://twitter.com/Donie248","@Donie248")</f>
        <v>@Donie248</v>
      </c>
      <c r="C4295" s="8" t="s">
        <v>2268</v>
      </c>
      <c r="D4295" s="8">
        <v>13</v>
      </c>
      <c r="E4295" s="8">
        <v>0</v>
      </c>
      <c r="F4295" s="8">
        <v>927</v>
      </c>
    </row>
    <row r="4296" spans="1:6" ht="12.75">
      <c r="A4296" s="8">
        <v>43903.130949074075</v>
      </c>
      <c r="B4296" s="8" t="str">
        <f>HYPERLINK("https://twitter.com/srinath_pv","@srinath_pv")</f>
        <v>@srinath_pv</v>
      </c>
      <c r="C4296" s="8" t="s">
        <v>1195</v>
      </c>
      <c r="D4296" s="8">
        <v>2425</v>
      </c>
      <c r="E4296" s="8">
        <v>0</v>
      </c>
      <c r="F4296" s="8">
        <v>254</v>
      </c>
    </row>
    <row r="4297" spans="1:6" ht="12.75">
      <c r="A4297" s="8">
        <v>43903.130787037036</v>
      </c>
      <c r="B4297" s="8" t="str">
        <f>HYPERLINK("https://twitter.com/iamsumit6118","@iamsumit6118")</f>
        <v>@iamsumit6118</v>
      </c>
      <c r="C4297" s="8" t="s">
        <v>1195</v>
      </c>
      <c r="D4297" s="8">
        <v>2425</v>
      </c>
      <c r="E4297" s="8">
        <v>0</v>
      </c>
      <c r="F4297" s="8">
        <v>26</v>
      </c>
    </row>
    <row r="4298" spans="1:6" ht="12.75">
      <c r="A4298" s="8">
        <v>43903.128854166665</v>
      </c>
      <c r="B4298" s="8" t="str">
        <f>HYPERLINK("https://twitter.com/SandhyaDuggal","@SandhyaDuggal")</f>
        <v>@SandhyaDuggal</v>
      </c>
      <c r="C4298" s="8" t="s">
        <v>1195</v>
      </c>
      <c r="D4298" s="8">
        <v>2425</v>
      </c>
      <c r="E4298" s="8">
        <v>0</v>
      </c>
      <c r="F4298" s="8">
        <v>119</v>
      </c>
    </row>
    <row r="4299" spans="1:6" ht="12.75">
      <c r="A4299" s="8">
        <v>43903.12877314815</v>
      </c>
      <c r="B4299" s="8" t="str">
        <f>HYPERLINK("https://twitter.com/InnaZuyyinah","@InnaZuyyinah")</f>
        <v>@InnaZuyyinah</v>
      </c>
      <c r="C4299" s="8" t="s">
        <v>289</v>
      </c>
      <c r="D4299" s="8">
        <v>85</v>
      </c>
      <c r="E4299" s="8">
        <v>0</v>
      </c>
      <c r="F4299" s="8">
        <v>80</v>
      </c>
    </row>
    <row r="4300" spans="1:6" ht="12.75">
      <c r="A4300" s="8">
        <v>43903.12872685185</v>
      </c>
      <c r="B4300" s="8" t="str">
        <f>HYPERLINK("https://twitter.com/FireBirdFeniks","@FireBirdFeniks")</f>
        <v>@FireBirdFeniks</v>
      </c>
      <c r="C4300" s="8" t="s">
        <v>1919</v>
      </c>
      <c r="D4300" s="8">
        <v>31</v>
      </c>
      <c r="E4300" s="8">
        <v>0</v>
      </c>
      <c r="F4300" s="8">
        <v>1757</v>
      </c>
    </row>
    <row r="4301" spans="1:6" ht="12.75">
      <c r="A4301" s="8">
        <v>43903.128009259264</v>
      </c>
      <c r="B4301" s="8" t="str">
        <f t="shared" ref="B4301:B4302" si="79">HYPERLINK("https://twitter.com/jjsengui","@jjsengui")</f>
        <v>@jjsengui</v>
      </c>
      <c r="C4301" s="8" t="s">
        <v>2246</v>
      </c>
      <c r="D4301" s="8">
        <v>1</v>
      </c>
      <c r="E4301" s="8">
        <v>0</v>
      </c>
      <c r="F4301" s="8">
        <v>898</v>
      </c>
    </row>
    <row r="4302" spans="1:6" ht="12.75">
      <c r="A4302" s="8">
        <v>43903.127916666665</v>
      </c>
      <c r="B4302" s="8" t="str">
        <f t="shared" si="79"/>
        <v>@jjsengui</v>
      </c>
      <c r="C4302" s="8" t="s">
        <v>1919</v>
      </c>
      <c r="D4302" s="8">
        <v>31</v>
      </c>
      <c r="E4302" s="8">
        <v>0</v>
      </c>
      <c r="F4302" s="8">
        <v>898</v>
      </c>
    </row>
    <row r="4303" spans="1:6" ht="12.75">
      <c r="A4303" s="8">
        <v>43903.127349537041</v>
      </c>
      <c r="B4303" s="8" t="str">
        <f>HYPERLINK("https://twitter.com/Senag23","@Senag23")</f>
        <v>@Senag23</v>
      </c>
      <c r="C4303" s="8" t="s">
        <v>1195</v>
      </c>
      <c r="D4303" s="8">
        <v>2425</v>
      </c>
      <c r="E4303" s="8">
        <v>0</v>
      </c>
      <c r="F4303" s="8">
        <v>308</v>
      </c>
    </row>
    <row r="4304" spans="1:6" ht="12.75">
      <c r="A4304" s="8">
        <v>43903.126446759255</v>
      </c>
      <c r="B4304" s="8" t="str">
        <f>HYPERLINK("https://twitter.com/linkarika","@linkarika")</f>
        <v>@linkarika</v>
      </c>
      <c r="C4304" s="8" t="s">
        <v>289</v>
      </c>
      <c r="D4304" s="8">
        <v>85</v>
      </c>
      <c r="E4304" s="8">
        <v>0</v>
      </c>
      <c r="F4304" s="8">
        <v>332</v>
      </c>
    </row>
    <row r="4305" spans="1:6" ht="12.75">
      <c r="A4305" s="8">
        <v>43903.126134259262</v>
      </c>
      <c r="B4305" s="8" t="str">
        <f>HYPERLINK("https://twitter.com/kbrihelsinki","@kbrihelsinki")</f>
        <v>@kbrihelsinki</v>
      </c>
      <c r="C4305" s="8" t="s">
        <v>1580</v>
      </c>
      <c r="D4305" s="8">
        <v>1</v>
      </c>
      <c r="E4305" s="8">
        <v>1</v>
      </c>
      <c r="F4305" s="8">
        <v>356</v>
      </c>
    </row>
    <row r="4306" spans="1:6" ht="12.75">
      <c r="A4306" s="8">
        <v>43903.12599537037</v>
      </c>
      <c r="B4306" s="8" t="str">
        <f>HYPERLINK("https://twitter.com/kashinath1984","@kashinath1984")</f>
        <v>@kashinath1984</v>
      </c>
      <c r="C4306" s="8" t="s">
        <v>1195</v>
      </c>
      <c r="D4306" s="8">
        <v>2425</v>
      </c>
      <c r="E4306" s="8">
        <v>0</v>
      </c>
      <c r="F4306" s="8">
        <v>481</v>
      </c>
    </row>
    <row r="4307" spans="1:6" ht="12.75">
      <c r="A4307" s="8">
        <v>43903.124155092592</v>
      </c>
      <c r="B4307" s="8" t="str">
        <f>HYPERLINK("https://twitter.com/albhermanoaken","@albhermanoaken")</f>
        <v>@albhermanoaken</v>
      </c>
      <c r="C4307" s="8" t="s">
        <v>2269</v>
      </c>
      <c r="D4307" s="8">
        <v>0</v>
      </c>
      <c r="E4307" s="8">
        <v>0</v>
      </c>
      <c r="F4307" s="8">
        <v>7</v>
      </c>
    </row>
    <row r="4308" spans="1:6" ht="12.75">
      <c r="A4308" s="8">
        <v>43903.123379629629</v>
      </c>
      <c r="B4308" s="8" t="str">
        <f>HYPERLINK("https://twitter.com/idpenamini","@idpenamini")</f>
        <v>@idpenamini</v>
      </c>
      <c r="C4308" s="8" t="s">
        <v>2270</v>
      </c>
      <c r="D4308" s="8">
        <v>0</v>
      </c>
      <c r="E4308" s="8">
        <v>0</v>
      </c>
      <c r="F4308" s="8">
        <v>174</v>
      </c>
    </row>
    <row r="4309" spans="1:6" ht="12.75">
      <c r="A4309" s="8">
        <v>43903.122557870374</v>
      </c>
      <c r="B4309" s="8" t="str">
        <f>HYPERLINK("https://twitter.com/MohitTandel35","@MohitTandel35")</f>
        <v>@MohitTandel35</v>
      </c>
      <c r="C4309" s="8" t="s">
        <v>1195</v>
      </c>
      <c r="D4309" s="8">
        <v>2425</v>
      </c>
      <c r="E4309" s="8">
        <v>0</v>
      </c>
      <c r="F4309" s="8">
        <v>366</v>
      </c>
    </row>
    <row r="4310" spans="1:6" ht="12.75">
      <c r="A4310" s="8">
        <v>43903.122025462959</v>
      </c>
      <c r="B4310" s="8" t="str">
        <f>HYPERLINK("https://twitter.com/sudutkalisat","@sudutkalisat")</f>
        <v>@sudutkalisat</v>
      </c>
      <c r="C4310" s="8" t="s">
        <v>1030</v>
      </c>
      <c r="D4310" s="8">
        <v>176</v>
      </c>
      <c r="E4310" s="8">
        <v>0</v>
      </c>
      <c r="F4310" s="8">
        <v>238</v>
      </c>
    </row>
    <row r="4311" spans="1:6" ht="12.75">
      <c r="A4311" s="8">
        <v>43903.121666666666</v>
      </c>
      <c r="B4311" s="8" t="str">
        <f>HYPERLINK("https://twitter.com/InvincibleHER0","@InvincibleHER0")</f>
        <v>@InvincibleHER0</v>
      </c>
      <c r="C4311" s="8" t="s">
        <v>1195</v>
      </c>
      <c r="D4311" s="8">
        <v>2425</v>
      </c>
      <c r="E4311" s="8">
        <v>0</v>
      </c>
      <c r="F4311" s="8">
        <v>15</v>
      </c>
    </row>
    <row r="4312" spans="1:6" ht="12.75">
      <c r="A4312" s="8">
        <v>43903.120462962965</v>
      </c>
      <c r="B4312" s="8" t="str">
        <f>HYPERLINK("https://twitter.com/LovelySinaga79","@LovelySinaga79")</f>
        <v>@LovelySinaga79</v>
      </c>
      <c r="C4312" s="8" t="s">
        <v>2271</v>
      </c>
      <c r="D4312" s="8">
        <v>0</v>
      </c>
      <c r="E4312" s="8">
        <v>0</v>
      </c>
      <c r="F4312" s="8">
        <v>708</v>
      </c>
    </row>
    <row r="4313" spans="1:6" ht="12.75">
      <c r="A4313" s="8">
        <v>43903.118773148148</v>
      </c>
      <c r="B4313" s="8" t="str">
        <f>HYPERLINK("https://twitter.com/nasfayaretno","@nasfayaretno")</f>
        <v>@nasfayaretno</v>
      </c>
      <c r="C4313" s="8" t="s">
        <v>440</v>
      </c>
      <c r="D4313" s="8">
        <v>141</v>
      </c>
      <c r="E4313" s="8">
        <v>0</v>
      </c>
      <c r="F4313" s="8">
        <v>281</v>
      </c>
    </row>
    <row r="4314" spans="1:6" ht="12.75">
      <c r="A4314" s="8">
        <v>43903.11782407407</v>
      </c>
      <c r="B4314" s="8" t="str">
        <f>HYPERLINK("https://twitter.com/AnnaHindusthani","@AnnaHindusthani")</f>
        <v>@AnnaHindusthani</v>
      </c>
      <c r="C4314" s="8" t="s">
        <v>1195</v>
      </c>
      <c r="D4314" s="8">
        <v>2425</v>
      </c>
      <c r="E4314" s="8">
        <v>0</v>
      </c>
      <c r="F4314" s="8">
        <v>352</v>
      </c>
    </row>
    <row r="4315" spans="1:6" ht="12.75">
      <c r="A4315" s="8">
        <v>43903.113645833335</v>
      </c>
      <c r="B4315" s="8" t="str">
        <f>HYPERLINK("https://twitter.com/IitdDas","@IitdDas")</f>
        <v>@IitdDas</v>
      </c>
      <c r="C4315" s="8" t="s">
        <v>1195</v>
      </c>
      <c r="D4315" s="8">
        <v>2425</v>
      </c>
      <c r="E4315" s="8">
        <v>0</v>
      </c>
      <c r="F4315" s="8">
        <v>156</v>
      </c>
    </row>
    <row r="4316" spans="1:6" ht="12.75">
      <c r="A4316" s="8">
        <v>43903.112604166672</v>
      </c>
      <c r="B4316" s="8" t="str">
        <f>HYPERLINK("https://twitter.com/dohcaaabbb","@dohcaaabbb")</f>
        <v>@dohcaaabbb</v>
      </c>
      <c r="C4316" s="8" t="s">
        <v>440</v>
      </c>
      <c r="D4316" s="8">
        <v>141</v>
      </c>
      <c r="E4316" s="8">
        <v>0</v>
      </c>
      <c r="F4316" s="8">
        <v>203</v>
      </c>
    </row>
    <row r="4317" spans="1:6" ht="12.75">
      <c r="A4317" s="8">
        <v>43903.112500000003</v>
      </c>
      <c r="B4317" s="8" t="str">
        <f>HYPERLINK("https://twitter.com/hem_r_shah","@hem_r_shah")</f>
        <v>@hem_r_shah</v>
      </c>
      <c r="C4317" s="8" t="s">
        <v>1195</v>
      </c>
      <c r="D4317" s="8">
        <v>2425</v>
      </c>
      <c r="E4317" s="8">
        <v>0</v>
      </c>
      <c r="F4317" s="8">
        <v>288</v>
      </c>
    </row>
    <row r="4318" spans="1:6" ht="12.75">
      <c r="A4318" s="8">
        <v>43903.111597222218</v>
      </c>
      <c r="B4318" s="8" t="str">
        <f>HYPERLINK("https://twitter.com/ashu21ster","@ashu21ster")</f>
        <v>@ashu21ster</v>
      </c>
      <c r="C4318" s="8" t="s">
        <v>1195</v>
      </c>
      <c r="D4318" s="8">
        <v>2425</v>
      </c>
      <c r="E4318" s="8">
        <v>0</v>
      </c>
      <c r="F4318" s="8">
        <v>3146</v>
      </c>
    </row>
    <row r="4319" spans="1:6" ht="12.75">
      <c r="A4319" s="8">
        <v>43903.111157407402</v>
      </c>
      <c r="B4319" s="8" t="str">
        <f t="shared" ref="B4319:B4321" si="80">HYPERLINK("https://twitter.com/gujjubaba_","@gujjubaba_")</f>
        <v>@gujjubaba_</v>
      </c>
      <c r="C4319" s="8" t="s">
        <v>1957</v>
      </c>
      <c r="D4319" s="8">
        <v>1552</v>
      </c>
      <c r="E4319" s="8">
        <v>0</v>
      </c>
      <c r="F4319" s="8">
        <v>222</v>
      </c>
    </row>
    <row r="4320" spans="1:6" ht="12.75">
      <c r="A4320" s="8">
        <v>43903.111111111109</v>
      </c>
      <c r="B4320" s="8" t="str">
        <f t="shared" si="80"/>
        <v>@gujjubaba_</v>
      </c>
      <c r="C4320" s="8" t="s">
        <v>1808</v>
      </c>
      <c r="D4320" s="8">
        <v>940</v>
      </c>
      <c r="E4320" s="8">
        <v>0</v>
      </c>
      <c r="F4320" s="8">
        <v>222</v>
      </c>
    </row>
    <row r="4321" spans="1:6" ht="12.75">
      <c r="A4321" s="8">
        <v>43903.111018518517</v>
      </c>
      <c r="B4321" s="8" t="str">
        <f t="shared" si="80"/>
        <v>@gujjubaba_</v>
      </c>
      <c r="C4321" s="8" t="s">
        <v>1195</v>
      </c>
      <c r="D4321" s="8">
        <v>2425</v>
      </c>
      <c r="E4321" s="8">
        <v>0</v>
      </c>
      <c r="F4321" s="8">
        <v>222</v>
      </c>
    </row>
    <row r="4322" spans="1:6" ht="12.75">
      <c r="A4322" s="8">
        <v>43903.110023148147</v>
      </c>
      <c r="B4322" s="8" t="str">
        <f>HYPERLINK("https://twitter.com/MahanteshCS13","@MahanteshCS13")</f>
        <v>@MahanteshCS13</v>
      </c>
      <c r="C4322" s="8" t="s">
        <v>1195</v>
      </c>
      <c r="D4322" s="8">
        <v>2425</v>
      </c>
      <c r="E4322" s="8">
        <v>0</v>
      </c>
      <c r="F4322" s="8">
        <v>179</v>
      </c>
    </row>
    <row r="4323" spans="1:6" ht="12.75">
      <c r="A4323" s="8">
        <v>43903.10974537037</v>
      </c>
      <c r="B4323" s="8" t="str">
        <f>HYPERLINK("https://twitter.com/alzyofelysium","@alzyofelysium")</f>
        <v>@alzyofelysium</v>
      </c>
      <c r="C4323" s="8" t="s">
        <v>2272</v>
      </c>
      <c r="D4323" s="8">
        <v>1029</v>
      </c>
      <c r="E4323" s="8">
        <v>0</v>
      </c>
      <c r="F4323" s="8">
        <v>38</v>
      </c>
    </row>
    <row r="4324" spans="1:6" ht="12.75">
      <c r="A4324" s="8">
        <v>43903.108900462961</v>
      </c>
      <c r="B4324" s="8" t="str">
        <f>HYPERLINK("https://twitter.com/AapkaCharul","@AapkaCharul")</f>
        <v>@AapkaCharul</v>
      </c>
      <c r="C4324" s="8" t="s">
        <v>1195</v>
      </c>
      <c r="D4324" s="8">
        <v>2425</v>
      </c>
      <c r="E4324" s="8">
        <v>0</v>
      </c>
      <c r="F4324" s="8">
        <v>4275</v>
      </c>
    </row>
    <row r="4325" spans="1:6" ht="12.75">
      <c r="A4325" s="8">
        <v>43903.108483796299</v>
      </c>
      <c r="B4325" s="8" t="str">
        <f>HYPERLINK("https://twitter.com/Dindianwarrior","@Dindianwarrior")</f>
        <v>@Dindianwarrior</v>
      </c>
      <c r="C4325" s="8" t="s">
        <v>1195</v>
      </c>
      <c r="D4325" s="8">
        <v>2425</v>
      </c>
      <c r="E4325" s="8">
        <v>0</v>
      </c>
      <c r="F4325" s="8">
        <v>593</v>
      </c>
    </row>
    <row r="4326" spans="1:6" ht="12.75">
      <c r="A4326" s="8">
        <v>43903.108425925922</v>
      </c>
      <c r="B4326" s="8" t="str">
        <f>HYPERLINK("https://twitter.com/abhishek_singla","@abhishek_singla")</f>
        <v>@abhishek_singla</v>
      </c>
      <c r="C4326" s="8" t="s">
        <v>1195</v>
      </c>
      <c r="D4326" s="8">
        <v>2425</v>
      </c>
      <c r="E4326" s="8">
        <v>0</v>
      </c>
      <c r="F4326" s="8">
        <v>119</v>
      </c>
    </row>
    <row r="4327" spans="1:6" ht="12.75">
      <c r="A4327" s="8">
        <v>43903.107523148152</v>
      </c>
      <c r="B4327" s="8" t="str">
        <f>HYPERLINK("https://twitter.com/sinhrann","@sinhrann")</f>
        <v>@sinhrann</v>
      </c>
      <c r="C4327" s="8" t="s">
        <v>1528</v>
      </c>
      <c r="D4327" s="8">
        <v>2</v>
      </c>
      <c r="E4327" s="8">
        <v>0</v>
      </c>
      <c r="F4327" s="8">
        <v>1384</v>
      </c>
    </row>
    <row r="4328" spans="1:6" ht="12.75">
      <c r="A4328" s="8">
        <v>43903.106886574074</v>
      </c>
      <c r="B4328" s="8" t="str">
        <f>HYPERLINK("https://twitter.com/YoyokSubandriy3","@YoyokSubandriy3")</f>
        <v>@YoyokSubandriy3</v>
      </c>
      <c r="C4328" s="8" t="s">
        <v>1919</v>
      </c>
      <c r="D4328" s="8">
        <v>31</v>
      </c>
      <c r="E4328" s="8">
        <v>0</v>
      </c>
      <c r="F4328" s="8">
        <v>1342</v>
      </c>
    </row>
    <row r="4329" spans="1:6" ht="12.75">
      <c r="A4329" s="8">
        <v>43903.104456018518</v>
      </c>
      <c r="B4329" s="8" t="str">
        <f>HYPERLINK("https://twitter.com/officialliputan","@officialliputan")</f>
        <v>@officialliputan</v>
      </c>
      <c r="C4329" s="8" t="s">
        <v>2273</v>
      </c>
      <c r="D4329" s="8">
        <v>0</v>
      </c>
      <c r="E4329" s="8">
        <v>0</v>
      </c>
      <c r="F4329" s="8">
        <v>675</v>
      </c>
    </row>
    <row r="4330" spans="1:6" ht="12.75">
      <c r="A4330" s="8">
        <v>43903.103668981479</v>
      </c>
      <c r="B4330" s="8" t="str">
        <f>HYPERLINK("https://twitter.com/IAnirbanG","@IAnirbanG")</f>
        <v>@IAnirbanG</v>
      </c>
      <c r="C4330" s="8" t="s">
        <v>1195</v>
      </c>
      <c r="D4330" s="8">
        <v>2425</v>
      </c>
      <c r="E4330" s="8">
        <v>0</v>
      </c>
      <c r="F4330" s="8">
        <v>468</v>
      </c>
    </row>
    <row r="4331" spans="1:6" ht="12.75">
      <c r="A4331" s="8">
        <v>43903.103379629625</v>
      </c>
      <c r="B4331" s="8" t="str">
        <f>HYPERLINK("https://twitter.com/HarmanManchanda","@HarmanManchanda")</f>
        <v>@HarmanManchanda</v>
      </c>
      <c r="C4331" s="8" t="s">
        <v>1195</v>
      </c>
      <c r="D4331" s="8">
        <v>2425</v>
      </c>
      <c r="E4331" s="8">
        <v>0</v>
      </c>
      <c r="F4331" s="8">
        <v>2069</v>
      </c>
    </row>
    <row r="4332" spans="1:6" ht="12.75">
      <c r="A4332" s="8">
        <v>43903.102812500001</v>
      </c>
      <c r="B4332" s="8" t="str">
        <f>HYPERLINK("https://twitter.com/alfinalstri","@alfinalstri")</f>
        <v>@alfinalstri</v>
      </c>
      <c r="C4332" s="8" t="s">
        <v>774</v>
      </c>
      <c r="D4332" s="8">
        <v>4</v>
      </c>
      <c r="E4332" s="8">
        <v>0</v>
      </c>
      <c r="F4332" s="8">
        <v>0</v>
      </c>
    </row>
    <row r="4333" spans="1:6" ht="12.75">
      <c r="A4333" s="8">
        <v>43903.101875</v>
      </c>
      <c r="B4333" s="8" t="str">
        <f>HYPERLINK("https://twitter.com/rocker_indian","@rocker_indian")</f>
        <v>@rocker_indian</v>
      </c>
      <c r="C4333" s="8" t="s">
        <v>1195</v>
      </c>
      <c r="D4333" s="8">
        <v>2425</v>
      </c>
      <c r="E4333" s="8">
        <v>0</v>
      </c>
      <c r="F4333" s="8">
        <v>589</v>
      </c>
    </row>
    <row r="4334" spans="1:6" ht="12.75">
      <c r="A4334" s="8">
        <v>43903.10056712963</v>
      </c>
      <c r="B4334" s="8" t="str">
        <f>HYPERLINK("https://twitter.com/roshansinghrana","@roshansinghrana")</f>
        <v>@roshansinghrana</v>
      </c>
      <c r="C4334" s="8" t="s">
        <v>1195</v>
      </c>
      <c r="D4334" s="8">
        <v>2425</v>
      </c>
      <c r="E4334" s="8">
        <v>0</v>
      </c>
      <c r="F4334" s="8">
        <v>456</v>
      </c>
    </row>
    <row r="4335" spans="1:6" ht="12.75">
      <c r="A4335" s="8">
        <v>43903.099224537036</v>
      </c>
      <c r="B4335" s="8" t="str">
        <f>HYPERLINK("https://twitter.com/heiibulbdog","@heiibulbdog")</f>
        <v>@heiibulbdog</v>
      </c>
      <c r="C4335" s="8" t="s">
        <v>1919</v>
      </c>
      <c r="D4335" s="8">
        <v>31</v>
      </c>
      <c r="E4335" s="8">
        <v>0</v>
      </c>
      <c r="F4335" s="8">
        <v>201</v>
      </c>
    </row>
    <row r="4336" spans="1:6" ht="12.75">
      <c r="A4336" s="8">
        <v>43903.098819444444</v>
      </c>
      <c r="B4336" s="8" t="str">
        <f>HYPERLINK("https://twitter.com/dangwitty","@dangwitty")</f>
        <v>@dangwitty</v>
      </c>
      <c r="C4336" s="8" t="s">
        <v>1195</v>
      </c>
      <c r="D4336" s="8">
        <v>2425</v>
      </c>
      <c r="E4336" s="8">
        <v>0</v>
      </c>
      <c r="F4336" s="8">
        <v>1013</v>
      </c>
    </row>
    <row r="4337" spans="1:6" ht="12.75">
      <c r="A4337" s="8">
        <v>43903.098067129627</v>
      </c>
      <c r="B4337" s="8" t="str">
        <f>HYPERLINK("https://twitter.com/wwdnto","@wwdnto")</f>
        <v>@wwdnto</v>
      </c>
      <c r="C4337" s="8" t="s">
        <v>2274</v>
      </c>
      <c r="D4337" s="8">
        <v>0</v>
      </c>
      <c r="E4337" s="8">
        <v>0</v>
      </c>
      <c r="F4337" s="8">
        <v>124</v>
      </c>
    </row>
    <row r="4338" spans="1:6" ht="12.75">
      <c r="A4338" s="8">
        <v>43903.09784722222</v>
      </c>
      <c r="B4338" s="8" t="str">
        <f>HYPERLINK("https://twitter.com/EnlightenedInd3","@EnlightenedInd3")</f>
        <v>@EnlightenedInd3</v>
      </c>
      <c r="C4338" s="8" t="s">
        <v>1195</v>
      </c>
      <c r="D4338" s="8">
        <v>2425</v>
      </c>
      <c r="E4338" s="8">
        <v>0</v>
      </c>
      <c r="F4338" s="8">
        <v>87</v>
      </c>
    </row>
    <row r="4339" spans="1:6" ht="12.75">
      <c r="A4339" s="8">
        <v>43903.096956018519</v>
      </c>
      <c r="B4339" s="8" t="str">
        <f>HYPERLINK("https://twitter.com/NagarjunC","@NagarjunC")</f>
        <v>@NagarjunC</v>
      </c>
      <c r="C4339" s="8" t="s">
        <v>1195</v>
      </c>
      <c r="D4339" s="8">
        <v>2425</v>
      </c>
      <c r="E4339" s="8">
        <v>0</v>
      </c>
      <c r="F4339" s="8">
        <v>119</v>
      </c>
    </row>
    <row r="4340" spans="1:6" ht="12.75">
      <c r="A4340" s="8">
        <v>43903.096261574072</v>
      </c>
      <c r="B4340" s="8" t="str">
        <f>HYPERLINK("https://twitter.com/m_yanto_baemo","@m_yanto_baemo")</f>
        <v>@m_yanto_baemo</v>
      </c>
      <c r="C4340" s="8" t="s">
        <v>1919</v>
      </c>
      <c r="D4340" s="8">
        <v>31</v>
      </c>
      <c r="E4340" s="8">
        <v>0</v>
      </c>
      <c r="F4340" s="8">
        <v>3502</v>
      </c>
    </row>
    <row r="4341" spans="1:6" ht="12.75">
      <c r="A4341" s="8">
        <v>43903.095451388886</v>
      </c>
      <c r="B4341" s="8" t="str">
        <f>HYPERLINK("https://twitter.com/21Lai21","@21Lai21")</f>
        <v>@21Lai21</v>
      </c>
      <c r="C4341" s="8" t="s">
        <v>1919</v>
      </c>
      <c r="D4341" s="8">
        <v>31</v>
      </c>
      <c r="E4341" s="8">
        <v>0</v>
      </c>
      <c r="F4341" s="8">
        <v>308</v>
      </c>
    </row>
    <row r="4342" spans="1:6" ht="12.75">
      <c r="A4342" s="8">
        <v>43903.094456018516</v>
      </c>
      <c r="B4342" s="8" t="str">
        <f>HYPERLINK("https://twitter.com/Ajay_Mergu001","@Ajay_Mergu001")</f>
        <v>@Ajay_Mergu001</v>
      </c>
      <c r="C4342" s="8" t="s">
        <v>1195</v>
      </c>
      <c r="D4342" s="8">
        <v>2425</v>
      </c>
      <c r="E4342" s="8">
        <v>0</v>
      </c>
      <c r="F4342" s="8">
        <v>4465</v>
      </c>
    </row>
    <row r="4343" spans="1:6" ht="12.75">
      <c r="A4343" s="8">
        <v>43903.094456018516</v>
      </c>
      <c r="B4343" s="8" t="str">
        <f>HYPERLINK("https://twitter.com/amboperception","@amboperception")</f>
        <v>@amboperception</v>
      </c>
      <c r="C4343" s="8" t="s">
        <v>1030</v>
      </c>
      <c r="D4343" s="8">
        <v>176</v>
      </c>
      <c r="E4343" s="8">
        <v>0</v>
      </c>
      <c r="F4343" s="8">
        <v>314</v>
      </c>
    </row>
    <row r="4344" spans="1:6" ht="12.75">
      <c r="A4344" s="8">
        <v>43903.094074074077</v>
      </c>
      <c r="B4344" s="8" t="str">
        <f>HYPERLINK("https://twitter.com/harsh_sheth","@harsh_sheth")</f>
        <v>@harsh_sheth</v>
      </c>
      <c r="C4344" s="8" t="s">
        <v>1195</v>
      </c>
      <c r="D4344" s="8">
        <v>2425</v>
      </c>
      <c r="E4344" s="8">
        <v>0</v>
      </c>
      <c r="F4344" s="8">
        <v>92</v>
      </c>
    </row>
    <row r="4345" spans="1:6" ht="12.75">
      <c r="A4345" s="8">
        <v>43903.093993055554</v>
      </c>
      <c r="B4345" s="8" t="str">
        <f>HYPERLINK("https://twitter.com/kuanjani","@kuanjani")</f>
        <v>@kuanjani</v>
      </c>
      <c r="C4345" s="8" t="s">
        <v>1195</v>
      </c>
      <c r="D4345" s="8">
        <v>2425</v>
      </c>
      <c r="E4345" s="8">
        <v>0</v>
      </c>
      <c r="F4345" s="8">
        <v>61</v>
      </c>
    </row>
    <row r="4346" spans="1:6" ht="12.75">
      <c r="A4346" s="8">
        <v>43903.093773148154</v>
      </c>
      <c r="B4346" s="8" t="str">
        <f>HYPERLINK("https://twitter.com/TeckTweets","@TeckTweets")</f>
        <v>@TeckTweets</v>
      </c>
      <c r="C4346" s="8" t="s">
        <v>1195</v>
      </c>
      <c r="D4346" s="8">
        <v>2425</v>
      </c>
      <c r="E4346" s="8">
        <v>0</v>
      </c>
      <c r="F4346" s="8">
        <v>478</v>
      </c>
    </row>
    <row r="4347" spans="1:6" ht="12.75">
      <c r="A4347" s="8">
        <v>43903.093657407408</v>
      </c>
      <c r="B4347" s="8" t="str">
        <f>HYPERLINK("https://twitter.com/Arrsha_","@Arrsha_")</f>
        <v>@Arrsha_</v>
      </c>
      <c r="C4347" s="8" t="s">
        <v>440</v>
      </c>
      <c r="D4347" s="8">
        <v>141</v>
      </c>
      <c r="E4347" s="8">
        <v>0</v>
      </c>
      <c r="F4347" s="8">
        <v>388</v>
      </c>
    </row>
    <row r="4348" spans="1:6" ht="12.75">
      <c r="A4348" s="8">
        <v>43903.093240740738</v>
      </c>
      <c r="B4348" s="8" t="str">
        <f>HYPERLINK("https://twitter.com/P3nj3l4j4h_id","@P3nj3l4j4h_id")</f>
        <v>@P3nj3l4j4h_id</v>
      </c>
      <c r="C4348" s="8" t="s">
        <v>2275</v>
      </c>
      <c r="D4348" s="8">
        <v>1</v>
      </c>
      <c r="E4348" s="8">
        <v>7</v>
      </c>
      <c r="F4348" s="8">
        <v>16692</v>
      </c>
    </row>
    <row r="4349" spans="1:6" ht="12.75">
      <c r="A4349" s="8">
        <v>43903.092129629629</v>
      </c>
      <c r="B4349" s="8" t="str">
        <f>HYPERLINK("https://twitter.com/imakshaysoni","@imakshaysoni")</f>
        <v>@imakshaysoni</v>
      </c>
      <c r="C4349" s="8" t="s">
        <v>1195</v>
      </c>
      <c r="D4349" s="8">
        <v>2425</v>
      </c>
      <c r="E4349" s="8">
        <v>0</v>
      </c>
      <c r="F4349" s="8">
        <v>658</v>
      </c>
    </row>
    <row r="4350" spans="1:6" ht="12.75">
      <c r="A4350" s="8">
        <v>43903.091064814813</v>
      </c>
      <c r="B4350" s="8" t="str">
        <f>HYPERLINK("https://twitter.com/21Lai21","@21Lai21")</f>
        <v>@21Lai21</v>
      </c>
      <c r="C4350" s="8" t="s">
        <v>289</v>
      </c>
      <c r="D4350" s="8">
        <v>85</v>
      </c>
      <c r="E4350" s="8">
        <v>0</v>
      </c>
      <c r="F4350" s="8">
        <v>308</v>
      </c>
    </row>
    <row r="4351" spans="1:6" ht="12.75">
      <c r="A4351" s="8">
        <v>43903.090324074074</v>
      </c>
      <c r="B4351" s="8" t="str">
        <f>HYPERLINK("https://twitter.com/DineshBhatkal","@DineshBhatkal")</f>
        <v>@DineshBhatkal</v>
      </c>
      <c r="C4351" s="8" t="s">
        <v>1195</v>
      </c>
      <c r="D4351" s="8">
        <v>2425</v>
      </c>
      <c r="E4351" s="8">
        <v>0</v>
      </c>
      <c r="F4351" s="8">
        <v>137</v>
      </c>
    </row>
    <row r="4352" spans="1:6" ht="12.75">
      <c r="A4352" s="8">
        <v>43903.090115740742</v>
      </c>
      <c r="B4352" s="8" t="str">
        <f>HYPERLINK("https://twitter.com/mr_devilliers","@mr_devilliers")</f>
        <v>@mr_devilliers</v>
      </c>
      <c r="C4352" s="8" t="s">
        <v>1195</v>
      </c>
      <c r="D4352" s="8">
        <v>2380</v>
      </c>
      <c r="E4352" s="8">
        <v>0</v>
      </c>
      <c r="F4352" s="8">
        <v>102</v>
      </c>
    </row>
    <row r="4353" spans="1:6" ht="12.75">
      <c r="A4353" s="8">
        <v>43903.089340277773</v>
      </c>
      <c r="B4353" s="8" t="str">
        <f>HYPERLINK("https://twitter.com/halilintar8","@halilintar8")</f>
        <v>@halilintar8</v>
      </c>
      <c r="C4353" s="8" t="s">
        <v>1758</v>
      </c>
      <c r="D4353" s="8">
        <v>93</v>
      </c>
      <c r="E4353" s="8">
        <v>0</v>
      </c>
      <c r="F4353" s="8">
        <v>120</v>
      </c>
    </row>
    <row r="4354" spans="1:6" ht="12.75">
      <c r="A4354" s="8">
        <v>43903.088958333334</v>
      </c>
      <c r="B4354" s="8" t="str">
        <f>HYPERLINK("https://twitter.com/Venky3812","@Venky3812")</f>
        <v>@Venky3812</v>
      </c>
      <c r="C4354" s="8" t="s">
        <v>1195</v>
      </c>
      <c r="D4354" s="8">
        <v>2380</v>
      </c>
      <c r="E4354" s="8">
        <v>0</v>
      </c>
      <c r="F4354" s="8">
        <v>173</v>
      </c>
    </row>
    <row r="4355" spans="1:6" ht="12.75">
      <c r="A4355" s="8">
        <v>43903.088946759264</v>
      </c>
      <c r="B4355" s="8" t="str">
        <f>HYPERLINK("https://twitter.com/_NotNeutral","@_NotNeutral")</f>
        <v>@_NotNeutral</v>
      </c>
      <c r="C4355" s="8" t="s">
        <v>1195</v>
      </c>
      <c r="D4355" s="8">
        <v>2380</v>
      </c>
      <c r="E4355" s="8">
        <v>0</v>
      </c>
      <c r="F4355" s="8">
        <v>278</v>
      </c>
    </row>
    <row r="4356" spans="1:6" ht="12.75">
      <c r="A4356" s="8">
        <v>43903.085821759261</v>
      </c>
      <c r="B4356" s="8" t="str">
        <f>HYPERLINK("https://twitter.com/secret_agent_hu","@secret_agent_hu")</f>
        <v>@secret_agent_hu</v>
      </c>
      <c r="C4356" s="8" t="s">
        <v>1195</v>
      </c>
      <c r="D4356" s="8">
        <v>2380</v>
      </c>
      <c r="E4356" s="8">
        <v>0</v>
      </c>
      <c r="F4356" s="8">
        <v>185</v>
      </c>
    </row>
    <row r="4357" spans="1:6" ht="12.75">
      <c r="A4357" s="8">
        <v>43903.0856712963</v>
      </c>
      <c r="B4357" s="8" t="str">
        <f>HYPERLINK("https://twitter.com/giminELLex","@giminELLex")</f>
        <v>@giminELLex</v>
      </c>
      <c r="C4357" s="8" t="s">
        <v>165</v>
      </c>
      <c r="D4357" s="8">
        <v>127</v>
      </c>
      <c r="E4357" s="8">
        <v>0</v>
      </c>
      <c r="F4357" s="8">
        <v>1075</v>
      </c>
    </row>
    <row r="4358" spans="1:6" ht="12.75">
      <c r="A4358" s="8">
        <v>43903.084374999999</v>
      </c>
      <c r="B4358" s="8" t="str">
        <f>HYPERLINK("https://twitter.com/thebrahmingal","@thebrahmingal")</f>
        <v>@thebrahmingal</v>
      </c>
      <c r="C4358" s="8" t="s">
        <v>1195</v>
      </c>
      <c r="D4358" s="8">
        <v>2380</v>
      </c>
      <c r="E4358" s="8">
        <v>0</v>
      </c>
      <c r="F4358" s="8">
        <v>2498</v>
      </c>
    </row>
    <row r="4359" spans="1:6" ht="12.75">
      <c r="A4359" s="8">
        <v>43903.08393518519</v>
      </c>
      <c r="B4359" s="8" t="str">
        <f>HYPERLINK("https://twitter.com/krishnasharmaP","@krishnasharmaP")</f>
        <v>@krishnasharmaP</v>
      </c>
      <c r="C4359" s="8" t="s">
        <v>2092</v>
      </c>
      <c r="D4359" s="8">
        <v>3</v>
      </c>
      <c r="E4359" s="8">
        <v>0</v>
      </c>
      <c r="F4359" s="8">
        <v>1612</v>
      </c>
    </row>
    <row r="4360" spans="1:6" ht="12.75">
      <c r="A4360" s="8">
        <v>43903.083379629628</v>
      </c>
      <c r="B4360" s="8" t="str">
        <f>HYPERLINK("https://twitter.com/alenaheart","@alenaheart")</f>
        <v>@alenaheart</v>
      </c>
      <c r="C4360" s="8" t="s">
        <v>1030</v>
      </c>
      <c r="D4360" s="8">
        <v>173</v>
      </c>
      <c r="E4360" s="8">
        <v>0</v>
      </c>
      <c r="F4360" s="8">
        <v>636</v>
      </c>
    </row>
    <row r="4361" spans="1:6" ht="12.75">
      <c r="A4361" s="8">
        <v>43903.08289351852</v>
      </c>
      <c r="B4361" s="8" t="str">
        <f>HYPERLINK("https://twitter.com/ShubhaanN","@ShubhaanN")</f>
        <v>@ShubhaanN</v>
      </c>
      <c r="C4361" s="8" t="s">
        <v>1195</v>
      </c>
      <c r="D4361" s="8">
        <v>2380</v>
      </c>
      <c r="E4361" s="8">
        <v>0</v>
      </c>
      <c r="F4361" s="8">
        <v>108</v>
      </c>
    </row>
    <row r="4362" spans="1:6" ht="12.75">
      <c r="A4362" s="8">
        <v>43903.082766203705</v>
      </c>
      <c r="B4362" s="8" t="str">
        <f>HYPERLINK("https://twitter.com/gadisresidu_b3","@gadisresidu_b3")</f>
        <v>@gadisresidu_b3</v>
      </c>
      <c r="C4362" s="8" t="s">
        <v>2276</v>
      </c>
      <c r="D4362" s="8">
        <v>0</v>
      </c>
      <c r="E4362" s="8">
        <v>0</v>
      </c>
      <c r="F4362" s="8">
        <v>2253</v>
      </c>
    </row>
    <row r="4363" spans="1:6" ht="12.75">
      <c r="A4363" s="8">
        <v>43903.081701388888</v>
      </c>
      <c r="B4363" s="8" t="str">
        <f>HYPERLINK("https://twitter.com/nezu_opines","@nezu_opines")</f>
        <v>@nezu_opines</v>
      </c>
      <c r="C4363" s="8" t="s">
        <v>1957</v>
      </c>
      <c r="D4363" s="8">
        <v>1551</v>
      </c>
      <c r="E4363" s="8">
        <v>0</v>
      </c>
      <c r="F4363" s="8">
        <v>62</v>
      </c>
    </row>
    <row r="4364" spans="1:6" ht="12.75">
      <c r="A4364" s="8">
        <v>43903.079907407402</v>
      </c>
      <c r="B4364" s="8" t="str">
        <f>HYPERLINK("https://twitter.com/KGujjain","@KGujjain")</f>
        <v>@KGujjain</v>
      </c>
      <c r="C4364" s="8" t="s">
        <v>1195</v>
      </c>
      <c r="D4364" s="8">
        <v>2380</v>
      </c>
      <c r="E4364" s="8">
        <v>0</v>
      </c>
      <c r="F4364" s="8">
        <v>437</v>
      </c>
    </row>
    <row r="4365" spans="1:6" ht="12.75">
      <c r="A4365" s="8">
        <v>43903.079305555555</v>
      </c>
      <c r="B4365" s="8" t="str">
        <f>HYPERLINK("https://twitter.com/tris68pangjay","@tris68pangjay")</f>
        <v>@tris68pangjay</v>
      </c>
      <c r="C4365" s="8" t="s">
        <v>2277</v>
      </c>
      <c r="D4365" s="8">
        <v>0</v>
      </c>
      <c r="E4365" s="8">
        <v>0</v>
      </c>
      <c r="F4365" s="8">
        <v>61</v>
      </c>
    </row>
    <row r="4366" spans="1:6" ht="12.75">
      <c r="A4366" s="8">
        <v>43903.078275462962</v>
      </c>
      <c r="B4366" s="8" t="str">
        <f>HYPERLINK("https://twitter.com/markz3n","@markz3n")</f>
        <v>@markz3n</v>
      </c>
      <c r="C4366" s="8" t="s">
        <v>2278</v>
      </c>
      <c r="D4366" s="8">
        <v>0</v>
      </c>
      <c r="E4366" s="8">
        <v>0</v>
      </c>
      <c r="F4366" s="8">
        <v>1614</v>
      </c>
    </row>
    <row r="4367" spans="1:6" ht="12.75">
      <c r="A4367" s="8">
        <v>43903.078055555554</v>
      </c>
      <c r="B4367" s="8" t="str">
        <f>HYPERLINK("https://twitter.com/rahmarifa27","@rahmarifa27")</f>
        <v>@rahmarifa27</v>
      </c>
      <c r="C4367" s="8" t="s">
        <v>1826</v>
      </c>
      <c r="D4367" s="8">
        <v>2</v>
      </c>
      <c r="E4367" s="8">
        <v>0</v>
      </c>
      <c r="F4367" s="8">
        <v>375</v>
      </c>
    </row>
    <row r="4368" spans="1:6" ht="12.75">
      <c r="A4368" s="8">
        <v>43903.077222222222</v>
      </c>
      <c r="B4368" s="8" t="str">
        <f>HYPERLINK("https://twitter.com/AjayAanya","@AjayAanya")</f>
        <v>@AjayAanya</v>
      </c>
      <c r="C4368" s="8" t="s">
        <v>2279</v>
      </c>
      <c r="D4368" s="8">
        <v>3</v>
      </c>
      <c r="E4368" s="8">
        <v>0</v>
      </c>
      <c r="F4368" s="8">
        <v>5766</v>
      </c>
    </row>
    <row r="4369" spans="1:6" ht="12.75">
      <c r="A4369" s="8">
        <v>43903.076365740737</v>
      </c>
      <c r="B4369" s="8" t="str">
        <f>HYPERLINK("https://twitter.com/MeyRudy7205","@MeyRudy7205")</f>
        <v>@MeyRudy7205</v>
      </c>
      <c r="C4369" s="8" t="s">
        <v>289</v>
      </c>
      <c r="D4369" s="8">
        <v>82</v>
      </c>
      <c r="E4369" s="8">
        <v>0</v>
      </c>
      <c r="F4369" s="8">
        <v>177</v>
      </c>
    </row>
    <row r="4370" spans="1:6" ht="12.75">
      <c r="A4370" s="8">
        <v>43903.076331018514</v>
      </c>
      <c r="B4370" s="8" t="str">
        <f>HYPERLINK("https://twitter.com/Ramanthakur2603","@Ramanthakur2603")</f>
        <v>@Ramanthakur2603</v>
      </c>
      <c r="C4370" s="8" t="s">
        <v>1195</v>
      </c>
      <c r="D4370" s="8">
        <v>2380</v>
      </c>
      <c r="E4370" s="8">
        <v>0</v>
      </c>
      <c r="F4370" s="8">
        <v>169</v>
      </c>
    </row>
    <row r="4371" spans="1:6" ht="12.75">
      <c r="A4371" s="8">
        <v>43903.076180555552</v>
      </c>
      <c r="B4371" s="8" t="str">
        <f>HYPERLINK("https://twitter.com/markz3n","@markz3n")</f>
        <v>@markz3n</v>
      </c>
      <c r="C4371" s="8" t="s">
        <v>2280</v>
      </c>
      <c r="D4371" s="8">
        <v>0</v>
      </c>
      <c r="E4371" s="8">
        <v>0</v>
      </c>
      <c r="F4371" s="8">
        <v>1614</v>
      </c>
    </row>
    <row r="4372" spans="1:6" ht="12.75">
      <c r="A4372" s="8">
        <v>43903.075995370367</v>
      </c>
      <c r="B4372" s="8" t="str">
        <f>HYPERLINK("https://twitter.com/uglyassdurian","@uglyassdurian")</f>
        <v>@uglyassdurian</v>
      </c>
      <c r="C4372" s="8" t="s">
        <v>2281</v>
      </c>
      <c r="D4372" s="8">
        <v>0</v>
      </c>
      <c r="E4372" s="8">
        <v>0</v>
      </c>
      <c r="F4372" s="8">
        <v>31</v>
      </c>
    </row>
    <row r="4373" spans="1:6" ht="12.75">
      <c r="A4373" s="8">
        <v>43903.075682870374</v>
      </c>
      <c r="B4373" s="8" t="str">
        <f>HYPERLINK("https://twitter.com/mudha_satriya","@mudha_satriya")</f>
        <v>@mudha_satriya</v>
      </c>
      <c r="C4373" s="8" t="s">
        <v>2282</v>
      </c>
      <c r="D4373" s="8">
        <v>1</v>
      </c>
      <c r="E4373" s="8">
        <v>0</v>
      </c>
      <c r="F4373" s="8">
        <v>1886</v>
      </c>
    </row>
    <row r="4374" spans="1:6" ht="12.75">
      <c r="A4374" s="8">
        <v>43903.075370370367</v>
      </c>
      <c r="B4374" s="8" t="str">
        <f>HYPERLINK("https://twitter.com/_asura_samraat_","@_asura_samraat_")</f>
        <v>@_asura_samraat_</v>
      </c>
      <c r="C4374" s="8" t="s">
        <v>1195</v>
      </c>
      <c r="D4374" s="8">
        <v>2380</v>
      </c>
      <c r="E4374" s="8">
        <v>0</v>
      </c>
      <c r="F4374" s="8">
        <v>74</v>
      </c>
    </row>
    <row r="4375" spans="1:6" ht="12.75">
      <c r="A4375" s="8">
        <v>43903.075162037036</v>
      </c>
      <c r="B4375" s="8" t="str">
        <f>HYPERLINK("https://twitter.com/markz3n","@markz3n")</f>
        <v>@markz3n</v>
      </c>
      <c r="C4375" s="8" t="s">
        <v>2283</v>
      </c>
      <c r="D4375" s="8">
        <v>0</v>
      </c>
      <c r="E4375" s="8">
        <v>0</v>
      </c>
      <c r="F4375" s="8">
        <v>1614</v>
      </c>
    </row>
    <row r="4376" spans="1:6" ht="12.75">
      <c r="A4376" s="8">
        <v>43903.074953703705</v>
      </c>
      <c r="B4376" s="8" t="str">
        <f>HYPERLINK("https://twitter.com/RamdasSwamy","@RamdasSwamy")</f>
        <v>@RamdasSwamy</v>
      </c>
      <c r="C4376" s="8" t="s">
        <v>1195</v>
      </c>
      <c r="D4376" s="8">
        <v>2380</v>
      </c>
      <c r="E4376" s="8">
        <v>0</v>
      </c>
      <c r="F4376" s="8">
        <v>130</v>
      </c>
    </row>
    <row r="4377" spans="1:6" ht="12.75">
      <c r="A4377" s="8">
        <v>43903.073587962965</v>
      </c>
      <c r="B4377" s="8" t="str">
        <f>HYPERLINK("https://twitter.com/vinodshadija","@vinodshadija")</f>
        <v>@vinodshadija</v>
      </c>
      <c r="C4377" s="8" t="s">
        <v>1195</v>
      </c>
      <c r="D4377" s="8">
        <v>2380</v>
      </c>
      <c r="E4377" s="8">
        <v>0</v>
      </c>
      <c r="F4377" s="8">
        <v>1021</v>
      </c>
    </row>
    <row r="4378" spans="1:6" ht="12.75">
      <c r="A4378" s="8">
        <v>43903.073437500003</v>
      </c>
      <c r="B4378" s="8" t="str">
        <f>HYPERLINK("https://twitter.com/eyesonyou420","@eyesonyou420")</f>
        <v>@eyesonyou420</v>
      </c>
      <c r="C4378" s="8" t="s">
        <v>1195</v>
      </c>
      <c r="D4378" s="8">
        <v>2380</v>
      </c>
      <c r="E4378" s="8">
        <v>0</v>
      </c>
      <c r="F4378" s="8">
        <v>53</v>
      </c>
    </row>
    <row r="4379" spans="1:6" ht="12.75">
      <c r="A4379" s="8">
        <v>43903.072916666672</v>
      </c>
      <c r="B4379" s="8" t="str">
        <f>HYPERLINK("https://twitter.com/towongsing","@towongsing")</f>
        <v>@towongsing</v>
      </c>
      <c r="C4379" s="8" t="s">
        <v>1801</v>
      </c>
      <c r="D4379" s="8">
        <v>356</v>
      </c>
      <c r="E4379" s="8">
        <v>0</v>
      </c>
      <c r="F4379" s="8">
        <v>170</v>
      </c>
    </row>
    <row r="4380" spans="1:6" ht="12.75">
      <c r="A4380" s="8">
        <v>43903.072858796295</v>
      </c>
      <c r="B4380" s="8" t="str">
        <f t="shared" ref="B4380:B4381" si="81">HYPERLINK("https://twitter.com/markz3n","@markz3n")</f>
        <v>@markz3n</v>
      </c>
      <c r="C4380" s="8" t="s">
        <v>2284</v>
      </c>
      <c r="D4380" s="8">
        <v>0</v>
      </c>
      <c r="E4380" s="8">
        <v>0</v>
      </c>
      <c r="F4380" s="8">
        <v>1614</v>
      </c>
    </row>
    <row r="4381" spans="1:6" ht="12.75">
      <c r="A4381" s="8">
        <v>43903.07267361111</v>
      </c>
      <c r="B4381" s="8" t="str">
        <f t="shared" si="81"/>
        <v>@markz3n</v>
      </c>
      <c r="C4381" s="8" t="s">
        <v>2285</v>
      </c>
      <c r="D4381" s="8">
        <v>0</v>
      </c>
      <c r="E4381" s="8">
        <v>0</v>
      </c>
      <c r="F4381" s="8">
        <v>1614</v>
      </c>
    </row>
    <row r="4382" spans="1:6" ht="12.75">
      <c r="A4382" s="8">
        <v>43903.071921296301</v>
      </c>
      <c r="B4382" s="8" t="str">
        <f>HYPERLINK("https://twitter.com/BharatDharmaom","@BharatDharmaom")</f>
        <v>@BharatDharmaom</v>
      </c>
      <c r="C4382" s="8" t="s">
        <v>1195</v>
      </c>
      <c r="D4382" s="8">
        <v>2380</v>
      </c>
      <c r="E4382" s="8">
        <v>0</v>
      </c>
      <c r="F4382" s="8">
        <v>142</v>
      </c>
    </row>
    <row r="4383" spans="1:6" ht="12.75">
      <c r="A4383" s="8">
        <v>43903.071481481486</v>
      </c>
      <c r="B4383" s="8" t="str">
        <f>HYPERLINK("https://twitter.com/AbhishekISB","@AbhishekISB")</f>
        <v>@AbhishekISB</v>
      </c>
      <c r="C4383" s="8" t="s">
        <v>1195</v>
      </c>
      <c r="D4383" s="8">
        <v>2380</v>
      </c>
      <c r="E4383" s="8">
        <v>0</v>
      </c>
      <c r="F4383" s="8">
        <v>247</v>
      </c>
    </row>
    <row r="4384" spans="1:6" ht="12.75">
      <c r="A4384" s="8">
        <v>43903.071111111116</v>
      </c>
      <c r="B4384" s="8" t="str">
        <f>HYPERLINK("https://twitter.com/SandeepMahule","@SandeepMahule")</f>
        <v>@SandeepMahule</v>
      </c>
      <c r="C4384" s="8" t="s">
        <v>1195</v>
      </c>
      <c r="D4384" s="8">
        <v>2380</v>
      </c>
      <c r="E4384" s="8">
        <v>0</v>
      </c>
      <c r="F4384" s="8">
        <v>19225</v>
      </c>
    </row>
    <row r="4385" spans="1:6" ht="12.75">
      <c r="A4385" s="8">
        <v>43903.071030092593</v>
      </c>
      <c r="B4385" s="8" t="str">
        <f>HYPERLINK("https://twitter.com/Laukeshnath","@Laukeshnath")</f>
        <v>@Laukeshnath</v>
      </c>
      <c r="C4385" s="8" t="s">
        <v>1195</v>
      </c>
      <c r="D4385" s="8">
        <v>2380</v>
      </c>
      <c r="E4385" s="8">
        <v>0</v>
      </c>
      <c r="F4385" s="8">
        <v>62</v>
      </c>
    </row>
    <row r="4386" spans="1:6" ht="12.75">
      <c r="A4386" s="8">
        <v>43903.0703125</v>
      </c>
      <c r="B4386" s="8" t="str">
        <f>HYPERLINK("https://twitter.com/3_devout","@3_devout")</f>
        <v>@3_devout</v>
      </c>
      <c r="C4386" s="8" t="s">
        <v>289</v>
      </c>
      <c r="D4386" s="8">
        <v>82</v>
      </c>
      <c r="E4386" s="8">
        <v>0</v>
      </c>
      <c r="F4386" s="8">
        <v>1070</v>
      </c>
    </row>
    <row r="4387" spans="1:6" ht="12.75">
      <c r="A4387" s="8">
        <v>43903.06930555556</v>
      </c>
      <c r="B4387" s="8" t="str">
        <f>HYPERLINK("https://twitter.com/Awin752","@Awin752")</f>
        <v>@Awin752</v>
      </c>
      <c r="C4387" s="8" t="s">
        <v>1733</v>
      </c>
      <c r="D4387" s="8">
        <v>4</v>
      </c>
      <c r="E4387" s="8">
        <v>0</v>
      </c>
      <c r="F4387" s="8">
        <v>28</v>
      </c>
    </row>
    <row r="4388" spans="1:6" ht="12.75">
      <c r="A4388" s="8">
        <v>43903.067905092597</v>
      </c>
      <c r="B4388" s="8" t="str">
        <f>HYPERLINK("https://twitter.com/AnakKolong___","@AnakKolong___")</f>
        <v>@AnakKolong___</v>
      </c>
      <c r="C4388" s="8" t="s">
        <v>2286</v>
      </c>
      <c r="D4388" s="8">
        <v>2</v>
      </c>
      <c r="E4388" s="8">
        <v>0</v>
      </c>
      <c r="F4388" s="8">
        <v>8399</v>
      </c>
    </row>
    <row r="4389" spans="1:6" ht="12.75">
      <c r="A4389" s="8">
        <v>43903.067685185189</v>
      </c>
      <c r="B4389" s="8" t="str">
        <f>HYPERLINK("https://twitter.com/HarshModified","@HarshModified")</f>
        <v>@HarshModified</v>
      </c>
      <c r="C4389" s="8" t="s">
        <v>1195</v>
      </c>
      <c r="D4389" s="8">
        <v>2380</v>
      </c>
      <c r="E4389" s="8">
        <v>0</v>
      </c>
      <c r="F4389" s="8">
        <v>124</v>
      </c>
    </row>
    <row r="4390" spans="1:6" ht="12.75">
      <c r="A4390" s="8">
        <v>43903.067326388889</v>
      </c>
      <c r="B4390" s="8" t="str">
        <f>HYPERLINK("https://twitter.com/Sigromilir01","@Sigromilir01")</f>
        <v>@Sigromilir01</v>
      </c>
      <c r="C4390" s="8" t="s">
        <v>2287</v>
      </c>
      <c r="D4390" s="8">
        <v>2</v>
      </c>
      <c r="E4390" s="8">
        <v>5</v>
      </c>
      <c r="F4390" s="8">
        <v>33</v>
      </c>
    </row>
    <row r="4391" spans="1:6" ht="12.75">
      <c r="A4391" s="8">
        <v>43903.06649305555</v>
      </c>
      <c r="B4391" s="8" t="str">
        <f>HYPERLINK("https://twitter.com/kurniawanen","@kurniawanen")</f>
        <v>@kurniawanen</v>
      </c>
      <c r="C4391" s="8" t="s">
        <v>2051</v>
      </c>
      <c r="D4391" s="8">
        <v>160</v>
      </c>
      <c r="E4391" s="8">
        <v>0</v>
      </c>
      <c r="F4391" s="8">
        <v>258</v>
      </c>
    </row>
    <row r="4392" spans="1:6" ht="12.75">
      <c r="A4392" s="8">
        <v>43903.065659722226</v>
      </c>
      <c r="B4392" s="8" t="str">
        <f>HYPERLINK("https://twitter.com/avia_noer","@avia_noer")</f>
        <v>@avia_noer</v>
      </c>
      <c r="C4392" s="8" t="s">
        <v>1758</v>
      </c>
      <c r="D4392" s="8">
        <v>93</v>
      </c>
      <c r="E4392" s="8">
        <v>0</v>
      </c>
      <c r="F4392" s="8">
        <v>573</v>
      </c>
    </row>
    <row r="4393" spans="1:6" ht="12.75">
      <c r="A4393" s="8">
        <v>43903.065578703703</v>
      </c>
      <c r="B4393" s="8" t="str">
        <f>HYPERLINK("https://twitter.com/dorseysilalahi","@dorseysilalahi")</f>
        <v>@dorseysilalahi</v>
      </c>
      <c r="C4393" s="8" t="s">
        <v>2288</v>
      </c>
      <c r="D4393" s="8">
        <v>0</v>
      </c>
      <c r="E4393" s="8">
        <v>0</v>
      </c>
      <c r="F4393" s="8">
        <v>908</v>
      </c>
    </row>
    <row r="4394" spans="1:6" ht="12.75">
      <c r="A4394" s="8">
        <v>43903.064398148148</v>
      </c>
      <c r="B4394" s="8" t="str">
        <f>HYPERLINK("https://twitter.com/viratfx","@viratfx")</f>
        <v>@viratfx</v>
      </c>
      <c r="C4394" s="8" t="s">
        <v>1195</v>
      </c>
      <c r="D4394" s="8">
        <v>2380</v>
      </c>
      <c r="E4394" s="8">
        <v>0</v>
      </c>
      <c r="F4394" s="8">
        <v>95</v>
      </c>
    </row>
    <row r="4395" spans="1:6" ht="12.75">
      <c r="A4395" s="8">
        <v>43903.063923611116</v>
      </c>
      <c r="B4395" s="8" t="str">
        <f>HYPERLINK("https://twitter.com/urdinesh","@urdinesh")</f>
        <v>@urdinesh</v>
      </c>
      <c r="C4395" s="8" t="s">
        <v>1195</v>
      </c>
      <c r="D4395" s="8">
        <v>2380</v>
      </c>
      <c r="E4395" s="8">
        <v>0</v>
      </c>
      <c r="F4395" s="8">
        <v>129</v>
      </c>
    </row>
    <row r="4396" spans="1:6" ht="12.75">
      <c r="A4396" s="8">
        <v>43903.063900462963</v>
      </c>
      <c r="B4396" s="8" t="str">
        <f>HYPERLINK("https://twitter.com/fun_kirtan","@fun_kirtan")</f>
        <v>@fun_kirtan</v>
      </c>
      <c r="C4396" s="8" t="s">
        <v>1195</v>
      </c>
      <c r="D4396" s="8">
        <v>2380</v>
      </c>
      <c r="E4396" s="8">
        <v>0</v>
      </c>
      <c r="F4396" s="8">
        <v>91</v>
      </c>
    </row>
    <row r="4397" spans="1:6" ht="12.75">
      <c r="A4397" s="8">
        <v>43903.063807870371</v>
      </c>
      <c r="B4397" s="8" t="str">
        <f>HYPERLINK("https://twitter.com/pdip_sa","@pdip_sa")</f>
        <v>@pdip_sa</v>
      </c>
      <c r="C4397" s="8" t="s">
        <v>2289</v>
      </c>
      <c r="D4397" s="8">
        <v>1</v>
      </c>
      <c r="E4397" s="8">
        <v>0</v>
      </c>
      <c r="F4397" s="8">
        <v>450</v>
      </c>
    </row>
    <row r="4398" spans="1:6" ht="12.75">
      <c r="A4398" s="8">
        <v>43903.063414351855</v>
      </c>
      <c r="B4398" s="8" t="str">
        <f>HYPERLINK("https://twitter.com/NeoSanyasi","@NeoSanyasi")</f>
        <v>@NeoSanyasi</v>
      </c>
      <c r="C4398" s="8" t="s">
        <v>1195</v>
      </c>
      <c r="D4398" s="8">
        <v>2380</v>
      </c>
      <c r="E4398" s="8">
        <v>0</v>
      </c>
      <c r="F4398" s="8">
        <v>348</v>
      </c>
    </row>
    <row r="4399" spans="1:6" ht="12.75">
      <c r="A4399" s="8">
        <v>43903.063263888893</v>
      </c>
      <c r="B4399" s="8" t="str">
        <f t="shared" ref="B4399:B4401" si="82">HYPERLINK("https://twitter.com/rakshithtumkur","@rakshithtumkur")</f>
        <v>@rakshithtumkur</v>
      </c>
      <c r="C4399" s="8" t="s">
        <v>1195</v>
      </c>
      <c r="D4399" s="8">
        <v>2380</v>
      </c>
      <c r="E4399" s="8">
        <v>0</v>
      </c>
      <c r="F4399" s="8">
        <v>145</v>
      </c>
    </row>
    <row r="4400" spans="1:6" ht="12.75">
      <c r="A4400" s="8">
        <v>43903.063206018516</v>
      </c>
      <c r="B4400" s="8" t="str">
        <f t="shared" si="82"/>
        <v>@rakshithtumkur</v>
      </c>
      <c r="C4400" s="8" t="s">
        <v>1808</v>
      </c>
      <c r="D4400" s="8">
        <v>938</v>
      </c>
      <c r="E4400" s="8">
        <v>0</v>
      </c>
      <c r="F4400" s="8">
        <v>145</v>
      </c>
    </row>
    <row r="4401" spans="1:6" ht="12.75">
      <c r="A4401" s="8">
        <v>43903.063113425931</v>
      </c>
      <c r="B4401" s="8" t="str">
        <f t="shared" si="82"/>
        <v>@rakshithtumkur</v>
      </c>
      <c r="C4401" s="8" t="s">
        <v>1957</v>
      </c>
      <c r="D4401" s="8">
        <v>1551</v>
      </c>
      <c r="E4401" s="8">
        <v>0</v>
      </c>
      <c r="F4401" s="8">
        <v>145</v>
      </c>
    </row>
    <row r="4402" spans="1:6" ht="12.75">
      <c r="A4402" s="8">
        <v>43903.063032407408</v>
      </c>
      <c r="B4402" s="8" t="str">
        <f>HYPERLINK("https://twitter.com/Add2getpositive","@Add2getpositive")</f>
        <v>@Add2getpositive</v>
      </c>
      <c r="C4402" s="8" t="s">
        <v>1195</v>
      </c>
      <c r="D4402" s="8">
        <v>2380</v>
      </c>
      <c r="E4402" s="8">
        <v>0</v>
      </c>
      <c r="F4402" s="8">
        <v>612</v>
      </c>
    </row>
    <row r="4403" spans="1:6" ht="12.75">
      <c r="A4403" s="8">
        <v>43903.062627314815</v>
      </c>
      <c r="B4403" s="8" t="str">
        <f>HYPERLINK("https://twitter.com/RajniGoswami8","@RajniGoswami8")</f>
        <v>@RajniGoswami8</v>
      </c>
      <c r="C4403" s="8" t="s">
        <v>1195</v>
      </c>
      <c r="D4403" s="8">
        <v>2380</v>
      </c>
      <c r="E4403" s="8">
        <v>0</v>
      </c>
      <c r="F4403" s="8">
        <v>313</v>
      </c>
    </row>
    <row r="4404" spans="1:6" ht="12.75">
      <c r="A4404" s="8">
        <v>43903.062569444446</v>
      </c>
      <c r="B4404" s="8" t="str">
        <f>HYPERLINK("https://twitter.com/BangHelmy","@BangHelmy")</f>
        <v>@BangHelmy</v>
      </c>
      <c r="C4404" s="8" t="s">
        <v>774</v>
      </c>
      <c r="D4404" s="8">
        <v>2</v>
      </c>
      <c r="E4404" s="8">
        <v>0</v>
      </c>
      <c r="F4404" s="8">
        <v>302</v>
      </c>
    </row>
    <row r="4405" spans="1:6" ht="12.75">
      <c r="A4405" s="8">
        <v>43903.062280092592</v>
      </c>
      <c r="B4405" s="8" t="str">
        <f>HYPERLINK("https://twitter.com/Shalushal2602","@Shalushal2602")</f>
        <v>@Shalushal2602</v>
      </c>
      <c r="C4405" s="8" t="s">
        <v>1195</v>
      </c>
      <c r="D4405" s="8">
        <v>2380</v>
      </c>
      <c r="E4405" s="8">
        <v>0</v>
      </c>
      <c r="F4405" s="8">
        <v>1200</v>
      </c>
    </row>
    <row r="4406" spans="1:6" ht="12.75">
      <c r="A4406" s="8">
        <v>43903.061782407407</v>
      </c>
      <c r="B4406" s="8" t="str">
        <f>HYPERLINK("https://twitter.com/samanta_om","@samanta_om")</f>
        <v>@samanta_om</v>
      </c>
      <c r="C4406" s="8" t="s">
        <v>1195</v>
      </c>
      <c r="D4406" s="8">
        <v>2380</v>
      </c>
      <c r="E4406" s="8">
        <v>0</v>
      </c>
      <c r="F4406" s="8">
        <v>822</v>
      </c>
    </row>
    <row r="4407" spans="1:6" ht="12.75">
      <c r="A4407" s="8">
        <v>43903.061608796299</v>
      </c>
      <c r="B4407" s="8" t="str">
        <f>HYPERLINK("https://twitter.com/GajahNata","@GajahNata")</f>
        <v>@GajahNata</v>
      </c>
      <c r="C4407" s="8" t="s">
        <v>2290</v>
      </c>
      <c r="D4407" s="8">
        <v>19</v>
      </c>
      <c r="E4407" s="8">
        <v>0</v>
      </c>
      <c r="F4407" s="8">
        <v>1239</v>
      </c>
    </row>
    <row r="4408" spans="1:6" ht="12.75">
      <c r="A4408" s="8">
        <v>43903.05972222222</v>
      </c>
      <c r="B4408" s="8" t="str">
        <f>HYPERLINK("https://twitter.com/MVVZ3","@MVVZ3")</f>
        <v>@MVVZ3</v>
      </c>
      <c r="C4408" s="8" t="s">
        <v>2290</v>
      </c>
      <c r="D4408" s="8">
        <v>19</v>
      </c>
      <c r="E4408" s="8">
        <v>0</v>
      </c>
      <c r="F4408" s="8">
        <v>1092</v>
      </c>
    </row>
    <row r="4409" spans="1:6" ht="12.75">
      <c r="A4409" s="8">
        <v>43903.059571759259</v>
      </c>
      <c r="B4409" s="8" t="str">
        <f>HYPERLINK("https://twitter.com/IM_Nshah","@IM_Nshah")</f>
        <v>@IM_Nshah</v>
      </c>
      <c r="C4409" s="8" t="s">
        <v>2291</v>
      </c>
      <c r="D4409" s="8">
        <v>4</v>
      </c>
      <c r="E4409" s="8">
        <v>0</v>
      </c>
      <c r="F4409" s="8">
        <v>874</v>
      </c>
    </row>
    <row r="4410" spans="1:6" ht="12.75">
      <c r="A4410" s="8">
        <v>43903.059525462959</v>
      </c>
      <c r="B4410" s="8" t="str">
        <f>HYPERLINK("https://twitter.com/abique_abimanyu","@abique_abimanyu")</f>
        <v>@abique_abimanyu</v>
      </c>
      <c r="C4410" s="8" t="s">
        <v>289</v>
      </c>
      <c r="D4410" s="8">
        <v>82</v>
      </c>
      <c r="E4410" s="8">
        <v>0</v>
      </c>
      <c r="F4410" s="8">
        <v>1215</v>
      </c>
    </row>
    <row r="4411" spans="1:6" ht="12.75">
      <c r="A4411" s="8">
        <v>43903.059236111112</v>
      </c>
      <c r="B4411" s="8" t="str">
        <f>HYPERLINK("https://twitter.com/mlkbx","@mlkbx")</f>
        <v>@mlkbx</v>
      </c>
      <c r="C4411" s="8" t="s">
        <v>440</v>
      </c>
      <c r="D4411" s="8">
        <v>137</v>
      </c>
      <c r="E4411" s="8">
        <v>0</v>
      </c>
      <c r="F4411" s="8">
        <v>122</v>
      </c>
    </row>
    <row r="4412" spans="1:6" ht="12.75">
      <c r="A4412" s="8">
        <v>43903.059074074074</v>
      </c>
      <c r="B4412" s="8" t="str">
        <f>HYPERLINK("https://twitter.com/asyiqf","@asyiqf")</f>
        <v>@asyiqf</v>
      </c>
      <c r="C4412" s="8" t="s">
        <v>774</v>
      </c>
      <c r="D4412" s="8">
        <v>2</v>
      </c>
      <c r="E4412" s="8">
        <v>0</v>
      </c>
      <c r="F4412" s="8">
        <v>997</v>
      </c>
    </row>
    <row r="4413" spans="1:6" ht="12.75">
      <c r="A4413" s="8">
        <v>43903.059039351851</v>
      </c>
      <c r="B4413" s="8" t="str">
        <f>HYPERLINK("https://twitter.com/Yantidaryanti","@Yantidaryanti")</f>
        <v>@Yantidaryanti</v>
      </c>
      <c r="C4413" s="8" t="s">
        <v>2292</v>
      </c>
      <c r="D4413" s="8">
        <v>62</v>
      </c>
      <c r="E4413" s="8">
        <v>0</v>
      </c>
      <c r="F4413" s="8">
        <v>1424</v>
      </c>
    </row>
    <row r="4414" spans="1:6" ht="12.75">
      <c r="A4414" s="8">
        <v>43903.058923611112</v>
      </c>
      <c r="B4414" s="8" t="str">
        <f>HYPERLINK("https://twitter.com/catchvibhor","@catchvibhor")</f>
        <v>@catchvibhor</v>
      </c>
      <c r="C4414" s="8" t="s">
        <v>1195</v>
      </c>
      <c r="D4414" s="8">
        <v>2380</v>
      </c>
      <c r="E4414" s="8">
        <v>0</v>
      </c>
      <c r="F4414" s="8">
        <v>175</v>
      </c>
    </row>
    <row r="4415" spans="1:6" ht="12.75">
      <c r="A4415" s="8">
        <v>43903.058287037042</v>
      </c>
      <c r="B4415" s="8" t="str">
        <f>HYPERLINK("https://twitter.com/shHarranu","@shHarranu")</f>
        <v>@shHarranu</v>
      </c>
      <c r="C4415" s="8" t="s">
        <v>1195</v>
      </c>
      <c r="D4415" s="8">
        <v>2380</v>
      </c>
      <c r="E4415" s="8">
        <v>0</v>
      </c>
      <c r="F4415" s="8">
        <v>3374</v>
      </c>
    </row>
    <row r="4416" spans="1:6" ht="12.75">
      <c r="A4416" s="8">
        <v>43903.055555555555</v>
      </c>
      <c r="B4416" s="8" t="str">
        <f>HYPERLINK("https://twitter.com/arinsza","@arinsza")</f>
        <v>@arinsza</v>
      </c>
      <c r="C4416" s="8" t="s">
        <v>2293</v>
      </c>
      <c r="D4416" s="8">
        <v>0</v>
      </c>
      <c r="E4416" s="8">
        <v>0</v>
      </c>
      <c r="F4416" s="8">
        <v>665</v>
      </c>
    </row>
    <row r="4417" spans="1:6" ht="12.75">
      <c r="A4417" s="8">
        <v>43903.054942129631</v>
      </c>
      <c r="B4417" s="8" t="str">
        <f>HYPERLINK("https://twitter.com/RakeshK56536968","@RakeshK56536968")</f>
        <v>@RakeshK56536968</v>
      </c>
      <c r="C4417" s="8" t="s">
        <v>1195</v>
      </c>
      <c r="D4417" s="8">
        <v>2380</v>
      </c>
      <c r="E4417" s="8">
        <v>0</v>
      </c>
      <c r="F4417" s="8">
        <v>635</v>
      </c>
    </row>
    <row r="4418" spans="1:6" ht="12.75">
      <c r="A4418" s="8">
        <v>43903.052164351851</v>
      </c>
      <c r="B4418" s="8" t="str">
        <f>HYPERLINK("https://twitter.com/RakeshA12572734","@RakeshA12572734")</f>
        <v>@RakeshA12572734</v>
      </c>
      <c r="C4418" s="8" t="s">
        <v>2294</v>
      </c>
      <c r="D4418" s="8">
        <v>0</v>
      </c>
      <c r="E4418" s="8">
        <v>1</v>
      </c>
      <c r="F4418" s="8">
        <v>3728</v>
      </c>
    </row>
    <row r="4419" spans="1:6" ht="12.75">
      <c r="A4419" s="8">
        <v>43903.051990740743</v>
      </c>
      <c r="B4419" s="8" t="str">
        <f>HYPERLINK("https://twitter.com/swarupkdc","@swarupkdc")</f>
        <v>@swarupkdc</v>
      </c>
      <c r="C4419" s="8" t="s">
        <v>1195</v>
      </c>
      <c r="D4419" s="8">
        <v>2380</v>
      </c>
      <c r="E4419" s="8">
        <v>0</v>
      </c>
      <c r="F4419" s="8">
        <v>503</v>
      </c>
    </row>
    <row r="4420" spans="1:6" ht="12.75">
      <c r="A4420" s="8">
        <v>43903.051620370374</v>
      </c>
      <c r="B4420" s="8" t="str">
        <f>HYPERLINK("https://twitter.com/SauSays","@SauSays")</f>
        <v>@SauSays</v>
      </c>
      <c r="C4420" s="8" t="s">
        <v>1195</v>
      </c>
      <c r="D4420" s="8">
        <v>2380</v>
      </c>
      <c r="E4420" s="8">
        <v>0</v>
      </c>
      <c r="F4420" s="8">
        <v>345</v>
      </c>
    </row>
    <row r="4421" spans="1:6" ht="12.75">
      <c r="A4421" s="8">
        <v>43903.051458333328</v>
      </c>
      <c r="B4421" s="8" t="str">
        <f>HYPERLINK("https://twitter.com/RZIDN","@RZIDN")</f>
        <v>@RZIDN</v>
      </c>
      <c r="C4421" s="8" t="s">
        <v>2051</v>
      </c>
      <c r="D4421" s="8">
        <v>160</v>
      </c>
      <c r="E4421" s="8">
        <v>0</v>
      </c>
      <c r="F4421" s="8">
        <v>773</v>
      </c>
    </row>
    <row r="4422" spans="1:6" ht="12.75">
      <c r="A4422" s="8">
        <v>43903.050949074073</v>
      </c>
      <c r="B4422" s="8" t="str">
        <f>HYPERLINK("https://twitter.com/_hompimpha","@_hompimpha")</f>
        <v>@_hompimpha</v>
      </c>
      <c r="C4422" s="8" t="s">
        <v>2292</v>
      </c>
      <c r="D4422" s="8">
        <v>62</v>
      </c>
      <c r="E4422" s="8">
        <v>0</v>
      </c>
      <c r="F4422" s="8">
        <v>2532</v>
      </c>
    </row>
    <row r="4423" spans="1:6" ht="12.75">
      <c r="A4423" s="8">
        <v>43903.050543981481</v>
      </c>
      <c r="B4423" s="8" t="str">
        <f>HYPERLINK("https://twitter.com/VitthalDorke","@VitthalDorke")</f>
        <v>@VitthalDorke</v>
      </c>
      <c r="C4423" s="8" t="s">
        <v>1195</v>
      </c>
      <c r="D4423" s="8">
        <v>2380</v>
      </c>
      <c r="E4423" s="8">
        <v>0</v>
      </c>
      <c r="F4423" s="8">
        <v>163</v>
      </c>
    </row>
    <row r="4424" spans="1:6" ht="12.75">
      <c r="A4424" s="8">
        <v>43903.049791666665</v>
      </c>
      <c r="B4424" s="8" t="str">
        <f>HYPERLINK("https://twitter.com/MbarepJeng","@MbarepJeng")</f>
        <v>@MbarepJeng</v>
      </c>
      <c r="C4424" s="8" t="s">
        <v>1919</v>
      </c>
      <c r="D4424" s="8">
        <v>25</v>
      </c>
      <c r="E4424" s="8">
        <v>0</v>
      </c>
      <c r="F4424" s="8">
        <v>91</v>
      </c>
    </row>
    <row r="4425" spans="1:6" ht="12.75">
      <c r="A4425" s="8">
        <v>43903.049050925925</v>
      </c>
      <c r="B4425" s="8" t="str">
        <f>HYPERLINK("https://twitter.com/swapan_samadder","@swapan_samadder")</f>
        <v>@swapan_samadder</v>
      </c>
      <c r="C4425" s="8" t="s">
        <v>2295</v>
      </c>
      <c r="D4425" s="8">
        <v>0</v>
      </c>
      <c r="E4425" s="8">
        <v>0</v>
      </c>
      <c r="F4425" s="8">
        <v>92</v>
      </c>
    </row>
    <row r="4426" spans="1:6" ht="12.75">
      <c r="A4426" s="8">
        <v>43903.048958333333</v>
      </c>
      <c r="B4426" s="8" t="str">
        <f>HYPERLINK("https://twitter.com/Ohgitu19","@Ohgitu19")</f>
        <v>@Ohgitu19</v>
      </c>
      <c r="C4426" s="8" t="s">
        <v>1030</v>
      </c>
      <c r="D4426" s="8">
        <v>173</v>
      </c>
      <c r="E4426" s="8">
        <v>0</v>
      </c>
      <c r="F4426" s="8">
        <v>2</v>
      </c>
    </row>
    <row r="4427" spans="1:6" ht="12.75">
      <c r="A4427" s="8">
        <v>43903.048831018517</v>
      </c>
      <c r="B4427" s="8" t="str">
        <f>HYPERLINK("https://twitter.com/litsoni004","@litsoni004")</f>
        <v>@litsoni004</v>
      </c>
      <c r="C4427" s="8" t="s">
        <v>1195</v>
      </c>
      <c r="D4427" s="8">
        <v>2380</v>
      </c>
      <c r="E4427" s="8">
        <v>0</v>
      </c>
      <c r="F4427" s="8">
        <v>64</v>
      </c>
    </row>
    <row r="4428" spans="1:6" ht="12.75">
      <c r="A4428" s="8">
        <v>43903.048645833333</v>
      </c>
      <c r="B4428" s="8" t="str">
        <f>HYPERLINK("https://twitter.com/riyadh_kbri","@riyadh_kbri")</f>
        <v>@riyadh_kbri</v>
      </c>
      <c r="C4428" s="8" t="s">
        <v>2296</v>
      </c>
      <c r="D4428" s="8">
        <v>2</v>
      </c>
      <c r="E4428" s="8">
        <v>0</v>
      </c>
      <c r="F4428" s="8">
        <v>2395</v>
      </c>
    </row>
    <row r="4429" spans="1:6" ht="12.75">
      <c r="A4429" s="8">
        <v>43903.048645833333</v>
      </c>
      <c r="B4429" s="8" t="str">
        <f>HYPERLINK("https://twitter.com/sekitarbandung_","@sekitarbandung_")</f>
        <v>@sekitarbandung_</v>
      </c>
      <c r="C4429" s="8" t="s">
        <v>2297</v>
      </c>
      <c r="D4429" s="8">
        <v>0</v>
      </c>
      <c r="E4429" s="8">
        <v>0</v>
      </c>
      <c r="F4429" s="8">
        <v>37691</v>
      </c>
    </row>
    <row r="4430" spans="1:6" ht="12.75">
      <c r="A4430" s="8">
        <v>43903.048032407409</v>
      </c>
      <c r="B4430" s="8" t="str">
        <f>HYPERLINK("https://twitter.com/sriman21491199","@sriman21491199")</f>
        <v>@sriman21491199</v>
      </c>
      <c r="C4430" s="8" t="s">
        <v>1195</v>
      </c>
      <c r="D4430" s="8">
        <v>2317</v>
      </c>
      <c r="E4430" s="8">
        <v>0</v>
      </c>
      <c r="F4430" s="8">
        <v>200</v>
      </c>
    </row>
    <row r="4431" spans="1:6" ht="12.75">
      <c r="A4431" s="8">
        <v>43903.047523148147</v>
      </c>
      <c r="B4431" s="8" t="str">
        <f>HYPERLINK("https://twitter.com/Aryanmann9","@Aryanmann9")</f>
        <v>@Aryanmann9</v>
      </c>
      <c r="C4431" s="8" t="s">
        <v>1195</v>
      </c>
      <c r="D4431" s="8">
        <v>2317</v>
      </c>
      <c r="E4431" s="8">
        <v>0</v>
      </c>
      <c r="F4431" s="8">
        <v>446</v>
      </c>
    </row>
    <row r="4432" spans="1:6" ht="12.75">
      <c r="A4432" s="8">
        <v>43903.046296296292</v>
      </c>
      <c r="B4432" s="8" t="str">
        <f>HYPERLINK("https://twitter.com/MallyaSubash","@MallyaSubash")</f>
        <v>@MallyaSubash</v>
      </c>
      <c r="C4432" s="8" t="s">
        <v>1195</v>
      </c>
      <c r="D4432" s="8">
        <v>2317</v>
      </c>
      <c r="E4432" s="8">
        <v>0</v>
      </c>
      <c r="F4432" s="8">
        <v>487</v>
      </c>
    </row>
    <row r="4433" spans="1:6" ht="12.75">
      <c r="A4433" s="8">
        <v>43903.045254629629</v>
      </c>
      <c r="B4433" s="8" t="str">
        <f>HYPERLINK("https://twitter.com/Avnivyas19Avni","@Avnivyas19Avni")</f>
        <v>@Avnivyas19Avni</v>
      </c>
      <c r="C4433" s="8" t="s">
        <v>1195</v>
      </c>
      <c r="D4433" s="8">
        <v>2317</v>
      </c>
      <c r="E4433" s="8">
        <v>0</v>
      </c>
      <c r="F4433" s="8">
        <v>643</v>
      </c>
    </row>
    <row r="4434" spans="1:6" ht="12.75">
      <c r="A4434" s="8">
        <v>43903.045034722221</v>
      </c>
      <c r="B4434" s="8" t="str">
        <f>HYPERLINK("https://twitter.com/ItsBharat7","@ItsBharat7")</f>
        <v>@ItsBharat7</v>
      </c>
      <c r="C4434" s="8" t="s">
        <v>1195</v>
      </c>
      <c r="D4434" s="8">
        <v>2317</v>
      </c>
      <c r="E4434" s="8">
        <v>0</v>
      </c>
      <c r="F4434" s="8">
        <v>55</v>
      </c>
    </row>
    <row r="4435" spans="1:6" ht="12.75">
      <c r="A4435" s="8">
        <v>43903.044490740736</v>
      </c>
      <c r="B4435" s="8" t="str">
        <f>HYPERLINK("https://twitter.com/KondorLydia","@KondorLydia")</f>
        <v>@KondorLydia</v>
      </c>
      <c r="C4435" s="8" t="s">
        <v>289</v>
      </c>
      <c r="D4435" s="8">
        <v>79</v>
      </c>
      <c r="E4435" s="8">
        <v>0</v>
      </c>
      <c r="F4435" s="8">
        <v>13</v>
      </c>
    </row>
    <row r="4436" spans="1:6" ht="12.75">
      <c r="A4436" s="8">
        <v>43903.043368055558</v>
      </c>
      <c r="B4436" s="8" t="str">
        <f t="shared" ref="B4436:B4438" si="83">HYPERLINK("https://twitter.com/shivaniojha","@shivaniojha")</f>
        <v>@shivaniojha</v>
      </c>
      <c r="C4436" s="8" t="s">
        <v>1195</v>
      </c>
      <c r="D4436" s="8">
        <v>2317</v>
      </c>
      <c r="E4436" s="8">
        <v>0</v>
      </c>
      <c r="F4436" s="8">
        <v>1084</v>
      </c>
    </row>
    <row r="4437" spans="1:6" ht="12.75">
      <c r="A4437" s="8">
        <v>43903.043310185181</v>
      </c>
      <c r="B4437" s="8" t="str">
        <f t="shared" si="83"/>
        <v>@shivaniojha</v>
      </c>
      <c r="C4437" s="8" t="s">
        <v>1808</v>
      </c>
      <c r="D4437" s="8">
        <v>934</v>
      </c>
      <c r="E4437" s="8">
        <v>0</v>
      </c>
      <c r="F4437" s="8">
        <v>1084</v>
      </c>
    </row>
    <row r="4438" spans="1:6" ht="12.75">
      <c r="A4438" s="8">
        <v>43903.043263888889</v>
      </c>
      <c r="B4438" s="8" t="str">
        <f t="shared" si="83"/>
        <v>@shivaniojha</v>
      </c>
      <c r="C4438" s="8" t="s">
        <v>1957</v>
      </c>
      <c r="D4438" s="8">
        <v>1549</v>
      </c>
      <c r="E4438" s="8">
        <v>0</v>
      </c>
      <c r="F4438" s="8">
        <v>1084</v>
      </c>
    </row>
    <row r="4439" spans="1:6" ht="12.75">
      <c r="A4439" s="8">
        <v>43903.042986111112</v>
      </c>
      <c r="B4439" s="8" t="str">
        <f>HYPERLINK("https://twitter.com/AkhandBharat200","@AkhandBharat200")</f>
        <v>@AkhandBharat200</v>
      </c>
      <c r="C4439" s="8" t="s">
        <v>1957</v>
      </c>
      <c r="D4439" s="8">
        <v>1549</v>
      </c>
      <c r="E4439" s="8">
        <v>0</v>
      </c>
      <c r="F4439" s="8">
        <v>52</v>
      </c>
    </row>
    <row r="4440" spans="1:6" ht="12.75">
      <c r="A4440" s="8">
        <v>43903.042523148149</v>
      </c>
      <c r="B4440" s="8" t="str">
        <f>HYPERLINK("https://twitter.com/AhanSyahrul","@AhanSyahrul")</f>
        <v>@AhanSyahrul</v>
      </c>
      <c r="C4440" s="8" t="s">
        <v>2051</v>
      </c>
      <c r="D4440" s="8">
        <v>158</v>
      </c>
      <c r="E4440" s="8">
        <v>0</v>
      </c>
      <c r="F4440" s="8">
        <v>1796</v>
      </c>
    </row>
    <row r="4441" spans="1:6" ht="12.75">
      <c r="A4441" s="8">
        <v>43903.042245370365</v>
      </c>
      <c r="B4441" s="8" t="str">
        <f>HYPERLINK("https://twitter.com/PankajPandey028","@PankajPandey028")</f>
        <v>@PankajPandey028</v>
      </c>
      <c r="C4441" s="8" t="s">
        <v>1195</v>
      </c>
      <c r="D4441" s="8">
        <v>2317</v>
      </c>
      <c r="E4441" s="8">
        <v>0</v>
      </c>
      <c r="F4441" s="8">
        <v>41</v>
      </c>
    </row>
    <row r="4442" spans="1:6" ht="12.75">
      <c r="A4442" s="8">
        <v>43903.042094907403</v>
      </c>
      <c r="B4442" s="8" t="str">
        <f>HYPERLINK("https://twitter.com/sarat245456","@sarat245456")</f>
        <v>@sarat245456</v>
      </c>
      <c r="C4442" s="8" t="s">
        <v>1195</v>
      </c>
      <c r="D4442" s="8">
        <v>2317</v>
      </c>
      <c r="E4442" s="8">
        <v>0</v>
      </c>
      <c r="F4442" s="8">
        <v>522</v>
      </c>
    </row>
    <row r="4443" spans="1:6" ht="12.75">
      <c r="A4443" s="8">
        <v>43903.040925925925</v>
      </c>
      <c r="B4443" s="8" t="str">
        <f>HYPERLINK("https://twitter.com/cath_mw","@cath_mw")</f>
        <v>@cath_mw</v>
      </c>
      <c r="C4443" s="8" t="s">
        <v>440</v>
      </c>
      <c r="D4443" s="8">
        <v>135</v>
      </c>
      <c r="E4443" s="8">
        <v>0</v>
      </c>
      <c r="F4443" s="8">
        <v>163</v>
      </c>
    </row>
    <row r="4444" spans="1:6" ht="12.75">
      <c r="A4444" s="8">
        <v>43903.037928240738</v>
      </c>
      <c r="B4444" s="8" t="str">
        <f>HYPERLINK("https://twitter.com/ngurah_suta","@ngurah_suta")</f>
        <v>@ngurah_suta</v>
      </c>
      <c r="C4444" s="8" t="s">
        <v>1643</v>
      </c>
      <c r="D4444" s="8">
        <v>123</v>
      </c>
      <c r="E4444" s="8">
        <v>0</v>
      </c>
      <c r="F4444" s="8">
        <v>977</v>
      </c>
    </row>
    <row r="4445" spans="1:6" ht="12.75">
      <c r="A4445" s="8">
        <v>43903.037557870368</v>
      </c>
      <c r="B4445" s="8" t="str">
        <f>HYPERLINK("https://twitter.com/munnabhai0007","@munnabhai0007")</f>
        <v>@munnabhai0007</v>
      </c>
      <c r="C4445" s="8" t="s">
        <v>1195</v>
      </c>
      <c r="D4445" s="8">
        <v>2317</v>
      </c>
      <c r="E4445" s="8">
        <v>0</v>
      </c>
      <c r="F4445" s="8">
        <v>671</v>
      </c>
    </row>
    <row r="4446" spans="1:6" ht="12.75">
      <c r="A4446" s="8">
        <v>43903.037395833337</v>
      </c>
      <c r="B4446" s="8" t="str">
        <f>HYPERLINK("https://twitter.com/rajnigoel03","@rajnigoel03")</f>
        <v>@rajnigoel03</v>
      </c>
      <c r="C4446" s="8" t="s">
        <v>1195</v>
      </c>
      <c r="D4446" s="8">
        <v>2317</v>
      </c>
      <c r="E4446" s="8">
        <v>0</v>
      </c>
      <c r="F4446" s="8">
        <v>427</v>
      </c>
    </row>
    <row r="4447" spans="1:6" ht="12.75">
      <c r="A4447" s="8">
        <v>43903.037395833337</v>
      </c>
      <c r="B4447" s="8" t="str">
        <f>HYPERLINK("https://twitter.com/Sauce_ki_botal","@Sauce_ki_botal")</f>
        <v>@Sauce_ki_botal</v>
      </c>
      <c r="C4447" s="8" t="s">
        <v>1195</v>
      </c>
      <c r="D4447" s="8">
        <v>2317</v>
      </c>
      <c r="E4447" s="8">
        <v>0</v>
      </c>
      <c r="F4447" s="8">
        <v>299</v>
      </c>
    </row>
    <row r="4448" spans="1:6" ht="12.75">
      <c r="A4448" s="8">
        <v>43903.037210648152</v>
      </c>
      <c r="B4448" s="8" t="str">
        <f>HYPERLINK("https://twitter.com/djunaedi_22","@djunaedi_22")</f>
        <v>@djunaedi_22</v>
      </c>
      <c r="C4448" s="8" t="s">
        <v>2298</v>
      </c>
      <c r="D4448" s="8">
        <v>0</v>
      </c>
      <c r="E4448" s="8">
        <v>0</v>
      </c>
      <c r="F4448" s="8">
        <v>2141</v>
      </c>
    </row>
    <row r="4449" spans="1:6" ht="12.75">
      <c r="A4449" s="8">
        <v>43903.036469907413</v>
      </c>
      <c r="B4449" s="8" t="str">
        <f>HYPERLINK("https://twitter.com/gorgodai","@gorgodai")</f>
        <v>@gorgodai</v>
      </c>
      <c r="C4449" s="8" t="s">
        <v>440</v>
      </c>
      <c r="D4449" s="8">
        <v>135</v>
      </c>
      <c r="E4449" s="8">
        <v>0</v>
      </c>
      <c r="F4449" s="8">
        <v>279</v>
      </c>
    </row>
    <row r="4450" spans="1:6" ht="12.75">
      <c r="A4450" s="8">
        <v>43903.03628472222</v>
      </c>
      <c r="B4450" s="8" t="str">
        <f>HYPERLINK("https://twitter.com/Amitsharma1307","@Amitsharma1307")</f>
        <v>@Amitsharma1307</v>
      </c>
      <c r="C4450" s="8" t="s">
        <v>1195</v>
      </c>
      <c r="D4450" s="8">
        <v>2317</v>
      </c>
      <c r="E4450" s="8">
        <v>0</v>
      </c>
      <c r="F4450" s="8">
        <v>159</v>
      </c>
    </row>
    <row r="4451" spans="1:6" ht="12.75">
      <c r="A4451" s="8">
        <v>43903.036273148144</v>
      </c>
      <c r="B4451" s="8" t="str">
        <f>HYPERLINK("https://twitter.com/enjoyyyy02","@enjoyyyy02")</f>
        <v>@enjoyyyy02</v>
      </c>
      <c r="C4451" s="8" t="s">
        <v>1195</v>
      </c>
      <c r="D4451" s="8">
        <v>2317</v>
      </c>
      <c r="E4451" s="8">
        <v>0</v>
      </c>
      <c r="F4451" s="8">
        <v>172</v>
      </c>
    </row>
    <row r="4452" spans="1:6" ht="12.75">
      <c r="A4452" s="8">
        <v>43903.036145833335</v>
      </c>
      <c r="B4452" s="8" t="str">
        <f>HYPERLINK("https://twitter.com/arvind363in","@arvind363in")</f>
        <v>@arvind363in</v>
      </c>
      <c r="C4452" s="8" t="s">
        <v>1195</v>
      </c>
      <c r="D4452" s="8">
        <v>2317</v>
      </c>
      <c r="E4452" s="8">
        <v>0</v>
      </c>
      <c r="F4452" s="8">
        <v>569</v>
      </c>
    </row>
    <row r="4453" spans="1:6" ht="12.75">
      <c r="A4453" s="8">
        <v>43903.03597222222</v>
      </c>
      <c r="B4453" s="8" t="str">
        <f>HYPERLINK("https://twitter.com/ISIS_Balik_NO","@ISIS_Balik_NO")</f>
        <v>@ISIS_Balik_NO</v>
      </c>
      <c r="C4453" s="8" t="s">
        <v>2299</v>
      </c>
      <c r="D4453" s="8">
        <v>35</v>
      </c>
      <c r="E4453" s="8">
        <v>0</v>
      </c>
      <c r="F4453" s="8">
        <v>6264</v>
      </c>
    </row>
    <row r="4454" spans="1:6" ht="12.75">
      <c r="A4454" s="8">
        <v>43903.035138888888</v>
      </c>
      <c r="B4454" s="8" t="str">
        <f>HYPERLINK("https://twitter.com/beekay101010","@beekay101010")</f>
        <v>@beekay101010</v>
      </c>
      <c r="C4454" s="8" t="s">
        <v>1195</v>
      </c>
      <c r="D4454" s="8">
        <v>2317</v>
      </c>
      <c r="E4454" s="8">
        <v>0</v>
      </c>
      <c r="F4454" s="8">
        <v>768</v>
      </c>
    </row>
    <row r="4455" spans="1:6" ht="12.75">
      <c r="A4455" s="8">
        <v>43903.033854166672</v>
      </c>
      <c r="B4455" s="8" t="str">
        <f>HYPERLINK("https://twitter.com/Prooton86","@Prooton86")</f>
        <v>@Prooton86</v>
      </c>
      <c r="C4455" s="8" t="s">
        <v>2300</v>
      </c>
      <c r="D4455" s="8">
        <v>0</v>
      </c>
      <c r="E4455" s="8">
        <v>0</v>
      </c>
      <c r="F4455" s="8">
        <v>505</v>
      </c>
    </row>
    <row r="4456" spans="1:6" ht="12.75">
      <c r="A4456" s="8">
        <v>43903.03325231481</v>
      </c>
      <c r="B4456" s="8" t="str">
        <f>HYPERLINK("https://twitter.com/manishupreti9","@manishupreti9")</f>
        <v>@manishupreti9</v>
      </c>
      <c r="C4456" s="8" t="s">
        <v>2291</v>
      </c>
      <c r="D4456" s="8">
        <v>3</v>
      </c>
      <c r="E4456" s="8">
        <v>0</v>
      </c>
      <c r="F4456" s="8">
        <v>957</v>
      </c>
    </row>
    <row r="4457" spans="1:6" ht="12.75">
      <c r="A4457" s="8">
        <v>43903.033206018517</v>
      </c>
      <c r="B4457" s="8" t="str">
        <f>HYPERLINK("https://twitter.com/AlMahdiCorps","@AlMahdiCorps")</f>
        <v>@AlMahdiCorps</v>
      </c>
      <c r="C4457" s="8" t="s">
        <v>2301</v>
      </c>
      <c r="D4457" s="8">
        <v>0</v>
      </c>
      <c r="E4457" s="8">
        <v>0</v>
      </c>
      <c r="F4457" s="8">
        <v>101</v>
      </c>
    </row>
    <row r="4458" spans="1:6" ht="12.75">
      <c r="A4458" s="8">
        <v>43903.033136574071</v>
      </c>
      <c r="B4458" s="8" t="str">
        <f>HYPERLINK("https://twitter.com/anggashakti","@anggashakti")</f>
        <v>@anggashakti</v>
      </c>
      <c r="C4458" s="8" t="s">
        <v>1401</v>
      </c>
      <c r="D4458" s="8">
        <v>4</v>
      </c>
      <c r="E4458" s="8">
        <v>0</v>
      </c>
      <c r="F4458" s="8">
        <v>264</v>
      </c>
    </row>
    <row r="4459" spans="1:6" ht="12.75">
      <c r="A4459" s="8">
        <v>43903.033055555556</v>
      </c>
      <c r="B4459" s="8" t="str">
        <f>HYPERLINK("https://twitter.com/kbriabudhabi","@kbriabudhabi")</f>
        <v>@kbriabudhabi</v>
      </c>
      <c r="C4459" s="8" t="s">
        <v>2302</v>
      </c>
      <c r="D4459" s="8">
        <v>0</v>
      </c>
      <c r="E4459" s="8">
        <v>1</v>
      </c>
      <c r="F4459" s="8">
        <v>1662</v>
      </c>
    </row>
    <row r="4460" spans="1:6" ht="12.75">
      <c r="A4460" s="8">
        <v>43903.032662037032</v>
      </c>
      <c r="B4460" s="8" t="str">
        <f>HYPERLINK("https://twitter.com/kuciiing_uwu","@kuciiing_uwu")</f>
        <v>@kuciiing_uwu</v>
      </c>
      <c r="C4460" s="8" t="s">
        <v>2303</v>
      </c>
      <c r="D4460" s="8">
        <v>0</v>
      </c>
      <c r="E4460" s="8">
        <v>0</v>
      </c>
      <c r="F4460" s="8">
        <v>2</v>
      </c>
    </row>
    <row r="4461" spans="1:6" ht="12.75">
      <c r="A4461" s="8">
        <v>43903.032453703709</v>
      </c>
      <c r="B4461" s="8" t="str">
        <f>HYPERLINK("https://twitter.com/MichelL02831936","@MichelL02831936")</f>
        <v>@MichelL02831936</v>
      </c>
      <c r="C4461" s="8" t="s">
        <v>289</v>
      </c>
      <c r="D4461" s="8">
        <v>79</v>
      </c>
      <c r="E4461" s="8">
        <v>0</v>
      </c>
      <c r="F4461" s="8">
        <v>2521</v>
      </c>
    </row>
    <row r="4462" spans="1:6" ht="12.75">
      <c r="A4462" s="8">
        <v>43903.032384259262</v>
      </c>
      <c r="B4462" s="8" t="str">
        <f>HYPERLINK("https://twitter.com/IqbalQuosophy","@IqbalQuosophy")</f>
        <v>@IqbalQuosophy</v>
      </c>
      <c r="C4462" s="8" t="s">
        <v>2165</v>
      </c>
      <c r="D4462" s="8">
        <v>5</v>
      </c>
      <c r="E4462" s="8">
        <v>0</v>
      </c>
      <c r="F4462" s="8">
        <v>221</v>
      </c>
    </row>
    <row r="4463" spans="1:6" ht="12.75">
      <c r="A4463" s="8">
        <v>43903.032291666663</v>
      </c>
      <c r="B4463" s="8" t="str">
        <f>HYPERLINK("https://twitter.com/Puteriswift_","@Puteriswift_")</f>
        <v>@Puteriswift_</v>
      </c>
      <c r="C4463" s="8" t="s">
        <v>2304</v>
      </c>
      <c r="D4463" s="8">
        <v>0</v>
      </c>
      <c r="E4463" s="8">
        <v>0</v>
      </c>
      <c r="F4463" s="8">
        <v>291</v>
      </c>
    </row>
    <row r="4464" spans="1:6" ht="12.75">
      <c r="A4464" s="8">
        <v>43903.032071759255</v>
      </c>
      <c r="B4464" s="8" t="str">
        <f>HYPERLINK("https://twitter.com/ISIS_Balik_NO","@ISIS_Balik_NO")</f>
        <v>@ISIS_Balik_NO</v>
      </c>
      <c r="C4464" s="8" t="s">
        <v>2305</v>
      </c>
      <c r="D4464" s="8">
        <v>17</v>
      </c>
      <c r="E4464" s="8">
        <v>0</v>
      </c>
      <c r="F4464" s="8">
        <v>6264</v>
      </c>
    </row>
    <row r="4465" spans="1:6" ht="12.75">
      <c r="A4465" s="8">
        <v>43903.031967592593</v>
      </c>
      <c r="B4465" s="8" t="str">
        <f>HYPERLINK("https://twitter.com/SuperDroidBond","@SuperDroidBond")</f>
        <v>@SuperDroidBond</v>
      </c>
      <c r="C4465" s="8" t="s">
        <v>1195</v>
      </c>
      <c r="D4465" s="8">
        <v>2317</v>
      </c>
      <c r="E4465" s="8">
        <v>0</v>
      </c>
      <c r="F4465" s="8">
        <v>359</v>
      </c>
    </row>
    <row r="4466" spans="1:6" ht="12.75">
      <c r="A4466" s="8">
        <v>43903.03188657407</v>
      </c>
      <c r="B4466" s="8" t="str">
        <f>HYPERLINK("https://twitter.com/ISIS_Balik_NO","@ISIS_Balik_NO")</f>
        <v>@ISIS_Balik_NO</v>
      </c>
      <c r="C4466" s="8" t="s">
        <v>2306</v>
      </c>
      <c r="D4466" s="8">
        <v>131</v>
      </c>
      <c r="E4466" s="8">
        <v>0</v>
      </c>
      <c r="F4466" s="8">
        <v>6264</v>
      </c>
    </row>
    <row r="4467" spans="1:6" ht="12.75">
      <c r="A4467" s="8">
        <v>43903.031701388885</v>
      </c>
      <c r="B4467" s="8" t="str">
        <f>HYPERLINK("https://twitter.com/kullu_sharma","@kullu_sharma")</f>
        <v>@kullu_sharma</v>
      </c>
      <c r="C4467" s="8" t="s">
        <v>1195</v>
      </c>
      <c r="D4467" s="8">
        <v>2317</v>
      </c>
      <c r="E4467" s="8">
        <v>0</v>
      </c>
      <c r="F4467" s="8">
        <v>581</v>
      </c>
    </row>
    <row r="4468" spans="1:6" ht="12.75">
      <c r="A4468" s="8">
        <v>43903.031643518523</v>
      </c>
      <c r="B4468" s="8" t="str">
        <f>HYPERLINK("https://twitter.com/HykalPasha","@HykalPasha")</f>
        <v>@HykalPasha</v>
      </c>
      <c r="C4468" s="8" t="s">
        <v>289</v>
      </c>
      <c r="D4468" s="8">
        <v>79</v>
      </c>
      <c r="E4468" s="8">
        <v>0</v>
      </c>
      <c r="F4468" s="8">
        <v>1559</v>
      </c>
    </row>
    <row r="4469" spans="1:6" ht="12.75">
      <c r="A4469" s="8">
        <v>43903.031527777777</v>
      </c>
      <c r="B4469" s="8" t="str">
        <f>HYPERLINK("https://twitter.com/jayanti_kesari","@jayanti_kesari")</f>
        <v>@jayanti_kesari</v>
      </c>
      <c r="C4469" s="8" t="s">
        <v>1195</v>
      </c>
      <c r="D4469" s="8">
        <v>2317</v>
      </c>
      <c r="E4469" s="8">
        <v>0</v>
      </c>
      <c r="F4469" s="8">
        <v>853</v>
      </c>
    </row>
    <row r="4470" spans="1:6" ht="12.75">
      <c r="A4470" s="8">
        <v>43903.031423611115</v>
      </c>
      <c r="B4470" s="8" t="str">
        <f>HYPERLINK("https://twitter.com/sranjithreddy","@sranjithreddy")</f>
        <v>@sranjithreddy</v>
      </c>
      <c r="C4470" s="8" t="s">
        <v>1195</v>
      </c>
      <c r="D4470" s="8">
        <v>2317</v>
      </c>
      <c r="E4470" s="8">
        <v>0</v>
      </c>
      <c r="F4470" s="8">
        <v>199</v>
      </c>
    </row>
    <row r="4471" spans="1:6" ht="12.75">
      <c r="A4471" s="8">
        <v>43903.031331018516</v>
      </c>
      <c r="B4471" s="8" t="str">
        <f>HYPERLINK("https://twitter.com/GarvitBhartiya","@GarvitBhartiya")</f>
        <v>@GarvitBhartiya</v>
      </c>
      <c r="C4471" s="8" t="s">
        <v>1195</v>
      </c>
      <c r="D4471" s="8">
        <v>2317</v>
      </c>
      <c r="E4471" s="8">
        <v>0</v>
      </c>
      <c r="F4471" s="8">
        <v>192</v>
      </c>
    </row>
    <row r="4472" spans="1:6" ht="12.75">
      <c r="A4472" s="8">
        <v>43903.0308912037</v>
      </c>
      <c r="B4472" s="8" t="str">
        <f>HYPERLINK("https://twitter.com/habibi_KNG","@habibi_KNG")</f>
        <v>@habibi_KNG</v>
      </c>
      <c r="C4472" s="8" t="s">
        <v>2307</v>
      </c>
      <c r="D4472" s="8">
        <v>0</v>
      </c>
      <c r="E4472" s="8">
        <v>0</v>
      </c>
      <c r="F4472" s="8">
        <v>48</v>
      </c>
    </row>
    <row r="4473" spans="1:6" ht="12.75">
      <c r="A4473" s="8">
        <v>43903.030833333338</v>
      </c>
      <c r="B4473" s="8" t="str">
        <f>HYPERLINK("https://twitter.com/becak125cc","@becak125cc")</f>
        <v>@becak125cc</v>
      </c>
      <c r="C4473" s="8" t="s">
        <v>1919</v>
      </c>
      <c r="D4473" s="8">
        <v>22</v>
      </c>
      <c r="E4473" s="8">
        <v>0</v>
      </c>
      <c r="F4473" s="8">
        <v>575</v>
      </c>
    </row>
    <row r="4474" spans="1:6" ht="12.75">
      <c r="A4474" s="8">
        <v>43903.030648148153</v>
      </c>
      <c r="B4474" s="8" t="str">
        <f>HYPERLINK("https://twitter.com/18joker81","@18joker81")</f>
        <v>@18joker81</v>
      </c>
      <c r="C4474" s="8" t="s">
        <v>1195</v>
      </c>
      <c r="D4474" s="8">
        <v>2317</v>
      </c>
      <c r="E4474" s="8">
        <v>0</v>
      </c>
      <c r="F4474" s="8">
        <v>219</v>
      </c>
    </row>
    <row r="4475" spans="1:6" ht="12.75">
      <c r="A4475" s="8">
        <v>43903.030277777776</v>
      </c>
      <c r="B4475" s="8" t="str">
        <f>HYPERLINK("https://twitter.com/raghavambbs2k7","@raghavambbs2k7")</f>
        <v>@raghavambbs2k7</v>
      </c>
      <c r="C4475" s="8" t="s">
        <v>1195</v>
      </c>
      <c r="D4475" s="8">
        <v>2317</v>
      </c>
      <c r="E4475" s="8">
        <v>0</v>
      </c>
      <c r="F4475" s="8">
        <v>126</v>
      </c>
    </row>
    <row r="4476" spans="1:6" ht="12.75">
      <c r="A4476" s="8">
        <v>43903.029606481483</v>
      </c>
      <c r="B4476" s="8" t="str">
        <f>HYPERLINK("https://twitter.com/MauAau","@MauAau")</f>
        <v>@MauAau</v>
      </c>
      <c r="C4476" s="8" t="s">
        <v>1195</v>
      </c>
      <c r="D4476" s="8">
        <v>2317</v>
      </c>
      <c r="E4476" s="8">
        <v>0</v>
      </c>
      <c r="F4476" s="8">
        <v>267</v>
      </c>
    </row>
    <row r="4477" spans="1:6" ht="12.75">
      <c r="A4477" s="8">
        <v>43903.02915509259</v>
      </c>
      <c r="B4477" s="8" t="str">
        <f>HYPERLINK("https://twitter.com/aldoinkagiffari","@aldoinkagiffari")</f>
        <v>@aldoinkagiffari</v>
      </c>
      <c r="C4477" s="8" t="s">
        <v>2308</v>
      </c>
      <c r="D4477" s="8">
        <v>0</v>
      </c>
      <c r="E4477" s="8">
        <v>1</v>
      </c>
      <c r="F4477" s="8">
        <v>585</v>
      </c>
    </row>
    <row r="4478" spans="1:6" ht="12.75">
      <c r="A4478" s="8">
        <v>43903.028842592597</v>
      </c>
      <c r="B4478" s="8" t="str">
        <f>HYPERLINK("https://twitter.com/arm25202949","@arm25202949")</f>
        <v>@arm25202949</v>
      </c>
      <c r="C4478" s="8" t="s">
        <v>2290</v>
      </c>
      <c r="D4478" s="8">
        <v>17</v>
      </c>
      <c r="E4478" s="8">
        <v>0</v>
      </c>
      <c r="F4478" s="8">
        <v>432</v>
      </c>
    </row>
    <row r="4479" spans="1:6" ht="12.75">
      <c r="A4479" s="8">
        <v>43903.028692129628</v>
      </c>
      <c r="B4479" s="8" t="str">
        <f>HYPERLINK("https://twitter.com/Afilla_21","@Afilla_21")</f>
        <v>@Afilla_21</v>
      </c>
      <c r="C4479" s="8" t="s">
        <v>289</v>
      </c>
      <c r="D4479" s="8">
        <v>79</v>
      </c>
      <c r="E4479" s="8">
        <v>0</v>
      </c>
      <c r="F4479" s="8">
        <v>784</v>
      </c>
    </row>
    <row r="4480" spans="1:6" ht="12.75">
      <c r="A4480" s="8">
        <v>43903.028668981482</v>
      </c>
      <c r="B4480" s="8" t="str">
        <f>HYPERLINK("https://twitter.com/KRRRRISSSSH","@KRRRRISSSSH")</f>
        <v>@KRRRRISSSSH</v>
      </c>
      <c r="C4480" s="8" t="s">
        <v>1195</v>
      </c>
      <c r="D4480" s="8">
        <v>2317</v>
      </c>
      <c r="E4480" s="8">
        <v>0</v>
      </c>
      <c r="F4480" s="8">
        <v>93</v>
      </c>
    </row>
    <row r="4481" spans="1:6" ht="12.75">
      <c r="A4481" s="8">
        <v>43903.028379629628</v>
      </c>
      <c r="B4481" s="8" t="str">
        <f>HYPERLINK("https://twitter.com/JonDeWik","@JonDeWik")</f>
        <v>@JonDeWik</v>
      </c>
      <c r="C4481" s="8" t="s">
        <v>289</v>
      </c>
      <c r="D4481" s="8">
        <v>79</v>
      </c>
      <c r="E4481" s="8">
        <v>0</v>
      </c>
      <c r="F4481" s="8">
        <v>1361</v>
      </c>
    </row>
    <row r="4482" spans="1:6" ht="12.75">
      <c r="A4482" s="8">
        <v>43903.028298611112</v>
      </c>
      <c r="B4482" s="8" t="str">
        <f>HYPERLINK("https://twitter.com/sigantengaduhai","@sigantengaduhai")</f>
        <v>@sigantengaduhai</v>
      </c>
      <c r="C4482" s="8" t="s">
        <v>2309</v>
      </c>
      <c r="D4482" s="8">
        <v>3</v>
      </c>
      <c r="E4482" s="8">
        <v>0</v>
      </c>
      <c r="F4482" s="8">
        <v>428</v>
      </c>
    </row>
    <row r="4483" spans="1:6" ht="12.75">
      <c r="A4483" s="8">
        <v>43903.028032407412</v>
      </c>
      <c r="B4483" s="8" t="str">
        <f>HYPERLINK("https://twitter.com/donnynovanto","@donnynovanto")</f>
        <v>@donnynovanto</v>
      </c>
      <c r="C4483" s="8" t="s">
        <v>2310</v>
      </c>
      <c r="D4483" s="8">
        <v>5</v>
      </c>
      <c r="E4483" s="8">
        <v>0</v>
      </c>
      <c r="F4483" s="8">
        <v>270</v>
      </c>
    </row>
    <row r="4484" spans="1:6" ht="12.75">
      <c r="A4484" s="8">
        <v>43903.026284722218</v>
      </c>
      <c r="B4484" s="8" t="str">
        <f>HYPERLINK("https://twitter.com/pravsharma","@pravsharma")</f>
        <v>@pravsharma</v>
      </c>
      <c r="C4484" s="8" t="s">
        <v>1195</v>
      </c>
      <c r="D4484" s="8">
        <v>2317</v>
      </c>
      <c r="E4484" s="8">
        <v>0</v>
      </c>
      <c r="F4484" s="8">
        <v>125</v>
      </c>
    </row>
    <row r="4485" spans="1:6" ht="12.75">
      <c r="A4485" s="8">
        <v>43903.02616898148</v>
      </c>
      <c r="B4485" s="8" t="str">
        <f>HYPERLINK("https://twitter.com/anupbaruah23","@anupbaruah23")</f>
        <v>@anupbaruah23</v>
      </c>
      <c r="C4485" s="8" t="s">
        <v>1195</v>
      </c>
      <c r="D4485" s="8">
        <v>2317</v>
      </c>
      <c r="E4485" s="8">
        <v>0</v>
      </c>
      <c r="F4485" s="8">
        <v>223</v>
      </c>
    </row>
    <row r="4486" spans="1:6" ht="12.75">
      <c r="A4486" s="8">
        <v>43903.02611111111</v>
      </c>
      <c r="B4486" s="8" t="str">
        <f>HYPERLINK("https://twitter.com/Yrht","@Yrht")</f>
        <v>@Yrht</v>
      </c>
      <c r="C4486" s="8" t="s">
        <v>1800</v>
      </c>
      <c r="D4486" s="8">
        <v>75</v>
      </c>
      <c r="E4486" s="8">
        <v>0</v>
      </c>
      <c r="F4486" s="8">
        <v>341</v>
      </c>
    </row>
    <row r="4487" spans="1:6" ht="12.75">
      <c r="A4487" s="8">
        <v>43903.025381944448</v>
      </c>
      <c r="B4487" s="8" t="str">
        <f>HYPERLINK("https://twitter.com/Nanto02364181","@Nanto02364181")</f>
        <v>@Nanto02364181</v>
      </c>
      <c r="C4487" s="8" t="s">
        <v>165</v>
      </c>
      <c r="D4487" s="8">
        <v>126</v>
      </c>
      <c r="E4487" s="8">
        <v>0</v>
      </c>
      <c r="F4487" s="8">
        <v>610</v>
      </c>
    </row>
    <row r="4488" spans="1:6" ht="12.75">
      <c r="A4488" s="8">
        <v>43903.025104166663</v>
      </c>
      <c r="B4488" s="8" t="str">
        <f>HYPERLINK("https://twitter.com/MadhurMahna","@MadhurMahna")</f>
        <v>@MadhurMahna</v>
      </c>
      <c r="C4488" s="8" t="s">
        <v>1195</v>
      </c>
      <c r="D4488" s="8">
        <v>2317</v>
      </c>
      <c r="E4488" s="8">
        <v>0</v>
      </c>
      <c r="F4488" s="8">
        <v>108</v>
      </c>
    </row>
    <row r="4489" spans="1:6" ht="12.75">
      <c r="A4489" s="8">
        <v>43903.02479166667</v>
      </c>
      <c r="B4489" s="8" t="str">
        <f>HYPERLINK("https://twitter.com/bung_ajis","@bung_ajis")</f>
        <v>@bung_ajis</v>
      </c>
      <c r="C4489" s="8" t="s">
        <v>2163</v>
      </c>
      <c r="D4489" s="8">
        <v>10</v>
      </c>
      <c r="E4489" s="8">
        <v>0</v>
      </c>
      <c r="F4489" s="8">
        <v>189</v>
      </c>
    </row>
    <row r="4490" spans="1:6" ht="12.75">
      <c r="A4490" s="8">
        <v>43903.02306712963</v>
      </c>
      <c r="B4490" s="8" t="str">
        <f>HYPERLINK("https://twitter.com/rddymadhu","@rddymadhu")</f>
        <v>@rddymadhu</v>
      </c>
      <c r="C4490" s="8" t="s">
        <v>1195</v>
      </c>
      <c r="D4490" s="8">
        <v>2317</v>
      </c>
      <c r="E4490" s="8">
        <v>0</v>
      </c>
      <c r="F4490" s="8">
        <v>118</v>
      </c>
    </row>
    <row r="4491" spans="1:6" ht="12.75">
      <c r="A4491" s="8">
        <v>43903.022604166668</v>
      </c>
      <c r="B4491" s="8" t="str">
        <f>HYPERLINK("https://twitter.com/arsensjuventini","@arsensjuventini")</f>
        <v>@arsensjuventini</v>
      </c>
      <c r="C4491" s="8" t="s">
        <v>2268</v>
      </c>
      <c r="D4491" s="8">
        <v>11</v>
      </c>
      <c r="E4491" s="8">
        <v>0</v>
      </c>
      <c r="F4491" s="8">
        <v>2227</v>
      </c>
    </row>
    <row r="4492" spans="1:6" ht="12.75">
      <c r="A4492" s="8">
        <v>43903.022291666668</v>
      </c>
      <c r="B4492" s="8" t="str">
        <f>HYPERLINK("https://twitter.com/positive_values","@positive_values")</f>
        <v>@positive_values</v>
      </c>
      <c r="C4492" s="8" t="s">
        <v>289</v>
      </c>
      <c r="D4492" s="8">
        <v>79</v>
      </c>
      <c r="E4492" s="8">
        <v>0</v>
      </c>
      <c r="F4492" s="8">
        <v>1925</v>
      </c>
    </row>
    <row r="4493" spans="1:6" ht="12.75">
      <c r="A4493" s="8">
        <v>43903.022118055553</v>
      </c>
      <c r="B4493" s="8" t="str">
        <f>HYPERLINK("https://twitter.com/Manral_Laxmi","@Manral_Laxmi")</f>
        <v>@Manral_Laxmi</v>
      </c>
      <c r="C4493" s="8" t="s">
        <v>1195</v>
      </c>
      <c r="D4493" s="8">
        <v>2317</v>
      </c>
      <c r="E4493" s="8">
        <v>0</v>
      </c>
      <c r="F4493" s="8">
        <v>77</v>
      </c>
    </row>
    <row r="4494" spans="1:6" ht="12.75">
      <c r="A4494" s="8">
        <v>43903.022013888884</v>
      </c>
      <c r="B4494" s="8" t="str">
        <f>HYPERLINK("https://twitter.com/ISIS_Balik_NO","@ISIS_Balik_NO")</f>
        <v>@ISIS_Balik_NO</v>
      </c>
      <c r="C4494" s="8" t="s">
        <v>2311</v>
      </c>
      <c r="D4494" s="8">
        <v>0</v>
      </c>
      <c r="E4494" s="8">
        <v>0</v>
      </c>
      <c r="F4494" s="8">
        <v>6264</v>
      </c>
    </row>
    <row r="4495" spans="1:6" ht="12.75">
      <c r="A4495" s="8">
        <v>43903.021886574075</v>
      </c>
      <c r="B4495" s="8" t="str">
        <f>HYPERLINK("https://twitter.com/lowiq02412290","@lowiq02412290")</f>
        <v>@lowiq02412290</v>
      </c>
      <c r="C4495" s="8" t="s">
        <v>1195</v>
      </c>
      <c r="D4495" s="8">
        <v>2317</v>
      </c>
      <c r="E4495" s="8">
        <v>0</v>
      </c>
      <c r="F4495" s="8">
        <v>36</v>
      </c>
    </row>
    <row r="4496" spans="1:6" ht="12.75">
      <c r="A4496" s="8">
        <v>43903.021145833336</v>
      </c>
      <c r="B4496" s="8" t="str">
        <f>HYPERLINK("https://twitter.com/misterpiii_","@misterpiii_")</f>
        <v>@misterpiii_</v>
      </c>
      <c r="C4496" s="8" t="s">
        <v>440</v>
      </c>
      <c r="D4496" s="8">
        <v>135</v>
      </c>
      <c r="E4496" s="8">
        <v>0</v>
      </c>
      <c r="F4496" s="8">
        <v>73</v>
      </c>
    </row>
    <row r="4497" spans="1:6" ht="12.75">
      <c r="A4497" s="8">
        <v>43903.021018518513</v>
      </c>
      <c r="B4497" s="8" t="str">
        <f>HYPERLINK("https://twitter.com/DaengKayo89","@DaengKayo89")</f>
        <v>@DaengKayo89</v>
      </c>
      <c r="C4497" s="8" t="s">
        <v>2312</v>
      </c>
      <c r="D4497" s="8">
        <v>0</v>
      </c>
      <c r="E4497" s="8">
        <v>0</v>
      </c>
      <c r="F4497" s="8">
        <v>90</v>
      </c>
    </row>
    <row r="4498" spans="1:6" ht="12.75">
      <c r="A4498" s="8">
        <v>43903.020590277782</v>
      </c>
      <c r="B4498" s="8" t="str">
        <f>HYPERLINK("https://twitter.com/FarelmaxL","@FarelmaxL")</f>
        <v>@FarelmaxL</v>
      </c>
      <c r="C4498" s="8" t="s">
        <v>2313</v>
      </c>
      <c r="D4498" s="8">
        <v>4</v>
      </c>
      <c r="E4498" s="8">
        <v>0</v>
      </c>
      <c r="F4498" s="8">
        <v>1455</v>
      </c>
    </row>
    <row r="4499" spans="1:6" ht="12.75">
      <c r="A4499" s="8">
        <v>43903.020509259259</v>
      </c>
      <c r="B4499" s="8" t="str">
        <f>HYPERLINK("https://twitter.com/dr_abhishek2611","@dr_abhishek2611")</f>
        <v>@dr_abhishek2611</v>
      </c>
      <c r="C4499" s="8" t="s">
        <v>1195</v>
      </c>
      <c r="D4499" s="8">
        <v>2317</v>
      </c>
      <c r="E4499" s="8">
        <v>0</v>
      </c>
      <c r="F4499" s="8">
        <v>324</v>
      </c>
    </row>
    <row r="4500" spans="1:6" ht="12.75">
      <c r="A4500" s="8">
        <v>43903.020381944443</v>
      </c>
      <c r="B4500" s="8" t="str">
        <f>HYPERLINK("https://twitter.com/nandureddy","@nandureddy")</f>
        <v>@nandureddy</v>
      </c>
      <c r="C4500" s="8" t="s">
        <v>1195</v>
      </c>
      <c r="D4500" s="8">
        <v>2317</v>
      </c>
      <c r="E4500" s="8">
        <v>0</v>
      </c>
      <c r="F4500" s="8">
        <v>79</v>
      </c>
    </row>
    <row r="4501" spans="1:6" ht="12.75">
      <c r="A4501" s="8">
        <v>43903.019826388889</v>
      </c>
      <c r="B4501" s="8" t="str">
        <f>HYPERLINK("https://twitter.com/Arnav_Rupde","@Arnav_Rupde")</f>
        <v>@Arnav_Rupde</v>
      </c>
      <c r="C4501" s="8" t="s">
        <v>1195</v>
      </c>
      <c r="D4501" s="8">
        <v>2317</v>
      </c>
      <c r="E4501" s="8">
        <v>0</v>
      </c>
      <c r="F4501" s="8">
        <v>250</v>
      </c>
    </row>
    <row r="4502" spans="1:6" ht="12.75">
      <c r="A4502" s="8">
        <v>43903.019560185188</v>
      </c>
      <c r="B4502" s="8" t="str">
        <f>HYPERLINK("https://twitter.com/wanggealfon","@wanggealfon")</f>
        <v>@wanggealfon</v>
      </c>
      <c r="C4502" s="8" t="s">
        <v>289</v>
      </c>
      <c r="D4502" s="8">
        <v>79</v>
      </c>
      <c r="E4502" s="8">
        <v>0</v>
      </c>
      <c r="F4502" s="8">
        <v>659</v>
      </c>
    </row>
    <row r="4503" spans="1:6" ht="12.75">
      <c r="A4503" s="8">
        <v>43903.019467592589</v>
      </c>
      <c r="B4503" s="8" t="str">
        <f>HYPERLINK("https://twitter.com/ISIS_Balik_NO","@ISIS_Balik_NO")</f>
        <v>@ISIS_Balik_NO</v>
      </c>
      <c r="C4503" s="8" t="s">
        <v>2314</v>
      </c>
      <c r="D4503" s="8">
        <v>220</v>
      </c>
      <c r="E4503" s="8">
        <v>0</v>
      </c>
      <c r="F4503" s="8">
        <v>6264</v>
      </c>
    </row>
    <row r="4504" spans="1:6" ht="12.75">
      <c r="A4504" s="8">
        <v>43903.019108796296</v>
      </c>
      <c r="B4504" s="8" t="str">
        <f>HYPERLINK("https://twitter.com/Parasja85863920","@Parasja85863920")</f>
        <v>@Parasja85863920</v>
      </c>
      <c r="C4504" s="8" t="s">
        <v>1195</v>
      </c>
      <c r="D4504" s="8">
        <v>2317</v>
      </c>
      <c r="E4504" s="8">
        <v>0</v>
      </c>
      <c r="F4504" s="8">
        <v>441</v>
      </c>
    </row>
    <row r="4505" spans="1:6" ht="12.75">
      <c r="A4505" s="8">
        <v>43903.018854166672</v>
      </c>
      <c r="B4505" s="8" t="str">
        <f>HYPERLINK("https://twitter.com/ISIS_Balik_NO","@ISIS_Balik_NO")</f>
        <v>@ISIS_Balik_NO</v>
      </c>
      <c r="C4505" s="8" t="s">
        <v>2315</v>
      </c>
      <c r="D4505" s="8">
        <v>0</v>
      </c>
      <c r="E4505" s="8">
        <v>0</v>
      </c>
      <c r="F4505" s="8">
        <v>6264</v>
      </c>
    </row>
    <row r="4506" spans="1:6" ht="12.75">
      <c r="A4506" s="8">
        <v>43903.018842592588</v>
      </c>
      <c r="B4506" s="8" t="str">
        <f>HYPERLINK("https://twitter.com/sir_jenishpatel","@sir_jenishpatel")</f>
        <v>@sir_jenishpatel</v>
      </c>
      <c r="C4506" s="8" t="s">
        <v>1195</v>
      </c>
      <c r="D4506" s="8">
        <v>2317</v>
      </c>
      <c r="E4506" s="8">
        <v>0</v>
      </c>
      <c r="F4506" s="8">
        <v>8923</v>
      </c>
    </row>
    <row r="4507" spans="1:6" ht="12.75">
      <c r="A4507" s="8">
        <v>43903.01835648148</v>
      </c>
      <c r="B4507" s="8" t="str">
        <f>HYPERLINK("https://twitter.com/Ssinku3","@Ssinku3")</f>
        <v>@Ssinku3</v>
      </c>
      <c r="C4507" s="8" t="s">
        <v>2291</v>
      </c>
      <c r="D4507" s="8">
        <v>3</v>
      </c>
      <c r="E4507" s="8">
        <v>0</v>
      </c>
      <c r="F4507" s="8">
        <v>74</v>
      </c>
    </row>
    <row r="4508" spans="1:6" ht="12.75">
      <c r="A4508" s="8">
        <v>43903.018194444448</v>
      </c>
      <c r="B4508" s="8" t="str">
        <f>HYPERLINK("https://twitter.com/Deewana__Dil","@Deewana__Dil")</f>
        <v>@Deewana__Dil</v>
      </c>
      <c r="C4508" s="8" t="s">
        <v>1195</v>
      </c>
      <c r="D4508" s="8">
        <v>2317</v>
      </c>
      <c r="E4508" s="8">
        <v>0</v>
      </c>
      <c r="F4508" s="8">
        <v>113</v>
      </c>
    </row>
    <row r="4509" spans="1:6" ht="12.75">
      <c r="A4509" s="8">
        <v>43903.017268518517</v>
      </c>
      <c r="B4509" s="8" t="str">
        <f>HYPERLINK("https://twitter.com/Qwrklicios","@Qwrklicios")</f>
        <v>@Qwrklicios</v>
      </c>
      <c r="C4509" s="8" t="s">
        <v>1808</v>
      </c>
      <c r="D4509" s="8">
        <v>934</v>
      </c>
      <c r="E4509" s="8">
        <v>0</v>
      </c>
      <c r="F4509" s="8">
        <v>184</v>
      </c>
    </row>
    <row r="4510" spans="1:6" ht="12.75">
      <c r="A4510" s="8">
        <v>43903.016793981486</v>
      </c>
      <c r="B4510" s="8" t="str">
        <f>HYPERLINK("https://twitter.com/Trilok_Shree","@Trilok_Shree")</f>
        <v>@Trilok_Shree</v>
      </c>
      <c r="C4510" s="8" t="s">
        <v>1195</v>
      </c>
      <c r="D4510" s="8">
        <v>2317</v>
      </c>
      <c r="E4510" s="8">
        <v>0</v>
      </c>
      <c r="F4510" s="8">
        <v>1368</v>
      </c>
    </row>
    <row r="4511" spans="1:6" ht="12.75">
      <c r="A4511" s="8">
        <v>43903.016053240739</v>
      </c>
      <c r="B4511" s="8" t="str">
        <f>HYPERLINK("https://twitter.com/rikyrich8","@rikyrich8")</f>
        <v>@rikyrich8</v>
      </c>
      <c r="C4511" s="8" t="s">
        <v>2316</v>
      </c>
      <c r="D4511" s="8">
        <v>0</v>
      </c>
      <c r="E4511" s="8">
        <v>1</v>
      </c>
      <c r="F4511" s="8">
        <v>1249</v>
      </c>
    </row>
    <row r="4512" spans="1:6" ht="12.75">
      <c r="A4512" s="8">
        <v>43903.014664351853</v>
      </c>
      <c r="B4512" s="8" t="str">
        <f>HYPERLINK("https://twitter.com/Rahool04","@Rahool04")</f>
        <v>@Rahool04</v>
      </c>
      <c r="C4512" s="8" t="s">
        <v>1195</v>
      </c>
      <c r="D4512" s="8">
        <v>2317</v>
      </c>
      <c r="E4512" s="8">
        <v>0</v>
      </c>
      <c r="F4512" s="8">
        <v>83</v>
      </c>
    </row>
    <row r="4513" spans="1:6" ht="12.75">
      <c r="A4513" s="8">
        <v>43903.014456018514</v>
      </c>
      <c r="B4513" s="8" t="str">
        <f>HYPERLINK("https://twitter.com/FajarFirhadi","@FajarFirhadi")</f>
        <v>@FajarFirhadi</v>
      </c>
      <c r="C4513" s="8" t="s">
        <v>289</v>
      </c>
      <c r="D4513" s="8">
        <v>79</v>
      </c>
      <c r="E4513" s="8">
        <v>0</v>
      </c>
      <c r="F4513" s="8">
        <v>164</v>
      </c>
    </row>
    <row r="4514" spans="1:6" ht="12.75">
      <c r="A4514" s="8">
        <v>43903.014328703706</v>
      </c>
      <c r="B4514" s="8" t="str">
        <f>HYPERLINK("https://twitter.com/Bharatvarshe1","@Bharatvarshe1")</f>
        <v>@Bharatvarshe1</v>
      </c>
      <c r="C4514" s="8" t="s">
        <v>1195</v>
      </c>
      <c r="D4514" s="8">
        <v>2317</v>
      </c>
      <c r="E4514" s="8">
        <v>0</v>
      </c>
      <c r="F4514" s="8">
        <v>88</v>
      </c>
    </row>
    <row r="4515" spans="1:6" ht="12.75">
      <c r="A4515" s="8">
        <v>43903.014305555553</v>
      </c>
      <c r="B4515" s="8" t="str">
        <f>HYPERLINK("https://twitter.com/ISIS_Balik_NO","@ISIS_Balik_NO")</f>
        <v>@ISIS_Balik_NO</v>
      </c>
      <c r="C4515" s="8" t="s">
        <v>2317</v>
      </c>
      <c r="D4515" s="8">
        <v>0</v>
      </c>
      <c r="E4515" s="8">
        <v>0</v>
      </c>
      <c r="F4515" s="8">
        <v>6264</v>
      </c>
    </row>
    <row r="4516" spans="1:6" ht="12.75">
      <c r="A4516" s="8">
        <v>43903.014131944445</v>
      </c>
      <c r="B4516" s="8" t="str">
        <f>HYPERLINK("https://twitter.com/vslokhande","@vslokhande")</f>
        <v>@vslokhande</v>
      </c>
      <c r="C4516" s="8" t="s">
        <v>1195</v>
      </c>
      <c r="D4516" s="8">
        <v>2317</v>
      </c>
      <c r="E4516" s="8">
        <v>0</v>
      </c>
      <c r="F4516" s="8">
        <v>232</v>
      </c>
    </row>
    <row r="4517" spans="1:6" ht="12.75">
      <c r="A4517" s="8">
        <v>43903.013773148152</v>
      </c>
      <c r="B4517" s="8" t="str">
        <f>HYPERLINK("https://twitter.com/sifulan_jr","@sifulan_jr")</f>
        <v>@sifulan_jr</v>
      </c>
      <c r="C4517" s="8" t="s">
        <v>2309</v>
      </c>
      <c r="D4517" s="8">
        <v>3</v>
      </c>
      <c r="E4517" s="8">
        <v>0</v>
      </c>
      <c r="F4517" s="8">
        <v>296</v>
      </c>
    </row>
    <row r="4518" spans="1:6" ht="12.75">
      <c r="A4518" s="8">
        <v>43903.01363425926</v>
      </c>
      <c r="B4518" s="8" t="str">
        <f>HYPERLINK("https://twitter.com/DaengKayo89","@DaengKayo89")</f>
        <v>@DaengKayo89</v>
      </c>
      <c r="C4518" s="8" t="s">
        <v>2318</v>
      </c>
      <c r="D4518" s="8">
        <v>0</v>
      </c>
      <c r="E4518" s="8">
        <v>0</v>
      </c>
      <c r="F4518" s="8">
        <v>90</v>
      </c>
    </row>
    <row r="4519" spans="1:6" ht="12.75">
      <c r="A4519" s="8">
        <v>43903.013252314813</v>
      </c>
      <c r="B4519" s="8" t="str">
        <f>HYPERLINK("https://twitter.com/shirowomplez","@shirowomplez")</f>
        <v>@shirowomplez</v>
      </c>
      <c r="C4519" s="8" t="s">
        <v>2319</v>
      </c>
      <c r="D4519" s="8">
        <v>0</v>
      </c>
      <c r="E4519" s="8">
        <v>0</v>
      </c>
      <c r="F4519" s="8">
        <v>21</v>
      </c>
    </row>
    <row r="4520" spans="1:6" ht="12.75">
      <c r="A4520" s="8">
        <v>43903.012708333335</v>
      </c>
      <c r="B4520" s="8" t="str">
        <f>HYPERLINK("https://twitter.com/ISIS_Balik_NO","@ISIS_Balik_NO")</f>
        <v>@ISIS_Balik_NO</v>
      </c>
      <c r="C4520" s="8" t="s">
        <v>2320</v>
      </c>
      <c r="D4520" s="8">
        <v>0</v>
      </c>
      <c r="E4520" s="8">
        <v>0</v>
      </c>
      <c r="F4520" s="8">
        <v>6264</v>
      </c>
    </row>
    <row r="4521" spans="1:6" ht="12.75">
      <c r="A4521" s="8">
        <v>43903.012349537035</v>
      </c>
      <c r="B4521" s="8" t="str">
        <f>HYPERLINK("https://twitter.com/Sigromilir01","@Sigromilir01")</f>
        <v>@Sigromilir01</v>
      </c>
      <c r="C4521" s="8" t="s">
        <v>2321</v>
      </c>
      <c r="D4521" s="8">
        <v>0</v>
      </c>
      <c r="E4521" s="8">
        <v>0</v>
      </c>
      <c r="F4521" s="8">
        <v>33</v>
      </c>
    </row>
    <row r="4522" spans="1:6" ht="12.75">
      <c r="A4522" s="8">
        <v>43903.012141203704</v>
      </c>
      <c r="B4522" s="8" t="str">
        <f>HYPERLINK("https://twitter.com/AliLenon1","@AliLenon1")</f>
        <v>@AliLenon1</v>
      </c>
      <c r="C4522" s="8" t="s">
        <v>1919</v>
      </c>
      <c r="D4522" s="8">
        <v>22</v>
      </c>
      <c r="E4522" s="8">
        <v>0</v>
      </c>
      <c r="F4522" s="8">
        <v>1556</v>
      </c>
    </row>
    <row r="4523" spans="1:6" ht="12.75">
      <c r="A4523" s="8">
        <v>43903.011921296296</v>
      </c>
      <c r="B4523" s="8" t="str">
        <f>HYPERLINK("https://twitter.com/ISIS_Balik_NO","@ISIS_Balik_NO")</f>
        <v>@ISIS_Balik_NO</v>
      </c>
      <c r="C4523" s="8" t="s">
        <v>2322</v>
      </c>
      <c r="D4523" s="8">
        <v>0</v>
      </c>
      <c r="E4523" s="8">
        <v>0</v>
      </c>
      <c r="F4523" s="8">
        <v>6264</v>
      </c>
    </row>
    <row r="4524" spans="1:6" ht="12.75">
      <c r="A4524" s="8">
        <v>43903.011840277773</v>
      </c>
      <c r="B4524" s="8" t="str">
        <f>HYPERLINK("https://twitter.com/DaengKayo89","@DaengKayo89")</f>
        <v>@DaengKayo89</v>
      </c>
      <c r="C4524" s="8" t="s">
        <v>2323</v>
      </c>
      <c r="D4524" s="8">
        <v>0</v>
      </c>
      <c r="E4524" s="8">
        <v>0</v>
      </c>
      <c r="F4524" s="8">
        <v>90</v>
      </c>
    </row>
    <row r="4525" spans="1:6" ht="12.75">
      <c r="A4525" s="8">
        <v>43903.01158564815</v>
      </c>
      <c r="B4525" s="8" t="str">
        <f>HYPERLINK("https://twitter.com/sudhanshutronix","@sudhanshutronix")</f>
        <v>@sudhanshutronix</v>
      </c>
      <c r="C4525" s="8" t="s">
        <v>1195</v>
      </c>
      <c r="D4525" s="8">
        <v>2317</v>
      </c>
      <c r="E4525" s="8">
        <v>0</v>
      </c>
      <c r="F4525" s="8">
        <v>85</v>
      </c>
    </row>
    <row r="4526" spans="1:6" ht="12.75">
      <c r="A4526" s="8">
        <v>43903.011562500003</v>
      </c>
      <c r="B4526" s="8" t="str">
        <f>HYPERLINK("https://twitter.com/kumar1166deepak","@kumar1166deepak")</f>
        <v>@kumar1166deepak</v>
      </c>
      <c r="C4526" s="8" t="s">
        <v>1195</v>
      </c>
      <c r="D4526" s="8">
        <v>2317</v>
      </c>
      <c r="E4526" s="8">
        <v>0</v>
      </c>
      <c r="F4526" s="8">
        <v>171</v>
      </c>
    </row>
    <row r="4527" spans="1:6" ht="12.75">
      <c r="A4527" s="8">
        <v>43903.01153935185</v>
      </c>
      <c r="B4527" s="8" t="str">
        <f>HYPERLINK("https://twitter.com/nikksthakur","@nikksthakur")</f>
        <v>@nikksthakur</v>
      </c>
      <c r="C4527" s="8" t="s">
        <v>1195</v>
      </c>
      <c r="D4527" s="8">
        <v>2317</v>
      </c>
      <c r="E4527" s="8">
        <v>0</v>
      </c>
      <c r="F4527" s="8">
        <v>123</v>
      </c>
    </row>
    <row r="4528" spans="1:6" ht="12.75">
      <c r="A4528" s="8">
        <v>43903.011331018519</v>
      </c>
      <c r="B4528" s="8" t="str">
        <f>HYPERLINK("https://twitter.com/5Y5_one_70","@5Y5_one_70")</f>
        <v>@5Y5_one_70</v>
      </c>
      <c r="C4528" s="8" t="s">
        <v>1919</v>
      </c>
      <c r="D4528" s="8">
        <v>22</v>
      </c>
      <c r="E4528" s="8">
        <v>0</v>
      </c>
      <c r="F4528" s="8">
        <v>6697</v>
      </c>
    </row>
    <row r="4529" spans="1:6" ht="12.75">
      <c r="A4529" s="8">
        <v>43903.011284722219</v>
      </c>
      <c r="B4529" s="8" t="str">
        <f>HYPERLINK("https://twitter.com/ISIS_Balik_NO","@ISIS_Balik_NO")</f>
        <v>@ISIS_Balik_NO</v>
      </c>
      <c r="C4529" s="8" t="s">
        <v>2324</v>
      </c>
      <c r="D4529" s="8">
        <v>0</v>
      </c>
      <c r="E4529" s="8">
        <v>0</v>
      </c>
      <c r="F4529" s="8">
        <v>6264</v>
      </c>
    </row>
    <row r="4530" spans="1:6" ht="12.75">
      <c r="A4530" s="8">
        <v>43903.006782407407</v>
      </c>
      <c r="B4530" s="8" t="str">
        <f>HYPERLINK("https://twitter.com/MohitSo35294263","@MohitSo35294263")</f>
        <v>@MohitSo35294263</v>
      </c>
      <c r="C4530" s="8" t="s">
        <v>1195</v>
      </c>
      <c r="D4530" s="8">
        <v>2239</v>
      </c>
      <c r="E4530" s="8">
        <v>0</v>
      </c>
      <c r="F4530" s="8">
        <v>114</v>
      </c>
    </row>
    <row r="4531" spans="1:6" ht="12.75">
      <c r="A4531" s="8">
        <v>43903.006631944445</v>
      </c>
      <c r="B4531" s="8" t="str">
        <f>HYPERLINK("https://twitter.com/doyokijay","@doyokijay")</f>
        <v>@doyokijay</v>
      </c>
      <c r="C4531" s="8" t="s">
        <v>165</v>
      </c>
      <c r="D4531" s="8">
        <v>126</v>
      </c>
      <c r="E4531" s="8">
        <v>0</v>
      </c>
      <c r="F4531" s="8">
        <v>333</v>
      </c>
    </row>
    <row r="4532" spans="1:6" ht="12.75">
      <c r="A4532" s="8">
        <v>43903.005439814813</v>
      </c>
      <c r="B4532" s="8" t="str">
        <f>HYPERLINK("https://twitter.com/ISIS_Balik_NO","@ISIS_Balik_NO")</f>
        <v>@ISIS_Balik_NO</v>
      </c>
      <c r="C4532" s="8" t="s">
        <v>2325</v>
      </c>
      <c r="D4532" s="8">
        <v>0</v>
      </c>
      <c r="E4532" s="8">
        <v>0</v>
      </c>
      <c r="F4532" s="8">
        <v>6261</v>
      </c>
    </row>
    <row r="4533" spans="1:6" ht="12.75">
      <c r="A4533" s="8">
        <v>43903.005057870367</v>
      </c>
      <c r="B4533" s="8" t="str">
        <f>HYPERLINK("https://twitter.com/PiyushPrusty","@PiyushPrusty")</f>
        <v>@PiyushPrusty</v>
      </c>
      <c r="C4533" s="8" t="s">
        <v>1195</v>
      </c>
      <c r="D4533" s="8">
        <v>2239</v>
      </c>
      <c r="E4533" s="8">
        <v>0</v>
      </c>
      <c r="F4533" s="8">
        <v>324</v>
      </c>
    </row>
    <row r="4534" spans="1:6" ht="12.75">
      <c r="A4534" s="8">
        <v>43903.004560185189</v>
      </c>
      <c r="B4534" s="8" t="str">
        <f>HYPERLINK("https://twitter.com/ISIS_Balik_NO","@ISIS_Balik_NO")</f>
        <v>@ISIS_Balik_NO</v>
      </c>
      <c r="C4534" s="8" t="s">
        <v>2326</v>
      </c>
      <c r="D4534" s="8">
        <v>0</v>
      </c>
      <c r="E4534" s="8">
        <v>0</v>
      </c>
      <c r="F4534" s="8">
        <v>6261</v>
      </c>
    </row>
    <row r="4535" spans="1:6" ht="12.75">
      <c r="A4535" s="8">
        <v>43903.00377314815</v>
      </c>
      <c r="B4535" s="8" t="str">
        <f>HYPERLINK("https://twitter.com/BhagwaKeralite","@BhagwaKeralite")</f>
        <v>@BhagwaKeralite</v>
      </c>
      <c r="C4535" s="8" t="s">
        <v>1195</v>
      </c>
      <c r="D4535" s="8">
        <v>2239</v>
      </c>
      <c r="E4535" s="8">
        <v>0</v>
      </c>
      <c r="F4535" s="8">
        <v>218</v>
      </c>
    </row>
    <row r="4536" spans="1:6" ht="12.75">
      <c r="A4536" s="8">
        <v>43903.003472222219</v>
      </c>
      <c r="B4536" s="8" t="str">
        <f>HYPERLINK("https://twitter.com/ISIS_Balik_NO","@ISIS_Balik_NO")</f>
        <v>@ISIS_Balik_NO</v>
      </c>
      <c r="C4536" s="8" t="s">
        <v>2327</v>
      </c>
      <c r="D4536" s="8">
        <v>0</v>
      </c>
      <c r="E4536" s="8">
        <v>1</v>
      </c>
      <c r="F4536" s="8">
        <v>6261</v>
      </c>
    </row>
    <row r="4537" spans="1:6" ht="12.75">
      <c r="A4537" s="8">
        <v>43903.00299768518</v>
      </c>
      <c r="B4537" s="8" t="str">
        <f>HYPERLINK("https://twitter.com/wibisonho","@wibisonho")</f>
        <v>@wibisonho</v>
      </c>
      <c r="C4537" s="8" t="s">
        <v>2328</v>
      </c>
      <c r="D4537" s="8">
        <v>0</v>
      </c>
      <c r="E4537" s="8">
        <v>0</v>
      </c>
      <c r="F4537" s="8">
        <v>1038</v>
      </c>
    </row>
    <row r="4538" spans="1:6" ht="12.75">
      <c r="A4538" s="8">
        <v>43903.002986111111</v>
      </c>
      <c r="B4538" s="8" t="str">
        <f>HYPERLINK("https://twitter.com/ISIS_Balik_NO","@ISIS_Balik_NO")</f>
        <v>@ISIS_Balik_NO</v>
      </c>
      <c r="C4538" s="8" t="s">
        <v>2329</v>
      </c>
      <c r="D4538" s="8">
        <v>16</v>
      </c>
      <c r="E4538" s="8">
        <v>0</v>
      </c>
      <c r="F4538" s="8">
        <v>6261</v>
      </c>
    </row>
    <row r="4539" spans="1:6" ht="12.75">
      <c r="A4539" s="8">
        <v>43903.002916666665</v>
      </c>
      <c r="B4539" s="8" t="str">
        <f>HYPERLINK("https://twitter.com/Lugahonsolum","@Lugahonsolum")</f>
        <v>@Lugahonsolum</v>
      </c>
      <c r="C4539" s="8" t="s">
        <v>1919</v>
      </c>
      <c r="D4539" s="8">
        <v>17</v>
      </c>
      <c r="E4539" s="8">
        <v>0</v>
      </c>
      <c r="F4539" s="8">
        <v>1136</v>
      </c>
    </row>
    <row r="4540" spans="1:6" ht="12.75">
      <c r="A4540" s="8">
        <v>43903.001909722225</v>
      </c>
      <c r="B4540" s="8" t="str">
        <f>HYPERLINK("https://twitter.com/Akand_Bharth","@Akand_Bharth")</f>
        <v>@Akand_Bharth</v>
      </c>
      <c r="C4540" s="8" t="s">
        <v>1195</v>
      </c>
      <c r="D4540" s="8">
        <v>2239</v>
      </c>
      <c r="E4540" s="8">
        <v>0</v>
      </c>
      <c r="F4540" s="8">
        <v>197</v>
      </c>
    </row>
    <row r="4541" spans="1:6" ht="12.75">
      <c r="A4541" s="8">
        <v>43903.001840277779</v>
      </c>
      <c r="B4541" s="8" t="str">
        <f>HYPERLINK("https://twitter.com/ISIS_Balik_NO","@ISIS_Balik_NO")</f>
        <v>@ISIS_Balik_NO</v>
      </c>
      <c r="C4541" s="8" t="s">
        <v>2330</v>
      </c>
      <c r="D4541" s="8">
        <v>0</v>
      </c>
      <c r="E4541" s="8">
        <v>0</v>
      </c>
      <c r="F4541" s="8">
        <v>6261</v>
      </c>
    </row>
    <row r="4542" spans="1:6" ht="12.75">
      <c r="A4542" s="8">
        <v>43903.001458333332</v>
      </c>
      <c r="B4542" s="8" t="str">
        <f>HYPERLINK("https://twitter.com/nitegup","@nitegup")</f>
        <v>@nitegup</v>
      </c>
      <c r="C4542" s="8" t="s">
        <v>1195</v>
      </c>
      <c r="D4542" s="8">
        <v>2239</v>
      </c>
      <c r="E4542" s="8">
        <v>0</v>
      </c>
      <c r="F4542" s="8">
        <v>40</v>
      </c>
    </row>
    <row r="4543" spans="1:6" ht="12.75">
      <c r="A4543" s="8">
        <v>43903.001064814816</v>
      </c>
      <c r="B4543" s="8" t="str">
        <f>HYPERLINK("https://twitter.com/ISIS_Balik_NO","@ISIS_Balik_NO")</f>
        <v>@ISIS_Balik_NO</v>
      </c>
      <c r="C4543" s="8" t="s">
        <v>2331</v>
      </c>
      <c r="D4543" s="8">
        <v>0</v>
      </c>
      <c r="E4543" s="8">
        <v>0</v>
      </c>
      <c r="F4543" s="8">
        <v>6261</v>
      </c>
    </row>
    <row r="4544" spans="1:6" ht="12.75">
      <c r="A4544" s="8">
        <v>43903.000509259262</v>
      </c>
      <c r="B4544" s="8" t="str">
        <f>HYPERLINK("https://twitter.com/CHINMAY61373745","@CHINMAY61373745")</f>
        <v>@CHINMAY61373745</v>
      </c>
      <c r="C4544" s="8" t="s">
        <v>1195</v>
      </c>
      <c r="D4544" s="8">
        <v>2239</v>
      </c>
      <c r="E4544" s="8">
        <v>0</v>
      </c>
      <c r="F4544" s="8">
        <v>341</v>
      </c>
    </row>
    <row r="4545" spans="1:6" ht="12.75">
      <c r="A4545" s="8">
        <v>43903.000428240739</v>
      </c>
      <c r="B4545" s="8" t="str">
        <f>HYPERLINK("https://twitter.com/ISIS_Balik_NO","@ISIS_Balik_NO")</f>
        <v>@ISIS_Balik_NO</v>
      </c>
      <c r="C4545" s="8" t="s">
        <v>2332</v>
      </c>
      <c r="D4545" s="8">
        <v>0</v>
      </c>
      <c r="E4545" s="8">
        <v>0</v>
      </c>
      <c r="F4545" s="8">
        <v>6261</v>
      </c>
    </row>
    <row r="4546" spans="1:6" ht="12.75">
      <c r="A4546" s="8">
        <v>43903.000092592592</v>
      </c>
      <c r="B4546" s="8" t="str">
        <f>HYPERLINK("https://twitter.com/vipulbhatia99","@vipulbhatia99")</f>
        <v>@vipulbhatia99</v>
      </c>
      <c r="C4546" s="8" t="s">
        <v>1195</v>
      </c>
      <c r="D4546" s="8">
        <v>2239</v>
      </c>
      <c r="E4546" s="8">
        <v>0</v>
      </c>
      <c r="F4546" s="8">
        <v>568</v>
      </c>
    </row>
    <row r="4547" spans="1:6" ht="12.75">
      <c r="A4547" s="8">
        <v>43902.999722222223</v>
      </c>
      <c r="B4547" s="8" t="str">
        <f>HYPERLINK("https://twitter.com/Danimas19","@Danimas19")</f>
        <v>@Danimas19</v>
      </c>
      <c r="C4547" s="8" t="s">
        <v>1758</v>
      </c>
      <c r="D4547" s="8">
        <v>91</v>
      </c>
      <c r="E4547" s="8">
        <v>0</v>
      </c>
      <c r="F4547" s="8">
        <v>144</v>
      </c>
    </row>
    <row r="4548" spans="1:6" ht="12.75">
      <c r="A4548" s="8">
        <v>43902.999664351853</v>
      </c>
      <c r="B4548" s="8" t="str">
        <f>HYPERLINK("https://twitter.com/ISIS_Balik_NO","@ISIS_Balik_NO")</f>
        <v>@ISIS_Balik_NO</v>
      </c>
      <c r="C4548" s="8" t="s">
        <v>2333</v>
      </c>
      <c r="D4548" s="8">
        <v>0</v>
      </c>
      <c r="E4548" s="8">
        <v>0</v>
      </c>
      <c r="F4548" s="8">
        <v>6261</v>
      </c>
    </row>
    <row r="4549" spans="1:6" ht="12.75">
      <c r="A4549" s="8">
        <v>43902.999652777777</v>
      </c>
      <c r="B4549" s="8" t="str">
        <f>HYPERLINK("https://twitter.com/Aditya_SINGH93","@Aditya_SINGH93")</f>
        <v>@Aditya_SINGH93</v>
      </c>
      <c r="C4549" s="8" t="s">
        <v>1195</v>
      </c>
      <c r="D4549" s="8">
        <v>2239</v>
      </c>
      <c r="E4549" s="8">
        <v>0</v>
      </c>
      <c r="F4549" s="8">
        <v>49</v>
      </c>
    </row>
    <row r="4550" spans="1:6" ht="12.75">
      <c r="A4550" s="8">
        <v>43902.99962962963</v>
      </c>
      <c r="B4550" s="8" t="str">
        <f>HYPERLINK("https://twitter.com/OShidiq","@OShidiq")</f>
        <v>@OShidiq</v>
      </c>
      <c r="C4550" s="8" t="s">
        <v>2334</v>
      </c>
      <c r="D4550" s="8">
        <v>1</v>
      </c>
      <c r="E4550" s="8">
        <v>0</v>
      </c>
      <c r="F4550" s="8">
        <v>2483</v>
      </c>
    </row>
    <row r="4551" spans="1:6" ht="12.75">
      <c r="A4551" s="8">
        <v>43902.999293981484</v>
      </c>
      <c r="B4551" s="8" t="str">
        <f>HYPERLINK("https://twitter.com/ISIS_Balik_NO","@ISIS_Balik_NO")</f>
        <v>@ISIS_Balik_NO</v>
      </c>
      <c r="C4551" s="8" t="s">
        <v>2335</v>
      </c>
      <c r="D4551" s="8">
        <v>0</v>
      </c>
      <c r="E4551" s="8">
        <v>0</v>
      </c>
      <c r="F4551" s="8">
        <v>6261</v>
      </c>
    </row>
    <row r="4552" spans="1:6" ht="12.75">
      <c r="A4552" s="8">
        <v>43902.999027777776</v>
      </c>
      <c r="B4552" s="8" t="str">
        <f>HYPERLINK("https://twitter.com/janak294","@janak294")</f>
        <v>@janak294</v>
      </c>
      <c r="C4552" s="8" t="s">
        <v>1195</v>
      </c>
      <c r="D4552" s="8">
        <v>2239</v>
      </c>
      <c r="E4552" s="8">
        <v>0</v>
      </c>
      <c r="F4552" s="8">
        <v>136</v>
      </c>
    </row>
    <row r="4553" spans="1:6" ht="12.75">
      <c r="A4553" s="8">
        <v>43902.998888888891</v>
      </c>
      <c r="B4553" s="8" t="str">
        <f>HYPERLINK("https://twitter.com/ShrikantDhobe","@ShrikantDhobe")</f>
        <v>@ShrikantDhobe</v>
      </c>
      <c r="C4553" s="8" t="s">
        <v>1195</v>
      </c>
      <c r="D4553" s="8">
        <v>2239</v>
      </c>
      <c r="E4553" s="8">
        <v>0</v>
      </c>
      <c r="F4553" s="8">
        <v>113</v>
      </c>
    </row>
    <row r="4554" spans="1:6" ht="12.75">
      <c r="A4554" s="8">
        <v>43902.998506944445</v>
      </c>
      <c r="B4554" s="8" t="str">
        <f>HYPERLINK("https://twitter.com/ImCyborgNThtzOk","@ImCyborgNThtzOk")</f>
        <v>@ImCyborgNThtzOk</v>
      </c>
      <c r="C4554" s="8" t="s">
        <v>440</v>
      </c>
      <c r="D4554" s="8">
        <v>132</v>
      </c>
      <c r="E4554" s="8">
        <v>0</v>
      </c>
      <c r="F4554" s="8">
        <v>260</v>
      </c>
    </row>
    <row r="4555" spans="1:6" ht="12.75">
      <c r="A4555" s="8">
        <v>43902.998379629629</v>
      </c>
      <c r="B4555" s="8" t="str">
        <f>HYPERLINK("https://twitter.com/benzgabriel","@benzgabriel")</f>
        <v>@benzgabriel</v>
      </c>
      <c r="C4555" s="8" t="s">
        <v>2336</v>
      </c>
      <c r="D4555" s="8">
        <v>1</v>
      </c>
      <c r="E4555" s="8">
        <v>1</v>
      </c>
      <c r="F4555" s="8">
        <v>1067</v>
      </c>
    </row>
    <row r="4556" spans="1:6" ht="12.75">
      <c r="A4556" s="8">
        <v>43902.998333333337</v>
      </c>
      <c r="B4556" s="8" t="str">
        <f>HYPERLINK("https://twitter.com/ISIS_Balik_NO","@ISIS_Balik_NO")</f>
        <v>@ISIS_Balik_NO</v>
      </c>
      <c r="C4556" s="8" t="s">
        <v>2337</v>
      </c>
      <c r="D4556" s="8">
        <v>0</v>
      </c>
      <c r="E4556" s="8">
        <v>0</v>
      </c>
      <c r="F4556" s="8">
        <v>6261</v>
      </c>
    </row>
    <row r="4557" spans="1:6" ht="12.75">
      <c r="A4557" s="8">
        <v>43902.998090277775</v>
      </c>
      <c r="B4557" s="8" t="str">
        <f>HYPERLINK("https://twitter.com/Gujju_Amit_Akki","@Gujju_Amit_Akki")</f>
        <v>@Gujju_Amit_Akki</v>
      </c>
      <c r="C4557" s="8" t="s">
        <v>1195</v>
      </c>
      <c r="D4557" s="8">
        <v>2239</v>
      </c>
      <c r="E4557" s="8">
        <v>0</v>
      </c>
      <c r="F4557" s="8">
        <v>797</v>
      </c>
    </row>
    <row r="4558" spans="1:6" ht="12.75">
      <c r="A4558" s="8">
        <v>43902.997974537036</v>
      </c>
      <c r="B4558" s="8" t="str">
        <f>HYPERLINK("https://twitter.com/vaibhav_bari_09","@vaibhav_bari_09")</f>
        <v>@vaibhav_bari_09</v>
      </c>
      <c r="C4558" s="8" t="s">
        <v>1195</v>
      </c>
      <c r="D4558" s="8">
        <v>2239</v>
      </c>
      <c r="E4558" s="8">
        <v>0</v>
      </c>
      <c r="F4558" s="8">
        <v>104</v>
      </c>
    </row>
    <row r="4559" spans="1:6" ht="12.75">
      <c r="A4559" s="8">
        <v>43902.997604166667</v>
      </c>
      <c r="B4559" s="8" t="str">
        <f>HYPERLINK("https://twitter.com/thakurved86","@thakurved86")</f>
        <v>@thakurved86</v>
      </c>
      <c r="C4559" s="8" t="s">
        <v>1195</v>
      </c>
      <c r="D4559" s="8">
        <v>2239</v>
      </c>
      <c r="E4559" s="8">
        <v>0</v>
      </c>
      <c r="F4559" s="8">
        <v>99</v>
      </c>
    </row>
    <row r="4560" spans="1:6" ht="12.75">
      <c r="A4560" s="8">
        <v>43902.997372685189</v>
      </c>
      <c r="B4560" s="8" t="str">
        <f>HYPERLINK("https://twitter.com/ISIS_Balik_NO","@ISIS_Balik_NO")</f>
        <v>@ISIS_Balik_NO</v>
      </c>
      <c r="C4560" s="8" t="s">
        <v>2338</v>
      </c>
      <c r="D4560" s="8">
        <v>311</v>
      </c>
      <c r="E4560" s="8">
        <v>0</v>
      </c>
      <c r="F4560" s="8">
        <v>6261</v>
      </c>
    </row>
    <row r="4561" spans="1:6" ht="12.75">
      <c r="A4561" s="8">
        <v>43902.997210648144</v>
      </c>
      <c r="B4561" s="8" t="str">
        <f>HYPERLINK("https://twitter.com/div9366","@div9366")</f>
        <v>@div9366</v>
      </c>
      <c r="C4561" s="8" t="s">
        <v>1195</v>
      </c>
      <c r="D4561" s="8">
        <v>2239</v>
      </c>
      <c r="E4561" s="8">
        <v>0</v>
      </c>
      <c r="F4561" s="8">
        <v>340</v>
      </c>
    </row>
    <row r="4562" spans="1:6" ht="12.75">
      <c r="A4562" s="8">
        <v>43902.997199074074</v>
      </c>
      <c r="B4562" s="8" t="str">
        <f>HYPERLINK("https://twitter.com/11Selvie","@11Selvie")</f>
        <v>@11Selvie</v>
      </c>
      <c r="C4562" s="8" t="s">
        <v>1758</v>
      </c>
      <c r="D4562" s="8">
        <v>91</v>
      </c>
      <c r="E4562" s="8">
        <v>0</v>
      </c>
      <c r="F4562" s="8">
        <v>27</v>
      </c>
    </row>
    <row r="4563" spans="1:6" ht="12.75">
      <c r="A4563" s="8">
        <v>43902.997071759259</v>
      </c>
      <c r="B4563" s="8" t="str">
        <f>HYPERLINK("https://twitter.com/owicaksana","@owicaksana")</f>
        <v>@owicaksana</v>
      </c>
      <c r="C4563" s="8" t="s">
        <v>289</v>
      </c>
      <c r="D4563" s="8">
        <v>70</v>
      </c>
      <c r="E4563" s="8">
        <v>0</v>
      </c>
      <c r="F4563" s="8">
        <v>2599</v>
      </c>
    </row>
    <row r="4564" spans="1:6" ht="12.75">
      <c r="A4564" s="8">
        <v>43902.996574074074</v>
      </c>
      <c r="B4564" s="8" t="str">
        <f>HYPERLINK("https://twitter.com/Rusman_Sumbayak","@Rusman_Sumbayak")</f>
        <v>@Rusman_Sumbayak</v>
      </c>
      <c r="C4564" s="8" t="s">
        <v>2339</v>
      </c>
      <c r="D4564" s="8">
        <v>0</v>
      </c>
      <c r="E4564" s="8">
        <v>1</v>
      </c>
      <c r="F4564" s="8">
        <v>139</v>
      </c>
    </row>
    <row r="4565" spans="1:6" ht="12.75">
      <c r="A4565" s="8">
        <v>43902.996469907404</v>
      </c>
      <c r="B4565" s="8" t="str">
        <f>HYPERLINK("https://twitter.com/curio_cherry","@curio_cherry")</f>
        <v>@curio_cherry</v>
      </c>
      <c r="C4565" s="8" t="s">
        <v>440</v>
      </c>
      <c r="D4565" s="8">
        <v>132</v>
      </c>
      <c r="E4565" s="8">
        <v>0</v>
      </c>
      <c r="F4565" s="8">
        <v>271</v>
      </c>
    </row>
    <row r="4566" spans="1:6" ht="12.75">
      <c r="A4566" s="8">
        <v>43902.996423611112</v>
      </c>
      <c r="B4566" s="8" t="str">
        <f>HYPERLINK("https://twitter.com/cahaya_inti","@cahaya_inti")</f>
        <v>@cahaya_inti</v>
      </c>
      <c r="C4566" s="8" t="s">
        <v>2340</v>
      </c>
      <c r="D4566" s="8">
        <v>1</v>
      </c>
      <c r="E4566" s="8">
        <v>0</v>
      </c>
      <c r="F4566" s="8">
        <v>1503</v>
      </c>
    </row>
    <row r="4567" spans="1:6" ht="12.75">
      <c r="A4567" s="8">
        <v>43902.995740740742</v>
      </c>
      <c r="B4567" s="8" t="str">
        <f>HYPERLINK("https://twitter.com/HUNTVISHAL","@HUNTVISHAL")</f>
        <v>@HUNTVISHAL</v>
      </c>
      <c r="C4567" s="8" t="s">
        <v>1195</v>
      </c>
      <c r="D4567" s="8">
        <v>2239</v>
      </c>
      <c r="E4567" s="8">
        <v>0</v>
      </c>
      <c r="F4567" s="8">
        <v>72</v>
      </c>
    </row>
    <row r="4568" spans="1:6" ht="12.75">
      <c r="A4568" s="8">
        <v>43902.995555555557</v>
      </c>
      <c r="B4568" s="8" t="str">
        <f>HYPERLINK("https://twitter.com/TahirAlai","@TahirAlai")</f>
        <v>@TahirAlai</v>
      </c>
      <c r="C4568" s="8" t="s">
        <v>2341</v>
      </c>
      <c r="D4568" s="8">
        <v>0</v>
      </c>
      <c r="E4568" s="8">
        <v>0</v>
      </c>
      <c r="F4568" s="8">
        <v>53</v>
      </c>
    </row>
    <row r="4569" spans="1:6" ht="12.75">
      <c r="A4569" s="8">
        <v>43902.995509259257</v>
      </c>
      <c r="B4569" s="8" t="str">
        <f>HYPERLINK("https://twitter.com/GKawi369","@GKawi369")</f>
        <v>@GKawi369</v>
      </c>
      <c r="C4569" s="8" t="s">
        <v>1919</v>
      </c>
      <c r="D4569" s="8">
        <v>17</v>
      </c>
      <c r="E4569" s="8">
        <v>0</v>
      </c>
      <c r="F4569" s="8">
        <v>994</v>
      </c>
    </row>
    <row r="4570" spans="1:6" ht="12.75">
      <c r="A4570" s="8">
        <v>43902.995266203703</v>
      </c>
      <c r="B4570" s="8" t="str">
        <f>HYPERLINK("https://twitter.com/Voices68641074","@Voices68641074")</f>
        <v>@Voices68641074</v>
      </c>
      <c r="C4570" s="8" t="s">
        <v>1195</v>
      </c>
      <c r="D4570" s="8">
        <v>2239</v>
      </c>
      <c r="E4570" s="8">
        <v>0</v>
      </c>
      <c r="F4570" s="8">
        <v>198</v>
      </c>
    </row>
    <row r="4571" spans="1:6" ht="12.75">
      <c r="A4571" s="8">
        <v>43902.995208333334</v>
      </c>
      <c r="B4571" s="8" t="str">
        <f>HYPERLINK("https://twitter.com/AlanPrastya6","@AlanPrastya6")</f>
        <v>@AlanPrastya6</v>
      </c>
      <c r="C4571" s="8" t="s">
        <v>2342</v>
      </c>
      <c r="D4571" s="8">
        <v>0</v>
      </c>
      <c r="E4571" s="8">
        <v>1</v>
      </c>
      <c r="F4571" s="8">
        <v>469</v>
      </c>
    </row>
    <row r="4572" spans="1:6" ht="12.75">
      <c r="A4572" s="8">
        <v>43902.995127314818</v>
      </c>
      <c r="B4572" s="8" t="str">
        <f>HYPERLINK("https://twitter.com/ISIS_Balik_NO","@ISIS_Balik_NO")</f>
        <v>@ISIS_Balik_NO</v>
      </c>
      <c r="C4572" s="8" t="s">
        <v>2343</v>
      </c>
      <c r="D4572" s="8">
        <v>0</v>
      </c>
      <c r="E4572" s="8">
        <v>0</v>
      </c>
      <c r="F4572" s="8">
        <v>6261</v>
      </c>
    </row>
    <row r="4573" spans="1:6" ht="12.75">
      <c r="A4573" s="8">
        <v>43902.994884259257</v>
      </c>
      <c r="B4573" s="8" t="str">
        <f>HYPERLINK("https://twitter.com/sBHm1","@sBHm1")</f>
        <v>@sBHm1</v>
      </c>
      <c r="C4573" s="8" t="s">
        <v>1195</v>
      </c>
      <c r="D4573" s="8">
        <v>2239</v>
      </c>
      <c r="E4573" s="8">
        <v>0</v>
      </c>
      <c r="F4573" s="8">
        <v>1309</v>
      </c>
    </row>
    <row r="4574" spans="1:6" ht="12.75">
      <c r="A4574" s="8">
        <v>43902.994884259257</v>
      </c>
      <c r="B4574" s="8" t="str">
        <f>HYPERLINK("https://twitter.com/isis_sux","@isis_sux")</f>
        <v>@isis_sux</v>
      </c>
      <c r="C4574" s="8" t="s">
        <v>2344</v>
      </c>
      <c r="D4574" s="8">
        <v>0</v>
      </c>
      <c r="E4574" s="8">
        <v>0</v>
      </c>
      <c r="F4574" s="8">
        <v>673</v>
      </c>
    </row>
    <row r="4575" spans="1:6" ht="12.75">
      <c r="A4575" s="8">
        <v>43902.994699074072</v>
      </c>
      <c r="B4575" s="8" t="str">
        <f>HYPERLINK("https://twitter.com/ISIS_Balik_NO","@ISIS_Balik_NO")</f>
        <v>@ISIS_Balik_NO</v>
      </c>
      <c r="C4575" s="8" t="s">
        <v>2345</v>
      </c>
      <c r="D4575" s="8">
        <v>0</v>
      </c>
      <c r="E4575" s="8">
        <v>0</v>
      </c>
      <c r="F4575" s="8">
        <v>6261</v>
      </c>
    </row>
    <row r="4576" spans="1:6" ht="12.75">
      <c r="A4576" s="8">
        <v>43902.994409722218</v>
      </c>
      <c r="B4576" s="8" t="str">
        <f>HYPERLINK("https://twitter.com/izzayn13","@izzayn13")</f>
        <v>@izzayn13</v>
      </c>
      <c r="C4576" s="8" t="s">
        <v>440</v>
      </c>
      <c r="D4576" s="8">
        <v>132</v>
      </c>
      <c r="E4576" s="8">
        <v>0</v>
      </c>
      <c r="F4576" s="8">
        <v>340</v>
      </c>
    </row>
    <row r="4577" spans="1:6" ht="12.75">
      <c r="A4577" s="8">
        <v>43902.994398148148</v>
      </c>
      <c r="B4577" s="8" t="str">
        <f>HYPERLINK("https://twitter.com/HanipUmardi","@HanipUmardi")</f>
        <v>@HanipUmardi</v>
      </c>
      <c r="C4577" s="8" t="s">
        <v>897</v>
      </c>
      <c r="D4577" s="8">
        <v>0</v>
      </c>
      <c r="E4577" s="8">
        <v>0</v>
      </c>
      <c r="F4577" s="8">
        <v>1</v>
      </c>
    </row>
    <row r="4578" spans="1:6" ht="12.75">
      <c r="A4578" s="8">
        <v>43902.994016203702</v>
      </c>
      <c r="B4578" s="8" t="str">
        <f>HYPERLINK("https://twitter.com/AcidBurn1128","@AcidBurn1128")</f>
        <v>@AcidBurn1128</v>
      </c>
      <c r="C4578" s="8" t="s">
        <v>2279</v>
      </c>
      <c r="D4578" s="8">
        <v>2</v>
      </c>
      <c r="E4578" s="8">
        <v>0</v>
      </c>
      <c r="F4578" s="8">
        <v>159</v>
      </c>
    </row>
    <row r="4579" spans="1:6" ht="12.75">
      <c r="A4579" s="8">
        <v>43902.993715277778</v>
      </c>
      <c r="B4579" s="8" t="str">
        <f>HYPERLINK("https://twitter.com/Bannergatta","@Bannergatta")</f>
        <v>@Bannergatta</v>
      </c>
      <c r="C4579" s="8" t="s">
        <v>1195</v>
      </c>
      <c r="D4579" s="8">
        <v>2239</v>
      </c>
      <c r="E4579" s="8">
        <v>0</v>
      </c>
      <c r="F4579" s="8">
        <v>180</v>
      </c>
    </row>
    <row r="4580" spans="1:6" ht="12.75">
      <c r="A4580" s="8">
        <v>43902.993657407409</v>
      </c>
      <c r="B4580" s="8" t="str">
        <f>HYPERLINK("https://twitter.com/yudapanjaitan","@yudapanjaitan")</f>
        <v>@yudapanjaitan</v>
      </c>
      <c r="C4580" s="8" t="s">
        <v>2346</v>
      </c>
      <c r="D4580" s="8">
        <v>0</v>
      </c>
      <c r="E4580" s="8">
        <v>0</v>
      </c>
      <c r="F4580" s="8">
        <v>12047</v>
      </c>
    </row>
    <row r="4581" spans="1:6" ht="12.75">
      <c r="A4581" s="8">
        <v>43902.993657407409</v>
      </c>
      <c r="B4581" s="8" t="str">
        <f>HYPERLINK("https://twitter.com/StoicWill","@StoicWill")</f>
        <v>@StoicWill</v>
      </c>
      <c r="C4581" s="8" t="s">
        <v>1195</v>
      </c>
      <c r="D4581" s="8">
        <v>2239</v>
      </c>
      <c r="E4581" s="8">
        <v>0</v>
      </c>
      <c r="F4581" s="8">
        <v>83</v>
      </c>
    </row>
    <row r="4582" spans="1:6" ht="12.75">
      <c r="A4582" s="8">
        <v>43902.993564814809</v>
      </c>
      <c r="B4582" s="8" t="str">
        <f>HYPERLINK("https://twitter.com/dhruvcenation84","@dhruvcenation84")</f>
        <v>@dhruvcenation84</v>
      </c>
      <c r="C4582" s="8" t="s">
        <v>1195</v>
      </c>
      <c r="D4582" s="8">
        <v>2239</v>
      </c>
      <c r="E4582" s="8">
        <v>0</v>
      </c>
      <c r="F4582" s="8">
        <v>112</v>
      </c>
    </row>
    <row r="4583" spans="1:6" ht="12.75">
      <c r="A4583" s="8">
        <v>43902.993506944447</v>
      </c>
      <c r="B4583" s="8" t="str">
        <f>HYPERLINK("https://twitter.com/ISIS_Balik_NO","@ISIS_Balik_NO")</f>
        <v>@ISIS_Balik_NO</v>
      </c>
      <c r="C4583" s="8" t="s">
        <v>2347</v>
      </c>
      <c r="D4583" s="8">
        <v>0</v>
      </c>
      <c r="E4583" s="8">
        <v>0</v>
      </c>
      <c r="F4583" s="8">
        <v>6261</v>
      </c>
    </row>
    <row r="4584" spans="1:6" ht="12.75">
      <c r="A4584" s="8">
        <v>43902.993414351848</v>
      </c>
      <c r="B4584" s="8" t="str">
        <f>HYPERLINK("https://twitter.com/GoreNeeraj","@GoreNeeraj")</f>
        <v>@GoreNeeraj</v>
      </c>
      <c r="C4584" s="8" t="s">
        <v>1195</v>
      </c>
      <c r="D4584" s="8">
        <v>2239</v>
      </c>
      <c r="E4584" s="8">
        <v>0</v>
      </c>
      <c r="F4584" s="8">
        <v>241</v>
      </c>
    </row>
    <row r="4585" spans="1:6" ht="12.75">
      <c r="A4585" s="8">
        <v>43902.99318287037</v>
      </c>
      <c r="B4585" s="8" t="str">
        <f>HYPERLINK("https://twitter.com/konark_roy","@konark_roy")</f>
        <v>@konark_roy</v>
      </c>
      <c r="C4585" s="8" t="s">
        <v>1195</v>
      </c>
      <c r="D4585" s="8">
        <v>2239</v>
      </c>
      <c r="E4585" s="8">
        <v>0</v>
      </c>
      <c r="F4585" s="8">
        <v>154</v>
      </c>
    </row>
    <row r="4586" spans="1:6" ht="12.75">
      <c r="A4586" s="8">
        <v>43902.993125000001</v>
      </c>
      <c r="B4586" s="8" t="str">
        <f>HYPERLINK("https://twitter.com/inimimosa","@inimimosa")</f>
        <v>@inimimosa</v>
      </c>
      <c r="C4586" s="8" t="s">
        <v>2348</v>
      </c>
      <c r="D4586" s="8">
        <v>0</v>
      </c>
      <c r="E4586" s="8">
        <v>0</v>
      </c>
      <c r="F4586" s="8">
        <v>154</v>
      </c>
    </row>
    <row r="4587" spans="1:6" ht="12.75">
      <c r="A4587" s="8">
        <v>43902.99287037037</v>
      </c>
      <c r="B4587" s="8" t="str">
        <f>HYPERLINK("https://twitter.com/ISIS_Balik_NO","@ISIS_Balik_NO")</f>
        <v>@ISIS_Balik_NO</v>
      </c>
      <c r="C4587" s="8" t="s">
        <v>2349</v>
      </c>
      <c r="D4587" s="8">
        <v>78</v>
      </c>
      <c r="E4587" s="8">
        <v>0</v>
      </c>
      <c r="F4587" s="8">
        <v>6261</v>
      </c>
    </row>
    <row r="4588" spans="1:6" ht="12.75">
      <c r="A4588" s="8">
        <v>43902.99287037037</v>
      </c>
      <c r="B4588" s="8" t="str">
        <f>HYPERLINK("https://twitter.com/sidharth98","@sidharth98")</f>
        <v>@sidharth98</v>
      </c>
      <c r="C4588" s="8" t="s">
        <v>1195</v>
      </c>
      <c r="D4588" s="8">
        <v>2239</v>
      </c>
      <c r="E4588" s="8">
        <v>0</v>
      </c>
      <c r="F4588" s="8">
        <v>94</v>
      </c>
    </row>
    <row r="4589" spans="1:6" ht="12.75">
      <c r="A4589" s="8">
        <v>43902.992696759262</v>
      </c>
      <c r="B4589" s="8" t="str">
        <f>HYPERLINK("https://twitter.com/JAYESH_55","@JAYESH_55")</f>
        <v>@JAYESH_55</v>
      </c>
      <c r="C4589" s="8" t="s">
        <v>1195</v>
      </c>
      <c r="D4589" s="8">
        <v>2239</v>
      </c>
      <c r="E4589" s="8">
        <v>0</v>
      </c>
      <c r="F4589" s="8">
        <v>391</v>
      </c>
    </row>
    <row r="4590" spans="1:6" ht="12.75">
      <c r="A4590" s="8">
        <v>43902.992569444439</v>
      </c>
      <c r="B4590" s="8" t="str">
        <f>HYPERLINK("https://twitter.com/KaveriThiyagara","@KaveriThiyagara")</f>
        <v>@KaveriThiyagara</v>
      </c>
      <c r="C4590" s="8" t="s">
        <v>1957</v>
      </c>
      <c r="D4590" s="8">
        <v>1546</v>
      </c>
      <c r="E4590" s="8">
        <v>0</v>
      </c>
      <c r="F4590" s="8">
        <v>620</v>
      </c>
    </row>
    <row r="4591" spans="1:6" ht="12.75">
      <c r="A4591" s="8">
        <v>43902.9925462963</v>
      </c>
      <c r="B4591" s="8" t="str">
        <f>HYPERLINK("https://twitter.com/1420kunal","@1420kunal")</f>
        <v>@1420kunal</v>
      </c>
      <c r="C4591" s="8" t="s">
        <v>1957</v>
      </c>
      <c r="D4591" s="8">
        <v>1546</v>
      </c>
      <c r="E4591" s="8">
        <v>0</v>
      </c>
      <c r="F4591" s="8">
        <v>1579</v>
      </c>
    </row>
    <row r="4592" spans="1:6" ht="12.75">
      <c r="A4592" s="8">
        <v>43902.992523148147</v>
      </c>
      <c r="B4592" s="8" t="str">
        <f>HYPERLINK("https://twitter.com/KaveriThiyagara","@KaveriThiyagara")</f>
        <v>@KaveriThiyagara</v>
      </c>
      <c r="C4592" s="8" t="s">
        <v>1808</v>
      </c>
      <c r="D4592" s="8">
        <v>928</v>
      </c>
      <c r="E4592" s="8">
        <v>0</v>
      </c>
      <c r="F4592" s="8">
        <v>620</v>
      </c>
    </row>
    <row r="4593" spans="1:6" ht="12.75">
      <c r="A4593" s="8">
        <v>43902.9925</v>
      </c>
      <c r="B4593" s="8" t="str">
        <f>HYPERLINK("https://twitter.com/1420kunal","@1420kunal")</f>
        <v>@1420kunal</v>
      </c>
      <c r="C4593" s="8" t="s">
        <v>1808</v>
      </c>
      <c r="D4593" s="8">
        <v>928</v>
      </c>
      <c r="E4593" s="8">
        <v>0</v>
      </c>
      <c r="F4593" s="8">
        <v>1579</v>
      </c>
    </row>
    <row r="4594" spans="1:6" ht="12.75">
      <c r="A4594" s="8">
        <v>43902.992465277777</v>
      </c>
      <c r="B4594" s="8" t="str">
        <f>HYPERLINK("https://twitter.com/je_no_we","@je_no_we")</f>
        <v>@je_no_we</v>
      </c>
      <c r="C4594" s="8" t="s">
        <v>440</v>
      </c>
      <c r="D4594" s="8">
        <v>132</v>
      </c>
      <c r="E4594" s="8">
        <v>0</v>
      </c>
      <c r="F4594" s="8">
        <v>374</v>
      </c>
    </row>
    <row r="4595" spans="1:6" ht="12.75">
      <c r="A4595" s="8">
        <v>43902.992430555554</v>
      </c>
      <c r="B4595" s="8" t="str">
        <f>HYPERLINK("https://twitter.com/KaveriThiyagara","@KaveriThiyagara")</f>
        <v>@KaveriThiyagara</v>
      </c>
      <c r="C4595" s="8" t="s">
        <v>1195</v>
      </c>
      <c r="D4595" s="8">
        <v>2239</v>
      </c>
      <c r="E4595" s="8">
        <v>0</v>
      </c>
      <c r="F4595" s="8">
        <v>620</v>
      </c>
    </row>
    <row r="4596" spans="1:6" ht="12.75">
      <c r="A4596" s="8">
        <v>43902.992430555554</v>
      </c>
      <c r="B4596" s="8" t="str">
        <f>HYPERLINK("https://twitter.com/1420kunal","@1420kunal")</f>
        <v>@1420kunal</v>
      </c>
      <c r="C4596" s="8" t="s">
        <v>1195</v>
      </c>
      <c r="D4596" s="8">
        <v>2239</v>
      </c>
      <c r="E4596" s="8">
        <v>0</v>
      </c>
      <c r="F4596" s="8">
        <v>1579</v>
      </c>
    </row>
    <row r="4597" spans="1:6" ht="12.75">
      <c r="A4597" s="8">
        <v>43902.991759259261</v>
      </c>
      <c r="B4597" s="8" t="str">
        <f>HYPERLINK("https://twitter.com/vscharag07","@vscharag07")</f>
        <v>@vscharag07</v>
      </c>
      <c r="C4597" s="8" t="s">
        <v>1195</v>
      </c>
      <c r="D4597" s="8">
        <v>2239</v>
      </c>
      <c r="E4597" s="8">
        <v>0</v>
      </c>
      <c r="F4597" s="8">
        <v>2067</v>
      </c>
    </row>
    <row r="4598" spans="1:6" ht="12.75">
      <c r="A4598" s="8">
        <v>43902.991747685184</v>
      </c>
      <c r="B4598" s="8" t="str">
        <f>HYPERLINK("https://twitter.com/shivaprasad_124","@shivaprasad_124")</f>
        <v>@shivaprasad_124</v>
      </c>
      <c r="C4598" s="8" t="s">
        <v>1195</v>
      </c>
      <c r="D4598" s="8">
        <v>2239</v>
      </c>
      <c r="E4598" s="8">
        <v>0</v>
      </c>
      <c r="F4598" s="8">
        <v>336</v>
      </c>
    </row>
    <row r="4599" spans="1:6" ht="12.75">
      <c r="A4599" s="8">
        <v>43902.991435185184</v>
      </c>
      <c r="B4599" s="8" t="str">
        <f>HYPERLINK("https://twitter.com/topinfo_id","@topinfo_id")</f>
        <v>@topinfo_id</v>
      </c>
      <c r="C4599" s="8" t="s">
        <v>2247</v>
      </c>
      <c r="D4599" s="8">
        <v>0</v>
      </c>
      <c r="E4599" s="8">
        <v>0</v>
      </c>
      <c r="F4599" s="8">
        <v>100</v>
      </c>
    </row>
    <row r="4600" spans="1:6" ht="12.75">
      <c r="A4600" s="8">
        <v>43902.990439814814</v>
      </c>
      <c r="B4600" s="8" t="str">
        <f>HYPERLINK("https://twitter.com/ISIS_Balik_NO","@ISIS_Balik_NO")</f>
        <v>@ISIS_Balik_NO</v>
      </c>
      <c r="C4600" s="8" t="s">
        <v>2350</v>
      </c>
      <c r="D4600" s="8">
        <v>0</v>
      </c>
      <c r="E4600" s="8">
        <v>0</v>
      </c>
      <c r="F4600" s="8">
        <v>6261</v>
      </c>
    </row>
    <row r="4601" spans="1:6" ht="12.75">
      <c r="A4601" s="8">
        <v>43902.990416666667</v>
      </c>
      <c r="B4601" s="8" t="str">
        <f>HYPERLINK("https://twitter.com/mallubang77","@mallubang77")</f>
        <v>@mallubang77</v>
      </c>
      <c r="C4601" s="8" t="s">
        <v>1195</v>
      </c>
      <c r="D4601" s="8">
        <v>2239</v>
      </c>
      <c r="E4601" s="8">
        <v>0</v>
      </c>
      <c r="F4601" s="8">
        <v>496</v>
      </c>
    </row>
    <row r="4602" spans="1:6" ht="12.75">
      <c r="A4602" s="8">
        <v>43902.990324074075</v>
      </c>
      <c r="B4602" s="8" t="str">
        <f>HYPERLINK("https://twitter.com/Abibharat","@Abibharat")</f>
        <v>@Abibharat</v>
      </c>
      <c r="C4602" s="8" t="s">
        <v>1195</v>
      </c>
      <c r="D4602" s="8">
        <v>2239</v>
      </c>
      <c r="E4602" s="8">
        <v>0</v>
      </c>
      <c r="F4602" s="8">
        <v>158</v>
      </c>
    </row>
    <row r="4603" spans="1:6" ht="12.75">
      <c r="A4603" s="8">
        <v>43902.990115740744</v>
      </c>
      <c r="B4603" s="8" t="str">
        <f>HYPERLINK("https://twitter.com/chauhanrohit10","@chauhanrohit10")</f>
        <v>@chauhanrohit10</v>
      </c>
      <c r="C4603" s="8" t="s">
        <v>1195</v>
      </c>
      <c r="D4603" s="8">
        <v>2239</v>
      </c>
      <c r="E4603" s="8">
        <v>0</v>
      </c>
      <c r="F4603" s="8">
        <v>165</v>
      </c>
    </row>
    <row r="4604" spans="1:6" ht="12.75">
      <c r="A4604" s="8">
        <v>43902.989861111113</v>
      </c>
      <c r="B4604" s="8" t="str">
        <f>HYPERLINK("https://twitter.com/345Aulia","@345Aulia")</f>
        <v>@345Aulia</v>
      </c>
      <c r="C4604" s="8" t="s">
        <v>2351</v>
      </c>
      <c r="D4604" s="8">
        <v>0</v>
      </c>
      <c r="E4604" s="8">
        <v>2</v>
      </c>
      <c r="F4604" s="8">
        <v>1426</v>
      </c>
    </row>
    <row r="4605" spans="1:6" ht="12.75">
      <c r="A4605" s="8">
        <v>43902.989861111113</v>
      </c>
      <c r="B4605" s="8" t="str">
        <f>HYPERLINK("https://twitter.com/ShivK_123","@ShivK_123")</f>
        <v>@ShivK_123</v>
      </c>
      <c r="C4605" s="8" t="s">
        <v>1195</v>
      </c>
      <c r="D4605" s="8">
        <v>2239</v>
      </c>
      <c r="E4605" s="8">
        <v>0</v>
      </c>
      <c r="F4605" s="8">
        <v>53</v>
      </c>
    </row>
    <row r="4606" spans="1:6" ht="12.75">
      <c r="A4606" s="8">
        <v>43902.989699074074</v>
      </c>
      <c r="B4606" s="8" t="str">
        <f>HYPERLINK("https://twitter.com/ISIS_Balik_NO","@ISIS_Balik_NO")</f>
        <v>@ISIS_Balik_NO</v>
      </c>
      <c r="C4606" s="8" t="s">
        <v>2352</v>
      </c>
      <c r="D4606" s="8">
        <v>1</v>
      </c>
      <c r="E4606" s="8">
        <v>0</v>
      </c>
      <c r="F4606" s="8">
        <v>6261</v>
      </c>
    </row>
    <row r="4607" spans="1:6" ht="12.75">
      <c r="A4607" s="8">
        <v>43902.988159722227</v>
      </c>
      <c r="B4607" s="8" t="str">
        <f>HYPERLINK("https://twitter.com/Dil_Se_Ree","@Dil_Se_Ree")</f>
        <v>@Dil_Se_Ree</v>
      </c>
      <c r="C4607" s="8" t="s">
        <v>1195</v>
      </c>
      <c r="D4607" s="8">
        <v>2239</v>
      </c>
      <c r="E4607" s="8">
        <v>0</v>
      </c>
      <c r="F4607" s="8">
        <v>309</v>
      </c>
    </row>
    <row r="4608" spans="1:6" ht="12.75">
      <c r="A4608" s="8">
        <v>43902.988032407404</v>
      </c>
      <c r="B4608" s="8" t="str">
        <f>HYPERLINK("https://twitter.com/im_Gauravtyagi","@im_Gauravtyagi")</f>
        <v>@im_Gauravtyagi</v>
      </c>
      <c r="C4608" s="8" t="s">
        <v>1195</v>
      </c>
      <c r="D4608" s="8">
        <v>2239</v>
      </c>
      <c r="E4608" s="8">
        <v>0</v>
      </c>
      <c r="F4608" s="8">
        <v>163</v>
      </c>
    </row>
    <row r="4609" spans="1:6" ht="12.75">
      <c r="A4609" s="8">
        <v>43902.987916666665</v>
      </c>
      <c r="B4609" s="8" t="str">
        <f>HYPERLINK("https://twitter.com/FadhilGooner","@FadhilGooner")</f>
        <v>@FadhilGooner</v>
      </c>
      <c r="C4609" s="8" t="s">
        <v>1488</v>
      </c>
      <c r="D4609" s="8">
        <v>7</v>
      </c>
      <c r="E4609" s="8">
        <v>0</v>
      </c>
      <c r="F4609" s="8">
        <v>458</v>
      </c>
    </row>
    <row r="4610" spans="1:6" ht="12.75">
      <c r="A4610" s="8">
        <v>43902.98741898148</v>
      </c>
      <c r="B4610" s="8" t="str">
        <f>HYPERLINK("https://twitter.com/machidalfath","@machidalfath")</f>
        <v>@machidalfath</v>
      </c>
      <c r="C4610" s="8" t="s">
        <v>2353</v>
      </c>
      <c r="D4610" s="8">
        <v>0</v>
      </c>
      <c r="E4610" s="8">
        <v>1</v>
      </c>
      <c r="F4610" s="8">
        <v>548</v>
      </c>
    </row>
    <row r="4611" spans="1:6" ht="12.75">
      <c r="A4611" s="8">
        <v>43902.987326388888</v>
      </c>
      <c r="B4611" s="8" t="str">
        <f>HYPERLINK("https://twitter.com/ISIS_Balik_NO","@ISIS_Balik_NO")</f>
        <v>@ISIS_Balik_NO</v>
      </c>
      <c r="C4611" s="8" t="s">
        <v>2354</v>
      </c>
      <c r="D4611" s="8">
        <v>0</v>
      </c>
      <c r="E4611" s="8">
        <v>1</v>
      </c>
      <c r="F4611" s="8">
        <v>6261</v>
      </c>
    </row>
    <row r="4612" spans="1:6" ht="12.75">
      <c r="A4612" s="8">
        <v>43902.987256944441</v>
      </c>
      <c r="B4612" s="8" t="str">
        <f>HYPERLINK("https://twitter.com/MadMax68587256","@MadMax68587256")</f>
        <v>@MadMax68587256</v>
      </c>
      <c r="C4612" s="8" t="s">
        <v>1195</v>
      </c>
      <c r="D4612" s="8">
        <v>2239</v>
      </c>
      <c r="E4612" s="8">
        <v>0</v>
      </c>
      <c r="F4612" s="8">
        <v>64</v>
      </c>
    </row>
    <row r="4613" spans="1:6" ht="12.75">
      <c r="A4613" s="8">
        <v>43902.987164351856</v>
      </c>
      <c r="B4613" s="8" t="str">
        <f>HYPERLINK("https://twitter.com/gaganbrar5","@gaganbrar5")</f>
        <v>@gaganbrar5</v>
      </c>
      <c r="C4613" s="8" t="s">
        <v>1195</v>
      </c>
      <c r="D4613" s="8">
        <v>2239</v>
      </c>
      <c r="E4613" s="8">
        <v>0</v>
      </c>
      <c r="F4613" s="8">
        <v>580</v>
      </c>
    </row>
    <row r="4614" spans="1:6" ht="12.75">
      <c r="A4614" s="8">
        <v>43902.986435185187</v>
      </c>
      <c r="B4614" s="8" t="str">
        <f>HYPERLINK("https://twitter.com/Abhishe42569513","@Abhishe42569513")</f>
        <v>@Abhishe42569513</v>
      </c>
      <c r="C4614" s="8" t="s">
        <v>1195</v>
      </c>
      <c r="D4614" s="8">
        <v>2239</v>
      </c>
      <c r="E4614" s="8">
        <v>0</v>
      </c>
      <c r="F4614" s="8">
        <v>648</v>
      </c>
    </row>
    <row r="4615" spans="1:6" ht="12.75">
      <c r="A4615" s="8">
        <v>43902.98642361111</v>
      </c>
      <c r="B4615" s="8" t="str">
        <f>HYPERLINK("https://twitter.com/ISIS_Balik_NO","@ISIS_Balik_NO")</f>
        <v>@ISIS_Balik_NO</v>
      </c>
      <c r="C4615" s="8" t="s">
        <v>2355</v>
      </c>
      <c r="D4615" s="8">
        <v>0</v>
      </c>
      <c r="E4615" s="8">
        <v>0</v>
      </c>
      <c r="F4615" s="8">
        <v>6261</v>
      </c>
    </row>
    <row r="4616" spans="1:6" ht="12.75">
      <c r="A4616" s="8">
        <v>43902.98605324074</v>
      </c>
      <c r="B4616" s="8" t="str">
        <f>HYPERLINK("https://twitter.com/dibyafoo","@dibyafoo")</f>
        <v>@dibyafoo</v>
      </c>
      <c r="C4616" s="8" t="s">
        <v>1195</v>
      </c>
      <c r="D4616" s="8">
        <v>2239</v>
      </c>
      <c r="E4616" s="8">
        <v>0</v>
      </c>
      <c r="F4616" s="8">
        <v>142</v>
      </c>
    </row>
    <row r="4617" spans="1:6" ht="12.75">
      <c r="A4617" s="8">
        <v>43902.98600694444</v>
      </c>
      <c r="B4617" s="8" t="str">
        <f>HYPERLINK("https://twitter.com/Gujrati_Raju_","@Gujrati_Raju_")</f>
        <v>@Gujrati_Raju_</v>
      </c>
      <c r="C4617" s="8" t="s">
        <v>1195</v>
      </c>
      <c r="D4617" s="8">
        <v>2239</v>
      </c>
      <c r="E4617" s="8">
        <v>0</v>
      </c>
      <c r="F4617" s="8">
        <v>1834</v>
      </c>
    </row>
    <row r="4618" spans="1:6" ht="12.75">
      <c r="A4618" s="8">
        <v>43902.985972222217</v>
      </c>
      <c r="B4618" s="8" t="str">
        <f>HYPERLINK("https://twitter.com/dibyafoo","@dibyafoo")</f>
        <v>@dibyafoo</v>
      </c>
      <c r="C4618" s="8" t="s">
        <v>1808</v>
      </c>
      <c r="D4618" s="8">
        <v>928</v>
      </c>
      <c r="E4618" s="8">
        <v>0</v>
      </c>
      <c r="F4618" s="8">
        <v>142</v>
      </c>
    </row>
    <row r="4619" spans="1:6" ht="12.75">
      <c r="A4619" s="8">
        <v>43902.985821759255</v>
      </c>
      <c r="B4619" s="8" t="str">
        <f>HYPERLINK("https://twitter.com/IndianPapaJi","@IndianPapaJi")</f>
        <v>@IndianPapaJi</v>
      </c>
      <c r="C4619" s="8" t="s">
        <v>1195</v>
      </c>
      <c r="D4619" s="8">
        <v>2239</v>
      </c>
      <c r="E4619" s="8">
        <v>0</v>
      </c>
      <c r="F4619" s="8">
        <v>250</v>
      </c>
    </row>
    <row r="4620" spans="1:6" ht="12.75">
      <c r="A4620" s="8">
        <v>43902.985682870371</v>
      </c>
      <c r="B4620" s="8" t="str">
        <f>HYPERLINK("https://twitter.com/billiewipedout","@billiewipedout")</f>
        <v>@billiewipedout</v>
      </c>
      <c r="C4620" s="8" t="s">
        <v>2356</v>
      </c>
      <c r="D4620" s="8">
        <v>0</v>
      </c>
      <c r="E4620" s="8">
        <v>0</v>
      </c>
      <c r="F4620" s="8">
        <v>578</v>
      </c>
    </row>
    <row r="4621" spans="1:6" ht="12.75">
      <c r="A4621" s="8">
        <v>43902.985648148147</v>
      </c>
      <c r="B4621" s="8" t="str">
        <f>HYPERLINK("https://twitter.com/sharmars003","@sharmars003")</f>
        <v>@sharmars003</v>
      </c>
      <c r="C4621" s="8" t="s">
        <v>1195</v>
      </c>
      <c r="D4621" s="8">
        <v>2239</v>
      </c>
      <c r="E4621" s="8">
        <v>0</v>
      </c>
      <c r="F4621" s="8">
        <v>2540</v>
      </c>
    </row>
    <row r="4622" spans="1:6" ht="12.75">
      <c r="A4622" s="8">
        <v>43902.985567129625</v>
      </c>
      <c r="B4622" s="8" t="str">
        <f t="shared" ref="B4622:B4623" si="84">HYPERLINK("https://twitter.com/wni_jmsri","@wni_jmsri")</f>
        <v>@wni_jmsri</v>
      </c>
      <c r="C4622" s="8" t="s">
        <v>2357</v>
      </c>
      <c r="D4622" s="8">
        <v>2</v>
      </c>
      <c r="E4622" s="8">
        <v>0</v>
      </c>
      <c r="F4622" s="8">
        <v>203</v>
      </c>
    </row>
    <row r="4623" spans="1:6" ht="12.75">
      <c r="A4623" s="8">
        <v>43902.985497685186</v>
      </c>
      <c r="B4623" s="8" t="str">
        <f t="shared" si="84"/>
        <v>@wni_jmsri</v>
      </c>
      <c r="C4623" s="8" t="s">
        <v>2358</v>
      </c>
      <c r="D4623" s="8">
        <v>3780</v>
      </c>
      <c r="E4623" s="8">
        <v>0</v>
      </c>
      <c r="F4623" s="8">
        <v>203</v>
      </c>
    </row>
    <row r="4624" spans="1:6" ht="12.75">
      <c r="A4624" s="8">
        <v>43902.985462962963</v>
      </c>
      <c r="B4624" s="8" t="str">
        <f>HYPERLINK("https://twitter.com/ISIS_Balik_NO","@ISIS_Balik_NO")</f>
        <v>@ISIS_Balik_NO</v>
      </c>
      <c r="C4624" s="8" t="s">
        <v>2359</v>
      </c>
      <c r="D4624" s="8">
        <v>0</v>
      </c>
      <c r="E4624" s="8">
        <v>0</v>
      </c>
      <c r="F4624" s="8">
        <v>6261</v>
      </c>
    </row>
    <row r="4625" spans="1:6" ht="12.75">
      <c r="A4625" s="8">
        <v>43902.985405092593</v>
      </c>
      <c r="B4625" s="8" t="str">
        <f>HYPERLINK("https://twitter.com/vishen_rajiv","@vishen_rajiv")</f>
        <v>@vishen_rajiv</v>
      </c>
      <c r="C4625" s="8" t="s">
        <v>1195</v>
      </c>
      <c r="D4625" s="8">
        <v>2239</v>
      </c>
      <c r="E4625" s="8">
        <v>0</v>
      </c>
      <c r="F4625" s="8">
        <v>189</v>
      </c>
    </row>
    <row r="4626" spans="1:6" ht="12.75">
      <c r="A4626" s="8">
        <v>43902.985243055555</v>
      </c>
      <c r="B4626" s="8" t="str">
        <f>HYPERLINK("https://twitter.com/indozonemedia","@indozonemedia")</f>
        <v>@indozonemedia</v>
      </c>
      <c r="C4626" s="8" t="s">
        <v>2360</v>
      </c>
      <c r="D4626" s="8">
        <v>1</v>
      </c>
      <c r="E4626" s="8">
        <v>0</v>
      </c>
      <c r="F4626" s="8">
        <v>1787999</v>
      </c>
    </row>
    <row r="4627" spans="1:6" ht="12.75">
      <c r="A4627" s="8">
        <v>43902.984895833331</v>
      </c>
      <c r="B4627" s="8" t="str">
        <f>HYPERLINK("https://twitter.com/kabinawa5","@kabinawa5")</f>
        <v>@kabinawa5</v>
      </c>
      <c r="C4627" s="8" t="s">
        <v>2361</v>
      </c>
      <c r="D4627" s="8">
        <v>1</v>
      </c>
      <c r="E4627" s="8">
        <v>0</v>
      </c>
      <c r="F4627" s="8">
        <v>3335</v>
      </c>
    </row>
    <row r="4628" spans="1:6" ht="12.75">
      <c r="A4628" s="8">
        <v>43902.984872685185</v>
      </c>
      <c r="B4628" s="8" t="str">
        <f>HYPERLINK("https://twitter.com/bung_angin","@bung_angin")</f>
        <v>@bung_angin</v>
      </c>
      <c r="C4628" s="8" t="s">
        <v>2362</v>
      </c>
      <c r="D4628" s="8">
        <v>1</v>
      </c>
      <c r="E4628" s="8">
        <v>0</v>
      </c>
      <c r="F4628" s="8">
        <v>317</v>
      </c>
    </row>
    <row r="4629" spans="1:6" ht="12.75">
      <c r="A4629" s="8">
        <v>43902.984803240739</v>
      </c>
      <c r="B4629" s="8" t="str">
        <f>HYPERLINK("https://twitter.com/RangCebol","@RangCebol")</f>
        <v>@RangCebol</v>
      </c>
      <c r="C4629" s="8" t="s">
        <v>2363</v>
      </c>
      <c r="D4629" s="8">
        <v>0</v>
      </c>
      <c r="E4629" s="8">
        <v>0</v>
      </c>
      <c r="F4629" s="8">
        <v>22</v>
      </c>
    </row>
    <row r="4630" spans="1:6" ht="12.75">
      <c r="A4630" s="8">
        <v>43902.965127314819</v>
      </c>
      <c r="B4630" s="8" t="str">
        <f>HYPERLINK("https://twitter.com/hs_fidilius26","@hs_fidilius26")</f>
        <v>@hs_fidilius26</v>
      </c>
      <c r="C4630" s="8" t="s">
        <v>440</v>
      </c>
      <c r="D4630" s="8">
        <v>120</v>
      </c>
      <c r="E4630" s="8">
        <v>0</v>
      </c>
      <c r="F4630" s="8">
        <v>42</v>
      </c>
    </row>
    <row r="4631" spans="1:6" ht="12.75">
      <c r="A4631" s="8">
        <v>43902.965104166666</v>
      </c>
      <c r="B4631" s="8" t="str">
        <f>HYPERLINK("https://twitter.com/bhindan1","@bhindan1")</f>
        <v>@bhindan1</v>
      </c>
      <c r="C4631" s="8" t="s">
        <v>1195</v>
      </c>
      <c r="D4631" s="8">
        <v>2135</v>
      </c>
      <c r="E4631" s="8">
        <v>0</v>
      </c>
      <c r="F4631" s="8">
        <v>304</v>
      </c>
    </row>
    <row r="4632" spans="1:6" ht="12.75">
      <c r="A4632" s="8">
        <v>43902.964641203704</v>
      </c>
      <c r="B4632" s="8" t="str">
        <f>HYPERLINK("https://twitter.com/PatriceHuang","@PatriceHuang")</f>
        <v>@PatriceHuang</v>
      </c>
      <c r="C4632" s="8" t="s">
        <v>440</v>
      </c>
      <c r="D4632" s="8">
        <v>120</v>
      </c>
      <c r="E4632" s="8">
        <v>0</v>
      </c>
      <c r="F4632" s="8">
        <v>218</v>
      </c>
    </row>
    <row r="4633" spans="1:6" ht="12.75">
      <c r="A4633" s="8">
        <v>43902.964629629627</v>
      </c>
      <c r="B4633" s="8" t="str">
        <f>HYPERLINK("https://twitter.com/_Urban_monk","@_Urban_monk")</f>
        <v>@_Urban_monk</v>
      </c>
      <c r="C4633" s="8" t="s">
        <v>1195</v>
      </c>
      <c r="D4633" s="8">
        <v>2135</v>
      </c>
      <c r="E4633" s="8">
        <v>0</v>
      </c>
      <c r="F4633" s="8">
        <v>73</v>
      </c>
    </row>
    <row r="4634" spans="1:6" ht="12.75">
      <c r="A4634" s="8">
        <v>43902.964131944449</v>
      </c>
      <c r="B4634" s="8" t="str">
        <f>HYPERLINK("https://twitter.com/Riandsapoetra_","@Riandsapoetra_")</f>
        <v>@Riandsapoetra_</v>
      </c>
      <c r="C4634" s="8" t="s">
        <v>1488</v>
      </c>
      <c r="D4634" s="8">
        <v>5</v>
      </c>
      <c r="E4634" s="8">
        <v>0</v>
      </c>
      <c r="F4634" s="8">
        <v>461</v>
      </c>
    </row>
    <row r="4635" spans="1:6" ht="12.75">
      <c r="A4635" s="8">
        <v>43902.963877314818</v>
      </c>
      <c r="B4635" s="8" t="str">
        <f>HYPERLINK("https://twitter.com/Lord_Juwanda","@Lord_Juwanda")</f>
        <v>@Lord_Juwanda</v>
      </c>
      <c r="C4635" s="8" t="s">
        <v>1800</v>
      </c>
      <c r="D4635" s="8">
        <v>74</v>
      </c>
      <c r="E4635" s="8">
        <v>0</v>
      </c>
      <c r="F4635" s="8">
        <v>448</v>
      </c>
    </row>
    <row r="4636" spans="1:6" ht="12.75">
      <c r="A4636" s="8">
        <v>43902.963877314818</v>
      </c>
      <c r="B4636" s="8" t="str">
        <f>HYPERLINK("https://twitter.com/Rohi204","@Rohi204")</f>
        <v>@Rohi204</v>
      </c>
      <c r="C4636" s="8" t="s">
        <v>2364</v>
      </c>
      <c r="D4636" s="8">
        <v>0</v>
      </c>
      <c r="E4636" s="8">
        <v>0</v>
      </c>
      <c r="F4636" s="8">
        <v>57</v>
      </c>
    </row>
    <row r="4637" spans="1:6" ht="12.75">
      <c r="A4637" s="8">
        <v>43902.963587962964</v>
      </c>
      <c r="B4637" s="8" t="str">
        <f>HYPERLINK("https://twitter.com/rotisarirotii","@rotisarirotii")</f>
        <v>@rotisarirotii</v>
      </c>
      <c r="C4637" s="8" t="s">
        <v>1302</v>
      </c>
      <c r="D4637" s="8">
        <v>4</v>
      </c>
      <c r="E4637" s="8">
        <v>0</v>
      </c>
      <c r="F4637" s="8">
        <v>26</v>
      </c>
    </row>
    <row r="4638" spans="1:6" ht="12.75">
      <c r="A4638" s="8">
        <v>43902.963356481487</v>
      </c>
      <c r="B4638" s="8" t="str">
        <f>HYPERLINK("https://twitter.com/kabinawa5","@kabinawa5")</f>
        <v>@kabinawa5</v>
      </c>
      <c r="C4638" s="8" t="s">
        <v>2365</v>
      </c>
      <c r="D4638" s="8">
        <v>0</v>
      </c>
      <c r="E4638" s="8">
        <v>0</v>
      </c>
      <c r="F4638" s="8">
        <v>3319</v>
      </c>
    </row>
    <row r="4639" spans="1:6" ht="12.75">
      <c r="A4639" s="8">
        <v>43902.963078703702</v>
      </c>
      <c r="B4639" s="8" t="str">
        <f>HYPERLINK("https://twitter.com/DwivediMeenu","@DwivediMeenu")</f>
        <v>@DwivediMeenu</v>
      </c>
      <c r="C4639" s="8" t="s">
        <v>1195</v>
      </c>
      <c r="D4639" s="8">
        <v>2135</v>
      </c>
      <c r="E4639" s="8">
        <v>0</v>
      </c>
      <c r="F4639" s="8">
        <v>29</v>
      </c>
    </row>
    <row r="4640" spans="1:6" ht="12.75">
      <c r="A4640" s="8">
        <v>43902.963055555556</v>
      </c>
      <c r="B4640" s="8" t="str">
        <f>HYPERLINK("https://twitter.com/eeemasters","@eeemasters")</f>
        <v>@eeemasters</v>
      </c>
      <c r="C4640" s="8" t="s">
        <v>1195</v>
      </c>
      <c r="D4640" s="8">
        <v>2135</v>
      </c>
      <c r="E4640" s="8">
        <v>0</v>
      </c>
      <c r="F4640" s="8">
        <v>75</v>
      </c>
    </row>
    <row r="4641" spans="1:6" ht="12.75">
      <c r="A4641" s="8">
        <v>43902.96261574074</v>
      </c>
      <c r="B4641" s="8" t="str">
        <f>HYPERLINK("https://twitter.com/unagi_inuu","@unagi_inuu")</f>
        <v>@unagi_inuu</v>
      </c>
      <c r="C4641" s="8" t="s">
        <v>440</v>
      </c>
      <c r="D4641" s="8">
        <v>120</v>
      </c>
      <c r="E4641" s="8">
        <v>0</v>
      </c>
      <c r="F4641" s="8">
        <v>223</v>
      </c>
    </row>
    <row r="4642" spans="1:6" ht="12.75">
      <c r="A4642" s="8">
        <v>43902.962592592594</v>
      </c>
      <c r="B4642" s="8" t="str">
        <f>HYPERLINK("https://twitter.com/ManafSamuel","@ManafSamuel")</f>
        <v>@ManafSamuel</v>
      </c>
      <c r="C4642" s="8" t="s">
        <v>2366</v>
      </c>
      <c r="D4642" s="8">
        <v>0</v>
      </c>
      <c r="E4642" s="8">
        <v>0</v>
      </c>
      <c r="F4642" s="8">
        <v>1789</v>
      </c>
    </row>
    <row r="4643" spans="1:6" ht="12.75">
      <c r="A4643" s="8">
        <v>43902.961909722224</v>
      </c>
      <c r="B4643" s="8" t="str">
        <f>HYPERLINK("https://twitter.com/Shaharshit90","@Shaharshit90")</f>
        <v>@Shaharshit90</v>
      </c>
      <c r="C4643" s="8" t="s">
        <v>1195</v>
      </c>
      <c r="D4643" s="8">
        <v>2135</v>
      </c>
      <c r="E4643" s="8">
        <v>0</v>
      </c>
      <c r="F4643" s="8">
        <v>343</v>
      </c>
    </row>
    <row r="4644" spans="1:6" ht="12.75">
      <c r="A4644" s="8">
        <v>43902.96130787037</v>
      </c>
      <c r="B4644" s="8" t="str">
        <f>HYPERLINK("https://twitter.com/HerfanRakapitan","@HerfanRakapitan")</f>
        <v>@HerfanRakapitan</v>
      </c>
      <c r="C4644" s="8" t="s">
        <v>2367</v>
      </c>
      <c r="D4644" s="8">
        <v>0</v>
      </c>
      <c r="E4644" s="8">
        <v>0</v>
      </c>
      <c r="F4644" s="8">
        <v>262</v>
      </c>
    </row>
    <row r="4645" spans="1:6" ht="12.75">
      <c r="A4645" s="8">
        <v>43902.960462962961</v>
      </c>
      <c r="B4645" s="8" t="str">
        <f>HYPERLINK("https://twitter.com/AbhiMrig","@AbhiMrig")</f>
        <v>@AbhiMrig</v>
      </c>
      <c r="C4645" s="8" t="s">
        <v>1195</v>
      </c>
      <c r="D4645" s="8">
        <v>2135</v>
      </c>
      <c r="E4645" s="8">
        <v>0</v>
      </c>
      <c r="F4645" s="8">
        <v>453</v>
      </c>
    </row>
    <row r="4646" spans="1:6" ht="12.75">
      <c r="A4646" s="8">
        <v>43902.960347222222</v>
      </c>
      <c r="B4646" s="8" t="str">
        <f>HYPERLINK("https://twitter.com/2vaibhavtiwari","@2vaibhavtiwari")</f>
        <v>@2vaibhavtiwari</v>
      </c>
      <c r="C4646" s="8" t="s">
        <v>1195</v>
      </c>
      <c r="D4646" s="8">
        <v>2135</v>
      </c>
      <c r="E4646" s="8">
        <v>0</v>
      </c>
      <c r="F4646" s="8">
        <v>410</v>
      </c>
    </row>
    <row r="4647" spans="1:6" ht="12.75">
      <c r="A4647" s="8">
        <v>43902.960266203707</v>
      </c>
      <c r="B4647" s="8" t="str">
        <f>HYPERLINK("https://twitter.com/ragumami1","@ragumami1")</f>
        <v>@ragumami1</v>
      </c>
      <c r="C4647" s="8" t="s">
        <v>1195</v>
      </c>
      <c r="D4647" s="8">
        <v>2135</v>
      </c>
      <c r="E4647" s="8">
        <v>0</v>
      </c>
      <c r="F4647" s="8">
        <v>71</v>
      </c>
    </row>
    <row r="4648" spans="1:6" ht="12.75">
      <c r="A4648" s="8">
        <v>43902.960092592592</v>
      </c>
      <c r="B4648" s="8" t="str">
        <f>HYPERLINK("https://twitter.com/PrimeSentient","@PrimeSentient")</f>
        <v>@PrimeSentient</v>
      </c>
      <c r="C4648" s="8" t="s">
        <v>1195</v>
      </c>
      <c r="D4648" s="8">
        <v>2135</v>
      </c>
      <c r="E4648" s="8">
        <v>0</v>
      </c>
      <c r="F4648" s="8">
        <v>15</v>
      </c>
    </row>
    <row r="4649" spans="1:6" ht="12.75">
      <c r="A4649" s="8">
        <v>43902.960046296299</v>
      </c>
      <c r="B4649" s="8" t="str">
        <f>HYPERLINK("https://twitter.com/boopv","@boopv")</f>
        <v>@boopv</v>
      </c>
      <c r="C4649" s="8" t="s">
        <v>1195</v>
      </c>
      <c r="D4649" s="8">
        <v>2135</v>
      </c>
      <c r="E4649" s="8">
        <v>0</v>
      </c>
      <c r="F4649" s="8">
        <v>99</v>
      </c>
    </row>
    <row r="4650" spans="1:6" ht="12.75">
      <c r="A4650" s="8">
        <v>43902.959953703699</v>
      </c>
      <c r="B4650" s="8" t="str">
        <f>HYPERLINK("https://twitter.com/hae_hb","@hae_hb")</f>
        <v>@hae_hb</v>
      </c>
      <c r="C4650" s="8" t="s">
        <v>2185</v>
      </c>
      <c r="D4650" s="8">
        <v>6</v>
      </c>
      <c r="E4650" s="8">
        <v>0</v>
      </c>
      <c r="F4650" s="8">
        <v>363</v>
      </c>
    </row>
    <row r="4651" spans="1:6" ht="12.75">
      <c r="A4651" s="8">
        <v>43902.959016203706</v>
      </c>
      <c r="B4651" s="8" t="str">
        <f>HYPERLINK("https://twitter.com/andessugiarto","@andessugiarto")</f>
        <v>@andessugiarto</v>
      </c>
      <c r="C4651" s="8" t="s">
        <v>2368</v>
      </c>
      <c r="D4651" s="8">
        <v>6</v>
      </c>
      <c r="E4651" s="8">
        <v>0</v>
      </c>
      <c r="F4651" s="8">
        <v>424</v>
      </c>
    </row>
    <row r="4652" spans="1:6" ht="12.75">
      <c r="A4652" s="8">
        <v>43902.958831018521</v>
      </c>
      <c r="B4652" s="8" t="str">
        <f>HYPERLINK("https://twitter.com/wongFFwong","@wongFFwong")</f>
        <v>@wongFFwong</v>
      </c>
      <c r="C4652" s="8" t="s">
        <v>2185</v>
      </c>
      <c r="D4652" s="8">
        <v>6</v>
      </c>
      <c r="E4652" s="8">
        <v>0</v>
      </c>
      <c r="F4652" s="8">
        <v>167</v>
      </c>
    </row>
    <row r="4653" spans="1:6" ht="12.75">
      <c r="A4653" s="8">
        <v>43902.95815972222</v>
      </c>
      <c r="B4653" s="8" t="str">
        <f>HYPERLINK("https://twitter.com/editya77","@editya77")</f>
        <v>@editya77</v>
      </c>
      <c r="C4653" s="8" t="s">
        <v>1919</v>
      </c>
      <c r="D4653" s="8">
        <v>8</v>
      </c>
      <c r="E4653" s="8">
        <v>0</v>
      </c>
      <c r="F4653" s="8">
        <v>857</v>
      </c>
    </row>
    <row r="4654" spans="1:6" ht="12.75">
      <c r="A4654" s="8">
        <v>43902.958009259259</v>
      </c>
      <c r="B4654" s="8" t="str">
        <f>HYPERLINK("https://twitter.com/SURABAYAinLOVE","@SURABAYAinLOVE")</f>
        <v>@SURABAYAinLOVE</v>
      </c>
      <c r="C4654" s="8" t="s">
        <v>2369</v>
      </c>
      <c r="D4654" s="8">
        <v>8</v>
      </c>
      <c r="E4654" s="8">
        <v>0</v>
      </c>
      <c r="F4654" s="8">
        <v>16</v>
      </c>
    </row>
    <row r="4655" spans="1:6" ht="12.75">
      <c r="A4655" s="8">
        <v>43902.95789351852</v>
      </c>
      <c r="B4655" s="8" t="str">
        <f>HYPERLINK("https://twitter.com/zombieekilerr","@zombieekilerr")</f>
        <v>@zombieekilerr</v>
      </c>
      <c r="C4655" s="8" t="s">
        <v>1195</v>
      </c>
      <c r="D4655" s="8">
        <v>2135</v>
      </c>
      <c r="E4655" s="8">
        <v>0</v>
      </c>
      <c r="F4655" s="8">
        <v>147</v>
      </c>
    </row>
    <row r="4656" spans="1:6" ht="12.75">
      <c r="A4656" s="8">
        <v>43902.957673611112</v>
      </c>
      <c r="B4656" s="8" t="str">
        <f>HYPERLINK("https://twitter.com/fairylight_____","@fairylight_____")</f>
        <v>@fairylight_____</v>
      </c>
      <c r="C4656" s="8" t="s">
        <v>1919</v>
      </c>
      <c r="D4656" s="8">
        <v>8</v>
      </c>
      <c r="E4656" s="8">
        <v>0</v>
      </c>
      <c r="F4656" s="8">
        <v>164</v>
      </c>
    </row>
    <row r="4657" spans="1:6" ht="12.75">
      <c r="A4657" s="8">
        <v>43902.957256944443</v>
      </c>
      <c r="B4657" s="8" t="str">
        <f>HYPERLINK("https://twitter.com/chilahuakaila","@chilahuakaila")</f>
        <v>@chilahuakaila</v>
      </c>
      <c r="C4657" s="8" t="s">
        <v>1195</v>
      </c>
      <c r="D4657" s="8">
        <v>2135</v>
      </c>
      <c r="E4657" s="8">
        <v>0</v>
      </c>
      <c r="F4657" s="8">
        <v>848</v>
      </c>
    </row>
    <row r="4658" spans="1:6" ht="12.75">
      <c r="A4658" s="8">
        <v>43902.95721064815</v>
      </c>
      <c r="B4658" s="8" t="str">
        <f>HYPERLINK("https://twitter.com/solitudelivings","@solitudelivings")</f>
        <v>@solitudelivings</v>
      </c>
      <c r="C4658" s="8" t="s">
        <v>1195</v>
      </c>
      <c r="D4658" s="8">
        <v>2135</v>
      </c>
      <c r="E4658" s="8">
        <v>0</v>
      </c>
      <c r="F4658" s="8">
        <v>205</v>
      </c>
    </row>
    <row r="4659" spans="1:6" ht="12.75">
      <c r="A4659" s="8">
        <v>43902.95684027778</v>
      </c>
      <c r="B4659" s="8" t="str">
        <f t="shared" ref="B4659:B4660" si="85">HYPERLINK("https://twitter.com/Aatish00959462","@Aatish00959462")</f>
        <v>@Aatish00959462</v>
      </c>
      <c r="C4659" s="8" t="s">
        <v>1808</v>
      </c>
      <c r="D4659" s="8">
        <v>924</v>
      </c>
      <c r="E4659" s="8">
        <v>0</v>
      </c>
      <c r="F4659" s="8">
        <v>112</v>
      </c>
    </row>
    <row r="4660" spans="1:6" ht="12.75">
      <c r="A4660" s="8">
        <v>43902.956712962958</v>
      </c>
      <c r="B4660" s="8" t="str">
        <f t="shared" si="85"/>
        <v>@Aatish00959462</v>
      </c>
      <c r="C4660" s="8" t="s">
        <v>1195</v>
      </c>
      <c r="D4660" s="8">
        <v>2135</v>
      </c>
      <c r="E4660" s="8">
        <v>0</v>
      </c>
      <c r="F4660" s="8">
        <v>112</v>
      </c>
    </row>
    <row r="4661" spans="1:6" ht="12.75">
      <c r="A4661" s="8">
        <v>43902.956643518519</v>
      </c>
      <c r="B4661" s="8" t="str">
        <f>HYPERLINK("https://twitter.com/ddeaaaaaaaaaa","@ddeaaaaaaaaaa")</f>
        <v>@ddeaaaaaaaaaa</v>
      </c>
      <c r="C4661" s="8" t="s">
        <v>2370</v>
      </c>
      <c r="D4661" s="8">
        <v>0</v>
      </c>
      <c r="E4661" s="8">
        <v>1</v>
      </c>
      <c r="F4661" s="8">
        <v>2856</v>
      </c>
    </row>
    <row r="4662" spans="1:6" ht="12.75">
      <c r="A4662" s="8">
        <v>43902.956377314811</v>
      </c>
      <c r="B4662" s="8" t="str">
        <f>HYPERLINK("https://twitter.com/debs3639","@debs3639")</f>
        <v>@debs3639</v>
      </c>
      <c r="C4662" s="8" t="s">
        <v>1195</v>
      </c>
      <c r="D4662" s="8">
        <v>2135</v>
      </c>
      <c r="E4662" s="8">
        <v>0</v>
      </c>
      <c r="F4662" s="8">
        <v>258</v>
      </c>
    </row>
    <row r="4663" spans="1:6" ht="12.75">
      <c r="A4663" s="8">
        <v>43902.956342592588</v>
      </c>
      <c r="B4663" s="8" t="str">
        <f>HYPERLINK("https://twitter.com/99Ohhani","@99Ohhani")</f>
        <v>@99Ohhani</v>
      </c>
      <c r="C4663" s="8" t="s">
        <v>2371</v>
      </c>
      <c r="D4663" s="8">
        <v>1</v>
      </c>
      <c r="E4663" s="8">
        <v>0</v>
      </c>
      <c r="F4663" s="8">
        <v>1341</v>
      </c>
    </row>
    <row r="4664" spans="1:6" ht="12.75">
      <c r="A4664" s="8">
        <v>43902.956238425926</v>
      </c>
      <c r="B4664" s="8" t="str">
        <f>HYPERLINK("https://twitter.com/Grimaldyharris","@Grimaldyharris")</f>
        <v>@Grimaldyharris</v>
      </c>
      <c r="C4664" s="8" t="s">
        <v>1302</v>
      </c>
      <c r="D4664" s="8">
        <v>4</v>
      </c>
      <c r="E4664" s="8">
        <v>0</v>
      </c>
      <c r="F4664" s="8">
        <v>358</v>
      </c>
    </row>
    <row r="4665" spans="1:6" ht="12.75">
      <c r="A4665" s="8">
        <v>43902.95621527778</v>
      </c>
      <c r="B4665" s="8" t="str">
        <f>HYPERLINK("https://twitter.com/D4Rambe","@D4Rambe")</f>
        <v>@D4Rambe</v>
      </c>
      <c r="C4665" s="8" t="s">
        <v>2372</v>
      </c>
      <c r="D4665" s="8">
        <v>0</v>
      </c>
      <c r="E4665" s="8">
        <v>0</v>
      </c>
      <c r="F4665" s="8">
        <v>207</v>
      </c>
    </row>
    <row r="4666" spans="1:6" ht="12.75">
      <c r="A4666" s="8">
        <v>43902.956157407403</v>
      </c>
      <c r="B4666" s="8" t="str">
        <f>HYPERLINK("https://twitter.com/yashahshree","@yashahshree")</f>
        <v>@yashahshree</v>
      </c>
      <c r="C4666" s="8" t="s">
        <v>1195</v>
      </c>
      <c r="D4666" s="8">
        <v>2135</v>
      </c>
      <c r="E4666" s="8">
        <v>0</v>
      </c>
      <c r="F4666" s="8">
        <v>123</v>
      </c>
    </row>
    <row r="4667" spans="1:6" ht="12.75">
      <c r="A4667" s="8">
        <v>43902.956041666665</v>
      </c>
      <c r="B4667" s="8" t="str">
        <f>HYPERLINK("https://twitter.com/lukisaepul","@lukisaepul")</f>
        <v>@lukisaepul</v>
      </c>
      <c r="C4667" s="8" t="s">
        <v>1758</v>
      </c>
      <c r="D4667" s="8">
        <v>87</v>
      </c>
      <c r="E4667" s="8">
        <v>0</v>
      </c>
      <c r="F4667" s="8">
        <v>793</v>
      </c>
    </row>
    <row r="4668" spans="1:6" ht="12.75">
      <c r="A4668" s="8">
        <v>43902.955752314811</v>
      </c>
      <c r="B4668" s="8" t="str">
        <f>HYPERLINK("https://twitter.com/yasminao89","@yasminao89")</f>
        <v>@yasminao89</v>
      </c>
      <c r="C4668" s="8" t="s">
        <v>1195</v>
      </c>
      <c r="D4668" s="8">
        <v>2135</v>
      </c>
      <c r="E4668" s="8">
        <v>0</v>
      </c>
      <c r="F4668" s="8">
        <v>160</v>
      </c>
    </row>
    <row r="4669" spans="1:6" ht="12.75">
      <c r="A4669" s="8">
        <v>43902.955532407403</v>
      </c>
      <c r="B4669" s="8" t="str">
        <f>HYPERLINK("https://twitter.com/bringas3006","@bringas3006")</f>
        <v>@bringas3006</v>
      </c>
      <c r="C4669" s="8" t="s">
        <v>2373</v>
      </c>
      <c r="D4669" s="8">
        <v>0</v>
      </c>
      <c r="E4669" s="8">
        <v>0</v>
      </c>
      <c r="F4669" s="8">
        <v>8989</v>
      </c>
    </row>
    <row r="4670" spans="1:6" ht="12.75">
      <c r="A4670" s="8">
        <v>43902.955509259264</v>
      </c>
      <c r="B4670" s="8" t="str">
        <f>HYPERLINK("https://twitter.com/oposisi2017","@oposisi2017")</f>
        <v>@oposisi2017</v>
      </c>
      <c r="C4670" s="8" t="s">
        <v>1919</v>
      </c>
      <c r="D4670" s="8">
        <v>8</v>
      </c>
      <c r="E4670" s="8">
        <v>0</v>
      </c>
      <c r="F4670" s="8">
        <v>228</v>
      </c>
    </row>
    <row r="4671" spans="1:6" ht="12.75">
      <c r="A4671" s="8">
        <v>43902.955266203702</v>
      </c>
      <c r="B4671" s="8" t="str">
        <f>HYPERLINK("https://twitter.com/DebiKurnia22","@DebiKurnia22")</f>
        <v>@DebiKurnia22</v>
      </c>
      <c r="C4671" s="8" t="s">
        <v>2374</v>
      </c>
      <c r="D4671" s="8">
        <v>1</v>
      </c>
      <c r="E4671" s="8">
        <v>0</v>
      </c>
      <c r="F4671" s="8">
        <v>316</v>
      </c>
    </row>
    <row r="4672" spans="1:6" ht="12.75">
      <c r="A4672" s="8">
        <v>43902.954942129625</v>
      </c>
      <c r="B4672" s="8" t="str">
        <f>HYPERLINK("https://twitter.com/V_Stone_Kardol","@V_Stone_Kardol")</f>
        <v>@V_Stone_Kardol</v>
      </c>
      <c r="C4672" s="8" t="s">
        <v>1919</v>
      </c>
      <c r="D4672" s="8">
        <v>8</v>
      </c>
      <c r="E4672" s="8">
        <v>0</v>
      </c>
      <c r="F4672" s="8">
        <v>8437</v>
      </c>
    </row>
    <row r="4673" spans="1:6" ht="12.75">
      <c r="A4673" s="8">
        <v>43902.95484953704</v>
      </c>
      <c r="B4673" s="8" t="str">
        <f>HYPERLINK("https://twitter.com/TapashishC","@TapashishC")</f>
        <v>@TapashishC</v>
      </c>
      <c r="C4673" s="8" t="s">
        <v>1195</v>
      </c>
      <c r="D4673" s="8">
        <v>2135</v>
      </c>
      <c r="E4673" s="8">
        <v>0</v>
      </c>
      <c r="F4673" s="8">
        <v>449</v>
      </c>
    </row>
    <row r="4674" spans="1:6" ht="12.75">
      <c r="A4674" s="8">
        <v>43902.954189814816</v>
      </c>
      <c r="B4674" s="8" t="str">
        <f>HYPERLINK("https://twitter.com/dexca_marta","@dexca_marta")</f>
        <v>@dexca_marta</v>
      </c>
      <c r="C4674" s="8" t="s">
        <v>165</v>
      </c>
      <c r="D4674" s="8">
        <v>125</v>
      </c>
      <c r="E4674" s="8">
        <v>0</v>
      </c>
      <c r="F4674" s="8">
        <v>2105</v>
      </c>
    </row>
    <row r="4675" spans="1:6" ht="12.75">
      <c r="A4675" s="8">
        <v>43902.954074074078</v>
      </c>
      <c r="B4675" s="8" t="str">
        <f>HYPERLINK("https://twitter.com/Mulia07094480","@Mulia07094480")</f>
        <v>@Mulia07094480</v>
      </c>
      <c r="C4675" s="8" t="s">
        <v>1919</v>
      </c>
      <c r="D4675" s="8">
        <v>8</v>
      </c>
      <c r="E4675" s="8">
        <v>0</v>
      </c>
      <c r="F4675" s="8">
        <v>773</v>
      </c>
    </row>
    <row r="4676" spans="1:6" ht="12.75">
      <c r="A4676" s="8">
        <v>43902.953981481478</v>
      </c>
      <c r="B4676" s="8" t="str">
        <f>HYPERLINK("https://twitter.com/DiniHrdianti","@DiniHrdianti")</f>
        <v>@DiniHrdianti</v>
      </c>
      <c r="C4676" s="8" t="s">
        <v>1919</v>
      </c>
      <c r="D4676" s="8">
        <v>8</v>
      </c>
      <c r="E4676" s="8">
        <v>0</v>
      </c>
      <c r="F4676" s="8">
        <v>2609</v>
      </c>
    </row>
    <row r="4677" spans="1:6" ht="12.75">
      <c r="A4677" s="8">
        <v>43902.953634259262</v>
      </c>
      <c r="B4677" s="8" t="str">
        <f>HYPERLINK("https://twitter.com/gowestmor","@gowestmor")</f>
        <v>@gowestmor</v>
      </c>
      <c r="C4677" s="8" t="s">
        <v>1758</v>
      </c>
      <c r="D4677" s="8">
        <v>87</v>
      </c>
      <c r="E4677" s="8">
        <v>0</v>
      </c>
      <c r="F4677" s="8">
        <v>1589</v>
      </c>
    </row>
    <row r="4678" spans="1:6" ht="12.75">
      <c r="A4678" s="8">
        <v>43902.953425925924</v>
      </c>
      <c r="B4678" s="8" t="str">
        <f>HYPERLINK("https://twitter.com/chandan9519","@chandan9519")</f>
        <v>@chandan9519</v>
      </c>
      <c r="C4678" s="8" t="s">
        <v>1195</v>
      </c>
      <c r="D4678" s="8">
        <v>2135</v>
      </c>
      <c r="E4678" s="8">
        <v>0</v>
      </c>
      <c r="F4678" s="8">
        <v>181</v>
      </c>
    </row>
    <row r="4679" spans="1:6" ht="12.75">
      <c r="A4679" s="8">
        <v>43902.953414351854</v>
      </c>
      <c r="B4679" s="8" t="str">
        <f>HYPERLINK("https://twitter.com/koushik1012","@koushik1012")</f>
        <v>@koushik1012</v>
      </c>
      <c r="C4679" s="8" t="s">
        <v>2375</v>
      </c>
      <c r="D4679" s="8">
        <v>0</v>
      </c>
      <c r="E4679" s="8">
        <v>0</v>
      </c>
      <c r="F4679" s="8">
        <v>7</v>
      </c>
    </row>
    <row r="4680" spans="1:6" ht="12.75">
      <c r="A4680" s="8">
        <v>43902.953310185185</v>
      </c>
      <c r="B4680" s="8" t="str">
        <f>HYPERLINK("https://twitter.com/vivekdshetty","@vivekdshetty")</f>
        <v>@vivekdshetty</v>
      </c>
      <c r="C4680" s="8" t="s">
        <v>1195</v>
      </c>
      <c r="D4680" s="8">
        <v>2135</v>
      </c>
      <c r="E4680" s="8">
        <v>0</v>
      </c>
      <c r="F4680" s="8">
        <v>103</v>
      </c>
    </row>
    <row r="4681" spans="1:6" ht="12.75">
      <c r="A4681" s="8">
        <v>43902.953217592592</v>
      </c>
      <c r="B4681" s="8" t="str">
        <f>HYPERLINK("https://twitter.com/halim______","@halim______")</f>
        <v>@halim______</v>
      </c>
      <c r="C4681" s="8" t="s">
        <v>2376</v>
      </c>
      <c r="D4681" s="8">
        <v>3</v>
      </c>
      <c r="E4681" s="8">
        <v>0</v>
      </c>
      <c r="F4681" s="8">
        <v>1339</v>
      </c>
    </row>
    <row r="4682" spans="1:6" ht="12.75">
      <c r="A4682" s="8">
        <v>43902.95313657407</v>
      </c>
      <c r="B4682" s="8" t="str">
        <f>HYPERLINK("https://twitter.com/P3nj3l4j4h_id","@P3nj3l4j4h_id")</f>
        <v>@P3nj3l4j4h_id</v>
      </c>
      <c r="C4682" s="8" t="s">
        <v>2377</v>
      </c>
      <c r="D4682" s="8">
        <v>8</v>
      </c>
      <c r="E4682" s="8">
        <v>13</v>
      </c>
      <c r="F4682" s="8">
        <v>16691</v>
      </c>
    </row>
    <row r="4683" spans="1:6" ht="12.75">
      <c r="A4683" s="8">
        <v>43902.953078703707</v>
      </c>
      <c r="B4683" s="8" t="str">
        <f>HYPERLINK("https://twitter.com/ramafadillaa","@ramafadillaa")</f>
        <v>@ramafadillaa</v>
      </c>
      <c r="C4683" s="8" t="s">
        <v>440</v>
      </c>
      <c r="D4683" s="8">
        <v>120</v>
      </c>
      <c r="E4683" s="8">
        <v>0</v>
      </c>
      <c r="F4683" s="8">
        <v>131</v>
      </c>
    </row>
    <row r="4684" spans="1:6" ht="12.75">
      <c r="A4684" s="8">
        <v>43902.9528125</v>
      </c>
      <c r="B4684" s="8" t="str">
        <f>HYPERLINK("https://twitter.com/ijeLhan","@ijeLhan")</f>
        <v>@ijeLhan</v>
      </c>
      <c r="C4684" s="8" t="s">
        <v>2378</v>
      </c>
      <c r="D4684" s="8">
        <v>0</v>
      </c>
      <c r="E4684" s="8">
        <v>0</v>
      </c>
      <c r="F4684" s="8">
        <v>233</v>
      </c>
    </row>
    <row r="4685" spans="1:6" ht="12.75">
      <c r="A4685" s="8">
        <v>43902.95275462963</v>
      </c>
      <c r="B4685" s="8" t="str">
        <f>HYPERLINK("https://twitter.com/xZhua","@xZhua")</f>
        <v>@xZhua</v>
      </c>
      <c r="C4685" s="8" t="s">
        <v>1030</v>
      </c>
      <c r="D4685" s="8">
        <v>167</v>
      </c>
      <c r="E4685" s="8">
        <v>0</v>
      </c>
      <c r="F4685" s="8">
        <v>87</v>
      </c>
    </row>
    <row r="4686" spans="1:6" ht="12.75">
      <c r="A4686" s="8">
        <v>43902.952407407407</v>
      </c>
      <c r="B4686" s="8" t="str">
        <f t="shared" ref="B4686:B4687" si="86">HYPERLINK("https://twitter.com/wiwikherma","@wiwikherma")</f>
        <v>@wiwikherma</v>
      </c>
      <c r="C4686" s="8" t="s">
        <v>2379</v>
      </c>
      <c r="D4686" s="8">
        <v>0</v>
      </c>
      <c r="E4686" s="8">
        <v>3</v>
      </c>
      <c r="F4686" s="8">
        <v>12800</v>
      </c>
    </row>
    <row r="4687" spans="1:6" ht="12.75">
      <c r="A4687" s="8">
        <v>43902.952326388884</v>
      </c>
      <c r="B4687" s="8" t="str">
        <f t="shared" si="86"/>
        <v>@wiwikherma</v>
      </c>
      <c r="C4687" s="8" t="s">
        <v>2380</v>
      </c>
      <c r="D4687" s="8">
        <v>1</v>
      </c>
      <c r="E4687" s="8">
        <v>0</v>
      </c>
      <c r="F4687" s="8">
        <v>12800</v>
      </c>
    </row>
    <row r="4688" spans="1:6" ht="12.75">
      <c r="A4688" s="8">
        <v>43902.952002314814</v>
      </c>
      <c r="B4688" s="8" t="str">
        <f>HYPERLINK("https://twitter.com/interlokalhost","@interlokalhost")</f>
        <v>@interlokalhost</v>
      </c>
      <c r="C4688" s="8" t="s">
        <v>440</v>
      </c>
      <c r="D4688" s="8">
        <v>120</v>
      </c>
      <c r="E4688" s="8">
        <v>0</v>
      </c>
      <c r="F4688" s="8">
        <v>204</v>
      </c>
    </row>
    <row r="4689" spans="1:6" ht="12.75">
      <c r="A4689" s="8">
        <v>43902.951921296291</v>
      </c>
      <c r="B4689" s="8" t="str">
        <f>HYPERLINK("https://twitter.com/prasad_sumit_","@prasad_sumit_")</f>
        <v>@prasad_sumit_</v>
      </c>
      <c r="C4689" s="8" t="s">
        <v>1808</v>
      </c>
      <c r="D4689" s="8">
        <v>924</v>
      </c>
      <c r="E4689" s="8">
        <v>0</v>
      </c>
      <c r="F4689" s="8">
        <v>97</v>
      </c>
    </row>
    <row r="4690" spans="1:6" ht="12.75">
      <c r="A4690" s="8">
        <v>43902.951793981483</v>
      </c>
      <c r="B4690" s="8" t="str">
        <f>HYPERLINK("https://twitter.com/herik3rn","@herik3rn")</f>
        <v>@herik3rn</v>
      </c>
      <c r="C4690" s="8" t="s">
        <v>2381</v>
      </c>
      <c r="D4690" s="8">
        <v>1</v>
      </c>
      <c r="E4690" s="8">
        <v>0</v>
      </c>
      <c r="F4690" s="8">
        <v>69</v>
      </c>
    </row>
    <row r="4691" spans="1:6" ht="12.75">
      <c r="A4691" s="8">
        <v>43902.951747685191</v>
      </c>
      <c r="B4691" s="8" t="str">
        <f>HYPERLINK("https://twitter.com/prasad_sumit_","@prasad_sumit_")</f>
        <v>@prasad_sumit_</v>
      </c>
      <c r="C4691" s="8" t="s">
        <v>1195</v>
      </c>
      <c r="D4691" s="8">
        <v>2135</v>
      </c>
      <c r="E4691" s="8">
        <v>0</v>
      </c>
      <c r="F4691" s="8">
        <v>97</v>
      </c>
    </row>
    <row r="4692" spans="1:6" ht="12.75">
      <c r="A4692" s="8">
        <v>43902.951516203699</v>
      </c>
      <c r="B4692" s="8" t="str">
        <f>HYPERLINK("https://twitter.com/idntimes","@idntimes")</f>
        <v>@idntimes</v>
      </c>
      <c r="C4692" s="8" t="s">
        <v>2382</v>
      </c>
      <c r="D4692" s="8">
        <v>0</v>
      </c>
      <c r="E4692" s="8">
        <v>1</v>
      </c>
      <c r="F4692" s="8">
        <v>394544</v>
      </c>
    </row>
    <row r="4693" spans="1:6" ht="12.75">
      <c r="A4693" s="8">
        <v>43902.951180555552</v>
      </c>
      <c r="B4693" s="8" t="str">
        <f>HYPERLINK("https://twitter.com/RangCebol","@RangCebol")</f>
        <v>@RangCebol</v>
      </c>
      <c r="C4693" s="8" t="s">
        <v>2383</v>
      </c>
      <c r="D4693" s="8">
        <v>1</v>
      </c>
      <c r="E4693" s="8">
        <v>1</v>
      </c>
      <c r="F4693" s="8">
        <v>22</v>
      </c>
    </row>
    <row r="4694" spans="1:6" ht="12.75">
      <c r="A4694" s="8">
        <v>43902.950856481482</v>
      </c>
      <c r="B4694" s="8" t="str">
        <f>HYPERLINK("https://twitter.com/ddeaaaaaaaaaa","@ddeaaaaaaaaaa")</f>
        <v>@ddeaaaaaaaaaa</v>
      </c>
      <c r="C4694" s="8" t="s">
        <v>2384</v>
      </c>
      <c r="D4694" s="8">
        <v>0</v>
      </c>
      <c r="E4694" s="8">
        <v>0</v>
      </c>
      <c r="F4694" s="8">
        <v>2856</v>
      </c>
    </row>
    <row r="4695" spans="1:6" ht="12.75">
      <c r="A4695" s="8">
        <v>43902.950752314813</v>
      </c>
      <c r="B4695" s="8" t="str">
        <f>HYPERLINK("https://twitter.com/william_ghozali","@william_ghozali")</f>
        <v>@william_ghozali</v>
      </c>
      <c r="C4695" s="8" t="s">
        <v>289</v>
      </c>
      <c r="D4695" s="8">
        <v>64</v>
      </c>
      <c r="E4695" s="8">
        <v>0</v>
      </c>
      <c r="F4695" s="8">
        <v>89</v>
      </c>
    </row>
    <row r="4696" spans="1:6" ht="12.75">
      <c r="A4696" s="8">
        <v>43902.950740740736</v>
      </c>
      <c r="B4696" s="8" t="str">
        <f>HYPERLINK("https://twitter.com/pj21666","@pj21666")</f>
        <v>@pj21666</v>
      </c>
      <c r="C4696" s="8" t="s">
        <v>1195</v>
      </c>
      <c r="D4696" s="8">
        <v>2135</v>
      </c>
      <c r="E4696" s="8">
        <v>0</v>
      </c>
      <c r="F4696" s="8">
        <v>1246</v>
      </c>
    </row>
    <row r="4697" spans="1:6" ht="12.75">
      <c r="A4697" s="8">
        <v>43902.950729166667</v>
      </c>
      <c r="B4697" s="8" t="str">
        <f>HYPERLINK("https://twitter.com/heklnst","@heklnst")</f>
        <v>@heklnst</v>
      </c>
      <c r="C4697" s="8" t="s">
        <v>440</v>
      </c>
      <c r="D4697" s="8">
        <v>120</v>
      </c>
      <c r="E4697" s="8">
        <v>0</v>
      </c>
      <c r="F4697" s="8">
        <v>559</v>
      </c>
    </row>
    <row r="4698" spans="1:6" ht="12.75">
      <c r="A4698" s="8">
        <v>43902.950104166666</v>
      </c>
      <c r="B4698" s="8" t="str">
        <f>HYPERLINK("https://twitter.com/distijo","@distijo")</f>
        <v>@distijo</v>
      </c>
      <c r="C4698" s="8" t="s">
        <v>440</v>
      </c>
      <c r="D4698" s="8">
        <v>120</v>
      </c>
      <c r="E4698" s="8">
        <v>0</v>
      </c>
      <c r="F4698" s="8">
        <v>452</v>
      </c>
    </row>
    <row r="4699" spans="1:6" ht="12.75">
      <c r="A4699" s="8">
        <v>43902.949432870373</v>
      </c>
      <c r="B4699" s="8" t="str">
        <f>HYPERLINK("https://twitter.com/kampulkampul741","@kampulkampul741")</f>
        <v>@kampulkampul741</v>
      </c>
      <c r="C4699" s="8" t="s">
        <v>1758</v>
      </c>
      <c r="D4699" s="8">
        <v>87</v>
      </c>
      <c r="E4699" s="8">
        <v>0</v>
      </c>
      <c r="F4699" s="8">
        <v>20</v>
      </c>
    </row>
    <row r="4700" spans="1:6" ht="12.75">
      <c r="A4700" s="8">
        <v>43902.949074074073</v>
      </c>
      <c r="B4700" s="8" t="str">
        <f>HYPERLINK("https://twitter.com/gaur_jyoti","@gaur_jyoti")</f>
        <v>@gaur_jyoti</v>
      </c>
      <c r="C4700" s="8" t="s">
        <v>1195</v>
      </c>
      <c r="D4700" s="8">
        <v>2135</v>
      </c>
      <c r="E4700" s="8">
        <v>0</v>
      </c>
      <c r="F4700" s="8">
        <v>385</v>
      </c>
    </row>
    <row r="4701" spans="1:6" ht="12.75">
      <c r="A4701" s="8">
        <v>43902.948749999996</v>
      </c>
      <c r="B4701" s="8" t="str">
        <f>HYPERLINK("https://twitter.com/navalrampandit","@navalrampandit")</f>
        <v>@navalrampandit</v>
      </c>
      <c r="C4701" s="8" t="s">
        <v>1195</v>
      </c>
      <c r="D4701" s="8">
        <v>2135</v>
      </c>
      <c r="E4701" s="8">
        <v>0</v>
      </c>
      <c r="F4701" s="8">
        <v>189</v>
      </c>
    </row>
    <row r="4702" spans="1:6" ht="12.75">
      <c r="A4702" s="8">
        <v>43902.948564814811</v>
      </c>
      <c r="B4702" s="8" t="str">
        <f>HYPERLINK("https://twitter.com/santidewi888","@santidewi888")</f>
        <v>@santidewi888</v>
      </c>
      <c r="C4702" s="8" t="s">
        <v>2385</v>
      </c>
      <c r="D4702" s="8">
        <v>0</v>
      </c>
      <c r="E4702" s="8">
        <v>0</v>
      </c>
      <c r="F4702" s="8">
        <v>723</v>
      </c>
    </row>
    <row r="4703" spans="1:6" ht="12.75">
      <c r="A4703" s="8">
        <v>43902.948171296295</v>
      </c>
      <c r="B4703" s="8" t="str">
        <f>HYPERLINK("https://twitter.com/nksingh89","@nksingh89")</f>
        <v>@nksingh89</v>
      </c>
      <c r="C4703" s="8" t="s">
        <v>1195</v>
      </c>
      <c r="D4703" s="8">
        <v>2135</v>
      </c>
      <c r="E4703" s="8">
        <v>0</v>
      </c>
      <c r="F4703" s="8">
        <v>82</v>
      </c>
    </row>
    <row r="4704" spans="1:6" ht="12.75">
      <c r="A4704" s="8">
        <v>43902.94804398148</v>
      </c>
      <c r="B4704" s="8" t="str">
        <f>HYPERLINK("https://twitter.com/RobetDeNiru","@RobetDeNiru")</f>
        <v>@RobetDeNiru</v>
      </c>
      <c r="C4704" s="8" t="s">
        <v>289</v>
      </c>
      <c r="D4704" s="8">
        <v>64</v>
      </c>
      <c r="E4704" s="8">
        <v>0</v>
      </c>
      <c r="F4704" s="8">
        <v>139</v>
      </c>
    </row>
    <row r="4705" spans="1:6" ht="12.75">
      <c r="A4705" s="8">
        <v>43902.947256944448</v>
      </c>
      <c r="B4705" s="8" t="str">
        <f>HYPERLINK("https://twitter.com/berhijabmerah","@berhijabmerah")</f>
        <v>@berhijabmerah</v>
      </c>
      <c r="C4705" s="8" t="s">
        <v>440</v>
      </c>
      <c r="D4705" s="8">
        <v>120</v>
      </c>
      <c r="E4705" s="8">
        <v>0</v>
      </c>
      <c r="F4705" s="8">
        <v>2182</v>
      </c>
    </row>
    <row r="4706" spans="1:6" ht="12.75">
      <c r="A4706" s="8">
        <v>43902.947245370371</v>
      </c>
      <c r="B4706" s="8" t="str">
        <f>HYPERLINK("https://twitter.com/Sath_rwr","@Sath_rwr")</f>
        <v>@Sath_rwr</v>
      </c>
      <c r="C4706" s="8" t="s">
        <v>1826</v>
      </c>
      <c r="D4706" s="8">
        <v>1</v>
      </c>
      <c r="E4706" s="8">
        <v>0</v>
      </c>
      <c r="F4706" s="8">
        <v>6</v>
      </c>
    </row>
    <row r="4707" spans="1:6" ht="12.75">
      <c r="A4707" s="8">
        <v>43902.946782407409</v>
      </c>
      <c r="B4707" s="8" t="str">
        <f>HYPERLINK("https://twitter.com/bielboleh","@bielboleh")</f>
        <v>@bielboleh</v>
      </c>
      <c r="C4707" s="8" t="s">
        <v>440</v>
      </c>
      <c r="D4707" s="8">
        <v>120</v>
      </c>
      <c r="E4707" s="8">
        <v>0</v>
      </c>
      <c r="F4707" s="8">
        <v>257</v>
      </c>
    </row>
    <row r="4708" spans="1:6" ht="12.75">
      <c r="A4708" s="8">
        <v>43902.946759259255</v>
      </c>
      <c r="B4708" s="8" t="str">
        <f>HYPERLINK("https://twitter.com/awicaksono","@awicaksono")</f>
        <v>@awicaksono</v>
      </c>
      <c r="C4708" s="8" t="s">
        <v>1569</v>
      </c>
      <c r="D4708" s="8">
        <v>32</v>
      </c>
      <c r="E4708" s="8">
        <v>0</v>
      </c>
      <c r="F4708" s="8">
        <v>619</v>
      </c>
    </row>
    <row r="4709" spans="1:6" ht="12.75">
      <c r="A4709" s="8">
        <v>43902.946747685186</v>
      </c>
      <c r="B4709" s="8" t="str">
        <f>HYPERLINK("https://twitter.com/Irawan7476","@Irawan7476")</f>
        <v>@Irawan7476</v>
      </c>
      <c r="C4709" s="8" t="s">
        <v>2386</v>
      </c>
      <c r="D4709" s="8">
        <v>0</v>
      </c>
      <c r="E4709" s="8">
        <v>0</v>
      </c>
      <c r="F4709" s="8">
        <v>4</v>
      </c>
    </row>
    <row r="4710" spans="1:6" ht="12.75">
      <c r="A4710" s="8">
        <v>43902.946643518517</v>
      </c>
      <c r="B4710" s="8" t="str">
        <f>HYPERLINK("https://twitter.com/AnanySh13632445","@AnanySh13632445")</f>
        <v>@AnanySh13632445</v>
      </c>
      <c r="C4710" s="8" t="s">
        <v>1957</v>
      </c>
      <c r="D4710" s="8">
        <v>1543</v>
      </c>
      <c r="E4710" s="8">
        <v>0</v>
      </c>
      <c r="F4710" s="8">
        <v>17</v>
      </c>
    </row>
    <row r="4711" spans="1:6" ht="12.75">
      <c r="A4711" s="8">
        <v>43902.946574074071</v>
      </c>
      <c r="B4711" s="8" t="str">
        <f>HYPERLINK("https://twitter.com/AmitSha77461530","@AmitSha77461530")</f>
        <v>@AmitSha77461530</v>
      </c>
      <c r="C4711" s="8" t="s">
        <v>1195</v>
      </c>
      <c r="D4711" s="8">
        <v>2135</v>
      </c>
      <c r="E4711" s="8">
        <v>0</v>
      </c>
      <c r="F4711" s="8">
        <v>3785</v>
      </c>
    </row>
    <row r="4712" spans="1:6" ht="12.75">
      <c r="A4712" s="8">
        <v>43902.946574074071</v>
      </c>
      <c r="B4712" s="8" t="str">
        <f>HYPERLINK("https://twitter.com/varmatansn","@varmatansn")</f>
        <v>@varmatansn</v>
      </c>
      <c r="C4712" s="8" t="s">
        <v>1195</v>
      </c>
      <c r="D4712" s="8">
        <v>2135</v>
      </c>
      <c r="E4712" s="8">
        <v>0</v>
      </c>
      <c r="F4712" s="8">
        <v>143</v>
      </c>
    </row>
    <row r="4713" spans="1:6" ht="12.75">
      <c r="A4713" s="8">
        <v>43902.946493055555</v>
      </c>
      <c r="B4713" s="8" t="str">
        <f>HYPERLINK("https://twitter.com/ngonlain","@ngonlain")</f>
        <v>@ngonlain</v>
      </c>
      <c r="C4713" s="8" t="s">
        <v>2185</v>
      </c>
      <c r="D4713" s="8">
        <v>6</v>
      </c>
      <c r="E4713" s="8">
        <v>0</v>
      </c>
      <c r="F4713" s="8">
        <v>2642</v>
      </c>
    </row>
    <row r="4714" spans="1:6" ht="12.75">
      <c r="A4714" s="8">
        <v>43902.946423611109</v>
      </c>
      <c r="B4714" s="8" t="str">
        <f>HYPERLINK("https://twitter.com/ranjanabhish1","@ranjanabhish1")</f>
        <v>@ranjanabhish1</v>
      </c>
      <c r="C4714" s="8" t="s">
        <v>1195</v>
      </c>
      <c r="D4714" s="8">
        <v>2135</v>
      </c>
      <c r="E4714" s="8">
        <v>0</v>
      </c>
      <c r="F4714" s="8">
        <v>109</v>
      </c>
    </row>
    <row r="4715" spans="1:6" ht="12.75">
      <c r="A4715" s="8">
        <v>43902.946168981478</v>
      </c>
      <c r="B4715" s="8" t="str">
        <f>HYPERLINK("https://twitter.com/isis_ceo","@isis_ceo")</f>
        <v>@isis_ceo</v>
      </c>
      <c r="C4715" s="8" t="s">
        <v>2387</v>
      </c>
      <c r="D4715" s="8">
        <v>1</v>
      </c>
      <c r="E4715" s="8">
        <v>2</v>
      </c>
      <c r="F4715" s="8">
        <v>141</v>
      </c>
    </row>
    <row r="4716" spans="1:6" ht="12.75">
      <c r="A4716" s="8">
        <v>43902.946134259255</v>
      </c>
      <c r="B4716" s="8" t="str">
        <f>HYPERLINK("https://twitter.com/SyukriTakengon","@SyukriTakengon")</f>
        <v>@SyukriTakengon</v>
      </c>
      <c r="C4716" s="8" t="s">
        <v>2388</v>
      </c>
      <c r="D4716" s="8">
        <v>2</v>
      </c>
      <c r="E4716" s="8">
        <v>0</v>
      </c>
      <c r="F4716" s="8">
        <v>1300</v>
      </c>
    </row>
    <row r="4717" spans="1:6" ht="12.75">
      <c r="A4717" s="8">
        <v>43902.946018518516</v>
      </c>
      <c r="B4717" s="8" t="str">
        <f>HYPERLINK("https://twitter.com/bunc1s","@bunc1s")</f>
        <v>@bunc1s</v>
      </c>
      <c r="C4717" s="8" t="s">
        <v>440</v>
      </c>
      <c r="D4717" s="8">
        <v>120</v>
      </c>
      <c r="E4717" s="8">
        <v>0</v>
      </c>
      <c r="F4717" s="8">
        <v>726</v>
      </c>
    </row>
    <row r="4718" spans="1:6" ht="12.75">
      <c r="A4718" s="8">
        <v>43902.945659722223</v>
      </c>
      <c r="B4718" s="8" t="str">
        <f>HYPERLINK("https://twitter.com/Rakesh25182","@Rakesh25182")</f>
        <v>@Rakesh25182</v>
      </c>
      <c r="C4718" s="8" t="s">
        <v>1195</v>
      </c>
      <c r="D4718" s="8">
        <v>2135</v>
      </c>
      <c r="E4718" s="8">
        <v>0</v>
      </c>
      <c r="F4718" s="8">
        <v>10471</v>
      </c>
    </row>
    <row r="4719" spans="1:6" ht="12.75">
      <c r="A4719" s="8">
        <v>43902.945636574077</v>
      </c>
      <c r="B4719" s="8" t="str">
        <f>HYPERLINK("https://twitter.com/Siddhan67416044","@Siddhan67416044")</f>
        <v>@Siddhan67416044</v>
      </c>
      <c r="C4719" s="8" t="s">
        <v>1195</v>
      </c>
      <c r="D4719" s="8">
        <v>2135</v>
      </c>
      <c r="E4719" s="8">
        <v>0</v>
      </c>
      <c r="F4719" s="8">
        <v>54</v>
      </c>
    </row>
    <row r="4720" spans="1:6" ht="12.75">
      <c r="A4720" s="8">
        <v>43902.945057870369</v>
      </c>
      <c r="B4720" s="8" t="str">
        <f>HYPERLINK("https://twitter.com/Joginde01456662","@Joginde01456662")</f>
        <v>@Joginde01456662</v>
      </c>
      <c r="C4720" s="8" t="s">
        <v>1195</v>
      </c>
      <c r="D4720" s="8">
        <v>2135</v>
      </c>
      <c r="E4720" s="8">
        <v>0</v>
      </c>
      <c r="F4720" s="8">
        <v>137</v>
      </c>
    </row>
    <row r="4721" spans="1:6" ht="12.75">
      <c r="A4721" s="8">
        <v>43902.945034722223</v>
      </c>
      <c r="B4721" s="8" t="str">
        <f>HYPERLINK("https://twitter.com/Thanos_Hindu","@Thanos_Hindu")</f>
        <v>@Thanos_Hindu</v>
      </c>
      <c r="C4721" s="8" t="s">
        <v>1957</v>
      </c>
      <c r="D4721" s="8">
        <v>1543</v>
      </c>
      <c r="E4721" s="8">
        <v>0</v>
      </c>
      <c r="F4721" s="8">
        <v>34</v>
      </c>
    </row>
    <row r="4722" spans="1:6" ht="12.75">
      <c r="A4722" s="8">
        <v>43902.944884259261</v>
      </c>
      <c r="B4722" s="8" t="str">
        <f>HYPERLINK("https://twitter.com/mayankdeshmukh8","@mayankdeshmukh8")</f>
        <v>@mayankdeshmukh8</v>
      </c>
      <c r="C4722" s="8" t="s">
        <v>1195</v>
      </c>
      <c r="D4722" s="8">
        <v>2135</v>
      </c>
      <c r="E4722" s="8">
        <v>0</v>
      </c>
      <c r="F4722" s="8">
        <v>294</v>
      </c>
    </row>
    <row r="4723" spans="1:6" ht="12.75">
      <c r="A4723" s="8">
        <v>43902.944791666669</v>
      </c>
      <c r="B4723" s="8" t="str">
        <f>HYPERLINK("https://twitter.com/drprakashkpoman","@drprakashkpoman")</f>
        <v>@drprakashkpoman</v>
      </c>
      <c r="C4723" s="8" t="s">
        <v>1195</v>
      </c>
      <c r="D4723" s="8">
        <v>2135</v>
      </c>
      <c r="E4723" s="8">
        <v>0</v>
      </c>
      <c r="F4723" s="8">
        <v>87</v>
      </c>
    </row>
    <row r="4724" spans="1:6" ht="12.75">
      <c r="A4724" s="8">
        <v>43902.944641203707</v>
      </c>
      <c r="B4724" s="8" t="str">
        <f>HYPERLINK("https://twitter.com/harsono_afen_","@harsono_afen_")</f>
        <v>@harsono_afen_</v>
      </c>
      <c r="C4724" s="8" t="s">
        <v>2268</v>
      </c>
      <c r="D4724" s="8">
        <v>10</v>
      </c>
      <c r="E4724" s="8">
        <v>0</v>
      </c>
      <c r="F4724" s="8">
        <v>1811</v>
      </c>
    </row>
    <row r="4725" spans="1:6" ht="12.75">
      <c r="A4725" s="8">
        <v>43902.944560185184</v>
      </c>
      <c r="B4725" s="8" t="str">
        <f>HYPERLINK("https://twitter.com/PRASHANT_P_BLR","@PRASHANT_P_BLR")</f>
        <v>@PRASHANT_P_BLR</v>
      </c>
      <c r="C4725" s="8" t="s">
        <v>1195</v>
      </c>
      <c r="D4725" s="8">
        <v>2135</v>
      </c>
      <c r="E4725" s="8">
        <v>0</v>
      </c>
      <c r="F4725" s="8">
        <v>345</v>
      </c>
    </row>
    <row r="4726" spans="1:6" ht="12.75">
      <c r="A4726" s="8">
        <v>43902.944560185184</v>
      </c>
      <c r="B4726" s="8" t="str">
        <f>HYPERLINK("https://twitter.com/DrRizalSukma","@DrRizalSukma")</f>
        <v>@DrRizalSukma</v>
      </c>
      <c r="C4726" s="8" t="s">
        <v>1733</v>
      </c>
      <c r="D4726" s="8">
        <v>2</v>
      </c>
      <c r="E4726" s="8">
        <v>0</v>
      </c>
      <c r="F4726" s="8">
        <v>2813</v>
      </c>
    </row>
    <row r="4727" spans="1:6" ht="12.75">
      <c r="A4727" s="8">
        <v>43902.94431712963</v>
      </c>
      <c r="B4727" s="8" t="str">
        <f>HYPERLINK("https://twitter.com/blastgeek","@blastgeek")</f>
        <v>@blastgeek</v>
      </c>
      <c r="C4727" s="8" t="s">
        <v>2185</v>
      </c>
      <c r="D4727" s="8">
        <v>6</v>
      </c>
      <c r="E4727" s="8">
        <v>0</v>
      </c>
      <c r="F4727" s="8">
        <v>161</v>
      </c>
    </row>
    <row r="4728" spans="1:6" ht="12.75">
      <c r="A4728" s="8">
        <v>43902.944074074076</v>
      </c>
      <c r="B4728" s="8" t="str">
        <f>HYPERLINK("https://twitter.com/Gr8boy85","@Gr8boy85")</f>
        <v>@Gr8boy85</v>
      </c>
      <c r="C4728" s="8" t="s">
        <v>1195</v>
      </c>
      <c r="D4728" s="8">
        <v>2135</v>
      </c>
      <c r="E4728" s="8">
        <v>0</v>
      </c>
      <c r="F4728" s="8">
        <v>235</v>
      </c>
    </row>
    <row r="4729" spans="1:6" ht="12.75">
      <c r="A4729" s="8">
        <v>43902.943807870368</v>
      </c>
      <c r="B4729" s="8" t="str">
        <f>HYPERLINK("https://twitter.com/abcunlimited1","@abcunlimited1")</f>
        <v>@abcunlimited1</v>
      </c>
      <c r="C4729" s="8" t="s">
        <v>1195</v>
      </c>
      <c r="D4729" s="8">
        <v>2135</v>
      </c>
      <c r="E4729" s="8">
        <v>0</v>
      </c>
      <c r="F4729" s="8">
        <v>240</v>
      </c>
    </row>
    <row r="4730" spans="1:6" ht="12.75">
      <c r="A4730" s="8">
        <v>43902.923425925925</v>
      </c>
      <c r="B4730" s="8" t="str">
        <f>HYPERLINK("https://twitter.com/Ad_the_idol","@Ad_the_idol")</f>
        <v>@Ad_the_idol</v>
      </c>
      <c r="C4730" s="8" t="s">
        <v>1195</v>
      </c>
      <c r="D4730" s="8">
        <v>2011</v>
      </c>
      <c r="E4730" s="8">
        <v>0</v>
      </c>
      <c r="F4730" s="8">
        <v>741</v>
      </c>
    </row>
    <row r="4731" spans="1:6" ht="12.75">
      <c r="A4731" s="8">
        <v>43902.923136574071</v>
      </c>
      <c r="B4731" s="8" t="str">
        <f>HYPERLINK("https://twitter.com/PrakarsaWilly","@PrakarsaWilly")</f>
        <v>@PrakarsaWilly</v>
      </c>
      <c r="C4731" s="8" t="s">
        <v>1758</v>
      </c>
      <c r="D4731" s="8">
        <v>79</v>
      </c>
      <c r="E4731" s="8">
        <v>0</v>
      </c>
      <c r="F4731" s="8">
        <v>209</v>
      </c>
    </row>
    <row r="4732" spans="1:6" ht="12.75">
      <c r="A4732" s="8">
        <v>43902.922997685186</v>
      </c>
      <c r="B4732" s="8" t="str">
        <f>HYPERLINK("https://twitter.com/UtomoFreddy","@UtomoFreddy")</f>
        <v>@UtomoFreddy</v>
      </c>
      <c r="C4732" s="8" t="s">
        <v>2163</v>
      </c>
      <c r="D4732" s="8">
        <v>8</v>
      </c>
      <c r="E4732" s="8">
        <v>0</v>
      </c>
      <c r="F4732" s="8">
        <v>109</v>
      </c>
    </row>
    <row r="4733" spans="1:6" ht="12.75">
      <c r="A4733" s="8">
        <v>43902.922812500001</v>
      </c>
      <c r="B4733" s="8" t="str">
        <f>HYPERLINK("https://twitter.com/ichiiocha1","@ichiiocha1")</f>
        <v>@ichiiocha1</v>
      </c>
      <c r="C4733" s="8" t="s">
        <v>2389</v>
      </c>
      <c r="D4733" s="8">
        <v>0</v>
      </c>
      <c r="E4733" s="8">
        <v>0</v>
      </c>
      <c r="F4733" s="8">
        <v>59</v>
      </c>
    </row>
    <row r="4734" spans="1:6" ht="12.75">
      <c r="A4734" s="8">
        <v>43902.922581018516</v>
      </c>
      <c r="B4734" s="8" t="str">
        <f>HYPERLINK("https://twitter.com/biraja12","@biraja12")</f>
        <v>@biraja12</v>
      </c>
      <c r="C4734" s="8" t="s">
        <v>1195</v>
      </c>
      <c r="D4734" s="8">
        <v>2011</v>
      </c>
      <c r="E4734" s="8">
        <v>0</v>
      </c>
      <c r="F4734" s="8">
        <v>186</v>
      </c>
    </row>
    <row r="4735" spans="1:6" ht="12.75">
      <c r="A4735" s="8">
        <v>43902.922453703708</v>
      </c>
      <c r="B4735" s="8" t="str">
        <f>HYPERLINK("https://twitter.com/naveen_gupta14","@naveen_gupta14")</f>
        <v>@naveen_gupta14</v>
      </c>
      <c r="C4735" s="8" t="s">
        <v>1195</v>
      </c>
      <c r="D4735" s="8">
        <v>2011</v>
      </c>
      <c r="E4735" s="8">
        <v>0</v>
      </c>
      <c r="F4735" s="8">
        <v>216</v>
      </c>
    </row>
    <row r="4736" spans="1:6" ht="12.75">
      <c r="A4736" s="8">
        <v>43902.922106481477</v>
      </c>
      <c r="B4736" s="8" t="str">
        <f>HYPERLINK("https://twitter.com/hana_ningtiyas","@hana_ningtiyas")</f>
        <v>@hana_ningtiyas</v>
      </c>
      <c r="C4736" s="8" t="s">
        <v>2390</v>
      </c>
      <c r="D4736" s="8">
        <v>0</v>
      </c>
      <c r="E4736" s="8">
        <v>0</v>
      </c>
      <c r="F4736" s="8">
        <v>471</v>
      </c>
    </row>
    <row r="4737" spans="1:6" ht="12.75">
      <c r="A4737" s="8">
        <v>43902.922048611115</v>
      </c>
      <c r="B4737" s="8" t="str">
        <f>HYPERLINK("https://twitter.com/TokUrang","@TokUrang")</f>
        <v>@TokUrang</v>
      </c>
      <c r="C4737" s="8" t="s">
        <v>2391</v>
      </c>
      <c r="D4737" s="8">
        <v>0</v>
      </c>
      <c r="E4737" s="8">
        <v>0</v>
      </c>
      <c r="F4737" s="8">
        <v>2242</v>
      </c>
    </row>
    <row r="4738" spans="1:6" ht="12.75">
      <c r="A4738" s="8">
        <v>43902.921990740739</v>
      </c>
      <c r="B4738" s="8" t="str">
        <f>HYPERLINK("https://twitter.com/rizqi_maulida","@rizqi_maulida")</f>
        <v>@rizqi_maulida</v>
      </c>
      <c r="C4738" s="8" t="s">
        <v>1733</v>
      </c>
      <c r="D4738" s="8">
        <v>1</v>
      </c>
      <c r="E4738" s="8">
        <v>0</v>
      </c>
      <c r="F4738" s="8">
        <v>403</v>
      </c>
    </row>
    <row r="4739" spans="1:6" ht="12.75">
      <c r="A4739" s="8">
        <v>43902.921967592592</v>
      </c>
      <c r="B4739" s="8" t="str">
        <f>HYPERLINK("https://twitter.com/Hantar0o","@Hantar0o")</f>
        <v>@Hantar0o</v>
      </c>
      <c r="C4739" s="8" t="s">
        <v>2392</v>
      </c>
      <c r="D4739" s="8">
        <v>0</v>
      </c>
      <c r="E4739" s="8">
        <v>0</v>
      </c>
      <c r="F4739" s="8">
        <v>0</v>
      </c>
    </row>
    <row r="4740" spans="1:6" ht="12.75">
      <c r="A4740" s="8">
        <v>43902.921574074076</v>
      </c>
      <c r="B4740" s="8" t="str">
        <f>HYPERLINK("https://twitter.com/meetrosh1","@meetrosh1")</f>
        <v>@meetrosh1</v>
      </c>
      <c r="C4740" s="8" t="s">
        <v>1195</v>
      </c>
      <c r="D4740" s="8">
        <v>2011</v>
      </c>
      <c r="E4740" s="8">
        <v>0</v>
      </c>
      <c r="F4740" s="8">
        <v>494</v>
      </c>
    </row>
    <row r="4741" spans="1:6" ht="12.75">
      <c r="A4741" s="8">
        <v>43902.921458333338</v>
      </c>
      <c r="B4741" s="8" t="str">
        <f>HYPERLINK("https://twitter.com/kumarsushant67","@kumarsushant67")</f>
        <v>@kumarsushant67</v>
      </c>
      <c r="C4741" s="8" t="s">
        <v>1195</v>
      </c>
      <c r="D4741" s="8">
        <v>2011</v>
      </c>
      <c r="E4741" s="8">
        <v>0</v>
      </c>
      <c r="F4741" s="8">
        <v>108</v>
      </c>
    </row>
    <row r="4742" spans="1:6" ht="12.75">
      <c r="A4742" s="8">
        <v>43902.921307870369</v>
      </c>
      <c r="B4742" s="8" t="str">
        <f>HYPERLINK("https://twitter.com/i_tarang","@i_tarang")</f>
        <v>@i_tarang</v>
      </c>
      <c r="C4742" s="8" t="s">
        <v>1195</v>
      </c>
      <c r="D4742" s="8">
        <v>2011</v>
      </c>
      <c r="E4742" s="8">
        <v>0</v>
      </c>
      <c r="F4742" s="8">
        <v>188</v>
      </c>
    </row>
    <row r="4743" spans="1:6" ht="12.75">
      <c r="A4743" s="8">
        <v>43902.921087962968</v>
      </c>
      <c r="B4743" s="8" t="str">
        <f>HYPERLINK("https://twitter.com/vanidiana","@vanidiana")</f>
        <v>@vanidiana</v>
      </c>
      <c r="C4743" s="8" t="s">
        <v>2165</v>
      </c>
      <c r="D4743" s="8">
        <v>3</v>
      </c>
      <c r="E4743" s="8">
        <v>0</v>
      </c>
      <c r="F4743" s="8">
        <v>568</v>
      </c>
    </row>
    <row r="4744" spans="1:6" ht="12.75">
      <c r="A4744" s="8">
        <v>43902.920682870375</v>
      </c>
      <c r="B4744" s="8" t="str">
        <f>HYPERLINK("https://twitter.com/garrefilms","@garrefilms")</f>
        <v>@garrefilms</v>
      </c>
      <c r="C4744" s="8" t="s">
        <v>1195</v>
      </c>
      <c r="D4744" s="8">
        <v>2011</v>
      </c>
      <c r="E4744" s="8">
        <v>0</v>
      </c>
      <c r="F4744" s="8">
        <v>42</v>
      </c>
    </row>
    <row r="4745" spans="1:6" ht="12.75">
      <c r="A4745" s="8">
        <v>43902.920567129629</v>
      </c>
      <c r="B4745" s="8" t="str">
        <f>HYPERLINK("https://twitter.com/Vikk72p","@Vikk72p")</f>
        <v>@Vikk72p</v>
      </c>
      <c r="C4745" s="8" t="s">
        <v>2092</v>
      </c>
      <c r="D4745" s="8">
        <v>1</v>
      </c>
      <c r="E4745" s="8">
        <v>0</v>
      </c>
      <c r="F4745" s="8">
        <v>2335</v>
      </c>
    </row>
    <row r="4746" spans="1:6" ht="12.75">
      <c r="A4746" s="8">
        <v>43902.920335648145</v>
      </c>
      <c r="B4746" s="8" t="str">
        <f>HYPERLINK("https://twitter.com/krishk_5","@krishk_5")</f>
        <v>@krishk_5</v>
      </c>
      <c r="C4746" s="8" t="s">
        <v>1195</v>
      </c>
      <c r="D4746" s="8">
        <v>2011</v>
      </c>
      <c r="E4746" s="8">
        <v>0</v>
      </c>
      <c r="F4746" s="8">
        <v>138</v>
      </c>
    </row>
    <row r="4747" spans="1:6" ht="12.75">
      <c r="A4747" s="8">
        <v>43902.919687500005</v>
      </c>
      <c r="B4747" s="8" t="str">
        <f>HYPERLINK("https://twitter.com/arvind_raman23","@arvind_raman23")</f>
        <v>@arvind_raman23</v>
      </c>
      <c r="C4747" s="8" t="s">
        <v>1195</v>
      </c>
      <c r="D4747" s="8">
        <v>2011</v>
      </c>
      <c r="E4747" s="8">
        <v>0</v>
      </c>
      <c r="F4747" s="8">
        <v>51</v>
      </c>
    </row>
    <row r="4748" spans="1:6" ht="12.75">
      <c r="A4748" s="8">
        <v>43902.919525462959</v>
      </c>
      <c r="B4748" s="8" t="str">
        <f>HYPERLINK("https://twitter.com/iAakash_Agarwal","@iAakash_Agarwal")</f>
        <v>@iAakash_Agarwal</v>
      </c>
      <c r="C4748" s="8" t="s">
        <v>2393</v>
      </c>
      <c r="D4748" s="8">
        <v>1</v>
      </c>
      <c r="E4748" s="8">
        <v>1</v>
      </c>
      <c r="F4748" s="8">
        <v>20303</v>
      </c>
    </row>
    <row r="4749" spans="1:6" ht="12.75">
      <c r="A4749" s="8">
        <v>43902.919062500005</v>
      </c>
      <c r="B4749" s="8" t="str">
        <f t="shared" ref="B4749:B4750" si="87">HYPERLINK("https://twitter.com/RaulParody","@RaulParody")</f>
        <v>@RaulParody</v>
      </c>
      <c r="C4749" s="8" t="s">
        <v>1957</v>
      </c>
      <c r="D4749" s="8">
        <v>1541</v>
      </c>
      <c r="E4749" s="8">
        <v>0</v>
      </c>
      <c r="F4749" s="8">
        <v>477</v>
      </c>
    </row>
    <row r="4750" spans="1:6" ht="12.75">
      <c r="A4750" s="8">
        <v>43902.919016203705</v>
      </c>
      <c r="B4750" s="8" t="str">
        <f t="shared" si="87"/>
        <v>@RaulParody</v>
      </c>
      <c r="C4750" s="8" t="s">
        <v>1808</v>
      </c>
      <c r="D4750" s="8">
        <v>919</v>
      </c>
      <c r="E4750" s="8">
        <v>0</v>
      </c>
      <c r="F4750" s="8">
        <v>477</v>
      </c>
    </row>
    <row r="4751" spans="1:6" ht="12.75">
      <c r="A4751" s="8">
        <v>43902.918981481482</v>
      </c>
      <c r="B4751" s="8" t="str">
        <f>HYPERLINK("https://twitter.com/DogLove33315138","@DogLove33315138")</f>
        <v>@DogLove33315138</v>
      </c>
      <c r="C4751" s="8" t="s">
        <v>1195</v>
      </c>
      <c r="D4751" s="8">
        <v>2011</v>
      </c>
      <c r="E4751" s="8">
        <v>0</v>
      </c>
      <c r="F4751" s="8">
        <v>63</v>
      </c>
    </row>
    <row r="4752" spans="1:6" ht="12.75">
      <c r="A4752" s="8">
        <v>43902.918969907405</v>
      </c>
      <c r="B4752" s="8" t="str">
        <f>HYPERLINK("https://twitter.com/RaulParody","@RaulParody")</f>
        <v>@RaulParody</v>
      </c>
      <c r="C4752" s="8" t="s">
        <v>1195</v>
      </c>
      <c r="D4752" s="8">
        <v>2011</v>
      </c>
      <c r="E4752" s="8">
        <v>0</v>
      </c>
      <c r="F4752" s="8">
        <v>477</v>
      </c>
    </row>
    <row r="4753" spans="1:6" ht="12.75">
      <c r="A4753" s="8">
        <v>43902.918796296297</v>
      </c>
      <c r="B4753" s="8" t="str">
        <f>HYPERLINK("https://twitter.com/nenni_achir1","@nenni_achir1")</f>
        <v>@nenni_achir1</v>
      </c>
      <c r="C4753" s="8" t="s">
        <v>2394</v>
      </c>
      <c r="D4753" s="8">
        <v>0</v>
      </c>
      <c r="E4753" s="8">
        <v>0</v>
      </c>
      <c r="F4753" s="8">
        <v>1269</v>
      </c>
    </row>
    <row r="4754" spans="1:6" ht="12.75">
      <c r="A4754" s="8">
        <v>43902.918773148151</v>
      </c>
      <c r="B4754" s="8" t="str">
        <f>HYPERLINK("https://twitter.com/suhanibayar","@suhanibayar")</f>
        <v>@suhanibayar</v>
      </c>
      <c r="C4754" s="8" t="s">
        <v>1195</v>
      </c>
      <c r="D4754" s="8">
        <v>2011</v>
      </c>
      <c r="E4754" s="8">
        <v>0</v>
      </c>
      <c r="F4754" s="8">
        <v>519</v>
      </c>
    </row>
    <row r="4755" spans="1:6" ht="12.75">
      <c r="A4755" s="8">
        <v>43902.918310185181</v>
      </c>
      <c r="B4755" s="8" t="str">
        <f>HYPERLINK("https://twitter.com/Rizki_Fahreza","@Rizki_Fahreza")</f>
        <v>@Rizki_Fahreza</v>
      </c>
      <c r="C4755" s="8" t="s">
        <v>2395</v>
      </c>
      <c r="D4755" s="8">
        <v>1</v>
      </c>
      <c r="E4755" s="8">
        <v>0</v>
      </c>
      <c r="F4755" s="8">
        <v>151</v>
      </c>
    </row>
    <row r="4756" spans="1:6" ht="12.75">
      <c r="A4756" s="8">
        <v>43902.918310185181</v>
      </c>
      <c r="B4756" s="8" t="str">
        <f>HYPERLINK("https://twitter.com/yogs212","@yogs212")</f>
        <v>@yogs212</v>
      </c>
      <c r="C4756" s="8" t="s">
        <v>1195</v>
      </c>
      <c r="D4756" s="8">
        <v>2011</v>
      </c>
      <c r="E4756" s="8">
        <v>0</v>
      </c>
      <c r="F4756" s="8">
        <v>24</v>
      </c>
    </row>
    <row r="4757" spans="1:6" ht="12.75">
      <c r="A4757" s="8">
        <v>43902.918310185181</v>
      </c>
      <c r="B4757" s="8" t="str">
        <f>HYPERLINK("https://twitter.com/iklanraja","@iklanraja")</f>
        <v>@iklanraja</v>
      </c>
      <c r="C4757" s="8" t="s">
        <v>2396</v>
      </c>
      <c r="D4757" s="8">
        <v>0</v>
      </c>
      <c r="E4757" s="8">
        <v>0</v>
      </c>
      <c r="F4757" s="8">
        <v>1171</v>
      </c>
    </row>
    <row r="4758" spans="1:6" ht="12.75">
      <c r="A4758" s="8">
        <v>43902.918310185181</v>
      </c>
      <c r="B4758" s="8" t="str">
        <f>HYPERLINK("https://twitter.com/naradeshpande","@naradeshpande")</f>
        <v>@naradeshpande</v>
      </c>
      <c r="C4758" s="8" t="s">
        <v>1195</v>
      </c>
      <c r="D4758" s="8">
        <v>2011</v>
      </c>
      <c r="E4758" s="8">
        <v>0</v>
      </c>
      <c r="F4758" s="8">
        <v>150</v>
      </c>
    </row>
    <row r="4759" spans="1:6" ht="12.75">
      <c r="A4759" s="8">
        <v>43902.918275462958</v>
      </c>
      <c r="B4759" s="8" t="str">
        <f>HYPERLINK("https://twitter.com/Divyendu_4","@Divyendu_4")</f>
        <v>@Divyendu_4</v>
      </c>
      <c r="C4759" s="8" t="s">
        <v>1195</v>
      </c>
      <c r="D4759" s="8">
        <v>2011</v>
      </c>
      <c r="E4759" s="8">
        <v>0</v>
      </c>
      <c r="F4759" s="8">
        <v>94</v>
      </c>
    </row>
    <row r="4760" spans="1:6" ht="12.75">
      <c r="A4760" s="8">
        <v>43902.918194444443</v>
      </c>
      <c r="B4760" s="8" t="str">
        <f>HYPERLINK("https://twitter.com/jokerbinjoker","@jokerbinjoker")</f>
        <v>@jokerbinjoker</v>
      </c>
      <c r="C4760" s="8" t="s">
        <v>289</v>
      </c>
      <c r="D4760" s="8">
        <v>59</v>
      </c>
      <c r="E4760" s="8">
        <v>0</v>
      </c>
      <c r="F4760" s="8">
        <v>64</v>
      </c>
    </row>
    <row r="4761" spans="1:6" ht="12.75">
      <c r="A4761" s="8">
        <v>43902.918124999997</v>
      </c>
      <c r="B4761" s="8" t="str">
        <f>HYPERLINK("https://twitter.com/sirajapadoha","@sirajapadoha")</f>
        <v>@sirajapadoha</v>
      </c>
      <c r="C4761" s="8" t="s">
        <v>2397</v>
      </c>
      <c r="D4761" s="8">
        <v>0</v>
      </c>
      <c r="E4761" s="8">
        <v>0</v>
      </c>
      <c r="F4761" s="8">
        <v>2502</v>
      </c>
    </row>
    <row r="4762" spans="1:6" ht="12.75">
      <c r="A4762" s="8">
        <v>43902.917986111112</v>
      </c>
      <c r="B4762" s="8" t="str">
        <f>HYPERLINK("https://twitter.com/GrandLight88","@GrandLight88")</f>
        <v>@GrandLight88</v>
      </c>
      <c r="C4762" s="8" t="s">
        <v>2398</v>
      </c>
      <c r="D4762" s="8">
        <v>0</v>
      </c>
      <c r="E4762" s="8">
        <v>0</v>
      </c>
      <c r="F4762" s="8">
        <v>20</v>
      </c>
    </row>
    <row r="4763" spans="1:6" ht="12.75">
      <c r="A4763" s="8">
        <v>43902.917754629627</v>
      </c>
      <c r="B4763" s="8" t="str">
        <f>HYPERLINK("https://twitter.com/D_H_R_U_V_A_","@D_H_R_U_V_A_")</f>
        <v>@D_H_R_U_V_A_</v>
      </c>
      <c r="C4763" s="8" t="s">
        <v>1195</v>
      </c>
      <c r="D4763" s="8">
        <v>2011</v>
      </c>
      <c r="E4763" s="8">
        <v>0</v>
      </c>
      <c r="F4763" s="8">
        <v>1064</v>
      </c>
    </row>
    <row r="4764" spans="1:6" ht="12.75">
      <c r="A4764" s="8">
        <v>43902.917569444442</v>
      </c>
      <c r="B4764" s="8" t="str">
        <f>HYPERLINK("https://twitter.com/padangkitacom","@padangkitacom")</f>
        <v>@padangkitacom</v>
      </c>
      <c r="C4764" s="8" t="s">
        <v>2399</v>
      </c>
      <c r="D4764" s="8">
        <v>0</v>
      </c>
      <c r="E4764" s="8">
        <v>0</v>
      </c>
      <c r="F4764" s="8">
        <v>18638</v>
      </c>
    </row>
    <row r="4765" spans="1:6" ht="12.75">
      <c r="A4765" s="8">
        <v>43902.917245370365</v>
      </c>
      <c r="B4765" s="8" t="str">
        <f>HYPERLINK("https://twitter.com/mochamadarip","@mochamadarip")</f>
        <v>@mochamadarip</v>
      </c>
      <c r="C4765" s="8" t="s">
        <v>2400</v>
      </c>
      <c r="D4765" s="8">
        <v>0</v>
      </c>
      <c r="E4765" s="8">
        <v>1</v>
      </c>
      <c r="F4765" s="8">
        <v>27304</v>
      </c>
    </row>
    <row r="4766" spans="1:6" ht="12.75">
      <c r="A4766" s="8">
        <v>43902.917002314818</v>
      </c>
      <c r="B4766" s="8" t="str">
        <f>HYPERLINK("https://twitter.com/ihimanshusahu","@ihimanshusahu")</f>
        <v>@ihimanshusahu</v>
      </c>
      <c r="C4766" s="8" t="s">
        <v>1195</v>
      </c>
      <c r="D4766" s="8">
        <v>2011</v>
      </c>
      <c r="E4766" s="8">
        <v>0</v>
      </c>
      <c r="F4766" s="8">
        <v>99</v>
      </c>
    </row>
    <row r="4767" spans="1:6" ht="12.75">
      <c r="A4767" s="8">
        <v>43902.916701388887</v>
      </c>
      <c r="B4767" s="8" t="str">
        <f>HYPERLINK("https://twitter.com/aolshiv","@aolshiv")</f>
        <v>@aolshiv</v>
      </c>
      <c r="C4767" s="8" t="s">
        <v>1195</v>
      </c>
      <c r="D4767" s="8">
        <v>2011</v>
      </c>
      <c r="E4767" s="8">
        <v>0</v>
      </c>
      <c r="F4767" s="8">
        <v>406</v>
      </c>
    </row>
    <row r="4768" spans="1:6" ht="12.75">
      <c r="A4768" s="8">
        <v>43902.916585648149</v>
      </c>
      <c r="B4768" s="8" t="str">
        <f>HYPERLINK("https://twitter.com/adrian_ptra","@adrian_ptra")</f>
        <v>@adrian_ptra</v>
      </c>
      <c r="C4768" s="8" t="s">
        <v>2401</v>
      </c>
      <c r="D4768" s="8">
        <v>1</v>
      </c>
      <c r="E4768" s="8">
        <v>0</v>
      </c>
      <c r="F4768" s="8">
        <v>187</v>
      </c>
    </row>
    <row r="4769" spans="1:6" ht="12.75">
      <c r="A4769" s="8">
        <v>43902.916562500002</v>
      </c>
      <c r="B4769" s="8" t="str">
        <f>HYPERLINK("https://twitter.com/yakaligakboleh","@yakaligakboleh")</f>
        <v>@yakaligakboleh</v>
      </c>
      <c r="C4769" s="8" t="s">
        <v>2051</v>
      </c>
      <c r="D4769" s="8">
        <v>153</v>
      </c>
      <c r="E4769" s="8">
        <v>0</v>
      </c>
      <c r="F4769" s="8">
        <v>244</v>
      </c>
    </row>
    <row r="4770" spans="1:6" ht="12.75">
      <c r="A4770" s="8">
        <v>43902.916446759264</v>
      </c>
      <c r="B4770" s="8" t="str">
        <f>HYPERLINK("https://twitter.com/B_Pathak70","@B_Pathak70")</f>
        <v>@B_Pathak70</v>
      </c>
      <c r="C4770" s="8" t="s">
        <v>1195</v>
      </c>
      <c r="D4770" s="8">
        <v>2011</v>
      </c>
      <c r="E4770" s="8">
        <v>0</v>
      </c>
      <c r="F4770" s="8">
        <v>452</v>
      </c>
    </row>
    <row r="4771" spans="1:6" ht="12.75">
      <c r="A4771" s="8">
        <v>43902.916331018518</v>
      </c>
      <c r="B4771" s="8" t="str">
        <f>HYPERLINK("https://twitter.com/margiesandjaya","@margiesandjaya")</f>
        <v>@margiesandjaya</v>
      </c>
      <c r="C4771" s="8" t="s">
        <v>2402</v>
      </c>
      <c r="D4771" s="8">
        <v>0</v>
      </c>
      <c r="E4771" s="8">
        <v>4</v>
      </c>
      <c r="F4771" s="8">
        <v>113</v>
      </c>
    </row>
    <row r="4772" spans="1:6" ht="12.75">
      <c r="A4772" s="8">
        <v>43902.916134259256</v>
      </c>
      <c r="B4772" s="8" t="str">
        <f>HYPERLINK("https://twitter.com/Elaaakk","@Elaaakk")</f>
        <v>@Elaaakk</v>
      </c>
      <c r="C4772" s="8" t="s">
        <v>2403</v>
      </c>
      <c r="D4772" s="8">
        <v>0</v>
      </c>
      <c r="E4772" s="8">
        <v>0</v>
      </c>
      <c r="F4772" s="8">
        <v>897</v>
      </c>
    </row>
    <row r="4773" spans="1:6" ht="12.75">
      <c r="A4773" s="8">
        <v>43902.915937500002</v>
      </c>
      <c r="B4773" s="8" t="str">
        <f>HYPERLINK("https://twitter.com/Harshga69000675","@Harshga69000675")</f>
        <v>@Harshga69000675</v>
      </c>
      <c r="C4773" s="8" t="s">
        <v>1195</v>
      </c>
      <c r="D4773" s="8">
        <v>2011</v>
      </c>
      <c r="E4773" s="8">
        <v>0</v>
      </c>
      <c r="F4773" s="8">
        <v>427</v>
      </c>
    </row>
    <row r="4774" spans="1:6" ht="12.75">
      <c r="A4774" s="8">
        <v>43902.915810185186</v>
      </c>
      <c r="B4774" s="8" t="str">
        <f>HYPERLINK("https://twitter.com/SJ_Priyanka","@SJ_Priyanka")</f>
        <v>@SJ_Priyanka</v>
      </c>
      <c r="C4774" s="8" t="s">
        <v>1195</v>
      </c>
      <c r="D4774" s="8">
        <v>2011</v>
      </c>
      <c r="E4774" s="8">
        <v>0</v>
      </c>
      <c r="F4774" s="8">
        <v>1043</v>
      </c>
    </row>
    <row r="4775" spans="1:6" ht="12.75">
      <c r="A4775" s="8">
        <v>43902.915590277778</v>
      </c>
      <c r="B4775" s="8" t="str">
        <f>HYPERLINK("https://twitter.com/GrandLight88","@GrandLight88")</f>
        <v>@GrandLight88</v>
      </c>
      <c r="C4775" s="8" t="s">
        <v>2404</v>
      </c>
      <c r="D4775" s="8">
        <v>0</v>
      </c>
      <c r="E4775" s="8">
        <v>0</v>
      </c>
      <c r="F4775" s="8">
        <v>20</v>
      </c>
    </row>
    <row r="4776" spans="1:6" ht="12.75">
      <c r="A4776" s="8">
        <v>43902.915335648147</v>
      </c>
      <c r="B4776" s="8" t="str">
        <f>HYPERLINK("https://twitter.com/ndialdi","@ndialdi")</f>
        <v>@ndialdi</v>
      </c>
      <c r="C4776" s="8" t="s">
        <v>289</v>
      </c>
      <c r="D4776" s="8">
        <v>59</v>
      </c>
      <c r="E4776" s="8">
        <v>0</v>
      </c>
      <c r="F4776" s="8">
        <v>1735</v>
      </c>
    </row>
    <row r="4777" spans="1:6" ht="12.75">
      <c r="A4777" s="8">
        <v>43902.915266203709</v>
      </c>
      <c r="B4777" s="8" t="str">
        <f>HYPERLINK("https://twitter.com/IngNa70","@IngNa70")</f>
        <v>@IngNa70</v>
      </c>
      <c r="C4777" s="8" t="s">
        <v>289</v>
      </c>
      <c r="D4777" s="8">
        <v>59</v>
      </c>
      <c r="E4777" s="8">
        <v>0</v>
      </c>
      <c r="F4777" s="8">
        <v>594</v>
      </c>
    </row>
    <row r="4778" spans="1:6" ht="12.75">
      <c r="A4778" s="8">
        <v>43902.915208333332</v>
      </c>
      <c r="B4778" s="8" t="str">
        <f>HYPERLINK("https://twitter.com/msVibhuti007","@msVibhuti007")</f>
        <v>@msVibhuti007</v>
      </c>
      <c r="C4778" s="8" t="s">
        <v>1195</v>
      </c>
      <c r="D4778" s="8">
        <v>2011</v>
      </c>
      <c r="E4778" s="8">
        <v>0</v>
      </c>
      <c r="F4778" s="8">
        <v>411</v>
      </c>
    </row>
    <row r="4779" spans="1:6" ht="12.75">
      <c r="A4779" s="8">
        <v>43902.914675925931</v>
      </c>
      <c r="B4779" s="8" t="str">
        <f>HYPERLINK("https://twitter.com/Tanhaji_2020","@Tanhaji_2020")</f>
        <v>@Tanhaji_2020</v>
      </c>
      <c r="C4779" s="8" t="s">
        <v>2405</v>
      </c>
      <c r="D4779" s="8">
        <v>2</v>
      </c>
      <c r="E4779" s="8">
        <v>0</v>
      </c>
      <c r="F4779" s="8">
        <v>308</v>
      </c>
    </row>
    <row r="4780" spans="1:6" ht="12.75">
      <c r="A4780" s="8">
        <v>43902.91443287037</v>
      </c>
      <c r="B4780" s="8" t="str">
        <f>HYPERLINK("https://twitter.com/ApoorvBishnoi","@ApoorvBishnoi")</f>
        <v>@ApoorvBishnoi</v>
      </c>
      <c r="C4780" s="8" t="s">
        <v>1195</v>
      </c>
      <c r="D4780" s="8">
        <v>2011</v>
      </c>
      <c r="E4780" s="8">
        <v>0</v>
      </c>
      <c r="F4780" s="8">
        <v>46</v>
      </c>
    </row>
    <row r="4781" spans="1:6" ht="12.75">
      <c r="A4781" s="8">
        <v>43902.914270833338</v>
      </c>
      <c r="B4781" s="8" t="str">
        <f>HYPERLINK("https://twitter.com/royprateek2010","@royprateek2010")</f>
        <v>@royprateek2010</v>
      </c>
      <c r="C4781" s="8" t="s">
        <v>1195</v>
      </c>
      <c r="D4781" s="8">
        <v>2011</v>
      </c>
      <c r="E4781" s="8">
        <v>0</v>
      </c>
      <c r="F4781" s="8">
        <v>5804</v>
      </c>
    </row>
    <row r="4782" spans="1:6" ht="12.75">
      <c r="A4782" s="8">
        <v>43902.914108796293</v>
      </c>
      <c r="B4782" s="8" t="str">
        <f>HYPERLINK("https://twitter.com/_wni_","@_wni_")</f>
        <v>@_wni_</v>
      </c>
      <c r="C4782" s="8" t="s">
        <v>2406</v>
      </c>
      <c r="D4782" s="8">
        <v>0</v>
      </c>
      <c r="E4782" s="8">
        <v>0</v>
      </c>
      <c r="F4782" s="8">
        <v>20</v>
      </c>
    </row>
    <row r="4783" spans="1:6" ht="12.75">
      <c r="A4783" s="8">
        <v>43902.913969907408</v>
      </c>
      <c r="B4783" s="8" t="str">
        <f t="shared" ref="B4783:B4785" si="88">HYPERLINK("https://twitter.com/KBRILondon","@KBRILondon")</f>
        <v>@KBRILondon</v>
      </c>
      <c r="C4783" s="8" t="s">
        <v>2407</v>
      </c>
      <c r="D4783" s="8">
        <v>0</v>
      </c>
      <c r="E4783" s="8">
        <v>0</v>
      </c>
      <c r="F4783" s="8">
        <v>11375</v>
      </c>
    </row>
    <row r="4784" spans="1:6" ht="12.75">
      <c r="A4784" s="8">
        <v>43902.913969907408</v>
      </c>
      <c r="B4784" s="8" t="str">
        <f t="shared" si="88"/>
        <v>@KBRILondon</v>
      </c>
      <c r="C4784" s="8" t="s">
        <v>2408</v>
      </c>
      <c r="D4784" s="8">
        <v>1</v>
      </c>
      <c r="E4784" s="8">
        <v>1</v>
      </c>
      <c r="F4784" s="8">
        <v>11375</v>
      </c>
    </row>
    <row r="4785" spans="1:6" ht="12.75">
      <c r="A4785" s="8">
        <v>43902.913900462961</v>
      </c>
      <c r="B4785" s="8" t="str">
        <f t="shared" si="88"/>
        <v>@KBRILondon</v>
      </c>
      <c r="C4785" s="8" t="s">
        <v>2409</v>
      </c>
      <c r="D4785" s="8">
        <v>1</v>
      </c>
      <c r="E4785" s="8">
        <v>1</v>
      </c>
      <c r="F4785" s="8">
        <v>11375</v>
      </c>
    </row>
    <row r="4786" spans="1:6" ht="12.75">
      <c r="A4786" s="8">
        <v>43902.913900462961</v>
      </c>
      <c r="B4786" s="8" t="str">
        <f>HYPERLINK("https://twitter.com/rhzqsllhn","@rhzqsllhn")</f>
        <v>@rhzqsllhn</v>
      </c>
      <c r="C4786" s="8" t="s">
        <v>2410</v>
      </c>
      <c r="D4786" s="8">
        <v>0</v>
      </c>
      <c r="E4786" s="8">
        <v>0</v>
      </c>
      <c r="F4786" s="8">
        <v>123</v>
      </c>
    </row>
    <row r="4787" spans="1:6" ht="12.75">
      <c r="A4787" s="8">
        <v>43902.913622685184</v>
      </c>
      <c r="B4787" s="8" t="str">
        <f>HYPERLINK("https://twitter.com/madhu_surana","@madhu_surana")</f>
        <v>@madhu_surana</v>
      </c>
      <c r="C4787" s="8" t="s">
        <v>1195</v>
      </c>
      <c r="D4787" s="8">
        <v>2011</v>
      </c>
      <c r="E4787" s="8">
        <v>0</v>
      </c>
      <c r="F4787" s="8">
        <v>3260</v>
      </c>
    </row>
    <row r="4788" spans="1:6" ht="12.75">
      <c r="A4788" s="8">
        <v>43902.913506944446</v>
      </c>
      <c r="B4788" s="8" t="str">
        <f>HYPERLINK("https://twitter.com/TimesUp_Libs","@TimesUp_Libs")</f>
        <v>@TimesUp_Libs</v>
      </c>
      <c r="C4788" s="8" t="s">
        <v>1195</v>
      </c>
      <c r="D4788" s="8">
        <v>2011</v>
      </c>
      <c r="E4788" s="8">
        <v>0</v>
      </c>
      <c r="F4788" s="8">
        <v>46</v>
      </c>
    </row>
    <row r="4789" spans="1:6" ht="12.75">
      <c r="A4789" s="8">
        <v>43902.913217592592</v>
      </c>
      <c r="B4789" s="8" t="str">
        <f>HYPERLINK("https://twitter.com/forddyce92","@forddyce92")</f>
        <v>@forddyce92</v>
      </c>
      <c r="C4789" s="8" t="s">
        <v>2411</v>
      </c>
      <c r="D4789" s="8">
        <v>0</v>
      </c>
      <c r="E4789" s="8">
        <v>0</v>
      </c>
      <c r="F4789" s="8">
        <v>29</v>
      </c>
    </row>
    <row r="4790" spans="1:6" ht="12.75">
      <c r="A4790" s="8">
        <v>43902.913182870368</v>
      </c>
      <c r="B4790" s="8" t="str">
        <f>HYPERLINK("https://twitter.com/wiwikherma","@wiwikherma")</f>
        <v>@wiwikherma</v>
      </c>
      <c r="C4790" s="8" t="s">
        <v>2412</v>
      </c>
      <c r="D4790" s="8">
        <v>0</v>
      </c>
      <c r="E4790" s="8">
        <v>2</v>
      </c>
      <c r="F4790" s="8">
        <v>12801</v>
      </c>
    </row>
    <row r="4791" spans="1:6" ht="12.75">
      <c r="A4791" s="8">
        <v>43902.913101851853</v>
      </c>
      <c r="B4791" s="8" t="str">
        <f>HYPERLINK("https://twitter.com/karmatiranda","@karmatiranda")</f>
        <v>@karmatiranda</v>
      </c>
      <c r="C4791" s="8" t="s">
        <v>2413</v>
      </c>
      <c r="D4791" s="8">
        <v>0</v>
      </c>
      <c r="E4791" s="8">
        <v>0</v>
      </c>
      <c r="F4791" s="8">
        <v>72</v>
      </c>
    </row>
    <row r="4792" spans="1:6" ht="12.75">
      <c r="A4792" s="8">
        <v>43902.913032407407</v>
      </c>
      <c r="B4792" s="8" t="str">
        <f>HYPERLINK("https://twitter.com/onsrgst","@onsrgst")</f>
        <v>@onsrgst</v>
      </c>
      <c r="C4792" s="8" t="s">
        <v>289</v>
      </c>
      <c r="D4792" s="8">
        <v>59</v>
      </c>
      <c r="E4792" s="8">
        <v>0</v>
      </c>
      <c r="F4792" s="8">
        <v>120</v>
      </c>
    </row>
    <row r="4793" spans="1:6" ht="12.75">
      <c r="A4793" s="8">
        <v>43902.912870370375</v>
      </c>
      <c r="B4793" s="8" t="str">
        <f>HYPERLINK("https://twitter.com/_wni_","@_wni_")</f>
        <v>@_wni_</v>
      </c>
      <c r="C4793" s="8" t="s">
        <v>2414</v>
      </c>
      <c r="D4793" s="8">
        <v>0</v>
      </c>
      <c r="E4793" s="8">
        <v>0</v>
      </c>
      <c r="F4793" s="8">
        <v>20</v>
      </c>
    </row>
    <row r="4794" spans="1:6" ht="12.75">
      <c r="A4794" s="8">
        <v>43902.912280092598</v>
      </c>
      <c r="B4794" s="8" t="str">
        <f>HYPERLINK("https://twitter.com/parmabar","@parmabar")</f>
        <v>@parmabar</v>
      </c>
      <c r="C4794" s="8" t="s">
        <v>289</v>
      </c>
      <c r="D4794" s="8">
        <v>59</v>
      </c>
      <c r="E4794" s="8">
        <v>0</v>
      </c>
      <c r="F4794" s="8">
        <v>1392</v>
      </c>
    </row>
    <row r="4795" spans="1:6" ht="12.75">
      <c r="A4795" s="8">
        <v>43902.911770833336</v>
      </c>
      <c r="B4795" s="8" t="str">
        <f>HYPERLINK("https://twitter.com/WatchfullG","@WatchfullG")</f>
        <v>@WatchfullG</v>
      </c>
      <c r="C4795" s="8" t="s">
        <v>1195</v>
      </c>
      <c r="D4795" s="8">
        <v>2011</v>
      </c>
      <c r="E4795" s="8">
        <v>0</v>
      </c>
      <c r="F4795" s="8">
        <v>82</v>
      </c>
    </row>
    <row r="4796" spans="1:6" ht="12.75">
      <c r="A4796" s="8">
        <v>43902.911759259259</v>
      </c>
      <c r="B4796" s="8" t="str">
        <f>HYPERLINK("https://twitter.com/indolmmixer","@indolmmixer")</f>
        <v>@indolmmixer</v>
      </c>
      <c r="C4796" s="8" t="s">
        <v>2415</v>
      </c>
      <c r="D4796" s="8">
        <v>0</v>
      </c>
      <c r="E4796" s="8">
        <v>0</v>
      </c>
      <c r="F4796" s="8">
        <v>4439</v>
      </c>
    </row>
    <row r="4797" spans="1:6" ht="12.75">
      <c r="A4797" s="8">
        <v>43902.911736111113</v>
      </c>
      <c r="B4797" s="8" t="str">
        <f>HYPERLINK("https://twitter.com/Sarang984","@Sarang984")</f>
        <v>@Sarang984</v>
      </c>
      <c r="C4797" s="8" t="s">
        <v>1195</v>
      </c>
      <c r="D4797" s="8">
        <v>2011</v>
      </c>
      <c r="E4797" s="8">
        <v>0</v>
      </c>
      <c r="F4797" s="8">
        <v>66</v>
      </c>
    </row>
    <row r="4798" spans="1:6" ht="12.75">
      <c r="A4798" s="8">
        <v>43902.911643518513</v>
      </c>
      <c r="B4798" s="8" t="str">
        <f>HYPERLINK("https://twitter.com/Satya_77","@Satya_77")</f>
        <v>@Satya_77</v>
      </c>
      <c r="C4798" s="8" t="s">
        <v>1195</v>
      </c>
      <c r="D4798" s="8">
        <v>2011</v>
      </c>
      <c r="E4798" s="8">
        <v>0</v>
      </c>
      <c r="F4798" s="8">
        <v>126</v>
      </c>
    </row>
    <row r="4799" spans="1:6" ht="12.75">
      <c r="A4799" s="8">
        <v>43902.91134259259</v>
      </c>
      <c r="B4799" s="8" t="str">
        <f>HYPERLINK("https://twitter.com/NhnordicNitish","@NhnordicNitish")</f>
        <v>@NhnordicNitish</v>
      </c>
      <c r="C4799" s="8" t="s">
        <v>1195</v>
      </c>
      <c r="D4799" s="8">
        <v>2011</v>
      </c>
      <c r="E4799" s="8">
        <v>0</v>
      </c>
      <c r="F4799" s="8">
        <v>382</v>
      </c>
    </row>
    <row r="4800" spans="1:6" ht="12.75">
      <c r="A4800" s="8">
        <v>43902.911041666666</v>
      </c>
      <c r="B4800" s="8" t="str">
        <f>HYPERLINK("https://twitter.com/05panji2","@05panji2")</f>
        <v>@05panji2</v>
      </c>
      <c r="C4800" s="8" t="s">
        <v>2416</v>
      </c>
      <c r="D4800" s="8">
        <v>0</v>
      </c>
      <c r="E4800" s="8">
        <v>1</v>
      </c>
      <c r="F4800" s="8">
        <v>439</v>
      </c>
    </row>
    <row r="4801" spans="1:6" ht="12.75">
      <c r="A4801" s="8">
        <v>43902.910752314812</v>
      </c>
      <c r="B4801" s="8" t="str">
        <f>HYPERLINK("https://twitter.com/iamvitesh","@iamvitesh")</f>
        <v>@iamvitesh</v>
      </c>
      <c r="C4801" s="8" t="s">
        <v>1195</v>
      </c>
      <c r="D4801" s="8">
        <v>2011</v>
      </c>
      <c r="E4801" s="8">
        <v>0</v>
      </c>
      <c r="F4801" s="8">
        <v>508</v>
      </c>
    </row>
    <row r="4802" spans="1:6" ht="12.75">
      <c r="A4802" s="8">
        <v>43902.91034722222</v>
      </c>
      <c r="B4802" s="8" t="str">
        <f>HYPERLINK("https://twitter.com/gr8rIndia","@gr8rIndia")</f>
        <v>@gr8rIndia</v>
      </c>
      <c r="C4802" s="8" t="s">
        <v>1195</v>
      </c>
      <c r="D4802" s="8">
        <v>2011</v>
      </c>
      <c r="E4802" s="8">
        <v>0</v>
      </c>
      <c r="F4802" s="8">
        <v>58</v>
      </c>
    </row>
    <row r="4803" spans="1:6" ht="12.75">
      <c r="A4803" s="8">
        <v>43902.910254629634</v>
      </c>
      <c r="B4803" s="8" t="str">
        <f>HYPERLINK("https://twitter.com/BudiMaria93","@BudiMaria93")</f>
        <v>@BudiMaria93</v>
      </c>
      <c r="C4803" s="8" t="s">
        <v>2417</v>
      </c>
      <c r="D4803" s="8">
        <v>0</v>
      </c>
      <c r="E4803" s="8">
        <v>0</v>
      </c>
      <c r="F4803" s="8">
        <v>7</v>
      </c>
    </row>
    <row r="4804" spans="1:6" ht="12.75">
      <c r="A4804" s="8">
        <v>43902.910162037035</v>
      </c>
      <c r="B4804" s="8" t="str">
        <f>HYPERLINK("https://twitter.com/moresulaksh","@moresulaksh")</f>
        <v>@moresulaksh</v>
      </c>
      <c r="C4804" s="8" t="s">
        <v>1195</v>
      </c>
      <c r="D4804" s="8">
        <v>2011</v>
      </c>
      <c r="E4804" s="8">
        <v>0</v>
      </c>
      <c r="F4804" s="8">
        <v>420</v>
      </c>
    </row>
    <row r="4805" spans="1:6" ht="12.75">
      <c r="A4805" s="8">
        <v>43902.910150462965</v>
      </c>
      <c r="B4805" s="8" t="str">
        <f>HYPERLINK("https://twitter.com/KliWetan","@KliWetan")</f>
        <v>@KliWetan</v>
      </c>
      <c r="C4805" s="8" t="s">
        <v>2418</v>
      </c>
      <c r="D4805" s="8">
        <v>0</v>
      </c>
      <c r="E4805" s="8">
        <v>2</v>
      </c>
      <c r="F4805" s="8">
        <v>6561</v>
      </c>
    </row>
    <row r="4806" spans="1:6" ht="12.75">
      <c r="A4806" s="8">
        <v>43902.910046296296</v>
      </c>
      <c r="B4806" s="8" t="str">
        <f>HYPERLINK("https://twitter.com/sudar2k","@sudar2k")</f>
        <v>@sudar2k</v>
      </c>
      <c r="C4806" s="8" t="s">
        <v>1195</v>
      </c>
      <c r="D4806" s="8">
        <v>2011</v>
      </c>
      <c r="E4806" s="8">
        <v>0</v>
      </c>
      <c r="F4806" s="8">
        <v>2305</v>
      </c>
    </row>
    <row r="4807" spans="1:6" ht="12.75">
      <c r="A4807" s="8">
        <v>43902.909861111111</v>
      </c>
      <c r="B4807" s="8" t="str">
        <f>HYPERLINK("https://twitter.com/05panji2","@05panji2")</f>
        <v>@05panji2</v>
      </c>
      <c r="C4807" s="8" t="s">
        <v>2419</v>
      </c>
      <c r="D4807" s="8">
        <v>0</v>
      </c>
      <c r="E4807" s="8">
        <v>2</v>
      </c>
      <c r="F4807" s="8">
        <v>439</v>
      </c>
    </row>
    <row r="4808" spans="1:6" ht="12.75">
      <c r="A4808" s="8">
        <v>43902.909837962958</v>
      </c>
      <c r="B4808" s="8" t="str">
        <f>HYPERLINK("https://twitter.com/rkkansal51","@rkkansal51")</f>
        <v>@rkkansal51</v>
      </c>
      <c r="C4808" s="8" t="s">
        <v>1195</v>
      </c>
      <c r="D4808" s="8">
        <v>2011</v>
      </c>
      <c r="E4808" s="8">
        <v>0</v>
      </c>
      <c r="F4808" s="8">
        <v>391</v>
      </c>
    </row>
    <row r="4809" spans="1:6" ht="12.75">
      <c r="A4809" s="8">
        <v>43902.909351851849</v>
      </c>
      <c r="B4809" s="8" t="str">
        <f>HYPERLINK("https://twitter.com/edisuhendro14","@edisuhendro14")</f>
        <v>@edisuhendro14</v>
      </c>
      <c r="C4809" s="8" t="s">
        <v>289</v>
      </c>
      <c r="D4809" s="8">
        <v>59</v>
      </c>
      <c r="E4809" s="8">
        <v>0</v>
      </c>
      <c r="F4809" s="8">
        <v>107</v>
      </c>
    </row>
    <row r="4810" spans="1:6" ht="12.75">
      <c r="A4810" s="8">
        <v>43902.909270833334</v>
      </c>
      <c r="B4810" s="8" t="str">
        <f>HYPERLINK("https://twitter.com/rahulrash18","@rahulrash18")</f>
        <v>@rahulrash18</v>
      </c>
      <c r="C4810" s="8" t="s">
        <v>1195</v>
      </c>
      <c r="D4810" s="8">
        <v>2011</v>
      </c>
      <c r="E4810" s="8">
        <v>0</v>
      </c>
      <c r="F4810" s="8">
        <v>384</v>
      </c>
    </row>
    <row r="4811" spans="1:6" ht="12.75">
      <c r="A4811" s="8">
        <v>43902.909189814818</v>
      </c>
      <c r="B4811" s="8" t="str">
        <f>HYPERLINK("https://twitter.com/AngelaChandra3","@AngelaChandra3")</f>
        <v>@AngelaChandra3</v>
      </c>
      <c r="C4811" s="8" t="s">
        <v>2420</v>
      </c>
      <c r="D4811" s="8">
        <v>0</v>
      </c>
      <c r="E4811" s="8">
        <v>0</v>
      </c>
      <c r="F4811" s="8">
        <v>223</v>
      </c>
    </row>
    <row r="4812" spans="1:6" ht="12.75">
      <c r="A4812" s="8">
        <v>43902.909085648149</v>
      </c>
      <c r="B4812" s="8" t="str">
        <f>HYPERLINK("https://twitter.com/Nurdiana6881","@Nurdiana6881")</f>
        <v>@Nurdiana6881</v>
      </c>
      <c r="C4812" s="8" t="s">
        <v>2421</v>
      </c>
      <c r="D4812" s="8">
        <v>0</v>
      </c>
      <c r="E4812" s="8">
        <v>0</v>
      </c>
      <c r="F4812" s="8">
        <v>478</v>
      </c>
    </row>
    <row r="4813" spans="1:6" ht="12.75">
      <c r="A4813" s="8">
        <v>43902.909062499995</v>
      </c>
      <c r="B4813" s="8" t="str">
        <f>HYPERLINK("https://twitter.com/JannesHutajulu","@JannesHutajulu")</f>
        <v>@JannesHutajulu</v>
      </c>
      <c r="C4813" s="8" t="s">
        <v>289</v>
      </c>
      <c r="D4813" s="8">
        <v>59</v>
      </c>
      <c r="E4813" s="8">
        <v>0</v>
      </c>
      <c r="F4813" s="8">
        <v>2496</v>
      </c>
    </row>
    <row r="4814" spans="1:6" ht="12.75">
      <c r="A4814" s="8">
        <v>43902.90898148148</v>
      </c>
      <c r="B4814" s="8" t="str">
        <f>HYPERLINK("https://twitter.com/Rival54247407","@Rival54247407")</f>
        <v>@Rival54247407</v>
      </c>
      <c r="C4814" s="8" t="s">
        <v>2422</v>
      </c>
      <c r="D4814" s="8">
        <v>0</v>
      </c>
      <c r="E4814" s="8">
        <v>0</v>
      </c>
      <c r="F4814" s="8">
        <v>4</v>
      </c>
    </row>
    <row r="4815" spans="1:6" ht="12.75">
      <c r="A4815" s="8">
        <v>43902.908750000002</v>
      </c>
      <c r="B4815" s="8" t="str">
        <f>HYPERLINK("https://twitter.com/beingabhijeet95","@beingabhijeet95")</f>
        <v>@beingabhijeet95</v>
      </c>
      <c r="C4815" s="8" t="s">
        <v>2423</v>
      </c>
      <c r="D4815" s="8">
        <v>0</v>
      </c>
      <c r="E4815" s="8">
        <v>0</v>
      </c>
      <c r="F4815" s="8">
        <v>834</v>
      </c>
    </row>
    <row r="4816" spans="1:6" ht="12.75">
      <c r="A4816" s="8">
        <v>43902.908425925925</v>
      </c>
      <c r="B4816" s="8" t="str">
        <f>HYPERLINK("https://twitter.com/TheAshokSingh","@TheAshokSingh")</f>
        <v>@TheAshokSingh</v>
      </c>
      <c r="C4816" s="8" t="s">
        <v>1195</v>
      </c>
      <c r="D4816" s="8">
        <v>2011</v>
      </c>
      <c r="E4816" s="8">
        <v>0</v>
      </c>
      <c r="F4816" s="8">
        <v>10588</v>
      </c>
    </row>
    <row r="4817" spans="1:6" ht="12.75">
      <c r="A4817" s="8">
        <v>43902.908182870371</v>
      </c>
      <c r="B4817" s="8" t="str">
        <f>HYPERLINK("https://twitter.com/BShyamdev","@BShyamdev")</f>
        <v>@BShyamdev</v>
      </c>
      <c r="C4817" s="8" t="s">
        <v>1195</v>
      </c>
      <c r="D4817" s="8">
        <v>2011</v>
      </c>
      <c r="E4817" s="8">
        <v>0</v>
      </c>
      <c r="F4817" s="8">
        <v>153</v>
      </c>
    </row>
    <row r="4818" spans="1:6" ht="12.75">
      <c r="A4818" s="8">
        <v>43902.90792824074</v>
      </c>
      <c r="B4818" s="8" t="str">
        <f>HYPERLINK("https://twitter.com/hindu_t_v_a","@hindu_t_v_a")</f>
        <v>@hindu_t_v_a</v>
      </c>
      <c r="C4818" s="8" t="s">
        <v>1195</v>
      </c>
      <c r="D4818" s="8">
        <v>2011</v>
      </c>
      <c r="E4818" s="8">
        <v>0</v>
      </c>
      <c r="F4818" s="8">
        <v>115</v>
      </c>
    </row>
    <row r="4819" spans="1:6" ht="12.75">
      <c r="A4819" s="8">
        <v>43902.907916666663</v>
      </c>
      <c r="B4819" s="8" t="str">
        <f>HYPERLINK("https://twitter.com/Pavanstweetz","@Pavanstweetz")</f>
        <v>@Pavanstweetz</v>
      </c>
      <c r="C4819" s="8" t="s">
        <v>1195</v>
      </c>
      <c r="D4819" s="8">
        <v>2011</v>
      </c>
      <c r="E4819" s="8">
        <v>0</v>
      </c>
      <c r="F4819" s="8">
        <v>548</v>
      </c>
    </row>
    <row r="4820" spans="1:6" ht="12.75">
      <c r="A4820" s="8">
        <v>43902.906400462962</v>
      </c>
      <c r="B4820" s="8" t="str">
        <f>HYPERLINK("https://twitter.com/bungfaq","@bungfaq")</f>
        <v>@bungfaq</v>
      </c>
      <c r="C4820" s="8" t="s">
        <v>1758</v>
      </c>
      <c r="D4820" s="8">
        <v>79</v>
      </c>
      <c r="E4820" s="8">
        <v>0</v>
      </c>
      <c r="F4820" s="8">
        <v>516</v>
      </c>
    </row>
    <row r="4821" spans="1:6" ht="12.75">
      <c r="A4821" s="8">
        <v>43902.906331018516</v>
      </c>
      <c r="B4821" s="8" t="str">
        <f>HYPERLINK("https://twitter.com/krishan_kgs","@krishan_kgs")</f>
        <v>@krishan_kgs</v>
      </c>
      <c r="C4821" s="8" t="s">
        <v>1195</v>
      </c>
      <c r="D4821" s="8">
        <v>2011</v>
      </c>
      <c r="E4821" s="8">
        <v>0</v>
      </c>
      <c r="F4821" s="8">
        <v>284</v>
      </c>
    </row>
    <row r="4822" spans="1:6" ht="12.75">
      <c r="A4822" s="8">
        <v>43902.905671296292</v>
      </c>
      <c r="B4822" s="8" t="str">
        <f>HYPERLINK("https://twitter.com/kali41771350","@kali41771350")</f>
        <v>@kali41771350</v>
      </c>
      <c r="C4822" s="8" t="s">
        <v>2424</v>
      </c>
      <c r="D4822" s="8">
        <v>0</v>
      </c>
      <c r="E4822" s="8">
        <v>0</v>
      </c>
      <c r="F4822" s="8">
        <v>1</v>
      </c>
    </row>
    <row r="4823" spans="1:6" ht="12.75">
      <c r="A4823" s="8">
        <v>43902.905451388884</v>
      </c>
      <c r="B4823" s="8" t="str">
        <f>HYPERLINK("https://twitter.com/auliaannsa","@auliaannsa")</f>
        <v>@auliaannsa</v>
      </c>
      <c r="C4823" s="8" t="s">
        <v>1376</v>
      </c>
      <c r="D4823" s="8">
        <v>68</v>
      </c>
      <c r="E4823" s="8">
        <v>0</v>
      </c>
      <c r="F4823" s="8">
        <v>1086</v>
      </c>
    </row>
    <row r="4824" spans="1:6" ht="12.75">
      <c r="A4824" s="8">
        <v>43902.904861111107</v>
      </c>
      <c r="B4824" s="8" t="str">
        <f>HYPERLINK("https://twitter.com/anuragsh10","@anuragsh10")</f>
        <v>@anuragsh10</v>
      </c>
      <c r="C4824" s="8" t="s">
        <v>1195</v>
      </c>
      <c r="D4824" s="8">
        <v>2011</v>
      </c>
      <c r="E4824" s="8">
        <v>0</v>
      </c>
      <c r="F4824" s="8">
        <v>91</v>
      </c>
    </row>
    <row r="4825" spans="1:6" ht="12.75">
      <c r="A4825" s="8">
        <v>43902.904722222222</v>
      </c>
      <c r="B4825" s="8" t="str">
        <f>HYPERLINK("https://twitter.com/EricssenWen","@EricssenWen")</f>
        <v>@EricssenWen</v>
      </c>
      <c r="C4825" s="8" t="s">
        <v>2425</v>
      </c>
      <c r="D4825" s="8">
        <v>0</v>
      </c>
      <c r="E4825" s="8">
        <v>0</v>
      </c>
      <c r="F4825" s="8">
        <v>1902</v>
      </c>
    </row>
    <row r="4826" spans="1:6" ht="12.75">
      <c r="A4826" s="8">
        <v>43902.904224537036</v>
      </c>
      <c r="B4826" s="8" t="str">
        <f>HYPERLINK("https://twitter.com/NaviriMag","@NaviriMag")</f>
        <v>@NaviriMag</v>
      </c>
      <c r="C4826" s="8" t="s">
        <v>2426</v>
      </c>
      <c r="D4826" s="8">
        <v>0</v>
      </c>
      <c r="E4826" s="8">
        <v>0</v>
      </c>
      <c r="F4826" s="8">
        <v>1353</v>
      </c>
    </row>
    <row r="4827" spans="1:6" ht="12.75">
      <c r="A4827" s="8">
        <v>43902.90420138889</v>
      </c>
      <c r="B4827" s="8" t="str">
        <f>HYPERLINK("https://twitter.com/SujnanNayak","@SujnanNayak")</f>
        <v>@SujnanNayak</v>
      </c>
      <c r="C4827" s="8" t="s">
        <v>1195</v>
      </c>
      <c r="D4827" s="8">
        <v>2011</v>
      </c>
      <c r="E4827" s="8">
        <v>0</v>
      </c>
      <c r="F4827" s="8">
        <v>1562</v>
      </c>
    </row>
    <row r="4828" spans="1:6" ht="12.75">
      <c r="A4828" s="8">
        <v>43902.904108796298</v>
      </c>
      <c r="B4828" s="8" t="str">
        <f>HYPERLINK("https://twitter.com/PRFMnews","@PRFMnews")</f>
        <v>@PRFMnews</v>
      </c>
      <c r="C4828" s="8" t="s">
        <v>2427</v>
      </c>
      <c r="D4828" s="8">
        <v>0</v>
      </c>
      <c r="E4828" s="8">
        <v>0</v>
      </c>
      <c r="F4828" s="8">
        <v>244169</v>
      </c>
    </row>
    <row r="4829" spans="1:6" ht="12.75">
      <c r="A4829" s="8">
        <v>43902.904108796298</v>
      </c>
      <c r="B4829" s="8" t="str">
        <f>HYPERLINK("https://twitter.com/andi_dwan15","@andi_dwan15")</f>
        <v>@andi_dwan15</v>
      </c>
      <c r="C4829" s="8" t="s">
        <v>2428</v>
      </c>
      <c r="D4829" s="8">
        <v>0</v>
      </c>
      <c r="E4829" s="8">
        <v>1</v>
      </c>
      <c r="F4829" s="8">
        <v>62</v>
      </c>
    </row>
    <row r="4830" spans="1:6" ht="12.75">
      <c r="A4830" s="8">
        <v>43902.881828703699</v>
      </c>
      <c r="B4830" s="8" t="str">
        <f>HYPERLINK("https://twitter.com/EMAEM23","@EMAEM23")</f>
        <v>@EMAEM23</v>
      </c>
      <c r="C4830" s="8" t="s">
        <v>2429</v>
      </c>
      <c r="D4830" s="8">
        <v>0</v>
      </c>
      <c r="E4830" s="8">
        <v>0</v>
      </c>
      <c r="F4830" s="8">
        <v>191</v>
      </c>
    </row>
    <row r="4831" spans="1:6" ht="12.75">
      <c r="A4831" s="8">
        <v>43902.881793981476</v>
      </c>
      <c r="B4831" s="8" t="str">
        <f>HYPERLINK("https://twitter.com/mantriss","@mantriss")</f>
        <v>@mantriss</v>
      </c>
      <c r="C4831" s="8" t="s">
        <v>2430</v>
      </c>
      <c r="D4831" s="8">
        <v>0</v>
      </c>
      <c r="E4831" s="8">
        <v>0</v>
      </c>
      <c r="F4831" s="8">
        <v>26770</v>
      </c>
    </row>
    <row r="4832" spans="1:6" ht="12.75">
      <c r="A4832" s="8">
        <v>43902.881782407407</v>
      </c>
      <c r="B4832" s="8" t="str">
        <f>HYPERLINK("https://twitter.com/ISIS_Balik_NO","@ISIS_Balik_NO")</f>
        <v>@ISIS_Balik_NO</v>
      </c>
      <c r="C4832" s="8" t="s">
        <v>2431</v>
      </c>
      <c r="D4832" s="8">
        <v>0</v>
      </c>
      <c r="E4832" s="8">
        <v>0</v>
      </c>
      <c r="F4832" s="8">
        <v>6253</v>
      </c>
    </row>
    <row r="4833" spans="1:6" ht="12.75">
      <c r="A4833" s="8">
        <v>43902.881597222222</v>
      </c>
      <c r="B4833" s="8" t="str">
        <f>HYPERLINK("https://twitter.com/ranjanpatel108","@ranjanpatel108")</f>
        <v>@ranjanpatel108</v>
      </c>
      <c r="C4833" s="8" t="s">
        <v>1195</v>
      </c>
      <c r="D4833" s="8">
        <v>1865</v>
      </c>
      <c r="E4833" s="8">
        <v>0</v>
      </c>
      <c r="F4833" s="8">
        <v>16150</v>
      </c>
    </row>
    <row r="4834" spans="1:6" ht="12.75">
      <c r="A4834" s="8">
        <v>43902.881550925929</v>
      </c>
      <c r="B4834" s="8" t="str">
        <f>HYPERLINK("https://twitter.com/SheGozam","@SheGozam")</f>
        <v>@SheGozam</v>
      </c>
      <c r="C4834" s="8" t="s">
        <v>2165</v>
      </c>
      <c r="D4834" s="8">
        <v>1</v>
      </c>
      <c r="E4834" s="8">
        <v>0</v>
      </c>
      <c r="F4834" s="8">
        <v>154</v>
      </c>
    </row>
    <row r="4835" spans="1:6" ht="12.75">
      <c r="A4835" s="8">
        <v>43902.881435185191</v>
      </c>
      <c r="B4835" s="8" t="str">
        <f>HYPERLINK("https://twitter.com/NannyAlexendry","@NannyAlexendry")</f>
        <v>@NannyAlexendry</v>
      </c>
      <c r="C4835" s="8" t="s">
        <v>295</v>
      </c>
      <c r="D4835" s="8">
        <v>86</v>
      </c>
      <c r="E4835" s="8">
        <v>0</v>
      </c>
      <c r="F4835" s="8">
        <v>2956</v>
      </c>
    </row>
    <row r="4836" spans="1:6" ht="12.75">
      <c r="A4836" s="8">
        <v>43902.881423611107</v>
      </c>
      <c r="B4836" s="8" t="str">
        <f>HYPERLINK("https://twitter.com/Soumyas60537773","@Soumyas60537773")</f>
        <v>@Soumyas60537773</v>
      </c>
      <c r="C4836" s="8" t="s">
        <v>1808</v>
      </c>
      <c r="D4836" s="8">
        <v>918</v>
      </c>
      <c r="E4836" s="8">
        <v>0</v>
      </c>
      <c r="F4836" s="8">
        <v>895</v>
      </c>
    </row>
    <row r="4837" spans="1:6" ht="12.75">
      <c r="A4837" s="8">
        <v>43902.881342592591</v>
      </c>
      <c r="B4837" s="8" t="str">
        <f>HYPERLINK("https://twitter.com/kakakpaul","@kakakpaul")</f>
        <v>@kakakpaul</v>
      </c>
      <c r="C4837" s="8" t="s">
        <v>1758</v>
      </c>
      <c r="D4837" s="8">
        <v>69</v>
      </c>
      <c r="E4837" s="8">
        <v>0</v>
      </c>
      <c r="F4837" s="8">
        <v>59</v>
      </c>
    </row>
    <row r="4838" spans="1:6" ht="12.75">
      <c r="A4838" s="8">
        <v>43902.881307870368</v>
      </c>
      <c r="B4838" s="8" t="str">
        <f>HYPERLINK("https://twitter.com/NannyAlexendry","@NannyAlexendry")</f>
        <v>@NannyAlexendry</v>
      </c>
      <c r="C4838" s="8" t="s">
        <v>2432</v>
      </c>
      <c r="D4838" s="8">
        <v>55</v>
      </c>
      <c r="E4838" s="8">
        <v>0</v>
      </c>
      <c r="F4838" s="8">
        <v>2956</v>
      </c>
    </row>
    <row r="4839" spans="1:6" ht="12.75">
      <c r="A4839" s="8">
        <v>43902.881284722222</v>
      </c>
      <c r="B4839" s="8" t="str">
        <f>HYPERLINK("https://twitter.com/bersatulahnkri","@bersatulahnkri")</f>
        <v>@bersatulahnkri</v>
      </c>
      <c r="C4839" s="8" t="s">
        <v>1758</v>
      </c>
      <c r="D4839" s="8">
        <v>69</v>
      </c>
      <c r="E4839" s="8">
        <v>0</v>
      </c>
      <c r="F4839" s="8">
        <v>2145</v>
      </c>
    </row>
    <row r="4840" spans="1:6" ht="12.75">
      <c r="A4840" s="8">
        <v>43902.881168981483</v>
      </c>
      <c r="B4840" s="8" t="str">
        <f>HYPERLINK("https://twitter.com/shguturi","@shguturi")</f>
        <v>@shguturi</v>
      </c>
      <c r="C4840" s="8" t="s">
        <v>1195</v>
      </c>
      <c r="D4840" s="8">
        <v>1865</v>
      </c>
      <c r="E4840" s="8">
        <v>0</v>
      </c>
      <c r="F4840" s="8">
        <v>86</v>
      </c>
    </row>
    <row r="4841" spans="1:6" ht="12.75">
      <c r="A4841" s="8">
        <v>43902.88108796296</v>
      </c>
      <c r="B4841" s="8" t="str">
        <f>HYPERLINK("https://twitter.com/paulSayPKMKB","@paulSayPKMKB")</f>
        <v>@paulSayPKMKB</v>
      </c>
      <c r="C4841" s="8" t="s">
        <v>1195</v>
      </c>
      <c r="D4841" s="8">
        <v>1865</v>
      </c>
      <c r="E4841" s="8">
        <v>0</v>
      </c>
      <c r="F4841" s="8">
        <v>127</v>
      </c>
    </row>
    <row r="4842" spans="1:6" ht="12.75">
      <c r="A4842" s="8">
        <v>43902.881006944444</v>
      </c>
      <c r="B4842" s="8" t="str">
        <f>HYPERLINK("https://twitter.com/Soumyas60537773","@Soumyas60537773")</f>
        <v>@Soumyas60537773</v>
      </c>
      <c r="C4842" s="8" t="s">
        <v>1195</v>
      </c>
      <c r="D4842" s="8">
        <v>1865</v>
      </c>
      <c r="E4842" s="8">
        <v>0</v>
      </c>
      <c r="F4842" s="8">
        <v>895</v>
      </c>
    </row>
    <row r="4843" spans="1:6" ht="12.75">
      <c r="A4843" s="8">
        <v>43902.880960648152</v>
      </c>
      <c r="B4843" s="8" t="str">
        <f>HYPERLINK("https://twitter.com/AngkorWot","@AngkorWot")</f>
        <v>@AngkorWot</v>
      </c>
      <c r="C4843" s="8" t="s">
        <v>1195</v>
      </c>
      <c r="D4843" s="8">
        <v>1865</v>
      </c>
      <c r="E4843" s="8">
        <v>0</v>
      </c>
      <c r="F4843" s="8">
        <v>182</v>
      </c>
    </row>
    <row r="4844" spans="1:6" ht="12.75">
      <c r="A4844" s="8">
        <v>43902.880960648152</v>
      </c>
      <c r="B4844" s="8" t="str">
        <f>HYPERLINK("https://twitter.com/ketoprakl","@ketoprakl")</f>
        <v>@ketoprakl</v>
      </c>
      <c r="C4844" s="8" t="s">
        <v>2433</v>
      </c>
      <c r="D4844" s="8">
        <v>0</v>
      </c>
      <c r="E4844" s="8">
        <v>0</v>
      </c>
      <c r="F4844" s="8">
        <v>443</v>
      </c>
    </row>
    <row r="4845" spans="1:6" ht="12.75">
      <c r="A4845" s="8">
        <v>43902.88082175926</v>
      </c>
      <c r="B4845" s="8" t="str">
        <f>HYPERLINK("https://twitter.com/ustadtengkuzull","@ustadtengkuzull")</f>
        <v>@ustadtengkuzull</v>
      </c>
      <c r="C4845" s="8" t="s">
        <v>2434</v>
      </c>
      <c r="D4845" s="8">
        <v>0</v>
      </c>
      <c r="E4845" s="8">
        <v>0</v>
      </c>
      <c r="F4845" s="8">
        <v>112</v>
      </c>
    </row>
    <row r="4846" spans="1:6" ht="12.75">
      <c r="A4846" s="8">
        <v>43902.880578703705</v>
      </c>
      <c r="B4846" s="8" t="str">
        <f>HYPERLINK("https://twitter.com/maroorpandu","@maroorpandu")</f>
        <v>@maroorpandu</v>
      </c>
      <c r="C4846" s="8" t="s">
        <v>1195</v>
      </c>
      <c r="D4846" s="8">
        <v>1865</v>
      </c>
      <c r="E4846" s="8">
        <v>0</v>
      </c>
      <c r="F4846" s="8">
        <v>434</v>
      </c>
    </row>
    <row r="4847" spans="1:6" ht="12.75">
      <c r="A4847" s="8">
        <v>43902.880439814813</v>
      </c>
      <c r="B4847" s="8" t="str">
        <f>HYPERLINK("https://twitter.com/T5190M","@T5190M")</f>
        <v>@T5190M</v>
      </c>
      <c r="C4847" s="8" t="s">
        <v>1195</v>
      </c>
      <c r="D4847" s="8">
        <v>1865</v>
      </c>
      <c r="E4847" s="8">
        <v>0</v>
      </c>
      <c r="F4847" s="8">
        <v>336</v>
      </c>
    </row>
    <row r="4848" spans="1:6" ht="12.75">
      <c r="A4848" s="8">
        <v>43902.880347222221</v>
      </c>
      <c r="B4848" s="8" t="str">
        <f>HYPERLINK("https://twitter.com/Adhiraj68956960","@Adhiraj68956960")</f>
        <v>@Adhiraj68956960</v>
      </c>
      <c r="C4848" s="8" t="s">
        <v>1195</v>
      </c>
      <c r="D4848" s="8">
        <v>1865</v>
      </c>
      <c r="E4848" s="8">
        <v>0</v>
      </c>
      <c r="F4848" s="8">
        <v>88</v>
      </c>
    </row>
    <row r="4849" spans="1:6" ht="12.75">
      <c r="A4849" s="8">
        <v>43902.880219907413</v>
      </c>
      <c r="B4849" s="8" t="str">
        <f>HYPERLINK("https://twitter.com/ustadtengkuzull","@ustadtengkuzull")</f>
        <v>@ustadtengkuzull</v>
      </c>
      <c r="C4849" s="8" t="s">
        <v>2435</v>
      </c>
      <c r="D4849" s="8">
        <v>0</v>
      </c>
      <c r="E4849" s="8">
        <v>0</v>
      </c>
      <c r="F4849" s="8">
        <v>112</v>
      </c>
    </row>
    <row r="4850" spans="1:6" ht="12.75">
      <c r="A4850" s="8">
        <v>43902.880173611113</v>
      </c>
      <c r="B4850" s="8" t="str">
        <f>HYPERLINK("https://twitter.com/SaffaaGlacio","@SaffaaGlacio")</f>
        <v>@SaffaaGlacio</v>
      </c>
      <c r="C4850" s="8" t="s">
        <v>2436</v>
      </c>
      <c r="D4850" s="8">
        <v>0</v>
      </c>
      <c r="E4850" s="8">
        <v>0</v>
      </c>
      <c r="F4850" s="8">
        <v>9</v>
      </c>
    </row>
    <row r="4851" spans="1:6" ht="12.75">
      <c r="A4851" s="8">
        <v>43902.880127314813</v>
      </c>
      <c r="B4851" s="8" t="str">
        <f>HYPERLINK("https://twitter.com/ISIS_Balik_NO","@ISIS_Balik_NO")</f>
        <v>@ISIS_Balik_NO</v>
      </c>
      <c r="C4851" s="8" t="s">
        <v>2437</v>
      </c>
      <c r="D4851" s="8">
        <v>0</v>
      </c>
      <c r="E4851" s="8">
        <v>0</v>
      </c>
      <c r="F4851" s="8">
        <v>6253</v>
      </c>
    </row>
    <row r="4852" spans="1:6" ht="12.75">
      <c r="A4852" s="8">
        <v>43902.879606481481</v>
      </c>
      <c r="B4852" s="8" t="str">
        <f>HYPERLINK("https://twitter.com/VaratharaajanR","@VaratharaajanR")</f>
        <v>@VaratharaajanR</v>
      </c>
      <c r="C4852" s="8" t="s">
        <v>1195</v>
      </c>
      <c r="D4852" s="8">
        <v>1865</v>
      </c>
      <c r="E4852" s="8">
        <v>0</v>
      </c>
      <c r="F4852" s="8">
        <v>319</v>
      </c>
    </row>
    <row r="4853" spans="1:6" ht="12.75">
      <c r="A4853" s="8">
        <v>43902.879386574074</v>
      </c>
      <c r="B4853" s="8" t="str">
        <f>HYPERLINK("https://twitter.com/poncokarso","@poncokarso")</f>
        <v>@poncokarso</v>
      </c>
      <c r="C4853" s="8" t="s">
        <v>1758</v>
      </c>
      <c r="D4853" s="8">
        <v>69</v>
      </c>
      <c r="E4853" s="8">
        <v>0</v>
      </c>
      <c r="F4853" s="8">
        <v>1117</v>
      </c>
    </row>
    <row r="4854" spans="1:6" ht="12.75">
      <c r="A4854" s="8">
        <v>43902.879351851851</v>
      </c>
      <c r="B4854" s="8" t="str">
        <f>HYPERLINK("https://twitter.com/Natalieanggi112","@Natalieanggi112")</f>
        <v>@Natalieanggi112</v>
      </c>
      <c r="C4854" s="8" t="s">
        <v>2438</v>
      </c>
      <c r="D4854" s="8">
        <v>0</v>
      </c>
      <c r="E4854" s="8">
        <v>0</v>
      </c>
      <c r="F4854" s="8">
        <v>10152</v>
      </c>
    </row>
    <row r="4855" spans="1:6" ht="12.75">
      <c r="A4855" s="8">
        <v>43902.879293981481</v>
      </c>
      <c r="B4855" s="8" t="str">
        <f>HYPERLINK("https://twitter.com/VaibhavPalaska6","@VaibhavPalaska6")</f>
        <v>@VaibhavPalaska6</v>
      </c>
      <c r="C4855" s="8" t="s">
        <v>1195</v>
      </c>
      <c r="D4855" s="8">
        <v>1865</v>
      </c>
      <c r="E4855" s="8">
        <v>0</v>
      </c>
      <c r="F4855" s="8">
        <v>761</v>
      </c>
    </row>
    <row r="4856" spans="1:6" ht="12.75">
      <c r="A4856" s="8">
        <v>43902.879293981481</v>
      </c>
      <c r="B4856" s="8" t="str">
        <f>HYPERLINK("https://twitter.com/delaMayore","@delaMayore")</f>
        <v>@delaMayore</v>
      </c>
      <c r="C4856" s="8" t="s">
        <v>2439</v>
      </c>
      <c r="D4856" s="8">
        <v>0</v>
      </c>
      <c r="E4856" s="8">
        <v>0</v>
      </c>
      <c r="F4856" s="8">
        <v>184</v>
      </c>
    </row>
    <row r="4857" spans="1:6" ht="12.75">
      <c r="A4857" s="8">
        <v>43902.879293981481</v>
      </c>
      <c r="B4857" s="8" t="str">
        <f>HYPERLINK("https://twitter.com/angrysinghsahab","@angrysinghsahab")</f>
        <v>@angrysinghsahab</v>
      </c>
      <c r="C4857" s="8" t="s">
        <v>1195</v>
      </c>
      <c r="D4857" s="8">
        <v>1865</v>
      </c>
      <c r="E4857" s="8">
        <v>0</v>
      </c>
      <c r="F4857" s="8">
        <v>1578</v>
      </c>
    </row>
    <row r="4858" spans="1:6" ht="12.75">
      <c r="A4858" s="8">
        <v>43902.879212962958</v>
      </c>
      <c r="B4858" s="8" t="str">
        <f>HYPERLINK("https://twitter.com/SuksmaM","@SuksmaM")</f>
        <v>@SuksmaM</v>
      </c>
      <c r="C4858" s="8" t="s">
        <v>2440</v>
      </c>
      <c r="D4858" s="8">
        <v>0</v>
      </c>
      <c r="E4858" s="8">
        <v>0</v>
      </c>
      <c r="F4858" s="8">
        <v>1865</v>
      </c>
    </row>
    <row r="4859" spans="1:6" ht="12.75">
      <c r="A4859" s="8">
        <v>43902.87881944445</v>
      </c>
      <c r="B4859" s="8" t="str">
        <f>HYPERLINK("https://twitter.com/SamrohSamaon","@SamrohSamaon")</f>
        <v>@SamrohSamaon</v>
      </c>
      <c r="C4859" s="8" t="s">
        <v>1758</v>
      </c>
      <c r="D4859" s="8">
        <v>69</v>
      </c>
      <c r="E4859" s="8">
        <v>0</v>
      </c>
      <c r="F4859" s="8">
        <v>44</v>
      </c>
    </row>
    <row r="4860" spans="1:6" ht="12.75">
      <c r="A4860" s="8">
        <v>43902.87877314815</v>
      </c>
      <c r="B4860" s="8" t="str">
        <f>HYPERLINK("https://twitter.com/Geet28741109","@Geet28741109")</f>
        <v>@Geet28741109</v>
      </c>
      <c r="C4860" s="8" t="s">
        <v>1195</v>
      </c>
      <c r="D4860" s="8">
        <v>1865</v>
      </c>
      <c r="E4860" s="8">
        <v>0</v>
      </c>
      <c r="F4860" s="8">
        <v>123</v>
      </c>
    </row>
    <row r="4861" spans="1:6" ht="12.75">
      <c r="A4861" s="8">
        <v>43902.878321759257</v>
      </c>
      <c r="B4861" s="8" t="str">
        <f>HYPERLINK("https://twitter.com/Mindra_AZ","@Mindra_AZ")</f>
        <v>@Mindra_AZ</v>
      </c>
      <c r="C4861" s="8" t="s">
        <v>2441</v>
      </c>
      <c r="D4861" s="8">
        <v>0</v>
      </c>
      <c r="E4861" s="8">
        <v>0</v>
      </c>
      <c r="F4861" s="8">
        <v>995</v>
      </c>
    </row>
    <row r="4862" spans="1:6" ht="12.75">
      <c r="A4862" s="8">
        <v>43902.878032407403</v>
      </c>
      <c r="B4862" s="8" t="str">
        <f>HYPERLINK("https://twitter.com/Zayn_Nurie","@Zayn_Nurie")</f>
        <v>@Zayn_Nurie</v>
      </c>
      <c r="C4862" s="8" t="s">
        <v>2442</v>
      </c>
      <c r="D4862" s="8">
        <v>3</v>
      </c>
      <c r="E4862" s="8">
        <v>0</v>
      </c>
      <c r="F4862" s="8">
        <v>67</v>
      </c>
    </row>
    <row r="4863" spans="1:6" ht="12.75">
      <c r="A4863" s="8">
        <v>43902.878009259264</v>
      </c>
      <c r="B4863" s="8" t="str">
        <f>HYPERLINK("https://twitter.com/NamasteBharat1","@NamasteBharat1")</f>
        <v>@NamasteBharat1</v>
      </c>
      <c r="C4863" s="8" t="s">
        <v>1808</v>
      </c>
      <c r="D4863" s="8">
        <v>918</v>
      </c>
      <c r="E4863" s="8">
        <v>0</v>
      </c>
      <c r="F4863" s="8">
        <v>159</v>
      </c>
    </row>
    <row r="4864" spans="1:6" ht="12.75">
      <c r="A4864" s="8">
        <v>43902.877986111111</v>
      </c>
      <c r="B4864" s="8" t="str">
        <f>HYPERLINK("https://twitter.com/rifkimaul","@rifkimaul")</f>
        <v>@rifkimaul</v>
      </c>
      <c r="C4864" s="8" t="s">
        <v>440</v>
      </c>
      <c r="D4864" s="8">
        <v>67</v>
      </c>
      <c r="E4864" s="8">
        <v>0</v>
      </c>
      <c r="F4864" s="8">
        <v>631</v>
      </c>
    </row>
    <row r="4865" spans="1:6" ht="12.75">
      <c r="A4865" s="8">
        <v>43902.877962962964</v>
      </c>
      <c r="B4865" s="8" t="str">
        <f>HYPERLINK("https://twitter.com/NamasteBharat1","@NamasteBharat1")</f>
        <v>@NamasteBharat1</v>
      </c>
      <c r="C4865" s="8" t="s">
        <v>1195</v>
      </c>
      <c r="D4865" s="8">
        <v>1865</v>
      </c>
      <c r="E4865" s="8">
        <v>0</v>
      </c>
      <c r="F4865" s="8">
        <v>159</v>
      </c>
    </row>
    <row r="4866" spans="1:6" ht="12.75">
      <c r="A4866" s="8">
        <v>43902.877893518518</v>
      </c>
      <c r="B4866" s="8" t="str">
        <f>HYPERLINK("https://twitter.com/singhalok173","@singhalok173")</f>
        <v>@singhalok173</v>
      </c>
      <c r="C4866" s="8" t="s">
        <v>1195</v>
      </c>
      <c r="D4866" s="8">
        <v>1865</v>
      </c>
      <c r="E4866" s="8">
        <v>0</v>
      </c>
      <c r="F4866" s="8">
        <v>205</v>
      </c>
    </row>
    <row r="4867" spans="1:6" ht="12.75">
      <c r="A4867" s="8">
        <v>43902.877835648149</v>
      </c>
      <c r="B4867" s="8" t="str">
        <f>HYPERLINK("https://twitter.com/Chaurasiajayan1","@Chaurasiajayan1")</f>
        <v>@Chaurasiajayan1</v>
      </c>
      <c r="C4867" s="8" t="s">
        <v>1195</v>
      </c>
      <c r="D4867" s="8">
        <v>1865</v>
      </c>
      <c r="E4867" s="8">
        <v>0</v>
      </c>
      <c r="F4867" s="8">
        <v>985</v>
      </c>
    </row>
    <row r="4868" spans="1:6" ht="12.75">
      <c r="A4868" s="8">
        <v>43902.877557870372</v>
      </c>
      <c r="B4868" s="8" t="str">
        <f>HYPERLINK("https://twitter.com/RupeshS1985","@RupeshS1985")</f>
        <v>@RupeshS1985</v>
      </c>
      <c r="C4868" s="8" t="s">
        <v>1195</v>
      </c>
      <c r="D4868" s="8">
        <v>1865</v>
      </c>
      <c r="E4868" s="8">
        <v>0</v>
      </c>
      <c r="F4868" s="8">
        <v>157</v>
      </c>
    </row>
    <row r="4869" spans="1:6" ht="12.75">
      <c r="A4869" s="8">
        <v>43902.877523148149</v>
      </c>
      <c r="B4869" s="8" t="str">
        <f>HYPERLINK("https://twitter.com/andyypri23","@andyypri23")</f>
        <v>@andyypri23</v>
      </c>
      <c r="C4869" s="8" t="s">
        <v>2443</v>
      </c>
      <c r="D4869" s="8">
        <v>3</v>
      </c>
      <c r="E4869" s="8">
        <v>0</v>
      </c>
      <c r="F4869" s="8">
        <v>17</v>
      </c>
    </row>
    <row r="4870" spans="1:6" ht="12.75">
      <c r="A4870" s="8">
        <v>43902.877453703702</v>
      </c>
      <c r="B4870" s="8" t="str">
        <f>HYPERLINK("https://twitter.com/ustadtengkuzull","@ustadtengkuzull")</f>
        <v>@ustadtengkuzull</v>
      </c>
      <c r="C4870" s="8" t="s">
        <v>2444</v>
      </c>
      <c r="D4870" s="8">
        <v>0</v>
      </c>
      <c r="E4870" s="8">
        <v>1</v>
      </c>
      <c r="F4870" s="8">
        <v>112</v>
      </c>
    </row>
    <row r="4871" spans="1:6" ht="12.75">
      <c r="A4871" s="8">
        <v>43902.877210648148</v>
      </c>
      <c r="B4871" s="8" t="str">
        <f>HYPERLINK("https://twitter.com/Pulippaani","@Pulippaani")</f>
        <v>@Pulippaani</v>
      </c>
      <c r="C4871" s="8" t="s">
        <v>1195</v>
      </c>
      <c r="D4871" s="8">
        <v>1865</v>
      </c>
      <c r="E4871" s="8">
        <v>0</v>
      </c>
      <c r="F4871" s="8">
        <v>236</v>
      </c>
    </row>
    <row r="4872" spans="1:6" ht="12.75">
      <c r="A4872" s="8">
        <v>43902.87700231481</v>
      </c>
      <c r="B4872" s="8" t="str">
        <f>HYPERLINK("https://twitter.com/sirajapadoha","@sirajapadoha")</f>
        <v>@sirajapadoha</v>
      </c>
      <c r="C4872" s="8" t="s">
        <v>2445</v>
      </c>
      <c r="D4872" s="8">
        <v>0</v>
      </c>
      <c r="E4872" s="8">
        <v>0</v>
      </c>
      <c r="F4872" s="8">
        <v>2502</v>
      </c>
    </row>
    <row r="4873" spans="1:6" ht="12.75">
      <c r="A4873" s="8">
        <v>43902.876944444448</v>
      </c>
      <c r="B4873" s="8" t="str">
        <f>HYPERLINK("https://twitter.com/MamaiDarling","@MamaiDarling")</f>
        <v>@MamaiDarling</v>
      </c>
      <c r="C4873" s="8" t="s">
        <v>2446</v>
      </c>
      <c r="D4873" s="8">
        <v>0</v>
      </c>
      <c r="E4873" s="8">
        <v>1</v>
      </c>
      <c r="F4873" s="8">
        <v>140</v>
      </c>
    </row>
    <row r="4874" spans="1:6" ht="12.75">
      <c r="A4874" s="8">
        <v>43902.876840277779</v>
      </c>
      <c r="B4874" s="8" t="str">
        <f>HYPERLINK("https://twitter.com/SuksmaM","@SuksmaM")</f>
        <v>@SuksmaM</v>
      </c>
      <c r="C4874" s="8" t="s">
        <v>2447</v>
      </c>
      <c r="D4874" s="8">
        <v>0</v>
      </c>
      <c r="E4874" s="8">
        <v>0</v>
      </c>
      <c r="F4874" s="8">
        <v>1865</v>
      </c>
    </row>
    <row r="4875" spans="1:6" ht="12.75">
      <c r="A4875" s="8">
        <v>43902.876759259263</v>
      </c>
      <c r="B4875" s="8" t="str">
        <f>HYPERLINK("https://twitter.com/kompascom","@kompascom")</f>
        <v>@kompascom</v>
      </c>
      <c r="C4875" s="8" t="s">
        <v>2448</v>
      </c>
      <c r="D4875" s="8">
        <v>1</v>
      </c>
      <c r="E4875" s="8">
        <v>5</v>
      </c>
      <c r="F4875" s="8">
        <v>7543277</v>
      </c>
    </row>
    <row r="4876" spans="1:6" ht="12.75">
      <c r="A4876" s="8">
        <v>43902.876736111109</v>
      </c>
      <c r="B4876" s="8" t="str">
        <f>HYPERLINK("https://twitter.com/PapoKikok","@PapoKikok")</f>
        <v>@PapoKikok</v>
      </c>
      <c r="C4876" s="8" t="s">
        <v>2449</v>
      </c>
      <c r="D4876" s="8">
        <v>0</v>
      </c>
      <c r="E4876" s="8">
        <v>0</v>
      </c>
      <c r="F4876" s="8">
        <v>101</v>
      </c>
    </row>
    <row r="4877" spans="1:6" ht="12.75">
      <c r="A4877" s="8">
        <v>43902.876620370371</v>
      </c>
      <c r="B4877" s="8" t="str">
        <f>HYPERLINK("https://twitter.com/KiranRkhande","@KiranRkhande")</f>
        <v>@KiranRkhande</v>
      </c>
      <c r="C4877" s="8" t="s">
        <v>1195</v>
      </c>
      <c r="D4877" s="8">
        <v>1865</v>
      </c>
      <c r="E4877" s="8">
        <v>0</v>
      </c>
      <c r="F4877" s="8">
        <v>149</v>
      </c>
    </row>
    <row r="4878" spans="1:6" ht="12.75">
      <c r="A4878" s="8">
        <v>43902.876550925925</v>
      </c>
      <c r="B4878" s="8" t="str">
        <f>HYPERLINK("https://twitter.com/setiapancasila","@setiapancasila")</f>
        <v>@setiapancasila</v>
      </c>
      <c r="C4878" s="8" t="s">
        <v>2450</v>
      </c>
      <c r="D4878" s="8">
        <v>0</v>
      </c>
      <c r="E4878" s="8">
        <v>1</v>
      </c>
      <c r="F4878" s="8">
        <v>4853</v>
      </c>
    </row>
    <row r="4879" spans="1:6" ht="12.75">
      <c r="A4879" s="8">
        <v>43902.876331018517</v>
      </c>
      <c r="B4879" s="8" t="str">
        <f>HYPERLINK("https://twitter.com/kopigulamerah","@kopigulamerah")</f>
        <v>@kopigulamerah</v>
      </c>
      <c r="C4879" s="8" t="s">
        <v>289</v>
      </c>
      <c r="D4879" s="8">
        <v>49</v>
      </c>
      <c r="E4879" s="8">
        <v>0</v>
      </c>
      <c r="F4879" s="8">
        <v>558</v>
      </c>
    </row>
    <row r="4880" spans="1:6" ht="12.75">
      <c r="A4880" s="8">
        <v>43902.876307870371</v>
      </c>
      <c r="B4880" s="8" t="str">
        <f>HYPERLINK("https://twitter.com/amol_khiste","@amol_khiste")</f>
        <v>@amol_khiste</v>
      </c>
      <c r="C4880" s="8" t="s">
        <v>1195</v>
      </c>
      <c r="D4880" s="8">
        <v>1865</v>
      </c>
      <c r="E4880" s="8">
        <v>0</v>
      </c>
      <c r="F4880" s="8">
        <v>466</v>
      </c>
    </row>
    <row r="4881" spans="1:6" ht="12.75">
      <c r="A4881" s="8">
        <v>43902.876238425924</v>
      </c>
      <c r="B4881" s="8" t="str">
        <f>HYPERLINK("https://twitter.com/matlabi_rokx","@matlabi_rokx")</f>
        <v>@matlabi_rokx</v>
      </c>
      <c r="C4881" s="8" t="s">
        <v>1195</v>
      </c>
      <c r="D4881" s="8">
        <v>1865</v>
      </c>
      <c r="E4881" s="8">
        <v>0</v>
      </c>
      <c r="F4881" s="8">
        <v>9723</v>
      </c>
    </row>
    <row r="4882" spans="1:6" ht="12.75">
      <c r="A4882" s="8">
        <v>43902.876145833332</v>
      </c>
      <c r="B4882" s="8" t="str">
        <f>HYPERLINK("https://twitter.com/i4LBE","@i4LBE")</f>
        <v>@i4LBE</v>
      </c>
      <c r="C4882" s="8" t="s">
        <v>2051</v>
      </c>
      <c r="D4882" s="8">
        <v>151</v>
      </c>
      <c r="E4882" s="8">
        <v>0</v>
      </c>
      <c r="F4882" s="8">
        <v>303</v>
      </c>
    </row>
    <row r="4883" spans="1:6" ht="12.75">
      <c r="A4883" s="8">
        <v>43902.876111111109</v>
      </c>
      <c r="B4883" s="8" t="str">
        <f>HYPERLINK("https://twitter.com/ISIS_Balik_NO","@ISIS_Balik_NO")</f>
        <v>@ISIS_Balik_NO</v>
      </c>
      <c r="C4883" s="8" t="s">
        <v>2451</v>
      </c>
      <c r="D4883" s="8">
        <v>17</v>
      </c>
      <c r="E4883" s="8">
        <v>0</v>
      </c>
      <c r="F4883" s="8">
        <v>6253</v>
      </c>
    </row>
    <row r="4884" spans="1:6" ht="12.75">
      <c r="A4884" s="8">
        <v>43902.876041666663</v>
      </c>
      <c r="B4884" s="8" t="str">
        <f>HYPERLINK("https://twitter.com/Saffron2024","@Saffron2024")</f>
        <v>@Saffron2024</v>
      </c>
      <c r="C4884" s="8" t="s">
        <v>1195</v>
      </c>
      <c r="D4884" s="8">
        <v>1865</v>
      </c>
      <c r="E4884" s="8">
        <v>0</v>
      </c>
      <c r="F4884" s="8">
        <v>128</v>
      </c>
    </row>
    <row r="4885" spans="1:6" ht="12.75">
      <c r="A4885" s="8">
        <v>43902.875752314816</v>
      </c>
      <c r="B4885" s="8" t="str">
        <f>HYPERLINK("https://twitter.com/ISIS_Balik_NO","@ISIS_Balik_NO")</f>
        <v>@ISIS_Balik_NO</v>
      </c>
      <c r="C4885" s="8" t="s">
        <v>2452</v>
      </c>
      <c r="D4885" s="8">
        <v>204</v>
      </c>
      <c r="E4885" s="8">
        <v>0</v>
      </c>
      <c r="F4885" s="8">
        <v>6253</v>
      </c>
    </row>
    <row r="4886" spans="1:6" ht="12.75">
      <c r="A4886" s="8">
        <v>43902.875613425931</v>
      </c>
      <c r="B4886" s="8" t="str">
        <f>HYPERLINK("https://twitter.com/indriseska","@indriseska")</f>
        <v>@indriseska</v>
      </c>
      <c r="C4886" s="8" t="s">
        <v>2453</v>
      </c>
      <c r="D4886" s="8">
        <v>1</v>
      </c>
      <c r="E4886" s="8">
        <v>0</v>
      </c>
      <c r="F4886" s="8">
        <v>9613</v>
      </c>
    </row>
    <row r="4887" spans="1:6" ht="12.75">
      <c r="A4887" s="8">
        <v>43902.875555555554</v>
      </c>
      <c r="B4887" s="8" t="str">
        <f>HYPERLINK("https://twitter.com/JhonNehru","@JhonNehru")</f>
        <v>@JhonNehru</v>
      </c>
      <c r="C4887" s="8" t="s">
        <v>2454</v>
      </c>
      <c r="D4887" s="8">
        <v>0</v>
      </c>
      <c r="E4887" s="8">
        <v>0</v>
      </c>
      <c r="F4887" s="8">
        <v>256</v>
      </c>
    </row>
    <row r="4888" spans="1:6" ht="12.75">
      <c r="A4888" s="8">
        <v>43902.87537037037</v>
      </c>
      <c r="B4888" s="8" t="str">
        <f>HYPERLINK("https://twitter.com/Widyarenee","@Widyarenee")</f>
        <v>@Widyarenee</v>
      </c>
      <c r="C4888" s="8" t="s">
        <v>2455</v>
      </c>
      <c r="D4888" s="8">
        <v>1</v>
      </c>
      <c r="E4888" s="8">
        <v>6</v>
      </c>
      <c r="F4888" s="8">
        <v>8292</v>
      </c>
    </row>
    <row r="4889" spans="1:6" ht="12.75">
      <c r="A4889" s="8">
        <v>43902.875324074077</v>
      </c>
      <c r="B4889" s="8" t="str">
        <f>HYPERLINK("https://twitter.com/Morningtyas","@Morningtyas")</f>
        <v>@Morningtyas</v>
      </c>
      <c r="C4889" s="8" t="s">
        <v>2456</v>
      </c>
      <c r="D4889" s="8">
        <v>0</v>
      </c>
      <c r="E4889" s="8">
        <v>0</v>
      </c>
      <c r="F4889" s="8">
        <v>30664</v>
      </c>
    </row>
    <row r="4890" spans="1:6" ht="12.75">
      <c r="A4890" s="8">
        <v>43902.8753125</v>
      </c>
      <c r="B4890" s="8" t="str">
        <f>HYPERLINK("https://twitter.com/akh_bharatiya","@akh_bharatiya")</f>
        <v>@akh_bharatiya</v>
      </c>
      <c r="C4890" s="8" t="s">
        <v>1195</v>
      </c>
      <c r="D4890" s="8">
        <v>1865</v>
      </c>
      <c r="E4890" s="8">
        <v>0</v>
      </c>
      <c r="F4890" s="8">
        <v>221</v>
      </c>
    </row>
    <row r="4891" spans="1:6" ht="12.75">
      <c r="A4891" s="8">
        <v>43902.8753125</v>
      </c>
      <c r="B4891" s="8" t="str">
        <f>HYPERLINK("https://twitter.com/novapermana8","@novapermana8")</f>
        <v>@novapermana8</v>
      </c>
      <c r="C4891" s="8" t="s">
        <v>2457</v>
      </c>
      <c r="D4891" s="8">
        <v>1</v>
      </c>
      <c r="E4891" s="8">
        <v>0</v>
      </c>
      <c r="F4891" s="8">
        <v>688</v>
      </c>
    </row>
    <row r="4892" spans="1:6" ht="12.75">
      <c r="A4892" s="8">
        <v>43902.8752662037</v>
      </c>
      <c r="B4892" s="8" t="str">
        <f>HYPERLINK("https://twitter.com/DoJoeeatdrink","@DoJoeeatdrink")</f>
        <v>@DoJoeeatdrink</v>
      </c>
      <c r="C4892" s="8" t="s">
        <v>289</v>
      </c>
      <c r="D4892" s="8">
        <v>49</v>
      </c>
      <c r="E4892" s="8">
        <v>0</v>
      </c>
      <c r="F4892" s="8">
        <v>9</v>
      </c>
    </row>
    <row r="4893" spans="1:6" ht="12.75">
      <c r="A4893" s="8">
        <v>43902.875219907408</v>
      </c>
      <c r="B4893" s="8" t="str">
        <f>HYPERLINK("https://twitter.com/TraderJust","@TraderJust")</f>
        <v>@TraderJust</v>
      </c>
      <c r="C4893" s="8" t="s">
        <v>1195</v>
      </c>
      <c r="D4893" s="8">
        <v>1865</v>
      </c>
      <c r="E4893" s="8">
        <v>0</v>
      </c>
      <c r="F4893" s="8">
        <v>851</v>
      </c>
    </row>
    <row r="4894" spans="1:6" ht="12.75">
      <c r="A4894" s="8">
        <v>43902.875150462962</v>
      </c>
      <c r="B4894" s="8" t="str">
        <f>HYPERLINK("https://twitter.com/Hindian_Patriot","@Hindian_Patriot")</f>
        <v>@Hindian_Patriot</v>
      </c>
      <c r="C4894" s="8" t="s">
        <v>1808</v>
      </c>
      <c r="D4894" s="8">
        <v>918</v>
      </c>
      <c r="E4894" s="8">
        <v>0</v>
      </c>
      <c r="F4894" s="8">
        <v>767</v>
      </c>
    </row>
    <row r="4895" spans="1:6" ht="12.75">
      <c r="A4895" s="8">
        <v>43902.875</v>
      </c>
      <c r="B4895" s="8" t="str">
        <f>HYPERLINK("https://twitter.com/ItsMyRealQuotes","@ItsMyRealQuotes")</f>
        <v>@ItsMyRealQuotes</v>
      </c>
      <c r="C4895" s="8" t="s">
        <v>2458</v>
      </c>
      <c r="D4895" s="8">
        <v>0</v>
      </c>
      <c r="E4895" s="8">
        <v>0</v>
      </c>
      <c r="F4895" s="8">
        <v>181932</v>
      </c>
    </row>
    <row r="4896" spans="1:6" ht="12.75">
      <c r="A4896" s="8">
        <v>43902.874884259261</v>
      </c>
      <c r="B4896" s="8" t="str">
        <f>HYPERLINK("https://twitter.com/lampscfc08","@lampscfc08")</f>
        <v>@lampscfc08</v>
      </c>
      <c r="C4896" s="8" t="s">
        <v>1195</v>
      </c>
      <c r="D4896" s="8">
        <v>1865</v>
      </c>
      <c r="E4896" s="8">
        <v>0</v>
      </c>
      <c r="F4896" s="8">
        <v>197</v>
      </c>
    </row>
    <row r="4897" spans="1:6" ht="12.75">
      <c r="A4897" s="8">
        <v>43902.87462962963</v>
      </c>
      <c r="B4897" s="8" t="str">
        <f>HYPERLINK("https://twitter.com/NSRins_79","@NSRins_79")</f>
        <v>@NSRins_79</v>
      </c>
      <c r="C4897" s="8" t="s">
        <v>2459</v>
      </c>
      <c r="D4897" s="8">
        <v>0</v>
      </c>
      <c r="E4897" s="8">
        <v>1</v>
      </c>
      <c r="F4897" s="8">
        <v>851</v>
      </c>
    </row>
    <row r="4898" spans="1:6" ht="12.75">
      <c r="A4898" s="8">
        <v>43902.874525462961</v>
      </c>
      <c r="B4898" s="8" t="str">
        <f>HYPERLINK("https://twitter.com/_____Tobat","@_____Tobat")</f>
        <v>@_____Tobat</v>
      </c>
      <c r="C4898" s="8" t="s">
        <v>1801</v>
      </c>
      <c r="D4898" s="8">
        <v>353</v>
      </c>
      <c r="E4898" s="8">
        <v>0</v>
      </c>
      <c r="F4898" s="8">
        <v>2455</v>
      </c>
    </row>
    <row r="4899" spans="1:6" ht="12.75">
      <c r="A4899" s="8">
        <v>43902.874340277776</v>
      </c>
      <c r="B4899" s="8" t="str">
        <f>HYPERLINK("https://twitter.com/RMOL_TV","@RMOL_TV")</f>
        <v>@RMOL_TV</v>
      </c>
      <c r="C4899" s="8" t="s">
        <v>2460</v>
      </c>
      <c r="D4899" s="8">
        <v>0</v>
      </c>
      <c r="E4899" s="8">
        <v>0</v>
      </c>
      <c r="F4899" s="8">
        <v>853</v>
      </c>
    </row>
    <row r="4900" spans="1:6" ht="12.75">
      <c r="A4900" s="8">
        <v>43902.874247685184</v>
      </c>
      <c r="B4900" s="8" t="str">
        <f>HYPERLINK("https://twitter.com/bangkitriambada","@bangkitriambada")</f>
        <v>@bangkitriambada</v>
      </c>
      <c r="C4900" s="8" t="s">
        <v>2443</v>
      </c>
      <c r="D4900" s="8">
        <v>3</v>
      </c>
      <c r="E4900" s="8">
        <v>0</v>
      </c>
      <c r="F4900" s="8">
        <v>208</v>
      </c>
    </row>
    <row r="4901" spans="1:6" ht="12.75">
      <c r="A4901" s="8">
        <v>43902.874120370368</v>
      </c>
      <c r="B4901" s="8" t="str">
        <f>HYPERLINK("https://twitter.com/ustadtengkuzull","@ustadtengkuzull")</f>
        <v>@ustadtengkuzull</v>
      </c>
      <c r="C4901" s="8" t="s">
        <v>2461</v>
      </c>
      <c r="D4901" s="8">
        <v>0</v>
      </c>
      <c r="E4901" s="8">
        <v>1</v>
      </c>
      <c r="F4901" s="8">
        <v>112</v>
      </c>
    </row>
    <row r="4902" spans="1:6" ht="12.75">
      <c r="A4902" s="8">
        <v>43902.873877314814</v>
      </c>
      <c r="B4902" s="8" t="str">
        <f>HYPERLINK("https://twitter.com/GagakNeww2","@GagakNeww2")</f>
        <v>@GagakNeww2</v>
      </c>
      <c r="C4902" s="8" t="s">
        <v>2462</v>
      </c>
      <c r="D4902" s="8">
        <v>0</v>
      </c>
      <c r="E4902" s="8">
        <v>1</v>
      </c>
      <c r="F4902" s="8">
        <v>575</v>
      </c>
    </row>
    <row r="4903" spans="1:6" ht="12.75">
      <c r="A4903" s="8">
        <v>43902.873668981483</v>
      </c>
      <c r="B4903" s="8" t="str">
        <f>HYPERLINK("https://twitter.com/DrSagarr","@DrSagarr")</f>
        <v>@DrSagarr</v>
      </c>
      <c r="C4903" s="8" t="s">
        <v>1195</v>
      </c>
      <c r="D4903" s="8">
        <v>1865</v>
      </c>
      <c r="E4903" s="8">
        <v>0</v>
      </c>
      <c r="F4903" s="8">
        <v>207</v>
      </c>
    </row>
    <row r="4904" spans="1:6" ht="12.75">
      <c r="A4904" s="8">
        <v>43902.873657407406</v>
      </c>
      <c r="B4904" s="8" t="str">
        <f>HYPERLINK("https://twitter.com/SlametR72312235","@SlametR72312235")</f>
        <v>@SlametR72312235</v>
      </c>
      <c r="C4904" s="8" t="s">
        <v>1643</v>
      </c>
      <c r="D4904" s="8">
        <v>119</v>
      </c>
      <c r="E4904" s="8">
        <v>0</v>
      </c>
      <c r="F4904" s="8">
        <v>106</v>
      </c>
    </row>
    <row r="4905" spans="1:6" ht="12.75">
      <c r="A4905" s="8">
        <v>43902.873356481483</v>
      </c>
      <c r="B4905" s="8" t="str">
        <f>HYPERLINK("https://twitter.com/yusuf18kris","@yusuf18kris")</f>
        <v>@yusuf18kris</v>
      </c>
      <c r="C4905" s="8" t="s">
        <v>2463</v>
      </c>
      <c r="D4905" s="8">
        <v>0</v>
      </c>
      <c r="E4905" s="8">
        <v>0</v>
      </c>
      <c r="F4905" s="8">
        <v>34</v>
      </c>
    </row>
    <row r="4906" spans="1:6" ht="12.75">
      <c r="A4906" s="8">
        <v>43902.873182870375</v>
      </c>
      <c r="B4906" s="8" t="str">
        <f>HYPERLINK("https://twitter.com/neonaagesh","@neonaagesh")</f>
        <v>@neonaagesh</v>
      </c>
      <c r="C4906" s="8" t="s">
        <v>1195</v>
      </c>
      <c r="D4906" s="8">
        <v>1865</v>
      </c>
      <c r="E4906" s="8">
        <v>0</v>
      </c>
      <c r="F4906" s="8">
        <v>30</v>
      </c>
    </row>
    <row r="4907" spans="1:6" ht="12.75">
      <c r="A4907" s="8">
        <v>43902.873101851852</v>
      </c>
      <c r="B4907" s="8" t="str">
        <f>HYPERLINK("https://twitter.com/cnbcindonesia","@cnbcindonesia")</f>
        <v>@cnbcindonesia</v>
      </c>
      <c r="C4907" s="8" t="s">
        <v>2464</v>
      </c>
      <c r="D4907" s="8">
        <v>3</v>
      </c>
      <c r="E4907" s="8">
        <v>2</v>
      </c>
      <c r="F4907" s="8">
        <v>32056</v>
      </c>
    </row>
    <row r="4908" spans="1:6" ht="12.75">
      <c r="A4908" s="8">
        <v>43902.872974537036</v>
      </c>
      <c r="B4908" s="8" t="str">
        <f>HYPERLINK("https://twitter.com/ISIS_Balik_NO","@ISIS_Balik_NO")</f>
        <v>@ISIS_Balik_NO</v>
      </c>
      <c r="C4908" s="8" t="s">
        <v>2465</v>
      </c>
      <c r="D4908" s="8">
        <v>0</v>
      </c>
      <c r="E4908" s="8">
        <v>1</v>
      </c>
      <c r="F4908" s="8">
        <v>6253</v>
      </c>
    </row>
    <row r="4909" spans="1:6" ht="12.75">
      <c r="A4909" s="8">
        <v>43902.872962962967</v>
      </c>
      <c r="B4909" s="8" t="str">
        <f>HYPERLINK("https://twitter.com/dzulkarnains","@dzulkarnains")</f>
        <v>@dzulkarnains</v>
      </c>
      <c r="C4909" s="8" t="s">
        <v>1758</v>
      </c>
      <c r="D4909" s="8">
        <v>69</v>
      </c>
      <c r="E4909" s="8">
        <v>0</v>
      </c>
      <c r="F4909" s="8">
        <v>910</v>
      </c>
    </row>
    <row r="4910" spans="1:6" ht="12.75">
      <c r="A4910" s="8">
        <v>43902.872916666667</v>
      </c>
      <c r="B4910" s="8" t="str">
        <f t="shared" ref="B4910:B4911" si="89">HYPERLINK("https://twitter.com/Ankit_Patwa16","@Ankit_Patwa16")</f>
        <v>@Ankit_Patwa16</v>
      </c>
      <c r="C4910" s="8" t="s">
        <v>1808</v>
      </c>
      <c r="D4910" s="8">
        <v>918</v>
      </c>
      <c r="E4910" s="8">
        <v>0</v>
      </c>
      <c r="F4910" s="8">
        <v>257</v>
      </c>
    </row>
    <row r="4911" spans="1:6" ht="12.75">
      <c r="A4911" s="8">
        <v>43902.872881944444</v>
      </c>
      <c r="B4911" s="8" t="str">
        <f t="shared" si="89"/>
        <v>@Ankit_Patwa16</v>
      </c>
      <c r="C4911" s="8" t="s">
        <v>1195</v>
      </c>
      <c r="D4911" s="8">
        <v>1865</v>
      </c>
      <c r="E4911" s="8">
        <v>0</v>
      </c>
      <c r="F4911" s="8">
        <v>257</v>
      </c>
    </row>
    <row r="4912" spans="1:6" ht="12.75">
      <c r="A4912" s="8">
        <v>43902.872824074075</v>
      </c>
      <c r="B4912" s="8" t="str">
        <f>HYPERLINK("https://twitter.com/ShivajiPratap84","@ShivajiPratap84")</f>
        <v>@ShivajiPratap84</v>
      </c>
      <c r="C4912" s="8" t="s">
        <v>1195</v>
      </c>
      <c r="D4912" s="8">
        <v>1865</v>
      </c>
      <c r="E4912" s="8">
        <v>0</v>
      </c>
      <c r="F4912" s="8">
        <v>225</v>
      </c>
    </row>
    <row r="4913" spans="1:6" ht="12.75">
      <c r="A4913" s="8">
        <v>43902.872743055559</v>
      </c>
      <c r="B4913" s="8" t="str">
        <f>HYPERLINK("https://twitter.com/kcsnegi","@kcsnegi")</f>
        <v>@kcsnegi</v>
      </c>
      <c r="C4913" s="8" t="s">
        <v>1195</v>
      </c>
      <c r="D4913" s="8">
        <v>1865</v>
      </c>
      <c r="E4913" s="8">
        <v>0</v>
      </c>
      <c r="F4913" s="8">
        <v>1752</v>
      </c>
    </row>
    <row r="4914" spans="1:6" ht="12.75">
      <c r="A4914" s="8">
        <v>43902.872719907406</v>
      </c>
      <c r="B4914" s="8" t="str">
        <f>HYPERLINK("https://twitter.com/ISIS_Balik_NO","@ISIS_Balik_NO")</f>
        <v>@ISIS_Balik_NO</v>
      </c>
      <c r="C4914" s="8" t="s">
        <v>2466</v>
      </c>
      <c r="D4914" s="8">
        <v>10</v>
      </c>
      <c r="E4914" s="8">
        <v>0</v>
      </c>
      <c r="F4914" s="8">
        <v>6253</v>
      </c>
    </row>
    <row r="4915" spans="1:6" ht="12.75">
      <c r="A4915" s="8">
        <v>43902.872534722221</v>
      </c>
      <c r="B4915" s="8" t="str">
        <f>HYPERLINK("https://twitter.com/AkshayKatariyaa","@AkshayKatariyaa")</f>
        <v>@AkshayKatariyaa</v>
      </c>
      <c r="C4915" s="8" t="s">
        <v>1195</v>
      </c>
      <c r="D4915" s="8">
        <v>1865</v>
      </c>
      <c r="E4915" s="8">
        <v>0</v>
      </c>
      <c r="F4915" s="8">
        <v>23794</v>
      </c>
    </row>
    <row r="4916" spans="1:6" ht="12.75">
      <c r="A4916" s="8">
        <v>43902.872523148151</v>
      </c>
      <c r="B4916" s="8" t="str">
        <f>HYPERLINK("https://twitter.com/ar_shilpz","@ar_shilpz")</f>
        <v>@ar_shilpz</v>
      </c>
      <c r="C4916" s="8" t="s">
        <v>1195</v>
      </c>
      <c r="D4916" s="8">
        <v>1865</v>
      </c>
      <c r="E4916" s="8">
        <v>0</v>
      </c>
      <c r="F4916" s="8">
        <v>85</v>
      </c>
    </row>
    <row r="4917" spans="1:6" ht="12.75">
      <c r="A4917" s="8">
        <v>43902.872465277775</v>
      </c>
      <c r="B4917" s="8" t="str">
        <f>HYPERLINK("https://twitter.com/samir_988","@samir_988")</f>
        <v>@samir_988</v>
      </c>
      <c r="C4917" s="8" t="s">
        <v>1195</v>
      </c>
      <c r="D4917" s="8">
        <v>1865</v>
      </c>
      <c r="E4917" s="8">
        <v>0</v>
      </c>
      <c r="F4917" s="8">
        <v>152</v>
      </c>
    </row>
    <row r="4918" spans="1:6" ht="12.75">
      <c r="A4918" s="8">
        <v>43902.872037037036</v>
      </c>
      <c r="B4918" s="8" t="str">
        <f>HYPERLINK("https://twitter.com/Jyotsana75","@Jyotsana75")</f>
        <v>@Jyotsana75</v>
      </c>
      <c r="C4918" s="8" t="s">
        <v>1195</v>
      </c>
      <c r="D4918" s="8">
        <v>1865</v>
      </c>
      <c r="E4918" s="8">
        <v>0</v>
      </c>
      <c r="F4918" s="8">
        <v>146</v>
      </c>
    </row>
    <row r="4919" spans="1:6" ht="12.75">
      <c r="A4919" s="8">
        <v>43902.87190972222</v>
      </c>
      <c r="B4919" s="8" t="str">
        <f>HYPERLINK("https://twitter.com/vikrams09","@vikrams09")</f>
        <v>@vikrams09</v>
      </c>
      <c r="C4919" s="8" t="s">
        <v>1195</v>
      </c>
      <c r="D4919" s="8">
        <v>1865</v>
      </c>
      <c r="E4919" s="8">
        <v>0</v>
      </c>
      <c r="F4919" s="8">
        <v>931</v>
      </c>
    </row>
    <row r="4920" spans="1:6" ht="12.75">
      <c r="A4920" s="8">
        <v>43902.871724537035</v>
      </c>
      <c r="B4920" s="8" t="str">
        <f>HYPERLINK("https://twitter.com/ISIS_Balik_NO","@ISIS_Balik_NO")</f>
        <v>@ISIS_Balik_NO</v>
      </c>
      <c r="C4920" s="8" t="s">
        <v>2467</v>
      </c>
      <c r="D4920" s="8">
        <v>0</v>
      </c>
      <c r="E4920" s="8">
        <v>4</v>
      </c>
      <c r="F4920" s="8">
        <v>6253</v>
      </c>
    </row>
    <row r="4921" spans="1:6" ht="12.75">
      <c r="A4921" s="8">
        <v>43902.871030092589</v>
      </c>
      <c r="B4921" s="8" t="str">
        <f>HYPERLINK("https://twitter.com/Asthana1Vishal","@Asthana1Vishal")</f>
        <v>@Asthana1Vishal</v>
      </c>
      <c r="C4921" s="8" t="s">
        <v>1195</v>
      </c>
      <c r="D4921" s="8">
        <v>1865</v>
      </c>
      <c r="E4921" s="8">
        <v>0</v>
      </c>
      <c r="F4921" s="8">
        <v>112</v>
      </c>
    </row>
    <row r="4922" spans="1:6" ht="12.75">
      <c r="A4922" s="8">
        <v>43902.870706018519</v>
      </c>
      <c r="B4922" s="8" t="str">
        <f>HYPERLINK("https://twitter.com/aliralira","@aliralira")</f>
        <v>@aliralira</v>
      </c>
      <c r="C4922" s="8" t="s">
        <v>2468</v>
      </c>
      <c r="D4922" s="8">
        <v>0</v>
      </c>
      <c r="E4922" s="8">
        <v>2</v>
      </c>
      <c r="F4922" s="8">
        <v>20044</v>
      </c>
    </row>
    <row r="4923" spans="1:6" ht="12.75">
      <c r="A4923" s="8">
        <v>43902.870555555557</v>
      </c>
      <c r="B4923" s="8" t="str">
        <f>HYPERLINK("https://twitter.com/tellevu","@tellevu")</f>
        <v>@tellevu</v>
      </c>
      <c r="C4923" s="8" t="s">
        <v>1195</v>
      </c>
      <c r="D4923" s="8">
        <v>1865</v>
      </c>
      <c r="E4923" s="8">
        <v>0</v>
      </c>
      <c r="F4923" s="8">
        <v>364</v>
      </c>
    </row>
    <row r="4924" spans="1:6" ht="12.75">
      <c r="A4924" s="8">
        <v>43902.870405092588</v>
      </c>
      <c r="B4924" s="8" t="str">
        <f>HYPERLINK("https://twitter.com/ranggainthezone","@ranggainthezone")</f>
        <v>@ranggainthezone</v>
      </c>
      <c r="C4924" s="8" t="s">
        <v>2469</v>
      </c>
      <c r="D4924" s="8">
        <v>1</v>
      </c>
      <c r="E4924" s="8">
        <v>0</v>
      </c>
      <c r="F4924" s="8">
        <v>518</v>
      </c>
    </row>
    <row r="4925" spans="1:6" ht="12.75">
      <c r="A4925" s="8">
        <v>43902.87027777778</v>
      </c>
      <c r="B4925" s="8" t="str">
        <f>HYPERLINK("https://twitter.com/GagakNeww2","@GagakNeww2")</f>
        <v>@GagakNeww2</v>
      </c>
      <c r="C4925" s="8" t="s">
        <v>2470</v>
      </c>
      <c r="D4925" s="8">
        <v>0</v>
      </c>
      <c r="E4925" s="8">
        <v>2</v>
      </c>
      <c r="F4925" s="8">
        <v>575</v>
      </c>
    </row>
    <row r="4926" spans="1:6" ht="12.75">
      <c r="A4926" s="8">
        <v>43902.870138888888</v>
      </c>
      <c r="B4926" s="8" t="str">
        <f>HYPERLINK("https://twitter.com/kasehsaulmouk","@kasehsaulmouk")</f>
        <v>@kasehsaulmouk</v>
      </c>
      <c r="C4926" s="8" t="s">
        <v>2471</v>
      </c>
      <c r="D4926" s="8">
        <v>0</v>
      </c>
      <c r="E4926" s="8">
        <v>2</v>
      </c>
      <c r="F4926" s="8">
        <v>3798</v>
      </c>
    </row>
    <row r="4927" spans="1:6" ht="12.75">
      <c r="A4927" s="8">
        <v>43902.869953703703</v>
      </c>
      <c r="B4927" s="8" t="str">
        <f>HYPERLINK("https://twitter.com/_palarun","@_palarun")</f>
        <v>@_palarun</v>
      </c>
      <c r="C4927" s="8" t="s">
        <v>1195</v>
      </c>
      <c r="D4927" s="8">
        <v>1865</v>
      </c>
      <c r="E4927" s="8">
        <v>0</v>
      </c>
      <c r="F4927" s="8">
        <v>919</v>
      </c>
    </row>
    <row r="4928" spans="1:6" ht="12.75">
      <c r="A4928" s="8">
        <v>43902.869884259257</v>
      </c>
      <c r="B4928" s="8" t="str">
        <f>HYPERLINK("https://twitter.com/ISIS_Balik_NO","@ISIS_Balik_NO")</f>
        <v>@ISIS_Balik_NO</v>
      </c>
      <c r="C4928" s="8" t="s">
        <v>2472</v>
      </c>
      <c r="D4928" s="8">
        <v>0</v>
      </c>
      <c r="E4928" s="8">
        <v>4</v>
      </c>
      <c r="F4928" s="8">
        <v>6253</v>
      </c>
    </row>
    <row r="4929" spans="1:6" ht="12.75">
      <c r="A4929" s="8">
        <v>43902.869768518518</v>
      </c>
      <c r="B4929" s="8" t="str">
        <f>HYPERLINK("https://twitter.com/PurbaSinarta","@PurbaSinarta")</f>
        <v>@PurbaSinarta</v>
      </c>
      <c r="C4929" s="8" t="s">
        <v>2473</v>
      </c>
      <c r="D4929" s="8">
        <v>0</v>
      </c>
      <c r="E4929" s="8">
        <v>1</v>
      </c>
      <c r="F4929" s="8">
        <v>1162</v>
      </c>
    </row>
    <row r="4930" spans="1:6" ht="12.75">
      <c r="A4930" s="8">
        <v>43902.840069444443</v>
      </c>
      <c r="B4930" s="8" t="str">
        <f>HYPERLINK("https://twitter.com/ISIS_Balik_NO","@ISIS_Balik_NO")</f>
        <v>@ISIS_Balik_NO</v>
      </c>
      <c r="C4930" s="8" t="s">
        <v>2474</v>
      </c>
      <c r="D4930" s="8">
        <v>2</v>
      </c>
      <c r="E4930" s="8">
        <v>0</v>
      </c>
      <c r="F4930" s="8">
        <v>6247</v>
      </c>
    </row>
    <row r="4931" spans="1:6" ht="12.75">
      <c r="A4931" s="8">
        <v>43902.83997685185</v>
      </c>
      <c r="B4931" s="8" t="str">
        <f>HYPERLINK("https://twitter.com/Firgamal75","@Firgamal75")</f>
        <v>@Firgamal75</v>
      </c>
      <c r="C4931" s="8" t="s">
        <v>2475</v>
      </c>
      <c r="D4931" s="8">
        <v>0</v>
      </c>
      <c r="E4931" s="8">
        <v>0</v>
      </c>
      <c r="F4931" s="8">
        <v>198</v>
      </c>
    </row>
    <row r="4932" spans="1:6" ht="12.75">
      <c r="A4932" s="8">
        <v>43902.839837962965</v>
      </c>
      <c r="B4932" s="8" t="str">
        <f>HYPERLINK("https://twitter.com/ISIS_Balik_NO","@ISIS_Balik_NO")</f>
        <v>@ISIS_Balik_NO</v>
      </c>
      <c r="C4932" s="8" t="s">
        <v>2476</v>
      </c>
      <c r="D4932" s="8">
        <v>0</v>
      </c>
      <c r="E4932" s="8">
        <v>0</v>
      </c>
      <c r="F4932" s="8">
        <v>6247</v>
      </c>
    </row>
    <row r="4933" spans="1:6" ht="12.75">
      <c r="A4933" s="8">
        <v>43902.839722222227</v>
      </c>
      <c r="B4933" s="8" t="str">
        <f>HYPERLINK("https://twitter.com/renaalasyifa1","@renaalasyifa1")</f>
        <v>@renaalasyifa1</v>
      </c>
      <c r="C4933" s="8" t="s">
        <v>2477</v>
      </c>
      <c r="D4933" s="8">
        <v>0</v>
      </c>
      <c r="E4933" s="8">
        <v>0</v>
      </c>
      <c r="F4933" s="8">
        <v>2576</v>
      </c>
    </row>
    <row r="4934" spans="1:6" ht="12.75">
      <c r="A4934" s="8">
        <v>43902.839502314819</v>
      </c>
      <c r="B4934" s="8" t="str">
        <f>HYPERLINK("https://twitter.com/YogiPra90","@YogiPra90")</f>
        <v>@YogiPra90</v>
      </c>
      <c r="C4934" s="8" t="s">
        <v>2478</v>
      </c>
      <c r="D4934" s="8">
        <v>0</v>
      </c>
      <c r="E4934" s="8">
        <v>0</v>
      </c>
      <c r="F4934" s="8">
        <v>1286</v>
      </c>
    </row>
    <row r="4935" spans="1:6" ht="12.75">
      <c r="A4935" s="8">
        <v>43902.839409722219</v>
      </c>
      <c r="B4935" s="8" t="str">
        <f>HYPERLINK("https://twitter.com/Proudindian2u","@Proudindian2u")</f>
        <v>@Proudindian2u</v>
      </c>
      <c r="C4935" s="8" t="s">
        <v>1195</v>
      </c>
      <c r="D4935" s="8">
        <v>1640</v>
      </c>
      <c r="E4935" s="8">
        <v>0</v>
      </c>
      <c r="F4935" s="8">
        <v>387</v>
      </c>
    </row>
    <row r="4936" spans="1:6" ht="12.75">
      <c r="A4936" s="8">
        <v>43902.839398148149</v>
      </c>
      <c r="B4936" s="8" t="str">
        <f>HYPERLINK("https://twitter.com/shabbineeee","@shabbineeee")</f>
        <v>@shabbineeee</v>
      </c>
      <c r="C4936" s="8" t="s">
        <v>2479</v>
      </c>
      <c r="D4936" s="8">
        <v>0</v>
      </c>
      <c r="E4936" s="8">
        <v>0</v>
      </c>
      <c r="F4936" s="8">
        <v>14453</v>
      </c>
    </row>
    <row r="4937" spans="1:6" ht="12.75">
      <c r="A4937" s="8">
        <v>43902.839016203703</v>
      </c>
      <c r="B4937" s="8" t="str">
        <f>HYPERLINK("https://twitter.com/ShaliniSaxena06","@ShaliniSaxena06")</f>
        <v>@ShaliniSaxena06</v>
      </c>
      <c r="C4937" s="8" t="s">
        <v>1195</v>
      </c>
      <c r="D4937" s="8">
        <v>1640</v>
      </c>
      <c r="E4937" s="8">
        <v>0</v>
      </c>
      <c r="F4937" s="8">
        <v>497</v>
      </c>
    </row>
    <row r="4938" spans="1:6" ht="12.75">
      <c r="A4938" s="8">
        <v>43902.839004629626</v>
      </c>
      <c r="B4938" s="8" t="str">
        <f>HYPERLINK("https://twitter.com/pn_naveen_","@pn_naveen_")</f>
        <v>@pn_naveen_</v>
      </c>
      <c r="C4938" s="8" t="s">
        <v>1195</v>
      </c>
      <c r="D4938" s="8">
        <v>1640</v>
      </c>
      <c r="E4938" s="8">
        <v>0</v>
      </c>
      <c r="F4938" s="8">
        <v>281</v>
      </c>
    </row>
    <row r="4939" spans="1:6" ht="12.75">
      <c r="A4939" s="8">
        <v>43902.838969907403</v>
      </c>
      <c r="B4939" s="8" t="str">
        <f>HYPERLINK("https://twitter.com/tempodotco","@tempodotco")</f>
        <v>@tempodotco</v>
      </c>
      <c r="C4939" s="8" t="s">
        <v>2480</v>
      </c>
      <c r="D4939" s="8">
        <v>0</v>
      </c>
      <c r="E4939" s="8">
        <v>0</v>
      </c>
      <c r="F4939" s="8">
        <v>1713659</v>
      </c>
    </row>
    <row r="4940" spans="1:6" ht="12.75">
      <c r="A4940" s="8">
        <v>43902.838923611111</v>
      </c>
      <c r="B4940" s="8" t="str">
        <f>HYPERLINK("https://twitter.com/brigademaling","@brigademaling")</f>
        <v>@brigademaling</v>
      </c>
      <c r="C4940" s="8" t="s">
        <v>2051</v>
      </c>
      <c r="D4940" s="8">
        <v>144</v>
      </c>
      <c r="E4940" s="8">
        <v>0</v>
      </c>
      <c r="F4940" s="8">
        <v>825</v>
      </c>
    </row>
    <row r="4941" spans="1:6" ht="12.75">
      <c r="A4941" s="8">
        <v>43902.838865740741</v>
      </c>
      <c r="B4941" s="8" t="str">
        <f>HYPERLINK("https://twitter.com/KARUPPASAMY_L","@KARUPPASAMY_L")</f>
        <v>@KARUPPASAMY_L</v>
      </c>
      <c r="C4941" s="8" t="s">
        <v>1195</v>
      </c>
      <c r="D4941" s="8">
        <v>1640</v>
      </c>
      <c r="E4941" s="8">
        <v>0</v>
      </c>
      <c r="F4941" s="8">
        <v>202</v>
      </c>
    </row>
    <row r="4942" spans="1:6" ht="12.75">
      <c r="A4942" s="8">
        <v>43902.838819444441</v>
      </c>
      <c r="B4942" s="8" t="str">
        <f>HYPERLINK("https://twitter.com/ISIS_Balik_NO","@ISIS_Balik_NO")</f>
        <v>@ISIS_Balik_NO</v>
      </c>
      <c r="C4942" s="8" t="s">
        <v>2481</v>
      </c>
      <c r="D4942" s="8">
        <v>0</v>
      </c>
      <c r="E4942" s="8">
        <v>1</v>
      </c>
      <c r="F4942" s="8">
        <v>6247</v>
      </c>
    </row>
    <row r="4943" spans="1:6" ht="12.75">
      <c r="A4943" s="8">
        <v>43902.838819444441</v>
      </c>
      <c r="B4943" s="8" t="str">
        <f>HYPERLINK("https://twitter.com/aris3ono","@aris3ono")</f>
        <v>@aris3ono</v>
      </c>
      <c r="C4943" s="8" t="s">
        <v>1400</v>
      </c>
      <c r="D4943" s="8">
        <v>50</v>
      </c>
      <c r="E4943" s="8">
        <v>0</v>
      </c>
      <c r="F4943" s="8">
        <v>429</v>
      </c>
    </row>
    <row r="4944" spans="1:6" ht="12.75">
      <c r="A4944" s="8">
        <v>43902.838784722218</v>
      </c>
      <c r="B4944" s="8" t="str">
        <f>HYPERLINK("https://twitter.com/DatuakAtuk","@DatuakAtuk")</f>
        <v>@DatuakAtuk</v>
      </c>
      <c r="C4944" s="8" t="s">
        <v>2292</v>
      </c>
      <c r="D4944" s="8">
        <v>58</v>
      </c>
      <c r="E4944" s="8">
        <v>0</v>
      </c>
      <c r="F4944" s="8">
        <v>736</v>
      </c>
    </row>
    <row r="4945" spans="1:6" ht="12.75">
      <c r="A4945" s="8">
        <v>43902.838749999995</v>
      </c>
      <c r="B4945" s="8" t="str">
        <f t="shared" ref="B4945:B4946" si="90">HYPERLINK("https://twitter.com/BudiatnoGomarus","@BudiatnoGomarus")</f>
        <v>@BudiatnoGomarus</v>
      </c>
      <c r="C4945" s="8" t="s">
        <v>2482</v>
      </c>
      <c r="D4945" s="8">
        <v>7</v>
      </c>
      <c r="E4945" s="8">
        <v>0</v>
      </c>
      <c r="F4945" s="8">
        <v>3649</v>
      </c>
    </row>
    <row r="4946" spans="1:6" ht="12.75">
      <c r="A4946" s="8">
        <v>43902.83866898148</v>
      </c>
      <c r="B4946" s="8" t="str">
        <f t="shared" si="90"/>
        <v>@BudiatnoGomarus</v>
      </c>
      <c r="C4946" s="8" t="s">
        <v>2483</v>
      </c>
      <c r="D4946" s="8">
        <v>8</v>
      </c>
      <c r="E4946" s="8">
        <v>0</v>
      </c>
      <c r="F4946" s="8">
        <v>3649</v>
      </c>
    </row>
    <row r="4947" spans="1:6" ht="12.75">
      <c r="A4947" s="8">
        <v>43902.838564814811</v>
      </c>
      <c r="B4947" s="8" t="str">
        <f>HYPERLINK("https://twitter.com/I57415154","@I57415154")</f>
        <v>@I57415154</v>
      </c>
      <c r="C4947" s="8" t="s">
        <v>1195</v>
      </c>
      <c r="D4947" s="8">
        <v>1640</v>
      </c>
      <c r="E4947" s="8">
        <v>0</v>
      </c>
      <c r="F4947" s="8">
        <v>108</v>
      </c>
    </row>
    <row r="4948" spans="1:6" ht="12.75">
      <c r="A4948" s="8">
        <v>43902.838344907403</v>
      </c>
      <c r="B4948" s="8" t="str">
        <f>HYPERLINK("https://twitter.com/dimplejethani","@dimplejethani")</f>
        <v>@dimplejethani</v>
      </c>
      <c r="C4948" s="8" t="s">
        <v>1195</v>
      </c>
      <c r="D4948" s="8">
        <v>1640</v>
      </c>
      <c r="E4948" s="8">
        <v>0</v>
      </c>
      <c r="F4948" s="8">
        <v>251</v>
      </c>
    </row>
    <row r="4949" spans="1:6" ht="12.75">
      <c r="A4949" s="8">
        <v>43902.837974537033</v>
      </c>
      <c r="B4949" s="8" t="str">
        <f>HYPERLINK("https://twitter.com/devenjohar","@devenjohar")</f>
        <v>@devenjohar</v>
      </c>
      <c r="C4949" s="8" t="s">
        <v>1195</v>
      </c>
      <c r="D4949" s="8">
        <v>1640</v>
      </c>
      <c r="E4949" s="8">
        <v>0</v>
      </c>
      <c r="F4949" s="8">
        <v>126</v>
      </c>
    </row>
    <row r="4950" spans="1:6" ht="12.75">
      <c r="A4950" s="8">
        <v>43902.837824074071</v>
      </c>
      <c r="B4950" s="8" t="str">
        <f>HYPERLINK("https://twitter.com/crudeperception","@crudeperception")</f>
        <v>@crudeperception</v>
      </c>
      <c r="C4950" s="8" t="s">
        <v>1195</v>
      </c>
      <c r="D4950" s="8">
        <v>1640</v>
      </c>
      <c r="E4950" s="8">
        <v>0</v>
      </c>
      <c r="F4950" s="8">
        <v>80</v>
      </c>
    </row>
    <row r="4951" spans="1:6" ht="12.75">
      <c r="A4951" s="8">
        <v>43902.837743055556</v>
      </c>
      <c r="B4951" s="8" t="str">
        <f>HYPERLINK("https://twitter.com/ISIS_Balik_NO","@ISIS_Balik_NO")</f>
        <v>@ISIS_Balik_NO</v>
      </c>
      <c r="C4951" s="8" t="s">
        <v>2484</v>
      </c>
      <c r="D4951" s="8">
        <v>0</v>
      </c>
      <c r="E4951" s="8">
        <v>1</v>
      </c>
      <c r="F4951" s="8">
        <v>6247</v>
      </c>
    </row>
    <row r="4952" spans="1:6" ht="12.75">
      <c r="A4952" s="8">
        <v>43902.837627314817</v>
      </c>
      <c r="B4952" s="8" t="str">
        <f>HYPERLINK("https://twitter.com/devadigaji","@devadigaji")</f>
        <v>@devadigaji</v>
      </c>
      <c r="C4952" s="8" t="s">
        <v>1195</v>
      </c>
      <c r="D4952" s="8">
        <v>1640</v>
      </c>
      <c r="E4952" s="8">
        <v>0</v>
      </c>
      <c r="F4952" s="8">
        <v>71</v>
      </c>
    </row>
    <row r="4953" spans="1:6" ht="12.75">
      <c r="A4953" s="8">
        <v>43902.837164351848</v>
      </c>
      <c r="B4953" s="8" t="str">
        <f>HYPERLINK("https://twitter.com/HendarwatiH","@HendarwatiH")</f>
        <v>@HendarwatiH</v>
      </c>
      <c r="C4953" s="8" t="s">
        <v>2485</v>
      </c>
      <c r="D4953" s="8">
        <v>2</v>
      </c>
      <c r="E4953" s="8">
        <v>0</v>
      </c>
      <c r="F4953" s="8">
        <v>2232</v>
      </c>
    </row>
    <row r="4954" spans="1:6" ht="12.75">
      <c r="A4954" s="8">
        <v>43902.837094907409</v>
      </c>
      <c r="B4954" s="8" t="str">
        <f>HYPERLINK("https://twitter.com/jibhattji","@jibhattji")</f>
        <v>@jibhattji</v>
      </c>
      <c r="C4954" s="8" t="s">
        <v>1195</v>
      </c>
      <c r="D4954" s="8">
        <v>1640</v>
      </c>
      <c r="E4954" s="8">
        <v>0</v>
      </c>
      <c r="F4954" s="8">
        <v>243</v>
      </c>
    </row>
    <row r="4955" spans="1:6" ht="12.75">
      <c r="A4955" s="8">
        <v>43902.837071759262</v>
      </c>
      <c r="B4955" s="8" t="str">
        <f>HYPERLINK("https://twitter.com/arradwipartya","@arradwipartya")</f>
        <v>@arradwipartya</v>
      </c>
      <c r="C4955" s="8" t="s">
        <v>1030</v>
      </c>
      <c r="D4955" s="8">
        <v>151</v>
      </c>
      <c r="E4955" s="8">
        <v>0</v>
      </c>
      <c r="F4955" s="8">
        <v>862</v>
      </c>
    </row>
    <row r="4956" spans="1:6" ht="12.75">
      <c r="A4956" s="8">
        <v>43902.837060185186</v>
      </c>
      <c r="B4956" s="8" t="str">
        <f>HYPERLINK("https://twitter.com/iamahindustanii","@iamahindustanii")</f>
        <v>@iamahindustanii</v>
      </c>
      <c r="C4956" s="8" t="s">
        <v>2486</v>
      </c>
      <c r="D4956" s="8">
        <v>0</v>
      </c>
      <c r="E4956" s="8">
        <v>0</v>
      </c>
      <c r="F4956" s="8">
        <v>139</v>
      </c>
    </row>
    <row r="4957" spans="1:6" ht="12.75">
      <c r="A4957" s="8">
        <v>43902.837060185186</v>
      </c>
      <c r="B4957" s="8" t="str">
        <f>HYPERLINK("https://twitter.com/kinanti0205","@kinanti0205")</f>
        <v>@kinanti0205</v>
      </c>
      <c r="C4957" s="8" t="s">
        <v>1569</v>
      </c>
      <c r="D4957" s="8">
        <v>23</v>
      </c>
      <c r="E4957" s="8">
        <v>0</v>
      </c>
      <c r="F4957" s="8">
        <v>972</v>
      </c>
    </row>
    <row r="4958" spans="1:6" ht="12.75">
      <c r="A4958" s="8">
        <v>43902.836724537032</v>
      </c>
      <c r="B4958" s="8" t="str">
        <f>HYPERLINK("https://twitter.com/HastoSuprayogo","@HastoSuprayogo")</f>
        <v>@HastoSuprayogo</v>
      </c>
      <c r="C4958" s="8" t="s">
        <v>2487</v>
      </c>
      <c r="D4958" s="8">
        <v>0</v>
      </c>
      <c r="E4958" s="8">
        <v>0</v>
      </c>
      <c r="F4958" s="8">
        <v>689</v>
      </c>
    </row>
    <row r="4959" spans="1:6" ht="12.75">
      <c r="A4959" s="8">
        <v>43902.83657407407</v>
      </c>
      <c r="B4959" s="8" t="str">
        <f>HYPERLINK("https://twitter.com/So3daRn0","@So3daRn0")</f>
        <v>@So3daRn0</v>
      </c>
      <c r="C4959" s="8" t="s">
        <v>2488</v>
      </c>
      <c r="D4959" s="8">
        <v>0</v>
      </c>
      <c r="E4959" s="8">
        <v>2</v>
      </c>
      <c r="F4959" s="8">
        <v>1674</v>
      </c>
    </row>
    <row r="4960" spans="1:6" ht="12.75">
      <c r="A4960" s="8">
        <v>43902.836122685185</v>
      </c>
      <c r="B4960" s="8" t="str">
        <f>HYPERLINK("https://twitter.com/sies1999","@sies1999")</f>
        <v>@sies1999</v>
      </c>
      <c r="C4960" s="8" t="s">
        <v>1195</v>
      </c>
      <c r="D4960" s="8">
        <v>1640</v>
      </c>
      <c r="E4960" s="8">
        <v>0</v>
      </c>
      <c r="F4960" s="8">
        <v>68</v>
      </c>
    </row>
    <row r="4961" spans="1:6" ht="12.75">
      <c r="A4961" s="8">
        <v>43902.836111111115</v>
      </c>
      <c r="B4961" s="8" t="str">
        <f>HYPERLINK("https://twitter.com/ISIS_Balik_NO","@ISIS_Balik_NO")</f>
        <v>@ISIS_Balik_NO</v>
      </c>
      <c r="C4961" s="8" t="s">
        <v>2489</v>
      </c>
      <c r="D4961" s="8">
        <v>0</v>
      </c>
      <c r="E4961" s="8">
        <v>0</v>
      </c>
      <c r="F4961" s="8">
        <v>6247</v>
      </c>
    </row>
    <row r="4962" spans="1:6" ht="12.75">
      <c r="A4962" s="8">
        <v>43902.836076388892</v>
      </c>
      <c r="B4962" s="8" t="str">
        <f>HYPERLINK("https://twitter.com/pcreliance","@pcreliance")</f>
        <v>@pcreliance</v>
      </c>
      <c r="C4962" s="8" t="s">
        <v>1195</v>
      </c>
      <c r="D4962" s="8">
        <v>1640</v>
      </c>
      <c r="E4962" s="8">
        <v>0</v>
      </c>
      <c r="F4962" s="8">
        <v>365</v>
      </c>
    </row>
    <row r="4963" spans="1:6" ht="12.75">
      <c r="A4963" s="8">
        <v>43902.835960648154</v>
      </c>
      <c r="B4963" s="8" t="str">
        <f>HYPERLINK("https://twitter.com/treeriversun","@treeriversun")</f>
        <v>@treeriversun</v>
      </c>
      <c r="C4963" s="8" t="s">
        <v>1195</v>
      </c>
      <c r="D4963" s="8">
        <v>1640</v>
      </c>
      <c r="E4963" s="8">
        <v>0</v>
      </c>
      <c r="F4963" s="8">
        <v>65</v>
      </c>
    </row>
    <row r="4964" spans="1:6" ht="12.75">
      <c r="A4964" s="8">
        <v>43902.835914351846</v>
      </c>
      <c r="B4964" s="8" t="str">
        <f t="shared" ref="B4964:B4965" si="91">HYPERLINK("https://twitter.com/Sidin79901699","@Sidin79901699")</f>
        <v>@Sidin79901699</v>
      </c>
      <c r="C4964" s="8" t="s">
        <v>2490</v>
      </c>
      <c r="D4964" s="8">
        <v>9</v>
      </c>
      <c r="E4964" s="8">
        <v>0</v>
      </c>
      <c r="F4964" s="8">
        <v>2406</v>
      </c>
    </row>
    <row r="4965" spans="1:6" ht="12.75">
      <c r="A4965" s="8">
        <v>43902.835879629631</v>
      </c>
      <c r="B4965" s="8" t="str">
        <f t="shared" si="91"/>
        <v>@Sidin79901699</v>
      </c>
      <c r="C4965" s="8" t="s">
        <v>2491</v>
      </c>
      <c r="D4965" s="8">
        <v>9</v>
      </c>
      <c r="E4965" s="8">
        <v>0</v>
      </c>
      <c r="F4965" s="8">
        <v>2406</v>
      </c>
    </row>
    <row r="4966" spans="1:6" ht="12.75">
      <c r="A4966" s="8">
        <v>43902.835590277777</v>
      </c>
      <c r="B4966" s="8" t="str">
        <f>HYPERLINK("https://twitter.com/Psycho_Engineer","@Psycho_Engineer")</f>
        <v>@Psycho_Engineer</v>
      </c>
      <c r="C4966" s="8" t="s">
        <v>1195</v>
      </c>
      <c r="D4966" s="8">
        <v>1640</v>
      </c>
      <c r="E4966" s="8">
        <v>0</v>
      </c>
      <c r="F4966" s="8">
        <v>48</v>
      </c>
    </row>
    <row r="4967" spans="1:6" ht="12.75">
      <c r="A4967" s="8">
        <v>43902.835428240738</v>
      </c>
      <c r="B4967" s="8" t="str">
        <f>HYPERLINK("https://twitter.com/Aakhyati_Preeti","@Aakhyati_Preeti")</f>
        <v>@Aakhyati_Preeti</v>
      </c>
      <c r="C4967" s="8" t="s">
        <v>1195</v>
      </c>
      <c r="D4967" s="8">
        <v>1640</v>
      </c>
      <c r="E4967" s="8">
        <v>0</v>
      </c>
      <c r="F4967" s="8">
        <v>115</v>
      </c>
    </row>
    <row r="4968" spans="1:6" ht="12.75">
      <c r="A4968" s="8">
        <v>43902.834618055553</v>
      </c>
      <c r="B4968" s="8" t="str">
        <f>HYPERLINK("https://twitter.com/Bmrajput7","@Bmrajput7")</f>
        <v>@Bmrajput7</v>
      </c>
      <c r="C4968" s="8" t="s">
        <v>1195</v>
      </c>
      <c r="D4968" s="8">
        <v>1640</v>
      </c>
      <c r="E4968" s="8">
        <v>0</v>
      </c>
      <c r="F4968" s="8">
        <v>63</v>
      </c>
    </row>
    <row r="4969" spans="1:6" ht="12.75">
      <c r="A4969" s="8">
        <v>43902.834479166668</v>
      </c>
      <c r="B4969" s="8" t="str">
        <f>HYPERLINK("https://twitter.com/SumaJAmin","@SumaJAmin")</f>
        <v>@SumaJAmin</v>
      </c>
      <c r="C4969" s="8" t="s">
        <v>1195</v>
      </c>
      <c r="D4969" s="8">
        <v>1640</v>
      </c>
      <c r="E4969" s="8">
        <v>0</v>
      </c>
      <c r="F4969" s="8">
        <v>276</v>
      </c>
    </row>
    <row r="4970" spans="1:6" ht="12.75">
      <c r="A4970" s="8">
        <v>43902.834363425922</v>
      </c>
      <c r="B4970" s="8" t="str">
        <f>HYPERLINK("https://twitter.com/CeciliaSuwanda1","@CeciliaSuwanda1")</f>
        <v>@CeciliaSuwanda1</v>
      </c>
      <c r="C4970" s="8" t="s">
        <v>2491</v>
      </c>
      <c r="D4970" s="8">
        <v>9</v>
      </c>
      <c r="E4970" s="8">
        <v>0</v>
      </c>
      <c r="F4970" s="8">
        <v>5287</v>
      </c>
    </row>
    <row r="4971" spans="1:6" ht="12.75">
      <c r="A4971" s="8">
        <v>43902.834270833337</v>
      </c>
      <c r="B4971" s="8" t="str">
        <f>HYPERLINK("https://twitter.com/MJoeJoef1","@MJoeJoef1")</f>
        <v>@MJoeJoef1</v>
      </c>
      <c r="C4971" s="8" t="s">
        <v>2492</v>
      </c>
      <c r="D4971" s="8">
        <v>2</v>
      </c>
      <c r="E4971" s="8">
        <v>0</v>
      </c>
      <c r="F4971" s="8">
        <v>622</v>
      </c>
    </row>
    <row r="4972" spans="1:6" ht="12.75">
      <c r="A4972" s="8">
        <v>43902.833981481483</v>
      </c>
      <c r="B4972" s="8" t="str">
        <f>HYPERLINK("https://twitter.com/rkgeemail","@rkgeemail")</f>
        <v>@rkgeemail</v>
      </c>
      <c r="C4972" s="8" t="s">
        <v>1195</v>
      </c>
      <c r="D4972" s="8">
        <v>1640</v>
      </c>
      <c r="E4972" s="8">
        <v>0</v>
      </c>
      <c r="F4972" s="8">
        <v>1280</v>
      </c>
    </row>
    <row r="4973" spans="1:6" ht="12.75">
      <c r="A4973" s="8">
        <v>43902.83393518519</v>
      </c>
      <c r="B4973" s="8" t="str">
        <f>HYPERLINK("https://twitter.com/goodstuffsirait","@goodstuffsirait")</f>
        <v>@goodstuffsirait</v>
      </c>
      <c r="C4973" s="8" t="s">
        <v>1569</v>
      </c>
      <c r="D4973" s="8">
        <v>23</v>
      </c>
      <c r="E4973" s="8">
        <v>0</v>
      </c>
      <c r="F4973" s="8">
        <v>171</v>
      </c>
    </row>
    <row r="4974" spans="1:6" ht="12.75">
      <c r="A4974" s="8">
        <v>43902.833912037036</v>
      </c>
      <c r="B4974" s="8" t="str">
        <f>HYPERLINK("https://twitter.com/ProudindianMusl","@ProudindianMusl")</f>
        <v>@ProudindianMusl</v>
      </c>
      <c r="C4974" s="8" t="s">
        <v>1195</v>
      </c>
      <c r="D4974" s="8">
        <v>1640</v>
      </c>
      <c r="E4974" s="8">
        <v>0</v>
      </c>
      <c r="F4974" s="8">
        <v>163</v>
      </c>
    </row>
    <row r="4975" spans="1:6" ht="12.75">
      <c r="A4975" s="8">
        <v>43902.833900462967</v>
      </c>
      <c r="B4975" s="8" t="str">
        <f>HYPERLINK("https://twitter.com/Rick_Murti_Lal","@Rick_Murti_Lal")</f>
        <v>@Rick_Murti_Lal</v>
      </c>
      <c r="C4975" s="8" t="s">
        <v>1195</v>
      </c>
      <c r="D4975" s="8">
        <v>1640</v>
      </c>
      <c r="E4975" s="8">
        <v>0</v>
      </c>
      <c r="F4975" s="8">
        <v>22</v>
      </c>
    </row>
    <row r="4976" spans="1:6" ht="12.75">
      <c r="A4976" s="8">
        <v>43902.833692129629</v>
      </c>
      <c r="B4976" s="8" t="str">
        <f>HYPERLINK("https://twitter.com/Mahesh1968","@Mahesh1968")</f>
        <v>@Mahesh1968</v>
      </c>
      <c r="C4976" s="8" t="s">
        <v>1195</v>
      </c>
      <c r="D4976" s="8">
        <v>1640</v>
      </c>
      <c r="E4976" s="8">
        <v>0</v>
      </c>
      <c r="F4976" s="8">
        <v>401</v>
      </c>
    </row>
    <row r="4977" spans="1:6" ht="12.75">
      <c r="A4977" s="8">
        <v>43902.833333333328</v>
      </c>
      <c r="B4977" s="8" t="str">
        <f>HYPERLINK("https://twitter.com/Nadila_ID","@Nadila_ID")</f>
        <v>@Nadila_ID</v>
      </c>
      <c r="C4977" s="8" t="s">
        <v>2493</v>
      </c>
      <c r="D4977" s="8">
        <v>0</v>
      </c>
      <c r="E4977" s="8">
        <v>0</v>
      </c>
      <c r="F4977" s="8">
        <v>7179</v>
      </c>
    </row>
    <row r="4978" spans="1:6" ht="12.75">
      <c r="A4978" s="8">
        <v>43902.833298611113</v>
      </c>
      <c r="B4978" s="8" t="str">
        <f>HYPERLINK("https://twitter.com/zen10294831","@zen10294831")</f>
        <v>@zen10294831</v>
      </c>
      <c r="C4978" s="8" t="s">
        <v>2494</v>
      </c>
      <c r="D4978" s="8">
        <v>2</v>
      </c>
      <c r="E4978" s="8">
        <v>0</v>
      </c>
      <c r="F4978" s="8">
        <v>35</v>
      </c>
    </row>
    <row r="4979" spans="1:6" ht="12.75">
      <c r="A4979" s="8">
        <v>43902.83326388889</v>
      </c>
      <c r="B4979" s="8" t="str">
        <f>HYPERLINK("https://twitter.com/surya_kane","@surya_kane")</f>
        <v>@surya_kane</v>
      </c>
      <c r="C4979" s="8" t="s">
        <v>1195</v>
      </c>
      <c r="D4979" s="8">
        <v>1640</v>
      </c>
      <c r="E4979" s="8">
        <v>0</v>
      </c>
      <c r="F4979" s="8">
        <v>92</v>
      </c>
    </row>
    <row r="4980" spans="1:6" ht="12.75">
      <c r="A4980" s="8">
        <v>43902.833032407405</v>
      </c>
      <c r="B4980" s="8" t="str">
        <f>HYPERLINK("https://twitter.com/Prashanth1237","@Prashanth1237")</f>
        <v>@Prashanth1237</v>
      </c>
      <c r="C4980" s="8" t="s">
        <v>1195</v>
      </c>
      <c r="D4980" s="8">
        <v>1640</v>
      </c>
      <c r="E4980" s="8">
        <v>0</v>
      </c>
      <c r="F4980" s="8">
        <v>467</v>
      </c>
    </row>
    <row r="4981" spans="1:6" ht="12.75">
      <c r="A4981" s="8">
        <v>43902.833009259259</v>
      </c>
      <c r="B4981" s="8" t="str">
        <f>HYPERLINK("https://twitter.com/kbrimanama","@kbrimanama")</f>
        <v>@kbrimanama</v>
      </c>
      <c r="C4981" s="8" t="s">
        <v>1569</v>
      </c>
      <c r="D4981" s="8">
        <v>23</v>
      </c>
      <c r="E4981" s="8">
        <v>0</v>
      </c>
      <c r="F4981" s="8">
        <v>1432</v>
      </c>
    </row>
    <row r="4982" spans="1:6" ht="12.75">
      <c r="A4982" s="8">
        <v>43902.832986111112</v>
      </c>
      <c r="B4982" s="8" t="str">
        <f>HYPERLINK("https://twitter.com/Mama_Untari","@Mama_Untari")</f>
        <v>@Mama_Untari</v>
      </c>
      <c r="C4982" s="8" t="s">
        <v>2292</v>
      </c>
      <c r="D4982" s="8">
        <v>58</v>
      </c>
      <c r="E4982" s="8">
        <v>0</v>
      </c>
      <c r="F4982" s="8">
        <v>840</v>
      </c>
    </row>
    <row r="4983" spans="1:6" ht="12.75">
      <c r="A4983" s="8">
        <v>43902.832615740743</v>
      </c>
      <c r="B4983" s="8" t="str">
        <f>HYPERLINK("https://twitter.com/sinkingechoes","@sinkingechoes")</f>
        <v>@sinkingechoes</v>
      </c>
      <c r="C4983" s="8" t="s">
        <v>1195</v>
      </c>
      <c r="D4983" s="8">
        <v>1640</v>
      </c>
      <c r="E4983" s="8">
        <v>0</v>
      </c>
      <c r="F4983" s="8">
        <v>267</v>
      </c>
    </row>
    <row r="4984" spans="1:6" ht="12.75">
      <c r="A4984" s="8">
        <v>43902.832314814819</v>
      </c>
      <c r="B4984" s="8" t="str">
        <f>HYPERLINK("https://twitter.com/Shalini39268351","@Shalini39268351")</f>
        <v>@Shalini39268351</v>
      </c>
      <c r="C4984" s="8" t="s">
        <v>1195</v>
      </c>
      <c r="D4984" s="8">
        <v>1640</v>
      </c>
      <c r="E4984" s="8">
        <v>0</v>
      </c>
      <c r="F4984" s="8">
        <v>30</v>
      </c>
    </row>
    <row r="4985" spans="1:6" ht="12.75">
      <c r="A4985" s="8">
        <v>43902.832280092596</v>
      </c>
      <c r="B4985" s="8" t="str">
        <f>HYPERLINK("https://twitter.com/Noble_Naman22","@Noble_Naman22")</f>
        <v>@Noble_Naman22</v>
      </c>
      <c r="C4985" s="8" t="s">
        <v>1195</v>
      </c>
      <c r="D4985" s="8">
        <v>1640</v>
      </c>
      <c r="E4985" s="8">
        <v>0</v>
      </c>
      <c r="F4985" s="8">
        <v>80</v>
      </c>
    </row>
    <row r="4986" spans="1:6" ht="12.75">
      <c r="A4986" s="8">
        <v>43902.832175925927</v>
      </c>
      <c r="B4986" s="8" t="str">
        <f>HYPERLINK("https://twitter.com/ankul0710","@ankul0710")</f>
        <v>@ankul0710</v>
      </c>
      <c r="C4986" s="8" t="s">
        <v>1195</v>
      </c>
      <c r="D4986" s="8">
        <v>1640</v>
      </c>
      <c r="E4986" s="8">
        <v>0</v>
      </c>
      <c r="F4986" s="8">
        <v>276</v>
      </c>
    </row>
    <row r="4987" spans="1:6" ht="12.75">
      <c r="A4987" s="8">
        <v>43902.832141203704</v>
      </c>
      <c r="B4987" s="8" t="str">
        <f>HYPERLINK("https://twitter.com/_kshitij_sharma","@_kshitij_sharma")</f>
        <v>@_kshitij_sharma</v>
      </c>
      <c r="C4987" s="8" t="s">
        <v>1195</v>
      </c>
      <c r="D4987" s="8">
        <v>1640</v>
      </c>
      <c r="E4987" s="8">
        <v>0</v>
      </c>
      <c r="F4987" s="8">
        <v>80</v>
      </c>
    </row>
    <row r="4988" spans="1:6" ht="12.75">
      <c r="A4988" s="8">
        <v>43902.83194444445</v>
      </c>
      <c r="B4988" s="8" t="str">
        <f>HYPERLINK("https://twitter.com/DareToDeny","@DareToDeny")</f>
        <v>@DareToDeny</v>
      </c>
      <c r="C4988" s="8" t="s">
        <v>1195</v>
      </c>
      <c r="D4988" s="8">
        <v>1640</v>
      </c>
      <c r="E4988" s="8">
        <v>0</v>
      </c>
      <c r="F4988" s="8">
        <v>62</v>
      </c>
    </row>
    <row r="4989" spans="1:6" ht="12.75">
      <c r="A4989" s="8">
        <v>43902.831875000003</v>
      </c>
      <c r="B4989" s="8" t="str">
        <f>HYPERLINK("https://twitter.com/Hendrazidane","@Hendrazidane")</f>
        <v>@Hendrazidane</v>
      </c>
      <c r="C4989" s="8" t="s">
        <v>1030</v>
      </c>
      <c r="D4989" s="8">
        <v>151</v>
      </c>
      <c r="E4989" s="8">
        <v>0</v>
      </c>
      <c r="F4989" s="8">
        <v>119</v>
      </c>
    </row>
    <row r="4990" spans="1:6" ht="12.75">
      <c r="A4990" s="8">
        <v>43902.831736111111</v>
      </c>
      <c r="B4990" s="8" t="str">
        <f>HYPERLINK("https://twitter.com/ChalAni27","@ChalAni27")</f>
        <v>@ChalAni27</v>
      </c>
      <c r="C4990" s="8" t="s">
        <v>1195</v>
      </c>
      <c r="D4990" s="8">
        <v>1640</v>
      </c>
      <c r="E4990" s="8">
        <v>0</v>
      </c>
      <c r="F4990" s="8">
        <v>64</v>
      </c>
    </row>
    <row r="4991" spans="1:6" ht="12.75">
      <c r="A4991" s="8">
        <v>43902.831342592588</v>
      </c>
      <c r="B4991" s="8" t="str">
        <f>HYPERLINK("https://twitter.com/17ChanWon","@17ChanWon")</f>
        <v>@17ChanWon</v>
      </c>
      <c r="C4991" s="8" t="s">
        <v>2495</v>
      </c>
      <c r="D4991" s="8">
        <v>0</v>
      </c>
      <c r="E4991" s="8">
        <v>0</v>
      </c>
      <c r="F4991" s="8">
        <v>1050</v>
      </c>
    </row>
    <row r="4992" spans="1:6" ht="12.75">
      <c r="A4992" s="8">
        <v>43902.831284722226</v>
      </c>
      <c r="B4992" s="8" t="str">
        <f>HYPERLINK("https://twitter.com/fifahlna","@fifahlna")</f>
        <v>@fifahlna</v>
      </c>
      <c r="C4992" s="8" t="s">
        <v>2496</v>
      </c>
      <c r="D4992" s="8">
        <v>1</v>
      </c>
      <c r="E4992" s="8">
        <v>0</v>
      </c>
      <c r="F4992" s="8">
        <v>328</v>
      </c>
    </row>
    <row r="4993" spans="1:6" ht="12.75">
      <c r="A4993" s="8">
        <v>43902.83121527778</v>
      </c>
      <c r="B4993" s="8" t="str">
        <f>HYPERLINK("https://twitter.com/parthodas","@parthodas")</f>
        <v>@parthodas</v>
      </c>
      <c r="C4993" s="8" t="s">
        <v>1195</v>
      </c>
      <c r="D4993" s="8">
        <v>1640</v>
      </c>
      <c r="E4993" s="8">
        <v>0</v>
      </c>
      <c r="F4993" s="8">
        <v>76</v>
      </c>
    </row>
    <row r="4994" spans="1:6" ht="12.75">
      <c r="A4994" s="8">
        <v>43902.830740740741</v>
      </c>
      <c r="B4994" s="8" t="str">
        <f>HYPERLINK("https://twitter.com/vadhris","@vadhris")</f>
        <v>@vadhris</v>
      </c>
      <c r="C4994" s="8" t="s">
        <v>1195</v>
      </c>
      <c r="D4994" s="8">
        <v>1640</v>
      </c>
      <c r="E4994" s="8">
        <v>0</v>
      </c>
      <c r="F4994" s="8">
        <v>538</v>
      </c>
    </row>
    <row r="4995" spans="1:6" ht="12.75">
      <c r="A4995" s="8">
        <v>43902.830682870372</v>
      </c>
      <c r="B4995" s="8" t="str">
        <f>HYPERLINK("https://twitter.com/mayankdchauhan","@mayankdchauhan")</f>
        <v>@mayankdchauhan</v>
      </c>
      <c r="C4995" s="8" t="s">
        <v>1195</v>
      </c>
      <c r="D4995" s="8">
        <v>1640</v>
      </c>
      <c r="E4995" s="8">
        <v>0</v>
      </c>
      <c r="F4995" s="8">
        <v>247</v>
      </c>
    </row>
    <row r="4996" spans="1:6" ht="12.75">
      <c r="A4996" s="8">
        <v>43902.830659722225</v>
      </c>
      <c r="B4996" s="8" t="str">
        <f>HYPERLINK("https://twitter.com/ChetanV41633352","@ChetanV41633352")</f>
        <v>@ChetanV41633352</v>
      </c>
      <c r="C4996" s="8" t="s">
        <v>1195</v>
      </c>
      <c r="D4996" s="8">
        <v>1640</v>
      </c>
      <c r="E4996" s="8">
        <v>0</v>
      </c>
      <c r="F4996" s="8">
        <v>118</v>
      </c>
    </row>
    <row r="4997" spans="1:6" ht="12.75">
      <c r="A4997" s="8">
        <v>43902.830532407403</v>
      </c>
      <c r="B4997" s="8" t="str">
        <f>HYPERLINK("https://twitter.com/iamahindustanii","@iamahindustanii")</f>
        <v>@iamahindustanii</v>
      </c>
      <c r="C4997" s="8" t="s">
        <v>2497</v>
      </c>
      <c r="D4997" s="8">
        <v>0</v>
      </c>
      <c r="E4997" s="8">
        <v>0</v>
      </c>
      <c r="F4997" s="8">
        <v>139</v>
      </c>
    </row>
    <row r="4998" spans="1:6" ht="12.75">
      <c r="A4998" s="8">
        <v>43902.830416666664</v>
      </c>
      <c r="B4998" s="8" t="str">
        <f>HYPERLINK("https://twitter.com/Syaiful92173121","@Syaiful92173121")</f>
        <v>@Syaiful92173121</v>
      </c>
      <c r="C4998" s="8" t="s">
        <v>1030</v>
      </c>
      <c r="D4998" s="8">
        <v>151</v>
      </c>
      <c r="E4998" s="8">
        <v>0</v>
      </c>
      <c r="F4998" s="8">
        <v>2</v>
      </c>
    </row>
    <row r="4999" spans="1:6" ht="12.75">
      <c r="A4999" s="8">
        <v>43902.830289351856</v>
      </c>
      <c r="B4999" s="8" t="str">
        <f>HYPERLINK("https://twitter.com/iamahindustanii","@iamahindustanii")</f>
        <v>@iamahindustanii</v>
      </c>
      <c r="C4999" s="8" t="s">
        <v>2498</v>
      </c>
      <c r="D4999" s="8">
        <v>0</v>
      </c>
      <c r="E4999" s="8">
        <v>0</v>
      </c>
      <c r="F4999" s="8">
        <v>139</v>
      </c>
    </row>
    <row r="5000" spans="1:6" ht="12.75">
      <c r="A5000" s="8">
        <v>43902.830243055556</v>
      </c>
      <c r="B5000" s="8" t="str">
        <f>HYPERLINK("https://twitter.com/AnimeshBatra001","@AnimeshBatra001")</f>
        <v>@AnimeshBatra001</v>
      </c>
      <c r="C5000" s="8" t="s">
        <v>2300</v>
      </c>
      <c r="D5000" s="8">
        <v>0</v>
      </c>
      <c r="E5000" s="8">
        <v>0</v>
      </c>
      <c r="F5000" s="8">
        <v>33</v>
      </c>
    </row>
    <row r="5001" spans="1:6" ht="12.75">
      <c r="A5001" s="8">
        <v>43902.830138888894</v>
      </c>
      <c r="B5001" s="8" t="str">
        <f>HYPERLINK("https://twitter.com/airezaqua","@airezaqua")</f>
        <v>@airezaqua</v>
      </c>
      <c r="C5001" s="8" t="s">
        <v>1195</v>
      </c>
      <c r="D5001" s="8">
        <v>1640</v>
      </c>
      <c r="E5001" s="8">
        <v>0</v>
      </c>
      <c r="F5001" s="8">
        <v>35</v>
      </c>
    </row>
    <row r="5002" spans="1:6" ht="12.75">
      <c r="A5002" s="8">
        <v>43902.830104166671</v>
      </c>
      <c r="B5002" s="8" t="str">
        <f>HYPERLINK("https://twitter.com/VermaSaab64","@VermaSaab64")</f>
        <v>@VermaSaab64</v>
      </c>
      <c r="C5002" s="8" t="s">
        <v>1195</v>
      </c>
      <c r="D5002" s="8">
        <v>1640</v>
      </c>
      <c r="E5002" s="8">
        <v>0</v>
      </c>
      <c r="F5002" s="8">
        <v>204</v>
      </c>
    </row>
    <row r="5003" spans="1:6" ht="12.75">
      <c r="A5003" s="8">
        <v>43902.830046296294</v>
      </c>
      <c r="B5003" s="8" t="str">
        <f>HYPERLINK("https://twitter.com/Dumbheades","@Dumbheades")</f>
        <v>@Dumbheades</v>
      </c>
      <c r="C5003" s="8" t="s">
        <v>1195</v>
      </c>
      <c r="D5003" s="8">
        <v>1640</v>
      </c>
      <c r="E5003" s="8">
        <v>0</v>
      </c>
      <c r="F5003" s="8">
        <v>205</v>
      </c>
    </row>
    <row r="5004" spans="1:6" ht="12.75">
      <c r="A5004" s="8">
        <v>43902.829768518517</v>
      </c>
      <c r="B5004" s="8" t="str">
        <f>HYPERLINK("https://twitter.com/SoniMsi07","@SoniMsi07")</f>
        <v>@SoniMsi07</v>
      </c>
      <c r="C5004" s="8" t="s">
        <v>2051</v>
      </c>
      <c r="D5004" s="8">
        <v>144</v>
      </c>
      <c r="E5004" s="8">
        <v>0</v>
      </c>
      <c r="F5004" s="8">
        <v>251</v>
      </c>
    </row>
    <row r="5005" spans="1:6" ht="12.75">
      <c r="A5005" s="8">
        <v>43902.829618055555</v>
      </c>
      <c r="B5005" s="8" t="str">
        <f t="shared" ref="B5005:B5006" si="92">HYPERLINK("https://twitter.com/iamahindustanii","@iamahindustanii")</f>
        <v>@iamahindustanii</v>
      </c>
      <c r="C5005" s="8" t="s">
        <v>2499</v>
      </c>
      <c r="D5005" s="8">
        <v>0</v>
      </c>
      <c r="E5005" s="8">
        <v>0</v>
      </c>
      <c r="F5005" s="8">
        <v>139</v>
      </c>
    </row>
    <row r="5006" spans="1:6" ht="12.75">
      <c r="A5006" s="8">
        <v>43902.829467592594</v>
      </c>
      <c r="B5006" s="8" t="str">
        <f t="shared" si="92"/>
        <v>@iamahindustanii</v>
      </c>
      <c r="C5006" s="8" t="s">
        <v>2500</v>
      </c>
      <c r="D5006" s="8">
        <v>0</v>
      </c>
      <c r="E5006" s="8">
        <v>0</v>
      </c>
      <c r="F5006" s="8">
        <v>139</v>
      </c>
    </row>
    <row r="5007" spans="1:6" ht="12.75">
      <c r="A5007" s="8">
        <v>43902.829247685186</v>
      </c>
      <c r="B5007" s="8" t="str">
        <f>HYPERLINK("https://twitter.com/sidd_0702","@sidd_0702")</f>
        <v>@sidd_0702</v>
      </c>
      <c r="C5007" s="8" t="s">
        <v>1195</v>
      </c>
      <c r="D5007" s="8">
        <v>1640</v>
      </c>
      <c r="E5007" s="8">
        <v>0</v>
      </c>
      <c r="F5007" s="8">
        <v>80</v>
      </c>
    </row>
    <row r="5008" spans="1:6" ht="12.75">
      <c r="A5008" s="8">
        <v>43902.829212962963</v>
      </c>
      <c r="B5008" s="8" t="str">
        <f>HYPERLINK("https://twitter.com/angad9091","@angad9091")</f>
        <v>@angad9091</v>
      </c>
      <c r="C5008" s="8" t="s">
        <v>1195</v>
      </c>
      <c r="D5008" s="8">
        <v>1640</v>
      </c>
      <c r="E5008" s="8">
        <v>0</v>
      </c>
      <c r="F5008" s="8">
        <v>128</v>
      </c>
    </row>
    <row r="5009" spans="1:6" ht="12.75">
      <c r="A5009" s="8">
        <v>43902.829201388886</v>
      </c>
      <c r="B5009" s="8" t="str">
        <f>HYPERLINK("https://twitter.com/mkannan75","@mkannan75")</f>
        <v>@mkannan75</v>
      </c>
      <c r="C5009" s="8" t="s">
        <v>1195</v>
      </c>
      <c r="D5009" s="8">
        <v>1640</v>
      </c>
      <c r="E5009" s="8">
        <v>0</v>
      </c>
      <c r="F5009" s="8">
        <v>181</v>
      </c>
    </row>
    <row r="5010" spans="1:6" ht="12.75">
      <c r="A5010" s="8">
        <v>43902.829189814816</v>
      </c>
      <c r="B5010" s="8" t="str">
        <f>HYPERLINK("https://twitter.com/rizzalaldy_","@rizzalaldy_")</f>
        <v>@rizzalaldy_</v>
      </c>
      <c r="C5010" s="8" t="s">
        <v>1030</v>
      </c>
      <c r="D5010" s="8">
        <v>151</v>
      </c>
      <c r="E5010" s="8">
        <v>0</v>
      </c>
      <c r="F5010" s="8">
        <v>189</v>
      </c>
    </row>
    <row r="5011" spans="1:6" ht="12.75">
      <c r="A5011" s="8">
        <v>43902.829016203701</v>
      </c>
      <c r="B5011" s="8" t="str">
        <f>HYPERLINK("https://twitter.com/kya_kaam_hai","@kya_kaam_hai")</f>
        <v>@kya_kaam_hai</v>
      </c>
      <c r="C5011" s="8" t="s">
        <v>1195</v>
      </c>
      <c r="D5011" s="8">
        <v>1640</v>
      </c>
      <c r="E5011" s="8">
        <v>0</v>
      </c>
      <c r="F5011" s="8">
        <v>112</v>
      </c>
    </row>
    <row r="5012" spans="1:6" ht="12.75">
      <c r="A5012" s="8">
        <v>43902.828912037032</v>
      </c>
      <c r="B5012" s="8" t="str">
        <f>HYPERLINK("https://twitter.com/ajiaguspermadi","@ajiaguspermadi")</f>
        <v>@ajiaguspermadi</v>
      </c>
      <c r="C5012" s="8" t="s">
        <v>1400</v>
      </c>
      <c r="D5012" s="8">
        <v>50</v>
      </c>
      <c r="E5012" s="8">
        <v>0</v>
      </c>
      <c r="F5012" s="8">
        <v>901</v>
      </c>
    </row>
    <row r="5013" spans="1:6" ht="12.75">
      <c r="A5013" s="8">
        <v>43902.828865740739</v>
      </c>
      <c r="B5013" s="8" t="str">
        <f>HYPERLINK("https://twitter.com/ISIS_Balik_NO","@ISIS_Balik_NO")</f>
        <v>@ISIS_Balik_NO</v>
      </c>
      <c r="C5013" s="8" t="s">
        <v>2501</v>
      </c>
      <c r="D5013" s="8">
        <v>12</v>
      </c>
      <c r="E5013" s="8">
        <v>0</v>
      </c>
      <c r="F5013" s="8">
        <v>6247</v>
      </c>
    </row>
    <row r="5014" spans="1:6" ht="12.75">
      <c r="A5014" s="8">
        <v>43902.82876157407</v>
      </c>
      <c r="B5014" s="8" t="str">
        <f>HYPERLINK("https://twitter.com/ajiaguspermadi","@ajiaguspermadi")</f>
        <v>@ajiaguspermadi</v>
      </c>
      <c r="C5014" s="8" t="s">
        <v>1569</v>
      </c>
      <c r="D5014" s="8">
        <v>23</v>
      </c>
      <c r="E5014" s="8">
        <v>0</v>
      </c>
      <c r="F5014" s="8">
        <v>901</v>
      </c>
    </row>
    <row r="5015" spans="1:6" ht="12.75">
      <c r="A5015" s="8">
        <v>43902.828657407408</v>
      </c>
      <c r="B5015" s="8" t="str">
        <f>HYPERLINK("https://twitter.com/heritagebharath","@heritagebharath")</f>
        <v>@heritagebharath</v>
      </c>
      <c r="C5015" s="8" t="s">
        <v>1195</v>
      </c>
      <c r="D5015" s="8">
        <v>1640</v>
      </c>
      <c r="E5015" s="8">
        <v>0</v>
      </c>
      <c r="F5015" s="8">
        <v>145</v>
      </c>
    </row>
    <row r="5016" spans="1:6" ht="12.75">
      <c r="A5016" s="8">
        <v>43902.828460648147</v>
      </c>
      <c r="B5016" s="8" t="str">
        <f>HYPERLINK("https://twitter.com/bulu_bab","@bulu_bab")</f>
        <v>@bulu_bab</v>
      </c>
      <c r="C5016" s="8" t="s">
        <v>1195</v>
      </c>
      <c r="D5016" s="8">
        <v>1640</v>
      </c>
      <c r="E5016" s="8">
        <v>0</v>
      </c>
      <c r="F5016" s="8">
        <v>261</v>
      </c>
    </row>
    <row r="5017" spans="1:6" ht="12.75">
      <c r="A5017" s="8">
        <v>43902.828287037039</v>
      </c>
      <c r="B5017" s="8" t="str">
        <f>HYPERLINK("https://twitter.com/anydayfunchai","@anydayfunchai")</f>
        <v>@anydayfunchai</v>
      </c>
      <c r="C5017" s="8" t="s">
        <v>1195</v>
      </c>
      <c r="D5017" s="8">
        <v>1640</v>
      </c>
      <c r="E5017" s="8">
        <v>0</v>
      </c>
      <c r="F5017" s="8">
        <v>76</v>
      </c>
    </row>
    <row r="5018" spans="1:6" ht="12.75">
      <c r="A5018" s="8">
        <v>43902.828263888892</v>
      </c>
      <c r="B5018" s="8" t="str">
        <f>HYPERLINK("https://twitter.com/gerdaeriana","@gerdaeriana")</f>
        <v>@gerdaeriana</v>
      </c>
      <c r="C5018" s="8" t="s">
        <v>1030</v>
      </c>
      <c r="D5018" s="8">
        <v>151</v>
      </c>
      <c r="E5018" s="8">
        <v>0</v>
      </c>
      <c r="F5018" s="8">
        <v>504</v>
      </c>
    </row>
    <row r="5019" spans="1:6" ht="12.75">
      <c r="A5019" s="8">
        <v>43902.828182870369</v>
      </c>
      <c r="B5019" s="8" t="str">
        <f>HYPERLINK("https://twitter.com/iamahindustanii","@iamahindustanii")</f>
        <v>@iamahindustanii</v>
      </c>
      <c r="C5019" s="8" t="s">
        <v>2502</v>
      </c>
      <c r="D5019" s="8">
        <v>0</v>
      </c>
      <c r="E5019" s="8">
        <v>0</v>
      </c>
      <c r="F5019" s="8">
        <v>139</v>
      </c>
    </row>
    <row r="5020" spans="1:6" ht="12.75">
      <c r="A5020" s="8">
        <v>43902.828101851846</v>
      </c>
      <c r="B5020" s="8" t="str">
        <f>HYPERLINK("https://twitter.com/archtomy","@archtomy")</f>
        <v>@archtomy</v>
      </c>
      <c r="C5020" s="8" t="s">
        <v>437</v>
      </c>
      <c r="D5020" s="8">
        <v>2</v>
      </c>
      <c r="E5020" s="8">
        <v>0</v>
      </c>
      <c r="F5020" s="8">
        <v>1305</v>
      </c>
    </row>
    <row r="5021" spans="1:6" ht="12.75">
      <c r="A5021" s="8">
        <v>43902.828090277777</v>
      </c>
      <c r="B5021" s="8" t="str">
        <f>HYPERLINK("https://twitter.com/inteldunia","@inteldunia")</f>
        <v>@inteldunia</v>
      </c>
      <c r="C5021" s="8" t="s">
        <v>2503</v>
      </c>
      <c r="D5021" s="8">
        <v>0</v>
      </c>
      <c r="E5021" s="8">
        <v>0</v>
      </c>
      <c r="F5021" s="8">
        <v>1743</v>
      </c>
    </row>
    <row r="5022" spans="1:6" ht="12.75">
      <c r="A5022" s="8">
        <v>43902.827951388885</v>
      </c>
      <c r="B5022" s="8" t="str">
        <f>HYPERLINK("https://twitter.com/ModifiedChokra","@ModifiedChokra")</f>
        <v>@ModifiedChokra</v>
      </c>
      <c r="C5022" s="8" t="s">
        <v>1195</v>
      </c>
      <c r="D5022" s="8">
        <v>1640</v>
      </c>
      <c r="E5022" s="8">
        <v>0</v>
      </c>
      <c r="F5022" s="8">
        <v>567</v>
      </c>
    </row>
    <row r="5023" spans="1:6" ht="12.75">
      <c r="A5023" s="8">
        <v>43902.827303240745</v>
      </c>
      <c r="B5023" s="8" t="str">
        <f>HYPERLINK("https://twitter.com/KaranSi63831481","@KaranSi63831481")</f>
        <v>@KaranSi63831481</v>
      </c>
      <c r="C5023" s="8" t="s">
        <v>1195</v>
      </c>
      <c r="D5023" s="8">
        <v>1640</v>
      </c>
      <c r="E5023" s="8">
        <v>0</v>
      </c>
      <c r="F5023" s="8">
        <v>132</v>
      </c>
    </row>
    <row r="5024" spans="1:6" ht="12.75">
      <c r="A5024" s="8">
        <v>43902.827291666668</v>
      </c>
      <c r="B5024" s="8" t="str">
        <f>HYPERLINK("https://twitter.com/ISIS_Balik_NO","@ISIS_Balik_NO")</f>
        <v>@ISIS_Balik_NO</v>
      </c>
      <c r="C5024" s="8" t="s">
        <v>2504</v>
      </c>
      <c r="D5024" s="8">
        <v>0</v>
      </c>
      <c r="E5024" s="8">
        <v>0</v>
      </c>
      <c r="F5024" s="8">
        <v>6247</v>
      </c>
    </row>
    <row r="5025" spans="1:6" ht="12.75">
      <c r="A5025" s="8">
        <v>43902.827280092592</v>
      </c>
      <c r="B5025" s="8" t="str">
        <f>HYPERLINK("https://twitter.com/RosdianaNemo","@RosdianaNemo")</f>
        <v>@RosdianaNemo</v>
      </c>
      <c r="C5025" s="8" t="s">
        <v>1758</v>
      </c>
      <c r="D5025" s="8">
        <v>55</v>
      </c>
      <c r="E5025" s="8">
        <v>0</v>
      </c>
      <c r="F5025" s="8">
        <v>16</v>
      </c>
    </row>
    <row r="5026" spans="1:6" ht="12.75">
      <c r="A5026" s="8">
        <v>43902.827233796299</v>
      </c>
      <c r="B5026" s="8" t="str">
        <f t="shared" ref="B5026:B5027" si="93">HYPERLINK("https://twitter.com/AryPrasetyo_85","@AryPrasetyo_85")</f>
        <v>@AryPrasetyo_85</v>
      </c>
      <c r="C5026" s="8" t="s">
        <v>2490</v>
      </c>
      <c r="D5026" s="8">
        <v>9</v>
      </c>
      <c r="E5026" s="8">
        <v>0</v>
      </c>
      <c r="F5026" s="8">
        <v>5635</v>
      </c>
    </row>
    <row r="5027" spans="1:6" ht="12.75">
      <c r="A5027" s="8">
        <v>43902.827210648145</v>
      </c>
      <c r="B5027" s="8" t="str">
        <f t="shared" si="93"/>
        <v>@AryPrasetyo_85</v>
      </c>
      <c r="C5027" s="8" t="s">
        <v>2491</v>
      </c>
      <c r="D5027" s="8">
        <v>9</v>
      </c>
      <c r="E5027" s="8">
        <v>0</v>
      </c>
      <c r="F5027" s="8">
        <v>5635</v>
      </c>
    </row>
    <row r="5028" spans="1:6" ht="12.75">
      <c r="A5028" s="8">
        <v>43902.827152777776</v>
      </c>
      <c r="B5028" s="8" t="str">
        <f>HYPERLINK("https://twitter.com/dheaaamg","@dheaaamg")</f>
        <v>@dheaaamg</v>
      </c>
      <c r="C5028" s="8" t="s">
        <v>2505</v>
      </c>
      <c r="D5028" s="8">
        <v>1</v>
      </c>
      <c r="E5028" s="8">
        <v>0</v>
      </c>
      <c r="F5028" s="8">
        <v>612</v>
      </c>
    </row>
    <row r="5029" spans="1:6" ht="12.75">
      <c r="A5029" s="8">
        <v>43902.82712962963</v>
      </c>
      <c r="B5029" s="8" t="str">
        <f>HYPERLINK("https://twitter.com/AryPrasetyo_85","@AryPrasetyo_85")</f>
        <v>@AryPrasetyo_85</v>
      </c>
      <c r="C5029" s="8" t="s">
        <v>2483</v>
      </c>
      <c r="D5029" s="8">
        <v>8</v>
      </c>
      <c r="E5029" s="8">
        <v>0</v>
      </c>
      <c r="F5029" s="8">
        <v>5635</v>
      </c>
    </row>
    <row r="5030" spans="1:6" ht="12.75">
      <c r="A5030" s="8">
        <v>43902.798518518517</v>
      </c>
      <c r="B5030" s="8" t="str">
        <f>HYPERLINK("https://twitter.com/NotThatAamAadmi","@NotThatAamAadmi")</f>
        <v>@NotThatAamAadmi</v>
      </c>
      <c r="C5030" s="8" t="s">
        <v>1195</v>
      </c>
      <c r="D5030" s="8">
        <v>1428</v>
      </c>
      <c r="E5030" s="8">
        <v>0</v>
      </c>
      <c r="F5030" s="8">
        <v>215</v>
      </c>
    </row>
    <row r="5031" spans="1:6" ht="12.75">
      <c r="A5031" s="8">
        <v>43902.798344907409</v>
      </c>
      <c r="B5031" s="8" t="str">
        <f>HYPERLINK("https://twitter.com/SaumyaSilk","@SaumyaSilk")</f>
        <v>@SaumyaSilk</v>
      </c>
      <c r="C5031" s="8" t="s">
        <v>1195</v>
      </c>
      <c r="D5031" s="8">
        <v>1428</v>
      </c>
      <c r="E5031" s="8">
        <v>0</v>
      </c>
      <c r="F5031" s="8">
        <v>245</v>
      </c>
    </row>
    <row r="5032" spans="1:6" ht="12.75">
      <c r="A5032" s="8">
        <v>43902.798298611116</v>
      </c>
      <c r="B5032" s="8" t="str">
        <f>HYPERLINK("https://twitter.com/sWeEtPaNkAjG","@sWeEtPaNkAjG")</f>
        <v>@sWeEtPaNkAjG</v>
      </c>
      <c r="C5032" s="8" t="s">
        <v>1195</v>
      </c>
      <c r="D5032" s="8">
        <v>1428</v>
      </c>
      <c r="E5032" s="8">
        <v>0</v>
      </c>
      <c r="F5032" s="8">
        <v>530</v>
      </c>
    </row>
    <row r="5033" spans="1:6" ht="12.75">
      <c r="A5033" s="8">
        <v>43902.797442129631</v>
      </c>
      <c r="B5033" s="8" t="str">
        <f>HYPERLINK("https://twitter.com/denmas_ajah","@denmas_ajah")</f>
        <v>@denmas_ajah</v>
      </c>
      <c r="C5033" s="8" t="s">
        <v>2506</v>
      </c>
      <c r="D5033" s="8">
        <v>23</v>
      </c>
      <c r="E5033" s="8">
        <v>0</v>
      </c>
      <c r="F5033" s="8">
        <v>5074</v>
      </c>
    </row>
    <row r="5034" spans="1:6" ht="12.75">
      <c r="A5034" s="8">
        <v>43902.797395833331</v>
      </c>
      <c r="B5034" s="8" t="str">
        <f>HYPERLINK("https://twitter.com/Balesh06866009","@Balesh06866009")</f>
        <v>@Balesh06866009</v>
      </c>
      <c r="C5034" s="8" t="s">
        <v>1195</v>
      </c>
      <c r="D5034" s="8">
        <v>1428</v>
      </c>
      <c r="E5034" s="8">
        <v>0</v>
      </c>
      <c r="F5034" s="8">
        <v>50</v>
      </c>
    </row>
    <row r="5035" spans="1:6" ht="12.75">
      <c r="A5035" s="8">
        <v>43902.797395833331</v>
      </c>
      <c r="B5035" s="8" t="str">
        <f>HYPERLINK("https://twitter.com/Indian123_","@Indian123_")</f>
        <v>@Indian123_</v>
      </c>
      <c r="C5035" s="8" t="s">
        <v>1195</v>
      </c>
      <c r="D5035" s="8">
        <v>1428</v>
      </c>
      <c r="E5035" s="8">
        <v>0</v>
      </c>
      <c r="F5035" s="8">
        <v>80</v>
      </c>
    </row>
    <row r="5036" spans="1:6" ht="12.75">
      <c r="A5036" s="8">
        <v>43902.7972337963</v>
      </c>
      <c r="B5036" s="8" t="str">
        <f>HYPERLINK("https://twitter.com/Orange______del","@Orange______del")</f>
        <v>@Orange______del</v>
      </c>
      <c r="C5036" s="8" t="s">
        <v>1195</v>
      </c>
      <c r="D5036" s="8">
        <v>1428</v>
      </c>
      <c r="E5036" s="8">
        <v>0</v>
      </c>
      <c r="F5036" s="8">
        <v>174</v>
      </c>
    </row>
    <row r="5037" spans="1:6" ht="12.75">
      <c r="A5037" s="8">
        <v>43902.797164351854</v>
      </c>
      <c r="B5037" s="8" t="str">
        <f>HYPERLINK("https://twitter.com/layungbeureum77","@layungbeureum77")</f>
        <v>@layungbeureum77</v>
      </c>
      <c r="C5037" s="8" t="s">
        <v>2268</v>
      </c>
      <c r="D5037" s="8">
        <v>2</v>
      </c>
      <c r="E5037" s="8">
        <v>0</v>
      </c>
      <c r="F5037" s="8">
        <v>1572</v>
      </c>
    </row>
    <row r="5038" spans="1:6" ht="12.75">
      <c r="A5038" s="8">
        <v>43902.797002314815</v>
      </c>
      <c r="B5038" s="8" t="str">
        <f>HYPERLINK("https://twitter.com/vishnu_moholkar","@vishnu_moholkar")</f>
        <v>@vishnu_moholkar</v>
      </c>
      <c r="C5038" s="8" t="s">
        <v>1195</v>
      </c>
      <c r="D5038" s="8">
        <v>1428</v>
      </c>
      <c r="E5038" s="8">
        <v>0</v>
      </c>
      <c r="F5038" s="8">
        <v>414</v>
      </c>
    </row>
    <row r="5039" spans="1:6" ht="12.75">
      <c r="A5039" s="8">
        <v>43902.796990740739</v>
      </c>
      <c r="B5039" s="8" t="str">
        <f>HYPERLINK("https://twitter.com/parikhashit","@parikhashit")</f>
        <v>@parikhashit</v>
      </c>
      <c r="C5039" s="8" t="s">
        <v>1195</v>
      </c>
      <c r="D5039" s="8">
        <v>1428</v>
      </c>
      <c r="E5039" s="8">
        <v>0</v>
      </c>
      <c r="F5039" s="8">
        <v>297</v>
      </c>
    </row>
    <row r="5040" spans="1:6" ht="12.75">
      <c r="A5040" s="8">
        <v>43902.796840277777</v>
      </c>
      <c r="B5040" s="8" t="str">
        <f>HYPERLINK("https://twitter.com/isis_eve","@isis_eve")</f>
        <v>@isis_eve</v>
      </c>
      <c r="C5040" s="8" t="s">
        <v>2507</v>
      </c>
      <c r="D5040" s="8">
        <v>55</v>
      </c>
      <c r="E5040" s="8">
        <v>0</v>
      </c>
      <c r="F5040" s="8">
        <v>216</v>
      </c>
    </row>
    <row r="5041" spans="1:6" ht="12.75">
      <c r="A5041" s="8">
        <v>43902.796805555554</v>
      </c>
      <c r="B5041" s="8" t="str">
        <f>HYPERLINK("https://twitter.com/Satyanveshi19","@Satyanveshi19")</f>
        <v>@Satyanveshi19</v>
      </c>
      <c r="C5041" s="8" t="s">
        <v>1195</v>
      </c>
      <c r="D5041" s="8">
        <v>1428</v>
      </c>
      <c r="E5041" s="8">
        <v>0</v>
      </c>
      <c r="F5041" s="8">
        <v>99</v>
      </c>
    </row>
    <row r="5042" spans="1:6" ht="12.75">
      <c r="A5042" s="8">
        <v>43902.796747685185</v>
      </c>
      <c r="B5042" s="8" t="str">
        <f>HYPERLINK("https://twitter.com/UyainaArshad","@UyainaArshad")</f>
        <v>@UyainaArshad</v>
      </c>
      <c r="C5042" s="8" t="s">
        <v>1030</v>
      </c>
      <c r="D5042" s="8">
        <v>139</v>
      </c>
      <c r="E5042" s="8">
        <v>0</v>
      </c>
      <c r="F5042" s="8">
        <v>23572</v>
      </c>
    </row>
    <row r="5043" spans="1:6" ht="12.75">
      <c r="A5043" s="8">
        <v>43902.796736111108</v>
      </c>
      <c r="B5043" s="8" t="str">
        <f>HYPERLINK("https://twitter.com/Jaihindody","@Jaihindody")</f>
        <v>@Jaihindody</v>
      </c>
      <c r="C5043" s="8" t="s">
        <v>1195</v>
      </c>
      <c r="D5043" s="8">
        <v>1428</v>
      </c>
      <c r="E5043" s="8">
        <v>0</v>
      </c>
      <c r="F5043" s="8">
        <v>1016</v>
      </c>
    </row>
    <row r="5044" spans="1:6" ht="12.75">
      <c r="A5044" s="8">
        <v>43902.796655092592</v>
      </c>
      <c r="B5044" s="8" t="str">
        <f>HYPERLINK("https://twitter.com/rajagopalan8","@rajagopalan8")</f>
        <v>@rajagopalan8</v>
      </c>
      <c r="C5044" s="8" t="s">
        <v>1195</v>
      </c>
      <c r="D5044" s="8">
        <v>1428</v>
      </c>
      <c r="E5044" s="8">
        <v>0</v>
      </c>
      <c r="F5044" s="8">
        <v>465</v>
      </c>
    </row>
    <row r="5045" spans="1:6" ht="12.75">
      <c r="A5045" s="8">
        <v>43902.7965625</v>
      </c>
      <c r="B5045" s="8" t="str">
        <f>HYPERLINK("https://twitter.com/krismastopo","@krismastopo")</f>
        <v>@krismastopo</v>
      </c>
      <c r="C5045" s="8" t="s">
        <v>1758</v>
      </c>
      <c r="D5045" s="8">
        <v>46</v>
      </c>
      <c r="E5045" s="8">
        <v>0</v>
      </c>
      <c r="F5045" s="8">
        <v>76</v>
      </c>
    </row>
    <row r="5046" spans="1:6" ht="12.75">
      <c r="A5046" s="8">
        <v>43902.796469907407</v>
      </c>
      <c r="B5046" s="8" t="str">
        <f>HYPERLINK("https://twitter.com/TheOrdinaryCit3","@TheOrdinaryCit3")</f>
        <v>@TheOrdinaryCit3</v>
      </c>
      <c r="C5046" s="8" t="s">
        <v>1195</v>
      </c>
      <c r="D5046" s="8">
        <v>1428</v>
      </c>
      <c r="E5046" s="8">
        <v>0</v>
      </c>
      <c r="F5046" s="8">
        <v>163</v>
      </c>
    </row>
    <row r="5047" spans="1:6" ht="12.75">
      <c r="A5047" s="8">
        <v>43902.79623842593</v>
      </c>
      <c r="B5047" s="8" t="str">
        <f>HYPERLINK("https://twitter.com/ChaalakBhopali","@ChaalakBhopali")</f>
        <v>@ChaalakBhopali</v>
      </c>
      <c r="C5047" s="8" t="s">
        <v>1195</v>
      </c>
      <c r="D5047" s="8">
        <v>1428</v>
      </c>
      <c r="E5047" s="8">
        <v>0</v>
      </c>
      <c r="F5047" s="8">
        <v>105</v>
      </c>
    </row>
    <row r="5048" spans="1:6" ht="12.75">
      <c r="A5048" s="8">
        <v>43902.795787037037</v>
      </c>
      <c r="B5048" s="8" t="str">
        <f>HYPERLINK("https://twitter.com/GuruprasadAdiga","@GuruprasadAdiga")</f>
        <v>@GuruprasadAdiga</v>
      </c>
      <c r="C5048" s="8" t="s">
        <v>1195</v>
      </c>
      <c r="D5048" s="8">
        <v>1428</v>
      </c>
      <c r="E5048" s="8">
        <v>0</v>
      </c>
      <c r="F5048" s="8">
        <v>56</v>
      </c>
    </row>
    <row r="5049" spans="1:6" ht="12.75">
      <c r="A5049" s="8">
        <v>43902.795648148152</v>
      </c>
      <c r="B5049" s="8" t="str">
        <f>HYPERLINK("https://twitter.com/LRahadian","@LRahadian")</f>
        <v>@LRahadian</v>
      </c>
      <c r="C5049" s="8" t="s">
        <v>2508</v>
      </c>
      <c r="D5049" s="8">
        <v>0</v>
      </c>
      <c r="E5049" s="8">
        <v>0</v>
      </c>
      <c r="F5049" s="8">
        <v>272</v>
      </c>
    </row>
    <row r="5050" spans="1:6" ht="12.75">
      <c r="A5050" s="8">
        <v>43902.795578703706</v>
      </c>
      <c r="B5050" s="8" t="str">
        <f>HYPERLINK("https://twitter.com/uqi06134875","@uqi06134875")</f>
        <v>@uqi06134875</v>
      </c>
      <c r="C5050" s="8" t="s">
        <v>165</v>
      </c>
      <c r="D5050" s="8">
        <v>114</v>
      </c>
      <c r="E5050" s="8">
        <v>0</v>
      </c>
      <c r="F5050" s="8">
        <v>236</v>
      </c>
    </row>
    <row r="5051" spans="1:6" ht="12.75">
      <c r="A5051" s="8">
        <v>43902.795578703706</v>
      </c>
      <c r="B5051" s="8" t="str">
        <f>HYPERLINK("https://twitter.com/aghniahafisah","@aghniahafisah")</f>
        <v>@aghniahafisah</v>
      </c>
      <c r="C5051" s="8" t="s">
        <v>1569</v>
      </c>
      <c r="D5051" s="8">
        <v>14</v>
      </c>
      <c r="E5051" s="8">
        <v>0</v>
      </c>
      <c r="F5051" s="8">
        <v>237</v>
      </c>
    </row>
    <row r="5052" spans="1:6" ht="12.75">
      <c r="A5052" s="8">
        <v>43902.795428240745</v>
      </c>
      <c r="B5052" s="8" t="str">
        <f>HYPERLINK("https://twitter.com/Rajputb02332407","@Rajputb02332407")</f>
        <v>@Rajputb02332407</v>
      </c>
      <c r="C5052" s="8" t="s">
        <v>1195</v>
      </c>
      <c r="D5052" s="8">
        <v>1428</v>
      </c>
      <c r="E5052" s="8">
        <v>0</v>
      </c>
      <c r="F5052" s="8">
        <v>35</v>
      </c>
    </row>
    <row r="5053" spans="1:6" ht="12.75">
      <c r="A5053" s="8">
        <v>43902.795254629629</v>
      </c>
      <c r="B5053" s="8" t="str">
        <f>HYPERLINK("https://twitter.com/sanjay_rai","@sanjay_rai")</f>
        <v>@sanjay_rai</v>
      </c>
      <c r="C5053" s="8" t="s">
        <v>1195</v>
      </c>
      <c r="D5053" s="8">
        <v>1428</v>
      </c>
      <c r="E5053" s="8">
        <v>0</v>
      </c>
      <c r="F5053" s="8">
        <v>2894</v>
      </c>
    </row>
    <row r="5054" spans="1:6" ht="12.75">
      <c r="A5054" s="8">
        <v>43902.795173611114</v>
      </c>
      <c r="B5054" s="8" t="str">
        <f>HYPERLINK("https://twitter.com/Krish_BJP","@Krish_BJP")</f>
        <v>@Krish_BJP</v>
      </c>
      <c r="C5054" s="8" t="s">
        <v>1195</v>
      </c>
      <c r="D5054" s="8">
        <v>1428</v>
      </c>
      <c r="E5054" s="8">
        <v>0</v>
      </c>
      <c r="F5054" s="8">
        <v>596</v>
      </c>
    </row>
    <row r="5055" spans="1:6" ht="12.75">
      <c r="A5055" s="8">
        <v>43902.795138888891</v>
      </c>
      <c r="B5055" s="8" t="str">
        <f>HYPERLINK("https://twitter.com/cilliasiregar","@cilliasiregar")</f>
        <v>@cilliasiregar</v>
      </c>
      <c r="C5055" s="8" t="s">
        <v>2509</v>
      </c>
      <c r="D5055" s="8">
        <v>0</v>
      </c>
      <c r="E5055" s="8">
        <v>0</v>
      </c>
      <c r="F5055" s="8">
        <v>6</v>
      </c>
    </row>
    <row r="5056" spans="1:6" ht="12.75">
      <c r="A5056" s="8">
        <v>43902.794756944444</v>
      </c>
      <c r="B5056" s="8" t="str">
        <f>HYPERLINK("https://twitter.com/FIXputra","@FIXputra")</f>
        <v>@FIXputra</v>
      </c>
      <c r="C5056" s="8" t="s">
        <v>1030</v>
      </c>
      <c r="D5056" s="8">
        <v>139</v>
      </c>
      <c r="E5056" s="8">
        <v>0</v>
      </c>
      <c r="F5056" s="8">
        <v>307</v>
      </c>
    </row>
    <row r="5057" spans="1:6" ht="12.75">
      <c r="A5057" s="8">
        <v>43902.794675925921</v>
      </c>
      <c r="B5057" s="8" t="str">
        <f>HYPERLINK("https://twitter.com/fangirldrafts","@fangirldrafts")</f>
        <v>@fangirldrafts</v>
      </c>
      <c r="C5057" s="8" t="s">
        <v>2510</v>
      </c>
      <c r="D5057" s="8">
        <v>0</v>
      </c>
      <c r="E5057" s="8">
        <v>0</v>
      </c>
      <c r="F5057" s="8">
        <v>1138</v>
      </c>
    </row>
    <row r="5058" spans="1:6" ht="12.75">
      <c r="A5058" s="8">
        <v>43902.794374999998</v>
      </c>
      <c r="B5058" s="8" t="str">
        <f>HYPERLINK("https://twitter.com/AmritoshPandit","@AmritoshPandit")</f>
        <v>@AmritoshPandit</v>
      </c>
      <c r="C5058" s="8" t="s">
        <v>1195</v>
      </c>
      <c r="D5058" s="8">
        <v>1428</v>
      </c>
      <c r="E5058" s="8">
        <v>0</v>
      </c>
      <c r="F5058" s="8">
        <v>1569</v>
      </c>
    </row>
    <row r="5059" spans="1:6" ht="12.75">
      <c r="A5059" s="8">
        <v>43902.794178240743</v>
      </c>
      <c r="B5059" s="8" t="str">
        <f>HYPERLINK("https://twitter.com/rk47_ra","@rk47_ra")</f>
        <v>@rk47_ra</v>
      </c>
      <c r="C5059" s="8" t="s">
        <v>1195</v>
      </c>
      <c r="D5059" s="8">
        <v>1428</v>
      </c>
      <c r="E5059" s="8">
        <v>0</v>
      </c>
      <c r="F5059" s="8">
        <v>911</v>
      </c>
    </row>
    <row r="5060" spans="1:6" ht="12.75">
      <c r="A5060" s="8">
        <v>43902.794120370367</v>
      </c>
      <c r="B5060" s="8" t="str">
        <f>HYPERLINK("https://twitter.com/iommishra","@iommishra")</f>
        <v>@iommishra</v>
      </c>
      <c r="C5060" s="8" t="s">
        <v>1195</v>
      </c>
      <c r="D5060" s="8">
        <v>1428</v>
      </c>
      <c r="E5060" s="8">
        <v>0</v>
      </c>
      <c r="F5060" s="8">
        <v>117</v>
      </c>
    </row>
    <row r="5061" spans="1:6" ht="12.75">
      <c r="A5061" s="8">
        <v>43902.793981481482</v>
      </c>
      <c r="B5061" s="8" t="str">
        <f>HYPERLINK("https://twitter.com/Pintujaibharat","@Pintujaibharat")</f>
        <v>@Pintujaibharat</v>
      </c>
      <c r="C5061" s="8" t="s">
        <v>1195</v>
      </c>
      <c r="D5061" s="8">
        <v>1428</v>
      </c>
      <c r="E5061" s="8">
        <v>0</v>
      </c>
      <c r="F5061" s="8">
        <v>144</v>
      </c>
    </row>
    <row r="5062" spans="1:6" ht="12.75">
      <c r="A5062" s="8">
        <v>43902.793935185182</v>
      </c>
      <c r="B5062" s="8" t="str">
        <f>HYPERLINK("https://twitter.com/nblnndf","@nblnndf")</f>
        <v>@nblnndf</v>
      </c>
      <c r="C5062" s="8" t="s">
        <v>440</v>
      </c>
      <c r="D5062" s="8">
        <v>65</v>
      </c>
      <c r="E5062" s="8">
        <v>0</v>
      </c>
      <c r="F5062" s="8">
        <v>1975</v>
      </c>
    </row>
    <row r="5063" spans="1:6" ht="12.75">
      <c r="A5063" s="8">
        <v>43902.79378472222</v>
      </c>
      <c r="B5063" s="8" t="str">
        <f>HYPERLINK("https://twitter.com/Jinit12345","@Jinit12345")</f>
        <v>@Jinit12345</v>
      </c>
      <c r="C5063" s="8" t="s">
        <v>1195</v>
      </c>
      <c r="D5063" s="8">
        <v>1428</v>
      </c>
      <c r="E5063" s="8">
        <v>0</v>
      </c>
      <c r="F5063" s="8">
        <v>2781</v>
      </c>
    </row>
    <row r="5064" spans="1:6" ht="12.75">
      <c r="A5064" s="8">
        <v>43902.793703703705</v>
      </c>
      <c r="B5064" s="8" t="str">
        <f>HYPERLINK("https://twitter.com/RameshPatibanda","@RameshPatibanda")</f>
        <v>@RameshPatibanda</v>
      </c>
      <c r="C5064" s="8" t="s">
        <v>1195</v>
      </c>
      <c r="D5064" s="8">
        <v>1428</v>
      </c>
      <c r="E5064" s="8">
        <v>0</v>
      </c>
      <c r="F5064" s="8">
        <v>93</v>
      </c>
    </row>
    <row r="5065" spans="1:6" ht="12.75">
      <c r="A5065" s="8">
        <v>43902.793460648143</v>
      </c>
      <c r="B5065" s="8" t="str">
        <f>HYPERLINK("https://twitter.com/sanjay67mishra","@sanjay67mishra")</f>
        <v>@sanjay67mishra</v>
      </c>
      <c r="C5065" s="8" t="s">
        <v>1195</v>
      </c>
      <c r="D5065" s="8">
        <v>1428</v>
      </c>
      <c r="E5065" s="8">
        <v>0</v>
      </c>
      <c r="F5065" s="8">
        <v>676</v>
      </c>
    </row>
    <row r="5066" spans="1:6" ht="12.75">
      <c r="A5066" s="8">
        <v>43902.793449074074</v>
      </c>
      <c r="B5066" s="8" t="str">
        <f>HYPERLINK("https://twitter.com/mak_ynwalfc","@mak_ynwalfc")</f>
        <v>@mak_ynwalfc</v>
      </c>
      <c r="C5066" s="8" t="s">
        <v>1195</v>
      </c>
      <c r="D5066" s="8">
        <v>1428</v>
      </c>
      <c r="E5066" s="8">
        <v>0</v>
      </c>
      <c r="F5066" s="8">
        <v>668</v>
      </c>
    </row>
    <row r="5067" spans="1:6" ht="12.75">
      <c r="A5067" s="8">
        <v>43902.793344907404</v>
      </c>
      <c r="B5067" s="8" t="str">
        <f>HYPERLINK("https://twitter.com/sahil910m","@sahil910m")</f>
        <v>@sahil910m</v>
      </c>
      <c r="C5067" s="8" t="s">
        <v>1195</v>
      </c>
      <c r="D5067" s="8">
        <v>1428</v>
      </c>
      <c r="E5067" s="8">
        <v>0</v>
      </c>
      <c r="F5067" s="8">
        <v>74</v>
      </c>
    </row>
    <row r="5068" spans="1:6" ht="12.75">
      <c r="A5068" s="8">
        <v>43902.793333333335</v>
      </c>
      <c r="B5068" s="8" t="str">
        <f>HYPERLINK("https://twitter.com/Febyval22","@Febyval22")</f>
        <v>@Febyval22</v>
      </c>
      <c r="C5068" s="8" t="s">
        <v>2511</v>
      </c>
      <c r="D5068" s="8">
        <v>14</v>
      </c>
      <c r="E5068" s="8">
        <v>0</v>
      </c>
      <c r="F5068" s="8">
        <v>307</v>
      </c>
    </row>
    <row r="5069" spans="1:6" ht="12.75">
      <c r="A5069" s="8">
        <v>43902.793275462958</v>
      </c>
      <c r="B5069" s="8" t="str">
        <f>HYPERLINK("https://twitter.com/IndonesiaThemis","@IndonesiaThemis")</f>
        <v>@IndonesiaThemis</v>
      </c>
      <c r="C5069" s="8" t="s">
        <v>2268</v>
      </c>
      <c r="D5069" s="8">
        <v>2</v>
      </c>
      <c r="E5069" s="8">
        <v>0</v>
      </c>
      <c r="F5069" s="8">
        <v>5040</v>
      </c>
    </row>
    <row r="5070" spans="1:6" ht="12.75">
      <c r="A5070" s="8">
        <v>43902.793263888889</v>
      </c>
      <c r="B5070" s="8" t="str">
        <f>HYPERLINK("https://twitter.com/uuldr03","@uuldr03")</f>
        <v>@uuldr03</v>
      </c>
      <c r="C5070" s="8" t="s">
        <v>1621</v>
      </c>
      <c r="D5070" s="8">
        <v>44</v>
      </c>
      <c r="E5070" s="8">
        <v>0</v>
      </c>
      <c r="F5070" s="8">
        <v>440</v>
      </c>
    </row>
    <row r="5071" spans="1:6" ht="12.75">
      <c r="A5071" s="8">
        <v>43902.793263888889</v>
      </c>
      <c r="B5071" s="8" t="str">
        <f>HYPERLINK("https://twitter.com/shendrina","@shendrina")</f>
        <v>@shendrina</v>
      </c>
      <c r="C5071" s="8" t="s">
        <v>2163</v>
      </c>
      <c r="D5071" s="8">
        <v>5</v>
      </c>
      <c r="E5071" s="8">
        <v>0</v>
      </c>
      <c r="F5071" s="8">
        <v>643</v>
      </c>
    </row>
    <row r="5072" spans="1:6" ht="12.75">
      <c r="A5072" s="8">
        <v>43902.793229166666</v>
      </c>
      <c r="B5072" s="8" t="str">
        <f>HYPERLINK("https://twitter.com/Sandeep77058656","@Sandeep77058656")</f>
        <v>@Sandeep77058656</v>
      </c>
      <c r="C5072" s="8" t="s">
        <v>1195</v>
      </c>
      <c r="D5072" s="8">
        <v>1428</v>
      </c>
      <c r="E5072" s="8">
        <v>0</v>
      </c>
      <c r="F5072" s="8">
        <v>179</v>
      </c>
    </row>
    <row r="5073" spans="1:6" ht="12.75">
      <c r="A5073" s="8">
        <v>43902.792986111112</v>
      </c>
      <c r="B5073" s="8" t="str">
        <f>HYPERLINK("https://twitter.com/TeaserAshish","@TeaserAshish")</f>
        <v>@TeaserAshish</v>
      </c>
      <c r="C5073" s="8" t="s">
        <v>1195</v>
      </c>
      <c r="D5073" s="8">
        <v>1428</v>
      </c>
      <c r="E5073" s="8">
        <v>0</v>
      </c>
      <c r="F5073" s="8">
        <v>66</v>
      </c>
    </row>
    <row r="5074" spans="1:6" ht="12.75">
      <c r="A5074" s="8">
        <v>43902.792847222227</v>
      </c>
      <c r="B5074" s="8" t="str">
        <f>HYPERLINK("https://twitter.com/dwiyanaDKM","@dwiyanaDKM")</f>
        <v>@dwiyanaDKM</v>
      </c>
      <c r="C5074" s="8" t="s">
        <v>2245</v>
      </c>
      <c r="D5074" s="8">
        <v>7</v>
      </c>
      <c r="E5074" s="8">
        <v>0</v>
      </c>
      <c r="F5074" s="8">
        <v>3053</v>
      </c>
    </row>
    <row r="5075" spans="1:6" ht="12.75">
      <c r="A5075" s="8">
        <v>43902.79283564815</v>
      </c>
      <c r="B5075" s="8" t="str">
        <f>HYPERLINK("https://twitter.com/Aman77667790","@Aman77667790")</f>
        <v>@Aman77667790</v>
      </c>
      <c r="C5075" s="8" t="s">
        <v>1195</v>
      </c>
      <c r="D5075" s="8">
        <v>1428</v>
      </c>
      <c r="E5075" s="8">
        <v>0</v>
      </c>
      <c r="F5075" s="8">
        <v>160</v>
      </c>
    </row>
    <row r="5076" spans="1:6" ht="12.75">
      <c r="A5076" s="8">
        <v>43902.792708333334</v>
      </c>
      <c r="B5076" s="8" t="str">
        <f>HYPERLINK("https://twitter.com/Anil_RP","@Anil_RP")</f>
        <v>@Anil_RP</v>
      </c>
      <c r="C5076" s="8" t="s">
        <v>1195</v>
      </c>
      <c r="D5076" s="8">
        <v>1428</v>
      </c>
      <c r="E5076" s="8">
        <v>0</v>
      </c>
      <c r="F5076" s="8">
        <v>76</v>
      </c>
    </row>
    <row r="5077" spans="1:6" ht="12.75">
      <c r="A5077" s="8">
        <v>43902.792673611111</v>
      </c>
      <c r="B5077" s="8" t="str">
        <f>HYPERLINK("https://twitter.com/rnvk1978","@rnvk1978")</f>
        <v>@rnvk1978</v>
      </c>
      <c r="C5077" s="8" t="s">
        <v>2512</v>
      </c>
      <c r="D5077" s="8">
        <v>0</v>
      </c>
      <c r="E5077" s="8">
        <v>0</v>
      </c>
      <c r="F5077" s="8">
        <v>218</v>
      </c>
    </row>
    <row r="5078" spans="1:6" ht="12.75">
      <c r="A5078" s="8">
        <v>43902.792581018519</v>
      </c>
      <c r="B5078" s="8" t="str">
        <f>HYPERLINK("https://twitter.com/anooplive","@anooplive")</f>
        <v>@anooplive</v>
      </c>
      <c r="C5078" s="8" t="s">
        <v>1195</v>
      </c>
      <c r="D5078" s="8">
        <v>1428</v>
      </c>
      <c r="E5078" s="8">
        <v>0</v>
      </c>
      <c r="F5078" s="8">
        <v>460</v>
      </c>
    </row>
    <row r="5079" spans="1:6" ht="12.75">
      <c r="A5079" s="8">
        <v>43902.792581018519</v>
      </c>
      <c r="B5079" s="8" t="str">
        <f>HYPERLINK("https://twitter.com/babakKE11","@babakKE11")</f>
        <v>@babakKE11</v>
      </c>
      <c r="C5079" s="8" t="s">
        <v>165</v>
      </c>
      <c r="D5079" s="8">
        <v>114</v>
      </c>
      <c r="E5079" s="8">
        <v>0</v>
      </c>
      <c r="F5079" s="8">
        <v>89</v>
      </c>
    </row>
    <row r="5080" spans="1:6" ht="12.75">
      <c r="A5080" s="8">
        <v>43902.792523148149</v>
      </c>
      <c r="B5080" s="8" t="str">
        <f>HYPERLINK("https://twitter.com/ajaysdl1993","@ajaysdl1993")</f>
        <v>@ajaysdl1993</v>
      </c>
      <c r="C5080" s="8" t="s">
        <v>1195</v>
      </c>
      <c r="D5080" s="8">
        <v>1428</v>
      </c>
      <c r="E5080" s="8">
        <v>0</v>
      </c>
      <c r="F5080" s="8">
        <v>804</v>
      </c>
    </row>
    <row r="5081" spans="1:6" ht="12.75">
      <c r="A5081" s="8">
        <v>43902.792407407411</v>
      </c>
      <c r="B5081" s="8" t="str">
        <f>HYPERLINK("https://twitter.com/Maveric94280289","@Maveric94280289")</f>
        <v>@Maveric94280289</v>
      </c>
      <c r="C5081" s="8" t="s">
        <v>1195</v>
      </c>
      <c r="D5081" s="8">
        <v>1428</v>
      </c>
      <c r="E5081" s="8">
        <v>0</v>
      </c>
      <c r="F5081" s="8">
        <v>181</v>
      </c>
    </row>
    <row r="5082" spans="1:6" ht="12.75">
      <c r="A5082" s="8">
        <v>43902.792384259257</v>
      </c>
      <c r="B5082" s="8" t="str">
        <f>HYPERLINK("https://twitter.com/moeslim_choice","@moeslim_choice")</f>
        <v>@moeslim_choice</v>
      </c>
      <c r="C5082" s="8" t="s">
        <v>2513</v>
      </c>
      <c r="D5082" s="8">
        <v>0</v>
      </c>
      <c r="E5082" s="8">
        <v>0</v>
      </c>
      <c r="F5082" s="8">
        <v>135</v>
      </c>
    </row>
    <row r="5083" spans="1:6" ht="12.75">
      <c r="A5083" s="8">
        <v>43902.792384259257</v>
      </c>
      <c r="B5083" s="8" t="str">
        <f>HYPERLINK("https://twitter.com/kvswar","@kvswar")</f>
        <v>@kvswar</v>
      </c>
      <c r="C5083" s="8" t="s">
        <v>1195</v>
      </c>
      <c r="D5083" s="8">
        <v>1428</v>
      </c>
      <c r="E5083" s="8">
        <v>0</v>
      </c>
      <c r="F5083" s="8">
        <v>448</v>
      </c>
    </row>
    <row r="5084" spans="1:6" ht="12.75">
      <c r="A5084" s="8">
        <v>43902.792349537034</v>
      </c>
      <c r="B5084" s="8" t="str">
        <f>HYPERLINK("https://twitter.com/PujnioModi42019","@PujnioModi42019")</f>
        <v>@PujnioModi42019</v>
      </c>
      <c r="C5084" s="8" t="s">
        <v>1195</v>
      </c>
      <c r="D5084" s="8">
        <v>1428</v>
      </c>
      <c r="E5084" s="8">
        <v>0</v>
      </c>
      <c r="F5084" s="8">
        <v>125</v>
      </c>
    </row>
    <row r="5085" spans="1:6" ht="12.75">
      <c r="A5085" s="8">
        <v>43902.792291666672</v>
      </c>
      <c r="B5085" s="8" t="str">
        <f>HYPERLINK("https://twitter.com/Batman2715","@Batman2715")</f>
        <v>@Batman2715</v>
      </c>
      <c r="C5085" s="8" t="s">
        <v>1195</v>
      </c>
      <c r="D5085" s="8">
        <v>1428</v>
      </c>
      <c r="E5085" s="8">
        <v>0</v>
      </c>
      <c r="F5085" s="8">
        <v>171</v>
      </c>
    </row>
    <row r="5086" spans="1:6" ht="12.75">
      <c r="A5086" s="8">
        <v>43902.792210648149</v>
      </c>
      <c r="B5086" s="8" t="str">
        <f>HYPERLINK("https://twitter.com/InfidelsJerome","@InfidelsJerome")</f>
        <v>@InfidelsJerome</v>
      </c>
      <c r="C5086" s="8" t="s">
        <v>289</v>
      </c>
      <c r="D5086" s="8">
        <v>36</v>
      </c>
      <c r="E5086" s="8">
        <v>0</v>
      </c>
      <c r="F5086" s="8">
        <v>172</v>
      </c>
    </row>
    <row r="5087" spans="1:6" ht="12.75">
      <c r="A5087" s="8">
        <v>43902.792187500003</v>
      </c>
      <c r="B5087" s="8" t="str">
        <f>HYPERLINK("https://twitter.com/anakragil867","@anakragil867")</f>
        <v>@anakragil867</v>
      </c>
      <c r="C5087" s="8" t="s">
        <v>289</v>
      </c>
      <c r="D5087" s="8">
        <v>36</v>
      </c>
      <c r="E5087" s="8">
        <v>0</v>
      </c>
      <c r="F5087" s="8">
        <v>369</v>
      </c>
    </row>
    <row r="5088" spans="1:6" ht="12.75">
      <c r="A5088" s="8">
        <v>43902.792141203703</v>
      </c>
      <c r="B5088" s="8" t="str">
        <f>HYPERLINK("https://twitter.com/DhirajS22443395","@DhirajS22443395")</f>
        <v>@DhirajS22443395</v>
      </c>
      <c r="C5088" s="8" t="s">
        <v>1195</v>
      </c>
      <c r="D5088" s="8">
        <v>1428</v>
      </c>
      <c r="E5088" s="8">
        <v>0</v>
      </c>
      <c r="F5088" s="8">
        <v>323</v>
      </c>
    </row>
    <row r="5089" spans="1:6" ht="12.75">
      <c r="A5089" s="8">
        <v>43902.792129629626</v>
      </c>
      <c r="B5089" s="8" t="str">
        <f>HYPERLINK("https://twitter.com/indonesiainist","@indonesiainist")</f>
        <v>@indonesiainist</v>
      </c>
      <c r="C5089" s="8" t="s">
        <v>2514</v>
      </c>
      <c r="D5089" s="8">
        <v>0</v>
      </c>
      <c r="E5089" s="8">
        <v>0</v>
      </c>
      <c r="F5089" s="8">
        <v>703</v>
      </c>
    </row>
    <row r="5090" spans="1:6" ht="12.75">
      <c r="A5090" s="8">
        <v>43902.791851851856</v>
      </c>
      <c r="B5090" s="8" t="str">
        <f>HYPERLINK("https://twitter.com/pratikpanchal06","@pratikpanchal06")</f>
        <v>@pratikpanchal06</v>
      </c>
      <c r="C5090" s="8" t="s">
        <v>1195</v>
      </c>
      <c r="D5090" s="8">
        <v>1428</v>
      </c>
      <c r="E5090" s="8">
        <v>0</v>
      </c>
      <c r="F5090" s="8">
        <v>410</v>
      </c>
    </row>
    <row r="5091" spans="1:6" ht="12.75">
      <c r="A5091" s="8">
        <v>43902.791817129633</v>
      </c>
      <c r="B5091" s="8" t="str">
        <f>HYPERLINK("https://twitter.com/wdamidoinhere","@wdamidoinhere")</f>
        <v>@wdamidoinhere</v>
      </c>
      <c r="C5091" s="8" t="s">
        <v>1195</v>
      </c>
      <c r="D5091" s="8">
        <v>1428</v>
      </c>
      <c r="E5091" s="8">
        <v>0</v>
      </c>
      <c r="F5091" s="8">
        <v>3161</v>
      </c>
    </row>
    <row r="5092" spans="1:6" ht="12.75">
      <c r="A5092" s="8">
        <v>43902.79178240741</v>
      </c>
      <c r="B5092" s="8" t="str">
        <f>HYPERLINK("https://twitter.com/Dineshk83281964","@Dineshk83281964")</f>
        <v>@Dineshk83281964</v>
      </c>
      <c r="C5092" s="8" t="s">
        <v>1195</v>
      </c>
      <c r="D5092" s="8">
        <v>1428</v>
      </c>
      <c r="E5092" s="8">
        <v>0</v>
      </c>
      <c r="F5092" s="8">
        <v>126</v>
      </c>
    </row>
    <row r="5093" spans="1:6" ht="12.75">
      <c r="A5093" s="8">
        <v>43902.791712962964</v>
      </c>
      <c r="B5093" s="8" t="str">
        <f>HYPERLINK("https://twitter.com/raghavendrath","@raghavendrath")</f>
        <v>@raghavendrath</v>
      </c>
      <c r="C5093" s="8" t="s">
        <v>1195</v>
      </c>
      <c r="D5093" s="8">
        <v>1428</v>
      </c>
      <c r="E5093" s="8">
        <v>0</v>
      </c>
      <c r="F5093" s="8">
        <v>128</v>
      </c>
    </row>
    <row r="5094" spans="1:6" ht="12.75">
      <c r="A5094" s="8">
        <v>43902.791678240741</v>
      </c>
      <c r="B5094" s="8" t="str">
        <f>HYPERLINK("https://twitter.com/ItsMyRealQuotes","@ItsMyRealQuotes")</f>
        <v>@ItsMyRealQuotes</v>
      </c>
      <c r="C5094" s="8" t="s">
        <v>2515</v>
      </c>
      <c r="D5094" s="8">
        <v>0</v>
      </c>
      <c r="E5094" s="8">
        <v>0</v>
      </c>
      <c r="F5094" s="8">
        <v>181935</v>
      </c>
    </row>
    <row r="5095" spans="1:6" ht="12.75">
      <c r="A5095" s="8">
        <v>43902.791666666672</v>
      </c>
      <c r="B5095" s="8" t="str">
        <f>HYPERLINK("https://twitter.com/sagargaikwad","@sagargaikwad")</f>
        <v>@sagargaikwad</v>
      </c>
      <c r="C5095" s="8" t="s">
        <v>1195</v>
      </c>
      <c r="D5095" s="8">
        <v>1428</v>
      </c>
      <c r="E5095" s="8">
        <v>0</v>
      </c>
      <c r="F5095" s="8">
        <v>111</v>
      </c>
    </row>
    <row r="5096" spans="1:6" ht="12.75">
      <c r="A5096" s="8">
        <v>43902.791504629626</v>
      </c>
      <c r="B5096" s="8" t="str">
        <f>HYPERLINK("https://twitter.com/wbintoro101209","@wbintoro101209")</f>
        <v>@wbintoro101209</v>
      </c>
      <c r="C5096" s="8" t="s">
        <v>289</v>
      </c>
      <c r="D5096" s="8">
        <v>36</v>
      </c>
      <c r="E5096" s="8">
        <v>0</v>
      </c>
      <c r="F5096" s="8">
        <v>314</v>
      </c>
    </row>
    <row r="5097" spans="1:6" ht="12.75">
      <c r="A5097" s="8">
        <v>43902.791493055556</v>
      </c>
      <c r="B5097" s="8" t="str">
        <f>HYPERLINK("https://twitter.com/rvirupakshan","@rvirupakshan")</f>
        <v>@rvirupakshan</v>
      </c>
      <c r="C5097" s="8" t="s">
        <v>1195</v>
      </c>
      <c r="D5097" s="8">
        <v>1428</v>
      </c>
      <c r="E5097" s="8">
        <v>0</v>
      </c>
      <c r="F5097" s="8">
        <v>123</v>
      </c>
    </row>
    <row r="5098" spans="1:6" ht="12.75">
      <c r="A5098" s="8">
        <v>43902.791400462964</v>
      </c>
      <c r="B5098" s="8" t="str">
        <f>HYPERLINK("https://twitter.com/Roc_Eidolon","@Roc_Eidolon")</f>
        <v>@Roc_Eidolon</v>
      </c>
      <c r="C5098" s="8" t="s">
        <v>1195</v>
      </c>
      <c r="D5098" s="8">
        <v>1428</v>
      </c>
      <c r="E5098" s="8">
        <v>0</v>
      </c>
      <c r="F5098" s="8">
        <v>188</v>
      </c>
    </row>
    <row r="5099" spans="1:6" ht="12.75">
      <c r="A5099" s="8">
        <v>43902.791307870371</v>
      </c>
      <c r="B5099" s="8" t="str">
        <f>HYPERLINK("https://twitter.com/kunamoz","@kunamoz")</f>
        <v>@kunamoz</v>
      </c>
      <c r="C5099" s="8" t="s">
        <v>289</v>
      </c>
      <c r="D5099" s="8">
        <v>36</v>
      </c>
      <c r="E5099" s="8">
        <v>0</v>
      </c>
      <c r="F5099" s="8">
        <v>105</v>
      </c>
    </row>
    <row r="5100" spans="1:6" ht="12.75">
      <c r="A5100" s="8">
        <v>43902.791273148148</v>
      </c>
      <c r="B5100" s="8" t="str">
        <f>HYPERLINK("https://twitter.com/RMTrueToMyself","@RMTrueToMyself")</f>
        <v>@RMTrueToMyself</v>
      </c>
      <c r="C5100" s="8" t="s">
        <v>1195</v>
      </c>
      <c r="D5100" s="8">
        <v>1428</v>
      </c>
      <c r="E5100" s="8">
        <v>0</v>
      </c>
      <c r="F5100" s="8">
        <v>146</v>
      </c>
    </row>
    <row r="5101" spans="1:6" ht="12.75">
      <c r="A5101" s="8">
        <v>43902.791273148148</v>
      </c>
      <c r="B5101" s="8" t="str">
        <f>HYPERLINK("https://twitter.com/TheIndianMukesh","@TheIndianMukesh")</f>
        <v>@TheIndianMukesh</v>
      </c>
      <c r="C5101" s="8" t="s">
        <v>1195</v>
      </c>
      <c r="D5101" s="8">
        <v>1428</v>
      </c>
      <c r="E5101" s="8">
        <v>0</v>
      </c>
      <c r="F5101" s="8">
        <v>532</v>
      </c>
    </row>
    <row r="5102" spans="1:6" ht="12.75">
      <c r="A5102" s="8">
        <v>43902.791261574079</v>
      </c>
      <c r="B5102" s="8" t="str">
        <f>HYPERLINK("https://twitter.com/ssen37","@ssen37")</f>
        <v>@ssen37</v>
      </c>
      <c r="C5102" s="8" t="s">
        <v>1195</v>
      </c>
      <c r="D5102" s="8">
        <v>1428</v>
      </c>
      <c r="E5102" s="8">
        <v>0</v>
      </c>
      <c r="F5102" s="8">
        <v>52</v>
      </c>
    </row>
    <row r="5103" spans="1:6" ht="12.75">
      <c r="A5103" s="8">
        <v>43902.791215277779</v>
      </c>
      <c r="B5103" s="8" t="str">
        <f>HYPERLINK("https://twitter.com/IMPKV","@IMPKV")</f>
        <v>@IMPKV</v>
      </c>
      <c r="C5103" s="8" t="s">
        <v>1195</v>
      </c>
      <c r="D5103" s="8">
        <v>1428</v>
      </c>
      <c r="E5103" s="8">
        <v>0</v>
      </c>
      <c r="F5103" s="8">
        <v>716</v>
      </c>
    </row>
    <row r="5104" spans="1:6" ht="12.75">
      <c r="A5104" s="8">
        <v>43902.791134259256</v>
      </c>
      <c r="B5104" s="8" t="str">
        <f>HYPERLINK("https://twitter.com/bpjIndia","@bpjIndia")</f>
        <v>@bpjIndia</v>
      </c>
      <c r="C5104" s="8" t="s">
        <v>1195</v>
      </c>
      <c r="D5104" s="8">
        <v>1428</v>
      </c>
      <c r="E5104" s="8">
        <v>0</v>
      </c>
      <c r="F5104" s="8">
        <v>1260</v>
      </c>
    </row>
    <row r="5105" spans="1:6" ht="12.75">
      <c r="A5105" s="8">
        <v>43902.79105324074</v>
      </c>
      <c r="B5105" s="8" t="str">
        <f>HYPERLINK("https://twitter.com/jonyboltay","@jonyboltay")</f>
        <v>@jonyboltay</v>
      </c>
      <c r="C5105" s="8" t="s">
        <v>1195</v>
      </c>
      <c r="D5105" s="8">
        <v>1428</v>
      </c>
      <c r="E5105" s="8">
        <v>0</v>
      </c>
      <c r="F5105" s="8">
        <v>167</v>
      </c>
    </row>
    <row r="5106" spans="1:6" ht="12.75">
      <c r="A5106" s="8">
        <v>43902.791030092594</v>
      </c>
      <c r="B5106" s="8" t="str">
        <f>HYPERLINK("https://twitter.com/ashok31768","@ashok31768")</f>
        <v>@ashok31768</v>
      </c>
      <c r="C5106" s="8" t="s">
        <v>1195</v>
      </c>
      <c r="D5106" s="8">
        <v>1428</v>
      </c>
      <c r="E5106" s="8">
        <v>0</v>
      </c>
      <c r="F5106" s="8">
        <v>509</v>
      </c>
    </row>
    <row r="5107" spans="1:6" ht="12.75">
      <c r="A5107" s="8">
        <v>43902.791030092594</v>
      </c>
      <c r="B5107" s="8" t="str">
        <f>HYPERLINK("https://twitter.com/KeanuRomee","@KeanuRomee")</f>
        <v>@KeanuRomee</v>
      </c>
      <c r="C5107" s="8" t="s">
        <v>2516</v>
      </c>
      <c r="D5107" s="8">
        <v>0</v>
      </c>
      <c r="E5107" s="8">
        <v>0</v>
      </c>
      <c r="F5107" s="8">
        <v>9</v>
      </c>
    </row>
    <row r="5108" spans="1:6" ht="12.75">
      <c r="A5108" s="8">
        <v>43902.790810185186</v>
      </c>
      <c r="B5108" s="8" t="str">
        <f>HYPERLINK("https://twitter.com/nayakuddin","@nayakuddin")</f>
        <v>@nayakuddin</v>
      </c>
      <c r="C5108" s="8" t="s">
        <v>1195</v>
      </c>
      <c r="D5108" s="8">
        <v>1428</v>
      </c>
      <c r="E5108" s="8">
        <v>0</v>
      </c>
      <c r="F5108" s="8">
        <v>245</v>
      </c>
    </row>
    <row r="5109" spans="1:6" ht="12.75">
      <c r="A5109" s="8">
        <v>43902.790613425925</v>
      </c>
      <c r="B5109" s="8" t="str">
        <f>HYPERLINK("https://twitter.com/dianrmn","@dianrmn")</f>
        <v>@dianrmn</v>
      </c>
      <c r="C5109" s="8" t="s">
        <v>1030</v>
      </c>
      <c r="D5109" s="8">
        <v>139</v>
      </c>
      <c r="E5109" s="8">
        <v>0</v>
      </c>
      <c r="F5109" s="8">
        <v>452</v>
      </c>
    </row>
    <row r="5110" spans="1:6" ht="12.75">
      <c r="A5110" s="8">
        <v>43902.790393518517</v>
      </c>
      <c r="B5110" s="8" t="str">
        <f>HYPERLINK("https://twitter.com/ksubhash567","@ksubhash567")</f>
        <v>@ksubhash567</v>
      </c>
      <c r="C5110" s="8" t="s">
        <v>1195</v>
      </c>
      <c r="D5110" s="8">
        <v>1428</v>
      </c>
      <c r="E5110" s="8">
        <v>0</v>
      </c>
      <c r="F5110" s="8">
        <v>140</v>
      </c>
    </row>
    <row r="5111" spans="1:6" ht="12.75">
      <c r="A5111" s="8">
        <v>43902.790289351848</v>
      </c>
      <c r="B5111" s="8" t="str">
        <f>HYPERLINK("https://twitter.com/PraveenLakhe","@PraveenLakhe")</f>
        <v>@PraveenLakhe</v>
      </c>
      <c r="C5111" s="8" t="s">
        <v>1195</v>
      </c>
      <c r="D5111" s="8">
        <v>1428</v>
      </c>
      <c r="E5111" s="8">
        <v>0</v>
      </c>
      <c r="F5111" s="8">
        <v>39</v>
      </c>
    </row>
    <row r="5112" spans="1:6" ht="12.75">
      <c r="A5112" s="8">
        <v>43902.790196759262</v>
      </c>
      <c r="B5112" s="8" t="str">
        <f>HYPERLINK("https://twitter.com/stqygolden","@stqygolden")</f>
        <v>@stqygolden</v>
      </c>
      <c r="C5112" s="8" t="s">
        <v>1030</v>
      </c>
      <c r="D5112" s="8">
        <v>139</v>
      </c>
      <c r="E5112" s="8">
        <v>0</v>
      </c>
      <c r="F5112" s="8">
        <v>13</v>
      </c>
    </row>
    <row r="5113" spans="1:6" ht="12.75">
      <c r="A5113" s="8">
        <v>43902.790173611109</v>
      </c>
      <c r="B5113" s="8" t="str">
        <f>HYPERLINK("https://twitter.com/sunil1990","@sunil1990")</f>
        <v>@sunil1990</v>
      </c>
      <c r="C5113" s="8" t="s">
        <v>1195</v>
      </c>
      <c r="D5113" s="8">
        <v>1428</v>
      </c>
      <c r="E5113" s="8">
        <v>0</v>
      </c>
      <c r="F5113" s="8">
        <v>53</v>
      </c>
    </row>
    <row r="5114" spans="1:6" ht="12.75">
      <c r="A5114" s="8">
        <v>43902.790104166663</v>
      </c>
      <c r="B5114" s="8" t="str">
        <f t="shared" ref="B5114:B5115" si="94">HYPERLINK("https://twitter.com/ghostslayer2112","@ghostslayer2112")</f>
        <v>@ghostslayer2112</v>
      </c>
      <c r="C5114" s="8" t="s">
        <v>1957</v>
      </c>
      <c r="D5114" s="8">
        <v>1535</v>
      </c>
      <c r="E5114" s="8">
        <v>0</v>
      </c>
      <c r="F5114" s="8">
        <v>204</v>
      </c>
    </row>
    <row r="5115" spans="1:6" ht="12.75">
      <c r="A5115" s="8">
        <v>43902.79006944444</v>
      </c>
      <c r="B5115" s="8" t="str">
        <f t="shared" si="94"/>
        <v>@ghostslayer2112</v>
      </c>
      <c r="C5115" s="8" t="s">
        <v>1808</v>
      </c>
      <c r="D5115" s="8">
        <v>898</v>
      </c>
      <c r="E5115" s="8">
        <v>0</v>
      </c>
      <c r="F5115" s="8">
        <v>204</v>
      </c>
    </row>
    <row r="5116" spans="1:6" ht="12.75">
      <c r="A5116" s="8">
        <v>43902.790046296301</v>
      </c>
      <c r="B5116" s="8" t="str">
        <f>HYPERLINK("https://twitter.com/hanisajaya","@hanisajaya")</f>
        <v>@hanisajaya</v>
      </c>
      <c r="C5116" s="8" t="s">
        <v>1621</v>
      </c>
      <c r="D5116" s="8">
        <v>44</v>
      </c>
      <c r="E5116" s="8">
        <v>0</v>
      </c>
      <c r="F5116" s="8">
        <v>2</v>
      </c>
    </row>
    <row r="5117" spans="1:6" ht="12.75">
      <c r="A5117" s="8">
        <v>43902.790023148147</v>
      </c>
      <c r="B5117" s="8" t="str">
        <f>HYPERLINK("https://twitter.com/ghostslayer2112","@ghostslayer2112")</f>
        <v>@ghostslayer2112</v>
      </c>
      <c r="C5117" s="8" t="s">
        <v>1195</v>
      </c>
      <c r="D5117" s="8">
        <v>1428</v>
      </c>
      <c r="E5117" s="8">
        <v>0</v>
      </c>
      <c r="F5117" s="8">
        <v>204</v>
      </c>
    </row>
    <row r="5118" spans="1:6" ht="12.75">
      <c r="A5118" s="8">
        <v>43902.789930555555</v>
      </c>
      <c r="B5118" s="8" t="str">
        <f>HYPERLINK("https://twitter.com/apthamitra","@apthamitra")</f>
        <v>@apthamitra</v>
      </c>
      <c r="C5118" s="8" t="s">
        <v>1195</v>
      </c>
      <c r="D5118" s="8">
        <v>1428</v>
      </c>
      <c r="E5118" s="8">
        <v>0</v>
      </c>
      <c r="F5118" s="8">
        <v>2910</v>
      </c>
    </row>
    <row r="5119" spans="1:6" ht="12.75">
      <c r="A5119" s="8">
        <v>43902.789849537032</v>
      </c>
      <c r="B5119" s="8" t="str">
        <f>HYPERLINK("https://twitter.com/UmeshKu39266308","@UmeshKu39266308")</f>
        <v>@UmeshKu39266308</v>
      </c>
      <c r="C5119" s="8" t="s">
        <v>2517</v>
      </c>
      <c r="D5119" s="8">
        <v>0</v>
      </c>
      <c r="E5119" s="8">
        <v>0</v>
      </c>
      <c r="F5119" s="8">
        <v>22</v>
      </c>
    </row>
    <row r="5120" spans="1:6" ht="12.75">
      <c r="A5120" s="8">
        <v>43902.789803240739</v>
      </c>
      <c r="B5120" s="8" t="str">
        <f>HYPERLINK("https://twitter.com/Phey_Peank212","@Phey_Peank212")</f>
        <v>@Phey_Peank212</v>
      </c>
      <c r="C5120" s="8" t="s">
        <v>2518</v>
      </c>
      <c r="D5120" s="8">
        <v>0</v>
      </c>
      <c r="E5120" s="8">
        <v>0</v>
      </c>
      <c r="F5120" s="8">
        <v>842</v>
      </c>
    </row>
    <row r="5121" spans="1:6" ht="12.75">
      <c r="A5121" s="8">
        <v>43902.789664351847</v>
      </c>
      <c r="B5121" s="8" t="str">
        <f>HYPERLINK("https://twitter.com/LingarajDasLJ","@LingarajDasLJ")</f>
        <v>@LingarajDasLJ</v>
      </c>
      <c r="C5121" s="8" t="s">
        <v>1195</v>
      </c>
      <c r="D5121" s="8">
        <v>1428</v>
      </c>
      <c r="E5121" s="8">
        <v>0</v>
      </c>
      <c r="F5121" s="8">
        <v>257</v>
      </c>
    </row>
    <row r="5122" spans="1:6" ht="12.75">
      <c r="A5122" s="8">
        <v>43902.789571759262</v>
      </c>
      <c r="B5122" s="8" t="str">
        <f>HYPERLINK("https://twitter.com/voyger_twts","@voyger_twts")</f>
        <v>@voyger_twts</v>
      </c>
      <c r="C5122" s="8" t="s">
        <v>1195</v>
      </c>
      <c r="D5122" s="8">
        <v>1428</v>
      </c>
      <c r="E5122" s="8">
        <v>0</v>
      </c>
      <c r="F5122" s="8">
        <v>55</v>
      </c>
    </row>
    <row r="5123" spans="1:6" ht="12.75">
      <c r="A5123" s="8">
        <v>43902.789537037039</v>
      </c>
      <c r="B5123" s="8" t="str">
        <f>HYPERLINK("https://twitter.com/Nilum_KnockIOT","@Nilum_KnockIOT")</f>
        <v>@Nilum_KnockIOT</v>
      </c>
      <c r="C5123" s="8" t="s">
        <v>1195</v>
      </c>
      <c r="D5123" s="8">
        <v>1428</v>
      </c>
      <c r="E5123" s="8">
        <v>0</v>
      </c>
      <c r="F5123" s="8">
        <v>1272</v>
      </c>
    </row>
    <row r="5124" spans="1:6" ht="12.75">
      <c r="A5124" s="8">
        <v>43902.789479166662</v>
      </c>
      <c r="B5124" s="8" t="str">
        <f>HYPERLINK("https://twitter.com/Ajay66268190","@Ajay66268190")</f>
        <v>@Ajay66268190</v>
      </c>
      <c r="C5124" s="8" t="s">
        <v>1195</v>
      </c>
      <c r="D5124" s="8">
        <v>1428</v>
      </c>
      <c r="E5124" s="8">
        <v>0</v>
      </c>
      <c r="F5124" s="8">
        <v>125</v>
      </c>
    </row>
    <row r="5125" spans="1:6" ht="12.75">
      <c r="A5125" s="8">
        <v>43902.789467592593</v>
      </c>
      <c r="B5125" s="8" t="str">
        <f>HYPERLINK("https://twitter.com/MiishNottyAna","@MiishNottyAna")</f>
        <v>@MiishNottyAna</v>
      </c>
      <c r="C5125" s="8" t="s">
        <v>1195</v>
      </c>
      <c r="D5125" s="8">
        <v>1428</v>
      </c>
      <c r="E5125" s="8">
        <v>0</v>
      </c>
      <c r="F5125" s="8">
        <v>7213</v>
      </c>
    </row>
    <row r="5126" spans="1:6" ht="12.75">
      <c r="A5126" s="8">
        <v>43902.789398148147</v>
      </c>
      <c r="B5126" s="8" t="str">
        <f>HYPERLINK("https://twitter.com/Ant0n113","@Ant0n113")</f>
        <v>@Ant0n113</v>
      </c>
      <c r="C5126" s="8" t="s">
        <v>2519</v>
      </c>
      <c r="D5126" s="8">
        <v>0</v>
      </c>
      <c r="E5126" s="8">
        <v>0</v>
      </c>
      <c r="F5126" s="8">
        <v>803</v>
      </c>
    </row>
    <row r="5127" spans="1:6" ht="12.75">
      <c r="A5127" s="8">
        <v>43902.789386574077</v>
      </c>
      <c r="B5127" s="8" t="str">
        <f>HYPERLINK("https://twitter.com/avro_deep","@avro_deep")</f>
        <v>@avro_deep</v>
      </c>
      <c r="C5127" s="8" t="s">
        <v>1195</v>
      </c>
      <c r="D5127" s="8">
        <v>1428</v>
      </c>
      <c r="E5127" s="8">
        <v>0</v>
      </c>
      <c r="F5127" s="8">
        <v>426</v>
      </c>
    </row>
    <row r="5128" spans="1:6" ht="12.75">
      <c r="A5128" s="8">
        <v>43902.788761574076</v>
      </c>
      <c r="B5128" s="8" t="str">
        <f>HYPERLINK("https://twitter.com/India8Heart","@India8Heart")</f>
        <v>@India8Heart</v>
      </c>
      <c r="C5128" s="8" t="s">
        <v>1195</v>
      </c>
      <c r="D5128" s="8">
        <v>1428</v>
      </c>
      <c r="E5128" s="8">
        <v>0</v>
      </c>
      <c r="F5128" s="8">
        <v>996</v>
      </c>
    </row>
    <row r="5129" spans="1:6" ht="12.75">
      <c r="A5129" s="8">
        <v>43902.788738425923</v>
      </c>
      <c r="B5129" s="8" t="str">
        <f>HYPERLINK("https://twitter.com/kangdin223","@kangdin223")</f>
        <v>@kangdin223</v>
      </c>
      <c r="C5129" s="8" t="s">
        <v>1758</v>
      </c>
      <c r="D5129" s="8">
        <v>46</v>
      </c>
      <c r="E5129" s="8">
        <v>0</v>
      </c>
      <c r="F5129" s="8">
        <v>4567</v>
      </c>
    </row>
    <row r="5130" spans="1:6" ht="12.75">
      <c r="A5130" s="8">
        <v>43902.756701388891</v>
      </c>
      <c r="B5130" s="8" t="str">
        <f>HYPERLINK("https://twitter.com/thakervipul3","@thakervipul3")</f>
        <v>@thakervipul3</v>
      </c>
      <c r="C5130" s="8" t="s">
        <v>1195</v>
      </c>
      <c r="D5130" s="8">
        <v>1150</v>
      </c>
      <c r="E5130" s="8">
        <v>0</v>
      </c>
      <c r="F5130" s="8">
        <v>275</v>
      </c>
    </row>
    <row r="5131" spans="1:6" ht="12.75">
      <c r="A5131" s="8">
        <v>43902.756539351853</v>
      </c>
      <c r="B5131" s="8" t="str">
        <f>HYPERLINK("https://twitter.com/hema4pk","@hema4pk")</f>
        <v>@hema4pk</v>
      </c>
      <c r="C5131" s="8" t="s">
        <v>1195</v>
      </c>
      <c r="D5131" s="8">
        <v>1150</v>
      </c>
      <c r="E5131" s="8">
        <v>0</v>
      </c>
      <c r="F5131" s="8">
        <v>2890</v>
      </c>
    </row>
    <row r="5132" spans="1:6" ht="12.75">
      <c r="A5132" s="8">
        <v>43902.756469907406</v>
      </c>
      <c r="B5132" s="8" t="str">
        <f>HYPERLINK("https://twitter.com/ashokrodgi","@ashokrodgi")</f>
        <v>@ashokrodgi</v>
      </c>
      <c r="C5132" s="8" t="s">
        <v>1195</v>
      </c>
      <c r="D5132" s="8">
        <v>1150</v>
      </c>
      <c r="E5132" s="8">
        <v>0</v>
      </c>
      <c r="F5132" s="8">
        <v>345</v>
      </c>
    </row>
    <row r="5133" spans="1:6" ht="12.75">
      <c r="A5133" s="8">
        <v>43902.756261574075</v>
      </c>
      <c r="B5133" s="8" t="str">
        <f>HYPERLINK("https://twitter.com/merdekadotcom","@merdekadotcom")</f>
        <v>@merdekadotcom</v>
      </c>
      <c r="C5133" s="8" t="s">
        <v>2520</v>
      </c>
      <c r="D5133" s="8">
        <v>0</v>
      </c>
      <c r="E5133" s="8">
        <v>0</v>
      </c>
      <c r="F5133" s="8">
        <v>232070</v>
      </c>
    </row>
    <row r="5134" spans="1:6" ht="12.75">
      <c r="A5134" s="8">
        <v>43902.756249999999</v>
      </c>
      <c r="B5134" s="8" t="str">
        <f>HYPERLINK("https://twitter.com/_abhishekc","@_abhishekc")</f>
        <v>@_abhishekc</v>
      </c>
      <c r="C5134" s="8" t="s">
        <v>1195</v>
      </c>
      <c r="D5134" s="8">
        <v>1150</v>
      </c>
      <c r="E5134" s="8">
        <v>0</v>
      </c>
      <c r="F5134" s="8">
        <v>247</v>
      </c>
    </row>
    <row r="5135" spans="1:6" ht="12.75">
      <c r="A5135" s="8">
        <v>43902.756215277783</v>
      </c>
      <c r="B5135" s="8" t="str">
        <f>HYPERLINK("https://twitter.com/SaiVish81403651","@SaiVish81403651")</f>
        <v>@SaiVish81403651</v>
      </c>
      <c r="C5135" s="8" t="s">
        <v>1195</v>
      </c>
      <c r="D5135" s="8">
        <v>1150</v>
      </c>
      <c r="E5135" s="8">
        <v>0</v>
      </c>
      <c r="F5135" s="8">
        <v>46</v>
      </c>
    </row>
    <row r="5136" spans="1:6" ht="12.75">
      <c r="A5136" s="8">
        <v>43902.756030092598</v>
      </c>
      <c r="B5136" s="8" t="str">
        <f>HYPERLINK("https://twitter.com/tienz95","@tienz95")</f>
        <v>@tienz95</v>
      </c>
      <c r="C5136" s="8" t="s">
        <v>289</v>
      </c>
      <c r="D5136" s="8">
        <v>30</v>
      </c>
      <c r="E5136" s="8">
        <v>0</v>
      </c>
      <c r="F5136" s="8">
        <v>747</v>
      </c>
    </row>
    <row r="5137" spans="1:6" ht="12.75">
      <c r="A5137" s="8">
        <v>43902.75581018519</v>
      </c>
      <c r="B5137" s="8" t="str">
        <f>HYPERLINK("https://twitter.com/ayuyayuyayuya","@ayuyayuyayuya")</f>
        <v>@ayuyayuyayuya</v>
      </c>
      <c r="C5137" s="8" t="s">
        <v>2521</v>
      </c>
      <c r="D5137" s="8">
        <v>1</v>
      </c>
      <c r="E5137" s="8">
        <v>0</v>
      </c>
      <c r="F5137" s="8">
        <v>250</v>
      </c>
    </row>
    <row r="5138" spans="1:6" ht="12.75">
      <c r="A5138" s="8">
        <v>43902.755671296298</v>
      </c>
      <c r="B5138" s="8" t="str">
        <f>HYPERLINK("https://twitter.com/shaileshmishra","@shaileshmishra")</f>
        <v>@shaileshmishra</v>
      </c>
      <c r="C5138" s="8" t="s">
        <v>1195</v>
      </c>
      <c r="D5138" s="8">
        <v>1150</v>
      </c>
      <c r="E5138" s="8">
        <v>0</v>
      </c>
      <c r="F5138" s="8">
        <v>2503</v>
      </c>
    </row>
    <row r="5139" spans="1:6" ht="12.75">
      <c r="A5139" s="8">
        <v>43902.755520833336</v>
      </c>
      <c r="B5139" s="8" t="str">
        <f>HYPERLINK("https://twitter.com/validnewsco","@validnewsco")</f>
        <v>@validnewsco</v>
      </c>
      <c r="C5139" s="8" t="s">
        <v>2522</v>
      </c>
      <c r="D5139" s="8">
        <v>0</v>
      </c>
      <c r="E5139" s="8">
        <v>1</v>
      </c>
      <c r="F5139" s="8">
        <v>32432</v>
      </c>
    </row>
    <row r="5140" spans="1:6" ht="12.75">
      <c r="A5140" s="8">
        <v>43902.755162037036</v>
      </c>
      <c r="B5140" s="8" t="str">
        <f>HYPERLINK("https://twitter.com/vivekverma_91","@vivekverma_91")</f>
        <v>@vivekverma_91</v>
      </c>
      <c r="C5140" s="8" t="s">
        <v>1195</v>
      </c>
      <c r="D5140" s="8">
        <v>1150</v>
      </c>
      <c r="E5140" s="8">
        <v>0</v>
      </c>
      <c r="F5140" s="8">
        <v>71</v>
      </c>
    </row>
    <row r="5141" spans="1:6" ht="12.75">
      <c r="A5141" s="8">
        <v>43902.75503472222</v>
      </c>
      <c r="B5141" s="8" t="str">
        <f t="shared" ref="B5141:B5142" si="95">HYPERLINK("https://twitter.com/i__Hydrographer","@i__Hydrographer")</f>
        <v>@i__Hydrographer</v>
      </c>
      <c r="C5141" s="8" t="s">
        <v>1957</v>
      </c>
      <c r="D5141" s="8">
        <v>1533</v>
      </c>
      <c r="E5141" s="8">
        <v>0</v>
      </c>
      <c r="F5141" s="8">
        <v>242</v>
      </c>
    </row>
    <row r="5142" spans="1:6" ht="12.75">
      <c r="A5142" s="8">
        <v>43902.754965277782</v>
      </c>
      <c r="B5142" s="8" t="str">
        <f t="shared" si="95"/>
        <v>@i__Hydrographer</v>
      </c>
      <c r="C5142" s="8" t="s">
        <v>1195</v>
      </c>
      <c r="D5142" s="8">
        <v>1150</v>
      </c>
      <c r="E5142" s="8">
        <v>0</v>
      </c>
      <c r="F5142" s="8">
        <v>242</v>
      </c>
    </row>
    <row r="5143" spans="1:6" ht="12.75">
      <c r="A5143" s="8">
        <v>43902.754953703705</v>
      </c>
      <c r="B5143" s="8" t="str">
        <f>HYPERLINK("https://twitter.com/Sparkle_J0Y","@Sparkle_J0Y")</f>
        <v>@Sparkle_J0Y</v>
      </c>
      <c r="C5143" s="8" t="s">
        <v>1195</v>
      </c>
      <c r="D5143" s="8">
        <v>1150</v>
      </c>
      <c r="E5143" s="8">
        <v>0</v>
      </c>
      <c r="F5143" s="8">
        <v>104</v>
      </c>
    </row>
    <row r="5144" spans="1:6" ht="12.75">
      <c r="A5144" s="8">
        <v>43902.754918981482</v>
      </c>
      <c r="B5144" s="8" t="str">
        <f>HYPERLINK("https://twitter.com/PrincessMary84","@PrincessMary84")</f>
        <v>@PrincessMary84</v>
      </c>
      <c r="C5144" s="8" t="s">
        <v>2523</v>
      </c>
      <c r="D5144" s="8">
        <v>0</v>
      </c>
      <c r="E5144" s="8">
        <v>0</v>
      </c>
      <c r="F5144" s="8">
        <v>2</v>
      </c>
    </row>
    <row r="5145" spans="1:6" ht="12.75">
      <c r="A5145" s="8">
        <v>43902.754791666666</v>
      </c>
      <c r="B5145" s="8" t="str">
        <f>HYPERLINK("https://twitter.com/GrandLight88","@GrandLight88")</f>
        <v>@GrandLight88</v>
      </c>
      <c r="C5145" s="8" t="s">
        <v>2524</v>
      </c>
      <c r="D5145" s="8">
        <v>0</v>
      </c>
      <c r="E5145" s="8">
        <v>0</v>
      </c>
      <c r="F5145" s="8">
        <v>20</v>
      </c>
    </row>
    <row r="5146" spans="1:6" ht="12.75">
      <c r="A5146" s="8">
        <v>43902.754756944443</v>
      </c>
      <c r="B5146" s="8" t="str">
        <f>HYPERLINK("https://twitter.com/suryobon","@suryobon")</f>
        <v>@suryobon</v>
      </c>
      <c r="C5146" s="8" t="s">
        <v>2051</v>
      </c>
      <c r="D5146" s="8">
        <v>131</v>
      </c>
      <c r="E5146" s="8">
        <v>0</v>
      </c>
      <c r="F5146" s="8">
        <v>355</v>
      </c>
    </row>
    <row r="5147" spans="1:6" ht="12.75">
      <c r="A5147" s="8">
        <v>43902.754537037035</v>
      </c>
      <c r="B5147" s="8" t="str">
        <f>HYPERLINK("https://twitter.com/kompascom","@kompascom")</f>
        <v>@kompascom</v>
      </c>
      <c r="C5147" s="8" t="s">
        <v>2525</v>
      </c>
      <c r="D5147" s="8">
        <v>1</v>
      </c>
      <c r="E5147" s="8">
        <v>5</v>
      </c>
      <c r="F5147" s="8">
        <v>7542967</v>
      </c>
    </row>
    <row r="5148" spans="1:6" ht="12.75">
      <c r="A5148" s="8">
        <v>43902.754386574074</v>
      </c>
      <c r="B5148" s="8" t="str">
        <f>HYPERLINK("https://twitter.com/yersumi","@yersumi")</f>
        <v>@yersumi</v>
      </c>
      <c r="C5148" s="8" t="s">
        <v>1758</v>
      </c>
      <c r="D5148" s="8">
        <v>40</v>
      </c>
      <c r="E5148" s="8">
        <v>0</v>
      </c>
      <c r="F5148" s="8">
        <v>1016</v>
      </c>
    </row>
    <row r="5149" spans="1:6" ht="12.75">
      <c r="A5149" s="8">
        <v>43902.754317129627</v>
      </c>
      <c r="B5149" s="8" t="str">
        <f>HYPERLINK("https://twitter.com/Saurabh18446774","@Saurabh18446774")</f>
        <v>@Saurabh18446774</v>
      </c>
      <c r="C5149" s="8" t="s">
        <v>1195</v>
      </c>
      <c r="D5149" s="8">
        <v>1150</v>
      </c>
      <c r="E5149" s="8">
        <v>0</v>
      </c>
      <c r="F5149" s="8">
        <v>854</v>
      </c>
    </row>
    <row r="5150" spans="1:6" ht="12.75">
      <c r="A5150" s="8">
        <v>43902.754224537042</v>
      </c>
      <c r="B5150" s="8" t="str">
        <f>HYPERLINK("https://twitter.com/iamsrv29","@iamsrv29")</f>
        <v>@iamsrv29</v>
      </c>
      <c r="C5150" s="8" t="s">
        <v>1195</v>
      </c>
      <c r="D5150" s="8">
        <v>1150</v>
      </c>
      <c r="E5150" s="8">
        <v>0</v>
      </c>
      <c r="F5150" s="8">
        <v>190</v>
      </c>
    </row>
    <row r="5151" spans="1:6" ht="12.75">
      <c r="A5151" s="8">
        <v>43902.75409722222</v>
      </c>
      <c r="B5151" s="8" t="str">
        <f>HYPERLINK("https://twitter.com/satyaanaveshi","@satyaanaveshi")</f>
        <v>@satyaanaveshi</v>
      </c>
      <c r="C5151" s="8" t="s">
        <v>1195</v>
      </c>
      <c r="D5151" s="8">
        <v>1150</v>
      </c>
      <c r="E5151" s="8">
        <v>0</v>
      </c>
      <c r="F5151" s="8">
        <v>272</v>
      </c>
    </row>
    <row r="5152" spans="1:6" ht="12.75">
      <c r="A5152" s="8">
        <v>43902.753888888888</v>
      </c>
      <c r="B5152" s="8" t="str">
        <f>HYPERLINK("https://twitter.com/psvirendra","@psvirendra")</f>
        <v>@psvirendra</v>
      </c>
      <c r="C5152" s="8" t="s">
        <v>1195</v>
      </c>
      <c r="D5152" s="8">
        <v>1150</v>
      </c>
      <c r="E5152" s="8">
        <v>0</v>
      </c>
      <c r="F5152" s="8">
        <v>159</v>
      </c>
    </row>
    <row r="5153" spans="1:6" ht="12.75">
      <c r="A5153" s="8">
        <v>43902.753668981481</v>
      </c>
      <c r="B5153" s="8" t="str">
        <f>HYPERLINK("https://twitter.com/Nrip_Pandey","@Nrip_Pandey")</f>
        <v>@Nrip_Pandey</v>
      </c>
      <c r="C5153" s="8" t="s">
        <v>1195</v>
      </c>
      <c r="D5153" s="8">
        <v>1150</v>
      </c>
      <c r="E5153" s="8">
        <v>0</v>
      </c>
      <c r="F5153" s="8">
        <v>666</v>
      </c>
    </row>
    <row r="5154" spans="1:6" ht="12.75">
      <c r="A5154" s="8">
        <v>43902.753645833334</v>
      </c>
      <c r="B5154" s="8" t="str">
        <f>HYPERLINK("https://twitter.com/sunilpattu","@sunilpattu")</f>
        <v>@sunilpattu</v>
      </c>
      <c r="C5154" s="8" t="s">
        <v>1195</v>
      </c>
      <c r="D5154" s="8">
        <v>1150</v>
      </c>
      <c r="E5154" s="8">
        <v>0</v>
      </c>
      <c r="F5154" s="8">
        <v>198</v>
      </c>
    </row>
    <row r="5155" spans="1:6" ht="12.75">
      <c r="A5155" s="8">
        <v>43902.753645833334</v>
      </c>
      <c r="B5155" s="8" t="str">
        <f>HYPERLINK("https://twitter.com/kentudoosh","@kentudoosh")</f>
        <v>@kentudoosh</v>
      </c>
      <c r="C5155" s="8" t="s">
        <v>2526</v>
      </c>
      <c r="D5155" s="8">
        <v>9</v>
      </c>
      <c r="E5155" s="8">
        <v>0</v>
      </c>
      <c r="F5155" s="8">
        <v>403</v>
      </c>
    </row>
    <row r="5156" spans="1:6" ht="12.75">
      <c r="A5156" s="8">
        <v>43902.753622685181</v>
      </c>
      <c r="B5156" s="8" t="str">
        <f>HYPERLINK("https://twitter.com/ummychasan","@ummychasan")</f>
        <v>@ummychasan</v>
      </c>
      <c r="C5156" s="8" t="s">
        <v>2527</v>
      </c>
      <c r="D5156" s="8">
        <v>0</v>
      </c>
      <c r="E5156" s="8">
        <v>0</v>
      </c>
      <c r="F5156" s="8">
        <v>4880</v>
      </c>
    </row>
    <row r="5157" spans="1:6" ht="12.75">
      <c r="A5157" s="8">
        <v>43902.753611111111</v>
      </c>
      <c r="B5157" s="8" t="str">
        <f>HYPERLINK("https://twitter.com/veenoo74","@veenoo74")</f>
        <v>@veenoo74</v>
      </c>
      <c r="C5157" s="8" t="s">
        <v>1195</v>
      </c>
      <c r="D5157" s="8">
        <v>1150</v>
      </c>
      <c r="E5157" s="8">
        <v>0</v>
      </c>
      <c r="F5157" s="8">
        <v>923</v>
      </c>
    </row>
    <row r="5158" spans="1:6" ht="12.75">
      <c r="A5158" s="8">
        <v>43902.753541666665</v>
      </c>
      <c r="B5158" s="8" t="str">
        <f>HYPERLINK("https://twitter.com/TheDineshSpeaks","@TheDineshSpeaks")</f>
        <v>@TheDineshSpeaks</v>
      </c>
      <c r="C5158" s="8" t="s">
        <v>1195</v>
      </c>
      <c r="D5158" s="8">
        <v>1150</v>
      </c>
      <c r="E5158" s="8">
        <v>0</v>
      </c>
      <c r="F5158" s="8">
        <v>212</v>
      </c>
    </row>
    <row r="5159" spans="1:6" ht="12.75">
      <c r="A5159" s="8">
        <v>43902.753472222219</v>
      </c>
      <c r="B5159" s="8" t="str">
        <f>HYPERLINK("https://twitter.com/sofia_sudarma","@sofia_sudarma")</f>
        <v>@sofia_sudarma</v>
      </c>
      <c r="C5159" s="8" t="s">
        <v>2526</v>
      </c>
      <c r="D5159" s="8">
        <v>9</v>
      </c>
      <c r="E5159" s="8">
        <v>0</v>
      </c>
      <c r="F5159" s="8">
        <v>862</v>
      </c>
    </row>
    <row r="5160" spans="1:6" ht="12.75">
      <c r="A5160" s="8">
        <v>43902.75335648148</v>
      </c>
      <c r="B5160" s="8" t="str">
        <f>HYPERLINK("https://twitter.com/fierman_nrd","@fierman_nrd")</f>
        <v>@fierman_nrd</v>
      </c>
      <c r="C5160" s="8" t="s">
        <v>289</v>
      </c>
      <c r="D5160" s="8">
        <v>30</v>
      </c>
      <c r="E5160" s="8">
        <v>0</v>
      </c>
      <c r="F5160" s="8">
        <v>673</v>
      </c>
    </row>
    <row r="5161" spans="1:6" ht="12.75">
      <c r="A5161" s="8">
        <v>43902.753263888888</v>
      </c>
      <c r="B5161" s="8" t="str">
        <f>HYPERLINK("https://twitter.com/prakasa01","@prakasa01")</f>
        <v>@prakasa01</v>
      </c>
      <c r="C5161" s="8" t="s">
        <v>1195</v>
      </c>
      <c r="D5161" s="8">
        <v>1150</v>
      </c>
      <c r="E5161" s="8">
        <v>0</v>
      </c>
      <c r="F5161" s="8">
        <v>257</v>
      </c>
    </row>
    <row r="5162" spans="1:6" ht="12.75">
      <c r="A5162" s="8">
        <v>43902.753217592588</v>
      </c>
      <c r="B5162" s="8" t="str">
        <f>HYPERLINK("https://twitter.com/n_i_k_h_i_l_l","@n_i_k_h_i_l_l")</f>
        <v>@n_i_k_h_i_l_l</v>
      </c>
      <c r="C5162" s="8" t="s">
        <v>1195</v>
      </c>
      <c r="D5162" s="8">
        <v>1150</v>
      </c>
      <c r="E5162" s="8">
        <v>0</v>
      </c>
      <c r="F5162" s="8">
        <v>158</v>
      </c>
    </row>
    <row r="5163" spans="1:6" ht="12.75">
      <c r="A5163" s="8">
        <v>43902.752881944441</v>
      </c>
      <c r="B5163" s="8" t="str">
        <f>HYPERLINK("https://twitter.com/MahendraZanzme1","@MahendraZanzme1")</f>
        <v>@MahendraZanzme1</v>
      </c>
      <c r="C5163" s="8" t="s">
        <v>1195</v>
      </c>
      <c r="D5163" s="8">
        <v>1150</v>
      </c>
      <c r="E5163" s="8">
        <v>0</v>
      </c>
      <c r="F5163" s="8">
        <v>296</v>
      </c>
    </row>
    <row r="5164" spans="1:6" ht="12.75">
      <c r="A5164" s="8">
        <v>43902.752835648149</v>
      </c>
      <c r="B5164" s="8" t="str">
        <f>HYPERLINK("https://twitter.com/aisyahtyass","@aisyahtyass")</f>
        <v>@aisyahtyass</v>
      </c>
      <c r="C5164" s="8" t="s">
        <v>2051</v>
      </c>
      <c r="D5164" s="8">
        <v>131</v>
      </c>
      <c r="E5164" s="8">
        <v>0</v>
      </c>
      <c r="F5164" s="8">
        <v>128</v>
      </c>
    </row>
    <row r="5165" spans="1:6" ht="12.75">
      <c r="A5165" s="8">
        <v>43902.752824074079</v>
      </c>
      <c r="B5165" s="8" t="str">
        <f>HYPERLINK("https://twitter.com/GrandLight88","@GrandLight88")</f>
        <v>@GrandLight88</v>
      </c>
      <c r="C5165" s="8" t="s">
        <v>2528</v>
      </c>
      <c r="D5165" s="8">
        <v>0</v>
      </c>
      <c r="E5165" s="8">
        <v>0</v>
      </c>
      <c r="F5165" s="8">
        <v>20</v>
      </c>
    </row>
    <row r="5166" spans="1:6" ht="12.75">
      <c r="A5166" s="8">
        <v>43902.752800925926</v>
      </c>
      <c r="B5166" s="8" t="str">
        <f>HYPERLINK("https://twitter.com/Rahul_thakur8","@Rahul_thakur8")</f>
        <v>@Rahul_thakur8</v>
      </c>
      <c r="C5166" s="8" t="s">
        <v>1195</v>
      </c>
      <c r="D5166" s="8">
        <v>1150</v>
      </c>
      <c r="E5166" s="8">
        <v>0</v>
      </c>
      <c r="F5166" s="8">
        <v>172</v>
      </c>
    </row>
    <row r="5167" spans="1:6" ht="12.75">
      <c r="A5167" s="8">
        <v>43902.752685185187</v>
      </c>
      <c r="B5167" s="8" t="str">
        <f>HYPERLINK("https://twitter.com/ruknagi","@ruknagi")</f>
        <v>@ruknagi</v>
      </c>
      <c r="C5167" s="8" t="s">
        <v>1195</v>
      </c>
      <c r="D5167" s="8">
        <v>1150</v>
      </c>
      <c r="E5167" s="8">
        <v>0</v>
      </c>
      <c r="F5167" s="8">
        <v>303</v>
      </c>
    </row>
    <row r="5168" spans="1:6" ht="12.75">
      <c r="A5168" s="8">
        <v>43902.752604166672</v>
      </c>
      <c r="B5168" s="8" t="str">
        <f>HYPERLINK("https://twitter.com/herik3rn","@herik3rn")</f>
        <v>@herik3rn</v>
      </c>
      <c r="C5168" s="8" t="s">
        <v>2529</v>
      </c>
      <c r="D5168" s="8">
        <v>0</v>
      </c>
      <c r="E5168" s="8">
        <v>0</v>
      </c>
      <c r="F5168" s="8">
        <v>69</v>
      </c>
    </row>
    <row r="5169" spans="1:6" ht="12.75">
      <c r="A5169" s="8">
        <v>43902.752569444448</v>
      </c>
      <c r="B5169" s="8" t="str">
        <f>HYPERLINK("https://twitter.com/sscomp32","@sscomp32")</f>
        <v>@sscomp32</v>
      </c>
      <c r="C5169" s="8" t="s">
        <v>1195</v>
      </c>
      <c r="D5169" s="8">
        <v>1150</v>
      </c>
      <c r="E5169" s="8">
        <v>0</v>
      </c>
      <c r="F5169" s="8">
        <v>670</v>
      </c>
    </row>
    <row r="5170" spans="1:6" ht="12.75">
      <c r="A5170" s="8">
        <v>43902.752291666664</v>
      </c>
      <c r="B5170" s="8" t="str">
        <f>HYPERLINK("https://twitter.com/Sweta24007190","@Sweta24007190")</f>
        <v>@Sweta24007190</v>
      </c>
      <c r="C5170" s="8" t="s">
        <v>1195</v>
      </c>
      <c r="D5170" s="8">
        <v>1150</v>
      </c>
      <c r="E5170" s="8">
        <v>0</v>
      </c>
      <c r="F5170" s="8">
        <v>408</v>
      </c>
    </row>
    <row r="5171" spans="1:6" ht="12.75">
      <c r="A5171" s="8">
        <v>43902.752141203702</v>
      </c>
      <c r="B5171" s="8" t="str">
        <f>HYPERLINK("https://twitter.com/hardevsinh303","@hardevsinh303")</f>
        <v>@hardevsinh303</v>
      </c>
      <c r="C5171" s="8" t="s">
        <v>1195</v>
      </c>
      <c r="D5171" s="8">
        <v>1150</v>
      </c>
      <c r="E5171" s="8">
        <v>0</v>
      </c>
      <c r="F5171" s="8">
        <v>153</v>
      </c>
    </row>
    <row r="5172" spans="1:6" ht="12.75">
      <c r="A5172" s="8">
        <v>43902.752129629633</v>
      </c>
      <c r="B5172" s="8" t="str">
        <f>HYPERLINK("https://twitter.com/Onlyam_sUnIl08","@Onlyam_sUnIl08")</f>
        <v>@Onlyam_sUnIl08</v>
      </c>
      <c r="C5172" s="8" t="s">
        <v>1195</v>
      </c>
      <c r="D5172" s="8">
        <v>1150</v>
      </c>
      <c r="E5172" s="8">
        <v>0</v>
      </c>
      <c r="F5172" s="8">
        <v>5090</v>
      </c>
    </row>
    <row r="5173" spans="1:6" ht="12.75">
      <c r="A5173" s="8">
        <v>43902.75204861111</v>
      </c>
      <c r="B5173" s="8" t="str">
        <f>HYPERLINK("https://twitter.com/swingvoter99","@swingvoter99")</f>
        <v>@swingvoter99</v>
      </c>
      <c r="C5173" s="8" t="s">
        <v>1195</v>
      </c>
      <c r="D5173" s="8">
        <v>1150</v>
      </c>
      <c r="E5173" s="8">
        <v>0</v>
      </c>
      <c r="F5173" s="8">
        <v>95</v>
      </c>
    </row>
    <row r="5174" spans="1:6" ht="12.75">
      <c r="A5174" s="8">
        <v>43902.751539351855</v>
      </c>
      <c r="B5174" s="8" t="str">
        <f>HYPERLINK("https://twitter.com/Kriti_03","@Kriti_03")</f>
        <v>@Kriti_03</v>
      </c>
      <c r="C5174" s="8" t="s">
        <v>1808</v>
      </c>
      <c r="D5174" s="8">
        <v>891</v>
      </c>
      <c r="E5174" s="8">
        <v>0</v>
      </c>
      <c r="F5174" s="8">
        <v>75</v>
      </c>
    </row>
    <row r="5175" spans="1:6" ht="12.75">
      <c r="A5175" s="8">
        <v>43902.751423611116</v>
      </c>
      <c r="B5175" s="8" t="str">
        <f>HYPERLINK("https://twitter.com/xxAmarxx","@xxAmarxx")</f>
        <v>@xxAmarxx</v>
      </c>
      <c r="C5175" s="8" t="s">
        <v>1195</v>
      </c>
      <c r="D5175" s="8">
        <v>1150</v>
      </c>
      <c r="E5175" s="8">
        <v>0</v>
      </c>
      <c r="F5175" s="8">
        <v>164</v>
      </c>
    </row>
    <row r="5176" spans="1:6" ht="12.75">
      <c r="A5176" s="8">
        <v>43902.751412037032</v>
      </c>
      <c r="B5176" s="8" t="str">
        <f>HYPERLINK("https://twitter.com/Kriti_03","@Kriti_03")</f>
        <v>@Kriti_03</v>
      </c>
      <c r="C5176" s="8" t="s">
        <v>1957</v>
      </c>
      <c r="D5176" s="8">
        <v>1533</v>
      </c>
      <c r="E5176" s="8">
        <v>0</v>
      </c>
      <c r="F5176" s="8">
        <v>75</v>
      </c>
    </row>
    <row r="5177" spans="1:6" ht="12.75">
      <c r="A5177" s="8">
        <v>43902.751342592594</v>
      </c>
      <c r="B5177" s="8" t="str">
        <f>HYPERLINK("https://twitter.com/BrigadierPratp","@BrigadierPratp")</f>
        <v>@BrigadierPratp</v>
      </c>
      <c r="C5177" s="8" t="s">
        <v>1195</v>
      </c>
      <c r="D5177" s="8">
        <v>1150</v>
      </c>
      <c r="E5177" s="8">
        <v>0</v>
      </c>
      <c r="F5177" s="8">
        <v>120</v>
      </c>
    </row>
    <row r="5178" spans="1:6" ht="12.75">
      <c r="A5178" s="8">
        <v>43902.751307870371</v>
      </c>
      <c r="B5178" s="8" t="str">
        <f>HYPERLINK("https://twitter.com/Kriti_03","@Kriti_03")</f>
        <v>@Kriti_03</v>
      </c>
      <c r="C5178" s="8" t="s">
        <v>1195</v>
      </c>
      <c r="D5178" s="8">
        <v>1150</v>
      </c>
      <c r="E5178" s="8">
        <v>0</v>
      </c>
      <c r="F5178" s="8">
        <v>75</v>
      </c>
    </row>
    <row r="5179" spans="1:6" ht="12.75">
      <c r="A5179" s="8">
        <v>43902.751273148147</v>
      </c>
      <c r="B5179" s="8" t="str">
        <f>HYPERLINK("https://twitter.com/pych04","@pych04")</f>
        <v>@pych04</v>
      </c>
      <c r="C5179" s="8" t="s">
        <v>2530</v>
      </c>
      <c r="D5179" s="8">
        <v>0</v>
      </c>
      <c r="E5179" s="8">
        <v>0</v>
      </c>
      <c r="F5179" s="8">
        <v>9</v>
      </c>
    </row>
    <row r="5180" spans="1:6" ht="12.75">
      <c r="A5180" s="8">
        <v>43902.751203703709</v>
      </c>
      <c r="B5180" s="8" t="str">
        <f>HYPERLINK("https://twitter.com/twitvinay","@twitvinay")</f>
        <v>@twitvinay</v>
      </c>
      <c r="C5180" s="8" t="s">
        <v>1195</v>
      </c>
      <c r="D5180" s="8">
        <v>1150</v>
      </c>
      <c r="E5180" s="8">
        <v>0</v>
      </c>
      <c r="F5180" s="8">
        <v>393</v>
      </c>
    </row>
    <row r="5181" spans="1:6" ht="12.75">
      <c r="A5181" s="8">
        <v>43902.750937500001</v>
      </c>
      <c r="B5181" s="8" t="str">
        <f t="shared" ref="B5181:B5182" si="96">HYPERLINK("https://twitter.com/InnovativeHindu","@InnovativeHindu")</f>
        <v>@InnovativeHindu</v>
      </c>
      <c r="C5181" s="8" t="s">
        <v>1808</v>
      </c>
      <c r="D5181" s="8">
        <v>891</v>
      </c>
      <c r="E5181" s="8">
        <v>0</v>
      </c>
      <c r="F5181" s="8">
        <v>3598</v>
      </c>
    </row>
    <row r="5182" spans="1:6" ht="12.75">
      <c r="A5182" s="8">
        <v>43902.750902777778</v>
      </c>
      <c r="B5182" s="8" t="str">
        <f t="shared" si="96"/>
        <v>@InnovativeHindu</v>
      </c>
      <c r="C5182" s="8" t="s">
        <v>1957</v>
      </c>
      <c r="D5182" s="8">
        <v>1533</v>
      </c>
      <c r="E5182" s="8">
        <v>0</v>
      </c>
      <c r="F5182" s="8">
        <v>3598</v>
      </c>
    </row>
    <row r="5183" spans="1:6" ht="12.75">
      <c r="A5183" s="8">
        <v>43902.750775462962</v>
      </c>
      <c r="B5183" s="8" t="str">
        <f>HYPERLINK("https://twitter.com/LifeOfPai88","@LifeOfPai88")</f>
        <v>@LifeOfPai88</v>
      </c>
      <c r="C5183" s="8" t="s">
        <v>1195</v>
      </c>
      <c r="D5183" s="8">
        <v>1150</v>
      </c>
      <c r="E5183" s="8">
        <v>0</v>
      </c>
      <c r="F5183" s="8">
        <v>9</v>
      </c>
    </row>
    <row r="5184" spans="1:6" ht="12.75">
      <c r="A5184" s="8">
        <v>43902.75072916667</v>
      </c>
      <c r="B5184" s="8" t="str">
        <f>HYPERLINK("https://twitter.com/InnovativeHindu","@InnovativeHindu")</f>
        <v>@InnovativeHindu</v>
      </c>
      <c r="C5184" s="8" t="s">
        <v>1195</v>
      </c>
      <c r="D5184" s="8">
        <v>1150</v>
      </c>
      <c r="E5184" s="8">
        <v>0</v>
      </c>
      <c r="F5184" s="8">
        <v>3598</v>
      </c>
    </row>
    <row r="5185" spans="1:6" ht="12.75">
      <c r="A5185" s="8">
        <v>43902.750717592593</v>
      </c>
      <c r="B5185" s="8" t="str">
        <f>HYPERLINK("https://twitter.com/MINKYUOMPONG","@MINKYUOMPONG")</f>
        <v>@MINKYUOMPONG</v>
      </c>
      <c r="C5185" s="8" t="s">
        <v>2531</v>
      </c>
      <c r="D5185" s="8">
        <v>0</v>
      </c>
      <c r="E5185" s="8">
        <v>0</v>
      </c>
      <c r="F5185" s="8">
        <v>519</v>
      </c>
    </row>
    <row r="5186" spans="1:6" ht="12.75">
      <c r="A5186" s="8">
        <v>43902.750659722224</v>
      </c>
      <c r="B5186" s="8" t="str">
        <f>HYPERLINK("https://twitter.com/dixit6000","@dixit6000")</f>
        <v>@dixit6000</v>
      </c>
      <c r="C5186" s="8" t="s">
        <v>1195</v>
      </c>
      <c r="D5186" s="8">
        <v>1150</v>
      </c>
      <c r="E5186" s="8">
        <v>0</v>
      </c>
      <c r="F5186" s="8">
        <v>216</v>
      </c>
    </row>
    <row r="5187" spans="1:6" ht="12.75">
      <c r="A5187" s="8">
        <v>43902.750347222223</v>
      </c>
      <c r="B5187" s="8" t="str">
        <f>HYPERLINK("https://twitter.com/Edo_ShehB","@Edo_ShehB")</f>
        <v>@Edo_ShehB</v>
      </c>
      <c r="C5187" s="8" t="s">
        <v>2532</v>
      </c>
      <c r="D5187" s="8">
        <v>0</v>
      </c>
      <c r="E5187" s="8">
        <v>0</v>
      </c>
      <c r="F5187" s="8">
        <v>16</v>
      </c>
    </row>
    <row r="5188" spans="1:6" ht="12.75">
      <c r="A5188" s="8">
        <v>43902.75001157407</v>
      </c>
      <c r="B5188" s="8" t="str">
        <f>HYPERLINK("https://twitter.com/Nadila_ID","@Nadila_ID")</f>
        <v>@Nadila_ID</v>
      </c>
      <c r="C5188" s="8" t="s">
        <v>2533</v>
      </c>
      <c r="D5188" s="8">
        <v>0</v>
      </c>
      <c r="E5188" s="8">
        <v>0</v>
      </c>
      <c r="F5188" s="8">
        <v>7179</v>
      </c>
    </row>
    <row r="5189" spans="1:6" ht="12.75">
      <c r="A5189" s="8">
        <v>43902.749768518523</v>
      </c>
      <c r="B5189" s="8" t="str">
        <f>HYPERLINK("https://twitter.com/egaspw","@egaspw")</f>
        <v>@egaspw</v>
      </c>
      <c r="C5189" s="8" t="s">
        <v>2534</v>
      </c>
      <c r="D5189" s="8">
        <v>0</v>
      </c>
      <c r="E5189" s="8">
        <v>0</v>
      </c>
      <c r="F5189" s="8">
        <v>392</v>
      </c>
    </row>
    <row r="5190" spans="1:6" ht="12.75">
      <c r="A5190" s="8">
        <v>43902.749710648146</v>
      </c>
      <c r="B5190" s="8" t="str">
        <f>HYPERLINK("https://twitter.com/hisandeepshere","@hisandeepshere")</f>
        <v>@hisandeepshere</v>
      </c>
      <c r="C5190" s="8" t="s">
        <v>1195</v>
      </c>
      <c r="D5190" s="8">
        <v>1150</v>
      </c>
      <c r="E5190" s="8">
        <v>0</v>
      </c>
      <c r="F5190" s="8">
        <v>245</v>
      </c>
    </row>
    <row r="5191" spans="1:6" ht="12.75">
      <c r="A5191" s="8">
        <v>43902.7496412037</v>
      </c>
      <c r="B5191" s="8" t="str">
        <f>HYPERLINK("https://twitter.com/Sourabhdu1","@Sourabhdu1")</f>
        <v>@Sourabhdu1</v>
      </c>
      <c r="C5191" s="8" t="s">
        <v>1195</v>
      </c>
      <c r="D5191" s="8">
        <v>1150</v>
      </c>
      <c r="E5191" s="8">
        <v>0</v>
      </c>
      <c r="F5191" s="8">
        <v>170</v>
      </c>
    </row>
    <row r="5192" spans="1:6" ht="12.75">
      <c r="A5192" s="8">
        <v>43902.749502314815</v>
      </c>
      <c r="B5192" s="8" t="str">
        <f>HYPERLINK("https://twitter.com/coexistw1condtn","@coexistw1condtn")</f>
        <v>@coexistw1condtn</v>
      </c>
      <c r="C5192" s="8" t="s">
        <v>1195</v>
      </c>
      <c r="D5192" s="8">
        <v>1150</v>
      </c>
      <c r="E5192" s="8">
        <v>0</v>
      </c>
      <c r="F5192" s="8">
        <v>104</v>
      </c>
    </row>
    <row r="5193" spans="1:6" ht="12.75">
      <c r="A5193" s="8">
        <v>43902.749444444446</v>
      </c>
      <c r="B5193" s="8" t="str">
        <f>HYPERLINK("https://twitter.com/anissaputrii","@anissaputrii")</f>
        <v>@anissaputrii</v>
      </c>
      <c r="C5193" s="8" t="s">
        <v>2178</v>
      </c>
      <c r="D5193" s="8">
        <v>57</v>
      </c>
      <c r="E5193" s="8">
        <v>0</v>
      </c>
      <c r="F5193" s="8">
        <v>371</v>
      </c>
    </row>
    <row r="5194" spans="1:6" ht="12.75">
      <c r="A5194" s="8">
        <v>43902.74931712963</v>
      </c>
      <c r="B5194" s="8" t="str">
        <f>HYPERLINK("https://twitter.com/AndhiHatta","@AndhiHatta")</f>
        <v>@AndhiHatta</v>
      </c>
      <c r="C5194" s="8" t="s">
        <v>1186</v>
      </c>
      <c r="D5194" s="8">
        <v>430</v>
      </c>
      <c r="E5194" s="8">
        <v>0</v>
      </c>
      <c r="F5194" s="8">
        <v>1399</v>
      </c>
    </row>
    <row r="5195" spans="1:6" ht="12.75">
      <c r="A5195" s="8">
        <v>43902.749305555553</v>
      </c>
      <c r="B5195" s="8" t="str">
        <f>HYPERLINK("https://twitter.com/ronywijaya85","@ronywijaya85")</f>
        <v>@ronywijaya85</v>
      </c>
      <c r="C5195" s="8" t="s">
        <v>2535</v>
      </c>
      <c r="D5195" s="8">
        <v>0</v>
      </c>
      <c r="E5195" s="8">
        <v>0</v>
      </c>
      <c r="F5195" s="8">
        <v>95</v>
      </c>
    </row>
    <row r="5196" spans="1:6" ht="12.75">
      <c r="A5196" s="8">
        <v>43902.749178240745</v>
      </c>
      <c r="B5196" s="8" t="str">
        <f>HYPERLINK("https://twitter.com/pundir_vaibhav_","@pundir_vaibhav_")</f>
        <v>@pundir_vaibhav_</v>
      </c>
      <c r="C5196" s="8" t="s">
        <v>1195</v>
      </c>
      <c r="D5196" s="8">
        <v>1150</v>
      </c>
      <c r="E5196" s="8">
        <v>0</v>
      </c>
      <c r="F5196" s="8">
        <v>164</v>
      </c>
    </row>
    <row r="5197" spans="1:6" ht="12.75">
      <c r="A5197" s="8">
        <v>43902.74899305556</v>
      </c>
      <c r="B5197" s="8" t="str">
        <f>HYPERLINK("https://twitter.com/Kamus_HI","@Kamus_HI")</f>
        <v>@Kamus_HI</v>
      </c>
      <c r="C5197" s="8" t="s">
        <v>1569</v>
      </c>
      <c r="D5197" s="8">
        <v>12</v>
      </c>
      <c r="E5197" s="8">
        <v>0</v>
      </c>
      <c r="F5197" s="8">
        <v>4129</v>
      </c>
    </row>
    <row r="5198" spans="1:6" ht="12.75">
      <c r="A5198" s="8">
        <v>43902.748888888891</v>
      </c>
      <c r="B5198" s="8" t="str">
        <f>HYPERLINK("https://twitter.com/DamleNiranjan","@DamleNiranjan")</f>
        <v>@DamleNiranjan</v>
      </c>
      <c r="C5198" s="8" t="s">
        <v>1195</v>
      </c>
      <c r="D5198" s="8">
        <v>1150</v>
      </c>
      <c r="E5198" s="8">
        <v>0</v>
      </c>
      <c r="F5198" s="8">
        <v>49</v>
      </c>
    </row>
    <row r="5199" spans="1:6" ht="12.75">
      <c r="A5199" s="8">
        <v>43902.748854166668</v>
      </c>
      <c r="B5199" s="8" t="str">
        <f>HYPERLINK("https://twitter.com/PrincessMary84","@PrincessMary84")</f>
        <v>@PrincessMary84</v>
      </c>
      <c r="C5199" s="8" t="s">
        <v>2536</v>
      </c>
      <c r="D5199" s="8">
        <v>0</v>
      </c>
      <c r="E5199" s="8">
        <v>0</v>
      </c>
      <c r="F5199" s="8">
        <v>2</v>
      </c>
    </row>
    <row r="5200" spans="1:6" ht="12.75">
      <c r="A5200" s="8">
        <v>43902.748784722222</v>
      </c>
      <c r="B5200" s="8" t="str">
        <f>HYPERLINK("https://twitter.com/Savarkar18","@Savarkar18")</f>
        <v>@Savarkar18</v>
      </c>
      <c r="C5200" s="8" t="s">
        <v>1195</v>
      </c>
      <c r="D5200" s="8">
        <v>1150</v>
      </c>
      <c r="E5200" s="8">
        <v>0</v>
      </c>
      <c r="F5200" s="8">
        <v>217</v>
      </c>
    </row>
    <row r="5201" spans="1:6" ht="12.75">
      <c r="A5201" s="8">
        <v>43902.74864583333</v>
      </c>
      <c r="B5201" s="8" t="str">
        <f>HYPERLINK("https://twitter.com/mindar69","@mindar69")</f>
        <v>@mindar69</v>
      </c>
      <c r="C5201" s="8" t="s">
        <v>1758</v>
      </c>
      <c r="D5201" s="8">
        <v>40</v>
      </c>
      <c r="E5201" s="8">
        <v>0</v>
      </c>
      <c r="F5201" s="8">
        <v>1135</v>
      </c>
    </row>
    <row r="5202" spans="1:6" ht="12.75">
      <c r="A5202" s="8">
        <v>43902.748518518521</v>
      </c>
      <c r="B5202" s="8" t="str">
        <f>HYPERLINK("https://twitter.com/shashank_0702","@shashank_0702")</f>
        <v>@shashank_0702</v>
      </c>
      <c r="C5202" s="8" t="s">
        <v>1195</v>
      </c>
      <c r="D5202" s="8">
        <v>1150</v>
      </c>
      <c r="E5202" s="8">
        <v>0</v>
      </c>
      <c r="F5202" s="8">
        <v>156</v>
      </c>
    </row>
    <row r="5203" spans="1:6" ht="12.75">
      <c r="A5203" s="8">
        <v>43902.748414351852</v>
      </c>
      <c r="B5203" s="8" t="str">
        <f>HYPERLINK("https://twitter.com/siddhagautam","@siddhagautam")</f>
        <v>@siddhagautam</v>
      </c>
      <c r="C5203" s="8" t="s">
        <v>1195</v>
      </c>
      <c r="D5203" s="8">
        <v>1150</v>
      </c>
      <c r="E5203" s="8">
        <v>0</v>
      </c>
      <c r="F5203" s="8">
        <v>201</v>
      </c>
    </row>
    <row r="5204" spans="1:6" ht="12.75">
      <c r="A5204" s="8">
        <v>43902.748391203699</v>
      </c>
      <c r="B5204" s="8" t="str">
        <f>HYPERLINK("https://twitter.com/Okhawaasi","@Okhawaasi")</f>
        <v>@Okhawaasi</v>
      </c>
      <c r="C5204" s="8" t="s">
        <v>1195</v>
      </c>
      <c r="D5204" s="8">
        <v>1150</v>
      </c>
      <c r="E5204" s="8">
        <v>0</v>
      </c>
      <c r="F5204" s="8">
        <v>123</v>
      </c>
    </row>
    <row r="5205" spans="1:6" ht="12.75">
      <c r="A5205" s="8">
        <v>43902.748148148152</v>
      </c>
      <c r="B5205" s="8" t="str">
        <f>HYPERLINK("https://twitter.com/LaBonit34512947","@LaBonit34512947")</f>
        <v>@LaBonit34512947</v>
      </c>
      <c r="C5205" s="8" t="s">
        <v>2537</v>
      </c>
      <c r="D5205" s="8">
        <v>77</v>
      </c>
      <c r="E5205" s="8">
        <v>0</v>
      </c>
      <c r="F5205" s="8">
        <v>128</v>
      </c>
    </row>
    <row r="5206" spans="1:6" ht="12.75">
      <c r="A5206" s="8">
        <v>43902.748032407406</v>
      </c>
      <c r="B5206" s="8" t="str">
        <f t="shared" ref="B5206:B5207" si="97">HYPERLINK("https://twitter.com/yanahilman2","@yanahilman2")</f>
        <v>@yanahilman2</v>
      </c>
      <c r="C5206" s="8" t="s">
        <v>2538</v>
      </c>
      <c r="D5206" s="8">
        <v>1</v>
      </c>
      <c r="E5206" s="8">
        <v>0</v>
      </c>
      <c r="F5206" s="8">
        <v>4773</v>
      </c>
    </row>
    <row r="5207" spans="1:6" ht="12.75">
      <c r="A5207" s="8">
        <v>43902.747986111106</v>
      </c>
      <c r="B5207" s="8" t="str">
        <f t="shared" si="97"/>
        <v>@yanahilman2</v>
      </c>
      <c r="C5207" s="8" t="s">
        <v>2539</v>
      </c>
      <c r="D5207" s="8">
        <v>2</v>
      </c>
      <c r="E5207" s="8">
        <v>0</v>
      </c>
      <c r="F5207" s="8">
        <v>4773</v>
      </c>
    </row>
    <row r="5208" spans="1:6" ht="12.75">
      <c r="A5208" s="8">
        <v>43902.747962962967</v>
      </c>
      <c r="B5208" s="8" t="str">
        <f>HYPERLINK("https://twitter.com/MarchelBerry","@MarchelBerry")</f>
        <v>@MarchelBerry</v>
      </c>
      <c r="C5208" s="8" t="s">
        <v>1758</v>
      </c>
      <c r="D5208" s="8">
        <v>40</v>
      </c>
      <c r="E5208" s="8">
        <v>0</v>
      </c>
      <c r="F5208" s="8">
        <v>1708</v>
      </c>
    </row>
    <row r="5209" spans="1:6" ht="12.75">
      <c r="A5209" s="8">
        <v>43902.747928240744</v>
      </c>
      <c r="B5209" s="8" t="str">
        <f>HYPERLINK("https://twitter.com/lusi_ramadhani","@lusi_ramadhani")</f>
        <v>@lusi_ramadhani</v>
      </c>
      <c r="C5209" s="8" t="s">
        <v>2540</v>
      </c>
      <c r="D5209" s="8">
        <v>0</v>
      </c>
      <c r="E5209" s="8">
        <v>0</v>
      </c>
      <c r="F5209" s="8">
        <v>360</v>
      </c>
    </row>
    <row r="5210" spans="1:6" ht="12.75">
      <c r="A5210" s="8">
        <v>43902.747881944444</v>
      </c>
      <c r="B5210" s="8" t="str">
        <f>HYPERLINK("https://twitter.com/RP2FEMINIST","@RP2FEMINIST")</f>
        <v>@RP2FEMINIST</v>
      </c>
      <c r="C5210" s="8" t="s">
        <v>1195</v>
      </c>
      <c r="D5210" s="8">
        <v>1150</v>
      </c>
      <c r="E5210" s="8">
        <v>0</v>
      </c>
      <c r="F5210" s="8">
        <v>2477</v>
      </c>
    </row>
    <row r="5211" spans="1:6" ht="12.75">
      <c r="A5211" s="8">
        <v>43902.747824074075</v>
      </c>
      <c r="B5211" s="8" t="str">
        <f>HYPERLINK("https://twitter.com/srimat","@srimat")</f>
        <v>@srimat</v>
      </c>
      <c r="C5211" s="8" t="s">
        <v>1195</v>
      </c>
      <c r="D5211" s="8">
        <v>1150</v>
      </c>
      <c r="E5211" s="8">
        <v>0</v>
      </c>
      <c r="F5211" s="8">
        <v>592</v>
      </c>
    </row>
    <row r="5212" spans="1:6" ht="12.75">
      <c r="A5212" s="8">
        <v>43902.747789351852</v>
      </c>
      <c r="B5212" s="8" t="str">
        <f>HYPERLINK("https://twitter.com/ajaydaga05","@ajaydaga05")</f>
        <v>@ajaydaga05</v>
      </c>
      <c r="C5212" s="8" t="s">
        <v>1195</v>
      </c>
      <c r="D5212" s="8">
        <v>1150</v>
      </c>
      <c r="E5212" s="8">
        <v>0</v>
      </c>
      <c r="F5212" s="8">
        <v>136</v>
      </c>
    </row>
    <row r="5213" spans="1:6" ht="12.75">
      <c r="A5213" s="8">
        <v>43902.747777777782</v>
      </c>
      <c r="B5213" s="8" t="str">
        <f>HYPERLINK("https://twitter.com/ThePoliteWolf","@ThePoliteWolf")</f>
        <v>@ThePoliteWolf</v>
      </c>
      <c r="C5213" s="8" t="s">
        <v>1195</v>
      </c>
      <c r="D5213" s="8">
        <v>1150</v>
      </c>
      <c r="E5213" s="8">
        <v>0</v>
      </c>
      <c r="F5213" s="8">
        <v>110</v>
      </c>
    </row>
    <row r="5214" spans="1:6" ht="12.75">
      <c r="A5214" s="8">
        <v>43902.747719907406</v>
      </c>
      <c r="B5214" s="8" t="str">
        <f>HYPERLINK("https://twitter.com/Smit_Agarwal","@Smit_Agarwal")</f>
        <v>@Smit_Agarwal</v>
      </c>
      <c r="C5214" s="8" t="s">
        <v>1195</v>
      </c>
      <c r="D5214" s="8">
        <v>1150</v>
      </c>
      <c r="E5214" s="8">
        <v>0</v>
      </c>
      <c r="F5214" s="8">
        <v>396</v>
      </c>
    </row>
    <row r="5215" spans="1:6" ht="12.75">
      <c r="A5215" s="8">
        <v>43902.747511574074</v>
      </c>
      <c r="B5215" s="8" t="str">
        <f>HYPERLINK("https://twitter.com/rahulbh12","@rahulbh12")</f>
        <v>@rahulbh12</v>
      </c>
      <c r="C5215" s="8" t="s">
        <v>1195</v>
      </c>
      <c r="D5215" s="8">
        <v>1150</v>
      </c>
      <c r="E5215" s="8">
        <v>0</v>
      </c>
      <c r="F5215" s="8">
        <v>156</v>
      </c>
    </row>
    <row r="5216" spans="1:6" ht="12.75">
      <c r="A5216" s="8">
        <v>43902.747499999998</v>
      </c>
      <c r="B5216" s="8" t="str">
        <f>HYPERLINK("https://twitter.com/PrafullaPitale","@PrafullaPitale")</f>
        <v>@PrafullaPitale</v>
      </c>
      <c r="C5216" s="8" t="s">
        <v>2541</v>
      </c>
      <c r="D5216" s="8">
        <v>0</v>
      </c>
      <c r="E5216" s="8">
        <v>0</v>
      </c>
      <c r="F5216" s="8">
        <v>723</v>
      </c>
    </row>
    <row r="5217" spans="1:6" ht="12.75">
      <c r="A5217" s="8">
        <v>43902.747349537036</v>
      </c>
      <c r="B5217" s="8" t="str">
        <f>HYPERLINK("https://twitter.com/mtppas","@mtppas")</f>
        <v>@mtppas</v>
      </c>
      <c r="C5217" s="8" t="s">
        <v>2051</v>
      </c>
      <c r="D5217" s="8">
        <v>131</v>
      </c>
      <c r="E5217" s="8">
        <v>0</v>
      </c>
      <c r="F5217" s="8">
        <v>755</v>
      </c>
    </row>
    <row r="5218" spans="1:6" ht="12.75">
      <c r="A5218" s="8">
        <v>43902.747349537036</v>
      </c>
      <c r="B5218" s="8" t="str">
        <f>HYPERLINK("https://twitter.com/shankar8891","@shankar8891")</f>
        <v>@shankar8891</v>
      </c>
      <c r="C5218" s="8" t="s">
        <v>1195</v>
      </c>
      <c r="D5218" s="8">
        <v>1150</v>
      </c>
      <c r="E5218" s="8">
        <v>0</v>
      </c>
      <c r="F5218" s="8">
        <v>161</v>
      </c>
    </row>
    <row r="5219" spans="1:6" ht="12.75">
      <c r="A5219" s="8">
        <v>43902.746863425928</v>
      </c>
      <c r="B5219" s="8" t="str">
        <f>HYPERLINK("https://twitter.com/novitanoe","@novitanoe")</f>
        <v>@novitanoe</v>
      </c>
      <c r="C5219" s="8" t="s">
        <v>2542</v>
      </c>
      <c r="D5219" s="8">
        <v>8</v>
      </c>
      <c r="E5219" s="8">
        <v>0</v>
      </c>
      <c r="F5219" s="8">
        <v>225</v>
      </c>
    </row>
    <row r="5220" spans="1:6" ht="12.75">
      <c r="A5220" s="8">
        <v>43902.746701388889</v>
      </c>
      <c r="B5220" s="8" t="str">
        <f>HYPERLINK("https://twitter.com/exsecularindia","@exsecularindia")</f>
        <v>@exsecularindia</v>
      </c>
      <c r="C5220" s="8" t="s">
        <v>1195</v>
      </c>
      <c r="D5220" s="8">
        <v>1150</v>
      </c>
      <c r="E5220" s="8">
        <v>0</v>
      </c>
      <c r="F5220" s="8">
        <v>87</v>
      </c>
    </row>
    <row r="5221" spans="1:6" ht="12.75">
      <c r="A5221" s="8">
        <v>43902.746574074074</v>
      </c>
      <c r="B5221" s="8" t="str">
        <f>HYPERLINK("https://twitter.com/delhi_RW","@delhi_RW")</f>
        <v>@delhi_RW</v>
      </c>
      <c r="C5221" s="8" t="s">
        <v>1195</v>
      </c>
      <c r="D5221" s="8">
        <v>1150</v>
      </c>
      <c r="E5221" s="8">
        <v>0</v>
      </c>
      <c r="F5221" s="8">
        <v>76</v>
      </c>
    </row>
    <row r="5222" spans="1:6" ht="12.75">
      <c r="A5222" s="8">
        <v>43902.746481481481</v>
      </c>
      <c r="B5222" s="8" t="str">
        <f>HYPERLINK("https://twitter.com/pinanksanghvi","@pinanksanghvi")</f>
        <v>@pinanksanghvi</v>
      </c>
      <c r="C5222" s="8" t="s">
        <v>1195</v>
      </c>
      <c r="D5222" s="8">
        <v>1150</v>
      </c>
      <c r="E5222" s="8">
        <v>0</v>
      </c>
      <c r="F5222" s="8">
        <v>309</v>
      </c>
    </row>
    <row r="5223" spans="1:6" ht="12.75">
      <c r="A5223" s="8">
        <v>43902.74554398148</v>
      </c>
      <c r="B5223" s="8" t="str">
        <f>HYPERLINK("https://twitter.com/Ashit54173876","@Ashit54173876")</f>
        <v>@Ashit54173876</v>
      </c>
      <c r="C5223" s="8" t="s">
        <v>1195</v>
      </c>
      <c r="D5223" s="8">
        <v>1150</v>
      </c>
      <c r="E5223" s="8">
        <v>0</v>
      </c>
      <c r="F5223" s="8">
        <v>41</v>
      </c>
    </row>
    <row r="5224" spans="1:6" ht="12.75">
      <c r="A5224" s="8">
        <v>43902.745520833334</v>
      </c>
      <c r="B5224" s="8" t="str">
        <f>HYPERLINK("https://twitter.com/Akshank015","@Akshank015")</f>
        <v>@Akshank015</v>
      </c>
      <c r="C5224" s="8" t="s">
        <v>1195</v>
      </c>
      <c r="D5224" s="8">
        <v>1150</v>
      </c>
      <c r="E5224" s="8">
        <v>0</v>
      </c>
      <c r="F5224" s="8">
        <v>393</v>
      </c>
    </row>
    <row r="5225" spans="1:6" ht="12.75">
      <c r="A5225" s="8">
        <v>43902.745486111111</v>
      </c>
      <c r="B5225" s="8" t="str">
        <f>HYPERLINK("https://twitter.com/amitgunsoldier","@amitgunsoldier")</f>
        <v>@amitgunsoldier</v>
      </c>
      <c r="C5225" s="8" t="s">
        <v>1195</v>
      </c>
      <c r="D5225" s="8">
        <v>1150</v>
      </c>
      <c r="E5225" s="8">
        <v>0</v>
      </c>
      <c r="F5225" s="8">
        <v>826</v>
      </c>
    </row>
    <row r="5226" spans="1:6" ht="12.75">
      <c r="A5226" s="8">
        <v>43902.745381944449</v>
      </c>
      <c r="B5226" s="8" t="str">
        <f>HYPERLINK("https://twitter.com/Ashish87890","@Ashish87890")</f>
        <v>@Ashish87890</v>
      </c>
      <c r="C5226" s="8" t="s">
        <v>1195</v>
      </c>
      <c r="D5226" s="8">
        <v>1150</v>
      </c>
      <c r="E5226" s="8">
        <v>0</v>
      </c>
      <c r="F5226" s="8">
        <v>841</v>
      </c>
    </row>
    <row r="5227" spans="1:6" ht="12.75">
      <c r="A5227" s="8">
        <v>43902.745324074072</v>
      </c>
      <c r="B5227" s="8" t="str">
        <f>HYPERLINK("https://twitter.com/Myleee27","@Myleee27")</f>
        <v>@Myleee27</v>
      </c>
      <c r="C5227" s="8" t="s">
        <v>1195</v>
      </c>
      <c r="D5227" s="8">
        <v>1150</v>
      </c>
      <c r="E5227" s="8">
        <v>0</v>
      </c>
      <c r="F5227" s="8">
        <v>183</v>
      </c>
    </row>
    <row r="5228" spans="1:6" ht="12.75">
      <c r="A5228" s="8">
        <v>43902.745196759264</v>
      </c>
      <c r="B5228" s="8" t="str">
        <f>HYPERLINK("https://twitter.com/lusi_ramadhani","@lusi_ramadhani")</f>
        <v>@lusi_ramadhani</v>
      </c>
      <c r="C5228" s="8" t="s">
        <v>1569</v>
      </c>
      <c r="D5228" s="8">
        <v>12</v>
      </c>
      <c r="E5228" s="8">
        <v>0</v>
      </c>
      <c r="F5228" s="8">
        <v>360</v>
      </c>
    </row>
    <row r="5229" spans="1:6" ht="12.75">
      <c r="A5229" s="8">
        <v>43902.745138888888</v>
      </c>
      <c r="B5229" s="8" t="str">
        <f>HYPERLINK("https://twitter.com/at_agentofchaos","@at_agentofchaos")</f>
        <v>@at_agentofchaos</v>
      </c>
      <c r="C5229" s="8" t="s">
        <v>1195</v>
      </c>
      <c r="D5229" s="8">
        <v>1150</v>
      </c>
      <c r="E5229" s="8">
        <v>0</v>
      </c>
      <c r="F5229" s="8">
        <v>51</v>
      </c>
    </row>
    <row r="5230" spans="1:6" ht="12.75">
      <c r="A5230" s="8">
        <v>43902.715127314819</v>
      </c>
      <c r="B5230" s="8" t="str">
        <f>HYPERLINK("https://twitter.com/DharmicYoddha","@DharmicYoddha")</f>
        <v>@DharmicYoddha</v>
      </c>
      <c r="C5230" s="8" t="s">
        <v>1195</v>
      </c>
      <c r="D5230" s="8">
        <v>874</v>
      </c>
      <c r="E5230" s="8">
        <v>0</v>
      </c>
      <c r="F5230" s="8">
        <v>238</v>
      </c>
    </row>
    <row r="5231" spans="1:6" ht="12.75">
      <c r="A5231" s="8">
        <v>43902.715104166666</v>
      </c>
      <c r="B5231" s="8" t="str">
        <f>HYPERLINK("https://twitter.com/kunal_rajchitte","@kunal_rajchitte")</f>
        <v>@kunal_rajchitte</v>
      </c>
      <c r="C5231" s="8" t="s">
        <v>1195</v>
      </c>
      <c r="D5231" s="8">
        <v>874</v>
      </c>
      <c r="E5231" s="8">
        <v>0</v>
      </c>
      <c r="F5231" s="8">
        <v>417</v>
      </c>
    </row>
    <row r="5232" spans="1:6" ht="12.75">
      <c r="A5232" s="8">
        <v>43902.715104166666</v>
      </c>
      <c r="B5232" s="8" t="str">
        <f>HYPERLINK("https://twitter.com/Badass_Fanboy","@Badass_Fanboy")</f>
        <v>@Badass_Fanboy</v>
      </c>
      <c r="C5232" s="8" t="s">
        <v>1195</v>
      </c>
      <c r="D5232" s="8">
        <v>874</v>
      </c>
      <c r="E5232" s="8">
        <v>0</v>
      </c>
      <c r="F5232" s="8">
        <v>101</v>
      </c>
    </row>
    <row r="5233" spans="1:6" ht="12.75">
      <c r="A5233" s="8">
        <v>43902.714768518519</v>
      </c>
      <c r="B5233" s="8" t="str">
        <f>HYPERLINK("https://twitter.com/Slea_Zilla","@Slea_Zilla")</f>
        <v>@Slea_Zilla</v>
      </c>
      <c r="C5233" s="8" t="s">
        <v>1195</v>
      </c>
      <c r="D5233" s="8">
        <v>874</v>
      </c>
      <c r="E5233" s="8">
        <v>0</v>
      </c>
      <c r="F5233" s="8">
        <v>213</v>
      </c>
    </row>
    <row r="5234" spans="1:6" ht="12.75">
      <c r="A5234" s="8">
        <v>43902.71471064815</v>
      </c>
      <c r="B5234" s="8" t="str">
        <f>HYPERLINK("https://twitter.com/Hauadaua","@Hauadaua")</f>
        <v>@Hauadaua</v>
      </c>
      <c r="C5234" s="8" t="s">
        <v>1195</v>
      </c>
      <c r="D5234" s="8">
        <v>874</v>
      </c>
      <c r="E5234" s="8">
        <v>0</v>
      </c>
      <c r="F5234" s="8">
        <v>152</v>
      </c>
    </row>
    <row r="5235" spans="1:6" ht="12.75">
      <c r="A5235" s="8">
        <v>43902.714467592596</v>
      </c>
      <c r="B5235" s="8" t="str">
        <f>HYPERLINK("https://twitter.com/devilce99","@devilce99")</f>
        <v>@devilce99</v>
      </c>
      <c r="C5235" s="8" t="s">
        <v>1195</v>
      </c>
      <c r="D5235" s="8">
        <v>874</v>
      </c>
      <c r="E5235" s="8">
        <v>0</v>
      </c>
      <c r="F5235" s="8">
        <v>189</v>
      </c>
    </row>
    <row r="5236" spans="1:6" ht="12.75">
      <c r="A5236" s="8">
        <v>43902.714421296296</v>
      </c>
      <c r="B5236" s="8" t="str">
        <f>HYPERLINK("https://twitter.com/antonsky33","@antonsky33")</f>
        <v>@antonsky33</v>
      </c>
      <c r="C5236" s="8" t="s">
        <v>1758</v>
      </c>
      <c r="D5236" s="8">
        <v>29</v>
      </c>
      <c r="E5236" s="8">
        <v>0</v>
      </c>
      <c r="F5236" s="8">
        <v>25</v>
      </c>
    </row>
    <row r="5237" spans="1:6" ht="12.75">
      <c r="A5237" s="8">
        <v>43902.714050925926</v>
      </c>
      <c r="B5237" s="8" t="str">
        <f>HYPERLINK("https://twitter.com/Dokter_tasawur","@Dokter_tasawur")</f>
        <v>@Dokter_tasawur</v>
      </c>
      <c r="C5237" s="8" t="s">
        <v>2543</v>
      </c>
      <c r="D5237" s="8">
        <v>0</v>
      </c>
      <c r="E5237" s="8">
        <v>0</v>
      </c>
      <c r="F5237" s="8">
        <v>22</v>
      </c>
    </row>
    <row r="5238" spans="1:6" ht="12.75">
      <c r="A5238" s="8">
        <v>43902.713912037041</v>
      </c>
      <c r="B5238" s="8" t="str">
        <f>HYPERLINK("https://twitter.com/VillManNK","@VillManNK")</f>
        <v>@VillManNK</v>
      </c>
      <c r="C5238" s="8" t="s">
        <v>1195</v>
      </c>
      <c r="D5238" s="8">
        <v>874</v>
      </c>
      <c r="E5238" s="8">
        <v>0</v>
      </c>
      <c r="F5238" s="8">
        <v>94</v>
      </c>
    </row>
    <row r="5239" spans="1:6" ht="12.75">
      <c r="A5239" s="8">
        <v>43902.713888888888</v>
      </c>
      <c r="B5239" s="8" t="str">
        <f>HYPERLINK("https://twitter.com/rifqimozlem","@rifqimozlem")</f>
        <v>@rifqimozlem</v>
      </c>
      <c r="C5239" s="8" t="s">
        <v>2544</v>
      </c>
      <c r="D5239" s="8">
        <v>0</v>
      </c>
      <c r="E5239" s="8">
        <v>0</v>
      </c>
      <c r="F5239" s="8">
        <v>161</v>
      </c>
    </row>
    <row r="5240" spans="1:6" ht="12.75">
      <c r="A5240" s="8">
        <v>43902.713888888888</v>
      </c>
      <c r="B5240" s="8" t="str">
        <f>HYPERLINK("https://twitter.com/rainyta03","@rainyta03")</f>
        <v>@rainyta03</v>
      </c>
      <c r="C5240" s="8" t="s">
        <v>2545</v>
      </c>
      <c r="D5240" s="8">
        <v>0</v>
      </c>
      <c r="E5240" s="8">
        <v>0</v>
      </c>
      <c r="F5240" s="8">
        <v>204</v>
      </c>
    </row>
    <row r="5241" spans="1:6" ht="12.75">
      <c r="A5241" s="8">
        <v>43902.713564814811</v>
      </c>
      <c r="B5241" s="8" t="str">
        <f>HYPERLINK("https://twitter.com/hindustani64","@hindustani64")</f>
        <v>@hindustani64</v>
      </c>
      <c r="C5241" s="8" t="s">
        <v>1195</v>
      </c>
      <c r="D5241" s="8">
        <v>874</v>
      </c>
      <c r="E5241" s="8">
        <v>0</v>
      </c>
      <c r="F5241" s="8">
        <v>128</v>
      </c>
    </row>
    <row r="5242" spans="1:6" ht="12.75">
      <c r="A5242" s="8">
        <v>43902.713101851856</v>
      </c>
      <c r="B5242" s="8" t="str">
        <f>HYPERLINK("https://twitter.com/kuldeep_dangi","@kuldeep_dangi")</f>
        <v>@kuldeep_dangi</v>
      </c>
      <c r="C5242" s="8" t="s">
        <v>1195</v>
      </c>
      <c r="D5242" s="8">
        <v>874</v>
      </c>
      <c r="E5242" s="8">
        <v>0</v>
      </c>
      <c r="F5242" s="8">
        <v>2718</v>
      </c>
    </row>
    <row r="5243" spans="1:6" ht="12.75">
      <c r="A5243" s="8">
        <v>43902.713090277779</v>
      </c>
      <c r="B5243" s="8" t="str">
        <f>HYPERLINK("https://twitter.com/i_m_nobuddy","@i_m_nobuddy")</f>
        <v>@i_m_nobuddy</v>
      </c>
      <c r="C5243" s="8" t="s">
        <v>1195</v>
      </c>
      <c r="D5243" s="8">
        <v>874</v>
      </c>
      <c r="E5243" s="8">
        <v>0</v>
      </c>
      <c r="F5243" s="8">
        <v>301</v>
      </c>
    </row>
    <row r="5244" spans="1:6" ht="12.75">
      <c r="A5244" s="8">
        <v>43902.71303240741</v>
      </c>
      <c r="B5244" s="8" t="str">
        <f>HYPERLINK("https://twitter.com/Ashwani06790021","@Ashwani06790021")</f>
        <v>@Ashwani06790021</v>
      </c>
      <c r="C5244" s="8" t="s">
        <v>1195</v>
      </c>
      <c r="D5244" s="8">
        <v>874</v>
      </c>
      <c r="E5244" s="8">
        <v>0</v>
      </c>
      <c r="F5244" s="8">
        <v>59</v>
      </c>
    </row>
    <row r="5245" spans="1:6" ht="12.75">
      <c r="A5245" s="8">
        <v>43902.712974537033</v>
      </c>
      <c r="B5245" s="8" t="str">
        <f>HYPERLINK("https://twitter.com/vaibhavg10","@vaibhavg10")</f>
        <v>@vaibhavg10</v>
      </c>
      <c r="C5245" s="8" t="s">
        <v>1195</v>
      </c>
      <c r="D5245" s="8">
        <v>874</v>
      </c>
      <c r="E5245" s="8">
        <v>0</v>
      </c>
      <c r="F5245" s="8">
        <v>450</v>
      </c>
    </row>
    <row r="5246" spans="1:6" ht="12.75">
      <c r="A5246" s="8">
        <v>43902.712962962964</v>
      </c>
      <c r="B5246" s="8" t="str">
        <f>HYPERLINK("https://twitter.com/apien_k19","@apien_k19")</f>
        <v>@apien_k19</v>
      </c>
      <c r="C5246" s="8" t="s">
        <v>1030</v>
      </c>
      <c r="D5246" s="8">
        <v>116</v>
      </c>
      <c r="E5246" s="8">
        <v>0</v>
      </c>
      <c r="F5246" s="8">
        <v>520</v>
      </c>
    </row>
    <row r="5247" spans="1:6" ht="12.75">
      <c r="A5247" s="8">
        <v>43902.71292824074</v>
      </c>
      <c r="B5247" s="8" t="str">
        <f>HYPERLINK("https://twitter.com/namsnammy","@namsnammy")</f>
        <v>@namsnammy</v>
      </c>
      <c r="C5247" s="8" t="s">
        <v>2546</v>
      </c>
      <c r="D5247" s="8">
        <v>0</v>
      </c>
      <c r="E5247" s="8">
        <v>0</v>
      </c>
      <c r="F5247" s="8">
        <v>1363</v>
      </c>
    </row>
    <row r="5248" spans="1:6" ht="12.75">
      <c r="A5248" s="8">
        <v>43902.712905092594</v>
      </c>
      <c r="B5248" s="8" t="str">
        <f>HYPERLINK("https://twitter.com/rahulsharmapost","@rahulsharmapost")</f>
        <v>@rahulsharmapost</v>
      </c>
      <c r="C5248" s="8" t="s">
        <v>1195</v>
      </c>
      <c r="D5248" s="8">
        <v>874</v>
      </c>
      <c r="E5248" s="8">
        <v>0</v>
      </c>
      <c r="F5248" s="8">
        <v>881</v>
      </c>
    </row>
    <row r="5249" spans="1:6" ht="12.75">
      <c r="A5249" s="8">
        <v>43902.712905092594</v>
      </c>
      <c r="B5249" s="8" t="str">
        <f>HYPERLINK("https://twitter.com/lukisaepul","@lukisaepul")</f>
        <v>@lukisaepul</v>
      </c>
      <c r="C5249" s="8" t="s">
        <v>289</v>
      </c>
      <c r="D5249" s="8">
        <v>21</v>
      </c>
      <c r="E5249" s="8">
        <v>0</v>
      </c>
      <c r="F5249" s="8">
        <v>793</v>
      </c>
    </row>
    <row r="5250" spans="1:6" ht="12.75">
      <c r="A5250" s="8">
        <v>43902.712812500002</v>
      </c>
      <c r="B5250" s="8" t="str">
        <f>HYPERLINK("https://twitter.com/Nadila_ID","@Nadila_ID")</f>
        <v>@Nadila_ID</v>
      </c>
      <c r="C5250" s="8" t="s">
        <v>2547</v>
      </c>
      <c r="D5250" s="8">
        <v>8</v>
      </c>
      <c r="E5250" s="8">
        <v>0</v>
      </c>
      <c r="F5250" s="8">
        <v>7179</v>
      </c>
    </row>
    <row r="5251" spans="1:6" ht="12.75">
      <c r="A5251" s="8">
        <v>43902.712800925925</v>
      </c>
      <c r="B5251" s="8" t="str">
        <f>HYPERLINK("https://twitter.com/Semut_Ibrahim_","@Semut_Ibrahim_")</f>
        <v>@Semut_Ibrahim_</v>
      </c>
      <c r="C5251" s="8" t="s">
        <v>2548</v>
      </c>
      <c r="D5251" s="8">
        <v>0</v>
      </c>
      <c r="E5251" s="8">
        <v>1</v>
      </c>
      <c r="F5251" s="8">
        <v>4461</v>
      </c>
    </row>
    <row r="5252" spans="1:6" ht="12.75">
      <c r="A5252" s="8">
        <v>43902.712766203702</v>
      </c>
      <c r="B5252" s="8" t="str">
        <f>HYPERLINK("https://twitter.com/Nadila_ID","@Nadila_ID")</f>
        <v>@Nadila_ID</v>
      </c>
      <c r="C5252" s="8" t="s">
        <v>2549</v>
      </c>
      <c r="D5252" s="8">
        <v>11</v>
      </c>
      <c r="E5252" s="8">
        <v>0</v>
      </c>
      <c r="F5252" s="8">
        <v>7179</v>
      </c>
    </row>
    <row r="5253" spans="1:6" ht="12.75">
      <c r="A5253" s="8">
        <v>43902.712685185186</v>
      </c>
      <c r="B5253" s="8" t="str">
        <f>HYPERLINK("https://twitter.com/its_Dcompany","@its_Dcompany")</f>
        <v>@its_Dcompany</v>
      </c>
      <c r="C5253" s="8" t="s">
        <v>1195</v>
      </c>
      <c r="D5253" s="8">
        <v>874</v>
      </c>
      <c r="E5253" s="8">
        <v>0</v>
      </c>
      <c r="F5253" s="8">
        <v>5141</v>
      </c>
    </row>
    <row r="5254" spans="1:6" ht="12.75">
      <c r="A5254" s="8">
        <v>43902.712418981479</v>
      </c>
      <c r="B5254" s="8" t="str">
        <f>HYPERLINK("https://twitter.com/tweet_forindia","@tweet_forindia")</f>
        <v>@tweet_forindia</v>
      </c>
      <c r="C5254" s="8" t="s">
        <v>1195</v>
      </c>
      <c r="D5254" s="8">
        <v>874</v>
      </c>
      <c r="E5254" s="8">
        <v>0</v>
      </c>
      <c r="F5254" s="8">
        <v>126</v>
      </c>
    </row>
    <row r="5255" spans="1:6" ht="12.75">
      <c r="A5255" s="8">
        <v>43902.712395833332</v>
      </c>
      <c r="B5255" s="8" t="str">
        <f>HYPERLINK("https://twitter.com/anggaanggi1986","@anggaanggi1986")</f>
        <v>@anggaanggi1986</v>
      </c>
      <c r="C5255" s="8" t="s">
        <v>2550</v>
      </c>
      <c r="D5255" s="8">
        <v>0</v>
      </c>
      <c r="E5255" s="8">
        <v>0</v>
      </c>
      <c r="F5255" s="8">
        <v>244</v>
      </c>
    </row>
    <row r="5256" spans="1:6" ht="12.75">
      <c r="A5256" s="8">
        <v>43902.712256944447</v>
      </c>
      <c r="B5256" s="8" t="str">
        <f>HYPERLINK("https://twitter.com/lukisaepul","@lukisaepul")</f>
        <v>@lukisaepul</v>
      </c>
      <c r="C5256" s="8" t="s">
        <v>1030</v>
      </c>
      <c r="D5256" s="8">
        <v>116</v>
      </c>
      <c r="E5256" s="8">
        <v>0</v>
      </c>
      <c r="F5256" s="8">
        <v>793</v>
      </c>
    </row>
    <row r="5257" spans="1:6" ht="12.75">
      <c r="A5257" s="8">
        <v>43902.712199074071</v>
      </c>
      <c r="B5257" s="8" t="str">
        <f>HYPERLINK("https://twitter.com/Nurkha18_","@Nurkha18_")</f>
        <v>@Nurkha18_</v>
      </c>
      <c r="C5257" s="8" t="s">
        <v>165</v>
      </c>
      <c r="D5257" s="8">
        <v>106</v>
      </c>
      <c r="E5257" s="8">
        <v>0</v>
      </c>
      <c r="F5257" s="8">
        <v>157</v>
      </c>
    </row>
    <row r="5258" spans="1:6" ht="12.75">
      <c r="A5258" s="8">
        <v>43902.712199074071</v>
      </c>
      <c r="B5258" s="8" t="str">
        <f>HYPERLINK("https://twitter.com/anggiafriansyah","@anggiafriansyah")</f>
        <v>@anggiafriansyah</v>
      </c>
      <c r="C5258" s="8" t="s">
        <v>1030</v>
      </c>
      <c r="D5258" s="8">
        <v>116</v>
      </c>
      <c r="E5258" s="8">
        <v>0</v>
      </c>
      <c r="F5258" s="8">
        <v>370</v>
      </c>
    </row>
    <row r="5259" spans="1:6" ht="12.75">
      <c r="A5259" s="8">
        <v>43902.712164351848</v>
      </c>
      <c r="B5259" s="8" t="str">
        <f>HYPERLINK("https://twitter.com/satya_090","@satya_090")</f>
        <v>@satya_090</v>
      </c>
      <c r="C5259" s="8" t="s">
        <v>1195</v>
      </c>
      <c r="D5259" s="8">
        <v>874</v>
      </c>
      <c r="E5259" s="8">
        <v>0</v>
      </c>
      <c r="F5259" s="8">
        <v>312</v>
      </c>
    </row>
    <row r="5260" spans="1:6" ht="12.75">
      <c r="A5260" s="8">
        <v>43902.711921296301</v>
      </c>
      <c r="B5260" s="8" t="str">
        <f>HYPERLINK("https://twitter.com/Sonu_SR_Jha","@Sonu_SR_Jha")</f>
        <v>@Sonu_SR_Jha</v>
      </c>
      <c r="C5260" s="8" t="s">
        <v>1195</v>
      </c>
      <c r="D5260" s="8">
        <v>874</v>
      </c>
      <c r="E5260" s="8">
        <v>0</v>
      </c>
      <c r="F5260" s="8">
        <v>78</v>
      </c>
    </row>
    <row r="5261" spans="1:6" ht="12.75">
      <c r="A5261" s="8">
        <v>43902.711921296301</v>
      </c>
      <c r="B5261" s="8" t="str">
        <f>HYPERLINK("https://twitter.com/humourousjerk","@humourousjerk")</f>
        <v>@humourousjerk</v>
      </c>
      <c r="C5261" s="8" t="s">
        <v>1195</v>
      </c>
      <c r="D5261" s="8">
        <v>874</v>
      </c>
      <c r="E5261" s="8">
        <v>0</v>
      </c>
      <c r="F5261" s="8">
        <v>412</v>
      </c>
    </row>
    <row r="5262" spans="1:6" ht="12.75">
      <c r="A5262" s="8">
        <v>43902.711875000001</v>
      </c>
      <c r="B5262" s="8" t="str">
        <f>HYPERLINK("https://twitter.com/SantoshMistry8","@SantoshMistry8")</f>
        <v>@SantoshMistry8</v>
      </c>
      <c r="C5262" s="8" t="s">
        <v>1195</v>
      </c>
      <c r="D5262" s="8">
        <v>874</v>
      </c>
      <c r="E5262" s="8">
        <v>0</v>
      </c>
      <c r="F5262" s="8">
        <v>148</v>
      </c>
    </row>
    <row r="5263" spans="1:6" ht="12.75">
      <c r="A5263" s="8">
        <v>43902.711747685185</v>
      </c>
      <c r="B5263" s="8" t="str">
        <f>HYPERLINK("https://twitter.com/redLotus1_","@redLotus1_")</f>
        <v>@redLotus1_</v>
      </c>
      <c r="C5263" s="8" t="s">
        <v>1195</v>
      </c>
      <c r="D5263" s="8">
        <v>874</v>
      </c>
      <c r="E5263" s="8">
        <v>0</v>
      </c>
      <c r="F5263" s="8">
        <v>802</v>
      </c>
    </row>
    <row r="5264" spans="1:6" ht="12.75">
      <c r="A5264" s="8">
        <v>43902.711678240739</v>
      </c>
      <c r="B5264" s="8" t="str">
        <f>HYPERLINK("https://twitter.com/choga_don","@choga_don")</f>
        <v>@choga_don</v>
      </c>
      <c r="C5264" s="8" t="s">
        <v>1195</v>
      </c>
      <c r="D5264" s="8">
        <v>874</v>
      </c>
      <c r="E5264" s="8">
        <v>0</v>
      </c>
      <c r="F5264" s="8">
        <v>16304</v>
      </c>
    </row>
    <row r="5265" spans="1:6" ht="12.75">
      <c r="A5265" s="8">
        <v>43902.711585648147</v>
      </c>
      <c r="B5265" s="8" t="str">
        <f>HYPERLINK("https://twitter.com/Jayanthpawar","@Jayanthpawar")</f>
        <v>@Jayanthpawar</v>
      </c>
      <c r="C5265" s="8" t="s">
        <v>1195</v>
      </c>
      <c r="D5265" s="8">
        <v>874</v>
      </c>
      <c r="E5265" s="8">
        <v>0</v>
      </c>
      <c r="F5265" s="8">
        <v>53</v>
      </c>
    </row>
    <row r="5266" spans="1:6" ht="12.75">
      <c r="A5266" s="8">
        <v>43902.711122685185</v>
      </c>
      <c r="B5266" s="8" t="str">
        <f>HYPERLINK("https://twitter.com/dhaval_parmar13","@dhaval_parmar13")</f>
        <v>@dhaval_parmar13</v>
      </c>
      <c r="C5266" s="8" t="s">
        <v>1195</v>
      </c>
      <c r="D5266" s="8">
        <v>874</v>
      </c>
      <c r="E5266" s="8">
        <v>0</v>
      </c>
      <c r="F5266" s="8">
        <v>97</v>
      </c>
    </row>
    <row r="5267" spans="1:6" ht="12.75">
      <c r="A5267" s="8">
        <v>43902.71092592593</v>
      </c>
      <c r="B5267" s="8" t="str">
        <f>HYPERLINK("https://twitter.com/novafni","@novafni")</f>
        <v>@novafni</v>
      </c>
      <c r="C5267" s="8" t="s">
        <v>2051</v>
      </c>
      <c r="D5267" s="8">
        <v>113</v>
      </c>
      <c r="E5267" s="8">
        <v>0</v>
      </c>
      <c r="F5267" s="8">
        <v>1398</v>
      </c>
    </row>
    <row r="5268" spans="1:6" ht="12.75">
      <c r="A5268" s="8">
        <v>43902.710868055554</v>
      </c>
      <c r="B5268" s="8" t="str">
        <f>HYPERLINK("https://twitter.com/prakashcruise51","@prakashcruise51")</f>
        <v>@prakashcruise51</v>
      </c>
      <c r="C5268" s="8" t="s">
        <v>2551</v>
      </c>
      <c r="D5268" s="8">
        <v>0</v>
      </c>
      <c r="E5268" s="8">
        <v>0</v>
      </c>
      <c r="F5268" s="8">
        <v>343</v>
      </c>
    </row>
    <row r="5269" spans="1:6" ht="12.75">
      <c r="A5269" s="8">
        <v>43902.710706018523</v>
      </c>
      <c r="B5269" s="8" t="str">
        <f>HYPERLINK("https://twitter.com/SwarnenduMandal","@SwarnenduMandal")</f>
        <v>@SwarnenduMandal</v>
      </c>
      <c r="C5269" s="8" t="s">
        <v>1195</v>
      </c>
      <c r="D5269" s="8">
        <v>874</v>
      </c>
      <c r="E5269" s="8">
        <v>0</v>
      </c>
      <c r="F5269" s="8">
        <v>148</v>
      </c>
    </row>
    <row r="5270" spans="1:6" ht="12.75">
      <c r="A5270" s="8">
        <v>43902.710613425923</v>
      </c>
      <c r="B5270" s="8" t="str">
        <f>HYPERLINK("https://twitter.com/DeanAzzurie","@DeanAzzurie")</f>
        <v>@DeanAzzurie</v>
      </c>
      <c r="C5270" s="8" t="s">
        <v>2552</v>
      </c>
      <c r="D5270" s="8">
        <v>1</v>
      </c>
      <c r="E5270" s="8">
        <v>0</v>
      </c>
      <c r="F5270" s="8">
        <v>1059</v>
      </c>
    </row>
    <row r="5271" spans="1:6" ht="12.75">
      <c r="A5271" s="8">
        <v>43902.710601851853</v>
      </c>
      <c r="B5271" s="8" t="str">
        <f>HYPERLINK("https://twitter.com/selfieituindah","@selfieituindah")</f>
        <v>@selfieituindah</v>
      </c>
      <c r="C5271" s="8" t="s">
        <v>2547</v>
      </c>
      <c r="D5271" s="8">
        <v>8</v>
      </c>
      <c r="E5271" s="8">
        <v>0</v>
      </c>
      <c r="F5271" s="8">
        <v>21314</v>
      </c>
    </row>
    <row r="5272" spans="1:6" ht="12.75">
      <c r="A5272" s="8">
        <v>43902.71056712963</v>
      </c>
      <c r="B5272" s="8" t="str">
        <f>HYPERLINK("https://twitter.com/SamWit_Wicky","@SamWit_Wicky")</f>
        <v>@SamWit_Wicky</v>
      </c>
      <c r="C5272" s="8" t="s">
        <v>1195</v>
      </c>
      <c r="D5272" s="8">
        <v>874</v>
      </c>
      <c r="E5272" s="8">
        <v>0</v>
      </c>
      <c r="F5272" s="8">
        <v>835</v>
      </c>
    </row>
    <row r="5273" spans="1:6" ht="12.75">
      <c r="A5273" s="8">
        <v>43902.710532407407</v>
      </c>
      <c r="B5273" s="8" t="str">
        <f>HYPERLINK("https://twitter.com/selfieituindah","@selfieituindah")</f>
        <v>@selfieituindah</v>
      </c>
      <c r="C5273" s="8" t="s">
        <v>2549</v>
      </c>
      <c r="D5273" s="8">
        <v>11</v>
      </c>
      <c r="E5273" s="8">
        <v>0</v>
      </c>
      <c r="F5273" s="8">
        <v>21314</v>
      </c>
    </row>
    <row r="5274" spans="1:6" ht="12.75">
      <c r="A5274" s="8">
        <v>43902.710451388892</v>
      </c>
      <c r="B5274" s="8" t="str">
        <f>HYPERLINK("https://twitter.com/santos62658028","@santos62658028")</f>
        <v>@santos62658028</v>
      </c>
      <c r="C5274" s="8" t="s">
        <v>1758</v>
      </c>
      <c r="D5274" s="8">
        <v>29</v>
      </c>
      <c r="E5274" s="8">
        <v>0</v>
      </c>
      <c r="F5274" s="8">
        <v>1687</v>
      </c>
    </row>
    <row r="5275" spans="1:6" ht="12.75">
      <c r="A5275" s="8">
        <v>43902.710416666669</v>
      </c>
      <c r="B5275" s="8" t="str">
        <f>HYPERLINK("https://twitter.com/ISIS_Balik_NO","@ISIS_Balik_NO")</f>
        <v>@ISIS_Balik_NO</v>
      </c>
      <c r="C5275" s="8" t="s">
        <v>2553</v>
      </c>
      <c r="D5275" s="8">
        <v>0</v>
      </c>
      <c r="E5275" s="8">
        <v>0</v>
      </c>
      <c r="F5275" s="8">
        <v>6239</v>
      </c>
    </row>
    <row r="5276" spans="1:6" ht="12.75">
      <c r="A5276" s="8">
        <v>43902.710358796292</v>
      </c>
      <c r="B5276" s="8" t="str">
        <f>HYPERLINK("https://twitter.com/Dayanan73165563","@Dayanan73165563")</f>
        <v>@Dayanan73165563</v>
      </c>
      <c r="C5276" s="8" t="s">
        <v>1195</v>
      </c>
      <c r="D5276" s="8">
        <v>874</v>
      </c>
      <c r="E5276" s="8">
        <v>0</v>
      </c>
      <c r="F5276" s="8">
        <v>642</v>
      </c>
    </row>
    <row r="5277" spans="1:6" ht="12.75">
      <c r="A5277" s="8">
        <v>43902.71025462963</v>
      </c>
      <c r="B5277" s="8" t="str">
        <f>HYPERLINK("https://twitter.com/007kiran_","@007kiran_")</f>
        <v>@007kiran_</v>
      </c>
      <c r="C5277" s="8" t="s">
        <v>1195</v>
      </c>
      <c r="D5277" s="8">
        <v>874</v>
      </c>
      <c r="E5277" s="8">
        <v>0</v>
      </c>
      <c r="F5277" s="8">
        <v>2858</v>
      </c>
    </row>
    <row r="5278" spans="1:6" ht="12.75">
      <c r="A5278" s="8">
        <v>43902.710162037038</v>
      </c>
      <c r="B5278" s="8" t="str">
        <f>HYPERLINK("https://twitter.com/reyhanp4","@reyhanp4")</f>
        <v>@reyhanp4</v>
      </c>
      <c r="C5278" s="8" t="s">
        <v>2051</v>
      </c>
      <c r="D5278" s="8">
        <v>113</v>
      </c>
      <c r="E5278" s="8">
        <v>0</v>
      </c>
      <c r="F5278" s="8">
        <v>184</v>
      </c>
    </row>
    <row r="5279" spans="1:6" ht="12.75">
      <c r="A5279" s="8">
        <v>43902.709837962961</v>
      </c>
      <c r="B5279" s="8" t="str">
        <f>HYPERLINK("https://twitter.com/khosla_nishant","@khosla_nishant")</f>
        <v>@khosla_nishant</v>
      </c>
      <c r="C5279" s="8" t="s">
        <v>1195</v>
      </c>
      <c r="D5279" s="8">
        <v>874</v>
      </c>
      <c r="E5279" s="8">
        <v>0</v>
      </c>
      <c r="F5279" s="8">
        <v>983</v>
      </c>
    </row>
    <row r="5280" spans="1:6" ht="12.75">
      <c r="A5280" s="8">
        <v>43902.709525462968</v>
      </c>
      <c r="B5280" s="8" t="str">
        <f>HYPERLINK("https://twitter.com/anjanikhan4","@anjanikhan4")</f>
        <v>@anjanikhan4</v>
      </c>
      <c r="C5280" s="8" t="s">
        <v>2554</v>
      </c>
      <c r="D5280" s="8">
        <v>0</v>
      </c>
      <c r="E5280" s="8">
        <v>0</v>
      </c>
      <c r="F5280" s="8">
        <v>4</v>
      </c>
    </row>
    <row r="5281" spans="1:6" ht="12.75">
      <c r="A5281" s="8">
        <v>43902.709479166668</v>
      </c>
      <c r="B5281" s="8" t="str">
        <f>HYPERLINK("https://twitter.com/mallik_hyd","@mallik_hyd")</f>
        <v>@mallik_hyd</v>
      </c>
      <c r="C5281" s="8" t="s">
        <v>1195</v>
      </c>
      <c r="D5281" s="8">
        <v>874</v>
      </c>
      <c r="E5281" s="8">
        <v>0</v>
      </c>
      <c r="F5281" s="8">
        <v>308</v>
      </c>
    </row>
    <row r="5282" spans="1:6" ht="12.75">
      <c r="A5282" s="8">
        <v>43902.709444444445</v>
      </c>
      <c r="B5282" s="8" t="str">
        <f>HYPERLINK("https://twitter.com/India___07","@India___07")</f>
        <v>@India___07</v>
      </c>
      <c r="C5282" s="8" t="s">
        <v>2555</v>
      </c>
      <c r="D5282" s="8">
        <v>0</v>
      </c>
      <c r="E5282" s="8">
        <v>0</v>
      </c>
      <c r="F5282" s="8">
        <v>50</v>
      </c>
    </row>
    <row r="5283" spans="1:6" ht="12.75">
      <c r="A5283" s="8">
        <v>43902.709421296298</v>
      </c>
      <c r="B5283" s="8" t="str">
        <f>HYPERLINK("https://twitter.com/christine_ssi","@christine_ssi")</f>
        <v>@christine_ssi</v>
      </c>
      <c r="C5283" s="8" t="s">
        <v>1030</v>
      </c>
      <c r="D5283" s="8">
        <v>116</v>
      </c>
      <c r="E5283" s="8">
        <v>0</v>
      </c>
      <c r="F5283" s="8">
        <v>367</v>
      </c>
    </row>
    <row r="5284" spans="1:6" ht="12.75">
      <c r="A5284" s="8">
        <v>43902.709398148145</v>
      </c>
      <c r="B5284" s="8" t="str">
        <f>HYPERLINK("https://twitter.com/BrijulalDwajrar","@BrijulalDwajrar")</f>
        <v>@BrijulalDwajrar</v>
      </c>
      <c r="C5284" s="8" t="s">
        <v>1195</v>
      </c>
      <c r="D5284" s="8">
        <v>874</v>
      </c>
      <c r="E5284" s="8">
        <v>0</v>
      </c>
      <c r="F5284" s="8">
        <v>455</v>
      </c>
    </row>
    <row r="5285" spans="1:6" ht="12.75">
      <c r="A5285" s="8">
        <v>43902.709178240737</v>
      </c>
      <c r="B5285" s="8" t="str">
        <f>HYPERLINK("https://twitter.com/FaisalZaini0411","@FaisalZaini0411")</f>
        <v>@FaisalZaini0411</v>
      </c>
      <c r="C5285" s="8" t="s">
        <v>318</v>
      </c>
      <c r="D5285" s="8">
        <v>1451</v>
      </c>
      <c r="E5285" s="8">
        <v>0</v>
      </c>
      <c r="F5285" s="8">
        <v>2622</v>
      </c>
    </row>
    <row r="5286" spans="1:6" ht="12.75">
      <c r="A5286" s="8">
        <v>43902.709155092598</v>
      </c>
      <c r="B5286" s="8" t="str">
        <f>HYPERLINK("https://twitter.com/FatiinS_L","@FatiinS_L")</f>
        <v>@FatiinS_L</v>
      </c>
      <c r="C5286" s="8" t="s">
        <v>2549</v>
      </c>
      <c r="D5286" s="8">
        <v>11</v>
      </c>
      <c r="E5286" s="8">
        <v>0</v>
      </c>
      <c r="F5286" s="8">
        <v>16419</v>
      </c>
    </row>
    <row r="5287" spans="1:6" ht="12.75">
      <c r="A5287" s="8">
        <v>43902.709131944444</v>
      </c>
      <c r="B5287" s="8" t="str">
        <f>HYPERLINK("https://twitter.com/Horror_2020","@Horror_2020")</f>
        <v>@Horror_2020</v>
      </c>
      <c r="C5287" s="8" t="s">
        <v>1758</v>
      </c>
      <c r="D5287" s="8">
        <v>29</v>
      </c>
      <c r="E5287" s="8">
        <v>0</v>
      </c>
      <c r="F5287" s="8">
        <v>154</v>
      </c>
    </row>
    <row r="5288" spans="1:6" ht="12.75">
      <c r="A5288" s="8">
        <v>43902.709108796298</v>
      </c>
      <c r="B5288" s="8" t="str">
        <f>HYPERLINK("https://twitter.com/Gauravmtweet","@Gauravmtweet")</f>
        <v>@Gauravmtweet</v>
      </c>
      <c r="C5288" s="8" t="s">
        <v>2556</v>
      </c>
      <c r="D5288" s="8">
        <v>0</v>
      </c>
      <c r="E5288" s="8">
        <v>1</v>
      </c>
      <c r="F5288" s="8">
        <v>2627</v>
      </c>
    </row>
    <row r="5289" spans="1:6" ht="12.75">
      <c r="A5289" s="8">
        <v>43902.708715277782</v>
      </c>
      <c r="B5289" s="8" t="str">
        <f>HYPERLINK("https://twitter.com/Imontwrnow","@Imontwrnow")</f>
        <v>@Imontwrnow</v>
      </c>
      <c r="C5289" s="8" t="s">
        <v>2557</v>
      </c>
      <c r="D5289" s="8">
        <v>2</v>
      </c>
      <c r="E5289" s="8">
        <v>0</v>
      </c>
      <c r="F5289" s="8">
        <v>94</v>
      </c>
    </row>
    <row r="5290" spans="1:6" ht="12.75">
      <c r="A5290" s="8">
        <v>43902.708715277782</v>
      </c>
      <c r="B5290" s="8" t="str">
        <f>HYPERLINK("https://twitter.com/Banizlam","@Banizlam")</f>
        <v>@Banizlam</v>
      </c>
      <c r="C5290" s="8" t="s">
        <v>1195</v>
      </c>
      <c r="D5290" s="8">
        <v>874</v>
      </c>
      <c r="E5290" s="8">
        <v>0</v>
      </c>
      <c r="F5290" s="8">
        <v>492</v>
      </c>
    </row>
    <row r="5291" spans="1:6" ht="12.75">
      <c r="A5291" s="8">
        <v>43902.708668981482</v>
      </c>
      <c r="B5291" s="8" t="str">
        <f>HYPERLINK("https://twitter.com/Sabss2916","@Sabss2916")</f>
        <v>@Sabss2916</v>
      </c>
      <c r="C5291" s="8" t="s">
        <v>1195</v>
      </c>
      <c r="D5291" s="8">
        <v>874</v>
      </c>
      <c r="E5291" s="8">
        <v>0</v>
      </c>
      <c r="F5291" s="8">
        <v>315</v>
      </c>
    </row>
    <row r="5292" spans="1:6" ht="12.75">
      <c r="A5292" s="8">
        <v>43902.70857638889</v>
      </c>
      <c r="B5292" s="8" t="str">
        <f>HYPERLINK("https://twitter.com/didienAZHAR","@didienAZHAR")</f>
        <v>@didienAZHAR</v>
      </c>
      <c r="C5292" s="8" t="s">
        <v>2290</v>
      </c>
      <c r="D5292" s="8">
        <v>15</v>
      </c>
      <c r="E5292" s="8">
        <v>0</v>
      </c>
      <c r="F5292" s="8">
        <v>22658</v>
      </c>
    </row>
    <row r="5293" spans="1:6" ht="12.75">
      <c r="A5293" s="8">
        <v>43902.708449074074</v>
      </c>
      <c r="B5293" s="8" t="str">
        <f>HYPERLINK("https://twitter.com/shashank_ftba","@shashank_ftba")</f>
        <v>@shashank_ftba</v>
      </c>
      <c r="C5293" s="8" t="s">
        <v>1195</v>
      </c>
      <c r="D5293" s="8">
        <v>874</v>
      </c>
      <c r="E5293" s="8">
        <v>0</v>
      </c>
      <c r="F5293" s="8">
        <v>110</v>
      </c>
    </row>
    <row r="5294" spans="1:6" ht="12.75">
      <c r="A5294" s="8">
        <v>43902.708333333328</v>
      </c>
      <c r="B5294" s="8" t="str">
        <f>HYPERLINK("https://twitter.com/ItsMyRealQuotes","@ItsMyRealQuotes")</f>
        <v>@ItsMyRealQuotes</v>
      </c>
      <c r="C5294" s="8" t="s">
        <v>2558</v>
      </c>
      <c r="D5294" s="8">
        <v>0</v>
      </c>
      <c r="E5294" s="8">
        <v>0</v>
      </c>
      <c r="F5294" s="8">
        <v>182000</v>
      </c>
    </row>
    <row r="5295" spans="1:6" ht="12.75">
      <c r="A5295" s="8">
        <v>43902.708298611113</v>
      </c>
      <c r="B5295" s="8" t="str">
        <f>HYPERLINK("https://twitter.com/sanjaydas_","@sanjaydas_")</f>
        <v>@sanjaydas_</v>
      </c>
      <c r="C5295" s="8" t="s">
        <v>1195</v>
      </c>
      <c r="D5295" s="8">
        <v>874</v>
      </c>
      <c r="E5295" s="8">
        <v>0</v>
      </c>
      <c r="F5295" s="8">
        <v>71</v>
      </c>
    </row>
    <row r="5296" spans="1:6" ht="12.75">
      <c r="A5296" s="8">
        <v>43902.70820601852</v>
      </c>
      <c r="B5296" s="8" t="str">
        <f>HYPERLINK("https://twitter.com/PramodBagde","@PramodBagde")</f>
        <v>@PramodBagde</v>
      </c>
      <c r="C5296" s="8" t="s">
        <v>1195</v>
      </c>
      <c r="D5296" s="8">
        <v>874</v>
      </c>
      <c r="E5296" s="8">
        <v>0</v>
      </c>
      <c r="F5296" s="8">
        <v>82</v>
      </c>
    </row>
    <row r="5297" spans="1:6" ht="12.75">
      <c r="A5297" s="8">
        <v>43902.708194444444</v>
      </c>
      <c r="B5297" s="8" t="str">
        <f>HYPERLINK("https://twitter.com/kasinathbhui","@kasinathbhui")</f>
        <v>@kasinathbhui</v>
      </c>
      <c r="C5297" s="8" t="s">
        <v>1195</v>
      </c>
      <c r="D5297" s="8">
        <v>874</v>
      </c>
      <c r="E5297" s="8">
        <v>0</v>
      </c>
      <c r="F5297" s="8">
        <v>412</v>
      </c>
    </row>
    <row r="5298" spans="1:6" ht="12.75">
      <c r="A5298" s="8">
        <v>43902.707962962959</v>
      </c>
      <c r="B5298" s="8" t="str">
        <f>HYPERLINK("https://twitter.com/devashi36451209","@devashi36451209")</f>
        <v>@devashi36451209</v>
      </c>
      <c r="C5298" s="8" t="s">
        <v>1195</v>
      </c>
      <c r="D5298" s="8">
        <v>874</v>
      </c>
      <c r="E5298" s="8">
        <v>0</v>
      </c>
      <c r="F5298" s="8">
        <v>488</v>
      </c>
    </row>
    <row r="5299" spans="1:6" ht="12.75">
      <c r="A5299" s="8">
        <v>43902.707951388889</v>
      </c>
      <c r="B5299" s="8" t="str">
        <f>HYPERLINK("https://twitter.com/memumbaiindian1","@memumbaiindian1")</f>
        <v>@memumbaiindian1</v>
      </c>
      <c r="C5299" s="8" t="s">
        <v>1195</v>
      </c>
      <c r="D5299" s="8">
        <v>874</v>
      </c>
      <c r="E5299" s="8">
        <v>0</v>
      </c>
      <c r="F5299" s="8">
        <v>101</v>
      </c>
    </row>
    <row r="5300" spans="1:6" ht="12.75">
      <c r="A5300" s="8">
        <v>43902.707881944443</v>
      </c>
      <c r="B5300" s="8" t="str">
        <f>HYPERLINK("https://twitter.com/ShivTiw66946064","@ShivTiw66946064")</f>
        <v>@ShivTiw66946064</v>
      </c>
      <c r="C5300" s="8" t="s">
        <v>1957</v>
      </c>
      <c r="D5300" s="8">
        <v>1525</v>
      </c>
      <c r="E5300" s="8">
        <v>0</v>
      </c>
      <c r="F5300" s="8">
        <v>30</v>
      </c>
    </row>
    <row r="5301" spans="1:6" ht="12.75">
      <c r="A5301" s="8">
        <v>43902.707870370374</v>
      </c>
      <c r="B5301" s="8" t="str">
        <f>HYPERLINK("https://twitter.com/PreslyJohanes","@PreslyJohanes")</f>
        <v>@PreslyJohanes</v>
      </c>
      <c r="C5301" s="8" t="s">
        <v>1030</v>
      </c>
      <c r="D5301" s="8">
        <v>116</v>
      </c>
      <c r="E5301" s="8">
        <v>0</v>
      </c>
      <c r="F5301" s="8">
        <v>114</v>
      </c>
    </row>
    <row r="5302" spans="1:6" ht="12.75">
      <c r="A5302" s="8">
        <v>43902.707835648151</v>
      </c>
      <c r="B5302" s="8" t="str">
        <f>HYPERLINK("https://twitter.com/ISIS_Balik_NO","@ISIS_Balik_NO")</f>
        <v>@ISIS_Balik_NO</v>
      </c>
      <c r="C5302" s="8" t="s">
        <v>2559</v>
      </c>
      <c r="D5302" s="8">
        <v>0</v>
      </c>
      <c r="E5302" s="8">
        <v>0</v>
      </c>
      <c r="F5302" s="8">
        <v>6239</v>
      </c>
    </row>
    <row r="5303" spans="1:6" ht="12.75">
      <c r="A5303" s="8">
        <v>43902.707812499997</v>
      </c>
      <c r="B5303" s="8" t="str">
        <f>HYPERLINK("https://twitter.com/wisanggeni_084","@wisanggeni_084")</f>
        <v>@wisanggeni_084</v>
      </c>
      <c r="C5303" s="8" t="s">
        <v>2560</v>
      </c>
      <c r="D5303" s="8">
        <v>1</v>
      </c>
      <c r="E5303" s="8">
        <v>0</v>
      </c>
      <c r="F5303" s="8">
        <v>18163</v>
      </c>
    </row>
    <row r="5304" spans="1:6" ht="12.75">
      <c r="A5304" s="8">
        <v>43902.707812499997</v>
      </c>
      <c r="B5304" s="8" t="str">
        <f>HYPERLINK("https://twitter.com/SumitdelSumit","@SumitdelSumit")</f>
        <v>@SumitdelSumit</v>
      </c>
      <c r="C5304" s="8" t="s">
        <v>1195</v>
      </c>
      <c r="D5304" s="8">
        <v>874</v>
      </c>
      <c r="E5304" s="8">
        <v>0</v>
      </c>
      <c r="F5304" s="8">
        <v>130</v>
      </c>
    </row>
    <row r="5305" spans="1:6" ht="12.75">
      <c r="A5305" s="8">
        <v>43902.707766203705</v>
      </c>
      <c r="B5305" s="8" t="str">
        <f>HYPERLINK("https://twitter.com/healthyliveID","@healthyliveID")</f>
        <v>@healthyliveID</v>
      </c>
      <c r="C5305" s="8" t="s">
        <v>2549</v>
      </c>
      <c r="D5305" s="8">
        <v>11</v>
      </c>
      <c r="E5305" s="8">
        <v>0</v>
      </c>
      <c r="F5305" s="8">
        <v>45105</v>
      </c>
    </row>
    <row r="5306" spans="1:6" ht="12.75">
      <c r="A5306" s="8">
        <v>43902.707696759258</v>
      </c>
      <c r="B5306" s="8" t="str">
        <f>HYPERLINK("https://twitter.com/youurheartbeat","@youurheartbeat")</f>
        <v>@youurheartbeat</v>
      </c>
      <c r="C5306" s="8" t="s">
        <v>2051</v>
      </c>
      <c r="D5306" s="8">
        <v>113</v>
      </c>
      <c r="E5306" s="8">
        <v>0</v>
      </c>
      <c r="F5306" s="8">
        <v>67</v>
      </c>
    </row>
    <row r="5307" spans="1:6" ht="12.75">
      <c r="A5307" s="8">
        <v>43902.707662037035</v>
      </c>
      <c r="B5307" s="8" t="str">
        <f>HYPERLINK("https://twitter.com/thisisshivaaa","@thisisshivaaa")</f>
        <v>@thisisshivaaa</v>
      </c>
      <c r="C5307" s="8" t="s">
        <v>1195</v>
      </c>
      <c r="D5307" s="8">
        <v>874</v>
      </c>
      <c r="E5307" s="8">
        <v>0</v>
      </c>
      <c r="F5307" s="8">
        <v>277</v>
      </c>
    </row>
    <row r="5308" spans="1:6" ht="12.75">
      <c r="A5308" s="8">
        <v>43902.707650462966</v>
      </c>
      <c r="B5308" s="8" t="str">
        <f>HYPERLINK("https://twitter.com/HirayYashwant","@HirayYashwant")</f>
        <v>@HirayYashwant</v>
      </c>
      <c r="C5308" s="8" t="s">
        <v>1195</v>
      </c>
      <c r="D5308" s="8">
        <v>874</v>
      </c>
      <c r="E5308" s="8">
        <v>0</v>
      </c>
      <c r="F5308" s="8">
        <v>780</v>
      </c>
    </row>
    <row r="5309" spans="1:6" ht="12.75">
      <c r="A5309" s="8">
        <v>43902.707650462966</v>
      </c>
      <c r="B5309" s="8" t="str">
        <f>HYPERLINK("https://twitter.com/praveen_taj","@praveen_taj")</f>
        <v>@praveen_taj</v>
      </c>
      <c r="C5309" s="8" t="s">
        <v>1195</v>
      </c>
      <c r="D5309" s="8">
        <v>874</v>
      </c>
      <c r="E5309" s="8">
        <v>0</v>
      </c>
      <c r="F5309" s="8">
        <v>431</v>
      </c>
    </row>
    <row r="5310" spans="1:6" ht="12.75">
      <c r="A5310" s="8">
        <v>43902.707546296297</v>
      </c>
      <c r="B5310" s="8" t="str">
        <f>HYPERLINK("https://twitter.com/healthyliveID","@healthyliveID")</f>
        <v>@healthyliveID</v>
      </c>
      <c r="C5310" s="8" t="s">
        <v>2561</v>
      </c>
      <c r="D5310" s="8">
        <v>1</v>
      </c>
      <c r="E5310" s="8">
        <v>0</v>
      </c>
      <c r="F5310" s="8">
        <v>45105</v>
      </c>
    </row>
    <row r="5311" spans="1:6" ht="12.75">
      <c r="A5311" s="8">
        <v>43902.707384259258</v>
      </c>
      <c r="B5311" s="8" t="str">
        <f>HYPERLINK("https://twitter.com/shamirsetyadi","@shamirsetyadi")</f>
        <v>@shamirsetyadi</v>
      </c>
      <c r="C5311" s="8" t="s">
        <v>2562</v>
      </c>
      <c r="D5311" s="8">
        <v>1</v>
      </c>
      <c r="E5311" s="8">
        <v>1</v>
      </c>
      <c r="F5311" s="8">
        <v>1923</v>
      </c>
    </row>
    <row r="5312" spans="1:6" ht="12.75">
      <c r="A5312" s="8">
        <v>43902.707268518519</v>
      </c>
      <c r="B5312" s="8" t="str">
        <f>HYPERLINK("https://twitter.com/babywonwoo96","@babywonwoo96")</f>
        <v>@babywonwoo96</v>
      </c>
      <c r="C5312" s="8" t="s">
        <v>1836</v>
      </c>
      <c r="D5312" s="8">
        <v>83</v>
      </c>
      <c r="E5312" s="8">
        <v>0</v>
      </c>
      <c r="F5312" s="8">
        <v>4472</v>
      </c>
    </row>
    <row r="5313" spans="1:6" ht="12.75">
      <c r="A5313" s="8">
        <v>43902.707233796296</v>
      </c>
      <c r="B5313" s="8" t="str">
        <f>HYPERLINK("https://twitter.com/mon_espace","@mon_espace")</f>
        <v>@mon_espace</v>
      </c>
      <c r="C5313" s="8" t="s">
        <v>1195</v>
      </c>
      <c r="D5313" s="8">
        <v>874</v>
      </c>
      <c r="E5313" s="8">
        <v>0</v>
      </c>
      <c r="F5313" s="8">
        <v>126</v>
      </c>
    </row>
    <row r="5314" spans="1:6" ht="12.75">
      <c r="A5314" s="8">
        <v>43902.70721064815</v>
      </c>
      <c r="B5314" s="8" t="str">
        <f>HYPERLINK("https://twitter.com/YasrienAlgaisya","@YasrienAlgaisya")</f>
        <v>@YasrienAlgaisya</v>
      </c>
      <c r="C5314" s="8" t="s">
        <v>1030</v>
      </c>
      <c r="D5314" s="8">
        <v>116</v>
      </c>
      <c r="E5314" s="8">
        <v>0</v>
      </c>
      <c r="F5314" s="8">
        <v>364</v>
      </c>
    </row>
    <row r="5315" spans="1:6" ht="12.75">
      <c r="A5315" s="8">
        <v>43902.707141203704</v>
      </c>
      <c r="B5315" s="8" t="str">
        <f>HYPERLINK("https://twitter.com/ISIS_Balik_NO","@ISIS_Balik_NO")</f>
        <v>@ISIS_Balik_NO</v>
      </c>
      <c r="C5315" s="8" t="s">
        <v>2563</v>
      </c>
      <c r="D5315" s="8">
        <v>23</v>
      </c>
      <c r="E5315" s="8">
        <v>0</v>
      </c>
      <c r="F5315" s="8">
        <v>6239</v>
      </c>
    </row>
    <row r="5316" spans="1:6" ht="12.75">
      <c r="A5316" s="8">
        <v>43902.707094907411</v>
      </c>
      <c r="B5316" s="8" t="str">
        <f>HYPERLINK("https://twitter.com/nadhirinaja","@nadhirinaja")</f>
        <v>@nadhirinaja</v>
      </c>
      <c r="C5316" s="8" t="s">
        <v>289</v>
      </c>
      <c r="D5316" s="8">
        <v>21</v>
      </c>
      <c r="E5316" s="8">
        <v>0</v>
      </c>
      <c r="F5316" s="8">
        <v>1299</v>
      </c>
    </row>
    <row r="5317" spans="1:6" ht="12.75">
      <c r="A5317" s="8">
        <v>43902.707025462965</v>
      </c>
      <c r="B5317" s="8" t="str">
        <f>HYPERLINK("https://twitter.com/adityasingh127","@adityasingh127")</f>
        <v>@adityasingh127</v>
      </c>
      <c r="C5317" s="8" t="s">
        <v>1195</v>
      </c>
      <c r="D5317" s="8">
        <v>874</v>
      </c>
      <c r="E5317" s="8">
        <v>0</v>
      </c>
      <c r="F5317" s="8">
        <v>130</v>
      </c>
    </row>
    <row r="5318" spans="1:6" ht="12.75">
      <c r="A5318" s="8">
        <v>43902.706956018519</v>
      </c>
      <c r="B5318" s="8" t="str">
        <f>HYPERLINK("https://twitter.com/sshivamsngh","@sshivamsngh")</f>
        <v>@sshivamsngh</v>
      </c>
      <c r="C5318" s="8" t="s">
        <v>1195</v>
      </c>
      <c r="D5318" s="8">
        <v>874</v>
      </c>
      <c r="E5318" s="8">
        <v>0</v>
      </c>
      <c r="F5318" s="8">
        <v>125</v>
      </c>
    </row>
    <row r="5319" spans="1:6" ht="12.75">
      <c r="A5319" s="8">
        <v>43902.706724537042</v>
      </c>
      <c r="B5319" s="8" t="str">
        <f>HYPERLINK("https://twitter.com/LeapYear2020","@LeapYear2020")</f>
        <v>@LeapYear2020</v>
      </c>
      <c r="C5319" s="8" t="s">
        <v>1195</v>
      </c>
      <c r="D5319" s="8">
        <v>874</v>
      </c>
      <c r="E5319" s="8">
        <v>0</v>
      </c>
      <c r="F5319" s="8">
        <v>38</v>
      </c>
    </row>
    <row r="5320" spans="1:6" ht="12.75">
      <c r="A5320" s="8">
        <v>43902.706655092596</v>
      </c>
      <c r="B5320" s="8" t="str">
        <f>HYPERLINK("https://twitter.com/ISIS_Balik_NO","@ISIS_Balik_NO")</f>
        <v>@ISIS_Balik_NO</v>
      </c>
      <c r="C5320" s="8" t="s">
        <v>2564</v>
      </c>
      <c r="D5320" s="8">
        <v>0</v>
      </c>
      <c r="E5320" s="8">
        <v>0</v>
      </c>
      <c r="F5320" s="8">
        <v>6239</v>
      </c>
    </row>
    <row r="5321" spans="1:6" ht="12.75">
      <c r="A5321" s="8">
        <v>43902.706504629634</v>
      </c>
      <c r="B5321" s="8" t="str">
        <f>HYPERLINK("https://twitter.com/DetikNewsDotID","@DetikNewsDotID")</f>
        <v>@DetikNewsDotID</v>
      </c>
      <c r="C5321" s="8" t="s">
        <v>2565</v>
      </c>
      <c r="D5321" s="8">
        <v>0</v>
      </c>
      <c r="E5321" s="8">
        <v>0</v>
      </c>
      <c r="F5321" s="8">
        <v>80</v>
      </c>
    </row>
    <row r="5322" spans="1:6" ht="12.75">
      <c r="A5322" s="8">
        <v>43902.706423611111</v>
      </c>
      <c r="B5322" s="8" t="str">
        <f>HYPERLINK("https://twitter.com/TRG_tweet","@TRG_tweet")</f>
        <v>@TRG_tweet</v>
      </c>
      <c r="C5322" s="8" t="s">
        <v>1195</v>
      </c>
      <c r="D5322" s="8">
        <v>874</v>
      </c>
      <c r="E5322" s="8">
        <v>0</v>
      </c>
      <c r="F5322" s="8">
        <v>154</v>
      </c>
    </row>
    <row r="5323" spans="1:6" ht="12.75">
      <c r="A5323" s="8">
        <v>43902.706400462965</v>
      </c>
      <c r="B5323" s="8" t="str">
        <f>HYPERLINK("https://twitter.com/AryaKRIDA","@AryaKRIDA")</f>
        <v>@AryaKRIDA</v>
      </c>
      <c r="C5323" s="8" t="s">
        <v>923</v>
      </c>
      <c r="D5323" s="8">
        <v>0</v>
      </c>
      <c r="E5323" s="8">
        <v>0</v>
      </c>
      <c r="F5323" s="8">
        <v>9944</v>
      </c>
    </row>
    <row r="5324" spans="1:6" ht="12.75">
      <c r="A5324" s="8">
        <v>43902.706365740742</v>
      </c>
      <c r="B5324" s="8" t="str">
        <f t="shared" ref="B5324:B5325" si="98">HYPERLINK("https://twitter.com/natkhat_chhoro","@natkhat_chhoro")</f>
        <v>@natkhat_chhoro</v>
      </c>
      <c r="C5324" s="8" t="s">
        <v>1808</v>
      </c>
      <c r="D5324" s="8">
        <v>879</v>
      </c>
      <c r="E5324" s="8">
        <v>0</v>
      </c>
      <c r="F5324" s="8">
        <v>1903</v>
      </c>
    </row>
    <row r="5325" spans="1:6" ht="12.75">
      <c r="A5325" s="8">
        <v>43902.706319444449</v>
      </c>
      <c r="B5325" s="8" t="str">
        <f t="shared" si="98"/>
        <v>@natkhat_chhoro</v>
      </c>
      <c r="C5325" s="8" t="s">
        <v>1195</v>
      </c>
      <c r="D5325" s="8">
        <v>874</v>
      </c>
      <c r="E5325" s="8">
        <v>0</v>
      </c>
      <c r="F5325" s="8">
        <v>1903</v>
      </c>
    </row>
    <row r="5326" spans="1:6" ht="12.75">
      <c r="A5326" s="8">
        <v>43902.706307870365</v>
      </c>
      <c r="B5326" s="8" t="str">
        <f t="shared" ref="B5326:B5328" si="99">HYPERLINK("https://twitter.com/Ladaku_Viman","@Ladaku_Viman")</f>
        <v>@Ladaku_Viman</v>
      </c>
      <c r="C5326" s="8" t="s">
        <v>1195</v>
      </c>
      <c r="D5326" s="8">
        <v>874</v>
      </c>
      <c r="E5326" s="8">
        <v>0</v>
      </c>
      <c r="F5326" s="8">
        <v>51</v>
      </c>
    </row>
    <row r="5327" spans="1:6" ht="12.75">
      <c r="A5327" s="8">
        <v>43902.706238425926</v>
      </c>
      <c r="B5327" s="8" t="str">
        <f t="shared" si="99"/>
        <v>@Ladaku_Viman</v>
      </c>
      <c r="C5327" s="8" t="s">
        <v>1808</v>
      </c>
      <c r="D5327" s="8">
        <v>879</v>
      </c>
      <c r="E5327" s="8">
        <v>0</v>
      </c>
      <c r="F5327" s="8">
        <v>51</v>
      </c>
    </row>
    <row r="5328" spans="1:6" ht="12.75">
      <c r="A5328" s="8">
        <v>43902.706203703703</v>
      </c>
      <c r="B5328" s="8" t="str">
        <f t="shared" si="99"/>
        <v>@Ladaku_Viman</v>
      </c>
      <c r="C5328" s="8" t="s">
        <v>1957</v>
      </c>
      <c r="D5328" s="8">
        <v>1525</v>
      </c>
      <c r="E5328" s="8">
        <v>0</v>
      </c>
      <c r="F5328" s="8">
        <v>51</v>
      </c>
    </row>
    <row r="5329" spans="1:6" ht="12.75">
      <c r="A5329" s="8">
        <v>43902.706192129626</v>
      </c>
      <c r="B5329" s="8" t="str">
        <f>HYPERLINK("https://twitter.com/krmanishsingh","@krmanishsingh")</f>
        <v>@krmanishsingh</v>
      </c>
      <c r="C5329" s="8" t="s">
        <v>1195</v>
      </c>
      <c r="D5329" s="8">
        <v>874</v>
      </c>
      <c r="E5329" s="8">
        <v>0</v>
      </c>
      <c r="F5329" s="8">
        <v>49</v>
      </c>
    </row>
    <row r="5330" spans="1:6" ht="12.75">
      <c r="A5330" s="8">
        <v>43902.673495370371</v>
      </c>
      <c r="B5330" s="8" t="str">
        <f>HYPERLINK("https://twitter.com/KBRI_Alger","@KBRI_Alger")</f>
        <v>@KBRI_Alger</v>
      </c>
      <c r="C5330" s="8" t="s">
        <v>1400</v>
      </c>
      <c r="D5330" s="8">
        <v>48</v>
      </c>
      <c r="E5330" s="8">
        <v>0</v>
      </c>
      <c r="F5330" s="8">
        <v>408</v>
      </c>
    </row>
    <row r="5331" spans="1:6" ht="12.75">
      <c r="A5331" s="8">
        <v>43902.673437500001</v>
      </c>
      <c r="B5331" s="8" t="str">
        <f>HYPERLINK("https://twitter.com/VivekSaxena82","@VivekSaxena82")</f>
        <v>@VivekSaxena82</v>
      </c>
      <c r="C5331" s="8" t="s">
        <v>1195</v>
      </c>
      <c r="D5331" s="8">
        <v>467</v>
      </c>
      <c r="E5331" s="8">
        <v>0</v>
      </c>
      <c r="F5331" s="8">
        <v>146</v>
      </c>
    </row>
    <row r="5332" spans="1:6" ht="12.75">
      <c r="A5332" s="8">
        <v>43902.673067129625</v>
      </c>
      <c r="B5332" s="8" t="str">
        <f>HYPERLINK("https://twitter.com/inominataa","@inominataa")</f>
        <v>@inominataa</v>
      </c>
      <c r="C5332" s="8" t="s">
        <v>2566</v>
      </c>
      <c r="D5332" s="8">
        <v>0</v>
      </c>
      <c r="E5332" s="8">
        <v>0</v>
      </c>
      <c r="F5332" s="8">
        <v>529</v>
      </c>
    </row>
    <row r="5333" spans="1:6" ht="12.75">
      <c r="A5333" s="8">
        <v>43902.673055555555</v>
      </c>
      <c r="B5333" s="8" t="str">
        <f>HYPERLINK("https://twitter.com/miright_","@miright_")</f>
        <v>@miright_</v>
      </c>
      <c r="C5333" s="8" t="s">
        <v>1195</v>
      </c>
      <c r="D5333" s="8">
        <v>467</v>
      </c>
      <c r="E5333" s="8">
        <v>0</v>
      </c>
      <c r="F5333" s="8">
        <v>471</v>
      </c>
    </row>
    <row r="5334" spans="1:6" ht="12.75">
      <c r="A5334" s="8">
        <v>43902.672986111109</v>
      </c>
      <c r="B5334" s="8" t="str">
        <f>HYPERLINK("https://twitter.com/akashpq","@akashpq")</f>
        <v>@akashpq</v>
      </c>
      <c r="C5334" s="8" t="s">
        <v>1957</v>
      </c>
      <c r="D5334" s="8">
        <v>1511</v>
      </c>
      <c r="E5334" s="8">
        <v>0</v>
      </c>
      <c r="F5334" s="8">
        <v>88</v>
      </c>
    </row>
    <row r="5335" spans="1:6" ht="12.75">
      <c r="A5335" s="8">
        <v>43902.672916666663</v>
      </c>
      <c r="B5335" s="8" t="str">
        <f>HYPERLINK("https://twitter.com/hidupnanindah","@hidupnanindah")</f>
        <v>@hidupnanindah</v>
      </c>
      <c r="C5335" s="8" t="s">
        <v>2567</v>
      </c>
      <c r="D5335" s="8">
        <v>0</v>
      </c>
      <c r="E5335" s="8">
        <v>0</v>
      </c>
      <c r="F5335" s="8">
        <v>14960</v>
      </c>
    </row>
    <row r="5336" spans="1:6" ht="12.75">
      <c r="A5336" s="8">
        <v>43902.672800925924</v>
      </c>
      <c r="B5336" s="8" t="str">
        <f t="shared" ref="B5336:B5337" si="100">HYPERLINK("https://twitter.com/ramraj007","@ramraj007")</f>
        <v>@ramraj007</v>
      </c>
      <c r="C5336" s="8" t="s">
        <v>1808</v>
      </c>
      <c r="D5336" s="8">
        <v>856</v>
      </c>
      <c r="E5336" s="8">
        <v>0</v>
      </c>
      <c r="F5336" s="8">
        <v>1981</v>
      </c>
    </row>
    <row r="5337" spans="1:6" ht="12.75">
      <c r="A5337" s="8">
        <v>43902.672743055555</v>
      </c>
      <c r="B5337" s="8" t="str">
        <f t="shared" si="100"/>
        <v>@ramraj007</v>
      </c>
      <c r="C5337" s="8" t="s">
        <v>1195</v>
      </c>
      <c r="D5337" s="8">
        <v>467</v>
      </c>
      <c r="E5337" s="8">
        <v>0</v>
      </c>
      <c r="F5337" s="8">
        <v>1981</v>
      </c>
    </row>
    <row r="5338" spans="1:6" ht="12.75">
      <c r="A5338" s="8">
        <v>43902.672708333332</v>
      </c>
      <c r="B5338" s="8" t="str">
        <f>HYPERLINK("https://twitter.com/impankajsen","@impankajsen")</f>
        <v>@impankajsen</v>
      </c>
      <c r="C5338" s="8" t="s">
        <v>1195</v>
      </c>
      <c r="D5338" s="8">
        <v>467</v>
      </c>
      <c r="E5338" s="8">
        <v>0</v>
      </c>
      <c r="F5338" s="8">
        <v>456</v>
      </c>
    </row>
    <row r="5339" spans="1:6" ht="12.75">
      <c r="A5339" s="8">
        <v>43902.672662037032</v>
      </c>
      <c r="B5339" s="8" t="str">
        <f>HYPERLINK("https://twitter.com/nuggettoffy","@nuggettoffy")</f>
        <v>@nuggettoffy</v>
      </c>
      <c r="C5339" s="8" t="s">
        <v>1195</v>
      </c>
      <c r="D5339" s="8">
        <v>467</v>
      </c>
      <c r="E5339" s="8">
        <v>0</v>
      </c>
      <c r="F5339" s="8">
        <v>816</v>
      </c>
    </row>
    <row r="5340" spans="1:6" ht="12.75">
      <c r="A5340" s="8">
        <v>43902.672453703708</v>
      </c>
      <c r="B5340" s="8" t="str">
        <f>HYPERLINK("https://twitter.com/Arjunvksharma","@Arjunvksharma")</f>
        <v>@Arjunvksharma</v>
      </c>
      <c r="C5340" s="8" t="s">
        <v>1195</v>
      </c>
      <c r="D5340" s="8">
        <v>467</v>
      </c>
      <c r="E5340" s="8">
        <v>0</v>
      </c>
      <c r="F5340" s="8">
        <v>782</v>
      </c>
    </row>
    <row r="5341" spans="1:6" ht="12.75">
      <c r="A5341" s="8">
        <v>43902.672395833331</v>
      </c>
      <c r="B5341" s="8" t="str">
        <f>HYPERLINK("https://twitter.com/anupamdas","@anupamdas")</f>
        <v>@anupamdas</v>
      </c>
      <c r="C5341" s="8" t="s">
        <v>1195</v>
      </c>
      <c r="D5341" s="8">
        <v>467</v>
      </c>
      <c r="E5341" s="8">
        <v>0</v>
      </c>
      <c r="F5341" s="8">
        <v>113</v>
      </c>
    </row>
    <row r="5342" spans="1:6" ht="12.75">
      <c r="A5342" s="8">
        <v>43902.672303240739</v>
      </c>
      <c r="B5342" s="8" t="str">
        <f>HYPERLINK("https://twitter.com/ArieSondang","@ArieSondang")</f>
        <v>@ArieSondang</v>
      </c>
      <c r="C5342" s="8" t="s">
        <v>2568</v>
      </c>
      <c r="D5342" s="8">
        <v>0</v>
      </c>
      <c r="E5342" s="8">
        <v>0</v>
      </c>
      <c r="F5342" s="8">
        <v>582</v>
      </c>
    </row>
    <row r="5343" spans="1:6" ht="12.75">
      <c r="A5343" s="8">
        <v>43902.672291666662</v>
      </c>
      <c r="B5343" s="8" t="str">
        <f>HYPERLINK("https://twitter.com/baikbaikyabgst","@baikbaikyabgst")</f>
        <v>@baikbaikyabgst</v>
      </c>
      <c r="C5343" s="8" t="s">
        <v>289</v>
      </c>
      <c r="D5343" s="8">
        <v>15</v>
      </c>
      <c r="E5343" s="8">
        <v>0</v>
      </c>
      <c r="F5343" s="8">
        <v>122</v>
      </c>
    </row>
    <row r="5344" spans="1:6" ht="12.75">
      <c r="A5344" s="8">
        <v>43902.672002314815</v>
      </c>
      <c r="B5344" s="8" t="str">
        <f>HYPERLINK("https://twitter.com/alpaviraam","@alpaviraam")</f>
        <v>@alpaviraam</v>
      </c>
      <c r="C5344" s="8" t="s">
        <v>1195</v>
      </c>
      <c r="D5344" s="8">
        <v>467</v>
      </c>
      <c r="E5344" s="8">
        <v>0</v>
      </c>
      <c r="F5344" s="8">
        <v>69</v>
      </c>
    </row>
    <row r="5345" spans="1:6" ht="12.75">
      <c r="A5345" s="8">
        <v>43902.672002314815</v>
      </c>
      <c r="B5345" s="8" t="str">
        <f>HYPERLINK("https://twitter.com/Azmihaniffah","@Azmihaniffah")</f>
        <v>@Azmihaniffah</v>
      </c>
      <c r="C5345" s="8" t="s">
        <v>1030</v>
      </c>
      <c r="D5345" s="8">
        <v>89</v>
      </c>
      <c r="E5345" s="8">
        <v>0</v>
      </c>
      <c r="F5345" s="8">
        <v>359</v>
      </c>
    </row>
    <row r="5346" spans="1:6" ht="12.75">
      <c r="A5346" s="8">
        <v>43902.671909722223</v>
      </c>
      <c r="B5346" s="8" t="str">
        <f>HYPERLINK("https://twitter.com/ISIS_Balik_NO","@ISIS_Balik_NO")</f>
        <v>@ISIS_Balik_NO</v>
      </c>
      <c r="C5346" s="8" t="s">
        <v>2569</v>
      </c>
      <c r="D5346" s="8">
        <v>0</v>
      </c>
      <c r="E5346" s="8">
        <v>0</v>
      </c>
      <c r="F5346" s="8">
        <v>6237</v>
      </c>
    </row>
    <row r="5347" spans="1:6" ht="12.75">
      <c r="A5347" s="8">
        <v>43902.671851851846</v>
      </c>
      <c r="B5347" s="8" t="str">
        <f>HYPERLINK("https://twitter.com/AvinashSinghMak","@AvinashSinghMak")</f>
        <v>@AvinashSinghMak</v>
      </c>
      <c r="C5347" s="8" t="s">
        <v>1808</v>
      </c>
      <c r="D5347" s="8">
        <v>856</v>
      </c>
      <c r="E5347" s="8">
        <v>0</v>
      </c>
      <c r="F5347" s="8">
        <v>3226</v>
      </c>
    </row>
    <row r="5348" spans="1:6" ht="12.75">
      <c r="A5348" s="8">
        <v>43902.671851851846</v>
      </c>
      <c r="B5348" s="8" t="str">
        <f>HYPERLINK("https://twitter.com/memenist_","@memenist_")</f>
        <v>@memenist_</v>
      </c>
      <c r="C5348" s="8" t="s">
        <v>1195</v>
      </c>
      <c r="D5348" s="8">
        <v>467</v>
      </c>
      <c r="E5348" s="8">
        <v>0</v>
      </c>
      <c r="F5348" s="8">
        <v>2825</v>
      </c>
    </row>
    <row r="5349" spans="1:6" ht="12.75">
      <c r="A5349" s="8">
        <v>43902.671840277777</v>
      </c>
      <c r="B5349" s="8" t="str">
        <f>HYPERLINK("https://twitter.com/EenEnik","@EenEnik")</f>
        <v>@EenEnik</v>
      </c>
      <c r="C5349" s="8" t="s">
        <v>1758</v>
      </c>
      <c r="D5349" s="8">
        <v>15</v>
      </c>
      <c r="E5349" s="8">
        <v>0</v>
      </c>
      <c r="F5349" s="8">
        <v>1095</v>
      </c>
    </row>
    <row r="5350" spans="1:6" ht="12.75">
      <c r="A5350" s="8">
        <v>43902.671840277777</v>
      </c>
      <c r="B5350" s="8" t="str">
        <f>HYPERLINK("https://twitter.com/yogiderechter","@yogiderechter")</f>
        <v>@yogiderechter</v>
      </c>
      <c r="C5350" s="8" t="s">
        <v>1030</v>
      </c>
      <c r="D5350" s="8">
        <v>89</v>
      </c>
      <c r="E5350" s="8">
        <v>0</v>
      </c>
      <c r="F5350" s="8">
        <v>258</v>
      </c>
    </row>
    <row r="5351" spans="1:6" ht="12.75">
      <c r="A5351" s="8">
        <v>43902.671793981484</v>
      </c>
      <c r="B5351" s="8" t="str">
        <f>HYPERLINK("https://twitter.com/AvinashSinghMak","@AvinashSinghMak")</f>
        <v>@AvinashSinghMak</v>
      </c>
      <c r="C5351" s="8" t="s">
        <v>1195</v>
      </c>
      <c r="D5351" s="8">
        <v>467</v>
      </c>
      <c r="E5351" s="8">
        <v>0</v>
      </c>
      <c r="F5351" s="8">
        <v>3226</v>
      </c>
    </row>
    <row r="5352" spans="1:6" ht="12.75">
      <c r="A5352" s="8">
        <v>43902.671539351853</v>
      </c>
      <c r="B5352" s="8" t="str">
        <f>HYPERLINK("https://twitter.com/baklolchora","@baklolchora")</f>
        <v>@baklolchora</v>
      </c>
      <c r="C5352" s="8" t="s">
        <v>1195</v>
      </c>
      <c r="D5352" s="8">
        <v>467</v>
      </c>
      <c r="E5352" s="8">
        <v>0</v>
      </c>
      <c r="F5352" s="8">
        <v>121</v>
      </c>
    </row>
    <row r="5353" spans="1:6" ht="12.75">
      <c r="A5353" s="8">
        <v>43902.67119212963</v>
      </c>
      <c r="B5353" s="8" t="str">
        <f>HYPERLINK("https://twitter.com/rakhmat_haikal","@rakhmat_haikal")</f>
        <v>@rakhmat_haikal</v>
      </c>
      <c r="C5353" s="8" t="s">
        <v>1030</v>
      </c>
      <c r="D5353" s="8">
        <v>89</v>
      </c>
      <c r="E5353" s="8">
        <v>0</v>
      </c>
      <c r="F5353" s="8">
        <v>788</v>
      </c>
    </row>
    <row r="5354" spans="1:6" ht="12.75">
      <c r="A5354" s="8">
        <v>43902.671157407407</v>
      </c>
      <c r="B5354" s="8" t="str">
        <f>HYPERLINK("https://twitter.com/araafi_aprilia","@araafi_aprilia")</f>
        <v>@araafi_aprilia</v>
      </c>
      <c r="C5354" s="8" t="s">
        <v>2570</v>
      </c>
      <c r="D5354" s="8">
        <v>0</v>
      </c>
      <c r="E5354" s="8">
        <v>0</v>
      </c>
      <c r="F5354" s="8">
        <v>1270</v>
      </c>
    </row>
    <row r="5355" spans="1:6" ht="12.75">
      <c r="A5355" s="8">
        <v>43902.67114583333</v>
      </c>
      <c r="B5355" s="8" t="str">
        <f>HYPERLINK("https://twitter.com/omkalbhirav","@omkalbhirav")</f>
        <v>@omkalbhirav</v>
      </c>
      <c r="C5355" s="8" t="s">
        <v>2571</v>
      </c>
      <c r="D5355" s="8">
        <v>0</v>
      </c>
      <c r="E5355" s="8">
        <v>1</v>
      </c>
      <c r="F5355" s="8">
        <v>1232</v>
      </c>
    </row>
    <row r="5356" spans="1:6" ht="12.75">
      <c r="A5356" s="8">
        <v>43902.671111111107</v>
      </c>
      <c r="B5356" s="8" t="str">
        <f>HYPERLINK("https://twitter.com/RonakAgarIND","@RonakAgarIND")</f>
        <v>@RonakAgarIND</v>
      </c>
      <c r="C5356" s="8" t="s">
        <v>1195</v>
      </c>
      <c r="D5356" s="8">
        <v>467</v>
      </c>
      <c r="E5356" s="8">
        <v>0</v>
      </c>
      <c r="F5356" s="8">
        <v>55</v>
      </c>
    </row>
    <row r="5357" spans="1:6" ht="12.75">
      <c r="A5357" s="8">
        <v>43902.671053240745</v>
      </c>
      <c r="B5357" s="8" t="str">
        <f>HYPERLINK("https://twitter.com/AmitabhPoddar1","@AmitabhPoddar1")</f>
        <v>@AmitabhPoddar1</v>
      </c>
      <c r="C5357" s="8" t="s">
        <v>1195</v>
      </c>
      <c r="D5357" s="8">
        <v>467</v>
      </c>
      <c r="E5357" s="8">
        <v>0</v>
      </c>
      <c r="F5357" s="8">
        <v>577</v>
      </c>
    </row>
    <row r="5358" spans="1:6" ht="12.75">
      <c r="A5358" s="8">
        <v>43902.671006944445</v>
      </c>
      <c r="B5358" s="8" t="str">
        <f>HYPERLINK("https://twitter.com/geeta_patel_","@geeta_patel_")</f>
        <v>@geeta_patel_</v>
      </c>
      <c r="C5358" s="8" t="s">
        <v>1195</v>
      </c>
      <c r="D5358" s="8">
        <v>467</v>
      </c>
      <c r="E5358" s="8">
        <v>0</v>
      </c>
      <c r="F5358" s="8">
        <v>879</v>
      </c>
    </row>
    <row r="5359" spans="1:6" ht="12.75">
      <c r="A5359" s="8">
        <v>43902.670972222222</v>
      </c>
      <c r="B5359" s="8" t="str">
        <f>HYPERLINK("https://twitter.com/PARTAI_HARIMAU","@PARTAI_HARIMAU")</f>
        <v>@PARTAI_HARIMAU</v>
      </c>
      <c r="C5359" s="8" t="s">
        <v>2572</v>
      </c>
      <c r="D5359" s="8">
        <v>0</v>
      </c>
      <c r="E5359" s="8">
        <v>0</v>
      </c>
      <c r="F5359" s="8">
        <v>5330</v>
      </c>
    </row>
    <row r="5360" spans="1:6" ht="12.75">
      <c r="A5360" s="8">
        <v>43902.670902777776</v>
      </c>
      <c r="B5360" s="8" t="str">
        <f>HYPERLINK("https://twitter.com/Bharati_indic","@Bharati_indic")</f>
        <v>@Bharati_indic</v>
      </c>
      <c r="C5360" s="8" t="s">
        <v>1195</v>
      </c>
      <c r="D5360" s="8">
        <v>467</v>
      </c>
      <c r="E5360" s="8">
        <v>0</v>
      </c>
      <c r="F5360" s="8">
        <v>440</v>
      </c>
    </row>
    <row r="5361" spans="1:6" ht="12.75">
      <c r="A5361" s="8">
        <v>43902.67086805556</v>
      </c>
      <c r="B5361" s="8" t="str">
        <f>HYPERLINK("https://twitter.com/shivoham2002","@shivoham2002")</f>
        <v>@shivoham2002</v>
      </c>
      <c r="C5361" s="8" t="s">
        <v>1195</v>
      </c>
      <c r="D5361" s="8">
        <v>467</v>
      </c>
      <c r="E5361" s="8">
        <v>0</v>
      </c>
      <c r="F5361" s="8">
        <v>276</v>
      </c>
    </row>
    <row r="5362" spans="1:6" ht="12.75">
      <c r="A5362" s="8">
        <v>43902.670856481476</v>
      </c>
      <c r="B5362" s="8" t="str">
        <f>HYPERLINK("https://twitter.com/dibyendudhara","@dibyendudhara")</f>
        <v>@dibyendudhara</v>
      </c>
      <c r="C5362" s="8" t="s">
        <v>1195</v>
      </c>
      <c r="D5362" s="8">
        <v>467</v>
      </c>
      <c r="E5362" s="8">
        <v>0</v>
      </c>
      <c r="F5362" s="8">
        <v>210</v>
      </c>
    </row>
    <row r="5363" spans="1:6" ht="12.75">
      <c r="A5363" s="8">
        <v>43902.670694444445</v>
      </c>
      <c r="B5363" s="8" t="str">
        <f>HYPERLINK("https://twitter.com/prateek20111989","@prateek20111989")</f>
        <v>@prateek20111989</v>
      </c>
      <c r="C5363" s="8" t="s">
        <v>1195</v>
      </c>
      <c r="D5363" s="8">
        <v>467</v>
      </c>
      <c r="E5363" s="8">
        <v>0</v>
      </c>
      <c r="F5363" s="8">
        <v>212</v>
      </c>
    </row>
    <row r="5364" spans="1:6" ht="12.75">
      <c r="A5364" s="8">
        <v>43902.670659722222</v>
      </c>
      <c r="B5364" s="8" t="str">
        <f>HYPERLINK("https://twitter.com/chaitoo154","@chaitoo154")</f>
        <v>@chaitoo154</v>
      </c>
      <c r="C5364" s="8" t="s">
        <v>1195</v>
      </c>
      <c r="D5364" s="8">
        <v>467</v>
      </c>
      <c r="E5364" s="8">
        <v>0</v>
      </c>
      <c r="F5364" s="8">
        <v>481</v>
      </c>
    </row>
    <row r="5365" spans="1:6" ht="12.75">
      <c r="A5365" s="8">
        <v>43902.670543981483</v>
      </c>
      <c r="B5365" s="8" t="str">
        <f>HYPERLINK("https://twitter.com/kompascom","@kompascom")</f>
        <v>@kompascom</v>
      </c>
      <c r="C5365" s="8" t="s">
        <v>2573</v>
      </c>
      <c r="D5365" s="8">
        <v>0</v>
      </c>
      <c r="E5365" s="8">
        <v>0</v>
      </c>
      <c r="F5365" s="8">
        <v>7542760</v>
      </c>
    </row>
    <row r="5366" spans="1:6" ht="12.75">
      <c r="A5366" s="8">
        <v>43902.670532407406</v>
      </c>
      <c r="B5366" s="8" t="str">
        <f>HYPERLINK("https://twitter.com/AbhilashaChoudh","@AbhilashaChoudh")</f>
        <v>@AbhilashaChoudh</v>
      </c>
      <c r="C5366" s="8" t="s">
        <v>1195</v>
      </c>
      <c r="D5366" s="8">
        <v>467</v>
      </c>
      <c r="E5366" s="8">
        <v>0</v>
      </c>
      <c r="F5366" s="8">
        <v>233</v>
      </c>
    </row>
    <row r="5367" spans="1:6" ht="12.75">
      <c r="A5367" s="8">
        <v>43902.670497685191</v>
      </c>
      <c r="B5367" s="8" t="str">
        <f>HYPERLINK("https://twitter.com/JAIRAMKHEMKA","@JAIRAMKHEMKA")</f>
        <v>@JAIRAMKHEMKA</v>
      </c>
      <c r="C5367" s="8" t="s">
        <v>1195</v>
      </c>
      <c r="D5367" s="8">
        <v>467</v>
      </c>
      <c r="E5367" s="8">
        <v>0</v>
      </c>
      <c r="F5367" s="8">
        <v>750</v>
      </c>
    </row>
    <row r="5368" spans="1:6" ht="12.75">
      <c r="A5368" s="8">
        <v>43902.670358796298</v>
      </c>
      <c r="B5368" s="8" t="str">
        <f>HYPERLINK("https://twitter.com/PissingGladiat1","@PissingGladiat1")</f>
        <v>@PissingGladiat1</v>
      </c>
      <c r="C5368" s="8" t="s">
        <v>1195</v>
      </c>
      <c r="D5368" s="8">
        <v>467</v>
      </c>
      <c r="E5368" s="8">
        <v>0</v>
      </c>
      <c r="F5368" s="8">
        <v>121</v>
      </c>
    </row>
    <row r="5369" spans="1:6" ht="12.75">
      <c r="A5369" s="8">
        <v>43902.670358796298</v>
      </c>
      <c r="B5369" s="8" t="str">
        <f>HYPERLINK("https://twitter.com/Gaurav512eee","@Gaurav512eee")</f>
        <v>@Gaurav512eee</v>
      </c>
      <c r="C5369" s="8" t="s">
        <v>1957</v>
      </c>
      <c r="D5369" s="8">
        <v>1511</v>
      </c>
      <c r="E5369" s="8">
        <v>0</v>
      </c>
      <c r="F5369" s="8">
        <v>325</v>
      </c>
    </row>
    <row r="5370" spans="1:6" ht="12.75">
      <c r="A5370" s="8">
        <v>43902.670335648145</v>
      </c>
      <c r="B5370" s="8" t="str">
        <f>HYPERLINK("https://twitter.com/prowin30","@prowin30")</f>
        <v>@prowin30</v>
      </c>
      <c r="C5370" s="8" t="s">
        <v>1195</v>
      </c>
      <c r="D5370" s="8">
        <v>467</v>
      </c>
      <c r="E5370" s="8">
        <v>0</v>
      </c>
      <c r="F5370" s="8">
        <v>109</v>
      </c>
    </row>
    <row r="5371" spans="1:6" ht="12.75">
      <c r="A5371" s="8">
        <v>43902.670335648145</v>
      </c>
      <c r="B5371" s="8" t="str">
        <f>HYPERLINK("https://twitter.com/nitu2468","@nitu2468")</f>
        <v>@nitu2468</v>
      </c>
      <c r="C5371" s="8" t="s">
        <v>1195</v>
      </c>
      <c r="D5371" s="8">
        <v>467</v>
      </c>
      <c r="E5371" s="8">
        <v>0</v>
      </c>
      <c r="F5371" s="8">
        <v>418</v>
      </c>
    </row>
    <row r="5372" spans="1:6" ht="12.75">
      <c r="A5372" s="8">
        <v>43902.670312499999</v>
      </c>
      <c r="B5372" s="8" t="str">
        <f>HYPERLINK("https://twitter.com/Gaurav512eee","@Gaurav512eee")</f>
        <v>@Gaurav512eee</v>
      </c>
      <c r="C5372" s="8" t="s">
        <v>1808</v>
      </c>
      <c r="D5372" s="8">
        <v>856</v>
      </c>
      <c r="E5372" s="8">
        <v>0</v>
      </c>
      <c r="F5372" s="8">
        <v>325</v>
      </c>
    </row>
    <row r="5373" spans="1:6" ht="12.75">
      <c r="A5373" s="8">
        <v>43902.670266203699</v>
      </c>
      <c r="B5373" s="8" t="str">
        <f>HYPERLINK("https://twitter.com/Rahul_Aaryan","@Rahul_Aaryan")</f>
        <v>@Rahul_Aaryan</v>
      </c>
      <c r="C5373" s="8" t="s">
        <v>1195</v>
      </c>
      <c r="D5373" s="8">
        <v>467</v>
      </c>
      <c r="E5373" s="8">
        <v>0</v>
      </c>
      <c r="F5373" s="8">
        <v>144</v>
      </c>
    </row>
    <row r="5374" spans="1:6" ht="12.75">
      <c r="A5374" s="8">
        <v>43902.670219907406</v>
      </c>
      <c r="B5374" s="8" t="str">
        <f>HYPERLINK("https://twitter.com/Gaurav512eee","@Gaurav512eee")</f>
        <v>@Gaurav512eee</v>
      </c>
      <c r="C5374" s="8" t="s">
        <v>1195</v>
      </c>
      <c r="D5374" s="8">
        <v>467</v>
      </c>
      <c r="E5374" s="8">
        <v>0</v>
      </c>
      <c r="F5374" s="8">
        <v>325</v>
      </c>
    </row>
    <row r="5375" spans="1:6" ht="12.75">
      <c r="A5375" s="8">
        <v>43902.67019675926</v>
      </c>
      <c r="B5375" s="8" t="str">
        <f>HYPERLINK("https://twitter.com/sharmaakash17","@sharmaakash17")</f>
        <v>@sharmaakash17</v>
      </c>
      <c r="C5375" s="8" t="s">
        <v>1195</v>
      </c>
      <c r="D5375" s="8">
        <v>467</v>
      </c>
      <c r="E5375" s="8">
        <v>0</v>
      </c>
      <c r="F5375" s="8">
        <v>415</v>
      </c>
    </row>
    <row r="5376" spans="1:6" ht="12.75">
      <c r="A5376" s="8">
        <v>43902.670185185183</v>
      </c>
      <c r="B5376" s="8" t="str">
        <f>HYPERLINK("https://twitter.com/MyNameisSVS","@MyNameisSVS")</f>
        <v>@MyNameisSVS</v>
      </c>
      <c r="C5376" s="8" t="s">
        <v>1195</v>
      </c>
      <c r="D5376" s="8">
        <v>467</v>
      </c>
      <c r="E5376" s="8">
        <v>0</v>
      </c>
      <c r="F5376" s="8">
        <v>102</v>
      </c>
    </row>
    <row r="5377" spans="1:6" ht="12.75">
      <c r="A5377" s="8">
        <v>43902.670138888891</v>
      </c>
      <c r="B5377" s="8" t="str">
        <f>HYPERLINK("https://twitter.com/mahi3744","@mahi3744")</f>
        <v>@mahi3744</v>
      </c>
      <c r="C5377" s="8" t="s">
        <v>1195</v>
      </c>
      <c r="D5377" s="8">
        <v>467</v>
      </c>
      <c r="E5377" s="8">
        <v>0</v>
      </c>
      <c r="F5377" s="8">
        <v>331</v>
      </c>
    </row>
    <row r="5378" spans="1:6" ht="12.75">
      <c r="A5378" s="8">
        <v>43902.670138888891</v>
      </c>
      <c r="B5378" s="8" t="str">
        <f>HYPERLINK("https://twitter.com/Ram33Jai","@Ram33Jai")</f>
        <v>@Ram33Jai</v>
      </c>
      <c r="C5378" s="8" t="s">
        <v>1195</v>
      </c>
      <c r="D5378" s="8">
        <v>467</v>
      </c>
      <c r="E5378" s="8">
        <v>0</v>
      </c>
      <c r="F5378" s="8">
        <v>1784</v>
      </c>
    </row>
    <row r="5379" spans="1:6" ht="12.75">
      <c r="A5379" s="8">
        <v>43902.670069444444</v>
      </c>
      <c r="B5379" s="8" t="str">
        <f>HYPERLINK("https://twitter.com/heintje_han","@heintje_han")</f>
        <v>@heintje_han</v>
      </c>
      <c r="C5379" s="8" t="s">
        <v>1030</v>
      </c>
      <c r="D5379" s="8">
        <v>89</v>
      </c>
      <c r="E5379" s="8">
        <v>0</v>
      </c>
      <c r="F5379" s="8">
        <v>248</v>
      </c>
    </row>
    <row r="5380" spans="1:6" ht="12.75">
      <c r="A5380" s="8">
        <v>43902.670034722221</v>
      </c>
      <c r="B5380" s="8" t="str">
        <f>HYPERLINK("https://twitter.com/the_aakash","@the_aakash")</f>
        <v>@the_aakash</v>
      </c>
      <c r="C5380" s="8" t="s">
        <v>1195</v>
      </c>
      <c r="D5380" s="8">
        <v>467</v>
      </c>
      <c r="E5380" s="8">
        <v>0</v>
      </c>
      <c r="F5380" s="8">
        <v>1365</v>
      </c>
    </row>
    <row r="5381" spans="1:6" ht="12.75">
      <c r="A5381" s="8">
        <v>43902.669722222221</v>
      </c>
      <c r="B5381" s="8" t="str">
        <f>HYPERLINK("https://twitter.com/chandirakumarn","@chandirakumarn")</f>
        <v>@chandirakumarn</v>
      </c>
      <c r="C5381" s="8" t="s">
        <v>1195</v>
      </c>
      <c r="D5381" s="8">
        <v>467</v>
      </c>
      <c r="E5381" s="8">
        <v>0</v>
      </c>
      <c r="F5381" s="8">
        <v>26</v>
      </c>
    </row>
    <row r="5382" spans="1:6" ht="12.75">
      <c r="A5382" s="8">
        <v>43902.669687500005</v>
      </c>
      <c r="B5382" s="8" t="str">
        <f>HYPERLINK("https://twitter.com/namirayasqi_","@namirayasqi_")</f>
        <v>@namirayasqi_</v>
      </c>
      <c r="C5382" s="8" t="s">
        <v>1030</v>
      </c>
      <c r="D5382" s="8">
        <v>89</v>
      </c>
      <c r="E5382" s="8">
        <v>0</v>
      </c>
      <c r="F5382" s="8">
        <v>43</v>
      </c>
    </row>
    <row r="5383" spans="1:6" ht="12.75">
      <c r="A5383" s="8">
        <v>43902.669652777782</v>
      </c>
      <c r="B5383" s="8" t="str">
        <f>HYPERLINK("https://twitter.com/aptchr","@aptchr")</f>
        <v>@aptchr</v>
      </c>
      <c r="C5383" s="8" t="s">
        <v>1195</v>
      </c>
      <c r="D5383" s="8">
        <v>467</v>
      </c>
      <c r="E5383" s="8">
        <v>0</v>
      </c>
      <c r="F5383" s="8">
        <v>99</v>
      </c>
    </row>
    <row r="5384" spans="1:6" ht="12.75">
      <c r="A5384" s="8">
        <v>43902.669537037036</v>
      </c>
      <c r="B5384" s="8" t="str">
        <f>HYPERLINK("https://twitter.com/Rishi_Muni_","@Rishi_Muni_")</f>
        <v>@Rishi_Muni_</v>
      </c>
      <c r="C5384" s="8" t="s">
        <v>1195</v>
      </c>
      <c r="D5384" s="8">
        <v>467</v>
      </c>
      <c r="E5384" s="8">
        <v>0</v>
      </c>
      <c r="F5384" s="8">
        <v>188</v>
      </c>
    </row>
    <row r="5385" spans="1:6" ht="12.75">
      <c r="A5385" s="8">
        <v>43902.669502314813</v>
      </c>
      <c r="B5385" s="8" t="str">
        <f>HYPERLINK("https://twitter.com/denadesinta","@denadesinta")</f>
        <v>@denadesinta</v>
      </c>
      <c r="C5385" s="8" t="s">
        <v>2574</v>
      </c>
      <c r="D5385" s="8">
        <v>0</v>
      </c>
      <c r="E5385" s="8">
        <v>0</v>
      </c>
      <c r="F5385" s="8">
        <v>1</v>
      </c>
    </row>
    <row r="5386" spans="1:6" ht="12.75">
      <c r="A5386" s="8">
        <v>43902.669467592597</v>
      </c>
      <c r="B5386" s="8" t="str">
        <f>HYPERLINK("https://twitter.com/shamboo_shiv","@shamboo_shiv")</f>
        <v>@shamboo_shiv</v>
      </c>
      <c r="C5386" s="8" t="s">
        <v>1195</v>
      </c>
      <c r="D5386" s="8">
        <v>467</v>
      </c>
      <c r="E5386" s="8">
        <v>0</v>
      </c>
      <c r="F5386" s="8">
        <v>23</v>
      </c>
    </row>
    <row r="5387" spans="1:6" ht="12.75">
      <c r="A5387" s="8">
        <v>43902.669444444444</v>
      </c>
      <c r="B5387" s="8" t="str">
        <f>HYPERLINK("https://twitter.com/cilliasiregar","@cilliasiregar")</f>
        <v>@cilliasiregar</v>
      </c>
      <c r="C5387" s="8" t="s">
        <v>2575</v>
      </c>
      <c r="D5387" s="8">
        <v>0</v>
      </c>
      <c r="E5387" s="8">
        <v>0</v>
      </c>
      <c r="F5387" s="8">
        <v>6</v>
      </c>
    </row>
    <row r="5388" spans="1:6" ht="12.75">
      <c r="A5388" s="8">
        <v>43902.669351851851</v>
      </c>
      <c r="B5388" s="8" t="str">
        <f>HYPERLINK("https://twitter.com/bshail4","@bshail4")</f>
        <v>@bshail4</v>
      </c>
      <c r="C5388" s="8" t="s">
        <v>1195</v>
      </c>
      <c r="D5388" s="8">
        <v>467</v>
      </c>
      <c r="E5388" s="8">
        <v>0</v>
      </c>
      <c r="F5388" s="8">
        <v>571</v>
      </c>
    </row>
    <row r="5389" spans="1:6" ht="12.75">
      <c r="A5389" s="8">
        <v>43902.669236111113</v>
      </c>
      <c r="B5389" s="8" t="str">
        <f>HYPERLINK("https://twitter.com/lakun_gaurav","@lakun_gaurav")</f>
        <v>@lakun_gaurav</v>
      </c>
      <c r="C5389" s="8" t="s">
        <v>1195</v>
      </c>
      <c r="D5389" s="8">
        <v>467</v>
      </c>
      <c r="E5389" s="8">
        <v>0</v>
      </c>
      <c r="F5389" s="8">
        <v>252</v>
      </c>
    </row>
    <row r="5390" spans="1:6" ht="12.75">
      <c r="A5390" s="8">
        <v>43902.669236111113</v>
      </c>
      <c r="B5390" s="8" t="str">
        <f>HYPERLINK("https://twitter.com/khuspe_mangesh","@khuspe_mangesh")</f>
        <v>@khuspe_mangesh</v>
      </c>
      <c r="C5390" s="8" t="s">
        <v>1195</v>
      </c>
      <c r="D5390" s="8">
        <v>467</v>
      </c>
      <c r="E5390" s="8">
        <v>0</v>
      </c>
      <c r="F5390" s="8">
        <v>151</v>
      </c>
    </row>
    <row r="5391" spans="1:6" ht="12.75">
      <c r="A5391" s="8">
        <v>43902.66909722222</v>
      </c>
      <c r="B5391" s="8" t="str">
        <f>HYPERLINK("https://twitter.com/BusKarYede","@BusKarYede")</f>
        <v>@BusKarYede</v>
      </c>
      <c r="C5391" s="8" t="s">
        <v>1195</v>
      </c>
      <c r="D5391" s="8">
        <v>467</v>
      </c>
      <c r="E5391" s="8">
        <v>0</v>
      </c>
      <c r="F5391" s="8">
        <v>178</v>
      </c>
    </row>
    <row r="5392" spans="1:6" ht="12.75">
      <c r="A5392" s="8">
        <v>43902.668969907405</v>
      </c>
      <c r="B5392" s="8" t="str">
        <f>HYPERLINK("https://twitter.com/Alokagr65430140","@Alokagr65430140")</f>
        <v>@Alokagr65430140</v>
      </c>
      <c r="C5392" s="8" t="s">
        <v>1195</v>
      </c>
      <c r="D5392" s="8">
        <v>467</v>
      </c>
      <c r="E5392" s="8">
        <v>0</v>
      </c>
      <c r="F5392" s="8">
        <v>377</v>
      </c>
    </row>
    <row r="5393" spans="1:6" ht="12.75">
      <c r="A5393" s="8">
        <v>43902.668923611112</v>
      </c>
      <c r="B5393" s="8" t="str">
        <f>HYPERLINK("https://twitter.com/mld_maul","@mld_maul")</f>
        <v>@mld_maul</v>
      </c>
      <c r="C5393" s="8" t="s">
        <v>1030</v>
      </c>
      <c r="D5393" s="8">
        <v>89</v>
      </c>
      <c r="E5393" s="8">
        <v>0</v>
      </c>
      <c r="F5393" s="8">
        <v>271</v>
      </c>
    </row>
    <row r="5394" spans="1:6" ht="12.75">
      <c r="A5394" s="8">
        <v>43902.668888888889</v>
      </c>
      <c r="B5394" s="8" t="str">
        <f>HYPERLINK("https://twitter.com/srividyak85","@srividyak85")</f>
        <v>@srividyak85</v>
      </c>
      <c r="C5394" s="8" t="s">
        <v>1195</v>
      </c>
      <c r="D5394" s="8">
        <v>467</v>
      </c>
      <c r="E5394" s="8">
        <v>0</v>
      </c>
      <c r="F5394" s="8">
        <v>628</v>
      </c>
    </row>
    <row r="5395" spans="1:6" ht="12.75">
      <c r="A5395" s="8">
        <v>43902.668865740736</v>
      </c>
      <c r="B5395" s="8" t="str">
        <f t="shared" ref="B5395:B5396" si="101">HYPERLINK("https://twitter.com/utsavadhikari22","@utsavadhikari22")</f>
        <v>@utsavadhikari22</v>
      </c>
      <c r="C5395" s="8" t="s">
        <v>1957</v>
      </c>
      <c r="D5395" s="8">
        <v>1511</v>
      </c>
      <c r="E5395" s="8">
        <v>0</v>
      </c>
      <c r="F5395" s="8">
        <v>475</v>
      </c>
    </row>
    <row r="5396" spans="1:6" ht="12.75">
      <c r="A5396" s="8">
        <v>43902.66883101852</v>
      </c>
      <c r="B5396" s="8" t="str">
        <f t="shared" si="101"/>
        <v>@utsavadhikari22</v>
      </c>
      <c r="C5396" s="8" t="s">
        <v>1808</v>
      </c>
      <c r="D5396" s="8">
        <v>856</v>
      </c>
      <c r="E5396" s="8">
        <v>0</v>
      </c>
      <c r="F5396" s="8">
        <v>475</v>
      </c>
    </row>
    <row r="5397" spans="1:6" ht="12.75">
      <c r="A5397" s="8">
        <v>43902.668819444443</v>
      </c>
      <c r="B5397" s="8" t="str">
        <f>HYPERLINK("https://twitter.com/Jaga_indonesia1","@Jaga_indonesia1")</f>
        <v>@Jaga_indonesia1</v>
      </c>
      <c r="C5397" s="8" t="s">
        <v>2576</v>
      </c>
      <c r="D5397" s="8">
        <v>0</v>
      </c>
      <c r="E5397" s="8">
        <v>1</v>
      </c>
      <c r="F5397" s="8">
        <v>740</v>
      </c>
    </row>
    <row r="5398" spans="1:6" ht="12.75">
      <c r="A5398" s="8">
        <v>43902.668773148151</v>
      </c>
      <c r="B5398" s="8" t="str">
        <f>HYPERLINK("https://twitter.com/ree_salokhe","@ree_salokhe")</f>
        <v>@ree_salokhe</v>
      </c>
      <c r="C5398" s="8" t="s">
        <v>1195</v>
      </c>
      <c r="D5398" s="8">
        <v>467</v>
      </c>
      <c r="E5398" s="8">
        <v>0</v>
      </c>
      <c r="F5398" s="8">
        <v>489</v>
      </c>
    </row>
    <row r="5399" spans="1:6" ht="12.75">
      <c r="A5399" s="8">
        <v>43902.668773148151</v>
      </c>
      <c r="B5399" s="8" t="str">
        <f>HYPERLINK("https://twitter.com/utsavadhikari22","@utsavadhikari22")</f>
        <v>@utsavadhikari22</v>
      </c>
      <c r="C5399" s="8" t="s">
        <v>1195</v>
      </c>
      <c r="D5399" s="8">
        <v>467</v>
      </c>
      <c r="E5399" s="8">
        <v>0</v>
      </c>
      <c r="F5399" s="8">
        <v>475</v>
      </c>
    </row>
    <row r="5400" spans="1:6" ht="12.75">
      <c r="A5400" s="8">
        <v>43902.668749999997</v>
      </c>
      <c r="B5400" s="8" t="str">
        <f>HYPERLINK("https://twitter.com/shenoy_hemanth","@shenoy_hemanth")</f>
        <v>@shenoy_hemanth</v>
      </c>
      <c r="C5400" s="8" t="s">
        <v>1195</v>
      </c>
      <c r="D5400" s="8">
        <v>467</v>
      </c>
      <c r="E5400" s="8">
        <v>0</v>
      </c>
      <c r="F5400" s="8">
        <v>175</v>
      </c>
    </row>
    <row r="5401" spans="1:6" ht="12.75">
      <c r="A5401" s="8">
        <v>43902.668738425928</v>
      </c>
      <c r="B5401" s="8" t="str">
        <f>HYPERLINK("https://twitter.com/Rsupmanyu","@Rsupmanyu")</f>
        <v>@Rsupmanyu</v>
      </c>
      <c r="C5401" s="8" t="s">
        <v>1195</v>
      </c>
      <c r="D5401" s="8">
        <v>467</v>
      </c>
      <c r="E5401" s="8">
        <v>0</v>
      </c>
      <c r="F5401" s="8">
        <v>404</v>
      </c>
    </row>
    <row r="5402" spans="1:6" ht="12.75">
      <c r="A5402" s="8">
        <v>43902.668692129635</v>
      </c>
      <c r="B5402" s="8" t="str">
        <f>HYPERLINK("https://twitter.com/Pranavsinh9","@Pranavsinh9")</f>
        <v>@Pranavsinh9</v>
      </c>
      <c r="C5402" s="8" t="s">
        <v>1195</v>
      </c>
      <c r="D5402" s="8">
        <v>467</v>
      </c>
      <c r="E5402" s="8">
        <v>0</v>
      </c>
      <c r="F5402" s="8">
        <v>142</v>
      </c>
    </row>
    <row r="5403" spans="1:6" ht="12.75">
      <c r="A5403" s="8">
        <v>43902.668634259258</v>
      </c>
      <c r="B5403" s="8" t="str">
        <f>HYPERLINK("https://twitter.com/mehrotra_sahab","@mehrotra_sahab")</f>
        <v>@mehrotra_sahab</v>
      </c>
      <c r="C5403" s="8" t="s">
        <v>1195</v>
      </c>
      <c r="D5403" s="8">
        <v>467</v>
      </c>
      <c r="E5403" s="8">
        <v>0</v>
      </c>
      <c r="F5403" s="8">
        <v>366</v>
      </c>
    </row>
    <row r="5404" spans="1:6" ht="12.75">
      <c r="A5404" s="8">
        <v>43902.668576388889</v>
      </c>
      <c r="B5404" s="8" t="str">
        <f>HYPERLINK("https://twitter.com/MunnaRanjan3","@MunnaRanjan3")</f>
        <v>@MunnaRanjan3</v>
      </c>
      <c r="C5404" s="8" t="s">
        <v>1195</v>
      </c>
      <c r="D5404" s="8">
        <v>467</v>
      </c>
      <c r="E5404" s="8">
        <v>0</v>
      </c>
      <c r="F5404" s="8">
        <v>330</v>
      </c>
    </row>
    <row r="5405" spans="1:6" ht="12.75">
      <c r="A5405" s="8">
        <v>43902.668506944443</v>
      </c>
      <c r="B5405" s="8" t="str">
        <f>HYPERLINK("https://twitter.com/BillTemporo","@BillTemporo")</f>
        <v>@BillTemporo</v>
      </c>
      <c r="C5405" s="8" t="s">
        <v>355</v>
      </c>
      <c r="D5405" s="8">
        <v>0</v>
      </c>
      <c r="E5405" s="8">
        <v>0</v>
      </c>
      <c r="F5405" s="8">
        <v>11</v>
      </c>
    </row>
    <row r="5406" spans="1:6" ht="12.75">
      <c r="A5406" s="8">
        <v>43902.668495370366</v>
      </c>
      <c r="B5406" s="8" t="str">
        <f>HYPERLINK("https://twitter.com/RISHABHsingh5_3","@RISHABHsingh5_3")</f>
        <v>@RISHABHsingh5_3</v>
      </c>
      <c r="C5406" s="8" t="s">
        <v>1195</v>
      </c>
      <c r="D5406" s="8">
        <v>467</v>
      </c>
      <c r="E5406" s="8">
        <v>0</v>
      </c>
      <c r="F5406" s="8">
        <v>121</v>
      </c>
    </row>
    <row r="5407" spans="1:6" ht="12.75">
      <c r="A5407" s="8">
        <v>43902.668483796297</v>
      </c>
      <c r="B5407" s="8" t="str">
        <f>HYPERLINK("https://twitter.com/paidanchor","@paidanchor")</f>
        <v>@paidanchor</v>
      </c>
      <c r="C5407" s="8" t="s">
        <v>1195</v>
      </c>
      <c r="D5407" s="8">
        <v>467</v>
      </c>
      <c r="E5407" s="8">
        <v>0</v>
      </c>
      <c r="F5407" s="8">
        <v>217</v>
      </c>
    </row>
    <row r="5408" spans="1:6" ht="12.75">
      <c r="A5408" s="8">
        <v>43902.668472222227</v>
      </c>
      <c r="B5408" s="8" t="str">
        <f>HYPERLINK("https://twitter.com/umaremania87","@umaremania87")</f>
        <v>@umaremania87</v>
      </c>
      <c r="C5408" s="8" t="s">
        <v>1643</v>
      </c>
      <c r="D5408" s="8">
        <v>100</v>
      </c>
      <c r="E5408" s="8">
        <v>0</v>
      </c>
      <c r="F5408" s="8">
        <v>313</v>
      </c>
    </row>
    <row r="5409" spans="1:6" ht="12.75">
      <c r="A5409" s="8">
        <v>43902.668275462958</v>
      </c>
      <c r="B5409" s="8" t="str">
        <f>HYPERLINK("https://twitter.com/psandal20074","@psandal20074")</f>
        <v>@psandal20074</v>
      </c>
      <c r="C5409" s="8" t="s">
        <v>1195</v>
      </c>
      <c r="D5409" s="8">
        <v>467</v>
      </c>
      <c r="E5409" s="8">
        <v>0</v>
      </c>
      <c r="F5409" s="8">
        <v>275</v>
      </c>
    </row>
    <row r="5410" spans="1:6" ht="12.75">
      <c r="A5410" s="8">
        <v>43902.668252314819</v>
      </c>
      <c r="B5410" s="8" t="str">
        <f>HYPERLINK("https://twitter.com/LoKarlooBaaat","@LoKarlooBaaat")</f>
        <v>@LoKarlooBaaat</v>
      </c>
      <c r="C5410" s="8" t="s">
        <v>1195</v>
      </c>
      <c r="D5410" s="8">
        <v>467</v>
      </c>
      <c r="E5410" s="8">
        <v>0</v>
      </c>
      <c r="F5410" s="8">
        <v>55</v>
      </c>
    </row>
    <row r="5411" spans="1:6" ht="12.75">
      <c r="A5411" s="8">
        <v>43902.668124999997</v>
      </c>
      <c r="B5411" s="8" t="str">
        <f>HYPERLINK("https://twitter.com/Molu_Golu_","@Molu_Golu_")</f>
        <v>@Molu_Golu_</v>
      </c>
      <c r="C5411" s="8" t="s">
        <v>1195</v>
      </c>
      <c r="D5411" s="8">
        <v>467</v>
      </c>
      <c r="E5411" s="8">
        <v>0</v>
      </c>
      <c r="F5411" s="8">
        <v>126</v>
      </c>
    </row>
    <row r="5412" spans="1:6" ht="12.75">
      <c r="A5412" s="8">
        <v>43902.668124999997</v>
      </c>
      <c r="B5412" s="8" t="str">
        <f>HYPERLINK("https://twitter.com/GourabMondalSun","@GourabMondalSun")</f>
        <v>@GourabMondalSun</v>
      </c>
      <c r="C5412" s="8" t="s">
        <v>1195</v>
      </c>
      <c r="D5412" s="8">
        <v>467</v>
      </c>
      <c r="E5412" s="8">
        <v>0</v>
      </c>
      <c r="F5412" s="8">
        <v>1679</v>
      </c>
    </row>
    <row r="5413" spans="1:6" ht="12.75">
      <c r="A5413" s="8">
        <v>43902.66805555555</v>
      </c>
      <c r="B5413" s="8" t="str">
        <f>HYPERLINK("https://twitter.com/CobraIridium","@CobraIridium")</f>
        <v>@CobraIridium</v>
      </c>
      <c r="C5413" s="8" t="s">
        <v>1195</v>
      </c>
      <c r="D5413" s="8">
        <v>467</v>
      </c>
      <c r="E5413" s="8">
        <v>0</v>
      </c>
      <c r="F5413" s="8">
        <v>681</v>
      </c>
    </row>
    <row r="5414" spans="1:6" ht="12.75">
      <c r="A5414" s="8">
        <v>43902.668020833335</v>
      </c>
      <c r="B5414" s="8" t="str">
        <f>HYPERLINK("https://twitter.com/ISIS_Balik_NO","@ISIS_Balik_NO")</f>
        <v>@ISIS_Balik_NO</v>
      </c>
      <c r="C5414" s="8" t="s">
        <v>2577</v>
      </c>
      <c r="D5414" s="8">
        <v>3</v>
      </c>
      <c r="E5414" s="8">
        <v>0</v>
      </c>
      <c r="F5414" s="8">
        <v>6237</v>
      </c>
    </row>
    <row r="5415" spans="1:6" ht="12.75">
      <c r="A5415" s="8">
        <v>43902.667974537035</v>
      </c>
      <c r="B5415" s="8" t="str">
        <f>HYPERLINK("https://twitter.com/amitsingh0901","@amitsingh0901")</f>
        <v>@amitsingh0901</v>
      </c>
      <c r="C5415" s="8" t="s">
        <v>1195</v>
      </c>
      <c r="D5415" s="8">
        <v>467</v>
      </c>
      <c r="E5415" s="8">
        <v>0</v>
      </c>
      <c r="F5415" s="8">
        <v>166</v>
      </c>
    </row>
    <row r="5416" spans="1:6" ht="12.75">
      <c r="A5416" s="8">
        <v>43902.667939814812</v>
      </c>
      <c r="B5416" s="8" t="str">
        <f>HYPERLINK("https://twitter.com/GourabMondalSun","@GourabMondalSun")</f>
        <v>@GourabMondalSun</v>
      </c>
      <c r="C5416" s="8" t="s">
        <v>1808</v>
      </c>
      <c r="D5416" s="8">
        <v>856</v>
      </c>
      <c r="E5416" s="8">
        <v>0</v>
      </c>
      <c r="F5416" s="8">
        <v>1679</v>
      </c>
    </row>
    <row r="5417" spans="1:6" ht="12.75">
      <c r="A5417" s="8">
        <v>43902.667847222227</v>
      </c>
      <c r="B5417" s="8" t="str">
        <f>HYPERLINK("https://twitter.com/JaiHind3012","@JaiHind3012")</f>
        <v>@JaiHind3012</v>
      </c>
      <c r="C5417" s="8" t="s">
        <v>1195</v>
      </c>
      <c r="D5417" s="8">
        <v>467</v>
      </c>
      <c r="E5417" s="8">
        <v>0</v>
      </c>
      <c r="F5417" s="8">
        <v>1161</v>
      </c>
    </row>
    <row r="5418" spans="1:6" ht="12.75">
      <c r="A5418" s="8">
        <v>43902.667847222227</v>
      </c>
      <c r="B5418" s="8" t="str">
        <f>HYPERLINK("https://twitter.com/GourabMondalSun","@GourabMondalSun")</f>
        <v>@GourabMondalSun</v>
      </c>
      <c r="C5418" s="8" t="s">
        <v>1957</v>
      </c>
      <c r="D5418" s="8">
        <v>1511</v>
      </c>
      <c r="E5418" s="8">
        <v>0</v>
      </c>
      <c r="F5418" s="8">
        <v>1679</v>
      </c>
    </row>
    <row r="5419" spans="1:6" ht="12.75">
      <c r="A5419" s="8">
        <v>43902.667766203704</v>
      </c>
      <c r="B5419" s="8" t="str">
        <f>HYPERLINK("https://twitter.com/HimanAgarwal","@HimanAgarwal")</f>
        <v>@HimanAgarwal</v>
      </c>
      <c r="C5419" s="8" t="s">
        <v>1195</v>
      </c>
      <c r="D5419" s="8">
        <v>467</v>
      </c>
      <c r="E5419" s="8">
        <v>0</v>
      </c>
      <c r="F5419" s="8">
        <v>113</v>
      </c>
    </row>
    <row r="5420" spans="1:6" ht="12.75">
      <c r="A5420" s="8">
        <v>43902.667754629627</v>
      </c>
      <c r="B5420" s="8" t="str">
        <f>HYPERLINK("https://twitter.com/hedwigdhana","@hedwigdhana")</f>
        <v>@hedwigdhana</v>
      </c>
      <c r="C5420" s="8" t="s">
        <v>1030</v>
      </c>
      <c r="D5420" s="8">
        <v>89</v>
      </c>
      <c r="E5420" s="8">
        <v>0</v>
      </c>
      <c r="F5420" s="8">
        <v>488</v>
      </c>
    </row>
    <row r="5421" spans="1:6" ht="12.75">
      <c r="A5421" s="8">
        <v>43902.667743055557</v>
      </c>
      <c r="B5421" s="8" t="str">
        <f>HYPERLINK("https://twitter.com/SPJ1810","@SPJ1810")</f>
        <v>@SPJ1810</v>
      </c>
      <c r="C5421" s="8" t="s">
        <v>1195</v>
      </c>
      <c r="D5421" s="8">
        <v>467</v>
      </c>
      <c r="E5421" s="8">
        <v>0</v>
      </c>
      <c r="F5421" s="8">
        <v>149</v>
      </c>
    </row>
    <row r="5422" spans="1:6" ht="12.75">
      <c r="A5422" s="8">
        <v>43902.667743055557</v>
      </c>
      <c r="B5422" s="8" t="str">
        <f>HYPERLINK("https://twitter.com/TokUrang","@TokUrang")</f>
        <v>@TokUrang</v>
      </c>
      <c r="C5422" s="8" t="s">
        <v>165</v>
      </c>
      <c r="D5422" s="8">
        <v>95</v>
      </c>
      <c r="E5422" s="8">
        <v>0</v>
      </c>
      <c r="F5422" s="8">
        <v>2198</v>
      </c>
    </row>
    <row r="5423" spans="1:6" ht="12.75">
      <c r="A5423" s="8">
        <v>43902.667453703703</v>
      </c>
      <c r="B5423" s="8" t="str">
        <f>HYPERLINK("https://twitter.com/jayanta0003","@jayanta0003")</f>
        <v>@jayanta0003</v>
      </c>
      <c r="C5423" s="8" t="s">
        <v>1195</v>
      </c>
      <c r="D5423" s="8">
        <v>467</v>
      </c>
      <c r="E5423" s="8">
        <v>0</v>
      </c>
      <c r="F5423" s="8">
        <v>242</v>
      </c>
    </row>
    <row r="5424" spans="1:6" ht="12.75">
      <c r="A5424" s="8">
        <v>43902.667395833334</v>
      </c>
      <c r="B5424" s="8" t="str">
        <f>HYPERLINK("https://twitter.com/AliLenon1","@AliLenon1")</f>
        <v>@AliLenon1</v>
      </c>
      <c r="C5424" s="8" t="s">
        <v>1758</v>
      </c>
      <c r="D5424" s="8">
        <v>15</v>
      </c>
      <c r="E5424" s="8">
        <v>0</v>
      </c>
      <c r="F5424" s="8">
        <v>1556</v>
      </c>
    </row>
    <row r="5425" spans="1:6" ht="12.75">
      <c r="A5425" s="8">
        <v>43902.667384259257</v>
      </c>
      <c r="B5425" s="8" t="str">
        <f>HYPERLINK("https://twitter.com/MRITUNJAY1977","@MRITUNJAY1977")</f>
        <v>@MRITUNJAY1977</v>
      </c>
      <c r="C5425" s="8" t="s">
        <v>1195</v>
      </c>
      <c r="D5425" s="8">
        <v>467</v>
      </c>
      <c r="E5425" s="8">
        <v>0</v>
      </c>
      <c r="F5425" s="8">
        <v>302</v>
      </c>
    </row>
    <row r="5426" spans="1:6" ht="12.75">
      <c r="A5426" s="8">
        <v>43902.667384259257</v>
      </c>
      <c r="B5426" s="8" t="str">
        <f>HYPERLINK("https://twitter.com/rajneesh_saini","@rajneesh_saini")</f>
        <v>@rajneesh_saini</v>
      </c>
      <c r="C5426" s="8" t="s">
        <v>1195</v>
      </c>
      <c r="D5426" s="8">
        <v>467</v>
      </c>
      <c r="E5426" s="8">
        <v>0</v>
      </c>
      <c r="F5426" s="8">
        <v>14211</v>
      </c>
    </row>
    <row r="5427" spans="1:6" ht="12.75">
      <c r="A5427" s="8">
        <v>43902.667326388888</v>
      </c>
      <c r="B5427" s="8" t="str">
        <f>HYPERLINK("https://twitter.com/RVgupta_11","@RVgupta_11")</f>
        <v>@RVgupta_11</v>
      </c>
      <c r="C5427" s="8" t="s">
        <v>1195</v>
      </c>
      <c r="D5427" s="8">
        <v>467</v>
      </c>
      <c r="E5427" s="8">
        <v>0</v>
      </c>
      <c r="F5427" s="8">
        <v>589</v>
      </c>
    </row>
    <row r="5428" spans="1:6" ht="12.75">
      <c r="A5428" s="8">
        <v>43902.667280092588</v>
      </c>
      <c r="B5428" s="8" t="str">
        <f>HYPERLINK("https://twitter.com/skiyer77","@skiyer77")</f>
        <v>@skiyer77</v>
      </c>
      <c r="C5428" s="8" t="s">
        <v>1195</v>
      </c>
      <c r="D5428" s="8">
        <v>467</v>
      </c>
      <c r="E5428" s="8">
        <v>0</v>
      </c>
      <c r="F5428" s="8">
        <v>190</v>
      </c>
    </row>
    <row r="5429" spans="1:6" ht="12.75">
      <c r="A5429" s="8">
        <v>43902.667222222226</v>
      </c>
      <c r="B5429" s="8" t="str">
        <f>HYPERLINK("https://twitter.com/BeingSunanda","@BeingSunanda")</f>
        <v>@BeingSunanda</v>
      </c>
      <c r="C5429" s="8" t="s">
        <v>1195</v>
      </c>
      <c r="D5429" s="8">
        <v>467</v>
      </c>
      <c r="E5429" s="8">
        <v>0</v>
      </c>
      <c r="F5429" s="8">
        <v>367</v>
      </c>
    </row>
    <row r="5430" spans="1:6" ht="12.75">
      <c r="A5430" s="8">
        <v>43902.631724537037</v>
      </c>
      <c r="B5430" s="8" t="str">
        <f>HYPERLINK("https://twitter.com/MAlexandriet","@MAlexandriet")</f>
        <v>@MAlexandriet</v>
      </c>
      <c r="C5430" s="8" t="s">
        <v>1643</v>
      </c>
      <c r="D5430" s="8">
        <v>95</v>
      </c>
      <c r="E5430" s="8">
        <v>0</v>
      </c>
      <c r="F5430" s="8">
        <v>208</v>
      </c>
    </row>
    <row r="5431" spans="1:6" ht="12.75">
      <c r="A5431" s="8">
        <v>43902.631585648152</v>
      </c>
      <c r="B5431" s="8" t="str">
        <f>HYPERLINK("https://twitter.com/ghazyalfarras","@ghazyalfarras")</f>
        <v>@ghazyalfarras</v>
      </c>
      <c r="C5431" s="8" t="s">
        <v>1030</v>
      </c>
      <c r="D5431" s="8">
        <v>33</v>
      </c>
      <c r="E5431" s="8">
        <v>0</v>
      </c>
      <c r="F5431" s="8">
        <v>3962</v>
      </c>
    </row>
    <row r="5432" spans="1:6" ht="12.75">
      <c r="A5432" s="8">
        <v>43902.631435185191</v>
      </c>
      <c r="B5432" s="8" t="str">
        <f>HYPERLINK("https://twitter.com/publicanews","@publicanews")</f>
        <v>@publicanews</v>
      </c>
      <c r="C5432" s="8" t="s">
        <v>2578</v>
      </c>
      <c r="D5432" s="8">
        <v>0</v>
      </c>
      <c r="E5432" s="8">
        <v>0</v>
      </c>
      <c r="F5432" s="8">
        <v>158</v>
      </c>
    </row>
    <row r="5433" spans="1:6" ht="12.75">
      <c r="A5433" s="8">
        <v>43902.631365740745</v>
      </c>
      <c r="B5433" s="8" t="str">
        <f>HYPERLINK("https://twitter.com/wijaya_48","@wijaya_48")</f>
        <v>@wijaya_48</v>
      </c>
      <c r="C5433" s="8" t="s">
        <v>165</v>
      </c>
      <c r="D5433" s="8">
        <v>89</v>
      </c>
      <c r="E5433" s="8">
        <v>0</v>
      </c>
      <c r="F5433" s="8">
        <v>406</v>
      </c>
    </row>
    <row r="5434" spans="1:6" ht="12.75">
      <c r="A5434" s="8">
        <v>43902.631354166668</v>
      </c>
      <c r="B5434" s="8" t="str">
        <f>HYPERLINK("https://twitter.com/dabenone2","@dabenone2")</f>
        <v>@dabenone2</v>
      </c>
      <c r="C5434" s="8" t="s">
        <v>2579</v>
      </c>
      <c r="D5434" s="8">
        <v>2</v>
      </c>
      <c r="E5434" s="8">
        <v>0</v>
      </c>
      <c r="F5434" s="8">
        <v>85</v>
      </c>
    </row>
    <row r="5435" spans="1:6" ht="12.75">
      <c r="A5435" s="8">
        <v>43902.631006944444</v>
      </c>
      <c r="B5435" s="8" t="str">
        <f>HYPERLINK("https://twitter.com/aRdy_Network","@aRdy_Network")</f>
        <v>@aRdy_Network</v>
      </c>
      <c r="C5435" s="8" t="s">
        <v>2580</v>
      </c>
      <c r="D5435" s="8">
        <v>1</v>
      </c>
      <c r="E5435" s="8">
        <v>0</v>
      </c>
      <c r="F5435" s="8">
        <v>1887</v>
      </c>
    </row>
    <row r="5436" spans="1:6" ht="12.75">
      <c r="A5436" s="8">
        <v>43902.630520833336</v>
      </c>
      <c r="B5436" s="8" t="str">
        <f>HYPERLINK("https://twitter.com/ISIS_Balik_NO","@ISIS_Balik_NO")</f>
        <v>@ISIS_Balik_NO</v>
      </c>
      <c r="C5436" s="8" t="s">
        <v>2581</v>
      </c>
      <c r="D5436" s="8">
        <v>0</v>
      </c>
      <c r="E5436" s="8">
        <v>0</v>
      </c>
      <c r="F5436" s="8">
        <v>6236</v>
      </c>
    </row>
    <row r="5437" spans="1:6" ht="12.75">
      <c r="A5437" s="8">
        <v>43902.630486111113</v>
      </c>
      <c r="B5437" s="8" t="str">
        <f>HYPERLINK("https://twitter.com/ddyanawardhani","@ddyanawardhani")</f>
        <v>@ddyanawardhani</v>
      </c>
      <c r="C5437" s="8" t="s">
        <v>2582</v>
      </c>
      <c r="D5437" s="8">
        <v>1</v>
      </c>
      <c r="E5437" s="8">
        <v>0</v>
      </c>
      <c r="F5437" s="8">
        <v>651</v>
      </c>
    </row>
    <row r="5438" spans="1:6" ht="12.75">
      <c r="A5438" s="8">
        <v>43902.630289351851</v>
      </c>
      <c r="B5438" s="8" t="str">
        <f>HYPERLINK("https://twitter.com/uti_gorontalo","@uti_gorontalo")</f>
        <v>@uti_gorontalo</v>
      </c>
      <c r="C5438" s="8" t="s">
        <v>1030</v>
      </c>
      <c r="D5438" s="8">
        <v>33</v>
      </c>
      <c r="E5438" s="8">
        <v>0</v>
      </c>
      <c r="F5438" s="8">
        <v>519</v>
      </c>
    </row>
    <row r="5439" spans="1:6" ht="12.75">
      <c r="A5439" s="8">
        <v>43902.630231481482</v>
      </c>
      <c r="B5439" s="8" t="str">
        <f>HYPERLINK("https://twitter.com/Juno87X","@Juno87X")</f>
        <v>@Juno87X</v>
      </c>
      <c r="C5439" s="8" t="s">
        <v>2583</v>
      </c>
      <c r="D5439" s="8">
        <v>9</v>
      </c>
      <c r="E5439" s="8">
        <v>0</v>
      </c>
      <c r="F5439" s="8">
        <v>330</v>
      </c>
    </row>
    <row r="5440" spans="1:6" ht="12.75">
      <c r="A5440" s="8">
        <v>43902.630127314813</v>
      </c>
      <c r="B5440" s="8" t="str">
        <f>HYPERLINK("https://twitter.com/Sphyx32","@Sphyx32")</f>
        <v>@Sphyx32</v>
      </c>
      <c r="C5440" s="8" t="s">
        <v>1030</v>
      </c>
      <c r="D5440" s="8">
        <v>33</v>
      </c>
      <c r="E5440" s="8">
        <v>0</v>
      </c>
      <c r="F5440" s="8">
        <v>417</v>
      </c>
    </row>
    <row r="5441" spans="1:6" ht="12.75">
      <c r="A5441" s="8">
        <v>43902.630011574074</v>
      </c>
      <c r="B5441" s="8" t="str">
        <f>HYPERLINK("https://twitter.com/hgberry","@hgberry")</f>
        <v>@hgberry</v>
      </c>
      <c r="C5441" s="8" t="s">
        <v>1643</v>
      </c>
      <c r="D5441" s="8">
        <v>95</v>
      </c>
      <c r="E5441" s="8">
        <v>0</v>
      </c>
      <c r="F5441" s="8">
        <v>1659</v>
      </c>
    </row>
    <row r="5442" spans="1:6" ht="12.75">
      <c r="A5442" s="8">
        <v>43902.629849537036</v>
      </c>
      <c r="B5442" s="8" t="str">
        <f>HYPERLINK("https://twitter.com/RatnaDAstuti1","@RatnaDAstuti1")</f>
        <v>@RatnaDAstuti1</v>
      </c>
      <c r="C5442" s="8" t="s">
        <v>1030</v>
      </c>
      <c r="D5442" s="8">
        <v>33</v>
      </c>
      <c r="E5442" s="8">
        <v>0</v>
      </c>
      <c r="F5442" s="8">
        <v>33</v>
      </c>
    </row>
    <row r="5443" spans="1:6" ht="12.75">
      <c r="A5443" s="8">
        <v>43902.629803240736</v>
      </c>
      <c r="B5443" s="8" t="str">
        <f>HYPERLINK("https://twitter.com/TheLastDee_","@TheLastDee_")</f>
        <v>@TheLastDee_</v>
      </c>
      <c r="C5443" s="8" t="s">
        <v>1030</v>
      </c>
      <c r="D5443" s="8">
        <v>33</v>
      </c>
      <c r="E5443" s="8">
        <v>0</v>
      </c>
      <c r="F5443" s="8">
        <v>44</v>
      </c>
    </row>
    <row r="5444" spans="1:6" ht="12.75">
      <c r="A5444" s="8">
        <v>43902.629756944443</v>
      </c>
      <c r="B5444" s="8" t="str">
        <f>HYPERLINK("https://twitter.com/Davaalddo","@Davaalddo")</f>
        <v>@Davaalddo</v>
      </c>
      <c r="C5444" s="8" t="s">
        <v>1030</v>
      </c>
      <c r="D5444" s="8">
        <v>33</v>
      </c>
      <c r="E5444" s="8">
        <v>0</v>
      </c>
      <c r="F5444" s="8">
        <v>186</v>
      </c>
    </row>
    <row r="5445" spans="1:6" ht="12.75">
      <c r="A5445" s="8">
        <v>43902.629583333328</v>
      </c>
      <c r="B5445" s="8" t="str">
        <f>HYPERLINK("https://twitter.com/harakatuna","@harakatuna")</f>
        <v>@harakatuna</v>
      </c>
      <c r="C5445" s="8" t="s">
        <v>2584</v>
      </c>
      <c r="D5445" s="8">
        <v>0</v>
      </c>
      <c r="E5445" s="8">
        <v>0</v>
      </c>
      <c r="F5445" s="8">
        <v>424</v>
      </c>
    </row>
    <row r="5446" spans="1:6" ht="12.75">
      <c r="A5446" s="8">
        <v>43902.629513888889</v>
      </c>
      <c r="B5446" s="8" t="str">
        <f>HYPERLINK("https://twitter.com/aksikitaindo","@aksikitaindo")</f>
        <v>@aksikitaindo</v>
      </c>
      <c r="C5446" s="8" t="s">
        <v>1030</v>
      </c>
      <c r="D5446" s="8">
        <v>33</v>
      </c>
      <c r="E5446" s="8">
        <v>0</v>
      </c>
      <c r="F5446" s="8">
        <v>180</v>
      </c>
    </row>
    <row r="5447" spans="1:6" ht="12.75">
      <c r="A5447" s="8">
        <v>43902.629421296297</v>
      </c>
      <c r="B5447" s="8" t="str">
        <f>HYPERLINK("https://twitter.com/mediaindonesia","@mediaindonesia")</f>
        <v>@mediaindonesia</v>
      </c>
      <c r="C5447" s="8" t="s">
        <v>2585</v>
      </c>
      <c r="D5447" s="8">
        <v>2</v>
      </c>
      <c r="E5447" s="8">
        <v>1</v>
      </c>
      <c r="F5447" s="8">
        <v>1421062</v>
      </c>
    </row>
    <row r="5448" spans="1:6" ht="12.75">
      <c r="A5448" s="8">
        <v>43902.629224537042</v>
      </c>
      <c r="B5448" s="8" t="str">
        <f>HYPERLINK("https://twitter.com/xopch","@xopch")</f>
        <v>@xopch</v>
      </c>
      <c r="C5448" s="8" t="s">
        <v>2586</v>
      </c>
      <c r="D5448" s="8">
        <v>0</v>
      </c>
      <c r="E5448" s="8">
        <v>1</v>
      </c>
      <c r="F5448" s="8">
        <v>1281</v>
      </c>
    </row>
    <row r="5449" spans="1:6" ht="12.75">
      <c r="A5449" s="8">
        <v>43902.629212962958</v>
      </c>
      <c r="B5449" s="8" t="str">
        <f>HYPERLINK("https://twitter.com/ISIS_Balik_NO","@ISIS_Balik_NO")</f>
        <v>@ISIS_Balik_NO</v>
      </c>
      <c r="C5449" s="8" t="s">
        <v>2587</v>
      </c>
      <c r="D5449" s="8">
        <v>0</v>
      </c>
      <c r="E5449" s="8">
        <v>0</v>
      </c>
      <c r="F5449" s="8">
        <v>6236</v>
      </c>
    </row>
    <row r="5450" spans="1:6" ht="12.75">
      <c r="A5450" s="8">
        <v>43902.628958333335</v>
      </c>
      <c r="B5450" s="8" t="str">
        <f>HYPERLINK("https://twitter.com/trishaerina","@trishaerina")</f>
        <v>@trishaerina</v>
      </c>
      <c r="C5450" s="8" t="s">
        <v>1030</v>
      </c>
      <c r="D5450" s="8">
        <v>33</v>
      </c>
      <c r="E5450" s="8">
        <v>0</v>
      </c>
      <c r="F5450" s="8">
        <v>670</v>
      </c>
    </row>
    <row r="5451" spans="1:6" ht="12.75">
      <c r="A5451" s="8">
        <v>43902.628784722227</v>
      </c>
      <c r="B5451" s="8" t="str">
        <f>HYPERLINK("https://twitter.com/T_jail","@T_jail")</f>
        <v>@T_jail</v>
      </c>
      <c r="C5451" s="8" t="s">
        <v>1643</v>
      </c>
      <c r="D5451" s="8">
        <v>95</v>
      </c>
      <c r="E5451" s="8">
        <v>0</v>
      </c>
      <c r="F5451" s="8">
        <v>539</v>
      </c>
    </row>
    <row r="5452" spans="1:6" ht="12.75">
      <c r="A5452" s="8">
        <v>43902.628680555557</v>
      </c>
      <c r="B5452" s="8" t="str">
        <f>HYPERLINK("https://twitter.com/antaranews","@antaranews")</f>
        <v>@antaranews</v>
      </c>
      <c r="C5452" s="8" t="s">
        <v>2588</v>
      </c>
      <c r="D5452" s="8">
        <v>1</v>
      </c>
      <c r="E5452" s="8">
        <v>0</v>
      </c>
      <c r="F5452" s="8">
        <v>1107345</v>
      </c>
    </row>
    <row r="5453" spans="1:6" ht="12.75">
      <c r="A5453" s="8">
        <v>43902.628576388888</v>
      </c>
      <c r="B5453" s="8" t="str">
        <f>HYPERLINK("https://twitter.com/PajuangWiFi","@PajuangWiFi")</f>
        <v>@PajuangWiFi</v>
      </c>
      <c r="C5453" s="8" t="s">
        <v>2290</v>
      </c>
      <c r="D5453" s="8">
        <v>12</v>
      </c>
      <c r="E5453" s="8">
        <v>0</v>
      </c>
      <c r="F5453" s="8">
        <v>890</v>
      </c>
    </row>
    <row r="5454" spans="1:6" ht="12.75">
      <c r="A5454" s="8">
        <v>43902.628564814819</v>
      </c>
      <c r="B5454" s="8" t="str">
        <f>HYPERLINK("https://twitter.com/KuahSotoMie_","@KuahSotoMie_")</f>
        <v>@KuahSotoMie_</v>
      </c>
      <c r="C5454" s="8" t="s">
        <v>1030</v>
      </c>
      <c r="D5454" s="8">
        <v>33</v>
      </c>
      <c r="E5454" s="8">
        <v>0</v>
      </c>
      <c r="F5454" s="8">
        <v>53</v>
      </c>
    </row>
    <row r="5455" spans="1:6" ht="12.75">
      <c r="A5455" s="8">
        <v>43902.628518518519</v>
      </c>
      <c r="B5455" s="8" t="str">
        <f>HYPERLINK("https://twitter.com/otjmk_28","@otjmk_28")</f>
        <v>@otjmk_28</v>
      </c>
      <c r="C5455" s="8" t="s">
        <v>1030</v>
      </c>
      <c r="D5455" s="8">
        <v>33</v>
      </c>
      <c r="E5455" s="8">
        <v>0</v>
      </c>
      <c r="F5455" s="8">
        <v>462</v>
      </c>
    </row>
    <row r="5456" spans="1:6" ht="12.75">
      <c r="A5456" s="8">
        <v>43902.628449074073</v>
      </c>
      <c r="B5456" s="8" t="str">
        <f>HYPERLINK("https://twitter.com/Kasepakudaa","@Kasepakudaa")</f>
        <v>@Kasepakudaa</v>
      </c>
      <c r="C5456" s="8" t="s">
        <v>1030</v>
      </c>
      <c r="D5456" s="8">
        <v>33</v>
      </c>
      <c r="E5456" s="8">
        <v>0</v>
      </c>
      <c r="F5456" s="8">
        <v>932</v>
      </c>
    </row>
    <row r="5457" spans="1:6" ht="12.75">
      <c r="A5457" s="8">
        <v>43902.628344907411</v>
      </c>
      <c r="B5457" s="8" t="str">
        <f>HYPERLINK("https://twitter.com/alfionex","@alfionex")</f>
        <v>@alfionex</v>
      </c>
      <c r="C5457" s="8" t="s">
        <v>289</v>
      </c>
      <c r="D5457" s="8">
        <v>7</v>
      </c>
      <c r="E5457" s="8">
        <v>0</v>
      </c>
      <c r="F5457" s="8">
        <v>2583</v>
      </c>
    </row>
    <row r="5458" spans="1:6" ht="12.75">
      <c r="A5458" s="8">
        <v>43902.628333333334</v>
      </c>
      <c r="B5458" s="8" t="str">
        <f>HYPERLINK("https://twitter.com/ny_dkusnandar","@ny_dkusnandar")</f>
        <v>@ny_dkusnandar</v>
      </c>
      <c r="C5458" s="8" t="s">
        <v>2583</v>
      </c>
      <c r="D5458" s="8">
        <v>9</v>
      </c>
      <c r="E5458" s="8">
        <v>0</v>
      </c>
      <c r="F5458" s="8">
        <v>316</v>
      </c>
    </row>
    <row r="5459" spans="1:6" ht="12.75">
      <c r="A5459" s="8">
        <v>43902.628287037034</v>
      </c>
      <c r="B5459" s="8" t="str">
        <f>HYPERLINK("https://twitter.com/goldstar41","@goldstar41")</f>
        <v>@goldstar41</v>
      </c>
      <c r="C5459" s="8" t="s">
        <v>2589</v>
      </c>
      <c r="D5459" s="8">
        <v>3</v>
      </c>
      <c r="E5459" s="8">
        <v>0</v>
      </c>
      <c r="F5459" s="8">
        <v>2086</v>
      </c>
    </row>
    <row r="5460" spans="1:6" ht="12.75">
      <c r="A5460" s="8">
        <v>43902.628229166672</v>
      </c>
      <c r="B5460" s="8" t="str">
        <f>HYPERLINK("https://twitter.com/HarsusenoM","@HarsusenoM")</f>
        <v>@HarsusenoM</v>
      </c>
      <c r="C5460" s="8" t="s">
        <v>1030</v>
      </c>
      <c r="D5460" s="8">
        <v>33</v>
      </c>
      <c r="E5460" s="8">
        <v>0</v>
      </c>
      <c r="F5460" s="8">
        <v>255</v>
      </c>
    </row>
    <row r="5461" spans="1:6" ht="12.75">
      <c r="A5461" s="8">
        <v>43902.628182870365</v>
      </c>
      <c r="B5461" s="8" t="str">
        <f>HYPERLINK("https://twitter.com/ISIS_Balik_NO","@ISIS_Balik_NO")</f>
        <v>@ISIS_Balik_NO</v>
      </c>
      <c r="C5461" s="8" t="s">
        <v>2590</v>
      </c>
      <c r="D5461" s="8">
        <v>0</v>
      </c>
      <c r="E5461" s="8">
        <v>0</v>
      </c>
      <c r="F5461" s="8">
        <v>6236</v>
      </c>
    </row>
    <row r="5462" spans="1:6" ht="12.75">
      <c r="A5462" s="8">
        <v>43902.62777777778</v>
      </c>
      <c r="B5462" s="8" t="str">
        <f>HYPERLINK("https://twitter.com/kompascom","@kompascom")</f>
        <v>@kompascom</v>
      </c>
      <c r="C5462" s="8" t="s">
        <v>2591</v>
      </c>
      <c r="D5462" s="8">
        <v>1</v>
      </c>
      <c r="E5462" s="8">
        <v>5</v>
      </c>
      <c r="F5462" s="8">
        <v>7542639</v>
      </c>
    </row>
    <row r="5463" spans="1:6" ht="12.75">
      <c r="A5463" s="8">
        <v>43902.627337962964</v>
      </c>
      <c r="B5463" s="8" t="str">
        <f>HYPERLINK("https://twitter.com/KarlGaol","@KarlGaol")</f>
        <v>@KarlGaol</v>
      </c>
      <c r="C5463" s="8" t="s">
        <v>1030</v>
      </c>
      <c r="D5463" s="8">
        <v>33</v>
      </c>
      <c r="E5463" s="8">
        <v>0</v>
      </c>
      <c r="F5463" s="8">
        <v>303</v>
      </c>
    </row>
    <row r="5464" spans="1:6" ht="12.75">
      <c r="A5464" s="8">
        <v>43902.627337962964</v>
      </c>
      <c r="B5464" s="8" t="str">
        <f>HYPERLINK("https://twitter.com/KATADATAcoid","@KATADATAcoid")</f>
        <v>@KATADATAcoid</v>
      </c>
      <c r="C5464" s="8" t="s">
        <v>2592</v>
      </c>
      <c r="D5464" s="8">
        <v>0</v>
      </c>
      <c r="E5464" s="8">
        <v>1</v>
      </c>
      <c r="F5464" s="8">
        <v>42096</v>
      </c>
    </row>
    <row r="5465" spans="1:6" ht="12.75">
      <c r="A5465" s="8">
        <v>43902.627314814818</v>
      </c>
      <c r="B5465" s="8" t="str">
        <f>HYPERLINK("https://twitter.com/ISIS_Balik_NO","@ISIS_Balik_NO")</f>
        <v>@ISIS_Balik_NO</v>
      </c>
      <c r="C5465" s="8" t="s">
        <v>2593</v>
      </c>
      <c r="D5465" s="8">
        <v>0</v>
      </c>
      <c r="E5465" s="8">
        <v>0</v>
      </c>
      <c r="F5465" s="8">
        <v>6236</v>
      </c>
    </row>
    <row r="5466" spans="1:6" ht="12.75">
      <c r="A5466" s="8">
        <v>43902.62700231481</v>
      </c>
      <c r="B5466" s="8" t="str">
        <f>HYPERLINK("https://twitter.com/Berkarya_Info","@Berkarya_Info")</f>
        <v>@Berkarya_Info</v>
      </c>
      <c r="C5466" s="8" t="s">
        <v>2594</v>
      </c>
      <c r="D5466" s="8">
        <v>1</v>
      </c>
      <c r="E5466" s="8">
        <v>2</v>
      </c>
      <c r="F5466" s="8">
        <v>5749</v>
      </c>
    </row>
    <row r="5467" spans="1:6" ht="12.75">
      <c r="A5467" s="8">
        <v>43902.626828703702</v>
      </c>
      <c r="B5467" s="8" t="str">
        <f>HYPERLINK("https://twitter.com/nabellanajah","@nabellanajah")</f>
        <v>@nabellanajah</v>
      </c>
      <c r="C5467" s="8" t="s">
        <v>1030</v>
      </c>
      <c r="D5467" s="8">
        <v>33</v>
      </c>
      <c r="E5467" s="8">
        <v>0</v>
      </c>
      <c r="F5467" s="8">
        <v>972</v>
      </c>
    </row>
    <row r="5468" spans="1:6" ht="12.75">
      <c r="A5468" s="8">
        <v>43902.626516203702</v>
      </c>
      <c r="B5468" s="8" t="str">
        <f>HYPERLINK("https://twitter.com/antarajatimcom","@antarajatimcom")</f>
        <v>@antarajatimcom</v>
      </c>
      <c r="C5468" s="8" t="s">
        <v>2595</v>
      </c>
      <c r="D5468" s="8">
        <v>0</v>
      </c>
      <c r="E5468" s="8">
        <v>0</v>
      </c>
      <c r="F5468" s="8">
        <v>855</v>
      </c>
    </row>
    <row r="5469" spans="1:6" ht="12.75">
      <c r="A5469" s="8">
        <v>43902.626331018517</v>
      </c>
      <c r="B5469" s="8" t="str">
        <f>HYPERLINK("https://twitter.com/Jackjackaljugja","@Jackjackaljugja")</f>
        <v>@Jackjackaljugja</v>
      </c>
      <c r="C5469" s="8" t="s">
        <v>2583</v>
      </c>
      <c r="D5469" s="8">
        <v>9</v>
      </c>
      <c r="E5469" s="8">
        <v>0</v>
      </c>
      <c r="F5469" s="8">
        <v>631</v>
      </c>
    </row>
    <row r="5470" spans="1:6" ht="12.75">
      <c r="A5470" s="8">
        <v>43902.626296296294</v>
      </c>
      <c r="B5470" s="8" t="str">
        <f>HYPERLINK("https://twitter.com/ISIS_Balik_NO","@ISIS_Balik_NO")</f>
        <v>@ISIS_Balik_NO</v>
      </c>
      <c r="C5470" s="8" t="s">
        <v>2596</v>
      </c>
      <c r="D5470" s="8">
        <v>0</v>
      </c>
      <c r="E5470" s="8">
        <v>0</v>
      </c>
      <c r="F5470" s="8">
        <v>6236</v>
      </c>
    </row>
    <row r="5471" spans="1:6" ht="12.75">
      <c r="A5471" s="8">
        <v>43902.626284722224</v>
      </c>
      <c r="B5471" s="8" t="str">
        <f>HYPERLINK("https://twitter.com/CioYueCin","@CioYueCin")</f>
        <v>@CioYueCin</v>
      </c>
      <c r="C5471" s="8" t="s">
        <v>1030</v>
      </c>
      <c r="D5471" s="8">
        <v>33</v>
      </c>
      <c r="E5471" s="8">
        <v>0</v>
      </c>
      <c r="F5471" s="8">
        <v>39</v>
      </c>
    </row>
    <row r="5472" spans="1:6" ht="12.75">
      <c r="A5472" s="8">
        <v>43902.626273148147</v>
      </c>
      <c r="B5472" s="8" t="str">
        <f>HYPERLINK("https://twitter.com/kindersoyy","@kindersoyy")</f>
        <v>@kindersoyy</v>
      </c>
      <c r="C5472" s="8" t="s">
        <v>2597</v>
      </c>
      <c r="D5472" s="8">
        <v>1</v>
      </c>
      <c r="E5472" s="8">
        <v>0</v>
      </c>
      <c r="F5472" s="8">
        <v>130</v>
      </c>
    </row>
    <row r="5473" spans="1:6" ht="12.75">
      <c r="A5473" s="8">
        <v>43902.626168981486</v>
      </c>
      <c r="B5473" s="8" t="str">
        <f>HYPERLINK("https://twitter.com/alineadotid","@alineadotid")</f>
        <v>@alineadotid</v>
      </c>
      <c r="C5473" s="8" t="s">
        <v>2598</v>
      </c>
      <c r="D5473" s="8">
        <v>0</v>
      </c>
      <c r="E5473" s="8">
        <v>1</v>
      </c>
      <c r="F5473" s="8">
        <v>611432</v>
      </c>
    </row>
    <row r="5474" spans="1:6" ht="12.75">
      <c r="A5474" s="8">
        <v>43902.625891203701</v>
      </c>
      <c r="B5474" s="8" t="str">
        <f>HYPERLINK("https://twitter.com/pasfmsby","@pasfmsby")</f>
        <v>@pasfmsby</v>
      </c>
      <c r="C5474" s="8" t="s">
        <v>2599</v>
      </c>
      <c r="D5474" s="8">
        <v>0</v>
      </c>
      <c r="E5474" s="8">
        <v>0</v>
      </c>
      <c r="F5474" s="8">
        <v>1615</v>
      </c>
    </row>
    <row r="5475" spans="1:6" ht="12.75">
      <c r="A5475" s="8">
        <v>43902.62568287037</v>
      </c>
      <c r="B5475" s="8" t="str">
        <f>HYPERLINK("https://twitter.com/lisykes_","@lisykes_")</f>
        <v>@lisykes_</v>
      </c>
      <c r="C5475" s="8" t="s">
        <v>1030</v>
      </c>
      <c r="D5475" s="8">
        <v>33</v>
      </c>
      <c r="E5475" s="8">
        <v>0</v>
      </c>
      <c r="F5475" s="8">
        <v>749</v>
      </c>
    </row>
    <row r="5476" spans="1:6" ht="12.75">
      <c r="A5476" s="8">
        <v>43902.625648148147</v>
      </c>
      <c r="B5476" s="8" t="str">
        <f>HYPERLINK("https://twitter.com/dekyasurya","@dekyasurya")</f>
        <v>@dekyasurya</v>
      </c>
      <c r="C5476" s="8" t="s">
        <v>1030</v>
      </c>
      <c r="D5476" s="8">
        <v>33</v>
      </c>
      <c r="E5476" s="8">
        <v>0</v>
      </c>
      <c r="F5476" s="8">
        <v>284</v>
      </c>
    </row>
    <row r="5477" spans="1:6" ht="12.75">
      <c r="A5477" s="8">
        <v>43902.625578703708</v>
      </c>
      <c r="B5477" s="8" t="str">
        <f>HYPERLINK("https://twitter.com/furqon_nur07","@furqon_nur07")</f>
        <v>@furqon_nur07</v>
      </c>
      <c r="C5477" s="8" t="s">
        <v>1030</v>
      </c>
      <c r="D5477" s="8">
        <v>33</v>
      </c>
      <c r="E5477" s="8">
        <v>0</v>
      </c>
      <c r="F5477" s="8">
        <v>188</v>
      </c>
    </row>
    <row r="5478" spans="1:6" ht="12.75">
      <c r="A5478" s="8">
        <v>43902.625462962962</v>
      </c>
      <c r="B5478" s="8" t="str">
        <f>HYPERLINK("https://twitter.com/ivooxid","@ivooxid")</f>
        <v>@ivooxid</v>
      </c>
      <c r="C5478" s="8" t="s">
        <v>2600</v>
      </c>
      <c r="D5478" s="8">
        <v>0</v>
      </c>
      <c r="E5478" s="8">
        <v>0</v>
      </c>
      <c r="F5478" s="8">
        <v>1446</v>
      </c>
    </row>
    <row r="5479" spans="1:6" ht="12.75">
      <c r="A5479" s="8">
        <v>43902.625416666662</v>
      </c>
      <c r="B5479" s="8" t="str">
        <f>HYPERLINK("https://twitter.com/hidupnanindah","@hidupnanindah")</f>
        <v>@hidupnanindah</v>
      </c>
      <c r="C5479" s="8" t="s">
        <v>2601</v>
      </c>
      <c r="D5479" s="8">
        <v>1</v>
      </c>
      <c r="E5479" s="8">
        <v>0</v>
      </c>
      <c r="F5479" s="8">
        <v>14960</v>
      </c>
    </row>
    <row r="5480" spans="1:6" ht="12.75">
      <c r="A5480" s="8">
        <v>43902.625405092593</v>
      </c>
      <c r="B5480" s="8" t="str">
        <f>HYPERLINK("https://twitter.com/alineadotid","@alineadotid")</f>
        <v>@alineadotid</v>
      </c>
      <c r="C5480" s="8" t="s">
        <v>2602</v>
      </c>
      <c r="D5480" s="8">
        <v>0</v>
      </c>
      <c r="E5480" s="8">
        <v>0</v>
      </c>
      <c r="F5480" s="8">
        <v>611432</v>
      </c>
    </row>
    <row r="5481" spans="1:6" ht="12.75">
      <c r="A5481" s="8">
        <v>43902.625405092593</v>
      </c>
      <c r="B5481" s="8" t="str">
        <f>HYPERLINK("https://twitter.com/en_pau","@en_pau")</f>
        <v>@en_pau</v>
      </c>
      <c r="C5481" s="8" t="s">
        <v>440</v>
      </c>
      <c r="D5481" s="8">
        <v>52</v>
      </c>
      <c r="E5481" s="8">
        <v>0</v>
      </c>
      <c r="F5481" s="8">
        <v>101</v>
      </c>
    </row>
    <row r="5482" spans="1:6" ht="12.75">
      <c r="A5482" s="8">
        <v>43902.625393518523</v>
      </c>
      <c r="B5482" s="8" t="str">
        <f>HYPERLINK("https://twitter.com/kring_pajak","@kring_pajak")</f>
        <v>@kring_pajak</v>
      </c>
      <c r="C5482" s="8" t="s">
        <v>2603</v>
      </c>
      <c r="D5482" s="8">
        <v>0</v>
      </c>
      <c r="E5482" s="8">
        <v>0</v>
      </c>
      <c r="F5482" s="8">
        <v>96645</v>
      </c>
    </row>
    <row r="5483" spans="1:6" ht="12.75">
      <c r="A5483" s="8">
        <v>43902.625381944439</v>
      </c>
      <c r="B5483" s="8" t="str">
        <f>HYPERLINK("https://twitter.com/aliachmadlathif","@aliachmadlathif")</f>
        <v>@aliachmadlathif</v>
      </c>
      <c r="C5483" s="8" t="s">
        <v>1030</v>
      </c>
      <c r="D5483" s="8">
        <v>33</v>
      </c>
      <c r="E5483" s="8">
        <v>0</v>
      </c>
      <c r="F5483" s="8">
        <v>376</v>
      </c>
    </row>
    <row r="5484" spans="1:6" ht="12.75">
      <c r="A5484" s="8">
        <v>43902.62537037037</v>
      </c>
      <c r="B5484" s="8" t="str">
        <f>HYPERLINK("https://twitter.com/hidupnanindah","@hidupnanindah")</f>
        <v>@hidupnanindah</v>
      </c>
      <c r="C5484" s="8" t="s">
        <v>2604</v>
      </c>
      <c r="D5484" s="8">
        <v>1</v>
      </c>
      <c r="E5484" s="8">
        <v>0</v>
      </c>
      <c r="F5484" s="8">
        <v>14960</v>
      </c>
    </row>
    <row r="5485" spans="1:6" ht="12.75">
      <c r="A5485" s="8">
        <v>43902.625254629631</v>
      </c>
      <c r="B5485" s="8" t="str">
        <f>HYPERLINK("https://twitter.com/alineadotid","@alineadotid")</f>
        <v>@alineadotid</v>
      </c>
      <c r="C5485" s="8" t="s">
        <v>2605</v>
      </c>
      <c r="D5485" s="8">
        <v>0</v>
      </c>
      <c r="E5485" s="8">
        <v>0</v>
      </c>
      <c r="F5485" s="8">
        <v>611432</v>
      </c>
    </row>
    <row r="5486" spans="1:6" ht="12.75">
      <c r="A5486" s="8">
        <v>43902.625185185185</v>
      </c>
      <c r="B5486" s="8" t="str">
        <f>HYPERLINK("https://twitter.com/rizkhamaliaw","@rizkhamaliaw")</f>
        <v>@rizkhamaliaw</v>
      </c>
      <c r="C5486" s="8" t="s">
        <v>1030</v>
      </c>
      <c r="D5486" s="8">
        <v>33</v>
      </c>
      <c r="E5486" s="8">
        <v>0</v>
      </c>
      <c r="F5486" s="8">
        <v>58</v>
      </c>
    </row>
    <row r="5487" spans="1:6" ht="12.75">
      <c r="A5487" s="8">
        <v>43902.625162037039</v>
      </c>
      <c r="B5487" s="8" t="str">
        <f>HYPERLINK("https://twitter.com/vivapurnama","@vivapurnama")</f>
        <v>@vivapurnama</v>
      </c>
      <c r="C5487" s="8" t="s">
        <v>1030</v>
      </c>
      <c r="D5487" s="8">
        <v>33</v>
      </c>
      <c r="E5487" s="8">
        <v>0</v>
      </c>
      <c r="F5487" s="8">
        <v>485</v>
      </c>
    </row>
    <row r="5488" spans="1:6" ht="12.75">
      <c r="A5488" s="8">
        <v>43902.625127314815</v>
      </c>
      <c r="B5488" s="8" t="str">
        <f>HYPERLINK("https://twitter.com/AcepWaluyo","@AcepWaluyo")</f>
        <v>@AcepWaluyo</v>
      </c>
      <c r="C5488" s="8" t="s">
        <v>2583</v>
      </c>
      <c r="D5488" s="8">
        <v>9</v>
      </c>
      <c r="E5488" s="8">
        <v>0</v>
      </c>
      <c r="F5488" s="8">
        <v>226</v>
      </c>
    </row>
    <row r="5489" spans="1:6" ht="12.75">
      <c r="A5489" s="8">
        <v>43902.625057870369</v>
      </c>
      <c r="B5489" s="8" t="str">
        <f t="shared" ref="B5489:B5491" si="102">HYPERLINK("https://twitter.com/hidupnanindah","@hidupnanindah")</f>
        <v>@hidupnanindah</v>
      </c>
      <c r="C5489" s="8" t="s">
        <v>2549</v>
      </c>
      <c r="D5489" s="8">
        <v>7</v>
      </c>
      <c r="E5489" s="8">
        <v>0</v>
      </c>
      <c r="F5489" s="8">
        <v>14960</v>
      </c>
    </row>
    <row r="5490" spans="1:6" ht="12.75">
      <c r="A5490" s="8">
        <v>43902.625023148154</v>
      </c>
      <c r="B5490" s="8" t="str">
        <f t="shared" si="102"/>
        <v>@hidupnanindah</v>
      </c>
      <c r="C5490" s="8" t="s">
        <v>2606</v>
      </c>
      <c r="D5490" s="8">
        <v>5</v>
      </c>
      <c r="E5490" s="8">
        <v>0</v>
      </c>
      <c r="F5490" s="8">
        <v>14960</v>
      </c>
    </row>
    <row r="5491" spans="1:6" ht="12.75">
      <c r="A5491" s="8">
        <v>43902.62498842593</v>
      </c>
      <c r="B5491" s="8" t="str">
        <f t="shared" si="102"/>
        <v>@hidupnanindah</v>
      </c>
      <c r="C5491" s="8" t="s">
        <v>2547</v>
      </c>
      <c r="D5491" s="8">
        <v>6</v>
      </c>
      <c r="E5491" s="8">
        <v>0</v>
      </c>
      <c r="F5491" s="8">
        <v>14960</v>
      </c>
    </row>
    <row r="5492" spans="1:6" ht="12.75">
      <c r="A5492" s="8">
        <v>43902.624872685185</v>
      </c>
      <c r="B5492" s="8" t="str">
        <f>HYPERLINK("https://twitter.com/choconimss","@choconimss")</f>
        <v>@choconimss</v>
      </c>
      <c r="C5492" s="8" t="s">
        <v>1030</v>
      </c>
      <c r="D5492" s="8">
        <v>33</v>
      </c>
      <c r="E5492" s="8">
        <v>0</v>
      </c>
      <c r="F5492" s="8">
        <v>365</v>
      </c>
    </row>
    <row r="5493" spans="1:6" ht="12.75">
      <c r="A5493" s="8">
        <v>43902.624768518523</v>
      </c>
      <c r="B5493" s="8" t="str">
        <f>HYPERLINK("https://twitter.com/hidupnanindah","@hidupnanindah")</f>
        <v>@hidupnanindah</v>
      </c>
      <c r="C5493" s="8" t="s">
        <v>2607</v>
      </c>
      <c r="D5493" s="8">
        <v>7</v>
      </c>
      <c r="E5493" s="8">
        <v>0</v>
      </c>
      <c r="F5493" s="8">
        <v>14960</v>
      </c>
    </row>
    <row r="5494" spans="1:6" ht="12.75">
      <c r="A5494" s="8">
        <v>43902.6246875</v>
      </c>
      <c r="B5494" s="8" t="str">
        <f>HYPERLINK("https://twitter.com/Harian_Jogja","@Harian_Jogja")</f>
        <v>@Harian_Jogja</v>
      </c>
      <c r="C5494" s="8" t="s">
        <v>2608</v>
      </c>
      <c r="D5494" s="8">
        <v>0</v>
      </c>
      <c r="E5494" s="8">
        <v>0</v>
      </c>
      <c r="F5494" s="8">
        <v>156273</v>
      </c>
    </row>
    <row r="5495" spans="1:6" ht="12.75">
      <c r="A5495" s="8">
        <v>43902.624525462961</v>
      </c>
      <c r="B5495" s="8" t="str">
        <f t="shared" ref="B5495:B5496" si="103">HYPERLINK("https://twitter.com/hidupnanindah","@hidupnanindah")</f>
        <v>@hidupnanindah</v>
      </c>
      <c r="C5495" s="8" t="s">
        <v>2609</v>
      </c>
      <c r="D5495" s="8">
        <v>6</v>
      </c>
      <c r="E5495" s="8">
        <v>0</v>
      </c>
      <c r="F5495" s="8">
        <v>14960</v>
      </c>
    </row>
    <row r="5496" spans="1:6" ht="12.75">
      <c r="A5496" s="8">
        <v>43902.624502314815</v>
      </c>
      <c r="B5496" s="8" t="str">
        <f t="shared" si="103"/>
        <v>@hidupnanindah</v>
      </c>
      <c r="C5496" s="8" t="s">
        <v>2610</v>
      </c>
      <c r="D5496" s="8">
        <v>6</v>
      </c>
      <c r="E5496" s="8">
        <v>0</v>
      </c>
      <c r="F5496" s="8">
        <v>14960</v>
      </c>
    </row>
    <row r="5497" spans="1:6" ht="12.75">
      <c r="A5497" s="8">
        <v>43902.624490740738</v>
      </c>
      <c r="B5497" s="8" t="str">
        <f>HYPERLINK("https://twitter.com/ISIS_Balik_NO","@ISIS_Balik_NO")</f>
        <v>@ISIS_Balik_NO</v>
      </c>
      <c r="C5497" s="8" t="s">
        <v>2611</v>
      </c>
      <c r="D5497" s="8">
        <v>0</v>
      </c>
      <c r="E5497" s="8">
        <v>2</v>
      </c>
      <c r="F5497" s="8">
        <v>6236</v>
      </c>
    </row>
    <row r="5498" spans="1:6" ht="12.75">
      <c r="A5498" s="8">
        <v>43902.624398148153</v>
      </c>
      <c r="B5498" s="8" t="str">
        <f>HYPERLINK("https://twitter.com/HaniSururi","@HaniSururi")</f>
        <v>@HaniSururi</v>
      </c>
      <c r="C5498" s="8" t="s">
        <v>1643</v>
      </c>
      <c r="D5498" s="8">
        <v>95</v>
      </c>
      <c r="E5498" s="8">
        <v>0</v>
      </c>
      <c r="F5498" s="8">
        <v>326</v>
      </c>
    </row>
    <row r="5499" spans="1:6" ht="12.75">
      <c r="A5499" s="8">
        <v>43902.624085648145</v>
      </c>
      <c r="B5499" s="8" t="str">
        <f>HYPERLINK("https://twitter.com/lookman_cku","@lookman_cku")</f>
        <v>@lookman_cku</v>
      </c>
      <c r="C5499" s="8" t="s">
        <v>2612</v>
      </c>
      <c r="D5499" s="8">
        <v>0</v>
      </c>
      <c r="E5499" s="8">
        <v>2</v>
      </c>
      <c r="F5499" s="8">
        <v>181</v>
      </c>
    </row>
    <row r="5500" spans="1:6" ht="12.75">
      <c r="A5500" s="8">
        <v>43902.624074074076</v>
      </c>
      <c r="B5500" s="8" t="str">
        <f>HYPERLINK("https://twitter.com/illegarI","@illegarI")</f>
        <v>@illegarI</v>
      </c>
      <c r="C5500" s="8" t="s">
        <v>1030</v>
      </c>
      <c r="D5500" s="8">
        <v>33</v>
      </c>
      <c r="E5500" s="8">
        <v>0</v>
      </c>
      <c r="F5500" s="8">
        <v>1069</v>
      </c>
    </row>
    <row r="5501" spans="1:6" ht="12.75">
      <c r="A5501" s="8">
        <v>43902.623969907407</v>
      </c>
      <c r="B5501" s="8" t="str">
        <f>HYPERLINK("https://twitter.com/VIVAcoid","@VIVAcoid")</f>
        <v>@VIVAcoid</v>
      </c>
      <c r="C5501" s="8" t="s">
        <v>2613</v>
      </c>
      <c r="D5501" s="8">
        <v>2</v>
      </c>
      <c r="E5501" s="8">
        <v>0</v>
      </c>
      <c r="F5501" s="8">
        <v>4177056</v>
      </c>
    </row>
    <row r="5502" spans="1:6" ht="12.75">
      <c r="A5502" s="8">
        <v>43902.623749999999</v>
      </c>
      <c r="B5502" s="8" t="str">
        <f>HYPERLINK("https://twitter.com/ozibrozq","@ozibrozq")</f>
        <v>@ozibrozq</v>
      </c>
      <c r="C5502" s="8" t="s">
        <v>1030</v>
      </c>
      <c r="D5502" s="8">
        <v>33</v>
      </c>
      <c r="E5502" s="8">
        <v>0</v>
      </c>
      <c r="F5502" s="8">
        <v>32</v>
      </c>
    </row>
    <row r="5503" spans="1:6" ht="12.75">
      <c r="A5503" s="8">
        <v>43902.623657407406</v>
      </c>
      <c r="B5503" s="8" t="str">
        <f>HYPERLINK("https://twitter.com/vivanewscom","@vivanewscom")</f>
        <v>@vivanewscom</v>
      </c>
      <c r="C5503" s="8" t="s">
        <v>2614</v>
      </c>
      <c r="D5503" s="8">
        <v>2</v>
      </c>
      <c r="E5503" s="8">
        <v>1</v>
      </c>
      <c r="F5503" s="8">
        <v>4932</v>
      </c>
    </row>
    <row r="5504" spans="1:6" ht="12.75">
      <c r="A5504" s="8">
        <v>43902.623495370368</v>
      </c>
      <c r="B5504" s="8" t="str">
        <f>HYPERLINK("https://twitter.com/flonoviadinda","@flonoviadinda")</f>
        <v>@flonoviadinda</v>
      </c>
      <c r="C5504" s="8" t="s">
        <v>1030</v>
      </c>
      <c r="D5504" s="8">
        <v>33</v>
      </c>
      <c r="E5504" s="8">
        <v>0</v>
      </c>
      <c r="F5504" s="8">
        <v>1335</v>
      </c>
    </row>
    <row r="5505" spans="1:6" ht="12.75">
      <c r="A5505" s="8">
        <v>43902.623425925922</v>
      </c>
      <c r="B5505" s="8" t="str">
        <f>HYPERLINK("https://twitter.com/dindinlina","@dindinlina")</f>
        <v>@dindinlina</v>
      </c>
      <c r="C5505" s="8" t="s">
        <v>1030</v>
      </c>
      <c r="D5505" s="8">
        <v>33</v>
      </c>
      <c r="E5505" s="8">
        <v>0</v>
      </c>
      <c r="F5505" s="8">
        <v>97</v>
      </c>
    </row>
    <row r="5506" spans="1:6" ht="12.75">
      <c r="A5506" s="8">
        <v>43902.623379629629</v>
      </c>
      <c r="B5506" s="8" t="str">
        <f>HYPERLINK("https://twitter.com/Menikhandayani","@Menikhandayani")</f>
        <v>@Menikhandayani</v>
      </c>
      <c r="C5506" s="8" t="s">
        <v>1030</v>
      </c>
      <c r="D5506" s="8">
        <v>33</v>
      </c>
      <c r="E5506" s="8">
        <v>0</v>
      </c>
      <c r="F5506" s="8">
        <v>1573</v>
      </c>
    </row>
    <row r="5507" spans="1:6" ht="12.75">
      <c r="A5507" s="8">
        <v>43902.623310185183</v>
      </c>
      <c r="B5507" s="8" t="str">
        <f>HYPERLINK("https://twitter.com/ISIS_Balik_NO","@ISIS_Balik_NO")</f>
        <v>@ISIS_Balik_NO</v>
      </c>
      <c r="C5507" s="8" t="s">
        <v>2615</v>
      </c>
      <c r="D5507" s="8">
        <v>0</v>
      </c>
      <c r="E5507" s="8">
        <v>1</v>
      </c>
      <c r="F5507" s="8">
        <v>6236</v>
      </c>
    </row>
    <row r="5508" spans="1:6" ht="12.75">
      <c r="A5508" s="8">
        <v>43902.622662037036</v>
      </c>
      <c r="B5508" s="8" t="str">
        <f>HYPERLINK("https://twitter.com/MudasirRomini","@MudasirRomini")</f>
        <v>@MudasirRomini</v>
      </c>
      <c r="C5508" s="8" t="s">
        <v>1758</v>
      </c>
      <c r="D5508" s="8">
        <v>6</v>
      </c>
      <c r="E5508" s="8">
        <v>0</v>
      </c>
      <c r="F5508" s="8">
        <v>8149</v>
      </c>
    </row>
    <row r="5509" spans="1:6" ht="12.75">
      <c r="A5509" s="8">
        <v>43902.622523148151</v>
      </c>
      <c r="B5509" s="8" t="str">
        <f>HYPERLINK("https://twitter.com/Bryan_Pattinama","@Bryan_Pattinama")</f>
        <v>@Bryan_Pattinama</v>
      </c>
      <c r="C5509" s="8" t="s">
        <v>1030</v>
      </c>
      <c r="D5509" s="8">
        <v>33</v>
      </c>
      <c r="E5509" s="8">
        <v>0</v>
      </c>
      <c r="F5509" s="8">
        <v>278</v>
      </c>
    </row>
    <row r="5510" spans="1:6" ht="12.75">
      <c r="A5510" s="8">
        <v>43902.62228009259</v>
      </c>
      <c r="B5510" s="8" t="str">
        <f>HYPERLINK("https://twitter.com/BBCIndonesia","@BBCIndonesia")</f>
        <v>@BBCIndonesia</v>
      </c>
      <c r="C5510" s="8" t="s">
        <v>2616</v>
      </c>
      <c r="D5510" s="8">
        <v>33</v>
      </c>
      <c r="E5510" s="8">
        <v>66</v>
      </c>
      <c r="F5510" s="8">
        <v>1210899</v>
      </c>
    </row>
    <row r="5511" spans="1:6" ht="12.75">
      <c r="A5511" s="8">
        <v>43902.621736111112</v>
      </c>
      <c r="B5511" s="8" t="str">
        <f>HYPERLINK("https://twitter.com/AEkopurnomo","@AEkopurnomo")</f>
        <v>@AEkopurnomo</v>
      </c>
      <c r="C5511" s="8" t="s">
        <v>1758</v>
      </c>
      <c r="D5511" s="8">
        <v>6</v>
      </c>
      <c r="E5511" s="8">
        <v>0</v>
      </c>
      <c r="F5511" s="8">
        <v>800</v>
      </c>
    </row>
    <row r="5512" spans="1:6" ht="12.75">
      <c r="A5512" s="8">
        <v>43902.621631944443</v>
      </c>
      <c r="B5512" s="8" t="str">
        <f>HYPERLINK("https://twitter.com/akk4746","@akk4746")</f>
        <v>@akk4746</v>
      </c>
      <c r="C5512" s="8" t="s">
        <v>165</v>
      </c>
      <c r="D5512" s="8">
        <v>89</v>
      </c>
      <c r="E5512" s="8">
        <v>0</v>
      </c>
      <c r="F5512" s="8">
        <v>382</v>
      </c>
    </row>
    <row r="5513" spans="1:6" ht="12.75">
      <c r="A5513" s="8">
        <v>43902.621585648143</v>
      </c>
      <c r="B5513" s="8" t="str">
        <f t="shared" ref="B5513:B5516" si="104">HYPERLINK("https://twitter.com/SiJombloKreatif","@SiJombloKreatif")</f>
        <v>@SiJombloKreatif</v>
      </c>
      <c r="C5513" s="8" t="s">
        <v>2617</v>
      </c>
      <c r="D5513" s="8">
        <v>2</v>
      </c>
      <c r="E5513" s="8">
        <v>0</v>
      </c>
      <c r="F5513" s="8">
        <v>120878</v>
      </c>
    </row>
    <row r="5514" spans="1:6" ht="12.75">
      <c r="A5514" s="8">
        <v>43902.621504629627</v>
      </c>
      <c r="B5514" s="8" t="str">
        <f t="shared" si="104"/>
        <v>@SiJombloKreatif</v>
      </c>
      <c r="C5514" s="8" t="s">
        <v>2547</v>
      </c>
      <c r="D5514" s="8">
        <v>6</v>
      </c>
      <c r="E5514" s="8">
        <v>0</v>
      </c>
      <c r="F5514" s="8">
        <v>120878</v>
      </c>
    </row>
    <row r="5515" spans="1:6" ht="12.75">
      <c r="A5515" s="8">
        <v>43902.621446759258</v>
      </c>
      <c r="B5515" s="8" t="str">
        <f t="shared" si="104"/>
        <v>@SiJombloKreatif</v>
      </c>
      <c r="C5515" s="8" t="s">
        <v>2609</v>
      </c>
      <c r="D5515" s="8">
        <v>6</v>
      </c>
      <c r="E5515" s="8">
        <v>0</v>
      </c>
      <c r="F5515" s="8">
        <v>120878</v>
      </c>
    </row>
    <row r="5516" spans="1:6" ht="12.75">
      <c r="A5516" s="8">
        <v>43902.621412037042</v>
      </c>
      <c r="B5516" s="8" t="str">
        <f t="shared" si="104"/>
        <v>@SiJombloKreatif</v>
      </c>
      <c r="C5516" s="8" t="s">
        <v>2549</v>
      </c>
      <c r="D5516" s="8">
        <v>7</v>
      </c>
      <c r="E5516" s="8">
        <v>0</v>
      </c>
      <c r="F5516" s="8">
        <v>120878</v>
      </c>
    </row>
    <row r="5517" spans="1:6" ht="12.75">
      <c r="A5517" s="8">
        <v>43902.62128472222</v>
      </c>
      <c r="B5517" s="8" t="str">
        <f>HYPERLINK("https://twitter.com/HakimGarisLurus","@HakimGarisLurus")</f>
        <v>@HakimGarisLurus</v>
      </c>
      <c r="C5517" s="8" t="s">
        <v>289</v>
      </c>
      <c r="D5517" s="8">
        <v>7</v>
      </c>
      <c r="E5517" s="8">
        <v>0</v>
      </c>
      <c r="F5517" s="8">
        <v>1456</v>
      </c>
    </row>
    <row r="5518" spans="1:6" ht="12.75">
      <c r="A5518" s="8">
        <v>43902.621018518519</v>
      </c>
      <c r="B5518" s="8" t="str">
        <f>HYPERLINK("https://twitter.com/SiJombloKreatif","@SiJombloKreatif")</f>
        <v>@SiJombloKreatif</v>
      </c>
      <c r="C5518" s="8" t="s">
        <v>2610</v>
      </c>
      <c r="D5518" s="8">
        <v>6</v>
      </c>
      <c r="E5518" s="8">
        <v>0</v>
      </c>
      <c r="F5518" s="8">
        <v>120878</v>
      </c>
    </row>
    <row r="5519" spans="1:6" ht="12.75">
      <c r="A5519" s="8">
        <v>43902.620821759258</v>
      </c>
      <c r="B5519" s="8" t="str">
        <f>HYPERLINK("https://twitter.com/publicanews","@publicanews")</f>
        <v>@publicanews</v>
      </c>
      <c r="C5519" s="8" t="s">
        <v>2618</v>
      </c>
      <c r="D5519" s="8">
        <v>0</v>
      </c>
      <c r="E5519" s="8">
        <v>0</v>
      </c>
      <c r="F5519" s="8">
        <v>158</v>
      </c>
    </row>
    <row r="5520" spans="1:6" ht="12.75">
      <c r="A5520" s="8">
        <v>43902.620763888888</v>
      </c>
      <c r="B5520" s="8" t="str">
        <f>HYPERLINK("https://twitter.com/cumancolekaja","@cumancolekaja")</f>
        <v>@cumancolekaja</v>
      </c>
      <c r="C5520" s="8" t="s">
        <v>2619</v>
      </c>
      <c r="D5520" s="8">
        <v>0</v>
      </c>
      <c r="E5520" s="8">
        <v>0</v>
      </c>
      <c r="F5520" s="8">
        <v>1288</v>
      </c>
    </row>
    <row r="5521" spans="1:6" ht="12.75">
      <c r="A5521" s="8">
        <v>43902.620393518519</v>
      </c>
      <c r="B5521" s="8" t="str">
        <f>HYPERLINK("https://twitter.com/Gogcomander","@Gogcomander")</f>
        <v>@Gogcomander</v>
      </c>
      <c r="C5521" s="8" t="s">
        <v>1758</v>
      </c>
      <c r="D5521" s="8">
        <v>6</v>
      </c>
      <c r="E5521" s="8">
        <v>0</v>
      </c>
      <c r="F5521" s="8">
        <v>357</v>
      </c>
    </row>
    <row r="5522" spans="1:6" ht="12.75">
      <c r="A5522" s="8">
        <v>43902.620347222226</v>
      </c>
      <c r="B5522" s="8" t="str">
        <f>HYPERLINK("https://twitter.com/suryadarma471","@suryadarma471")</f>
        <v>@suryadarma471</v>
      </c>
      <c r="C5522" s="8" t="s">
        <v>2620</v>
      </c>
      <c r="D5522" s="8">
        <v>3</v>
      </c>
      <c r="E5522" s="8">
        <v>0</v>
      </c>
      <c r="F5522" s="8">
        <v>717</v>
      </c>
    </row>
    <row r="5523" spans="1:6" ht="12.75">
      <c r="A5523" s="8">
        <v>43902.620208333334</v>
      </c>
      <c r="B5523" s="8" t="str">
        <f>HYPERLINK("https://twitter.com/C_AjiMahameru52","@C_AjiMahameru52")</f>
        <v>@C_AjiMahameru52</v>
      </c>
      <c r="C5523" s="8" t="s">
        <v>1758</v>
      </c>
      <c r="D5523" s="8">
        <v>6</v>
      </c>
      <c r="E5523" s="8">
        <v>0</v>
      </c>
      <c r="F5523" s="8">
        <v>3169</v>
      </c>
    </row>
    <row r="5524" spans="1:6" ht="12.75">
      <c r="A5524" s="8">
        <v>43902.620069444441</v>
      </c>
      <c r="B5524" s="8" t="str">
        <f>HYPERLINK("https://twitter.com/ahidforz","@ahidforz")</f>
        <v>@ahidforz</v>
      </c>
      <c r="C5524" s="8" t="s">
        <v>2621</v>
      </c>
      <c r="D5524" s="8">
        <v>0</v>
      </c>
      <c r="E5524" s="8">
        <v>0</v>
      </c>
      <c r="F5524" s="8">
        <v>386</v>
      </c>
    </row>
    <row r="5525" spans="1:6" ht="12.75">
      <c r="A5525" s="8">
        <v>43902.619953703703</v>
      </c>
      <c r="B5525" s="8" t="str">
        <f>HYPERLINK("https://twitter.com/mds_amboina","@mds_amboina")</f>
        <v>@mds_amboina</v>
      </c>
      <c r="C5525" s="8" t="s">
        <v>289</v>
      </c>
      <c r="D5525" s="8">
        <v>7</v>
      </c>
      <c r="E5525" s="8">
        <v>0</v>
      </c>
      <c r="F5525" s="8">
        <v>1786</v>
      </c>
    </row>
    <row r="5526" spans="1:6" ht="12.75">
      <c r="A5526" s="8">
        <v>43902.619826388887</v>
      </c>
      <c r="B5526" s="8" t="str">
        <f>HYPERLINK("https://twitter.com/wisanggeni_084","@wisanggeni_084")</f>
        <v>@wisanggeni_084</v>
      </c>
      <c r="C5526" s="8" t="s">
        <v>2622</v>
      </c>
      <c r="D5526" s="8">
        <v>6</v>
      </c>
      <c r="E5526" s="8">
        <v>17</v>
      </c>
      <c r="F5526" s="8">
        <v>18150</v>
      </c>
    </row>
    <row r="5527" spans="1:6" ht="12.75">
      <c r="A5527" s="8">
        <v>43902.619467592594</v>
      </c>
      <c r="B5527" s="8" t="str">
        <f t="shared" ref="B5527:B5528" si="105">HYPERLINK("https://twitter.com/cafebiru88","@cafebiru88")</f>
        <v>@cafebiru88</v>
      </c>
      <c r="C5527" s="8" t="s">
        <v>2609</v>
      </c>
      <c r="D5527" s="8">
        <v>6</v>
      </c>
      <c r="E5527" s="8">
        <v>0</v>
      </c>
      <c r="F5527" s="8">
        <v>18019</v>
      </c>
    </row>
    <row r="5528" spans="1:6" ht="12.75">
      <c r="A5528" s="8">
        <v>43902.619421296295</v>
      </c>
      <c r="B5528" s="8" t="str">
        <f t="shared" si="105"/>
        <v>@cafebiru88</v>
      </c>
      <c r="C5528" s="8" t="s">
        <v>2610</v>
      </c>
      <c r="D5528" s="8">
        <v>6</v>
      </c>
      <c r="E5528" s="8">
        <v>0</v>
      </c>
      <c r="F5528" s="8">
        <v>18019</v>
      </c>
    </row>
    <row r="5529" spans="1:6" ht="12.75">
      <c r="A5529" s="8">
        <v>43902.619074074071</v>
      </c>
      <c r="B5529" s="8" t="str">
        <f>HYPERLINK("https://twitter.com/forlibraa_","@forlibraa_")</f>
        <v>@forlibraa_</v>
      </c>
      <c r="C5529" s="8" t="s">
        <v>2623</v>
      </c>
      <c r="D5529" s="8">
        <v>7</v>
      </c>
      <c r="E5529" s="8">
        <v>0</v>
      </c>
      <c r="F5529" s="8">
        <v>37</v>
      </c>
    </row>
    <row r="5530" spans="1:6" ht="12.75">
      <c r="A5530" s="8">
        <v>43902.58975694445</v>
      </c>
      <c r="B5530" s="8" t="str">
        <f>HYPERLINK("https://twitter.com/BIndrawati","@BIndrawati")</f>
        <v>@BIndrawati</v>
      </c>
      <c r="C5530" s="8" t="s">
        <v>1643</v>
      </c>
      <c r="D5530" s="8">
        <v>88</v>
      </c>
      <c r="E5530" s="8">
        <v>0</v>
      </c>
      <c r="F5530" s="8">
        <v>415</v>
      </c>
    </row>
    <row r="5531" spans="1:6" ht="12.75">
      <c r="A5531" s="8">
        <v>43902.589641203704</v>
      </c>
      <c r="B5531" s="8" t="str">
        <f>HYPERLINK("https://twitter.com/eriemrn","@eriemrn")</f>
        <v>@eriemrn</v>
      </c>
      <c r="C5531" s="8" t="s">
        <v>2624</v>
      </c>
      <c r="D5531" s="8">
        <v>0</v>
      </c>
      <c r="E5531" s="8">
        <v>0</v>
      </c>
      <c r="F5531" s="8">
        <v>163</v>
      </c>
    </row>
    <row r="5532" spans="1:6" ht="12.75">
      <c r="A5532" s="8">
        <v>43902.589583333334</v>
      </c>
      <c r="B5532" s="8" t="str">
        <f>HYPERLINK("https://twitter.com/napsiati","@napsiati")</f>
        <v>@napsiati</v>
      </c>
      <c r="C5532" s="8" t="s">
        <v>2625</v>
      </c>
      <c r="D5532" s="8">
        <v>0</v>
      </c>
      <c r="E5532" s="8">
        <v>0</v>
      </c>
      <c r="F5532" s="8">
        <v>3379</v>
      </c>
    </row>
    <row r="5533" spans="1:6" ht="12.75">
      <c r="A5533" s="8">
        <v>43902.589328703703</v>
      </c>
      <c r="B5533" s="8" t="str">
        <f>HYPERLINK("https://twitter.com/SamsulB91513613","@SamsulB91513613")</f>
        <v>@SamsulB91513613</v>
      </c>
      <c r="C5533" s="8" t="s">
        <v>1643</v>
      </c>
      <c r="D5533" s="8">
        <v>88</v>
      </c>
      <c r="E5533" s="8">
        <v>0</v>
      </c>
      <c r="F5533" s="8">
        <v>306</v>
      </c>
    </row>
    <row r="5534" spans="1:6" ht="12.75">
      <c r="A5534" s="8">
        <v>43902.589166666672</v>
      </c>
      <c r="B5534" s="8" t="str">
        <f>HYPERLINK("https://twitter.com/napsiati","@napsiati")</f>
        <v>@napsiati</v>
      </c>
      <c r="C5534" s="8" t="s">
        <v>2539</v>
      </c>
      <c r="D5534" s="8">
        <v>1</v>
      </c>
      <c r="E5534" s="8">
        <v>0</v>
      </c>
      <c r="F5534" s="8">
        <v>3379</v>
      </c>
    </row>
    <row r="5535" spans="1:6" ht="12.75">
      <c r="A5535" s="8">
        <v>43902.589039351849</v>
      </c>
      <c r="B5535" s="8" t="str">
        <f>HYPERLINK("https://twitter.com/croissantjinu","@croissantjinu")</f>
        <v>@croissantjinu</v>
      </c>
      <c r="C5535" s="8" t="s">
        <v>2626</v>
      </c>
      <c r="D5535" s="8">
        <v>2</v>
      </c>
      <c r="E5535" s="8">
        <v>0</v>
      </c>
      <c r="F5535" s="8">
        <v>1182</v>
      </c>
    </row>
    <row r="5536" spans="1:6" ht="12.75">
      <c r="A5536" s="8">
        <v>43902.588888888888</v>
      </c>
      <c r="B5536" s="8" t="str">
        <f>HYPERLINK("https://twitter.com/hidupnanindah","@hidupnanindah")</f>
        <v>@hidupnanindah</v>
      </c>
      <c r="C5536" s="8" t="s">
        <v>2627</v>
      </c>
      <c r="D5536" s="8">
        <v>0</v>
      </c>
      <c r="E5536" s="8">
        <v>0</v>
      </c>
      <c r="F5536" s="8">
        <v>14960</v>
      </c>
    </row>
    <row r="5537" spans="1:6" ht="12.75">
      <c r="A5537" s="8">
        <v>43902.588101851856</v>
      </c>
      <c r="B5537" s="8" t="str">
        <f>HYPERLINK("https://twitter.com/SharaFerisa","@SharaFerisa")</f>
        <v>@SharaFerisa</v>
      </c>
      <c r="C5537" s="8" t="s">
        <v>2628</v>
      </c>
      <c r="D5537" s="8">
        <v>0</v>
      </c>
      <c r="E5537" s="8">
        <v>0</v>
      </c>
      <c r="F5537" s="8">
        <v>568</v>
      </c>
    </row>
    <row r="5538" spans="1:6" ht="12.75">
      <c r="A5538" s="8">
        <v>43902.587500000001</v>
      </c>
      <c r="B5538" s="8" t="str">
        <f>HYPERLINK("https://twitter.com/jayantasurbakti","@jayantasurbakti")</f>
        <v>@jayantasurbakti</v>
      </c>
      <c r="C5538" s="8" t="s">
        <v>2629</v>
      </c>
      <c r="D5538" s="8">
        <v>15</v>
      </c>
      <c r="E5538" s="8">
        <v>0</v>
      </c>
      <c r="F5538" s="8">
        <v>24</v>
      </c>
    </row>
    <row r="5539" spans="1:6" ht="12.75">
      <c r="A5539" s="8">
        <v>43902.586967592593</v>
      </c>
      <c r="B5539" s="8" t="str">
        <f>HYPERLINK("https://twitter.com/isis_macedo10","@isis_macedo10")</f>
        <v>@isis_macedo10</v>
      </c>
      <c r="C5539" s="8" t="s">
        <v>2630</v>
      </c>
      <c r="D5539" s="8">
        <v>0</v>
      </c>
      <c r="E5539" s="8">
        <v>0</v>
      </c>
      <c r="F5539" s="8">
        <v>5360</v>
      </c>
    </row>
    <row r="5540" spans="1:6" ht="12.75">
      <c r="A5540" s="8">
        <v>43902.586863425924</v>
      </c>
      <c r="B5540" s="8" t="str">
        <f>HYPERLINK("https://twitter.com/indoposonline","@indoposonline")</f>
        <v>@indoposonline</v>
      </c>
      <c r="C5540" s="8" t="s">
        <v>2631</v>
      </c>
      <c r="D5540" s="8">
        <v>0</v>
      </c>
      <c r="E5540" s="8">
        <v>0</v>
      </c>
      <c r="F5540" s="8">
        <v>3564</v>
      </c>
    </row>
    <row r="5541" spans="1:6" ht="12.75">
      <c r="A5541" s="8">
        <v>43902.586863425924</v>
      </c>
      <c r="B5541" s="8" t="str">
        <f>HYPERLINK("https://twitter.com/ImigrasiJambi","@ImigrasiJambi")</f>
        <v>@ImigrasiJambi</v>
      </c>
      <c r="C5541" s="8" t="s">
        <v>2632</v>
      </c>
      <c r="D5541" s="8">
        <v>0</v>
      </c>
      <c r="E5541" s="8">
        <v>0</v>
      </c>
      <c r="F5541" s="8">
        <v>800</v>
      </c>
    </row>
    <row r="5542" spans="1:6" ht="12.75">
      <c r="A5542" s="8">
        <v>43902.586655092593</v>
      </c>
      <c r="B5542" s="8" t="str">
        <f>HYPERLINK("https://twitter.com/Kabarsukadotcom","@Kabarsukadotcom")</f>
        <v>@Kabarsukadotcom</v>
      </c>
      <c r="C5542" s="8" t="s">
        <v>12</v>
      </c>
      <c r="D5542" s="8">
        <v>0</v>
      </c>
      <c r="E5542" s="8">
        <v>0</v>
      </c>
      <c r="F5542" s="8">
        <v>17</v>
      </c>
    </row>
    <row r="5543" spans="1:6" ht="12.75">
      <c r="A5543" s="8">
        <v>43902.586597222224</v>
      </c>
      <c r="B5543" s="8" t="str">
        <f>HYPERLINK("https://twitter.com/Mun4fikunn","@Mun4fikunn")</f>
        <v>@Mun4fikunn</v>
      </c>
      <c r="C5543" s="8" t="s">
        <v>2633</v>
      </c>
      <c r="D5543" s="8">
        <v>0</v>
      </c>
      <c r="E5543" s="8">
        <v>0</v>
      </c>
      <c r="F5543" s="8">
        <v>1693</v>
      </c>
    </row>
    <row r="5544" spans="1:6" ht="12.75">
      <c r="A5544" s="8">
        <v>43902.586516203708</v>
      </c>
      <c r="B5544" s="8" t="str">
        <f t="shared" ref="B5544:B5545" si="106">HYPERLINK("https://twitter.com/sandmanindo","@sandmanindo")</f>
        <v>@sandmanindo</v>
      </c>
      <c r="C5544" s="8" t="s">
        <v>2634</v>
      </c>
      <c r="D5544" s="8">
        <v>1</v>
      </c>
      <c r="E5544" s="8">
        <v>0</v>
      </c>
      <c r="F5544" s="8">
        <v>399</v>
      </c>
    </row>
    <row r="5545" spans="1:6" ht="12.75">
      <c r="A5545" s="8">
        <v>43902.586412037039</v>
      </c>
      <c r="B5545" s="8" t="str">
        <f t="shared" si="106"/>
        <v>@sandmanindo</v>
      </c>
      <c r="C5545" s="8" t="s">
        <v>2635</v>
      </c>
      <c r="D5545" s="8">
        <v>1</v>
      </c>
      <c r="E5545" s="8">
        <v>0</v>
      </c>
      <c r="F5545" s="8">
        <v>399</v>
      </c>
    </row>
    <row r="5546" spans="1:6" ht="12.75">
      <c r="A5546" s="8">
        <v>43902.586354166662</v>
      </c>
      <c r="B5546" s="8" t="str">
        <f>HYPERLINK("https://twitter.com/pempek_kulit","@pempek_kulit")</f>
        <v>@pempek_kulit</v>
      </c>
      <c r="C5546" s="8" t="s">
        <v>318</v>
      </c>
      <c r="D5546" s="8">
        <v>1444</v>
      </c>
      <c r="E5546" s="8">
        <v>0</v>
      </c>
      <c r="F5546" s="8">
        <v>45</v>
      </c>
    </row>
    <row r="5547" spans="1:6" ht="12.75">
      <c r="A5547" s="8">
        <v>43902.585763888885</v>
      </c>
      <c r="B5547" s="8" t="str">
        <f>HYPERLINK("https://twitter.com/alineadotid","@alineadotid")</f>
        <v>@alineadotid</v>
      </c>
      <c r="C5547" s="8" t="s">
        <v>2605</v>
      </c>
      <c r="D5547" s="8">
        <v>0</v>
      </c>
      <c r="E5547" s="8">
        <v>0</v>
      </c>
      <c r="F5547" s="8">
        <v>611440</v>
      </c>
    </row>
    <row r="5548" spans="1:6" ht="12.75">
      <c r="A5548" s="8">
        <v>43902.585416666669</v>
      </c>
      <c r="B5548" s="8" t="str">
        <f>HYPERLINK("https://twitter.com/cilliasiregar","@cilliasiregar")</f>
        <v>@cilliasiregar</v>
      </c>
      <c r="C5548" s="8" t="s">
        <v>2636</v>
      </c>
      <c r="D5548" s="8">
        <v>0</v>
      </c>
      <c r="E5548" s="8">
        <v>0</v>
      </c>
      <c r="F5548" s="8">
        <v>6</v>
      </c>
    </row>
    <row r="5549" spans="1:6" ht="12.75">
      <c r="A5549" s="8">
        <v>43902.584710648152</v>
      </c>
      <c r="B5549" s="8" t="str">
        <f>HYPERLINK("https://twitter.com/ISIS_Balik_NO","@ISIS_Balik_NO")</f>
        <v>@ISIS_Balik_NO</v>
      </c>
      <c r="C5549" s="8" t="s">
        <v>2637</v>
      </c>
      <c r="D5549" s="8">
        <v>0</v>
      </c>
      <c r="E5549" s="8">
        <v>0</v>
      </c>
      <c r="F5549" s="8">
        <v>6236</v>
      </c>
    </row>
    <row r="5550" spans="1:6" ht="12.75">
      <c r="A5550" s="8">
        <v>43902.584560185191</v>
      </c>
      <c r="B5550" s="8" t="str">
        <f>HYPERLINK("https://twitter.com/arjuno_ireng01","@arjuno_ireng01")</f>
        <v>@arjuno_ireng01</v>
      </c>
      <c r="C5550" s="8" t="s">
        <v>165</v>
      </c>
      <c r="D5550" s="8">
        <v>82</v>
      </c>
      <c r="E5550" s="8">
        <v>0</v>
      </c>
      <c r="F5550" s="8">
        <v>11354</v>
      </c>
    </row>
    <row r="5551" spans="1:6" ht="12.75">
      <c r="A5551" s="8">
        <v>43902.583333333328</v>
      </c>
      <c r="B5551" s="8" t="str">
        <f>HYPERLINK("https://twitter.com/Nadila_ID","@Nadila_ID")</f>
        <v>@Nadila_ID</v>
      </c>
      <c r="C5551" s="8" t="s">
        <v>2638</v>
      </c>
      <c r="D5551" s="8">
        <v>0</v>
      </c>
      <c r="E5551" s="8">
        <v>0</v>
      </c>
      <c r="F5551" s="8">
        <v>7179</v>
      </c>
    </row>
    <row r="5552" spans="1:6" ht="12.75">
      <c r="A5552" s="8">
        <v>43902.582824074074</v>
      </c>
      <c r="B5552" s="8" t="str">
        <f t="shared" ref="B5552:B5554" si="107">HYPERLINK("https://twitter.com/ImigrasiJambi","@ImigrasiJambi")</f>
        <v>@ImigrasiJambi</v>
      </c>
      <c r="C5552" s="8" t="s">
        <v>2639</v>
      </c>
      <c r="D5552" s="8">
        <v>0</v>
      </c>
      <c r="E5552" s="8">
        <v>0</v>
      </c>
      <c r="F5552" s="8">
        <v>800</v>
      </c>
    </row>
    <row r="5553" spans="1:6" ht="12.75">
      <c r="A5553" s="8">
        <v>43902.582708333328</v>
      </c>
      <c r="B5553" s="8" t="str">
        <f t="shared" si="107"/>
        <v>@ImigrasiJambi</v>
      </c>
      <c r="C5553" s="8" t="s">
        <v>2640</v>
      </c>
      <c r="D5553" s="8">
        <v>0</v>
      </c>
      <c r="E5553" s="8">
        <v>0</v>
      </c>
      <c r="F5553" s="8">
        <v>800</v>
      </c>
    </row>
    <row r="5554" spans="1:6" ht="12.75">
      <c r="A5554" s="8">
        <v>43902.582592592589</v>
      </c>
      <c r="B5554" s="8" t="str">
        <f t="shared" si="107"/>
        <v>@ImigrasiJambi</v>
      </c>
      <c r="C5554" s="8" t="s">
        <v>2641</v>
      </c>
      <c r="D5554" s="8">
        <v>0</v>
      </c>
      <c r="E5554" s="8">
        <v>0</v>
      </c>
      <c r="F5554" s="8">
        <v>800</v>
      </c>
    </row>
    <row r="5555" spans="1:6" ht="12.75">
      <c r="A5555" s="8">
        <v>43902.582534722227</v>
      </c>
      <c r="B5555" s="8" t="str">
        <f>HYPERLINK("https://twitter.com/ISIS_Balik_NO","@ISIS_Balik_NO")</f>
        <v>@ISIS_Balik_NO</v>
      </c>
      <c r="C5555" s="8" t="s">
        <v>2642</v>
      </c>
      <c r="D5555" s="8">
        <v>0</v>
      </c>
      <c r="E5555" s="8">
        <v>0</v>
      </c>
      <c r="F5555" s="8">
        <v>6236</v>
      </c>
    </row>
    <row r="5556" spans="1:6" ht="12.75">
      <c r="A5556" s="8">
        <v>43902.582476851851</v>
      </c>
      <c r="B5556" s="8" t="str">
        <f>HYPERLINK("https://twitter.com/antarajatimcom","@antarajatimcom")</f>
        <v>@antarajatimcom</v>
      </c>
      <c r="C5556" s="8" t="s">
        <v>2643</v>
      </c>
      <c r="D5556" s="8">
        <v>0</v>
      </c>
      <c r="E5556" s="8">
        <v>0</v>
      </c>
      <c r="F5556" s="8">
        <v>855</v>
      </c>
    </row>
    <row r="5557" spans="1:6" ht="12.75">
      <c r="A5557" s="8">
        <v>43902.581736111111</v>
      </c>
      <c r="B5557" s="8" t="str">
        <f>HYPERLINK("https://twitter.com/lusi_ramadhani","@lusi_ramadhani")</f>
        <v>@lusi_ramadhani</v>
      </c>
      <c r="C5557" s="8" t="s">
        <v>2644</v>
      </c>
      <c r="D5557" s="8">
        <v>0</v>
      </c>
      <c r="E5557" s="8">
        <v>0</v>
      </c>
      <c r="F5557" s="8">
        <v>359</v>
      </c>
    </row>
    <row r="5558" spans="1:6" ht="12.75">
      <c r="A5558" s="8">
        <v>43902.581678240742</v>
      </c>
      <c r="B5558" s="8" t="str">
        <f>HYPERLINK("https://twitter.com/germantantra","@germantantra")</f>
        <v>@germantantra</v>
      </c>
      <c r="C5558" s="8" t="s">
        <v>2645</v>
      </c>
      <c r="D5558" s="8">
        <v>2</v>
      </c>
      <c r="E5558" s="8">
        <v>0</v>
      </c>
      <c r="F5558" s="8">
        <v>167</v>
      </c>
    </row>
    <row r="5559" spans="1:6" ht="12.75">
      <c r="A5559" s="8">
        <v>43902.581053240741</v>
      </c>
      <c r="B5559" s="8" t="str">
        <f>HYPERLINK("https://twitter.com/wni_jmsri","@wni_jmsri")</f>
        <v>@wni_jmsri</v>
      </c>
      <c r="C5559" s="8" t="s">
        <v>2646</v>
      </c>
      <c r="D5559" s="8">
        <v>17020</v>
      </c>
      <c r="E5559" s="8">
        <v>0</v>
      </c>
      <c r="F5559" s="8">
        <v>201</v>
      </c>
    </row>
    <row r="5560" spans="1:6" ht="12.75">
      <c r="A5560" s="8">
        <v>43902.580995370372</v>
      </c>
      <c r="B5560" s="8" t="str">
        <f>HYPERLINK("https://twitter.com/ISIS_Balik_NO","@ISIS_Balik_NO")</f>
        <v>@ISIS_Balik_NO</v>
      </c>
      <c r="C5560" s="8" t="s">
        <v>2647</v>
      </c>
      <c r="D5560" s="8">
        <v>60</v>
      </c>
      <c r="E5560" s="8">
        <v>0</v>
      </c>
      <c r="F5560" s="8">
        <v>6236</v>
      </c>
    </row>
    <row r="5561" spans="1:6" ht="12.75">
      <c r="A5561" s="8">
        <v>43902.580972222218</v>
      </c>
      <c r="B5561" s="8" t="str">
        <f>HYPERLINK("https://twitter.com/achzam_prabu","@achzam_prabu")</f>
        <v>@achzam_prabu</v>
      </c>
      <c r="C5561" s="8" t="s">
        <v>165</v>
      </c>
      <c r="D5561" s="8">
        <v>82</v>
      </c>
      <c r="E5561" s="8">
        <v>0</v>
      </c>
      <c r="F5561" s="8">
        <v>4926</v>
      </c>
    </row>
    <row r="5562" spans="1:6" ht="12.75">
      <c r="A5562" s="8">
        <v>43902.580324074079</v>
      </c>
      <c r="B5562" s="8" t="str">
        <f>HYPERLINK("https://twitter.com/ISIS_Balik_NO","@ISIS_Balik_NO")</f>
        <v>@ISIS_Balik_NO</v>
      </c>
      <c r="C5562" s="8" t="s">
        <v>2648</v>
      </c>
      <c r="D5562" s="8">
        <v>0</v>
      </c>
      <c r="E5562" s="8">
        <v>1</v>
      </c>
      <c r="F5562" s="8">
        <v>6236</v>
      </c>
    </row>
    <row r="5563" spans="1:6" ht="12.75">
      <c r="A5563" s="8">
        <v>43902.580104166671</v>
      </c>
      <c r="B5563" s="8" t="str">
        <f>HYPERLINK("https://twitter.com/Rita8213","@Rita8213")</f>
        <v>@Rita8213</v>
      </c>
      <c r="C5563" s="8" t="s">
        <v>2649</v>
      </c>
      <c r="D5563" s="8">
        <v>0</v>
      </c>
      <c r="E5563" s="8">
        <v>0</v>
      </c>
      <c r="F5563" s="8">
        <v>156</v>
      </c>
    </row>
    <row r="5564" spans="1:6" ht="12.75">
      <c r="A5564" s="8">
        <v>43902.579745370371</v>
      </c>
      <c r="B5564" s="8" t="str">
        <f>HYPERLINK("https://twitter.com/Qin0yyy","@Qin0yyy")</f>
        <v>@Qin0yyy</v>
      </c>
      <c r="C5564" s="8" t="s">
        <v>2650</v>
      </c>
      <c r="D5564" s="8">
        <v>1</v>
      </c>
      <c r="E5564" s="8">
        <v>0</v>
      </c>
      <c r="F5564" s="8">
        <v>596</v>
      </c>
    </row>
    <row r="5565" spans="1:6" ht="12.75">
      <c r="A5565" s="8">
        <v>43902.578657407408</v>
      </c>
      <c r="B5565" s="8" t="str">
        <f>HYPERLINK("https://twitter.com/arif2702daulay","@arif2702daulay")</f>
        <v>@arif2702daulay</v>
      </c>
      <c r="C5565" s="8" t="s">
        <v>2651</v>
      </c>
      <c r="D5565" s="8">
        <v>0</v>
      </c>
      <c r="E5565" s="8">
        <v>0</v>
      </c>
      <c r="F5565" s="8">
        <v>2581</v>
      </c>
    </row>
    <row r="5566" spans="1:6" ht="12.75">
      <c r="A5566" s="8">
        <v>43902.578541666662</v>
      </c>
      <c r="B5566" s="8" t="str">
        <f>HYPERLINK("https://twitter.com/Ucipurnamas_","@Ucipurnamas_")</f>
        <v>@Ucipurnamas_</v>
      </c>
      <c r="C5566" s="8" t="s">
        <v>2652</v>
      </c>
      <c r="D5566" s="8">
        <v>7</v>
      </c>
      <c r="E5566" s="8">
        <v>0</v>
      </c>
      <c r="F5566" s="8">
        <v>69</v>
      </c>
    </row>
    <row r="5567" spans="1:6" ht="12.75">
      <c r="A5567" s="8">
        <v>43902.578310185185</v>
      </c>
      <c r="B5567" s="8" t="str">
        <f>HYPERLINK("https://twitter.com/GrandLight88","@GrandLight88")</f>
        <v>@GrandLight88</v>
      </c>
      <c r="C5567" s="8" t="s">
        <v>2653</v>
      </c>
      <c r="D5567" s="8">
        <v>0</v>
      </c>
      <c r="E5567" s="8">
        <v>0</v>
      </c>
      <c r="F5567" s="8">
        <v>20</v>
      </c>
    </row>
    <row r="5568" spans="1:6" ht="12.75">
      <c r="A5568" s="8">
        <v>43902.577800925923</v>
      </c>
      <c r="B5568" s="8" t="str">
        <f>HYPERLINK("https://twitter.com/ISIS_Balik_NO","@ISIS_Balik_NO")</f>
        <v>@ISIS_Balik_NO</v>
      </c>
      <c r="C5568" s="8" t="s">
        <v>2654</v>
      </c>
      <c r="D5568" s="8">
        <v>0</v>
      </c>
      <c r="E5568" s="8">
        <v>0</v>
      </c>
      <c r="F5568" s="8">
        <v>6236</v>
      </c>
    </row>
    <row r="5569" spans="1:6" ht="12.75">
      <c r="A5569" s="8">
        <v>43902.5777662037</v>
      </c>
      <c r="B5569" s="8" t="str">
        <f>HYPERLINK("https://twitter.com/MRiokusumo","@MRiokusumo")</f>
        <v>@MRiokusumo</v>
      </c>
      <c r="C5569" s="8" t="s">
        <v>1400</v>
      </c>
      <c r="D5569" s="8">
        <v>37</v>
      </c>
      <c r="E5569" s="8">
        <v>0</v>
      </c>
      <c r="F5569" s="8">
        <v>149</v>
      </c>
    </row>
    <row r="5570" spans="1:6" ht="12.75">
      <c r="A5570" s="8">
        <v>43902.577650462961</v>
      </c>
      <c r="B5570" s="8" t="str">
        <f>HYPERLINK("https://twitter.com/Fadelhavip","@Fadelhavip")</f>
        <v>@Fadelhavip</v>
      </c>
      <c r="C5570" s="8" t="s">
        <v>2655</v>
      </c>
      <c r="D5570" s="8">
        <v>0</v>
      </c>
      <c r="E5570" s="8">
        <v>0</v>
      </c>
      <c r="F5570" s="8">
        <v>180</v>
      </c>
    </row>
    <row r="5571" spans="1:6" ht="12.75">
      <c r="A5571" s="8">
        <v>43902.577476851853</v>
      </c>
      <c r="B5571" s="8" t="str">
        <f>HYPERLINK("https://twitter.com/Katozef","@Katozef")</f>
        <v>@Katozef</v>
      </c>
      <c r="C5571" s="8" t="s">
        <v>2656</v>
      </c>
      <c r="D5571" s="8">
        <v>0</v>
      </c>
      <c r="E5571" s="8">
        <v>0</v>
      </c>
      <c r="F5571" s="8">
        <v>1</v>
      </c>
    </row>
    <row r="5572" spans="1:6" ht="12.75">
      <c r="A5572" s="8">
        <v>43902.576921296291</v>
      </c>
      <c r="B5572" s="8" t="str">
        <f>HYPERLINK("https://twitter.com/Rita8213","@Rita8213")</f>
        <v>@Rita8213</v>
      </c>
      <c r="C5572" s="8" t="s">
        <v>2657</v>
      </c>
      <c r="D5572" s="8">
        <v>0</v>
      </c>
      <c r="E5572" s="8">
        <v>0</v>
      </c>
      <c r="F5572" s="8">
        <v>156</v>
      </c>
    </row>
    <row r="5573" spans="1:6" ht="12.75">
      <c r="A5573" s="8">
        <v>43902.576412037037</v>
      </c>
      <c r="B5573" s="8" t="str">
        <f>HYPERLINK("https://twitter.com/pikiran_rakyat","@pikiran_rakyat")</f>
        <v>@pikiran_rakyat</v>
      </c>
      <c r="C5573" s="8" t="s">
        <v>2658</v>
      </c>
      <c r="D5573" s="8">
        <v>0</v>
      </c>
      <c r="E5573" s="8">
        <v>0</v>
      </c>
      <c r="F5573" s="8">
        <v>413481</v>
      </c>
    </row>
    <row r="5574" spans="1:6" ht="12.75">
      <c r="A5574" s="8">
        <v>43902.575844907406</v>
      </c>
      <c r="B5574" s="8" t="str">
        <f>HYPERLINK("https://twitter.com/1CEVY","@1CEVY")</f>
        <v>@1CEVY</v>
      </c>
      <c r="C5574" s="8" t="s">
        <v>440</v>
      </c>
      <c r="D5574" s="8">
        <v>51</v>
      </c>
      <c r="E5574" s="8">
        <v>0</v>
      </c>
      <c r="F5574" s="8">
        <v>303</v>
      </c>
    </row>
    <row r="5575" spans="1:6" ht="12.75">
      <c r="A5575" s="8">
        <v>43902.575717592597</v>
      </c>
      <c r="B5575" s="8" t="str">
        <f>HYPERLINK("https://twitter.com/_wni_","@_wni_")</f>
        <v>@_wni_</v>
      </c>
      <c r="C5575" s="8" t="s">
        <v>2659</v>
      </c>
      <c r="D5575" s="8">
        <v>0</v>
      </c>
      <c r="E5575" s="8">
        <v>0</v>
      </c>
      <c r="F5575" s="8">
        <v>20</v>
      </c>
    </row>
    <row r="5576" spans="1:6" ht="12.75">
      <c r="A5576" s="8">
        <v>43902.575601851851</v>
      </c>
      <c r="B5576" s="8" t="str">
        <f>HYPERLINK("https://twitter.com/ISIS_Balik_NO","@ISIS_Balik_NO")</f>
        <v>@ISIS_Balik_NO</v>
      </c>
      <c r="C5576" s="8" t="s">
        <v>2660</v>
      </c>
      <c r="D5576" s="8">
        <v>0</v>
      </c>
      <c r="E5576" s="8">
        <v>0</v>
      </c>
      <c r="F5576" s="8">
        <v>6236</v>
      </c>
    </row>
    <row r="5577" spans="1:6" ht="12.75">
      <c r="A5577" s="8">
        <v>43902.575578703705</v>
      </c>
      <c r="B5577" s="8" t="str">
        <f>HYPERLINK("https://twitter.com/cornelladonara","@cornelladonara")</f>
        <v>@cornelladonara</v>
      </c>
      <c r="C5577" s="8" t="s">
        <v>2661</v>
      </c>
      <c r="D5577" s="8">
        <v>0</v>
      </c>
      <c r="E5577" s="8">
        <v>0</v>
      </c>
      <c r="F5577" s="8">
        <v>1608</v>
      </c>
    </row>
    <row r="5578" spans="1:6" ht="12.75">
      <c r="A5578" s="8">
        <v>43902.574733796297</v>
      </c>
      <c r="B5578" s="8" t="str">
        <f>HYPERLINK("https://twitter.com/Yadie050977","@Yadie050977")</f>
        <v>@Yadie050977</v>
      </c>
      <c r="C5578" s="8" t="s">
        <v>165</v>
      </c>
      <c r="D5578" s="8">
        <v>82</v>
      </c>
      <c r="E5578" s="8">
        <v>0</v>
      </c>
      <c r="F5578" s="8">
        <v>1345</v>
      </c>
    </row>
    <row r="5579" spans="1:6" ht="12.75">
      <c r="A5579" s="8">
        <v>43902.574710648143</v>
      </c>
      <c r="B5579" s="8" t="str">
        <f>HYPERLINK("https://twitter.com/ISIS_Balik_NO","@ISIS_Balik_NO")</f>
        <v>@ISIS_Balik_NO</v>
      </c>
      <c r="C5579" s="8" t="s">
        <v>2662</v>
      </c>
      <c r="D5579" s="8">
        <v>0</v>
      </c>
      <c r="E5579" s="8">
        <v>0</v>
      </c>
      <c r="F5579" s="8">
        <v>6236</v>
      </c>
    </row>
    <row r="5580" spans="1:6" ht="12.75">
      <c r="A5580" s="8">
        <v>43902.574444444443</v>
      </c>
      <c r="B5580" s="8" t="str">
        <f>HYPERLINK("https://twitter.com/TeguhBudiyono","@TeguhBudiyono")</f>
        <v>@TeguhBudiyono</v>
      </c>
      <c r="C5580" s="8" t="s">
        <v>2051</v>
      </c>
      <c r="D5580" s="8">
        <v>55</v>
      </c>
      <c r="E5580" s="8">
        <v>0</v>
      </c>
      <c r="F5580" s="8">
        <v>59</v>
      </c>
    </row>
    <row r="5581" spans="1:6" ht="12.75">
      <c r="A5581" s="8">
        <v>43902.57439814815</v>
      </c>
      <c r="B5581" s="8" t="str">
        <f t="shared" ref="B5581:B5583" si="108">HYPERLINK("https://twitter.com/aryacokronegoro","@aryacokronegoro")</f>
        <v>@aryacokronegoro</v>
      </c>
      <c r="C5581" s="8" t="s">
        <v>2663</v>
      </c>
      <c r="D5581" s="8">
        <v>0</v>
      </c>
      <c r="E5581" s="8">
        <v>0</v>
      </c>
      <c r="F5581" s="8">
        <v>437</v>
      </c>
    </row>
    <row r="5582" spans="1:6" ht="12.75">
      <c r="A5582" s="8">
        <v>43902.574374999997</v>
      </c>
      <c r="B5582" s="8" t="str">
        <f t="shared" si="108"/>
        <v>@aryacokronegoro</v>
      </c>
      <c r="C5582" s="8" t="s">
        <v>2664</v>
      </c>
      <c r="D5582" s="8">
        <v>1</v>
      </c>
      <c r="E5582" s="8">
        <v>0</v>
      </c>
      <c r="F5582" s="8">
        <v>437</v>
      </c>
    </row>
    <row r="5583" spans="1:6" ht="12.75">
      <c r="A5583" s="8">
        <v>43902.574374999997</v>
      </c>
      <c r="B5583" s="8" t="str">
        <f t="shared" si="108"/>
        <v>@aryacokronegoro</v>
      </c>
      <c r="C5583" s="8" t="s">
        <v>2665</v>
      </c>
      <c r="D5583" s="8">
        <v>1</v>
      </c>
      <c r="E5583" s="8">
        <v>1</v>
      </c>
      <c r="F5583" s="8">
        <v>437</v>
      </c>
    </row>
    <row r="5584" spans="1:6" ht="12.75">
      <c r="A5584" s="8">
        <v>43902.57402777778</v>
      </c>
      <c r="B5584" s="8" t="str">
        <f>HYPERLINK("https://twitter.com/ISIS_Balik_NO","@ISIS_Balik_NO")</f>
        <v>@ISIS_Balik_NO</v>
      </c>
      <c r="C5584" s="8" t="s">
        <v>2666</v>
      </c>
      <c r="D5584" s="8">
        <v>0</v>
      </c>
      <c r="E5584" s="8">
        <v>1</v>
      </c>
      <c r="F5584" s="8">
        <v>6236</v>
      </c>
    </row>
    <row r="5585" spans="1:6" ht="12.75">
      <c r="A5585" s="8">
        <v>43902.573703703703</v>
      </c>
      <c r="B5585" s="8" t="str">
        <f>HYPERLINK("https://twitter.com/mkfariz","@mkfariz")</f>
        <v>@mkfariz</v>
      </c>
      <c r="C5585" s="8" t="s">
        <v>440</v>
      </c>
      <c r="D5585" s="8">
        <v>51</v>
      </c>
      <c r="E5585" s="8">
        <v>0</v>
      </c>
      <c r="F5585" s="8">
        <v>77</v>
      </c>
    </row>
    <row r="5586" spans="1:6" ht="12.75">
      <c r="A5586" s="8">
        <v>43902.573680555557</v>
      </c>
      <c r="B5586" s="8" t="str">
        <f>HYPERLINK("https://twitter.com/Kania_MetroTV","@Kania_MetroTV")</f>
        <v>@Kania_MetroTV</v>
      </c>
      <c r="C5586" s="8" t="s">
        <v>2667</v>
      </c>
      <c r="D5586" s="8">
        <v>1</v>
      </c>
      <c r="E5586" s="8">
        <v>0</v>
      </c>
      <c r="F5586" s="8">
        <v>215834</v>
      </c>
    </row>
    <row r="5587" spans="1:6" ht="12.75">
      <c r="A5587" s="8">
        <v>43902.57267361111</v>
      </c>
      <c r="B5587" s="8" t="str">
        <f>HYPERLINK("https://twitter.com/GrandLight88","@GrandLight88")</f>
        <v>@GrandLight88</v>
      </c>
      <c r="C5587" s="8" t="s">
        <v>2668</v>
      </c>
      <c r="D5587" s="8">
        <v>0</v>
      </c>
      <c r="E5587" s="8">
        <v>1</v>
      </c>
      <c r="F5587" s="8">
        <v>20</v>
      </c>
    </row>
    <row r="5588" spans="1:6" ht="12.75">
      <c r="A5588" s="8">
        <v>43902.572557870371</v>
      </c>
      <c r="B5588" s="8" t="str">
        <f>HYPERLINK("https://twitter.com/ruditisilop","@ruditisilop")</f>
        <v>@ruditisilop</v>
      </c>
      <c r="C5588" s="8" t="s">
        <v>165</v>
      </c>
      <c r="D5588" s="8">
        <v>82</v>
      </c>
      <c r="E5588" s="8">
        <v>0</v>
      </c>
      <c r="F5588" s="8">
        <v>361</v>
      </c>
    </row>
    <row r="5589" spans="1:6" ht="12.75">
      <c r="A5589" s="8">
        <v>43902.572511574079</v>
      </c>
      <c r="B5589" s="8" t="str">
        <f>HYPERLINK("https://twitter.com/orping8387","@orping8387")</f>
        <v>@orping8387</v>
      </c>
      <c r="C5589" s="8" t="s">
        <v>2669</v>
      </c>
      <c r="D5589" s="8">
        <v>0</v>
      </c>
      <c r="E5589" s="8">
        <v>0</v>
      </c>
      <c r="F5589" s="8">
        <v>15</v>
      </c>
    </row>
    <row r="5590" spans="1:6" ht="12.75">
      <c r="A5590" s="8">
        <v>43902.571250000001</v>
      </c>
      <c r="B5590" s="8" t="str">
        <f>HYPERLINK("https://twitter.com/Hayik02","@Hayik02")</f>
        <v>@Hayik02</v>
      </c>
      <c r="C5590" s="8" t="s">
        <v>1643</v>
      </c>
      <c r="D5590" s="8">
        <v>88</v>
      </c>
      <c r="E5590" s="8">
        <v>0</v>
      </c>
      <c r="F5590" s="8">
        <v>277</v>
      </c>
    </row>
    <row r="5591" spans="1:6" ht="12.75">
      <c r="A5591" s="8">
        <v>43902.57068287037</v>
      </c>
      <c r="B5591" s="8" t="str">
        <f>HYPERLINK("https://twitter.com/translatorbali","@translatorbali")</f>
        <v>@translatorbali</v>
      </c>
      <c r="C5591" s="8" t="s">
        <v>2526</v>
      </c>
      <c r="D5591" s="8">
        <v>3</v>
      </c>
      <c r="E5591" s="8">
        <v>0</v>
      </c>
      <c r="F5591" s="8">
        <v>3877</v>
      </c>
    </row>
    <row r="5592" spans="1:6" ht="12.75">
      <c r="A5592" s="8">
        <v>43902.570393518516</v>
      </c>
      <c r="B5592" s="8" t="str">
        <f>HYPERLINK("https://twitter.com/AinaQueen5","@AinaQueen5")</f>
        <v>@AinaQueen5</v>
      </c>
      <c r="C5592" s="8" t="s">
        <v>2670</v>
      </c>
      <c r="D5592" s="8">
        <v>0</v>
      </c>
      <c r="E5592" s="8">
        <v>4</v>
      </c>
      <c r="F5592" s="8">
        <v>2411</v>
      </c>
    </row>
    <row r="5593" spans="1:6" ht="12.75">
      <c r="A5593" s="8">
        <v>43902.570335648154</v>
      </c>
      <c r="B5593" s="8" t="str">
        <f>HYPERLINK("https://twitter.com/ISIS_Balik_NO","@ISIS_Balik_NO")</f>
        <v>@ISIS_Balik_NO</v>
      </c>
      <c r="C5593" s="8" t="s">
        <v>2671</v>
      </c>
      <c r="D5593" s="8">
        <v>0</v>
      </c>
      <c r="E5593" s="8">
        <v>1</v>
      </c>
      <c r="F5593" s="8">
        <v>6236</v>
      </c>
    </row>
    <row r="5594" spans="1:6" ht="12.75">
      <c r="A5594" s="8">
        <v>43902.5700462963</v>
      </c>
      <c r="B5594" s="8" t="str">
        <f>HYPERLINK("https://twitter.com/JoeWongJava1","@JoeWongJava1")</f>
        <v>@JoeWongJava1</v>
      </c>
      <c r="C5594" s="8" t="s">
        <v>2672</v>
      </c>
      <c r="D5594" s="8">
        <v>0</v>
      </c>
      <c r="E5594" s="8">
        <v>0</v>
      </c>
      <c r="F5594" s="8">
        <v>176</v>
      </c>
    </row>
    <row r="5595" spans="1:6" ht="12.75">
      <c r="A5595" s="8">
        <v>43902.569733796292</v>
      </c>
      <c r="B5595" s="8" t="str">
        <f>HYPERLINK("https://twitter.com/indrayansyah421","@indrayansyah421")</f>
        <v>@indrayansyah421</v>
      </c>
      <c r="C5595" s="8" t="s">
        <v>2369</v>
      </c>
      <c r="D5595" s="8">
        <v>1</v>
      </c>
      <c r="E5595" s="8">
        <v>0</v>
      </c>
      <c r="F5595" s="8">
        <v>26</v>
      </c>
    </row>
    <row r="5596" spans="1:6" ht="12.75">
      <c r="A5596" s="8">
        <v>43902.569016203706</v>
      </c>
      <c r="B5596" s="8" t="str">
        <f>HYPERLINK("https://twitter.com/firaunrebahan","@firaunrebahan")</f>
        <v>@firaunrebahan</v>
      </c>
      <c r="C5596" s="8" t="s">
        <v>165</v>
      </c>
      <c r="D5596" s="8">
        <v>82</v>
      </c>
      <c r="E5596" s="8">
        <v>0</v>
      </c>
      <c r="F5596" s="8">
        <v>78</v>
      </c>
    </row>
    <row r="5597" spans="1:6" ht="12.75">
      <c r="A5597" s="8">
        <v>43902.567986111113</v>
      </c>
      <c r="B5597" s="8" t="str">
        <f>HYPERLINK("https://twitter.com/arif2702daulay","@arif2702daulay")</f>
        <v>@arif2702daulay</v>
      </c>
      <c r="C5597" s="8" t="s">
        <v>2673</v>
      </c>
      <c r="D5597" s="8">
        <v>0</v>
      </c>
      <c r="E5597" s="8">
        <v>0</v>
      </c>
      <c r="F5597" s="8">
        <v>2581</v>
      </c>
    </row>
    <row r="5598" spans="1:6" ht="12.75">
      <c r="A5598" s="8">
        <v>43902.567731481482</v>
      </c>
      <c r="B5598" s="8" t="str">
        <f>HYPERLINK("https://twitter.com/kompascom","@kompascom")</f>
        <v>@kompascom</v>
      </c>
      <c r="C5598" s="8" t="s">
        <v>2674</v>
      </c>
      <c r="D5598" s="8">
        <v>0</v>
      </c>
      <c r="E5598" s="8">
        <v>3</v>
      </c>
      <c r="F5598" s="8">
        <v>7542527</v>
      </c>
    </row>
    <row r="5599" spans="1:6" ht="12.75">
      <c r="A5599" s="8">
        <v>43902.567430555559</v>
      </c>
      <c r="B5599" s="8" t="str">
        <f>HYPERLINK("https://twitter.com/Arifngk","@Arifngk")</f>
        <v>@Arifngk</v>
      </c>
      <c r="C5599" s="8" t="s">
        <v>1643</v>
      </c>
      <c r="D5599" s="8">
        <v>88</v>
      </c>
      <c r="E5599" s="8">
        <v>0</v>
      </c>
      <c r="F5599" s="8">
        <v>512</v>
      </c>
    </row>
    <row r="5600" spans="1:6" ht="12.75">
      <c r="A5600" s="8">
        <v>43902.567013888889</v>
      </c>
      <c r="B5600" s="8" t="str">
        <f>HYPERLINK("https://twitter.com/Partodewo9","@Partodewo9")</f>
        <v>@Partodewo9</v>
      </c>
      <c r="C5600" s="8" t="s">
        <v>2675</v>
      </c>
      <c r="D5600" s="8">
        <v>0</v>
      </c>
      <c r="E5600" s="8">
        <v>0</v>
      </c>
      <c r="F5600" s="8">
        <v>310</v>
      </c>
    </row>
    <row r="5601" spans="1:6" ht="12.75">
      <c r="A5601" s="8">
        <v>43902.566979166666</v>
      </c>
      <c r="B5601" s="8" t="str">
        <f>HYPERLINK("https://twitter.com/saeful_amry","@saeful_amry")</f>
        <v>@saeful_amry</v>
      </c>
      <c r="C5601" s="8" t="s">
        <v>2676</v>
      </c>
      <c r="D5601" s="8">
        <v>12</v>
      </c>
      <c r="E5601" s="8">
        <v>0</v>
      </c>
      <c r="F5601" s="8">
        <v>135</v>
      </c>
    </row>
    <row r="5602" spans="1:6" ht="12.75">
      <c r="A5602" s="8">
        <v>43902.566712962958</v>
      </c>
      <c r="B5602" s="8" t="str">
        <f>HYPERLINK("https://twitter.com/GrandLight88","@GrandLight88")</f>
        <v>@GrandLight88</v>
      </c>
      <c r="C5602" s="8" t="s">
        <v>2677</v>
      </c>
      <c r="D5602" s="8">
        <v>0</v>
      </c>
      <c r="E5602" s="8">
        <v>2</v>
      </c>
      <c r="F5602" s="8">
        <v>20</v>
      </c>
    </row>
    <row r="5603" spans="1:6" ht="12.75">
      <c r="A5603" s="8">
        <v>43902.566458333335</v>
      </c>
      <c r="B5603" s="8" t="str">
        <f>HYPERLINK("https://twitter.com/GreenPrinting9","@GreenPrinting9")</f>
        <v>@GreenPrinting9</v>
      </c>
      <c r="C5603" s="8" t="s">
        <v>2292</v>
      </c>
      <c r="D5603" s="8">
        <v>55</v>
      </c>
      <c r="E5603" s="8">
        <v>0</v>
      </c>
      <c r="F5603" s="8">
        <v>143</v>
      </c>
    </row>
    <row r="5604" spans="1:6" ht="12.75">
      <c r="A5604" s="8">
        <v>43902.565844907411</v>
      </c>
      <c r="B5604" s="8" t="str">
        <f>HYPERLINK("https://twitter.com/NawaSion","@NawaSion")</f>
        <v>@NawaSion</v>
      </c>
      <c r="C5604" s="8" t="s">
        <v>2678</v>
      </c>
      <c r="D5604" s="8">
        <v>0</v>
      </c>
      <c r="E5604" s="8">
        <v>0</v>
      </c>
      <c r="F5604" s="8">
        <v>131</v>
      </c>
    </row>
    <row r="5605" spans="1:6" ht="12.75">
      <c r="A5605" s="8">
        <v>43902.565775462965</v>
      </c>
      <c r="B5605" s="8" t="str">
        <f>HYPERLINK("https://twitter.com/kanim_tangerang","@kanim_tangerang")</f>
        <v>@kanim_tangerang</v>
      </c>
      <c r="C5605" s="8" t="s">
        <v>2629</v>
      </c>
      <c r="D5605" s="8">
        <v>15</v>
      </c>
      <c r="E5605" s="8">
        <v>0</v>
      </c>
      <c r="F5605" s="8">
        <v>3766</v>
      </c>
    </row>
    <row r="5606" spans="1:6" ht="12.75">
      <c r="A5606" s="8">
        <v>43902.565509259264</v>
      </c>
      <c r="B5606" s="8" t="str">
        <f>HYPERLINK("https://twitter.com/andi_saja","@andi_saja")</f>
        <v>@andi_saja</v>
      </c>
      <c r="C5606" s="8" t="s">
        <v>165</v>
      </c>
      <c r="D5606" s="8">
        <v>82</v>
      </c>
      <c r="E5606" s="8">
        <v>0</v>
      </c>
      <c r="F5606" s="8">
        <v>2007</v>
      </c>
    </row>
    <row r="5607" spans="1:6" ht="12.75">
      <c r="A5607" s="8">
        <v>43902.565324074079</v>
      </c>
      <c r="B5607" s="8" t="str">
        <f>HYPERLINK("https://twitter.com/freywalis","@freywalis")</f>
        <v>@freywalis</v>
      </c>
      <c r="C5607" s="8" t="s">
        <v>440</v>
      </c>
      <c r="D5607" s="8">
        <v>51</v>
      </c>
      <c r="E5607" s="8">
        <v>0</v>
      </c>
      <c r="F5607" s="8">
        <v>254</v>
      </c>
    </row>
    <row r="5608" spans="1:6" ht="12.75">
      <c r="A5608" s="8">
        <v>43902.564629629633</v>
      </c>
      <c r="B5608" s="8" t="str">
        <f>HYPERLINK("https://twitter.com/mediaindonesia","@mediaindonesia")</f>
        <v>@mediaindonesia</v>
      </c>
      <c r="C5608" s="8" t="s">
        <v>2679</v>
      </c>
      <c r="D5608" s="8">
        <v>0</v>
      </c>
      <c r="E5608" s="8">
        <v>4</v>
      </c>
      <c r="F5608" s="8">
        <v>1421053</v>
      </c>
    </row>
    <row r="5609" spans="1:6" ht="12.75">
      <c r="A5609" s="8">
        <v>43902.564606481479</v>
      </c>
      <c r="B5609" s="8" t="str">
        <f>HYPERLINK("https://twitter.com/galamedianews","@galamedianews")</f>
        <v>@galamedianews</v>
      </c>
      <c r="C5609" s="8" t="s">
        <v>2680</v>
      </c>
      <c r="D5609" s="8">
        <v>0</v>
      </c>
      <c r="E5609" s="8">
        <v>0</v>
      </c>
      <c r="F5609" s="8">
        <v>13870</v>
      </c>
    </row>
    <row r="5610" spans="1:6" ht="12.75">
      <c r="A5610" s="8">
        <v>43902.564398148148</v>
      </c>
      <c r="B5610" s="8" t="str">
        <f>HYPERLINK("https://twitter.com/johhhnygudhel","@johhhnygudhel")</f>
        <v>@johhhnygudhel</v>
      </c>
      <c r="C5610" s="8" t="s">
        <v>2681</v>
      </c>
      <c r="D5610" s="8">
        <v>1</v>
      </c>
      <c r="E5610" s="8">
        <v>0</v>
      </c>
      <c r="F5610" s="8">
        <v>2772</v>
      </c>
    </row>
    <row r="5611" spans="1:6" ht="12.75">
      <c r="A5611" s="8">
        <v>43902.563888888893</v>
      </c>
      <c r="B5611" s="8" t="str">
        <f>HYPERLINK("https://twitter.com/pesanbijakk","@pesanbijakk")</f>
        <v>@pesanbijakk</v>
      </c>
      <c r="C5611" s="8" t="s">
        <v>2682</v>
      </c>
      <c r="D5611" s="8">
        <v>0</v>
      </c>
      <c r="E5611" s="8">
        <v>0</v>
      </c>
      <c r="F5611" s="8">
        <v>94050</v>
      </c>
    </row>
    <row r="5612" spans="1:6" ht="12.75">
      <c r="A5612" s="8">
        <v>43902.56386574074</v>
      </c>
      <c r="B5612" s="8" t="str">
        <f>HYPERLINK("https://twitter.com/republikaonline","@republikaonline")</f>
        <v>@republikaonline</v>
      </c>
      <c r="C5612" s="8" t="s">
        <v>2683</v>
      </c>
      <c r="D5612" s="8">
        <v>0</v>
      </c>
      <c r="E5612" s="8">
        <v>4</v>
      </c>
      <c r="F5612" s="8">
        <v>1224651</v>
      </c>
    </row>
    <row r="5613" spans="1:6" ht="12.75">
      <c r="A5613" s="8">
        <v>43902.560277777782</v>
      </c>
      <c r="B5613" s="8" t="str">
        <f>HYPERLINK("https://twitter.com/YohanesPatty2","@YohanesPatty2")</f>
        <v>@YohanesPatty2</v>
      </c>
      <c r="C5613" s="8" t="s">
        <v>2645</v>
      </c>
      <c r="D5613" s="8">
        <v>2</v>
      </c>
      <c r="E5613" s="8">
        <v>0</v>
      </c>
      <c r="F5613" s="8">
        <v>5890</v>
      </c>
    </row>
    <row r="5614" spans="1:6" ht="12.75">
      <c r="A5614" s="8">
        <v>43902.560104166667</v>
      </c>
      <c r="B5614" s="8" t="str">
        <f>HYPERLINK("https://twitter.com/kompascom","@kompascom")</f>
        <v>@kompascom</v>
      </c>
      <c r="C5614" s="8" t="s">
        <v>2684</v>
      </c>
      <c r="D5614" s="8">
        <v>0</v>
      </c>
      <c r="E5614" s="8">
        <v>4</v>
      </c>
      <c r="F5614" s="8">
        <v>7542527</v>
      </c>
    </row>
    <row r="5615" spans="1:6" ht="12.75">
      <c r="A5615" s="8">
        <v>43902.560023148151</v>
      </c>
      <c r="B5615" s="8" t="str">
        <f>HYPERLINK("https://twitter.com/adityatrd","@adityatrd")</f>
        <v>@adityatrd</v>
      </c>
      <c r="C5615" s="8" t="s">
        <v>2051</v>
      </c>
      <c r="D5615" s="8">
        <v>55</v>
      </c>
      <c r="E5615" s="8">
        <v>0</v>
      </c>
      <c r="F5615" s="8">
        <v>529</v>
      </c>
    </row>
    <row r="5616" spans="1:6" ht="12.75">
      <c r="A5616" s="8">
        <v>43902.559872685189</v>
      </c>
      <c r="B5616" s="8" t="str">
        <f>HYPERLINK("https://twitter.com/Andi_ariyanto99","@Andi_ariyanto99")</f>
        <v>@Andi_ariyanto99</v>
      </c>
      <c r="C5616" s="8" t="s">
        <v>2685</v>
      </c>
      <c r="D5616" s="8">
        <v>2</v>
      </c>
      <c r="E5616" s="8">
        <v>2</v>
      </c>
      <c r="F5616" s="8">
        <v>422</v>
      </c>
    </row>
    <row r="5617" spans="1:6" ht="12.75">
      <c r="A5617" s="8">
        <v>43902.559432870374</v>
      </c>
      <c r="B5617" s="8" t="str">
        <f>HYPERLINK("https://twitter.com/ISIS_Balik_NO","@ISIS_Balik_NO")</f>
        <v>@ISIS_Balik_NO</v>
      </c>
      <c r="C5617" s="8" t="s">
        <v>2686</v>
      </c>
      <c r="D5617" s="8">
        <v>0</v>
      </c>
      <c r="E5617" s="8">
        <v>1</v>
      </c>
      <c r="F5617" s="8">
        <v>6236</v>
      </c>
    </row>
    <row r="5618" spans="1:6" ht="12.75">
      <c r="A5618" s="8">
        <v>43902.559259259258</v>
      </c>
      <c r="B5618" s="8" t="str">
        <f>HYPERLINK("https://twitter.com/isalxmonkey","@isalxmonkey")</f>
        <v>@isalxmonkey</v>
      </c>
      <c r="C5618" s="8" t="s">
        <v>1836</v>
      </c>
      <c r="D5618" s="8">
        <v>74</v>
      </c>
      <c r="E5618" s="8">
        <v>0</v>
      </c>
      <c r="F5618" s="8">
        <v>258</v>
      </c>
    </row>
    <row r="5619" spans="1:6" ht="12.75">
      <c r="A5619" s="8">
        <v>43902.558067129634</v>
      </c>
      <c r="B5619" s="8" t="str">
        <f>HYPERLINK("https://twitter.com/Itukangsate","@Itukangsate")</f>
        <v>@Itukangsate</v>
      </c>
      <c r="C5619" s="8" t="s">
        <v>2687</v>
      </c>
      <c r="D5619" s="8">
        <v>0</v>
      </c>
      <c r="E5619" s="8">
        <v>0</v>
      </c>
      <c r="F5619" s="8">
        <v>7</v>
      </c>
    </row>
    <row r="5620" spans="1:6" ht="12.75">
      <c r="A5620" s="8">
        <v>43902.55740740741</v>
      </c>
      <c r="B5620" s="8" t="str">
        <f>HYPERLINK("https://twitter.com/ISIS_Balik_NO","@ISIS_Balik_NO")</f>
        <v>@ISIS_Balik_NO</v>
      </c>
      <c r="C5620" s="8" t="s">
        <v>2688</v>
      </c>
      <c r="D5620" s="8">
        <v>0</v>
      </c>
      <c r="E5620" s="8">
        <v>0</v>
      </c>
      <c r="F5620" s="8">
        <v>6236</v>
      </c>
    </row>
    <row r="5621" spans="1:6" ht="12.75">
      <c r="A5621" s="8">
        <v>43902.556909722218</v>
      </c>
      <c r="B5621" s="8" t="str">
        <f>HYPERLINK("https://twitter.com/Pauuuuuuuuuuul","@Pauuuuuuuuuuul")</f>
        <v>@Pauuuuuuuuuuul</v>
      </c>
      <c r="C5621" s="8" t="s">
        <v>2689</v>
      </c>
      <c r="D5621" s="8">
        <v>0</v>
      </c>
      <c r="E5621" s="8">
        <v>0</v>
      </c>
      <c r="F5621" s="8">
        <v>40</v>
      </c>
    </row>
    <row r="5622" spans="1:6" ht="12.75">
      <c r="A5622" s="8">
        <v>43902.556446759263</v>
      </c>
      <c r="B5622" s="8" t="str">
        <f>HYPERLINK("https://twitter.com/ISIS_Balik_NO","@ISIS_Balik_NO")</f>
        <v>@ISIS_Balik_NO</v>
      </c>
      <c r="C5622" s="8" t="s">
        <v>2690</v>
      </c>
      <c r="D5622" s="8">
        <v>0</v>
      </c>
      <c r="E5622" s="8">
        <v>0</v>
      </c>
      <c r="F5622" s="8">
        <v>6236</v>
      </c>
    </row>
    <row r="5623" spans="1:6" ht="12.75">
      <c r="A5623" s="8">
        <v>43902.556018518517</v>
      </c>
      <c r="B5623" s="8" t="str">
        <f>HYPERLINK("https://twitter.com/topinfo_id","@topinfo_id")</f>
        <v>@topinfo_id</v>
      </c>
      <c r="C5623" s="8" t="s">
        <v>2691</v>
      </c>
      <c r="D5623" s="8">
        <v>0</v>
      </c>
      <c r="E5623" s="8">
        <v>0</v>
      </c>
      <c r="F5623" s="8">
        <v>99</v>
      </c>
    </row>
    <row r="5624" spans="1:6" ht="12.75">
      <c r="A5624" s="8">
        <v>43902.555879629625</v>
      </c>
      <c r="B5624" s="8" t="str">
        <f>HYPERLINK("https://twitter.com/bukantokobaju","@bukantokobaju")</f>
        <v>@bukantokobaju</v>
      </c>
      <c r="C5624" s="8" t="s">
        <v>440</v>
      </c>
      <c r="D5624" s="8">
        <v>51</v>
      </c>
      <c r="E5624" s="8">
        <v>0</v>
      </c>
      <c r="F5624" s="8">
        <v>55</v>
      </c>
    </row>
    <row r="5625" spans="1:6" ht="12.75">
      <c r="A5625" s="8">
        <v>43902.555821759262</v>
      </c>
      <c r="B5625" s="8" t="str">
        <f>HYPERLINK("https://twitter.com/Awin752","@Awin752")</f>
        <v>@Awin752</v>
      </c>
      <c r="C5625" s="8" t="s">
        <v>2692</v>
      </c>
      <c r="D5625" s="8">
        <v>5</v>
      </c>
      <c r="E5625" s="8">
        <v>0</v>
      </c>
      <c r="F5625" s="8">
        <v>28</v>
      </c>
    </row>
    <row r="5626" spans="1:6" ht="12.75">
      <c r="A5626" s="8">
        <v>43902.555486111116</v>
      </c>
      <c r="B5626" s="8" t="str">
        <f>HYPERLINK("https://twitter.com/DJ_Jerrin","@DJ_Jerrin")</f>
        <v>@DJ_Jerrin</v>
      </c>
      <c r="C5626" s="8" t="s">
        <v>2589</v>
      </c>
      <c r="D5626" s="8">
        <v>2</v>
      </c>
      <c r="E5626" s="8">
        <v>0</v>
      </c>
      <c r="F5626" s="8">
        <v>47</v>
      </c>
    </row>
    <row r="5627" spans="1:6" ht="12.75">
      <c r="A5627" s="8">
        <v>43902.555439814816</v>
      </c>
      <c r="B5627" s="8" t="str">
        <f>HYPERLINK("https://twitter.com/Harunut","@Harunut")</f>
        <v>@Harunut</v>
      </c>
      <c r="C5627" s="8" t="s">
        <v>2626</v>
      </c>
      <c r="D5627" s="8">
        <v>2</v>
      </c>
      <c r="E5627" s="8">
        <v>0</v>
      </c>
      <c r="F5627" s="8">
        <v>744</v>
      </c>
    </row>
    <row r="5628" spans="1:6" ht="12.75">
      <c r="A5628" s="8">
        <v>43902.555347222224</v>
      </c>
      <c r="B5628" s="8" t="str">
        <f>HYPERLINK("https://twitter.com/KarlaOlaalaaa","@KarlaOlaalaaa")</f>
        <v>@KarlaOlaalaaa</v>
      </c>
      <c r="C5628" s="8" t="s">
        <v>2693</v>
      </c>
      <c r="D5628" s="8">
        <v>0</v>
      </c>
      <c r="E5628" s="8">
        <v>0</v>
      </c>
      <c r="F5628" s="8">
        <v>635</v>
      </c>
    </row>
    <row r="5629" spans="1:6" ht="12.75">
      <c r="A5629" s="8">
        <v>43902.555335648147</v>
      </c>
      <c r="B5629" s="8" t="str">
        <f>HYPERLINK("https://twitter.com/tarmeasy","@tarmeasy")</f>
        <v>@tarmeasy</v>
      </c>
      <c r="C5629" s="8" t="s">
        <v>2694</v>
      </c>
      <c r="D5629" s="8">
        <v>0</v>
      </c>
      <c r="E5629" s="8">
        <v>0</v>
      </c>
      <c r="F5629" s="8">
        <v>228</v>
      </c>
    </row>
    <row r="5630" spans="1:6" ht="12.75">
      <c r="A5630" s="8">
        <v>43902.548067129625</v>
      </c>
      <c r="B5630" s="8" t="str">
        <f>HYPERLINK("https://twitter.com/antaranews","@antaranews")</f>
        <v>@antaranews</v>
      </c>
      <c r="C5630" s="8" t="s">
        <v>2695</v>
      </c>
      <c r="D5630" s="8">
        <v>0</v>
      </c>
      <c r="E5630" s="8">
        <v>0</v>
      </c>
      <c r="F5630" s="8">
        <v>1107329</v>
      </c>
    </row>
    <row r="5631" spans="1:6" ht="12.75">
      <c r="A5631" s="8">
        <v>43902.548032407409</v>
      </c>
      <c r="B5631" s="8" t="str">
        <f>HYPERLINK("https://twitter.com/JoeWongJava1","@JoeWongJava1")</f>
        <v>@JoeWongJava1</v>
      </c>
      <c r="C5631" s="8" t="s">
        <v>2696</v>
      </c>
      <c r="D5631" s="8">
        <v>0</v>
      </c>
      <c r="E5631" s="8">
        <v>0</v>
      </c>
      <c r="F5631" s="8">
        <v>176</v>
      </c>
    </row>
    <row r="5632" spans="1:6" ht="12.75">
      <c r="A5632" s="8">
        <v>43902.547824074078</v>
      </c>
      <c r="B5632" s="8" t="str">
        <f>HYPERLINK("https://twitter.com/BrunoMishra","@BrunoMishra")</f>
        <v>@BrunoMishra</v>
      </c>
      <c r="C5632" s="8" t="s">
        <v>2697</v>
      </c>
      <c r="D5632" s="8">
        <v>9</v>
      </c>
      <c r="E5632" s="8">
        <v>0</v>
      </c>
      <c r="F5632" s="8">
        <v>174</v>
      </c>
    </row>
    <row r="5633" spans="1:6" ht="12.75">
      <c r="A5633" s="8">
        <v>43902.547800925924</v>
      </c>
      <c r="B5633" s="8" t="str">
        <f>HYPERLINK("https://twitter.com/Darmalik3","@Darmalik3")</f>
        <v>@Darmalik3</v>
      </c>
      <c r="C5633" s="8" t="s">
        <v>2589</v>
      </c>
      <c r="D5633" s="8">
        <v>1</v>
      </c>
      <c r="E5633" s="8">
        <v>0</v>
      </c>
      <c r="F5633" s="8">
        <v>1880</v>
      </c>
    </row>
    <row r="5634" spans="1:6" ht="12.75">
      <c r="A5634" s="8">
        <v>43902.54755787037</v>
      </c>
      <c r="B5634" s="8" t="str">
        <f>HYPERLINK("https://twitter.com/YearOfRat","@YearOfRat")</f>
        <v>@YearOfRat</v>
      </c>
      <c r="C5634" s="8" t="s">
        <v>2697</v>
      </c>
      <c r="D5634" s="8">
        <v>9</v>
      </c>
      <c r="E5634" s="8">
        <v>0</v>
      </c>
      <c r="F5634" s="8">
        <v>31005</v>
      </c>
    </row>
    <row r="5635" spans="1:6" ht="12.75">
      <c r="A5635" s="8">
        <v>43902.547384259262</v>
      </c>
      <c r="B5635" s="8" t="str">
        <f>HYPERLINK("https://twitter.com/arif2702daulay","@arif2702daulay")</f>
        <v>@arif2702daulay</v>
      </c>
      <c r="C5635" s="8" t="s">
        <v>2698</v>
      </c>
      <c r="D5635" s="8">
        <v>0</v>
      </c>
      <c r="E5635" s="8">
        <v>0</v>
      </c>
      <c r="F5635" s="8">
        <v>2579</v>
      </c>
    </row>
    <row r="5636" spans="1:6" ht="12.75">
      <c r="A5636" s="8">
        <v>43902.546469907407</v>
      </c>
      <c r="B5636" s="8" t="str">
        <f>HYPERLINK("https://twitter.com/mrsmadarauchiha","@mrsmadarauchiha")</f>
        <v>@mrsmadarauchiha</v>
      </c>
      <c r="C5636" s="8" t="s">
        <v>440</v>
      </c>
      <c r="D5636" s="8">
        <v>40</v>
      </c>
      <c r="E5636" s="8">
        <v>0</v>
      </c>
      <c r="F5636" s="8">
        <v>414</v>
      </c>
    </row>
    <row r="5637" spans="1:6" ht="12.75">
      <c r="A5637" s="8">
        <v>43902.546099537038</v>
      </c>
      <c r="B5637" s="8" t="str">
        <f>HYPERLINK("https://twitter.com/franza__","@franza__")</f>
        <v>@franza__</v>
      </c>
      <c r="C5637" s="8" t="s">
        <v>440</v>
      </c>
      <c r="D5637" s="8">
        <v>40</v>
      </c>
      <c r="E5637" s="8">
        <v>0</v>
      </c>
      <c r="F5637" s="8">
        <v>584</v>
      </c>
    </row>
    <row r="5638" spans="1:6" ht="12.75">
      <c r="A5638" s="8">
        <v>43902.545752314814</v>
      </c>
      <c r="B5638" s="8" t="str">
        <f>HYPERLINK("https://twitter.com/_wni_","@_wni_")</f>
        <v>@_wni_</v>
      </c>
      <c r="C5638" s="8" t="s">
        <v>2646</v>
      </c>
      <c r="D5638" s="8">
        <v>14446</v>
      </c>
      <c r="E5638" s="8">
        <v>0</v>
      </c>
      <c r="F5638" s="8">
        <v>20</v>
      </c>
    </row>
    <row r="5639" spans="1:6" ht="12.75">
      <c r="A5639" s="8">
        <v>43902.545405092591</v>
      </c>
      <c r="B5639" s="8" t="str">
        <f>HYPERLINK("https://twitter.com/dondihananto","@dondihananto")</f>
        <v>@dondihananto</v>
      </c>
      <c r="C5639" s="8" t="s">
        <v>440</v>
      </c>
      <c r="D5639" s="8">
        <v>40</v>
      </c>
      <c r="E5639" s="8">
        <v>0</v>
      </c>
      <c r="F5639" s="8">
        <v>25318</v>
      </c>
    </row>
    <row r="5640" spans="1:6" ht="12.75">
      <c r="A5640" s="8">
        <v>43902.545393518521</v>
      </c>
      <c r="B5640" s="8" t="str">
        <f>HYPERLINK("https://twitter.com/gombang","@gombang")</f>
        <v>@gombang</v>
      </c>
      <c r="C5640" s="8" t="s">
        <v>440</v>
      </c>
      <c r="D5640" s="8">
        <v>40</v>
      </c>
      <c r="E5640" s="8">
        <v>0</v>
      </c>
      <c r="F5640" s="8">
        <v>1496</v>
      </c>
    </row>
    <row r="5641" spans="1:6" ht="12.75">
      <c r="A5641" s="8">
        <v>43902.544791666667</v>
      </c>
      <c r="B5641" s="8" t="str">
        <f>HYPERLINK("https://twitter.com/_wni_","@_wni_")</f>
        <v>@_wni_</v>
      </c>
      <c r="C5641" s="8" t="s">
        <v>2699</v>
      </c>
      <c r="D5641" s="8">
        <v>0</v>
      </c>
      <c r="E5641" s="8">
        <v>0</v>
      </c>
      <c r="F5641" s="8">
        <v>20</v>
      </c>
    </row>
    <row r="5642" spans="1:6" ht="12.75">
      <c r="A5642" s="8">
        <v>43902.544722222221</v>
      </c>
      <c r="B5642" s="8" t="str">
        <f>HYPERLINK("https://twitter.com/wennice8","@wennice8")</f>
        <v>@wennice8</v>
      </c>
      <c r="C5642" s="8" t="s">
        <v>2676</v>
      </c>
      <c r="D5642" s="8">
        <v>11</v>
      </c>
      <c r="E5642" s="8">
        <v>0</v>
      </c>
      <c r="F5642" s="8">
        <v>314</v>
      </c>
    </row>
    <row r="5643" spans="1:6" ht="12.75">
      <c r="A5643" s="8">
        <v>43902.544108796297</v>
      </c>
      <c r="B5643" s="8" t="str">
        <f t="shared" ref="B5643:B5644" si="109">HYPERLINK("https://twitter.com/IdEmbassy_Seoul","@IdEmbassy_Seoul")</f>
        <v>@IdEmbassy_Seoul</v>
      </c>
      <c r="C5643" s="8" t="s">
        <v>2700</v>
      </c>
      <c r="D5643" s="8">
        <v>0</v>
      </c>
      <c r="E5643" s="8">
        <v>0</v>
      </c>
      <c r="F5643" s="8">
        <v>3900</v>
      </c>
    </row>
    <row r="5644" spans="1:6" ht="12.75">
      <c r="A5644" s="8">
        <v>43902.54409722222</v>
      </c>
      <c r="B5644" s="8" t="str">
        <f t="shared" si="109"/>
        <v>@IdEmbassy_Seoul</v>
      </c>
      <c r="C5644" s="8" t="s">
        <v>2701</v>
      </c>
      <c r="D5644" s="8">
        <v>0</v>
      </c>
      <c r="E5644" s="8">
        <v>2</v>
      </c>
      <c r="F5644" s="8">
        <v>3900</v>
      </c>
    </row>
    <row r="5645" spans="1:6" ht="12.75">
      <c r="A5645" s="8">
        <v>43902.543958333335</v>
      </c>
      <c r="B5645" s="8" t="str">
        <f>HYPERLINK("https://twitter.com/tsetiady","@tsetiady")</f>
        <v>@tsetiady</v>
      </c>
      <c r="C5645" s="8" t="s">
        <v>440</v>
      </c>
      <c r="D5645" s="8">
        <v>40</v>
      </c>
      <c r="E5645" s="8">
        <v>0</v>
      </c>
      <c r="F5645" s="8">
        <v>912</v>
      </c>
    </row>
    <row r="5646" spans="1:6" ht="12.75">
      <c r="A5646" s="8">
        <v>43902.543912037036</v>
      </c>
      <c r="B5646" s="8" t="str">
        <f>HYPERLINK("https://twitter.com/_wni_","@_wni_")</f>
        <v>@_wni_</v>
      </c>
      <c r="C5646" s="8" t="s">
        <v>2702</v>
      </c>
      <c r="D5646" s="8">
        <v>0</v>
      </c>
      <c r="E5646" s="8">
        <v>0</v>
      </c>
      <c r="F5646" s="8">
        <v>20</v>
      </c>
    </row>
    <row r="5647" spans="1:6" ht="12.75">
      <c r="A5647" s="8">
        <v>43902.542928240742</v>
      </c>
      <c r="B5647" s="8" t="str">
        <f>HYPERLINK("https://twitter.com/NaviriMag","@NaviriMag")</f>
        <v>@NaviriMag</v>
      </c>
      <c r="C5647" s="8" t="s">
        <v>2703</v>
      </c>
      <c r="D5647" s="8">
        <v>0</v>
      </c>
      <c r="E5647" s="8">
        <v>0</v>
      </c>
      <c r="F5647" s="8">
        <v>1353</v>
      </c>
    </row>
    <row r="5648" spans="1:6" ht="12.75">
      <c r="A5648" s="8">
        <v>43902.542627314819</v>
      </c>
      <c r="B5648" s="8" t="str">
        <f>HYPERLINK("https://twitter.com/aldomarp","@aldomarp")</f>
        <v>@aldomarp</v>
      </c>
      <c r="C5648" s="8" t="s">
        <v>1836</v>
      </c>
      <c r="D5648" s="8">
        <v>71</v>
      </c>
      <c r="E5648" s="8">
        <v>0</v>
      </c>
      <c r="F5648" s="8">
        <v>170</v>
      </c>
    </row>
    <row r="5649" spans="1:6" ht="12.75">
      <c r="A5649" s="8">
        <v>43902.541666666672</v>
      </c>
      <c r="B5649" s="8" t="str">
        <f>HYPERLINK("https://twitter.com/ItsMyRealQuotes","@ItsMyRealQuotes")</f>
        <v>@ItsMyRealQuotes</v>
      </c>
      <c r="C5649" s="8" t="s">
        <v>2704</v>
      </c>
      <c r="D5649" s="8">
        <v>0</v>
      </c>
      <c r="E5649" s="8">
        <v>0</v>
      </c>
      <c r="F5649" s="8">
        <v>181994</v>
      </c>
    </row>
    <row r="5650" spans="1:6" ht="12.75">
      <c r="A5650" s="8">
        <v>43902.540856481486</v>
      </c>
      <c r="B5650" s="8" t="str">
        <f>HYPERLINK("https://twitter.com/eskrimencair","@eskrimencair")</f>
        <v>@eskrimencair</v>
      </c>
      <c r="C5650" s="8" t="s">
        <v>2676</v>
      </c>
      <c r="D5650" s="8">
        <v>11</v>
      </c>
      <c r="E5650" s="8">
        <v>0</v>
      </c>
      <c r="F5650" s="8">
        <v>58</v>
      </c>
    </row>
    <row r="5651" spans="1:6" ht="12.75">
      <c r="A5651" s="8">
        <v>43902.540405092594</v>
      </c>
      <c r="B5651" s="8" t="str">
        <f>HYPERLINK("https://twitter.com/Faisal592","@Faisal592")</f>
        <v>@Faisal592</v>
      </c>
      <c r="C5651" s="8" t="s">
        <v>2705</v>
      </c>
      <c r="D5651" s="8">
        <v>1</v>
      </c>
      <c r="E5651" s="8">
        <v>0</v>
      </c>
      <c r="F5651" s="8">
        <v>2519</v>
      </c>
    </row>
    <row r="5652" spans="1:6" ht="12.75">
      <c r="A5652" s="8">
        <v>43902.540046296301</v>
      </c>
      <c r="B5652" s="8" t="str">
        <f>HYPERLINK("https://twitter.com/endlessds_ish","@endlessds_ish")</f>
        <v>@endlessds_ish</v>
      </c>
      <c r="C5652" s="8" t="s">
        <v>440</v>
      </c>
      <c r="D5652" s="8">
        <v>40</v>
      </c>
      <c r="E5652" s="8">
        <v>0</v>
      </c>
      <c r="F5652" s="8">
        <v>65</v>
      </c>
    </row>
    <row r="5653" spans="1:6" ht="12.75">
      <c r="A5653" s="8">
        <v>43902.539583333331</v>
      </c>
      <c r="B5653" s="8" t="str">
        <f>HYPERLINK("https://twitter.com/nafilabslmh","@nafilabslmh")</f>
        <v>@nafilabslmh</v>
      </c>
      <c r="C5653" s="8" t="s">
        <v>2676</v>
      </c>
      <c r="D5653" s="8">
        <v>11</v>
      </c>
      <c r="E5653" s="8">
        <v>0</v>
      </c>
      <c r="F5653" s="8">
        <v>256</v>
      </c>
    </row>
    <row r="5654" spans="1:6" ht="12.75">
      <c r="A5654" s="8">
        <v>43902.539571759262</v>
      </c>
      <c r="B5654" s="8" t="str">
        <f>HYPERLINK("https://twitter.com/natrsy","@natrsy")</f>
        <v>@natrsy</v>
      </c>
      <c r="C5654" s="8" t="s">
        <v>440</v>
      </c>
      <c r="D5654" s="8">
        <v>40</v>
      </c>
      <c r="E5654" s="8">
        <v>0</v>
      </c>
      <c r="F5654" s="8">
        <v>884</v>
      </c>
    </row>
    <row r="5655" spans="1:6" ht="12.75">
      <c r="A5655" s="8">
        <v>43902.539502314816</v>
      </c>
      <c r="B5655" s="8" t="str">
        <f>HYPERLINK("https://twitter.com/LemonPahit","@LemonPahit")</f>
        <v>@LemonPahit</v>
      </c>
      <c r="C5655" s="8" t="s">
        <v>2706</v>
      </c>
      <c r="D5655" s="8">
        <v>0</v>
      </c>
      <c r="E5655" s="8">
        <v>0</v>
      </c>
      <c r="F5655" s="8">
        <v>613</v>
      </c>
    </row>
    <row r="5656" spans="1:6" ht="12.75">
      <c r="A5656" s="8">
        <v>43902.539444444439</v>
      </c>
      <c r="B5656" s="8" t="str">
        <f>HYPERLINK("https://twitter.com/DitjenKN","@DitjenKN")</f>
        <v>@DitjenKN</v>
      </c>
      <c r="C5656" s="8" t="s">
        <v>2707</v>
      </c>
      <c r="D5656" s="8">
        <v>0</v>
      </c>
      <c r="E5656" s="8">
        <v>0</v>
      </c>
      <c r="F5656" s="8">
        <v>12285</v>
      </c>
    </row>
    <row r="5657" spans="1:6" ht="12.75">
      <c r="A5657" s="8">
        <v>43902.539166666669</v>
      </c>
      <c r="B5657" s="8" t="str">
        <f>HYPERLINK("https://twitter.com/Nizamach_","@Nizamach_")</f>
        <v>@Nizamach_</v>
      </c>
      <c r="C5657" s="8" t="s">
        <v>440</v>
      </c>
      <c r="D5657" s="8">
        <v>40</v>
      </c>
      <c r="E5657" s="8">
        <v>0</v>
      </c>
      <c r="F5657" s="8">
        <v>545</v>
      </c>
    </row>
    <row r="5658" spans="1:6" ht="12.75">
      <c r="A5658" s="8">
        <v>43902.538402777776</v>
      </c>
      <c r="B5658" s="8" t="str">
        <f>HYPERLINK("https://twitter.com/ISIS_Balik_NO","@ISIS_Balik_NO")</f>
        <v>@ISIS_Balik_NO</v>
      </c>
      <c r="C5658" s="8" t="s">
        <v>2708</v>
      </c>
      <c r="D5658" s="8">
        <v>0</v>
      </c>
      <c r="E5658" s="8">
        <v>0</v>
      </c>
      <c r="F5658" s="8">
        <v>6236</v>
      </c>
    </row>
    <row r="5659" spans="1:6" ht="12.75">
      <c r="A5659" s="8">
        <v>43902.537858796291</v>
      </c>
      <c r="B5659" s="8" t="str">
        <f>HYPERLINK("https://twitter.com/catsandkatzen","@catsandkatzen")</f>
        <v>@catsandkatzen</v>
      </c>
      <c r="C5659" s="8" t="s">
        <v>440</v>
      </c>
      <c r="D5659" s="8">
        <v>40</v>
      </c>
      <c r="E5659" s="8">
        <v>0</v>
      </c>
      <c r="F5659" s="8">
        <v>1466</v>
      </c>
    </row>
    <row r="5660" spans="1:6" ht="12.75">
      <c r="A5660" s="8">
        <v>43902.537719907406</v>
      </c>
      <c r="B5660" s="8" t="str">
        <f>HYPERLINK("https://twitter.com/sansserif__","@sansserif__")</f>
        <v>@sansserif__</v>
      </c>
      <c r="C5660" s="8" t="s">
        <v>440</v>
      </c>
      <c r="D5660" s="8">
        <v>40</v>
      </c>
      <c r="E5660" s="8">
        <v>0</v>
      </c>
      <c r="F5660" s="8">
        <v>231</v>
      </c>
    </row>
    <row r="5661" spans="1:6" ht="12.75">
      <c r="A5661" s="8">
        <v>43902.537557870368</v>
      </c>
      <c r="B5661" s="8" t="str">
        <f>HYPERLINK("https://twitter.com/_DiniMR","@_DiniMR")</f>
        <v>@_DiniMR</v>
      </c>
      <c r="C5661" s="8" t="s">
        <v>1836</v>
      </c>
      <c r="D5661" s="8">
        <v>71</v>
      </c>
      <c r="E5661" s="8">
        <v>0</v>
      </c>
      <c r="F5661" s="8">
        <v>955</v>
      </c>
    </row>
    <row r="5662" spans="1:6" ht="12.75">
      <c r="A5662" s="8">
        <v>43902.537129629629</v>
      </c>
      <c r="B5662" s="8" t="str">
        <f>HYPERLINK("https://twitter.com/ImigrasiBlitar","@ImigrasiBlitar")</f>
        <v>@ImigrasiBlitar</v>
      </c>
      <c r="C5662" s="8" t="s">
        <v>2709</v>
      </c>
      <c r="D5662" s="8">
        <v>0</v>
      </c>
      <c r="E5662" s="8">
        <v>0</v>
      </c>
      <c r="F5662" s="8">
        <v>393</v>
      </c>
    </row>
    <row r="5663" spans="1:6" ht="12.75">
      <c r="A5663" s="8">
        <v>43902.536736111113</v>
      </c>
      <c r="B5663" s="8" t="str">
        <f>HYPERLINK("https://twitter.com/kaskus","@kaskus")</f>
        <v>@kaskus</v>
      </c>
      <c r="C5663" s="8" t="s">
        <v>2710</v>
      </c>
      <c r="D5663" s="8">
        <v>0</v>
      </c>
      <c r="E5663" s="8">
        <v>2</v>
      </c>
      <c r="F5663" s="8">
        <v>2615005</v>
      </c>
    </row>
    <row r="5664" spans="1:6" ht="12.75">
      <c r="A5664" s="8">
        <v>43902.536354166667</v>
      </c>
      <c r="B5664" s="8" t="str">
        <f>HYPERLINK("https://twitter.com/lemonadepies","@lemonadepies")</f>
        <v>@lemonadepies</v>
      </c>
      <c r="C5664" s="8" t="s">
        <v>2676</v>
      </c>
      <c r="D5664" s="8">
        <v>11</v>
      </c>
      <c r="E5664" s="8">
        <v>0</v>
      </c>
      <c r="F5664" s="8">
        <v>1196</v>
      </c>
    </row>
    <row r="5665" spans="1:6" ht="12.75">
      <c r="A5665" s="8">
        <v>43902.536203703705</v>
      </c>
      <c r="B5665" s="8" t="str">
        <f>HYPERLINK("https://twitter.com/luxvianaa_","@luxvianaa_")</f>
        <v>@luxvianaa_</v>
      </c>
      <c r="C5665" s="8" t="s">
        <v>440</v>
      </c>
      <c r="D5665" s="8">
        <v>40</v>
      </c>
      <c r="E5665" s="8">
        <v>0</v>
      </c>
      <c r="F5665" s="8">
        <v>590</v>
      </c>
    </row>
    <row r="5666" spans="1:6" ht="12.75">
      <c r="A5666" s="8">
        <v>43902.535104166665</v>
      </c>
      <c r="B5666" s="8" t="str">
        <f>HYPERLINK("https://twitter.com/ssuryoseptono","@ssuryoseptono")</f>
        <v>@ssuryoseptono</v>
      </c>
      <c r="C5666" s="8" t="s">
        <v>165</v>
      </c>
      <c r="D5666" s="8">
        <v>73</v>
      </c>
      <c r="E5666" s="8">
        <v>0</v>
      </c>
      <c r="F5666" s="8">
        <v>1406</v>
      </c>
    </row>
    <row r="5667" spans="1:6" ht="12.75">
      <c r="A5667" s="8">
        <v>43902.535081018519</v>
      </c>
      <c r="B5667" s="8" t="str">
        <f>HYPERLINK("https://twitter.com/medcom_id","@medcom_id")</f>
        <v>@medcom_id</v>
      </c>
      <c r="C5667" s="8" t="s">
        <v>2711</v>
      </c>
      <c r="D5667" s="8">
        <v>0</v>
      </c>
      <c r="E5667" s="8">
        <v>0</v>
      </c>
      <c r="F5667" s="8">
        <v>18596</v>
      </c>
    </row>
    <row r="5668" spans="1:6" ht="12.75">
      <c r="A5668" s="8">
        <v>43902.534733796296</v>
      </c>
      <c r="B5668" s="8" t="str">
        <f>HYPERLINK("https://twitter.com/VIVAcoid","@VIVAcoid")</f>
        <v>@VIVAcoid</v>
      </c>
      <c r="C5668" s="8" t="s">
        <v>2712</v>
      </c>
      <c r="D5668" s="8">
        <v>1</v>
      </c>
      <c r="E5668" s="8">
        <v>0</v>
      </c>
      <c r="F5668" s="8">
        <v>4177069</v>
      </c>
    </row>
    <row r="5669" spans="1:6" ht="12.75">
      <c r="A5669" s="8">
        <v>43902.534444444449</v>
      </c>
      <c r="B5669" s="8" t="str">
        <f>HYPERLINK("https://twitter.com/zeniofeby","@zeniofeby")</f>
        <v>@zeniofeby</v>
      </c>
      <c r="C5669" s="8" t="s">
        <v>440</v>
      </c>
      <c r="D5669" s="8">
        <v>40</v>
      </c>
      <c r="E5669" s="8">
        <v>0</v>
      </c>
      <c r="F5669" s="8">
        <v>188</v>
      </c>
    </row>
    <row r="5670" spans="1:6" ht="12.75">
      <c r="A5670" s="8">
        <v>43902.534386574072</v>
      </c>
      <c r="B5670" s="8" t="str">
        <f>HYPERLINK("https://twitter.com/vivanewscom","@vivanewscom")</f>
        <v>@vivanewscom</v>
      </c>
      <c r="C5670" s="8" t="s">
        <v>2713</v>
      </c>
      <c r="D5670" s="8">
        <v>1</v>
      </c>
      <c r="E5670" s="8">
        <v>0</v>
      </c>
      <c r="F5670" s="8">
        <v>4931</v>
      </c>
    </row>
    <row r="5671" spans="1:6" ht="12.75">
      <c r="A5671" s="8">
        <v>43902.534189814818</v>
      </c>
      <c r="B5671" s="8" t="str">
        <f t="shared" ref="B5671:B5672" si="110">HYPERLINK("https://twitter.com/wongFFwong","@wongFFwong")</f>
        <v>@wongFFwong</v>
      </c>
      <c r="C5671" s="8" t="s">
        <v>2676</v>
      </c>
      <c r="D5671" s="8">
        <v>11</v>
      </c>
      <c r="E5671" s="8">
        <v>0</v>
      </c>
      <c r="F5671" s="8">
        <v>167</v>
      </c>
    </row>
    <row r="5672" spans="1:6" ht="12.75">
      <c r="A5672" s="8">
        <v>43902.533842592587</v>
      </c>
      <c r="B5672" s="8" t="str">
        <f t="shared" si="110"/>
        <v>@wongFFwong</v>
      </c>
      <c r="C5672" s="8" t="s">
        <v>2714</v>
      </c>
      <c r="D5672" s="8">
        <v>11</v>
      </c>
      <c r="E5672" s="8">
        <v>0</v>
      </c>
      <c r="F5672" s="8">
        <v>167</v>
      </c>
    </row>
    <row r="5673" spans="1:6" ht="12.75">
      <c r="A5673" s="8">
        <v>43902.533587962964</v>
      </c>
      <c r="B5673" s="8" t="str">
        <f>HYPERLINK("https://twitter.com/adumdamn","@adumdamn")</f>
        <v>@adumdamn</v>
      </c>
      <c r="C5673" s="8" t="s">
        <v>440</v>
      </c>
      <c r="D5673" s="8">
        <v>40</v>
      </c>
      <c r="E5673" s="8">
        <v>0</v>
      </c>
      <c r="F5673" s="8">
        <v>1854</v>
      </c>
    </row>
    <row r="5674" spans="1:6" ht="12.75">
      <c r="A5674" s="8">
        <v>43902.533587962964</v>
      </c>
      <c r="B5674" s="8" t="str">
        <f>HYPERLINK("https://twitter.com/DubesWakanda","@DubesWakanda")</f>
        <v>@DubesWakanda</v>
      </c>
      <c r="C5674" s="8" t="s">
        <v>2715</v>
      </c>
      <c r="D5674" s="8">
        <v>77</v>
      </c>
      <c r="E5674" s="8">
        <v>0</v>
      </c>
      <c r="F5674" s="8">
        <v>1416</v>
      </c>
    </row>
    <row r="5675" spans="1:6" ht="12.75">
      <c r="A5675" s="8">
        <v>43902.53297453704</v>
      </c>
      <c r="B5675" s="8" t="str">
        <f>HYPERLINK("https://twitter.com/intaaansr","@intaaansr")</f>
        <v>@intaaansr</v>
      </c>
      <c r="C5675" s="8" t="s">
        <v>440</v>
      </c>
      <c r="D5675" s="8">
        <v>40</v>
      </c>
      <c r="E5675" s="8">
        <v>0</v>
      </c>
      <c r="F5675" s="8">
        <v>531</v>
      </c>
    </row>
    <row r="5676" spans="1:6" ht="12.75">
      <c r="A5676" s="8">
        <v>43902.532916666663</v>
      </c>
      <c r="B5676" s="8" t="str">
        <f>HYPERLINK("https://twitter.com/m4s4g03s","@m4s4g03s")</f>
        <v>@m4s4g03s</v>
      </c>
      <c r="C5676" s="8" t="s">
        <v>2716</v>
      </c>
      <c r="D5676" s="8">
        <v>0</v>
      </c>
      <c r="E5676" s="8">
        <v>0</v>
      </c>
      <c r="F5676" s="8">
        <v>789</v>
      </c>
    </row>
    <row r="5677" spans="1:6" ht="12.75">
      <c r="A5677" s="8">
        <v>43902.532916666663</v>
      </c>
      <c r="B5677" s="8" t="str">
        <f>HYPERLINK("https://twitter.com/roni_prastiawan","@roni_prastiawan")</f>
        <v>@roni_prastiawan</v>
      </c>
      <c r="C5677" s="8" t="s">
        <v>1643</v>
      </c>
      <c r="D5677" s="8">
        <v>83</v>
      </c>
      <c r="E5677" s="8">
        <v>0</v>
      </c>
      <c r="F5677" s="8">
        <v>264</v>
      </c>
    </row>
    <row r="5678" spans="1:6" ht="12.75">
      <c r="A5678" s="8">
        <v>43902.532685185186</v>
      </c>
      <c r="B5678" s="8" t="str">
        <f>HYPERLINK("https://twitter.com/wezzzzzzzz","@wezzzzzzzz")</f>
        <v>@wezzzzzzzz</v>
      </c>
      <c r="C5678" s="8" t="s">
        <v>2717</v>
      </c>
      <c r="D5678" s="8">
        <v>0</v>
      </c>
      <c r="E5678" s="8">
        <v>0</v>
      </c>
      <c r="F5678" s="8">
        <v>209</v>
      </c>
    </row>
    <row r="5679" spans="1:6" ht="12.75">
      <c r="A5679" s="8">
        <v>43902.532569444447</v>
      </c>
      <c r="B5679" s="8" t="str">
        <f>HYPERLINK("https://twitter.com/victorlapian","@victorlapian")</f>
        <v>@victorlapian</v>
      </c>
      <c r="C5679" s="8" t="s">
        <v>1836</v>
      </c>
      <c r="D5679" s="8">
        <v>71</v>
      </c>
      <c r="E5679" s="8">
        <v>0</v>
      </c>
      <c r="F5679" s="8">
        <v>394</v>
      </c>
    </row>
    <row r="5680" spans="1:6" ht="12.75">
      <c r="A5680" s="8">
        <v>43902.532557870371</v>
      </c>
      <c r="B5680" s="8" t="str">
        <f>HYPERLINK("https://twitter.com/BiruKayu","@BiruKayu")</f>
        <v>@BiruKayu</v>
      </c>
      <c r="C5680" s="8" t="s">
        <v>165</v>
      </c>
      <c r="D5680" s="8">
        <v>73</v>
      </c>
      <c r="E5680" s="8">
        <v>0</v>
      </c>
      <c r="F5680" s="8">
        <v>43</v>
      </c>
    </row>
    <row r="5681" spans="1:6" ht="12.75">
      <c r="A5681" s="8">
        <v>43902.532500000001</v>
      </c>
      <c r="B5681" s="8" t="str">
        <f>HYPERLINK("https://twitter.com/id_aksi","@id_aksi")</f>
        <v>@id_aksi</v>
      </c>
      <c r="C5681" s="8" t="s">
        <v>2718</v>
      </c>
      <c r="D5681" s="8">
        <v>0</v>
      </c>
      <c r="E5681" s="8">
        <v>0</v>
      </c>
      <c r="F5681" s="8">
        <v>79</v>
      </c>
    </row>
    <row r="5682" spans="1:6" ht="12.75">
      <c r="A5682" s="8">
        <v>43902.532326388886</v>
      </c>
      <c r="B5682" s="8" t="str">
        <f>HYPERLINK("https://twitter.com/katashafar","@katashafar")</f>
        <v>@katashafar</v>
      </c>
      <c r="C5682" s="8" t="s">
        <v>440</v>
      </c>
      <c r="D5682" s="8">
        <v>40</v>
      </c>
      <c r="E5682" s="8">
        <v>0</v>
      </c>
      <c r="F5682" s="8">
        <v>98</v>
      </c>
    </row>
    <row r="5683" spans="1:6" ht="12.75">
      <c r="A5683" s="8">
        <v>43902.532060185185</v>
      </c>
      <c r="B5683" s="8" t="str">
        <f>HYPERLINK("https://twitter.com/MrsRachelIn","@MrsRachelIn")</f>
        <v>@MrsRachelIn</v>
      </c>
      <c r="C5683" s="8" t="s">
        <v>1801</v>
      </c>
      <c r="D5683" s="8">
        <v>349</v>
      </c>
      <c r="E5683" s="8">
        <v>0</v>
      </c>
      <c r="F5683" s="8">
        <v>3577</v>
      </c>
    </row>
    <row r="5684" spans="1:6" ht="12.75">
      <c r="A5684" s="8">
        <v>43902.531956018516</v>
      </c>
      <c r="B5684" s="8" t="str">
        <f>HYPERLINK("https://twitter.com/DavidSetyawan_","@DavidSetyawan_")</f>
        <v>@DavidSetyawan_</v>
      </c>
      <c r="C5684" s="8" t="s">
        <v>440</v>
      </c>
      <c r="D5684" s="8">
        <v>40</v>
      </c>
      <c r="E5684" s="8">
        <v>0</v>
      </c>
      <c r="F5684" s="8">
        <v>546</v>
      </c>
    </row>
    <row r="5685" spans="1:6" ht="12.75">
      <c r="A5685" s="8">
        <v>43902.531643518523</v>
      </c>
      <c r="B5685" s="8" t="str">
        <f>HYPERLINK("https://twitter.com/senojatiR","@senojatiR")</f>
        <v>@senojatiR</v>
      </c>
      <c r="C5685" s="8" t="s">
        <v>440</v>
      </c>
      <c r="D5685" s="8">
        <v>40</v>
      </c>
      <c r="E5685" s="8">
        <v>0</v>
      </c>
      <c r="F5685" s="8">
        <v>117</v>
      </c>
    </row>
    <row r="5686" spans="1:6" ht="12.75">
      <c r="A5686" s="8">
        <v>43902.531446759254</v>
      </c>
      <c r="B5686" s="8" t="str">
        <f>HYPERLINK("https://twitter.com/PojokNU","@PojokNU")</f>
        <v>@PojokNU</v>
      </c>
      <c r="C5686" s="8" t="s">
        <v>2719</v>
      </c>
      <c r="D5686" s="8">
        <v>0</v>
      </c>
      <c r="E5686" s="8">
        <v>0</v>
      </c>
      <c r="F5686" s="8">
        <v>708</v>
      </c>
    </row>
    <row r="5687" spans="1:6" ht="12.75">
      <c r="A5687" s="8">
        <v>43902.531296296293</v>
      </c>
      <c r="B5687" s="8" t="str">
        <f>HYPERLINK("https://twitter.com/Pacitanku","@Pacitanku")</f>
        <v>@Pacitanku</v>
      </c>
      <c r="C5687" s="8" t="s">
        <v>2720</v>
      </c>
      <c r="D5687" s="8">
        <v>1</v>
      </c>
      <c r="E5687" s="8">
        <v>0</v>
      </c>
      <c r="F5687" s="8">
        <v>5521</v>
      </c>
    </row>
    <row r="5688" spans="1:6" ht="12.75">
      <c r="A5688" s="8">
        <v>43902.531099537038</v>
      </c>
      <c r="B5688" s="8" t="str">
        <f>HYPERLINK("https://twitter.com/yewitah","@yewitah")</f>
        <v>@yewitah</v>
      </c>
      <c r="C5688" s="8" t="s">
        <v>440</v>
      </c>
      <c r="D5688" s="8">
        <v>40</v>
      </c>
      <c r="E5688" s="8">
        <v>0</v>
      </c>
      <c r="F5688" s="8">
        <v>405</v>
      </c>
    </row>
    <row r="5689" spans="1:6" ht="12.75">
      <c r="A5689" s="8">
        <v>43902.530439814815</v>
      </c>
      <c r="B5689" s="8" t="str">
        <f>HYPERLINK("https://twitter.com/Setiadi","@Setiadi")</f>
        <v>@Setiadi</v>
      </c>
      <c r="C5689" s="8" t="s">
        <v>440</v>
      </c>
      <c r="D5689" s="8">
        <v>40</v>
      </c>
      <c r="E5689" s="8">
        <v>0</v>
      </c>
      <c r="F5689" s="8">
        <v>708</v>
      </c>
    </row>
    <row r="5690" spans="1:6" ht="12.75">
      <c r="A5690" s="8">
        <v>43902.530416666668</v>
      </c>
      <c r="B5690" s="8" t="str">
        <f>HYPERLINK("https://twitter.com/AbrahamLebelauw","@AbrahamLebelauw")</f>
        <v>@AbrahamLebelauw</v>
      </c>
      <c r="C5690" s="8" t="s">
        <v>1400</v>
      </c>
      <c r="D5690" s="8">
        <v>36</v>
      </c>
      <c r="E5690" s="8">
        <v>0</v>
      </c>
      <c r="F5690" s="8">
        <v>190</v>
      </c>
    </row>
    <row r="5691" spans="1:6" ht="12.75">
      <c r="A5691" s="8">
        <v>43902.530173611114</v>
      </c>
      <c r="B5691" s="8" t="str">
        <f>HYPERLINK("https://twitter.com/ArvAtqon","@ArvAtqon")</f>
        <v>@ArvAtqon</v>
      </c>
      <c r="C5691" s="8" t="s">
        <v>165</v>
      </c>
      <c r="D5691" s="8">
        <v>73</v>
      </c>
      <c r="E5691" s="8">
        <v>0</v>
      </c>
      <c r="F5691" s="8">
        <v>102</v>
      </c>
    </row>
    <row r="5692" spans="1:6" ht="12.75">
      <c r="A5692" s="8">
        <v>43902.529965277776</v>
      </c>
      <c r="B5692" s="8" t="str">
        <f>HYPERLINK("https://twitter.com/mwnmwn26","@mwnmwn26")</f>
        <v>@mwnmwn26</v>
      </c>
      <c r="C5692" s="8" t="s">
        <v>440</v>
      </c>
      <c r="D5692" s="8">
        <v>40</v>
      </c>
      <c r="E5692" s="8">
        <v>0</v>
      </c>
      <c r="F5692" s="8">
        <v>996</v>
      </c>
    </row>
    <row r="5693" spans="1:6" ht="12.75">
      <c r="A5693" s="8">
        <v>43902.529722222222</v>
      </c>
      <c r="B5693" s="8" t="str">
        <f>HYPERLINK("https://twitter.com/mouldie_sep","@mouldie_sep")</f>
        <v>@mouldie_sep</v>
      </c>
      <c r="C5693" s="8" t="s">
        <v>440</v>
      </c>
      <c r="D5693" s="8">
        <v>40</v>
      </c>
      <c r="E5693" s="8">
        <v>0</v>
      </c>
      <c r="F5693" s="8">
        <v>24769</v>
      </c>
    </row>
    <row r="5694" spans="1:6" ht="12.75">
      <c r="A5694" s="8">
        <v>43902.529189814813</v>
      </c>
      <c r="B5694" s="8" t="str">
        <f>HYPERLINK("https://twitter.com/majalahayah","@majalahayah")</f>
        <v>@majalahayah</v>
      </c>
      <c r="C5694" s="8" t="s">
        <v>2721</v>
      </c>
      <c r="D5694" s="8">
        <v>0</v>
      </c>
      <c r="E5694" s="8">
        <v>0</v>
      </c>
      <c r="F5694" s="8">
        <v>285</v>
      </c>
    </row>
    <row r="5695" spans="1:6" ht="12.75">
      <c r="A5695" s="8">
        <v>43902.528831018513</v>
      </c>
      <c r="B5695" s="8" t="str">
        <f>HYPERLINK("https://twitter.com/janvanessen23","@janvanessen23")</f>
        <v>@janvanessen23</v>
      </c>
      <c r="C5695" s="8" t="s">
        <v>2722</v>
      </c>
      <c r="D5695" s="8">
        <v>0</v>
      </c>
      <c r="E5695" s="8">
        <v>0</v>
      </c>
      <c r="F5695" s="8">
        <v>439</v>
      </c>
    </row>
    <row r="5696" spans="1:6" ht="12.75">
      <c r="A5696" s="8">
        <v>43902.528298611112</v>
      </c>
      <c r="B5696" s="8" t="str">
        <f>HYPERLINK("https://twitter.com/KEZIAAM0UR","@KEZIAAM0UR")</f>
        <v>@KEZIAAM0UR</v>
      </c>
      <c r="C5696" s="8" t="s">
        <v>2723</v>
      </c>
      <c r="D5696" s="8">
        <v>0</v>
      </c>
      <c r="E5696" s="8">
        <v>0</v>
      </c>
      <c r="F5696" s="8">
        <v>102</v>
      </c>
    </row>
    <row r="5697" spans="1:6" ht="12.75">
      <c r="A5697" s="8">
        <v>43902.528287037036</v>
      </c>
      <c r="B5697" s="8" t="str">
        <f>HYPERLINK("https://twitter.com/ramamyid","@ramamyid")</f>
        <v>@ramamyid</v>
      </c>
      <c r="C5697" s="8" t="s">
        <v>440</v>
      </c>
      <c r="D5697" s="8">
        <v>40</v>
      </c>
      <c r="E5697" s="8">
        <v>0</v>
      </c>
      <c r="F5697" s="8">
        <v>498</v>
      </c>
    </row>
    <row r="5698" spans="1:6" ht="12.75">
      <c r="A5698" s="8">
        <v>43902.528194444443</v>
      </c>
      <c r="B5698" s="8" t="str">
        <f>HYPERLINK("https://twitter.com/riszayun","@riszayun")</f>
        <v>@riszayun</v>
      </c>
      <c r="C5698" s="8" t="s">
        <v>440</v>
      </c>
      <c r="D5698" s="8">
        <v>40</v>
      </c>
      <c r="E5698" s="8">
        <v>0</v>
      </c>
      <c r="F5698" s="8">
        <v>355</v>
      </c>
    </row>
    <row r="5699" spans="1:6" ht="12.75">
      <c r="A5699" s="8">
        <v>43902.52815972222</v>
      </c>
      <c r="B5699" s="8" t="str">
        <f>HYPERLINK("https://twitter.com/okezonenews","@okezonenews")</f>
        <v>@okezonenews</v>
      </c>
      <c r="C5699" s="8" t="s">
        <v>2724</v>
      </c>
      <c r="D5699" s="8">
        <v>0</v>
      </c>
      <c r="E5699" s="8">
        <v>0</v>
      </c>
      <c r="F5699" s="8">
        <v>1744062</v>
      </c>
    </row>
    <row r="5700" spans="1:6" ht="12.75">
      <c r="A5700" s="8">
        <v>43902.528101851851</v>
      </c>
      <c r="B5700" s="8" t="str">
        <f>HYPERLINK("https://twitter.com/Anggoro_Irvan_S","@Anggoro_Irvan_S")</f>
        <v>@Anggoro_Irvan_S</v>
      </c>
      <c r="C5700" s="8" t="s">
        <v>165</v>
      </c>
      <c r="D5700" s="8">
        <v>73</v>
      </c>
      <c r="E5700" s="8">
        <v>0</v>
      </c>
      <c r="F5700" s="8">
        <v>1868</v>
      </c>
    </row>
    <row r="5701" spans="1:6" ht="12.75">
      <c r="A5701" s="8">
        <v>43902.528078703705</v>
      </c>
      <c r="B5701" s="8" t="str">
        <f>HYPERLINK("https://twitter.com/samhudibae","@samhudibae")</f>
        <v>@samhudibae</v>
      </c>
      <c r="C5701" s="8" t="s">
        <v>2725</v>
      </c>
      <c r="D5701" s="8">
        <v>1</v>
      </c>
      <c r="E5701" s="8">
        <v>2</v>
      </c>
      <c r="F5701" s="8">
        <v>3923</v>
      </c>
    </row>
    <row r="5702" spans="1:6" ht="12.75">
      <c r="A5702" s="8">
        <v>43902.527777777781</v>
      </c>
      <c r="B5702" s="8" t="str">
        <f>HYPERLINK("https://twitter.com/rayenisme","@rayenisme")</f>
        <v>@rayenisme</v>
      </c>
      <c r="C5702" s="8" t="s">
        <v>440</v>
      </c>
      <c r="D5702" s="8">
        <v>40</v>
      </c>
      <c r="E5702" s="8">
        <v>0</v>
      </c>
      <c r="F5702" s="8">
        <v>508</v>
      </c>
    </row>
    <row r="5703" spans="1:6" ht="12.75">
      <c r="A5703" s="8">
        <v>43902.527719907404</v>
      </c>
      <c r="B5703" s="8" t="str">
        <f t="shared" ref="B5703:B5704" si="111">HYPERLINK("https://twitter.com/kbrimanama","@kbrimanama")</f>
        <v>@kbrimanama</v>
      </c>
      <c r="C5703" s="8" t="s">
        <v>1400</v>
      </c>
      <c r="D5703" s="8">
        <v>36</v>
      </c>
      <c r="E5703" s="8">
        <v>0</v>
      </c>
      <c r="F5703" s="8">
        <v>1432</v>
      </c>
    </row>
    <row r="5704" spans="1:6" ht="12.75">
      <c r="A5704" s="8">
        <v>43902.527685185181</v>
      </c>
      <c r="B5704" s="8" t="str">
        <f t="shared" si="111"/>
        <v>@kbrimanama</v>
      </c>
      <c r="C5704" s="8" t="s">
        <v>2178</v>
      </c>
      <c r="D5704" s="8">
        <v>50</v>
      </c>
      <c r="E5704" s="8">
        <v>0</v>
      </c>
      <c r="F5704" s="8">
        <v>1432</v>
      </c>
    </row>
    <row r="5705" spans="1:6" ht="12.75">
      <c r="A5705" s="8">
        <v>43902.527488425927</v>
      </c>
      <c r="B5705" s="8" t="str">
        <f>HYPERLINK("https://twitter.com/AndreasAdityaS","@AndreasAdityaS")</f>
        <v>@AndreasAdityaS</v>
      </c>
      <c r="C5705" s="8" t="s">
        <v>440</v>
      </c>
      <c r="D5705" s="8">
        <v>40</v>
      </c>
      <c r="E5705" s="8">
        <v>0</v>
      </c>
      <c r="F5705" s="8">
        <v>403</v>
      </c>
    </row>
    <row r="5706" spans="1:6" ht="12.75">
      <c r="A5706" s="8">
        <v>43902.527175925927</v>
      </c>
      <c r="B5706" s="8" t="str">
        <f>HYPERLINK("https://twitter.com/keincaled","@keincaled")</f>
        <v>@keincaled</v>
      </c>
      <c r="C5706" s="8" t="s">
        <v>2676</v>
      </c>
      <c r="D5706" s="8">
        <v>11</v>
      </c>
      <c r="E5706" s="8">
        <v>0</v>
      </c>
      <c r="F5706" s="8">
        <v>646</v>
      </c>
    </row>
    <row r="5707" spans="1:6" ht="12.75">
      <c r="A5707" s="8">
        <v>43902.526828703703</v>
      </c>
      <c r="B5707" s="8" t="str">
        <f>HYPERLINK("https://twitter.com/LisdiyantoR","@LisdiyantoR")</f>
        <v>@LisdiyantoR</v>
      </c>
      <c r="C5707" s="8" t="s">
        <v>1643</v>
      </c>
      <c r="D5707" s="8">
        <v>83</v>
      </c>
      <c r="E5707" s="8">
        <v>0</v>
      </c>
      <c r="F5707" s="8">
        <v>1262</v>
      </c>
    </row>
    <row r="5708" spans="1:6" ht="12.75">
      <c r="A5708" s="8">
        <v>43902.526180555556</v>
      </c>
      <c r="B5708" s="8" t="str">
        <f>HYPERLINK("https://twitter.com/miyamin48","@miyamin48")</f>
        <v>@miyamin48</v>
      </c>
      <c r="C5708" s="8" t="s">
        <v>440</v>
      </c>
      <c r="D5708" s="8">
        <v>40</v>
      </c>
      <c r="E5708" s="8">
        <v>0</v>
      </c>
      <c r="F5708" s="8">
        <v>322</v>
      </c>
    </row>
    <row r="5709" spans="1:6" ht="12.75">
      <c r="A5709" s="8">
        <v>43902.525787037041</v>
      </c>
      <c r="B5709" s="8" t="str">
        <f>HYPERLINK("https://twitter.com/popoktokki","@popoktokki")</f>
        <v>@popoktokki</v>
      </c>
      <c r="C5709" s="8" t="s">
        <v>440</v>
      </c>
      <c r="D5709" s="8">
        <v>40</v>
      </c>
      <c r="E5709" s="8">
        <v>0</v>
      </c>
      <c r="F5709" s="8">
        <v>831</v>
      </c>
    </row>
    <row r="5710" spans="1:6" ht="12.75">
      <c r="A5710" s="8">
        <v>43902.525555555556</v>
      </c>
      <c r="B5710" s="8" t="str">
        <f>HYPERLINK("https://twitter.com/caitlinkyut","@caitlinkyut")</f>
        <v>@caitlinkyut</v>
      </c>
      <c r="C5710" s="8" t="s">
        <v>2726</v>
      </c>
      <c r="D5710" s="8">
        <v>0</v>
      </c>
      <c r="E5710" s="8">
        <v>0</v>
      </c>
      <c r="F5710" s="8">
        <v>110</v>
      </c>
    </row>
    <row r="5711" spans="1:6" ht="12.75">
      <c r="A5711" s="8">
        <v>43902.525358796294</v>
      </c>
      <c r="B5711" s="8" t="str">
        <f>HYPERLINK("https://twitter.com/ditepijendela","@ditepijendela")</f>
        <v>@ditepijendela</v>
      </c>
      <c r="C5711" s="8" t="s">
        <v>2676</v>
      </c>
      <c r="D5711" s="8">
        <v>11</v>
      </c>
      <c r="E5711" s="8">
        <v>0</v>
      </c>
      <c r="F5711" s="8">
        <v>1297</v>
      </c>
    </row>
    <row r="5712" spans="1:6" ht="12.75">
      <c r="A5712" s="8">
        <v>43902.524953703702</v>
      </c>
      <c r="B5712" s="8" t="str">
        <f>HYPERLINK("https://twitter.com/kangnday","@kangnday")</f>
        <v>@kangnday</v>
      </c>
      <c r="C5712" s="8" t="s">
        <v>1836</v>
      </c>
      <c r="D5712" s="8">
        <v>71</v>
      </c>
      <c r="E5712" s="8">
        <v>0</v>
      </c>
      <c r="F5712" s="8">
        <v>85</v>
      </c>
    </row>
    <row r="5713" spans="1:6" ht="12.75">
      <c r="A5713" s="8">
        <v>43902.524861111116</v>
      </c>
      <c r="B5713" s="8" t="str">
        <f>HYPERLINK("https://twitter.com/IKebenaran","@IKebenaran")</f>
        <v>@IKebenaran</v>
      </c>
      <c r="C5713" s="8" t="s">
        <v>2727</v>
      </c>
      <c r="D5713" s="8">
        <v>0</v>
      </c>
      <c r="E5713" s="8">
        <v>0</v>
      </c>
      <c r="F5713" s="8">
        <v>1041</v>
      </c>
    </row>
    <row r="5714" spans="1:6" ht="12.75">
      <c r="A5714" s="8">
        <v>43902.524664351848</v>
      </c>
      <c r="B5714" s="8" t="str">
        <f>HYPERLINK("https://twitter.com/rezkiy_","@rezkiy_")</f>
        <v>@rezkiy_</v>
      </c>
      <c r="C5714" s="8" t="s">
        <v>440</v>
      </c>
      <c r="D5714" s="8">
        <v>40</v>
      </c>
      <c r="E5714" s="8">
        <v>0</v>
      </c>
      <c r="F5714" s="8">
        <v>427</v>
      </c>
    </row>
    <row r="5715" spans="1:6" ht="12.75">
      <c r="A5715" s="8">
        <v>43902.524293981478</v>
      </c>
      <c r="B5715" s="8" t="str">
        <f>HYPERLINK("https://twitter.com/knjlisten","@knjlisten")</f>
        <v>@knjlisten</v>
      </c>
      <c r="C5715" s="8" t="s">
        <v>440</v>
      </c>
      <c r="D5715" s="8">
        <v>40</v>
      </c>
      <c r="E5715" s="8">
        <v>0</v>
      </c>
      <c r="F5715" s="8">
        <v>42</v>
      </c>
    </row>
    <row r="5716" spans="1:6" ht="12.75">
      <c r="A5716" s="8">
        <v>43902.524224537032</v>
      </c>
      <c r="B5716" s="8" t="str">
        <f>HYPERLINK("https://twitter.com/v4jr4","@v4jr4")</f>
        <v>@v4jr4</v>
      </c>
      <c r="C5716" s="8" t="s">
        <v>440</v>
      </c>
      <c r="D5716" s="8">
        <v>40</v>
      </c>
      <c r="E5716" s="8">
        <v>0</v>
      </c>
      <c r="F5716" s="8">
        <v>696</v>
      </c>
    </row>
    <row r="5717" spans="1:6" ht="12.75">
      <c r="A5717" s="8">
        <v>43902.524027777778</v>
      </c>
      <c r="B5717" s="8" t="str">
        <f>HYPERLINK("https://twitter.com/asherpra","@asherpra")</f>
        <v>@asherpra</v>
      </c>
      <c r="C5717" s="8" t="s">
        <v>1836</v>
      </c>
      <c r="D5717" s="8">
        <v>71</v>
      </c>
      <c r="E5717" s="8">
        <v>0</v>
      </c>
      <c r="F5717" s="8">
        <v>158</v>
      </c>
    </row>
    <row r="5718" spans="1:6" ht="12.75">
      <c r="A5718" s="8">
        <v>43902.523900462962</v>
      </c>
      <c r="B5718" s="8" t="str">
        <f>HYPERLINK("https://twitter.com/giogemb","@giogemb")</f>
        <v>@giogemb</v>
      </c>
      <c r="C5718" s="8" t="s">
        <v>440</v>
      </c>
      <c r="D5718" s="8">
        <v>40</v>
      </c>
      <c r="E5718" s="8">
        <v>0</v>
      </c>
      <c r="F5718" s="8">
        <v>503</v>
      </c>
    </row>
    <row r="5719" spans="1:6" ht="12.75">
      <c r="A5719" s="8">
        <v>43902.523831018523</v>
      </c>
      <c r="B5719" s="8" t="str">
        <f>HYPERLINK("https://twitter.com/pratamadhityar","@pratamadhityar")</f>
        <v>@pratamadhityar</v>
      </c>
      <c r="C5719" s="8" t="s">
        <v>440</v>
      </c>
      <c r="D5719" s="8">
        <v>40</v>
      </c>
      <c r="E5719" s="8">
        <v>0</v>
      </c>
      <c r="F5719" s="8">
        <v>514</v>
      </c>
    </row>
    <row r="5720" spans="1:6" ht="12.75">
      <c r="A5720" s="8">
        <v>43902.5237037037</v>
      </c>
      <c r="B5720" s="8" t="str">
        <f>HYPERLINK("https://twitter.com/hanscfs","@hanscfs")</f>
        <v>@hanscfs</v>
      </c>
      <c r="C5720" s="8" t="s">
        <v>2676</v>
      </c>
      <c r="D5720" s="8">
        <v>11</v>
      </c>
      <c r="E5720" s="8">
        <v>0</v>
      </c>
      <c r="F5720" s="8">
        <v>918</v>
      </c>
    </row>
    <row r="5721" spans="1:6" ht="12.75">
      <c r="A5721" s="8">
        <v>43902.523495370369</v>
      </c>
      <c r="B5721" s="8" t="str">
        <f>HYPERLINK("https://twitter.com/keinesasih","@keinesasih")</f>
        <v>@keinesasih</v>
      </c>
      <c r="C5721" s="8" t="s">
        <v>440</v>
      </c>
      <c r="D5721" s="8">
        <v>40</v>
      </c>
      <c r="E5721" s="8">
        <v>0</v>
      </c>
      <c r="F5721" s="8">
        <v>5984</v>
      </c>
    </row>
    <row r="5722" spans="1:6" ht="12.75">
      <c r="A5722" s="8">
        <v>43902.523495370369</v>
      </c>
      <c r="B5722" s="8" t="str">
        <f>HYPERLINK("https://twitter.com/vranajaya","@vranajaya")</f>
        <v>@vranajaya</v>
      </c>
      <c r="C5722" s="8" t="s">
        <v>1401</v>
      </c>
      <c r="D5722" s="8">
        <v>2</v>
      </c>
      <c r="E5722" s="8">
        <v>0</v>
      </c>
      <c r="F5722" s="8">
        <v>74</v>
      </c>
    </row>
    <row r="5723" spans="1:6" ht="12.75">
      <c r="A5723" s="8">
        <v>43902.523379629631</v>
      </c>
      <c r="B5723" s="8" t="str">
        <f>HYPERLINK("https://twitter.com/Anita1024002","@Anita1024002")</f>
        <v>@Anita1024002</v>
      </c>
      <c r="C5723" s="8" t="s">
        <v>2728</v>
      </c>
      <c r="D5723" s="8">
        <v>4</v>
      </c>
      <c r="E5723" s="8">
        <v>0</v>
      </c>
      <c r="F5723" s="8">
        <v>2726</v>
      </c>
    </row>
    <row r="5724" spans="1:6" ht="12.75">
      <c r="A5724" s="8">
        <v>43902.523379629631</v>
      </c>
      <c r="B5724" s="8" t="str">
        <f>HYPERLINK("https://twitter.com/yourqueenesther","@yourqueenesther")</f>
        <v>@yourqueenesther</v>
      </c>
      <c r="C5724" s="8" t="s">
        <v>1400</v>
      </c>
      <c r="D5724" s="8">
        <v>36</v>
      </c>
      <c r="E5724" s="8">
        <v>0</v>
      </c>
      <c r="F5724" s="8">
        <v>144</v>
      </c>
    </row>
    <row r="5725" spans="1:6" ht="12.75">
      <c r="A5725" s="8">
        <v>43902.523125</v>
      </c>
      <c r="B5725" s="8" t="str">
        <f>HYPERLINK("https://twitter.com/mrjustiansyah","@mrjustiansyah")</f>
        <v>@mrjustiansyah</v>
      </c>
      <c r="C5725" s="8" t="s">
        <v>2676</v>
      </c>
      <c r="D5725" s="8">
        <v>11</v>
      </c>
      <c r="E5725" s="8">
        <v>0</v>
      </c>
      <c r="F5725" s="8">
        <v>533</v>
      </c>
    </row>
    <row r="5726" spans="1:6" ht="12.75">
      <c r="A5726" s="8">
        <v>43902.523055555561</v>
      </c>
      <c r="B5726" s="8" t="str">
        <f>HYPERLINK("https://twitter.com/nrg07","@nrg07")</f>
        <v>@nrg07</v>
      </c>
      <c r="C5726" s="8" t="s">
        <v>2729</v>
      </c>
      <c r="D5726" s="8">
        <v>40</v>
      </c>
      <c r="E5726" s="8">
        <v>28</v>
      </c>
      <c r="F5726" s="8">
        <v>18209</v>
      </c>
    </row>
    <row r="5727" spans="1:6" ht="12.75">
      <c r="A5727" s="8">
        <v>43902.522812499999</v>
      </c>
      <c r="B5727" s="8" t="str">
        <f>HYPERLINK("https://twitter.com/milvayeni","@milvayeni")</f>
        <v>@milvayeni</v>
      </c>
      <c r="C5727" s="8" t="s">
        <v>2676</v>
      </c>
      <c r="D5727" s="8">
        <v>11</v>
      </c>
      <c r="E5727" s="8">
        <v>0</v>
      </c>
      <c r="F5727" s="8">
        <v>304</v>
      </c>
    </row>
    <row r="5728" spans="1:6" ht="12.75">
      <c r="A5728" s="8">
        <v>43902.522743055553</v>
      </c>
      <c r="B5728" s="8" t="str">
        <f>HYPERLINK("https://twitter.com/idpenamini","@idpenamini")</f>
        <v>@idpenamini</v>
      </c>
      <c r="C5728" s="8" t="s">
        <v>2730</v>
      </c>
      <c r="D5728" s="8">
        <v>0</v>
      </c>
      <c r="E5728" s="8">
        <v>0</v>
      </c>
      <c r="F5728" s="8">
        <v>175</v>
      </c>
    </row>
    <row r="5729" spans="1:6" ht="12.75">
      <c r="A5729" s="8">
        <v>43902.522303240738</v>
      </c>
      <c r="B5729" s="8" t="str">
        <f>HYPERLINK("https://twitter.com/PasopatiAC","@PasopatiAC")</f>
        <v>@PasopatiAC</v>
      </c>
      <c r="C5729" s="8" t="s">
        <v>2728</v>
      </c>
      <c r="D5729" s="8">
        <v>4</v>
      </c>
      <c r="E5729" s="8">
        <v>0</v>
      </c>
      <c r="F5729" s="8">
        <v>854</v>
      </c>
    </row>
    <row r="5730" spans="1:6" ht="12.75">
      <c r="A5730" s="8">
        <v>43902.505046296297</v>
      </c>
      <c r="B5730" s="8" t="str">
        <f>HYPERLINK("https://twitter.com/mudha_satriya","@mudha_satriya")</f>
        <v>@mudha_satriya</v>
      </c>
      <c r="C5730" s="8" t="s">
        <v>2549</v>
      </c>
      <c r="D5730" s="8">
        <v>1</v>
      </c>
      <c r="E5730" s="8">
        <v>0</v>
      </c>
      <c r="F5730" s="8">
        <v>1886</v>
      </c>
    </row>
    <row r="5731" spans="1:6" ht="12.75">
      <c r="A5731" s="8">
        <v>43902.504525462966</v>
      </c>
      <c r="B5731" s="8" t="str">
        <f>HYPERLINK("https://twitter.com/andi_chairil","@andi_chairil")</f>
        <v>@andi_chairil</v>
      </c>
      <c r="C5731" s="8" t="s">
        <v>2715</v>
      </c>
      <c r="D5731" s="8">
        <v>76</v>
      </c>
      <c r="E5731" s="8">
        <v>0</v>
      </c>
      <c r="F5731" s="8">
        <v>70986</v>
      </c>
    </row>
    <row r="5732" spans="1:6" ht="12.75">
      <c r="A5732" s="8">
        <v>43902.503900462965</v>
      </c>
      <c r="B5732" s="8" t="str">
        <f>HYPERLINK("https://twitter.com/harakatuna","@harakatuna")</f>
        <v>@harakatuna</v>
      </c>
      <c r="C5732" s="8" t="s">
        <v>2719</v>
      </c>
      <c r="D5732" s="8">
        <v>0</v>
      </c>
      <c r="E5732" s="8">
        <v>0</v>
      </c>
      <c r="F5732" s="8">
        <v>424</v>
      </c>
    </row>
    <row r="5733" spans="1:6" ht="12.75">
      <c r="A5733" s="8">
        <v>43902.503831018519</v>
      </c>
      <c r="B5733" s="8" t="str">
        <f>HYPERLINK("https://twitter.com/handokohutapea","@handokohutapea")</f>
        <v>@handokohutapea</v>
      </c>
      <c r="C5733" s="8" t="s">
        <v>165</v>
      </c>
      <c r="D5733" s="8">
        <v>66</v>
      </c>
      <c r="E5733" s="8">
        <v>0</v>
      </c>
      <c r="F5733" s="8">
        <v>28</v>
      </c>
    </row>
    <row r="5734" spans="1:6" ht="12.75">
      <c r="A5734" s="8">
        <v>43902.502615740741</v>
      </c>
      <c r="B5734" s="8" t="str">
        <f>HYPERLINK("https://twitter.com/newsagencyid","@newsagencyid")</f>
        <v>@newsagencyid</v>
      </c>
      <c r="C5734" s="8" t="s">
        <v>2731</v>
      </c>
      <c r="D5734" s="8">
        <v>0</v>
      </c>
      <c r="E5734" s="8">
        <v>0</v>
      </c>
      <c r="F5734" s="8">
        <v>18757</v>
      </c>
    </row>
    <row r="5735" spans="1:6" ht="12.75">
      <c r="A5735" s="8">
        <v>43902.502476851849</v>
      </c>
      <c r="B5735" s="8" t="str">
        <f>HYPERLINK("https://twitter.com/Dreamcoid","@Dreamcoid")</f>
        <v>@Dreamcoid</v>
      </c>
      <c r="C5735" s="8" t="s">
        <v>2732</v>
      </c>
      <c r="D5735" s="8">
        <v>0</v>
      </c>
      <c r="E5735" s="8">
        <v>0</v>
      </c>
      <c r="F5735" s="8">
        <v>11591</v>
      </c>
    </row>
    <row r="5736" spans="1:6" ht="12.75">
      <c r="A5736" s="8">
        <v>43902.502245370371</v>
      </c>
      <c r="B5736" s="8" t="str">
        <f>HYPERLINK("https://twitter.com/BeritaCenter","@BeritaCenter")</f>
        <v>@BeritaCenter</v>
      </c>
      <c r="C5736" s="8" t="s">
        <v>2733</v>
      </c>
      <c r="D5736" s="8">
        <v>0</v>
      </c>
      <c r="E5736" s="8">
        <v>0</v>
      </c>
      <c r="F5736" s="8">
        <v>9410</v>
      </c>
    </row>
    <row r="5737" spans="1:6" ht="12.75">
      <c r="A5737" s="8">
        <v>43902.502083333333</v>
      </c>
      <c r="B5737" s="8" t="str">
        <f>HYPERLINK("https://twitter.com/healthyliveID","@healthyliveID")</f>
        <v>@healthyliveID</v>
      </c>
      <c r="C5737" s="8" t="s">
        <v>2734</v>
      </c>
      <c r="D5737" s="8">
        <v>0</v>
      </c>
      <c r="E5737" s="8">
        <v>0</v>
      </c>
      <c r="F5737" s="8">
        <v>45102</v>
      </c>
    </row>
    <row r="5738" spans="1:6" ht="12.75">
      <c r="A5738" s="8">
        <v>43902.501932870371</v>
      </c>
      <c r="B5738" s="8" t="str">
        <f>HYPERLINK("https://twitter.com/CharlieYoungky","@CharlieYoungky")</f>
        <v>@CharlieYoungky</v>
      </c>
      <c r="C5738" s="8" t="s">
        <v>165</v>
      </c>
      <c r="D5738" s="8">
        <v>66</v>
      </c>
      <c r="E5738" s="8">
        <v>0</v>
      </c>
      <c r="F5738" s="8">
        <v>1792</v>
      </c>
    </row>
    <row r="5739" spans="1:6" ht="12.75">
      <c r="A5739" s="8">
        <v>43902.501736111109</v>
      </c>
      <c r="B5739" s="8" t="str">
        <f>HYPERLINK("https://twitter.com/anyahnyah","@anyahnyah")</f>
        <v>@anyahnyah</v>
      </c>
      <c r="C5739" s="8" t="s">
        <v>2735</v>
      </c>
      <c r="D5739" s="8">
        <v>0</v>
      </c>
      <c r="E5739" s="8">
        <v>0</v>
      </c>
      <c r="F5739" s="8">
        <v>197</v>
      </c>
    </row>
    <row r="5740" spans="1:6" ht="12.75">
      <c r="A5740" s="8">
        <v>43902.501099537039</v>
      </c>
      <c r="B5740" s="8" t="str">
        <f>HYPERLINK("https://twitter.com/rkchmdfz","@rkchmdfz")</f>
        <v>@rkchmdfz</v>
      </c>
      <c r="C5740" s="8" t="s">
        <v>2736</v>
      </c>
      <c r="D5740" s="8">
        <v>0</v>
      </c>
      <c r="E5740" s="8">
        <v>0</v>
      </c>
      <c r="F5740" s="8">
        <v>834</v>
      </c>
    </row>
    <row r="5741" spans="1:6" ht="12.75">
      <c r="A5741" s="8">
        <v>43902.5</v>
      </c>
      <c r="B5741" s="8" t="str">
        <f>HYPERLINK("https://twitter.com/Nadila_ID","@Nadila_ID")</f>
        <v>@Nadila_ID</v>
      </c>
      <c r="C5741" s="8" t="s">
        <v>2737</v>
      </c>
      <c r="D5741" s="8">
        <v>0</v>
      </c>
      <c r="E5741" s="8">
        <v>0</v>
      </c>
      <c r="F5741" s="8">
        <v>7178</v>
      </c>
    </row>
    <row r="5742" spans="1:6" ht="12.75">
      <c r="A5742" s="8">
        <v>43902.499699074076</v>
      </c>
      <c r="B5742" s="8" t="str">
        <f>HYPERLINK("https://twitter.com/carolin8810","@carolin8810")</f>
        <v>@carolin8810</v>
      </c>
      <c r="C5742" s="8" t="s">
        <v>2738</v>
      </c>
      <c r="D5742" s="8">
        <v>0</v>
      </c>
      <c r="E5742" s="8">
        <v>1</v>
      </c>
      <c r="F5742" s="8">
        <v>3473</v>
      </c>
    </row>
    <row r="5743" spans="1:6" ht="12.75">
      <c r="A5743" s="8">
        <v>43902.49927083333</v>
      </c>
      <c r="B5743" s="8" t="str">
        <f>HYPERLINK("https://twitter.com/SheGozam","@SheGozam")</f>
        <v>@SheGozam</v>
      </c>
      <c r="C5743" s="8" t="s">
        <v>1643</v>
      </c>
      <c r="D5743" s="8">
        <v>79</v>
      </c>
      <c r="E5743" s="8">
        <v>0</v>
      </c>
      <c r="F5743" s="8">
        <v>153</v>
      </c>
    </row>
    <row r="5744" spans="1:6" ht="12.75">
      <c r="A5744" s="8">
        <v>43902.498530092591</v>
      </c>
      <c r="B5744" s="8" t="str">
        <f>HYPERLINK("https://twitter.com/indonesiainist","@indonesiainist")</f>
        <v>@indonesiainist</v>
      </c>
      <c r="C5744" s="8" t="s">
        <v>1400</v>
      </c>
      <c r="D5744" s="8">
        <v>29</v>
      </c>
      <c r="E5744" s="8">
        <v>0</v>
      </c>
      <c r="F5744" s="8">
        <v>703</v>
      </c>
    </row>
    <row r="5745" spans="1:6" ht="12.75">
      <c r="A5745" s="8">
        <v>43902.498495370368</v>
      </c>
      <c r="B5745" s="8" t="str">
        <f>HYPERLINK("https://twitter.com/SigitWtj","@SigitWtj")</f>
        <v>@SigitWtj</v>
      </c>
      <c r="C5745" s="8" t="s">
        <v>1400</v>
      </c>
      <c r="D5745" s="8">
        <v>29</v>
      </c>
      <c r="E5745" s="8">
        <v>0</v>
      </c>
      <c r="F5745" s="8">
        <v>1635</v>
      </c>
    </row>
    <row r="5746" spans="1:6" ht="12.75">
      <c r="A5746" s="8">
        <v>43902.497291666667</v>
      </c>
      <c r="B5746" s="8" t="str">
        <f t="shared" ref="B5746:B5747" si="112">HYPERLINK("https://twitter.com/kbri_tashkent","@kbri_tashkent")</f>
        <v>@kbri_tashkent</v>
      </c>
      <c r="C5746" s="8" t="s">
        <v>1400</v>
      </c>
      <c r="D5746" s="8">
        <v>29</v>
      </c>
      <c r="E5746" s="8">
        <v>0</v>
      </c>
      <c r="F5746" s="8">
        <v>386</v>
      </c>
    </row>
    <row r="5747" spans="1:6" ht="12.75">
      <c r="A5747" s="8">
        <v>43902.497256944444</v>
      </c>
      <c r="B5747" s="8" t="str">
        <f t="shared" si="112"/>
        <v>@kbri_tashkent</v>
      </c>
      <c r="C5747" s="8" t="s">
        <v>2178</v>
      </c>
      <c r="D5747" s="8">
        <v>49</v>
      </c>
      <c r="E5747" s="8">
        <v>0</v>
      </c>
      <c r="F5747" s="8">
        <v>386</v>
      </c>
    </row>
    <row r="5748" spans="1:6" ht="12.75">
      <c r="A5748" s="8">
        <v>43902.497210648144</v>
      </c>
      <c r="B5748" s="8" t="str">
        <f>HYPERLINK("https://twitter.com/archabandung","@archabandung")</f>
        <v>@archabandung</v>
      </c>
      <c r="C5748" s="8" t="s">
        <v>2739</v>
      </c>
      <c r="D5748" s="8">
        <v>0</v>
      </c>
      <c r="E5748" s="8">
        <v>0</v>
      </c>
      <c r="F5748" s="8">
        <v>891</v>
      </c>
    </row>
    <row r="5749" spans="1:6" ht="12.75">
      <c r="A5749" s="8">
        <v>43902.497118055559</v>
      </c>
      <c r="B5749" s="8" t="str">
        <f>HYPERLINK("https://twitter.com/__SisiLusipara","@__SisiLusipara")</f>
        <v>@__SisiLusipara</v>
      </c>
      <c r="C5749" s="8" t="s">
        <v>2728</v>
      </c>
      <c r="D5749" s="8">
        <v>2</v>
      </c>
      <c r="E5749" s="8">
        <v>0</v>
      </c>
      <c r="F5749" s="8">
        <v>4673</v>
      </c>
    </row>
    <row r="5750" spans="1:6" ht="12.75">
      <c r="A5750" s="8">
        <v>43902.496921296297</v>
      </c>
      <c r="B5750" s="8" t="str">
        <f>HYPERLINK("https://twitter.com/carolin8810","@carolin8810")</f>
        <v>@carolin8810</v>
      </c>
      <c r="C5750" s="8" t="s">
        <v>165</v>
      </c>
      <c r="D5750" s="8">
        <v>66</v>
      </c>
      <c r="E5750" s="8">
        <v>0</v>
      </c>
      <c r="F5750" s="8">
        <v>3473</v>
      </c>
    </row>
    <row r="5751" spans="1:6" ht="12.75">
      <c r="A5751" s="8">
        <v>43902.496828703705</v>
      </c>
      <c r="B5751" s="8" t="str">
        <f>HYPERLINK("https://twitter.com/Herypurr","@Herypurr")</f>
        <v>@Herypurr</v>
      </c>
      <c r="C5751" s="8" t="s">
        <v>318</v>
      </c>
      <c r="D5751" s="8">
        <v>1441</v>
      </c>
      <c r="E5751" s="8">
        <v>0</v>
      </c>
      <c r="F5751" s="8">
        <v>860</v>
      </c>
    </row>
    <row r="5752" spans="1:6" ht="12.75">
      <c r="A5752" s="8">
        <v>43902.495254629626</v>
      </c>
      <c r="B5752" s="8" t="str">
        <f>HYPERLINK("https://twitter.com/nana12___","@nana12___")</f>
        <v>@nana12___</v>
      </c>
      <c r="C5752" s="8" t="s">
        <v>165</v>
      </c>
      <c r="D5752" s="8">
        <v>66</v>
      </c>
      <c r="E5752" s="8">
        <v>0</v>
      </c>
      <c r="F5752" s="8">
        <v>2004</v>
      </c>
    </row>
    <row r="5753" spans="1:6" ht="12.75">
      <c r="A5753" s="8">
        <v>43902.493831018517</v>
      </c>
      <c r="B5753" s="8" t="str">
        <f>HYPERLINK("https://twitter.com/BatamPos","@BatamPos")</f>
        <v>@BatamPos</v>
      </c>
      <c r="C5753" s="8" t="s">
        <v>2740</v>
      </c>
      <c r="D5753" s="8">
        <v>0</v>
      </c>
      <c r="E5753" s="8">
        <v>0</v>
      </c>
      <c r="F5753" s="8">
        <v>67473</v>
      </c>
    </row>
    <row r="5754" spans="1:6" ht="12.75">
      <c r="A5754" s="8">
        <v>43902.492905092593</v>
      </c>
      <c r="B5754" s="8" t="str">
        <f>HYPERLINK("https://twitter.com/linguasy","@linguasy")</f>
        <v>@linguasy</v>
      </c>
      <c r="C5754" s="8" t="s">
        <v>2051</v>
      </c>
      <c r="D5754" s="8">
        <v>52</v>
      </c>
      <c r="E5754" s="8">
        <v>0</v>
      </c>
      <c r="F5754" s="8">
        <v>343</v>
      </c>
    </row>
    <row r="5755" spans="1:6" ht="12.75">
      <c r="A5755" s="8">
        <v>43902.492812500001</v>
      </c>
      <c r="B5755" s="8" t="str">
        <f>HYPERLINK("https://twitter.com/bayu_adianto","@bayu_adianto")</f>
        <v>@bayu_adianto</v>
      </c>
      <c r="C5755" s="8" t="s">
        <v>165</v>
      </c>
      <c r="D5755" s="8">
        <v>66</v>
      </c>
      <c r="E5755" s="8">
        <v>0</v>
      </c>
      <c r="F5755" s="8">
        <v>173</v>
      </c>
    </row>
    <row r="5756" spans="1:6" ht="12.75">
      <c r="A5756" s="8">
        <v>43902.492731481485</v>
      </c>
      <c r="B5756" s="8" t="str">
        <f>HYPERLINK("https://twitter.com/1blackcoffee888","@1blackcoffee888")</f>
        <v>@1blackcoffee888</v>
      </c>
      <c r="C5756" s="8" t="s">
        <v>165</v>
      </c>
      <c r="D5756" s="8">
        <v>66</v>
      </c>
      <c r="E5756" s="8">
        <v>0</v>
      </c>
      <c r="F5756" s="8">
        <v>6471</v>
      </c>
    </row>
    <row r="5757" spans="1:6" ht="12.75">
      <c r="A5757" s="8">
        <v>43902.492673611108</v>
      </c>
      <c r="B5757" s="8" t="str">
        <f>HYPERLINK("https://twitter.com/dee_jacobus","@dee_jacobus")</f>
        <v>@dee_jacobus</v>
      </c>
      <c r="C5757" s="8" t="s">
        <v>165</v>
      </c>
      <c r="D5757" s="8">
        <v>66</v>
      </c>
      <c r="E5757" s="8">
        <v>0</v>
      </c>
      <c r="F5757" s="8">
        <v>1803</v>
      </c>
    </row>
    <row r="5758" spans="1:6" ht="12.75">
      <c r="A5758" s="8">
        <v>43902.492372685185</v>
      </c>
      <c r="B5758" s="8" t="str">
        <f>HYPERLINK("https://twitter.com/asngarihasyim11","@asngarihasyim11")</f>
        <v>@asngarihasyim11</v>
      </c>
      <c r="C5758" s="8" t="s">
        <v>2741</v>
      </c>
      <c r="D5758" s="8">
        <v>0</v>
      </c>
      <c r="E5758" s="8">
        <v>0</v>
      </c>
      <c r="F5758" s="8">
        <v>4</v>
      </c>
    </row>
    <row r="5759" spans="1:6" ht="12.75">
      <c r="A5759" s="8">
        <v>43902.492222222223</v>
      </c>
      <c r="B5759" s="8" t="str">
        <f>HYPERLINK("https://twitter.com/cheniverse92","@cheniverse92")</f>
        <v>@cheniverse92</v>
      </c>
      <c r="C5759" s="8" t="s">
        <v>2051</v>
      </c>
      <c r="D5759" s="8">
        <v>52</v>
      </c>
      <c r="E5759" s="8">
        <v>0</v>
      </c>
      <c r="F5759" s="8">
        <v>147</v>
      </c>
    </row>
    <row r="5760" spans="1:6" ht="12.75">
      <c r="A5760" s="8">
        <v>43902.492002314815</v>
      </c>
      <c r="B5760" s="8" t="str">
        <f>HYPERLINK("https://twitter.com/radarkotanews","@radarkotanews")</f>
        <v>@radarkotanews</v>
      </c>
      <c r="C5760" s="8" t="s">
        <v>2742</v>
      </c>
      <c r="D5760" s="8">
        <v>0</v>
      </c>
      <c r="E5760" s="8">
        <v>0</v>
      </c>
      <c r="F5760" s="8">
        <v>96</v>
      </c>
    </row>
    <row r="5761" spans="1:6" ht="12.75">
      <c r="A5761" s="8">
        <v>43902.491886574076</v>
      </c>
      <c r="B5761" s="8" t="str">
        <f>HYPERLINK("https://twitter.com/Metro_TV","@Metro_TV")</f>
        <v>@Metro_TV</v>
      </c>
      <c r="C5761" s="8" t="s">
        <v>2743</v>
      </c>
      <c r="D5761" s="8">
        <v>1</v>
      </c>
      <c r="E5761" s="8">
        <v>1</v>
      </c>
      <c r="F5761" s="8">
        <v>10519334</v>
      </c>
    </row>
    <row r="5762" spans="1:6" ht="12.75">
      <c r="A5762" s="8">
        <v>43902.491608796292</v>
      </c>
      <c r="B5762" s="8" t="str">
        <f t="shared" ref="B5762:B5764" si="113">HYPERLINK("https://twitter.com/NaviriMag","@NaviriMag")</f>
        <v>@NaviriMag</v>
      </c>
      <c r="C5762" s="8" t="s">
        <v>2744</v>
      </c>
      <c r="D5762" s="8">
        <v>0</v>
      </c>
      <c r="E5762" s="8">
        <v>0</v>
      </c>
      <c r="F5762" s="8">
        <v>1353</v>
      </c>
    </row>
    <row r="5763" spans="1:6" ht="12.75">
      <c r="A5763" s="8">
        <v>43902.491331018522</v>
      </c>
      <c r="B5763" s="8" t="str">
        <f t="shared" si="113"/>
        <v>@NaviriMag</v>
      </c>
      <c r="C5763" s="8" t="s">
        <v>2745</v>
      </c>
      <c r="D5763" s="8">
        <v>0</v>
      </c>
      <c r="E5763" s="8">
        <v>0</v>
      </c>
      <c r="F5763" s="8">
        <v>1353</v>
      </c>
    </row>
    <row r="5764" spans="1:6" ht="12.75">
      <c r="A5764" s="8">
        <v>43902.491041666668</v>
      </c>
      <c r="B5764" s="8" t="str">
        <f t="shared" si="113"/>
        <v>@NaviriMag</v>
      </c>
      <c r="C5764" s="8" t="s">
        <v>2746</v>
      </c>
      <c r="D5764" s="8">
        <v>0</v>
      </c>
      <c r="E5764" s="8">
        <v>0</v>
      </c>
      <c r="F5764" s="8">
        <v>1353</v>
      </c>
    </row>
    <row r="5765" spans="1:6" ht="12.75">
      <c r="A5765" s="8">
        <v>43902.490914351853</v>
      </c>
      <c r="B5765" s="8" t="str">
        <f>HYPERLINK("https://twitter.com/YohanesPatty2","@YohanesPatty2")</f>
        <v>@YohanesPatty2</v>
      </c>
      <c r="C5765" s="8" t="s">
        <v>1643</v>
      </c>
      <c r="D5765" s="8">
        <v>79</v>
      </c>
      <c r="E5765" s="8">
        <v>0</v>
      </c>
      <c r="F5765" s="8">
        <v>5880</v>
      </c>
    </row>
    <row r="5766" spans="1:6" ht="12.75">
      <c r="A5766" s="8">
        <v>43902.490902777776</v>
      </c>
      <c r="B5766" s="8" t="str">
        <f>HYPERLINK("https://twitter.com/farhaantwo7","@farhaantwo7")</f>
        <v>@farhaantwo7</v>
      </c>
      <c r="C5766" s="8" t="s">
        <v>2747</v>
      </c>
      <c r="D5766" s="8">
        <v>0</v>
      </c>
      <c r="E5766" s="8">
        <v>0</v>
      </c>
      <c r="F5766" s="8">
        <v>32</v>
      </c>
    </row>
    <row r="5767" spans="1:6" ht="12.75">
      <c r="A5767" s="8">
        <v>43902.49009259259</v>
      </c>
      <c r="B5767" s="8" t="str">
        <f>HYPERLINK("https://twitter.com/vinamvr","@vinamvr")</f>
        <v>@vinamvr</v>
      </c>
      <c r="C5767" s="8" t="s">
        <v>1643</v>
      </c>
      <c r="D5767" s="8">
        <v>79</v>
      </c>
      <c r="E5767" s="8">
        <v>0</v>
      </c>
      <c r="F5767" s="8">
        <v>2367</v>
      </c>
    </row>
    <row r="5768" spans="1:6" ht="12.75">
      <c r="A5768" s="8">
        <v>43902.489942129629</v>
      </c>
      <c r="B5768" s="8" t="str">
        <f>HYPERLINK("https://twitter.com/Sargede_gold","@Sargede_gold")</f>
        <v>@Sargede_gold</v>
      </c>
      <c r="C5768" s="8" t="s">
        <v>2051</v>
      </c>
      <c r="D5768" s="8">
        <v>52</v>
      </c>
      <c r="E5768" s="8">
        <v>0</v>
      </c>
      <c r="F5768" s="8">
        <v>598</v>
      </c>
    </row>
    <row r="5769" spans="1:6" ht="12.75">
      <c r="A5769" s="8">
        <v>43902.489618055552</v>
      </c>
      <c r="B5769" s="8" t="str">
        <f>HYPERLINK("https://twitter.com/KontanNews","@KontanNews")</f>
        <v>@KontanNews</v>
      </c>
      <c r="C5769" s="8" t="s">
        <v>2748</v>
      </c>
      <c r="D5769" s="8">
        <v>0</v>
      </c>
      <c r="E5769" s="8">
        <v>2</v>
      </c>
      <c r="F5769" s="8">
        <v>318651</v>
      </c>
    </row>
    <row r="5770" spans="1:6" ht="12.75">
      <c r="A5770" s="8">
        <v>43902.48946759259</v>
      </c>
      <c r="B5770" s="8" t="str">
        <f>HYPERLINK("https://twitter.com/ImigrasiJambi","@ImigrasiJambi")</f>
        <v>@ImigrasiJambi</v>
      </c>
      <c r="C5770" s="8" t="s">
        <v>2629</v>
      </c>
      <c r="D5770" s="8">
        <v>13</v>
      </c>
      <c r="E5770" s="8">
        <v>0</v>
      </c>
      <c r="F5770" s="8">
        <v>800</v>
      </c>
    </row>
    <row r="5771" spans="1:6" ht="12.75">
      <c r="A5771" s="8">
        <v>43902.48847222222</v>
      </c>
      <c r="B5771" s="8" t="str">
        <f>HYPERLINK("https://twitter.com/FireBirdFeniks","@FireBirdFeniks")</f>
        <v>@FireBirdFeniks</v>
      </c>
      <c r="C5771" s="8" t="s">
        <v>165</v>
      </c>
      <c r="D5771" s="8">
        <v>66</v>
      </c>
      <c r="E5771" s="8">
        <v>0</v>
      </c>
      <c r="F5771" s="8">
        <v>1756</v>
      </c>
    </row>
    <row r="5772" spans="1:6" ht="12.75">
      <c r="A5772" s="8">
        <v>43902.488379629634</v>
      </c>
      <c r="B5772" s="8" t="str">
        <f>HYPERLINK("https://twitter.com/zmunazzah_","@zmunazzah_")</f>
        <v>@zmunazzah_</v>
      </c>
      <c r="C5772" s="8" t="s">
        <v>2749</v>
      </c>
      <c r="D5772" s="8">
        <v>0</v>
      </c>
      <c r="E5772" s="8">
        <v>0</v>
      </c>
      <c r="F5772" s="8">
        <v>457</v>
      </c>
    </row>
    <row r="5773" spans="1:6" ht="12.75">
      <c r="A5773" s="8">
        <v>43902.487118055556</v>
      </c>
      <c r="B5773" s="8" t="str">
        <f>HYPERLINK("https://twitter.com/azril_me","@azril_me")</f>
        <v>@azril_me</v>
      </c>
      <c r="C5773" s="8" t="s">
        <v>1643</v>
      </c>
      <c r="D5773" s="8">
        <v>79</v>
      </c>
      <c r="E5773" s="8">
        <v>0</v>
      </c>
      <c r="F5773" s="8">
        <v>1079</v>
      </c>
    </row>
    <row r="5774" spans="1:6" ht="12.75">
      <c r="A5774" s="8">
        <v>43902.486458333333</v>
      </c>
      <c r="B5774" s="8" t="str">
        <f>HYPERLINK("https://twitter.com/mudha_satriya","@mudha_satriya")</f>
        <v>@mudha_satriya</v>
      </c>
      <c r="C5774" s="8" t="s">
        <v>2750</v>
      </c>
      <c r="D5774" s="8">
        <v>3</v>
      </c>
      <c r="E5774" s="8">
        <v>0</v>
      </c>
      <c r="F5774" s="8">
        <v>1886</v>
      </c>
    </row>
    <row r="5775" spans="1:6" ht="12.75">
      <c r="A5775" s="8">
        <v>43902.48609953704</v>
      </c>
      <c r="B5775" s="8" t="str">
        <f>HYPERLINK("https://twitter.com/kristinagustina","@kristinagustina")</f>
        <v>@kristinagustina</v>
      </c>
      <c r="C5775" s="8" t="s">
        <v>1836</v>
      </c>
      <c r="D5775" s="8">
        <v>61</v>
      </c>
      <c r="E5775" s="8">
        <v>0</v>
      </c>
      <c r="F5775" s="8">
        <v>675</v>
      </c>
    </row>
    <row r="5776" spans="1:6" ht="12.75">
      <c r="A5776" s="8">
        <v>43902.485081018516</v>
      </c>
      <c r="B5776" s="8" t="str">
        <f>HYPERLINK("https://twitter.com/wahyuhukama","@wahyuhukama")</f>
        <v>@wahyuhukama</v>
      </c>
      <c r="C5776" s="8" t="s">
        <v>2751</v>
      </c>
      <c r="D5776" s="8">
        <v>0</v>
      </c>
      <c r="E5776" s="8">
        <v>0</v>
      </c>
      <c r="F5776" s="8">
        <v>210</v>
      </c>
    </row>
    <row r="5777" spans="1:6" ht="12.75">
      <c r="A5777" s="8">
        <v>43902.484965277778</v>
      </c>
      <c r="B5777" s="8" t="str">
        <f>HYPERLINK("https://twitter.com/mudha_satriya","@mudha_satriya")</f>
        <v>@mudha_satriya</v>
      </c>
      <c r="C5777" s="8" t="s">
        <v>2752</v>
      </c>
      <c r="D5777" s="8">
        <v>4</v>
      </c>
      <c r="E5777" s="8">
        <v>0</v>
      </c>
      <c r="F5777" s="8">
        <v>1886</v>
      </c>
    </row>
    <row r="5778" spans="1:6" ht="12.75">
      <c r="A5778" s="8">
        <v>43902.484953703708</v>
      </c>
      <c r="B5778" s="8" t="str">
        <f>HYPERLINK("https://twitter.com/Agamput47282263","@Agamput47282263")</f>
        <v>@Agamput47282263</v>
      </c>
      <c r="C5778" s="8" t="s">
        <v>1643</v>
      </c>
      <c r="D5778" s="8">
        <v>79</v>
      </c>
      <c r="E5778" s="8">
        <v>0</v>
      </c>
      <c r="F5778" s="8">
        <v>70</v>
      </c>
    </row>
    <row r="5779" spans="1:6" ht="12.75">
      <c r="A5779" s="8">
        <v>43902.484710648147</v>
      </c>
      <c r="B5779" s="8" t="str">
        <f>HYPERLINK("https://twitter.com/benci_liburan","@benci_liburan")</f>
        <v>@benci_liburan</v>
      </c>
      <c r="C5779" s="8" t="s">
        <v>2753</v>
      </c>
      <c r="D5779" s="8">
        <v>0</v>
      </c>
      <c r="E5779" s="8">
        <v>0</v>
      </c>
      <c r="F5779" s="8">
        <v>1</v>
      </c>
    </row>
    <row r="5780" spans="1:6" ht="12.75">
      <c r="A5780" s="8">
        <v>43902.4846412037</v>
      </c>
      <c r="B5780" s="8" t="str">
        <f>HYPERLINK("https://twitter.com/herlambang_tan","@herlambang_tan")</f>
        <v>@herlambang_tan</v>
      </c>
      <c r="C5780" s="8" t="s">
        <v>165</v>
      </c>
      <c r="D5780" s="8">
        <v>66</v>
      </c>
      <c r="E5780" s="8">
        <v>0</v>
      </c>
      <c r="F5780" s="8">
        <v>2546</v>
      </c>
    </row>
    <row r="5781" spans="1:6" ht="12.75">
      <c r="A5781" s="8">
        <v>43902.484513888892</v>
      </c>
      <c r="B5781" s="8" t="str">
        <f>HYPERLINK("https://twitter.com/mega_ern","@mega_ern")</f>
        <v>@mega_ern</v>
      </c>
      <c r="C5781" s="8" t="s">
        <v>2754</v>
      </c>
      <c r="D5781" s="8">
        <v>2</v>
      </c>
      <c r="E5781" s="8">
        <v>0</v>
      </c>
      <c r="F5781" s="8">
        <v>392</v>
      </c>
    </row>
    <row r="5782" spans="1:6" ht="12.75">
      <c r="A5782" s="8">
        <v>43902.484444444446</v>
      </c>
      <c r="B5782" s="8" t="str">
        <f>HYPERLINK("https://twitter.com/matafakta1","@matafakta1")</f>
        <v>@matafakta1</v>
      </c>
      <c r="C5782" s="8" t="s">
        <v>2755</v>
      </c>
      <c r="D5782" s="8">
        <v>0</v>
      </c>
      <c r="E5782" s="8">
        <v>0</v>
      </c>
      <c r="F5782" s="8">
        <v>6</v>
      </c>
    </row>
    <row r="5783" spans="1:6" ht="12.75">
      <c r="A5783" s="8">
        <v>43902.484398148154</v>
      </c>
      <c r="B5783" s="8" t="str">
        <f>HYPERLINK("https://twitter.com/RMOLNetwork","@RMOLNetwork")</f>
        <v>@RMOLNetwork</v>
      </c>
      <c r="C5783" s="8" t="s">
        <v>2756</v>
      </c>
      <c r="D5783" s="8">
        <v>0</v>
      </c>
      <c r="E5783" s="8">
        <v>0</v>
      </c>
      <c r="F5783" s="8">
        <v>5499</v>
      </c>
    </row>
    <row r="5784" spans="1:6" ht="12.75">
      <c r="A5784" s="8">
        <v>43902.482939814814</v>
      </c>
      <c r="B5784" s="8" t="str">
        <f>HYPERLINK("https://twitter.com/MahCassie","@MahCassie")</f>
        <v>@MahCassie</v>
      </c>
      <c r="C5784" s="8" t="s">
        <v>2757</v>
      </c>
      <c r="D5784" s="8">
        <v>4</v>
      </c>
      <c r="E5784" s="8">
        <v>0</v>
      </c>
      <c r="F5784" s="8">
        <v>275</v>
      </c>
    </row>
    <row r="5785" spans="1:6" ht="12.75">
      <c r="A5785" s="8">
        <v>43902.482893518521</v>
      </c>
      <c r="B5785" s="8" t="str">
        <f>HYPERLINK("https://twitter.com/mega_ern","@mega_ern")</f>
        <v>@mega_ern</v>
      </c>
      <c r="C5785" s="8" t="s">
        <v>1400</v>
      </c>
      <c r="D5785" s="8">
        <v>29</v>
      </c>
      <c r="E5785" s="8">
        <v>0</v>
      </c>
      <c r="F5785" s="8">
        <v>392</v>
      </c>
    </row>
    <row r="5786" spans="1:6" ht="12.75">
      <c r="A5786" s="8">
        <v>43902.482766203699</v>
      </c>
      <c r="B5786" s="8" t="str">
        <f>HYPERLINK("https://twitter.com/Kaleng_Kurma","@Kaleng_Kurma")</f>
        <v>@Kaleng_Kurma</v>
      </c>
      <c r="C5786" s="8" t="s">
        <v>2757</v>
      </c>
      <c r="D5786" s="8">
        <v>4</v>
      </c>
      <c r="E5786" s="8">
        <v>0</v>
      </c>
      <c r="F5786" s="8">
        <v>225</v>
      </c>
    </row>
    <row r="5787" spans="1:6" ht="12.75">
      <c r="A5787" s="8">
        <v>43902.482662037037</v>
      </c>
      <c r="B5787" s="8" t="str">
        <f>HYPERLINK("https://twitter.com/YaaSofyan","@YaaSofyan")</f>
        <v>@YaaSofyan</v>
      </c>
      <c r="C5787" s="8" t="s">
        <v>2758</v>
      </c>
      <c r="D5787" s="8">
        <v>0</v>
      </c>
      <c r="E5787" s="8">
        <v>0</v>
      </c>
      <c r="F5787" s="8">
        <v>1</v>
      </c>
    </row>
    <row r="5788" spans="1:6" ht="12.75">
      <c r="A5788" s="8">
        <v>43902.481979166667</v>
      </c>
      <c r="B5788" s="8" t="str">
        <f>HYPERLINK("https://twitter.com/PutuEkaLes","@PutuEkaLes")</f>
        <v>@PutuEkaLes</v>
      </c>
      <c r="C5788" s="8" t="s">
        <v>2757</v>
      </c>
      <c r="D5788" s="8">
        <v>4</v>
      </c>
      <c r="E5788" s="8">
        <v>0</v>
      </c>
      <c r="F5788" s="8">
        <v>209</v>
      </c>
    </row>
    <row r="5789" spans="1:6" ht="12.75">
      <c r="A5789" s="8">
        <v>43902.481932870374</v>
      </c>
      <c r="B5789" s="8" t="str">
        <f>HYPERLINK("https://twitter.com/BebasVisaID","@BebasVisaID")</f>
        <v>@BebasVisaID</v>
      </c>
      <c r="C5789" s="8" t="s">
        <v>2754</v>
      </c>
      <c r="D5789" s="8">
        <v>2</v>
      </c>
      <c r="E5789" s="8">
        <v>0</v>
      </c>
      <c r="F5789" s="8">
        <v>7971</v>
      </c>
    </row>
    <row r="5790" spans="1:6" ht="12.75">
      <c r="A5790" s="8">
        <v>43902.480937500004</v>
      </c>
      <c r="B5790" s="8" t="str">
        <f>HYPERLINK("https://twitter.com/__SisiLusipara","@__SisiLusipara")</f>
        <v>@__SisiLusipara</v>
      </c>
      <c r="C5790" s="8" t="s">
        <v>2759</v>
      </c>
      <c r="D5790" s="8">
        <v>2</v>
      </c>
      <c r="E5790" s="8">
        <v>3</v>
      </c>
      <c r="F5790" s="8">
        <v>4673</v>
      </c>
    </row>
    <row r="5791" spans="1:6" ht="12.75">
      <c r="A5791" s="8">
        <v>43902.480925925927</v>
      </c>
      <c r="B5791" s="8" t="str">
        <f>HYPERLINK("https://twitter.com/kompascom","@kompascom")</f>
        <v>@kompascom</v>
      </c>
      <c r="C5791" s="8" t="s">
        <v>2760</v>
      </c>
      <c r="D5791" s="8">
        <v>4</v>
      </c>
      <c r="E5791" s="8">
        <v>3</v>
      </c>
      <c r="F5791" s="8">
        <v>7542295</v>
      </c>
    </row>
    <row r="5792" spans="1:6" ht="12.75">
      <c r="A5792" s="8">
        <v>43902.480717592596</v>
      </c>
      <c r="B5792" s="8" t="str">
        <f>HYPERLINK("https://twitter.com/__SisiLusipara","@__SisiLusipara")</f>
        <v>@__SisiLusipara</v>
      </c>
      <c r="C5792" s="8" t="s">
        <v>2761</v>
      </c>
      <c r="D5792" s="8">
        <v>1</v>
      </c>
      <c r="E5792" s="8">
        <v>2</v>
      </c>
      <c r="F5792" s="8">
        <v>4673</v>
      </c>
    </row>
    <row r="5793" spans="1:6" ht="12.75">
      <c r="A5793" s="8">
        <v>43902.480624999997</v>
      </c>
      <c r="B5793" s="8" t="str">
        <f>HYPERLINK("https://twitter.com/Daeng_Info","@Daeng_Info")</f>
        <v>@Daeng_Info</v>
      </c>
      <c r="C5793" s="8" t="s">
        <v>2762</v>
      </c>
      <c r="D5793" s="8">
        <v>1</v>
      </c>
      <c r="E5793" s="8">
        <v>0</v>
      </c>
      <c r="F5793" s="8">
        <v>52149</v>
      </c>
    </row>
    <row r="5794" spans="1:6" ht="12.75">
      <c r="A5794" s="8">
        <v>43902.479016203702</v>
      </c>
      <c r="B5794" s="8" t="str">
        <f>HYPERLINK("https://twitter.com/mudha_satriya","@mudha_satriya")</f>
        <v>@mudha_satriya</v>
      </c>
      <c r="C5794" s="8" t="s">
        <v>2763</v>
      </c>
      <c r="D5794" s="8">
        <v>2</v>
      </c>
      <c r="E5794" s="8">
        <v>0</v>
      </c>
      <c r="F5794" s="8">
        <v>1886</v>
      </c>
    </row>
    <row r="5795" spans="1:6" ht="12.75">
      <c r="A5795" s="8">
        <v>43902.478958333333</v>
      </c>
      <c r="B5795" s="8" t="str">
        <f>HYPERLINK("https://twitter.com/IvanRT05","@IvanRT05")</f>
        <v>@IvanRT05</v>
      </c>
      <c r="C5795" s="8" t="s">
        <v>2764</v>
      </c>
      <c r="D5795" s="8">
        <v>0</v>
      </c>
      <c r="E5795" s="8">
        <v>1</v>
      </c>
      <c r="F5795" s="8">
        <v>656</v>
      </c>
    </row>
    <row r="5796" spans="1:6" ht="12.75">
      <c r="A5796" s="8">
        <v>43902.478321759263</v>
      </c>
      <c r="B5796" s="8" t="str">
        <f>HYPERLINK("https://twitter.com/JengIjo","@JengIjo")</f>
        <v>@JengIjo</v>
      </c>
      <c r="C5796" s="8" t="s">
        <v>165</v>
      </c>
      <c r="D5796" s="8">
        <v>66</v>
      </c>
      <c r="E5796" s="8">
        <v>0</v>
      </c>
      <c r="F5796" s="8">
        <v>142</v>
      </c>
    </row>
    <row r="5797" spans="1:6" ht="12.75">
      <c r="A5797" s="8">
        <v>43902.47791666667</v>
      </c>
      <c r="B5797" s="8" t="str">
        <f>HYPERLINK("https://twitter.com/AlwiKe1","@AlwiKe1")</f>
        <v>@AlwiKe1</v>
      </c>
      <c r="C5797" s="8" t="s">
        <v>2765</v>
      </c>
      <c r="D5797" s="8">
        <v>0</v>
      </c>
      <c r="E5797" s="8">
        <v>0</v>
      </c>
      <c r="F5797" s="8">
        <v>1212</v>
      </c>
    </row>
    <row r="5798" spans="1:6" ht="12.75">
      <c r="A5798" s="8">
        <v>43902.477766203709</v>
      </c>
      <c r="B5798" s="8" t="str">
        <f>HYPERLINK("https://twitter.com/zfdg","@zfdg")</f>
        <v>@zfdg</v>
      </c>
      <c r="C5798" s="8" t="s">
        <v>2051</v>
      </c>
      <c r="D5798" s="8">
        <v>52</v>
      </c>
      <c r="E5798" s="8">
        <v>0</v>
      </c>
      <c r="F5798" s="8">
        <v>1171</v>
      </c>
    </row>
    <row r="5799" spans="1:6" ht="12.75">
      <c r="A5799" s="8">
        <v>43902.477280092593</v>
      </c>
      <c r="B5799" s="8" t="str">
        <f>HYPERLINK("https://twitter.com/AdrianPILI1409","@AdrianPILI1409")</f>
        <v>@AdrianPILI1409</v>
      </c>
      <c r="C5799" s="8" t="s">
        <v>165</v>
      </c>
      <c r="D5799" s="8">
        <v>66</v>
      </c>
      <c r="E5799" s="8">
        <v>0</v>
      </c>
      <c r="F5799" s="8">
        <v>60</v>
      </c>
    </row>
    <row r="5800" spans="1:6" ht="12.75">
      <c r="A5800" s="8">
        <v>43902.477037037039</v>
      </c>
      <c r="B5800" s="8" t="str">
        <f>HYPERLINK("https://twitter.com/JokoSut57812674","@JokoSut57812674")</f>
        <v>@JokoSut57812674</v>
      </c>
      <c r="C5800" s="8" t="s">
        <v>1643</v>
      </c>
      <c r="D5800" s="8">
        <v>79</v>
      </c>
      <c r="E5800" s="8">
        <v>0</v>
      </c>
      <c r="F5800" s="8">
        <v>150</v>
      </c>
    </row>
    <row r="5801" spans="1:6" ht="12.75">
      <c r="A5801" s="8">
        <v>43902.476747685185</v>
      </c>
      <c r="B5801" s="8" t="str">
        <f>HYPERLINK("https://twitter.com/Khong_Beng","@Khong_Beng")</f>
        <v>@Khong_Beng</v>
      </c>
      <c r="C5801" s="8" t="s">
        <v>1643</v>
      </c>
      <c r="D5801" s="8">
        <v>79</v>
      </c>
      <c r="E5801" s="8">
        <v>0</v>
      </c>
      <c r="F5801" s="8">
        <v>165</v>
      </c>
    </row>
    <row r="5802" spans="1:6" ht="12.75">
      <c r="A5802" s="8">
        <v>43902.476608796293</v>
      </c>
      <c r="B5802" s="8" t="str">
        <f>HYPERLINK("https://twitter.com/djanuanti","@djanuanti")</f>
        <v>@djanuanti</v>
      </c>
      <c r="C5802" s="8" t="s">
        <v>165</v>
      </c>
      <c r="D5802" s="8">
        <v>66</v>
      </c>
      <c r="E5802" s="8">
        <v>0</v>
      </c>
      <c r="F5802" s="8">
        <v>480</v>
      </c>
    </row>
    <row r="5803" spans="1:6" ht="12.75">
      <c r="A5803" s="8">
        <v>43902.475439814814</v>
      </c>
      <c r="B5803" s="8" t="str">
        <f>HYPERLINK("https://twitter.com/pramudit_","@pramudit_")</f>
        <v>@pramudit_</v>
      </c>
      <c r="C5803" s="8" t="s">
        <v>2766</v>
      </c>
      <c r="D5803" s="8">
        <v>0</v>
      </c>
      <c r="E5803" s="8">
        <v>0</v>
      </c>
      <c r="F5803" s="8">
        <v>584</v>
      </c>
    </row>
    <row r="5804" spans="1:6" ht="12.75">
      <c r="A5804" s="8">
        <v>43902.474652777775</v>
      </c>
      <c r="B5804" s="8" t="str">
        <f>HYPERLINK("https://twitter.com/Uni_Melinda","@Uni_Melinda")</f>
        <v>@Uni_Melinda</v>
      </c>
      <c r="C5804" s="8" t="s">
        <v>1400</v>
      </c>
      <c r="D5804" s="8">
        <v>29</v>
      </c>
      <c r="E5804" s="8">
        <v>0</v>
      </c>
      <c r="F5804" s="8">
        <v>100</v>
      </c>
    </row>
    <row r="5805" spans="1:6" ht="12.75">
      <c r="A5805" s="8">
        <v>43902.474479166667</v>
      </c>
      <c r="B5805" s="8" t="str">
        <f>HYPERLINK("https://twitter.com/Sutrisn75924101","@Sutrisn75924101")</f>
        <v>@Sutrisn75924101</v>
      </c>
      <c r="C5805" s="8" t="s">
        <v>2767</v>
      </c>
      <c r="D5805" s="8">
        <v>21</v>
      </c>
      <c r="E5805" s="8">
        <v>0</v>
      </c>
      <c r="F5805" s="8">
        <v>469</v>
      </c>
    </row>
    <row r="5806" spans="1:6" ht="12.75">
      <c r="A5806" s="8">
        <v>43902.474097222221</v>
      </c>
      <c r="B5806" s="8" t="str">
        <f>HYPERLINK("https://twitter.com/nnyzhuxin","@nnyzhuxin")</f>
        <v>@nnyzhuxin</v>
      </c>
      <c r="C5806" s="8" t="s">
        <v>165</v>
      </c>
      <c r="D5806" s="8">
        <v>66</v>
      </c>
      <c r="E5806" s="8">
        <v>0</v>
      </c>
      <c r="F5806" s="8">
        <v>12151</v>
      </c>
    </row>
    <row r="5807" spans="1:6" ht="12.75">
      <c r="A5807" s="8">
        <v>43902.473750000005</v>
      </c>
      <c r="B5807" s="8" t="str">
        <f>HYPERLINK("https://twitter.com/valencia_amara","@valencia_amara")</f>
        <v>@valencia_amara</v>
      </c>
      <c r="C5807" s="8" t="s">
        <v>1643</v>
      </c>
      <c r="D5807" s="8">
        <v>79</v>
      </c>
      <c r="E5807" s="8">
        <v>0</v>
      </c>
      <c r="F5807" s="8">
        <v>4929</v>
      </c>
    </row>
    <row r="5808" spans="1:6" ht="12.75">
      <c r="A5808" s="8">
        <v>43902.473495370374</v>
      </c>
      <c r="B5808" s="8" t="str">
        <f>HYPERLINK("https://twitter.com/BentenkNKRI","@BentenkNKRI")</f>
        <v>@BentenkNKRI</v>
      </c>
      <c r="C5808" s="8" t="s">
        <v>1643</v>
      </c>
      <c r="D5808" s="8">
        <v>79</v>
      </c>
      <c r="E5808" s="8">
        <v>0</v>
      </c>
      <c r="F5808" s="8">
        <v>1385</v>
      </c>
    </row>
    <row r="5809" spans="1:6" ht="12.75">
      <c r="A5809" s="8">
        <v>43902.473391203705</v>
      </c>
      <c r="B5809" s="8" t="str">
        <f>HYPERLINK("https://twitter.com/chuentoi","@chuentoi")</f>
        <v>@chuentoi</v>
      </c>
      <c r="C5809" s="8" t="s">
        <v>2768</v>
      </c>
      <c r="D5809" s="8">
        <v>0</v>
      </c>
      <c r="E5809" s="8">
        <v>0</v>
      </c>
      <c r="F5809" s="8">
        <v>2</v>
      </c>
    </row>
    <row r="5810" spans="1:6" ht="12.75">
      <c r="A5810" s="8">
        <v>43902.473229166666</v>
      </c>
      <c r="B5810" s="8" t="str">
        <f>HYPERLINK("https://twitter.com/okezonenews","@okezonenews")</f>
        <v>@okezonenews</v>
      </c>
      <c r="C5810" s="8" t="s">
        <v>2769</v>
      </c>
      <c r="D5810" s="8">
        <v>0</v>
      </c>
      <c r="E5810" s="8">
        <v>3</v>
      </c>
      <c r="F5810" s="8">
        <v>1744053</v>
      </c>
    </row>
    <row r="5811" spans="1:6" ht="12.75">
      <c r="A5811" s="8">
        <v>43902.472129629634</v>
      </c>
      <c r="B5811" s="8" t="str">
        <f>HYPERLINK("https://twitter.com/Firgamal75","@Firgamal75")</f>
        <v>@Firgamal75</v>
      </c>
      <c r="C5811" s="8" t="s">
        <v>2770</v>
      </c>
      <c r="D5811" s="8">
        <v>0</v>
      </c>
      <c r="E5811" s="8">
        <v>0</v>
      </c>
      <c r="F5811" s="8">
        <v>151</v>
      </c>
    </row>
    <row r="5812" spans="1:6" ht="12.75">
      <c r="A5812" s="8">
        <v>43902.47210648148</v>
      </c>
      <c r="B5812" s="8" t="str">
        <f>HYPERLINK("https://twitter.com/Uchiezombie","@Uchiezombie")</f>
        <v>@Uchiezombie</v>
      </c>
      <c r="C5812" s="8" t="s">
        <v>1186</v>
      </c>
      <c r="D5812" s="8">
        <v>427</v>
      </c>
      <c r="E5812" s="8">
        <v>0</v>
      </c>
      <c r="F5812" s="8">
        <v>632</v>
      </c>
    </row>
    <row r="5813" spans="1:6" ht="12.75">
      <c r="A5813" s="8">
        <v>43902.472025462965</v>
      </c>
      <c r="B5813" s="8" t="str">
        <f>HYPERLINK("https://twitter.com/aikido_bushido","@aikido_bushido")</f>
        <v>@aikido_bushido</v>
      </c>
      <c r="C5813" s="8" t="s">
        <v>1643</v>
      </c>
      <c r="D5813" s="8">
        <v>79</v>
      </c>
      <c r="E5813" s="8">
        <v>0</v>
      </c>
      <c r="F5813" s="8">
        <v>707</v>
      </c>
    </row>
    <row r="5814" spans="1:6" ht="12.75">
      <c r="A5814" s="8">
        <v>43902.471296296295</v>
      </c>
      <c r="B5814" s="8" t="str">
        <f>HYPERLINK("https://twitter.com/aryacokronegoro","@aryacokronegoro")</f>
        <v>@aryacokronegoro</v>
      </c>
      <c r="C5814" s="8" t="s">
        <v>2771</v>
      </c>
      <c r="D5814" s="8">
        <v>0</v>
      </c>
      <c r="E5814" s="8">
        <v>0</v>
      </c>
      <c r="F5814" s="8">
        <v>437</v>
      </c>
    </row>
    <row r="5815" spans="1:6" ht="12.75">
      <c r="A5815" s="8">
        <v>43902.470787037033</v>
      </c>
      <c r="B5815" s="8" t="str">
        <f>HYPERLINK("https://twitter.com/ryolandafit","@ryolandafit")</f>
        <v>@ryolandafit</v>
      </c>
      <c r="C5815" s="8" t="s">
        <v>2763</v>
      </c>
      <c r="D5815" s="8">
        <v>2</v>
      </c>
      <c r="E5815" s="8">
        <v>0</v>
      </c>
      <c r="F5815" s="8">
        <v>661</v>
      </c>
    </row>
    <row r="5816" spans="1:6" ht="12.75">
      <c r="A5816" s="8">
        <v>43902.469837962963</v>
      </c>
      <c r="B5816" s="8" t="str">
        <f>HYPERLINK("https://twitter.com/KompasTV","@KompasTV")</f>
        <v>@KompasTV</v>
      </c>
      <c r="C5816" s="8" t="s">
        <v>2772</v>
      </c>
      <c r="D5816" s="8">
        <v>2</v>
      </c>
      <c r="E5816" s="8">
        <v>4</v>
      </c>
      <c r="F5816" s="8">
        <v>2962336</v>
      </c>
    </row>
    <row r="5817" spans="1:6" ht="12.75">
      <c r="A5817" s="8">
        <v>43902.469826388886</v>
      </c>
      <c r="B5817" s="8" t="str">
        <f>HYPERLINK("https://twitter.com/aryacokronegoro","@aryacokronegoro")</f>
        <v>@aryacokronegoro</v>
      </c>
      <c r="C5817" s="8" t="s">
        <v>2773</v>
      </c>
      <c r="D5817" s="8">
        <v>0</v>
      </c>
      <c r="E5817" s="8">
        <v>0</v>
      </c>
      <c r="F5817" s="8">
        <v>437</v>
      </c>
    </row>
    <row r="5818" spans="1:6" ht="12.75">
      <c r="A5818" s="8">
        <v>43902.469328703708</v>
      </c>
      <c r="B5818" s="8" t="str">
        <f>HYPERLINK("https://twitter.com/ryolandafit","@ryolandafit")</f>
        <v>@ryolandafit</v>
      </c>
      <c r="C5818" s="8" t="s">
        <v>2752</v>
      </c>
      <c r="D5818" s="8">
        <v>4</v>
      </c>
      <c r="E5818" s="8">
        <v>0</v>
      </c>
      <c r="F5818" s="8">
        <v>661</v>
      </c>
    </row>
    <row r="5819" spans="1:6" ht="12.75">
      <c r="A5819" s="8">
        <v>43902.468622685185</v>
      </c>
      <c r="B5819" s="8" t="str">
        <f>HYPERLINK("https://twitter.com/Evitashawolf","@Evitashawolf")</f>
        <v>@Evitashawolf</v>
      </c>
      <c r="C5819" s="8" t="s">
        <v>2774</v>
      </c>
      <c r="D5819" s="8">
        <v>0</v>
      </c>
      <c r="E5819" s="8">
        <v>0</v>
      </c>
      <c r="F5819" s="8">
        <v>335</v>
      </c>
    </row>
    <row r="5820" spans="1:6" ht="12.75">
      <c r="A5820" s="8">
        <v>43902.468206018515</v>
      </c>
      <c r="B5820" s="8" t="str">
        <f>HYPERLINK("https://twitter.com/wayankdy","@wayankdy")</f>
        <v>@wayankdy</v>
      </c>
      <c r="C5820" s="8" t="s">
        <v>2775</v>
      </c>
      <c r="D5820" s="8">
        <v>6</v>
      </c>
      <c r="E5820" s="8">
        <v>0</v>
      </c>
      <c r="F5820" s="8">
        <v>1628</v>
      </c>
    </row>
    <row r="5821" spans="1:6" ht="12.75">
      <c r="A5821" s="8">
        <v>43902.468194444446</v>
      </c>
      <c r="B5821" s="8" t="str">
        <f>HYPERLINK("https://twitter.com/santriberkat","@santriberkat")</f>
        <v>@santriberkat</v>
      </c>
      <c r="C5821" s="8" t="s">
        <v>2776</v>
      </c>
      <c r="D5821" s="8">
        <v>0</v>
      </c>
      <c r="E5821" s="8">
        <v>1</v>
      </c>
      <c r="F5821" s="8">
        <v>9</v>
      </c>
    </row>
    <row r="5822" spans="1:6" ht="12.75">
      <c r="A5822" s="8">
        <v>43902.46811342593</v>
      </c>
      <c r="B5822" s="8" t="str">
        <f>HYPERLINK("https://twitter.com/karyadmax","@karyadmax")</f>
        <v>@karyadmax</v>
      </c>
      <c r="C5822" s="8" t="s">
        <v>1836</v>
      </c>
      <c r="D5822" s="8">
        <v>61</v>
      </c>
      <c r="E5822" s="8">
        <v>0</v>
      </c>
      <c r="F5822" s="8">
        <v>142</v>
      </c>
    </row>
    <row r="5823" spans="1:6" ht="12.75">
      <c r="A5823" s="8">
        <v>43902.467557870375</v>
      </c>
      <c r="B5823" s="8" t="str">
        <f>HYPERLINK("https://twitter.com/wayankdy","@wayankdy")</f>
        <v>@wayankdy</v>
      </c>
      <c r="C5823" s="8" t="s">
        <v>2777</v>
      </c>
      <c r="D5823" s="8">
        <v>83</v>
      </c>
      <c r="E5823" s="8">
        <v>0</v>
      </c>
      <c r="F5823" s="8">
        <v>1628</v>
      </c>
    </row>
    <row r="5824" spans="1:6" ht="12.75">
      <c r="A5824" s="8">
        <v>43902.466574074075</v>
      </c>
      <c r="B5824" s="8" t="str">
        <f>HYPERLINK("https://twitter.com/artcatteries","@artcatteries")</f>
        <v>@artcatteries</v>
      </c>
      <c r="C5824" s="8" t="s">
        <v>2051</v>
      </c>
      <c r="D5824" s="8">
        <v>52</v>
      </c>
      <c r="E5824" s="8">
        <v>0</v>
      </c>
      <c r="F5824" s="8">
        <v>707</v>
      </c>
    </row>
    <row r="5825" spans="1:6" ht="12.75">
      <c r="A5825" s="8">
        <v>43902.466284722221</v>
      </c>
      <c r="B5825" s="8" t="str">
        <f>HYPERLINK("https://twitter.com/dezuree_","@dezuree_")</f>
        <v>@dezuree_</v>
      </c>
      <c r="C5825" s="8" t="s">
        <v>1400</v>
      </c>
      <c r="D5825" s="8">
        <v>29</v>
      </c>
      <c r="E5825" s="8">
        <v>0</v>
      </c>
      <c r="F5825" s="8">
        <v>1175</v>
      </c>
    </row>
    <row r="5826" spans="1:6" ht="12.75">
      <c r="A5826" s="8">
        <v>43902.466192129628</v>
      </c>
      <c r="B5826" s="8" t="str">
        <f>HYPERLINK("https://twitter.com/barbarapleaser","@barbarapleaser")</f>
        <v>@barbarapleaser</v>
      </c>
      <c r="C5826" s="8" t="s">
        <v>2778</v>
      </c>
      <c r="D5826" s="8">
        <v>0</v>
      </c>
      <c r="E5826" s="8">
        <v>0</v>
      </c>
      <c r="F5826" s="8">
        <v>322</v>
      </c>
    </row>
    <row r="5827" spans="1:6" ht="12.75">
      <c r="A5827" s="8">
        <v>43902.465590277774</v>
      </c>
      <c r="B5827" s="8" t="str">
        <f>HYPERLINK("https://twitter.com/didiwrahmadi","@didiwrahmadi")</f>
        <v>@didiwrahmadi</v>
      </c>
      <c r="C5827" s="8" t="s">
        <v>165</v>
      </c>
      <c r="D5827" s="8">
        <v>66</v>
      </c>
      <c r="E5827" s="8">
        <v>0</v>
      </c>
      <c r="F5827" s="8">
        <v>314</v>
      </c>
    </row>
    <row r="5828" spans="1:6" ht="12.75">
      <c r="A5828" s="8">
        <v>43902.465416666666</v>
      </c>
      <c r="B5828" s="8" t="str">
        <f>HYPERLINK("https://twitter.com/DamailahRI","@DamailahRI")</f>
        <v>@DamailahRI</v>
      </c>
      <c r="C5828" s="8" t="s">
        <v>2779</v>
      </c>
      <c r="D5828" s="8">
        <v>0</v>
      </c>
      <c r="E5828" s="8">
        <v>0</v>
      </c>
      <c r="F5828" s="8">
        <v>32394</v>
      </c>
    </row>
    <row r="5829" spans="1:6" ht="12.75">
      <c r="A5829" s="8">
        <v>43902.465104166666</v>
      </c>
      <c r="B5829" s="8" t="str">
        <f>HYPERLINK("https://twitter.com/ferirahmatcp92","@ferirahmatcp92")</f>
        <v>@ferirahmatcp92</v>
      </c>
      <c r="C5829" s="8" t="s">
        <v>1400</v>
      </c>
      <c r="D5829" s="8">
        <v>22</v>
      </c>
      <c r="E5829" s="8">
        <v>0</v>
      </c>
      <c r="F5829" s="8">
        <v>33</v>
      </c>
    </row>
    <row r="5830" spans="1:6" ht="12.75">
      <c r="A5830" s="8">
        <v>43902.464594907404</v>
      </c>
      <c r="B5830" s="8" t="str">
        <f>HYPERLINK("https://twitter.com/AndriSitumorang","@AndriSitumorang")</f>
        <v>@AndriSitumorang</v>
      </c>
      <c r="C5830" s="8" t="s">
        <v>2780</v>
      </c>
      <c r="D5830" s="8">
        <v>0</v>
      </c>
      <c r="E5830" s="8">
        <v>0</v>
      </c>
      <c r="F5830" s="8">
        <v>158</v>
      </c>
    </row>
    <row r="5831" spans="1:6" ht="12.75">
      <c r="A5831" s="8">
        <v>43902.464224537034</v>
      </c>
      <c r="B5831" s="8" t="str">
        <f>HYPERLINK("https://twitter.com/DamailahRI","@DamailahRI")</f>
        <v>@DamailahRI</v>
      </c>
      <c r="C5831" s="8" t="s">
        <v>2781</v>
      </c>
      <c r="D5831" s="8">
        <v>0</v>
      </c>
      <c r="E5831" s="8">
        <v>0</v>
      </c>
      <c r="F5831" s="8">
        <v>32386</v>
      </c>
    </row>
    <row r="5832" spans="1:6" ht="12.75">
      <c r="A5832" s="8">
        <v>43902.463831018518</v>
      </c>
      <c r="B5832" s="8" t="str">
        <f>HYPERLINK("https://twitter.com/ppmisaudi","@ppmisaudi")</f>
        <v>@ppmisaudi</v>
      </c>
      <c r="C5832" s="8" t="s">
        <v>1810</v>
      </c>
      <c r="D5832" s="8">
        <v>4</v>
      </c>
      <c r="E5832" s="8">
        <v>0</v>
      </c>
      <c r="F5832" s="8">
        <v>1253</v>
      </c>
    </row>
    <row r="5833" spans="1:6" ht="12.75">
      <c r="A5833" s="8">
        <v>43902.463819444441</v>
      </c>
      <c r="B5833" s="8" t="str">
        <f>HYPERLINK("https://twitter.com/arif2702daulay","@arif2702daulay")</f>
        <v>@arif2702daulay</v>
      </c>
      <c r="C5833" s="8" t="s">
        <v>2782</v>
      </c>
      <c r="D5833" s="8">
        <v>0</v>
      </c>
      <c r="E5833" s="8">
        <v>0</v>
      </c>
      <c r="F5833" s="8">
        <v>2579</v>
      </c>
    </row>
    <row r="5834" spans="1:6" ht="12.75">
      <c r="A5834" s="8">
        <v>43902.463449074072</v>
      </c>
      <c r="B5834" s="8" t="str">
        <f>HYPERLINK("https://twitter.com/isis_macedo10","@isis_macedo10")</f>
        <v>@isis_macedo10</v>
      </c>
      <c r="C5834" s="8" t="s">
        <v>2783</v>
      </c>
      <c r="D5834" s="8">
        <v>0</v>
      </c>
      <c r="E5834" s="8">
        <v>0</v>
      </c>
      <c r="F5834" s="8">
        <v>5361</v>
      </c>
    </row>
    <row r="5835" spans="1:6" ht="12.75">
      <c r="A5835" s="8">
        <v>43902.463252314818</v>
      </c>
      <c r="B5835" s="8" t="str">
        <f>HYPERLINK("https://twitter.com/bisnisindgroup","@bisnisindgroup")</f>
        <v>@bisnisindgroup</v>
      </c>
      <c r="C5835" s="8" t="s">
        <v>2784</v>
      </c>
      <c r="D5835" s="8">
        <v>0</v>
      </c>
      <c r="E5835" s="8">
        <v>0</v>
      </c>
      <c r="F5835" s="8">
        <v>7410</v>
      </c>
    </row>
    <row r="5836" spans="1:6" ht="12.75">
      <c r="A5836" s="8">
        <v>43902.463229166664</v>
      </c>
      <c r="B5836" s="8" t="str">
        <f>HYPERLINK("https://twitter.com/Kabar24","@Kabar24")</f>
        <v>@Kabar24</v>
      </c>
      <c r="C5836" s="8" t="s">
        <v>2784</v>
      </c>
      <c r="D5836" s="8">
        <v>0</v>
      </c>
      <c r="E5836" s="8">
        <v>0</v>
      </c>
      <c r="F5836" s="8">
        <v>20244</v>
      </c>
    </row>
    <row r="5837" spans="1:6" ht="12.75">
      <c r="A5837" s="8">
        <v>43902.462893518517</v>
      </c>
      <c r="B5837" s="8" t="str">
        <f>HYPERLINK("https://twitter.com/Dony_Ong","@Dony_Ong")</f>
        <v>@Dony_Ong</v>
      </c>
      <c r="C5837" s="8" t="s">
        <v>1643</v>
      </c>
      <c r="D5837" s="8">
        <v>65</v>
      </c>
      <c r="E5837" s="8">
        <v>0</v>
      </c>
      <c r="F5837" s="8">
        <v>527</v>
      </c>
    </row>
    <row r="5838" spans="1:6" ht="12.75">
      <c r="A5838" s="8">
        <v>43902.462858796294</v>
      </c>
      <c r="B5838" s="8" t="str">
        <f>HYPERLINK("https://twitter.com/RoroMenduttt","@RoroMenduttt")</f>
        <v>@RoroMenduttt</v>
      </c>
      <c r="C5838" s="8" t="s">
        <v>2785</v>
      </c>
      <c r="D5838" s="8">
        <v>0</v>
      </c>
      <c r="E5838" s="8">
        <v>0</v>
      </c>
      <c r="F5838" s="8">
        <v>4550</v>
      </c>
    </row>
    <row r="5839" spans="1:6" ht="12.75">
      <c r="A5839" s="8">
        <v>43902.462696759263</v>
      </c>
      <c r="B5839" s="8" t="str">
        <f>HYPERLINK("https://twitter.com/anisajayanti94","@anisajayanti94")</f>
        <v>@anisajayanti94</v>
      </c>
      <c r="C5839" s="8" t="s">
        <v>2786</v>
      </c>
      <c r="D5839" s="8">
        <v>24</v>
      </c>
      <c r="E5839" s="8">
        <v>0</v>
      </c>
      <c r="F5839" s="8">
        <v>299</v>
      </c>
    </row>
    <row r="5840" spans="1:6" ht="12.75">
      <c r="A5840" s="8">
        <v>43902.462581018517</v>
      </c>
      <c r="B5840" s="8" t="str">
        <f>HYPERLINK("https://twitter.com/assolunamente","@assolunamente")</f>
        <v>@assolunamente</v>
      </c>
      <c r="C5840" s="8" t="s">
        <v>2051</v>
      </c>
      <c r="D5840" s="8">
        <v>47</v>
      </c>
      <c r="E5840" s="8">
        <v>0</v>
      </c>
      <c r="F5840" s="8">
        <v>55</v>
      </c>
    </row>
    <row r="5841" spans="1:6" ht="12.75">
      <c r="A5841" s="8">
        <v>43902.462106481486</v>
      </c>
      <c r="B5841" s="8" t="str">
        <f>HYPERLINK("https://twitter.com/wahiday_","@wahiday_")</f>
        <v>@wahiday_</v>
      </c>
      <c r="C5841" s="8" t="s">
        <v>1836</v>
      </c>
      <c r="D5841" s="8">
        <v>58</v>
      </c>
      <c r="E5841" s="8">
        <v>0</v>
      </c>
      <c r="F5841" s="8">
        <v>1003</v>
      </c>
    </row>
    <row r="5842" spans="1:6" ht="12.75">
      <c r="A5842" s="8">
        <v>43902.46193287037</v>
      </c>
      <c r="B5842" s="8" t="str">
        <f>HYPERLINK("https://twitter.com/satsuyurami","@satsuyurami")</f>
        <v>@satsuyurami</v>
      </c>
      <c r="C5842" s="8" t="s">
        <v>2051</v>
      </c>
      <c r="D5842" s="8">
        <v>47</v>
      </c>
      <c r="E5842" s="8">
        <v>0</v>
      </c>
      <c r="F5842" s="8">
        <v>468</v>
      </c>
    </row>
    <row r="5843" spans="1:6" ht="12.75">
      <c r="A5843" s="8">
        <v>43902.46056712963</v>
      </c>
      <c r="B5843" s="8" t="str">
        <f>HYPERLINK("https://twitter.com/republikaonline","@republikaonline")</f>
        <v>@republikaonline</v>
      </c>
      <c r="C5843" s="8" t="s">
        <v>2787</v>
      </c>
      <c r="D5843" s="8">
        <v>0</v>
      </c>
      <c r="E5843" s="8">
        <v>2</v>
      </c>
      <c r="F5843" s="8">
        <v>1224553</v>
      </c>
    </row>
    <row r="5844" spans="1:6" ht="12.75">
      <c r="A5844" s="8">
        <v>43902.45988425926</v>
      </c>
      <c r="B5844" s="8" t="str">
        <f>HYPERLINK("https://twitter.com/adeahmad","@adeahmad")</f>
        <v>@adeahmad</v>
      </c>
      <c r="C5844" s="8" t="s">
        <v>2788</v>
      </c>
      <c r="D5844" s="8">
        <v>0</v>
      </c>
      <c r="E5844" s="8">
        <v>0</v>
      </c>
      <c r="F5844" s="8">
        <v>131</v>
      </c>
    </row>
    <row r="5845" spans="1:6" ht="12.75">
      <c r="A5845" s="8">
        <v>43902.45957175926</v>
      </c>
      <c r="B5845" s="8" t="str">
        <f>HYPERLINK("https://twitter.com/ISIS_Balik_NO","@ISIS_Balik_NO")</f>
        <v>@ISIS_Balik_NO</v>
      </c>
      <c r="C5845" s="8" t="s">
        <v>2789</v>
      </c>
      <c r="D5845" s="8">
        <v>0</v>
      </c>
      <c r="E5845" s="8">
        <v>0</v>
      </c>
      <c r="F5845" s="8">
        <v>6231</v>
      </c>
    </row>
    <row r="5846" spans="1:6" ht="12.75">
      <c r="A5846" s="8">
        <v>43902.45894675926</v>
      </c>
      <c r="B5846" s="8" t="str">
        <f>HYPERLINK("https://twitter.com/rhyoz","@rhyoz")</f>
        <v>@rhyoz</v>
      </c>
      <c r="C5846" s="8" t="s">
        <v>2790</v>
      </c>
      <c r="D5846" s="8">
        <v>254</v>
      </c>
      <c r="E5846" s="8">
        <v>0</v>
      </c>
      <c r="F5846" s="8">
        <v>234</v>
      </c>
    </row>
    <row r="5847" spans="1:6" ht="12.75">
      <c r="A5847" s="8">
        <v>43902.458368055552</v>
      </c>
      <c r="B5847" s="8" t="str">
        <f>HYPERLINK("https://twitter.com/ISIS_Balik_NO","@ISIS_Balik_NO")</f>
        <v>@ISIS_Balik_NO</v>
      </c>
      <c r="C5847" s="8" t="s">
        <v>2791</v>
      </c>
      <c r="D5847" s="8">
        <v>0</v>
      </c>
      <c r="E5847" s="8">
        <v>0</v>
      </c>
      <c r="F5847" s="8">
        <v>6231</v>
      </c>
    </row>
    <row r="5848" spans="1:6" ht="12.75">
      <c r="A5848" s="8">
        <v>43902.45815972222</v>
      </c>
      <c r="B5848" s="8" t="str">
        <f>HYPERLINK("https://twitter.com/Muhamma05048888","@Muhamma05048888")</f>
        <v>@Muhamma05048888</v>
      </c>
      <c r="C5848" s="8" t="s">
        <v>2750</v>
      </c>
      <c r="D5848" s="8">
        <v>2</v>
      </c>
      <c r="E5848" s="8">
        <v>0</v>
      </c>
      <c r="F5848" s="8">
        <v>14</v>
      </c>
    </row>
    <row r="5849" spans="1:6" ht="12.75">
      <c r="A5849" s="8">
        <v>43902.458148148144</v>
      </c>
      <c r="B5849" s="8" t="str">
        <f>HYPERLINK("https://twitter.com/dehadaud","@dehadaud")</f>
        <v>@dehadaud</v>
      </c>
      <c r="C5849" s="8" t="s">
        <v>2792</v>
      </c>
      <c r="D5849" s="8">
        <v>0</v>
      </c>
      <c r="E5849" s="8">
        <v>0</v>
      </c>
      <c r="F5849" s="8">
        <v>4443</v>
      </c>
    </row>
    <row r="5850" spans="1:6" ht="12.75">
      <c r="A5850" s="8">
        <v>43902.457465277781</v>
      </c>
      <c r="B5850" s="8" t="str">
        <f>HYPERLINK("https://twitter.com/ISIS_Balik_NO","@ISIS_Balik_NO")</f>
        <v>@ISIS_Balik_NO</v>
      </c>
      <c r="C5850" s="8" t="s">
        <v>2793</v>
      </c>
      <c r="D5850" s="8">
        <v>0</v>
      </c>
      <c r="E5850" s="8">
        <v>1</v>
      </c>
      <c r="F5850" s="8">
        <v>6231</v>
      </c>
    </row>
    <row r="5851" spans="1:6" ht="12.75">
      <c r="A5851" s="8">
        <v>43902.457060185188</v>
      </c>
      <c r="B5851" s="8" t="str">
        <f>HYPERLINK("https://twitter.com/xboripx","@xboripx")</f>
        <v>@xboripx</v>
      </c>
      <c r="C5851" s="8" t="s">
        <v>2794</v>
      </c>
      <c r="D5851" s="8">
        <v>0</v>
      </c>
      <c r="E5851" s="8">
        <v>0</v>
      </c>
      <c r="F5851" s="8">
        <v>542</v>
      </c>
    </row>
    <row r="5852" spans="1:6" ht="12.75">
      <c r="A5852" s="8">
        <v>43902.456145833334</v>
      </c>
      <c r="B5852" s="8" t="str">
        <f>HYPERLINK("https://twitter.com/ISIS_Balik_NO","@ISIS_Balik_NO")</f>
        <v>@ISIS_Balik_NO</v>
      </c>
      <c r="C5852" s="8" t="s">
        <v>2795</v>
      </c>
      <c r="D5852" s="8">
        <v>0</v>
      </c>
      <c r="E5852" s="8">
        <v>1</v>
      </c>
      <c r="F5852" s="8">
        <v>6231</v>
      </c>
    </row>
    <row r="5853" spans="1:6" ht="12.75">
      <c r="A5853" s="8">
        <v>43902.455879629633</v>
      </c>
      <c r="B5853" s="8" t="str">
        <f>HYPERLINK("https://twitter.com/fourdriver","@fourdriver")</f>
        <v>@fourdriver</v>
      </c>
      <c r="C5853" s="8" t="s">
        <v>1643</v>
      </c>
      <c r="D5853" s="8">
        <v>65</v>
      </c>
      <c r="E5853" s="8">
        <v>0</v>
      </c>
      <c r="F5853" s="8">
        <v>78</v>
      </c>
    </row>
    <row r="5854" spans="1:6" ht="12.75">
      <c r="A5854" s="8">
        <v>43902.455590277779</v>
      </c>
      <c r="B5854" s="8" t="str">
        <f>HYPERLINK("https://twitter.com/agustin_sastra","@agustin_sastra")</f>
        <v>@agustin_sastra</v>
      </c>
      <c r="C5854" s="8" t="s">
        <v>165</v>
      </c>
      <c r="D5854" s="8">
        <v>52</v>
      </c>
      <c r="E5854" s="8">
        <v>0</v>
      </c>
      <c r="F5854" s="8">
        <v>548</v>
      </c>
    </row>
    <row r="5855" spans="1:6" ht="12.75">
      <c r="A5855" s="8">
        <v>43902.454618055555</v>
      </c>
      <c r="B5855" s="8" t="str">
        <f>HYPERLINK("https://twitter.com/zwolftenaugust","@zwolftenaugust")</f>
        <v>@zwolftenaugust</v>
      </c>
      <c r="C5855" s="8" t="s">
        <v>2051</v>
      </c>
      <c r="D5855" s="8">
        <v>47</v>
      </c>
      <c r="E5855" s="8">
        <v>0</v>
      </c>
      <c r="F5855" s="8">
        <v>4549</v>
      </c>
    </row>
    <row r="5856" spans="1:6" ht="12.75">
      <c r="A5856" s="8">
        <v>43902.454328703709</v>
      </c>
      <c r="B5856" s="8" t="str">
        <f>HYPERLINK("https://twitter.com/Jabor52112842","@Jabor52112842")</f>
        <v>@Jabor52112842</v>
      </c>
      <c r="C5856" s="8" t="s">
        <v>165</v>
      </c>
      <c r="D5856" s="8">
        <v>52</v>
      </c>
      <c r="E5856" s="8">
        <v>0</v>
      </c>
      <c r="F5856" s="8">
        <v>358</v>
      </c>
    </row>
    <row r="5857" spans="1:6" ht="12.75">
      <c r="A5857" s="8">
        <v>43902.454074074078</v>
      </c>
      <c r="B5857" s="8" t="str">
        <f>HYPERLINK("https://twitter.com/st_kurniawan","@st_kurniawan")</f>
        <v>@st_kurniawan</v>
      </c>
      <c r="C5857" s="8" t="s">
        <v>1836</v>
      </c>
      <c r="D5857" s="8">
        <v>58</v>
      </c>
      <c r="E5857" s="8">
        <v>0</v>
      </c>
      <c r="F5857" s="8">
        <v>2164</v>
      </c>
    </row>
    <row r="5858" spans="1:6" ht="12.75">
      <c r="A5858" s="8">
        <v>43902.453900462962</v>
      </c>
      <c r="B5858" s="8" t="str">
        <f>HYPERLINK("https://twitter.com/misareni","@misareni")</f>
        <v>@misareni</v>
      </c>
      <c r="C5858" s="8" t="s">
        <v>165</v>
      </c>
      <c r="D5858" s="8">
        <v>52</v>
      </c>
      <c r="E5858" s="8">
        <v>0</v>
      </c>
      <c r="F5858" s="8">
        <v>364</v>
      </c>
    </row>
    <row r="5859" spans="1:6" ht="12.75">
      <c r="A5859" s="8">
        <v>43902.452939814815</v>
      </c>
      <c r="B5859" s="8" t="str">
        <f>HYPERLINK("https://twitter.com/KakekHalal","@KakekHalal")</f>
        <v>@KakekHalal</v>
      </c>
      <c r="C5859" s="8" t="s">
        <v>1643</v>
      </c>
      <c r="D5859" s="8">
        <v>65</v>
      </c>
      <c r="E5859" s="8">
        <v>0</v>
      </c>
      <c r="F5859" s="8">
        <v>23744</v>
      </c>
    </row>
    <row r="5860" spans="1:6" ht="12.75">
      <c r="A5860" s="8">
        <v>43902.4528587963</v>
      </c>
      <c r="B5860" s="8" t="str">
        <f>HYPERLINK("https://twitter.com/domesticutopia","@domesticutopia")</f>
        <v>@domesticutopia</v>
      </c>
      <c r="C5860" s="8" t="s">
        <v>1400</v>
      </c>
      <c r="D5860" s="8">
        <v>22</v>
      </c>
      <c r="E5860" s="8">
        <v>0</v>
      </c>
      <c r="F5860" s="8">
        <v>496</v>
      </c>
    </row>
    <row r="5861" spans="1:6" ht="12.75">
      <c r="A5861" s="8">
        <v>43902.452847222223</v>
      </c>
      <c r="B5861" s="8" t="str">
        <f>HYPERLINK("https://twitter.com/SydSalesman","@SydSalesman")</f>
        <v>@SydSalesman</v>
      </c>
      <c r="C5861" s="8" t="s">
        <v>1836</v>
      </c>
      <c r="D5861" s="8">
        <v>58</v>
      </c>
      <c r="E5861" s="8">
        <v>0</v>
      </c>
      <c r="F5861" s="8">
        <v>6266</v>
      </c>
    </row>
    <row r="5862" spans="1:6" ht="12.75">
      <c r="A5862" s="8">
        <v>43902.45248842593</v>
      </c>
      <c r="B5862" s="8" t="str">
        <f>HYPERLINK("https://twitter.com/OffsideMe","@OffsideMe")</f>
        <v>@OffsideMe</v>
      </c>
      <c r="C5862" s="8" t="s">
        <v>2051</v>
      </c>
      <c r="D5862" s="8">
        <v>47</v>
      </c>
      <c r="E5862" s="8">
        <v>0</v>
      </c>
      <c r="F5862" s="8">
        <v>155</v>
      </c>
    </row>
    <row r="5863" spans="1:6" ht="12.75">
      <c r="A5863" s="8">
        <v>43902.451041666667</v>
      </c>
      <c r="B5863" s="8" t="str">
        <f>HYPERLINK("https://twitter.com/Galuhramadhania","@Galuhramadhania")</f>
        <v>@Galuhramadhania</v>
      </c>
      <c r="C5863" s="8" t="s">
        <v>2178</v>
      </c>
      <c r="D5863" s="8">
        <v>48</v>
      </c>
      <c r="E5863" s="8">
        <v>0</v>
      </c>
      <c r="F5863" s="8">
        <v>1982</v>
      </c>
    </row>
    <row r="5864" spans="1:6" ht="12.75">
      <c r="A5864" s="8">
        <v>43902.450856481482</v>
      </c>
      <c r="B5864" s="8" t="str">
        <f>HYPERLINK("https://twitter.com/ZieTamzil","@ZieTamzil")</f>
        <v>@ZieTamzil</v>
      </c>
      <c r="C5864" s="8" t="s">
        <v>1801</v>
      </c>
      <c r="D5864" s="8">
        <v>348</v>
      </c>
      <c r="E5864" s="8">
        <v>0</v>
      </c>
      <c r="F5864" s="8">
        <v>63</v>
      </c>
    </row>
    <row r="5865" spans="1:6" ht="12.75">
      <c r="A5865" s="8">
        <v>43902.450844907406</v>
      </c>
      <c r="B5865" s="8" t="str">
        <f>HYPERLINK("https://twitter.com/YudhAIkkyuU","@YudhAIkkyuU")</f>
        <v>@YudhAIkkyuU</v>
      </c>
      <c r="C5865" s="8" t="s">
        <v>2750</v>
      </c>
      <c r="D5865" s="8">
        <v>2</v>
      </c>
      <c r="E5865" s="8">
        <v>0</v>
      </c>
      <c r="F5865" s="8">
        <v>917</v>
      </c>
    </row>
    <row r="5866" spans="1:6" ht="12.75">
      <c r="A5866" s="8">
        <v>43902.450115740736</v>
      </c>
      <c r="B5866" s="8" t="str">
        <f>HYPERLINK("https://twitter.com/Nazar12264882","@Nazar12264882")</f>
        <v>@Nazar12264882</v>
      </c>
      <c r="C5866" s="8" t="s">
        <v>2796</v>
      </c>
      <c r="D5866" s="8">
        <v>0</v>
      </c>
      <c r="E5866" s="8">
        <v>0</v>
      </c>
      <c r="F5866" s="8">
        <v>54</v>
      </c>
    </row>
    <row r="5867" spans="1:6" ht="12.75">
      <c r="A5867" s="8">
        <v>43902.450104166666</v>
      </c>
      <c r="B5867" s="8" t="str">
        <f>HYPERLINK("https://twitter.com/Otonoites","@Otonoites")</f>
        <v>@Otonoites</v>
      </c>
      <c r="C5867" s="8" t="s">
        <v>165</v>
      </c>
      <c r="D5867" s="8">
        <v>52</v>
      </c>
      <c r="E5867" s="8">
        <v>0</v>
      </c>
      <c r="F5867" s="8">
        <v>457</v>
      </c>
    </row>
    <row r="5868" spans="1:6" ht="12.75">
      <c r="A5868" s="8">
        <v>43902.449571759258</v>
      </c>
      <c r="B5868" s="8" t="str">
        <f>HYPERLINK("https://twitter.com/GoToJATIASIH","@GoToJATIASIH")</f>
        <v>@GoToJATIASIH</v>
      </c>
      <c r="C5868" s="8" t="s">
        <v>2752</v>
      </c>
      <c r="D5868" s="8">
        <v>2</v>
      </c>
      <c r="E5868" s="8">
        <v>0</v>
      </c>
      <c r="F5868" s="8">
        <v>3938</v>
      </c>
    </row>
    <row r="5869" spans="1:6" ht="12.75">
      <c r="A5869" s="8">
        <v>43902.44903935185</v>
      </c>
      <c r="B5869" s="8" t="str">
        <f>HYPERLINK("https://twitter.com/kardusbox08","@kardusbox08")</f>
        <v>@kardusbox08</v>
      </c>
      <c r="C5869" s="8" t="s">
        <v>165</v>
      </c>
      <c r="D5869" s="8">
        <v>52</v>
      </c>
      <c r="E5869" s="8">
        <v>0</v>
      </c>
      <c r="F5869" s="8">
        <v>1896</v>
      </c>
    </row>
    <row r="5870" spans="1:6" ht="12.75">
      <c r="A5870" s="8">
        <v>43902.448761574073</v>
      </c>
      <c r="B5870" s="8" t="str">
        <f>HYPERLINK("https://twitter.com/Hillwan","@Hillwan")</f>
        <v>@Hillwan</v>
      </c>
      <c r="C5870" s="8" t="s">
        <v>2051</v>
      </c>
      <c r="D5870" s="8">
        <v>47</v>
      </c>
      <c r="E5870" s="8">
        <v>0</v>
      </c>
      <c r="F5870" s="8">
        <v>177</v>
      </c>
    </row>
    <row r="5871" spans="1:6" ht="12.75">
      <c r="A5871" s="8">
        <v>43902.44866898148</v>
      </c>
      <c r="B5871" s="8" t="str">
        <f>HYPERLINK("https://twitter.com/KompasTV","@KompasTV")</f>
        <v>@KompasTV</v>
      </c>
      <c r="C5871" s="8" t="s">
        <v>2797</v>
      </c>
      <c r="D5871" s="8">
        <v>2</v>
      </c>
      <c r="E5871" s="8">
        <v>2</v>
      </c>
      <c r="F5871" s="8">
        <v>2962284</v>
      </c>
    </row>
    <row r="5872" spans="1:6" ht="12.75">
      <c r="A5872" s="8">
        <v>43902.448460648149</v>
      </c>
      <c r="B5872" s="8" t="str">
        <f>HYPERLINK("https://twitter.com/endoe21","@endoe21")</f>
        <v>@endoe21</v>
      </c>
      <c r="C5872" s="8" t="s">
        <v>165</v>
      </c>
      <c r="D5872" s="8">
        <v>52</v>
      </c>
      <c r="E5872" s="8">
        <v>0</v>
      </c>
      <c r="F5872" s="8">
        <v>2042</v>
      </c>
    </row>
    <row r="5873" spans="1:6" ht="12.75">
      <c r="A5873" s="8">
        <v>43902.44831018518</v>
      </c>
      <c r="B5873" s="8" t="str">
        <f>HYPERLINK("https://twitter.com/Bennyboegiz","@Bennyboegiz")</f>
        <v>@Bennyboegiz</v>
      </c>
      <c r="C5873" s="8" t="s">
        <v>165</v>
      </c>
      <c r="D5873" s="8">
        <v>52</v>
      </c>
      <c r="E5873" s="8">
        <v>0</v>
      </c>
      <c r="F5873" s="8">
        <v>1138</v>
      </c>
    </row>
    <row r="5874" spans="1:6" ht="12.75">
      <c r="A5874" s="8">
        <v>43902.447847222225</v>
      </c>
      <c r="B5874" s="8" t="str">
        <f>HYPERLINK("https://twitter.com/islan_muhammad","@islan_muhammad")</f>
        <v>@islan_muhammad</v>
      </c>
      <c r="C5874" s="8" t="s">
        <v>165</v>
      </c>
      <c r="D5874" s="8">
        <v>52</v>
      </c>
      <c r="E5874" s="8">
        <v>0</v>
      </c>
      <c r="F5874" s="8">
        <v>41</v>
      </c>
    </row>
    <row r="5875" spans="1:6" ht="12.75">
      <c r="A5875" s="8">
        <v>43902.446655092594</v>
      </c>
      <c r="B5875" s="8" t="str">
        <f>HYPERLINK("https://twitter.com/muhammadaziz__","@muhammadaziz__")</f>
        <v>@muhammadaziz__</v>
      </c>
      <c r="C5875" s="8" t="s">
        <v>2051</v>
      </c>
      <c r="D5875" s="8">
        <v>47</v>
      </c>
      <c r="E5875" s="8">
        <v>0</v>
      </c>
      <c r="F5875" s="8">
        <v>336</v>
      </c>
    </row>
    <row r="5876" spans="1:6" ht="12.75">
      <c r="A5876" s="8">
        <v>43902.446435185186</v>
      </c>
      <c r="B5876" s="8" t="str">
        <f>HYPERLINK("https://twitter.com/CHRISLA47151830","@CHRISLA47151830")</f>
        <v>@CHRISLA47151830</v>
      </c>
      <c r="C5876" s="8" t="s">
        <v>2798</v>
      </c>
      <c r="D5876" s="8">
        <v>0</v>
      </c>
      <c r="E5876" s="8">
        <v>0</v>
      </c>
      <c r="F5876" s="8">
        <v>4</v>
      </c>
    </row>
    <row r="5877" spans="1:6" ht="12.75">
      <c r="A5877" s="8">
        <v>43902.446388888886</v>
      </c>
      <c r="B5877" s="8" t="str">
        <f>HYPERLINK("https://twitter.com/c0x20","@c0x20")</f>
        <v>@c0x20</v>
      </c>
      <c r="C5877" s="8" t="s">
        <v>2799</v>
      </c>
      <c r="D5877" s="8">
        <v>0</v>
      </c>
      <c r="E5877" s="8">
        <v>0</v>
      </c>
      <c r="F5877" s="8">
        <v>0</v>
      </c>
    </row>
    <row r="5878" spans="1:6" ht="12.75">
      <c r="A5878" s="8">
        <v>43902.445590277777</v>
      </c>
      <c r="B5878" s="8" t="str">
        <f>HYPERLINK("https://twitter.com/SelySuryani","@SelySuryani")</f>
        <v>@SelySuryani</v>
      </c>
      <c r="C5878" s="8" t="s">
        <v>1836</v>
      </c>
      <c r="D5878" s="8">
        <v>58</v>
      </c>
      <c r="E5878" s="8">
        <v>0</v>
      </c>
      <c r="F5878" s="8">
        <v>47</v>
      </c>
    </row>
    <row r="5879" spans="1:6" ht="12.75">
      <c r="A5879" s="8">
        <v>43902.445555555554</v>
      </c>
      <c r="B5879" s="8" t="str">
        <f>HYPERLINK("https://twitter.com/BebasVisaID","@BebasVisaID")</f>
        <v>@BebasVisaID</v>
      </c>
      <c r="C5879" s="8" t="s">
        <v>2800</v>
      </c>
      <c r="D5879" s="8">
        <v>5</v>
      </c>
      <c r="E5879" s="8">
        <v>0</v>
      </c>
      <c r="F5879" s="8">
        <v>7970</v>
      </c>
    </row>
    <row r="5880" spans="1:6" ht="12.75">
      <c r="A5880" s="8">
        <v>43902.444699074069</v>
      </c>
      <c r="B5880" s="8" t="str">
        <f>HYPERLINK("https://twitter.com/ArghaKuswaha","@ArghaKuswaha")</f>
        <v>@ArghaKuswaha</v>
      </c>
      <c r="C5880" s="8" t="s">
        <v>2801</v>
      </c>
      <c r="D5880" s="8">
        <v>0</v>
      </c>
      <c r="E5880" s="8">
        <v>0</v>
      </c>
      <c r="F5880" s="8">
        <v>96</v>
      </c>
    </row>
    <row r="5881" spans="1:6" ht="12.75">
      <c r="A5881" s="8">
        <v>43902.44458333333</v>
      </c>
      <c r="B5881" s="8" t="str">
        <f>HYPERLINK("https://twitter.com/JanggutMbah","@JanggutMbah")</f>
        <v>@JanggutMbah</v>
      </c>
      <c r="C5881" s="8" t="s">
        <v>2178</v>
      </c>
      <c r="D5881" s="8">
        <v>48</v>
      </c>
      <c r="E5881" s="8">
        <v>0</v>
      </c>
      <c r="F5881" s="8">
        <v>2415</v>
      </c>
    </row>
    <row r="5882" spans="1:6" ht="12.75">
      <c r="A5882" s="8">
        <v>43902.444212962961</v>
      </c>
      <c r="B5882" s="8" t="str">
        <f>HYPERLINK("https://twitter.com/ciwonciwon","@ciwonciwon")</f>
        <v>@ciwonciwon</v>
      </c>
      <c r="C5882" s="8" t="s">
        <v>2802</v>
      </c>
      <c r="D5882" s="8">
        <v>0</v>
      </c>
      <c r="E5882" s="8">
        <v>0</v>
      </c>
      <c r="F5882" s="8">
        <v>479</v>
      </c>
    </row>
    <row r="5883" spans="1:6" ht="12.75">
      <c r="A5883" s="8">
        <v>43902.444155092591</v>
      </c>
      <c r="B5883" s="8" t="str">
        <f>HYPERLINK("https://twitter.com/andynptr","@andynptr")</f>
        <v>@andynptr</v>
      </c>
      <c r="C5883" s="8" t="s">
        <v>1400</v>
      </c>
      <c r="D5883" s="8">
        <v>22</v>
      </c>
      <c r="E5883" s="8">
        <v>0</v>
      </c>
      <c r="F5883" s="8">
        <v>781</v>
      </c>
    </row>
    <row r="5884" spans="1:6" ht="12.75">
      <c r="A5884" s="8">
        <v>43902.443877314814</v>
      </c>
      <c r="B5884" s="8" t="str">
        <f>HYPERLINK("https://twitter.com/rifak_arzerro","@rifak_arzerro")</f>
        <v>@rifak_arzerro</v>
      </c>
      <c r="C5884" s="8" t="s">
        <v>1643</v>
      </c>
      <c r="D5884" s="8">
        <v>65</v>
      </c>
      <c r="E5884" s="8">
        <v>0</v>
      </c>
      <c r="F5884" s="8">
        <v>684</v>
      </c>
    </row>
    <row r="5885" spans="1:6" ht="12.75">
      <c r="A5885" s="8">
        <v>43902.44326388889</v>
      </c>
      <c r="B5885" s="8" t="str">
        <f>HYPERLINK("https://twitter.com/JKDaulay","@JKDaulay")</f>
        <v>@JKDaulay</v>
      </c>
      <c r="C5885" s="8" t="s">
        <v>2767</v>
      </c>
      <c r="D5885" s="8">
        <v>20</v>
      </c>
      <c r="E5885" s="8">
        <v>0</v>
      </c>
      <c r="F5885" s="8">
        <v>2871</v>
      </c>
    </row>
    <row r="5886" spans="1:6" ht="12.75">
      <c r="A5886" s="8">
        <v>43902.443136574075</v>
      </c>
      <c r="B5886" s="8" t="str">
        <f>HYPERLINK("https://twitter.com/jawapos","@jawapos")</f>
        <v>@jawapos</v>
      </c>
      <c r="C5886" s="8" t="s">
        <v>2803</v>
      </c>
      <c r="D5886" s="8">
        <v>2</v>
      </c>
      <c r="E5886" s="8">
        <v>1</v>
      </c>
      <c r="F5886" s="8">
        <v>129113</v>
      </c>
    </row>
    <row r="5887" spans="1:6" ht="12.75">
      <c r="A5887" s="8">
        <v>43902.442858796298</v>
      </c>
      <c r="B5887" s="8" t="str">
        <f>HYPERLINK("https://twitter.com/MumuyZG","@MumuyZG")</f>
        <v>@MumuyZG</v>
      </c>
      <c r="C5887" s="8" t="s">
        <v>2804</v>
      </c>
      <c r="D5887" s="8">
        <v>0</v>
      </c>
      <c r="E5887" s="8">
        <v>0</v>
      </c>
      <c r="F5887" s="8">
        <v>1138</v>
      </c>
    </row>
    <row r="5888" spans="1:6" ht="12.75">
      <c r="A5888" s="8">
        <v>43902.442488425921</v>
      </c>
      <c r="B5888" s="8" t="str">
        <f>HYPERLINK("https://twitter.com/age_am","@age_am")</f>
        <v>@age_am</v>
      </c>
      <c r="C5888" s="8" t="s">
        <v>1836</v>
      </c>
      <c r="D5888" s="8">
        <v>58</v>
      </c>
      <c r="E5888" s="8">
        <v>0</v>
      </c>
      <c r="F5888" s="8">
        <v>459</v>
      </c>
    </row>
    <row r="5889" spans="1:6" ht="12.75">
      <c r="A5889" s="8">
        <v>43902.442337962959</v>
      </c>
      <c r="B5889" s="8" t="str">
        <f>HYPERLINK("https://twitter.com/IvanRT05","@IvanRT05")</f>
        <v>@IvanRT05</v>
      </c>
      <c r="C5889" s="8" t="s">
        <v>2805</v>
      </c>
      <c r="D5889" s="8">
        <v>0</v>
      </c>
      <c r="E5889" s="8">
        <v>0</v>
      </c>
      <c r="F5889" s="8">
        <v>655</v>
      </c>
    </row>
    <row r="5890" spans="1:6" ht="12.75">
      <c r="A5890" s="8">
        <v>43902.442164351851</v>
      </c>
      <c r="B5890" s="8" t="str">
        <f>HYPERLINK("https://twitter.com/danydh44","@danydh44")</f>
        <v>@danydh44</v>
      </c>
      <c r="C5890" s="8" t="s">
        <v>1400</v>
      </c>
      <c r="D5890" s="8">
        <v>22</v>
      </c>
      <c r="E5890" s="8">
        <v>0</v>
      </c>
      <c r="F5890" s="8">
        <v>339</v>
      </c>
    </row>
    <row r="5891" spans="1:6" ht="12.75">
      <c r="A5891" s="8">
        <v>43902.441018518519</v>
      </c>
      <c r="B5891" s="8" t="str">
        <f>HYPERLINK("https://twitter.com/UrangResepKuli","@UrangResepKuli")</f>
        <v>@UrangResepKuli</v>
      </c>
      <c r="C5891" s="8" t="s">
        <v>2806</v>
      </c>
      <c r="D5891" s="8">
        <v>0</v>
      </c>
      <c r="E5891" s="8">
        <v>0</v>
      </c>
      <c r="F5891" s="8">
        <v>996</v>
      </c>
    </row>
    <row r="5892" spans="1:6" ht="12.75">
      <c r="A5892" s="8">
        <v>43902.440509259264</v>
      </c>
      <c r="B5892" s="8" t="str">
        <f>HYPERLINK("https://twitter.com/asmarandha1","@asmarandha1")</f>
        <v>@asmarandha1</v>
      </c>
      <c r="C5892" s="8" t="s">
        <v>2807</v>
      </c>
      <c r="D5892" s="8">
        <v>1</v>
      </c>
      <c r="E5892" s="8">
        <v>0</v>
      </c>
      <c r="F5892" s="8">
        <v>2828</v>
      </c>
    </row>
    <row r="5893" spans="1:6" ht="12.75">
      <c r="A5893" s="8">
        <v>43902.439722222218</v>
      </c>
      <c r="B5893" s="8" t="str">
        <f>HYPERLINK("https://twitter.com/iNewsID","@iNewsID")</f>
        <v>@iNewsID</v>
      </c>
      <c r="C5893" s="8" t="s">
        <v>2808</v>
      </c>
      <c r="D5893" s="8">
        <v>0</v>
      </c>
      <c r="E5893" s="8">
        <v>0</v>
      </c>
      <c r="F5893" s="8">
        <v>1395</v>
      </c>
    </row>
    <row r="5894" spans="1:6" ht="12.75">
      <c r="A5894" s="8">
        <v>43902.438541666663</v>
      </c>
      <c r="B5894" s="8" t="str">
        <f>HYPERLINK("https://twitter.com/zlametabidin","@zlametabidin")</f>
        <v>@zlametabidin</v>
      </c>
      <c r="C5894" s="8" t="s">
        <v>1643</v>
      </c>
      <c r="D5894" s="8">
        <v>65</v>
      </c>
      <c r="E5894" s="8">
        <v>0</v>
      </c>
      <c r="F5894" s="8">
        <v>1841</v>
      </c>
    </row>
    <row r="5895" spans="1:6" ht="12.75">
      <c r="A5895" s="8">
        <v>43902.437581018516</v>
      </c>
      <c r="B5895" s="8" t="str">
        <f>HYPERLINK("https://twitter.com/TukangUlo","@TukangUlo")</f>
        <v>@TukangUlo</v>
      </c>
      <c r="C5895" s="8" t="s">
        <v>2809</v>
      </c>
      <c r="D5895" s="8">
        <v>1</v>
      </c>
      <c r="E5895" s="8">
        <v>1</v>
      </c>
      <c r="F5895" s="8">
        <v>1257</v>
      </c>
    </row>
    <row r="5896" spans="1:6" ht="12.75">
      <c r="A5896" s="8">
        <v>43902.437291666662</v>
      </c>
      <c r="B5896" s="8" t="str">
        <f>HYPERLINK("https://twitter.com/Manu17393676","@Manu17393676")</f>
        <v>@Manu17393676</v>
      </c>
      <c r="C5896" s="8" t="s">
        <v>2810</v>
      </c>
      <c r="D5896" s="8">
        <v>0</v>
      </c>
      <c r="E5896" s="8">
        <v>0</v>
      </c>
      <c r="F5896" s="8">
        <v>2</v>
      </c>
    </row>
    <row r="5897" spans="1:6" ht="12.75">
      <c r="A5897" s="8">
        <v>43902.437152777777</v>
      </c>
      <c r="B5897" s="8" t="str">
        <f>HYPERLINK("https://twitter.com/ndaru_wardani","@ndaru_wardani")</f>
        <v>@ndaru_wardani</v>
      </c>
      <c r="C5897" s="8" t="s">
        <v>1643</v>
      </c>
      <c r="D5897" s="8">
        <v>65</v>
      </c>
      <c r="E5897" s="8">
        <v>0</v>
      </c>
      <c r="F5897" s="8">
        <v>300</v>
      </c>
    </row>
    <row r="5898" spans="1:6" ht="12.75">
      <c r="A5898" s="8">
        <v>43902.437048611115</v>
      </c>
      <c r="B5898" s="8" t="str">
        <f>HYPERLINK("https://twitter.com/GitaNaya","@GitaNaya")</f>
        <v>@GitaNaya</v>
      </c>
      <c r="C5898" s="8" t="s">
        <v>1836</v>
      </c>
      <c r="D5898" s="8">
        <v>58</v>
      </c>
      <c r="E5898" s="8">
        <v>0</v>
      </c>
      <c r="F5898" s="8">
        <v>58</v>
      </c>
    </row>
    <row r="5899" spans="1:6" ht="12.75">
      <c r="A5899" s="8">
        <v>43902.435636574075</v>
      </c>
      <c r="B5899" s="8" t="str">
        <f>HYPERLINK("https://twitter.com/radarkotanews","@radarkotanews")</f>
        <v>@radarkotanews</v>
      </c>
      <c r="C5899" s="8" t="s">
        <v>2811</v>
      </c>
      <c r="D5899" s="8">
        <v>0</v>
      </c>
      <c r="E5899" s="8">
        <v>0</v>
      </c>
      <c r="F5899" s="8">
        <v>96</v>
      </c>
    </row>
    <row r="5900" spans="1:6" ht="12.75">
      <c r="A5900" s="8">
        <v>43902.433935185181</v>
      </c>
      <c r="B5900" s="8" t="str">
        <f>HYPERLINK("https://twitter.com/flyfluffy","@flyfluffy")</f>
        <v>@flyfluffy</v>
      </c>
      <c r="C5900" s="8" t="s">
        <v>1643</v>
      </c>
      <c r="D5900" s="8">
        <v>65</v>
      </c>
      <c r="E5900" s="8">
        <v>0</v>
      </c>
      <c r="F5900" s="8">
        <v>563</v>
      </c>
    </row>
    <row r="5901" spans="1:6" ht="12.75">
      <c r="A5901" s="8">
        <v>43902.433217592596</v>
      </c>
      <c r="B5901" s="8" t="str">
        <f>HYPERLINK("https://twitter.com/Crystal95836602","@Crystal95836602")</f>
        <v>@Crystal95836602</v>
      </c>
      <c r="C5901" s="8" t="s">
        <v>2812</v>
      </c>
      <c r="D5901" s="8">
        <v>0</v>
      </c>
      <c r="E5901" s="8">
        <v>0</v>
      </c>
      <c r="F5901" s="8">
        <v>5</v>
      </c>
    </row>
    <row r="5902" spans="1:6" ht="12.75">
      <c r="A5902" s="8">
        <v>43902.433020833334</v>
      </c>
      <c r="B5902" s="8" t="str">
        <f>HYPERLINK("https://twitter.com/Sawungg34828116","@Sawungg34828116")</f>
        <v>@Sawungg34828116</v>
      </c>
      <c r="C5902" s="8" t="s">
        <v>165</v>
      </c>
      <c r="D5902" s="8">
        <v>52</v>
      </c>
      <c r="E5902" s="8">
        <v>0</v>
      </c>
      <c r="F5902" s="8">
        <v>2058</v>
      </c>
    </row>
    <row r="5903" spans="1:6" ht="12.75">
      <c r="A5903" s="8">
        <v>43902.432673611111</v>
      </c>
      <c r="B5903" s="8" t="str">
        <f>HYPERLINK("https://twitter.com/titanrahadian","@titanrahadian")</f>
        <v>@titanrahadian</v>
      </c>
      <c r="C5903" s="8" t="s">
        <v>2813</v>
      </c>
      <c r="D5903" s="8">
        <v>1</v>
      </c>
      <c r="E5903" s="8">
        <v>0</v>
      </c>
      <c r="F5903" s="8">
        <v>1181</v>
      </c>
    </row>
    <row r="5904" spans="1:6" ht="12.75">
      <c r="A5904" s="8">
        <v>43902.431990740741</v>
      </c>
      <c r="B5904" s="8" t="str">
        <f>HYPERLINK("https://twitter.com/shellya_KC","@shellya_KC")</f>
        <v>@shellya_KC</v>
      </c>
      <c r="C5904" s="8" t="s">
        <v>1836</v>
      </c>
      <c r="D5904" s="8">
        <v>58</v>
      </c>
      <c r="E5904" s="8">
        <v>0</v>
      </c>
      <c r="F5904" s="8">
        <v>250</v>
      </c>
    </row>
    <row r="5905" spans="1:6" ht="12.75">
      <c r="A5905" s="8">
        <v>43902.431377314817</v>
      </c>
      <c r="B5905" s="8" t="str">
        <f>HYPERLINK("https://twitter.com/p023456","@p023456")</f>
        <v>@p023456</v>
      </c>
      <c r="C5905" s="8" t="s">
        <v>2814</v>
      </c>
      <c r="D5905" s="8">
        <v>0</v>
      </c>
      <c r="E5905" s="8">
        <v>0</v>
      </c>
      <c r="F5905" s="8">
        <v>109</v>
      </c>
    </row>
    <row r="5906" spans="1:6" ht="12.75">
      <c r="A5906" s="8">
        <v>43902.431006944447</v>
      </c>
      <c r="B5906" s="8" t="str">
        <f>HYPERLINK("https://twitter.com/cokifunk","@cokifunk")</f>
        <v>@cokifunk</v>
      </c>
      <c r="C5906" s="8" t="s">
        <v>165</v>
      </c>
      <c r="D5906" s="8">
        <v>52</v>
      </c>
      <c r="E5906" s="8">
        <v>0</v>
      </c>
      <c r="F5906" s="8">
        <v>436</v>
      </c>
    </row>
    <row r="5907" spans="1:6" ht="12.75">
      <c r="A5907" s="8">
        <v>43902.430335648147</v>
      </c>
      <c r="B5907" s="8" t="str">
        <f>HYPERLINK("https://twitter.com/Metriwahyudi","@Metriwahyudi")</f>
        <v>@Metriwahyudi</v>
      </c>
      <c r="C5907" s="8" t="s">
        <v>2051</v>
      </c>
      <c r="D5907" s="8">
        <v>47</v>
      </c>
      <c r="E5907" s="8">
        <v>0</v>
      </c>
      <c r="F5907" s="8">
        <v>136</v>
      </c>
    </row>
    <row r="5908" spans="1:6" ht="12.75">
      <c r="A5908" s="8">
        <v>43902.430115740739</v>
      </c>
      <c r="B5908" s="8" t="str">
        <f>HYPERLINK("https://twitter.com/nrudinugroho98","@nrudinugroho98")</f>
        <v>@nrudinugroho98</v>
      </c>
      <c r="C5908" s="8" t="s">
        <v>1643</v>
      </c>
      <c r="D5908" s="8">
        <v>65</v>
      </c>
      <c r="E5908" s="8">
        <v>0</v>
      </c>
      <c r="F5908" s="8">
        <v>296</v>
      </c>
    </row>
    <row r="5909" spans="1:6" ht="12.75">
      <c r="A5909" s="8">
        <v>43902.429664351846</v>
      </c>
      <c r="B5909" s="8" t="str">
        <f>HYPERLINK("https://twitter.com/majoindonew","@majoindonew")</f>
        <v>@majoindonew</v>
      </c>
      <c r="C5909" s="8" t="s">
        <v>2815</v>
      </c>
      <c r="D5909" s="8">
        <v>0</v>
      </c>
      <c r="E5909" s="8">
        <v>0</v>
      </c>
      <c r="F5909" s="8">
        <v>58</v>
      </c>
    </row>
    <row r="5910" spans="1:6" ht="12.75">
      <c r="A5910" s="8">
        <v>43902.429641203707</v>
      </c>
      <c r="B5910" s="8" t="str">
        <f>HYPERLINK("https://twitter.com/boinesaries","@boinesaries")</f>
        <v>@boinesaries</v>
      </c>
      <c r="C5910" s="8" t="s">
        <v>1836</v>
      </c>
      <c r="D5910" s="8">
        <v>58</v>
      </c>
      <c r="E5910" s="8">
        <v>0</v>
      </c>
      <c r="F5910" s="8">
        <v>428</v>
      </c>
    </row>
    <row r="5911" spans="1:6" ht="12.75">
      <c r="A5911" s="8">
        <v>43902.428831018522</v>
      </c>
      <c r="B5911" s="8" t="str">
        <f>HYPERLINK("https://twitter.com/AlberaD5","@AlberaD5")</f>
        <v>@AlberaD5</v>
      </c>
      <c r="C5911" s="8" t="s">
        <v>165</v>
      </c>
      <c r="D5911" s="8">
        <v>52</v>
      </c>
      <c r="E5911" s="8">
        <v>0</v>
      </c>
      <c r="F5911" s="8">
        <v>1853</v>
      </c>
    </row>
    <row r="5912" spans="1:6" ht="12.75">
      <c r="A5912" s="8">
        <v>43902.428611111114</v>
      </c>
      <c r="B5912" s="8" t="str">
        <f>HYPERLINK("https://twitter.com/SylviaOP","@SylviaOP")</f>
        <v>@SylviaOP</v>
      </c>
      <c r="C5912" s="8" t="s">
        <v>1400</v>
      </c>
      <c r="D5912" s="8">
        <v>22</v>
      </c>
      <c r="E5912" s="8">
        <v>0</v>
      </c>
      <c r="F5912" s="8">
        <v>397</v>
      </c>
    </row>
    <row r="5913" spans="1:6" ht="12.75">
      <c r="A5913" s="8">
        <v>43902.428541666668</v>
      </c>
      <c r="B5913" s="8" t="str">
        <f>HYPERLINK("https://twitter.com/ryanxyz","@ryanxyz")</f>
        <v>@ryanxyz</v>
      </c>
      <c r="C5913" s="8" t="s">
        <v>1643</v>
      </c>
      <c r="D5913" s="8">
        <v>65</v>
      </c>
      <c r="E5913" s="8">
        <v>0</v>
      </c>
      <c r="F5913" s="8">
        <v>1221</v>
      </c>
    </row>
    <row r="5914" spans="1:6" ht="12.75">
      <c r="A5914" s="8">
        <v>43902.428414351853</v>
      </c>
      <c r="B5914" s="8" t="str">
        <f>HYPERLINK("https://twitter.com/Sahilchawar","@Sahilchawar")</f>
        <v>@Sahilchawar</v>
      </c>
      <c r="C5914" s="8" t="s">
        <v>2816</v>
      </c>
      <c r="D5914" s="8">
        <v>0</v>
      </c>
      <c r="E5914" s="8">
        <v>0</v>
      </c>
      <c r="F5914" s="8">
        <v>519</v>
      </c>
    </row>
    <row r="5915" spans="1:6" ht="12.75">
      <c r="A5915" s="8">
        <v>43902.428043981483</v>
      </c>
      <c r="B5915" s="8" t="str">
        <f>HYPERLINK("https://twitter.com/1285Haris","@1285Haris")</f>
        <v>@1285Haris</v>
      </c>
      <c r="C5915" s="8" t="s">
        <v>2817</v>
      </c>
      <c r="D5915" s="8">
        <v>0</v>
      </c>
      <c r="E5915" s="8">
        <v>0</v>
      </c>
      <c r="F5915" s="8">
        <v>107</v>
      </c>
    </row>
    <row r="5916" spans="1:6" ht="12.75">
      <c r="A5916" s="8">
        <v>43902.427789351852</v>
      </c>
      <c r="B5916" s="8" t="str">
        <f>HYPERLINK("https://twitter.com/putra_bisma12","@putra_bisma12")</f>
        <v>@putra_bisma12</v>
      </c>
      <c r="C5916" s="8" t="s">
        <v>1643</v>
      </c>
      <c r="D5916" s="8">
        <v>65</v>
      </c>
      <c r="E5916" s="8">
        <v>0</v>
      </c>
      <c r="F5916" s="8">
        <v>4272</v>
      </c>
    </row>
    <row r="5917" spans="1:6" ht="12.75">
      <c r="A5917" s="8">
        <v>43902.427766203706</v>
      </c>
      <c r="B5917" s="8" t="str">
        <f>HYPERLINK("https://twitter.com/EricssenWen","@EricssenWen")</f>
        <v>@EricssenWen</v>
      </c>
      <c r="C5917" s="8" t="s">
        <v>2818</v>
      </c>
      <c r="D5917" s="8">
        <v>0</v>
      </c>
      <c r="E5917" s="8">
        <v>0</v>
      </c>
      <c r="F5917" s="8">
        <v>1902</v>
      </c>
    </row>
    <row r="5918" spans="1:6" ht="12.75">
      <c r="A5918" s="8">
        <v>43902.427337962959</v>
      </c>
      <c r="B5918" s="8" t="str">
        <f>HYPERLINK("https://twitter.com/iNewsID","@iNewsID")</f>
        <v>@iNewsID</v>
      </c>
      <c r="C5918" s="8" t="s">
        <v>2819</v>
      </c>
      <c r="D5918" s="8">
        <v>0</v>
      </c>
      <c r="E5918" s="8">
        <v>0</v>
      </c>
      <c r="F5918" s="8">
        <v>1395</v>
      </c>
    </row>
    <row r="5919" spans="1:6" ht="12.75">
      <c r="A5919" s="8">
        <v>43902.427106481482</v>
      </c>
      <c r="B5919" s="8" t="str">
        <f>HYPERLINK("https://twitter.com/azizajis","@azizajis")</f>
        <v>@azizajis</v>
      </c>
      <c r="C5919" s="8" t="s">
        <v>2820</v>
      </c>
      <c r="D5919" s="8">
        <v>2</v>
      </c>
      <c r="E5919" s="8">
        <v>0</v>
      </c>
      <c r="F5919" s="8">
        <v>396</v>
      </c>
    </row>
    <row r="5920" spans="1:6" ht="12.75">
      <c r="A5920" s="8">
        <v>43902.426828703705</v>
      </c>
      <c r="B5920" s="8" t="str">
        <f>HYPERLINK("https://twitter.com/mudha_satriya","@mudha_satriya")</f>
        <v>@mudha_satriya</v>
      </c>
      <c r="C5920" s="8" t="s">
        <v>1400</v>
      </c>
      <c r="D5920" s="8">
        <v>22</v>
      </c>
      <c r="E5920" s="8">
        <v>0</v>
      </c>
      <c r="F5920" s="8">
        <v>1886</v>
      </c>
    </row>
    <row r="5921" spans="1:6" ht="12.75">
      <c r="A5921" s="8">
        <v>43902.426296296297</v>
      </c>
      <c r="B5921" s="8" t="str">
        <f>HYPERLINK("https://twitter.com/iblisygsoleh","@iblisygsoleh")</f>
        <v>@iblisygsoleh</v>
      </c>
      <c r="C5921" s="8" t="s">
        <v>2821</v>
      </c>
      <c r="D5921" s="8">
        <v>0</v>
      </c>
      <c r="E5921" s="8">
        <v>1</v>
      </c>
      <c r="F5921" s="8">
        <v>2967</v>
      </c>
    </row>
    <row r="5922" spans="1:6" ht="12.75">
      <c r="A5922" s="8">
        <v>43902.42586805555</v>
      </c>
      <c r="B5922" s="8" t="str">
        <f>HYPERLINK("https://twitter.com/alec_bong","@alec_bong")</f>
        <v>@alec_bong</v>
      </c>
      <c r="C5922" s="8" t="s">
        <v>1836</v>
      </c>
      <c r="D5922" s="8">
        <v>58</v>
      </c>
      <c r="E5922" s="8">
        <v>0</v>
      </c>
      <c r="F5922" s="8">
        <v>78</v>
      </c>
    </row>
    <row r="5923" spans="1:6" ht="12.75">
      <c r="A5923" s="8">
        <v>43902.425486111111</v>
      </c>
      <c r="B5923" s="8" t="str">
        <f>HYPERLINK("https://twitter.com/tejodanu","@tejodanu")</f>
        <v>@tejodanu</v>
      </c>
      <c r="C5923" s="8" t="s">
        <v>2822</v>
      </c>
      <c r="D5923" s="8">
        <v>0</v>
      </c>
      <c r="E5923" s="8">
        <v>0</v>
      </c>
      <c r="F5923" s="8">
        <v>220</v>
      </c>
    </row>
    <row r="5924" spans="1:6" ht="12.75">
      <c r="A5924" s="8">
        <v>43902.425381944442</v>
      </c>
      <c r="B5924" s="8" t="str">
        <f>HYPERLINK("https://twitter.com/abidinali88","@abidinali88")</f>
        <v>@abidinali88</v>
      </c>
      <c r="C5924" s="8" t="s">
        <v>2823</v>
      </c>
      <c r="D5924" s="8">
        <v>5</v>
      </c>
      <c r="E5924" s="8">
        <v>0</v>
      </c>
      <c r="F5924" s="8">
        <v>50</v>
      </c>
    </row>
    <row r="5925" spans="1:6" ht="12.75">
      <c r="A5925" s="8">
        <v>43902.424733796295</v>
      </c>
      <c r="B5925" s="8" t="str">
        <f>HYPERLINK("https://twitter.com/kicauanmerdu84","@kicauanmerdu84")</f>
        <v>@kicauanmerdu84</v>
      </c>
      <c r="C5925" s="8" t="s">
        <v>2824</v>
      </c>
      <c r="D5925" s="8">
        <v>0</v>
      </c>
      <c r="E5925" s="8">
        <v>1</v>
      </c>
      <c r="F5925" s="8">
        <v>1812</v>
      </c>
    </row>
    <row r="5926" spans="1:6" ht="12.75">
      <c r="A5926" s="8">
        <v>43902.42465277778</v>
      </c>
      <c r="B5926" s="8" t="str">
        <f>HYPERLINK("https://twitter.com/retnodenok","@retnodenok")</f>
        <v>@retnodenok</v>
      </c>
      <c r="C5926" s="8" t="s">
        <v>2825</v>
      </c>
      <c r="D5926" s="8">
        <v>1</v>
      </c>
      <c r="E5926" s="8">
        <v>0</v>
      </c>
      <c r="F5926" s="8">
        <v>1256</v>
      </c>
    </row>
    <row r="5927" spans="1:6" ht="12.75">
      <c r="A5927" s="8">
        <v>43902.424618055556</v>
      </c>
      <c r="B5927" s="8" t="str">
        <f>HYPERLINK("https://twitter.com/imnotqueen_","@imnotqueen_")</f>
        <v>@imnotqueen_</v>
      </c>
      <c r="C5927" s="8" t="s">
        <v>1400</v>
      </c>
      <c r="D5927" s="8">
        <v>22</v>
      </c>
      <c r="E5927" s="8">
        <v>0</v>
      </c>
      <c r="F5927" s="8">
        <v>9</v>
      </c>
    </row>
    <row r="5928" spans="1:6" ht="12.75">
      <c r="A5928" s="8">
        <v>43902.424490740741</v>
      </c>
      <c r="B5928" s="8" t="str">
        <f>HYPERLINK("https://twitter.com/rainnnbouw","@rainnnbouw")</f>
        <v>@rainnnbouw</v>
      </c>
      <c r="C5928" s="8" t="s">
        <v>1836</v>
      </c>
      <c r="D5928" s="8">
        <v>58</v>
      </c>
      <c r="E5928" s="8">
        <v>0</v>
      </c>
      <c r="F5928" s="8">
        <v>298</v>
      </c>
    </row>
    <row r="5929" spans="1:6" ht="12.75">
      <c r="A5929" s="8">
        <v>43902.423287037032</v>
      </c>
      <c r="B5929" s="8" t="str">
        <f>HYPERLINK("https://twitter.com/fairychannn","@fairychannn")</f>
        <v>@fairychannn</v>
      </c>
      <c r="C5929" s="8" t="s">
        <v>2826</v>
      </c>
      <c r="D5929" s="8">
        <v>1</v>
      </c>
      <c r="E5929" s="8">
        <v>0</v>
      </c>
      <c r="F5929" s="8">
        <v>1755</v>
      </c>
    </row>
    <row r="5930" spans="1:6" ht="12.75">
      <c r="A5930" s="8">
        <v>43902.423043981486</v>
      </c>
      <c r="B5930" s="8" t="str">
        <f>HYPERLINK("https://twitter.com/ShantiSetiawati","@ShantiSetiawati")</f>
        <v>@ShantiSetiawati</v>
      </c>
      <c r="C5930" s="8" t="s">
        <v>2827</v>
      </c>
      <c r="D5930" s="8">
        <v>0</v>
      </c>
      <c r="E5930" s="8">
        <v>0</v>
      </c>
      <c r="F5930" s="8">
        <v>5089</v>
      </c>
    </row>
    <row r="5931" spans="1:6" ht="12.75">
      <c r="A5931" s="8">
        <v>43902.422939814816</v>
      </c>
      <c r="B5931" s="8" t="str">
        <f>HYPERLINK("https://twitter.com/kompascom","@kompascom")</f>
        <v>@kompascom</v>
      </c>
      <c r="C5931" s="8" t="s">
        <v>2828</v>
      </c>
      <c r="D5931" s="8">
        <v>1</v>
      </c>
      <c r="E5931" s="8">
        <v>0</v>
      </c>
      <c r="F5931" s="8">
        <v>7542064</v>
      </c>
    </row>
    <row r="5932" spans="1:6" ht="12.75">
      <c r="A5932" s="8">
        <v>43902.42255787037</v>
      </c>
      <c r="B5932" s="8" t="str">
        <f>HYPERLINK("https://twitter.com/adamlfs","@adamlfs")</f>
        <v>@adamlfs</v>
      </c>
      <c r="C5932" s="8" t="s">
        <v>2820</v>
      </c>
      <c r="D5932" s="8">
        <v>1</v>
      </c>
      <c r="E5932" s="8">
        <v>0</v>
      </c>
      <c r="F5932" s="8">
        <v>2373</v>
      </c>
    </row>
    <row r="5933" spans="1:6" ht="12.75">
      <c r="A5933" s="8">
        <v>43902.4221875</v>
      </c>
      <c r="B5933" s="8" t="str">
        <f>HYPERLINK("https://twitter.com/xoxolicous","@xoxolicous")</f>
        <v>@xoxolicous</v>
      </c>
      <c r="C5933" s="8" t="s">
        <v>2171</v>
      </c>
      <c r="D5933" s="8">
        <v>3</v>
      </c>
      <c r="E5933" s="8">
        <v>0</v>
      </c>
      <c r="F5933" s="8">
        <v>621</v>
      </c>
    </row>
    <row r="5934" spans="1:6" ht="12.75">
      <c r="A5934" s="8">
        <v>43902.421828703707</v>
      </c>
      <c r="B5934" s="8" t="str">
        <f>HYPERLINK("https://twitter.com/wasis_515WS","@wasis_515WS")</f>
        <v>@wasis_515WS</v>
      </c>
      <c r="C5934" s="8" t="s">
        <v>165</v>
      </c>
      <c r="D5934" s="8">
        <v>40</v>
      </c>
      <c r="E5934" s="8">
        <v>0</v>
      </c>
      <c r="F5934" s="8">
        <v>206</v>
      </c>
    </row>
    <row r="5935" spans="1:6" ht="12.75">
      <c r="A5935" s="8">
        <v>43902.420995370368</v>
      </c>
      <c r="B5935" s="8" t="str">
        <f>HYPERLINK("https://twitter.com/nurel_effah","@nurel_effah")</f>
        <v>@nurel_effah</v>
      </c>
      <c r="C5935" s="8" t="s">
        <v>2178</v>
      </c>
      <c r="D5935" s="8">
        <v>45</v>
      </c>
      <c r="E5935" s="8">
        <v>0</v>
      </c>
      <c r="F5935" s="8">
        <v>3620</v>
      </c>
    </row>
    <row r="5936" spans="1:6" ht="12.75">
      <c r="A5936" s="8">
        <v>43902.420590277776</v>
      </c>
      <c r="B5936" s="8" t="str">
        <f>HYPERLINK("https://twitter.com/RadioElshinta","@RadioElshinta")</f>
        <v>@RadioElshinta</v>
      </c>
      <c r="C5936" s="8" t="s">
        <v>2829</v>
      </c>
      <c r="D5936" s="8">
        <v>1</v>
      </c>
      <c r="E5936" s="8">
        <v>2</v>
      </c>
      <c r="F5936" s="8">
        <v>3637529</v>
      </c>
    </row>
    <row r="5937" spans="1:6" ht="12.75">
      <c r="A5937" s="8">
        <v>43902.419803240744</v>
      </c>
      <c r="B5937" s="8" t="str">
        <f>HYPERLINK("https://twitter.com/pucukk","@pucukk")</f>
        <v>@pucukk</v>
      </c>
      <c r="C5937" s="8" t="s">
        <v>1836</v>
      </c>
      <c r="D5937" s="8">
        <v>45</v>
      </c>
      <c r="E5937" s="8">
        <v>0</v>
      </c>
      <c r="F5937" s="8">
        <v>57</v>
      </c>
    </row>
    <row r="5938" spans="1:6" ht="12.75">
      <c r="A5938" s="8">
        <v>43902.419733796298</v>
      </c>
      <c r="B5938" s="8" t="str">
        <f>HYPERLINK("https://twitter.com/yah_udi","@yah_udi")</f>
        <v>@yah_udi</v>
      </c>
      <c r="C5938" s="8" t="s">
        <v>165</v>
      </c>
      <c r="D5938" s="8">
        <v>40</v>
      </c>
      <c r="E5938" s="8">
        <v>0</v>
      </c>
      <c r="F5938" s="8">
        <v>269</v>
      </c>
    </row>
    <row r="5939" spans="1:6" ht="12.75">
      <c r="A5939" s="8">
        <v>43902.419571759259</v>
      </c>
      <c r="B5939" s="8" t="str">
        <f>HYPERLINK("https://twitter.com/doddydefriyana","@doddydefriyana")</f>
        <v>@doddydefriyana</v>
      </c>
      <c r="C5939" s="8" t="s">
        <v>1400</v>
      </c>
      <c r="D5939" s="8">
        <v>14</v>
      </c>
      <c r="E5939" s="8">
        <v>0</v>
      </c>
      <c r="F5939" s="8">
        <v>117</v>
      </c>
    </row>
    <row r="5940" spans="1:6" ht="12.75">
      <c r="A5940" s="8">
        <v>43902.418530092589</v>
      </c>
      <c r="B5940" s="8" t="str">
        <f>HYPERLINK("https://twitter.com/rzkslwt","@rzkslwt")</f>
        <v>@rzkslwt</v>
      </c>
      <c r="C5940" s="8" t="s">
        <v>1836</v>
      </c>
      <c r="D5940" s="8">
        <v>45</v>
      </c>
      <c r="E5940" s="8">
        <v>0</v>
      </c>
      <c r="F5940" s="8">
        <v>463</v>
      </c>
    </row>
    <row r="5941" spans="1:6" ht="12.75">
      <c r="A5941" s="8">
        <v>43902.417037037041</v>
      </c>
      <c r="B5941" s="8" t="str">
        <f>HYPERLINK("https://twitter.com/BebasVisaID","@BebasVisaID")</f>
        <v>@BebasVisaID</v>
      </c>
      <c r="C5941" s="8" t="s">
        <v>2830</v>
      </c>
      <c r="D5941" s="8">
        <v>1</v>
      </c>
      <c r="E5941" s="8">
        <v>0</v>
      </c>
      <c r="F5941" s="8">
        <v>7971</v>
      </c>
    </row>
    <row r="5942" spans="1:6" ht="12.75">
      <c r="A5942" s="8">
        <v>43902.416967592595</v>
      </c>
      <c r="B5942" s="8" t="str">
        <f>HYPERLINK("https://twitter.com/vivelamei","@vivelamei")</f>
        <v>@vivelamei</v>
      </c>
      <c r="C5942" s="8" t="s">
        <v>1400</v>
      </c>
      <c r="D5942" s="8">
        <v>14</v>
      </c>
      <c r="E5942" s="8">
        <v>0</v>
      </c>
      <c r="F5942" s="8">
        <v>312</v>
      </c>
    </row>
    <row r="5943" spans="1:6" ht="12.75">
      <c r="A5943" s="8">
        <v>43902.416886574079</v>
      </c>
      <c r="B5943" s="8" t="str">
        <f>HYPERLINK("https://twitter.com/Aditiasam1","@Aditiasam1")</f>
        <v>@Aditiasam1</v>
      </c>
      <c r="C5943" s="8" t="s">
        <v>165</v>
      </c>
      <c r="D5943" s="8">
        <v>40</v>
      </c>
      <c r="E5943" s="8">
        <v>0</v>
      </c>
      <c r="F5943" s="8">
        <v>419</v>
      </c>
    </row>
    <row r="5944" spans="1:6" ht="12.75">
      <c r="A5944" s="8">
        <v>43902.416631944448</v>
      </c>
      <c r="B5944" s="8" t="str">
        <f>HYPERLINK("https://twitter.com/cisburgirl","@cisburgirl")</f>
        <v>@cisburgirl</v>
      </c>
      <c r="C5944" s="8" t="s">
        <v>2831</v>
      </c>
      <c r="D5944" s="8">
        <v>0</v>
      </c>
      <c r="E5944" s="8">
        <v>0</v>
      </c>
      <c r="F5944" s="8">
        <v>222</v>
      </c>
    </row>
    <row r="5945" spans="1:6" ht="12.75">
      <c r="A5945" s="8">
        <v>43902.416597222225</v>
      </c>
      <c r="B5945" s="8" t="str">
        <f>HYPERLINK("https://twitter.com/r0nggo05","@r0nggo05")</f>
        <v>@r0nggo05</v>
      </c>
      <c r="C5945" s="8" t="s">
        <v>1400</v>
      </c>
      <c r="D5945" s="8">
        <v>14</v>
      </c>
      <c r="E5945" s="8">
        <v>0</v>
      </c>
      <c r="F5945" s="8">
        <v>331</v>
      </c>
    </row>
    <row r="5946" spans="1:6" ht="12.75">
      <c r="A5946" s="8">
        <v>43902.416307870371</v>
      </c>
      <c r="B5946" s="8" t="str">
        <f>HYPERLINK("https://twitter.com/Pink_Traveler","@Pink_Traveler")</f>
        <v>@Pink_Traveler</v>
      </c>
      <c r="C5946" s="8" t="s">
        <v>1400</v>
      </c>
      <c r="D5946" s="8">
        <v>14</v>
      </c>
      <c r="E5946" s="8">
        <v>0</v>
      </c>
      <c r="F5946" s="8">
        <v>1537</v>
      </c>
    </row>
    <row r="5947" spans="1:6" ht="12.75">
      <c r="A5947" s="8">
        <v>43902.416273148148</v>
      </c>
      <c r="B5947" s="8" t="str">
        <f>HYPERLINK("https://twitter.com/HAND_Ok","@HAND_Ok")</f>
        <v>@HAND_Ok</v>
      </c>
      <c r="C5947" s="8" t="s">
        <v>2832</v>
      </c>
      <c r="D5947" s="8">
        <v>0</v>
      </c>
      <c r="E5947" s="8">
        <v>0</v>
      </c>
      <c r="F5947" s="8">
        <v>53</v>
      </c>
    </row>
    <row r="5948" spans="1:6" ht="12.75">
      <c r="A5948" s="8">
        <v>43902.415960648148</v>
      </c>
      <c r="B5948" s="8" t="str">
        <f>HYPERLINK("https://twitter.com/IvanRT05","@IvanRT05")</f>
        <v>@IvanRT05</v>
      </c>
      <c r="C5948" s="8" t="s">
        <v>2833</v>
      </c>
      <c r="D5948" s="8">
        <v>0</v>
      </c>
      <c r="E5948" s="8">
        <v>0</v>
      </c>
      <c r="F5948" s="8">
        <v>655</v>
      </c>
    </row>
    <row r="5949" spans="1:6" ht="12.75">
      <c r="A5949" s="8">
        <v>43902.415682870371</v>
      </c>
      <c r="B5949" s="8" t="str">
        <f>HYPERLINK("https://twitter.com/AndriAn96302974","@AndriAn96302974")</f>
        <v>@AndriAn96302974</v>
      </c>
      <c r="C5949" s="8" t="s">
        <v>1400</v>
      </c>
      <c r="D5949" s="8">
        <v>14</v>
      </c>
      <c r="E5949" s="8">
        <v>0</v>
      </c>
      <c r="F5949" s="8">
        <v>4</v>
      </c>
    </row>
    <row r="5950" spans="1:6" ht="12.75">
      <c r="A5950" s="8">
        <v>43902.415555555555</v>
      </c>
      <c r="B5950" s="8" t="str">
        <f>HYPERLINK("https://twitter.com/ISIS_Kasiab","@ISIS_Kasiab")</f>
        <v>@ISIS_Kasiab</v>
      </c>
      <c r="C5950" s="8" t="s">
        <v>2834</v>
      </c>
      <c r="D5950" s="8">
        <v>0</v>
      </c>
      <c r="E5950" s="8">
        <v>0</v>
      </c>
      <c r="F5950" s="8">
        <v>142</v>
      </c>
    </row>
    <row r="5951" spans="1:6" ht="12.75">
      <c r="A5951" s="8">
        <v>43902.414942129632</v>
      </c>
      <c r="B5951" s="8" t="str">
        <f>HYPERLINK("https://twitter.com/KartiniDwiS","@KartiniDwiS")</f>
        <v>@KartiniDwiS</v>
      </c>
      <c r="C5951" s="8" t="s">
        <v>1400</v>
      </c>
      <c r="D5951" s="8">
        <v>14</v>
      </c>
      <c r="E5951" s="8">
        <v>0</v>
      </c>
      <c r="F5951" s="8">
        <v>1041</v>
      </c>
    </row>
    <row r="5952" spans="1:6" ht="12.75">
      <c r="A5952" s="8">
        <v>43902.414479166662</v>
      </c>
      <c r="B5952" s="8" t="str">
        <f>HYPERLINK("https://twitter.com/KevinAdam2017","@KevinAdam2017")</f>
        <v>@KevinAdam2017</v>
      </c>
      <c r="C5952" s="8" t="s">
        <v>1400</v>
      </c>
      <c r="D5952" s="8">
        <v>14</v>
      </c>
      <c r="E5952" s="8">
        <v>0</v>
      </c>
      <c r="F5952" s="8">
        <v>198</v>
      </c>
    </row>
    <row r="5953" spans="1:6" ht="12.75">
      <c r="A5953" s="8">
        <v>43902.414444444439</v>
      </c>
      <c r="B5953" s="8" t="str">
        <f>HYPERLINK("https://twitter.com/gotargareyens","@gotargareyens")</f>
        <v>@gotargareyens</v>
      </c>
      <c r="C5953" s="8" t="s">
        <v>1400</v>
      </c>
      <c r="D5953" s="8">
        <v>14</v>
      </c>
      <c r="E5953" s="8">
        <v>0</v>
      </c>
      <c r="F5953" s="8">
        <v>533</v>
      </c>
    </row>
    <row r="5954" spans="1:6" ht="12.75">
      <c r="A5954" s="8">
        <v>43902.414363425924</v>
      </c>
      <c r="B5954" s="8" t="str">
        <f>HYPERLINK("https://twitter.com/rioyogaa","@rioyogaa")</f>
        <v>@rioyogaa</v>
      </c>
      <c r="C5954" s="8" t="s">
        <v>1400</v>
      </c>
      <c r="D5954" s="8">
        <v>14</v>
      </c>
      <c r="E5954" s="8">
        <v>0</v>
      </c>
      <c r="F5954" s="8">
        <v>187</v>
      </c>
    </row>
    <row r="5955" spans="1:6" ht="12.75">
      <c r="A5955" s="8">
        <v>43902.413831018523</v>
      </c>
      <c r="B5955" s="8" t="str">
        <f>HYPERLINK("https://twitter.com/Zreg","@Zreg")</f>
        <v>@Zreg</v>
      </c>
      <c r="C5955" s="8" t="s">
        <v>1836</v>
      </c>
      <c r="D5955" s="8">
        <v>45</v>
      </c>
      <c r="E5955" s="8">
        <v>0</v>
      </c>
      <c r="F5955" s="8">
        <v>3122</v>
      </c>
    </row>
    <row r="5956" spans="1:6" ht="12.75">
      <c r="A5956" s="8">
        <v>43902.413726851853</v>
      </c>
      <c r="B5956" s="8" t="str">
        <f>HYPERLINK("https://twitter.com/n20t14","@n20t14")</f>
        <v>@n20t14</v>
      </c>
      <c r="C5956" s="8" t="s">
        <v>1400</v>
      </c>
      <c r="D5956" s="8">
        <v>14</v>
      </c>
      <c r="E5956" s="8">
        <v>0</v>
      </c>
      <c r="F5956" s="8">
        <v>439</v>
      </c>
    </row>
    <row r="5957" spans="1:6" ht="12.75">
      <c r="A5957" s="8">
        <v>43902.413460648153</v>
      </c>
      <c r="B5957" s="8" t="str">
        <f>HYPERLINK("https://twitter.com/YolaEL_MINORI","@YolaEL_MINORI")</f>
        <v>@YolaEL_MINORI</v>
      </c>
      <c r="C5957" s="8" t="s">
        <v>165</v>
      </c>
      <c r="D5957" s="8">
        <v>40</v>
      </c>
      <c r="E5957" s="8">
        <v>0</v>
      </c>
      <c r="F5957" s="8">
        <v>80</v>
      </c>
    </row>
    <row r="5958" spans="1:6" ht="12.75">
      <c r="A5958" s="8">
        <v>43902.413090277776</v>
      </c>
      <c r="B5958" s="8" t="str">
        <f>HYPERLINK("https://twitter.com/okkyirmanita","@okkyirmanita")</f>
        <v>@okkyirmanita</v>
      </c>
      <c r="C5958" s="8" t="s">
        <v>2835</v>
      </c>
      <c r="D5958" s="8">
        <v>0</v>
      </c>
      <c r="E5958" s="8">
        <v>1</v>
      </c>
      <c r="F5958" s="8">
        <v>2128</v>
      </c>
    </row>
    <row r="5959" spans="1:6" ht="12.75">
      <c r="A5959" s="8">
        <v>43902.413032407407</v>
      </c>
      <c r="B5959" s="8" t="str">
        <f>HYPERLINK("https://twitter.com/etikwahyu","@etikwahyu")</f>
        <v>@etikwahyu</v>
      </c>
      <c r="C5959" s="8" t="s">
        <v>1400</v>
      </c>
      <c r="D5959" s="8">
        <v>14</v>
      </c>
      <c r="E5959" s="8">
        <v>0</v>
      </c>
      <c r="F5959" s="8">
        <v>582</v>
      </c>
    </row>
    <row r="5960" spans="1:6" ht="12.75">
      <c r="A5960" s="8">
        <v>43902.41270833333</v>
      </c>
      <c r="B5960" s="8" t="str">
        <f>HYPERLINK("https://twitter.com/KekeySRiana","@KekeySRiana")</f>
        <v>@KekeySRiana</v>
      </c>
      <c r="C5960" s="8" t="s">
        <v>165</v>
      </c>
      <c r="D5960" s="8">
        <v>40</v>
      </c>
      <c r="E5960" s="8">
        <v>0</v>
      </c>
      <c r="F5960" s="8">
        <v>1082</v>
      </c>
    </row>
    <row r="5961" spans="1:6" ht="12.75">
      <c r="A5961" s="8">
        <v>43902.412407407406</v>
      </c>
      <c r="B5961" s="8" t="str">
        <f>HYPERLINK("https://twitter.com/snowfallingme","@snowfallingme")</f>
        <v>@snowfallingme</v>
      </c>
      <c r="C5961" s="8" t="s">
        <v>1836</v>
      </c>
      <c r="D5961" s="8">
        <v>45</v>
      </c>
      <c r="E5961" s="8">
        <v>0</v>
      </c>
      <c r="F5961" s="8">
        <v>146</v>
      </c>
    </row>
    <row r="5962" spans="1:6" ht="12.75">
      <c r="A5962" s="8">
        <v>43902.41201388889</v>
      </c>
      <c r="B5962" s="8" t="str">
        <f>HYPERLINK("https://twitter.com/Kemlu_RI","@Kemlu_RI")</f>
        <v>@Kemlu_RI</v>
      </c>
      <c r="C5962" s="8" t="s">
        <v>2836</v>
      </c>
      <c r="D5962" s="8">
        <v>14</v>
      </c>
      <c r="E5962" s="8">
        <v>17</v>
      </c>
      <c r="F5962" s="8">
        <v>171365</v>
      </c>
    </row>
    <row r="5963" spans="1:6" ht="12.75">
      <c r="A5963" s="8">
        <v>43902.411851851852</v>
      </c>
      <c r="B5963" s="8" t="str">
        <f>HYPERLINK("https://twitter.com/topinfo_id","@topinfo_id")</f>
        <v>@topinfo_id</v>
      </c>
      <c r="C5963" s="8" t="s">
        <v>2837</v>
      </c>
      <c r="D5963" s="8">
        <v>0</v>
      </c>
      <c r="E5963" s="8">
        <v>0</v>
      </c>
      <c r="F5963" s="8">
        <v>98</v>
      </c>
    </row>
    <row r="5964" spans="1:6" ht="12.75">
      <c r="A5964" s="8">
        <v>43902.411550925928</v>
      </c>
      <c r="B5964" s="8" t="str">
        <f>HYPERLINK("https://twitter.com/leeza_dearest","@leeza_dearest")</f>
        <v>@leeza_dearest</v>
      </c>
      <c r="C5964" s="8" t="s">
        <v>1836</v>
      </c>
      <c r="D5964" s="8">
        <v>45</v>
      </c>
      <c r="E5964" s="8">
        <v>0</v>
      </c>
      <c r="F5964" s="8">
        <v>87</v>
      </c>
    </row>
    <row r="5965" spans="1:6" ht="12.75">
      <c r="A5965" s="8">
        <v>43902.411469907413</v>
      </c>
      <c r="B5965" s="8" t="str">
        <f>HYPERLINK("https://twitter.com/ISIS_Kasiab","@ISIS_Kasiab")</f>
        <v>@ISIS_Kasiab</v>
      </c>
      <c r="C5965" s="8" t="s">
        <v>2838</v>
      </c>
      <c r="D5965" s="8">
        <v>0</v>
      </c>
      <c r="E5965" s="8">
        <v>0</v>
      </c>
      <c r="F5965" s="8">
        <v>142</v>
      </c>
    </row>
    <row r="5966" spans="1:6" ht="12.75">
      <c r="A5966" s="8">
        <v>43902.41138888889</v>
      </c>
      <c r="B5966" s="8" t="str">
        <f>HYPERLINK("https://twitter.com/mollydha23","@mollydha23")</f>
        <v>@mollydha23</v>
      </c>
      <c r="C5966" s="8" t="s">
        <v>1800</v>
      </c>
      <c r="D5966" s="8">
        <v>70</v>
      </c>
      <c r="E5966" s="8">
        <v>0</v>
      </c>
      <c r="F5966" s="8">
        <v>23</v>
      </c>
    </row>
    <row r="5967" spans="1:6" ht="12.75">
      <c r="A5967" s="8">
        <v>43902.410625000004</v>
      </c>
      <c r="B5967" s="8" t="str">
        <f>HYPERLINK("https://twitter.com/parangsana","@parangsana")</f>
        <v>@parangsana</v>
      </c>
      <c r="C5967" s="8" t="s">
        <v>1643</v>
      </c>
      <c r="D5967" s="8">
        <v>53</v>
      </c>
      <c r="E5967" s="8">
        <v>0</v>
      </c>
      <c r="F5967" s="8">
        <v>118</v>
      </c>
    </row>
    <row r="5968" spans="1:6" ht="12.75">
      <c r="A5968" s="8">
        <v>43902.409872685181</v>
      </c>
      <c r="B5968" s="8" t="str">
        <f>HYPERLINK("https://twitter.com/khumairohummii","@khumairohummii")</f>
        <v>@khumairohummii</v>
      </c>
      <c r="C5968" s="8" t="s">
        <v>1836</v>
      </c>
      <c r="D5968" s="8">
        <v>45</v>
      </c>
      <c r="E5968" s="8">
        <v>0</v>
      </c>
      <c r="F5968" s="8">
        <v>493</v>
      </c>
    </row>
    <row r="5969" spans="1:6" ht="12.75">
      <c r="A5969" s="8">
        <v>43902.409814814819</v>
      </c>
      <c r="B5969" s="8" t="str">
        <f>HYPERLINK("https://twitter.com/cnbcindonesia","@cnbcindonesia")</f>
        <v>@cnbcindonesia</v>
      </c>
      <c r="C5969" s="8" t="s">
        <v>2839</v>
      </c>
      <c r="D5969" s="8">
        <v>1</v>
      </c>
      <c r="E5969" s="8">
        <v>0</v>
      </c>
      <c r="F5969" s="8">
        <v>32006</v>
      </c>
    </row>
    <row r="5970" spans="1:6" ht="12.75">
      <c r="A5970" s="8">
        <v>43902.409675925926</v>
      </c>
      <c r="B5970" s="8" t="str">
        <f>HYPERLINK("https://twitter.com/Adhi_Faiz","@Adhi_Faiz")</f>
        <v>@Adhi_Faiz</v>
      </c>
      <c r="C5970" s="8" t="s">
        <v>2840</v>
      </c>
      <c r="D5970" s="8">
        <v>1</v>
      </c>
      <c r="E5970" s="8">
        <v>2</v>
      </c>
      <c r="F5970" s="8">
        <v>1314</v>
      </c>
    </row>
    <row r="5971" spans="1:6" ht="12.75">
      <c r="A5971" s="8">
        <v>43902.409317129626</v>
      </c>
      <c r="B5971" s="8" t="str">
        <f>HYPERLINK("https://twitter.com/nuralka","@nuralka")</f>
        <v>@nuralka</v>
      </c>
      <c r="C5971" s="8" t="s">
        <v>1836</v>
      </c>
      <c r="D5971" s="8">
        <v>45</v>
      </c>
      <c r="E5971" s="8">
        <v>0</v>
      </c>
      <c r="F5971" s="8">
        <v>399</v>
      </c>
    </row>
    <row r="5972" spans="1:6" ht="12.75">
      <c r="A5972" s="8">
        <v>43902.408877314811</v>
      </c>
      <c r="B5972" s="8" t="str">
        <f>HYPERLINK("https://twitter.com/yurikefransis","@yurikefransis")</f>
        <v>@yurikefransis</v>
      </c>
      <c r="C5972" s="8" t="s">
        <v>2051</v>
      </c>
      <c r="D5972" s="8">
        <v>39</v>
      </c>
      <c r="E5972" s="8">
        <v>0</v>
      </c>
      <c r="F5972" s="8">
        <v>499</v>
      </c>
    </row>
    <row r="5973" spans="1:6" ht="12.75">
      <c r="A5973" s="8">
        <v>43902.40829861111</v>
      </c>
      <c r="B5973" s="8" t="str">
        <f>HYPERLINK("https://twitter.com/bosedii3","@bosedii3")</f>
        <v>@bosedii3</v>
      </c>
      <c r="C5973" s="8" t="s">
        <v>2841</v>
      </c>
      <c r="D5973" s="8">
        <v>0</v>
      </c>
      <c r="E5973" s="8">
        <v>0</v>
      </c>
      <c r="F5973" s="8">
        <v>11</v>
      </c>
    </row>
    <row r="5974" spans="1:6" ht="12.75">
      <c r="A5974" s="8">
        <v>43902.407870370371</v>
      </c>
      <c r="B5974" s="8" t="str">
        <f>HYPERLINK("https://twitter.com/CoklatHangatt","@CoklatHangatt")</f>
        <v>@CoklatHangatt</v>
      </c>
      <c r="C5974" s="8" t="s">
        <v>1800</v>
      </c>
      <c r="D5974" s="8">
        <v>70</v>
      </c>
      <c r="E5974" s="8">
        <v>0</v>
      </c>
      <c r="F5974" s="8">
        <v>1139</v>
      </c>
    </row>
    <row r="5975" spans="1:6" ht="12.75">
      <c r="A5975" s="8">
        <v>43902.407835648148</v>
      </c>
      <c r="B5975" s="8" t="str">
        <f>HYPERLINK("https://twitter.com/NursandiGatot","@NursandiGatot")</f>
        <v>@NursandiGatot</v>
      </c>
      <c r="C5975" s="8" t="s">
        <v>2842</v>
      </c>
      <c r="D5975" s="8">
        <v>0</v>
      </c>
      <c r="E5975" s="8">
        <v>0</v>
      </c>
      <c r="F5975" s="8">
        <v>40</v>
      </c>
    </row>
    <row r="5976" spans="1:6" ht="12.75">
      <c r="A5976" s="8">
        <v>43902.407129629632</v>
      </c>
      <c r="B5976" s="8" t="str">
        <f>HYPERLINK("https://twitter.com/khrnnsamtrvania","@khrnnsamtrvania")</f>
        <v>@khrnnsamtrvania</v>
      </c>
      <c r="C5976" s="8" t="s">
        <v>1836</v>
      </c>
      <c r="D5976" s="8">
        <v>45</v>
      </c>
      <c r="E5976" s="8">
        <v>0</v>
      </c>
      <c r="F5976" s="8">
        <v>511</v>
      </c>
    </row>
    <row r="5977" spans="1:6" ht="12.75">
      <c r="A5977" s="8">
        <v>43902.407106481478</v>
      </c>
      <c r="B5977" s="8" t="str">
        <f>HYPERLINK("https://twitter.com/FransLS","@FransLS")</f>
        <v>@FransLS</v>
      </c>
      <c r="C5977" s="8" t="s">
        <v>1836</v>
      </c>
      <c r="D5977" s="8">
        <v>45</v>
      </c>
      <c r="E5977" s="8">
        <v>0</v>
      </c>
      <c r="F5977" s="8">
        <v>211</v>
      </c>
    </row>
    <row r="5978" spans="1:6" ht="12.75">
      <c r="A5978" s="8">
        <v>43902.406898148147</v>
      </c>
      <c r="B5978" s="8" t="str">
        <f>HYPERLINK("https://twitter.com/sefkelik","@sefkelik")</f>
        <v>@sefkelik</v>
      </c>
      <c r="C5978" s="8" t="s">
        <v>2843</v>
      </c>
      <c r="D5978" s="8">
        <v>0</v>
      </c>
      <c r="E5978" s="8">
        <v>0</v>
      </c>
      <c r="F5978" s="8">
        <v>4632</v>
      </c>
    </row>
    <row r="5979" spans="1:6" ht="12.75">
      <c r="A5979" s="8">
        <v>43902.406875000001</v>
      </c>
      <c r="B5979" s="8" t="str">
        <f>HYPERLINK("https://twitter.com/Dedydwinarto","@Dedydwinarto")</f>
        <v>@Dedydwinarto</v>
      </c>
      <c r="C5979" s="8" t="s">
        <v>2844</v>
      </c>
      <c r="D5979" s="8">
        <v>0</v>
      </c>
      <c r="E5979" s="8">
        <v>0</v>
      </c>
      <c r="F5979" s="8">
        <v>216</v>
      </c>
    </row>
    <row r="5980" spans="1:6" ht="12.75">
      <c r="A5980" s="8">
        <v>43902.406504629631</v>
      </c>
      <c r="B5980" s="8" t="str">
        <f>HYPERLINK("https://twitter.com/IvanRT05","@IvanRT05")</f>
        <v>@IvanRT05</v>
      </c>
      <c r="C5980" s="8" t="s">
        <v>2845</v>
      </c>
      <c r="D5980" s="8">
        <v>0</v>
      </c>
      <c r="E5980" s="8">
        <v>0</v>
      </c>
      <c r="F5980" s="8">
        <v>655</v>
      </c>
    </row>
    <row r="5981" spans="1:6" ht="12.75">
      <c r="A5981" s="8">
        <v>43902.406087962961</v>
      </c>
      <c r="B5981" s="8" t="str">
        <f>HYPERLINK("https://twitter.com/radiomadya","@radiomadya")</f>
        <v>@radiomadya</v>
      </c>
      <c r="C5981" s="8" t="s">
        <v>2846</v>
      </c>
      <c r="D5981" s="8">
        <v>0</v>
      </c>
      <c r="E5981" s="8">
        <v>0</v>
      </c>
      <c r="F5981" s="8">
        <v>1427</v>
      </c>
    </row>
    <row r="5982" spans="1:6" ht="12.75">
      <c r="A5982" s="8">
        <v>43902.406006944446</v>
      </c>
      <c r="B5982" s="8" t="str">
        <f>HYPERLINK("https://twitter.com/muispebrianto","@muispebrianto")</f>
        <v>@muispebrianto</v>
      </c>
      <c r="C5982" s="8" t="s">
        <v>165</v>
      </c>
      <c r="D5982" s="8">
        <v>40</v>
      </c>
      <c r="E5982" s="8">
        <v>0</v>
      </c>
      <c r="F5982" s="8">
        <v>2800</v>
      </c>
    </row>
    <row r="5983" spans="1:6" ht="12.75">
      <c r="A5983" s="8">
        <v>43902.405601851853</v>
      </c>
      <c r="B5983" s="8" t="str">
        <f>HYPERLINK("https://twitter.com/IodineRheniumNe","@IodineRheniumNe")</f>
        <v>@IodineRheniumNe</v>
      </c>
      <c r="C5983" s="8" t="s">
        <v>1836</v>
      </c>
      <c r="D5983" s="8">
        <v>45</v>
      </c>
      <c r="E5983" s="8">
        <v>0</v>
      </c>
      <c r="F5983" s="8">
        <v>188</v>
      </c>
    </row>
    <row r="5984" spans="1:6" ht="12.75">
      <c r="A5984" s="8">
        <v>43902.405543981484</v>
      </c>
      <c r="B5984" s="8" t="str">
        <f>HYPERLINK("https://twitter.com/vote4india","@vote4india")</f>
        <v>@vote4india</v>
      </c>
      <c r="C5984" s="8" t="s">
        <v>1917</v>
      </c>
      <c r="D5984" s="8">
        <v>1541</v>
      </c>
      <c r="E5984" s="8">
        <v>0</v>
      </c>
      <c r="F5984" s="8">
        <v>77</v>
      </c>
    </row>
    <row r="5985" spans="1:6" ht="12.75">
      <c r="A5985" s="8">
        <v>43902.405185185184</v>
      </c>
      <c r="B5985" s="8" t="str">
        <f>HYPERLINK("https://twitter.com/arsensjuventini","@arsensjuventini")</f>
        <v>@arsensjuventini</v>
      </c>
      <c r="C5985" s="8" t="s">
        <v>165</v>
      </c>
      <c r="D5985" s="8">
        <v>40</v>
      </c>
      <c r="E5985" s="8">
        <v>0</v>
      </c>
      <c r="F5985" s="8">
        <v>2221</v>
      </c>
    </row>
    <row r="5986" spans="1:6" ht="12.75">
      <c r="A5986" s="8">
        <v>43902.404537037037</v>
      </c>
      <c r="B5986" s="8" t="str">
        <f>HYPERLINK("https://twitter.com/KolonelTarzan","@KolonelTarzan")</f>
        <v>@KolonelTarzan</v>
      </c>
      <c r="C5986" s="8" t="s">
        <v>1643</v>
      </c>
      <c r="D5986" s="8">
        <v>53</v>
      </c>
      <c r="E5986" s="8">
        <v>0</v>
      </c>
      <c r="F5986" s="8">
        <v>1285</v>
      </c>
    </row>
    <row r="5987" spans="1:6" ht="12.75">
      <c r="A5987" s="8">
        <v>43902.404456018514</v>
      </c>
      <c r="B5987" s="8" t="str">
        <f>HYPERLINK("https://twitter.com/kanim_jaktim","@kanim_jaktim")</f>
        <v>@kanim_jaktim</v>
      </c>
      <c r="C5987" s="8" t="s">
        <v>2629</v>
      </c>
      <c r="D5987" s="8">
        <v>12</v>
      </c>
      <c r="E5987" s="8">
        <v>0</v>
      </c>
      <c r="F5987" s="8">
        <v>3466</v>
      </c>
    </row>
    <row r="5988" spans="1:6" ht="12.75">
      <c r="A5988" s="8">
        <v>43902.40424768519</v>
      </c>
      <c r="B5988" s="8" t="str">
        <f>HYPERLINK("https://twitter.com/BORNEONEWS","@BORNEONEWS")</f>
        <v>@BORNEONEWS</v>
      </c>
      <c r="C5988" s="8" t="s">
        <v>2847</v>
      </c>
      <c r="D5988" s="8">
        <v>0</v>
      </c>
      <c r="E5988" s="8">
        <v>0</v>
      </c>
      <c r="F5988" s="8">
        <v>6983</v>
      </c>
    </row>
    <row r="5989" spans="1:6" ht="12.75">
      <c r="A5989" s="8">
        <v>43902.403831018513</v>
      </c>
      <c r="B5989" s="8" t="str">
        <f>HYPERLINK("https://twitter.com/BudakHerang","@BudakHerang")</f>
        <v>@BudakHerang</v>
      </c>
      <c r="C5989" s="8" t="s">
        <v>2848</v>
      </c>
      <c r="D5989" s="8">
        <v>0</v>
      </c>
      <c r="E5989" s="8">
        <v>1</v>
      </c>
      <c r="F5989" s="8">
        <v>1219</v>
      </c>
    </row>
    <row r="5990" spans="1:6" ht="12.75">
      <c r="A5990" s="8">
        <v>43902.403437500005</v>
      </c>
      <c r="B5990" s="8" t="str">
        <f>HYPERLINK("https://twitter.com/IvanRT05","@IvanRT05")</f>
        <v>@IvanRT05</v>
      </c>
      <c r="C5990" s="8" t="s">
        <v>2849</v>
      </c>
      <c r="D5990" s="8">
        <v>0</v>
      </c>
      <c r="E5990" s="8">
        <v>0</v>
      </c>
      <c r="F5990" s="8">
        <v>655</v>
      </c>
    </row>
    <row r="5991" spans="1:6" ht="12.75">
      <c r="A5991" s="8">
        <v>43902.402916666666</v>
      </c>
      <c r="B5991" s="8" t="str">
        <f>HYPERLINK("https://twitter.com/ker_asa","@ker_asa")</f>
        <v>@ker_asa</v>
      </c>
      <c r="C5991" s="8" t="s">
        <v>2537</v>
      </c>
      <c r="D5991" s="8">
        <v>76</v>
      </c>
      <c r="E5991" s="8">
        <v>0</v>
      </c>
      <c r="F5991" s="8">
        <v>212</v>
      </c>
    </row>
    <row r="5992" spans="1:6" ht="12.75">
      <c r="A5992" s="8">
        <v>43902.402858796297</v>
      </c>
      <c r="B5992" s="8" t="str">
        <f>HYPERLINK("https://twitter.com/Rejaullia1","@Rejaullia1")</f>
        <v>@Rejaullia1</v>
      </c>
      <c r="C5992" s="8" t="s">
        <v>1836</v>
      </c>
      <c r="D5992" s="8">
        <v>45</v>
      </c>
      <c r="E5992" s="8">
        <v>0</v>
      </c>
      <c r="F5992" s="8">
        <v>53</v>
      </c>
    </row>
    <row r="5993" spans="1:6" ht="12.75">
      <c r="A5993" s="8">
        <v>43902.402511574073</v>
      </c>
      <c r="B5993" s="8" t="str">
        <f>HYPERLINK("https://twitter.com/Aan__coverBOYkw","@Aan__coverBOYkw")</f>
        <v>@Aan__coverBOYkw</v>
      </c>
      <c r="C5993" s="8" t="s">
        <v>165</v>
      </c>
      <c r="D5993" s="8">
        <v>40</v>
      </c>
      <c r="E5993" s="8">
        <v>0</v>
      </c>
      <c r="F5993" s="8">
        <v>3464</v>
      </c>
    </row>
    <row r="5994" spans="1:6" ht="12.75">
      <c r="A5994" s="8">
        <v>43902.401585648149</v>
      </c>
      <c r="B5994" s="8" t="str">
        <f>HYPERLINK("https://twitter.com/thisisEH","@thisisEH")</f>
        <v>@thisisEH</v>
      </c>
      <c r="C5994" s="8" t="s">
        <v>2051</v>
      </c>
      <c r="D5994" s="8">
        <v>39</v>
      </c>
      <c r="E5994" s="8">
        <v>0</v>
      </c>
      <c r="F5994" s="8">
        <v>347</v>
      </c>
    </row>
    <row r="5995" spans="1:6" ht="12.75">
      <c r="A5995" s="8">
        <v>43902.40115740741</v>
      </c>
      <c r="B5995" s="8" t="str">
        <f>HYPERLINK("https://twitter.com/gvmakatita","@gvmakatita")</f>
        <v>@gvmakatita</v>
      </c>
      <c r="C5995" s="8" t="s">
        <v>1836</v>
      </c>
      <c r="D5995" s="8">
        <v>45</v>
      </c>
      <c r="E5995" s="8">
        <v>0</v>
      </c>
      <c r="F5995" s="8">
        <v>511</v>
      </c>
    </row>
    <row r="5996" spans="1:6" ht="12.75">
      <c r="A5996" s="8">
        <v>43902.399861111116</v>
      </c>
      <c r="B5996" s="8" t="str">
        <f>HYPERLINK("https://twitter.com/Man42Christ","@Man42Christ")</f>
        <v>@Man42Christ</v>
      </c>
      <c r="C5996" s="8" t="s">
        <v>2850</v>
      </c>
      <c r="D5996" s="8">
        <v>0</v>
      </c>
      <c r="E5996" s="8">
        <v>1</v>
      </c>
      <c r="F5996" s="8">
        <v>1071</v>
      </c>
    </row>
    <row r="5997" spans="1:6" ht="12.75">
      <c r="A5997" s="8">
        <v>43902.399699074071</v>
      </c>
      <c r="B5997" s="8" t="str">
        <f>HYPERLINK("https://twitter.com/KanimPolewali","@KanimPolewali")</f>
        <v>@KanimPolewali</v>
      </c>
      <c r="C5997" s="8" t="s">
        <v>2629</v>
      </c>
      <c r="D5997" s="8">
        <v>12</v>
      </c>
      <c r="E5997" s="8">
        <v>0</v>
      </c>
      <c r="F5997" s="8">
        <v>231</v>
      </c>
    </row>
    <row r="5998" spans="1:6" ht="12.75">
      <c r="A5998" s="8">
        <v>43902.399351851855</v>
      </c>
      <c r="B5998" s="8" t="str">
        <f t="shared" ref="B5998:B6000" si="114">HYPERLINK("https://twitter.com/CaveMan1m","@CaveMan1m")</f>
        <v>@CaveMan1m</v>
      </c>
      <c r="C5998" s="8" t="s">
        <v>2851</v>
      </c>
      <c r="D5998" s="8">
        <v>64</v>
      </c>
      <c r="E5998" s="8">
        <v>0</v>
      </c>
      <c r="F5998" s="8">
        <v>515</v>
      </c>
    </row>
    <row r="5999" spans="1:6" ht="12.75">
      <c r="A5999" s="8">
        <v>43902.399305555555</v>
      </c>
      <c r="B5999" s="8" t="str">
        <f t="shared" si="114"/>
        <v>@CaveMan1m</v>
      </c>
      <c r="C5999" s="8" t="s">
        <v>2177</v>
      </c>
      <c r="D5999" s="8">
        <v>55</v>
      </c>
      <c r="E5999" s="8">
        <v>0</v>
      </c>
      <c r="F5999" s="8">
        <v>515</v>
      </c>
    </row>
    <row r="6000" spans="1:6" ht="12.75">
      <c r="A6000" s="8">
        <v>43902.399178240739</v>
      </c>
      <c r="B6000" s="8" t="str">
        <f t="shared" si="114"/>
        <v>@CaveMan1m</v>
      </c>
      <c r="C6000" s="8" t="s">
        <v>2178</v>
      </c>
      <c r="D6000" s="8">
        <v>45</v>
      </c>
      <c r="E6000" s="8">
        <v>0</v>
      </c>
      <c r="F6000" s="8">
        <v>515</v>
      </c>
    </row>
    <row r="6001" spans="1:6" ht="12.75">
      <c r="A6001" s="8">
        <v>43902.398368055554</v>
      </c>
      <c r="B6001" s="8" t="str">
        <f>HYPERLINK("https://twitter.com/amisbaubadan","@amisbaubadan")</f>
        <v>@amisbaubadan</v>
      </c>
      <c r="C6001" s="8" t="s">
        <v>2852</v>
      </c>
      <c r="D6001" s="8">
        <v>0</v>
      </c>
      <c r="E6001" s="8">
        <v>1</v>
      </c>
      <c r="F6001" s="8">
        <v>73</v>
      </c>
    </row>
    <row r="6002" spans="1:6" ht="12.75">
      <c r="A6002" s="8">
        <v>43902.39738425926</v>
      </c>
      <c r="B6002" s="8" t="str">
        <f>HYPERLINK("https://twitter.com/martabak_teloer","@martabak_teloer")</f>
        <v>@martabak_teloer</v>
      </c>
      <c r="C6002" s="8" t="s">
        <v>1836</v>
      </c>
      <c r="D6002" s="8">
        <v>45</v>
      </c>
      <c r="E6002" s="8">
        <v>0</v>
      </c>
      <c r="F6002" s="8">
        <v>116</v>
      </c>
    </row>
    <row r="6003" spans="1:6" ht="12.75">
      <c r="A6003" s="8">
        <v>43902.396886574075</v>
      </c>
      <c r="B6003" s="8" t="str">
        <f>HYPERLINK("https://twitter.com/KBRIMexicoCity","@KBRIMexicoCity")</f>
        <v>@KBRIMexicoCity</v>
      </c>
      <c r="C6003" s="8" t="s">
        <v>2178</v>
      </c>
      <c r="D6003" s="8">
        <v>45</v>
      </c>
      <c r="E6003" s="8">
        <v>0</v>
      </c>
      <c r="F6003" s="8">
        <v>1331</v>
      </c>
    </row>
    <row r="6004" spans="1:6" ht="12.75">
      <c r="A6004" s="8">
        <v>43902.396527777775</v>
      </c>
      <c r="B6004" s="8" t="str">
        <f>HYPERLINK("https://twitter.com/ISIS_Balik_NO","@ISIS_Balik_NO")</f>
        <v>@ISIS_Balik_NO</v>
      </c>
      <c r="C6004" s="8" t="s">
        <v>2853</v>
      </c>
      <c r="D6004" s="8">
        <v>0</v>
      </c>
      <c r="E6004" s="8">
        <v>0</v>
      </c>
      <c r="F6004" s="8">
        <v>6230</v>
      </c>
    </row>
    <row r="6005" spans="1:6" ht="12.75">
      <c r="A6005" s="8">
        <v>43902.395844907413</v>
      </c>
      <c r="B6005" s="8" t="str">
        <f>HYPERLINK("https://twitter.com/adiputro220","@adiputro220")</f>
        <v>@adiputro220</v>
      </c>
      <c r="C6005" s="8" t="s">
        <v>318</v>
      </c>
      <c r="D6005" s="8">
        <v>1440</v>
      </c>
      <c r="E6005" s="8">
        <v>0</v>
      </c>
      <c r="F6005" s="8">
        <v>281</v>
      </c>
    </row>
    <row r="6006" spans="1:6" ht="12.75">
      <c r="A6006" s="8">
        <v>43902.395555555559</v>
      </c>
      <c r="B6006" s="8" t="str">
        <f>HYPERLINK("https://twitter.com/amisbaubadan","@amisbaubadan")</f>
        <v>@amisbaubadan</v>
      </c>
      <c r="C6006" s="8" t="s">
        <v>2854</v>
      </c>
      <c r="D6006" s="8">
        <v>0</v>
      </c>
      <c r="E6006" s="8">
        <v>0</v>
      </c>
      <c r="F6006" s="8">
        <v>73</v>
      </c>
    </row>
    <row r="6007" spans="1:6" ht="12.75">
      <c r="A6007" s="8">
        <v>43902.39534722222</v>
      </c>
      <c r="B6007" s="8" t="str">
        <f>HYPERLINK("https://twitter.com/ISIS_Balik_NO","@ISIS_Balik_NO")</f>
        <v>@ISIS_Balik_NO</v>
      </c>
      <c r="C6007" s="8" t="s">
        <v>2855</v>
      </c>
      <c r="D6007" s="8">
        <v>0</v>
      </c>
      <c r="E6007" s="8">
        <v>1</v>
      </c>
      <c r="F6007" s="8">
        <v>6230</v>
      </c>
    </row>
    <row r="6008" spans="1:6" ht="12.75">
      <c r="A6008" s="8">
        <v>43902.395104166666</v>
      </c>
      <c r="B6008" s="8" t="str">
        <f>HYPERLINK("https://twitter.com/bagusatrios","@bagusatrios")</f>
        <v>@bagusatrios</v>
      </c>
      <c r="C6008" s="8" t="s">
        <v>1643</v>
      </c>
      <c r="D6008" s="8">
        <v>53</v>
      </c>
      <c r="E6008" s="8">
        <v>0</v>
      </c>
      <c r="F6008" s="8">
        <v>520</v>
      </c>
    </row>
    <row r="6009" spans="1:6" ht="12.75">
      <c r="A6009" s="8">
        <v>43902.394062499996</v>
      </c>
      <c r="B6009" s="8" t="str">
        <f>HYPERLINK("https://twitter.com/ISIS_Balik_NO","@ISIS_Balik_NO")</f>
        <v>@ISIS_Balik_NO</v>
      </c>
      <c r="C6009" s="8" t="s">
        <v>2856</v>
      </c>
      <c r="D6009" s="8">
        <v>199</v>
      </c>
      <c r="E6009" s="8">
        <v>0</v>
      </c>
      <c r="F6009" s="8">
        <v>6230</v>
      </c>
    </row>
    <row r="6010" spans="1:6" ht="12.75">
      <c r="A6010" s="8">
        <v>43902.393587962964</v>
      </c>
      <c r="B6010" s="8" t="str">
        <f>HYPERLINK("https://twitter.com/Andi_ZaKi","@Andi_ZaKi")</f>
        <v>@Andi_ZaKi</v>
      </c>
      <c r="C6010" s="8" t="s">
        <v>2857</v>
      </c>
      <c r="D6010" s="8">
        <v>0</v>
      </c>
      <c r="E6010" s="8">
        <v>0</v>
      </c>
      <c r="F6010" s="8">
        <v>5061</v>
      </c>
    </row>
    <row r="6011" spans="1:6" ht="12.75">
      <c r="A6011" s="8">
        <v>43902.392962962964</v>
      </c>
      <c r="B6011" s="8" t="str">
        <f>HYPERLINK("https://twitter.com/carlwes95194711","@carlwes95194711")</f>
        <v>@carlwes95194711</v>
      </c>
      <c r="C6011" s="8" t="s">
        <v>2858</v>
      </c>
      <c r="D6011" s="8">
        <v>0</v>
      </c>
      <c r="E6011" s="8">
        <v>2</v>
      </c>
      <c r="F6011" s="8">
        <v>1511</v>
      </c>
    </row>
    <row r="6012" spans="1:6" ht="12.75">
      <c r="A6012" s="8">
        <v>43902.392696759256</v>
      </c>
      <c r="B6012" s="8" t="str">
        <f>HYPERLINK("https://twitter.com/VascoTNE","@VascoTNE")</f>
        <v>@VascoTNE</v>
      </c>
      <c r="C6012" s="8" t="s">
        <v>1836</v>
      </c>
      <c r="D6012" s="8">
        <v>45</v>
      </c>
      <c r="E6012" s="8">
        <v>0</v>
      </c>
      <c r="F6012" s="8">
        <v>446</v>
      </c>
    </row>
    <row r="6013" spans="1:6" ht="12.75">
      <c r="A6013" s="8">
        <v>43902.392488425925</v>
      </c>
      <c r="B6013" s="8" t="str">
        <f>HYPERLINK("https://twitter.com/ISIS_Balik_NO","@ISIS_Balik_NO")</f>
        <v>@ISIS_Balik_NO</v>
      </c>
      <c r="C6013" s="8" t="s">
        <v>2859</v>
      </c>
      <c r="D6013" s="8">
        <v>0</v>
      </c>
      <c r="E6013" s="8">
        <v>0</v>
      </c>
      <c r="F6013" s="8">
        <v>6230</v>
      </c>
    </row>
    <row r="6014" spans="1:6" ht="12.75">
      <c r="A6014" s="8">
        <v>43902.392210648148</v>
      </c>
      <c r="B6014" s="8" t="str">
        <f>HYPERLINK("https://twitter.com/Man42Christ","@Man42Christ")</f>
        <v>@Man42Christ</v>
      </c>
      <c r="C6014" s="8" t="s">
        <v>2860</v>
      </c>
      <c r="D6014" s="8">
        <v>0</v>
      </c>
      <c r="E6014" s="8">
        <v>0</v>
      </c>
      <c r="F6014" s="8">
        <v>1071</v>
      </c>
    </row>
    <row r="6015" spans="1:6" ht="12.75">
      <c r="A6015" s="8">
        <v>43902.391909722224</v>
      </c>
      <c r="B6015" s="8" t="str">
        <f>HYPERLINK("https://twitter.com/ISIS_Balik_NO","@ISIS_Balik_NO")</f>
        <v>@ISIS_Balik_NO</v>
      </c>
      <c r="C6015" s="8" t="s">
        <v>2861</v>
      </c>
      <c r="D6015" s="8">
        <v>0</v>
      </c>
      <c r="E6015" s="8">
        <v>1</v>
      </c>
      <c r="F6015" s="8">
        <v>6230</v>
      </c>
    </row>
    <row r="6016" spans="1:6" ht="12.75">
      <c r="A6016" s="8">
        <v>43902.391226851847</v>
      </c>
      <c r="B6016" s="8" t="str">
        <f>HYPERLINK("https://twitter.com/cp_bapathy","@cp_bapathy")</f>
        <v>@cp_bapathy</v>
      </c>
      <c r="C6016" s="8" t="s">
        <v>2862</v>
      </c>
      <c r="D6016" s="8">
        <v>0</v>
      </c>
      <c r="E6016" s="8">
        <v>0</v>
      </c>
      <c r="F6016" s="8">
        <v>186</v>
      </c>
    </row>
    <row r="6017" spans="1:6" ht="12.75">
      <c r="A6017" s="8">
        <v>43902.391064814816</v>
      </c>
      <c r="B6017" s="8" t="str">
        <f>HYPERLINK("https://twitter.com/RizkaIrawan4","@RizkaIrawan4")</f>
        <v>@RizkaIrawan4</v>
      </c>
      <c r="C6017" s="8" t="s">
        <v>1643</v>
      </c>
      <c r="D6017" s="8">
        <v>53</v>
      </c>
      <c r="E6017" s="8">
        <v>0</v>
      </c>
      <c r="F6017" s="8">
        <v>1446</v>
      </c>
    </row>
    <row r="6018" spans="1:6" ht="12.75">
      <c r="A6018" s="8">
        <v>43902.390787037039</v>
      </c>
      <c r="B6018" s="8" t="str">
        <f>HYPERLINK("https://twitter.com/ISIS_Balik_NO","@ISIS_Balik_NO")</f>
        <v>@ISIS_Balik_NO</v>
      </c>
      <c r="C6018" s="8" t="s">
        <v>2863</v>
      </c>
      <c r="D6018" s="8">
        <v>0</v>
      </c>
      <c r="E6018" s="8">
        <v>1</v>
      </c>
      <c r="F6018" s="8">
        <v>6230</v>
      </c>
    </row>
    <row r="6019" spans="1:6" ht="12.75">
      <c r="A6019" s="8">
        <v>43902.389814814815</v>
      </c>
      <c r="B6019" s="8" t="str">
        <f>HYPERLINK("https://twitter.com/silverwind","@silverwind")</f>
        <v>@silverwind</v>
      </c>
      <c r="C6019" s="8" t="s">
        <v>2051</v>
      </c>
      <c r="D6019" s="8">
        <v>39</v>
      </c>
      <c r="E6019" s="8">
        <v>0</v>
      </c>
      <c r="F6019" s="8">
        <v>1928</v>
      </c>
    </row>
    <row r="6020" spans="1:6" ht="12.75">
      <c r="A6020" s="8">
        <v>43902.389710648145</v>
      </c>
      <c r="B6020" s="8" t="str">
        <f>HYPERLINK("https://twitter.com/Bima040916","@Bima040916")</f>
        <v>@Bima040916</v>
      </c>
      <c r="C6020" s="8" t="s">
        <v>165</v>
      </c>
      <c r="D6020" s="8">
        <v>40</v>
      </c>
      <c r="E6020" s="8">
        <v>0</v>
      </c>
      <c r="F6020" s="8">
        <v>1614</v>
      </c>
    </row>
    <row r="6021" spans="1:6" ht="12.75">
      <c r="A6021" s="8">
        <v>43902.389444444445</v>
      </c>
      <c r="B6021" s="8" t="str">
        <f>HYPERLINK("https://twitter.com/irenmarsela61","@irenmarsela61")</f>
        <v>@irenmarsela61</v>
      </c>
      <c r="C6021" s="8" t="s">
        <v>2864</v>
      </c>
      <c r="D6021" s="8">
        <v>3</v>
      </c>
      <c r="E6021" s="8">
        <v>0</v>
      </c>
      <c r="F6021" s="8">
        <v>20</v>
      </c>
    </row>
    <row r="6022" spans="1:6" ht="12.75">
      <c r="A6022" s="8">
        <v>43902.389421296291</v>
      </c>
      <c r="B6022" s="8" t="str">
        <f>HYPERLINK("https://twitter.com/SukhendroPragul","@SukhendroPragul")</f>
        <v>@SukhendroPragul</v>
      </c>
      <c r="C6022" s="8" t="s">
        <v>1643</v>
      </c>
      <c r="D6022" s="8">
        <v>53</v>
      </c>
      <c r="E6022" s="8">
        <v>0</v>
      </c>
      <c r="F6022" s="8">
        <v>2014</v>
      </c>
    </row>
    <row r="6023" spans="1:6" ht="12.75">
      <c r="A6023" s="8">
        <v>43902.388958333337</v>
      </c>
      <c r="B6023" s="8" t="str">
        <f>HYPERLINK("https://twitter.com/MellisA_An","@MellisA_An")</f>
        <v>@MellisA_An</v>
      </c>
      <c r="C6023" s="8" t="s">
        <v>1836</v>
      </c>
      <c r="D6023" s="8">
        <v>45</v>
      </c>
      <c r="E6023" s="8">
        <v>0</v>
      </c>
      <c r="F6023" s="8">
        <v>901</v>
      </c>
    </row>
    <row r="6024" spans="1:6" ht="12.75">
      <c r="A6024" s="8">
        <v>43902.388680555552</v>
      </c>
      <c r="B6024" s="8" t="str">
        <f>HYPERLINK("https://twitter.com/kicauanmerdu84","@kicauanmerdu84")</f>
        <v>@kicauanmerdu84</v>
      </c>
      <c r="C6024" s="8" t="s">
        <v>2865</v>
      </c>
      <c r="D6024" s="8">
        <v>0</v>
      </c>
      <c r="E6024" s="8">
        <v>1</v>
      </c>
      <c r="F6024" s="8">
        <v>1812</v>
      </c>
    </row>
    <row r="6025" spans="1:6" ht="12.75">
      <c r="A6025" s="8">
        <v>43902.388368055559</v>
      </c>
      <c r="B6025" s="8" t="str">
        <f>HYPERLINK("https://twitter.com/eizanfolks","@eizanfolks")</f>
        <v>@eizanfolks</v>
      </c>
      <c r="C6025" s="8" t="s">
        <v>1643</v>
      </c>
      <c r="D6025" s="8">
        <v>53</v>
      </c>
      <c r="E6025" s="8">
        <v>0</v>
      </c>
      <c r="F6025" s="8">
        <v>9088</v>
      </c>
    </row>
    <row r="6026" spans="1:6" ht="12.75">
      <c r="A6026" s="8">
        <v>43902.388043981482</v>
      </c>
      <c r="B6026" s="8" t="str">
        <f>HYPERLINK("https://twitter.com/Darmalik3","@Darmalik3")</f>
        <v>@Darmalik3</v>
      </c>
      <c r="C6026" s="8" t="s">
        <v>2866</v>
      </c>
      <c r="D6026" s="8">
        <v>1</v>
      </c>
      <c r="E6026" s="8">
        <v>0</v>
      </c>
      <c r="F6026" s="8">
        <v>1883</v>
      </c>
    </row>
    <row r="6027" spans="1:6" ht="12.75">
      <c r="A6027" s="8">
        <v>43902.387789351851</v>
      </c>
      <c r="B6027" s="8" t="str">
        <f>HYPERLINK("https://twitter.com/555masteng","@555masteng")</f>
        <v>@555masteng</v>
      </c>
      <c r="C6027" s="8" t="s">
        <v>2767</v>
      </c>
      <c r="D6027" s="8">
        <v>19</v>
      </c>
      <c r="E6027" s="8">
        <v>0</v>
      </c>
      <c r="F6027" s="8">
        <v>5633</v>
      </c>
    </row>
    <row r="6028" spans="1:6" ht="12.75">
      <c r="A6028" s="8">
        <v>43902.387743055559</v>
      </c>
      <c r="B6028" s="8" t="str">
        <f>HYPERLINK("https://twitter.com/nafandrasl","@nafandrasl")</f>
        <v>@nafandrasl</v>
      </c>
      <c r="C6028" s="8" t="s">
        <v>1836</v>
      </c>
      <c r="D6028" s="8">
        <v>45</v>
      </c>
      <c r="E6028" s="8">
        <v>0</v>
      </c>
      <c r="F6028" s="8">
        <v>93</v>
      </c>
    </row>
    <row r="6029" spans="1:6" ht="12.75">
      <c r="A6029" s="8">
        <v>43902.381701388891</v>
      </c>
      <c r="B6029" s="8" t="str">
        <f>HYPERLINK("https://twitter.com/dimasekop","@dimasekop")</f>
        <v>@dimasekop</v>
      </c>
      <c r="C6029" s="8" t="s">
        <v>2051</v>
      </c>
      <c r="D6029" s="8">
        <v>31</v>
      </c>
      <c r="E6029" s="8">
        <v>0</v>
      </c>
      <c r="F6029" s="8">
        <v>1043</v>
      </c>
    </row>
    <row r="6030" spans="1:6" ht="12.75">
      <c r="A6030" s="8">
        <v>43902.381620370375</v>
      </c>
      <c r="B6030" s="8" t="str">
        <f>HYPERLINK("https://twitter.com/Info__sumut","@Info__sumut")</f>
        <v>@Info__sumut</v>
      </c>
      <c r="C6030" s="8" t="s">
        <v>2867</v>
      </c>
      <c r="D6030" s="8">
        <v>0</v>
      </c>
      <c r="E6030" s="8">
        <v>0</v>
      </c>
      <c r="F6030" s="8">
        <v>947</v>
      </c>
    </row>
    <row r="6031" spans="1:6" ht="12.75">
      <c r="A6031" s="8">
        <v>43902.381076388891</v>
      </c>
      <c r="B6031" s="8" t="str">
        <f>HYPERLINK("https://twitter.com/ewin8923","@ewin8923")</f>
        <v>@ewin8923</v>
      </c>
      <c r="C6031" s="8" t="s">
        <v>1836</v>
      </c>
      <c r="D6031" s="8">
        <v>21</v>
      </c>
      <c r="E6031" s="8">
        <v>0</v>
      </c>
      <c r="F6031" s="8">
        <v>1051</v>
      </c>
    </row>
    <row r="6032" spans="1:6" ht="12.75">
      <c r="A6032" s="8">
        <v>43902.380972222221</v>
      </c>
      <c r="B6032" s="8" t="str">
        <f>HYPERLINK("https://twitter.com/didienAZHAR","@didienAZHAR")</f>
        <v>@didienAZHAR</v>
      </c>
      <c r="C6032" s="8" t="s">
        <v>2868</v>
      </c>
      <c r="D6032" s="8">
        <v>5</v>
      </c>
      <c r="E6032" s="8">
        <v>0</v>
      </c>
      <c r="F6032" s="8">
        <v>22660</v>
      </c>
    </row>
    <row r="6033" spans="1:6" ht="12.75">
      <c r="A6033" s="8">
        <v>43902.380960648152</v>
      </c>
      <c r="B6033" s="8" t="str">
        <f>HYPERLINK("https://twitter.com/stephaniegrclea","@stephaniegrclea")</f>
        <v>@stephaniegrclea</v>
      </c>
      <c r="C6033" s="8" t="s">
        <v>2868</v>
      </c>
      <c r="D6033" s="8">
        <v>5</v>
      </c>
      <c r="E6033" s="8">
        <v>0</v>
      </c>
      <c r="F6033" s="8">
        <v>428</v>
      </c>
    </row>
    <row r="6034" spans="1:6" ht="12.75">
      <c r="A6034" s="8">
        <v>43902.380648148144</v>
      </c>
      <c r="B6034" s="8" t="str">
        <f>HYPERLINK("https://twitter.com/kbrisingapura","@kbrisingapura")</f>
        <v>@kbrisingapura</v>
      </c>
      <c r="C6034" s="8" t="s">
        <v>2869</v>
      </c>
      <c r="D6034" s="8">
        <v>0</v>
      </c>
      <c r="E6034" s="8">
        <v>0</v>
      </c>
      <c r="F6034" s="8">
        <v>4666</v>
      </c>
    </row>
    <row r="6035" spans="1:6" ht="12.75">
      <c r="A6035" s="8">
        <v>43902.380555555559</v>
      </c>
      <c r="B6035" s="8" t="str">
        <f>HYPERLINK("https://twitter.com/cumarachel","@cumarachel")</f>
        <v>@cumarachel</v>
      </c>
      <c r="C6035" s="8" t="s">
        <v>2868</v>
      </c>
      <c r="D6035" s="8">
        <v>5</v>
      </c>
      <c r="E6035" s="8">
        <v>0</v>
      </c>
      <c r="F6035" s="8">
        <v>65675</v>
      </c>
    </row>
    <row r="6036" spans="1:6" ht="12.75">
      <c r="A6036" s="8">
        <v>43902.380069444444</v>
      </c>
      <c r="B6036" s="8" t="str">
        <f>HYPERLINK("https://twitter.com/triwul82","@triwul82")</f>
        <v>@triwul82</v>
      </c>
      <c r="C6036" s="8" t="s">
        <v>2767</v>
      </c>
      <c r="D6036" s="8">
        <v>18</v>
      </c>
      <c r="E6036" s="8">
        <v>0</v>
      </c>
      <c r="F6036" s="8">
        <v>29398</v>
      </c>
    </row>
    <row r="6037" spans="1:6" ht="12.75">
      <c r="A6037" s="8">
        <v>43902.379988425921</v>
      </c>
      <c r="B6037" s="8" t="str">
        <f>HYPERLINK("https://twitter.com/Mr_Gufron","@Mr_Gufron")</f>
        <v>@Mr_Gufron</v>
      </c>
      <c r="C6037" s="8" t="s">
        <v>1836</v>
      </c>
      <c r="D6037" s="8">
        <v>21</v>
      </c>
      <c r="E6037" s="8">
        <v>0</v>
      </c>
      <c r="F6037" s="8">
        <v>240</v>
      </c>
    </row>
    <row r="6038" spans="1:6" ht="12.75">
      <c r="A6038" s="8">
        <v>43902.379837962959</v>
      </c>
      <c r="B6038" s="8" t="str">
        <f>HYPERLINK("https://twitter.com/Bimasenna","@Bimasenna")</f>
        <v>@Bimasenna</v>
      </c>
      <c r="C6038" s="8" t="s">
        <v>2868</v>
      </c>
      <c r="D6038" s="8">
        <v>5</v>
      </c>
      <c r="E6038" s="8">
        <v>0</v>
      </c>
      <c r="F6038" s="8">
        <v>136</v>
      </c>
    </row>
    <row r="6039" spans="1:6" ht="12.75">
      <c r="A6039" s="8">
        <v>43902.379687499997</v>
      </c>
      <c r="B6039" s="8" t="str">
        <f>HYPERLINK("https://twitter.com/LongNfl","@LongNfl")</f>
        <v>@LongNfl</v>
      </c>
      <c r="C6039" s="8" t="s">
        <v>2870</v>
      </c>
      <c r="D6039" s="8">
        <v>0</v>
      </c>
      <c r="E6039" s="8">
        <v>0</v>
      </c>
      <c r="F6039" s="8">
        <v>16</v>
      </c>
    </row>
    <row r="6040" spans="1:6" ht="12.75">
      <c r="A6040" s="8">
        <v>43902.379467592589</v>
      </c>
      <c r="B6040" s="8" t="str">
        <f>HYPERLINK("https://twitter.com/GrandLight88","@GrandLight88")</f>
        <v>@GrandLight88</v>
      </c>
      <c r="C6040" s="8" t="s">
        <v>2871</v>
      </c>
      <c r="D6040" s="8">
        <v>0</v>
      </c>
      <c r="E6040" s="8">
        <v>1</v>
      </c>
      <c r="F6040" s="8">
        <v>20</v>
      </c>
    </row>
    <row r="6041" spans="1:6" ht="12.75">
      <c r="A6041" s="8">
        <v>43902.379409722227</v>
      </c>
      <c r="B6041" s="8" t="str">
        <f>HYPERLINK("https://twitter.com/Jhon84922990","@Jhon84922990")</f>
        <v>@Jhon84922990</v>
      </c>
      <c r="C6041" s="8" t="s">
        <v>2872</v>
      </c>
      <c r="D6041" s="8">
        <v>7</v>
      </c>
      <c r="E6041" s="8">
        <v>0</v>
      </c>
      <c r="F6041" s="8">
        <v>281</v>
      </c>
    </row>
    <row r="6042" spans="1:6" ht="12.75">
      <c r="A6042" s="8">
        <v>43902.379328703704</v>
      </c>
      <c r="B6042" s="8" t="str">
        <f>HYPERLINK("https://twitter.com/ervanugara","@ervanugara")</f>
        <v>@ervanugara</v>
      </c>
      <c r="C6042" s="8" t="s">
        <v>1836</v>
      </c>
      <c r="D6042" s="8">
        <v>21</v>
      </c>
      <c r="E6042" s="8">
        <v>0</v>
      </c>
      <c r="F6042" s="8">
        <v>382</v>
      </c>
    </row>
    <row r="6043" spans="1:6" ht="12.75">
      <c r="A6043" s="8">
        <v>43902.379166666666</v>
      </c>
      <c r="B6043" s="8" t="str">
        <f>HYPERLINK("https://twitter.com/kompascom","@kompascom")</f>
        <v>@kompascom</v>
      </c>
      <c r="C6043" s="8" t="s">
        <v>2873</v>
      </c>
      <c r="D6043" s="8">
        <v>5</v>
      </c>
      <c r="E6043" s="8">
        <v>8</v>
      </c>
      <c r="F6043" s="8">
        <v>7542208</v>
      </c>
    </row>
    <row r="6044" spans="1:6" ht="12.75">
      <c r="A6044" s="8">
        <v>43902.37909722222</v>
      </c>
      <c r="B6044" s="8" t="str">
        <f>HYPERLINK("https://twitter.com/indreformation","@indreformation")</f>
        <v>@indreformation</v>
      </c>
      <c r="C6044" s="8" t="s">
        <v>1643</v>
      </c>
      <c r="D6044" s="8">
        <v>46</v>
      </c>
      <c r="E6044" s="8">
        <v>0</v>
      </c>
      <c r="F6044" s="8">
        <v>126</v>
      </c>
    </row>
    <row r="6045" spans="1:6" ht="12.75">
      <c r="A6045" s="8">
        <v>43902.379016203704</v>
      </c>
      <c r="B6045" s="8" t="str">
        <f>HYPERLINK("https://twitter.com/ISIS_Balik_NO","@ISIS_Balik_NO")</f>
        <v>@ISIS_Balik_NO</v>
      </c>
      <c r="C6045" s="8" t="s">
        <v>2874</v>
      </c>
      <c r="D6045" s="8">
        <v>0</v>
      </c>
      <c r="E6045" s="8">
        <v>0</v>
      </c>
      <c r="F6045" s="8">
        <v>6229</v>
      </c>
    </row>
    <row r="6046" spans="1:6" ht="12.75">
      <c r="A6046" s="8">
        <v>43902.378888888888</v>
      </c>
      <c r="B6046" s="8" t="str">
        <f>HYPERLINK("https://twitter.com/Nailla_Aisyah_","@Nailla_Aisyah_")</f>
        <v>@Nailla_Aisyah_</v>
      </c>
      <c r="C6046" s="8" t="s">
        <v>2875</v>
      </c>
      <c r="D6046" s="8">
        <v>0</v>
      </c>
      <c r="E6046" s="8">
        <v>0</v>
      </c>
      <c r="F6046" s="8">
        <v>3627</v>
      </c>
    </row>
    <row r="6047" spans="1:6" ht="12.75">
      <c r="A6047" s="8">
        <v>43902.378182870365</v>
      </c>
      <c r="B6047" s="8" t="str">
        <f>HYPERLINK("https://twitter.com/furryfuwy","@furryfuwy")</f>
        <v>@furryfuwy</v>
      </c>
      <c r="C6047" s="8" t="s">
        <v>1836</v>
      </c>
      <c r="D6047" s="8">
        <v>21</v>
      </c>
      <c r="E6047" s="8">
        <v>0</v>
      </c>
      <c r="F6047" s="8">
        <v>679</v>
      </c>
    </row>
    <row r="6048" spans="1:6" ht="12.75">
      <c r="A6048" s="8">
        <v>43902.377951388888</v>
      </c>
      <c r="B6048" s="8" t="str">
        <f>HYPERLINK("https://twitter.com/ISIS_Balik_NO","@ISIS_Balik_NO")</f>
        <v>@ISIS_Balik_NO</v>
      </c>
      <c r="C6048" s="8" t="s">
        <v>2876</v>
      </c>
      <c r="D6048" s="8">
        <v>0</v>
      </c>
      <c r="E6048" s="8">
        <v>0</v>
      </c>
      <c r="F6048" s="8">
        <v>6229</v>
      </c>
    </row>
    <row r="6049" spans="1:6" ht="12.75">
      <c r="A6049" s="8">
        <v>43902.377870370372</v>
      </c>
      <c r="B6049" s="8" t="str">
        <f>HYPERLINK("https://twitter.com/dudungraya99","@dudungraya99")</f>
        <v>@dudungraya99</v>
      </c>
      <c r="C6049" s="8" t="s">
        <v>2877</v>
      </c>
      <c r="D6049" s="8">
        <v>0</v>
      </c>
      <c r="E6049" s="8">
        <v>0</v>
      </c>
      <c r="F6049" s="8">
        <v>2</v>
      </c>
    </row>
    <row r="6050" spans="1:6" ht="12.75">
      <c r="A6050" s="8">
        <v>43902.377627314811</v>
      </c>
      <c r="B6050" s="8" t="str">
        <f>HYPERLINK("https://twitter.com/Poo23999529","@Poo23999529")</f>
        <v>@Poo23999529</v>
      </c>
      <c r="C6050" s="8" t="s">
        <v>2878</v>
      </c>
      <c r="D6050" s="8">
        <v>0</v>
      </c>
      <c r="E6050" s="8">
        <v>0</v>
      </c>
      <c r="F6050" s="8">
        <v>0</v>
      </c>
    </row>
    <row r="6051" spans="1:6" ht="12.75">
      <c r="A6051" s="8">
        <v>43902.377615740741</v>
      </c>
      <c r="B6051" s="8" t="str">
        <f>HYPERLINK("https://twitter.com/ekache99","@ekache99")</f>
        <v>@ekache99</v>
      </c>
      <c r="C6051" s="8" t="s">
        <v>318</v>
      </c>
      <c r="D6051" s="8">
        <v>1439</v>
      </c>
      <c r="E6051" s="8">
        <v>0</v>
      </c>
      <c r="F6051" s="8">
        <v>360</v>
      </c>
    </row>
    <row r="6052" spans="1:6" ht="12.75">
      <c r="A6052" s="8">
        <v>43902.377581018518</v>
      </c>
      <c r="B6052" s="8" t="str">
        <f>HYPERLINK("https://twitter.com/akanamalo","@akanamalo")</f>
        <v>@akanamalo</v>
      </c>
      <c r="C6052" s="8" t="s">
        <v>1836</v>
      </c>
      <c r="D6052" s="8">
        <v>21</v>
      </c>
      <c r="E6052" s="8">
        <v>0</v>
      </c>
      <c r="F6052" s="8">
        <v>118</v>
      </c>
    </row>
    <row r="6053" spans="1:6" ht="12.75">
      <c r="A6053" s="8">
        <v>43902.377534722225</v>
      </c>
      <c r="B6053" s="8" t="str">
        <f>HYPERLINK("https://twitter.com/meenachan","@meenachan")</f>
        <v>@meenachan</v>
      </c>
      <c r="C6053" s="8" t="s">
        <v>1836</v>
      </c>
      <c r="D6053" s="8">
        <v>21</v>
      </c>
      <c r="E6053" s="8">
        <v>0</v>
      </c>
      <c r="F6053" s="8">
        <v>470</v>
      </c>
    </row>
    <row r="6054" spans="1:6" ht="12.75">
      <c r="A6054" s="8">
        <v>43902.377245370371</v>
      </c>
      <c r="B6054" s="8" t="str">
        <f>HYPERLINK("https://twitter.com/GrandLight88","@GrandLight88")</f>
        <v>@GrandLight88</v>
      </c>
      <c r="C6054" s="8" t="s">
        <v>2879</v>
      </c>
      <c r="D6054" s="8">
        <v>0</v>
      </c>
      <c r="E6054" s="8">
        <v>1</v>
      </c>
      <c r="F6054" s="8">
        <v>20</v>
      </c>
    </row>
    <row r="6055" spans="1:6" ht="12.75">
      <c r="A6055" s="8">
        <v>43902.377118055556</v>
      </c>
      <c r="B6055" s="8" t="str">
        <f>HYPERLINK("https://twitter.com/PanduSanjaya98","@PanduSanjaya98")</f>
        <v>@PanduSanjaya98</v>
      </c>
      <c r="C6055" s="8" t="s">
        <v>2877</v>
      </c>
      <c r="D6055" s="8">
        <v>0</v>
      </c>
      <c r="E6055" s="8">
        <v>0</v>
      </c>
      <c r="F6055" s="8">
        <v>4</v>
      </c>
    </row>
    <row r="6056" spans="1:6" ht="12.75">
      <c r="A6056" s="8">
        <v>43902.37699074074</v>
      </c>
      <c r="B6056" s="8" t="str">
        <f>HYPERLINK("https://twitter.com/2019jkwsaja","@2019jkwsaja")</f>
        <v>@2019jkwsaja</v>
      </c>
      <c r="C6056" s="8" t="s">
        <v>1836</v>
      </c>
      <c r="D6056" s="8">
        <v>21</v>
      </c>
      <c r="E6056" s="8">
        <v>0</v>
      </c>
      <c r="F6056" s="8">
        <v>2603</v>
      </c>
    </row>
    <row r="6057" spans="1:6" ht="12.75">
      <c r="A6057" s="8">
        <v>43902.376643518517</v>
      </c>
      <c r="B6057" s="8" t="str">
        <f>HYPERLINK("https://twitter.com/SantiLim14","@SantiLim14")</f>
        <v>@SantiLim14</v>
      </c>
      <c r="C6057" s="8" t="s">
        <v>2880</v>
      </c>
      <c r="D6057" s="8">
        <v>0</v>
      </c>
      <c r="E6057" s="8">
        <v>0</v>
      </c>
      <c r="F6057" s="8">
        <v>4194</v>
      </c>
    </row>
    <row r="6058" spans="1:6" ht="12.75">
      <c r="A6058" s="8">
        <v>43902.376574074078</v>
      </c>
      <c r="B6058" s="8" t="str">
        <f>HYPERLINK("https://twitter.com/eizanfolks","@eizanfolks")</f>
        <v>@eizanfolks</v>
      </c>
      <c r="C6058" s="8" t="s">
        <v>165</v>
      </c>
      <c r="D6058" s="8">
        <v>28</v>
      </c>
      <c r="E6058" s="8">
        <v>0</v>
      </c>
      <c r="F6058" s="8">
        <v>9087</v>
      </c>
    </row>
    <row r="6059" spans="1:6" ht="12.75">
      <c r="A6059" s="8">
        <v>43902.376493055555</v>
      </c>
      <c r="B6059" s="8" t="str">
        <f>HYPERLINK("https://twitter.com/ISIS_Balik_NO","@ISIS_Balik_NO")</f>
        <v>@ISIS_Balik_NO</v>
      </c>
      <c r="C6059" s="8" t="s">
        <v>2881</v>
      </c>
      <c r="D6059" s="8">
        <v>0</v>
      </c>
      <c r="E6059" s="8">
        <v>0</v>
      </c>
      <c r="F6059" s="8">
        <v>6229</v>
      </c>
    </row>
    <row r="6060" spans="1:6" ht="12.75">
      <c r="A6060" s="8">
        <v>43902.37636574074</v>
      </c>
      <c r="B6060" s="8" t="str">
        <f>HYPERLINK("https://twitter.com/bintangkirana__","@bintangkirana__")</f>
        <v>@bintangkirana__</v>
      </c>
      <c r="C6060" s="8" t="s">
        <v>2877</v>
      </c>
      <c r="D6060" s="8">
        <v>0</v>
      </c>
      <c r="E6060" s="8">
        <v>0</v>
      </c>
      <c r="F6060" s="8">
        <v>7</v>
      </c>
    </row>
    <row r="6061" spans="1:6" ht="12.75">
      <c r="A6061" s="8">
        <v>43902.376180555555</v>
      </c>
      <c r="B6061" s="8" t="str">
        <f>HYPERLINK("https://twitter.com/ShodiqRamadhan","@ShodiqRamadhan")</f>
        <v>@ShodiqRamadhan</v>
      </c>
      <c r="C6061" s="8" t="s">
        <v>2882</v>
      </c>
      <c r="D6061" s="8">
        <v>8</v>
      </c>
      <c r="E6061" s="8">
        <v>0</v>
      </c>
      <c r="F6061" s="8">
        <v>956</v>
      </c>
    </row>
    <row r="6062" spans="1:6" ht="12.75">
      <c r="A6062" s="8">
        <v>43902.376030092593</v>
      </c>
      <c r="B6062" s="8" t="str">
        <f>HYPERLINK("https://twitter.com/DelunShen","@DelunShen")</f>
        <v>@DelunShen</v>
      </c>
      <c r="C6062" s="8" t="s">
        <v>2883</v>
      </c>
      <c r="D6062" s="8">
        <v>2</v>
      </c>
      <c r="E6062" s="8">
        <v>0</v>
      </c>
      <c r="F6062" s="8">
        <v>1</v>
      </c>
    </row>
    <row r="6063" spans="1:6" ht="12.75">
      <c r="A6063" s="8">
        <v>43902.375949074078</v>
      </c>
      <c r="B6063" s="8" t="str">
        <f>HYPERLINK("https://twitter.com/yohanesbintang","@yohanesbintang")</f>
        <v>@yohanesbintang</v>
      </c>
      <c r="C6063" s="8" t="s">
        <v>1836</v>
      </c>
      <c r="D6063" s="8">
        <v>21</v>
      </c>
      <c r="E6063" s="8">
        <v>0</v>
      </c>
      <c r="F6063" s="8">
        <v>249</v>
      </c>
    </row>
    <row r="6064" spans="1:6" ht="12.75">
      <c r="A6064" s="8">
        <v>43902.37572916667</v>
      </c>
      <c r="B6064" s="8" t="str">
        <f>HYPERLINK("https://twitter.com/risasange123","@risasange123")</f>
        <v>@risasange123</v>
      </c>
      <c r="C6064" s="8" t="s">
        <v>2877</v>
      </c>
      <c r="D6064" s="8">
        <v>0</v>
      </c>
      <c r="E6064" s="8">
        <v>0</v>
      </c>
      <c r="F6064" s="8">
        <v>3</v>
      </c>
    </row>
    <row r="6065" spans="1:6" ht="12.75">
      <c r="A6065" s="8">
        <v>43902.375659722224</v>
      </c>
      <c r="B6065" s="8" t="str">
        <f>HYPERLINK("https://twitter.com/GrandLight88","@GrandLight88")</f>
        <v>@GrandLight88</v>
      </c>
      <c r="C6065" s="8" t="s">
        <v>2884</v>
      </c>
      <c r="D6065" s="8">
        <v>0</v>
      </c>
      <c r="E6065" s="8">
        <v>1</v>
      </c>
      <c r="F6065" s="8">
        <v>20</v>
      </c>
    </row>
    <row r="6066" spans="1:6" ht="12.75">
      <c r="A6066" s="8">
        <v>43902.375613425931</v>
      </c>
      <c r="B6066" s="8" t="str">
        <f>HYPERLINK("https://twitter.com/semangkasegar","@semangkasegar")</f>
        <v>@semangkasegar</v>
      </c>
      <c r="C6066" s="8" t="s">
        <v>2885</v>
      </c>
      <c r="D6066" s="8">
        <v>0</v>
      </c>
      <c r="E6066" s="8">
        <v>0</v>
      </c>
      <c r="F6066" s="8">
        <v>3129</v>
      </c>
    </row>
    <row r="6067" spans="1:6" ht="12.75">
      <c r="A6067" s="8">
        <v>43902.375462962962</v>
      </c>
      <c r="B6067" s="8" t="str">
        <f>HYPERLINK("https://twitter.com/yuhu_yuhu2018","@yuhu_yuhu2018")</f>
        <v>@yuhu_yuhu2018</v>
      </c>
      <c r="C6067" s="8" t="s">
        <v>2886</v>
      </c>
      <c r="D6067" s="8">
        <v>0</v>
      </c>
      <c r="E6067" s="8">
        <v>0</v>
      </c>
      <c r="F6067" s="8">
        <v>595</v>
      </c>
    </row>
    <row r="6068" spans="1:6" ht="12.75">
      <c r="A6068" s="8">
        <v>43902.375462962962</v>
      </c>
      <c r="B6068" s="8" t="str">
        <f>HYPERLINK("https://twitter.com/JoeWongJava1","@JoeWongJava1")</f>
        <v>@JoeWongJava1</v>
      </c>
      <c r="C6068" s="8" t="s">
        <v>2887</v>
      </c>
      <c r="D6068" s="8">
        <v>0</v>
      </c>
      <c r="E6068" s="8">
        <v>0</v>
      </c>
      <c r="F6068" s="8">
        <v>176</v>
      </c>
    </row>
    <row r="6069" spans="1:6" ht="12.75">
      <c r="A6069" s="8">
        <v>43902.375150462962</v>
      </c>
      <c r="B6069" s="8" t="str">
        <f>HYPERLINK("https://twitter.com/ISIS_Balik_NO","@ISIS_Balik_NO")</f>
        <v>@ISIS_Balik_NO</v>
      </c>
      <c r="C6069" s="8" t="s">
        <v>2888</v>
      </c>
      <c r="D6069" s="8">
        <v>0</v>
      </c>
      <c r="E6069" s="8">
        <v>0</v>
      </c>
      <c r="F6069" s="8">
        <v>6229</v>
      </c>
    </row>
    <row r="6070" spans="1:6" ht="12.75">
      <c r="A6070" s="8">
        <v>43902.375</v>
      </c>
      <c r="B6070" s="8" t="str">
        <f>HYPERLINK("https://twitter.com/SoalAsahOtak","@SoalAsahOtak")</f>
        <v>@SoalAsahOtak</v>
      </c>
      <c r="C6070" s="8" t="s">
        <v>2889</v>
      </c>
      <c r="D6070" s="8">
        <v>0</v>
      </c>
      <c r="E6070" s="8">
        <v>1</v>
      </c>
      <c r="F6070" s="8">
        <v>73425</v>
      </c>
    </row>
    <row r="6071" spans="1:6" ht="12.75">
      <c r="A6071" s="8">
        <v>43902.374895833331</v>
      </c>
      <c r="B6071" s="8" t="str">
        <f>HYPERLINK("https://twitter.com/DcEliana","@DcEliana")</f>
        <v>@DcEliana</v>
      </c>
      <c r="C6071" s="8" t="s">
        <v>1836</v>
      </c>
      <c r="D6071" s="8">
        <v>21</v>
      </c>
      <c r="E6071" s="8">
        <v>0</v>
      </c>
      <c r="F6071" s="8">
        <v>152</v>
      </c>
    </row>
    <row r="6072" spans="1:6" ht="12.75">
      <c r="A6072" s="8">
        <v>43902.374837962961</v>
      </c>
      <c r="B6072" s="8" t="str">
        <f>HYPERLINK("https://twitter.com/JoeWongJava1","@JoeWongJava1")</f>
        <v>@JoeWongJava1</v>
      </c>
      <c r="C6072" s="8" t="s">
        <v>2890</v>
      </c>
      <c r="D6072" s="8">
        <v>0</v>
      </c>
      <c r="E6072" s="8">
        <v>0</v>
      </c>
      <c r="F6072" s="8">
        <v>176</v>
      </c>
    </row>
    <row r="6073" spans="1:6" ht="12.75">
      <c r="A6073" s="8">
        <v>43902.374803240746</v>
      </c>
      <c r="B6073" s="8" t="str">
        <f>HYPERLINK("https://twitter.com/oriziasativa","@oriziasativa")</f>
        <v>@oriziasativa</v>
      </c>
      <c r="C6073" s="8" t="s">
        <v>2051</v>
      </c>
      <c r="D6073" s="8">
        <v>31</v>
      </c>
      <c r="E6073" s="8">
        <v>0</v>
      </c>
      <c r="F6073" s="8">
        <v>368</v>
      </c>
    </row>
    <row r="6074" spans="1:6" ht="12.75">
      <c r="A6074" s="8">
        <v>43902.374664351853</v>
      </c>
      <c r="B6074" s="8" t="str">
        <f>HYPERLINK("https://twitter.com/i_wedd","@i_wedd")</f>
        <v>@i_wedd</v>
      </c>
      <c r="C6074" s="8" t="s">
        <v>1836</v>
      </c>
      <c r="D6074" s="8">
        <v>21</v>
      </c>
      <c r="E6074" s="8">
        <v>0</v>
      </c>
      <c r="F6074" s="8">
        <v>77</v>
      </c>
    </row>
    <row r="6075" spans="1:6" ht="12.75">
      <c r="A6075" s="8">
        <v>43902.374537037038</v>
      </c>
      <c r="B6075" s="8" t="str">
        <f>HYPERLINK("https://twitter.com/_fasapp","@_fasapp")</f>
        <v>@_fasapp</v>
      </c>
      <c r="C6075" s="8" t="s">
        <v>1836</v>
      </c>
      <c r="D6075" s="8">
        <v>21</v>
      </c>
      <c r="E6075" s="8">
        <v>0</v>
      </c>
      <c r="F6075" s="8">
        <v>771</v>
      </c>
    </row>
    <row r="6076" spans="1:6" ht="12.75">
      <c r="A6076" s="8">
        <v>43902.374189814815</v>
      </c>
      <c r="B6076" s="8" t="str">
        <f>HYPERLINK("https://twitter.com/Gamelonlio","@Gamelonlio")</f>
        <v>@Gamelonlio</v>
      </c>
      <c r="C6076" s="8" t="s">
        <v>2891</v>
      </c>
      <c r="D6076" s="8">
        <v>1</v>
      </c>
      <c r="E6076" s="8">
        <v>0</v>
      </c>
      <c r="F6076" s="8">
        <v>438</v>
      </c>
    </row>
    <row r="6077" spans="1:6" ht="12.75">
      <c r="A6077" s="8">
        <v>43902.373958333337</v>
      </c>
      <c r="B6077" s="8" t="str">
        <f>HYPERLINK("https://twitter.com/ISIS_Balik_NO","@ISIS_Balik_NO")</f>
        <v>@ISIS_Balik_NO</v>
      </c>
      <c r="C6077" s="8" t="s">
        <v>2892</v>
      </c>
      <c r="D6077" s="8">
        <v>0</v>
      </c>
      <c r="E6077" s="8">
        <v>0</v>
      </c>
      <c r="F6077" s="8">
        <v>6229</v>
      </c>
    </row>
    <row r="6078" spans="1:6" ht="12.75">
      <c r="A6078" s="8">
        <v>43902.373923611114</v>
      </c>
      <c r="B6078" s="8" t="str">
        <f>HYPERLINK("https://twitter.com/RadioElshinta","@RadioElshinta")</f>
        <v>@RadioElshinta</v>
      </c>
      <c r="C6078" s="8" t="s">
        <v>2730</v>
      </c>
      <c r="D6078" s="8">
        <v>1</v>
      </c>
      <c r="E6078" s="8">
        <v>1</v>
      </c>
      <c r="F6078" s="8">
        <v>3637523</v>
      </c>
    </row>
    <row r="6079" spans="1:6" ht="12.75">
      <c r="A6079" s="8">
        <v>43902.373865740738</v>
      </c>
      <c r="B6079" s="8" t="str">
        <f>HYPERLINK("https://twitter.com/JoeWongJava1","@JoeWongJava1")</f>
        <v>@JoeWongJava1</v>
      </c>
      <c r="C6079" s="8" t="s">
        <v>2893</v>
      </c>
      <c r="D6079" s="8">
        <v>0</v>
      </c>
      <c r="E6079" s="8">
        <v>0</v>
      </c>
      <c r="F6079" s="8">
        <v>176</v>
      </c>
    </row>
    <row r="6080" spans="1:6" ht="12.75">
      <c r="A6080" s="8">
        <v>43902.373738425929</v>
      </c>
      <c r="B6080" s="8" t="str">
        <f>HYPERLINK("https://twitter.com/Garrsett","@Garrsett")</f>
        <v>@Garrsett</v>
      </c>
      <c r="C6080" s="8" t="s">
        <v>1836</v>
      </c>
      <c r="D6080" s="8">
        <v>21</v>
      </c>
      <c r="E6080" s="8">
        <v>0</v>
      </c>
      <c r="F6080" s="8">
        <v>1378</v>
      </c>
    </row>
    <row r="6081" spans="1:6" ht="12.75">
      <c r="A6081" s="8">
        <v>43902.373657407406</v>
      </c>
      <c r="B6081" s="8" t="str">
        <f>HYPERLINK("https://twitter.com/drxx11_","@drxx11_")</f>
        <v>@drxx11_</v>
      </c>
      <c r="C6081" s="8" t="s">
        <v>1836</v>
      </c>
      <c r="D6081" s="8">
        <v>21</v>
      </c>
      <c r="E6081" s="8">
        <v>0</v>
      </c>
      <c r="F6081" s="8">
        <v>412</v>
      </c>
    </row>
    <row r="6082" spans="1:6" ht="12.75">
      <c r="A6082" s="8">
        <v>43902.37336805556</v>
      </c>
      <c r="B6082" s="8" t="str">
        <f>HYPERLINK("https://twitter.com/mufidmommy","@mufidmommy")</f>
        <v>@mufidmommy</v>
      </c>
      <c r="C6082" s="8" t="s">
        <v>1836</v>
      </c>
      <c r="D6082" s="8">
        <v>21</v>
      </c>
      <c r="E6082" s="8">
        <v>0</v>
      </c>
      <c r="F6082" s="8">
        <v>57</v>
      </c>
    </row>
    <row r="6083" spans="1:6" ht="12.75">
      <c r="A6083" s="8">
        <v>43902.373298611114</v>
      </c>
      <c r="B6083" s="8" t="str">
        <f>HYPERLINK("https://twitter.com/triarjuna4","@triarjuna4")</f>
        <v>@triarjuna4</v>
      </c>
      <c r="C6083" s="8" t="s">
        <v>2877</v>
      </c>
      <c r="D6083" s="8">
        <v>0</v>
      </c>
      <c r="E6083" s="8">
        <v>0</v>
      </c>
      <c r="F6083" s="8">
        <v>1</v>
      </c>
    </row>
    <row r="6084" spans="1:6" ht="12.75">
      <c r="A6084" s="8">
        <v>43902.373287037037</v>
      </c>
      <c r="B6084" s="8" t="str">
        <f>HYPERLINK("https://twitter.com/blueietha","@blueietha")</f>
        <v>@blueietha</v>
      </c>
      <c r="C6084" s="8" t="s">
        <v>1836</v>
      </c>
      <c r="D6084" s="8">
        <v>21</v>
      </c>
      <c r="E6084" s="8">
        <v>0</v>
      </c>
      <c r="F6084" s="8">
        <v>2750</v>
      </c>
    </row>
    <row r="6085" spans="1:6" ht="12.75">
      <c r="A6085" s="8">
        <v>43902.372962962967</v>
      </c>
      <c r="B6085" s="8" t="str">
        <f>HYPERLINK("https://twitter.com/JoeWongJava1","@JoeWongJava1")</f>
        <v>@JoeWongJava1</v>
      </c>
      <c r="C6085" s="8" t="s">
        <v>2894</v>
      </c>
      <c r="D6085" s="8">
        <v>0</v>
      </c>
      <c r="E6085" s="8">
        <v>0</v>
      </c>
      <c r="F6085" s="8">
        <v>176</v>
      </c>
    </row>
    <row r="6086" spans="1:6" ht="12.75">
      <c r="A6086" s="8">
        <v>43902.372928240744</v>
      </c>
      <c r="B6086" s="8" t="str">
        <f>HYPERLINK("https://twitter.com/GoTotheJek","@GoTotheJek")</f>
        <v>@GoTotheJek</v>
      </c>
      <c r="C6086" s="8" t="s">
        <v>1836</v>
      </c>
      <c r="D6086" s="8">
        <v>21</v>
      </c>
      <c r="E6086" s="8">
        <v>0</v>
      </c>
      <c r="F6086" s="8">
        <v>780</v>
      </c>
    </row>
    <row r="6087" spans="1:6" ht="12.75">
      <c r="A6087" s="8">
        <v>43902.372615740736</v>
      </c>
      <c r="B6087" s="8" t="str">
        <f>HYPERLINK("https://twitter.com/_HaddadP","@_HaddadP")</f>
        <v>@_HaddadP</v>
      </c>
      <c r="C6087" s="8" t="s">
        <v>1836</v>
      </c>
      <c r="D6087" s="8">
        <v>21</v>
      </c>
      <c r="E6087" s="8">
        <v>0</v>
      </c>
      <c r="F6087" s="8">
        <v>8437</v>
      </c>
    </row>
    <row r="6088" spans="1:6" ht="12.75">
      <c r="A6088" s="8">
        <v>43902.372430555552</v>
      </c>
      <c r="B6088" s="8" t="str">
        <f>HYPERLINK("https://twitter.com/ISIS_Balik_NO","@ISIS_Balik_NO")</f>
        <v>@ISIS_Balik_NO</v>
      </c>
      <c r="C6088" s="8" t="s">
        <v>2895</v>
      </c>
      <c r="D6088" s="8">
        <v>0</v>
      </c>
      <c r="E6088" s="8">
        <v>0</v>
      </c>
      <c r="F6088" s="8">
        <v>6229</v>
      </c>
    </row>
    <row r="6089" spans="1:6" ht="12.75">
      <c r="A6089" s="8">
        <v>43902.37228009259</v>
      </c>
      <c r="B6089" s="8" t="str">
        <f>HYPERLINK("https://twitter.com/SuryaBorneo","@SuryaBorneo")</f>
        <v>@SuryaBorneo</v>
      </c>
      <c r="C6089" s="8" t="s">
        <v>1836</v>
      </c>
      <c r="D6089" s="8">
        <v>21</v>
      </c>
      <c r="E6089" s="8">
        <v>0</v>
      </c>
      <c r="F6089" s="8">
        <v>1032</v>
      </c>
    </row>
    <row r="6090" spans="1:6" ht="12.75">
      <c r="A6090" s="8">
        <v>43902.372118055559</v>
      </c>
      <c r="B6090" s="8" t="str">
        <f>HYPERLINK("https://twitter.com/GrandLight88","@GrandLight88")</f>
        <v>@GrandLight88</v>
      </c>
      <c r="C6090" s="8" t="s">
        <v>2896</v>
      </c>
      <c r="D6090" s="8">
        <v>0</v>
      </c>
      <c r="E6090" s="8">
        <v>0</v>
      </c>
      <c r="F6090" s="8">
        <v>20</v>
      </c>
    </row>
    <row r="6091" spans="1:6" ht="12.75">
      <c r="A6091" s="8">
        <v>43902.372118055559</v>
      </c>
      <c r="B6091" s="8" t="str">
        <f>HYPERLINK("https://twitter.com/Mun4fikunn","@Mun4fikunn")</f>
        <v>@Mun4fikunn</v>
      </c>
      <c r="C6091" s="8" t="s">
        <v>2897</v>
      </c>
      <c r="D6091" s="8">
        <v>0</v>
      </c>
      <c r="E6091" s="8">
        <v>0</v>
      </c>
      <c r="F6091" s="8">
        <v>1690</v>
      </c>
    </row>
    <row r="6092" spans="1:6" ht="12.75">
      <c r="A6092" s="8">
        <v>43902.372094907405</v>
      </c>
      <c r="B6092" s="8" t="str">
        <f>HYPERLINK("https://twitter.com/Fatimahkurnia01","@Fatimahkurnia01")</f>
        <v>@Fatimahkurnia01</v>
      </c>
      <c r="C6092" s="8" t="s">
        <v>2898</v>
      </c>
      <c r="D6092" s="8">
        <v>0</v>
      </c>
      <c r="E6092" s="8">
        <v>0</v>
      </c>
      <c r="F6092" s="8">
        <v>145</v>
      </c>
    </row>
    <row r="6093" spans="1:6" ht="12.75">
      <c r="A6093" s="8">
        <v>43902.372060185182</v>
      </c>
      <c r="B6093" s="8" t="str">
        <f>HYPERLINK("https://twitter.com/ReyzaOfficial_","@ReyzaOfficial_")</f>
        <v>@ReyzaOfficial_</v>
      </c>
      <c r="C6093" s="8" t="s">
        <v>1800</v>
      </c>
      <c r="D6093" s="8">
        <v>66</v>
      </c>
      <c r="E6093" s="8">
        <v>0</v>
      </c>
      <c r="F6093" s="8">
        <v>157</v>
      </c>
    </row>
    <row r="6094" spans="1:6" ht="12.75">
      <c r="A6094" s="8">
        <v>43902.371898148151</v>
      </c>
      <c r="B6094" s="8" t="str">
        <f>HYPERLINK("https://twitter.com/rrsantii","@rrsantii")</f>
        <v>@rrsantii</v>
      </c>
      <c r="C6094" s="8" t="s">
        <v>2899</v>
      </c>
      <c r="D6094" s="8">
        <v>0</v>
      </c>
      <c r="E6094" s="8">
        <v>0</v>
      </c>
      <c r="F6094" s="8">
        <v>59</v>
      </c>
    </row>
    <row r="6095" spans="1:6" ht="12.75">
      <c r="A6095" s="8">
        <v>43902.371874999997</v>
      </c>
      <c r="B6095" s="8" t="str">
        <f>HYPERLINK("https://twitter.com/JoeWongJava1","@JoeWongJava1")</f>
        <v>@JoeWongJava1</v>
      </c>
      <c r="C6095" s="8" t="s">
        <v>2900</v>
      </c>
      <c r="D6095" s="8">
        <v>0</v>
      </c>
      <c r="E6095" s="8">
        <v>0</v>
      </c>
      <c r="F6095" s="8">
        <v>176</v>
      </c>
    </row>
    <row r="6096" spans="1:6" ht="12.75">
      <c r="A6096" s="8">
        <v>43902.371851851851</v>
      </c>
      <c r="B6096" s="8" t="str">
        <f>HYPERLINK("https://twitter.com/MMargani5","@MMargani5")</f>
        <v>@MMargani5</v>
      </c>
      <c r="C6096" s="8" t="s">
        <v>2901</v>
      </c>
      <c r="D6096" s="8">
        <v>7</v>
      </c>
      <c r="E6096" s="8">
        <v>0</v>
      </c>
      <c r="F6096" s="8">
        <v>5774</v>
      </c>
    </row>
    <row r="6097" spans="1:6" ht="12.75">
      <c r="A6097" s="8">
        <v>43902.371608796297</v>
      </c>
      <c r="B6097" s="8" t="str">
        <f>HYPERLINK("https://twitter.com/bhushan_wadnere","@bhushan_wadnere")</f>
        <v>@bhushan_wadnere</v>
      </c>
      <c r="C6097" s="8" t="s">
        <v>1957</v>
      </c>
      <c r="D6097" s="8">
        <v>1497</v>
      </c>
      <c r="E6097" s="8">
        <v>0</v>
      </c>
      <c r="F6097" s="8">
        <v>221</v>
      </c>
    </row>
    <row r="6098" spans="1:6" ht="12.75">
      <c r="A6098" s="8">
        <v>43902.371342592596</v>
      </c>
      <c r="B6098" s="8" t="str">
        <f>HYPERLINK("https://twitter.com/ISIS_Balik_NO","@ISIS_Balik_NO")</f>
        <v>@ISIS_Balik_NO</v>
      </c>
      <c r="C6098" s="8" t="s">
        <v>2902</v>
      </c>
      <c r="D6098" s="8">
        <v>0</v>
      </c>
      <c r="E6098" s="8">
        <v>0</v>
      </c>
      <c r="F6098" s="8">
        <v>6229</v>
      </c>
    </row>
    <row r="6099" spans="1:6" ht="12.75">
      <c r="A6099" s="8">
        <v>43902.371134259258</v>
      </c>
      <c r="B6099" s="8" t="str">
        <f>HYPERLINK("https://twitter.com/AimanJudakusum1","@AimanJudakusum1")</f>
        <v>@AimanJudakusum1</v>
      </c>
      <c r="C6099" s="8" t="s">
        <v>2903</v>
      </c>
      <c r="D6099" s="8">
        <v>0</v>
      </c>
      <c r="E6099" s="8">
        <v>0</v>
      </c>
      <c r="F6099" s="8">
        <v>209</v>
      </c>
    </row>
    <row r="6100" spans="1:6" ht="12.75">
      <c r="A6100" s="8">
        <v>43902.370752314819</v>
      </c>
      <c r="B6100" s="8" t="str">
        <f>HYPERLINK("https://twitter.com/JoeWongJava1","@JoeWongJava1")</f>
        <v>@JoeWongJava1</v>
      </c>
      <c r="C6100" s="8" t="s">
        <v>2904</v>
      </c>
      <c r="D6100" s="8">
        <v>0</v>
      </c>
      <c r="E6100" s="8">
        <v>0</v>
      </c>
      <c r="F6100" s="8">
        <v>176</v>
      </c>
    </row>
    <row r="6101" spans="1:6" ht="12.75">
      <c r="A6101" s="8">
        <v>43902.370428240742</v>
      </c>
      <c r="B6101" s="8" t="str">
        <f>HYPERLINK("https://twitter.com/ISIS_Balik_NO","@ISIS_Balik_NO")</f>
        <v>@ISIS_Balik_NO</v>
      </c>
      <c r="C6101" s="8" t="s">
        <v>2905</v>
      </c>
      <c r="D6101" s="8">
        <v>0</v>
      </c>
      <c r="E6101" s="8">
        <v>1</v>
      </c>
      <c r="F6101" s="8">
        <v>6229</v>
      </c>
    </row>
    <row r="6102" spans="1:6" ht="12.75">
      <c r="A6102" s="8">
        <v>43902.370254629626</v>
      </c>
      <c r="B6102" s="8" t="str">
        <f>HYPERLINK("https://twitter.com/alit_de","@alit_de")</f>
        <v>@alit_de</v>
      </c>
      <c r="C6102" s="8" t="s">
        <v>2292</v>
      </c>
      <c r="D6102" s="8">
        <v>52</v>
      </c>
      <c r="E6102" s="8">
        <v>0</v>
      </c>
      <c r="F6102" s="8">
        <v>1016</v>
      </c>
    </row>
    <row r="6103" spans="1:6" ht="12.75">
      <c r="A6103" s="8">
        <v>43902.370254629626</v>
      </c>
      <c r="B6103" s="8" t="str">
        <f>HYPERLINK("https://twitter.com/C_AjiMahameru52","@C_AjiMahameru52")</f>
        <v>@C_AjiMahameru52</v>
      </c>
      <c r="C6103" s="8" t="s">
        <v>165</v>
      </c>
      <c r="D6103" s="8">
        <v>28</v>
      </c>
      <c r="E6103" s="8">
        <v>0</v>
      </c>
      <c r="F6103" s="8">
        <v>3163</v>
      </c>
    </row>
    <row r="6104" spans="1:6" ht="12.75">
      <c r="A6104" s="8">
        <v>43902.369780092587</v>
      </c>
      <c r="B6104" s="8" t="str">
        <f>HYPERLINK("https://twitter.com/JoeWongJava1","@JoeWongJava1")</f>
        <v>@JoeWongJava1</v>
      </c>
      <c r="C6104" s="8" t="s">
        <v>2906</v>
      </c>
      <c r="D6104" s="8">
        <v>0</v>
      </c>
      <c r="E6104" s="8">
        <v>0</v>
      </c>
      <c r="F6104" s="8">
        <v>176</v>
      </c>
    </row>
    <row r="6105" spans="1:6" ht="12.75">
      <c r="A6105" s="8">
        <v>43902.369641203702</v>
      </c>
      <c r="B6105" s="8" t="str">
        <f>HYPERLINK("https://twitter.com/ISIS_Balik_NO","@ISIS_Balik_NO")</f>
        <v>@ISIS_Balik_NO</v>
      </c>
      <c r="C6105" s="8" t="s">
        <v>2907</v>
      </c>
      <c r="D6105" s="8">
        <v>0</v>
      </c>
      <c r="E6105" s="8">
        <v>0</v>
      </c>
      <c r="F6105" s="8">
        <v>6229</v>
      </c>
    </row>
    <row r="6106" spans="1:6" ht="12.75">
      <c r="A6106" s="8">
        <v>43902.369571759264</v>
      </c>
      <c r="B6106" s="8" t="str">
        <f>HYPERLINK("https://twitter.com/bayuganang","@bayuganang")</f>
        <v>@bayuganang</v>
      </c>
      <c r="C6106" s="8" t="s">
        <v>2178</v>
      </c>
      <c r="D6106" s="8">
        <v>41</v>
      </c>
      <c r="E6106" s="8">
        <v>0</v>
      </c>
      <c r="F6106" s="8">
        <v>969</v>
      </c>
    </row>
    <row r="6107" spans="1:6" ht="12.75">
      <c r="A6107" s="8">
        <v>43902.369456018518</v>
      </c>
      <c r="B6107" s="8" t="str">
        <f>HYPERLINK("https://twitter.com/Nick_DAlf","@Nick_DAlf")</f>
        <v>@Nick_DAlf</v>
      </c>
      <c r="C6107" s="8" t="s">
        <v>2908</v>
      </c>
      <c r="D6107" s="8">
        <v>0</v>
      </c>
      <c r="E6107" s="8">
        <v>1</v>
      </c>
      <c r="F6107" s="8">
        <v>4117</v>
      </c>
    </row>
    <row r="6108" spans="1:6" ht="12.75">
      <c r="A6108" s="8">
        <v>43902.369247685187</v>
      </c>
      <c r="B6108" s="8" t="str">
        <f>HYPERLINK("https://twitter.com/JoeWongJava1","@JoeWongJava1")</f>
        <v>@JoeWongJava1</v>
      </c>
      <c r="C6108" s="8" t="s">
        <v>2909</v>
      </c>
      <c r="D6108" s="8">
        <v>0</v>
      </c>
      <c r="E6108" s="8">
        <v>0</v>
      </c>
      <c r="F6108" s="8">
        <v>176</v>
      </c>
    </row>
    <row r="6109" spans="1:6" ht="12.75">
      <c r="A6109" s="8">
        <v>43902.369143518517</v>
      </c>
      <c r="B6109" s="8" t="str">
        <f>HYPERLINK("https://twitter.com/GrandLight88","@GrandLight88")</f>
        <v>@GrandLight88</v>
      </c>
      <c r="C6109" s="8" t="s">
        <v>2910</v>
      </c>
      <c r="D6109" s="8">
        <v>0</v>
      </c>
      <c r="E6109" s="8">
        <v>0</v>
      </c>
      <c r="F6109" s="8">
        <v>20</v>
      </c>
    </row>
    <row r="6110" spans="1:6" ht="12.75">
      <c r="A6110" s="8">
        <v>43902.369016203702</v>
      </c>
      <c r="B6110" s="8" t="str">
        <f>HYPERLINK("https://twitter.com/jerisback","@jerisback")</f>
        <v>@jerisback</v>
      </c>
      <c r="C6110" s="8" t="s">
        <v>2911</v>
      </c>
      <c r="D6110" s="8">
        <v>21</v>
      </c>
      <c r="E6110" s="8">
        <v>14</v>
      </c>
      <c r="F6110" s="8">
        <v>119</v>
      </c>
    </row>
    <row r="6111" spans="1:6" ht="12.75">
      <c r="A6111" s="8">
        <v>43902.368969907402</v>
      </c>
      <c r="B6111" s="8" t="str">
        <f t="shared" ref="B6111:B6112" si="115">HYPERLINK("https://twitter.com/ISIS_Balik_NO","@ISIS_Balik_NO")</f>
        <v>@ISIS_Balik_NO</v>
      </c>
      <c r="C6111" s="8" t="s">
        <v>2912</v>
      </c>
      <c r="D6111" s="8">
        <v>0</v>
      </c>
      <c r="E6111" s="8">
        <v>0</v>
      </c>
      <c r="F6111" s="8">
        <v>6229</v>
      </c>
    </row>
    <row r="6112" spans="1:6" ht="12.75">
      <c r="A6112" s="8">
        <v>43902.368275462963</v>
      </c>
      <c r="B6112" s="8" t="str">
        <f t="shared" si="115"/>
        <v>@ISIS_Balik_NO</v>
      </c>
      <c r="C6112" s="8" t="s">
        <v>2913</v>
      </c>
      <c r="D6112" s="8">
        <v>0</v>
      </c>
      <c r="E6112" s="8">
        <v>0</v>
      </c>
      <c r="F6112" s="8">
        <v>6229</v>
      </c>
    </row>
    <row r="6113" spans="1:6" ht="12.75">
      <c r="A6113" s="8">
        <v>43902.368263888886</v>
      </c>
      <c r="B6113" s="8" t="str">
        <f>HYPERLINK("https://twitter.com/dangdenis","@dangdenis")</f>
        <v>@dangdenis</v>
      </c>
      <c r="C6113" s="8" t="s">
        <v>2051</v>
      </c>
      <c r="D6113" s="8">
        <v>31</v>
      </c>
      <c r="E6113" s="8">
        <v>0</v>
      </c>
      <c r="F6113" s="8">
        <v>451</v>
      </c>
    </row>
    <row r="6114" spans="1:6" ht="12.75">
      <c r="A6114" s="8">
        <v>43902.367685185185</v>
      </c>
      <c r="B6114" s="8" t="str">
        <f>HYPERLINK("https://twitter.com/JoeWongJava1","@JoeWongJava1")</f>
        <v>@JoeWongJava1</v>
      </c>
      <c r="C6114" s="8" t="s">
        <v>2914</v>
      </c>
      <c r="D6114" s="8">
        <v>0</v>
      </c>
      <c r="E6114" s="8">
        <v>0</v>
      </c>
      <c r="F6114" s="8">
        <v>176</v>
      </c>
    </row>
    <row r="6115" spans="1:6" ht="12.75">
      <c r="A6115" s="8">
        <v>43902.367442129631</v>
      </c>
      <c r="B6115" s="8" t="str">
        <f>HYPERLINK("https://twitter.com/ISIS_Balik_NO","@ISIS_Balik_NO")</f>
        <v>@ISIS_Balik_NO</v>
      </c>
      <c r="C6115" s="8" t="s">
        <v>2915</v>
      </c>
      <c r="D6115" s="8">
        <v>0</v>
      </c>
      <c r="E6115" s="8">
        <v>0</v>
      </c>
      <c r="F6115" s="8">
        <v>6229</v>
      </c>
    </row>
    <row r="6116" spans="1:6" ht="12.75">
      <c r="A6116" s="8">
        <v>43902.366527777776</v>
      </c>
      <c r="B6116" s="8" t="str">
        <f>HYPERLINK("https://twitter.com/GrandLight88","@GrandLight88")</f>
        <v>@GrandLight88</v>
      </c>
      <c r="C6116" s="8" t="s">
        <v>2916</v>
      </c>
      <c r="D6116" s="8">
        <v>0</v>
      </c>
      <c r="E6116" s="8">
        <v>1</v>
      </c>
      <c r="F6116" s="8">
        <v>20</v>
      </c>
    </row>
    <row r="6117" spans="1:6" ht="12.75">
      <c r="A6117" s="8">
        <v>43902.36650462963</v>
      </c>
      <c r="B6117" s="8" t="str">
        <f>HYPERLINK("https://twitter.com/ISIS_Balik_NO","@ISIS_Balik_NO")</f>
        <v>@ISIS_Balik_NO</v>
      </c>
      <c r="C6117" s="8" t="s">
        <v>2917</v>
      </c>
      <c r="D6117" s="8">
        <v>0</v>
      </c>
      <c r="E6117" s="8">
        <v>0</v>
      </c>
      <c r="F6117" s="8">
        <v>6229</v>
      </c>
    </row>
    <row r="6118" spans="1:6" ht="12.75">
      <c r="A6118" s="8">
        <v>43902.366307870368</v>
      </c>
      <c r="B6118" s="8" t="str">
        <f>HYPERLINK("https://twitter.com/Gaekgariskeras","@Gaekgariskeras")</f>
        <v>@Gaekgariskeras</v>
      </c>
      <c r="C6118" s="8" t="s">
        <v>318</v>
      </c>
      <c r="D6118" s="8">
        <v>1439</v>
      </c>
      <c r="E6118" s="8">
        <v>0</v>
      </c>
      <c r="F6118" s="8">
        <v>644</v>
      </c>
    </row>
    <row r="6119" spans="1:6" ht="12.75">
      <c r="A6119" s="8">
        <v>43902.366122685184</v>
      </c>
      <c r="B6119" s="8" t="str">
        <f>HYPERLINK("https://twitter.com/JoeWongJava1","@JoeWongJava1")</f>
        <v>@JoeWongJava1</v>
      </c>
      <c r="C6119" s="8" t="s">
        <v>2918</v>
      </c>
      <c r="D6119" s="8">
        <v>0</v>
      </c>
      <c r="E6119" s="8">
        <v>0</v>
      </c>
      <c r="F6119" s="8">
        <v>176</v>
      </c>
    </row>
    <row r="6120" spans="1:6" ht="12.75">
      <c r="A6120" s="8">
        <v>43902.366087962961</v>
      </c>
      <c r="B6120" s="8" t="str">
        <f>HYPERLINK("https://twitter.com/_ririe13","@_ririe13")</f>
        <v>@_ririe13</v>
      </c>
      <c r="C6120" s="8" t="s">
        <v>104</v>
      </c>
      <c r="D6120" s="8">
        <v>129</v>
      </c>
      <c r="E6120" s="8">
        <v>0</v>
      </c>
      <c r="F6120" s="8">
        <v>444</v>
      </c>
    </row>
    <row r="6121" spans="1:6" ht="12.75">
      <c r="A6121" s="8">
        <v>43902.366064814814</v>
      </c>
      <c r="B6121" s="8" t="str">
        <f>HYPERLINK("https://twitter.com/ISIS_Balik_NO","@ISIS_Balik_NO")</f>
        <v>@ISIS_Balik_NO</v>
      </c>
      <c r="C6121" s="8" t="s">
        <v>2919</v>
      </c>
      <c r="D6121" s="8">
        <v>0</v>
      </c>
      <c r="E6121" s="8">
        <v>0</v>
      </c>
      <c r="F6121" s="8">
        <v>6229</v>
      </c>
    </row>
    <row r="6122" spans="1:6" ht="12.75">
      <c r="A6122" s="8">
        <v>43902.365787037037</v>
      </c>
      <c r="B6122" s="8" t="str">
        <f>HYPERLINK("https://twitter.com/ziqraalridho","@ziqraalridho")</f>
        <v>@ziqraalridho</v>
      </c>
      <c r="C6122" s="8" t="s">
        <v>1186</v>
      </c>
      <c r="D6122" s="8">
        <v>426</v>
      </c>
      <c r="E6122" s="8">
        <v>0</v>
      </c>
      <c r="F6122" s="8">
        <v>1291</v>
      </c>
    </row>
    <row r="6123" spans="1:6" ht="12.75">
      <c r="A6123" s="8">
        <v>43902.365497685183</v>
      </c>
      <c r="B6123" s="8" t="str">
        <f>HYPERLINK("https://twitter.com/isis_alvesk","@isis_alvesk")</f>
        <v>@isis_alvesk</v>
      </c>
      <c r="C6123" s="8" t="s">
        <v>2920</v>
      </c>
      <c r="D6123" s="8">
        <v>0</v>
      </c>
      <c r="E6123" s="8">
        <v>0</v>
      </c>
      <c r="F6123" s="8">
        <v>352</v>
      </c>
    </row>
    <row r="6124" spans="1:6" ht="12.75">
      <c r="A6124" s="8">
        <v>43902.365300925929</v>
      </c>
      <c r="B6124" s="8" t="str">
        <f t="shared" ref="B6124:B6125" si="116">HYPERLINK("https://twitter.com/JoeWongJava1","@JoeWongJava1")</f>
        <v>@JoeWongJava1</v>
      </c>
      <c r="C6124" s="8" t="s">
        <v>2921</v>
      </c>
      <c r="D6124" s="8">
        <v>0</v>
      </c>
      <c r="E6124" s="8">
        <v>0</v>
      </c>
      <c r="F6124" s="8">
        <v>176</v>
      </c>
    </row>
    <row r="6125" spans="1:6" ht="12.75">
      <c r="A6125" s="8">
        <v>43902.36451388889</v>
      </c>
      <c r="B6125" s="8" t="str">
        <f t="shared" si="116"/>
        <v>@JoeWongJava1</v>
      </c>
      <c r="C6125" s="8" t="s">
        <v>2922</v>
      </c>
      <c r="D6125" s="8">
        <v>0</v>
      </c>
      <c r="E6125" s="8">
        <v>0</v>
      </c>
      <c r="F6125" s="8">
        <v>176</v>
      </c>
    </row>
    <row r="6126" spans="1:6" ht="12.75">
      <c r="A6126" s="8">
        <v>43902.364236111112</v>
      </c>
      <c r="B6126" s="8" t="str">
        <f>HYPERLINK("https://twitter.com/meow_leader","@meow_leader")</f>
        <v>@meow_leader</v>
      </c>
      <c r="C6126" s="8" t="s">
        <v>2923</v>
      </c>
      <c r="D6126" s="8">
        <v>0</v>
      </c>
      <c r="E6126" s="8">
        <v>1</v>
      </c>
      <c r="F6126" s="8">
        <v>3734</v>
      </c>
    </row>
    <row r="6127" spans="1:6" ht="12.75">
      <c r="A6127" s="8">
        <v>43902.364224537036</v>
      </c>
      <c r="B6127" s="8" t="str">
        <f>HYPERLINK("https://twitter.com/nimidnec","@nimidnec")</f>
        <v>@nimidnec</v>
      </c>
      <c r="C6127" s="8" t="s">
        <v>2924</v>
      </c>
      <c r="D6127" s="8">
        <v>1</v>
      </c>
      <c r="E6127" s="8">
        <v>0</v>
      </c>
      <c r="F6127" s="8">
        <v>1067</v>
      </c>
    </row>
    <row r="6128" spans="1:6" ht="12.75">
      <c r="A6128" s="8">
        <v>43902.364178240736</v>
      </c>
      <c r="B6128" s="8" t="str">
        <f>HYPERLINK("https://twitter.com/JoeWongJava1","@JoeWongJava1")</f>
        <v>@JoeWongJava1</v>
      </c>
      <c r="C6128" s="8" t="s">
        <v>2925</v>
      </c>
      <c r="D6128" s="8">
        <v>0</v>
      </c>
      <c r="E6128" s="8">
        <v>0</v>
      </c>
      <c r="F6128" s="8">
        <v>176</v>
      </c>
    </row>
    <row r="6129" spans="1:6" ht="12.75">
      <c r="A6129" s="8">
        <v>43902.340671296297</v>
      </c>
      <c r="B6129" s="8" t="str">
        <f>HYPERLINK("https://twitter.com/news_outsiders","@news_outsiders")</f>
        <v>@news_outsiders</v>
      </c>
      <c r="C6129" s="8" t="s">
        <v>2926</v>
      </c>
      <c r="D6129" s="8">
        <v>0</v>
      </c>
      <c r="E6129" s="8">
        <v>0</v>
      </c>
      <c r="F6129" s="8">
        <v>120</v>
      </c>
    </row>
    <row r="6130" spans="1:6" ht="12.75">
      <c r="A6130" s="8">
        <v>43902.340451388889</v>
      </c>
      <c r="B6130" s="8" t="str">
        <f>HYPERLINK("https://twitter.com/Andreas_AdyM","@Andreas_AdyM")</f>
        <v>@Andreas_AdyM</v>
      </c>
      <c r="C6130" s="8" t="s">
        <v>165</v>
      </c>
      <c r="D6130" s="8">
        <v>20</v>
      </c>
      <c r="E6130" s="8">
        <v>0</v>
      </c>
      <c r="F6130" s="8">
        <v>1535</v>
      </c>
    </row>
    <row r="6131" spans="1:6" ht="12.75">
      <c r="A6131" s="8">
        <v>43902.339872685188</v>
      </c>
      <c r="B6131" s="8" t="str">
        <f>HYPERLINK("https://twitter.com/ISIS_Balik_NO","@ISIS_Balik_NO")</f>
        <v>@ISIS_Balik_NO</v>
      </c>
      <c r="C6131" s="8" t="s">
        <v>2927</v>
      </c>
      <c r="D6131" s="8">
        <v>0</v>
      </c>
      <c r="E6131" s="8">
        <v>0</v>
      </c>
      <c r="F6131" s="8">
        <v>6232</v>
      </c>
    </row>
    <row r="6132" spans="1:6" ht="12.75">
      <c r="A6132" s="8">
        <v>43902.339722222227</v>
      </c>
      <c r="B6132" s="8" t="str">
        <f>HYPERLINK("https://twitter.com/Fatmazhang","@Fatmazhang")</f>
        <v>@Fatmazhang</v>
      </c>
      <c r="C6132" s="8" t="s">
        <v>2928</v>
      </c>
      <c r="D6132" s="8">
        <v>0</v>
      </c>
      <c r="E6132" s="8">
        <v>0</v>
      </c>
      <c r="F6132" s="8">
        <v>140</v>
      </c>
    </row>
    <row r="6133" spans="1:6" ht="12.75">
      <c r="A6133" s="8">
        <v>43902.339548611111</v>
      </c>
      <c r="B6133" s="8" t="str">
        <f>HYPERLINK("https://twitter.com/FirmanMannaga","@FirmanMannaga")</f>
        <v>@FirmanMannaga</v>
      </c>
      <c r="C6133" s="8" t="s">
        <v>2929</v>
      </c>
      <c r="D6133" s="8">
        <v>0</v>
      </c>
      <c r="E6133" s="8">
        <v>0</v>
      </c>
      <c r="F6133" s="8">
        <v>28</v>
      </c>
    </row>
    <row r="6134" spans="1:6" ht="12.75">
      <c r="A6134" s="8">
        <v>43902.339537037042</v>
      </c>
      <c r="B6134" s="8" t="str">
        <f>HYPERLINK("https://twitter.com/visitortwt1","@visitortwt1")</f>
        <v>@visitortwt1</v>
      </c>
      <c r="C6134" s="8" t="s">
        <v>2767</v>
      </c>
      <c r="D6134" s="8">
        <v>12</v>
      </c>
      <c r="E6134" s="8">
        <v>0</v>
      </c>
      <c r="F6134" s="8">
        <v>420</v>
      </c>
    </row>
    <row r="6135" spans="1:6" ht="12.75">
      <c r="A6135" s="8">
        <v>43902.339178240742</v>
      </c>
      <c r="B6135" s="8" t="str">
        <f>HYPERLINK("https://twitter.com/bjmnewscom","@bjmnewscom")</f>
        <v>@bjmnewscom</v>
      </c>
      <c r="C6135" s="8" t="s">
        <v>2930</v>
      </c>
      <c r="D6135" s="8">
        <v>0</v>
      </c>
      <c r="E6135" s="8">
        <v>0</v>
      </c>
      <c r="F6135" s="8">
        <v>842</v>
      </c>
    </row>
    <row r="6136" spans="1:6" ht="12.75">
      <c r="A6136" s="8">
        <v>43902.33902777778</v>
      </c>
      <c r="B6136" s="8" t="str">
        <f>HYPERLINK("https://twitter.com/idatun_nazila","@idatun_nazila")</f>
        <v>@idatun_nazila</v>
      </c>
      <c r="C6136" s="8" t="s">
        <v>2931</v>
      </c>
      <c r="D6136" s="8">
        <v>0</v>
      </c>
      <c r="E6136" s="8">
        <v>0</v>
      </c>
      <c r="F6136" s="8">
        <v>223</v>
      </c>
    </row>
    <row r="6137" spans="1:6" ht="12.75">
      <c r="A6137" s="8">
        <v>43902.33898148148</v>
      </c>
      <c r="B6137" s="8" t="str">
        <f>HYPERLINK("https://twitter.com/visitortwt1","@visitortwt1")</f>
        <v>@visitortwt1</v>
      </c>
      <c r="C6137" s="8" t="s">
        <v>1643</v>
      </c>
      <c r="D6137" s="8">
        <v>41</v>
      </c>
      <c r="E6137" s="8">
        <v>0</v>
      </c>
      <c r="F6137" s="8">
        <v>420</v>
      </c>
    </row>
    <row r="6138" spans="1:6" ht="12.75">
      <c r="A6138" s="8">
        <v>43902.33898148148</v>
      </c>
      <c r="B6138" s="8" t="str">
        <f>HYPERLINK("https://twitter.com/Beritasatu","@Beritasatu")</f>
        <v>@Beritasatu</v>
      </c>
      <c r="C6138" s="8" t="s">
        <v>2932</v>
      </c>
      <c r="D6138" s="8">
        <v>0</v>
      </c>
      <c r="E6138" s="8">
        <v>0</v>
      </c>
      <c r="F6138" s="8">
        <v>619005</v>
      </c>
    </row>
    <row r="6139" spans="1:6" ht="12.75">
      <c r="A6139" s="8">
        <v>43902.337800925925</v>
      </c>
      <c r="B6139" s="8" t="str">
        <f>HYPERLINK("https://twitter.com/Ari3Pras","@Ari3Pras")</f>
        <v>@Ari3Pras</v>
      </c>
      <c r="C6139" s="8" t="s">
        <v>165</v>
      </c>
      <c r="D6139" s="8">
        <v>20</v>
      </c>
      <c r="E6139" s="8">
        <v>0</v>
      </c>
      <c r="F6139" s="8">
        <v>7620</v>
      </c>
    </row>
    <row r="6140" spans="1:6" ht="12.75">
      <c r="A6140" s="8">
        <v>43902.33662037037</v>
      </c>
      <c r="B6140" s="8" t="str">
        <f>HYPERLINK("https://twitter.com/_kusno","@_kusno")</f>
        <v>@_kusno</v>
      </c>
      <c r="C6140" s="8" t="s">
        <v>165</v>
      </c>
      <c r="D6140" s="8">
        <v>20</v>
      </c>
      <c r="E6140" s="8">
        <v>0</v>
      </c>
      <c r="F6140" s="8">
        <v>2338</v>
      </c>
    </row>
    <row r="6141" spans="1:6" ht="12.75">
      <c r="A6141" s="8">
        <v>43902.336504629631</v>
      </c>
      <c r="B6141" s="8" t="str">
        <f>HYPERLINK("https://twitter.com/_restuputri_","@_restuputri_")</f>
        <v>@_restuputri_</v>
      </c>
      <c r="C6141" s="8" t="s">
        <v>2933</v>
      </c>
      <c r="D6141" s="8">
        <v>0</v>
      </c>
      <c r="E6141" s="8">
        <v>0</v>
      </c>
      <c r="F6141" s="8">
        <v>381</v>
      </c>
    </row>
    <row r="6142" spans="1:6" ht="12.75">
      <c r="A6142" s="8">
        <v>43902.336238425924</v>
      </c>
      <c r="B6142" s="8" t="str">
        <f>HYPERLINK("https://twitter.com/kanim_soeta","@kanim_soeta")</f>
        <v>@kanim_soeta</v>
      </c>
      <c r="C6142" s="8" t="s">
        <v>2934</v>
      </c>
      <c r="D6142" s="8">
        <v>0</v>
      </c>
      <c r="E6142" s="8">
        <v>0</v>
      </c>
      <c r="F6142" s="8">
        <v>2953</v>
      </c>
    </row>
    <row r="6143" spans="1:6" ht="12.75">
      <c r="A6143" s="8">
        <v>43902.336122685185</v>
      </c>
      <c r="B6143" s="8" t="str">
        <f>HYPERLINK("https://twitter.com/akoesukasate","@akoesukasate")</f>
        <v>@akoesukasate</v>
      </c>
      <c r="C6143" s="8" t="s">
        <v>2935</v>
      </c>
      <c r="D6143" s="8">
        <v>0</v>
      </c>
      <c r="E6143" s="8">
        <v>0</v>
      </c>
      <c r="F6143" s="8">
        <v>239</v>
      </c>
    </row>
    <row r="6144" spans="1:6" ht="12.75">
      <c r="A6144" s="8">
        <v>43902.335856481484</v>
      </c>
      <c r="B6144" s="8" t="str">
        <f>HYPERLINK("https://twitter.com/Nugroho814","@Nugroho814")</f>
        <v>@Nugroho814</v>
      </c>
      <c r="C6144" s="8" t="s">
        <v>165</v>
      </c>
      <c r="D6144" s="8">
        <v>20</v>
      </c>
      <c r="E6144" s="8">
        <v>0</v>
      </c>
      <c r="F6144" s="8">
        <v>521</v>
      </c>
    </row>
    <row r="6145" spans="1:6" ht="12.75">
      <c r="A6145" s="8">
        <v>43902.33530092593</v>
      </c>
      <c r="B6145" s="8" t="str">
        <f>HYPERLINK("https://twitter.com/ISIS_Balik_NO","@ISIS_Balik_NO")</f>
        <v>@ISIS_Balik_NO</v>
      </c>
      <c r="C6145" s="8" t="s">
        <v>2936</v>
      </c>
      <c r="D6145" s="8">
        <v>0</v>
      </c>
      <c r="E6145" s="8">
        <v>0</v>
      </c>
      <c r="F6145" s="8">
        <v>6232</v>
      </c>
    </row>
    <row r="6146" spans="1:6" ht="12.75">
      <c r="A6146" s="8">
        <v>43902.33457175926</v>
      </c>
      <c r="B6146" s="8" t="str">
        <f>HYPERLINK("https://twitter.com/Isis_DGAF","@Isis_DGAF")</f>
        <v>@Isis_DGAF</v>
      </c>
      <c r="C6146" s="8" t="s">
        <v>2937</v>
      </c>
      <c r="D6146" s="8">
        <v>2445</v>
      </c>
      <c r="E6146" s="8">
        <v>0</v>
      </c>
      <c r="F6146" s="8">
        <v>932</v>
      </c>
    </row>
    <row r="6147" spans="1:6" ht="12.75">
      <c r="A6147" s="8">
        <v>43902.334432870368</v>
      </c>
      <c r="B6147" s="8" t="str">
        <f>HYPERLINK("https://twitter.com/ISIS_Balik_NO","@ISIS_Balik_NO")</f>
        <v>@ISIS_Balik_NO</v>
      </c>
      <c r="C6147" s="8" t="s">
        <v>2938</v>
      </c>
      <c r="D6147" s="8">
        <v>0</v>
      </c>
      <c r="E6147" s="8">
        <v>1</v>
      </c>
      <c r="F6147" s="8">
        <v>6232</v>
      </c>
    </row>
    <row r="6148" spans="1:6" ht="12.75">
      <c r="A6148" s="8">
        <v>43902.333645833336</v>
      </c>
      <c r="B6148" s="8" t="str">
        <f>HYPERLINK("https://twitter.com/Samridd08113789","@Samridd08113789")</f>
        <v>@Samridd08113789</v>
      </c>
      <c r="C6148" s="8" t="s">
        <v>2939</v>
      </c>
      <c r="D6148" s="8">
        <v>0</v>
      </c>
      <c r="E6148" s="8">
        <v>0</v>
      </c>
      <c r="F6148" s="8">
        <v>425</v>
      </c>
    </row>
    <row r="6149" spans="1:6" ht="12.75">
      <c r="A6149" s="8">
        <v>43902.333437499998</v>
      </c>
      <c r="B6149" s="8" t="str">
        <f>HYPERLINK("https://twitter.com/yogapraditow","@yogapraditow")</f>
        <v>@yogapraditow</v>
      </c>
      <c r="C6149" s="8" t="s">
        <v>2940</v>
      </c>
      <c r="D6149" s="8">
        <v>2660</v>
      </c>
      <c r="E6149" s="8">
        <v>0</v>
      </c>
      <c r="F6149" s="8">
        <v>458</v>
      </c>
    </row>
    <row r="6150" spans="1:6" ht="12.75">
      <c r="A6150" s="8">
        <v>43902.332638888889</v>
      </c>
      <c r="B6150" s="8" t="str">
        <f>HYPERLINK("https://twitter.com/hirasnapitupulu","@hirasnapitupulu")</f>
        <v>@hirasnapitupulu</v>
      </c>
      <c r="C6150" s="8" t="s">
        <v>1643</v>
      </c>
      <c r="D6150" s="8">
        <v>41</v>
      </c>
      <c r="E6150" s="8">
        <v>0</v>
      </c>
      <c r="F6150" s="8">
        <v>82</v>
      </c>
    </row>
    <row r="6151" spans="1:6" ht="12.75">
      <c r="A6151" s="8">
        <v>43902.33222222222</v>
      </c>
      <c r="B6151" s="8" t="str">
        <f>HYPERLINK("https://twitter.com/Dedy_setiawan__","@Dedy_setiawan__")</f>
        <v>@Dedy_setiawan__</v>
      </c>
      <c r="C6151" s="8" t="s">
        <v>2941</v>
      </c>
      <c r="D6151" s="8">
        <v>1093</v>
      </c>
      <c r="E6151" s="8">
        <v>0</v>
      </c>
      <c r="F6151" s="8">
        <v>35</v>
      </c>
    </row>
    <row r="6152" spans="1:6" ht="12.75">
      <c r="A6152" s="8">
        <v>43902.330428240741</v>
      </c>
      <c r="B6152" s="8" t="str">
        <f>HYPERLINK("https://twitter.com/Bubeng_siansu","@Bubeng_siansu")</f>
        <v>@Bubeng_siansu</v>
      </c>
      <c r="C6152" s="8" t="s">
        <v>165</v>
      </c>
      <c r="D6152" s="8">
        <v>20</v>
      </c>
      <c r="E6152" s="8">
        <v>0</v>
      </c>
      <c r="F6152" s="8">
        <v>2768</v>
      </c>
    </row>
    <row r="6153" spans="1:6" ht="12.75">
      <c r="A6153" s="8">
        <v>43902.330300925925</v>
      </c>
      <c r="B6153" s="8" t="str">
        <f>HYPERLINK("https://twitter.com/SULIS_TIO77","@SULIS_TIO77")</f>
        <v>@SULIS_TIO77</v>
      </c>
      <c r="C6153" s="8" t="s">
        <v>2942</v>
      </c>
      <c r="D6153" s="8">
        <v>29</v>
      </c>
      <c r="E6153" s="8">
        <v>0</v>
      </c>
      <c r="F6153" s="8">
        <v>1604</v>
      </c>
    </row>
    <row r="6154" spans="1:6" ht="12.75">
      <c r="A6154" s="8">
        <v>43902.329907407402</v>
      </c>
      <c r="B6154" s="8" t="str">
        <f>HYPERLINK("https://twitter.com/DydikD","@DydikD")</f>
        <v>@DydikD</v>
      </c>
      <c r="C6154" s="8" t="s">
        <v>2943</v>
      </c>
      <c r="D6154" s="8">
        <v>0</v>
      </c>
      <c r="E6154" s="8">
        <v>2</v>
      </c>
      <c r="F6154" s="8">
        <v>2240</v>
      </c>
    </row>
    <row r="6155" spans="1:6" ht="12.75">
      <c r="A6155" s="8">
        <v>43902.329664351855</v>
      </c>
      <c r="B6155" s="8" t="str">
        <f>HYPERLINK("https://twitter.com/04_prieslo","@04_prieslo")</f>
        <v>@04_prieslo</v>
      </c>
      <c r="C6155" s="8" t="s">
        <v>165</v>
      </c>
      <c r="D6155" s="8">
        <v>20</v>
      </c>
      <c r="E6155" s="8">
        <v>0</v>
      </c>
      <c r="F6155" s="8">
        <v>1855</v>
      </c>
    </row>
    <row r="6156" spans="1:6" ht="12.75">
      <c r="A6156" s="8">
        <v>43902.328958333332</v>
      </c>
      <c r="B6156" s="8" t="str">
        <f>HYPERLINK("https://twitter.com/DzakyKz","@DzakyKz")</f>
        <v>@DzakyKz</v>
      </c>
      <c r="C6156" s="8" t="s">
        <v>2944</v>
      </c>
      <c r="D6156" s="8">
        <v>0</v>
      </c>
      <c r="E6156" s="8">
        <v>0</v>
      </c>
      <c r="F6156" s="8">
        <v>161</v>
      </c>
    </row>
    <row r="6157" spans="1:6" ht="12.75">
      <c r="A6157" s="8">
        <v>43902.32885416667</v>
      </c>
      <c r="B6157" s="8" t="str">
        <f>HYPERLINK("https://twitter.com/enenhilman","@enenhilman")</f>
        <v>@enenhilman</v>
      </c>
      <c r="C6157" s="8" t="s">
        <v>2945</v>
      </c>
      <c r="D6157" s="8">
        <v>2</v>
      </c>
      <c r="E6157" s="8">
        <v>0</v>
      </c>
      <c r="F6157" s="8">
        <v>235</v>
      </c>
    </row>
    <row r="6158" spans="1:6" ht="12.75">
      <c r="A6158" s="8">
        <v>43902.328275462962</v>
      </c>
      <c r="B6158" s="8" t="str">
        <f>HYPERLINK("https://twitter.com/roman_paqr","@roman_paqr")</f>
        <v>@roman_paqr</v>
      </c>
      <c r="C6158" s="8" t="s">
        <v>2946</v>
      </c>
      <c r="D6158" s="8">
        <v>0</v>
      </c>
      <c r="E6158" s="8">
        <v>1</v>
      </c>
      <c r="F6158" s="8">
        <v>6102</v>
      </c>
    </row>
    <row r="6159" spans="1:6" ht="12.75">
      <c r="A6159" s="8">
        <v>43902.328125</v>
      </c>
      <c r="B6159" s="8" t="str">
        <f>HYPERLINK("https://twitter.com/Nugroho814","@Nugroho814")</f>
        <v>@Nugroho814</v>
      </c>
      <c r="C6159" s="8" t="s">
        <v>104</v>
      </c>
      <c r="D6159" s="8">
        <v>128</v>
      </c>
      <c r="E6159" s="8">
        <v>0</v>
      </c>
      <c r="F6159" s="8">
        <v>521</v>
      </c>
    </row>
    <row r="6160" spans="1:6" ht="12.75">
      <c r="A6160" s="8">
        <v>43902.328067129631</v>
      </c>
      <c r="B6160" s="8" t="str">
        <f>HYPERLINK("https://twitter.com/DimasYosef","@DimasYosef")</f>
        <v>@DimasYosef</v>
      </c>
      <c r="C6160" s="8" t="s">
        <v>165</v>
      </c>
      <c r="D6160" s="8">
        <v>20</v>
      </c>
      <c r="E6160" s="8">
        <v>0</v>
      </c>
      <c r="F6160" s="8">
        <v>272</v>
      </c>
    </row>
    <row r="6161" spans="1:6" ht="12.75">
      <c r="A6161" s="8">
        <v>43902.327592592592</v>
      </c>
      <c r="B6161" s="8" t="str">
        <f>HYPERLINK("https://twitter.com/leeannindonesia","@leeannindonesia")</f>
        <v>@leeannindonesia</v>
      </c>
      <c r="C6161" s="8" t="s">
        <v>2947</v>
      </c>
      <c r="D6161" s="8">
        <v>0</v>
      </c>
      <c r="E6161" s="8">
        <v>0</v>
      </c>
      <c r="F6161" s="8">
        <v>13</v>
      </c>
    </row>
    <row r="6162" spans="1:6" ht="12.75">
      <c r="A6162" s="8">
        <v>43902.327511574069</v>
      </c>
      <c r="B6162" s="8" t="str">
        <f>HYPERLINK("https://twitter.com/NvlRsd","@NvlRsd")</f>
        <v>@NvlRsd</v>
      </c>
      <c r="C6162" s="8" t="s">
        <v>2948</v>
      </c>
      <c r="D6162" s="8">
        <v>0</v>
      </c>
      <c r="E6162" s="8">
        <v>0</v>
      </c>
      <c r="F6162" s="8">
        <v>292</v>
      </c>
    </row>
    <row r="6163" spans="1:6" ht="12.75">
      <c r="A6163" s="8">
        <v>43902.327337962968</v>
      </c>
      <c r="B6163" s="8" t="str">
        <f>HYPERLINK("https://twitter.com/Lelaki35004072","@Lelaki35004072")</f>
        <v>@Lelaki35004072</v>
      </c>
      <c r="C6163" s="8" t="s">
        <v>165</v>
      </c>
      <c r="D6163" s="8">
        <v>20</v>
      </c>
      <c r="E6163" s="8">
        <v>0</v>
      </c>
      <c r="F6163" s="8">
        <v>808</v>
      </c>
    </row>
    <row r="6164" spans="1:6" ht="12.75">
      <c r="A6164" s="8">
        <v>43902.327187499999</v>
      </c>
      <c r="B6164" s="8" t="str">
        <f>HYPERLINK("https://twitter.com/wisangpeli_084","@wisangpeli_084")</f>
        <v>@wisangpeli_084</v>
      </c>
      <c r="C6164" s="8" t="s">
        <v>165</v>
      </c>
      <c r="D6164" s="8">
        <v>20</v>
      </c>
      <c r="E6164" s="8">
        <v>0</v>
      </c>
      <c r="F6164" s="8">
        <v>2</v>
      </c>
    </row>
    <row r="6165" spans="1:6" ht="12.75">
      <c r="A6165" s="8">
        <v>43902.326655092591</v>
      </c>
      <c r="B6165" s="8" t="str">
        <f>HYPERLINK("https://twitter.com/isis_scheid","@isis_scheid")</f>
        <v>@isis_scheid</v>
      </c>
      <c r="C6165" s="8" t="s">
        <v>2949</v>
      </c>
      <c r="D6165" s="8">
        <v>0</v>
      </c>
      <c r="E6165" s="8">
        <v>0</v>
      </c>
      <c r="F6165" s="8">
        <v>452</v>
      </c>
    </row>
    <row r="6166" spans="1:6" ht="12.75">
      <c r="A6166" s="8">
        <v>43902.325162037036</v>
      </c>
      <c r="B6166" s="8" t="str">
        <f>HYPERLINK("https://twitter.com/AdrieMuhammad9","@AdrieMuhammad9")</f>
        <v>@AdrieMuhammad9</v>
      </c>
      <c r="C6166" s="8" t="s">
        <v>2950</v>
      </c>
      <c r="D6166" s="8">
        <v>0</v>
      </c>
      <c r="E6166" s="8">
        <v>0</v>
      </c>
      <c r="F6166" s="8">
        <v>808</v>
      </c>
    </row>
    <row r="6167" spans="1:6" ht="12.75">
      <c r="A6167" s="8">
        <v>43902.322870370372</v>
      </c>
      <c r="B6167" s="8" t="str">
        <f t="shared" ref="B6167:B6168" si="117">HYPERLINK("https://twitter.com/NOOKE8iZ8js5z22","@NOOKE8iZ8js5z22")</f>
        <v>@NOOKE8iZ8js5z22</v>
      </c>
      <c r="C6167" s="8" t="s">
        <v>2951</v>
      </c>
      <c r="D6167" s="8">
        <v>1166</v>
      </c>
      <c r="E6167" s="8">
        <v>0</v>
      </c>
      <c r="F6167" s="8">
        <v>0</v>
      </c>
    </row>
    <row r="6168" spans="1:6" ht="12.75">
      <c r="A6168" s="8">
        <v>43902.322384259256</v>
      </c>
      <c r="B6168" s="8" t="str">
        <f t="shared" si="117"/>
        <v>@NOOKE8iZ8js5z22</v>
      </c>
      <c r="C6168" s="8" t="s">
        <v>2952</v>
      </c>
      <c r="D6168" s="8">
        <v>1114</v>
      </c>
      <c r="E6168" s="8">
        <v>0</v>
      </c>
      <c r="F6168" s="8">
        <v>0</v>
      </c>
    </row>
    <row r="6169" spans="1:6" ht="12.75">
      <c r="A6169" s="8">
        <v>43902.32194444444</v>
      </c>
      <c r="B6169" s="8" t="str">
        <f>HYPERLINK("https://twitter.com/Deni42891963","@Deni42891963")</f>
        <v>@Deni42891963</v>
      </c>
      <c r="C6169" s="8" t="s">
        <v>2953</v>
      </c>
      <c r="D6169" s="8">
        <v>0</v>
      </c>
      <c r="E6169" s="8">
        <v>0</v>
      </c>
      <c r="F6169" s="8">
        <v>87</v>
      </c>
    </row>
    <row r="6170" spans="1:6" ht="12.75">
      <c r="A6170" s="8">
        <v>43902.320717592593</v>
      </c>
      <c r="B6170" s="8" t="str">
        <f>HYPERLINK("https://twitter.com/akunamanyaana","@akunamanyaana")</f>
        <v>@akunamanyaana</v>
      </c>
      <c r="C6170" s="8" t="s">
        <v>2954</v>
      </c>
      <c r="D6170" s="8">
        <v>0</v>
      </c>
      <c r="E6170" s="8">
        <v>0</v>
      </c>
      <c r="F6170" s="8">
        <v>123</v>
      </c>
    </row>
    <row r="6171" spans="1:6" ht="12.75">
      <c r="A6171" s="8">
        <v>43902.320451388892</v>
      </c>
      <c r="B6171" s="8" t="str">
        <f>HYPERLINK("https://twitter.com/ggegge9","@ggegge9")</f>
        <v>@ggegge9</v>
      </c>
      <c r="C6171" s="8" t="s">
        <v>2955</v>
      </c>
      <c r="D6171" s="8">
        <v>0</v>
      </c>
      <c r="E6171" s="8">
        <v>0</v>
      </c>
      <c r="F6171" s="8">
        <v>50</v>
      </c>
    </row>
    <row r="6172" spans="1:6" ht="12.75">
      <c r="A6172" s="8">
        <v>43902.319699074069</v>
      </c>
      <c r="B6172" s="8" t="str">
        <f>HYPERLINK("https://twitter.com/Deni42891963","@Deni42891963")</f>
        <v>@Deni42891963</v>
      </c>
      <c r="C6172" s="8" t="s">
        <v>2956</v>
      </c>
      <c r="D6172" s="8">
        <v>0</v>
      </c>
      <c r="E6172" s="8">
        <v>1</v>
      </c>
      <c r="F6172" s="8">
        <v>87</v>
      </c>
    </row>
    <row r="6173" spans="1:6" ht="12.75">
      <c r="A6173" s="8">
        <v>43902.318807870368</v>
      </c>
      <c r="B6173" s="8" t="str">
        <f>HYPERLINK("https://twitter.com/sipa_brothers","@sipa_brothers")</f>
        <v>@sipa_brothers</v>
      </c>
      <c r="C6173" s="8" t="s">
        <v>2957</v>
      </c>
      <c r="D6173" s="8">
        <v>0</v>
      </c>
      <c r="E6173" s="8">
        <v>0</v>
      </c>
      <c r="F6173" s="8">
        <v>493</v>
      </c>
    </row>
    <row r="6174" spans="1:6" ht="12.75">
      <c r="A6174" s="8">
        <v>43902.317083333328</v>
      </c>
      <c r="B6174" s="8" t="str">
        <f>HYPERLINK("https://twitter.com/DamanikMukti","@DamanikMukti")</f>
        <v>@DamanikMukti</v>
      </c>
      <c r="C6174" s="8" t="s">
        <v>2292</v>
      </c>
      <c r="D6174" s="8">
        <v>51</v>
      </c>
      <c r="E6174" s="8">
        <v>0</v>
      </c>
      <c r="F6174" s="8">
        <v>808</v>
      </c>
    </row>
    <row r="6175" spans="1:6" ht="12.75">
      <c r="A6175" s="8">
        <v>43902.317002314812</v>
      </c>
      <c r="B6175" s="8" t="str">
        <f>HYPERLINK("https://twitter.com/kanim_soeta","@kanim_soeta")</f>
        <v>@kanim_soeta</v>
      </c>
      <c r="C6175" s="8" t="s">
        <v>2629</v>
      </c>
      <c r="D6175" s="8">
        <v>8</v>
      </c>
      <c r="E6175" s="8">
        <v>0</v>
      </c>
      <c r="F6175" s="8">
        <v>2953</v>
      </c>
    </row>
    <row r="6176" spans="1:6" ht="12.75">
      <c r="A6176" s="8">
        <v>43902.316782407404</v>
      </c>
      <c r="B6176" s="8" t="str">
        <f>HYPERLINK("https://twitter.com/ImigrasiDumai","@ImigrasiDumai")</f>
        <v>@ImigrasiDumai</v>
      </c>
      <c r="C6176" s="8" t="s">
        <v>2958</v>
      </c>
      <c r="D6176" s="8">
        <v>0</v>
      </c>
      <c r="E6176" s="8">
        <v>1</v>
      </c>
      <c r="F6176" s="8">
        <v>34</v>
      </c>
    </row>
    <row r="6177" spans="1:6" ht="12.75">
      <c r="A6177" s="8">
        <v>43902.316087962958</v>
      </c>
      <c r="B6177" s="8" t="str">
        <f>HYPERLINK("https://twitter.com/Boeluxs1","@Boeluxs1")</f>
        <v>@Boeluxs1</v>
      </c>
      <c r="C6177" s="8" t="s">
        <v>165</v>
      </c>
      <c r="D6177" s="8">
        <v>20</v>
      </c>
      <c r="E6177" s="8">
        <v>0</v>
      </c>
      <c r="F6177" s="8">
        <v>185</v>
      </c>
    </row>
    <row r="6178" spans="1:6" ht="12.75">
      <c r="A6178" s="8">
        <v>43902.315416666665</v>
      </c>
      <c r="B6178" s="8" t="str">
        <f>HYPERLINK("https://twitter.com/jangkarlaut54","@jangkarlaut54")</f>
        <v>@jangkarlaut54</v>
      </c>
      <c r="C6178" s="8" t="s">
        <v>2959</v>
      </c>
      <c r="D6178" s="8">
        <v>0</v>
      </c>
      <c r="E6178" s="8">
        <v>0</v>
      </c>
      <c r="F6178" s="8">
        <v>1665</v>
      </c>
    </row>
    <row r="6179" spans="1:6" ht="12.75">
      <c r="A6179" s="8">
        <v>43902.315393518518</v>
      </c>
      <c r="B6179" s="8" t="str">
        <f>HYPERLINK("https://twitter.com/santuuyykupi","@santuuyykupi")</f>
        <v>@santuuyykupi</v>
      </c>
      <c r="C6179" s="8" t="s">
        <v>165</v>
      </c>
      <c r="D6179" s="8">
        <v>20</v>
      </c>
      <c r="E6179" s="8">
        <v>0</v>
      </c>
      <c r="F6179" s="8">
        <v>1646</v>
      </c>
    </row>
    <row r="6180" spans="1:6" ht="12.75">
      <c r="A6180" s="8">
        <v>43902.315300925926</v>
      </c>
      <c r="B6180" s="8" t="str">
        <f>HYPERLINK("https://twitter.com/rezky_ris","@rezky_ris")</f>
        <v>@rezky_ris</v>
      </c>
      <c r="C6180" s="8" t="s">
        <v>2960</v>
      </c>
      <c r="D6180" s="8">
        <v>0</v>
      </c>
      <c r="E6180" s="8">
        <v>0</v>
      </c>
      <c r="F6180" s="8">
        <v>1049</v>
      </c>
    </row>
    <row r="6181" spans="1:6" ht="12.75">
      <c r="A6181" s="8">
        <v>43902.31521990741</v>
      </c>
      <c r="B6181" s="8" t="str">
        <f>HYPERLINK("https://twitter.com/camumpuni","@camumpuni")</f>
        <v>@camumpuni</v>
      </c>
      <c r="C6181" s="8" t="s">
        <v>1801</v>
      </c>
      <c r="D6181" s="8">
        <v>347</v>
      </c>
      <c r="E6181" s="8">
        <v>0</v>
      </c>
      <c r="F6181" s="8">
        <v>102</v>
      </c>
    </row>
    <row r="6182" spans="1:6" ht="12.75">
      <c r="A6182" s="8">
        <v>43902.314571759256</v>
      </c>
      <c r="B6182" s="8" t="str">
        <f>HYPERLINK("https://twitter.com/NdoroNyonya","@NdoroNyonya")</f>
        <v>@NdoroNyonya</v>
      </c>
      <c r="C6182" s="8" t="s">
        <v>2292</v>
      </c>
      <c r="D6182" s="8">
        <v>51</v>
      </c>
      <c r="E6182" s="8">
        <v>0</v>
      </c>
      <c r="F6182" s="8">
        <v>71</v>
      </c>
    </row>
    <row r="6183" spans="1:6" ht="12.75">
      <c r="A6183" s="8">
        <v>43902.314016203702</v>
      </c>
      <c r="B6183" s="8" t="str">
        <f>HYPERLINK("https://twitter.com/FaisalMahrus","@FaisalMahrus")</f>
        <v>@FaisalMahrus</v>
      </c>
      <c r="C6183" s="8" t="s">
        <v>318</v>
      </c>
      <c r="D6183" s="8">
        <v>1437</v>
      </c>
      <c r="E6183" s="8">
        <v>0</v>
      </c>
      <c r="F6183" s="8">
        <v>34</v>
      </c>
    </row>
    <row r="6184" spans="1:6" ht="12.75">
      <c r="A6184" s="8">
        <v>43902.313078703708</v>
      </c>
      <c r="B6184" s="8" t="str">
        <f>HYPERLINK("https://twitter.com/GalihDwiKurnia4","@GalihDwiKurnia4")</f>
        <v>@GalihDwiKurnia4</v>
      </c>
      <c r="C6184" s="8" t="s">
        <v>165</v>
      </c>
      <c r="D6184" s="8">
        <v>20</v>
      </c>
      <c r="E6184" s="8">
        <v>0</v>
      </c>
      <c r="F6184" s="8">
        <v>95</v>
      </c>
    </row>
    <row r="6185" spans="1:6" ht="12.75">
      <c r="A6185" s="8">
        <v>43902.313067129631</v>
      </c>
      <c r="B6185" s="8" t="str">
        <f>HYPERLINK("https://twitter.com/damario04","@damario04")</f>
        <v>@damario04</v>
      </c>
      <c r="C6185" s="8" t="s">
        <v>147</v>
      </c>
      <c r="D6185" s="8">
        <v>0</v>
      </c>
      <c r="E6185" s="8">
        <v>0</v>
      </c>
      <c r="F6185" s="8">
        <v>402</v>
      </c>
    </row>
    <row r="6186" spans="1:6" ht="12.75">
      <c r="A6186" s="8">
        <v>43902.312824074077</v>
      </c>
      <c r="B6186" s="8" t="str">
        <f>HYPERLINK("https://twitter.com/fiskar15","@fiskar15")</f>
        <v>@fiskar15</v>
      </c>
      <c r="C6186" s="8" t="s">
        <v>2882</v>
      </c>
      <c r="D6186" s="8">
        <v>8</v>
      </c>
      <c r="E6186" s="8">
        <v>0</v>
      </c>
      <c r="F6186" s="8">
        <v>0</v>
      </c>
    </row>
    <row r="6187" spans="1:6" ht="12.75">
      <c r="A6187" s="8">
        <v>43902.312569444446</v>
      </c>
      <c r="B6187" s="8" t="str">
        <f>HYPERLINK("https://twitter.com/thesadblood","@thesadblood")</f>
        <v>@thesadblood</v>
      </c>
      <c r="C6187" s="8" t="s">
        <v>2790</v>
      </c>
      <c r="D6187" s="8">
        <v>253</v>
      </c>
      <c r="E6187" s="8">
        <v>0</v>
      </c>
      <c r="F6187" s="8">
        <v>1162</v>
      </c>
    </row>
    <row r="6188" spans="1:6" ht="12.75">
      <c r="A6188" s="8">
        <v>43902.312534722223</v>
      </c>
      <c r="B6188" s="8" t="str">
        <f>HYPERLINK("https://twitter.com/jangkarlaut54","@jangkarlaut54")</f>
        <v>@jangkarlaut54</v>
      </c>
      <c r="C6188" s="8" t="s">
        <v>2313</v>
      </c>
      <c r="D6188" s="8">
        <v>3</v>
      </c>
      <c r="E6188" s="8">
        <v>0</v>
      </c>
      <c r="F6188" s="8">
        <v>1665</v>
      </c>
    </row>
    <row r="6189" spans="1:6" ht="12.75">
      <c r="A6189" s="8">
        <v>43902.312523148154</v>
      </c>
      <c r="B6189" s="8" t="str">
        <f>HYPERLINK("https://twitter.com/Bengkeltanah1","@Bengkeltanah1")</f>
        <v>@Bengkeltanah1</v>
      </c>
      <c r="C6189" s="8" t="s">
        <v>165</v>
      </c>
      <c r="D6189" s="8">
        <v>20</v>
      </c>
      <c r="E6189" s="8">
        <v>0</v>
      </c>
      <c r="F6189" s="8">
        <v>1744</v>
      </c>
    </row>
    <row r="6190" spans="1:6" ht="12.75">
      <c r="A6190" s="8">
        <v>43902.312256944446</v>
      </c>
      <c r="B6190" s="8" t="str">
        <f>HYPERLINK("https://twitter.com/CallOfDutyRI","@CallOfDutyRI")</f>
        <v>@CallOfDutyRI</v>
      </c>
      <c r="C6190" s="8" t="s">
        <v>2961</v>
      </c>
      <c r="D6190" s="8">
        <v>0</v>
      </c>
      <c r="E6190" s="8">
        <v>1</v>
      </c>
      <c r="F6190" s="8">
        <v>402</v>
      </c>
    </row>
    <row r="6191" spans="1:6" ht="12.75">
      <c r="A6191" s="8">
        <v>43902.310844907406</v>
      </c>
      <c r="B6191" s="8" t="str">
        <f>HYPERLINK("https://twitter.com/BangNe0","@BangNe0")</f>
        <v>@BangNe0</v>
      </c>
      <c r="C6191" s="8" t="s">
        <v>2901</v>
      </c>
      <c r="D6191" s="8">
        <v>5</v>
      </c>
      <c r="E6191" s="8">
        <v>0</v>
      </c>
      <c r="F6191" s="8">
        <v>543</v>
      </c>
    </row>
    <row r="6192" spans="1:6" ht="12.75">
      <c r="A6192" s="8">
        <v>43902.310798611114</v>
      </c>
      <c r="B6192" s="8" t="str">
        <f>HYPERLINK("https://twitter.com/A_besarrrrrrrr","@A_besarrrrrrrr")</f>
        <v>@A_besarrrrrrrr</v>
      </c>
      <c r="C6192" s="8" t="s">
        <v>2962</v>
      </c>
      <c r="D6192" s="8">
        <v>5684</v>
      </c>
      <c r="E6192" s="8">
        <v>0</v>
      </c>
      <c r="F6192" s="8">
        <v>37</v>
      </c>
    </row>
    <row r="6193" spans="1:6" ht="12.75">
      <c r="A6193" s="8">
        <v>43902.309837962966</v>
      </c>
      <c r="B6193" s="8" t="str">
        <f>HYPERLINK("https://twitter.com/AgusSul55741094","@AgusSul55741094")</f>
        <v>@AgusSul55741094</v>
      </c>
      <c r="C6193" s="8" t="s">
        <v>165</v>
      </c>
      <c r="D6193" s="8">
        <v>20</v>
      </c>
      <c r="E6193" s="8">
        <v>0</v>
      </c>
      <c r="F6193" s="8">
        <v>2266</v>
      </c>
    </row>
    <row r="6194" spans="1:6" ht="12.75">
      <c r="A6194" s="8">
        <v>43902.309398148151</v>
      </c>
      <c r="B6194" s="8" t="str">
        <f>HYPERLINK("https://twitter.com/ikayuli68472689","@ikayuli68472689")</f>
        <v>@ikayuli68472689</v>
      </c>
      <c r="C6194" s="8" t="s">
        <v>2963</v>
      </c>
      <c r="D6194" s="8">
        <v>0</v>
      </c>
      <c r="E6194" s="8">
        <v>0</v>
      </c>
      <c r="F6194" s="8">
        <v>6</v>
      </c>
    </row>
    <row r="6195" spans="1:6" ht="12.75">
      <c r="A6195" s="8">
        <v>43902.308576388888</v>
      </c>
      <c r="B6195" s="8" t="str">
        <f>HYPERLINK("https://twitter.com/KenSayong","@KenSayong")</f>
        <v>@KenSayong</v>
      </c>
      <c r="C6195" s="8" t="s">
        <v>2964</v>
      </c>
      <c r="D6195" s="8">
        <v>0</v>
      </c>
      <c r="E6195" s="8">
        <v>0</v>
      </c>
      <c r="F6195" s="8">
        <v>55</v>
      </c>
    </row>
    <row r="6196" spans="1:6" ht="12.75">
      <c r="A6196" s="8">
        <v>43902.308564814812</v>
      </c>
      <c r="B6196" s="8" t="str">
        <f>HYPERLINK("https://twitter.com/AlisonCandi","@AlisonCandi")</f>
        <v>@AlisonCandi</v>
      </c>
      <c r="C6196" s="8" t="s">
        <v>2786</v>
      </c>
      <c r="D6196" s="8">
        <v>22</v>
      </c>
      <c r="E6196" s="8">
        <v>0</v>
      </c>
      <c r="F6196" s="8">
        <v>44</v>
      </c>
    </row>
    <row r="6197" spans="1:6" ht="12.75">
      <c r="A6197" s="8">
        <v>43902.308472222227</v>
      </c>
      <c r="B6197" s="8" t="str">
        <f>HYPERLINK("https://twitter.com/LemonPahit","@LemonPahit")</f>
        <v>@LemonPahit</v>
      </c>
      <c r="C6197" s="8" t="s">
        <v>2965</v>
      </c>
      <c r="D6197" s="8">
        <v>0</v>
      </c>
      <c r="E6197" s="8">
        <v>0</v>
      </c>
      <c r="F6197" s="8">
        <v>614</v>
      </c>
    </row>
    <row r="6198" spans="1:6" ht="12.75">
      <c r="A6198" s="8">
        <v>43902.30768518518</v>
      </c>
      <c r="B6198" s="8" t="str">
        <f>HYPERLINK("https://twitter.com/ManaluTheodorus","@ManaluTheodorus")</f>
        <v>@ManaluTheodorus</v>
      </c>
      <c r="C6198" s="8" t="s">
        <v>165</v>
      </c>
      <c r="D6198" s="8">
        <v>20</v>
      </c>
      <c r="E6198" s="8">
        <v>0</v>
      </c>
      <c r="F6198" s="8">
        <v>74</v>
      </c>
    </row>
    <row r="6199" spans="1:6" ht="12.75">
      <c r="A6199" s="8">
        <v>43902.306990740741</v>
      </c>
      <c r="B6199" s="8" t="str">
        <f>HYPERLINK("https://twitter.com/isis_meurer","@isis_meurer")</f>
        <v>@isis_meurer</v>
      </c>
      <c r="C6199" s="8" t="s">
        <v>2966</v>
      </c>
      <c r="D6199" s="8">
        <v>0</v>
      </c>
      <c r="E6199" s="8">
        <v>1</v>
      </c>
      <c r="F6199" s="8">
        <v>713</v>
      </c>
    </row>
    <row r="6200" spans="1:6" ht="12.75">
      <c r="A6200" s="8">
        <v>43902.306944444441</v>
      </c>
      <c r="B6200" s="8" t="str">
        <f>HYPERLINK("https://twitter.com/memen_bagas","@memen_bagas")</f>
        <v>@memen_bagas</v>
      </c>
      <c r="C6200" s="8" t="s">
        <v>318</v>
      </c>
      <c r="D6200" s="8">
        <v>1437</v>
      </c>
      <c r="E6200" s="8">
        <v>0</v>
      </c>
      <c r="F6200" s="8">
        <v>127</v>
      </c>
    </row>
    <row r="6201" spans="1:6" ht="12.75">
      <c r="A6201" s="8">
        <v>43902.306886574079</v>
      </c>
      <c r="B6201" s="8" t="str">
        <f>HYPERLINK("https://twitter.com/mohamadteguhsa1","@mohamadteguhsa1")</f>
        <v>@mohamadteguhsa1</v>
      </c>
      <c r="C6201" s="8" t="s">
        <v>1643</v>
      </c>
      <c r="D6201" s="8">
        <v>41</v>
      </c>
      <c r="E6201" s="8">
        <v>0</v>
      </c>
      <c r="F6201" s="8">
        <v>1137</v>
      </c>
    </row>
    <row r="6202" spans="1:6" ht="12.75">
      <c r="A6202" s="8">
        <v>43902.305798611109</v>
      </c>
      <c r="B6202" s="8" t="str">
        <f>HYPERLINK("https://twitter.com/TangselTerbaru","@TangselTerbaru")</f>
        <v>@TangselTerbaru</v>
      </c>
      <c r="C6202" s="8" t="s">
        <v>2967</v>
      </c>
      <c r="D6202" s="8">
        <v>0</v>
      </c>
      <c r="E6202" s="8">
        <v>0</v>
      </c>
      <c r="F6202" s="8">
        <v>1438</v>
      </c>
    </row>
    <row r="6203" spans="1:6" ht="12.75">
      <c r="A6203" s="8">
        <v>43902.304398148146</v>
      </c>
      <c r="B6203" s="8" t="str">
        <f>HYPERLINK("https://twitter.com/VidelJemali","@VidelJemali")</f>
        <v>@VidelJemali</v>
      </c>
      <c r="C6203" s="8" t="s">
        <v>2968</v>
      </c>
      <c r="D6203" s="8">
        <v>0</v>
      </c>
      <c r="E6203" s="8">
        <v>0</v>
      </c>
      <c r="F6203" s="8">
        <v>131</v>
      </c>
    </row>
    <row r="6204" spans="1:6" ht="12.75">
      <c r="A6204" s="8">
        <v>43902.303726851853</v>
      </c>
      <c r="B6204" s="8" t="str">
        <f>HYPERLINK("https://twitter.com/Kabarsukadotcom","@Kabarsukadotcom")</f>
        <v>@Kabarsukadotcom</v>
      </c>
      <c r="C6204" s="8" t="s">
        <v>221</v>
      </c>
      <c r="D6204" s="8">
        <v>0</v>
      </c>
      <c r="E6204" s="8">
        <v>0</v>
      </c>
      <c r="F6204" s="8">
        <v>17</v>
      </c>
    </row>
    <row r="6205" spans="1:6" ht="12.75">
      <c r="A6205" s="8">
        <v>43902.303437499999</v>
      </c>
      <c r="B6205" s="8" t="str">
        <f>HYPERLINK("https://twitter.com/maximvs09","@maximvs09")</f>
        <v>@maximvs09</v>
      </c>
      <c r="C6205" s="8" t="s">
        <v>2969</v>
      </c>
      <c r="D6205" s="8">
        <v>1</v>
      </c>
      <c r="E6205" s="8">
        <v>0</v>
      </c>
      <c r="F6205" s="8">
        <v>1925</v>
      </c>
    </row>
    <row r="6206" spans="1:6" ht="12.75">
      <c r="A6206" s="8">
        <v>43902.303414351853</v>
      </c>
      <c r="B6206" s="8" t="str">
        <f>HYPERLINK("https://twitter.com/aynarep","@aynarep")</f>
        <v>@aynarep</v>
      </c>
      <c r="C6206" s="8" t="s">
        <v>2970</v>
      </c>
      <c r="D6206" s="8">
        <v>0</v>
      </c>
      <c r="E6206" s="8">
        <v>0</v>
      </c>
      <c r="F6206" s="8">
        <v>255</v>
      </c>
    </row>
    <row r="6207" spans="1:6" ht="12.75">
      <c r="A6207" s="8">
        <v>43902.303310185191</v>
      </c>
      <c r="B6207" s="8" t="str">
        <f>HYPERLINK("https://twitter.com/bayuuya84361785","@bayuuya84361785")</f>
        <v>@bayuuya84361785</v>
      </c>
      <c r="C6207" s="8" t="s">
        <v>2971</v>
      </c>
      <c r="D6207" s="8">
        <v>0</v>
      </c>
      <c r="E6207" s="8">
        <v>0</v>
      </c>
      <c r="F6207" s="8">
        <v>1</v>
      </c>
    </row>
    <row r="6208" spans="1:6" ht="12.75">
      <c r="A6208" s="8">
        <v>43902.302812499998</v>
      </c>
      <c r="B6208" s="8" t="str">
        <f>HYPERLINK("https://twitter.com/resmamujuutara","@resmamujuutara")</f>
        <v>@resmamujuutara</v>
      </c>
      <c r="C6208" s="8" t="s">
        <v>2972</v>
      </c>
      <c r="D6208" s="8">
        <v>0</v>
      </c>
      <c r="E6208" s="8">
        <v>1</v>
      </c>
      <c r="F6208" s="8">
        <v>333</v>
      </c>
    </row>
    <row r="6209" spans="1:6" ht="12.75">
      <c r="A6209" s="8">
        <v>43902.302372685182</v>
      </c>
      <c r="B6209" s="8" t="str">
        <f>HYPERLINK("https://twitter.com/wahhabicc_jabar","@wahhabicc_jabar")</f>
        <v>@wahhabicc_jabar</v>
      </c>
      <c r="C6209" s="8" t="s">
        <v>2973</v>
      </c>
      <c r="D6209" s="8">
        <v>1</v>
      </c>
      <c r="E6209" s="8">
        <v>5</v>
      </c>
      <c r="F6209" s="8">
        <v>30996</v>
      </c>
    </row>
    <row r="6210" spans="1:6" ht="12.75">
      <c r="A6210" s="8">
        <v>43902.302210648151</v>
      </c>
      <c r="B6210" s="8" t="str">
        <f>HYPERLINK("https://twitter.com/BustamyKarmen","@BustamyKarmen")</f>
        <v>@BustamyKarmen</v>
      </c>
      <c r="C6210" s="8" t="s">
        <v>2974</v>
      </c>
      <c r="D6210" s="8">
        <v>0</v>
      </c>
      <c r="E6210" s="8">
        <v>0</v>
      </c>
      <c r="F6210" s="8">
        <v>0</v>
      </c>
    </row>
    <row r="6211" spans="1:6" ht="12.75">
      <c r="A6211" s="8">
        <v>43902.301111111112</v>
      </c>
      <c r="B6211" s="8" t="str">
        <f>HYPERLINK("https://twitter.com/adtyawdw","@adtyawdw")</f>
        <v>@adtyawdw</v>
      </c>
      <c r="C6211" s="8" t="s">
        <v>1800</v>
      </c>
      <c r="D6211" s="8">
        <v>61</v>
      </c>
      <c r="E6211" s="8">
        <v>0</v>
      </c>
      <c r="F6211" s="8">
        <v>193</v>
      </c>
    </row>
    <row r="6212" spans="1:6" ht="12.75">
      <c r="A6212" s="8">
        <v>43902.300520833334</v>
      </c>
      <c r="B6212" s="8" t="str">
        <f>HYPERLINK("https://twitter.com/sulaimanadmiral","@sulaimanadmiral")</f>
        <v>@sulaimanadmiral</v>
      </c>
      <c r="C6212" s="8" t="s">
        <v>165</v>
      </c>
      <c r="D6212" s="8">
        <v>20</v>
      </c>
      <c r="E6212" s="8">
        <v>0</v>
      </c>
      <c r="F6212" s="8">
        <v>575</v>
      </c>
    </row>
    <row r="6213" spans="1:6" ht="12.75">
      <c r="A6213" s="8">
        <v>43902.299398148149</v>
      </c>
      <c r="B6213" s="8" t="str">
        <f>HYPERLINK("https://twitter.com/simplysita","@simplysita")</f>
        <v>@simplysita</v>
      </c>
      <c r="C6213" s="8" t="s">
        <v>2851</v>
      </c>
      <c r="D6213" s="8">
        <v>63</v>
      </c>
      <c r="E6213" s="8">
        <v>0</v>
      </c>
      <c r="F6213" s="8">
        <v>2293</v>
      </c>
    </row>
    <row r="6214" spans="1:6" ht="12.75">
      <c r="A6214" s="8">
        <v>43902.299097222218</v>
      </c>
      <c r="B6214" s="8" t="str">
        <f>HYPERLINK("https://twitter.com/OmBrewoks3","@OmBrewoks3")</f>
        <v>@OmBrewoks3</v>
      </c>
      <c r="C6214" s="8" t="s">
        <v>2975</v>
      </c>
      <c r="D6214" s="8">
        <v>0</v>
      </c>
      <c r="E6214" s="8">
        <v>3</v>
      </c>
      <c r="F6214" s="8">
        <v>3543</v>
      </c>
    </row>
    <row r="6215" spans="1:6" ht="12.75">
      <c r="A6215" s="8">
        <v>43902.298634259263</v>
      </c>
      <c r="B6215" s="8" t="str">
        <f>HYPERLINK("https://twitter.com/Suryo32085533","@Suryo32085533")</f>
        <v>@Suryo32085533</v>
      </c>
      <c r="C6215" s="8" t="s">
        <v>2976</v>
      </c>
      <c r="D6215" s="8">
        <v>2</v>
      </c>
      <c r="E6215" s="8">
        <v>0</v>
      </c>
      <c r="F6215" s="8">
        <v>1090</v>
      </c>
    </row>
    <row r="6216" spans="1:6" ht="12.75">
      <c r="A6216" s="8">
        <v>43902.298541666663</v>
      </c>
      <c r="B6216" s="8" t="str">
        <f>HYPERLINK("https://twitter.com/muic_hell","@muic_hell")</f>
        <v>@muic_hell</v>
      </c>
      <c r="C6216" s="8" t="s">
        <v>1800</v>
      </c>
      <c r="D6216" s="8">
        <v>61</v>
      </c>
      <c r="E6216" s="8">
        <v>0</v>
      </c>
      <c r="F6216" s="8">
        <v>549</v>
      </c>
    </row>
    <row r="6217" spans="1:6" ht="12.75">
      <c r="A6217" s="8">
        <v>43902.297430555554</v>
      </c>
      <c r="B6217" s="8" t="str">
        <f>HYPERLINK("https://twitter.com/YolaEL_MINORI","@YolaEL_MINORI")</f>
        <v>@YolaEL_MINORI</v>
      </c>
      <c r="C6217" s="8" t="s">
        <v>2977</v>
      </c>
      <c r="D6217" s="8">
        <v>2</v>
      </c>
      <c r="E6217" s="8">
        <v>0</v>
      </c>
      <c r="F6217" s="8">
        <v>80</v>
      </c>
    </row>
    <row r="6218" spans="1:6" ht="12.75">
      <c r="A6218" s="8">
        <v>43902.297256944439</v>
      </c>
      <c r="B6218" s="8" t="str">
        <f>HYPERLINK("https://twitter.com/mediaindonesia","@mediaindonesia")</f>
        <v>@mediaindonesia</v>
      </c>
      <c r="C6218" s="8" t="s">
        <v>2978</v>
      </c>
      <c r="D6218" s="8">
        <v>0</v>
      </c>
      <c r="E6218" s="8">
        <v>1</v>
      </c>
      <c r="F6218" s="8">
        <v>1421017</v>
      </c>
    </row>
    <row r="6219" spans="1:6" ht="12.75">
      <c r="A6219" s="8">
        <v>43902.297222222223</v>
      </c>
      <c r="B6219" s="8" t="str">
        <f>HYPERLINK("https://twitter.com/WidaMahalik","@WidaMahalik")</f>
        <v>@WidaMahalik</v>
      </c>
      <c r="C6219" s="8" t="s">
        <v>1643</v>
      </c>
      <c r="D6219" s="8">
        <v>35</v>
      </c>
      <c r="E6219" s="8">
        <v>0</v>
      </c>
      <c r="F6219" s="8">
        <v>6863</v>
      </c>
    </row>
    <row r="6220" spans="1:6" ht="12.75">
      <c r="A6220" s="8">
        <v>43902.295752314814</v>
      </c>
      <c r="B6220" s="8" t="str">
        <f>HYPERLINK("https://twitter.com/ImigrasiAmbon","@ImigrasiAmbon")</f>
        <v>@ImigrasiAmbon</v>
      </c>
      <c r="C6220" s="8" t="s">
        <v>2629</v>
      </c>
      <c r="D6220" s="8">
        <v>7</v>
      </c>
      <c r="E6220" s="8">
        <v>0</v>
      </c>
      <c r="F6220" s="8">
        <v>556</v>
      </c>
    </row>
    <row r="6221" spans="1:6" ht="12.75">
      <c r="A6221" s="8">
        <v>43902.295706018514</v>
      </c>
      <c r="B6221" s="8" t="str">
        <f>HYPERLINK("https://twitter.com/damario04","@damario04")</f>
        <v>@damario04</v>
      </c>
      <c r="C6221" s="8" t="s">
        <v>166</v>
      </c>
      <c r="D6221" s="8">
        <v>0</v>
      </c>
      <c r="E6221" s="8">
        <v>0</v>
      </c>
      <c r="F6221" s="8">
        <v>403</v>
      </c>
    </row>
    <row r="6222" spans="1:6" ht="12.75">
      <c r="A6222" s="8">
        <v>43902.295462962968</v>
      </c>
      <c r="B6222" s="8" t="str">
        <f>HYPERLINK("https://twitter.com/LegendForum","@LegendForum")</f>
        <v>@LegendForum</v>
      </c>
      <c r="C6222" s="8" t="s">
        <v>2979</v>
      </c>
      <c r="D6222" s="8">
        <v>247</v>
      </c>
      <c r="E6222" s="8">
        <v>0</v>
      </c>
      <c r="F6222" s="8">
        <v>362</v>
      </c>
    </row>
    <row r="6223" spans="1:6" ht="12.75">
      <c r="A6223" s="8">
        <v>43902.29387731482</v>
      </c>
      <c r="B6223" s="8" t="str">
        <f>HYPERLINK("https://twitter.com/gusnur212","@gusnur212")</f>
        <v>@gusnur212</v>
      </c>
      <c r="C6223" s="8" t="s">
        <v>1643</v>
      </c>
      <c r="D6223" s="8">
        <v>35</v>
      </c>
      <c r="E6223" s="8">
        <v>0</v>
      </c>
      <c r="F6223" s="8">
        <v>625</v>
      </c>
    </row>
    <row r="6224" spans="1:6" ht="12.75">
      <c r="A6224" s="8">
        <v>43902.293009259258</v>
      </c>
      <c r="B6224" s="8" t="str">
        <f>HYPERLINK("https://twitter.com/555masteng","@555masteng")</f>
        <v>@555masteng</v>
      </c>
      <c r="C6224" s="8" t="s">
        <v>1643</v>
      </c>
      <c r="D6224" s="8">
        <v>35</v>
      </c>
      <c r="E6224" s="8">
        <v>0</v>
      </c>
      <c r="F6224" s="8">
        <v>5622</v>
      </c>
    </row>
    <row r="6225" spans="1:6" ht="12.75">
      <c r="A6225" s="8">
        <v>43902.29184027778</v>
      </c>
      <c r="B6225" s="8" t="str">
        <f>HYPERLINK("https://twitter.com/EkoAndik","@EkoAndik")</f>
        <v>@EkoAndik</v>
      </c>
      <c r="C6225" s="8" t="s">
        <v>2980</v>
      </c>
      <c r="D6225" s="8">
        <v>0</v>
      </c>
      <c r="E6225" s="8">
        <v>0</v>
      </c>
      <c r="F6225" s="8">
        <v>403</v>
      </c>
    </row>
    <row r="6226" spans="1:6" ht="12.75">
      <c r="A6226" s="8">
        <v>43902.291747685187</v>
      </c>
      <c r="B6226" s="8" t="str">
        <f>HYPERLINK("https://twitter.com/mx_rudy","@mx_rudy")</f>
        <v>@mx_rudy</v>
      </c>
      <c r="C6226" s="8" t="s">
        <v>2292</v>
      </c>
      <c r="D6226" s="8">
        <v>48</v>
      </c>
      <c r="E6226" s="8">
        <v>0</v>
      </c>
      <c r="F6226" s="8">
        <v>1535</v>
      </c>
    </row>
    <row r="6227" spans="1:6" ht="12.75">
      <c r="A6227" s="8">
        <v>43902.291712962964</v>
      </c>
      <c r="B6227" s="8" t="str">
        <f>HYPERLINK("https://twitter.com/_aiek_esthreem_","@_aiek_esthreem_")</f>
        <v>@_aiek_esthreem_</v>
      </c>
      <c r="C6227" s="8" t="s">
        <v>2901</v>
      </c>
      <c r="D6227" s="8">
        <v>4</v>
      </c>
      <c r="E6227" s="8">
        <v>0</v>
      </c>
      <c r="F6227" s="8">
        <v>17130</v>
      </c>
    </row>
    <row r="6228" spans="1:6" ht="12.75">
      <c r="A6228" s="8">
        <v>43902.291666666672</v>
      </c>
      <c r="B6228" s="8" t="str">
        <f>HYPERLINK("https://twitter.com/MeTubeID","@MeTubeID")</f>
        <v>@MeTubeID</v>
      </c>
      <c r="C6228" s="8" t="s">
        <v>2981</v>
      </c>
      <c r="D6228" s="8">
        <v>0</v>
      </c>
      <c r="E6228" s="8">
        <v>0</v>
      </c>
      <c r="F6228" s="8">
        <v>6312</v>
      </c>
    </row>
    <row r="6229" spans="1:6" ht="12.75">
      <c r="A6229" s="8">
        <v>43902.290173611109</v>
      </c>
      <c r="B6229" s="8" t="str">
        <f>HYPERLINK("https://twitter.com/RizkiR4madani","@RizkiR4madani")</f>
        <v>@RizkiR4madani</v>
      </c>
      <c r="C6229" s="8" t="s">
        <v>1643</v>
      </c>
      <c r="D6229" s="8">
        <v>35</v>
      </c>
      <c r="E6229" s="8">
        <v>0</v>
      </c>
      <c r="F6229" s="8">
        <v>4206</v>
      </c>
    </row>
    <row r="6230" spans="1:6" ht="12.75">
      <c r="A6230" s="8">
        <v>43902.289259259254</v>
      </c>
      <c r="B6230" s="8" t="str">
        <f>HYPERLINK("https://twitter.com/pendividia","@pendividia")</f>
        <v>@pendividia</v>
      </c>
      <c r="C6230" s="8" t="s">
        <v>165</v>
      </c>
      <c r="D6230" s="8">
        <v>2</v>
      </c>
      <c r="E6230" s="8">
        <v>0</v>
      </c>
      <c r="F6230" s="8">
        <v>603</v>
      </c>
    </row>
    <row r="6231" spans="1:6" ht="12.75">
      <c r="A6231" s="8">
        <v>43902.288715277777</v>
      </c>
      <c r="B6231" s="8" t="str">
        <f>HYPERLINK("https://twitter.com/Cero_Amunk09","@Cero_Amunk09")</f>
        <v>@Cero_Amunk09</v>
      </c>
      <c r="C6231" s="8" t="s">
        <v>2982</v>
      </c>
      <c r="D6231" s="8">
        <v>1</v>
      </c>
      <c r="E6231" s="8">
        <v>0</v>
      </c>
      <c r="F6231" s="8">
        <v>623</v>
      </c>
    </row>
    <row r="6232" spans="1:6" ht="12.75">
      <c r="A6232" s="8">
        <v>43902.288217592592</v>
      </c>
      <c r="B6232" s="8" t="str">
        <f>HYPERLINK("https://twitter.com/Rinistg","@Rinistg")</f>
        <v>@Rinistg</v>
      </c>
      <c r="C6232" s="8" t="s">
        <v>1643</v>
      </c>
      <c r="D6232" s="8">
        <v>35</v>
      </c>
      <c r="E6232" s="8">
        <v>0</v>
      </c>
      <c r="F6232" s="8">
        <v>3944</v>
      </c>
    </row>
    <row r="6233" spans="1:6" ht="12.75">
      <c r="A6233" s="8">
        <v>43902.287314814814</v>
      </c>
      <c r="B6233" s="8" t="str">
        <f>HYPERLINK("https://twitter.com/Wong_Bedjo1","@Wong_Bedjo1")</f>
        <v>@Wong_Bedjo1</v>
      </c>
      <c r="C6233" s="8" t="s">
        <v>1643</v>
      </c>
      <c r="D6233" s="8">
        <v>35</v>
      </c>
      <c r="E6233" s="8">
        <v>0</v>
      </c>
      <c r="F6233" s="8">
        <v>5347</v>
      </c>
    </row>
    <row r="6234" spans="1:6" ht="12.75">
      <c r="A6234" s="8">
        <v>43902.286076388889</v>
      </c>
      <c r="B6234" s="8" t="str">
        <f>HYPERLINK("https://twitter.com/nugrohorofil86","@nugrohorofil86")</f>
        <v>@nugrohorofil86</v>
      </c>
      <c r="C6234" s="8" t="s">
        <v>165</v>
      </c>
      <c r="D6234" s="8">
        <v>2</v>
      </c>
      <c r="E6234" s="8">
        <v>0</v>
      </c>
      <c r="F6234" s="8">
        <v>75</v>
      </c>
    </row>
    <row r="6235" spans="1:6" ht="12.75">
      <c r="A6235" s="8">
        <v>43902.284884259258</v>
      </c>
      <c r="B6235" s="8" t="str">
        <f>HYPERLINK("https://twitter.com/MeRenaldyAldy","@MeRenaldyAldy")</f>
        <v>@MeRenaldyAldy</v>
      </c>
      <c r="C6235" s="8" t="s">
        <v>2983</v>
      </c>
      <c r="D6235" s="8">
        <v>0</v>
      </c>
      <c r="E6235" s="8">
        <v>0</v>
      </c>
      <c r="F6235" s="8">
        <v>637</v>
      </c>
    </row>
    <row r="6236" spans="1:6" ht="12.75">
      <c r="A6236" s="8">
        <v>43902.284537037034</v>
      </c>
      <c r="B6236" s="8" t="str">
        <f>HYPERLINK("https://twitter.com/Pandeka_Cyber","@Pandeka_Cyber")</f>
        <v>@Pandeka_Cyber</v>
      </c>
      <c r="C6236" s="8" t="s">
        <v>2984</v>
      </c>
      <c r="D6236" s="8">
        <v>1</v>
      </c>
      <c r="E6236" s="8">
        <v>0</v>
      </c>
      <c r="F6236" s="8">
        <v>2433</v>
      </c>
    </row>
    <row r="6237" spans="1:6" ht="12.75">
      <c r="A6237" s="8">
        <v>43902.283773148149</v>
      </c>
      <c r="B6237" s="8" t="str">
        <f>HYPERLINK("https://twitter.com/mbahCokro77","@mbahCokro77")</f>
        <v>@mbahCokro77</v>
      </c>
      <c r="C6237" s="8" t="s">
        <v>2985</v>
      </c>
      <c r="D6237" s="8">
        <v>2</v>
      </c>
      <c r="E6237" s="8">
        <v>7</v>
      </c>
      <c r="F6237" s="8">
        <v>7006</v>
      </c>
    </row>
    <row r="6238" spans="1:6" ht="12.75">
      <c r="A6238" s="8">
        <v>43902.282662037032</v>
      </c>
      <c r="B6238" s="8" t="str">
        <f>HYPERLINK("https://twitter.com/cuanbaksit","@cuanbaksit")</f>
        <v>@cuanbaksit</v>
      </c>
      <c r="C6238" s="8" t="s">
        <v>2292</v>
      </c>
      <c r="D6238" s="8">
        <v>48</v>
      </c>
      <c r="E6238" s="8">
        <v>0</v>
      </c>
      <c r="F6238" s="8">
        <v>217</v>
      </c>
    </row>
    <row r="6239" spans="1:6" ht="12.75">
      <c r="A6239" s="8">
        <v>43902.282395833332</v>
      </c>
      <c r="B6239" s="8" t="str">
        <f>HYPERLINK("https://twitter.com/RadioElshinta","@RadioElshinta")</f>
        <v>@RadioElshinta</v>
      </c>
      <c r="C6239" s="8" t="s">
        <v>2986</v>
      </c>
      <c r="D6239" s="8">
        <v>1</v>
      </c>
      <c r="E6239" s="8">
        <v>2</v>
      </c>
      <c r="F6239" s="8">
        <v>3638058</v>
      </c>
    </row>
    <row r="6240" spans="1:6" ht="12.75">
      <c r="A6240" s="8">
        <v>43902.282372685186</v>
      </c>
      <c r="B6240" s="8" t="str">
        <f>HYPERLINK("https://twitter.com/joaovmariga","@joaovmariga")</f>
        <v>@joaovmariga</v>
      </c>
      <c r="C6240" s="8" t="s">
        <v>2987</v>
      </c>
      <c r="D6240" s="8">
        <v>0</v>
      </c>
      <c r="E6240" s="8">
        <v>1</v>
      </c>
      <c r="F6240" s="8">
        <v>2797</v>
      </c>
    </row>
    <row r="6241" spans="1:6" ht="12.75">
      <c r="A6241" s="8">
        <v>43902.281875000001</v>
      </c>
      <c r="B6241" s="8" t="str">
        <f>HYPERLINK("https://twitter.com/Widiatis279","@Widiatis279")</f>
        <v>@Widiatis279</v>
      </c>
      <c r="C6241" s="8" t="s">
        <v>2490</v>
      </c>
      <c r="D6241" s="8">
        <v>7</v>
      </c>
      <c r="E6241" s="8">
        <v>0</v>
      </c>
      <c r="F6241" s="8">
        <v>728</v>
      </c>
    </row>
    <row r="6242" spans="1:6" ht="12.75">
      <c r="A6242" s="8">
        <v>43902.281678240739</v>
      </c>
      <c r="B6242" s="8" t="str">
        <f>HYPERLINK("https://twitter.com/Qinnoy20","@Qinnoy20")</f>
        <v>@Qinnoy20</v>
      </c>
      <c r="C6242" s="8" t="s">
        <v>2901</v>
      </c>
      <c r="D6242" s="8">
        <v>4</v>
      </c>
      <c r="E6242" s="8">
        <v>0</v>
      </c>
      <c r="F6242" s="8">
        <v>1706</v>
      </c>
    </row>
    <row r="6243" spans="1:6" ht="12.75">
      <c r="A6243" s="8">
        <v>43902.28087962963</v>
      </c>
      <c r="B6243" s="8" t="str">
        <f>HYPERLINK("https://twitter.com/_Henz14","@_Henz14")</f>
        <v>@_Henz14</v>
      </c>
      <c r="C6243" s="8" t="s">
        <v>2988</v>
      </c>
      <c r="D6243" s="8">
        <v>0</v>
      </c>
      <c r="E6243" s="8">
        <v>0</v>
      </c>
      <c r="F6243" s="8">
        <v>472</v>
      </c>
    </row>
    <row r="6244" spans="1:6" ht="12.75">
      <c r="A6244" s="8">
        <v>43902.280289351853</v>
      </c>
      <c r="B6244" s="8" t="str">
        <f>HYPERLINK("https://twitter.com/Widiatis279","@Widiatis279")</f>
        <v>@Widiatis279</v>
      </c>
      <c r="C6244" s="8" t="s">
        <v>2491</v>
      </c>
      <c r="D6244" s="8">
        <v>6</v>
      </c>
      <c r="E6244" s="8">
        <v>0</v>
      </c>
      <c r="F6244" s="8">
        <v>728</v>
      </c>
    </row>
    <row r="6245" spans="1:6" ht="12.75">
      <c r="A6245" s="8">
        <v>43902.279629629629</v>
      </c>
      <c r="B6245" s="8" t="str">
        <f>HYPERLINK("https://twitter.com/darmajasa","@darmajasa")</f>
        <v>@darmajasa</v>
      </c>
      <c r="C6245" s="8" t="s">
        <v>2989</v>
      </c>
      <c r="D6245" s="8">
        <v>163</v>
      </c>
      <c r="E6245" s="8">
        <v>0</v>
      </c>
      <c r="F6245" s="8">
        <v>432</v>
      </c>
    </row>
    <row r="6246" spans="1:6" ht="12.75">
      <c r="A6246" s="8">
        <v>43902.279583333337</v>
      </c>
      <c r="B6246" s="8" t="str">
        <f>HYPERLINK("https://twitter.com/nasyihamaze","@nasyihamaze")</f>
        <v>@nasyihamaze</v>
      </c>
      <c r="C6246" s="8" t="s">
        <v>2990</v>
      </c>
      <c r="D6246" s="8">
        <v>3</v>
      </c>
      <c r="E6246" s="8">
        <v>0</v>
      </c>
      <c r="F6246" s="8">
        <v>600</v>
      </c>
    </row>
    <row r="6247" spans="1:6" ht="12.75">
      <c r="A6247" s="8">
        <v>43902.279456018514</v>
      </c>
      <c r="B6247" s="8" t="str">
        <f>HYPERLINK("https://twitter.com/Aiek_Channel__","@Aiek_Channel__")</f>
        <v>@Aiek_Channel__</v>
      </c>
      <c r="C6247" s="8" t="s">
        <v>2761</v>
      </c>
      <c r="D6247" s="8">
        <v>4</v>
      </c>
      <c r="E6247" s="8">
        <v>4</v>
      </c>
      <c r="F6247" s="8">
        <v>9110</v>
      </c>
    </row>
    <row r="6248" spans="1:6" ht="12.75">
      <c r="A6248" s="8">
        <v>43902.278749999998</v>
      </c>
      <c r="B6248" s="8" t="str">
        <f>HYPERLINK("https://twitter.com/recky_reynaldy","@recky_reynaldy")</f>
        <v>@recky_reynaldy</v>
      </c>
      <c r="C6248" s="8" t="s">
        <v>2991</v>
      </c>
      <c r="D6248" s="8">
        <v>0</v>
      </c>
      <c r="E6248" s="8">
        <v>0</v>
      </c>
      <c r="F6248" s="8">
        <v>31</v>
      </c>
    </row>
    <row r="6249" spans="1:6" ht="12.75">
      <c r="A6249" s="8">
        <v>43902.277581018519</v>
      </c>
      <c r="B6249" s="8" t="str">
        <f>HYPERLINK("https://twitter.com/Sastroklengsre1","@Sastroklengsre1")</f>
        <v>@Sastroklengsre1</v>
      </c>
      <c r="C6249" s="8" t="s">
        <v>2292</v>
      </c>
      <c r="D6249" s="8">
        <v>48</v>
      </c>
      <c r="E6249" s="8">
        <v>0</v>
      </c>
      <c r="F6249" s="8">
        <v>3045</v>
      </c>
    </row>
    <row r="6250" spans="1:6" ht="12.75">
      <c r="A6250" s="8">
        <v>43902.277395833335</v>
      </c>
      <c r="B6250" s="8" t="str">
        <f>HYPERLINK("https://twitter.com/hans_tbn","@hans_tbn")</f>
        <v>@hans_tbn</v>
      </c>
      <c r="C6250" s="8" t="s">
        <v>2313</v>
      </c>
      <c r="D6250" s="8">
        <v>2</v>
      </c>
      <c r="E6250" s="8">
        <v>0</v>
      </c>
      <c r="F6250" s="8">
        <v>1085</v>
      </c>
    </row>
    <row r="6251" spans="1:6" ht="12.75">
      <c r="A6251" s="8">
        <v>43902.277303240742</v>
      </c>
      <c r="B6251" s="8" t="str">
        <f>HYPERLINK("https://twitter.com/ZainulA42038361","@ZainulA42038361")</f>
        <v>@ZainulA42038361</v>
      </c>
      <c r="C6251" s="8" t="s">
        <v>2313</v>
      </c>
      <c r="D6251" s="8">
        <v>2</v>
      </c>
      <c r="E6251" s="8">
        <v>0</v>
      </c>
      <c r="F6251" s="8">
        <v>301</v>
      </c>
    </row>
    <row r="6252" spans="1:6" ht="12.75">
      <c r="A6252" s="8">
        <v>43902.277280092589</v>
      </c>
      <c r="B6252" s="8" t="str">
        <f>HYPERLINK("https://twitter.com/Niluh_Madiani","@Niluh_Madiani")</f>
        <v>@Niluh_Madiani</v>
      </c>
      <c r="C6252" s="8" t="s">
        <v>2992</v>
      </c>
      <c r="D6252" s="8">
        <v>3</v>
      </c>
      <c r="E6252" s="8">
        <v>0</v>
      </c>
      <c r="F6252" s="8">
        <v>613</v>
      </c>
    </row>
    <row r="6253" spans="1:6" ht="12.75">
      <c r="A6253" s="8">
        <v>43902.277268518519</v>
      </c>
      <c r="B6253" s="8" t="str">
        <f>HYPERLINK("https://twitter.com/YohanesPatty2","@YohanesPatty2")</f>
        <v>@YohanesPatty2</v>
      </c>
      <c r="C6253" s="8" t="s">
        <v>2993</v>
      </c>
      <c r="D6253" s="8">
        <v>0</v>
      </c>
      <c r="E6253" s="8">
        <v>3</v>
      </c>
      <c r="F6253" s="8">
        <v>5864</v>
      </c>
    </row>
    <row r="6254" spans="1:6" ht="12.75">
      <c r="A6254" s="8">
        <v>43902.276956018519</v>
      </c>
      <c r="B6254" s="8" t="str">
        <f>HYPERLINK("https://twitter.com/Sugiyan61442128","@Sugiyan61442128")</f>
        <v>@Sugiyan61442128</v>
      </c>
      <c r="C6254" s="8" t="s">
        <v>2482</v>
      </c>
      <c r="D6254" s="8">
        <v>5</v>
      </c>
      <c r="E6254" s="8">
        <v>0</v>
      </c>
      <c r="F6254" s="8">
        <v>240</v>
      </c>
    </row>
    <row r="6255" spans="1:6" ht="12.75">
      <c r="A6255" s="8">
        <v>43902.27652777778</v>
      </c>
      <c r="B6255" s="8" t="str">
        <f>HYPERLINK("https://twitter.com/segopecels","@segopecels")</f>
        <v>@segopecels</v>
      </c>
      <c r="C6255" s="8" t="s">
        <v>2994</v>
      </c>
      <c r="D6255" s="8">
        <v>0</v>
      </c>
      <c r="E6255" s="8">
        <v>0</v>
      </c>
      <c r="F6255" s="8">
        <v>539</v>
      </c>
    </row>
    <row r="6256" spans="1:6" ht="12.75">
      <c r="A6256" s="8">
        <v>43902.276145833333</v>
      </c>
      <c r="B6256" s="8" t="str">
        <f>HYPERLINK("https://twitter.com/LilokArnanto","@LilokArnanto")</f>
        <v>@LilokArnanto</v>
      </c>
      <c r="C6256" s="8" t="s">
        <v>2995</v>
      </c>
      <c r="D6256" s="8">
        <v>220</v>
      </c>
      <c r="E6256" s="8">
        <v>0</v>
      </c>
      <c r="F6256" s="8">
        <v>584</v>
      </c>
    </row>
    <row r="6257" spans="1:6" ht="12.75">
      <c r="A6257" s="8">
        <v>43902.275925925926</v>
      </c>
      <c r="B6257" s="8" t="str">
        <f>HYPERLINK("https://twitter.com/GrandLight88","@GrandLight88")</f>
        <v>@GrandLight88</v>
      </c>
      <c r="C6257" s="8" t="s">
        <v>2996</v>
      </c>
      <c r="D6257" s="8">
        <v>0</v>
      </c>
      <c r="E6257" s="8">
        <v>0</v>
      </c>
      <c r="F6257" s="8">
        <v>20</v>
      </c>
    </row>
    <row r="6258" spans="1:6" ht="12.75">
      <c r="A6258" s="8">
        <v>43902.275312500002</v>
      </c>
      <c r="B6258" s="8" t="str">
        <f>HYPERLINK("https://twitter.com/Rhiyo75Tuama","@Rhiyo75Tuama")</f>
        <v>@Rhiyo75Tuama</v>
      </c>
      <c r="C6258" s="8" t="s">
        <v>2292</v>
      </c>
      <c r="D6258" s="8">
        <v>48</v>
      </c>
      <c r="E6258" s="8">
        <v>0</v>
      </c>
      <c r="F6258" s="8">
        <v>70</v>
      </c>
    </row>
    <row r="6259" spans="1:6" ht="12.75">
      <c r="A6259" s="8">
        <v>43902.275277777779</v>
      </c>
      <c r="B6259" s="8" t="str">
        <f>HYPERLINK("https://twitter.com/Eddyroyad","@Eddyroyad")</f>
        <v>@Eddyroyad</v>
      </c>
      <c r="C6259" s="8" t="s">
        <v>318</v>
      </c>
      <c r="D6259" s="8">
        <v>1434</v>
      </c>
      <c r="E6259" s="8">
        <v>0</v>
      </c>
      <c r="F6259" s="8">
        <v>1249</v>
      </c>
    </row>
    <row r="6260" spans="1:6" ht="12.75">
      <c r="A6260" s="8">
        <v>43902.275219907402</v>
      </c>
      <c r="B6260" s="8" t="str">
        <f>HYPERLINK("https://twitter.com/Cahyadi_refa","@Cahyadi_refa")</f>
        <v>@Cahyadi_refa</v>
      </c>
      <c r="C6260" s="8" t="s">
        <v>318</v>
      </c>
      <c r="D6260" s="8">
        <v>1434</v>
      </c>
      <c r="E6260" s="8">
        <v>0</v>
      </c>
      <c r="F6260" s="8">
        <v>838</v>
      </c>
    </row>
    <row r="6261" spans="1:6" ht="12.75">
      <c r="A6261" s="8">
        <v>43902.275150462963</v>
      </c>
      <c r="B6261" s="8" t="str">
        <f>HYPERLINK("https://twitter.com/YohanesPatty2","@YohanesPatty2")</f>
        <v>@YohanesPatty2</v>
      </c>
      <c r="C6261" s="8" t="s">
        <v>2482</v>
      </c>
      <c r="D6261" s="8">
        <v>5</v>
      </c>
      <c r="E6261" s="8">
        <v>0</v>
      </c>
      <c r="F6261" s="8">
        <v>5864</v>
      </c>
    </row>
    <row r="6262" spans="1:6" ht="12.75">
      <c r="A6262" s="8">
        <v>43902.274305555555</v>
      </c>
      <c r="B6262" s="8" t="str">
        <f>HYPERLINK("https://twitter.com/BaskoroKata","@BaskoroKata")</f>
        <v>@BaskoroKata</v>
      </c>
      <c r="C6262" s="8" t="s">
        <v>2997</v>
      </c>
      <c r="D6262" s="8">
        <v>2</v>
      </c>
      <c r="E6262" s="8">
        <v>3</v>
      </c>
      <c r="F6262" s="8">
        <v>1663</v>
      </c>
    </row>
    <row r="6263" spans="1:6" ht="12.75">
      <c r="A6263" s="8">
        <v>43902.274293981478</v>
      </c>
      <c r="B6263" s="8" t="str">
        <f>HYPERLINK("https://twitter.com/UjangHadha","@UjangHadha")</f>
        <v>@UjangHadha</v>
      </c>
      <c r="C6263" s="8" t="s">
        <v>2998</v>
      </c>
      <c r="D6263" s="8">
        <v>0</v>
      </c>
      <c r="E6263" s="8">
        <v>0</v>
      </c>
      <c r="F6263" s="8">
        <v>131</v>
      </c>
    </row>
    <row r="6264" spans="1:6" ht="12.75">
      <c r="A6264" s="8">
        <v>43902.2737962963</v>
      </c>
      <c r="B6264" s="8" t="str">
        <f>HYPERLINK("https://twitter.com/Pandeka_Cyber","@Pandeka_Cyber")</f>
        <v>@Pandeka_Cyber</v>
      </c>
      <c r="C6264" s="8" t="s">
        <v>2976</v>
      </c>
      <c r="D6264" s="8">
        <v>1</v>
      </c>
      <c r="E6264" s="8">
        <v>0</v>
      </c>
      <c r="F6264" s="8">
        <v>2433</v>
      </c>
    </row>
    <row r="6265" spans="1:6" ht="12.75">
      <c r="A6265" s="8">
        <v>43902.273738425924</v>
      </c>
      <c r="B6265" s="8" t="str">
        <f t="shared" ref="B6265:B6266" si="118">HYPERLINK("https://twitter.com/eka_dini722","@eka_dini722")</f>
        <v>@eka_dini722</v>
      </c>
      <c r="C6265" s="8" t="s">
        <v>2490</v>
      </c>
      <c r="D6265" s="8">
        <v>7</v>
      </c>
      <c r="E6265" s="8">
        <v>0</v>
      </c>
      <c r="F6265" s="8">
        <v>2471</v>
      </c>
    </row>
    <row r="6266" spans="1:6" ht="12.75">
      <c r="A6266" s="8">
        <v>43902.273645833338</v>
      </c>
      <c r="B6266" s="8" t="str">
        <f t="shared" si="118"/>
        <v>@eka_dini722</v>
      </c>
      <c r="C6266" s="8" t="s">
        <v>2491</v>
      </c>
      <c r="D6266" s="8">
        <v>6</v>
      </c>
      <c r="E6266" s="8">
        <v>0</v>
      </c>
      <c r="F6266" s="8">
        <v>2471</v>
      </c>
    </row>
    <row r="6267" spans="1:6" ht="12.75">
      <c r="A6267" s="8">
        <v>43902.2731712963</v>
      </c>
      <c r="B6267" s="8" t="str">
        <f>HYPERLINK("https://twitter.com/tribunnews","@tribunnews")</f>
        <v>@tribunnews</v>
      </c>
      <c r="C6267" s="8" t="s">
        <v>2999</v>
      </c>
      <c r="D6267" s="8">
        <v>0</v>
      </c>
      <c r="E6267" s="8">
        <v>5</v>
      </c>
      <c r="F6267" s="8">
        <v>894883</v>
      </c>
    </row>
    <row r="6268" spans="1:6" ht="12.75">
      <c r="A6268" s="8">
        <v>43902.272974537038</v>
      </c>
      <c r="B6268" s="8" t="str">
        <f>HYPERLINK("https://twitter.com/eka_dini722","@eka_dini722")</f>
        <v>@eka_dini722</v>
      </c>
      <c r="C6268" s="8" t="s">
        <v>2483</v>
      </c>
      <c r="D6268" s="8">
        <v>6</v>
      </c>
      <c r="E6268" s="8">
        <v>0</v>
      </c>
      <c r="F6268" s="8">
        <v>2471</v>
      </c>
    </row>
    <row r="6269" spans="1:6" ht="12.75">
      <c r="A6269" s="8">
        <v>43902.272962962961</v>
      </c>
      <c r="B6269" s="8" t="str">
        <f>HYPERLINK("https://twitter.com/Yay94175621","@Yay94175621")</f>
        <v>@Yay94175621</v>
      </c>
      <c r="C6269" s="8" t="s">
        <v>3000</v>
      </c>
      <c r="D6269" s="8">
        <v>0</v>
      </c>
      <c r="E6269" s="8">
        <v>0</v>
      </c>
      <c r="F6269" s="8">
        <v>3</v>
      </c>
    </row>
    <row r="6270" spans="1:6" ht="12.75">
      <c r="A6270" s="8">
        <v>43902.27270833333</v>
      </c>
      <c r="B6270" s="8" t="str">
        <f>HYPERLINK("https://twitter.com/eka_dini722","@eka_dini722")</f>
        <v>@eka_dini722</v>
      </c>
      <c r="C6270" s="8" t="s">
        <v>2482</v>
      </c>
      <c r="D6270" s="8">
        <v>5</v>
      </c>
      <c r="E6270" s="8">
        <v>0</v>
      </c>
      <c r="F6270" s="8">
        <v>2471</v>
      </c>
    </row>
    <row r="6271" spans="1:6" ht="12.75">
      <c r="A6271" s="8">
        <v>43902.272569444445</v>
      </c>
      <c r="B6271" s="8" t="str">
        <f>HYPERLINK("https://twitter.com/MelaAme14943865","@MelaAme14943865")</f>
        <v>@MelaAme14943865</v>
      </c>
      <c r="C6271" s="8" t="s">
        <v>318</v>
      </c>
      <c r="D6271" s="8">
        <v>1434</v>
      </c>
      <c r="E6271" s="8">
        <v>0</v>
      </c>
      <c r="F6271" s="8">
        <v>192</v>
      </c>
    </row>
    <row r="6272" spans="1:6" ht="12.75">
      <c r="A6272" s="8">
        <v>43902.272361111114</v>
      </c>
      <c r="B6272" s="8" t="str">
        <f>HYPERLINK("https://twitter.com/eka_dini722","@eka_dini722")</f>
        <v>@eka_dini722</v>
      </c>
      <c r="C6272" s="8" t="s">
        <v>2292</v>
      </c>
      <c r="D6272" s="8">
        <v>48</v>
      </c>
      <c r="E6272" s="8">
        <v>0</v>
      </c>
      <c r="F6272" s="8">
        <v>2471</v>
      </c>
    </row>
    <row r="6273" spans="1:6" ht="12.75">
      <c r="A6273" s="8">
        <v>43902.272245370375</v>
      </c>
      <c r="B6273" s="8" t="str">
        <f>HYPERLINK("https://twitter.com/Firgamal75","@Firgamal75")</f>
        <v>@Firgamal75</v>
      </c>
      <c r="C6273" s="8" t="s">
        <v>3001</v>
      </c>
      <c r="D6273" s="8">
        <v>0</v>
      </c>
      <c r="E6273" s="8">
        <v>0</v>
      </c>
      <c r="F6273" s="8">
        <v>116</v>
      </c>
    </row>
    <row r="6274" spans="1:6" ht="12.75">
      <c r="A6274" s="8">
        <v>43902.272013888884</v>
      </c>
      <c r="B6274" s="8" t="str">
        <f>HYPERLINK("https://twitter.com/Pandeka_Cyber","@Pandeka_Cyber")</f>
        <v>@Pandeka_Cyber</v>
      </c>
      <c r="C6274" s="8" t="s">
        <v>3002</v>
      </c>
      <c r="D6274" s="8">
        <v>1</v>
      </c>
      <c r="E6274" s="8">
        <v>0</v>
      </c>
      <c r="F6274" s="8">
        <v>2433</v>
      </c>
    </row>
    <row r="6275" spans="1:6" ht="12.75">
      <c r="A6275" s="8">
        <v>43902.271817129629</v>
      </c>
      <c r="B6275" s="8" t="str">
        <f>HYPERLINK("https://twitter.com/antarajatimcom","@antarajatimcom")</f>
        <v>@antarajatimcom</v>
      </c>
      <c r="C6275" s="8" t="s">
        <v>3003</v>
      </c>
      <c r="D6275" s="8">
        <v>0</v>
      </c>
      <c r="E6275" s="8">
        <v>0</v>
      </c>
      <c r="F6275" s="8">
        <v>855</v>
      </c>
    </row>
    <row r="6276" spans="1:6" ht="12.75">
      <c r="A6276" s="8">
        <v>43902.271724537037</v>
      </c>
      <c r="B6276" s="8" t="str">
        <f>HYPERLINK("https://twitter.com/AdvokatlK","@AdvokatlK")</f>
        <v>@AdvokatlK</v>
      </c>
      <c r="C6276" s="8" t="s">
        <v>318</v>
      </c>
      <c r="D6276" s="8">
        <v>1434</v>
      </c>
      <c r="E6276" s="8">
        <v>0</v>
      </c>
      <c r="F6276" s="8">
        <v>6968</v>
      </c>
    </row>
    <row r="6277" spans="1:6" ht="12.75">
      <c r="A6277" s="8">
        <v>43902.270243055551</v>
      </c>
      <c r="B6277" s="8" t="str">
        <f>HYPERLINK("https://twitter.com/RMaurdya","@RMaurdya")</f>
        <v>@RMaurdya</v>
      </c>
      <c r="C6277" s="8" t="s">
        <v>3004</v>
      </c>
      <c r="D6277" s="8">
        <v>0</v>
      </c>
      <c r="E6277" s="8">
        <v>0</v>
      </c>
      <c r="F6277" s="8">
        <v>228</v>
      </c>
    </row>
    <row r="6278" spans="1:6" ht="12.75">
      <c r="A6278" s="8">
        <v>43902.269930555558</v>
      </c>
      <c r="B6278" s="8" t="str">
        <f>HYPERLINK("https://twitter.com/cakmine","@cakmine")</f>
        <v>@cakmine</v>
      </c>
      <c r="C6278" s="8" t="s">
        <v>2292</v>
      </c>
      <c r="D6278" s="8">
        <v>48</v>
      </c>
      <c r="E6278" s="8">
        <v>0</v>
      </c>
      <c r="F6278" s="8">
        <v>2246</v>
      </c>
    </row>
    <row r="6279" spans="1:6" ht="12.75">
      <c r="A6279" s="8">
        <v>43902.268148148149</v>
      </c>
      <c r="B6279" s="8" t="str">
        <f>HYPERLINK("https://twitter.com/Jannang","@Jannang")</f>
        <v>@Jannang</v>
      </c>
      <c r="C6279" s="8" t="s">
        <v>2989</v>
      </c>
      <c r="D6279" s="8">
        <v>163</v>
      </c>
      <c r="E6279" s="8">
        <v>0</v>
      </c>
      <c r="F6279" s="8">
        <v>448</v>
      </c>
    </row>
    <row r="6280" spans="1:6" ht="12.75">
      <c r="A6280" s="8">
        <v>43902.268113425926</v>
      </c>
      <c r="B6280" s="8" t="str">
        <f>HYPERLINK("https://twitter.com/Garis___Lurus","@Garis___Lurus")</f>
        <v>@Garis___Lurus</v>
      </c>
      <c r="C6280" s="8" t="s">
        <v>1186</v>
      </c>
      <c r="D6280" s="8">
        <v>424</v>
      </c>
      <c r="E6280" s="8">
        <v>0</v>
      </c>
      <c r="F6280" s="8">
        <v>433</v>
      </c>
    </row>
    <row r="6281" spans="1:6" ht="12.75">
      <c r="A6281" s="8">
        <v>43902.267442129625</v>
      </c>
      <c r="B6281" s="8" t="str">
        <f>HYPERLINK("https://twitter.com/toto_widjojono","@toto_widjojono")</f>
        <v>@toto_widjojono</v>
      </c>
      <c r="C6281" s="8" t="s">
        <v>2995</v>
      </c>
      <c r="D6281" s="8">
        <v>220</v>
      </c>
      <c r="E6281" s="8">
        <v>0</v>
      </c>
      <c r="F6281" s="8">
        <v>88</v>
      </c>
    </row>
    <row r="6282" spans="1:6" ht="12.75">
      <c r="A6282" s="8">
        <v>43902.266388888893</v>
      </c>
      <c r="B6282" s="8" t="str">
        <f>HYPERLINK("https://twitter.com/absimor","@absimor")</f>
        <v>@absimor</v>
      </c>
      <c r="C6282" s="8" t="s">
        <v>3005</v>
      </c>
      <c r="D6282" s="8">
        <v>0</v>
      </c>
      <c r="E6282" s="8">
        <v>0</v>
      </c>
      <c r="F6282" s="8">
        <v>2</v>
      </c>
    </row>
    <row r="6283" spans="1:6" ht="12.75">
      <c r="A6283" s="8">
        <v>43902.266111111108</v>
      </c>
      <c r="B6283" s="8" t="str">
        <f>HYPERLINK("https://twitter.com/kopikirpikir","@kopikirpikir")</f>
        <v>@kopikirpikir</v>
      </c>
      <c r="C6283" s="8" t="s">
        <v>2995</v>
      </c>
      <c r="D6283" s="8">
        <v>220</v>
      </c>
      <c r="E6283" s="8">
        <v>0</v>
      </c>
      <c r="F6283" s="8">
        <v>2005</v>
      </c>
    </row>
    <row r="6284" spans="1:6" ht="12.75">
      <c r="A6284" s="8">
        <v>43902.265868055554</v>
      </c>
      <c r="B6284" s="8" t="str">
        <f>HYPERLINK("https://twitter.com/martinezbltch","@martinezbltch")</f>
        <v>@martinezbltch</v>
      </c>
      <c r="C6284" s="8" t="s">
        <v>3006</v>
      </c>
      <c r="D6284" s="8">
        <v>0</v>
      </c>
      <c r="E6284" s="8">
        <v>0</v>
      </c>
      <c r="F6284" s="8">
        <v>16989</v>
      </c>
    </row>
    <row r="6285" spans="1:6" ht="12.75">
      <c r="A6285" s="8">
        <v>43902.264189814814</v>
      </c>
      <c r="B6285" s="8" t="str">
        <f>HYPERLINK("https://twitter.com/iirkoe_","@iirkoe_")</f>
        <v>@iirkoe_</v>
      </c>
      <c r="C6285" s="8" t="s">
        <v>318</v>
      </c>
      <c r="D6285" s="8">
        <v>1434</v>
      </c>
      <c r="E6285" s="8">
        <v>0</v>
      </c>
      <c r="F6285" s="8">
        <v>568</v>
      </c>
    </row>
    <row r="6286" spans="1:6" ht="12.75">
      <c r="A6286" s="8">
        <v>43902.261840277773</v>
      </c>
      <c r="B6286" s="8" t="str">
        <f>HYPERLINK("https://twitter.com/IwanBorneo8","@IwanBorneo8")</f>
        <v>@IwanBorneo8</v>
      </c>
      <c r="C6286" s="8" t="s">
        <v>3007</v>
      </c>
      <c r="D6286" s="8">
        <v>0</v>
      </c>
      <c r="E6286" s="8">
        <v>0</v>
      </c>
      <c r="F6286" s="8">
        <v>1428</v>
      </c>
    </row>
    <row r="6287" spans="1:6" ht="12.75">
      <c r="A6287" s="8">
        <v>43902.261481481481</v>
      </c>
      <c r="B6287" s="8" t="str">
        <f>HYPERLINK("https://twitter.com/RagilHadiwibowo","@RagilHadiwibowo")</f>
        <v>@RagilHadiwibowo</v>
      </c>
      <c r="C6287" s="8" t="s">
        <v>3008</v>
      </c>
      <c r="D6287" s="8">
        <v>1</v>
      </c>
      <c r="E6287" s="8">
        <v>0</v>
      </c>
      <c r="F6287" s="8">
        <v>91</v>
      </c>
    </row>
    <row r="6288" spans="1:6" ht="12.75">
      <c r="A6288" s="8">
        <v>43902.261145833334</v>
      </c>
      <c r="B6288" s="8" t="str">
        <f>HYPERLINK("https://twitter.com/harian_riau","@harian_riau")</f>
        <v>@harian_riau</v>
      </c>
      <c r="C6288" s="8" t="s">
        <v>3009</v>
      </c>
      <c r="D6288" s="8">
        <v>1</v>
      </c>
      <c r="E6288" s="8">
        <v>0</v>
      </c>
      <c r="F6288" s="8">
        <v>665</v>
      </c>
    </row>
    <row r="6289" spans="1:6" ht="12.75">
      <c r="A6289" s="8">
        <v>43902.258842592593</v>
      </c>
      <c r="B6289" s="8" t="str">
        <f>HYPERLINK("https://twitter.com/AtaSuharta9","@AtaSuharta9")</f>
        <v>@AtaSuharta9</v>
      </c>
      <c r="C6289" s="8" t="s">
        <v>1186</v>
      </c>
      <c r="D6289" s="8">
        <v>424</v>
      </c>
      <c r="E6289" s="8">
        <v>0</v>
      </c>
      <c r="F6289" s="8">
        <v>709</v>
      </c>
    </row>
    <row r="6290" spans="1:6" ht="12.75">
      <c r="A6290" s="8">
        <v>43902.257974537039</v>
      </c>
      <c r="B6290" s="8" t="str">
        <f>HYPERLINK("https://twitter.com/sarwonobs","@sarwonobs")</f>
        <v>@sarwonobs</v>
      </c>
      <c r="C6290" s="8" t="s">
        <v>2490</v>
      </c>
      <c r="D6290" s="8">
        <v>7</v>
      </c>
      <c r="E6290" s="8">
        <v>0</v>
      </c>
      <c r="F6290" s="8">
        <v>209</v>
      </c>
    </row>
    <row r="6291" spans="1:6" ht="12.75">
      <c r="A6291" s="8">
        <v>43902.255949074075</v>
      </c>
      <c r="B6291" s="8" t="str">
        <f>HYPERLINK("https://twitter.com/MizyUji","@MizyUji")</f>
        <v>@MizyUji</v>
      </c>
      <c r="C6291" s="8" t="s">
        <v>1186</v>
      </c>
      <c r="D6291" s="8">
        <v>422</v>
      </c>
      <c r="E6291" s="8">
        <v>0</v>
      </c>
      <c r="F6291" s="8">
        <v>108</v>
      </c>
    </row>
    <row r="6292" spans="1:6" ht="12.75">
      <c r="A6292" s="8">
        <v>43902.254826388889</v>
      </c>
      <c r="B6292" s="8" t="str">
        <f>HYPERLINK("https://twitter.com/waddlesword","@waddlesword")</f>
        <v>@waddlesword</v>
      </c>
      <c r="C6292" s="8" t="s">
        <v>3010</v>
      </c>
      <c r="D6292" s="8">
        <v>0</v>
      </c>
      <c r="E6292" s="8">
        <v>0</v>
      </c>
      <c r="F6292" s="8">
        <v>64</v>
      </c>
    </row>
    <row r="6293" spans="1:6" ht="12.75">
      <c r="A6293" s="8">
        <v>43902.254305555558</v>
      </c>
      <c r="B6293" s="8" t="str">
        <f>HYPERLINK("https://twitter.com/efkarliderbeder","@efkarliderbeder")</f>
        <v>@efkarliderbeder</v>
      </c>
      <c r="C6293" s="8" t="s">
        <v>3011</v>
      </c>
      <c r="D6293" s="8">
        <v>0</v>
      </c>
      <c r="E6293" s="8">
        <v>1</v>
      </c>
      <c r="F6293" s="8">
        <v>897</v>
      </c>
    </row>
    <row r="6294" spans="1:6" ht="12.75">
      <c r="A6294" s="8">
        <v>43902.25377314815</v>
      </c>
      <c r="B6294" s="8" t="str">
        <f>HYPERLINK("https://twitter.com/Jannang","@Jannang")</f>
        <v>@Jannang</v>
      </c>
      <c r="C6294" s="8" t="s">
        <v>318</v>
      </c>
      <c r="D6294" s="8">
        <v>1429</v>
      </c>
      <c r="E6294" s="8">
        <v>0</v>
      </c>
      <c r="F6294" s="8">
        <v>448</v>
      </c>
    </row>
    <row r="6295" spans="1:6" ht="12.75">
      <c r="A6295" s="8">
        <v>43902.253460648149</v>
      </c>
      <c r="B6295" s="8" t="str">
        <f>HYPERLINK("https://twitter.com/uyet_buyu","@uyet_buyu")</f>
        <v>@uyet_buyu</v>
      </c>
      <c r="C6295" s="8" t="s">
        <v>104</v>
      </c>
      <c r="D6295" s="8">
        <v>126</v>
      </c>
      <c r="E6295" s="8">
        <v>0</v>
      </c>
      <c r="F6295" s="8">
        <v>807</v>
      </c>
    </row>
    <row r="6296" spans="1:6" ht="12.75">
      <c r="A6296" s="8">
        <v>43902.253182870365</v>
      </c>
      <c r="B6296" s="8" t="str">
        <f>HYPERLINK("https://twitter.com/as3ps","@as3ps")</f>
        <v>@as3ps</v>
      </c>
      <c r="C6296" s="8" t="s">
        <v>3012</v>
      </c>
      <c r="D6296" s="8">
        <v>0</v>
      </c>
      <c r="E6296" s="8">
        <v>0</v>
      </c>
      <c r="F6296" s="8">
        <v>962</v>
      </c>
    </row>
    <row r="6297" spans="1:6" ht="12.75">
      <c r="A6297" s="8">
        <v>43902.251932870371</v>
      </c>
      <c r="B6297" s="8" t="str">
        <f>HYPERLINK("https://twitter.com/amrudinnejad_","@amrudinnejad_")</f>
        <v>@amrudinnejad_</v>
      </c>
      <c r="C6297" s="8" t="s">
        <v>2767</v>
      </c>
      <c r="D6297" s="8">
        <v>10</v>
      </c>
      <c r="E6297" s="8">
        <v>0</v>
      </c>
      <c r="F6297" s="8">
        <v>8062</v>
      </c>
    </row>
    <row r="6298" spans="1:6" ht="12.75">
      <c r="A6298" s="8">
        <v>43902.251747685186</v>
      </c>
      <c r="B6298" s="8" t="str">
        <f>HYPERLINK("https://twitter.com/ISIS_Balik_NO","@ISIS_Balik_NO")</f>
        <v>@ISIS_Balik_NO</v>
      </c>
      <c r="C6298" s="8" t="s">
        <v>3013</v>
      </c>
      <c r="D6298" s="8">
        <v>0</v>
      </c>
      <c r="E6298" s="8">
        <v>0</v>
      </c>
      <c r="F6298" s="8">
        <v>6228</v>
      </c>
    </row>
    <row r="6299" spans="1:6" ht="12.75">
      <c r="A6299" s="8">
        <v>43902.250277777777</v>
      </c>
      <c r="B6299" s="8" t="str">
        <f>HYPERLINK("https://twitter.com/deemaz85","@deemaz85")</f>
        <v>@deemaz85</v>
      </c>
      <c r="C6299" s="8" t="s">
        <v>3014</v>
      </c>
      <c r="D6299" s="8">
        <v>0</v>
      </c>
      <c r="E6299" s="8">
        <v>0</v>
      </c>
      <c r="F6299" s="8">
        <v>534</v>
      </c>
    </row>
    <row r="6300" spans="1:6" ht="12.75">
      <c r="A6300" s="8">
        <v>43902.248495370368</v>
      </c>
      <c r="B6300" s="8" t="str">
        <f>HYPERLINK("https://twitter.com/ISIS_Balik_NO","@ISIS_Balik_NO")</f>
        <v>@ISIS_Balik_NO</v>
      </c>
      <c r="C6300" s="8" t="s">
        <v>3015</v>
      </c>
      <c r="D6300" s="8">
        <v>0</v>
      </c>
      <c r="E6300" s="8">
        <v>0</v>
      </c>
      <c r="F6300" s="8">
        <v>6228</v>
      </c>
    </row>
    <row r="6301" spans="1:6" ht="12.75">
      <c r="A6301" s="8">
        <v>43902.246828703705</v>
      </c>
      <c r="B6301" s="8" t="str">
        <f>HYPERLINK("https://twitter.com/anton_sukisno","@anton_sukisno")</f>
        <v>@anton_sukisno</v>
      </c>
      <c r="C6301" s="8" t="s">
        <v>3016</v>
      </c>
      <c r="D6301" s="8">
        <v>0</v>
      </c>
      <c r="E6301" s="8">
        <v>0</v>
      </c>
      <c r="F6301" s="8">
        <v>7</v>
      </c>
    </row>
    <row r="6302" spans="1:6" ht="12.75">
      <c r="A6302" s="8">
        <v>43902.246354166666</v>
      </c>
      <c r="B6302" s="8" t="str">
        <f>HYPERLINK("https://twitter.com/raymond_frans","@raymond_frans")</f>
        <v>@raymond_frans</v>
      </c>
      <c r="C6302" s="8" t="s">
        <v>3017</v>
      </c>
      <c r="D6302" s="8">
        <v>0</v>
      </c>
      <c r="E6302" s="8">
        <v>1</v>
      </c>
      <c r="F6302" s="8">
        <v>385</v>
      </c>
    </row>
    <row r="6303" spans="1:6" ht="12.75">
      <c r="A6303" s="8">
        <v>43902.246168981481</v>
      </c>
      <c r="B6303" s="8" t="str">
        <f>HYPERLINK("https://twitter.com/ISIS_Balik_NO","@ISIS_Balik_NO")</f>
        <v>@ISIS_Balik_NO</v>
      </c>
      <c r="C6303" s="8" t="s">
        <v>3018</v>
      </c>
      <c r="D6303" s="8">
        <v>0</v>
      </c>
      <c r="E6303" s="8">
        <v>0</v>
      </c>
      <c r="F6303" s="8">
        <v>6228</v>
      </c>
    </row>
    <row r="6304" spans="1:6" ht="12.75">
      <c r="A6304" s="8">
        <v>43902.245694444442</v>
      </c>
      <c r="B6304" s="8" t="str">
        <f>HYPERLINK("https://twitter.com/rezaa_ejaa","@rezaa_ejaa")</f>
        <v>@rezaa_ejaa</v>
      </c>
      <c r="C6304" s="8" t="s">
        <v>1186</v>
      </c>
      <c r="D6304" s="8">
        <v>422</v>
      </c>
      <c r="E6304" s="8">
        <v>0</v>
      </c>
      <c r="F6304" s="8">
        <v>228</v>
      </c>
    </row>
    <row r="6305" spans="1:6" ht="12.75">
      <c r="A6305" s="8">
        <v>43902.244884259257</v>
      </c>
      <c r="B6305" s="8" t="str">
        <f>HYPERLINK("https://twitter.com/lacunaethra","@lacunaethra")</f>
        <v>@lacunaethra</v>
      </c>
      <c r="C6305" s="8" t="s">
        <v>3019</v>
      </c>
      <c r="D6305" s="8">
        <v>0</v>
      </c>
      <c r="E6305" s="8">
        <v>0</v>
      </c>
      <c r="F6305" s="8">
        <v>143</v>
      </c>
    </row>
    <row r="6306" spans="1:6" ht="12.75">
      <c r="A6306" s="8">
        <v>43902.244791666672</v>
      </c>
      <c r="B6306" s="8" t="str">
        <f>HYPERLINK("https://twitter.com/SunardiGiman1","@SunardiGiman1")</f>
        <v>@SunardiGiman1</v>
      </c>
      <c r="C6306" s="8" t="s">
        <v>2872</v>
      </c>
      <c r="D6306" s="8">
        <v>6</v>
      </c>
      <c r="E6306" s="8">
        <v>0</v>
      </c>
      <c r="F6306" s="8">
        <v>1085</v>
      </c>
    </row>
    <row r="6307" spans="1:6" ht="12.75">
      <c r="A6307" s="8">
        <v>43902.243460648147</v>
      </c>
      <c r="B6307" s="8" t="str">
        <f>HYPERLINK("https://twitter.com/topinfo_id","@topinfo_id")</f>
        <v>@topinfo_id</v>
      </c>
      <c r="C6307" s="8" t="s">
        <v>3020</v>
      </c>
      <c r="D6307" s="8">
        <v>0</v>
      </c>
      <c r="E6307" s="8">
        <v>0</v>
      </c>
      <c r="F6307" s="8">
        <v>97</v>
      </c>
    </row>
    <row r="6308" spans="1:6" ht="12.75">
      <c r="A6308" s="8">
        <v>43902.241064814814</v>
      </c>
      <c r="B6308" s="8" t="str">
        <f>HYPERLINK("https://twitter.com/FirmanMannaga","@FirmanMannaga")</f>
        <v>@FirmanMannaga</v>
      </c>
      <c r="C6308" s="8" t="s">
        <v>3021</v>
      </c>
      <c r="D6308" s="8">
        <v>0</v>
      </c>
      <c r="E6308" s="8">
        <v>1</v>
      </c>
      <c r="F6308" s="8">
        <v>28</v>
      </c>
    </row>
    <row r="6309" spans="1:6" ht="12.75">
      <c r="A6309" s="8">
        <v>43902.236712962964</v>
      </c>
      <c r="B6309" s="8" t="str">
        <f>HYPERLINK("https://twitter.com/bennydjuwanda","@bennydjuwanda")</f>
        <v>@bennydjuwanda</v>
      </c>
      <c r="C6309" s="8" t="s">
        <v>1801</v>
      </c>
      <c r="D6309" s="8">
        <v>346</v>
      </c>
      <c r="E6309" s="8">
        <v>0</v>
      </c>
      <c r="F6309" s="8">
        <v>315</v>
      </c>
    </row>
    <row r="6310" spans="1:6" ht="12.75">
      <c r="A6310" s="8">
        <v>43902.234872685185</v>
      </c>
      <c r="B6310" s="8" t="str">
        <f>HYPERLINK("https://twitter.com/ISIS_Balik_NO","@ISIS_Balik_NO")</f>
        <v>@ISIS_Balik_NO</v>
      </c>
      <c r="C6310" s="8" t="s">
        <v>3022</v>
      </c>
      <c r="D6310" s="8">
        <v>0</v>
      </c>
      <c r="E6310" s="8">
        <v>0</v>
      </c>
      <c r="F6310" s="8">
        <v>6228</v>
      </c>
    </row>
    <row r="6311" spans="1:6" ht="12.75">
      <c r="A6311" s="8">
        <v>43902.233587962968</v>
      </c>
      <c r="B6311" s="8" t="str">
        <f>HYPERLINK("https://twitter.com/_wni_","@_wni_")</f>
        <v>@_wni_</v>
      </c>
      <c r="C6311" s="8" t="s">
        <v>3023</v>
      </c>
      <c r="D6311" s="8">
        <v>0</v>
      </c>
      <c r="E6311" s="8">
        <v>0</v>
      </c>
      <c r="F6311" s="8">
        <v>20</v>
      </c>
    </row>
    <row r="6312" spans="1:6" ht="12.75">
      <c r="A6312" s="8">
        <v>43902.23302083333</v>
      </c>
      <c r="B6312" s="8" t="str">
        <f>HYPERLINK("https://twitter.com/ISIS_Balik_NO","@ISIS_Balik_NO")</f>
        <v>@ISIS_Balik_NO</v>
      </c>
      <c r="C6312" s="8" t="s">
        <v>3024</v>
      </c>
      <c r="D6312" s="8">
        <v>0</v>
      </c>
      <c r="E6312" s="8">
        <v>1</v>
      </c>
      <c r="F6312" s="8">
        <v>6228</v>
      </c>
    </row>
    <row r="6313" spans="1:6" ht="12.75">
      <c r="A6313" s="8">
        <v>43902.232523148152</v>
      </c>
      <c r="B6313" s="8" t="str">
        <f>HYPERLINK("https://twitter.com/mundsir","@mundsir")</f>
        <v>@mundsir</v>
      </c>
      <c r="C6313" s="8" t="s">
        <v>2989</v>
      </c>
      <c r="D6313" s="8">
        <v>160</v>
      </c>
      <c r="E6313" s="8">
        <v>0</v>
      </c>
      <c r="F6313" s="8">
        <v>90</v>
      </c>
    </row>
    <row r="6314" spans="1:6" ht="12.75">
      <c r="A6314" s="8">
        <v>43902.231099537035</v>
      </c>
      <c r="B6314" s="8" t="str">
        <f>HYPERLINK("https://twitter.com/XpetzD","@XpetzD")</f>
        <v>@XpetzD</v>
      </c>
      <c r="C6314" s="8" t="s">
        <v>3025</v>
      </c>
      <c r="D6314" s="8">
        <v>0</v>
      </c>
      <c r="E6314" s="8">
        <v>3</v>
      </c>
      <c r="F6314" s="8">
        <v>1293</v>
      </c>
    </row>
    <row r="6315" spans="1:6" ht="12.75">
      <c r="A6315" s="8">
        <v>43902.22956018518</v>
      </c>
      <c r="B6315" s="8" t="str">
        <f>HYPERLINK("https://twitter.com/adam_habibsuku","@adam_habibsuku")</f>
        <v>@adam_habibsuku</v>
      </c>
      <c r="C6315" s="8" t="s">
        <v>318</v>
      </c>
      <c r="D6315" s="8">
        <v>1429</v>
      </c>
      <c r="E6315" s="8">
        <v>0</v>
      </c>
      <c r="F6315" s="8">
        <v>321</v>
      </c>
    </row>
    <row r="6316" spans="1:6" ht="12.75">
      <c r="A6316" s="8">
        <v>43902.229247685187</v>
      </c>
      <c r="B6316" s="8" t="str">
        <f>HYPERLINK("https://twitter.com/herdianto_edy","@herdianto_edy")</f>
        <v>@herdianto_edy</v>
      </c>
      <c r="C6316" s="8" t="s">
        <v>3026</v>
      </c>
      <c r="D6316" s="8">
        <v>0</v>
      </c>
      <c r="E6316" s="8">
        <v>0</v>
      </c>
      <c r="F6316" s="8">
        <v>559</v>
      </c>
    </row>
    <row r="6317" spans="1:6" ht="12.75">
      <c r="A6317" s="8">
        <v>43902.229166666672</v>
      </c>
      <c r="B6317" s="8" t="str">
        <f>HYPERLINK("https://twitter.com/ISIS_Balik_NO","@ISIS_Balik_NO")</f>
        <v>@ISIS_Balik_NO</v>
      </c>
      <c r="C6317" s="8" t="s">
        <v>3027</v>
      </c>
      <c r="D6317" s="8">
        <v>0</v>
      </c>
      <c r="E6317" s="8">
        <v>0</v>
      </c>
      <c r="F6317" s="8">
        <v>6228</v>
      </c>
    </row>
    <row r="6318" spans="1:6" ht="12.75">
      <c r="A6318" s="8">
        <v>43902.228078703702</v>
      </c>
      <c r="B6318" s="8" t="str">
        <f>HYPERLINK("https://twitter.com/sukamknmieaym","@sukamknmieaym")</f>
        <v>@sukamknmieaym</v>
      </c>
      <c r="C6318" s="8" t="s">
        <v>2990</v>
      </c>
      <c r="D6318" s="8">
        <v>2</v>
      </c>
      <c r="E6318" s="8">
        <v>0</v>
      </c>
      <c r="F6318" s="8">
        <v>3162</v>
      </c>
    </row>
    <row r="6319" spans="1:6" ht="12.75">
      <c r="A6319" s="8">
        <v>43902.227997685186</v>
      </c>
      <c r="B6319" s="8" t="str">
        <f>HYPERLINK("https://twitter.com/ISIS_Balik_NO","@ISIS_Balik_NO")</f>
        <v>@ISIS_Balik_NO</v>
      </c>
      <c r="C6319" s="8" t="s">
        <v>3028</v>
      </c>
      <c r="D6319" s="8">
        <v>0</v>
      </c>
      <c r="E6319" s="8">
        <v>0</v>
      </c>
      <c r="F6319" s="8">
        <v>6228</v>
      </c>
    </row>
    <row r="6320" spans="1:6" ht="12.75">
      <c r="A6320" s="8">
        <v>43902.227592592593</v>
      </c>
      <c r="B6320" s="8" t="str">
        <f>HYPERLINK("https://twitter.com/EzzyKenzaki","@EzzyKenzaki")</f>
        <v>@EzzyKenzaki</v>
      </c>
      <c r="C6320" s="8" t="s">
        <v>2990</v>
      </c>
      <c r="D6320" s="8">
        <v>2</v>
      </c>
      <c r="E6320" s="8">
        <v>0</v>
      </c>
      <c r="F6320" s="8">
        <v>522</v>
      </c>
    </row>
    <row r="6321" spans="1:6" ht="12.75">
      <c r="A6321" s="8">
        <v>43902.227268518516</v>
      </c>
      <c r="B6321" s="8" t="str">
        <f>HYPERLINK("https://twitter.com/FirmanMannaga","@FirmanMannaga")</f>
        <v>@FirmanMannaga</v>
      </c>
      <c r="C6321" s="8" t="s">
        <v>3029</v>
      </c>
      <c r="D6321" s="8">
        <v>0</v>
      </c>
      <c r="E6321" s="8">
        <v>1</v>
      </c>
      <c r="F6321" s="8">
        <v>28</v>
      </c>
    </row>
    <row r="6322" spans="1:6" ht="12.75">
      <c r="A6322" s="8">
        <v>43902.227013888885</v>
      </c>
      <c r="B6322" s="8" t="str">
        <f>HYPERLINK("https://twitter.com/ISIS_Balik_NO","@ISIS_Balik_NO")</f>
        <v>@ISIS_Balik_NO</v>
      </c>
      <c r="C6322" s="8" t="s">
        <v>3030</v>
      </c>
      <c r="D6322" s="8">
        <v>0</v>
      </c>
      <c r="E6322" s="8">
        <v>1</v>
      </c>
      <c r="F6322" s="8">
        <v>6228</v>
      </c>
    </row>
    <row r="6323" spans="1:6" ht="12.75">
      <c r="A6323" s="8">
        <v>43902.226909722223</v>
      </c>
      <c r="B6323" s="8" t="str">
        <f>HYPERLINK("https://twitter.com/LearnEager","@LearnEager")</f>
        <v>@LearnEager</v>
      </c>
      <c r="C6323" s="8" t="s">
        <v>1186</v>
      </c>
      <c r="D6323" s="8">
        <v>422</v>
      </c>
      <c r="E6323" s="8">
        <v>0</v>
      </c>
      <c r="F6323" s="8">
        <v>280</v>
      </c>
    </row>
    <row r="6324" spans="1:6" ht="12.75">
      <c r="A6324" s="8">
        <v>43902.22657407407</v>
      </c>
      <c r="B6324" s="8" t="str">
        <f>HYPERLINK("https://twitter.com/anak_boba","@anak_boba")</f>
        <v>@anak_boba</v>
      </c>
      <c r="C6324" s="8" t="s">
        <v>3031</v>
      </c>
      <c r="D6324" s="8">
        <v>0</v>
      </c>
      <c r="E6324" s="8">
        <v>1</v>
      </c>
      <c r="F6324" s="8">
        <v>6</v>
      </c>
    </row>
    <row r="6325" spans="1:6" ht="12.75">
      <c r="A6325" s="8">
        <v>43902.225300925929</v>
      </c>
      <c r="B6325" s="8" t="str">
        <f>HYPERLINK("https://twitter.com/ISIS_Balik_NO","@ISIS_Balik_NO")</f>
        <v>@ISIS_Balik_NO</v>
      </c>
      <c r="C6325" s="8" t="s">
        <v>3032</v>
      </c>
      <c r="D6325" s="8">
        <v>0</v>
      </c>
      <c r="E6325" s="8">
        <v>0</v>
      </c>
      <c r="F6325" s="8">
        <v>6228</v>
      </c>
    </row>
    <row r="6326" spans="1:6" ht="12.75">
      <c r="A6326" s="8">
        <v>43902.224907407406</v>
      </c>
      <c r="B6326" s="8" t="str">
        <f>HYPERLINK("https://twitter.com/ihwan_sn","@ihwan_sn")</f>
        <v>@ihwan_sn</v>
      </c>
      <c r="C6326" s="8" t="s">
        <v>318</v>
      </c>
      <c r="D6326" s="8">
        <v>1429</v>
      </c>
      <c r="E6326" s="8">
        <v>0</v>
      </c>
      <c r="F6326" s="8">
        <v>456</v>
      </c>
    </row>
    <row r="6327" spans="1:6" ht="12.75">
      <c r="A6327" s="8">
        <v>43902.224826388891</v>
      </c>
      <c r="B6327" s="8" t="str">
        <f>HYPERLINK("https://twitter.com/seungwoolipop","@seungwoolipop")</f>
        <v>@seungwoolipop</v>
      </c>
      <c r="C6327" s="8" t="s">
        <v>3033</v>
      </c>
      <c r="D6327" s="8">
        <v>0</v>
      </c>
      <c r="E6327" s="8">
        <v>0</v>
      </c>
      <c r="F6327" s="8">
        <v>672</v>
      </c>
    </row>
    <row r="6328" spans="1:6" ht="12.75">
      <c r="A6328" s="8">
        <v>43902.224768518514</v>
      </c>
      <c r="B6328" s="8" t="str">
        <f>HYPERLINK("https://twitter.com/ISIS_Balik_NO","@ISIS_Balik_NO")</f>
        <v>@ISIS_Balik_NO</v>
      </c>
      <c r="C6328" s="8" t="s">
        <v>3034</v>
      </c>
      <c r="D6328" s="8">
        <v>0</v>
      </c>
      <c r="E6328" s="8">
        <v>0</v>
      </c>
      <c r="F6328" s="8">
        <v>6228</v>
      </c>
    </row>
    <row r="6329" spans="1:6" ht="12.75">
      <c r="A6329" s="8">
        <v>43902.223958333328</v>
      </c>
      <c r="B6329" s="8" t="str">
        <f>HYPERLINK("https://twitter.com/JavazAbu","@JavazAbu")</f>
        <v>@JavazAbu</v>
      </c>
      <c r="C6329" s="8" t="s">
        <v>2989</v>
      </c>
      <c r="D6329" s="8">
        <v>160</v>
      </c>
      <c r="E6329" s="8">
        <v>0</v>
      </c>
      <c r="F6329" s="8">
        <v>1529</v>
      </c>
    </row>
    <row r="6330" spans="1:6" ht="12.75">
      <c r="A6330" s="8">
        <v>43902.223923611113</v>
      </c>
      <c r="B6330" s="8" t="str">
        <f>HYPERLINK("https://twitter.com/ISIS_Balik_NO","@ISIS_Balik_NO")</f>
        <v>@ISIS_Balik_NO</v>
      </c>
      <c r="C6330" s="8" t="s">
        <v>3035</v>
      </c>
      <c r="D6330" s="8">
        <v>0</v>
      </c>
      <c r="E6330" s="8">
        <v>3</v>
      </c>
      <c r="F6330" s="8">
        <v>6228</v>
      </c>
    </row>
    <row r="6331" spans="1:6" ht="12.75">
      <c r="A6331" s="8">
        <v>43902.223437499997</v>
      </c>
      <c r="B6331" s="8" t="str">
        <f>HYPERLINK("https://twitter.com/Dedyfayyed","@Dedyfayyed")</f>
        <v>@Dedyfayyed</v>
      </c>
      <c r="C6331" s="8" t="s">
        <v>1186</v>
      </c>
      <c r="D6331" s="8">
        <v>422</v>
      </c>
      <c r="E6331" s="8">
        <v>0</v>
      </c>
      <c r="F6331" s="8">
        <v>79</v>
      </c>
    </row>
    <row r="6332" spans="1:6" ht="12.75">
      <c r="A6332" s="8">
        <v>43902.223020833335</v>
      </c>
      <c r="B6332" s="8" t="str">
        <f>HYPERLINK("https://twitter.com/WSuryasana","@WSuryasana")</f>
        <v>@WSuryasana</v>
      </c>
      <c r="C6332" s="8" t="s">
        <v>2714</v>
      </c>
      <c r="D6332" s="8">
        <v>9</v>
      </c>
      <c r="E6332" s="8">
        <v>0</v>
      </c>
      <c r="F6332" s="8">
        <v>5663</v>
      </c>
    </row>
    <row r="6333" spans="1:6" ht="12.75">
      <c r="A6333" s="8">
        <v>43902.222986111112</v>
      </c>
      <c r="B6333" s="8" t="str">
        <f>HYPERLINK("https://twitter.com/callmepaqiih","@callmepaqiih")</f>
        <v>@callmepaqiih</v>
      </c>
      <c r="C6333" s="8" t="s">
        <v>3036</v>
      </c>
      <c r="D6333" s="8">
        <v>2</v>
      </c>
      <c r="E6333" s="8">
        <v>6</v>
      </c>
      <c r="F6333" s="8">
        <v>3842</v>
      </c>
    </row>
    <row r="6334" spans="1:6" ht="12.75">
      <c r="A6334" s="8">
        <v>43902.222592592589</v>
      </c>
      <c r="B6334" s="8" t="str">
        <f>HYPERLINK("https://twitter.com/UFit24","@UFit24")</f>
        <v>@UFit24</v>
      </c>
      <c r="C6334" s="8" t="s">
        <v>2989</v>
      </c>
      <c r="D6334" s="8">
        <v>160</v>
      </c>
      <c r="E6334" s="8">
        <v>0</v>
      </c>
      <c r="F6334" s="8">
        <v>4468</v>
      </c>
    </row>
    <row r="6335" spans="1:6" ht="12.75">
      <c r="A6335" s="8">
        <v>43902.22174768518</v>
      </c>
      <c r="B6335" s="8" t="str">
        <f>HYPERLINK("https://twitter.com/Dani86113065","@Dani86113065")</f>
        <v>@Dani86113065</v>
      </c>
      <c r="C6335" s="8" t="s">
        <v>3037</v>
      </c>
      <c r="D6335" s="8">
        <v>5</v>
      </c>
      <c r="E6335" s="8">
        <v>0</v>
      </c>
      <c r="F6335" s="8">
        <v>532</v>
      </c>
    </row>
    <row r="6336" spans="1:6" ht="12.75">
      <c r="A6336" s="8">
        <v>43902.221064814818</v>
      </c>
      <c r="B6336" s="8" t="str">
        <f t="shared" ref="B6336:B6338" si="119">HYPERLINK("https://twitter.com/giri_inayah","@giri_inayah")</f>
        <v>@giri_inayah</v>
      </c>
      <c r="C6336" s="8" t="s">
        <v>3038</v>
      </c>
      <c r="D6336" s="8">
        <v>70</v>
      </c>
      <c r="E6336" s="8">
        <v>0</v>
      </c>
      <c r="F6336" s="8">
        <v>151</v>
      </c>
    </row>
    <row r="6337" spans="1:6" ht="12.75">
      <c r="A6337" s="8">
        <v>43902.220949074079</v>
      </c>
      <c r="B6337" s="8" t="str">
        <f t="shared" si="119"/>
        <v>@giri_inayah</v>
      </c>
      <c r="C6337" s="8" t="s">
        <v>3039</v>
      </c>
      <c r="D6337" s="8">
        <v>34</v>
      </c>
      <c r="E6337" s="8">
        <v>0</v>
      </c>
      <c r="F6337" s="8">
        <v>151</v>
      </c>
    </row>
    <row r="6338" spans="1:6" ht="12.75">
      <c r="A6338" s="8">
        <v>43902.220833333333</v>
      </c>
      <c r="B6338" s="8" t="str">
        <f t="shared" si="119"/>
        <v>@giri_inayah</v>
      </c>
      <c r="C6338" s="8" t="s">
        <v>3040</v>
      </c>
      <c r="D6338" s="8">
        <v>3</v>
      </c>
      <c r="E6338" s="8">
        <v>0</v>
      </c>
      <c r="F6338" s="8">
        <v>151</v>
      </c>
    </row>
    <row r="6339" spans="1:6" ht="12.75">
      <c r="A6339" s="8">
        <v>43902.220451388886</v>
      </c>
      <c r="B6339" s="8" t="str">
        <f>HYPERLINK("https://twitter.com/in_nass","@in_nass")</f>
        <v>@in_nass</v>
      </c>
      <c r="C6339" s="8" t="s">
        <v>2989</v>
      </c>
      <c r="D6339" s="8">
        <v>160</v>
      </c>
      <c r="E6339" s="8">
        <v>0</v>
      </c>
      <c r="F6339" s="8">
        <v>1157</v>
      </c>
    </row>
    <row r="6340" spans="1:6" ht="12.75">
      <c r="A6340" s="8">
        <v>43902.220393518517</v>
      </c>
      <c r="B6340" s="8" t="str">
        <f t="shared" ref="B6340:B6343" si="120">HYPERLINK("https://twitter.com/giri_inayah","@giri_inayah")</f>
        <v>@giri_inayah</v>
      </c>
      <c r="C6340" s="8" t="s">
        <v>3041</v>
      </c>
      <c r="D6340" s="8">
        <v>9</v>
      </c>
      <c r="E6340" s="8">
        <v>0</v>
      </c>
      <c r="F6340" s="8">
        <v>151</v>
      </c>
    </row>
    <row r="6341" spans="1:6" ht="12.75">
      <c r="A6341" s="8">
        <v>43902.220358796301</v>
      </c>
      <c r="B6341" s="8" t="str">
        <f t="shared" si="120"/>
        <v>@giri_inayah</v>
      </c>
      <c r="C6341" s="8" t="s">
        <v>3042</v>
      </c>
      <c r="D6341" s="8">
        <v>30</v>
      </c>
      <c r="E6341" s="8">
        <v>0</v>
      </c>
      <c r="F6341" s="8">
        <v>151</v>
      </c>
    </row>
    <row r="6342" spans="1:6" ht="12.75">
      <c r="A6342" s="8">
        <v>43902.220162037032</v>
      </c>
      <c r="B6342" s="8" t="str">
        <f t="shared" si="120"/>
        <v>@giri_inayah</v>
      </c>
      <c r="C6342" s="8" t="s">
        <v>3043</v>
      </c>
      <c r="D6342" s="8">
        <v>10</v>
      </c>
      <c r="E6342" s="8">
        <v>0</v>
      </c>
      <c r="F6342" s="8">
        <v>151</v>
      </c>
    </row>
    <row r="6343" spans="1:6" ht="12.75">
      <c r="A6343" s="8">
        <v>43902.22011574074</v>
      </c>
      <c r="B6343" s="8" t="str">
        <f t="shared" si="120"/>
        <v>@giri_inayah</v>
      </c>
      <c r="C6343" s="8" t="s">
        <v>3044</v>
      </c>
      <c r="D6343" s="8">
        <v>7</v>
      </c>
      <c r="E6343" s="8">
        <v>0</v>
      </c>
      <c r="F6343" s="8">
        <v>151</v>
      </c>
    </row>
    <row r="6344" spans="1:6" ht="12.75">
      <c r="A6344" s="8">
        <v>43902.218344907407</v>
      </c>
      <c r="B6344" s="8" t="str">
        <f>HYPERLINK("https://twitter.com/penjagaaligarh","@penjagaaligarh")</f>
        <v>@penjagaaligarh</v>
      </c>
      <c r="C6344" s="8" t="s">
        <v>318</v>
      </c>
      <c r="D6344" s="8">
        <v>1429</v>
      </c>
      <c r="E6344" s="8">
        <v>0</v>
      </c>
      <c r="F6344" s="8">
        <v>186</v>
      </c>
    </row>
    <row r="6345" spans="1:6" ht="12.75">
      <c r="A6345" s="8">
        <v>43902.218240740738</v>
      </c>
      <c r="B6345" s="8" t="str">
        <f>HYPERLINK("https://twitter.com/BromocorahGrCeb","@BromocorahGrCeb")</f>
        <v>@BromocorahGrCeb</v>
      </c>
      <c r="C6345" s="8" t="s">
        <v>2490</v>
      </c>
      <c r="D6345" s="8">
        <v>4</v>
      </c>
      <c r="E6345" s="8">
        <v>0</v>
      </c>
      <c r="F6345" s="8">
        <v>4173</v>
      </c>
    </row>
    <row r="6346" spans="1:6" ht="12.75">
      <c r="A6346" s="8">
        <v>43902.216238425928</v>
      </c>
      <c r="B6346" s="8" t="str">
        <f>HYPERLINK("https://twitter.com/DickyMr85","@DickyMr85")</f>
        <v>@DickyMr85</v>
      </c>
      <c r="C6346" s="8" t="s">
        <v>1186</v>
      </c>
      <c r="D6346" s="8">
        <v>422</v>
      </c>
      <c r="E6346" s="8">
        <v>0</v>
      </c>
      <c r="F6346" s="8">
        <v>87</v>
      </c>
    </row>
    <row r="6347" spans="1:6" ht="12.75">
      <c r="A6347" s="8">
        <v>43902.214386574073</v>
      </c>
      <c r="B6347" s="8" t="str">
        <f>HYPERLINK("https://twitter.com/Padussikoto1","@Padussikoto1")</f>
        <v>@Padussikoto1</v>
      </c>
      <c r="C6347" s="8" t="s">
        <v>2490</v>
      </c>
      <c r="D6347" s="8">
        <v>3</v>
      </c>
      <c r="E6347" s="8">
        <v>0</v>
      </c>
      <c r="F6347" s="8">
        <v>1817</v>
      </c>
    </row>
    <row r="6348" spans="1:6" ht="12.75">
      <c r="A6348" s="8">
        <v>43902.214108796295</v>
      </c>
      <c r="B6348" s="8" t="str">
        <f>HYPERLINK("https://twitter.com/harihariono1","@harihariono1")</f>
        <v>@harihariono1</v>
      </c>
      <c r="C6348" s="8" t="s">
        <v>2977</v>
      </c>
      <c r="D6348" s="8">
        <v>1</v>
      </c>
      <c r="E6348" s="8">
        <v>0</v>
      </c>
      <c r="F6348" s="8">
        <v>9527</v>
      </c>
    </row>
    <row r="6349" spans="1:6" ht="12.75">
      <c r="A6349" s="8">
        <v>43902.213877314818</v>
      </c>
      <c r="B6349" s="8" t="str">
        <f>HYPERLINK("https://twitter.com/sofia_sudarma","@sofia_sudarma")</f>
        <v>@sofia_sudarma</v>
      </c>
      <c r="C6349" s="8" t="s">
        <v>2177</v>
      </c>
      <c r="D6349" s="8">
        <v>54</v>
      </c>
      <c r="E6349" s="8">
        <v>0</v>
      </c>
      <c r="F6349" s="8">
        <v>863</v>
      </c>
    </row>
    <row r="6350" spans="1:6" ht="12.75">
      <c r="A6350" s="8">
        <v>43902.213194444441</v>
      </c>
      <c r="B6350" s="8" t="str">
        <f>HYPERLINK("https://twitter.com/kutipan_lagu22","@kutipan_lagu22")</f>
        <v>@kutipan_lagu22</v>
      </c>
      <c r="C6350" s="8" t="s">
        <v>237</v>
      </c>
      <c r="D6350" s="8">
        <v>0</v>
      </c>
      <c r="E6350" s="8">
        <v>0</v>
      </c>
      <c r="F6350" s="8">
        <v>282</v>
      </c>
    </row>
    <row r="6351" spans="1:6" ht="12.75">
      <c r="A6351" s="8">
        <v>43902.212500000001</v>
      </c>
      <c r="B6351" s="8" t="str">
        <f>HYPERLINK("https://twitter.com/ItsMyRealQuotes","@ItsMyRealQuotes")</f>
        <v>@ItsMyRealQuotes</v>
      </c>
      <c r="C6351" s="8" t="s">
        <v>3045</v>
      </c>
      <c r="D6351" s="8">
        <v>0</v>
      </c>
      <c r="E6351" s="8">
        <v>0</v>
      </c>
      <c r="F6351" s="8">
        <v>183382</v>
      </c>
    </row>
    <row r="6352" spans="1:6" ht="12.75">
      <c r="A6352" s="8">
        <v>43902.212280092594</v>
      </c>
      <c r="B6352" s="8" t="str">
        <f>HYPERLINK("https://twitter.com/nadinaini2","@nadinaini2")</f>
        <v>@nadinaini2</v>
      </c>
      <c r="C6352" s="8" t="s">
        <v>318</v>
      </c>
      <c r="D6352" s="8">
        <v>1424</v>
      </c>
      <c r="E6352" s="8">
        <v>0</v>
      </c>
      <c r="F6352" s="8">
        <v>101</v>
      </c>
    </row>
    <row r="6353" spans="1:6" ht="12.75">
      <c r="A6353" s="8">
        <v>43902.21130787037</v>
      </c>
      <c r="B6353" s="8" t="str">
        <f>HYPERLINK("https://twitter.com/didiwrahmadi","@didiwrahmadi")</f>
        <v>@didiwrahmadi</v>
      </c>
      <c r="C6353" s="8" t="s">
        <v>2292</v>
      </c>
      <c r="D6353" s="8">
        <v>40</v>
      </c>
      <c r="E6353" s="8">
        <v>0</v>
      </c>
      <c r="F6353" s="8">
        <v>314</v>
      </c>
    </row>
    <row r="6354" spans="1:6" ht="12.75">
      <c r="A6354" s="8">
        <v>43902.208900462967</v>
      </c>
      <c r="B6354" s="8" t="str">
        <f>HYPERLINK("https://twitter.com/achiesetyawati","@achiesetyawati")</f>
        <v>@achiesetyawati</v>
      </c>
      <c r="C6354" s="8" t="s">
        <v>2292</v>
      </c>
      <c r="D6354" s="8">
        <v>40</v>
      </c>
      <c r="E6354" s="8">
        <v>0</v>
      </c>
      <c r="F6354" s="8">
        <v>69</v>
      </c>
    </row>
    <row r="6355" spans="1:6" ht="12.75">
      <c r="A6355" s="8">
        <v>43902.208333333328</v>
      </c>
      <c r="B6355" s="8" t="str">
        <f>HYPERLINK("https://twitter.com/selfieituindah","@selfieituindah")</f>
        <v>@selfieituindah</v>
      </c>
      <c r="C6355" s="8" t="s">
        <v>3046</v>
      </c>
      <c r="D6355" s="8">
        <v>0</v>
      </c>
      <c r="E6355" s="8">
        <v>0</v>
      </c>
      <c r="F6355" s="8">
        <v>21310</v>
      </c>
    </row>
    <row r="6356" spans="1:6" ht="12.75">
      <c r="A6356" s="8">
        <v>43902.208182870367</v>
      </c>
      <c r="B6356" s="8" t="str">
        <f>HYPERLINK("https://twitter.com/MJoeJoef1","@MJoeJoef1")</f>
        <v>@MJoeJoef1</v>
      </c>
      <c r="C6356" s="8" t="s">
        <v>2989</v>
      </c>
      <c r="D6356" s="8">
        <v>155</v>
      </c>
      <c r="E6356" s="8">
        <v>0</v>
      </c>
      <c r="F6356" s="8">
        <v>615</v>
      </c>
    </row>
    <row r="6357" spans="1:6" ht="12.75">
      <c r="A6357" s="8">
        <v>43902.207187499997</v>
      </c>
      <c r="B6357" s="8" t="str">
        <f>HYPERLINK("https://twitter.com/JumardiDaeng","@JumardiDaeng")</f>
        <v>@JumardiDaeng</v>
      </c>
      <c r="C6357" s="8" t="s">
        <v>2292</v>
      </c>
      <c r="D6357" s="8">
        <v>40</v>
      </c>
      <c r="E6357" s="8">
        <v>0</v>
      </c>
      <c r="F6357" s="8">
        <v>54</v>
      </c>
    </row>
    <row r="6358" spans="1:6" ht="12.75">
      <c r="A6358" s="8">
        <v>43902.204398148147</v>
      </c>
      <c r="B6358" s="8" t="str">
        <f>HYPERLINK("https://twitter.com/AidulFa","@AidulFa")</f>
        <v>@AidulFa</v>
      </c>
      <c r="C6358" s="8" t="s">
        <v>3047</v>
      </c>
      <c r="D6358" s="8">
        <v>1</v>
      </c>
      <c r="E6358" s="8">
        <v>0</v>
      </c>
      <c r="F6358" s="8">
        <v>4025</v>
      </c>
    </row>
    <row r="6359" spans="1:6" ht="12.75">
      <c r="A6359" s="8">
        <v>43902.203078703707</v>
      </c>
      <c r="B6359" s="8" t="str">
        <f>HYPERLINK("https://twitter.com/yuddychrisnandi","@yuddychrisnandi")</f>
        <v>@yuddychrisnandi</v>
      </c>
      <c r="C6359" s="8" t="s">
        <v>3048</v>
      </c>
      <c r="D6359" s="8">
        <v>1</v>
      </c>
      <c r="E6359" s="8">
        <v>3</v>
      </c>
      <c r="F6359" s="8">
        <v>177078</v>
      </c>
    </row>
    <row r="6360" spans="1:6" ht="12.75">
      <c r="A6360" s="8">
        <v>43902.199583333335</v>
      </c>
      <c r="B6360" s="8" t="str">
        <f>HYPERLINK("https://twitter.com/dwiharyanto26","@dwiharyanto26")</f>
        <v>@dwiharyanto26</v>
      </c>
      <c r="C6360" s="8" t="s">
        <v>3049</v>
      </c>
      <c r="D6360" s="8">
        <v>0</v>
      </c>
      <c r="E6360" s="8">
        <v>0</v>
      </c>
      <c r="F6360" s="8">
        <v>12</v>
      </c>
    </row>
    <row r="6361" spans="1:6" ht="12.75">
      <c r="A6361" s="8">
        <v>43902.19930555555</v>
      </c>
      <c r="B6361" s="8" t="str">
        <f>HYPERLINK("https://twitter.com/feelinpeachyou","@feelinpeachyou")</f>
        <v>@feelinpeachyou</v>
      </c>
      <c r="C6361" s="8" t="s">
        <v>3050</v>
      </c>
      <c r="D6361" s="8">
        <v>146</v>
      </c>
      <c r="E6361" s="8">
        <v>0</v>
      </c>
      <c r="F6361" s="8">
        <v>127</v>
      </c>
    </row>
    <row r="6362" spans="1:6" ht="12.75">
      <c r="A6362" s="8">
        <v>43902.197939814811</v>
      </c>
      <c r="B6362" s="8" t="str">
        <f>HYPERLINK("https://twitter.com/ILIASIYUN","@ILIASIYUN")</f>
        <v>@ILIASIYUN</v>
      </c>
      <c r="C6362" s="8" t="s">
        <v>3051</v>
      </c>
      <c r="D6362" s="8">
        <v>0</v>
      </c>
      <c r="E6362" s="8">
        <v>0</v>
      </c>
      <c r="F6362" s="8">
        <v>520</v>
      </c>
    </row>
    <row r="6363" spans="1:6" ht="12.75">
      <c r="A6363" s="8">
        <v>43902.197442129633</v>
      </c>
      <c r="B6363" s="8" t="str">
        <f>HYPERLINK("https://twitter.com/nizham_id","@nizham_id")</f>
        <v>@nizham_id</v>
      </c>
      <c r="C6363" s="8" t="s">
        <v>2989</v>
      </c>
      <c r="D6363" s="8">
        <v>155</v>
      </c>
      <c r="E6363" s="8">
        <v>0</v>
      </c>
      <c r="F6363" s="8">
        <v>1358</v>
      </c>
    </row>
    <row r="6364" spans="1:6" ht="12.75">
      <c r="A6364" s="8">
        <v>43902.196585648147</v>
      </c>
      <c r="B6364" s="8" t="str">
        <f>HYPERLINK("https://twitter.com/mudha_satriya","@mudha_satriya")</f>
        <v>@mudha_satriya</v>
      </c>
      <c r="C6364" s="8" t="s">
        <v>3052</v>
      </c>
      <c r="D6364" s="8">
        <v>1</v>
      </c>
      <c r="E6364" s="8">
        <v>0</v>
      </c>
      <c r="F6364" s="8">
        <v>1887</v>
      </c>
    </row>
    <row r="6365" spans="1:6" ht="12.75">
      <c r="A6365" s="8">
        <v>43902.194756944446</v>
      </c>
      <c r="B6365" s="8" t="str">
        <f>HYPERLINK("https://twitter.com/ILIASIYUN","@ILIASIYUN")</f>
        <v>@ILIASIYUN</v>
      </c>
      <c r="C6365" s="8" t="s">
        <v>3053</v>
      </c>
      <c r="D6365" s="8">
        <v>0</v>
      </c>
      <c r="E6365" s="8">
        <v>0</v>
      </c>
      <c r="F6365" s="8">
        <v>520</v>
      </c>
    </row>
    <row r="6366" spans="1:6" ht="12.75">
      <c r="A6366" s="8">
        <v>43902.191527777773</v>
      </c>
      <c r="B6366" s="8" t="str">
        <f>HYPERLINK("https://twitter.com/AspendiTanjung","@AspendiTanjung")</f>
        <v>@AspendiTanjung</v>
      </c>
      <c r="C6366" s="8" t="s">
        <v>2882</v>
      </c>
      <c r="D6366" s="8">
        <v>7</v>
      </c>
      <c r="E6366" s="8">
        <v>0</v>
      </c>
      <c r="F6366" s="8">
        <v>606</v>
      </c>
    </row>
    <row r="6367" spans="1:6" ht="12.75">
      <c r="A6367" s="8">
        <v>43902.191064814819</v>
      </c>
      <c r="B6367" s="8" t="str">
        <f>HYPERLINK("https://twitter.com/reitaza","@reitaza")</f>
        <v>@reitaza</v>
      </c>
      <c r="C6367" s="8" t="s">
        <v>3054</v>
      </c>
      <c r="D6367" s="8">
        <v>0</v>
      </c>
      <c r="E6367" s="8">
        <v>0</v>
      </c>
      <c r="F6367" s="8">
        <v>313</v>
      </c>
    </row>
    <row r="6368" spans="1:6" ht="12.75">
      <c r="A6368" s="8">
        <v>43902.188842592594</v>
      </c>
      <c r="B6368" s="8" t="str">
        <f>HYPERLINK("https://twitter.com/segopecels","@segopecels")</f>
        <v>@segopecels</v>
      </c>
      <c r="C6368" s="8" t="s">
        <v>3055</v>
      </c>
      <c r="D6368" s="8">
        <v>0</v>
      </c>
      <c r="E6368" s="8">
        <v>0</v>
      </c>
      <c r="F6368" s="8">
        <v>539</v>
      </c>
    </row>
    <row r="6369" spans="1:6" ht="12.75">
      <c r="A6369" s="8">
        <v>43902.1872337963</v>
      </c>
      <c r="B6369" s="8" t="str">
        <f>HYPERLINK("https://twitter.com/adeadag1","@adeadag1")</f>
        <v>@adeadag1</v>
      </c>
      <c r="C6369" s="8" t="s">
        <v>318</v>
      </c>
      <c r="D6369" s="8">
        <v>1424</v>
      </c>
      <c r="E6369" s="8">
        <v>0</v>
      </c>
      <c r="F6369" s="8">
        <v>692</v>
      </c>
    </row>
    <row r="6370" spans="1:6" ht="12.75">
      <c r="A6370" s="8">
        <v>43902.185624999998</v>
      </c>
      <c r="B6370" s="8" t="str">
        <f>HYPERLINK("https://twitter.com/RivaldiZakie","@RivaldiZakie")</f>
        <v>@RivaldiZakie</v>
      </c>
      <c r="C6370" s="8" t="s">
        <v>2178</v>
      </c>
      <c r="D6370" s="8">
        <v>38</v>
      </c>
      <c r="E6370" s="8">
        <v>0</v>
      </c>
      <c r="F6370" s="8">
        <v>15</v>
      </c>
    </row>
    <row r="6371" spans="1:6" ht="12.75">
      <c r="A6371" s="8">
        <v>43902.184479166666</v>
      </c>
      <c r="B6371" s="8" t="str">
        <f>HYPERLINK("https://twitter.com/aridwiaryani","@aridwiaryani")</f>
        <v>@aridwiaryani</v>
      </c>
      <c r="C6371" s="8" t="s">
        <v>1800</v>
      </c>
      <c r="D6371" s="8">
        <v>57</v>
      </c>
      <c r="E6371" s="8">
        <v>0</v>
      </c>
      <c r="F6371" s="8">
        <v>41</v>
      </c>
    </row>
    <row r="6372" spans="1:6" ht="12.75">
      <c r="A6372" s="8">
        <v>43902.183333333334</v>
      </c>
      <c r="B6372" s="8" t="str">
        <f>HYPERLINK("https://twitter.com/FatiinS_L","@FatiinS_L")</f>
        <v>@FatiinS_L</v>
      </c>
      <c r="C6372" s="8" t="s">
        <v>3056</v>
      </c>
      <c r="D6372" s="8">
        <v>0</v>
      </c>
      <c r="E6372" s="8">
        <v>0</v>
      </c>
      <c r="F6372" s="8">
        <v>16420</v>
      </c>
    </row>
    <row r="6373" spans="1:6" ht="12.75">
      <c r="A6373" s="8">
        <v>43902.181631944448</v>
      </c>
      <c r="B6373" s="8" t="str">
        <f>HYPERLINK("https://twitter.com/RealAmyJoelle","@RealAmyJoelle")</f>
        <v>@RealAmyJoelle</v>
      </c>
      <c r="C6373" s="8" t="s">
        <v>3057</v>
      </c>
      <c r="D6373" s="8">
        <v>1</v>
      </c>
      <c r="E6373" s="8">
        <v>2</v>
      </c>
      <c r="F6373" s="8">
        <v>722</v>
      </c>
    </row>
    <row r="6374" spans="1:6" ht="12.75">
      <c r="A6374" s="8">
        <v>43902.178842592592</v>
      </c>
      <c r="B6374" s="8" t="str">
        <f>HYPERLINK("https://twitter.com/NurCahyo_404","@NurCahyo_404")</f>
        <v>@NurCahyo_404</v>
      </c>
      <c r="C6374" s="8" t="s">
        <v>3049</v>
      </c>
      <c r="D6374" s="8">
        <v>0</v>
      </c>
      <c r="E6374" s="8">
        <v>0</v>
      </c>
      <c r="F6374" s="8">
        <v>9</v>
      </c>
    </row>
    <row r="6375" spans="1:6" ht="12.75">
      <c r="A6375" s="8">
        <v>43902.176562499997</v>
      </c>
      <c r="B6375" s="8" t="str">
        <f>HYPERLINK("https://twitter.com/JimBarleys1","@JimBarleys1")</f>
        <v>@JimBarleys1</v>
      </c>
      <c r="C6375" s="8" t="s">
        <v>3058</v>
      </c>
      <c r="D6375" s="8">
        <v>0</v>
      </c>
      <c r="E6375" s="8">
        <v>0</v>
      </c>
      <c r="F6375" s="8">
        <v>1</v>
      </c>
    </row>
    <row r="6376" spans="1:6" ht="12.75">
      <c r="A6376" s="8">
        <v>43902.175196759257</v>
      </c>
      <c r="B6376" s="8" t="str">
        <f t="shared" ref="B6376:B6377" si="121">HYPERLINK("https://twitter.com/husain26096239","@husain26096239")</f>
        <v>@husain26096239</v>
      </c>
      <c r="C6376" s="8" t="s">
        <v>3059</v>
      </c>
      <c r="D6376" s="8">
        <v>0</v>
      </c>
      <c r="E6376" s="8">
        <v>0</v>
      </c>
      <c r="F6376" s="8">
        <v>241</v>
      </c>
    </row>
    <row r="6377" spans="1:6" ht="12.75">
      <c r="A6377" s="8">
        <v>43902.175104166672</v>
      </c>
      <c r="B6377" s="8" t="str">
        <f t="shared" si="121"/>
        <v>@husain26096239</v>
      </c>
      <c r="C6377" s="8" t="s">
        <v>3060</v>
      </c>
      <c r="D6377" s="8">
        <v>0</v>
      </c>
      <c r="E6377" s="8">
        <v>0</v>
      </c>
      <c r="F6377" s="8">
        <v>241</v>
      </c>
    </row>
    <row r="6378" spans="1:6" ht="12.75">
      <c r="A6378" s="8">
        <v>43902.170034722221</v>
      </c>
      <c r="B6378" s="8" t="str">
        <f>HYPERLINK("https://twitter.com/Kabarsukadotcom","@Kabarsukadotcom")</f>
        <v>@Kabarsukadotcom</v>
      </c>
      <c r="C6378" s="8" t="s">
        <v>3061</v>
      </c>
      <c r="D6378" s="8">
        <v>0</v>
      </c>
      <c r="E6378" s="8">
        <v>0</v>
      </c>
      <c r="F6378" s="8">
        <v>17</v>
      </c>
    </row>
    <row r="6379" spans="1:6" ht="12.75">
      <c r="A6379" s="8">
        <v>43902.168275462958</v>
      </c>
      <c r="B6379" s="8" t="str">
        <f>HYPERLINK("https://twitter.com/mid_queen","@mid_queen")</f>
        <v>@mid_queen</v>
      </c>
      <c r="C6379" s="8" t="s">
        <v>318</v>
      </c>
      <c r="D6379" s="8">
        <v>1421</v>
      </c>
      <c r="E6379" s="8">
        <v>0</v>
      </c>
      <c r="F6379" s="8">
        <v>27</v>
      </c>
    </row>
    <row r="6380" spans="1:6" ht="12.75">
      <c r="A6380" s="8">
        <v>43902.163564814815</v>
      </c>
      <c r="B6380" s="8" t="str">
        <f>HYPERLINK("https://twitter.com/tidung_woles","@tidung_woles")</f>
        <v>@tidung_woles</v>
      </c>
      <c r="C6380" s="8" t="s">
        <v>2102</v>
      </c>
      <c r="D6380" s="8">
        <v>0</v>
      </c>
      <c r="E6380" s="8">
        <v>0</v>
      </c>
      <c r="F6380" s="8">
        <v>513</v>
      </c>
    </row>
    <row r="6381" spans="1:6" ht="12.75">
      <c r="A6381" s="8">
        <v>43902.160543981481</v>
      </c>
      <c r="B6381" s="8" t="str">
        <f t="shared" ref="B6381:B6382" si="122">HYPERLINK("https://twitter.com/SanAscLaw","@SanAscLaw")</f>
        <v>@SanAscLaw</v>
      </c>
      <c r="C6381" s="8" t="s">
        <v>3062</v>
      </c>
      <c r="D6381" s="8">
        <v>3</v>
      </c>
      <c r="E6381" s="8">
        <v>0</v>
      </c>
      <c r="F6381" s="8">
        <v>1167</v>
      </c>
    </row>
    <row r="6382" spans="1:6" ht="12.75">
      <c r="A6382" s="8">
        <v>43902.160324074073</v>
      </c>
      <c r="B6382" s="8" t="str">
        <f t="shared" si="122"/>
        <v>@SanAscLaw</v>
      </c>
      <c r="C6382" s="8" t="s">
        <v>3063</v>
      </c>
      <c r="D6382" s="8">
        <v>2</v>
      </c>
      <c r="E6382" s="8">
        <v>0</v>
      </c>
      <c r="F6382" s="8">
        <v>1167</v>
      </c>
    </row>
    <row r="6383" spans="1:6" ht="12.75">
      <c r="A6383" s="8">
        <v>43902.158888888887</v>
      </c>
      <c r="B6383" s="8" t="str">
        <f>HYPERLINK("https://twitter.com/bigyanntv","@bigyanntv")</f>
        <v>@bigyanntv</v>
      </c>
      <c r="C6383" s="8" t="s">
        <v>3064</v>
      </c>
      <c r="D6383" s="8">
        <v>0</v>
      </c>
      <c r="E6383" s="8">
        <v>0</v>
      </c>
      <c r="F6383" s="8">
        <v>419</v>
      </c>
    </row>
    <row r="6384" spans="1:6" ht="12.75">
      <c r="A6384" s="8">
        <v>43902.157951388886</v>
      </c>
      <c r="B6384" s="8" t="str">
        <f>HYPERLINK("https://twitter.com/PeciPecinta","@PeciPecinta")</f>
        <v>@PeciPecinta</v>
      </c>
      <c r="C6384" s="8" t="s">
        <v>3049</v>
      </c>
      <c r="D6384" s="8">
        <v>0</v>
      </c>
      <c r="E6384" s="8">
        <v>0</v>
      </c>
      <c r="F6384" s="8">
        <v>18</v>
      </c>
    </row>
    <row r="6385" spans="1:6" ht="12.75">
      <c r="A6385" s="8">
        <v>43902.157673611116</v>
      </c>
      <c r="B6385" s="8" t="str">
        <f>HYPERLINK("https://twitter.com/DodolNabi","@DodolNabi")</f>
        <v>@DodolNabi</v>
      </c>
      <c r="C6385" s="8" t="s">
        <v>2767</v>
      </c>
      <c r="D6385" s="8">
        <v>9</v>
      </c>
      <c r="E6385" s="8">
        <v>0</v>
      </c>
      <c r="F6385" s="8">
        <v>353</v>
      </c>
    </row>
    <row r="6386" spans="1:6" ht="12.75">
      <c r="A6386" s="8">
        <v>43902.156898148147</v>
      </c>
      <c r="B6386" s="8" t="str">
        <f>HYPERLINK("https://twitter.com/Secondchange777","@Secondchange777")</f>
        <v>@Secondchange777</v>
      </c>
      <c r="C6386" s="8" t="s">
        <v>2942</v>
      </c>
      <c r="D6386" s="8">
        <v>28</v>
      </c>
      <c r="E6386" s="8">
        <v>0</v>
      </c>
      <c r="F6386" s="8">
        <v>11</v>
      </c>
    </row>
    <row r="6387" spans="1:6" ht="12.75">
      <c r="A6387" s="8">
        <v>43902.153506944444</v>
      </c>
      <c r="B6387" s="8" t="str">
        <f>HYPERLINK("https://twitter.com/infoinajahh","@infoinajahh")</f>
        <v>@infoinajahh</v>
      </c>
      <c r="C6387" s="8" t="s">
        <v>3065</v>
      </c>
      <c r="D6387" s="8">
        <v>0</v>
      </c>
      <c r="E6387" s="8">
        <v>0</v>
      </c>
      <c r="F6387" s="8">
        <v>1086</v>
      </c>
    </row>
    <row r="6388" spans="1:6" ht="12.75">
      <c r="A6388" s="8">
        <v>43902.153506944444</v>
      </c>
      <c r="B6388" s="8" t="str">
        <f>HYPERLINK("https://twitter.com/semua__info","@semua__info")</f>
        <v>@semua__info</v>
      </c>
      <c r="C6388" s="8" t="s">
        <v>3065</v>
      </c>
      <c r="D6388" s="8">
        <v>0</v>
      </c>
      <c r="E6388" s="8">
        <v>0</v>
      </c>
      <c r="F6388" s="8">
        <v>153</v>
      </c>
    </row>
    <row r="6389" spans="1:6" ht="12.75">
      <c r="A6389" s="8">
        <v>43902.146585648152</v>
      </c>
      <c r="B6389" s="8" t="str">
        <f>HYPERLINK("https://twitter.com/anomhutasoit","@anomhutasoit")</f>
        <v>@anomhutasoit</v>
      </c>
      <c r="C6389" s="8" t="s">
        <v>318</v>
      </c>
      <c r="D6389" s="8">
        <v>1421</v>
      </c>
      <c r="E6389" s="8">
        <v>0</v>
      </c>
      <c r="F6389" s="8">
        <v>33</v>
      </c>
    </row>
    <row r="6390" spans="1:6" ht="12.75">
      <c r="A6390" s="8">
        <v>43902.145879629628</v>
      </c>
      <c r="B6390" s="8" t="str">
        <f>HYPERLINK("https://twitter.com/Domastyo__","@Domastyo__")</f>
        <v>@Domastyo__</v>
      </c>
      <c r="C6390" s="8" t="s">
        <v>1186</v>
      </c>
      <c r="D6390" s="8">
        <v>417</v>
      </c>
      <c r="E6390" s="8">
        <v>0</v>
      </c>
      <c r="F6390" s="8">
        <v>1</v>
      </c>
    </row>
    <row r="6391" spans="1:6" ht="12.75">
      <c r="A6391" s="8">
        <v>43902.139606481476</v>
      </c>
      <c r="B6391" s="8" t="str">
        <f t="shared" ref="B6391:B6392" si="123">HYPERLINK("https://twitter.com/ILIASIYUN","@ILIASIYUN")</f>
        <v>@ILIASIYUN</v>
      </c>
      <c r="C6391" s="8" t="s">
        <v>3066</v>
      </c>
      <c r="D6391" s="8">
        <v>0</v>
      </c>
      <c r="E6391" s="8">
        <v>0</v>
      </c>
      <c r="F6391" s="8">
        <v>520</v>
      </c>
    </row>
    <row r="6392" spans="1:6" ht="12.75">
      <c r="A6392" s="8">
        <v>43902.139224537037</v>
      </c>
      <c r="B6392" s="8" t="str">
        <f t="shared" si="123"/>
        <v>@ILIASIYUN</v>
      </c>
      <c r="C6392" s="8" t="s">
        <v>3067</v>
      </c>
      <c r="D6392" s="8">
        <v>0</v>
      </c>
      <c r="E6392" s="8">
        <v>0</v>
      </c>
      <c r="F6392" s="8">
        <v>520</v>
      </c>
    </row>
    <row r="6393" spans="1:6" ht="12.75">
      <c r="A6393" s="8">
        <v>43902.13789351852</v>
      </c>
      <c r="B6393" s="8" t="str">
        <f>HYPERLINK("https://twitter.com/kudabebas99","@kudabebas99")</f>
        <v>@kudabebas99</v>
      </c>
      <c r="C6393" s="8" t="s">
        <v>104</v>
      </c>
      <c r="D6393" s="8">
        <v>124</v>
      </c>
      <c r="E6393" s="8">
        <v>0</v>
      </c>
      <c r="F6393" s="8">
        <v>119</v>
      </c>
    </row>
    <row r="6394" spans="1:6" ht="12.75">
      <c r="A6394" s="8">
        <v>43902.133067129631</v>
      </c>
      <c r="B6394" s="8" t="str">
        <f>HYPERLINK("https://twitter.com/RBagas_Hapsoro","@RBagas_Hapsoro")</f>
        <v>@RBagas_Hapsoro</v>
      </c>
      <c r="C6394" s="8" t="s">
        <v>2178</v>
      </c>
      <c r="D6394" s="8">
        <v>37</v>
      </c>
      <c r="E6394" s="8">
        <v>0</v>
      </c>
      <c r="F6394" s="8">
        <v>58</v>
      </c>
    </row>
    <row r="6395" spans="1:6" ht="12.75">
      <c r="A6395" s="8">
        <v>43902.127511574072</v>
      </c>
      <c r="B6395" s="8" t="str">
        <f>HYPERLINK("https://twitter.com/bjmnewscom","@bjmnewscom")</f>
        <v>@bjmnewscom</v>
      </c>
      <c r="C6395" s="8" t="s">
        <v>3068</v>
      </c>
      <c r="D6395" s="8">
        <v>0</v>
      </c>
      <c r="E6395" s="8">
        <v>0</v>
      </c>
      <c r="F6395" s="8">
        <v>842</v>
      </c>
    </row>
    <row r="6396" spans="1:6" ht="12.75">
      <c r="A6396" s="8">
        <v>43902.127442129626</v>
      </c>
      <c r="B6396" s="8" t="str">
        <f>HYPERLINK("https://twitter.com/maruchacruz","@maruchacruz")</f>
        <v>@maruchacruz</v>
      </c>
      <c r="C6396" s="8" t="s">
        <v>3069</v>
      </c>
      <c r="D6396" s="8">
        <v>0</v>
      </c>
      <c r="E6396" s="8">
        <v>0</v>
      </c>
      <c r="F6396" s="8">
        <v>43</v>
      </c>
    </row>
    <row r="6397" spans="1:6" ht="12.75">
      <c r="A6397" s="8">
        <v>43902.125</v>
      </c>
      <c r="B6397" s="8" t="str">
        <f>HYPERLINK("https://twitter.com/selfieituindah","@selfieituindah")</f>
        <v>@selfieituindah</v>
      </c>
      <c r="C6397" s="8" t="s">
        <v>3070</v>
      </c>
      <c r="D6397" s="8">
        <v>0</v>
      </c>
      <c r="E6397" s="8">
        <v>0</v>
      </c>
      <c r="F6397" s="8">
        <v>21307</v>
      </c>
    </row>
    <row r="6398" spans="1:6" ht="12.75">
      <c r="A6398" s="8">
        <v>43902.124351851853</v>
      </c>
      <c r="B6398" s="8" t="str">
        <f>HYPERLINK("https://twitter.com/niluhdevia","@niluhdevia")</f>
        <v>@niluhdevia</v>
      </c>
      <c r="C6398" s="8" t="s">
        <v>3037</v>
      </c>
      <c r="D6398" s="8">
        <v>4</v>
      </c>
      <c r="E6398" s="8">
        <v>0</v>
      </c>
      <c r="F6398" s="8">
        <v>1058</v>
      </c>
    </row>
    <row r="6399" spans="1:6" ht="12.75">
      <c r="A6399" s="8">
        <v>43902.120833333334</v>
      </c>
      <c r="B6399" s="8" t="str">
        <f>HYPERLINK("https://twitter.com/Nadila_ID","@Nadila_ID")</f>
        <v>@Nadila_ID</v>
      </c>
      <c r="C6399" s="8" t="s">
        <v>3071</v>
      </c>
      <c r="D6399" s="8">
        <v>0</v>
      </c>
      <c r="E6399" s="8">
        <v>0</v>
      </c>
      <c r="F6399" s="8">
        <v>7175</v>
      </c>
    </row>
    <row r="6400" spans="1:6" ht="12.75">
      <c r="A6400" s="8">
        <v>43902.113912037035</v>
      </c>
      <c r="B6400" s="8" t="str">
        <f>HYPERLINK("https://twitter.com/SUNdayEmpireGL","@SUNdayEmpireGL")</f>
        <v>@SUNdayEmpireGL</v>
      </c>
      <c r="C6400" s="8" t="s">
        <v>3072</v>
      </c>
      <c r="D6400" s="8">
        <v>0</v>
      </c>
      <c r="E6400" s="8">
        <v>0</v>
      </c>
      <c r="F6400" s="8">
        <v>1980</v>
      </c>
    </row>
    <row r="6401" spans="1:6" ht="12.75">
      <c r="A6401" s="8">
        <v>43902.112141203703</v>
      </c>
      <c r="B6401" s="8" t="str">
        <f>HYPERLINK("https://twitter.com/justfuckoff_wtf","@justfuckoff_wtf")</f>
        <v>@justfuckoff_wtf</v>
      </c>
      <c r="C6401" s="8" t="s">
        <v>3073</v>
      </c>
      <c r="D6401" s="8">
        <v>0</v>
      </c>
      <c r="E6401" s="8">
        <v>0</v>
      </c>
      <c r="F6401" s="8">
        <v>150</v>
      </c>
    </row>
    <row r="6402" spans="1:6" ht="12.75">
      <c r="A6402" s="8">
        <v>43902.108993055561</v>
      </c>
      <c r="B6402" s="8" t="str">
        <f>HYPERLINK("https://twitter.com/_wni_","@_wni_")</f>
        <v>@_wni_</v>
      </c>
      <c r="C6402" s="8" t="s">
        <v>3074</v>
      </c>
      <c r="D6402" s="8">
        <v>0</v>
      </c>
      <c r="E6402" s="8">
        <v>0</v>
      </c>
      <c r="F6402" s="8">
        <v>21</v>
      </c>
    </row>
    <row r="6403" spans="1:6" ht="12.75">
      <c r="A6403" s="8">
        <v>43902.107141203705</v>
      </c>
      <c r="B6403" s="8" t="str">
        <f>HYPERLINK("https://twitter.com/Ahmad_F_Izzi","@Ahmad_F_Izzi")</f>
        <v>@Ahmad_F_Izzi</v>
      </c>
      <c r="C6403" s="8" t="s">
        <v>2715</v>
      </c>
      <c r="D6403" s="8">
        <v>73</v>
      </c>
      <c r="E6403" s="8">
        <v>0</v>
      </c>
      <c r="F6403" s="8">
        <v>2151</v>
      </c>
    </row>
    <row r="6404" spans="1:6" ht="12.75">
      <c r="A6404" s="8">
        <v>43902.106238425928</v>
      </c>
      <c r="B6404" s="8" t="str">
        <f>HYPERLINK("https://twitter.com/INAinLebanon","@INAinLebanon")</f>
        <v>@INAinLebanon</v>
      </c>
      <c r="C6404" s="8" t="s">
        <v>3075</v>
      </c>
      <c r="D6404" s="8">
        <v>0</v>
      </c>
      <c r="E6404" s="8">
        <v>0</v>
      </c>
      <c r="F6404" s="8">
        <v>77</v>
      </c>
    </row>
    <row r="6405" spans="1:6" ht="12.75">
      <c r="A6405" s="8">
        <v>43902.105914351851</v>
      </c>
      <c r="B6405" s="8" t="str">
        <f>HYPERLINK("https://twitter.com/BillTemporo","@BillTemporo")</f>
        <v>@BillTemporo</v>
      </c>
      <c r="C6405" s="8" t="s">
        <v>323</v>
      </c>
      <c r="D6405" s="8">
        <v>0</v>
      </c>
      <c r="E6405" s="8">
        <v>0</v>
      </c>
      <c r="F6405" s="8">
        <v>11</v>
      </c>
    </row>
    <row r="6406" spans="1:6" ht="12.75">
      <c r="A6406" s="8">
        <v>43902.105729166666</v>
      </c>
      <c r="B6406" s="8" t="str">
        <f>HYPERLINK("https://twitter.com/RakyatB72107070","@RakyatB72107070")</f>
        <v>@RakyatB72107070</v>
      </c>
      <c r="C6406" s="8" t="s">
        <v>318</v>
      </c>
      <c r="D6406" s="8">
        <v>1419</v>
      </c>
      <c r="E6406" s="8">
        <v>0</v>
      </c>
      <c r="F6406" s="8">
        <v>349</v>
      </c>
    </row>
    <row r="6407" spans="1:6" ht="12.75">
      <c r="A6407" s="8">
        <v>43902.104710648149</v>
      </c>
      <c r="B6407" s="8" t="str">
        <f>HYPERLINK("https://twitter.com/ChristWamea","@ChristWamea")</f>
        <v>@ChristWamea</v>
      </c>
      <c r="C6407" s="8" t="s">
        <v>2882</v>
      </c>
      <c r="D6407" s="8">
        <v>6</v>
      </c>
      <c r="E6407" s="8">
        <v>0</v>
      </c>
      <c r="F6407" s="8">
        <v>29720</v>
      </c>
    </row>
    <row r="6408" spans="1:6" ht="12.75">
      <c r="A6408" s="8">
        <v>43902.10423611111</v>
      </c>
      <c r="B6408" s="8" t="str">
        <f>HYPERLINK("https://twitter.com/Herthoughtsat21","@Herthoughtsat21")</f>
        <v>@Herthoughtsat21</v>
      </c>
      <c r="C6408" s="8" t="s">
        <v>3076</v>
      </c>
      <c r="D6408" s="8">
        <v>0</v>
      </c>
      <c r="E6408" s="8">
        <v>0</v>
      </c>
      <c r="F6408" s="8">
        <v>2</v>
      </c>
    </row>
    <row r="6409" spans="1:6" ht="12.75">
      <c r="A6409" s="8">
        <v>43902.104143518518</v>
      </c>
      <c r="B6409" s="8" t="str">
        <f>HYPERLINK("https://twitter.com/ElenaDeGreg","@ElenaDeGreg")</f>
        <v>@ElenaDeGreg</v>
      </c>
      <c r="C6409" s="8" t="s">
        <v>3077</v>
      </c>
      <c r="D6409" s="8">
        <v>0</v>
      </c>
      <c r="E6409" s="8">
        <v>0</v>
      </c>
      <c r="F6409" s="8">
        <v>2334</v>
      </c>
    </row>
    <row r="6410" spans="1:6" ht="12.75">
      <c r="A6410" s="8">
        <v>43902.103449074071</v>
      </c>
      <c r="B6410" s="8" t="str">
        <f>HYPERLINK("https://twitter.com/Joko70904583","@Joko70904583")</f>
        <v>@Joko70904583</v>
      </c>
      <c r="C6410" s="8" t="s">
        <v>3078</v>
      </c>
      <c r="D6410" s="8">
        <v>0</v>
      </c>
      <c r="E6410" s="8">
        <v>0</v>
      </c>
      <c r="F6410" s="8">
        <v>1</v>
      </c>
    </row>
    <row r="6411" spans="1:6" ht="12.75">
      <c r="A6411" s="8">
        <v>43902.101585648154</v>
      </c>
      <c r="B6411" s="8" t="str">
        <f>HYPERLINK("https://twitter.com/GoreTube","@GoreTube")</f>
        <v>@GoreTube</v>
      </c>
      <c r="C6411" s="8" t="s">
        <v>3079</v>
      </c>
      <c r="D6411" s="8">
        <v>0</v>
      </c>
      <c r="E6411" s="8">
        <v>0</v>
      </c>
      <c r="F6411" s="8">
        <v>83</v>
      </c>
    </row>
    <row r="6412" spans="1:6" ht="12.75">
      <c r="A6412" s="8">
        <v>43902.101319444446</v>
      </c>
      <c r="B6412" s="8" t="str">
        <f>HYPERLINK("https://twitter.com/garisdepannkri","@garisdepannkri")</f>
        <v>@garisdepannkri</v>
      </c>
      <c r="C6412" s="8" t="s">
        <v>3080</v>
      </c>
      <c r="D6412" s="8">
        <v>0</v>
      </c>
      <c r="E6412" s="8">
        <v>0</v>
      </c>
      <c r="F6412" s="8">
        <v>7</v>
      </c>
    </row>
    <row r="6413" spans="1:6" ht="12.75">
      <c r="A6413" s="8">
        <v>43902.101030092592</v>
      </c>
      <c r="B6413" s="8" t="str">
        <f>HYPERLINK("https://twitter.com/bensutasoma","@bensutasoma")</f>
        <v>@bensutasoma</v>
      </c>
      <c r="C6413" s="8" t="s">
        <v>3080</v>
      </c>
      <c r="D6413" s="8">
        <v>0</v>
      </c>
      <c r="E6413" s="8">
        <v>0</v>
      </c>
      <c r="F6413" s="8">
        <v>1</v>
      </c>
    </row>
    <row r="6414" spans="1:6" ht="12.75">
      <c r="A6414" s="8">
        <v>43902.100902777776</v>
      </c>
      <c r="B6414" s="8" t="str">
        <f>HYPERLINK("https://twitter.com/AbdullahMujeed","@AbdullahMujeed")</f>
        <v>@AbdullahMujeed</v>
      </c>
      <c r="C6414" s="8" t="s">
        <v>3080</v>
      </c>
      <c r="D6414" s="8">
        <v>0</v>
      </c>
      <c r="E6414" s="8">
        <v>0</v>
      </c>
      <c r="F6414" s="8">
        <v>3</v>
      </c>
    </row>
    <row r="6415" spans="1:6" ht="12.75">
      <c r="A6415" s="8">
        <v>43902.100787037038</v>
      </c>
      <c r="B6415" s="8" t="str">
        <f>HYPERLINK("https://twitter.com/spirit_1945","@spirit_1945")</f>
        <v>@spirit_1945</v>
      </c>
      <c r="C6415" s="8" t="s">
        <v>3080</v>
      </c>
      <c r="D6415" s="8">
        <v>0</v>
      </c>
      <c r="E6415" s="8">
        <v>0</v>
      </c>
      <c r="F6415" s="8">
        <v>121</v>
      </c>
    </row>
    <row r="6416" spans="1:6" ht="12.75">
      <c r="A6416" s="8">
        <v>43902.100694444445</v>
      </c>
      <c r="B6416" s="8" t="str">
        <f>HYPERLINK("https://twitter.com/AbdullahMujeed","@AbdullahMujeed")</f>
        <v>@AbdullahMujeed</v>
      </c>
      <c r="C6416" s="8" t="s">
        <v>3080</v>
      </c>
      <c r="D6416" s="8">
        <v>0</v>
      </c>
      <c r="E6416" s="8">
        <v>0</v>
      </c>
      <c r="F6416" s="8">
        <v>3</v>
      </c>
    </row>
    <row r="6417" spans="1:6" ht="12.75">
      <c r="A6417" s="8">
        <v>43902.100624999999</v>
      </c>
      <c r="B6417" s="8" t="str">
        <f>HYPERLINK("https://twitter.com/kurakuraninjaid","@kurakuraninjaid")</f>
        <v>@kurakuraninjaid</v>
      </c>
      <c r="C6417" s="8" t="s">
        <v>3080</v>
      </c>
      <c r="D6417" s="8">
        <v>0</v>
      </c>
      <c r="E6417" s="8">
        <v>0</v>
      </c>
      <c r="F6417" s="8">
        <v>309</v>
      </c>
    </row>
    <row r="6418" spans="1:6" ht="12.75">
      <c r="A6418" s="8">
        <v>43902.10055555556</v>
      </c>
      <c r="B6418" s="8" t="str">
        <f>HYPERLINK("https://twitter.com/VoxPopuliID","@VoxPopuliID")</f>
        <v>@VoxPopuliID</v>
      </c>
      <c r="C6418" s="8" t="s">
        <v>3080</v>
      </c>
      <c r="D6418" s="8">
        <v>0</v>
      </c>
      <c r="E6418" s="8">
        <v>0</v>
      </c>
      <c r="F6418" s="8">
        <v>728</v>
      </c>
    </row>
    <row r="6419" spans="1:6" ht="12.75">
      <c r="A6419" s="8">
        <v>43902.100486111114</v>
      </c>
      <c r="B6419" s="8" t="str">
        <f>HYPERLINK("https://twitter.com/cikyber","@cikyber")</f>
        <v>@cikyber</v>
      </c>
      <c r="C6419" s="8" t="s">
        <v>3080</v>
      </c>
      <c r="D6419" s="8">
        <v>0</v>
      </c>
      <c r="E6419" s="8">
        <v>0</v>
      </c>
      <c r="F6419" s="8">
        <v>292</v>
      </c>
    </row>
    <row r="6420" spans="1:6" ht="12.75">
      <c r="A6420" s="8">
        <v>43902.099259259259</v>
      </c>
      <c r="B6420" s="8" t="str">
        <f>HYPERLINK("https://twitter.com/Joko70904583","@Joko70904583")</f>
        <v>@Joko70904583</v>
      </c>
      <c r="C6420" s="8" t="s">
        <v>3081</v>
      </c>
      <c r="D6420" s="8">
        <v>0</v>
      </c>
      <c r="E6420" s="8">
        <v>0</v>
      </c>
      <c r="F6420" s="8">
        <v>1</v>
      </c>
    </row>
    <row r="6421" spans="1:6" ht="12.75">
      <c r="A6421" s="8">
        <v>43902.095069444447</v>
      </c>
      <c r="B6421" s="8" t="str">
        <f>HYPERLINK("https://twitter.com/cantyxq","@cantyxq")</f>
        <v>@cantyxq</v>
      </c>
      <c r="C6421" s="8" t="s">
        <v>2292</v>
      </c>
      <c r="D6421" s="8">
        <v>37</v>
      </c>
      <c r="E6421" s="8">
        <v>0</v>
      </c>
      <c r="F6421" s="8">
        <v>360</v>
      </c>
    </row>
    <row r="6422" spans="1:6" ht="12.75">
      <c r="A6422" s="8">
        <v>43902.094375000001</v>
      </c>
      <c r="B6422" s="8" t="str">
        <f>HYPERLINK("https://twitter.com/dwytono","@dwytono")</f>
        <v>@dwytono</v>
      </c>
      <c r="C6422" s="8" t="s">
        <v>2652</v>
      </c>
      <c r="D6422" s="8">
        <v>6</v>
      </c>
      <c r="E6422" s="8">
        <v>0</v>
      </c>
      <c r="F6422" s="8">
        <v>1898</v>
      </c>
    </row>
    <row r="6423" spans="1:6" ht="12.75">
      <c r="A6423" s="8">
        <v>43902.094293981485</v>
      </c>
      <c r="B6423" s="8" t="str">
        <f>HYPERLINK("https://twitter.com/topinfo_id","@topinfo_id")</f>
        <v>@topinfo_id</v>
      </c>
      <c r="C6423" s="8" t="s">
        <v>3082</v>
      </c>
      <c r="D6423" s="8">
        <v>0</v>
      </c>
      <c r="E6423" s="8">
        <v>0</v>
      </c>
      <c r="F6423" s="8">
        <v>96</v>
      </c>
    </row>
    <row r="6424" spans="1:6" ht="12.75">
      <c r="A6424" s="8">
        <v>43902.091377314813</v>
      </c>
      <c r="B6424" s="8" t="str">
        <f>HYPERLINK("https://twitter.com/sashy_o","@sashy_o")</f>
        <v>@sashy_o</v>
      </c>
      <c r="C6424" s="8" t="s">
        <v>3083</v>
      </c>
      <c r="D6424" s="8">
        <v>0</v>
      </c>
      <c r="E6424" s="8">
        <v>0</v>
      </c>
      <c r="F6424" s="8">
        <v>39</v>
      </c>
    </row>
    <row r="6425" spans="1:6" ht="12.75">
      <c r="A6425" s="8">
        <v>43902.090775462959</v>
      </c>
      <c r="B6425" s="8" t="str">
        <f>HYPERLINK("https://twitter.com/Ovi11shk","@Ovi11shk")</f>
        <v>@Ovi11shk</v>
      </c>
      <c r="C6425" s="8" t="s">
        <v>3084</v>
      </c>
      <c r="D6425" s="8">
        <v>0</v>
      </c>
      <c r="E6425" s="8">
        <v>0</v>
      </c>
      <c r="F6425" s="8">
        <v>191</v>
      </c>
    </row>
    <row r="6426" spans="1:6" ht="12.75">
      <c r="A6426" s="8">
        <v>43902.090104166666</v>
      </c>
      <c r="B6426" s="8" t="str">
        <f>HYPERLINK("https://twitter.com/mufashi2","@mufashi2")</f>
        <v>@mufashi2</v>
      </c>
      <c r="C6426" s="8" t="s">
        <v>1801</v>
      </c>
      <c r="D6426" s="8">
        <v>345</v>
      </c>
      <c r="E6426" s="8">
        <v>0</v>
      </c>
      <c r="F6426" s="8">
        <v>58</v>
      </c>
    </row>
    <row r="6427" spans="1:6" ht="12.75">
      <c r="A6427" s="8">
        <v>43902.089317129634</v>
      </c>
      <c r="B6427" s="8" t="str">
        <f>HYPERLINK("https://twitter.com/GabyPaola93","@GabyPaola93")</f>
        <v>@GabyPaola93</v>
      </c>
      <c r="C6427" s="8" t="s">
        <v>3085</v>
      </c>
      <c r="D6427" s="8">
        <v>1</v>
      </c>
      <c r="E6427" s="8">
        <v>0</v>
      </c>
      <c r="F6427" s="8">
        <v>3013</v>
      </c>
    </row>
    <row r="6428" spans="1:6" ht="12.75">
      <c r="A6428" s="8">
        <v>43902.088877314818</v>
      </c>
      <c r="B6428" s="8" t="str">
        <f>HYPERLINK("https://twitter.com/rizaltambunan11","@rizaltambunan11")</f>
        <v>@rizaltambunan11</v>
      </c>
      <c r="C6428" s="8" t="s">
        <v>318</v>
      </c>
      <c r="D6428" s="8">
        <v>1418</v>
      </c>
      <c r="E6428" s="8">
        <v>0</v>
      </c>
      <c r="F6428" s="8">
        <v>111</v>
      </c>
    </row>
    <row r="6429" spans="1:6" ht="12.75">
      <c r="A6429" s="8">
        <v>43902.087696759263</v>
      </c>
      <c r="B6429" s="8" t="str">
        <f>HYPERLINK("https://twitter.com/El_Yoce_LDR","@El_Yoce_LDR")</f>
        <v>@El_Yoce_LDR</v>
      </c>
      <c r="C6429" s="8" t="s">
        <v>3086</v>
      </c>
      <c r="D6429" s="8">
        <v>1</v>
      </c>
      <c r="E6429" s="8">
        <v>0</v>
      </c>
      <c r="F6429" s="8">
        <v>705</v>
      </c>
    </row>
    <row r="6430" spans="1:6" ht="12.75">
      <c r="A6430" s="8">
        <v>43902.087523148148</v>
      </c>
      <c r="B6430" s="8" t="str">
        <f>HYPERLINK("https://twitter.com/rawney21","@rawney21")</f>
        <v>@rawney21</v>
      </c>
      <c r="C6430" s="8" t="s">
        <v>3087</v>
      </c>
      <c r="D6430" s="8">
        <v>0</v>
      </c>
      <c r="E6430" s="8">
        <v>0</v>
      </c>
      <c r="F6430" s="8">
        <v>7</v>
      </c>
    </row>
    <row r="6431" spans="1:6" ht="12.75">
      <c r="A6431" s="8">
        <v>43902.086759259255</v>
      </c>
      <c r="B6431" s="8" t="str">
        <f>HYPERLINK("https://twitter.com/ILHAMMuhilham19","@ILHAMMuhilham19")</f>
        <v>@ILHAMMuhilham19</v>
      </c>
      <c r="C6431" s="8" t="s">
        <v>3088</v>
      </c>
      <c r="D6431" s="8">
        <v>3</v>
      </c>
      <c r="E6431" s="8">
        <v>0</v>
      </c>
      <c r="F6431" s="8">
        <v>128</v>
      </c>
    </row>
    <row r="6432" spans="1:6" ht="12.75">
      <c r="A6432" s="8">
        <v>43902.085046296299</v>
      </c>
      <c r="B6432" s="8" t="str">
        <f>HYPERLINK("https://twitter.com/BillTemporo","@BillTemporo")</f>
        <v>@BillTemporo</v>
      </c>
      <c r="C6432" s="8" t="s">
        <v>355</v>
      </c>
      <c r="D6432" s="8">
        <v>0</v>
      </c>
      <c r="E6432" s="8">
        <v>0</v>
      </c>
      <c r="F6432" s="8">
        <v>11</v>
      </c>
    </row>
    <row r="6433" spans="1:6" ht="12.75">
      <c r="A6433" s="8">
        <v>43902.079722222217</v>
      </c>
      <c r="B6433" s="8" t="str">
        <f>HYPERLINK("https://twitter.com/nindamarz","@nindamarz")</f>
        <v>@nindamarz</v>
      </c>
      <c r="C6433" s="8" t="s">
        <v>2989</v>
      </c>
      <c r="D6433" s="8">
        <v>153</v>
      </c>
      <c r="E6433" s="8">
        <v>0</v>
      </c>
      <c r="F6433" s="8">
        <v>315</v>
      </c>
    </row>
    <row r="6434" spans="1:6" ht="12.75">
      <c r="A6434" s="8">
        <v>43902.0778125</v>
      </c>
      <c r="B6434" s="8" t="str">
        <f>HYPERLINK("https://twitter.com/SebastianBara4","@SebastianBara4")</f>
        <v>@SebastianBara4</v>
      </c>
      <c r="C6434" s="8" t="s">
        <v>3080</v>
      </c>
      <c r="D6434" s="8">
        <v>0</v>
      </c>
      <c r="E6434" s="8">
        <v>0</v>
      </c>
      <c r="F6434" s="8">
        <v>1</v>
      </c>
    </row>
    <row r="6435" spans="1:6" ht="12.75">
      <c r="A6435" s="8">
        <v>43902.076226851852</v>
      </c>
      <c r="B6435" s="8" t="str">
        <f>HYPERLINK("https://twitter.com/ardanardiansyah","@ardanardiansyah")</f>
        <v>@ardanardiansyah</v>
      </c>
      <c r="C6435" s="8" t="s">
        <v>1186</v>
      </c>
      <c r="D6435" s="8">
        <v>415</v>
      </c>
      <c r="E6435" s="8">
        <v>0</v>
      </c>
      <c r="F6435" s="8">
        <v>1592</v>
      </c>
    </row>
    <row r="6436" spans="1:6" ht="12.75">
      <c r="A6436" s="8">
        <v>43902.074490740742</v>
      </c>
      <c r="B6436" s="8" t="str">
        <f>HYPERLINK("https://twitter.com/makansalak","@makansalak")</f>
        <v>@makansalak</v>
      </c>
      <c r="C6436" s="8" t="s">
        <v>3089</v>
      </c>
      <c r="D6436" s="8">
        <v>0</v>
      </c>
      <c r="E6436" s="8">
        <v>0</v>
      </c>
      <c r="F6436" s="8">
        <v>9</v>
      </c>
    </row>
    <row r="6437" spans="1:6" ht="12.75">
      <c r="A6437" s="8">
        <v>43902.074467592596</v>
      </c>
      <c r="B6437" s="8" t="str">
        <f>HYPERLINK("https://twitter.com/ranioktaviani92","@ranioktaviani92")</f>
        <v>@ranioktaviani92</v>
      </c>
      <c r="C6437" s="8" t="s">
        <v>1325</v>
      </c>
      <c r="D6437" s="8">
        <v>0</v>
      </c>
      <c r="E6437" s="8">
        <v>0</v>
      </c>
      <c r="F6437" s="8">
        <v>24</v>
      </c>
    </row>
    <row r="6438" spans="1:6" ht="12.75">
      <c r="A6438" s="8">
        <v>43902.07440972222</v>
      </c>
      <c r="B6438" s="8" t="str">
        <f>HYPERLINK("https://twitter.com/PJustitia7","@PJustitia7")</f>
        <v>@PJustitia7</v>
      </c>
      <c r="C6438" s="8" t="s">
        <v>3090</v>
      </c>
      <c r="D6438" s="8">
        <v>0</v>
      </c>
      <c r="E6438" s="8">
        <v>0</v>
      </c>
      <c r="F6438" s="8">
        <v>882</v>
      </c>
    </row>
    <row r="6439" spans="1:6" ht="12.75">
      <c r="A6439" s="8">
        <v>43902.072708333333</v>
      </c>
      <c r="B6439" s="8" t="str">
        <f>HYPERLINK("https://twitter.com/Iyink7","@Iyink7")</f>
        <v>@Iyink7</v>
      </c>
      <c r="C6439" s="8" t="s">
        <v>3091</v>
      </c>
      <c r="D6439" s="8">
        <v>1</v>
      </c>
      <c r="E6439" s="8">
        <v>0</v>
      </c>
      <c r="F6439" s="8">
        <v>2404</v>
      </c>
    </row>
    <row r="6440" spans="1:6" ht="12.75">
      <c r="A6440" s="8">
        <v>43902.071006944447</v>
      </c>
      <c r="B6440" s="8" t="str">
        <f>HYPERLINK("https://twitter.com/syeickh79","@syeickh79")</f>
        <v>@syeickh79</v>
      </c>
      <c r="C6440" s="8" t="s">
        <v>318</v>
      </c>
      <c r="D6440" s="8">
        <v>1418</v>
      </c>
      <c r="E6440" s="8">
        <v>0</v>
      </c>
      <c r="F6440" s="8">
        <v>209</v>
      </c>
    </row>
    <row r="6441" spans="1:6" ht="12.75">
      <c r="A6441" s="8">
        <v>43902.070474537039</v>
      </c>
      <c r="B6441" s="8" t="str">
        <f>HYPERLINK("https://twitter.com/mayursejpal","@mayursejpal")</f>
        <v>@mayursejpal</v>
      </c>
      <c r="C6441" s="8" t="s">
        <v>3092</v>
      </c>
      <c r="D6441" s="8">
        <v>0</v>
      </c>
      <c r="E6441" s="8">
        <v>2</v>
      </c>
      <c r="F6441" s="8">
        <v>6977</v>
      </c>
    </row>
    <row r="6442" spans="1:6" ht="12.75">
      <c r="A6442" s="8">
        <v>43902.06925925926</v>
      </c>
      <c r="B6442" s="8" t="str">
        <f>HYPERLINK("https://twitter.com/DavidSachio","@DavidSachio")</f>
        <v>@DavidSachio</v>
      </c>
      <c r="C6442" s="8" t="s">
        <v>3088</v>
      </c>
      <c r="D6442" s="8">
        <v>3</v>
      </c>
      <c r="E6442" s="8">
        <v>0</v>
      </c>
      <c r="F6442" s="8">
        <v>1349</v>
      </c>
    </row>
    <row r="6443" spans="1:6" ht="12.75">
      <c r="A6443" s="8">
        <v>43902.069120370375</v>
      </c>
      <c r="B6443" s="8" t="str">
        <f>HYPERLINK("https://twitter.com/kompascom","@kompascom")</f>
        <v>@kompascom</v>
      </c>
      <c r="C6443" s="8" t="s">
        <v>3088</v>
      </c>
      <c r="D6443" s="8">
        <v>3</v>
      </c>
      <c r="E6443" s="8">
        <v>0</v>
      </c>
      <c r="F6443" s="8">
        <v>7541895</v>
      </c>
    </row>
    <row r="6444" spans="1:6" ht="12.75">
      <c r="A6444" s="8">
        <v>43902.068807870368</v>
      </c>
      <c r="B6444" s="8" t="str">
        <f>HYPERLINK("https://twitter.com/kompasiana","@kompasiana")</f>
        <v>@kompasiana</v>
      </c>
      <c r="C6444" s="8" t="s">
        <v>3093</v>
      </c>
      <c r="D6444" s="8">
        <v>3</v>
      </c>
      <c r="E6444" s="8">
        <v>3</v>
      </c>
      <c r="F6444" s="8">
        <v>934142</v>
      </c>
    </row>
    <row r="6445" spans="1:6" ht="12.75">
      <c r="A6445" s="8">
        <v>43902.067245370374</v>
      </c>
      <c r="B6445" s="8" t="str">
        <f>HYPERLINK("https://twitter.com/ichampjuara","@ichampjuara")</f>
        <v>@ichampjuara</v>
      </c>
      <c r="C6445" s="8" t="s">
        <v>3094</v>
      </c>
      <c r="D6445" s="8">
        <v>3</v>
      </c>
      <c r="E6445" s="8">
        <v>0</v>
      </c>
      <c r="F6445" s="8">
        <v>286</v>
      </c>
    </row>
    <row r="6446" spans="1:6" ht="12.75">
      <c r="A6446" s="8">
        <v>43902.067106481481</v>
      </c>
      <c r="B6446" s="8" t="str">
        <f>HYPERLINK("https://twitter.com/miftahudagb","@miftahudagb")</f>
        <v>@miftahudagb</v>
      </c>
      <c r="C6446" s="8" t="s">
        <v>2652</v>
      </c>
      <c r="D6446" s="8">
        <v>5</v>
      </c>
      <c r="E6446" s="8">
        <v>0</v>
      </c>
      <c r="F6446" s="8">
        <v>202</v>
      </c>
    </row>
    <row r="6447" spans="1:6" ht="12.75">
      <c r="A6447" s="8">
        <v>43902.066944444443</v>
      </c>
      <c r="B6447" s="8" t="str">
        <f>HYPERLINK("https://twitter.com/gerryndo","@gerryndo")</f>
        <v>@gerryndo</v>
      </c>
      <c r="C6447" s="8" t="s">
        <v>1186</v>
      </c>
      <c r="D6447" s="8">
        <v>415</v>
      </c>
      <c r="E6447" s="8">
        <v>0</v>
      </c>
      <c r="F6447" s="8">
        <v>625</v>
      </c>
    </row>
    <row r="6448" spans="1:6" ht="12.75">
      <c r="A6448" s="8">
        <v>43902.066157407404</v>
      </c>
      <c r="B6448" s="8" t="str">
        <f>HYPERLINK("https://twitter.com/Truthspiller5","@Truthspiller5")</f>
        <v>@Truthspiller5</v>
      </c>
      <c r="C6448" s="8" t="s">
        <v>3095</v>
      </c>
      <c r="D6448" s="8">
        <v>0</v>
      </c>
      <c r="E6448" s="8">
        <v>0</v>
      </c>
      <c r="F6448" s="8">
        <v>25</v>
      </c>
    </row>
    <row r="6449" spans="1:6" ht="12.75">
      <c r="A6449" s="8">
        <v>43902.065659722226</v>
      </c>
      <c r="B6449" s="8" t="str">
        <f>HYPERLINK("https://twitter.com/ichampjuara","@ichampjuara")</f>
        <v>@ichampjuara</v>
      </c>
      <c r="C6449" s="8" t="s">
        <v>1186</v>
      </c>
      <c r="D6449" s="8">
        <v>415</v>
      </c>
      <c r="E6449" s="8">
        <v>0</v>
      </c>
      <c r="F6449" s="8">
        <v>286</v>
      </c>
    </row>
    <row r="6450" spans="1:6" ht="12.75">
      <c r="A6450" s="8">
        <v>43902.064108796301</v>
      </c>
      <c r="B6450" s="8" t="str">
        <f>HYPERLINK("https://twitter.com/RezaNdeso","@RezaNdeso")</f>
        <v>@RezaNdeso</v>
      </c>
      <c r="C6450" s="8" t="s">
        <v>3096</v>
      </c>
      <c r="D6450" s="8">
        <v>0</v>
      </c>
      <c r="E6450" s="8">
        <v>0</v>
      </c>
      <c r="F6450" s="8">
        <v>504</v>
      </c>
    </row>
    <row r="6451" spans="1:6" ht="12.75">
      <c r="A6451" s="8">
        <v>43902.064108796301</v>
      </c>
      <c r="B6451" s="8" t="str">
        <f>HYPERLINK("https://twitter.com/BillTemporo","@BillTemporo")</f>
        <v>@BillTemporo</v>
      </c>
      <c r="C6451" s="8" t="s">
        <v>384</v>
      </c>
      <c r="D6451" s="8">
        <v>0</v>
      </c>
      <c r="E6451" s="8">
        <v>0</v>
      </c>
      <c r="F6451" s="8">
        <v>11</v>
      </c>
    </row>
    <row r="6452" spans="1:6" ht="12.75">
      <c r="A6452" s="8">
        <v>43902.06355324074</v>
      </c>
      <c r="B6452" s="8" t="str">
        <f>HYPERLINK("https://twitter.com/b1309bzh","@b1309bzh")</f>
        <v>@b1309bzh</v>
      </c>
      <c r="C6452" s="8" t="s">
        <v>3097</v>
      </c>
      <c r="D6452" s="8">
        <v>0</v>
      </c>
      <c r="E6452" s="8">
        <v>0</v>
      </c>
      <c r="F6452" s="8">
        <v>0</v>
      </c>
    </row>
    <row r="6453" spans="1:6" ht="12.75">
      <c r="A6453" s="8">
        <v>43902.062430555554</v>
      </c>
      <c r="B6453" s="8" t="str">
        <f>HYPERLINK("https://twitter.com/LaisaKadrun","@LaisaKadrun")</f>
        <v>@LaisaKadrun</v>
      </c>
      <c r="C6453" s="8" t="s">
        <v>3098</v>
      </c>
      <c r="D6453" s="8">
        <v>0</v>
      </c>
      <c r="E6453" s="8">
        <v>0</v>
      </c>
      <c r="F6453" s="8">
        <v>836</v>
      </c>
    </row>
    <row r="6454" spans="1:6" ht="12.75">
      <c r="A6454" s="8">
        <v>43902.060937499999</v>
      </c>
      <c r="B6454" s="8" t="str">
        <f>HYPERLINK("https://twitter.com/SetyoTuhu101","@SetyoTuhu101")</f>
        <v>@SetyoTuhu101</v>
      </c>
      <c r="C6454" s="8" t="s">
        <v>2292</v>
      </c>
      <c r="D6454" s="8">
        <v>36</v>
      </c>
      <c r="E6454" s="8">
        <v>0</v>
      </c>
      <c r="F6454" s="8">
        <v>3000</v>
      </c>
    </row>
    <row r="6455" spans="1:6" ht="12.75">
      <c r="A6455" s="8">
        <v>43902.060879629629</v>
      </c>
      <c r="B6455" s="8" t="str">
        <f>HYPERLINK("https://twitter.com/kentangq","@kentangq")</f>
        <v>@kentangq</v>
      </c>
      <c r="C6455" s="8" t="s">
        <v>3099</v>
      </c>
      <c r="D6455" s="8">
        <v>0</v>
      </c>
      <c r="E6455" s="8">
        <v>0</v>
      </c>
      <c r="F6455" s="8">
        <v>91</v>
      </c>
    </row>
    <row r="6456" spans="1:6" ht="12.75">
      <c r="A6456" s="8">
        <v>43902.060439814813</v>
      </c>
      <c r="B6456" s="8" t="str">
        <f>HYPERLINK("https://twitter.com/red1n1earth","@red1n1earth")</f>
        <v>@red1n1earth</v>
      </c>
      <c r="C6456" s="8" t="s">
        <v>2292</v>
      </c>
      <c r="D6456" s="8">
        <v>36</v>
      </c>
      <c r="E6456" s="8">
        <v>0</v>
      </c>
      <c r="F6456" s="8">
        <v>1803</v>
      </c>
    </row>
    <row r="6457" spans="1:6" ht="12.75">
      <c r="A6457" s="8">
        <v>43902.059675925921</v>
      </c>
      <c r="B6457" s="8" t="str">
        <f>HYPERLINK("https://twitter.com/abzr_alghfri","@abzr_alghfri")</f>
        <v>@abzr_alghfri</v>
      </c>
      <c r="C6457" s="8" t="s">
        <v>1800</v>
      </c>
      <c r="D6457" s="8">
        <v>56</v>
      </c>
      <c r="E6457" s="8">
        <v>0</v>
      </c>
      <c r="F6457" s="8">
        <v>395</v>
      </c>
    </row>
    <row r="6458" spans="1:6" ht="12.75">
      <c r="A6458" s="8">
        <v>43902.059224537035</v>
      </c>
      <c r="B6458" s="8" t="str">
        <f>HYPERLINK("https://twitter.com/fantoyo","@fantoyo")</f>
        <v>@fantoyo</v>
      </c>
      <c r="C6458" s="8" t="s">
        <v>1810</v>
      </c>
      <c r="D6458" s="8">
        <v>3</v>
      </c>
      <c r="E6458" s="8">
        <v>0</v>
      </c>
      <c r="F6458" s="8">
        <v>1</v>
      </c>
    </row>
    <row r="6459" spans="1:6" ht="12.75">
      <c r="A6459" s="8">
        <v>43902.059050925927</v>
      </c>
      <c r="B6459" s="8" t="str">
        <f>HYPERLINK("https://twitter.com/abdulloh2015","@abdulloh2015")</f>
        <v>@abdulloh2015</v>
      </c>
      <c r="C6459" s="8" t="s">
        <v>859</v>
      </c>
      <c r="D6459" s="8">
        <v>0</v>
      </c>
      <c r="E6459" s="8">
        <v>0</v>
      </c>
      <c r="F6459" s="8">
        <v>60</v>
      </c>
    </row>
    <row r="6460" spans="1:6" ht="12.75">
      <c r="A6460" s="8">
        <v>43902.056215277778</v>
      </c>
      <c r="B6460" s="8" t="str">
        <f>HYPERLINK("https://twitter.com/natalia2412","@natalia2412")</f>
        <v>@natalia2412</v>
      </c>
      <c r="C6460" s="8" t="s">
        <v>3100</v>
      </c>
      <c r="D6460" s="8">
        <v>1</v>
      </c>
      <c r="E6460" s="8">
        <v>0</v>
      </c>
      <c r="F6460" s="8">
        <v>628</v>
      </c>
    </row>
    <row r="6461" spans="1:6" ht="12.75">
      <c r="A6461" s="8">
        <v>43902.055636574078</v>
      </c>
      <c r="B6461" s="8" t="str">
        <f>HYPERLINK("https://twitter.com/lykablossom","@lykablossom")</f>
        <v>@lykablossom</v>
      </c>
      <c r="C6461" s="8" t="s">
        <v>3101</v>
      </c>
      <c r="D6461" s="8">
        <v>0</v>
      </c>
      <c r="E6461" s="8">
        <v>0</v>
      </c>
      <c r="F6461" s="8">
        <v>1221</v>
      </c>
    </row>
    <row r="6462" spans="1:6" ht="12.75">
      <c r="A6462" s="8">
        <v>43902.055509259255</v>
      </c>
      <c r="B6462" s="8" t="str">
        <f>HYPERLINK("https://twitter.com/natalia2412","@natalia2412")</f>
        <v>@natalia2412</v>
      </c>
      <c r="C6462" s="8" t="s">
        <v>3102</v>
      </c>
      <c r="D6462" s="8">
        <v>1</v>
      </c>
      <c r="E6462" s="8">
        <v>0</v>
      </c>
      <c r="F6462" s="8">
        <v>628</v>
      </c>
    </row>
    <row r="6463" spans="1:6" ht="12.75">
      <c r="A6463" s="8">
        <v>43902.05541666667</v>
      </c>
      <c r="B6463" s="8" t="str">
        <f>HYPERLINK("https://twitter.com/Ryanwae20","@Ryanwae20")</f>
        <v>@Ryanwae20</v>
      </c>
      <c r="C6463" s="8" t="s">
        <v>2292</v>
      </c>
      <c r="D6463" s="8">
        <v>36</v>
      </c>
      <c r="E6463" s="8">
        <v>0</v>
      </c>
      <c r="F6463" s="8">
        <v>822</v>
      </c>
    </row>
    <row r="6464" spans="1:6" ht="12.75">
      <c r="A6464" s="8">
        <v>43902.053773148145</v>
      </c>
      <c r="B6464" s="8" t="str">
        <f t="shared" ref="B6464:B6466" si="124">HYPERLINK("https://twitter.com/topinfo_id","@topinfo_id")</f>
        <v>@topinfo_id</v>
      </c>
      <c r="C6464" s="8" t="s">
        <v>3103</v>
      </c>
      <c r="D6464" s="8">
        <v>0</v>
      </c>
      <c r="E6464" s="8">
        <v>0</v>
      </c>
      <c r="F6464" s="8">
        <v>96</v>
      </c>
    </row>
    <row r="6465" spans="1:6" ht="12.75">
      <c r="A6465" s="8">
        <v>43902.053287037037</v>
      </c>
      <c r="B6465" s="8" t="str">
        <f t="shared" si="124"/>
        <v>@topinfo_id</v>
      </c>
      <c r="C6465" s="8" t="s">
        <v>3104</v>
      </c>
      <c r="D6465" s="8">
        <v>0</v>
      </c>
      <c r="E6465" s="8">
        <v>0</v>
      </c>
      <c r="F6465" s="8">
        <v>96</v>
      </c>
    </row>
    <row r="6466" spans="1:6" ht="12.75">
      <c r="A6466" s="8">
        <v>43902.053287037037</v>
      </c>
      <c r="B6466" s="8" t="str">
        <f t="shared" si="124"/>
        <v>@topinfo_id</v>
      </c>
      <c r="C6466" s="8" t="s">
        <v>3065</v>
      </c>
      <c r="D6466" s="8">
        <v>0</v>
      </c>
      <c r="E6466" s="8">
        <v>0</v>
      </c>
      <c r="F6466" s="8">
        <v>96</v>
      </c>
    </row>
    <row r="6467" spans="1:6" ht="12.75">
      <c r="A6467" s="8">
        <v>43902.052453703705</v>
      </c>
      <c r="B6467" s="8" t="str">
        <f>HYPERLINK("https://twitter.com/nenyish","@nenyish")</f>
        <v>@nenyish</v>
      </c>
      <c r="C6467" s="8" t="s">
        <v>3105</v>
      </c>
      <c r="D6467" s="8">
        <v>0</v>
      </c>
      <c r="E6467" s="8">
        <v>0</v>
      </c>
      <c r="F6467" s="8">
        <v>2124</v>
      </c>
    </row>
    <row r="6468" spans="1:6" ht="12.75">
      <c r="A6468" s="8">
        <v>43902.052303240736</v>
      </c>
      <c r="B6468" s="8" t="str">
        <f>HYPERLINK("https://twitter.com/PRIHONGGO","@PRIHONGGO")</f>
        <v>@PRIHONGGO</v>
      </c>
      <c r="C6468" s="8" t="s">
        <v>3106</v>
      </c>
      <c r="D6468" s="8">
        <v>0</v>
      </c>
      <c r="E6468" s="8">
        <v>0</v>
      </c>
      <c r="F6468" s="8">
        <v>1013</v>
      </c>
    </row>
    <row r="6469" spans="1:6" ht="12.75">
      <c r="A6469" s="8">
        <v>43902.052199074074</v>
      </c>
      <c r="B6469" s="8" t="str">
        <f>HYPERLINK("https://twitter.com/gwangjuqueen_","@gwangjuqueen_")</f>
        <v>@gwangjuqueen_</v>
      </c>
      <c r="C6469" s="8" t="s">
        <v>3107</v>
      </c>
      <c r="D6469" s="8">
        <v>0</v>
      </c>
      <c r="E6469" s="8">
        <v>0</v>
      </c>
      <c r="F6469" s="8">
        <v>1801</v>
      </c>
    </row>
    <row r="6470" spans="1:6" ht="12.75">
      <c r="A6470" s="8">
        <v>43902.052187499998</v>
      </c>
      <c r="B6470" s="8" t="str">
        <f>HYPERLINK("https://twitter.com/Whisky28638669","@Whisky28638669")</f>
        <v>@Whisky28638669</v>
      </c>
      <c r="C6470" s="8" t="s">
        <v>3108</v>
      </c>
      <c r="D6470" s="8">
        <v>0</v>
      </c>
      <c r="E6470" s="8">
        <v>0</v>
      </c>
      <c r="F6470" s="8">
        <v>38</v>
      </c>
    </row>
    <row r="6471" spans="1:6" ht="12.75">
      <c r="A6471" s="8">
        <v>43902.051435185189</v>
      </c>
      <c r="B6471" s="8" t="str">
        <f>HYPERLINK("https://twitter.com/andreandewaa","@andreandewaa")</f>
        <v>@andreandewaa</v>
      </c>
      <c r="C6471" s="8" t="s">
        <v>3109</v>
      </c>
      <c r="D6471" s="8">
        <v>0</v>
      </c>
      <c r="E6471" s="8">
        <v>0</v>
      </c>
      <c r="F6471" s="8">
        <v>57</v>
      </c>
    </row>
    <row r="6472" spans="1:6" ht="12.75">
      <c r="A6472" s="8">
        <v>43902.050983796296</v>
      </c>
      <c r="B6472" s="8" t="str">
        <f>HYPERLINK("https://twitter.com/becak125cc","@becak125cc")</f>
        <v>@becak125cc</v>
      </c>
      <c r="C6472" s="8" t="s">
        <v>2292</v>
      </c>
      <c r="D6472" s="8">
        <v>36</v>
      </c>
      <c r="E6472" s="8">
        <v>0</v>
      </c>
      <c r="F6472" s="8">
        <v>566</v>
      </c>
    </row>
    <row r="6473" spans="1:6" ht="12.75">
      <c r="A6473" s="8">
        <v>43902.050810185188</v>
      </c>
      <c r="B6473" s="8" t="str">
        <f>HYPERLINK("https://twitter.com/Raza60556961","@Raza60556961")</f>
        <v>@Raza60556961</v>
      </c>
      <c r="C6473" s="8" t="s">
        <v>3110</v>
      </c>
      <c r="D6473" s="8">
        <v>16</v>
      </c>
      <c r="E6473" s="8">
        <v>0</v>
      </c>
      <c r="F6473" s="8">
        <v>71</v>
      </c>
    </row>
    <row r="6474" spans="1:6" ht="12.75">
      <c r="A6474" s="8">
        <v>43902.049618055556</v>
      </c>
      <c r="B6474" s="8" t="str">
        <f>HYPERLINK("https://twitter.com/arrant_rover","@arrant_rover")</f>
        <v>@arrant_rover</v>
      </c>
      <c r="C6474" s="8" t="s">
        <v>1186</v>
      </c>
      <c r="D6474" s="8">
        <v>415</v>
      </c>
      <c r="E6474" s="8">
        <v>0</v>
      </c>
      <c r="F6474" s="8">
        <v>58</v>
      </c>
    </row>
    <row r="6475" spans="1:6" ht="12.75">
      <c r="A6475" s="8">
        <v>43902.049560185187</v>
      </c>
      <c r="B6475" s="8" t="str">
        <f>HYPERLINK("https://twitter.com/baru_kaya","@baru_kaya")</f>
        <v>@baru_kaya</v>
      </c>
      <c r="C6475" s="8" t="s">
        <v>2292</v>
      </c>
      <c r="D6475" s="8">
        <v>36</v>
      </c>
      <c r="E6475" s="8">
        <v>0</v>
      </c>
      <c r="F6475" s="8">
        <v>2378</v>
      </c>
    </row>
    <row r="6476" spans="1:6" ht="12.75">
      <c r="A6476" s="8">
        <v>43902.048796296294</v>
      </c>
      <c r="B6476" s="8" t="str">
        <f>HYPERLINK("https://twitter.com/kmtolol","@kmtolol")</f>
        <v>@kmtolol</v>
      </c>
      <c r="C6476" s="8" t="s">
        <v>3111</v>
      </c>
      <c r="D6476" s="8">
        <v>0</v>
      </c>
      <c r="E6476" s="8">
        <v>0</v>
      </c>
      <c r="F6476" s="8">
        <v>2446</v>
      </c>
    </row>
    <row r="6477" spans="1:6" ht="12.75">
      <c r="A6477" s="8">
        <v>43902.048414351855</v>
      </c>
      <c r="B6477" s="8" t="str">
        <f>HYPERLINK("https://twitter.com/ryolandafit","@ryolandafit")</f>
        <v>@ryolandafit</v>
      </c>
      <c r="C6477" s="8" t="s">
        <v>3112</v>
      </c>
      <c r="D6477" s="8">
        <v>3</v>
      </c>
      <c r="E6477" s="8">
        <v>0</v>
      </c>
      <c r="F6477" s="8">
        <v>661</v>
      </c>
    </row>
    <row r="6478" spans="1:6" ht="12.75">
      <c r="A6478" s="8">
        <v>43902.047905092593</v>
      </c>
      <c r="B6478" s="8" t="str">
        <f>HYPERLINK("https://twitter.com/KelinciLanank","@KelinciLanank")</f>
        <v>@KelinciLanank</v>
      </c>
      <c r="C6478" s="8" t="s">
        <v>3113</v>
      </c>
      <c r="D6478" s="8">
        <v>0</v>
      </c>
      <c r="E6478" s="8">
        <v>0</v>
      </c>
      <c r="F6478" s="8">
        <v>98</v>
      </c>
    </row>
    <row r="6479" spans="1:6" ht="12.75">
      <c r="A6479" s="8">
        <v>43902.047002314815</v>
      </c>
      <c r="B6479" s="8" t="str">
        <f>HYPERLINK("https://twitter.com/forsi_liberty","@forsi_liberty")</f>
        <v>@forsi_liberty</v>
      </c>
      <c r="C6479" s="8" t="s">
        <v>3114</v>
      </c>
      <c r="D6479" s="8">
        <v>0</v>
      </c>
      <c r="E6479" s="8">
        <v>0</v>
      </c>
      <c r="F6479" s="8">
        <v>18</v>
      </c>
    </row>
    <row r="6480" spans="1:6" ht="12.75">
      <c r="A6480" s="8">
        <v>43902.046655092592</v>
      </c>
      <c r="B6480" s="8" t="str">
        <f>HYPERLINK("https://twitter.com/nandyeon","@nandyeon")</f>
        <v>@nandyeon</v>
      </c>
      <c r="C6480" s="8" t="s">
        <v>3115</v>
      </c>
      <c r="D6480" s="8">
        <v>0</v>
      </c>
      <c r="E6480" s="8">
        <v>0</v>
      </c>
      <c r="F6480" s="8">
        <v>1131</v>
      </c>
    </row>
    <row r="6481" spans="1:6" ht="12.75">
      <c r="A6481" s="8">
        <v>43902.046655092592</v>
      </c>
      <c r="B6481" s="8" t="str">
        <f>HYPERLINK("https://twitter.com/divraa02","@divraa02")</f>
        <v>@divraa02</v>
      </c>
      <c r="C6481" s="8" t="s">
        <v>3116</v>
      </c>
      <c r="D6481" s="8">
        <v>0</v>
      </c>
      <c r="E6481" s="8">
        <v>0</v>
      </c>
      <c r="F6481" s="8">
        <v>12</v>
      </c>
    </row>
    <row r="6482" spans="1:6" ht="12.75">
      <c r="A6482" s="8">
        <v>43902.046377314815</v>
      </c>
      <c r="B6482" s="8" t="str">
        <f>HYPERLINK("https://twitter.com/kubapalak","@kubapalak")</f>
        <v>@kubapalak</v>
      </c>
      <c r="C6482" s="8" t="s">
        <v>3117</v>
      </c>
      <c r="D6482" s="8">
        <v>0</v>
      </c>
      <c r="E6482" s="8">
        <v>1</v>
      </c>
      <c r="F6482" s="8">
        <v>1681</v>
      </c>
    </row>
    <row r="6483" spans="1:6" ht="12.75">
      <c r="A6483" s="8">
        <v>43902.042650462958</v>
      </c>
      <c r="B6483" s="8" t="str">
        <f>HYPERLINK("https://twitter.com/hilyatul_afifah","@hilyatul_afifah")</f>
        <v>@hilyatul_afifah</v>
      </c>
      <c r="C6483" s="8" t="s">
        <v>3118</v>
      </c>
      <c r="D6483" s="8">
        <v>2</v>
      </c>
      <c r="E6483" s="8">
        <v>0</v>
      </c>
      <c r="F6483" s="8">
        <v>369</v>
      </c>
    </row>
    <row r="6484" spans="1:6" ht="12.75">
      <c r="A6484" s="8">
        <v>43902.042175925926</v>
      </c>
      <c r="B6484" s="8" t="str">
        <f>HYPERLINK("https://twitter.com/ryolandafit","@ryolandafit")</f>
        <v>@ryolandafit</v>
      </c>
      <c r="C6484" s="8" t="s">
        <v>3119</v>
      </c>
      <c r="D6484" s="8">
        <v>4</v>
      </c>
      <c r="E6484" s="8">
        <v>0</v>
      </c>
      <c r="F6484" s="8">
        <v>661</v>
      </c>
    </row>
    <row r="6485" spans="1:6" ht="12.75">
      <c r="A6485" s="8">
        <v>43902.041666666672</v>
      </c>
      <c r="B6485" s="8" t="str">
        <f>HYPERLINK("https://twitter.com/selfieituindah","@selfieituindah")</f>
        <v>@selfieituindah</v>
      </c>
      <c r="C6485" s="8" t="s">
        <v>3120</v>
      </c>
      <c r="D6485" s="8">
        <v>0</v>
      </c>
      <c r="E6485" s="8">
        <v>0</v>
      </c>
      <c r="F6485" s="8">
        <v>21308</v>
      </c>
    </row>
    <row r="6486" spans="1:6" ht="12.75">
      <c r="A6486" s="8">
        <v>43902.040763888886</v>
      </c>
      <c r="B6486" s="8" t="str">
        <f>HYPERLINK("https://twitter.com/jjsengui","@jjsengui")</f>
        <v>@jjsengui</v>
      </c>
      <c r="C6486" s="8" t="s">
        <v>2767</v>
      </c>
      <c r="D6486" s="8">
        <v>8</v>
      </c>
      <c r="E6486" s="8">
        <v>0</v>
      </c>
      <c r="F6486" s="8">
        <v>903</v>
      </c>
    </row>
    <row r="6487" spans="1:6" ht="12.75">
      <c r="A6487" s="8">
        <v>43902.040439814809</v>
      </c>
      <c r="B6487" s="8" t="str">
        <f>HYPERLINK("https://twitter.com/ryolandafit","@ryolandafit")</f>
        <v>@ryolandafit</v>
      </c>
      <c r="C6487" s="8" t="s">
        <v>3121</v>
      </c>
      <c r="D6487" s="8">
        <v>10</v>
      </c>
      <c r="E6487" s="8">
        <v>0</v>
      </c>
      <c r="F6487" s="8">
        <v>661</v>
      </c>
    </row>
    <row r="6488" spans="1:6" ht="12.75">
      <c r="A6488" s="8">
        <v>43902.040370370371</v>
      </c>
      <c r="B6488" s="8" t="str">
        <f>HYPERLINK("https://twitter.com/Indian123_","@Indian123_")</f>
        <v>@Indian123_</v>
      </c>
      <c r="C6488" s="8" t="s">
        <v>1917</v>
      </c>
      <c r="D6488" s="8">
        <v>1541</v>
      </c>
      <c r="E6488" s="8">
        <v>0</v>
      </c>
      <c r="F6488" s="8">
        <v>79</v>
      </c>
    </row>
    <row r="6489" spans="1:6" ht="12.75">
      <c r="A6489" s="8">
        <v>43902.039814814816</v>
      </c>
      <c r="B6489" s="8" t="str">
        <f>HYPERLINK("https://twitter.com/jade_isis_","@jade_isis_")</f>
        <v>@jade_isis_</v>
      </c>
      <c r="C6489" s="8" t="s">
        <v>3122</v>
      </c>
      <c r="D6489" s="8">
        <v>0</v>
      </c>
      <c r="E6489" s="8">
        <v>0</v>
      </c>
      <c r="F6489" s="8">
        <v>255</v>
      </c>
    </row>
    <row r="6490" spans="1:6" ht="12.75">
      <c r="A6490" s="8">
        <v>43902.0387037037</v>
      </c>
      <c r="B6490" s="8" t="str">
        <f>HYPERLINK("https://twitter.com/Ozie96036369","@Ozie96036369")</f>
        <v>@Ozie96036369</v>
      </c>
      <c r="C6490" s="8" t="s">
        <v>2537</v>
      </c>
      <c r="D6490" s="8">
        <v>74</v>
      </c>
      <c r="E6490" s="8">
        <v>0</v>
      </c>
      <c r="F6490" s="8">
        <v>98</v>
      </c>
    </row>
    <row r="6491" spans="1:6" ht="12.75">
      <c r="A6491" s="8">
        <v>43902.03805555556</v>
      </c>
      <c r="B6491" s="8" t="str">
        <f>HYPERLINK("https://twitter.com/Shepty_19","@Shepty_19")</f>
        <v>@Shepty_19</v>
      </c>
      <c r="C6491" s="8" t="s">
        <v>1800</v>
      </c>
      <c r="D6491" s="8">
        <v>55</v>
      </c>
      <c r="E6491" s="8">
        <v>0</v>
      </c>
      <c r="F6491" s="8">
        <v>845</v>
      </c>
    </row>
    <row r="6492" spans="1:6" ht="12.75">
      <c r="A6492" s="8">
        <v>43902.037881944445</v>
      </c>
      <c r="B6492" s="8" t="str">
        <f>HYPERLINK("https://twitter.com/jokerthewinner","@jokerthewinner")</f>
        <v>@jokerthewinner</v>
      </c>
      <c r="C6492" s="8" t="s">
        <v>3123</v>
      </c>
      <c r="D6492" s="8">
        <v>0</v>
      </c>
      <c r="E6492" s="8">
        <v>0</v>
      </c>
      <c r="F6492" s="8">
        <v>47</v>
      </c>
    </row>
    <row r="6493" spans="1:6" ht="12.75">
      <c r="A6493" s="8">
        <v>43902.037499999999</v>
      </c>
      <c r="B6493" s="8" t="str">
        <f>HYPERLINK("https://twitter.com/Nadila_ID","@Nadila_ID")</f>
        <v>@Nadila_ID</v>
      </c>
      <c r="C6493" s="8" t="s">
        <v>3124</v>
      </c>
      <c r="D6493" s="8">
        <v>0</v>
      </c>
      <c r="E6493" s="8">
        <v>0</v>
      </c>
      <c r="F6493" s="8">
        <v>7175</v>
      </c>
    </row>
    <row r="6494" spans="1:6" ht="12.75">
      <c r="A6494" s="8">
        <v>43902.037210648152</v>
      </c>
      <c r="B6494" s="8" t="str">
        <f>HYPERLINK("https://twitter.com/hilyatul_afifah","@hilyatul_afifah")</f>
        <v>@hilyatul_afifah</v>
      </c>
      <c r="C6494" s="8" t="s">
        <v>3125</v>
      </c>
      <c r="D6494" s="8">
        <v>7</v>
      </c>
      <c r="E6494" s="8">
        <v>0</v>
      </c>
      <c r="F6494" s="8">
        <v>369</v>
      </c>
    </row>
    <row r="6495" spans="1:6" ht="12.75">
      <c r="A6495" s="8">
        <v>43902.03597222222</v>
      </c>
      <c r="B6495" s="8" t="str">
        <f>HYPERLINK("https://twitter.com/susan1612","@susan1612")</f>
        <v>@susan1612</v>
      </c>
      <c r="C6495" s="8" t="s">
        <v>3126</v>
      </c>
      <c r="D6495" s="8">
        <v>330</v>
      </c>
      <c r="E6495" s="8">
        <v>0</v>
      </c>
      <c r="F6495" s="8">
        <v>3054</v>
      </c>
    </row>
    <row r="6496" spans="1:6" ht="12.75">
      <c r="A6496" s="8">
        <v>43902.035810185189</v>
      </c>
      <c r="B6496" s="8" t="str">
        <f>HYPERLINK("https://twitter.com/Ozie96036369","@Ozie96036369")</f>
        <v>@Ozie96036369</v>
      </c>
      <c r="C6496" s="8" t="s">
        <v>318</v>
      </c>
      <c r="D6496" s="8">
        <v>1416</v>
      </c>
      <c r="E6496" s="8">
        <v>0</v>
      </c>
      <c r="F6496" s="8">
        <v>98</v>
      </c>
    </row>
    <row r="6497" spans="1:6" ht="12.75">
      <c r="A6497" s="8">
        <v>43902.033877314811</v>
      </c>
      <c r="B6497" s="8" t="str">
        <f>HYPERLINK("https://twitter.com/indonesia_sk","@indonesia_sk")</f>
        <v>@indonesia_sk</v>
      </c>
      <c r="C6497" s="8" t="s">
        <v>2178</v>
      </c>
      <c r="D6497" s="8">
        <v>36</v>
      </c>
      <c r="E6497" s="8">
        <v>0</v>
      </c>
      <c r="F6497" s="8">
        <v>1068</v>
      </c>
    </row>
    <row r="6498" spans="1:6" ht="12.75">
      <c r="A6498" s="8">
        <v>43902.032997685186</v>
      </c>
      <c r="B6498" s="8" t="str">
        <f>HYPERLINK("https://twitter.com/IZahronissa","@IZahronissa")</f>
        <v>@IZahronissa</v>
      </c>
      <c r="C6498" s="8" t="s">
        <v>318</v>
      </c>
      <c r="D6498" s="8">
        <v>1416</v>
      </c>
      <c r="E6498" s="8">
        <v>0</v>
      </c>
      <c r="F6498" s="8">
        <v>85</v>
      </c>
    </row>
    <row r="6499" spans="1:6" ht="12.75">
      <c r="A6499" s="8">
        <v>43902.03297453704</v>
      </c>
      <c r="B6499" s="8" t="str">
        <f t="shared" ref="B6499:B6500" si="125">HYPERLINK("https://twitter.com/NannyAlexendry","@NannyAlexendry")</f>
        <v>@NannyAlexendry</v>
      </c>
      <c r="C6499" s="8" t="s">
        <v>2490</v>
      </c>
      <c r="D6499" s="8">
        <v>2</v>
      </c>
      <c r="E6499" s="8">
        <v>0</v>
      </c>
      <c r="F6499" s="8">
        <v>2950</v>
      </c>
    </row>
    <row r="6500" spans="1:6" ht="12.75">
      <c r="A6500" s="8">
        <v>43902.03288194444</v>
      </c>
      <c r="B6500" s="8" t="str">
        <f t="shared" si="125"/>
        <v>@NannyAlexendry</v>
      </c>
      <c r="C6500" s="8" t="s">
        <v>2491</v>
      </c>
      <c r="D6500" s="8">
        <v>4</v>
      </c>
      <c r="E6500" s="8">
        <v>0</v>
      </c>
      <c r="F6500" s="8">
        <v>2950</v>
      </c>
    </row>
    <row r="6501" spans="1:6" ht="12.75">
      <c r="A6501" s="8">
        <v>43902.032638888893</v>
      </c>
      <c r="B6501" s="8" t="str">
        <f>HYPERLINK("https://twitter.com/paquitacumadebu","@paquitacumadebu")</f>
        <v>@paquitacumadebu</v>
      </c>
      <c r="C6501" s="8" t="s">
        <v>3127</v>
      </c>
      <c r="D6501" s="8">
        <v>0</v>
      </c>
      <c r="E6501" s="8">
        <v>0</v>
      </c>
      <c r="F6501" s="8">
        <v>1766</v>
      </c>
    </row>
    <row r="6502" spans="1:6" ht="12.75">
      <c r="A6502" s="8">
        <v>43902.032106481478</v>
      </c>
      <c r="B6502" s="8" t="str">
        <f>HYPERLINK("https://twitter.com/BIBLEEown","@BIBLEEown")</f>
        <v>@BIBLEEown</v>
      </c>
      <c r="C6502" s="8" t="s">
        <v>3128</v>
      </c>
      <c r="D6502" s="8">
        <v>0</v>
      </c>
      <c r="E6502" s="8">
        <v>0</v>
      </c>
      <c r="F6502" s="8">
        <v>210</v>
      </c>
    </row>
    <row r="6503" spans="1:6" ht="12.75">
      <c r="A6503" s="8">
        <v>43902.031574074077</v>
      </c>
      <c r="B6503" s="8" t="str">
        <f t="shared" ref="B6503:B6504" si="126">HYPERLINK("https://twitter.com/NannyAlexendry","@NannyAlexendry")</f>
        <v>@NannyAlexendry</v>
      </c>
      <c r="C6503" s="8" t="s">
        <v>2483</v>
      </c>
      <c r="D6503" s="8">
        <v>5</v>
      </c>
      <c r="E6503" s="8">
        <v>0</v>
      </c>
      <c r="F6503" s="8">
        <v>2950</v>
      </c>
    </row>
    <row r="6504" spans="1:6" ht="12.75">
      <c r="A6504" s="8">
        <v>43902.03126157407</v>
      </c>
      <c r="B6504" s="8" t="str">
        <f t="shared" si="126"/>
        <v>@NannyAlexendry</v>
      </c>
      <c r="C6504" s="8" t="s">
        <v>2482</v>
      </c>
      <c r="D6504" s="8">
        <v>2</v>
      </c>
      <c r="E6504" s="8">
        <v>0</v>
      </c>
      <c r="F6504" s="8">
        <v>2950</v>
      </c>
    </row>
    <row r="6505" spans="1:6" ht="12.75">
      <c r="A6505" s="8">
        <v>43902.03125</v>
      </c>
      <c r="B6505" s="8" t="str">
        <f>HYPERLINK("https://twitter.com/Addin_15","@Addin_15")</f>
        <v>@Addin_15</v>
      </c>
      <c r="C6505" s="8" t="s">
        <v>2786</v>
      </c>
      <c r="D6505" s="8">
        <v>21</v>
      </c>
      <c r="E6505" s="8">
        <v>0</v>
      </c>
      <c r="F6505" s="8">
        <v>6</v>
      </c>
    </row>
    <row r="6506" spans="1:6" ht="12.75">
      <c r="A6506" s="8">
        <v>43902.030925925923</v>
      </c>
      <c r="B6506" s="8" t="str">
        <f>HYPERLINK("https://twitter.com/iswaratiara","@iswaratiara")</f>
        <v>@iswaratiara</v>
      </c>
      <c r="C6506" s="8" t="s">
        <v>2767</v>
      </c>
      <c r="D6506" s="8">
        <v>8</v>
      </c>
      <c r="E6506" s="8">
        <v>0</v>
      </c>
      <c r="F6506" s="8">
        <v>88</v>
      </c>
    </row>
    <row r="6507" spans="1:6" ht="12.75">
      <c r="A6507" s="8">
        <v>43902.030902777777</v>
      </c>
      <c r="B6507" s="8" t="str">
        <f>HYPERLINK("https://twitter.com/NannyAlexendry","@NannyAlexendry")</f>
        <v>@NannyAlexendry</v>
      </c>
      <c r="C6507" s="8" t="s">
        <v>2292</v>
      </c>
      <c r="D6507" s="8">
        <v>30</v>
      </c>
      <c r="E6507" s="8">
        <v>0</v>
      </c>
      <c r="F6507" s="8">
        <v>2950</v>
      </c>
    </row>
    <row r="6508" spans="1:6" ht="12.75">
      <c r="A6508" s="8">
        <v>43902.030810185184</v>
      </c>
      <c r="B6508" s="8" t="str">
        <f>HYPERLINK("https://twitter.com/lurah_Menteng","@lurah_Menteng")</f>
        <v>@lurah_Menteng</v>
      </c>
      <c r="C6508" s="8" t="s">
        <v>1801</v>
      </c>
      <c r="D6508" s="8">
        <v>344</v>
      </c>
      <c r="E6508" s="8">
        <v>0</v>
      </c>
      <c r="F6508" s="8">
        <v>1627</v>
      </c>
    </row>
    <row r="6509" spans="1:6" ht="12.75">
      <c r="A6509" s="8">
        <v>43902.029351851852</v>
      </c>
      <c r="B6509" s="8" t="str">
        <f>HYPERLINK("https://twitter.com/Muhamma65793485","@Muhamma65793485")</f>
        <v>@Muhamma65793485</v>
      </c>
      <c r="C6509" s="8" t="s">
        <v>318</v>
      </c>
      <c r="D6509" s="8">
        <v>1416</v>
      </c>
      <c r="E6509" s="8">
        <v>0</v>
      </c>
      <c r="F6509" s="8">
        <v>230</v>
      </c>
    </row>
    <row r="6510" spans="1:6" ht="12.75">
      <c r="A6510" s="8">
        <v>43902.02888888889</v>
      </c>
      <c r="B6510" s="8" t="str">
        <f>HYPERLINK("https://twitter.com/Berita7dotid","@Berita7dotid")</f>
        <v>@Berita7dotid</v>
      </c>
      <c r="C6510" s="8" t="s">
        <v>3129</v>
      </c>
      <c r="D6510" s="8">
        <v>0</v>
      </c>
      <c r="E6510" s="8">
        <v>0</v>
      </c>
      <c r="F6510" s="8">
        <v>2568</v>
      </c>
    </row>
    <row r="6511" spans="1:6" ht="12.75">
      <c r="A6511" s="8">
        <v>43902.028391203705</v>
      </c>
      <c r="B6511" s="8" t="str">
        <f>HYPERLINK("https://twitter.com/bhumimanusia1","@bhumimanusia1")</f>
        <v>@bhumimanusia1</v>
      </c>
      <c r="C6511" s="8" t="s">
        <v>3130</v>
      </c>
      <c r="D6511" s="8">
        <v>0</v>
      </c>
      <c r="E6511" s="8">
        <v>0</v>
      </c>
      <c r="F6511" s="8">
        <v>31</v>
      </c>
    </row>
    <row r="6512" spans="1:6" ht="12.75">
      <c r="A6512" s="8">
        <v>43902.027939814812</v>
      </c>
      <c r="B6512" s="8" t="str">
        <f>HYPERLINK("https://twitter.com/Baim378","@Baim378")</f>
        <v>@Baim378</v>
      </c>
      <c r="C6512" s="8" t="s">
        <v>2962</v>
      </c>
      <c r="D6512" s="8">
        <v>5683</v>
      </c>
      <c r="E6512" s="8">
        <v>0</v>
      </c>
      <c r="F6512" s="8">
        <v>90</v>
      </c>
    </row>
    <row r="6513" spans="1:6" ht="12.75">
      <c r="A6513" s="8">
        <v>43902.027268518519</v>
      </c>
      <c r="B6513" s="8" t="str">
        <f>HYPERLINK("https://twitter.com/ariachan7","@ariachan7")</f>
        <v>@ariachan7</v>
      </c>
      <c r="C6513" s="8" t="s">
        <v>3131</v>
      </c>
      <c r="D6513" s="8">
        <v>0</v>
      </c>
      <c r="E6513" s="8">
        <v>0</v>
      </c>
      <c r="F6513" s="8">
        <v>53</v>
      </c>
    </row>
    <row r="6514" spans="1:6" ht="12.75">
      <c r="A6514" s="8">
        <v>43902.02280092593</v>
      </c>
      <c r="B6514" s="8" t="str">
        <f>HYPERLINK("https://twitter.com/Vendra_Deje","@Vendra_Deje")</f>
        <v>@Vendra_Deje</v>
      </c>
      <c r="C6514" s="8" t="s">
        <v>2786</v>
      </c>
      <c r="D6514" s="8">
        <v>21</v>
      </c>
      <c r="E6514" s="8">
        <v>0</v>
      </c>
      <c r="F6514" s="8">
        <v>3603</v>
      </c>
    </row>
    <row r="6515" spans="1:6" ht="12.75">
      <c r="A6515" s="8">
        <v>43902.020972222221</v>
      </c>
      <c r="B6515" s="8" t="str">
        <f>HYPERLINK("https://twitter.com/aiskrimcuseyo","@aiskrimcuseyo")</f>
        <v>@aiskrimcuseyo</v>
      </c>
      <c r="C6515" s="8" t="s">
        <v>2171</v>
      </c>
      <c r="D6515" s="8">
        <v>2</v>
      </c>
      <c r="E6515" s="8">
        <v>0</v>
      </c>
      <c r="F6515" s="8">
        <v>632</v>
      </c>
    </row>
    <row r="6516" spans="1:6" ht="12.75">
      <c r="A6516" s="8">
        <v>43902.019976851851</v>
      </c>
      <c r="B6516" s="8" t="str">
        <f>HYPERLINK("https://twitter.com/JihanitaFayza","@JihanitaFayza")</f>
        <v>@JihanitaFayza</v>
      </c>
      <c r="C6516" s="8" t="s">
        <v>3132</v>
      </c>
      <c r="D6516" s="8">
        <v>141</v>
      </c>
      <c r="E6516" s="8">
        <v>0</v>
      </c>
      <c r="F6516" s="8">
        <v>0</v>
      </c>
    </row>
    <row r="6517" spans="1:6" ht="12.75">
      <c r="A6517" s="8">
        <v>43902.019965277781</v>
      </c>
      <c r="B6517" s="8" t="str">
        <f>HYPERLINK("https://twitter.com/JWamstrong","@JWamstrong")</f>
        <v>@JWamstrong</v>
      </c>
      <c r="C6517" s="8" t="s">
        <v>2292</v>
      </c>
      <c r="D6517" s="8">
        <v>30</v>
      </c>
      <c r="E6517" s="8">
        <v>0</v>
      </c>
      <c r="F6517" s="8">
        <v>66</v>
      </c>
    </row>
    <row r="6518" spans="1:6" ht="12.75">
      <c r="A6518" s="8">
        <v>43902.01934027778</v>
      </c>
      <c r="B6518" s="8" t="str">
        <f>HYPERLINK("https://twitter.com/pujangga1123","@pujangga1123")</f>
        <v>@pujangga1123</v>
      </c>
      <c r="C6518" s="8" t="s">
        <v>2767</v>
      </c>
      <c r="D6518" s="8">
        <v>8</v>
      </c>
      <c r="E6518" s="8">
        <v>0</v>
      </c>
      <c r="F6518" s="8">
        <v>13208</v>
      </c>
    </row>
    <row r="6519" spans="1:6" ht="12.75">
      <c r="A6519" s="8">
        <v>43902.019143518519</v>
      </c>
      <c r="B6519" s="8" t="str">
        <f>HYPERLINK("https://twitter.com/Ahmad_F_Izzi","@Ahmad_F_Izzi")</f>
        <v>@Ahmad_F_Izzi</v>
      </c>
      <c r="C6519" s="8" t="s">
        <v>1801</v>
      </c>
      <c r="D6519" s="8">
        <v>344</v>
      </c>
      <c r="E6519" s="8">
        <v>0</v>
      </c>
      <c r="F6519" s="8">
        <v>2151</v>
      </c>
    </row>
    <row r="6520" spans="1:6" ht="12.75">
      <c r="A6520" s="8">
        <v>43902.019027777773</v>
      </c>
      <c r="B6520" s="8" t="str">
        <f>HYPERLINK("https://twitter.com/audreyzahra","@audreyzahra")</f>
        <v>@audreyzahra</v>
      </c>
      <c r="C6520" s="8" t="s">
        <v>1186</v>
      </c>
      <c r="D6520" s="8">
        <v>411</v>
      </c>
      <c r="E6520" s="8">
        <v>0</v>
      </c>
      <c r="F6520" s="8">
        <v>671</v>
      </c>
    </row>
    <row r="6521" spans="1:6" ht="12.75">
      <c r="A6521" s="8">
        <v>43902.017430555556</v>
      </c>
      <c r="B6521" s="8" t="str">
        <f>HYPERLINK("https://twitter.com/KBRIBaghdad","@KBRIBaghdad")</f>
        <v>@KBRIBaghdad</v>
      </c>
      <c r="C6521" s="8" t="s">
        <v>2178</v>
      </c>
      <c r="D6521" s="8">
        <v>36</v>
      </c>
      <c r="E6521" s="8">
        <v>0</v>
      </c>
      <c r="F6521" s="8">
        <v>487</v>
      </c>
    </row>
    <row r="6522" spans="1:6" ht="12.75">
      <c r="A6522" s="8">
        <v>43902.016851851848</v>
      </c>
      <c r="B6522" s="8" t="str">
        <f>HYPERLINK("https://twitter.com/emastok","@emastok")</f>
        <v>@emastok</v>
      </c>
      <c r="C6522" s="8" t="s">
        <v>2292</v>
      </c>
      <c r="D6522" s="8">
        <v>30</v>
      </c>
      <c r="E6522" s="8">
        <v>0</v>
      </c>
      <c r="F6522" s="8">
        <v>1854</v>
      </c>
    </row>
    <row r="6523" spans="1:6" ht="12.75">
      <c r="A6523" s="8">
        <v>43902.016666666663</v>
      </c>
      <c r="B6523" s="8" t="str">
        <f>HYPERLINK("https://twitter.com/FatiinS_L","@FatiinS_L")</f>
        <v>@FatiinS_L</v>
      </c>
      <c r="C6523" s="8" t="s">
        <v>3133</v>
      </c>
      <c r="D6523" s="8">
        <v>0</v>
      </c>
      <c r="E6523" s="8">
        <v>0</v>
      </c>
      <c r="F6523" s="8">
        <v>16420</v>
      </c>
    </row>
    <row r="6524" spans="1:6" ht="12.75">
      <c r="A6524" s="8">
        <v>43902.016192129631</v>
      </c>
      <c r="B6524" s="8" t="str">
        <f>HYPERLINK("https://twitter.com/_oliveisa","@_oliveisa")</f>
        <v>@_oliveisa</v>
      </c>
      <c r="C6524" s="8" t="s">
        <v>3134</v>
      </c>
      <c r="D6524" s="8">
        <v>1</v>
      </c>
      <c r="E6524" s="8">
        <v>0</v>
      </c>
      <c r="F6524" s="8">
        <v>486</v>
      </c>
    </row>
    <row r="6525" spans="1:6" ht="12.75">
      <c r="A6525" s="8">
        <v>43902.015092592592</v>
      </c>
      <c r="B6525" s="8" t="str">
        <f>HYPERLINK("https://twitter.com/doyokijay","@doyokijay")</f>
        <v>@doyokijay</v>
      </c>
      <c r="C6525" s="8" t="s">
        <v>2767</v>
      </c>
      <c r="D6525" s="8">
        <v>8</v>
      </c>
      <c r="E6525" s="8">
        <v>0</v>
      </c>
      <c r="F6525" s="8">
        <v>332</v>
      </c>
    </row>
    <row r="6526" spans="1:6" ht="12.75">
      <c r="A6526" s="8">
        <v>43902.015023148153</v>
      </c>
      <c r="B6526" s="8" t="str">
        <f>HYPERLINK("https://twitter.com/Noerzam0190","@Noerzam0190")</f>
        <v>@Noerzam0190</v>
      </c>
      <c r="C6526" s="8" t="s">
        <v>2989</v>
      </c>
      <c r="D6526" s="8">
        <v>152</v>
      </c>
      <c r="E6526" s="8">
        <v>0</v>
      </c>
      <c r="F6526" s="8">
        <v>1782</v>
      </c>
    </row>
    <row r="6527" spans="1:6" ht="12.75">
      <c r="A6527" s="8">
        <v>43902.014965277776</v>
      </c>
      <c r="B6527" s="8" t="str">
        <f>HYPERLINK("https://twitter.com/wow_keren","@wow_keren")</f>
        <v>@wow_keren</v>
      </c>
      <c r="C6527" s="8" t="s">
        <v>3135</v>
      </c>
      <c r="D6527" s="8">
        <v>0</v>
      </c>
      <c r="E6527" s="8">
        <v>0</v>
      </c>
      <c r="F6527" s="8">
        <v>32026</v>
      </c>
    </row>
    <row r="6528" spans="1:6" ht="12.75">
      <c r="A6528" s="8">
        <v>43902.014444444445</v>
      </c>
      <c r="B6528" s="8" t="str">
        <f>HYPERLINK("https://twitter.com/gelatik31","@gelatik31")</f>
        <v>@gelatik31</v>
      </c>
      <c r="C6528" s="8" t="s">
        <v>1186</v>
      </c>
      <c r="D6528" s="8">
        <v>411</v>
      </c>
      <c r="E6528" s="8">
        <v>0</v>
      </c>
      <c r="F6528" s="8">
        <v>321</v>
      </c>
    </row>
    <row r="6529" spans="1:6" ht="12.75">
      <c r="A6529" s="8">
        <v>43902.014143518521</v>
      </c>
      <c r="B6529" s="8" t="str">
        <f>HYPERLINK("https://twitter.com/Handoyo_NP_06","@Handoyo_NP_06")</f>
        <v>@Handoyo_NP_06</v>
      </c>
      <c r="C6529" s="8" t="s">
        <v>2989</v>
      </c>
      <c r="D6529" s="8">
        <v>152</v>
      </c>
      <c r="E6529" s="8">
        <v>0</v>
      </c>
      <c r="F6529" s="8">
        <v>1000</v>
      </c>
    </row>
    <row r="6530" spans="1:6" ht="12.75">
      <c r="A6530" s="8">
        <v>43902.014108796298</v>
      </c>
      <c r="B6530" s="8" t="str">
        <f>HYPERLINK("https://twitter.com/8_fero_8","@8_fero_8")</f>
        <v>@8_fero_8</v>
      </c>
      <c r="C6530" s="8" t="s">
        <v>3136</v>
      </c>
      <c r="D6530" s="8">
        <v>2</v>
      </c>
      <c r="E6530" s="8">
        <v>0</v>
      </c>
      <c r="F6530" s="8">
        <v>1950</v>
      </c>
    </row>
    <row r="6531" spans="1:6" ht="12.75">
      <c r="A6531" s="8">
        <v>43902.012731481482</v>
      </c>
      <c r="B6531" s="8" t="str">
        <f>HYPERLINK("https://twitter.com/ninanaina2","@ninanaina2")</f>
        <v>@ninanaina2</v>
      </c>
      <c r="C6531" s="8" t="s">
        <v>2620</v>
      </c>
      <c r="D6531" s="8">
        <v>1</v>
      </c>
      <c r="E6531" s="8">
        <v>0</v>
      </c>
      <c r="F6531" s="8">
        <v>518</v>
      </c>
    </row>
    <row r="6532" spans="1:6" ht="12.75">
      <c r="A6532" s="8">
        <v>43902.012476851851</v>
      </c>
      <c r="B6532" s="8" t="str">
        <f>HYPERLINK("https://twitter.com/manuel_agil","@manuel_agil")</f>
        <v>@manuel_agil</v>
      </c>
      <c r="C6532" s="8" t="s">
        <v>3137</v>
      </c>
      <c r="D6532" s="8">
        <v>0</v>
      </c>
      <c r="E6532" s="8">
        <v>0</v>
      </c>
      <c r="F6532" s="8">
        <v>3216</v>
      </c>
    </row>
    <row r="6533" spans="1:6" ht="12.75">
      <c r="A6533" s="8">
        <v>43902.011886574073</v>
      </c>
      <c r="B6533" s="8" t="str">
        <f>HYPERLINK("https://twitter.com/profanitties","@profanitties")</f>
        <v>@profanitties</v>
      </c>
      <c r="C6533" s="8" t="s">
        <v>2790</v>
      </c>
      <c r="D6533" s="8">
        <v>251</v>
      </c>
      <c r="E6533" s="8">
        <v>0</v>
      </c>
      <c r="F6533" s="8">
        <v>107</v>
      </c>
    </row>
    <row r="6534" spans="1:6" ht="12.75">
      <c r="A6534" s="8">
        <v>43902.011412037042</v>
      </c>
      <c r="B6534" s="8" t="str">
        <f>HYPERLINK("https://twitter.com/KuncoroJati1234","@KuncoroJati1234")</f>
        <v>@KuncoroJati1234</v>
      </c>
      <c r="C6534" s="8" t="s">
        <v>2989</v>
      </c>
      <c r="D6534" s="8">
        <v>152</v>
      </c>
      <c r="E6534" s="8">
        <v>0</v>
      </c>
      <c r="F6534" s="8">
        <v>2050</v>
      </c>
    </row>
    <row r="6535" spans="1:6" ht="12.75">
      <c r="A6535" s="8">
        <v>43902.010474537034</v>
      </c>
      <c r="B6535" s="8" t="str">
        <f>HYPERLINK("https://twitter.com/faizalassegaf","@faizalassegaf")</f>
        <v>@faizalassegaf</v>
      </c>
      <c r="C6535" s="8" t="s">
        <v>3138</v>
      </c>
      <c r="D6535" s="8">
        <v>1</v>
      </c>
      <c r="E6535" s="8">
        <v>3</v>
      </c>
      <c r="F6535" s="8">
        <v>52049</v>
      </c>
    </row>
    <row r="6536" spans="1:6" ht="12.75">
      <c r="A6536" s="8">
        <v>43902.010358796295</v>
      </c>
      <c r="B6536" s="8" t="str">
        <f>HYPERLINK("https://twitter.com/Spider__id","@Spider__id")</f>
        <v>@Spider__id</v>
      </c>
      <c r="C6536" s="8" t="s">
        <v>2767</v>
      </c>
      <c r="D6536" s="8">
        <v>8</v>
      </c>
      <c r="E6536" s="8">
        <v>0</v>
      </c>
      <c r="F6536" s="8">
        <v>5033</v>
      </c>
    </row>
    <row r="6537" spans="1:6" ht="12.75">
      <c r="A6537" s="8">
        <v>43902.010104166664</v>
      </c>
      <c r="B6537" s="8" t="str">
        <f t="shared" ref="B6537:B6538" si="127">HYPERLINK("https://twitter.com/manuel_agil","@manuel_agil")</f>
        <v>@manuel_agil</v>
      </c>
      <c r="C6537" s="8" t="s">
        <v>2767</v>
      </c>
      <c r="D6537" s="8">
        <v>8</v>
      </c>
      <c r="E6537" s="8">
        <v>0</v>
      </c>
      <c r="F6537" s="8">
        <v>3216</v>
      </c>
    </row>
    <row r="6538" spans="1:6" ht="12.75">
      <c r="A6538" s="8">
        <v>43902.010081018518</v>
      </c>
      <c r="B6538" s="8" t="str">
        <f t="shared" si="127"/>
        <v>@manuel_agil</v>
      </c>
      <c r="C6538" s="8" t="s">
        <v>3139</v>
      </c>
      <c r="D6538" s="8">
        <v>0</v>
      </c>
      <c r="E6538" s="8">
        <v>2</v>
      </c>
      <c r="F6538" s="8">
        <v>3216</v>
      </c>
    </row>
    <row r="6539" spans="1:6" ht="12.75">
      <c r="A6539" s="8">
        <v>43902.009918981479</v>
      </c>
      <c r="B6539" s="8" t="str">
        <f>HYPERLINK("https://twitter.com/becool2503","@becool2503")</f>
        <v>@becool2503</v>
      </c>
      <c r="C6539" s="8" t="s">
        <v>3140</v>
      </c>
      <c r="D6539" s="8">
        <v>0</v>
      </c>
      <c r="E6539" s="8">
        <v>0</v>
      </c>
      <c r="F6539" s="8">
        <v>965</v>
      </c>
    </row>
    <row r="6540" spans="1:6" ht="12.75">
      <c r="A6540" s="8">
        <v>43902.009282407409</v>
      </c>
      <c r="B6540" s="8" t="str">
        <f>HYPERLINK("https://twitter.com/Aryaadi67273603","@Aryaadi67273603")</f>
        <v>@Aryaadi67273603</v>
      </c>
      <c r="C6540" s="8" t="s">
        <v>1186</v>
      </c>
      <c r="D6540" s="8">
        <v>411</v>
      </c>
      <c r="E6540" s="8">
        <v>0</v>
      </c>
      <c r="F6540" s="8">
        <v>31</v>
      </c>
    </row>
    <row r="6541" spans="1:6" ht="12.75">
      <c r="A6541" s="8">
        <v>43902.008587962962</v>
      </c>
      <c r="B6541" s="8" t="str">
        <f>HYPERLINK("https://twitter.com/JohnZEddi1","@JohnZEddi1")</f>
        <v>@JohnZEddi1</v>
      </c>
      <c r="C6541" s="8" t="s">
        <v>3141</v>
      </c>
      <c r="D6541" s="8">
        <v>1</v>
      </c>
      <c r="E6541" s="8">
        <v>0</v>
      </c>
      <c r="F6541" s="8">
        <v>1471</v>
      </c>
    </row>
    <row r="6542" spans="1:6" ht="12.75">
      <c r="A6542" s="8">
        <v>43902.008043981477</v>
      </c>
      <c r="B6542" s="8" t="str">
        <f>HYPERLINK("https://twitter.com/ElshintaTegal_","@ElshintaTegal_")</f>
        <v>@ElshintaTegal_</v>
      </c>
      <c r="C6542" s="8" t="s">
        <v>2652</v>
      </c>
      <c r="D6542" s="8">
        <v>4</v>
      </c>
      <c r="E6542" s="8">
        <v>0</v>
      </c>
      <c r="F6542" s="8">
        <v>46</v>
      </c>
    </row>
    <row r="6543" spans="1:6" ht="12.75">
      <c r="A6543" s="8">
        <v>43902.00744212963</v>
      </c>
      <c r="B6543" s="8" t="str">
        <f>HYPERLINK("https://twitter.com/Taufikreimond","@Taufikreimond")</f>
        <v>@Taufikreimond</v>
      </c>
      <c r="C6543" s="8" t="s">
        <v>1801</v>
      </c>
      <c r="D6543" s="8">
        <v>344</v>
      </c>
      <c r="E6543" s="8">
        <v>0</v>
      </c>
      <c r="F6543" s="8">
        <v>330</v>
      </c>
    </row>
    <row r="6544" spans="1:6" ht="12.75">
      <c r="A6544" s="8">
        <v>43902.00708333333</v>
      </c>
      <c r="B6544" s="8" t="str">
        <f>HYPERLINK("https://twitter.com/AnakLolina","@AnakLolina")</f>
        <v>@AnakLolina</v>
      </c>
      <c r="C6544" s="8" t="s">
        <v>3142</v>
      </c>
      <c r="D6544" s="8">
        <v>8</v>
      </c>
      <c r="E6544" s="8">
        <v>17</v>
      </c>
      <c r="F6544" s="8">
        <v>15318</v>
      </c>
    </row>
    <row r="6545" spans="1:6" ht="12.75">
      <c r="A6545" s="8">
        <v>43902.006597222222</v>
      </c>
      <c r="B6545" s="8" t="str">
        <f>HYPERLINK("https://twitter.com/Rden_","@Rden_")</f>
        <v>@Rden_</v>
      </c>
      <c r="C6545" s="8" t="s">
        <v>2715</v>
      </c>
      <c r="D6545" s="8">
        <v>72</v>
      </c>
      <c r="E6545" s="8">
        <v>0</v>
      </c>
      <c r="F6545" s="8">
        <v>383</v>
      </c>
    </row>
    <row r="6546" spans="1:6" ht="12.75">
      <c r="A6546" s="8">
        <v>43902.005694444444</v>
      </c>
      <c r="B6546" s="8" t="str">
        <f>HYPERLINK("https://twitter.com/cherymancunk","@cherymancunk")</f>
        <v>@cherymancunk</v>
      </c>
      <c r="C6546" s="8" t="s">
        <v>318</v>
      </c>
      <c r="D6546" s="8">
        <v>1412</v>
      </c>
      <c r="E6546" s="8">
        <v>0</v>
      </c>
      <c r="F6546" s="8">
        <v>2009</v>
      </c>
    </row>
    <row r="6547" spans="1:6" ht="12.75">
      <c r="A6547" s="8">
        <v>43902.005219907413</v>
      </c>
      <c r="B6547" s="8" t="str">
        <f>HYPERLINK("https://twitter.com/SINDOnews","@SINDOnews")</f>
        <v>@SINDOnews</v>
      </c>
      <c r="C6547" s="8" t="s">
        <v>3143</v>
      </c>
      <c r="D6547" s="8">
        <v>0</v>
      </c>
      <c r="E6547" s="8">
        <v>0</v>
      </c>
      <c r="F6547" s="8">
        <v>271819</v>
      </c>
    </row>
    <row r="6548" spans="1:6" ht="12.75">
      <c r="A6548" s="8">
        <v>43902.004965277782</v>
      </c>
      <c r="B6548" s="8" t="str">
        <f>HYPERLINK("https://twitter.com/BadarJoko","@BadarJoko")</f>
        <v>@BadarJoko</v>
      </c>
      <c r="C6548" s="8" t="s">
        <v>3144</v>
      </c>
      <c r="D6548" s="8">
        <v>0</v>
      </c>
      <c r="E6548" s="8">
        <v>0</v>
      </c>
      <c r="F6548" s="8">
        <v>4</v>
      </c>
    </row>
    <row r="6549" spans="1:6" ht="12.75">
      <c r="A6549" s="8">
        <v>43902.004537037035</v>
      </c>
      <c r="B6549" s="8" t="str">
        <f>HYPERLINK("https://twitter.com/pherasim","@pherasim")</f>
        <v>@pherasim</v>
      </c>
      <c r="C6549" s="8" t="s">
        <v>1801</v>
      </c>
      <c r="D6549" s="8">
        <v>341</v>
      </c>
      <c r="E6549" s="8">
        <v>0</v>
      </c>
      <c r="F6549" s="8">
        <v>266</v>
      </c>
    </row>
    <row r="6550" spans="1:6" ht="12.75">
      <c r="A6550" s="8">
        <v>43902.003298611111</v>
      </c>
      <c r="B6550" s="8" t="str">
        <f>HYPERLINK("https://twitter.com/semongkooo","@semongkooo")</f>
        <v>@semongkooo</v>
      </c>
      <c r="C6550" s="8" t="s">
        <v>3145</v>
      </c>
      <c r="D6550" s="8">
        <v>0</v>
      </c>
      <c r="E6550" s="8">
        <v>0</v>
      </c>
      <c r="F6550" s="8">
        <v>318</v>
      </c>
    </row>
    <row r="6551" spans="1:6" ht="12.75">
      <c r="A6551" s="8">
        <v>43902.003206018519</v>
      </c>
      <c r="B6551" s="8" t="str">
        <f>HYPERLINK("https://twitter.com/riokupicup","@riokupicup")</f>
        <v>@riokupicup</v>
      </c>
      <c r="C6551" s="8" t="s">
        <v>3146</v>
      </c>
      <c r="D6551" s="8">
        <v>0</v>
      </c>
      <c r="E6551" s="8">
        <v>0</v>
      </c>
      <c r="F6551" s="8">
        <v>0</v>
      </c>
    </row>
    <row r="6552" spans="1:6" ht="12.75">
      <c r="A6552" s="8">
        <v>43902.003009259264</v>
      </c>
      <c r="B6552" s="8" t="str">
        <f>HYPERLINK("https://twitter.com/syavirun","@syavirun")</f>
        <v>@syavirun</v>
      </c>
      <c r="C6552" s="8" t="s">
        <v>3147</v>
      </c>
      <c r="D6552" s="8">
        <v>0</v>
      </c>
      <c r="E6552" s="8">
        <v>0</v>
      </c>
      <c r="F6552" s="8">
        <v>928</v>
      </c>
    </row>
    <row r="6553" spans="1:6" ht="12.75">
      <c r="A6553" s="8">
        <v>43902.001712962963</v>
      </c>
      <c r="B6553" s="8" t="str">
        <f>HYPERLINK("https://twitter.com/sukron_ab","@sukron_ab")</f>
        <v>@sukron_ab</v>
      </c>
      <c r="C6553" s="8" t="s">
        <v>3136</v>
      </c>
      <c r="D6553" s="8">
        <v>1</v>
      </c>
      <c r="E6553" s="8">
        <v>0</v>
      </c>
      <c r="F6553" s="8">
        <v>5707</v>
      </c>
    </row>
    <row r="6554" spans="1:6" ht="12.75">
      <c r="A6554" s="8">
        <v>43902.001203703709</v>
      </c>
      <c r="B6554" s="8" t="str">
        <f>HYPERLINK("https://twitter.com/Totokprasetya","@Totokprasetya")</f>
        <v>@Totokprasetya</v>
      </c>
      <c r="C6554" s="8" t="s">
        <v>3148</v>
      </c>
      <c r="D6554" s="8">
        <v>0</v>
      </c>
      <c r="E6554" s="8">
        <v>0</v>
      </c>
      <c r="F6554" s="8">
        <v>372</v>
      </c>
    </row>
    <row r="6555" spans="1:6" ht="12.75">
      <c r="A6555" s="8">
        <v>43902.001145833332</v>
      </c>
      <c r="B6555" s="8" t="str">
        <f>HYPERLINK("https://twitter.com/Sagimin65864707","@Sagimin65864707")</f>
        <v>@Sagimin65864707</v>
      </c>
      <c r="C6555" s="8" t="s">
        <v>3149</v>
      </c>
      <c r="D6555" s="8">
        <v>0</v>
      </c>
      <c r="E6555" s="8">
        <v>0</v>
      </c>
      <c r="F6555" s="8">
        <v>3</v>
      </c>
    </row>
    <row r="6556" spans="1:6" ht="12.75">
      <c r="A6556" s="8">
        <v>43902.00100694444</v>
      </c>
      <c r="B6556" s="8" t="str">
        <f>HYPERLINK("https://twitter.com/abualielsas","@abualielsas")</f>
        <v>@abualielsas</v>
      </c>
      <c r="C6556" s="8" t="s">
        <v>2652</v>
      </c>
      <c r="D6556" s="8">
        <v>3</v>
      </c>
      <c r="E6556" s="8">
        <v>0</v>
      </c>
      <c r="F6556" s="8">
        <v>22</v>
      </c>
    </row>
    <row r="6557" spans="1:6" ht="12.75">
      <c r="A6557" s="8">
        <v>43902.000717592593</v>
      </c>
      <c r="B6557" s="8" t="str">
        <f>HYPERLINK("https://twitter.com/pr4jurit_langit","@pr4jurit_langit")</f>
        <v>@pr4jurit_langit</v>
      </c>
      <c r="C6557" s="8" t="s">
        <v>3150</v>
      </c>
      <c r="D6557" s="8">
        <v>1</v>
      </c>
      <c r="E6557" s="8">
        <v>3</v>
      </c>
      <c r="F6557" s="8">
        <v>825</v>
      </c>
    </row>
    <row r="6558" spans="1:6" ht="12.75">
      <c r="A6558" s="8">
        <v>43901.997916666667</v>
      </c>
      <c r="B6558" s="8" t="str">
        <f>HYPERLINK("https://twitter.com/syeickh79","@syeickh79")</f>
        <v>@syeickh79</v>
      </c>
      <c r="C6558" s="8" t="s">
        <v>2989</v>
      </c>
      <c r="D6558" s="8">
        <v>148</v>
      </c>
      <c r="E6558" s="8">
        <v>0</v>
      </c>
      <c r="F6558" s="8">
        <v>209</v>
      </c>
    </row>
    <row r="6559" spans="1:6" ht="12.75">
      <c r="A6559" s="8">
        <v>43901.997303240743</v>
      </c>
      <c r="B6559" s="8" t="str">
        <f>HYPERLINK("https://twitter.com/mangarajategar","@mangarajategar")</f>
        <v>@mangarajategar</v>
      </c>
      <c r="C6559" s="8" t="s">
        <v>318</v>
      </c>
      <c r="D6559" s="8">
        <v>1412</v>
      </c>
      <c r="E6559" s="8">
        <v>0</v>
      </c>
      <c r="F6559" s="8">
        <v>157</v>
      </c>
    </row>
    <row r="6560" spans="1:6" ht="12.75">
      <c r="A6560" s="8">
        <v>43901.996203703704</v>
      </c>
      <c r="B6560" s="8" t="str">
        <f>HYPERLINK("https://twitter.com/syrianewsfeed","@syrianewsfeed")</f>
        <v>@syrianewsfeed</v>
      </c>
      <c r="C6560" s="8" t="s">
        <v>3151</v>
      </c>
      <c r="D6560" s="8">
        <v>0</v>
      </c>
      <c r="E6560" s="8">
        <v>0</v>
      </c>
      <c r="F6560" s="8">
        <v>151</v>
      </c>
    </row>
    <row r="6561" spans="1:6" ht="12.75">
      <c r="A6561" s="8">
        <v>43901.99590277778</v>
      </c>
      <c r="B6561" s="8" t="str">
        <f>HYPERLINK("https://twitter.com/CRGawali","@CRGawali")</f>
        <v>@CRGawali</v>
      </c>
      <c r="C6561" s="8" t="s">
        <v>1957</v>
      </c>
      <c r="D6561" s="8">
        <v>1497</v>
      </c>
      <c r="E6561" s="8">
        <v>0</v>
      </c>
      <c r="F6561" s="8">
        <v>159</v>
      </c>
    </row>
    <row r="6562" spans="1:6" ht="12.75">
      <c r="A6562" s="8">
        <v>43901.995115740741</v>
      </c>
      <c r="B6562" s="8" t="str">
        <f>HYPERLINK("https://twitter.com/Hermansyaaah_","@Hermansyaaah_")</f>
        <v>@Hermansyaaah_</v>
      </c>
      <c r="C6562" s="8" t="s">
        <v>3152</v>
      </c>
      <c r="D6562" s="8">
        <v>0</v>
      </c>
      <c r="E6562" s="8">
        <v>0</v>
      </c>
      <c r="F6562" s="8">
        <v>150</v>
      </c>
    </row>
    <row r="6563" spans="1:6" ht="12.75">
      <c r="A6563" s="8">
        <v>43901.994537037041</v>
      </c>
      <c r="B6563" s="8" t="str">
        <f>HYPERLINK("https://twitter.com/Habbsy31","@Habbsy31")</f>
        <v>@Habbsy31</v>
      </c>
      <c r="C6563" s="8" t="s">
        <v>1186</v>
      </c>
      <c r="D6563" s="8">
        <v>408</v>
      </c>
      <c r="E6563" s="8">
        <v>0</v>
      </c>
      <c r="F6563" s="8">
        <v>51</v>
      </c>
    </row>
    <row r="6564" spans="1:6" ht="12.75">
      <c r="A6564" s="8">
        <v>43901.994479166664</v>
      </c>
      <c r="B6564" s="8" t="str">
        <f>HYPERLINK("https://twitter.com/agama_nusantara","@agama_nusantara")</f>
        <v>@agama_nusantara</v>
      </c>
      <c r="C6564" s="8" t="s">
        <v>3153</v>
      </c>
      <c r="D6564" s="8">
        <v>1</v>
      </c>
      <c r="E6564" s="8">
        <v>0</v>
      </c>
      <c r="F6564" s="8">
        <v>7515</v>
      </c>
    </row>
    <row r="6565" spans="1:6" ht="12.75">
      <c r="A6565" s="8">
        <v>43901.99418981481</v>
      </c>
      <c r="B6565" s="8" t="str">
        <f>HYPERLINK("https://twitter.com/mandanggg","@mandanggg")</f>
        <v>@mandanggg</v>
      </c>
      <c r="C6565" s="8" t="s">
        <v>3154</v>
      </c>
      <c r="D6565" s="8">
        <v>0</v>
      </c>
      <c r="E6565" s="8">
        <v>0</v>
      </c>
      <c r="F6565" s="8">
        <v>352</v>
      </c>
    </row>
    <row r="6566" spans="1:6" ht="12.75">
      <c r="A6566" s="8">
        <v>43901.99417824074</v>
      </c>
      <c r="B6566" s="8" t="str">
        <f>HYPERLINK("https://twitter.com/agama_nusantara","@agama_nusantara")</f>
        <v>@agama_nusantara</v>
      </c>
      <c r="C6566" s="8" t="s">
        <v>3037</v>
      </c>
      <c r="D6566" s="8">
        <v>3</v>
      </c>
      <c r="E6566" s="8">
        <v>0</v>
      </c>
      <c r="F6566" s="8">
        <v>7515</v>
      </c>
    </row>
    <row r="6567" spans="1:6" ht="12.75">
      <c r="A6567" s="8">
        <v>43901.99386574074</v>
      </c>
      <c r="B6567" s="8" t="str">
        <f>HYPERLINK("https://twitter.com/AhmadSejiwa","@AhmadSejiwa")</f>
        <v>@AhmadSejiwa</v>
      </c>
      <c r="C6567" s="8" t="s">
        <v>3155</v>
      </c>
      <c r="D6567" s="8">
        <v>0</v>
      </c>
      <c r="E6567" s="8">
        <v>1</v>
      </c>
      <c r="F6567" s="8">
        <v>13</v>
      </c>
    </row>
    <row r="6568" spans="1:6" ht="12.75">
      <c r="A6568" s="8">
        <v>43901.993287037039</v>
      </c>
      <c r="B6568" s="8" t="str">
        <f>HYPERLINK("https://twitter.com/haviez_aviez","@haviez_aviez")</f>
        <v>@haviez_aviez</v>
      </c>
      <c r="C6568" s="8" t="s">
        <v>1186</v>
      </c>
      <c r="D6568" s="8">
        <v>408</v>
      </c>
      <c r="E6568" s="8">
        <v>0</v>
      </c>
      <c r="F6568" s="8">
        <v>216</v>
      </c>
    </row>
    <row r="6569" spans="1:6" ht="12.75">
      <c r="A6569" s="8">
        <v>43901.993263888886</v>
      </c>
      <c r="B6569" s="8" t="str">
        <f>HYPERLINK("https://twitter.com/AntonyRiyanto","@AntonyRiyanto")</f>
        <v>@AntonyRiyanto</v>
      </c>
      <c r="C6569" s="8" t="s">
        <v>3156</v>
      </c>
      <c r="D6569" s="8">
        <v>0</v>
      </c>
      <c r="E6569" s="8">
        <v>0</v>
      </c>
      <c r="F6569" s="8">
        <v>448</v>
      </c>
    </row>
    <row r="6570" spans="1:6" ht="12.75">
      <c r="A6570" s="8">
        <v>43901.993125000001</v>
      </c>
      <c r="B6570" s="8" t="str">
        <f>HYPERLINK("https://twitter.com/jlithenk_Syam","@jlithenk_Syam")</f>
        <v>@jlithenk_Syam</v>
      </c>
      <c r="C6570" s="8" t="s">
        <v>1186</v>
      </c>
      <c r="D6570" s="8">
        <v>408</v>
      </c>
      <c r="E6570" s="8">
        <v>0</v>
      </c>
      <c r="F6570" s="8">
        <v>283</v>
      </c>
    </row>
    <row r="6571" spans="1:6" ht="12.75">
      <c r="A6571" s="8">
        <v>43901.992245370369</v>
      </c>
      <c r="B6571" s="8" t="str">
        <f>HYPERLINK("https://twitter.com/zulianfatha_","@zulianfatha_")</f>
        <v>@zulianfatha_</v>
      </c>
      <c r="C6571" s="8" t="s">
        <v>3157</v>
      </c>
      <c r="D6571" s="8">
        <v>0</v>
      </c>
      <c r="E6571" s="8">
        <v>0</v>
      </c>
      <c r="F6571" s="8">
        <v>15</v>
      </c>
    </row>
    <row r="6572" spans="1:6" ht="12.75">
      <c r="A6572" s="8">
        <v>43901.9919212963</v>
      </c>
      <c r="B6572" s="8" t="str">
        <f>HYPERLINK("https://twitter.com/Muslim_AntiPKI","@Muslim_AntiPKI")</f>
        <v>@Muslim_AntiPKI</v>
      </c>
      <c r="C6572" s="8" t="s">
        <v>3158</v>
      </c>
      <c r="D6572" s="8">
        <v>0</v>
      </c>
      <c r="E6572" s="8">
        <v>0</v>
      </c>
      <c r="F6572" s="8">
        <v>236</v>
      </c>
    </row>
    <row r="6573" spans="1:6" ht="12.75">
      <c r="A6573" s="8">
        <v>43901.991782407407</v>
      </c>
      <c r="B6573" s="8" t="str">
        <f>HYPERLINK("https://twitter.com/revoltcycle","@revoltcycle")</f>
        <v>@revoltcycle</v>
      </c>
      <c r="C6573" s="8" t="s">
        <v>3159</v>
      </c>
      <c r="D6573" s="8">
        <v>0</v>
      </c>
      <c r="E6573" s="8">
        <v>0</v>
      </c>
      <c r="F6573" s="8">
        <v>62</v>
      </c>
    </row>
    <row r="6574" spans="1:6" ht="12.75">
      <c r="A6574" s="8">
        <v>43901.991354166668</v>
      </c>
      <c r="B6574" s="8" t="str">
        <f>HYPERLINK("https://twitter.com/AndreanBobby","@AndreanBobby")</f>
        <v>@AndreanBobby</v>
      </c>
      <c r="C6574" s="8" t="s">
        <v>1800</v>
      </c>
      <c r="D6574" s="8">
        <v>54</v>
      </c>
      <c r="E6574" s="8">
        <v>0</v>
      </c>
      <c r="F6574" s="8">
        <v>618</v>
      </c>
    </row>
    <row r="6575" spans="1:6" ht="12.75">
      <c r="A6575" s="8">
        <v>43901.991203703699</v>
      </c>
      <c r="B6575" s="8" t="str">
        <f>HYPERLINK("https://twitter.com/AhmadSejiwa","@AhmadSejiwa")</f>
        <v>@AhmadSejiwa</v>
      </c>
      <c r="C6575" s="8" t="s">
        <v>3160</v>
      </c>
      <c r="D6575" s="8">
        <v>0</v>
      </c>
      <c r="E6575" s="8">
        <v>0</v>
      </c>
      <c r="F6575" s="8">
        <v>13</v>
      </c>
    </row>
    <row r="6576" spans="1:6" ht="12.75">
      <c r="A6576" s="8">
        <v>43901.989814814813</v>
      </c>
      <c r="B6576" s="8" t="str">
        <f>HYPERLINK("https://twitter.com/DrRizalSukma","@DrRizalSukma")</f>
        <v>@DrRizalSukma</v>
      </c>
      <c r="C6576" s="8" t="s">
        <v>2692</v>
      </c>
      <c r="D6576" s="8">
        <v>4</v>
      </c>
      <c r="E6576" s="8">
        <v>0</v>
      </c>
      <c r="F6576" s="8">
        <v>2813</v>
      </c>
    </row>
    <row r="6577" spans="1:6" ht="12.75">
      <c r="A6577" s="8">
        <v>43901.989687499998</v>
      </c>
      <c r="B6577" s="8" t="str">
        <f>HYPERLINK("https://twitter.com/AhmadSejiwa","@AhmadSejiwa")</f>
        <v>@AhmadSejiwa</v>
      </c>
      <c r="C6577" s="8" t="s">
        <v>3161</v>
      </c>
      <c r="D6577" s="8">
        <v>0</v>
      </c>
      <c r="E6577" s="8">
        <v>0</v>
      </c>
      <c r="F6577" s="8">
        <v>13</v>
      </c>
    </row>
    <row r="6578" spans="1:6" ht="12.75">
      <c r="A6578" s="8">
        <v>43901.989606481482</v>
      </c>
      <c r="B6578" s="8" t="str">
        <f>HYPERLINK("https://twitter.com/forddyce92","@forddyce92")</f>
        <v>@forddyce92</v>
      </c>
      <c r="C6578" s="8" t="s">
        <v>3162</v>
      </c>
      <c r="D6578" s="8">
        <v>0</v>
      </c>
      <c r="E6578" s="8">
        <v>0</v>
      </c>
      <c r="F6578" s="8">
        <v>28</v>
      </c>
    </row>
    <row r="6579" spans="1:6" ht="12.75">
      <c r="A6579" s="8">
        <v>43901.989537037036</v>
      </c>
      <c r="B6579" s="8" t="str">
        <f>HYPERLINK("https://twitter.com/tiaklose7","@tiaklose7")</f>
        <v>@tiaklose7</v>
      </c>
      <c r="C6579" s="8" t="s">
        <v>3163</v>
      </c>
      <c r="D6579" s="8">
        <v>0</v>
      </c>
      <c r="E6579" s="8">
        <v>0</v>
      </c>
      <c r="F6579" s="8">
        <v>526</v>
      </c>
    </row>
    <row r="6580" spans="1:6" ht="12.75">
      <c r="A6580" s="8">
        <v>43901.988530092596</v>
      </c>
      <c r="B6580" s="8" t="str">
        <f>HYPERLINK("https://twitter.com/inariana","@inariana")</f>
        <v>@inariana</v>
      </c>
      <c r="C6580" s="8" t="s">
        <v>3164</v>
      </c>
      <c r="D6580" s="8">
        <v>1</v>
      </c>
      <c r="E6580" s="8">
        <v>0</v>
      </c>
      <c r="F6580" s="8">
        <v>190</v>
      </c>
    </row>
    <row r="6581" spans="1:6" ht="12.75">
      <c r="A6581" s="8">
        <v>43901.988275462965</v>
      </c>
      <c r="B6581" s="8" t="str">
        <f>HYPERLINK("https://twitter.com/wni_jmsri","@wni_jmsri")</f>
        <v>@wni_jmsri</v>
      </c>
      <c r="C6581" s="8" t="s">
        <v>3165</v>
      </c>
      <c r="D6581" s="8">
        <v>909</v>
      </c>
      <c r="E6581" s="8">
        <v>0</v>
      </c>
      <c r="F6581" s="8">
        <v>202</v>
      </c>
    </row>
    <row r="6582" spans="1:6" ht="12.75">
      <c r="A6582" s="8">
        <v>43901.98819444445</v>
      </c>
      <c r="B6582" s="8" t="str">
        <f>HYPERLINK("https://twitter.com/healthyliveID","@healthyliveID")</f>
        <v>@healthyliveID</v>
      </c>
      <c r="C6582" s="8" t="s">
        <v>3166</v>
      </c>
      <c r="D6582" s="8">
        <v>0</v>
      </c>
      <c r="E6582" s="8">
        <v>0</v>
      </c>
      <c r="F6582" s="8">
        <v>45099</v>
      </c>
    </row>
    <row r="6583" spans="1:6" ht="12.75">
      <c r="A6583" s="8">
        <v>43901.987534722226</v>
      </c>
      <c r="B6583" s="8" t="str">
        <f>HYPERLINK("https://twitter.com/Info_Tidung","@Info_Tidung")</f>
        <v>@Info_Tidung</v>
      </c>
      <c r="C6583" s="8" t="s">
        <v>3167</v>
      </c>
      <c r="D6583" s="8">
        <v>0</v>
      </c>
      <c r="E6583" s="8">
        <v>0</v>
      </c>
      <c r="F6583" s="8">
        <v>126</v>
      </c>
    </row>
    <row r="6584" spans="1:6" ht="12.75">
      <c r="A6584" s="8">
        <v>43901.98710648148</v>
      </c>
      <c r="B6584" s="8" t="str">
        <f>HYPERLINK("https://twitter.com/KBRI_Pretoria","@KBRI_Pretoria")</f>
        <v>@KBRI_Pretoria</v>
      </c>
      <c r="C6584" s="8" t="s">
        <v>3168</v>
      </c>
      <c r="D6584" s="8">
        <v>77</v>
      </c>
      <c r="E6584" s="8">
        <v>0</v>
      </c>
      <c r="F6584" s="8">
        <v>843</v>
      </c>
    </row>
    <row r="6585" spans="1:6" ht="12.75">
      <c r="A6585" s="8">
        <v>43901.986759259264</v>
      </c>
      <c r="B6585" s="8" t="str">
        <f>HYPERLINK("https://twitter.com/J_Aryoko","@J_Aryoko")</f>
        <v>@J_Aryoko</v>
      </c>
      <c r="C6585" s="8" t="s">
        <v>1801</v>
      </c>
      <c r="D6585" s="8">
        <v>341</v>
      </c>
      <c r="E6585" s="8">
        <v>0</v>
      </c>
      <c r="F6585" s="8">
        <v>1425</v>
      </c>
    </row>
    <row r="6586" spans="1:6" ht="12.75">
      <c r="A6586" s="8">
        <v>43901.98673611111</v>
      </c>
      <c r="B6586" s="8" t="str">
        <f>HYPERLINK("https://twitter.com/AlwiyaDoni","@AlwiyaDoni")</f>
        <v>@AlwiyaDoni</v>
      </c>
      <c r="C6586" s="8" t="s">
        <v>318</v>
      </c>
      <c r="D6586" s="8">
        <v>1412</v>
      </c>
      <c r="E6586" s="8">
        <v>0</v>
      </c>
      <c r="F6586" s="8">
        <v>213</v>
      </c>
    </row>
    <row r="6587" spans="1:6" ht="12.75">
      <c r="A6587" s="8">
        <v>43901.985844907409</v>
      </c>
      <c r="B6587" s="8" t="str">
        <f>HYPERLINK("https://twitter.com/ayoktweet","@ayoktweet")</f>
        <v>@ayoktweet</v>
      </c>
      <c r="C6587" s="8" t="s">
        <v>2292</v>
      </c>
      <c r="D6587" s="8">
        <v>26</v>
      </c>
      <c r="E6587" s="8">
        <v>0</v>
      </c>
      <c r="F6587" s="8">
        <v>1119</v>
      </c>
    </row>
    <row r="6588" spans="1:6" ht="12.75">
      <c r="A6588" s="8">
        <v>43901.984652777777</v>
      </c>
      <c r="B6588" s="8" t="str">
        <f>HYPERLINK("https://twitter.com/qanpenyabar","@qanpenyabar")</f>
        <v>@qanpenyabar</v>
      </c>
      <c r="C6588" s="8" t="s">
        <v>2790</v>
      </c>
      <c r="D6588" s="8">
        <v>249</v>
      </c>
      <c r="E6588" s="8">
        <v>0</v>
      </c>
      <c r="F6588" s="8">
        <v>2652</v>
      </c>
    </row>
    <row r="6589" spans="1:6" ht="12.75">
      <c r="A6589" s="8">
        <v>43901.984166666662</v>
      </c>
      <c r="B6589" s="8" t="str">
        <f>HYPERLINK("https://twitter.com/pengenkawin3","@pengenkawin3")</f>
        <v>@pengenkawin3</v>
      </c>
      <c r="C6589" s="8" t="s">
        <v>1801</v>
      </c>
      <c r="D6589" s="8">
        <v>341</v>
      </c>
      <c r="E6589" s="8">
        <v>0</v>
      </c>
      <c r="F6589" s="8">
        <v>290</v>
      </c>
    </row>
    <row r="6590" spans="1:6" ht="12.75">
      <c r="A6590" s="8">
        <v>43901.984143518523</v>
      </c>
      <c r="B6590" s="8" t="str">
        <f>HYPERLINK("https://twitter.com/santos62658028","@santos62658028")</f>
        <v>@santos62658028</v>
      </c>
      <c r="C6590" s="8" t="s">
        <v>2292</v>
      </c>
      <c r="D6590" s="8">
        <v>26</v>
      </c>
      <c r="E6590" s="8">
        <v>0</v>
      </c>
      <c r="F6590" s="8">
        <v>1687</v>
      </c>
    </row>
    <row r="6591" spans="1:6" ht="12.75">
      <c r="A6591" s="8">
        <v>43901.9840625</v>
      </c>
      <c r="B6591" s="8" t="str">
        <f>HYPERLINK("https://twitter.com/sbktiibnu","@sbktiibnu")</f>
        <v>@sbktiibnu</v>
      </c>
      <c r="C6591" s="8" t="s">
        <v>1343</v>
      </c>
      <c r="D6591" s="8">
        <v>19</v>
      </c>
      <c r="E6591" s="8">
        <v>0</v>
      </c>
      <c r="F6591" s="8">
        <v>1</v>
      </c>
    </row>
    <row r="6592" spans="1:6" ht="12.75">
      <c r="A6592" s="8">
        <v>43901.983807870369</v>
      </c>
      <c r="B6592" s="8" t="str">
        <f>HYPERLINK("https://twitter.com/mahesa70698737","@mahesa70698737")</f>
        <v>@mahesa70698737</v>
      </c>
      <c r="C6592" s="8" t="s">
        <v>3169</v>
      </c>
      <c r="D6592" s="8">
        <v>1</v>
      </c>
      <c r="E6592" s="8">
        <v>0</v>
      </c>
      <c r="F6592" s="8">
        <v>2</v>
      </c>
    </row>
    <row r="6593" spans="1:6" ht="12.75">
      <c r="A6593" s="8">
        <v>43901.983657407407</v>
      </c>
      <c r="B6593" s="8" t="str">
        <f>HYPERLINK("https://twitter.com/ugisugiharto","@ugisugiharto")</f>
        <v>@ugisugiharto</v>
      </c>
      <c r="C6593" s="8" t="s">
        <v>2292</v>
      </c>
      <c r="D6593" s="8">
        <v>26</v>
      </c>
      <c r="E6593" s="8">
        <v>0</v>
      </c>
      <c r="F6593" s="8">
        <v>3602</v>
      </c>
    </row>
    <row r="6594" spans="1:6" ht="12.75">
      <c r="A6594" s="8">
        <v>43901.983634259261</v>
      </c>
      <c r="B6594" s="8" t="str">
        <f>HYPERLINK("https://twitter.com/veraagustian_","@veraagustian_")</f>
        <v>@veraagustian_</v>
      </c>
      <c r="C6594" s="8" t="s">
        <v>2292</v>
      </c>
      <c r="D6594" s="8">
        <v>26</v>
      </c>
      <c r="E6594" s="8">
        <v>0</v>
      </c>
      <c r="F6594" s="8">
        <v>3428</v>
      </c>
    </row>
    <row r="6595" spans="1:6" ht="12.75">
      <c r="A6595" s="8">
        <v>43901.983425925922</v>
      </c>
      <c r="B6595" s="8" t="str">
        <f>HYPERLINK("https://twitter.com/Balimulya","@Balimulya")</f>
        <v>@Balimulya</v>
      </c>
      <c r="C6595" s="8" t="s">
        <v>2292</v>
      </c>
      <c r="D6595" s="8">
        <v>26</v>
      </c>
      <c r="E6595" s="8">
        <v>0</v>
      </c>
      <c r="F6595" s="8">
        <v>370</v>
      </c>
    </row>
    <row r="6596" spans="1:6" ht="12.75">
      <c r="A6596" s="8">
        <v>43901.982812499999</v>
      </c>
      <c r="B6596" s="8" t="str">
        <f>HYPERLINK("https://twitter.com/WongNgawoer","@WongNgawoer")</f>
        <v>@WongNgawoer</v>
      </c>
      <c r="C6596" s="8" t="s">
        <v>2652</v>
      </c>
      <c r="D6596" s="8">
        <v>3</v>
      </c>
      <c r="E6596" s="8">
        <v>0</v>
      </c>
      <c r="F6596" s="8">
        <v>461</v>
      </c>
    </row>
    <row r="6597" spans="1:6" ht="12.75">
      <c r="A6597" s="8">
        <v>43901.982638888891</v>
      </c>
      <c r="B6597" s="8" t="str">
        <f>HYPERLINK("https://twitter.com/4nd103125330","@4nd103125330")</f>
        <v>@4nd103125330</v>
      </c>
      <c r="C6597" s="8" t="s">
        <v>1186</v>
      </c>
      <c r="D6597" s="8">
        <v>408</v>
      </c>
      <c r="E6597" s="8">
        <v>0</v>
      </c>
      <c r="F6597" s="8">
        <v>1795</v>
      </c>
    </row>
    <row r="6598" spans="1:6" ht="12.75">
      <c r="A6598" s="8">
        <v>43901.982465277775</v>
      </c>
      <c r="B6598" s="8" t="str">
        <f>HYPERLINK("https://twitter.com/shinesaja","@shinesaja")</f>
        <v>@shinesaja</v>
      </c>
      <c r="C6598" s="8" t="s">
        <v>3170</v>
      </c>
      <c r="D6598" s="8">
        <v>2</v>
      </c>
      <c r="E6598" s="8">
        <v>0</v>
      </c>
      <c r="F6598" s="8">
        <v>1341</v>
      </c>
    </row>
    <row r="6599" spans="1:6" ht="12.75">
      <c r="A6599" s="8">
        <v>43901.981944444444</v>
      </c>
      <c r="B6599" s="8" t="str">
        <f>HYPERLINK("https://twitter.com/helloadina","@helloadina")</f>
        <v>@helloadina</v>
      </c>
      <c r="C6599" s="8" t="s">
        <v>3171</v>
      </c>
      <c r="D6599" s="8">
        <v>0</v>
      </c>
      <c r="E6599" s="8">
        <v>0</v>
      </c>
      <c r="F6599" s="8">
        <v>30</v>
      </c>
    </row>
    <row r="6600" spans="1:6" ht="12.75">
      <c r="A6600" s="8">
        <v>43901.981550925921</v>
      </c>
      <c r="B6600" s="8" t="str">
        <f>HYPERLINK("https://twitter.com/MalemDiwa7","@MalemDiwa7")</f>
        <v>@MalemDiwa7</v>
      </c>
      <c r="C6600" s="8" t="s">
        <v>2292</v>
      </c>
      <c r="D6600" s="8">
        <v>26</v>
      </c>
      <c r="E6600" s="8">
        <v>0</v>
      </c>
      <c r="F6600" s="8">
        <v>10</v>
      </c>
    </row>
    <row r="6601" spans="1:6" ht="12.75">
      <c r="A6601" s="8">
        <v>43901.980578703704</v>
      </c>
      <c r="B6601" s="8" t="str">
        <f>HYPERLINK("https://twitter.com/bibin_bey","@bibin_bey")</f>
        <v>@bibin_bey</v>
      </c>
      <c r="C6601" s="8" t="s">
        <v>2945</v>
      </c>
      <c r="D6601" s="8">
        <v>1</v>
      </c>
      <c r="E6601" s="8">
        <v>0</v>
      </c>
      <c r="F6601" s="8">
        <v>1633</v>
      </c>
    </row>
    <row r="6602" spans="1:6" ht="12.75">
      <c r="A6602" s="8">
        <v>43901.980324074073</v>
      </c>
      <c r="B6602" s="8" t="str">
        <f>HYPERLINK("https://twitter.com/RadioElshinta","@RadioElshinta")</f>
        <v>@RadioElshinta</v>
      </c>
      <c r="C6602" s="8" t="s">
        <v>2652</v>
      </c>
      <c r="D6602" s="8">
        <v>3</v>
      </c>
      <c r="E6602" s="8">
        <v>0</v>
      </c>
      <c r="F6602" s="8">
        <v>3637526</v>
      </c>
    </row>
    <row r="6603" spans="1:6" ht="12.75">
      <c r="A6603" s="8">
        <v>43901.979988425926</v>
      </c>
      <c r="B6603" s="8" t="str">
        <f>HYPERLINK("https://twitter.com/RECOVERADIO","@RECOVERADIO")</f>
        <v>@RECOVERADIO</v>
      </c>
      <c r="C6603" s="8" t="s">
        <v>3172</v>
      </c>
      <c r="D6603" s="8">
        <v>3</v>
      </c>
      <c r="E6603" s="8">
        <v>6</v>
      </c>
      <c r="F6603" s="8">
        <v>406</v>
      </c>
    </row>
    <row r="6604" spans="1:6" ht="12.75">
      <c r="A6604" s="8">
        <v>43901.979456018518</v>
      </c>
      <c r="B6604" s="8" t="str">
        <f>HYPERLINK("https://twitter.com/amals243","@amals243")</f>
        <v>@amals243</v>
      </c>
      <c r="C6604" s="8" t="s">
        <v>3173</v>
      </c>
      <c r="D6604" s="8">
        <v>0</v>
      </c>
      <c r="E6604" s="8">
        <v>0</v>
      </c>
      <c r="F6604" s="8">
        <v>575</v>
      </c>
    </row>
    <row r="6605" spans="1:6" ht="12.75">
      <c r="A6605" s="8">
        <v>43901.97861111111</v>
      </c>
      <c r="B6605" s="8" t="str">
        <f>HYPERLINK("https://twitter.com/alfkey","@alfkey")</f>
        <v>@alfkey</v>
      </c>
      <c r="C6605" s="8" t="s">
        <v>1801</v>
      </c>
      <c r="D6605" s="8">
        <v>341</v>
      </c>
      <c r="E6605" s="8">
        <v>0</v>
      </c>
      <c r="F6605" s="8">
        <v>182</v>
      </c>
    </row>
    <row r="6606" spans="1:6" ht="12.75">
      <c r="A6606" s="8">
        <v>43901.978043981479</v>
      </c>
      <c r="B6606" s="8" t="str">
        <f>HYPERLINK("https://twitter.com/RaihanAlthafFi1","@RaihanAlthafFi1")</f>
        <v>@RaihanAlthafFi1</v>
      </c>
      <c r="C6606" s="8" t="s">
        <v>3174</v>
      </c>
      <c r="D6606" s="8">
        <v>0</v>
      </c>
      <c r="E6606" s="8">
        <v>0</v>
      </c>
      <c r="F6606" s="8">
        <v>158</v>
      </c>
    </row>
    <row r="6607" spans="1:6" ht="12.75">
      <c r="A6607" s="8">
        <v>43901.977986111116</v>
      </c>
      <c r="B6607" s="8" t="str">
        <f>HYPERLINK("https://twitter.com/EvanCahyaSP09","@EvanCahyaSP09")</f>
        <v>@EvanCahyaSP09</v>
      </c>
      <c r="C6607" s="8" t="s">
        <v>1800</v>
      </c>
      <c r="D6607" s="8">
        <v>54</v>
      </c>
      <c r="E6607" s="8">
        <v>0</v>
      </c>
      <c r="F6607" s="8">
        <v>12</v>
      </c>
    </row>
    <row r="6608" spans="1:6" ht="12.75">
      <c r="A6608" s="8">
        <v>43901.977881944447</v>
      </c>
      <c r="B6608" s="8" t="str">
        <f>HYPERLINK("https://twitter.com/namujoonthrust","@namujoonthrust")</f>
        <v>@namujoonthrust</v>
      </c>
      <c r="C6608" s="8" t="s">
        <v>3175</v>
      </c>
      <c r="D6608" s="8">
        <v>0</v>
      </c>
      <c r="E6608" s="8">
        <v>0</v>
      </c>
      <c r="F6608" s="8">
        <v>4050</v>
      </c>
    </row>
    <row r="6609" spans="1:6" ht="12.75">
      <c r="A6609" s="8">
        <v>43901.977881944447</v>
      </c>
      <c r="B6609" s="8" t="str">
        <f>HYPERLINK("https://twitter.com/BimoElbe","@BimoElbe")</f>
        <v>@BimoElbe</v>
      </c>
      <c r="C6609" s="8" t="s">
        <v>318</v>
      </c>
      <c r="D6609" s="8">
        <v>1412</v>
      </c>
      <c r="E6609" s="8">
        <v>0</v>
      </c>
      <c r="F6609" s="8">
        <v>514</v>
      </c>
    </row>
    <row r="6610" spans="1:6" ht="12.75">
      <c r="A6610" s="8">
        <v>43901.977685185186</v>
      </c>
      <c r="B6610" s="8" t="str">
        <f>HYPERLINK("https://twitter.com/tistiprajna","@tistiprajna")</f>
        <v>@tistiprajna</v>
      </c>
      <c r="C6610" s="8" t="s">
        <v>3176</v>
      </c>
      <c r="D6610" s="8">
        <v>0</v>
      </c>
      <c r="E6610" s="8">
        <v>0</v>
      </c>
      <c r="F6610" s="8">
        <v>434</v>
      </c>
    </row>
    <row r="6611" spans="1:6" ht="12.75">
      <c r="A6611" s="8">
        <v>43901.977372685185</v>
      </c>
      <c r="B6611" s="8" t="str">
        <f>HYPERLINK("https://twitter.com/Wal_Ashr_","@Wal_Ashr_")</f>
        <v>@Wal_Ashr_</v>
      </c>
      <c r="C6611" s="8" t="s">
        <v>2989</v>
      </c>
      <c r="D6611" s="8">
        <v>148</v>
      </c>
      <c r="E6611" s="8">
        <v>0</v>
      </c>
      <c r="F6611" s="8">
        <v>1781</v>
      </c>
    </row>
    <row r="6612" spans="1:6" ht="12.75">
      <c r="A6612" s="8">
        <v>43901.976863425924</v>
      </c>
      <c r="B6612" s="8" t="str">
        <f>HYPERLINK("https://twitter.com/abbaswandi13","@abbaswandi13")</f>
        <v>@abbaswandi13</v>
      </c>
      <c r="C6612" s="8" t="s">
        <v>3177</v>
      </c>
      <c r="D6612" s="8">
        <v>0</v>
      </c>
      <c r="E6612" s="8">
        <v>0</v>
      </c>
      <c r="F6612" s="8">
        <v>2</v>
      </c>
    </row>
    <row r="6613" spans="1:6" ht="12.75">
      <c r="A6613" s="8">
        <v>43901.976840277777</v>
      </c>
      <c r="B6613" s="8" t="str">
        <f>HYPERLINK("https://twitter.com/shilvycipi","@shilvycipi")</f>
        <v>@shilvycipi</v>
      </c>
      <c r="C6613" s="8" t="s">
        <v>2790</v>
      </c>
      <c r="D6613" s="8">
        <v>249</v>
      </c>
      <c r="E6613" s="8">
        <v>0</v>
      </c>
      <c r="F6613" s="8">
        <v>481</v>
      </c>
    </row>
    <row r="6614" spans="1:6" ht="12.75">
      <c r="A6614" s="8">
        <v>43901.976111111115</v>
      </c>
      <c r="B6614" s="8" t="str">
        <f>HYPERLINK("https://twitter.com/Ardianautomotif","@Ardianautomotif")</f>
        <v>@Ardianautomotif</v>
      </c>
      <c r="C6614" s="8" t="s">
        <v>3178</v>
      </c>
      <c r="D6614" s="8">
        <v>0</v>
      </c>
      <c r="E6614" s="8">
        <v>0</v>
      </c>
      <c r="F6614" s="8">
        <v>448</v>
      </c>
    </row>
    <row r="6615" spans="1:6" ht="12.75">
      <c r="A6615" s="8">
        <v>43901.975821759261</v>
      </c>
      <c r="B6615" s="8" t="str">
        <f>HYPERLINK("https://twitter.com/KontanNews","@KontanNews")</f>
        <v>@KontanNews</v>
      </c>
      <c r="C6615" s="8" t="s">
        <v>3179</v>
      </c>
      <c r="D6615" s="8">
        <v>1</v>
      </c>
      <c r="E6615" s="8">
        <v>0</v>
      </c>
      <c r="F6615" s="8">
        <v>318618</v>
      </c>
    </row>
    <row r="6616" spans="1:6" ht="12.75">
      <c r="A6616" s="8">
        <v>43901.974224537036</v>
      </c>
      <c r="B6616" s="8" t="str">
        <f>HYPERLINK("https://twitter.com/KJRI_Vancouver","@KJRI_Vancouver")</f>
        <v>@KJRI_Vancouver</v>
      </c>
      <c r="C6616" s="8" t="s">
        <v>2178</v>
      </c>
      <c r="D6616" s="8">
        <v>34</v>
      </c>
      <c r="E6616" s="8">
        <v>0</v>
      </c>
      <c r="F6616" s="8">
        <v>2371</v>
      </c>
    </row>
    <row r="6617" spans="1:6" ht="12.75">
      <c r="A6617" s="8">
        <v>43901.972071759257</v>
      </c>
      <c r="B6617" s="8" t="str">
        <f>HYPERLINK("https://twitter.com/QuitoKbri","@QuitoKbri")</f>
        <v>@QuitoKbri</v>
      </c>
      <c r="C6617" s="8" t="s">
        <v>2178</v>
      </c>
      <c r="D6617" s="8">
        <v>34</v>
      </c>
      <c r="E6617" s="8">
        <v>0</v>
      </c>
      <c r="F6617" s="8">
        <v>89</v>
      </c>
    </row>
    <row r="6618" spans="1:6" ht="12.75">
      <c r="A6618" s="8">
        <v>43901.971782407403</v>
      </c>
      <c r="B6618" s="8" t="str">
        <f>HYPERLINK("https://twitter.com/MartinHanafi1","@MartinHanafi1")</f>
        <v>@MartinHanafi1</v>
      </c>
      <c r="C6618" s="8" t="s">
        <v>104</v>
      </c>
      <c r="D6618" s="8">
        <v>123</v>
      </c>
      <c r="E6618" s="8">
        <v>0</v>
      </c>
      <c r="F6618" s="8">
        <v>212</v>
      </c>
    </row>
    <row r="6619" spans="1:6" ht="12.75">
      <c r="A6619" s="8">
        <v>43901.971261574072</v>
      </c>
      <c r="B6619" s="8" t="str">
        <f>HYPERLINK("https://twitter.com/eizanfolks","@eizanfolks")</f>
        <v>@eizanfolks</v>
      </c>
      <c r="C6619" s="8" t="s">
        <v>104</v>
      </c>
      <c r="D6619" s="8">
        <v>123</v>
      </c>
      <c r="E6619" s="8">
        <v>0</v>
      </c>
      <c r="F6619" s="8">
        <v>9082</v>
      </c>
    </row>
    <row r="6620" spans="1:6" ht="12.75">
      <c r="A6620" s="8">
        <v>43901.970925925925</v>
      </c>
      <c r="B6620" s="8" t="str">
        <f>HYPERLINK("https://twitter.com/kenkenews","@kenkenews")</f>
        <v>@kenkenews</v>
      </c>
      <c r="C6620" s="8" t="s">
        <v>3129</v>
      </c>
      <c r="D6620" s="8">
        <v>0</v>
      </c>
      <c r="E6620" s="8">
        <v>0</v>
      </c>
      <c r="F6620" s="8">
        <v>162</v>
      </c>
    </row>
    <row r="6621" spans="1:6" ht="12.75">
      <c r="A6621" s="8">
        <v>43901.968275462961</v>
      </c>
      <c r="B6621" s="8" t="str">
        <f>HYPERLINK("https://twitter.com/Christo85464473","@Christo85464473")</f>
        <v>@Christo85464473</v>
      </c>
      <c r="C6621" s="8" t="s">
        <v>3180</v>
      </c>
      <c r="D6621" s="8">
        <v>0</v>
      </c>
      <c r="E6621" s="8">
        <v>0</v>
      </c>
      <c r="F6621" s="8">
        <v>3</v>
      </c>
    </row>
    <row r="6622" spans="1:6" ht="12.75">
      <c r="A6622" s="8">
        <v>43901.967777777776</v>
      </c>
      <c r="B6622" s="8" t="str">
        <f>HYPERLINK("https://twitter.com/dimhansun","@dimhansun")</f>
        <v>@dimhansun</v>
      </c>
      <c r="C6622" s="8" t="s">
        <v>2178</v>
      </c>
      <c r="D6622" s="8">
        <v>34</v>
      </c>
      <c r="E6622" s="8">
        <v>0</v>
      </c>
      <c r="F6622" s="8">
        <v>593</v>
      </c>
    </row>
    <row r="6623" spans="1:6" ht="12.75">
      <c r="A6623" s="8">
        <v>43901.966273148151</v>
      </c>
      <c r="B6623" s="8" t="str">
        <f>HYPERLINK("https://twitter.com/Oslo_x","@Oslo_x")</f>
        <v>@Oslo_x</v>
      </c>
      <c r="C6623" s="8" t="s">
        <v>3181</v>
      </c>
      <c r="D6623" s="8">
        <v>0</v>
      </c>
      <c r="E6623" s="8">
        <v>0</v>
      </c>
      <c r="F6623" s="8">
        <v>80</v>
      </c>
    </row>
    <row r="6624" spans="1:6" ht="12.75">
      <c r="A6624" s="8">
        <v>43901.965729166666</v>
      </c>
      <c r="B6624" s="8" t="str">
        <f>HYPERLINK("https://twitter.com/asusilowati27","@asusilowati27")</f>
        <v>@asusilowati27</v>
      </c>
      <c r="C6624" s="8" t="s">
        <v>3182</v>
      </c>
      <c r="D6624" s="8">
        <v>0</v>
      </c>
      <c r="E6624" s="8">
        <v>1</v>
      </c>
      <c r="F6624" s="8">
        <v>462</v>
      </c>
    </row>
    <row r="6625" spans="1:6" ht="12.75">
      <c r="A6625" s="8">
        <v>43901.965196759258</v>
      </c>
      <c r="B6625" s="8" t="str">
        <f>HYPERLINK("https://twitter.com/GhostOneSeven","@GhostOneSeven")</f>
        <v>@GhostOneSeven</v>
      </c>
      <c r="C6625" s="8" t="s">
        <v>1186</v>
      </c>
      <c r="D6625" s="8">
        <v>404</v>
      </c>
      <c r="E6625" s="8">
        <v>0</v>
      </c>
      <c r="F6625" s="8">
        <v>54</v>
      </c>
    </row>
    <row r="6626" spans="1:6" ht="12.75">
      <c r="A6626" s="8">
        <v>43901.965138888889</v>
      </c>
      <c r="B6626" s="8" t="str">
        <f>HYPERLINK("https://twitter.com/lelahku","@lelahku")</f>
        <v>@lelahku</v>
      </c>
      <c r="C6626" s="8" t="s">
        <v>3183</v>
      </c>
      <c r="D6626" s="8">
        <v>0</v>
      </c>
      <c r="E6626" s="8">
        <v>0</v>
      </c>
      <c r="F6626" s="8">
        <v>1682</v>
      </c>
    </row>
    <row r="6627" spans="1:6" ht="12.75">
      <c r="A6627" s="8">
        <v>43901.964571759258</v>
      </c>
      <c r="B6627" s="8" t="str">
        <f>HYPERLINK("https://twitter.com/Proudto33160416","@Proudto33160416")</f>
        <v>@Proudto33160416</v>
      </c>
      <c r="C6627" s="8" t="s">
        <v>3184</v>
      </c>
      <c r="D6627" s="8">
        <v>0</v>
      </c>
      <c r="E6627" s="8">
        <v>0</v>
      </c>
      <c r="F6627" s="8">
        <v>11</v>
      </c>
    </row>
    <row r="6628" spans="1:6" ht="12.75">
      <c r="A6628" s="8">
        <v>43901.964328703703</v>
      </c>
      <c r="B6628" s="8" t="str">
        <f>HYPERLINK("https://twitter.com/ixi_iman","@ixi_iman")</f>
        <v>@ixi_iman</v>
      </c>
      <c r="C6628" s="8" t="s">
        <v>3185</v>
      </c>
      <c r="D6628" s="8">
        <v>0</v>
      </c>
      <c r="E6628" s="8">
        <v>0</v>
      </c>
      <c r="F6628" s="8">
        <v>225</v>
      </c>
    </row>
    <row r="6629" spans="1:6" ht="12.75">
      <c r="A6629" s="8">
        <v>43901.963287037041</v>
      </c>
      <c r="B6629" s="8" t="str">
        <f>HYPERLINK("https://twitter.com/DavidKanata","@DavidKanata")</f>
        <v>@DavidKanata</v>
      </c>
      <c r="C6629" s="8" t="s">
        <v>2292</v>
      </c>
      <c r="D6629" s="8">
        <v>19</v>
      </c>
      <c r="E6629" s="8">
        <v>0</v>
      </c>
      <c r="F6629" s="8">
        <v>1355</v>
      </c>
    </row>
    <row r="6630" spans="1:6" ht="12.75">
      <c r="A6630" s="8">
        <v>43901.962997685187</v>
      </c>
      <c r="B6630" s="8" t="str">
        <f>HYPERLINK("https://twitter.com/AzzamMuhammad97","@AzzamMuhammad97")</f>
        <v>@AzzamMuhammad97</v>
      </c>
      <c r="C6630" s="8" t="s">
        <v>318</v>
      </c>
      <c r="D6630" s="8">
        <v>1408</v>
      </c>
      <c r="E6630" s="8">
        <v>0</v>
      </c>
      <c r="F6630" s="8">
        <v>29</v>
      </c>
    </row>
    <row r="6631" spans="1:6" ht="12.75">
      <c r="A6631" s="8">
        <v>43901.96293981481</v>
      </c>
      <c r="B6631" s="8" t="str">
        <f>HYPERLINK("https://twitter.com/ixi_iman","@ixi_iman")</f>
        <v>@ixi_iman</v>
      </c>
      <c r="C6631" s="8" t="s">
        <v>3186</v>
      </c>
      <c r="D6631" s="8">
        <v>0</v>
      </c>
      <c r="E6631" s="8">
        <v>0</v>
      </c>
      <c r="F6631" s="8">
        <v>225</v>
      </c>
    </row>
    <row r="6632" spans="1:6" ht="12.75">
      <c r="A6632" s="8">
        <v>43901.961921296301</v>
      </c>
      <c r="B6632" s="8" t="str">
        <f>HYPERLINK("https://twitter.com/nyctophilediony","@nyctophilediony")</f>
        <v>@nyctophilediony</v>
      </c>
      <c r="C6632" s="8" t="s">
        <v>3187</v>
      </c>
      <c r="D6632" s="8">
        <v>0</v>
      </c>
      <c r="E6632" s="8">
        <v>0</v>
      </c>
      <c r="F6632" s="8">
        <v>528</v>
      </c>
    </row>
    <row r="6633" spans="1:6" ht="12.75">
      <c r="A6633" s="8">
        <v>43901.961805555555</v>
      </c>
      <c r="B6633" s="8" t="str">
        <f>HYPERLINK("https://twitter.com/ItsMyRealQuotes","@ItsMyRealQuotes")</f>
        <v>@ItsMyRealQuotes</v>
      </c>
      <c r="C6633" s="8" t="s">
        <v>3188</v>
      </c>
      <c r="D6633" s="8">
        <v>0</v>
      </c>
      <c r="E6633" s="8">
        <v>0</v>
      </c>
      <c r="F6633" s="8">
        <v>183354</v>
      </c>
    </row>
    <row r="6634" spans="1:6" ht="12.75">
      <c r="A6634" s="8">
        <v>43901.961238425924</v>
      </c>
      <c r="B6634" s="8" t="str">
        <f>HYPERLINK("https://twitter.com/_wni_","@_wni_")</f>
        <v>@_wni_</v>
      </c>
      <c r="C6634" s="8" t="s">
        <v>3189</v>
      </c>
      <c r="D6634" s="8">
        <v>0</v>
      </c>
      <c r="E6634" s="8">
        <v>0</v>
      </c>
      <c r="F6634" s="8">
        <v>22</v>
      </c>
    </row>
    <row r="6635" spans="1:6" ht="12.75">
      <c r="A6635" s="8">
        <v>43901.96094907407</v>
      </c>
      <c r="B6635" s="8" t="str">
        <f>HYPERLINK("https://twitter.com/Hazeskw","@Hazeskw")</f>
        <v>@Hazeskw</v>
      </c>
      <c r="C6635" s="8" t="s">
        <v>2786</v>
      </c>
      <c r="D6635" s="8">
        <v>19</v>
      </c>
      <c r="E6635" s="8">
        <v>0</v>
      </c>
      <c r="F6635" s="8">
        <v>552</v>
      </c>
    </row>
    <row r="6636" spans="1:6" ht="12.75">
      <c r="A6636" s="8">
        <v>43901.960763888885</v>
      </c>
      <c r="B6636" s="8" t="str">
        <f>HYPERLINK("https://twitter.com/iwansetya","@iwansetya")</f>
        <v>@iwansetya</v>
      </c>
      <c r="C6636" s="8" t="s">
        <v>3190</v>
      </c>
      <c r="D6636" s="8">
        <v>158</v>
      </c>
      <c r="E6636" s="8">
        <v>0</v>
      </c>
      <c r="F6636" s="8">
        <v>455</v>
      </c>
    </row>
    <row r="6637" spans="1:6" ht="12.75">
      <c r="A6637" s="8">
        <v>43901.960474537038</v>
      </c>
      <c r="B6637" s="8" t="str">
        <f>HYPERLINK("https://twitter.com/diansyah76","@diansyah76")</f>
        <v>@diansyah76</v>
      </c>
      <c r="C6637" s="8" t="s">
        <v>1186</v>
      </c>
      <c r="D6637" s="8">
        <v>404</v>
      </c>
      <c r="E6637" s="8">
        <v>0</v>
      </c>
      <c r="F6637" s="8">
        <v>814</v>
      </c>
    </row>
    <row r="6638" spans="1:6" ht="12.75">
      <c r="A6638" s="8">
        <v>43901.96030092593</v>
      </c>
      <c r="B6638" s="8" t="str">
        <f>HYPERLINK("https://twitter.com/alfionex","@alfionex")</f>
        <v>@alfionex</v>
      </c>
      <c r="C6638" s="8" t="s">
        <v>2715</v>
      </c>
      <c r="D6638" s="8">
        <v>71</v>
      </c>
      <c r="E6638" s="8">
        <v>0</v>
      </c>
      <c r="F6638" s="8">
        <v>2588</v>
      </c>
    </row>
    <row r="6639" spans="1:6" ht="12.75">
      <c r="A6639" s="8">
        <v>43901.959918981476</v>
      </c>
      <c r="B6639" s="8" t="str">
        <f>HYPERLINK("https://twitter.com/IbrahimGarcia19","@IbrahimGarcia19")</f>
        <v>@IbrahimGarcia19</v>
      </c>
      <c r="C6639" s="8" t="s">
        <v>318</v>
      </c>
      <c r="D6639" s="8">
        <v>1408</v>
      </c>
      <c r="E6639" s="8">
        <v>0</v>
      </c>
      <c r="F6639" s="8">
        <v>1440</v>
      </c>
    </row>
    <row r="6640" spans="1:6" ht="12.75">
      <c r="A6640" s="8">
        <v>43901.958923611106</v>
      </c>
      <c r="B6640" s="8" t="str">
        <f>HYPERLINK("https://twitter.com/DwiputrantoE","@DwiputrantoE")</f>
        <v>@DwiputrantoE</v>
      </c>
      <c r="C6640" s="8" t="s">
        <v>1801</v>
      </c>
      <c r="D6640" s="8">
        <v>337</v>
      </c>
      <c r="E6640" s="8">
        <v>0</v>
      </c>
      <c r="F6640" s="8">
        <v>52</v>
      </c>
    </row>
    <row r="6641" spans="1:6" ht="12.75">
      <c r="A6641" s="8">
        <v>43901.958333333328</v>
      </c>
      <c r="B6641" s="8" t="str">
        <f>HYPERLINK("https://twitter.com/selfieituindah","@selfieituindah")</f>
        <v>@selfieituindah</v>
      </c>
      <c r="C6641" s="8" t="s">
        <v>3191</v>
      </c>
      <c r="D6641" s="8">
        <v>0</v>
      </c>
      <c r="E6641" s="8">
        <v>0</v>
      </c>
      <c r="F6641" s="8">
        <v>21307</v>
      </c>
    </row>
    <row r="6642" spans="1:6" ht="12.75">
      <c r="A6642" s="8">
        <v>43901.958009259259</v>
      </c>
      <c r="B6642" s="8" t="str">
        <f>HYPERLINK("https://twitter.com/SamsulB91513613","@SamsulB91513613")</f>
        <v>@SamsulB91513613</v>
      </c>
      <c r="C6642" s="8" t="s">
        <v>104</v>
      </c>
      <c r="D6642" s="8">
        <v>121</v>
      </c>
      <c r="E6642" s="8">
        <v>0</v>
      </c>
      <c r="F6642" s="8">
        <v>308</v>
      </c>
    </row>
    <row r="6643" spans="1:6" ht="12.75">
      <c r="A6643" s="8">
        <v>43901.957766203705</v>
      </c>
      <c r="B6643" s="8" t="str">
        <f>HYPERLINK("https://twitter.com/Hardianto_AB","@Hardianto_AB")</f>
        <v>@Hardianto_AB</v>
      </c>
      <c r="C6643" s="8" t="s">
        <v>3192</v>
      </c>
      <c r="D6643" s="8">
        <v>69</v>
      </c>
      <c r="E6643" s="8">
        <v>0</v>
      </c>
      <c r="F6643" s="8">
        <v>2312</v>
      </c>
    </row>
    <row r="6644" spans="1:6" ht="12.75">
      <c r="A6644" s="8">
        <v>43901.957534722227</v>
      </c>
      <c r="B6644" s="8" t="str">
        <f>HYPERLINK("https://twitter.com/majoindonew","@majoindonew")</f>
        <v>@majoindonew</v>
      </c>
      <c r="C6644" s="8" t="s">
        <v>3193</v>
      </c>
      <c r="D6644" s="8">
        <v>0</v>
      </c>
      <c r="E6644" s="8">
        <v>0</v>
      </c>
      <c r="F6644" s="8">
        <v>55</v>
      </c>
    </row>
    <row r="6645" spans="1:6" ht="12.75">
      <c r="A6645" s="8">
        <v>43901.957500000004</v>
      </c>
      <c r="B6645" s="8" t="str">
        <f>HYPERLINK("https://twitter.com/BoChu67149189","@BoChu67149189")</f>
        <v>@BoChu67149189</v>
      </c>
      <c r="C6645" s="8" t="s">
        <v>3194</v>
      </c>
      <c r="D6645" s="8">
        <v>0</v>
      </c>
      <c r="E6645" s="8">
        <v>0</v>
      </c>
      <c r="F6645" s="8">
        <v>24</v>
      </c>
    </row>
    <row r="6646" spans="1:6" ht="12.75">
      <c r="A6646" s="8">
        <v>43901.957442129627</v>
      </c>
      <c r="B6646" s="8" t="str">
        <f>HYPERLINK("https://twitter.com/Aryprasetyo85","@Aryprasetyo85")</f>
        <v>@Aryprasetyo85</v>
      </c>
      <c r="C6646" s="8" t="s">
        <v>3195</v>
      </c>
      <c r="D6646" s="8">
        <v>0</v>
      </c>
      <c r="E6646" s="8">
        <v>1</v>
      </c>
      <c r="F6646" s="8">
        <v>40944</v>
      </c>
    </row>
    <row r="6647" spans="1:6" ht="12.75">
      <c r="A6647" s="8">
        <v>43901.957291666666</v>
      </c>
      <c r="B6647" s="8" t="str">
        <f>HYPERLINK("https://twitter.com/KangAzzev","@KangAzzev")</f>
        <v>@KangAzzev</v>
      </c>
      <c r="C6647" s="8" t="s">
        <v>2715</v>
      </c>
      <c r="D6647" s="8">
        <v>71</v>
      </c>
      <c r="E6647" s="8">
        <v>0</v>
      </c>
      <c r="F6647" s="8">
        <v>753</v>
      </c>
    </row>
    <row r="6648" spans="1:6" ht="12.75">
      <c r="A6648" s="8">
        <v>43901.957268518519</v>
      </c>
      <c r="B6648" s="8" t="str">
        <f>HYPERLINK("https://twitter.com/Jateng_Twit","@Jateng_Twit")</f>
        <v>@Jateng_Twit</v>
      </c>
      <c r="C6648" s="8" t="s">
        <v>2483</v>
      </c>
      <c r="D6648" s="8">
        <v>3</v>
      </c>
      <c r="E6648" s="8">
        <v>0</v>
      </c>
      <c r="F6648" s="8">
        <v>7077</v>
      </c>
    </row>
    <row r="6649" spans="1:6" ht="12.75">
      <c r="A6649" s="8">
        <v>43901.956956018519</v>
      </c>
      <c r="B6649" s="8" t="str">
        <f>HYPERLINK("https://twitter.com/TyasFebrian","@TyasFebrian")</f>
        <v>@TyasFebrian</v>
      </c>
      <c r="C6649" s="8" t="s">
        <v>318</v>
      </c>
      <c r="D6649" s="8">
        <v>1408</v>
      </c>
      <c r="E6649" s="8">
        <v>0</v>
      </c>
      <c r="F6649" s="8">
        <v>172</v>
      </c>
    </row>
    <row r="6650" spans="1:6" ht="12.75">
      <c r="A6650" s="8">
        <v>43901.95694444445</v>
      </c>
      <c r="B6650" s="8" t="str">
        <f>HYPERLINK("https://twitter.com/Nadila_ID","@Nadila_ID")</f>
        <v>@Nadila_ID</v>
      </c>
      <c r="C6650" s="8" t="s">
        <v>3196</v>
      </c>
      <c r="D6650" s="8">
        <v>0</v>
      </c>
      <c r="E6650" s="8">
        <v>0</v>
      </c>
      <c r="F6650" s="8">
        <v>7174</v>
      </c>
    </row>
    <row r="6651" spans="1:6" ht="12.75">
      <c r="A6651" s="8">
        <v>43901.956655092596</v>
      </c>
      <c r="B6651" s="8" t="str">
        <f>HYPERLINK("https://twitter.com/Danimas19","@Danimas19")</f>
        <v>@Danimas19</v>
      </c>
      <c r="C6651" s="8" t="s">
        <v>2292</v>
      </c>
      <c r="D6651" s="8">
        <v>19</v>
      </c>
      <c r="E6651" s="8">
        <v>0</v>
      </c>
      <c r="F6651" s="8">
        <v>140</v>
      </c>
    </row>
    <row r="6652" spans="1:6" ht="12.75">
      <c r="A6652" s="8">
        <v>43901.956145833334</v>
      </c>
      <c r="B6652" s="8" t="str">
        <f>HYPERLINK("https://twitter.com/90_argo","@90_argo")</f>
        <v>@90_argo</v>
      </c>
      <c r="C6652" s="8" t="s">
        <v>2491</v>
      </c>
      <c r="D6652" s="8">
        <v>1</v>
      </c>
      <c r="E6652" s="8">
        <v>0</v>
      </c>
      <c r="F6652" s="8">
        <v>403</v>
      </c>
    </row>
    <row r="6653" spans="1:6" ht="12.75">
      <c r="A6653" s="8">
        <v>43901.955937499995</v>
      </c>
      <c r="B6653" s="8" t="str">
        <f>HYPERLINK("https://twitter.com/sofyannew1","@sofyannew1")</f>
        <v>@sofyannew1</v>
      </c>
      <c r="C6653" s="8" t="s">
        <v>318</v>
      </c>
      <c r="D6653" s="8">
        <v>1408</v>
      </c>
      <c r="E6653" s="8">
        <v>0</v>
      </c>
      <c r="F6653" s="8">
        <v>242</v>
      </c>
    </row>
    <row r="6654" spans="1:6" ht="12.75">
      <c r="A6654" s="8">
        <v>43901.955532407403</v>
      </c>
      <c r="B6654" s="8" t="str">
        <f>HYPERLINK("https://twitter.com/sadarkamunak","@sadarkamunak")</f>
        <v>@sadarkamunak</v>
      </c>
      <c r="C6654" s="8" t="s">
        <v>3197</v>
      </c>
      <c r="D6654" s="8">
        <v>2</v>
      </c>
      <c r="E6654" s="8">
        <v>0</v>
      </c>
      <c r="F6654" s="8">
        <v>2</v>
      </c>
    </row>
    <row r="6655" spans="1:6" ht="12.75">
      <c r="A6655" s="8">
        <v>43901.955393518518</v>
      </c>
      <c r="B6655" s="8" t="str">
        <f>HYPERLINK("https://twitter.com/Prindu_keadilan","@Prindu_keadilan")</f>
        <v>@Prindu_keadilan</v>
      </c>
      <c r="C6655" s="8" t="s">
        <v>1186</v>
      </c>
      <c r="D6655" s="8">
        <v>404</v>
      </c>
      <c r="E6655" s="8">
        <v>0</v>
      </c>
      <c r="F6655" s="8">
        <v>140</v>
      </c>
    </row>
    <row r="6656" spans="1:6" ht="12.75">
      <c r="A6656" s="8">
        <v>43901.955138888894</v>
      </c>
      <c r="B6656" s="8" t="str">
        <f>HYPERLINK("https://twitter.com/maleeqa___","@maleeqa___")</f>
        <v>@maleeqa___</v>
      </c>
      <c r="C6656" s="8" t="s">
        <v>1801</v>
      </c>
      <c r="D6656" s="8">
        <v>337</v>
      </c>
      <c r="E6656" s="8">
        <v>0</v>
      </c>
      <c r="F6656" s="8">
        <v>1364</v>
      </c>
    </row>
    <row r="6657" spans="1:6" ht="12.75">
      <c r="A6657" s="8">
        <v>43901.955034722225</v>
      </c>
      <c r="B6657" s="8" t="str">
        <f>HYPERLINK("https://twitter.com/AzizunHakim14","@AzizunHakim14")</f>
        <v>@AzizunHakim14</v>
      </c>
      <c r="C6657" s="8" t="s">
        <v>318</v>
      </c>
      <c r="D6657" s="8">
        <v>1408</v>
      </c>
      <c r="E6657" s="8">
        <v>0</v>
      </c>
      <c r="F6657" s="8">
        <v>1115</v>
      </c>
    </row>
    <row r="6658" spans="1:6" ht="12.75">
      <c r="A6658" s="8">
        <v>43901.953333333338</v>
      </c>
      <c r="B6658" s="8" t="str">
        <f>HYPERLINK("https://twitter.com/MRiokusumo","@MRiokusumo")</f>
        <v>@MRiokusumo</v>
      </c>
      <c r="C6658" s="8" t="s">
        <v>2178</v>
      </c>
      <c r="D6658" s="8">
        <v>29</v>
      </c>
      <c r="E6658" s="8">
        <v>0</v>
      </c>
      <c r="F6658" s="8">
        <v>149</v>
      </c>
    </row>
    <row r="6659" spans="1:6" ht="12.75">
      <c r="A6659" s="8">
        <v>43901.953275462962</v>
      </c>
      <c r="B6659" s="8" t="str">
        <f>HYPERLINK("https://twitter.com/AsepRus04734801","@AsepRus04734801")</f>
        <v>@AsepRus04734801</v>
      </c>
      <c r="C6659" s="8" t="s">
        <v>2989</v>
      </c>
      <c r="D6659" s="8">
        <v>146</v>
      </c>
      <c r="E6659" s="8">
        <v>0</v>
      </c>
      <c r="F6659" s="8">
        <v>61</v>
      </c>
    </row>
    <row r="6660" spans="1:6" ht="12.75">
      <c r="A6660" s="8">
        <v>43901.952534722222</v>
      </c>
      <c r="B6660" s="8" t="str">
        <f>HYPERLINK("https://twitter.com/tinggalhan","@tinggalhan")</f>
        <v>@tinggalhan</v>
      </c>
      <c r="C6660" s="8" t="s">
        <v>1186</v>
      </c>
      <c r="D6660" s="8">
        <v>404</v>
      </c>
      <c r="E6660" s="8">
        <v>0</v>
      </c>
      <c r="F6660" s="8">
        <v>374</v>
      </c>
    </row>
    <row r="6661" spans="1:6" ht="12.75">
      <c r="A6661" s="8">
        <v>43901.952245370368</v>
      </c>
      <c r="B6661" s="8" t="str">
        <f>HYPERLINK("https://twitter.com/Aryprasetyo85","@Aryprasetyo85")</f>
        <v>@Aryprasetyo85</v>
      </c>
      <c r="C6661" s="8" t="s">
        <v>3198</v>
      </c>
      <c r="D6661" s="8">
        <v>1</v>
      </c>
      <c r="E6661" s="8">
        <v>5</v>
      </c>
      <c r="F6661" s="8">
        <v>40944</v>
      </c>
    </row>
    <row r="6662" spans="1:6" ht="12.75">
      <c r="A6662" s="8">
        <v>43901.951967592591</v>
      </c>
      <c r="B6662" s="8" t="str">
        <f>HYPERLINK("https://twitter.com/SamsulB91513613","@SamsulB91513613")</f>
        <v>@SamsulB91513613</v>
      </c>
      <c r="C6662" s="8" t="s">
        <v>2292</v>
      </c>
      <c r="D6662" s="8">
        <v>19</v>
      </c>
      <c r="E6662" s="8">
        <v>0</v>
      </c>
      <c r="F6662" s="8">
        <v>308</v>
      </c>
    </row>
    <row r="6663" spans="1:6" ht="12.75">
      <c r="A6663" s="8">
        <v>43901.951273148152</v>
      </c>
      <c r="B6663" s="8" t="str">
        <f>HYPERLINK("https://twitter.com/januar_soesanto","@januar_soesanto")</f>
        <v>@januar_soesanto</v>
      </c>
      <c r="C6663" s="8" t="s">
        <v>1643</v>
      </c>
      <c r="D6663" s="8">
        <v>27</v>
      </c>
      <c r="E6663" s="8">
        <v>0</v>
      </c>
      <c r="F6663" s="8">
        <v>4996</v>
      </c>
    </row>
    <row r="6664" spans="1:6" ht="12.75">
      <c r="A6664" s="8">
        <v>43901.951192129629</v>
      </c>
      <c r="B6664" s="8" t="str">
        <f>HYPERLINK("https://twitter.com/ChannelMaga","@ChannelMaga")</f>
        <v>@ChannelMaga</v>
      </c>
      <c r="C6664" s="8" t="s">
        <v>2989</v>
      </c>
      <c r="D6664" s="8">
        <v>146</v>
      </c>
      <c r="E6664" s="8">
        <v>0</v>
      </c>
      <c r="F6664" s="8">
        <v>61</v>
      </c>
    </row>
    <row r="6665" spans="1:6" ht="12.75">
      <c r="A6665" s="8">
        <v>43901.951099537036</v>
      </c>
      <c r="B6665" s="8" t="str">
        <f>HYPERLINK("https://twitter.com/purbanasrun","@purbanasrun")</f>
        <v>@purbanasrun</v>
      </c>
      <c r="C6665" s="8" t="s">
        <v>1801</v>
      </c>
      <c r="D6665" s="8">
        <v>337</v>
      </c>
      <c r="E6665" s="8">
        <v>0</v>
      </c>
      <c r="F6665" s="8">
        <v>2005</v>
      </c>
    </row>
    <row r="6666" spans="1:6" ht="12.75">
      <c r="A6666" s="8">
        <v>43901.950972222221</v>
      </c>
      <c r="B6666" s="8" t="str">
        <f>HYPERLINK("https://twitter.com/vidz120299","@vidz120299")</f>
        <v>@vidz120299</v>
      </c>
      <c r="C6666" s="8" t="s">
        <v>2786</v>
      </c>
      <c r="D6666" s="8">
        <v>19</v>
      </c>
      <c r="E6666" s="8">
        <v>0</v>
      </c>
      <c r="F6666" s="8">
        <v>72</v>
      </c>
    </row>
    <row r="6667" spans="1:6" ht="12.75">
      <c r="A6667" s="8">
        <v>43901.950972222221</v>
      </c>
      <c r="B6667" s="8" t="str">
        <f>HYPERLINK("https://twitter.com/Zie83132906","@Zie83132906")</f>
        <v>@Zie83132906</v>
      </c>
      <c r="C6667" s="8" t="s">
        <v>3199</v>
      </c>
      <c r="D6667" s="8">
        <v>0</v>
      </c>
      <c r="E6667" s="8">
        <v>0</v>
      </c>
      <c r="F6667" s="8">
        <v>293</v>
      </c>
    </row>
    <row r="6668" spans="1:6" ht="12.75">
      <c r="A6668" s="8">
        <v>43901.950682870374</v>
      </c>
      <c r="B6668" s="8" t="str">
        <f>HYPERLINK("https://twitter.com/las3acc","@las3acc")</f>
        <v>@las3acc</v>
      </c>
      <c r="C6668" s="8" t="s">
        <v>1643</v>
      </c>
      <c r="D6668" s="8">
        <v>27</v>
      </c>
      <c r="E6668" s="8">
        <v>0</v>
      </c>
      <c r="F6668" s="8">
        <v>5273</v>
      </c>
    </row>
    <row r="6669" spans="1:6" ht="12.75">
      <c r="A6669" s="8">
        <v>43901.95040509259</v>
      </c>
      <c r="B6669" s="8" t="str">
        <f>HYPERLINK("https://twitter.com/ugisugiharto","@ugisugiharto")</f>
        <v>@ugisugiharto</v>
      </c>
      <c r="C6669" s="8" t="s">
        <v>1643</v>
      </c>
      <c r="D6669" s="8">
        <v>27</v>
      </c>
      <c r="E6669" s="8">
        <v>0</v>
      </c>
      <c r="F6669" s="8">
        <v>3601</v>
      </c>
    </row>
    <row r="6670" spans="1:6" ht="12.75">
      <c r="A6670" s="8">
        <v>43901.949120370366</v>
      </c>
      <c r="B6670" s="8" t="str">
        <f>HYPERLINK("https://twitter.com/rujakcONGur","@rujakcONGur")</f>
        <v>@rujakcONGur</v>
      </c>
      <c r="C6670" s="8" t="s">
        <v>3200</v>
      </c>
      <c r="D6670" s="8">
        <v>0</v>
      </c>
      <c r="E6670" s="8">
        <v>0</v>
      </c>
      <c r="F6670" s="8">
        <v>765</v>
      </c>
    </row>
    <row r="6671" spans="1:6" ht="12.75">
      <c r="A6671" s="8">
        <v>43901.949074074073</v>
      </c>
      <c r="B6671" s="8" t="str">
        <f>HYPERLINK("https://twitter.com/SatyaJogja_","@SatyaJogja_")</f>
        <v>@SatyaJogja_</v>
      </c>
      <c r="C6671" s="8" t="s">
        <v>2292</v>
      </c>
      <c r="D6671" s="8">
        <v>19</v>
      </c>
      <c r="E6671" s="8">
        <v>0</v>
      </c>
      <c r="F6671" s="8">
        <v>5353</v>
      </c>
    </row>
    <row r="6672" spans="1:6" ht="12.75">
      <c r="A6672" s="8">
        <v>43901.948923611111</v>
      </c>
      <c r="B6672" s="8" t="str">
        <f>HYPERLINK("https://twitter.com/BintangRedjeki","@BintangRedjeki")</f>
        <v>@BintangRedjeki</v>
      </c>
      <c r="C6672" s="8" t="s">
        <v>3201</v>
      </c>
      <c r="D6672" s="8">
        <v>0</v>
      </c>
      <c r="E6672" s="8">
        <v>0</v>
      </c>
      <c r="F6672" s="8">
        <v>17</v>
      </c>
    </row>
    <row r="6673" spans="1:6" ht="12.75">
      <c r="A6673" s="8">
        <v>43901.948715277773</v>
      </c>
      <c r="B6673" s="8" t="str">
        <f>HYPERLINK("https://twitter.com/GoldenrulesJong","@GoldenrulesJong")</f>
        <v>@GoldenrulesJong</v>
      </c>
      <c r="C6673" s="8" t="s">
        <v>2714</v>
      </c>
      <c r="D6673" s="8">
        <v>8</v>
      </c>
      <c r="E6673" s="8">
        <v>0</v>
      </c>
      <c r="F6673" s="8">
        <v>246</v>
      </c>
    </row>
    <row r="6674" spans="1:6" ht="12.75">
      <c r="A6674" s="8">
        <v>43901.948425925926</v>
      </c>
      <c r="B6674" s="8" t="str">
        <f>HYPERLINK("https://twitter.com/FoerQoen","@FoerQoen")</f>
        <v>@FoerQoen</v>
      </c>
      <c r="C6674" s="8" t="s">
        <v>1801</v>
      </c>
      <c r="D6674" s="8">
        <v>337</v>
      </c>
      <c r="E6674" s="8">
        <v>0</v>
      </c>
      <c r="F6674" s="8">
        <v>3225</v>
      </c>
    </row>
    <row r="6675" spans="1:6" ht="12.75">
      <c r="A6675" s="8">
        <v>43901.948009259257</v>
      </c>
      <c r="B6675" s="8" t="str">
        <f>HYPERLINK("https://twitter.com/ItemYopi","@ItemYopi")</f>
        <v>@ItemYopi</v>
      </c>
      <c r="C6675" s="8" t="s">
        <v>1643</v>
      </c>
      <c r="D6675" s="8">
        <v>27</v>
      </c>
      <c r="E6675" s="8">
        <v>0</v>
      </c>
      <c r="F6675" s="8">
        <v>1204</v>
      </c>
    </row>
    <row r="6676" spans="1:6" ht="12.75">
      <c r="A6676" s="8">
        <v>43901.947662037041</v>
      </c>
      <c r="B6676" s="8" t="str">
        <f>HYPERLINK("https://twitter.com/jerayawara","@jerayawara")</f>
        <v>@jerayawara</v>
      </c>
      <c r="C6676" s="8" t="s">
        <v>2714</v>
      </c>
      <c r="D6676" s="8">
        <v>8</v>
      </c>
      <c r="E6676" s="8">
        <v>0</v>
      </c>
      <c r="F6676" s="8">
        <v>4524</v>
      </c>
    </row>
    <row r="6677" spans="1:6" ht="12.75">
      <c r="A6677" s="8">
        <v>43901.947662037041</v>
      </c>
      <c r="B6677" s="8" t="str">
        <f>HYPERLINK("https://twitter.com/HaryaWe_","@HaryaWe_")</f>
        <v>@HaryaWe_</v>
      </c>
      <c r="C6677" s="8" t="s">
        <v>2292</v>
      </c>
      <c r="D6677" s="8">
        <v>19</v>
      </c>
      <c r="E6677" s="8">
        <v>0</v>
      </c>
      <c r="F6677" s="8">
        <v>827</v>
      </c>
    </row>
    <row r="6678" spans="1:6" ht="12.75">
      <c r="A6678" s="8">
        <v>43901.947615740741</v>
      </c>
      <c r="B6678" s="8" t="str">
        <f>HYPERLINK("https://twitter.com/BethaniaStevani","@BethaniaStevani")</f>
        <v>@BethaniaStevani</v>
      </c>
      <c r="C6678" s="8" t="s">
        <v>3202</v>
      </c>
      <c r="D6678" s="8">
        <v>0</v>
      </c>
      <c r="E6678" s="8">
        <v>0</v>
      </c>
      <c r="F6678" s="8">
        <v>13</v>
      </c>
    </row>
    <row r="6679" spans="1:6" ht="12.75">
      <c r="A6679" s="8">
        <v>43901.947604166664</v>
      </c>
      <c r="B6679" s="8" t="str">
        <f>HYPERLINK("https://twitter.com/jahangir_mehta","@jahangir_mehta")</f>
        <v>@jahangir_mehta</v>
      </c>
      <c r="C6679" s="8" t="s">
        <v>3203</v>
      </c>
      <c r="D6679" s="8">
        <v>0</v>
      </c>
      <c r="E6679" s="8">
        <v>0</v>
      </c>
      <c r="F6679" s="8">
        <v>199</v>
      </c>
    </row>
    <row r="6680" spans="1:6" ht="12.75">
      <c r="A6680" s="8">
        <v>43901.947245370371</v>
      </c>
      <c r="B6680" s="8" t="str">
        <f>HYPERLINK("https://twitter.com/iefoelNocturnal","@iefoelNocturnal")</f>
        <v>@iefoelNocturnal</v>
      </c>
      <c r="C6680" s="8" t="s">
        <v>318</v>
      </c>
      <c r="D6680" s="8">
        <v>1408</v>
      </c>
      <c r="E6680" s="8">
        <v>0</v>
      </c>
      <c r="F6680" s="8">
        <v>719</v>
      </c>
    </row>
    <row r="6681" spans="1:6" ht="12.75">
      <c r="A6681" s="8">
        <v>43901.947245370371</v>
      </c>
      <c r="B6681" s="8" t="str">
        <f>HYPERLINK("https://twitter.com/soffel84103944","@soffel84103944")</f>
        <v>@soffel84103944</v>
      </c>
      <c r="C6681" s="8" t="s">
        <v>104</v>
      </c>
      <c r="D6681" s="8">
        <v>121</v>
      </c>
      <c r="E6681" s="8">
        <v>0</v>
      </c>
      <c r="F6681" s="8">
        <v>635</v>
      </c>
    </row>
    <row r="6682" spans="1:6" ht="12.75">
      <c r="A6682" s="8">
        <v>43901.947164351848</v>
      </c>
      <c r="B6682" s="8" t="str">
        <f>HYPERLINK("https://twitter.com/Hendy_Abel","@Hendy_Abel")</f>
        <v>@Hendy_Abel</v>
      </c>
      <c r="C6682" s="8" t="s">
        <v>1800</v>
      </c>
      <c r="D6682" s="8">
        <v>52</v>
      </c>
      <c r="E6682" s="8">
        <v>0</v>
      </c>
      <c r="F6682" s="8">
        <v>331</v>
      </c>
    </row>
    <row r="6683" spans="1:6" ht="12.75">
      <c r="A6683" s="8">
        <v>43901.94694444444</v>
      </c>
      <c r="B6683" s="8" t="str">
        <f>HYPERLINK("https://twitter.com/febriantikaAS","@febriantikaAS")</f>
        <v>@febriantikaAS</v>
      </c>
      <c r="C6683" s="8" t="s">
        <v>3204</v>
      </c>
      <c r="D6683" s="8">
        <v>0</v>
      </c>
      <c r="E6683" s="8">
        <v>0</v>
      </c>
      <c r="F6683" s="8">
        <v>343</v>
      </c>
    </row>
    <row r="6684" spans="1:6" ht="12.75">
      <c r="A6684" s="8">
        <v>43901.946562500001</v>
      </c>
      <c r="B6684" s="8" t="str">
        <f>HYPERLINK("https://twitter.com/ruwah","@ruwah")</f>
        <v>@ruwah</v>
      </c>
      <c r="C6684" s="8" t="s">
        <v>2715</v>
      </c>
      <c r="D6684" s="8">
        <v>71</v>
      </c>
      <c r="E6684" s="8">
        <v>0</v>
      </c>
      <c r="F6684" s="8">
        <v>82</v>
      </c>
    </row>
    <row r="6685" spans="1:6" ht="12.75">
      <c r="A6685" s="8">
        <v>43901.945567129631</v>
      </c>
      <c r="B6685" s="8" t="str">
        <f>HYPERLINK("https://twitter.com/arieftata01","@arieftata01")</f>
        <v>@arieftata01</v>
      </c>
      <c r="C6685" s="8" t="s">
        <v>3205</v>
      </c>
      <c r="D6685" s="8">
        <v>0</v>
      </c>
      <c r="E6685" s="8">
        <v>1</v>
      </c>
      <c r="F6685" s="8">
        <v>106</v>
      </c>
    </row>
    <row r="6686" spans="1:6" ht="12.75">
      <c r="A6686" s="8">
        <v>43901.945277777777</v>
      </c>
      <c r="B6686" s="8" t="str">
        <f>HYPERLINK("https://twitter.com/Batin_bayu","@Batin_bayu")</f>
        <v>@Batin_bayu</v>
      </c>
      <c r="C6686" s="8" t="s">
        <v>2483</v>
      </c>
      <c r="D6686" s="8">
        <v>3</v>
      </c>
      <c r="E6686" s="8">
        <v>0</v>
      </c>
      <c r="F6686" s="8">
        <v>257</v>
      </c>
    </row>
    <row r="6687" spans="1:6" ht="12.75">
      <c r="A6687" s="8">
        <v>43901.945011574076</v>
      </c>
      <c r="B6687" s="8" t="str">
        <f>HYPERLINK("https://twitter.com/Hegie_bae","@Hegie_bae")</f>
        <v>@Hegie_bae</v>
      </c>
      <c r="C6687" s="8" t="s">
        <v>2292</v>
      </c>
      <c r="D6687" s="8">
        <v>19</v>
      </c>
      <c r="E6687" s="8">
        <v>0</v>
      </c>
      <c r="F6687" s="8">
        <v>416</v>
      </c>
    </row>
    <row r="6688" spans="1:6" ht="12.75">
      <c r="A6688" s="8">
        <v>43901.94467592593</v>
      </c>
      <c r="B6688" s="8" t="str">
        <f>HYPERLINK("https://twitter.com/agustinasst","@agustinasst")</f>
        <v>@agustinasst</v>
      </c>
      <c r="C6688" s="8" t="s">
        <v>3206</v>
      </c>
      <c r="D6688" s="8">
        <v>0</v>
      </c>
      <c r="E6688" s="8">
        <v>0</v>
      </c>
      <c r="F6688" s="8">
        <v>395</v>
      </c>
    </row>
    <row r="6689" spans="1:6" ht="12.75">
      <c r="A6689" s="8">
        <v>43901.944664351853</v>
      </c>
      <c r="B6689" s="8" t="str">
        <f>HYPERLINK("https://twitter.com/antikadrun4ever","@antikadrun4ever")</f>
        <v>@antikadrun4ever</v>
      </c>
      <c r="C6689" s="8" t="s">
        <v>3207</v>
      </c>
      <c r="D6689" s="8">
        <v>0</v>
      </c>
      <c r="E6689" s="8">
        <v>1</v>
      </c>
      <c r="F6689" s="8">
        <v>1376</v>
      </c>
    </row>
    <row r="6690" spans="1:6" ht="12.75">
      <c r="A6690" s="8">
        <v>43901.94430555556</v>
      </c>
      <c r="B6690" s="8" t="str">
        <f>HYPERLINK("https://twitter.com/sukabumiazam","@sukabumiazam")</f>
        <v>@sukabumiazam</v>
      </c>
      <c r="C6690" s="8" t="s">
        <v>3208</v>
      </c>
      <c r="D6690" s="8">
        <v>2</v>
      </c>
      <c r="E6690" s="8">
        <v>0</v>
      </c>
      <c r="F6690" s="8">
        <v>454</v>
      </c>
    </row>
    <row r="6691" spans="1:6" ht="12.75">
      <c r="A6691" s="8">
        <v>43901.943842592591</v>
      </c>
      <c r="B6691" s="8" t="str">
        <f>HYPERLINK("https://twitter.com/ISIS_Balik_NO","@ISIS_Balik_NO")</f>
        <v>@ISIS_Balik_NO</v>
      </c>
      <c r="C6691" s="8" t="s">
        <v>3209</v>
      </c>
      <c r="D6691" s="8">
        <v>0</v>
      </c>
      <c r="E6691" s="8">
        <v>0</v>
      </c>
      <c r="F6691" s="8">
        <v>6236</v>
      </c>
    </row>
    <row r="6692" spans="1:6" ht="12.75">
      <c r="A6692" s="8">
        <v>43901.943275462967</v>
      </c>
      <c r="B6692" s="8" t="str">
        <f>HYPERLINK("https://twitter.com/andrie_suryawan","@andrie_suryawan")</f>
        <v>@andrie_suryawan</v>
      </c>
      <c r="C6692" s="8" t="s">
        <v>3210</v>
      </c>
      <c r="D6692" s="8">
        <v>0</v>
      </c>
      <c r="E6692" s="8">
        <v>0</v>
      </c>
      <c r="F6692" s="8">
        <v>15</v>
      </c>
    </row>
    <row r="6693" spans="1:6" ht="12.75">
      <c r="A6693" s="8">
        <v>43901.943240740744</v>
      </c>
      <c r="B6693" s="8" t="str">
        <f>HYPERLINK("https://twitter.com/Irawanthea","@Irawanthea")</f>
        <v>@Irawanthea</v>
      </c>
      <c r="C6693" s="8" t="s">
        <v>3211</v>
      </c>
      <c r="D6693" s="8">
        <v>0</v>
      </c>
      <c r="E6693" s="8">
        <v>0</v>
      </c>
      <c r="F6693" s="8">
        <v>2044</v>
      </c>
    </row>
    <row r="6694" spans="1:6" ht="12.75">
      <c r="A6694" s="8">
        <v>43901.942800925928</v>
      </c>
      <c r="B6694" s="8" t="str">
        <f>HYPERLINK("https://twitter.com/ManaluTheodorus","@ManaluTheodorus")</f>
        <v>@ManaluTheodorus</v>
      </c>
      <c r="C6694" s="8" t="s">
        <v>2292</v>
      </c>
      <c r="D6694" s="8">
        <v>19</v>
      </c>
      <c r="E6694" s="8">
        <v>0</v>
      </c>
      <c r="F6694" s="8">
        <v>73</v>
      </c>
    </row>
    <row r="6695" spans="1:6" ht="12.75">
      <c r="A6695" s="8">
        <v>43901.942384259259</v>
      </c>
      <c r="B6695" s="8" t="str">
        <f>HYPERLINK("https://twitter.com/ISIS_Balik_NO","@ISIS_Balik_NO")</f>
        <v>@ISIS_Balik_NO</v>
      </c>
      <c r="C6695" s="8" t="s">
        <v>3212</v>
      </c>
      <c r="D6695" s="8">
        <v>0</v>
      </c>
      <c r="E6695" s="8">
        <v>1</v>
      </c>
      <c r="F6695" s="8">
        <v>6236</v>
      </c>
    </row>
    <row r="6696" spans="1:6" ht="12.75">
      <c r="A6696" s="8">
        <v>43901.942210648151</v>
      </c>
      <c r="B6696" s="8" t="str">
        <f>HYPERLINK("https://twitter.com/firzanaghitsa","@firzanaghitsa")</f>
        <v>@firzanaghitsa</v>
      </c>
      <c r="C6696" s="8" t="s">
        <v>2882</v>
      </c>
      <c r="D6696" s="8">
        <v>4</v>
      </c>
      <c r="E6696" s="8">
        <v>0</v>
      </c>
      <c r="F6696" s="8">
        <v>1394</v>
      </c>
    </row>
    <row r="6697" spans="1:6" ht="12.75">
      <c r="A6697" s="8">
        <v>43901.942199074074</v>
      </c>
      <c r="B6697" s="8" t="str">
        <f>HYPERLINK("https://twitter.com/adamsurtomo","@adamsurtomo")</f>
        <v>@adamsurtomo</v>
      </c>
      <c r="C6697" s="8" t="s">
        <v>3213</v>
      </c>
      <c r="D6697" s="8">
        <v>348</v>
      </c>
      <c r="E6697" s="8">
        <v>0</v>
      </c>
      <c r="F6697" s="8">
        <v>364</v>
      </c>
    </row>
    <row r="6698" spans="1:6" ht="12.75">
      <c r="A6698" s="8">
        <v>43901.94195601852</v>
      </c>
      <c r="B6698" s="8" t="str">
        <f>HYPERLINK("https://twitter.com/Protesgarislucu","@Protesgarislucu")</f>
        <v>@Protesgarislucu</v>
      </c>
      <c r="C6698" s="8" t="s">
        <v>2714</v>
      </c>
      <c r="D6698" s="8">
        <v>8</v>
      </c>
      <c r="E6698" s="8">
        <v>0</v>
      </c>
      <c r="F6698" s="8">
        <v>2260</v>
      </c>
    </row>
    <row r="6699" spans="1:6" ht="12.75">
      <c r="A6699" s="8">
        <v>43901.941250000003</v>
      </c>
      <c r="B6699" s="8" t="str">
        <f>HYPERLINK("https://twitter.com/sirajapadoha","@sirajapadoha")</f>
        <v>@sirajapadoha</v>
      </c>
      <c r="C6699" s="8" t="s">
        <v>3214</v>
      </c>
      <c r="D6699" s="8">
        <v>1</v>
      </c>
      <c r="E6699" s="8">
        <v>0</v>
      </c>
      <c r="F6699" s="8">
        <v>2497</v>
      </c>
    </row>
    <row r="6700" spans="1:6" ht="12.75">
      <c r="A6700" s="8">
        <v>43901.941203703704</v>
      </c>
      <c r="B6700" s="8" t="str">
        <f>HYPERLINK("https://twitter.com/ISIS_Balik_NO","@ISIS_Balik_NO")</f>
        <v>@ISIS_Balik_NO</v>
      </c>
      <c r="C6700" s="8" t="s">
        <v>3215</v>
      </c>
      <c r="D6700" s="8">
        <v>0</v>
      </c>
      <c r="E6700" s="8">
        <v>1</v>
      </c>
      <c r="F6700" s="8">
        <v>6236</v>
      </c>
    </row>
    <row r="6701" spans="1:6" ht="12.75">
      <c r="A6701" s="8">
        <v>43901.940798611111</v>
      </c>
      <c r="B6701" s="8" t="str">
        <f>HYPERLINK("https://twitter.com/MeyKarunia","@MeyKarunia")</f>
        <v>@MeyKarunia</v>
      </c>
      <c r="C6701" s="8" t="s">
        <v>3125</v>
      </c>
      <c r="D6701" s="8">
        <v>6</v>
      </c>
      <c r="E6701" s="8">
        <v>0</v>
      </c>
      <c r="F6701" s="8">
        <v>853</v>
      </c>
    </row>
    <row r="6702" spans="1:6" ht="12.75">
      <c r="A6702" s="8">
        <v>43901.940682870365</v>
      </c>
      <c r="B6702" s="8" t="str">
        <f>HYPERLINK("https://twitter.com/Andika_pmp","@Andika_pmp")</f>
        <v>@Andika_pmp</v>
      </c>
      <c r="C6702" s="8" t="s">
        <v>1643</v>
      </c>
      <c r="D6702" s="8">
        <v>27</v>
      </c>
      <c r="E6702" s="8">
        <v>0</v>
      </c>
      <c r="F6702" s="8">
        <v>112</v>
      </c>
    </row>
    <row r="6703" spans="1:6" ht="12.75">
      <c r="A6703" s="8">
        <v>43901.939641203702</v>
      </c>
      <c r="B6703" s="8" t="str">
        <f>HYPERLINK("https://twitter.com/ISIS_Balik_NO","@ISIS_Balik_NO")</f>
        <v>@ISIS_Balik_NO</v>
      </c>
      <c r="C6703" s="8" t="s">
        <v>3216</v>
      </c>
      <c r="D6703" s="8">
        <v>0</v>
      </c>
      <c r="E6703" s="8">
        <v>0</v>
      </c>
      <c r="F6703" s="8">
        <v>6236</v>
      </c>
    </row>
    <row r="6704" spans="1:6" ht="12.75">
      <c r="A6704" s="8">
        <v>43901.939386574071</v>
      </c>
      <c r="B6704" s="8" t="str">
        <f>HYPERLINK("https://twitter.com/aya_ddt","@aya_ddt")</f>
        <v>@aya_ddt</v>
      </c>
      <c r="C6704" s="8" t="s">
        <v>2714</v>
      </c>
      <c r="D6704" s="8">
        <v>8</v>
      </c>
      <c r="E6704" s="8">
        <v>0</v>
      </c>
      <c r="F6704" s="8">
        <v>443</v>
      </c>
    </row>
    <row r="6705" spans="1:6" ht="12.75">
      <c r="A6705" s="8">
        <v>43901.939085648148</v>
      </c>
      <c r="B6705" s="8" t="str">
        <f>HYPERLINK("https://twitter.com/PanjiCell1","@PanjiCell1")</f>
        <v>@PanjiCell1</v>
      </c>
      <c r="C6705" s="8" t="s">
        <v>1186</v>
      </c>
      <c r="D6705" s="8">
        <v>404</v>
      </c>
      <c r="E6705" s="8">
        <v>0</v>
      </c>
      <c r="F6705" s="8">
        <v>113</v>
      </c>
    </row>
    <row r="6706" spans="1:6" ht="12.75">
      <c r="A6706" s="8">
        <v>43901.938784722224</v>
      </c>
      <c r="B6706" s="8" t="str">
        <f>HYPERLINK("https://twitter.com/Iqbaliyonk","@Iqbaliyonk")</f>
        <v>@Iqbaliyonk</v>
      </c>
      <c r="C6706" s="8" t="s">
        <v>2292</v>
      </c>
      <c r="D6706" s="8">
        <v>19</v>
      </c>
      <c r="E6706" s="8">
        <v>0</v>
      </c>
      <c r="F6706" s="8">
        <v>96</v>
      </c>
    </row>
    <row r="6707" spans="1:6" ht="12.75">
      <c r="A6707" s="8">
        <v>43901.938634259262</v>
      </c>
      <c r="B6707" s="8" t="str">
        <f>HYPERLINK("https://twitter.com/guccigankk","@guccigankk")</f>
        <v>@guccigankk</v>
      </c>
      <c r="C6707" s="8" t="s">
        <v>2714</v>
      </c>
      <c r="D6707" s="8">
        <v>8</v>
      </c>
      <c r="E6707" s="8">
        <v>0</v>
      </c>
      <c r="F6707" s="8">
        <v>83</v>
      </c>
    </row>
    <row r="6708" spans="1:6" ht="12.75">
      <c r="A6708" s="8">
        <v>43901.938356481478</v>
      </c>
      <c r="B6708" s="8" t="str">
        <f>HYPERLINK("https://twitter.com/andrzhein","@andrzhein")</f>
        <v>@andrzhein</v>
      </c>
      <c r="C6708" s="8" t="s">
        <v>3217</v>
      </c>
      <c r="D6708" s="8">
        <v>2</v>
      </c>
      <c r="E6708" s="8">
        <v>0</v>
      </c>
      <c r="F6708" s="8">
        <v>736</v>
      </c>
    </row>
    <row r="6709" spans="1:6" ht="12.75">
      <c r="A6709" s="8">
        <v>43901.938333333332</v>
      </c>
      <c r="B6709" s="8" t="str">
        <f>HYPERLINK("https://twitter.com/EricssenWen","@EricssenWen")</f>
        <v>@EricssenWen</v>
      </c>
      <c r="C6709" s="8" t="s">
        <v>3218</v>
      </c>
      <c r="D6709" s="8">
        <v>0</v>
      </c>
      <c r="E6709" s="8">
        <v>0</v>
      </c>
      <c r="F6709" s="8">
        <v>1903</v>
      </c>
    </row>
    <row r="6710" spans="1:6" ht="12.75">
      <c r="A6710" s="8">
        <v>43901.938333333332</v>
      </c>
      <c r="B6710" s="8" t="str">
        <f>HYPERLINK("https://twitter.com/4rdi4n71","@4rdi4n71")</f>
        <v>@4rdi4n71</v>
      </c>
      <c r="C6710" s="8" t="s">
        <v>1801</v>
      </c>
      <c r="D6710" s="8">
        <v>337</v>
      </c>
      <c r="E6710" s="8">
        <v>0</v>
      </c>
      <c r="F6710" s="8">
        <v>84</v>
      </c>
    </row>
    <row r="6711" spans="1:6" ht="12.75">
      <c r="A6711" s="8">
        <v>43901.938310185185</v>
      </c>
      <c r="B6711" s="8" t="str">
        <f>HYPERLINK("https://twitter.com/suara1hati","@suara1hati")</f>
        <v>@suara1hati</v>
      </c>
      <c r="C6711" s="8" t="s">
        <v>2537</v>
      </c>
      <c r="D6711" s="8">
        <v>73</v>
      </c>
      <c r="E6711" s="8">
        <v>0</v>
      </c>
      <c r="F6711" s="8">
        <v>1427</v>
      </c>
    </row>
    <row r="6712" spans="1:6" ht="12.75">
      <c r="A6712" s="8">
        <v>43901.93818287037</v>
      </c>
      <c r="B6712" s="8" t="str">
        <f>HYPERLINK("https://twitter.com/mapanget777","@mapanget777")</f>
        <v>@mapanget777</v>
      </c>
      <c r="C6712" s="8" t="s">
        <v>2715</v>
      </c>
      <c r="D6712" s="8">
        <v>71</v>
      </c>
      <c r="E6712" s="8">
        <v>0</v>
      </c>
      <c r="F6712" s="8">
        <v>1227</v>
      </c>
    </row>
    <row r="6713" spans="1:6" ht="12.75">
      <c r="A6713" s="8">
        <v>43901.937974537039</v>
      </c>
      <c r="B6713" s="8" t="str">
        <f>HYPERLINK("https://twitter.com/numberGD","@numberGD")</f>
        <v>@numberGD</v>
      </c>
      <c r="C6713" s="8" t="s">
        <v>3219</v>
      </c>
      <c r="D6713" s="8">
        <v>0</v>
      </c>
      <c r="E6713" s="8">
        <v>0</v>
      </c>
      <c r="F6713" s="8">
        <v>406</v>
      </c>
    </row>
    <row r="6714" spans="1:6" ht="12.75">
      <c r="A6714" s="8">
        <v>43901.937754629631</v>
      </c>
      <c r="B6714" s="8" t="str">
        <f>HYPERLINK("https://twitter.com/davitttts","@davitttts")</f>
        <v>@davitttts</v>
      </c>
      <c r="C6714" s="8" t="s">
        <v>2483</v>
      </c>
      <c r="D6714" s="8">
        <v>3</v>
      </c>
      <c r="E6714" s="8">
        <v>0</v>
      </c>
      <c r="F6714" s="8">
        <v>1687</v>
      </c>
    </row>
    <row r="6715" spans="1:6" ht="12.75">
      <c r="A6715" s="8">
        <v>43901.937743055554</v>
      </c>
      <c r="B6715" s="8" t="str">
        <f>HYPERLINK("https://twitter.com/ISIS_Balik_NO","@ISIS_Balik_NO")</f>
        <v>@ISIS_Balik_NO</v>
      </c>
      <c r="C6715" s="8" t="s">
        <v>3220</v>
      </c>
      <c r="D6715" s="8">
        <v>0</v>
      </c>
      <c r="E6715" s="8">
        <v>0</v>
      </c>
      <c r="F6715" s="8">
        <v>6236</v>
      </c>
    </row>
    <row r="6716" spans="1:6" ht="12.75">
      <c r="A6716" s="8">
        <v>43901.937696759254</v>
      </c>
      <c r="B6716" s="8" t="str">
        <f>HYPERLINK("https://twitter.com/Sarah_Pndj","@Sarah_Pndj")</f>
        <v>@Sarah_Pndj</v>
      </c>
      <c r="C6716" s="8" t="s">
        <v>2714</v>
      </c>
      <c r="D6716" s="8">
        <v>8</v>
      </c>
      <c r="E6716" s="8">
        <v>0</v>
      </c>
      <c r="F6716" s="8">
        <v>27195</v>
      </c>
    </row>
    <row r="6717" spans="1:6" ht="12.75">
      <c r="A6717" s="8">
        <v>43901.937662037039</v>
      </c>
      <c r="B6717" s="8" t="str">
        <f>HYPERLINK("https://twitter.com/toranaga3000","@toranaga3000")</f>
        <v>@toranaga3000</v>
      </c>
      <c r="C6717" s="8" t="s">
        <v>2989</v>
      </c>
      <c r="D6717" s="8">
        <v>146</v>
      </c>
      <c r="E6717" s="8">
        <v>0</v>
      </c>
      <c r="F6717" s="8">
        <v>2426</v>
      </c>
    </row>
    <row r="6718" spans="1:6" ht="12.75">
      <c r="A6718" s="8">
        <v>43901.937592592592</v>
      </c>
      <c r="B6718" s="8" t="str">
        <f>HYPERLINK("https://twitter.com/kimijichoo","@kimijichoo")</f>
        <v>@kimijichoo</v>
      </c>
      <c r="C6718" s="8" t="s">
        <v>3221</v>
      </c>
      <c r="D6718" s="8">
        <v>0</v>
      </c>
      <c r="E6718" s="8">
        <v>0</v>
      </c>
      <c r="F6718" s="8">
        <v>495</v>
      </c>
    </row>
    <row r="6719" spans="1:6" ht="12.75">
      <c r="A6719" s="8">
        <v>43901.9371875</v>
      </c>
      <c r="B6719" s="8" t="str">
        <f>HYPERLINK("https://twitter.com/kompascom","@kompascom")</f>
        <v>@kompascom</v>
      </c>
      <c r="C6719" s="8" t="s">
        <v>3222</v>
      </c>
      <c r="D6719" s="8">
        <v>8</v>
      </c>
      <c r="E6719" s="8">
        <v>10</v>
      </c>
      <c r="F6719" s="8">
        <v>7541704</v>
      </c>
    </row>
    <row r="6720" spans="1:6" ht="12.75">
      <c r="A6720" s="8">
        <v>43901.936319444445</v>
      </c>
      <c r="B6720" s="8" t="str">
        <f>HYPERLINK("https://twitter.com/DiiahAR","@DiiahAR")</f>
        <v>@DiiahAR</v>
      </c>
      <c r="C6720" s="8" t="s">
        <v>3223</v>
      </c>
      <c r="D6720" s="8">
        <v>0</v>
      </c>
      <c r="E6720" s="8">
        <v>0</v>
      </c>
      <c r="F6720" s="8">
        <v>606</v>
      </c>
    </row>
    <row r="6721" spans="1:6" ht="12.75">
      <c r="A6721" s="8">
        <v>43901.936238425929</v>
      </c>
      <c r="B6721" s="8" t="str">
        <f>HYPERLINK("https://twitter.com/IroneDarmawan1","@IroneDarmawan1")</f>
        <v>@IroneDarmawan1</v>
      </c>
      <c r="C6721" s="8" t="s">
        <v>2292</v>
      </c>
      <c r="D6721" s="8">
        <v>19</v>
      </c>
      <c r="E6721" s="8">
        <v>0</v>
      </c>
      <c r="F6721" s="8">
        <v>1452</v>
      </c>
    </row>
    <row r="6722" spans="1:6" ht="12.75">
      <c r="A6722" s="8">
        <v>43901.935833333337</v>
      </c>
      <c r="B6722" s="8" t="str">
        <f>HYPERLINK("https://twitter.com/ISIS_Balik_NO","@ISIS_Balik_NO")</f>
        <v>@ISIS_Balik_NO</v>
      </c>
      <c r="C6722" s="8" t="s">
        <v>3224</v>
      </c>
      <c r="D6722" s="8">
        <v>0</v>
      </c>
      <c r="E6722" s="8">
        <v>0</v>
      </c>
      <c r="F6722" s="8">
        <v>6236</v>
      </c>
    </row>
    <row r="6723" spans="1:6" ht="12.75">
      <c r="A6723" s="8">
        <v>43901.93540509259</v>
      </c>
      <c r="B6723" s="8" t="str">
        <f>HYPERLINK("https://twitter.com/Kiss79944959","@Kiss79944959")</f>
        <v>@Kiss79944959</v>
      </c>
      <c r="C6723" s="8" t="s">
        <v>3225</v>
      </c>
      <c r="D6723" s="8">
        <v>0</v>
      </c>
      <c r="E6723" s="8">
        <v>1</v>
      </c>
      <c r="F6723" s="8">
        <v>7</v>
      </c>
    </row>
    <row r="6724" spans="1:6" ht="12.75">
      <c r="A6724" s="8">
        <v>43901.935254629629</v>
      </c>
      <c r="B6724" s="8" t="str">
        <f>HYPERLINK("https://twitter.com/Ozastia","@Ozastia")</f>
        <v>@Ozastia</v>
      </c>
      <c r="C6724" s="8" t="s">
        <v>3226</v>
      </c>
      <c r="D6724" s="8">
        <v>0</v>
      </c>
      <c r="E6724" s="8">
        <v>1</v>
      </c>
      <c r="F6724" s="8">
        <v>5327</v>
      </c>
    </row>
    <row r="6725" spans="1:6" ht="12.75">
      <c r="A6725" s="8">
        <v>43901.923252314809</v>
      </c>
      <c r="B6725" s="8" t="str">
        <f>HYPERLINK("https://twitter.com/joezenzie","@joezenzie")</f>
        <v>@joezenzie</v>
      </c>
      <c r="C6725" s="8" t="s">
        <v>318</v>
      </c>
      <c r="D6725" s="8">
        <v>1400</v>
      </c>
      <c r="E6725" s="8">
        <v>0</v>
      </c>
      <c r="F6725" s="8">
        <v>1404</v>
      </c>
    </row>
    <row r="6726" spans="1:6" ht="12.75">
      <c r="A6726" s="8">
        <v>43901.922974537039</v>
      </c>
      <c r="B6726" s="8" t="str">
        <f>HYPERLINK("https://twitter.com/Aryprasetyo85","@Aryprasetyo85")</f>
        <v>@Aryprasetyo85</v>
      </c>
      <c r="C6726" s="8" t="s">
        <v>3227</v>
      </c>
      <c r="D6726" s="8">
        <v>0</v>
      </c>
      <c r="E6726" s="8">
        <v>2</v>
      </c>
      <c r="F6726" s="8">
        <v>40940</v>
      </c>
    </row>
    <row r="6727" spans="1:6" ht="12.75">
      <c r="A6727" s="8">
        <v>43901.922592592593</v>
      </c>
      <c r="B6727" s="8" t="str">
        <f>HYPERLINK("https://twitter.com/KBRILondon","@KBRILondon")</f>
        <v>@KBRILondon</v>
      </c>
      <c r="C6727" s="8" t="s">
        <v>3228</v>
      </c>
      <c r="D6727" s="8">
        <v>0</v>
      </c>
      <c r="E6727" s="8">
        <v>0</v>
      </c>
      <c r="F6727" s="8">
        <v>11366</v>
      </c>
    </row>
    <row r="6728" spans="1:6" ht="12.75">
      <c r="A6728" s="8">
        <v>43901.922476851847</v>
      </c>
      <c r="B6728" s="8" t="str">
        <f>HYPERLINK("https://twitter.com/Anna_MaSue","@Anna_MaSue")</f>
        <v>@Anna_MaSue</v>
      </c>
      <c r="C6728" s="8" t="s">
        <v>3229</v>
      </c>
      <c r="D6728" s="8">
        <v>0</v>
      </c>
      <c r="E6728" s="8">
        <v>0</v>
      </c>
      <c r="F6728" s="8">
        <v>27545</v>
      </c>
    </row>
    <row r="6729" spans="1:6" ht="12.75">
      <c r="A6729" s="8">
        <v>43901.922048611115</v>
      </c>
      <c r="B6729" s="8" t="str">
        <f>HYPERLINK("https://twitter.com/hazpohan","@hazpohan")</f>
        <v>@hazpohan</v>
      </c>
      <c r="C6729" s="8" t="s">
        <v>318</v>
      </c>
      <c r="D6729" s="8">
        <v>1400</v>
      </c>
      <c r="E6729" s="8">
        <v>0</v>
      </c>
      <c r="F6729" s="8">
        <v>13852</v>
      </c>
    </row>
    <row r="6730" spans="1:6" ht="12.75">
      <c r="A6730" s="8">
        <v>43901.921006944445</v>
      </c>
      <c r="B6730" s="8" t="str">
        <f>HYPERLINK("https://twitter.com/haluutimee","@haluutimee")</f>
        <v>@haluutimee</v>
      </c>
      <c r="C6730" s="8" t="s">
        <v>3230</v>
      </c>
      <c r="D6730" s="8">
        <v>0</v>
      </c>
      <c r="E6730" s="8">
        <v>0</v>
      </c>
      <c r="F6730" s="8">
        <v>9</v>
      </c>
    </row>
    <row r="6731" spans="1:6" ht="12.75">
      <c r="A6731" s="8">
        <v>43901.920138888891</v>
      </c>
      <c r="B6731" s="8" t="str">
        <f>HYPERLINK("https://twitter.com/__lelaamuslimin","@__lelaamuslimin")</f>
        <v>@__lelaamuslimin</v>
      </c>
      <c r="C6731" s="8" t="s">
        <v>2790</v>
      </c>
      <c r="D6731" s="8">
        <v>246</v>
      </c>
      <c r="E6731" s="8">
        <v>0</v>
      </c>
      <c r="F6731" s="8">
        <v>703</v>
      </c>
    </row>
    <row r="6732" spans="1:6" ht="12.75">
      <c r="A6732" s="8">
        <v>43901.919328703705</v>
      </c>
      <c r="B6732" s="8" t="str">
        <f>HYPERLINK("https://twitter.com/tedi_pirmansyah","@tedi_pirmansyah")</f>
        <v>@tedi_pirmansyah</v>
      </c>
      <c r="C6732" s="8" t="s">
        <v>2715</v>
      </c>
      <c r="D6732" s="8">
        <v>67</v>
      </c>
      <c r="E6732" s="8">
        <v>0</v>
      </c>
      <c r="F6732" s="8">
        <v>458</v>
      </c>
    </row>
    <row r="6733" spans="1:6" ht="12.75">
      <c r="A6733" s="8">
        <v>43901.918645833328</v>
      </c>
      <c r="B6733" s="8" t="str">
        <f>HYPERLINK("https://twitter.com/djanuanti","@djanuanti")</f>
        <v>@djanuanti</v>
      </c>
      <c r="C6733" s="8" t="s">
        <v>1643</v>
      </c>
      <c r="D6733" s="8">
        <v>19</v>
      </c>
      <c r="E6733" s="8">
        <v>0</v>
      </c>
      <c r="F6733" s="8">
        <v>479</v>
      </c>
    </row>
    <row r="6734" spans="1:6" ht="12.75">
      <c r="A6734" s="8">
        <v>43901.918541666666</v>
      </c>
      <c r="B6734" s="8" t="str">
        <f>HYPERLINK("https://twitter.com/QueenTukiyem","@QueenTukiyem")</f>
        <v>@QueenTukiyem</v>
      </c>
      <c r="C6734" s="8" t="s">
        <v>3231</v>
      </c>
      <c r="D6734" s="8">
        <v>1</v>
      </c>
      <c r="E6734" s="8">
        <v>0</v>
      </c>
      <c r="F6734" s="8">
        <v>4233</v>
      </c>
    </row>
    <row r="6735" spans="1:6" ht="12.75">
      <c r="A6735" s="8">
        <v>43901.918460648143</v>
      </c>
      <c r="B6735" s="8" t="str">
        <f>HYPERLINK("https://twitter.com/seosmolinks","@seosmolinks")</f>
        <v>@seosmolinks</v>
      </c>
      <c r="C6735" s="8" t="s">
        <v>3232</v>
      </c>
      <c r="D6735" s="8">
        <v>0</v>
      </c>
      <c r="E6735" s="8">
        <v>0</v>
      </c>
      <c r="F6735" s="8">
        <v>20986</v>
      </c>
    </row>
    <row r="6736" spans="1:6" ht="12.75">
      <c r="A6736" s="8">
        <v>43901.918182870373</v>
      </c>
      <c r="B6736" s="8" t="str">
        <f>HYPERLINK("https://twitter.com/myatharva","@myatharva")</f>
        <v>@myatharva</v>
      </c>
      <c r="C6736" s="8" t="s">
        <v>3233</v>
      </c>
      <c r="D6736" s="8">
        <v>0</v>
      </c>
      <c r="E6736" s="8">
        <v>0</v>
      </c>
      <c r="F6736" s="8">
        <v>4036</v>
      </c>
    </row>
    <row r="6737" spans="1:6" ht="12.75">
      <c r="A6737" s="8">
        <v>43901.917430555557</v>
      </c>
      <c r="B6737" s="8" t="str">
        <f>HYPERLINK("https://twitter.com/gwdatanglagih","@gwdatanglagih")</f>
        <v>@gwdatanglagih</v>
      </c>
      <c r="C6737" s="8" t="s">
        <v>2292</v>
      </c>
      <c r="D6737" s="8">
        <v>7</v>
      </c>
      <c r="E6737" s="8">
        <v>0</v>
      </c>
      <c r="F6737" s="8">
        <v>511</v>
      </c>
    </row>
    <row r="6738" spans="1:6" ht="12.75">
      <c r="A6738" s="8">
        <v>43901.917395833334</v>
      </c>
      <c r="B6738" s="8" t="str">
        <f>HYPERLINK("https://twitter.com/AminurasyidR","@AminurasyidR")</f>
        <v>@AminurasyidR</v>
      </c>
      <c r="C6738" s="8" t="s">
        <v>3234</v>
      </c>
      <c r="D6738" s="8">
        <v>0</v>
      </c>
      <c r="E6738" s="8">
        <v>0</v>
      </c>
      <c r="F6738" s="8">
        <v>768</v>
      </c>
    </row>
    <row r="6739" spans="1:6" ht="12.75">
      <c r="A6739" s="8">
        <v>43901.916770833333</v>
      </c>
      <c r="B6739" s="8" t="str">
        <f>HYPERLINK("https://twitter.com/windrarachmawan","@windrarachmawan")</f>
        <v>@windrarachmawan</v>
      </c>
      <c r="C6739" s="8" t="s">
        <v>3121</v>
      </c>
      <c r="D6739" s="8">
        <v>9</v>
      </c>
      <c r="E6739" s="8">
        <v>0</v>
      </c>
      <c r="F6739" s="8">
        <v>718</v>
      </c>
    </row>
    <row r="6740" spans="1:6" ht="12.75">
      <c r="A6740" s="8">
        <v>43901.916550925926</v>
      </c>
      <c r="B6740" s="8" t="str">
        <f>HYPERLINK("https://twitter.com/b3joku","@b3joku")</f>
        <v>@b3joku</v>
      </c>
      <c r="C6740" s="8" t="s">
        <v>1643</v>
      </c>
      <c r="D6740" s="8">
        <v>19</v>
      </c>
      <c r="E6740" s="8">
        <v>0</v>
      </c>
      <c r="F6740" s="8">
        <v>530</v>
      </c>
    </row>
    <row r="6741" spans="1:6" ht="12.75">
      <c r="A6741" s="8">
        <v>43901.916226851856</v>
      </c>
      <c r="B6741" s="8" t="str">
        <f>HYPERLINK("https://twitter.com/SehatKang","@SehatKang")</f>
        <v>@SehatKang</v>
      </c>
      <c r="C6741" s="8" t="s">
        <v>3235</v>
      </c>
      <c r="D6741" s="8">
        <v>1</v>
      </c>
      <c r="E6741" s="8">
        <v>3</v>
      </c>
      <c r="F6741" s="8">
        <v>16</v>
      </c>
    </row>
    <row r="6742" spans="1:6" ht="12.75">
      <c r="A6742" s="8">
        <v>43901.915150462963</v>
      </c>
      <c r="B6742" s="8" t="str">
        <f>HYPERLINK("https://twitter.com/zarpatista","@zarpatista")</f>
        <v>@zarpatista</v>
      </c>
      <c r="C6742" s="8" t="s">
        <v>2786</v>
      </c>
      <c r="D6742" s="8">
        <v>16</v>
      </c>
      <c r="E6742" s="8">
        <v>0</v>
      </c>
      <c r="F6742" s="8">
        <v>184</v>
      </c>
    </row>
    <row r="6743" spans="1:6" ht="12.75">
      <c r="A6743" s="8">
        <v>43901.91506944444</v>
      </c>
      <c r="B6743" s="8" t="str">
        <f>HYPERLINK("https://twitter.com/octania_","@octania_")</f>
        <v>@octania_</v>
      </c>
      <c r="C6743" s="8" t="s">
        <v>1643</v>
      </c>
      <c r="D6743" s="8">
        <v>19</v>
      </c>
      <c r="E6743" s="8">
        <v>0</v>
      </c>
      <c r="F6743" s="8">
        <v>2742</v>
      </c>
    </row>
    <row r="6744" spans="1:6" ht="12.75">
      <c r="A6744" s="8">
        <v>43901.914895833332</v>
      </c>
      <c r="B6744" s="8" t="str">
        <f>HYPERLINK("https://twitter.com/emanuela_gloria","@emanuela_gloria")</f>
        <v>@emanuela_gloria</v>
      </c>
      <c r="C6744" s="8" t="s">
        <v>3236</v>
      </c>
      <c r="D6744" s="8">
        <v>0</v>
      </c>
      <c r="E6744" s="8">
        <v>0</v>
      </c>
      <c r="F6744" s="8">
        <v>29</v>
      </c>
    </row>
    <row r="6745" spans="1:6" ht="12.75">
      <c r="A6745" s="8">
        <v>43901.914861111116</v>
      </c>
      <c r="B6745" s="8" t="str">
        <f>HYPERLINK("https://twitter.com/zka007","@zka007")</f>
        <v>@zka007</v>
      </c>
      <c r="C6745" s="8" t="s">
        <v>2989</v>
      </c>
      <c r="D6745" s="8">
        <v>142</v>
      </c>
      <c r="E6745" s="8">
        <v>0</v>
      </c>
      <c r="F6745" s="8">
        <v>361</v>
      </c>
    </row>
    <row r="6746" spans="1:6" ht="12.75">
      <c r="A6746" s="8">
        <v>43901.913668981477</v>
      </c>
      <c r="B6746" s="8" t="str">
        <f>HYPERLINK("https://twitter.com/Jhenna10466506","@Jhenna10466506")</f>
        <v>@Jhenna10466506</v>
      </c>
      <c r="C6746" s="8" t="s">
        <v>3237</v>
      </c>
      <c r="D6746" s="8">
        <v>0</v>
      </c>
      <c r="E6746" s="8">
        <v>0</v>
      </c>
      <c r="F6746" s="8">
        <v>1</v>
      </c>
    </row>
    <row r="6747" spans="1:6" ht="12.75">
      <c r="A6747" s="8">
        <v>43901.913634259261</v>
      </c>
      <c r="B6747" s="8" t="str">
        <f>HYPERLINK("https://twitter.com/Among79","@Among79")</f>
        <v>@Among79</v>
      </c>
      <c r="C6747" s="8" t="s">
        <v>1643</v>
      </c>
      <c r="D6747" s="8">
        <v>19</v>
      </c>
      <c r="E6747" s="8">
        <v>0</v>
      </c>
      <c r="F6747" s="8">
        <v>409</v>
      </c>
    </row>
    <row r="6748" spans="1:6" ht="12.75">
      <c r="A6748" s="8">
        <v>43901.913321759261</v>
      </c>
      <c r="B6748" s="8" t="str">
        <f>HYPERLINK("https://twitter.com/justbob616","@justbob616")</f>
        <v>@justbob616</v>
      </c>
      <c r="C6748" s="8" t="s">
        <v>1643</v>
      </c>
      <c r="D6748" s="8">
        <v>19</v>
      </c>
      <c r="E6748" s="8">
        <v>0</v>
      </c>
      <c r="F6748" s="8">
        <v>945</v>
      </c>
    </row>
    <row r="6749" spans="1:6" ht="12.75">
      <c r="A6749" s="8">
        <v>43901.913252314815</v>
      </c>
      <c r="B6749" s="8" t="str">
        <f>HYPERLINK("https://twitter.com/SssPujono","@SssPujono")</f>
        <v>@SssPujono</v>
      </c>
      <c r="C6749" s="8" t="s">
        <v>318</v>
      </c>
      <c r="D6749" s="8">
        <v>1400</v>
      </c>
      <c r="E6749" s="8">
        <v>0</v>
      </c>
      <c r="F6749" s="8">
        <v>111</v>
      </c>
    </row>
    <row r="6750" spans="1:6" ht="12.75">
      <c r="A6750" s="8">
        <v>43901.912789351853</v>
      </c>
      <c r="B6750" s="8" t="str">
        <f>HYPERLINK("https://twitter.com/NCahyo51","@NCahyo51")</f>
        <v>@NCahyo51</v>
      </c>
      <c r="C6750" s="8" t="s">
        <v>1801</v>
      </c>
      <c r="D6750" s="8">
        <v>329</v>
      </c>
      <c r="E6750" s="8">
        <v>0</v>
      </c>
      <c r="F6750" s="8">
        <v>85</v>
      </c>
    </row>
    <row r="6751" spans="1:6" ht="12.75">
      <c r="A6751" s="8">
        <v>43901.912557870368</v>
      </c>
      <c r="B6751" s="8" t="str">
        <f>HYPERLINK("https://twitter.com/adenofrianto","@adenofrianto")</f>
        <v>@adenofrianto</v>
      </c>
      <c r="C6751" s="8" t="s">
        <v>3238</v>
      </c>
      <c r="D6751" s="8">
        <v>0</v>
      </c>
      <c r="E6751" s="8">
        <v>0</v>
      </c>
      <c r="F6751" s="8">
        <v>106</v>
      </c>
    </row>
    <row r="6752" spans="1:6" ht="12.75">
      <c r="A6752" s="8">
        <v>43901.912465277783</v>
      </c>
      <c r="B6752" s="8" t="str">
        <f>HYPERLINK("https://twitter.com/AbrahamLebelauw","@AbrahamLebelauw")</f>
        <v>@AbrahamLebelauw</v>
      </c>
      <c r="C6752" s="8" t="s">
        <v>2178</v>
      </c>
      <c r="D6752" s="8">
        <v>26</v>
      </c>
      <c r="E6752" s="8">
        <v>0</v>
      </c>
      <c r="F6752" s="8">
        <v>190</v>
      </c>
    </row>
    <row r="6753" spans="1:6" ht="12.75">
      <c r="A6753" s="8">
        <v>43901.911597222221</v>
      </c>
      <c r="B6753" s="8" t="str">
        <f>HYPERLINK("https://twitter.com/wni_jmsri","@wni_jmsri")</f>
        <v>@wni_jmsri</v>
      </c>
      <c r="C6753" s="8" t="s">
        <v>3239</v>
      </c>
      <c r="D6753" s="8">
        <v>6954</v>
      </c>
      <c r="E6753" s="8">
        <v>0</v>
      </c>
      <c r="F6753" s="8">
        <v>203</v>
      </c>
    </row>
    <row r="6754" spans="1:6" ht="12.75">
      <c r="A6754" s="8">
        <v>43901.911377314813</v>
      </c>
      <c r="B6754" s="8" t="str">
        <f>HYPERLINK("https://twitter.com/AshRay_CharLie","@AshRay_CharLie")</f>
        <v>@AshRay_CharLie</v>
      </c>
      <c r="C6754" s="8" t="s">
        <v>1917</v>
      </c>
      <c r="D6754" s="8">
        <v>1540</v>
      </c>
      <c r="E6754" s="8">
        <v>0</v>
      </c>
      <c r="F6754" s="8">
        <v>103</v>
      </c>
    </row>
    <row r="6755" spans="1:6" ht="12.75">
      <c r="A6755" s="8">
        <v>43901.911215277782</v>
      </c>
      <c r="B6755" s="8" t="str">
        <f>HYPERLINK("https://twitter.com/wni_jmsri","@wni_jmsri")</f>
        <v>@wni_jmsri</v>
      </c>
      <c r="C6755" s="8" t="s">
        <v>3240</v>
      </c>
      <c r="D6755" s="8">
        <v>13951</v>
      </c>
      <c r="E6755" s="8">
        <v>0</v>
      </c>
      <c r="F6755" s="8">
        <v>203</v>
      </c>
    </row>
    <row r="6756" spans="1:6" ht="12.75">
      <c r="A6756" s="8">
        <v>43901.911111111112</v>
      </c>
      <c r="B6756" s="8" t="str">
        <f>HYPERLINK("https://twitter.com/YanMaluk","@YanMaluk")</f>
        <v>@YanMaluk</v>
      </c>
      <c r="C6756" s="8" t="s">
        <v>2629</v>
      </c>
      <c r="D6756" s="8">
        <v>6</v>
      </c>
      <c r="E6756" s="8">
        <v>0</v>
      </c>
      <c r="F6756" s="8">
        <v>0</v>
      </c>
    </row>
    <row r="6757" spans="1:6" ht="12.75">
      <c r="A6757" s="8">
        <v>43901.910949074074</v>
      </c>
      <c r="B6757" s="8" t="str">
        <f>HYPERLINK("https://twitter.com/ferialhazim","@ferialhazim")</f>
        <v>@ferialhazim</v>
      </c>
      <c r="C6757" s="8" t="s">
        <v>318</v>
      </c>
      <c r="D6757" s="8">
        <v>1400</v>
      </c>
      <c r="E6757" s="8">
        <v>0</v>
      </c>
      <c r="F6757" s="8">
        <v>23</v>
      </c>
    </row>
    <row r="6758" spans="1:6" ht="12.75">
      <c r="A6758" s="8">
        <v>43901.910393518519</v>
      </c>
      <c r="B6758" s="8" t="str">
        <f>HYPERLINK("https://twitter.com/NininkAstha","@NininkAstha")</f>
        <v>@NininkAstha</v>
      </c>
      <c r="C6758" s="8" t="s">
        <v>3241</v>
      </c>
      <c r="D6758" s="8">
        <v>0</v>
      </c>
      <c r="E6758" s="8">
        <v>0</v>
      </c>
      <c r="F6758" s="8">
        <v>330</v>
      </c>
    </row>
    <row r="6759" spans="1:6" ht="12.75">
      <c r="A6759" s="8">
        <v>43901.91033564815</v>
      </c>
      <c r="B6759" s="8" t="str">
        <f>HYPERLINK("https://twitter.com/Fm98Sonora","@Fm98Sonora")</f>
        <v>@Fm98Sonora</v>
      </c>
      <c r="C6759" s="8" t="s">
        <v>3112</v>
      </c>
      <c r="D6759" s="8">
        <v>2</v>
      </c>
      <c r="E6759" s="8">
        <v>0</v>
      </c>
      <c r="F6759" s="8">
        <v>28</v>
      </c>
    </row>
    <row r="6760" spans="1:6" ht="12.75">
      <c r="A6760" s="8">
        <v>43901.910219907411</v>
      </c>
      <c r="B6760" s="8" t="str">
        <f>HYPERLINK("https://twitter.com/Kesit_","@Kesit_")</f>
        <v>@Kesit_</v>
      </c>
      <c r="C6760" s="8" t="s">
        <v>2292</v>
      </c>
      <c r="D6760" s="8">
        <v>7</v>
      </c>
      <c r="E6760" s="8">
        <v>0</v>
      </c>
      <c r="F6760" s="8">
        <v>6804</v>
      </c>
    </row>
    <row r="6761" spans="1:6" ht="12.75">
      <c r="A6761" s="8">
        <v>43901.910127314812</v>
      </c>
      <c r="B6761" s="8" t="str">
        <f>HYPERLINK("https://twitter.com/sdhevi96","@sdhevi96")</f>
        <v>@sdhevi96</v>
      </c>
      <c r="C6761" s="8" t="s">
        <v>1800</v>
      </c>
      <c r="D6761" s="8">
        <v>51</v>
      </c>
      <c r="E6761" s="8">
        <v>0</v>
      </c>
      <c r="F6761" s="8">
        <v>1085</v>
      </c>
    </row>
    <row r="6762" spans="1:6" ht="12.75">
      <c r="A6762" s="8">
        <v>43901.909930555557</v>
      </c>
      <c r="B6762" s="8" t="str">
        <f>HYPERLINK("https://twitter.com/wni_jmsri","@wni_jmsri")</f>
        <v>@wni_jmsri</v>
      </c>
      <c r="C6762" s="8" t="s">
        <v>3242</v>
      </c>
      <c r="D6762" s="8">
        <v>4679</v>
      </c>
      <c r="E6762" s="8">
        <v>0</v>
      </c>
      <c r="F6762" s="8">
        <v>203</v>
      </c>
    </row>
    <row r="6763" spans="1:6" ht="12.75">
      <c r="A6763" s="8">
        <v>43901.909907407404</v>
      </c>
      <c r="B6763" s="8" t="str">
        <f>HYPERLINK("https://twitter.com/DhenAbie","@DhenAbie")</f>
        <v>@DhenAbie</v>
      </c>
      <c r="C6763" s="8" t="s">
        <v>1643</v>
      </c>
      <c r="D6763" s="8">
        <v>19</v>
      </c>
      <c r="E6763" s="8">
        <v>0</v>
      </c>
      <c r="F6763" s="8">
        <v>211</v>
      </c>
    </row>
    <row r="6764" spans="1:6" ht="12.75">
      <c r="A6764" s="8">
        <v>43901.909351851849</v>
      </c>
      <c r="B6764" s="8" t="str">
        <f>HYPERLINK("https://twitter.com/MariaEmmanuelle","@MariaEmmanuelle")</f>
        <v>@MariaEmmanuelle</v>
      </c>
      <c r="C6764" s="8" t="s">
        <v>2292</v>
      </c>
      <c r="D6764" s="8">
        <v>7</v>
      </c>
      <c r="E6764" s="8">
        <v>0</v>
      </c>
      <c r="F6764" s="8">
        <v>670</v>
      </c>
    </row>
    <row r="6765" spans="1:6" ht="12.75">
      <c r="A6765" s="8">
        <v>43901.908553240741</v>
      </c>
      <c r="B6765" s="8" t="str">
        <f>HYPERLINK("https://twitter.com/geloraco","@geloraco")</f>
        <v>@geloraco</v>
      </c>
      <c r="C6765" s="8" t="s">
        <v>3129</v>
      </c>
      <c r="D6765" s="8">
        <v>0</v>
      </c>
      <c r="E6765" s="8">
        <v>2</v>
      </c>
      <c r="F6765" s="8">
        <v>106025</v>
      </c>
    </row>
    <row r="6766" spans="1:6" ht="12.75">
      <c r="A6766" s="8">
        <v>43901.908055555556</v>
      </c>
      <c r="B6766" s="8" t="str">
        <f>HYPERLINK("https://twitter.com/_wni_","@_wni_")</f>
        <v>@_wni_</v>
      </c>
      <c r="C6766" s="8" t="s">
        <v>3243</v>
      </c>
      <c r="D6766" s="8">
        <v>23540</v>
      </c>
      <c r="E6766" s="8">
        <v>0</v>
      </c>
      <c r="F6766" s="8">
        <v>22</v>
      </c>
    </row>
    <row r="6767" spans="1:6" ht="12.75">
      <c r="A6767" s="8">
        <v>43901.907916666663</v>
      </c>
      <c r="B6767" s="8" t="str">
        <f>HYPERLINK("https://twitter.com/alyngcavalera","@alyngcavalera")</f>
        <v>@alyngcavalera</v>
      </c>
      <c r="C6767" s="8" t="s">
        <v>3244</v>
      </c>
      <c r="D6767" s="8">
        <v>0</v>
      </c>
      <c r="E6767" s="8">
        <v>0</v>
      </c>
      <c r="F6767" s="8">
        <v>209</v>
      </c>
    </row>
    <row r="6768" spans="1:6" ht="12.75">
      <c r="A6768" s="8">
        <v>43901.90760416667</v>
      </c>
      <c r="B6768" s="8" t="str">
        <f>HYPERLINK("https://twitter.com/bungahalomoan1","@bungahalomoan1")</f>
        <v>@bungahalomoan1</v>
      </c>
      <c r="C6768" s="8" t="s">
        <v>2292</v>
      </c>
      <c r="D6768" s="8">
        <v>7</v>
      </c>
      <c r="E6768" s="8">
        <v>0</v>
      </c>
      <c r="F6768" s="8">
        <v>1290</v>
      </c>
    </row>
    <row r="6769" spans="1:6" ht="12.75">
      <c r="A6769" s="8">
        <v>43901.906712962962</v>
      </c>
      <c r="B6769" s="8" t="str">
        <f>HYPERLINK("https://twitter.com/restriwardhani","@restriwardhani")</f>
        <v>@restriwardhani</v>
      </c>
      <c r="C6769" s="8" t="s">
        <v>2171</v>
      </c>
      <c r="D6769" s="8">
        <v>1</v>
      </c>
      <c r="E6769" s="8">
        <v>0</v>
      </c>
      <c r="F6769" s="8">
        <v>224</v>
      </c>
    </row>
    <row r="6770" spans="1:6" ht="12.75">
      <c r="A6770" s="8">
        <v>43901.906273148154</v>
      </c>
      <c r="B6770" s="8" t="str">
        <f>HYPERLINK("https://twitter.com/elninn","@elninn")</f>
        <v>@elninn</v>
      </c>
      <c r="C6770" s="8" t="s">
        <v>3245</v>
      </c>
      <c r="D6770" s="8">
        <v>0</v>
      </c>
      <c r="E6770" s="8">
        <v>0</v>
      </c>
      <c r="F6770" s="8">
        <v>3796</v>
      </c>
    </row>
    <row r="6771" spans="1:6" ht="12.75">
      <c r="A6771" s="8">
        <v>43901.906157407408</v>
      </c>
      <c r="B6771" s="8" t="str">
        <f>HYPERLINK("https://twitter.com/HardiantiKirana","@HardiantiKirana")</f>
        <v>@HardiantiKirana</v>
      </c>
      <c r="C6771" s="8" t="s">
        <v>3246</v>
      </c>
      <c r="D6771" s="8">
        <v>0</v>
      </c>
      <c r="E6771" s="8">
        <v>0</v>
      </c>
      <c r="F6771" s="8">
        <v>1906</v>
      </c>
    </row>
    <row r="6772" spans="1:6" ht="12.75">
      <c r="A6772" s="8">
        <v>43901.906134259261</v>
      </c>
      <c r="B6772" s="8" t="str">
        <f>HYPERLINK("https://twitter.com/itsminexoxo","@itsminexoxo")</f>
        <v>@itsminexoxo</v>
      </c>
      <c r="C6772" s="8" t="s">
        <v>3037</v>
      </c>
      <c r="D6772" s="8">
        <v>2</v>
      </c>
      <c r="E6772" s="8">
        <v>0</v>
      </c>
      <c r="F6772" s="8">
        <v>202</v>
      </c>
    </row>
    <row r="6773" spans="1:6" ht="12.75">
      <c r="A6773" s="8">
        <v>43901.906053240746</v>
      </c>
      <c r="B6773" s="8" t="str">
        <f>HYPERLINK("https://twitter.com/Euishidayani1","@Euishidayani1")</f>
        <v>@Euishidayani1</v>
      </c>
      <c r="C6773" s="8" t="s">
        <v>318</v>
      </c>
      <c r="D6773" s="8">
        <v>1400</v>
      </c>
      <c r="E6773" s="8">
        <v>0</v>
      </c>
      <c r="F6773" s="8">
        <v>102</v>
      </c>
    </row>
    <row r="6774" spans="1:6" ht="12.75">
      <c r="A6774" s="8">
        <v>43901.904270833329</v>
      </c>
      <c r="B6774" s="8" t="str">
        <f>HYPERLINK("https://twitter.com/dangwitty","@dangwitty")</f>
        <v>@dangwitty</v>
      </c>
      <c r="C6774" s="8" t="s">
        <v>1917</v>
      </c>
      <c r="D6774" s="8">
        <v>1540</v>
      </c>
      <c r="E6774" s="8">
        <v>0</v>
      </c>
      <c r="F6774" s="8">
        <v>1007</v>
      </c>
    </row>
    <row r="6775" spans="1:6" ht="12.75">
      <c r="A6775" s="8">
        <v>43901.904189814813</v>
      </c>
      <c r="B6775" s="8" t="str">
        <f>HYPERLINK("https://twitter.com/KenWatchaporn","@KenWatchaporn")</f>
        <v>@KenWatchaporn</v>
      </c>
      <c r="C6775" s="8" t="s">
        <v>3247</v>
      </c>
      <c r="D6775" s="8">
        <v>0</v>
      </c>
      <c r="E6775" s="8">
        <v>11</v>
      </c>
      <c r="F6775" s="8">
        <v>187</v>
      </c>
    </row>
    <row r="6776" spans="1:6" ht="12.75">
      <c r="A6776" s="8">
        <v>43901.904074074075</v>
      </c>
      <c r="B6776" s="8" t="str">
        <f>HYPERLINK("https://twitter.com/Budihar21525608","@Budihar21525608")</f>
        <v>@Budihar21525608</v>
      </c>
      <c r="C6776" s="8" t="s">
        <v>3037</v>
      </c>
      <c r="D6776" s="8">
        <v>2</v>
      </c>
      <c r="E6776" s="8">
        <v>0</v>
      </c>
      <c r="F6776" s="8">
        <v>6473</v>
      </c>
    </row>
    <row r="6777" spans="1:6" ht="12.75">
      <c r="A6777" s="8">
        <v>43901.903993055559</v>
      </c>
      <c r="B6777" s="8" t="str">
        <f>HYPERLINK("https://twitter.com/ILYSB_DY","@ILYSB_DY")</f>
        <v>@ILYSB_DY</v>
      </c>
      <c r="C6777" s="8" t="s">
        <v>3050</v>
      </c>
      <c r="D6777" s="8">
        <v>145</v>
      </c>
      <c r="E6777" s="8">
        <v>0</v>
      </c>
      <c r="F6777" s="8">
        <v>155</v>
      </c>
    </row>
    <row r="6778" spans="1:6" ht="12.75">
      <c r="A6778" s="8">
        <v>43901.903368055559</v>
      </c>
      <c r="B6778" s="8" t="str">
        <f>HYPERLINK("https://twitter.com/bangkitriambada","@bangkitriambada")</f>
        <v>@bangkitriambada</v>
      </c>
      <c r="C6778" s="8" t="s">
        <v>3248</v>
      </c>
      <c r="D6778" s="8">
        <v>2</v>
      </c>
      <c r="E6778" s="8">
        <v>0</v>
      </c>
      <c r="F6778" s="8">
        <v>208</v>
      </c>
    </row>
    <row r="6779" spans="1:6" ht="12.75">
      <c r="A6779" s="8">
        <v>43901.903298611112</v>
      </c>
      <c r="B6779" s="8" t="str">
        <f>HYPERLINK("https://twitter.com/PratibhaGYadav","@PratibhaGYadav")</f>
        <v>@PratibhaGYadav</v>
      </c>
      <c r="C6779" s="8" t="s">
        <v>1917</v>
      </c>
      <c r="D6779" s="8">
        <v>1540</v>
      </c>
      <c r="E6779" s="8">
        <v>0</v>
      </c>
      <c r="F6779" s="8">
        <v>3286</v>
      </c>
    </row>
    <row r="6780" spans="1:6" ht="12.75">
      <c r="A6780" s="8">
        <v>43901.903032407412</v>
      </c>
      <c r="B6780" s="8" t="str">
        <f>HYPERLINK("https://twitter.com/eizanfolks","@eizanfolks")</f>
        <v>@eizanfolks</v>
      </c>
      <c r="C6780" s="8" t="s">
        <v>2292</v>
      </c>
      <c r="D6780" s="8">
        <v>7</v>
      </c>
      <c r="E6780" s="8">
        <v>0</v>
      </c>
      <c r="F6780" s="8">
        <v>9083</v>
      </c>
    </row>
    <row r="6781" spans="1:6" ht="12.75">
      <c r="A6781" s="8">
        <v>43901.902731481481</v>
      </c>
      <c r="B6781" s="8" t="str">
        <f>HYPERLINK("https://twitter.com/sabdopalon77","@sabdopalon77")</f>
        <v>@sabdopalon77</v>
      </c>
      <c r="C6781" s="8" t="s">
        <v>3249</v>
      </c>
      <c r="D6781" s="8">
        <v>0</v>
      </c>
      <c r="E6781" s="8">
        <v>0</v>
      </c>
      <c r="F6781" s="8">
        <v>673</v>
      </c>
    </row>
    <row r="6782" spans="1:6" ht="12.75">
      <c r="A6782" s="8">
        <v>43901.90243055555</v>
      </c>
      <c r="B6782" s="8" t="str">
        <f>HYPERLINK("https://twitter.com/R_dwi_mulyadi","@R_dwi_mulyadi")</f>
        <v>@R_dwi_mulyadi</v>
      </c>
      <c r="C6782" s="8" t="s">
        <v>2882</v>
      </c>
      <c r="D6782" s="8">
        <v>3</v>
      </c>
      <c r="E6782" s="8">
        <v>0</v>
      </c>
      <c r="F6782" s="8">
        <v>125</v>
      </c>
    </row>
    <row r="6783" spans="1:6" ht="12.75">
      <c r="A6783" s="8">
        <v>43901.901782407411</v>
      </c>
      <c r="B6783" s="8" t="str">
        <f>HYPERLINK("https://twitter.com/TheReveredGuide","@TheReveredGuide")</f>
        <v>@TheReveredGuide</v>
      </c>
      <c r="C6783" s="8" t="s">
        <v>3250</v>
      </c>
      <c r="D6783" s="8">
        <v>1</v>
      </c>
      <c r="E6783" s="8">
        <v>0</v>
      </c>
      <c r="F6783" s="8">
        <v>310</v>
      </c>
    </row>
    <row r="6784" spans="1:6" ht="12.75">
      <c r="A6784" s="8">
        <v>43901.901631944449</v>
      </c>
      <c r="B6784" s="8" t="str">
        <f>HYPERLINK("https://twitter.com/Adon32279227","@Adon32279227")</f>
        <v>@Adon32279227</v>
      </c>
      <c r="C6784" s="8" t="s">
        <v>3251</v>
      </c>
      <c r="D6784" s="8">
        <v>0</v>
      </c>
      <c r="E6784" s="8">
        <v>0</v>
      </c>
      <c r="F6784" s="8">
        <v>246</v>
      </c>
    </row>
    <row r="6785" spans="1:6" ht="12.75">
      <c r="A6785" s="8">
        <v>43901.901550925926</v>
      </c>
      <c r="B6785" s="8" t="str">
        <f>HYPERLINK("https://twitter.com/visitortwt1","@visitortwt1")</f>
        <v>@visitortwt1</v>
      </c>
      <c r="C6785" s="8" t="s">
        <v>2715</v>
      </c>
      <c r="D6785" s="8">
        <v>67</v>
      </c>
      <c r="E6785" s="8">
        <v>0</v>
      </c>
      <c r="F6785" s="8">
        <v>419</v>
      </c>
    </row>
    <row r="6786" spans="1:6" ht="12.75">
      <c r="A6786" s="8">
        <v>43901.901064814811</v>
      </c>
      <c r="B6786" s="8" t="str">
        <f>HYPERLINK("https://twitter.com/VIVAcoid","@VIVAcoid")</f>
        <v>@VIVAcoid</v>
      </c>
      <c r="C6786" s="8" t="s">
        <v>2882</v>
      </c>
      <c r="D6786" s="8">
        <v>3</v>
      </c>
      <c r="E6786" s="8">
        <v>0</v>
      </c>
      <c r="F6786" s="8">
        <v>4177085</v>
      </c>
    </row>
    <row r="6787" spans="1:6" ht="12.75">
      <c r="A6787" s="8">
        <v>43901.900752314818</v>
      </c>
      <c r="B6787" s="8" t="str">
        <f>HYPERLINK("https://twitter.com/vivanewscom","@vivanewscom")</f>
        <v>@vivanewscom</v>
      </c>
      <c r="C6787" s="8" t="s">
        <v>3252</v>
      </c>
      <c r="D6787" s="8">
        <v>3</v>
      </c>
      <c r="E6787" s="8">
        <v>8</v>
      </c>
      <c r="F6787" s="8">
        <v>4906</v>
      </c>
    </row>
    <row r="6788" spans="1:6" ht="12.75">
      <c r="A6788" s="8">
        <v>43901.900543981479</v>
      </c>
      <c r="B6788" s="8" t="str">
        <f>HYPERLINK("https://twitter.com/pikpikpikmiup","@pikpikpikmiup")</f>
        <v>@pikpikpikmiup</v>
      </c>
      <c r="C6788" s="8" t="s">
        <v>3121</v>
      </c>
      <c r="D6788" s="8">
        <v>9</v>
      </c>
      <c r="E6788" s="8">
        <v>0</v>
      </c>
      <c r="F6788" s="8">
        <v>52</v>
      </c>
    </row>
    <row r="6789" spans="1:6" ht="12.75">
      <c r="A6789" s="8">
        <v>43901.900300925925</v>
      </c>
      <c r="B6789" s="8" t="str">
        <f>HYPERLINK("https://twitter.com/Aryprasetyo85","@Aryprasetyo85")</f>
        <v>@Aryprasetyo85</v>
      </c>
      <c r="C6789" s="8" t="s">
        <v>3253</v>
      </c>
      <c r="D6789" s="8">
        <v>7</v>
      </c>
      <c r="E6789" s="8">
        <v>20</v>
      </c>
      <c r="F6789" s="8">
        <v>40940</v>
      </c>
    </row>
    <row r="6790" spans="1:6" ht="12.75">
      <c r="A6790" s="8">
        <v>43901.899942129632</v>
      </c>
      <c r="B6790" s="8" t="str">
        <f>HYPERLINK("https://twitter.com/angkuy","@angkuy")</f>
        <v>@angkuy</v>
      </c>
      <c r="C6790" s="8" t="s">
        <v>3121</v>
      </c>
      <c r="D6790" s="8">
        <v>9</v>
      </c>
      <c r="E6790" s="8">
        <v>0</v>
      </c>
      <c r="F6790" s="8">
        <v>4690</v>
      </c>
    </row>
    <row r="6791" spans="1:6" ht="12.75">
      <c r="A6791" s="8">
        <v>43901.89980324074</v>
      </c>
      <c r="B6791" s="8" t="str">
        <f>HYPERLINK("https://twitter.com/nihayatunniamah","@nihayatunniamah")</f>
        <v>@nihayatunniamah</v>
      </c>
      <c r="C6791" s="8" t="s">
        <v>1800</v>
      </c>
      <c r="D6791" s="8">
        <v>51</v>
      </c>
      <c r="E6791" s="8">
        <v>0</v>
      </c>
      <c r="F6791" s="8">
        <v>392</v>
      </c>
    </row>
    <row r="6792" spans="1:6" ht="12.75">
      <c r="A6792" s="8">
        <v>43901.899085648147</v>
      </c>
      <c r="B6792" s="8" t="str">
        <f>HYPERLINK("https://twitter.com/herik3rn","@herik3rn")</f>
        <v>@herik3rn</v>
      </c>
      <c r="C6792" s="8" t="s">
        <v>3254</v>
      </c>
      <c r="D6792" s="8">
        <v>0</v>
      </c>
      <c r="E6792" s="8">
        <v>0</v>
      </c>
      <c r="F6792" s="8">
        <v>69</v>
      </c>
    </row>
    <row r="6793" spans="1:6" ht="12.75">
      <c r="A6793" s="8">
        <v>43901.898946759262</v>
      </c>
      <c r="B6793" s="8" t="str">
        <f>HYPERLINK("https://twitter.com/AnakKolong___","@AnakKolong___")</f>
        <v>@AnakKolong___</v>
      </c>
      <c r="C6793" s="8" t="s">
        <v>3255</v>
      </c>
      <c r="D6793" s="8">
        <v>2</v>
      </c>
      <c r="E6793" s="8">
        <v>0</v>
      </c>
      <c r="F6793" s="8">
        <v>8272</v>
      </c>
    </row>
    <row r="6794" spans="1:6" ht="12.75">
      <c r="A6794" s="8">
        <v>43901.8987037037</v>
      </c>
      <c r="B6794" s="8" t="str">
        <f>HYPERLINK("https://twitter.com/mad_bejjo","@mad_bejjo")</f>
        <v>@mad_bejjo</v>
      </c>
      <c r="C6794" s="8" t="s">
        <v>2786</v>
      </c>
      <c r="D6794" s="8">
        <v>16</v>
      </c>
      <c r="E6794" s="8">
        <v>0</v>
      </c>
      <c r="F6794" s="8">
        <v>6</v>
      </c>
    </row>
    <row r="6795" spans="1:6" ht="12.75">
      <c r="A6795" s="8">
        <v>43901.898692129631</v>
      </c>
      <c r="B6795" s="8" t="str">
        <f>HYPERLINK("https://twitter.com/_wni_","@_wni_")</f>
        <v>@_wni_</v>
      </c>
      <c r="C6795" s="8" t="s">
        <v>3256</v>
      </c>
      <c r="D6795" s="8">
        <v>0</v>
      </c>
      <c r="E6795" s="8">
        <v>0</v>
      </c>
      <c r="F6795" s="8">
        <v>22</v>
      </c>
    </row>
    <row r="6796" spans="1:6" ht="12.75">
      <c r="A6796" s="8">
        <v>43901.896990740745</v>
      </c>
      <c r="B6796" s="8" t="str">
        <f>HYPERLINK("https://twitter.com/adi99jauhari","@adi99jauhari")</f>
        <v>@adi99jauhari</v>
      </c>
      <c r="C6796" s="8" t="s">
        <v>3257</v>
      </c>
      <c r="D6796" s="8">
        <v>44</v>
      </c>
      <c r="E6796" s="8">
        <v>0</v>
      </c>
      <c r="F6796" s="8">
        <v>126</v>
      </c>
    </row>
    <row r="6797" spans="1:6" ht="12.75">
      <c r="A6797" s="8">
        <v>43901.896817129629</v>
      </c>
      <c r="B6797" s="8" t="str">
        <f>HYPERLINK("https://twitter.com/AngkuKayo","@AngkuKayo")</f>
        <v>@AngkuKayo</v>
      </c>
      <c r="C6797" s="8" t="s">
        <v>1643</v>
      </c>
      <c r="D6797" s="8">
        <v>19</v>
      </c>
      <c r="E6797" s="8">
        <v>0</v>
      </c>
      <c r="F6797" s="8">
        <v>1160</v>
      </c>
    </row>
    <row r="6798" spans="1:6" ht="12.75">
      <c r="A6798" s="8">
        <v>43901.896631944444</v>
      </c>
      <c r="B6798" s="8" t="str">
        <f>HYPERLINK("https://twitter.com/DelzaPasha","@DelzaPasha")</f>
        <v>@DelzaPasha</v>
      </c>
      <c r="C6798" s="8" t="s">
        <v>2823</v>
      </c>
      <c r="D6798" s="8">
        <v>4</v>
      </c>
      <c r="E6798" s="8">
        <v>0</v>
      </c>
      <c r="F6798" s="8">
        <v>18</v>
      </c>
    </row>
    <row r="6799" spans="1:6" ht="12.75">
      <c r="A6799" s="8">
        <v>43901.896145833336</v>
      </c>
      <c r="B6799" s="8" t="str">
        <f>HYPERLINK("https://twitter.com/SobariSobar1","@SobariSobar1")</f>
        <v>@SobariSobar1</v>
      </c>
      <c r="C6799" s="8" t="s">
        <v>2989</v>
      </c>
      <c r="D6799" s="8">
        <v>142</v>
      </c>
      <c r="E6799" s="8">
        <v>0</v>
      </c>
      <c r="F6799" s="8">
        <v>466</v>
      </c>
    </row>
    <row r="6800" spans="1:6" ht="12.75">
      <c r="A6800" s="8">
        <v>43901.896099537036</v>
      </c>
      <c r="B6800" s="8" t="str">
        <f>HYPERLINK("https://twitter.com/chairilD","@chairilD")</f>
        <v>@chairilD</v>
      </c>
      <c r="C6800" s="8" t="s">
        <v>1186</v>
      </c>
      <c r="D6800" s="8">
        <v>399</v>
      </c>
      <c r="E6800" s="8">
        <v>0</v>
      </c>
      <c r="F6800" s="8">
        <v>571</v>
      </c>
    </row>
    <row r="6801" spans="1:6" ht="12.75">
      <c r="A6801" s="8">
        <v>43901.89543981482</v>
      </c>
      <c r="B6801" s="8" t="str">
        <f>HYPERLINK("https://twitter.com/zenosyyne","@zenosyyne")</f>
        <v>@zenosyyne</v>
      </c>
      <c r="C6801" s="8" t="s">
        <v>2790</v>
      </c>
      <c r="D6801" s="8">
        <v>246</v>
      </c>
      <c r="E6801" s="8">
        <v>0</v>
      </c>
      <c r="F6801" s="8">
        <v>708</v>
      </c>
    </row>
    <row r="6802" spans="1:6" ht="12.75">
      <c r="A6802" s="8">
        <v>43901.895138888889</v>
      </c>
      <c r="B6802" s="8" t="str">
        <f>HYPERLINK("https://twitter.com/cafebiru88","@cafebiru88")</f>
        <v>@cafebiru88</v>
      </c>
      <c r="C6802" s="8" t="s">
        <v>3046</v>
      </c>
      <c r="D6802" s="8">
        <v>0</v>
      </c>
      <c r="E6802" s="8">
        <v>0</v>
      </c>
      <c r="F6802" s="8">
        <v>18021</v>
      </c>
    </row>
    <row r="6803" spans="1:6" ht="12.75">
      <c r="A6803" s="8">
        <v>43901.894386574073</v>
      </c>
      <c r="B6803" s="8" t="str">
        <f>HYPERLINK("https://twitter.com/editya77","@editya77")</f>
        <v>@editya77</v>
      </c>
      <c r="C6803" s="8" t="s">
        <v>1643</v>
      </c>
      <c r="D6803" s="8">
        <v>19</v>
      </c>
      <c r="E6803" s="8">
        <v>0</v>
      </c>
      <c r="F6803" s="8">
        <v>854</v>
      </c>
    </row>
    <row r="6804" spans="1:6" ht="12.75">
      <c r="A6804" s="8">
        <v>43901.893796296295</v>
      </c>
      <c r="B6804" s="8" t="str">
        <f>HYPERLINK("https://twitter.com/FerryM1","@FerryM1")</f>
        <v>@FerryM1</v>
      </c>
      <c r="C6804" s="8" t="s">
        <v>1643</v>
      </c>
      <c r="D6804" s="8">
        <v>19</v>
      </c>
      <c r="E6804" s="8">
        <v>0</v>
      </c>
      <c r="F6804" s="8">
        <v>2327</v>
      </c>
    </row>
    <row r="6805" spans="1:6" ht="12.75">
      <c r="A6805" s="8">
        <v>43901.89271990741</v>
      </c>
      <c r="B6805" s="8" t="str">
        <f>HYPERLINK("https://twitter.com/taurussaja","@taurussaja")</f>
        <v>@taurussaja</v>
      </c>
      <c r="C6805" s="8" t="s">
        <v>2715</v>
      </c>
      <c r="D6805" s="8">
        <v>67</v>
      </c>
      <c r="E6805" s="8">
        <v>0</v>
      </c>
      <c r="F6805" s="8">
        <v>23</v>
      </c>
    </row>
    <row r="6806" spans="1:6" ht="12.75">
      <c r="A6806" s="8">
        <v>43901.891423611116</v>
      </c>
      <c r="B6806" s="8" t="str">
        <f>HYPERLINK("https://twitter.com/serendipityxvxd","@serendipityxvxd")</f>
        <v>@serendipityxvxd</v>
      </c>
      <c r="C6806" s="8" t="s">
        <v>3258</v>
      </c>
      <c r="D6806" s="8">
        <v>0</v>
      </c>
      <c r="E6806" s="8">
        <v>0</v>
      </c>
      <c r="F6806" s="8">
        <v>244</v>
      </c>
    </row>
    <row r="6807" spans="1:6" ht="12.75">
      <c r="A6807" s="8">
        <v>43901.891423611116</v>
      </c>
      <c r="B6807" s="8" t="str">
        <f>HYPERLINK("https://twitter.com/purwoto_sugeng","@purwoto_sugeng")</f>
        <v>@purwoto_sugeng</v>
      </c>
      <c r="C6807" s="8" t="s">
        <v>2537</v>
      </c>
      <c r="D6807" s="8">
        <v>71</v>
      </c>
      <c r="E6807" s="8">
        <v>0</v>
      </c>
      <c r="F6807" s="8">
        <v>147</v>
      </c>
    </row>
    <row r="6808" spans="1:6" ht="12.75">
      <c r="A6808" s="8">
        <v>43901.891412037032</v>
      </c>
      <c r="B6808" s="8" t="str">
        <f>HYPERLINK("https://twitter.com/_wni_","@_wni_")</f>
        <v>@_wni_</v>
      </c>
      <c r="C6808" s="8" t="s">
        <v>3259</v>
      </c>
      <c r="D6808" s="8">
        <v>0</v>
      </c>
      <c r="E6808" s="8">
        <v>0</v>
      </c>
      <c r="F6808" s="8">
        <v>22</v>
      </c>
    </row>
    <row r="6809" spans="1:6" ht="12.75">
      <c r="A6809" s="8">
        <v>43901.890474537038</v>
      </c>
      <c r="B6809" s="8" t="str">
        <f>HYPERLINK("https://twitter.com/TikaOfficial","@TikaOfficial")</f>
        <v>@TikaOfficial</v>
      </c>
      <c r="C6809" s="8" t="s">
        <v>3260</v>
      </c>
      <c r="D6809" s="8">
        <v>1</v>
      </c>
      <c r="E6809" s="8">
        <v>0</v>
      </c>
      <c r="F6809" s="8">
        <v>992</v>
      </c>
    </row>
    <row r="6810" spans="1:6" ht="12.75">
      <c r="A6810" s="8">
        <v>43901.890462962961</v>
      </c>
      <c r="B6810" s="8" t="str">
        <f>HYPERLINK("https://twitter.com/SigitWtj","@SigitWtj")</f>
        <v>@SigitWtj</v>
      </c>
      <c r="C6810" s="8" t="s">
        <v>2178</v>
      </c>
      <c r="D6810" s="8">
        <v>26</v>
      </c>
      <c r="E6810" s="8">
        <v>0</v>
      </c>
      <c r="F6810" s="8">
        <v>1637</v>
      </c>
    </row>
    <row r="6811" spans="1:6" ht="12.75">
      <c r="A6811" s="8">
        <v>43901.890347222223</v>
      </c>
      <c r="B6811" s="8" t="str">
        <f>HYPERLINK("https://twitter.com/cracklingclack","@cracklingclack")</f>
        <v>@cracklingclack</v>
      </c>
      <c r="C6811" s="8" t="s">
        <v>1643</v>
      </c>
      <c r="D6811" s="8">
        <v>19</v>
      </c>
      <c r="E6811" s="8">
        <v>0</v>
      </c>
      <c r="F6811" s="8">
        <v>672</v>
      </c>
    </row>
    <row r="6812" spans="1:6" ht="12.75">
      <c r="A6812" s="8">
        <v>43901.88962962963</v>
      </c>
      <c r="B6812" s="8" t="str">
        <f>HYPERLINK("https://twitter.com/ragilsaputra645","@ragilsaputra645")</f>
        <v>@ragilsaputra645</v>
      </c>
      <c r="C6812" s="8" t="s">
        <v>2537</v>
      </c>
      <c r="D6812" s="8">
        <v>71</v>
      </c>
      <c r="E6812" s="8">
        <v>0</v>
      </c>
      <c r="F6812" s="8">
        <v>429</v>
      </c>
    </row>
    <row r="6813" spans="1:6" ht="12.75">
      <c r="A6813" s="8">
        <v>43901.889513888891</v>
      </c>
      <c r="B6813" s="8" t="str">
        <f>HYPERLINK("https://twitter.com/KomarUjjj3","@KomarUjjj3")</f>
        <v>@KomarUjjj3</v>
      </c>
      <c r="C6813" s="8" t="s">
        <v>1643</v>
      </c>
      <c r="D6813" s="8">
        <v>19</v>
      </c>
      <c r="E6813" s="8">
        <v>0</v>
      </c>
      <c r="F6813" s="8">
        <v>132</v>
      </c>
    </row>
    <row r="6814" spans="1:6" ht="12.75">
      <c r="A6814" s="8">
        <v>43901.889108796298</v>
      </c>
      <c r="B6814" s="8" t="str">
        <f>HYPERLINK("https://twitter.com/AsepIra44314224","@AsepIra44314224")</f>
        <v>@AsepIra44314224</v>
      </c>
      <c r="C6814" s="8" t="s">
        <v>1643</v>
      </c>
      <c r="D6814" s="8">
        <v>19</v>
      </c>
      <c r="E6814" s="8">
        <v>0</v>
      </c>
      <c r="F6814" s="8">
        <v>173</v>
      </c>
    </row>
    <row r="6815" spans="1:6" ht="12.75">
      <c r="A6815" s="8">
        <v>43901.88899305556</v>
      </c>
      <c r="B6815" s="8" t="str">
        <f>HYPERLINK("https://twitter.com/frida_rahardjo","@frida_rahardjo")</f>
        <v>@frida_rahardjo</v>
      </c>
      <c r="C6815" s="8" t="s">
        <v>1643</v>
      </c>
      <c r="D6815" s="8">
        <v>19</v>
      </c>
      <c r="E6815" s="8">
        <v>0</v>
      </c>
      <c r="F6815" s="8">
        <v>1492</v>
      </c>
    </row>
    <row r="6816" spans="1:6" ht="12.75">
      <c r="A6816" s="8">
        <v>43901.888564814813</v>
      </c>
      <c r="B6816" s="8" t="str">
        <f>HYPERLINK("https://twitter.com/magungakbar","@magungakbar")</f>
        <v>@magungakbar</v>
      </c>
      <c r="C6816" s="8" t="s">
        <v>2178</v>
      </c>
      <c r="D6816" s="8">
        <v>26</v>
      </c>
      <c r="E6816" s="8">
        <v>0</v>
      </c>
      <c r="F6816" s="8">
        <v>313</v>
      </c>
    </row>
    <row r="6817" spans="1:6" ht="12.75">
      <c r="A6817" s="8">
        <v>43901.888564814813</v>
      </c>
      <c r="B6817" s="8" t="str">
        <f>HYPERLINK("https://twitter.com/JelitaQolby","@JelitaQolby")</f>
        <v>@JelitaQolby</v>
      </c>
      <c r="C6817" s="8" t="s">
        <v>2178</v>
      </c>
      <c r="D6817" s="8">
        <v>26</v>
      </c>
      <c r="E6817" s="8">
        <v>0</v>
      </c>
      <c r="F6817" s="8">
        <v>500</v>
      </c>
    </row>
    <row r="6818" spans="1:6" ht="12.75">
      <c r="A6818" s="8">
        <v>43901.888240740736</v>
      </c>
      <c r="B6818" s="8" t="str">
        <f>HYPERLINK("https://twitter.com/manawr_mirza2","@manawr_mirza2")</f>
        <v>@manawr_mirza2</v>
      </c>
      <c r="C6818" s="8" t="s">
        <v>3261</v>
      </c>
      <c r="D6818" s="8">
        <v>1</v>
      </c>
      <c r="E6818" s="8">
        <v>0</v>
      </c>
      <c r="F6818" s="8">
        <v>551</v>
      </c>
    </row>
    <row r="6819" spans="1:6" ht="12.75">
      <c r="A6819" s="8">
        <v>43901.887488425928</v>
      </c>
      <c r="B6819" s="8" t="str">
        <f>HYPERLINK("https://twitter.com/hanzelrestdhani","@hanzelrestdhani")</f>
        <v>@hanzelrestdhani</v>
      </c>
      <c r="C6819" s="8" t="s">
        <v>3262</v>
      </c>
      <c r="D6819" s="8">
        <v>252</v>
      </c>
      <c r="E6819" s="8">
        <v>0</v>
      </c>
      <c r="F6819" s="8">
        <v>415</v>
      </c>
    </row>
    <row r="6820" spans="1:6" ht="12.75">
      <c r="A6820" s="8">
        <v>43901.887025462958</v>
      </c>
      <c r="B6820" s="8" t="str">
        <f>HYPERLINK("https://twitter.com/_wni_","@_wni_")</f>
        <v>@_wni_</v>
      </c>
      <c r="C6820" s="8" t="s">
        <v>3263</v>
      </c>
      <c r="D6820" s="8">
        <v>0</v>
      </c>
      <c r="E6820" s="8">
        <v>0</v>
      </c>
      <c r="F6820" s="8">
        <v>22</v>
      </c>
    </row>
    <row r="6821" spans="1:6" ht="12.75">
      <c r="A6821" s="8">
        <v>43901.887013888889</v>
      </c>
      <c r="B6821" s="8" t="str">
        <f>HYPERLINK("https://twitter.com/azizahiss","@azizahiss")</f>
        <v>@azizahiss</v>
      </c>
      <c r="C6821" s="8" t="s">
        <v>2537</v>
      </c>
      <c r="D6821" s="8">
        <v>71</v>
      </c>
      <c r="E6821" s="8">
        <v>0</v>
      </c>
      <c r="F6821" s="8">
        <v>42</v>
      </c>
    </row>
    <row r="6822" spans="1:6" ht="12.75">
      <c r="A6822" s="8">
        <v>43901.887013888889</v>
      </c>
      <c r="B6822" s="8" t="str">
        <f>HYPERLINK("https://twitter.com/AbdMuin87293941","@AbdMuin87293941")</f>
        <v>@AbdMuin87293941</v>
      </c>
      <c r="C6822" s="8" t="s">
        <v>2786</v>
      </c>
      <c r="D6822" s="8">
        <v>16</v>
      </c>
      <c r="E6822" s="8">
        <v>0</v>
      </c>
      <c r="F6822" s="8">
        <v>108</v>
      </c>
    </row>
    <row r="6823" spans="1:6" ht="12.75">
      <c r="A6823" s="8">
        <v>43901.886666666665</v>
      </c>
      <c r="B6823" s="8" t="str">
        <f>HYPERLINK("https://twitter.com/mohamadteguhsa1","@mohamadteguhsa1")</f>
        <v>@mohamadteguhsa1</v>
      </c>
      <c r="C6823" s="8" t="s">
        <v>2786</v>
      </c>
      <c r="D6823" s="8">
        <v>16</v>
      </c>
      <c r="E6823" s="8">
        <v>0</v>
      </c>
      <c r="F6823" s="8">
        <v>1136</v>
      </c>
    </row>
    <row r="6824" spans="1:6" ht="12.75">
      <c r="A6824" s="8">
        <v>43901.886226851857</v>
      </c>
      <c r="B6824" s="8" t="str">
        <f>HYPERLINK("https://twitter.com/yunnieho","@yunnieho")</f>
        <v>@yunnieho</v>
      </c>
      <c r="C6824" s="8" t="s">
        <v>2790</v>
      </c>
      <c r="D6824" s="8">
        <v>246</v>
      </c>
      <c r="E6824" s="8">
        <v>0</v>
      </c>
      <c r="F6824" s="8">
        <v>267</v>
      </c>
    </row>
    <row r="6825" spans="1:6" ht="12.75">
      <c r="A6825" s="8">
        <v>43901.880590277782</v>
      </c>
      <c r="B6825" s="8" t="str">
        <f>HYPERLINK("https://twitter.com/ansyori_riduan","@ansyori_riduan")</f>
        <v>@ansyori_riduan</v>
      </c>
      <c r="C6825" s="8" t="s">
        <v>3264</v>
      </c>
      <c r="D6825" s="8">
        <v>0</v>
      </c>
      <c r="E6825" s="8">
        <v>0</v>
      </c>
      <c r="F6825" s="8">
        <v>112</v>
      </c>
    </row>
    <row r="6826" spans="1:6" ht="12.75">
      <c r="A6826" s="8">
        <v>43901.880185185189</v>
      </c>
      <c r="B6826" s="8" t="str">
        <f>HYPERLINK("https://twitter.com/Februariii","@Februariii")</f>
        <v>@Februariii</v>
      </c>
      <c r="C6826" s="8" t="s">
        <v>3265</v>
      </c>
      <c r="D6826" s="8">
        <v>555</v>
      </c>
      <c r="E6826" s="8">
        <v>0</v>
      </c>
      <c r="F6826" s="8">
        <v>472</v>
      </c>
    </row>
    <row r="6827" spans="1:6" ht="12.75">
      <c r="A6827" s="8">
        <v>43901.879560185189</v>
      </c>
      <c r="B6827" s="8" t="str">
        <f>HYPERLINK("https://twitter.com/hermawatisa","@hermawatisa")</f>
        <v>@hermawatisa</v>
      </c>
      <c r="C6827" s="8" t="s">
        <v>2442</v>
      </c>
      <c r="D6827" s="8">
        <v>2</v>
      </c>
      <c r="E6827" s="8">
        <v>0</v>
      </c>
      <c r="F6827" s="8">
        <v>583</v>
      </c>
    </row>
    <row r="6828" spans="1:6" ht="12.75">
      <c r="A6828" s="8">
        <v>43901.879525462966</v>
      </c>
      <c r="B6828" s="8" t="str">
        <f>HYPERLINK("https://twitter.com/KharirOfficial","@KharirOfficial")</f>
        <v>@KharirOfficial</v>
      </c>
      <c r="C6828" s="8" t="s">
        <v>3121</v>
      </c>
      <c r="D6828" s="8">
        <v>5</v>
      </c>
      <c r="E6828" s="8">
        <v>0</v>
      </c>
      <c r="F6828" s="8">
        <v>186</v>
      </c>
    </row>
    <row r="6829" spans="1:6" ht="12.75">
      <c r="A6829" s="8">
        <v>43901.879305555558</v>
      </c>
      <c r="B6829" s="8" t="str">
        <f>HYPERLINK("https://twitter.com/ChaStoryJujur","@ChaStoryJujur")</f>
        <v>@ChaStoryJujur</v>
      </c>
      <c r="C6829" s="8" t="s">
        <v>3266</v>
      </c>
      <c r="D6829" s="8">
        <v>6</v>
      </c>
      <c r="E6829" s="8">
        <v>0</v>
      </c>
      <c r="F6829" s="8">
        <v>454</v>
      </c>
    </row>
    <row r="6830" spans="1:6" ht="12.75">
      <c r="A6830" s="8">
        <v>43901.879189814819</v>
      </c>
      <c r="B6830" s="8" t="str">
        <f>HYPERLINK("https://twitter.com/SINDOnews","@SINDOnews")</f>
        <v>@SINDOnews</v>
      </c>
      <c r="C6830" s="8" t="s">
        <v>3267</v>
      </c>
      <c r="D6830" s="8">
        <v>0</v>
      </c>
      <c r="E6830" s="8">
        <v>1</v>
      </c>
      <c r="F6830" s="8">
        <v>271812</v>
      </c>
    </row>
    <row r="6831" spans="1:6" ht="12.75">
      <c r="A6831" s="8">
        <v>43901.87903935185</v>
      </c>
      <c r="B6831" s="8" t="str">
        <f>HYPERLINK("https://twitter.com/salmaelfajri","@salmaelfajri")</f>
        <v>@salmaelfajri</v>
      </c>
      <c r="C6831" s="8" t="s">
        <v>3268</v>
      </c>
      <c r="D6831" s="8">
        <v>0</v>
      </c>
      <c r="E6831" s="8">
        <v>0</v>
      </c>
      <c r="F6831" s="8">
        <v>279</v>
      </c>
    </row>
    <row r="6832" spans="1:6" ht="12.75">
      <c r="A6832" s="8">
        <v>43901.878923611112</v>
      </c>
      <c r="B6832" s="8" t="str">
        <f>HYPERLINK("https://twitter.com/raiyant21","@raiyant21")</f>
        <v>@raiyant21</v>
      </c>
      <c r="C6832" s="8" t="s">
        <v>2178</v>
      </c>
      <c r="D6832" s="8">
        <v>18</v>
      </c>
      <c r="E6832" s="8">
        <v>0</v>
      </c>
      <c r="F6832" s="8">
        <v>643</v>
      </c>
    </row>
    <row r="6833" spans="1:6" ht="12.75">
      <c r="A6833" s="8">
        <v>43901.878680555557</v>
      </c>
      <c r="B6833" s="8" t="str">
        <f>HYPERLINK("https://twitter.com/siagianharry","@siagianharry")</f>
        <v>@siagianharry</v>
      </c>
      <c r="C6833" s="8" t="s">
        <v>3269</v>
      </c>
      <c r="D6833" s="8">
        <v>0</v>
      </c>
      <c r="E6833" s="8">
        <v>0</v>
      </c>
      <c r="F6833" s="8">
        <v>418</v>
      </c>
    </row>
    <row r="6834" spans="1:6" ht="12.75">
      <c r="A6834" s="8">
        <v>43901.878599537042</v>
      </c>
      <c r="B6834" s="8" t="str">
        <f>HYPERLINK("https://twitter.com/KBRI_Pretoria","@KBRI_Pretoria")</f>
        <v>@KBRI_Pretoria</v>
      </c>
      <c r="C6834" s="8" t="s">
        <v>2178</v>
      </c>
      <c r="D6834" s="8">
        <v>18</v>
      </c>
      <c r="E6834" s="8">
        <v>0</v>
      </c>
      <c r="F6834" s="8">
        <v>842</v>
      </c>
    </row>
    <row r="6835" spans="1:6" ht="12.75">
      <c r="A6835" s="8">
        <v>43901.878437499996</v>
      </c>
      <c r="B6835" s="8" t="str">
        <f>HYPERLINK("https://twitter.com/lindajuliawnt","@lindajuliawnt")</f>
        <v>@lindajuliawnt</v>
      </c>
      <c r="C6835" s="8" t="s">
        <v>1800</v>
      </c>
      <c r="D6835" s="8">
        <v>48</v>
      </c>
      <c r="E6835" s="8">
        <v>0</v>
      </c>
      <c r="F6835" s="8">
        <v>1230</v>
      </c>
    </row>
    <row r="6836" spans="1:6" ht="12.75">
      <c r="A6836" s="8">
        <v>43901.878437499996</v>
      </c>
      <c r="B6836" s="8" t="str">
        <f>HYPERLINK("https://twitter.com/IdEmbassy_Seoul","@IdEmbassy_Seoul")</f>
        <v>@IdEmbassy_Seoul</v>
      </c>
      <c r="C6836" s="8" t="s">
        <v>2178</v>
      </c>
      <c r="D6836" s="8">
        <v>18</v>
      </c>
      <c r="E6836" s="8">
        <v>0</v>
      </c>
      <c r="F6836" s="8">
        <v>3901</v>
      </c>
    </row>
    <row r="6837" spans="1:6" ht="12.75">
      <c r="A6837" s="8">
        <v>43901.878287037034</v>
      </c>
      <c r="B6837" s="8" t="str">
        <f>HYPERLINK("https://twitter.com/sosasonia","@sosasonia")</f>
        <v>@sosasonia</v>
      </c>
      <c r="C6837" s="8" t="s">
        <v>2178</v>
      </c>
      <c r="D6837" s="8">
        <v>18</v>
      </c>
      <c r="E6837" s="8">
        <v>0</v>
      </c>
      <c r="F6837" s="8">
        <v>811</v>
      </c>
    </row>
    <row r="6838" spans="1:6" ht="12.75">
      <c r="A6838" s="8">
        <v>43901.878055555557</v>
      </c>
      <c r="B6838" s="8" t="str">
        <f>HYPERLINK("https://twitter.com/rdmzrn","@rdmzrn")</f>
        <v>@rdmzrn</v>
      </c>
      <c r="C6838" s="8" t="s">
        <v>2178</v>
      </c>
      <c r="D6838" s="8">
        <v>18</v>
      </c>
      <c r="E6838" s="8">
        <v>0</v>
      </c>
      <c r="F6838" s="8">
        <v>1</v>
      </c>
    </row>
    <row r="6839" spans="1:6" ht="12.75">
      <c r="A6839" s="8">
        <v>43901.87777777778</v>
      </c>
      <c r="B6839" s="8" t="str">
        <f>HYPERLINK("https://twitter.com/Arhan26461681","@Arhan26461681")</f>
        <v>@Arhan26461681</v>
      </c>
      <c r="C6839" s="8" t="s">
        <v>1186</v>
      </c>
      <c r="D6839" s="8">
        <v>398</v>
      </c>
      <c r="E6839" s="8">
        <v>0</v>
      </c>
      <c r="F6839" s="8">
        <v>57</v>
      </c>
    </row>
    <row r="6840" spans="1:6" ht="12.75">
      <c r="A6840" s="8">
        <v>43901.877152777779</v>
      </c>
      <c r="B6840" s="8" t="str">
        <f>HYPERLINK("https://twitter.com/visitortwt1","@visitortwt1")</f>
        <v>@visitortwt1</v>
      </c>
      <c r="C6840" s="8" t="s">
        <v>104</v>
      </c>
      <c r="D6840" s="8">
        <v>118</v>
      </c>
      <c r="E6840" s="8">
        <v>0</v>
      </c>
      <c r="F6840" s="8">
        <v>419</v>
      </c>
    </row>
    <row r="6841" spans="1:6" ht="12.75">
      <c r="A6841" s="8">
        <v>43901.877118055556</v>
      </c>
      <c r="B6841" s="8" t="str">
        <f>HYPERLINK("https://twitter.com/Godok_Pisank","@Godok_Pisank")</f>
        <v>@Godok_Pisank</v>
      </c>
      <c r="C6841" s="8" t="s">
        <v>1186</v>
      </c>
      <c r="D6841" s="8">
        <v>398</v>
      </c>
      <c r="E6841" s="8">
        <v>0</v>
      </c>
      <c r="F6841" s="8">
        <v>112</v>
      </c>
    </row>
    <row r="6842" spans="1:6" ht="12.75">
      <c r="A6842" s="8">
        <v>43901.87709490741</v>
      </c>
      <c r="B6842" s="8" t="str">
        <f>HYPERLINK("https://twitter.com/mithasari_","@mithasari_")</f>
        <v>@mithasari_</v>
      </c>
      <c r="C6842" s="8" t="s">
        <v>2442</v>
      </c>
      <c r="D6842" s="8">
        <v>2</v>
      </c>
      <c r="E6842" s="8">
        <v>0</v>
      </c>
      <c r="F6842" s="8">
        <v>140</v>
      </c>
    </row>
    <row r="6843" spans="1:6" ht="12.75">
      <c r="A6843" s="8">
        <v>43901.877037037033</v>
      </c>
      <c r="B6843" s="8" t="str">
        <f>HYPERLINK("https://twitter.com/kbrisantiago","@kbrisantiago")</f>
        <v>@kbrisantiago</v>
      </c>
      <c r="C6843" s="8" t="s">
        <v>2178</v>
      </c>
      <c r="D6843" s="8">
        <v>18</v>
      </c>
      <c r="E6843" s="8">
        <v>0</v>
      </c>
      <c r="F6843" s="8">
        <v>1775</v>
      </c>
    </row>
    <row r="6844" spans="1:6" ht="12.75">
      <c r="A6844" s="8">
        <v>43901.876921296294</v>
      </c>
      <c r="B6844" s="8" t="str">
        <f>HYPERLINK("https://twitter.com/MeiyanaFeehily","@MeiyanaFeehily")</f>
        <v>@MeiyanaFeehily</v>
      </c>
      <c r="C6844" s="8" t="s">
        <v>2178</v>
      </c>
      <c r="D6844" s="8">
        <v>18</v>
      </c>
      <c r="E6844" s="8">
        <v>0</v>
      </c>
      <c r="F6844" s="8">
        <v>757</v>
      </c>
    </row>
    <row r="6845" spans="1:6" ht="12.75">
      <c r="A6845" s="8">
        <v>43901.876863425925</v>
      </c>
      <c r="B6845" s="8" t="str">
        <f>HYPERLINK("https://twitter.com/susan1612","@susan1612")</f>
        <v>@susan1612</v>
      </c>
      <c r="C6845" s="8" t="s">
        <v>1186</v>
      </c>
      <c r="D6845" s="8">
        <v>398</v>
      </c>
      <c r="E6845" s="8">
        <v>0</v>
      </c>
      <c r="F6845" s="8">
        <v>3052</v>
      </c>
    </row>
    <row r="6846" spans="1:6" ht="12.75">
      <c r="A6846" s="8">
        <v>43901.876620370371</v>
      </c>
      <c r="B6846" s="8" t="str">
        <f>HYPERLINK("https://twitter.com/budihidayat20","@budihidayat20")</f>
        <v>@budihidayat20</v>
      </c>
      <c r="C6846" s="8" t="s">
        <v>1186</v>
      </c>
      <c r="D6846" s="8">
        <v>398</v>
      </c>
      <c r="E6846" s="8">
        <v>0</v>
      </c>
      <c r="F6846" s="8">
        <v>4446</v>
      </c>
    </row>
    <row r="6847" spans="1:6" ht="12.75">
      <c r="A6847" s="8">
        <v>43901.876388888893</v>
      </c>
      <c r="B6847" s="8" t="str">
        <f>HYPERLINK("https://twitter.com/illuminationkey","@illuminationkey")</f>
        <v>@illuminationkey</v>
      </c>
      <c r="C6847" s="8" t="s">
        <v>2178</v>
      </c>
      <c r="D6847" s="8">
        <v>18</v>
      </c>
      <c r="E6847" s="8">
        <v>0</v>
      </c>
      <c r="F6847" s="8">
        <v>579</v>
      </c>
    </row>
    <row r="6848" spans="1:6" ht="12.75">
      <c r="A6848" s="8">
        <v>43901.876388888893</v>
      </c>
      <c r="B6848" s="8" t="str">
        <f>HYPERLINK("https://twitter.com/hidupnanindah","@hidupnanindah")</f>
        <v>@hidupnanindah</v>
      </c>
      <c r="C6848" s="8" t="s">
        <v>3270</v>
      </c>
      <c r="D6848" s="8">
        <v>0</v>
      </c>
      <c r="E6848" s="8">
        <v>0</v>
      </c>
      <c r="F6848" s="8">
        <v>14963</v>
      </c>
    </row>
    <row r="6849" spans="1:6" ht="12.75">
      <c r="A6849" s="8">
        <v>43901.876250000001</v>
      </c>
      <c r="B6849" s="8" t="str">
        <f>HYPERLINK("https://twitter.com/Aggi_Agistya96","@Aggi_Agistya96")</f>
        <v>@Aggi_Agistya96</v>
      </c>
      <c r="C6849" s="8" t="s">
        <v>3271</v>
      </c>
      <c r="D6849" s="8">
        <v>0</v>
      </c>
      <c r="E6849" s="8">
        <v>0</v>
      </c>
      <c r="F6849" s="8">
        <v>313</v>
      </c>
    </row>
    <row r="6850" spans="1:6" ht="12.75">
      <c r="A6850" s="8">
        <v>43901.876122685186</v>
      </c>
      <c r="B6850" s="8" t="str">
        <f>HYPERLINK("https://twitter.com/10F01C0","@10F01C0")</f>
        <v>@10F01C0</v>
      </c>
      <c r="C6850" s="8" t="s">
        <v>2178</v>
      </c>
      <c r="D6850" s="8">
        <v>18</v>
      </c>
      <c r="E6850" s="8">
        <v>0</v>
      </c>
      <c r="F6850" s="8">
        <v>6</v>
      </c>
    </row>
    <row r="6851" spans="1:6" ht="12.75">
      <c r="A6851" s="8">
        <v>43901.875520833331</v>
      </c>
      <c r="B6851" s="8" t="str">
        <f>HYPERLINK("https://twitter.com/art_arie","@art_arie")</f>
        <v>@art_arie</v>
      </c>
      <c r="C6851" s="8" t="s">
        <v>318</v>
      </c>
      <c r="D6851" s="8">
        <v>1392</v>
      </c>
      <c r="E6851" s="8">
        <v>0</v>
      </c>
      <c r="F6851" s="8">
        <v>14</v>
      </c>
    </row>
    <row r="6852" spans="1:6" ht="12.75">
      <c r="A6852" s="8">
        <v>43901.875405092593</v>
      </c>
      <c r="B6852" s="8" t="str">
        <f>HYPERLINK("https://twitter.com/liranti","@liranti")</f>
        <v>@liranti</v>
      </c>
      <c r="C6852" s="8" t="s">
        <v>2178</v>
      </c>
      <c r="D6852" s="8">
        <v>18</v>
      </c>
      <c r="E6852" s="8">
        <v>0</v>
      </c>
      <c r="F6852" s="8">
        <v>536</v>
      </c>
    </row>
    <row r="6853" spans="1:6" ht="12.75">
      <c r="A6853" s="8">
        <v>43901.87537037037</v>
      </c>
      <c r="B6853" s="8" t="str">
        <f>HYPERLINK("https://twitter.com/kompascom","@kompascom")</f>
        <v>@kompascom</v>
      </c>
      <c r="C6853" s="8" t="s">
        <v>3272</v>
      </c>
      <c r="D6853" s="8">
        <v>2</v>
      </c>
      <c r="E6853" s="8">
        <v>2</v>
      </c>
      <c r="F6853" s="8">
        <v>7541442</v>
      </c>
    </row>
    <row r="6854" spans="1:6" ht="12.75">
      <c r="A6854" s="8">
        <v>43901.875034722223</v>
      </c>
      <c r="B6854" s="8" t="str">
        <f>HYPERLINK("https://twitter.com/ninooctavian","@ninooctavian")</f>
        <v>@ninooctavian</v>
      </c>
      <c r="C6854" s="8" t="s">
        <v>2178</v>
      </c>
      <c r="D6854" s="8">
        <v>18</v>
      </c>
      <c r="E6854" s="8">
        <v>0</v>
      </c>
      <c r="F6854" s="8">
        <v>318</v>
      </c>
    </row>
    <row r="6855" spans="1:6" ht="12.75">
      <c r="A6855" s="8">
        <v>43901.875</v>
      </c>
      <c r="B6855" s="8" t="str">
        <f>HYPERLINK("https://twitter.com/selfieituindah","@selfieituindah")</f>
        <v>@selfieituindah</v>
      </c>
      <c r="C6855" s="8" t="s">
        <v>3273</v>
      </c>
      <c r="D6855" s="8">
        <v>0</v>
      </c>
      <c r="E6855" s="8">
        <v>0</v>
      </c>
      <c r="F6855" s="8">
        <v>21305</v>
      </c>
    </row>
    <row r="6856" spans="1:6" ht="12.75">
      <c r="A6856" s="8">
        <v>43901.8746875</v>
      </c>
      <c r="B6856" s="8" t="str">
        <f>HYPERLINK("https://twitter.com/GoesPoer313","@GoesPoer313")</f>
        <v>@GoesPoer313</v>
      </c>
      <c r="C6856" s="8" t="s">
        <v>2942</v>
      </c>
      <c r="D6856" s="8">
        <v>26</v>
      </c>
      <c r="E6856" s="8">
        <v>0</v>
      </c>
      <c r="F6856" s="8">
        <v>1374</v>
      </c>
    </row>
    <row r="6857" spans="1:6" ht="12.75">
      <c r="A6857" s="8">
        <v>43901.874594907407</v>
      </c>
      <c r="B6857" s="8" t="str">
        <f>HYPERLINK("https://twitter.com/Yuzri_Andrean","@Yuzri_Andrean")</f>
        <v>@Yuzri_Andrean</v>
      </c>
      <c r="C6857" s="8" t="s">
        <v>2178</v>
      </c>
      <c r="D6857" s="8">
        <v>18</v>
      </c>
      <c r="E6857" s="8">
        <v>0</v>
      </c>
      <c r="F6857" s="8">
        <v>737</v>
      </c>
    </row>
    <row r="6858" spans="1:6" ht="12.75">
      <c r="A6858" s="8">
        <v>43901.874560185184</v>
      </c>
      <c r="B6858" s="8" t="str">
        <f>HYPERLINK("https://twitter.com/wanderstruck__","@wanderstruck__")</f>
        <v>@wanderstruck__</v>
      </c>
      <c r="C6858" s="8" t="s">
        <v>2178</v>
      </c>
      <c r="D6858" s="8">
        <v>18</v>
      </c>
      <c r="E6858" s="8">
        <v>0</v>
      </c>
      <c r="F6858" s="8">
        <v>1246</v>
      </c>
    </row>
    <row r="6859" spans="1:6" ht="12.75">
      <c r="A6859" s="8">
        <v>43901.874560185184</v>
      </c>
      <c r="B6859" s="8" t="str">
        <f>HYPERLINK("https://twitter.com/sweetztrash","@sweetztrash")</f>
        <v>@sweetztrash</v>
      </c>
      <c r="C6859" s="8" t="s">
        <v>2178</v>
      </c>
      <c r="D6859" s="8">
        <v>18</v>
      </c>
      <c r="E6859" s="8">
        <v>0</v>
      </c>
      <c r="F6859" s="8">
        <v>168</v>
      </c>
    </row>
    <row r="6860" spans="1:6" ht="12.75">
      <c r="A6860" s="8">
        <v>43901.874201388884</v>
      </c>
      <c r="B6860" s="8" t="str">
        <f>HYPERLINK("https://twitter.com/chittaprrrr_10","@chittaprrrr_10")</f>
        <v>@chittaprrrr_10</v>
      </c>
      <c r="C6860" s="8" t="s">
        <v>2178</v>
      </c>
      <c r="D6860" s="8">
        <v>18</v>
      </c>
      <c r="E6860" s="8">
        <v>0</v>
      </c>
      <c r="F6860" s="8">
        <v>1360</v>
      </c>
    </row>
    <row r="6861" spans="1:6" ht="12.75">
      <c r="A6861" s="8">
        <v>43901.874027777776</v>
      </c>
      <c r="B6861" s="8" t="str">
        <f>HYPERLINK("https://twitter.com/umay_patria","@umay_patria")</f>
        <v>@umay_patria</v>
      </c>
      <c r="C6861" s="8" t="s">
        <v>3274</v>
      </c>
      <c r="D6861" s="8">
        <v>1</v>
      </c>
      <c r="E6861" s="8">
        <v>0</v>
      </c>
      <c r="F6861" s="8">
        <v>1155</v>
      </c>
    </row>
    <row r="6862" spans="1:6" ht="12.75">
      <c r="A6862" s="8">
        <v>43901.874016203699</v>
      </c>
      <c r="B6862" s="8" t="str">
        <f>HYPERLINK("https://twitter.com/annelis2311","@annelis2311")</f>
        <v>@annelis2311</v>
      </c>
      <c r="C6862" s="8" t="s">
        <v>1800</v>
      </c>
      <c r="D6862" s="8">
        <v>48</v>
      </c>
      <c r="E6862" s="8">
        <v>0</v>
      </c>
      <c r="F6862" s="8">
        <v>18</v>
      </c>
    </row>
    <row r="6863" spans="1:6" ht="12.75">
      <c r="A6863" s="8">
        <v>43901.873773148152</v>
      </c>
      <c r="B6863" s="8" t="str">
        <f>HYPERLINK("https://twitter.com/salmonstrange","@salmonstrange")</f>
        <v>@salmonstrange</v>
      </c>
      <c r="C6863" s="8" t="s">
        <v>3275</v>
      </c>
      <c r="D6863" s="8">
        <v>0</v>
      </c>
      <c r="E6863" s="8">
        <v>0</v>
      </c>
      <c r="F6863" s="8">
        <v>82</v>
      </c>
    </row>
    <row r="6864" spans="1:6" ht="12.75">
      <c r="A6864" s="8">
        <v>43901.873414351852</v>
      </c>
      <c r="B6864" s="8" t="str">
        <f>HYPERLINK("https://twitter.com/umay_patria","@umay_patria")</f>
        <v>@umay_patria</v>
      </c>
      <c r="C6864" s="8" t="s">
        <v>2872</v>
      </c>
      <c r="D6864" s="8">
        <v>5</v>
      </c>
      <c r="E6864" s="8">
        <v>0</v>
      </c>
      <c r="F6864" s="8">
        <v>1155</v>
      </c>
    </row>
    <row r="6865" spans="1:6" ht="12.75">
      <c r="A6865" s="8">
        <v>43901.873298611114</v>
      </c>
      <c r="B6865" s="8" t="str">
        <f>HYPERLINK("https://twitter.com/Kemlu_RI","@Kemlu_RI")</f>
        <v>@Kemlu_RI</v>
      </c>
      <c r="C6865" s="8" t="s">
        <v>3276</v>
      </c>
      <c r="D6865" s="8">
        <v>18</v>
      </c>
      <c r="E6865" s="8">
        <v>21</v>
      </c>
      <c r="F6865" s="8">
        <v>171349</v>
      </c>
    </row>
    <row r="6866" spans="1:6" ht="12.75">
      <c r="A6866" s="8">
        <v>43901.873067129629</v>
      </c>
      <c r="B6866" s="8" t="str">
        <f>HYPERLINK("https://twitter.com/MeyKarunia","@MeyKarunia")</f>
        <v>@MeyKarunia</v>
      </c>
      <c r="C6866" s="8" t="s">
        <v>2786</v>
      </c>
      <c r="D6866" s="8">
        <v>11</v>
      </c>
      <c r="E6866" s="8">
        <v>0</v>
      </c>
      <c r="F6866" s="8">
        <v>851</v>
      </c>
    </row>
    <row r="6867" spans="1:6" ht="12.75">
      <c r="A6867" s="8">
        <v>43901.872858796298</v>
      </c>
      <c r="B6867" s="8" t="str">
        <f>HYPERLINK("https://twitter.com/RepublikTweep","@RepublikTweep")</f>
        <v>@RepublikTweep</v>
      </c>
      <c r="C6867" s="8" t="s">
        <v>3277</v>
      </c>
      <c r="D6867" s="8">
        <v>1</v>
      </c>
      <c r="E6867" s="8">
        <v>0</v>
      </c>
      <c r="F6867" s="8">
        <v>27681</v>
      </c>
    </row>
    <row r="6868" spans="1:6" ht="12.75">
      <c r="A6868" s="8">
        <v>43901.872592592597</v>
      </c>
      <c r="B6868" s="8" t="str">
        <f>HYPERLINK("https://twitter.com/LaingenLisa","@LaingenLisa")</f>
        <v>@LaingenLisa</v>
      </c>
      <c r="C6868" s="8" t="s">
        <v>3121</v>
      </c>
      <c r="D6868" s="8">
        <v>5</v>
      </c>
      <c r="E6868" s="8">
        <v>0</v>
      </c>
      <c r="F6868" s="8">
        <v>3651</v>
      </c>
    </row>
    <row r="6869" spans="1:6" ht="12.75">
      <c r="A6869" s="8">
        <v>43901.872511574074</v>
      </c>
      <c r="B6869" s="8" t="str">
        <f>HYPERLINK("https://twitter.com/ccndrw","@ccndrw")</f>
        <v>@ccndrw</v>
      </c>
      <c r="C6869" s="8" t="s">
        <v>3121</v>
      </c>
      <c r="D6869" s="8">
        <v>5</v>
      </c>
      <c r="E6869" s="8">
        <v>0</v>
      </c>
      <c r="F6869" s="8">
        <v>29</v>
      </c>
    </row>
    <row r="6870" spans="1:6" ht="12.75">
      <c r="A6870" s="8">
        <v>43901.872094907405</v>
      </c>
      <c r="B6870" s="8" t="str">
        <f>HYPERLINK("https://twitter.com/xeepak1","@xeepak1")</f>
        <v>@xeepak1</v>
      </c>
      <c r="C6870" s="8" t="s">
        <v>3278</v>
      </c>
      <c r="D6870" s="8">
        <v>3</v>
      </c>
      <c r="E6870" s="8">
        <v>0</v>
      </c>
      <c r="F6870" s="8">
        <v>2598</v>
      </c>
    </row>
    <row r="6871" spans="1:6" ht="12.75">
      <c r="A6871" s="8">
        <v>43901.872037037036</v>
      </c>
      <c r="B6871" s="8" t="str">
        <f>HYPERLINK("https://twitter.com/Metro_TV","@Metro_TV")</f>
        <v>@Metro_TV</v>
      </c>
      <c r="C6871" s="8" t="s">
        <v>3279</v>
      </c>
      <c r="D6871" s="8">
        <v>5</v>
      </c>
      <c r="E6871" s="8">
        <v>7</v>
      </c>
      <c r="F6871" s="8">
        <v>10519288</v>
      </c>
    </row>
    <row r="6872" spans="1:6" ht="12.75">
      <c r="A6872" s="8">
        <v>43901.872013888889</v>
      </c>
      <c r="B6872" s="8" t="str">
        <f>HYPERLINK("https://twitter.com/Susinovvv4","@Susinovvv4")</f>
        <v>@Susinovvv4</v>
      </c>
      <c r="C6872" s="8" t="s">
        <v>1800</v>
      </c>
      <c r="D6872" s="8">
        <v>48</v>
      </c>
      <c r="E6872" s="8">
        <v>0</v>
      </c>
      <c r="F6872" s="8">
        <v>148</v>
      </c>
    </row>
    <row r="6873" spans="1:6" ht="12.75">
      <c r="A6873" s="8">
        <v>43901.871585648143</v>
      </c>
      <c r="B6873" s="8" t="str">
        <f>HYPERLINK("https://twitter.com/RenoTitin","@RenoTitin")</f>
        <v>@RenoTitin</v>
      </c>
      <c r="C6873" s="8" t="s">
        <v>3246</v>
      </c>
      <c r="D6873" s="8">
        <v>0</v>
      </c>
      <c r="E6873" s="8">
        <v>0</v>
      </c>
      <c r="F6873" s="8">
        <v>500</v>
      </c>
    </row>
    <row r="6874" spans="1:6" ht="12.75">
      <c r="A6874" s="8">
        <v>43901.870439814811</v>
      </c>
      <c r="B6874" s="8" t="str">
        <f>HYPERLINK("https://twitter.com/restirohhima","@restirohhima")</f>
        <v>@restirohhima</v>
      </c>
      <c r="C6874" s="8" t="s">
        <v>1800</v>
      </c>
      <c r="D6874" s="8">
        <v>48</v>
      </c>
      <c r="E6874" s="8">
        <v>0</v>
      </c>
      <c r="F6874" s="8">
        <v>34</v>
      </c>
    </row>
    <row r="6875" spans="1:6" ht="12.75">
      <c r="A6875" s="8">
        <v>43901.87027777778</v>
      </c>
      <c r="B6875" s="8" t="str">
        <f>HYPERLINK("https://twitter.com/BangBib4","@BangBib4")</f>
        <v>@BangBib4</v>
      </c>
      <c r="C6875" s="8" t="s">
        <v>3280</v>
      </c>
      <c r="D6875" s="8">
        <v>0</v>
      </c>
      <c r="E6875" s="8">
        <v>0</v>
      </c>
      <c r="F6875" s="8">
        <v>1155</v>
      </c>
    </row>
    <row r="6876" spans="1:6" ht="12.75">
      <c r="A6876" s="8">
        <v>43901.869594907403</v>
      </c>
      <c r="B6876" s="8" t="str">
        <f>HYPERLINK("https://twitter.com/andryaniade","@andryaniade")</f>
        <v>@andryaniade</v>
      </c>
      <c r="C6876" s="8" t="s">
        <v>3281</v>
      </c>
      <c r="D6876" s="8">
        <v>0</v>
      </c>
      <c r="E6876" s="8">
        <v>0</v>
      </c>
      <c r="F6876" s="8">
        <v>532</v>
      </c>
    </row>
    <row r="6877" spans="1:6" ht="12.75">
      <c r="A6877" s="8">
        <v>43901.869571759264</v>
      </c>
      <c r="B6877" s="8" t="str">
        <f>HYPERLINK("https://twitter.com/NininkAstha","@NininkAstha")</f>
        <v>@NininkAstha</v>
      </c>
      <c r="C6877" s="8" t="s">
        <v>3282</v>
      </c>
      <c r="D6877" s="8">
        <v>0</v>
      </c>
      <c r="E6877" s="8">
        <v>0</v>
      </c>
      <c r="F6877" s="8">
        <v>330</v>
      </c>
    </row>
    <row r="6878" spans="1:6" ht="12.75">
      <c r="A6878" s="8">
        <v>43901.869027777779</v>
      </c>
      <c r="B6878" s="8" t="str">
        <f>HYPERLINK("https://twitter.com/topinfo_id","@topinfo_id")</f>
        <v>@topinfo_id</v>
      </c>
      <c r="C6878" s="8" t="s">
        <v>3283</v>
      </c>
      <c r="D6878" s="8">
        <v>0</v>
      </c>
      <c r="E6878" s="8">
        <v>0</v>
      </c>
      <c r="F6878" s="8">
        <v>94</v>
      </c>
    </row>
    <row r="6879" spans="1:6" ht="12.75">
      <c r="A6879" s="8">
        <v>43901.868877314817</v>
      </c>
      <c r="B6879" s="8" t="str">
        <f>HYPERLINK("https://twitter.com/Farahrida4","@Farahrida4")</f>
        <v>@Farahrida4</v>
      </c>
      <c r="C6879" s="8" t="s">
        <v>3284</v>
      </c>
      <c r="D6879" s="8">
        <v>44</v>
      </c>
      <c r="E6879" s="8">
        <v>0</v>
      </c>
      <c r="F6879" s="8">
        <v>5</v>
      </c>
    </row>
    <row r="6880" spans="1:6" ht="12.75">
      <c r="A6880" s="8">
        <v>43901.868599537032</v>
      </c>
      <c r="B6880" s="8" t="str">
        <f>HYPERLINK("https://twitter.com/dev1lito","@dev1lito")</f>
        <v>@dev1lito</v>
      </c>
      <c r="C6880" s="8" t="s">
        <v>3285</v>
      </c>
      <c r="D6880" s="8">
        <v>183</v>
      </c>
      <c r="E6880" s="8">
        <v>0</v>
      </c>
      <c r="F6880" s="8">
        <v>58</v>
      </c>
    </row>
    <row r="6881" spans="1:6" ht="12.75">
      <c r="A6881" s="8">
        <v>43901.868159722224</v>
      </c>
      <c r="B6881" s="8" t="str">
        <f>HYPERLINK("https://twitter.com/SabrinaRamle","@SabrinaRamle")</f>
        <v>@SabrinaRamle</v>
      </c>
      <c r="C6881" s="8" t="s">
        <v>3286</v>
      </c>
      <c r="D6881" s="8">
        <v>0</v>
      </c>
      <c r="E6881" s="8">
        <v>0</v>
      </c>
      <c r="F6881" s="8">
        <v>161</v>
      </c>
    </row>
    <row r="6882" spans="1:6" ht="12.75">
      <c r="A6882" s="8">
        <v>43901.868113425924</v>
      </c>
      <c r="B6882" s="8" t="str">
        <f>HYPERLINK("https://twitter.com/umay_patria","@umay_patria")</f>
        <v>@umay_patria</v>
      </c>
      <c r="C6882" s="8" t="s">
        <v>2537</v>
      </c>
      <c r="D6882" s="8">
        <v>68</v>
      </c>
      <c r="E6882" s="8">
        <v>0</v>
      </c>
      <c r="F6882" s="8">
        <v>1155</v>
      </c>
    </row>
    <row r="6883" spans="1:6" ht="12.75">
      <c r="A6883" s="8">
        <v>43901.867997685185</v>
      </c>
      <c r="B6883" s="8" t="str">
        <f>HYPERLINK("https://twitter.com/lovepkAr77","@lovepkAr77")</f>
        <v>@lovepkAr77</v>
      </c>
      <c r="C6883" s="8" t="s">
        <v>3278</v>
      </c>
      <c r="D6883" s="8">
        <v>3</v>
      </c>
      <c r="E6883" s="8">
        <v>0</v>
      </c>
      <c r="F6883" s="8">
        <v>3725</v>
      </c>
    </row>
    <row r="6884" spans="1:6" ht="12.75">
      <c r="A6884" s="8">
        <v>43901.866747685184</v>
      </c>
      <c r="B6884" s="8" t="str">
        <f>HYPERLINK("https://twitter.com/Makatitabinnuh","@Makatitabinnuh")</f>
        <v>@Makatitabinnuh</v>
      </c>
      <c r="C6884" s="8" t="s">
        <v>318</v>
      </c>
      <c r="D6884" s="8">
        <v>1392</v>
      </c>
      <c r="E6884" s="8">
        <v>0</v>
      </c>
      <c r="F6884" s="8">
        <v>212</v>
      </c>
    </row>
    <row r="6885" spans="1:6" ht="12.75">
      <c r="A6885" s="8">
        <v>43901.865960648152</v>
      </c>
      <c r="B6885" s="8" t="str">
        <f>HYPERLINK("https://twitter.com/ixi_iman","@ixi_iman")</f>
        <v>@ixi_iman</v>
      </c>
      <c r="C6885" s="8" t="s">
        <v>3287</v>
      </c>
      <c r="D6885" s="8">
        <v>0</v>
      </c>
      <c r="E6885" s="8">
        <v>1</v>
      </c>
      <c r="F6885" s="8">
        <v>225</v>
      </c>
    </row>
    <row r="6886" spans="1:6" ht="12.75">
      <c r="A6886" s="8">
        <v>43901.865081018521</v>
      </c>
      <c r="B6886" s="8" t="str">
        <f>HYPERLINK("https://twitter.com/seruanhl","@seruanhl")</f>
        <v>@seruanhl</v>
      </c>
      <c r="C6886" s="8" t="s">
        <v>2715</v>
      </c>
      <c r="D6886" s="8">
        <v>63</v>
      </c>
      <c r="E6886" s="8">
        <v>0</v>
      </c>
      <c r="F6886" s="8">
        <v>13536</v>
      </c>
    </row>
    <row r="6887" spans="1:6" ht="12.75">
      <c r="A6887" s="8">
        <v>43901.864594907413</v>
      </c>
      <c r="B6887" s="8" t="str">
        <f>HYPERLINK("https://twitter.com/ayuuayus","@ayuuayus")</f>
        <v>@ayuuayus</v>
      </c>
      <c r="C6887" s="8" t="s">
        <v>2989</v>
      </c>
      <c r="D6887" s="8">
        <v>140</v>
      </c>
      <c r="E6887" s="8">
        <v>0</v>
      </c>
      <c r="F6887" s="8">
        <v>371</v>
      </c>
    </row>
    <row r="6888" spans="1:6" ht="12.75">
      <c r="A6888" s="8">
        <v>43901.864432870367</v>
      </c>
      <c r="B6888" s="8" t="str">
        <f>HYPERLINK("https://twitter.com/evisuryanti10","@evisuryanti10")</f>
        <v>@evisuryanti10</v>
      </c>
      <c r="C6888" s="8" t="s">
        <v>3288</v>
      </c>
      <c r="D6888" s="8">
        <v>0</v>
      </c>
      <c r="E6888" s="8">
        <v>0</v>
      </c>
      <c r="F6888" s="8">
        <v>4396</v>
      </c>
    </row>
    <row r="6889" spans="1:6" ht="12.75">
      <c r="A6889" s="8">
        <v>43901.863969907412</v>
      </c>
      <c r="B6889" s="8" t="str">
        <f>HYPERLINK("https://twitter.com/ronavioleta","@ronavioleta")</f>
        <v>@ronavioleta</v>
      </c>
      <c r="C6889" s="8" t="s">
        <v>2872</v>
      </c>
      <c r="D6889" s="8">
        <v>5</v>
      </c>
      <c r="E6889" s="8">
        <v>0</v>
      </c>
      <c r="F6889" s="8">
        <v>56734</v>
      </c>
    </row>
    <row r="6890" spans="1:6" ht="12.75">
      <c r="A6890" s="8">
        <v>43901.863726851851</v>
      </c>
      <c r="B6890" s="8" t="str">
        <f>HYPERLINK("https://twitter.com/lovepkAr77","@lovepkAr77")</f>
        <v>@lovepkAr77</v>
      </c>
      <c r="C6890" s="8" t="s">
        <v>3289</v>
      </c>
      <c r="D6890" s="8">
        <v>1</v>
      </c>
      <c r="E6890" s="8">
        <v>0</v>
      </c>
      <c r="F6890" s="8">
        <v>3725</v>
      </c>
    </row>
    <row r="6891" spans="1:6" ht="12.75">
      <c r="A6891" s="8">
        <v>43901.863634259258</v>
      </c>
      <c r="B6891" s="8" t="str">
        <f>HYPERLINK("https://twitter.com/isis_janelle","@isis_janelle")</f>
        <v>@isis_janelle</v>
      </c>
      <c r="C6891" s="8" t="s">
        <v>3290</v>
      </c>
      <c r="D6891" s="8">
        <v>0</v>
      </c>
      <c r="E6891" s="8">
        <v>1</v>
      </c>
      <c r="F6891" s="8">
        <v>83</v>
      </c>
    </row>
    <row r="6892" spans="1:6" ht="12.75">
      <c r="A6892" s="8">
        <v>43901.863634259258</v>
      </c>
      <c r="B6892" s="8" t="str">
        <f>HYPERLINK("https://twitter.com/bagja_azhari","@bagja_azhari")</f>
        <v>@bagja_azhari</v>
      </c>
      <c r="C6892" s="8" t="s">
        <v>3291</v>
      </c>
      <c r="D6892" s="8">
        <v>0</v>
      </c>
      <c r="E6892" s="8">
        <v>0</v>
      </c>
      <c r="F6892" s="8">
        <v>319</v>
      </c>
    </row>
    <row r="6893" spans="1:6" ht="12.75">
      <c r="A6893" s="8">
        <v>43901.863356481481</v>
      </c>
      <c r="B6893" s="8" t="str">
        <f>HYPERLINK("https://twitter.com/lovepkAr77","@lovepkAr77")</f>
        <v>@lovepkAr77</v>
      </c>
      <c r="C6893" s="8" t="s">
        <v>3292</v>
      </c>
      <c r="D6893" s="8">
        <v>2</v>
      </c>
      <c r="E6893" s="8">
        <v>0</v>
      </c>
      <c r="F6893" s="8">
        <v>3725</v>
      </c>
    </row>
    <row r="6894" spans="1:6" ht="12.75">
      <c r="A6894" s="8">
        <v>43901.863078703704</v>
      </c>
      <c r="B6894" s="8" t="str">
        <f>HYPERLINK("https://twitter.com/RaHidMatOdang","@RaHidMatOdang")</f>
        <v>@RaHidMatOdang</v>
      </c>
      <c r="C6894" s="8" t="s">
        <v>318</v>
      </c>
      <c r="D6894" s="8">
        <v>1392</v>
      </c>
      <c r="E6894" s="8">
        <v>0</v>
      </c>
      <c r="F6894" s="8">
        <v>107</v>
      </c>
    </row>
    <row r="6895" spans="1:6" ht="12.75">
      <c r="A6895" s="8">
        <v>43901.862858796296</v>
      </c>
      <c r="B6895" s="8" t="str">
        <f>HYPERLINK("https://twitter.com/AlexIsk30961012","@AlexIsk30961012")</f>
        <v>@AlexIsk30961012</v>
      </c>
      <c r="C6895" s="8" t="s">
        <v>3293</v>
      </c>
      <c r="D6895" s="8">
        <v>0</v>
      </c>
      <c r="E6895" s="8">
        <v>0</v>
      </c>
      <c r="F6895" s="8">
        <v>14</v>
      </c>
    </row>
    <row r="6896" spans="1:6" ht="12.75">
      <c r="A6896" s="8">
        <v>43901.86273148148</v>
      </c>
      <c r="B6896" s="8" t="str">
        <f>HYPERLINK("https://twitter.com/ardi_galih21","@ardi_galih21")</f>
        <v>@ardi_galih21</v>
      </c>
      <c r="C6896" s="8" t="s">
        <v>3294</v>
      </c>
      <c r="D6896" s="8">
        <v>0</v>
      </c>
      <c r="E6896" s="8">
        <v>0</v>
      </c>
      <c r="F6896" s="8">
        <v>1553</v>
      </c>
    </row>
    <row r="6897" spans="1:6" ht="12.75">
      <c r="A6897" s="8">
        <v>43901.861631944441</v>
      </c>
      <c r="B6897" s="8" t="str">
        <f>HYPERLINK("https://twitter.com/nrqorieb","@nrqorieb")</f>
        <v>@nrqorieb</v>
      </c>
      <c r="C6897" s="8" t="s">
        <v>3295</v>
      </c>
      <c r="D6897" s="8">
        <v>0</v>
      </c>
      <c r="E6897" s="8">
        <v>0</v>
      </c>
      <c r="F6897" s="8">
        <v>416</v>
      </c>
    </row>
    <row r="6898" spans="1:6" ht="12.75">
      <c r="A6898" s="8">
        <v>43901.860949074078</v>
      </c>
      <c r="B6898" s="8" t="str">
        <f>HYPERLINK("https://twitter.com/aan9920","@aan9920")</f>
        <v>@aan9920</v>
      </c>
      <c r="C6898" s="8" t="s">
        <v>3296</v>
      </c>
      <c r="D6898" s="8">
        <v>0</v>
      </c>
      <c r="E6898" s="8">
        <v>0</v>
      </c>
      <c r="F6898" s="8">
        <v>1728</v>
      </c>
    </row>
    <row r="6899" spans="1:6" ht="12.75">
      <c r="A6899" s="8">
        <v>43901.860717592594</v>
      </c>
      <c r="B6899" s="8" t="str">
        <f>HYPERLINK("https://twitter.com/aammeenngg","@aammeenngg")</f>
        <v>@aammeenngg</v>
      </c>
      <c r="C6899" s="8" t="s">
        <v>3297</v>
      </c>
      <c r="D6899" s="8">
        <v>0</v>
      </c>
      <c r="E6899" s="8">
        <v>1</v>
      </c>
      <c r="F6899" s="8">
        <v>8</v>
      </c>
    </row>
    <row r="6900" spans="1:6" ht="12.75">
      <c r="A6900" s="8">
        <v>43901.860636574071</v>
      </c>
      <c r="B6900" s="8" t="str">
        <f>HYPERLINK("https://twitter.com/Mahameru2015","@Mahameru2015")</f>
        <v>@Mahameru2015</v>
      </c>
      <c r="C6900" s="8" t="s">
        <v>2537</v>
      </c>
      <c r="D6900" s="8">
        <v>68</v>
      </c>
      <c r="E6900" s="8">
        <v>0</v>
      </c>
      <c r="F6900" s="8">
        <v>1578</v>
      </c>
    </row>
    <row r="6901" spans="1:6" ht="12.75">
      <c r="A6901" s="8">
        <v>43901.860497685186</v>
      </c>
      <c r="B6901" s="8" t="str">
        <f>HYPERLINK("https://twitter.com/Bobby4574676035","@Bobby4574676035")</f>
        <v>@Bobby4574676035</v>
      </c>
      <c r="C6901" s="8" t="s">
        <v>318</v>
      </c>
      <c r="D6901" s="8">
        <v>1392</v>
      </c>
      <c r="E6901" s="8">
        <v>0</v>
      </c>
      <c r="F6901" s="8">
        <v>268</v>
      </c>
    </row>
    <row r="6902" spans="1:6" ht="12.75">
      <c r="A6902" s="8">
        <v>43901.86042824074</v>
      </c>
      <c r="B6902" s="8" t="str">
        <f>HYPERLINK("https://twitter.com/deteriotare","@deteriotare")</f>
        <v>@deteriotare</v>
      </c>
      <c r="C6902" s="8" t="s">
        <v>3298</v>
      </c>
      <c r="D6902" s="8">
        <v>39</v>
      </c>
      <c r="E6902" s="8">
        <v>0</v>
      </c>
      <c r="F6902" s="8">
        <v>227</v>
      </c>
    </row>
    <row r="6903" spans="1:6" ht="12.75">
      <c r="A6903" s="8">
        <v>43901.860347222224</v>
      </c>
      <c r="B6903" s="8" t="str">
        <f>HYPERLINK("https://twitter.com/4dysuryanugraha","@4dysuryanugraha")</f>
        <v>@4dysuryanugraha</v>
      </c>
      <c r="C6903" s="8" t="s">
        <v>2942</v>
      </c>
      <c r="D6903" s="8">
        <v>26</v>
      </c>
      <c r="E6903" s="8">
        <v>0</v>
      </c>
      <c r="F6903" s="8">
        <v>140</v>
      </c>
    </row>
    <row r="6904" spans="1:6" ht="12.75">
      <c r="A6904" s="8">
        <v>43901.859583333338</v>
      </c>
      <c r="B6904" s="8" t="str">
        <f>HYPERLINK("https://twitter.com/NurazizaShima","@NurazizaShima")</f>
        <v>@NurazizaShima</v>
      </c>
      <c r="C6904" s="8" t="s">
        <v>3292</v>
      </c>
      <c r="D6904" s="8">
        <v>2</v>
      </c>
      <c r="E6904" s="8">
        <v>0</v>
      </c>
      <c r="F6904" s="8">
        <v>739</v>
      </c>
    </row>
    <row r="6905" spans="1:6" ht="12.75">
      <c r="A6905" s="8">
        <v>43901.859201388885</v>
      </c>
      <c r="B6905" s="8" t="str">
        <f>HYPERLINK("https://twitter.com/anugraharminaa","@anugraharminaa")</f>
        <v>@anugraharminaa</v>
      </c>
      <c r="C6905" s="8" t="s">
        <v>3299</v>
      </c>
      <c r="D6905" s="8">
        <v>0</v>
      </c>
      <c r="E6905" s="8">
        <v>0</v>
      </c>
      <c r="F6905" s="8">
        <v>297</v>
      </c>
    </row>
    <row r="6906" spans="1:6" ht="12.75">
      <c r="A6906" s="8">
        <v>43901.859189814815</v>
      </c>
      <c r="B6906" s="8" t="str">
        <f>HYPERLINK("https://twitter.com/velsshit","@velsshit")</f>
        <v>@velsshit</v>
      </c>
      <c r="C6906" s="8" t="s">
        <v>3300</v>
      </c>
      <c r="D6906" s="8">
        <v>0</v>
      </c>
      <c r="E6906" s="8">
        <v>0</v>
      </c>
      <c r="F6906" s="8">
        <v>2428</v>
      </c>
    </row>
    <row r="6907" spans="1:6" ht="12.75">
      <c r="A6907" s="8">
        <v>43901.859074074076</v>
      </c>
      <c r="B6907" s="8" t="str">
        <f>HYPERLINK("https://twitter.com/Pusatsemestamu","@Pusatsemestamu")</f>
        <v>@Pusatsemestamu</v>
      </c>
      <c r="C6907" s="8" t="s">
        <v>3301</v>
      </c>
      <c r="D6907" s="8">
        <v>0</v>
      </c>
      <c r="E6907" s="8">
        <v>0</v>
      </c>
      <c r="F6907" s="8">
        <v>31</v>
      </c>
    </row>
    <row r="6908" spans="1:6" ht="12.75">
      <c r="A6908" s="8">
        <v>43901.859027777777</v>
      </c>
      <c r="B6908" s="8" t="str">
        <f>HYPERLINK("https://twitter.com/BadriaNaila","@BadriaNaila")</f>
        <v>@BadriaNaila</v>
      </c>
      <c r="C6908" s="8" t="s">
        <v>3246</v>
      </c>
      <c r="D6908" s="8">
        <v>2</v>
      </c>
      <c r="E6908" s="8">
        <v>0</v>
      </c>
      <c r="F6908" s="8">
        <v>554</v>
      </c>
    </row>
    <row r="6909" spans="1:6" ht="12.75">
      <c r="A6909" s="8">
        <v>43901.858958333338</v>
      </c>
      <c r="B6909" s="8" t="str">
        <f>HYPERLINK("https://twitter.com/indomediaco","@indomediaco")</f>
        <v>@indomediaco</v>
      </c>
      <c r="C6909" s="8" t="s">
        <v>3302</v>
      </c>
      <c r="D6909" s="8">
        <v>0</v>
      </c>
      <c r="E6909" s="8">
        <v>0</v>
      </c>
      <c r="F6909" s="8">
        <v>17</v>
      </c>
    </row>
    <row r="6910" spans="1:6" ht="12.75">
      <c r="A6910" s="8">
        <v>43901.858726851853</v>
      </c>
      <c r="B6910" s="8" t="str">
        <f>HYPERLINK("https://twitter.com/diahdoank1505","@diahdoank1505")</f>
        <v>@diahdoank1505</v>
      </c>
      <c r="C6910" s="8" t="s">
        <v>318</v>
      </c>
      <c r="D6910" s="8">
        <v>1392</v>
      </c>
      <c r="E6910" s="8">
        <v>0</v>
      </c>
      <c r="F6910" s="8">
        <v>27</v>
      </c>
    </row>
    <row r="6911" spans="1:6" ht="12.75">
      <c r="A6911" s="8">
        <v>43901.85836805556</v>
      </c>
      <c r="B6911" s="8" t="str">
        <f>HYPERLINK("https://twitter.com/vivapurnama","@vivapurnama")</f>
        <v>@vivapurnama</v>
      </c>
      <c r="C6911" s="8" t="s">
        <v>3119</v>
      </c>
      <c r="D6911" s="8">
        <v>3</v>
      </c>
      <c r="E6911" s="8">
        <v>0</v>
      </c>
      <c r="F6911" s="8">
        <v>484</v>
      </c>
    </row>
    <row r="6912" spans="1:6" ht="12.75">
      <c r="A6912" s="8">
        <v>43901.858333333337</v>
      </c>
      <c r="B6912" s="8" t="str">
        <f>HYPERLINK("https://twitter.com/IdoCaur","@IdoCaur")</f>
        <v>@IdoCaur</v>
      </c>
      <c r="C6912" s="8" t="s">
        <v>3246</v>
      </c>
      <c r="D6912" s="8">
        <v>1</v>
      </c>
      <c r="E6912" s="8">
        <v>0</v>
      </c>
      <c r="F6912" s="8">
        <v>620</v>
      </c>
    </row>
    <row r="6913" spans="1:6" ht="12.75">
      <c r="A6913" s="8">
        <v>43901.85802083333</v>
      </c>
      <c r="B6913" s="8" t="str">
        <f>HYPERLINK("https://twitter.com/jktobservernews","@jktobservernews")</f>
        <v>@jktobservernews</v>
      </c>
      <c r="C6913" s="8" t="s">
        <v>3303</v>
      </c>
      <c r="D6913" s="8">
        <v>0</v>
      </c>
      <c r="E6913" s="8">
        <v>0</v>
      </c>
      <c r="F6913" s="8">
        <v>40</v>
      </c>
    </row>
    <row r="6914" spans="1:6" ht="12.75">
      <c r="A6914" s="8">
        <v>43901.857835648145</v>
      </c>
      <c r="B6914" s="8" t="str">
        <f>HYPERLINK("https://twitter.com/Girinaldi3","@Girinaldi3")</f>
        <v>@Girinaldi3</v>
      </c>
      <c r="C6914" s="8" t="s">
        <v>1186</v>
      </c>
      <c r="D6914" s="8">
        <v>398</v>
      </c>
      <c r="E6914" s="8">
        <v>0</v>
      </c>
      <c r="F6914" s="8">
        <v>442</v>
      </c>
    </row>
    <row r="6915" spans="1:6" ht="12.75">
      <c r="A6915" s="8">
        <v>43901.857581018514</v>
      </c>
      <c r="B6915" s="8" t="str">
        <f>HYPERLINK("https://twitter.com/ziaprayitno","@ziaprayitno")</f>
        <v>@ziaprayitno</v>
      </c>
      <c r="C6915" s="8" t="s">
        <v>1810</v>
      </c>
      <c r="D6915" s="8">
        <v>2</v>
      </c>
      <c r="E6915" s="8">
        <v>0</v>
      </c>
      <c r="F6915" s="8">
        <v>347</v>
      </c>
    </row>
    <row r="6916" spans="1:6" ht="12.75">
      <c r="A6916" s="8">
        <v>43901.857569444444</v>
      </c>
      <c r="B6916" s="8" t="str">
        <f>HYPERLINK("https://twitter.com/Hendro25062486","@Hendro25062486")</f>
        <v>@Hendro25062486</v>
      </c>
      <c r="C6916" s="8" t="s">
        <v>318</v>
      </c>
      <c r="D6916" s="8">
        <v>1392</v>
      </c>
      <c r="E6916" s="8">
        <v>0</v>
      </c>
      <c r="F6916" s="8">
        <v>171</v>
      </c>
    </row>
    <row r="6917" spans="1:6" ht="12.75">
      <c r="A6917" s="8">
        <v>43901.857430555552</v>
      </c>
      <c r="B6917" s="8" t="str">
        <f>HYPERLINK("https://twitter.com/vikiadinugraha","@vikiadinugraha")</f>
        <v>@vikiadinugraha</v>
      </c>
      <c r="C6917" s="8" t="s">
        <v>3304</v>
      </c>
      <c r="D6917" s="8">
        <v>0</v>
      </c>
      <c r="E6917" s="8">
        <v>1</v>
      </c>
      <c r="F6917" s="8">
        <v>280</v>
      </c>
    </row>
    <row r="6918" spans="1:6" ht="12.75">
      <c r="A6918" s="8">
        <v>43901.857025462959</v>
      </c>
      <c r="B6918" s="8" t="str">
        <f>HYPERLINK("https://twitter.com/kang_professor","@kang_professor")</f>
        <v>@kang_professor</v>
      </c>
      <c r="C6918" s="8" t="s">
        <v>1186</v>
      </c>
      <c r="D6918" s="8">
        <v>398</v>
      </c>
      <c r="E6918" s="8">
        <v>0</v>
      </c>
      <c r="F6918" s="8">
        <v>8</v>
      </c>
    </row>
    <row r="6919" spans="1:6" ht="12.75">
      <c r="A6919" s="8">
        <v>43901.85665509259</v>
      </c>
      <c r="B6919" s="8" t="str">
        <f>HYPERLINK("https://twitter.com/noturtypicalbae","@noturtypicalbae")</f>
        <v>@noturtypicalbae</v>
      </c>
      <c r="C6919" s="8" t="s">
        <v>3305</v>
      </c>
      <c r="D6919" s="8">
        <v>0</v>
      </c>
      <c r="E6919" s="8">
        <v>0</v>
      </c>
      <c r="F6919" s="8">
        <v>1281</v>
      </c>
    </row>
    <row r="6920" spans="1:6" ht="12.75">
      <c r="A6920" s="8">
        <v>43901.85664351852</v>
      </c>
      <c r="B6920" s="8" t="str">
        <f>HYPERLINK("https://twitter.com/Imigrasi_Kediri","@Imigrasi_Kediri")</f>
        <v>@Imigrasi_Kediri</v>
      </c>
      <c r="C6920" s="8" t="s">
        <v>2629</v>
      </c>
      <c r="D6920" s="8">
        <v>5</v>
      </c>
      <c r="E6920" s="8">
        <v>0</v>
      </c>
      <c r="F6920" s="8">
        <v>1057</v>
      </c>
    </row>
    <row r="6921" spans="1:6" ht="12.75">
      <c r="A6921" s="8">
        <v>43901.856053240743</v>
      </c>
      <c r="B6921" s="8" t="str">
        <f>HYPERLINK("https://twitter.com/Mordechai1972","@Mordechai1972")</f>
        <v>@Mordechai1972</v>
      </c>
      <c r="C6921" s="8" t="s">
        <v>1801</v>
      </c>
      <c r="D6921" s="8">
        <v>327</v>
      </c>
      <c r="E6921" s="8">
        <v>0</v>
      </c>
      <c r="F6921" s="8">
        <v>59</v>
      </c>
    </row>
    <row r="6922" spans="1:6" ht="12.75">
      <c r="A6922" s="8">
        <v>43901.855405092589</v>
      </c>
      <c r="B6922" s="8" t="str">
        <f>HYPERLINK("https://twitter.com/safetravelkemlu","@safetravelkemlu")</f>
        <v>@safetravelkemlu</v>
      </c>
      <c r="C6922" s="8" t="s">
        <v>1810</v>
      </c>
      <c r="D6922" s="8">
        <v>2</v>
      </c>
      <c r="E6922" s="8">
        <v>0</v>
      </c>
      <c r="F6922" s="8">
        <v>790</v>
      </c>
    </row>
    <row r="6923" spans="1:6" ht="12.75">
      <c r="A6923" s="8">
        <v>43901.854398148149</v>
      </c>
      <c r="B6923" s="8" t="str">
        <f>HYPERLINK("https://twitter.com/hilyatul_afifah","@hilyatul_afifah")</f>
        <v>@hilyatul_afifah</v>
      </c>
      <c r="C6923" s="8" t="s">
        <v>3306</v>
      </c>
      <c r="D6923" s="8">
        <v>1</v>
      </c>
      <c r="E6923" s="8">
        <v>0</v>
      </c>
      <c r="F6923" s="8">
        <v>367</v>
      </c>
    </row>
    <row r="6924" spans="1:6" ht="12.75">
      <c r="A6924" s="8">
        <v>43901.854108796295</v>
      </c>
      <c r="B6924" s="8" t="str">
        <f>HYPERLINK("https://twitter.com/riyadh_kbri","@riyadh_kbri")</f>
        <v>@riyadh_kbri</v>
      </c>
      <c r="C6924" s="8" t="s">
        <v>3307</v>
      </c>
      <c r="D6924" s="8">
        <v>2</v>
      </c>
      <c r="E6924" s="8">
        <v>2</v>
      </c>
      <c r="F6924" s="8">
        <v>2384</v>
      </c>
    </row>
    <row r="6925" spans="1:6" ht="12.75">
      <c r="A6925" s="8">
        <v>43901.83997685185</v>
      </c>
      <c r="B6925" s="8" t="str">
        <f>HYPERLINK("https://twitter.com/ISIS_Balik_NO","@ISIS_Balik_NO")</f>
        <v>@ISIS_Balik_NO</v>
      </c>
      <c r="C6925" s="8" t="s">
        <v>3308</v>
      </c>
      <c r="D6925" s="8">
        <v>0</v>
      </c>
      <c r="E6925" s="8">
        <v>0</v>
      </c>
      <c r="F6925" s="8">
        <v>6238</v>
      </c>
    </row>
    <row r="6926" spans="1:6" ht="12.75">
      <c r="A6926" s="8">
        <v>43901.83997685185</v>
      </c>
      <c r="B6926" s="8" t="str">
        <f>HYPERLINK("https://twitter.com/Ogutz27","@Ogutz27")</f>
        <v>@Ogutz27</v>
      </c>
      <c r="C6926" s="8" t="s">
        <v>1801</v>
      </c>
      <c r="D6926" s="8">
        <v>325</v>
      </c>
      <c r="E6926" s="8">
        <v>0</v>
      </c>
      <c r="F6926" s="8">
        <v>128</v>
      </c>
    </row>
    <row r="6927" spans="1:6" ht="12.75">
      <c r="A6927" s="8">
        <v>43901.839849537035</v>
      </c>
      <c r="B6927" s="8" t="str">
        <f>HYPERLINK("https://twitter.com/Qraybatavia3","@Qraybatavia3")</f>
        <v>@Qraybatavia3</v>
      </c>
      <c r="C6927" s="8" t="s">
        <v>318</v>
      </c>
      <c r="D6927" s="8">
        <v>1382</v>
      </c>
      <c r="E6927" s="8">
        <v>0</v>
      </c>
      <c r="F6927" s="8">
        <v>301</v>
      </c>
    </row>
    <row r="6928" spans="1:6" ht="12.75">
      <c r="A6928" s="8">
        <v>43901.839814814812</v>
      </c>
      <c r="B6928" s="8" t="str">
        <f>HYPERLINK("https://twitter.com/tarudin215","@tarudin215")</f>
        <v>@tarudin215</v>
      </c>
      <c r="C6928" s="8" t="s">
        <v>3266</v>
      </c>
      <c r="D6928" s="8">
        <v>1</v>
      </c>
      <c r="E6928" s="8">
        <v>0</v>
      </c>
      <c r="F6928" s="8">
        <v>181</v>
      </c>
    </row>
    <row r="6929" spans="1:6" ht="12.75">
      <c r="A6929" s="8">
        <v>43901.839479166665</v>
      </c>
      <c r="B6929" s="8" t="str">
        <f>HYPERLINK("https://twitter.com/jovizky","@jovizky")</f>
        <v>@jovizky</v>
      </c>
      <c r="C6929" s="8" t="s">
        <v>318</v>
      </c>
      <c r="D6929" s="8">
        <v>1382</v>
      </c>
      <c r="E6929" s="8">
        <v>0</v>
      </c>
      <c r="F6929" s="8">
        <v>240</v>
      </c>
    </row>
    <row r="6930" spans="1:6" ht="12.75">
      <c r="A6930" s="8">
        <v>43901.839398148149</v>
      </c>
      <c r="B6930" s="8" t="str">
        <f>HYPERLINK("https://twitter.com/Qraybatavia3","@Qraybatavia3")</f>
        <v>@Qraybatavia3</v>
      </c>
      <c r="C6930" s="8" t="s">
        <v>1186</v>
      </c>
      <c r="D6930" s="8">
        <v>391</v>
      </c>
      <c r="E6930" s="8">
        <v>0</v>
      </c>
      <c r="F6930" s="8">
        <v>301</v>
      </c>
    </row>
    <row r="6931" spans="1:6" ht="12.75">
      <c r="A6931" s="8">
        <v>43901.83898148148</v>
      </c>
      <c r="B6931" s="8" t="str">
        <f>HYPERLINK("https://twitter.com/KongReds","@KongReds")</f>
        <v>@KongReds</v>
      </c>
      <c r="C6931" s="8" t="s">
        <v>3309</v>
      </c>
      <c r="D6931" s="8">
        <v>0</v>
      </c>
      <c r="E6931" s="8">
        <v>0</v>
      </c>
      <c r="F6931" s="8">
        <v>1115</v>
      </c>
    </row>
    <row r="6932" spans="1:6" ht="12.75">
      <c r="A6932" s="8">
        <v>43901.838969907403</v>
      </c>
      <c r="B6932" s="8" t="str">
        <f>HYPERLINK("https://twitter.com/woodzydn","@woodzydn")</f>
        <v>@woodzydn</v>
      </c>
      <c r="C6932" s="8" t="s">
        <v>3310</v>
      </c>
      <c r="D6932" s="8">
        <v>0</v>
      </c>
      <c r="E6932" s="8">
        <v>0</v>
      </c>
      <c r="F6932" s="8">
        <v>205</v>
      </c>
    </row>
    <row r="6933" spans="1:6" ht="12.75">
      <c r="A6933" s="8">
        <v>43901.838958333334</v>
      </c>
      <c r="B6933" s="8" t="str">
        <f>HYPERLINK("https://twitter.com/Joko70904583","@Joko70904583")</f>
        <v>@Joko70904583</v>
      </c>
      <c r="C6933" s="8" t="s">
        <v>3311</v>
      </c>
      <c r="D6933" s="8">
        <v>0</v>
      </c>
      <c r="E6933" s="8">
        <v>0</v>
      </c>
      <c r="F6933" s="8">
        <v>1</v>
      </c>
    </row>
    <row r="6934" spans="1:6" ht="12.75">
      <c r="A6934" s="8">
        <v>43901.838842592595</v>
      </c>
      <c r="B6934" s="8" t="str">
        <f>HYPERLINK("https://twitter.com/APalestin42","@APalestin42")</f>
        <v>@APalestin42</v>
      </c>
      <c r="C6934" s="8" t="s">
        <v>3312</v>
      </c>
      <c r="D6934" s="8">
        <v>0</v>
      </c>
      <c r="E6934" s="8">
        <v>0</v>
      </c>
      <c r="F6934" s="8">
        <v>301</v>
      </c>
    </row>
    <row r="6935" spans="1:6" ht="12.75">
      <c r="A6935" s="8">
        <v>43901.838703703703</v>
      </c>
      <c r="B6935" s="8" t="str">
        <f>HYPERLINK("https://twitter.com/Maswiro3","@Maswiro3")</f>
        <v>@Maswiro3</v>
      </c>
      <c r="C6935" s="8" t="s">
        <v>1186</v>
      </c>
      <c r="D6935" s="8">
        <v>391</v>
      </c>
      <c r="E6935" s="8">
        <v>0</v>
      </c>
      <c r="F6935" s="8">
        <v>1671</v>
      </c>
    </row>
    <row r="6936" spans="1:6" ht="12.75">
      <c r="A6936" s="8">
        <v>43901.838530092587</v>
      </c>
      <c r="B6936" s="8" t="str">
        <f>HYPERLINK("https://twitter.com/ajipaf","@ajipaf")</f>
        <v>@ajipaf</v>
      </c>
      <c r="C6936" s="8" t="s">
        <v>2989</v>
      </c>
      <c r="D6936" s="8">
        <v>139</v>
      </c>
      <c r="E6936" s="8">
        <v>0</v>
      </c>
      <c r="F6936" s="8">
        <v>750</v>
      </c>
    </row>
    <row r="6937" spans="1:6" ht="12.75">
      <c r="A6937" s="8">
        <v>43901.836898148147</v>
      </c>
      <c r="B6937" s="8" t="str">
        <f>HYPERLINK("https://twitter.com/amalial59210614","@amalial59210614")</f>
        <v>@amalial59210614</v>
      </c>
      <c r="C6937" s="8" t="s">
        <v>3125</v>
      </c>
      <c r="D6937" s="8">
        <v>5</v>
      </c>
      <c r="E6937" s="8">
        <v>0</v>
      </c>
      <c r="F6937" s="8">
        <v>279</v>
      </c>
    </row>
    <row r="6938" spans="1:6" ht="12.75">
      <c r="A6938" s="8">
        <v>43901.836550925931</v>
      </c>
      <c r="B6938" s="8" t="str">
        <f>HYPERLINK("https://twitter.com/GR00777","@GR00777")</f>
        <v>@GR00777</v>
      </c>
      <c r="C6938" s="8" t="s">
        <v>3125</v>
      </c>
      <c r="D6938" s="8">
        <v>5</v>
      </c>
      <c r="E6938" s="8">
        <v>0</v>
      </c>
      <c r="F6938" s="8">
        <v>12211</v>
      </c>
    </row>
    <row r="6939" spans="1:6" ht="12.75">
      <c r="A6939" s="8">
        <v>43901.836516203708</v>
      </c>
      <c r="B6939" s="8" t="str">
        <f>HYPERLINK("https://twitter.com/Joko70904583","@Joko70904583")</f>
        <v>@Joko70904583</v>
      </c>
      <c r="C6939" s="8" t="s">
        <v>3313</v>
      </c>
      <c r="D6939" s="8">
        <v>0</v>
      </c>
      <c r="E6939" s="8">
        <v>0</v>
      </c>
      <c r="F6939" s="8">
        <v>1</v>
      </c>
    </row>
    <row r="6940" spans="1:6" ht="12.75">
      <c r="A6940" s="8">
        <v>43901.836030092592</v>
      </c>
      <c r="B6940" s="8" t="str">
        <f>HYPERLINK("https://twitter.com/Remy_martin051","@Remy_martin051")</f>
        <v>@Remy_martin051</v>
      </c>
      <c r="C6940" s="8" t="s">
        <v>2715</v>
      </c>
      <c r="D6940" s="8">
        <v>61</v>
      </c>
      <c r="E6940" s="8">
        <v>0</v>
      </c>
      <c r="F6940" s="8">
        <v>465</v>
      </c>
    </row>
    <row r="6941" spans="1:6" ht="12.75">
      <c r="A6941" s="8">
        <v>43901.83592592593</v>
      </c>
      <c r="B6941" s="8" t="str">
        <f>HYPERLINK("https://twitter.com/_wni_","@_wni_")</f>
        <v>@_wni_</v>
      </c>
      <c r="C6941" s="8" t="s">
        <v>3314</v>
      </c>
      <c r="D6941" s="8">
        <v>43</v>
      </c>
      <c r="E6941" s="8">
        <v>0</v>
      </c>
      <c r="F6941" s="8">
        <v>22</v>
      </c>
    </row>
    <row r="6942" spans="1:6" ht="12.75">
      <c r="A6942" s="8">
        <v>43901.835798611108</v>
      </c>
      <c r="B6942" s="8" t="str">
        <f>HYPERLINK("https://twitter.com/amalial59210614","@amalial59210614")</f>
        <v>@amalial59210614</v>
      </c>
      <c r="C6942" s="8" t="s">
        <v>3315</v>
      </c>
      <c r="D6942" s="8">
        <v>3</v>
      </c>
      <c r="E6942" s="8">
        <v>0</v>
      </c>
      <c r="F6942" s="8">
        <v>279</v>
      </c>
    </row>
    <row r="6943" spans="1:6" ht="12.75">
      <c r="A6943" s="8">
        <v>43901.835613425923</v>
      </c>
      <c r="B6943" s="8" t="str">
        <f>HYPERLINK("https://twitter.com/Anggi_Purtami","@Anggi_Purtami")</f>
        <v>@Anggi_Purtami</v>
      </c>
      <c r="C6943" s="8" t="s">
        <v>3316</v>
      </c>
      <c r="D6943" s="8">
        <v>0</v>
      </c>
      <c r="E6943" s="8">
        <v>0</v>
      </c>
      <c r="F6943" s="8">
        <v>652</v>
      </c>
    </row>
    <row r="6944" spans="1:6" ht="12.75">
      <c r="A6944" s="8">
        <v>43901.835335648153</v>
      </c>
      <c r="B6944" s="8" t="str">
        <f>HYPERLINK("https://twitter.com/Kurrniario","@Kurrniario")</f>
        <v>@Kurrniario</v>
      </c>
      <c r="C6944" s="8" t="s">
        <v>3317</v>
      </c>
      <c r="D6944" s="8">
        <v>13</v>
      </c>
      <c r="E6944" s="8">
        <v>0</v>
      </c>
      <c r="F6944" s="8">
        <v>488</v>
      </c>
    </row>
    <row r="6945" spans="1:6" ht="12.75">
      <c r="A6945" s="8">
        <v>43901.834872685184</v>
      </c>
      <c r="B6945" s="8" t="str">
        <f>HYPERLINK("https://twitter.com/JosuAmlcarEsca2","@JosuAmlcarEsca2")</f>
        <v>@JosuAmlcarEsca2</v>
      </c>
      <c r="C6945" s="8" t="s">
        <v>3318</v>
      </c>
      <c r="D6945" s="8">
        <v>0</v>
      </c>
      <c r="E6945" s="8">
        <v>0</v>
      </c>
      <c r="F6945" s="8">
        <v>1</v>
      </c>
    </row>
    <row r="6946" spans="1:6" ht="12.75">
      <c r="A6946" s="8">
        <v>43901.834652777776</v>
      </c>
      <c r="B6946" s="8" t="str">
        <f>HYPERLINK("https://twitter.com/GR00777","@GR00777")</f>
        <v>@GR00777</v>
      </c>
      <c r="C6946" s="8" t="s">
        <v>3315</v>
      </c>
      <c r="D6946" s="8">
        <v>3</v>
      </c>
      <c r="E6946" s="8">
        <v>0</v>
      </c>
      <c r="F6946" s="8">
        <v>12211</v>
      </c>
    </row>
    <row r="6947" spans="1:6" ht="12.75">
      <c r="A6947" s="8">
        <v>43901.834340277783</v>
      </c>
      <c r="B6947" s="8" t="str">
        <f>HYPERLINK("https://twitter.com/natankaharu","@natankaharu")</f>
        <v>@natankaharu</v>
      </c>
      <c r="C6947" s="8" t="s">
        <v>1800</v>
      </c>
      <c r="D6947" s="8">
        <v>38</v>
      </c>
      <c r="E6947" s="8">
        <v>0</v>
      </c>
      <c r="F6947" s="8">
        <v>922</v>
      </c>
    </row>
    <row r="6948" spans="1:6" ht="12.75">
      <c r="A6948" s="8">
        <v>43901.834178240737</v>
      </c>
      <c r="B6948" s="8" t="str">
        <f>HYPERLINK("https://twitter.com/linalintanajib","@linalintanajib")</f>
        <v>@linalintanajib</v>
      </c>
      <c r="C6948" s="8" t="s">
        <v>2790</v>
      </c>
      <c r="D6948" s="8">
        <v>242</v>
      </c>
      <c r="E6948" s="8">
        <v>0</v>
      </c>
      <c r="F6948" s="8">
        <v>17</v>
      </c>
    </row>
    <row r="6949" spans="1:6" ht="12.75">
      <c r="A6949" s="8">
        <v>43901.834027777775</v>
      </c>
      <c r="B6949" s="8" t="str">
        <f>HYPERLINK("https://twitter.com/_azamh","@_azamh")</f>
        <v>@_azamh</v>
      </c>
      <c r="C6949" s="8" t="s">
        <v>3319</v>
      </c>
      <c r="D6949" s="8">
        <v>2</v>
      </c>
      <c r="E6949" s="8">
        <v>0</v>
      </c>
      <c r="F6949" s="8">
        <v>289</v>
      </c>
    </row>
    <row r="6950" spans="1:6" ht="12.75">
      <c r="A6950" s="8">
        <v>43901.833923611106</v>
      </c>
      <c r="B6950" s="8" t="str">
        <f>HYPERLINK("https://twitter.com/wiendini","@wiendini")</f>
        <v>@wiendini</v>
      </c>
      <c r="C6950" s="8" t="s">
        <v>3320</v>
      </c>
      <c r="D6950" s="8">
        <v>0</v>
      </c>
      <c r="E6950" s="8">
        <v>0</v>
      </c>
      <c r="F6950" s="8">
        <v>473</v>
      </c>
    </row>
    <row r="6951" spans="1:6" ht="12.75">
      <c r="A6951" s="8">
        <v>43901.833483796298</v>
      </c>
      <c r="B6951" s="8" t="str">
        <f>HYPERLINK("https://twitter.com/nur_sakinahhs","@nur_sakinahhs")</f>
        <v>@nur_sakinahhs</v>
      </c>
      <c r="C6951" s="8" t="s">
        <v>2989</v>
      </c>
      <c r="D6951" s="8">
        <v>139</v>
      </c>
      <c r="E6951" s="8">
        <v>0</v>
      </c>
      <c r="F6951" s="8">
        <v>585</v>
      </c>
    </row>
    <row r="6952" spans="1:6" ht="12.75">
      <c r="A6952" s="8">
        <v>43901.833425925928</v>
      </c>
      <c r="B6952" s="8" t="str">
        <f>HYPERLINK("https://twitter.com/qnafess","@qnafess")</f>
        <v>@qnafess</v>
      </c>
      <c r="C6952" s="8" t="s">
        <v>3321</v>
      </c>
      <c r="D6952" s="8">
        <v>0</v>
      </c>
      <c r="E6952" s="8">
        <v>0</v>
      </c>
      <c r="F6952" s="8">
        <v>67442</v>
      </c>
    </row>
    <row r="6953" spans="1:6" ht="12.75">
      <c r="A6953" s="8">
        <v>43901.833414351851</v>
      </c>
      <c r="B6953" s="8" t="str">
        <f>HYPERLINK("https://twitter.com/sapi_imut","@sapi_imut")</f>
        <v>@sapi_imut</v>
      </c>
      <c r="C6953" s="8" t="s">
        <v>104</v>
      </c>
      <c r="D6953" s="8">
        <v>115</v>
      </c>
      <c r="E6953" s="8">
        <v>0</v>
      </c>
      <c r="F6953" s="8">
        <v>225</v>
      </c>
    </row>
    <row r="6954" spans="1:6" ht="12.75">
      <c r="A6954" s="8">
        <v>43901.832673611112</v>
      </c>
      <c r="B6954" s="8" t="str">
        <f>HYPERLINK("https://twitter.com/agustinasst","@agustinasst")</f>
        <v>@agustinasst</v>
      </c>
      <c r="C6954" s="8" t="s">
        <v>3322</v>
      </c>
      <c r="D6954" s="8">
        <v>0</v>
      </c>
      <c r="E6954" s="8">
        <v>0</v>
      </c>
      <c r="F6954" s="8">
        <v>395</v>
      </c>
    </row>
    <row r="6955" spans="1:6" ht="12.75">
      <c r="A6955" s="8">
        <v>43901.83258101852</v>
      </c>
      <c r="B6955" s="8" t="str">
        <f>HYPERLINK("https://twitter.com/DDRezhaa","@DDRezhaa")</f>
        <v>@DDRezhaa</v>
      </c>
      <c r="C6955" s="8" t="s">
        <v>318</v>
      </c>
      <c r="D6955" s="8">
        <v>1382</v>
      </c>
      <c r="E6955" s="8">
        <v>0</v>
      </c>
      <c r="F6955" s="8">
        <v>25784</v>
      </c>
    </row>
    <row r="6956" spans="1:6" ht="12.75">
      <c r="A6956" s="8">
        <v>43901.832511574074</v>
      </c>
      <c r="B6956" s="8" t="str">
        <f>HYPERLINK("https://twitter.com/MaryamAleya","@MaryamAleya")</f>
        <v>@MaryamAleya</v>
      </c>
      <c r="C6956" s="8" t="s">
        <v>3315</v>
      </c>
      <c r="D6956" s="8">
        <v>3</v>
      </c>
      <c r="E6956" s="8">
        <v>0</v>
      </c>
      <c r="F6956" s="8">
        <v>1660</v>
      </c>
    </row>
    <row r="6957" spans="1:6" ht="12.75">
      <c r="A6957" s="8">
        <v>43901.832083333335</v>
      </c>
      <c r="B6957" s="8" t="str">
        <f>HYPERLINK("https://twitter.com/LeLucky77","@LeLucky77")</f>
        <v>@LeLucky77</v>
      </c>
      <c r="C6957" s="8" t="s">
        <v>3323</v>
      </c>
      <c r="D6957" s="8">
        <v>0</v>
      </c>
      <c r="E6957" s="8">
        <v>2</v>
      </c>
      <c r="F6957" s="8">
        <v>52</v>
      </c>
    </row>
    <row r="6958" spans="1:6" ht="12.75">
      <c r="A6958" s="8">
        <v>43901.832083333335</v>
      </c>
      <c r="B6958" s="8" t="str">
        <f>HYPERLINK("https://twitter.com/salsasasmita","@salsasasmita")</f>
        <v>@salsasasmita</v>
      </c>
      <c r="C6958" s="8" t="s">
        <v>2790</v>
      </c>
      <c r="D6958" s="8">
        <v>242</v>
      </c>
      <c r="E6958" s="8">
        <v>0</v>
      </c>
      <c r="F6958" s="8">
        <v>303</v>
      </c>
    </row>
    <row r="6959" spans="1:6" ht="12.75">
      <c r="A6959" s="8">
        <v>43901.831770833334</v>
      </c>
      <c r="B6959" s="8" t="str">
        <f>HYPERLINK("https://twitter.com/hwangyseu","@hwangyseu")</f>
        <v>@hwangyseu</v>
      </c>
      <c r="C6959" s="8" t="s">
        <v>3324</v>
      </c>
      <c r="D6959" s="8">
        <v>0</v>
      </c>
      <c r="E6959" s="8">
        <v>0</v>
      </c>
      <c r="F6959" s="8">
        <v>196</v>
      </c>
    </row>
    <row r="6960" spans="1:6" ht="12.75">
      <c r="A6960" s="8">
        <v>43901.831423611111</v>
      </c>
      <c r="B6960" s="8" t="str">
        <f>HYPERLINK("https://twitter.com/asmanadia","@asmanadia")</f>
        <v>@asmanadia</v>
      </c>
      <c r="C6960" s="8" t="s">
        <v>3325</v>
      </c>
      <c r="D6960" s="8">
        <v>1</v>
      </c>
      <c r="E6960" s="8">
        <v>5</v>
      </c>
      <c r="F6960" s="8">
        <v>814074</v>
      </c>
    </row>
    <row r="6961" spans="1:6" ht="12.75">
      <c r="A6961" s="8">
        <v>43901.830821759257</v>
      </c>
      <c r="B6961" s="8" t="str">
        <f>HYPERLINK("https://twitter.com/ga_migaa","@ga_migaa")</f>
        <v>@ga_migaa</v>
      </c>
      <c r="C6961" s="8" t="s">
        <v>3326</v>
      </c>
      <c r="D6961" s="8">
        <v>0</v>
      </c>
      <c r="E6961" s="8">
        <v>0</v>
      </c>
      <c r="F6961" s="8">
        <v>770</v>
      </c>
    </row>
    <row r="6962" spans="1:6" ht="12.75">
      <c r="A6962" s="8">
        <v>43901.830266203702</v>
      </c>
      <c r="B6962" s="8" t="str">
        <f>HYPERLINK("https://twitter.com/astri4ndini","@astri4ndini")</f>
        <v>@astri4ndini</v>
      </c>
      <c r="C6962" s="8" t="s">
        <v>3246</v>
      </c>
      <c r="D6962" s="8">
        <v>3</v>
      </c>
      <c r="E6962" s="8">
        <v>2</v>
      </c>
      <c r="F6962" s="8">
        <v>1975</v>
      </c>
    </row>
    <row r="6963" spans="1:6" ht="12.75">
      <c r="A6963" s="8">
        <v>43901.829976851848</v>
      </c>
      <c r="B6963" s="8" t="str">
        <f>HYPERLINK("https://twitter.com/umaremania87","@umaremania87")</f>
        <v>@umaremania87</v>
      </c>
      <c r="C6963" s="8" t="s">
        <v>1800</v>
      </c>
      <c r="D6963" s="8">
        <v>38</v>
      </c>
      <c r="E6963" s="8">
        <v>0</v>
      </c>
      <c r="F6963" s="8">
        <v>312</v>
      </c>
    </row>
    <row r="6964" spans="1:6" ht="12.75">
      <c r="A6964" s="8">
        <v>43901.829895833333</v>
      </c>
      <c r="B6964" s="8" t="str">
        <f>HYPERLINK("https://twitter.com/astraloka","@astraloka")</f>
        <v>@astraloka</v>
      </c>
      <c r="C6964" s="8" t="s">
        <v>3327</v>
      </c>
      <c r="D6964" s="8">
        <v>0</v>
      </c>
      <c r="E6964" s="8">
        <v>0</v>
      </c>
      <c r="F6964" s="8">
        <v>29</v>
      </c>
    </row>
    <row r="6965" spans="1:6" ht="12.75">
      <c r="A6965" s="8">
        <v>43901.829062500001</v>
      </c>
      <c r="B6965" s="8" t="str">
        <f>HYPERLINK("https://twitter.com/MaryamAleya","@MaryamAleya")</f>
        <v>@MaryamAleya</v>
      </c>
      <c r="C6965" s="8" t="s">
        <v>3125</v>
      </c>
      <c r="D6965" s="8">
        <v>5</v>
      </c>
      <c r="E6965" s="8">
        <v>0</v>
      </c>
      <c r="F6965" s="8">
        <v>1660</v>
      </c>
    </row>
    <row r="6966" spans="1:6" ht="12.75">
      <c r="A6966" s="8">
        <v>43901.82885416667</v>
      </c>
      <c r="B6966" s="8" t="str">
        <f>HYPERLINK("https://twitter.com/risky_Ex3","@risky_Ex3")</f>
        <v>@risky_Ex3</v>
      </c>
      <c r="C6966" s="8" t="s">
        <v>3125</v>
      </c>
      <c r="D6966" s="8">
        <v>5</v>
      </c>
      <c r="E6966" s="8">
        <v>0</v>
      </c>
      <c r="F6966" s="8">
        <v>2208</v>
      </c>
    </row>
    <row r="6967" spans="1:6" ht="12.75">
      <c r="A6967" s="8">
        <v>43901.82885416667</v>
      </c>
      <c r="B6967" s="8" t="str">
        <f>HYPERLINK("https://twitter.com/BullahSahib110","@BullahSahib110")</f>
        <v>@BullahSahib110</v>
      </c>
      <c r="C6967" s="8" t="s">
        <v>3125</v>
      </c>
      <c r="D6967" s="8">
        <v>5</v>
      </c>
      <c r="E6967" s="8">
        <v>0</v>
      </c>
      <c r="F6967" s="8">
        <v>3246</v>
      </c>
    </row>
    <row r="6968" spans="1:6" ht="12.75">
      <c r="A6968" s="8">
        <v>43901.828784722224</v>
      </c>
      <c r="B6968" s="8" t="str">
        <f>HYPERLINK("https://twitter.com/anjingkau93","@anjingkau93")</f>
        <v>@anjingkau93</v>
      </c>
      <c r="C6968" s="8" t="s">
        <v>1800</v>
      </c>
      <c r="D6968" s="8">
        <v>38</v>
      </c>
      <c r="E6968" s="8">
        <v>0</v>
      </c>
      <c r="F6968" s="8">
        <v>1</v>
      </c>
    </row>
    <row r="6969" spans="1:6" ht="12.75">
      <c r="A6969" s="8">
        <v>43901.828506944439</v>
      </c>
      <c r="B6969" s="8" t="str">
        <f>HYPERLINK("https://twitter.com/MaryamAleya","@MaryamAleya")</f>
        <v>@MaryamAleya</v>
      </c>
      <c r="C6969" s="8" t="s">
        <v>3246</v>
      </c>
      <c r="D6969" s="8">
        <v>5</v>
      </c>
      <c r="E6969" s="8">
        <v>2</v>
      </c>
      <c r="F6969" s="8">
        <v>1660</v>
      </c>
    </row>
    <row r="6970" spans="1:6" ht="12.75">
      <c r="A6970" s="8">
        <v>43901.828472222223</v>
      </c>
      <c r="B6970" s="8" t="str">
        <f>HYPERLINK("https://twitter.com/Imigrasi_BPP","@Imigrasi_BPP")</f>
        <v>@Imigrasi_BPP</v>
      </c>
      <c r="C6970" s="8" t="s">
        <v>2709</v>
      </c>
      <c r="D6970" s="8">
        <v>0</v>
      </c>
      <c r="E6970" s="8">
        <v>0</v>
      </c>
      <c r="F6970" s="8">
        <v>209</v>
      </c>
    </row>
    <row r="6971" spans="1:6" ht="12.75">
      <c r="A6971" s="8">
        <v>43901.827685185184</v>
      </c>
      <c r="B6971" s="8" t="str">
        <f>HYPERLINK("https://twitter.com/AhlulbaitBooks","@AhlulbaitBooks")</f>
        <v>@AhlulbaitBooks</v>
      </c>
      <c r="C6971" s="8" t="s">
        <v>3328</v>
      </c>
      <c r="D6971" s="8">
        <v>0</v>
      </c>
      <c r="E6971" s="8">
        <v>1</v>
      </c>
      <c r="F6971" s="8">
        <v>2549</v>
      </c>
    </row>
    <row r="6972" spans="1:6" ht="12.75">
      <c r="A6972" s="8">
        <v>43901.827557870369</v>
      </c>
      <c r="B6972" s="8" t="str">
        <f>HYPERLINK("https://twitter.com/FajarFi37784941","@FajarFi37784941")</f>
        <v>@FajarFi37784941</v>
      </c>
      <c r="C6972" s="8" t="s">
        <v>318</v>
      </c>
      <c r="D6972" s="8">
        <v>1382</v>
      </c>
      <c r="E6972" s="8">
        <v>0</v>
      </c>
      <c r="F6972" s="8">
        <v>17</v>
      </c>
    </row>
    <row r="6973" spans="1:6" ht="12.75">
      <c r="A6973" s="8">
        <v>43901.827407407407</v>
      </c>
      <c r="B6973" s="8" t="str">
        <f>HYPERLINK("https://twitter.com/nabilfa99","@nabilfa99")</f>
        <v>@nabilfa99</v>
      </c>
      <c r="C6973" s="8" t="s">
        <v>3329</v>
      </c>
      <c r="D6973" s="8">
        <v>0</v>
      </c>
      <c r="E6973" s="8">
        <v>0</v>
      </c>
      <c r="F6973" s="8">
        <v>40</v>
      </c>
    </row>
    <row r="6974" spans="1:6" ht="12.75">
      <c r="A6974" s="8">
        <v>43901.825960648144</v>
      </c>
      <c r="B6974" s="8" t="str">
        <f>HYPERLINK("https://twitter.com/camartiga","@camartiga")</f>
        <v>@camartiga</v>
      </c>
      <c r="C6974" s="8" t="s">
        <v>1186</v>
      </c>
      <c r="D6974" s="8">
        <v>391</v>
      </c>
      <c r="E6974" s="8">
        <v>0</v>
      </c>
      <c r="F6974" s="8">
        <v>197</v>
      </c>
    </row>
    <row r="6975" spans="1:6" ht="12.75">
      <c r="A6975" s="8">
        <v>43901.825474537036</v>
      </c>
      <c r="B6975" s="8" t="str">
        <f>HYPERLINK("https://twitter.com/FEBRI69929210","@FEBRI69929210")</f>
        <v>@FEBRI69929210</v>
      </c>
      <c r="C6975" s="8" t="s">
        <v>3330</v>
      </c>
      <c r="D6975" s="8">
        <v>0</v>
      </c>
      <c r="E6975" s="8">
        <v>1</v>
      </c>
      <c r="F6975" s="8">
        <v>2</v>
      </c>
    </row>
    <row r="6976" spans="1:6" ht="12.75">
      <c r="A6976" s="8">
        <v>43901.825138888889</v>
      </c>
      <c r="B6976" s="8" t="str">
        <f>HYPERLINK("https://twitter.com/andyjayajaya","@andyjayajaya")</f>
        <v>@andyjayajaya</v>
      </c>
      <c r="C6976" s="8" t="s">
        <v>318</v>
      </c>
      <c r="D6976" s="8">
        <v>1382</v>
      </c>
      <c r="E6976" s="8">
        <v>0</v>
      </c>
      <c r="F6976" s="8">
        <v>1196</v>
      </c>
    </row>
    <row r="6977" spans="1:6" ht="12.75">
      <c r="A6977" s="8">
        <v>43901.824918981481</v>
      </c>
      <c r="B6977" s="8" t="str">
        <f>HYPERLINK("https://twitter.com/tresnnr","@tresnnr")</f>
        <v>@tresnnr</v>
      </c>
      <c r="C6977" s="8" t="s">
        <v>3331</v>
      </c>
      <c r="D6977" s="8">
        <v>0</v>
      </c>
      <c r="E6977" s="8">
        <v>0</v>
      </c>
      <c r="F6977" s="8">
        <v>71</v>
      </c>
    </row>
    <row r="6978" spans="1:6" ht="12.75">
      <c r="A6978" s="8">
        <v>43901.824571759258</v>
      </c>
      <c r="B6978" s="8" t="str">
        <f>HYPERLINK("https://twitter.com/godswant","@godswant")</f>
        <v>@godswant</v>
      </c>
      <c r="C6978" s="8" t="s">
        <v>3332</v>
      </c>
      <c r="D6978" s="8">
        <v>0</v>
      </c>
      <c r="E6978" s="8">
        <v>0</v>
      </c>
      <c r="F6978" s="8">
        <v>3</v>
      </c>
    </row>
    <row r="6979" spans="1:6" ht="12.75">
      <c r="A6979" s="8">
        <v>43901.824282407411</v>
      </c>
      <c r="B6979" s="8" t="str">
        <f>HYPERLINK("https://twitter.com/antoni11724","@antoni11724")</f>
        <v>@antoni11724</v>
      </c>
      <c r="C6979" s="8" t="s">
        <v>3062</v>
      </c>
      <c r="D6979" s="8">
        <v>2</v>
      </c>
      <c r="E6979" s="8">
        <v>0</v>
      </c>
      <c r="F6979" s="8">
        <v>60</v>
      </c>
    </row>
    <row r="6980" spans="1:6" ht="12.75">
      <c r="A6980" s="8">
        <v>43901.823831018519</v>
      </c>
      <c r="B6980" s="8" t="str">
        <f>HYPERLINK("https://twitter.com/rizkysmpl","@rizkysmpl")</f>
        <v>@rizkysmpl</v>
      </c>
      <c r="C6980" s="8" t="s">
        <v>2790</v>
      </c>
      <c r="D6980" s="8">
        <v>242</v>
      </c>
      <c r="E6980" s="8">
        <v>0</v>
      </c>
      <c r="F6980" s="8">
        <v>47</v>
      </c>
    </row>
    <row r="6981" spans="1:6" ht="12.75">
      <c r="A6981" s="8">
        <v>43901.823344907403</v>
      </c>
      <c r="B6981" s="8" t="str">
        <f>HYPERLINK("https://twitter.com/dirasyukriaa","@dirasyukriaa")</f>
        <v>@dirasyukriaa</v>
      </c>
      <c r="C6981" s="8" t="s">
        <v>3333</v>
      </c>
      <c r="D6981" s="8">
        <v>0</v>
      </c>
      <c r="E6981" s="8">
        <v>0</v>
      </c>
      <c r="F6981" s="8">
        <v>510</v>
      </c>
    </row>
    <row r="6982" spans="1:6" ht="12.75">
      <c r="A6982" s="8">
        <v>43901.822222222225</v>
      </c>
      <c r="B6982" s="8" t="str">
        <f>HYPERLINK("https://twitter.com/Emman_Djh","@Emman_Djh")</f>
        <v>@Emman_Djh</v>
      </c>
      <c r="C6982" s="8" t="s">
        <v>295</v>
      </c>
      <c r="D6982" s="8">
        <v>84</v>
      </c>
      <c r="E6982" s="8">
        <v>0</v>
      </c>
      <c r="F6982" s="8">
        <v>35</v>
      </c>
    </row>
    <row r="6983" spans="1:6" ht="12.75">
      <c r="A6983" s="8">
        <v>43901.821863425925</v>
      </c>
      <c r="B6983" s="8" t="str">
        <f>HYPERLINK("https://twitter.com/ayoyogyacom","@ayoyogyacom")</f>
        <v>@ayoyogyacom</v>
      </c>
      <c r="C6983" s="8" t="s">
        <v>3334</v>
      </c>
      <c r="D6983" s="8">
        <v>0</v>
      </c>
      <c r="E6983" s="8">
        <v>0</v>
      </c>
      <c r="F6983" s="8">
        <v>37</v>
      </c>
    </row>
    <row r="6984" spans="1:6" ht="12.75">
      <c r="A6984" s="8">
        <v>43901.821238425924</v>
      </c>
      <c r="B6984" s="8" t="str">
        <f>HYPERLINK("https://twitter.com/flyhighalll","@flyhighalll")</f>
        <v>@flyhighalll</v>
      </c>
      <c r="C6984" s="8" t="s">
        <v>2790</v>
      </c>
      <c r="D6984" s="8">
        <v>242</v>
      </c>
      <c r="E6984" s="8">
        <v>0</v>
      </c>
      <c r="F6984" s="8">
        <v>262</v>
      </c>
    </row>
    <row r="6985" spans="1:6" ht="12.75">
      <c r="A6985" s="8">
        <v>43901.820833333331</v>
      </c>
      <c r="B6985" s="8" t="str">
        <f>HYPERLINK("https://twitter.com/healthyliveID","@healthyliveID")</f>
        <v>@healthyliveID</v>
      </c>
      <c r="C6985" s="8" t="s">
        <v>3335</v>
      </c>
      <c r="D6985" s="8">
        <v>0</v>
      </c>
      <c r="E6985" s="8">
        <v>0</v>
      </c>
      <c r="F6985" s="8">
        <v>45103</v>
      </c>
    </row>
    <row r="6986" spans="1:6" ht="12.75">
      <c r="A6986" s="8">
        <v>43901.819930555561</v>
      </c>
      <c r="B6986" s="8" t="str">
        <f>HYPERLINK("https://twitter.com/bffb300aff02425","@bffb300aff02425")</f>
        <v>@bffb300aff02425</v>
      </c>
      <c r="C6986" s="8" t="s">
        <v>3336</v>
      </c>
      <c r="D6986" s="8">
        <v>0</v>
      </c>
      <c r="E6986" s="8">
        <v>0</v>
      </c>
      <c r="F6986" s="8">
        <v>519</v>
      </c>
    </row>
    <row r="6987" spans="1:6" ht="12.75">
      <c r="A6987" s="8">
        <v>43901.819421296299</v>
      </c>
      <c r="B6987" s="8" t="str">
        <f>HYPERLINK("https://twitter.com/yolooo0_","@yolooo0_")</f>
        <v>@yolooo0_</v>
      </c>
      <c r="C6987" s="8" t="s">
        <v>3337</v>
      </c>
      <c r="D6987" s="8">
        <v>0</v>
      </c>
      <c r="E6987" s="8">
        <v>0</v>
      </c>
      <c r="F6987" s="8">
        <v>176</v>
      </c>
    </row>
    <row r="6988" spans="1:6" ht="12.75">
      <c r="A6988" s="8">
        <v>43901.819398148145</v>
      </c>
      <c r="B6988" s="8" t="str">
        <f>HYPERLINK("https://twitter.com/conyothi","@conyothi")</f>
        <v>@conyothi</v>
      </c>
      <c r="C6988" s="8" t="s">
        <v>3338</v>
      </c>
      <c r="D6988" s="8">
        <v>0</v>
      </c>
      <c r="E6988" s="8">
        <v>0</v>
      </c>
      <c r="F6988" s="8">
        <v>244</v>
      </c>
    </row>
    <row r="6989" spans="1:6" ht="12.75">
      <c r="A6989" s="8">
        <v>43901.819050925929</v>
      </c>
      <c r="B6989" s="8" t="str">
        <f>HYPERLINK("https://twitter.com/nazleazle","@nazleazle")</f>
        <v>@nazleazle</v>
      </c>
      <c r="C6989" s="8" t="s">
        <v>2790</v>
      </c>
      <c r="D6989" s="8">
        <v>242</v>
      </c>
      <c r="E6989" s="8">
        <v>0</v>
      </c>
      <c r="F6989" s="8">
        <v>499</v>
      </c>
    </row>
    <row r="6990" spans="1:6" ht="12.75">
      <c r="A6990" s="8">
        <v>43901.819016203706</v>
      </c>
      <c r="B6990" s="8" t="str">
        <f>HYPERLINK("https://twitter.com/aisyah28157838","@aisyah28157838")</f>
        <v>@aisyah28157838</v>
      </c>
      <c r="C6990" s="8" t="s">
        <v>1186</v>
      </c>
      <c r="D6990" s="8">
        <v>391</v>
      </c>
      <c r="E6990" s="8">
        <v>0</v>
      </c>
      <c r="F6990" s="8">
        <v>463</v>
      </c>
    </row>
    <row r="6991" spans="1:6" ht="12.75">
      <c r="A6991" s="8">
        <v>43901.818888888884</v>
      </c>
      <c r="B6991" s="8" t="str">
        <f>HYPERLINK("https://twitter.com/pranavkarnik","@pranavkarnik")</f>
        <v>@pranavkarnik</v>
      </c>
      <c r="C6991" s="8" t="s">
        <v>1957</v>
      </c>
      <c r="D6991" s="8">
        <v>1495</v>
      </c>
      <c r="E6991" s="8">
        <v>0</v>
      </c>
      <c r="F6991" s="8">
        <v>159</v>
      </c>
    </row>
    <row r="6992" spans="1:6" ht="12.75">
      <c r="A6992" s="8">
        <v>43901.818877314814</v>
      </c>
      <c r="B6992" s="8" t="str">
        <f>HYPERLINK("https://twitter.com/KBRI_Kuwait","@KBRI_Kuwait")</f>
        <v>@KBRI_Kuwait</v>
      </c>
      <c r="C6992" s="8" t="s">
        <v>3339</v>
      </c>
      <c r="D6992" s="8">
        <v>0</v>
      </c>
      <c r="E6992" s="8">
        <v>0</v>
      </c>
      <c r="F6992" s="8">
        <v>2595</v>
      </c>
    </row>
    <row r="6993" spans="1:6" ht="12.75">
      <c r="A6993" s="8">
        <v>43901.817094907412</v>
      </c>
      <c r="B6993" s="8" t="str">
        <f>HYPERLINK("https://twitter.com/viewneral","@viewneral")</f>
        <v>@viewneral</v>
      </c>
      <c r="C6993" s="8" t="s">
        <v>3340</v>
      </c>
      <c r="D6993" s="8">
        <v>0</v>
      </c>
      <c r="E6993" s="8">
        <v>1</v>
      </c>
      <c r="F6993" s="8">
        <v>92</v>
      </c>
    </row>
    <row r="6994" spans="1:6" ht="12.75">
      <c r="A6994" s="8">
        <v>43901.817083333328</v>
      </c>
      <c r="B6994" s="8" t="str">
        <f>HYPERLINK("https://twitter.com/priBUMI_DATAR","@priBUMI_DATAR")</f>
        <v>@priBUMI_DATAR</v>
      </c>
      <c r="C6994" s="8" t="s">
        <v>2989</v>
      </c>
      <c r="D6994" s="8">
        <v>139</v>
      </c>
      <c r="E6994" s="8">
        <v>0</v>
      </c>
      <c r="F6994" s="8">
        <v>211</v>
      </c>
    </row>
    <row r="6995" spans="1:6" ht="12.75">
      <c r="A6995" s="8">
        <v>43901.81653935185</v>
      </c>
      <c r="B6995" s="8" t="str">
        <f>HYPERLINK("https://twitter.com/itsroni4u","@itsroni4u")</f>
        <v>@itsroni4u</v>
      </c>
      <c r="C6995" s="8" t="s">
        <v>3341</v>
      </c>
      <c r="D6995" s="8">
        <v>0</v>
      </c>
      <c r="E6995" s="8">
        <v>0</v>
      </c>
      <c r="F6995" s="8">
        <v>47</v>
      </c>
    </row>
    <row r="6996" spans="1:6" ht="12.75">
      <c r="A6996" s="8">
        <v>43901.816041666665</v>
      </c>
      <c r="B6996" s="8" t="str">
        <f>HYPERLINK("https://twitter.com/Erinurlaeli4","@Erinurlaeli4")</f>
        <v>@Erinurlaeli4</v>
      </c>
      <c r="C6996" s="8" t="s">
        <v>3342</v>
      </c>
      <c r="D6996" s="8">
        <v>0</v>
      </c>
      <c r="E6996" s="8">
        <v>0</v>
      </c>
      <c r="F6996" s="8">
        <v>95</v>
      </c>
    </row>
    <row r="6997" spans="1:6" ht="12.75">
      <c r="A6997" s="8">
        <v>43901.814664351856</v>
      </c>
      <c r="B6997" s="8" t="str">
        <f>HYPERLINK("https://twitter.com/budirahmat06","@budirahmat06")</f>
        <v>@budirahmat06</v>
      </c>
      <c r="C6997" s="8" t="s">
        <v>3343</v>
      </c>
      <c r="D6997" s="8">
        <v>0</v>
      </c>
      <c r="E6997" s="8">
        <v>1</v>
      </c>
      <c r="F6997" s="8">
        <v>2</v>
      </c>
    </row>
    <row r="6998" spans="1:6" ht="12.75">
      <c r="A6998" s="8">
        <v>43901.814571759256</v>
      </c>
      <c r="B6998" s="8" t="str">
        <f>HYPERLINK("https://twitter.com/peleTANPA_r","@peleTANPA_r")</f>
        <v>@peleTANPA_r</v>
      </c>
      <c r="C6998" s="8" t="s">
        <v>3344</v>
      </c>
      <c r="D6998" s="8">
        <v>0</v>
      </c>
      <c r="E6998" s="8">
        <v>0</v>
      </c>
      <c r="F6998" s="8">
        <v>2314</v>
      </c>
    </row>
    <row r="6999" spans="1:6" ht="12.75">
      <c r="A6999" s="8">
        <v>43901.813784722224</v>
      </c>
      <c r="B6999" s="8" t="str">
        <f>HYPERLINK("https://twitter.com/cakbrewok","@cakbrewok")</f>
        <v>@cakbrewok</v>
      </c>
      <c r="C6999" s="8" t="s">
        <v>3345</v>
      </c>
      <c r="D6999" s="8">
        <v>1</v>
      </c>
      <c r="E6999" s="8">
        <v>0</v>
      </c>
      <c r="F6999" s="8">
        <v>1312</v>
      </c>
    </row>
    <row r="7000" spans="1:6" ht="12.75">
      <c r="A7000" s="8">
        <v>43901.812997685185</v>
      </c>
      <c r="B7000" s="8" t="str">
        <f>HYPERLINK("https://twitter.com/siagianharry","@siagianharry")</f>
        <v>@siagianharry</v>
      </c>
      <c r="C7000" s="8" t="s">
        <v>3346</v>
      </c>
      <c r="D7000" s="8">
        <v>0</v>
      </c>
      <c r="E7000" s="8">
        <v>1</v>
      </c>
      <c r="F7000" s="8">
        <v>418</v>
      </c>
    </row>
    <row r="7001" spans="1:6" ht="12.75">
      <c r="A7001" s="8">
        <v>43901.812962962962</v>
      </c>
      <c r="B7001" s="8" t="str">
        <f>HYPERLINK("https://twitter.com/daniel_supit","@daniel_supit")</f>
        <v>@daniel_supit</v>
      </c>
      <c r="C7001" s="8" t="s">
        <v>2786</v>
      </c>
      <c r="D7001" s="8">
        <v>9</v>
      </c>
      <c r="E7001" s="8">
        <v>0</v>
      </c>
      <c r="F7001" s="8">
        <v>305</v>
      </c>
    </row>
    <row r="7002" spans="1:6" ht="12.75">
      <c r="A7002" s="8">
        <v>43901.812847222223</v>
      </c>
      <c r="B7002" s="8" t="str">
        <f>HYPERLINK("https://twitter.com/theconjaering","@theconjaering")</f>
        <v>@theconjaering</v>
      </c>
      <c r="C7002" s="8" t="s">
        <v>3347</v>
      </c>
      <c r="D7002" s="8">
        <v>0</v>
      </c>
      <c r="E7002" s="8">
        <v>0</v>
      </c>
      <c r="F7002" s="8">
        <v>309</v>
      </c>
    </row>
    <row r="7003" spans="1:6" ht="12.75">
      <c r="A7003" s="8">
        <v>43901.812696759254</v>
      </c>
      <c r="B7003" s="8" t="str">
        <f>HYPERLINK("https://twitter.com/_Henz14","@_Henz14")</f>
        <v>@_Henz14</v>
      </c>
      <c r="C7003" s="8" t="s">
        <v>3348</v>
      </c>
      <c r="D7003" s="8">
        <v>0</v>
      </c>
      <c r="E7003" s="8">
        <v>1</v>
      </c>
      <c r="F7003" s="8">
        <v>471</v>
      </c>
    </row>
    <row r="7004" spans="1:6" ht="12.75">
      <c r="A7004" s="8">
        <v>43901.812604166669</v>
      </c>
      <c r="B7004" s="8" t="str">
        <f>HYPERLINK("https://twitter.com/harispradipta7","@harispradipta7")</f>
        <v>@harispradipta7</v>
      </c>
      <c r="C7004" s="8" t="s">
        <v>1800</v>
      </c>
      <c r="D7004" s="8">
        <v>38</v>
      </c>
      <c r="E7004" s="8">
        <v>0</v>
      </c>
      <c r="F7004" s="8">
        <v>606</v>
      </c>
    </row>
    <row r="7005" spans="1:6" ht="12.75">
      <c r="A7005" s="8">
        <v>43901.812557870369</v>
      </c>
      <c r="B7005" s="8" t="str">
        <f>HYPERLINK("https://twitter.com/AliLenon1","@AliLenon1")</f>
        <v>@AliLenon1</v>
      </c>
      <c r="C7005" s="8" t="s">
        <v>2715</v>
      </c>
      <c r="D7005" s="8">
        <v>61</v>
      </c>
      <c r="E7005" s="8">
        <v>0</v>
      </c>
      <c r="F7005" s="8">
        <v>1558</v>
      </c>
    </row>
    <row r="7006" spans="1:6" ht="12.75">
      <c r="A7006" s="8">
        <v>43901.812083333338</v>
      </c>
      <c r="B7006" s="8" t="str">
        <f>HYPERLINK("https://twitter.com/donz_poetra","@donz_poetra")</f>
        <v>@donz_poetra</v>
      </c>
      <c r="C7006" s="8" t="s">
        <v>2989</v>
      </c>
      <c r="D7006" s="8">
        <v>139</v>
      </c>
      <c r="E7006" s="8">
        <v>0</v>
      </c>
      <c r="F7006" s="8">
        <v>393</v>
      </c>
    </row>
    <row r="7007" spans="1:6" ht="12.75">
      <c r="A7007" s="8">
        <v>43901.811956018515</v>
      </c>
      <c r="B7007" s="8" t="str">
        <f>HYPERLINK("https://twitter.com/svtypin","@svtypin")</f>
        <v>@svtypin</v>
      </c>
      <c r="C7007" s="8" t="s">
        <v>2715</v>
      </c>
      <c r="D7007" s="8">
        <v>61</v>
      </c>
      <c r="E7007" s="8">
        <v>0</v>
      </c>
      <c r="F7007" s="8">
        <v>744</v>
      </c>
    </row>
    <row r="7008" spans="1:6" ht="12.75">
      <c r="A7008" s="8">
        <v>43901.811921296292</v>
      </c>
      <c r="B7008" s="8" t="str">
        <f>HYPERLINK("https://twitter.com/Stoinkisme","@Stoinkisme")</f>
        <v>@Stoinkisme</v>
      </c>
      <c r="C7008" s="8" t="s">
        <v>3349</v>
      </c>
      <c r="D7008" s="8">
        <v>0</v>
      </c>
      <c r="E7008" s="8">
        <v>0</v>
      </c>
      <c r="F7008" s="8">
        <v>127</v>
      </c>
    </row>
    <row r="7009" spans="1:6" ht="12.75">
      <c r="A7009" s="8">
        <v>43901.811620370368</v>
      </c>
      <c r="B7009" s="8" t="str">
        <f>HYPERLINK("https://twitter.com/TeyengCekap","@TeyengCekap")</f>
        <v>@TeyengCekap</v>
      </c>
      <c r="C7009" s="8" t="s">
        <v>3350</v>
      </c>
      <c r="D7009" s="8">
        <v>1</v>
      </c>
      <c r="E7009" s="8">
        <v>0</v>
      </c>
      <c r="F7009" s="8">
        <v>5959</v>
      </c>
    </row>
    <row r="7010" spans="1:6" ht="12.75">
      <c r="A7010" s="8">
        <v>43901.811458333337</v>
      </c>
      <c r="B7010" s="8" t="str">
        <f>HYPERLINK("https://twitter.com/akmalarif90","@akmalarif90")</f>
        <v>@akmalarif90</v>
      </c>
      <c r="C7010" s="8" t="s">
        <v>3112</v>
      </c>
      <c r="D7010" s="8">
        <v>1</v>
      </c>
      <c r="E7010" s="8">
        <v>0</v>
      </c>
      <c r="F7010" s="8">
        <v>1013</v>
      </c>
    </row>
    <row r="7011" spans="1:6" ht="12.75">
      <c r="A7011" s="8">
        <v>43901.811435185184</v>
      </c>
      <c r="B7011" s="8" t="str">
        <f>HYPERLINK("https://twitter.com/ManadoImigrasi","@ManadoImigrasi")</f>
        <v>@ManadoImigrasi</v>
      </c>
      <c r="C7011" s="8" t="s">
        <v>2629</v>
      </c>
      <c r="D7011" s="8">
        <v>3</v>
      </c>
      <c r="E7011" s="8">
        <v>0</v>
      </c>
      <c r="F7011" s="8">
        <v>10</v>
      </c>
    </row>
    <row r="7012" spans="1:6" ht="12.75">
      <c r="A7012" s="8">
        <v>43901.811122685191</v>
      </c>
      <c r="B7012" s="8" t="str">
        <f>HYPERLINK("https://twitter.com/SoniMsi07","@SoniMsi07")</f>
        <v>@SoniMsi07</v>
      </c>
      <c r="C7012" s="8" t="s">
        <v>2786</v>
      </c>
      <c r="D7012" s="8">
        <v>9</v>
      </c>
      <c r="E7012" s="8">
        <v>0</v>
      </c>
      <c r="F7012" s="8">
        <v>253</v>
      </c>
    </row>
    <row r="7013" spans="1:6" ht="12.75">
      <c r="A7013" s="8">
        <v>43901.811018518521</v>
      </c>
      <c r="B7013" s="8" t="str">
        <f>HYPERLINK("https://twitter.com/ywdaa","@ywdaa")</f>
        <v>@ywdaa</v>
      </c>
      <c r="C7013" s="8" t="s">
        <v>3351</v>
      </c>
      <c r="D7013" s="8">
        <v>0</v>
      </c>
      <c r="E7013" s="8">
        <v>0</v>
      </c>
      <c r="F7013" s="8">
        <v>7031</v>
      </c>
    </row>
    <row r="7014" spans="1:6" ht="12.75">
      <c r="A7014" s="8">
        <v>43901.809733796297</v>
      </c>
      <c r="B7014" s="8" t="str">
        <f>HYPERLINK("https://twitter.com/ajrvm3","@ajrvm3")</f>
        <v>@ajrvm3</v>
      </c>
      <c r="C7014" s="8" t="s">
        <v>318</v>
      </c>
      <c r="D7014" s="8">
        <v>1382</v>
      </c>
      <c r="E7014" s="8">
        <v>0</v>
      </c>
      <c r="F7014" s="8">
        <v>431</v>
      </c>
    </row>
    <row r="7015" spans="1:6" ht="12.75">
      <c r="A7015" s="8">
        <v>43901.809189814812</v>
      </c>
      <c r="B7015" s="8" t="str">
        <f>HYPERLINK("https://twitter.com/tombakpujangga","@tombakpujangga")</f>
        <v>@tombakpujangga</v>
      </c>
      <c r="C7015" s="8" t="s">
        <v>3352</v>
      </c>
      <c r="D7015" s="8">
        <v>0</v>
      </c>
      <c r="E7015" s="8">
        <v>0</v>
      </c>
      <c r="F7015" s="8">
        <v>198</v>
      </c>
    </row>
    <row r="7016" spans="1:6" ht="12.75">
      <c r="A7016" s="8">
        <v>43901.809074074074</v>
      </c>
      <c r="B7016" s="8" t="str">
        <f>HYPERLINK("https://twitter.com/_wni_","@_wni_")</f>
        <v>@_wni_</v>
      </c>
      <c r="C7016" s="8" t="s">
        <v>3353</v>
      </c>
      <c r="D7016" s="8">
        <v>0</v>
      </c>
      <c r="E7016" s="8">
        <v>0</v>
      </c>
      <c r="F7016" s="8">
        <v>22</v>
      </c>
    </row>
    <row r="7017" spans="1:6" ht="12.75">
      <c r="A7017" s="8">
        <v>43901.808877314819</v>
      </c>
      <c r="B7017" s="8" t="str">
        <f t="shared" ref="B7017:B7018" si="128">HYPERLINK("https://twitter.com/Andini_932","@Andini_932")</f>
        <v>@Andini_932</v>
      </c>
      <c r="C7017" s="8" t="s">
        <v>2715</v>
      </c>
      <c r="D7017" s="8">
        <v>61</v>
      </c>
      <c r="E7017" s="8">
        <v>0</v>
      </c>
      <c r="F7017" s="8">
        <v>102</v>
      </c>
    </row>
    <row r="7018" spans="1:6" ht="12.75">
      <c r="A7018" s="8">
        <v>43901.808379629627</v>
      </c>
      <c r="B7018" s="8" t="str">
        <f t="shared" si="128"/>
        <v>@Andini_932</v>
      </c>
      <c r="C7018" s="8" t="s">
        <v>3354</v>
      </c>
      <c r="D7018" s="8">
        <v>1</v>
      </c>
      <c r="E7018" s="8">
        <v>0</v>
      </c>
      <c r="F7018" s="8">
        <v>102</v>
      </c>
    </row>
    <row r="7019" spans="1:6" ht="12.75">
      <c r="A7019" s="8">
        <v>43901.808298611111</v>
      </c>
      <c r="B7019" s="8" t="str">
        <f>HYPERLINK("https://twitter.com/ImigrasiSiak","@ImigrasiSiak")</f>
        <v>@ImigrasiSiak</v>
      </c>
      <c r="C7019" s="8" t="s">
        <v>3355</v>
      </c>
      <c r="D7019" s="8">
        <v>0</v>
      </c>
      <c r="E7019" s="8">
        <v>0</v>
      </c>
      <c r="F7019" s="8">
        <v>178</v>
      </c>
    </row>
    <row r="7020" spans="1:6" ht="12.75">
      <c r="A7020" s="8">
        <v>43901.807453703703</v>
      </c>
      <c r="B7020" s="8" t="str">
        <f>HYPERLINK("https://twitter.com/Cherryblosshana","@Cherryblosshana")</f>
        <v>@Cherryblosshana</v>
      </c>
      <c r="C7020" s="8" t="s">
        <v>2989</v>
      </c>
      <c r="D7020" s="8">
        <v>139</v>
      </c>
      <c r="E7020" s="8">
        <v>0</v>
      </c>
      <c r="F7020" s="8">
        <v>6</v>
      </c>
    </row>
    <row r="7021" spans="1:6" ht="12.75">
      <c r="A7021" s="8">
        <v>43901.807106481487</v>
      </c>
      <c r="B7021" s="8" t="str">
        <f>HYPERLINK("https://twitter.com/telortelooorr","@telortelooorr")</f>
        <v>@telortelooorr</v>
      </c>
      <c r="C7021" s="8" t="s">
        <v>2790</v>
      </c>
      <c r="D7021" s="8">
        <v>242</v>
      </c>
      <c r="E7021" s="8">
        <v>0</v>
      </c>
      <c r="F7021" s="8">
        <v>1020</v>
      </c>
    </row>
    <row r="7022" spans="1:6" ht="12.75">
      <c r="A7022" s="8">
        <v>43901.806504629625</v>
      </c>
      <c r="B7022" s="8" t="str">
        <f>HYPERLINK("https://twitter.com/sucyeah","@sucyeah")</f>
        <v>@sucyeah</v>
      </c>
      <c r="C7022" s="8" t="s">
        <v>1800</v>
      </c>
      <c r="D7022" s="8">
        <v>38</v>
      </c>
      <c r="E7022" s="8">
        <v>0</v>
      </c>
      <c r="F7022" s="8">
        <v>726</v>
      </c>
    </row>
    <row r="7023" spans="1:6" ht="12.75">
      <c r="A7023" s="8">
        <v>43901.806377314817</v>
      </c>
      <c r="B7023" s="8" t="str">
        <f>HYPERLINK("https://twitter.com/w26weizman","@w26weizman")</f>
        <v>@w26weizman</v>
      </c>
      <c r="C7023" s="8" t="s">
        <v>1801</v>
      </c>
      <c r="D7023" s="8">
        <v>325</v>
      </c>
      <c r="E7023" s="8">
        <v>0</v>
      </c>
      <c r="F7023" s="8">
        <v>223</v>
      </c>
    </row>
    <row r="7024" spans="1:6" ht="12.75">
      <c r="A7024" s="8">
        <v>43901.80631944444</v>
      </c>
      <c r="B7024" s="8" t="str">
        <f>HYPERLINK("https://twitter.com/KompasTV","@KompasTV")</f>
        <v>@KompasTV</v>
      </c>
      <c r="C7024" s="8" t="s">
        <v>3356</v>
      </c>
      <c r="D7024" s="8">
        <v>1</v>
      </c>
      <c r="E7024" s="8">
        <v>6</v>
      </c>
      <c r="F7024" s="8">
        <v>2961836</v>
      </c>
    </row>
    <row r="7025" spans="1:6" ht="12.75">
      <c r="A7025" s="8">
        <v>43901.798368055555</v>
      </c>
      <c r="B7025" s="8" t="str">
        <f>HYPERLINK("https://twitter.com/KSJinnnnnnnnnnn","@KSJinnnnnnnnnnn")</f>
        <v>@KSJinnnnnnnnnnn</v>
      </c>
      <c r="C7025" s="8" t="s">
        <v>3357</v>
      </c>
      <c r="D7025" s="8">
        <v>0</v>
      </c>
      <c r="E7025" s="8">
        <v>0</v>
      </c>
      <c r="F7025" s="8">
        <v>1969</v>
      </c>
    </row>
    <row r="7026" spans="1:6" ht="12.75">
      <c r="A7026" s="8">
        <v>43901.79822916667</v>
      </c>
      <c r="B7026" s="8" t="str">
        <f>HYPERLINK("https://twitter.com/ISIS_Balik_NO","@ISIS_Balik_NO")</f>
        <v>@ISIS_Balik_NO</v>
      </c>
      <c r="C7026" s="8" t="s">
        <v>3358</v>
      </c>
      <c r="D7026" s="8">
        <v>0</v>
      </c>
      <c r="E7026" s="8">
        <v>0</v>
      </c>
      <c r="F7026" s="8">
        <v>6238</v>
      </c>
    </row>
    <row r="7027" spans="1:6" ht="12.75">
      <c r="A7027" s="8">
        <v>43901.79792824074</v>
      </c>
      <c r="B7027" s="8" t="str">
        <f>HYPERLINK("https://twitter.com/NaviriMag","@NaviriMag")</f>
        <v>@NaviriMag</v>
      </c>
      <c r="C7027" s="8" t="s">
        <v>3359</v>
      </c>
      <c r="D7027" s="8">
        <v>0</v>
      </c>
      <c r="E7027" s="8">
        <v>0</v>
      </c>
      <c r="F7027" s="8">
        <v>1353</v>
      </c>
    </row>
    <row r="7028" spans="1:6" ht="12.75">
      <c r="A7028" s="8">
        <v>43901.79788194444</v>
      </c>
      <c r="B7028" s="8" t="str">
        <f>HYPERLINK("https://twitter.com/ceendoldawet","@ceendoldawet")</f>
        <v>@ceendoldawet</v>
      </c>
      <c r="C7028" s="8" t="s">
        <v>3360</v>
      </c>
      <c r="D7028" s="8">
        <v>0</v>
      </c>
      <c r="E7028" s="8">
        <v>0</v>
      </c>
      <c r="F7028" s="8">
        <v>421</v>
      </c>
    </row>
    <row r="7029" spans="1:6" ht="12.75">
      <c r="A7029" s="8">
        <v>43901.797696759255</v>
      </c>
      <c r="B7029" s="8" t="str">
        <f>HYPERLINK("https://twitter.com/RidaGemes","@RidaGemes")</f>
        <v>@RidaGemes</v>
      </c>
      <c r="C7029" s="8" t="s">
        <v>3361</v>
      </c>
      <c r="D7029" s="8">
        <v>0</v>
      </c>
      <c r="E7029" s="8">
        <v>0</v>
      </c>
      <c r="F7029" s="8">
        <v>185</v>
      </c>
    </row>
    <row r="7030" spans="1:6" ht="12.75">
      <c r="A7030" s="8">
        <v>43901.797673611116</v>
      </c>
      <c r="B7030" s="8" t="str">
        <f>HYPERLINK("https://twitter.com/itsshulinnn","@itsshulinnn")</f>
        <v>@itsshulinnn</v>
      </c>
      <c r="C7030" s="8" t="s">
        <v>3362</v>
      </c>
      <c r="D7030" s="8">
        <v>0</v>
      </c>
      <c r="E7030" s="8">
        <v>0</v>
      </c>
      <c r="F7030" s="8">
        <v>213</v>
      </c>
    </row>
    <row r="7031" spans="1:6" ht="12.75">
      <c r="A7031" s="8">
        <v>43901.797060185185</v>
      </c>
      <c r="B7031" s="8" t="str">
        <f>HYPERLINK("https://twitter.com/ylchaniago","@ylchaniago")</f>
        <v>@ylchaniago</v>
      </c>
      <c r="C7031" s="8" t="s">
        <v>3363</v>
      </c>
      <c r="D7031" s="8">
        <v>0</v>
      </c>
      <c r="E7031" s="8">
        <v>2</v>
      </c>
      <c r="F7031" s="8">
        <v>5274</v>
      </c>
    </row>
    <row r="7032" spans="1:6" ht="12.75">
      <c r="A7032" s="8">
        <v>43901.796840277777</v>
      </c>
      <c r="B7032" s="8" t="str">
        <f>HYPERLINK("https://twitter.com/ISIS_Balik_NO","@ISIS_Balik_NO")</f>
        <v>@ISIS_Balik_NO</v>
      </c>
      <c r="C7032" s="8" t="s">
        <v>3364</v>
      </c>
      <c r="D7032" s="8">
        <v>0</v>
      </c>
      <c r="E7032" s="8">
        <v>0</v>
      </c>
      <c r="F7032" s="8">
        <v>6238</v>
      </c>
    </row>
    <row r="7033" spans="1:6" ht="12.75">
      <c r="A7033" s="8">
        <v>43901.796817129631</v>
      </c>
      <c r="B7033" s="8" t="str">
        <f>HYPERLINK("https://twitter.com/justdriverz","@justdriverz")</f>
        <v>@justdriverz</v>
      </c>
      <c r="C7033" s="8" t="s">
        <v>3050</v>
      </c>
      <c r="D7033" s="8">
        <v>144</v>
      </c>
      <c r="E7033" s="8">
        <v>0</v>
      </c>
      <c r="F7033" s="8">
        <v>74</v>
      </c>
    </row>
    <row r="7034" spans="1:6" ht="12.75">
      <c r="A7034" s="8">
        <v>43901.796539351853</v>
      </c>
      <c r="B7034" s="8" t="str">
        <f>HYPERLINK("https://twitter.com/ISIS_Balik_NO","@ISIS_Balik_NO")</f>
        <v>@ISIS_Balik_NO</v>
      </c>
      <c r="C7034" s="8" t="s">
        <v>3365</v>
      </c>
      <c r="D7034" s="8">
        <v>0</v>
      </c>
      <c r="E7034" s="8">
        <v>0</v>
      </c>
      <c r="F7034" s="8">
        <v>6238</v>
      </c>
    </row>
    <row r="7035" spans="1:6" ht="12.75">
      <c r="A7035" s="8">
        <v>43901.796400462961</v>
      </c>
      <c r="B7035" s="8" t="str">
        <f>HYPERLINK("https://twitter.com/jejerankuy","@jejerankuy")</f>
        <v>@jejerankuy</v>
      </c>
      <c r="C7035" s="8" t="s">
        <v>3366</v>
      </c>
      <c r="D7035" s="8">
        <v>0</v>
      </c>
      <c r="E7035" s="8">
        <v>0</v>
      </c>
      <c r="F7035" s="8">
        <v>678</v>
      </c>
    </row>
    <row r="7036" spans="1:6" ht="12.75">
      <c r="A7036" s="8">
        <v>43901.796388888892</v>
      </c>
      <c r="B7036" s="8" t="str">
        <f>HYPERLINK("https://twitter.com/pembeda_haq","@pembeda_haq")</f>
        <v>@pembeda_haq</v>
      </c>
      <c r="C7036" s="8" t="s">
        <v>2989</v>
      </c>
      <c r="D7036" s="8">
        <v>133</v>
      </c>
      <c r="E7036" s="8">
        <v>0</v>
      </c>
      <c r="F7036" s="8">
        <v>237</v>
      </c>
    </row>
    <row r="7037" spans="1:6" ht="12.75">
      <c r="A7037" s="8">
        <v>43901.796342592592</v>
      </c>
      <c r="B7037" s="8" t="str">
        <f>HYPERLINK("https://twitter.com/bung_ajis","@bung_ajis")</f>
        <v>@bung_ajis</v>
      </c>
      <c r="C7037" s="8" t="s">
        <v>2786</v>
      </c>
      <c r="D7037" s="8">
        <v>5</v>
      </c>
      <c r="E7037" s="8">
        <v>0</v>
      </c>
      <c r="F7037" s="8">
        <v>190</v>
      </c>
    </row>
    <row r="7038" spans="1:6" ht="12.75">
      <c r="A7038" s="8">
        <v>43901.796261574069</v>
      </c>
      <c r="B7038" s="8" t="str">
        <f t="shared" ref="B7038:B7039" si="129">HYPERLINK("https://twitter.com/iz_wni","@iz_wni")</f>
        <v>@iz_wni</v>
      </c>
      <c r="C7038" s="8" t="s">
        <v>3367</v>
      </c>
      <c r="D7038" s="8">
        <v>2695</v>
      </c>
      <c r="E7038" s="8">
        <v>0</v>
      </c>
      <c r="F7038" s="8">
        <v>88</v>
      </c>
    </row>
    <row r="7039" spans="1:6" ht="12.75">
      <c r="A7039" s="8">
        <v>43901.796180555553</v>
      </c>
      <c r="B7039" s="8" t="str">
        <f t="shared" si="129"/>
        <v>@iz_wni</v>
      </c>
      <c r="C7039" s="8" t="s">
        <v>3368</v>
      </c>
      <c r="D7039" s="8">
        <v>1797</v>
      </c>
      <c r="E7039" s="8">
        <v>0</v>
      </c>
      <c r="F7039" s="8">
        <v>88</v>
      </c>
    </row>
    <row r="7040" spans="1:6" ht="12.75">
      <c r="A7040" s="8">
        <v>43901.796134259261</v>
      </c>
      <c r="B7040" s="8" t="str">
        <f>HYPERLINK("https://twitter.com/ISIS_Balik_NO","@ISIS_Balik_NO")</f>
        <v>@ISIS_Balik_NO</v>
      </c>
      <c r="C7040" s="8" t="s">
        <v>3369</v>
      </c>
      <c r="D7040" s="8">
        <v>0</v>
      </c>
      <c r="E7040" s="8">
        <v>0</v>
      </c>
      <c r="F7040" s="8">
        <v>6238</v>
      </c>
    </row>
    <row r="7041" spans="1:6" ht="12.75">
      <c r="A7041" s="8">
        <v>43901.796006944445</v>
      </c>
      <c r="B7041" s="8" t="str">
        <f>HYPERLINK("https://twitter.com/andi_achilles","@andi_achilles")</f>
        <v>@andi_achilles</v>
      </c>
      <c r="C7041" s="8" t="s">
        <v>3370</v>
      </c>
      <c r="D7041" s="8">
        <v>1</v>
      </c>
      <c r="E7041" s="8">
        <v>0</v>
      </c>
      <c r="F7041" s="8">
        <v>1333</v>
      </c>
    </row>
    <row r="7042" spans="1:6" ht="12.75">
      <c r="A7042" s="8">
        <v>43901.795462962968</v>
      </c>
      <c r="B7042" s="8" t="str">
        <f>HYPERLINK("https://twitter.com/ISIS_Balik_NO","@ISIS_Balik_NO")</f>
        <v>@ISIS_Balik_NO</v>
      </c>
      <c r="C7042" s="8" t="s">
        <v>3371</v>
      </c>
      <c r="D7042" s="8">
        <v>0</v>
      </c>
      <c r="E7042" s="8">
        <v>0</v>
      </c>
      <c r="F7042" s="8">
        <v>6238</v>
      </c>
    </row>
    <row r="7043" spans="1:6" ht="12.75">
      <c r="A7043" s="8">
        <v>43901.795300925922</v>
      </c>
      <c r="B7043" s="8" t="str">
        <f>HYPERLINK("https://twitter.com/ummiika71","@ummiika71")</f>
        <v>@ummiika71</v>
      </c>
      <c r="C7043" s="8" t="s">
        <v>318</v>
      </c>
      <c r="D7043" s="8">
        <v>1375</v>
      </c>
      <c r="E7043" s="8">
        <v>0</v>
      </c>
      <c r="F7043" s="8">
        <v>480</v>
      </c>
    </row>
    <row r="7044" spans="1:6" ht="12.75">
      <c r="A7044" s="8">
        <v>43901.794594907406</v>
      </c>
      <c r="B7044" s="8" t="str">
        <f>HYPERLINK("https://twitter.com/conan_idn","@conan_idn")</f>
        <v>@conan_idn</v>
      </c>
      <c r="C7044" s="8" t="s">
        <v>3372</v>
      </c>
      <c r="D7044" s="8">
        <v>0</v>
      </c>
      <c r="E7044" s="8">
        <v>0</v>
      </c>
      <c r="F7044" s="8">
        <v>48575</v>
      </c>
    </row>
    <row r="7045" spans="1:6" ht="12.75">
      <c r="A7045" s="8">
        <v>43901.794398148151</v>
      </c>
      <c r="B7045" s="8" t="str">
        <f>HYPERLINK("https://twitter.com/iz_wni","@iz_wni")</f>
        <v>@iz_wni</v>
      </c>
      <c r="C7045" s="8" t="s">
        <v>3373</v>
      </c>
      <c r="D7045" s="8">
        <v>18</v>
      </c>
      <c r="E7045" s="8">
        <v>0</v>
      </c>
      <c r="F7045" s="8">
        <v>88</v>
      </c>
    </row>
    <row r="7046" spans="1:6" ht="12.75">
      <c r="A7046" s="8">
        <v>43901.794363425928</v>
      </c>
      <c r="B7046" s="8" t="str">
        <f>HYPERLINK("https://twitter.com/TJU_Imigrasi","@TJU_Imigrasi")</f>
        <v>@TJU_Imigrasi</v>
      </c>
      <c r="C7046" s="8" t="s">
        <v>3374</v>
      </c>
      <c r="D7046" s="8">
        <v>0</v>
      </c>
      <c r="E7046" s="8">
        <v>0</v>
      </c>
      <c r="F7046" s="8">
        <v>24</v>
      </c>
    </row>
    <row r="7047" spans="1:6" ht="12.75">
      <c r="A7047" s="8">
        <v>43901.794317129628</v>
      </c>
      <c r="B7047" s="8" t="str">
        <f>HYPERLINK("https://twitter.com/aldyrazan","@aldyrazan")</f>
        <v>@aldyrazan</v>
      </c>
      <c r="C7047" s="8" t="s">
        <v>3375</v>
      </c>
      <c r="D7047" s="8">
        <v>0</v>
      </c>
      <c r="E7047" s="8">
        <v>1</v>
      </c>
      <c r="F7047" s="8">
        <v>250</v>
      </c>
    </row>
    <row r="7048" spans="1:6" ht="12.75">
      <c r="A7048" s="8">
        <v>43901.79310185185</v>
      </c>
      <c r="B7048" s="8" t="str">
        <f>HYPERLINK("https://twitter.com/conan_idn","@conan_idn")</f>
        <v>@conan_idn</v>
      </c>
      <c r="C7048" s="8" t="s">
        <v>3376</v>
      </c>
      <c r="D7048" s="8">
        <v>1</v>
      </c>
      <c r="E7048" s="8">
        <v>1</v>
      </c>
      <c r="F7048" s="8">
        <v>48575</v>
      </c>
    </row>
    <row r="7049" spans="1:6" ht="12.75">
      <c r="A7049" s="8">
        <v>43901.792511574073</v>
      </c>
      <c r="B7049" s="8" t="str">
        <f>HYPERLINK("https://twitter.com/anggunpra13","@anggunpra13")</f>
        <v>@anggunpra13</v>
      </c>
      <c r="C7049" s="8" t="s">
        <v>3377</v>
      </c>
      <c r="D7049" s="8">
        <v>6</v>
      </c>
      <c r="E7049" s="8">
        <v>0</v>
      </c>
      <c r="F7049" s="8">
        <v>189</v>
      </c>
    </row>
    <row r="7050" spans="1:6" ht="12.75">
      <c r="A7050" s="8">
        <v>43901.792256944449</v>
      </c>
      <c r="B7050" s="8" t="str">
        <f>HYPERLINK("https://twitter.com/rinadiana_am","@rinadiana_am")</f>
        <v>@rinadiana_am</v>
      </c>
      <c r="C7050" s="8" t="s">
        <v>2989</v>
      </c>
      <c r="D7050" s="8">
        <v>133</v>
      </c>
      <c r="E7050" s="8">
        <v>0</v>
      </c>
      <c r="F7050" s="8">
        <v>1144</v>
      </c>
    </row>
    <row r="7051" spans="1:6" ht="12.75">
      <c r="A7051" s="8">
        <v>43901.791990740741</v>
      </c>
      <c r="B7051" s="8" t="str">
        <f>HYPERLINK("https://twitter.com/xiyulinglee","@xiyulinglee")</f>
        <v>@xiyulinglee</v>
      </c>
      <c r="C7051" s="8" t="s">
        <v>3378</v>
      </c>
      <c r="D7051" s="8">
        <v>0</v>
      </c>
      <c r="E7051" s="8">
        <v>0</v>
      </c>
      <c r="F7051" s="8">
        <v>248</v>
      </c>
    </row>
    <row r="7052" spans="1:6" ht="12.75">
      <c r="A7052" s="8">
        <v>43901.791701388887</v>
      </c>
      <c r="B7052" s="8" t="str">
        <f>HYPERLINK("https://twitter.com/MuhGilangS","@MuhGilangS")</f>
        <v>@MuhGilangS</v>
      </c>
      <c r="C7052" s="8" t="s">
        <v>3379</v>
      </c>
      <c r="D7052" s="8">
        <v>0</v>
      </c>
      <c r="E7052" s="8">
        <v>0</v>
      </c>
      <c r="F7052" s="8">
        <v>1117</v>
      </c>
    </row>
    <row r="7053" spans="1:6" ht="12.75">
      <c r="A7053" s="8">
        <v>43901.791678240741</v>
      </c>
      <c r="B7053" s="8" t="str">
        <f>HYPERLINK("https://twitter.com/selfieituindah","@selfieituindah")</f>
        <v>@selfieituindah</v>
      </c>
      <c r="C7053" s="8" t="s">
        <v>3380</v>
      </c>
      <c r="D7053" s="8">
        <v>0</v>
      </c>
      <c r="E7053" s="8">
        <v>0</v>
      </c>
      <c r="F7053" s="8">
        <v>21324</v>
      </c>
    </row>
    <row r="7054" spans="1:6" ht="12.75">
      <c r="A7054" s="8">
        <v>43901.791666666672</v>
      </c>
      <c r="B7054" s="8" t="str">
        <f>HYPERLINK("https://twitter.com/hidupnanindah","@hidupnanindah")</f>
        <v>@hidupnanindah</v>
      </c>
      <c r="C7054" s="8" t="s">
        <v>3381</v>
      </c>
      <c r="D7054" s="8">
        <v>0</v>
      </c>
      <c r="E7054" s="8">
        <v>0</v>
      </c>
      <c r="F7054" s="8">
        <v>14961</v>
      </c>
    </row>
    <row r="7055" spans="1:6" ht="12.75">
      <c r="A7055" s="8">
        <v>43901.791446759264</v>
      </c>
      <c r="B7055" s="8" t="str">
        <f>HYPERLINK("https://twitter.com/Awaludinbox","@Awaludinbox")</f>
        <v>@Awaludinbox</v>
      </c>
      <c r="C7055" s="8" t="s">
        <v>1801</v>
      </c>
      <c r="D7055" s="8">
        <v>321</v>
      </c>
      <c r="E7055" s="8">
        <v>0</v>
      </c>
      <c r="F7055" s="8">
        <v>1559</v>
      </c>
    </row>
    <row r="7056" spans="1:6" ht="12.75">
      <c r="A7056" s="8">
        <v>43901.791342592594</v>
      </c>
      <c r="B7056" s="8" t="str">
        <f>HYPERLINK("https://twitter.com/emak_warrior","@emak_warrior")</f>
        <v>@emak_warrior</v>
      </c>
      <c r="C7056" s="8" t="s">
        <v>2989</v>
      </c>
      <c r="D7056" s="8">
        <v>133</v>
      </c>
      <c r="E7056" s="8">
        <v>0</v>
      </c>
      <c r="F7056" s="8">
        <v>1734</v>
      </c>
    </row>
    <row r="7057" spans="1:6" ht="12.75">
      <c r="A7057" s="8">
        <v>43901.790833333333</v>
      </c>
      <c r="B7057" s="8" t="str">
        <f>HYPERLINK("https://twitter.com/phs19_","@phs19_")</f>
        <v>@phs19_</v>
      </c>
      <c r="C7057" s="8" t="s">
        <v>3382</v>
      </c>
      <c r="D7057" s="8">
        <v>0</v>
      </c>
      <c r="E7057" s="8">
        <v>0</v>
      </c>
      <c r="F7057" s="8">
        <v>304</v>
      </c>
    </row>
    <row r="7058" spans="1:6" ht="12.75">
      <c r="A7058" s="8">
        <v>43901.790706018517</v>
      </c>
      <c r="B7058" s="8" t="str">
        <f>HYPERLINK("https://twitter.com/januar_gombes","@januar_gombes")</f>
        <v>@januar_gombes</v>
      </c>
      <c r="C7058" s="8" t="s">
        <v>318</v>
      </c>
      <c r="D7058" s="8">
        <v>1375</v>
      </c>
      <c r="E7058" s="8">
        <v>0</v>
      </c>
      <c r="F7058" s="8">
        <v>15</v>
      </c>
    </row>
    <row r="7059" spans="1:6" ht="12.75">
      <c r="A7059" s="8">
        <v>43901.790509259255</v>
      </c>
      <c r="B7059" s="8" t="str">
        <f>HYPERLINK("https://twitter.com/frida_rahardjo","@frida_rahardjo")</f>
        <v>@frida_rahardjo</v>
      </c>
      <c r="C7059" s="8" t="s">
        <v>3383</v>
      </c>
      <c r="D7059" s="8">
        <v>1</v>
      </c>
      <c r="E7059" s="8">
        <v>0</v>
      </c>
      <c r="F7059" s="8">
        <v>1494</v>
      </c>
    </row>
    <row r="7060" spans="1:6" ht="12.75">
      <c r="A7060" s="8">
        <v>43901.790451388893</v>
      </c>
      <c r="B7060" s="8" t="str">
        <f>HYPERLINK("https://twitter.com/dahyuniverse9","@dahyuniverse9")</f>
        <v>@dahyuniverse9</v>
      </c>
      <c r="C7060" s="8" t="s">
        <v>3384</v>
      </c>
      <c r="D7060" s="8">
        <v>0</v>
      </c>
      <c r="E7060" s="8">
        <v>0</v>
      </c>
      <c r="F7060" s="8">
        <v>833</v>
      </c>
    </row>
    <row r="7061" spans="1:6" ht="12.75">
      <c r="A7061" s="8">
        <v>43901.790381944447</v>
      </c>
      <c r="B7061" s="8" t="str">
        <f>HYPERLINK("https://twitter.com/umarss","@umarss")</f>
        <v>@umarss</v>
      </c>
      <c r="C7061" s="8" t="s">
        <v>3385</v>
      </c>
      <c r="D7061" s="8">
        <v>0</v>
      </c>
      <c r="E7061" s="8">
        <v>0</v>
      </c>
      <c r="F7061" s="8">
        <v>361</v>
      </c>
    </row>
    <row r="7062" spans="1:6" ht="12.75">
      <c r="A7062" s="8">
        <v>43901.790196759262</v>
      </c>
      <c r="B7062" s="8" t="str">
        <f>HYPERLINK("https://twitter.com/i_am_indian_11","@i_am_indian_11")</f>
        <v>@i_am_indian_11</v>
      </c>
      <c r="C7062" s="8" t="s">
        <v>3386</v>
      </c>
      <c r="D7062" s="8">
        <v>0</v>
      </c>
      <c r="E7062" s="8">
        <v>0</v>
      </c>
      <c r="F7062" s="8">
        <v>33</v>
      </c>
    </row>
    <row r="7063" spans="1:6" ht="12.75">
      <c r="A7063" s="8">
        <v>43901.790046296301</v>
      </c>
      <c r="B7063" s="8" t="str">
        <f>HYPERLINK("https://twitter.com/X_SamURay63","@X_SamURay63")</f>
        <v>@X_SamURay63</v>
      </c>
      <c r="C7063" s="8" t="s">
        <v>2989</v>
      </c>
      <c r="D7063" s="8">
        <v>133</v>
      </c>
      <c r="E7063" s="8">
        <v>0</v>
      </c>
      <c r="F7063" s="8">
        <v>3904</v>
      </c>
    </row>
    <row r="7064" spans="1:6" ht="12.75">
      <c r="A7064" s="8">
        <v>43901.788587962961</v>
      </c>
      <c r="B7064" s="8" t="str">
        <f>HYPERLINK("https://twitter.com/ztw868992","@ztw868992")</f>
        <v>@ztw868992</v>
      </c>
      <c r="C7064" s="8" t="s">
        <v>2715</v>
      </c>
      <c r="D7064" s="8">
        <v>57</v>
      </c>
      <c r="E7064" s="8">
        <v>0</v>
      </c>
      <c r="F7064" s="8">
        <v>3833</v>
      </c>
    </row>
    <row r="7065" spans="1:6" ht="12.75">
      <c r="A7065" s="8">
        <v>43901.788194444445</v>
      </c>
      <c r="B7065" s="8" t="str">
        <f>HYPERLINK("https://twitter.com/Nadila_ID","@Nadila_ID")</f>
        <v>@Nadila_ID</v>
      </c>
      <c r="C7065" s="8" t="s">
        <v>3387</v>
      </c>
      <c r="D7065" s="8">
        <v>0</v>
      </c>
      <c r="E7065" s="8">
        <v>0</v>
      </c>
      <c r="F7065" s="8">
        <v>7172</v>
      </c>
    </row>
    <row r="7066" spans="1:6" ht="12.75">
      <c r="A7066" s="8">
        <v>43901.787928240738</v>
      </c>
      <c r="B7066" s="8" t="str">
        <f>HYPERLINK("https://twitter.com/PecanduCahaya","@PecanduCahaya")</f>
        <v>@PecanduCahaya</v>
      </c>
      <c r="C7066" s="8" t="s">
        <v>3388</v>
      </c>
      <c r="D7066" s="8">
        <v>0</v>
      </c>
      <c r="E7066" s="8">
        <v>0</v>
      </c>
      <c r="F7066" s="8">
        <v>473</v>
      </c>
    </row>
    <row r="7067" spans="1:6" ht="12.75">
      <c r="A7067" s="8">
        <v>43901.787627314814</v>
      </c>
      <c r="B7067" s="8" t="str">
        <f>HYPERLINK("https://twitter.com/ImigrasiPO","@ImigrasiPO")</f>
        <v>@ImigrasiPO</v>
      </c>
      <c r="C7067" s="8" t="s">
        <v>3374</v>
      </c>
      <c r="D7067" s="8">
        <v>0</v>
      </c>
      <c r="E7067" s="8">
        <v>0</v>
      </c>
      <c r="F7067" s="8">
        <v>73</v>
      </c>
    </row>
    <row r="7068" spans="1:6" ht="12.75">
      <c r="A7068" s="8">
        <v>43901.787210648152</v>
      </c>
      <c r="B7068" s="8" t="str">
        <f>HYPERLINK("https://twitter.com/ylchaniago","@ylchaniago")</f>
        <v>@ylchaniago</v>
      </c>
      <c r="C7068" s="8" t="s">
        <v>3389</v>
      </c>
      <c r="D7068" s="8">
        <v>0</v>
      </c>
      <c r="E7068" s="8">
        <v>0</v>
      </c>
      <c r="F7068" s="8">
        <v>5274</v>
      </c>
    </row>
    <row r="7069" spans="1:6" ht="12.75">
      <c r="A7069" s="8">
        <v>43901.787175925929</v>
      </c>
      <c r="B7069" s="8" t="str">
        <f>HYPERLINK("https://twitter.com/radarbangsa_com","@radarbangsa_com")</f>
        <v>@radarbangsa_com</v>
      </c>
      <c r="C7069" s="8" t="s">
        <v>3390</v>
      </c>
      <c r="D7069" s="8">
        <v>0</v>
      </c>
      <c r="E7069" s="8">
        <v>0</v>
      </c>
      <c r="F7069" s="8">
        <v>2274</v>
      </c>
    </row>
    <row r="7070" spans="1:6" ht="12.75">
      <c r="A7070" s="8">
        <v>43901.787106481483</v>
      </c>
      <c r="B7070" s="8" t="str">
        <f>HYPERLINK("https://twitter.com/dwnsaa_","@dwnsaa_")</f>
        <v>@dwnsaa_</v>
      </c>
      <c r="C7070" s="8" t="s">
        <v>3391</v>
      </c>
      <c r="D7070" s="8">
        <v>0</v>
      </c>
      <c r="E7070" s="8">
        <v>0</v>
      </c>
      <c r="F7070" s="8">
        <v>81</v>
      </c>
    </row>
    <row r="7071" spans="1:6" ht="12.75">
      <c r="A7071" s="8">
        <v>43901.786458333328</v>
      </c>
      <c r="B7071" s="8" t="str">
        <f>HYPERLINK("https://twitter.com/ddprameswari","@ddprameswari")</f>
        <v>@ddprameswari</v>
      </c>
      <c r="C7071" s="8" t="s">
        <v>3392</v>
      </c>
      <c r="D7071" s="8">
        <v>0</v>
      </c>
      <c r="E7071" s="8">
        <v>0</v>
      </c>
      <c r="F7071" s="8">
        <v>55</v>
      </c>
    </row>
    <row r="7072" spans="1:6" ht="12.75">
      <c r="A7072" s="8">
        <v>43901.786076388889</v>
      </c>
      <c r="B7072" s="8" t="str">
        <f>HYPERLINK("https://twitter.com/JondresyT","@JondresyT")</f>
        <v>@JondresyT</v>
      </c>
      <c r="C7072" s="8" t="s">
        <v>1186</v>
      </c>
      <c r="D7072" s="8">
        <v>387</v>
      </c>
      <c r="E7072" s="8">
        <v>0</v>
      </c>
      <c r="F7072" s="8">
        <v>140</v>
      </c>
    </row>
    <row r="7073" spans="1:6" ht="12.75">
      <c r="A7073" s="8">
        <v>43901.785196759258</v>
      </c>
      <c r="B7073" s="8" t="str">
        <f>HYPERLINK("https://twitter.com/Imigrasilangsa","@Imigrasilangsa")</f>
        <v>@Imigrasilangsa</v>
      </c>
      <c r="C7073" s="8" t="s">
        <v>3393</v>
      </c>
      <c r="D7073" s="8">
        <v>0</v>
      </c>
      <c r="E7073" s="8">
        <v>0</v>
      </c>
      <c r="F7073" s="8">
        <v>52</v>
      </c>
    </row>
    <row r="7074" spans="1:6" ht="12.75">
      <c r="A7074" s="8">
        <v>43901.785115740742</v>
      </c>
      <c r="B7074" s="8" t="str">
        <f>HYPERLINK("https://twitter.com/teeltuiter","@teeltuiter")</f>
        <v>@teeltuiter</v>
      </c>
      <c r="C7074" s="8" t="s">
        <v>3190</v>
      </c>
      <c r="D7074" s="8">
        <v>157</v>
      </c>
      <c r="E7074" s="8">
        <v>0</v>
      </c>
      <c r="F7074" s="8">
        <v>0</v>
      </c>
    </row>
    <row r="7075" spans="1:6" ht="12.75">
      <c r="A7075" s="8">
        <v>43901.784884259258</v>
      </c>
      <c r="B7075" s="8" t="str">
        <f>HYPERLINK("https://twitter.com/tr4velcompass","@tr4velcompass")</f>
        <v>@tr4velcompass</v>
      </c>
      <c r="C7075" s="8" t="s">
        <v>3394</v>
      </c>
      <c r="D7075" s="8">
        <v>0</v>
      </c>
      <c r="E7075" s="8">
        <v>1</v>
      </c>
      <c r="F7075" s="8">
        <v>586</v>
      </c>
    </row>
    <row r="7076" spans="1:6" ht="12.75">
      <c r="A7076" s="8">
        <v>43901.784872685181</v>
      </c>
      <c r="B7076" s="8" t="str">
        <f>HYPERLINK("https://twitter.com/myozhyme","@myozhyme")</f>
        <v>@myozhyme</v>
      </c>
      <c r="C7076" s="8" t="s">
        <v>3395</v>
      </c>
      <c r="D7076" s="8">
        <v>1</v>
      </c>
      <c r="E7076" s="8">
        <v>0</v>
      </c>
      <c r="F7076" s="8">
        <v>11116</v>
      </c>
    </row>
    <row r="7077" spans="1:6" ht="12.75">
      <c r="A7077" s="8">
        <v>43901.784722222219</v>
      </c>
      <c r="B7077" s="8" t="str">
        <f>HYPERLINK("https://twitter.com/Imigrasilangsa","@Imigrasilangsa")</f>
        <v>@Imigrasilangsa</v>
      </c>
      <c r="C7077" s="8" t="s">
        <v>3396</v>
      </c>
      <c r="D7077" s="8">
        <v>0</v>
      </c>
      <c r="E7077" s="8">
        <v>0</v>
      </c>
      <c r="F7077" s="8">
        <v>52</v>
      </c>
    </row>
    <row r="7078" spans="1:6" ht="12.75">
      <c r="A7078" s="8">
        <v>43901.784351851849</v>
      </c>
      <c r="B7078" s="8" t="str">
        <f>HYPERLINK("https://twitter.com/Tommy93507168","@Tommy93507168")</f>
        <v>@Tommy93507168</v>
      </c>
      <c r="C7078" s="8" t="s">
        <v>3397</v>
      </c>
      <c r="D7078" s="8">
        <v>1</v>
      </c>
      <c r="E7078" s="8">
        <v>2</v>
      </c>
      <c r="F7078" s="8">
        <v>1260</v>
      </c>
    </row>
    <row r="7079" spans="1:6" ht="12.75">
      <c r="A7079" s="8">
        <v>43901.78424768518</v>
      </c>
      <c r="B7079" s="8" t="str">
        <f>HYPERLINK("https://twitter.com/Imigrasilangsa","@Imigrasilangsa")</f>
        <v>@Imigrasilangsa</v>
      </c>
      <c r="C7079" s="8" t="s">
        <v>3398</v>
      </c>
      <c r="D7079" s="8">
        <v>0</v>
      </c>
      <c r="E7079" s="8">
        <v>0</v>
      </c>
      <c r="F7079" s="8">
        <v>52</v>
      </c>
    </row>
    <row r="7080" spans="1:6" ht="12.75">
      <c r="A7080" s="8">
        <v>43901.784050925926</v>
      </c>
      <c r="B7080" s="8" t="str">
        <f>HYPERLINK("https://twitter.com/DatukTanMudo","@DatukTanMudo")</f>
        <v>@DatukTanMudo</v>
      </c>
      <c r="C7080" s="8" t="s">
        <v>1186</v>
      </c>
      <c r="D7080" s="8">
        <v>387</v>
      </c>
      <c r="E7080" s="8">
        <v>0</v>
      </c>
      <c r="F7080" s="8">
        <v>6</v>
      </c>
    </row>
    <row r="7081" spans="1:6" ht="12.75">
      <c r="A7081" s="8">
        <v>43901.783993055556</v>
      </c>
      <c r="B7081" s="8" t="str">
        <f>HYPERLINK("https://twitter.com/princemegalith","@princemegalith")</f>
        <v>@princemegalith</v>
      </c>
      <c r="C7081" s="8" t="s">
        <v>3399</v>
      </c>
      <c r="D7081" s="8">
        <v>0</v>
      </c>
      <c r="E7081" s="8">
        <v>0</v>
      </c>
      <c r="F7081" s="8">
        <v>453</v>
      </c>
    </row>
    <row r="7082" spans="1:6" ht="12.75">
      <c r="A7082" s="8">
        <v>43901.783449074079</v>
      </c>
      <c r="B7082" s="8" t="str">
        <f>HYPERLINK("https://twitter.com/wlndriag","@wlndriag")</f>
        <v>@wlndriag</v>
      </c>
      <c r="C7082" s="8" t="s">
        <v>2790</v>
      </c>
      <c r="D7082" s="8">
        <v>234</v>
      </c>
      <c r="E7082" s="8">
        <v>0</v>
      </c>
      <c r="F7082" s="8">
        <v>424</v>
      </c>
    </row>
    <row r="7083" spans="1:6" ht="12.75">
      <c r="A7083" s="8">
        <v>43901.783425925925</v>
      </c>
      <c r="B7083" s="8" t="str">
        <f>HYPERLINK("https://twitter.com/endeeste","@endeeste")</f>
        <v>@endeeste</v>
      </c>
      <c r="C7083" s="8" t="s">
        <v>2715</v>
      </c>
      <c r="D7083" s="8">
        <v>57</v>
      </c>
      <c r="E7083" s="8">
        <v>0</v>
      </c>
      <c r="F7083" s="8">
        <v>233</v>
      </c>
    </row>
    <row r="7084" spans="1:6" ht="12.75">
      <c r="A7084" s="8">
        <v>43901.783368055556</v>
      </c>
      <c r="B7084" s="8" t="str">
        <f>HYPERLINK("https://twitter.com/KBRI_Kuwait","@KBRI_Kuwait")</f>
        <v>@KBRI_Kuwait</v>
      </c>
      <c r="C7084" s="8" t="s">
        <v>3400</v>
      </c>
      <c r="D7084" s="8">
        <v>0</v>
      </c>
      <c r="E7084" s="8">
        <v>0</v>
      </c>
      <c r="F7084" s="8">
        <v>2595</v>
      </c>
    </row>
    <row r="7085" spans="1:6" ht="12.75">
      <c r="A7085" s="8">
        <v>43901.783263888894</v>
      </c>
      <c r="B7085" s="8" t="str">
        <f>HYPERLINK("https://twitter.com/ganjarshrex","@ganjarshrex")</f>
        <v>@ganjarshrex</v>
      </c>
      <c r="C7085" s="8" t="s">
        <v>1621</v>
      </c>
      <c r="D7085" s="8">
        <v>41</v>
      </c>
      <c r="E7085" s="8">
        <v>0</v>
      </c>
      <c r="F7085" s="8">
        <v>805</v>
      </c>
    </row>
    <row r="7086" spans="1:6" ht="12.75">
      <c r="A7086" s="8">
        <v>43901.782962962963</v>
      </c>
      <c r="B7086" s="8" t="str">
        <f>HYPERLINK("https://twitter.com/RECOVERADIO","@RECOVERADIO")</f>
        <v>@RECOVERADIO</v>
      </c>
      <c r="C7086" s="8" t="s">
        <v>3401</v>
      </c>
      <c r="D7086" s="8">
        <v>1</v>
      </c>
      <c r="E7086" s="8">
        <v>0</v>
      </c>
      <c r="F7086" s="8">
        <v>398</v>
      </c>
    </row>
    <row r="7087" spans="1:6" ht="12.75">
      <c r="A7087" s="8">
        <v>43901.782951388886</v>
      </c>
      <c r="B7087" s="8" t="str">
        <f>HYPERLINK("https://twitter.com/happidentwhite","@happidentwhite")</f>
        <v>@happidentwhite</v>
      </c>
      <c r="C7087" s="8" t="s">
        <v>3402</v>
      </c>
      <c r="D7087" s="8">
        <v>0</v>
      </c>
      <c r="E7087" s="8">
        <v>0</v>
      </c>
      <c r="F7087" s="8">
        <v>247</v>
      </c>
    </row>
    <row r="7088" spans="1:6" ht="12.75">
      <c r="A7088" s="8">
        <v>43901.782754629632</v>
      </c>
      <c r="B7088" s="8" t="str">
        <f>HYPERLINK("https://twitter.com/RadioElshinta","@RadioElshinta")</f>
        <v>@RadioElshinta</v>
      </c>
      <c r="C7088" s="8" t="s">
        <v>3403</v>
      </c>
      <c r="D7088" s="8">
        <v>1</v>
      </c>
      <c r="E7088" s="8">
        <v>1</v>
      </c>
      <c r="F7088" s="8">
        <v>3637500</v>
      </c>
    </row>
    <row r="7089" spans="1:6" ht="12.75">
      <c r="A7089" s="8">
        <v>43901.782743055555</v>
      </c>
      <c r="B7089" s="8" t="str">
        <f>HYPERLINK("https://twitter.com/anget__","@anget__")</f>
        <v>@anget__</v>
      </c>
      <c r="C7089" s="8" t="s">
        <v>2790</v>
      </c>
      <c r="D7089" s="8">
        <v>234</v>
      </c>
      <c r="E7089" s="8">
        <v>0</v>
      </c>
      <c r="F7089" s="8">
        <v>34</v>
      </c>
    </row>
    <row r="7090" spans="1:6" ht="12.75">
      <c r="A7090" s="8">
        <v>43901.782384259262</v>
      </c>
      <c r="B7090" s="8" t="str">
        <f>HYPERLINK("https://twitter.com/Imigrasilangsa","@Imigrasilangsa")</f>
        <v>@Imigrasilangsa</v>
      </c>
      <c r="C7090" s="8" t="s">
        <v>2958</v>
      </c>
      <c r="D7090" s="8">
        <v>0</v>
      </c>
      <c r="E7090" s="8">
        <v>0</v>
      </c>
      <c r="F7090" s="8">
        <v>52</v>
      </c>
    </row>
    <row r="7091" spans="1:6" ht="12.75">
      <c r="A7091" s="8">
        <v>43901.782349537039</v>
      </c>
      <c r="B7091" s="8" t="str">
        <f>HYPERLINK("https://twitter.com/ixi_iman","@ixi_iman")</f>
        <v>@ixi_iman</v>
      </c>
      <c r="C7091" s="8" t="s">
        <v>3404</v>
      </c>
      <c r="D7091" s="8">
        <v>0</v>
      </c>
      <c r="E7091" s="8">
        <v>0</v>
      </c>
      <c r="F7091" s="8">
        <v>225</v>
      </c>
    </row>
    <row r="7092" spans="1:6" ht="12.75">
      <c r="A7092" s="8">
        <v>43901.78188657407</v>
      </c>
      <c r="B7092" s="8" t="str">
        <f>HYPERLINK("https://twitter.com/EmyPalayukan","@EmyPalayukan")</f>
        <v>@EmyPalayukan</v>
      </c>
      <c r="C7092" s="8" t="s">
        <v>3405</v>
      </c>
      <c r="D7092" s="8">
        <v>88</v>
      </c>
      <c r="E7092" s="8">
        <v>0</v>
      </c>
      <c r="F7092" s="8">
        <v>808</v>
      </c>
    </row>
    <row r="7093" spans="1:6" ht="12.75">
      <c r="A7093" s="8">
        <v>43901.781793981485</v>
      </c>
      <c r="B7093" s="8" t="str">
        <f>HYPERLINK("https://twitter.com/dytoxs_eddy","@dytoxs_eddy")</f>
        <v>@dytoxs_eddy</v>
      </c>
      <c r="C7093" s="8" t="s">
        <v>2715</v>
      </c>
      <c r="D7093" s="8">
        <v>57</v>
      </c>
      <c r="E7093" s="8">
        <v>0</v>
      </c>
      <c r="F7093" s="8">
        <v>2481</v>
      </c>
    </row>
    <row r="7094" spans="1:6" ht="12.75">
      <c r="A7094" s="8">
        <v>43901.781655092593</v>
      </c>
      <c r="B7094" s="8" t="str">
        <f>HYPERLINK("https://twitter.com/ixi_iman","@ixi_iman")</f>
        <v>@ixi_iman</v>
      </c>
      <c r="C7094" s="8" t="s">
        <v>3406</v>
      </c>
      <c r="D7094" s="8">
        <v>0</v>
      </c>
      <c r="E7094" s="8">
        <v>0</v>
      </c>
      <c r="F7094" s="8">
        <v>225</v>
      </c>
    </row>
    <row r="7095" spans="1:6" ht="12.75">
      <c r="A7095" s="8">
        <v>43901.781655092593</v>
      </c>
      <c r="B7095" s="8" t="str">
        <f>HYPERLINK("https://twitter.com/HuChun_Mei","@HuChun_Mei")</f>
        <v>@HuChun_Mei</v>
      </c>
      <c r="C7095" s="8" t="s">
        <v>1801</v>
      </c>
      <c r="D7095" s="8">
        <v>321</v>
      </c>
      <c r="E7095" s="8">
        <v>0</v>
      </c>
      <c r="F7095" s="8">
        <v>61</v>
      </c>
    </row>
    <row r="7096" spans="1:6" ht="12.75">
      <c r="A7096" s="8">
        <v>43901.781527777777</v>
      </c>
      <c r="B7096" s="8" t="str">
        <f>HYPERLINK("https://twitter.com/regar_marwan","@regar_marwan")</f>
        <v>@regar_marwan</v>
      </c>
      <c r="C7096" s="8" t="s">
        <v>3407</v>
      </c>
      <c r="D7096" s="8">
        <v>0</v>
      </c>
      <c r="E7096" s="8">
        <v>0</v>
      </c>
      <c r="F7096" s="8">
        <v>542</v>
      </c>
    </row>
    <row r="7097" spans="1:6" ht="12.75">
      <c r="A7097" s="8">
        <v>43901.78052083333</v>
      </c>
      <c r="B7097" s="8" t="str">
        <f>HYPERLINK("https://twitter.com/urfuturewifeee","@urfuturewifeee")</f>
        <v>@urfuturewifeee</v>
      </c>
      <c r="C7097" s="8" t="s">
        <v>593</v>
      </c>
      <c r="D7097" s="8">
        <v>497</v>
      </c>
      <c r="E7097" s="8">
        <v>0</v>
      </c>
      <c r="F7097" s="8">
        <v>44</v>
      </c>
    </row>
    <row r="7098" spans="1:6" ht="12.75">
      <c r="A7098" s="8">
        <v>43901.78019675926</v>
      </c>
      <c r="B7098" s="8" t="str">
        <f>HYPERLINK("https://twitter.com/ISIS_Balik_NO","@ISIS_Balik_NO")</f>
        <v>@ISIS_Balik_NO</v>
      </c>
      <c r="C7098" s="8" t="s">
        <v>3408</v>
      </c>
      <c r="D7098" s="8">
        <v>0</v>
      </c>
      <c r="E7098" s="8">
        <v>0</v>
      </c>
      <c r="F7098" s="8">
        <v>6238</v>
      </c>
    </row>
    <row r="7099" spans="1:6" ht="12.75">
      <c r="A7099" s="8">
        <v>43901.780023148152</v>
      </c>
      <c r="B7099" s="8" t="str">
        <f>HYPERLINK("https://twitter.com/alaniafitri","@alaniafitri")</f>
        <v>@alaniafitri</v>
      </c>
      <c r="C7099" s="8" t="s">
        <v>3409</v>
      </c>
      <c r="D7099" s="8">
        <v>0</v>
      </c>
      <c r="E7099" s="8">
        <v>0</v>
      </c>
      <c r="F7099" s="8">
        <v>291</v>
      </c>
    </row>
    <row r="7100" spans="1:6" ht="12.75">
      <c r="A7100" s="8">
        <v>43901.780011574076</v>
      </c>
      <c r="B7100" s="8" t="str">
        <f>HYPERLINK("https://twitter.com/athfiiani","@athfiiani")</f>
        <v>@athfiiani</v>
      </c>
      <c r="C7100" s="8" t="s">
        <v>1800</v>
      </c>
      <c r="D7100" s="8">
        <v>31</v>
      </c>
      <c r="E7100" s="8">
        <v>0</v>
      </c>
      <c r="F7100" s="8">
        <v>349</v>
      </c>
    </row>
    <row r="7101" spans="1:6" ht="12.75">
      <c r="A7101" s="8">
        <v>43901.779872685191</v>
      </c>
      <c r="B7101" s="8" t="str">
        <f>HYPERLINK("https://twitter.com/tr4velcompass","@tr4velcompass")</f>
        <v>@tr4velcompass</v>
      </c>
      <c r="C7101" s="8" t="s">
        <v>3410</v>
      </c>
      <c r="D7101" s="8">
        <v>1</v>
      </c>
      <c r="E7101" s="8">
        <v>3</v>
      </c>
      <c r="F7101" s="8">
        <v>586</v>
      </c>
    </row>
    <row r="7102" spans="1:6" ht="12.75">
      <c r="A7102" s="8">
        <v>43901.779664351852</v>
      </c>
      <c r="B7102" s="8" t="str">
        <f>HYPERLINK("https://twitter.com/KorGwen","@KorGwen")</f>
        <v>@KorGwen</v>
      </c>
      <c r="C7102" s="8" t="s">
        <v>1801</v>
      </c>
      <c r="D7102" s="8">
        <v>321</v>
      </c>
      <c r="E7102" s="8">
        <v>0</v>
      </c>
      <c r="F7102" s="8">
        <v>194</v>
      </c>
    </row>
    <row r="7103" spans="1:6" ht="12.75">
      <c r="A7103" s="8">
        <v>43901.77952546296</v>
      </c>
      <c r="B7103" s="8" t="str">
        <f>HYPERLINK("https://twitter.com/ixi_iman","@ixi_iman")</f>
        <v>@ixi_iman</v>
      </c>
      <c r="C7103" s="8" t="s">
        <v>3411</v>
      </c>
      <c r="D7103" s="8">
        <v>0</v>
      </c>
      <c r="E7103" s="8">
        <v>0</v>
      </c>
      <c r="F7103" s="8">
        <v>225</v>
      </c>
    </row>
    <row r="7104" spans="1:6" ht="12.75">
      <c r="A7104" s="8">
        <v>43901.77952546296</v>
      </c>
      <c r="B7104" s="8" t="str">
        <f>HYPERLINK("https://twitter.com/JoeWongJava1","@JoeWongJava1")</f>
        <v>@JoeWongJava1</v>
      </c>
      <c r="C7104" s="8" t="s">
        <v>3412</v>
      </c>
      <c r="D7104" s="8">
        <v>0</v>
      </c>
      <c r="E7104" s="8">
        <v>1</v>
      </c>
      <c r="F7104" s="8">
        <v>175</v>
      </c>
    </row>
    <row r="7105" spans="1:6" ht="12.75">
      <c r="A7105" s="8">
        <v>43901.779039351852</v>
      </c>
      <c r="B7105" s="8" t="str">
        <f>HYPERLINK("https://twitter.com/ncuhidorowoni","@ncuhidorowoni")</f>
        <v>@ncuhidorowoni</v>
      </c>
      <c r="C7105" s="8" t="s">
        <v>3126</v>
      </c>
      <c r="D7105" s="8">
        <v>329</v>
      </c>
      <c r="E7105" s="8">
        <v>0</v>
      </c>
      <c r="F7105" s="8">
        <v>276</v>
      </c>
    </row>
    <row r="7106" spans="1:6" ht="12.75">
      <c r="A7106" s="8">
        <v>43901.778703703705</v>
      </c>
      <c r="B7106" s="8" t="str">
        <f>HYPERLINK("https://twitter.com/ISIS_Balik_NO","@ISIS_Balik_NO")</f>
        <v>@ISIS_Balik_NO</v>
      </c>
      <c r="C7106" s="8" t="s">
        <v>3413</v>
      </c>
      <c r="D7106" s="8">
        <v>0</v>
      </c>
      <c r="E7106" s="8">
        <v>0</v>
      </c>
      <c r="F7106" s="8">
        <v>6238</v>
      </c>
    </row>
    <row r="7107" spans="1:6" ht="12.75">
      <c r="A7107" s="8">
        <v>43901.778622685189</v>
      </c>
      <c r="B7107" s="8" t="str">
        <f>HYPERLINK("https://twitter.com/Hillwan","@Hillwan")</f>
        <v>@Hillwan</v>
      </c>
      <c r="C7107" s="8" t="s">
        <v>3414</v>
      </c>
      <c r="D7107" s="8">
        <v>15</v>
      </c>
      <c r="E7107" s="8">
        <v>0</v>
      </c>
      <c r="F7107" s="8">
        <v>177</v>
      </c>
    </row>
    <row r="7108" spans="1:6" ht="12.75">
      <c r="A7108" s="8">
        <v>43901.778113425928</v>
      </c>
      <c r="B7108" s="8" t="str">
        <f>HYPERLINK("https://twitter.com/adistychwijaya","@adistychwijaya")</f>
        <v>@adistychwijaya</v>
      </c>
      <c r="C7108" s="8" t="s">
        <v>318</v>
      </c>
      <c r="D7108" s="8">
        <v>1375</v>
      </c>
      <c r="E7108" s="8">
        <v>0</v>
      </c>
      <c r="F7108" s="8">
        <v>285</v>
      </c>
    </row>
    <row r="7109" spans="1:6" ht="12.75">
      <c r="A7109" s="8">
        <v>43901.778090277774</v>
      </c>
      <c r="B7109" s="8" t="str">
        <f>HYPERLINK("https://twitter.com/imamyahya200780","@imamyahya200780")</f>
        <v>@imamyahya200780</v>
      </c>
      <c r="C7109" s="8" t="s">
        <v>3415</v>
      </c>
      <c r="D7109" s="8">
        <v>1</v>
      </c>
      <c r="E7109" s="8">
        <v>0</v>
      </c>
      <c r="F7109" s="8">
        <v>429</v>
      </c>
    </row>
    <row r="7110" spans="1:6" ht="12.75">
      <c r="A7110" s="8">
        <v>43901.778090277774</v>
      </c>
      <c r="B7110" s="8" t="str">
        <f>HYPERLINK("https://twitter.com/ixi_iman","@ixi_iman")</f>
        <v>@ixi_iman</v>
      </c>
      <c r="C7110" s="8" t="s">
        <v>3416</v>
      </c>
      <c r="D7110" s="8">
        <v>0</v>
      </c>
      <c r="E7110" s="8">
        <v>0</v>
      </c>
      <c r="F7110" s="8">
        <v>225</v>
      </c>
    </row>
    <row r="7111" spans="1:6" ht="12.75">
      <c r="A7111" s="8">
        <v>43901.778009259258</v>
      </c>
      <c r="B7111" s="8" t="str">
        <f>HYPERLINK("https://twitter.com/ISIS_Balik_NO","@ISIS_Balik_NO")</f>
        <v>@ISIS_Balik_NO</v>
      </c>
      <c r="C7111" s="8" t="s">
        <v>3417</v>
      </c>
      <c r="D7111" s="8">
        <v>0</v>
      </c>
      <c r="E7111" s="8">
        <v>0</v>
      </c>
      <c r="F7111" s="8">
        <v>6238</v>
      </c>
    </row>
    <row r="7112" spans="1:6" ht="12.75">
      <c r="A7112" s="8">
        <v>43901.776967592596</v>
      </c>
      <c r="B7112" s="8" t="str">
        <f>HYPERLINK("https://twitter.com/ndafebry","@ndafebry")</f>
        <v>@ndafebry</v>
      </c>
      <c r="C7112" s="8" t="s">
        <v>1800</v>
      </c>
      <c r="D7112" s="8">
        <v>31</v>
      </c>
      <c r="E7112" s="8">
        <v>0</v>
      </c>
      <c r="F7112" s="8">
        <v>358</v>
      </c>
    </row>
    <row r="7113" spans="1:6" ht="12.75">
      <c r="A7113" s="8">
        <v>43901.776909722219</v>
      </c>
      <c r="B7113" s="8" t="str">
        <f>HYPERLINK("https://twitter.com/kher_ariefs","@kher_ariefs")</f>
        <v>@kher_ariefs</v>
      </c>
      <c r="C7113" s="8" t="s">
        <v>2537</v>
      </c>
      <c r="D7113" s="8">
        <v>64</v>
      </c>
      <c r="E7113" s="8">
        <v>0</v>
      </c>
      <c r="F7113" s="8">
        <v>373</v>
      </c>
    </row>
    <row r="7114" spans="1:6" ht="12.75">
      <c r="A7114" s="8">
        <v>43901.77643518518</v>
      </c>
      <c r="B7114" s="8" t="str">
        <f>HYPERLINK("https://twitter.com/ISIS_Balik_NO","@ISIS_Balik_NO")</f>
        <v>@ISIS_Balik_NO</v>
      </c>
      <c r="C7114" s="8" t="s">
        <v>3418</v>
      </c>
      <c r="D7114" s="8">
        <v>0</v>
      </c>
      <c r="E7114" s="8">
        <v>0</v>
      </c>
      <c r="F7114" s="8">
        <v>6238</v>
      </c>
    </row>
    <row r="7115" spans="1:6" ht="12.75">
      <c r="A7115" s="8">
        <v>43901.776388888888</v>
      </c>
      <c r="B7115" s="8" t="str">
        <f>HYPERLINK("https://twitter.com/jusstme4u","@jusstme4u")</f>
        <v>@jusstme4u</v>
      </c>
      <c r="C7115" s="8" t="s">
        <v>3419</v>
      </c>
      <c r="D7115" s="8">
        <v>0</v>
      </c>
      <c r="E7115" s="8">
        <v>0</v>
      </c>
      <c r="F7115" s="8">
        <v>75757</v>
      </c>
    </row>
    <row r="7116" spans="1:6" ht="12.75">
      <c r="A7116" s="8">
        <v>43901.775312500002</v>
      </c>
      <c r="B7116" s="8" t="str">
        <f>HYPERLINK("https://twitter.com/ISIS_Balik_NO","@ISIS_Balik_NO")</f>
        <v>@ISIS_Balik_NO</v>
      </c>
      <c r="C7116" s="8" t="s">
        <v>3420</v>
      </c>
      <c r="D7116" s="8">
        <v>0</v>
      </c>
      <c r="E7116" s="8">
        <v>0</v>
      </c>
      <c r="F7116" s="8">
        <v>6238</v>
      </c>
    </row>
    <row r="7117" spans="1:6" ht="12.75">
      <c r="A7117" s="8">
        <v>43901.775034722217</v>
      </c>
      <c r="B7117" s="8" t="str">
        <f>HYPERLINK("https://twitter.com/Nurkamariyah2","@Nurkamariyah2")</f>
        <v>@Nurkamariyah2</v>
      </c>
      <c r="C7117" s="8" t="s">
        <v>3217</v>
      </c>
      <c r="D7117" s="8">
        <v>1</v>
      </c>
      <c r="E7117" s="8">
        <v>0</v>
      </c>
      <c r="F7117" s="8">
        <v>26</v>
      </c>
    </row>
    <row r="7118" spans="1:6" ht="12.75">
      <c r="A7118" s="8">
        <v>43901.774895833332</v>
      </c>
      <c r="B7118" s="8" t="str">
        <f>HYPERLINK("https://twitter.com/kidoelkoe","@kidoelkoe")</f>
        <v>@kidoelkoe</v>
      </c>
      <c r="C7118" s="8" t="s">
        <v>318</v>
      </c>
      <c r="D7118" s="8">
        <v>1375</v>
      </c>
      <c r="E7118" s="8">
        <v>0</v>
      </c>
      <c r="F7118" s="8">
        <v>1684</v>
      </c>
    </row>
    <row r="7119" spans="1:6" ht="12.75">
      <c r="A7119" s="8">
        <v>43901.774247685185</v>
      </c>
      <c r="B7119" s="8" t="str">
        <f>HYPERLINK("https://twitter.com/ThantryRitha","@ThantryRitha")</f>
        <v>@ThantryRitha</v>
      </c>
      <c r="C7119" s="8" t="s">
        <v>3421</v>
      </c>
      <c r="D7119" s="8">
        <v>0</v>
      </c>
      <c r="E7119" s="8">
        <v>4</v>
      </c>
      <c r="F7119" s="8">
        <v>1819</v>
      </c>
    </row>
    <row r="7120" spans="1:6" ht="12.75">
      <c r="A7120" s="8">
        <v>43901.774212962962</v>
      </c>
      <c r="B7120" s="8" t="str">
        <f>HYPERLINK("https://twitter.com/MuhidinTeudumuk","@MuhidinTeudumuk")</f>
        <v>@MuhidinTeudumuk</v>
      </c>
      <c r="C7120" s="8" t="s">
        <v>3422</v>
      </c>
      <c r="D7120" s="8">
        <v>11</v>
      </c>
      <c r="E7120" s="8">
        <v>0</v>
      </c>
      <c r="F7120" s="8">
        <v>146</v>
      </c>
    </row>
    <row r="7121" spans="1:6" ht="12.75">
      <c r="A7121" s="8">
        <v>43901.77416666667</v>
      </c>
      <c r="B7121" s="8" t="str">
        <f>HYPERLINK("https://twitter.com/kevyetunelma","@kevyetunelma")</f>
        <v>@kevyetunelma</v>
      </c>
      <c r="C7121" s="8" t="s">
        <v>3423</v>
      </c>
      <c r="D7121" s="8">
        <v>0</v>
      </c>
      <c r="E7121" s="8">
        <v>0</v>
      </c>
      <c r="F7121" s="8">
        <v>413</v>
      </c>
    </row>
    <row r="7122" spans="1:6" ht="12.75">
      <c r="A7122" s="8">
        <v>43901.773680555554</v>
      </c>
      <c r="B7122" s="8" t="str">
        <f>HYPERLINK("https://twitter.com/ISIS_Balik_NO","@ISIS_Balik_NO")</f>
        <v>@ISIS_Balik_NO</v>
      </c>
      <c r="C7122" s="8" t="s">
        <v>3424</v>
      </c>
      <c r="D7122" s="8">
        <v>0</v>
      </c>
      <c r="E7122" s="8">
        <v>2</v>
      </c>
      <c r="F7122" s="8">
        <v>6238</v>
      </c>
    </row>
    <row r="7123" spans="1:6" ht="12.75">
      <c r="A7123" s="8">
        <v>43901.773611111115</v>
      </c>
      <c r="B7123" s="8" t="str">
        <f>HYPERLINK("https://twitter.com/SiJombloKreatif","@SiJombloKreatif")</f>
        <v>@SiJombloKreatif</v>
      </c>
      <c r="C7123" s="8" t="s">
        <v>3425</v>
      </c>
      <c r="D7123" s="8">
        <v>0</v>
      </c>
      <c r="E7123" s="8">
        <v>0</v>
      </c>
      <c r="F7123" s="8">
        <v>120839</v>
      </c>
    </row>
    <row r="7124" spans="1:6" ht="12.75">
      <c r="A7124" s="8">
        <v>43901.773483796293</v>
      </c>
      <c r="B7124" s="8" t="str">
        <f>HYPERLINK("https://twitter.com/ixi_iman","@ixi_iman")</f>
        <v>@ixi_iman</v>
      </c>
      <c r="C7124" s="8" t="s">
        <v>3426</v>
      </c>
      <c r="D7124" s="8">
        <v>0</v>
      </c>
      <c r="E7124" s="8">
        <v>0</v>
      </c>
      <c r="F7124" s="8">
        <v>225</v>
      </c>
    </row>
    <row r="7125" spans="1:6" ht="12.75">
      <c r="A7125" s="8">
        <v>43901.756655092591</v>
      </c>
      <c r="B7125" s="8" t="str">
        <f>HYPERLINK("https://twitter.com/ISIS_Balik_NO","@ISIS_Balik_NO")</f>
        <v>@ISIS_Balik_NO</v>
      </c>
      <c r="C7125" s="8" t="s">
        <v>3427</v>
      </c>
      <c r="D7125" s="8">
        <v>0</v>
      </c>
      <c r="E7125" s="8">
        <v>0</v>
      </c>
      <c r="F7125" s="8">
        <v>6237</v>
      </c>
    </row>
    <row r="7126" spans="1:6" ht="12.75">
      <c r="A7126" s="8">
        <v>43901.756481481483</v>
      </c>
      <c r="B7126" s="8" t="str">
        <f>HYPERLINK("https://twitter.com/yanto_desy","@yanto_desy")</f>
        <v>@yanto_desy</v>
      </c>
      <c r="C7126" s="8" t="s">
        <v>3428</v>
      </c>
      <c r="D7126" s="8">
        <v>0</v>
      </c>
      <c r="E7126" s="8">
        <v>0</v>
      </c>
      <c r="F7126" s="8">
        <v>408</v>
      </c>
    </row>
    <row r="7127" spans="1:6" ht="12.75">
      <c r="A7127" s="8">
        <v>43901.756249999999</v>
      </c>
      <c r="B7127" s="8" t="str">
        <f>HYPERLINK("https://twitter.com/sarifmaksum","@sarifmaksum")</f>
        <v>@sarifmaksum</v>
      </c>
      <c r="C7127" s="8" t="s">
        <v>1800</v>
      </c>
      <c r="D7127" s="8">
        <v>25</v>
      </c>
      <c r="E7127" s="8">
        <v>0</v>
      </c>
      <c r="F7127" s="8">
        <v>175</v>
      </c>
    </row>
    <row r="7128" spans="1:6" ht="12.75">
      <c r="A7128" s="8">
        <v>43901.755856481483</v>
      </c>
      <c r="B7128" s="8" t="str">
        <f>HYPERLINK("https://twitter.com/anteqosn","@anteqosn")</f>
        <v>@anteqosn</v>
      </c>
      <c r="C7128" s="8" t="s">
        <v>2790</v>
      </c>
      <c r="D7128" s="8">
        <v>228</v>
      </c>
      <c r="E7128" s="8">
        <v>0</v>
      </c>
      <c r="F7128" s="8">
        <v>1191</v>
      </c>
    </row>
    <row r="7129" spans="1:6" ht="12.75">
      <c r="A7129" s="8">
        <v>43901.755752314813</v>
      </c>
      <c r="B7129" s="8" t="str">
        <f>HYPERLINK("https://twitter.com/ISIS_Balik_NO","@ISIS_Balik_NO")</f>
        <v>@ISIS_Balik_NO</v>
      </c>
      <c r="C7129" s="8" t="s">
        <v>3429</v>
      </c>
      <c r="D7129" s="8">
        <v>0</v>
      </c>
      <c r="E7129" s="8">
        <v>0</v>
      </c>
      <c r="F7129" s="8">
        <v>6237</v>
      </c>
    </row>
    <row r="7130" spans="1:6" ht="12.75">
      <c r="A7130" s="8">
        <v>43901.755555555559</v>
      </c>
      <c r="B7130" s="8" t="str">
        <f>HYPERLINK("https://twitter.com/pesanbijakk","@pesanbijakk")</f>
        <v>@pesanbijakk</v>
      </c>
      <c r="C7130" s="8" t="s">
        <v>3430</v>
      </c>
      <c r="D7130" s="8">
        <v>0</v>
      </c>
      <c r="E7130" s="8">
        <v>0</v>
      </c>
      <c r="F7130" s="8">
        <v>94059</v>
      </c>
    </row>
    <row r="7131" spans="1:6" ht="12.75">
      <c r="A7131" s="8">
        <v>43901.755439814813</v>
      </c>
      <c r="B7131" s="8" t="str">
        <f>HYPERLINK("https://twitter.com/rimbunDSArios","@rimbunDSArios")</f>
        <v>@rimbunDSArios</v>
      </c>
      <c r="C7131" s="8" t="s">
        <v>3431</v>
      </c>
      <c r="D7131" s="8">
        <v>2</v>
      </c>
      <c r="E7131" s="8">
        <v>0</v>
      </c>
      <c r="F7131" s="8">
        <v>27</v>
      </c>
    </row>
    <row r="7132" spans="1:6" ht="12.75">
      <c r="A7132" s="8">
        <v>43901.755150462966</v>
      </c>
      <c r="B7132" s="8" t="str">
        <f>HYPERLINK("https://twitter.com/MixerNeverland","@MixerNeverland")</f>
        <v>@MixerNeverland</v>
      </c>
      <c r="C7132" s="8" t="s">
        <v>3432</v>
      </c>
      <c r="D7132" s="8">
        <v>0</v>
      </c>
      <c r="E7132" s="8">
        <v>0</v>
      </c>
      <c r="F7132" s="8">
        <v>322</v>
      </c>
    </row>
    <row r="7133" spans="1:6" ht="12.75">
      <c r="A7133" s="8">
        <v>43901.755115740743</v>
      </c>
      <c r="B7133" s="8" t="str">
        <f>HYPERLINK("https://twitter.com/ixi_iman","@ixi_iman")</f>
        <v>@ixi_iman</v>
      </c>
      <c r="C7133" s="8" t="s">
        <v>3433</v>
      </c>
      <c r="D7133" s="8">
        <v>0</v>
      </c>
      <c r="E7133" s="8">
        <v>0</v>
      </c>
      <c r="F7133" s="8">
        <v>225</v>
      </c>
    </row>
    <row r="7134" spans="1:6" ht="12.75">
      <c r="A7134" s="8">
        <v>43901.755069444444</v>
      </c>
      <c r="B7134" s="8" t="str">
        <f>HYPERLINK("https://twitter.com/BrandenBernabeu","@BrandenBernabeu")</f>
        <v>@BrandenBernabeu</v>
      </c>
      <c r="C7134" s="8" t="s">
        <v>2537</v>
      </c>
      <c r="D7134" s="8">
        <v>63</v>
      </c>
      <c r="E7134" s="8">
        <v>0</v>
      </c>
      <c r="F7134" s="8">
        <v>1309</v>
      </c>
    </row>
    <row r="7135" spans="1:6" ht="12.75">
      <c r="A7135" s="8">
        <v>43901.754965277782</v>
      </c>
      <c r="B7135" s="8" t="str">
        <f>HYPERLINK("https://twitter.com/rezky_ris","@rezky_ris")</f>
        <v>@rezky_ris</v>
      </c>
      <c r="C7135" s="8" t="s">
        <v>3434</v>
      </c>
      <c r="D7135" s="8">
        <v>0</v>
      </c>
      <c r="E7135" s="8">
        <v>0</v>
      </c>
      <c r="F7135" s="8">
        <v>1053</v>
      </c>
    </row>
    <row r="7136" spans="1:6" ht="12.75">
      <c r="A7136" s="8">
        <v>43901.754733796297</v>
      </c>
      <c r="B7136" s="8" t="str">
        <f>HYPERLINK("https://twitter.com/nia_wonnieELF","@nia_wonnieELF")</f>
        <v>@nia_wonnieELF</v>
      </c>
      <c r="C7136" s="8" t="s">
        <v>104</v>
      </c>
      <c r="D7136" s="8">
        <v>113</v>
      </c>
      <c r="E7136" s="8">
        <v>0</v>
      </c>
      <c r="F7136" s="8">
        <v>254</v>
      </c>
    </row>
    <row r="7137" spans="1:6" ht="12.75">
      <c r="A7137" s="8">
        <v>43901.754027777773</v>
      </c>
      <c r="B7137" s="8" t="str">
        <f>HYPERLINK("https://twitter.com/callmekongg","@callmekongg")</f>
        <v>@callmekongg</v>
      </c>
      <c r="C7137" s="8" t="s">
        <v>3435</v>
      </c>
      <c r="D7137" s="8">
        <v>1</v>
      </c>
      <c r="E7137" s="8">
        <v>0</v>
      </c>
      <c r="F7137" s="8">
        <v>315</v>
      </c>
    </row>
    <row r="7138" spans="1:6" ht="12.75">
      <c r="A7138" s="8">
        <v>43901.753958333335</v>
      </c>
      <c r="B7138" s="8" t="str">
        <f>HYPERLINK("https://twitter.com/CakL1571","@CakL1571")</f>
        <v>@CakL1571</v>
      </c>
      <c r="C7138" s="8" t="s">
        <v>3436</v>
      </c>
      <c r="D7138" s="8">
        <v>7</v>
      </c>
      <c r="E7138" s="8">
        <v>0</v>
      </c>
      <c r="F7138" s="8">
        <v>86</v>
      </c>
    </row>
    <row r="7139" spans="1:6" ht="12.75">
      <c r="A7139" s="8">
        <v>43901.753912037035</v>
      </c>
      <c r="B7139" s="8" t="str">
        <f>HYPERLINK("https://twitter.com/YokiezRocker","@YokiezRocker")</f>
        <v>@YokiezRocker</v>
      </c>
      <c r="C7139" s="8" t="s">
        <v>318</v>
      </c>
      <c r="D7139" s="8">
        <v>1368</v>
      </c>
      <c r="E7139" s="8">
        <v>0</v>
      </c>
      <c r="F7139" s="8">
        <v>20</v>
      </c>
    </row>
    <row r="7140" spans="1:6" ht="12.75">
      <c r="A7140" s="8">
        <v>43901.753576388888</v>
      </c>
      <c r="B7140" s="8" t="str">
        <f>HYPERLINK("https://twitter.com/maudynv","@maudynv")</f>
        <v>@maudynv</v>
      </c>
      <c r="C7140" s="8" t="s">
        <v>3437</v>
      </c>
      <c r="D7140" s="8">
        <v>8</v>
      </c>
      <c r="E7140" s="8">
        <v>0</v>
      </c>
      <c r="F7140" s="8">
        <v>639</v>
      </c>
    </row>
    <row r="7141" spans="1:6" ht="12.75">
      <c r="A7141" s="8">
        <v>43901.75309027778</v>
      </c>
      <c r="B7141" s="8" t="str">
        <f>HYPERLINK("https://twitter.com/AloelAsheen","@AloelAsheen")</f>
        <v>@AloelAsheen</v>
      </c>
      <c r="C7141" s="8" t="s">
        <v>2989</v>
      </c>
      <c r="D7141" s="8">
        <v>126</v>
      </c>
      <c r="E7141" s="8">
        <v>0</v>
      </c>
      <c r="F7141" s="8">
        <v>28</v>
      </c>
    </row>
    <row r="7142" spans="1:6" ht="12.75">
      <c r="A7142" s="8">
        <v>43901.752824074079</v>
      </c>
      <c r="B7142" s="8" t="str">
        <f>HYPERLINK("https://twitter.com/IvandiPm","@IvandiPm")</f>
        <v>@IvandiPm</v>
      </c>
      <c r="C7142" s="8" t="s">
        <v>2715</v>
      </c>
      <c r="D7142" s="8">
        <v>53</v>
      </c>
      <c r="E7142" s="8">
        <v>0</v>
      </c>
      <c r="F7142" s="8">
        <v>15</v>
      </c>
    </row>
    <row r="7143" spans="1:6" ht="12.75">
      <c r="A7143" s="8">
        <v>43901.752789351856</v>
      </c>
      <c r="B7143" s="8" t="str">
        <f>HYPERLINK("https://twitter.com/deddyhariadi","@deddyhariadi")</f>
        <v>@deddyhariadi</v>
      </c>
      <c r="C7143" s="8" t="s">
        <v>1800</v>
      </c>
      <c r="D7143" s="8">
        <v>25</v>
      </c>
      <c r="E7143" s="8">
        <v>0</v>
      </c>
      <c r="F7143" s="8">
        <v>379</v>
      </c>
    </row>
    <row r="7144" spans="1:6" ht="12.75">
      <c r="A7144" s="8">
        <v>43901.751458333332</v>
      </c>
      <c r="B7144" s="8" t="str">
        <f>HYPERLINK("https://twitter.com/rooqkie","@rooqkie")</f>
        <v>@rooqkie</v>
      </c>
      <c r="C7144" s="8" t="s">
        <v>2790</v>
      </c>
      <c r="D7144" s="8">
        <v>228</v>
      </c>
      <c r="E7144" s="8">
        <v>0</v>
      </c>
      <c r="F7144" s="8">
        <v>1137</v>
      </c>
    </row>
    <row r="7145" spans="1:6" ht="12.75">
      <c r="A7145" s="8">
        <v>43901.751192129625</v>
      </c>
      <c r="B7145" s="8" t="str">
        <f>HYPERLINK("https://twitter.com/DodiDido20","@DodiDido20")</f>
        <v>@DodiDido20</v>
      </c>
      <c r="C7145" s="8" t="s">
        <v>318</v>
      </c>
      <c r="D7145" s="8">
        <v>1368</v>
      </c>
      <c r="E7145" s="8">
        <v>0</v>
      </c>
      <c r="F7145" s="8">
        <v>1</v>
      </c>
    </row>
    <row r="7146" spans="1:6" ht="12.75">
      <c r="A7146" s="8">
        <v>43901.751099537039</v>
      </c>
      <c r="B7146" s="8" t="str">
        <f>HYPERLINK("https://twitter.com/ISIS_Balik_NO","@ISIS_Balik_NO")</f>
        <v>@ISIS_Balik_NO</v>
      </c>
      <c r="C7146" s="8" t="s">
        <v>3438</v>
      </c>
      <c r="D7146" s="8">
        <v>0</v>
      </c>
      <c r="E7146" s="8">
        <v>0</v>
      </c>
      <c r="F7146" s="8">
        <v>6237</v>
      </c>
    </row>
    <row r="7147" spans="1:6" ht="12.75">
      <c r="A7147" s="8">
        <v>43901.750798611116</v>
      </c>
      <c r="B7147" s="8" t="str">
        <f>HYPERLINK("https://twitter.com/AXAIndonesia","@AXAIndonesia")</f>
        <v>@AXAIndonesia</v>
      </c>
      <c r="C7147" s="8" t="s">
        <v>3439</v>
      </c>
      <c r="D7147" s="8">
        <v>0</v>
      </c>
      <c r="E7147" s="8">
        <v>0</v>
      </c>
      <c r="F7147" s="8">
        <v>108995</v>
      </c>
    </row>
    <row r="7148" spans="1:6" ht="12.75">
      <c r="A7148" s="8">
        <v>43901.750578703708</v>
      </c>
      <c r="B7148" s="8" t="str">
        <f>HYPERLINK("https://twitter.com/jaertsy","@jaertsy")</f>
        <v>@jaertsy</v>
      </c>
      <c r="C7148" s="8" t="s">
        <v>3440</v>
      </c>
      <c r="D7148" s="8">
        <v>0</v>
      </c>
      <c r="E7148" s="8">
        <v>0</v>
      </c>
      <c r="F7148" s="8">
        <v>109</v>
      </c>
    </row>
    <row r="7149" spans="1:6" ht="12.75">
      <c r="A7149" s="8">
        <v>43901.750208333338</v>
      </c>
      <c r="B7149" s="8" t="str">
        <f>HYPERLINK("https://twitter.com/azoel_together","@azoel_together")</f>
        <v>@azoel_together</v>
      </c>
      <c r="C7149" s="8" t="s">
        <v>1186</v>
      </c>
      <c r="D7149" s="8">
        <v>381</v>
      </c>
      <c r="E7149" s="8">
        <v>0</v>
      </c>
      <c r="F7149" s="8">
        <v>465</v>
      </c>
    </row>
    <row r="7150" spans="1:6" ht="12.75">
      <c r="A7150" s="8">
        <v>43901.750173611115</v>
      </c>
      <c r="B7150" s="8" t="str">
        <f>HYPERLINK("https://twitter.com/ISIS_Balik_NO","@ISIS_Balik_NO")</f>
        <v>@ISIS_Balik_NO</v>
      </c>
      <c r="C7150" s="8" t="s">
        <v>3441</v>
      </c>
      <c r="D7150" s="8">
        <v>0</v>
      </c>
      <c r="E7150" s="8">
        <v>0</v>
      </c>
      <c r="F7150" s="8">
        <v>6237</v>
      </c>
    </row>
    <row r="7151" spans="1:6" ht="12.75">
      <c r="A7151" s="8">
        <v>43901.75</v>
      </c>
      <c r="B7151" s="8" t="str">
        <f>HYPERLINK("https://twitter.com/GoTotheJek","@GoTotheJek")</f>
        <v>@GoTotheJek</v>
      </c>
      <c r="C7151" s="8" t="s">
        <v>2786</v>
      </c>
      <c r="D7151" s="8">
        <v>3</v>
      </c>
      <c r="E7151" s="8">
        <v>0</v>
      </c>
      <c r="F7151" s="8">
        <v>780</v>
      </c>
    </row>
    <row r="7152" spans="1:6" ht="12.75">
      <c r="A7152" s="8">
        <v>43901.748969907407</v>
      </c>
      <c r="B7152" s="8" t="str">
        <f>HYPERLINK("https://twitter.com/noorhajiyanto9","@noorhajiyanto9")</f>
        <v>@noorhajiyanto9</v>
      </c>
      <c r="C7152" s="8" t="s">
        <v>2715</v>
      </c>
      <c r="D7152" s="8">
        <v>53</v>
      </c>
      <c r="E7152" s="8">
        <v>0</v>
      </c>
      <c r="F7152" s="8">
        <v>227</v>
      </c>
    </row>
    <row r="7153" spans="1:6" ht="12.75">
      <c r="A7153" s="8">
        <v>43901.748182870375</v>
      </c>
      <c r="B7153" s="8" t="str">
        <f>HYPERLINK("https://twitter.com/88Covid","@88Covid")</f>
        <v>@88Covid</v>
      </c>
      <c r="C7153" s="8" t="s">
        <v>3442</v>
      </c>
      <c r="D7153" s="8">
        <v>0</v>
      </c>
      <c r="E7153" s="8">
        <v>1</v>
      </c>
      <c r="F7153" s="8">
        <v>33</v>
      </c>
    </row>
    <row r="7154" spans="1:6" ht="12.75">
      <c r="A7154" s="8">
        <v>43901.74790509259</v>
      </c>
      <c r="B7154" s="8" t="str">
        <f>HYPERLINK("https://twitter.com/lemooniee","@lemooniee")</f>
        <v>@lemooniee</v>
      </c>
      <c r="C7154" s="8" t="s">
        <v>3443</v>
      </c>
      <c r="D7154" s="8">
        <v>0</v>
      </c>
      <c r="E7154" s="8">
        <v>0</v>
      </c>
      <c r="F7154" s="8">
        <v>1576</v>
      </c>
    </row>
    <row r="7155" spans="1:6" ht="12.75">
      <c r="A7155" s="8">
        <v>43901.747465277775</v>
      </c>
      <c r="B7155" s="8" t="str">
        <f>HYPERLINK("https://twitter.com/deddyhariadi","@deddyhariadi")</f>
        <v>@deddyhariadi</v>
      </c>
      <c r="C7155" s="8" t="s">
        <v>2942</v>
      </c>
      <c r="D7155" s="8">
        <v>23</v>
      </c>
      <c r="E7155" s="8">
        <v>0</v>
      </c>
      <c r="F7155" s="8">
        <v>379</v>
      </c>
    </row>
    <row r="7156" spans="1:6" ht="12.75">
      <c r="A7156" s="8">
        <v>43901.747106481482</v>
      </c>
      <c r="B7156" s="8" t="str">
        <f>HYPERLINK("https://twitter.com/fa_qof","@fa_qof")</f>
        <v>@fa_qof</v>
      </c>
      <c r="C7156" s="8" t="s">
        <v>3377</v>
      </c>
      <c r="D7156" s="8">
        <v>4</v>
      </c>
      <c r="E7156" s="8">
        <v>0</v>
      </c>
      <c r="F7156" s="8">
        <v>296</v>
      </c>
    </row>
    <row r="7157" spans="1:6" ht="12.75">
      <c r="A7157" s="8">
        <v>43901.747083333335</v>
      </c>
      <c r="B7157" s="8" t="str">
        <f>HYPERLINK("https://twitter.com/Msyukron4","@Msyukron4")</f>
        <v>@Msyukron4</v>
      </c>
      <c r="C7157" s="8" t="s">
        <v>3444</v>
      </c>
      <c r="D7157" s="8">
        <v>0</v>
      </c>
      <c r="E7157" s="8">
        <v>0</v>
      </c>
      <c r="F7157" s="8">
        <v>251</v>
      </c>
    </row>
    <row r="7158" spans="1:6" ht="12.75">
      <c r="A7158" s="8">
        <v>43901.746712962966</v>
      </c>
      <c r="B7158" s="8" t="str">
        <f>HYPERLINK("https://twitter.com/heyataa","@heyataa")</f>
        <v>@heyataa</v>
      </c>
      <c r="C7158" s="8" t="s">
        <v>3437</v>
      </c>
      <c r="D7158" s="8">
        <v>8</v>
      </c>
      <c r="E7158" s="8">
        <v>0</v>
      </c>
      <c r="F7158" s="8">
        <v>471</v>
      </c>
    </row>
    <row r="7159" spans="1:6" ht="12.75">
      <c r="A7159" s="8">
        <v>43901.746574074074</v>
      </c>
      <c r="B7159" s="8" t="str">
        <f>HYPERLINK("https://twitter.com/K_Muslim_UNRAM","@K_Muslim_UNRAM")</f>
        <v>@K_Muslim_UNRAM</v>
      </c>
      <c r="C7159" s="8" t="s">
        <v>2715</v>
      </c>
      <c r="D7159" s="8">
        <v>53</v>
      </c>
      <c r="E7159" s="8">
        <v>0</v>
      </c>
      <c r="F7159" s="8">
        <v>1463</v>
      </c>
    </row>
    <row r="7160" spans="1:6" ht="12.75">
      <c r="A7160" s="8">
        <v>43901.74590277778</v>
      </c>
      <c r="B7160" s="8" t="str">
        <f>HYPERLINK("https://twitter.com/RiriJreeng","@RiriJreeng")</f>
        <v>@RiriJreeng</v>
      </c>
      <c r="C7160" s="8" t="s">
        <v>2715</v>
      </c>
      <c r="D7160" s="8">
        <v>53</v>
      </c>
      <c r="E7160" s="8">
        <v>0</v>
      </c>
      <c r="F7160" s="8">
        <v>5865</v>
      </c>
    </row>
    <row r="7161" spans="1:6" ht="12.75">
      <c r="A7161" s="8">
        <v>43901.745752314819</v>
      </c>
      <c r="B7161" s="8" t="str">
        <f>HYPERLINK("https://twitter.com/meylindjoe","@meylindjoe")</f>
        <v>@meylindjoe</v>
      </c>
      <c r="C7161" s="8" t="s">
        <v>3445</v>
      </c>
      <c r="D7161" s="8">
        <v>0</v>
      </c>
      <c r="E7161" s="8">
        <v>0</v>
      </c>
      <c r="F7161" s="8">
        <v>86</v>
      </c>
    </row>
    <row r="7162" spans="1:6" ht="12.75">
      <c r="A7162" s="8">
        <v>43901.745717592596</v>
      </c>
      <c r="B7162" s="8" t="str">
        <f>HYPERLINK("https://twitter.com/isnnifree","@isnnifree")</f>
        <v>@isnnifree</v>
      </c>
      <c r="C7162" s="8" t="s">
        <v>3437</v>
      </c>
      <c r="D7162" s="8">
        <v>8</v>
      </c>
      <c r="E7162" s="8">
        <v>0</v>
      </c>
      <c r="F7162" s="8">
        <v>599</v>
      </c>
    </row>
    <row r="7163" spans="1:6" ht="12.75">
      <c r="A7163" s="8">
        <v>43901.745671296296</v>
      </c>
      <c r="B7163" s="8" t="str">
        <f>HYPERLINK("https://twitter.com/yutiyanto","@yutiyanto")</f>
        <v>@yutiyanto</v>
      </c>
      <c r="C7163" s="8" t="s">
        <v>318</v>
      </c>
      <c r="D7163" s="8">
        <v>1368</v>
      </c>
      <c r="E7163" s="8">
        <v>0</v>
      </c>
      <c r="F7163" s="8">
        <v>141</v>
      </c>
    </row>
    <row r="7164" spans="1:6" ht="12.75">
      <c r="A7164" s="8">
        <v>43901.745347222226</v>
      </c>
      <c r="B7164" s="8" t="str">
        <f>HYPERLINK("https://twitter.com/irsansanusi1","@irsansanusi1")</f>
        <v>@irsansanusi1</v>
      </c>
      <c r="C7164" s="8" t="s">
        <v>1186</v>
      </c>
      <c r="D7164" s="8">
        <v>381</v>
      </c>
      <c r="E7164" s="8">
        <v>0</v>
      </c>
      <c r="F7164" s="8">
        <v>133</v>
      </c>
    </row>
    <row r="7165" spans="1:6" ht="12.75">
      <c r="A7165" s="8">
        <v>43901.744745370372</v>
      </c>
      <c r="B7165" s="8" t="str">
        <f>HYPERLINK("https://twitter.com/causekimjennie","@causekimjennie")</f>
        <v>@causekimjennie</v>
      </c>
      <c r="C7165" s="8" t="s">
        <v>3446</v>
      </c>
      <c r="D7165" s="8">
        <v>0</v>
      </c>
      <c r="E7165" s="8">
        <v>0</v>
      </c>
      <c r="F7165" s="8">
        <v>154</v>
      </c>
    </row>
    <row r="7166" spans="1:6" ht="12.75">
      <c r="A7166" s="8">
        <v>43901.744444444441</v>
      </c>
      <c r="B7166" s="8" t="str">
        <f>HYPERLINK("https://twitter.com/Dreamcoid","@Dreamcoid")</f>
        <v>@Dreamcoid</v>
      </c>
      <c r="C7166" s="8" t="s">
        <v>3447</v>
      </c>
      <c r="D7166" s="8">
        <v>0</v>
      </c>
      <c r="E7166" s="8">
        <v>0</v>
      </c>
      <c r="F7166" s="8">
        <v>11590</v>
      </c>
    </row>
    <row r="7167" spans="1:6" ht="12.75">
      <c r="A7167" s="8">
        <v>43901.744166666671</v>
      </c>
      <c r="B7167" s="8" t="str">
        <f>HYPERLINK("https://twitter.com/puduhyuck_","@puduhyuck_")</f>
        <v>@puduhyuck_</v>
      </c>
      <c r="C7167" s="8" t="s">
        <v>3437</v>
      </c>
      <c r="D7167" s="8">
        <v>8</v>
      </c>
      <c r="E7167" s="8">
        <v>0</v>
      </c>
      <c r="F7167" s="8">
        <v>921</v>
      </c>
    </row>
    <row r="7168" spans="1:6" ht="12.75">
      <c r="A7168" s="8">
        <v>43901.744143518517</v>
      </c>
      <c r="B7168" s="8" t="str">
        <f>HYPERLINK("https://twitter.com/Bisniscom","@Bisniscom")</f>
        <v>@Bisniscom</v>
      </c>
      <c r="C7168" s="8" t="s">
        <v>3448</v>
      </c>
      <c r="D7168" s="8">
        <v>2</v>
      </c>
      <c r="E7168" s="8">
        <v>0</v>
      </c>
      <c r="F7168" s="8">
        <v>994444</v>
      </c>
    </row>
    <row r="7169" spans="1:6" ht="12.75">
      <c r="A7169" s="8">
        <v>43901.744097222225</v>
      </c>
      <c r="B7169" s="8" t="str">
        <f>HYPERLINK("https://twitter.com/whereisichan","@whereisichan")</f>
        <v>@whereisichan</v>
      </c>
      <c r="C7169" s="8" t="s">
        <v>3437</v>
      </c>
      <c r="D7169" s="8">
        <v>8</v>
      </c>
      <c r="E7169" s="8">
        <v>0</v>
      </c>
      <c r="F7169" s="8">
        <v>1211</v>
      </c>
    </row>
    <row r="7170" spans="1:6" ht="12.75">
      <c r="A7170" s="8">
        <v>43901.743935185186</v>
      </c>
      <c r="B7170" s="8" t="str">
        <f>HYPERLINK("https://twitter.com/ninukss","@ninukss")</f>
        <v>@ninukss</v>
      </c>
      <c r="C7170" s="8" t="s">
        <v>3449</v>
      </c>
      <c r="D7170" s="8">
        <v>0</v>
      </c>
      <c r="E7170" s="8">
        <v>1</v>
      </c>
      <c r="F7170" s="8">
        <v>186</v>
      </c>
    </row>
    <row r="7171" spans="1:6" ht="12.75">
      <c r="A7171" s="8">
        <v>43901.743900462963</v>
      </c>
      <c r="B7171" s="8" t="str">
        <f>HYPERLINK("https://twitter.com/aquaeror","@aquaeror")</f>
        <v>@aquaeror</v>
      </c>
      <c r="C7171" s="8" t="s">
        <v>3437</v>
      </c>
      <c r="D7171" s="8">
        <v>8</v>
      </c>
      <c r="E7171" s="8">
        <v>0</v>
      </c>
      <c r="F7171" s="8">
        <v>30</v>
      </c>
    </row>
    <row r="7172" spans="1:6" ht="12.75">
      <c r="A7172" s="8">
        <v>43901.743460648147</v>
      </c>
      <c r="B7172" s="8" t="str">
        <f>HYPERLINK("https://twitter.com/idiotresponder","@idiotresponder")</f>
        <v>@idiotresponder</v>
      </c>
      <c r="C7172" s="8" t="s">
        <v>1801</v>
      </c>
      <c r="D7172" s="8">
        <v>315</v>
      </c>
      <c r="E7172" s="8">
        <v>0</v>
      </c>
      <c r="F7172" s="8">
        <v>77</v>
      </c>
    </row>
    <row r="7173" spans="1:6" ht="12.75">
      <c r="A7173" s="8">
        <v>43901.743229166663</v>
      </c>
      <c r="B7173" s="8" t="str">
        <f>HYPERLINK("https://twitter.com/gumgummyn","@gumgummyn")</f>
        <v>@gumgummyn</v>
      </c>
      <c r="C7173" s="8" t="s">
        <v>2790</v>
      </c>
      <c r="D7173" s="8">
        <v>228</v>
      </c>
      <c r="E7173" s="8">
        <v>0</v>
      </c>
      <c r="F7173" s="8">
        <v>306</v>
      </c>
    </row>
    <row r="7174" spans="1:6" ht="12.75">
      <c r="A7174" s="8">
        <v>43901.743171296301</v>
      </c>
      <c r="B7174" s="8" t="str">
        <f>HYPERLINK("https://twitter.com/asumsico","@asumsico")</f>
        <v>@asumsico</v>
      </c>
      <c r="C7174" s="8" t="s">
        <v>3450</v>
      </c>
      <c r="D7174" s="8">
        <v>8</v>
      </c>
      <c r="E7174" s="8">
        <v>7</v>
      </c>
      <c r="F7174" s="8">
        <v>111936</v>
      </c>
    </row>
    <row r="7175" spans="1:6" ht="12.75">
      <c r="A7175" s="8">
        <v>43901.743159722224</v>
      </c>
      <c r="B7175" s="8" t="str">
        <f>HYPERLINK("https://twitter.com/pendividia","@pendividia")</f>
        <v>@pendividia</v>
      </c>
      <c r="C7175" s="8" t="s">
        <v>104</v>
      </c>
      <c r="D7175" s="8">
        <v>113</v>
      </c>
      <c r="E7175" s="8">
        <v>0</v>
      </c>
      <c r="F7175" s="8">
        <v>604</v>
      </c>
    </row>
    <row r="7176" spans="1:6" ht="12.75">
      <c r="A7176" s="8">
        <v>43901.743020833332</v>
      </c>
      <c r="B7176" s="8" t="str">
        <f>HYPERLINK("https://twitter.com/inu_ratih1","@inu_ratih1")</f>
        <v>@inu_ratih1</v>
      </c>
      <c r="C7176" s="8" t="s">
        <v>1186</v>
      </c>
      <c r="D7176" s="8">
        <v>381</v>
      </c>
      <c r="E7176" s="8">
        <v>0</v>
      </c>
      <c r="F7176" s="8">
        <v>101</v>
      </c>
    </row>
    <row r="7177" spans="1:6" ht="12.75">
      <c r="A7177" s="8">
        <v>43901.742858796293</v>
      </c>
      <c r="B7177" s="8" t="str">
        <f>HYPERLINK("https://twitter.com/areywong","@areywong")</f>
        <v>@areywong</v>
      </c>
      <c r="C7177" s="8" t="s">
        <v>318</v>
      </c>
      <c r="D7177" s="8">
        <v>1368</v>
      </c>
      <c r="E7177" s="8">
        <v>0</v>
      </c>
      <c r="F7177" s="8">
        <v>59</v>
      </c>
    </row>
    <row r="7178" spans="1:6" ht="12.75">
      <c r="A7178" s="8">
        <v>43901.742488425924</v>
      </c>
      <c r="B7178" s="8" t="str">
        <f>HYPERLINK("https://twitter.com/shanty88170663","@shanty88170663")</f>
        <v>@shanty88170663</v>
      </c>
      <c r="C7178" s="8" t="s">
        <v>1801</v>
      </c>
      <c r="D7178" s="8">
        <v>315</v>
      </c>
      <c r="E7178" s="8">
        <v>0</v>
      </c>
      <c r="F7178" s="8">
        <v>59</v>
      </c>
    </row>
    <row r="7179" spans="1:6" ht="12.75">
      <c r="A7179" s="8">
        <v>43901.742314814815</v>
      </c>
      <c r="B7179" s="8" t="str">
        <f>HYPERLINK("https://twitter.com/senorjoey","@senorjoey")</f>
        <v>@senorjoey</v>
      </c>
      <c r="C7179" s="8" t="s">
        <v>3451</v>
      </c>
      <c r="D7179" s="8">
        <v>0</v>
      </c>
      <c r="E7179" s="8">
        <v>0</v>
      </c>
      <c r="F7179" s="8">
        <v>2071</v>
      </c>
    </row>
    <row r="7180" spans="1:6" ht="12.75">
      <c r="A7180" s="8">
        <v>43901.742314814815</v>
      </c>
      <c r="B7180" s="8" t="str">
        <f>HYPERLINK("https://twitter.com/ixi_iman","@ixi_iman")</f>
        <v>@ixi_iman</v>
      </c>
      <c r="C7180" s="8" t="s">
        <v>3452</v>
      </c>
      <c r="D7180" s="8">
        <v>0</v>
      </c>
      <c r="E7180" s="8">
        <v>0</v>
      </c>
      <c r="F7180" s="8">
        <v>225</v>
      </c>
    </row>
    <row r="7181" spans="1:6" ht="12.75">
      <c r="A7181" s="8">
        <v>43901.742083333331</v>
      </c>
      <c r="B7181" s="8" t="str">
        <f>HYPERLINK("https://twitter.com/cold_sherry","@cold_sherry")</f>
        <v>@cold_sherry</v>
      </c>
      <c r="C7181" s="8" t="s">
        <v>3377</v>
      </c>
      <c r="D7181" s="8">
        <v>4</v>
      </c>
      <c r="E7181" s="8">
        <v>0</v>
      </c>
      <c r="F7181" s="8">
        <v>419</v>
      </c>
    </row>
    <row r="7182" spans="1:6" ht="12.75">
      <c r="A7182" s="8">
        <v>43901.741354166668</v>
      </c>
      <c r="B7182" s="8" t="str">
        <f>HYPERLINK("https://twitter.com/_Thiscreamynasi","@_Thiscreamynasi")</f>
        <v>@_Thiscreamynasi</v>
      </c>
      <c r="C7182" s="8" t="s">
        <v>2989</v>
      </c>
      <c r="D7182" s="8">
        <v>126</v>
      </c>
      <c r="E7182" s="8">
        <v>0</v>
      </c>
      <c r="F7182" s="8">
        <v>1122</v>
      </c>
    </row>
    <row r="7183" spans="1:6" ht="12.75">
      <c r="A7183" s="8">
        <v>43901.741215277776</v>
      </c>
      <c r="B7183" s="8" t="str">
        <f>HYPERLINK("https://twitter.com/artemopus","@artemopus")</f>
        <v>@artemopus</v>
      </c>
      <c r="C7183" s="8" t="s">
        <v>2790</v>
      </c>
      <c r="D7183" s="8">
        <v>228</v>
      </c>
      <c r="E7183" s="8">
        <v>0</v>
      </c>
      <c r="F7183" s="8">
        <v>1129</v>
      </c>
    </row>
    <row r="7184" spans="1:6" ht="12.75">
      <c r="A7184" s="8">
        <v>43901.741087962961</v>
      </c>
      <c r="B7184" s="8" t="str">
        <f>HYPERLINK("https://twitter.com/Widiaaputrii","@Widiaaputrii")</f>
        <v>@Widiaaputrii</v>
      </c>
      <c r="C7184" s="8" t="s">
        <v>2790</v>
      </c>
      <c r="D7184" s="8">
        <v>228</v>
      </c>
      <c r="E7184" s="8">
        <v>0</v>
      </c>
      <c r="F7184" s="8">
        <v>236</v>
      </c>
    </row>
    <row r="7185" spans="1:6" ht="12.75">
      <c r="A7185" s="8">
        <v>43901.740636574075</v>
      </c>
      <c r="B7185" s="8" t="str">
        <f>HYPERLINK("https://twitter.com/catuaries","@catuaries")</f>
        <v>@catuaries</v>
      </c>
      <c r="C7185" s="8" t="s">
        <v>3377</v>
      </c>
      <c r="D7185" s="8">
        <v>4</v>
      </c>
      <c r="E7185" s="8">
        <v>0</v>
      </c>
      <c r="F7185" s="8">
        <v>8708</v>
      </c>
    </row>
    <row r="7186" spans="1:6" ht="12.75">
      <c r="A7186" s="8">
        <v>43901.740590277783</v>
      </c>
      <c r="B7186" s="8" t="str">
        <f>HYPERLINK("https://twitter.com/FachriMD","@FachriMD")</f>
        <v>@FachriMD</v>
      </c>
      <c r="C7186" s="8" t="s">
        <v>3453</v>
      </c>
      <c r="D7186" s="8">
        <v>1</v>
      </c>
      <c r="E7186" s="8">
        <v>0</v>
      </c>
      <c r="F7186" s="8">
        <v>165</v>
      </c>
    </row>
    <row r="7187" spans="1:6" ht="12.75">
      <c r="A7187" s="8">
        <v>43901.739618055552</v>
      </c>
      <c r="B7187" s="8" t="str">
        <f>HYPERLINK("https://twitter.com/Bisniscom","@Bisniscom")</f>
        <v>@Bisniscom</v>
      </c>
      <c r="C7187" s="8" t="s">
        <v>3454</v>
      </c>
      <c r="D7187" s="8">
        <v>4</v>
      </c>
      <c r="E7187" s="8">
        <v>2</v>
      </c>
      <c r="F7187" s="8">
        <v>994444</v>
      </c>
    </row>
    <row r="7188" spans="1:6" ht="12.75">
      <c r="A7188" s="8">
        <v>43901.739444444444</v>
      </c>
      <c r="B7188" s="8" t="str">
        <f>HYPERLINK("https://twitter.com/KawalCOVID19","@KawalCOVID19")</f>
        <v>@KawalCOVID19</v>
      </c>
      <c r="C7188" s="8" t="s">
        <v>3455</v>
      </c>
      <c r="D7188" s="8">
        <v>1</v>
      </c>
      <c r="E7188" s="8">
        <v>0</v>
      </c>
      <c r="F7188" s="8">
        <v>38843</v>
      </c>
    </row>
    <row r="7189" spans="1:6" ht="12.75">
      <c r="A7189" s="8">
        <v>43901.738356481481</v>
      </c>
      <c r="B7189" s="8" t="str">
        <f>HYPERLINK("https://twitter.com/iendhahaha","@iendhahaha")</f>
        <v>@iendhahaha</v>
      </c>
      <c r="C7189" s="8" t="s">
        <v>2790</v>
      </c>
      <c r="D7189" s="8">
        <v>228</v>
      </c>
      <c r="E7189" s="8">
        <v>0</v>
      </c>
      <c r="F7189" s="8">
        <v>490</v>
      </c>
    </row>
    <row r="7190" spans="1:6" ht="12.75">
      <c r="A7190" s="8">
        <v>43901.738298611112</v>
      </c>
      <c r="B7190" s="8" t="str">
        <f>HYPERLINK("https://twitter.com/MASirdatama","@MASirdatama")</f>
        <v>@MASirdatama</v>
      </c>
      <c r="C7190" s="8" t="s">
        <v>3456</v>
      </c>
      <c r="D7190" s="8">
        <v>1</v>
      </c>
      <c r="E7190" s="8">
        <v>1</v>
      </c>
      <c r="F7190" s="8">
        <v>488</v>
      </c>
    </row>
    <row r="7191" spans="1:6" ht="12.75">
      <c r="A7191" s="8">
        <v>43901.737557870365</v>
      </c>
      <c r="B7191" s="8" t="str">
        <f>HYPERLINK("https://twitter.com/tikaalkadafi77","@tikaalkadafi77")</f>
        <v>@tikaalkadafi77</v>
      </c>
      <c r="C7191" s="8" t="s">
        <v>2989</v>
      </c>
      <c r="D7191" s="8">
        <v>126</v>
      </c>
      <c r="E7191" s="8">
        <v>0</v>
      </c>
      <c r="F7191" s="8">
        <v>66</v>
      </c>
    </row>
    <row r="7192" spans="1:6" ht="12.75">
      <c r="A7192" s="8">
        <v>43901.737245370372</v>
      </c>
      <c r="B7192" s="8" t="str">
        <f>HYPERLINK("https://twitter.com/faikhsynn","@faikhsynn")</f>
        <v>@faikhsynn</v>
      </c>
      <c r="C7192" s="8" t="s">
        <v>2790</v>
      </c>
      <c r="D7192" s="8">
        <v>228</v>
      </c>
      <c r="E7192" s="8">
        <v>0</v>
      </c>
      <c r="F7192" s="8">
        <v>412</v>
      </c>
    </row>
    <row r="7193" spans="1:6" ht="12.75">
      <c r="A7193" s="8">
        <v>43901.735949074078</v>
      </c>
      <c r="B7193" s="8" t="str">
        <f>HYPERLINK("https://twitter.com/riksayuda","@riksayuda")</f>
        <v>@riksayuda</v>
      </c>
      <c r="C7193" s="8" t="s">
        <v>1801</v>
      </c>
      <c r="D7193" s="8">
        <v>315</v>
      </c>
      <c r="E7193" s="8">
        <v>0</v>
      </c>
      <c r="F7193" s="8">
        <v>59</v>
      </c>
    </row>
    <row r="7194" spans="1:6" ht="12.75">
      <c r="A7194" s="8">
        <v>43901.735324074078</v>
      </c>
      <c r="B7194" s="8" t="str">
        <f>HYPERLINK("https://twitter.com/dir1ku","@dir1ku")</f>
        <v>@dir1ku</v>
      </c>
      <c r="C7194" s="8" t="s">
        <v>2715</v>
      </c>
      <c r="D7194" s="8">
        <v>53</v>
      </c>
      <c r="E7194" s="8">
        <v>0</v>
      </c>
      <c r="F7194" s="8">
        <v>1668</v>
      </c>
    </row>
    <row r="7195" spans="1:6" ht="12.75">
      <c r="A7195" s="8">
        <v>43901.735219907408</v>
      </c>
      <c r="B7195" s="8" t="str">
        <f>HYPERLINK("https://twitter.com/azhar_can","@azhar_can")</f>
        <v>@azhar_can</v>
      </c>
      <c r="C7195" s="8" t="s">
        <v>3457</v>
      </c>
      <c r="D7195" s="8">
        <v>0</v>
      </c>
      <c r="E7195" s="8">
        <v>0</v>
      </c>
      <c r="F7195" s="8">
        <v>56</v>
      </c>
    </row>
    <row r="7196" spans="1:6" ht="12.75">
      <c r="A7196" s="8">
        <v>43901.734976851847</v>
      </c>
      <c r="B7196" s="8" t="str">
        <f>HYPERLINK("https://twitter.com/kngsulg","@kngsulg")</f>
        <v>@kngsulg</v>
      </c>
      <c r="C7196" s="8" t="s">
        <v>2790</v>
      </c>
      <c r="D7196" s="8">
        <v>228</v>
      </c>
      <c r="E7196" s="8">
        <v>0</v>
      </c>
      <c r="F7196" s="8">
        <v>631</v>
      </c>
    </row>
    <row r="7197" spans="1:6" ht="12.75">
      <c r="A7197" s="8">
        <v>43901.734791666662</v>
      </c>
      <c r="B7197" s="8" t="str">
        <f>HYPERLINK("https://twitter.com/KosmetikDinda","@KosmetikDinda")</f>
        <v>@KosmetikDinda</v>
      </c>
      <c r="C7197" s="8" t="s">
        <v>1186</v>
      </c>
      <c r="D7197" s="8">
        <v>381</v>
      </c>
      <c r="E7197" s="8">
        <v>0</v>
      </c>
      <c r="F7197" s="8">
        <v>1295</v>
      </c>
    </row>
    <row r="7198" spans="1:6" ht="12.75">
      <c r="A7198" s="8">
        <v>43901.734675925924</v>
      </c>
      <c r="B7198" s="8" t="str">
        <f>HYPERLINK("https://twitter.com/Jangwinkeu","@Jangwinkeu")</f>
        <v>@Jangwinkeu</v>
      </c>
      <c r="C7198" s="8" t="s">
        <v>3458</v>
      </c>
      <c r="D7198" s="8">
        <v>3</v>
      </c>
      <c r="E7198" s="8">
        <v>0</v>
      </c>
      <c r="F7198" s="8">
        <v>48</v>
      </c>
    </row>
    <row r="7199" spans="1:6" ht="12.75">
      <c r="A7199" s="8">
        <v>43901.734560185185</v>
      </c>
      <c r="B7199" s="8" t="str">
        <f>HYPERLINK("https://twitter.com/SedaKutub","@SedaKutub")</f>
        <v>@SedaKutub</v>
      </c>
      <c r="C7199" s="8" t="s">
        <v>318</v>
      </c>
      <c r="D7199" s="8">
        <v>1368</v>
      </c>
      <c r="E7199" s="8">
        <v>0</v>
      </c>
      <c r="F7199" s="8">
        <v>3</v>
      </c>
    </row>
    <row r="7200" spans="1:6" ht="12.75">
      <c r="A7200" s="8">
        <v>43901.734398148154</v>
      </c>
      <c r="B7200" s="8" t="str">
        <f t="shared" ref="B7200:B7201" si="130">HYPERLINK("https://twitter.com/pesanbijakk","@pesanbijakk")</f>
        <v>@pesanbijakk</v>
      </c>
      <c r="C7200" s="8" t="s">
        <v>2607</v>
      </c>
      <c r="D7200" s="8">
        <v>6</v>
      </c>
      <c r="E7200" s="8">
        <v>0</v>
      </c>
      <c r="F7200" s="8">
        <v>94059</v>
      </c>
    </row>
    <row r="7201" spans="1:6" ht="12.75">
      <c r="A7201" s="8">
        <v>43901.734340277777</v>
      </c>
      <c r="B7201" s="8" t="str">
        <f t="shared" si="130"/>
        <v>@pesanbijakk</v>
      </c>
      <c r="C7201" s="8" t="s">
        <v>2606</v>
      </c>
      <c r="D7201" s="8">
        <v>4</v>
      </c>
      <c r="E7201" s="8">
        <v>0</v>
      </c>
      <c r="F7201" s="8">
        <v>94059</v>
      </c>
    </row>
    <row r="7202" spans="1:6" ht="12.75">
      <c r="A7202" s="8">
        <v>43901.734201388885</v>
      </c>
      <c r="B7202" s="8" t="str">
        <f>HYPERLINK("https://twitter.com/magandang19","@magandang19")</f>
        <v>@magandang19</v>
      </c>
      <c r="C7202" s="8" t="s">
        <v>318</v>
      </c>
      <c r="D7202" s="8">
        <v>1368</v>
      </c>
      <c r="E7202" s="8">
        <v>0</v>
      </c>
      <c r="F7202" s="8">
        <v>1007</v>
      </c>
    </row>
    <row r="7203" spans="1:6" ht="12.75">
      <c r="A7203" s="8">
        <v>43901.7341087963</v>
      </c>
      <c r="B7203" s="8" t="str">
        <f>HYPERLINK("https://twitter.com/MohSyfri","@MohSyfri")</f>
        <v>@MohSyfri</v>
      </c>
      <c r="C7203" s="8" t="s">
        <v>1801</v>
      </c>
      <c r="D7203" s="8">
        <v>315</v>
      </c>
      <c r="E7203" s="8">
        <v>0</v>
      </c>
      <c r="F7203" s="8">
        <v>536</v>
      </c>
    </row>
    <row r="7204" spans="1:6" ht="12.75">
      <c r="A7204" s="8">
        <v>43901.7340625</v>
      </c>
      <c r="B7204" s="8" t="str">
        <f>HYPERLINK("https://twitter.com/zaelaniez","@zaelaniez")</f>
        <v>@zaelaniez</v>
      </c>
      <c r="C7204" s="8" t="s">
        <v>1186</v>
      </c>
      <c r="D7204" s="8">
        <v>381</v>
      </c>
      <c r="E7204" s="8">
        <v>0</v>
      </c>
      <c r="F7204" s="8">
        <v>249</v>
      </c>
    </row>
    <row r="7205" spans="1:6" ht="12.75">
      <c r="A7205" s="8">
        <v>43901.733622685184</v>
      </c>
      <c r="B7205" s="8" t="str">
        <f>HYPERLINK("https://twitter.com/InasaF","@InasaF")</f>
        <v>@InasaF</v>
      </c>
      <c r="C7205" s="8" t="s">
        <v>3459</v>
      </c>
      <c r="D7205" s="8">
        <v>0</v>
      </c>
      <c r="E7205" s="8">
        <v>0</v>
      </c>
      <c r="F7205" s="8">
        <v>1660</v>
      </c>
    </row>
    <row r="7206" spans="1:6" ht="12.75">
      <c r="A7206" s="8">
        <v>43901.733622685184</v>
      </c>
      <c r="B7206" s="8" t="str">
        <f>HYPERLINK("https://twitter.com/triwin_arso","@triwin_arso")</f>
        <v>@triwin_arso</v>
      </c>
      <c r="C7206" s="8" t="s">
        <v>1800</v>
      </c>
      <c r="D7206" s="8">
        <v>25</v>
      </c>
      <c r="E7206" s="8">
        <v>0</v>
      </c>
      <c r="F7206" s="8">
        <v>139</v>
      </c>
    </row>
    <row r="7207" spans="1:6" ht="12.75">
      <c r="A7207" s="8">
        <v>43901.732928240745</v>
      </c>
      <c r="B7207" s="8" t="str">
        <f>HYPERLINK("https://twitter.com/GielzIdea","@GielzIdea")</f>
        <v>@GielzIdea</v>
      </c>
      <c r="C7207" s="8" t="s">
        <v>318</v>
      </c>
      <c r="D7207" s="8">
        <v>1368</v>
      </c>
      <c r="E7207" s="8">
        <v>0</v>
      </c>
      <c r="F7207" s="8">
        <v>2</v>
      </c>
    </row>
    <row r="7208" spans="1:6" ht="12.75">
      <c r="A7208" s="8">
        <v>43901.732847222222</v>
      </c>
      <c r="B7208" s="8" t="str">
        <f>HYPERLINK("https://twitter.com/Penerawang_09","@Penerawang_09")</f>
        <v>@Penerawang_09</v>
      </c>
      <c r="C7208" s="8" t="s">
        <v>318</v>
      </c>
      <c r="D7208" s="8">
        <v>1368</v>
      </c>
      <c r="E7208" s="8">
        <v>0</v>
      </c>
      <c r="F7208" s="8">
        <v>299</v>
      </c>
    </row>
    <row r="7209" spans="1:6" ht="12.75">
      <c r="A7209" s="8">
        <v>43901.732222222221</v>
      </c>
      <c r="B7209" s="8" t="str">
        <f>HYPERLINK("https://twitter.com/ashustroppy","@ashustroppy")</f>
        <v>@ashustroppy</v>
      </c>
      <c r="C7209" s="8" t="s">
        <v>3460</v>
      </c>
      <c r="D7209" s="8">
        <v>0</v>
      </c>
      <c r="E7209" s="8">
        <v>1</v>
      </c>
      <c r="F7209" s="8">
        <v>43</v>
      </c>
    </row>
    <row r="7210" spans="1:6" ht="12.75">
      <c r="A7210" s="8">
        <v>43901.732164351852</v>
      </c>
      <c r="B7210" s="8" t="str">
        <f>HYPERLINK("https://twitter.com/fisabilillah84","@fisabilillah84")</f>
        <v>@fisabilillah84</v>
      </c>
      <c r="C7210" s="8" t="s">
        <v>3461</v>
      </c>
      <c r="D7210" s="8">
        <v>0</v>
      </c>
      <c r="E7210" s="8">
        <v>0</v>
      </c>
      <c r="F7210" s="8">
        <v>659</v>
      </c>
    </row>
    <row r="7211" spans="1:6" ht="12.75">
      <c r="A7211" s="8">
        <v>43901.731747685189</v>
      </c>
      <c r="B7211" s="8" t="str">
        <f>HYPERLINK("https://twitter.com/Gasspool19","@Gasspool19")</f>
        <v>@Gasspool19</v>
      </c>
      <c r="C7211" s="8" t="s">
        <v>3462</v>
      </c>
      <c r="D7211" s="8">
        <v>0</v>
      </c>
      <c r="E7211" s="8">
        <v>0</v>
      </c>
      <c r="F7211" s="8">
        <v>463</v>
      </c>
    </row>
    <row r="7212" spans="1:6" ht="12.75">
      <c r="A7212" s="8">
        <v>43901.731620370367</v>
      </c>
      <c r="B7212" s="8" t="str">
        <f>HYPERLINK("https://twitter.com/kompascom","@kompascom")</f>
        <v>@kompascom</v>
      </c>
      <c r="C7212" s="8" t="s">
        <v>3463</v>
      </c>
      <c r="D7212" s="8">
        <v>0</v>
      </c>
      <c r="E7212" s="8">
        <v>5</v>
      </c>
      <c r="F7212" s="8">
        <v>7541101</v>
      </c>
    </row>
    <row r="7213" spans="1:6" ht="12.75">
      <c r="A7213" s="8">
        <v>43901.731249999997</v>
      </c>
      <c r="B7213" s="8" t="str">
        <f>HYPERLINK("https://twitter.com/SiJombloKreatif","@SiJombloKreatif")</f>
        <v>@SiJombloKreatif</v>
      </c>
      <c r="C7213" s="8" t="s">
        <v>3464</v>
      </c>
      <c r="D7213" s="8">
        <v>0</v>
      </c>
      <c r="E7213" s="8">
        <v>0</v>
      </c>
      <c r="F7213" s="8">
        <v>120840</v>
      </c>
    </row>
    <row r="7214" spans="1:6" ht="12.75">
      <c r="A7214" s="8">
        <v>43901.731238425928</v>
      </c>
      <c r="B7214" s="8" t="str">
        <f>HYPERLINK("https://twitter.com/ragilsaputra645","@ragilsaputra645")</f>
        <v>@ragilsaputra645</v>
      </c>
      <c r="C7214" s="8" t="s">
        <v>2989</v>
      </c>
      <c r="D7214" s="8">
        <v>126</v>
      </c>
      <c r="E7214" s="8">
        <v>0</v>
      </c>
      <c r="F7214" s="8">
        <v>429</v>
      </c>
    </row>
    <row r="7215" spans="1:6" ht="12.75">
      <c r="A7215" s="8">
        <v>43901.731180555551</v>
      </c>
      <c r="B7215" s="8" t="str">
        <f>HYPERLINK("https://twitter.com/hendy_nalsya","@hendy_nalsya")</f>
        <v>@hendy_nalsya</v>
      </c>
      <c r="C7215" s="8" t="s">
        <v>3465</v>
      </c>
      <c r="D7215" s="8">
        <v>0</v>
      </c>
      <c r="E7215" s="8">
        <v>1</v>
      </c>
      <c r="F7215" s="8">
        <v>129</v>
      </c>
    </row>
    <row r="7216" spans="1:6" ht="12.75">
      <c r="A7216" s="8">
        <v>43901.730925925927</v>
      </c>
      <c r="B7216" s="8" t="str">
        <f>HYPERLINK("https://twitter.com/ohraramen","@ohraramen")</f>
        <v>@ohraramen</v>
      </c>
      <c r="C7216" s="8" t="s">
        <v>3466</v>
      </c>
      <c r="D7216" s="8">
        <v>0</v>
      </c>
      <c r="E7216" s="8">
        <v>0</v>
      </c>
      <c r="F7216" s="8">
        <v>256</v>
      </c>
    </row>
    <row r="7217" spans="1:6" ht="12.75">
      <c r="A7217" s="8">
        <v>43901.730844907404</v>
      </c>
      <c r="B7217" s="8" t="str">
        <f>HYPERLINK("https://twitter.com/minheens","@minheens")</f>
        <v>@minheens</v>
      </c>
      <c r="C7217" s="8" t="s">
        <v>2790</v>
      </c>
      <c r="D7217" s="8">
        <v>228</v>
      </c>
      <c r="E7217" s="8">
        <v>0</v>
      </c>
      <c r="F7217" s="8">
        <v>1173</v>
      </c>
    </row>
    <row r="7218" spans="1:6" ht="12.75">
      <c r="A7218" s="8">
        <v>43901.730613425927</v>
      </c>
      <c r="B7218" s="8" t="str">
        <f>HYPERLINK("https://twitter.com/shendrina","@shendrina")</f>
        <v>@shendrina</v>
      </c>
      <c r="C7218" s="8" t="s">
        <v>2786</v>
      </c>
      <c r="D7218" s="8">
        <v>3</v>
      </c>
      <c r="E7218" s="8">
        <v>0</v>
      </c>
      <c r="F7218" s="8">
        <v>642</v>
      </c>
    </row>
    <row r="7219" spans="1:6" ht="12.75">
      <c r="A7219" s="8">
        <v>43901.730451388888</v>
      </c>
      <c r="B7219" s="8" t="str">
        <f>HYPERLINK("https://twitter.com/UdienPakisputih","@UdienPakisputih")</f>
        <v>@UdienPakisputih</v>
      </c>
      <c r="C7219" s="8" t="s">
        <v>3467</v>
      </c>
      <c r="D7219" s="8">
        <v>200</v>
      </c>
      <c r="E7219" s="8">
        <v>0</v>
      </c>
      <c r="F7219" s="8">
        <v>2143</v>
      </c>
    </row>
    <row r="7220" spans="1:6" ht="12.75">
      <c r="A7220" s="8">
        <v>43901.729930555557</v>
      </c>
      <c r="B7220" s="8" t="str">
        <f>HYPERLINK("https://twitter.com/agung_nusanjaya","@agung_nusanjaya")</f>
        <v>@agung_nusanjaya</v>
      </c>
      <c r="C7220" s="8" t="s">
        <v>3468</v>
      </c>
      <c r="D7220" s="8">
        <v>0</v>
      </c>
      <c r="E7220" s="8">
        <v>0</v>
      </c>
      <c r="F7220" s="8">
        <v>766</v>
      </c>
    </row>
    <row r="7221" spans="1:6" ht="12.75">
      <c r="A7221" s="8">
        <v>43901.729432870372</v>
      </c>
      <c r="B7221" s="8" t="str">
        <f>HYPERLINK("https://twitter.com/diponegros","@diponegros")</f>
        <v>@diponegros</v>
      </c>
      <c r="C7221" s="8" t="s">
        <v>318</v>
      </c>
      <c r="D7221" s="8">
        <v>1368</v>
      </c>
      <c r="E7221" s="8">
        <v>0</v>
      </c>
      <c r="F7221" s="8">
        <v>647</v>
      </c>
    </row>
    <row r="7222" spans="1:6" ht="12.75">
      <c r="A7222" s="8">
        <v>43901.729270833333</v>
      </c>
      <c r="B7222" s="8" t="str">
        <f>HYPERLINK("https://twitter.com/KontanNews","@KontanNews")</f>
        <v>@KontanNews</v>
      </c>
      <c r="C7222" s="8" t="s">
        <v>3469</v>
      </c>
      <c r="D7222" s="8">
        <v>0</v>
      </c>
      <c r="E7222" s="8">
        <v>0</v>
      </c>
      <c r="F7222" s="8">
        <v>318595</v>
      </c>
    </row>
    <row r="7223" spans="1:6" ht="12.75">
      <c r="A7223" s="8">
        <v>43901.72856481481</v>
      </c>
      <c r="B7223" s="8" t="str">
        <f>HYPERLINK("https://twitter.com/13490L","@13490L")</f>
        <v>@13490L</v>
      </c>
      <c r="C7223" s="8" t="s">
        <v>3470</v>
      </c>
      <c r="D7223" s="8">
        <v>10</v>
      </c>
      <c r="E7223" s="8">
        <v>0</v>
      </c>
      <c r="F7223" s="8">
        <v>1046</v>
      </c>
    </row>
    <row r="7224" spans="1:6" ht="12.75">
      <c r="A7224" s="8">
        <v>43901.728368055556</v>
      </c>
      <c r="B7224" s="8" t="str">
        <f>HYPERLINK("https://twitter.com/JengIjo","@JengIjo")</f>
        <v>@JengIjo</v>
      </c>
      <c r="C7224" s="8" t="s">
        <v>1801</v>
      </c>
      <c r="D7224" s="8">
        <v>315</v>
      </c>
      <c r="E7224" s="8">
        <v>0</v>
      </c>
      <c r="F7224" s="8">
        <v>141</v>
      </c>
    </row>
    <row r="7225" spans="1:6" ht="12.75">
      <c r="A7225" s="8">
        <v>43901.714363425926</v>
      </c>
      <c r="B7225" s="8" t="str">
        <f>HYPERLINK("https://twitter.com/ISIS_Balik_NO","@ISIS_Balik_NO")</f>
        <v>@ISIS_Balik_NO</v>
      </c>
      <c r="C7225" s="8" t="s">
        <v>3471</v>
      </c>
      <c r="D7225" s="8">
        <v>230</v>
      </c>
      <c r="E7225" s="8">
        <v>0</v>
      </c>
      <c r="F7225" s="8">
        <v>6237</v>
      </c>
    </row>
    <row r="7226" spans="1:6" ht="12.75">
      <c r="A7226" s="8">
        <v>43901.714143518519</v>
      </c>
      <c r="B7226" s="8" t="str">
        <f>HYPERLINK("https://twitter.com/ixi_iman","@ixi_iman")</f>
        <v>@ixi_iman</v>
      </c>
      <c r="C7226" s="8" t="s">
        <v>3472</v>
      </c>
      <c r="D7226" s="8">
        <v>0</v>
      </c>
      <c r="E7226" s="8">
        <v>0</v>
      </c>
      <c r="F7226" s="8">
        <v>225</v>
      </c>
    </row>
    <row r="7227" spans="1:6" ht="12.75">
      <c r="A7227" s="8">
        <v>43901.713530092587</v>
      </c>
      <c r="B7227" s="8" t="str">
        <f>HYPERLINK("https://twitter.com/ISIS_Balik_NO","@ISIS_Balik_NO")</f>
        <v>@ISIS_Balik_NO</v>
      </c>
      <c r="C7227" s="8" t="s">
        <v>3473</v>
      </c>
      <c r="D7227" s="8">
        <v>0</v>
      </c>
      <c r="E7227" s="8">
        <v>0</v>
      </c>
      <c r="F7227" s="8">
        <v>6237</v>
      </c>
    </row>
    <row r="7228" spans="1:6" ht="12.75">
      <c r="A7228" s="8">
        <v>43901.71303240741</v>
      </c>
      <c r="B7228" s="8" t="str">
        <f>HYPERLINK("https://twitter.com/kertaningnaga","@kertaningnaga")</f>
        <v>@kertaningnaga</v>
      </c>
      <c r="C7228" s="8" t="s">
        <v>1186</v>
      </c>
      <c r="D7228" s="8">
        <v>374</v>
      </c>
      <c r="E7228" s="8">
        <v>0</v>
      </c>
      <c r="F7228" s="8">
        <v>426</v>
      </c>
    </row>
    <row r="7229" spans="1:6" ht="12.75">
      <c r="A7229" s="8">
        <v>43901.71298611111</v>
      </c>
      <c r="B7229" s="8" t="str">
        <f>HYPERLINK("https://twitter.com/ISIS_Balik_NO","@ISIS_Balik_NO")</f>
        <v>@ISIS_Balik_NO</v>
      </c>
      <c r="C7229" s="8" t="s">
        <v>3474</v>
      </c>
      <c r="D7229" s="8">
        <v>0</v>
      </c>
      <c r="E7229" s="8">
        <v>0</v>
      </c>
      <c r="F7229" s="8">
        <v>6237</v>
      </c>
    </row>
    <row r="7230" spans="1:6" ht="12.75">
      <c r="A7230" s="8">
        <v>43901.712523148148</v>
      </c>
      <c r="B7230" s="8" t="str">
        <f>HYPERLINK("https://twitter.com/demokrasicoid","@demokrasicoid")</f>
        <v>@demokrasicoid</v>
      </c>
      <c r="C7230" s="8" t="s">
        <v>3475</v>
      </c>
      <c r="D7230" s="8">
        <v>0</v>
      </c>
      <c r="E7230" s="8">
        <v>1</v>
      </c>
      <c r="F7230" s="8">
        <v>23363</v>
      </c>
    </row>
    <row r="7231" spans="1:6" ht="12.75">
      <c r="A7231" s="8">
        <v>43901.712511574078</v>
      </c>
      <c r="B7231" s="8" t="str">
        <f>HYPERLINK("https://twitter.com/IdaMuliani","@IdaMuliani")</f>
        <v>@IdaMuliani</v>
      </c>
      <c r="C7231" s="8" t="s">
        <v>3476</v>
      </c>
      <c r="D7231" s="8">
        <v>0</v>
      </c>
      <c r="E7231" s="8">
        <v>0</v>
      </c>
      <c r="F7231" s="8">
        <v>366</v>
      </c>
    </row>
    <row r="7232" spans="1:6" ht="12.75">
      <c r="A7232" s="8">
        <v>43901.712118055555</v>
      </c>
      <c r="B7232" s="8" t="str">
        <f>HYPERLINK("https://twitter.com/SandiKumara","@SandiKumara")</f>
        <v>@SandiKumara</v>
      </c>
      <c r="C7232" s="8" t="s">
        <v>104</v>
      </c>
      <c r="D7232" s="8">
        <v>110</v>
      </c>
      <c r="E7232" s="8">
        <v>0</v>
      </c>
      <c r="F7232" s="8">
        <v>843</v>
      </c>
    </row>
    <row r="7233" spans="1:6" ht="12.75">
      <c r="A7233" s="8">
        <v>43901.711840277778</v>
      </c>
      <c r="B7233" s="8" t="str">
        <f>HYPERLINK("https://twitter.com/Rajat_IND_99","@Rajat_IND_99")</f>
        <v>@Rajat_IND_99</v>
      </c>
      <c r="C7233" s="8" t="s">
        <v>3477</v>
      </c>
      <c r="D7233" s="8">
        <v>0</v>
      </c>
      <c r="E7233" s="8">
        <v>0</v>
      </c>
      <c r="F7233" s="8">
        <v>4</v>
      </c>
    </row>
    <row r="7234" spans="1:6" ht="12.75">
      <c r="A7234" s="8">
        <v>43901.711759259255</v>
      </c>
      <c r="B7234" s="8" t="str">
        <f>HYPERLINK("https://twitter.com/ISIS_Balik_NO","@ISIS_Balik_NO")</f>
        <v>@ISIS_Balik_NO</v>
      </c>
      <c r="C7234" s="8" t="s">
        <v>3478</v>
      </c>
      <c r="D7234" s="8">
        <v>0</v>
      </c>
      <c r="E7234" s="8">
        <v>0</v>
      </c>
      <c r="F7234" s="8">
        <v>6237</v>
      </c>
    </row>
    <row r="7235" spans="1:6" ht="12.75">
      <c r="A7235" s="8">
        <v>43901.711643518516</v>
      </c>
      <c r="B7235" s="8" t="str">
        <f>HYPERLINK("https://twitter.com/maczfreak","@maczfreak")</f>
        <v>@maczfreak</v>
      </c>
      <c r="C7235" s="8" t="s">
        <v>1800</v>
      </c>
      <c r="D7235" s="8">
        <v>20</v>
      </c>
      <c r="E7235" s="8">
        <v>0</v>
      </c>
      <c r="F7235" s="8">
        <v>243</v>
      </c>
    </row>
    <row r="7236" spans="1:6" ht="12.75">
      <c r="A7236" s="8">
        <v>43901.711215277777</v>
      </c>
      <c r="B7236" s="8" t="str">
        <f>HYPERLINK("https://twitter.com/ISIS_Balik_NO","@ISIS_Balik_NO")</f>
        <v>@ISIS_Balik_NO</v>
      </c>
      <c r="C7236" s="8" t="s">
        <v>3479</v>
      </c>
      <c r="D7236" s="8">
        <v>0</v>
      </c>
      <c r="E7236" s="8">
        <v>0</v>
      </c>
      <c r="F7236" s="8">
        <v>6237</v>
      </c>
    </row>
    <row r="7237" spans="1:6" ht="12.75">
      <c r="A7237" s="8">
        <v>43901.710902777777</v>
      </c>
      <c r="B7237" s="8" t="str">
        <f>HYPERLINK("https://twitter.com/indahyudhana","@indahyudhana")</f>
        <v>@indahyudhana</v>
      </c>
      <c r="C7237" s="8" t="s">
        <v>2177</v>
      </c>
      <c r="D7237" s="8">
        <v>53</v>
      </c>
      <c r="E7237" s="8">
        <v>0</v>
      </c>
      <c r="F7237" s="8">
        <v>799</v>
      </c>
    </row>
    <row r="7238" spans="1:6" ht="12.75">
      <c r="A7238" s="8">
        <v>43901.710289351853</v>
      </c>
      <c r="B7238" s="8" t="str">
        <f>HYPERLINK("https://twitter.com/kjrijohorbahru","@kjrijohorbahru")</f>
        <v>@kjrijohorbahru</v>
      </c>
      <c r="C7238" s="8" t="s">
        <v>3480</v>
      </c>
      <c r="D7238" s="8">
        <v>0</v>
      </c>
      <c r="E7238" s="8">
        <v>1</v>
      </c>
      <c r="F7238" s="8">
        <v>681</v>
      </c>
    </row>
    <row r="7239" spans="1:6" ht="12.75">
      <c r="A7239" s="8">
        <v>43901.710162037038</v>
      </c>
      <c r="B7239" s="8" t="str">
        <f>HYPERLINK("https://twitter.com/dwytono","@dwytono")</f>
        <v>@dwytono</v>
      </c>
      <c r="C7239" s="8" t="s">
        <v>2715</v>
      </c>
      <c r="D7239" s="8">
        <v>47</v>
      </c>
      <c r="E7239" s="8">
        <v>0</v>
      </c>
      <c r="F7239" s="8">
        <v>1895</v>
      </c>
    </row>
    <row r="7240" spans="1:6" ht="12.75">
      <c r="A7240" s="8">
        <v>43901.709444444445</v>
      </c>
      <c r="B7240" s="8" t="str">
        <f>HYPERLINK("https://twitter.com/MasButarr","@MasButarr")</f>
        <v>@MasButarr</v>
      </c>
      <c r="C7240" s="8" t="s">
        <v>3284</v>
      </c>
      <c r="D7240" s="8">
        <v>43</v>
      </c>
      <c r="E7240" s="8">
        <v>0</v>
      </c>
      <c r="F7240" s="8">
        <v>1327</v>
      </c>
    </row>
    <row r="7241" spans="1:6" ht="12.75">
      <c r="A7241" s="8">
        <v>43901.709374999999</v>
      </c>
      <c r="B7241" s="8" t="str">
        <f>HYPERLINK("https://twitter.com/imigrasimerauke","@imigrasimerauke")</f>
        <v>@imigrasimerauke</v>
      </c>
      <c r="C7241" s="8" t="s">
        <v>3168</v>
      </c>
      <c r="D7241" s="8">
        <v>76</v>
      </c>
      <c r="E7241" s="8">
        <v>0</v>
      </c>
      <c r="F7241" s="8">
        <v>138</v>
      </c>
    </row>
    <row r="7242" spans="1:6" ht="12.75">
      <c r="A7242" s="8">
        <v>43901.708969907406</v>
      </c>
      <c r="B7242" s="8" t="str">
        <f>HYPERLINK("https://twitter.com/ARISSUS02666971","@ARISSUS02666971")</f>
        <v>@ARISSUS02666971</v>
      </c>
      <c r="C7242" s="8" t="s">
        <v>1186</v>
      </c>
      <c r="D7242" s="8">
        <v>374</v>
      </c>
      <c r="E7242" s="8">
        <v>0</v>
      </c>
      <c r="F7242" s="8">
        <v>155</v>
      </c>
    </row>
    <row r="7243" spans="1:6" ht="12.75">
      <c r="A7243" s="8">
        <v>43901.708333333328</v>
      </c>
      <c r="B7243" s="8" t="str">
        <f>HYPERLINK("https://twitter.com/hidupnanindah","@hidupnanindah")</f>
        <v>@hidupnanindah</v>
      </c>
      <c r="C7243" s="8" t="s">
        <v>3481</v>
      </c>
      <c r="D7243" s="8">
        <v>0</v>
      </c>
      <c r="E7243" s="8">
        <v>0</v>
      </c>
      <c r="F7243" s="8">
        <v>14961</v>
      </c>
    </row>
    <row r="7244" spans="1:6" ht="12.75">
      <c r="A7244" s="8">
        <v>43901.708333333328</v>
      </c>
      <c r="B7244" s="8" t="str">
        <f>HYPERLINK("https://twitter.com/cafebiru88","@cafebiru88")</f>
        <v>@cafebiru88</v>
      </c>
      <c r="C7244" s="8" t="s">
        <v>3191</v>
      </c>
      <c r="D7244" s="8">
        <v>0</v>
      </c>
      <c r="E7244" s="8">
        <v>0</v>
      </c>
      <c r="F7244" s="8">
        <v>18021</v>
      </c>
    </row>
    <row r="7245" spans="1:6" ht="12.75">
      <c r="A7245" s="8">
        <v>43901.70826388889</v>
      </c>
      <c r="B7245" s="8" t="str">
        <f>HYPERLINK("https://twitter.com/Aragornarwen45","@Aragornarwen45")</f>
        <v>@Aragornarwen45</v>
      </c>
      <c r="C7245" s="8" t="s">
        <v>318</v>
      </c>
      <c r="D7245" s="8">
        <v>1349</v>
      </c>
      <c r="E7245" s="8">
        <v>0</v>
      </c>
      <c r="F7245" s="8">
        <v>365</v>
      </c>
    </row>
    <row r="7246" spans="1:6" ht="12.75">
      <c r="A7246" s="8">
        <v>43901.708101851851</v>
      </c>
      <c r="B7246" s="8" t="str">
        <f>HYPERLINK("https://twitter.com/zahratulmirza","@zahratulmirza")</f>
        <v>@zahratulmirza</v>
      </c>
      <c r="C7246" s="8" t="s">
        <v>3317</v>
      </c>
      <c r="D7246" s="8">
        <v>11</v>
      </c>
      <c r="E7246" s="8">
        <v>0</v>
      </c>
      <c r="F7246" s="8">
        <v>571</v>
      </c>
    </row>
    <row r="7247" spans="1:6" ht="12.75">
      <c r="A7247" s="8">
        <v>43901.707974537036</v>
      </c>
      <c r="B7247" s="8" t="str">
        <f>HYPERLINK("https://twitter.com/123beritacom","@123beritacom")</f>
        <v>@123beritacom</v>
      </c>
      <c r="C7247" s="8" t="s">
        <v>3482</v>
      </c>
      <c r="D7247" s="8">
        <v>0</v>
      </c>
      <c r="E7247" s="8">
        <v>0</v>
      </c>
      <c r="F7247" s="8">
        <v>2494</v>
      </c>
    </row>
    <row r="7248" spans="1:6" ht="12.75">
      <c r="A7248" s="8">
        <v>43901.707592592589</v>
      </c>
      <c r="B7248" s="8" t="str">
        <f>HYPERLINK("https://twitter.com/aditya_jeanet","@aditya_jeanet")</f>
        <v>@aditya_jeanet</v>
      </c>
      <c r="C7248" s="8" t="s">
        <v>1800</v>
      </c>
      <c r="D7248" s="8">
        <v>20</v>
      </c>
      <c r="E7248" s="8">
        <v>0</v>
      </c>
      <c r="F7248" s="8">
        <v>176</v>
      </c>
    </row>
    <row r="7249" spans="1:6" ht="12.75">
      <c r="A7249" s="8">
        <v>43901.706203703703</v>
      </c>
      <c r="B7249" s="8" t="str">
        <f>HYPERLINK("https://twitter.com/Rizki44874585","@Rizki44874585")</f>
        <v>@Rizki44874585</v>
      </c>
      <c r="C7249" s="8" t="s">
        <v>3094</v>
      </c>
      <c r="D7249" s="8">
        <v>2</v>
      </c>
      <c r="E7249" s="8">
        <v>0</v>
      </c>
      <c r="F7249" s="8">
        <v>9616</v>
      </c>
    </row>
    <row r="7250" spans="1:6" ht="12.75">
      <c r="A7250" s="8">
        <v>43901.705335648148</v>
      </c>
      <c r="B7250" s="8" t="str">
        <f>HYPERLINK("https://twitter.com/Berricharles1","@Berricharles1")</f>
        <v>@Berricharles1</v>
      </c>
      <c r="C7250" s="8" t="s">
        <v>1800</v>
      </c>
      <c r="D7250" s="8">
        <v>20</v>
      </c>
      <c r="E7250" s="8">
        <v>0</v>
      </c>
      <c r="F7250" s="8">
        <v>46</v>
      </c>
    </row>
    <row r="7251" spans="1:6" ht="12.75">
      <c r="A7251" s="8">
        <v>43901.70475694444</v>
      </c>
      <c r="B7251" s="8" t="str">
        <f>HYPERLINK("https://twitter.com/BerlandGroup","@BerlandGroup")</f>
        <v>@BerlandGroup</v>
      </c>
      <c r="C7251" s="8" t="s">
        <v>3483</v>
      </c>
      <c r="D7251" s="8">
        <v>0</v>
      </c>
      <c r="E7251" s="8">
        <v>0</v>
      </c>
      <c r="F7251" s="8">
        <v>796</v>
      </c>
    </row>
    <row r="7252" spans="1:6" ht="12.75">
      <c r="A7252" s="8">
        <v>43901.704409722224</v>
      </c>
      <c r="B7252" s="8" t="str">
        <f>HYPERLINK("https://twitter.com/iwandebu","@iwandebu")</f>
        <v>@iwandebu</v>
      </c>
      <c r="C7252" s="8" t="s">
        <v>3484</v>
      </c>
      <c r="D7252" s="8">
        <v>2</v>
      </c>
      <c r="E7252" s="8">
        <v>0</v>
      </c>
      <c r="F7252" s="8">
        <v>2602</v>
      </c>
    </row>
    <row r="7253" spans="1:6" ht="12.75">
      <c r="A7253" s="8">
        <v>43901.704224537039</v>
      </c>
      <c r="B7253" s="8" t="str">
        <f>HYPERLINK("https://twitter.com/NanangHaikal","@NanangHaikal")</f>
        <v>@NanangHaikal</v>
      </c>
      <c r="C7253" s="8" t="s">
        <v>2790</v>
      </c>
      <c r="D7253" s="8">
        <v>213</v>
      </c>
      <c r="E7253" s="8">
        <v>0</v>
      </c>
      <c r="F7253" s="8">
        <v>750</v>
      </c>
    </row>
    <row r="7254" spans="1:6" ht="12.75">
      <c r="A7254" s="8">
        <v>43901.704189814816</v>
      </c>
      <c r="B7254" s="8" t="str">
        <f>HYPERLINK("https://twitter.com/meutiaadee","@meutiaadee")</f>
        <v>@meutiaadee</v>
      </c>
      <c r="C7254" s="8" t="s">
        <v>3485</v>
      </c>
      <c r="D7254" s="8">
        <v>2</v>
      </c>
      <c r="E7254" s="8">
        <v>0</v>
      </c>
      <c r="F7254" s="8">
        <v>884</v>
      </c>
    </row>
    <row r="7255" spans="1:6" ht="12.75">
      <c r="A7255" s="8">
        <v>43901.703819444447</v>
      </c>
      <c r="B7255" s="8" t="str">
        <f>HYPERLINK("https://twitter.com/EgiEgi06424657","@EgiEgi06424657")</f>
        <v>@EgiEgi06424657</v>
      </c>
      <c r="C7255" s="8" t="s">
        <v>318</v>
      </c>
      <c r="D7255" s="8">
        <v>1349</v>
      </c>
      <c r="E7255" s="8">
        <v>0</v>
      </c>
      <c r="F7255" s="8">
        <v>9</v>
      </c>
    </row>
    <row r="7256" spans="1:6" ht="12.75">
      <c r="A7256" s="8">
        <v>43901.702916666662</v>
      </c>
      <c r="B7256" s="8" t="str">
        <f>HYPERLINK("https://twitter.com/agatya_cn","@agatya_cn")</f>
        <v>@agatya_cn</v>
      </c>
      <c r="C7256" s="8" t="s">
        <v>104</v>
      </c>
      <c r="D7256" s="8">
        <v>110</v>
      </c>
      <c r="E7256" s="8">
        <v>0</v>
      </c>
      <c r="F7256" s="8">
        <v>141</v>
      </c>
    </row>
    <row r="7257" spans="1:6" ht="12.75">
      <c r="A7257" s="8">
        <v>43901.702048611114</v>
      </c>
      <c r="B7257" s="8" t="str">
        <f>HYPERLINK("https://twitter.com/chyphorus","@chyphorus")</f>
        <v>@chyphorus</v>
      </c>
      <c r="C7257" s="8" t="s">
        <v>3486</v>
      </c>
      <c r="D7257" s="8">
        <v>0</v>
      </c>
      <c r="E7257" s="8">
        <v>0</v>
      </c>
      <c r="F7257" s="8">
        <v>14</v>
      </c>
    </row>
    <row r="7258" spans="1:6" ht="12.75">
      <c r="A7258" s="8">
        <v>43901.702013888891</v>
      </c>
      <c r="B7258" s="8" t="str">
        <f>HYPERLINK("https://twitter.com/DamarhudaIdelle","@DamarhudaIdelle")</f>
        <v>@DamarhudaIdelle</v>
      </c>
      <c r="C7258" s="8" t="s">
        <v>2537</v>
      </c>
      <c r="D7258" s="8">
        <v>60</v>
      </c>
      <c r="E7258" s="8">
        <v>0</v>
      </c>
      <c r="F7258" s="8">
        <v>122</v>
      </c>
    </row>
    <row r="7259" spans="1:6" ht="12.75">
      <c r="A7259" s="8">
        <v>43901.701562499999</v>
      </c>
      <c r="B7259" s="8" t="str">
        <f>HYPERLINK("https://twitter.com/eshyenggela","@eshyenggela")</f>
        <v>@eshyenggela</v>
      </c>
      <c r="C7259" s="8" t="s">
        <v>3485</v>
      </c>
      <c r="D7259" s="8">
        <v>2</v>
      </c>
      <c r="E7259" s="8">
        <v>0</v>
      </c>
      <c r="F7259" s="8">
        <v>695</v>
      </c>
    </row>
    <row r="7260" spans="1:6" ht="12.75">
      <c r="A7260" s="8">
        <v>43901.701365740737</v>
      </c>
      <c r="B7260" s="8" t="str">
        <f>HYPERLINK("https://twitter.com/efie_vie","@efie_vie")</f>
        <v>@efie_vie</v>
      </c>
      <c r="C7260" s="8" t="s">
        <v>1186</v>
      </c>
      <c r="D7260" s="8">
        <v>374</v>
      </c>
      <c r="E7260" s="8">
        <v>0</v>
      </c>
      <c r="F7260" s="8">
        <v>109</v>
      </c>
    </row>
    <row r="7261" spans="1:6" ht="12.75">
      <c r="A7261" s="8">
        <v>43901.701342592598</v>
      </c>
      <c r="B7261" s="8" t="str">
        <f>HYPERLINK("https://twitter.com/haaaachiiiinn","@haaaachiiiinn")</f>
        <v>@haaaachiiiinn</v>
      </c>
      <c r="C7261" s="8" t="s">
        <v>2790</v>
      </c>
      <c r="D7261" s="8">
        <v>213</v>
      </c>
      <c r="E7261" s="8">
        <v>0</v>
      </c>
      <c r="F7261" s="8">
        <v>3282</v>
      </c>
    </row>
    <row r="7262" spans="1:6" ht="12.75">
      <c r="A7262" s="8">
        <v>43901.701180555552</v>
      </c>
      <c r="B7262" s="8" t="str">
        <f>HYPERLINK("https://twitter.com/andi_dwan15","@andi_dwan15")</f>
        <v>@andi_dwan15</v>
      </c>
      <c r="C7262" s="8" t="s">
        <v>3487</v>
      </c>
      <c r="D7262" s="8">
        <v>0</v>
      </c>
      <c r="E7262" s="8">
        <v>0</v>
      </c>
      <c r="F7262" s="8">
        <v>62</v>
      </c>
    </row>
    <row r="7263" spans="1:6" ht="12.75">
      <c r="A7263" s="8">
        <v>43901.700833333336</v>
      </c>
      <c r="B7263" s="8" t="str">
        <f>HYPERLINK("https://twitter.com/WenSid","@WenSid")</f>
        <v>@WenSid</v>
      </c>
      <c r="C7263" s="8" t="s">
        <v>2989</v>
      </c>
      <c r="D7263" s="8">
        <v>117</v>
      </c>
      <c r="E7263" s="8">
        <v>0</v>
      </c>
      <c r="F7263" s="8">
        <v>121</v>
      </c>
    </row>
    <row r="7264" spans="1:6" ht="12.75">
      <c r="A7264" s="8">
        <v>43901.70040509259</v>
      </c>
      <c r="B7264" s="8" t="str">
        <f>HYPERLINK("https://twitter.com/news_outsiders","@news_outsiders")</f>
        <v>@news_outsiders</v>
      </c>
      <c r="C7264" s="8" t="s">
        <v>3488</v>
      </c>
      <c r="D7264" s="8">
        <v>0</v>
      </c>
      <c r="E7264" s="8">
        <v>0</v>
      </c>
      <c r="F7264" s="8">
        <v>119</v>
      </c>
    </row>
    <row r="7265" spans="1:6" ht="12.75">
      <c r="A7265" s="8">
        <v>43901.699988425928</v>
      </c>
      <c r="B7265" s="8" t="str">
        <f>HYPERLINK("https://twitter.com/noni_nitha","@noni_nitha")</f>
        <v>@noni_nitha</v>
      </c>
      <c r="C7265" s="8" t="s">
        <v>104</v>
      </c>
      <c r="D7265" s="8">
        <v>110</v>
      </c>
      <c r="E7265" s="8">
        <v>0</v>
      </c>
      <c r="F7265" s="8">
        <v>1624</v>
      </c>
    </row>
    <row r="7266" spans="1:6" ht="12.75">
      <c r="A7266" s="8">
        <v>43901.699942129635</v>
      </c>
      <c r="B7266" s="8" t="str">
        <f>HYPERLINK("https://twitter.com/ixi_iman","@ixi_iman")</f>
        <v>@ixi_iman</v>
      </c>
      <c r="C7266" s="8" t="s">
        <v>3489</v>
      </c>
      <c r="D7266" s="8">
        <v>0</v>
      </c>
      <c r="E7266" s="8">
        <v>1</v>
      </c>
      <c r="F7266" s="8">
        <v>225</v>
      </c>
    </row>
    <row r="7267" spans="1:6" ht="12.75">
      <c r="A7267" s="8">
        <v>43901.699247685188</v>
      </c>
      <c r="B7267" s="8" t="str">
        <f>HYPERLINK("https://twitter.com/clayshits","@clayshits")</f>
        <v>@clayshits</v>
      </c>
      <c r="C7267" s="8" t="s">
        <v>2790</v>
      </c>
      <c r="D7267" s="8">
        <v>213</v>
      </c>
      <c r="E7267" s="8">
        <v>0</v>
      </c>
      <c r="F7267" s="8">
        <v>1085</v>
      </c>
    </row>
    <row r="7268" spans="1:6" ht="12.75">
      <c r="A7268" s="8">
        <v>43901.698171296295</v>
      </c>
      <c r="B7268" s="8" t="str">
        <f>HYPERLINK("https://twitter.com/DoanxJho","@DoanxJho")</f>
        <v>@DoanxJho</v>
      </c>
      <c r="C7268" s="8" t="s">
        <v>318</v>
      </c>
      <c r="D7268" s="8">
        <v>1349</v>
      </c>
      <c r="E7268" s="8">
        <v>0</v>
      </c>
      <c r="F7268" s="8">
        <v>53</v>
      </c>
    </row>
    <row r="7269" spans="1:6" ht="12.75">
      <c r="A7269" s="8">
        <v>43901.69809027778</v>
      </c>
      <c r="B7269" s="8" t="str">
        <f>HYPERLINK("https://twitter.com/Elfry_Zy","@Elfry_Zy")</f>
        <v>@Elfry_Zy</v>
      </c>
      <c r="C7269" s="8" t="s">
        <v>3490</v>
      </c>
      <c r="D7269" s="8">
        <v>0</v>
      </c>
      <c r="E7269" s="8">
        <v>0</v>
      </c>
      <c r="F7269" s="8">
        <v>172</v>
      </c>
    </row>
    <row r="7270" spans="1:6" ht="12.75">
      <c r="A7270" s="8">
        <v>43901.697847222225</v>
      </c>
      <c r="B7270" s="8" t="str">
        <f>HYPERLINK("https://twitter.com/misyagev","@misyagev")</f>
        <v>@misyagev</v>
      </c>
      <c r="C7270" s="8" t="s">
        <v>1186</v>
      </c>
      <c r="D7270" s="8">
        <v>374</v>
      </c>
      <c r="E7270" s="8">
        <v>0</v>
      </c>
      <c r="F7270" s="8">
        <v>1293</v>
      </c>
    </row>
    <row r="7271" spans="1:6" ht="12.75">
      <c r="A7271" s="8">
        <v>43901.697499999995</v>
      </c>
      <c r="B7271" s="8" t="str">
        <f>HYPERLINK("https://twitter.com/lubisrina_","@lubisrina_")</f>
        <v>@lubisrina_</v>
      </c>
      <c r="C7271" s="8" t="s">
        <v>1800</v>
      </c>
      <c r="D7271" s="8">
        <v>20</v>
      </c>
      <c r="E7271" s="8">
        <v>0</v>
      </c>
      <c r="F7271" s="8">
        <v>545</v>
      </c>
    </row>
    <row r="7272" spans="1:6" ht="12.75">
      <c r="A7272" s="8">
        <v>43901.695555555554</v>
      </c>
      <c r="B7272" s="8" t="str">
        <f>HYPERLINK("https://twitter.com/samueladam__","@samueladam__")</f>
        <v>@samueladam__</v>
      </c>
      <c r="C7272" s="8" t="s">
        <v>104</v>
      </c>
      <c r="D7272" s="8">
        <v>110</v>
      </c>
      <c r="E7272" s="8">
        <v>0</v>
      </c>
      <c r="F7272" s="8">
        <v>394</v>
      </c>
    </row>
    <row r="7273" spans="1:6" ht="12.75">
      <c r="A7273" s="8">
        <v>43901.695474537039</v>
      </c>
      <c r="B7273" s="8" t="str">
        <f>HYPERLINK("https://twitter.com/lovetaoT0BA","@lovetaoT0BA")</f>
        <v>@lovetaoT0BA</v>
      </c>
      <c r="C7273" s="8" t="s">
        <v>3436</v>
      </c>
      <c r="D7273" s="8">
        <v>6</v>
      </c>
      <c r="E7273" s="8">
        <v>0</v>
      </c>
      <c r="F7273" s="8">
        <v>3188</v>
      </c>
    </row>
    <row r="7274" spans="1:6" ht="12.75">
      <c r="A7274" s="8">
        <v>43901.695405092592</v>
      </c>
      <c r="B7274" s="8" t="str">
        <f>HYPERLINK("https://twitter.com/eben_heizer","@eben_heizer")</f>
        <v>@eben_heizer</v>
      </c>
      <c r="C7274" s="8" t="s">
        <v>104</v>
      </c>
      <c r="D7274" s="8">
        <v>110</v>
      </c>
      <c r="E7274" s="8">
        <v>0</v>
      </c>
      <c r="F7274" s="8">
        <v>1621</v>
      </c>
    </row>
    <row r="7275" spans="1:6" ht="12.75">
      <c r="A7275" s="8">
        <v>43901.694965277777</v>
      </c>
      <c r="B7275" s="8" t="str">
        <f>HYPERLINK("https://twitter.com/meitamorfosa","@meitamorfosa")</f>
        <v>@meitamorfosa</v>
      </c>
      <c r="C7275" s="8" t="s">
        <v>1186</v>
      </c>
      <c r="D7275" s="8">
        <v>374</v>
      </c>
      <c r="E7275" s="8">
        <v>0</v>
      </c>
      <c r="F7275" s="8">
        <v>111</v>
      </c>
    </row>
    <row r="7276" spans="1:6" ht="12.75">
      <c r="A7276" s="8">
        <v>43901.694872685184</v>
      </c>
      <c r="B7276" s="8" t="str">
        <f>HYPERLINK("https://twitter.com/missxrururu","@missxrururu")</f>
        <v>@missxrururu</v>
      </c>
      <c r="C7276" s="8" t="s">
        <v>2790</v>
      </c>
      <c r="D7276" s="8">
        <v>213</v>
      </c>
      <c r="E7276" s="8">
        <v>0</v>
      </c>
      <c r="F7276" s="8">
        <v>418</v>
      </c>
    </row>
    <row r="7277" spans="1:6" ht="12.75">
      <c r="A7277" s="8">
        <v>43901.694525462968</v>
      </c>
      <c r="B7277" s="8" t="str">
        <f>HYPERLINK("https://twitter.com/yikno81","@yikno81")</f>
        <v>@yikno81</v>
      </c>
      <c r="C7277" s="8" t="s">
        <v>104</v>
      </c>
      <c r="D7277" s="8">
        <v>110</v>
      </c>
      <c r="E7277" s="8">
        <v>0</v>
      </c>
      <c r="F7277" s="8">
        <v>40</v>
      </c>
    </row>
    <row r="7278" spans="1:6" ht="12.75">
      <c r="A7278" s="8">
        <v>43901.693749999999</v>
      </c>
      <c r="B7278" s="8" t="str">
        <f>HYPERLINK("https://twitter.com/georgeroo_","@georgeroo_")</f>
        <v>@georgeroo_</v>
      </c>
      <c r="C7278" s="8" t="s">
        <v>3491</v>
      </c>
      <c r="D7278" s="8">
        <v>0</v>
      </c>
      <c r="E7278" s="8">
        <v>0</v>
      </c>
      <c r="F7278" s="8">
        <v>4</v>
      </c>
    </row>
    <row r="7279" spans="1:6" ht="12.75">
      <c r="A7279" s="8">
        <v>43901.693159722221</v>
      </c>
      <c r="B7279" s="8" t="str">
        <f>HYPERLINK("https://twitter.com/khoirinida","@khoirinida")</f>
        <v>@khoirinida</v>
      </c>
      <c r="C7279" s="8" t="s">
        <v>2790</v>
      </c>
      <c r="D7279" s="8">
        <v>213</v>
      </c>
      <c r="E7279" s="8">
        <v>0</v>
      </c>
      <c r="F7279" s="8">
        <v>828</v>
      </c>
    </row>
    <row r="7280" spans="1:6" ht="12.75">
      <c r="A7280" s="8">
        <v>43901.693101851852</v>
      </c>
      <c r="B7280" s="8" t="str">
        <f>HYPERLINK("https://twitter.com/Jhon84922990","@Jhon84922990")</f>
        <v>@Jhon84922990</v>
      </c>
      <c r="C7280" s="8" t="s">
        <v>2989</v>
      </c>
      <c r="D7280" s="8">
        <v>117</v>
      </c>
      <c r="E7280" s="8">
        <v>0</v>
      </c>
      <c r="F7280" s="8">
        <v>281</v>
      </c>
    </row>
    <row r="7281" spans="1:6" ht="12.75">
      <c r="A7281" s="8">
        <v>43901.692835648151</v>
      </c>
      <c r="B7281" s="8" t="str">
        <f>HYPERLINK("https://twitter.com/Adlin_AN","@Adlin_AN")</f>
        <v>@Adlin_AN</v>
      </c>
      <c r="C7281" s="8" t="s">
        <v>2790</v>
      </c>
      <c r="D7281" s="8">
        <v>213</v>
      </c>
      <c r="E7281" s="8">
        <v>0</v>
      </c>
      <c r="F7281" s="8">
        <v>765</v>
      </c>
    </row>
    <row r="7282" spans="1:6" ht="12.75">
      <c r="A7282" s="8">
        <v>43901.692430555559</v>
      </c>
      <c r="B7282" s="8" t="str">
        <f>HYPERLINK("https://twitter.com/kojo_XO","@kojo_XO")</f>
        <v>@kojo_XO</v>
      </c>
      <c r="C7282" s="8" t="s">
        <v>3492</v>
      </c>
      <c r="D7282" s="8">
        <v>3</v>
      </c>
      <c r="E7282" s="8">
        <v>0</v>
      </c>
      <c r="F7282" s="8">
        <v>4212</v>
      </c>
    </row>
    <row r="7283" spans="1:6" ht="12.75">
      <c r="A7283" s="8">
        <v>43901.691875000004</v>
      </c>
      <c r="B7283" s="8" t="str">
        <f>HYPERLINK("https://twitter.com/Widiatis279","@Widiatis279")</f>
        <v>@Widiatis279</v>
      </c>
      <c r="C7283" s="8" t="s">
        <v>2715</v>
      </c>
      <c r="D7283" s="8">
        <v>47</v>
      </c>
      <c r="E7283" s="8">
        <v>0</v>
      </c>
      <c r="F7283" s="8">
        <v>728</v>
      </c>
    </row>
    <row r="7284" spans="1:6" ht="12.75">
      <c r="A7284" s="8">
        <v>43901.690763888888</v>
      </c>
      <c r="B7284" s="8" t="str">
        <f>HYPERLINK("https://twitter.com/jeonxheexjin","@jeonxheexjin")</f>
        <v>@jeonxheexjin</v>
      </c>
      <c r="C7284" s="8" t="s">
        <v>3458</v>
      </c>
      <c r="D7284" s="8">
        <v>2</v>
      </c>
      <c r="E7284" s="8">
        <v>0</v>
      </c>
      <c r="F7284" s="8">
        <v>799</v>
      </c>
    </row>
    <row r="7285" spans="1:6" ht="12.75">
      <c r="A7285" s="8">
        <v>43901.688067129631</v>
      </c>
      <c r="B7285" s="8" t="str">
        <f>HYPERLINK("https://twitter.com/_wni_","@_wni_")</f>
        <v>@_wni_</v>
      </c>
      <c r="C7285" s="8" t="s">
        <v>3493</v>
      </c>
      <c r="D7285" s="8">
        <v>0</v>
      </c>
      <c r="E7285" s="8">
        <v>0</v>
      </c>
      <c r="F7285" s="8">
        <v>22</v>
      </c>
    </row>
    <row r="7286" spans="1:6" ht="12.75">
      <c r="A7286" s="8">
        <v>43901.687199074076</v>
      </c>
      <c r="B7286" s="8" t="str">
        <f>HYPERLINK("https://twitter.com/Sulthon47164536","@Sulthon47164536")</f>
        <v>@Sulthon47164536</v>
      </c>
      <c r="C7286" s="8" t="s">
        <v>3494</v>
      </c>
      <c r="D7286" s="8">
        <v>0</v>
      </c>
      <c r="E7286" s="8">
        <v>1</v>
      </c>
      <c r="F7286" s="8">
        <v>2184</v>
      </c>
    </row>
    <row r="7287" spans="1:6" ht="12.75">
      <c r="A7287" s="8">
        <v>43901.687025462961</v>
      </c>
      <c r="B7287" s="8" t="str">
        <f>HYPERLINK("https://twitter.com/jaehyoon97","@jaehyoon97")</f>
        <v>@jaehyoon97</v>
      </c>
      <c r="C7287" s="8" t="s">
        <v>3458</v>
      </c>
      <c r="D7287" s="8">
        <v>2</v>
      </c>
      <c r="E7287" s="8">
        <v>0</v>
      </c>
      <c r="F7287" s="8">
        <v>6833</v>
      </c>
    </row>
    <row r="7288" spans="1:6" ht="12.75">
      <c r="A7288" s="8">
        <v>43901.686423611114</v>
      </c>
      <c r="B7288" s="8" t="str">
        <f>HYPERLINK("https://twitter.com/garyputraandra","@garyputraandra")</f>
        <v>@garyputraandra</v>
      </c>
      <c r="C7288" s="8" t="s">
        <v>3495</v>
      </c>
      <c r="D7288" s="8">
        <v>0</v>
      </c>
      <c r="E7288" s="8">
        <v>0</v>
      </c>
      <c r="F7288" s="8">
        <v>654</v>
      </c>
    </row>
    <row r="7289" spans="1:6" ht="12.75">
      <c r="A7289" s="8">
        <v>43901.686168981483</v>
      </c>
      <c r="B7289" s="8" t="str">
        <f>HYPERLINK("https://twitter.com/ulitrisnani","@ulitrisnani")</f>
        <v>@ulitrisnani</v>
      </c>
      <c r="C7289" s="8" t="s">
        <v>2989</v>
      </c>
      <c r="D7289" s="8">
        <v>117</v>
      </c>
      <c r="E7289" s="8">
        <v>0</v>
      </c>
      <c r="F7289" s="8">
        <v>605</v>
      </c>
    </row>
    <row r="7290" spans="1:6" ht="12.75">
      <c r="A7290" s="8">
        <v>43901.685740740737</v>
      </c>
      <c r="B7290" s="8" t="str">
        <f>HYPERLINK("https://twitter.com/SiStgz86VI96LaK","@SiStgz86VI96LaK")</f>
        <v>@SiStgz86VI96LaK</v>
      </c>
      <c r="C7290" s="8" t="s">
        <v>318</v>
      </c>
      <c r="D7290" s="8">
        <v>1349</v>
      </c>
      <c r="E7290" s="8">
        <v>0</v>
      </c>
      <c r="F7290" s="8">
        <v>468</v>
      </c>
    </row>
    <row r="7291" spans="1:6" ht="12.75">
      <c r="A7291" s="8">
        <v>43901.685729166667</v>
      </c>
      <c r="B7291" s="8" t="str">
        <f>HYPERLINK("https://twitter.com/snogthenbite","@snogthenbite")</f>
        <v>@snogthenbite</v>
      </c>
      <c r="C7291" s="8" t="s">
        <v>3496</v>
      </c>
      <c r="D7291" s="8">
        <v>0</v>
      </c>
      <c r="E7291" s="8">
        <v>0</v>
      </c>
      <c r="F7291" s="8">
        <v>1147</v>
      </c>
    </row>
    <row r="7292" spans="1:6" ht="12.75">
      <c r="A7292" s="8">
        <v>43901.684664351851</v>
      </c>
      <c r="B7292" s="8" t="str">
        <f>HYPERLINK("https://twitter.com/Pyazez","@Pyazez")</f>
        <v>@Pyazez</v>
      </c>
      <c r="C7292" s="8" t="s">
        <v>2790</v>
      </c>
      <c r="D7292" s="8">
        <v>213</v>
      </c>
      <c r="E7292" s="8">
        <v>0</v>
      </c>
      <c r="F7292" s="8">
        <v>1379</v>
      </c>
    </row>
    <row r="7293" spans="1:6" ht="12.75">
      <c r="A7293" s="8">
        <v>43901.684594907405</v>
      </c>
      <c r="B7293" s="8" t="str">
        <f>HYPERLINK("https://twitter.com/qilayyoi","@qilayyoi")</f>
        <v>@qilayyoi</v>
      </c>
      <c r="C7293" s="8" t="s">
        <v>318</v>
      </c>
      <c r="D7293" s="8">
        <v>1349</v>
      </c>
      <c r="E7293" s="8">
        <v>0</v>
      </c>
      <c r="F7293" s="8">
        <v>147</v>
      </c>
    </row>
    <row r="7294" spans="1:6" ht="12.75">
      <c r="A7294" s="8">
        <v>43901.683923611112</v>
      </c>
      <c r="B7294" s="8" t="str">
        <f>HYPERLINK("https://twitter.com/chirp__john","@chirp__john")</f>
        <v>@chirp__john</v>
      </c>
      <c r="C7294" s="8" t="s">
        <v>2715</v>
      </c>
      <c r="D7294" s="8">
        <v>47</v>
      </c>
      <c r="E7294" s="8">
        <v>0</v>
      </c>
      <c r="F7294" s="8">
        <v>5900</v>
      </c>
    </row>
    <row r="7295" spans="1:6" ht="12.75">
      <c r="A7295" s="8">
        <v>43901.683831018519</v>
      </c>
      <c r="B7295" s="8" t="str">
        <f>HYPERLINK("https://twitter.com/resiameesa","@resiameesa")</f>
        <v>@resiameesa</v>
      </c>
      <c r="C7295" s="8" t="s">
        <v>2790</v>
      </c>
      <c r="D7295" s="8">
        <v>213</v>
      </c>
      <c r="E7295" s="8">
        <v>0</v>
      </c>
      <c r="F7295" s="8">
        <v>558</v>
      </c>
    </row>
    <row r="7296" spans="1:6" ht="12.75">
      <c r="A7296" s="8">
        <v>43901.68350694445</v>
      </c>
      <c r="B7296" s="8" t="str">
        <f>HYPERLINK("https://twitter.com/onlyamell","@onlyamell")</f>
        <v>@onlyamell</v>
      </c>
      <c r="C7296" s="8" t="s">
        <v>3497</v>
      </c>
      <c r="D7296" s="8">
        <v>0</v>
      </c>
      <c r="E7296" s="8">
        <v>0</v>
      </c>
      <c r="F7296" s="8">
        <v>259</v>
      </c>
    </row>
    <row r="7297" spans="1:6" ht="12.75">
      <c r="A7297" s="8">
        <v>43901.683194444442</v>
      </c>
      <c r="B7297" s="8" t="str">
        <f>HYPERLINK("https://twitter.com/mbahCokro77","@mbahCokro77")</f>
        <v>@mbahCokro77</v>
      </c>
      <c r="C7297" s="8" t="s">
        <v>3498</v>
      </c>
      <c r="D7297" s="8">
        <v>0</v>
      </c>
      <c r="E7297" s="8">
        <v>4</v>
      </c>
      <c r="F7297" s="8">
        <v>6995</v>
      </c>
    </row>
    <row r="7298" spans="1:6" ht="12.75">
      <c r="A7298" s="8">
        <v>43901.683136574073</v>
      </c>
      <c r="B7298" s="8" t="str">
        <f>HYPERLINK("https://twitter.com/lakalaka93","@lakalaka93")</f>
        <v>@lakalaka93</v>
      </c>
      <c r="C7298" s="8" t="s">
        <v>2989</v>
      </c>
      <c r="D7298" s="8">
        <v>117</v>
      </c>
      <c r="E7298" s="8">
        <v>0</v>
      </c>
      <c r="F7298" s="8">
        <v>433</v>
      </c>
    </row>
    <row r="7299" spans="1:6" ht="12.75">
      <c r="A7299" s="8">
        <v>43901.682430555556</v>
      </c>
      <c r="B7299" s="8" t="str">
        <f>HYPERLINK("https://twitter.com/_wni_","@_wni_")</f>
        <v>@_wni_</v>
      </c>
      <c r="C7299" s="8" t="s">
        <v>3499</v>
      </c>
      <c r="D7299" s="8">
        <v>0</v>
      </c>
      <c r="E7299" s="8">
        <v>0</v>
      </c>
      <c r="F7299" s="8">
        <v>22</v>
      </c>
    </row>
    <row r="7300" spans="1:6" ht="12.75">
      <c r="A7300" s="8">
        <v>43901.682349537034</v>
      </c>
      <c r="B7300" s="8" t="str">
        <f>HYPERLINK("https://twitter.com/RajaAbsolut","@RajaAbsolut")</f>
        <v>@RajaAbsolut</v>
      </c>
      <c r="C7300" s="8" t="s">
        <v>2989</v>
      </c>
      <c r="D7300" s="8">
        <v>117</v>
      </c>
      <c r="E7300" s="8">
        <v>0</v>
      </c>
      <c r="F7300" s="8">
        <v>1977</v>
      </c>
    </row>
    <row r="7301" spans="1:6" ht="12.75">
      <c r="A7301" s="8">
        <v>43901.681527777779</v>
      </c>
      <c r="B7301" s="8" t="str">
        <f>HYPERLINK("https://twitter.com/jaehyunbojoku","@jaehyunbojoku")</f>
        <v>@jaehyunbojoku</v>
      </c>
      <c r="C7301" s="8" t="s">
        <v>2790</v>
      </c>
      <c r="D7301" s="8">
        <v>213</v>
      </c>
      <c r="E7301" s="8">
        <v>0</v>
      </c>
      <c r="F7301" s="8">
        <v>4602</v>
      </c>
    </row>
    <row r="7302" spans="1:6" ht="12.75">
      <c r="A7302" s="8">
        <v>43901.680763888886</v>
      </c>
      <c r="B7302" s="8" t="str">
        <f>HYPERLINK("https://twitter.com/wontinn","@wontinn")</f>
        <v>@wontinn</v>
      </c>
      <c r="C7302" s="8" t="s">
        <v>104</v>
      </c>
      <c r="D7302" s="8">
        <v>110</v>
      </c>
      <c r="E7302" s="8">
        <v>0</v>
      </c>
      <c r="F7302" s="8">
        <v>383</v>
      </c>
    </row>
    <row r="7303" spans="1:6" ht="12.75">
      <c r="A7303" s="8">
        <v>43901.680312500001</v>
      </c>
      <c r="B7303" s="8" t="str">
        <f>HYPERLINK("https://twitter.com/kiblatnet","@kiblatnet")</f>
        <v>@kiblatnet</v>
      </c>
      <c r="C7303" s="8" t="s">
        <v>3500</v>
      </c>
      <c r="D7303" s="8">
        <v>0</v>
      </c>
      <c r="E7303" s="8">
        <v>1</v>
      </c>
      <c r="F7303" s="8">
        <v>20912</v>
      </c>
    </row>
    <row r="7304" spans="1:6" ht="12.75">
      <c r="A7304" s="8">
        <v>43901.68005787037</v>
      </c>
      <c r="B7304" s="8" t="str">
        <f>HYPERLINK("https://twitter.com/nidatsa","@nidatsa")</f>
        <v>@nidatsa</v>
      </c>
      <c r="C7304" s="8" t="s">
        <v>104</v>
      </c>
      <c r="D7304" s="8">
        <v>110</v>
      </c>
      <c r="E7304" s="8">
        <v>0</v>
      </c>
      <c r="F7304" s="8">
        <v>371</v>
      </c>
    </row>
    <row r="7305" spans="1:6" ht="12.75">
      <c r="A7305" s="8">
        <v>43901.679710648154</v>
      </c>
      <c r="B7305" s="8" t="str">
        <f>HYPERLINK("https://twitter.com/ahmat_bronto","@ahmat_bronto")</f>
        <v>@ahmat_bronto</v>
      </c>
      <c r="C7305" s="8" t="s">
        <v>3501</v>
      </c>
      <c r="D7305" s="8">
        <v>4</v>
      </c>
      <c r="E7305" s="8">
        <v>0</v>
      </c>
      <c r="F7305" s="8">
        <v>368</v>
      </c>
    </row>
    <row r="7306" spans="1:6" ht="12.75">
      <c r="A7306" s="8">
        <v>43901.679525462961</v>
      </c>
      <c r="B7306" s="8" t="str">
        <f>HYPERLINK("https://twitter.com/Vanioerips","@Vanioerips")</f>
        <v>@Vanioerips</v>
      </c>
      <c r="C7306" s="8" t="s">
        <v>318</v>
      </c>
      <c r="D7306" s="8">
        <v>1349</v>
      </c>
      <c r="E7306" s="8">
        <v>0</v>
      </c>
      <c r="F7306" s="8">
        <v>21</v>
      </c>
    </row>
    <row r="7307" spans="1:6" ht="12.75">
      <c r="A7307" s="8">
        <v>43901.678564814814</v>
      </c>
      <c r="B7307" s="8" t="str">
        <f>HYPERLINK("https://twitter.com/b_fjakarta","@b_fjakarta")</f>
        <v>@b_fjakarta</v>
      </c>
      <c r="C7307" s="8" t="s">
        <v>1186</v>
      </c>
      <c r="D7307" s="8">
        <v>374</v>
      </c>
      <c r="E7307" s="8">
        <v>0</v>
      </c>
      <c r="F7307" s="8">
        <v>2835</v>
      </c>
    </row>
    <row r="7308" spans="1:6" ht="12.75">
      <c r="A7308" s="8">
        <v>43901.677812499998</v>
      </c>
      <c r="B7308" s="8" t="str">
        <f>HYPERLINK("https://twitter.com/smatemsa","@smatemsa")</f>
        <v>@smatemsa</v>
      </c>
      <c r="C7308" s="8" t="s">
        <v>2989</v>
      </c>
      <c r="D7308" s="8">
        <v>117</v>
      </c>
      <c r="E7308" s="8">
        <v>0</v>
      </c>
      <c r="F7308" s="8">
        <v>1279</v>
      </c>
    </row>
    <row r="7309" spans="1:6" ht="12.75">
      <c r="A7309" s="8">
        <v>43901.677442129629</v>
      </c>
      <c r="B7309" s="8" t="str">
        <f>HYPERLINK("https://twitter.com/tarmeasy","@tarmeasy")</f>
        <v>@tarmeasy</v>
      </c>
      <c r="C7309" s="8" t="s">
        <v>3502</v>
      </c>
      <c r="D7309" s="8">
        <v>1</v>
      </c>
      <c r="E7309" s="8">
        <v>1</v>
      </c>
      <c r="F7309" s="8">
        <v>228</v>
      </c>
    </row>
    <row r="7310" spans="1:6" ht="12.75">
      <c r="A7310" s="8">
        <v>43901.677233796298</v>
      </c>
      <c r="B7310" s="8" t="str">
        <f>HYPERLINK("https://twitter.com/verynotbery","@verynotbery")</f>
        <v>@verynotbery</v>
      </c>
      <c r="C7310" s="8" t="s">
        <v>3503</v>
      </c>
      <c r="D7310" s="8">
        <v>0</v>
      </c>
      <c r="E7310" s="8">
        <v>0</v>
      </c>
      <c r="F7310" s="8">
        <v>124</v>
      </c>
    </row>
    <row r="7311" spans="1:6" ht="12.75">
      <c r="A7311" s="8">
        <v>43901.676736111112</v>
      </c>
      <c r="B7311" s="8" t="str">
        <f>HYPERLINK("https://twitter.com/Firgamal75","@Firgamal75")</f>
        <v>@Firgamal75</v>
      </c>
      <c r="C7311" s="8" t="s">
        <v>3504</v>
      </c>
      <c r="D7311" s="8">
        <v>0</v>
      </c>
      <c r="E7311" s="8">
        <v>0</v>
      </c>
      <c r="F7311" s="8">
        <v>83</v>
      </c>
    </row>
    <row r="7312" spans="1:6" ht="12.75">
      <c r="A7312" s="8">
        <v>43901.675856481481</v>
      </c>
      <c r="B7312" s="8" t="str">
        <f>HYPERLINK("https://twitter.com/verynotbery","@verynotbery")</f>
        <v>@verynotbery</v>
      </c>
      <c r="C7312" s="8" t="s">
        <v>3505</v>
      </c>
      <c r="D7312" s="8">
        <v>0</v>
      </c>
      <c r="E7312" s="8">
        <v>0</v>
      </c>
      <c r="F7312" s="8">
        <v>124</v>
      </c>
    </row>
    <row r="7313" spans="1:6" ht="12.75">
      <c r="A7313" s="8">
        <v>43901.675706018519</v>
      </c>
      <c r="B7313" s="8" t="str">
        <f>HYPERLINK("https://twitter.com/555masteng","@555masteng")</f>
        <v>@555masteng</v>
      </c>
      <c r="C7313" s="8" t="s">
        <v>104</v>
      </c>
      <c r="D7313" s="8">
        <v>110</v>
      </c>
      <c r="E7313" s="8">
        <v>0</v>
      </c>
      <c r="F7313" s="8">
        <v>5608</v>
      </c>
    </row>
    <row r="7314" spans="1:6" ht="12.75">
      <c r="A7314" s="8">
        <v>43901.675625000003</v>
      </c>
      <c r="B7314" s="8" t="str">
        <f>HYPERLINK("https://twitter.com/altan411","@altan411")</f>
        <v>@altan411</v>
      </c>
      <c r="C7314" s="8" t="s">
        <v>318</v>
      </c>
      <c r="D7314" s="8">
        <v>1349</v>
      </c>
      <c r="E7314" s="8">
        <v>0</v>
      </c>
      <c r="F7314" s="8">
        <v>1003</v>
      </c>
    </row>
    <row r="7315" spans="1:6" ht="12.75">
      <c r="A7315" s="8">
        <v>43901.675509259258</v>
      </c>
      <c r="B7315" s="8" t="str">
        <f>HYPERLINK("https://twitter.com/handayanivemros","@handayanivemros")</f>
        <v>@handayanivemros</v>
      </c>
      <c r="C7315" s="8" t="s">
        <v>2715</v>
      </c>
      <c r="D7315" s="8">
        <v>47</v>
      </c>
      <c r="E7315" s="8">
        <v>0</v>
      </c>
      <c r="F7315" s="8">
        <v>11</v>
      </c>
    </row>
    <row r="7316" spans="1:6" ht="12.75">
      <c r="A7316" s="8">
        <v>43901.674641203703</v>
      </c>
      <c r="B7316" s="8" t="str">
        <f>HYPERLINK("https://twitter.com/BashoryZ","@BashoryZ")</f>
        <v>@BashoryZ</v>
      </c>
      <c r="C7316" s="8" t="s">
        <v>2715</v>
      </c>
      <c r="D7316" s="8">
        <v>47</v>
      </c>
      <c r="E7316" s="8">
        <v>0</v>
      </c>
      <c r="F7316" s="8">
        <v>2323</v>
      </c>
    </row>
    <row r="7317" spans="1:6" ht="12.75">
      <c r="A7317" s="8">
        <v>43901.674247685187</v>
      </c>
      <c r="B7317" s="8" t="str">
        <f>HYPERLINK("https://twitter.com/heztya","@heztya")</f>
        <v>@heztya</v>
      </c>
      <c r="C7317" s="8" t="s">
        <v>1800</v>
      </c>
      <c r="D7317" s="8">
        <v>20</v>
      </c>
      <c r="E7317" s="8">
        <v>0</v>
      </c>
      <c r="F7317" s="8">
        <v>122</v>
      </c>
    </row>
    <row r="7318" spans="1:6" ht="12.75">
      <c r="A7318" s="8">
        <v>43901.674166666664</v>
      </c>
      <c r="B7318" s="8" t="str">
        <f>HYPERLINK("https://twitter.com/_wni_","@_wni_")</f>
        <v>@_wni_</v>
      </c>
      <c r="C7318" s="8" t="s">
        <v>3506</v>
      </c>
      <c r="D7318" s="8">
        <v>12271</v>
      </c>
      <c r="E7318" s="8">
        <v>0</v>
      </c>
      <c r="F7318" s="8">
        <v>22</v>
      </c>
    </row>
    <row r="7319" spans="1:6" ht="12.75">
      <c r="A7319" s="8">
        <v>43901.674120370371</v>
      </c>
      <c r="B7319" s="8" t="str">
        <f>HYPERLINK("https://twitter.com/1nserttranstv","@1nserttranstv")</f>
        <v>@1nserttranstv</v>
      </c>
      <c r="C7319" s="8" t="s">
        <v>3507</v>
      </c>
      <c r="D7319" s="8">
        <v>1</v>
      </c>
      <c r="E7319" s="8">
        <v>1</v>
      </c>
      <c r="F7319" s="8">
        <v>883639</v>
      </c>
    </row>
    <row r="7320" spans="1:6" ht="12.75">
      <c r="A7320" s="8">
        <v>43901.673043981486</v>
      </c>
      <c r="B7320" s="8" t="str">
        <f>HYPERLINK("https://twitter.com/erwingatuso","@erwingatuso")</f>
        <v>@erwingatuso</v>
      </c>
      <c r="C7320" s="8" t="s">
        <v>3508</v>
      </c>
      <c r="D7320" s="8">
        <v>0</v>
      </c>
      <c r="E7320" s="8">
        <v>0</v>
      </c>
      <c r="F7320" s="8">
        <v>251</v>
      </c>
    </row>
    <row r="7321" spans="1:6" ht="12.75">
      <c r="A7321" s="8">
        <v>43901.672835648147</v>
      </c>
      <c r="B7321" s="8" t="str">
        <f>HYPERLINK("https://twitter.com/Alex_ryan07","@Alex_ryan07")</f>
        <v>@Alex_ryan07</v>
      </c>
      <c r="C7321" s="8" t="s">
        <v>318</v>
      </c>
      <c r="D7321" s="8">
        <v>1342</v>
      </c>
      <c r="E7321" s="8">
        <v>0</v>
      </c>
      <c r="F7321" s="8">
        <v>44</v>
      </c>
    </row>
    <row r="7322" spans="1:6" ht="12.75">
      <c r="A7322" s="8">
        <v>43901.672743055555</v>
      </c>
      <c r="B7322" s="8" t="str">
        <f>HYPERLINK("https://twitter.com/bambang_hesti","@bambang_hesti")</f>
        <v>@bambang_hesti</v>
      </c>
      <c r="C7322" s="8" t="s">
        <v>3509</v>
      </c>
      <c r="D7322" s="8">
        <v>0</v>
      </c>
      <c r="E7322" s="8">
        <v>0</v>
      </c>
      <c r="F7322" s="8">
        <v>15</v>
      </c>
    </row>
    <row r="7323" spans="1:6" ht="12.75">
      <c r="A7323" s="8">
        <v>43901.672430555554</v>
      </c>
      <c r="B7323" s="8" t="str">
        <f>HYPERLINK("https://twitter.com/NovendraPutra4","@NovendraPutra4")</f>
        <v>@NovendraPutra4</v>
      </c>
      <c r="C7323" s="8" t="s">
        <v>1186</v>
      </c>
      <c r="D7323" s="8">
        <v>367</v>
      </c>
      <c r="E7323" s="8">
        <v>0</v>
      </c>
      <c r="F7323" s="8">
        <v>11</v>
      </c>
    </row>
    <row r="7324" spans="1:6" ht="12.75">
      <c r="A7324" s="8">
        <v>43901.672291666662</v>
      </c>
      <c r="B7324" s="8" t="str">
        <f>HYPERLINK("https://twitter.com/Si_Kalacakra","@Si_Kalacakra")</f>
        <v>@Si_Kalacakra</v>
      </c>
      <c r="C7324" s="8" t="s">
        <v>3510</v>
      </c>
      <c r="D7324" s="8">
        <v>0</v>
      </c>
      <c r="E7324" s="8">
        <v>0</v>
      </c>
      <c r="F7324" s="8">
        <v>1431</v>
      </c>
    </row>
    <row r="7325" spans="1:6" ht="12.75">
      <c r="A7325" s="8">
        <v>43901.671527777777</v>
      </c>
      <c r="B7325" s="8" t="str">
        <f>HYPERLINK("https://twitter.com/aicaandine","@aicaandine")</f>
        <v>@aicaandine</v>
      </c>
      <c r="C7325" s="8" t="s">
        <v>3511</v>
      </c>
      <c r="D7325" s="8">
        <v>184</v>
      </c>
      <c r="E7325" s="8">
        <v>0</v>
      </c>
      <c r="F7325" s="8">
        <v>181</v>
      </c>
    </row>
    <row r="7326" spans="1:6" ht="12.75">
      <c r="A7326" s="8">
        <v>43901.670972222222</v>
      </c>
      <c r="B7326" s="8" t="str">
        <f>HYPERLINK("https://twitter.com/Tuturprazz","@Tuturprazz")</f>
        <v>@Tuturprazz</v>
      </c>
      <c r="C7326" s="8" t="s">
        <v>2989</v>
      </c>
      <c r="D7326" s="8">
        <v>110</v>
      </c>
      <c r="E7326" s="8">
        <v>0</v>
      </c>
      <c r="F7326" s="8">
        <v>1285</v>
      </c>
    </row>
    <row r="7327" spans="1:6" ht="12.75">
      <c r="A7327" s="8">
        <v>43901.670312499999</v>
      </c>
      <c r="B7327" s="8" t="str">
        <f>HYPERLINK("https://twitter.com/Fifirizky22","@Fifirizky22")</f>
        <v>@Fifirizky22</v>
      </c>
      <c r="C7327" s="8" t="s">
        <v>1800</v>
      </c>
      <c r="D7327" s="8">
        <v>14</v>
      </c>
      <c r="E7327" s="8">
        <v>0</v>
      </c>
      <c r="F7327" s="8">
        <v>50</v>
      </c>
    </row>
    <row r="7328" spans="1:6" ht="12.75">
      <c r="A7328" s="8">
        <v>43901.669861111106</v>
      </c>
      <c r="B7328" s="8" t="str">
        <f>HYPERLINK("https://twitter.com/Udhin73361667","@Udhin73361667")</f>
        <v>@Udhin73361667</v>
      </c>
      <c r="C7328" s="8" t="s">
        <v>2537</v>
      </c>
      <c r="D7328" s="8">
        <v>59</v>
      </c>
      <c r="E7328" s="8">
        <v>0</v>
      </c>
      <c r="F7328" s="8">
        <v>0</v>
      </c>
    </row>
    <row r="7329" spans="1:6" ht="12.75">
      <c r="A7329" s="8">
        <v>43901.669409722221</v>
      </c>
      <c r="B7329" s="8" t="str">
        <f>HYPERLINK("https://twitter.com/ichafranke","@ichafranke")</f>
        <v>@ichafranke</v>
      </c>
      <c r="C7329" s="8" t="s">
        <v>3512</v>
      </c>
      <c r="D7329" s="8">
        <v>0</v>
      </c>
      <c r="E7329" s="8">
        <v>0</v>
      </c>
      <c r="F7329" s="8">
        <v>203</v>
      </c>
    </row>
    <row r="7330" spans="1:6" ht="12.75">
      <c r="A7330" s="8">
        <v>43901.669050925921</v>
      </c>
      <c r="B7330" s="8" t="str">
        <f>HYPERLINK("https://twitter.com/Setiaguna111","@Setiaguna111")</f>
        <v>@Setiaguna111</v>
      </c>
      <c r="C7330" s="8" t="s">
        <v>1801</v>
      </c>
      <c r="D7330" s="8">
        <v>304</v>
      </c>
      <c r="E7330" s="8">
        <v>0</v>
      </c>
      <c r="F7330" s="8">
        <v>10</v>
      </c>
    </row>
    <row r="7331" spans="1:6" ht="12.75">
      <c r="A7331" s="8">
        <v>43901.668981481482</v>
      </c>
      <c r="B7331" s="8" t="str">
        <f>HYPERLINK("https://twitter.com/ibukdinda","@ibukdinda")</f>
        <v>@ibukdinda</v>
      </c>
      <c r="C7331" s="8" t="s">
        <v>1800</v>
      </c>
      <c r="D7331" s="8">
        <v>14</v>
      </c>
      <c r="E7331" s="8">
        <v>0</v>
      </c>
      <c r="F7331" s="8">
        <v>530</v>
      </c>
    </row>
    <row r="7332" spans="1:6" ht="12.75">
      <c r="A7332" s="8">
        <v>43901.668923611112</v>
      </c>
      <c r="B7332" s="8" t="str">
        <f>HYPERLINK("https://twitter.com/alfinkji","@alfinkji")</f>
        <v>@alfinkji</v>
      </c>
      <c r="C7332" s="8" t="s">
        <v>1801</v>
      </c>
      <c r="D7332" s="8">
        <v>304</v>
      </c>
      <c r="E7332" s="8">
        <v>0</v>
      </c>
      <c r="F7332" s="8">
        <v>277</v>
      </c>
    </row>
    <row r="7333" spans="1:6" ht="12.75">
      <c r="A7333" s="8">
        <v>43901.668692129635</v>
      </c>
      <c r="B7333" s="8" t="str">
        <f>HYPERLINK("https://twitter.com/illashabshab","@illashabshab")</f>
        <v>@illashabshab</v>
      </c>
      <c r="C7333" s="8" t="s">
        <v>104</v>
      </c>
      <c r="D7333" s="8">
        <v>101</v>
      </c>
      <c r="E7333" s="8">
        <v>0</v>
      </c>
      <c r="F7333" s="8">
        <v>218</v>
      </c>
    </row>
    <row r="7334" spans="1:6" ht="12.75">
      <c r="A7334" s="8">
        <v>43901.66851851852</v>
      </c>
      <c r="B7334" s="8" t="str">
        <f>HYPERLINK("https://twitter.com/nofhiis","@nofhiis")</f>
        <v>@nofhiis</v>
      </c>
      <c r="C7334" s="8" t="s">
        <v>1800</v>
      </c>
      <c r="D7334" s="8">
        <v>14</v>
      </c>
      <c r="E7334" s="8">
        <v>0</v>
      </c>
      <c r="F7334" s="8">
        <v>951</v>
      </c>
    </row>
    <row r="7335" spans="1:6" ht="12.75">
      <c r="A7335" s="8">
        <v>43901.667650462958</v>
      </c>
      <c r="B7335" s="8" t="str">
        <f>HYPERLINK("https://twitter.com/j4cky_josu","@j4cky_josu")</f>
        <v>@j4cky_josu</v>
      </c>
      <c r="C7335" s="8" t="s">
        <v>1186</v>
      </c>
      <c r="D7335" s="8">
        <v>367</v>
      </c>
      <c r="E7335" s="8">
        <v>0</v>
      </c>
      <c r="F7335" s="8">
        <v>697</v>
      </c>
    </row>
    <row r="7336" spans="1:6" ht="12.75">
      <c r="A7336" s="8">
        <v>43901.667592592596</v>
      </c>
      <c r="B7336" s="8" t="str">
        <f>HYPERLINK("https://twitter.com/wissemboh","@wissemboh")</f>
        <v>@wissemboh</v>
      </c>
      <c r="C7336" s="8" t="s">
        <v>3513</v>
      </c>
      <c r="D7336" s="8">
        <v>0</v>
      </c>
      <c r="E7336" s="8">
        <v>0</v>
      </c>
      <c r="F7336" s="8">
        <v>11</v>
      </c>
    </row>
    <row r="7337" spans="1:6" ht="12.75">
      <c r="A7337" s="8">
        <v>43901.66715277778</v>
      </c>
      <c r="B7337" s="8" t="str">
        <f>HYPERLINK("https://twitter.com/AlfiraCahyo","@AlfiraCahyo")</f>
        <v>@AlfiraCahyo</v>
      </c>
      <c r="C7337" s="8" t="s">
        <v>318</v>
      </c>
      <c r="D7337" s="8">
        <v>1342</v>
      </c>
      <c r="E7337" s="8">
        <v>0</v>
      </c>
      <c r="F7337" s="8">
        <v>574</v>
      </c>
    </row>
    <row r="7338" spans="1:6" ht="12.75">
      <c r="A7338" s="8">
        <v>43901.666851851856</v>
      </c>
      <c r="B7338" s="8" t="str">
        <f>HYPERLINK("https://twitter.com/ayamsambalmatah","@ayamsambalmatah")</f>
        <v>@ayamsambalmatah</v>
      </c>
      <c r="C7338" s="8" t="s">
        <v>3514</v>
      </c>
      <c r="D7338" s="8">
        <v>4</v>
      </c>
      <c r="E7338" s="8">
        <v>0</v>
      </c>
      <c r="F7338" s="8">
        <v>1031</v>
      </c>
    </row>
    <row r="7339" spans="1:6" ht="12.75">
      <c r="A7339" s="8">
        <v>43901.666828703703</v>
      </c>
      <c r="B7339" s="8" t="str">
        <f>HYPERLINK("https://twitter.com/adieet_78","@adieet_78")</f>
        <v>@adieet_78</v>
      </c>
      <c r="C7339" s="8" t="s">
        <v>104</v>
      </c>
      <c r="D7339" s="8">
        <v>101</v>
      </c>
      <c r="E7339" s="8">
        <v>0</v>
      </c>
      <c r="F7339" s="8">
        <v>141</v>
      </c>
    </row>
    <row r="7340" spans="1:6" ht="12.75">
      <c r="A7340" s="8">
        <v>43901.666712962964</v>
      </c>
      <c r="B7340" s="8" t="str">
        <f>HYPERLINK("https://twitter.com/Clarash83694661","@Clarash83694661")</f>
        <v>@Clarash83694661</v>
      </c>
      <c r="C7340" s="8" t="s">
        <v>3515</v>
      </c>
      <c r="D7340" s="8">
        <v>2400</v>
      </c>
      <c r="E7340" s="8">
        <v>0</v>
      </c>
      <c r="F7340" s="8">
        <v>1</v>
      </c>
    </row>
    <row r="7341" spans="1:6" ht="12.75">
      <c r="A7341" s="8">
        <v>43901.666261574079</v>
      </c>
      <c r="B7341" s="8" t="str">
        <f>HYPERLINK("https://twitter.com/NiaFransiska_Ms","@NiaFransiska_Ms")</f>
        <v>@NiaFransiska_Ms</v>
      </c>
      <c r="C7341" s="8" t="s">
        <v>104</v>
      </c>
      <c r="D7341" s="8">
        <v>101</v>
      </c>
      <c r="E7341" s="8">
        <v>0</v>
      </c>
      <c r="F7341" s="8">
        <v>275</v>
      </c>
    </row>
    <row r="7342" spans="1:6" ht="12.75">
      <c r="A7342" s="8">
        <v>43901.665983796294</v>
      </c>
      <c r="B7342" s="8" t="str">
        <f>HYPERLINK("https://twitter.com/CitraMargono","@CitraMargono")</f>
        <v>@CitraMargono</v>
      </c>
      <c r="C7342" s="8" t="s">
        <v>3516</v>
      </c>
      <c r="D7342" s="8">
        <v>0</v>
      </c>
      <c r="E7342" s="8">
        <v>0</v>
      </c>
      <c r="F7342" s="8">
        <v>9</v>
      </c>
    </row>
    <row r="7343" spans="1:6" ht="12.75">
      <c r="A7343" s="8">
        <v>43901.665856481486</v>
      </c>
      <c r="B7343" s="8" t="str">
        <f>HYPERLINK("https://twitter.com/_wni_","@_wni_")</f>
        <v>@_wni_</v>
      </c>
      <c r="C7343" s="8" t="s">
        <v>3517</v>
      </c>
      <c r="D7343" s="8">
        <v>3122</v>
      </c>
      <c r="E7343" s="8">
        <v>0</v>
      </c>
      <c r="F7343" s="8">
        <v>22</v>
      </c>
    </row>
    <row r="7344" spans="1:6" ht="12.75">
      <c r="A7344" s="8">
        <v>43901.665844907402</v>
      </c>
      <c r="B7344" s="8" t="str">
        <f>HYPERLINK("https://twitter.com/ZoneVenomWar","@ZoneVenomWar")</f>
        <v>@ZoneVenomWar</v>
      </c>
      <c r="C7344" s="8" t="s">
        <v>2790</v>
      </c>
      <c r="D7344" s="8">
        <v>203</v>
      </c>
      <c r="E7344" s="8">
        <v>0</v>
      </c>
      <c r="F7344" s="8">
        <v>1637</v>
      </c>
    </row>
    <row r="7345" spans="1:6" ht="12.75">
      <c r="A7345" s="8">
        <v>43901.665798611109</v>
      </c>
      <c r="B7345" s="8" t="str">
        <f>HYPERLINK("https://twitter.com/aulia2199","@aulia2199")</f>
        <v>@aulia2199</v>
      </c>
      <c r="C7345" s="8" t="s">
        <v>104</v>
      </c>
      <c r="D7345" s="8">
        <v>101</v>
      </c>
      <c r="E7345" s="8">
        <v>0</v>
      </c>
      <c r="F7345" s="8">
        <v>126</v>
      </c>
    </row>
    <row r="7346" spans="1:6" ht="12.75">
      <c r="A7346" s="8">
        <v>43901.665706018517</v>
      </c>
      <c r="B7346" s="8" t="str">
        <f>HYPERLINK("https://twitter.com/_wni_","@_wni_")</f>
        <v>@_wni_</v>
      </c>
      <c r="C7346" s="8" t="s">
        <v>3518</v>
      </c>
      <c r="D7346" s="8">
        <v>76</v>
      </c>
      <c r="E7346" s="8">
        <v>0</v>
      </c>
      <c r="F7346" s="8">
        <v>22</v>
      </c>
    </row>
    <row r="7347" spans="1:6" ht="12.75">
      <c r="A7347" s="8">
        <v>43901.665405092594</v>
      </c>
      <c r="B7347" s="8" t="str">
        <f>HYPERLINK("https://twitter.com/jokosantoso099","@jokosantoso099")</f>
        <v>@jokosantoso099</v>
      </c>
      <c r="C7347" s="8" t="s">
        <v>318</v>
      </c>
      <c r="D7347" s="8">
        <v>1342</v>
      </c>
      <c r="E7347" s="8">
        <v>0</v>
      </c>
      <c r="F7347" s="8">
        <v>511</v>
      </c>
    </row>
    <row r="7348" spans="1:6" ht="12.75">
      <c r="A7348" s="8">
        <v>43901.665381944447</v>
      </c>
      <c r="B7348" s="8" t="str">
        <f>HYPERLINK("https://twitter.com/CitraMargono","@CitraMargono")</f>
        <v>@CitraMargono</v>
      </c>
      <c r="C7348" s="8" t="s">
        <v>3519</v>
      </c>
      <c r="D7348" s="8">
        <v>0</v>
      </c>
      <c r="E7348" s="8">
        <v>0</v>
      </c>
      <c r="F7348" s="8">
        <v>9</v>
      </c>
    </row>
    <row r="7349" spans="1:6" ht="12.75">
      <c r="A7349" s="8">
        <v>43901.664351851854</v>
      </c>
      <c r="B7349" s="8" t="str">
        <f t="shared" ref="B7349:B7350" si="131">HYPERLINK("https://twitter.com/kbriamman","@kbriamman")</f>
        <v>@kbriamman</v>
      </c>
      <c r="C7349" s="8" t="s">
        <v>3520</v>
      </c>
      <c r="D7349" s="8">
        <v>0</v>
      </c>
      <c r="E7349" s="8">
        <v>1</v>
      </c>
      <c r="F7349" s="8">
        <v>1252</v>
      </c>
    </row>
    <row r="7350" spans="1:6" ht="12.75">
      <c r="A7350" s="8">
        <v>43901.664351851854</v>
      </c>
      <c r="B7350" s="8" t="str">
        <f t="shared" si="131"/>
        <v>@kbriamman</v>
      </c>
      <c r="C7350" s="8" t="s">
        <v>3521</v>
      </c>
      <c r="D7350" s="8">
        <v>0</v>
      </c>
      <c r="E7350" s="8">
        <v>1</v>
      </c>
      <c r="F7350" s="8">
        <v>1252</v>
      </c>
    </row>
    <row r="7351" spans="1:6" ht="12.75">
      <c r="A7351" s="8">
        <v>43901.6637962963</v>
      </c>
      <c r="B7351" s="8" t="str">
        <f>HYPERLINK("https://twitter.com/ssukronn","@ssukronn")</f>
        <v>@ssukronn</v>
      </c>
      <c r="C7351" s="8" t="s">
        <v>2790</v>
      </c>
      <c r="D7351" s="8">
        <v>203</v>
      </c>
      <c r="E7351" s="8">
        <v>0</v>
      </c>
      <c r="F7351" s="8">
        <v>125</v>
      </c>
    </row>
    <row r="7352" spans="1:6" ht="12.75">
      <c r="A7352" s="8">
        <v>43901.663645833338</v>
      </c>
      <c r="B7352" s="8" t="str">
        <f>HYPERLINK("https://twitter.com/e_xiuxiu","@e_xiuxiu")</f>
        <v>@e_xiuxiu</v>
      </c>
      <c r="C7352" s="8" t="s">
        <v>2790</v>
      </c>
      <c r="D7352" s="8">
        <v>203</v>
      </c>
      <c r="E7352" s="8">
        <v>0</v>
      </c>
      <c r="F7352" s="8">
        <v>514</v>
      </c>
    </row>
    <row r="7353" spans="1:6" ht="12.75">
      <c r="A7353" s="8">
        <v>43901.663576388892</v>
      </c>
      <c r="B7353" s="8" t="str">
        <f>HYPERLINK("https://twitter.com/RoyalHospitalRP","@RoyalHospitalRP")</f>
        <v>@RoyalHospitalRP</v>
      </c>
      <c r="C7353" s="8" t="s">
        <v>3522</v>
      </c>
      <c r="D7353" s="8">
        <v>0</v>
      </c>
      <c r="E7353" s="8">
        <v>0</v>
      </c>
      <c r="F7353" s="8">
        <v>341</v>
      </c>
    </row>
    <row r="7354" spans="1:6" ht="12.75">
      <c r="A7354" s="8">
        <v>43901.663472222222</v>
      </c>
      <c r="B7354" s="8" t="str">
        <f>HYPERLINK("https://twitter.com/joelpote","@joelpote")</f>
        <v>@joelpote</v>
      </c>
      <c r="C7354" s="8" t="s">
        <v>1186</v>
      </c>
      <c r="D7354" s="8">
        <v>367</v>
      </c>
      <c r="E7354" s="8">
        <v>0</v>
      </c>
      <c r="F7354" s="8">
        <v>449</v>
      </c>
    </row>
    <row r="7355" spans="1:6" ht="12.75">
      <c r="A7355" s="8">
        <v>43901.661597222221</v>
      </c>
      <c r="B7355" s="8" t="str">
        <f>HYPERLINK("https://twitter.com/eMbahNyutz","@eMbahNyutz")</f>
        <v>@eMbahNyutz</v>
      </c>
      <c r="C7355" s="8" t="s">
        <v>2790</v>
      </c>
      <c r="D7355" s="8">
        <v>203</v>
      </c>
      <c r="E7355" s="8">
        <v>0</v>
      </c>
      <c r="F7355" s="8">
        <v>27391</v>
      </c>
    </row>
    <row r="7356" spans="1:6" ht="12.75">
      <c r="A7356" s="8">
        <v>43901.659918981481</v>
      </c>
      <c r="B7356" s="8" t="str">
        <f>HYPERLINK("https://twitter.com/rajeev1990gupta","@rajeev1990gupta")</f>
        <v>@rajeev1990gupta</v>
      </c>
      <c r="C7356" s="8" t="s">
        <v>3523</v>
      </c>
      <c r="D7356" s="8">
        <v>0</v>
      </c>
      <c r="E7356" s="8">
        <v>0</v>
      </c>
      <c r="F7356" s="8">
        <v>40</v>
      </c>
    </row>
    <row r="7357" spans="1:6" ht="12.75">
      <c r="A7357" s="8">
        <v>43901.659745370373</v>
      </c>
      <c r="B7357" s="8" t="str">
        <f>HYPERLINK("https://twitter.com/ferry_adamhar","@ferry_adamhar")</f>
        <v>@ferry_adamhar</v>
      </c>
      <c r="C7357" s="8" t="s">
        <v>3524</v>
      </c>
      <c r="D7357" s="8">
        <v>2</v>
      </c>
      <c r="E7357" s="8">
        <v>0</v>
      </c>
      <c r="F7357" s="8">
        <v>10</v>
      </c>
    </row>
    <row r="7358" spans="1:6" ht="12.75">
      <c r="A7358" s="8">
        <v>43901.659108796295</v>
      </c>
      <c r="B7358" s="8" t="str">
        <f>HYPERLINK("https://twitter.com/umaremania87","@umaremania87")</f>
        <v>@umaremania87</v>
      </c>
      <c r="C7358" s="8" t="s">
        <v>1801</v>
      </c>
      <c r="D7358" s="8">
        <v>304</v>
      </c>
      <c r="E7358" s="8">
        <v>0</v>
      </c>
      <c r="F7358" s="8">
        <v>312</v>
      </c>
    </row>
    <row r="7359" spans="1:6" ht="12.75">
      <c r="A7359" s="8">
        <v>43901.65896990741</v>
      </c>
      <c r="B7359" s="8" t="str">
        <f>HYPERLINK("https://twitter.com/mulanbilqis","@mulanbilqis")</f>
        <v>@mulanbilqis</v>
      </c>
      <c r="C7359" s="8" t="s">
        <v>2715</v>
      </c>
      <c r="D7359" s="8">
        <v>42</v>
      </c>
      <c r="E7359" s="8">
        <v>0</v>
      </c>
      <c r="F7359" s="8">
        <v>13358</v>
      </c>
    </row>
    <row r="7360" spans="1:6" ht="12.75">
      <c r="A7360" s="8">
        <v>43901.658472222218</v>
      </c>
      <c r="B7360" s="8" t="str">
        <f>HYPERLINK("https://twitter.com/PacinoAmy","@PacinoAmy")</f>
        <v>@PacinoAmy</v>
      </c>
      <c r="C7360" s="8" t="s">
        <v>318</v>
      </c>
      <c r="D7360" s="8">
        <v>1342</v>
      </c>
      <c r="E7360" s="8">
        <v>0</v>
      </c>
      <c r="F7360" s="8">
        <v>166</v>
      </c>
    </row>
    <row r="7361" spans="1:6" ht="12.75">
      <c r="A7361" s="8">
        <v>43901.65829861111</v>
      </c>
      <c r="B7361" s="8" t="str">
        <f>HYPERLINK("https://twitter.com/ferry_adamhar","@ferry_adamhar")</f>
        <v>@ferry_adamhar</v>
      </c>
      <c r="C7361" s="8" t="s">
        <v>3525</v>
      </c>
      <c r="D7361" s="8">
        <v>2</v>
      </c>
      <c r="E7361" s="8">
        <v>0</v>
      </c>
      <c r="F7361" s="8">
        <v>10</v>
      </c>
    </row>
    <row r="7362" spans="1:6" ht="12.75">
      <c r="A7362" s="8">
        <v>43901.658159722225</v>
      </c>
      <c r="B7362" s="8" t="str">
        <f>HYPERLINK("https://twitter.com/KARDUSDURIAN","@KARDUSDURIAN")</f>
        <v>@KARDUSDURIAN</v>
      </c>
      <c r="C7362" s="8" t="s">
        <v>3526</v>
      </c>
      <c r="D7362" s="8">
        <v>2</v>
      </c>
      <c r="E7362" s="8">
        <v>0</v>
      </c>
      <c r="F7362" s="8">
        <v>205</v>
      </c>
    </row>
    <row r="7363" spans="1:6" ht="12.75">
      <c r="A7363" s="8">
        <v>43901.657673611116</v>
      </c>
      <c r="B7363" s="8" t="str">
        <f>HYPERLINK("https://twitter.com/canggu88","@canggu88")</f>
        <v>@canggu88</v>
      </c>
      <c r="C7363" s="8" t="s">
        <v>3527</v>
      </c>
      <c r="D7363" s="8">
        <v>4</v>
      </c>
      <c r="E7363" s="8">
        <v>0</v>
      </c>
      <c r="F7363" s="8">
        <v>443</v>
      </c>
    </row>
    <row r="7364" spans="1:6" ht="12.75">
      <c r="A7364" s="8">
        <v>43901.657453703709</v>
      </c>
      <c r="B7364" s="8" t="str">
        <f>HYPERLINK("https://twitter.com/CampaTour","@CampaTour")</f>
        <v>@CampaTour</v>
      </c>
      <c r="C7364" s="8" t="s">
        <v>3528</v>
      </c>
      <c r="D7364" s="8">
        <v>0</v>
      </c>
      <c r="E7364" s="8">
        <v>0</v>
      </c>
      <c r="F7364" s="8">
        <v>1399</v>
      </c>
    </row>
    <row r="7365" spans="1:6" ht="12.75">
      <c r="A7365" s="8">
        <v>43901.656793981485</v>
      </c>
      <c r="B7365" s="8" t="str">
        <f>HYPERLINK("https://twitter.com/lulamuuu","@lulamuuu")</f>
        <v>@lulamuuu</v>
      </c>
      <c r="C7365" s="8" t="s">
        <v>2715</v>
      </c>
      <c r="D7365" s="8">
        <v>42</v>
      </c>
      <c r="E7365" s="8">
        <v>0</v>
      </c>
      <c r="F7365" s="8">
        <v>167</v>
      </c>
    </row>
    <row r="7366" spans="1:6" ht="12.75">
      <c r="A7366" s="8">
        <v>43901.656087962961</v>
      </c>
      <c r="B7366" s="8" t="str">
        <f>HYPERLINK("https://twitter.com/bangkitriambada","@bangkitriambada")</f>
        <v>@bangkitriambada</v>
      </c>
      <c r="C7366" s="8" t="s">
        <v>3529</v>
      </c>
      <c r="D7366" s="8">
        <v>3</v>
      </c>
      <c r="E7366" s="8">
        <v>0</v>
      </c>
      <c r="F7366" s="8">
        <v>208</v>
      </c>
    </row>
    <row r="7367" spans="1:6" ht="12.75">
      <c r="A7367" s="8">
        <v>43901.655219907407</v>
      </c>
      <c r="B7367" s="8" t="str">
        <f>HYPERLINK("https://twitter.com/samudranesiaID","@samudranesiaID")</f>
        <v>@samudranesiaID</v>
      </c>
      <c r="C7367" s="8" t="s">
        <v>3530</v>
      </c>
      <c r="D7367" s="8">
        <v>0</v>
      </c>
      <c r="E7367" s="8">
        <v>0</v>
      </c>
      <c r="F7367" s="8">
        <v>358</v>
      </c>
    </row>
    <row r="7368" spans="1:6" ht="12.75">
      <c r="A7368" s="8">
        <v>43901.654976851853</v>
      </c>
      <c r="B7368" s="8" t="str">
        <f>HYPERLINK("https://twitter.com/haerudin_ilyas","@haerudin_ilyas")</f>
        <v>@haerudin_ilyas</v>
      </c>
      <c r="C7368" s="8" t="s">
        <v>318</v>
      </c>
      <c r="D7368" s="8">
        <v>1342</v>
      </c>
      <c r="E7368" s="8">
        <v>0</v>
      </c>
      <c r="F7368" s="8">
        <v>209</v>
      </c>
    </row>
    <row r="7369" spans="1:6" ht="12.75">
      <c r="A7369" s="8">
        <v>43901.654374999998</v>
      </c>
      <c r="B7369" s="8" t="str">
        <f>HYPERLINK("https://twitter.com/nugrahaeko","@nugrahaeko")</f>
        <v>@nugrahaeko</v>
      </c>
      <c r="C7369" s="8" t="s">
        <v>1800</v>
      </c>
      <c r="D7369" s="8">
        <v>14</v>
      </c>
      <c r="E7369" s="8">
        <v>0</v>
      </c>
      <c r="F7369" s="8">
        <v>526</v>
      </c>
    </row>
    <row r="7370" spans="1:6" ht="12.75">
      <c r="A7370" s="8">
        <v>43901.654340277775</v>
      </c>
      <c r="B7370" s="8" t="str">
        <f>HYPERLINK("https://twitter.com/PacinoAmy","@PacinoAmy")</f>
        <v>@PacinoAmy</v>
      </c>
      <c r="C7370" s="8" t="s">
        <v>1186</v>
      </c>
      <c r="D7370" s="8">
        <v>367</v>
      </c>
      <c r="E7370" s="8">
        <v>0</v>
      </c>
      <c r="F7370" s="8">
        <v>166</v>
      </c>
    </row>
    <row r="7371" spans="1:6" ht="12.75">
      <c r="A7371" s="8">
        <v>43901.654282407406</v>
      </c>
      <c r="B7371" s="8" t="str">
        <f>HYPERLINK("https://twitter.com/PradityaBeni","@PradityaBeni")</f>
        <v>@PradityaBeni</v>
      </c>
      <c r="C7371" s="8" t="s">
        <v>2989</v>
      </c>
      <c r="D7371" s="8">
        <v>110</v>
      </c>
      <c r="E7371" s="8">
        <v>0</v>
      </c>
      <c r="F7371" s="8">
        <v>1301</v>
      </c>
    </row>
    <row r="7372" spans="1:6" ht="12.75">
      <c r="A7372" s="8">
        <v>43901.653587962966</v>
      </c>
      <c r="B7372" s="8" t="str">
        <f>HYPERLINK("https://twitter.com/dj_karin","@dj_karin")</f>
        <v>@dj_karin</v>
      </c>
      <c r="C7372" s="8" t="s">
        <v>2790</v>
      </c>
      <c r="D7372" s="8">
        <v>203</v>
      </c>
      <c r="E7372" s="8">
        <v>0</v>
      </c>
      <c r="F7372" s="8">
        <v>998</v>
      </c>
    </row>
    <row r="7373" spans="1:6" ht="12.75">
      <c r="A7373" s="8">
        <v>43901.653402777782</v>
      </c>
      <c r="B7373" s="8" t="str">
        <f>HYPERLINK("https://twitter.com/ErryGudel","@ErryGudel")</f>
        <v>@ErryGudel</v>
      </c>
      <c r="C7373" s="8" t="s">
        <v>3531</v>
      </c>
      <c r="D7373" s="8">
        <v>0</v>
      </c>
      <c r="E7373" s="8">
        <v>0</v>
      </c>
      <c r="F7373" s="8">
        <v>133</v>
      </c>
    </row>
    <row r="7374" spans="1:6" ht="12.75">
      <c r="A7374" s="8">
        <v>43901.653078703705</v>
      </c>
      <c r="B7374" s="8" t="str">
        <f>HYPERLINK("https://twitter.com/Wahyudianar","@Wahyudianar")</f>
        <v>@Wahyudianar</v>
      </c>
      <c r="C7374" s="8" t="s">
        <v>1800</v>
      </c>
      <c r="D7374" s="8">
        <v>14</v>
      </c>
      <c r="E7374" s="8">
        <v>0</v>
      </c>
      <c r="F7374" s="8">
        <v>482</v>
      </c>
    </row>
    <row r="7375" spans="1:6" ht="12.75">
      <c r="A7375" s="8">
        <v>43901.652326388888</v>
      </c>
      <c r="B7375" s="8" t="str">
        <f>HYPERLINK("https://twitter.com/ReiMiechi99","@ReiMiechi99")</f>
        <v>@ReiMiechi99</v>
      </c>
      <c r="C7375" s="8" t="s">
        <v>3532</v>
      </c>
      <c r="D7375" s="8">
        <v>0</v>
      </c>
      <c r="E7375" s="8">
        <v>0</v>
      </c>
      <c r="F7375" s="8">
        <v>95</v>
      </c>
    </row>
    <row r="7376" spans="1:6" ht="12.75">
      <c r="A7376" s="8">
        <v>43901.652094907404</v>
      </c>
      <c r="B7376" s="8" t="str">
        <f>HYPERLINK("https://twitter.com/injeolmiesclub","@injeolmiesclub")</f>
        <v>@injeolmiesclub</v>
      </c>
      <c r="C7376" s="8" t="s">
        <v>3533</v>
      </c>
      <c r="D7376" s="8">
        <v>0</v>
      </c>
      <c r="E7376" s="8">
        <v>0</v>
      </c>
      <c r="F7376" s="8">
        <v>2717</v>
      </c>
    </row>
    <row r="7377" spans="1:6" ht="12.75">
      <c r="A7377" s="8">
        <v>43901.651956018519</v>
      </c>
      <c r="B7377" s="8" t="str">
        <f>HYPERLINK("https://twitter.com/kikipuccino","@kikipuccino")</f>
        <v>@kikipuccino</v>
      </c>
      <c r="C7377" s="8" t="s">
        <v>2177</v>
      </c>
      <c r="D7377" s="8">
        <v>52</v>
      </c>
      <c r="E7377" s="8">
        <v>0</v>
      </c>
      <c r="F7377" s="8">
        <v>625</v>
      </c>
    </row>
    <row r="7378" spans="1:6" ht="12.75">
      <c r="A7378" s="8">
        <v>43901.651828703703</v>
      </c>
      <c r="B7378" s="8" t="str">
        <f>HYPERLINK("https://twitter.com/arfestsgester","@arfestsgester")</f>
        <v>@arfestsgester</v>
      </c>
      <c r="C7378" s="8" t="s">
        <v>318</v>
      </c>
      <c r="D7378" s="8">
        <v>1342</v>
      </c>
      <c r="E7378" s="8">
        <v>0</v>
      </c>
      <c r="F7378" s="8">
        <v>381</v>
      </c>
    </row>
    <row r="7379" spans="1:6" ht="12.75">
      <c r="A7379" s="8">
        <v>43901.651354166665</v>
      </c>
      <c r="B7379" s="8" t="str">
        <f>HYPERLINK("https://twitter.com/elvaretta_e","@elvaretta_e")</f>
        <v>@elvaretta_e</v>
      </c>
      <c r="C7379" s="8" t="s">
        <v>1800</v>
      </c>
      <c r="D7379" s="8">
        <v>14</v>
      </c>
      <c r="E7379" s="8">
        <v>0</v>
      </c>
      <c r="F7379" s="8">
        <v>221</v>
      </c>
    </row>
    <row r="7380" spans="1:6" ht="12.75">
      <c r="A7380" s="8">
        <v>43901.65121527778</v>
      </c>
      <c r="B7380" s="8" t="str">
        <f>HYPERLINK("https://twitter.com/sangrembuIan","@sangrembuIan")</f>
        <v>@sangrembuIan</v>
      </c>
      <c r="C7380" s="8" t="s">
        <v>3527</v>
      </c>
      <c r="D7380" s="8">
        <v>4</v>
      </c>
      <c r="E7380" s="8">
        <v>0</v>
      </c>
      <c r="F7380" s="8">
        <v>170</v>
      </c>
    </row>
    <row r="7381" spans="1:6" ht="12.75">
      <c r="A7381" s="8">
        <v>43901.651192129633</v>
      </c>
      <c r="B7381" s="8" t="str">
        <f>HYPERLINK("https://twitter.com/NhMujamal","@NhMujamal")</f>
        <v>@NhMujamal</v>
      </c>
      <c r="C7381" s="8" t="s">
        <v>3534</v>
      </c>
      <c r="D7381" s="8">
        <v>0</v>
      </c>
      <c r="E7381" s="8">
        <v>0</v>
      </c>
      <c r="F7381" s="8">
        <v>1027</v>
      </c>
    </row>
    <row r="7382" spans="1:6" ht="12.75">
      <c r="A7382" s="8">
        <v>43901.650821759264</v>
      </c>
      <c r="B7382" s="8" t="str">
        <f>HYPERLINK("https://twitter.com/wanto_shen","@wanto_shen")</f>
        <v>@wanto_shen</v>
      </c>
      <c r="C7382" s="8" t="s">
        <v>3535</v>
      </c>
      <c r="D7382" s="8">
        <v>0</v>
      </c>
      <c r="E7382" s="8">
        <v>0</v>
      </c>
      <c r="F7382" s="8">
        <v>34</v>
      </c>
    </row>
    <row r="7383" spans="1:6" ht="12.75">
      <c r="A7383" s="8">
        <v>43901.650659722218</v>
      </c>
      <c r="B7383" s="8" t="str">
        <f>HYPERLINK("https://twitter.com/manktya","@manktya")</f>
        <v>@manktya</v>
      </c>
      <c r="C7383" s="8" t="s">
        <v>2989</v>
      </c>
      <c r="D7383" s="8">
        <v>110</v>
      </c>
      <c r="E7383" s="8">
        <v>0</v>
      </c>
      <c r="F7383" s="8">
        <v>995</v>
      </c>
    </row>
    <row r="7384" spans="1:6" ht="12.75">
      <c r="A7384" s="8">
        <v>43901.649884259255</v>
      </c>
      <c r="B7384" s="8" t="str">
        <f>HYPERLINK("https://twitter.com/thatasya","@thatasya")</f>
        <v>@thatasya</v>
      </c>
      <c r="C7384" s="8" t="s">
        <v>1800</v>
      </c>
      <c r="D7384" s="8">
        <v>14</v>
      </c>
      <c r="E7384" s="8">
        <v>0</v>
      </c>
      <c r="F7384" s="8">
        <v>518</v>
      </c>
    </row>
    <row r="7385" spans="1:6" ht="12.75">
      <c r="A7385" s="8">
        <v>43901.649814814809</v>
      </c>
      <c r="B7385" s="8" t="str">
        <f>HYPERLINK("https://twitter.com/AdnanAlHanafi","@AdnanAlHanafi")</f>
        <v>@AdnanAlHanafi</v>
      </c>
      <c r="C7385" s="8" t="s">
        <v>3536</v>
      </c>
      <c r="D7385" s="8">
        <v>0</v>
      </c>
      <c r="E7385" s="8">
        <v>4</v>
      </c>
      <c r="F7385" s="8">
        <v>2855</v>
      </c>
    </row>
    <row r="7386" spans="1:6" ht="12.75">
      <c r="A7386" s="8">
        <v>43901.649687500001</v>
      </c>
      <c r="B7386" s="8" t="str">
        <f>HYPERLINK("https://twitter.com/bahiraa","@bahiraa")</f>
        <v>@bahiraa</v>
      </c>
      <c r="C7386" s="8" t="s">
        <v>1800</v>
      </c>
      <c r="D7386" s="8">
        <v>14</v>
      </c>
      <c r="E7386" s="8">
        <v>0</v>
      </c>
      <c r="F7386" s="8">
        <v>787</v>
      </c>
    </row>
    <row r="7387" spans="1:6" ht="12.75">
      <c r="A7387" s="8">
        <v>43901.649467592593</v>
      </c>
      <c r="B7387" s="8" t="str">
        <f>HYPERLINK("https://twitter.com/Rhoonee","@Rhoonee")</f>
        <v>@Rhoonee</v>
      </c>
      <c r="C7387" s="8" t="s">
        <v>2989</v>
      </c>
      <c r="D7387" s="8">
        <v>110</v>
      </c>
      <c r="E7387" s="8">
        <v>0</v>
      </c>
      <c r="F7387" s="8">
        <v>720</v>
      </c>
    </row>
    <row r="7388" spans="1:6" ht="12.75">
      <c r="A7388" s="8">
        <v>43901.649340277778</v>
      </c>
      <c r="B7388" s="8" t="str">
        <f>HYPERLINK("https://twitter.com/stardoyji","@stardoyji")</f>
        <v>@stardoyji</v>
      </c>
      <c r="C7388" s="8" t="s">
        <v>2790</v>
      </c>
      <c r="D7388" s="8">
        <v>203</v>
      </c>
      <c r="E7388" s="8">
        <v>0</v>
      </c>
      <c r="F7388" s="8">
        <v>900</v>
      </c>
    </row>
    <row r="7389" spans="1:6" ht="12.75">
      <c r="A7389" s="8">
        <v>43901.649247685185</v>
      </c>
      <c r="B7389" s="8" t="str">
        <f>HYPERLINK("https://twitter.com/Hanifah933","@Hanifah933")</f>
        <v>@Hanifah933</v>
      </c>
      <c r="C7389" s="8" t="s">
        <v>3537</v>
      </c>
      <c r="D7389" s="8">
        <v>0</v>
      </c>
      <c r="E7389" s="8">
        <v>1</v>
      </c>
      <c r="F7389" s="8">
        <v>7251</v>
      </c>
    </row>
    <row r="7390" spans="1:6" ht="12.75">
      <c r="A7390" s="8">
        <v>43901.648344907408</v>
      </c>
      <c r="B7390" s="8" t="str">
        <f>HYPERLINK("https://twitter.com/kesejajaran","@kesejajaran")</f>
        <v>@kesejajaran</v>
      </c>
      <c r="C7390" s="8" t="s">
        <v>3527</v>
      </c>
      <c r="D7390" s="8">
        <v>4</v>
      </c>
      <c r="E7390" s="8">
        <v>0</v>
      </c>
      <c r="F7390" s="8">
        <v>204</v>
      </c>
    </row>
    <row r="7391" spans="1:6" ht="12.75">
      <c r="A7391" s="8">
        <v>43901.647974537038</v>
      </c>
      <c r="B7391" s="8" t="str">
        <f>HYPERLINK("https://twitter.com/lunarbaskara","@lunarbaskara")</f>
        <v>@lunarbaskara</v>
      </c>
      <c r="C7391" s="8" t="s">
        <v>3527</v>
      </c>
      <c r="D7391" s="8">
        <v>4</v>
      </c>
      <c r="E7391" s="8">
        <v>0</v>
      </c>
      <c r="F7391" s="8">
        <v>459</v>
      </c>
    </row>
    <row r="7392" spans="1:6" ht="12.75">
      <c r="A7392" s="8">
        <v>43901.647349537037</v>
      </c>
      <c r="B7392" s="8" t="str">
        <f>HYPERLINK("https://twitter.com/Chors_Kapitan","@Chors_Kapitan")</f>
        <v>@Chors_Kapitan</v>
      </c>
      <c r="C7392" s="8" t="s">
        <v>1800</v>
      </c>
      <c r="D7392" s="8">
        <v>14</v>
      </c>
      <c r="E7392" s="8">
        <v>0</v>
      </c>
      <c r="F7392" s="8">
        <v>104</v>
      </c>
    </row>
    <row r="7393" spans="1:6" ht="12.75">
      <c r="A7393" s="8">
        <v>43901.646840277783</v>
      </c>
      <c r="B7393" s="8" t="str">
        <f>HYPERLINK("https://twitter.com/pascalmonareh","@pascalmonareh")</f>
        <v>@pascalmonareh</v>
      </c>
      <c r="C7393" s="8" t="s">
        <v>1800</v>
      </c>
      <c r="D7393" s="8">
        <v>14</v>
      </c>
      <c r="E7393" s="8">
        <v>0</v>
      </c>
      <c r="F7393" s="8">
        <v>622</v>
      </c>
    </row>
    <row r="7394" spans="1:6" ht="12.75">
      <c r="A7394" s="8">
        <v>43901.646377314813</v>
      </c>
      <c r="B7394" s="8" t="str">
        <f>HYPERLINK("https://twitter.com/7int4Putih","@7int4Putih")</f>
        <v>@7int4Putih</v>
      </c>
      <c r="C7394" s="8" t="s">
        <v>3538</v>
      </c>
      <c r="D7394" s="8">
        <v>1</v>
      </c>
      <c r="E7394" s="8">
        <v>0</v>
      </c>
      <c r="F7394" s="8">
        <v>1260</v>
      </c>
    </row>
    <row r="7395" spans="1:6" ht="12.75">
      <c r="A7395" s="8">
        <v>43901.646134259259</v>
      </c>
      <c r="B7395" s="8" t="str">
        <f>HYPERLINK("https://twitter.com/bayu02__","@bayu02__")</f>
        <v>@bayu02__</v>
      </c>
      <c r="C7395" s="8" t="s">
        <v>1800</v>
      </c>
      <c r="D7395" s="8">
        <v>14</v>
      </c>
      <c r="E7395" s="8">
        <v>0</v>
      </c>
      <c r="F7395" s="8">
        <v>47</v>
      </c>
    </row>
    <row r="7396" spans="1:6" ht="12.75">
      <c r="A7396" s="8">
        <v>43901.646111111113</v>
      </c>
      <c r="B7396" s="8" t="str">
        <f>HYPERLINK("https://twitter.com/icalmansur22","@icalmansur22")</f>
        <v>@icalmansur22</v>
      </c>
      <c r="C7396" s="8" t="s">
        <v>1800</v>
      </c>
      <c r="D7396" s="8">
        <v>14</v>
      </c>
      <c r="E7396" s="8">
        <v>0</v>
      </c>
      <c r="F7396" s="8">
        <v>8</v>
      </c>
    </row>
    <row r="7397" spans="1:6" ht="12.75">
      <c r="A7397" s="8">
        <v>43901.64571759259</v>
      </c>
      <c r="B7397" s="8" t="str">
        <f>HYPERLINK("https://twitter.com/7int4Putih","@7int4Putih")</f>
        <v>@7int4Putih</v>
      </c>
      <c r="C7397" s="8" t="s">
        <v>3436</v>
      </c>
      <c r="D7397" s="8">
        <v>5</v>
      </c>
      <c r="E7397" s="8">
        <v>0</v>
      </c>
      <c r="F7397" s="8">
        <v>1260</v>
      </c>
    </row>
    <row r="7398" spans="1:6" ht="12.75">
      <c r="A7398" s="8">
        <v>43901.64570601852</v>
      </c>
      <c r="B7398" s="8" t="str">
        <f>HYPERLINK("https://twitter.com/FithriaNasda","@FithriaNasda")</f>
        <v>@FithriaNasda</v>
      </c>
      <c r="C7398" s="8" t="s">
        <v>1186</v>
      </c>
      <c r="D7398" s="8">
        <v>367</v>
      </c>
      <c r="E7398" s="8">
        <v>0</v>
      </c>
      <c r="F7398" s="8">
        <v>549</v>
      </c>
    </row>
    <row r="7399" spans="1:6" ht="12.75">
      <c r="A7399" s="8">
        <v>43901.645370370374</v>
      </c>
      <c r="B7399" s="8" t="str">
        <f>HYPERLINK("https://twitter.com/ibnuaziz_1453","@ibnuaziz_1453")</f>
        <v>@ibnuaziz_1453</v>
      </c>
      <c r="C7399" s="8" t="s">
        <v>318</v>
      </c>
      <c r="D7399" s="8">
        <v>1342</v>
      </c>
      <c r="E7399" s="8">
        <v>0</v>
      </c>
      <c r="F7399" s="8">
        <v>677</v>
      </c>
    </row>
    <row r="7400" spans="1:6" ht="12.75">
      <c r="A7400" s="8">
        <v>43901.644270833334</v>
      </c>
      <c r="B7400" s="8" t="str">
        <f>HYPERLINK("https://twitter.com/TSlepet","@TSlepet")</f>
        <v>@TSlepet</v>
      </c>
      <c r="C7400" s="8" t="s">
        <v>3436</v>
      </c>
      <c r="D7400" s="8">
        <v>5</v>
      </c>
      <c r="E7400" s="8">
        <v>0</v>
      </c>
      <c r="F7400" s="8">
        <v>1062</v>
      </c>
    </row>
    <row r="7401" spans="1:6" ht="12.75">
      <c r="A7401" s="8">
        <v>43901.643587962964</v>
      </c>
      <c r="B7401" s="8" t="str">
        <f>HYPERLINK("https://twitter.com/dukcapilkdrkota","@dukcapilkdrkota")</f>
        <v>@dukcapilkdrkota</v>
      </c>
      <c r="C7401" s="8" t="s">
        <v>3539</v>
      </c>
      <c r="D7401" s="8">
        <v>0</v>
      </c>
      <c r="E7401" s="8">
        <v>0</v>
      </c>
      <c r="F7401" s="8">
        <v>44</v>
      </c>
    </row>
    <row r="7402" spans="1:6" ht="12.75">
      <c r="A7402" s="8">
        <v>43901.643553240741</v>
      </c>
      <c r="B7402" s="8" t="str">
        <f>HYPERLINK("https://twitter.com/ExoExois","@ExoExois")</f>
        <v>@ExoExois</v>
      </c>
      <c r="C7402" s="8" t="s">
        <v>3540</v>
      </c>
      <c r="D7402" s="8">
        <v>1</v>
      </c>
      <c r="E7402" s="8">
        <v>0</v>
      </c>
      <c r="F7402" s="8">
        <v>180</v>
      </c>
    </row>
    <row r="7403" spans="1:6" ht="12.75">
      <c r="A7403" s="8">
        <v>43901.643125000002</v>
      </c>
      <c r="B7403" s="8" t="str">
        <f>HYPERLINK("https://twitter.com/EULIS61893872","@EULIS61893872")</f>
        <v>@EULIS61893872</v>
      </c>
      <c r="C7403" s="8" t="s">
        <v>2989</v>
      </c>
      <c r="D7403" s="8">
        <v>110</v>
      </c>
      <c r="E7403" s="8">
        <v>0</v>
      </c>
      <c r="F7403" s="8">
        <v>410</v>
      </c>
    </row>
    <row r="7404" spans="1:6" ht="12.75">
      <c r="A7404" s="8">
        <v>43901.643078703702</v>
      </c>
      <c r="B7404" s="8" t="str">
        <f>HYPERLINK("https://twitter.com/BryanHiskia","@BryanHiskia")</f>
        <v>@BryanHiskia</v>
      </c>
      <c r="C7404" s="8" t="s">
        <v>1801</v>
      </c>
      <c r="D7404" s="8">
        <v>304</v>
      </c>
      <c r="E7404" s="8">
        <v>0</v>
      </c>
      <c r="F7404" s="8">
        <v>26</v>
      </c>
    </row>
    <row r="7405" spans="1:6" ht="12.75">
      <c r="A7405" s="8">
        <v>43901.643043981487</v>
      </c>
      <c r="B7405" s="8" t="str">
        <f>HYPERLINK("https://twitter.com/PaduliZ","@PaduliZ")</f>
        <v>@PaduliZ</v>
      </c>
      <c r="C7405" s="8" t="s">
        <v>3541</v>
      </c>
      <c r="D7405" s="8">
        <v>1</v>
      </c>
      <c r="E7405" s="8">
        <v>0</v>
      </c>
      <c r="F7405" s="8">
        <v>72</v>
      </c>
    </row>
    <row r="7406" spans="1:6" ht="12.75">
      <c r="A7406" s="8">
        <v>43901.642905092594</v>
      </c>
      <c r="B7406" s="8" t="str">
        <f>HYPERLINK("https://twitter.com/RadioElshinta","@RadioElshinta")</f>
        <v>@RadioElshinta</v>
      </c>
      <c r="C7406" s="8" t="s">
        <v>3542</v>
      </c>
      <c r="D7406" s="8">
        <v>0</v>
      </c>
      <c r="E7406" s="8">
        <v>2</v>
      </c>
      <c r="F7406" s="8">
        <v>3637485</v>
      </c>
    </row>
    <row r="7407" spans="1:6" ht="12.75">
      <c r="A7407" s="8">
        <v>43901.642129629632</v>
      </c>
      <c r="B7407" s="8" t="str">
        <f>HYPERLINK("https://twitter.com/KadrunHunter99","@KadrunHunter99")</f>
        <v>@KadrunHunter99</v>
      </c>
      <c r="C7407" s="8" t="s">
        <v>3436</v>
      </c>
      <c r="D7407" s="8">
        <v>5</v>
      </c>
      <c r="E7407" s="8">
        <v>0</v>
      </c>
      <c r="F7407" s="8">
        <v>4240</v>
      </c>
    </row>
    <row r="7408" spans="1:6" ht="12.75">
      <c r="A7408" s="8">
        <v>43901.641956018517</v>
      </c>
      <c r="B7408" s="8" t="str">
        <f>HYPERLINK("https://twitter.com/agusuntoro7_p","@agusuntoro7_p")</f>
        <v>@agusuntoro7_p</v>
      </c>
      <c r="C7408" s="8" t="s">
        <v>3436</v>
      </c>
      <c r="D7408" s="8">
        <v>5</v>
      </c>
      <c r="E7408" s="8">
        <v>0</v>
      </c>
      <c r="F7408" s="8">
        <v>5427</v>
      </c>
    </row>
    <row r="7409" spans="1:6" ht="12.75">
      <c r="A7409" s="8">
        <v>43901.641956018517</v>
      </c>
      <c r="B7409" s="8" t="str">
        <f>HYPERLINK("https://twitter.com/BPJSKesehatanRI","@BPJSKesehatanRI")</f>
        <v>@BPJSKesehatanRI</v>
      </c>
      <c r="C7409" s="8" t="s">
        <v>1800</v>
      </c>
      <c r="D7409" s="8">
        <v>14</v>
      </c>
      <c r="E7409" s="8">
        <v>0</v>
      </c>
      <c r="F7409" s="8">
        <v>148237</v>
      </c>
    </row>
    <row r="7410" spans="1:6" ht="12.75">
      <c r="A7410" s="8">
        <v>43901.641122685185</v>
      </c>
      <c r="B7410" s="8" t="str">
        <f>HYPERLINK("https://twitter.com/Kareen_Sadaf","@Kareen_Sadaf")</f>
        <v>@Kareen_Sadaf</v>
      </c>
      <c r="C7410" s="8" t="s">
        <v>3543</v>
      </c>
      <c r="D7410" s="8">
        <v>0</v>
      </c>
      <c r="E7410" s="8">
        <v>2</v>
      </c>
      <c r="F7410" s="8">
        <v>1357</v>
      </c>
    </row>
    <row r="7411" spans="1:6" ht="12.75">
      <c r="A7411" s="8">
        <v>43901.640868055554</v>
      </c>
      <c r="B7411" s="8" t="str">
        <f>HYPERLINK("https://twitter.com/samhudibae","@samhudibae")</f>
        <v>@samhudibae</v>
      </c>
      <c r="C7411" s="8" t="s">
        <v>3544</v>
      </c>
      <c r="D7411" s="8">
        <v>5</v>
      </c>
      <c r="E7411" s="8">
        <v>7</v>
      </c>
      <c r="F7411" s="8">
        <v>3928</v>
      </c>
    </row>
    <row r="7412" spans="1:6" ht="12.75">
      <c r="A7412" s="8">
        <v>43901.639965277776</v>
      </c>
      <c r="B7412" s="8" t="str">
        <f>HYPERLINK("https://twitter.com/IbrahimPasukan","@IbrahimPasukan")</f>
        <v>@IbrahimPasukan</v>
      </c>
      <c r="C7412" s="8" t="s">
        <v>1186</v>
      </c>
      <c r="D7412" s="8">
        <v>367</v>
      </c>
      <c r="E7412" s="8">
        <v>0</v>
      </c>
      <c r="F7412" s="8">
        <v>36</v>
      </c>
    </row>
    <row r="7413" spans="1:6" ht="12.75">
      <c r="A7413" s="8">
        <v>43901.639872685184</v>
      </c>
      <c r="B7413" s="8" t="str">
        <f>HYPERLINK("https://twitter.com/faridfadhil14","@faridfadhil14")</f>
        <v>@faridfadhil14</v>
      </c>
      <c r="C7413" s="8" t="s">
        <v>2790</v>
      </c>
      <c r="D7413" s="8">
        <v>203</v>
      </c>
      <c r="E7413" s="8">
        <v>0</v>
      </c>
      <c r="F7413" s="8">
        <v>329</v>
      </c>
    </row>
    <row r="7414" spans="1:6" ht="12.75">
      <c r="A7414" s="8">
        <v>43901.639641203699</v>
      </c>
      <c r="B7414" s="8" t="str">
        <f>HYPERLINK("https://twitter.com/hikmatsholeh","@hikmatsholeh")</f>
        <v>@hikmatsholeh</v>
      </c>
      <c r="C7414" s="8" t="s">
        <v>104</v>
      </c>
      <c r="D7414" s="8">
        <v>101</v>
      </c>
      <c r="E7414" s="8">
        <v>0</v>
      </c>
      <c r="F7414" s="8">
        <v>1215</v>
      </c>
    </row>
    <row r="7415" spans="1:6" ht="12.75">
      <c r="A7415" s="8">
        <v>43901.639467592591</v>
      </c>
      <c r="B7415" s="8" t="str">
        <f>HYPERLINK("https://twitter.com/Budi_prih","@Budi_prih")</f>
        <v>@Budi_prih</v>
      </c>
      <c r="C7415" s="8" t="s">
        <v>3545</v>
      </c>
      <c r="D7415" s="8">
        <v>16</v>
      </c>
      <c r="E7415" s="8">
        <v>0</v>
      </c>
      <c r="F7415" s="8">
        <v>24</v>
      </c>
    </row>
    <row r="7416" spans="1:6" ht="12.75">
      <c r="A7416" s="8">
        <v>43901.639374999999</v>
      </c>
      <c r="B7416" s="8" t="str">
        <f>HYPERLINK("https://twitter.com/safartinoborneo","@safartinoborneo")</f>
        <v>@safartinoborneo</v>
      </c>
      <c r="C7416" s="8" t="s">
        <v>3546</v>
      </c>
      <c r="D7416" s="8">
        <v>14</v>
      </c>
      <c r="E7416" s="8">
        <v>23</v>
      </c>
      <c r="F7416" s="8">
        <v>46</v>
      </c>
    </row>
    <row r="7417" spans="1:6" ht="12.75">
      <c r="A7417" s="8">
        <v>43901.638831018514</v>
      </c>
      <c r="B7417" s="8" t="str">
        <f>HYPERLINK("https://twitter.com/estha5914","@estha5914")</f>
        <v>@estha5914</v>
      </c>
      <c r="C7417" s="8" t="s">
        <v>318</v>
      </c>
      <c r="D7417" s="8">
        <v>1342</v>
      </c>
      <c r="E7417" s="8">
        <v>0</v>
      </c>
      <c r="F7417" s="8">
        <v>109</v>
      </c>
    </row>
    <row r="7418" spans="1:6" ht="12.75">
      <c r="A7418" s="8">
        <v>43901.638645833329</v>
      </c>
      <c r="B7418" s="8" t="str">
        <f>HYPERLINK("https://twitter.com/Kaleng_Kurma","@Kaleng_Kurma")</f>
        <v>@Kaleng_Kurma</v>
      </c>
      <c r="C7418" s="8" t="s">
        <v>3547</v>
      </c>
      <c r="D7418" s="8">
        <v>3</v>
      </c>
      <c r="E7418" s="8">
        <v>0</v>
      </c>
      <c r="F7418" s="8">
        <v>224</v>
      </c>
    </row>
    <row r="7419" spans="1:6" ht="12.75">
      <c r="A7419" s="8">
        <v>43901.638275462959</v>
      </c>
      <c r="B7419" s="8" t="str">
        <f>HYPERLINK("https://twitter.com/irasayirun27","@irasayirun27")</f>
        <v>@irasayirun27</v>
      </c>
      <c r="C7419" s="8" t="s">
        <v>2715</v>
      </c>
      <c r="D7419" s="8">
        <v>42</v>
      </c>
      <c r="E7419" s="8">
        <v>0</v>
      </c>
      <c r="F7419" s="8">
        <v>29</v>
      </c>
    </row>
    <row r="7420" spans="1:6" ht="12.75">
      <c r="A7420" s="8">
        <v>43901.631747685184</v>
      </c>
      <c r="B7420" s="8" t="str">
        <f>HYPERLINK("https://twitter.com/AdrianR3Y","@AdrianR3Y")</f>
        <v>@AdrianR3Y</v>
      </c>
      <c r="C7420" s="8" t="s">
        <v>104</v>
      </c>
      <c r="D7420" s="8">
        <v>96</v>
      </c>
      <c r="E7420" s="8">
        <v>0</v>
      </c>
      <c r="F7420" s="8">
        <v>2229</v>
      </c>
    </row>
    <row r="7421" spans="1:6" ht="12.75">
      <c r="A7421" s="8">
        <v>43901.631620370375</v>
      </c>
      <c r="B7421" s="8" t="str">
        <f>HYPERLINK("https://twitter.com/ArisAntoni16","@ArisAntoni16")</f>
        <v>@ArisAntoni16</v>
      </c>
      <c r="C7421" s="8" t="s">
        <v>1186</v>
      </c>
      <c r="D7421" s="8">
        <v>359</v>
      </c>
      <c r="E7421" s="8">
        <v>0</v>
      </c>
      <c r="F7421" s="8">
        <v>68</v>
      </c>
    </row>
    <row r="7422" spans="1:6" ht="12.75">
      <c r="A7422" s="8">
        <v>43901.631168981483</v>
      </c>
      <c r="B7422" s="8" t="str">
        <f>HYPERLINK("https://twitter.com/noteiqbal","@noteiqbal")</f>
        <v>@noteiqbal</v>
      </c>
      <c r="C7422" s="8" t="s">
        <v>318</v>
      </c>
      <c r="D7422" s="8">
        <v>1332</v>
      </c>
      <c r="E7422" s="8">
        <v>0</v>
      </c>
      <c r="F7422" s="8">
        <v>4533</v>
      </c>
    </row>
    <row r="7423" spans="1:6" ht="12.75">
      <c r="A7423" s="8">
        <v>43901.630694444444</v>
      </c>
      <c r="B7423" s="8" t="str">
        <f>HYPERLINK("https://twitter.com/mediocrickey","@mediocrickey")</f>
        <v>@mediocrickey</v>
      </c>
      <c r="C7423" s="8" t="s">
        <v>3548</v>
      </c>
      <c r="D7423" s="8">
        <v>0</v>
      </c>
      <c r="E7423" s="8">
        <v>0</v>
      </c>
      <c r="F7423" s="8">
        <v>14812</v>
      </c>
    </row>
    <row r="7424" spans="1:6" ht="12.75">
      <c r="A7424" s="8">
        <v>43901.629618055551</v>
      </c>
      <c r="B7424" s="8" t="str">
        <f>HYPERLINK("https://twitter.com/_Xqip","@_Xqip")</f>
        <v>@_Xqip</v>
      </c>
      <c r="C7424" s="8" t="s">
        <v>104</v>
      </c>
      <c r="D7424" s="8">
        <v>96</v>
      </c>
      <c r="E7424" s="8">
        <v>0</v>
      </c>
      <c r="F7424" s="8">
        <v>2</v>
      </c>
    </row>
    <row r="7425" spans="1:6" ht="12.75">
      <c r="A7425" s="8">
        <v>43901.629363425927</v>
      </c>
      <c r="B7425" s="8" t="str">
        <f>HYPERLINK("https://twitter.com/teguhbiyanto","@teguhbiyanto")</f>
        <v>@teguhbiyanto</v>
      </c>
      <c r="C7425" s="8" t="s">
        <v>1186</v>
      </c>
      <c r="D7425" s="8">
        <v>359</v>
      </c>
      <c r="E7425" s="8">
        <v>0</v>
      </c>
      <c r="F7425" s="8">
        <v>478</v>
      </c>
    </row>
    <row r="7426" spans="1:6" ht="12.75">
      <c r="A7426" s="8">
        <v>43901.629166666666</v>
      </c>
      <c r="B7426" s="8" t="str">
        <f>HYPERLINK("https://twitter.com/cilliasiregar","@cilliasiregar")</f>
        <v>@cilliasiregar</v>
      </c>
      <c r="C7426" s="8" t="s">
        <v>3549</v>
      </c>
      <c r="D7426" s="8">
        <v>0</v>
      </c>
      <c r="E7426" s="8">
        <v>0</v>
      </c>
      <c r="F7426" s="8">
        <v>6</v>
      </c>
    </row>
    <row r="7427" spans="1:6" ht="12.75">
      <c r="A7427" s="8">
        <v>43901.628981481481</v>
      </c>
      <c r="B7427" s="8" t="str">
        <f>HYPERLINK("https://twitter.com/AdrianR3Y","@AdrianR3Y")</f>
        <v>@AdrianR3Y</v>
      </c>
      <c r="C7427" s="8" t="s">
        <v>2715</v>
      </c>
      <c r="D7427" s="8">
        <v>37</v>
      </c>
      <c r="E7427" s="8">
        <v>0</v>
      </c>
      <c r="F7427" s="8">
        <v>2229</v>
      </c>
    </row>
    <row r="7428" spans="1:6" ht="12.75">
      <c r="A7428" s="8">
        <v>43901.628541666665</v>
      </c>
      <c r="B7428" s="8" t="str">
        <f>HYPERLINK("https://twitter.com/faridariadno","@faridariadno")</f>
        <v>@faridariadno</v>
      </c>
      <c r="C7428" s="8" t="s">
        <v>3511</v>
      </c>
      <c r="D7428" s="8">
        <v>183</v>
      </c>
      <c r="E7428" s="8">
        <v>0</v>
      </c>
      <c r="F7428" s="8">
        <v>734</v>
      </c>
    </row>
    <row r="7429" spans="1:6" ht="12.75">
      <c r="A7429" s="8">
        <v>43901.628495370373</v>
      </c>
      <c r="B7429" s="8" t="str">
        <f>HYPERLINK("https://twitter.com/AWL_165","@AWL_165")</f>
        <v>@AWL_165</v>
      </c>
      <c r="C7429" s="8" t="s">
        <v>1621</v>
      </c>
      <c r="D7429" s="8">
        <v>39</v>
      </c>
      <c r="E7429" s="8">
        <v>0</v>
      </c>
      <c r="F7429" s="8">
        <v>1</v>
      </c>
    </row>
    <row r="7430" spans="1:6" ht="12.75">
      <c r="A7430" s="8">
        <v>43901.628414351857</v>
      </c>
      <c r="B7430" s="8" t="str">
        <f>HYPERLINK("https://twitter.com/ginamustika","@ginamustika")</f>
        <v>@ginamustika</v>
      </c>
      <c r="C7430" s="8" t="s">
        <v>1186</v>
      </c>
      <c r="D7430" s="8">
        <v>359</v>
      </c>
      <c r="E7430" s="8">
        <v>0</v>
      </c>
      <c r="F7430" s="8">
        <v>811</v>
      </c>
    </row>
    <row r="7431" spans="1:6" ht="12.75">
      <c r="A7431" s="8">
        <v>43901.628263888888</v>
      </c>
      <c r="B7431" s="8" t="str">
        <f>HYPERLINK("https://twitter.com/nahi_munkar_","@nahi_munkar_")</f>
        <v>@nahi_munkar_</v>
      </c>
      <c r="C7431" s="8" t="s">
        <v>318</v>
      </c>
      <c r="D7431" s="8">
        <v>1332</v>
      </c>
      <c r="E7431" s="8">
        <v>0</v>
      </c>
      <c r="F7431" s="8">
        <v>1834</v>
      </c>
    </row>
    <row r="7432" spans="1:6" ht="12.75">
      <c r="A7432" s="8">
        <v>43901.628148148149</v>
      </c>
      <c r="B7432" s="8" t="str">
        <f>HYPERLINK("https://twitter.com/fatikaaa___","@fatikaaa___")</f>
        <v>@fatikaaa___</v>
      </c>
      <c r="C7432" s="8" t="s">
        <v>2790</v>
      </c>
      <c r="D7432" s="8">
        <v>190</v>
      </c>
      <c r="E7432" s="8">
        <v>0</v>
      </c>
      <c r="F7432" s="8">
        <v>391</v>
      </c>
    </row>
    <row r="7433" spans="1:6" ht="12.75">
      <c r="A7433" s="8">
        <v>43901.627141203702</v>
      </c>
      <c r="B7433" s="8" t="str">
        <f>HYPERLINK("https://twitter.com/fahmiis5","@fahmiis5")</f>
        <v>@fahmiis5</v>
      </c>
      <c r="C7433" s="8" t="s">
        <v>1186</v>
      </c>
      <c r="D7433" s="8">
        <v>359</v>
      </c>
      <c r="E7433" s="8">
        <v>0</v>
      </c>
      <c r="F7433" s="8">
        <v>7</v>
      </c>
    </row>
    <row r="7434" spans="1:6" ht="12.75">
      <c r="A7434" s="8">
        <v>43901.627129629633</v>
      </c>
      <c r="B7434" s="8" t="str">
        <f>HYPERLINK("https://twitter.com/itsrohim","@itsrohim")</f>
        <v>@itsrohim</v>
      </c>
      <c r="C7434" s="8" t="s">
        <v>2989</v>
      </c>
      <c r="D7434" s="8">
        <v>100</v>
      </c>
      <c r="E7434" s="8">
        <v>0</v>
      </c>
      <c r="F7434" s="8">
        <v>436</v>
      </c>
    </row>
    <row r="7435" spans="1:6" ht="12.75">
      <c r="A7435" s="8">
        <v>43901.626909722225</v>
      </c>
      <c r="B7435" s="8" t="str">
        <f>HYPERLINK("https://twitter.com/cakbrewok","@cakbrewok")</f>
        <v>@cakbrewok</v>
      </c>
      <c r="C7435" s="8" t="s">
        <v>3317</v>
      </c>
      <c r="D7435" s="8">
        <v>10</v>
      </c>
      <c r="E7435" s="8">
        <v>0</v>
      </c>
      <c r="F7435" s="8">
        <v>1309</v>
      </c>
    </row>
    <row r="7436" spans="1:6" ht="12.75">
      <c r="A7436" s="8">
        <v>43901.626608796301</v>
      </c>
      <c r="B7436" s="8" t="str">
        <f>HYPERLINK("https://twitter.com/ilalangRexvin","@ilalangRexvin")</f>
        <v>@ilalangRexvin</v>
      </c>
      <c r="C7436" s="8" t="s">
        <v>3550</v>
      </c>
      <c r="D7436" s="8">
        <v>0</v>
      </c>
      <c r="E7436" s="8">
        <v>0</v>
      </c>
      <c r="F7436" s="8">
        <v>215</v>
      </c>
    </row>
    <row r="7437" spans="1:6" ht="12.75">
      <c r="A7437" s="8">
        <v>43901.626284722224</v>
      </c>
      <c r="B7437" s="8" t="str">
        <f>HYPERLINK("https://twitter.com/wni_jmsri","@wni_jmsri")</f>
        <v>@wni_jmsri</v>
      </c>
      <c r="C7437" s="8" t="s">
        <v>3551</v>
      </c>
      <c r="D7437" s="8">
        <v>662</v>
      </c>
      <c r="E7437" s="8">
        <v>0</v>
      </c>
      <c r="F7437" s="8">
        <v>203</v>
      </c>
    </row>
    <row r="7438" spans="1:6" ht="12.75">
      <c r="A7438" s="8">
        <v>43901.626284722224</v>
      </c>
      <c r="B7438" s="8" t="str">
        <f>HYPERLINK("https://twitter.com/meow_leader","@meow_leader")</f>
        <v>@meow_leader</v>
      </c>
      <c r="C7438" s="8" t="s">
        <v>3552</v>
      </c>
      <c r="D7438" s="8">
        <v>0</v>
      </c>
      <c r="E7438" s="8">
        <v>0</v>
      </c>
      <c r="F7438" s="8">
        <v>3736</v>
      </c>
    </row>
    <row r="7439" spans="1:6" ht="12.75">
      <c r="A7439" s="8">
        <v>43901.626226851848</v>
      </c>
      <c r="B7439" s="8" t="str">
        <f>HYPERLINK("https://twitter.com/masrudi_","@masrudi_")</f>
        <v>@masrudi_</v>
      </c>
      <c r="C7439" s="8" t="s">
        <v>104</v>
      </c>
      <c r="D7439" s="8">
        <v>96</v>
      </c>
      <c r="E7439" s="8">
        <v>0</v>
      </c>
      <c r="F7439" s="8">
        <v>81</v>
      </c>
    </row>
    <row r="7440" spans="1:6" ht="12.75">
      <c r="A7440" s="8">
        <v>43901.625659722224</v>
      </c>
      <c r="B7440" s="8" t="str">
        <f>HYPERLINK("https://twitter.com/windinugroho1","@windinugroho1")</f>
        <v>@windinugroho1</v>
      </c>
      <c r="C7440" s="8" t="s">
        <v>1186</v>
      </c>
      <c r="D7440" s="8">
        <v>359</v>
      </c>
      <c r="E7440" s="8">
        <v>0</v>
      </c>
      <c r="F7440" s="8">
        <v>767</v>
      </c>
    </row>
    <row r="7441" spans="1:6" ht="12.75">
      <c r="A7441" s="8">
        <v>43901.625567129631</v>
      </c>
      <c r="B7441" s="8" t="str">
        <f>HYPERLINK("https://twitter.com/AidaBae2","@AidaBae2")</f>
        <v>@AidaBae2</v>
      </c>
      <c r="C7441" s="8" t="s">
        <v>318</v>
      </c>
      <c r="D7441" s="8">
        <v>1332</v>
      </c>
      <c r="E7441" s="8">
        <v>0</v>
      </c>
      <c r="F7441" s="8">
        <v>134</v>
      </c>
    </row>
    <row r="7442" spans="1:6" ht="12.75">
      <c r="A7442" s="8">
        <v>43901.625393518523</v>
      </c>
      <c r="B7442" s="8" t="str">
        <f>HYPERLINK("https://twitter.com/izkaiska","@izkaiska")</f>
        <v>@izkaiska</v>
      </c>
      <c r="C7442" s="8" t="s">
        <v>2989</v>
      </c>
      <c r="D7442" s="8">
        <v>100</v>
      </c>
      <c r="E7442" s="8">
        <v>0</v>
      </c>
      <c r="F7442" s="8">
        <v>162</v>
      </c>
    </row>
    <row r="7443" spans="1:6" ht="12.75">
      <c r="A7443" s="8">
        <v>43901.625034722223</v>
      </c>
      <c r="B7443" s="8" t="str">
        <f>HYPERLINK("https://twitter.com/jessioshi","@jessioshi")</f>
        <v>@jessioshi</v>
      </c>
      <c r="C7443" s="8" t="s">
        <v>3553</v>
      </c>
      <c r="D7443" s="8">
        <v>0</v>
      </c>
      <c r="E7443" s="8">
        <v>0</v>
      </c>
      <c r="F7443" s="8">
        <v>167</v>
      </c>
    </row>
    <row r="7444" spans="1:6" ht="12.75">
      <c r="A7444" s="8">
        <v>43901.625</v>
      </c>
      <c r="B7444" s="8" t="str">
        <f>HYPERLINK("https://twitter.com/hidupnanindah","@hidupnanindah")</f>
        <v>@hidupnanindah</v>
      </c>
      <c r="C7444" s="8" t="s">
        <v>3380</v>
      </c>
      <c r="D7444" s="8">
        <v>0</v>
      </c>
      <c r="E7444" s="8">
        <v>0</v>
      </c>
      <c r="F7444" s="8">
        <v>14965</v>
      </c>
    </row>
    <row r="7445" spans="1:6" ht="12.75">
      <c r="A7445" s="8">
        <v>43901.625</v>
      </c>
      <c r="B7445" s="8" t="str">
        <f>HYPERLINK("https://twitter.com/cafebiru88","@cafebiru88")</f>
        <v>@cafebiru88</v>
      </c>
      <c r="C7445" s="8" t="s">
        <v>3554</v>
      </c>
      <c r="D7445" s="8">
        <v>0</v>
      </c>
      <c r="E7445" s="8">
        <v>0</v>
      </c>
      <c r="F7445" s="8">
        <v>18021</v>
      </c>
    </row>
    <row r="7446" spans="1:6" ht="12.75">
      <c r="A7446" s="8">
        <v>43901.624525462961</v>
      </c>
      <c r="B7446" s="8" t="str">
        <f>HYPERLINK("https://twitter.com/nctchlorophyll","@nctchlorophyll")</f>
        <v>@nctchlorophyll</v>
      </c>
      <c r="C7446" s="8" t="s">
        <v>2790</v>
      </c>
      <c r="D7446" s="8">
        <v>190</v>
      </c>
      <c r="E7446" s="8">
        <v>0</v>
      </c>
      <c r="F7446" s="8">
        <v>1264</v>
      </c>
    </row>
    <row r="7447" spans="1:6" ht="12.75">
      <c r="A7447" s="8">
        <v>43901.624328703707</v>
      </c>
      <c r="B7447" s="8" t="str">
        <f>HYPERLINK("https://twitter.com/skywave_74","@skywave_74")</f>
        <v>@skywave_74</v>
      </c>
      <c r="C7447" s="8" t="s">
        <v>1186</v>
      </c>
      <c r="D7447" s="8">
        <v>359</v>
      </c>
      <c r="E7447" s="8">
        <v>0</v>
      </c>
      <c r="F7447" s="8">
        <v>76</v>
      </c>
    </row>
    <row r="7448" spans="1:6" ht="12.75">
      <c r="A7448" s="8">
        <v>43901.623969907407</v>
      </c>
      <c r="B7448" s="8" t="str">
        <f>HYPERLINK("https://twitter.com/irwansis","@irwansis")</f>
        <v>@irwansis</v>
      </c>
      <c r="C7448" s="8" t="s">
        <v>3555</v>
      </c>
      <c r="D7448" s="8">
        <v>0</v>
      </c>
      <c r="E7448" s="8">
        <v>0</v>
      </c>
      <c r="F7448" s="8">
        <v>80</v>
      </c>
    </row>
    <row r="7449" spans="1:6" ht="12.75">
      <c r="A7449" s="8">
        <v>43901.623726851853</v>
      </c>
      <c r="B7449" s="8" t="str">
        <f>HYPERLINK("https://twitter.com/mureliyana","@mureliyana")</f>
        <v>@mureliyana</v>
      </c>
      <c r="C7449" s="8" t="s">
        <v>2989</v>
      </c>
      <c r="D7449" s="8">
        <v>100</v>
      </c>
      <c r="E7449" s="8">
        <v>0</v>
      </c>
      <c r="F7449" s="8">
        <v>333</v>
      </c>
    </row>
    <row r="7450" spans="1:6" ht="12.75">
      <c r="A7450" s="8">
        <v>43901.623541666668</v>
      </c>
      <c r="B7450" s="8" t="str">
        <f>HYPERLINK("https://twitter.com/sukatanyaj","@sukatanyaj")</f>
        <v>@sukatanyaj</v>
      </c>
      <c r="C7450" s="8" t="s">
        <v>3556</v>
      </c>
      <c r="D7450" s="8">
        <v>0</v>
      </c>
      <c r="E7450" s="8">
        <v>0</v>
      </c>
      <c r="F7450" s="8">
        <v>5694</v>
      </c>
    </row>
    <row r="7451" spans="1:6" ht="12.75">
      <c r="A7451" s="8">
        <v>43901.623449074075</v>
      </c>
      <c r="B7451" s="8" t="str">
        <f>HYPERLINK("https://twitter.com/hanyabualan","@hanyabualan")</f>
        <v>@hanyabualan</v>
      </c>
      <c r="C7451" s="8" t="s">
        <v>2790</v>
      </c>
      <c r="D7451" s="8">
        <v>190</v>
      </c>
      <c r="E7451" s="8">
        <v>0</v>
      </c>
      <c r="F7451" s="8">
        <v>1840</v>
      </c>
    </row>
    <row r="7452" spans="1:6" ht="12.75">
      <c r="A7452" s="8">
        <v>43901.622835648144</v>
      </c>
      <c r="B7452" s="8" t="str">
        <f>HYPERLINK("https://twitter.com/lalalalicha_f","@lalalalicha_f")</f>
        <v>@lalalalicha_f</v>
      </c>
      <c r="C7452" s="8" t="s">
        <v>3557</v>
      </c>
      <c r="D7452" s="8">
        <v>0</v>
      </c>
      <c r="E7452" s="8">
        <v>0</v>
      </c>
      <c r="F7452" s="8">
        <v>715</v>
      </c>
    </row>
    <row r="7453" spans="1:6" ht="12.75">
      <c r="A7453" s="8">
        <v>43901.622314814813</v>
      </c>
      <c r="B7453" s="8" t="str">
        <f>HYPERLINK("https://twitter.com/pangestuuuuuu","@pangestuuuuuu")</f>
        <v>@pangestuuuuuu</v>
      </c>
      <c r="C7453" s="8" t="s">
        <v>2790</v>
      </c>
      <c r="D7453" s="8">
        <v>190</v>
      </c>
      <c r="E7453" s="8">
        <v>0</v>
      </c>
      <c r="F7453" s="8">
        <v>324</v>
      </c>
    </row>
    <row r="7454" spans="1:6" ht="12.75">
      <c r="A7454" s="8">
        <v>43901.620868055557</v>
      </c>
      <c r="B7454" s="8" t="str">
        <f>HYPERLINK("https://twitter.com/kurniawanyoyok","@kurniawanyoyok")</f>
        <v>@kurniawanyoyok</v>
      </c>
      <c r="C7454" s="8" t="s">
        <v>3558</v>
      </c>
      <c r="D7454" s="8">
        <v>0</v>
      </c>
      <c r="E7454" s="8">
        <v>0</v>
      </c>
      <c r="F7454" s="8">
        <v>130</v>
      </c>
    </row>
    <row r="7455" spans="1:6" ht="12.75">
      <c r="A7455" s="8">
        <v>43901.620729166665</v>
      </c>
      <c r="B7455" s="8" t="str">
        <f>HYPERLINK("https://twitter.com/heheiheiheihei","@heheiheiheihei")</f>
        <v>@heheiheiheihei</v>
      </c>
      <c r="C7455" s="8" t="s">
        <v>3559</v>
      </c>
      <c r="D7455" s="8">
        <v>0</v>
      </c>
      <c r="E7455" s="8">
        <v>1</v>
      </c>
      <c r="F7455" s="8">
        <v>7</v>
      </c>
    </row>
    <row r="7456" spans="1:6" ht="12.75">
      <c r="A7456" s="8">
        <v>43901.620555555557</v>
      </c>
      <c r="B7456" s="8" t="str">
        <f>HYPERLINK("https://twitter.com/solotrustcom","@solotrustcom")</f>
        <v>@solotrustcom</v>
      </c>
      <c r="C7456" s="8" t="s">
        <v>3560</v>
      </c>
      <c r="D7456" s="8">
        <v>0</v>
      </c>
      <c r="E7456" s="8">
        <v>0</v>
      </c>
      <c r="F7456" s="8">
        <v>130</v>
      </c>
    </row>
    <row r="7457" spans="1:6" ht="12.75">
      <c r="A7457" s="8">
        <v>43901.620405092588</v>
      </c>
      <c r="B7457" s="8" t="str">
        <f>HYPERLINK("https://twitter.com/rolirolisah","@rolirolisah")</f>
        <v>@rolirolisah</v>
      </c>
      <c r="C7457" s="8" t="s">
        <v>104</v>
      </c>
      <c r="D7457" s="8">
        <v>96</v>
      </c>
      <c r="E7457" s="8">
        <v>0</v>
      </c>
      <c r="F7457" s="8">
        <v>49</v>
      </c>
    </row>
    <row r="7458" spans="1:6" ht="12.75">
      <c r="A7458" s="8">
        <v>43901.620057870372</v>
      </c>
      <c r="B7458" s="8" t="str">
        <f>HYPERLINK("https://twitter.com/ElshintaDotcom","@ElshintaDotcom")</f>
        <v>@ElshintaDotcom</v>
      </c>
      <c r="C7458" s="8" t="s">
        <v>3561</v>
      </c>
      <c r="D7458" s="8">
        <v>0</v>
      </c>
      <c r="E7458" s="8">
        <v>0</v>
      </c>
      <c r="F7458" s="8">
        <v>27958</v>
      </c>
    </row>
    <row r="7459" spans="1:6" ht="12.75">
      <c r="A7459" s="8">
        <v>43901.619895833333</v>
      </c>
      <c r="B7459" s="8" t="str">
        <f>HYPERLINK("https://twitter.com/lena_vilian","@lena_vilian")</f>
        <v>@lena_vilian</v>
      </c>
      <c r="C7459" s="8" t="s">
        <v>3562</v>
      </c>
      <c r="D7459" s="8">
        <v>0</v>
      </c>
      <c r="E7459" s="8">
        <v>0</v>
      </c>
      <c r="F7459" s="8">
        <v>158</v>
      </c>
    </row>
    <row r="7460" spans="1:6" ht="12.75">
      <c r="A7460" s="8">
        <v>43901.618148148147</v>
      </c>
      <c r="B7460" s="8" t="str">
        <f>HYPERLINK("https://twitter.com/DamnLoveNKRI","@DamnLoveNKRI")</f>
        <v>@DamnLoveNKRI</v>
      </c>
      <c r="C7460" s="8" t="s">
        <v>3563</v>
      </c>
      <c r="D7460" s="8">
        <v>0</v>
      </c>
      <c r="E7460" s="8">
        <v>0</v>
      </c>
      <c r="F7460" s="8">
        <v>757</v>
      </c>
    </row>
    <row r="7461" spans="1:6" ht="12.75">
      <c r="A7461" s="8">
        <v>43901.617418981477</v>
      </c>
      <c r="B7461" s="8" t="str">
        <f>HYPERLINK("https://twitter.com/PRFMnews","@PRFMnews")</f>
        <v>@PRFMnews</v>
      </c>
      <c r="C7461" s="8" t="s">
        <v>3564</v>
      </c>
      <c r="D7461" s="8">
        <v>0</v>
      </c>
      <c r="E7461" s="8">
        <v>1</v>
      </c>
      <c r="F7461" s="8">
        <v>244126</v>
      </c>
    </row>
    <row r="7462" spans="1:6" ht="12.75">
      <c r="A7462" s="8">
        <v>43901.616516203707</v>
      </c>
      <c r="B7462" s="8" t="str">
        <f>HYPERLINK("https://twitter.com/sakabato9","@sakabato9")</f>
        <v>@sakabato9</v>
      </c>
      <c r="C7462" s="8" t="s">
        <v>1186</v>
      </c>
      <c r="D7462" s="8">
        <v>359</v>
      </c>
      <c r="E7462" s="8">
        <v>0</v>
      </c>
      <c r="F7462" s="8">
        <v>480</v>
      </c>
    </row>
    <row r="7463" spans="1:6" ht="12.75">
      <c r="A7463" s="8">
        <v>43901.616249999999</v>
      </c>
      <c r="B7463" s="8" t="str">
        <f>HYPERLINK("https://twitter.com/sakharizkika","@sakharizkika")</f>
        <v>@sakharizkika</v>
      </c>
      <c r="C7463" s="8" t="s">
        <v>318</v>
      </c>
      <c r="D7463" s="8">
        <v>1332</v>
      </c>
      <c r="E7463" s="8">
        <v>0</v>
      </c>
      <c r="F7463" s="8">
        <v>372</v>
      </c>
    </row>
    <row r="7464" spans="1:6" ht="12.75">
      <c r="A7464" s="8">
        <v>43901.616238425922</v>
      </c>
      <c r="B7464" s="8" t="str">
        <f>HYPERLINK("https://twitter.com/PARTOWIJOYO69","@PARTOWIJOYO69")</f>
        <v>@PARTOWIJOYO69</v>
      </c>
      <c r="C7464" s="8" t="s">
        <v>2989</v>
      </c>
      <c r="D7464" s="8">
        <v>100</v>
      </c>
      <c r="E7464" s="8">
        <v>0</v>
      </c>
      <c r="F7464" s="8">
        <v>2093</v>
      </c>
    </row>
    <row r="7465" spans="1:6" ht="12.75">
      <c r="A7465" s="8">
        <v>43901.615972222222</v>
      </c>
      <c r="B7465" s="8" t="str">
        <f>HYPERLINK("https://twitter.com/pushurself","@pushurself")</f>
        <v>@pushurself</v>
      </c>
      <c r="C7465" s="8" t="s">
        <v>3565</v>
      </c>
      <c r="D7465" s="8">
        <v>0</v>
      </c>
      <c r="E7465" s="8">
        <v>1</v>
      </c>
      <c r="F7465" s="8">
        <v>120</v>
      </c>
    </row>
    <row r="7466" spans="1:6" ht="12.75">
      <c r="A7466" s="8">
        <v>43901.615891203706</v>
      </c>
      <c r="B7466" s="8" t="str">
        <f>HYPERLINK("https://twitter.com/JaySoetija","@JaySoetija")</f>
        <v>@JaySoetija</v>
      </c>
      <c r="C7466" s="8" t="s">
        <v>1186</v>
      </c>
      <c r="D7466" s="8">
        <v>359</v>
      </c>
      <c r="E7466" s="8">
        <v>0</v>
      </c>
      <c r="F7466" s="8">
        <v>1225</v>
      </c>
    </row>
    <row r="7467" spans="1:6" ht="12.75">
      <c r="A7467" s="8">
        <v>43901.615868055553</v>
      </c>
      <c r="B7467" s="8" t="str">
        <f t="shared" ref="B7467:B7468" si="132">HYPERLINK("https://twitter.com/_azamh","@_azamh")</f>
        <v>@_azamh</v>
      </c>
      <c r="C7467" s="8" t="s">
        <v>3566</v>
      </c>
      <c r="D7467" s="8">
        <v>2</v>
      </c>
      <c r="E7467" s="8">
        <v>0</v>
      </c>
      <c r="F7467" s="8">
        <v>288</v>
      </c>
    </row>
    <row r="7468" spans="1:6" ht="12.75">
      <c r="A7468" s="8">
        <v>43901.615787037037</v>
      </c>
      <c r="B7468" s="8" t="str">
        <f t="shared" si="132"/>
        <v>@_azamh</v>
      </c>
      <c r="C7468" s="8" t="s">
        <v>3567</v>
      </c>
      <c r="D7468" s="8">
        <v>2</v>
      </c>
      <c r="E7468" s="8">
        <v>0</v>
      </c>
      <c r="F7468" s="8">
        <v>288</v>
      </c>
    </row>
    <row r="7469" spans="1:6" ht="12.75">
      <c r="A7469" s="8">
        <v>43901.615671296298</v>
      </c>
      <c r="B7469" s="8" t="str">
        <f>HYPERLINK("https://twitter.com/fniiyy","@fniiyy")</f>
        <v>@fniiyy</v>
      </c>
      <c r="C7469" s="8" t="s">
        <v>2790</v>
      </c>
      <c r="D7469" s="8">
        <v>190</v>
      </c>
      <c r="E7469" s="8">
        <v>0</v>
      </c>
      <c r="F7469" s="8">
        <v>331</v>
      </c>
    </row>
    <row r="7470" spans="1:6" ht="12.75">
      <c r="A7470" s="8">
        <v>43901.614664351851</v>
      </c>
      <c r="B7470" s="8" t="str">
        <f>HYPERLINK("https://twitter.com/b450ri7","@b450ri7")</f>
        <v>@b450ri7</v>
      </c>
      <c r="C7470" s="8" t="s">
        <v>3470</v>
      </c>
      <c r="D7470" s="8">
        <v>9</v>
      </c>
      <c r="E7470" s="8">
        <v>0</v>
      </c>
      <c r="F7470" s="8">
        <v>49</v>
      </c>
    </row>
    <row r="7471" spans="1:6" ht="12.75">
      <c r="A7471" s="8">
        <v>43901.614120370374</v>
      </c>
      <c r="B7471" s="8" t="str">
        <f>HYPERLINK("https://twitter.com/mbakmbakuwu","@mbakmbakuwu")</f>
        <v>@mbakmbakuwu</v>
      </c>
      <c r="C7471" s="8" t="s">
        <v>2790</v>
      </c>
      <c r="D7471" s="8">
        <v>190</v>
      </c>
      <c r="E7471" s="8">
        <v>0</v>
      </c>
      <c r="F7471" s="8">
        <v>1204</v>
      </c>
    </row>
    <row r="7472" spans="1:6" ht="12.75">
      <c r="A7472" s="8">
        <v>43901.612685185188</v>
      </c>
      <c r="B7472" s="8" t="str">
        <f>HYPERLINK("https://twitter.com/despairimuru","@despairimuru")</f>
        <v>@despairimuru</v>
      </c>
      <c r="C7472" s="8" t="s">
        <v>3568</v>
      </c>
      <c r="D7472" s="8">
        <v>0</v>
      </c>
      <c r="E7472" s="8">
        <v>0</v>
      </c>
      <c r="F7472" s="8">
        <v>28</v>
      </c>
    </row>
    <row r="7473" spans="1:6" ht="12.75">
      <c r="A7473" s="8">
        <v>43901.612673611111</v>
      </c>
      <c r="B7473" s="8" t="str">
        <f>HYPERLINK("https://twitter.com/id_aksi","@id_aksi")</f>
        <v>@id_aksi</v>
      </c>
      <c r="C7473" s="8" t="s">
        <v>3569</v>
      </c>
      <c r="D7473" s="8">
        <v>0</v>
      </c>
      <c r="E7473" s="8">
        <v>0</v>
      </c>
      <c r="F7473" s="8">
        <v>79</v>
      </c>
    </row>
    <row r="7474" spans="1:6" ht="12.75">
      <c r="A7474" s="8">
        <v>43901.612488425926</v>
      </c>
      <c r="B7474" s="8" t="str">
        <f>HYPERLINK("https://twitter.com/smile_guys","@smile_guys")</f>
        <v>@smile_guys</v>
      </c>
      <c r="C7474" s="8" t="s">
        <v>2715</v>
      </c>
      <c r="D7474" s="8">
        <v>37</v>
      </c>
      <c r="E7474" s="8">
        <v>0</v>
      </c>
      <c r="F7474" s="8">
        <v>142</v>
      </c>
    </row>
    <row r="7475" spans="1:6" ht="12.75">
      <c r="A7475" s="8">
        <v>43901.61136574074</v>
      </c>
      <c r="B7475" s="8" t="str">
        <f>HYPERLINK("https://twitter.com/Kazzu89","@Kazzu89")</f>
        <v>@Kazzu89</v>
      </c>
      <c r="C7475" s="8" t="s">
        <v>1186</v>
      </c>
      <c r="D7475" s="8">
        <v>359</v>
      </c>
      <c r="E7475" s="8">
        <v>0</v>
      </c>
      <c r="F7475" s="8">
        <v>362</v>
      </c>
    </row>
    <row r="7476" spans="1:6" ht="12.75">
      <c r="A7476" s="8">
        <v>43901.610949074078</v>
      </c>
      <c r="B7476" s="8" t="str">
        <f>HYPERLINK("https://twitter.com/nuninu9","@nuninu9")</f>
        <v>@nuninu9</v>
      </c>
      <c r="C7476" s="8" t="s">
        <v>2989</v>
      </c>
      <c r="D7476" s="8">
        <v>100</v>
      </c>
      <c r="E7476" s="8">
        <v>0</v>
      </c>
      <c r="F7476" s="8">
        <v>1399</v>
      </c>
    </row>
    <row r="7477" spans="1:6" ht="12.75">
      <c r="A7477" s="8">
        <v>43901.610775462963</v>
      </c>
      <c r="B7477" s="8" t="str">
        <f>HYPERLINK("https://twitter.com/JohnSoju09","@JohnSoju09")</f>
        <v>@JohnSoju09</v>
      </c>
      <c r="C7477" s="8" t="s">
        <v>3570</v>
      </c>
      <c r="D7477" s="8">
        <v>0</v>
      </c>
      <c r="E7477" s="8">
        <v>0</v>
      </c>
      <c r="F7477" s="8">
        <v>9</v>
      </c>
    </row>
    <row r="7478" spans="1:6" ht="12.75">
      <c r="A7478" s="8">
        <v>43901.610648148147</v>
      </c>
      <c r="B7478" s="8" t="str">
        <f>HYPERLINK("https://twitter.com/adrlhzk","@adrlhzk")</f>
        <v>@adrlhzk</v>
      </c>
      <c r="C7478" s="8" t="s">
        <v>3571</v>
      </c>
      <c r="D7478" s="8">
        <v>0</v>
      </c>
      <c r="E7478" s="8">
        <v>0</v>
      </c>
      <c r="F7478" s="8">
        <v>612</v>
      </c>
    </row>
    <row r="7479" spans="1:6" ht="12.75">
      <c r="A7479" s="8">
        <v>43901.609918981485</v>
      </c>
      <c r="B7479" s="8" t="str">
        <f>HYPERLINK("https://twitter.com/TuanHansenRegar","@TuanHansenRegar")</f>
        <v>@TuanHansenRegar</v>
      </c>
      <c r="C7479" s="8" t="s">
        <v>3572</v>
      </c>
      <c r="D7479" s="8">
        <v>1</v>
      </c>
      <c r="E7479" s="8">
        <v>0</v>
      </c>
      <c r="F7479" s="8">
        <v>111</v>
      </c>
    </row>
    <row r="7480" spans="1:6" ht="12.75">
      <c r="A7480" s="8">
        <v>43901.609756944439</v>
      </c>
      <c r="B7480" s="8" t="str">
        <f>HYPERLINK("https://twitter.com/CS_Ramdhani","@CS_Ramdhani")</f>
        <v>@CS_Ramdhani</v>
      </c>
      <c r="C7480" s="8" t="s">
        <v>1801</v>
      </c>
      <c r="D7480" s="8">
        <v>300</v>
      </c>
      <c r="E7480" s="8">
        <v>0</v>
      </c>
      <c r="F7480" s="8">
        <v>363</v>
      </c>
    </row>
    <row r="7481" spans="1:6" ht="12.75">
      <c r="A7481" s="8">
        <v>43901.609027777777</v>
      </c>
      <c r="B7481" s="8" t="str">
        <f>HYPERLINK("https://twitter.com/jusstme4u","@jusstme4u")</f>
        <v>@jusstme4u</v>
      </c>
      <c r="C7481" s="8" t="s">
        <v>3573</v>
      </c>
      <c r="D7481" s="8">
        <v>0</v>
      </c>
      <c r="E7481" s="8">
        <v>0</v>
      </c>
      <c r="F7481" s="8">
        <v>75752</v>
      </c>
    </row>
    <row r="7482" spans="1:6" ht="12.75">
      <c r="A7482" s="8">
        <v>43901.607662037037</v>
      </c>
      <c r="B7482" s="8" t="str">
        <f>HYPERLINK("https://twitter.com/Ahmed86R","@Ahmed86R")</f>
        <v>@Ahmed86R</v>
      </c>
      <c r="C7482" s="8" t="s">
        <v>318</v>
      </c>
      <c r="D7482" s="8">
        <v>1332</v>
      </c>
      <c r="E7482" s="8">
        <v>0</v>
      </c>
      <c r="F7482" s="8">
        <v>191</v>
      </c>
    </row>
    <row r="7483" spans="1:6" ht="12.75">
      <c r="A7483" s="8">
        <v>43901.607222222221</v>
      </c>
      <c r="B7483" s="8" t="str">
        <f>HYPERLINK("https://twitter.com/geminidss","@geminidss")</f>
        <v>@geminidss</v>
      </c>
      <c r="C7483" s="8" t="s">
        <v>2790</v>
      </c>
      <c r="D7483" s="8">
        <v>190</v>
      </c>
      <c r="E7483" s="8">
        <v>0</v>
      </c>
      <c r="F7483" s="8">
        <v>450</v>
      </c>
    </row>
    <row r="7484" spans="1:6" ht="12.75">
      <c r="A7484" s="8">
        <v>43901.606979166667</v>
      </c>
      <c r="B7484" s="8" t="str">
        <f>HYPERLINK("https://twitter.com/joo_cak","@joo_cak")</f>
        <v>@joo_cak</v>
      </c>
      <c r="C7484" s="8" t="s">
        <v>1186</v>
      </c>
      <c r="D7484" s="8">
        <v>359</v>
      </c>
      <c r="E7484" s="8">
        <v>0</v>
      </c>
      <c r="F7484" s="8">
        <v>167</v>
      </c>
    </row>
    <row r="7485" spans="1:6" ht="12.75">
      <c r="A7485" s="8">
        <v>43901.606967592597</v>
      </c>
      <c r="B7485" s="8" t="str">
        <f>HYPERLINK("https://twitter.com/dia_she","@dia_she")</f>
        <v>@dia_she</v>
      </c>
      <c r="C7485" s="8" t="s">
        <v>2790</v>
      </c>
      <c r="D7485" s="8">
        <v>190</v>
      </c>
      <c r="E7485" s="8">
        <v>0</v>
      </c>
      <c r="F7485" s="8">
        <v>1964</v>
      </c>
    </row>
    <row r="7486" spans="1:6" ht="12.75">
      <c r="A7486" s="8">
        <v>43901.606932870374</v>
      </c>
      <c r="B7486" s="8" t="str">
        <f>HYPERLINK("https://twitter.com/Lizalarilari","@Lizalarilari")</f>
        <v>@Lizalarilari</v>
      </c>
      <c r="C7486" s="8" t="s">
        <v>2989</v>
      </c>
      <c r="D7486" s="8">
        <v>100</v>
      </c>
      <c r="E7486" s="8">
        <v>0</v>
      </c>
      <c r="F7486" s="8">
        <v>16</v>
      </c>
    </row>
    <row r="7487" spans="1:6" ht="12.75">
      <c r="A7487" s="8">
        <v>43901.606805555552</v>
      </c>
      <c r="B7487" s="8" t="str">
        <f>HYPERLINK("https://twitter.com/piyupiii","@piyupiii")</f>
        <v>@piyupiii</v>
      </c>
      <c r="C7487" s="8" t="s">
        <v>3514</v>
      </c>
      <c r="D7487" s="8">
        <v>3</v>
      </c>
      <c r="E7487" s="8">
        <v>0</v>
      </c>
      <c r="F7487" s="8">
        <v>351</v>
      </c>
    </row>
    <row r="7488" spans="1:6" ht="12.75">
      <c r="A7488" s="8">
        <v>43901.606678240743</v>
      </c>
      <c r="B7488" s="8" t="str">
        <f>HYPERLINK("https://twitter.com/NaviriMag","@NaviriMag")</f>
        <v>@NaviriMag</v>
      </c>
      <c r="C7488" s="8" t="s">
        <v>3574</v>
      </c>
      <c r="D7488" s="8">
        <v>0</v>
      </c>
      <c r="E7488" s="8">
        <v>0</v>
      </c>
      <c r="F7488" s="8">
        <v>1353</v>
      </c>
    </row>
    <row r="7489" spans="1:6" ht="12.75">
      <c r="A7489" s="8">
        <v>43901.606504629628</v>
      </c>
      <c r="B7489" s="8" t="str">
        <f>HYPERLINK("https://twitter.com/sanjuktachat6","@sanjuktachat6")</f>
        <v>@sanjuktachat6</v>
      </c>
      <c r="C7489" s="8" t="s">
        <v>3575</v>
      </c>
      <c r="D7489" s="8">
        <v>0</v>
      </c>
      <c r="E7489" s="8">
        <v>0</v>
      </c>
      <c r="F7489" s="8">
        <v>302</v>
      </c>
    </row>
    <row r="7490" spans="1:6" ht="12.75">
      <c r="A7490" s="8">
        <v>43901.606458333335</v>
      </c>
      <c r="B7490" s="8" t="str">
        <f>HYPERLINK("https://twitter.com/bimaalfaroby","@bimaalfaroby")</f>
        <v>@bimaalfaroby</v>
      </c>
      <c r="C7490" s="8" t="s">
        <v>3576</v>
      </c>
      <c r="D7490" s="8">
        <v>0</v>
      </c>
      <c r="E7490" s="8">
        <v>0</v>
      </c>
      <c r="F7490" s="8">
        <v>218</v>
      </c>
    </row>
    <row r="7491" spans="1:6" ht="12.75">
      <c r="A7491" s="8">
        <v>43901.605833333335</v>
      </c>
      <c r="B7491" s="8" t="str">
        <f>HYPERLINK("https://twitter.com/erwingatuso","@erwingatuso")</f>
        <v>@erwingatuso</v>
      </c>
      <c r="C7491" s="8" t="s">
        <v>3577</v>
      </c>
      <c r="D7491" s="8">
        <v>0</v>
      </c>
      <c r="E7491" s="8">
        <v>0</v>
      </c>
      <c r="F7491" s="8">
        <v>251</v>
      </c>
    </row>
    <row r="7492" spans="1:6" ht="12.75">
      <c r="A7492" s="8">
        <v>43901.605775462958</v>
      </c>
      <c r="B7492" s="8" t="str">
        <f>HYPERLINK("https://twitter.com/itskeniask","@itskeniask")</f>
        <v>@itskeniask</v>
      </c>
      <c r="C7492" s="8" t="s">
        <v>3578</v>
      </c>
      <c r="D7492" s="8">
        <v>0</v>
      </c>
      <c r="E7492" s="8">
        <v>0</v>
      </c>
      <c r="F7492" s="8">
        <v>268</v>
      </c>
    </row>
    <row r="7493" spans="1:6" ht="12.75">
      <c r="A7493" s="8">
        <v>43901.605613425927</v>
      </c>
      <c r="B7493" s="8" t="str">
        <f>HYPERLINK("https://twitter.com/Liamsi42935479","@Liamsi42935479")</f>
        <v>@Liamsi42935479</v>
      </c>
      <c r="C7493" s="8" t="s">
        <v>1186</v>
      </c>
      <c r="D7493" s="8">
        <v>359</v>
      </c>
      <c r="E7493" s="8">
        <v>0</v>
      </c>
      <c r="F7493" s="8">
        <v>91</v>
      </c>
    </row>
    <row r="7494" spans="1:6" ht="12.75">
      <c r="A7494" s="8">
        <v>43901.605439814812</v>
      </c>
      <c r="B7494" s="8" t="str">
        <f>HYPERLINK("https://twitter.com/salmanda_r","@salmanda_r")</f>
        <v>@salmanda_r</v>
      </c>
      <c r="C7494" s="8" t="s">
        <v>2790</v>
      </c>
      <c r="D7494" s="8">
        <v>190</v>
      </c>
      <c r="E7494" s="8">
        <v>0</v>
      </c>
      <c r="F7494" s="8">
        <v>288</v>
      </c>
    </row>
    <row r="7495" spans="1:6" ht="12.75">
      <c r="A7495" s="8">
        <v>43901.60528935185</v>
      </c>
      <c r="B7495" s="8" t="str">
        <f>HYPERLINK("https://twitter.com/iina_surbakti","@iina_surbakti")</f>
        <v>@iina_surbakti</v>
      </c>
      <c r="C7495" s="8" t="s">
        <v>2942</v>
      </c>
      <c r="D7495" s="8">
        <v>22</v>
      </c>
      <c r="E7495" s="8">
        <v>0</v>
      </c>
      <c r="F7495" s="8">
        <v>577</v>
      </c>
    </row>
    <row r="7496" spans="1:6" ht="12.75">
      <c r="A7496" s="8">
        <v>43901.605104166665</v>
      </c>
      <c r="B7496" s="8" t="str">
        <f>HYPERLINK("https://twitter.com/chaipill","@chaipill")</f>
        <v>@chaipill</v>
      </c>
      <c r="C7496" s="8" t="s">
        <v>3579</v>
      </c>
      <c r="D7496" s="8">
        <v>3</v>
      </c>
      <c r="E7496" s="8">
        <v>0</v>
      </c>
      <c r="F7496" s="8">
        <v>1251</v>
      </c>
    </row>
    <row r="7497" spans="1:6" ht="12.75">
      <c r="A7497" s="8">
        <v>43901.605104166665</v>
      </c>
      <c r="B7497" s="8" t="str">
        <f>HYPERLINK("https://twitter.com/ProJustisiaNews","@ProJustisiaNews")</f>
        <v>@ProJustisiaNews</v>
      </c>
      <c r="C7497" s="8" t="s">
        <v>3580</v>
      </c>
      <c r="D7497" s="8">
        <v>0</v>
      </c>
      <c r="E7497" s="8">
        <v>0</v>
      </c>
      <c r="F7497" s="8">
        <v>35</v>
      </c>
    </row>
    <row r="7498" spans="1:6" ht="12.75">
      <c r="A7498" s="8">
        <v>43901.605081018519</v>
      </c>
      <c r="B7498" s="8" t="str">
        <f>HYPERLINK("https://twitter.com/SekarLP","@SekarLP")</f>
        <v>@SekarLP</v>
      </c>
      <c r="C7498" s="8" t="s">
        <v>3581</v>
      </c>
      <c r="D7498" s="8">
        <v>360</v>
      </c>
      <c r="E7498" s="8">
        <v>0</v>
      </c>
      <c r="F7498" s="8">
        <v>803</v>
      </c>
    </row>
    <row r="7499" spans="1:6" ht="12.75">
      <c r="A7499" s="8">
        <v>43901.605069444442</v>
      </c>
      <c r="B7499" s="8" t="str">
        <f>HYPERLINK("https://twitter.com/adiputro220","@adiputro220")</f>
        <v>@adiputro220</v>
      </c>
      <c r="C7499" s="8" t="s">
        <v>3582</v>
      </c>
      <c r="D7499" s="8">
        <v>0</v>
      </c>
      <c r="E7499" s="8">
        <v>1</v>
      </c>
      <c r="F7499" s="8">
        <v>282</v>
      </c>
    </row>
    <row r="7500" spans="1:6" ht="12.75">
      <c r="A7500" s="8">
        <v>43901.604849537034</v>
      </c>
      <c r="B7500" s="8" t="str">
        <f>HYPERLINK("https://twitter.com/TuanHansenRegar","@TuanHansenRegar")</f>
        <v>@TuanHansenRegar</v>
      </c>
      <c r="C7500" s="8" t="s">
        <v>3583</v>
      </c>
      <c r="D7500" s="8">
        <v>1</v>
      </c>
      <c r="E7500" s="8">
        <v>0</v>
      </c>
      <c r="F7500" s="8">
        <v>111</v>
      </c>
    </row>
    <row r="7501" spans="1:6" ht="12.75">
      <c r="A7501" s="8">
        <v>43901.604791666672</v>
      </c>
      <c r="B7501" s="8" t="str">
        <f>HYPERLINK("https://twitter.com/andy_nomicin","@andy_nomicin")</f>
        <v>@andy_nomicin</v>
      </c>
      <c r="C7501" s="8" t="s">
        <v>2715</v>
      </c>
      <c r="D7501" s="8">
        <v>37</v>
      </c>
      <c r="E7501" s="8">
        <v>0</v>
      </c>
      <c r="F7501" s="8">
        <v>7485</v>
      </c>
    </row>
    <row r="7502" spans="1:6" ht="12.75">
      <c r="A7502" s="8">
        <v>43901.604733796295</v>
      </c>
      <c r="B7502" s="8" t="str">
        <f>HYPERLINK("https://twitter.com/Matoh18124426","@Matoh18124426")</f>
        <v>@Matoh18124426</v>
      </c>
      <c r="C7502" s="8" t="s">
        <v>3584</v>
      </c>
      <c r="D7502" s="8">
        <v>0</v>
      </c>
      <c r="E7502" s="8">
        <v>0</v>
      </c>
      <c r="F7502" s="8">
        <v>96</v>
      </c>
    </row>
    <row r="7503" spans="1:6" ht="12.75">
      <c r="A7503" s="8">
        <v>43901.604525462964</v>
      </c>
      <c r="B7503" s="8" t="str">
        <f>HYPERLINK("https://twitter.com/indralengcai","@indralengcai")</f>
        <v>@indralengcai</v>
      </c>
      <c r="C7503" s="8" t="s">
        <v>1186</v>
      </c>
      <c r="D7503" s="8">
        <v>359</v>
      </c>
      <c r="E7503" s="8">
        <v>0</v>
      </c>
      <c r="F7503" s="8">
        <v>255</v>
      </c>
    </row>
    <row r="7504" spans="1:6" ht="12.75">
      <c r="A7504" s="8">
        <v>43901.604259259257</v>
      </c>
      <c r="B7504" s="8" t="str">
        <f>HYPERLINK("https://twitter.com/ezash","@ezash")</f>
        <v>@ezash</v>
      </c>
      <c r="C7504" s="8" t="s">
        <v>3514</v>
      </c>
      <c r="D7504" s="8">
        <v>3</v>
      </c>
      <c r="E7504" s="8">
        <v>0</v>
      </c>
      <c r="F7504" s="8">
        <v>42884</v>
      </c>
    </row>
    <row r="7505" spans="1:6" ht="12.75">
      <c r="A7505" s="8">
        <v>43901.604085648149</v>
      </c>
      <c r="B7505" s="8" t="str">
        <f>HYPERLINK("https://twitter.com/NkriIlove","@NkriIlove")</f>
        <v>@NkriIlove</v>
      </c>
      <c r="C7505" s="8" t="s">
        <v>2715</v>
      </c>
      <c r="D7505" s="8">
        <v>37</v>
      </c>
      <c r="E7505" s="8">
        <v>0</v>
      </c>
      <c r="F7505" s="8">
        <v>618</v>
      </c>
    </row>
    <row r="7506" spans="1:6" ht="12.75">
      <c r="A7506" s="8">
        <v>43901.603981481487</v>
      </c>
      <c r="B7506" s="8" t="str">
        <f>HYPERLINK("https://twitter.com/lutfihusen88","@lutfihusen88")</f>
        <v>@lutfihusen88</v>
      </c>
      <c r="C7506" s="8" t="s">
        <v>318</v>
      </c>
      <c r="D7506" s="8">
        <v>1332</v>
      </c>
      <c r="E7506" s="8">
        <v>0</v>
      </c>
      <c r="F7506" s="8">
        <v>18</v>
      </c>
    </row>
    <row r="7507" spans="1:6" ht="12.75">
      <c r="A7507" s="8">
        <v>43901.603668981479</v>
      </c>
      <c r="B7507" s="8" t="str">
        <f>HYPERLINK("https://twitter.com/abah_hampru","@abah_hampru")</f>
        <v>@abah_hampru</v>
      </c>
      <c r="C7507" s="8" t="s">
        <v>318</v>
      </c>
      <c r="D7507" s="8">
        <v>1332</v>
      </c>
      <c r="E7507" s="8">
        <v>0</v>
      </c>
      <c r="F7507" s="8">
        <v>210</v>
      </c>
    </row>
    <row r="7508" spans="1:6" ht="12.75">
      <c r="A7508" s="8">
        <v>43901.603530092594</v>
      </c>
      <c r="B7508" s="8" t="str">
        <f>HYPERLINK("https://twitter.com/BambangMugiarto","@BambangMugiarto")</f>
        <v>@BambangMugiarto</v>
      </c>
      <c r="C7508" s="8" t="s">
        <v>3585</v>
      </c>
      <c r="D7508" s="8">
        <v>0</v>
      </c>
      <c r="E7508" s="8">
        <v>0</v>
      </c>
      <c r="F7508" s="8">
        <v>157</v>
      </c>
    </row>
    <row r="7509" spans="1:6" ht="12.75">
      <c r="A7509" s="8">
        <v>43901.603263888886</v>
      </c>
      <c r="B7509" s="8" t="str">
        <f>HYPERLINK("https://twitter.com/Franky07133283","@Franky07133283")</f>
        <v>@Franky07133283</v>
      </c>
      <c r="C7509" s="8" t="s">
        <v>2715</v>
      </c>
      <c r="D7509" s="8">
        <v>37</v>
      </c>
      <c r="E7509" s="8">
        <v>0</v>
      </c>
      <c r="F7509" s="8">
        <v>716</v>
      </c>
    </row>
    <row r="7510" spans="1:6" ht="12.75">
      <c r="A7510" s="8">
        <v>43901.603009259255</v>
      </c>
      <c r="B7510" s="8" t="str">
        <f>HYPERLINK("https://twitter.com/delpomo17","@delpomo17")</f>
        <v>@delpomo17</v>
      </c>
      <c r="C7510" s="8" t="s">
        <v>2432</v>
      </c>
      <c r="D7510" s="8">
        <v>54</v>
      </c>
      <c r="E7510" s="8">
        <v>0</v>
      </c>
      <c r="F7510" s="8">
        <v>1608</v>
      </c>
    </row>
    <row r="7511" spans="1:6" ht="12.75">
      <c r="A7511" s="8">
        <v>43901.602812500001</v>
      </c>
      <c r="B7511" s="8" t="str">
        <f>HYPERLINK("https://twitter.com/ulhendri26","@ulhendri26")</f>
        <v>@ulhendri26</v>
      </c>
      <c r="C7511" s="8" t="s">
        <v>318</v>
      </c>
      <c r="D7511" s="8">
        <v>1332</v>
      </c>
      <c r="E7511" s="8">
        <v>0</v>
      </c>
      <c r="F7511" s="8">
        <v>518</v>
      </c>
    </row>
    <row r="7512" spans="1:6" ht="12.75">
      <c r="A7512" s="8">
        <v>43901.602754629625</v>
      </c>
      <c r="B7512" s="8" t="str">
        <f>HYPERLINK("https://twitter.com/WENDYxBC","@WENDYxBC")</f>
        <v>@WENDYxBC</v>
      </c>
      <c r="C7512" s="8" t="s">
        <v>3586</v>
      </c>
      <c r="D7512" s="8">
        <v>0</v>
      </c>
      <c r="E7512" s="8">
        <v>0</v>
      </c>
      <c r="F7512" s="8">
        <v>93</v>
      </c>
    </row>
    <row r="7513" spans="1:6" ht="12.75">
      <c r="A7513" s="8">
        <v>43901.602546296301</v>
      </c>
      <c r="B7513" s="8" t="str">
        <f>HYPERLINK("https://twitter.com/ADNANRIZKI_NEW","@ADNANRIZKI_NEW")</f>
        <v>@ADNANRIZKI_NEW</v>
      </c>
      <c r="C7513" s="8" t="s">
        <v>1186</v>
      </c>
      <c r="D7513" s="8">
        <v>359</v>
      </c>
      <c r="E7513" s="8">
        <v>0</v>
      </c>
      <c r="F7513" s="8">
        <v>122</v>
      </c>
    </row>
    <row r="7514" spans="1:6" ht="12.75">
      <c r="A7514" s="8">
        <v>43901.602523148147</v>
      </c>
      <c r="B7514" s="8" t="str">
        <f>HYPERLINK("https://twitter.com/tickin_clocks","@tickin_clocks")</f>
        <v>@tickin_clocks</v>
      </c>
      <c r="C7514" s="8" t="s">
        <v>3492</v>
      </c>
      <c r="D7514" s="8">
        <v>2</v>
      </c>
      <c r="E7514" s="8">
        <v>0</v>
      </c>
      <c r="F7514" s="8">
        <v>3669</v>
      </c>
    </row>
    <row r="7515" spans="1:6" ht="12.75">
      <c r="A7515" s="8">
        <v>43901.602326388893</v>
      </c>
      <c r="B7515" s="8" t="str">
        <f>HYPERLINK("https://twitter.com/LuniazAlHayyu","@LuniazAlHayyu")</f>
        <v>@LuniazAlHayyu</v>
      </c>
      <c r="C7515" s="8" t="s">
        <v>3587</v>
      </c>
      <c r="D7515" s="8">
        <v>9</v>
      </c>
      <c r="E7515" s="8">
        <v>0</v>
      </c>
      <c r="F7515" s="8">
        <v>73</v>
      </c>
    </row>
    <row r="7516" spans="1:6" ht="12.75">
      <c r="A7516" s="8">
        <v>43901.602256944447</v>
      </c>
      <c r="B7516" s="8" t="str">
        <f>HYPERLINK("https://twitter.com/UmyRina","@UmyRina")</f>
        <v>@UmyRina</v>
      </c>
      <c r="C7516" s="8" t="s">
        <v>3588</v>
      </c>
      <c r="D7516" s="8">
        <v>0</v>
      </c>
      <c r="E7516" s="8">
        <v>0</v>
      </c>
      <c r="F7516" s="8">
        <v>359</v>
      </c>
    </row>
    <row r="7517" spans="1:6" ht="12.75">
      <c r="A7517" s="8">
        <v>43901.602222222224</v>
      </c>
      <c r="B7517" s="8" t="str">
        <f>HYPERLINK("https://twitter.com/pambudiPati","@pambudiPati")</f>
        <v>@pambudiPati</v>
      </c>
      <c r="C7517" s="8" t="s">
        <v>3589</v>
      </c>
      <c r="D7517" s="8">
        <v>1</v>
      </c>
      <c r="E7517" s="8">
        <v>0</v>
      </c>
      <c r="F7517" s="8">
        <v>250</v>
      </c>
    </row>
    <row r="7518" spans="1:6" ht="12.75">
      <c r="A7518" s="8">
        <v>43901.601666666669</v>
      </c>
      <c r="B7518" s="8" t="str">
        <f>HYPERLINK("https://twitter.com/RMSaid2","@RMSaid2")</f>
        <v>@RMSaid2</v>
      </c>
      <c r="C7518" s="8" t="s">
        <v>2715</v>
      </c>
      <c r="D7518" s="8">
        <v>37</v>
      </c>
      <c r="E7518" s="8">
        <v>0</v>
      </c>
      <c r="F7518" s="8">
        <v>30</v>
      </c>
    </row>
    <row r="7519" spans="1:6" ht="12.75">
      <c r="A7519" s="8">
        <v>43901.60155092593</v>
      </c>
      <c r="B7519" s="8" t="str">
        <f>HYPERLINK("https://twitter.com/mediakita5","@mediakita5")</f>
        <v>@mediakita5</v>
      </c>
      <c r="C7519" s="8" t="s">
        <v>3590</v>
      </c>
      <c r="D7519" s="8">
        <v>0</v>
      </c>
      <c r="E7519" s="8">
        <v>0</v>
      </c>
      <c r="F7519" s="8">
        <v>101</v>
      </c>
    </row>
    <row r="7520" spans="1:6" ht="12.75">
      <c r="A7520" s="8">
        <v>43901.589849537035</v>
      </c>
      <c r="B7520" s="8" t="str">
        <f>HYPERLINK("https://twitter.com/Marissa250597","@Marissa250597")</f>
        <v>@Marissa250597</v>
      </c>
      <c r="C7520" s="8" t="s">
        <v>2989</v>
      </c>
      <c r="D7520" s="8">
        <v>91</v>
      </c>
      <c r="E7520" s="8">
        <v>0</v>
      </c>
      <c r="F7520" s="8">
        <v>4059</v>
      </c>
    </row>
    <row r="7521" spans="1:6" ht="12.75">
      <c r="A7521" s="8">
        <v>43901.589803240742</v>
      </c>
      <c r="B7521" s="8" t="str">
        <f>HYPERLINK("https://twitter.com/bambangsknt","@bambangsknt")</f>
        <v>@bambangsknt</v>
      </c>
      <c r="C7521" s="8" t="s">
        <v>2989</v>
      </c>
      <c r="D7521" s="8">
        <v>91</v>
      </c>
      <c r="E7521" s="8">
        <v>0</v>
      </c>
      <c r="F7521" s="8">
        <v>1317</v>
      </c>
    </row>
    <row r="7522" spans="1:6" ht="12.75">
      <c r="A7522" s="8">
        <v>43901.589432870373</v>
      </c>
      <c r="B7522" s="8" t="str">
        <f>HYPERLINK("https://twitter.com/uwaysaputra","@uwaysaputra")</f>
        <v>@uwaysaputra</v>
      </c>
      <c r="C7522" s="8" t="s">
        <v>104</v>
      </c>
      <c r="D7522" s="8">
        <v>82</v>
      </c>
      <c r="E7522" s="8">
        <v>0</v>
      </c>
      <c r="F7522" s="8">
        <v>1192</v>
      </c>
    </row>
    <row r="7523" spans="1:6" ht="12.75">
      <c r="A7523" s="8">
        <v>43901.589409722219</v>
      </c>
      <c r="B7523" s="8" t="str">
        <f>HYPERLINK("https://twitter.com/rita_tj","@rita_tj")</f>
        <v>@rita_tj</v>
      </c>
      <c r="C7523" s="8" t="s">
        <v>104</v>
      </c>
      <c r="D7523" s="8">
        <v>82</v>
      </c>
      <c r="E7523" s="8">
        <v>0</v>
      </c>
      <c r="F7523" s="8">
        <v>4721</v>
      </c>
    </row>
    <row r="7524" spans="1:6" ht="12.75">
      <c r="A7524" s="8">
        <v>43901.589398148149</v>
      </c>
      <c r="B7524" s="8" t="str">
        <f>HYPERLINK("https://twitter.com/ReiMiechi99","@ReiMiechi99")</f>
        <v>@ReiMiechi99</v>
      </c>
      <c r="C7524" s="8" t="s">
        <v>3591</v>
      </c>
      <c r="D7524" s="8">
        <v>0</v>
      </c>
      <c r="E7524" s="8">
        <v>0</v>
      </c>
      <c r="F7524" s="8">
        <v>96</v>
      </c>
    </row>
    <row r="7525" spans="1:6" ht="12.75">
      <c r="A7525" s="8">
        <v>43901.589131944449</v>
      </c>
      <c r="B7525" s="8" t="str">
        <f>HYPERLINK("https://twitter.com/yhnsdp","@yhnsdp")</f>
        <v>@yhnsdp</v>
      </c>
      <c r="C7525" s="8" t="s">
        <v>2790</v>
      </c>
      <c r="D7525" s="8">
        <v>170</v>
      </c>
      <c r="E7525" s="8">
        <v>0</v>
      </c>
      <c r="F7525" s="8">
        <v>334</v>
      </c>
    </row>
    <row r="7526" spans="1:6" ht="12.75">
      <c r="A7526" s="8">
        <v>43901.588969907403</v>
      </c>
      <c r="B7526" s="8" t="str">
        <f>HYPERLINK("https://twitter.com/111dfdh","@111dfdh")</f>
        <v>@111dfdh</v>
      </c>
      <c r="C7526" s="8" t="s">
        <v>2715</v>
      </c>
      <c r="D7526" s="8">
        <v>25</v>
      </c>
      <c r="E7526" s="8">
        <v>0</v>
      </c>
      <c r="F7526" s="8">
        <v>2</v>
      </c>
    </row>
    <row r="7527" spans="1:6" ht="12.75">
      <c r="A7527" s="8">
        <v>43901.588946759264</v>
      </c>
      <c r="B7527" s="8" t="str">
        <f>HYPERLINK("https://twitter.com/PunkHijauann_","@PunkHijauann_")</f>
        <v>@PunkHijauann_</v>
      </c>
      <c r="C7527" s="8" t="s">
        <v>2790</v>
      </c>
      <c r="D7527" s="8">
        <v>170</v>
      </c>
      <c r="E7527" s="8">
        <v>0</v>
      </c>
      <c r="F7527" s="8">
        <v>93</v>
      </c>
    </row>
    <row r="7528" spans="1:6" ht="12.75">
      <c r="A7528" s="8">
        <v>43901.58871527778</v>
      </c>
      <c r="B7528" s="8" t="str">
        <f>HYPERLINK("https://twitter.com/PojokNU","@PojokNU")</f>
        <v>@PojokNU</v>
      </c>
      <c r="C7528" s="8" t="s">
        <v>3592</v>
      </c>
      <c r="D7528" s="8">
        <v>0</v>
      </c>
      <c r="E7528" s="8">
        <v>0</v>
      </c>
      <c r="F7528" s="8">
        <v>708</v>
      </c>
    </row>
    <row r="7529" spans="1:6" ht="12.75">
      <c r="A7529" s="8">
        <v>43901.588518518518</v>
      </c>
      <c r="B7529" s="8" t="str">
        <f>HYPERLINK("https://twitter.com/ukaoen","@ukaoen")</f>
        <v>@ukaoen</v>
      </c>
      <c r="C7529" s="8" t="s">
        <v>2790</v>
      </c>
      <c r="D7529" s="8">
        <v>170</v>
      </c>
      <c r="E7529" s="8">
        <v>0</v>
      </c>
      <c r="F7529" s="8">
        <v>144</v>
      </c>
    </row>
    <row r="7530" spans="1:6" ht="12.75">
      <c r="A7530" s="8">
        <v>43901.58829861111</v>
      </c>
      <c r="B7530" s="8" t="str">
        <f>HYPERLINK("https://twitter.com/bimadhi93","@bimadhi93")</f>
        <v>@bimadhi93</v>
      </c>
      <c r="C7530" s="8" t="s">
        <v>3593</v>
      </c>
      <c r="D7530" s="8">
        <v>0</v>
      </c>
      <c r="E7530" s="8">
        <v>0</v>
      </c>
      <c r="F7530" s="8">
        <v>216</v>
      </c>
    </row>
    <row r="7531" spans="1:6" ht="12.75">
      <c r="A7531" s="8">
        <v>43901.588148148148</v>
      </c>
      <c r="B7531" s="8" t="str">
        <f>HYPERLINK("https://twitter.com/MuyawanS","@MuyawanS")</f>
        <v>@MuyawanS</v>
      </c>
      <c r="C7531" s="8" t="s">
        <v>3594</v>
      </c>
      <c r="D7531" s="8">
        <v>0</v>
      </c>
      <c r="E7531" s="8">
        <v>0</v>
      </c>
      <c r="F7531" s="8">
        <v>1106</v>
      </c>
    </row>
    <row r="7532" spans="1:6" ht="12.75">
      <c r="A7532" s="8">
        <v>43901.588113425925</v>
      </c>
      <c r="B7532" s="8" t="str">
        <f>HYPERLINK("https://twitter.com/fitrinhelisa","@fitrinhelisa")</f>
        <v>@fitrinhelisa</v>
      </c>
      <c r="C7532" s="8" t="s">
        <v>2790</v>
      </c>
      <c r="D7532" s="8">
        <v>170</v>
      </c>
      <c r="E7532" s="8">
        <v>0</v>
      </c>
      <c r="F7532" s="8">
        <v>1336</v>
      </c>
    </row>
    <row r="7533" spans="1:6" ht="12.75">
      <c r="A7533" s="8">
        <v>43901.58798611111</v>
      </c>
      <c r="B7533" s="8" t="str">
        <f>HYPERLINK("https://twitter.com/Kampay10","@Kampay10")</f>
        <v>@Kampay10</v>
      </c>
      <c r="C7533" s="8" t="s">
        <v>1186</v>
      </c>
      <c r="D7533" s="8">
        <v>342</v>
      </c>
      <c r="E7533" s="8">
        <v>0</v>
      </c>
      <c r="F7533" s="8">
        <v>1357</v>
      </c>
    </row>
    <row r="7534" spans="1:6" ht="12.75">
      <c r="A7534" s="8">
        <v>43901.587835648148</v>
      </c>
      <c r="B7534" s="8" t="str">
        <f>HYPERLINK("https://twitter.com/idhokdl","@idhokdl")</f>
        <v>@idhokdl</v>
      </c>
      <c r="C7534" s="8" t="s">
        <v>2227</v>
      </c>
      <c r="D7534" s="8">
        <v>5</v>
      </c>
      <c r="E7534" s="8">
        <v>0</v>
      </c>
      <c r="F7534" s="8">
        <v>8</v>
      </c>
    </row>
    <row r="7535" spans="1:6" ht="12.75">
      <c r="A7535" s="8">
        <v>43901.587685185186</v>
      </c>
      <c r="B7535" s="8" t="str">
        <f>HYPERLINK("https://twitter.com/dolcemaria738","@dolcemaria738")</f>
        <v>@dolcemaria738</v>
      </c>
      <c r="C7535" s="8" t="s">
        <v>104</v>
      </c>
      <c r="D7535" s="8">
        <v>82</v>
      </c>
      <c r="E7535" s="8">
        <v>0</v>
      </c>
      <c r="F7535" s="8">
        <v>229</v>
      </c>
    </row>
    <row r="7536" spans="1:6" ht="12.75">
      <c r="A7536" s="8">
        <v>43901.587650462963</v>
      </c>
      <c r="B7536" s="8" t="str">
        <f>HYPERLINK("https://twitter.com/0j0093","@0j0093")</f>
        <v>@0j0093</v>
      </c>
      <c r="C7536" s="8" t="s">
        <v>3595</v>
      </c>
      <c r="D7536" s="8">
        <v>1</v>
      </c>
      <c r="E7536" s="8">
        <v>0</v>
      </c>
      <c r="F7536" s="8">
        <v>1905</v>
      </c>
    </row>
    <row r="7537" spans="1:6" ht="12.75">
      <c r="A7537" s="8">
        <v>43901.587534722217</v>
      </c>
      <c r="B7537" s="8" t="str">
        <f>HYPERLINK("https://twitter.com/ravenclaow","@ravenclaow")</f>
        <v>@ravenclaow</v>
      </c>
      <c r="C7537" s="8" t="s">
        <v>2790</v>
      </c>
      <c r="D7537" s="8">
        <v>170</v>
      </c>
      <c r="E7537" s="8">
        <v>0</v>
      </c>
      <c r="F7537" s="8">
        <v>11596</v>
      </c>
    </row>
    <row r="7538" spans="1:6" ht="12.75">
      <c r="A7538" s="8">
        <v>43901.586979166663</v>
      </c>
      <c r="B7538" s="8" t="str">
        <f>HYPERLINK("https://twitter.com/zinyo_albanyo","@zinyo_albanyo")</f>
        <v>@zinyo_albanyo</v>
      </c>
      <c r="C7538" s="8" t="s">
        <v>2989</v>
      </c>
      <c r="D7538" s="8">
        <v>91</v>
      </c>
      <c r="E7538" s="8">
        <v>0</v>
      </c>
      <c r="F7538" s="8">
        <v>700</v>
      </c>
    </row>
    <row r="7539" spans="1:6" ht="12.75">
      <c r="A7539" s="8">
        <v>43901.586770833332</v>
      </c>
      <c r="B7539" s="8" t="str">
        <f>HYPERLINK("https://twitter.com/translatorbali","@translatorbali")</f>
        <v>@translatorbali</v>
      </c>
      <c r="C7539" s="8" t="s">
        <v>3596</v>
      </c>
      <c r="D7539" s="8">
        <v>1</v>
      </c>
      <c r="E7539" s="8">
        <v>0</v>
      </c>
      <c r="F7539" s="8">
        <v>3876</v>
      </c>
    </row>
    <row r="7540" spans="1:6" ht="12.75">
      <c r="A7540" s="8">
        <v>43901.585833333331</v>
      </c>
      <c r="B7540" s="8" t="str">
        <f>HYPERLINK("https://twitter.com/nfnyunyu","@nfnyunyu")</f>
        <v>@nfnyunyu</v>
      </c>
      <c r="C7540" s="8" t="s">
        <v>3597</v>
      </c>
      <c r="D7540" s="8">
        <v>0</v>
      </c>
      <c r="E7540" s="8">
        <v>0</v>
      </c>
      <c r="F7540" s="8">
        <v>594</v>
      </c>
    </row>
    <row r="7541" spans="1:6" ht="12.75">
      <c r="A7541" s="8">
        <v>43901.585810185185</v>
      </c>
      <c r="B7541" s="8" t="str">
        <f>HYPERLINK("https://twitter.com/Risaharpitulhaq","@Risaharpitulhaq")</f>
        <v>@Risaharpitulhaq</v>
      </c>
      <c r="C7541" s="8" t="s">
        <v>3598</v>
      </c>
      <c r="D7541" s="8">
        <v>0</v>
      </c>
      <c r="E7541" s="8">
        <v>0</v>
      </c>
      <c r="F7541" s="8">
        <v>2</v>
      </c>
    </row>
    <row r="7542" spans="1:6" ht="12.75">
      <c r="A7542" s="8">
        <v>43901.585023148145</v>
      </c>
      <c r="B7542" s="8" t="str">
        <f>HYPERLINK("https://twitter.com/KorangJang","@KorangJang")</f>
        <v>@KorangJang</v>
      </c>
      <c r="C7542" s="8" t="s">
        <v>1801</v>
      </c>
      <c r="D7542" s="8">
        <v>295</v>
      </c>
      <c r="E7542" s="8">
        <v>0</v>
      </c>
      <c r="F7542" s="8">
        <v>216</v>
      </c>
    </row>
    <row r="7543" spans="1:6" ht="12.75">
      <c r="A7543" s="8">
        <v>43901.584965277776</v>
      </c>
      <c r="B7543" s="8" t="str">
        <f>HYPERLINK("https://twitter.com/TopToross","@TopToross")</f>
        <v>@TopToross</v>
      </c>
      <c r="C7543" s="8" t="s">
        <v>3599</v>
      </c>
      <c r="D7543" s="8">
        <v>1</v>
      </c>
      <c r="E7543" s="8">
        <v>0</v>
      </c>
      <c r="F7543" s="8">
        <v>3289</v>
      </c>
    </row>
    <row r="7544" spans="1:6" ht="12.75">
      <c r="A7544" s="8">
        <v>43901.584872685184</v>
      </c>
      <c r="B7544" s="8" t="str">
        <f>HYPERLINK("https://twitter.com/Tany98761","@Tany98761")</f>
        <v>@Tany98761</v>
      </c>
      <c r="C7544" s="8" t="s">
        <v>3600</v>
      </c>
      <c r="D7544" s="8">
        <v>0</v>
      </c>
      <c r="E7544" s="8">
        <v>0</v>
      </c>
      <c r="F7544" s="8">
        <v>120</v>
      </c>
    </row>
    <row r="7545" spans="1:6" ht="12.75">
      <c r="A7545" s="8">
        <v>43901.584629629629</v>
      </c>
      <c r="B7545" s="8" t="str">
        <f>HYPERLINK("https://twitter.com/TopToross","@TopToross")</f>
        <v>@TopToross</v>
      </c>
      <c r="C7545" s="8" t="s">
        <v>3601</v>
      </c>
      <c r="D7545" s="8">
        <v>2</v>
      </c>
      <c r="E7545" s="8">
        <v>0</v>
      </c>
      <c r="F7545" s="8">
        <v>3289</v>
      </c>
    </row>
    <row r="7546" spans="1:6" ht="12.75">
      <c r="A7546" s="8">
        <v>43901.584618055553</v>
      </c>
      <c r="B7546" s="8" t="str">
        <f>HYPERLINK("https://twitter.com/sukabumiazam","@sukabumiazam")</f>
        <v>@sukabumiazam</v>
      </c>
      <c r="C7546" s="8" t="s">
        <v>2989</v>
      </c>
      <c r="D7546" s="8">
        <v>91</v>
      </c>
      <c r="E7546" s="8">
        <v>0</v>
      </c>
      <c r="F7546" s="8">
        <v>451</v>
      </c>
    </row>
    <row r="7547" spans="1:6" ht="12.75">
      <c r="A7547" s="8">
        <v>43901.584525462968</v>
      </c>
      <c r="B7547" s="8" t="str">
        <f>HYPERLINK("https://twitter.com/bungdree","@bungdree")</f>
        <v>@bungdree</v>
      </c>
      <c r="C7547" s="8" t="s">
        <v>1186</v>
      </c>
      <c r="D7547" s="8">
        <v>342</v>
      </c>
      <c r="E7547" s="8">
        <v>0</v>
      </c>
      <c r="F7547" s="8">
        <v>10814</v>
      </c>
    </row>
    <row r="7548" spans="1:6" ht="12.75">
      <c r="A7548" s="8">
        <v>43901.584444444445</v>
      </c>
      <c r="B7548" s="8" t="str">
        <f>HYPERLINK("https://twitter.com/SahabatER","@SahabatER")</f>
        <v>@SahabatER</v>
      </c>
      <c r="C7548" s="8" t="s">
        <v>3545</v>
      </c>
      <c r="D7548" s="8">
        <v>15</v>
      </c>
      <c r="E7548" s="8">
        <v>0</v>
      </c>
      <c r="F7548" s="8">
        <v>109</v>
      </c>
    </row>
    <row r="7549" spans="1:6" ht="12.75">
      <c r="A7549" s="8">
        <v>43901.584363425922</v>
      </c>
      <c r="B7549" s="8" t="str">
        <f>HYPERLINK("https://twitter.com/badanpurwanto","@badanpurwanto")</f>
        <v>@badanpurwanto</v>
      </c>
      <c r="C7549" s="8" t="s">
        <v>3602</v>
      </c>
      <c r="D7549" s="8">
        <v>0</v>
      </c>
      <c r="E7549" s="8">
        <v>0</v>
      </c>
      <c r="F7549" s="8">
        <v>660</v>
      </c>
    </row>
    <row r="7550" spans="1:6" ht="12.75">
      <c r="A7550" s="8">
        <v>43901.584328703699</v>
      </c>
      <c r="B7550" s="8" t="str">
        <f>HYPERLINK("https://twitter.com/TopToross","@TopToross")</f>
        <v>@TopToross</v>
      </c>
      <c r="C7550" s="8" t="s">
        <v>3603</v>
      </c>
      <c r="D7550" s="8">
        <v>2</v>
      </c>
      <c r="E7550" s="8">
        <v>0</v>
      </c>
      <c r="F7550" s="8">
        <v>3289</v>
      </c>
    </row>
    <row r="7551" spans="1:6" ht="12.75">
      <c r="A7551" s="8">
        <v>43901.58430555556</v>
      </c>
      <c r="B7551" s="8" t="str">
        <f>HYPERLINK("https://twitter.com/AhokGozali","@AhokGozali")</f>
        <v>@AhokGozali</v>
      </c>
      <c r="C7551" s="8" t="s">
        <v>104</v>
      </c>
      <c r="D7551" s="8">
        <v>82</v>
      </c>
      <c r="E7551" s="8">
        <v>0</v>
      </c>
      <c r="F7551" s="8">
        <v>14</v>
      </c>
    </row>
    <row r="7552" spans="1:6" ht="12.75">
      <c r="A7552" s="8">
        <v>43901.584282407406</v>
      </c>
      <c r="B7552" s="8" t="str">
        <f>HYPERLINK("https://twitter.com/TopToross","@TopToross")</f>
        <v>@TopToross</v>
      </c>
      <c r="C7552" s="8" t="s">
        <v>3604</v>
      </c>
      <c r="D7552" s="8">
        <v>2</v>
      </c>
      <c r="E7552" s="8">
        <v>0</v>
      </c>
      <c r="F7552" s="8">
        <v>3289</v>
      </c>
    </row>
    <row r="7553" spans="1:6" ht="12.75">
      <c r="A7553" s="8">
        <v>43901.584027777775</v>
      </c>
      <c r="B7553" s="8" t="str">
        <f>HYPERLINK("https://twitter.com/indonesia_sk","@indonesia_sk")</f>
        <v>@indonesia_sk</v>
      </c>
      <c r="C7553" s="8" t="s">
        <v>2177</v>
      </c>
      <c r="D7553" s="8">
        <v>50</v>
      </c>
      <c r="E7553" s="8">
        <v>0</v>
      </c>
      <c r="F7553" s="8">
        <v>1068</v>
      </c>
    </row>
    <row r="7554" spans="1:6" ht="12.75">
      <c r="A7554" s="8">
        <v>43901.583761574075</v>
      </c>
      <c r="B7554" s="8" t="str">
        <f>HYPERLINK("https://twitter.com/AEPishere","@AEPishere")</f>
        <v>@AEPishere</v>
      </c>
      <c r="C7554" s="8" t="s">
        <v>3605</v>
      </c>
      <c r="D7554" s="8">
        <v>1</v>
      </c>
      <c r="E7554" s="8">
        <v>0</v>
      </c>
      <c r="F7554" s="8">
        <v>3009</v>
      </c>
    </row>
    <row r="7555" spans="1:6" ht="12.75">
      <c r="A7555" s="8">
        <v>43901.583726851852</v>
      </c>
      <c r="B7555" s="8" t="str">
        <f>HYPERLINK("https://twitter.com/yenti64407225","@yenti64407225")</f>
        <v>@yenti64407225</v>
      </c>
      <c r="C7555" s="8" t="s">
        <v>104</v>
      </c>
      <c r="D7555" s="8">
        <v>82</v>
      </c>
      <c r="E7555" s="8">
        <v>0</v>
      </c>
      <c r="F7555" s="8">
        <v>80</v>
      </c>
    </row>
    <row r="7556" spans="1:6" ht="12.75">
      <c r="A7556" s="8">
        <v>43901.583449074074</v>
      </c>
      <c r="B7556" s="8" t="str">
        <f>HYPERLINK("https://twitter.com/JoeBudi991","@JoeBudi991")</f>
        <v>@JoeBudi991</v>
      </c>
      <c r="C7556" s="8" t="s">
        <v>3606</v>
      </c>
      <c r="D7556" s="8">
        <v>0</v>
      </c>
      <c r="E7556" s="8">
        <v>0</v>
      </c>
      <c r="F7556" s="8">
        <v>2</v>
      </c>
    </row>
    <row r="7557" spans="1:6" ht="12.75">
      <c r="A7557" s="8">
        <v>43901.583275462966</v>
      </c>
      <c r="B7557" s="8" t="str">
        <f>HYPERLINK("https://twitter.com/landofrooz","@landofrooz")</f>
        <v>@landofrooz</v>
      </c>
      <c r="C7557" s="8" t="s">
        <v>2989</v>
      </c>
      <c r="D7557" s="8">
        <v>91</v>
      </c>
      <c r="E7557" s="8">
        <v>0</v>
      </c>
      <c r="F7557" s="8">
        <v>309</v>
      </c>
    </row>
    <row r="7558" spans="1:6" ht="12.75">
      <c r="A7558" s="8">
        <v>43901.583113425921</v>
      </c>
      <c r="B7558" s="8" t="str">
        <f>HYPERLINK("https://twitter.com/frzlongcatz","@frzlongcatz")</f>
        <v>@frzlongcatz</v>
      </c>
      <c r="C7558" s="8" t="s">
        <v>3607</v>
      </c>
      <c r="D7558" s="8">
        <v>4</v>
      </c>
      <c r="E7558" s="8">
        <v>0</v>
      </c>
      <c r="F7558" s="8">
        <v>562</v>
      </c>
    </row>
    <row r="7559" spans="1:6" ht="12.75">
      <c r="A7559" s="8">
        <v>43901.583101851851</v>
      </c>
      <c r="B7559" s="8" t="str">
        <f>HYPERLINK("https://twitter.com/_RKBR_","@_RKBR_")</f>
        <v>@_RKBR_</v>
      </c>
      <c r="C7559" s="8" t="s">
        <v>2790</v>
      </c>
      <c r="D7559" s="8">
        <v>170</v>
      </c>
      <c r="E7559" s="8">
        <v>0</v>
      </c>
      <c r="F7559" s="8">
        <v>516</v>
      </c>
    </row>
    <row r="7560" spans="1:6" ht="12.75">
      <c r="A7560" s="8">
        <v>43901.582916666666</v>
      </c>
      <c r="B7560" s="8" t="str">
        <f>HYPERLINK("https://twitter.com/TitoJalu","@TitoJalu")</f>
        <v>@TitoJalu</v>
      </c>
      <c r="C7560" s="8" t="s">
        <v>2989</v>
      </c>
      <c r="D7560" s="8">
        <v>91</v>
      </c>
      <c r="E7560" s="8">
        <v>0</v>
      </c>
      <c r="F7560" s="8">
        <v>9054</v>
      </c>
    </row>
    <row r="7561" spans="1:6" ht="12.75">
      <c r="A7561" s="8">
        <v>43901.582719907412</v>
      </c>
      <c r="B7561" s="8" t="str">
        <f>HYPERLINK("https://twitter.com/NaviriMag","@NaviriMag")</f>
        <v>@NaviriMag</v>
      </c>
      <c r="C7561" s="8" t="s">
        <v>3608</v>
      </c>
      <c r="D7561" s="8">
        <v>0</v>
      </c>
      <c r="E7561" s="8">
        <v>0</v>
      </c>
      <c r="F7561" s="8">
        <v>1353</v>
      </c>
    </row>
    <row r="7562" spans="1:6" ht="12.75">
      <c r="A7562" s="8">
        <v>43901.582615740743</v>
      </c>
      <c r="B7562" s="8" t="str">
        <f>HYPERLINK("https://twitter.com/RezimTipuDaya","@RezimTipuDaya")</f>
        <v>@RezimTipuDaya</v>
      </c>
      <c r="C7562" s="8" t="s">
        <v>318</v>
      </c>
      <c r="D7562" s="8">
        <v>1317</v>
      </c>
      <c r="E7562" s="8">
        <v>0</v>
      </c>
      <c r="F7562" s="8">
        <v>2132</v>
      </c>
    </row>
    <row r="7563" spans="1:6" ht="12.75">
      <c r="A7563" s="8">
        <v>43901.582511574074</v>
      </c>
      <c r="B7563" s="8" t="str">
        <f>HYPERLINK("https://twitter.com/JackyLatuhihin","@JackyLatuhihin")</f>
        <v>@JackyLatuhihin</v>
      </c>
      <c r="C7563" s="8" t="s">
        <v>3609</v>
      </c>
      <c r="D7563" s="8">
        <v>0</v>
      </c>
      <c r="E7563" s="8">
        <v>0</v>
      </c>
      <c r="F7563" s="8">
        <v>64</v>
      </c>
    </row>
    <row r="7564" spans="1:6" ht="12.75">
      <c r="A7564" s="8">
        <v>43901.582395833335</v>
      </c>
      <c r="B7564" s="8" t="str">
        <f>HYPERLINK("https://twitter.com/yasnnin","@yasnnin")</f>
        <v>@yasnnin</v>
      </c>
      <c r="C7564" s="8" t="s">
        <v>104</v>
      </c>
      <c r="D7564" s="8">
        <v>82</v>
      </c>
      <c r="E7564" s="8">
        <v>0</v>
      </c>
      <c r="F7564" s="8">
        <v>126</v>
      </c>
    </row>
    <row r="7565" spans="1:6" ht="12.75">
      <c r="A7565" s="8">
        <v>43901.581909722227</v>
      </c>
      <c r="B7565" s="8" t="str">
        <f>HYPERLINK("https://twitter.com/ahmad_chm","@ahmad_chm")</f>
        <v>@ahmad_chm</v>
      </c>
      <c r="C7565" s="8" t="s">
        <v>318</v>
      </c>
      <c r="D7565" s="8">
        <v>1317</v>
      </c>
      <c r="E7565" s="8">
        <v>0</v>
      </c>
      <c r="F7565" s="8">
        <v>1917</v>
      </c>
    </row>
    <row r="7566" spans="1:6" ht="12.75">
      <c r="A7566" s="8">
        <v>43901.581909722227</v>
      </c>
      <c r="B7566" s="8" t="str">
        <f>HYPERLINK("https://twitter.com/p3bi","@p3bi")</f>
        <v>@p3bi</v>
      </c>
      <c r="C7566" s="8" t="s">
        <v>104</v>
      </c>
      <c r="D7566" s="8">
        <v>82</v>
      </c>
      <c r="E7566" s="8">
        <v>0</v>
      </c>
      <c r="F7566" s="8">
        <v>467</v>
      </c>
    </row>
    <row r="7567" spans="1:6" ht="12.75">
      <c r="A7567" s="8">
        <v>43901.58184027778</v>
      </c>
      <c r="B7567" s="8" t="str">
        <f>HYPERLINK("https://twitter.com/kbrimanama","@kbrimanama")</f>
        <v>@kbrimanama</v>
      </c>
      <c r="C7567" s="8" t="s">
        <v>2177</v>
      </c>
      <c r="D7567" s="8">
        <v>50</v>
      </c>
      <c r="E7567" s="8">
        <v>0</v>
      </c>
      <c r="F7567" s="8">
        <v>1432</v>
      </c>
    </row>
    <row r="7568" spans="1:6" ht="12.75">
      <c r="A7568" s="8">
        <v>43901.581574074073</v>
      </c>
      <c r="B7568" s="8" t="str">
        <f>HYPERLINK("https://twitter.com/KadrunHunter99","@KadrunHunter99")</f>
        <v>@KadrunHunter99</v>
      </c>
      <c r="C7568" s="8" t="s">
        <v>3610</v>
      </c>
      <c r="D7568" s="8">
        <v>0</v>
      </c>
      <c r="E7568" s="8">
        <v>0</v>
      </c>
      <c r="F7568" s="8">
        <v>4237</v>
      </c>
    </row>
    <row r="7569" spans="1:6" ht="12.75">
      <c r="A7569" s="8">
        <v>43901.581238425926</v>
      </c>
      <c r="B7569" s="8" t="str">
        <f>HYPERLINK("https://twitter.com/Mey1mey1","@Mey1mey1")</f>
        <v>@Mey1mey1</v>
      </c>
      <c r="C7569" s="8" t="s">
        <v>318</v>
      </c>
      <c r="D7569" s="8">
        <v>1317</v>
      </c>
      <c r="E7569" s="8">
        <v>0</v>
      </c>
      <c r="F7569" s="8">
        <v>34</v>
      </c>
    </row>
    <row r="7570" spans="1:6" ht="12.75">
      <c r="A7570" s="8">
        <v>43901.580821759257</v>
      </c>
      <c r="B7570" s="8" t="str">
        <f>HYPERLINK("https://twitter.com/andriashfahani","@andriashfahani")</f>
        <v>@andriashfahani</v>
      </c>
      <c r="C7570" s="8" t="s">
        <v>104</v>
      </c>
      <c r="D7570" s="8">
        <v>82</v>
      </c>
      <c r="E7570" s="8">
        <v>0</v>
      </c>
      <c r="F7570" s="8">
        <v>1678</v>
      </c>
    </row>
    <row r="7571" spans="1:6" ht="12.75">
      <c r="A7571" s="8">
        <v>43901.580497685187</v>
      </c>
      <c r="B7571" s="8" t="str">
        <f>HYPERLINK("https://twitter.com/Cintain09670662","@Cintain09670662")</f>
        <v>@Cintain09670662</v>
      </c>
      <c r="C7571" s="8" t="s">
        <v>897</v>
      </c>
      <c r="D7571" s="8">
        <v>0</v>
      </c>
      <c r="E7571" s="8">
        <v>0</v>
      </c>
      <c r="F7571" s="8">
        <v>1</v>
      </c>
    </row>
    <row r="7572" spans="1:6" ht="12.75">
      <c r="A7572" s="8">
        <v>43901.580243055556</v>
      </c>
      <c r="B7572" s="8" t="str">
        <f>HYPERLINK("https://twitter.com/Indoharian","@Indoharian")</f>
        <v>@Indoharian</v>
      </c>
      <c r="C7572" s="8" t="s">
        <v>3611</v>
      </c>
      <c r="D7572" s="8">
        <v>0</v>
      </c>
      <c r="E7572" s="8">
        <v>0</v>
      </c>
      <c r="F7572" s="8">
        <v>84</v>
      </c>
    </row>
    <row r="7573" spans="1:6" ht="12.75">
      <c r="A7573" s="8">
        <v>43901.580208333333</v>
      </c>
      <c r="B7573" s="8" t="str">
        <f>HYPERLINK("https://twitter.com/RosaHerdiansyah","@RosaHerdiansyah")</f>
        <v>@RosaHerdiansyah</v>
      </c>
      <c r="C7573" s="8" t="s">
        <v>3607</v>
      </c>
      <c r="D7573" s="8">
        <v>4</v>
      </c>
      <c r="E7573" s="8">
        <v>0</v>
      </c>
      <c r="F7573" s="8">
        <v>2476</v>
      </c>
    </row>
    <row r="7574" spans="1:6" ht="12.75">
      <c r="A7574" s="8">
        <v>43901.580150462964</v>
      </c>
      <c r="B7574" s="8" t="str">
        <f>HYPERLINK("https://twitter.com/jengsri_ss","@jengsri_ss")</f>
        <v>@jengsri_ss</v>
      </c>
      <c r="C7574" s="8" t="s">
        <v>104</v>
      </c>
      <c r="D7574" s="8">
        <v>82</v>
      </c>
      <c r="E7574" s="8">
        <v>0</v>
      </c>
      <c r="F7574" s="8">
        <v>355</v>
      </c>
    </row>
    <row r="7575" spans="1:6" ht="12.75">
      <c r="A7575" s="8">
        <v>43901.579884259263</v>
      </c>
      <c r="B7575" s="8" t="str">
        <f>HYPERLINK("https://twitter.com/DedehKu95290849","@DedehKu95290849")</f>
        <v>@DedehKu95290849</v>
      </c>
      <c r="C7575" s="8" t="s">
        <v>2989</v>
      </c>
      <c r="D7575" s="8">
        <v>91</v>
      </c>
      <c r="E7575" s="8">
        <v>0</v>
      </c>
      <c r="F7575" s="8">
        <v>420</v>
      </c>
    </row>
    <row r="7576" spans="1:6" ht="12.75">
      <c r="A7576" s="8">
        <v>43901.579722222217</v>
      </c>
      <c r="B7576" s="8" t="str">
        <f>HYPERLINK("https://twitter.com/fujoshi232","@fujoshi232")</f>
        <v>@fujoshi232</v>
      </c>
      <c r="C7576" s="8" t="s">
        <v>2790</v>
      </c>
      <c r="D7576" s="8">
        <v>170</v>
      </c>
      <c r="E7576" s="8">
        <v>0</v>
      </c>
      <c r="F7576" s="8">
        <v>286</v>
      </c>
    </row>
    <row r="7577" spans="1:6" ht="12.75">
      <c r="A7577" s="8">
        <v>43901.579664351855</v>
      </c>
      <c r="B7577" s="8" t="str">
        <f>HYPERLINK("https://twitter.com/ridhatobing","@ridhatobing")</f>
        <v>@ridhatobing</v>
      </c>
      <c r="C7577" s="8" t="s">
        <v>3607</v>
      </c>
      <c r="D7577" s="8">
        <v>4</v>
      </c>
      <c r="E7577" s="8">
        <v>0</v>
      </c>
      <c r="F7577" s="8">
        <v>440</v>
      </c>
    </row>
    <row r="7578" spans="1:6" ht="12.75">
      <c r="A7578" s="8">
        <v>43901.578842592593</v>
      </c>
      <c r="B7578" s="8" t="str">
        <f>HYPERLINK("https://twitter.com/raamiramiraa","@raamiramiraa")</f>
        <v>@raamiramiraa</v>
      </c>
      <c r="C7578" s="8" t="s">
        <v>2790</v>
      </c>
      <c r="D7578" s="8">
        <v>170</v>
      </c>
      <c r="E7578" s="8">
        <v>0</v>
      </c>
      <c r="F7578" s="8">
        <v>955</v>
      </c>
    </row>
    <row r="7579" spans="1:6" ht="12.75">
      <c r="A7579" s="8">
        <v>43901.578831018516</v>
      </c>
      <c r="B7579" s="8" t="str">
        <f>HYPERLINK("https://twitter.com/idyllicsequoia","@idyllicsequoia")</f>
        <v>@idyllicsequoia</v>
      </c>
      <c r="C7579" s="8" t="s">
        <v>3607</v>
      </c>
      <c r="D7579" s="8">
        <v>4</v>
      </c>
      <c r="E7579" s="8">
        <v>0</v>
      </c>
      <c r="F7579" s="8">
        <v>310</v>
      </c>
    </row>
    <row r="7580" spans="1:6" ht="12.75">
      <c r="A7580" s="8">
        <v>43901.578472222223</v>
      </c>
      <c r="B7580" s="8" t="str">
        <f>HYPERLINK("https://twitter.com/khrnnsamtrvania","@khrnnsamtrvania")</f>
        <v>@khrnnsamtrvania</v>
      </c>
      <c r="C7580" s="8" t="s">
        <v>104</v>
      </c>
      <c r="D7580" s="8">
        <v>82</v>
      </c>
      <c r="E7580" s="8">
        <v>0</v>
      </c>
      <c r="F7580" s="8">
        <v>510</v>
      </c>
    </row>
    <row r="7581" spans="1:6" ht="12.75">
      <c r="A7581" s="8">
        <v>43901.578414351854</v>
      </c>
      <c r="B7581" s="8" t="str">
        <f>HYPERLINK("https://twitter.com/kjridubai","@kjridubai")</f>
        <v>@kjridubai</v>
      </c>
      <c r="C7581" s="8" t="s">
        <v>3612</v>
      </c>
      <c r="D7581" s="8">
        <v>1</v>
      </c>
      <c r="E7581" s="8">
        <v>1</v>
      </c>
      <c r="F7581" s="8">
        <v>1530</v>
      </c>
    </row>
    <row r="7582" spans="1:6" ht="12.75">
      <c r="A7582" s="8">
        <v>43901.578287037039</v>
      </c>
      <c r="B7582" s="8" t="str">
        <f>HYPERLINK("https://twitter.com/mjenar2","@mjenar2")</f>
        <v>@mjenar2</v>
      </c>
      <c r="C7582" s="8" t="s">
        <v>2989</v>
      </c>
      <c r="D7582" s="8">
        <v>91</v>
      </c>
      <c r="E7582" s="8">
        <v>0</v>
      </c>
      <c r="F7582" s="8">
        <v>473</v>
      </c>
    </row>
    <row r="7583" spans="1:6" ht="12.75">
      <c r="A7583" s="8">
        <v>43901.578171296293</v>
      </c>
      <c r="B7583" s="8" t="str">
        <f>HYPERLINK("https://twitter.com/BruceEmond","@BruceEmond")</f>
        <v>@BruceEmond</v>
      </c>
      <c r="C7583" s="8" t="s">
        <v>3613</v>
      </c>
      <c r="D7583" s="8">
        <v>4</v>
      </c>
      <c r="E7583" s="8">
        <v>3</v>
      </c>
      <c r="F7583" s="8">
        <v>28134</v>
      </c>
    </row>
    <row r="7584" spans="1:6" ht="12.75">
      <c r="A7584" s="8">
        <v>43901.577905092592</v>
      </c>
      <c r="B7584" s="8" t="str">
        <f>HYPERLINK("https://twitter.com/eko_wi","@eko_wi")</f>
        <v>@eko_wi</v>
      </c>
      <c r="C7584" s="8" t="s">
        <v>104</v>
      </c>
      <c r="D7584" s="8">
        <v>82</v>
      </c>
      <c r="E7584" s="8">
        <v>0</v>
      </c>
      <c r="F7584" s="8">
        <v>3727</v>
      </c>
    </row>
    <row r="7585" spans="1:6" ht="12.75">
      <c r="A7585" s="8">
        <v>43901.577418981484</v>
      </c>
      <c r="B7585" s="8" t="str">
        <f>HYPERLINK("https://twitter.com/elvaeh","@elvaeh")</f>
        <v>@elvaeh</v>
      </c>
      <c r="C7585" s="8" t="s">
        <v>2790</v>
      </c>
      <c r="D7585" s="8">
        <v>170</v>
      </c>
      <c r="E7585" s="8">
        <v>0</v>
      </c>
      <c r="F7585" s="8">
        <v>590</v>
      </c>
    </row>
    <row r="7586" spans="1:6" ht="12.75">
      <c r="A7586" s="8">
        <v>43901.577407407407</v>
      </c>
      <c r="B7586" s="8" t="str">
        <f>HYPERLINK("https://twitter.com/imus28","@imus28")</f>
        <v>@imus28</v>
      </c>
      <c r="C7586" s="8" t="s">
        <v>1186</v>
      </c>
      <c r="D7586" s="8">
        <v>342</v>
      </c>
      <c r="E7586" s="8">
        <v>0</v>
      </c>
      <c r="F7586" s="8">
        <v>906</v>
      </c>
    </row>
    <row r="7587" spans="1:6" ht="12.75">
      <c r="A7587" s="8">
        <v>43901.577384259261</v>
      </c>
      <c r="B7587" s="8" t="str">
        <f>HYPERLINK("https://twitter.com/girlonamovie","@girlonamovie")</f>
        <v>@girlonamovie</v>
      </c>
      <c r="C7587" s="8" t="s">
        <v>2790</v>
      </c>
      <c r="D7587" s="8">
        <v>170</v>
      </c>
      <c r="E7587" s="8">
        <v>0</v>
      </c>
      <c r="F7587" s="8">
        <v>580</v>
      </c>
    </row>
    <row r="7588" spans="1:6" ht="12.75">
      <c r="A7588" s="8">
        <v>43901.577361111107</v>
      </c>
      <c r="B7588" s="8" t="str">
        <f>HYPERLINK("https://twitter.com/kbenaranHakiki","@kbenaranHakiki")</f>
        <v>@kbenaranHakiki</v>
      </c>
      <c r="C7588" s="8" t="s">
        <v>3614</v>
      </c>
      <c r="D7588" s="8">
        <v>0</v>
      </c>
      <c r="E7588" s="8">
        <v>0</v>
      </c>
      <c r="F7588" s="8">
        <v>1415</v>
      </c>
    </row>
    <row r="7589" spans="1:6" ht="12.75">
      <c r="A7589" s="8">
        <v>43901.577337962968</v>
      </c>
      <c r="B7589" s="8" t="str">
        <f>HYPERLINK("https://twitter.com/FutureOfKJH","@FutureOfKJH")</f>
        <v>@FutureOfKJH</v>
      </c>
      <c r="C7589" s="8" t="s">
        <v>2790</v>
      </c>
      <c r="D7589" s="8">
        <v>170</v>
      </c>
      <c r="E7589" s="8">
        <v>0</v>
      </c>
      <c r="F7589" s="8">
        <v>1849</v>
      </c>
    </row>
    <row r="7590" spans="1:6" ht="12.75">
      <c r="A7590" s="8">
        <v>43901.577303240745</v>
      </c>
      <c r="B7590" s="8" t="str">
        <f>HYPERLINK("https://twitter.com/alfarisi_fahmi","@alfarisi_fahmi")</f>
        <v>@alfarisi_fahmi</v>
      </c>
      <c r="C7590" s="8" t="s">
        <v>2790</v>
      </c>
      <c r="D7590" s="8">
        <v>170</v>
      </c>
      <c r="E7590" s="8">
        <v>0</v>
      </c>
      <c r="F7590" s="8">
        <v>608</v>
      </c>
    </row>
    <row r="7591" spans="1:6" ht="12.75">
      <c r="A7591" s="8">
        <v>43901.577303240745</v>
      </c>
      <c r="B7591" s="8" t="str">
        <f>HYPERLINK("https://twitter.com/AEPishere","@AEPishere")</f>
        <v>@AEPishere</v>
      </c>
      <c r="C7591" s="8" t="s">
        <v>104</v>
      </c>
      <c r="D7591" s="8">
        <v>82</v>
      </c>
      <c r="E7591" s="8">
        <v>0</v>
      </c>
      <c r="F7591" s="8">
        <v>3009</v>
      </c>
    </row>
    <row r="7592" spans="1:6" ht="12.75">
      <c r="A7592" s="8">
        <v>43901.57707175926</v>
      </c>
      <c r="B7592" s="8" t="str">
        <f>HYPERLINK("https://twitter.com/doyantempe","@doyantempe")</f>
        <v>@doyantempe</v>
      </c>
      <c r="C7592" s="8" t="s">
        <v>104</v>
      </c>
      <c r="D7592" s="8">
        <v>82</v>
      </c>
      <c r="E7592" s="8">
        <v>0</v>
      </c>
      <c r="F7592" s="8">
        <v>55</v>
      </c>
    </row>
    <row r="7593" spans="1:6" ht="12.75">
      <c r="A7593" s="8">
        <v>43901.577002314814</v>
      </c>
      <c r="B7593" s="8" t="str">
        <f>HYPERLINK("https://twitter.com/nakaaaa28","@nakaaaa28")</f>
        <v>@nakaaaa28</v>
      </c>
      <c r="C7593" s="8" t="s">
        <v>3615</v>
      </c>
      <c r="D7593" s="8">
        <v>1</v>
      </c>
      <c r="E7593" s="8">
        <v>1</v>
      </c>
      <c r="F7593" s="8">
        <v>163</v>
      </c>
    </row>
    <row r="7594" spans="1:6" ht="12.75">
      <c r="A7594" s="8">
        <v>43901.577002314814</v>
      </c>
      <c r="B7594" s="8" t="str">
        <f>HYPERLINK("https://twitter.com/kbenaranHakiki","@kbenaranHakiki")</f>
        <v>@kbenaranHakiki</v>
      </c>
      <c r="C7594" s="8" t="s">
        <v>3616</v>
      </c>
      <c r="D7594" s="8">
        <v>0</v>
      </c>
      <c r="E7594" s="8">
        <v>0</v>
      </c>
      <c r="F7594" s="8">
        <v>1415</v>
      </c>
    </row>
    <row r="7595" spans="1:6" ht="12.75">
      <c r="A7595" s="8">
        <v>43901.576898148152</v>
      </c>
      <c r="B7595" s="8" t="str">
        <f>HYPERLINK("https://twitter.com/najaemjen","@najaemjen")</f>
        <v>@najaemjen</v>
      </c>
      <c r="C7595" s="8" t="s">
        <v>2790</v>
      </c>
      <c r="D7595" s="8">
        <v>170</v>
      </c>
      <c r="E7595" s="8">
        <v>0</v>
      </c>
      <c r="F7595" s="8">
        <v>249</v>
      </c>
    </row>
    <row r="7596" spans="1:6" ht="12.75">
      <c r="A7596" s="8">
        <v>43901.576724537037</v>
      </c>
      <c r="B7596" s="8" t="str">
        <f>HYPERLINK("https://twitter.com/agama_nusantara","@agama_nusantara")</f>
        <v>@agama_nusantara</v>
      </c>
      <c r="C7596" s="8" t="s">
        <v>3617</v>
      </c>
      <c r="D7596" s="8">
        <v>99</v>
      </c>
      <c r="E7596" s="8">
        <v>0</v>
      </c>
      <c r="F7596" s="8">
        <v>7512</v>
      </c>
    </row>
    <row r="7597" spans="1:6" ht="12.75">
      <c r="A7597" s="8">
        <v>43901.576701388884</v>
      </c>
      <c r="B7597" s="8" t="str">
        <f>HYPERLINK("https://twitter.com/egaharianto555","@egaharianto555")</f>
        <v>@egaharianto555</v>
      </c>
      <c r="C7597" s="8" t="s">
        <v>897</v>
      </c>
      <c r="D7597" s="8">
        <v>0</v>
      </c>
      <c r="E7597" s="8">
        <v>0</v>
      </c>
      <c r="F7597" s="8">
        <v>3</v>
      </c>
    </row>
    <row r="7598" spans="1:6" ht="12.75">
      <c r="A7598" s="8">
        <v>43901.576678240745</v>
      </c>
      <c r="B7598" s="8" t="str">
        <f>HYPERLINK("https://twitter.com/aanwarsholeh1","@aanwarsholeh1")</f>
        <v>@aanwarsholeh1</v>
      </c>
      <c r="C7598" s="8" t="s">
        <v>1304</v>
      </c>
      <c r="D7598" s="8">
        <v>18</v>
      </c>
      <c r="E7598" s="8">
        <v>0</v>
      </c>
      <c r="F7598" s="8">
        <v>29</v>
      </c>
    </row>
    <row r="7599" spans="1:6" ht="12.75">
      <c r="A7599" s="8">
        <v>43901.576458333337</v>
      </c>
      <c r="B7599" s="8" t="str">
        <f>HYPERLINK("https://twitter.com/AchmadAndrego","@AchmadAndrego")</f>
        <v>@AchmadAndrego</v>
      </c>
      <c r="C7599" s="8" t="s">
        <v>1801</v>
      </c>
      <c r="D7599" s="8">
        <v>295</v>
      </c>
      <c r="E7599" s="8">
        <v>0</v>
      </c>
      <c r="F7599" s="8">
        <v>302</v>
      </c>
    </row>
    <row r="7600" spans="1:6" ht="12.75">
      <c r="A7600" s="8">
        <v>43901.576354166667</v>
      </c>
      <c r="B7600" s="8" t="str">
        <f>HYPERLINK("https://twitter.com/SinthaS5","@SinthaS5")</f>
        <v>@SinthaS5</v>
      </c>
      <c r="C7600" s="8" t="s">
        <v>1801</v>
      </c>
      <c r="D7600" s="8">
        <v>295</v>
      </c>
      <c r="E7600" s="8">
        <v>0</v>
      </c>
      <c r="F7600" s="8">
        <v>13763</v>
      </c>
    </row>
    <row r="7601" spans="1:6" ht="12.75">
      <c r="A7601" s="8">
        <v>43901.576261574075</v>
      </c>
      <c r="B7601" s="8" t="str">
        <f>HYPERLINK("https://twitter.com/icdrrlumboh","@icdrrlumboh")</f>
        <v>@icdrrlumboh</v>
      </c>
      <c r="C7601" s="8" t="s">
        <v>104</v>
      </c>
      <c r="D7601" s="8">
        <v>82</v>
      </c>
      <c r="E7601" s="8">
        <v>0</v>
      </c>
      <c r="F7601" s="8">
        <v>517</v>
      </c>
    </row>
    <row r="7602" spans="1:6" ht="12.75">
      <c r="A7602" s="8">
        <v>43901.576180555552</v>
      </c>
      <c r="B7602" s="8" t="str">
        <f>HYPERLINK("https://twitter.com/Susanto95252285","@Susanto95252285")</f>
        <v>@Susanto95252285</v>
      </c>
      <c r="C7602" s="8" t="s">
        <v>318</v>
      </c>
      <c r="D7602" s="8">
        <v>1317</v>
      </c>
      <c r="E7602" s="8">
        <v>0</v>
      </c>
      <c r="F7602" s="8">
        <v>69</v>
      </c>
    </row>
    <row r="7603" spans="1:6" ht="12.75">
      <c r="A7603" s="8">
        <v>43901.575798611113</v>
      </c>
      <c r="B7603" s="8" t="str">
        <f t="shared" ref="B7603:B7604" si="133">HYPERLINK("https://twitter.com/kbenaranHakiki","@kbenaranHakiki")</f>
        <v>@kbenaranHakiki</v>
      </c>
      <c r="C7603" s="8" t="s">
        <v>3618</v>
      </c>
      <c r="D7603" s="8">
        <v>0</v>
      </c>
      <c r="E7603" s="8">
        <v>0</v>
      </c>
      <c r="F7603" s="8">
        <v>1415</v>
      </c>
    </row>
    <row r="7604" spans="1:6" ht="12.75">
      <c r="A7604" s="8">
        <v>43901.575682870374</v>
      </c>
      <c r="B7604" s="8" t="str">
        <f t="shared" si="133"/>
        <v>@kbenaranHakiki</v>
      </c>
      <c r="C7604" s="8" t="s">
        <v>3619</v>
      </c>
      <c r="D7604" s="8">
        <v>0</v>
      </c>
      <c r="E7604" s="8">
        <v>0</v>
      </c>
      <c r="F7604" s="8">
        <v>1415</v>
      </c>
    </row>
    <row r="7605" spans="1:6" ht="12.75">
      <c r="A7605" s="8">
        <v>43901.575613425928</v>
      </c>
      <c r="B7605" s="8" t="str">
        <f>HYPERLINK("https://twitter.com/WawanAja2020","@WawanAja2020")</f>
        <v>@WawanAja2020</v>
      </c>
      <c r="C7605" s="8" t="s">
        <v>3620</v>
      </c>
      <c r="D7605" s="8">
        <v>0</v>
      </c>
      <c r="E7605" s="8">
        <v>0</v>
      </c>
      <c r="F7605" s="8">
        <v>12</v>
      </c>
    </row>
    <row r="7606" spans="1:6" ht="12.75">
      <c r="A7606" s="8">
        <v>43901.575300925921</v>
      </c>
      <c r="B7606" s="8" t="str">
        <f>HYPERLINK("https://twitter.com/AdyKuswanto999","@AdyKuswanto999")</f>
        <v>@AdyKuswanto999</v>
      </c>
      <c r="C7606" s="8" t="s">
        <v>3621</v>
      </c>
      <c r="D7606" s="8">
        <v>0</v>
      </c>
      <c r="E7606" s="8">
        <v>0</v>
      </c>
      <c r="F7606" s="8">
        <v>370</v>
      </c>
    </row>
    <row r="7607" spans="1:6" ht="12.75">
      <c r="A7607" s="8">
        <v>43901.574965277774</v>
      </c>
      <c r="B7607" s="8" t="str">
        <f>HYPERLINK("https://twitter.com/Nabila_Sasi","@Nabila_Sasi")</f>
        <v>@Nabila_Sasi</v>
      </c>
      <c r="C7607" s="8" t="s">
        <v>2715</v>
      </c>
      <c r="D7607" s="8">
        <v>25</v>
      </c>
      <c r="E7607" s="8">
        <v>0</v>
      </c>
      <c r="F7607" s="8">
        <v>932</v>
      </c>
    </row>
    <row r="7608" spans="1:6" ht="12.75">
      <c r="A7608" s="8">
        <v>43901.574942129635</v>
      </c>
      <c r="B7608" s="8" t="str">
        <f>HYPERLINK("https://twitter.com/kbenaranHakiki","@kbenaranHakiki")</f>
        <v>@kbenaranHakiki</v>
      </c>
      <c r="C7608" s="8" t="s">
        <v>3622</v>
      </c>
      <c r="D7608" s="8">
        <v>0</v>
      </c>
      <c r="E7608" s="8">
        <v>0</v>
      </c>
      <c r="F7608" s="8">
        <v>1415</v>
      </c>
    </row>
    <row r="7609" spans="1:6" ht="12.75">
      <c r="A7609" s="8">
        <v>43901.574837962966</v>
      </c>
      <c r="B7609" s="8" t="str">
        <f>HYPERLINK("https://twitter.com/jawapos","@jawapos")</f>
        <v>@jawapos</v>
      </c>
      <c r="C7609" s="8" t="s">
        <v>3623</v>
      </c>
      <c r="D7609" s="8">
        <v>1</v>
      </c>
      <c r="E7609" s="8">
        <v>1</v>
      </c>
      <c r="F7609" s="8">
        <v>128788</v>
      </c>
    </row>
    <row r="7610" spans="1:6" ht="12.75">
      <c r="A7610" s="8">
        <v>43901.574837962966</v>
      </c>
      <c r="B7610" s="8" t="str">
        <f>HYPERLINK("https://twitter.com/arandra6","@arandra6")</f>
        <v>@arandra6</v>
      </c>
      <c r="C7610" s="8" t="s">
        <v>3624</v>
      </c>
      <c r="D7610" s="8">
        <v>0</v>
      </c>
      <c r="E7610" s="8">
        <v>0</v>
      </c>
      <c r="F7610" s="8">
        <v>491</v>
      </c>
    </row>
    <row r="7611" spans="1:6" ht="12.75">
      <c r="A7611" s="8">
        <v>43901.574814814812</v>
      </c>
      <c r="B7611" s="8" t="str">
        <f>HYPERLINK("https://twitter.com/kbenaranHakiki","@kbenaranHakiki")</f>
        <v>@kbenaranHakiki</v>
      </c>
      <c r="C7611" s="8" t="s">
        <v>3625</v>
      </c>
      <c r="D7611" s="8">
        <v>0</v>
      </c>
      <c r="E7611" s="8">
        <v>0</v>
      </c>
      <c r="F7611" s="8">
        <v>1415</v>
      </c>
    </row>
    <row r="7612" spans="1:6" ht="12.75">
      <c r="A7612" s="8">
        <v>43901.574594907404</v>
      </c>
      <c r="B7612" s="8" t="str">
        <f>HYPERLINK("https://twitter.com/willi_bagus","@willi_bagus")</f>
        <v>@willi_bagus</v>
      </c>
      <c r="C7612" s="8" t="s">
        <v>2790</v>
      </c>
      <c r="D7612" s="8">
        <v>170</v>
      </c>
      <c r="E7612" s="8">
        <v>0</v>
      </c>
      <c r="F7612" s="8">
        <v>638</v>
      </c>
    </row>
    <row r="7613" spans="1:6" ht="12.75">
      <c r="A7613" s="8">
        <v>43901.574571759258</v>
      </c>
      <c r="B7613" s="8" t="str">
        <f>HYPERLINK("https://twitter.com/EmesisMuslim","@EmesisMuslim")</f>
        <v>@EmesisMuslim</v>
      </c>
      <c r="C7613" s="8" t="s">
        <v>1186</v>
      </c>
      <c r="D7613" s="8">
        <v>342</v>
      </c>
      <c r="E7613" s="8">
        <v>0</v>
      </c>
      <c r="F7613" s="8">
        <v>1173</v>
      </c>
    </row>
    <row r="7614" spans="1:6" ht="12.75">
      <c r="A7614" s="8">
        <v>43901.574444444443</v>
      </c>
      <c r="B7614" s="8" t="str">
        <f>HYPERLINK("https://twitter.com/Altopic_","@Altopic_")</f>
        <v>@Altopic_</v>
      </c>
      <c r="C7614" s="8" t="s">
        <v>2790</v>
      </c>
      <c r="D7614" s="8">
        <v>170</v>
      </c>
      <c r="E7614" s="8">
        <v>0</v>
      </c>
      <c r="F7614" s="8">
        <v>182</v>
      </c>
    </row>
    <row r="7615" spans="1:6" ht="12.75">
      <c r="A7615" s="8">
        <v>43901.57435185185</v>
      </c>
      <c r="B7615" s="8" t="str">
        <f>HYPERLINK("https://twitter.com/gizleyz","@gizleyz")</f>
        <v>@gizleyz</v>
      </c>
      <c r="C7615" s="8" t="s">
        <v>104</v>
      </c>
      <c r="D7615" s="8">
        <v>82</v>
      </c>
      <c r="E7615" s="8">
        <v>0</v>
      </c>
      <c r="F7615" s="8">
        <v>264</v>
      </c>
    </row>
    <row r="7616" spans="1:6" ht="12.75">
      <c r="A7616" s="8">
        <v>43901.574259259258</v>
      </c>
      <c r="B7616" s="8" t="str">
        <f>HYPERLINK("https://twitter.com/bangmeokja","@bangmeokja")</f>
        <v>@bangmeokja</v>
      </c>
      <c r="C7616" s="8" t="s">
        <v>3626</v>
      </c>
      <c r="D7616" s="8">
        <v>0</v>
      </c>
      <c r="E7616" s="8">
        <v>0</v>
      </c>
      <c r="F7616" s="8">
        <v>1157</v>
      </c>
    </row>
    <row r="7617" spans="1:6" ht="12.75">
      <c r="A7617" s="8">
        <v>43901.57408564815</v>
      </c>
      <c r="B7617" s="8" t="str">
        <f>HYPERLINK("https://twitter.com/wuuu265","@wuuu265")</f>
        <v>@wuuu265</v>
      </c>
      <c r="C7617" s="8" t="s">
        <v>2790</v>
      </c>
      <c r="D7617" s="8">
        <v>170</v>
      </c>
      <c r="E7617" s="8">
        <v>0</v>
      </c>
      <c r="F7617" s="8">
        <v>296</v>
      </c>
    </row>
    <row r="7618" spans="1:6" ht="12.75">
      <c r="A7618" s="8">
        <v>43901.573912037042</v>
      </c>
      <c r="B7618" s="8" t="str">
        <f>HYPERLINK("https://twitter.com/annisasurya30","@annisasurya30")</f>
        <v>@annisasurya30</v>
      </c>
      <c r="C7618" s="8" t="s">
        <v>104</v>
      </c>
      <c r="D7618" s="8">
        <v>82</v>
      </c>
      <c r="E7618" s="8">
        <v>0</v>
      </c>
      <c r="F7618" s="8">
        <v>499</v>
      </c>
    </row>
    <row r="7619" spans="1:6" ht="12.75">
      <c r="A7619" s="8">
        <v>43901.573831018519</v>
      </c>
      <c r="B7619" s="8" t="str">
        <f>HYPERLINK("https://twitter.com/DjoelianJoestar","@DjoelianJoestar")</f>
        <v>@DjoelianJoestar</v>
      </c>
      <c r="C7619" s="8" t="s">
        <v>2790</v>
      </c>
      <c r="D7619" s="8">
        <v>170</v>
      </c>
      <c r="E7619" s="8">
        <v>0</v>
      </c>
      <c r="F7619" s="8">
        <v>286</v>
      </c>
    </row>
    <row r="7620" spans="1:6" ht="12.75">
      <c r="A7620" s="8">
        <v>43901.548402777778</v>
      </c>
      <c r="B7620" s="8" t="str">
        <f>HYPERLINK("https://twitter.com/choihanie","@choihanie")</f>
        <v>@choihanie</v>
      </c>
      <c r="C7620" s="8" t="s">
        <v>2790</v>
      </c>
      <c r="D7620" s="8">
        <v>100</v>
      </c>
      <c r="E7620" s="8">
        <v>0</v>
      </c>
      <c r="F7620" s="8">
        <v>1023</v>
      </c>
    </row>
    <row r="7621" spans="1:6" ht="12.75">
      <c r="A7621" s="8">
        <v>43901.548217592594</v>
      </c>
      <c r="B7621" s="8" t="str">
        <f>HYPERLINK("https://twitter.com/pedang_manthili","@pedang_manthili")</f>
        <v>@pedang_manthili</v>
      </c>
      <c r="C7621" s="8" t="s">
        <v>318</v>
      </c>
      <c r="D7621" s="8">
        <v>1304</v>
      </c>
      <c r="E7621" s="8">
        <v>0</v>
      </c>
      <c r="F7621" s="8">
        <v>310</v>
      </c>
    </row>
    <row r="7622" spans="1:6" ht="12.75">
      <c r="A7622" s="8">
        <v>43901.547800925924</v>
      </c>
      <c r="B7622" s="8" t="str">
        <f>HYPERLINK("https://twitter.com/papa_sulung01","@papa_sulung01")</f>
        <v>@papa_sulung01</v>
      </c>
      <c r="C7622" s="8" t="s">
        <v>3627</v>
      </c>
      <c r="D7622" s="8">
        <v>0</v>
      </c>
      <c r="E7622" s="8">
        <v>0</v>
      </c>
      <c r="F7622" s="8">
        <v>10</v>
      </c>
    </row>
    <row r="7623" spans="1:6" ht="12.75">
      <c r="A7623" s="8">
        <v>43901.547800925924</v>
      </c>
      <c r="B7623" s="8" t="str">
        <f>HYPERLINK("https://twitter.com/khlasnikov","@khlasnikov")</f>
        <v>@khlasnikov</v>
      </c>
      <c r="C7623" s="8" t="s">
        <v>2790</v>
      </c>
      <c r="D7623" s="8">
        <v>100</v>
      </c>
      <c r="E7623" s="8">
        <v>0</v>
      </c>
      <c r="F7623" s="8">
        <v>79</v>
      </c>
    </row>
    <row r="7624" spans="1:6" ht="12.75">
      <c r="A7624" s="8">
        <v>43901.547164351854</v>
      </c>
      <c r="B7624" s="8" t="str">
        <f>HYPERLINK("https://twitter.com/kbenaranHakiki","@kbenaranHakiki")</f>
        <v>@kbenaranHakiki</v>
      </c>
      <c r="C7624" s="8" t="s">
        <v>3628</v>
      </c>
      <c r="D7624" s="8">
        <v>0</v>
      </c>
      <c r="E7624" s="8">
        <v>0</v>
      </c>
      <c r="F7624" s="8">
        <v>1415</v>
      </c>
    </row>
    <row r="7625" spans="1:6" ht="12.75">
      <c r="A7625" s="8">
        <v>43901.547094907408</v>
      </c>
      <c r="B7625" s="8" t="str">
        <f>HYPERLINK("https://twitter.com/alanesia","@alanesia")</f>
        <v>@alanesia</v>
      </c>
      <c r="C7625" s="8" t="s">
        <v>2790</v>
      </c>
      <c r="D7625" s="8">
        <v>100</v>
      </c>
      <c r="E7625" s="8">
        <v>0</v>
      </c>
      <c r="F7625" s="8">
        <v>247</v>
      </c>
    </row>
    <row r="7626" spans="1:6" ht="12.75">
      <c r="A7626" s="8">
        <v>43901.546979166669</v>
      </c>
      <c r="B7626" s="8" t="str">
        <f>HYPERLINK("https://twitter.com/AbhishekLathar_","@AbhishekLathar_")</f>
        <v>@AbhishekLathar_</v>
      </c>
      <c r="C7626" s="8" t="s">
        <v>3629</v>
      </c>
      <c r="D7626" s="8">
        <v>0</v>
      </c>
      <c r="E7626" s="8">
        <v>0</v>
      </c>
      <c r="F7626" s="8">
        <v>23</v>
      </c>
    </row>
    <row r="7627" spans="1:6" ht="12.75">
      <c r="A7627" s="8">
        <v>43901.546921296293</v>
      </c>
      <c r="B7627" s="8" t="str">
        <f>HYPERLINK("https://twitter.com/fendizoei9","@fendizoei9")</f>
        <v>@fendizoei9</v>
      </c>
      <c r="C7627" s="8" t="s">
        <v>3630</v>
      </c>
      <c r="D7627" s="8">
        <v>0</v>
      </c>
      <c r="E7627" s="8">
        <v>0</v>
      </c>
      <c r="F7627" s="8">
        <v>44</v>
      </c>
    </row>
    <row r="7628" spans="1:6" ht="12.75">
      <c r="A7628" s="8">
        <v>43901.546724537038</v>
      </c>
      <c r="B7628" s="8" t="str">
        <f>HYPERLINK("https://twitter.com/dyo_uchi","@dyo_uchi")</f>
        <v>@dyo_uchi</v>
      </c>
      <c r="C7628" s="8" t="s">
        <v>2790</v>
      </c>
      <c r="D7628" s="8">
        <v>100</v>
      </c>
      <c r="E7628" s="8">
        <v>0</v>
      </c>
      <c r="F7628" s="8">
        <v>98</v>
      </c>
    </row>
    <row r="7629" spans="1:6" ht="12.75">
      <c r="A7629" s="8">
        <v>43901.546655092592</v>
      </c>
      <c r="B7629" s="8" t="str">
        <f>HYPERLINK("https://twitter.com/KelianBanjar_GK","@KelianBanjar_GK")</f>
        <v>@KelianBanjar_GK</v>
      </c>
      <c r="C7629" s="8" t="s">
        <v>2715</v>
      </c>
      <c r="D7629" s="8">
        <v>13</v>
      </c>
      <c r="E7629" s="8">
        <v>0</v>
      </c>
      <c r="F7629" s="8">
        <v>8883</v>
      </c>
    </row>
    <row r="7630" spans="1:6" ht="12.75">
      <c r="A7630" s="8">
        <v>43901.546643518523</v>
      </c>
      <c r="B7630" s="8" t="str">
        <f>HYPERLINK("https://twitter.com/SagaSantorini","@SagaSantorini")</f>
        <v>@SagaSantorini</v>
      </c>
      <c r="C7630" s="8" t="s">
        <v>2715</v>
      </c>
      <c r="D7630" s="8">
        <v>13</v>
      </c>
      <c r="E7630" s="8">
        <v>0</v>
      </c>
      <c r="F7630" s="8">
        <v>44</v>
      </c>
    </row>
    <row r="7631" spans="1:6" ht="12.75">
      <c r="A7631" s="8">
        <v>43901.546319444446</v>
      </c>
      <c r="B7631" s="8" t="str">
        <f>HYPERLINK("https://twitter.com/alpin_aktam18","@alpin_aktam18")</f>
        <v>@alpin_aktam18</v>
      </c>
      <c r="C7631" s="8" t="s">
        <v>3631</v>
      </c>
      <c r="D7631" s="8">
        <v>0</v>
      </c>
      <c r="E7631" s="8">
        <v>0</v>
      </c>
      <c r="F7631" s="8">
        <v>7176</v>
      </c>
    </row>
    <row r="7632" spans="1:6" ht="12.75">
      <c r="A7632" s="8">
        <v>43901.545902777776</v>
      </c>
      <c r="B7632" s="8" t="str">
        <f>HYPERLINK("https://twitter.com/fans_ayanami","@fans_ayanami")</f>
        <v>@fans_ayanami</v>
      </c>
      <c r="C7632" s="8" t="s">
        <v>1186</v>
      </c>
      <c r="D7632" s="8">
        <v>328</v>
      </c>
      <c r="E7632" s="8">
        <v>0</v>
      </c>
      <c r="F7632" s="8">
        <v>467</v>
      </c>
    </row>
    <row r="7633" spans="1:6" ht="12.75">
      <c r="A7633" s="8">
        <v>43901.545787037037</v>
      </c>
      <c r="B7633" s="8" t="str">
        <f>HYPERLINK("https://twitter.com/Kuadran5","@Kuadran5")</f>
        <v>@Kuadran5</v>
      </c>
      <c r="C7633" s="8" t="s">
        <v>2790</v>
      </c>
      <c r="D7633" s="8">
        <v>100</v>
      </c>
      <c r="E7633" s="8">
        <v>0</v>
      </c>
      <c r="F7633" s="8">
        <v>157</v>
      </c>
    </row>
    <row r="7634" spans="1:6" ht="12.75">
      <c r="A7634" s="8">
        <v>43901.545416666668</v>
      </c>
      <c r="B7634" s="8" t="str">
        <f>HYPERLINK("https://twitter.com/aqibabay","@aqibabay")</f>
        <v>@aqibabay</v>
      </c>
      <c r="C7634" s="8" t="s">
        <v>318</v>
      </c>
      <c r="D7634" s="8">
        <v>1304</v>
      </c>
      <c r="E7634" s="8">
        <v>0</v>
      </c>
      <c r="F7634" s="8">
        <v>496</v>
      </c>
    </row>
    <row r="7635" spans="1:6" ht="12.75">
      <c r="A7635" s="8">
        <v>43901.545416666668</v>
      </c>
      <c r="B7635" s="8" t="str">
        <f>HYPERLINK("https://twitter.com/TipolTipol1","@TipolTipol1")</f>
        <v>@TipolTipol1</v>
      </c>
      <c r="C7635" s="8" t="s">
        <v>1186</v>
      </c>
      <c r="D7635" s="8">
        <v>328</v>
      </c>
      <c r="E7635" s="8">
        <v>0</v>
      </c>
      <c r="F7635" s="8">
        <v>1524</v>
      </c>
    </row>
    <row r="7636" spans="1:6" ht="12.75">
      <c r="A7636" s="8">
        <v>43901.544722222221</v>
      </c>
      <c r="B7636" s="8" t="str">
        <f>HYPERLINK("https://twitter.com/bellaroulina","@bellaroulina")</f>
        <v>@bellaroulina</v>
      </c>
      <c r="C7636" s="8" t="s">
        <v>3632</v>
      </c>
      <c r="D7636" s="8">
        <v>0</v>
      </c>
      <c r="E7636" s="8">
        <v>0</v>
      </c>
      <c r="F7636" s="8">
        <v>1219</v>
      </c>
    </row>
    <row r="7637" spans="1:6" ht="12.75">
      <c r="A7637" s="8">
        <v>43901.544166666667</v>
      </c>
      <c r="B7637" s="8" t="str">
        <f>HYPERLINK("https://twitter.com/arjuno_ireng01","@arjuno_ireng01")</f>
        <v>@arjuno_ireng01</v>
      </c>
      <c r="C7637" s="8" t="s">
        <v>2715</v>
      </c>
      <c r="D7637" s="8">
        <v>13</v>
      </c>
      <c r="E7637" s="8">
        <v>0</v>
      </c>
      <c r="F7637" s="8">
        <v>11297</v>
      </c>
    </row>
    <row r="7638" spans="1:6" ht="12.75">
      <c r="A7638" s="8">
        <v>43901.543946759259</v>
      </c>
      <c r="B7638" s="8" t="str">
        <f>HYPERLINK("https://twitter.com/TriwidodoAries","@TriwidodoAries")</f>
        <v>@TriwidodoAries</v>
      </c>
      <c r="C7638" s="8" t="s">
        <v>3633</v>
      </c>
      <c r="D7638" s="8">
        <v>14</v>
      </c>
      <c r="E7638" s="8">
        <v>0</v>
      </c>
      <c r="F7638" s="8">
        <v>180</v>
      </c>
    </row>
    <row r="7639" spans="1:6" ht="12.75">
      <c r="A7639" s="8">
        <v>43901.543749999997</v>
      </c>
      <c r="B7639" s="8" t="str">
        <f>HYPERLINK("https://twitter.com/Qolybri_8216","@Qolybri_8216")</f>
        <v>@Qolybri_8216</v>
      </c>
      <c r="C7639" s="8" t="s">
        <v>2989</v>
      </c>
      <c r="D7639" s="8">
        <v>71</v>
      </c>
      <c r="E7639" s="8">
        <v>0</v>
      </c>
      <c r="F7639" s="8">
        <v>2120</v>
      </c>
    </row>
    <row r="7640" spans="1:6" ht="12.75">
      <c r="A7640" s="8">
        <v>43901.543645833328</v>
      </c>
      <c r="B7640" s="8" t="str">
        <f>HYPERLINK("https://twitter.com/GhaniFazaA","@GhaniFazaA")</f>
        <v>@GhaniFazaA</v>
      </c>
      <c r="C7640" s="8" t="s">
        <v>2790</v>
      </c>
      <c r="D7640" s="8">
        <v>100</v>
      </c>
      <c r="E7640" s="8">
        <v>0</v>
      </c>
      <c r="F7640" s="8">
        <v>358</v>
      </c>
    </row>
    <row r="7641" spans="1:6" ht="12.75">
      <c r="A7641" s="8">
        <v>43901.543449074074</v>
      </c>
      <c r="B7641" s="8" t="str">
        <f>HYPERLINK("https://twitter.com/ajielito","@ajielito")</f>
        <v>@ajielito</v>
      </c>
      <c r="C7641" s="8" t="s">
        <v>2790</v>
      </c>
      <c r="D7641" s="8">
        <v>100</v>
      </c>
      <c r="E7641" s="8">
        <v>0</v>
      </c>
      <c r="F7641" s="8">
        <v>570</v>
      </c>
    </row>
    <row r="7642" spans="1:6" ht="12.75">
      <c r="A7642" s="8">
        <v>43901.54288194445</v>
      </c>
      <c r="B7642" s="8" t="str">
        <f>HYPERLINK("https://twitter.com/maulinapuspita_","@maulinapuspita_")</f>
        <v>@maulinapuspita_</v>
      </c>
      <c r="C7642" s="8" t="s">
        <v>2790</v>
      </c>
      <c r="D7642" s="8">
        <v>100</v>
      </c>
      <c r="E7642" s="8">
        <v>0</v>
      </c>
      <c r="F7642" s="8">
        <v>135</v>
      </c>
    </row>
    <row r="7643" spans="1:6" ht="12.75">
      <c r="A7643" s="8">
        <v>43901.542812500003</v>
      </c>
      <c r="B7643" s="8" t="str">
        <f>HYPERLINK("https://twitter.com/Galuhramadhania","@Galuhramadhania")</f>
        <v>@Galuhramadhania</v>
      </c>
      <c r="C7643" s="8" t="s">
        <v>2177</v>
      </c>
      <c r="D7643" s="8">
        <v>44</v>
      </c>
      <c r="E7643" s="8">
        <v>0</v>
      </c>
      <c r="F7643" s="8">
        <v>1976</v>
      </c>
    </row>
    <row r="7644" spans="1:6" ht="12.75">
      <c r="A7644" s="8">
        <v>43901.542719907404</v>
      </c>
      <c r="B7644" s="8" t="str">
        <f>HYPERLINK("https://twitter.com/Ordinar38827379","@Ordinar38827379")</f>
        <v>@Ordinar38827379</v>
      </c>
      <c r="C7644" s="8" t="s">
        <v>3634</v>
      </c>
      <c r="D7644" s="8">
        <v>0</v>
      </c>
      <c r="E7644" s="8">
        <v>0</v>
      </c>
      <c r="F7644" s="8">
        <v>27</v>
      </c>
    </row>
    <row r="7645" spans="1:6" ht="12.75">
      <c r="A7645" s="8">
        <v>43901.542557870373</v>
      </c>
      <c r="B7645" s="8" t="str">
        <f>HYPERLINK("https://twitter.com/carolin8810","@carolin8810")</f>
        <v>@carolin8810</v>
      </c>
      <c r="C7645" s="8" t="s">
        <v>2715</v>
      </c>
      <c r="D7645" s="8">
        <v>13</v>
      </c>
      <c r="E7645" s="8">
        <v>0</v>
      </c>
      <c r="F7645" s="8">
        <v>3429</v>
      </c>
    </row>
    <row r="7646" spans="1:6" ht="12.75">
      <c r="A7646" s="8">
        <v>43901.542546296296</v>
      </c>
      <c r="B7646" s="8" t="str">
        <f>HYPERLINK("https://twitter.com/bantengnusa","@bantengnusa")</f>
        <v>@bantengnusa</v>
      </c>
      <c r="C7646" s="8" t="s">
        <v>2715</v>
      </c>
      <c r="D7646" s="8">
        <v>13</v>
      </c>
      <c r="E7646" s="8">
        <v>0</v>
      </c>
      <c r="F7646" s="8">
        <v>454</v>
      </c>
    </row>
    <row r="7647" spans="1:6" ht="12.75">
      <c r="A7647" s="8">
        <v>43901.54206018518</v>
      </c>
      <c r="B7647" s="8" t="str">
        <f>HYPERLINK("https://twitter.com/firdausdwika","@firdausdwika")</f>
        <v>@firdausdwika</v>
      </c>
      <c r="C7647" s="8" t="s">
        <v>2790</v>
      </c>
      <c r="D7647" s="8">
        <v>100</v>
      </c>
      <c r="E7647" s="8">
        <v>0</v>
      </c>
      <c r="F7647" s="8">
        <v>156</v>
      </c>
    </row>
    <row r="7648" spans="1:6" ht="12.75">
      <c r="A7648" s="8">
        <v>43901.541805555556</v>
      </c>
      <c r="B7648" s="8" t="str">
        <f>HYPERLINK("https://twitter.com/Galuhramadhania","@Galuhramadhania")</f>
        <v>@Galuhramadhania</v>
      </c>
      <c r="C7648" s="8" t="s">
        <v>2942</v>
      </c>
      <c r="D7648" s="8">
        <v>16</v>
      </c>
      <c r="E7648" s="8">
        <v>0</v>
      </c>
      <c r="F7648" s="8">
        <v>1976</v>
      </c>
    </row>
    <row r="7649" spans="1:6" ht="12.75">
      <c r="A7649" s="8">
        <v>43901.541643518518</v>
      </c>
      <c r="B7649" s="8" t="str">
        <f>HYPERLINK("https://twitter.com/dagangku","@dagangku")</f>
        <v>@dagangku</v>
      </c>
      <c r="C7649" s="8" t="s">
        <v>3635</v>
      </c>
      <c r="D7649" s="8">
        <v>0</v>
      </c>
      <c r="E7649" s="8">
        <v>0</v>
      </c>
      <c r="F7649" s="8">
        <v>221</v>
      </c>
    </row>
    <row r="7650" spans="1:6" ht="12.75">
      <c r="A7650" s="8">
        <v>43901.541412037041</v>
      </c>
      <c r="B7650" s="8" t="str">
        <f>HYPERLINK("https://twitter.com/Santridusun1","@Santridusun1")</f>
        <v>@Santridusun1</v>
      </c>
      <c r="C7650" s="8" t="s">
        <v>2715</v>
      </c>
      <c r="D7650" s="8">
        <v>13</v>
      </c>
      <c r="E7650" s="8">
        <v>0</v>
      </c>
      <c r="F7650" s="8">
        <v>1278</v>
      </c>
    </row>
    <row r="7651" spans="1:6" ht="12.75">
      <c r="A7651" s="8">
        <v>43901.541354166664</v>
      </c>
      <c r="B7651" s="8" t="str">
        <f>HYPERLINK("https://twitter.com/7int4Putih","@7int4Putih")</f>
        <v>@7int4Putih</v>
      </c>
      <c r="C7651" s="8" t="s">
        <v>2715</v>
      </c>
      <c r="D7651" s="8">
        <v>13</v>
      </c>
      <c r="E7651" s="8">
        <v>0</v>
      </c>
      <c r="F7651" s="8">
        <v>1253</v>
      </c>
    </row>
    <row r="7652" spans="1:6" ht="12.75">
      <c r="A7652" s="8">
        <v>43901.540949074071</v>
      </c>
      <c r="B7652" s="8" t="str">
        <f>HYPERLINK("https://twitter.com/jokoselong","@jokoselong")</f>
        <v>@jokoselong</v>
      </c>
      <c r="C7652" s="8" t="s">
        <v>2790</v>
      </c>
      <c r="D7652" s="8">
        <v>100</v>
      </c>
      <c r="E7652" s="8">
        <v>0</v>
      </c>
      <c r="F7652" s="8">
        <v>1770</v>
      </c>
    </row>
    <row r="7653" spans="1:6" ht="12.75">
      <c r="A7653" s="8">
        <v>43901.540925925925</v>
      </c>
      <c r="B7653" s="8" t="str">
        <f>HYPERLINK("https://twitter.com/AriefsKiyoshi","@AriefsKiyoshi")</f>
        <v>@AriefsKiyoshi</v>
      </c>
      <c r="C7653" s="8" t="s">
        <v>318</v>
      </c>
      <c r="D7653" s="8">
        <v>1304</v>
      </c>
      <c r="E7653" s="8">
        <v>0</v>
      </c>
      <c r="F7653" s="8">
        <v>991</v>
      </c>
    </row>
    <row r="7654" spans="1:6" ht="12.75">
      <c r="A7654" s="8">
        <v>43901.54069444444</v>
      </c>
      <c r="B7654" s="8" t="str">
        <f>HYPERLINK("https://twitter.com/thowel_arema","@thowel_arema")</f>
        <v>@thowel_arema</v>
      </c>
      <c r="C7654" s="8" t="s">
        <v>1801</v>
      </c>
      <c r="D7654" s="8">
        <v>288</v>
      </c>
      <c r="E7654" s="8">
        <v>0</v>
      </c>
      <c r="F7654" s="8">
        <v>374</v>
      </c>
    </row>
    <row r="7655" spans="1:6" ht="12.75">
      <c r="A7655" s="8">
        <v>43901.540497685186</v>
      </c>
      <c r="B7655" s="8" t="str">
        <f>HYPERLINK("https://twitter.com/prty90_ctr","@prty90_ctr")</f>
        <v>@prty90_ctr</v>
      </c>
      <c r="C7655" s="8" t="s">
        <v>2790</v>
      </c>
      <c r="D7655" s="8">
        <v>100</v>
      </c>
      <c r="E7655" s="8">
        <v>0</v>
      </c>
      <c r="F7655" s="8">
        <v>53</v>
      </c>
    </row>
    <row r="7656" spans="1:6" ht="12.75">
      <c r="A7656" s="8">
        <v>43901.540335648147</v>
      </c>
      <c r="B7656" s="8" t="str">
        <f>HYPERLINK("https://twitter.com/AriestaRiico","@AriestaRiico")</f>
        <v>@AriestaRiico</v>
      </c>
      <c r="C7656" s="8" t="s">
        <v>2715</v>
      </c>
      <c r="D7656" s="8">
        <v>13</v>
      </c>
      <c r="E7656" s="8">
        <v>0</v>
      </c>
      <c r="F7656" s="8">
        <v>8048</v>
      </c>
    </row>
    <row r="7657" spans="1:6" ht="12.75">
      <c r="A7657" s="8">
        <v>43901.53969907407</v>
      </c>
      <c r="B7657" s="8" t="str">
        <f>HYPERLINK("https://twitter.com/imnotsatanism","@imnotsatanism")</f>
        <v>@imnotsatanism</v>
      </c>
      <c r="C7657" s="8" t="s">
        <v>2790</v>
      </c>
      <c r="D7657" s="8">
        <v>100</v>
      </c>
      <c r="E7657" s="8">
        <v>0</v>
      </c>
      <c r="F7657" s="8">
        <v>548</v>
      </c>
    </row>
    <row r="7658" spans="1:6" ht="12.75">
      <c r="A7658" s="8">
        <v>43901.539537037039</v>
      </c>
      <c r="B7658" s="8" t="str">
        <f>HYPERLINK("https://twitter.com/tarudin215","@tarudin215")</f>
        <v>@tarudin215</v>
      </c>
      <c r="C7658" s="8" t="s">
        <v>2989</v>
      </c>
      <c r="D7658" s="8">
        <v>71</v>
      </c>
      <c r="E7658" s="8">
        <v>0</v>
      </c>
      <c r="F7658" s="8">
        <v>181</v>
      </c>
    </row>
    <row r="7659" spans="1:6" ht="12.75">
      <c r="A7659" s="8">
        <v>43901.539340277777</v>
      </c>
      <c r="B7659" s="8" t="str">
        <f>HYPERLINK("https://twitter.com/TolakBigotRI","@TolakBigotRI")</f>
        <v>@TolakBigotRI</v>
      </c>
      <c r="C7659" s="8" t="s">
        <v>3636</v>
      </c>
      <c r="D7659" s="8">
        <v>0</v>
      </c>
      <c r="E7659" s="8">
        <v>0</v>
      </c>
      <c r="F7659" s="8">
        <v>26134</v>
      </c>
    </row>
    <row r="7660" spans="1:6" ht="12.75">
      <c r="A7660" s="8">
        <v>43901.539293981477</v>
      </c>
      <c r="B7660" s="8" t="str">
        <f>HYPERLINK("https://twitter.com/ramianAgns","@ramianAgns")</f>
        <v>@ramianAgns</v>
      </c>
      <c r="C7660" s="8" t="s">
        <v>2790</v>
      </c>
      <c r="D7660" s="8">
        <v>100</v>
      </c>
      <c r="E7660" s="8">
        <v>0</v>
      </c>
      <c r="F7660" s="8">
        <v>519</v>
      </c>
    </row>
    <row r="7661" spans="1:6" ht="12.75">
      <c r="A7661" s="8">
        <v>43901.539247685185</v>
      </c>
      <c r="B7661" s="8" t="str">
        <f>HYPERLINK("https://twitter.com/Nesty_Alisa","@Nesty_Alisa")</f>
        <v>@Nesty_Alisa</v>
      </c>
      <c r="C7661" s="8" t="s">
        <v>2790</v>
      </c>
      <c r="D7661" s="8">
        <v>100</v>
      </c>
      <c r="E7661" s="8">
        <v>0</v>
      </c>
      <c r="F7661" s="8">
        <v>447</v>
      </c>
    </row>
    <row r="7662" spans="1:6" ht="12.75">
      <c r="A7662" s="8">
        <v>43901.538530092592</v>
      </c>
      <c r="B7662" s="8" t="str">
        <f>HYPERLINK("https://twitter.com/sialaaaannn","@sialaaaannn")</f>
        <v>@sialaaaannn</v>
      </c>
      <c r="C7662" s="8" t="s">
        <v>3637</v>
      </c>
      <c r="D7662" s="8">
        <v>0</v>
      </c>
      <c r="E7662" s="8">
        <v>0</v>
      </c>
      <c r="F7662" s="8">
        <v>1113</v>
      </c>
    </row>
    <row r="7663" spans="1:6" ht="12.75">
      <c r="A7663" s="8">
        <v>43901.538344907407</v>
      </c>
      <c r="B7663" s="8" t="str">
        <f>HYPERLINK("https://twitter.com/dwiyanaDKM","@dwiyanaDKM")</f>
        <v>@dwiyanaDKM</v>
      </c>
      <c r="C7663" s="8" t="s">
        <v>2715</v>
      </c>
      <c r="D7663" s="8">
        <v>13</v>
      </c>
      <c r="E7663" s="8">
        <v>0</v>
      </c>
      <c r="F7663" s="8">
        <v>2999</v>
      </c>
    </row>
    <row r="7664" spans="1:6" ht="12.75">
      <c r="A7664" s="8">
        <v>43901.538194444445</v>
      </c>
      <c r="B7664" s="8" t="str">
        <f>HYPERLINK("https://twitter.com/4rdn4n","@4rdn4n")</f>
        <v>@4rdn4n</v>
      </c>
      <c r="C7664" s="8" t="s">
        <v>2790</v>
      </c>
      <c r="D7664" s="8">
        <v>100</v>
      </c>
      <c r="E7664" s="8">
        <v>0</v>
      </c>
      <c r="F7664" s="8">
        <v>550</v>
      </c>
    </row>
    <row r="7665" spans="1:6" ht="12.75">
      <c r="A7665" s="8">
        <v>43901.538113425922</v>
      </c>
      <c r="B7665" s="8" t="str">
        <f>HYPERLINK("https://twitter.com/achzam_prabu","@achzam_prabu")</f>
        <v>@achzam_prabu</v>
      </c>
      <c r="C7665" s="8" t="s">
        <v>2715</v>
      </c>
      <c r="D7665" s="8">
        <v>13</v>
      </c>
      <c r="E7665" s="8">
        <v>0</v>
      </c>
      <c r="F7665" s="8">
        <v>4895</v>
      </c>
    </row>
    <row r="7666" spans="1:6" ht="12.75">
      <c r="A7666" s="8">
        <v>43901.538020833337</v>
      </c>
      <c r="B7666" s="8" t="str">
        <f>HYPERLINK("https://twitter.com/AgenS78Bet","@AgenS78Bet")</f>
        <v>@AgenS78Bet</v>
      </c>
      <c r="C7666" s="8" t="s">
        <v>3638</v>
      </c>
      <c r="D7666" s="8">
        <v>0</v>
      </c>
      <c r="E7666" s="8">
        <v>0</v>
      </c>
      <c r="F7666" s="8">
        <v>4995</v>
      </c>
    </row>
    <row r="7667" spans="1:6" ht="12.75">
      <c r="A7667" s="8">
        <v>43901.537812499999</v>
      </c>
      <c r="B7667" s="8" t="str">
        <f>HYPERLINK("https://twitter.com/Supirangkot12","@Supirangkot12")</f>
        <v>@Supirangkot12</v>
      </c>
      <c r="C7667" s="8" t="s">
        <v>2989</v>
      </c>
      <c r="D7667" s="8">
        <v>71</v>
      </c>
      <c r="E7667" s="8">
        <v>0</v>
      </c>
      <c r="F7667" s="8">
        <v>59</v>
      </c>
    </row>
    <row r="7668" spans="1:6" ht="12.75">
      <c r="A7668" s="8">
        <v>43901.537476851852</v>
      </c>
      <c r="B7668" s="8" t="str">
        <f>HYPERLINK("https://twitter.com/septa_fahmi","@septa_fahmi")</f>
        <v>@septa_fahmi</v>
      </c>
      <c r="C7668" s="8" t="s">
        <v>2790</v>
      </c>
      <c r="D7668" s="8">
        <v>100</v>
      </c>
      <c r="E7668" s="8">
        <v>0</v>
      </c>
      <c r="F7668" s="8">
        <v>321</v>
      </c>
    </row>
    <row r="7669" spans="1:6" ht="12.75">
      <c r="A7669" s="8">
        <v>43901.537418981483</v>
      </c>
      <c r="B7669" s="8" t="str">
        <f>HYPERLINK("https://twitter.com/deandry","@deandry")</f>
        <v>@deandry</v>
      </c>
      <c r="C7669" s="8" t="s">
        <v>1186</v>
      </c>
      <c r="D7669" s="8">
        <v>328</v>
      </c>
      <c r="E7669" s="8">
        <v>0</v>
      </c>
      <c r="F7669" s="8">
        <v>2157</v>
      </c>
    </row>
    <row r="7670" spans="1:6" ht="12.75">
      <c r="A7670" s="8">
        <v>43901.537326388891</v>
      </c>
      <c r="B7670" s="8" t="str">
        <f>HYPERLINK("https://twitter.com/AnakLolina","@AnakLolina")</f>
        <v>@AnakLolina</v>
      </c>
      <c r="C7670" s="8" t="s">
        <v>2715</v>
      </c>
      <c r="D7670" s="8">
        <v>13</v>
      </c>
      <c r="E7670" s="8">
        <v>0</v>
      </c>
      <c r="F7670" s="8">
        <v>15313</v>
      </c>
    </row>
    <row r="7671" spans="1:6" ht="12.75">
      <c r="A7671" s="8">
        <v>43901.537141203706</v>
      </c>
      <c r="B7671" s="8" t="str">
        <f>HYPERLINK("https://twitter.com/JanggutMbah","@JanggutMbah")</f>
        <v>@JanggutMbah</v>
      </c>
      <c r="C7671" s="8" t="s">
        <v>2177</v>
      </c>
      <c r="D7671" s="8">
        <v>44</v>
      </c>
      <c r="E7671" s="8">
        <v>0</v>
      </c>
      <c r="F7671" s="8">
        <v>2410</v>
      </c>
    </row>
    <row r="7672" spans="1:6" ht="12.75">
      <c r="A7672" s="8">
        <v>43901.537094907406</v>
      </c>
      <c r="B7672" s="8" t="str">
        <f>HYPERLINK("https://twitter.com/dodi_ahmad07","@dodi_ahmad07")</f>
        <v>@dodi_ahmad07</v>
      </c>
      <c r="C7672" s="8" t="s">
        <v>2715</v>
      </c>
      <c r="D7672" s="8">
        <v>13</v>
      </c>
      <c r="E7672" s="8">
        <v>0</v>
      </c>
      <c r="F7672" s="8">
        <v>643</v>
      </c>
    </row>
    <row r="7673" spans="1:6" ht="12.75">
      <c r="A7673" s="8">
        <v>43901.536423611113</v>
      </c>
      <c r="B7673" s="8" t="str">
        <f>HYPERLINK("https://twitter.com/Hanifah933","@Hanifah933")</f>
        <v>@Hanifah933</v>
      </c>
      <c r="C7673" s="8" t="s">
        <v>3639</v>
      </c>
      <c r="D7673" s="8">
        <v>13</v>
      </c>
      <c r="E7673" s="8">
        <v>20</v>
      </c>
      <c r="F7673" s="8">
        <v>7244</v>
      </c>
    </row>
    <row r="7674" spans="1:6" ht="12.75">
      <c r="A7674" s="8">
        <v>43901.53638888889</v>
      </c>
      <c r="B7674" s="8" t="str">
        <f>HYPERLINK("https://twitter.com/Michael_Jatu","@Michael_Jatu")</f>
        <v>@Michael_Jatu</v>
      </c>
      <c r="C7674" s="8" t="s">
        <v>2790</v>
      </c>
      <c r="D7674" s="8">
        <v>100</v>
      </c>
      <c r="E7674" s="8">
        <v>0</v>
      </c>
      <c r="F7674" s="8">
        <v>609</v>
      </c>
    </row>
    <row r="7675" spans="1:6" ht="12.75">
      <c r="A7675" s="8">
        <v>43901.536261574074</v>
      </c>
      <c r="B7675" s="8" t="str">
        <f>HYPERLINK("https://twitter.com/vannymoonti","@vannymoonti")</f>
        <v>@vannymoonti</v>
      </c>
      <c r="C7675" s="8" t="s">
        <v>2790</v>
      </c>
      <c r="D7675" s="8">
        <v>100</v>
      </c>
      <c r="E7675" s="8">
        <v>0</v>
      </c>
      <c r="F7675" s="8">
        <v>390</v>
      </c>
    </row>
    <row r="7676" spans="1:6" ht="12.75">
      <c r="A7676" s="8">
        <v>43901.535694444443</v>
      </c>
      <c r="B7676" s="8" t="str">
        <f>HYPERLINK("https://twitter.com/dikiis_","@dikiis_")</f>
        <v>@dikiis_</v>
      </c>
      <c r="C7676" s="8" t="s">
        <v>2790</v>
      </c>
      <c r="D7676" s="8">
        <v>100</v>
      </c>
      <c r="E7676" s="8">
        <v>0</v>
      </c>
      <c r="F7676" s="8">
        <v>1785</v>
      </c>
    </row>
    <row r="7677" spans="1:6" ht="12.75">
      <c r="A7677" s="8">
        <v>43901.535451388889</v>
      </c>
      <c r="B7677" s="8" t="str">
        <f>HYPERLINK("https://twitter.com/aaaisyahichaaa","@aaaisyahichaaa")</f>
        <v>@aaaisyahichaaa</v>
      </c>
      <c r="C7677" s="8" t="s">
        <v>2790</v>
      </c>
      <c r="D7677" s="8">
        <v>100</v>
      </c>
      <c r="E7677" s="8">
        <v>0</v>
      </c>
      <c r="F7677" s="8">
        <v>328</v>
      </c>
    </row>
    <row r="7678" spans="1:6" ht="12.75">
      <c r="A7678" s="8">
        <v>43901.53534722222</v>
      </c>
      <c r="B7678" s="8" t="str">
        <f>HYPERLINK("https://twitter.com/JanggutMbah","@JanggutMbah")</f>
        <v>@JanggutMbah</v>
      </c>
      <c r="C7678" s="8" t="s">
        <v>2942</v>
      </c>
      <c r="D7678" s="8">
        <v>16</v>
      </c>
      <c r="E7678" s="8">
        <v>0</v>
      </c>
      <c r="F7678" s="8">
        <v>2410</v>
      </c>
    </row>
    <row r="7679" spans="1:6" ht="12.75">
      <c r="A7679" s="8">
        <v>43901.535185185188</v>
      </c>
      <c r="B7679" s="8" t="str">
        <f>HYPERLINK("https://twitter.com/AlfikriFauzi","@AlfikriFauzi")</f>
        <v>@AlfikriFauzi</v>
      </c>
      <c r="C7679" s="8" t="s">
        <v>2989</v>
      </c>
      <c r="D7679" s="8">
        <v>71</v>
      </c>
      <c r="E7679" s="8">
        <v>0</v>
      </c>
      <c r="F7679" s="8">
        <v>1531</v>
      </c>
    </row>
    <row r="7680" spans="1:6" ht="12.75">
      <c r="A7680" s="8">
        <v>43901.53506944445</v>
      </c>
      <c r="B7680" s="8" t="str">
        <f>HYPERLINK("https://twitter.com/nuyyuliyanti","@nuyyuliyanti")</f>
        <v>@nuyyuliyanti</v>
      </c>
      <c r="C7680" s="8" t="s">
        <v>2790</v>
      </c>
      <c r="D7680" s="8">
        <v>100</v>
      </c>
      <c r="E7680" s="8">
        <v>0</v>
      </c>
      <c r="F7680" s="8">
        <v>62</v>
      </c>
    </row>
    <row r="7681" spans="1:6" ht="12.75">
      <c r="A7681" s="8">
        <v>43901.53502314815</v>
      </c>
      <c r="B7681" s="8" t="str">
        <f>HYPERLINK("https://twitter.com/tjhinfar21","@tjhinfar21")</f>
        <v>@tjhinfar21</v>
      </c>
      <c r="C7681" s="8" t="s">
        <v>3640</v>
      </c>
      <c r="D7681" s="8">
        <v>0</v>
      </c>
      <c r="E7681" s="8">
        <v>1</v>
      </c>
      <c r="F7681" s="8">
        <v>17699</v>
      </c>
    </row>
    <row r="7682" spans="1:6" ht="12.75">
      <c r="A7682" s="8">
        <v>43901.534814814819</v>
      </c>
      <c r="B7682" s="8" t="str">
        <f>HYPERLINK("https://twitter.com/_apelu","@_apelu")</f>
        <v>@_apelu</v>
      </c>
      <c r="C7682" s="8" t="s">
        <v>2790</v>
      </c>
      <c r="D7682" s="8">
        <v>100</v>
      </c>
      <c r="E7682" s="8">
        <v>0</v>
      </c>
      <c r="F7682" s="8">
        <v>308</v>
      </c>
    </row>
    <row r="7683" spans="1:6" ht="12.75">
      <c r="A7683" s="8">
        <v>43901.534386574072</v>
      </c>
      <c r="B7683" s="8" t="str">
        <f>HYPERLINK("https://twitter.com/HadiAdi28","@HadiAdi28")</f>
        <v>@HadiAdi28</v>
      </c>
      <c r="C7683" s="8" t="s">
        <v>1801</v>
      </c>
      <c r="D7683" s="8">
        <v>288</v>
      </c>
      <c r="E7683" s="8">
        <v>0</v>
      </c>
      <c r="F7683" s="8">
        <v>1030</v>
      </c>
    </row>
    <row r="7684" spans="1:6" ht="12.75">
      <c r="A7684" s="8">
        <v>43901.53429398148</v>
      </c>
      <c r="B7684" s="8" t="str">
        <f>HYPERLINK("https://twitter.com/ahmagun13","@ahmagun13")</f>
        <v>@ahmagun13</v>
      </c>
      <c r="C7684" s="8" t="s">
        <v>1186</v>
      </c>
      <c r="D7684" s="8">
        <v>328</v>
      </c>
      <c r="E7684" s="8">
        <v>0</v>
      </c>
      <c r="F7684" s="8">
        <v>367</v>
      </c>
    </row>
    <row r="7685" spans="1:6" ht="12.75">
      <c r="A7685" s="8">
        <v>43901.534212962964</v>
      </c>
      <c r="B7685" s="8" t="str">
        <f>HYPERLINK("https://twitter.com/ghanaginigitu","@ghanaginigitu")</f>
        <v>@ghanaginigitu</v>
      </c>
      <c r="C7685" s="8" t="s">
        <v>3641</v>
      </c>
      <c r="D7685" s="8">
        <v>0</v>
      </c>
      <c r="E7685" s="8">
        <v>0</v>
      </c>
      <c r="F7685" s="8">
        <v>1578</v>
      </c>
    </row>
    <row r="7686" spans="1:6" ht="12.75">
      <c r="A7686" s="8">
        <v>43901.534201388888</v>
      </c>
      <c r="B7686" s="8" t="str">
        <f>HYPERLINK("https://twitter.com/engkongniy","@engkongniy")</f>
        <v>@engkongniy</v>
      </c>
      <c r="C7686" s="8" t="s">
        <v>3501</v>
      </c>
      <c r="D7686" s="8">
        <v>2</v>
      </c>
      <c r="E7686" s="8">
        <v>0</v>
      </c>
      <c r="F7686" s="8">
        <v>13841</v>
      </c>
    </row>
    <row r="7687" spans="1:6" ht="12.75">
      <c r="A7687" s="8">
        <v>43901.534189814818</v>
      </c>
      <c r="B7687" s="8" t="str">
        <f>HYPERLINK("https://twitter.com/Ikan_di_Air","@Ikan_di_Air")</f>
        <v>@Ikan_di_Air</v>
      </c>
      <c r="C7687" s="8" t="s">
        <v>2790</v>
      </c>
      <c r="D7687" s="8">
        <v>100</v>
      </c>
      <c r="E7687" s="8">
        <v>0</v>
      </c>
      <c r="F7687" s="8">
        <v>61</v>
      </c>
    </row>
    <row r="7688" spans="1:6" ht="12.75">
      <c r="A7688" s="8">
        <v>43901.534166666665</v>
      </c>
      <c r="B7688" s="8" t="str">
        <f>HYPERLINK("https://twitter.com/AllSamnun","@AllSamnun")</f>
        <v>@AllSamnun</v>
      </c>
      <c r="C7688" s="8" t="s">
        <v>2537</v>
      </c>
      <c r="D7688" s="8">
        <v>55</v>
      </c>
      <c r="E7688" s="8">
        <v>0</v>
      </c>
      <c r="F7688" s="8">
        <v>879</v>
      </c>
    </row>
    <row r="7689" spans="1:6" ht="12.75">
      <c r="A7689" s="8">
        <v>43901.533912037034</v>
      </c>
      <c r="B7689" s="8" t="str">
        <f>HYPERLINK("https://twitter.com/nuknakniknok","@nuknakniknok")</f>
        <v>@nuknakniknok</v>
      </c>
      <c r="C7689" s="8" t="s">
        <v>2790</v>
      </c>
      <c r="D7689" s="8">
        <v>100</v>
      </c>
      <c r="E7689" s="8">
        <v>0</v>
      </c>
      <c r="F7689" s="8">
        <v>583</v>
      </c>
    </row>
    <row r="7690" spans="1:6" ht="12.75">
      <c r="A7690" s="8">
        <v>43901.533506944441</v>
      </c>
      <c r="B7690" s="8" t="str">
        <f>HYPERLINK("https://twitter.com/bramastaaaaa","@bramastaaaaa")</f>
        <v>@bramastaaaaa</v>
      </c>
      <c r="C7690" s="8" t="s">
        <v>2790</v>
      </c>
      <c r="D7690" s="8">
        <v>100</v>
      </c>
      <c r="E7690" s="8">
        <v>0</v>
      </c>
      <c r="F7690" s="8">
        <v>418</v>
      </c>
    </row>
    <row r="7691" spans="1:6" ht="12.75">
      <c r="A7691" s="8">
        <v>43901.533125000002</v>
      </c>
      <c r="B7691" s="8" t="str">
        <f>HYPERLINK("https://twitter.com/wariadiira","@wariadiira")</f>
        <v>@wariadiira</v>
      </c>
      <c r="C7691" s="8" t="s">
        <v>2790</v>
      </c>
      <c r="D7691" s="8">
        <v>100</v>
      </c>
      <c r="E7691" s="8">
        <v>0</v>
      </c>
      <c r="F7691" s="8">
        <v>210</v>
      </c>
    </row>
    <row r="7692" spans="1:6" ht="12.75">
      <c r="A7692" s="8">
        <v>43901.533009259263</v>
      </c>
      <c r="B7692" s="8" t="str">
        <f>HYPERLINK("https://twitter.com/IwanNurwulan","@IwanNurwulan")</f>
        <v>@IwanNurwulan</v>
      </c>
      <c r="C7692" s="8" t="s">
        <v>2537</v>
      </c>
      <c r="D7692" s="8">
        <v>55</v>
      </c>
      <c r="E7692" s="8">
        <v>0</v>
      </c>
      <c r="F7692" s="8">
        <v>47</v>
      </c>
    </row>
    <row r="7693" spans="1:6" ht="12.75">
      <c r="A7693" s="8">
        <v>43901.532939814817</v>
      </c>
      <c r="B7693" s="8" t="str">
        <f>HYPERLINK("https://twitter.com/Nayeess2","@Nayeess2")</f>
        <v>@Nayeess2</v>
      </c>
      <c r="C7693" s="8" t="s">
        <v>3642</v>
      </c>
      <c r="D7693" s="8">
        <v>0</v>
      </c>
      <c r="E7693" s="8">
        <v>0</v>
      </c>
      <c r="F7693" s="8">
        <v>28</v>
      </c>
    </row>
    <row r="7694" spans="1:6" ht="12.75">
      <c r="A7694" s="8">
        <v>43901.532847222217</v>
      </c>
      <c r="B7694" s="8" t="str">
        <f>HYPERLINK("https://twitter.com/garrettpopkorn","@garrettpopkorn")</f>
        <v>@garrettpopkorn</v>
      </c>
      <c r="C7694" s="8" t="s">
        <v>2790</v>
      </c>
      <c r="D7694" s="8">
        <v>100</v>
      </c>
      <c r="E7694" s="8">
        <v>0</v>
      </c>
      <c r="F7694" s="8">
        <v>4453</v>
      </c>
    </row>
    <row r="7695" spans="1:6" ht="12.75">
      <c r="A7695" s="8">
        <v>43901.532789351855</v>
      </c>
      <c r="B7695" s="8" t="str">
        <f>HYPERLINK("https://twitter.com/WondoPkl","@WondoPkl")</f>
        <v>@WondoPkl</v>
      </c>
      <c r="C7695" s="8" t="s">
        <v>1186</v>
      </c>
      <c r="D7695" s="8">
        <v>328</v>
      </c>
      <c r="E7695" s="8">
        <v>0</v>
      </c>
      <c r="F7695" s="8">
        <v>143</v>
      </c>
    </row>
    <row r="7696" spans="1:6" ht="12.75">
      <c r="A7696" s="8">
        <v>43901.532789351855</v>
      </c>
      <c r="B7696" s="8" t="str">
        <f>HYPERLINK("https://twitter.com/BorneoWolf","@BorneoWolf")</f>
        <v>@BorneoWolf</v>
      </c>
      <c r="C7696" s="8" t="s">
        <v>3643</v>
      </c>
      <c r="D7696" s="8">
        <v>0</v>
      </c>
      <c r="E7696" s="8">
        <v>0</v>
      </c>
      <c r="F7696" s="8">
        <v>30</v>
      </c>
    </row>
    <row r="7697" spans="1:6" ht="12.75">
      <c r="A7697" s="8">
        <v>43901.532650462963</v>
      </c>
      <c r="B7697" s="8" t="str">
        <f>HYPERLINK("https://twitter.com/maminyainnie","@maminyainnie")</f>
        <v>@maminyainnie</v>
      </c>
      <c r="C7697" s="8" t="s">
        <v>2790</v>
      </c>
      <c r="D7697" s="8">
        <v>100</v>
      </c>
      <c r="E7697" s="8">
        <v>0</v>
      </c>
      <c r="F7697" s="8">
        <v>81</v>
      </c>
    </row>
    <row r="7698" spans="1:6" ht="12.75">
      <c r="A7698" s="8">
        <v>43901.532569444447</v>
      </c>
      <c r="B7698" s="8" t="str">
        <f>HYPERLINK("https://twitter.com/edvr_1046","@edvr_1046")</f>
        <v>@edvr_1046</v>
      </c>
      <c r="C7698" s="8" t="s">
        <v>2790</v>
      </c>
      <c r="D7698" s="8">
        <v>100</v>
      </c>
      <c r="E7698" s="8">
        <v>0</v>
      </c>
      <c r="F7698" s="8">
        <v>240</v>
      </c>
    </row>
    <row r="7699" spans="1:6" ht="12.75">
      <c r="A7699" s="8">
        <v>43901.532557870371</v>
      </c>
      <c r="B7699" s="8" t="str">
        <f>HYPERLINK("https://twitter.com/yunitasaa","@yunitasaa")</f>
        <v>@yunitasaa</v>
      </c>
      <c r="C7699" s="8" t="s">
        <v>2790</v>
      </c>
      <c r="D7699" s="8">
        <v>100</v>
      </c>
      <c r="E7699" s="8">
        <v>0</v>
      </c>
      <c r="F7699" s="8">
        <v>616</v>
      </c>
    </row>
    <row r="7700" spans="1:6" ht="12.75">
      <c r="A7700" s="8">
        <v>43901.532488425924</v>
      </c>
      <c r="B7700" s="8" t="str">
        <f>HYPERLINK("https://twitter.com/rrsafiraa","@rrsafiraa")</f>
        <v>@rrsafiraa</v>
      </c>
      <c r="C7700" s="8" t="s">
        <v>2790</v>
      </c>
      <c r="D7700" s="8">
        <v>100</v>
      </c>
      <c r="E7700" s="8">
        <v>0</v>
      </c>
      <c r="F7700" s="8">
        <v>253</v>
      </c>
    </row>
    <row r="7701" spans="1:6" ht="12.75">
      <c r="A7701" s="8">
        <v>43901.532106481478</v>
      </c>
      <c r="B7701" s="8" t="str">
        <f>HYPERLINK("https://twitter.com/ERumianti","@ERumianti")</f>
        <v>@ERumianti</v>
      </c>
      <c r="C7701" s="8" t="s">
        <v>3644</v>
      </c>
      <c r="D7701" s="8">
        <v>0</v>
      </c>
      <c r="E7701" s="8">
        <v>0</v>
      </c>
      <c r="F7701" s="8">
        <v>138</v>
      </c>
    </row>
    <row r="7702" spans="1:6" ht="12.75">
      <c r="A7702" s="8">
        <v>43901.531909722224</v>
      </c>
      <c r="B7702" s="8" t="str">
        <f>HYPERLINK("https://twitter.com/chionofille","@chionofille")</f>
        <v>@chionofille</v>
      </c>
      <c r="C7702" s="8" t="s">
        <v>2790</v>
      </c>
      <c r="D7702" s="8">
        <v>100</v>
      </c>
      <c r="E7702" s="8">
        <v>0</v>
      </c>
      <c r="F7702" s="8">
        <v>438</v>
      </c>
    </row>
    <row r="7703" spans="1:6" ht="12.75">
      <c r="A7703" s="8">
        <v>43901.531875000001</v>
      </c>
      <c r="B7703" s="8" t="str">
        <f>HYPERLINK("https://twitter.com/txtdarimoa","@txtdarimoa")</f>
        <v>@txtdarimoa</v>
      </c>
      <c r="C7703" s="8" t="s">
        <v>2790</v>
      </c>
      <c r="D7703" s="8">
        <v>100</v>
      </c>
      <c r="E7703" s="8">
        <v>0</v>
      </c>
      <c r="F7703" s="8">
        <v>387</v>
      </c>
    </row>
    <row r="7704" spans="1:6" ht="12.75">
      <c r="A7704" s="8">
        <v>43901.531863425931</v>
      </c>
      <c r="B7704" s="8" t="str">
        <f>HYPERLINK("https://twitter.com/faridariadno","@faridariadno")</f>
        <v>@faridariadno</v>
      </c>
      <c r="C7704" s="8" t="s">
        <v>2790</v>
      </c>
      <c r="D7704" s="8">
        <v>100</v>
      </c>
      <c r="E7704" s="8">
        <v>0</v>
      </c>
      <c r="F7704" s="8">
        <v>733</v>
      </c>
    </row>
    <row r="7705" spans="1:6" ht="12.75">
      <c r="A7705" s="8">
        <v>43901.531527777777</v>
      </c>
      <c r="B7705" s="8" t="str">
        <f>HYPERLINK("https://twitter.com/thisisongniel","@thisisongniel")</f>
        <v>@thisisongniel</v>
      </c>
      <c r="C7705" s="8" t="s">
        <v>2790</v>
      </c>
      <c r="D7705" s="8">
        <v>100</v>
      </c>
      <c r="E7705" s="8">
        <v>0</v>
      </c>
      <c r="F7705" s="8">
        <v>246</v>
      </c>
    </row>
    <row r="7706" spans="1:6" ht="12.75">
      <c r="A7706" s="8">
        <v>43901.531435185185</v>
      </c>
      <c r="B7706" s="8" t="str">
        <f>HYPERLINK("https://twitter.com/medhy802","@medhy802")</f>
        <v>@medhy802</v>
      </c>
      <c r="C7706" s="8" t="s">
        <v>318</v>
      </c>
      <c r="D7706" s="8">
        <v>1304</v>
      </c>
      <c r="E7706" s="8">
        <v>0</v>
      </c>
      <c r="F7706" s="8">
        <v>5</v>
      </c>
    </row>
    <row r="7707" spans="1:6" ht="12.75">
      <c r="A7707" s="8">
        <v>43901.531377314815</v>
      </c>
      <c r="B7707" s="8" t="str">
        <f>HYPERLINK("https://twitter.com/dipta__b","@dipta__b")</f>
        <v>@dipta__b</v>
      </c>
      <c r="C7707" s="8" t="s">
        <v>2790</v>
      </c>
      <c r="D7707" s="8">
        <v>100</v>
      </c>
      <c r="E7707" s="8">
        <v>0</v>
      </c>
      <c r="F7707" s="8">
        <v>187</v>
      </c>
    </row>
    <row r="7708" spans="1:6" ht="12.75">
      <c r="A7708" s="8">
        <v>43901.531354166669</v>
      </c>
      <c r="B7708" s="8" t="str">
        <f>HYPERLINK("https://twitter.com/santy_novi","@santy_novi")</f>
        <v>@santy_novi</v>
      </c>
      <c r="C7708" s="8" t="s">
        <v>1801</v>
      </c>
      <c r="D7708" s="8">
        <v>288</v>
      </c>
      <c r="E7708" s="8">
        <v>0</v>
      </c>
      <c r="F7708" s="8">
        <v>106</v>
      </c>
    </row>
    <row r="7709" spans="1:6" ht="12.75">
      <c r="A7709" s="8">
        <v>43901.53125</v>
      </c>
      <c r="B7709" s="8" t="str">
        <f>HYPERLINK("https://twitter.com/jusstme4u","@jusstme4u")</f>
        <v>@jusstme4u</v>
      </c>
      <c r="C7709" s="8" t="s">
        <v>3645</v>
      </c>
      <c r="D7709" s="8">
        <v>0</v>
      </c>
      <c r="E7709" s="8">
        <v>0</v>
      </c>
      <c r="F7709" s="8">
        <v>75749</v>
      </c>
    </row>
    <row r="7710" spans="1:6" ht="12.75">
      <c r="A7710" s="8">
        <v>43901.531134259261</v>
      </c>
      <c r="B7710" s="8" t="str">
        <f>HYPERLINK("https://twitter.com/MalikabdulF","@MalikabdulF")</f>
        <v>@MalikabdulF</v>
      </c>
      <c r="C7710" s="8" t="s">
        <v>2790</v>
      </c>
      <c r="D7710" s="8">
        <v>100</v>
      </c>
      <c r="E7710" s="8">
        <v>0</v>
      </c>
      <c r="F7710" s="8">
        <v>284</v>
      </c>
    </row>
    <row r="7711" spans="1:6" ht="12.75">
      <c r="A7711" s="8">
        <v>43901.530925925923</v>
      </c>
      <c r="B7711" s="8" t="str">
        <f>HYPERLINK("https://twitter.com/candrasurya","@candrasurya")</f>
        <v>@candrasurya</v>
      </c>
      <c r="C7711" s="8" t="s">
        <v>318</v>
      </c>
      <c r="D7711" s="8">
        <v>1304</v>
      </c>
      <c r="E7711" s="8">
        <v>0</v>
      </c>
      <c r="F7711" s="8">
        <v>1037</v>
      </c>
    </row>
    <row r="7712" spans="1:6" ht="12.75">
      <c r="A7712" s="8">
        <v>43901.530648148153</v>
      </c>
      <c r="B7712" s="8" t="str">
        <f>HYPERLINK("https://twitter.com/SQL2ooo","@SQL2ooo")</f>
        <v>@SQL2ooo</v>
      </c>
      <c r="C7712" s="8" t="s">
        <v>2790</v>
      </c>
      <c r="D7712" s="8">
        <v>100</v>
      </c>
      <c r="E7712" s="8">
        <v>0</v>
      </c>
      <c r="F7712" s="8">
        <v>2027</v>
      </c>
    </row>
    <row r="7713" spans="1:6" ht="12.75">
      <c r="A7713" s="8">
        <v>43901.530636574069</v>
      </c>
      <c r="B7713" s="8" t="str">
        <f>HYPERLINK("https://twitter.com/donimopizza","@donimopizza")</f>
        <v>@donimopizza</v>
      </c>
      <c r="C7713" s="8" t="s">
        <v>2790</v>
      </c>
      <c r="D7713" s="8">
        <v>100</v>
      </c>
      <c r="E7713" s="8">
        <v>0</v>
      </c>
      <c r="F7713" s="8">
        <v>795</v>
      </c>
    </row>
    <row r="7714" spans="1:6" ht="12.75">
      <c r="A7714" s="8">
        <v>43901.530451388884</v>
      </c>
      <c r="B7714" s="8" t="str">
        <f>HYPERLINK("https://twitter.com/tanca_ra","@tanca_ra")</f>
        <v>@tanca_ra</v>
      </c>
      <c r="C7714" s="8" t="s">
        <v>1801</v>
      </c>
      <c r="D7714" s="8">
        <v>288</v>
      </c>
      <c r="E7714" s="8">
        <v>0</v>
      </c>
      <c r="F7714" s="8">
        <v>1924</v>
      </c>
    </row>
    <row r="7715" spans="1:6" ht="12.75">
      <c r="A7715" s="8">
        <v>43901.530416666668</v>
      </c>
      <c r="B7715" s="8" t="str">
        <f>HYPERLINK("https://twitter.com/papi_yulio911","@papi_yulio911")</f>
        <v>@papi_yulio911</v>
      </c>
      <c r="C7715" s="8" t="s">
        <v>2790</v>
      </c>
      <c r="D7715" s="8">
        <v>100</v>
      </c>
      <c r="E7715" s="8">
        <v>0</v>
      </c>
      <c r="F7715" s="8">
        <v>92</v>
      </c>
    </row>
    <row r="7716" spans="1:6" ht="12.75">
      <c r="A7716" s="8">
        <v>43901.530034722222</v>
      </c>
      <c r="B7716" s="8" t="str">
        <f>HYPERLINK("https://twitter.com/Ill_Tsar","@Ill_Tsar")</f>
        <v>@Ill_Tsar</v>
      </c>
      <c r="C7716" s="8" t="s">
        <v>2537</v>
      </c>
      <c r="D7716" s="8">
        <v>55</v>
      </c>
      <c r="E7716" s="8">
        <v>0</v>
      </c>
      <c r="F7716" s="8">
        <v>453</v>
      </c>
    </row>
    <row r="7717" spans="1:6" ht="12.75">
      <c r="A7717" s="8">
        <v>43901.529988425929</v>
      </c>
      <c r="B7717" s="8" t="str">
        <f>HYPERLINK("https://twitter.com/faisalard_","@faisalard_")</f>
        <v>@faisalard_</v>
      </c>
      <c r="C7717" s="8" t="s">
        <v>2790</v>
      </c>
      <c r="D7717" s="8">
        <v>100</v>
      </c>
      <c r="E7717" s="8">
        <v>0</v>
      </c>
      <c r="F7717" s="8">
        <v>168</v>
      </c>
    </row>
    <row r="7718" spans="1:6" ht="12.75">
      <c r="A7718" s="8">
        <v>43901.52988425926</v>
      </c>
      <c r="B7718" s="8" t="str">
        <f>HYPERLINK("https://twitter.com/APA072316","@APA072316")</f>
        <v>@APA072316</v>
      </c>
      <c r="C7718" s="8" t="s">
        <v>2989</v>
      </c>
      <c r="D7718" s="8">
        <v>71</v>
      </c>
      <c r="E7718" s="8">
        <v>0</v>
      </c>
      <c r="F7718" s="8">
        <v>693</v>
      </c>
    </row>
    <row r="7719" spans="1:6" ht="12.75">
      <c r="A7719" s="8">
        <v>43901.506782407407</v>
      </c>
      <c r="B7719" s="8" t="str">
        <f>HYPERLINK("https://twitter.com/gunamoniphukan","@gunamoniphukan")</f>
        <v>@gunamoniphukan</v>
      </c>
      <c r="C7719" s="8" t="s">
        <v>1957</v>
      </c>
      <c r="D7719" s="8">
        <v>1492</v>
      </c>
      <c r="E7719" s="8">
        <v>0</v>
      </c>
      <c r="F7719" s="8">
        <v>639</v>
      </c>
    </row>
    <row r="7720" spans="1:6" ht="12.75">
      <c r="A7720" s="8">
        <v>43901.506527777776</v>
      </c>
      <c r="B7720" s="8" t="str">
        <f>HYPERLINK("https://twitter.com/ReiMiechi99","@ReiMiechi99")</f>
        <v>@ReiMiechi99</v>
      </c>
      <c r="C7720" s="8" t="s">
        <v>3646</v>
      </c>
      <c r="D7720" s="8">
        <v>0</v>
      </c>
      <c r="E7720" s="8">
        <v>0</v>
      </c>
      <c r="F7720" s="8">
        <v>96</v>
      </c>
    </row>
    <row r="7721" spans="1:6" ht="12.75">
      <c r="A7721" s="8">
        <v>43901.505486111113</v>
      </c>
      <c r="B7721" s="8" t="str">
        <f>HYPERLINK("https://twitter.com/nhiarjuniar","@nhiarjuniar")</f>
        <v>@nhiarjuniar</v>
      </c>
      <c r="C7721" s="8" t="s">
        <v>1186</v>
      </c>
      <c r="D7721" s="8">
        <v>315</v>
      </c>
      <c r="E7721" s="8">
        <v>0</v>
      </c>
      <c r="F7721" s="8">
        <v>2294</v>
      </c>
    </row>
    <row r="7722" spans="1:6" ht="12.75">
      <c r="A7722" s="8">
        <v>43901.504837962959</v>
      </c>
      <c r="B7722" s="8" t="str">
        <f>HYPERLINK("https://twitter.com/nurel_effah","@nurel_effah")</f>
        <v>@nurel_effah</v>
      </c>
      <c r="C7722" s="8" t="s">
        <v>2177</v>
      </c>
      <c r="D7722" s="8">
        <v>38</v>
      </c>
      <c r="E7722" s="8">
        <v>0</v>
      </c>
      <c r="F7722" s="8">
        <v>3611</v>
      </c>
    </row>
    <row r="7723" spans="1:6" ht="12.75">
      <c r="A7723" s="8">
        <v>43901.504675925928</v>
      </c>
      <c r="B7723" s="8" t="str">
        <f>HYPERLINK("https://twitter.com/andalasiy","@andalasiy")</f>
        <v>@andalasiy</v>
      </c>
      <c r="C7723" s="8" t="s">
        <v>3647</v>
      </c>
      <c r="D7723" s="8">
        <v>1</v>
      </c>
      <c r="E7723" s="8">
        <v>0</v>
      </c>
      <c r="F7723" s="8">
        <v>168</v>
      </c>
    </row>
    <row r="7724" spans="1:6" ht="12.75">
      <c r="A7724" s="8">
        <v>43901.50445601852</v>
      </c>
      <c r="B7724" s="8" t="str">
        <f>HYPERLINK("https://twitter.com/_missjung","@_missjung")</f>
        <v>@_missjung</v>
      </c>
      <c r="C7724" s="8" t="s">
        <v>1801</v>
      </c>
      <c r="D7724" s="8">
        <v>267</v>
      </c>
      <c r="E7724" s="8">
        <v>0</v>
      </c>
      <c r="F7724" s="8">
        <v>309</v>
      </c>
    </row>
    <row r="7725" spans="1:6" ht="12.75">
      <c r="A7725" s="8">
        <v>43901.504270833335</v>
      </c>
      <c r="B7725" s="8" t="str">
        <f>HYPERLINK("https://twitter.com/NannyAlexendry","@NannyAlexendry")</f>
        <v>@NannyAlexendry</v>
      </c>
      <c r="C7725" s="8" t="s">
        <v>3422</v>
      </c>
      <c r="D7725" s="8">
        <v>9</v>
      </c>
      <c r="E7725" s="8">
        <v>0</v>
      </c>
      <c r="F7725" s="8">
        <v>2948</v>
      </c>
    </row>
    <row r="7726" spans="1:6" ht="12.75">
      <c r="A7726" s="8">
        <v>43901.50372685185</v>
      </c>
      <c r="B7726" s="8" t="str">
        <f>HYPERLINK("https://twitter.com/ADF____","@ADF____")</f>
        <v>@ADF____</v>
      </c>
      <c r="C7726" s="8" t="s">
        <v>3648</v>
      </c>
      <c r="D7726" s="8">
        <v>647</v>
      </c>
      <c r="E7726" s="8">
        <v>0</v>
      </c>
      <c r="F7726" s="8">
        <v>108</v>
      </c>
    </row>
    <row r="7727" spans="1:6" ht="12.75">
      <c r="A7727" s="8">
        <v>43901.503703703704</v>
      </c>
      <c r="B7727" s="8" t="str">
        <f>HYPERLINK("https://twitter.com/Piloooongg","@Piloooongg")</f>
        <v>@Piloooongg</v>
      </c>
      <c r="C7727" s="8" t="s">
        <v>3547</v>
      </c>
      <c r="D7727" s="8">
        <v>2</v>
      </c>
      <c r="E7727" s="8">
        <v>0</v>
      </c>
      <c r="F7727" s="8">
        <v>1166</v>
      </c>
    </row>
    <row r="7728" spans="1:6" ht="12.75">
      <c r="A7728" s="8">
        <v>43901.50271990741</v>
      </c>
      <c r="B7728" s="8" t="str">
        <f>HYPERLINK("https://twitter.com/sagakom","@sagakom")</f>
        <v>@sagakom</v>
      </c>
      <c r="C7728" s="8" t="s">
        <v>3303</v>
      </c>
      <c r="D7728" s="8">
        <v>0</v>
      </c>
      <c r="E7728" s="8">
        <v>0</v>
      </c>
      <c r="F7728" s="8">
        <v>286</v>
      </c>
    </row>
    <row r="7729" spans="1:6" ht="12.75">
      <c r="A7729" s="8">
        <v>43901.502280092594</v>
      </c>
      <c r="B7729" s="8" t="str">
        <f>HYPERLINK("https://twitter.com/dmwsdq","@dmwsdq")</f>
        <v>@dmwsdq</v>
      </c>
      <c r="C7729" s="8" t="s">
        <v>3649</v>
      </c>
      <c r="D7729" s="8">
        <v>8</v>
      </c>
      <c r="E7729" s="8">
        <v>0</v>
      </c>
      <c r="F7729" s="8">
        <v>906</v>
      </c>
    </row>
    <row r="7730" spans="1:6" ht="12.75">
      <c r="A7730" s="8">
        <v>43901.502210648148</v>
      </c>
      <c r="B7730" s="8" t="str">
        <f>HYPERLINK("https://twitter.com/YannieTrue","@YannieTrue")</f>
        <v>@YannieTrue</v>
      </c>
      <c r="C7730" s="8" t="s">
        <v>1186</v>
      </c>
      <c r="D7730" s="8">
        <v>315</v>
      </c>
      <c r="E7730" s="8">
        <v>0</v>
      </c>
      <c r="F7730" s="8">
        <v>1721</v>
      </c>
    </row>
    <row r="7731" spans="1:6" ht="12.75">
      <c r="A7731" s="8">
        <v>43901.502060185187</v>
      </c>
      <c r="B7731" s="8" t="str">
        <f>HYPERLINK("https://twitter.com/roon3651","@roon3651")</f>
        <v>@roon3651</v>
      </c>
      <c r="C7731" s="8" t="s">
        <v>318</v>
      </c>
      <c r="D7731" s="8">
        <v>1287</v>
      </c>
      <c r="E7731" s="8">
        <v>0</v>
      </c>
      <c r="F7731" s="8">
        <v>422</v>
      </c>
    </row>
    <row r="7732" spans="1:6" ht="12.75">
      <c r="A7732" s="8">
        <v>43901.501956018517</v>
      </c>
      <c r="B7732" s="8" t="str">
        <f>HYPERLINK("https://twitter.com/azizahiss","@azizahiss")</f>
        <v>@azizahiss</v>
      </c>
      <c r="C7732" s="8" t="s">
        <v>3650</v>
      </c>
      <c r="D7732" s="8">
        <v>0</v>
      </c>
      <c r="E7732" s="8">
        <v>0</v>
      </c>
      <c r="F7732" s="8">
        <v>42</v>
      </c>
    </row>
    <row r="7733" spans="1:6" ht="12.75">
      <c r="A7733" s="8">
        <v>43901.501875000002</v>
      </c>
      <c r="B7733" s="8" t="str">
        <f>HYPERLINK("https://twitter.com/BillTemporo","@BillTemporo")</f>
        <v>@BillTemporo</v>
      </c>
      <c r="C7733" s="8" t="s">
        <v>355</v>
      </c>
      <c r="D7733" s="8">
        <v>0</v>
      </c>
      <c r="E7733" s="8">
        <v>0</v>
      </c>
      <c r="F7733" s="8">
        <v>11</v>
      </c>
    </row>
    <row r="7734" spans="1:6" ht="12.75">
      <c r="A7734" s="8">
        <v>43901.501284722224</v>
      </c>
      <c r="B7734" s="8" t="str">
        <f>HYPERLINK("https://twitter.com/agus_salims","@agus_salims")</f>
        <v>@agus_salims</v>
      </c>
      <c r="C7734" s="8" t="s">
        <v>3651</v>
      </c>
      <c r="D7734" s="8">
        <v>0</v>
      </c>
      <c r="E7734" s="8">
        <v>0</v>
      </c>
      <c r="F7734" s="8">
        <v>1</v>
      </c>
    </row>
    <row r="7735" spans="1:6" ht="12.75">
      <c r="A7735" s="8">
        <v>43901.500972222224</v>
      </c>
      <c r="B7735" s="8" t="str">
        <f>HYPERLINK("https://twitter.com/atikaaisya","@atikaaisya")</f>
        <v>@atikaaisya</v>
      </c>
      <c r="C7735" s="8" t="s">
        <v>3547</v>
      </c>
      <c r="D7735" s="8">
        <v>2</v>
      </c>
      <c r="E7735" s="8">
        <v>0</v>
      </c>
      <c r="F7735" s="8">
        <v>755</v>
      </c>
    </row>
    <row r="7736" spans="1:6" ht="12.75">
      <c r="A7736" s="8">
        <v>43901.500347222223</v>
      </c>
      <c r="B7736" s="8" t="str">
        <f>HYPERLINK("https://twitter.com/id_aksi","@id_aksi")</f>
        <v>@id_aksi</v>
      </c>
      <c r="C7736" s="8" t="s">
        <v>3652</v>
      </c>
      <c r="D7736" s="8">
        <v>0</v>
      </c>
      <c r="E7736" s="8">
        <v>0</v>
      </c>
      <c r="F7736" s="8">
        <v>79</v>
      </c>
    </row>
    <row r="7737" spans="1:6" ht="12.75">
      <c r="A7737" s="8">
        <v>43901.500289351854</v>
      </c>
      <c r="B7737" s="8" t="str">
        <f>HYPERLINK("https://twitter.com/JannesHutajulu","@JannesHutajulu")</f>
        <v>@JannesHutajulu</v>
      </c>
      <c r="C7737" s="8" t="s">
        <v>1801</v>
      </c>
      <c r="D7737" s="8">
        <v>267</v>
      </c>
      <c r="E7737" s="8">
        <v>0</v>
      </c>
      <c r="F7737" s="8">
        <v>2477</v>
      </c>
    </row>
    <row r="7738" spans="1:6" ht="12.75">
      <c r="A7738" s="8">
        <v>43901.5</v>
      </c>
      <c r="B7738" s="8" t="str">
        <f>HYPERLINK("https://twitter.com/pesanbijakk","@pesanbijakk")</f>
        <v>@pesanbijakk</v>
      </c>
      <c r="C7738" s="8" t="s">
        <v>3653</v>
      </c>
      <c r="D7738" s="8">
        <v>0</v>
      </c>
      <c r="E7738" s="8">
        <v>0</v>
      </c>
      <c r="F7738" s="8">
        <v>94061</v>
      </c>
    </row>
    <row r="7739" spans="1:6" ht="12.75">
      <c r="A7739" s="8">
        <v>43901.49998842593</v>
      </c>
      <c r="B7739" s="8" t="str">
        <f>HYPERLINK("https://twitter.com/PeanutShiny","@PeanutShiny")</f>
        <v>@PeanutShiny</v>
      </c>
      <c r="C7739" s="8" t="s">
        <v>3654</v>
      </c>
      <c r="D7739" s="8">
        <v>0</v>
      </c>
      <c r="E7739" s="8">
        <v>0</v>
      </c>
      <c r="F7739" s="8">
        <v>34</v>
      </c>
    </row>
    <row r="7740" spans="1:6" ht="12.75">
      <c r="A7740" s="8">
        <v>43901.49931712963</v>
      </c>
      <c r="B7740" s="8" t="str">
        <f>HYPERLINK("https://twitter.com/mamihanafi","@mamihanafi")</f>
        <v>@mamihanafi</v>
      </c>
      <c r="C7740" s="8" t="s">
        <v>1801</v>
      </c>
      <c r="D7740" s="8">
        <v>267</v>
      </c>
      <c r="E7740" s="8">
        <v>0</v>
      </c>
      <c r="F7740" s="8">
        <v>1943</v>
      </c>
    </row>
    <row r="7741" spans="1:6" ht="12.75">
      <c r="A7741" s="8">
        <v>43901.499293981484</v>
      </c>
      <c r="B7741" s="8" t="str">
        <f>HYPERLINK("https://twitter.com/Adebayo46547328","@Adebayo46547328")</f>
        <v>@Adebayo46547328</v>
      </c>
      <c r="C7741" s="8" t="s">
        <v>2989</v>
      </c>
      <c r="D7741" s="8">
        <v>58</v>
      </c>
      <c r="E7741" s="8">
        <v>0</v>
      </c>
      <c r="F7741" s="8">
        <v>1104</v>
      </c>
    </row>
    <row r="7742" spans="1:6" ht="12.75">
      <c r="A7742" s="8">
        <v>43901.499027777776</v>
      </c>
      <c r="B7742" s="8" t="str">
        <f>HYPERLINK("https://twitter.com/elHurryKoRn","@elHurryKoRn")</f>
        <v>@elHurryKoRn</v>
      </c>
      <c r="C7742" s="8" t="s">
        <v>1801</v>
      </c>
      <c r="D7742" s="8">
        <v>267</v>
      </c>
      <c r="E7742" s="8">
        <v>0</v>
      </c>
      <c r="F7742" s="8">
        <v>19604</v>
      </c>
    </row>
    <row r="7743" spans="1:6" ht="12.75">
      <c r="A7743" s="8">
        <v>43901.498703703706</v>
      </c>
      <c r="B7743" s="8" t="str">
        <f>HYPERLINK("https://twitter.com/Kiy_Daus","@Kiy_Daus")</f>
        <v>@Kiy_Daus</v>
      </c>
      <c r="C7743" s="8" t="s">
        <v>3655</v>
      </c>
      <c r="D7743" s="8">
        <v>0</v>
      </c>
      <c r="E7743" s="8">
        <v>0</v>
      </c>
      <c r="F7743" s="8">
        <v>3058</v>
      </c>
    </row>
    <row r="7744" spans="1:6" ht="12.75">
      <c r="A7744" s="8">
        <v>43901.498206018514</v>
      </c>
      <c r="B7744" s="8" t="str">
        <f>HYPERLINK("https://twitter.com/CecepPurnamaAl3","@CecepPurnamaAl3")</f>
        <v>@CecepPurnamaAl3</v>
      </c>
      <c r="C7744" s="8" t="s">
        <v>2989</v>
      </c>
      <c r="D7744" s="8">
        <v>58</v>
      </c>
      <c r="E7744" s="8">
        <v>0</v>
      </c>
      <c r="F7744" s="8">
        <v>8</v>
      </c>
    </row>
    <row r="7745" spans="1:6" ht="12.75">
      <c r="A7745" s="8">
        <v>43901.497939814813</v>
      </c>
      <c r="B7745" s="8" t="str">
        <f>HYPERLINK("https://twitter.com/makassarterkini","@makassarterkini")</f>
        <v>@makassarterkini</v>
      </c>
      <c r="C7745" s="8" t="s">
        <v>3656</v>
      </c>
      <c r="D7745" s="8">
        <v>0</v>
      </c>
      <c r="E7745" s="8">
        <v>0</v>
      </c>
      <c r="F7745" s="8">
        <v>9654</v>
      </c>
    </row>
    <row r="7746" spans="1:6" ht="12.75">
      <c r="A7746" s="8">
        <v>43901.497928240744</v>
      </c>
      <c r="B7746" s="8" t="str">
        <f>HYPERLINK("https://twitter.com/SolehudinSaeful","@SolehudinSaeful")</f>
        <v>@SolehudinSaeful</v>
      </c>
      <c r="C7746" s="8" t="s">
        <v>318</v>
      </c>
      <c r="D7746" s="8">
        <v>1287</v>
      </c>
      <c r="E7746" s="8">
        <v>0</v>
      </c>
      <c r="F7746" s="8">
        <v>144</v>
      </c>
    </row>
    <row r="7747" spans="1:6" ht="12.75">
      <c r="A7747" s="8">
        <v>43901.497766203705</v>
      </c>
      <c r="B7747" s="8" t="str">
        <f>HYPERLINK("https://twitter.com/bangkitriambada","@bangkitriambada")</f>
        <v>@bangkitriambada</v>
      </c>
      <c r="C7747" s="8" t="s">
        <v>3657</v>
      </c>
      <c r="D7747" s="8">
        <v>3</v>
      </c>
      <c r="E7747" s="8">
        <v>0</v>
      </c>
      <c r="F7747" s="8">
        <v>209</v>
      </c>
    </row>
    <row r="7748" spans="1:6" ht="12.75">
      <c r="A7748" s="8">
        <v>43901.497696759259</v>
      </c>
      <c r="B7748" s="8" t="str">
        <f>HYPERLINK("https://twitter.com/indonesiainist","@indonesiainist")</f>
        <v>@indonesiainist</v>
      </c>
      <c r="C7748" s="8" t="s">
        <v>2177</v>
      </c>
      <c r="D7748" s="8">
        <v>38</v>
      </c>
      <c r="E7748" s="8">
        <v>0</v>
      </c>
      <c r="F7748" s="8">
        <v>703</v>
      </c>
    </row>
    <row r="7749" spans="1:6" ht="12.75">
      <c r="A7749" s="8">
        <v>43901.497372685189</v>
      </c>
      <c r="B7749" s="8" t="str">
        <f>HYPERLINK("https://twitter.com/AlwalaDhamara","@AlwalaDhamara")</f>
        <v>@AlwalaDhamara</v>
      </c>
      <c r="C7749" s="8" t="s">
        <v>1186</v>
      </c>
      <c r="D7749" s="8">
        <v>315</v>
      </c>
      <c r="E7749" s="8">
        <v>0</v>
      </c>
      <c r="F7749" s="8">
        <v>382</v>
      </c>
    </row>
    <row r="7750" spans="1:6" ht="12.75">
      <c r="A7750" s="8">
        <v>43901.497291666667</v>
      </c>
      <c r="B7750" s="8" t="str">
        <f>HYPERLINK("https://twitter.com/kompascom","@kompascom")</f>
        <v>@kompascom</v>
      </c>
      <c r="C7750" s="8" t="s">
        <v>3658</v>
      </c>
      <c r="D7750" s="8">
        <v>2</v>
      </c>
      <c r="E7750" s="8">
        <v>5</v>
      </c>
      <c r="F7750" s="8">
        <v>7540835</v>
      </c>
    </row>
    <row r="7751" spans="1:6" ht="12.75">
      <c r="A7751" s="8">
        <v>43901.496319444443</v>
      </c>
      <c r="B7751" s="8" t="str">
        <f>HYPERLINK("https://twitter.com/dwi_thile","@dwi_thile")</f>
        <v>@dwi_thile</v>
      </c>
      <c r="C7751" s="8" t="s">
        <v>1801</v>
      </c>
      <c r="D7751" s="8">
        <v>267</v>
      </c>
      <c r="E7751" s="8">
        <v>0</v>
      </c>
      <c r="F7751" s="8">
        <v>173</v>
      </c>
    </row>
    <row r="7752" spans="1:6" ht="12.75">
      <c r="A7752" s="8">
        <v>43901.49596064815</v>
      </c>
      <c r="B7752" s="8" t="str">
        <f>HYPERLINK("https://twitter.com/EngGuntur","@EngGuntur")</f>
        <v>@EngGuntur</v>
      </c>
      <c r="C7752" s="8" t="s">
        <v>1801</v>
      </c>
      <c r="D7752" s="8">
        <v>267</v>
      </c>
      <c r="E7752" s="8">
        <v>0</v>
      </c>
      <c r="F7752" s="8">
        <v>2538</v>
      </c>
    </row>
    <row r="7753" spans="1:6" ht="12.75">
      <c r="A7753" s="8">
        <v>43901.49518518518</v>
      </c>
      <c r="B7753" s="8" t="str">
        <f>HYPERLINK("https://twitter.com/teh_tariq","@teh_tariq")</f>
        <v>@teh_tariq</v>
      </c>
      <c r="C7753" s="8" t="s">
        <v>3659</v>
      </c>
      <c r="D7753" s="8">
        <v>0</v>
      </c>
      <c r="E7753" s="8">
        <v>0</v>
      </c>
      <c r="F7753" s="8">
        <v>6827</v>
      </c>
    </row>
    <row r="7754" spans="1:6" ht="12.75">
      <c r="A7754" s="8">
        <v>43901.494745370372</v>
      </c>
      <c r="B7754" s="8" t="str">
        <f>HYPERLINK("https://twitter.com/sanuri118","@sanuri118")</f>
        <v>@sanuri118</v>
      </c>
      <c r="C7754" s="8" t="s">
        <v>1801</v>
      </c>
      <c r="D7754" s="8">
        <v>267</v>
      </c>
      <c r="E7754" s="8">
        <v>0</v>
      </c>
      <c r="F7754" s="8">
        <v>1768</v>
      </c>
    </row>
    <row r="7755" spans="1:6" ht="12.75">
      <c r="A7755" s="8">
        <v>43901.493645833332</v>
      </c>
      <c r="B7755" s="8" t="str">
        <f>HYPERLINK("https://twitter.com/te_nago","@te_nago")</f>
        <v>@te_nago</v>
      </c>
      <c r="C7755" s="8" t="s">
        <v>2989</v>
      </c>
      <c r="D7755" s="8">
        <v>58</v>
      </c>
      <c r="E7755" s="8">
        <v>0</v>
      </c>
      <c r="F7755" s="8">
        <v>713</v>
      </c>
    </row>
    <row r="7756" spans="1:6" ht="12.75">
      <c r="A7756" s="8">
        <v>43901.493125000001</v>
      </c>
      <c r="B7756" s="8" t="str">
        <f>HYPERLINK("https://twitter.com/andrengapaks","@andrengapaks")</f>
        <v>@andrengapaks</v>
      </c>
      <c r="C7756" s="8" t="s">
        <v>1186</v>
      </c>
      <c r="D7756" s="8">
        <v>315</v>
      </c>
      <c r="E7756" s="8">
        <v>0</v>
      </c>
      <c r="F7756" s="8">
        <v>328</v>
      </c>
    </row>
    <row r="7757" spans="1:6" ht="12.75">
      <c r="A7757" s="8">
        <v>43901.492627314816</v>
      </c>
      <c r="B7757" s="8" t="str">
        <f>HYPERLINK("https://twitter.com/Darmalik3","@Darmalik3")</f>
        <v>@Darmalik3</v>
      </c>
      <c r="C7757" s="8" t="s">
        <v>3660</v>
      </c>
      <c r="D7757" s="8">
        <v>1</v>
      </c>
      <c r="E7757" s="8">
        <v>0</v>
      </c>
      <c r="F7757" s="8">
        <v>1860</v>
      </c>
    </row>
    <row r="7758" spans="1:6" ht="12.75">
      <c r="A7758" s="8">
        <v>43901.492303240739</v>
      </c>
      <c r="B7758" s="8" t="str">
        <f>HYPERLINK("https://twitter.com/SutrisnoUcu","@SutrisnoUcu")</f>
        <v>@SutrisnoUcu</v>
      </c>
      <c r="C7758" s="8" t="s">
        <v>3661</v>
      </c>
      <c r="D7758" s="8">
        <v>0</v>
      </c>
      <c r="E7758" s="8">
        <v>0</v>
      </c>
      <c r="F7758" s="8">
        <v>308</v>
      </c>
    </row>
    <row r="7759" spans="1:6" ht="12.75">
      <c r="A7759" s="8">
        <v>43901.491689814815</v>
      </c>
      <c r="B7759" s="8" t="str">
        <f>HYPERLINK("https://twitter.com/republikaonline","@republikaonline")</f>
        <v>@republikaonline</v>
      </c>
      <c r="C7759" s="8" t="s">
        <v>3662</v>
      </c>
      <c r="D7759" s="8">
        <v>0</v>
      </c>
      <c r="E7759" s="8">
        <v>1</v>
      </c>
      <c r="F7759" s="8">
        <v>1223937</v>
      </c>
    </row>
    <row r="7760" spans="1:6" ht="12.75">
      <c r="A7760" s="8">
        <v>43901.49155092593</v>
      </c>
      <c r="B7760" s="8" t="str">
        <f t="shared" ref="B7760:B7761" si="134">HYPERLINK("https://twitter.com/Darmalik3","@Darmalik3")</f>
        <v>@Darmalik3</v>
      </c>
      <c r="C7760" s="8" t="s">
        <v>3663</v>
      </c>
      <c r="D7760" s="8">
        <v>1</v>
      </c>
      <c r="E7760" s="8">
        <v>0</v>
      </c>
      <c r="F7760" s="8">
        <v>1860</v>
      </c>
    </row>
    <row r="7761" spans="1:6" ht="12.75">
      <c r="A7761" s="8">
        <v>43901.491388888884</v>
      </c>
      <c r="B7761" s="8" t="str">
        <f t="shared" si="134"/>
        <v>@Darmalik3</v>
      </c>
      <c r="C7761" s="8" t="s">
        <v>3664</v>
      </c>
      <c r="D7761" s="8">
        <v>2</v>
      </c>
      <c r="E7761" s="8">
        <v>0</v>
      </c>
      <c r="F7761" s="8">
        <v>1860</v>
      </c>
    </row>
    <row r="7762" spans="1:6" ht="12.75">
      <c r="A7762" s="8">
        <v>43901.491284722222</v>
      </c>
      <c r="B7762" s="8" t="str">
        <f>HYPERLINK("https://twitter.com/fans_ayanami","@fans_ayanami")</f>
        <v>@fans_ayanami</v>
      </c>
      <c r="C7762" s="8" t="s">
        <v>2989</v>
      </c>
      <c r="D7762" s="8">
        <v>58</v>
      </c>
      <c r="E7762" s="8">
        <v>0</v>
      </c>
      <c r="F7762" s="8">
        <v>467</v>
      </c>
    </row>
    <row r="7763" spans="1:6" ht="12.75">
      <c r="A7763" s="8">
        <v>43901.490868055553</v>
      </c>
      <c r="B7763" s="8" t="str">
        <f>HYPERLINK("https://twitter.com/KBRI_Manila","@KBRI_Manila")</f>
        <v>@KBRI_Manila</v>
      </c>
      <c r="C7763" s="8" t="s">
        <v>3665</v>
      </c>
      <c r="D7763" s="8">
        <v>0</v>
      </c>
      <c r="E7763" s="8">
        <v>0</v>
      </c>
      <c r="F7763" s="8">
        <v>1099</v>
      </c>
    </row>
    <row r="7764" spans="1:6" ht="12.75">
      <c r="A7764" s="8">
        <v>43901.490277777775</v>
      </c>
      <c r="B7764" s="8" t="str">
        <f>HYPERLINK("https://twitter.com/Tulang_Godang","@Tulang_Godang")</f>
        <v>@Tulang_Godang</v>
      </c>
      <c r="C7764" s="8" t="s">
        <v>1801</v>
      </c>
      <c r="D7764" s="8">
        <v>267</v>
      </c>
      <c r="E7764" s="8">
        <v>0</v>
      </c>
      <c r="F7764" s="8">
        <v>579</v>
      </c>
    </row>
    <row r="7765" spans="1:6" ht="12.75">
      <c r="A7765" s="8">
        <v>43901.49018518519</v>
      </c>
      <c r="B7765" s="8" t="str">
        <f>HYPERLINK("https://twitter.com/seno_hartanto","@seno_hartanto")</f>
        <v>@seno_hartanto</v>
      </c>
      <c r="C7765" s="8" t="s">
        <v>2989</v>
      </c>
      <c r="D7765" s="8">
        <v>58</v>
      </c>
      <c r="E7765" s="8">
        <v>0</v>
      </c>
      <c r="F7765" s="8">
        <v>351</v>
      </c>
    </row>
    <row r="7766" spans="1:6" ht="12.75">
      <c r="A7766" s="8">
        <v>43901.489942129629</v>
      </c>
      <c r="B7766" s="8" t="str">
        <f>HYPERLINK("https://twitter.com/ajeeysaka","@ajeeysaka")</f>
        <v>@ajeeysaka</v>
      </c>
      <c r="C7766" s="8" t="s">
        <v>1801</v>
      </c>
      <c r="D7766" s="8">
        <v>267</v>
      </c>
      <c r="E7766" s="8">
        <v>0</v>
      </c>
      <c r="F7766" s="8">
        <v>754</v>
      </c>
    </row>
    <row r="7767" spans="1:6" ht="12.75">
      <c r="A7767" s="8">
        <v>43901.489432870367</v>
      </c>
      <c r="B7767" s="8" t="str">
        <f>HYPERLINK("https://twitter.com/yunusbara71","@yunusbara71")</f>
        <v>@yunusbara71</v>
      </c>
      <c r="C7767" s="8" t="s">
        <v>318</v>
      </c>
      <c r="D7767" s="8">
        <v>1287</v>
      </c>
      <c r="E7767" s="8">
        <v>0</v>
      </c>
      <c r="F7767" s="8">
        <v>1519</v>
      </c>
    </row>
    <row r="7768" spans="1:6" ht="12.75">
      <c r="A7768" s="8">
        <v>43901.48940972222</v>
      </c>
      <c r="B7768" s="8" t="str">
        <f>HYPERLINK("https://twitter.com/kaskus","@kaskus")</f>
        <v>@kaskus</v>
      </c>
      <c r="C7768" s="8" t="s">
        <v>3666</v>
      </c>
      <c r="D7768" s="8">
        <v>0</v>
      </c>
      <c r="E7768" s="8">
        <v>1</v>
      </c>
      <c r="F7768" s="8">
        <v>2615090</v>
      </c>
    </row>
    <row r="7769" spans="1:6" ht="12.75">
      <c r="A7769" s="8">
        <v>43901.489317129628</v>
      </c>
      <c r="B7769" s="8" t="str">
        <f>HYPERLINK("https://twitter.com/Roskafe1","@Roskafe1")</f>
        <v>@Roskafe1</v>
      </c>
      <c r="C7769" s="8" t="s">
        <v>2989</v>
      </c>
      <c r="D7769" s="8">
        <v>58</v>
      </c>
      <c r="E7769" s="8">
        <v>0</v>
      </c>
      <c r="F7769" s="8">
        <v>2511</v>
      </c>
    </row>
    <row r="7770" spans="1:6" ht="12.75">
      <c r="A7770" s="8">
        <v>43901.488680555558</v>
      </c>
      <c r="B7770" s="8" t="str">
        <f>HYPERLINK("https://twitter.com/mumin_rb","@mumin_rb")</f>
        <v>@mumin_rb</v>
      </c>
      <c r="C7770" s="8" t="s">
        <v>3667</v>
      </c>
      <c r="D7770" s="8">
        <v>1</v>
      </c>
      <c r="E7770" s="8">
        <v>0</v>
      </c>
      <c r="F7770" s="8">
        <v>803</v>
      </c>
    </row>
    <row r="7771" spans="1:6" ht="12.75">
      <c r="A7771" s="8">
        <v>43901.488437499997</v>
      </c>
      <c r="B7771" s="8" t="str">
        <f>HYPERLINK("https://twitter.com/Darmalik3","@Darmalik3")</f>
        <v>@Darmalik3</v>
      </c>
      <c r="C7771" s="8" t="s">
        <v>3668</v>
      </c>
      <c r="D7771" s="8">
        <v>1</v>
      </c>
      <c r="E7771" s="8">
        <v>0</v>
      </c>
      <c r="F7771" s="8">
        <v>1860</v>
      </c>
    </row>
    <row r="7772" spans="1:6" ht="12.75">
      <c r="A7772" s="8">
        <v>43901.488425925927</v>
      </c>
      <c r="B7772" s="8" t="str">
        <f>HYPERLINK("https://twitter.com/callmeivana_","@callmeivana_")</f>
        <v>@callmeivana_</v>
      </c>
      <c r="C7772" s="8" t="s">
        <v>1186</v>
      </c>
      <c r="D7772" s="8">
        <v>315</v>
      </c>
      <c r="E7772" s="8">
        <v>0</v>
      </c>
      <c r="F7772" s="8">
        <v>36</v>
      </c>
    </row>
    <row r="7773" spans="1:6" ht="12.75">
      <c r="A7773" s="8">
        <v>43901.488263888888</v>
      </c>
      <c r="B7773" s="8" t="str">
        <f>HYPERLINK("https://twitter.com/dk_destha","@dk_destha")</f>
        <v>@dk_destha</v>
      </c>
      <c r="C7773" s="8" t="s">
        <v>3669</v>
      </c>
      <c r="D7773" s="8">
        <v>0</v>
      </c>
      <c r="E7773" s="8">
        <v>0</v>
      </c>
      <c r="F7773" s="8">
        <v>72</v>
      </c>
    </row>
    <row r="7774" spans="1:6" ht="12.75">
      <c r="A7774" s="8">
        <v>43901.488171296296</v>
      </c>
      <c r="B7774" s="8" t="str">
        <f>HYPERLINK("https://twitter.com/Bravo_19PAS","@Bravo_19PAS")</f>
        <v>@Bravo_19PAS</v>
      </c>
      <c r="C7774" s="8" t="s">
        <v>318</v>
      </c>
      <c r="D7774" s="8">
        <v>1287</v>
      </c>
      <c r="E7774" s="8">
        <v>0</v>
      </c>
      <c r="F7774" s="8">
        <v>4134</v>
      </c>
    </row>
    <row r="7775" spans="1:6" ht="12.75">
      <c r="A7775" s="8">
        <v>43901.487789351857</v>
      </c>
      <c r="B7775" s="8" t="str">
        <f>HYPERLINK("https://twitter.com/YRadianto","@YRadianto")</f>
        <v>@YRadianto</v>
      </c>
      <c r="C7775" s="8" t="s">
        <v>1801</v>
      </c>
      <c r="D7775" s="8">
        <v>267</v>
      </c>
      <c r="E7775" s="8">
        <v>0</v>
      </c>
      <c r="F7775" s="8">
        <v>29599</v>
      </c>
    </row>
    <row r="7776" spans="1:6" ht="12.75">
      <c r="A7776" s="8">
        <v>43901.48741898148</v>
      </c>
      <c r="B7776" s="8" t="str">
        <f>HYPERLINK("https://twitter.com/segarabanyu1","@segarabanyu1")</f>
        <v>@segarabanyu1</v>
      </c>
      <c r="C7776" s="8" t="s">
        <v>1801</v>
      </c>
      <c r="D7776" s="8">
        <v>267</v>
      </c>
      <c r="E7776" s="8">
        <v>0</v>
      </c>
      <c r="F7776" s="8">
        <v>3131</v>
      </c>
    </row>
    <row r="7777" spans="1:6" ht="12.75">
      <c r="A7777" s="8">
        <v>43901.487071759257</v>
      </c>
      <c r="B7777" s="8" t="str">
        <f>HYPERLINK("https://twitter.com/AnaAleys","@AnaAleys")</f>
        <v>@AnaAleys</v>
      </c>
      <c r="C7777" s="8" t="s">
        <v>2989</v>
      </c>
      <c r="D7777" s="8">
        <v>58</v>
      </c>
      <c r="E7777" s="8">
        <v>0</v>
      </c>
      <c r="F7777" s="8">
        <v>10</v>
      </c>
    </row>
    <row r="7778" spans="1:6" ht="12.75">
      <c r="A7778" s="8">
        <v>43901.486516203702</v>
      </c>
      <c r="B7778" s="8" t="str">
        <f>HYPERLINK("https://twitter.com/Karinaarmd","@Karinaarmd")</f>
        <v>@Karinaarmd</v>
      </c>
      <c r="C7778" s="8" t="s">
        <v>2989</v>
      </c>
      <c r="D7778" s="8">
        <v>58</v>
      </c>
      <c r="E7778" s="8">
        <v>0</v>
      </c>
      <c r="F7778" s="8">
        <v>61</v>
      </c>
    </row>
    <row r="7779" spans="1:6" ht="12.75">
      <c r="A7779" s="8">
        <v>43901.486284722225</v>
      </c>
      <c r="B7779" s="8" t="str">
        <f>HYPERLINK("https://twitter.com/Adusteaa","@Adusteaa")</f>
        <v>@Adusteaa</v>
      </c>
      <c r="C7779" s="8" t="s">
        <v>3670</v>
      </c>
      <c r="D7779" s="8">
        <v>0</v>
      </c>
      <c r="E7779" s="8">
        <v>0</v>
      </c>
      <c r="F7779" s="8">
        <v>30</v>
      </c>
    </row>
    <row r="7780" spans="1:6" ht="12.75">
      <c r="A7780" s="8">
        <v>43901.485798611116</v>
      </c>
      <c r="B7780" s="8" t="str">
        <f>HYPERLINK("https://twitter.com/kbri_tashkent","@kbri_tashkent")</f>
        <v>@kbri_tashkent</v>
      </c>
      <c r="C7780" s="8" t="s">
        <v>2177</v>
      </c>
      <c r="D7780" s="8">
        <v>38</v>
      </c>
      <c r="E7780" s="8">
        <v>0</v>
      </c>
      <c r="F7780" s="8">
        <v>386</v>
      </c>
    </row>
    <row r="7781" spans="1:6" ht="12.75">
      <c r="A7781" s="8">
        <v>43901.485601851848</v>
      </c>
      <c r="B7781" s="8" t="str">
        <f>HYPERLINK("https://twitter.com/Agus0381A","@Agus0381A")</f>
        <v>@Agus0381A</v>
      </c>
      <c r="C7781" s="8" t="s">
        <v>3671</v>
      </c>
      <c r="D7781" s="8">
        <v>0</v>
      </c>
      <c r="E7781" s="8">
        <v>0</v>
      </c>
      <c r="F7781" s="8">
        <v>591</v>
      </c>
    </row>
    <row r="7782" spans="1:6" ht="12.75">
      <c r="A7782" s="8">
        <v>43901.485439814816</v>
      </c>
      <c r="B7782" s="8" t="str">
        <f>HYPERLINK("https://twitter.com/isis_macedo10","@isis_macedo10")</f>
        <v>@isis_macedo10</v>
      </c>
      <c r="C7782" s="8" t="s">
        <v>3672</v>
      </c>
      <c r="D7782" s="8">
        <v>0</v>
      </c>
      <c r="E7782" s="8">
        <v>0</v>
      </c>
      <c r="F7782" s="8">
        <v>5350</v>
      </c>
    </row>
    <row r="7783" spans="1:6" ht="12.75">
      <c r="A7783" s="8">
        <v>43901.484907407408</v>
      </c>
      <c r="B7783" s="8" t="str">
        <f>HYPERLINK("https://twitter.com/Toinktoink22","@Toinktoink22")</f>
        <v>@Toinktoink22</v>
      </c>
      <c r="C7783" s="8" t="s">
        <v>1186</v>
      </c>
      <c r="D7783" s="8">
        <v>315</v>
      </c>
      <c r="E7783" s="8">
        <v>0</v>
      </c>
      <c r="F7783" s="8">
        <v>227</v>
      </c>
    </row>
    <row r="7784" spans="1:6" ht="12.75">
      <c r="A7784" s="8">
        <v>43901.483668981484</v>
      </c>
      <c r="B7784" s="8" t="str">
        <f>HYPERLINK("https://twitter.com/robert868686","@robert868686")</f>
        <v>@robert868686</v>
      </c>
      <c r="C7784" s="8" t="s">
        <v>3673</v>
      </c>
      <c r="D7784" s="8">
        <v>0</v>
      </c>
      <c r="E7784" s="8">
        <v>0</v>
      </c>
      <c r="F7784" s="8">
        <v>261</v>
      </c>
    </row>
    <row r="7785" spans="1:6" ht="12.75">
      <c r="A7785" s="8">
        <v>43901.483599537038</v>
      </c>
      <c r="B7785" s="8" t="str">
        <f>HYPERLINK("https://twitter.com/Kopi_laut","@Kopi_laut")</f>
        <v>@Kopi_laut</v>
      </c>
      <c r="C7785" s="8" t="s">
        <v>1186</v>
      </c>
      <c r="D7785" s="8">
        <v>315</v>
      </c>
      <c r="E7785" s="8">
        <v>0</v>
      </c>
      <c r="F7785" s="8">
        <v>1839</v>
      </c>
    </row>
    <row r="7786" spans="1:6" ht="12.75">
      <c r="A7786" s="8">
        <v>43901.483032407406</v>
      </c>
      <c r="B7786" s="8" t="str">
        <f>HYPERLINK("https://twitter.com/leeza_dearest","@leeza_dearest")</f>
        <v>@leeza_dearest</v>
      </c>
      <c r="C7786" s="8" t="s">
        <v>3422</v>
      </c>
      <c r="D7786" s="8">
        <v>9</v>
      </c>
      <c r="E7786" s="8">
        <v>0</v>
      </c>
      <c r="F7786" s="8">
        <v>87</v>
      </c>
    </row>
    <row r="7787" spans="1:6" ht="12.75">
      <c r="A7787" s="8">
        <v>43901.48300925926</v>
      </c>
      <c r="B7787" s="8" t="str">
        <f>HYPERLINK("https://twitter.com/Info_Tidung","@Info_Tidung")</f>
        <v>@Info_Tidung</v>
      </c>
      <c r="C7787" s="8" t="s">
        <v>3674</v>
      </c>
      <c r="D7787" s="8">
        <v>0</v>
      </c>
      <c r="E7787" s="8">
        <v>0</v>
      </c>
      <c r="F7787" s="8">
        <v>126</v>
      </c>
    </row>
    <row r="7788" spans="1:6" ht="12.75">
      <c r="A7788" s="8">
        <v>43901.482662037037</v>
      </c>
      <c r="B7788" s="8" t="str">
        <f>HYPERLINK("https://twitter.com/Pak_ezza","@Pak_ezza")</f>
        <v>@Pak_ezza</v>
      </c>
      <c r="C7788" s="8" t="s">
        <v>1801</v>
      </c>
      <c r="D7788" s="8">
        <v>267</v>
      </c>
      <c r="E7788" s="8">
        <v>0</v>
      </c>
      <c r="F7788" s="8">
        <v>120</v>
      </c>
    </row>
    <row r="7789" spans="1:6" ht="12.75">
      <c r="A7789" s="8">
        <v>43901.482476851852</v>
      </c>
      <c r="B7789" s="8" t="str">
        <f>HYPERLINK("https://twitter.com/mr_supiansyah","@mr_supiansyah")</f>
        <v>@mr_supiansyah</v>
      </c>
      <c r="C7789" s="8" t="s">
        <v>2989</v>
      </c>
      <c r="D7789" s="8">
        <v>58</v>
      </c>
      <c r="E7789" s="8">
        <v>0</v>
      </c>
      <c r="F7789" s="8">
        <v>2061</v>
      </c>
    </row>
    <row r="7790" spans="1:6" ht="12.75">
      <c r="A7790" s="8">
        <v>43901.482430555552</v>
      </c>
      <c r="B7790" s="8" t="str">
        <f>HYPERLINK("https://twitter.com/BuditTriyono","@BuditTriyono")</f>
        <v>@BuditTriyono</v>
      </c>
      <c r="C7790" s="8" t="s">
        <v>1186</v>
      </c>
      <c r="D7790" s="8">
        <v>315</v>
      </c>
      <c r="E7790" s="8">
        <v>0</v>
      </c>
      <c r="F7790" s="8">
        <v>862</v>
      </c>
    </row>
    <row r="7791" spans="1:6" ht="12.75">
      <c r="A7791" s="8">
        <v>43901.481886574074</v>
      </c>
      <c r="B7791" s="8" t="str">
        <f>HYPERLINK("https://twitter.com/Aq64987848","@Aq64987848")</f>
        <v>@Aq64987848</v>
      </c>
      <c r="C7791" s="8" t="s">
        <v>2989</v>
      </c>
      <c r="D7791" s="8">
        <v>58</v>
      </c>
      <c r="E7791" s="8">
        <v>0</v>
      </c>
      <c r="F7791" s="8">
        <v>144</v>
      </c>
    </row>
    <row r="7792" spans="1:6" ht="12.75">
      <c r="A7792" s="8">
        <v>43901.481840277775</v>
      </c>
      <c r="B7792" s="8" t="str">
        <f>HYPERLINK("https://twitter.com/AtasYuda","@AtasYuda")</f>
        <v>@AtasYuda</v>
      </c>
      <c r="C7792" s="8" t="s">
        <v>2989</v>
      </c>
      <c r="D7792" s="8">
        <v>58</v>
      </c>
      <c r="E7792" s="8">
        <v>0</v>
      </c>
      <c r="F7792" s="8">
        <v>748</v>
      </c>
    </row>
    <row r="7793" spans="1:6" ht="12.75">
      <c r="A7793" s="8">
        <v>43901.481574074074</v>
      </c>
      <c r="B7793" s="8" t="str">
        <f>HYPERLINK("https://twitter.com/IncekCs","@IncekCs")</f>
        <v>@IncekCs</v>
      </c>
      <c r="C7793" s="8" t="s">
        <v>2989</v>
      </c>
      <c r="D7793" s="8">
        <v>58</v>
      </c>
      <c r="E7793" s="8">
        <v>0</v>
      </c>
      <c r="F7793" s="8">
        <v>506</v>
      </c>
    </row>
    <row r="7794" spans="1:6" ht="12.75">
      <c r="A7794" s="8">
        <v>43901.481435185182</v>
      </c>
      <c r="B7794" s="8" t="str">
        <f>HYPERLINK("https://twitter.com/mikahakim3","@mikahakim3")</f>
        <v>@mikahakim3</v>
      </c>
      <c r="C7794" s="8" t="s">
        <v>1186</v>
      </c>
      <c r="D7794" s="8">
        <v>315</v>
      </c>
      <c r="E7794" s="8">
        <v>0</v>
      </c>
      <c r="F7794" s="8">
        <v>3467</v>
      </c>
    </row>
    <row r="7795" spans="1:6" ht="12.75">
      <c r="A7795" s="8">
        <v>43901.481076388889</v>
      </c>
      <c r="B7795" s="8" t="str">
        <f>HYPERLINK("https://twitter.com/dindun80","@dindun80")</f>
        <v>@dindun80</v>
      </c>
      <c r="C7795" s="8" t="s">
        <v>2989</v>
      </c>
      <c r="D7795" s="8">
        <v>58</v>
      </c>
      <c r="E7795" s="8">
        <v>0</v>
      </c>
      <c r="F7795" s="8">
        <v>117</v>
      </c>
    </row>
    <row r="7796" spans="1:6" ht="12.75">
      <c r="A7796" s="8">
        <v>43901.480798611112</v>
      </c>
      <c r="B7796" s="8" t="str">
        <f>HYPERLINK("https://twitter.com/BillTemporo","@BillTemporo")</f>
        <v>@BillTemporo</v>
      </c>
      <c r="C7796" s="8" t="s">
        <v>384</v>
      </c>
      <c r="D7796" s="8">
        <v>0</v>
      </c>
      <c r="E7796" s="8">
        <v>0</v>
      </c>
      <c r="F7796" s="8">
        <v>11</v>
      </c>
    </row>
    <row r="7797" spans="1:6" ht="12.75">
      <c r="A7797" s="8">
        <v>43901.480775462958</v>
      </c>
      <c r="B7797" s="8" t="str">
        <f>HYPERLINK("https://twitter.com/Zulham_Setiadi3","@Zulham_Setiadi3")</f>
        <v>@Zulham_Setiadi3</v>
      </c>
      <c r="C7797" s="8" t="s">
        <v>2989</v>
      </c>
      <c r="D7797" s="8">
        <v>58</v>
      </c>
      <c r="E7797" s="8">
        <v>0</v>
      </c>
      <c r="F7797" s="8">
        <v>326</v>
      </c>
    </row>
    <row r="7798" spans="1:6" ht="12.75">
      <c r="A7798" s="8">
        <v>43901.480706018519</v>
      </c>
      <c r="B7798" s="8" t="str">
        <f>HYPERLINK("https://twitter.com/tempodotco","@tempodotco")</f>
        <v>@tempodotco</v>
      </c>
      <c r="C7798" s="8" t="s">
        <v>3675</v>
      </c>
      <c r="D7798" s="8">
        <v>1</v>
      </c>
      <c r="E7798" s="8">
        <v>6</v>
      </c>
      <c r="F7798" s="8">
        <v>1713735</v>
      </c>
    </row>
    <row r="7799" spans="1:6" ht="12.75">
      <c r="A7799" s="8">
        <v>43901.479745370365</v>
      </c>
      <c r="B7799" s="8" t="str">
        <f>HYPERLINK("https://twitter.com/David90106531","@David90106531")</f>
        <v>@David90106531</v>
      </c>
      <c r="C7799" s="8" t="s">
        <v>1186</v>
      </c>
      <c r="D7799" s="8">
        <v>315</v>
      </c>
      <c r="E7799" s="8">
        <v>0</v>
      </c>
      <c r="F7799" s="8">
        <v>123</v>
      </c>
    </row>
    <row r="7800" spans="1:6" ht="12.75">
      <c r="A7800" s="8">
        <v>43901.479247685187</v>
      </c>
      <c r="B7800" s="8" t="str">
        <f>HYPERLINK("https://twitter.com/FEBRIANADK","@FEBRIANADK")</f>
        <v>@FEBRIANADK</v>
      </c>
      <c r="C7800" s="8" t="s">
        <v>3676</v>
      </c>
      <c r="D7800" s="8">
        <v>0</v>
      </c>
      <c r="E7800" s="8">
        <v>0</v>
      </c>
      <c r="F7800" s="8">
        <v>350</v>
      </c>
    </row>
    <row r="7801" spans="1:6" ht="12.75">
      <c r="A7801" s="8">
        <v>43901.478645833333</v>
      </c>
      <c r="B7801" s="8" t="str">
        <f>HYPERLINK("https://twitter.com/KJRI_CapeTown","@KJRI_CapeTown")</f>
        <v>@KJRI_CapeTown</v>
      </c>
      <c r="C7801" s="8" t="s">
        <v>2851</v>
      </c>
      <c r="D7801" s="8">
        <v>63</v>
      </c>
      <c r="E7801" s="8">
        <v>0</v>
      </c>
      <c r="F7801" s="8">
        <v>125</v>
      </c>
    </row>
    <row r="7802" spans="1:6" ht="12.75">
      <c r="A7802" s="8">
        <v>43901.478437500002</v>
      </c>
      <c r="B7802" s="8" t="str">
        <f>HYPERLINK("https://twitter.com/myatharva","@myatharva")</f>
        <v>@myatharva</v>
      </c>
      <c r="C7802" s="8" t="s">
        <v>3677</v>
      </c>
      <c r="D7802" s="8">
        <v>0</v>
      </c>
      <c r="E7802" s="8">
        <v>0</v>
      </c>
      <c r="F7802" s="8">
        <v>4038</v>
      </c>
    </row>
    <row r="7803" spans="1:6" ht="12.75">
      <c r="A7803" s="8">
        <v>43901.477696759262</v>
      </c>
      <c r="B7803" s="8" t="str">
        <f>HYPERLINK("https://twitter.com/KavindraOemar","@KavindraOemar")</f>
        <v>@KavindraOemar</v>
      </c>
      <c r="C7803" s="8" t="s">
        <v>3657</v>
      </c>
      <c r="D7803" s="8">
        <v>3</v>
      </c>
      <c r="E7803" s="8">
        <v>0</v>
      </c>
      <c r="F7803" s="8">
        <v>3738</v>
      </c>
    </row>
    <row r="7804" spans="1:6" ht="12.75">
      <c r="A7804" s="8">
        <v>43901.477581018524</v>
      </c>
      <c r="B7804" s="8" t="str">
        <f>HYPERLINK("https://twitter.com/BeritaCenter","@BeritaCenter")</f>
        <v>@BeritaCenter</v>
      </c>
      <c r="C7804" s="8" t="s">
        <v>3678</v>
      </c>
      <c r="D7804" s="8">
        <v>0</v>
      </c>
      <c r="E7804" s="8">
        <v>0</v>
      </c>
      <c r="F7804" s="8">
        <v>9410</v>
      </c>
    </row>
    <row r="7805" spans="1:6" ht="12.75">
      <c r="A7805" s="8">
        <v>43901.477280092593</v>
      </c>
      <c r="B7805" s="8" t="str">
        <f>HYPERLINK("https://twitter.com/AlokSha32301149","@AlokSha32301149")</f>
        <v>@AlokSha32301149</v>
      </c>
      <c r="C7805" s="8" t="s">
        <v>3679</v>
      </c>
      <c r="D7805" s="8">
        <v>0</v>
      </c>
      <c r="E7805" s="8">
        <v>0</v>
      </c>
      <c r="F7805" s="8">
        <v>43</v>
      </c>
    </row>
    <row r="7806" spans="1:6" ht="12.75">
      <c r="A7806" s="8">
        <v>43901.477048611108</v>
      </c>
      <c r="B7806" s="8" t="str">
        <f>HYPERLINK("https://twitter.com/NewRenaaa","@NewRenaaa")</f>
        <v>@NewRenaaa</v>
      </c>
      <c r="C7806" s="8" t="s">
        <v>1186</v>
      </c>
      <c r="D7806" s="8">
        <v>315</v>
      </c>
      <c r="E7806" s="8">
        <v>0</v>
      </c>
      <c r="F7806" s="8">
        <v>5071</v>
      </c>
    </row>
    <row r="7807" spans="1:6" ht="12.75">
      <c r="A7807" s="8">
        <v>43901.476481481484</v>
      </c>
      <c r="B7807" s="8" t="str">
        <f>HYPERLINK("https://twitter.com/tempodotco","@tempodotco")</f>
        <v>@tempodotco</v>
      </c>
      <c r="C7807" s="8" t="s">
        <v>3680</v>
      </c>
      <c r="D7807" s="8">
        <v>0</v>
      </c>
      <c r="E7807" s="8">
        <v>1</v>
      </c>
      <c r="F7807" s="8">
        <v>1713735</v>
      </c>
    </row>
    <row r="7808" spans="1:6" ht="12.75">
      <c r="A7808" s="8">
        <v>43901.4762962963</v>
      </c>
      <c r="B7808" s="8" t="str">
        <f>HYPERLINK("https://twitter.com/cendananews","@cendananews")</f>
        <v>@cendananews</v>
      </c>
      <c r="C7808" s="8" t="s">
        <v>3681</v>
      </c>
      <c r="D7808" s="8">
        <v>0</v>
      </c>
      <c r="E7808" s="8">
        <v>0</v>
      </c>
      <c r="F7808" s="8">
        <v>4577</v>
      </c>
    </row>
    <row r="7809" spans="1:6" ht="12.75">
      <c r="A7809" s="8">
        <v>43901.476238425923</v>
      </c>
      <c r="B7809" s="8" t="str">
        <f>HYPERLINK("https://twitter.com/TabloidBintang","@TabloidBintang")</f>
        <v>@TabloidBintang</v>
      </c>
      <c r="C7809" s="8" t="s">
        <v>3682</v>
      </c>
      <c r="D7809" s="8">
        <v>1</v>
      </c>
      <c r="E7809" s="8">
        <v>0</v>
      </c>
      <c r="F7809" s="8">
        <v>134741</v>
      </c>
    </row>
    <row r="7810" spans="1:6" ht="12.75">
      <c r="A7810" s="8">
        <v>43901.476134259261</v>
      </c>
      <c r="B7810" s="8" t="str">
        <f>HYPERLINK("https://twitter.com/SyaBelLynJoeybd","@SyaBelLynJoeybd")</f>
        <v>@SyaBelLynJoeybd</v>
      </c>
      <c r="C7810" s="8" t="s">
        <v>1801</v>
      </c>
      <c r="D7810" s="8">
        <v>267</v>
      </c>
      <c r="E7810" s="8">
        <v>0</v>
      </c>
      <c r="F7810" s="8">
        <v>1388</v>
      </c>
    </row>
    <row r="7811" spans="1:6" ht="12.75">
      <c r="A7811" s="8">
        <v>43901.475775462968</v>
      </c>
      <c r="B7811" s="8" t="str">
        <f>HYPERLINK("https://twitter.com/onlyaidee","@onlyaidee")</f>
        <v>@onlyaidee</v>
      </c>
      <c r="C7811" s="8" t="s">
        <v>2989</v>
      </c>
      <c r="D7811" s="8">
        <v>58</v>
      </c>
      <c r="E7811" s="8">
        <v>0</v>
      </c>
      <c r="F7811" s="8">
        <v>810</v>
      </c>
    </row>
    <row r="7812" spans="1:6" ht="12.75">
      <c r="A7812" s="8">
        <v>43901.475729166668</v>
      </c>
      <c r="B7812" s="8" t="str">
        <f>HYPERLINK("https://twitter.com/hartono_mulyadi","@hartono_mulyadi")</f>
        <v>@hartono_mulyadi</v>
      </c>
      <c r="C7812" s="8" t="s">
        <v>2989</v>
      </c>
      <c r="D7812" s="8">
        <v>58</v>
      </c>
      <c r="E7812" s="8">
        <v>0</v>
      </c>
      <c r="F7812" s="8">
        <v>709</v>
      </c>
    </row>
    <row r="7813" spans="1:6" ht="12.75">
      <c r="A7813" s="8">
        <v>43901.475011574075</v>
      </c>
      <c r="B7813" s="8" t="str">
        <f>HYPERLINK("https://twitter.com/tryumnaa","@tryumnaa")</f>
        <v>@tryumnaa</v>
      </c>
      <c r="C7813" s="8" t="s">
        <v>2989</v>
      </c>
      <c r="D7813" s="8">
        <v>58</v>
      </c>
      <c r="E7813" s="8">
        <v>0</v>
      </c>
      <c r="F7813" s="8">
        <v>427</v>
      </c>
    </row>
    <row r="7814" spans="1:6" ht="12.75">
      <c r="A7814" s="8">
        <v>43901.474988425922</v>
      </c>
      <c r="B7814" s="8" t="str">
        <f>HYPERLINK("https://twitter.com/tempodotco","@tempodotco")</f>
        <v>@tempodotco</v>
      </c>
      <c r="C7814" s="8" t="s">
        <v>3683</v>
      </c>
      <c r="D7814" s="8">
        <v>1</v>
      </c>
      <c r="E7814" s="8">
        <v>3</v>
      </c>
      <c r="F7814" s="8">
        <v>1713735</v>
      </c>
    </row>
    <row r="7815" spans="1:6" ht="12.75">
      <c r="A7815" s="8">
        <v>43901.474953703699</v>
      </c>
      <c r="B7815" s="8" t="str">
        <f>HYPERLINK("https://twitter.com/PapoKikok","@PapoKikok")</f>
        <v>@PapoKikok</v>
      </c>
      <c r="C7815" s="8" t="s">
        <v>3684</v>
      </c>
      <c r="D7815" s="8">
        <v>0</v>
      </c>
      <c r="E7815" s="8">
        <v>0</v>
      </c>
      <c r="F7815" s="8">
        <v>105</v>
      </c>
    </row>
    <row r="7816" spans="1:6" ht="12.75">
      <c r="A7816" s="8">
        <v>43901.474803240737</v>
      </c>
      <c r="B7816" s="8" t="str">
        <f>HYPERLINK("https://twitter.com/AnakKolong___","@AnakKolong___")</f>
        <v>@AnakKolong___</v>
      </c>
      <c r="C7816" s="8" t="s">
        <v>3685</v>
      </c>
      <c r="D7816" s="8">
        <v>1</v>
      </c>
      <c r="E7816" s="8">
        <v>0</v>
      </c>
      <c r="F7816" s="8">
        <v>8238</v>
      </c>
    </row>
    <row r="7817" spans="1:6" ht="12.75">
      <c r="A7817" s="8">
        <v>43901.474733796298</v>
      </c>
      <c r="B7817" s="8" t="str">
        <f>HYPERLINK("https://twitter.com/healthyliveID","@healthyliveID")</f>
        <v>@healthyliveID</v>
      </c>
      <c r="C7817" s="8" t="s">
        <v>2606</v>
      </c>
      <c r="D7817" s="8">
        <v>3</v>
      </c>
      <c r="E7817" s="8">
        <v>0</v>
      </c>
      <c r="F7817" s="8">
        <v>45107</v>
      </c>
    </row>
    <row r="7818" spans="1:6" ht="12.75">
      <c r="A7818" s="8">
        <v>43901.464907407411</v>
      </c>
      <c r="B7818" s="8" t="str">
        <f>HYPERLINK("https://twitter.com/yani58989427","@yani58989427")</f>
        <v>@yani58989427</v>
      </c>
      <c r="C7818" s="8" t="s">
        <v>2989</v>
      </c>
      <c r="D7818" s="8">
        <v>27</v>
      </c>
      <c r="E7818" s="8">
        <v>0</v>
      </c>
      <c r="F7818" s="8">
        <v>63</v>
      </c>
    </row>
    <row r="7819" spans="1:6" ht="12.75">
      <c r="A7819" s="8">
        <v>43901.464374999996</v>
      </c>
      <c r="B7819" s="8" t="str">
        <f>HYPERLINK("https://twitter.com/catatankakihati","@catatankakihati")</f>
        <v>@catatankakihati</v>
      </c>
      <c r="C7819" s="8" t="s">
        <v>3686</v>
      </c>
      <c r="D7819" s="8">
        <v>0</v>
      </c>
      <c r="E7819" s="8">
        <v>1</v>
      </c>
      <c r="F7819" s="8">
        <v>3967</v>
      </c>
    </row>
    <row r="7820" spans="1:6" ht="12.75">
      <c r="A7820" s="8">
        <v>43901.464374999996</v>
      </c>
      <c r="B7820" s="8" t="str">
        <f>HYPERLINK("https://twitter.com/galangreal1","@galangreal1")</f>
        <v>@galangreal1</v>
      </c>
      <c r="C7820" s="8" t="s">
        <v>2989</v>
      </c>
      <c r="D7820" s="8">
        <v>27</v>
      </c>
      <c r="E7820" s="8">
        <v>0</v>
      </c>
      <c r="F7820" s="8">
        <v>2</v>
      </c>
    </row>
    <row r="7821" spans="1:6" ht="12.75">
      <c r="A7821" s="8">
        <v>43901.464270833334</v>
      </c>
      <c r="B7821" s="8" t="str">
        <f>HYPERLINK("https://twitter.com/thresasandra","@thresasandra")</f>
        <v>@thresasandra</v>
      </c>
      <c r="C7821" s="8" t="s">
        <v>3687</v>
      </c>
      <c r="D7821" s="8">
        <v>0</v>
      </c>
      <c r="E7821" s="8">
        <v>0</v>
      </c>
      <c r="F7821" s="8">
        <v>91</v>
      </c>
    </row>
    <row r="7822" spans="1:6" ht="12.75">
      <c r="A7822" s="8">
        <v>43901.464155092588</v>
      </c>
      <c r="B7822" s="8" t="str">
        <f>HYPERLINK("https://twitter.com/ayah_kin","@ayah_kin")</f>
        <v>@ayah_kin</v>
      </c>
      <c r="C7822" s="8" t="s">
        <v>2989</v>
      </c>
      <c r="D7822" s="8">
        <v>27</v>
      </c>
      <c r="E7822" s="8">
        <v>0</v>
      </c>
      <c r="F7822" s="8">
        <v>506</v>
      </c>
    </row>
    <row r="7823" spans="1:6" ht="12.75">
      <c r="A7823" s="8">
        <v>43901.464016203703</v>
      </c>
      <c r="B7823" s="8" t="str">
        <f>HYPERLINK("https://twitter.com/KJRISYDNEY","@KJRISYDNEY")</f>
        <v>@KJRISYDNEY</v>
      </c>
      <c r="C7823" s="8" t="s">
        <v>3688</v>
      </c>
      <c r="D7823" s="8">
        <v>0</v>
      </c>
      <c r="E7823" s="8">
        <v>0</v>
      </c>
      <c r="F7823" s="8">
        <v>3682</v>
      </c>
    </row>
    <row r="7824" spans="1:6" ht="12.75">
      <c r="A7824" s="8">
        <v>43901.463969907403</v>
      </c>
      <c r="B7824" s="8" t="str">
        <f>HYPERLINK("https://twitter.com/rudi_mulia","@rudi_mulia")</f>
        <v>@rudi_mulia</v>
      </c>
      <c r="C7824" s="8" t="s">
        <v>2989</v>
      </c>
      <c r="D7824" s="8">
        <v>27</v>
      </c>
      <c r="E7824" s="8">
        <v>0</v>
      </c>
      <c r="F7824" s="8">
        <v>291</v>
      </c>
    </row>
    <row r="7825" spans="1:6" ht="12.75">
      <c r="A7825" s="8">
        <v>43901.463680555556</v>
      </c>
      <c r="B7825" s="8" t="str">
        <f>HYPERLINK("https://twitter.com/izza_jeonss","@izza_jeonss")</f>
        <v>@izza_jeonss</v>
      </c>
      <c r="C7825" s="8" t="s">
        <v>3689</v>
      </c>
      <c r="D7825" s="8">
        <v>0</v>
      </c>
      <c r="E7825" s="8">
        <v>0</v>
      </c>
      <c r="F7825" s="8">
        <v>370</v>
      </c>
    </row>
    <row r="7826" spans="1:6" ht="12.75">
      <c r="A7826" s="8">
        <v>43901.463414351849</v>
      </c>
      <c r="B7826" s="8" t="str">
        <f>HYPERLINK("https://twitter.com/Dodeth3","@Dodeth3")</f>
        <v>@Dodeth3</v>
      </c>
      <c r="C7826" s="8" t="s">
        <v>2989</v>
      </c>
      <c r="D7826" s="8">
        <v>27</v>
      </c>
      <c r="E7826" s="8">
        <v>0</v>
      </c>
      <c r="F7826" s="8">
        <v>5</v>
      </c>
    </row>
    <row r="7827" spans="1:6" ht="12.75">
      <c r="A7827" s="8">
        <v>43901.463310185187</v>
      </c>
      <c r="B7827" s="8" t="str">
        <f>HYPERLINK("https://twitter.com/Razka16146397","@Razka16146397")</f>
        <v>@Razka16146397</v>
      </c>
      <c r="C7827" s="8" t="s">
        <v>2989</v>
      </c>
      <c r="D7827" s="8">
        <v>27</v>
      </c>
      <c r="E7827" s="8">
        <v>0</v>
      </c>
      <c r="F7827" s="8">
        <v>92</v>
      </c>
    </row>
    <row r="7828" spans="1:6" ht="12.75">
      <c r="A7828" s="8">
        <v>43901.463090277779</v>
      </c>
      <c r="B7828" s="8" t="str">
        <f>HYPERLINK("https://twitter.com/__Ndaru__","@__Ndaru__")</f>
        <v>@__Ndaru__</v>
      </c>
      <c r="C7828" s="8" t="s">
        <v>2989</v>
      </c>
      <c r="D7828" s="8">
        <v>27</v>
      </c>
      <c r="E7828" s="8">
        <v>0</v>
      </c>
      <c r="F7828" s="8">
        <v>351</v>
      </c>
    </row>
    <row r="7829" spans="1:6" ht="12.75">
      <c r="A7829" s="8">
        <v>43901.462534722217</v>
      </c>
      <c r="B7829" s="8" t="str">
        <f>HYPERLINK("https://twitter.com/beautydyah","@beautydyah")</f>
        <v>@beautydyah</v>
      </c>
      <c r="C7829" s="8" t="s">
        <v>2989</v>
      </c>
      <c r="D7829" s="8">
        <v>27</v>
      </c>
      <c r="E7829" s="8">
        <v>0</v>
      </c>
      <c r="F7829" s="8">
        <v>3392</v>
      </c>
    </row>
    <row r="7830" spans="1:6" ht="12.75">
      <c r="A7830" s="8">
        <v>43901.462384259255</v>
      </c>
      <c r="B7830" s="8" t="str">
        <f>HYPERLINK("https://twitter.com/dwitama_k","@dwitama_k")</f>
        <v>@dwitama_k</v>
      </c>
      <c r="C7830" s="8" t="s">
        <v>2989</v>
      </c>
      <c r="D7830" s="8">
        <v>27</v>
      </c>
      <c r="E7830" s="8">
        <v>0</v>
      </c>
      <c r="F7830" s="8">
        <v>380</v>
      </c>
    </row>
    <row r="7831" spans="1:6" ht="12.75">
      <c r="A7831" s="8">
        <v>43901.462337962963</v>
      </c>
      <c r="B7831" s="8" t="str">
        <f>HYPERLINK("https://twitter.com/rivaldoobed","@rivaldoobed")</f>
        <v>@rivaldoobed</v>
      </c>
      <c r="C7831" s="8" t="s">
        <v>3690</v>
      </c>
      <c r="D7831" s="8">
        <v>0</v>
      </c>
      <c r="E7831" s="8">
        <v>0</v>
      </c>
      <c r="F7831" s="8">
        <v>98</v>
      </c>
    </row>
    <row r="7832" spans="1:6" ht="12.75">
      <c r="A7832" s="8">
        <v>43901.462199074071</v>
      </c>
      <c r="B7832" s="8" t="str">
        <f>HYPERLINK("https://twitter.com/Irfan16345568","@Irfan16345568")</f>
        <v>@Irfan16345568</v>
      </c>
      <c r="C7832" s="8" t="s">
        <v>318</v>
      </c>
      <c r="D7832" s="8">
        <v>1278</v>
      </c>
      <c r="E7832" s="8">
        <v>0</v>
      </c>
      <c r="F7832" s="8">
        <v>27</v>
      </c>
    </row>
    <row r="7833" spans="1:6" ht="12.75">
      <c r="A7833" s="8">
        <v>43901.462129629625</v>
      </c>
      <c r="B7833" s="8" t="str">
        <f>HYPERLINK("https://twitter.com/PideksoRoyo1","@PideksoRoyo1")</f>
        <v>@PideksoRoyo1</v>
      </c>
      <c r="C7833" s="8" t="s">
        <v>2989</v>
      </c>
      <c r="D7833" s="8">
        <v>27</v>
      </c>
      <c r="E7833" s="8">
        <v>0</v>
      </c>
      <c r="F7833" s="8">
        <v>752</v>
      </c>
    </row>
    <row r="7834" spans="1:6" ht="12.75">
      <c r="A7834" s="8">
        <v>43901.462013888886</v>
      </c>
      <c r="B7834" s="8" t="str">
        <f>HYPERLINK("https://twitter.com/JoePhiyo","@JoePhiyo")</f>
        <v>@JoePhiyo</v>
      </c>
      <c r="C7834" s="8" t="s">
        <v>2989</v>
      </c>
      <c r="D7834" s="8">
        <v>27</v>
      </c>
      <c r="E7834" s="8">
        <v>0</v>
      </c>
      <c r="F7834" s="8">
        <v>2298</v>
      </c>
    </row>
    <row r="7835" spans="1:6" ht="12.75">
      <c r="A7835" s="8">
        <v>43901.461956018524</v>
      </c>
      <c r="B7835" s="8" t="str">
        <f>HYPERLINK("https://twitter.com/cbudiman38","@cbudiman38")</f>
        <v>@cbudiman38</v>
      </c>
      <c r="C7835" s="8" t="s">
        <v>2989</v>
      </c>
      <c r="D7835" s="8">
        <v>27</v>
      </c>
      <c r="E7835" s="8">
        <v>0</v>
      </c>
      <c r="F7835" s="8">
        <v>801</v>
      </c>
    </row>
    <row r="7836" spans="1:6" ht="12.75">
      <c r="A7836" s="8">
        <v>43901.461770833332</v>
      </c>
      <c r="B7836" s="8" t="str">
        <f>HYPERLINK("https://twitter.com/Esteh_angat","@Esteh_angat")</f>
        <v>@Esteh_angat</v>
      </c>
      <c r="C7836" s="8" t="s">
        <v>2989</v>
      </c>
      <c r="D7836" s="8">
        <v>27</v>
      </c>
      <c r="E7836" s="8">
        <v>0</v>
      </c>
      <c r="F7836" s="8">
        <v>422</v>
      </c>
    </row>
    <row r="7837" spans="1:6" ht="12.75">
      <c r="A7837" s="8">
        <v>43901.461724537032</v>
      </c>
      <c r="B7837" s="8" t="str">
        <f>HYPERLINK("https://twitter.com/uthe12340","@uthe12340")</f>
        <v>@uthe12340</v>
      </c>
      <c r="C7837" s="8" t="s">
        <v>2989</v>
      </c>
      <c r="D7837" s="8">
        <v>27</v>
      </c>
      <c r="E7837" s="8">
        <v>0</v>
      </c>
      <c r="F7837" s="8">
        <v>144</v>
      </c>
    </row>
    <row r="7838" spans="1:6" ht="12.75">
      <c r="A7838" s="8">
        <v>43901.461631944447</v>
      </c>
      <c r="B7838" s="8" t="str">
        <f>HYPERLINK("https://twitter.com/tfkris","@tfkris")</f>
        <v>@tfkris</v>
      </c>
      <c r="C7838" s="8" t="s">
        <v>3691</v>
      </c>
      <c r="D7838" s="8">
        <v>0</v>
      </c>
      <c r="E7838" s="8">
        <v>0</v>
      </c>
      <c r="F7838" s="8">
        <v>829</v>
      </c>
    </row>
    <row r="7839" spans="1:6" ht="12.75">
      <c r="A7839" s="8">
        <v>43901.461331018523</v>
      </c>
      <c r="B7839" s="8" t="str">
        <f>HYPERLINK("https://twitter.com/TopToross","@TopToross")</f>
        <v>@TopToross</v>
      </c>
      <c r="C7839" s="8" t="s">
        <v>2989</v>
      </c>
      <c r="D7839" s="8">
        <v>27</v>
      </c>
      <c r="E7839" s="8">
        <v>0</v>
      </c>
      <c r="F7839" s="8">
        <v>3290</v>
      </c>
    </row>
    <row r="7840" spans="1:6" ht="12.75">
      <c r="A7840" s="8">
        <v>43901.461192129631</v>
      </c>
      <c r="B7840" s="8" t="str">
        <f>HYPERLINK("https://twitter.com/Parsugapa","@Parsugapa")</f>
        <v>@Parsugapa</v>
      </c>
      <c r="C7840" s="8" t="s">
        <v>3692</v>
      </c>
      <c r="D7840" s="8">
        <v>0</v>
      </c>
      <c r="E7840" s="8">
        <v>0</v>
      </c>
      <c r="F7840" s="8">
        <v>70</v>
      </c>
    </row>
    <row r="7841" spans="1:6" ht="12.75">
      <c r="A7841" s="8">
        <v>43901.461168981477</v>
      </c>
      <c r="B7841" s="8" t="str">
        <f>HYPERLINK("https://twitter.com/blackpink828","@blackpink828")</f>
        <v>@blackpink828</v>
      </c>
      <c r="C7841" s="8" t="s">
        <v>2989</v>
      </c>
      <c r="D7841" s="8">
        <v>27</v>
      </c>
      <c r="E7841" s="8">
        <v>0</v>
      </c>
      <c r="F7841" s="8">
        <v>2856</v>
      </c>
    </row>
    <row r="7842" spans="1:6" ht="12.75">
      <c r="A7842" s="8">
        <v>43901.461018518516</v>
      </c>
      <c r="B7842" s="8" t="str">
        <f>HYPERLINK("https://twitter.com/__interlac_","@__interlac_")</f>
        <v>@__interlac_</v>
      </c>
      <c r="C7842" s="8" t="s">
        <v>2989</v>
      </c>
      <c r="D7842" s="8">
        <v>27</v>
      </c>
      <c r="E7842" s="8">
        <v>0</v>
      </c>
      <c r="F7842" s="8">
        <v>7376</v>
      </c>
    </row>
    <row r="7843" spans="1:6" ht="12.75">
      <c r="A7843" s="8">
        <v>43901.460995370369</v>
      </c>
      <c r="B7843" s="8" t="str">
        <f>HYPERLINK("https://twitter.com/Maya_Bifi","@Maya_Bifi")</f>
        <v>@Maya_Bifi</v>
      </c>
      <c r="C7843" s="8" t="s">
        <v>2989</v>
      </c>
      <c r="D7843" s="8">
        <v>27</v>
      </c>
      <c r="E7843" s="8">
        <v>0</v>
      </c>
      <c r="F7843" s="8">
        <v>675</v>
      </c>
    </row>
    <row r="7844" spans="1:6" ht="12.75">
      <c r="A7844" s="8">
        <v>43901.4609375</v>
      </c>
      <c r="B7844" s="8" t="str">
        <f>HYPERLINK("https://twitter.com/Ordinar38827379","@Ordinar38827379")</f>
        <v>@Ordinar38827379</v>
      </c>
      <c r="C7844" s="8" t="s">
        <v>3693</v>
      </c>
      <c r="D7844" s="8">
        <v>0</v>
      </c>
      <c r="E7844" s="8">
        <v>0</v>
      </c>
      <c r="F7844" s="8">
        <v>27</v>
      </c>
    </row>
    <row r="7845" spans="1:6" ht="12.75">
      <c r="A7845" s="8">
        <v>43901.460868055554</v>
      </c>
      <c r="B7845" s="8" t="str">
        <f>HYPERLINK("https://twitter.com/AbolichdZ","@AbolichdZ")</f>
        <v>@AbolichdZ</v>
      </c>
      <c r="C7845" s="8" t="s">
        <v>2989</v>
      </c>
      <c r="D7845" s="8">
        <v>27</v>
      </c>
      <c r="E7845" s="8">
        <v>0</v>
      </c>
      <c r="F7845" s="8">
        <v>853</v>
      </c>
    </row>
    <row r="7846" spans="1:6" ht="12.75">
      <c r="A7846" s="8">
        <v>43901.460810185185</v>
      </c>
      <c r="B7846" s="8" t="str">
        <f>HYPERLINK("https://twitter.com/OpiniRakyat2","@OpiniRakyat2")</f>
        <v>@OpiniRakyat2</v>
      </c>
      <c r="C7846" s="8" t="s">
        <v>2989</v>
      </c>
      <c r="D7846" s="8">
        <v>27</v>
      </c>
      <c r="E7846" s="8">
        <v>0</v>
      </c>
      <c r="F7846" s="8">
        <v>279</v>
      </c>
    </row>
    <row r="7847" spans="1:6" ht="12.75">
      <c r="A7847" s="8">
        <v>43901.460752314815</v>
      </c>
      <c r="B7847" s="8" t="str">
        <f>HYPERLINK("https://twitter.com/ndCapio","@ndCapio")</f>
        <v>@ndCapio</v>
      </c>
      <c r="C7847" s="8" t="s">
        <v>2989</v>
      </c>
      <c r="D7847" s="8">
        <v>27</v>
      </c>
      <c r="E7847" s="8">
        <v>0</v>
      </c>
      <c r="F7847" s="8">
        <v>655</v>
      </c>
    </row>
    <row r="7848" spans="1:6" ht="12.75">
      <c r="A7848" s="8">
        <v>43901.460682870369</v>
      </c>
      <c r="B7848" s="8" t="str">
        <f>HYPERLINK("https://twitter.com/agitcandra56","@agitcandra56")</f>
        <v>@agitcandra56</v>
      </c>
      <c r="C7848" s="8" t="s">
        <v>3694</v>
      </c>
      <c r="D7848" s="8">
        <v>0</v>
      </c>
      <c r="E7848" s="8">
        <v>0</v>
      </c>
      <c r="F7848" s="8">
        <v>1163</v>
      </c>
    </row>
    <row r="7849" spans="1:6" ht="12.75">
      <c r="A7849" s="8">
        <v>43901.460682870369</v>
      </c>
      <c r="B7849" s="8" t="str">
        <f>HYPERLINK("https://twitter.com/Kertas_pribumi","@Kertas_pribumi")</f>
        <v>@Kertas_pribumi</v>
      </c>
      <c r="C7849" s="8" t="s">
        <v>318</v>
      </c>
      <c r="D7849" s="8">
        <v>1278</v>
      </c>
      <c r="E7849" s="8">
        <v>0</v>
      </c>
      <c r="F7849" s="8">
        <v>674</v>
      </c>
    </row>
    <row r="7850" spans="1:6" ht="12.75">
      <c r="A7850" s="8">
        <v>43901.460312499999</v>
      </c>
      <c r="B7850" s="8" t="str">
        <f>HYPERLINK("https://twitter.com/tongsam_pah","@tongsam_pah")</f>
        <v>@tongsam_pah</v>
      </c>
      <c r="C7850" s="8" t="s">
        <v>2989</v>
      </c>
      <c r="D7850" s="8">
        <v>27</v>
      </c>
      <c r="E7850" s="8">
        <v>0</v>
      </c>
      <c r="F7850" s="8">
        <v>154</v>
      </c>
    </row>
    <row r="7851" spans="1:6" ht="12.75">
      <c r="A7851" s="8">
        <v>43901.459953703699</v>
      </c>
      <c r="B7851" s="8" t="str">
        <f>HYPERLINK("https://twitter.com/stob_it_jin","@stob_it_jin")</f>
        <v>@stob_it_jin</v>
      </c>
      <c r="C7851" s="8" t="s">
        <v>2989</v>
      </c>
      <c r="D7851" s="8">
        <v>27</v>
      </c>
      <c r="E7851" s="8">
        <v>0</v>
      </c>
      <c r="F7851" s="8">
        <v>708</v>
      </c>
    </row>
    <row r="7852" spans="1:6" ht="12.75">
      <c r="A7852" s="8">
        <v>43901.45988425926</v>
      </c>
      <c r="B7852" s="8" t="str">
        <f>HYPERLINK("https://twitter.com/ISIS_Balik_NO","@ISIS_Balik_NO")</f>
        <v>@ISIS_Balik_NO</v>
      </c>
      <c r="C7852" s="8" t="s">
        <v>3695</v>
      </c>
      <c r="D7852" s="8">
        <v>0</v>
      </c>
      <c r="E7852" s="8">
        <v>0</v>
      </c>
      <c r="F7852" s="8">
        <v>6229</v>
      </c>
    </row>
    <row r="7853" spans="1:6" ht="12.75">
      <c r="A7853" s="8">
        <v>43901.459710648152</v>
      </c>
      <c r="B7853" s="8" t="str">
        <f>HYPERLINK("https://twitter.com/Buk4nBunga","@Buk4nBunga")</f>
        <v>@Buk4nBunga</v>
      </c>
      <c r="C7853" s="8" t="s">
        <v>2989</v>
      </c>
      <c r="D7853" s="8">
        <v>27</v>
      </c>
      <c r="E7853" s="8">
        <v>0</v>
      </c>
      <c r="F7853" s="8">
        <v>1213</v>
      </c>
    </row>
    <row r="7854" spans="1:6" ht="12.75">
      <c r="A7854" s="8">
        <v>43901.459652777776</v>
      </c>
      <c r="B7854" s="8" t="str">
        <f>HYPERLINK("https://twitter.com/SalerominangId","@SalerominangId")</f>
        <v>@SalerominangId</v>
      </c>
      <c r="C7854" s="8" t="s">
        <v>3696</v>
      </c>
      <c r="D7854" s="8">
        <v>0</v>
      </c>
      <c r="E7854" s="8">
        <v>0</v>
      </c>
      <c r="F7854" s="8">
        <v>77</v>
      </c>
    </row>
    <row r="7855" spans="1:6" ht="12.75">
      <c r="A7855" s="8">
        <v>43901.459224537037</v>
      </c>
      <c r="B7855" s="8" t="str">
        <f>HYPERLINK("https://twitter.com/SutrisnoPradja","@SutrisnoPradja")</f>
        <v>@SutrisnoPradja</v>
      </c>
      <c r="C7855" s="8" t="s">
        <v>1801</v>
      </c>
      <c r="D7855" s="8">
        <v>252</v>
      </c>
      <c r="E7855" s="8">
        <v>0</v>
      </c>
      <c r="F7855" s="8">
        <v>312</v>
      </c>
    </row>
    <row r="7856" spans="1:6" ht="12.75">
      <c r="A7856" s="8">
        <v>43901.459189814814</v>
      </c>
      <c r="B7856" s="8" t="str">
        <f>HYPERLINK("https://twitter.com/dr_koko28","@dr_koko28")</f>
        <v>@dr_koko28</v>
      </c>
      <c r="C7856" s="8" t="s">
        <v>3697</v>
      </c>
      <c r="D7856" s="8">
        <v>27</v>
      </c>
      <c r="E7856" s="8">
        <v>46</v>
      </c>
      <c r="F7856" s="8">
        <v>53536</v>
      </c>
    </row>
    <row r="7857" spans="1:6" ht="12.75">
      <c r="A7857" s="8">
        <v>43901.459131944444</v>
      </c>
      <c r="B7857" s="8" t="str">
        <f>HYPERLINK("https://twitter.com/ISIS_Balik_NO","@ISIS_Balik_NO")</f>
        <v>@ISIS_Balik_NO</v>
      </c>
      <c r="C7857" s="8" t="s">
        <v>3698</v>
      </c>
      <c r="D7857" s="8">
        <v>0</v>
      </c>
      <c r="E7857" s="8">
        <v>0</v>
      </c>
      <c r="F7857" s="8">
        <v>6229</v>
      </c>
    </row>
    <row r="7858" spans="1:6" ht="12.75">
      <c r="A7858" s="8">
        <v>43901.458796296298</v>
      </c>
      <c r="B7858" s="8" t="str">
        <f>HYPERLINK("https://twitter.com/frenky_id","@frenky_id")</f>
        <v>@frenky_id</v>
      </c>
      <c r="C7858" s="8" t="s">
        <v>1186</v>
      </c>
      <c r="D7858" s="8">
        <v>296</v>
      </c>
      <c r="E7858" s="8">
        <v>0</v>
      </c>
      <c r="F7858" s="8">
        <v>6670</v>
      </c>
    </row>
    <row r="7859" spans="1:6" ht="12.75">
      <c r="A7859" s="8">
        <v>43901.458587962959</v>
      </c>
      <c r="B7859" s="8" t="str">
        <f>HYPERLINK("https://twitter.com/SyairRevolusi","@SyairRevolusi")</f>
        <v>@SyairRevolusi</v>
      </c>
      <c r="C7859" s="8" t="s">
        <v>3699</v>
      </c>
      <c r="D7859" s="8">
        <v>2</v>
      </c>
      <c r="E7859" s="8">
        <v>0</v>
      </c>
      <c r="F7859" s="8">
        <v>1141</v>
      </c>
    </row>
    <row r="7860" spans="1:6" ht="12.75">
      <c r="A7860" s="8">
        <v>43901.458449074074</v>
      </c>
      <c r="B7860" s="8" t="str">
        <f t="shared" ref="B7860:B7861" si="135">HYPERLINK("https://twitter.com/CastilloJoshima","@CastilloJoshima")</f>
        <v>@CastilloJoshima</v>
      </c>
      <c r="C7860" s="8" t="s">
        <v>3062</v>
      </c>
      <c r="D7860" s="8">
        <v>1</v>
      </c>
      <c r="E7860" s="8">
        <v>0</v>
      </c>
      <c r="F7860" s="8">
        <v>5482</v>
      </c>
    </row>
    <row r="7861" spans="1:6" ht="12.75">
      <c r="A7861" s="8">
        <v>43901.458310185189</v>
      </c>
      <c r="B7861" s="8" t="str">
        <f t="shared" si="135"/>
        <v>@CastilloJoshima</v>
      </c>
      <c r="C7861" s="8" t="s">
        <v>3063</v>
      </c>
      <c r="D7861" s="8">
        <v>0</v>
      </c>
      <c r="E7861" s="8">
        <v>0</v>
      </c>
      <c r="F7861" s="8">
        <v>5482</v>
      </c>
    </row>
    <row r="7862" spans="1:6" ht="12.75">
      <c r="A7862" s="8">
        <v>43901.458275462966</v>
      </c>
      <c r="B7862" s="8" t="str">
        <f>HYPERLINK("https://twitter.com/mumbai_kjri","@mumbai_kjri")</f>
        <v>@mumbai_kjri</v>
      </c>
      <c r="C7862" s="8" t="s">
        <v>2177</v>
      </c>
      <c r="D7862" s="8">
        <v>34</v>
      </c>
      <c r="E7862" s="8">
        <v>0</v>
      </c>
      <c r="F7862" s="8">
        <v>303</v>
      </c>
    </row>
    <row r="7863" spans="1:6" ht="12.75">
      <c r="A7863" s="8">
        <v>43901.458113425921</v>
      </c>
      <c r="B7863" s="8" t="str">
        <f>HYPERLINK("https://twitter.com/frozentez","@frozentez")</f>
        <v>@frozentez</v>
      </c>
      <c r="C7863" s="8" t="s">
        <v>3700</v>
      </c>
      <c r="D7863" s="8">
        <v>0</v>
      </c>
      <c r="E7863" s="8">
        <v>0</v>
      </c>
      <c r="F7863" s="8">
        <v>144</v>
      </c>
    </row>
    <row r="7864" spans="1:6" ht="12.75">
      <c r="A7864" s="8">
        <v>43901.45793981482</v>
      </c>
      <c r="B7864" s="8" t="str">
        <f>HYPERLINK("https://twitter.com/rajivgaluh","@rajivgaluh")</f>
        <v>@rajivgaluh</v>
      </c>
      <c r="C7864" s="8" t="s">
        <v>1801</v>
      </c>
      <c r="D7864" s="8">
        <v>252</v>
      </c>
      <c r="E7864" s="8">
        <v>0</v>
      </c>
      <c r="F7864" s="8">
        <v>2086</v>
      </c>
    </row>
    <row r="7865" spans="1:6" ht="12.75">
      <c r="A7865" s="8">
        <v>43901.457789351851</v>
      </c>
      <c r="B7865" s="8" t="str">
        <f>HYPERLINK("https://twitter.com/mr_adityason","@mr_adityason")</f>
        <v>@mr_adityason</v>
      </c>
      <c r="C7865" s="8" t="s">
        <v>1186</v>
      </c>
      <c r="D7865" s="8">
        <v>296</v>
      </c>
      <c r="E7865" s="8">
        <v>0</v>
      </c>
      <c r="F7865" s="8">
        <v>390</v>
      </c>
    </row>
    <row r="7866" spans="1:6" ht="12.75">
      <c r="A7866" s="8">
        <v>43901.457754629635</v>
      </c>
      <c r="B7866" s="8" t="str">
        <f>HYPERLINK("https://twitter.com/Chikoliciouzz","@Chikoliciouzz")</f>
        <v>@Chikoliciouzz</v>
      </c>
      <c r="C7866" s="8" t="s">
        <v>1801</v>
      </c>
      <c r="D7866" s="8">
        <v>252</v>
      </c>
      <c r="E7866" s="8">
        <v>0</v>
      </c>
      <c r="F7866" s="8">
        <v>162</v>
      </c>
    </row>
    <row r="7867" spans="1:6" ht="12.75">
      <c r="A7867" s="8">
        <v>43901.457685185189</v>
      </c>
      <c r="B7867" s="8" t="str">
        <f>HYPERLINK("https://twitter.com/ISIS_Balik_NO","@ISIS_Balik_NO")</f>
        <v>@ISIS_Balik_NO</v>
      </c>
      <c r="C7867" s="8" t="s">
        <v>3701</v>
      </c>
      <c r="D7867" s="8">
        <v>0</v>
      </c>
      <c r="E7867" s="8">
        <v>0</v>
      </c>
      <c r="F7867" s="8">
        <v>6229</v>
      </c>
    </row>
    <row r="7868" spans="1:6" ht="12.75">
      <c r="A7868" s="8">
        <v>43901.457557870366</v>
      </c>
      <c r="B7868" s="8" t="str">
        <f>HYPERLINK("https://twitter.com/kenkenews","@kenkenews")</f>
        <v>@kenkenews</v>
      </c>
      <c r="C7868" s="8" t="s">
        <v>3475</v>
      </c>
      <c r="D7868" s="8">
        <v>0</v>
      </c>
      <c r="E7868" s="8">
        <v>0</v>
      </c>
      <c r="F7868" s="8">
        <v>163</v>
      </c>
    </row>
    <row r="7869" spans="1:6" ht="12.75">
      <c r="A7869" s="8">
        <v>43901.457534722227</v>
      </c>
      <c r="B7869" s="8" t="str">
        <f>HYPERLINK("https://twitter.com/MrIdiotID","@MrIdiotID")</f>
        <v>@MrIdiotID</v>
      </c>
      <c r="C7869" s="8" t="s">
        <v>3702</v>
      </c>
      <c r="D7869" s="8">
        <v>0</v>
      </c>
      <c r="E7869" s="8">
        <v>0</v>
      </c>
      <c r="F7869" s="8">
        <v>670</v>
      </c>
    </row>
    <row r="7870" spans="1:6" ht="12.75">
      <c r="A7870" s="8">
        <v>43901.457384259258</v>
      </c>
      <c r="B7870" s="8" t="str">
        <f>HYPERLINK("https://twitter.com/Diwankatra16","@Diwankatra16")</f>
        <v>@Diwankatra16</v>
      </c>
      <c r="C7870" s="8" t="s">
        <v>3703</v>
      </c>
      <c r="D7870" s="8">
        <v>0</v>
      </c>
      <c r="E7870" s="8">
        <v>0</v>
      </c>
      <c r="F7870" s="8">
        <v>26</v>
      </c>
    </row>
    <row r="7871" spans="1:6" ht="12.75">
      <c r="A7871" s="8">
        <v>43901.456956018519</v>
      </c>
      <c r="B7871" s="8" t="str">
        <f>HYPERLINK("https://twitter.com/YohanesMariono","@YohanesMariono")</f>
        <v>@YohanesMariono</v>
      </c>
      <c r="C7871" s="8" t="s">
        <v>1801</v>
      </c>
      <c r="D7871" s="8">
        <v>252</v>
      </c>
      <c r="E7871" s="8">
        <v>0</v>
      </c>
      <c r="F7871" s="8">
        <v>1040</v>
      </c>
    </row>
    <row r="7872" spans="1:6" ht="12.75">
      <c r="A7872" s="8">
        <v>43901.456724537042</v>
      </c>
      <c r="B7872" s="8" t="str">
        <f>HYPERLINK("https://twitter.com/DhimazAriya","@DhimazAriya")</f>
        <v>@DhimazAriya</v>
      </c>
      <c r="C7872" s="8" t="s">
        <v>3704</v>
      </c>
      <c r="D7872" s="8">
        <v>0</v>
      </c>
      <c r="E7872" s="8">
        <v>1</v>
      </c>
      <c r="F7872" s="8">
        <v>1744</v>
      </c>
    </row>
    <row r="7873" spans="1:6" ht="12.75">
      <c r="A7873" s="8">
        <v>43901.456435185188</v>
      </c>
      <c r="B7873" s="8" t="str">
        <f>HYPERLINK("https://twitter.com/YEngran","@YEngran")</f>
        <v>@YEngran</v>
      </c>
      <c r="C7873" s="8" t="s">
        <v>3705</v>
      </c>
      <c r="D7873" s="8">
        <v>0</v>
      </c>
      <c r="E7873" s="8">
        <v>0</v>
      </c>
      <c r="F7873" s="8">
        <v>290</v>
      </c>
    </row>
    <row r="7874" spans="1:6" ht="12.75">
      <c r="A7874" s="8">
        <v>43901.456226851849</v>
      </c>
      <c r="B7874" s="8" t="str">
        <f>HYPERLINK("https://twitter.com/Dany35160046","@Dany35160046")</f>
        <v>@Dany35160046</v>
      </c>
      <c r="C7874" s="8" t="s">
        <v>3706</v>
      </c>
      <c r="D7874" s="8">
        <v>0</v>
      </c>
      <c r="E7874" s="8">
        <v>0</v>
      </c>
      <c r="F7874" s="8">
        <v>341</v>
      </c>
    </row>
    <row r="7875" spans="1:6" ht="12.75">
      <c r="A7875" s="8">
        <v>43901.455925925926</v>
      </c>
      <c r="B7875" s="8" t="str">
        <f>HYPERLINK("https://twitter.com/adiadaadi","@adiadaadi")</f>
        <v>@adiadaadi</v>
      </c>
      <c r="C7875" s="8" t="s">
        <v>3707</v>
      </c>
      <c r="D7875" s="8">
        <v>0</v>
      </c>
      <c r="E7875" s="8">
        <v>0</v>
      </c>
      <c r="F7875" s="8">
        <v>697</v>
      </c>
    </row>
    <row r="7876" spans="1:6" ht="12.75">
      <c r="A7876" s="8">
        <v>43901.455821759257</v>
      </c>
      <c r="B7876" s="8" t="str">
        <f>HYPERLINK("https://twitter.com/ISIS_Balik_NO","@ISIS_Balik_NO")</f>
        <v>@ISIS_Balik_NO</v>
      </c>
      <c r="C7876" s="8" t="s">
        <v>3708</v>
      </c>
      <c r="D7876" s="8">
        <v>0</v>
      </c>
      <c r="E7876" s="8">
        <v>0</v>
      </c>
      <c r="F7876" s="8">
        <v>6229</v>
      </c>
    </row>
    <row r="7877" spans="1:6" ht="12.75">
      <c r="A7877" s="8">
        <v>43901.455439814818</v>
      </c>
      <c r="B7877" s="8" t="str">
        <f>HYPERLINK("https://twitter.com/indoinsidenews","@indoinsidenews")</f>
        <v>@indoinsidenews</v>
      </c>
      <c r="C7877" s="8" t="s">
        <v>3709</v>
      </c>
      <c r="D7877" s="8">
        <v>0</v>
      </c>
      <c r="E7877" s="8">
        <v>1</v>
      </c>
      <c r="F7877" s="8">
        <v>1295</v>
      </c>
    </row>
    <row r="7878" spans="1:6" ht="12.75">
      <c r="A7878" s="8">
        <v>43901.454895833333</v>
      </c>
      <c r="B7878" s="8" t="str">
        <f>HYPERLINK("https://twitter.com/ISIS_Balik_NO","@ISIS_Balik_NO")</f>
        <v>@ISIS_Balik_NO</v>
      </c>
      <c r="C7878" s="8" t="s">
        <v>3710</v>
      </c>
      <c r="D7878" s="8">
        <v>0</v>
      </c>
      <c r="E7878" s="8">
        <v>0</v>
      </c>
      <c r="F7878" s="8">
        <v>6229</v>
      </c>
    </row>
    <row r="7879" spans="1:6" ht="12.75">
      <c r="A7879" s="8">
        <v>43901.454270833332</v>
      </c>
      <c r="B7879" s="8" t="str">
        <f>HYPERLINK("https://twitter.com/Cahkuwut","@Cahkuwut")</f>
        <v>@Cahkuwut</v>
      </c>
      <c r="C7879" s="8" t="s">
        <v>3711</v>
      </c>
      <c r="D7879" s="8">
        <v>0</v>
      </c>
      <c r="E7879" s="8">
        <v>1</v>
      </c>
      <c r="F7879" s="8">
        <v>665</v>
      </c>
    </row>
    <row r="7880" spans="1:6" ht="12.75">
      <c r="A7880" s="8">
        <v>43901.454259259262</v>
      </c>
      <c r="B7880" s="8" t="str">
        <f>HYPERLINK("https://twitter.com/dianinggas","@dianinggas")</f>
        <v>@dianinggas</v>
      </c>
      <c r="C7880" s="8" t="s">
        <v>2942</v>
      </c>
      <c r="D7880" s="8">
        <v>12</v>
      </c>
      <c r="E7880" s="8">
        <v>0</v>
      </c>
      <c r="F7880" s="8">
        <v>393</v>
      </c>
    </row>
    <row r="7881" spans="1:6" ht="12.75">
      <c r="A7881" s="8">
        <v>43901.454050925924</v>
      </c>
      <c r="B7881" s="8" t="str">
        <f>HYPERLINK("https://twitter.com/Chikoliciouzz","@Chikoliciouzz")</f>
        <v>@Chikoliciouzz</v>
      </c>
      <c r="C7881" s="8" t="s">
        <v>295</v>
      </c>
      <c r="D7881" s="8">
        <v>81</v>
      </c>
      <c r="E7881" s="8">
        <v>0</v>
      </c>
      <c r="F7881" s="8">
        <v>162</v>
      </c>
    </row>
    <row r="7882" spans="1:6" ht="12.75">
      <c r="A7882" s="8">
        <v>43901.453518518523</v>
      </c>
      <c r="B7882" s="8" t="str">
        <f>HYPERLINK("https://twitter.com/A_6un","@A_6un")</f>
        <v>@A_6un</v>
      </c>
      <c r="C7882" s="8" t="s">
        <v>3712</v>
      </c>
      <c r="D7882" s="8">
        <v>0</v>
      </c>
      <c r="E7882" s="8">
        <v>0</v>
      </c>
      <c r="F7882" s="8">
        <v>113</v>
      </c>
    </row>
    <row r="7883" spans="1:6" ht="12.75">
      <c r="A7883" s="8">
        <v>43901.453449074077</v>
      </c>
      <c r="B7883" s="8" t="str">
        <f>HYPERLINK("https://twitter.com/utowirdow","@utowirdow")</f>
        <v>@utowirdow</v>
      </c>
      <c r="C7883" s="8" t="s">
        <v>3713</v>
      </c>
      <c r="D7883" s="8">
        <v>0</v>
      </c>
      <c r="E7883" s="8">
        <v>3</v>
      </c>
      <c r="F7883" s="8">
        <v>1095</v>
      </c>
    </row>
    <row r="7884" spans="1:6" ht="12.75">
      <c r="A7884" s="8">
        <v>43901.453310185185</v>
      </c>
      <c r="B7884" s="8" t="str">
        <f>HYPERLINK("https://twitter.com/ISIS_Balik_NO","@ISIS_Balik_NO")</f>
        <v>@ISIS_Balik_NO</v>
      </c>
      <c r="C7884" s="8" t="s">
        <v>3714</v>
      </c>
      <c r="D7884" s="8">
        <v>1</v>
      </c>
      <c r="E7884" s="8">
        <v>2</v>
      </c>
      <c r="F7884" s="8">
        <v>6229</v>
      </c>
    </row>
    <row r="7885" spans="1:6" ht="12.75">
      <c r="A7885" s="8">
        <v>43901.453263888892</v>
      </c>
      <c r="B7885" s="8" t="str">
        <f>HYPERLINK("https://twitter.com/adencx1","@adencx1")</f>
        <v>@adencx1</v>
      </c>
      <c r="C7885" s="8" t="s">
        <v>318</v>
      </c>
      <c r="D7885" s="8">
        <v>1278</v>
      </c>
      <c r="E7885" s="8">
        <v>0</v>
      </c>
      <c r="F7885" s="8">
        <v>7</v>
      </c>
    </row>
    <row r="7886" spans="1:6" ht="12.75">
      <c r="A7886" s="8">
        <v>43901.4528587963</v>
      </c>
      <c r="B7886" s="8" t="str">
        <f>HYPERLINK("https://twitter.com/Syariff21118536","@Syariff21118536")</f>
        <v>@Syariff21118536</v>
      </c>
      <c r="C7886" s="8" t="s">
        <v>3715</v>
      </c>
      <c r="D7886" s="8">
        <v>0</v>
      </c>
      <c r="E7886" s="8">
        <v>0</v>
      </c>
      <c r="F7886" s="8">
        <v>114</v>
      </c>
    </row>
    <row r="7887" spans="1:6" ht="12.75">
      <c r="A7887" s="8">
        <v>43901.4528587963</v>
      </c>
      <c r="B7887" s="8" t="str">
        <f>HYPERLINK("https://twitter.com/SarjanaTanggung","@SarjanaTanggung")</f>
        <v>@SarjanaTanggung</v>
      </c>
      <c r="C7887" s="8" t="s">
        <v>1186</v>
      </c>
      <c r="D7887" s="8">
        <v>296</v>
      </c>
      <c r="E7887" s="8">
        <v>0</v>
      </c>
      <c r="F7887" s="8">
        <v>20</v>
      </c>
    </row>
    <row r="7888" spans="1:6" ht="12.75">
      <c r="A7888" s="8">
        <v>43901.452824074076</v>
      </c>
      <c r="B7888" s="8" t="str">
        <f>HYPERLINK("https://twitter.com/ventoz","@ventoz")</f>
        <v>@ventoz</v>
      </c>
      <c r="C7888" s="8" t="s">
        <v>1427</v>
      </c>
      <c r="D7888" s="8">
        <v>1063</v>
      </c>
      <c r="E7888" s="8">
        <v>0</v>
      </c>
      <c r="F7888" s="8">
        <v>582</v>
      </c>
    </row>
    <row r="7889" spans="1:6" ht="12.75">
      <c r="A7889" s="8">
        <v>43901.452650462961</v>
      </c>
      <c r="B7889" s="8" t="str">
        <f>HYPERLINK("https://twitter.com/supiandialways","@supiandialways")</f>
        <v>@supiandialways</v>
      </c>
      <c r="C7889" s="8" t="s">
        <v>1186</v>
      </c>
      <c r="D7889" s="8">
        <v>296</v>
      </c>
      <c r="E7889" s="8">
        <v>0</v>
      </c>
      <c r="F7889" s="8">
        <v>697</v>
      </c>
    </row>
    <row r="7890" spans="1:6" ht="12.75">
      <c r="A7890" s="8">
        <v>43901.452268518522</v>
      </c>
      <c r="B7890" s="8" t="str">
        <f>HYPERLINK("https://twitter.com/Syariff21118536","@Syariff21118536")</f>
        <v>@Syariff21118536</v>
      </c>
      <c r="C7890" s="8" t="s">
        <v>3716</v>
      </c>
      <c r="D7890" s="8">
        <v>0</v>
      </c>
      <c r="E7890" s="8">
        <v>0</v>
      </c>
      <c r="F7890" s="8">
        <v>114</v>
      </c>
    </row>
    <row r="7891" spans="1:6" ht="12.75">
      <c r="A7891" s="8">
        <v>43901.452222222222</v>
      </c>
      <c r="B7891" s="8" t="str">
        <f>HYPERLINK("https://twitter.com/Luqm_Bae","@Luqm_Bae")</f>
        <v>@Luqm_Bae</v>
      </c>
      <c r="C7891" s="8" t="s">
        <v>318</v>
      </c>
      <c r="D7891" s="8">
        <v>1278</v>
      </c>
      <c r="E7891" s="8">
        <v>0</v>
      </c>
      <c r="F7891" s="8">
        <v>58</v>
      </c>
    </row>
    <row r="7892" spans="1:6" ht="12.75">
      <c r="A7892" s="8">
        <v>43901.452175925922</v>
      </c>
      <c r="B7892" s="8" t="str">
        <f>HYPERLINK("https://twitter.com/ISIS_Balik_NO","@ISIS_Balik_NO")</f>
        <v>@ISIS_Balik_NO</v>
      </c>
      <c r="C7892" s="8" t="s">
        <v>3717</v>
      </c>
      <c r="D7892" s="8">
        <v>1</v>
      </c>
      <c r="E7892" s="8">
        <v>12</v>
      </c>
      <c r="F7892" s="8">
        <v>6229</v>
      </c>
    </row>
    <row r="7893" spans="1:6" ht="12.75">
      <c r="A7893" s="8">
        <v>43901.452037037037</v>
      </c>
      <c r="B7893" s="8" t="str">
        <f>HYPERLINK("https://twitter.com/EkRecky","@EkRecky")</f>
        <v>@EkRecky</v>
      </c>
      <c r="C7893" s="8" t="s">
        <v>1801</v>
      </c>
      <c r="D7893" s="8">
        <v>252</v>
      </c>
      <c r="E7893" s="8">
        <v>0</v>
      </c>
      <c r="F7893" s="8">
        <v>68</v>
      </c>
    </row>
    <row r="7894" spans="1:6" ht="12.75">
      <c r="A7894" s="8">
        <v>43901.451932870375</v>
      </c>
      <c r="B7894" s="8" t="str">
        <f>HYPERLINK("https://twitter.com/ndmendez13","@ndmendez13")</f>
        <v>@ndmendez13</v>
      </c>
      <c r="C7894" s="8" t="s">
        <v>1186</v>
      </c>
      <c r="D7894" s="8">
        <v>296</v>
      </c>
      <c r="E7894" s="8">
        <v>0</v>
      </c>
      <c r="F7894" s="8">
        <v>348</v>
      </c>
    </row>
    <row r="7895" spans="1:6" ht="12.75">
      <c r="A7895" s="8">
        <v>43901.451481481483</v>
      </c>
      <c r="B7895" s="8" t="str">
        <f>HYPERLINK("https://twitter.com/ISIS_Balik_NO","@ISIS_Balik_NO")</f>
        <v>@ISIS_Balik_NO</v>
      </c>
      <c r="C7895" s="8" t="s">
        <v>3718</v>
      </c>
      <c r="D7895" s="8">
        <v>268</v>
      </c>
      <c r="E7895" s="8">
        <v>0</v>
      </c>
      <c r="F7895" s="8">
        <v>6229</v>
      </c>
    </row>
    <row r="7896" spans="1:6" ht="12.75">
      <c r="A7896" s="8">
        <v>43901.451365740737</v>
      </c>
      <c r="B7896" s="8" t="str">
        <f>HYPERLINK("https://twitter.com/khermaw","@khermaw")</f>
        <v>@khermaw</v>
      </c>
      <c r="C7896" s="8" t="s">
        <v>1186</v>
      </c>
      <c r="D7896" s="8">
        <v>296</v>
      </c>
      <c r="E7896" s="8">
        <v>0</v>
      </c>
      <c r="F7896" s="8">
        <v>1153</v>
      </c>
    </row>
    <row r="7897" spans="1:6" ht="12.75">
      <c r="A7897" s="8">
        <v>43901.450891203705</v>
      </c>
      <c r="B7897" s="8" t="str">
        <f>HYPERLINK("https://twitter.com/ISIS_Balik_NO","@ISIS_Balik_NO")</f>
        <v>@ISIS_Balik_NO</v>
      </c>
      <c r="C7897" s="8" t="s">
        <v>3719</v>
      </c>
      <c r="D7897" s="8">
        <v>0</v>
      </c>
      <c r="E7897" s="8">
        <v>1</v>
      </c>
      <c r="F7897" s="8">
        <v>6229</v>
      </c>
    </row>
    <row r="7898" spans="1:6" ht="12.75">
      <c r="A7898" s="8">
        <v>43901.450891203705</v>
      </c>
      <c r="B7898" s="8" t="str">
        <f>HYPERLINK("https://twitter.com/Paijondeso20","@Paijondeso20")</f>
        <v>@Paijondeso20</v>
      </c>
      <c r="C7898" s="8" t="s">
        <v>2537</v>
      </c>
      <c r="D7898" s="8">
        <v>52</v>
      </c>
      <c r="E7898" s="8">
        <v>0</v>
      </c>
      <c r="F7898" s="8">
        <v>30</v>
      </c>
    </row>
    <row r="7899" spans="1:6" ht="12.75">
      <c r="A7899" s="8">
        <v>43901.450636574074</v>
      </c>
      <c r="B7899" s="8" t="str">
        <f>HYPERLINK("https://twitter.com/laciyanna","@laciyanna")</f>
        <v>@laciyanna</v>
      </c>
      <c r="C7899" s="8" t="s">
        <v>3720</v>
      </c>
      <c r="D7899" s="8">
        <v>0</v>
      </c>
      <c r="E7899" s="8">
        <v>0</v>
      </c>
      <c r="F7899" s="8">
        <v>374</v>
      </c>
    </row>
    <row r="7900" spans="1:6" ht="12.75">
      <c r="A7900" s="8">
        <v>43901.450312500005</v>
      </c>
      <c r="B7900" s="8" t="str">
        <f>HYPERLINK("https://twitter.com/HdSarira","@HdSarira")</f>
        <v>@HdSarira</v>
      </c>
      <c r="C7900" s="8" t="s">
        <v>3721</v>
      </c>
      <c r="D7900" s="8">
        <v>1</v>
      </c>
      <c r="E7900" s="8">
        <v>0</v>
      </c>
      <c r="F7900" s="8">
        <v>1041</v>
      </c>
    </row>
    <row r="7901" spans="1:6" ht="12.75">
      <c r="A7901" s="8">
        <v>43901.450196759259</v>
      </c>
      <c r="B7901" s="8" t="str">
        <f>HYPERLINK("https://twitter.com/onomsalam2pas","@onomsalam2pas")</f>
        <v>@onomsalam2pas</v>
      </c>
      <c r="C7901" s="8" t="s">
        <v>3722</v>
      </c>
      <c r="D7901" s="8">
        <v>4</v>
      </c>
      <c r="E7901" s="8">
        <v>0</v>
      </c>
      <c r="F7901" s="8">
        <v>501</v>
      </c>
    </row>
    <row r="7902" spans="1:6" ht="12.75">
      <c r="A7902" s="8">
        <v>43901.45008101852</v>
      </c>
      <c r="B7902" s="8" t="str">
        <f>HYPERLINK("https://twitter.com/syhrlwhyd","@syhrlwhyd")</f>
        <v>@syhrlwhyd</v>
      </c>
      <c r="C7902" s="8" t="s">
        <v>318</v>
      </c>
      <c r="D7902" s="8">
        <v>1278</v>
      </c>
      <c r="E7902" s="8">
        <v>0</v>
      </c>
      <c r="F7902" s="8">
        <v>465</v>
      </c>
    </row>
    <row r="7903" spans="1:6" ht="12.75">
      <c r="A7903" s="8">
        <v>43901.450046296297</v>
      </c>
      <c r="B7903" s="8" t="str">
        <f>HYPERLINK("https://twitter.com/Kucenkgaroeng","@Kucenkgaroeng")</f>
        <v>@Kucenkgaroeng</v>
      </c>
      <c r="C7903" s="8" t="s">
        <v>3723</v>
      </c>
      <c r="D7903" s="8">
        <v>0</v>
      </c>
      <c r="E7903" s="8">
        <v>0</v>
      </c>
      <c r="F7903" s="8">
        <v>47</v>
      </c>
    </row>
    <row r="7904" spans="1:6" ht="12.75">
      <c r="A7904" s="8">
        <v>43901.450011574074</v>
      </c>
      <c r="B7904" s="8" t="str">
        <f>HYPERLINK("https://twitter.com/RickyNSas","@RickyNSas")</f>
        <v>@RickyNSas</v>
      </c>
      <c r="C7904" s="8" t="s">
        <v>1186</v>
      </c>
      <c r="D7904" s="8">
        <v>296</v>
      </c>
      <c r="E7904" s="8">
        <v>0</v>
      </c>
      <c r="F7904" s="8">
        <v>3521</v>
      </c>
    </row>
    <row r="7905" spans="1:6" ht="12.75">
      <c r="A7905" s="8">
        <v>43901.450011574074</v>
      </c>
      <c r="B7905" s="8" t="str">
        <f>HYPERLINK("https://twitter.com/iNewsID","@iNewsID")</f>
        <v>@iNewsID</v>
      </c>
      <c r="C7905" s="8" t="s">
        <v>3724</v>
      </c>
      <c r="D7905" s="8">
        <v>0</v>
      </c>
      <c r="E7905" s="8">
        <v>1</v>
      </c>
      <c r="F7905" s="8">
        <v>1388</v>
      </c>
    </row>
    <row r="7906" spans="1:6" ht="12.75">
      <c r="A7906" s="8">
        <v>43901.449814814812</v>
      </c>
      <c r="B7906" s="8" t="str">
        <f>HYPERLINK("https://twitter.com/TrioMacari2000","@TrioMacari2000")</f>
        <v>@TrioMacari2000</v>
      </c>
      <c r="C7906" s="8" t="s">
        <v>1186</v>
      </c>
      <c r="D7906" s="8">
        <v>296</v>
      </c>
      <c r="E7906" s="8">
        <v>0</v>
      </c>
      <c r="F7906" s="8">
        <v>6543</v>
      </c>
    </row>
    <row r="7907" spans="1:6" ht="12.75">
      <c r="A7907" s="8">
        <v>43901.449571759258</v>
      </c>
      <c r="B7907" s="8" t="str">
        <f>HYPERLINK("https://twitter.com/Muhamma97711933","@Muhamma97711933")</f>
        <v>@Muhamma97711933</v>
      </c>
      <c r="C7907" s="8" t="s">
        <v>318</v>
      </c>
      <c r="D7907" s="8">
        <v>1278</v>
      </c>
      <c r="E7907" s="8">
        <v>0</v>
      </c>
      <c r="F7907" s="8">
        <v>16</v>
      </c>
    </row>
    <row r="7908" spans="1:6" ht="12.75">
      <c r="A7908" s="8">
        <v>43901.448761574073</v>
      </c>
      <c r="B7908" s="8" t="str">
        <f>HYPERLINK("https://twitter.com/ISIS_Balik_NO","@ISIS_Balik_NO")</f>
        <v>@ISIS_Balik_NO</v>
      </c>
      <c r="C7908" s="8" t="s">
        <v>3725</v>
      </c>
      <c r="D7908" s="8">
        <v>28</v>
      </c>
      <c r="E7908" s="8">
        <v>0</v>
      </c>
      <c r="F7908" s="8">
        <v>6229</v>
      </c>
    </row>
    <row r="7909" spans="1:6" ht="12.75">
      <c r="A7909" s="8">
        <v>43901.448553240742</v>
      </c>
      <c r="B7909" s="8" t="str">
        <f>HYPERLINK("https://twitter.com/ajang_munajat","@ajang_munajat")</f>
        <v>@ajang_munajat</v>
      </c>
      <c r="C7909" s="8" t="s">
        <v>318</v>
      </c>
      <c r="D7909" s="8">
        <v>1278</v>
      </c>
      <c r="E7909" s="8">
        <v>0</v>
      </c>
      <c r="F7909" s="8">
        <v>121</v>
      </c>
    </row>
    <row r="7910" spans="1:6" ht="12.75">
      <c r="A7910" s="8">
        <v>43901.448472222226</v>
      </c>
      <c r="B7910" s="8" t="str">
        <f>HYPERLINK("https://twitter.com/tsikumbang","@tsikumbang")</f>
        <v>@tsikumbang</v>
      </c>
      <c r="C7910" s="8" t="s">
        <v>1186</v>
      </c>
      <c r="D7910" s="8">
        <v>296</v>
      </c>
      <c r="E7910" s="8">
        <v>0</v>
      </c>
      <c r="F7910" s="8">
        <v>200</v>
      </c>
    </row>
    <row r="7911" spans="1:6" ht="12.75">
      <c r="A7911" s="8">
        <v>43901.423425925925</v>
      </c>
      <c r="B7911" s="8" t="str">
        <f>HYPERLINK("https://twitter.com/zubhan08","@zubhan08")</f>
        <v>@zubhan08</v>
      </c>
      <c r="C7911" s="8" t="s">
        <v>1801</v>
      </c>
      <c r="D7911" s="8">
        <v>241</v>
      </c>
      <c r="E7911" s="8">
        <v>0</v>
      </c>
      <c r="F7911" s="8">
        <v>1134</v>
      </c>
    </row>
    <row r="7912" spans="1:6" ht="12.75">
      <c r="A7912" s="8">
        <v>43901.422268518523</v>
      </c>
      <c r="B7912" s="8" t="str">
        <f>HYPERLINK("https://twitter.com/mith414","@mith414")</f>
        <v>@mith414</v>
      </c>
      <c r="C7912" s="8" t="s">
        <v>1957</v>
      </c>
      <c r="D7912" s="8">
        <v>1492</v>
      </c>
      <c r="E7912" s="8">
        <v>0</v>
      </c>
      <c r="F7912" s="8">
        <v>146</v>
      </c>
    </row>
    <row r="7913" spans="1:6" ht="12.75">
      <c r="A7913" s="8">
        <v>43901.422222222223</v>
      </c>
      <c r="B7913" s="8" t="str">
        <f>HYPERLINK("https://twitter.com/faisalramdani23","@faisalramdani23")</f>
        <v>@faisalramdani23</v>
      </c>
      <c r="C7913" s="8" t="s">
        <v>2177</v>
      </c>
      <c r="D7913" s="8">
        <v>29</v>
      </c>
      <c r="E7913" s="8">
        <v>0</v>
      </c>
      <c r="F7913" s="8">
        <v>448</v>
      </c>
    </row>
    <row r="7914" spans="1:6" ht="12.75">
      <c r="A7914" s="8">
        <v>43901.421527777777</v>
      </c>
      <c r="B7914" s="8" t="str">
        <f>HYPERLINK("https://twitter.com/PencariSurga8","@PencariSurga8")</f>
        <v>@PencariSurga8</v>
      </c>
      <c r="C7914" s="8" t="s">
        <v>318</v>
      </c>
      <c r="D7914" s="8">
        <v>1261</v>
      </c>
      <c r="E7914" s="8">
        <v>0</v>
      </c>
      <c r="F7914" s="8">
        <v>10</v>
      </c>
    </row>
    <row r="7915" spans="1:6" ht="12.75">
      <c r="A7915" s="8">
        <v>43901.420613425929</v>
      </c>
      <c r="B7915" s="8" t="str">
        <f>HYPERLINK("https://twitter.com/Sadat72367895","@Sadat72367895")</f>
        <v>@Sadat72367895</v>
      </c>
      <c r="C7915" s="8" t="s">
        <v>318</v>
      </c>
      <c r="D7915" s="8">
        <v>1261</v>
      </c>
      <c r="E7915" s="8">
        <v>0</v>
      </c>
      <c r="F7915" s="8">
        <v>282</v>
      </c>
    </row>
    <row r="7916" spans="1:6" ht="12.75">
      <c r="A7916" s="8">
        <v>43901.420381944445</v>
      </c>
      <c r="B7916" s="8" t="str">
        <f>HYPERLINK("https://twitter.com/svargadrinks","@svargadrinks")</f>
        <v>@svargadrinks</v>
      </c>
      <c r="C7916" s="8" t="s">
        <v>1801</v>
      </c>
      <c r="D7916" s="8">
        <v>241</v>
      </c>
      <c r="E7916" s="8">
        <v>0</v>
      </c>
      <c r="F7916" s="8">
        <v>29</v>
      </c>
    </row>
    <row r="7917" spans="1:6" ht="12.75">
      <c r="A7917" s="8">
        <v>43901.420358796298</v>
      </c>
      <c r="B7917" s="8" t="str">
        <f>HYPERLINK("https://twitter.com/ucoxregar","@ucoxregar")</f>
        <v>@ucoxregar</v>
      </c>
      <c r="C7917" s="8" t="s">
        <v>1186</v>
      </c>
      <c r="D7917" s="8">
        <v>279</v>
      </c>
      <c r="E7917" s="8">
        <v>0</v>
      </c>
      <c r="F7917" s="8">
        <v>405</v>
      </c>
    </row>
    <row r="7918" spans="1:6" ht="12.75">
      <c r="A7918" s="8">
        <v>43901.42</v>
      </c>
      <c r="B7918" s="8" t="str">
        <f>HYPERLINK("https://twitter.com/RivaldiZakie","@RivaldiZakie")</f>
        <v>@RivaldiZakie</v>
      </c>
      <c r="C7918" s="8" t="s">
        <v>2942</v>
      </c>
      <c r="D7918" s="8">
        <v>7</v>
      </c>
      <c r="E7918" s="8">
        <v>0</v>
      </c>
      <c r="F7918" s="8">
        <v>15</v>
      </c>
    </row>
    <row r="7919" spans="1:6" ht="12.75">
      <c r="A7919" s="8">
        <v>43901.419351851851</v>
      </c>
      <c r="B7919" s="8" t="str">
        <f>HYPERLINK("https://twitter.com/PakdeKoppig","@PakdeKoppig")</f>
        <v>@PakdeKoppig</v>
      </c>
      <c r="C7919" s="8" t="s">
        <v>2177</v>
      </c>
      <c r="D7919" s="8">
        <v>29</v>
      </c>
      <c r="E7919" s="8">
        <v>0</v>
      </c>
      <c r="F7919" s="8">
        <v>113</v>
      </c>
    </row>
    <row r="7920" spans="1:6" ht="12.75">
      <c r="A7920" s="8">
        <v>43901.419340277775</v>
      </c>
      <c r="B7920" s="8" t="str">
        <f>HYPERLINK("https://twitter.com/za_v","@za_v")</f>
        <v>@za_v</v>
      </c>
      <c r="C7920" s="8" t="s">
        <v>3726</v>
      </c>
      <c r="D7920" s="8">
        <v>0</v>
      </c>
      <c r="E7920" s="8">
        <v>1</v>
      </c>
      <c r="F7920" s="8">
        <v>136</v>
      </c>
    </row>
    <row r="7921" spans="1:6" ht="12.75">
      <c r="A7921" s="8">
        <v>43901.419004629628</v>
      </c>
      <c r="B7921" s="8" t="str">
        <f>HYPERLINK("https://twitter.com/whydyhy","@whydyhy")</f>
        <v>@whydyhy</v>
      </c>
      <c r="C7921" s="8" t="s">
        <v>3727</v>
      </c>
      <c r="D7921" s="8">
        <v>0</v>
      </c>
      <c r="E7921" s="8">
        <v>0</v>
      </c>
      <c r="F7921" s="8">
        <v>183</v>
      </c>
    </row>
    <row r="7922" spans="1:6" ht="12.75">
      <c r="A7922" s="8">
        <v>43901.418888888889</v>
      </c>
      <c r="B7922" s="8" t="str">
        <f>HYPERLINK("https://twitter.com/UtomoFreddy","@UtomoFreddy")</f>
        <v>@UtomoFreddy</v>
      </c>
      <c r="C7922" s="8" t="s">
        <v>2942</v>
      </c>
      <c r="D7922" s="8">
        <v>7</v>
      </c>
      <c r="E7922" s="8">
        <v>0</v>
      </c>
      <c r="F7922" s="8">
        <v>109</v>
      </c>
    </row>
    <row r="7923" spans="1:6" ht="12.75">
      <c r="A7923" s="8">
        <v>43901.418587962966</v>
      </c>
      <c r="B7923" s="8" t="str">
        <f>HYPERLINK("https://twitter.com/raiyant21","@raiyant21")</f>
        <v>@raiyant21</v>
      </c>
      <c r="C7923" s="8" t="s">
        <v>2177</v>
      </c>
      <c r="D7923" s="8">
        <v>29</v>
      </c>
      <c r="E7923" s="8">
        <v>0</v>
      </c>
      <c r="F7923" s="8">
        <v>644</v>
      </c>
    </row>
    <row r="7924" spans="1:6" ht="12.75">
      <c r="A7924" s="8">
        <v>43901.418402777781</v>
      </c>
      <c r="B7924" s="8" t="str">
        <f>HYPERLINK("https://twitter.com/evalita26","@evalita26")</f>
        <v>@evalita26</v>
      </c>
      <c r="C7924" s="8" t="s">
        <v>1801</v>
      </c>
      <c r="D7924" s="8">
        <v>241</v>
      </c>
      <c r="E7924" s="8">
        <v>0</v>
      </c>
      <c r="F7924" s="8">
        <v>172</v>
      </c>
    </row>
    <row r="7925" spans="1:6" ht="12.75">
      <c r="A7925" s="8">
        <v>43901.418078703704</v>
      </c>
      <c r="B7925" s="8" t="str">
        <f>HYPERLINK("https://twitter.com/juandibob","@juandibob")</f>
        <v>@juandibob</v>
      </c>
      <c r="C7925" s="8" t="s">
        <v>1186</v>
      </c>
      <c r="D7925" s="8">
        <v>279</v>
      </c>
      <c r="E7925" s="8">
        <v>0</v>
      </c>
      <c r="F7925" s="8">
        <v>390</v>
      </c>
    </row>
    <row r="7926" spans="1:6" ht="12.75">
      <c r="A7926" s="8">
        <v>43901.417349537034</v>
      </c>
      <c r="B7926" s="8" t="str">
        <f>HYPERLINK("https://twitter.com/daffaalmatin","@daffaalmatin")</f>
        <v>@daffaalmatin</v>
      </c>
      <c r="C7926" s="8" t="s">
        <v>3728</v>
      </c>
      <c r="D7926" s="8">
        <v>0</v>
      </c>
      <c r="E7926" s="8">
        <v>1</v>
      </c>
      <c r="F7926" s="8">
        <v>365</v>
      </c>
    </row>
    <row r="7927" spans="1:6" ht="12.75">
      <c r="A7927" s="8">
        <v>43901.41715277778</v>
      </c>
      <c r="B7927" s="8" t="str">
        <f>HYPERLINK("https://twitter.com/Lucky_HS","@Lucky_HS")</f>
        <v>@Lucky_HS</v>
      </c>
      <c r="C7927" s="8" t="s">
        <v>3729</v>
      </c>
      <c r="D7927" s="8">
        <v>0</v>
      </c>
      <c r="E7927" s="8">
        <v>0</v>
      </c>
      <c r="F7927" s="8">
        <v>7169</v>
      </c>
    </row>
    <row r="7928" spans="1:6" ht="12.75">
      <c r="A7928" s="8">
        <v>43901.416886574079</v>
      </c>
      <c r="B7928" s="8" t="str">
        <f>HYPERLINK("https://twitter.com/Tandaseru_id","@Tandaseru_id")</f>
        <v>@Tandaseru_id</v>
      </c>
      <c r="C7928" s="8" t="s">
        <v>3730</v>
      </c>
      <c r="D7928" s="8">
        <v>0</v>
      </c>
      <c r="E7928" s="8">
        <v>0</v>
      </c>
      <c r="F7928" s="8">
        <v>540</v>
      </c>
    </row>
    <row r="7929" spans="1:6" ht="12.75">
      <c r="A7929" s="8">
        <v>43901.416874999995</v>
      </c>
      <c r="B7929" s="8" t="str">
        <f>HYPERLINK("https://twitter.com/hasrat_magabe","@hasrat_magabe")</f>
        <v>@hasrat_magabe</v>
      </c>
      <c r="C7929" s="8" t="s">
        <v>318</v>
      </c>
      <c r="D7929" s="8">
        <v>1261</v>
      </c>
      <c r="E7929" s="8">
        <v>0</v>
      </c>
      <c r="F7929" s="8">
        <v>336</v>
      </c>
    </row>
    <row r="7930" spans="1:6" ht="12.75">
      <c r="A7930" s="8">
        <v>43901.416377314818</v>
      </c>
      <c r="B7930" s="8" t="str">
        <f>HYPERLINK("https://twitter.com/tommyhamdani","@tommyhamdani")</f>
        <v>@tommyhamdani</v>
      </c>
      <c r="C7930" s="8" t="s">
        <v>3731</v>
      </c>
      <c r="D7930" s="8">
        <v>0</v>
      </c>
      <c r="E7930" s="8">
        <v>1</v>
      </c>
      <c r="F7930" s="8">
        <v>296</v>
      </c>
    </row>
    <row r="7931" spans="1:6" ht="12.75">
      <c r="A7931" s="8">
        <v>43901.416261574079</v>
      </c>
      <c r="B7931" s="8" t="str">
        <f>HYPERLINK("https://twitter.com/Je_Ly","@Je_Ly")</f>
        <v>@Je_Ly</v>
      </c>
      <c r="C7931" s="8" t="s">
        <v>3732</v>
      </c>
      <c r="D7931" s="8">
        <v>1</v>
      </c>
      <c r="E7931" s="8">
        <v>0</v>
      </c>
      <c r="F7931" s="8">
        <v>17335</v>
      </c>
    </row>
    <row r="7932" spans="1:6" ht="12.75">
      <c r="A7932" s="8">
        <v>43901.415578703702</v>
      </c>
      <c r="B7932" s="8" t="str">
        <f>HYPERLINK("https://twitter.com/sir_usil","@sir_usil")</f>
        <v>@sir_usil</v>
      </c>
      <c r="C7932" s="8" t="s">
        <v>1801</v>
      </c>
      <c r="D7932" s="8">
        <v>241</v>
      </c>
      <c r="E7932" s="8">
        <v>0</v>
      </c>
      <c r="F7932" s="8">
        <v>229</v>
      </c>
    </row>
    <row r="7933" spans="1:6" ht="12.75">
      <c r="A7933" s="8">
        <v>43901.415509259255</v>
      </c>
      <c r="B7933" s="8" t="str">
        <f>HYPERLINK("https://twitter.com/Makhluk_Illahi","@Makhluk_Illahi")</f>
        <v>@Makhluk_Illahi</v>
      </c>
      <c r="C7933" s="8" t="s">
        <v>1186</v>
      </c>
      <c r="D7933" s="8">
        <v>279</v>
      </c>
      <c r="E7933" s="8">
        <v>0</v>
      </c>
      <c r="F7933" s="8">
        <v>1160</v>
      </c>
    </row>
    <row r="7934" spans="1:6" ht="12.75">
      <c r="A7934" s="8">
        <v>43901.41542824074</v>
      </c>
      <c r="B7934" s="8" t="str">
        <f>HYPERLINK("https://twitter.com/zxmaw","@zxmaw")</f>
        <v>@zxmaw</v>
      </c>
      <c r="C7934" s="8" t="s">
        <v>2942</v>
      </c>
      <c r="D7934" s="8">
        <v>7</v>
      </c>
      <c r="E7934" s="8">
        <v>0</v>
      </c>
      <c r="F7934" s="8">
        <v>1068</v>
      </c>
    </row>
    <row r="7935" spans="1:6" ht="12.75">
      <c r="A7935" s="8">
        <v>43901.415185185186</v>
      </c>
      <c r="B7935" s="8" t="str">
        <f>HYPERLINK("https://twitter.com/TasunPawanto507","@TasunPawanto507")</f>
        <v>@TasunPawanto507</v>
      </c>
      <c r="C7935" s="8" t="s">
        <v>1801</v>
      </c>
      <c r="D7935" s="8">
        <v>241</v>
      </c>
      <c r="E7935" s="8">
        <v>0</v>
      </c>
      <c r="F7935" s="8">
        <v>1617</v>
      </c>
    </row>
    <row r="7936" spans="1:6" ht="12.75">
      <c r="A7936" s="8">
        <v>43901.414594907408</v>
      </c>
      <c r="B7936" s="8" t="str">
        <f>HYPERLINK("https://twitter.com/Nuke_Fit","@Nuke_Fit")</f>
        <v>@Nuke_Fit</v>
      </c>
      <c r="C7936" s="8" t="s">
        <v>1801</v>
      </c>
      <c r="D7936" s="8">
        <v>241</v>
      </c>
      <c r="E7936" s="8">
        <v>0</v>
      </c>
      <c r="F7936" s="8">
        <v>410</v>
      </c>
    </row>
    <row r="7937" spans="1:6" ht="12.75">
      <c r="A7937" s="8">
        <v>43901.414571759262</v>
      </c>
      <c r="B7937" s="8" t="str">
        <f>HYPERLINK("https://twitter.com/MReza56_","@MReza56_")</f>
        <v>@MReza56_</v>
      </c>
      <c r="C7937" s="8" t="s">
        <v>2942</v>
      </c>
      <c r="D7937" s="8">
        <v>7</v>
      </c>
      <c r="E7937" s="8">
        <v>0</v>
      </c>
      <c r="F7937" s="8">
        <v>2581</v>
      </c>
    </row>
    <row r="7938" spans="1:6" ht="12.75">
      <c r="A7938" s="8">
        <v>43901.414247685185</v>
      </c>
      <c r="B7938" s="8" t="str">
        <f>HYPERLINK("https://twitter.com/Anskan7","@Anskan7")</f>
        <v>@Anskan7</v>
      </c>
      <c r="C7938" s="8" t="s">
        <v>1801</v>
      </c>
      <c r="D7938" s="8">
        <v>241</v>
      </c>
      <c r="E7938" s="8">
        <v>0</v>
      </c>
      <c r="F7938" s="8">
        <v>142</v>
      </c>
    </row>
    <row r="7939" spans="1:6" ht="12.75">
      <c r="A7939" s="8">
        <v>43901.414201388892</v>
      </c>
      <c r="B7939" s="8" t="str">
        <f>HYPERLINK("https://twitter.com/arm4di0n","@arm4di0n")</f>
        <v>@arm4di0n</v>
      </c>
      <c r="C7939" s="8" t="s">
        <v>3733</v>
      </c>
      <c r="D7939" s="8">
        <v>2</v>
      </c>
      <c r="E7939" s="8">
        <v>0</v>
      </c>
      <c r="F7939" s="8">
        <v>578</v>
      </c>
    </row>
    <row r="7940" spans="1:6" ht="12.75">
      <c r="A7940" s="8">
        <v>43901.414166666669</v>
      </c>
      <c r="B7940" s="8" t="str">
        <f>HYPERLINK("https://twitter.com/rosyid_gondrong","@rosyid_gondrong")</f>
        <v>@rosyid_gondrong</v>
      </c>
      <c r="C7940" s="8" t="s">
        <v>1186</v>
      </c>
      <c r="D7940" s="8">
        <v>279</v>
      </c>
      <c r="E7940" s="8">
        <v>0</v>
      </c>
      <c r="F7940" s="8">
        <v>193</v>
      </c>
    </row>
    <row r="7941" spans="1:6" ht="12.75">
      <c r="A7941" s="8">
        <v>43901.413657407407</v>
      </c>
      <c r="B7941" s="8" t="str">
        <f>HYPERLINK("https://twitter.com/ReChan57855456","@ReChan57855456")</f>
        <v>@ReChan57855456</v>
      </c>
      <c r="C7941" s="8" t="s">
        <v>2177</v>
      </c>
      <c r="D7941" s="8">
        <v>29</v>
      </c>
      <c r="E7941" s="8">
        <v>0</v>
      </c>
      <c r="F7941" s="8">
        <v>38</v>
      </c>
    </row>
    <row r="7942" spans="1:6" ht="12.75">
      <c r="A7942" s="8">
        <v>43901.413622685184</v>
      </c>
      <c r="B7942" s="8" t="str">
        <f>HYPERLINK("https://twitter.com/jUwa368","@jUwa368")</f>
        <v>@jUwa368</v>
      </c>
      <c r="C7942" s="8" t="s">
        <v>3317</v>
      </c>
      <c r="D7942" s="8">
        <v>6</v>
      </c>
      <c r="E7942" s="8">
        <v>0</v>
      </c>
      <c r="F7942" s="8">
        <v>328</v>
      </c>
    </row>
    <row r="7943" spans="1:6" ht="12.75">
      <c r="A7943" s="8">
        <v>43901.413263888884</v>
      </c>
      <c r="B7943" s="8" t="str">
        <f>HYPERLINK("https://twitter.com/BQtong","@BQtong")</f>
        <v>@BQtong</v>
      </c>
      <c r="C7943" s="8" t="s">
        <v>1186</v>
      </c>
      <c r="D7943" s="8">
        <v>279</v>
      </c>
      <c r="E7943" s="8">
        <v>0</v>
      </c>
      <c r="F7943" s="8">
        <v>1321</v>
      </c>
    </row>
    <row r="7944" spans="1:6" ht="12.75">
      <c r="A7944" s="8">
        <v>43901.413263888884</v>
      </c>
      <c r="B7944" s="8" t="str">
        <f>HYPERLINK("https://twitter.com/half__engineer","@half__engineer")</f>
        <v>@half__engineer</v>
      </c>
      <c r="C7944" s="8" t="s">
        <v>3734</v>
      </c>
      <c r="D7944" s="8">
        <v>0</v>
      </c>
      <c r="E7944" s="8">
        <v>0</v>
      </c>
      <c r="F7944" s="8">
        <v>122</v>
      </c>
    </row>
    <row r="7945" spans="1:6" ht="12.75">
      <c r="A7945" s="8">
        <v>43901.412986111114</v>
      </c>
      <c r="B7945" s="8" t="str">
        <f t="shared" ref="B7945:B7946" si="136">HYPERLINK("https://twitter.com/pour71","@pour71")</f>
        <v>@pour71</v>
      </c>
      <c r="C7945" s="8" t="s">
        <v>295</v>
      </c>
      <c r="D7945" s="8">
        <v>80</v>
      </c>
      <c r="E7945" s="8">
        <v>0</v>
      </c>
      <c r="F7945" s="8">
        <v>410</v>
      </c>
    </row>
    <row r="7946" spans="1:6" ht="12.75">
      <c r="A7946" s="8">
        <v>43901.412928240738</v>
      </c>
      <c r="B7946" s="8" t="str">
        <f t="shared" si="136"/>
        <v>@pour71</v>
      </c>
      <c r="C7946" s="8" t="s">
        <v>2432</v>
      </c>
      <c r="D7946" s="8">
        <v>52</v>
      </c>
      <c r="E7946" s="8">
        <v>0</v>
      </c>
      <c r="F7946" s="8">
        <v>410</v>
      </c>
    </row>
    <row r="7947" spans="1:6" ht="12.75">
      <c r="A7947" s="8">
        <v>43901.412812499999</v>
      </c>
      <c r="B7947" s="8" t="str">
        <f>HYPERLINK("https://twitter.com/Aksa_h24","@Aksa_h24")</f>
        <v>@Aksa_h24</v>
      </c>
      <c r="C7947" s="8" t="s">
        <v>2942</v>
      </c>
      <c r="D7947" s="8">
        <v>7</v>
      </c>
      <c r="E7947" s="8">
        <v>0</v>
      </c>
      <c r="F7947" s="8">
        <v>11</v>
      </c>
    </row>
    <row r="7948" spans="1:6" ht="12.75">
      <c r="A7948" s="8">
        <v>43901.412372685183</v>
      </c>
      <c r="B7948" s="8" t="str">
        <f>HYPERLINK("https://twitter.com/ewin8923","@ewin8923")</f>
        <v>@ewin8923</v>
      </c>
      <c r="C7948" s="8" t="s">
        <v>1801</v>
      </c>
      <c r="D7948" s="8">
        <v>241</v>
      </c>
      <c r="E7948" s="8">
        <v>0</v>
      </c>
      <c r="F7948" s="8">
        <v>1050</v>
      </c>
    </row>
    <row r="7949" spans="1:6" ht="12.75">
      <c r="A7949" s="8">
        <v>43901.412233796298</v>
      </c>
      <c r="B7949" s="8" t="str">
        <f>HYPERLINK("https://twitter.com/Abughazy_2007","@Abughazy_2007")</f>
        <v>@Abughazy_2007</v>
      </c>
      <c r="C7949" s="8" t="s">
        <v>1186</v>
      </c>
      <c r="D7949" s="8">
        <v>279</v>
      </c>
      <c r="E7949" s="8">
        <v>0</v>
      </c>
      <c r="F7949" s="8">
        <v>581</v>
      </c>
    </row>
    <row r="7950" spans="1:6" ht="12.75">
      <c r="A7950" s="8">
        <v>43901.412175925929</v>
      </c>
      <c r="B7950" s="8" t="str">
        <f>HYPERLINK("https://twitter.com/heebum92","@heebum92")</f>
        <v>@heebum92</v>
      </c>
      <c r="C7950" s="8" t="s">
        <v>3735</v>
      </c>
      <c r="D7950" s="8">
        <v>0</v>
      </c>
      <c r="E7950" s="8">
        <v>0</v>
      </c>
      <c r="F7950" s="8">
        <v>453</v>
      </c>
    </row>
    <row r="7951" spans="1:6" ht="12.75">
      <c r="A7951" s="8">
        <v>43901.412141203706</v>
      </c>
      <c r="B7951" s="8" t="str">
        <f>HYPERLINK("https://twitter.com/alimaksum4","@alimaksum4")</f>
        <v>@alimaksum4</v>
      </c>
      <c r="C7951" s="8" t="s">
        <v>3736</v>
      </c>
      <c r="D7951" s="8">
        <v>0</v>
      </c>
      <c r="E7951" s="8">
        <v>0</v>
      </c>
      <c r="F7951" s="8">
        <v>813</v>
      </c>
    </row>
    <row r="7952" spans="1:6" ht="12.75">
      <c r="A7952" s="8">
        <v>43901.411898148144</v>
      </c>
      <c r="B7952" s="8" t="str">
        <f t="shared" ref="B7952:B7953" si="137">HYPERLINK("https://twitter.com/yusufiananta","@yusufiananta")</f>
        <v>@yusufiananta</v>
      </c>
      <c r="C7952" s="8" t="s">
        <v>2177</v>
      </c>
      <c r="D7952" s="8">
        <v>29</v>
      </c>
      <c r="E7952" s="8">
        <v>0</v>
      </c>
      <c r="F7952" s="8">
        <v>413</v>
      </c>
    </row>
    <row r="7953" spans="1:6" ht="12.75">
      <c r="A7953" s="8">
        <v>43901.411724537036</v>
      </c>
      <c r="B7953" s="8" t="str">
        <f t="shared" si="137"/>
        <v>@yusufiananta</v>
      </c>
      <c r="C7953" s="8" t="s">
        <v>2942</v>
      </c>
      <c r="D7953" s="8">
        <v>7</v>
      </c>
      <c r="E7953" s="8">
        <v>0</v>
      </c>
      <c r="F7953" s="8">
        <v>413</v>
      </c>
    </row>
    <row r="7954" spans="1:6" ht="12.75">
      <c r="A7954" s="8">
        <v>43901.411435185189</v>
      </c>
      <c r="B7954" s="8" t="str">
        <f>HYPERLINK("https://twitter.com/d4n4n9","@d4n4n9")</f>
        <v>@d4n4n9</v>
      </c>
      <c r="C7954" s="8" t="s">
        <v>1801</v>
      </c>
      <c r="D7954" s="8">
        <v>241</v>
      </c>
      <c r="E7954" s="8">
        <v>0</v>
      </c>
      <c r="F7954" s="8">
        <v>16</v>
      </c>
    </row>
    <row r="7955" spans="1:6" ht="12.75">
      <c r="A7955" s="8">
        <v>43901.410879629635</v>
      </c>
      <c r="B7955" s="8" t="str">
        <f>HYPERLINK("https://twitter.com/Widiatis279","@Widiatis279")</f>
        <v>@Widiatis279</v>
      </c>
      <c r="C7955" s="8" t="s">
        <v>3737</v>
      </c>
      <c r="D7955" s="8">
        <v>1</v>
      </c>
      <c r="E7955" s="8">
        <v>1</v>
      </c>
      <c r="F7955" s="8">
        <v>727</v>
      </c>
    </row>
    <row r="7956" spans="1:6" ht="12.75">
      <c r="A7956" s="8">
        <v>43901.410821759258</v>
      </c>
      <c r="B7956" s="8" t="str">
        <f>HYPERLINK("https://twitter.com/Erick_Lubis","@Erick_Lubis")</f>
        <v>@Erick_Lubis</v>
      </c>
      <c r="C7956" s="8" t="s">
        <v>1801</v>
      </c>
      <c r="D7956" s="8">
        <v>241</v>
      </c>
      <c r="E7956" s="8">
        <v>0</v>
      </c>
      <c r="F7956" s="8">
        <v>109</v>
      </c>
    </row>
    <row r="7957" spans="1:6" ht="12.75">
      <c r="A7957" s="8">
        <v>43901.410543981481</v>
      </c>
      <c r="B7957" s="8" t="str">
        <f>HYPERLINK("https://twitter.com/tsjokka","@tsjokka")</f>
        <v>@tsjokka</v>
      </c>
      <c r="C7957" s="8" t="s">
        <v>3738</v>
      </c>
      <c r="D7957" s="8">
        <v>0</v>
      </c>
      <c r="E7957" s="8">
        <v>0</v>
      </c>
      <c r="F7957" s="8">
        <v>1118</v>
      </c>
    </row>
    <row r="7958" spans="1:6" ht="12.75">
      <c r="A7958" s="8">
        <v>43901.410011574073</v>
      </c>
      <c r="B7958" s="8" t="str">
        <f>HYPERLINK("https://twitter.com/mybabyikon","@mybabyikon")</f>
        <v>@mybabyikon</v>
      </c>
      <c r="C7958" s="8" t="s">
        <v>2942</v>
      </c>
      <c r="D7958" s="8">
        <v>7</v>
      </c>
      <c r="E7958" s="8">
        <v>0</v>
      </c>
      <c r="F7958" s="8">
        <v>8266</v>
      </c>
    </row>
    <row r="7959" spans="1:6" ht="12.75">
      <c r="A7959" s="8">
        <v>43901.409930555557</v>
      </c>
      <c r="B7959" s="8" t="str">
        <f>HYPERLINK("https://twitter.com/inu_ratih1","@inu_ratih1")</f>
        <v>@inu_ratih1</v>
      </c>
      <c r="C7959" s="8" t="s">
        <v>318</v>
      </c>
      <c r="D7959" s="8">
        <v>1261</v>
      </c>
      <c r="E7959" s="8">
        <v>0</v>
      </c>
      <c r="F7959" s="8">
        <v>101</v>
      </c>
    </row>
    <row r="7960" spans="1:6" ht="12.75">
      <c r="A7960" s="8">
        <v>43901.409641203703</v>
      </c>
      <c r="B7960" s="8" t="str">
        <f>HYPERLINK("https://twitter.com/shylvialee","@shylvialee")</f>
        <v>@shylvialee</v>
      </c>
      <c r="C7960" s="8" t="s">
        <v>1801</v>
      </c>
      <c r="D7960" s="8">
        <v>241</v>
      </c>
      <c r="E7960" s="8">
        <v>0</v>
      </c>
      <c r="F7960" s="8">
        <v>410</v>
      </c>
    </row>
    <row r="7961" spans="1:6" ht="12.75">
      <c r="A7961" s="8">
        <v>43901.409513888888</v>
      </c>
      <c r="B7961" s="8" t="str">
        <f>HYPERLINK("https://twitter.com/yourpaljenkins","@yourpaljenkins")</f>
        <v>@yourpaljenkins</v>
      </c>
      <c r="C7961" s="8" t="s">
        <v>3739</v>
      </c>
      <c r="D7961" s="8">
        <v>0</v>
      </c>
      <c r="E7961" s="8">
        <v>0</v>
      </c>
      <c r="F7961" s="8">
        <v>208</v>
      </c>
    </row>
    <row r="7962" spans="1:6" ht="12.75">
      <c r="A7962" s="8">
        <v>43901.409259259264</v>
      </c>
      <c r="B7962" s="8" t="str">
        <f>HYPERLINK("https://twitter.com/tahutama_","@tahutama_")</f>
        <v>@tahutama_</v>
      </c>
      <c r="C7962" s="8" t="s">
        <v>3740</v>
      </c>
      <c r="D7962" s="8">
        <v>0</v>
      </c>
      <c r="E7962" s="8">
        <v>0</v>
      </c>
      <c r="F7962" s="8">
        <v>18</v>
      </c>
    </row>
    <row r="7963" spans="1:6" ht="12.75">
      <c r="A7963" s="8">
        <v>43901.409097222218</v>
      </c>
      <c r="B7963" s="8" t="str">
        <f>HYPERLINK("https://twitter.com/ISIS_Balik_NO","@ISIS_Balik_NO")</f>
        <v>@ISIS_Balik_NO</v>
      </c>
      <c r="C7963" s="8" t="s">
        <v>3741</v>
      </c>
      <c r="D7963" s="8">
        <v>0</v>
      </c>
      <c r="E7963" s="8">
        <v>1</v>
      </c>
      <c r="F7963" s="8">
        <v>6226</v>
      </c>
    </row>
    <row r="7964" spans="1:6" ht="12.75">
      <c r="A7964" s="8">
        <v>43901.409050925926</v>
      </c>
      <c r="B7964" s="8" t="str">
        <f>HYPERLINK("https://twitter.com/setkabgoid","@setkabgoid")</f>
        <v>@setkabgoid</v>
      </c>
      <c r="C7964" s="8" t="s">
        <v>3303</v>
      </c>
      <c r="D7964" s="8">
        <v>7</v>
      </c>
      <c r="E7964" s="8">
        <v>16</v>
      </c>
      <c r="F7964" s="8">
        <v>1031349</v>
      </c>
    </row>
    <row r="7965" spans="1:6" ht="12.75">
      <c r="A7965" s="8">
        <v>43901.408807870372</v>
      </c>
      <c r="B7965" s="8" t="str">
        <f>HYPERLINK("https://twitter.com/ibnupurna","@ibnupurna")</f>
        <v>@ibnupurna</v>
      </c>
      <c r="C7965" s="8" t="s">
        <v>2537</v>
      </c>
      <c r="D7965" s="8">
        <v>48</v>
      </c>
      <c r="E7965" s="8">
        <v>0</v>
      </c>
      <c r="F7965" s="8">
        <v>5958</v>
      </c>
    </row>
    <row r="7966" spans="1:6" ht="12.75">
      <c r="A7966" s="8">
        <v>43901.408217592594</v>
      </c>
      <c r="B7966" s="8" t="str">
        <f>HYPERLINK("https://twitter.com/ISIS_Balik_NO","@ISIS_Balik_NO")</f>
        <v>@ISIS_Balik_NO</v>
      </c>
      <c r="C7966" s="8" t="s">
        <v>3742</v>
      </c>
      <c r="D7966" s="8">
        <v>0</v>
      </c>
      <c r="E7966" s="8">
        <v>0</v>
      </c>
      <c r="F7966" s="8">
        <v>6226</v>
      </c>
    </row>
    <row r="7967" spans="1:6" ht="12.75">
      <c r="A7967" s="8">
        <v>43901.407766203702</v>
      </c>
      <c r="B7967" s="8" t="str">
        <f>HYPERLINK("https://twitter.com/ardinirmala","@ardinirmala")</f>
        <v>@ardinirmala</v>
      </c>
      <c r="C7967" s="8" t="s">
        <v>1331</v>
      </c>
      <c r="D7967" s="8">
        <v>1</v>
      </c>
      <c r="E7967" s="8">
        <v>0</v>
      </c>
      <c r="F7967" s="8">
        <v>284</v>
      </c>
    </row>
    <row r="7968" spans="1:6" ht="12.75">
      <c r="A7968" s="8">
        <v>43901.407557870371</v>
      </c>
      <c r="B7968" s="8" t="str">
        <f>HYPERLINK("https://twitter.com/Robin_Hood_411","@Robin_Hood_411")</f>
        <v>@Robin_Hood_411</v>
      </c>
      <c r="C7968" s="8" t="s">
        <v>318</v>
      </c>
      <c r="D7968" s="8">
        <v>1261</v>
      </c>
      <c r="E7968" s="8">
        <v>0</v>
      </c>
      <c r="F7968" s="8">
        <v>229</v>
      </c>
    </row>
    <row r="7969" spans="1:6" ht="12.75">
      <c r="A7969" s="8">
        <v>43901.407511574071</v>
      </c>
      <c r="B7969" s="8" t="str">
        <f>HYPERLINK("https://twitter.com/_dianningtias","@_dianningtias")</f>
        <v>@_dianningtias</v>
      </c>
      <c r="C7969" s="8" t="s">
        <v>3743</v>
      </c>
      <c r="D7969" s="8">
        <v>723</v>
      </c>
      <c r="E7969" s="8">
        <v>0</v>
      </c>
      <c r="F7969" s="8">
        <v>482</v>
      </c>
    </row>
    <row r="7970" spans="1:6" ht="12.75">
      <c r="A7970" s="8">
        <v>43901.407407407409</v>
      </c>
      <c r="B7970" s="8" t="str">
        <f t="shared" ref="B7970:B7971" si="138">HYPERLINK("https://twitter.com/ISIS_Balik_NO","@ISIS_Balik_NO")</f>
        <v>@ISIS_Balik_NO</v>
      </c>
      <c r="C7970" s="8" t="s">
        <v>3744</v>
      </c>
      <c r="D7970" s="8">
        <v>0</v>
      </c>
      <c r="E7970" s="8">
        <v>0</v>
      </c>
      <c r="F7970" s="8">
        <v>6226</v>
      </c>
    </row>
    <row r="7971" spans="1:6" ht="12.75">
      <c r="A7971" s="8">
        <v>43901.406122685185</v>
      </c>
      <c r="B7971" s="8" t="str">
        <f t="shared" si="138"/>
        <v>@ISIS_Balik_NO</v>
      </c>
      <c r="C7971" s="8" t="s">
        <v>3745</v>
      </c>
      <c r="D7971" s="8">
        <v>0</v>
      </c>
      <c r="E7971" s="8">
        <v>0</v>
      </c>
      <c r="F7971" s="8">
        <v>6226</v>
      </c>
    </row>
    <row r="7972" spans="1:6" ht="12.75">
      <c r="A7972" s="8">
        <v>43901.405868055561</v>
      </c>
      <c r="B7972" s="8" t="str">
        <f>HYPERLINK("https://twitter.com/lalaki_langit83","@lalaki_langit83")</f>
        <v>@lalaki_langit83</v>
      </c>
      <c r="C7972" s="8" t="s">
        <v>1186</v>
      </c>
      <c r="D7972" s="8">
        <v>279</v>
      </c>
      <c r="E7972" s="8">
        <v>0</v>
      </c>
      <c r="F7972" s="8">
        <v>470</v>
      </c>
    </row>
    <row r="7973" spans="1:6" ht="12.75">
      <c r="A7973" s="8">
        <v>43901.404953703706</v>
      </c>
      <c r="B7973" s="8" t="str">
        <f>HYPERLINK("https://twitter.com/Dpk76Rahmat","@Dpk76Rahmat")</f>
        <v>@Dpk76Rahmat</v>
      </c>
      <c r="C7973" s="8" t="s">
        <v>318</v>
      </c>
      <c r="D7973" s="8">
        <v>1261</v>
      </c>
      <c r="E7973" s="8">
        <v>0</v>
      </c>
      <c r="F7973" s="8">
        <v>34</v>
      </c>
    </row>
    <row r="7974" spans="1:6" ht="12.75">
      <c r="A7974" s="8">
        <v>43901.404444444444</v>
      </c>
      <c r="B7974" s="8" t="str">
        <f>HYPERLINK("https://twitter.com/KhidlirHarjo","@KhidlirHarjo")</f>
        <v>@KhidlirHarjo</v>
      </c>
      <c r="C7974" s="8" t="s">
        <v>318</v>
      </c>
      <c r="D7974" s="8">
        <v>1261</v>
      </c>
      <c r="E7974" s="8">
        <v>0</v>
      </c>
      <c r="F7974" s="8">
        <v>252</v>
      </c>
    </row>
    <row r="7975" spans="1:6" ht="12.75">
      <c r="A7975" s="8">
        <v>43901.404340277775</v>
      </c>
      <c r="B7975" s="8" t="str">
        <f>HYPERLINK("https://twitter.com/DededPatopang","@DededPatopang")</f>
        <v>@DededPatopang</v>
      </c>
      <c r="C7975" s="8" t="s">
        <v>318</v>
      </c>
      <c r="D7975" s="8">
        <v>1261</v>
      </c>
      <c r="E7975" s="8">
        <v>0</v>
      </c>
      <c r="F7975" s="8">
        <v>246</v>
      </c>
    </row>
    <row r="7976" spans="1:6" ht="12.75">
      <c r="A7976" s="8">
        <v>43901.404305555552</v>
      </c>
      <c r="B7976" s="8" t="str">
        <f>HYPERLINK("https://twitter.com/amaliaak303","@amaliaak303")</f>
        <v>@amaliaak303</v>
      </c>
      <c r="C7976" s="8" t="s">
        <v>3470</v>
      </c>
      <c r="D7976" s="8">
        <v>6</v>
      </c>
      <c r="E7976" s="8">
        <v>0</v>
      </c>
      <c r="F7976" s="8">
        <v>97</v>
      </c>
    </row>
    <row r="7977" spans="1:6" ht="12.75">
      <c r="A7977" s="8">
        <v>43901.403993055559</v>
      </c>
      <c r="B7977" s="8" t="str">
        <f>HYPERLINK("https://twitter.com/AlisonCandi","@AlisonCandi")</f>
        <v>@AlisonCandi</v>
      </c>
      <c r="C7977" s="8" t="s">
        <v>1801</v>
      </c>
      <c r="D7977" s="8">
        <v>241</v>
      </c>
      <c r="E7977" s="8">
        <v>0</v>
      </c>
      <c r="F7977" s="8">
        <v>44</v>
      </c>
    </row>
    <row r="7978" spans="1:6" ht="12.75">
      <c r="A7978" s="8">
        <v>43901.403379629628</v>
      </c>
      <c r="B7978" s="8" t="str">
        <f>HYPERLINK("https://twitter.com/flyfluffy","@flyfluffy")</f>
        <v>@flyfluffy</v>
      </c>
      <c r="C7978" s="8" t="s">
        <v>1801</v>
      </c>
      <c r="D7978" s="8">
        <v>241</v>
      </c>
      <c r="E7978" s="8">
        <v>0</v>
      </c>
      <c r="F7978" s="8">
        <v>564</v>
      </c>
    </row>
    <row r="7979" spans="1:6" ht="12.75">
      <c r="A7979" s="8">
        <v>43901.403344907405</v>
      </c>
      <c r="B7979" s="8" t="str">
        <f>HYPERLINK("https://twitter.com/MAGDA46864148","@MAGDA46864148")</f>
        <v>@MAGDA46864148</v>
      </c>
      <c r="C7979" s="8" t="s">
        <v>1186</v>
      </c>
      <c r="D7979" s="8">
        <v>279</v>
      </c>
      <c r="E7979" s="8">
        <v>0</v>
      </c>
      <c r="F7979" s="8">
        <v>8</v>
      </c>
    </row>
    <row r="7980" spans="1:6" ht="12.75">
      <c r="A7980" s="8">
        <v>43901.403055555551</v>
      </c>
      <c r="B7980" s="8" t="str">
        <f>HYPERLINK("https://twitter.com/ISIS_Balik_NO","@ISIS_Balik_NO")</f>
        <v>@ISIS_Balik_NO</v>
      </c>
      <c r="C7980" s="8" t="s">
        <v>3746</v>
      </c>
      <c r="D7980" s="8">
        <v>0</v>
      </c>
      <c r="E7980" s="8">
        <v>0</v>
      </c>
      <c r="F7980" s="8">
        <v>6226</v>
      </c>
    </row>
    <row r="7981" spans="1:6" ht="12.75">
      <c r="A7981" s="8">
        <v>43901.402928240743</v>
      </c>
      <c r="B7981" s="8" t="str">
        <f>HYPERLINK("https://twitter.com/Hendrick215","@Hendrick215")</f>
        <v>@Hendrick215</v>
      </c>
      <c r="C7981" s="8" t="s">
        <v>1801</v>
      </c>
      <c r="D7981" s="8">
        <v>241</v>
      </c>
      <c r="E7981" s="8">
        <v>0</v>
      </c>
      <c r="F7981" s="8">
        <v>128</v>
      </c>
    </row>
    <row r="7982" spans="1:6" ht="12.75">
      <c r="A7982" s="8">
        <v>43901.402789351851</v>
      </c>
      <c r="B7982" s="8" t="str">
        <f>HYPERLINK("https://twitter.com/DoniGrapher","@DoniGrapher")</f>
        <v>@DoniGrapher</v>
      </c>
      <c r="C7982" s="8" t="s">
        <v>3470</v>
      </c>
      <c r="D7982" s="8">
        <v>6</v>
      </c>
      <c r="E7982" s="8">
        <v>0</v>
      </c>
      <c r="F7982" s="8">
        <v>438</v>
      </c>
    </row>
    <row r="7983" spans="1:6" ht="12.75">
      <c r="A7983" s="8">
        <v>43901.402627314819</v>
      </c>
      <c r="B7983" s="8" t="str">
        <f>HYPERLINK("https://twitter.com/Tandaseru_id","@Tandaseru_id")</f>
        <v>@Tandaseru_id</v>
      </c>
      <c r="C7983" s="8" t="s">
        <v>3747</v>
      </c>
      <c r="D7983" s="8">
        <v>0</v>
      </c>
      <c r="E7983" s="8">
        <v>0</v>
      </c>
      <c r="F7983" s="8">
        <v>540</v>
      </c>
    </row>
    <row r="7984" spans="1:6" ht="12.75">
      <c r="A7984" s="8">
        <v>43901.402314814812</v>
      </c>
      <c r="B7984" s="8" t="str">
        <f>HYPERLINK("https://twitter.com/ewin8923","@ewin8923")</f>
        <v>@ewin8923</v>
      </c>
      <c r="C7984" s="8" t="s">
        <v>3470</v>
      </c>
      <c r="D7984" s="8">
        <v>6</v>
      </c>
      <c r="E7984" s="8">
        <v>0</v>
      </c>
      <c r="F7984" s="8">
        <v>1050</v>
      </c>
    </row>
    <row r="7985" spans="1:6" ht="12.75">
      <c r="A7985" s="8">
        <v>43901.40225694445</v>
      </c>
      <c r="B7985" s="8" t="str">
        <f>HYPERLINK("https://twitter.com/mobilgp","@mobilgp")</f>
        <v>@mobilgp</v>
      </c>
      <c r="C7985" s="8" t="s">
        <v>3748</v>
      </c>
      <c r="D7985" s="8">
        <v>3</v>
      </c>
      <c r="E7985" s="8">
        <v>0</v>
      </c>
      <c r="F7985" s="8">
        <v>10</v>
      </c>
    </row>
    <row r="7986" spans="1:6" ht="12.75">
      <c r="A7986" s="8">
        <v>43901.402129629627</v>
      </c>
      <c r="B7986" s="8" t="str">
        <f>HYPERLINK("https://twitter.com/Jingga96100921","@Jingga96100921")</f>
        <v>@Jingga96100921</v>
      </c>
      <c r="C7986" s="8" t="s">
        <v>2537</v>
      </c>
      <c r="D7986" s="8">
        <v>48</v>
      </c>
      <c r="E7986" s="8">
        <v>0</v>
      </c>
      <c r="F7986" s="8">
        <v>2</v>
      </c>
    </row>
    <row r="7987" spans="1:6" ht="12.75">
      <c r="A7987" s="8">
        <v>43901.401249999995</v>
      </c>
      <c r="B7987" s="8" t="str">
        <f>HYPERLINK("https://twitter.com/smtown_child","@smtown_child")</f>
        <v>@smtown_child</v>
      </c>
      <c r="C7987" s="8" t="s">
        <v>3749</v>
      </c>
      <c r="D7987" s="8">
        <v>0</v>
      </c>
      <c r="E7987" s="8">
        <v>0</v>
      </c>
      <c r="F7987" s="8">
        <v>149</v>
      </c>
    </row>
    <row r="7988" spans="1:6" ht="12.75">
      <c r="A7988" s="8">
        <v>43901.401192129633</v>
      </c>
      <c r="B7988" s="8" t="str">
        <f>HYPERLINK("https://twitter.com/karimamrullah82","@karimamrullah82")</f>
        <v>@karimamrullah82</v>
      </c>
      <c r="C7988" s="8" t="s">
        <v>3750</v>
      </c>
      <c r="D7988" s="8">
        <v>2</v>
      </c>
      <c r="E7988" s="8">
        <v>0</v>
      </c>
      <c r="F7988" s="8">
        <v>366</v>
      </c>
    </row>
    <row r="7989" spans="1:6" ht="12.75">
      <c r="A7989" s="8">
        <v>43901.401053240741</v>
      </c>
      <c r="B7989" s="8" t="str">
        <f>HYPERLINK("https://twitter.com/kanpurgaurav","@kanpurgaurav")</f>
        <v>@kanpurgaurav</v>
      </c>
      <c r="C7989" s="8" t="s">
        <v>1957</v>
      </c>
      <c r="D7989" s="8">
        <v>1492</v>
      </c>
      <c r="E7989" s="8">
        <v>0</v>
      </c>
      <c r="F7989" s="8">
        <v>56</v>
      </c>
    </row>
    <row r="7990" spans="1:6" ht="12.75">
      <c r="A7990" s="8">
        <v>43901.400868055556</v>
      </c>
      <c r="B7990" s="8" t="str">
        <f>HYPERLINK("https://twitter.com/LaingenLisa","@LaingenLisa")</f>
        <v>@LaingenLisa</v>
      </c>
      <c r="C7990" s="8" t="s">
        <v>1801</v>
      </c>
      <c r="D7990" s="8">
        <v>241</v>
      </c>
      <c r="E7990" s="8">
        <v>0</v>
      </c>
      <c r="F7990" s="8">
        <v>3645</v>
      </c>
    </row>
    <row r="7991" spans="1:6" ht="12.75">
      <c r="A7991" s="8">
        <v>43901.400729166664</v>
      </c>
      <c r="B7991" s="8" t="str">
        <f>HYPERLINK("https://twitter.com/tadinsaf","@tadinsaf")</f>
        <v>@tadinsaf</v>
      </c>
      <c r="C7991" s="8" t="s">
        <v>1186</v>
      </c>
      <c r="D7991" s="8">
        <v>279</v>
      </c>
      <c r="E7991" s="8">
        <v>0</v>
      </c>
      <c r="F7991" s="8">
        <v>1567</v>
      </c>
    </row>
    <row r="7992" spans="1:6" ht="12.75">
      <c r="A7992" s="8">
        <v>43901.400671296295</v>
      </c>
      <c r="B7992" s="8" t="str">
        <f>HYPERLINK("https://twitter.com/ardhy840119","@ardhy840119")</f>
        <v>@ardhy840119</v>
      </c>
      <c r="C7992" s="8" t="s">
        <v>1801</v>
      </c>
      <c r="D7992" s="8">
        <v>241</v>
      </c>
      <c r="E7992" s="8">
        <v>0</v>
      </c>
      <c r="F7992" s="8">
        <v>64</v>
      </c>
    </row>
    <row r="7993" spans="1:6" ht="12.75">
      <c r="A7993" s="8">
        <v>43901.381643518514</v>
      </c>
      <c r="B7993" s="8" t="str">
        <f>HYPERLINK("https://twitter.com/BagusJimmi","@BagusJimmi")</f>
        <v>@BagusJimmi</v>
      </c>
      <c r="C7993" s="8" t="s">
        <v>318</v>
      </c>
      <c r="D7993" s="8">
        <v>1244</v>
      </c>
      <c r="E7993" s="8">
        <v>0</v>
      </c>
      <c r="F7993" s="8">
        <v>168</v>
      </c>
    </row>
    <row r="7994" spans="1:6" ht="12.75">
      <c r="A7994" s="8">
        <v>43901.381493055553</v>
      </c>
      <c r="B7994" s="8" t="str">
        <f>HYPERLINK("https://twitter.com/ali_nurlah","@ali_nurlah")</f>
        <v>@ali_nurlah</v>
      </c>
      <c r="C7994" s="8" t="s">
        <v>318</v>
      </c>
      <c r="D7994" s="8">
        <v>1244</v>
      </c>
      <c r="E7994" s="8">
        <v>0</v>
      </c>
      <c r="F7994" s="8">
        <v>1160</v>
      </c>
    </row>
    <row r="7995" spans="1:6" ht="12.75">
      <c r="A7995" s="8">
        <v>43901.381377314814</v>
      </c>
      <c r="B7995" s="8" t="str">
        <f>HYPERLINK("https://twitter.com/81Calra","@81Calra")</f>
        <v>@81Calra</v>
      </c>
      <c r="C7995" s="8" t="s">
        <v>318</v>
      </c>
      <c r="D7995" s="8">
        <v>1244</v>
      </c>
      <c r="E7995" s="8">
        <v>0</v>
      </c>
      <c r="F7995" s="8">
        <v>93</v>
      </c>
    </row>
    <row r="7996" spans="1:6" ht="12.75">
      <c r="A7996" s="8">
        <v>43901.381273148145</v>
      </c>
      <c r="B7996" s="8" t="str">
        <f>HYPERLINK("https://twitter.com/dewi_darmawati","@dewi_darmawati")</f>
        <v>@dewi_darmawati</v>
      </c>
      <c r="C7996" s="8" t="s">
        <v>3470</v>
      </c>
      <c r="D7996" s="8">
        <v>1</v>
      </c>
      <c r="E7996" s="8">
        <v>0</v>
      </c>
      <c r="F7996" s="8">
        <v>4416</v>
      </c>
    </row>
    <row r="7997" spans="1:6" ht="12.75">
      <c r="A7997" s="8">
        <v>43901.38108796296</v>
      </c>
      <c r="B7997" s="8" t="str">
        <f>HYPERLINK("https://twitter.com/jodaya_56","@jodaya_56")</f>
        <v>@jodaya_56</v>
      </c>
      <c r="C7997" s="8" t="s">
        <v>3751</v>
      </c>
      <c r="D7997" s="8">
        <v>0</v>
      </c>
      <c r="E7997" s="8">
        <v>0</v>
      </c>
      <c r="F7997" s="8">
        <v>581</v>
      </c>
    </row>
    <row r="7998" spans="1:6" ht="12.75">
      <c r="A7998" s="8">
        <v>43901.380960648152</v>
      </c>
      <c r="B7998" s="8" t="str">
        <f>HYPERLINK("https://twitter.com/tukangdoodle","@tukangdoodle")</f>
        <v>@tukangdoodle</v>
      </c>
      <c r="C7998" s="8" t="s">
        <v>3752</v>
      </c>
      <c r="D7998" s="8">
        <v>32</v>
      </c>
      <c r="E7998" s="8">
        <v>0</v>
      </c>
      <c r="F7998" s="8">
        <v>97</v>
      </c>
    </row>
    <row r="7999" spans="1:6" ht="12.75">
      <c r="A7999" s="8">
        <v>43901.380868055552</v>
      </c>
      <c r="B7999" s="8" t="str">
        <f>HYPERLINK("https://twitter.com/yivinti","@yivinti")</f>
        <v>@yivinti</v>
      </c>
      <c r="C7999" s="8" t="s">
        <v>2177</v>
      </c>
      <c r="D7999" s="8">
        <v>7</v>
      </c>
      <c r="E7999" s="8">
        <v>0</v>
      </c>
      <c r="F7999" s="8">
        <v>259</v>
      </c>
    </row>
    <row r="8000" spans="1:6" ht="12.75">
      <c r="A8000" s="8">
        <v>43901.380532407406</v>
      </c>
      <c r="B8000" s="8" t="str">
        <f>HYPERLINK("https://twitter.com/Brunowicaksono","@Brunowicaksono")</f>
        <v>@Brunowicaksono</v>
      </c>
      <c r="C8000" s="8" t="s">
        <v>3753</v>
      </c>
      <c r="D8000" s="8">
        <v>2</v>
      </c>
      <c r="E8000" s="8">
        <v>0</v>
      </c>
      <c r="F8000" s="8">
        <v>1785</v>
      </c>
    </row>
    <row r="8001" spans="1:6" ht="12.75">
      <c r="A8001" s="8">
        <v>43901.380150462966</v>
      </c>
      <c r="B8001" s="8" t="str">
        <f>HYPERLINK("https://twitter.com/ImbKosta","@ImbKosta")</f>
        <v>@ImbKosta</v>
      </c>
      <c r="C8001" s="8" t="s">
        <v>3422</v>
      </c>
      <c r="D8001" s="8">
        <v>3</v>
      </c>
      <c r="E8001" s="8">
        <v>0</v>
      </c>
      <c r="F8001" s="8">
        <v>54</v>
      </c>
    </row>
    <row r="8002" spans="1:6" ht="12.75">
      <c r="A8002" s="8">
        <v>43901.380150462966</v>
      </c>
      <c r="B8002" s="8" t="str">
        <f>HYPERLINK("https://twitter.com/smrealdo","@smrealdo")</f>
        <v>@smrealdo</v>
      </c>
      <c r="C8002" s="8" t="s">
        <v>2177</v>
      </c>
      <c r="D8002" s="8">
        <v>7</v>
      </c>
      <c r="E8002" s="8">
        <v>0</v>
      </c>
      <c r="F8002" s="8">
        <v>568</v>
      </c>
    </row>
    <row r="8003" spans="1:6" ht="12.75">
      <c r="A8003" s="8">
        <v>43901.38013888889</v>
      </c>
      <c r="B8003" s="8" t="str">
        <f>HYPERLINK("https://twitter.com/anifatasha","@anifatasha")</f>
        <v>@anifatasha</v>
      </c>
      <c r="C8003" s="8" t="s">
        <v>2177</v>
      </c>
      <c r="D8003" s="8">
        <v>7</v>
      </c>
      <c r="E8003" s="8">
        <v>0</v>
      </c>
      <c r="F8003" s="8">
        <v>508</v>
      </c>
    </row>
    <row r="8004" spans="1:6" ht="12.75">
      <c r="A8004" s="8">
        <v>43901.380115740743</v>
      </c>
      <c r="B8004" s="8" t="str">
        <f>HYPERLINK("https://twitter.com/jawapos","@jawapos")</f>
        <v>@jawapos</v>
      </c>
      <c r="C8004" s="8" t="s">
        <v>3754</v>
      </c>
      <c r="D8004" s="8">
        <v>0</v>
      </c>
      <c r="E8004" s="8">
        <v>1</v>
      </c>
      <c r="F8004" s="8">
        <v>128703</v>
      </c>
    </row>
    <row r="8005" spans="1:6" ht="12.75">
      <c r="A8005" s="8">
        <v>43901.379895833335</v>
      </c>
      <c r="B8005" s="8" t="str">
        <f>HYPERLINK("https://twitter.com/Dewalongok","@Dewalongok")</f>
        <v>@Dewalongok</v>
      </c>
      <c r="C8005" s="8" t="s">
        <v>1801</v>
      </c>
      <c r="D8005" s="8">
        <v>216</v>
      </c>
      <c r="E8005" s="8">
        <v>0</v>
      </c>
      <c r="F8005" s="8">
        <v>118</v>
      </c>
    </row>
    <row r="8006" spans="1:6" ht="12.75">
      <c r="A8006" s="8">
        <v>43901.379826388889</v>
      </c>
      <c r="B8006" s="8" t="str">
        <f>HYPERLINK("https://twitter.com/juliskecap","@juliskecap")</f>
        <v>@juliskecap</v>
      </c>
      <c r="C8006" s="8" t="s">
        <v>2177</v>
      </c>
      <c r="D8006" s="8">
        <v>7</v>
      </c>
      <c r="E8006" s="8">
        <v>0</v>
      </c>
      <c r="F8006" s="8">
        <v>542</v>
      </c>
    </row>
    <row r="8007" spans="1:6" ht="12.75">
      <c r="A8007" s="8">
        <v>43901.37981481482</v>
      </c>
      <c r="B8007" s="8" t="str">
        <f>HYPERLINK("https://twitter.com/IdEmbassy_Seoul","@IdEmbassy_Seoul")</f>
        <v>@IdEmbassy_Seoul</v>
      </c>
      <c r="C8007" s="8" t="s">
        <v>2177</v>
      </c>
      <c r="D8007" s="8">
        <v>7</v>
      </c>
      <c r="E8007" s="8">
        <v>0</v>
      </c>
      <c r="F8007" s="8">
        <v>3898</v>
      </c>
    </row>
    <row r="8008" spans="1:6" ht="12.75">
      <c r="A8008" s="8">
        <v>43901.37976851852</v>
      </c>
      <c r="B8008" s="8" t="str">
        <f>HYPERLINK("https://twitter.com/ewin8923","@ewin8923")</f>
        <v>@ewin8923</v>
      </c>
      <c r="C8008" s="8" t="s">
        <v>1427</v>
      </c>
      <c r="D8008" s="8">
        <v>1062</v>
      </c>
      <c r="E8008" s="8">
        <v>0</v>
      </c>
      <c r="F8008" s="8">
        <v>1049</v>
      </c>
    </row>
    <row r="8009" spans="1:6" ht="12.75">
      <c r="A8009" s="8">
        <v>43901.379629629635</v>
      </c>
      <c r="B8009" s="8" t="str">
        <f>HYPERLINK("https://twitter.com/mgunawan2018","@mgunawan2018")</f>
        <v>@mgunawan2018</v>
      </c>
      <c r="C8009" s="8" t="s">
        <v>2177</v>
      </c>
      <c r="D8009" s="8">
        <v>7</v>
      </c>
      <c r="E8009" s="8">
        <v>0</v>
      </c>
      <c r="F8009" s="8">
        <v>60</v>
      </c>
    </row>
    <row r="8010" spans="1:6" ht="12.75">
      <c r="A8010" s="8">
        <v>43901.379560185189</v>
      </c>
      <c r="B8010" s="8" t="str">
        <f>HYPERLINK("https://twitter.com/10F01C0","@10F01C0")</f>
        <v>@10F01C0</v>
      </c>
      <c r="C8010" s="8" t="s">
        <v>2177</v>
      </c>
      <c r="D8010" s="8">
        <v>7</v>
      </c>
      <c r="E8010" s="8">
        <v>0</v>
      </c>
      <c r="F8010" s="8">
        <v>5</v>
      </c>
    </row>
    <row r="8011" spans="1:6" ht="12.75">
      <c r="A8011" s="8">
        <v>43901.378877314812</v>
      </c>
      <c r="B8011" s="8" t="str">
        <f>HYPERLINK("https://twitter.com/Kemlu_RI","@Kemlu_RI")</f>
        <v>@Kemlu_RI</v>
      </c>
      <c r="C8011" s="8" t="s">
        <v>3755</v>
      </c>
      <c r="D8011" s="8">
        <v>7</v>
      </c>
      <c r="E8011" s="8">
        <v>4</v>
      </c>
      <c r="F8011" s="8">
        <v>171304</v>
      </c>
    </row>
    <row r="8012" spans="1:6" ht="12.75">
      <c r="A8012" s="8">
        <v>43901.378796296296</v>
      </c>
      <c r="B8012" s="8" t="str">
        <f>HYPERLINK("https://twitter.com/Dodo72863288","@Dodo72863288")</f>
        <v>@Dodo72863288</v>
      </c>
      <c r="C8012" s="8" t="s">
        <v>3756</v>
      </c>
      <c r="D8012" s="8">
        <v>0</v>
      </c>
      <c r="E8012" s="8">
        <v>0</v>
      </c>
      <c r="F8012" s="8">
        <v>29</v>
      </c>
    </row>
    <row r="8013" spans="1:6" ht="12.75">
      <c r="A8013" s="8">
        <v>43901.37877314815</v>
      </c>
      <c r="B8013" s="8" t="str">
        <f>HYPERLINK("https://twitter.com/idaharjuno90","@idaharjuno90")</f>
        <v>@idaharjuno90</v>
      </c>
      <c r="C8013" s="8" t="s">
        <v>1186</v>
      </c>
      <c r="D8013" s="8">
        <v>259</v>
      </c>
      <c r="E8013" s="8">
        <v>0</v>
      </c>
      <c r="F8013" s="8">
        <v>518</v>
      </c>
    </row>
    <row r="8014" spans="1:6" ht="12.75">
      <c r="A8014" s="8">
        <v>43901.378506944442</v>
      </c>
      <c r="B8014" s="8" t="str">
        <f>HYPERLINK("https://twitter.com/UciGisella","@UciGisella")</f>
        <v>@UciGisella</v>
      </c>
      <c r="C8014" s="8" t="s">
        <v>3753</v>
      </c>
      <c r="D8014" s="8">
        <v>2</v>
      </c>
      <c r="E8014" s="8">
        <v>0</v>
      </c>
      <c r="F8014" s="8">
        <v>329</v>
      </c>
    </row>
    <row r="8015" spans="1:6" ht="12.75">
      <c r="A8015" s="8">
        <v>43901.378472222219</v>
      </c>
      <c r="B8015" s="8" t="str">
        <f>HYPERLINK("https://twitter.com/ifputra","@ifputra")</f>
        <v>@ifputra</v>
      </c>
      <c r="C8015" s="8" t="s">
        <v>318</v>
      </c>
      <c r="D8015" s="8">
        <v>1244</v>
      </c>
      <c r="E8015" s="8">
        <v>0</v>
      </c>
      <c r="F8015" s="8">
        <v>549</v>
      </c>
    </row>
    <row r="8016" spans="1:6" ht="12.75">
      <c r="A8016" s="8">
        <v>43901.378460648149</v>
      </c>
      <c r="B8016" s="8" t="str">
        <f>HYPERLINK("https://twitter.com/UciGisella","@UciGisella")</f>
        <v>@UciGisella</v>
      </c>
      <c r="C8016" s="8" t="s">
        <v>3757</v>
      </c>
      <c r="D8016" s="8">
        <v>1</v>
      </c>
      <c r="E8016" s="8">
        <v>0</v>
      </c>
      <c r="F8016" s="8">
        <v>329</v>
      </c>
    </row>
    <row r="8017" spans="1:6" ht="12.75">
      <c r="A8017" s="8">
        <v>43901.378391203703</v>
      </c>
      <c r="B8017" s="8" t="str">
        <f>HYPERLINK("https://twitter.com/Crystal95836602","@Crystal95836602")</f>
        <v>@Crystal95836602</v>
      </c>
      <c r="C8017" s="8" t="s">
        <v>3758</v>
      </c>
      <c r="D8017" s="8">
        <v>0</v>
      </c>
      <c r="E8017" s="8">
        <v>0</v>
      </c>
      <c r="F8017" s="8">
        <v>5</v>
      </c>
    </row>
    <row r="8018" spans="1:6" ht="12.75">
      <c r="A8018" s="8">
        <v>43901.378252314811</v>
      </c>
      <c r="B8018" s="8" t="str">
        <f>HYPERLINK("https://twitter.com/MrsRachelIn","@MrsRachelIn")</f>
        <v>@MrsRachelIn</v>
      </c>
      <c r="C8018" s="8" t="s">
        <v>3759</v>
      </c>
      <c r="D8018" s="8">
        <v>1</v>
      </c>
      <c r="E8018" s="8">
        <v>1</v>
      </c>
      <c r="F8018" s="8">
        <v>3548</v>
      </c>
    </row>
    <row r="8019" spans="1:6" ht="12.75">
      <c r="A8019" s="8">
        <v>43901.37799768518</v>
      </c>
      <c r="B8019" s="8" t="str">
        <f>HYPERLINK("https://twitter.com/zeekrys","@zeekrys")</f>
        <v>@zeekrys</v>
      </c>
      <c r="C8019" s="8" t="s">
        <v>3760</v>
      </c>
      <c r="D8019" s="8">
        <v>0</v>
      </c>
      <c r="E8019" s="8">
        <v>0</v>
      </c>
      <c r="F8019" s="8">
        <v>0</v>
      </c>
    </row>
    <row r="8020" spans="1:6" ht="12.75">
      <c r="A8020" s="8">
        <v>43901.377615740741</v>
      </c>
      <c r="B8020" s="8" t="str">
        <f>HYPERLINK("https://twitter.com/EN538474N6","@EN538474N6")</f>
        <v>@EN538474N6</v>
      </c>
      <c r="C8020" s="8" t="s">
        <v>3761</v>
      </c>
      <c r="D8020" s="8">
        <v>0</v>
      </c>
      <c r="E8020" s="8">
        <v>0</v>
      </c>
      <c r="F8020" s="8">
        <v>1734</v>
      </c>
    </row>
    <row r="8021" spans="1:6" ht="12.75">
      <c r="A8021" s="8">
        <v>43901.377430555556</v>
      </c>
      <c r="B8021" s="8" t="str">
        <f>HYPERLINK("https://twitter.com/Taryn165","@Taryn165")</f>
        <v>@Taryn165</v>
      </c>
      <c r="C8021" s="8" t="s">
        <v>3762</v>
      </c>
      <c r="D8021" s="8">
        <v>1</v>
      </c>
      <c r="E8021" s="8">
        <v>0</v>
      </c>
      <c r="F8021" s="8">
        <v>827</v>
      </c>
    </row>
    <row r="8022" spans="1:6" ht="12.75">
      <c r="A8022" s="8">
        <v>43901.377199074079</v>
      </c>
      <c r="B8022" s="8" t="str">
        <f>HYPERLINK("https://twitter.com/Crystal95836602","@Crystal95836602")</f>
        <v>@Crystal95836602</v>
      </c>
      <c r="C8022" s="8" t="s">
        <v>3763</v>
      </c>
      <c r="D8022" s="8">
        <v>0</v>
      </c>
      <c r="E8022" s="8">
        <v>0</v>
      </c>
      <c r="F8022" s="8">
        <v>5</v>
      </c>
    </row>
    <row r="8023" spans="1:6" ht="12.75">
      <c r="A8023" s="8">
        <v>43901.376793981486</v>
      </c>
      <c r="B8023" s="8" t="str">
        <f>HYPERLINK("https://twitter.com/AdnanDasuki99","@AdnanDasuki99")</f>
        <v>@AdnanDasuki99</v>
      </c>
      <c r="C8023" s="8" t="s">
        <v>3764</v>
      </c>
      <c r="D8023" s="8">
        <v>0</v>
      </c>
      <c r="E8023" s="8">
        <v>0</v>
      </c>
      <c r="F8023" s="8">
        <v>133</v>
      </c>
    </row>
    <row r="8024" spans="1:6" ht="12.75">
      <c r="A8024" s="8">
        <v>43901.376423611116</v>
      </c>
      <c r="B8024" s="8" t="str">
        <f>HYPERLINK("https://twitter.com/Aryprasetyo85","@Aryprasetyo85")</f>
        <v>@Aryprasetyo85</v>
      </c>
      <c r="C8024" s="8" t="s">
        <v>3422</v>
      </c>
      <c r="D8024" s="8">
        <v>3</v>
      </c>
      <c r="E8024" s="8">
        <v>0</v>
      </c>
      <c r="F8024" s="8">
        <v>40855</v>
      </c>
    </row>
    <row r="8025" spans="1:6" ht="12.75">
      <c r="A8025" s="8">
        <v>43901.376226851848</v>
      </c>
      <c r="B8025" s="8" t="str">
        <f>HYPERLINK("https://twitter.com/tedi_pirmansyah","@tedi_pirmansyah")</f>
        <v>@tedi_pirmansyah</v>
      </c>
      <c r="C8025" s="8" t="s">
        <v>1801</v>
      </c>
      <c r="D8025" s="8">
        <v>216</v>
      </c>
      <c r="E8025" s="8">
        <v>0</v>
      </c>
      <c r="F8025" s="8">
        <v>458</v>
      </c>
    </row>
    <row r="8026" spans="1:6" ht="12.75">
      <c r="A8026" s="8">
        <v>43901.37605324074</v>
      </c>
      <c r="B8026" s="8" t="str">
        <f>HYPERLINK("https://twitter.com/Deni45158","@Deni45158")</f>
        <v>@Deni45158</v>
      </c>
      <c r="C8026" s="8" t="s">
        <v>318</v>
      </c>
      <c r="D8026" s="8">
        <v>1244</v>
      </c>
      <c r="E8026" s="8">
        <v>0</v>
      </c>
      <c r="F8026" s="8">
        <v>292</v>
      </c>
    </row>
    <row r="8027" spans="1:6" ht="12.75">
      <c r="A8027" s="8">
        <v>43901.375671296293</v>
      </c>
      <c r="B8027" s="8" t="str">
        <f>HYPERLINK("https://twitter.com/Sundana_Papua","@Sundana_Papua")</f>
        <v>@Sundana_Papua</v>
      </c>
      <c r="C8027" s="8" t="s">
        <v>318</v>
      </c>
      <c r="D8027" s="8">
        <v>1244</v>
      </c>
      <c r="E8027" s="8">
        <v>0</v>
      </c>
      <c r="F8027" s="8">
        <v>1152</v>
      </c>
    </row>
    <row r="8028" spans="1:6" ht="12.75">
      <c r="A8028" s="8">
        <v>43901.37537037037</v>
      </c>
      <c r="B8028" s="8" t="str">
        <f>HYPERLINK("https://twitter.com/Crystal95836602","@Crystal95836602")</f>
        <v>@Crystal95836602</v>
      </c>
      <c r="C8028" s="8" t="s">
        <v>3765</v>
      </c>
      <c r="D8028" s="8">
        <v>0</v>
      </c>
      <c r="E8028" s="8">
        <v>0</v>
      </c>
      <c r="F8028" s="8">
        <v>5</v>
      </c>
    </row>
    <row r="8029" spans="1:6" ht="12.75">
      <c r="A8029" s="8">
        <v>43901.375185185185</v>
      </c>
      <c r="B8029" s="8" t="str">
        <f>HYPERLINK("https://twitter.com/MENANGCURANGKAU","@MENANGCURANGKAU")</f>
        <v>@MENANGCURANGKAU</v>
      </c>
      <c r="C8029" s="8" t="s">
        <v>318</v>
      </c>
      <c r="D8029" s="8">
        <v>1244</v>
      </c>
      <c r="E8029" s="8">
        <v>0</v>
      </c>
      <c r="F8029" s="8">
        <v>1536</v>
      </c>
    </row>
    <row r="8030" spans="1:6" ht="12.75">
      <c r="A8030" s="8">
        <v>43901.375046296293</v>
      </c>
      <c r="B8030" s="8" t="str">
        <f>HYPERLINK("https://twitter.com/bandungpemkab","@bandungpemkab")</f>
        <v>@bandungpemkab</v>
      </c>
      <c r="C8030" s="8" t="s">
        <v>3766</v>
      </c>
      <c r="D8030" s="8">
        <v>0</v>
      </c>
      <c r="E8030" s="8">
        <v>0</v>
      </c>
      <c r="F8030" s="8">
        <v>151</v>
      </c>
    </row>
    <row r="8031" spans="1:6" ht="12.75">
      <c r="A8031" s="8">
        <v>43901.374490740738</v>
      </c>
      <c r="B8031" s="8" t="str">
        <f>HYPERLINK("https://twitter.com/saturnjey","@saturnjey")</f>
        <v>@saturnjey</v>
      </c>
      <c r="C8031" s="8" t="s">
        <v>318</v>
      </c>
      <c r="D8031" s="8">
        <v>1244</v>
      </c>
      <c r="E8031" s="8">
        <v>0</v>
      </c>
      <c r="F8031" s="8">
        <v>330</v>
      </c>
    </row>
    <row r="8032" spans="1:6" ht="12.75">
      <c r="A8032" s="8">
        <v>43901.374189814815</v>
      </c>
      <c r="B8032" s="8" t="str">
        <f>HYPERLINK("https://twitter.com/zexxmint","@zexxmint")</f>
        <v>@zexxmint</v>
      </c>
      <c r="C8032" s="8" t="s">
        <v>3767</v>
      </c>
      <c r="D8032" s="8">
        <v>0</v>
      </c>
      <c r="E8032" s="8">
        <v>0</v>
      </c>
      <c r="F8032" s="8">
        <v>483</v>
      </c>
    </row>
    <row r="8033" spans="1:6" ht="12.75">
      <c r="A8033" s="8">
        <v>43901.37400462963</v>
      </c>
      <c r="B8033" s="8" t="str">
        <f>HYPERLINK("https://twitter.com/ijoenisti","@ijoenisti")</f>
        <v>@ijoenisti</v>
      </c>
      <c r="C8033" s="8" t="s">
        <v>1186</v>
      </c>
      <c r="D8033" s="8">
        <v>259</v>
      </c>
      <c r="E8033" s="8">
        <v>0</v>
      </c>
      <c r="F8033" s="8">
        <v>596</v>
      </c>
    </row>
    <row r="8034" spans="1:6" ht="12.75">
      <c r="A8034" s="8">
        <v>43901.37400462963</v>
      </c>
      <c r="B8034" s="8" t="str">
        <f>HYPERLINK("https://twitter.com/PulauTidungTrav","@PulauTidungTrav")</f>
        <v>@PulauTidungTrav</v>
      </c>
      <c r="C8034" s="8" t="s">
        <v>3768</v>
      </c>
      <c r="D8034" s="8">
        <v>0</v>
      </c>
      <c r="E8034" s="8">
        <v>0</v>
      </c>
      <c r="F8034" s="8">
        <v>113</v>
      </c>
    </row>
    <row r="8035" spans="1:6" ht="12.75">
      <c r="A8035" s="8">
        <v>43901.373981481476</v>
      </c>
      <c r="B8035" s="8" t="str">
        <f>HYPERLINK("https://twitter.com/gustinovendra","@gustinovendra")</f>
        <v>@gustinovendra</v>
      </c>
      <c r="C8035" s="8" t="s">
        <v>3769</v>
      </c>
      <c r="D8035" s="8">
        <v>0</v>
      </c>
      <c r="E8035" s="8">
        <v>0</v>
      </c>
      <c r="F8035" s="8">
        <v>1553</v>
      </c>
    </row>
    <row r="8036" spans="1:6" ht="12.75">
      <c r="A8036" s="8">
        <v>43901.373935185184</v>
      </c>
      <c r="B8036" s="8" t="str">
        <f>HYPERLINK("https://twitter.com/acidzaras","@acidzaras")</f>
        <v>@acidzaras</v>
      </c>
      <c r="C8036" s="8" t="s">
        <v>3770</v>
      </c>
      <c r="D8036" s="8">
        <v>0</v>
      </c>
      <c r="E8036" s="8">
        <v>0</v>
      </c>
      <c r="F8036" s="8">
        <v>7</v>
      </c>
    </row>
    <row r="8037" spans="1:6" ht="12.75">
      <c r="A8037" s="8">
        <v>43901.373518518521</v>
      </c>
      <c r="B8037" s="8" t="str">
        <f>HYPERLINK("https://twitter.com/ini_alal","@ini_alal")</f>
        <v>@ini_alal</v>
      </c>
      <c r="C8037" s="8" t="s">
        <v>1186</v>
      </c>
      <c r="D8037" s="8">
        <v>259</v>
      </c>
      <c r="E8037" s="8">
        <v>0</v>
      </c>
      <c r="F8037" s="8">
        <v>540</v>
      </c>
    </row>
    <row r="8038" spans="1:6" ht="12.75">
      <c r="A8038" s="8">
        <v>43901.372627314813</v>
      </c>
      <c r="B8038" s="8" t="str">
        <f>HYPERLINK("https://twitter.com/alinejimmy","@alinejimmy")</f>
        <v>@alinejimmy</v>
      </c>
      <c r="C8038" s="8" t="s">
        <v>1801</v>
      </c>
      <c r="D8038" s="8">
        <v>216</v>
      </c>
      <c r="E8038" s="8">
        <v>0</v>
      </c>
      <c r="F8038" s="8">
        <v>262</v>
      </c>
    </row>
    <row r="8039" spans="1:6" ht="12.75">
      <c r="A8039" s="8">
        <v>43901.372233796297</v>
      </c>
      <c r="B8039" s="8" t="str">
        <f>HYPERLINK("https://twitter.com/herdiman29","@herdiman29")</f>
        <v>@herdiman29</v>
      </c>
      <c r="C8039" s="8" t="s">
        <v>3771</v>
      </c>
      <c r="D8039" s="8">
        <v>0</v>
      </c>
      <c r="E8039" s="8">
        <v>0</v>
      </c>
      <c r="F8039" s="8">
        <v>992</v>
      </c>
    </row>
    <row r="8040" spans="1:6" ht="12.75">
      <c r="A8040" s="8">
        <v>43901.371388888889</v>
      </c>
      <c r="B8040" s="8" t="str">
        <f>HYPERLINK("https://twitter.com/AntonPr12594871","@AntonPr12594871")</f>
        <v>@AntonPr12594871</v>
      </c>
      <c r="C8040" s="8" t="s">
        <v>1801</v>
      </c>
      <c r="D8040" s="8">
        <v>216</v>
      </c>
      <c r="E8040" s="8">
        <v>0</v>
      </c>
      <c r="F8040" s="8">
        <v>2144</v>
      </c>
    </row>
    <row r="8041" spans="1:6" ht="12.75">
      <c r="A8041" s="8">
        <v>43901.371319444443</v>
      </c>
      <c r="B8041" s="8" t="str">
        <f>HYPERLINK("https://twitter.com/MinusOneDegrees","@MinusOneDegrees")</f>
        <v>@MinusOneDegrees</v>
      </c>
      <c r="C8041" s="8" t="s">
        <v>3772</v>
      </c>
      <c r="D8041" s="8">
        <v>0</v>
      </c>
      <c r="E8041" s="8">
        <v>0</v>
      </c>
      <c r="F8041" s="8">
        <v>18</v>
      </c>
    </row>
    <row r="8042" spans="1:6" ht="12.75">
      <c r="A8042" s="8">
        <v>43901.370925925927</v>
      </c>
      <c r="B8042" s="8" t="str">
        <f>HYPERLINK("https://twitter.com/TimDavid4u","@TimDavid4u")</f>
        <v>@TimDavid4u</v>
      </c>
      <c r="C8042" s="8" t="s">
        <v>1801</v>
      </c>
      <c r="D8042" s="8">
        <v>216</v>
      </c>
      <c r="E8042" s="8">
        <v>0</v>
      </c>
      <c r="F8042" s="8">
        <v>1258</v>
      </c>
    </row>
    <row r="8043" spans="1:6" ht="12.75">
      <c r="A8043" s="8">
        <v>43901.370868055557</v>
      </c>
      <c r="B8043" s="8" t="str">
        <f>HYPERLINK("https://twitter.com/YariskaDityo","@YariskaDityo")</f>
        <v>@YariskaDityo</v>
      </c>
      <c r="C8043" s="8" t="s">
        <v>3190</v>
      </c>
      <c r="D8043" s="8">
        <v>150</v>
      </c>
      <c r="E8043" s="8">
        <v>0</v>
      </c>
      <c r="F8043" s="8">
        <v>453</v>
      </c>
    </row>
    <row r="8044" spans="1:6" ht="12.75">
      <c r="A8044" s="8">
        <v>43901.370868055557</v>
      </c>
      <c r="B8044" s="8" t="str">
        <f>HYPERLINK("https://twitter.com/ZhaenArief","@ZhaenArief")</f>
        <v>@ZhaenArief</v>
      </c>
      <c r="C8044" s="8" t="s">
        <v>1186</v>
      </c>
      <c r="D8044" s="8">
        <v>259</v>
      </c>
      <c r="E8044" s="8">
        <v>0</v>
      </c>
      <c r="F8044" s="8">
        <v>30</v>
      </c>
    </row>
    <row r="8045" spans="1:6" ht="12.75">
      <c r="A8045" s="8">
        <v>43901.370497685188</v>
      </c>
      <c r="B8045" s="8" t="str">
        <f>HYPERLINK("https://twitter.com/elqadri_kaizen","@elqadri_kaizen")</f>
        <v>@elqadri_kaizen</v>
      </c>
      <c r="C8045" s="8" t="s">
        <v>1186</v>
      </c>
      <c r="D8045" s="8">
        <v>259</v>
      </c>
      <c r="E8045" s="8">
        <v>0</v>
      </c>
      <c r="F8045" s="8">
        <v>140</v>
      </c>
    </row>
    <row r="8046" spans="1:6" ht="12.75">
      <c r="A8046" s="8">
        <v>43901.370347222226</v>
      </c>
      <c r="B8046" s="8" t="str">
        <f>HYPERLINK("https://twitter.com/jawapos","@jawapos")</f>
        <v>@jawapos</v>
      </c>
      <c r="C8046" s="8" t="s">
        <v>3773</v>
      </c>
      <c r="D8046" s="8">
        <v>0</v>
      </c>
      <c r="E8046" s="8">
        <v>1</v>
      </c>
      <c r="F8046" s="8">
        <v>128703</v>
      </c>
    </row>
    <row r="8047" spans="1:6" ht="12.75">
      <c r="A8047" s="8">
        <v>43901.370011574079</v>
      </c>
      <c r="B8047" s="8" t="str">
        <f>HYPERLINK("https://twitter.com/Febi_aop","@Febi_aop")</f>
        <v>@Febi_aop</v>
      </c>
      <c r="C8047" s="8" t="s">
        <v>1801</v>
      </c>
      <c r="D8047" s="8">
        <v>216</v>
      </c>
      <c r="E8047" s="8">
        <v>0</v>
      </c>
      <c r="F8047" s="8">
        <v>323</v>
      </c>
    </row>
    <row r="8048" spans="1:6" ht="12.75">
      <c r="A8048" s="8">
        <v>43901.369398148148</v>
      </c>
      <c r="B8048" s="8" t="str">
        <f>HYPERLINK("https://twitter.com/visitortwt1","@visitortwt1")</f>
        <v>@visitortwt1</v>
      </c>
      <c r="C8048" s="8" t="s">
        <v>3422</v>
      </c>
      <c r="D8048" s="8">
        <v>3</v>
      </c>
      <c r="E8048" s="8">
        <v>0</v>
      </c>
      <c r="F8048" s="8">
        <v>420</v>
      </c>
    </row>
    <row r="8049" spans="1:6" ht="12.75">
      <c r="A8049" s="8">
        <v>43901.369270833333</v>
      </c>
      <c r="B8049" s="8" t="str">
        <f>HYPERLINK("https://twitter.com/massmujab","@massmujab")</f>
        <v>@massmujab</v>
      </c>
      <c r="C8049" s="8" t="s">
        <v>1186</v>
      </c>
      <c r="D8049" s="8">
        <v>259</v>
      </c>
      <c r="E8049" s="8">
        <v>0</v>
      </c>
      <c r="F8049" s="8">
        <v>506</v>
      </c>
    </row>
    <row r="8050" spans="1:6" ht="12.75">
      <c r="A8050" s="8">
        <v>43901.369016203702</v>
      </c>
      <c r="B8050" s="8" t="str">
        <f>HYPERLINK("https://twitter.com/MuhidinTeudumuk","@MuhidinTeudumuk")</f>
        <v>@MuhidinTeudumuk</v>
      </c>
      <c r="C8050" s="8" t="s">
        <v>1801</v>
      </c>
      <c r="D8050" s="8">
        <v>216</v>
      </c>
      <c r="E8050" s="8">
        <v>0</v>
      </c>
      <c r="F8050" s="8">
        <v>146</v>
      </c>
    </row>
    <row r="8051" spans="1:6" ht="12.75">
      <c r="A8051" s="8">
        <v>43901.368807870371</v>
      </c>
      <c r="B8051" s="8" t="str">
        <f>HYPERLINK("https://twitter.com/BroAntony206","@BroAntony206")</f>
        <v>@BroAntony206</v>
      </c>
      <c r="C8051" s="8" t="s">
        <v>3774</v>
      </c>
      <c r="D8051" s="8">
        <v>0</v>
      </c>
      <c r="E8051" s="8">
        <v>0</v>
      </c>
      <c r="F8051" s="8">
        <v>155</v>
      </c>
    </row>
    <row r="8052" spans="1:6" ht="12.75">
      <c r="A8052" s="8">
        <v>43901.368599537032</v>
      </c>
      <c r="B8052" s="8" t="str">
        <f>HYPERLINK("https://twitter.com/Crystal95836602","@Crystal95836602")</f>
        <v>@Crystal95836602</v>
      </c>
      <c r="C8052" s="8" t="s">
        <v>3775</v>
      </c>
      <c r="D8052" s="8">
        <v>0</v>
      </c>
      <c r="E8052" s="8">
        <v>0</v>
      </c>
      <c r="F8052" s="8">
        <v>5</v>
      </c>
    </row>
    <row r="8053" spans="1:6" ht="12.75">
      <c r="A8053" s="8">
        <v>43901.367997685185</v>
      </c>
      <c r="B8053" s="8" t="str">
        <f>HYPERLINK("https://twitter.com/Aintyababe","@Aintyababe")</f>
        <v>@Aintyababe</v>
      </c>
      <c r="C8053" s="8" t="s">
        <v>1427</v>
      </c>
      <c r="D8053" s="8">
        <v>1062</v>
      </c>
      <c r="E8053" s="8">
        <v>0</v>
      </c>
      <c r="F8053" s="8">
        <v>65</v>
      </c>
    </row>
    <row r="8054" spans="1:6" ht="12.75">
      <c r="A8054" s="8">
        <v>43901.367986111116</v>
      </c>
      <c r="B8054" s="8" t="str">
        <f>HYPERLINK("https://twitter.com/ang49947072","@ang49947072")</f>
        <v>@ang49947072</v>
      </c>
      <c r="C8054" s="8" t="s">
        <v>1186</v>
      </c>
      <c r="D8054" s="8">
        <v>259</v>
      </c>
      <c r="E8054" s="8">
        <v>0</v>
      </c>
      <c r="F8054" s="8">
        <v>485</v>
      </c>
    </row>
    <row r="8055" spans="1:6" ht="12.75">
      <c r="A8055" s="8">
        <v>43901.367905092593</v>
      </c>
      <c r="B8055" s="8" t="str">
        <f>HYPERLINK("https://twitter.com/widyaghe","@widyaghe")</f>
        <v>@widyaghe</v>
      </c>
      <c r="C8055" s="8" t="s">
        <v>3776</v>
      </c>
      <c r="D8055" s="8">
        <v>0</v>
      </c>
      <c r="E8055" s="8">
        <v>0</v>
      </c>
      <c r="F8055" s="8">
        <v>64</v>
      </c>
    </row>
    <row r="8056" spans="1:6" ht="12.75">
      <c r="A8056" s="8">
        <v>43901.367511574077</v>
      </c>
      <c r="B8056" s="8" t="str">
        <f>HYPERLINK("https://twitter.com/ImeldaTheQueen","@ImeldaTheQueen")</f>
        <v>@ImeldaTheQueen</v>
      </c>
      <c r="C8056" s="8" t="s">
        <v>1801</v>
      </c>
      <c r="D8056" s="8">
        <v>216</v>
      </c>
      <c r="E8056" s="8">
        <v>0</v>
      </c>
      <c r="F8056" s="8">
        <v>391</v>
      </c>
    </row>
    <row r="8057" spans="1:6" ht="12.75">
      <c r="A8057" s="8">
        <v>43901.367488425924</v>
      </c>
      <c r="B8057" s="8" t="str">
        <f>HYPERLINK("https://twitter.com/Amoypesek6","@Amoypesek6")</f>
        <v>@Amoypesek6</v>
      </c>
      <c r="C8057" s="8" t="s">
        <v>3777</v>
      </c>
      <c r="D8057" s="8">
        <v>0</v>
      </c>
      <c r="E8057" s="8">
        <v>0</v>
      </c>
      <c r="F8057" s="8">
        <v>381</v>
      </c>
    </row>
    <row r="8058" spans="1:6" ht="12.75">
      <c r="A8058" s="8">
        <v>43901.366701388892</v>
      </c>
      <c r="B8058" s="8" t="str">
        <f>HYPERLINK("https://twitter.com/Crystal95836602","@Crystal95836602")</f>
        <v>@Crystal95836602</v>
      </c>
      <c r="C8058" s="8" t="s">
        <v>3778</v>
      </c>
      <c r="D8058" s="8">
        <v>0</v>
      </c>
      <c r="E8058" s="8">
        <v>0</v>
      </c>
      <c r="F8058" s="8">
        <v>5</v>
      </c>
    </row>
    <row r="8059" spans="1:6" ht="12.75">
      <c r="A8059" s="8">
        <v>43901.366689814815</v>
      </c>
      <c r="B8059" s="8" t="str">
        <f>HYPERLINK("https://twitter.com/not_helsing","@not_helsing")</f>
        <v>@not_helsing</v>
      </c>
      <c r="C8059" s="8" t="s">
        <v>1186</v>
      </c>
      <c r="D8059" s="8">
        <v>259</v>
      </c>
      <c r="E8059" s="8">
        <v>0</v>
      </c>
      <c r="F8059" s="8">
        <v>118</v>
      </c>
    </row>
    <row r="8060" spans="1:6" ht="12.75">
      <c r="A8060" s="8">
        <v>43901.366655092592</v>
      </c>
      <c r="B8060" s="8" t="str">
        <f>HYPERLINK("https://twitter.com/GueIslam212aja","@GueIslam212aja")</f>
        <v>@GueIslam212aja</v>
      </c>
      <c r="C8060" s="8" t="s">
        <v>1186</v>
      </c>
      <c r="D8060" s="8">
        <v>259</v>
      </c>
      <c r="E8060" s="8">
        <v>0</v>
      </c>
      <c r="F8060" s="8">
        <v>1644</v>
      </c>
    </row>
    <row r="8061" spans="1:6" ht="12.75">
      <c r="A8061" s="8">
        <v>43901.366261574076</v>
      </c>
      <c r="B8061" s="8" t="str">
        <f>HYPERLINK("https://twitter.com/zhibung","@zhibung")</f>
        <v>@zhibung</v>
      </c>
      <c r="C8061" s="8" t="s">
        <v>3779</v>
      </c>
      <c r="D8061" s="8">
        <v>0</v>
      </c>
      <c r="E8061" s="8">
        <v>2</v>
      </c>
      <c r="F8061" s="8">
        <v>1283</v>
      </c>
    </row>
    <row r="8062" spans="1:6" ht="12.75">
      <c r="A8062" s="8">
        <v>43901.36619212963</v>
      </c>
      <c r="B8062" s="8" t="str">
        <f>HYPERLINK("https://twitter.com/RelaLest","@RelaLest")</f>
        <v>@RelaLest</v>
      </c>
      <c r="C8062" s="8" t="s">
        <v>1801</v>
      </c>
      <c r="D8062" s="8">
        <v>216</v>
      </c>
      <c r="E8062" s="8">
        <v>0</v>
      </c>
      <c r="F8062" s="8">
        <v>119</v>
      </c>
    </row>
    <row r="8063" spans="1:6" ht="12.75">
      <c r="A8063" s="8">
        <v>43901.365763888884</v>
      </c>
      <c r="B8063" s="8" t="str">
        <f>HYPERLINK("https://twitter.com/Yeyen41020695","@Yeyen41020695")</f>
        <v>@Yeyen41020695</v>
      </c>
      <c r="C8063" s="8" t="s">
        <v>3780</v>
      </c>
      <c r="D8063" s="8">
        <v>1</v>
      </c>
      <c r="E8063" s="8">
        <v>1</v>
      </c>
      <c r="F8063" s="8">
        <v>2055</v>
      </c>
    </row>
    <row r="8064" spans="1:6" ht="12.75">
      <c r="A8064" s="8">
        <v>43901.365532407406</v>
      </c>
      <c r="B8064" s="8" t="str">
        <f>HYPERLINK("https://twitter.com/awibowo___","@awibowo___")</f>
        <v>@awibowo___</v>
      </c>
      <c r="C8064" s="8" t="s">
        <v>2537</v>
      </c>
      <c r="D8064" s="8">
        <v>44</v>
      </c>
      <c r="E8064" s="8">
        <v>0</v>
      </c>
      <c r="F8064" s="8">
        <v>33</v>
      </c>
    </row>
    <row r="8065" spans="1:6" ht="12.75">
      <c r="A8065" s="8">
        <v>43901.365312499998</v>
      </c>
      <c r="B8065" s="8" t="str">
        <f>HYPERLINK("https://twitter.com/bbKAKU","@bbKAKU")</f>
        <v>@bbKAKU</v>
      </c>
      <c r="C8065" s="8" t="s">
        <v>318</v>
      </c>
      <c r="D8065" s="8">
        <v>1244</v>
      </c>
      <c r="E8065" s="8">
        <v>0</v>
      </c>
      <c r="F8065" s="8">
        <v>110</v>
      </c>
    </row>
    <row r="8066" spans="1:6" ht="12.75">
      <c r="A8066" s="8">
        <v>43901.364872685182</v>
      </c>
      <c r="B8066" s="8" t="str">
        <f>HYPERLINK("https://twitter.com/indoraya950","@indoraya950")</f>
        <v>@indoraya950</v>
      </c>
      <c r="C8066" s="8" t="s">
        <v>318</v>
      </c>
      <c r="D8066" s="8">
        <v>1244</v>
      </c>
      <c r="E8066" s="8">
        <v>0</v>
      </c>
      <c r="F8066" s="8">
        <v>203</v>
      </c>
    </row>
    <row r="8067" spans="1:6" ht="12.75">
      <c r="A8067" s="8">
        <v>43901.364259259259</v>
      </c>
      <c r="B8067" s="8" t="str">
        <f>HYPERLINK("https://twitter.com/Neril23","@Neril23")</f>
        <v>@Neril23</v>
      </c>
      <c r="C8067" s="8" t="s">
        <v>3781</v>
      </c>
      <c r="D8067" s="8">
        <v>0</v>
      </c>
      <c r="E8067" s="8">
        <v>0</v>
      </c>
      <c r="F8067" s="8">
        <v>187</v>
      </c>
    </row>
    <row r="8068" spans="1:6" ht="12.75">
      <c r="A8068" s="8">
        <v>43901.364224537036</v>
      </c>
      <c r="B8068" s="8" t="str">
        <f>HYPERLINK("https://twitter.com/scubo","@scubo")</f>
        <v>@scubo</v>
      </c>
      <c r="C8068" s="8" t="s">
        <v>3782</v>
      </c>
      <c r="D8068" s="8">
        <v>9</v>
      </c>
      <c r="E8068" s="8">
        <v>0</v>
      </c>
      <c r="F8068" s="8">
        <v>316</v>
      </c>
    </row>
    <row r="8069" spans="1:6" ht="12.75">
      <c r="A8069" s="8">
        <v>43901.363703703704</v>
      </c>
      <c r="B8069" s="8" t="str">
        <f>HYPERLINK("https://twitter.com/veruskasanquiz","@veruskasanquiz")</f>
        <v>@veruskasanquiz</v>
      </c>
      <c r="C8069" s="8" t="s">
        <v>3783</v>
      </c>
      <c r="D8069" s="8">
        <v>0</v>
      </c>
      <c r="E8069" s="8">
        <v>1</v>
      </c>
      <c r="F8069" s="8">
        <v>7109</v>
      </c>
    </row>
    <row r="8070" spans="1:6" ht="12.75">
      <c r="A8070" s="8">
        <v>43901.363622685181</v>
      </c>
      <c r="B8070" s="8" t="str">
        <f t="shared" ref="B8070:B8073" si="139">HYPERLINK("https://twitter.com/Amoypesek6","@Amoypesek6")</f>
        <v>@Amoypesek6</v>
      </c>
      <c r="C8070" s="8" t="s">
        <v>3784</v>
      </c>
      <c r="D8070" s="8">
        <v>0</v>
      </c>
      <c r="E8070" s="8">
        <v>0</v>
      </c>
      <c r="F8070" s="8">
        <v>381</v>
      </c>
    </row>
    <row r="8071" spans="1:6" ht="12.75">
      <c r="A8071" s="8">
        <v>43901.363599537042</v>
      </c>
      <c r="B8071" s="8" t="str">
        <f t="shared" si="139"/>
        <v>@Amoypesek6</v>
      </c>
      <c r="C8071" s="8" t="s">
        <v>3785</v>
      </c>
      <c r="D8071" s="8">
        <v>0</v>
      </c>
      <c r="E8071" s="8">
        <v>0</v>
      </c>
      <c r="F8071" s="8">
        <v>381</v>
      </c>
    </row>
    <row r="8072" spans="1:6" ht="12.75">
      <c r="A8072" s="8">
        <v>43901.363587962958</v>
      </c>
      <c r="B8072" s="8" t="str">
        <f t="shared" si="139"/>
        <v>@Amoypesek6</v>
      </c>
      <c r="C8072" s="8" t="s">
        <v>3786</v>
      </c>
      <c r="D8072" s="8">
        <v>0</v>
      </c>
      <c r="E8072" s="8">
        <v>0</v>
      </c>
      <c r="F8072" s="8">
        <v>381</v>
      </c>
    </row>
    <row r="8073" spans="1:6" ht="12.75">
      <c r="A8073" s="8">
        <v>43901.363576388889</v>
      </c>
      <c r="B8073" s="8" t="str">
        <f t="shared" si="139"/>
        <v>@Amoypesek6</v>
      </c>
      <c r="C8073" s="8" t="s">
        <v>3787</v>
      </c>
      <c r="D8073" s="8">
        <v>3</v>
      </c>
      <c r="E8073" s="8">
        <v>4</v>
      </c>
      <c r="F8073" s="8">
        <v>381</v>
      </c>
    </row>
    <row r="8074" spans="1:6" ht="12.75">
      <c r="A8074" s="8">
        <v>43901.363402777773</v>
      </c>
      <c r="B8074" s="8" t="str">
        <f>HYPERLINK("https://twitter.com/AHSANFURQANIBR5","@AHSANFURQANIBR5")</f>
        <v>@AHSANFURQANIBR5</v>
      </c>
      <c r="C8074" s="8" t="s">
        <v>1186</v>
      </c>
      <c r="D8074" s="8">
        <v>259</v>
      </c>
      <c r="E8074" s="8">
        <v>0</v>
      </c>
      <c r="F8074" s="8">
        <v>531</v>
      </c>
    </row>
    <row r="8075" spans="1:6" ht="12.75">
      <c r="A8075" s="8">
        <v>43901.36310185185</v>
      </c>
      <c r="B8075" s="8" t="str">
        <f>HYPERLINK("https://twitter.com/MSyaAlmakassari","@MSyaAlmakassari")</f>
        <v>@MSyaAlmakassari</v>
      </c>
      <c r="C8075" s="8" t="s">
        <v>2537</v>
      </c>
      <c r="D8075" s="8">
        <v>44</v>
      </c>
      <c r="E8075" s="8">
        <v>0</v>
      </c>
      <c r="F8075" s="8">
        <v>464</v>
      </c>
    </row>
    <row r="8076" spans="1:6" ht="12.75">
      <c r="A8076" s="8">
        <v>43901.362615740742</v>
      </c>
      <c r="B8076" s="8" t="str">
        <f>HYPERLINK("https://twitter.com/Crystal95836602","@Crystal95836602")</f>
        <v>@Crystal95836602</v>
      </c>
      <c r="C8076" s="8" t="s">
        <v>3788</v>
      </c>
      <c r="D8076" s="8">
        <v>0</v>
      </c>
      <c r="E8076" s="8">
        <v>0</v>
      </c>
      <c r="F8076" s="8">
        <v>5</v>
      </c>
    </row>
    <row r="8077" spans="1:6" ht="12.75">
      <c r="A8077" s="8">
        <v>43901.361493055556</v>
      </c>
      <c r="B8077" s="8" t="str">
        <f>HYPERLINK("https://twitter.com/moeslim_choice","@moeslim_choice")</f>
        <v>@moeslim_choice</v>
      </c>
      <c r="C8077" s="8" t="s">
        <v>3789</v>
      </c>
      <c r="D8077" s="8">
        <v>0</v>
      </c>
      <c r="E8077" s="8">
        <v>0</v>
      </c>
      <c r="F8077" s="8">
        <v>133</v>
      </c>
    </row>
    <row r="8078" spans="1:6" ht="12.75">
      <c r="A8078" s="8">
        <v>43901.360960648148</v>
      </c>
      <c r="B8078" s="8" t="str">
        <f>HYPERLINK("https://twitter.com/imi_lhokseumawe","@imi_lhokseumawe")</f>
        <v>@imi_lhokseumawe</v>
      </c>
      <c r="C8078" s="8" t="s">
        <v>3168</v>
      </c>
      <c r="D8078" s="8">
        <v>75</v>
      </c>
      <c r="E8078" s="8">
        <v>0</v>
      </c>
      <c r="F8078" s="8">
        <v>156</v>
      </c>
    </row>
    <row r="8079" spans="1:6" ht="12.75">
      <c r="A8079" s="8">
        <v>43901.360752314809</v>
      </c>
      <c r="B8079" s="8" t="str">
        <f>HYPERLINK("https://twitter.com/Yadi33653534","@Yadi33653534")</f>
        <v>@Yadi33653534</v>
      </c>
      <c r="C8079" s="8" t="s">
        <v>3790</v>
      </c>
      <c r="D8079" s="8">
        <v>11</v>
      </c>
      <c r="E8079" s="8">
        <v>0</v>
      </c>
      <c r="F8079" s="8">
        <v>618</v>
      </c>
    </row>
    <row r="8080" spans="1:6" ht="12.75">
      <c r="A8080" s="8">
        <v>43901.360706018517</v>
      </c>
      <c r="B8080" s="8" t="str">
        <f>HYPERLINK("https://twitter.com/budihooliganz9","@budihooliganz9")</f>
        <v>@budihooliganz9</v>
      </c>
      <c r="C8080" s="8" t="s">
        <v>1801</v>
      </c>
      <c r="D8080" s="8">
        <v>216</v>
      </c>
      <c r="E8080" s="8">
        <v>0</v>
      </c>
      <c r="F8080" s="8">
        <v>125</v>
      </c>
    </row>
    <row r="8081" spans="1:6" ht="12.75">
      <c r="A8081" s="8">
        <v>43901.360578703709</v>
      </c>
      <c r="B8081" s="8" t="str">
        <f>HYPERLINK("https://twitter.com/BudyJember","@BudyJember")</f>
        <v>@BudyJember</v>
      </c>
      <c r="C8081" s="8" t="s">
        <v>1186</v>
      </c>
      <c r="D8081" s="8">
        <v>259</v>
      </c>
      <c r="E8081" s="8">
        <v>0</v>
      </c>
      <c r="F8081" s="8">
        <v>406</v>
      </c>
    </row>
    <row r="8082" spans="1:6" ht="12.75">
      <c r="A8082" s="8">
        <v>43901.360520833332</v>
      </c>
      <c r="B8082" s="8" t="str">
        <f>HYPERLINK("https://twitter.com/BudiwanSaleh","@BudiwanSaleh")</f>
        <v>@BudiwanSaleh</v>
      </c>
      <c r="C8082" s="8" t="s">
        <v>1186</v>
      </c>
      <c r="D8082" s="8">
        <v>259</v>
      </c>
      <c r="E8082" s="8">
        <v>0</v>
      </c>
      <c r="F8082" s="8">
        <v>61</v>
      </c>
    </row>
    <row r="8083" spans="1:6" ht="12.75">
      <c r="A8083" s="8">
        <v>43901.36038194444</v>
      </c>
      <c r="B8083" s="8" t="str">
        <f>HYPERLINK("https://twitter.com/Matromli17","@Matromli17")</f>
        <v>@Matromli17</v>
      </c>
      <c r="C8083" s="8" t="s">
        <v>1801</v>
      </c>
      <c r="D8083" s="8">
        <v>216</v>
      </c>
      <c r="E8083" s="8">
        <v>0</v>
      </c>
      <c r="F8083" s="8">
        <v>47</v>
      </c>
    </row>
    <row r="8084" spans="1:6" ht="12.75">
      <c r="A8084" s="8">
        <v>43901.360162037032</v>
      </c>
      <c r="B8084" s="8" t="str">
        <f>HYPERLINK("https://twitter.com/newstweetsRI","@newstweetsRI")</f>
        <v>@newstweetsRI</v>
      </c>
      <c r="C8084" s="8" t="s">
        <v>2537</v>
      </c>
      <c r="D8084" s="8">
        <v>44</v>
      </c>
      <c r="E8084" s="8">
        <v>0</v>
      </c>
      <c r="F8084" s="8">
        <v>22</v>
      </c>
    </row>
    <row r="8085" spans="1:6" ht="12.75">
      <c r="A8085" s="8">
        <v>43901.359942129631</v>
      </c>
      <c r="B8085" s="8" t="str">
        <f>HYPERLINK("https://twitter.com/King_El_Montes","@King_El_Montes")</f>
        <v>@King_El_Montes</v>
      </c>
      <c r="C8085" s="8" t="s">
        <v>318</v>
      </c>
      <c r="D8085" s="8">
        <v>1244</v>
      </c>
      <c r="E8085" s="8">
        <v>0</v>
      </c>
      <c r="F8085" s="8">
        <v>121</v>
      </c>
    </row>
    <row r="8086" spans="1:6" ht="12.75">
      <c r="A8086" s="8">
        <v>43901.359629629631</v>
      </c>
      <c r="B8086" s="8" t="str">
        <f>HYPERLINK("https://twitter.com/fathurwae28","@fathurwae28")</f>
        <v>@fathurwae28</v>
      </c>
      <c r="C8086" s="8" t="s">
        <v>318</v>
      </c>
      <c r="D8086" s="8">
        <v>1244</v>
      </c>
      <c r="E8086" s="8">
        <v>0</v>
      </c>
      <c r="F8086" s="8">
        <v>284</v>
      </c>
    </row>
    <row r="8087" spans="1:6" ht="12.75">
      <c r="A8087" s="8">
        <v>43901.359618055554</v>
      </c>
      <c r="B8087" s="8" t="str">
        <f>HYPERLINK("https://twitter.com/rizal_amri21","@rizal_amri21")</f>
        <v>@rizal_amri21</v>
      </c>
      <c r="C8087" s="8" t="s">
        <v>2851</v>
      </c>
      <c r="D8087" s="8">
        <v>60</v>
      </c>
      <c r="E8087" s="8">
        <v>0</v>
      </c>
      <c r="F8087" s="8">
        <v>1</v>
      </c>
    </row>
    <row r="8088" spans="1:6" ht="12.75">
      <c r="A8088" s="8">
        <v>43901.357812499999</v>
      </c>
      <c r="B8088" s="8" t="str">
        <f>HYPERLINK("https://twitter.com/HumasResMajene","@HumasResMajene")</f>
        <v>@HumasResMajene</v>
      </c>
      <c r="C8088" s="8" t="s">
        <v>3791</v>
      </c>
      <c r="D8088" s="8">
        <v>0</v>
      </c>
      <c r="E8088" s="8">
        <v>0</v>
      </c>
      <c r="F8088" s="8">
        <v>82</v>
      </c>
    </row>
    <row r="8089" spans="1:6" ht="12.75">
      <c r="A8089" s="8">
        <v>43901.357430555552</v>
      </c>
      <c r="B8089" s="8" t="str">
        <f>HYPERLINK("https://twitter.com/Sideblo","@Sideblo")</f>
        <v>@Sideblo</v>
      </c>
      <c r="C8089" s="8" t="s">
        <v>1801</v>
      </c>
      <c r="D8089" s="8">
        <v>216</v>
      </c>
      <c r="E8089" s="8">
        <v>0</v>
      </c>
      <c r="F8089" s="8">
        <v>832</v>
      </c>
    </row>
    <row r="8090" spans="1:6" ht="12.75">
      <c r="A8090" s="8">
        <v>43901.357361111106</v>
      </c>
      <c r="B8090" s="8" t="str">
        <f>HYPERLINK("https://twitter.com/mokoimam","@mokoimam")</f>
        <v>@mokoimam</v>
      </c>
      <c r="C8090" s="8" t="s">
        <v>3265</v>
      </c>
      <c r="D8090" s="8">
        <v>554</v>
      </c>
      <c r="E8090" s="8">
        <v>0</v>
      </c>
      <c r="F8090" s="8">
        <v>122</v>
      </c>
    </row>
    <row r="8091" spans="1:6" ht="12.75">
      <c r="A8091" s="8">
        <v>43901.357337962967</v>
      </c>
      <c r="B8091" s="8" t="str">
        <f>HYPERLINK("https://twitter.com/AhsanFurqanIbr9","@AhsanFurqanIbr9")</f>
        <v>@AhsanFurqanIbr9</v>
      </c>
      <c r="C8091" s="8" t="s">
        <v>1186</v>
      </c>
      <c r="D8091" s="8">
        <v>259</v>
      </c>
      <c r="E8091" s="8">
        <v>0</v>
      </c>
      <c r="F8091" s="8">
        <v>171</v>
      </c>
    </row>
    <row r="8092" spans="1:6" ht="12.75">
      <c r="A8092" s="8">
        <v>43901.356458333335</v>
      </c>
      <c r="B8092" s="8" t="str">
        <f>HYPERLINK("https://twitter.com/Masdjodi1","@Masdjodi1")</f>
        <v>@Masdjodi1</v>
      </c>
      <c r="C8092" s="8" t="s">
        <v>3790</v>
      </c>
      <c r="D8092" s="8">
        <v>11</v>
      </c>
      <c r="E8092" s="8">
        <v>0</v>
      </c>
      <c r="F8092" s="8">
        <v>748</v>
      </c>
    </row>
    <row r="8093" spans="1:6" ht="12.75">
      <c r="A8093" s="8">
        <v>43901.339085648149</v>
      </c>
      <c r="B8093" s="8" t="str">
        <f>HYPERLINK("https://twitter.com/ABudima68828545","@ABudima68828545")</f>
        <v>@ABudima68828545</v>
      </c>
      <c r="C8093" s="8" t="s">
        <v>318</v>
      </c>
      <c r="D8093" s="8">
        <v>1215</v>
      </c>
      <c r="E8093" s="8">
        <v>0</v>
      </c>
      <c r="F8093" s="8">
        <v>276</v>
      </c>
    </row>
    <row r="8094" spans="1:6" ht="12.75">
      <c r="A8094" s="8">
        <v>43901.338391203702</v>
      </c>
      <c r="B8094" s="8" t="str">
        <f>HYPERLINK("https://twitter.com/shakuyaa","@shakuyaa")</f>
        <v>@shakuyaa</v>
      </c>
      <c r="C8094" s="8" t="s">
        <v>3792</v>
      </c>
      <c r="D8094" s="8">
        <v>0</v>
      </c>
      <c r="E8094" s="8">
        <v>0</v>
      </c>
      <c r="F8094" s="8">
        <v>3001</v>
      </c>
    </row>
    <row r="8095" spans="1:6" ht="12.75">
      <c r="A8095" s="8">
        <v>43901.337812500002</v>
      </c>
      <c r="B8095" s="8" t="str">
        <f>HYPERLINK("https://twitter.com/chidoooriii","@chidoooriii")</f>
        <v>@chidoooriii</v>
      </c>
      <c r="C8095" s="8" t="s">
        <v>3793</v>
      </c>
      <c r="D8095" s="8">
        <v>1</v>
      </c>
      <c r="E8095" s="8">
        <v>0</v>
      </c>
      <c r="F8095" s="8">
        <v>42</v>
      </c>
    </row>
    <row r="8096" spans="1:6" ht="12.75">
      <c r="A8096" s="8">
        <v>43901.337337962963</v>
      </c>
      <c r="B8096" s="8" t="str">
        <f>HYPERLINK("https://twitter.com/translatorbali","@translatorbali")</f>
        <v>@translatorbali</v>
      </c>
      <c r="C8096" s="8" t="s">
        <v>3794</v>
      </c>
      <c r="D8096" s="8">
        <v>1</v>
      </c>
      <c r="E8096" s="8">
        <v>0</v>
      </c>
      <c r="F8096" s="8">
        <v>3875</v>
      </c>
    </row>
    <row r="8097" spans="1:6" ht="12.75">
      <c r="A8097" s="8">
        <v>43901.337337962963</v>
      </c>
      <c r="B8097" s="8" t="str">
        <f>HYPERLINK("https://twitter.com/sastromenggolo","@sastromenggolo")</f>
        <v>@sastromenggolo</v>
      </c>
      <c r="C8097" s="8" t="s">
        <v>318</v>
      </c>
      <c r="D8097" s="8">
        <v>1215</v>
      </c>
      <c r="E8097" s="8">
        <v>0</v>
      </c>
      <c r="F8097" s="8">
        <v>615</v>
      </c>
    </row>
    <row r="8098" spans="1:6" ht="12.75">
      <c r="A8098" s="8">
        <v>43901.337141203709</v>
      </c>
      <c r="B8098" s="8" t="str">
        <f>HYPERLINK("https://twitter.com/EriekKristiari","@EriekKristiari")</f>
        <v>@EriekKristiari</v>
      </c>
      <c r="C8098" s="8" t="s">
        <v>318</v>
      </c>
      <c r="D8098" s="8">
        <v>1215</v>
      </c>
      <c r="E8098" s="8">
        <v>0</v>
      </c>
      <c r="F8098" s="8">
        <v>214</v>
      </c>
    </row>
    <row r="8099" spans="1:6" ht="12.75">
      <c r="A8099" s="8">
        <v>43901.337129629625</v>
      </c>
      <c r="B8099" s="8" t="str">
        <f>HYPERLINK("https://twitter.com/translatorbali","@translatorbali")</f>
        <v>@translatorbali</v>
      </c>
      <c r="C8099" s="8" t="s">
        <v>3795</v>
      </c>
      <c r="D8099" s="8">
        <v>1</v>
      </c>
      <c r="E8099" s="8">
        <v>1</v>
      </c>
      <c r="F8099" s="8">
        <v>3875</v>
      </c>
    </row>
    <row r="8100" spans="1:6" ht="12.75">
      <c r="A8100" s="8">
        <v>43901.336817129632</v>
      </c>
      <c r="B8100" s="8" t="str">
        <f>HYPERLINK("https://twitter.com/dian_athena","@dian_athena")</f>
        <v>@dian_athena</v>
      </c>
      <c r="C8100" s="8" t="s">
        <v>1186</v>
      </c>
      <c r="D8100" s="8">
        <v>233</v>
      </c>
      <c r="E8100" s="8">
        <v>0</v>
      </c>
      <c r="F8100" s="8">
        <v>2444</v>
      </c>
    </row>
    <row r="8101" spans="1:6" ht="12.75">
      <c r="A8101" s="8">
        <v>43901.335972222223</v>
      </c>
      <c r="B8101" s="8" t="str">
        <f>HYPERLINK("https://twitter.com/AKV9021","@AKV9021")</f>
        <v>@AKV9021</v>
      </c>
      <c r="C8101" s="8" t="s">
        <v>3796</v>
      </c>
      <c r="D8101" s="8">
        <v>0</v>
      </c>
      <c r="E8101" s="8">
        <v>0</v>
      </c>
      <c r="F8101" s="8">
        <v>0</v>
      </c>
    </row>
    <row r="8102" spans="1:6" ht="12.75">
      <c r="A8102" s="8">
        <v>43901.33594907407</v>
      </c>
      <c r="B8102" s="8" t="str">
        <f>HYPERLINK("https://twitter.com/Rayvita","@Rayvita")</f>
        <v>@Rayvita</v>
      </c>
      <c r="C8102" s="8" t="s">
        <v>1801</v>
      </c>
      <c r="D8102" s="8">
        <v>189</v>
      </c>
      <c r="E8102" s="8">
        <v>0</v>
      </c>
      <c r="F8102" s="8">
        <v>331</v>
      </c>
    </row>
    <row r="8103" spans="1:6" ht="12.75">
      <c r="A8103" s="8">
        <v>43901.335405092592</v>
      </c>
      <c r="B8103" s="8" t="str">
        <f>HYPERLINK("https://twitter.com/nadinemulia","@nadinemulia")</f>
        <v>@nadinemulia</v>
      </c>
      <c r="C8103" s="8" t="s">
        <v>3797</v>
      </c>
      <c r="D8103" s="8">
        <v>0</v>
      </c>
      <c r="E8103" s="8">
        <v>0</v>
      </c>
      <c r="F8103" s="8">
        <v>237</v>
      </c>
    </row>
    <row r="8104" spans="1:6" ht="12.75">
      <c r="A8104" s="8">
        <v>43901.334976851853</v>
      </c>
      <c r="B8104" s="8" t="str">
        <f>HYPERLINK("https://twitter.com/Deluk85572823","@Deluk85572823")</f>
        <v>@Deluk85572823</v>
      </c>
      <c r="C8104" s="8" t="s">
        <v>1186</v>
      </c>
      <c r="D8104" s="8">
        <v>233</v>
      </c>
      <c r="E8104" s="8">
        <v>0</v>
      </c>
      <c r="F8104" s="8">
        <v>22</v>
      </c>
    </row>
    <row r="8105" spans="1:6" ht="12.75">
      <c r="A8105" s="8">
        <v>43901.334814814814</v>
      </c>
      <c r="B8105" s="8" t="str">
        <f>HYPERLINK("https://twitter.com/translatorbali","@translatorbali")</f>
        <v>@translatorbali</v>
      </c>
      <c r="C8105" s="8" t="s">
        <v>3798</v>
      </c>
      <c r="D8105" s="8">
        <v>1</v>
      </c>
      <c r="E8105" s="8">
        <v>0</v>
      </c>
      <c r="F8105" s="8">
        <v>3875</v>
      </c>
    </row>
    <row r="8106" spans="1:6" ht="12.75">
      <c r="A8106" s="8">
        <v>43901.334814814814</v>
      </c>
      <c r="B8106" s="8" t="str">
        <f>HYPERLINK("https://twitter.com/arnetalola1","@arnetalola1")</f>
        <v>@arnetalola1</v>
      </c>
      <c r="C8106" s="8" t="s">
        <v>3799</v>
      </c>
      <c r="D8106" s="8">
        <v>0</v>
      </c>
      <c r="E8106" s="8">
        <v>0</v>
      </c>
      <c r="F8106" s="8">
        <v>77</v>
      </c>
    </row>
    <row r="8107" spans="1:6" ht="12.75">
      <c r="A8107" s="8">
        <v>43901.333773148144</v>
      </c>
      <c r="B8107" s="8" t="str">
        <f t="shared" ref="B8107:B8108" si="140">HYPERLINK("https://twitter.com/translatorbali","@translatorbali")</f>
        <v>@translatorbali</v>
      </c>
      <c r="C8107" s="8" t="s">
        <v>3800</v>
      </c>
      <c r="D8107" s="8">
        <v>1</v>
      </c>
      <c r="E8107" s="8">
        <v>0</v>
      </c>
      <c r="F8107" s="8">
        <v>3875</v>
      </c>
    </row>
    <row r="8108" spans="1:6" ht="12.75">
      <c r="A8108" s="8">
        <v>43901.333472222221</v>
      </c>
      <c r="B8108" s="8" t="str">
        <f t="shared" si="140"/>
        <v>@translatorbali</v>
      </c>
      <c r="C8108" s="8" t="s">
        <v>3801</v>
      </c>
      <c r="D8108" s="8">
        <v>1</v>
      </c>
      <c r="E8108" s="8">
        <v>1</v>
      </c>
      <c r="F8108" s="8">
        <v>3875</v>
      </c>
    </row>
    <row r="8109" spans="1:6" ht="12.75">
      <c r="A8109" s="8">
        <v>43901.333078703705</v>
      </c>
      <c r="B8109" s="8" t="str">
        <f>HYPERLINK("https://twitter.com/bolgem","@bolgem")</f>
        <v>@bolgem</v>
      </c>
      <c r="C8109" s="8" t="s">
        <v>1801</v>
      </c>
      <c r="D8109" s="8">
        <v>189</v>
      </c>
      <c r="E8109" s="8">
        <v>0</v>
      </c>
      <c r="F8109" s="8">
        <v>480</v>
      </c>
    </row>
    <row r="8110" spans="1:6" ht="12.75">
      <c r="A8110" s="8">
        <v>43901.332858796297</v>
      </c>
      <c r="B8110" s="8" t="str">
        <f>HYPERLINK("https://twitter.com/tusinojapan","@tusinojapan")</f>
        <v>@tusinojapan</v>
      </c>
      <c r="C8110" s="8" t="s">
        <v>1186</v>
      </c>
      <c r="D8110" s="8">
        <v>233</v>
      </c>
      <c r="E8110" s="8">
        <v>0</v>
      </c>
      <c r="F8110" s="8">
        <v>2185</v>
      </c>
    </row>
    <row r="8111" spans="1:6" ht="12.75">
      <c r="A8111" s="8">
        <v>43901.331921296296</v>
      </c>
      <c r="B8111" s="8" t="str">
        <f>HYPERLINK("https://twitter.com/dewiwulandari80","@dewiwulandari80")</f>
        <v>@dewiwulandari80</v>
      </c>
      <c r="C8111" s="8" t="s">
        <v>1186</v>
      </c>
      <c r="D8111" s="8">
        <v>233</v>
      </c>
      <c r="E8111" s="8">
        <v>0</v>
      </c>
      <c r="F8111" s="8">
        <v>1326</v>
      </c>
    </row>
    <row r="8112" spans="1:6" ht="12.75">
      <c r="A8112" s="8">
        <v>43901.331909722227</v>
      </c>
      <c r="B8112" s="8" t="str">
        <f>HYPERLINK("https://twitter.com/P_ysf","@P_ysf")</f>
        <v>@P_ysf</v>
      </c>
      <c r="C8112" s="8" t="s">
        <v>1801</v>
      </c>
      <c r="D8112" s="8">
        <v>189</v>
      </c>
      <c r="E8112" s="8">
        <v>0</v>
      </c>
      <c r="F8112" s="8">
        <v>506</v>
      </c>
    </row>
    <row r="8113" spans="1:6" ht="12.75">
      <c r="A8113" s="8">
        <v>43901.331817129627</v>
      </c>
      <c r="B8113" s="8" t="str">
        <f>HYPERLINK("https://twitter.com/InfidelsJerome","@InfidelsJerome")</f>
        <v>@InfidelsJerome</v>
      </c>
      <c r="C8113" s="8" t="s">
        <v>3802</v>
      </c>
      <c r="D8113" s="8">
        <v>0</v>
      </c>
      <c r="E8113" s="8">
        <v>0</v>
      </c>
      <c r="F8113" s="8">
        <v>171</v>
      </c>
    </row>
    <row r="8114" spans="1:6" ht="12.75">
      <c r="A8114" s="8">
        <v>43901.330925925926</v>
      </c>
      <c r="B8114" s="8" t="str">
        <f>HYPERLINK("https://twitter.com/Sukardi431","@Sukardi431")</f>
        <v>@Sukardi431</v>
      </c>
      <c r="C8114" s="8" t="s">
        <v>318</v>
      </c>
      <c r="D8114" s="8">
        <v>1215</v>
      </c>
      <c r="E8114" s="8">
        <v>0</v>
      </c>
      <c r="F8114" s="8">
        <v>418</v>
      </c>
    </row>
    <row r="8115" spans="1:6" ht="12.75">
      <c r="A8115" s="8">
        <v>43901.330555555556</v>
      </c>
      <c r="B8115" s="8" t="str">
        <f>HYPERLINK("https://twitter.com/1106_titi","@1106_titi")</f>
        <v>@1106_titi</v>
      </c>
      <c r="C8115" s="8" t="s">
        <v>3803</v>
      </c>
      <c r="D8115" s="8">
        <v>0</v>
      </c>
      <c r="E8115" s="8">
        <v>0</v>
      </c>
      <c r="F8115" s="8">
        <v>466</v>
      </c>
    </row>
    <row r="8116" spans="1:6" ht="12.75">
      <c r="A8116" s="8">
        <v>43901.330393518518</v>
      </c>
      <c r="B8116" s="8" t="str">
        <f>HYPERLINK("https://twitter.com/tewur666","@tewur666")</f>
        <v>@tewur666</v>
      </c>
      <c r="C8116" s="8" t="s">
        <v>1801</v>
      </c>
      <c r="D8116" s="8">
        <v>189</v>
      </c>
      <c r="E8116" s="8">
        <v>0</v>
      </c>
      <c r="F8116" s="8">
        <v>533</v>
      </c>
    </row>
    <row r="8117" spans="1:6" ht="12.75">
      <c r="A8117" s="8">
        <v>43901.330370370371</v>
      </c>
      <c r="B8117" s="8" t="str">
        <f>HYPERLINK("https://twitter.com/taufikaboe","@taufikaboe")</f>
        <v>@taufikaboe</v>
      </c>
      <c r="C8117" s="8" t="s">
        <v>318</v>
      </c>
      <c r="D8117" s="8">
        <v>1215</v>
      </c>
      <c r="E8117" s="8">
        <v>0</v>
      </c>
      <c r="F8117" s="8">
        <v>53</v>
      </c>
    </row>
    <row r="8118" spans="1:6" ht="12.75">
      <c r="A8118" s="8">
        <v>43901.330208333333</v>
      </c>
      <c r="B8118" s="8" t="str">
        <f t="shared" ref="B8118:B8119" si="141">HYPERLINK("https://twitter.com/dim0716demak","@dim0716demak")</f>
        <v>@dim0716demak</v>
      </c>
      <c r="C8118" s="8" t="s">
        <v>3804</v>
      </c>
      <c r="D8118" s="8">
        <v>0</v>
      </c>
      <c r="E8118" s="8">
        <v>0</v>
      </c>
      <c r="F8118" s="8">
        <v>1212</v>
      </c>
    </row>
    <row r="8119" spans="1:6" ht="12.75">
      <c r="A8119" s="8">
        <v>43901.330138888894</v>
      </c>
      <c r="B8119" s="8" t="str">
        <f t="shared" si="141"/>
        <v>@dim0716demak</v>
      </c>
      <c r="C8119" s="8" t="s">
        <v>3805</v>
      </c>
      <c r="D8119" s="8">
        <v>0</v>
      </c>
      <c r="E8119" s="8">
        <v>0</v>
      </c>
      <c r="F8119" s="8">
        <v>1212</v>
      </c>
    </row>
    <row r="8120" spans="1:6" ht="12.75">
      <c r="A8120" s="8">
        <v>43901.329953703702</v>
      </c>
      <c r="B8120" s="8" t="str">
        <f>HYPERLINK("https://twitter.com/chan_dedot","@chan_dedot")</f>
        <v>@chan_dedot</v>
      </c>
      <c r="C8120" s="8" t="s">
        <v>318</v>
      </c>
      <c r="D8120" s="8">
        <v>1215</v>
      </c>
      <c r="E8120" s="8">
        <v>0</v>
      </c>
      <c r="F8120" s="8">
        <v>53</v>
      </c>
    </row>
    <row r="8121" spans="1:6" ht="12.75">
      <c r="A8121" s="8">
        <v>43901.329710648148</v>
      </c>
      <c r="B8121" s="8" t="str">
        <f>HYPERLINK("https://twitter.com/lukisaepul","@lukisaepul")</f>
        <v>@lukisaepul</v>
      </c>
      <c r="C8121" s="8" t="s">
        <v>3190</v>
      </c>
      <c r="D8121" s="8">
        <v>148</v>
      </c>
      <c r="E8121" s="8">
        <v>0</v>
      </c>
      <c r="F8121" s="8">
        <v>791</v>
      </c>
    </row>
    <row r="8122" spans="1:6" ht="12.75">
      <c r="A8122" s="8">
        <v>43901.329317129625</v>
      </c>
      <c r="B8122" s="8" t="str">
        <f>HYPERLINK("https://twitter.com/Nelangsa17","@Nelangsa17")</f>
        <v>@Nelangsa17</v>
      </c>
      <c r="C8122" s="8" t="s">
        <v>318</v>
      </c>
      <c r="D8122" s="8">
        <v>1215</v>
      </c>
      <c r="E8122" s="8">
        <v>0</v>
      </c>
      <c r="F8122" s="8">
        <v>168</v>
      </c>
    </row>
    <row r="8123" spans="1:6" ht="12.75">
      <c r="A8123" s="8">
        <v>43901.328668981485</v>
      </c>
      <c r="B8123" s="8" t="str">
        <f>HYPERLINK("https://twitter.com/doel_rainbow","@doel_rainbow")</f>
        <v>@doel_rainbow</v>
      </c>
      <c r="C8123" s="8" t="s">
        <v>1801</v>
      </c>
      <c r="D8123" s="8">
        <v>189</v>
      </c>
      <c r="E8123" s="8">
        <v>0</v>
      </c>
      <c r="F8123" s="8">
        <v>187</v>
      </c>
    </row>
    <row r="8124" spans="1:6" ht="12.75">
      <c r="A8124" s="8">
        <v>43901.328576388885</v>
      </c>
      <c r="B8124" s="8" t="str">
        <f>HYPERLINK("https://twitter.com/Betadin7","@Betadin7")</f>
        <v>@Betadin7</v>
      </c>
      <c r="C8124" s="8" t="s">
        <v>318</v>
      </c>
      <c r="D8124" s="8">
        <v>1215</v>
      </c>
      <c r="E8124" s="8">
        <v>0</v>
      </c>
      <c r="F8124" s="8">
        <v>293</v>
      </c>
    </row>
    <row r="8125" spans="1:6" ht="12.75">
      <c r="A8125" s="8">
        <v>43901.328171296293</v>
      </c>
      <c r="B8125" s="8" t="str">
        <f>HYPERLINK("https://twitter.com/sukamtodpr","@sukamtodpr")</f>
        <v>@sukamtodpr</v>
      </c>
      <c r="C8125" s="8" t="s">
        <v>3190</v>
      </c>
      <c r="D8125" s="8">
        <v>148</v>
      </c>
      <c r="E8125" s="8">
        <v>0</v>
      </c>
      <c r="F8125" s="8">
        <v>636</v>
      </c>
    </row>
    <row r="8126" spans="1:6" ht="12.75">
      <c r="A8126" s="8">
        <v>43901.327534722222</v>
      </c>
      <c r="B8126" s="8" t="str">
        <f>HYPERLINK("https://twitter.com/RakaFMBandung","@RakaFMBandung")</f>
        <v>@RakaFMBandung</v>
      </c>
      <c r="C8126" s="8" t="s">
        <v>3806</v>
      </c>
      <c r="D8126" s="8">
        <v>0</v>
      </c>
      <c r="E8126" s="8">
        <v>0</v>
      </c>
      <c r="F8126" s="8">
        <v>16330</v>
      </c>
    </row>
    <row r="8127" spans="1:6" ht="12.75">
      <c r="A8127" s="8">
        <v>43901.327141203699</v>
      </c>
      <c r="B8127" s="8" t="str">
        <f>HYPERLINK("https://twitter.com/Zubex11","@Zubex11")</f>
        <v>@Zubex11</v>
      </c>
      <c r="C8127" s="8" t="s">
        <v>1801</v>
      </c>
      <c r="D8127" s="8">
        <v>189</v>
      </c>
      <c r="E8127" s="8">
        <v>0</v>
      </c>
      <c r="F8127" s="8">
        <v>162</v>
      </c>
    </row>
    <row r="8128" spans="1:6" ht="12.75">
      <c r="A8128" s="8">
        <v>43901.325960648144</v>
      </c>
      <c r="B8128" s="8" t="str">
        <f>HYPERLINK("https://twitter.com/husnu_daroin","@husnu_daroin")</f>
        <v>@husnu_daroin</v>
      </c>
      <c r="C8128" s="8" t="s">
        <v>1186</v>
      </c>
      <c r="D8128" s="8">
        <v>233</v>
      </c>
      <c r="E8128" s="8">
        <v>0</v>
      </c>
      <c r="F8128" s="8">
        <v>106</v>
      </c>
    </row>
    <row r="8129" spans="1:6" ht="12.75">
      <c r="A8129" s="8">
        <v>43901.325752314813</v>
      </c>
      <c r="B8129" s="8" t="str">
        <f>HYPERLINK("https://twitter.com/muharib89571843","@muharib89571843")</f>
        <v>@muharib89571843</v>
      </c>
      <c r="C8129" s="8" t="s">
        <v>318</v>
      </c>
      <c r="D8129" s="8">
        <v>1215</v>
      </c>
      <c r="E8129" s="8">
        <v>0</v>
      </c>
      <c r="F8129" s="8">
        <v>150</v>
      </c>
    </row>
    <row r="8130" spans="1:6" ht="12.75">
      <c r="A8130" s="8">
        <v>43901.325694444444</v>
      </c>
      <c r="B8130" s="8" t="str">
        <f>HYPERLINK("https://twitter.com/bagussetya80","@bagussetya80")</f>
        <v>@bagussetya80</v>
      </c>
      <c r="C8130" s="8" t="s">
        <v>318</v>
      </c>
      <c r="D8130" s="8">
        <v>1215</v>
      </c>
      <c r="E8130" s="8">
        <v>0</v>
      </c>
      <c r="F8130" s="8">
        <v>24</v>
      </c>
    </row>
    <row r="8131" spans="1:6" ht="12.75">
      <c r="A8131" s="8">
        <v>43901.325277777782</v>
      </c>
      <c r="B8131" s="8" t="str">
        <f>HYPERLINK("https://twitter.com/teh_tariq","@teh_tariq")</f>
        <v>@teh_tariq</v>
      </c>
      <c r="C8131" s="8" t="s">
        <v>1801</v>
      </c>
      <c r="D8131" s="8">
        <v>189</v>
      </c>
      <c r="E8131" s="8">
        <v>0</v>
      </c>
      <c r="F8131" s="8">
        <v>6825</v>
      </c>
    </row>
    <row r="8132" spans="1:6" ht="12.75">
      <c r="A8132" s="8">
        <v>43901.32512731482</v>
      </c>
      <c r="B8132" s="8" t="str">
        <f>HYPERLINK("https://twitter.com/AmirulFata_","@AmirulFata_")</f>
        <v>@AmirulFata_</v>
      </c>
      <c r="C8132" s="8" t="s">
        <v>3265</v>
      </c>
      <c r="D8132" s="8">
        <v>553</v>
      </c>
      <c r="E8132" s="8">
        <v>0</v>
      </c>
      <c r="F8132" s="8">
        <v>1124</v>
      </c>
    </row>
    <row r="8133" spans="1:6" ht="12.75">
      <c r="A8133" s="8">
        <v>43901.324756944443</v>
      </c>
      <c r="B8133" s="8" t="str">
        <f>HYPERLINK("https://twitter.com/owpipel","@owpipel")</f>
        <v>@owpipel</v>
      </c>
      <c r="C8133" s="8" t="s">
        <v>3807</v>
      </c>
      <c r="D8133" s="8">
        <v>0</v>
      </c>
      <c r="E8133" s="8">
        <v>1</v>
      </c>
      <c r="F8133" s="8">
        <v>374</v>
      </c>
    </row>
    <row r="8134" spans="1:6" ht="12.75">
      <c r="A8134" s="8">
        <v>43901.324282407411</v>
      </c>
      <c r="B8134" s="8" t="str">
        <f>HYPERLINK("https://twitter.com/shinesaja","@shinesaja")</f>
        <v>@shinesaja</v>
      </c>
      <c r="C8134" s="8" t="s">
        <v>1801</v>
      </c>
      <c r="D8134" s="8">
        <v>189</v>
      </c>
      <c r="E8134" s="8">
        <v>0</v>
      </c>
      <c r="F8134" s="8">
        <v>1336</v>
      </c>
    </row>
    <row r="8135" spans="1:6" ht="12.75">
      <c r="A8135" s="8">
        <v>43901.324143518519</v>
      </c>
      <c r="B8135" s="8" t="str">
        <f>HYPERLINK("https://twitter.com/mutmarnut","@mutmarnut")</f>
        <v>@mutmarnut</v>
      </c>
      <c r="C8135" s="8" t="s">
        <v>1186</v>
      </c>
      <c r="D8135" s="8">
        <v>233</v>
      </c>
      <c r="E8135" s="8">
        <v>0</v>
      </c>
      <c r="F8135" s="8">
        <v>76</v>
      </c>
    </row>
    <row r="8136" spans="1:6" ht="12.75">
      <c r="A8136" s="8">
        <v>43901.323680555557</v>
      </c>
      <c r="B8136" s="8" t="str">
        <f>HYPERLINK("https://twitter.com/IbrahimHarahap3","@IbrahimHarahap3")</f>
        <v>@IbrahimHarahap3</v>
      </c>
      <c r="C8136" s="8" t="s">
        <v>3808</v>
      </c>
      <c r="D8136" s="8">
        <v>0</v>
      </c>
      <c r="E8136" s="8">
        <v>0</v>
      </c>
      <c r="F8136" s="8">
        <v>124</v>
      </c>
    </row>
    <row r="8137" spans="1:6" ht="12.75">
      <c r="A8137" s="8">
        <v>43901.323657407411</v>
      </c>
      <c r="B8137" s="8" t="str">
        <f>HYPERLINK("https://twitter.com/AsSahruf","@AsSahruf")</f>
        <v>@AsSahruf</v>
      </c>
      <c r="C8137" s="8" t="s">
        <v>318</v>
      </c>
      <c r="D8137" s="8">
        <v>1215</v>
      </c>
      <c r="E8137" s="8">
        <v>0</v>
      </c>
      <c r="F8137" s="8">
        <v>736</v>
      </c>
    </row>
    <row r="8138" spans="1:6" ht="12.75">
      <c r="A8138" s="8">
        <v>43901.323657407411</v>
      </c>
      <c r="B8138" s="8" t="str">
        <f>HYPERLINK("https://twitter.com/edhisubono","@edhisubono")</f>
        <v>@edhisubono</v>
      </c>
      <c r="C8138" s="8" t="s">
        <v>318</v>
      </c>
      <c r="D8138" s="8">
        <v>1215</v>
      </c>
      <c r="E8138" s="8">
        <v>0</v>
      </c>
      <c r="F8138" s="8">
        <v>36</v>
      </c>
    </row>
    <row r="8139" spans="1:6" ht="12.75">
      <c r="A8139" s="8">
        <v>43901.323587962965</v>
      </c>
      <c r="B8139" s="8" t="str">
        <f>HYPERLINK("https://twitter.com/uganprayoga","@uganprayoga")</f>
        <v>@uganprayoga</v>
      </c>
      <c r="C8139" s="8" t="s">
        <v>1186</v>
      </c>
      <c r="D8139" s="8">
        <v>233</v>
      </c>
      <c r="E8139" s="8">
        <v>0</v>
      </c>
      <c r="F8139" s="8">
        <v>289</v>
      </c>
    </row>
    <row r="8140" spans="1:6" ht="12.75">
      <c r="A8140" s="8">
        <v>43901.32340277778</v>
      </c>
      <c r="B8140" s="8" t="str">
        <f>HYPERLINK("https://twitter.com/gantilagi04","@gantilagi04")</f>
        <v>@gantilagi04</v>
      </c>
      <c r="C8140" s="8" t="s">
        <v>1186</v>
      </c>
      <c r="D8140" s="8">
        <v>233</v>
      </c>
      <c r="E8140" s="8">
        <v>0</v>
      </c>
      <c r="F8140" s="8">
        <v>289</v>
      </c>
    </row>
    <row r="8141" spans="1:6" ht="12.75">
      <c r="A8141" s="8">
        <v>43901.323101851856</v>
      </c>
      <c r="B8141" s="8" t="str">
        <f>HYPERLINK("https://twitter.com/rennotantoyo","@rennotantoyo")</f>
        <v>@rennotantoyo</v>
      </c>
      <c r="C8141" s="8" t="s">
        <v>1186</v>
      </c>
      <c r="D8141" s="8">
        <v>233</v>
      </c>
      <c r="E8141" s="8">
        <v>0</v>
      </c>
      <c r="F8141" s="8">
        <v>292</v>
      </c>
    </row>
    <row r="8142" spans="1:6" ht="12.75">
      <c r="A8142" s="8">
        <v>43901.322847222225</v>
      </c>
      <c r="B8142" s="8" t="str">
        <f>HYPERLINK("https://twitter.com/pribum1","@pribum1")</f>
        <v>@pribum1</v>
      </c>
      <c r="C8142" s="8" t="s">
        <v>318</v>
      </c>
      <c r="D8142" s="8">
        <v>1215</v>
      </c>
      <c r="E8142" s="8">
        <v>0</v>
      </c>
      <c r="F8142" s="8">
        <v>692</v>
      </c>
    </row>
    <row r="8143" spans="1:6" ht="12.75">
      <c r="A8143" s="8">
        <v>43901.322743055556</v>
      </c>
      <c r="B8143" s="8" t="str">
        <f>HYPERLINK("https://twitter.com/Nancynababan","@Nancynababan")</f>
        <v>@Nancynababan</v>
      </c>
      <c r="C8143" s="8" t="s">
        <v>3809</v>
      </c>
      <c r="D8143" s="8">
        <v>0</v>
      </c>
      <c r="E8143" s="8">
        <v>0</v>
      </c>
      <c r="F8143" s="8">
        <v>171</v>
      </c>
    </row>
    <row r="8144" spans="1:6" ht="12.75">
      <c r="A8144" s="8">
        <v>43901.322592592594</v>
      </c>
      <c r="B8144" s="8" t="str">
        <f>HYPERLINK("https://twitter.com/MarthinTampubol","@MarthinTampubol")</f>
        <v>@MarthinTampubol</v>
      </c>
      <c r="C8144" s="8" t="s">
        <v>1801</v>
      </c>
      <c r="D8144" s="8">
        <v>189</v>
      </c>
      <c r="E8144" s="8">
        <v>0</v>
      </c>
      <c r="F8144" s="8">
        <v>21</v>
      </c>
    </row>
    <row r="8145" spans="1:6" ht="12.75">
      <c r="A8145" s="8">
        <v>43901.322384259256</v>
      </c>
      <c r="B8145" s="8" t="str">
        <f>HYPERLINK("https://twitter.com/felis_felicis","@felis_felicis")</f>
        <v>@felis_felicis</v>
      </c>
      <c r="C8145" s="8" t="s">
        <v>1801</v>
      </c>
      <c r="D8145" s="8">
        <v>189</v>
      </c>
      <c r="E8145" s="8">
        <v>0</v>
      </c>
      <c r="F8145" s="8">
        <v>167</v>
      </c>
    </row>
    <row r="8146" spans="1:6" ht="12.75">
      <c r="A8146" s="8">
        <v>43901.321898148148</v>
      </c>
      <c r="B8146" s="8" t="str">
        <f>HYPERLINK("https://twitter.com/KomedianGL","@KomedianGL")</f>
        <v>@KomedianGL</v>
      </c>
      <c r="C8146" s="8" t="s">
        <v>1427</v>
      </c>
      <c r="D8146" s="8">
        <v>1060</v>
      </c>
      <c r="E8146" s="8">
        <v>0</v>
      </c>
      <c r="F8146" s="8">
        <v>70</v>
      </c>
    </row>
    <row r="8147" spans="1:6" ht="12.75">
      <c r="A8147" s="8">
        <v>43901.321805555555</v>
      </c>
      <c r="B8147" s="8" t="str">
        <f>HYPERLINK("https://twitter.com/stfmusyaningrum","@stfmusyaningrum")</f>
        <v>@stfmusyaningrum</v>
      </c>
      <c r="C8147" s="8" t="s">
        <v>3810</v>
      </c>
      <c r="D8147" s="8">
        <v>0</v>
      </c>
      <c r="E8147" s="8">
        <v>0</v>
      </c>
      <c r="F8147" s="8">
        <v>350</v>
      </c>
    </row>
    <row r="8148" spans="1:6" ht="12.75">
      <c r="A8148" s="8">
        <v>43901.321793981479</v>
      </c>
      <c r="B8148" s="8" t="str">
        <f>HYPERLINK("https://twitter.com/CorleoneRagnar","@CorleoneRagnar")</f>
        <v>@CorleoneRagnar</v>
      </c>
      <c r="C8148" s="8" t="s">
        <v>1186</v>
      </c>
      <c r="D8148" s="8">
        <v>233</v>
      </c>
      <c r="E8148" s="8">
        <v>0</v>
      </c>
      <c r="F8148" s="8">
        <v>207</v>
      </c>
    </row>
    <row r="8149" spans="1:6" ht="12.75">
      <c r="A8149" s="8">
        <v>43901.321770833332</v>
      </c>
      <c r="B8149" s="8" t="str">
        <f>HYPERLINK("https://twitter.com/candrarudy","@candrarudy")</f>
        <v>@candrarudy</v>
      </c>
      <c r="C8149" s="8" t="s">
        <v>1427</v>
      </c>
      <c r="D8149" s="8">
        <v>1060</v>
      </c>
      <c r="E8149" s="8">
        <v>0</v>
      </c>
      <c r="F8149" s="8">
        <v>443</v>
      </c>
    </row>
    <row r="8150" spans="1:6" ht="12.75">
      <c r="A8150" s="8">
        <v>43901.321631944447</v>
      </c>
      <c r="B8150" s="8" t="str">
        <f>HYPERLINK("https://twitter.com/PrasodjoAbadi","@PrasodjoAbadi")</f>
        <v>@PrasodjoAbadi</v>
      </c>
      <c r="C8150" s="8" t="s">
        <v>1801</v>
      </c>
      <c r="D8150" s="8">
        <v>189</v>
      </c>
      <c r="E8150" s="8">
        <v>0</v>
      </c>
      <c r="F8150" s="8">
        <v>9</v>
      </c>
    </row>
    <row r="8151" spans="1:6" ht="12.75">
      <c r="A8151" s="8">
        <v>43901.320590277777</v>
      </c>
      <c r="B8151" s="8" t="str">
        <f>HYPERLINK("https://twitter.com/myatharva","@myatharva")</f>
        <v>@myatharva</v>
      </c>
      <c r="C8151" s="8" t="s">
        <v>3811</v>
      </c>
      <c r="D8151" s="8">
        <v>0</v>
      </c>
      <c r="E8151" s="8">
        <v>1</v>
      </c>
      <c r="F8151" s="8">
        <v>4039</v>
      </c>
    </row>
    <row r="8152" spans="1:6" ht="12.75">
      <c r="A8152" s="8">
        <v>43901.320127314815</v>
      </c>
      <c r="B8152" s="8" t="str">
        <f>HYPERLINK("https://twitter.com/justbob616","@justbob616")</f>
        <v>@justbob616</v>
      </c>
      <c r="C8152" s="8" t="s">
        <v>1801</v>
      </c>
      <c r="D8152" s="8">
        <v>189</v>
      </c>
      <c r="E8152" s="8">
        <v>0</v>
      </c>
      <c r="F8152" s="8">
        <v>932</v>
      </c>
    </row>
    <row r="8153" spans="1:6" ht="12.75">
      <c r="A8153" s="8">
        <v>43901.32</v>
      </c>
      <c r="B8153" s="8" t="str">
        <f>HYPERLINK("https://twitter.com/dian_athena","@dian_athena")</f>
        <v>@dian_athena</v>
      </c>
      <c r="C8153" s="8" t="s">
        <v>318</v>
      </c>
      <c r="D8153" s="8">
        <v>1215</v>
      </c>
      <c r="E8153" s="8">
        <v>0</v>
      </c>
      <c r="F8153" s="8">
        <v>2444</v>
      </c>
    </row>
    <row r="8154" spans="1:6" ht="12.75">
      <c r="A8154" s="8">
        <v>43901.319907407407</v>
      </c>
      <c r="B8154" s="8" t="str">
        <f>HYPERLINK("https://twitter.com/Adamdar21591740","@Adamdar21591740")</f>
        <v>@Adamdar21591740</v>
      </c>
      <c r="C8154" s="8" t="s">
        <v>1186</v>
      </c>
      <c r="D8154" s="8">
        <v>233</v>
      </c>
      <c r="E8154" s="8">
        <v>0</v>
      </c>
      <c r="F8154" s="8">
        <v>138</v>
      </c>
    </row>
    <row r="8155" spans="1:6" ht="12.75">
      <c r="A8155" s="8">
        <v>43901.319722222222</v>
      </c>
      <c r="B8155" s="8" t="str">
        <f>HYPERLINK("https://twitter.com/absomad1","@absomad1")</f>
        <v>@absomad1</v>
      </c>
      <c r="C8155" s="8" t="s">
        <v>1801</v>
      </c>
      <c r="D8155" s="8">
        <v>189</v>
      </c>
      <c r="E8155" s="8">
        <v>0</v>
      </c>
      <c r="F8155" s="8">
        <v>238</v>
      </c>
    </row>
    <row r="8156" spans="1:6" ht="12.75">
      <c r="A8156" s="8">
        <v>43901.31967592593</v>
      </c>
      <c r="B8156" s="8" t="str">
        <f>HYPERLINK("https://twitter.com/TalagaHati","@TalagaHati")</f>
        <v>@TalagaHati</v>
      </c>
      <c r="C8156" s="8" t="s">
        <v>1186</v>
      </c>
      <c r="D8156" s="8">
        <v>233</v>
      </c>
      <c r="E8156" s="8">
        <v>0</v>
      </c>
      <c r="F8156" s="8">
        <v>402</v>
      </c>
    </row>
    <row r="8157" spans="1:6" ht="12.75">
      <c r="A8157" s="8">
        <v>43901.319479166668</v>
      </c>
      <c r="B8157" s="8" t="str">
        <f>HYPERLINK("https://twitter.com/edcfess2","@edcfess2")</f>
        <v>@edcfess2</v>
      </c>
      <c r="C8157" s="8" t="s">
        <v>3812</v>
      </c>
      <c r="D8157" s="8">
        <v>0</v>
      </c>
      <c r="E8157" s="8">
        <v>0</v>
      </c>
      <c r="F8157" s="8">
        <v>44440</v>
      </c>
    </row>
    <row r="8158" spans="1:6" ht="12.75">
      <c r="A8158" s="8">
        <v>43901.318969907406</v>
      </c>
      <c r="B8158" s="8" t="str">
        <f>HYPERLINK("https://twitter.com/Dickbee5","@Dickbee5")</f>
        <v>@Dickbee5</v>
      </c>
      <c r="C8158" s="8" t="s">
        <v>318</v>
      </c>
      <c r="D8158" s="8">
        <v>1215</v>
      </c>
      <c r="E8158" s="8">
        <v>0</v>
      </c>
      <c r="F8158" s="8">
        <v>12</v>
      </c>
    </row>
    <row r="8159" spans="1:6" ht="12.75">
      <c r="A8159" s="8">
        <v>43901.318449074075</v>
      </c>
      <c r="B8159" s="8" t="str">
        <f>HYPERLINK("https://twitter.com/Riskonabdullah","@Riskonabdullah")</f>
        <v>@Riskonabdullah</v>
      </c>
      <c r="C8159" s="8" t="s">
        <v>318</v>
      </c>
      <c r="D8159" s="8">
        <v>1215</v>
      </c>
      <c r="E8159" s="8">
        <v>0</v>
      </c>
      <c r="F8159" s="8">
        <v>1129</v>
      </c>
    </row>
    <row r="8160" spans="1:6" ht="12.75">
      <c r="A8160" s="8">
        <v>43901.317812499998</v>
      </c>
      <c r="B8160" s="8" t="str">
        <f>HYPERLINK("https://twitter.com/ceteleve","@ceteleve")</f>
        <v>@ceteleve</v>
      </c>
      <c r="C8160" s="8" t="s">
        <v>3813</v>
      </c>
      <c r="D8160" s="8">
        <v>1</v>
      </c>
      <c r="E8160" s="8">
        <v>0</v>
      </c>
      <c r="F8160" s="8">
        <v>1749</v>
      </c>
    </row>
    <row r="8161" spans="1:6" ht="12.75">
      <c r="A8161" s="8">
        <v>43901.317800925928</v>
      </c>
      <c r="B8161" s="8" t="str">
        <f>HYPERLINK("https://twitter.com/pedang_manthili","@pedang_manthili")</f>
        <v>@pedang_manthili</v>
      </c>
      <c r="C8161" s="8" t="s">
        <v>1186</v>
      </c>
      <c r="D8161" s="8">
        <v>233</v>
      </c>
      <c r="E8161" s="8">
        <v>0</v>
      </c>
      <c r="F8161" s="8">
        <v>309</v>
      </c>
    </row>
    <row r="8162" spans="1:6" ht="12.75">
      <c r="A8162" s="8">
        <v>43901.317777777775</v>
      </c>
      <c r="B8162" s="8" t="str">
        <f>HYPERLINK("https://twitter.com/taqitaqitaqi","@taqitaqitaqi")</f>
        <v>@taqitaqitaqi</v>
      </c>
      <c r="C8162" s="8" t="s">
        <v>3752</v>
      </c>
      <c r="D8162" s="8">
        <v>31</v>
      </c>
      <c r="E8162" s="8">
        <v>0</v>
      </c>
      <c r="F8162" s="8">
        <v>219</v>
      </c>
    </row>
    <row r="8163" spans="1:6" ht="12.75">
      <c r="A8163" s="8">
        <v>43901.317650462966</v>
      </c>
      <c r="B8163" s="8" t="str">
        <f>HYPERLINK("https://twitter.com/IwaHasyim","@IwaHasyim")</f>
        <v>@IwaHasyim</v>
      </c>
      <c r="C8163" s="8" t="s">
        <v>1801</v>
      </c>
      <c r="D8163" s="8">
        <v>189</v>
      </c>
      <c r="E8163" s="8">
        <v>0</v>
      </c>
      <c r="F8163" s="8">
        <v>1178</v>
      </c>
    </row>
    <row r="8164" spans="1:6" ht="12.75">
      <c r="A8164" s="8">
        <v>43901.317546296297</v>
      </c>
      <c r="B8164" s="8" t="str">
        <f>HYPERLINK("https://twitter.com/_wni_","@_wni_")</f>
        <v>@_wni_</v>
      </c>
      <c r="C8164" s="8" t="s">
        <v>3814</v>
      </c>
      <c r="D8164" s="8">
        <v>486</v>
      </c>
      <c r="E8164" s="8">
        <v>0</v>
      </c>
      <c r="F8164" s="8">
        <v>22</v>
      </c>
    </row>
    <row r="8165" spans="1:6" ht="12.75">
      <c r="A8165" s="8">
        <v>43901.317453703705</v>
      </c>
      <c r="B8165" s="8" t="str">
        <f>HYPERLINK("https://twitter.com/nabilahyosa","@nabilahyosa")</f>
        <v>@nabilahyosa</v>
      </c>
      <c r="C8165" s="8" t="s">
        <v>1427</v>
      </c>
      <c r="D8165" s="8">
        <v>1060</v>
      </c>
      <c r="E8165" s="8">
        <v>0</v>
      </c>
      <c r="F8165" s="8">
        <v>658</v>
      </c>
    </row>
    <row r="8166" spans="1:6" ht="12.75">
      <c r="A8166" s="8">
        <v>43901.317129629635</v>
      </c>
      <c r="B8166" s="8" t="str">
        <f>HYPERLINK("https://twitter.com/joe63210388","@joe63210388")</f>
        <v>@joe63210388</v>
      </c>
      <c r="C8166" s="8" t="s">
        <v>1186</v>
      </c>
      <c r="D8166" s="8">
        <v>233</v>
      </c>
      <c r="E8166" s="8">
        <v>0</v>
      </c>
      <c r="F8166" s="8">
        <v>175</v>
      </c>
    </row>
    <row r="8167" spans="1:6" ht="12.75">
      <c r="A8167" s="8">
        <v>43901.317071759258</v>
      </c>
      <c r="B8167" s="8" t="str">
        <f t="shared" ref="B8167:B8168" si="142">HYPERLINK("https://twitter.com/_wni_","@_wni_")</f>
        <v>@_wni_</v>
      </c>
      <c r="C8167" s="8" t="s">
        <v>3815</v>
      </c>
      <c r="D8167" s="8">
        <v>11135</v>
      </c>
      <c r="E8167" s="8">
        <v>0</v>
      </c>
      <c r="F8167" s="8">
        <v>22</v>
      </c>
    </row>
    <row r="8168" spans="1:6" ht="12.75">
      <c r="A8168" s="8">
        <v>43901.316736111112</v>
      </c>
      <c r="B8168" s="8" t="str">
        <f t="shared" si="142"/>
        <v>@_wni_</v>
      </c>
      <c r="C8168" s="8" t="s">
        <v>3816</v>
      </c>
      <c r="D8168" s="8">
        <v>5800</v>
      </c>
      <c r="E8168" s="8">
        <v>0</v>
      </c>
      <c r="F8168" s="8">
        <v>22</v>
      </c>
    </row>
    <row r="8169" spans="1:6" ht="12.75">
      <c r="A8169" s="8">
        <v>43901.316724537042</v>
      </c>
      <c r="B8169" s="8" t="str">
        <f>HYPERLINK("https://twitter.com/Kangcahyo1","@Kangcahyo1")</f>
        <v>@Kangcahyo1</v>
      </c>
      <c r="C8169" s="8" t="s">
        <v>1801</v>
      </c>
      <c r="D8169" s="8">
        <v>189</v>
      </c>
      <c r="E8169" s="8">
        <v>0</v>
      </c>
      <c r="F8169" s="8">
        <v>241</v>
      </c>
    </row>
    <row r="8170" spans="1:6" ht="12.75">
      <c r="A8170" s="8">
        <v>43901.316655092596</v>
      </c>
      <c r="B8170" s="8" t="str">
        <f>HYPERLINK("https://twitter.com/IYA_Juwita","@IYA_Juwita")</f>
        <v>@IYA_Juwita</v>
      </c>
      <c r="C8170" s="8" t="s">
        <v>3190</v>
      </c>
      <c r="D8170" s="8">
        <v>148</v>
      </c>
      <c r="E8170" s="8">
        <v>0</v>
      </c>
      <c r="F8170" s="8">
        <v>1230</v>
      </c>
    </row>
    <row r="8171" spans="1:6" ht="12.75">
      <c r="A8171" s="8">
        <v>43901.316458333335</v>
      </c>
      <c r="B8171" s="8" t="str">
        <f>HYPERLINK("https://twitter.com/GYPrasetya","@GYPrasetya")</f>
        <v>@GYPrasetya</v>
      </c>
      <c r="C8171" s="8" t="s">
        <v>1186</v>
      </c>
      <c r="D8171" s="8">
        <v>233</v>
      </c>
      <c r="E8171" s="8">
        <v>0</v>
      </c>
      <c r="F8171" s="8">
        <v>3062</v>
      </c>
    </row>
    <row r="8172" spans="1:6" ht="12.75">
      <c r="A8172" s="8">
        <v>43901.316354166665</v>
      </c>
      <c r="B8172" s="8" t="str">
        <f>HYPERLINK("https://twitter.com/_wni_","@_wni_")</f>
        <v>@_wni_</v>
      </c>
      <c r="C8172" s="8" t="s">
        <v>3817</v>
      </c>
      <c r="D8172" s="8">
        <v>4417</v>
      </c>
      <c r="E8172" s="8">
        <v>0</v>
      </c>
      <c r="F8172" s="8">
        <v>22</v>
      </c>
    </row>
    <row r="8173" spans="1:6" ht="12.75">
      <c r="A8173" s="8">
        <v>43901.316342592589</v>
      </c>
      <c r="B8173" s="8" t="str">
        <f>HYPERLINK("https://twitter.com/DKusandiani","@DKusandiani")</f>
        <v>@DKusandiani</v>
      </c>
      <c r="C8173" s="8" t="s">
        <v>2537</v>
      </c>
      <c r="D8173" s="8">
        <v>39</v>
      </c>
      <c r="E8173" s="8">
        <v>0</v>
      </c>
      <c r="F8173" s="8">
        <v>300</v>
      </c>
    </row>
    <row r="8174" spans="1:6" ht="12.75">
      <c r="A8174" s="8">
        <v>43901.316157407404</v>
      </c>
      <c r="B8174" s="8" t="str">
        <f>HYPERLINK("https://twitter.com/Syahrizwan2","@Syahrizwan2")</f>
        <v>@Syahrizwan2</v>
      </c>
      <c r="C8174" s="8" t="s">
        <v>1186</v>
      </c>
      <c r="D8174" s="8">
        <v>233</v>
      </c>
      <c r="E8174" s="8">
        <v>0</v>
      </c>
      <c r="F8174" s="8">
        <v>305</v>
      </c>
    </row>
    <row r="8175" spans="1:6" ht="12.75">
      <c r="A8175" s="8">
        <v>43901.315914351857</v>
      </c>
      <c r="B8175" s="8" t="str">
        <f>HYPERLINK("https://twitter.com/bobbyranggarez1","@bobbyranggarez1")</f>
        <v>@bobbyranggarez1</v>
      </c>
      <c r="C8175" s="8" t="s">
        <v>1801</v>
      </c>
      <c r="D8175" s="8">
        <v>189</v>
      </c>
      <c r="E8175" s="8">
        <v>0</v>
      </c>
      <c r="F8175" s="8">
        <v>41</v>
      </c>
    </row>
    <row r="8176" spans="1:6" ht="12.75">
      <c r="A8176" s="8">
        <v>43901.315104166672</v>
      </c>
      <c r="B8176" s="8" t="str">
        <f>HYPERLINK("https://twitter.com/fx_raptor","@fx_raptor")</f>
        <v>@fx_raptor</v>
      </c>
      <c r="C8176" s="8" t="s">
        <v>1427</v>
      </c>
      <c r="D8176" s="8">
        <v>1060</v>
      </c>
      <c r="E8176" s="8">
        <v>0</v>
      </c>
      <c r="F8176" s="8">
        <v>1172</v>
      </c>
    </row>
    <row r="8177" spans="1:6" ht="12.75">
      <c r="A8177" s="8">
        <v>43901.315081018518</v>
      </c>
      <c r="B8177" s="8" t="str">
        <f>HYPERLINK("https://twitter.com/blue_facez","@blue_facez")</f>
        <v>@blue_facez</v>
      </c>
      <c r="C8177" s="8" t="s">
        <v>318</v>
      </c>
      <c r="D8177" s="8">
        <v>1215</v>
      </c>
      <c r="E8177" s="8">
        <v>0</v>
      </c>
      <c r="F8177" s="8">
        <v>1224</v>
      </c>
    </row>
    <row r="8178" spans="1:6" ht="12.75">
      <c r="A8178" s="8">
        <v>43901.314479166671</v>
      </c>
      <c r="B8178" s="8" t="str">
        <f>HYPERLINK("https://twitter.com/hendry_martien","@hendry_martien")</f>
        <v>@hendry_martien</v>
      </c>
      <c r="C8178" s="8" t="s">
        <v>1801</v>
      </c>
      <c r="D8178" s="8">
        <v>189</v>
      </c>
      <c r="E8178" s="8">
        <v>0</v>
      </c>
      <c r="F8178" s="8">
        <v>650</v>
      </c>
    </row>
    <row r="8179" spans="1:6" ht="12.75">
      <c r="A8179" s="8">
        <v>43901.314444444448</v>
      </c>
      <c r="B8179" s="8" t="str">
        <f>HYPERLINK("https://twitter.com/bolong_bong","@bolong_bong")</f>
        <v>@bolong_bong</v>
      </c>
      <c r="C8179" s="8" t="s">
        <v>1186</v>
      </c>
      <c r="D8179" s="8">
        <v>233</v>
      </c>
      <c r="E8179" s="8">
        <v>0</v>
      </c>
      <c r="F8179" s="8">
        <v>1105</v>
      </c>
    </row>
    <row r="8180" spans="1:6" ht="12.75">
      <c r="A8180" s="8">
        <v>43901.314363425925</v>
      </c>
      <c r="B8180" s="8" t="str">
        <f>HYPERLINK("https://twitter.com/Montel43996036","@Montel43996036")</f>
        <v>@Montel43996036</v>
      </c>
      <c r="C8180" s="8" t="s">
        <v>1427</v>
      </c>
      <c r="D8180" s="8">
        <v>1060</v>
      </c>
      <c r="E8180" s="8">
        <v>0</v>
      </c>
      <c r="F8180" s="8">
        <v>1835</v>
      </c>
    </row>
    <row r="8181" spans="1:6" ht="12.75">
      <c r="A8181" s="8">
        <v>43901.313275462962</v>
      </c>
      <c r="B8181" s="8" t="str">
        <f>HYPERLINK("https://twitter.com/xtraordinarykey","@xtraordinarykey")</f>
        <v>@xtraordinarykey</v>
      </c>
      <c r="C8181" s="8" t="s">
        <v>1427</v>
      </c>
      <c r="D8181" s="8">
        <v>1060</v>
      </c>
      <c r="E8181" s="8">
        <v>0</v>
      </c>
      <c r="F8181" s="8">
        <v>1281</v>
      </c>
    </row>
    <row r="8182" spans="1:6" ht="12.75">
      <c r="A8182" s="8">
        <v>43901.313067129631</v>
      </c>
      <c r="B8182" s="8" t="str">
        <f>HYPERLINK("https://twitter.com/damario04","@damario04")</f>
        <v>@damario04</v>
      </c>
      <c r="C8182" s="8" t="s">
        <v>147</v>
      </c>
      <c r="D8182" s="8">
        <v>0</v>
      </c>
      <c r="E8182" s="8">
        <v>0</v>
      </c>
      <c r="F8182" s="8">
        <v>403</v>
      </c>
    </row>
    <row r="8183" spans="1:6" ht="12.75">
      <c r="A8183" s="8">
        <v>43901.313067129631</v>
      </c>
      <c r="B8183" s="8" t="str">
        <f>HYPERLINK("https://twitter.com/Rzky_Mldnr","@Rzky_Mldnr")</f>
        <v>@Rzky_Mldnr</v>
      </c>
      <c r="C8183" s="8" t="s">
        <v>318</v>
      </c>
      <c r="D8183" s="8">
        <v>1215</v>
      </c>
      <c r="E8183" s="8">
        <v>0</v>
      </c>
      <c r="F8183" s="8">
        <v>1015</v>
      </c>
    </row>
    <row r="8184" spans="1:6" ht="12.75">
      <c r="A8184" s="8">
        <v>43901.313009259262</v>
      </c>
      <c r="B8184" s="8" t="str">
        <f>HYPERLINK("https://twitter.com/cadarmerah","@cadarmerah")</f>
        <v>@cadarmerah</v>
      </c>
      <c r="C8184" s="8" t="s">
        <v>1427</v>
      </c>
      <c r="D8184" s="8">
        <v>1060</v>
      </c>
      <c r="E8184" s="8">
        <v>0</v>
      </c>
      <c r="F8184" s="8">
        <v>5661</v>
      </c>
    </row>
    <row r="8185" spans="1:6" ht="12.75">
      <c r="A8185" s="8">
        <v>43901.311990740738</v>
      </c>
      <c r="B8185" s="8" t="str">
        <f>HYPERLINK("https://twitter.com/Pandeka_Cyber","@Pandeka_Cyber")</f>
        <v>@Pandeka_Cyber</v>
      </c>
      <c r="C8185" s="8" t="s">
        <v>318</v>
      </c>
      <c r="D8185" s="8">
        <v>1215</v>
      </c>
      <c r="E8185" s="8">
        <v>0</v>
      </c>
      <c r="F8185" s="8">
        <v>2433</v>
      </c>
    </row>
    <row r="8186" spans="1:6" ht="12.75">
      <c r="A8186" s="8">
        <v>43901.311898148153</v>
      </c>
      <c r="B8186" s="8" t="str">
        <f>HYPERLINK("https://twitter.com/Ningnon11392644","@Ningnon11392644")</f>
        <v>@Ningnon11392644</v>
      </c>
      <c r="C8186" s="8" t="s">
        <v>3818</v>
      </c>
      <c r="D8186" s="8">
        <v>0</v>
      </c>
      <c r="E8186" s="8">
        <v>1</v>
      </c>
      <c r="F8186" s="8">
        <v>1647</v>
      </c>
    </row>
    <row r="8187" spans="1:6" ht="12.75">
      <c r="A8187" s="8">
        <v>43901.31186342593</v>
      </c>
      <c r="B8187" s="8" t="str">
        <f>HYPERLINK("https://twitter.com/SayaBerto","@SayaBerto")</f>
        <v>@SayaBerto</v>
      </c>
      <c r="C8187" s="8" t="s">
        <v>1801</v>
      </c>
      <c r="D8187" s="8">
        <v>189</v>
      </c>
      <c r="E8187" s="8">
        <v>0</v>
      </c>
      <c r="F8187" s="8">
        <v>286</v>
      </c>
    </row>
    <row r="8188" spans="1:6" ht="12.75">
      <c r="A8188" s="8">
        <v>43901.311793981484</v>
      </c>
      <c r="B8188" s="8" t="str">
        <f>HYPERLINK("https://twitter.com/MommyNurulHuda","@MommyNurulHuda")</f>
        <v>@MommyNurulHuda</v>
      </c>
      <c r="C8188" s="8" t="s">
        <v>318</v>
      </c>
      <c r="D8188" s="8">
        <v>1215</v>
      </c>
      <c r="E8188" s="8">
        <v>0</v>
      </c>
      <c r="F8188" s="8">
        <v>392</v>
      </c>
    </row>
    <row r="8189" spans="1:6" ht="12.75">
      <c r="A8189" s="8">
        <v>43901.311562499999</v>
      </c>
      <c r="B8189" s="8" t="str">
        <f>HYPERLINK("https://twitter.com/senoye","@senoye")</f>
        <v>@senoye</v>
      </c>
      <c r="C8189" s="8" t="s">
        <v>1801</v>
      </c>
      <c r="D8189" s="8">
        <v>189</v>
      </c>
      <c r="E8189" s="8">
        <v>0</v>
      </c>
      <c r="F8189" s="8">
        <v>265</v>
      </c>
    </row>
    <row r="8190" spans="1:6" ht="12.75">
      <c r="A8190" s="8">
        <v>43901.298414351855</v>
      </c>
      <c r="B8190" s="8" t="str">
        <f>HYPERLINK("https://twitter.com/Satir76","@Satir76")</f>
        <v>@Satir76</v>
      </c>
      <c r="C8190" s="8" t="s">
        <v>1186</v>
      </c>
      <c r="D8190" s="8">
        <v>202</v>
      </c>
      <c r="E8190" s="8">
        <v>0</v>
      </c>
      <c r="F8190" s="8">
        <v>592</v>
      </c>
    </row>
    <row r="8191" spans="1:6" ht="12.75">
      <c r="A8191" s="8">
        <v>43901.298125000001</v>
      </c>
      <c r="B8191" s="8" t="str">
        <f>HYPERLINK("https://twitter.com/9eab7f6c3b3d485","@9eab7f6c3b3d485")</f>
        <v>@9eab7f6c3b3d485</v>
      </c>
      <c r="C8191" s="8" t="s">
        <v>318</v>
      </c>
      <c r="D8191" s="8">
        <v>1173</v>
      </c>
      <c r="E8191" s="8">
        <v>0</v>
      </c>
      <c r="F8191" s="8">
        <v>425</v>
      </c>
    </row>
    <row r="8192" spans="1:6" ht="12.75">
      <c r="A8192" s="8">
        <v>43901.297592592593</v>
      </c>
      <c r="B8192" s="8" t="str">
        <f>HYPERLINK("https://twitter.com/tidung_woles","@tidung_woles")</f>
        <v>@tidung_woles</v>
      </c>
      <c r="C8192" s="8" t="s">
        <v>3768</v>
      </c>
      <c r="D8192" s="8">
        <v>0</v>
      </c>
      <c r="E8192" s="8">
        <v>0</v>
      </c>
      <c r="F8192" s="8">
        <v>513</v>
      </c>
    </row>
    <row r="8193" spans="1:6" ht="12.75">
      <c r="A8193" s="8">
        <v>43901.297592592593</v>
      </c>
      <c r="B8193" s="8" t="str">
        <f>HYPERLINK("https://twitter.com/PulauTidung123","@PulauTidung123")</f>
        <v>@PulauTidung123</v>
      </c>
      <c r="C8193" s="8" t="s">
        <v>3819</v>
      </c>
      <c r="D8193" s="8">
        <v>0</v>
      </c>
      <c r="E8193" s="8">
        <v>0</v>
      </c>
      <c r="F8193" s="8">
        <v>149</v>
      </c>
    </row>
    <row r="8194" spans="1:6" ht="12.75">
      <c r="A8194" s="8">
        <v>43901.297442129631</v>
      </c>
      <c r="B8194" s="8" t="str">
        <f>HYPERLINK("https://twitter.com/Arman260471","@Arman260471")</f>
        <v>@Arman260471</v>
      </c>
      <c r="C8194" s="8" t="s">
        <v>1186</v>
      </c>
      <c r="D8194" s="8">
        <v>201</v>
      </c>
      <c r="E8194" s="8">
        <v>0</v>
      </c>
      <c r="F8194" s="8">
        <v>140</v>
      </c>
    </row>
    <row r="8195" spans="1:6" ht="12.75">
      <c r="A8195" s="8">
        <v>43901.297129629631</v>
      </c>
      <c r="B8195" s="8" t="str">
        <f>HYPERLINK("https://twitter.com/untungPWIRnekad","@untungPWIRnekad")</f>
        <v>@untungPWIRnekad</v>
      </c>
      <c r="C8195" s="8" t="s">
        <v>1186</v>
      </c>
      <c r="D8195" s="8">
        <v>201</v>
      </c>
      <c r="E8195" s="8">
        <v>0</v>
      </c>
      <c r="F8195" s="8">
        <v>303</v>
      </c>
    </row>
    <row r="8196" spans="1:6" ht="12.75">
      <c r="A8196" s="8">
        <v>43901.296712962961</v>
      </c>
      <c r="B8196" s="8" t="str">
        <f>HYPERLINK("https://twitter.com/Sandy_ervandi","@Sandy_ervandi")</f>
        <v>@Sandy_ervandi</v>
      </c>
      <c r="C8196" s="8" t="s">
        <v>1801</v>
      </c>
      <c r="D8196" s="8">
        <v>157</v>
      </c>
      <c r="E8196" s="8">
        <v>0</v>
      </c>
      <c r="F8196" s="8">
        <v>100</v>
      </c>
    </row>
    <row r="8197" spans="1:6" ht="12.75">
      <c r="A8197" s="8">
        <v>43901.296215277776</v>
      </c>
      <c r="B8197" s="8" t="str">
        <f>HYPERLINK("https://twitter.com/SriNeng70160486","@SriNeng70160486")</f>
        <v>@SriNeng70160486</v>
      </c>
      <c r="C8197" s="8" t="s">
        <v>1186</v>
      </c>
      <c r="D8197" s="8">
        <v>202</v>
      </c>
      <c r="E8197" s="8">
        <v>0</v>
      </c>
      <c r="F8197" s="8">
        <v>582</v>
      </c>
    </row>
    <row r="8198" spans="1:6" ht="12.75">
      <c r="A8198" s="8">
        <v>43901.29587962963</v>
      </c>
      <c r="B8198" s="8" t="str">
        <f>HYPERLINK("https://twitter.com/SutrisnoYohanes","@SutrisnoYohanes")</f>
        <v>@SutrisnoYohanes</v>
      </c>
      <c r="C8198" s="8" t="s">
        <v>1801</v>
      </c>
      <c r="D8198" s="8">
        <v>157</v>
      </c>
      <c r="E8198" s="8">
        <v>0</v>
      </c>
      <c r="F8198" s="8">
        <v>5116</v>
      </c>
    </row>
    <row r="8199" spans="1:6" ht="12.75">
      <c r="A8199" s="8">
        <v>43901.295787037037</v>
      </c>
      <c r="B8199" s="8" t="str">
        <f>HYPERLINK("https://twitter.com/auliarsm","@auliarsm")</f>
        <v>@auliarsm</v>
      </c>
      <c r="C8199" s="8" t="s">
        <v>3190</v>
      </c>
      <c r="D8199" s="8">
        <v>144</v>
      </c>
      <c r="E8199" s="8">
        <v>0</v>
      </c>
      <c r="F8199" s="8">
        <v>893</v>
      </c>
    </row>
    <row r="8200" spans="1:6" ht="12.75">
      <c r="A8200" s="8">
        <v>43901.295706018514</v>
      </c>
      <c r="B8200" s="8" t="str">
        <f>HYPERLINK("https://twitter.com/damario04","@damario04")</f>
        <v>@damario04</v>
      </c>
      <c r="C8200" s="8" t="s">
        <v>166</v>
      </c>
      <c r="D8200" s="8">
        <v>0</v>
      </c>
      <c r="E8200" s="8">
        <v>0</v>
      </c>
      <c r="F8200" s="8">
        <v>403</v>
      </c>
    </row>
    <row r="8201" spans="1:6" ht="12.75">
      <c r="A8201" s="8">
        <v>43901.295208333337</v>
      </c>
      <c r="B8201" s="8" t="str">
        <f>HYPERLINK("https://twitter.com/Lucifer64548328","@Lucifer64548328")</f>
        <v>@Lucifer64548328</v>
      </c>
      <c r="C8201" s="8" t="s">
        <v>3820</v>
      </c>
      <c r="D8201" s="8">
        <v>39</v>
      </c>
      <c r="E8201" s="8">
        <v>0</v>
      </c>
      <c r="F8201" s="8">
        <v>154</v>
      </c>
    </row>
    <row r="8202" spans="1:6" ht="12.75">
      <c r="A8202" s="8">
        <v>43901.295208333337</v>
      </c>
      <c r="B8202" s="8" t="str">
        <f>HYPERLINK("https://twitter.com/ARr123ee","@ARr123ee")</f>
        <v>@ARr123ee</v>
      </c>
      <c r="C8202" s="8" t="s">
        <v>3821</v>
      </c>
      <c r="D8202" s="8">
        <v>21</v>
      </c>
      <c r="E8202" s="8">
        <v>0</v>
      </c>
      <c r="F8202" s="8">
        <v>199</v>
      </c>
    </row>
    <row r="8203" spans="1:6" ht="12.75">
      <c r="A8203" s="8">
        <v>43901.295069444444</v>
      </c>
      <c r="B8203" s="8" t="str">
        <f>HYPERLINK("https://twitter.com/ISIS_Balik_NO","@ISIS_Balik_NO")</f>
        <v>@ISIS_Balik_NO</v>
      </c>
      <c r="C8203" s="8" t="s">
        <v>3822</v>
      </c>
      <c r="D8203" s="8">
        <v>26</v>
      </c>
      <c r="E8203" s="8">
        <v>0</v>
      </c>
      <c r="F8203" s="8">
        <v>6220</v>
      </c>
    </row>
    <row r="8204" spans="1:6" ht="12.75">
      <c r="A8204" s="8">
        <v>43901.295057870375</v>
      </c>
      <c r="B8204" s="8" t="str">
        <f>HYPERLINK("https://twitter.com/pandusolusi","@pandusolusi")</f>
        <v>@pandusolusi</v>
      </c>
      <c r="C8204" s="8" t="s">
        <v>3823</v>
      </c>
      <c r="D8204" s="8">
        <v>0</v>
      </c>
      <c r="E8204" s="8">
        <v>0</v>
      </c>
      <c r="F8204" s="8">
        <v>180</v>
      </c>
    </row>
    <row r="8205" spans="1:6" ht="12.75">
      <c r="A8205" s="8">
        <v>43901.294895833329</v>
      </c>
      <c r="B8205" s="8" t="str">
        <f>HYPERLINK("https://twitter.com/icuskusdianto","@icuskusdianto")</f>
        <v>@icuskusdianto</v>
      </c>
      <c r="C8205" s="8" t="s">
        <v>1186</v>
      </c>
      <c r="D8205" s="8">
        <v>202</v>
      </c>
      <c r="E8205" s="8">
        <v>0</v>
      </c>
      <c r="F8205" s="8">
        <v>55</v>
      </c>
    </row>
    <row r="8206" spans="1:6" ht="12.75">
      <c r="A8206" s="8">
        <v>43901.294548611113</v>
      </c>
      <c r="B8206" s="8" t="str">
        <f>HYPERLINK("https://twitter.com/joaovmariga","@joaovmariga")</f>
        <v>@joaovmariga</v>
      </c>
      <c r="C8206" s="8" t="s">
        <v>3824</v>
      </c>
      <c r="D8206" s="8">
        <v>0</v>
      </c>
      <c r="E8206" s="8">
        <v>0</v>
      </c>
      <c r="F8206" s="8">
        <v>2801</v>
      </c>
    </row>
    <row r="8207" spans="1:6" ht="12.75">
      <c r="A8207" s="8">
        <v>43901.294398148151</v>
      </c>
      <c r="B8207" s="8" t="str">
        <f>HYPERLINK("https://twitter.com/AndresOctafians","@AndresOctafians")</f>
        <v>@AndresOctafians</v>
      </c>
      <c r="C8207" s="8" t="s">
        <v>1186</v>
      </c>
      <c r="D8207" s="8">
        <v>202</v>
      </c>
      <c r="E8207" s="8">
        <v>0</v>
      </c>
      <c r="F8207" s="8">
        <v>64</v>
      </c>
    </row>
    <row r="8208" spans="1:6" ht="12.75">
      <c r="A8208" s="8">
        <v>43901.294259259259</v>
      </c>
      <c r="B8208" s="8" t="str">
        <f>HYPERLINK("https://twitter.com/ISIS_Balik_NO","@ISIS_Balik_NO")</f>
        <v>@ISIS_Balik_NO</v>
      </c>
      <c r="C8208" s="8" t="s">
        <v>3825</v>
      </c>
      <c r="D8208" s="8">
        <v>0</v>
      </c>
      <c r="E8208" s="8">
        <v>0</v>
      </c>
      <c r="F8208" s="8">
        <v>6220</v>
      </c>
    </row>
    <row r="8209" spans="1:6" ht="12.75">
      <c r="A8209" s="8">
        <v>43901.294236111113</v>
      </c>
      <c r="B8209" s="8" t="str">
        <f>HYPERLINK("https://twitter.com/syaltout","@syaltout")</f>
        <v>@syaltout</v>
      </c>
      <c r="C8209" s="8" t="s">
        <v>3190</v>
      </c>
      <c r="D8209" s="8">
        <v>144</v>
      </c>
      <c r="E8209" s="8">
        <v>0</v>
      </c>
      <c r="F8209" s="8">
        <v>8623</v>
      </c>
    </row>
    <row r="8210" spans="1:6" ht="12.75">
      <c r="A8210" s="8">
        <v>43901.294062500005</v>
      </c>
      <c r="B8210" s="8" t="str">
        <f>HYPERLINK("https://twitter.com/amir40566505","@amir40566505")</f>
        <v>@amir40566505</v>
      </c>
      <c r="C8210" s="8" t="s">
        <v>318</v>
      </c>
      <c r="D8210" s="8">
        <v>1174</v>
      </c>
      <c r="E8210" s="8">
        <v>0</v>
      </c>
      <c r="F8210" s="8">
        <v>14</v>
      </c>
    </row>
    <row r="8211" spans="1:6" ht="12.75">
      <c r="A8211" s="8">
        <v>43901.293993055559</v>
      </c>
      <c r="B8211" s="8" t="str">
        <f t="shared" ref="B8211:B8212" si="143">HYPERLINK("https://twitter.com/ISIS_Balik_NO","@ISIS_Balik_NO")</f>
        <v>@ISIS_Balik_NO</v>
      </c>
      <c r="C8211" s="8" t="s">
        <v>3826</v>
      </c>
      <c r="D8211" s="8">
        <v>25</v>
      </c>
      <c r="E8211" s="8">
        <v>0</v>
      </c>
      <c r="F8211" s="8">
        <v>6220</v>
      </c>
    </row>
    <row r="8212" spans="1:6" ht="12.75">
      <c r="A8212" s="8">
        <v>43901.293842592597</v>
      </c>
      <c r="B8212" s="8" t="str">
        <f t="shared" si="143"/>
        <v>@ISIS_Balik_NO</v>
      </c>
      <c r="C8212" s="8" t="s">
        <v>3827</v>
      </c>
      <c r="D8212" s="8">
        <v>0</v>
      </c>
      <c r="E8212" s="8">
        <v>0</v>
      </c>
      <c r="F8212" s="8">
        <v>6220</v>
      </c>
    </row>
    <row r="8213" spans="1:6" ht="12.75">
      <c r="A8213" s="8">
        <v>43901.293460648143</v>
      </c>
      <c r="B8213" s="8" t="str">
        <f>HYPERLINK("https://twitter.com/Zafana5758","@Zafana5758")</f>
        <v>@Zafana5758</v>
      </c>
      <c r="C8213" s="8" t="s">
        <v>1801</v>
      </c>
      <c r="D8213" s="8">
        <v>157</v>
      </c>
      <c r="E8213" s="8">
        <v>0</v>
      </c>
      <c r="F8213" s="8">
        <v>1108</v>
      </c>
    </row>
    <row r="8214" spans="1:6" ht="12.75">
      <c r="A8214" s="8">
        <v>43901.293460648143</v>
      </c>
      <c r="B8214" s="8" t="str">
        <f>HYPERLINK("https://twitter.com/dede_ozon","@dede_ozon")</f>
        <v>@dede_ozon</v>
      </c>
      <c r="C8214" s="8" t="s">
        <v>318</v>
      </c>
      <c r="D8214" s="8">
        <v>1174</v>
      </c>
      <c r="E8214" s="8">
        <v>0</v>
      </c>
      <c r="F8214" s="8">
        <v>139</v>
      </c>
    </row>
    <row r="8215" spans="1:6" ht="12.75">
      <c r="A8215" s="8">
        <v>43901.293449074074</v>
      </c>
      <c r="B8215" s="8" t="str">
        <f>HYPERLINK("https://twitter.com/yourqueenesther","@yourqueenesther")</f>
        <v>@yourqueenesther</v>
      </c>
      <c r="C8215" s="8" t="s">
        <v>2851</v>
      </c>
      <c r="D8215" s="8">
        <v>56</v>
      </c>
      <c r="E8215" s="8">
        <v>0</v>
      </c>
      <c r="F8215" s="8">
        <v>135</v>
      </c>
    </row>
    <row r="8216" spans="1:6" ht="12.75">
      <c r="A8216" s="8">
        <v>43901.292673611111</v>
      </c>
      <c r="B8216" s="8" t="str">
        <f>HYPERLINK("https://twitter.com/ISIS_Balik_NO","@ISIS_Balik_NO")</f>
        <v>@ISIS_Balik_NO</v>
      </c>
      <c r="C8216" s="8" t="s">
        <v>3828</v>
      </c>
      <c r="D8216" s="8">
        <v>335</v>
      </c>
      <c r="E8216" s="8">
        <v>0</v>
      </c>
      <c r="F8216" s="8">
        <v>6220</v>
      </c>
    </row>
    <row r="8217" spans="1:6" ht="12.75">
      <c r="A8217" s="8">
        <v>43901.291886574079</v>
      </c>
      <c r="B8217" s="8" t="str">
        <f>HYPERLINK("https://twitter.com/putragaruda27","@putragaruda27")</f>
        <v>@putragaruda27</v>
      </c>
      <c r="C8217" s="8" t="s">
        <v>318</v>
      </c>
      <c r="D8217" s="8">
        <v>1174</v>
      </c>
      <c r="E8217" s="8">
        <v>0</v>
      </c>
      <c r="F8217" s="8">
        <v>5739</v>
      </c>
    </row>
    <row r="8218" spans="1:6" ht="12.75">
      <c r="A8218" s="8">
        <v>43901.291597222225</v>
      </c>
      <c r="B8218" s="8" t="str">
        <f>HYPERLINK("https://twitter.com/Realitarakyat01","@Realitarakyat01")</f>
        <v>@Realitarakyat01</v>
      </c>
      <c r="C8218" s="8" t="s">
        <v>3829</v>
      </c>
      <c r="D8218" s="8">
        <v>0</v>
      </c>
      <c r="E8218" s="8">
        <v>0</v>
      </c>
      <c r="F8218" s="8">
        <v>128</v>
      </c>
    </row>
    <row r="8219" spans="1:6" ht="12.75">
      <c r="A8219" s="8">
        <v>43901.291562500002</v>
      </c>
      <c r="B8219" s="8" t="str">
        <f>HYPERLINK("https://twitter.com/indra_soetedjo","@indra_soetedjo")</f>
        <v>@indra_soetedjo</v>
      </c>
      <c r="C8219" s="8" t="s">
        <v>3830</v>
      </c>
      <c r="D8219" s="8">
        <v>0</v>
      </c>
      <c r="E8219" s="8">
        <v>1</v>
      </c>
      <c r="F8219" s="8">
        <v>1353</v>
      </c>
    </row>
    <row r="8220" spans="1:6" ht="12.75">
      <c r="A8220" s="8">
        <v>43901.291203703702</v>
      </c>
      <c r="B8220" s="8" t="str">
        <f>HYPERLINK("https://twitter.com/NephiLaxmus","@NephiLaxmus")</f>
        <v>@NephiLaxmus</v>
      </c>
      <c r="C8220" s="8" t="s">
        <v>3722</v>
      </c>
      <c r="D8220" s="8">
        <v>2</v>
      </c>
      <c r="E8220" s="8">
        <v>0</v>
      </c>
      <c r="F8220" s="8">
        <v>15432</v>
      </c>
    </row>
    <row r="8221" spans="1:6" ht="12.75">
      <c r="A8221" s="8">
        <v>43901.29074074074</v>
      </c>
      <c r="B8221" s="8" t="str">
        <f>HYPERLINK("https://twitter.com/riyadh_ambary","@riyadh_ambary")</f>
        <v>@riyadh_ambary</v>
      </c>
      <c r="C8221" s="8" t="s">
        <v>3831</v>
      </c>
      <c r="D8221" s="8">
        <v>2</v>
      </c>
      <c r="E8221" s="8">
        <v>0</v>
      </c>
      <c r="F8221" s="8">
        <v>163</v>
      </c>
    </row>
    <row r="8222" spans="1:6" ht="12.75">
      <c r="A8222" s="8">
        <v>43901.290671296301</v>
      </c>
      <c r="B8222" s="8" t="str">
        <f>HYPERLINK("https://twitter.com/strawberryholyc","@strawberryholyc")</f>
        <v>@strawberryholyc</v>
      </c>
      <c r="C8222" s="8" t="s">
        <v>3832</v>
      </c>
      <c r="D8222" s="8">
        <v>0</v>
      </c>
      <c r="E8222" s="8">
        <v>0</v>
      </c>
      <c r="F8222" s="8">
        <v>335</v>
      </c>
    </row>
    <row r="8223" spans="1:6" ht="12.75">
      <c r="A8223" s="8">
        <v>43901.29042824074</v>
      </c>
      <c r="B8223" s="8" t="str">
        <f>HYPERLINK("https://twitter.com/hbdn32","@hbdn32")</f>
        <v>@hbdn32</v>
      </c>
      <c r="C8223" s="8" t="s">
        <v>3265</v>
      </c>
      <c r="D8223" s="8">
        <v>552</v>
      </c>
      <c r="E8223" s="8">
        <v>0</v>
      </c>
      <c r="F8223" s="8">
        <v>107</v>
      </c>
    </row>
    <row r="8224" spans="1:6" ht="12.75">
      <c r="A8224" s="8">
        <v>43901.290381944447</v>
      </c>
      <c r="B8224" s="8" t="str">
        <f>HYPERLINK("https://twitter.com/ISIS_Balik_NO","@ISIS_Balik_NO")</f>
        <v>@ISIS_Balik_NO</v>
      </c>
      <c r="C8224" s="8" t="s">
        <v>3833</v>
      </c>
      <c r="D8224" s="8">
        <v>0</v>
      </c>
      <c r="E8224" s="8">
        <v>1</v>
      </c>
      <c r="F8224" s="8">
        <v>6220</v>
      </c>
    </row>
    <row r="8225" spans="1:6" ht="12.75">
      <c r="A8225" s="8">
        <v>43901.290347222224</v>
      </c>
      <c r="B8225" s="8" t="str">
        <f>HYPERLINK("https://twitter.com/fattyadi","@fattyadi")</f>
        <v>@fattyadi</v>
      </c>
      <c r="C8225" s="8" t="s">
        <v>1186</v>
      </c>
      <c r="D8225" s="8">
        <v>202</v>
      </c>
      <c r="E8225" s="8">
        <v>0</v>
      </c>
      <c r="F8225" s="8">
        <v>334</v>
      </c>
    </row>
    <row r="8226" spans="1:6" ht="12.75">
      <c r="A8226" s="8">
        <v>43901.290312500001</v>
      </c>
      <c r="B8226" s="8" t="str">
        <f>HYPERLINK("https://twitter.com/nugrohorofil86","@nugrohorofil86")</f>
        <v>@nugrohorofil86</v>
      </c>
      <c r="C8226" s="8" t="s">
        <v>1801</v>
      </c>
      <c r="D8226" s="8">
        <v>157</v>
      </c>
      <c r="E8226" s="8">
        <v>0</v>
      </c>
      <c r="F8226" s="8">
        <v>74</v>
      </c>
    </row>
    <row r="8227" spans="1:6" ht="12.75">
      <c r="A8227" s="8">
        <v>43901.289768518516</v>
      </c>
      <c r="B8227" s="8" t="str">
        <f>HYPERLINK("https://twitter.com/laut_selatan79","@laut_selatan79")</f>
        <v>@laut_selatan79</v>
      </c>
      <c r="C8227" s="8" t="s">
        <v>318</v>
      </c>
      <c r="D8227" s="8">
        <v>1174</v>
      </c>
      <c r="E8227" s="8">
        <v>0</v>
      </c>
      <c r="F8227" s="8">
        <v>28</v>
      </c>
    </row>
    <row r="8228" spans="1:6" ht="12.75">
      <c r="A8228" s="8">
        <v>43901.289629629631</v>
      </c>
      <c r="B8228" s="8" t="str">
        <f>HYPERLINK("https://twitter.com/1hsan","@1hsan")</f>
        <v>@1hsan</v>
      </c>
      <c r="C8228" s="8" t="s">
        <v>2537</v>
      </c>
      <c r="D8228" s="8">
        <v>38</v>
      </c>
      <c r="E8228" s="8">
        <v>0</v>
      </c>
      <c r="F8228" s="8">
        <v>239</v>
      </c>
    </row>
    <row r="8229" spans="1:6" ht="12.75">
      <c r="A8229" s="8">
        <v>43901.289537037039</v>
      </c>
      <c r="B8229" s="8" t="str">
        <f>HYPERLINK("https://twitter.com/ganafmargi","@ganafmargi")</f>
        <v>@ganafmargi</v>
      </c>
      <c r="C8229" s="8" t="s">
        <v>3834</v>
      </c>
      <c r="D8229" s="8">
        <v>0</v>
      </c>
      <c r="E8229" s="8">
        <v>0</v>
      </c>
      <c r="F8229" s="8">
        <v>548</v>
      </c>
    </row>
    <row r="8230" spans="1:6" ht="12.75">
      <c r="A8230" s="8">
        <v>43901.289409722223</v>
      </c>
      <c r="B8230" s="8" t="str">
        <f>HYPERLINK("https://twitter.com/auranalar","@auranalar")</f>
        <v>@auranalar</v>
      </c>
      <c r="C8230" s="8" t="s">
        <v>1801</v>
      </c>
      <c r="D8230" s="8">
        <v>157</v>
      </c>
      <c r="E8230" s="8">
        <v>0</v>
      </c>
      <c r="F8230" s="8">
        <v>259</v>
      </c>
    </row>
    <row r="8231" spans="1:6" ht="12.75">
      <c r="A8231" s="8">
        <v>43901.2887037037</v>
      </c>
      <c r="B8231" s="8" t="str">
        <f>HYPERLINK("https://twitter.com/DoniSatriawan8","@DoniSatriawan8")</f>
        <v>@DoniSatriawan8</v>
      </c>
      <c r="C8231" s="8" t="s">
        <v>1801</v>
      </c>
      <c r="D8231" s="8">
        <v>157</v>
      </c>
      <c r="E8231" s="8">
        <v>0</v>
      </c>
      <c r="F8231" s="8">
        <v>57</v>
      </c>
    </row>
    <row r="8232" spans="1:6" ht="12.75">
      <c r="A8232" s="8">
        <v>43901.288645833338</v>
      </c>
      <c r="B8232" s="8" t="str">
        <f>HYPERLINK("https://twitter.com/RazakZamman","@RazakZamman")</f>
        <v>@RazakZamman</v>
      </c>
      <c r="C8232" s="8" t="s">
        <v>318</v>
      </c>
      <c r="D8232" s="8">
        <v>1174</v>
      </c>
      <c r="E8232" s="8">
        <v>0</v>
      </c>
      <c r="F8232" s="8">
        <v>14</v>
      </c>
    </row>
    <row r="8233" spans="1:6" ht="12.75">
      <c r="A8233" s="8">
        <v>43901.287638888884</v>
      </c>
      <c r="B8233" s="8" t="str">
        <f>HYPERLINK("https://twitter.com/ImHARaheem","@ImHARaheem")</f>
        <v>@ImHARaheem</v>
      </c>
      <c r="C8233" s="8" t="s">
        <v>1186</v>
      </c>
      <c r="D8233" s="8">
        <v>202</v>
      </c>
      <c r="E8233" s="8">
        <v>0</v>
      </c>
      <c r="F8233" s="8">
        <v>417</v>
      </c>
    </row>
    <row r="8234" spans="1:6" ht="12.75">
      <c r="A8234" s="8">
        <v>43901.287488425922</v>
      </c>
      <c r="B8234" s="8" t="str">
        <f>HYPERLINK("https://twitter.com/bumburampai","@bumburampai")</f>
        <v>@bumburampai</v>
      </c>
      <c r="C8234" s="8" t="s">
        <v>318</v>
      </c>
      <c r="D8234" s="8">
        <v>1174</v>
      </c>
      <c r="E8234" s="8">
        <v>0</v>
      </c>
      <c r="F8234" s="8">
        <v>21</v>
      </c>
    </row>
    <row r="8235" spans="1:6" ht="12.75">
      <c r="A8235" s="8">
        <v>43901.287349537037</v>
      </c>
      <c r="B8235" s="8" t="str">
        <f>HYPERLINK("https://twitter.com/uwitbesiar","@uwitbesiar")</f>
        <v>@uwitbesiar</v>
      </c>
      <c r="C8235" s="8" t="s">
        <v>1801</v>
      </c>
      <c r="D8235" s="8">
        <v>157</v>
      </c>
      <c r="E8235" s="8">
        <v>0</v>
      </c>
      <c r="F8235" s="8">
        <v>148</v>
      </c>
    </row>
    <row r="8236" spans="1:6" ht="12.75">
      <c r="A8236" s="8">
        <v>43901.287002314813</v>
      </c>
      <c r="B8236" s="8" t="str">
        <f>HYPERLINK("https://twitter.com/tjok_gD","@tjok_gD")</f>
        <v>@tjok_gD</v>
      </c>
      <c r="C8236" s="8" t="s">
        <v>1801</v>
      </c>
      <c r="D8236" s="8">
        <v>157</v>
      </c>
      <c r="E8236" s="8">
        <v>0</v>
      </c>
      <c r="F8236" s="8">
        <v>555</v>
      </c>
    </row>
    <row r="8237" spans="1:6" ht="12.75">
      <c r="A8237" s="8">
        <v>43901.285925925928</v>
      </c>
      <c r="B8237" s="8" t="str">
        <f>HYPERLINK("https://twitter.com/_Thiscreamynasi","@_Thiscreamynasi")</f>
        <v>@_Thiscreamynasi</v>
      </c>
      <c r="C8237" s="8" t="s">
        <v>3835</v>
      </c>
      <c r="D8237" s="8">
        <v>0</v>
      </c>
      <c r="E8237" s="8">
        <v>0</v>
      </c>
      <c r="F8237" s="8">
        <v>1127</v>
      </c>
    </row>
    <row r="8238" spans="1:6" ht="12.75">
      <c r="A8238" s="8">
        <v>43901.285844907412</v>
      </c>
      <c r="B8238" s="8" t="str">
        <f>HYPERLINK("https://twitter.com/ISIS_Balik_NO","@ISIS_Balik_NO")</f>
        <v>@ISIS_Balik_NO</v>
      </c>
      <c r="C8238" s="8" t="s">
        <v>3836</v>
      </c>
      <c r="D8238" s="8">
        <v>0</v>
      </c>
      <c r="E8238" s="8">
        <v>1</v>
      </c>
      <c r="F8238" s="8">
        <v>6220</v>
      </c>
    </row>
    <row r="8239" spans="1:6" ht="12.75">
      <c r="A8239" s="8">
        <v>43901.285763888889</v>
      </c>
      <c r="B8239" s="8" t="str">
        <f>HYPERLINK("https://twitter.com/Stefhan12628699","@Stefhan12628699")</f>
        <v>@Stefhan12628699</v>
      </c>
      <c r="C8239" s="8" t="s">
        <v>318</v>
      </c>
      <c r="D8239" s="8">
        <v>1174</v>
      </c>
      <c r="E8239" s="8">
        <v>0</v>
      </c>
      <c r="F8239" s="8">
        <v>2212</v>
      </c>
    </row>
    <row r="8240" spans="1:6" ht="12.75">
      <c r="A8240" s="8">
        <v>43901.285682870366</v>
      </c>
      <c r="B8240" s="8" t="str">
        <f>HYPERLINK("https://twitter.com/vin_ergee","@vin_ergee")</f>
        <v>@vin_ergee</v>
      </c>
      <c r="C8240" s="8" t="s">
        <v>318</v>
      </c>
      <c r="D8240" s="8">
        <v>1174</v>
      </c>
      <c r="E8240" s="8">
        <v>0</v>
      </c>
      <c r="F8240" s="8">
        <v>1325</v>
      </c>
    </row>
    <row r="8241" spans="1:6" ht="12.75">
      <c r="A8241" s="8">
        <v>43901.285578703704</v>
      </c>
      <c r="B8241" s="8" t="str">
        <f>HYPERLINK("https://twitter.com/InggitBanyu","@InggitBanyu")</f>
        <v>@InggitBanyu</v>
      </c>
      <c r="C8241" s="8" t="s">
        <v>318</v>
      </c>
      <c r="D8241" s="8">
        <v>1174</v>
      </c>
      <c r="E8241" s="8">
        <v>0</v>
      </c>
      <c r="F8241" s="8">
        <v>1347</v>
      </c>
    </row>
    <row r="8242" spans="1:6" ht="12.75">
      <c r="A8242" s="8">
        <v>43901.285520833335</v>
      </c>
      <c r="B8242" s="8" t="str">
        <f>HYPERLINK("https://twitter.com/aripin_moh11","@aripin_moh11")</f>
        <v>@aripin_moh11</v>
      </c>
      <c r="C8242" s="8" t="s">
        <v>3190</v>
      </c>
      <c r="D8242" s="8">
        <v>144</v>
      </c>
      <c r="E8242" s="8">
        <v>0</v>
      </c>
      <c r="F8242" s="8">
        <v>196</v>
      </c>
    </row>
    <row r="8243" spans="1:6" ht="12.75">
      <c r="A8243" s="8">
        <v>43901.285162037035</v>
      </c>
      <c r="B8243" s="8" t="str">
        <f>HYPERLINK("https://twitter.com/Fredy_Santana01","@Fredy_Santana01")</f>
        <v>@Fredy_Santana01</v>
      </c>
      <c r="C8243" s="8" t="s">
        <v>318</v>
      </c>
      <c r="D8243" s="8">
        <v>1174</v>
      </c>
      <c r="E8243" s="8">
        <v>0</v>
      </c>
      <c r="F8243" s="8">
        <v>1716</v>
      </c>
    </row>
    <row r="8244" spans="1:6" ht="12.75">
      <c r="A8244" s="8">
        <v>43901.284803240742</v>
      </c>
      <c r="B8244" s="8" t="str">
        <f>HYPERLINK("https://twitter.com/NJunawar","@NJunawar")</f>
        <v>@NJunawar</v>
      </c>
      <c r="C8244" s="8" t="s">
        <v>1186</v>
      </c>
      <c r="D8244" s="8">
        <v>202</v>
      </c>
      <c r="E8244" s="8">
        <v>0</v>
      </c>
      <c r="F8244" s="8">
        <v>66</v>
      </c>
    </row>
    <row r="8245" spans="1:6" ht="12.75">
      <c r="A8245" s="8">
        <v>43901.28460648148</v>
      </c>
      <c r="B8245" s="8" t="str">
        <f>HYPERLINK("https://twitter.com/Ndoro_Raghil","@Ndoro_Raghil")</f>
        <v>@Ndoro_Raghil</v>
      </c>
      <c r="C8245" s="8" t="s">
        <v>1186</v>
      </c>
      <c r="D8245" s="8">
        <v>202</v>
      </c>
      <c r="E8245" s="8">
        <v>0</v>
      </c>
      <c r="F8245" s="8">
        <v>24046</v>
      </c>
    </row>
    <row r="8246" spans="1:6" ht="12.75">
      <c r="A8246" s="8">
        <v>43901.284120370372</v>
      </c>
      <c r="B8246" s="8" t="str">
        <f>HYPERLINK("https://twitter.com/ISIS_Balik_NO","@ISIS_Balik_NO")</f>
        <v>@ISIS_Balik_NO</v>
      </c>
      <c r="C8246" s="8" t="s">
        <v>3837</v>
      </c>
      <c r="D8246" s="8">
        <v>36</v>
      </c>
      <c r="E8246" s="8">
        <v>0</v>
      </c>
      <c r="F8246" s="8">
        <v>6220</v>
      </c>
    </row>
    <row r="8247" spans="1:6" ht="12.75">
      <c r="A8247" s="8">
        <v>43901.284097222218</v>
      </c>
      <c r="B8247" s="8" t="str">
        <f>HYPERLINK("https://twitter.com/agungsrir","@agungsrir")</f>
        <v>@agungsrir</v>
      </c>
      <c r="C8247" s="8" t="s">
        <v>318</v>
      </c>
      <c r="D8247" s="8">
        <v>1174</v>
      </c>
      <c r="E8247" s="8">
        <v>0</v>
      </c>
      <c r="F8247" s="8">
        <v>20</v>
      </c>
    </row>
    <row r="8248" spans="1:6" ht="12.75">
      <c r="A8248" s="8">
        <v>43901.283668981487</v>
      </c>
      <c r="B8248" s="8" t="str">
        <f>HYPERLINK("https://twitter.com/Aren26944250","@Aren26944250")</f>
        <v>@Aren26944250</v>
      </c>
      <c r="C8248" s="8" t="s">
        <v>318</v>
      </c>
      <c r="D8248" s="8">
        <v>1174</v>
      </c>
      <c r="E8248" s="8">
        <v>0</v>
      </c>
      <c r="F8248" s="8">
        <v>130</v>
      </c>
    </row>
    <row r="8249" spans="1:6" ht="12.75">
      <c r="A8249" s="8">
        <v>43901.283622685187</v>
      </c>
      <c r="B8249" s="8" t="str">
        <f>HYPERLINK("https://twitter.com/Hendrasugandi","@Hendrasugandi")</f>
        <v>@Hendrasugandi</v>
      </c>
      <c r="C8249" s="8" t="s">
        <v>3838</v>
      </c>
      <c r="D8249" s="8">
        <v>0</v>
      </c>
      <c r="E8249" s="8">
        <v>1</v>
      </c>
      <c r="F8249" s="8">
        <v>372</v>
      </c>
    </row>
    <row r="8250" spans="1:6" ht="12.75">
      <c r="A8250" s="8">
        <v>43901.283356481479</v>
      </c>
      <c r="B8250" s="8" t="str">
        <f>HYPERLINK("https://twitter.com/Fredy_Santana01","@Fredy_Santana01")</f>
        <v>@Fredy_Santana01</v>
      </c>
      <c r="C8250" s="8" t="s">
        <v>2537</v>
      </c>
      <c r="D8250" s="8">
        <v>38</v>
      </c>
      <c r="E8250" s="8">
        <v>0</v>
      </c>
      <c r="F8250" s="8">
        <v>1716</v>
      </c>
    </row>
    <row r="8251" spans="1:6" ht="12.75">
      <c r="A8251" s="8">
        <v>43901.28125</v>
      </c>
      <c r="B8251" s="8" t="str">
        <f>HYPERLINK("https://twitter.com/neraka_jarum","@neraka_jarum")</f>
        <v>@neraka_jarum</v>
      </c>
      <c r="C8251" s="8" t="s">
        <v>1186</v>
      </c>
      <c r="D8251" s="8">
        <v>202</v>
      </c>
      <c r="E8251" s="8">
        <v>0</v>
      </c>
      <c r="F8251" s="8">
        <v>377</v>
      </c>
    </row>
    <row r="8252" spans="1:6" ht="12.75">
      <c r="A8252" s="8">
        <v>43901.280428240745</v>
      </c>
      <c r="B8252" s="8" t="str">
        <f>HYPERLINK("https://twitter.com/AmarulYusron","@AmarulYusron")</f>
        <v>@AmarulYusron</v>
      </c>
      <c r="C8252" s="8" t="s">
        <v>1801</v>
      </c>
      <c r="D8252" s="8">
        <v>157</v>
      </c>
      <c r="E8252" s="8">
        <v>0</v>
      </c>
      <c r="F8252" s="8">
        <v>45</v>
      </c>
    </row>
    <row r="8253" spans="1:6" ht="12.75">
      <c r="A8253" s="8">
        <v>43901.279942129629</v>
      </c>
      <c r="B8253" s="8" t="str">
        <f>HYPERLINK("https://twitter.com/majoindonew","@majoindonew")</f>
        <v>@majoindonew</v>
      </c>
      <c r="C8253" s="8" t="s">
        <v>3820</v>
      </c>
      <c r="D8253" s="8">
        <v>39</v>
      </c>
      <c r="E8253" s="8">
        <v>0</v>
      </c>
      <c r="F8253" s="8">
        <v>51</v>
      </c>
    </row>
    <row r="8254" spans="1:6" ht="12.75">
      <c r="A8254" s="8">
        <v>43901.27988425926</v>
      </c>
      <c r="B8254" s="8" t="str">
        <f>HYPERLINK("https://twitter.com/niwayananggie","@niwayananggie")</f>
        <v>@niwayananggie</v>
      </c>
      <c r="C8254" s="8" t="s">
        <v>3839</v>
      </c>
      <c r="D8254" s="8">
        <v>0</v>
      </c>
      <c r="E8254" s="8">
        <v>0</v>
      </c>
      <c r="F8254" s="8">
        <v>1321</v>
      </c>
    </row>
    <row r="8255" spans="1:6" ht="12.75">
      <c r="A8255" s="8">
        <v>43901.279780092591</v>
      </c>
      <c r="B8255" s="8" t="str">
        <f t="shared" ref="B8255:B8256" si="144">HYPERLINK("https://twitter.com/ISIS_Balik_NO","@ISIS_Balik_NO")</f>
        <v>@ISIS_Balik_NO</v>
      </c>
      <c r="C8255" s="8" t="s">
        <v>3840</v>
      </c>
      <c r="D8255" s="8">
        <v>3</v>
      </c>
      <c r="E8255" s="8">
        <v>0</v>
      </c>
      <c r="F8255" s="8">
        <v>6220</v>
      </c>
    </row>
    <row r="8256" spans="1:6" ht="12.75">
      <c r="A8256" s="8">
        <v>43901.279479166667</v>
      </c>
      <c r="B8256" s="8" t="str">
        <f t="shared" si="144"/>
        <v>@ISIS_Balik_NO</v>
      </c>
      <c r="C8256" s="8" t="s">
        <v>3841</v>
      </c>
      <c r="D8256" s="8">
        <v>1</v>
      </c>
      <c r="E8256" s="8">
        <v>0</v>
      </c>
      <c r="F8256" s="8">
        <v>6220</v>
      </c>
    </row>
    <row r="8257" spans="1:6" ht="12.75">
      <c r="A8257" s="8">
        <v>43901.279293981483</v>
      </c>
      <c r="B8257" s="8" t="str">
        <f>HYPERLINK("https://twitter.com/ugisugiharto","@ugisugiharto")</f>
        <v>@ugisugiharto</v>
      </c>
      <c r="C8257" s="8" t="s">
        <v>1801</v>
      </c>
      <c r="D8257" s="8">
        <v>157</v>
      </c>
      <c r="E8257" s="8">
        <v>0</v>
      </c>
      <c r="F8257" s="8">
        <v>3595</v>
      </c>
    </row>
    <row r="8258" spans="1:6" ht="12.75">
      <c r="A8258" s="8">
        <v>43901.279166666667</v>
      </c>
      <c r="B8258" s="8" t="str">
        <f>HYPERLINK("https://twitter.com/cece_fakhruddin","@cece_fakhruddin")</f>
        <v>@cece_fakhruddin</v>
      </c>
      <c r="C8258" s="8" t="s">
        <v>1186</v>
      </c>
      <c r="D8258" s="8">
        <v>202</v>
      </c>
      <c r="E8258" s="8">
        <v>0</v>
      </c>
      <c r="F8258" s="8">
        <v>89</v>
      </c>
    </row>
    <row r="8259" spans="1:6" ht="12.75">
      <c r="A8259" s="8">
        <v>43901.279143518521</v>
      </c>
      <c r="B8259" s="8" t="str">
        <f>HYPERLINK("https://twitter.com/ISIS_Balik_NO","@ISIS_Balik_NO")</f>
        <v>@ISIS_Balik_NO</v>
      </c>
      <c r="C8259" s="8" t="s">
        <v>3842</v>
      </c>
      <c r="D8259" s="8">
        <v>59</v>
      </c>
      <c r="E8259" s="8">
        <v>0</v>
      </c>
      <c r="F8259" s="8">
        <v>6220</v>
      </c>
    </row>
    <row r="8260" spans="1:6" ht="12.75">
      <c r="A8260" s="8">
        <v>43901.279027777782</v>
      </c>
      <c r="B8260" s="8" t="str">
        <f>HYPERLINK("https://twitter.com/bm_pij","@bm_pij")</f>
        <v>@bm_pij</v>
      </c>
      <c r="C8260" s="8" t="s">
        <v>3843</v>
      </c>
      <c r="D8260" s="8">
        <v>0</v>
      </c>
      <c r="E8260" s="8">
        <v>0</v>
      </c>
      <c r="F8260" s="8">
        <v>56</v>
      </c>
    </row>
    <row r="8261" spans="1:6" ht="12.75">
      <c r="A8261" s="8">
        <v>43901.278807870374</v>
      </c>
      <c r="B8261" s="8" t="str">
        <f>HYPERLINK("https://twitter.com/neraka_jarum","@neraka_jarum")</f>
        <v>@neraka_jarum</v>
      </c>
      <c r="C8261" s="8" t="s">
        <v>318</v>
      </c>
      <c r="D8261" s="8">
        <v>1174</v>
      </c>
      <c r="E8261" s="8">
        <v>0</v>
      </c>
      <c r="F8261" s="8">
        <v>377</v>
      </c>
    </row>
    <row r="8262" spans="1:6" ht="12.75">
      <c r="A8262" s="8">
        <v>43901.278680555552</v>
      </c>
      <c r="B8262" s="8" t="str">
        <f>HYPERLINK("https://twitter.com/TheasBalai","@TheasBalai")</f>
        <v>@TheasBalai</v>
      </c>
      <c r="C8262" s="8" t="s">
        <v>1801</v>
      </c>
      <c r="D8262" s="8">
        <v>157</v>
      </c>
      <c r="E8262" s="8">
        <v>0</v>
      </c>
      <c r="F8262" s="8">
        <v>2224</v>
      </c>
    </row>
    <row r="8263" spans="1:6" ht="12.75">
      <c r="A8263" s="8">
        <v>43901.278668981482</v>
      </c>
      <c r="B8263" s="8" t="str">
        <f>HYPERLINK("https://twitter.com/Syahrez22597165","@Syahrez22597165")</f>
        <v>@Syahrez22597165</v>
      </c>
      <c r="C8263" s="8" t="s">
        <v>1186</v>
      </c>
      <c r="D8263" s="8">
        <v>202</v>
      </c>
      <c r="E8263" s="8">
        <v>0</v>
      </c>
      <c r="F8263" s="8">
        <v>53</v>
      </c>
    </row>
    <row r="8264" spans="1:6" ht="12.75">
      <c r="A8264" s="8">
        <v>43901.278425925921</v>
      </c>
      <c r="B8264" s="8" t="str">
        <f>HYPERLINK("https://twitter.com/fias_rawna","@fias_rawna")</f>
        <v>@fias_rawna</v>
      </c>
      <c r="C8264" s="8" t="s">
        <v>318</v>
      </c>
      <c r="D8264" s="8">
        <v>1174</v>
      </c>
      <c r="E8264" s="8">
        <v>0</v>
      </c>
      <c r="F8264" s="8">
        <v>178</v>
      </c>
    </row>
    <row r="8265" spans="1:6" ht="12.75">
      <c r="A8265" s="8">
        <v>43901.278194444443</v>
      </c>
      <c r="B8265" s="8" t="str">
        <f>HYPERLINK("https://twitter.com/1hsan","@1hsan")</f>
        <v>@1hsan</v>
      </c>
      <c r="C8265" s="8" t="s">
        <v>3844</v>
      </c>
      <c r="D8265" s="8">
        <v>2</v>
      </c>
      <c r="E8265" s="8">
        <v>0</v>
      </c>
      <c r="F8265" s="8">
        <v>239</v>
      </c>
    </row>
    <row r="8266" spans="1:6" ht="12.75">
      <c r="A8266" s="8">
        <v>43901.277997685189</v>
      </c>
      <c r="B8266" s="8" t="str">
        <f>HYPERLINK("https://twitter.com/andi_btg","@andi_btg")</f>
        <v>@andi_btg</v>
      </c>
      <c r="C8266" s="8" t="s">
        <v>318</v>
      </c>
      <c r="D8266" s="8">
        <v>1174</v>
      </c>
      <c r="E8266" s="8">
        <v>0</v>
      </c>
      <c r="F8266" s="8">
        <v>3510</v>
      </c>
    </row>
    <row r="8267" spans="1:6" ht="12.75">
      <c r="A8267" s="8">
        <v>43901.277743055558</v>
      </c>
      <c r="B8267" s="8" t="str">
        <f>HYPERLINK("https://twitter.com/INAEmbAUS","@INAEmbAUS")</f>
        <v>@INAEmbAUS</v>
      </c>
      <c r="C8267" s="8" t="s">
        <v>2851</v>
      </c>
      <c r="D8267" s="8">
        <v>56</v>
      </c>
      <c r="E8267" s="8">
        <v>0</v>
      </c>
      <c r="F8267" s="8">
        <v>4590</v>
      </c>
    </row>
    <row r="8268" spans="1:6" ht="12.75">
      <c r="A8268" s="8">
        <v>43901.277326388888</v>
      </c>
      <c r="B8268" s="8" t="str">
        <f>HYPERLINK("https://twitter.com/Wahyudi_Ss","@Wahyudi_Ss")</f>
        <v>@Wahyudi_Ss</v>
      </c>
      <c r="C8268" s="8" t="s">
        <v>318</v>
      </c>
      <c r="D8268" s="8">
        <v>1174</v>
      </c>
      <c r="E8268" s="8">
        <v>0</v>
      </c>
      <c r="F8268" s="8">
        <v>616</v>
      </c>
    </row>
    <row r="8269" spans="1:6" ht="12.75">
      <c r="A8269" s="8">
        <v>43901.27716435185</v>
      </c>
      <c r="B8269" s="8" t="str">
        <f>HYPERLINK("https://twitter.com/Andriya29268057","@Andriya29268057")</f>
        <v>@Andriya29268057</v>
      </c>
      <c r="C8269" s="8" t="s">
        <v>318</v>
      </c>
      <c r="D8269" s="8">
        <v>1174</v>
      </c>
      <c r="E8269" s="8">
        <v>0</v>
      </c>
      <c r="F8269" s="8">
        <v>67</v>
      </c>
    </row>
    <row r="8270" spans="1:6" ht="12.75">
      <c r="A8270" s="8">
        <v>43901.276863425926</v>
      </c>
      <c r="B8270" s="8" t="str">
        <f>HYPERLINK("https://twitter.com/Kent40365342","@Kent40365342")</f>
        <v>@Kent40365342</v>
      </c>
      <c r="C8270" s="8" t="s">
        <v>3845</v>
      </c>
      <c r="D8270" s="8">
        <v>0</v>
      </c>
      <c r="E8270" s="8">
        <v>0</v>
      </c>
      <c r="F8270" s="8">
        <v>25</v>
      </c>
    </row>
    <row r="8271" spans="1:6" ht="12.75">
      <c r="A8271" s="8">
        <v>43901.276354166665</v>
      </c>
      <c r="B8271" s="8" t="str">
        <f>HYPERLINK("https://twitter.com/suko_sahabat","@suko_sahabat")</f>
        <v>@suko_sahabat</v>
      </c>
      <c r="C8271" s="8" t="s">
        <v>318</v>
      </c>
      <c r="D8271" s="8">
        <v>1174</v>
      </c>
      <c r="E8271" s="8">
        <v>0</v>
      </c>
      <c r="F8271" s="8">
        <v>335</v>
      </c>
    </row>
    <row r="8272" spans="1:6" ht="12.75">
      <c r="A8272" s="8">
        <v>43901.275949074072</v>
      </c>
      <c r="B8272" s="8" t="str">
        <f>HYPERLINK("https://twitter.com/MedanTownChinas","@MedanTownChinas")</f>
        <v>@MedanTownChinas</v>
      </c>
      <c r="C8272" s="8" t="s">
        <v>295</v>
      </c>
      <c r="D8272" s="8">
        <v>79</v>
      </c>
      <c r="E8272" s="8">
        <v>0</v>
      </c>
      <c r="F8272" s="8">
        <v>1396</v>
      </c>
    </row>
    <row r="8273" spans="1:6" ht="12.75">
      <c r="A8273" s="8">
        <v>43901.275775462964</v>
      </c>
      <c r="B8273" s="8" t="str">
        <f>HYPERLINK("https://twitter.com/Alexand93109466","@Alexand93109466")</f>
        <v>@Alexand93109466</v>
      </c>
      <c r="C8273" s="8" t="s">
        <v>318</v>
      </c>
      <c r="D8273" s="8">
        <v>1174</v>
      </c>
      <c r="E8273" s="8">
        <v>0</v>
      </c>
      <c r="F8273" s="8">
        <v>258</v>
      </c>
    </row>
    <row r="8274" spans="1:6" ht="12.75">
      <c r="A8274" s="8">
        <v>43901.275694444441</v>
      </c>
      <c r="B8274" s="8" t="str">
        <f>HYPERLINK("https://twitter.com/nawandra","@nawandra")</f>
        <v>@nawandra</v>
      </c>
      <c r="C8274" s="8" t="s">
        <v>318</v>
      </c>
      <c r="D8274" s="8">
        <v>1174</v>
      </c>
      <c r="E8274" s="8">
        <v>0</v>
      </c>
      <c r="F8274" s="8">
        <v>249</v>
      </c>
    </row>
    <row r="8275" spans="1:6" ht="12.75">
      <c r="A8275" s="8">
        <v>43901.274837962963</v>
      </c>
      <c r="B8275" s="8" t="str">
        <f>HYPERLINK("https://twitter.com/arrywiyono","@arrywiyono")</f>
        <v>@arrywiyono</v>
      </c>
      <c r="C8275" s="8" t="s">
        <v>318</v>
      </c>
      <c r="D8275" s="8">
        <v>1174</v>
      </c>
      <c r="E8275" s="8">
        <v>0</v>
      </c>
      <c r="F8275" s="8">
        <v>67</v>
      </c>
    </row>
    <row r="8276" spans="1:6" ht="12.75">
      <c r="A8276" s="8">
        <v>43901.274386574078</v>
      </c>
      <c r="B8276" s="8" t="str">
        <f>HYPERLINK("https://twitter.com/integrity160171","@integrity160171")</f>
        <v>@integrity160171</v>
      </c>
      <c r="C8276" s="8" t="s">
        <v>1186</v>
      </c>
      <c r="D8276" s="8">
        <v>202</v>
      </c>
      <c r="E8276" s="8">
        <v>0</v>
      </c>
      <c r="F8276" s="8">
        <v>499</v>
      </c>
    </row>
    <row r="8277" spans="1:6" ht="12.75">
      <c r="A8277" s="8">
        <v>43901.274259259255</v>
      </c>
      <c r="B8277" s="8" t="str">
        <f>HYPERLINK("https://twitter.com/DoriBose","@DoriBose")</f>
        <v>@DoriBose</v>
      </c>
      <c r="C8277" s="8" t="s">
        <v>1801</v>
      </c>
      <c r="D8277" s="8">
        <v>157</v>
      </c>
      <c r="E8277" s="8">
        <v>0</v>
      </c>
      <c r="F8277" s="8">
        <v>259</v>
      </c>
    </row>
    <row r="8278" spans="1:6" ht="12.75">
      <c r="A8278" s="8">
        <v>43901.273993055554</v>
      </c>
      <c r="B8278" s="8" t="str">
        <f>HYPERLINK("https://twitter.com/PangaloanRizal","@PangaloanRizal")</f>
        <v>@PangaloanRizal</v>
      </c>
      <c r="C8278" s="8" t="s">
        <v>318</v>
      </c>
      <c r="D8278" s="8">
        <v>1174</v>
      </c>
      <c r="E8278" s="8">
        <v>0</v>
      </c>
      <c r="F8278" s="8">
        <v>354</v>
      </c>
    </row>
    <row r="8279" spans="1:6" ht="12.75">
      <c r="A8279" s="8">
        <v>43901.273553240739</v>
      </c>
      <c r="B8279" s="8" t="str">
        <f>HYPERLINK("https://twitter.com/retno000000","@retno000000")</f>
        <v>@retno000000</v>
      </c>
      <c r="C8279" s="8" t="s">
        <v>1801</v>
      </c>
      <c r="D8279" s="8">
        <v>157</v>
      </c>
      <c r="E8279" s="8">
        <v>0</v>
      </c>
      <c r="F8279" s="8">
        <v>9</v>
      </c>
    </row>
    <row r="8280" spans="1:6" ht="12.75">
      <c r="A8280" s="8">
        <v>43901.2731712963</v>
      </c>
      <c r="B8280" s="8" t="str">
        <f>HYPERLINK("https://twitter.com/kadiyono","@kadiyono")</f>
        <v>@kadiyono</v>
      </c>
      <c r="C8280" s="8" t="s">
        <v>1304</v>
      </c>
      <c r="D8280" s="8">
        <v>9</v>
      </c>
      <c r="E8280" s="8">
        <v>0</v>
      </c>
      <c r="F8280" s="8">
        <v>1684</v>
      </c>
    </row>
    <row r="8281" spans="1:6" ht="12.75">
      <c r="A8281" s="8">
        <v>43901.272939814815</v>
      </c>
      <c r="B8281" s="8" t="str">
        <f>HYPERLINK("https://twitter.com/SydSalesman","@SydSalesman")</f>
        <v>@SydSalesman</v>
      </c>
      <c r="C8281" s="8" t="s">
        <v>1801</v>
      </c>
      <c r="D8281" s="8">
        <v>157</v>
      </c>
      <c r="E8281" s="8">
        <v>0</v>
      </c>
      <c r="F8281" s="8">
        <v>6267</v>
      </c>
    </row>
    <row r="8282" spans="1:6" ht="12.75">
      <c r="A8282" s="8">
        <v>43901.272881944446</v>
      </c>
      <c r="B8282" s="8" t="str">
        <f>HYPERLINK("https://twitter.com/MWB57312251","@MWB57312251")</f>
        <v>@MWB57312251</v>
      </c>
      <c r="C8282" s="8" t="s">
        <v>1186</v>
      </c>
      <c r="D8282" s="8">
        <v>202</v>
      </c>
      <c r="E8282" s="8">
        <v>0</v>
      </c>
      <c r="F8282" s="8">
        <v>50</v>
      </c>
    </row>
    <row r="8283" spans="1:6" ht="12.75">
      <c r="A8283" s="8">
        <v>43901.272673611107</v>
      </c>
      <c r="B8283" s="8" t="str">
        <f>HYPERLINK("https://twitter.com/buwahplum","@buwahplum")</f>
        <v>@buwahplum</v>
      </c>
      <c r="C8283" s="8" t="s">
        <v>3050</v>
      </c>
      <c r="D8283" s="8">
        <v>142</v>
      </c>
      <c r="E8283" s="8">
        <v>0</v>
      </c>
      <c r="F8283" s="8">
        <v>321</v>
      </c>
    </row>
    <row r="8284" spans="1:6" ht="12.75">
      <c r="A8284" s="8">
        <v>43901.272372685184</v>
      </c>
      <c r="B8284" s="8" t="str">
        <f>HYPERLINK("https://twitter.com/SamsulB91513613","@SamsulB91513613")</f>
        <v>@SamsulB91513613</v>
      </c>
      <c r="C8284" s="8" t="s">
        <v>1801</v>
      </c>
      <c r="D8284" s="8">
        <v>157</v>
      </c>
      <c r="E8284" s="8">
        <v>0</v>
      </c>
      <c r="F8284" s="8">
        <v>308</v>
      </c>
    </row>
    <row r="8285" spans="1:6" ht="12.75">
      <c r="A8285" s="8">
        <v>43901.256562499999</v>
      </c>
      <c r="B8285" s="8" t="str">
        <f>HYPERLINK("https://twitter.com/arulbahrudin","@arulbahrudin")</f>
        <v>@arulbahrudin</v>
      </c>
      <c r="C8285" s="8" t="s">
        <v>318</v>
      </c>
      <c r="D8285" s="8">
        <v>1116</v>
      </c>
      <c r="E8285" s="8">
        <v>0</v>
      </c>
      <c r="F8285" s="8">
        <v>672</v>
      </c>
    </row>
    <row r="8286" spans="1:6" ht="12.75">
      <c r="A8286" s="8">
        <v>43901.255972222221</v>
      </c>
      <c r="B8286" s="8" t="str">
        <f>HYPERLINK("https://twitter.com/bulanglinggi","@bulanglinggi")</f>
        <v>@bulanglinggi</v>
      </c>
      <c r="C8286" s="8" t="s">
        <v>1186</v>
      </c>
      <c r="D8286" s="8">
        <v>171</v>
      </c>
      <c r="E8286" s="8">
        <v>0</v>
      </c>
      <c r="F8286" s="8">
        <v>637</v>
      </c>
    </row>
    <row r="8287" spans="1:6" ht="12.75">
      <c r="A8287" s="8">
        <v>43901.255324074074</v>
      </c>
      <c r="B8287" s="8" t="str">
        <f>HYPERLINK("https://twitter.com/kkvrindhavan","@kkvrindhavan")</f>
        <v>@kkvrindhavan</v>
      </c>
      <c r="C8287" s="8" t="s">
        <v>1186</v>
      </c>
      <c r="D8287" s="8">
        <v>171</v>
      </c>
      <c r="E8287" s="8">
        <v>0</v>
      </c>
      <c r="F8287" s="8">
        <v>1723</v>
      </c>
    </row>
    <row r="8288" spans="1:6" ht="12.75">
      <c r="A8288" s="8">
        <v>43901.255231481482</v>
      </c>
      <c r="B8288" s="8" t="str">
        <f>HYPERLINK("https://twitter.com/theWorldOfLie","@theWorldOfLie")</f>
        <v>@theWorldOfLie</v>
      </c>
      <c r="C8288" s="8" t="s">
        <v>1186</v>
      </c>
      <c r="D8288" s="8">
        <v>171</v>
      </c>
      <c r="E8288" s="8">
        <v>0</v>
      </c>
      <c r="F8288" s="8">
        <v>1083</v>
      </c>
    </row>
    <row r="8289" spans="1:6" ht="12.75">
      <c r="A8289" s="8">
        <v>43901.254687499997</v>
      </c>
      <c r="B8289" s="8" t="str">
        <f>HYPERLINK("https://twitter.com/tazeek_zeek","@tazeek_zeek")</f>
        <v>@tazeek_zeek</v>
      </c>
      <c r="C8289" s="8" t="s">
        <v>318</v>
      </c>
      <c r="D8289" s="8">
        <v>1116</v>
      </c>
      <c r="E8289" s="8">
        <v>0</v>
      </c>
      <c r="F8289" s="8">
        <v>326</v>
      </c>
    </row>
    <row r="8290" spans="1:6" ht="12.75">
      <c r="A8290" s="8">
        <v>43901.254513888889</v>
      </c>
      <c r="B8290" s="8" t="str">
        <f>HYPERLINK("https://twitter.com/PengusahaID","@PengusahaID")</f>
        <v>@PengusahaID</v>
      </c>
      <c r="C8290" s="8" t="s">
        <v>1186</v>
      </c>
      <c r="D8290" s="8">
        <v>171</v>
      </c>
      <c r="E8290" s="8">
        <v>0</v>
      </c>
      <c r="F8290" s="8">
        <v>6244</v>
      </c>
    </row>
    <row r="8291" spans="1:6" ht="12.75">
      <c r="A8291" s="8">
        <v>43901.253912037035</v>
      </c>
      <c r="B8291" s="8" t="str">
        <f>HYPERLINK("https://twitter.com/dusrimulya","@dusrimulya")</f>
        <v>@dusrimulya</v>
      </c>
      <c r="C8291" s="8" t="s">
        <v>1186</v>
      </c>
      <c r="D8291" s="8">
        <v>171</v>
      </c>
      <c r="E8291" s="8">
        <v>0</v>
      </c>
      <c r="F8291" s="8">
        <v>22295</v>
      </c>
    </row>
    <row r="8292" spans="1:6" ht="12.75">
      <c r="A8292" s="8">
        <v>43901.253831018519</v>
      </c>
      <c r="B8292" s="8" t="str">
        <f>HYPERLINK("https://twitter.com/Magersuu","@Magersuu")</f>
        <v>@Magersuu</v>
      </c>
      <c r="C8292" s="8" t="s">
        <v>1801</v>
      </c>
      <c r="D8292" s="8">
        <v>123</v>
      </c>
      <c r="E8292" s="8">
        <v>0</v>
      </c>
      <c r="F8292" s="8">
        <v>101</v>
      </c>
    </row>
    <row r="8293" spans="1:6" ht="12.75">
      <c r="A8293" s="8">
        <v>43901.253564814819</v>
      </c>
      <c r="B8293" s="8" t="str">
        <f>HYPERLINK("https://twitter.com/agama_nusantara","@agama_nusantara")</f>
        <v>@agama_nusantara</v>
      </c>
      <c r="C8293" s="8" t="s">
        <v>1801</v>
      </c>
      <c r="D8293" s="8">
        <v>123</v>
      </c>
      <c r="E8293" s="8">
        <v>0</v>
      </c>
      <c r="F8293" s="8">
        <v>7501</v>
      </c>
    </row>
    <row r="8294" spans="1:6" ht="12.75">
      <c r="A8294" s="8">
        <v>43901.253171296295</v>
      </c>
      <c r="B8294" s="8" t="str">
        <f>HYPERLINK("https://twitter.com/YoyokSubandriy3","@YoyokSubandriy3")</f>
        <v>@YoyokSubandriy3</v>
      </c>
      <c r="C8294" s="8" t="s">
        <v>2883</v>
      </c>
      <c r="D8294" s="8">
        <v>1</v>
      </c>
      <c r="E8294" s="8">
        <v>0</v>
      </c>
      <c r="F8294" s="8">
        <v>1338</v>
      </c>
    </row>
    <row r="8295" spans="1:6" ht="12.75">
      <c r="A8295" s="8">
        <v>43901.253136574072</v>
      </c>
      <c r="B8295" s="8" t="str">
        <f>HYPERLINK("https://twitter.com/SRatuloly","@SRatuloly")</f>
        <v>@SRatuloly</v>
      </c>
      <c r="C8295" s="8" t="s">
        <v>1186</v>
      </c>
      <c r="D8295" s="8">
        <v>171</v>
      </c>
      <c r="E8295" s="8">
        <v>0</v>
      </c>
      <c r="F8295" s="8">
        <v>36</v>
      </c>
    </row>
    <row r="8296" spans="1:6" ht="12.75">
      <c r="A8296" s="8">
        <v>43901.252893518518</v>
      </c>
      <c r="B8296" s="8" t="str">
        <f>HYPERLINK("https://twitter.com/onassis_siregar","@onassis_siregar")</f>
        <v>@onassis_siregar</v>
      </c>
      <c r="C8296" s="8" t="s">
        <v>1186</v>
      </c>
      <c r="D8296" s="8">
        <v>171</v>
      </c>
      <c r="E8296" s="8">
        <v>0</v>
      </c>
      <c r="F8296" s="8">
        <v>42</v>
      </c>
    </row>
    <row r="8297" spans="1:6" ht="12.75">
      <c r="A8297" s="8">
        <v>43901.252870370372</v>
      </c>
      <c r="B8297" s="8" t="str">
        <f>HYPERLINK("https://twitter.com/eeszis","@eeszis")</f>
        <v>@eeszis</v>
      </c>
      <c r="C8297" s="8" t="s">
        <v>3846</v>
      </c>
      <c r="D8297" s="8">
        <v>0</v>
      </c>
      <c r="E8297" s="8">
        <v>1</v>
      </c>
      <c r="F8297" s="8">
        <v>45</v>
      </c>
    </row>
    <row r="8298" spans="1:6" ht="12.75">
      <c r="A8298" s="8">
        <v>43901.252256944441</v>
      </c>
      <c r="B8298" s="8" t="str">
        <f>HYPERLINK("https://twitter.com/_ibaadurrahmaan","@_ibaadurrahmaan")</f>
        <v>@_ibaadurrahmaan</v>
      </c>
      <c r="C8298" s="8" t="s">
        <v>1186</v>
      </c>
      <c r="D8298" s="8">
        <v>171</v>
      </c>
      <c r="E8298" s="8">
        <v>0</v>
      </c>
      <c r="F8298" s="8">
        <v>5091</v>
      </c>
    </row>
    <row r="8299" spans="1:6" ht="12.75">
      <c r="A8299" s="8">
        <v>43901.251527777778</v>
      </c>
      <c r="B8299" s="8" t="str">
        <f>HYPERLINK("https://twitter.com/sugito43334255","@sugito43334255")</f>
        <v>@sugito43334255</v>
      </c>
      <c r="C8299" s="8" t="s">
        <v>1186</v>
      </c>
      <c r="D8299" s="8">
        <v>171</v>
      </c>
      <c r="E8299" s="8">
        <v>0</v>
      </c>
      <c r="F8299" s="8">
        <v>567</v>
      </c>
    </row>
    <row r="8300" spans="1:6" ht="12.75">
      <c r="A8300" s="8">
        <v>43901.251493055555</v>
      </c>
      <c r="B8300" s="8" t="str">
        <f>HYPERLINK("https://twitter.com/bgDG_Stream","@bgDG_Stream")</f>
        <v>@bgDG_Stream</v>
      </c>
      <c r="C8300" s="8" t="s">
        <v>318</v>
      </c>
      <c r="D8300" s="8">
        <v>1116</v>
      </c>
      <c r="E8300" s="8">
        <v>0</v>
      </c>
      <c r="F8300" s="8">
        <v>250</v>
      </c>
    </row>
    <row r="8301" spans="1:6" ht="12.75">
      <c r="A8301" s="8">
        <v>43901.251331018517</v>
      </c>
      <c r="B8301" s="8" t="str">
        <f>HYPERLINK("https://twitter.com/indonesia_sk","@indonesia_sk")</f>
        <v>@indonesia_sk</v>
      </c>
      <c r="C8301" s="8" t="s">
        <v>3847</v>
      </c>
      <c r="D8301" s="8">
        <v>0</v>
      </c>
      <c r="E8301" s="8">
        <v>0</v>
      </c>
      <c r="F8301" s="8">
        <v>1068</v>
      </c>
    </row>
    <row r="8302" spans="1:6" ht="12.75">
      <c r="A8302" s="8">
        <v>43901.250439814816</v>
      </c>
      <c r="B8302" s="8" t="str">
        <f>HYPERLINK("https://twitter.com/bulanglinggi","@bulanglinggi")</f>
        <v>@bulanglinggi</v>
      </c>
      <c r="C8302" s="8" t="s">
        <v>2537</v>
      </c>
      <c r="D8302" s="8">
        <v>36</v>
      </c>
      <c r="E8302" s="8">
        <v>0</v>
      </c>
      <c r="F8302" s="8">
        <v>637</v>
      </c>
    </row>
    <row r="8303" spans="1:6" ht="12.75">
      <c r="A8303" s="8">
        <v>43901.249976851846</v>
      </c>
      <c r="B8303" s="8" t="str">
        <f>HYPERLINK("https://twitter.com/ahmadmuslich","@ahmadmuslich")</f>
        <v>@ahmadmuslich</v>
      </c>
      <c r="C8303" s="8" t="s">
        <v>318</v>
      </c>
      <c r="D8303" s="8">
        <v>1116</v>
      </c>
      <c r="E8303" s="8">
        <v>0</v>
      </c>
      <c r="F8303" s="8">
        <v>378</v>
      </c>
    </row>
    <row r="8304" spans="1:6" ht="12.75">
      <c r="A8304" s="8">
        <v>43901.249780092592</v>
      </c>
      <c r="B8304" s="8" t="str">
        <f>HYPERLINK("https://twitter.com/Gusti_gsx","@Gusti_gsx")</f>
        <v>@Gusti_gsx</v>
      </c>
      <c r="C8304" s="8" t="s">
        <v>3848</v>
      </c>
      <c r="D8304" s="8">
        <v>0</v>
      </c>
      <c r="E8304" s="8">
        <v>0</v>
      </c>
      <c r="F8304" s="8">
        <v>137</v>
      </c>
    </row>
    <row r="8305" spans="1:6" ht="12.75">
      <c r="A8305" s="8">
        <v>43901.249548611115</v>
      </c>
      <c r="B8305" s="8" t="str">
        <f>HYPERLINK("https://twitter.com/platoniiiic","@platoniiiic")</f>
        <v>@platoniiiic</v>
      </c>
      <c r="C8305" s="8" t="s">
        <v>3849</v>
      </c>
      <c r="D8305" s="8">
        <v>1</v>
      </c>
      <c r="E8305" s="8">
        <v>0</v>
      </c>
      <c r="F8305" s="8">
        <v>549</v>
      </c>
    </row>
    <row r="8306" spans="1:6" ht="12.75">
      <c r="A8306" s="8">
        <v>43901.249490740738</v>
      </c>
      <c r="B8306" s="8" t="str">
        <f>HYPERLINK("https://twitter.com/LaelaAmien","@LaelaAmien")</f>
        <v>@LaelaAmien</v>
      </c>
      <c r="C8306" s="8" t="s">
        <v>3820</v>
      </c>
      <c r="D8306" s="8">
        <v>35</v>
      </c>
      <c r="E8306" s="8">
        <v>0</v>
      </c>
      <c r="F8306" s="8">
        <v>880</v>
      </c>
    </row>
    <row r="8307" spans="1:6" ht="12.75">
      <c r="A8307" s="8">
        <v>43901.249467592592</v>
      </c>
      <c r="B8307" s="8" t="str">
        <f>HYPERLINK("https://twitter.com/EllephantzD","@EllephantzD")</f>
        <v>@EllephantzD</v>
      </c>
      <c r="C8307" s="8" t="s">
        <v>3850</v>
      </c>
      <c r="D8307" s="8">
        <v>1453</v>
      </c>
      <c r="E8307" s="8">
        <v>0</v>
      </c>
      <c r="F8307" s="8">
        <v>228</v>
      </c>
    </row>
    <row r="8308" spans="1:6" ht="12.75">
      <c r="A8308" s="8">
        <v>43901.248819444445</v>
      </c>
      <c r="B8308" s="8" t="str">
        <f>HYPERLINK("https://twitter.com/555masteng","@555masteng")</f>
        <v>@555masteng</v>
      </c>
      <c r="C8308" s="8" t="s">
        <v>1801</v>
      </c>
      <c r="D8308" s="8">
        <v>123</v>
      </c>
      <c r="E8308" s="8">
        <v>0</v>
      </c>
      <c r="F8308" s="8">
        <v>5591</v>
      </c>
    </row>
    <row r="8309" spans="1:6" ht="12.75">
      <c r="A8309" s="8">
        <v>43901.248726851853</v>
      </c>
      <c r="B8309" s="8" t="str">
        <f>HYPERLINK("https://twitter.com/BenZah6","@BenZah6")</f>
        <v>@BenZah6</v>
      </c>
      <c r="C8309" s="8" t="s">
        <v>1186</v>
      </c>
      <c r="D8309" s="8">
        <v>171</v>
      </c>
      <c r="E8309" s="8">
        <v>0</v>
      </c>
      <c r="F8309" s="8">
        <v>60</v>
      </c>
    </row>
    <row r="8310" spans="1:6" ht="12.75">
      <c r="A8310" s="8">
        <v>43901.248414351852</v>
      </c>
      <c r="B8310" s="8" t="str">
        <f>HYPERLINK("https://twitter.com/Musa_Almawadi","@Musa_Almawadi")</f>
        <v>@Musa_Almawadi</v>
      </c>
      <c r="C8310" s="8" t="s">
        <v>1801</v>
      </c>
      <c r="D8310" s="8">
        <v>123</v>
      </c>
      <c r="E8310" s="8">
        <v>0</v>
      </c>
      <c r="F8310" s="8">
        <v>375</v>
      </c>
    </row>
    <row r="8311" spans="1:6" ht="12.75">
      <c r="A8311" s="8">
        <v>43901.248217592598</v>
      </c>
      <c r="B8311" s="8" t="str">
        <f>HYPERLINK("https://twitter.com/Mahmudy64367191","@Mahmudy64367191")</f>
        <v>@Mahmudy64367191</v>
      </c>
      <c r="C8311" s="8" t="s">
        <v>2537</v>
      </c>
      <c r="D8311" s="8">
        <v>36</v>
      </c>
      <c r="E8311" s="8">
        <v>0</v>
      </c>
      <c r="F8311" s="8">
        <v>1991</v>
      </c>
    </row>
    <row r="8312" spans="1:6" ht="12.75">
      <c r="A8312" s="8">
        <v>43901.247465277775</v>
      </c>
      <c r="B8312" s="8" t="str">
        <f>HYPERLINK("https://twitter.com/samsudi69416472","@samsudi69416472")</f>
        <v>@samsudi69416472</v>
      </c>
      <c r="C8312" s="8" t="s">
        <v>318</v>
      </c>
      <c r="D8312" s="8">
        <v>1116</v>
      </c>
      <c r="E8312" s="8">
        <v>0</v>
      </c>
      <c r="F8312" s="8">
        <v>58</v>
      </c>
    </row>
    <row r="8313" spans="1:6" ht="12.75">
      <c r="A8313" s="8">
        <v>43901.246886574074</v>
      </c>
      <c r="B8313" s="8" t="str">
        <f>HYPERLINK("https://twitter.com/ndylaros","@ndylaros")</f>
        <v>@ndylaros</v>
      </c>
      <c r="C8313" s="8" t="s">
        <v>318</v>
      </c>
      <c r="D8313" s="8">
        <v>1116</v>
      </c>
      <c r="E8313" s="8">
        <v>0</v>
      </c>
      <c r="F8313" s="8">
        <v>1145</v>
      </c>
    </row>
    <row r="8314" spans="1:6" ht="12.75">
      <c r="A8314" s="8">
        <v>43901.246099537035</v>
      </c>
      <c r="B8314" s="8" t="str">
        <f>HYPERLINK("https://twitter.com/OViktorLimbong","@OViktorLimbong")</f>
        <v>@OViktorLimbong</v>
      </c>
      <c r="C8314" s="8" t="s">
        <v>1801</v>
      </c>
      <c r="D8314" s="8">
        <v>123</v>
      </c>
      <c r="E8314" s="8">
        <v>0</v>
      </c>
      <c r="F8314" s="8">
        <v>685</v>
      </c>
    </row>
    <row r="8315" spans="1:6" ht="12.75">
      <c r="A8315" s="8">
        <v>43901.245405092588</v>
      </c>
      <c r="B8315" s="8" t="str">
        <f>HYPERLINK("https://twitter.com/Zafana5758","@Zafana5758")</f>
        <v>@Zafana5758</v>
      </c>
      <c r="C8315" s="8" t="s">
        <v>3851</v>
      </c>
      <c r="D8315" s="8">
        <v>0</v>
      </c>
      <c r="E8315" s="8">
        <v>0</v>
      </c>
      <c r="F8315" s="8">
        <v>1108</v>
      </c>
    </row>
    <row r="8316" spans="1:6" ht="12.75">
      <c r="A8316" s="8">
        <v>43901.245358796295</v>
      </c>
      <c r="B8316" s="8" t="str">
        <f>HYPERLINK("https://twitter.com/sakribandar99","@sakribandar99")</f>
        <v>@sakribandar99</v>
      </c>
      <c r="C8316" s="8" t="s">
        <v>1801</v>
      </c>
      <c r="D8316" s="8">
        <v>123</v>
      </c>
      <c r="E8316" s="8">
        <v>0</v>
      </c>
      <c r="F8316" s="8">
        <v>217</v>
      </c>
    </row>
    <row r="8317" spans="1:6" ht="12.75">
      <c r="A8317" s="8">
        <v>43901.244699074072</v>
      </c>
      <c r="B8317" s="8" t="str">
        <f>HYPERLINK("https://twitter.com/Antitogog1","@Antitogog1")</f>
        <v>@Antitogog1</v>
      </c>
      <c r="C8317" s="8" t="s">
        <v>318</v>
      </c>
      <c r="D8317" s="8">
        <v>1116</v>
      </c>
      <c r="E8317" s="8">
        <v>0</v>
      </c>
      <c r="F8317" s="8">
        <v>1481</v>
      </c>
    </row>
    <row r="8318" spans="1:6" ht="12.75">
      <c r="A8318" s="8">
        <v>43901.243449074071</v>
      </c>
      <c r="B8318" s="8" t="str">
        <f>HYPERLINK("https://twitter.com/CakL1571","@CakL1571")</f>
        <v>@CakL1571</v>
      </c>
      <c r="C8318" s="8" t="s">
        <v>3852</v>
      </c>
      <c r="D8318" s="8">
        <v>0</v>
      </c>
      <c r="E8318" s="8">
        <v>0</v>
      </c>
      <c r="F8318" s="8">
        <v>85</v>
      </c>
    </row>
    <row r="8319" spans="1:6" ht="12.75">
      <c r="A8319" s="8">
        <v>43901.243113425924</v>
      </c>
      <c r="B8319" s="8" t="str">
        <f>HYPERLINK("https://twitter.com/bulanglinggi","@bulanglinggi")</f>
        <v>@bulanglinggi</v>
      </c>
      <c r="C8319" s="8" t="s">
        <v>318</v>
      </c>
      <c r="D8319" s="8">
        <v>1116</v>
      </c>
      <c r="E8319" s="8">
        <v>0</v>
      </c>
      <c r="F8319" s="8">
        <v>637</v>
      </c>
    </row>
    <row r="8320" spans="1:6" ht="12.75">
      <c r="A8320" s="8">
        <v>43901.243055555555</v>
      </c>
      <c r="B8320" s="8" t="str">
        <f>HYPERLINK("https://twitter.com/GesuriID","@GesuriID")</f>
        <v>@GesuriID</v>
      </c>
      <c r="C8320" s="8" t="s">
        <v>3853</v>
      </c>
      <c r="D8320" s="8">
        <v>0</v>
      </c>
      <c r="E8320" s="8">
        <v>0</v>
      </c>
      <c r="F8320" s="8">
        <v>197208</v>
      </c>
    </row>
    <row r="8321" spans="1:6" ht="12.75">
      <c r="A8321" s="8">
        <v>43901.242256944446</v>
      </c>
      <c r="B8321" s="8" t="str">
        <f>HYPERLINK("https://twitter.com/MinggaRahmat","@MinggaRahmat")</f>
        <v>@MinggaRahmat</v>
      </c>
      <c r="C8321" s="8" t="s">
        <v>318</v>
      </c>
      <c r="D8321" s="8">
        <v>1116</v>
      </c>
      <c r="E8321" s="8">
        <v>0</v>
      </c>
      <c r="F8321" s="8">
        <v>13</v>
      </c>
    </row>
    <row r="8322" spans="1:6" ht="12.75">
      <c r="A8322" s="8">
        <v>43901.2421875</v>
      </c>
      <c r="B8322" s="8" t="str">
        <f>HYPERLINK("https://twitter.com/wijayaaswan","@wijayaaswan")</f>
        <v>@wijayaaswan</v>
      </c>
      <c r="C8322" s="8" t="s">
        <v>318</v>
      </c>
      <c r="D8322" s="8">
        <v>1116</v>
      </c>
      <c r="E8322" s="8">
        <v>0</v>
      </c>
      <c r="F8322" s="8">
        <v>608</v>
      </c>
    </row>
    <row r="8323" spans="1:6" ht="12.75">
      <c r="A8323" s="8">
        <v>43901.2421875</v>
      </c>
      <c r="B8323" s="8" t="str">
        <f>HYPERLINK("https://twitter.com/Wikeyqu","@Wikeyqu")</f>
        <v>@Wikeyqu</v>
      </c>
      <c r="C8323" s="8" t="s">
        <v>318</v>
      </c>
      <c r="D8323" s="8">
        <v>1116</v>
      </c>
      <c r="E8323" s="8">
        <v>0</v>
      </c>
      <c r="F8323" s="8">
        <v>148</v>
      </c>
    </row>
    <row r="8324" spans="1:6" ht="12.75">
      <c r="A8324" s="8">
        <v>43901.241296296299</v>
      </c>
      <c r="B8324" s="8" t="str">
        <f>HYPERLINK("https://twitter.com/AgusSup39011241","@AgusSup39011241")</f>
        <v>@AgusSup39011241</v>
      </c>
      <c r="C8324" s="8" t="s">
        <v>3854</v>
      </c>
      <c r="D8324" s="8">
        <v>1</v>
      </c>
      <c r="E8324" s="8">
        <v>0</v>
      </c>
      <c r="F8324" s="8">
        <v>10425</v>
      </c>
    </row>
    <row r="8325" spans="1:6" ht="12.75">
      <c r="A8325" s="8">
        <v>43901.240624999999</v>
      </c>
      <c r="B8325" s="8" t="str">
        <f>HYPERLINK("https://twitter.com/ronimulyadi17","@ronimulyadi17")</f>
        <v>@ronimulyadi17</v>
      </c>
      <c r="C8325" s="8" t="s">
        <v>318</v>
      </c>
      <c r="D8325" s="8">
        <v>1116</v>
      </c>
      <c r="E8325" s="8">
        <v>0</v>
      </c>
      <c r="F8325" s="8">
        <v>104</v>
      </c>
    </row>
    <row r="8326" spans="1:6" ht="12.75">
      <c r="A8326" s="8">
        <v>43901.239537037036</v>
      </c>
      <c r="B8326" s="8" t="str">
        <f>HYPERLINK("https://twitter.com/gw_radikal","@gw_radikal")</f>
        <v>@gw_radikal</v>
      </c>
      <c r="C8326" s="8" t="s">
        <v>318</v>
      </c>
      <c r="D8326" s="8">
        <v>1116</v>
      </c>
      <c r="E8326" s="8">
        <v>0</v>
      </c>
      <c r="F8326" s="8">
        <v>492</v>
      </c>
    </row>
    <row r="8327" spans="1:6" ht="12.75">
      <c r="A8327" s="8">
        <v>43901.238668981481</v>
      </c>
      <c r="B8327" s="8" t="str">
        <f>HYPERLINK("https://twitter.com/AriBistro","@AriBistro")</f>
        <v>@AriBistro</v>
      </c>
      <c r="C8327" s="8" t="s">
        <v>2537</v>
      </c>
      <c r="D8327" s="8">
        <v>36</v>
      </c>
      <c r="E8327" s="8">
        <v>0</v>
      </c>
      <c r="F8327" s="8">
        <v>344</v>
      </c>
    </row>
    <row r="8328" spans="1:6" ht="12.75">
      <c r="A8328" s="8">
        <v>43901.238229166665</v>
      </c>
      <c r="B8328" s="8" t="str">
        <f>HYPERLINK("https://twitter.com/Sonyrony2","@Sonyrony2")</f>
        <v>@Sonyrony2</v>
      </c>
      <c r="C8328" s="8" t="s">
        <v>2537</v>
      </c>
      <c r="D8328" s="8">
        <v>36</v>
      </c>
      <c r="E8328" s="8">
        <v>0</v>
      </c>
      <c r="F8328" s="8">
        <v>344</v>
      </c>
    </row>
    <row r="8329" spans="1:6" ht="12.75">
      <c r="A8329" s="8">
        <v>43901.237951388888</v>
      </c>
      <c r="B8329" s="8" t="str">
        <f>HYPERLINK("https://twitter.com/Temulaw71417452","@Temulaw71417452")</f>
        <v>@Temulaw71417452</v>
      </c>
      <c r="C8329" s="8" t="s">
        <v>3790</v>
      </c>
      <c r="D8329" s="8">
        <v>8</v>
      </c>
      <c r="E8329" s="8">
        <v>0</v>
      </c>
      <c r="F8329" s="8">
        <v>97</v>
      </c>
    </row>
    <row r="8330" spans="1:6" ht="12.75">
      <c r="A8330" s="8">
        <v>43901.237905092596</v>
      </c>
      <c r="B8330" s="8" t="str">
        <f>HYPERLINK("https://twitter.com/Acil11147618","@Acil11147618")</f>
        <v>@Acil11147618</v>
      </c>
      <c r="C8330" s="8" t="s">
        <v>3790</v>
      </c>
      <c r="D8330" s="8">
        <v>8</v>
      </c>
      <c r="E8330" s="8">
        <v>0</v>
      </c>
      <c r="F8330" s="8">
        <v>143</v>
      </c>
    </row>
    <row r="8331" spans="1:6" ht="12.75">
      <c r="A8331" s="8">
        <v>43901.237002314811</v>
      </c>
      <c r="B8331" s="8" t="str">
        <f>HYPERLINK("https://twitter.com/NEW_BERITAANDA","@NEW_BERITAANDA")</f>
        <v>@NEW_BERITAANDA</v>
      </c>
      <c r="C8331" s="8" t="s">
        <v>3855</v>
      </c>
      <c r="D8331" s="8">
        <v>0</v>
      </c>
      <c r="E8331" s="8">
        <v>0</v>
      </c>
      <c r="F8331" s="8">
        <v>969</v>
      </c>
    </row>
    <row r="8332" spans="1:6" ht="12.75">
      <c r="A8332" s="8">
        <v>43901.236944444448</v>
      </c>
      <c r="B8332" s="8" t="str">
        <f>HYPERLINK("https://twitter.com/5578ad860b19477","@5578ad860b19477")</f>
        <v>@5578ad860b19477</v>
      </c>
      <c r="C8332" s="8" t="s">
        <v>1801</v>
      </c>
      <c r="D8332" s="8">
        <v>123</v>
      </c>
      <c r="E8332" s="8">
        <v>0</v>
      </c>
      <c r="F8332" s="8">
        <v>47</v>
      </c>
    </row>
    <row r="8333" spans="1:6" ht="12.75">
      <c r="A8333" s="8">
        <v>43901.235289351855</v>
      </c>
      <c r="B8333" s="8" t="str">
        <f>HYPERLINK("https://twitter.com/panji_laksana1","@panji_laksana1")</f>
        <v>@panji_laksana1</v>
      </c>
      <c r="C8333" s="8" t="s">
        <v>1801</v>
      </c>
      <c r="D8333" s="8">
        <v>123</v>
      </c>
      <c r="E8333" s="8">
        <v>0</v>
      </c>
      <c r="F8333" s="8">
        <v>287</v>
      </c>
    </row>
    <row r="8334" spans="1:6" ht="12.75">
      <c r="A8334" s="8">
        <v>43901.234768518523</v>
      </c>
      <c r="B8334" s="8" t="str">
        <f>HYPERLINK("https://twitter.com/DjuniharTeguh","@DjuniharTeguh")</f>
        <v>@DjuniharTeguh</v>
      </c>
      <c r="C8334" s="8" t="s">
        <v>1801</v>
      </c>
      <c r="D8334" s="8">
        <v>123</v>
      </c>
      <c r="E8334" s="8">
        <v>0</v>
      </c>
      <c r="F8334" s="8">
        <v>43</v>
      </c>
    </row>
    <row r="8335" spans="1:6" ht="12.75">
      <c r="A8335" s="8">
        <v>43901.233576388884</v>
      </c>
      <c r="B8335" s="8" t="str">
        <f>HYPERLINK("https://twitter.com/chandra32204963","@chandra32204963")</f>
        <v>@chandra32204963</v>
      </c>
      <c r="C8335" s="8" t="s">
        <v>318</v>
      </c>
      <c r="D8335" s="8">
        <v>1116</v>
      </c>
      <c r="E8335" s="8">
        <v>0</v>
      </c>
      <c r="F8335" s="8">
        <v>345</v>
      </c>
    </row>
    <row r="8336" spans="1:6" ht="12.75">
      <c r="A8336" s="8">
        <v>43901.232858796298</v>
      </c>
      <c r="B8336" s="8" t="str">
        <f>HYPERLINK("https://twitter.com/BatamGue","@BatamGue")</f>
        <v>@BatamGue</v>
      </c>
      <c r="C8336" s="8" t="s">
        <v>1801</v>
      </c>
      <c r="D8336" s="8">
        <v>123</v>
      </c>
      <c r="E8336" s="8">
        <v>0</v>
      </c>
      <c r="F8336" s="8">
        <v>921</v>
      </c>
    </row>
    <row r="8337" spans="1:6" ht="12.75">
      <c r="A8337" s="8">
        <v>43901.232488425929</v>
      </c>
      <c r="B8337" s="8" t="str">
        <f>HYPERLINK("https://twitter.com/happyshiv123","@happyshiv123")</f>
        <v>@happyshiv123</v>
      </c>
      <c r="C8337" s="8" t="s">
        <v>1808</v>
      </c>
      <c r="D8337" s="8">
        <v>841</v>
      </c>
      <c r="E8337" s="8">
        <v>0</v>
      </c>
      <c r="F8337" s="8">
        <v>347</v>
      </c>
    </row>
    <row r="8338" spans="1:6" ht="12.75">
      <c r="A8338" s="8">
        <v>43901.23064814815</v>
      </c>
      <c r="B8338" s="8" t="str">
        <f>HYPERLINK("https://twitter.com/d4dD3","@d4dD3")</f>
        <v>@d4dD3</v>
      </c>
      <c r="C8338" s="8" t="s">
        <v>2537</v>
      </c>
      <c r="D8338" s="8">
        <v>36</v>
      </c>
      <c r="E8338" s="8">
        <v>0</v>
      </c>
      <c r="F8338" s="8">
        <v>2977</v>
      </c>
    </row>
    <row r="8339" spans="1:6" ht="12.75">
      <c r="A8339" s="8">
        <v>43901.230590277773</v>
      </c>
      <c r="B8339" s="8" t="str">
        <f>HYPERLINK("https://twitter.com/Rogue_OneR1","@Rogue_OneR1")</f>
        <v>@Rogue_OneR1</v>
      </c>
      <c r="C8339" s="8" t="s">
        <v>3856</v>
      </c>
      <c r="D8339" s="8">
        <v>0</v>
      </c>
      <c r="E8339" s="8">
        <v>0</v>
      </c>
      <c r="F8339" s="8">
        <v>24</v>
      </c>
    </row>
    <row r="8340" spans="1:6" ht="12.75">
      <c r="A8340" s="8">
        <v>43901.229942129634</v>
      </c>
      <c r="B8340" s="8" t="str">
        <f>HYPERLINK("https://twitter.com/Faylasalle2","@Faylasalle2")</f>
        <v>@Faylasalle2</v>
      </c>
      <c r="C8340" s="8" t="s">
        <v>3790</v>
      </c>
      <c r="D8340" s="8">
        <v>8</v>
      </c>
      <c r="E8340" s="8">
        <v>0</v>
      </c>
      <c r="F8340" s="8">
        <v>572</v>
      </c>
    </row>
    <row r="8341" spans="1:6" ht="12.75">
      <c r="A8341" s="8">
        <v>43901.228784722218</v>
      </c>
      <c r="B8341" s="8" t="str">
        <f>HYPERLINK("https://twitter.com/hadi_1976","@hadi_1976")</f>
        <v>@hadi_1976</v>
      </c>
      <c r="C8341" s="8" t="s">
        <v>1801</v>
      </c>
      <c r="D8341" s="8">
        <v>123</v>
      </c>
      <c r="E8341" s="8">
        <v>0</v>
      </c>
      <c r="F8341" s="8">
        <v>162</v>
      </c>
    </row>
    <row r="8342" spans="1:6" ht="12.75">
      <c r="A8342" s="8">
        <v>43901.228402777779</v>
      </c>
      <c r="B8342" s="8" t="str">
        <f>HYPERLINK("https://twitter.com/rdheryanto","@rdheryanto")</f>
        <v>@rdheryanto</v>
      </c>
      <c r="C8342" s="8" t="s">
        <v>318</v>
      </c>
      <c r="D8342" s="8">
        <v>1116</v>
      </c>
      <c r="E8342" s="8">
        <v>0</v>
      </c>
      <c r="F8342" s="8">
        <v>1134</v>
      </c>
    </row>
    <row r="8343" spans="1:6" ht="12.75">
      <c r="A8343" s="8">
        <v>43901.227604166663</v>
      </c>
      <c r="B8343" s="8" t="str">
        <f>HYPERLINK("https://twitter.com/ArieKapuracca","@ArieKapuracca")</f>
        <v>@ArieKapuracca</v>
      </c>
      <c r="C8343" s="8" t="s">
        <v>318</v>
      </c>
      <c r="D8343" s="8">
        <v>1116</v>
      </c>
      <c r="E8343" s="8">
        <v>0</v>
      </c>
      <c r="F8343" s="8">
        <v>29</v>
      </c>
    </row>
    <row r="8344" spans="1:6" ht="12.75">
      <c r="A8344" s="8">
        <v>43901.22719907407</v>
      </c>
      <c r="B8344" s="8" t="str">
        <f>HYPERLINK("https://twitter.com/Nadya96562589","@Nadya96562589")</f>
        <v>@Nadya96562589</v>
      </c>
      <c r="C8344" s="8" t="s">
        <v>2537</v>
      </c>
      <c r="D8344" s="8">
        <v>36</v>
      </c>
      <c r="E8344" s="8">
        <v>0</v>
      </c>
      <c r="F8344" s="8">
        <v>103</v>
      </c>
    </row>
    <row r="8345" spans="1:6" ht="12.75">
      <c r="A8345" s="8">
        <v>43901.226747685185</v>
      </c>
      <c r="B8345" s="8" t="str">
        <f>HYPERLINK("https://twitter.com/Nowincak","@Nowincak")</f>
        <v>@Nowincak</v>
      </c>
      <c r="C8345" s="8" t="s">
        <v>1186</v>
      </c>
      <c r="D8345" s="8">
        <v>171</v>
      </c>
      <c r="E8345" s="8">
        <v>0</v>
      </c>
      <c r="F8345" s="8">
        <v>1406</v>
      </c>
    </row>
    <row r="8346" spans="1:6" ht="12.75">
      <c r="A8346" s="8">
        <v>43901.225057870368</v>
      </c>
      <c r="B8346" s="8" t="str">
        <f>HYPERLINK("https://twitter.com/kakakirham","@kakakirham")</f>
        <v>@kakakirham</v>
      </c>
      <c r="C8346" s="8" t="s">
        <v>318</v>
      </c>
      <c r="D8346" s="8">
        <v>1116</v>
      </c>
      <c r="E8346" s="8">
        <v>0</v>
      </c>
      <c r="F8346" s="8">
        <v>197</v>
      </c>
    </row>
    <row r="8347" spans="1:6" ht="12.75">
      <c r="A8347" s="8">
        <v>43901.224699074075</v>
      </c>
      <c r="B8347" s="8" t="str">
        <f>HYPERLINK("https://twitter.com/BeritaBengkulu","@BeritaBengkulu")</f>
        <v>@BeritaBengkulu</v>
      </c>
      <c r="C8347" s="8" t="s">
        <v>3857</v>
      </c>
      <c r="D8347" s="8">
        <v>0</v>
      </c>
      <c r="E8347" s="8">
        <v>0</v>
      </c>
      <c r="F8347" s="8">
        <v>1639</v>
      </c>
    </row>
    <row r="8348" spans="1:6" ht="12.75">
      <c r="A8348" s="8">
        <v>43901.224351851852</v>
      </c>
      <c r="B8348" s="8" t="str">
        <f>HYPERLINK("https://twitter.com/Renonegoro1","@Renonegoro1")</f>
        <v>@Renonegoro1</v>
      </c>
      <c r="C8348" s="8" t="s">
        <v>3858</v>
      </c>
      <c r="D8348" s="8">
        <v>0</v>
      </c>
      <c r="E8348" s="8">
        <v>0</v>
      </c>
      <c r="F8348" s="8">
        <v>69</v>
      </c>
    </row>
    <row r="8349" spans="1:6" ht="12.75">
      <c r="A8349" s="8">
        <v>43901.223715277782</v>
      </c>
      <c r="B8349" s="8" t="str">
        <f>HYPERLINK("https://twitter.com/EkoPh18","@EkoPh18")</f>
        <v>@EkoPh18</v>
      </c>
      <c r="C8349" s="8" t="s">
        <v>3790</v>
      </c>
      <c r="D8349" s="8">
        <v>8</v>
      </c>
      <c r="E8349" s="8">
        <v>0</v>
      </c>
      <c r="F8349" s="8">
        <v>314</v>
      </c>
    </row>
    <row r="8350" spans="1:6" ht="12.75">
      <c r="A8350" s="8">
        <v>43901.222557870366</v>
      </c>
      <c r="B8350" s="8" t="str">
        <f>HYPERLINK("https://twitter.com/sholeh_Bee","@sholeh_Bee")</f>
        <v>@sholeh_Bee</v>
      </c>
      <c r="C8350" s="8" t="s">
        <v>3190</v>
      </c>
      <c r="D8350" s="8">
        <v>140</v>
      </c>
      <c r="E8350" s="8">
        <v>0</v>
      </c>
      <c r="F8350" s="8">
        <v>719</v>
      </c>
    </row>
    <row r="8351" spans="1:6" ht="12.75">
      <c r="A8351" s="8">
        <v>43901.222395833334</v>
      </c>
      <c r="B8351" s="8" t="str">
        <f>HYPERLINK("https://twitter.com/henihoeriyah","@henihoeriyah")</f>
        <v>@henihoeriyah</v>
      </c>
      <c r="C8351" s="8" t="s">
        <v>318</v>
      </c>
      <c r="D8351" s="8">
        <v>1116</v>
      </c>
      <c r="E8351" s="8">
        <v>0</v>
      </c>
      <c r="F8351" s="8">
        <v>292</v>
      </c>
    </row>
    <row r="8352" spans="1:6" ht="12.75">
      <c r="A8352" s="8">
        <v>43901.222303240742</v>
      </c>
      <c r="B8352" s="8" t="str">
        <f>HYPERLINK("https://twitter.com/bedebah07","@bedebah07")</f>
        <v>@bedebah07</v>
      </c>
      <c r="C8352" s="8" t="s">
        <v>1343</v>
      </c>
      <c r="D8352" s="8">
        <v>18</v>
      </c>
      <c r="E8352" s="8">
        <v>0</v>
      </c>
      <c r="F8352" s="8">
        <v>322</v>
      </c>
    </row>
    <row r="8353" spans="1:6" ht="12.75">
      <c r="A8353" s="8">
        <v>43901.221990740742</v>
      </c>
      <c r="B8353" s="8" t="str">
        <f>HYPERLINK("https://twitter.com/Renonegoro1","@Renonegoro1")</f>
        <v>@Renonegoro1</v>
      </c>
      <c r="C8353" s="8" t="s">
        <v>3859</v>
      </c>
      <c r="D8353" s="8">
        <v>0</v>
      </c>
      <c r="E8353" s="8">
        <v>0</v>
      </c>
      <c r="F8353" s="8">
        <v>69</v>
      </c>
    </row>
    <row r="8354" spans="1:6" ht="12.75">
      <c r="A8354" s="8">
        <v>43901.221655092595</v>
      </c>
      <c r="B8354" s="8" t="str">
        <f>HYPERLINK("https://twitter.com/11brantakan","@11brantakan")</f>
        <v>@11brantakan</v>
      </c>
      <c r="C8354" s="8" t="s">
        <v>3790</v>
      </c>
      <c r="D8354" s="8">
        <v>8</v>
      </c>
      <c r="E8354" s="8">
        <v>0</v>
      </c>
      <c r="F8354" s="8">
        <v>376</v>
      </c>
    </row>
    <row r="8355" spans="1:6" ht="12.75">
      <c r="A8355" s="8">
        <v>43901.221226851849</v>
      </c>
      <c r="B8355" s="8" t="str">
        <f>HYPERLINK("https://twitter.com/iwan2701","@iwan2701")</f>
        <v>@iwan2701</v>
      </c>
      <c r="C8355" s="8" t="s">
        <v>1801</v>
      </c>
      <c r="D8355" s="8">
        <v>123</v>
      </c>
      <c r="E8355" s="8">
        <v>0</v>
      </c>
      <c r="F8355" s="8">
        <v>258</v>
      </c>
    </row>
    <row r="8356" spans="1:6" ht="12.75">
      <c r="A8356" s="8">
        <v>43901.219884259262</v>
      </c>
      <c r="B8356" s="8" t="str">
        <f>HYPERLINK("https://twitter.com/Yash_xxx","@Yash_xxx")</f>
        <v>@Yash_xxx</v>
      </c>
      <c r="C8356" s="8" t="s">
        <v>295</v>
      </c>
      <c r="D8356" s="8">
        <v>77</v>
      </c>
      <c r="E8356" s="8">
        <v>0</v>
      </c>
      <c r="F8356" s="8">
        <v>167</v>
      </c>
    </row>
    <row r="8357" spans="1:6" ht="12.75">
      <c r="A8357" s="8">
        <v>43901.219872685186</v>
      </c>
      <c r="B8357" s="8" t="str">
        <f>HYPERLINK("https://twitter.com/DMainovel","@DMainovel")</f>
        <v>@DMainovel</v>
      </c>
      <c r="C8357" s="8" t="s">
        <v>2537</v>
      </c>
      <c r="D8357" s="8">
        <v>36</v>
      </c>
      <c r="E8357" s="8">
        <v>0</v>
      </c>
      <c r="F8357" s="8">
        <v>1115</v>
      </c>
    </row>
    <row r="8358" spans="1:6" ht="12.75">
      <c r="A8358" s="8">
        <v>43901.219155092593</v>
      </c>
      <c r="B8358" s="8" t="str">
        <f>HYPERLINK("https://twitter.com/agus_santoss","@agus_santoss")</f>
        <v>@agus_santoss</v>
      </c>
      <c r="C8358" s="8" t="s">
        <v>318</v>
      </c>
      <c r="D8358" s="8">
        <v>1116</v>
      </c>
      <c r="E8358" s="8">
        <v>0</v>
      </c>
      <c r="F8358" s="8">
        <v>179</v>
      </c>
    </row>
    <row r="8359" spans="1:6" ht="12.75">
      <c r="A8359" s="8">
        <v>43901.219097222223</v>
      </c>
      <c r="B8359" s="8" t="str">
        <f>HYPERLINK("https://twitter.com/Mahmudy64367191","@Mahmudy64367191")</f>
        <v>@Mahmudy64367191</v>
      </c>
      <c r="C8359" s="8" t="s">
        <v>318</v>
      </c>
      <c r="D8359" s="8">
        <v>1116</v>
      </c>
      <c r="E8359" s="8">
        <v>0</v>
      </c>
      <c r="F8359" s="8">
        <v>1991</v>
      </c>
    </row>
    <row r="8360" spans="1:6" ht="12.75">
      <c r="A8360" s="8">
        <v>43901.218946759254</v>
      </c>
      <c r="B8360" s="8" t="str">
        <f>HYPERLINK("https://twitter.com/fkchd75","@fkchd75")</f>
        <v>@fkchd75</v>
      </c>
      <c r="C8360" s="8" t="s">
        <v>2537</v>
      </c>
      <c r="D8360" s="8">
        <v>36</v>
      </c>
      <c r="E8360" s="8">
        <v>0</v>
      </c>
      <c r="F8360" s="8">
        <v>415</v>
      </c>
    </row>
    <row r="8361" spans="1:6" ht="12.75">
      <c r="A8361" s="8">
        <v>43901.218553240746</v>
      </c>
      <c r="B8361" s="8" t="str">
        <f>HYPERLINK("https://twitter.com/ramdhoni27","@ramdhoni27")</f>
        <v>@ramdhoni27</v>
      </c>
      <c r="C8361" s="8" t="s">
        <v>3860</v>
      </c>
      <c r="D8361" s="8">
        <v>7</v>
      </c>
      <c r="E8361" s="8">
        <v>0</v>
      </c>
      <c r="F8361" s="8">
        <v>535</v>
      </c>
    </row>
    <row r="8362" spans="1:6" ht="12.75">
      <c r="A8362" s="8">
        <v>43901.217997685184</v>
      </c>
      <c r="B8362" s="8" t="str">
        <f>HYPERLINK("https://twitter.com/DavidRuslie8","@DavidRuslie8")</f>
        <v>@DavidRuslie8</v>
      </c>
      <c r="C8362" s="8" t="s">
        <v>1801</v>
      </c>
      <c r="D8362" s="8">
        <v>123</v>
      </c>
      <c r="E8362" s="8">
        <v>0</v>
      </c>
      <c r="F8362" s="8">
        <v>939</v>
      </c>
    </row>
    <row r="8363" spans="1:6" ht="12.75">
      <c r="A8363" s="8">
        <v>43901.217638888891</v>
      </c>
      <c r="B8363" s="8" t="str">
        <f>HYPERLINK("https://twitter.com/Bajayz","@Bajayz")</f>
        <v>@Bajayz</v>
      </c>
      <c r="C8363" s="8" t="s">
        <v>1186</v>
      </c>
      <c r="D8363" s="8">
        <v>171</v>
      </c>
      <c r="E8363" s="8">
        <v>0</v>
      </c>
      <c r="F8363" s="8">
        <v>132</v>
      </c>
    </row>
    <row r="8364" spans="1:6" ht="12.75">
      <c r="A8364" s="8">
        <v>43901.217615740738</v>
      </c>
      <c r="B8364" s="8" t="str">
        <f>HYPERLINK("https://twitter.com/AsepW83497854","@AsepW83497854")</f>
        <v>@AsepW83497854</v>
      </c>
      <c r="C8364" s="8" t="s">
        <v>318</v>
      </c>
      <c r="D8364" s="8">
        <v>1116</v>
      </c>
      <c r="E8364" s="8">
        <v>0</v>
      </c>
      <c r="F8364" s="8">
        <v>189</v>
      </c>
    </row>
    <row r="8365" spans="1:6" ht="12.75">
      <c r="A8365" s="8">
        <v>43901.214884259258</v>
      </c>
      <c r="B8365" s="8" t="str">
        <f>HYPERLINK("https://twitter.com/tegaxdirimu","@tegaxdirimu")</f>
        <v>@tegaxdirimu</v>
      </c>
      <c r="C8365" s="8" t="s">
        <v>318</v>
      </c>
      <c r="D8365" s="8">
        <v>1090</v>
      </c>
      <c r="E8365" s="8">
        <v>0</v>
      </c>
      <c r="F8365" s="8">
        <v>569</v>
      </c>
    </row>
    <row r="8366" spans="1:6" ht="12.75">
      <c r="A8366" s="8">
        <v>43901.214826388888</v>
      </c>
      <c r="B8366" s="8" t="str">
        <f>HYPERLINK("https://twitter.com/Vounal","@Vounal")</f>
        <v>@Vounal</v>
      </c>
      <c r="C8366" s="8" t="s">
        <v>318</v>
      </c>
      <c r="D8366" s="8">
        <v>1090</v>
      </c>
      <c r="E8366" s="8">
        <v>0</v>
      </c>
      <c r="F8366" s="8">
        <v>32</v>
      </c>
    </row>
    <row r="8367" spans="1:6" ht="12.75">
      <c r="A8367" s="8">
        <v>43901.214618055557</v>
      </c>
      <c r="B8367" s="8" t="str">
        <f>HYPERLINK("https://twitter.com/DimazPujhik","@DimazPujhik")</f>
        <v>@DimazPujhik</v>
      </c>
      <c r="C8367" s="8" t="s">
        <v>318</v>
      </c>
      <c r="D8367" s="8">
        <v>1090</v>
      </c>
      <c r="E8367" s="8">
        <v>0</v>
      </c>
      <c r="F8367" s="8">
        <v>20</v>
      </c>
    </row>
    <row r="8368" spans="1:6" ht="12.75">
      <c r="A8368" s="8">
        <v>43901.214305555557</v>
      </c>
      <c r="B8368" s="8" t="str">
        <f>HYPERLINK("https://twitter.com/KMidi82","@KMidi82")</f>
        <v>@KMidi82</v>
      </c>
      <c r="C8368" s="8" t="s">
        <v>1186</v>
      </c>
      <c r="D8368" s="8">
        <v>159</v>
      </c>
      <c r="E8368" s="8">
        <v>0</v>
      </c>
      <c r="F8368" s="8">
        <v>1469</v>
      </c>
    </row>
    <row r="8369" spans="1:6" ht="12.75">
      <c r="A8369" s="8">
        <v>43901.212361111116</v>
      </c>
      <c r="B8369" s="8" t="str">
        <f>HYPERLINK("https://twitter.com/SuryaMajapahi7","@SuryaMajapahi7")</f>
        <v>@SuryaMajapahi7</v>
      </c>
      <c r="C8369" s="8" t="s">
        <v>3861</v>
      </c>
      <c r="D8369" s="8">
        <v>1</v>
      </c>
      <c r="E8369" s="8">
        <v>0</v>
      </c>
      <c r="F8369" s="8">
        <v>723</v>
      </c>
    </row>
    <row r="8370" spans="1:6" ht="12.75">
      <c r="A8370" s="8">
        <v>43901.211180555554</v>
      </c>
      <c r="B8370" s="8" t="str">
        <f>HYPERLINK("https://twitter.com/vinbrahm","@vinbrahm")</f>
        <v>@vinbrahm</v>
      </c>
      <c r="C8370" s="8" t="s">
        <v>1957</v>
      </c>
      <c r="D8370" s="8">
        <v>1491</v>
      </c>
      <c r="E8370" s="8">
        <v>0</v>
      </c>
      <c r="F8370" s="8">
        <v>87</v>
      </c>
    </row>
    <row r="8371" spans="1:6" ht="12.75">
      <c r="A8371" s="8">
        <v>43901.209224537037</v>
      </c>
      <c r="B8371" s="8" t="str">
        <f>HYPERLINK("https://twitter.com/Cinta_Iam","@Cinta_Iam")</f>
        <v>@Cinta_Iam</v>
      </c>
      <c r="C8371" s="8" t="s">
        <v>3862</v>
      </c>
      <c r="D8371" s="8">
        <v>1</v>
      </c>
      <c r="E8371" s="8">
        <v>0</v>
      </c>
      <c r="F8371" s="8">
        <v>4939</v>
      </c>
    </row>
    <row r="8372" spans="1:6" ht="12.75">
      <c r="A8372" s="8">
        <v>43901.208287037036</v>
      </c>
      <c r="B8372" s="8" t="str">
        <f>HYPERLINK("https://twitter.com/sultan_legacy","@sultan_legacy")</f>
        <v>@sultan_legacy</v>
      </c>
      <c r="C8372" s="8" t="s">
        <v>1801</v>
      </c>
      <c r="D8372" s="8">
        <v>108</v>
      </c>
      <c r="E8372" s="8">
        <v>0</v>
      </c>
      <c r="F8372" s="8">
        <v>133</v>
      </c>
    </row>
    <row r="8373" spans="1:6" ht="12.75">
      <c r="A8373" s="8">
        <v>43901.207974537036</v>
      </c>
      <c r="B8373" s="8" t="str">
        <f>HYPERLINK("https://twitter.com/Ichan_Pitoeng","@Ichan_Pitoeng")</f>
        <v>@Ichan_Pitoeng</v>
      </c>
      <c r="C8373" s="8" t="s">
        <v>3790</v>
      </c>
      <c r="D8373" s="8">
        <v>3</v>
      </c>
      <c r="E8373" s="8">
        <v>0</v>
      </c>
      <c r="F8373" s="8">
        <v>235</v>
      </c>
    </row>
    <row r="8374" spans="1:6" ht="12.75">
      <c r="A8374" s="8">
        <v>43901.207662037035</v>
      </c>
      <c r="B8374" s="8" t="str">
        <f>HYPERLINK("https://twitter.com/masdiddy","@masdiddy")</f>
        <v>@masdiddy</v>
      </c>
      <c r="C8374" s="8" t="s">
        <v>1801</v>
      </c>
      <c r="D8374" s="8">
        <v>108</v>
      </c>
      <c r="E8374" s="8">
        <v>0</v>
      </c>
      <c r="F8374" s="8">
        <v>37</v>
      </c>
    </row>
    <row r="8375" spans="1:6" ht="12.75">
      <c r="A8375" s="8">
        <v>43901.206979166665</v>
      </c>
      <c r="B8375" s="8" t="str">
        <f>HYPERLINK("https://twitter.com/Inkaputri81","@Inkaputri81")</f>
        <v>@Inkaputri81</v>
      </c>
      <c r="C8375" s="8" t="s">
        <v>318</v>
      </c>
      <c r="D8375" s="8">
        <v>1090</v>
      </c>
      <c r="E8375" s="8">
        <v>0</v>
      </c>
      <c r="F8375" s="8">
        <v>110</v>
      </c>
    </row>
    <row r="8376" spans="1:6" ht="12.75">
      <c r="A8376" s="8">
        <v>43901.206875000003</v>
      </c>
      <c r="B8376" s="8" t="str">
        <f>HYPERLINK("https://twitter.com/Kursani03","@Kursani03")</f>
        <v>@Kursani03</v>
      </c>
      <c r="C8376" s="8" t="s">
        <v>318</v>
      </c>
      <c r="D8376" s="8">
        <v>1090</v>
      </c>
      <c r="E8376" s="8">
        <v>0</v>
      </c>
      <c r="F8376" s="8">
        <v>1</v>
      </c>
    </row>
    <row r="8377" spans="1:6" ht="12.75">
      <c r="A8377" s="8">
        <v>43901.206782407404</v>
      </c>
      <c r="B8377" s="8" t="str">
        <f>HYPERLINK("https://twitter.com/Jadoel00598166","@Jadoel00598166")</f>
        <v>@Jadoel00598166</v>
      </c>
      <c r="C8377" s="8" t="s">
        <v>1801</v>
      </c>
      <c r="D8377" s="8">
        <v>108</v>
      </c>
      <c r="E8377" s="8">
        <v>0</v>
      </c>
      <c r="F8377" s="8">
        <v>2400</v>
      </c>
    </row>
    <row r="8378" spans="1:6" ht="12.75">
      <c r="A8378" s="8">
        <v>43901.206620370373</v>
      </c>
      <c r="B8378" s="8" t="str">
        <f>HYPERLINK("https://twitter.com/IkrimahKhalid","@IkrimahKhalid")</f>
        <v>@IkrimahKhalid</v>
      </c>
      <c r="C8378" s="8" t="s">
        <v>318</v>
      </c>
      <c r="D8378" s="8">
        <v>1090</v>
      </c>
      <c r="E8378" s="8">
        <v>0</v>
      </c>
      <c r="F8378" s="8">
        <v>663</v>
      </c>
    </row>
    <row r="8379" spans="1:6" ht="12.75">
      <c r="A8379" s="8">
        <v>43901.205578703702</v>
      </c>
      <c r="B8379" s="8" t="str">
        <f>HYPERLINK("https://twitter.com/jatmikoWwidodo","@jatmikoWwidodo")</f>
        <v>@jatmikoWwidodo</v>
      </c>
      <c r="C8379" s="8" t="s">
        <v>1801</v>
      </c>
      <c r="D8379" s="8">
        <v>108</v>
      </c>
      <c r="E8379" s="8">
        <v>0</v>
      </c>
      <c r="F8379" s="8">
        <v>1142</v>
      </c>
    </row>
    <row r="8380" spans="1:6" ht="12.75">
      <c r="A8380" s="8">
        <v>43901.205405092594</v>
      </c>
      <c r="B8380" s="8" t="str">
        <f>HYPERLINK("https://twitter.com/isis_eb","@isis_eb")</f>
        <v>@isis_eb</v>
      </c>
      <c r="C8380" s="8" t="s">
        <v>3863</v>
      </c>
      <c r="D8380" s="8">
        <v>4145</v>
      </c>
      <c r="E8380" s="8">
        <v>0</v>
      </c>
      <c r="F8380" s="8">
        <v>358</v>
      </c>
    </row>
    <row r="8381" spans="1:6" ht="12.75">
      <c r="A8381" s="8">
        <v>43901.202094907407</v>
      </c>
      <c r="B8381" s="8" t="str">
        <f>HYPERLINK("https://twitter.com/Dhanes_AR","@Dhanes_AR")</f>
        <v>@Dhanes_AR</v>
      </c>
      <c r="C8381" s="8" t="s">
        <v>1304</v>
      </c>
      <c r="D8381" s="8">
        <v>5</v>
      </c>
      <c r="E8381" s="8">
        <v>0</v>
      </c>
      <c r="F8381" s="8">
        <v>450</v>
      </c>
    </row>
    <row r="8382" spans="1:6" ht="12.75">
      <c r="A8382" s="8">
        <v>43901.201944444445</v>
      </c>
      <c r="B8382" s="8" t="str">
        <f>HYPERLINK("https://twitter.com/Puspen_TNI","@Puspen_TNI")</f>
        <v>@Puspen_TNI</v>
      </c>
      <c r="C8382" s="8" t="s">
        <v>3864</v>
      </c>
      <c r="D8382" s="8">
        <v>0</v>
      </c>
      <c r="E8382" s="8">
        <v>5</v>
      </c>
      <c r="F8382" s="8">
        <v>307971</v>
      </c>
    </row>
    <row r="8383" spans="1:6" ht="12.75">
      <c r="A8383" s="8">
        <v>43901.200277777782</v>
      </c>
      <c r="B8383" s="8" t="str">
        <f>HYPERLINK("https://twitter.com/Id89Fandi","@Id89Fandi")</f>
        <v>@Id89Fandi</v>
      </c>
      <c r="C8383" s="8" t="s">
        <v>318</v>
      </c>
      <c r="D8383" s="8">
        <v>1090</v>
      </c>
      <c r="E8383" s="8">
        <v>0</v>
      </c>
      <c r="F8383" s="8">
        <v>105</v>
      </c>
    </row>
    <row r="8384" spans="1:6" ht="12.75">
      <c r="A8384" s="8">
        <v>43901.199652777781</v>
      </c>
      <c r="B8384" s="8" t="str">
        <f>HYPERLINK("https://twitter.com/ridwan2474","@ridwan2474")</f>
        <v>@ridwan2474</v>
      </c>
      <c r="C8384" s="8" t="s">
        <v>3865</v>
      </c>
      <c r="D8384" s="8">
        <v>0</v>
      </c>
      <c r="E8384" s="8">
        <v>0</v>
      </c>
      <c r="F8384" s="8">
        <v>100</v>
      </c>
    </row>
    <row r="8385" spans="1:6" ht="12.75">
      <c r="A8385" s="8">
        <v>43901.198981481481</v>
      </c>
      <c r="B8385" s="8" t="str">
        <f>HYPERLINK("https://twitter.com/kawak02","@kawak02")</f>
        <v>@kawak02</v>
      </c>
      <c r="C8385" s="8" t="s">
        <v>318</v>
      </c>
      <c r="D8385" s="8">
        <v>1090</v>
      </c>
      <c r="E8385" s="8">
        <v>0</v>
      </c>
      <c r="F8385" s="8">
        <v>2022</v>
      </c>
    </row>
    <row r="8386" spans="1:6" ht="12.75">
      <c r="A8386" s="8">
        <v>43901.19866898148</v>
      </c>
      <c r="B8386" s="8" t="str">
        <f>HYPERLINK("https://twitter.com/HiroshiKemal","@HiroshiKemal")</f>
        <v>@HiroshiKemal</v>
      </c>
      <c r="C8386" s="8" t="s">
        <v>318</v>
      </c>
      <c r="D8386" s="8">
        <v>1090</v>
      </c>
      <c r="E8386" s="8">
        <v>0</v>
      </c>
      <c r="F8386" s="8">
        <v>14</v>
      </c>
    </row>
    <row r="8387" spans="1:6" ht="12.75">
      <c r="A8387" s="8">
        <v>43901.195428240739</v>
      </c>
      <c r="B8387" s="8" t="str">
        <f>HYPERLINK("https://twitter.com/CakMugik","@CakMugik")</f>
        <v>@CakMugik</v>
      </c>
      <c r="C8387" s="8" t="s">
        <v>1801</v>
      </c>
      <c r="D8387" s="8">
        <v>108</v>
      </c>
      <c r="E8387" s="8">
        <v>0</v>
      </c>
      <c r="F8387" s="8">
        <v>63</v>
      </c>
    </row>
    <row r="8388" spans="1:6" ht="12.75">
      <c r="A8388" s="8">
        <v>43901.19532407407</v>
      </c>
      <c r="B8388" s="8" t="str">
        <f>HYPERLINK("https://twitter.com/marissagunawan9","@marissagunawan9")</f>
        <v>@marissagunawan9</v>
      </c>
      <c r="C8388" s="8" t="s">
        <v>3866</v>
      </c>
      <c r="D8388" s="8">
        <v>0</v>
      </c>
      <c r="E8388" s="8">
        <v>0</v>
      </c>
      <c r="F8388" s="8">
        <v>465</v>
      </c>
    </row>
    <row r="8389" spans="1:6" ht="12.75">
      <c r="A8389" s="8">
        <v>43901.195173611108</v>
      </c>
      <c r="B8389" s="8" t="str">
        <f>HYPERLINK("https://twitter.com/Bamz_DarieNov","@Bamz_DarieNov")</f>
        <v>@Bamz_DarieNov</v>
      </c>
      <c r="C8389" s="8" t="s">
        <v>3867</v>
      </c>
      <c r="D8389" s="8">
        <v>0</v>
      </c>
      <c r="E8389" s="8">
        <v>0</v>
      </c>
      <c r="F8389" s="8">
        <v>46</v>
      </c>
    </row>
    <row r="8390" spans="1:6" ht="12.75">
      <c r="A8390" s="8">
        <v>43901.195057870369</v>
      </c>
      <c r="B8390" s="8" t="str">
        <f>HYPERLINK("https://twitter.com/Jazz24632","@Jazz24632")</f>
        <v>@Jazz24632</v>
      </c>
      <c r="C8390" s="8" t="s">
        <v>1801</v>
      </c>
      <c r="D8390" s="8">
        <v>108</v>
      </c>
      <c r="E8390" s="8">
        <v>0</v>
      </c>
      <c r="F8390" s="8">
        <v>490</v>
      </c>
    </row>
    <row r="8391" spans="1:6" ht="12.75">
      <c r="A8391" s="8">
        <v>43901.194027777776</v>
      </c>
      <c r="B8391" s="8" t="str">
        <f>HYPERLINK("https://twitter.com/Kadri12310","@Kadri12310")</f>
        <v>@Kadri12310</v>
      </c>
      <c r="C8391" s="8" t="s">
        <v>318</v>
      </c>
      <c r="D8391" s="8">
        <v>1090</v>
      </c>
      <c r="E8391" s="8">
        <v>0</v>
      </c>
      <c r="F8391" s="8">
        <v>33</v>
      </c>
    </row>
    <row r="8392" spans="1:6" ht="12.75">
      <c r="A8392" s="8">
        <v>43901.193622685183</v>
      </c>
      <c r="B8392" s="8" t="str">
        <f>HYPERLINK("https://twitter.com/Adhi_Djo","@Adhi_Djo")</f>
        <v>@Adhi_Djo</v>
      </c>
      <c r="C8392" s="8" t="s">
        <v>1801</v>
      </c>
      <c r="D8392" s="8">
        <v>108</v>
      </c>
      <c r="E8392" s="8">
        <v>0</v>
      </c>
      <c r="F8392" s="8">
        <v>394</v>
      </c>
    </row>
    <row r="8393" spans="1:6" ht="12.75">
      <c r="A8393" s="8">
        <v>43901.193101851852</v>
      </c>
      <c r="B8393" s="8" t="str">
        <f>HYPERLINK("https://twitter.com/Crystal95836602","@Crystal95836602")</f>
        <v>@Crystal95836602</v>
      </c>
      <c r="C8393" s="8" t="s">
        <v>3868</v>
      </c>
      <c r="D8393" s="8">
        <v>3</v>
      </c>
      <c r="E8393" s="8">
        <v>8</v>
      </c>
      <c r="F8393" s="8">
        <v>5</v>
      </c>
    </row>
    <row r="8394" spans="1:6" ht="12.75">
      <c r="A8394" s="8">
        <v>43901.191550925927</v>
      </c>
      <c r="B8394" s="8" t="str">
        <f>HYPERLINK("https://twitter.com/Moksa1946","@Moksa1946")</f>
        <v>@Moksa1946</v>
      </c>
      <c r="C8394" s="8" t="s">
        <v>318</v>
      </c>
      <c r="D8394" s="8">
        <v>1090</v>
      </c>
      <c r="E8394" s="8">
        <v>0</v>
      </c>
      <c r="F8394" s="8">
        <v>226</v>
      </c>
    </row>
    <row r="8395" spans="1:6" ht="12.75">
      <c r="A8395" s="8">
        <v>43901.191030092596</v>
      </c>
      <c r="B8395" s="8" t="str">
        <f>HYPERLINK("https://twitter.com/NumeriJack","@NumeriJack")</f>
        <v>@NumeriJack</v>
      </c>
      <c r="C8395" s="8" t="s">
        <v>318</v>
      </c>
      <c r="D8395" s="8">
        <v>1090</v>
      </c>
      <c r="E8395" s="8">
        <v>0</v>
      </c>
      <c r="F8395" s="8">
        <v>0</v>
      </c>
    </row>
    <row r="8396" spans="1:6" ht="12.75">
      <c r="A8396" s="8">
        <v>43901.190925925926</v>
      </c>
      <c r="B8396" s="8" t="str">
        <f>HYPERLINK("https://twitter.com/Edipurw61113168","@Edipurw61113168")</f>
        <v>@Edipurw61113168</v>
      </c>
      <c r="C8396" s="8" t="s">
        <v>318</v>
      </c>
      <c r="D8396" s="8">
        <v>1090</v>
      </c>
      <c r="E8396" s="8">
        <v>0</v>
      </c>
      <c r="F8396" s="8">
        <v>1258</v>
      </c>
    </row>
    <row r="8397" spans="1:6" ht="12.75">
      <c r="A8397" s="8">
        <v>43901.190416666665</v>
      </c>
      <c r="B8397" s="8" t="str">
        <f>HYPERLINK("https://twitter.com/AspendiTanjung","@AspendiTanjung")</f>
        <v>@AspendiTanjung</v>
      </c>
      <c r="C8397" s="8" t="s">
        <v>3820</v>
      </c>
      <c r="D8397" s="8">
        <v>34</v>
      </c>
      <c r="E8397" s="8">
        <v>0</v>
      </c>
      <c r="F8397" s="8">
        <v>610</v>
      </c>
    </row>
    <row r="8398" spans="1:6" ht="12.75">
      <c r="A8398" s="8">
        <v>43901.189907407403</v>
      </c>
      <c r="B8398" s="8" t="str">
        <f>HYPERLINK("https://twitter.com/Srimuly06971875","@Srimuly06971875")</f>
        <v>@Srimuly06971875</v>
      </c>
      <c r="C8398" s="8" t="s">
        <v>318</v>
      </c>
      <c r="D8398" s="8">
        <v>1090</v>
      </c>
      <c r="E8398" s="8">
        <v>0</v>
      </c>
      <c r="F8398" s="8">
        <v>38</v>
      </c>
    </row>
    <row r="8399" spans="1:6" ht="12.75">
      <c r="A8399" s="8">
        <v>43901.189004629632</v>
      </c>
      <c r="B8399" s="8" t="str">
        <f>HYPERLINK("https://twitter.com/Yhalim88Yhalim","@Yhalim88Yhalim")</f>
        <v>@Yhalim88Yhalim</v>
      </c>
      <c r="C8399" s="8" t="s">
        <v>1801</v>
      </c>
      <c r="D8399" s="8">
        <v>108</v>
      </c>
      <c r="E8399" s="8">
        <v>0</v>
      </c>
      <c r="F8399" s="8">
        <v>85</v>
      </c>
    </row>
    <row r="8400" spans="1:6" ht="12.75">
      <c r="A8400" s="8">
        <v>43901.188518518524</v>
      </c>
      <c r="B8400" s="8" t="str">
        <f>HYPERLINK("https://twitter.com/rogersurfacings","@rogersurfacings")</f>
        <v>@rogersurfacings</v>
      </c>
      <c r="C8400" s="8" t="s">
        <v>3869</v>
      </c>
      <c r="D8400" s="8">
        <v>1</v>
      </c>
      <c r="E8400" s="8">
        <v>0</v>
      </c>
      <c r="F8400" s="8">
        <v>3895</v>
      </c>
    </row>
    <row r="8401" spans="1:6" ht="12.75">
      <c r="A8401" s="8">
        <v>43901.187083333338</v>
      </c>
      <c r="B8401" s="8" t="str">
        <f>HYPERLINK("https://twitter.com/amarilis_ayu","@amarilis_ayu")</f>
        <v>@amarilis_ayu</v>
      </c>
      <c r="C8401" s="8" t="s">
        <v>3866</v>
      </c>
      <c r="D8401" s="8">
        <v>0</v>
      </c>
      <c r="E8401" s="8">
        <v>0</v>
      </c>
      <c r="F8401" s="8">
        <v>1372</v>
      </c>
    </row>
    <row r="8402" spans="1:6" ht="12.75">
      <c r="A8402" s="8">
        <v>43901.186111111107</v>
      </c>
      <c r="B8402" s="8" t="str">
        <f>HYPERLINK("https://twitter.com/_NamasteINDIA","@_NamasteINDIA")</f>
        <v>@_NamasteINDIA</v>
      </c>
      <c r="C8402" s="8" t="s">
        <v>1917</v>
      </c>
      <c r="D8402" s="8">
        <v>1536</v>
      </c>
      <c r="E8402" s="8">
        <v>0</v>
      </c>
      <c r="F8402" s="8">
        <v>290</v>
      </c>
    </row>
    <row r="8403" spans="1:6" ht="12.75">
      <c r="A8403" s="8">
        <v>43901.186041666668</v>
      </c>
      <c r="B8403" s="8" t="str">
        <f>HYPERLINK("https://twitter.com/muazugarba","@muazugarba")</f>
        <v>@muazugarba</v>
      </c>
      <c r="C8403" s="8" t="s">
        <v>3492</v>
      </c>
      <c r="D8403" s="8">
        <v>1</v>
      </c>
      <c r="E8403" s="8">
        <v>0</v>
      </c>
      <c r="F8403" s="8">
        <v>2162</v>
      </c>
    </row>
    <row r="8404" spans="1:6" ht="12.75">
      <c r="A8404" s="8">
        <v>43901.185902777783</v>
      </c>
      <c r="B8404" s="8" t="str">
        <f>HYPERLINK("https://twitter.com/iwankgt3838","@iwankgt3838")</f>
        <v>@iwankgt3838</v>
      </c>
      <c r="C8404" s="8" t="s">
        <v>1304</v>
      </c>
      <c r="D8404" s="8">
        <v>5</v>
      </c>
      <c r="E8404" s="8">
        <v>0</v>
      </c>
      <c r="F8404" s="8">
        <v>70</v>
      </c>
    </row>
    <row r="8405" spans="1:6" ht="12.75">
      <c r="A8405" s="8">
        <v>43901.184710648144</v>
      </c>
      <c r="B8405" s="8" t="str">
        <f>HYPERLINK("https://twitter.com/AnakBet4wi","@AnakBet4wi")</f>
        <v>@AnakBet4wi</v>
      </c>
      <c r="C8405" s="8" t="s">
        <v>1304</v>
      </c>
      <c r="D8405" s="8">
        <v>5</v>
      </c>
      <c r="E8405" s="8">
        <v>0</v>
      </c>
      <c r="F8405" s="8">
        <v>2068</v>
      </c>
    </row>
    <row r="8406" spans="1:6" ht="12.75">
      <c r="A8406" s="8">
        <v>43901.184050925927</v>
      </c>
      <c r="B8406" s="8" t="str">
        <f>HYPERLINK("https://twitter.com/abdulloh2015","@abdulloh2015")</f>
        <v>@abdulloh2015</v>
      </c>
      <c r="C8406" s="8" t="s">
        <v>859</v>
      </c>
      <c r="D8406" s="8">
        <v>0</v>
      </c>
      <c r="E8406" s="8">
        <v>0</v>
      </c>
      <c r="F8406" s="8">
        <v>60</v>
      </c>
    </row>
    <row r="8407" spans="1:6" ht="12.75">
      <c r="A8407" s="8">
        <v>43901.183888888889</v>
      </c>
      <c r="B8407" s="8" t="str">
        <f>HYPERLINK("https://twitter.com/YoyokSubandriy3","@YoyokSubandriy3")</f>
        <v>@YoyokSubandriy3</v>
      </c>
      <c r="C8407" s="8" t="s">
        <v>1304</v>
      </c>
      <c r="D8407" s="8">
        <v>5</v>
      </c>
      <c r="E8407" s="8">
        <v>0</v>
      </c>
      <c r="F8407" s="8">
        <v>1338</v>
      </c>
    </row>
    <row r="8408" spans="1:6" ht="12.75">
      <c r="A8408" s="8">
        <v>43901.183738425927</v>
      </c>
      <c r="B8408" s="8" t="str">
        <f>HYPERLINK("https://twitter.com/TengkarSeputro","@TengkarSeputro")</f>
        <v>@TengkarSeputro</v>
      </c>
      <c r="C8408" s="8" t="s">
        <v>1304</v>
      </c>
      <c r="D8408" s="8">
        <v>5</v>
      </c>
      <c r="E8408" s="8">
        <v>0</v>
      </c>
      <c r="F8408" s="8">
        <v>195</v>
      </c>
    </row>
    <row r="8409" spans="1:6" ht="12.75">
      <c r="A8409" s="8">
        <v>43901.183275462958</v>
      </c>
      <c r="B8409" s="8" t="str">
        <f>HYPERLINK("https://twitter.com/Puspen_TNI","@Puspen_TNI")</f>
        <v>@Puspen_TNI</v>
      </c>
      <c r="C8409" s="8" t="s">
        <v>3870</v>
      </c>
      <c r="D8409" s="8">
        <v>5</v>
      </c>
      <c r="E8409" s="8">
        <v>14</v>
      </c>
      <c r="F8409" s="8">
        <v>307971</v>
      </c>
    </row>
    <row r="8410" spans="1:6" ht="12.75">
      <c r="A8410" s="8">
        <v>43901.183113425926</v>
      </c>
      <c r="B8410" s="8" t="str">
        <f>HYPERLINK("https://twitter.com/anaswongkamfung","@anaswongkamfung")</f>
        <v>@anaswongkamfung</v>
      </c>
      <c r="C8410" s="8" t="s">
        <v>1186</v>
      </c>
      <c r="D8410" s="8">
        <v>159</v>
      </c>
      <c r="E8410" s="8">
        <v>0</v>
      </c>
      <c r="F8410" s="8">
        <v>1213</v>
      </c>
    </row>
    <row r="8411" spans="1:6" ht="12.75">
      <c r="A8411" s="8">
        <v>43901.182847222226</v>
      </c>
      <c r="B8411" s="8" t="str">
        <f>HYPERLINK("https://twitter.com/YoyokSubandriy3","@YoyokSubandriy3")</f>
        <v>@YoyokSubandriy3</v>
      </c>
      <c r="C8411" s="8" t="s">
        <v>3871</v>
      </c>
      <c r="D8411" s="8">
        <v>1</v>
      </c>
      <c r="E8411" s="8">
        <v>0</v>
      </c>
      <c r="F8411" s="8">
        <v>1338</v>
      </c>
    </row>
    <row r="8412" spans="1:6" ht="12.75">
      <c r="A8412" s="8">
        <v>43901.181793981479</v>
      </c>
      <c r="B8412" s="8" t="str">
        <f>HYPERLINK("https://twitter.com/yudi_suhendra","@yudi_suhendra")</f>
        <v>@yudi_suhendra</v>
      </c>
      <c r="C8412" s="8" t="s">
        <v>318</v>
      </c>
      <c r="D8412" s="8">
        <v>1090</v>
      </c>
      <c r="E8412" s="8">
        <v>0</v>
      </c>
      <c r="F8412" s="8">
        <v>71</v>
      </c>
    </row>
    <row r="8413" spans="1:6" ht="12.75">
      <c r="A8413" s="8">
        <v>43901.180451388893</v>
      </c>
      <c r="B8413" s="8" t="str">
        <f>HYPERLINK("https://twitter.com/Puspen_TNI","@Puspen_TNI")</f>
        <v>@Puspen_TNI</v>
      </c>
      <c r="C8413" s="8" t="s">
        <v>3872</v>
      </c>
      <c r="D8413" s="8">
        <v>1</v>
      </c>
      <c r="E8413" s="8">
        <v>10</v>
      </c>
      <c r="F8413" s="8">
        <v>307971</v>
      </c>
    </row>
    <row r="8414" spans="1:6" ht="12.75">
      <c r="A8414" s="8">
        <v>43901.180196759262</v>
      </c>
      <c r="B8414" s="8" t="str">
        <f>HYPERLINK("https://twitter.com/wawan_r","@wawan_r")</f>
        <v>@wawan_r</v>
      </c>
      <c r="C8414" s="8" t="s">
        <v>2537</v>
      </c>
      <c r="D8414" s="8">
        <v>27</v>
      </c>
      <c r="E8414" s="8">
        <v>0</v>
      </c>
      <c r="F8414" s="8">
        <v>369</v>
      </c>
    </row>
    <row r="8415" spans="1:6" ht="12.75">
      <c r="A8415" s="8">
        <v>43901.178136574075</v>
      </c>
      <c r="B8415" s="8" t="str">
        <f>HYPERLINK("https://twitter.com/DediKur69208970","@DediKur69208970")</f>
        <v>@DediKur69208970</v>
      </c>
      <c r="C8415" s="8" t="s">
        <v>318</v>
      </c>
      <c r="D8415" s="8">
        <v>1090</v>
      </c>
      <c r="E8415" s="8">
        <v>0</v>
      </c>
      <c r="F8415" s="8">
        <v>6</v>
      </c>
    </row>
    <row r="8416" spans="1:6" ht="12.75">
      <c r="A8416" s="8">
        <v>43901.176655092597</v>
      </c>
      <c r="B8416" s="8" t="str">
        <f>HYPERLINK("https://twitter.com/AdiSeti48631226","@AdiSeti48631226")</f>
        <v>@AdiSeti48631226</v>
      </c>
      <c r="C8416" s="8" t="s">
        <v>318</v>
      </c>
      <c r="D8416" s="8">
        <v>1090</v>
      </c>
      <c r="E8416" s="8">
        <v>0</v>
      </c>
      <c r="F8416" s="8">
        <v>281</v>
      </c>
    </row>
    <row r="8417" spans="1:6" ht="12.75">
      <c r="A8417" s="8">
        <v>43901.175995370373</v>
      </c>
      <c r="B8417" s="8" t="str">
        <f>HYPERLINK("https://twitter.com/WahyuEkoW","@WahyuEkoW")</f>
        <v>@WahyuEkoW</v>
      </c>
      <c r="C8417" s="8" t="s">
        <v>318</v>
      </c>
      <c r="D8417" s="8">
        <v>1090</v>
      </c>
      <c r="E8417" s="8">
        <v>0</v>
      </c>
      <c r="F8417" s="8">
        <v>466</v>
      </c>
    </row>
    <row r="8418" spans="1:6" ht="12.75">
      <c r="A8418" s="8">
        <v>43901.17596064815</v>
      </c>
      <c r="B8418" s="8" t="str">
        <f>HYPERLINK("https://twitter.com/Dadiyata07","@Dadiyata07")</f>
        <v>@Dadiyata07</v>
      </c>
      <c r="C8418" s="8" t="s">
        <v>3873</v>
      </c>
      <c r="D8418" s="8">
        <v>1</v>
      </c>
      <c r="E8418" s="8">
        <v>10</v>
      </c>
      <c r="F8418" s="8">
        <v>2913</v>
      </c>
    </row>
    <row r="8419" spans="1:6" ht="12.75">
      <c r="A8419" s="8">
        <v>43901.172731481478</v>
      </c>
      <c r="B8419" s="8" t="str">
        <f>HYPERLINK("https://twitter.com/Opcux","@Opcux")</f>
        <v>@Opcux</v>
      </c>
      <c r="C8419" s="8" t="s">
        <v>3874</v>
      </c>
      <c r="D8419" s="8">
        <v>0</v>
      </c>
      <c r="E8419" s="8">
        <v>0</v>
      </c>
      <c r="F8419" s="8">
        <v>3509</v>
      </c>
    </row>
    <row r="8420" spans="1:6" ht="12.75">
      <c r="A8420" s="8">
        <v>43901.172418981485</v>
      </c>
      <c r="B8420" s="8" t="str">
        <f>HYPERLINK("https://twitter.com/wijaya_karenina","@wijaya_karenina")</f>
        <v>@wijaya_karenina</v>
      </c>
      <c r="C8420" s="8" t="s">
        <v>1801</v>
      </c>
      <c r="D8420" s="8">
        <v>97</v>
      </c>
      <c r="E8420" s="8">
        <v>0</v>
      </c>
      <c r="F8420" s="8">
        <v>520</v>
      </c>
    </row>
    <row r="8421" spans="1:6" ht="12.75">
      <c r="A8421" s="8">
        <v>43901.172152777777</v>
      </c>
      <c r="B8421" s="8" t="str">
        <f>HYPERLINK("https://twitter.com/Redonion94Pagi","@Redonion94Pagi")</f>
        <v>@Redonion94Pagi</v>
      </c>
      <c r="C8421" s="8" t="s">
        <v>1186</v>
      </c>
      <c r="D8421" s="8">
        <v>157</v>
      </c>
      <c r="E8421" s="8">
        <v>0</v>
      </c>
      <c r="F8421" s="8">
        <v>792</v>
      </c>
    </row>
    <row r="8422" spans="1:6" ht="12.75">
      <c r="A8422" s="8">
        <v>43901.170775462961</v>
      </c>
      <c r="B8422" s="8" t="str">
        <f>HYPERLINK("https://twitter.com/bakti249","@bakti249")</f>
        <v>@bakti249</v>
      </c>
      <c r="C8422" s="8" t="s">
        <v>1186</v>
      </c>
      <c r="D8422" s="8">
        <v>157</v>
      </c>
      <c r="E8422" s="8">
        <v>0</v>
      </c>
      <c r="F8422" s="8">
        <v>139</v>
      </c>
    </row>
    <row r="8423" spans="1:6" ht="12.75">
      <c r="A8423" s="8">
        <v>43901.170567129629</v>
      </c>
      <c r="B8423" s="8" t="str">
        <f>HYPERLINK("https://twitter.com/prawirasubarjah","@prawirasubarjah")</f>
        <v>@prawirasubarjah</v>
      </c>
      <c r="C8423" s="8" t="s">
        <v>3820</v>
      </c>
      <c r="D8423" s="8">
        <v>33</v>
      </c>
      <c r="E8423" s="8">
        <v>0</v>
      </c>
      <c r="F8423" s="8">
        <v>676</v>
      </c>
    </row>
    <row r="8424" spans="1:6" ht="12.75">
      <c r="A8424" s="8">
        <v>43901.168981481482</v>
      </c>
      <c r="B8424" s="8" t="str">
        <f>HYPERLINK("https://twitter.com/cha_raf","@cha_raf")</f>
        <v>@cha_raf</v>
      </c>
      <c r="C8424" s="8" t="s">
        <v>3875</v>
      </c>
      <c r="D8424" s="8">
        <v>0</v>
      </c>
      <c r="E8424" s="8">
        <v>0</v>
      </c>
      <c r="F8424" s="8">
        <v>70</v>
      </c>
    </row>
    <row r="8425" spans="1:6" ht="12.75">
      <c r="A8425" s="8">
        <v>43901.168472222227</v>
      </c>
      <c r="B8425" s="8" t="str">
        <f>HYPERLINK("https://twitter.com/pejuang_Receeh","@pejuang_Receeh")</f>
        <v>@pejuang_Receeh</v>
      </c>
      <c r="C8425" s="8" t="s">
        <v>318</v>
      </c>
      <c r="D8425" s="8">
        <v>1069</v>
      </c>
      <c r="E8425" s="8">
        <v>0</v>
      </c>
      <c r="F8425" s="8">
        <v>11</v>
      </c>
    </row>
    <row r="8426" spans="1:6" ht="12.75">
      <c r="A8426" s="8">
        <v>43901.168449074074</v>
      </c>
      <c r="B8426" s="8" t="str">
        <f>HYPERLINK("https://twitter.com/topinfo_id","@topinfo_id")</f>
        <v>@topinfo_id</v>
      </c>
      <c r="C8426" s="8" t="s">
        <v>3876</v>
      </c>
      <c r="D8426" s="8">
        <v>0</v>
      </c>
      <c r="E8426" s="8">
        <v>0</v>
      </c>
      <c r="F8426" s="8">
        <v>87</v>
      </c>
    </row>
    <row r="8427" spans="1:6" ht="12.75">
      <c r="A8427" s="8">
        <v>43901.167372685188</v>
      </c>
      <c r="B8427" s="8" t="str">
        <f>HYPERLINK("https://twitter.com/Nurhadi9913","@Nurhadi9913")</f>
        <v>@Nurhadi9913</v>
      </c>
      <c r="C8427" s="8" t="s">
        <v>318</v>
      </c>
      <c r="D8427" s="8">
        <v>1069</v>
      </c>
      <c r="E8427" s="8">
        <v>0</v>
      </c>
      <c r="F8427" s="8">
        <v>171</v>
      </c>
    </row>
    <row r="8428" spans="1:6" ht="12.75">
      <c r="A8428" s="8">
        <v>43901.166261574079</v>
      </c>
      <c r="B8428" s="8" t="str">
        <f>HYPERLINK("https://twitter.com/irwan_sahrul","@irwan_sahrul")</f>
        <v>@irwan_sahrul</v>
      </c>
      <c r="C8428" s="8" t="s">
        <v>3820</v>
      </c>
      <c r="D8428" s="8">
        <v>33</v>
      </c>
      <c r="E8428" s="8">
        <v>0</v>
      </c>
      <c r="F8428" s="8">
        <v>453</v>
      </c>
    </row>
    <row r="8429" spans="1:6" ht="12.75">
      <c r="A8429" s="8">
        <v>43901.166215277779</v>
      </c>
      <c r="B8429" s="8" t="str">
        <f>HYPERLINK("https://twitter.com/RajatAgunkz","@RajatAgunkz")</f>
        <v>@RajatAgunkz</v>
      </c>
      <c r="C8429" s="8" t="s">
        <v>1186</v>
      </c>
      <c r="D8429" s="8">
        <v>157</v>
      </c>
      <c r="E8429" s="8">
        <v>0</v>
      </c>
      <c r="F8429" s="8">
        <v>39</v>
      </c>
    </row>
    <row r="8430" spans="1:6" ht="12.75">
      <c r="A8430" s="8">
        <v>43901.165902777779</v>
      </c>
      <c r="B8430" s="8" t="str">
        <f>HYPERLINK("https://twitter.com/RahmanurY","@RahmanurY")</f>
        <v>@RahmanurY</v>
      </c>
      <c r="C8430" s="8" t="s">
        <v>318</v>
      </c>
      <c r="D8430" s="8">
        <v>1069</v>
      </c>
      <c r="E8430" s="8">
        <v>0</v>
      </c>
      <c r="F8430" s="8">
        <v>166</v>
      </c>
    </row>
    <row r="8431" spans="1:6" ht="12.75">
      <c r="A8431" s="8">
        <v>43901.165729166663</v>
      </c>
      <c r="B8431" s="8" t="str">
        <f>HYPERLINK("https://twitter.com/andev17","@andev17")</f>
        <v>@andev17</v>
      </c>
      <c r="C8431" s="8" t="s">
        <v>1801</v>
      </c>
      <c r="D8431" s="8">
        <v>97</v>
      </c>
      <c r="E8431" s="8">
        <v>0</v>
      </c>
      <c r="F8431" s="8">
        <v>213</v>
      </c>
    </row>
    <row r="8432" spans="1:6" ht="12.75">
      <c r="A8432" s="8">
        <v>43901.165277777778</v>
      </c>
      <c r="B8432" s="8" t="str">
        <f>HYPERLINK("https://twitter.com/asep_maoshul","@asep_maoshul")</f>
        <v>@asep_maoshul</v>
      </c>
      <c r="C8432" s="8" t="s">
        <v>318</v>
      </c>
      <c r="D8432" s="8">
        <v>1069</v>
      </c>
      <c r="E8432" s="8">
        <v>0</v>
      </c>
      <c r="F8432" s="8">
        <v>1554</v>
      </c>
    </row>
    <row r="8433" spans="1:6" ht="12.75">
      <c r="A8433" s="8">
        <v>43901.163611111115</v>
      </c>
      <c r="B8433" s="8" t="str">
        <f>HYPERLINK("https://twitter.com/AnakBet4wi","@AnakBet4wi")</f>
        <v>@AnakBet4wi</v>
      </c>
      <c r="C8433" s="8" t="s">
        <v>318</v>
      </c>
      <c r="D8433" s="8">
        <v>1069</v>
      </c>
      <c r="E8433" s="8">
        <v>0</v>
      </c>
      <c r="F8433" s="8">
        <v>2067</v>
      </c>
    </row>
    <row r="8434" spans="1:6" ht="12.75">
      <c r="A8434" s="8">
        <v>43901.162175925929</v>
      </c>
      <c r="B8434" s="8" t="str">
        <f>HYPERLINK("https://twitter.com/tidung_woles","@tidung_woles")</f>
        <v>@tidung_woles</v>
      </c>
      <c r="C8434" s="8" t="s">
        <v>3877</v>
      </c>
      <c r="D8434" s="8">
        <v>0</v>
      </c>
      <c r="E8434" s="8">
        <v>0</v>
      </c>
      <c r="F8434" s="8">
        <v>513</v>
      </c>
    </row>
    <row r="8435" spans="1:6" ht="12.75">
      <c r="A8435" s="8">
        <v>43901.158101851848</v>
      </c>
      <c r="B8435" s="8" t="str">
        <f>HYPERLINK("https://twitter.com/ved966","@ved966")</f>
        <v>@ved966</v>
      </c>
      <c r="C8435" s="8" t="s">
        <v>3878</v>
      </c>
      <c r="D8435" s="8">
        <v>0</v>
      </c>
      <c r="E8435" s="8">
        <v>0</v>
      </c>
      <c r="F8435" s="8">
        <v>289</v>
      </c>
    </row>
    <row r="8436" spans="1:6" ht="12.75">
      <c r="A8436" s="8">
        <v>43901.157731481479</v>
      </c>
      <c r="B8436" s="8" t="str">
        <f>HYPERLINK("https://twitter.com/Rabakae9","@Rabakae9")</f>
        <v>@Rabakae9</v>
      </c>
      <c r="C8436" s="8" t="s">
        <v>1801</v>
      </c>
      <c r="D8436" s="8">
        <v>97</v>
      </c>
      <c r="E8436" s="8">
        <v>0</v>
      </c>
      <c r="F8436" s="8">
        <v>178</v>
      </c>
    </row>
    <row r="8437" spans="1:6" ht="12.75">
      <c r="A8437" s="8">
        <v>43901.156354166669</v>
      </c>
      <c r="B8437" s="8" t="str">
        <f>HYPERLINK("https://twitter.com/rekhmankhl","@rekhmankhl")</f>
        <v>@rekhmankhl</v>
      </c>
      <c r="C8437" s="8" t="s">
        <v>1186</v>
      </c>
      <c r="D8437" s="8">
        <v>157</v>
      </c>
      <c r="E8437" s="8">
        <v>0</v>
      </c>
      <c r="F8437" s="8">
        <v>291</v>
      </c>
    </row>
    <row r="8438" spans="1:6" ht="12.75">
      <c r="A8438" s="8">
        <v>43901.156041666662</v>
      </c>
      <c r="B8438" s="8" t="str">
        <f>HYPERLINK("https://twitter.com/Arumi72820080","@Arumi72820080")</f>
        <v>@Arumi72820080</v>
      </c>
      <c r="C8438" s="8" t="s">
        <v>2537</v>
      </c>
      <c r="D8438" s="8">
        <v>26</v>
      </c>
      <c r="E8438" s="8">
        <v>0</v>
      </c>
      <c r="F8438" s="8">
        <v>11</v>
      </c>
    </row>
    <row r="8439" spans="1:6" ht="12.75">
      <c r="A8439" s="8">
        <v>43901.155682870369</v>
      </c>
      <c r="B8439" s="8" t="str">
        <f>HYPERLINK("https://twitter.com/WadSyahida","@WadSyahida")</f>
        <v>@WadSyahida</v>
      </c>
      <c r="C8439" s="8" t="s">
        <v>318</v>
      </c>
      <c r="D8439" s="8">
        <v>1069</v>
      </c>
      <c r="E8439" s="8">
        <v>0</v>
      </c>
      <c r="F8439" s="8">
        <v>2</v>
      </c>
    </row>
    <row r="8440" spans="1:6" ht="12.75">
      <c r="A8440" s="8">
        <v>43901.154583333337</v>
      </c>
      <c r="B8440" s="8" t="str">
        <f>HYPERLINK("https://twitter.com/yaziyorsonhavd","@yaziyorsonhavd")</f>
        <v>@yaziyorsonhavd</v>
      </c>
      <c r="C8440" s="8" t="s">
        <v>3879</v>
      </c>
      <c r="D8440" s="8">
        <v>0</v>
      </c>
      <c r="E8440" s="8">
        <v>0</v>
      </c>
      <c r="F8440" s="8">
        <v>527</v>
      </c>
    </row>
    <row r="8441" spans="1:6" ht="12.75">
      <c r="A8441" s="8">
        <v>43901.154212962967</v>
      </c>
      <c r="B8441" s="8" t="str">
        <f>HYPERLINK("https://twitter.com/mutajir_mohamat","@mutajir_mohamat")</f>
        <v>@mutajir_mohamat</v>
      </c>
      <c r="C8441" s="8" t="s">
        <v>318</v>
      </c>
      <c r="D8441" s="8">
        <v>1069</v>
      </c>
      <c r="E8441" s="8">
        <v>0</v>
      </c>
      <c r="F8441" s="8">
        <v>277</v>
      </c>
    </row>
    <row r="8442" spans="1:6" ht="12.75">
      <c r="A8442" s="8">
        <v>43901.153726851851</v>
      </c>
      <c r="B8442" s="8" t="str">
        <f>HYPERLINK("https://twitter.com/EdiKeceput","@EdiKeceput")</f>
        <v>@EdiKeceput</v>
      </c>
      <c r="C8442" s="8" t="s">
        <v>1186</v>
      </c>
      <c r="D8442" s="8">
        <v>157</v>
      </c>
      <c r="E8442" s="8">
        <v>0</v>
      </c>
      <c r="F8442" s="8">
        <v>487</v>
      </c>
    </row>
    <row r="8443" spans="1:6" ht="12.75">
      <c r="A8443" s="8">
        <v>43901.151782407411</v>
      </c>
      <c r="B8443" s="8" t="str">
        <f>HYPERLINK("https://twitter.com/voaindonesia","@voaindonesia")</f>
        <v>@voaindonesia</v>
      </c>
      <c r="C8443" s="8" t="s">
        <v>3876</v>
      </c>
      <c r="D8443" s="8">
        <v>0</v>
      </c>
      <c r="E8443" s="8">
        <v>1</v>
      </c>
      <c r="F8443" s="8">
        <v>307991</v>
      </c>
    </row>
    <row r="8444" spans="1:6" ht="12.75">
      <c r="A8444" s="8">
        <v>43901.15042824074</v>
      </c>
      <c r="B8444" s="8" t="str">
        <f>HYPERLINK("https://twitter.com/Koarmada2SBY","@Koarmada2SBY")</f>
        <v>@Koarmada2SBY</v>
      </c>
      <c r="C8444" s="8" t="s">
        <v>3880</v>
      </c>
      <c r="D8444" s="8">
        <v>0</v>
      </c>
      <c r="E8444" s="8">
        <v>0</v>
      </c>
      <c r="F8444" s="8">
        <v>1864</v>
      </c>
    </row>
    <row r="8445" spans="1:6" ht="12.75">
      <c r="A8445" s="8">
        <v>43901.149745370371</v>
      </c>
      <c r="B8445" s="8" t="str">
        <f>HYPERLINK("https://twitter.com/ntrahman2013","@ntrahman2013")</f>
        <v>@ntrahman2013</v>
      </c>
      <c r="C8445" s="8" t="s">
        <v>1801</v>
      </c>
      <c r="D8445" s="8">
        <v>97</v>
      </c>
      <c r="E8445" s="8">
        <v>0</v>
      </c>
      <c r="F8445" s="8">
        <v>1804</v>
      </c>
    </row>
    <row r="8446" spans="1:6" ht="12.75">
      <c r="A8446" s="8">
        <v>43901.149386574078</v>
      </c>
      <c r="B8446" s="8" t="str">
        <f>HYPERLINK("https://twitter.com/ayazephyranthes","@ayazephyranthes")</f>
        <v>@ayazephyranthes</v>
      </c>
      <c r="C8446" s="8" t="s">
        <v>3881</v>
      </c>
      <c r="D8446" s="8">
        <v>0</v>
      </c>
      <c r="E8446" s="8">
        <v>0</v>
      </c>
      <c r="F8446" s="8">
        <v>76</v>
      </c>
    </row>
    <row r="8447" spans="1:6" ht="12.75">
      <c r="A8447" s="8">
        <v>43901.148969907408</v>
      </c>
      <c r="B8447" s="8" t="str">
        <f>HYPERLINK("https://twitter.com/trah1967","@trah1967")</f>
        <v>@trah1967</v>
      </c>
      <c r="C8447" s="8" t="s">
        <v>1186</v>
      </c>
      <c r="D8447" s="8">
        <v>157</v>
      </c>
      <c r="E8447" s="8">
        <v>0</v>
      </c>
      <c r="F8447" s="8">
        <v>1970</v>
      </c>
    </row>
    <row r="8448" spans="1:6" ht="12.75">
      <c r="A8448" s="8">
        <v>43901.148229166662</v>
      </c>
      <c r="B8448" s="8" t="str">
        <f>HYPERLINK("https://twitter.com/AndrianJavanese","@AndrianJavanese")</f>
        <v>@AndrianJavanese</v>
      </c>
      <c r="C8448" s="8" t="s">
        <v>318</v>
      </c>
      <c r="D8448" s="8">
        <v>1069</v>
      </c>
      <c r="E8448" s="8">
        <v>0</v>
      </c>
      <c r="F8448" s="8">
        <v>391</v>
      </c>
    </row>
    <row r="8449" spans="1:6" ht="12.75">
      <c r="A8449" s="8">
        <v>43901.141701388886</v>
      </c>
      <c r="B8449" s="8" t="str">
        <f>HYPERLINK("https://twitter.com/Ahmadmuntari","@Ahmadmuntari")</f>
        <v>@Ahmadmuntari</v>
      </c>
      <c r="C8449" s="8" t="s">
        <v>3882</v>
      </c>
      <c r="D8449" s="8">
        <v>0</v>
      </c>
      <c r="E8449" s="8">
        <v>0</v>
      </c>
      <c r="F8449" s="8">
        <v>512</v>
      </c>
    </row>
    <row r="8450" spans="1:6" ht="12.75">
      <c r="A8450" s="8">
        <v>43901.141331018516</v>
      </c>
      <c r="B8450" s="8" t="str">
        <f>HYPERLINK("https://twitter.com/wrisanebungtomo","@wrisanebungtomo")</f>
        <v>@wrisanebungtomo</v>
      </c>
      <c r="C8450" s="8" t="s">
        <v>318</v>
      </c>
      <c r="D8450" s="8">
        <v>1069</v>
      </c>
      <c r="E8450" s="8">
        <v>0</v>
      </c>
      <c r="F8450" s="8">
        <v>83</v>
      </c>
    </row>
    <row r="8451" spans="1:6" ht="12.75">
      <c r="A8451" s="8">
        <v>43901.139398148152</v>
      </c>
      <c r="B8451" s="8" t="str">
        <f>HYPERLINK("https://twitter.com/NurAgus19","@NurAgus19")</f>
        <v>@NurAgus19</v>
      </c>
      <c r="C8451" s="8" t="s">
        <v>1186</v>
      </c>
      <c r="D8451" s="8">
        <v>157</v>
      </c>
      <c r="E8451" s="8">
        <v>0</v>
      </c>
      <c r="F8451" s="8">
        <v>236</v>
      </c>
    </row>
    <row r="8452" spans="1:6" ht="12.75">
      <c r="A8452" s="8">
        <v>43901.138912037037</v>
      </c>
      <c r="B8452" s="8" t="str">
        <f>HYPERLINK("https://twitter.com/PulauTidung123","@PulauTidung123")</f>
        <v>@PulauTidung123</v>
      </c>
      <c r="C8452" s="8" t="s">
        <v>3883</v>
      </c>
      <c r="D8452" s="8">
        <v>0</v>
      </c>
      <c r="E8452" s="8">
        <v>0</v>
      </c>
      <c r="F8452" s="8">
        <v>149</v>
      </c>
    </row>
    <row r="8453" spans="1:6" ht="12.75">
      <c r="A8453" s="8">
        <v>43901.136620370366</v>
      </c>
      <c r="B8453" s="8" t="str">
        <f>HYPERLINK("https://twitter.com/MassEnemy","@MassEnemy")</f>
        <v>@MassEnemy</v>
      </c>
      <c r="C8453" s="8" t="s">
        <v>3190</v>
      </c>
      <c r="D8453" s="8">
        <v>139</v>
      </c>
      <c r="E8453" s="8">
        <v>0</v>
      </c>
      <c r="F8453" s="8">
        <v>19</v>
      </c>
    </row>
    <row r="8454" spans="1:6" ht="12.75">
      <c r="A8454" s="8">
        <v>43901.132418981477</v>
      </c>
      <c r="B8454" s="8" t="str">
        <f>HYPERLINK("https://twitter.com/LieDetectorID","@LieDetectorID")</f>
        <v>@LieDetectorID</v>
      </c>
      <c r="C8454" s="8" t="s">
        <v>3190</v>
      </c>
      <c r="D8454" s="8">
        <v>139</v>
      </c>
      <c r="E8454" s="8">
        <v>0</v>
      </c>
      <c r="F8454" s="8">
        <v>10382</v>
      </c>
    </row>
    <row r="8455" spans="1:6" ht="12.75">
      <c r="A8455" s="8">
        <v>43901.131967592592</v>
      </c>
      <c r="B8455" s="8" t="str">
        <f>HYPERLINK("https://twitter.com/ck_audrey","@ck_audrey")</f>
        <v>@ck_audrey</v>
      </c>
      <c r="C8455" s="8" t="s">
        <v>1801</v>
      </c>
      <c r="D8455" s="8">
        <v>97</v>
      </c>
      <c r="E8455" s="8">
        <v>0</v>
      </c>
      <c r="F8455" s="8">
        <v>660</v>
      </c>
    </row>
    <row r="8456" spans="1:6" ht="12.75">
      <c r="A8456" s="8">
        <v>43901.126030092593</v>
      </c>
      <c r="B8456" s="8" t="str">
        <f>HYPERLINK("https://twitter.com/andi_saja","@andi_saja")</f>
        <v>@andi_saja</v>
      </c>
      <c r="C8456" s="8" t="s">
        <v>1801</v>
      </c>
      <c r="D8456" s="8">
        <v>92</v>
      </c>
      <c r="E8456" s="8">
        <v>0</v>
      </c>
      <c r="F8456" s="8">
        <v>1969</v>
      </c>
    </row>
    <row r="8457" spans="1:6" ht="12.75">
      <c r="A8457" s="8">
        <v>43901.125081018516</v>
      </c>
      <c r="B8457" s="8" t="str">
        <f>HYPERLINK("https://twitter.com/sandmanindo","@sandmanindo")</f>
        <v>@sandmanindo</v>
      </c>
      <c r="C8457" s="8" t="s">
        <v>3317</v>
      </c>
      <c r="D8457" s="8">
        <v>3</v>
      </c>
      <c r="E8457" s="8">
        <v>0</v>
      </c>
      <c r="F8457" s="8">
        <v>399</v>
      </c>
    </row>
    <row r="8458" spans="1:6" ht="12.75">
      <c r="A8458" s="8">
        <v>43901.123136574075</v>
      </c>
      <c r="B8458" s="8" t="str">
        <f>HYPERLINK("https://twitter.com/dezi555","@dezi555")</f>
        <v>@dezi555</v>
      </c>
      <c r="C8458" s="8" t="s">
        <v>3884</v>
      </c>
      <c r="D8458" s="8">
        <v>0</v>
      </c>
      <c r="E8458" s="8">
        <v>0</v>
      </c>
      <c r="F8458" s="8">
        <v>651</v>
      </c>
    </row>
    <row r="8459" spans="1:6" ht="12.75">
      <c r="A8459" s="8">
        <v>43901.122048611112</v>
      </c>
      <c r="B8459" s="8" t="str">
        <f>HYPERLINK("https://twitter.com/_irvanprtm","@_irvanprtm")</f>
        <v>@_irvanprtm</v>
      </c>
      <c r="C8459" s="8" t="s">
        <v>3515</v>
      </c>
      <c r="D8459" s="8">
        <v>2399</v>
      </c>
      <c r="E8459" s="8">
        <v>0</v>
      </c>
      <c r="F8459" s="8">
        <v>93</v>
      </c>
    </row>
    <row r="8460" spans="1:6" ht="12.75">
      <c r="A8460" s="8">
        <v>43901.120266203703</v>
      </c>
      <c r="B8460" s="8" t="str">
        <f>HYPERLINK("https://twitter.com/AlioshaLex","@AlioshaLex")</f>
        <v>@AlioshaLex</v>
      </c>
      <c r="C8460" s="8" t="s">
        <v>3885</v>
      </c>
      <c r="D8460" s="8">
        <v>0</v>
      </c>
      <c r="E8460" s="8">
        <v>0</v>
      </c>
      <c r="F8460" s="8">
        <v>6</v>
      </c>
    </row>
    <row r="8461" spans="1:6" ht="12.75">
      <c r="A8461" s="8">
        <v>43901.118275462963</v>
      </c>
      <c r="B8461" s="8" t="str">
        <f>HYPERLINK("https://twitter.com/kushalparihark2","@kushalparihark2")</f>
        <v>@kushalparihark2</v>
      </c>
      <c r="C8461" s="8" t="s">
        <v>3886</v>
      </c>
      <c r="D8461" s="8">
        <v>0</v>
      </c>
      <c r="E8461" s="8">
        <v>0</v>
      </c>
      <c r="F8461" s="8">
        <v>57</v>
      </c>
    </row>
    <row r="8462" spans="1:6" ht="12.75">
      <c r="A8462" s="8">
        <v>43901.118206018524</v>
      </c>
      <c r="B8462" s="8" t="str">
        <f>HYPERLINK("https://twitter.com/bgamir3","@bgamir3")</f>
        <v>@bgamir3</v>
      </c>
      <c r="C8462" s="8" t="s">
        <v>318</v>
      </c>
      <c r="D8462" s="8">
        <v>1057</v>
      </c>
      <c r="E8462" s="8">
        <v>0</v>
      </c>
      <c r="F8462" s="8">
        <v>623</v>
      </c>
    </row>
    <row r="8463" spans="1:6" ht="12.75">
      <c r="A8463" s="8">
        <v>43901.115636574075</v>
      </c>
      <c r="B8463" s="8" t="str">
        <f>HYPERLINK("https://twitter.com/Pimentta_Maah13","@Pimentta_Maah13")</f>
        <v>@Pimentta_Maah13</v>
      </c>
      <c r="C8463" s="8" t="s">
        <v>3887</v>
      </c>
      <c r="D8463" s="8">
        <v>0</v>
      </c>
      <c r="E8463" s="8">
        <v>0</v>
      </c>
      <c r="F8463" s="8">
        <v>33</v>
      </c>
    </row>
    <row r="8464" spans="1:6" ht="12.75">
      <c r="A8464" s="8">
        <v>43901.113692129627</v>
      </c>
      <c r="B8464" s="8" t="str">
        <f>HYPERLINK("https://twitter.com/fantoyo","@fantoyo")</f>
        <v>@fantoyo</v>
      </c>
      <c r="C8464" s="8" t="s">
        <v>3110</v>
      </c>
      <c r="D8464" s="8">
        <v>15</v>
      </c>
      <c r="E8464" s="8">
        <v>0</v>
      </c>
      <c r="F8464" s="8">
        <v>1</v>
      </c>
    </row>
    <row r="8465" spans="1:6" ht="12.75">
      <c r="A8465" s="8">
        <v>43901.113402777773</v>
      </c>
      <c r="B8465" s="8" t="str">
        <f>HYPERLINK("https://twitter.com/aldinodimas","@aldinodimas")</f>
        <v>@aldinodimas</v>
      </c>
      <c r="C8465" s="8" t="s">
        <v>3190</v>
      </c>
      <c r="D8465" s="8">
        <v>137</v>
      </c>
      <c r="E8465" s="8">
        <v>0</v>
      </c>
      <c r="F8465" s="8">
        <v>457</v>
      </c>
    </row>
    <row r="8466" spans="1:6" ht="12.75">
      <c r="A8466" s="8">
        <v>43901.113344907411</v>
      </c>
      <c r="B8466" s="8" t="str">
        <f>HYPERLINK("https://twitter.com/mudha_satriya","@mudha_satriya")</f>
        <v>@mudha_satriya</v>
      </c>
      <c r="C8466" s="8" t="s">
        <v>3888</v>
      </c>
      <c r="D8466" s="8">
        <v>5</v>
      </c>
      <c r="E8466" s="8">
        <v>0</v>
      </c>
      <c r="F8466" s="8">
        <v>1883</v>
      </c>
    </row>
    <row r="8467" spans="1:6" ht="12.75">
      <c r="A8467" s="8">
        <v>43901.111273148148</v>
      </c>
      <c r="B8467" s="8" t="str">
        <f>HYPERLINK("https://twitter.com/Fahryusman_94","@Fahryusman_94")</f>
        <v>@Fahryusman_94</v>
      </c>
      <c r="C8467" s="8" t="s">
        <v>3889</v>
      </c>
      <c r="D8467" s="8">
        <v>2</v>
      </c>
      <c r="E8467" s="8">
        <v>0</v>
      </c>
      <c r="F8467" s="8">
        <v>9</v>
      </c>
    </row>
    <row r="8468" spans="1:6" ht="12.75">
      <c r="A8468" s="8">
        <v>43901.110081018516</v>
      </c>
      <c r="B8468" s="8" t="str">
        <f>HYPERLINK("https://twitter.com/presa_kautsar","@presa_kautsar")</f>
        <v>@presa_kautsar</v>
      </c>
      <c r="C8468" s="8" t="s">
        <v>1186</v>
      </c>
      <c r="D8468" s="8">
        <v>148</v>
      </c>
      <c r="E8468" s="8">
        <v>0</v>
      </c>
      <c r="F8468" s="8">
        <v>168</v>
      </c>
    </row>
    <row r="8469" spans="1:6" ht="12.75">
      <c r="A8469" s="8">
        <v>43901.109837962962</v>
      </c>
      <c r="B8469" s="8" t="str">
        <f>HYPERLINK("https://twitter.com/juliennsingh","@juliennsingh")</f>
        <v>@juliennsingh</v>
      </c>
      <c r="C8469" s="8" t="s">
        <v>3890</v>
      </c>
      <c r="D8469" s="8">
        <v>0</v>
      </c>
      <c r="E8469" s="8">
        <v>0</v>
      </c>
      <c r="F8469" s="8">
        <v>142</v>
      </c>
    </row>
    <row r="8470" spans="1:6" ht="12.75">
      <c r="A8470" s="8">
        <v>43901.1097337963</v>
      </c>
      <c r="B8470" s="8" t="str">
        <f>HYPERLINK("https://twitter.com/Ruu69598488","@Ruu69598488")</f>
        <v>@Ruu69598488</v>
      </c>
      <c r="C8470" s="8" t="s">
        <v>1801</v>
      </c>
      <c r="D8470" s="8">
        <v>92</v>
      </c>
      <c r="E8470" s="8">
        <v>0</v>
      </c>
      <c r="F8470" s="8">
        <v>389</v>
      </c>
    </row>
    <row r="8471" spans="1:6" ht="12.75">
      <c r="A8471" s="8">
        <v>43901.108981481477</v>
      </c>
      <c r="B8471" s="8" t="str">
        <f>HYPERLINK("https://twitter.com/bambang_hesti","@bambang_hesti")</f>
        <v>@bambang_hesti</v>
      </c>
      <c r="C8471" s="8" t="s">
        <v>3891</v>
      </c>
      <c r="D8471" s="8">
        <v>0</v>
      </c>
      <c r="E8471" s="8">
        <v>0</v>
      </c>
      <c r="F8471" s="8">
        <v>15</v>
      </c>
    </row>
    <row r="8472" spans="1:6" ht="12.75">
      <c r="A8472" s="8">
        <v>43901.108900462961</v>
      </c>
      <c r="B8472" s="8" t="str">
        <f>HYPERLINK("https://twitter.com/BudiPra87870630","@BudiPra87870630")</f>
        <v>@BudiPra87870630</v>
      </c>
      <c r="C8472" s="8" t="s">
        <v>1801</v>
      </c>
      <c r="D8472" s="8">
        <v>92</v>
      </c>
      <c r="E8472" s="8">
        <v>0</v>
      </c>
      <c r="F8472" s="8">
        <v>29</v>
      </c>
    </row>
    <row r="8473" spans="1:6" ht="12.75">
      <c r="A8473" s="8">
        <v>43901.108599537038</v>
      </c>
      <c r="B8473" s="8" t="str">
        <f>HYPERLINK("https://twitter.com/SohibCamp3","@SohibCamp3")</f>
        <v>@SohibCamp3</v>
      </c>
      <c r="C8473" s="8" t="s">
        <v>3892</v>
      </c>
      <c r="D8473" s="8">
        <v>0</v>
      </c>
      <c r="E8473" s="8">
        <v>0</v>
      </c>
      <c r="F8473" s="8">
        <v>38</v>
      </c>
    </row>
    <row r="8474" spans="1:6" ht="12.75">
      <c r="A8474" s="8">
        <v>43901.108414351853</v>
      </c>
      <c r="B8474" s="8" t="str">
        <f>HYPERLINK("https://twitter.com/Budi30971592","@Budi30971592")</f>
        <v>@Budi30971592</v>
      </c>
      <c r="C8474" s="8" t="s">
        <v>1186</v>
      </c>
      <c r="D8474" s="8">
        <v>148</v>
      </c>
      <c r="E8474" s="8">
        <v>0</v>
      </c>
      <c r="F8474" s="8">
        <v>50</v>
      </c>
    </row>
    <row r="8475" spans="1:6" ht="12.75">
      <c r="A8475" s="8">
        <v>43901.108287037037</v>
      </c>
      <c r="B8475" s="8" t="str">
        <f>HYPERLINK("https://twitter.com/emile_AsShiba","@emile_AsShiba")</f>
        <v>@emile_AsShiba</v>
      </c>
      <c r="C8475" s="8" t="s">
        <v>1801</v>
      </c>
      <c r="D8475" s="8">
        <v>92</v>
      </c>
      <c r="E8475" s="8">
        <v>0</v>
      </c>
      <c r="F8475" s="8">
        <v>142</v>
      </c>
    </row>
    <row r="8476" spans="1:6" ht="12.75">
      <c r="A8476" s="8">
        <v>43901.106724537036</v>
      </c>
      <c r="B8476" s="8" t="str">
        <f>HYPERLINK("https://twitter.com/Yadi33653534","@Yadi33653534")</f>
        <v>@Yadi33653534</v>
      </c>
      <c r="C8476" s="8" t="s">
        <v>1186</v>
      </c>
      <c r="D8476" s="8">
        <v>148</v>
      </c>
      <c r="E8476" s="8">
        <v>0</v>
      </c>
      <c r="F8476" s="8">
        <v>620</v>
      </c>
    </row>
    <row r="8477" spans="1:6" ht="12.75">
      <c r="A8477" s="8">
        <v>43901.106504629628</v>
      </c>
      <c r="B8477" s="8" t="str">
        <f>HYPERLINK("https://twitter.com/Ferysplace","@Ferysplace")</f>
        <v>@Ferysplace</v>
      </c>
      <c r="C8477" s="8" t="s">
        <v>1801</v>
      </c>
      <c r="D8477" s="8">
        <v>92</v>
      </c>
      <c r="E8477" s="8">
        <v>0</v>
      </c>
      <c r="F8477" s="8">
        <v>582</v>
      </c>
    </row>
    <row r="8478" spans="1:6" ht="12.75">
      <c r="A8478" s="8">
        <v>43901.106458333335</v>
      </c>
      <c r="B8478" s="8" t="str">
        <f>HYPERLINK("https://twitter.com/Galang82369439","@Galang82369439")</f>
        <v>@Galang82369439</v>
      </c>
      <c r="C8478" s="8" t="s">
        <v>1801</v>
      </c>
      <c r="D8478" s="8">
        <v>92</v>
      </c>
      <c r="E8478" s="8">
        <v>0</v>
      </c>
      <c r="F8478" s="8">
        <v>151</v>
      </c>
    </row>
    <row r="8479" spans="1:6" ht="12.75">
      <c r="A8479" s="8">
        <v>43901.103344907402</v>
      </c>
      <c r="B8479" s="8" t="str">
        <f>HYPERLINK("https://twitter.com/LadesSagitario","@LadesSagitario")</f>
        <v>@LadesSagitario</v>
      </c>
      <c r="C8479" s="8" t="s">
        <v>318</v>
      </c>
      <c r="D8479" s="8">
        <v>1057</v>
      </c>
      <c r="E8479" s="8">
        <v>0</v>
      </c>
      <c r="F8479" s="8">
        <v>237</v>
      </c>
    </row>
    <row r="8480" spans="1:6" ht="12.75">
      <c r="A8480" s="8">
        <v>43901.102071759262</v>
      </c>
      <c r="B8480" s="8" t="str">
        <f>HYPERLINK("https://twitter.com/noxora1","@noxora1")</f>
        <v>@noxora1</v>
      </c>
      <c r="C8480" s="8" t="s">
        <v>3893</v>
      </c>
      <c r="D8480" s="8">
        <v>0</v>
      </c>
      <c r="E8480" s="8">
        <v>1</v>
      </c>
      <c r="F8480" s="8">
        <v>5467</v>
      </c>
    </row>
    <row r="8481" spans="1:6" ht="12.75">
      <c r="A8481" s="8">
        <v>43901.100405092591</v>
      </c>
      <c r="B8481" s="8" t="str">
        <f>HYPERLINK("https://twitter.com/anggihawawi","@anggihawawi")</f>
        <v>@anggihawawi</v>
      </c>
      <c r="C8481" s="8" t="s">
        <v>1801</v>
      </c>
      <c r="D8481" s="8">
        <v>92</v>
      </c>
      <c r="E8481" s="8">
        <v>0</v>
      </c>
      <c r="F8481" s="8">
        <v>19</v>
      </c>
    </row>
    <row r="8482" spans="1:6" ht="12.75">
      <c r="A8482" s="8">
        <v>43901.099641203706</v>
      </c>
      <c r="B8482" s="8" t="str">
        <f>HYPERLINK("https://twitter.com/Rumayom","@Rumayom")</f>
        <v>@Rumayom</v>
      </c>
      <c r="C8482" s="8" t="s">
        <v>3190</v>
      </c>
      <c r="D8482" s="8">
        <v>137</v>
      </c>
      <c r="E8482" s="8">
        <v>0</v>
      </c>
      <c r="F8482" s="8">
        <v>448</v>
      </c>
    </row>
    <row r="8483" spans="1:6" ht="12.75">
      <c r="A8483" s="8">
        <v>43901.096458333333</v>
      </c>
      <c r="B8483" s="8" t="str">
        <f>HYPERLINK("https://twitter.com/Tarjin2000","@Tarjin2000")</f>
        <v>@Tarjin2000</v>
      </c>
      <c r="C8483" s="8" t="s">
        <v>1801</v>
      </c>
      <c r="D8483" s="8">
        <v>92</v>
      </c>
      <c r="E8483" s="8">
        <v>0</v>
      </c>
      <c r="F8483" s="8">
        <v>463</v>
      </c>
    </row>
    <row r="8484" spans="1:6" ht="12.75">
      <c r="A8484" s="8">
        <v>43901.096284722225</v>
      </c>
      <c r="B8484" s="8" t="str">
        <f>HYPERLINK("https://twitter.com/fd_SatuLagi","@fd_SatuLagi")</f>
        <v>@fd_SatuLagi</v>
      </c>
      <c r="C8484" s="8" t="s">
        <v>1186</v>
      </c>
      <c r="D8484" s="8">
        <v>148</v>
      </c>
      <c r="E8484" s="8">
        <v>0</v>
      </c>
      <c r="F8484" s="8">
        <v>803</v>
      </c>
    </row>
    <row r="8485" spans="1:6" ht="12.75">
      <c r="A8485" s="8">
        <v>43901.095891203702</v>
      </c>
      <c r="B8485" s="8" t="str">
        <f>HYPERLINK("https://twitter.com/ojandanny1","@ojandanny1")</f>
        <v>@ojandanny1</v>
      </c>
      <c r="C8485" s="8" t="s">
        <v>1801</v>
      </c>
      <c r="D8485" s="8">
        <v>92</v>
      </c>
      <c r="E8485" s="8">
        <v>0</v>
      </c>
      <c r="F8485" s="8">
        <v>33</v>
      </c>
    </row>
    <row r="8486" spans="1:6" ht="12.75">
      <c r="A8486" s="8">
        <v>43901.095775462964</v>
      </c>
      <c r="B8486" s="8" t="str">
        <f>HYPERLINK("https://twitter.com/Heiser007","@Heiser007")</f>
        <v>@Heiser007</v>
      </c>
      <c r="C8486" s="8" t="s">
        <v>3894</v>
      </c>
      <c r="D8486" s="8">
        <v>0</v>
      </c>
      <c r="E8486" s="8">
        <v>0</v>
      </c>
      <c r="F8486" s="8">
        <v>2</v>
      </c>
    </row>
    <row r="8487" spans="1:6" ht="12.75">
      <c r="A8487" s="8">
        <v>43901.091631944444</v>
      </c>
      <c r="B8487" s="8" t="str">
        <f>HYPERLINK("https://twitter.com/ashkaran123","@ashkaran123")</f>
        <v>@ashkaran123</v>
      </c>
      <c r="C8487" s="8" t="s">
        <v>3895</v>
      </c>
      <c r="D8487" s="8">
        <v>0</v>
      </c>
      <c r="E8487" s="8">
        <v>0</v>
      </c>
      <c r="F8487" s="8">
        <v>112</v>
      </c>
    </row>
    <row r="8488" spans="1:6" ht="12.75">
      <c r="A8488" s="8">
        <v>43901.091377314813</v>
      </c>
      <c r="B8488" s="8" t="str">
        <f>HYPERLINK("https://twitter.com/AChamplads","@AChamplads")</f>
        <v>@AChamplads</v>
      </c>
      <c r="C8488" s="8" t="s">
        <v>318</v>
      </c>
      <c r="D8488" s="8">
        <v>1057</v>
      </c>
      <c r="E8488" s="8">
        <v>0</v>
      </c>
      <c r="F8488" s="8">
        <v>41</v>
      </c>
    </row>
    <row r="8489" spans="1:6" ht="12.75">
      <c r="A8489" s="8">
        <v>43901.091064814813</v>
      </c>
      <c r="B8489" s="8" t="str">
        <f>HYPERLINK("https://twitter.com/Vinsmok_Avilio","@Vinsmok_Avilio")</f>
        <v>@Vinsmok_Avilio</v>
      </c>
      <c r="C8489" s="8" t="s">
        <v>3896</v>
      </c>
      <c r="D8489" s="8">
        <v>0</v>
      </c>
      <c r="E8489" s="8">
        <v>0</v>
      </c>
      <c r="F8489" s="8">
        <v>207</v>
      </c>
    </row>
    <row r="8490" spans="1:6" ht="12.75">
      <c r="A8490" s="8">
        <v>43901.090092592596</v>
      </c>
      <c r="B8490" s="8" t="str">
        <f>HYPERLINK("https://twitter.com/fahadkanan","@fahadkanan")</f>
        <v>@fahadkanan</v>
      </c>
      <c r="C8490" s="8" t="s">
        <v>318</v>
      </c>
      <c r="D8490" s="8">
        <v>1055</v>
      </c>
      <c r="E8490" s="8">
        <v>0</v>
      </c>
      <c r="F8490" s="8">
        <v>159</v>
      </c>
    </row>
    <row r="8491" spans="1:6" ht="12.75">
      <c r="A8491" s="8">
        <v>43901.089305555557</v>
      </c>
      <c r="B8491" s="8" t="str">
        <f>HYPERLINK("https://twitter.com/sp2kidssparks","@sp2kidssparks")</f>
        <v>@sp2kidssparks</v>
      </c>
      <c r="C8491" s="8" t="s">
        <v>3897</v>
      </c>
      <c r="D8491" s="8">
        <v>0</v>
      </c>
      <c r="E8491" s="8">
        <v>0</v>
      </c>
      <c r="F8491" s="8">
        <v>8973</v>
      </c>
    </row>
    <row r="8492" spans="1:6" ht="12.75">
      <c r="A8492" s="8">
        <v>43901.089143518519</v>
      </c>
      <c r="B8492" s="8" t="str">
        <f>HYPERLINK("https://twitter.com/newagestein","@newagestein")</f>
        <v>@newagestein</v>
      </c>
      <c r="C8492" s="8" t="s">
        <v>1801</v>
      </c>
      <c r="D8492" s="8">
        <v>83</v>
      </c>
      <c r="E8492" s="8">
        <v>0</v>
      </c>
      <c r="F8492" s="8">
        <v>9221</v>
      </c>
    </row>
    <row r="8493" spans="1:6" ht="12.75">
      <c r="A8493" s="8">
        <v>43901.089131944449</v>
      </c>
      <c r="B8493" s="8" t="str">
        <f>HYPERLINK("https://twitter.com/Derri_dayen","@Derri_dayen")</f>
        <v>@Derri_dayen</v>
      </c>
      <c r="C8493" s="8" t="s">
        <v>1186</v>
      </c>
      <c r="D8493" s="8">
        <v>144</v>
      </c>
      <c r="E8493" s="8">
        <v>0</v>
      </c>
      <c r="F8493" s="8">
        <v>675</v>
      </c>
    </row>
    <row r="8494" spans="1:6" ht="12.75">
      <c r="A8494" s="8">
        <v>43901.089108796295</v>
      </c>
      <c r="B8494" s="8" t="str">
        <f>HYPERLINK("https://twitter.com/Amanskid","@Amanskid")</f>
        <v>@Amanskid</v>
      </c>
      <c r="C8494" s="8" t="s">
        <v>1186</v>
      </c>
      <c r="D8494" s="8">
        <v>144</v>
      </c>
      <c r="E8494" s="8">
        <v>0</v>
      </c>
      <c r="F8494" s="8">
        <v>1394</v>
      </c>
    </row>
    <row r="8495" spans="1:6" ht="12.75">
      <c r="A8495" s="8">
        <v>43901.088576388887</v>
      </c>
      <c r="B8495" s="8" t="str">
        <f>HYPERLINK("https://twitter.com/ngurahsaka","@ngurahsaka")</f>
        <v>@ngurahsaka</v>
      </c>
      <c r="C8495" s="8" t="s">
        <v>1801</v>
      </c>
      <c r="D8495" s="8">
        <v>83</v>
      </c>
      <c r="E8495" s="8">
        <v>0</v>
      </c>
      <c r="F8495" s="8">
        <v>1951</v>
      </c>
    </row>
    <row r="8496" spans="1:6" ht="12.75">
      <c r="A8496" s="8">
        <v>43901.086446759262</v>
      </c>
      <c r="B8496" s="8" t="str">
        <f>HYPERLINK("https://twitter.com/mr_supiansyah","@mr_supiansyah")</f>
        <v>@mr_supiansyah</v>
      </c>
      <c r="C8496" s="8" t="s">
        <v>3898</v>
      </c>
      <c r="D8496" s="8">
        <v>1</v>
      </c>
      <c r="E8496" s="8">
        <v>0</v>
      </c>
      <c r="F8496" s="8">
        <v>2060</v>
      </c>
    </row>
    <row r="8497" spans="1:6" ht="12.75">
      <c r="A8497" s="8">
        <v>43901.086076388892</v>
      </c>
      <c r="B8497" s="8" t="str">
        <f>HYPERLINK("https://twitter.com/usmaidibinaffan","@usmaidibinaffan")</f>
        <v>@usmaidibinaffan</v>
      </c>
      <c r="C8497" s="8" t="s">
        <v>318</v>
      </c>
      <c r="D8497" s="8">
        <v>1055</v>
      </c>
      <c r="E8497" s="8">
        <v>0</v>
      </c>
      <c r="F8497" s="8">
        <v>61</v>
      </c>
    </row>
    <row r="8498" spans="1:6" ht="12.75">
      <c r="A8498" s="8">
        <v>43901.085127314815</v>
      </c>
      <c r="B8498" s="8" t="str">
        <f>HYPERLINK("https://twitter.com/etty_markim","@etty_markim")</f>
        <v>@etty_markim</v>
      </c>
      <c r="C8498" s="8" t="s">
        <v>318</v>
      </c>
      <c r="D8498" s="8">
        <v>1055</v>
      </c>
      <c r="E8498" s="8">
        <v>0</v>
      </c>
      <c r="F8498" s="8">
        <v>1273</v>
      </c>
    </row>
    <row r="8499" spans="1:6" ht="12.75">
      <c r="A8499" s="8">
        <v>43901.084537037037</v>
      </c>
      <c r="B8499" s="8" t="str">
        <f>HYPERLINK("https://twitter.com/bwgade1","@bwgade1")</f>
        <v>@bwgade1</v>
      </c>
      <c r="C8499" s="8" t="s">
        <v>1801</v>
      </c>
      <c r="D8499" s="8">
        <v>83</v>
      </c>
      <c r="E8499" s="8">
        <v>0</v>
      </c>
      <c r="F8499" s="8">
        <v>13</v>
      </c>
    </row>
    <row r="8500" spans="1:6" ht="12.75">
      <c r="A8500" s="8">
        <v>43901.083506944444</v>
      </c>
      <c r="B8500" s="8" t="str">
        <f>HYPERLINK("https://twitter.com/lukmanalwahid","@lukmanalwahid")</f>
        <v>@lukmanalwahid</v>
      </c>
      <c r="C8500" s="8" t="s">
        <v>3899</v>
      </c>
      <c r="D8500" s="8">
        <v>0</v>
      </c>
      <c r="E8500" s="8">
        <v>0</v>
      </c>
      <c r="F8500" s="8">
        <v>433</v>
      </c>
    </row>
    <row r="8501" spans="1:6" ht="12.75">
      <c r="A8501" s="8">
        <v>43901.083379629628</v>
      </c>
      <c r="B8501" s="8" t="str">
        <f>HYPERLINK("https://twitter.com/fonzo201","@fonzo201")</f>
        <v>@fonzo201</v>
      </c>
      <c r="C8501" s="8" t="s">
        <v>318</v>
      </c>
      <c r="D8501" s="8">
        <v>1055</v>
      </c>
      <c r="E8501" s="8">
        <v>0</v>
      </c>
      <c r="F8501" s="8">
        <v>45</v>
      </c>
    </row>
    <row r="8502" spans="1:6" ht="12.75">
      <c r="A8502" s="8">
        <v>43901.083043981482</v>
      </c>
      <c r="B8502" s="8" t="str">
        <f>HYPERLINK("https://twitter.com/Derri_dayen","@Derri_dayen")</f>
        <v>@Derri_dayen</v>
      </c>
      <c r="C8502" s="8" t="s">
        <v>318</v>
      </c>
      <c r="D8502" s="8">
        <v>1055</v>
      </c>
      <c r="E8502" s="8">
        <v>0</v>
      </c>
      <c r="F8502" s="8">
        <v>675</v>
      </c>
    </row>
    <row r="8503" spans="1:6" ht="12.75">
      <c r="A8503" s="8">
        <v>43901.082974537036</v>
      </c>
      <c r="B8503" s="8" t="str">
        <f>HYPERLINK("https://twitter.com/mucry_singh","@mucry_singh")</f>
        <v>@mucry_singh</v>
      </c>
      <c r="C8503" s="8" t="s">
        <v>318</v>
      </c>
      <c r="D8503" s="8">
        <v>1055</v>
      </c>
      <c r="E8503" s="8">
        <v>0</v>
      </c>
      <c r="F8503" s="8">
        <v>1031</v>
      </c>
    </row>
    <row r="8504" spans="1:6" ht="12.75">
      <c r="A8504" s="8">
        <v>43901.080231481479</v>
      </c>
      <c r="B8504" s="8" t="str">
        <f>HYPERLINK("https://twitter.com/AiaMuam","@AiaMuam")</f>
        <v>@AiaMuam</v>
      </c>
      <c r="C8504" s="8" t="s">
        <v>318</v>
      </c>
      <c r="D8504" s="8">
        <v>1055</v>
      </c>
      <c r="E8504" s="8">
        <v>0</v>
      </c>
      <c r="F8504" s="8">
        <v>31</v>
      </c>
    </row>
    <row r="8505" spans="1:6" ht="12.75">
      <c r="A8505" s="8">
        <v>43901.078900462962</v>
      </c>
      <c r="B8505" s="8" t="str">
        <f>HYPERLINK("https://twitter.com/Suryads4","@Suryads4")</f>
        <v>@Suryads4</v>
      </c>
      <c r="C8505" s="8" t="s">
        <v>3900</v>
      </c>
      <c r="D8505" s="8">
        <v>0</v>
      </c>
      <c r="E8505" s="8">
        <v>0</v>
      </c>
      <c r="F8505" s="8">
        <v>3</v>
      </c>
    </row>
    <row r="8506" spans="1:6" ht="12.75">
      <c r="A8506" s="8">
        <v>43901.077870370369</v>
      </c>
      <c r="B8506" s="8" t="str">
        <f>HYPERLINK("https://twitter.com/SitiRohma1993","@SitiRohma1993")</f>
        <v>@SitiRohma1993</v>
      </c>
      <c r="C8506" s="8" t="s">
        <v>3901</v>
      </c>
      <c r="D8506" s="8">
        <v>0</v>
      </c>
      <c r="E8506" s="8">
        <v>0</v>
      </c>
      <c r="F8506" s="8">
        <v>179</v>
      </c>
    </row>
    <row r="8507" spans="1:6" ht="12.75">
      <c r="A8507" s="8">
        <v>43901.074710648143</v>
      </c>
      <c r="B8507" s="8" t="str">
        <f>HYPERLINK("https://twitter.com/RayMuha68843402","@RayMuha68843402")</f>
        <v>@RayMuha68843402</v>
      </c>
      <c r="C8507" s="8" t="s">
        <v>318</v>
      </c>
      <c r="D8507" s="8">
        <v>1055</v>
      </c>
      <c r="E8507" s="8">
        <v>0</v>
      </c>
      <c r="F8507" s="8">
        <v>666</v>
      </c>
    </row>
    <row r="8508" spans="1:6" ht="12.75">
      <c r="A8508" s="8">
        <v>43901.074224537035</v>
      </c>
      <c r="B8508" s="8" t="str">
        <f>HYPERLINK("https://twitter.com/min_wahab","@min_wahab")</f>
        <v>@min_wahab</v>
      </c>
      <c r="C8508" s="8" t="s">
        <v>1801</v>
      </c>
      <c r="D8508" s="8">
        <v>83</v>
      </c>
      <c r="E8508" s="8">
        <v>0</v>
      </c>
      <c r="F8508" s="8">
        <v>172</v>
      </c>
    </row>
    <row r="8509" spans="1:6" ht="12.75">
      <c r="A8509" s="8">
        <v>43901.074097222227</v>
      </c>
      <c r="B8509" s="8" t="str">
        <f t="shared" ref="B8509:B8510" si="145">HYPERLINK("https://twitter.com/Aryprasetyo85","@Aryprasetyo85")</f>
        <v>@Aryprasetyo85</v>
      </c>
      <c r="C8509" s="8" t="s">
        <v>3902</v>
      </c>
      <c r="D8509" s="8">
        <v>0</v>
      </c>
      <c r="E8509" s="8">
        <v>0</v>
      </c>
      <c r="F8509" s="8">
        <v>40843</v>
      </c>
    </row>
    <row r="8510" spans="1:6" ht="12.75">
      <c r="A8510" s="8">
        <v>43901.073113425926</v>
      </c>
      <c r="B8510" s="8" t="str">
        <f t="shared" si="145"/>
        <v>@Aryprasetyo85</v>
      </c>
      <c r="C8510" s="8" t="s">
        <v>3903</v>
      </c>
      <c r="D8510" s="8">
        <v>0</v>
      </c>
      <c r="E8510" s="8">
        <v>0</v>
      </c>
      <c r="F8510" s="8">
        <v>40843</v>
      </c>
    </row>
    <row r="8511" spans="1:6" ht="12.75">
      <c r="A8511" s="8">
        <v>43901.072696759264</v>
      </c>
      <c r="B8511" s="8" t="str">
        <f>HYPERLINK("https://twitter.com/Kesit_","@Kesit_")</f>
        <v>@Kesit_</v>
      </c>
      <c r="C8511" s="8" t="s">
        <v>3904</v>
      </c>
      <c r="D8511" s="8">
        <v>1</v>
      </c>
      <c r="E8511" s="8">
        <v>0</v>
      </c>
      <c r="F8511" s="8">
        <v>6794</v>
      </c>
    </row>
    <row r="8512" spans="1:6" ht="12.75">
      <c r="A8512" s="8">
        <v>43901.072349537033</v>
      </c>
      <c r="B8512" s="8" t="str">
        <f>HYPERLINK("https://twitter.com/abkar73","@abkar73")</f>
        <v>@abkar73</v>
      </c>
      <c r="C8512" s="8" t="s">
        <v>1801</v>
      </c>
      <c r="D8512" s="8">
        <v>83</v>
      </c>
      <c r="E8512" s="8">
        <v>0</v>
      </c>
      <c r="F8512" s="8">
        <v>25</v>
      </c>
    </row>
    <row r="8513" spans="1:6" ht="12.75">
      <c r="A8513" s="8">
        <v>43901.072025462963</v>
      </c>
      <c r="B8513" s="8" t="str">
        <f>HYPERLINK("https://twitter.com/Aryprasetyo85","@Aryprasetyo85")</f>
        <v>@Aryprasetyo85</v>
      </c>
      <c r="C8513" s="8" t="s">
        <v>3905</v>
      </c>
      <c r="D8513" s="8">
        <v>1</v>
      </c>
      <c r="E8513" s="8">
        <v>2</v>
      </c>
      <c r="F8513" s="8">
        <v>40843</v>
      </c>
    </row>
    <row r="8514" spans="1:6" ht="12.75">
      <c r="A8514" s="8">
        <v>43901.071701388893</v>
      </c>
      <c r="B8514" s="8" t="str">
        <f>HYPERLINK("https://twitter.com/muhamma78486624","@muhamma78486624")</f>
        <v>@muhamma78486624</v>
      </c>
      <c r="C8514" s="8" t="s">
        <v>1318</v>
      </c>
      <c r="D8514" s="8">
        <v>23187</v>
      </c>
      <c r="E8514" s="8">
        <v>0</v>
      </c>
      <c r="F8514" s="8">
        <v>5</v>
      </c>
    </row>
    <row r="8515" spans="1:6" ht="12.75">
      <c r="A8515" s="8">
        <v>43901.071076388893</v>
      </c>
      <c r="B8515" s="8" t="str">
        <f>HYPERLINK("https://twitter.com/Aryprasetyo85","@Aryprasetyo85")</f>
        <v>@Aryprasetyo85</v>
      </c>
      <c r="C8515" s="8" t="s">
        <v>3906</v>
      </c>
      <c r="D8515" s="8">
        <v>0</v>
      </c>
      <c r="E8515" s="8">
        <v>0</v>
      </c>
      <c r="F8515" s="8">
        <v>40843</v>
      </c>
    </row>
    <row r="8516" spans="1:6" ht="12.75">
      <c r="A8516" s="8">
        <v>43901.06958333333</v>
      </c>
      <c r="B8516" s="8" t="str">
        <f>HYPERLINK("https://twitter.com/haidir_setiawan","@haidir_setiawan")</f>
        <v>@haidir_setiawan</v>
      </c>
      <c r="C8516" s="8" t="s">
        <v>1186</v>
      </c>
      <c r="D8516" s="8">
        <v>144</v>
      </c>
      <c r="E8516" s="8">
        <v>0</v>
      </c>
      <c r="F8516" s="8">
        <v>2320</v>
      </c>
    </row>
    <row r="8517" spans="1:6" ht="12.75">
      <c r="A8517" s="8">
        <v>43901.069560185184</v>
      </c>
      <c r="B8517" s="8" t="str">
        <f>HYPERLINK("https://twitter.com/Mang_Aldo","@Mang_Aldo")</f>
        <v>@Mang_Aldo</v>
      </c>
      <c r="C8517" s="8" t="s">
        <v>3907</v>
      </c>
      <c r="D8517" s="8">
        <v>5</v>
      </c>
      <c r="E8517" s="8">
        <v>0</v>
      </c>
      <c r="F8517" s="8">
        <v>489</v>
      </c>
    </row>
    <row r="8518" spans="1:6" ht="12.75">
      <c r="A8518" s="8">
        <v>43901.06925925926</v>
      </c>
      <c r="B8518" s="8" t="str">
        <f>HYPERLINK("https://twitter.com/haidir_setiawan","@haidir_setiawan")</f>
        <v>@haidir_setiawan</v>
      </c>
      <c r="C8518" s="8" t="s">
        <v>2537</v>
      </c>
      <c r="D8518" s="8">
        <v>25</v>
      </c>
      <c r="E8518" s="8">
        <v>0</v>
      </c>
      <c r="F8518" s="8">
        <v>2320</v>
      </c>
    </row>
    <row r="8519" spans="1:6" ht="12.75">
      <c r="A8519" s="8">
        <v>43901.067696759259</v>
      </c>
      <c r="B8519" s="8" t="str">
        <f>HYPERLINK("https://twitter.com/OmGadunz","@OmGadunz")</f>
        <v>@OmGadunz</v>
      </c>
      <c r="C8519" s="8" t="s">
        <v>1801</v>
      </c>
      <c r="D8519" s="8">
        <v>83</v>
      </c>
      <c r="E8519" s="8">
        <v>0</v>
      </c>
      <c r="F8519" s="8">
        <v>399</v>
      </c>
    </row>
    <row r="8520" spans="1:6" ht="12.75">
      <c r="A8520" s="8">
        <v>43901.066018518519</v>
      </c>
      <c r="B8520" s="8" t="str">
        <f>HYPERLINK("https://twitter.com/PKB_Sleman","@PKB_Sleman")</f>
        <v>@PKB_Sleman</v>
      </c>
      <c r="C8520" s="8" t="s">
        <v>3190</v>
      </c>
      <c r="D8520" s="8">
        <v>135</v>
      </c>
      <c r="E8520" s="8">
        <v>0</v>
      </c>
      <c r="F8520" s="8">
        <v>161</v>
      </c>
    </row>
    <row r="8521" spans="1:6" ht="12.75">
      <c r="A8521" s="8">
        <v>43901.065740740742</v>
      </c>
      <c r="B8521" s="8" t="str">
        <f>HYPERLINK("https://twitter.com/kyundoublebe","@kyundoublebe")</f>
        <v>@kyundoublebe</v>
      </c>
      <c r="C8521" s="8" t="s">
        <v>3908</v>
      </c>
      <c r="D8521" s="8">
        <v>0</v>
      </c>
      <c r="E8521" s="8">
        <v>0</v>
      </c>
      <c r="F8521" s="8">
        <v>713</v>
      </c>
    </row>
    <row r="8522" spans="1:6" ht="12.75">
      <c r="A8522" s="8">
        <v>43901.065648148149</v>
      </c>
      <c r="B8522" s="8" t="str">
        <f>HYPERLINK("https://twitter.com/dpwpkbdiy","@dpwpkbdiy")</f>
        <v>@dpwpkbdiy</v>
      </c>
      <c r="C8522" s="8" t="s">
        <v>3190</v>
      </c>
      <c r="D8522" s="8">
        <v>135</v>
      </c>
      <c r="E8522" s="8">
        <v>0</v>
      </c>
      <c r="F8522" s="8">
        <v>505</v>
      </c>
    </row>
    <row r="8523" spans="1:6" ht="12.75">
      <c r="A8523" s="8">
        <v>43901.065324074079</v>
      </c>
      <c r="B8523" s="8" t="str">
        <f>HYPERLINK("https://twitter.com/fpkbsleman","@fpkbsleman")</f>
        <v>@fpkbsleman</v>
      </c>
      <c r="C8523" s="8" t="s">
        <v>3190</v>
      </c>
      <c r="D8523" s="8">
        <v>135</v>
      </c>
      <c r="E8523" s="8">
        <v>0</v>
      </c>
      <c r="F8523" s="8">
        <v>124</v>
      </c>
    </row>
    <row r="8524" spans="1:6" ht="12.75">
      <c r="A8524" s="8">
        <v>43901.064918981487</v>
      </c>
      <c r="B8524" s="8" t="str">
        <f>HYPERLINK("https://twitter.com/agus_djogja","@agus_djogja")</f>
        <v>@agus_djogja</v>
      </c>
      <c r="C8524" s="8" t="s">
        <v>3190</v>
      </c>
      <c r="D8524" s="8">
        <v>135</v>
      </c>
      <c r="E8524" s="8">
        <v>0</v>
      </c>
      <c r="F8524" s="8">
        <v>2000</v>
      </c>
    </row>
    <row r="8525" spans="1:6" ht="12.75">
      <c r="A8525" s="8">
        <v>43901.064664351856</v>
      </c>
      <c r="B8525" s="8" t="str">
        <f>HYPERLINK("https://twitter.com/GardaBangsaDIY","@GardaBangsaDIY")</f>
        <v>@GardaBangsaDIY</v>
      </c>
      <c r="C8525" s="8" t="s">
        <v>3190</v>
      </c>
      <c r="D8525" s="8">
        <v>135</v>
      </c>
      <c r="E8525" s="8">
        <v>0</v>
      </c>
      <c r="F8525" s="8">
        <v>146</v>
      </c>
    </row>
    <row r="8526" spans="1:6" ht="12.75">
      <c r="A8526" s="8">
        <v>43901.064351851848</v>
      </c>
      <c r="B8526" s="8" t="str">
        <f>HYPERLINK("https://twitter.com/trinugroho28","@trinugroho28")</f>
        <v>@trinugroho28</v>
      </c>
      <c r="C8526" s="8" t="s">
        <v>3190</v>
      </c>
      <c r="D8526" s="8">
        <v>135</v>
      </c>
      <c r="E8526" s="8">
        <v>0</v>
      </c>
      <c r="F8526" s="8">
        <v>122</v>
      </c>
    </row>
    <row r="8527" spans="1:6" ht="12.75">
      <c r="A8527" s="8">
        <v>43901.063912037032</v>
      </c>
      <c r="B8527" s="8" t="str">
        <f>HYPERLINK("https://twitter.com/hibbanjenderal","@hibbanjenderal")</f>
        <v>@hibbanjenderal</v>
      </c>
      <c r="C8527" s="8" t="s">
        <v>3190</v>
      </c>
      <c r="D8527" s="8">
        <v>135</v>
      </c>
      <c r="E8527" s="8">
        <v>0</v>
      </c>
      <c r="F8527" s="8">
        <v>1435</v>
      </c>
    </row>
    <row r="8528" spans="1:6" ht="12.75">
      <c r="A8528" s="8">
        <v>43901.062546296293</v>
      </c>
      <c r="B8528" s="8" t="str">
        <f>HYPERLINK("https://twitter.com/HarianKalteng","@HarianKalteng")</f>
        <v>@HarianKalteng</v>
      </c>
      <c r="C8528" s="8" t="s">
        <v>3909</v>
      </c>
      <c r="D8528" s="8">
        <v>0</v>
      </c>
      <c r="E8528" s="8">
        <v>0</v>
      </c>
      <c r="F8528" s="8">
        <v>434</v>
      </c>
    </row>
    <row r="8529" spans="1:6" ht="12.75">
      <c r="A8529" s="8">
        <v>43901.061979166669</v>
      </c>
      <c r="B8529" s="8" t="str">
        <f>HYPERLINK("https://twitter.com/PadjajaranMedia","@PadjajaranMedia")</f>
        <v>@PadjajaranMedia</v>
      </c>
      <c r="C8529" s="8" t="s">
        <v>3910</v>
      </c>
      <c r="D8529" s="8">
        <v>0</v>
      </c>
      <c r="E8529" s="8">
        <v>0</v>
      </c>
      <c r="F8529" s="8">
        <v>171</v>
      </c>
    </row>
    <row r="8530" spans="1:6" ht="12.75">
      <c r="A8530" s="8">
        <v>43901.061458333337</v>
      </c>
      <c r="B8530" s="8" t="str">
        <f>HYPERLINK("https://twitter.com/JonAmeer1","@JonAmeer1")</f>
        <v>@JonAmeer1</v>
      </c>
      <c r="C8530" s="8" t="s">
        <v>318</v>
      </c>
      <c r="D8530" s="8">
        <v>1055</v>
      </c>
      <c r="E8530" s="8">
        <v>0</v>
      </c>
      <c r="F8530" s="8">
        <v>89</v>
      </c>
    </row>
    <row r="8531" spans="1:6" ht="12.75">
      <c r="A8531" s="8">
        <v>43901.06040509259</v>
      </c>
      <c r="B8531" s="8" t="str">
        <f>HYPERLINK("https://twitter.com/MVVZ3","@MVVZ3")</f>
        <v>@MVVZ3</v>
      </c>
      <c r="C8531" s="8" t="s">
        <v>2537</v>
      </c>
      <c r="D8531" s="8">
        <v>25</v>
      </c>
      <c r="E8531" s="8">
        <v>0</v>
      </c>
      <c r="F8531" s="8">
        <v>1072</v>
      </c>
    </row>
    <row r="8532" spans="1:6" ht="12.75">
      <c r="A8532" s="8">
        <v>43901.05982638889</v>
      </c>
      <c r="B8532" s="8" t="str">
        <f>HYPERLINK("https://twitter.com/mk_sari2","@mk_sari2")</f>
        <v>@mk_sari2</v>
      </c>
      <c r="C8532" s="8" t="s">
        <v>318</v>
      </c>
      <c r="D8532" s="8">
        <v>1055</v>
      </c>
      <c r="E8532" s="8">
        <v>0</v>
      </c>
      <c r="F8532" s="8">
        <v>648</v>
      </c>
    </row>
    <row r="8533" spans="1:6" ht="12.75">
      <c r="A8533" s="8">
        <v>43901.059560185182</v>
      </c>
      <c r="B8533" s="8" t="str">
        <f>HYPERLINK("https://twitter.com/MuhamadBadawi87","@MuhamadBadawi87")</f>
        <v>@MuhamadBadawi87</v>
      </c>
      <c r="C8533" s="8" t="s">
        <v>1801</v>
      </c>
      <c r="D8533" s="8">
        <v>83</v>
      </c>
      <c r="E8533" s="8">
        <v>0</v>
      </c>
      <c r="F8533" s="8">
        <v>88</v>
      </c>
    </row>
    <row r="8534" spans="1:6" ht="12.75">
      <c r="A8534" s="8">
        <v>43901.059247685189</v>
      </c>
      <c r="B8534" s="8" t="str">
        <f>HYPERLINK("https://twitter.com/YantiRaliza3","@YantiRaliza3")</f>
        <v>@YantiRaliza3</v>
      </c>
      <c r="C8534" s="8" t="s">
        <v>1186</v>
      </c>
      <c r="D8534" s="8">
        <v>144</v>
      </c>
      <c r="E8534" s="8">
        <v>0</v>
      </c>
      <c r="F8534" s="8">
        <v>816</v>
      </c>
    </row>
    <row r="8535" spans="1:6" ht="12.75">
      <c r="A8535" s="8">
        <v>43901.058391203704</v>
      </c>
      <c r="B8535" s="8" t="str">
        <f>HYPERLINK("https://twitter.com/nazi_8303","@nazi_8303")</f>
        <v>@nazi_8303</v>
      </c>
      <c r="C8535" s="8" t="s">
        <v>318</v>
      </c>
      <c r="D8535" s="8">
        <v>1055</v>
      </c>
      <c r="E8535" s="8">
        <v>0</v>
      </c>
      <c r="F8535" s="8">
        <v>13</v>
      </c>
    </row>
    <row r="8536" spans="1:6" ht="12.75">
      <c r="A8536" s="8">
        <v>43901.058009259257</v>
      </c>
      <c r="B8536" s="8" t="str">
        <f>HYPERLINK("https://twitter.com/sanskriti46","@sanskriti46")</f>
        <v>@sanskriti46</v>
      </c>
      <c r="C8536" s="8" t="s">
        <v>1808</v>
      </c>
      <c r="D8536" s="8">
        <v>840</v>
      </c>
      <c r="E8536" s="8">
        <v>0</v>
      </c>
      <c r="F8536" s="8">
        <v>437</v>
      </c>
    </row>
    <row r="8537" spans="1:6" ht="12.75">
      <c r="A8537" s="8">
        <v>43901.057708333334</v>
      </c>
      <c r="B8537" s="8" t="str">
        <f>HYPERLINK("https://twitter.com/mk_sari2","@mk_sari2")</f>
        <v>@mk_sari2</v>
      </c>
      <c r="C8537" s="8" t="s">
        <v>1186</v>
      </c>
      <c r="D8537" s="8">
        <v>144</v>
      </c>
      <c r="E8537" s="8">
        <v>0</v>
      </c>
      <c r="F8537" s="8">
        <v>648</v>
      </c>
    </row>
    <row r="8538" spans="1:6" ht="12.75">
      <c r="A8538" s="8">
        <v>43901.056990740741</v>
      </c>
      <c r="B8538" s="8" t="str">
        <f>HYPERLINK("https://twitter.com/pestal_tyo","@pestal_tyo")</f>
        <v>@pestal_tyo</v>
      </c>
      <c r="C8538" s="8" t="s">
        <v>318</v>
      </c>
      <c r="D8538" s="8">
        <v>1055</v>
      </c>
      <c r="E8538" s="8">
        <v>0</v>
      </c>
      <c r="F8538" s="8">
        <v>116</v>
      </c>
    </row>
    <row r="8539" spans="1:6" ht="12.75">
      <c r="A8539" s="8">
        <v>43901.056435185186</v>
      </c>
      <c r="B8539" s="8" t="str">
        <f>HYPERLINK("https://twitter.com/bffb300aff02425","@bffb300aff02425")</f>
        <v>@bffb300aff02425</v>
      </c>
      <c r="C8539" s="8" t="s">
        <v>1801</v>
      </c>
      <c r="D8539" s="8">
        <v>83</v>
      </c>
      <c r="E8539" s="8">
        <v>0</v>
      </c>
      <c r="F8539" s="8">
        <v>519</v>
      </c>
    </row>
    <row r="8540" spans="1:6" ht="12.75">
      <c r="A8540" s="8">
        <v>43901.056331018517</v>
      </c>
      <c r="B8540" s="8" t="str">
        <f>HYPERLINK("https://twitter.com/Juno87X","@Juno87X")</f>
        <v>@Juno87X</v>
      </c>
      <c r="C8540" s="8" t="s">
        <v>318</v>
      </c>
      <c r="D8540" s="8">
        <v>1055</v>
      </c>
      <c r="E8540" s="8">
        <v>0</v>
      </c>
      <c r="F8540" s="8">
        <v>329</v>
      </c>
    </row>
    <row r="8541" spans="1:6" ht="12.75">
      <c r="A8541" s="8">
        <v>43901.055173611108</v>
      </c>
      <c r="B8541" s="8" t="str">
        <f>HYPERLINK("https://twitter.com/lukmanalwahid","@lukmanalwahid")</f>
        <v>@lukmanalwahid</v>
      </c>
      <c r="C8541" s="8" t="s">
        <v>3911</v>
      </c>
      <c r="D8541" s="8">
        <v>0</v>
      </c>
      <c r="E8541" s="8">
        <v>2</v>
      </c>
      <c r="F8541" s="8">
        <v>433</v>
      </c>
    </row>
    <row r="8542" spans="1:6" ht="12.75">
      <c r="A8542" s="8">
        <v>43901.0544212963</v>
      </c>
      <c r="B8542" s="8" t="str">
        <f>HYPERLINK("https://twitter.com/tolak_hoax","@tolak_hoax")</f>
        <v>@tolak_hoax</v>
      </c>
      <c r="C8542" s="8" t="s">
        <v>3912</v>
      </c>
      <c r="D8542" s="8">
        <v>0</v>
      </c>
      <c r="E8542" s="8">
        <v>0</v>
      </c>
      <c r="F8542" s="8">
        <v>138</v>
      </c>
    </row>
    <row r="8543" spans="1:6" ht="12.75">
      <c r="A8543" s="8">
        <v>43901.054062499999</v>
      </c>
      <c r="B8543" s="8" t="str">
        <f>HYPERLINK("https://twitter.com/BaraFaba","@BaraFaba")</f>
        <v>@BaraFaba</v>
      </c>
      <c r="C8543" s="8" t="s">
        <v>3913</v>
      </c>
      <c r="D8543" s="8">
        <v>0</v>
      </c>
      <c r="E8543" s="8">
        <v>0</v>
      </c>
      <c r="F8543" s="8">
        <v>1020</v>
      </c>
    </row>
    <row r="8544" spans="1:6" ht="12.75">
      <c r="A8544" s="8">
        <v>43901.053020833337</v>
      </c>
      <c r="B8544" s="8" t="str">
        <f>HYPERLINK("https://twitter.com/Oigopay","@Oigopay")</f>
        <v>@Oigopay</v>
      </c>
      <c r="C8544" s="8" t="s">
        <v>318</v>
      </c>
      <c r="D8544" s="8">
        <v>1055</v>
      </c>
      <c r="E8544" s="8">
        <v>0</v>
      </c>
      <c r="F8544" s="8">
        <v>2198</v>
      </c>
    </row>
    <row r="8545" spans="1:6" ht="12.75">
      <c r="A8545" s="8">
        <v>43901.05259259259</v>
      </c>
      <c r="B8545" s="8" t="str">
        <f>HYPERLINK("https://twitter.com/kukupuku_","@kukupuku_")</f>
        <v>@kukupuku_</v>
      </c>
      <c r="C8545" s="8" t="s">
        <v>318</v>
      </c>
      <c r="D8545" s="8">
        <v>1055</v>
      </c>
      <c r="E8545" s="8">
        <v>0</v>
      </c>
      <c r="F8545" s="8">
        <v>152</v>
      </c>
    </row>
    <row r="8546" spans="1:6" ht="12.75">
      <c r="A8546" s="8">
        <v>43901.052118055552</v>
      </c>
      <c r="B8546" s="8" t="str">
        <f>HYPERLINK("https://twitter.com/AdeCand65866045","@AdeCand65866045")</f>
        <v>@AdeCand65866045</v>
      </c>
      <c r="C8546" s="8" t="s">
        <v>2537</v>
      </c>
      <c r="D8546" s="8">
        <v>25</v>
      </c>
      <c r="E8546" s="8">
        <v>0</v>
      </c>
      <c r="F8546" s="8">
        <v>159</v>
      </c>
    </row>
    <row r="8547" spans="1:6" ht="12.75">
      <c r="A8547" s="8">
        <v>43901.052048611113</v>
      </c>
      <c r="B8547" s="8" t="str">
        <f>HYPERLINK("https://twitter.com/hanjenif","@hanjenif")</f>
        <v>@hanjenif</v>
      </c>
      <c r="C8547" s="8" t="s">
        <v>1801</v>
      </c>
      <c r="D8547" s="8">
        <v>83</v>
      </c>
      <c r="E8547" s="8">
        <v>0</v>
      </c>
      <c r="F8547" s="8">
        <v>4441</v>
      </c>
    </row>
    <row r="8548" spans="1:6" ht="12.75">
      <c r="A8548" s="8">
        <v>43901.051377314812</v>
      </c>
      <c r="B8548" s="8" t="str">
        <f>HYPERLINK("https://twitter.com/abdulla41734805","@abdulla41734805")</f>
        <v>@abdulla41734805</v>
      </c>
      <c r="C8548" s="8" t="s">
        <v>3914</v>
      </c>
      <c r="D8548" s="8">
        <v>0</v>
      </c>
      <c r="E8548" s="8">
        <v>0</v>
      </c>
      <c r="F8548" s="8">
        <v>20</v>
      </c>
    </row>
    <row r="8549" spans="1:6" ht="12.75">
      <c r="A8549" s="8">
        <v>43901.051238425927</v>
      </c>
      <c r="B8549" s="8" t="str">
        <f>HYPERLINK("https://twitter.com/Maulida42410037","@Maulida42410037")</f>
        <v>@Maulida42410037</v>
      </c>
      <c r="C8549" s="8" t="s">
        <v>1801</v>
      </c>
      <c r="D8549" s="8">
        <v>83</v>
      </c>
      <c r="E8549" s="8">
        <v>0</v>
      </c>
      <c r="F8549" s="8">
        <v>59</v>
      </c>
    </row>
    <row r="8550" spans="1:6" ht="12.75">
      <c r="A8550" s="8">
        <v>43901.04996527778</v>
      </c>
      <c r="B8550" s="8" t="str">
        <f>HYPERLINK("https://twitter.com/suradiparlan5","@suradiparlan5")</f>
        <v>@suradiparlan5</v>
      </c>
      <c r="C8550" s="8" t="s">
        <v>1801</v>
      </c>
      <c r="D8550" s="8">
        <v>83</v>
      </c>
      <c r="E8550" s="8">
        <v>0</v>
      </c>
      <c r="F8550" s="8">
        <v>1385</v>
      </c>
    </row>
    <row r="8551" spans="1:6" ht="12.75">
      <c r="A8551" s="8">
        <v>43901.049780092595</v>
      </c>
      <c r="B8551" s="8" t="str">
        <f>HYPERLINK("https://twitter.com/dedeaurel","@dedeaurel")</f>
        <v>@dedeaurel</v>
      </c>
      <c r="C8551" s="8" t="s">
        <v>318</v>
      </c>
      <c r="D8551" s="8">
        <v>1055</v>
      </c>
      <c r="E8551" s="8">
        <v>0</v>
      </c>
      <c r="F8551" s="8">
        <v>110</v>
      </c>
    </row>
    <row r="8552" spans="1:6" ht="12.75">
      <c r="A8552" s="8">
        <v>43901.048703703702</v>
      </c>
      <c r="B8552" s="8" t="str">
        <f>HYPERLINK("https://twitter.com/mfabraham22","@mfabraham22")</f>
        <v>@mfabraham22</v>
      </c>
      <c r="C8552" s="8" t="s">
        <v>3915</v>
      </c>
      <c r="D8552" s="8">
        <v>0</v>
      </c>
      <c r="E8552" s="8">
        <v>2</v>
      </c>
      <c r="F8552" s="8">
        <v>1809</v>
      </c>
    </row>
    <row r="8553" spans="1:6" ht="12.75">
      <c r="A8553" s="8">
        <v>43901.048530092594</v>
      </c>
      <c r="B8553" s="8" t="str">
        <f>HYPERLINK("https://twitter.com/AbolichdZ","@AbolichdZ")</f>
        <v>@AbolichdZ</v>
      </c>
      <c r="C8553" s="8" t="s">
        <v>1186</v>
      </c>
      <c r="D8553" s="8">
        <v>144</v>
      </c>
      <c r="E8553" s="8">
        <v>0</v>
      </c>
      <c r="F8553" s="8">
        <v>848</v>
      </c>
    </row>
    <row r="8554" spans="1:6" ht="12.75">
      <c r="A8554" s="8">
        <v>43901.048310185186</v>
      </c>
      <c r="B8554" s="8" t="str">
        <f>HYPERLINK("https://twitter.com/Losegkrewel","@Losegkrewel")</f>
        <v>@Losegkrewel</v>
      </c>
      <c r="C8554" s="8" t="s">
        <v>3916</v>
      </c>
      <c r="D8554" s="8">
        <v>0</v>
      </c>
      <c r="E8554" s="8">
        <v>0</v>
      </c>
      <c r="F8554" s="8">
        <v>3109</v>
      </c>
    </row>
    <row r="8555" spans="1:6" ht="12.75">
      <c r="A8555" s="8">
        <v>43901.048020833332</v>
      </c>
      <c r="B8555" s="8" t="str">
        <f>HYPERLINK("https://twitter.com/mahorzein","@mahorzein")</f>
        <v>@mahorzein</v>
      </c>
      <c r="C8555" s="8" t="s">
        <v>1801</v>
      </c>
      <c r="D8555" s="8">
        <v>70</v>
      </c>
      <c r="E8555" s="8">
        <v>0</v>
      </c>
      <c r="F8555" s="8">
        <v>20</v>
      </c>
    </row>
    <row r="8556" spans="1:6" ht="12.75">
      <c r="A8556" s="8">
        <v>43901.047222222223</v>
      </c>
      <c r="B8556" s="8" t="str">
        <f>HYPERLINK("https://twitter.com/eunoiau","@eunoiau")</f>
        <v>@eunoiau</v>
      </c>
      <c r="C8556" s="8" t="s">
        <v>3917</v>
      </c>
      <c r="D8556" s="8">
        <v>0</v>
      </c>
      <c r="E8556" s="8">
        <v>0</v>
      </c>
      <c r="F8556" s="8">
        <v>205</v>
      </c>
    </row>
    <row r="8557" spans="1:6" ht="12.75">
      <c r="A8557" s="8">
        <v>43901.046932870369</v>
      </c>
      <c r="B8557" s="8" t="str">
        <f>HYPERLINK("https://twitter.com/momonsky264","@momonsky264")</f>
        <v>@momonsky264</v>
      </c>
      <c r="C8557" s="8" t="s">
        <v>3579</v>
      </c>
      <c r="D8557" s="8">
        <v>2</v>
      </c>
      <c r="E8557" s="8">
        <v>0</v>
      </c>
      <c r="F8557" s="8">
        <v>151</v>
      </c>
    </row>
    <row r="8558" spans="1:6" ht="12.75">
      <c r="A8558" s="8">
        <v>43901.046319444446</v>
      </c>
      <c r="B8558" s="8" t="str">
        <f>HYPERLINK("https://twitter.com/Hannry888","@Hannry888")</f>
        <v>@Hannry888</v>
      </c>
      <c r="C8558" s="8" t="s">
        <v>3262</v>
      </c>
      <c r="D8558" s="8">
        <v>251</v>
      </c>
      <c r="E8558" s="8">
        <v>0</v>
      </c>
      <c r="F8558" s="8">
        <v>15</v>
      </c>
    </row>
    <row r="8559" spans="1:6" ht="12.75">
      <c r="A8559" s="8">
        <v>43901.045960648145</v>
      </c>
      <c r="B8559" s="8" t="str">
        <f>HYPERLINK("https://twitter.com/AgusSul55741094","@AgusSul55741094")</f>
        <v>@AgusSul55741094</v>
      </c>
      <c r="C8559" s="8" t="s">
        <v>1801</v>
      </c>
      <c r="D8559" s="8">
        <v>70</v>
      </c>
      <c r="E8559" s="8">
        <v>0</v>
      </c>
      <c r="F8559" s="8">
        <v>2246</v>
      </c>
    </row>
    <row r="8560" spans="1:6" ht="12.75">
      <c r="A8560" s="8">
        <v>43901.045740740738</v>
      </c>
      <c r="B8560" s="8" t="str">
        <f>HYPERLINK("https://twitter.com/supiaman_asep","@supiaman_asep")</f>
        <v>@supiaman_asep</v>
      </c>
      <c r="C8560" s="8" t="s">
        <v>1186</v>
      </c>
      <c r="D8560" s="8">
        <v>139</v>
      </c>
      <c r="E8560" s="8">
        <v>0</v>
      </c>
      <c r="F8560" s="8">
        <v>864</v>
      </c>
    </row>
    <row r="8561" spans="1:6" ht="12.75">
      <c r="A8561" s="8">
        <v>43901.043946759259</v>
      </c>
      <c r="B8561" s="8" t="str">
        <f>HYPERLINK("https://twitter.com/andarisqiwahab","@andarisqiwahab")</f>
        <v>@andarisqiwahab</v>
      </c>
      <c r="C8561" s="8" t="s">
        <v>1186</v>
      </c>
      <c r="D8561" s="8">
        <v>139</v>
      </c>
      <c r="E8561" s="8">
        <v>0</v>
      </c>
      <c r="F8561" s="8">
        <v>767</v>
      </c>
    </row>
    <row r="8562" spans="1:6" ht="12.75">
      <c r="A8562" s="8">
        <v>43901.043495370366</v>
      </c>
      <c r="B8562" s="8" t="str">
        <f>HYPERLINK("https://twitter.com/Zeynel921","@Zeynel921")</f>
        <v>@Zeynel921</v>
      </c>
      <c r="C8562" s="8" t="s">
        <v>2537</v>
      </c>
      <c r="D8562" s="8">
        <v>22</v>
      </c>
      <c r="E8562" s="8">
        <v>0</v>
      </c>
      <c r="F8562" s="8">
        <v>105</v>
      </c>
    </row>
    <row r="8563" spans="1:6" ht="12.75">
      <c r="A8563" s="8">
        <v>43901.043252314819</v>
      </c>
      <c r="B8563" s="8" t="str">
        <f>HYPERLINK("https://twitter.com/KumarCadevkumar","@KumarCadevkumar")</f>
        <v>@KumarCadevkumar</v>
      </c>
      <c r="C8563" s="8" t="s">
        <v>1957</v>
      </c>
      <c r="D8563" s="8">
        <v>1490</v>
      </c>
      <c r="E8563" s="8">
        <v>0</v>
      </c>
      <c r="F8563" s="8">
        <v>70</v>
      </c>
    </row>
    <row r="8564" spans="1:6" ht="12.75">
      <c r="A8564" s="8">
        <v>43901.041967592595</v>
      </c>
      <c r="B8564" s="8" t="str">
        <f>HYPERLINK("https://twitter.com/HarapanSiahaan2","@HarapanSiahaan2")</f>
        <v>@HarapanSiahaan2</v>
      </c>
      <c r="C8564" s="8" t="s">
        <v>3190</v>
      </c>
      <c r="D8564" s="8">
        <v>128</v>
      </c>
      <c r="E8564" s="8">
        <v>0</v>
      </c>
      <c r="F8564" s="8">
        <v>112</v>
      </c>
    </row>
    <row r="8565" spans="1:6" ht="12.75">
      <c r="A8565" s="8">
        <v>43901.040937500002</v>
      </c>
      <c r="B8565" s="8" t="str">
        <f>HYPERLINK("https://twitter.com/Emilio_Alkariem","@Emilio_Alkariem")</f>
        <v>@Emilio_Alkariem</v>
      </c>
      <c r="C8565" s="8" t="s">
        <v>318</v>
      </c>
      <c r="D8565" s="8">
        <v>1035</v>
      </c>
      <c r="E8565" s="8">
        <v>0</v>
      </c>
      <c r="F8565" s="8">
        <v>46</v>
      </c>
    </row>
    <row r="8566" spans="1:6" ht="12.75">
      <c r="A8566" s="8">
        <v>43901.039953703701</v>
      </c>
      <c r="B8566" s="8" t="str">
        <f>HYPERLINK("https://twitter.com/SonyArekSby","@SonyArekSby")</f>
        <v>@SonyArekSby</v>
      </c>
      <c r="C8566" s="8" t="s">
        <v>1186</v>
      </c>
      <c r="D8566" s="8">
        <v>139</v>
      </c>
      <c r="E8566" s="8">
        <v>0</v>
      </c>
      <c r="F8566" s="8">
        <v>2185</v>
      </c>
    </row>
    <row r="8567" spans="1:6" ht="12.75">
      <c r="A8567" s="8">
        <v>43901.03979166667</v>
      </c>
      <c r="B8567" s="8" t="str">
        <f>HYPERLINK("https://twitter.com/RickRoy19709058","@RickRoy19709058")</f>
        <v>@RickRoy19709058</v>
      </c>
      <c r="C8567" s="8" t="s">
        <v>3918</v>
      </c>
      <c r="D8567" s="8">
        <v>0</v>
      </c>
      <c r="E8567" s="8">
        <v>0</v>
      </c>
      <c r="F8567" s="8">
        <v>45</v>
      </c>
    </row>
    <row r="8568" spans="1:6" ht="12.75">
      <c r="A8568" s="8">
        <v>43901.039548611108</v>
      </c>
      <c r="B8568" s="8" t="str">
        <f>HYPERLINK("https://twitter.com/loeloe81505275","@loeloe81505275")</f>
        <v>@loeloe81505275</v>
      </c>
      <c r="C8568" s="8" t="s">
        <v>1801</v>
      </c>
      <c r="D8568" s="8">
        <v>70</v>
      </c>
      <c r="E8568" s="8">
        <v>0</v>
      </c>
      <c r="F8568" s="8">
        <v>519</v>
      </c>
    </row>
    <row r="8569" spans="1:6" ht="12.75">
      <c r="A8569" s="8">
        <v>43901.038506944446</v>
      </c>
      <c r="B8569" s="8" t="str">
        <f>HYPERLINK("https://twitter.com/siw0nnim","@siw0nnim")</f>
        <v>@siw0nnim</v>
      </c>
      <c r="C8569" s="8" t="s">
        <v>3919</v>
      </c>
      <c r="D8569" s="8">
        <v>0</v>
      </c>
      <c r="E8569" s="8">
        <v>0</v>
      </c>
      <c r="F8569" s="8">
        <v>52</v>
      </c>
    </row>
    <row r="8570" spans="1:6" ht="12.75">
      <c r="A8570" s="8">
        <v>43901.038182870368</v>
      </c>
      <c r="B8570" s="8" t="str">
        <f>HYPERLINK("https://twitter.com/JoePasopati","@JoePasopati")</f>
        <v>@JoePasopati</v>
      </c>
      <c r="C8570" s="8" t="s">
        <v>3920</v>
      </c>
      <c r="D8570" s="8">
        <v>0</v>
      </c>
      <c r="E8570" s="8">
        <v>0</v>
      </c>
      <c r="F8570" s="8">
        <v>1186</v>
      </c>
    </row>
    <row r="8571" spans="1:6" ht="12.75">
      <c r="A8571" s="8">
        <v>43901.036192129628</v>
      </c>
      <c r="B8571" s="8" t="str">
        <f>HYPERLINK("https://twitter.com/AhmadALKAF6","@AhmadALKAF6")</f>
        <v>@AhmadALKAF6</v>
      </c>
      <c r="C8571" s="8" t="s">
        <v>318</v>
      </c>
      <c r="D8571" s="8">
        <v>1035</v>
      </c>
      <c r="E8571" s="8">
        <v>0</v>
      </c>
      <c r="F8571" s="8">
        <v>112</v>
      </c>
    </row>
    <row r="8572" spans="1:6" ht="12.75">
      <c r="A8572" s="8">
        <v>43901.033854166672</v>
      </c>
      <c r="B8572" s="8" t="str">
        <f>HYPERLINK("https://twitter.com/Widodo_By","@Widodo_By")</f>
        <v>@Widodo_By</v>
      </c>
      <c r="C8572" s="8" t="s">
        <v>3921</v>
      </c>
      <c r="D8572" s="8">
        <v>0</v>
      </c>
      <c r="E8572" s="8">
        <v>0</v>
      </c>
      <c r="F8572" s="8">
        <v>184</v>
      </c>
    </row>
    <row r="8573" spans="1:6" ht="12.75">
      <c r="A8573" s="8">
        <v>43901.033460648148</v>
      </c>
      <c r="B8573" s="8" t="str">
        <f>HYPERLINK("https://twitter.com/Muhamma05203144","@Muhamma05203144")</f>
        <v>@Muhamma05203144</v>
      </c>
      <c r="C8573" s="8" t="s">
        <v>2537</v>
      </c>
      <c r="D8573" s="8">
        <v>22</v>
      </c>
      <c r="E8573" s="8">
        <v>0</v>
      </c>
      <c r="F8573" s="8">
        <v>13</v>
      </c>
    </row>
    <row r="8574" spans="1:6" ht="12.75">
      <c r="A8574" s="8">
        <v>43901.033194444448</v>
      </c>
      <c r="B8574" s="8" t="str">
        <f>HYPERLINK("https://twitter.com/MVVZ3","@MVVZ3")</f>
        <v>@MVVZ3</v>
      </c>
      <c r="C8574" s="8" t="s">
        <v>1186</v>
      </c>
      <c r="D8574" s="8">
        <v>139</v>
      </c>
      <c r="E8574" s="8">
        <v>0</v>
      </c>
      <c r="F8574" s="8">
        <v>1072</v>
      </c>
    </row>
    <row r="8575" spans="1:6" ht="12.75">
      <c r="A8575" s="8">
        <v>43901.033148148148</v>
      </c>
      <c r="B8575" s="8" t="str">
        <f>HYPERLINK("https://twitter.com/banjorasbones","@banjorasbones")</f>
        <v>@banjorasbones</v>
      </c>
      <c r="C8575" s="8" t="s">
        <v>3922</v>
      </c>
      <c r="D8575" s="8">
        <v>0</v>
      </c>
      <c r="E8575" s="8">
        <v>0</v>
      </c>
      <c r="F8575" s="8">
        <v>590</v>
      </c>
    </row>
    <row r="8576" spans="1:6" ht="12.75">
      <c r="A8576" s="8">
        <v>43901.033113425925</v>
      </c>
      <c r="B8576" s="8" t="str">
        <f>HYPERLINK("https://twitter.com/germantantra","@germantantra")</f>
        <v>@germantantra</v>
      </c>
      <c r="C8576" s="8" t="s">
        <v>1801</v>
      </c>
      <c r="D8576" s="8">
        <v>70</v>
      </c>
      <c r="E8576" s="8">
        <v>0</v>
      </c>
      <c r="F8576" s="8">
        <v>165</v>
      </c>
    </row>
    <row r="8577" spans="1:6" ht="12.75">
      <c r="A8577" s="8">
        <v>43901.032893518517</v>
      </c>
      <c r="B8577" s="8" t="str">
        <f>HYPERLINK("https://twitter.com/WanaGirie","@WanaGirie")</f>
        <v>@WanaGirie</v>
      </c>
      <c r="C8577" s="8" t="s">
        <v>1801</v>
      </c>
      <c r="D8577" s="8">
        <v>70</v>
      </c>
      <c r="E8577" s="8">
        <v>0</v>
      </c>
      <c r="F8577" s="8">
        <v>297</v>
      </c>
    </row>
    <row r="8578" spans="1:6" ht="12.75">
      <c r="A8578" s="8">
        <v>43901.032812500001</v>
      </c>
      <c r="B8578" s="8" t="str">
        <f>HYPERLINK("https://twitter.com/Subadri20917452","@Subadri20917452")</f>
        <v>@Subadri20917452</v>
      </c>
      <c r="C8578" s="8" t="s">
        <v>3923</v>
      </c>
      <c r="D8578" s="8">
        <v>0</v>
      </c>
      <c r="E8578" s="8">
        <v>0</v>
      </c>
      <c r="F8578" s="8">
        <v>818</v>
      </c>
    </row>
    <row r="8579" spans="1:6" ht="12.75">
      <c r="A8579" s="8">
        <v>43901.03188657407</v>
      </c>
      <c r="B8579" s="8" t="str">
        <f>HYPERLINK("https://twitter.com/herubadala","@herubadala")</f>
        <v>@herubadala</v>
      </c>
      <c r="C8579" s="8" t="s">
        <v>1801</v>
      </c>
      <c r="D8579" s="8">
        <v>70</v>
      </c>
      <c r="E8579" s="8">
        <v>0</v>
      </c>
      <c r="F8579" s="8">
        <v>533</v>
      </c>
    </row>
    <row r="8580" spans="1:6" ht="12.75">
      <c r="A8580" s="8">
        <v>43901.028819444444</v>
      </c>
      <c r="B8580" s="8" t="str">
        <f>HYPERLINK("https://twitter.com/Laopo20","@Laopo20")</f>
        <v>@Laopo20</v>
      </c>
      <c r="C8580" s="8" t="s">
        <v>318</v>
      </c>
      <c r="D8580" s="8">
        <v>1035</v>
      </c>
      <c r="E8580" s="8">
        <v>0</v>
      </c>
      <c r="F8580" s="8">
        <v>888</v>
      </c>
    </row>
    <row r="8581" spans="1:6" ht="12.75">
      <c r="A8581" s="8">
        <v>43901.026689814811</v>
      </c>
      <c r="B8581" s="8" t="str">
        <f>HYPERLINK("https://twitter.com/ArieSondang","@ArieSondang")</f>
        <v>@ArieSondang</v>
      </c>
      <c r="C8581" s="8" t="s">
        <v>3924</v>
      </c>
      <c r="D8581" s="8">
        <v>0</v>
      </c>
      <c r="E8581" s="8">
        <v>1</v>
      </c>
      <c r="F8581" s="8">
        <v>580</v>
      </c>
    </row>
    <row r="8582" spans="1:6" ht="12.75">
      <c r="A8582" s="8">
        <v>43901.02615740741</v>
      </c>
      <c r="B8582" s="8" t="str">
        <f>HYPERLINK("https://twitter.com/adhinurdafina","@adhinurdafina")</f>
        <v>@adhinurdafina</v>
      </c>
      <c r="C8582" s="8" t="s">
        <v>318</v>
      </c>
      <c r="D8582" s="8">
        <v>1035</v>
      </c>
      <c r="E8582" s="8">
        <v>0</v>
      </c>
      <c r="F8582" s="8">
        <v>1298</v>
      </c>
    </row>
    <row r="8583" spans="1:6" ht="12.75">
      <c r="A8583" s="8">
        <v>43901.025208333333</v>
      </c>
      <c r="B8583" s="8" t="str">
        <f>HYPERLINK("https://twitter.com/Dewie34292319","@Dewie34292319")</f>
        <v>@Dewie34292319</v>
      </c>
      <c r="C8583" s="8" t="s">
        <v>1186</v>
      </c>
      <c r="D8583" s="8">
        <v>139</v>
      </c>
      <c r="E8583" s="8">
        <v>0</v>
      </c>
      <c r="F8583" s="8">
        <v>1849</v>
      </c>
    </row>
    <row r="8584" spans="1:6" ht="12.75">
      <c r="A8584" s="8">
        <v>43901.024918981479</v>
      </c>
      <c r="B8584" s="8" t="str">
        <f>HYPERLINK("https://twitter.com/bekchoy","@bekchoy")</f>
        <v>@bekchoy</v>
      </c>
      <c r="C8584" s="8" t="s">
        <v>1801</v>
      </c>
      <c r="D8584" s="8">
        <v>70</v>
      </c>
      <c r="E8584" s="8">
        <v>0</v>
      </c>
      <c r="F8584" s="8">
        <v>137</v>
      </c>
    </row>
    <row r="8585" spans="1:6" ht="12.75">
      <c r="A8585" s="8">
        <v>43901.024733796294</v>
      </c>
      <c r="B8585" s="8" t="str">
        <f>HYPERLINK("https://twitter.com/zulhendribasri2","@zulhendribasri2")</f>
        <v>@zulhendribasri2</v>
      </c>
      <c r="C8585" s="8" t="s">
        <v>3925</v>
      </c>
      <c r="D8585" s="8">
        <v>10</v>
      </c>
      <c r="E8585" s="8">
        <v>0</v>
      </c>
      <c r="F8585" s="8">
        <v>1780</v>
      </c>
    </row>
    <row r="8586" spans="1:6" ht="12.75">
      <c r="A8586" s="8">
        <v>43901.024652777778</v>
      </c>
      <c r="B8586" s="8" t="str">
        <f>HYPERLINK("https://twitter.com/banjorasbones","@banjorasbones")</f>
        <v>@banjorasbones</v>
      </c>
      <c r="C8586" s="8" t="s">
        <v>3926</v>
      </c>
      <c r="D8586" s="8">
        <v>0</v>
      </c>
      <c r="E8586" s="8">
        <v>0</v>
      </c>
      <c r="F8586" s="8">
        <v>590</v>
      </c>
    </row>
    <row r="8587" spans="1:6" ht="12.75">
      <c r="A8587" s="8">
        <v>43901.023240740746</v>
      </c>
      <c r="B8587" s="8" t="str">
        <f>HYPERLINK("https://twitter.com/dinodachi03","@dinodachi03")</f>
        <v>@dinodachi03</v>
      </c>
      <c r="C8587" s="8" t="s">
        <v>318</v>
      </c>
      <c r="D8587" s="8">
        <v>1035</v>
      </c>
      <c r="E8587" s="8">
        <v>0</v>
      </c>
      <c r="F8587" s="8">
        <v>1012</v>
      </c>
    </row>
    <row r="8588" spans="1:6" ht="12.75">
      <c r="A8588" s="8">
        <v>43901.023217592592</v>
      </c>
      <c r="B8588" s="8" t="str">
        <f>HYPERLINK("https://twitter.com/TJumiat","@TJumiat")</f>
        <v>@TJumiat</v>
      </c>
      <c r="C8588" s="8" t="s">
        <v>1801</v>
      </c>
      <c r="D8588" s="8">
        <v>70</v>
      </c>
      <c r="E8588" s="8">
        <v>0</v>
      </c>
      <c r="F8588" s="8">
        <v>156</v>
      </c>
    </row>
    <row r="8589" spans="1:6" ht="12.75">
      <c r="A8589" s="8">
        <v>43901.023113425923</v>
      </c>
      <c r="B8589" s="8" t="str">
        <f>HYPERLINK("https://twitter.com/dinodachi03","@dinodachi03")</f>
        <v>@dinodachi03</v>
      </c>
      <c r="C8589" s="8" t="s">
        <v>3927</v>
      </c>
      <c r="D8589" s="8">
        <v>1</v>
      </c>
      <c r="E8589" s="8">
        <v>0</v>
      </c>
      <c r="F8589" s="8">
        <v>1012</v>
      </c>
    </row>
    <row r="8590" spans="1:6" ht="12.75">
      <c r="A8590" s="8">
        <v>43901.022673611107</v>
      </c>
      <c r="B8590" s="8" t="str">
        <f>HYPERLINK("https://twitter.com/NegriMerahPutih","@NegriMerahPutih")</f>
        <v>@NegriMerahPutih</v>
      </c>
      <c r="C8590" s="8" t="s">
        <v>1186</v>
      </c>
      <c r="D8590" s="8">
        <v>139</v>
      </c>
      <c r="E8590" s="8">
        <v>0</v>
      </c>
      <c r="F8590" s="8">
        <v>1583</v>
      </c>
    </row>
    <row r="8591" spans="1:6" ht="12.75">
      <c r="A8591" s="8">
        <v>43901.021458333329</v>
      </c>
      <c r="B8591" s="8" t="str">
        <f>HYPERLINK("https://twitter.com/Budihar21525608","@Budihar21525608")</f>
        <v>@Budihar21525608</v>
      </c>
      <c r="C8591" s="8" t="s">
        <v>295</v>
      </c>
      <c r="D8591" s="8">
        <v>76</v>
      </c>
      <c r="E8591" s="8">
        <v>0</v>
      </c>
      <c r="F8591" s="8">
        <v>6427</v>
      </c>
    </row>
    <row r="8592" spans="1:6" ht="12.75">
      <c r="A8592" s="8">
        <v>43901.021458333329</v>
      </c>
      <c r="B8592" s="8" t="str">
        <f>HYPERLINK("https://twitter.com/wickedbunnies","@wickedbunnies")</f>
        <v>@wickedbunnies</v>
      </c>
      <c r="C8592" s="8" t="s">
        <v>3928</v>
      </c>
      <c r="D8592" s="8">
        <v>0</v>
      </c>
      <c r="E8592" s="8">
        <v>0</v>
      </c>
      <c r="F8592" s="8">
        <v>742</v>
      </c>
    </row>
    <row r="8593" spans="1:6" ht="12.75">
      <c r="A8593" s="8">
        <v>43901.021319444444</v>
      </c>
      <c r="B8593" s="8" t="str">
        <f>HYPERLINK("https://twitter.com/Fachmiardhi","@Fachmiardhi")</f>
        <v>@Fachmiardhi</v>
      </c>
      <c r="C8593" s="8" t="s">
        <v>3929</v>
      </c>
      <c r="D8593" s="8">
        <v>0</v>
      </c>
      <c r="E8593" s="8">
        <v>0</v>
      </c>
      <c r="F8593" s="8">
        <v>630</v>
      </c>
    </row>
    <row r="8594" spans="1:6" ht="12.75">
      <c r="A8594" s="8">
        <v>43901.021284722221</v>
      </c>
      <c r="B8594" s="8" t="str">
        <f>HYPERLINK("https://twitter.com/Budihar21525608","@Budihar21525608")</f>
        <v>@Budihar21525608</v>
      </c>
      <c r="C8594" s="8" t="s">
        <v>2432</v>
      </c>
      <c r="D8594" s="8">
        <v>50</v>
      </c>
      <c r="E8594" s="8">
        <v>0</v>
      </c>
      <c r="F8594" s="8">
        <v>6427</v>
      </c>
    </row>
    <row r="8595" spans="1:6" ht="12.75">
      <c r="A8595" s="8">
        <v>43901.020231481481</v>
      </c>
      <c r="B8595" s="8" t="str">
        <f>HYPERLINK("https://twitter.com/tfq_firdaus","@tfq_firdaus")</f>
        <v>@tfq_firdaus</v>
      </c>
      <c r="C8595" s="8" t="s">
        <v>1186</v>
      </c>
      <c r="D8595" s="8">
        <v>139</v>
      </c>
      <c r="E8595" s="8">
        <v>0</v>
      </c>
      <c r="F8595" s="8">
        <v>1013</v>
      </c>
    </row>
    <row r="8596" spans="1:6" ht="12.75">
      <c r="A8596" s="8">
        <v>43901.018657407403</v>
      </c>
      <c r="B8596" s="8" t="str">
        <f>HYPERLINK("https://twitter.com/Zerosensei5","@Zerosensei5")</f>
        <v>@Zerosensei5</v>
      </c>
      <c r="C8596" s="8" t="s">
        <v>3930</v>
      </c>
      <c r="D8596" s="8">
        <v>0</v>
      </c>
      <c r="E8596" s="8">
        <v>0</v>
      </c>
      <c r="F8596" s="8">
        <v>0</v>
      </c>
    </row>
    <row r="8597" spans="1:6" ht="12.75">
      <c r="A8597" s="8">
        <v>43901.018576388888</v>
      </c>
      <c r="B8597" s="8" t="str">
        <f>HYPERLINK("https://twitter.com/Bagas36406270","@Bagas36406270")</f>
        <v>@Bagas36406270</v>
      </c>
      <c r="C8597" s="8" t="s">
        <v>3925</v>
      </c>
      <c r="D8597" s="8">
        <v>10</v>
      </c>
      <c r="E8597" s="8">
        <v>0</v>
      </c>
      <c r="F8597" s="8">
        <v>1299</v>
      </c>
    </row>
    <row r="8598" spans="1:6" ht="12.75">
      <c r="A8598" s="8">
        <v>43901.018483796295</v>
      </c>
      <c r="B8598" s="8" t="str">
        <f>HYPERLINK("https://twitter.com/Hendry_VAAN","@Hendry_VAAN")</f>
        <v>@Hendry_VAAN</v>
      </c>
      <c r="C8598" s="8" t="s">
        <v>318</v>
      </c>
      <c r="D8598" s="8">
        <v>1035</v>
      </c>
      <c r="E8598" s="8">
        <v>0</v>
      </c>
      <c r="F8598" s="8">
        <v>570</v>
      </c>
    </row>
    <row r="8599" spans="1:6" ht="12.75">
      <c r="A8599" s="8">
        <v>43901.017534722225</v>
      </c>
      <c r="B8599" s="8" t="str">
        <f>HYPERLINK("https://twitter.com/DoniGrapher","@DoniGrapher")</f>
        <v>@DoniGrapher</v>
      </c>
      <c r="C8599" s="8" t="s">
        <v>1801</v>
      </c>
      <c r="D8599" s="8">
        <v>70</v>
      </c>
      <c r="E8599" s="8">
        <v>0</v>
      </c>
      <c r="F8599" s="8">
        <v>437</v>
      </c>
    </row>
    <row r="8600" spans="1:6" ht="12.75">
      <c r="A8600" s="8">
        <v>43901.01626157407</v>
      </c>
      <c r="B8600" s="8" t="str">
        <f>HYPERLINK("https://twitter.com/sabdafnino18","@sabdafnino18")</f>
        <v>@sabdafnino18</v>
      </c>
      <c r="C8600" s="8" t="s">
        <v>3931</v>
      </c>
      <c r="D8600" s="8">
        <v>0</v>
      </c>
      <c r="E8600" s="8">
        <v>0</v>
      </c>
      <c r="F8600" s="8">
        <v>296</v>
      </c>
    </row>
    <row r="8601" spans="1:6" ht="12.75">
      <c r="A8601" s="8">
        <v>43901.015682870369</v>
      </c>
      <c r="B8601" s="8" t="str">
        <f>HYPERLINK("https://twitter.com/harrytriack","@harrytriack")</f>
        <v>@harrytriack</v>
      </c>
      <c r="C8601" s="8" t="s">
        <v>318</v>
      </c>
      <c r="D8601" s="8">
        <v>1035</v>
      </c>
      <c r="E8601" s="8">
        <v>0</v>
      </c>
      <c r="F8601" s="8">
        <v>37</v>
      </c>
    </row>
    <row r="8602" spans="1:6" ht="12.75">
      <c r="A8602" s="8">
        <v>43901.013912037037</v>
      </c>
      <c r="B8602" s="8" t="str">
        <f>HYPERLINK("https://twitter.com/tidung_woles","@tidung_woles")</f>
        <v>@tidung_woles</v>
      </c>
      <c r="C8602" s="8" t="s">
        <v>3932</v>
      </c>
      <c r="D8602" s="8">
        <v>0</v>
      </c>
      <c r="E8602" s="8">
        <v>0</v>
      </c>
      <c r="F8602" s="8">
        <v>513</v>
      </c>
    </row>
    <row r="8603" spans="1:6" ht="12.75">
      <c r="A8603" s="8">
        <v>43901.013229166667</v>
      </c>
      <c r="B8603" s="8" t="str">
        <f>HYPERLINK("https://twitter.com/sabilasav","@sabilasav")</f>
        <v>@sabilasav</v>
      </c>
      <c r="C8603" s="8" t="s">
        <v>3933</v>
      </c>
      <c r="D8603" s="8">
        <v>0</v>
      </c>
      <c r="E8603" s="8">
        <v>0</v>
      </c>
      <c r="F8603" s="8">
        <v>38</v>
      </c>
    </row>
    <row r="8604" spans="1:6" ht="12.75">
      <c r="A8604" s="8">
        <v>43901.013067129628</v>
      </c>
      <c r="B8604" s="8" t="str">
        <f>HYPERLINK("https://twitter.com/Daelyank","@Daelyank")</f>
        <v>@Daelyank</v>
      </c>
      <c r="C8604" s="8" t="s">
        <v>318</v>
      </c>
      <c r="D8604" s="8">
        <v>1035</v>
      </c>
      <c r="E8604" s="8">
        <v>0</v>
      </c>
      <c r="F8604" s="8">
        <v>198</v>
      </c>
    </row>
    <row r="8605" spans="1:6" ht="12.75">
      <c r="A8605" s="8">
        <v>43901.01284722222</v>
      </c>
      <c r="B8605" s="8" t="str">
        <f>HYPERLINK("https://twitter.com/awan137","@awan137")</f>
        <v>@awan137</v>
      </c>
      <c r="C8605" s="8" t="s">
        <v>3934</v>
      </c>
      <c r="D8605" s="8">
        <v>0</v>
      </c>
      <c r="E8605" s="8">
        <v>0</v>
      </c>
      <c r="F8605" s="8">
        <v>337</v>
      </c>
    </row>
    <row r="8606" spans="1:6" ht="12.75">
      <c r="A8606" s="8">
        <v>43901.012569444443</v>
      </c>
      <c r="B8606" s="8" t="str">
        <f>HYPERLINK("https://twitter.com/candrasurya","@candrasurya")</f>
        <v>@candrasurya</v>
      </c>
      <c r="C8606" s="8" t="s">
        <v>1186</v>
      </c>
      <c r="D8606" s="8">
        <v>139</v>
      </c>
      <c r="E8606" s="8">
        <v>0</v>
      </c>
      <c r="F8606" s="8">
        <v>1037</v>
      </c>
    </row>
    <row r="8607" spans="1:6" ht="12.75">
      <c r="A8607" s="8">
        <v>43901.012187500004</v>
      </c>
      <c r="B8607" s="8" t="str">
        <f>HYPERLINK("https://twitter.com/Netral_Person","@Netral_Person")</f>
        <v>@Netral_Person</v>
      </c>
      <c r="C8607" s="8" t="s">
        <v>3190</v>
      </c>
      <c r="D8607" s="8">
        <v>128</v>
      </c>
      <c r="E8607" s="8">
        <v>0</v>
      </c>
      <c r="F8607" s="8">
        <v>91</v>
      </c>
    </row>
    <row r="8608" spans="1:6" ht="12.75">
      <c r="A8608" s="8">
        <v>43901.012175925927</v>
      </c>
      <c r="B8608" s="8" t="str">
        <f>HYPERLINK("https://twitter.com/BGK181","@BGK181")</f>
        <v>@BGK181</v>
      </c>
      <c r="C8608" s="8" t="s">
        <v>318</v>
      </c>
      <c r="D8608" s="8">
        <v>1035</v>
      </c>
      <c r="E8608" s="8">
        <v>0</v>
      </c>
      <c r="F8608" s="8">
        <v>29</v>
      </c>
    </row>
    <row r="8609" spans="1:6" ht="12.75">
      <c r="A8609" s="8">
        <v>43901.011828703704</v>
      </c>
      <c r="B8609" s="8" t="str">
        <f>HYPERLINK("https://twitter.com/abdulrosyid417","@abdulrosyid417")</f>
        <v>@abdulrosyid417</v>
      </c>
      <c r="C8609" s="8" t="s">
        <v>318</v>
      </c>
      <c r="D8609" s="8">
        <v>1035</v>
      </c>
      <c r="E8609" s="8">
        <v>0</v>
      </c>
      <c r="F8609" s="8">
        <v>79</v>
      </c>
    </row>
    <row r="8610" spans="1:6" ht="12.75">
      <c r="A8610" s="8">
        <v>43901.011574074073</v>
      </c>
      <c r="B8610" s="8" t="str">
        <f>HYPERLINK("https://twitter.com/Isis_Monserrat","@Isis_Monserrat")</f>
        <v>@Isis_Monserrat</v>
      </c>
      <c r="C8610" s="8" t="s">
        <v>3935</v>
      </c>
      <c r="D8610" s="8">
        <v>85</v>
      </c>
      <c r="E8610" s="8">
        <v>0</v>
      </c>
      <c r="F8610" s="8">
        <v>250</v>
      </c>
    </row>
    <row r="8611" spans="1:6" ht="12.75">
      <c r="A8611" s="8">
        <v>43901.011111111111</v>
      </c>
      <c r="B8611" s="8" t="str">
        <f>HYPERLINK("https://twitter.com/Pakdedy2","@Pakdedy2")</f>
        <v>@Pakdedy2</v>
      </c>
      <c r="C8611" s="8" t="s">
        <v>1801</v>
      </c>
      <c r="D8611" s="8">
        <v>70</v>
      </c>
      <c r="E8611" s="8">
        <v>0</v>
      </c>
      <c r="F8611" s="8">
        <v>273</v>
      </c>
    </row>
    <row r="8612" spans="1:6" ht="12.75">
      <c r="A8612" s="8">
        <v>43901.010960648149</v>
      </c>
      <c r="B8612" s="8" t="str">
        <f>HYPERLINK("https://twitter.com/Bagas36406270","@Bagas36406270")</f>
        <v>@Bagas36406270</v>
      </c>
      <c r="C8612" s="8" t="s">
        <v>1186</v>
      </c>
      <c r="D8612" s="8">
        <v>139</v>
      </c>
      <c r="E8612" s="8">
        <v>0</v>
      </c>
      <c r="F8612" s="8">
        <v>1299</v>
      </c>
    </row>
    <row r="8613" spans="1:6" ht="12.75">
      <c r="A8613" s="8">
        <v>43901.010960648149</v>
      </c>
      <c r="B8613" s="8" t="str">
        <f>HYPERLINK("https://twitter.com/rico_drc","@rico_drc")</f>
        <v>@rico_drc</v>
      </c>
      <c r="C8613" s="8" t="s">
        <v>1801</v>
      </c>
      <c r="D8613" s="8">
        <v>70</v>
      </c>
      <c r="E8613" s="8">
        <v>0</v>
      </c>
      <c r="F8613" s="8">
        <v>72</v>
      </c>
    </row>
    <row r="8614" spans="1:6" ht="12.75">
      <c r="A8614" s="8">
        <v>43901.010787037041</v>
      </c>
      <c r="B8614" s="8" t="str">
        <f>HYPERLINK("https://twitter.com/azkaDfahreza","@azkaDfahreza")</f>
        <v>@azkaDfahreza</v>
      </c>
      <c r="C8614" s="8" t="s">
        <v>3936</v>
      </c>
      <c r="D8614" s="8">
        <v>0</v>
      </c>
      <c r="E8614" s="8">
        <v>0</v>
      </c>
      <c r="F8614" s="8">
        <v>70</v>
      </c>
    </row>
    <row r="8615" spans="1:6" ht="12.75">
      <c r="A8615" s="8">
        <v>43901.01059027778</v>
      </c>
      <c r="B8615" s="8" t="str">
        <f>HYPERLINK("https://twitter.com/DelmaJaya","@DelmaJaya")</f>
        <v>@DelmaJaya</v>
      </c>
      <c r="C8615" s="8" t="s">
        <v>318</v>
      </c>
      <c r="D8615" s="8">
        <v>1035</v>
      </c>
      <c r="E8615" s="8">
        <v>0</v>
      </c>
      <c r="F8615" s="8">
        <v>571</v>
      </c>
    </row>
    <row r="8616" spans="1:6" ht="12.75">
      <c r="A8616" s="8">
        <v>43901.01054398148</v>
      </c>
      <c r="B8616" s="8" t="str">
        <f>HYPERLINK("https://twitter.com/Benzkardian","@Benzkardian")</f>
        <v>@Benzkardian</v>
      </c>
      <c r="C8616" s="8" t="s">
        <v>318</v>
      </c>
      <c r="D8616" s="8">
        <v>1035</v>
      </c>
      <c r="E8616" s="8">
        <v>0</v>
      </c>
      <c r="F8616" s="8">
        <v>589</v>
      </c>
    </row>
    <row r="8617" spans="1:6" ht="12.75">
      <c r="A8617" s="8">
        <v>43901.009606481486</v>
      </c>
      <c r="B8617" s="8" t="str">
        <f>HYPERLINK("https://twitter.com/Keriyanam","@Keriyanam")</f>
        <v>@Keriyanam</v>
      </c>
      <c r="C8617" s="8" t="s">
        <v>3937</v>
      </c>
      <c r="D8617" s="8">
        <v>0</v>
      </c>
      <c r="E8617" s="8">
        <v>0</v>
      </c>
      <c r="F8617" s="8">
        <v>456</v>
      </c>
    </row>
    <row r="8618" spans="1:6" ht="12.75">
      <c r="A8618" s="8">
        <v>43901.009270833332</v>
      </c>
      <c r="B8618" s="8" t="str">
        <f>HYPERLINK("https://twitter.com/Subadri20917452","@Subadri20917452")</f>
        <v>@Subadri20917452</v>
      </c>
      <c r="C8618" s="8" t="s">
        <v>3938</v>
      </c>
      <c r="D8618" s="8">
        <v>0</v>
      </c>
      <c r="E8618" s="8">
        <v>0</v>
      </c>
      <c r="F8618" s="8">
        <v>818</v>
      </c>
    </row>
    <row r="8619" spans="1:6" ht="12.75">
      <c r="A8619" s="8">
        <v>43901.009039351848</v>
      </c>
      <c r="B8619" s="8" t="str">
        <f>HYPERLINK("https://twitter.com/richardodhstio","@richardodhstio")</f>
        <v>@richardodhstio</v>
      </c>
      <c r="C8619" s="8" t="s">
        <v>1801</v>
      </c>
      <c r="D8619" s="8">
        <v>70</v>
      </c>
      <c r="E8619" s="8">
        <v>0</v>
      </c>
      <c r="F8619" s="8">
        <v>2769</v>
      </c>
    </row>
    <row r="8620" spans="1:6" ht="12.75">
      <c r="A8620" s="8">
        <v>43901.008530092593</v>
      </c>
      <c r="B8620" s="8" t="str">
        <f>HYPERLINK("https://twitter.com/LNababan2","@LNababan2")</f>
        <v>@LNababan2</v>
      </c>
      <c r="C8620" s="8" t="s">
        <v>1801</v>
      </c>
      <c r="D8620" s="8">
        <v>70</v>
      </c>
      <c r="E8620" s="8">
        <v>0</v>
      </c>
      <c r="F8620" s="8">
        <v>2939</v>
      </c>
    </row>
    <row r="8621" spans="1:6" ht="12.75">
      <c r="A8621" s="8">
        <v>43901.008368055554</v>
      </c>
      <c r="B8621" s="8" t="str">
        <f>HYPERLINK("https://twitter.com/panembahansepuh","@panembahansepuh")</f>
        <v>@panembahansepuh</v>
      </c>
      <c r="C8621" s="8" t="s">
        <v>1186</v>
      </c>
      <c r="D8621" s="8">
        <v>139</v>
      </c>
      <c r="E8621" s="8">
        <v>0</v>
      </c>
      <c r="F8621" s="8">
        <v>373</v>
      </c>
    </row>
    <row r="8622" spans="1:6" ht="12.75">
      <c r="A8622" s="8">
        <v>43901.008368055554</v>
      </c>
      <c r="B8622" s="8" t="str">
        <f>HYPERLINK("https://twitter.com/sweetfirda","@sweetfirda")</f>
        <v>@sweetfirda</v>
      </c>
      <c r="C8622" s="8" t="s">
        <v>1801</v>
      </c>
      <c r="D8622" s="8">
        <v>70</v>
      </c>
      <c r="E8622" s="8">
        <v>0</v>
      </c>
      <c r="F8622" s="8">
        <v>549</v>
      </c>
    </row>
    <row r="8623" spans="1:6" ht="12.75">
      <c r="A8623" s="8">
        <v>43901.007418981477</v>
      </c>
      <c r="B8623" s="8" t="str">
        <f>HYPERLINK("https://twitter.com/AnemiaDracula","@AnemiaDracula")</f>
        <v>@AnemiaDracula</v>
      </c>
      <c r="C8623" s="8" t="s">
        <v>1801</v>
      </c>
      <c r="D8623" s="8">
        <v>70</v>
      </c>
      <c r="E8623" s="8">
        <v>0</v>
      </c>
      <c r="F8623" s="8">
        <v>37</v>
      </c>
    </row>
    <row r="8624" spans="1:6" ht="12.75">
      <c r="A8624" s="8">
        <v>43901.007048611107</v>
      </c>
      <c r="B8624" s="8" t="str">
        <f>HYPERLINK("https://twitter.com/_wni_","@_wni_")</f>
        <v>@_wni_</v>
      </c>
      <c r="C8624" s="8" t="s">
        <v>3939</v>
      </c>
      <c r="D8624" s="8">
        <v>7387</v>
      </c>
      <c r="E8624" s="8">
        <v>0</v>
      </c>
      <c r="F8624" s="8">
        <v>22</v>
      </c>
    </row>
    <row r="8625" spans="1:6" ht="12.75">
      <c r="A8625" s="8">
        <v>43901.006909722222</v>
      </c>
      <c r="B8625" s="8" t="str">
        <f>HYPERLINK("https://twitter.com/IwaDirja","@IwaDirja")</f>
        <v>@IwaDirja</v>
      </c>
      <c r="C8625" s="8" t="s">
        <v>318</v>
      </c>
      <c r="D8625" s="8">
        <v>1035</v>
      </c>
      <c r="E8625" s="8">
        <v>0</v>
      </c>
      <c r="F8625" s="8">
        <v>483</v>
      </c>
    </row>
    <row r="8626" spans="1:6" ht="12.75">
      <c r="A8626" s="8">
        <v>43901.006296296298</v>
      </c>
      <c r="B8626" s="8" t="str">
        <f>HYPERLINK("https://twitter.com/FerryM1","@FerryM1")</f>
        <v>@FerryM1</v>
      </c>
      <c r="C8626" s="8" t="s">
        <v>1801</v>
      </c>
      <c r="D8626" s="8">
        <v>52</v>
      </c>
      <c r="E8626" s="8">
        <v>0</v>
      </c>
      <c r="F8626" s="8">
        <v>2333</v>
      </c>
    </row>
    <row r="8627" spans="1:6" ht="12.75">
      <c r="A8627" s="8">
        <v>43901.004953703705</v>
      </c>
      <c r="B8627" s="8" t="str">
        <f>HYPERLINK("https://twitter.com/RMSaid2","@RMSaid2")</f>
        <v>@RMSaid2</v>
      </c>
      <c r="C8627" s="8" t="s">
        <v>3940</v>
      </c>
      <c r="D8627" s="8">
        <v>0</v>
      </c>
      <c r="E8627" s="8">
        <v>0</v>
      </c>
      <c r="F8627" s="8">
        <v>26</v>
      </c>
    </row>
    <row r="8628" spans="1:6" ht="12.75">
      <c r="A8628" s="8">
        <v>43901.003611111111</v>
      </c>
      <c r="B8628" s="8" t="str">
        <f>HYPERLINK("https://twitter.com/Danimas19","@Danimas19")</f>
        <v>@Danimas19</v>
      </c>
      <c r="C8628" s="8" t="s">
        <v>1801</v>
      </c>
      <c r="D8628" s="8">
        <v>52</v>
      </c>
      <c r="E8628" s="8">
        <v>0</v>
      </c>
      <c r="F8628" s="8">
        <v>132</v>
      </c>
    </row>
    <row r="8629" spans="1:6" ht="12.75">
      <c r="A8629" s="8">
        <v>43901.003506944442</v>
      </c>
      <c r="B8629" s="8" t="str">
        <f>HYPERLINK("https://twitter.com/RahmatTran","@RahmatTran")</f>
        <v>@RahmatTran</v>
      </c>
      <c r="C8629" s="8" t="s">
        <v>1801</v>
      </c>
      <c r="D8629" s="8">
        <v>52</v>
      </c>
      <c r="E8629" s="8">
        <v>0</v>
      </c>
      <c r="F8629" s="8">
        <v>87</v>
      </c>
    </row>
    <row r="8630" spans="1:6" ht="12.75">
      <c r="A8630" s="8">
        <v>43901.003437499996</v>
      </c>
      <c r="B8630" s="8" t="str">
        <f>HYPERLINK("https://twitter.com/AlRasyidS","@AlRasyidS")</f>
        <v>@AlRasyidS</v>
      </c>
      <c r="C8630" s="8" t="s">
        <v>1801</v>
      </c>
      <c r="D8630" s="8">
        <v>52</v>
      </c>
      <c r="E8630" s="8">
        <v>0</v>
      </c>
      <c r="F8630" s="8">
        <v>2854</v>
      </c>
    </row>
    <row r="8631" spans="1:6" ht="12.75">
      <c r="A8631" s="8">
        <v>43901.00200231481</v>
      </c>
      <c r="B8631" s="8" t="str">
        <f>HYPERLINK("https://twitter.com/rkalf_","@rkalf_")</f>
        <v>@rkalf_</v>
      </c>
      <c r="C8631" s="8" t="s">
        <v>3941</v>
      </c>
      <c r="D8631" s="8">
        <v>0</v>
      </c>
      <c r="E8631" s="8">
        <v>0</v>
      </c>
      <c r="F8631" s="8">
        <v>23</v>
      </c>
    </row>
    <row r="8632" spans="1:6" ht="12.75">
      <c r="A8632" s="8">
        <v>43901.001331018517</v>
      </c>
      <c r="B8632" s="8" t="str">
        <f>HYPERLINK("https://twitter.com/putrimadhita","@putrimadhita")</f>
        <v>@putrimadhita</v>
      </c>
      <c r="C8632" s="8" t="s">
        <v>3545</v>
      </c>
      <c r="D8632" s="8">
        <v>14</v>
      </c>
      <c r="E8632" s="8">
        <v>0</v>
      </c>
      <c r="F8632" s="8">
        <v>338</v>
      </c>
    </row>
    <row r="8633" spans="1:6" ht="12.75">
      <c r="A8633" s="8">
        <v>43901.000949074078</v>
      </c>
      <c r="B8633" s="8" t="str">
        <f>HYPERLINK("https://twitter.com/rrrabz","@rrrabz")</f>
        <v>@rrrabz</v>
      </c>
      <c r="C8633" s="8" t="s">
        <v>3942</v>
      </c>
      <c r="D8633" s="8">
        <v>0</v>
      </c>
      <c r="E8633" s="8">
        <v>0</v>
      </c>
      <c r="F8633" s="8">
        <v>652</v>
      </c>
    </row>
    <row r="8634" spans="1:6" ht="12.75">
      <c r="A8634" s="8">
        <v>43900.999085648145</v>
      </c>
      <c r="B8634" s="8" t="str">
        <f>HYPERLINK("https://twitter.com/Roskafe1","@Roskafe1")</f>
        <v>@Roskafe1</v>
      </c>
      <c r="C8634" s="8" t="s">
        <v>2537</v>
      </c>
      <c r="D8634" s="8">
        <v>20</v>
      </c>
      <c r="E8634" s="8">
        <v>0</v>
      </c>
      <c r="F8634" s="8">
        <v>2509</v>
      </c>
    </row>
    <row r="8635" spans="1:6" ht="12.75">
      <c r="A8635" s="8">
        <v>43900.998738425929</v>
      </c>
      <c r="B8635" s="8" t="str">
        <f>HYPERLINK("https://twitter.com/Nationalist_ND","@Nationalist_ND")</f>
        <v>@Nationalist_ND</v>
      </c>
      <c r="C8635" s="8" t="s">
        <v>3943</v>
      </c>
      <c r="D8635" s="8">
        <v>0</v>
      </c>
      <c r="E8635" s="8">
        <v>0</v>
      </c>
      <c r="F8635" s="8">
        <v>22</v>
      </c>
    </row>
    <row r="8636" spans="1:6" ht="12.75">
      <c r="A8636" s="8">
        <v>43900.998298611114</v>
      </c>
      <c r="B8636" s="8" t="str">
        <f>HYPERLINK("https://twitter.com/ElingSim","@ElingSim")</f>
        <v>@ElingSim</v>
      </c>
      <c r="C8636" s="8" t="s">
        <v>318</v>
      </c>
      <c r="D8636" s="8">
        <v>1019</v>
      </c>
      <c r="E8636" s="8">
        <v>0</v>
      </c>
      <c r="F8636" s="8">
        <v>407</v>
      </c>
    </row>
    <row r="8637" spans="1:6" ht="12.75">
      <c r="A8637" s="8">
        <v>43900.998090277775</v>
      </c>
      <c r="B8637" s="8" t="str">
        <f>HYPERLINK("https://twitter.com/KresnaAstra","@KresnaAstra")</f>
        <v>@KresnaAstra</v>
      </c>
      <c r="C8637" s="8" t="s">
        <v>3944</v>
      </c>
      <c r="D8637" s="8">
        <v>0</v>
      </c>
      <c r="E8637" s="8">
        <v>0</v>
      </c>
      <c r="F8637" s="8">
        <v>397</v>
      </c>
    </row>
    <row r="8638" spans="1:6" ht="12.75">
      <c r="A8638" s="8">
        <v>43900.998090277775</v>
      </c>
      <c r="B8638" s="8" t="str">
        <f>HYPERLINK("https://twitter.com/haidir_setiawan","@haidir_setiawan")</f>
        <v>@haidir_setiawan</v>
      </c>
      <c r="C8638" s="8" t="s">
        <v>318</v>
      </c>
      <c r="D8638" s="8">
        <v>1019</v>
      </c>
      <c r="E8638" s="8">
        <v>0</v>
      </c>
      <c r="F8638" s="8">
        <v>2320</v>
      </c>
    </row>
    <row r="8639" spans="1:6" ht="12.75">
      <c r="A8639" s="8">
        <v>43900.997256944444</v>
      </c>
      <c r="B8639" s="8" t="str">
        <f>HYPERLINK("https://twitter.com/Ale8a8a","@Ale8a8a")</f>
        <v>@Ale8a8a</v>
      </c>
      <c r="C8639" s="8" t="s">
        <v>1801</v>
      </c>
      <c r="D8639" s="8">
        <v>52</v>
      </c>
      <c r="E8639" s="8">
        <v>0</v>
      </c>
      <c r="F8639" s="8">
        <v>338</v>
      </c>
    </row>
    <row r="8640" spans="1:6" ht="12.75">
      <c r="A8640" s="8">
        <v>43900.99722222222</v>
      </c>
      <c r="B8640" s="8" t="str">
        <f>HYPERLINK("https://twitter.com/Az_7878","@Az_7878")</f>
        <v>@Az_7878</v>
      </c>
      <c r="C8640" s="8" t="s">
        <v>318</v>
      </c>
      <c r="D8640" s="8">
        <v>1019</v>
      </c>
      <c r="E8640" s="8">
        <v>0</v>
      </c>
      <c r="F8640" s="8">
        <v>8</v>
      </c>
    </row>
    <row r="8641" spans="1:6" ht="12.75">
      <c r="A8641" s="8">
        <v>43900.997210648144</v>
      </c>
      <c r="B8641" s="8" t="str">
        <f>HYPERLINK("https://twitter.com/Doni_ardo","@Doni_ardo")</f>
        <v>@Doni_ardo</v>
      </c>
      <c r="C8641" s="8" t="s">
        <v>318</v>
      </c>
      <c r="D8641" s="8">
        <v>1019</v>
      </c>
      <c r="E8641" s="8">
        <v>0</v>
      </c>
      <c r="F8641" s="8">
        <v>1312</v>
      </c>
    </row>
    <row r="8642" spans="1:6" ht="12.75">
      <c r="A8642" s="8">
        <v>43900.996898148151</v>
      </c>
      <c r="B8642" s="8" t="str">
        <f>HYPERLINK("https://twitter.com/bibin_bey","@bibin_bey")</f>
        <v>@bibin_bey</v>
      </c>
      <c r="C8642" s="8" t="s">
        <v>2537</v>
      </c>
      <c r="D8642" s="8">
        <v>20</v>
      </c>
      <c r="E8642" s="8">
        <v>0</v>
      </c>
      <c r="F8642" s="8">
        <v>1635</v>
      </c>
    </row>
    <row r="8643" spans="1:6" ht="12.75">
      <c r="A8643" s="8">
        <v>43900.995937500003</v>
      </c>
      <c r="B8643" s="8" t="str">
        <f>HYPERLINK("https://twitter.com/bung_dolly","@bung_dolly")</f>
        <v>@bung_dolly</v>
      </c>
      <c r="C8643" s="8" t="s">
        <v>1801</v>
      </c>
      <c r="D8643" s="8">
        <v>52</v>
      </c>
      <c r="E8643" s="8">
        <v>0</v>
      </c>
      <c r="F8643" s="8">
        <v>6861</v>
      </c>
    </row>
    <row r="8644" spans="1:6" ht="12.75">
      <c r="A8644" s="8">
        <v>43900.995127314818</v>
      </c>
      <c r="B8644" s="8" t="str">
        <f>HYPERLINK("https://twitter.com/ZheeOmega","@ZheeOmega")</f>
        <v>@ZheeOmega</v>
      </c>
      <c r="C8644" s="8" t="s">
        <v>1801</v>
      </c>
      <c r="D8644" s="8">
        <v>52</v>
      </c>
      <c r="E8644" s="8">
        <v>0</v>
      </c>
      <c r="F8644" s="8">
        <v>17742</v>
      </c>
    </row>
    <row r="8645" spans="1:6" ht="12.75">
      <c r="A8645" s="8">
        <v>43900.99423611111</v>
      </c>
      <c r="B8645" s="8" t="str">
        <f>HYPERLINK("https://twitter.com/Kazhim","@Kazhim")</f>
        <v>@Kazhim</v>
      </c>
      <c r="C8645" s="8" t="s">
        <v>2227</v>
      </c>
      <c r="D8645" s="8">
        <v>4</v>
      </c>
      <c r="E8645" s="8">
        <v>0</v>
      </c>
      <c r="F8645" s="8">
        <v>6376</v>
      </c>
    </row>
    <row r="8646" spans="1:6" ht="12.75">
      <c r="A8646" s="8">
        <v>43900.994085648148</v>
      </c>
      <c r="B8646" s="8" t="str">
        <f>HYPERLINK("https://twitter.com/loremips0em","@loremips0em")</f>
        <v>@loremips0em</v>
      </c>
      <c r="C8646" s="8" t="s">
        <v>3945</v>
      </c>
      <c r="D8646" s="8">
        <v>2</v>
      </c>
      <c r="E8646" s="8">
        <v>0</v>
      </c>
      <c r="F8646" s="8">
        <v>531</v>
      </c>
    </row>
    <row r="8647" spans="1:6" ht="12.75">
      <c r="A8647" s="8">
        <v>43900.993900462963</v>
      </c>
      <c r="B8647" s="8" t="str">
        <f>HYPERLINK("https://twitter.com/iwansal06725139","@iwansal06725139")</f>
        <v>@iwansal06725139</v>
      </c>
      <c r="C8647" s="8" t="s">
        <v>318</v>
      </c>
      <c r="D8647" s="8">
        <v>1019</v>
      </c>
      <c r="E8647" s="8">
        <v>0</v>
      </c>
      <c r="F8647" s="8">
        <v>198</v>
      </c>
    </row>
    <row r="8648" spans="1:6" ht="12.75">
      <c r="A8648" s="8">
        <v>43900.993888888886</v>
      </c>
      <c r="B8648" s="8" t="str">
        <f>HYPERLINK("https://twitter.com/Dofietclcp","@Dofietclcp")</f>
        <v>@Dofietclcp</v>
      </c>
      <c r="C8648" s="8" t="s">
        <v>3946</v>
      </c>
      <c r="D8648" s="8">
        <v>0</v>
      </c>
      <c r="E8648" s="8">
        <v>0</v>
      </c>
      <c r="F8648" s="8">
        <v>380</v>
      </c>
    </row>
    <row r="8649" spans="1:6" ht="12.75">
      <c r="A8649" s="8">
        <v>43900.993796296301</v>
      </c>
      <c r="B8649" s="8" t="str">
        <f>HYPERLINK("https://twitter.com/GoblokMasBebas","@GoblokMasBebas")</f>
        <v>@GoblokMasBebas</v>
      </c>
      <c r="C8649" s="8" t="s">
        <v>1801</v>
      </c>
      <c r="D8649" s="8">
        <v>52</v>
      </c>
      <c r="E8649" s="8">
        <v>0</v>
      </c>
      <c r="F8649" s="8">
        <v>279</v>
      </c>
    </row>
    <row r="8650" spans="1:6" ht="12.75">
      <c r="A8650" s="8">
        <v>43900.993530092594</v>
      </c>
      <c r="B8650" s="8" t="str">
        <f>HYPERLINK("https://twitter.com/guspricil","@guspricil")</f>
        <v>@guspricil</v>
      </c>
      <c r="C8650" s="8" t="s">
        <v>1801</v>
      </c>
      <c r="D8650" s="8">
        <v>52</v>
      </c>
      <c r="E8650" s="8">
        <v>0</v>
      </c>
      <c r="F8650" s="8">
        <v>65</v>
      </c>
    </row>
    <row r="8651" spans="1:6" ht="12.75">
      <c r="A8651" s="8">
        <v>43900.993298611109</v>
      </c>
      <c r="B8651" s="8" t="str">
        <f>HYPERLINK("https://twitter.com/JIMsihombing","@JIMsihombing")</f>
        <v>@JIMsihombing</v>
      </c>
      <c r="C8651" s="8" t="s">
        <v>3947</v>
      </c>
      <c r="D8651" s="8">
        <v>0</v>
      </c>
      <c r="E8651" s="8">
        <v>0</v>
      </c>
      <c r="F8651" s="8">
        <v>741</v>
      </c>
    </row>
    <row r="8652" spans="1:6" ht="12.75">
      <c r="A8652" s="8">
        <v>43900.993159722224</v>
      </c>
      <c r="B8652" s="8" t="str">
        <f>HYPERLINK("https://twitter.com/MATPECI44106525","@MATPECI44106525")</f>
        <v>@MATPECI44106525</v>
      </c>
      <c r="C8652" s="8" t="s">
        <v>318</v>
      </c>
      <c r="D8652" s="8">
        <v>1019</v>
      </c>
      <c r="E8652" s="8">
        <v>0</v>
      </c>
      <c r="F8652" s="8">
        <v>314</v>
      </c>
    </row>
    <row r="8653" spans="1:6" ht="12.75">
      <c r="A8653" s="8">
        <v>43900.993159722224</v>
      </c>
      <c r="B8653" s="8" t="str">
        <f>HYPERLINK("https://twitter.com/clarrycola","@clarrycola")</f>
        <v>@clarrycola</v>
      </c>
      <c r="C8653" s="8" t="s">
        <v>3948</v>
      </c>
      <c r="D8653" s="8">
        <v>0</v>
      </c>
      <c r="E8653" s="8">
        <v>0</v>
      </c>
      <c r="F8653" s="8">
        <v>153</v>
      </c>
    </row>
    <row r="8654" spans="1:6" ht="12.75">
      <c r="A8654" s="8">
        <v>43900.993043981478</v>
      </c>
      <c r="B8654" s="8" t="str">
        <f>HYPERLINK("https://twitter.com/depuccinow","@depuccinow")</f>
        <v>@depuccinow</v>
      </c>
      <c r="C8654" s="8" t="s">
        <v>3949</v>
      </c>
      <c r="D8654" s="8">
        <v>2</v>
      </c>
      <c r="E8654" s="8">
        <v>0</v>
      </c>
      <c r="F8654" s="8">
        <v>537</v>
      </c>
    </row>
    <row r="8655" spans="1:6" ht="12.75">
      <c r="A8655" s="8">
        <v>43900.992696759262</v>
      </c>
      <c r="B8655" s="8" t="str">
        <f>HYPERLINK("https://twitter.com/rendroko","@rendroko")</f>
        <v>@rendroko</v>
      </c>
      <c r="C8655" s="8" t="s">
        <v>2537</v>
      </c>
      <c r="D8655" s="8">
        <v>20</v>
      </c>
      <c r="E8655" s="8">
        <v>0</v>
      </c>
      <c r="F8655" s="8">
        <v>1026</v>
      </c>
    </row>
    <row r="8656" spans="1:6" ht="12.75">
      <c r="A8656" s="8">
        <v>43900.991979166662</v>
      </c>
      <c r="B8656" s="8" t="str">
        <f>HYPERLINK("https://twitter.com/yourhoaxygen","@yourhoaxygen")</f>
        <v>@yourhoaxygen</v>
      </c>
      <c r="C8656" s="8" t="s">
        <v>3950</v>
      </c>
      <c r="D8656" s="8">
        <v>0</v>
      </c>
      <c r="E8656" s="8">
        <v>0</v>
      </c>
      <c r="F8656" s="8">
        <v>15</v>
      </c>
    </row>
    <row r="8657" spans="1:6" ht="12.75">
      <c r="A8657" s="8">
        <v>43900.991574074069</v>
      </c>
      <c r="B8657" s="8" t="str">
        <f>HYPERLINK("https://twitter.com/ichampjuara","@ichampjuara")</f>
        <v>@ichampjuara</v>
      </c>
      <c r="C8657" s="8" t="s">
        <v>318</v>
      </c>
      <c r="D8657" s="8">
        <v>1019</v>
      </c>
      <c r="E8657" s="8">
        <v>0</v>
      </c>
      <c r="F8657" s="8">
        <v>285</v>
      </c>
    </row>
    <row r="8658" spans="1:6" ht="12.75">
      <c r="A8658" s="8">
        <v>43900.990902777776</v>
      </c>
      <c r="B8658" s="8" t="str">
        <f>HYPERLINK("https://twitter.com/printer_dr","@printer_dr")</f>
        <v>@printer_dr</v>
      </c>
      <c r="C8658" s="8" t="s">
        <v>1186</v>
      </c>
      <c r="D8658" s="8">
        <v>128</v>
      </c>
      <c r="E8658" s="8">
        <v>0</v>
      </c>
      <c r="F8658" s="8">
        <v>2041</v>
      </c>
    </row>
    <row r="8659" spans="1:6" ht="12.75">
      <c r="A8659" s="8">
        <v>43900.990416666667</v>
      </c>
      <c r="B8659" s="8" t="str">
        <f>HYPERLINK("https://twitter.com/abangifoel","@abangifoel")</f>
        <v>@abangifoel</v>
      </c>
      <c r="C8659" s="8" t="s">
        <v>1801</v>
      </c>
      <c r="D8659" s="8">
        <v>52</v>
      </c>
      <c r="E8659" s="8">
        <v>0</v>
      </c>
      <c r="F8659" s="8">
        <v>6742</v>
      </c>
    </row>
    <row r="8660" spans="1:6" ht="12.75">
      <c r="A8660" s="8">
        <v>43900.990219907406</v>
      </c>
      <c r="B8660" s="8" t="str">
        <f>HYPERLINK("https://twitter.com/Asepcanden3","@Asepcanden3")</f>
        <v>@Asepcanden3</v>
      </c>
      <c r="C8660" s="8" t="s">
        <v>318</v>
      </c>
      <c r="D8660" s="8">
        <v>1019</v>
      </c>
      <c r="E8660" s="8">
        <v>0</v>
      </c>
      <c r="F8660" s="8">
        <v>57</v>
      </c>
    </row>
    <row r="8661" spans="1:6" ht="12.75">
      <c r="A8661" s="8">
        <v>43900.990208333329</v>
      </c>
      <c r="B8661" s="8" t="str">
        <f>HYPERLINK("https://twitter.com/ronaldharriz","@ronaldharriz")</f>
        <v>@ronaldharriz</v>
      </c>
      <c r="C8661" s="8" t="s">
        <v>3951</v>
      </c>
      <c r="D8661" s="8">
        <v>0</v>
      </c>
      <c r="E8661" s="8">
        <v>0</v>
      </c>
      <c r="F8661" s="8">
        <v>780</v>
      </c>
    </row>
    <row r="8662" spans="1:6" ht="12.75">
      <c r="A8662" s="8">
        <v>43900.990023148144</v>
      </c>
      <c r="B8662" s="8" t="str">
        <f>HYPERLINK("https://twitter.com/ndaru_wardani","@ndaru_wardani")</f>
        <v>@ndaru_wardani</v>
      </c>
      <c r="C8662" s="8" t="s">
        <v>1801</v>
      </c>
      <c r="D8662" s="8">
        <v>52</v>
      </c>
      <c r="E8662" s="8">
        <v>0</v>
      </c>
      <c r="F8662" s="8">
        <v>298</v>
      </c>
    </row>
    <row r="8663" spans="1:6" ht="12.75">
      <c r="A8663" s="8">
        <v>43900.988969907412</v>
      </c>
      <c r="B8663" s="8" t="str">
        <f>HYPERLINK("https://twitter.com/hp_astoro","@hp_astoro")</f>
        <v>@hp_astoro</v>
      </c>
      <c r="C8663" s="8" t="s">
        <v>1801</v>
      </c>
      <c r="D8663" s="8">
        <v>52</v>
      </c>
      <c r="E8663" s="8">
        <v>0</v>
      </c>
      <c r="F8663" s="8">
        <v>640</v>
      </c>
    </row>
    <row r="8664" spans="1:6" ht="12.75">
      <c r="A8664" s="8">
        <v>43900.988946759258</v>
      </c>
      <c r="B8664" s="8" t="str">
        <f>HYPERLINK("https://twitter.com/shoe47883517","@shoe47883517")</f>
        <v>@shoe47883517</v>
      </c>
      <c r="C8664" s="8" t="s">
        <v>1801</v>
      </c>
      <c r="D8664" s="8">
        <v>52</v>
      </c>
      <c r="E8664" s="8">
        <v>0</v>
      </c>
      <c r="F8664" s="8">
        <v>56</v>
      </c>
    </row>
    <row r="8665" spans="1:6" ht="12.75">
      <c r="A8665" s="8">
        <v>43900.988877314812</v>
      </c>
      <c r="B8665" s="8" t="str">
        <f>HYPERLINK("https://twitter.com/maryadi182634","@maryadi182634")</f>
        <v>@maryadi182634</v>
      </c>
      <c r="C8665" s="8" t="s">
        <v>1186</v>
      </c>
      <c r="D8665" s="8">
        <v>128</v>
      </c>
      <c r="E8665" s="8">
        <v>0</v>
      </c>
      <c r="F8665" s="8">
        <v>360</v>
      </c>
    </row>
    <row r="8666" spans="1:6" ht="12.75">
      <c r="A8666" s="8">
        <v>43900.988865740743</v>
      </c>
      <c r="B8666" s="8" t="str">
        <f>HYPERLINK("https://twitter.com/ibnuhafiz6","@ibnuhafiz6")</f>
        <v>@ibnuhafiz6</v>
      </c>
      <c r="C8666" s="8" t="s">
        <v>318</v>
      </c>
      <c r="D8666" s="8">
        <v>1019</v>
      </c>
      <c r="E8666" s="8">
        <v>0</v>
      </c>
      <c r="F8666" s="8">
        <v>184</v>
      </c>
    </row>
    <row r="8667" spans="1:6" ht="12.75">
      <c r="A8667" s="8">
        <v>43900.988576388889</v>
      </c>
      <c r="B8667" s="8" t="str">
        <f>HYPERLINK("https://twitter.com/Jualbajumuslimm","@Jualbajumuslimm")</f>
        <v>@Jualbajumuslimm</v>
      </c>
      <c r="C8667" s="8" t="s">
        <v>3952</v>
      </c>
      <c r="D8667" s="8">
        <v>0</v>
      </c>
      <c r="E8667" s="8">
        <v>0</v>
      </c>
      <c r="F8667" s="8">
        <v>64</v>
      </c>
    </row>
    <row r="8668" spans="1:6" ht="12.75">
      <c r="A8668" s="8">
        <v>43900.987592592588</v>
      </c>
      <c r="B8668" s="8" t="str">
        <f>HYPERLINK("https://twitter.com/ker_asa","@ker_asa")</f>
        <v>@ker_asa</v>
      </c>
      <c r="C8668" s="8" t="s">
        <v>1186</v>
      </c>
      <c r="D8668" s="8">
        <v>128</v>
      </c>
      <c r="E8668" s="8">
        <v>0</v>
      </c>
      <c r="F8668" s="8">
        <v>213</v>
      </c>
    </row>
    <row r="8669" spans="1:6" ht="12.75">
      <c r="A8669" s="8">
        <v>43900.987488425926</v>
      </c>
      <c r="B8669" s="8" t="str">
        <f>HYPERLINK("https://twitter.com/yuliusRahmawan3","@yuliusRahmawan3")</f>
        <v>@yuliusRahmawan3</v>
      </c>
      <c r="C8669" s="8" t="s">
        <v>318</v>
      </c>
      <c r="D8669" s="8">
        <v>1019</v>
      </c>
      <c r="E8669" s="8">
        <v>0</v>
      </c>
      <c r="F8669" s="8">
        <v>221</v>
      </c>
    </row>
    <row r="8670" spans="1:6" ht="12.75">
      <c r="A8670" s="8">
        <v>43900.987442129626</v>
      </c>
      <c r="B8670" s="8" t="str">
        <f>HYPERLINK("https://twitter.com/Matchaindonesia","@Matchaindonesia")</f>
        <v>@Matchaindonesia</v>
      </c>
      <c r="C8670" s="8" t="s">
        <v>318</v>
      </c>
      <c r="D8670" s="8">
        <v>1019</v>
      </c>
      <c r="E8670" s="8">
        <v>0</v>
      </c>
      <c r="F8670" s="8">
        <v>184</v>
      </c>
    </row>
    <row r="8671" spans="1:6" ht="12.75">
      <c r="A8671" s="8">
        <v>43900.987013888887</v>
      </c>
      <c r="B8671" s="8" t="str">
        <f>HYPERLINK("https://twitter.com/macan_muslim","@macan_muslim")</f>
        <v>@macan_muslim</v>
      </c>
      <c r="C8671" s="8" t="s">
        <v>3953</v>
      </c>
      <c r="D8671" s="8">
        <v>0</v>
      </c>
      <c r="E8671" s="8">
        <v>0</v>
      </c>
      <c r="F8671" s="8">
        <v>254</v>
      </c>
    </row>
    <row r="8672" spans="1:6" ht="12.75">
      <c r="A8672" s="8">
        <v>43900.986539351856</v>
      </c>
      <c r="B8672" s="8" t="str">
        <f>HYPERLINK("https://twitter.com/wahhabicc_jabar","@wahhabicc_jabar")</f>
        <v>@wahhabicc_jabar</v>
      </c>
      <c r="C8672" s="8" t="s">
        <v>1801</v>
      </c>
      <c r="D8672" s="8">
        <v>52</v>
      </c>
      <c r="E8672" s="8">
        <v>0</v>
      </c>
      <c r="F8672" s="8">
        <v>30980</v>
      </c>
    </row>
    <row r="8673" spans="1:6" ht="12.75">
      <c r="A8673" s="8">
        <v>43900.986516203702</v>
      </c>
      <c r="B8673" s="8" t="str">
        <f>HYPERLINK("https://twitter.com/awarmasy","@awarmasy")</f>
        <v>@awarmasy</v>
      </c>
      <c r="C8673" s="8" t="s">
        <v>318</v>
      </c>
      <c r="D8673" s="8">
        <v>1019</v>
      </c>
      <c r="E8673" s="8">
        <v>0</v>
      </c>
      <c r="F8673" s="8">
        <v>21</v>
      </c>
    </row>
    <row r="8674" spans="1:6" ht="12.75">
      <c r="A8674" s="8">
        <v>43900.986145833333</v>
      </c>
      <c r="B8674" s="8" t="str">
        <f>HYPERLINK("https://twitter.com/Info_Tidung","@Info_Tidung")</f>
        <v>@Info_Tidung</v>
      </c>
      <c r="C8674" s="8" t="s">
        <v>3819</v>
      </c>
      <c r="D8674" s="8">
        <v>0</v>
      </c>
      <c r="E8674" s="8">
        <v>0</v>
      </c>
      <c r="F8674" s="8">
        <v>126</v>
      </c>
    </row>
    <row r="8675" spans="1:6" ht="12.75">
      <c r="A8675" s="8">
        <v>43900.986145833333</v>
      </c>
      <c r="B8675" s="8" t="str">
        <f>HYPERLINK("https://twitter.com/alineadotid","@alineadotid")</f>
        <v>@alineadotid</v>
      </c>
      <c r="C8675" s="8" t="s">
        <v>3954</v>
      </c>
      <c r="D8675" s="8">
        <v>0</v>
      </c>
      <c r="E8675" s="8">
        <v>0</v>
      </c>
      <c r="F8675" s="8">
        <v>611489</v>
      </c>
    </row>
    <row r="8676" spans="1:6" ht="12.75">
      <c r="A8676" s="8">
        <v>43900.985891203702</v>
      </c>
      <c r="B8676" s="8" t="str">
        <f>HYPERLINK("https://twitter.com/seruput_thaitea","@seruput_thaitea")</f>
        <v>@seruput_thaitea</v>
      </c>
      <c r="C8676" s="8" t="s">
        <v>2537</v>
      </c>
      <c r="D8676" s="8">
        <v>20</v>
      </c>
      <c r="E8676" s="8">
        <v>0</v>
      </c>
      <c r="F8676" s="8">
        <v>48</v>
      </c>
    </row>
    <row r="8677" spans="1:6" ht="12.75">
      <c r="A8677" s="8">
        <v>43900.985798611116</v>
      </c>
      <c r="B8677" s="8" t="str">
        <f>HYPERLINK("https://twitter.com/PaitanJamaah","@PaitanJamaah")</f>
        <v>@PaitanJamaah</v>
      </c>
      <c r="C8677" s="8" t="s">
        <v>1801</v>
      </c>
      <c r="D8677" s="8">
        <v>52</v>
      </c>
      <c r="E8677" s="8">
        <v>0</v>
      </c>
      <c r="F8677" s="8">
        <v>1770</v>
      </c>
    </row>
    <row r="8678" spans="1:6" ht="12.75">
      <c r="A8678" s="8">
        <v>43900.985775462963</v>
      </c>
      <c r="B8678" s="8" t="str">
        <f>HYPERLINK("https://twitter.com/adi_pra92","@adi_pra92")</f>
        <v>@adi_pra92</v>
      </c>
      <c r="C8678" s="8" t="s">
        <v>1801</v>
      </c>
      <c r="D8678" s="8">
        <v>52</v>
      </c>
      <c r="E8678" s="8">
        <v>0</v>
      </c>
      <c r="F8678" s="8">
        <v>5572</v>
      </c>
    </row>
    <row r="8679" spans="1:6" ht="12.75">
      <c r="A8679" s="8">
        <v>43900.985254629632</v>
      </c>
      <c r="B8679" s="8" t="str">
        <f>HYPERLINK("https://twitter.com/Justkodok1","@Justkodok1")</f>
        <v>@Justkodok1</v>
      </c>
      <c r="C8679" s="8" t="s">
        <v>1186</v>
      </c>
      <c r="D8679" s="8">
        <v>128</v>
      </c>
      <c r="E8679" s="8">
        <v>0</v>
      </c>
      <c r="F8679" s="8">
        <v>371</v>
      </c>
    </row>
    <row r="8680" spans="1:6" ht="12.75">
      <c r="A8680" s="8">
        <v>43900.985092592593</v>
      </c>
      <c r="B8680" s="8" t="str">
        <f>HYPERLINK("https://twitter.com/SoebektiSoehar5","@SoebektiSoehar5")</f>
        <v>@SoebektiSoehar5</v>
      </c>
      <c r="C8680" s="8" t="s">
        <v>3955</v>
      </c>
      <c r="D8680" s="8">
        <v>0</v>
      </c>
      <c r="E8680" s="8">
        <v>0</v>
      </c>
      <c r="F8680" s="8">
        <v>12</v>
      </c>
    </row>
    <row r="8681" spans="1:6" ht="12.75">
      <c r="A8681" s="8">
        <v>43900.984803240739</v>
      </c>
      <c r="B8681" s="8" t="str">
        <f>HYPERLINK("https://twitter.com/Fatakhuroji2","@Fatakhuroji2")</f>
        <v>@Fatakhuroji2</v>
      </c>
      <c r="C8681" s="8" t="s">
        <v>318</v>
      </c>
      <c r="D8681" s="8">
        <v>1019</v>
      </c>
      <c r="E8681" s="8">
        <v>0</v>
      </c>
      <c r="F8681" s="8">
        <v>80</v>
      </c>
    </row>
    <row r="8682" spans="1:6" ht="12.75">
      <c r="A8682" s="8">
        <v>43900.9846412037</v>
      </c>
      <c r="B8682" s="8" t="str">
        <f>HYPERLINK("https://twitter.com/SitompulYunus","@SitompulYunus")</f>
        <v>@SitompulYunus</v>
      </c>
      <c r="C8682" s="8" t="s">
        <v>1801</v>
      </c>
      <c r="D8682" s="8">
        <v>52</v>
      </c>
      <c r="E8682" s="8">
        <v>0</v>
      </c>
      <c r="F8682" s="8">
        <v>871</v>
      </c>
    </row>
    <row r="8683" spans="1:6" ht="12.75">
      <c r="A8683" s="8">
        <v>43900.984502314815</v>
      </c>
      <c r="B8683" s="8" t="str">
        <f>HYPERLINK("https://twitter.com/Anti_Kacung","@Anti_Kacung")</f>
        <v>@Anti_Kacung</v>
      </c>
      <c r="C8683" s="8" t="s">
        <v>1186</v>
      </c>
      <c r="D8683" s="8">
        <v>128</v>
      </c>
      <c r="E8683" s="8">
        <v>0</v>
      </c>
      <c r="F8683" s="8">
        <v>272</v>
      </c>
    </row>
    <row r="8684" spans="1:6" ht="12.75">
      <c r="A8684" s="8">
        <v>43900.984479166669</v>
      </c>
      <c r="B8684" s="8" t="str">
        <f>HYPERLINK("https://twitter.com/adhet11a","@adhet11a")</f>
        <v>@adhet11a</v>
      </c>
      <c r="C8684" s="8" t="s">
        <v>318</v>
      </c>
      <c r="D8684" s="8">
        <v>1019</v>
      </c>
      <c r="E8684" s="8">
        <v>0</v>
      </c>
      <c r="F8684" s="8">
        <v>231</v>
      </c>
    </row>
    <row r="8685" spans="1:6" ht="12.75">
      <c r="A8685" s="8">
        <v>43900.983703703707</v>
      </c>
      <c r="B8685" s="8" t="str">
        <f>HYPERLINK("https://twitter.com/AgusPra57259628","@AgusPra57259628")</f>
        <v>@AgusPra57259628</v>
      </c>
      <c r="C8685" s="8" t="s">
        <v>3168</v>
      </c>
      <c r="D8685" s="8">
        <v>74</v>
      </c>
      <c r="E8685" s="8">
        <v>0</v>
      </c>
      <c r="F8685" s="8">
        <v>23</v>
      </c>
    </row>
    <row r="8686" spans="1:6" ht="12.75">
      <c r="A8686" s="8">
        <v>43900.983356481476</v>
      </c>
      <c r="B8686" s="8" t="str">
        <f>HYPERLINK("https://twitter.com/TolakBigotRI","@TolakBigotRI")</f>
        <v>@TolakBigotRI</v>
      </c>
      <c r="C8686" s="8" t="s">
        <v>1801</v>
      </c>
      <c r="D8686" s="8">
        <v>52</v>
      </c>
      <c r="E8686" s="8">
        <v>0</v>
      </c>
      <c r="F8686" s="8">
        <v>26130</v>
      </c>
    </row>
    <row r="8687" spans="1:6" ht="12.75">
      <c r="A8687" s="8">
        <v>43900.983032407406</v>
      </c>
      <c r="B8687" s="8" t="str">
        <f>HYPERLINK("https://twitter.com/MisbakhuddinSi6","@MisbakhuddinSi6")</f>
        <v>@MisbakhuddinSi6</v>
      </c>
      <c r="C8687" s="8" t="s">
        <v>3956</v>
      </c>
      <c r="D8687" s="8">
        <v>0</v>
      </c>
      <c r="E8687" s="8">
        <v>0</v>
      </c>
      <c r="F8687" s="8">
        <v>125</v>
      </c>
    </row>
    <row r="8688" spans="1:6" ht="12.75">
      <c r="A8688" s="8">
        <v>43900.982662037037</v>
      </c>
      <c r="B8688" s="8" t="str">
        <f>HYPERLINK("https://twitter.com/moeslim_choice","@moeslim_choice")</f>
        <v>@moeslim_choice</v>
      </c>
      <c r="C8688" s="8" t="s">
        <v>3957</v>
      </c>
      <c r="D8688" s="8">
        <v>0</v>
      </c>
      <c r="E8688" s="8">
        <v>0</v>
      </c>
      <c r="F8688" s="8">
        <v>133</v>
      </c>
    </row>
    <row r="8689" spans="1:6" ht="12.75">
      <c r="A8689" s="8">
        <v>43900.981944444444</v>
      </c>
      <c r="B8689" s="8" t="str">
        <f>HYPERLINK("https://twitter.com/amru_rohman","@amru_rohman")</f>
        <v>@amru_rohman</v>
      </c>
      <c r="C8689" s="8" t="s">
        <v>1186</v>
      </c>
      <c r="D8689" s="8">
        <v>128</v>
      </c>
      <c r="E8689" s="8">
        <v>0</v>
      </c>
      <c r="F8689" s="8">
        <v>1678</v>
      </c>
    </row>
    <row r="8690" spans="1:6" ht="12.75">
      <c r="A8690" s="8">
        <v>43900.981874999998</v>
      </c>
      <c r="B8690" s="8" t="str">
        <f>HYPERLINK("https://twitter.com/Shellahibono","@Shellahibono")</f>
        <v>@Shellahibono</v>
      </c>
      <c r="C8690" s="8" t="s">
        <v>1801</v>
      </c>
      <c r="D8690" s="8">
        <v>52</v>
      </c>
      <c r="E8690" s="8">
        <v>0</v>
      </c>
      <c r="F8690" s="8">
        <v>78</v>
      </c>
    </row>
    <row r="8691" spans="1:6" ht="12.75">
      <c r="A8691" s="8">
        <v>43900.981782407413</v>
      </c>
      <c r="B8691" s="8" t="str">
        <f>HYPERLINK("https://twitter.com/IniItuKataGue","@IniItuKataGue")</f>
        <v>@IniItuKataGue</v>
      </c>
      <c r="C8691" s="8" t="s">
        <v>3958</v>
      </c>
      <c r="D8691" s="8">
        <v>0</v>
      </c>
      <c r="E8691" s="8">
        <v>0</v>
      </c>
      <c r="F8691" s="8">
        <v>3459</v>
      </c>
    </row>
    <row r="8692" spans="1:6" ht="12.75">
      <c r="A8692" s="8">
        <v>43900.981689814813</v>
      </c>
      <c r="B8692" s="8" t="str">
        <f>HYPERLINK("https://twitter.com/oposisi4ever","@oposisi4ever")</f>
        <v>@oposisi4ever</v>
      </c>
      <c r="C8692" s="8" t="s">
        <v>318</v>
      </c>
      <c r="D8692" s="8">
        <v>1019</v>
      </c>
      <c r="E8692" s="8">
        <v>0</v>
      </c>
      <c r="F8692" s="8">
        <v>411</v>
      </c>
    </row>
    <row r="8693" spans="1:6" ht="12.75">
      <c r="A8693" s="8">
        <v>43900.981562500005</v>
      </c>
      <c r="B8693" s="8" t="str">
        <f>HYPERLINK("https://twitter.com/NJunawar","@NJunawar")</f>
        <v>@NJunawar</v>
      </c>
      <c r="C8693" s="8" t="s">
        <v>318</v>
      </c>
      <c r="D8693" s="8">
        <v>1019</v>
      </c>
      <c r="E8693" s="8">
        <v>0</v>
      </c>
      <c r="F8693" s="8">
        <v>65</v>
      </c>
    </row>
    <row r="8694" spans="1:6" ht="12.75">
      <c r="A8694" s="8">
        <v>43900.981527777782</v>
      </c>
      <c r="B8694" s="8" t="str">
        <f>HYPERLINK("https://twitter.com/garrettpopkorn","@garrettpopkorn")</f>
        <v>@garrettpopkorn</v>
      </c>
      <c r="C8694" s="8" t="s">
        <v>3959</v>
      </c>
      <c r="D8694" s="8">
        <v>1</v>
      </c>
      <c r="E8694" s="8">
        <v>0</v>
      </c>
      <c r="F8694" s="8">
        <v>4453</v>
      </c>
    </row>
    <row r="8695" spans="1:6" ht="12.75">
      <c r="A8695" s="8">
        <v>43900.980590277773</v>
      </c>
      <c r="B8695" s="8" t="str">
        <f>HYPERLINK("https://twitter.com/Naruzaky","@Naruzaky")</f>
        <v>@Naruzaky</v>
      </c>
      <c r="C8695" s="8" t="s">
        <v>318</v>
      </c>
      <c r="D8695" s="8">
        <v>1019</v>
      </c>
      <c r="E8695" s="8">
        <v>0</v>
      </c>
      <c r="F8695" s="8">
        <v>420</v>
      </c>
    </row>
    <row r="8696" spans="1:6" ht="12.75">
      <c r="A8696" s="8">
        <v>43900.980150462958</v>
      </c>
      <c r="B8696" s="8" t="str">
        <f>HYPERLINK("https://twitter.com/jamallaoedin","@jamallaoedin")</f>
        <v>@jamallaoedin</v>
      </c>
      <c r="C8696" s="8" t="s">
        <v>1801</v>
      </c>
      <c r="D8696" s="8">
        <v>52</v>
      </c>
      <c r="E8696" s="8">
        <v>0</v>
      </c>
      <c r="F8696" s="8">
        <v>253</v>
      </c>
    </row>
    <row r="8697" spans="1:6" ht="12.75">
      <c r="A8697" s="8">
        <v>43900.980127314819</v>
      </c>
      <c r="B8697" s="8" t="str">
        <f>HYPERLINK("https://twitter.com/CeriaSinom","@CeriaSinom")</f>
        <v>@CeriaSinom</v>
      </c>
      <c r="C8697" s="8" t="s">
        <v>1801</v>
      </c>
      <c r="D8697" s="8">
        <v>52</v>
      </c>
      <c r="E8697" s="8">
        <v>0</v>
      </c>
      <c r="F8697" s="8">
        <v>153</v>
      </c>
    </row>
    <row r="8698" spans="1:6" ht="12.75">
      <c r="A8698" s="8">
        <v>43900.980104166665</v>
      </c>
      <c r="B8698" s="8" t="str">
        <f>HYPERLINK("https://twitter.com/merdekadotcom","@merdekadotcom")</f>
        <v>@merdekadotcom</v>
      </c>
      <c r="C8698" s="8" t="s">
        <v>3952</v>
      </c>
      <c r="D8698" s="8">
        <v>1</v>
      </c>
      <c r="E8698" s="8">
        <v>4</v>
      </c>
      <c r="F8698" s="8">
        <v>231991</v>
      </c>
    </row>
    <row r="8699" spans="1:6" ht="12.75">
      <c r="A8699" s="8">
        <v>43900.97960648148</v>
      </c>
      <c r="B8699" s="8" t="str">
        <f>HYPERLINK("https://twitter.com/Hendriksrtn","@Hendriksrtn")</f>
        <v>@Hendriksrtn</v>
      </c>
      <c r="C8699" s="8" t="s">
        <v>1801</v>
      </c>
      <c r="D8699" s="8">
        <v>52</v>
      </c>
      <c r="E8699" s="8">
        <v>0</v>
      </c>
      <c r="F8699" s="8">
        <v>446</v>
      </c>
    </row>
    <row r="8700" spans="1:6" ht="12.75">
      <c r="A8700" s="8">
        <v>43900.97929398148</v>
      </c>
      <c r="B8700" s="8" t="str">
        <f>HYPERLINK("https://twitter.com/M5yank","@M5yank")</f>
        <v>@M5yank</v>
      </c>
      <c r="C8700" s="8" t="s">
        <v>2537</v>
      </c>
      <c r="D8700" s="8">
        <v>20</v>
      </c>
      <c r="E8700" s="8">
        <v>0</v>
      </c>
      <c r="F8700" s="8">
        <v>2460</v>
      </c>
    </row>
    <row r="8701" spans="1:6" ht="12.75">
      <c r="A8701" s="8">
        <v>43900.97923611111</v>
      </c>
      <c r="B8701" s="8" t="str">
        <f>HYPERLINK("https://twitter.com/DSagha","@DSagha")</f>
        <v>@DSagha</v>
      </c>
      <c r="C8701" s="8" t="s">
        <v>3960</v>
      </c>
      <c r="D8701" s="8">
        <v>0</v>
      </c>
      <c r="E8701" s="8">
        <v>0</v>
      </c>
      <c r="F8701" s="8">
        <v>706</v>
      </c>
    </row>
    <row r="8702" spans="1:6" ht="12.75">
      <c r="A8702" s="8">
        <v>43900.979050925926</v>
      </c>
      <c r="B8702" s="8" t="str">
        <f>HYPERLINK("https://twitter.com/JundiZalfa","@JundiZalfa")</f>
        <v>@JundiZalfa</v>
      </c>
      <c r="C8702" s="8" t="s">
        <v>3961</v>
      </c>
      <c r="D8702" s="8">
        <v>0</v>
      </c>
      <c r="E8702" s="8">
        <v>0</v>
      </c>
      <c r="F8702" s="8">
        <v>492</v>
      </c>
    </row>
    <row r="8703" spans="1:6" ht="12.75">
      <c r="A8703" s="8">
        <v>43900.978402777779</v>
      </c>
      <c r="B8703" s="8" t="str">
        <f>HYPERLINK("https://twitter.com/Hendri18344487","@Hendri18344487")</f>
        <v>@Hendri18344487</v>
      </c>
      <c r="C8703" s="8" t="s">
        <v>2537</v>
      </c>
      <c r="D8703" s="8">
        <v>20</v>
      </c>
      <c r="E8703" s="8">
        <v>0</v>
      </c>
      <c r="F8703" s="8">
        <v>594</v>
      </c>
    </row>
    <row r="8704" spans="1:6" ht="12.75">
      <c r="A8704" s="8">
        <v>43900.978333333333</v>
      </c>
      <c r="B8704" s="8" t="str">
        <f>HYPERLINK("https://twitter.com/Bewolf_new","@Bewolf_new")</f>
        <v>@Bewolf_new</v>
      </c>
      <c r="C8704" s="8" t="s">
        <v>318</v>
      </c>
      <c r="D8704" s="8">
        <v>1019</v>
      </c>
      <c r="E8704" s="8">
        <v>0</v>
      </c>
      <c r="F8704" s="8">
        <v>257</v>
      </c>
    </row>
    <row r="8705" spans="1:6" ht="12.75">
      <c r="A8705" s="8">
        <v>43900.97828703704</v>
      </c>
      <c r="B8705" s="8" t="str">
        <f>HYPERLINK("https://twitter.com/tribunnews","@tribunnews")</f>
        <v>@tribunnews</v>
      </c>
      <c r="C8705" s="8" t="s">
        <v>3962</v>
      </c>
      <c r="D8705" s="8">
        <v>0</v>
      </c>
      <c r="E8705" s="8">
        <v>7</v>
      </c>
      <c r="F8705" s="8">
        <v>893915</v>
      </c>
    </row>
    <row r="8706" spans="1:6" ht="12.75">
      <c r="A8706" s="8">
        <v>43900.978020833332</v>
      </c>
      <c r="B8706" s="8" t="str">
        <f>HYPERLINK("https://twitter.com/RMSaid2","@RMSaid2")</f>
        <v>@RMSaid2</v>
      </c>
      <c r="C8706" s="8" t="s">
        <v>1801</v>
      </c>
      <c r="D8706" s="8">
        <v>52</v>
      </c>
      <c r="E8706" s="8">
        <v>0</v>
      </c>
      <c r="F8706" s="8">
        <v>26</v>
      </c>
    </row>
    <row r="8707" spans="1:6" ht="12.75">
      <c r="A8707" s="8">
        <v>43900.977766203709</v>
      </c>
      <c r="B8707" s="8" t="str">
        <f>HYPERLINK("https://twitter.com/bosedii3","@bosedii3")</f>
        <v>@bosedii3</v>
      </c>
      <c r="C8707" s="8" t="s">
        <v>318</v>
      </c>
      <c r="D8707" s="8">
        <v>1019</v>
      </c>
      <c r="E8707" s="8">
        <v>0</v>
      </c>
      <c r="F8707" s="8">
        <v>10</v>
      </c>
    </row>
    <row r="8708" spans="1:6" ht="12.75">
      <c r="A8708" s="8">
        <v>43900.977638888886</v>
      </c>
      <c r="B8708" s="8" t="str">
        <f>HYPERLINK("https://twitter.com/Victor_Tian17","@Victor_Tian17")</f>
        <v>@Victor_Tian17</v>
      </c>
      <c r="C8708" s="8" t="s">
        <v>1801</v>
      </c>
      <c r="D8708" s="8">
        <v>52</v>
      </c>
      <c r="E8708" s="8">
        <v>0</v>
      </c>
      <c r="F8708" s="8">
        <v>1363</v>
      </c>
    </row>
    <row r="8709" spans="1:6" ht="12.75">
      <c r="A8709" s="8">
        <v>43900.976944444439</v>
      </c>
      <c r="B8709" s="8" t="str">
        <f>HYPERLINK("https://twitter.com/cipenalief","@cipenalief")</f>
        <v>@cipenalief</v>
      </c>
      <c r="C8709" s="8" t="s">
        <v>1801</v>
      </c>
      <c r="D8709" s="8">
        <v>52</v>
      </c>
      <c r="E8709" s="8">
        <v>0</v>
      </c>
      <c r="F8709" s="8">
        <v>4742</v>
      </c>
    </row>
    <row r="8710" spans="1:6" ht="12.75">
      <c r="A8710" s="8">
        <v>43900.976516203707</v>
      </c>
      <c r="B8710" s="8" t="str">
        <f>HYPERLINK("https://twitter.com/majolmm","@majolmm")</f>
        <v>@majolmm</v>
      </c>
      <c r="C8710" s="8" t="s">
        <v>3963</v>
      </c>
      <c r="D8710" s="8">
        <v>0</v>
      </c>
      <c r="E8710" s="8">
        <v>0</v>
      </c>
      <c r="F8710" s="8">
        <v>502</v>
      </c>
    </row>
    <row r="8711" spans="1:6" ht="12.75">
      <c r="A8711" s="8">
        <v>43900.976365740746</v>
      </c>
      <c r="B8711" s="8" t="str">
        <f>HYPERLINK("https://twitter.com/Abankgera999","@Abankgera999")</f>
        <v>@Abankgera999</v>
      </c>
      <c r="C8711" s="8" t="s">
        <v>1801</v>
      </c>
      <c r="D8711" s="8">
        <v>52</v>
      </c>
      <c r="E8711" s="8">
        <v>0</v>
      </c>
      <c r="F8711" s="8">
        <v>505</v>
      </c>
    </row>
    <row r="8712" spans="1:6" ht="12.75">
      <c r="A8712" s="8">
        <v>43900.975798611107</v>
      </c>
      <c r="B8712" s="8" t="str">
        <f>HYPERLINK("https://twitter.com/MicaBasan2","@MicaBasan2")</f>
        <v>@MicaBasan2</v>
      </c>
      <c r="C8712" s="8" t="s">
        <v>3964</v>
      </c>
      <c r="D8712" s="8">
        <v>0</v>
      </c>
      <c r="E8712" s="8">
        <v>1</v>
      </c>
      <c r="F8712" s="8">
        <v>195</v>
      </c>
    </row>
    <row r="8713" spans="1:6" ht="12.75">
      <c r="A8713" s="8">
        <v>43900.975624999999</v>
      </c>
      <c r="B8713" s="8" t="str">
        <f>HYPERLINK("https://twitter.com/Rudyp1000","@Rudyp1000")</f>
        <v>@Rudyp1000</v>
      </c>
      <c r="C8713" s="8" t="s">
        <v>1801</v>
      </c>
      <c r="D8713" s="8">
        <v>52</v>
      </c>
      <c r="E8713" s="8">
        <v>0</v>
      </c>
      <c r="F8713" s="8">
        <v>168</v>
      </c>
    </row>
    <row r="8714" spans="1:6" ht="12.75">
      <c r="A8714" s="8">
        <v>43900.974872685183</v>
      </c>
      <c r="B8714" s="8" t="str">
        <f>HYPERLINK("https://twitter.com/Aan11917050","@Aan11917050")</f>
        <v>@Aan11917050</v>
      </c>
      <c r="C8714" s="8" t="s">
        <v>318</v>
      </c>
      <c r="D8714" s="8">
        <v>1019</v>
      </c>
      <c r="E8714" s="8">
        <v>0</v>
      </c>
      <c r="F8714" s="8">
        <v>150</v>
      </c>
    </row>
    <row r="8715" spans="1:6" ht="12.75">
      <c r="A8715" s="8">
        <v>43900.974733796298</v>
      </c>
      <c r="B8715" s="8" t="str">
        <f>HYPERLINK("https://twitter.com/I_Tj3819","@I_Tj3819")</f>
        <v>@I_Tj3819</v>
      </c>
      <c r="C8715" s="8" t="s">
        <v>318</v>
      </c>
      <c r="D8715" s="8">
        <v>1019</v>
      </c>
      <c r="E8715" s="8">
        <v>0</v>
      </c>
      <c r="F8715" s="8">
        <v>991</v>
      </c>
    </row>
    <row r="8716" spans="1:6" ht="12.75">
      <c r="A8716" s="8">
        <v>43900.973692129628</v>
      </c>
      <c r="B8716" s="8" t="str">
        <f>HYPERLINK("https://twitter.com/alluression","@alluression")</f>
        <v>@alluression</v>
      </c>
      <c r="C8716" s="8" t="s">
        <v>3965</v>
      </c>
      <c r="D8716" s="8">
        <v>0</v>
      </c>
      <c r="E8716" s="8">
        <v>0</v>
      </c>
      <c r="F8716" s="8">
        <v>187</v>
      </c>
    </row>
    <row r="8717" spans="1:6" ht="12.75">
      <c r="A8717" s="8">
        <v>43900.973125000004</v>
      </c>
      <c r="B8717" s="8" t="str">
        <f>HYPERLINK("https://twitter.com/Lucifer64548328","@Lucifer64548328")</f>
        <v>@Lucifer64548328</v>
      </c>
      <c r="C8717" s="8" t="s">
        <v>3925</v>
      </c>
      <c r="D8717" s="8">
        <v>8</v>
      </c>
      <c r="E8717" s="8">
        <v>0</v>
      </c>
      <c r="F8717" s="8">
        <v>151</v>
      </c>
    </row>
    <row r="8718" spans="1:6" ht="12.75">
      <c r="A8718" s="8">
        <v>43900.972812499997</v>
      </c>
      <c r="B8718" s="8" t="str">
        <f>HYPERLINK("https://twitter.com/AnasAmmani2","@AnasAmmani2")</f>
        <v>@AnasAmmani2</v>
      </c>
      <c r="C8718" s="8" t="s">
        <v>3966</v>
      </c>
      <c r="D8718" s="8">
        <v>0</v>
      </c>
      <c r="E8718" s="8">
        <v>0</v>
      </c>
      <c r="F8718" s="8">
        <v>45</v>
      </c>
    </row>
    <row r="8719" spans="1:6" ht="12.75">
      <c r="A8719" s="8">
        <v>43900.971736111111</v>
      </c>
      <c r="B8719" s="8" t="str">
        <f>HYPERLINK("https://twitter.com/Benantonius","@Benantonius")</f>
        <v>@Benantonius</v>
      </c>
      <c r="C8719" s="8" t="s">
        <v>1801</v>
      </c>
      <c r="D8719" s="8">
        <v>52</v>
      </c>
      <c r="E8719" s="8">
        <v>0</v>
      </c>
      <c r="F8719" s="8">
        <v>541</v>
      </c>
    </row>
    <row r="8720" spans="1:6" ht="12.75">
      <c r="A8720" s="8">
        <v>43900.971712962964</v>
      </c>
      <c r="B8720" s="8" t="str">
        <f>HYPERLINK("https://twitter.com/aalmeraa","@aalmeraa")</f>
        <v>@aalmeraa</v>
      </c>
      <c r="C8720" s="8" t="s">
        <v>318</v>
      </c>
      <c r="D8720" s="8">
        <v>1019</v>
      </c>
      <c r="E8720" s="8">
        <v>0</v>
      </c>
      <c r="F8720" s="8">
        <v>277</v>
      </c>
    </row>
    <row r="8721" spans="1:6" ht="12.75">
      <c r="A8721" s="8">
        <v>43900.971701388888</v>
      </c>
      <c r="B8721" s="8" t="str">
        <f>HYPERLINK("https://twitter.com/iconk_n","@iconk_n")</f>
        <v>@iconk_n</v>
      </c>
      <c r="C8721" s="8" t="s">
        <v>318</v>
      </c>
      <c r="D8721" s="8">
        <v>1019</v>
      </c>
      <c r="E8721" s="8">
        <v>0</v>
      </c>
      <c r="F8721" s="8">
        <v>1001</v>
      </c>
    </row>
    <row r="8722" spans="1:6" ht="12.75">
      <c r="A8722" s="8">
        <v>43900.971319444448</v>
      </c>
      <c r="B8722" s="8" t="str">
        <f>HYPERLINK("https://twitter.com/pertiwi_bunda","@pertiwi_bunda")</f>
        <v>@pertiwi_bunda</v>
      </c>
      <c r="C8722" s="8" t="s">
        <v>1186</v>
      </c>
      <c r="D8722" s="8">
        <v>128</v>
      </c>
      <c r="E8722" s="8">
        <v>0</v>
      </c>
      <c r="F8722" s="8">
        <v>873</v>
      </c>
    </row>
    <row r="8723" spans="1:6" ht="12.75">
      <c r="A8723" s="8">
        <v>43900.971273148149</v>
      </c>
      <c r="B8723" s="8" t="str">
        <f>HYPERLINK("https://twitter.com/SURABAYAinLOVE","@SURABAYAinLOVE")</f>
        <v>@SURABAYAinLOVE</v>
      </c>
      <c r="C8723" s="8" t="s">
        <v>3545</v>
      </c>
      <c r="D8723" s="8">
        <v>14</v>
      </c>
      <c r="E8723" s="8">
        <v>0</v>
      </c>
      <c r="F8723" s="8">
        <v>16</v>
      </c>
    </row>
    <row r="8724" spans="1:6" ht="12.75">
      <c r="A8724" s="8">
        <v>43900.970983796295</v>
      </c>
      <c r="B8724" s="8" t="str">
        <f>HYPERLINK("https://twitter.com/OldJoe771","@OldJoe771")</f>
        <v>@OldJoe771</v>
      </c>
      <c r="C8724" s="8" t="s">
        <v>2537</v>
      </c>
      <c r="D8724" s="8">
        <v>20</v>
      </c>
      <c r="E8724" s="8">
        <v>0</v>
      </c>
      <c r="F8724" s="8">
        <v>348</v>
      </c>
    </row>
    <row r="8725" spans="1:6" ht="12.75">
      <c r="A8725" s="8">
        <v>43900.970694444448</v>
      </c>
      <c r="B8725" s="8" t="str">
        <f>HYPERLINK("https://twitter.com/San_can","@San_can")</f>
        <v>@San_can</v>
      </c>
      <c r="C8725" s="8" t="s">
        <v>318</v>
      </c>
      <c r="D8725" s="8">
        <v>1019</v>
      </c>
      <c r="E8725" s="8">
        <v>0</v>
      </c>
      <c r="F8725" s="8">
        <v>136</v>
      </c>
    </row>
    <row r="8726" spans="1:6" ht="12.75">
      <c r="A8726" s="8">
        <v>43900.963993055557</v>
      </c>
      <c r="B8726" s="8" t="str">
        <f>HYPERLINK("https://twitter.com/bilsha57","@bilsha57")</f>
        <v>@bilsha57</v>
      </c>
      <c r="C8726" s="8" t="s">
        <v>1186</v>
      </c>
      <c r="D8726" s="8">
        <v>114</v>
      </c>
      <c r="E8726" s="8">
        <v>0</v>
      </c>
      <c r="F8726" s="8">
        <v>208</v>
      </c>
    </row>
    <row r="8727" spans="1:6" ht="12.75">
      <c r="A8727" s="8">
        <v>43900.96393518518</v>
      </c>
      <c r="B8727" s="8" t="str">
        <f>HYPERLINK("https://twitter.com/RizmaWidiono","@RizmaWidiono")</f>
        <v>@RizmaWidiono</v>
      </c>
      <c r="C8727" s="8" t="s">
        <v>1801</v>
      </c>
      <c r="D8727" s="8">
        <v>18</v>
      </c>
      <c r="E8727" s="8">
        <v>0</v>
      </c>
      <c r="F8727" s="8">
        <v>65933</v>
      </c>
    </row>
    <row r="8728" spans="1:6" ht="12.75">
      <c r="A8728" s="8">
        <v>43900.96371527778</v>
      </c>
      <c r="B8728" s="8" t="str">
        <f>HYPERLINK("https://twitter.com/Iovingmyslf","@Iovingmyslf")</f>
        <v>@Iovingmyslf</v>
      </c>
      <c r="C8728" s="8" t="s">
        <v>3967</v>
      </c>
      <c r="D8728" s="8">
        <v>0</v>
      </c>
      <c r="E8728" s="8">
        <v>0</v>
      </c>
      <c r="F8728" s="8">
        <v>72</v>
      </c>
    </row>
    <row r="8729" spans="1:6" ht="12.75">
      <c r="A8729" s="8">
        <v>43900.963449074072</v>
      </c>
      <c r="B8729" s="8" t="str">
        <f>HYPERLINK("https://twitter.com/Aryaadi67273603","@Aryaadi67273603")</f>
        <v>@Aryaadi67273603</v>
      </c>
      <c r="C8729" s="8" t="s">
        <v>2537</v>
      </c>
      <c r="D8729" s="8">
        <v>10</v>
      </c>
      <c r="E8729" s="8">
        <v>0</v>
      </c>
      <c r="F8729" s="8">
        <v>28</v>
      </c>
    </row>
    <row r="8730" spans="1:6" ht="12.75">
      <c r="A8730" s="8">
        <v>43900.963368055556</v>
      </c>
      <c r="B8730" s="8" t="str">
        <f>HYPERLINK("https://twitter.com/sukatanyaj","@sukatanyaj")</f>
        <v>@sukatanyaj</v>
      </c>
      <c r="C8730" s="8" t="s">
        <v>2537</v>
      </c>
      <c r="D8730" s="8">
        <v>10</v>
      </c>
      <c r="E8730" s="8">
        <v>0</v>
      </c>
      <c r="F8730" s="8">
        <v>5696</v>
      </c>
    </row>
    <row r="8731" spans="1:6" ht="12.75">
      <c r="A8731" s="8">
        <v>43900.96329861111</v>
      </c>
      <c r="B8731" s="8" t="str">
        <f>HYPERLINK("https://twitter.com/JuliusSt3","@JuliusSt3")</f>
        <v>@JuliusSt3</v>
      </c>
      <c r="C8731" s="8" t="s">
        <v>318</v>
      </c>
      <c r="D8731" s="8">
        <v>987</v>
      </c>
      <c r="E8731" s="8">
        <v>0</v>
      </c>
      <c r="F8731" s="8">
        <v>163</v>
      </c>
    </row>
    <row r="8732" spans="1:6" ht="12.75">
      <c r="A8732" s="8">
        <v>43900.96303240741</v>
      </c>
      <c r="B8732" s="8" t="str">
        <f>HYPERLINK("https://twitter.com/ElipsirMedia","@ElipsirMedia")</f>
        <v>@ElipsirMedia</v>
      </c>
      <c r="C8732" s="8" t="s">
        <v>3968</v>
      </c>
      <c r="D8732" s="8">
        <v>0</v>
      </c>
      <c r="E8732" s="8">
        <v>0</v>
      </c>
      <c r="F8732" s="8">
        <v>31</v>
      </c>
    </row>
    <row r="8733" spans="1:6" ht="12.75">
      <c r="A8733" s="8">
        <v>43900.96298611111</v>
      </c>
      <c r="B8733" s="8" t="str">
        <f>HYPERLINK("https://twitter.com/andhhikarp1701","@andhhikarp1701")</f>
        <v>@andhhikarp1701</v>
      </c>
      <c r="C8733" s="8" t="s">
        <v>3168</v>
      </c>
      <c r="D8733" s="8">
        <v>73</v>
      </c>
      <c r="E8733" s="8">
        <v>0</v>
      </c>
      <c r="F8733" s="8">
        <v>7</v>
      </c>
    </row>
    <row r="8734" spans="1:6" ht="12.75">
      <c r="A8734" s="8">
        <v>43900.962847222225</v>
      </c>
      <c r="B8734" s="8" t="str">
        <f>HYPERLINK("https://twitter.com/KBRIPraha","@KBRIPraha")</f>
        <v>@KBRIPraha</v>
      </c>
      <c r="C8734" s="8" t="s">
        <v>3168</v>
      </c>
      <c r="D8734" s="8">
        <v>73</v>
      </c>
      <c r="E8734" s="8">
        <v>0</v>
      </c>
      <c r="F8734" s="8">
        <v>694</v>
      </c>
    </row>
    <row r="8735" spans="1:6" ht="12.75">
      <c r="A8735" s="8">
        <v>43900.962766203702</v>
      </c>
      <c r="B8735" s="8" t="str">
        <f>HYPERLINK("https://twitter.com/SyahbanUmar","@SyahbanUmar")</f>
        <v>@SyahbanUmar</v>
      </c>
      <c r="C8735" s="8" t="s">
        <v>318</v>
      </c>
      <c r="D8735" s="8">
        <v>987</v>
      </c>
      <c r="E8735" s="8">
        <v>0</v>
      </c>
      <c r="F8735" s="8">
        <v>2975</v>
      </c>
    </row>
    <row r="8736" spans="1:6" ht="12.75">
      <c r="A8736" s="8">
        <v>43900.962500000001</v>
      </c>
      <c r="B8736" s="8" t="str">
        <f>HYPERLINK("https://twitter.com/KRobet02","@KRobet02")</f>
        <v>@KRobet02</v>
      </c>
      <c r="C8736" s="8" t="s">
        <v>318</v>
      </c>
      <c r="D8736" s="8">
        <v>987</v>
      </c>
      <c r="E8736" s="8">
        <v>0</v>
      </c>
      <c r="F8736" s="8">
        <v>283</v>
      </c>
    </row>
    <row r="8737" spans="1:6" ht="12.75">
      <c r="A8737" s="8">
        <v>43900.962476851855</v>
      </c>
      <c r="B8737" s="8" t="str">
        <f>HYPERLINK("https://twitter.com/rendroko","@rendroko")</f>
        <v>@rendroko</v>
      </c>
      <c r="C8737" s="8" t="s">
        <v>1186</v>
      </c>
      <c r="D8737" s="8">
        <v>114</v>
      </c>
      <c r="E8737" s="8">
        <v>0</v>
      </c>
      <c r="F8737" s="8">
        <v>1026</v>
      </c>
    </row>
    <row r="8738" spans="1:6" ht="12.75">
      <c r="A8738" s="8">
        <v>43900.962106481486</v>
      </c>
      <c r="B8738" s="8" t="str">
        <f>HYPERLINK("https://twitter.com/damipari","@damipari")</f>
        <v>@damipari</v>
      </c>
      <c r="C8738" s="8" t="s">
        <v>3969</v>
      </c>
      <c r="D8738" s="8">
        <v>62</v>
      </c>
      <c r="E8738" s="8">
        <v>0</v>
      </c>
      <c r="F8738" s="8">
        <v>626</v>
      </c>
    </row>
    <row r="8739" spans="1:6" ht="12.75">
      <c r="A8739" s="8">
        <v>43900.96092592593</v>
      </c>
      <c r="B8739" s="8" t="str">
        <f>HYPERLINK("https://twitter.com/Hmmurahmurahhm2","@Hmmurahmurahhm2")</f>
        <v>@Hmmurahmurahhm2</v>
      </c>
      <c r="C8739" s="8" t="s">
        <v>2537</v>
      </c>
      <c r="D8739" s="8">
        <v>10</v>
      </c>
      <c r="E8739" s="8">
        <v>0</v>
      </c>
      <c r="F8739" s="8">
        <v>2151</v>
      </c>
    </row>
    <row r="8740" spans="1:6" ht="12.75">
      <c r="A8740" s="8">
        <v>43900.960277777776</v>
      </c>
      <c r="B8740" s="8" t="str">
        <f>HYPERLINK("https://twitter.com/fachrusayapemas","@fachrusayapemas")</f>
        <v>@fachrusayapemas</v>
      </c>
      <c r="C8740" s="8" t="s">
        <v>318</v>
      </c>
      <c r="D8740" s="8">
        <v>987</v>
      </c>
      <c r="E8740" s="8">
        <v>0</v>
      </c>
      <c r="F8740" s="8">
        <v>154</v>
      </c>
    </row>
    <row r="8741" spans="1:6" ht="12.75">
      <c r="A8741" s="8">
        <v>43900.958437499998</v>
      </c>
      <c r="B8741" s="8" t="str">
        <f>HYPERLINK("https://twitter.com/__Ndaru__","@__Ndaru__")</f>
        <v>@__Ndaru__</v>
      </c>
      <c r="C8741" s="8" t="s">
        <v>1186</v>
      </c>
      <c r="D8741" s="8">
        <v>114</v>
      </c>
      <c r="E8741" s="8">
        <v>0</v>
      </c>
      <c r="F8741" s="8">
        <v>353</v>
      </c>
    </row>
    <row r="8742" spans="1:6" ht="12.75">
      <c r="A8742" s="8">
        <v>43900.95820601852</v>
      </c>
      <c r="B8742" s="8" t="str">
        <f>HYPERLINK("https://twitter.com/miftahulfalah","@miftahulfalah")</f>
        <v>@miftahulfalah</v>
      </c>
      <c r="C8742" s="8" t="s">
        <v>318</v>
      </c>
      <c r="D8742" s="8">
        <v>987</v>
      </c>
      <c r="E8742" s="8">
        <v>0</v>
      </c>
      <c r="F8742" s="8">
        <v>1280</v>
      </c>
    </row>
    <row r="8743" spans="1:6" ht="12.75">
      <c r="A8743" s="8">
        <v>43900.957662037035</v>
      </c>
      <c r="B8743" s="8" t="str">
        <f>HYPERLINK("https://twitter.com/RyoFahri","@RyoFahri")</f>
        <v>@RyoFahri</v>
      </c>
      <c r="C8743" s="8" t="s">
        <v>318</v>
      </c>
      <c r="D8743" s="8">
        <v>987</v>
      </c>
      <c r="E8743" s="8">
        <v>0</v>
      </c>
      <c r="F8743" s="8">
        <v>184</v>
      </c>
    </row>
    <row r="8744" spans="1:6" ht="12.75">
      <c r="A8744" s="8">
        <v>43900.957650462966</v>
      </c>
      <c r="B8744" s="8" t="str">
        <f>HYPERLINK("https://twitter.com/Ato04139675","@Ato04139675")</f>
        <v>@Ato04139675</v>
      </c>
      <c r="C8744" s="8" t="s">
        <v>1186</v>
      </c>
      <c r="D8744" s="8">
        <v>114</v>
      </c>
      <c r="E8744" s="8">
        <v>0</v>
      </c>
      <c r="F8744" s="8">
        <v>634</v>
      </c>
    </row>
    <row r="8745" spans="1:6" ht="12.75">
      <c r="A8745" s="8">
        <v>43900.957326388889</v>
      </c>
      <c r="B8745" s="8" t="str">
        <f>HYPERLINK("https://twitter.com/Sai67104409","@Sai67104409")</f>
        <v>@Sai67104409</v>
      </c>
      <c r="C8745" s="8" t="s">
        <v>2537</v>
      </c>
      <c r="D8745" s="8">
        <v>10</v>
      </c>
      <c r="E8745" s="8">
        <v>0</v>
      </c>
      <c r="F8745" s="8">
        <v>198</v>
      </c>
    </row>
    <row r="8746" spans="1:6" ht="12.75">
      <c r="A8746" s="8">
        <v>43900.957326388889</v>
      </c>
      <c r="B8746" s="8" t="str">
        <f>HYPERLINK("https://twitter.com/ArdanNews","@ArdanNews")</f>
        <v>@ArdanNews</v>
      </c>
      <c r="C8746" s="8" t="s">
        <v>3970</v>
      </c>
      <c r="D8746" s="8">
        <v>0</v>
      </c>
      <c r="E8746" s="8">
        <v>0</v>
      </c>
      <c r="F8746" s="8">
        <v>2710</v>
      </c>
    </row>
    <row r="8747" spans="1:6" ht="12.75">
      <c r="A8747" s="8">
        <v>43900.957291666666</v>
      </c>
      <c r="B8747" s="8" t="str">
        <f>HYPERLINK("https://twitter.com/ZSendang","@ZSendang")</f>
        <v>@ZSendang</v>
      </c>
      <c r="C8747" s="8" t="s">
        <v>3190</v>
      </c>
      <c r="D8747" s="8">
        <v>126</v>
      </c>
      <c r="E8747" s="8">
        <v>0</v>
      </c>
      <c r="F8747" s="8">
        <v>1665</v>
      </c>
    </row>
    <row r="8748" spans="1:6" ht="12.75">
      <c r="A8748" s="8">
        <v>43900.956319444449</v>
      </c>
      <c r="B8748" s="8" t="str">
        <f>HYPERLINK("https://twitter.com/KRobet02","@KRobet02")</f>
        <v>@KRobet02</v>
      </c>
      <c r="C8748" s="8" t="s">
        <v>1186</v>
      </c>
      <c r="D8748" s="8">
        <v>114</v>
      </c>
      <c r="E8748" s="8">
        <v>0</v>
      </c>
      <c r="F8748" s="8">
        <v>283</v>
      </c>
    </row>
    <row r="8749" spans="1:6" ht="12.75">
      <c r="A8749" s="8">
        <v>43900.955879629633</v>
      </c>
      <c r="B8749" s="8" t="str">
        <f>HYPERLINK("https://twitter.com/sukatanyaj","@sukatanyaj")</f>
        <v>@sukatanyaj</v>
      </c>
      <c r="C8749" s="8" t="s">
        <v>1186</v>
      </c>
      <c r="D8749" s="8">
        <v>114</v>
      </c>
      <c r="E8749" s="8">
        <v>0</v>
      </c>
      <c r="F8749" s="8">
        <v>5696</v>
      </c>
    </row>
    <row r="8750" spans="1:6" ht="12.75">
      <c r="A8750" s="8">
        <v>43900.955717592587</v>
      </c>
      <c r="B8750" s="8" t="str">
        <f>HYPERLINK("https://twitter.com/MTimur2000","@MTimur2000")</f>
        <v>@MTimur2000</v>
      </c>
      <c r="C8750" s="8" t="s">
        <v>1186</v>
      </c>
      <c r="D8750" s="8">
        <v>114</v>
      </c>
      <c r="E8750" s="8">
        <v>0</v>
      </c>
      <c r="F8750" s="8">
        <v>922</v>
      </c>
    </row>
    <row r="8751" spans="1:6" ht="12.75">
      <c r="A8751" s="8">
        <v>43900.955659722225</v>
      </c>
      <c r="B8751" s="8" t="str">
        <f>HYPERLINK("https://twitter.com/MazAry10","@MazAry10")</f>
        <v>@MazAry10</v>
      </c>
      <c r="C8751" s="8" t="s">
        <v>318</v>
      </c>
      <c r="D8751" s="8">
        <v>987</v>
      </c>
      <c r="E8751" s="8">
        <v>0</v>
      </c>
      <c r="F8751" s="8">
        <v>22</v>
      </c>
    </row>
    <row r="8752" spans="1:6" ht="12.75">
      <c r="A8752" s="8">
        <v>43900.955509259264</v>
      </c>
      <c r="B8752" s="8" t="str">
        <f>HYPERLINK("https://twitter.com/Novikur42124212","@Novikur42124212")</f>
        <v>@Novikur42124212</v>
      </c>
      <c r="C8752" s="8" t="s">
        <v>2537</v>
      </c>
      <c r="D8752" s="8">
        <v>10</v>
      </c>
      <c r="E8752" s="8">
        <v>0</v>
      </c>
      <c r="F8752" s="8">
        <v>147</v>
      </c>
    </row>
    <row r="8753" spans="1:6" ht="12.75">
      <c r="A8753" s="8">
        <v>43900.955000000002</v>
      </c>
      <c r="B8753" s="8" t="str">
        <f>HYPERLINK("https://twitter.com/exxo_7","@exxo_7")</f>
        <v>@exxo_7</v>
      </c>
      <c r="C8753" s="8" t="s">
        <v>3971</v>
      </c>
      <c r="D8753" s="8">
        <v>0</v>
      </c>
      <c r="E8753" s="8">
        <v>0</v>
      </c>
      <c r="F8753" s="8">
        <v>243</v>
      </c>
    </row>
    <row r="8754" spans="1:6" ht="12.75">
      <c r="A8754" s="8">
        <v>43900.954837962963</v>
      </c>
      <c r="B8754" s="8" t="str">
        <f>HYPERLINK("https://twitter.com/RiangHepat79","@RiangHepat79")</f>
        <v>@RiangHepat79</v>
      </c>
      <c r="C8754" s="8" t="s">
        <v>318</v>
      </c>
      <c r="D8754" s="8">
        <v>987</v>
      </c>
      <c r="E8754" s="8">
        <v>0</v>
      </c>
      <c r="F8754" s="8">
        <v>27</v>
      </c>
    </row>
    <row r="8755" spans="1:6" ht="12.75">
      <c r="A8755" s="8">
        <v>43900.954583333332</v>
      </c>
      <c r="B8755" s="8" t="str">
        <f>HYPERLINK("https://twitter.com/ISIS_Balik_NO","@ISIS_Balik_NO")</f>
        <v>@ISIS_Balik_NO</v>
      </c>
      <c r="C8755" s="8" t="s">
        <v>3972</v>
      </c>
      <c r="D8755" s="8">
        <v>0</v>
      </c>
      <c r="E8755" s="8">
        <v>0</v>
      </c>
      <c r="F8755" s="8">
        <v>6223</v>
      </c>
    </row>
    <row r="8756" spans="1:6" ht="12.75">
      <c r="A8756" s="8">
        <v>43900.954421296294</v>
      </c>
      <c r="B8756" s="8" t="str">
        <f>HYPERLINK("https://twitter.com/moesa_jp02","@moesa_jp02")</f>
        <v>@moesa_jp02</v>
      </c>
      <c r="C8756" s="8" t="s">
        <v>3973</v>
      </c>
      <c r="D8756" s="8">
        <v>0</v>
      </c>
      <c r="E8756" s="8">
        <v>0</v>
      </c>
      <c r="F8756" s="8">
        <v>1384</v>
      </c>
    </row>
    <row r="8757" spans="1:6" ht="12.75">
      <c r="A8757" s="8">
        <v>43900.954085648147</v>
      </c>
      <c r="B8757" s="8" t="str">
        <f>HYPERLINK("https://twitter.com/ridwangandoe27","@ridwangandoe27")</f>
        <v>@ridwangandoe27</v>
      </c>
      <c r="C8757" s="8" t="s">
        <v>318</v>
      </c>
      <c r="D8757" s="8">
        <v>987</v>
      </c>
      <c r="E8757" s="8">
        <v>0</v>
      </c>
      <c r="F8757" s="8">
        <v>55</v>
      </c>
    </row>
    <row r="8758" spans="1:6" ht="12.75">
      <c r="A8758" s="8">
        <v>43900.953900462962</v>
      </c>
      <c r="B8758" s="8" t="str">
        <f>HYPERLINK("https://twitter.com/santiiaa","@santiiaa")</f>
        <v>@santiiaa</v>
      </c>
      <c r="C8758" s="8" t="s">
        <v>3974</v>
      </c>
      <c r="D8758" s="8">
        <v>0</v>
      </c>
      <c r="E8758" s="8">
        <v>0</v>
      </c>
      <c r="F8758" s="8">
        <v>620</v>
      </c>
    </row>
    <row r="8759" spans="1:6" ht="12.75">
      <c r="A8759" s="8">
        <v>43900.953842592593</v>
      </c>
      <c r="B8759" s="8" t="str">
        <f>HYPERLINK("https://twitter.com/bayu_sindun","@bayu_sindun")</f>
        <v>@bayu_sindun</v>
      </c>
      <c r="C8759" s="8" t="s">
        <v>237</v>
      </c>
      <c r="D8759" s="8">
        <v>0</v>
      </c>
      <c r="E8759" s="8">
        <v>0</v>
      </c>
      <c r="F8759" s="8">
        <v>244</v>
      </c>
    </row>
    <row r="8760" spans="1:6" ht="12.75">
      <c r="A8760" s="8">
        <v>43900.953599537039</v>
      </c>
      <c r="B8760" s="8" t="str">
        <f>HYPERLINK("https://twitter.com/SUN9JUNLEE","@SUN9JUNLEE")</f>
        <v>@SUN9JUNLEE</v>
      </c>
      <c r="C8760" s="8" t="s">
        <v>3975</v>
      </c>
      <c r="D8760" s="8">
        <v>0</v>
      </c>
      <c r="E8760" s="8">
        <v>0</v>
      </c>
      <c r="F8760" s="8">
        <v>399</v>
      </c>
    </row>
    <row r="8761" spans="1:6" ht="12.75">
      <c r="A8761" s="8">
        <v>43900.953402777777</v>
      </c>
      <c r="B8761" s="8" t="str">
        <f>HYPERLINK("https://twitter.com/inthuliaster","@inthuliaster")</f>
        <v>@inthuliaster</v>
      </c>
      <c r="C8761" s="8" t="s">
        <v>1801</v>
      </c>
      <c r="D8761" s="8">
        <v>18</v>
      </c>
      <c r="E8761" s="8">
        <v>0</v>
      </c>
      <c r="F8761" s="8">
        <v>152</v>
      </c>
    </row>
    <row r="8762" spans="1:6" ht="12.75">
      <c r="A8762" s="8">
        <v>43900.953252314815</v>
      </c>
      <c r="B8762" s="8" t="str">
        <f>HYPERLINK("https://twitter.com/HexsSetya","@HexsSetya")</f>
        <v>@HexsSetya</v>
      </c>
      <c r="C8762" s="8" t="s">
        <v>2537</v>
      </c>
      <c r="D8762" s="8">
        <v>10</v>
      </c>
      <c r="E8762" s="8">
        <v>0</v>
      </c>
      <c r="F8762" s="8">
        <v>875</v>
      </c>
    </row>
    <row r="8763" spans="1:6" ht="12.75">
      <c r="A8763" s="8">
        <v>43900.953206018516</v>
      </c>
      <c r="B8763" s="8" t="str">
        <f>HYPERLINK("https://twitter.com/takadadusta","@takadadusta")</f>
        <v>@takadadusta</v>
      </c>
      <c r="C8763" s="8" t="s">
        <v>2537</v>
      </c>
      <c r="D8763" s="8">
        <v>10</v>
      </c>
      <c r="E8763" s="8">
        <v>0</v>
      </c>
      <c r="F8763" s="8">
        <v>20</v>
      </c>
    </row>
    <row r="8764" spans="1:6" ht="12.75">
      <c r="A8764" s="8">
        <v>43900.952708333338</v>
      </c>
      <c r="B8764" s="8" t="str">
        <f>HYPERLINK("https://twitter.com/be_any","@be_any")</f>
        <v>@be_any</v>
      </c>
      <c r="C8764" s="8" t="s">
        <v>3976</v>
      </c>
      <c r="D8764" s="8">
        <v>0</v>
      </c>
      <c r="E8764" s="8">
        <v>0</v>
      </c>
      <c r="F8764" s="8">
        <v>291</v>
      </c>
    </row>
    <row r="8765" spans="1:6" ht="12.75">
      <c r="A8765" s="8">
        <v>43900.952094907407</v>
      </c>
      <c r="B8765" s="8" t="str">
        <f>HYPERLINK("https://twitter.com/Ijonk8989","@Ijonk8989")</f>
        <v>@Ijonk8989</v>
      </c>
      <c r="C8765" s="8" t="s">
        <v>1186</v>
      </c>
      <c r="D8765" s="8">
        <v>114</v>
      </c>
      <c r="E8765" s="8">
        <v>0</v>
      </c>
      <c r="F8765" s="8">
        <v>147</v>
      </c>
    </row>
    <row r="8766" spans="1:6" ht="12.75">
      <c r="A8766" s="8">
        <v>43900.952083333337</v>
      </c>
      <c r="B8766" s="8" t="str">
        <f>HYPERLINK("https://twitter.com/Rani_Indriani_S","@Rani_Indriani_S")</f>
        <v>@Rani_Indriani_S</v>
      </c>
      <c r="C8766" s="8" t="s">
        <v>1959</v>
      </c>
      <c r="D8766" s="8">
        <v>4</v>
      </c>
      <c r="E8766" s="8">
        <v>0</v>
      </c>
      <c r="F8766" s="8">
        <v>906</v>
      </c>
    </row>
    <row r="8767" spans="1:6" ht="12.75">
      <c r="A8767" s="8">
        <v>43900.95175925926</v>
      </c>
      <c r="B8767" s="8" t="str">
        <f>HYPERLINK("https://twitter.com/winiyokaa","@winiyokaa")</f>
        <v>@winiyokaa</v>
      </c>
      <c r="C8767" s="8" t="s">
        <v>3977</v>
      </c>
      <c r="D8767" s="8">
        <v>0</v>
      </c>
      <c r="E8767" s="8">
        <v>0</v>
      </c>
      <c r="F8767" s="8">
        <v>272</v>
      </c>
    </row>
    <row r="8768" spans="1:6" ht="12.75">
      <c r="A8768" s="8">
        <v>43900.951608796298</v>
      </c>
      <c r="B8768" s="8" t="str">
        <f>HYPERLINK("https://twitter.com/Yulifahriah1","@Yulifahriah1")</f>
        <v>@Yulifahriah1</v>
      </c>
      <c r="C8768" s="8" t="s">
        <v>318</v>
      </c>
      <c r="D8768" s="8">
        <v>987</v>
      </c>
      <c r="E8768" s="8">
        <v>0</v>
      </c>
      <c r="F8768" s="8">
        <v>232</v>
      </c>
    </row>
    <row r="8769" spans="1:6" ht="12.75">
      <c r="A8769" s="8">
        <v>43900.949884259258</v>
      </c>
      <c r="B8769" s="8" t="str">
        <f>HYPERLINK("https://twitter.com/albert_jamaris","@albert_jamaris")</f>
        <v>@albert_jamaris</v>
      </c>
      <c r="C8769" s="8" t="s">
        <v>1186</v>
      </c>
      <c r="D8769" s="8">
        <v>114</v>
      </c>
      <c r="E8769" s="8">
        <v>0</v>
      </c>
      <c r="F8769" s="8">
        <v>2967</v>
      </c>
    </row>
    <row r="8770" spans="1:6" ht="12.75">
      <c r="A8770" s="8">
        <v>43900.949074074073</v>
      </c>
      <c r="B8770" s="8" t="str">
        <f>HYPERLINK("https://twitter.com/ronaazhdh","@ronaazhdh")</f>
        <v>@ronaazhdh</v>
      </c>
      <c r="C8770" s="8" t="s">
        <v>3978</v>
      </c>
      <c r="D8770" s="8">
        <v>42</v>
      </c>
      <c r="E8770" s="8">
        <v>0</v>
      </c>
      <c r="F8770" s="8">
        <v>648</v>
      </c>
    </row>
    <row r="8771" spans="1:6" ht="12.75">
      <c r="A8771" s="8">
        <v>43900.948865740742</v>
      </c>
      <c r="B8771" s="8" t="str">
        <f>HYPERLINK("https://twitter.com/Arif_Kachef","@Arif_Kachef")</f>
        <v>@Arif_Kachef</v>
      </c>
      <c r="C8771" s="8" t="s">
        <v>2537</v>
      </c>
      <c r="D8771" s="8">
        <v>10</v>
      </c>
      <c r="E8771" s="8">
        <v>0</v>
      </c>
      <c r="F8771" s="8">
        <v>425</v>
      </c>
    </row>
    <row r="8772" spans="1:6" ht="12.75">
      <c r="A8772" s="8">
        <v>43900.948749999996</v>
      </c>
      <c r="B8772" s="8" t="str">
        <f>HYPERLINK("https://twitter.com/toranaga3000","@toranaga3000")</f>
        <v>@toranaga3000</v>
      </c>
      <c r="C8772" s="8" t="s">
        <v>318</v>
      </c>
      <c r="D8772" s="8">
        <v>987</v>
      </c>
      <c r="E8772" s="8">
        <v>0</v>
      </c>
      <c r="F8772" s="8">
        <v>2426</v>
      </c>
    </row>
    <row r="8773" spans="1:6" ht="12.75">
      <c r="A8773" s="8">
        <v>43900.948379629626</v>
      </c>
      <c r="B8773" s="8" t="str">
        <f>HYPERLINK("https://twitter.com/AcengRahmatHid5","@AcengRahmatHid5")</f>
        <v>@AcengRahmatHid5</v>
      </c>
      <c r="C8773" s="8" t="s">
        <v>1186</v>
      </c>
      <c r="D8773" s="8">
        <v>114</v>
      </c>
      <c r="E8773" s="8">
        <v>0</v>
      </c>
      <c r="F8773" s="8">
        <v>371</v>
      </c>
    </row>
    <row r="8774" spans="1:6" ht="12.75">
      <c r="A8774" s="8">
        <v>43900.948217592595</v>
      </c>
      <c r="B8774" s="8" t="str">
        <f>HYPERLINK("https://twitter.com/aliandotcomm","@aliandotcomm")</f>
        <v>@aliandotcomm</v>
      </c>
      <c r="C8774" s="8" t="s">
        <v>2537</v>
      </c>
      <c r="D8774" s="8">
        <v>10</v>
      </c>
      <c r="E8774" s="8">
        <v>0</v>
      </c>
      <c r="F8774" s="8">
        <v>488</v>
      </c>
    </row>
    <row r="8775" spans="1:6" ht="12.75">
      <c r="A8775" s="8">
        <v>43900.947615740741</v>
      </c>
      <c r="B8775" s="8" t="str">
        <f>HYPERLINK("https://twitter.com/iskandar__fauzi","@iskandar__fauzi")</f>
        <v>@iskandar__fauzi</v>
      </c>
      <c r="C8775" s="8" t="s">
        <v>3979</v>
      </c>
      <c r="D8775" s="8">
        <v>10</v>
      </c>
      <c r="E8775" s="8">
        <v>15</v>
      </c>
      <c r="F8775" s="8">
        <v>12856</v>
      </c>
    </row>
    <row r="8776" spans="1:6" ht="12.75">
      <c r="A8776" s="8">
        <v>43900.947523148148</v>
      </c>
      <c r="B8776" s="8" t="str">
        <f>HYPERLINK("https://twitter.com/Battous10266508","@Battous10266508")</f>
        <v>@Battous10266508</v>
      </c>
      <c r="C8776" s="8" t="s">
        <v>318</v>
      </c>
      <c r="D8776" s="8">
        <v>987</v>
      </c>
      <c r="E8776" s="8">
        <v>0</v>
      </c>
      <c r="F8776" s="8">
        <v>4</v>
      </c>
    </row>
    <row r="8777" spans="1:6" ht="12.75">
      <c r="A8777" s="8">
        <v>43900.947442129633</v>
      </c>
      <c r="B8777" s="8" t="str">
        <f>HYPERLINK("https://twitter.com/airlanggakusum4","@airlanggakusum4")</f>
        <v>@airlanggakusum4</v>
      </c>
      <c r="C8777" s="8" t="s">
        <v>3820</v>
      </c>
      <c r="D8777" s="8">
        <v>29</v>
      </c>
      <c r="E8777" s="8">
        <v>0</v>
      </c>
      <c r="F8777" s="8">
        <v>783</v>
      </c>
    </row>
    <row r="8778" spans="1:6" ht="12.75">
      <c r="A8778" s="8">
        <v>43900.947372685187</v>
      </c>
      <c r="B8778" s="8" t="str">
        <f>HYPERLINK("https://twitter.com/AcengRahmatHid5","@AcengRahmatHid5")</f>
        <v>@AcengRahmatHid5</v>
      </c>
      <c r="C8778" s="8" t="s">
        <v>318</v>
      </c>
      <c r="D8778" s="8">
        <v>987</v>
      </c>
      <c r="E8778" s="8">
        <v>0</v>
      </c>
      <c r="F8778" s="8">
        <v>371</v>
      </c>
    </row>
    <row r="8779" spans="1:6" ht="12.75">
      <c r="A8779" s="8">
        <v>43900.947372685187</v>
      </c>
      <c r="B8779" s="8" t="str">
        <f>HYPERLINK("https://twitter.com/ichsansp_26","@ichsansp_26")</f>
        <v>@ichsansp_26</v>
      </c>
      <c r="C8779" s="8" t="s">
        <v>3587</v>
      </c>
      <c r="D8779" s="8">
        <v>7</v>
      </c>
      <c r="E8779" s="8">
        <v>0</v>
      </c>
      <c r="F8779" s="8">
        <v>153</v>
      </c>
    </row>
    <row r="8780" spans="1:6" ht="12.75">
      <c r="A8780" s="8">
        <v>43900.946956018517</v>
      </c>
      <c r="B8780" s="8" t="str">
        <f>HYPERLINK("https://twitter.com/Alfanny1926","@Alfanny1926")</f>
        <v>@Alfanny1926</v>
      </c>
      <c r="C8780" s="8" t="s">
        <v>3190</v>
      </c>
      <c r="D8780" s="8">
        <v>126</v>
      </c>
      <c r="E8780" s="8">
        <v>0</v>
      </c>
      <c r="F8780" s="8">
        <v>4567</v>
      </c>
    </row>
    <row r="8781" spans="1:6" ht="12.75">
      <c r="A8781" s="8">
        <v>43900.946886574078</v>
      </c>
      <c r="B8781" s="8" t="str">
        <f t="shared" ref="B8781:B8782" si="146">HYPERLINK("https://twitter.com/jade_isis_","@jade_isis_")</f>
        <v>@jade_isis_</v>
      </c>
      <c r="C8781" s="8" t="s">
        <v>3980</v>
      </c>
      <c r="D8781" s="8">
        <v>0</v>
      </c>
      <c r="E8781" s="8">
        <v>0</v>
      </c>
      <c r="F8781" s="8">
        <v>254</v>
      </c>
    </row>
    <row r="8782" spans="1:6" ht="12.75">
      <c r="A8782" s="8">
        <v>43900.946597222224</v>
      </c>
      <c r="B8782" s="8" t="str">
        <f t="shared" si="146"/>
        <v>@jade_isis_</v>
      </c>
      <c r="C8782" s="8" t="s">
        <v>3981</v>
      </c>
      <c r="D8782" s="8">
        <v>0</v>
      </c>
      <c r="E8782" s="8">
        <v>0</v>
      </c>
      <c r="F8782" s="8">
        <v>254</v>
      </c>
    </row>
    <row r="8783" spans="1:6" ht="12.75">
      <c r="A8783" s="8">
        <v>43900.945636574077</v>
      </c>
      <c r="B8783" s="8" t="str">
        <f>HYPERLINK("https://twitter.com/tedy_harry","@tedy_harry")</f>
        <v>@tedy_harry</v>
      </c>
      <c r="C8783" s="8" t="s">
        <v>318</v>
      </c>
      <c r="D8783" s="8">
        <v>987</v>
      </c>
      <c r="E8783" s="8">
        <v>0</v>
      </c>
      <c r="F8783" s="8">
        <v>27</v>
      </c>
    </row>
    <row r="8784" spans="1:6" ht="12.75">
      <c r="A8784" s="8">
        <v>43900.945520833338</v>
      </c>
      <c r="B8784" s="8" t="str">
        <f>HYPERLINK("https://twitter.com/AmiiPoerwa","@AmiiPoerwa")</f>
        <v>@AmiiPoerwa</v>
      </c>
      <c r="C8784" s="8" t="s">
        <v>1801</v>
      </c>
      <c r="D8784" s="8">
        <v>18</v>
      </c>
      <c r="E8784" s="8">
        <v>0</v>
      </c>
      <c r="F8784" s="8">
        <v>13</v>
      </c>
    </row>
    <row r="8785" spans="1:6" ht="12.75">
      <c r="A8785" s="8">
        <v>43900.945254629631</v>
      </c>
      <c r="B8785" s="8" t="str">
        <f>HYPERLINK("https://twitter.com/MasTrimo9","@MasTrimo9")</f>
        <v>@MasTrimo9</v>
      </c>
      <c r="C8785" s="8" t="s">
        <v>318</v>
      </c>
      <c r="D8785" s="8">
        <v>987</v>
      </c>
      <c r="E8785" s="8">
        <v>0</v>
      </c>
      <c r="F8785" s="8">
        <v>328</v>
      </c>
    </row>
    <row r="8786" spans="1:6" ht="12.75">
      <c r="A8786" s="8">
        <v>43900.945057870369</v>
      </c>
      <c r="B8786" s="8" t="str">
        <f>HYPERLINK("https://twitter.com/MohdRafiAta1","@MohdRafiAta1")</f>
        <v>@MohdRafiAta1</v>
      </c>
      <c r="C8786" s="8" t="s">
        <v>3982</v>
      </c>
      <c r="D8786" s="8">
        <v>2</v>
      </c>
      <c r="E8786" s="8">
        <v>0</v>
      </c>
      <c r="F8786" s="8">
        <v>972</v>
      </c>
    </row>
    <row r="8787" spans="1:6" ht="12.75">
      <c r="A8787" s="8">
        <v>43900.944363425922</v>
      </c>
      <c r="B8787" s="8" t="str">
        <f>HYPERLINK("https://twitter.com/CahGend97901143","@CahGend97901143")</f>
        <v>@CahGend97901143</v>
      </c>
      <c r="C8787" s="8" t="s">
        <v>3983</v>
      </c>
      <c r="D8787" s="8">
        <v>0</v>
      </c>
      <c r="E8787" s="8">
        <v>0</v>
      </c>
      <c r="F8787" s="8">
        <v>22</v>
      </c>
    </row>
    <row r="8788" spans="1:6" ht="12.75">
      <c r="A8788" s="8">
        <v>43900.944270833337</v>
      </c>
      <c r="B8788" s="8" t="str">
        <f>HYPERLINK("https://twitter.com/dajjaltamvan","@dajjaltamvan")</f>
        <v>@dajjaltamvan</v>
      </c>
      <c r="C8788" s="8" t="s">
        <v>1801</v>
      </c>
      <c r="D8788" s="8">
        <v>18</v>
      </c>
      <c r="E8788" s="8">
        <v>0</v>
      </c>
      <c r="F8788" s="8">
        <v>124</v>
      </c>
    </row>
    <row r="8789" spans="1:6" ht="12.75">
      <c r="A8789" s="8">
        <v>43900.944189814814</v>
      </c>
      <c r="B8789" s="8" t="str">
        <f>HYPERLINK("https://twitter.com/BblinkP","@BblinkP")</f>
        <v>@BblinkP</v>
      </c>
      <c r="C8789" s="8" t="s">
        <v>318</v>
      </c>
      <c r="D8789" s="8">
        <v>987</v>
      </c>
      <c r="E8789" s="8">
        <v>0</v>
      </c>
      <c r="F8789" s="8">
        <v>41</v>
      </c>
    </row>
    <row r="8790" spans="1:6" ht="12.75">
      <c r="A8790" s="8">
        <v>43900.944004629629</v>
      </c>
      <c r="B8790" s="8" t="str">
        <f>HYPERLINK("https://twitter.com/buana_cahaya","@buana_cahaya")</f>
        <v>@buana_cahaya</v>
      </c>
      <c r="C8790" s="8" t="s">
        <v>318</v>
      </c>
      <c r="D8790" s="8">
        <v>987</v>
      </c>
      <c r="E8790" s="8">
        <v>0</v>
      </c>
      <c r="F8790" s="8">
        <v>199</v>
      </c>
    </row>
    <row r="8791" spans="1:6" ht="12.75">
      <c r="A8791" s="8">
        <v>43900.943715277783</v>
      </c>
      <c r="B8791" s="8" t="str">
        <f>HYPERLINK("https://twitter.com/CamrySlamet","@CamrySlamet")</f>
        <v>@CamrySlamet</v>
      </c>
      <c r="C8791" s="8" t="s">
        <v>318</v>
      </c>
      <c r="D8791" s="8">
        <v>987</v>
      </c>
      <c r="E8791" s="8">
        <v>0</v>
      </c>
      <c r="F8791" s="8">
        <v>746</v>
      </c>
    </row>
    <row r="8792" spans="1:6" ht="12.75">
      <c r="A8792" s="8">
        <v>43900.943668981483</v>
      </c>
      <c r="B8792" s="8" t="str">
        <f>HYPERLINK("https://twitter.com/abespawnie","@abespawnie")</f>
        <v>@abespawnie</v>
      </c>
      <c r="C8792" s="8" t="s">
        <v>1801</v>
      </c>
      <c r="D8792" s="8">
        <v>18</v>
      </c>
      <c r="E8792" s="8">
        <v>0</v>
      </c>
      <c r="F8792" s="8">
        <v>306</v>
      </c>
    </row>
    <row r="8793" spans="1:6" ht="12.75">
      <c r="A8793" s="8">
        <v>43900.94363425926</v>
      </c>
      <c r="B8793" s="8" t="str">
        <f>HYPERLINK("https://twitter.com/AksesorisN","@AksesorisN")</f>
        <v>@AksesorisN</v>
      </c>
      <c r="C8793" s="8" t="s">
        <v>1186</v>
      </c>
      <c r="D8793" s="8">
        <v>114</v>
      </c>
      <c r="E8793" s="8">
        <v>0</v>
      </c>
      <c r="F8793" s="8">
        <v>714</v>
      </c>
    </row>
    <row r="8794" spans="1:6" ht="12.75">
      <c r="A8794" s="8">
        <v>43900.943379629629</v>
      </c>
      <c r="B8794" s="8" t="str">
        <f>HYPERLINK("https://twitter.com/acme_ace_","@acme_ace_")</f>
        <v>@acme_ace_</v>
      </c>
      <c r="C8794" s="8" t="s">
        <v>3984</v>
      </c>
      <c r="D8794" s="8">
        <v>0</v>
      </c>
      <c r="E8794" s="8">
        <v>0</v>
      </c>
      <c r="F8794" s="8">
        <v>1284</v>
      </c>
    </row>
    <row r="8795" spans="1:6" ht="12.75">
      <c r="A8795" s="8">
        <v>43900.94332175926</v>
      </c>
      <c r="B8795" s="8" t="str">
        <f>HYPERLINK("https://twitter.com/inaalyana2","@inaalyana2")</f>
        <v>@inaalyana2</v>
      </c>
      <c r="C8795" s="8" t="s">
        <v>1186</v>
      </c>
      <c r="D8795" s="8">
        <v>114</v>
      </c>
      <c r="E8795" s="8">
        <v>0</v>
      </c>
      <c r="F8795" s="8">
        <v>622</v>
      </c>
    </row>
    <row r="8796" spans="1:6" ht="12.75">
      <c r="A8796" s="8">
        <v>43900.942858796298</v>
      </c>
      <c r="B8796" s="8" t="str">
        <f>HYPERLINK("https://twitter.com/prihardhana","@prihardhana")</f>
        <v>@prihardhana</v>
      </c>
      <c r="C8796" s="8" t="s">
        <v>3985</v>
      </c>
      <c r="D8796" s="8">
        <v>0</v>
      </c>
      <c r="E8796" s="8">
        <v>0</v>
      </c>
      <c r="F8796" s="8">
        <v>85</v>
      </c>
    </row>
    <row r="8797" spans="1:6" ht="12.75">
      <c r="A8797" s="8">
        <v>43900.942546296297</v>
      </c>
      <c r="B8797" s="8" t="str">
        <f>HYPERLINK("https://twitter.com/MLZRQ","@MLZRQ")</f>
        <v>@MLZRQ</v>
      </c>
      <c r="C8797" s="8" t="s">
        <v>3986</v>
      </c>
      <c r="D8797" s="8">
        <v>0</v>
      </c>
      <c r="E8797" s="8">
        <v>1</v>
      </c>
      <c r="F8797" s="8">
        <v>24</v>
      </c>
    </row>
    <row r="8798" spans="1:6" ht="12.75">
      <c r="A8798" s="8">
        <v>43900.942245370374</v>
      </c>
      <c r="B8798" s="8" t="str">
        <f>HYPERLINK("https://twitter.com/Sat_Pinayungan","@Sat_Pinayungan")</f>
        <v>@Sat_Pinayungan</v>
      </c>
      <c r="C8798" s="8" t="s">
        <v>1186</v>
      </c>
      <c r="D8798" s="8">
        <v>114</v>
      </c>
      <c r="E8798" s="8">
        <v>0</v>
      </c>
      <c r="F8798" s="8">
        <v>2375</v>
      </c>
    </row>
    <row r="8799" spans="1:6" ht="12.75">
      <c r="A8799" s="8">
        <v>43900.942025462966</v>
      </c>
      <c r="B8799" s="8" t="str">
        <f>HYPERLINK("https://twitter.com/jetalani","@jetalani")</f>
        <v>@jetalani</v>
      </c>
      <c r="C8799" s="8" t="s">
        <v>3987</v>
      </c>
      <c r="D8799" s="8">
        <v>0</v>
      </c>
      <c r="E8799" s="8">
        <v>0</v>
      </c>
      <c r="F8799" s="8">
        <v>28</v>
      </c>
    </row>
    <row r="8800" spans="1:6" ht="12.75">
      <c r="A8800" s="8">
        <v>43900.941747685181</v>
      </c>
      <c r="B8800" s="8" t="str">
        <f>HYPERLINK("https://twitter.com/koiazkacila","@koiazkacila")</f>
        <v>@koiazkacila</v>
      </c>
      <c r="C8800" s="8" t="s">
        <v>3190</v>
      </c>
      <c r="D8800" s="8">
        <v>126</v>
      </c>
      <c r="E8800" s="8">
        <v>0</v>
      </c>
      <c r="F8800" s="8">
        <v>136</v>
      </c>
    </row>
    <row r="8801" spans="1:6" ht="12.75">
      <c r="A8801" s="8">
        <v>43900.941435185188</v>
      </c>
      <c r="B8801" s="8" t="str">
        <f>HYPERLINK("https://twitter.com/marleenmars","@marleenmars")</f>
        <v>@marleenmars</v>
      </c>
      <c r="C8801" s="8" t="s">
        <v>3752</v>
      </c>
      <c r="D8801" s="8">
        <v>28</v>
      </c>
      <c r="E8801" s="8">
        <v>0</v>
      </c>
      <c r="F8801" s="8">
        <v>419</v>
      </c>
    </row>
    <row r="8802" spans="1:6" ht="12.75">
      <c r="A8802" s="8">
        <v>43900.940868055557</v>
      </c>
      <c r="B8802" s="8" t="str">
        <f>HYPERLINK("https://twitter.com/Meliyanto7","@Meliyanto7")</f>
        <v>@Meliyanto7</v>
      </c>
      <c r="C8802" s="8" t="s">
        <v>3820</v>
      </c>
      <c r="D8802" s="8">
        <v>29</v>
      </c>
      <c r="E8802" s="8">
        <v>0</v>
      </c>
      <c r="F8802" s="8">
        <v>341</v>
      </c>
    </row>
    <row r="8803" spans="1:6" ht="12.75">
      <c r="A8803" s="8">
        <v>43900.940833333334</v>
      </c>
      <c r="B8803" s="8" t="str">
        <f>HYPERLINK("https://twitter.com/Alfissamurais","@Alfissamurais")</f>
        <v>@Alfissamurais</v>
      </c>
      <c r="C8803" s="8" t="s">
        <v>1186</v>
      </c>
      <c r="D8803" s="8">
        <v>114</v>
      </c>
      <c r="E8803" s="8">
        <v>0</v>
      </c>
      <c r="F8803" s="8">
        <v>150</v>
      </c>
    </row>
    <row r="8804" spans="1:6" ht="12.75">
      <c r="A8804" s="8">
        <v>43900.940798611111</v>
      </c>
      <c r="B8804" s="8" t="str">
        <f>HYPERLINK("https://twitter.com/DahlanMahmud","@DahlanMahmud")</f>
        <v>@DahlanMahmud</v>
      </c>
      <c r="C8804" s="8" t="s">
        <v>3988</v>
      </c>
      <c r="D8804" s="8">
        <v>0</v>
      </c>
      <c r="E8804" s="8">
        <v>0</v>
      </c>
      <c r="F8804" s="8">
        <v>70</v>
      </c>
    </row>
    <row r="8805" spans="1:6" ht="12.75">
      <c r="A8805" s="8">
        <v>43900.940601851849</v>
      </c>
      <c r="B8805" s="8" t="str">
        <f>HYPERLINK("https://twitter.com/prabu_yudistyra","@prabu_yudistyra")</f>
        <v>@prabu_yudistyra</v>
      </c>
      <c r="C8805" s="8" t="s">
        <v>318</v>
      </c>
      <c r="D8805" s="8">
        <v>987</v>
      </c>
      <c r="E8805" s="8">
        <v>0</v>
      </c>
      <c r="F8805" s="8">
        <v>430</v>
      </c>
    </row>
    <row r="8806" spans="1:6" ht="12.75">
      <c r="A8806" s="8">
        <v>43900.940578703703</v>
      </c>
      <c r="B8806" s="8" t="str">
        <f>HYPERLINK("https://twitter.com/HexsSetya","@HexsSetya")</f>
        <v>@HexsSetya</v>
      </c>
      <c r="C8806" s="8" t="s">
        <v>318</v>
      </c>
      <c r="D8806" s="8">
        <v>987</v>
      </c>
      <c r="E8806" s="8">
        <v>0</v>
      </c>
      <c r="F8806" s="8">
        <v>875</v>
      </c>
    </row>
    <row r="8807" spans="1:6" ht="12.75">
      <c r="A8807" s="8">
        <v>43900.940486111111</v>
      </c>
      <c r="B8807" s="8" t="str">
        <f>HYPERLINK("https://twitter.com/ulilfathur","@ulilfathur")</f>
        <v>@ulilfathur</v>
      </c>
      <c r="C8807" s="8" t="s">
        <v>3989</v>
      </c>
      <c r="D8807" s="8">
        <v>38</v>
      </c>
      <c r="E8807" s="8">
        <v>0</v>
      </c>
      <c r="F8807" s="8">
        <v>317</v>
      </c>
    </row>
    <row r="8808" spans="1:6" ht="12.75">
      <c r="A8808" s="8">
        <v>43900.940150462964</v>
      </c>
      <c r="B8808" s="8" t="str">
        <f>HYPERLINK("https://twitter.com/shilvycipi","@shilvycipi")</f>
        <v>@shilvycipi</v>
      </c>
      <c r="C8808" s="8" t="s">
        <v>3752</v>
      </c>
      <c r="D8808" s="8">
        <v>28</v>
      </c>
      <c r="E8808" s="8">
        <v>0</v>
      </c>
      <c r="F8808" s="8">
        <v>481</v>
      </c>
    </row>
    <row r="8809" spans="1:6" ht="12.75">
      <c r="A8809" s="8">
        <v>43900.93986111111</v>
      </c>
      <c r="B8809" s="8" t="str">
        <f>HYPERLINK("https://twitter.com/noraejemog","@noraejemog")</f>
        <v>@noraejemog</v>
      </c>
      <c r="C8809" s="8" t="s">
        <v>3990</v>
      </c>
      <c r="D8809" s="8">
        <v>0</v>
      </c>
      <c r="E8809" s="8">
        <v>0</v>
      </c>
      <c r="F8809" s="8">
        <v>45</v>
      </c>
    </row>
    <row r="8810" spans="1:6" ht="12.75">
      <c r="A8810" s="8">
        <v>43900.939664351856</v>
      </c>
      <c r="B8810" s="8" t="str">
        <f>HYPERLINK("https://twitter.com/rudimulawarman_","@rudimulawarman_")</f>
        <v>@rudimulawarman_</v>
      </c>
      <c r="C8810" s="8" t="s">
        <v>1186</v>
      </c>
      <c r="D8810" s="8">
        <v>114</v>
      </c>
      <c r="E8810" s="8">
        <v>0</v>
      </c>
      <c r="F8810" s="8">
        <v>3751</v>
      </c>
    </row>
    <row r="8811" spans="1:6" ht="12.75">
      <c r="A8811" s="8">
        <v>43900.93917824074</v>
      </c>
      <c r="B8811" s="8" t="str">
        <f>HYPERLINK("https://twitter.com/Supersprint90cc","@Supersprint90cc")</f>
        <v>@Supersprint90cc</v>
      </c>
      <c r="C8811" s="8" t="s">
        <v>1186</v>
      </c>
      <c r="D8811" s="8">
        <v>114</v>
      </c>
      <c r="E8811" s="8">
        <v>0</v>
      </c>
      <c r="F8811" s="8">
        <v>535</v>
      </c>
    </row>
    <row r="8812" spans="1:6" ht="12.75">
      <c r="A8812" s="8">
        <v>43900.939143518517</v>
      </c>
      <c r="B8812" s="8" t="str">
        <f>HYPERLINK("https://twitter.com/BillTemporo","@BillTemporo")</f>
        <v>@BillTemporo</v>
      </c>
      <c r="C8812" s="8" t="s">
        <v>323</v>
      </c>
      <c r="D8812" s="8">
        <v>0</v>
      </c>
      <c r="E8812" s="8">
        <v>0</v>
      </c>
      <c r="F8812" s="8">
        <v>11</v>
      </c>
    </row>
    <row r="8813" spans="1:6" ht="12.75">
      <c r="A8813" s="8">
        <v>43900.93885416667</v>
      </c>
      <c r="B8813" s="8" t="str">
        <f>HYPERLINK("https://twitter.com/KBRI_Kuwait","@KBRI_Kuwait")</f>
        <v>@KBRI_Kuwait</v>
      </c>
      <c r="C8813" s="8" t="s">
        <v>3991</v>
      </c>
      <c r="D8813" s="8">
        <v>0</v>
      </c>
      <c r="E8813" s="8">
        <v>0</v>
      </c>
      <c r="F8813" s="8">
        <v>2594</v>
      </c>
    </row>
    <row r="8814" spans="1:6" ht="12.75">
      <c r="A8814" s="8">
        <v>43900.938750000001</v>
      </c>
      <c r="B8814" s="8" t="str">
        <f>HYPERLINK("https://twitter.com/__Ndaru__","@__Ndaru__")</f>
        <v>@__Ndaru__</v>
      </c>
      <c r="C8814" s="8" t="s">
        <v>3992</v>
      </c>
      <c r="D8814" s="8">
        <v>0</v>
      </c>
      <c r="E8814" s="8">
        <v>0</v>
      </c>
      <c r="F8814" s="8">
        <v>353</v>
      </c>
    </row>
    <row r="8815" spans="1:6" ht="12.75">
      <c r="A8815" s="8">
        <v>43900.93822916667</v>
      </c>
      <c r="B8815" s="8" t="str">
        <f>HYPERLINK("https://twitter.com/ISIS_Balik_NO","@ISIS_Balik_NO")</f>
        <v>@ISIS_Balik_NO</v>
      </c>
      <c r="C8815" s="8" t="s">
        <v>3993</v>
      </c>
      <c r="D8815" s="8">
        <v>0</v>
      </c>
      <c r="E8815" s="8">
        <v>0</v>
      </c>
      <c r="F8815" s="8">
        <v>6223</v>
      </c>
    </row>
    <row r="8816" spans="1:6" ht="12.75">
      <c r="A8816" s="8">
        <v>43900.938171296293</v>
      </c>
      <c r="B8816" s="8" t="str">
        <f>HYPERLINK("https://twitter.com/esti_upay","@esti_upay")</f>
        <v>@esti_upay</v>
      </c>
      <c r="C8816" s="8" t="s">
        <v>1186</v>
      </c>
      <c r="D8816" s="8">
        <v>114</v>
      </c>
      <c r="E8816" s="8">
        <v>0</v>
      </c>
      <c r="F8816" s="8">
        <v>1380</v>
      </c>
    </row>
    <row r="8817" spans="1:6" ht="12.75">
      <c r="A8817" s="8">
        <v>43900.938125000001</v>
      </c>
      <c r="B8817" s="8" t="str">
        <f>HYPERLINK("https://twitter.com/Arif_Kachef","@Arif_Kachef")</f>
        <v>@Arif_Kachef</v>
      </c>
      <c r="C8817" s="8" t="s">
        <v>318</v>
      </c>
      <c r="D8817" s="8">
        <v>987</v>
      </c>
      <c r="E8817" s="8">
        <v>0</v>
      </c>
      <c r="F8817" s="8">
        <v>425</v>
      </c>
    </row>
    <row r="8818" spans="1:6" ht="12.75">
      <c r="A8818" s="8">
        <v>43900.937951388885</v>
      </c>
      <c r="B8818" s="8" t="str">
        <f>HYPERLINK("https://twitter.com/achmadrukmana35","@achmadrukmana35")</f>
        <v>@achmadrukmana35</v>
      </c>
      <c r="C8818" s="8" t="s">
        <v>1801</v>
      </c>
      <c r="D8818" s="8">
        <v>18</v>
      </c>
      <c r="E8818" s="8">
        <v>0</v>
      </c>
      <c r="F8818" s="8">
        <v>141</v>
      </c>
    </row>
    <row r="8819" spans="1:6" ht="12.75">
      <c r="A8819" s="8">
        <v>43900.93787037037</v>
      </c>
      <c r="B8819" s="8" t="str">
        <f>HYPERLINK("https://twitter.com/geboy_mujaeer","@geboy_mujaeer")</f>
        <v>@geboy_mujaeer</v>
      </c>
      <c r="C8819" s="8" t="s">
        <v>1801</v>
      </c>
      <c r="D8819" s="8">
        <v>18</v>
      </c>
      <c r="E8819" s="8">
        <v>0</v>
      </c>
      <c r="F8819" s="8">
        <v>1074</v>
      </c>
    </row>
    <row r="8820" spans="1:6" ht="12.75">
      <c r="A8820" s="8">
        <v>43900.937685185185</v>
      </c>
      <c r="B8820" s="8" t="str">
        <f>HYPERLINK("https://twitter.com/Iris_isis_007","@Iris_isis_007")</f>
        <v>@Iris_isis_007</v>
      </c>
      <c r="C8820" s="8" t="s">
        <v>3994</v>
      </c>
      <c r="D8820" s="8">
        <v>0</v>
      </c>
      <c r="E8820" s="8">
        <v>0</v>
      </c>
      <c r="F8820" s="8">
        <v>727</v>
      </c>
    </row>
    <row r="8821" spans="1:6" ht="12.75">
      <c r="A8821" s="8">
        <v>43900.937557870369</v>
      </c>
      <c r="B8821" s="8" t="str">
        <f>HYPERLINK("https://twitter.com/Caksoll","@Caksoll")</f>
        <v>@Caksoll</v>
      </c>
      <c r="C8821" s="8" t="s">
        <v>3414</v>
      </c>
      <c r="D8821" s="8">
        <v>13</v>
      </c>
      <c r="E8821" s="8">
        <v>0</v>
      </c>
      <c r="F8821" s="8">
        <v>839</v>
      </c>
    </row>
    <row r="8822" spans="1:6" ht="12.75">
      <c r="A8822" s="8">
        <v>43900.937476851846</v>
      </c>
      <c r="B8822" s="8" t="str">
        <f>HYPERLINK("https://twitter.com/__Ndaru__","@__Ndaru__")</f>
        <v>@__Ndaru__</v>
      </c>
      <c r="C8822" s="8" t="s">
        <v>3995</v>
      </c>
      <c r="D8822" s="8">
        <v>0</v>
      </c>
      <c r="E8822" s="8">
        <v>0</v>
      </c>
      <c r="F8822" s="8">
        <v>353</v>
      </c>
    </row>
    <row r="8823" spans="1:6" ht="12.75">
      <c r="A8823" s="8">
        <v>43900.936840277776</v>
      </c>
      <c r="B8823" s="8" t="str">
        <f>HYPERLINK("https://twitter.com/Ronin_Indo","@Ronin_Indo")</f>
        <v>@Ronin_Indo</v>
      </c>
      <c r="C8823" s="8" t="s">
        <v>1801</v>
      </c>
      <c r="D8823" s="8">
        <v>18</v>
      </c>
      <c r="E8823" s="8">
        <v>0</v>
      </c>
      <c r="F8823" s="8">
        <v>449</v>
      </c>
    </row>
    <row r="8824" spans="1:6" ht="12.75">
      <c r="A8824" s="8">
        <v>43900.936527777776</v>
      </c>
      <c r="B8824" s="8" t="str">
        <f>HYPERLINK("https://twitter.com/almiera","@almiera")</f>
        <v>@almiera</v>
      </c>
      <c r="C8824" s="8" t="s">
        <v>3996</v>
      </c>
      <c r="D8824" s="8">
        <v>0</v>
      </c>
      <c r="E8824" s="8">
        <v>0</v>
      </c>
      <c r="F8824" s="8">
        <v>580</v>
      </c>
    </row>
    <row r="8825" spans="1:6" ht="12.75">
      <c r="A8825" s="8">
        <v>43900.93650462963</v>
      </c>
      <c r="B8825" s="8" t="str">
        <f>HYPERLINK("https://twitter.com/BdyNusantara","@BdyNusantara")</f>
        <v>@BdyNusantara</v>
      </c>
      <c r="C8825" s="8" t="s">
        <v>3997</v>
      </c>
      <c r="D8825" s="8">
        <v>2</v>
      </c>
      <c r="E8825" s="8">
        <v>0</v>
      </c>
      <c r="F8825" s="8">
        <v>201</v>
      </c>
    </row>
    <row r="8826" spans="1:6" ht="12.75">
      <c r="A8826" s="8">
        <v>43900.881643518514</v>
      </c>
      <c r="B8826" s="8" t="str">
        <f>HYPERLINK("https://twitter.com/kbenaranHakiki","@kbenaranHakiki")</f>
        <v>@kbenaranHakiki</v>
      </c>
      <c r="C8826" s="8" t="s">
        <v>3998</v>
      </c>
      <c r="D8826" s="8">
        <v>0</v>
      </c>
      <c r="E8826" s="8">
        <v>0</v>
      </c>
      <c r="F8826" s="8">
        <v>1411</v>
      </c>
    </row>
    <row r="8827" spans="1:6" ht="12.75">
      <c r="A8827" s="8">
        <v>43900.88145833333</v>
      </c>
      <c r="B8827" s="8" t="str">
        <f>HYPERLINK("https://twitter.com/DellaIdol10","@DellaIdol10")</f>
        <v>@DellaIdol10</v>
      </c>
      <c r="C8827" s="8" t="s">
        <v>3999</v>
      </c>
      <c r="D8827" s="8">
        <v>0</v>
      </c>
      <c r="E8827" s="8">
        <v>1</v>
      </c>
      <c r="F8827" s="8">
        <v>1963</v>
      </c>
    </row>
    <row r="8828" spans="1:6" ht="12.75">
      <c r="A8828" s="8">
        <v>43900.88081018519</v>
      </c>
      <c r="B8828" s="8" t="str">
        <f>HYPERLINK("https://twitter.com/SLambardy","@SLambardy")</f>
        <v>@SLambardy</v>
      </c>
      <c r="C8828" s="8" t="s">
        <v>1186</v>
      </c>
      <c r="D8828" s="8">
        <v>80</v>
      </c>
      <c r="E8828" s="8">
        <v>0</v>
      </c>
      <c r="F8828" s="8">
        <v>362</v>
      </c>
    </row>
    <row r="8829" spans="1:6" ht="12.75">
      <c r="A8829" s="8">
        <v>43900.88071759259</v>
      </c>
      <c r="B8829" s="8" t="str">
        <f>HYPERLINK("https://twitter.com/azmir_ibrahim","@azmir_ibrahim")</f>
        <v>@azmir_ibrahim</v>
      </c>
      <c r="C8829" s="8" t="s">
        <v>4000</v>
      </c>
      <c r="D8829" s="8">
        <v>40</v>
      </c>
      <c r="E8829" s="8">
        <v>0</v>
      </c>
      <c r="F8829" s="8">
        <v>25</v>
      </c>
    </row>
    <row r="8830" spans="1:6" ht="12.75">
      <c r="A8830" s="8">
        <v>43900.880520833336</v>
      </c>
      <c r="B8830" s="8" t="str">
        <f>HYPERLINK("https://twitter.com/Ama13302970","@Ama13302970")</f>
        <v>@Ama13302970</v>
      </c>
      <c r="C8830" s="8" t="s">
        <v>318</v>
      </c>
      <c r="D8830" s="8">
        <v>901</v>
      </c>
      <c r="E8830" s="8">
        <v>0</v>
      </c>
      <c r="F8830" s="8">
        <v>291</v>
      </c>
    </row>
    <row r="8831" spans="1:6" ht="12.75">
      <c r="A8831" s="8">
        <v>43900.880439814813</v>
      </c>
      <c r="B8831" s="8" t="str">
        <f>HYPERLINK("https://twitter.com/irin_eryanto","@irin_eryanto")</f>
        <v>@irin_eryanto</v>
      </c>
      <c r="C8831" s="8" t="s">
        <v>4001</v>
      </c>
      <c r="D8831" s="8">
        <v>0</v>
      </c>
      <c r="E8831" s="8">
        <v>0</v>
      </c>
      <c r="F8831" s="8">
        <v>23</v>
      </c>
    </row>
    <row r="8832" spans="1:6" ht="12.75">
      <c r="A8832" s="8">
        <v>43900.879907407405</v>
      </c>
      <c r="B8832" s="8" t="str">
        <f>HYPERLINK("https://twitter.com/SaveNusantara1","@SaveNusantara1")</f>
        <v>@SaveNusantara1</v>
      </c>
      <c r="C8832" s="8" t="s">
        <v>318</v>
      </c>
      <c r="D8832" s="8">
        <v>901</v>
      </c>
      <c r="E8832" s="8">
        <v>0</v>
      </c>
      <c r="F8832" s="8">
        <v>10</v>
      </c>
    </row>
    <row r="8833" spans="1:6" ht="12.75">
      <c r="A8833" s="8">
        <v>43900.879594907412</v>
      </c>
      <c r="B8833" s="8" t="str">
        <f>HYPERLINK("https://twitter.com/MitraEki","@MitraEki")</f>
        <v>@MitraEki</v>
      </c>
      <c r="C8833" s="8" t="s">
        <v>318</v>
      </c>
      <c r="D8833" s="8">
        <v>901</v>
      </c>
      <c r="E8833" s="8">
        <v>0</v>
      </c>
      <c r="F8833" s="8">
        <v>97</v>
      </c>
    </row>
    <row r="8834" spans="1:6" ht="12.75">
      <c r="A8834" s="8">
        <v>43900.879421296297</v>
      </c>
      <c r="B8834" s="8" t="str">
        <f>HYPERLINK("https://twitter.com/Masdjodi1","@Masdjodi1")</f>
        <v>@Masdjodi1</v>
      </c>
      <c r="C8834" s="8" t="s">
        <v>318</v>
      </c>
      <c r="D8834" s="8">
        <v>901</v>
      </c>
      <c r="E8834" s="8">
        <v>0</v>
      </c>
      <c r="F8834" s="8">
        <v>748</v>
      </c>
    </row>
    <row r="8835" spans="1:6" ht="12.75">
      <c r="A8835" s="8">
        <v>43900.879004629634</v>
      </c>
      <c r="B8835" s="8" t="str">
        <f>HYPERLINK("https://twitter.com/marpaung913","@marpaung913")</f>
        <v>@marpaung913</v>
      </c>
      <c r="C8835" s="8" t="s">
        <v>4002</v>
      </c>
      <c r="D8835" s="8">
        <v>0</v>
      </c>
      <c r="E8835" s="8">
        <v>0</v>
      </c>
      <c r="F8835" s="8">
        <v>546</v>
      </c>
    </row>
    <row r="8836" spans="1:6" ht="12.75">
      <c r="A8836" s="8">
        <v>43900.878935185188</v>
      </c>
      <c r="B8836" s="8" t="str">
        <f>HYPERLINK("https://twitter.com/azzamzahidan","@azzamzahidan")</f>
        <v>@azzamzahidan</v>
      </c>
      <c r="C8836" s="8" t="s">
        <v>318</v>
      </c>
      <c r="D8836" s="8">
        <v>901</v>
      </c>
      <c r="E8836" s="8">
        <v>0</v>
      </c>
      <c r="F8836" s="8">
        <v>275</v>
      </c>
    </row>
    <row r="8837" spans="1:6" ht="12.75">
      <c r="A8837" s="8">
        <v>43900.878761574073</v>
      </c>
      <c r="B8837" s="8" t="str">
        <f>HYPERLINK("https://twitter.com/firdaus_henry","@firdaus_henry")</f>
        <v>@firdaus_henry</v>
      </c>
      <c r="C8837" s="8" t="s">
        <v>318</v>
      </c>
      <c r="D8837" s="8">
        <v>901</v>
      </c>
      <c r="E8837" s="8">
        <v>0</v>
      </c>
      <c r="F8837" s="8">
        <v>343</v>
      </c>
    </row>
    <row r="8838" spans="1:6" ht="12.75">
      <c r="A8838" s="8">
        <v>43900.878553240742</v>
      </c>
      <c r="B8838" s="8" t="str">
        <f>HYPERLINK("https://twitter.com/IzulV3","@IzulV3")</f>
        <v>@IzulV3</v>
      </c>
      <c r="C8838" s="8" t="s">
        <v>1186</v>
      </c>
      <c r="D8838" s="8">
        <v>80</v>
      </c>
      <c r="E8838" s="8">
        <v>0</v>
      </c>
      <c r="F8838" s="8">
        <v>1201</v>
      </c>
    </row>
    <row r="8839" spans="1:6" ht="12.75">
      <c r="A8839" s="8">
        <v>43900.878368055557</v>
      </c>
      <c r="B8839" s="8" t="str">
        <f>HYPERLINK("https://twitter.com/Toofaanexpress","@Toofaanexpress")</f>
        <v>@Toofaanexpress</v>
      </c>
      <c r="C8839" s="8" t="s">
        <v>4003</v>
      </c>
      <c r="D8839" s="8">
        <v>0</v>
      </c>
      <c r="E8839" s="8">
        <v>0</v>
      </c>
      <c r="F8839" s="8">
        <v>686</v>
      </c>
    </row>
    <row r="8840" spans="1:6" ht="12.75">
      <c r="A8840" s="8">
        <v>43900.878136574072</v>
      </c>
      <c r="B8840" s="8" t="str">
        <f>HYPERLINK("https://twitter.com/gojali_rachman","@gojali_rachman")</f>
        <v>@gojali_rachman</v>
      </c>
      <c r="C8840" s="8" t="s">
        <v>318</v>
      </c>
      <c r="D8840" s="8">
        <v>901</v>
      </c>
      <c r="E8840" s="8">
        <v>0</v>
      </c>
      <c r="F8840" s="8">
        <v>110</v>
      </c>
    </row>
    <row r="8841" spans="1:6" ht="12.75">
      <c r="A8841" s="8">
        <v>43900.877604166672</v>
      </c>
      <c r="B8841" s="8" t="str">
        <f>HYPERLINK("https://twitter.com/Dargomb81120150","@Dargomb81120150")</f>
        <v>@Dargomb81120150</v>
      </c>
      <c r="C8841" s="8" t="s">
        <v>318</v>
      </c>
      <c r="D8841" s="8">
        <v>901</v>
      </c>
      <c r="E8841" s="8">
        <v>0</v>
      </c>
      <c r="F8841" s="8">
        <v>39</v>
      </c>
    </row>
    <row r="8842" spans="1:6" ht="12.75">
      <c r="A8842" s="8">
        <v>43900.877442129626</v>
      </c>
      <c r="B8842" s="8" t="str">
        <f>HYPERLINK("https://twitter.com/IndahJohania","@IndahJohania")</f>
        <v>@IndahJohania</v>
      </c>
      <c r="C8842" s="8" t="s">
        <v>318</v>
      </c>
      <c r="D8842" s="8">
        <v>901</v>
      </c>
      <c r="E8842" s="8">
        <v>0</v>
      </c>
      <c r="F8842" s="8">
        <v>784</v>
      </c>
    </row>
    <row r="8843" spans="1:6" ht="12.75">
      <c r="A8843" s="8">
        <v>43900.877314814818</v>
      </c>
      <c r="B8843" s="8" t="str">
        <f>HYPERLINK("https://twitter.com/la1laha1llallah","@la1laha1llallah")</f>
        <v>@la1laha1llallah</v>
      </c>
      <c r="C8843" s="8" t="s">
        <v>1186</v>
      </c>
      <c r="D8843" s="8">
        <v>80</v>
      </c>
      <c r="E8843" s="8">
        <v>0</v>
      </c>
      <c r="F8843" s="8">
        <v>4072</v>
      </c>
    </row>
    <row r="8844" spans="1:6" ht="12.75">
      <c r="A8844" s="8">
        <v>43900.877210648148</v>
      </c>
      <c r="B8844" s="8" t="str">
        <f>HYPERLINK("https://twitter.com/mohd_afiq22","@mohd_afiq22")</f>
        <v>@mohd_afiq22</v>
      </c>
      <c r="C8844" s="8" t="s">
        <v>4004</v>
      </c>
      <c r="D8844" s="8">
        <v>11</v>
      </c>
      <c r="E8844" s="8">
        <v>0</v>
      </c>
      <c r="F8844" s="8">
        <v>338</v>
      </c>
    </row>
    <row r="8845" spans="1:6" ht="12.75">
      <c r="A8845" s="8">
        <v>43900.87700231481</v>
      </c>
      <c r="B8845" s="8" t="str">
        <f>HYPERLINK("https://twitter.com/linalintanajib","@linalintanajib")</f>
        <v>@linalintanajib</v>
      </c>
      <c r="C8845" s="8" t="s">
        <v>3050</v>
      </c>
      <c r="D8845" s="8">
        <v>140</v>
      </c>
      <c r="E8845" s="8">
        <v>0</v>
      </c>
      <c r="F8845" s="8">
        <v>18</v>
      </c>
    </row>
    <row r="8846" spans="1:6" ht="12.75">
      <c r="A8846" s="8">
        <v>43900.876956018517</v>
      </c>
      <c r="B8846" s="8" t="str">
        <f>HYPERLINK("https://twitter.com/chairilD","@chairilD")</f>
        <v>@chairilD</v>
      </c>
      <c r="C8846" s="8" t="s">
        <v>318</v>
      </c>
      <c r="D8846" s="8">
        <v>901</v>
      </c>
      <c r="E8846" s="8">
        <v>0</v>
      </c>
      <c r="F8846" s="8">
        <v>572</v>
      </c>
    </row>
    <row r="8847" spans="1:6" ht="12.75">
      <c r="A8847" s="8">
        <v>43900.876539351855</v>
      </c>
      <c r="B8847" s="8" t="str">
        <f>HYPERLINK("https://twitter.com/veraagustian_","@veraagustian_")</f>
        <v>@veraagustian_</v>
      </c>
      <c r="C8847" s="8" t="s">
        <v>1809</v>
      </c>
      <c r="D8847" s="8">
        <v>4</v>
      </c>
      <c r="E8847" s="8">
        <v>0</v>
      </c>
      <c r="F8847" s="8">
        <v>3432</v>
      </c>
    </row>
    <row r="8848" spans="1:6" ht="12.75">
      <c r="A8848" s="8">
        <v>43900.876481481479</v>
      </c>
      <c r="B8848" s="8" t="str">
        <f>HYPERLINK("https://twitter.com/sparkleroyals","@sparkleroyals")</f>
        <v>@sparkleroyals</v>
      </c>
      <c r="C8848" s="8" t="s">
        <v>4005</v>
      </c>
      <c r="D8848" s="8">
        <v>0</v>
      </c>
      <c r="E8848" s="8">
        <v>0</v>
      </c>
      <c r="F8848" s="8">
        <v>3509</v>
      </c>
    </row>
    <row r="8849" spans="1:6" ht="12.75">
      <c r="A8849" s="8">
        <v>43900.876446759255</v>
      </c>
      <c r="B8849" s="8" t="str">
        <f>HYPERLINK("https://twitter.com/HarianInhua","@HarianInhua")</f>
        <v>@HarianInhua</v>
      </c>
      <c r="C8849" s="8" t="s">
        <v>4006</v>
      </c>
      <c r="D8849" s="8">
        <v>0</v>
      </c>
      <c r="E8849" s="8">
        <v>0</v>
      </c>
      <c r="F8849" s="8">
        <v>88</v>
      </c>
    </row>
    <row r="8850" spans="1:6" ht="12.75">
      <c r="A8850" s="8">
        <v>43900.876122685186</v>
      </c>
      <c r="B8850" s="8" t="str">
        <f>HYPERLINK("https://twitter.com/_wni_","@_wni_")</f>
        <v>@_wni_</v>
      </c>
      <c r="C8850" s="8" t="s">
        <v>4007</v>
      </c>
      <c r="D8850" s="8">
        <v>0</v>
      </c>
      <c r="E8850" s="8">
        <v>1</v>
      </c>
      <c r="F8850" s="8">
        <v>22</v>
      </c>
    </row>
    <row r="8851" spans="1:6" ht="12.75">
      <c r="A8851" s="8">
        <v>43900.875937500001</v>
      </c>
      <c r="B8851" s="8" t="str">
        <f>HYPERLINK("https://twitter.com/asmaraism","@asmaraism")</f>
        <v>@asmaraism</v>
      </c>
      <c r="C8851" s="8" t="s">
        <v>4008</v>
      </c>
      <c r="D8851" s="8">
        <v>0</v>
      </c>
      <c r="E8851" s="8">
        <v>0</v>
      </c>
      <c r="F8851" s="8">
        <v>1714</v>
      </c>
    </row>
    <row r="8852" spans="1:6" ht="12.75">
      <c r="A8852" s="8">
        <v>43900.875497685185</v>
      </c>
      <c r="B8852" s="8" t="str">
        <f>HYPERLINK("https://twitter.com/Fitriansyahput9","@Fitriansyahput9")</f>
        <v>@Fitriansyahput9</v>
      </c>
      <c r="C8852" s="8" t="s">
        <v>318</v>
      </c>
      <c r="D8852" s="8">
        <v>901</v>
      </c>
      <c r="E8852" s="8">
        <v>0</v>
      </c>
      <c r="F8852" s="8">
        <v>5</v>
      </c>
    </row>
    <row r="8853" spans="1:6" ht="12.75">
      <c r="A8853" s="8">
        <v>43900.875405092593</v>
      </c>
      <c r="B8853" s="8" t="str">
        <f>HYPERLINK("https://twitter.com/RiangZeta","@RiangZeta")</f>
        <v>@RiangZeta</v>
      </c>
      <c r="C8853" s="8" t="s">
        <v>4009</v>
      </c>
      <c r="D8853" s="8">
        <v>1</v>
      </c>
      <c r="E8853" s="8">
        <v>0</v>
      </c>
      <c r="F8853" s="8">
        <v>20</v>
      </c>
    </row>
    <row r="8854" spans="1:6" ht="12.75">
      <c r="A8854" s="8">
        <v>43900.87501157407</v>
      </c>
      <c r="B8854" s="8" t="str">
        <f>HYPERLINK("https://twitter.com/Ayahbunda","@Ayahbunda")</f>
        <v>@Ayahbunda</v>
      </c>
      <c r="C8854" s="8" t="s">
        <v>4010</v>
      </c>
      <c r="D8854" s="8">
        <v>0</v>
      </c>
      <c r="E8854" s="8">
        <v>1</v>
      </c>
      <c r="F8854" s="8">
        <v>672195</v>
      </c>
    </row>
    <row r="8855" spans="1:6" ht="12.75">
      <c r="A8855" s="8">
        <v>43900.874965277777</v>
      </c>
      <c r="B8855" s="8" t="str">
        <f>HYPERLINK("https://twitter.com/Prawitadisastra","@Prawitadisastra")</f>
        <v>@Prawitadisastra</v>
      </c>
      <c r="C8855" s="8" t="s">
        <v>1186</v>
      </c>
      <c r="D8855" s="8">
        <v>80</v>
      </c>
      <c r="E8855" s="8">
        <v>0</v>
      </c>
      <c r="F8855" s="8">
        <v>830</v>
      </c>
    </row>
    <row r="8856" spans="1:6" ht="12.75">
      <c r="A8856" s="8">
        <v>43900.874606481477</v>
      </c>
      <c r="B8856" s="8" t="str">
        <f>HYPERLINK("https://twitter.com/yusufhasmi74","@yusufhasmi74")</f>
        <v>@yusufhasmi74</v>
      </c>
      <c r="C8856" s="8" t="s">
        <v>4011</v>
      </c>
      <c r="D8856" s="8">
        <v>4</v>
      </c>
      <c r="E8856" s="8">
        <v>0</v>
      </c>
      <c r="F8856" s="8">
        <v>196</v>
      </c>
    </row>
    <row r="8857" spans="1:6" ht="12.75">
      <c r="A8857" s="8">
        <v>43900.874293981484</v>
      </c>
      <c r="B8857" s="8" t="str">
        <f>HYPERLINK("https://twitter.com/ittihadm007","@ittihadm007")</f>
        <v>@ittihadm007</v>
      </c>
      <c r="C8857" s="8" t="s">
        <v>318</v>
      </c>
      <c r="D8857" s="8">
        <v>901</v>
      </c>
      <c r="E8857" s="8">
        <v>0</v>
      </c>
      <c r="F8857" s="8">
        <v>65</v>
      </c>
    </row>
    <row r="8858" spans="1:6" ht="12.75">
      <c r="A8858" s="8">
        <v>43900.874166666668</v>
      </c>
      <c r="B8858" s="8" t="str">
        <f>HYPERLINK("https://twitter.com/Crystal95836602","@Crystal95836602")</f>
        <v>@Crystal95836602</v>
      </c>
      <c r="C8858" s="8" t="s">
        <v>4012</v>
      </c>
      <c r="D8858" s="8">
        <v>0</v>
      </c>
      <c r="E8858" s="8">
        <v>0</v>
      </c>
      <c r="F8858" s="8">
        <v>5</v>
      </c>
    </row>
    <row r="8859" spans="1:6" ht="12.75">
      <c r="A8859" s="8">
        <v>43900.873576388884</v>
      </c>
      <c r="B8859" s="8" t="str">
        <f>HYPERLINK("https://twitter.com/raka4","@raka4")</f>
        <v>@raka4</v>
      </c>
      <c r="C8859" s="8" t="s">
        <v>318</v>
      </c>
      <c r="D8859" s="8">
        <v>901</v>
      </c>
      <c r="E8859" s="8">
        <v>0</v>
      </c>
      <c r="F8859" s="8">
        <v>451</v>
      </c>
    </row>
    <row r="8860" spans="1:6" ht="12.75">
      <c r="A8860" s="8">
        <v>43900.873194444444</v>
      </c>
      <c r="B8860" s="8" t="str">
        <f>HYPERLINK("https://twitter.com/Indrazaidan1","@Indrazaidan1")</f>
        <v>@Indrazaidan1</v>
      </c>
      <c r="C8860" s="8" t="s">
        <v>318</v>
      </c>
      <c r="D8860" s="8">
        <v>901</v>
      </c>
      <c r="E8860" s="8">
        <v>0</v>
      </c>
      <c r="F8860" s="8">
        <v>476</v>
      </c>
    </row>
    <row r="8861" spans="1:6" ht="12.75">
      <c r="A8861" s="8">
        <v>43900.873159722221</v>
      </c>
      <c r="B8861" s="8" t="str">
        <f>HYPERLINK("https://twitter.com/bangsiattt","@bangsiattt")</f>
        <v>@bangsiattt</v>
      </c>
      <c r="C8861" s="8" t="s">
        <v>4013</v>
      </c>
      <c r="D8861" s="8">
        <v>0</v>
      </c>
      <c r="E8861" s="8">
        <v>0</v>
      </c>
      <c r="F8861" s="8">
        <v>138</v>
      </c>
    </row>
    <row r="8862" spans="1:6" ht="12.75">
      <c r="A8862" s="8">
        <v>43900.87299768519</v>
      </c>
      <c r="B8862" s="8" t="str">
        <f>HYPERLINK("https://twitter.com/jaya1perkasa","@jaya1perkasa")</f>
        <v>@jaya1perkasa</v>
      </c>
      <c r="C8862" s="8" t="s">
        <v>1186</v>
      </c>
      <c r="D8862" s="8">
        <v>80</v>
      </c>
      <c r="E8862" s="8">
        <v>0</v>
      </c>
      <c r="F8862" s="8">
        <v>626</v>
      </c>
    </row>
    <row r="8863" spans="1:6" ht="12.75">
      <c r="A8863" s="8">
        <v>43900.872974537036</v>
      </c>
      <c r="B8863" s="8" t="str">
        <f>HYPERLINK("https://twitter.com/MYEmbPrague","@MYEmbPrague")</f>
        <v>@MYEmbPrague</v>
      </c>
      <c r="C8863" s="8" t="s">
        <v>4000</v>
      </c>
      <c r="D8863" s="8">
        <v>40</v>
      </c>
      <c r="E8863" s="8">
        <v>0</v>
      </c>
      <c r="F8863" s="8">
        <v>61</v>
      </c>
    </row>
    <row r="8864" spans="1:6" ht="12.75">
      <c r="A8864" s="8">
        <v>43900.872361111113</v>
      </c>
      <c r="B8864" s="8" t="str">
        <f>HYPERLINK("https://twitter.com/teraslampung","@teraslampung")</f>
        <v>@teraslampung</v>
      </c>
      <c r="C8864" s="8" t="s">
        <v>4014</v>
      </c>
      <c r="D8864" s="8">
        <v>0</v>
      </c>
      <c r="E8864" s="8">
        <v>0</v>
      </c>
      <c r="F8864" s="8">
        <v>3154</v>
      </c>
    </row>
    <row r="8865" spans="1:6" ht="12.75">
      <c r="A8865" s="8">
        <v>43900.872164351851</v>
      </c>
      <c r="B8865" s="8" t="str">
        <f>HYPERLINK("https://twitter.com/anidaaasb","@anidaaasb")</f>
        <v>@anidaaasb</v>
      </c>
      <c r="C8865" s="8" t="s">
        <v>4015</v>
      </c>
      <c r="D8865" s="8">
        <v>0</v>
      </c>
      <c r="E8865" s="8">
        <v>0</v>
      </c>
      <c r="F8865" s="8">
        <v>1887</v>
      </c>
    </row>
    <row r="8866" spans="1:6" ht="12.75">
      <c r="A8866" s="8">
        <v>43900.871782407412</v>
      </c>
      <c r="B8866" s="8" t="str">
        <f>HYPERLINK("https://twitter.com/Betadin7","@Betadin7")</f>
        <v>@Betadin7</v>
      </c>
      <c r="C8866" s="8" t="s">
        <v>1186</v>
      </c>
      <c r="D8866" s="8">
        <v>80</v>
      </c>
      <c r="E8866" s="8">
        <v>0</v>
      </c>
      <c r="F8866" s="8">
        <v>289</v>
      </c>
    </row>
    <row r="8867" spans="1:6" ht="12.75">
      <c r="A8867" s="8">
        <v>43900.871527777781</v>
      </c>
      <c r="B8867" s="8" t="str">
        <f>HYPERLINK("https://twitter.com/KBurger79","@KBurger79")</f>
        <v>@KBurger79</v>
      </c>
      <c r="C8867" s="8" t="s">
        <v>318</v>
      </c>
      <c r="D8867" s="8">
        <v>901</v>
      </c>
      <c r="E8867" s="8">
        <v>0</v>
      </c>
      <c r="F8867" s="8">
        <v>715</v>
      </c>
    </row>
    <row r="8868" spans="1:6" ht="12.75">
      <c r="A8868" s="8">
        <v>43900.871481481481</v>
      </c>
      <c r="B8868" s="8" t="str">
        <f>HYPERLINK("https://twitter.com/yazid_fadhlan","@yazid_fadhlan")</f>
        <v>@yazid_fadhlan</v>
      </c>
      <c r="C8868" s="8" t="s">
        <v>4016</v>
      </c>
      <c r="D8868" s="8">
        <v>0</v>
      </c>
      <c r="E8868" s="8">
        <v>0</v>
      </c>
      <c r="F8868" s="8">
        <v>640</v>
      </c>
    </row>
    <row r="8869" spans="1:6" ht="12.75">
      <c r="A8869" s="8">
        <v>43900.87054398148</v>
      </c>
      <c r="B8869" s="8" t="str">
        <f>HYPERLINK("https://twitter.com/Opreker","@Opreker")</f>
        <v>@Opreker</v>
      </c>
      <c r="C8869" s="8" t="s">
        <v>1186</v>
      </c>
      <c r="D8869" s="8">
        <v>80</v>
      </c>
      <c r="E8869" s="8">
        <v>0</v>
      </c>
      <c r="F8869" s="8">
        <v>159</v>
      </c>
    </row>
    <row r="8870" spans="1:6" ht="12.75">
      <c r="A8870" s="8">
        <v>43900.870393518519</v>
      </c>
      <c r="B8870" s="8" t="str">
        <f>HYPERLINK("https://twitter.com/Sana08158888","@Sana08158888")</f>
        <v>@Sana08158888</v>
      </c>
      <c r="C8870" s="8" t="s">
        <v>318</v>
      </c>
      <c r="D8870" s="8">
        <v>901</v>
      </c>
      <c r="E8870" s="8">
        <v>0</v>
      </c>
      <c r="F8870" s="8">
        <v>4</v>
      </c>
    </row>
    <row r="8871" spans="1:6" ht="12.75">
      <c r="A8871" s="8">
        <v>43900.870011574079</v>
      </c>
      <c r="B8871" s="8" t="str">
        <f>HYPERLINK("https://twitter.com/chandrajuni82","@chandrajuni82")</f>
        <v>@chandrajuni82</v>
      </c>
      <c r="C8871" s="8" t="s">
        <v>4017</v>
      </c>
      <c r="D8871" s="8">
        <v>0</v>
      </c>
      <c r="E8871" s="8">
        <v>0</v>
      </c>
      <c r="F8871" s="8">
        <v>231</v>
      </c>
    </row>
    <row r="8872" spans="1:6" ht="12.75">
      <c r="A8872" s="8">
        <v>43900.869768518518</v>
      </c>
      <c r="B8872" s="8" t="str">
        <f>HYPERLINK("https://twitter.com/sumit_bagadia","@sumit_bagadia")</f>
        <v>@sumit_bagadia</v>
      </c>
      <c r="C8872" s="8" t="s">
        <v>4018</v>
      </c>
      <c r="D8872" s="8">
        <v>0</v>
      </c>
      <c r="E8872" s="8">
        <v>1</v>
      </c>
      <c r="F8872" s="8">
        <v>8</v>
      </c>
    </row>
    <row r="8873" spans="1:6" ht="12.75">
      <c r="A8873" s="8">
        <v>43900.869502314818</v>
      </c>
      <c r="B8873" s="8" t="str">
        <f>HYPERLINK("https://twitter.com/rofiudinmtaufiq","@rofiudinmtaufiq")</f>
        <v>@rofiudinmtaufiq</v>
      </c>
      <c r="C8873" s="8" t="s">
        <v>3925</v>
      </c>
      <c r="D8873" s="8">
        <v>4</v>
      </c>
      <c r="E8873" s="8">
        <v>0</v>
      </c>
      <c r="F8873" s="8">
        <v>712</v>
      </c>
    </row>
    <row r="8874" spans="1:6" ht="12.75">
      <c r="A8874" s="8">
        <v>43900.869062500002</v>
      </c>
      <c r="B8874" s="8" t="str">
        <f>HYPERLINK("https://twitter.com/BroAntony206","@BroAntony206")</f>
        <v>@BroAntony206</v>
      </c>
      <c r="C8874" s="8" t="s">
        <v>4019</v>
      </c>
      <c r="D8874" s="8">
        <v>0</v>
      </c>
      <c r="E8874" s="8">
        <v>0</v>
      </c>
      <c r="F8874" s="8">
        <v>155</v>
      </c>
    </row>
    <row r="8875" spans="1:6" ht="12.75">
      <c r="A8875" s="8">
        <v>43900.868668981479</v>
      </c>
      <c r="B8875" s="8" t="str">
        <f>HYPERLINK("https://twitter.com/voaislam","@voaislam")</f>
        <v>@voaislam</v>
      </c>
      <c r="C8875" s="8" t="s">
        <v>4020</v>
      </c>
      <c r="D8875" s="8">
        <v>1</v>
      </c>
      <c r="E8875" s="8">
        <v>1</v>
      </c>
      <c r="F8875" s="8">
        <v>87838</v>
      </c>
    </row>
    <row r="8876" spans="1:6" ht="12.75">
      <c r="A8876" s="8">
        <v>43900.868449074071</v>
      </c>
      <c r="B8876" s="8" t="str">
        <f>HYPERLINK("https://twitter.com/andi_815","@andi_815")</f>
        <v>@andi_815</v>
      </c>
      <c r="C8876" s="8" t="s">
        <v>4021</v>
      </c>
      <c r="D8876" s="8">
        <v>6</v>
      </c>
      <c r="E8876" s="8">
        <v>0</v>
      </c>
      <c r="F8876" s="8">
        <v>376</v>
      </c>
    </row>
    <row r="8877" spans="1:6" ht="12.75">
      <c r="A8877" s="8">
        <v>43900.868113425924</v>
      </c>
      <c r="B8877" s="8" t="str">
        <f>HYPERLINK("https://twitter.com/sutrisnoam","@sutrisnoam")</f>
        <v>@sutrisnoam</v>
      </c>
      <c r="C8877" s="8" t="s">
        <v>3190</v>
      </c>
      <c r="D8877" s="8">
        <v>121</v>
      </c>
      <c r="E8877" s="8">
        <v>0</v>
      </c>
      <c r="F8877" s="8">
        <v>1389</v>
      </c>
    </row>
    <row r="8878" spans="1:6" ht="12.75">
      <c r="A8878" s="8">
        <v>43900.868078703701</v>
      </c>
      <c r="B8878" s="8" t="str">
        <f>HYPERLINK("https://twitter.com/KapanLagicom","@KapanLagicom")</f>
        <v>@KapanLagicom</v>
      </c>
      <c r="C8878" s="8" t="s">
        <v>4022</v>
      </c>
      <c r="D8878" s="8">
        <v>0</v>
      </c>
      <c r="E8878" s="8">
        <v>0</v>
      </c>
      <c r="F8878" s="8">
        <v>2097029</v>
      </c>
    </row>
    <row r="8879" spans="1:6" ht="12.75">
      <c r="A8879" s="8">
        <v>43900.867928240739</v>
      </c>
      <c r="B8879" s="8" t="str">
        <f>HYPERLINK("https://twitter.com/MRidwanNst11","@MRidwanNst11")</f>
        <v>@MRidwanNst11</v>
      </c>
      <c r="C8879" s="8" t="s">
        <v>318</v>
      </c>
      <c r="D8879" s="8">
        <v>901</v>
      </c>
      <c r="E8879" s="8">
        <v>0</v>
      </c>
      <c r="F8879" s="8">
        <v>27</v>
      </c>
    </row>
    <row r="8880" spans="1:6" ht="12.75">
      <c r="A8880" s="8">
        <v>43900.867222222223</v>
      </c>
      <c r="B8880" s="8" t="str">
        <f>HYPERLINK("https://twitter.com/BangAgam","@BangAgam")</f>
        <v>@BangAgam</v>
      </c>
      <c r="C8880" s="8" t="s">
        <v>4023</v>
      </c>
      <c r="D8880" s="8">
        <v>0</v>
      </c>
      <c r="E8880" s="8">
        <v>0</v>
      </c>
      <c r="F8880" s="8">
        <v>1206</v>
      </c>
    </row>
    <row r="8881" spans="1:6" ht="12.75">
      <c r="A8881" s="8">
        <v>43900.8671875</v>
      </c>
      <c r="B8881" s="8" t="str">
        <f>HYPERLINK("https://twitter.com/92157352kL_Bg33","@92157352kL_Bg33")</f>
        <v>@92157352kL_Bg33</v>
      </c>
      <c r="C8881" s="8" t="s">
        <v>3925</v>
      </c>
      <c r="D8881" s="8">
        <v>4</v>
      </c>
      <c r="E8881" s="8">
        <v>0</v>
      </c>
      <c r="F8881" s="8">
        <v>7367</v>
      </c>
    </row>
    <row r="8882" spans="1:6" ht="12.75">
      <c r="A8882" s="8">
        <v>43900.86717592593</v>
      </c>
      <c r="B8882" s="8" t="str">
        <f>HYPERLINK("https://twitter.com/lubnarahman_","@lubnarahman_")</f>
        <v>@lubnarahman_</v>
      </c>
      <c r="C8882" s="8" t="s">
        <v>318</v>
      </c>
      <c r="D8882" s="8">
        <v>901</v>
      </c>
      <c r="E8882" s="8">
        <v>0</v>
      </c>
      <c r="F8882" s="8">
        <v>272</v>
      </c>
    </row>
    <row r="8883" spans="1:6" ht="12.75">
      <c r="A8883" s="8">
        <v>43900.867013888885</v>
      </c>
      <c r="B8883" s="8" t="str">
        <f>HYPERLINK("https://twitter.com/randydavrian7","@randydavrian7")</f>
        <v>@randydavrian7</v>
      </c>
      <c r="C8883" s="8" t="s">
        <v>4024</v>
      </c>
      <c r="D8883" s="8">
        <v>0</v>
      </c>
      <c r="E8883" s="8">
        <v>1</v>
      </c>
      <c r="F8883" s="8">
        <v>136</v>
      </c>
    </row>
    <row r="8884" spans="1:6" ht="12.75">
      <c r="A8884" s="8">
        <v>43900.866678240738</v>
      </c>
      <c r="B8884" s="8" t="str">
        <f>HYPERLINK("https://twitter.com/_wni_","@_wni_")</f>
        <v>@_wni_</v>
      </c>
      <c r="C8884" s="8" t="s">
        <v>4025</v>
      </c>
      <c r="D8884" s="8">
        <v>7641</v>
      </c>
      <c r="E8884" s="8">
        <v>0</v>
      </c>
      <c r="F8884" s="8">
        <v>22</v>
      </c>
    </row>
    <row r="8885" spans="1:6" ht="12.75">
      <c r="A8885" s="8">
        <v>43900.866631944446</v>
      </c>
      <c r="B8885" s="8" t="str">
        <f>HYPERLINK("https://twitter.com/aditdemarco","@aditdemarco")</f>
        <v>@aditdemarco</v>
      </c>
      <c r="C8885" s="8" t="s">
        <v>318</v>
      </c>
      <c r="D8885" s="8">
        <v>901</v>
      </c>
      <c r="E8885" s="8">
        <v>0</v>
      </c>
      <c r="F8885" s="8">
        <v>439</v>
      </c>
    </row>
    <row r="8886" spans="1:6" ht="12.75">
      <c r="A8886" s="8">
        <v>43900.865983796291</v>
      </c>
      <c r="B8886" s="8" t="str">
        <f>HYPERLINK("https://twitter.com/MAlexandriet","@MAlexandriet")</f>
        <v>@MAlexandriet</v>
      </c>
      <c r="C8886" s="8" t="s">
        <v>3190</v>
      </c>
      <c r="D8886" s="8">
        <v>121</v>
      </c>
      <c r="E8886" s="8">
        <v>0</v>
      </c>
      <c r="F8886" s="8">
        <v>208</v>
      </c>
    </row>
    <row r="8887" spans="1:6" ht="12.75">
      <c r="A8887" s="8">
        <v>43900.865949074076</v>
      </c>
      <c r="B8887" s="8" t="str">
        <f>HYPERLINK("https://twitter.com/gath24","@gath24")</f>
        <v>@gath24</v>
      </c>
      <c r="C8887" s="8" t="s">
        <v>1186</v>
      </c>
      <c r="D8887" s="8">
        <v>80</v>
      </c>
      <c r="E8887" s="8">
        <v>0</v>
      </c>
      <c r="F8887" s="8">
        <v>896</v>
      </c>
    </row>
    <row r="8888" spans="1:6" ht="12.75">
      <c r="A8888" s="8">
        <v>43900.865127314813</v>
      </c>
      <c r="B8888" s="8" t="str">
        <f>HYPERLINK("https://twitter.com/FitriVigo","@FitriVigo")</f>
        <v>@FitriVigo</v>
      </c>
      <c r="C8888" s="8" t="s">
        <v>4026</v>
      </c>
      <c r="D8888" s="8">
        <v>0</v>
      </c>
      <c r="E8888" s="8">
        <v>0</v>
      </c>
      <c r="F8888" s="8">
        <v>242</v>
      </c>
    </row>
    <row r="8889" spans="1:6" ht="12.75">
      <c r="A8889" s="8">
        <v>43900.865127314813</v>
      </c>
      <c r="B8889" s="8" t="str">
        <f>HYPERLINK("https://twitter.com/DiasporaXxi","@DiasporaXxi")</f>
        <v>@DiasporaXxi</v>
      </c>
      <c r="C8889" s="8" t="s">
        <v>4027</v>
      </c>
      <c r="D8889" s="8">
        <v>0</v>
      </c>
      <c r="E8889" s="8">
        <v>0</v>
      </c>
      <c r="F8889" s="8">
        <v>51</v>
      </c>
    </row>
    <row r="8890" spans="1:6" ht="12.75">
      <c r="A8890" s="8">
        <v>43900.865127314813</v>
      </c>
      <c r="B8890" s="8" t="str">
        <f>HYPERLINK("https://twitter.com/dhedew39","@dhedew39")</f>
        <v>@dhedew39</v>
      </c>
      <c r="C8890" s="8" t="s">
        <v>318</v>
      </c>
      <c r="D8890" s="8">
        <v>901</v>
      </c>
      <c r="E8890" s="8">
        <v>0</v>
      </c>
      <c r="F8890" s="8">
        <v>68</v>
      </c>
    </row>
    <row r="8891" spans="1:6" ht="12.75">
      <c r="A8891" s="8">
        <v>43900.864895833336</v>
      </c>
      <c r="B8891" s="8" t="str">
        <f>HYPERLINK("https://twitter.com/AgusSyairi5","@AgusSyairi5")</f>
        <v>@AgusSyairi5</v>
      </c>
      <c r="C8891" s="8" t="s">
        <v>318</v>
      </c>
      <c r="D8891" s="8">
        <v>901</v>
      </c>
      <c r="E8891" s="8">
        <v>0</v>
      </c>
      <c r="F8891" s="8">
        <v>123</v>
      </c>
    </row>
    <row r="8892" spans="1:6" ht="12.75">
      <c r="A8892" s="8">
        <v>43900.864837962959</v>
      </c>
      <c r="B8892" s="8" t="str">
        <f>HYPERLINK("https://twitter.com/mrahmatono","@mrahmatono")</f>
        <v>@mrahmatono</v>
      </c>
      <c r="C8892" s="8" t="s">
        <v>3820</v>
      </c>
      <c r="D8892" s="8">
        <v>25</v>
      </c>
      <c r="E8892" s="8">
        <v>0</v>
      </c>
      <c r="F8892" s="8">
        <v>687</v>
      </c>
    </row>
    <row r="8893" spans="1:6" ht="12.75">
      <c r="A8893" s="8">
        <v>43900.864710648151</v>
      </c>
      <c r="B8893" s="8" t="str">
        <f>HYPERLINK("https://twitter.com/zoobabystation","@zoobabystation")</f>
        <v>@zoobabystation</v>
      </c>
      <c r="C8893" s="8" t="s">
        <v>3579</v>
      </c>
      <c r="D8893" s="8">
        <v>1</v>
      </c>
      <c r="E8893" s="8">
        <v>0</v>
      </c>
      <c r="F8893" s="8">
        <v>940</v>
      </c>
    </row>
    <row r="8894" spans="1:6" ht="12.75">
      <c r="A8894" s="8">
        <v>43900.86409722222</v>
      </c>
      <c r="B8894" s="8" t="str">
        <f>HYPERLINK("https://twitter.com/Elina_Vay","@Elina_Vay")</f>
        <v>@Elina_Vay</v>
      </c>
      <c r="C8894" s="8" t="s">
        <v>4028</v>
      </c>
      <c r="D8894" s="8">
        <v>1</v>
      </c>
      <c r="E8894" s="8">
        <v>9</v>
      </c>
      <c r="F8894" s="8">
        <v>21435</v>
      </c>
    </row>
    <row r="8895" spans="1:6" ht="12.75">
      <c r="A8895" s="8">
        <v>43900.864039351851</v>
      </c>
      <c r="B8895" s="8" t="str">
        <f>HYPERLINK("https://twitter.com/__interlac_","@__interlac_")</f>
        <v>@__interlac_</v>
      </c>
      <c r="C8895" s="8" t="s">
        <v>3925</v>
      </c>
      <c r="D8895" s="8">
        <v>4</v>
      </c>
      <c r="E8895" s="8">
        <v>0</v>
      </c>
      <c r="F8895" s="8">
        <v>7370</v>
      </c>
    </row>
    <row r="8896" spans="1:6" ht="12.75">
      <c r="A8896" s="8">
        <v>43900.863946759258</v>
      </c>
      <c r="B8896" s="8" t="str">
        <f>HYPERLINK("https://twitter.com/budakpetonk","@budakpetonk")</f>
        <v>@budakpetonk</v>
      </c>
      <c r="C8896" s="8" t="s">
        <v>318</v>
      </c>
      <c r="D8896" s="8">
        <v>901</v>
      </c>
      <c r="E8896" s="8">
        <v>0</v>
      </c>
      <c r="F8896" s="8">
        <v>69</v>
      </c>
    </row>
    <row r="8897" spans="1:6" ht="12.75">
      <c r="A8897" s="8">
        <v>43900.863877314812</v>
      </c>
      <c r="B8897" s="8" t="str">
        <f>HYPERLINK("https://twitter.com/newchebonkoke","@newchebonkoke")</f>
        <v>@newchebonkoke</v>
      </c>
      <c r="C8897" s="8" t="s">
        <v>318</v>
      </c>
      <c r="D8897" s="8">
        <v>901</v>
      </c>
      <c r="E8897" s="8">
        <v>0</v>
      </c>
      <c r="F8897" s="8">
        <v>38</v>
      </c>
    </row>
    <row r="8898" spans="1:6" ht="12.75">
      <c r="A8898" s="8">
        <v>43900.863761574074</v>
      </c>
      <c r="B8898" s="8" t="str">
        <f>HYPERLINK("https://twitter.com/eben_heizer","@eben_heizer")</f>
        <v>@eben_heizer</v>
      </c>
      <c r="C8898" s="8" t="s">
        <v>3190</v>
      </c>
      <c r="D8898" s="8">
        <v>121</v>
      </c>
      <c r="E8898" s="8">
        <v>0</v>
      </c>
      <c r="F8898" s="8">
        <v>1621</v>
      </c>
    </row>
    <row r="8899" spans="1:6" ht="12.75">
      <c r="A8899" s="8">
        <v>43900.863645833335</v>
      </c>
      <c r="B8899" s="8" t="str">
        <f>HYPERLINK("https://twitter.com/econich4","@econich4")</f>
        <v>@econich4</v>
      </c>
      <c r="C8899" s="8" t="s">
        <v>318</v>
      </c>
      <c r="D8899" s="8">
        <v>901</v>
      </c>
      <c r="E8899" s="8">
        <v>0</v>
      </c>
      <c r="F8899" s="8">
        <v>406</v>
      </c>
    </row>
    <row r="8900" spans="1:6" ht="12.75">
      <c r="A8900" s="8">
        <v>43900.863622685181</v>
      </c>
      <c r="B8900" s="8" t="str">
        <f>HYPERLINK("https://twitter.com/brianwantsme","@brianwantsme")</f>
        <v>@brianwantsme</v>
      </c>
      <c r="C8900" s="8" t="s">
        <v>4029</v>
      </c>
      <c r="D8900" s="8">
        <v>0</v>
      </c>
      <c r="E8900" s="8">
        <v>0</v>
      </c>
      <c r="F8900" s="8">
        <v>617</v>
      </c>
    </row>
    <row r="8901" spans="1:6" ht="12.75">
      <c r="A8901" s="8">
        <v>43900.863483796296</v>
      </c>
      <c r="B8901" s="8" t="str">
        <f>HYPERLINK("https://twitter.com/arjuno_ireng01","@arjuno_ireng01")</f>
        <v>@arjuno_ireng01</v>
      </c>
      <c r="C8901" s="8" t="s">
        <v>4030</v>
      </c>
      <c r="D8901" s="8">
        <v>5</v>
      </c>
      <c r="E8901" s="8">
        <v>0</v>
      </c>
      <c r="F8901" s="8">
        <v>11272</v>
      </c>
    </row>
    <row r="8902" spans="1:6" ht="12.75">
      <c r="A8902" s="8">
        <v>43900.862662037034</v>
      </c>
      <c r="B8902" s="8" t="str">
        <f>HYPERLINK("https://twitter.com/KBRIDamaskus","@KBRIDamaskus")</f>
        <v>@KBRIDamaskus</v>
      </c>
      <c r="C8902" s="8" t="s">
        <v>4031</v>
      </c>
      <c r="D8902" s="8">
        <v>0</v>
      </c>
      <c r="E8902" s="8">
        <v>0</v>
      </c>
      <c r="F8902" s="8">
        <v>342</v>
      </c>
    </row>
    <row r="8903" spans="1:6" ht="12.75">
      <c r="A8903" s="8">
        <v>43900.862430555557</v>
      </c>
      <c r="B8903" s="8" t="str">
        <f>HYPERLINK("https://twitter.com/trinugroho162","@trinugroho162")</f>
        <v>@trinugroho162</v>
      </c>
      <c r="C8903" s="8" t="s">
        <v>1186</v>
      </c>
      <c r="D8903" s="8">
        <v>80</v>
      </c>
      <c r="E8903" s="8">
        <v>0</v>
      </c>
      <c r="F8903" s="8">
        <v>1720</v>
      </c>
    </row>
    <row r="8904" spans="1:6" ht="12.75">
      <c r="A8904" s="8">
        <v>43900.86215277778</v>
      </c>
      <c r="B8904" s="8" t="str">
        <f>HYPERLINK("https://twitter.com/yusufhasmi74","@yusufhasmi74")</f>
        <v>@yusufhasmi74</v>
      </c>
      <c r="C8904" s="8" t="s">
        <v>1186</v>
      </c>
      <c r="D8904" s="8">
        <v>80</v>
      </c>
      <c r="E8904" s="8">
        <v>0</v>
      </c>
      <c r="F8904" s="8">
        <v>196</v>
      </c>
    </row>
    <row r="8905" spans="1:6" ht="12.75">
      <c r="A8905" s="8">
        <v>43900.862083333333</v>
      </c>
      <c r="B8905" s="8" t="str">
        <f>HYPERLINK("https://twitter.com/Setyawatiwinar1","@Setyawatiwinar1")</f>
        <v>@Setyawatiwinar1</v>
      </c>
      <c r="C8905" s="8" t="s">
        <v>1186</v>
      </c>
      <c r="D8905" s="8">
        <v>80</v>
      </c>
      <c r="E8905" s="8">
        <v>0</v>
      </c>
      <c r="F8905" s="8">
        <v>996</v>
      </c>
    </row>
    <row r="8906" spans="1:6" ht="12.75">
      <c r="A8906" s="8">
        <v>43900.861828703702</v>
      </c>
      <c r="B8906" s="8" t="str">
        <f>HYPERLINK("https://twitter.com/narkosun","@narkosun")</f>
        <v>@narkosun</v>
      </c>
      <c r="C8906" s="8" t="s">
        <v>4032</v>
      </c>
      <c r="D8906" s="8">
        <v>13</v>
      </c>
      <c r="E8906" s="8">
        <v>0</v>
      </c>
      <c r="F8906" s="8">
        <v>31425</v>
      </c>
    </row>
    <row r="8907" spans="1:6" ht="12.75">
      <c r="A8907" s="8">
        <v>43900.860937500001</v>
      </c>
      <c r="B8907" s="8" t="str">
        <f>HYPERLINK("https://twitter.com/__interlac_","@__interlac_")</f>
        <v>@__interlac_</v>
      </c>
      <c r="C8907" s="8" t="s">
        <v>4033</v>
      </c>
      <c r="D8907" s="8">
        <v>4</v>
      </c>
      <c r="E8907" s="8">
        <v>14</v>
      </c>
      <c r="F8907" s="8">
        <v>7370</v>
      </c>
    </row>
    <row r="8908" spans="1:6" ht="12.75">
      <c r="A8908" s="8">
        <v>43900.860798611116</v>
      </c>
      <c r="B8908" s="8" t="str">
        <f>HYPERLINK("https://twitter.com/mugiya_wardhany","@mugiya_wardhany")</f>
        <v>@mugiya_wardhany</v>
      </c>
      <c r="C8908" s="8" t="s">
        <v>318</v>
      </c>
      <c r="D8908" s="8">
        <v>901</v>
      </c>
      <c r="E8908" s="8">
        <v>0</v>
      </c>
      <c r="F8908" s="8">
        <v>1707</v>
      </c>
    </row>
    <row r="8909" spans="1:6" ht="12.75">
      <c r="A8909" s="8">
        <v>43900.86005787037</v>
      </c>
      <c r="B8909" s="8" t="str">
        <f>HYPERLINK("https://twitter.com/SuestySSitungk2","@SuestySSitungk2")</f>
        <v>@SuestySSitungk2</v>
      </c>
      <c r="C8909" s="8" t="s">
        <v>4034</v>
      </c>
      <c r="D8909" s="8">
        <v>0</v>
      </c>
      <c r="E8909" s="8">
        <v>0</v>
      </c>
      <c r="F8909" s="8">
        <v>94</v>
      </c>
    </row>
    <row r="8910" spans="1:6" ht="12.75">
      <c r="A8910" s="8">
        <v>43900.859664351854</v>
      </c>
      <c r="B8910" s="8" t="str">
        <f>HYPERLINK("https://twitter.com/ekahsaptarina","@ekahsaptarina")</f>
        <v>@ekahsaptarina</v>
      </c>
      <c r="C8910" s="8" t="s">
        <v>1186</v>
      </c>
      <c r="D8910" s="8">
        <v>80</v>
      </c>
      <c r="E8910" s="8">
        <v>0</v>
      </c>
      <c r="F8910" s="8">
        <v>72</v>
      </c>
    </row>
    <row r="8911" spans="1:6" ht="12.75">
      <c r="A8911" s="8">
        <v>43900.859027777777</v>
      </c>
      <c r="B8911" s="8" t="str">
        <f>HYPERLINK("https://twitter.com/hamba0019","@hamba0019")</f>
        <v>@hamba0019</v>
      </c>
      <c r="C8911" s="8" t="s">
        <v>318</v>
      </c>
      <c r="D8911" s="8">
        <v>901</v>
      </c>
      <c r="E8911" s="8">
        <v>0</v>
      </c>
      <c r="F8911" s="8">
        <v>104</v>
      </c>
    </row>
    <row r="8912" spans="1:6" ht="12.75">
      <c r="A8912" s="8">
        <v>43900.85900462963</v>
      </c>
      <c r="B8912" s="8" t="str">
        <f>HYPERLINK("https://twitter.com/PermataJingga12","@PermataJingga12")</f>
        <v>@PermataJingga12</v>
      </c>
      <c r="C8912" s="8" t="s">
        <v>318</v>
      </c>
      <c r="D8912" s="8">
        <v>901</v>
      </c>
      <c r="E8912" s="8">
        <v>0</v>
      </c>
      <c r="F8912" s="8">
        <v>317</v>
      </c>
    </row>
    <row r="8913" spans="1:6" ht="12.75">
      <c r="A8913" s="8">
        <v>43900.858831018515</v>
      </c>
      <c r="B8913" s="8" t="str">
        <f>HYPERLINK("https://twitter.com/Sadewa36887274","@Sadewa36887274")</f>
        <v>@Sadewa36887274</v>
      </c>
      <c r="C8913" s="8" t="s">
        <v>318</v>
      </c>
      <c r="D8913" s="8">
        <v>901</v>
      </c>
      <c r="E8913" s="8">
        <v>0</v>
      </c>
      <c r="F8913" s="8">
        <v>100</v>
      </c>
    </row>
    <row r="8914" spans="1:6" ht="12.75">
      <c r="A8914" s="8">
        <v>43900.858749999999</v>
      </c>
      <c r="B8914" s="8" t="str">
        <f>HYPERLINK("https://twitter.com/tiaklose7","@tiaklose7")</f>
        <v>@tiaklose7</v>
      </c>
      <c r="C8914" s="8" t="s">
        <v>4021</v>
      </c>
      <c r="D8914" s="8">
        <v>6</v>
      </c>
      <c r="E8914" s="8">
        <v>0</v>
      </c>
      <c r="F8914" s="8">
        <v>524</v>
      </c>
    </row>
    <row r="8915" spans="1:6" ht="12.75">
      <c r="A8915" s="8">
        <v>43900.858252314814</v>
      </c>
      <c r="B8915" s="8" t="str">
        <f>HYPERLINK("https://twitter.com/doremi_mitsuo","@doremi_mitsuo")</f>
        <v>@doremi_mitsuo</v>
      </c>
      <c r="C8915" s="8" t="s">
        <v>4021</v>
      </c>
      <c r="D8915" s="8">
        <v>6</v>
      </c>
      <c r="E8915" s="8">
        <v>0</v>
      </c>
      <c r="F8915" s="8">
        <v>802</v>
      </c>
    </row>
    <row r="8916" spans="1:6" ht="12.75">
      <c r="A8916" s="8">
        <v>43900.858182870375</v>
      </c>
      <c r="B8916" s="8" t="str">
        <f>HYPERLINK("https://twitter.com/Aa10S4","@Aa10S4")</f>
        <v>@Aa10S4</v>
      </c>
      <c r="C8916" s="8" t="s">
        <v>318</v>
      </c>
      <c r="D8916" s="8">
        <v>901</v>
      </c>
      <c r="E8916" s="8">
        <v>0</v>
      </c>
      <c r="F8916" s="8">
        <v>177</v>
      </c>
    </row>
    <row r="8917" spans="1:6" ht="12.75">
      <c r="A8917" s="8">
        <v>43900.857986111107</v>
      </c>
      <c r="B8917" s="8" t="str">
        <f>HYPERLINK("https://twitter.com/echoPiR","@echoPiR")</f>
        <v>@echoPiR</v>
      </c>
      <c r="C8917" s="8" t="s">
        <v>4035</v>
      </c>
      <c r="D8917" s="8">
        <v>0</v>
      </c>
      <c r="E8917" s="8">
        <v>0</v>
      </c>
      <c r="F8917" s="8">
        <v>165</v>
      </c>
    </row>
    <row r="8918" spans="1:6" ht="12.75">
      <c r="A8918" s="8">
        <v>43900.857905092591</v>
      </c>
      <c r="B8918" s="8" t="str">
        <f>HYPERLINK("https://twitter.com/bangkitriambada","@bangkitriambada")</f>
        <v>@bangkitriambada</v>
      </c>
      <c r="C8918" s="8" t="s">
        <v>4011</v>
      </c>
      <c r="D8918" s="8">
        <v>4</v>
      </c>
      <c r="E8918" s="8">
        <v>0</v>
      </c>
      <c r="F8918" s="8">
        <v>207</v>
      </c>
    </row>
    <row r="8919" spans="1:6" ht="12.75">
      <c r="A8919" s="8">
        <v>43900.857858796298</v>
      </c>
      <c r="B8919" s="8" t="str">
        <f>HYPERLINK("https://twitter.com/wmudrana","@wmudrana")</f>
        <v>@wmudrana</v>
      </c>
      <c r="C8919" s="8" t="s">
        <v>4036</v>
      </c>
      <c r="D8919" s="8">
        <v>0</v>
      </c>
      <c r="E8919" s="8">
        <v>0</v>
      </c>
      <c r="F8919" s="8">
        <v>31</v>
      </c>
    </row>
    <row r="8920" spans="1:6" ht="12.75">
      <c r="A8920" s="8">
        <v>43900.857858796298</v>
      </c>
      <c r="B8920" s="8" t="str">
        <f>HYPERLINK("https://twitter.com/democrazy222","@democrazy222")</f>
        <v>@democrazy222</v>
      </c>
      <c r="C8920" s="8" t="s">
        <v>1186</v>
      </c>
      <c r="D8920" s="8">
        <v>80</v>
      </c>
      <c r="E8920" s="8">
        <v>0</v>
      </c>
      <c r="F8920" s="8">
        <v>64</v>
      </c>
    </row>
    <row r="8921" spans="1:6" ht="12.75">
      <c r="A8921" s="8">
        <v>43900.857812499999</v>
      </c>
      <c r="B8921" s="8" t="str">
        <f>HYPERLINK("https://twitter.com/syarifptk","@syarifptk")</f>
        <v>@syarifptk</v>
      </c>
      <c r="C8921" s="8" t="s">
        <v>1186</v>
      </c>
      <c r="D8921" s="8">
        <v>80</v>
      </c>
      <c r="E8921" s="8">
        <v>0</v>
      </c>
      <c r="F8921" s="8">
        <v>1603</v>
      </c>
    </row>
    <row r="8922" spans="1:6" ht="12.75">
      <c r="A8922" s="8">
        <v>43900.857627314814</v>
      </c>
      <c r="B8922" s="8" t="str">
        <f>HYPERLINK("https://twitter.com/achmadhss","@achmadhss")</f>
        <v>@achmadhss</v>
      </c>
      <c r="C8922" s="8" t="s">
        <v>4037</v>
      </c>
      <c r="D8922" s="8">
        <v>0</v>
      </c>
      <c r="E8922" s="8">
        <v>0</v>
      </c>
      <c r="F8922" s="8">
        <v>214</v>
      </c>
    </row>
    <row r="8923" spans="1:6" ht="12.75">
      <c r="A8923" s="8">
        <v>43900.857418981483</v>
      </c>
      <c r="B8923" s="8" t="str">
        <f>HYPERLINK("https://twitter.com/ipak_hana","@ipak_hana")</f>
        <v>@ipak_hana</v>
      </c>
      <c r="C8923" s="8" t="s">
        <v>4038</v>
      </c>
      <c r="D8923" s="8">
        <v>27</v>
      </c>
      <c r="E8923" s="8">
        <v>0</v>
      </c>
      <c r="F8923" s="8">
        <v>291</v>
      </c>
    </row>
    <row r="8924" spans="1:6" ht="12.75">
      <c r="A8924" s="8">
        <v>43900.85737268519</v>
      </c>
      <c r="B8924" s="8" t="str">
        <f>HYPERLINK("https://twitter.com/Aja16Wilman","@Aja16Wilman")</f>
        <v>@Aja16Wilman</v>
      </c>
      <c r="C8924" s="8" t="s">
        <v>318</v>
      </c>
      <c r="D8924" s="8">
        <v>901</v>
      </c>
      <c r="E8924" s="8">
        <v>0</v>
      </c>
      <c r="F8924" s="8">
        <v>30</v>
      </c>
    </row>
    <row r="8925" spans="1:6" ht="12.75">
      <c r="A8925" s="8">
        <v>43900.857337962967</v>
      </c>
      <c r="B8925" s="8" t="str">
        <f>HYPERLINK("https://twitter.com/kbenaranHakiki","@kbenaranHakiki")</f>
        <v>@kbenaranHakiki</v>
      </c>
      <c r="C8925" s="8" t="s">
        <v>4011</v>
      </c>
      <c r="D8925" s="8">
        <v>4</v>
      </c>
      <c r="E8925" s="8">
        <v>0</v>
      </c>
      <c r="F8925" s="8">
        <v>1411</v>
      </c>
    </row>
    <row r="8926" spans="1:6" ht="12.75">
      <c r="A8926" s="8">
        <v>43900.840081018519</v>
      </c>
      <c r="B8926" s="8" t="str">
        <f>HYPERLINK("https://twitter.com/triismyname","@triismyname")</f>
        <v>@triismyname</v>
      </c>
      <c r="C8926" s="8" t="s">
        <v>318</v>
      </c>
      <c r="D8926" s="8">
        <v>845</v>
      </c>
      <c r="E8926" s="8">
        <v>0</v>
      </c>
      <c r="F8926" s="8">
        <v>851</v>
      </c>
    </row>
    <row r="8927" spans="1:6" ht="12.75">
      <c r="A8927" s="8">
        <v>43900.839479166665</v>
      </c>
      <c r="B8927" s="8" t="str">
        <f>HYPERLINK("https://twitter.com/BromocorahGrCeb","@BromocorahGrCeb")</f>
        <v>@BromocorahGrCeb</v>
      </c>
      <c r="C8927" s="8" t="s">
        <v>4039</v>
      </c>
      <c r="D8927" s="8">
        <v>0</v>
      </c>
      <c r="E8927" s="8">
        <v>0</v>
      </c>
      <c r="F8927" s="8">
        <v>4178</v>
      </c>
    </row>
    <row r="8928" spans="1:6" ht="12.75">
      <c r="A8928" s="8">
        <v>43900.839351851857</v>
      </c>
      <c r="B8928" s="8" t="str">
        <f>HYPERLINK("https://twitter.com/mr_iwn","@mr_iwn")</f>
        <v>@mr_iwn</v>
      </c>
      <c r="C8928" s="8" t="s">
        <v>3190</v>
      </c>
      <c r="D8928" s="8">
        <v>114</v>
      </c>
      <c r="E8928" s="8">
        <v>0</v>
      </c>
      <c r="F8928" s="8">
        <v>80</v>
      </c>
    </row>
    <row r="8929" spans="1:6" ht="12.75">
      <c r="A8929" s="8">
        <v>43900.839236111111</v>
      </c>
      <c r="B8929" s="8" t="str">
        <f>HYPERLINK("https://twitter.com/pradaivon","@pradaivon")</f>
        <v>@pradaivon</v>
      </c>
      <c r="C8929" s="8" t="s">
        <v>3317</v>
      </c>
      <c r="D8929" s="8">
        <v>1</v>
      </c>
      <c r="E8929" s="8">
        <v>0</v>
      </c>
      <c r="F8929" s="8">
        <v>1683</v>
      </c>
    </row>
    <row r="8930" spans="1:6" ht="12.75">
      <c r="A8930" s="8">
        <v>43900.838333333333</v>
      </c>
      <c r="B8930" s="8" t="str">
        <f>HYPERLINK("https://twitter.com/Covit9","@Covit9")</f>
        <v>@Covit9</v>
      </c>
      <c r="C8930" s="8" t="s">
        <v>318</v>
      </c>
      <c r="D8930" s="8">
        <v>845</v>
      </c>
      <c r="E8930" s="8">
        <v>0</v>
      </c>
      <c r="F8930" s="8">
        <v>59</v>
      </c>
    </row>
    <row r="8931" spans="1:6" ht="12.75">
      <c r="A8931" s="8">
        <v>43900.837962962964</v>
      </c>
      <c r="B8931" s="8" t="str">
        <f>HYPERLINK("https://twitter.com/ocin71","@ocin71")</f>
        <v>@ocin71</v>
      </c>
      <c r="C8931" s="8" t="s">
        <v>1186</v>
      </c>
      <c r="D8931" s="8">
        <v>53</v>
      </c>
      <c r="E8931" s="8">
        <v>0</v>
      </c>
      <c r="F8931" s="8">
        <v>349</v>
      </c>
    </row>
    <row r="8932" spans="1:6" ht="12.75">
      <c r="A8932" s="8">
        <v>43900.837210648147</v>
      </c>
      <c r="B8932" s="8" t="str">
        <f>HYPERLINK("https://twitter.com/BerniKusen","@BerniKusen")</f>
        <v>@BerniKusen</v>
      </c>
      <c r="C8932" s="8" t="s">
        <v>318</v>
      </c>
      <c r="D8932" s="8">
        <v>845</v>
      </c>
      <c r="E8932" s="8">
        <v>0</v>
      </c>
      <c r="F8932" s="8">
        <v>2175</v>
      </c>
    </row>
    <row r="8933" spans="1:6" ht="12.75">
      <c r="A8933" s="8">
        <v>43900.837187500001</v>
      </c>
      <c r="B8933" s="8" t="str">
        <f>HYPERLINK("https://twitter.com/suaradotcom","@suaradotcom")</f>
        <v>@suaradotcom</v>
      </c>
      <c r="C8933" s="8" t="s">
        <v>4040</v>
      </c>
      <c r="D8933" s="8">
        <v>0</v>
      </c>
      <c r="E8933" s="8">
        <v>0</v>
      </c>
      <c r="F8933" s="8">
        <v>24409</v>
      </c>
    </row>
    <row r="8934" spans="1:6" ht="12.75">
      <c r="A8934" s="8">
        <v>43900.836134259254</v>
      </c>
      <c r="B8934" s="8" t="str">
        <f>HYPERLINK("https://twitter.com/Realitarakyat01","@Realitarakyat01")</f>
        <v>@Realitarakyat01</v>
      </c>
      <c r="C8934" s="8" t="s">
        <v>4041</v>
      </c>
      <c r="D8934" s="8">
        <v>0</v>
      </c>
      <c r="E8934" s="8">
        <v>0</v>
      </c>
      <c r="F8934" s="8">
        <v>128</v>
      </c>
    </row>
    <row r="8935" spans="1:6" ht="12.75">
      <c r="A8935" s="8">
        <v>43900.835555555561</v>
      </c>
      <c r="B8935" s="8" t="str">
        <f>HYPERLINK("https://twitter.com/Iam_Trying_","@Iam_Trying_")</f>
        <v>@Iam_Trying_</v>
      </c>
      <c r="C8935" s="8" t="s">
        <v>4042</v>
      </c>
      <c r="D8935" s="8">
        <v>0</v>
      </c>
      <c r="E8935" s="8">
        <v>0</v>
      </c>
      <c r="F8935" s="8">
        <v>133</v>
      </c>
    </row>
    <row r="8936" spans="1:6" ht="12.75">
      <c r="A8936" s="8">
        <v>43900.835381944446</v>
      </c>
      <c r="B8936" s="8" t="str">
        <f>HYPERLINK("https://twitter.com/AgusSuharjaya","@AgusSuharjaya")</f>
        <v>@AgusSuharjaya</v>
      </c>
      <c r="C8936" s="8" t="s">
        <v>318</v>
      </c>
      <c r="D8936" s="8">
        <v>845</v>
      </c>
      <c r="E8936" s="8">
        <v>0</v>
      </c>
      <c r="F8936" s="8">
        <v>394</v>
      </c>
    </row>
    <row r="8937" spans="1:6" ht="12.75">
      <c r="A8937" s="8">
        <v>43900.834895833337</v>
      </c>
      <c r="B8937" s="8" t="str">
        <f>HYPERLINK("https://twitter.com/PakIsal1","@PakIsal1")</f>
        <v>@PakIsal1</v>
      </c>
      <c r="C8937" s="8" t="s">
        <v>1186</v>
      </c>
      <c r="D8937" s="8">
        <v>53</v>
      </c>
      <c r="E8937" s="8">
        <v>0</v>
      </c>
      <c r="F8937" s="8">
        <v>447</v>
      </c>
    </row>
    <row r="8938" spans="1:6" ht="12.75">
      <c r="A8938" s="8">
        <v>43900.834560185191</v>
      </c>
      <c r="B8938" s="8" t="str">
        <f>HYPERLINK("https://twitter.com/pemantau69","@pemantau69")</f>
        <v>@pemantau69</v>
      </c>
      <c r="C8938" s="8" t="s">
        <v>318</v>
      </c>
      <c r="D8938" s="8">
        <v>845</v>
      </c>
      <c r="E8938" s="8">
        <v>0</v>
      </c>
      <c r="F8938" s="8">
        <v>101</v>
      </c>
    </row>
    <row r="8939" spans="1:6" ht="12.75">
      <c r="A8939" s="8">
        <v>43900.834097222221</v>
      </c>
      <c r="B8939" s="8" t="str">
        <f>HYPERLINK("https://twitter.com/me__yudis","@me__yudis")</f>
        <v>@me__yudis</v>
      </c>
      <c r="C8939" s="8" t="s">
        <v>3190</v>
      </c>
      <c r="D8939" s="8">
        <v>114</v>
      </c>
      <c r="E8939" s="8">
        <v>0</v>
      </c>
      <c r="F8939" s="8">
        <v>1652</v>
      </c>
    </row>
    <row r="8940" spans="1:6" ht="12.75">
      <c r="A8940" s="8">
        <v>43900.834039351852</v>
      </c>
      <c r="B8940" s="8" t="str">
        <f>HYPERLINK("https://twitter.com/Giajolie4","@Giajolie4")</f>
        <v>@Giajolie4</v>
      </c>
      <c r="C8940" s="8" t="s">
        <v>4043</v>
      </c>
      <c r="D8940" s="8">
        <v>0</v>
      </c>
      <c r="E8940" s="8">
        <v>0</v>
      </c>
      <c r="F8940" s="8">
        <v>18</v>
      </c>
    </row>
    <row r="8941" spans="1:6" ht="12.75">
      <c r="A8941" s="8">
        <v>43900.83384259259</v>
      </c>
      <c r="B8941" s="8" t="str">
        <f>HYPERLINK("https://twitter.com/StalistS","@StalistS")</f>
        <v>@StalistS</v>
      </c>
      <c r="C8941" s="8" t="s">
        <v>1186</v>
      </c>
      <c r="D8941" s="8">
        <v>53</v>
      </c>
      <c r="E8941" s="8">
        <v>0</v>
      </c>
      <c r="F8941" s="8">
        <v>1809</v>
      </c>
    </row>
    <row r="8942" spans="1:6" ht="12.75">
      <c r="A8942" s="8">
        <v>43900.833310185189</v>
      </c>
      <c r="B8942" s="8" t="str">
        <f>HYPERLINK("https://twitter.com/rajesh4980","@rajesh4980")</f>
        <v>@rajesh4980</v>
      </c>
      <c r="C8942" s="8" t="s">
        <v>4044</v>
      </c>
      <c r="D8942" s="8">
        <v>3</v>
      </c>
      <c r="E8942" s="8">
        <v>0</v>
      </c>
      <c r="F8942" s="8">
        <v>1333</v>
      </c>
    </row>
    <row r="8943" spans="1:6" ht="12.75">
      <c r="A8943" s="8">
        <v>43900.833055555559</v>
      </c>
      <c r="B8943" s="8" t="str">
        <f>HYPERLINK("https://twitter.com/Maskuri67751467","@Maskuri67751467")</f>
        <v>@Maskuri67751467</v>
      </c>
      <c r="C8943" s="8" t="s">
        <v>318</v>
      </c>
      <c r="D8943" s="8">
        <v>845</v>
      </c>
      <c r="E8943" s="8">
        <v>0</v>
      </c>
      <c r="F8943" s="8">
        <v>475</v>
      </c>
    </row>
    <row r="8944" spans="1:6" ht="12.75">
      <c r="A8944" s="8">
        <v>43900.832303240742</v>
      </c>
      <c r="B8944" s="8" t="str">
        <f>HYPERLINK("https://twitter.com/KATADATAcoid","@KATADATAcoid")</f>
        <v>@KATADATAcoid</v>
      </c>
      <c r="C8944" s="8" t="s">
        <v>4045</v>
      </c>
      <c r="D8944" s="8">
        <v>0</v>
      </c>
      <c r="E8944" s="8">
        <v>0</v>
      </c>
      <c r="F8944" s="8">
        <v>42045</v>
      </c>
    </row>
    <row r="8945" spans="1:6" ht="12.75">
      <c r="A8945" s="8">
        <v>43900.831724537042</v>
      </c>
      <c r="B8945" s="8" t="str">
        <f>HYPERLINK("https://twitter.com/harakatuna","@harakatuna")</f>
        <v>@harakatuna</v>
      </c>
      <c r="C8945" s="8" t="s">
        <v>4046</v>
      </c>
      <c r="D8945" s="8">
        <v>0</v>
      </c>
      <c r="E8945" s="8">
        <v>0</v>
      </c>
      <c r="F8945" s="8">
        <v>418</v>
      </c>
    </row>
    <row r="8946" spans="1:6" ht="12.75">
      <c r="A8946" s="8">
        <v>43900.831550925926</v>
      </c>
      <c r="B8946" s="8" t="str">
        <f>HYPERLINK("https://twitter.com/liaknwcs","@liaknwcs")</f>
        <v>@liaknwcs</v>
      </c>
      <c r="C8946" s="8" t="s">
        <v>4047</v>
      </c>
      <c r="D8946" s="8">
        <v>0</v>
      </c>
      <c r="E8946" s="8">
        <v>0</v>
      </c>
      <c r="F8946" s="8">
        <v>3242</v>
      </c>
    </row>
    <row r="8947" spans="1:6" ht="12.75">
      <c r="A8947" s="8">
        <v>43900.830671296295</v>
      </c>
      <c r="B8947" s="8" t="str">
        <f>HYPERLINK("https://twitter.com/Herry_satria02","@Herry_satria02")</f>
        <v>@Herry_satria02</v>
      </c>
      <c r="C8947" s="8" t="s">
        <v>318</v>
      </c>
      <c r="D8947" s="8">
        <v>845</v>
      </c>
      <c r="E8947" s="8">
        <v>0</v>
      </c>
      <c r="F8947" s="8">
        <v>220</v>
      </c>
    </row>
    <row r="8948" spans="1:6" ht="12.75">
      <c r="A8948" s="8">
        <v>43900.830555555556</v>
      </c>
      <c r="B8948" s="8" t="str">
        <f>HYPERLINK("https://twitter.com/djadasjah","@djadasjah")</f>
        <v>@djadasjah</v>
      </c>
      <c r="C8948" s="8" t="s">
        <v>1186</v>
      </c>
      <c r="D8948" s="8">
        <v>53</v>
      </c>
      <c r="E8948" s="8">
        <v>0</v>
      </c>
      <c r="F8948" s="8">
        <v>533</v>
      </c>
    </row>
    <row r="8949" spans="1:6" ht="12.75">
      <c r="A8949" s="8">
        <v>43900.830393518518</v>
      </c>
      <c r="B8949" s="8" t="str">
        <f>HYPERLINK("https://twitter.com/ArfahArhandy","@ArfahArhandy")</f>
        <v>@ArfahArhandy</v>
      </c>
      <c r="C8949" s="8" t="s">
        <v>4048</v>
      </c>
      <c r="D8949" s="8">
        <v>4</v>
      </c>
      <c r="E8949" s="8">
        <v>0</v>
      </c>
      <c r="F8949" s="8">
        <v>254</v>
      </c>
    </row>
    <row r="8950" spans="1:6" ht="12.75">
      <c r="A8950" s="8">
        <v>43900.83011574074</v>
      </c>
      <c r="B8950" s="8" t="str">
        <f>HYPERLINK("https://twitter.com/indraxcahya","@indraxcahya")</f>
        <v>@indraxcahya</v>
      </c>
      <c r="C8950" s="8" t="s">
        <v>4049</v>
      </c>
      <c r="D8950" s="8">
        <v>0</v>
      </c>
      <c r="E8950" s="8">
        <v>0</v>
      </c>
      <c r="F8950" s="8">
        <v>923</v>
      </c>
    </row>
    <row r="8951" spans="1:6" ht="12.75">
      <c r="A8951" s="8">
        <v>43900.829722222217</v>
      </c>
      <c r="B8951" s="8" t="str">
        <f>HYPERLINK("https://twitter.com/EdwinOs68707223","@EdwinOs68707223")</f>
        <v>@EdwinOs68707223</v>
      </c>
      <c r="C8951" s="8" t="s">
        <v>318</v>
      </c>
      <c r="D8951" s="8">
        <v>845</v>
      </c>
      <c r="E8951" s="8">
        <v>0</v>
      </c>
      <c r="F8951" s="8">
        <v>6</v>
      </c>
    </row>
    <row r="8952" spans="1:6" ht="12.75">
      <c r="A8952" s="8">
        <v>43900.829340277778</v>
      </c>
      <c r="B8952" s="8" t="str">
        <f>HYPERLINK("https://twitter.com/heiibulbdog","@heiibulbdog")</f>
        <v>@heiibulbdog</v>
      </c>
      <c r="C8952" s="8" t="s">
        <v>295</v>
      </c>
      <c r="D8952" s="8">
        <v>74</v>
      </c>
      <c r="E8952" s="8">
        <v>0</v>
      </c>
      <c r="F8952" s="8">
        <v>198</v>
      </c>
    </row>
    <row r="8953" spans="1:6" ht="12.75">
      <c r="A8953" s="8">
        <v>43900.82913194444</v>
      </c>
      <c r="B8953" s="8" t="str">
        <f>HYPERLINK("https://twitter.com/mezzofortee","@mezzofortee")</f>
        <v>@mezzofortee</v>
      </c>
      <c r="C8953" s="8" t="s">
        <v>4050</v>
      </c>
      <c r="D8953" s="8">
        <v>0</v>
      </c>
      <c r="E8953" s="8">
        <v>0</v>
      </c>
      <c r="F8953" s="8">
        <v>52</v>
      </c>
    </row>
    <row r="8954" spans="1:6" ht="12.75">
      <c r="A8954" s="8">
        <v>43900.828935185185</v>
      </c>
      <c r="B8954" s="8" t="str">
        <f>HYPERLINK("https://twitter.com/GiorgioGargiul2","@GiorgioGargiul2")</f>
        <v>@GiorgioGargiul2</v>
      </c>
      <c r="C8954" s="8" t="s">
        <v>4051</v>
      </c>
      <c r="D8954" s="8">
        <v>0</v>
      </c>
      <c r="E8954" s="8">
        <v>0</v>
      </c>
      <c r="F8954" s="8">
        <v>26</v>
      </c>
    </row>
    <row r="8955" spans="1:6" ht="12.75">
      <c r="A8955" s="8">
        <v>43900.828518518523</v>
      </c>
      <c r="B8955" s="8" t="str">
        <f>HYPERLINK("https://twitter.com/H3N1_BangoR","@H3N1_BangoR")</f>
        <v>@H3N1_BangoR</v>
      </c>
      <c r="C8955" s="8" t="s">
        <v>3126</v>
      </c>
      <c r="D8955" s="8">
        <v>326</v>
      </c>
      <c r="E8955" s="8">
        <v>0</v>
      </c>
      <c r="F8955" s="8">
        <v>693</v>
      </c>
    </row>
    <row r="8956" spans="1:6" ht="12.75">
      <c r="A8956" s="8">
        <v>43900.828321759254</v>
      </c>
      <c r="B8956" s="8" t="str">
        <f>HYPERLINK("https://twitter.com/ahmadir17321659","@ahmadir17321659")</f>
        <v>@ahmadir17321659</v>
      </c>
      <c r="C8956" s="8" t="s">
        <v>1186</v>
      </c>
      <c r="D8956" s="8">
        <v>53</v>
      </c>
      <c r="E8956" s="8">
        <v>0</v>
      </c>
      <c r="F8956" s="8">
        <v>100</v>
      </c>
    </row>
    <row r="8957" spans="1:6" ht="12.75">
      <c r="A8957" s="8">
        <v>43900.827939814815</v>
      </c>
      <c r="B8957" s="8" t="str">
        <f>HYPERLINK("https://twitter.com/Nats20720602","@Nats20720602")</f>
        <v>@Nats20720602</v>
      </c>
      <c r="C8957" s="8" t="s">
        <v>4052</v>
      </c>
      <c r="D8957" s="8">
        <v>0</v>
      </c>
      <c r="E8957" s="8">
        <v>0</v>
      </c>
      <c r="F8957" s="8">
        <v>53</v>
      </c>
    </row>
    <row r="8958" spans="1:6" ht="12.75">
      <c r="A8958" s="8">
        <v>43900.8278125</v>
      </c>
      <c r="B8958" s="8" t="str">
        <f>HYPERLINK("https://twitter.com/tatiana_orsa","@tatiana_orsa")</f>
        <v>@tatiana_orsa</v>
      </c>
      <c r="C8958" s="8" t="s">
        <v>4053</v>
      </c>
      <c r="D8958" s="8">
        <v>0</v>
      </c>
      <c r="E8958" s="8">
        <v>0</v>
      </c>
      <c r="F8958" s="8">
        <v>242</v>
      </c>
    </row>
    <row r="8959" spans="1:6" ht="12.75">
      <c r="A8959" s="8">
        <v>43900.826331018514</v>
      </c>
      <c r="B8959" s="8" t="str">
        <f>HYPERLINK("https://twitter.com/CebongInsaf2","@CebongInsaf2")</f>
        <v>@CebongInsaf2</v>
      </c>
      <c r="C8959" s="8" t="s">
        <v>1186</v>
      </c>
      <c r="D8959" s="8">
        <v>53</v>
      </c>
      <c r="E8959" s="8">
        <v>0</v>
      </c>
      <c r="F8959" s="8">
        <v>544</v>
      </c>
    </row>
    <row r="8960" spans="1:6" ht="12.75">
      <c r="A8960" s="8">
        <v>43900.825949074075</v>
      </c>
      <c r="B8960" s="8" t="str">
        <f>HYPERLINK("https://twitter.com/franswijaya34","@franswijaya34")</f>
        <v>@franswijaya34</v>
      </c>
      <c r="C8960" s="8" t="s">
        <v>3190</v>
      </c>
      <c r="D8960" s="8">
        <v>114</v>
      </c>
      <c r="E8960" s="8">
        <v>0</v>
      </c>
      <c r="F8960" s="8">
        <v>198</v>
      </c>
    </row>
    <row r="8961" spans="1:6" ht="12.75">
      <c r="A8961" s="8">
        <v>43900.825682870374</v>
      </c>
      <c r="B8961" s="8" t="str">
        <f>HYPERLINK("https://twitter.com/teraslampung","@teraslampung")</f>
        <v>@teraslampung</v>
      </c>
      <c r="C8961" s="8" t="s">
        <v>4054</v>
      </c>
      <c r="D8961" s="8">
        <v>0</v>
      </c>
      <c r="E8961" s="8">
        <v>0</v>
      </c>
      <c r="F8961" s="8">
        <v>3154</v>
      </c>
    </row>
    <row r="8962" spans="1:6" ht="12.75">
      <c r="A8962" s="8">
        <v>43900.824965277774</v>
      </c>
      <c r="B8962" s="8" t="str">
        <f>HYPERLINK("https://twitter.com/ibnuhan1ff_","@ibnuhan1ff_")</f>
        <v>@ibnuhan1ff_</v>
      </c>
      <c r="C8962" s="8" t="s">
        <v>4055</v>
      </c>
      <c r="D8962" s="8">
        <v>0</v>
      </c>
      <c r="E8962" s="8">
        <v>0</v>
      </c>
      <c r="F8962" s="8">
        <v>92</v>
      </c>
    </row>
    <row r="8963" spans="1:6" ht="12.75">
      <c r="A8963" s="8">
        <v>43900.824872685189</v>
      </c>
      <c r="B8963" s="8" t="str">
        <f>HYPERLINK("https://twitter.com/Awie_Nawir","@Awie_Nawir")</f>
        <v>@Awie_Nawir</v>
      </c>
      <c r="C8963" s="8" t="s">
        <v>1186</v>
      </c>
      <c r="D8963" s="8">
        <v>53</v>
      </c>
      <c r="E8963" s="8">
        <v>0</v>
      </c>
      <c r="F8963" s="8">
        <v>169</v>
      </c>
    </row>
    <row r="8964" spans="1:6" ht="12.75">
      <c r="A8964" s="8">
        <v>43900.824675925927</v>
      </c>
      <c r="B8964" s="8" t="str">
        <f>HYPERLINK("https://twitter.com/FendyZayyan","@FendyZayyan")</f>
        <v>@FendyZayyan</v>
      </c>
      <c r="C8964" s="8" t="s">
        <v>318</v>
      </c>
      <c r="D8964" s="8">
        <v>845</v>
      </c>
      <c r="E8964" s="8">
        <v>0</v>
      </c>
      <c r="F8964" s="8">
        <v>15</v>
      </c>
    </row>
    <row r="8965" spans="1:6" ht="12.75">
      <c r="A8965" s="8">
        <v>43900.824513888889</v>
      </c>
      <c r="B8965" s="8" t="str">
        <f>HYPERLINK("https://twitter.com/akundihackmulu","@akundihackmulu")</f>
        <v>@akundihackmulu</v>
      </c>
      <c r="C8965" s="8" t="s">
        <v>318</v>
      </c>
      <c r="D8965" s="8">
        <v>845</v>
      </c>
      <c r="E8965" s="8">
        <v>0</v>
      </c>
      <c r="F8965" s="8">
        <v>4</v>
      </c>
    </row>
    <row r="8966" spans="1:6" ht="12.75">
      <c r="A8966" s="8">
        <v>43900.824270833335</v>
      </c>
      <c r="B8966" s="8" t="str">
        <f>HYPERLINK("https://twitter.com/bamby9999","@bamby9999")</f>
        <v>@bamby9999</v>
      </c>
      <c r="C8966" s="8" t="s">
        <v>318</v>
      </c>
      <c r="D8966" s="8">
        <v>845</v>
      </c>
      <c r="E8966" s="8">
        <v>0</v>
      </c>
      <c r="F8966" s="8">
        <v>176</v>
      </c>
    </row>
    <row r="8967" spans="1:6" ht="12.75">
      <c r="A8967" s="8">
        <v>43900.823807870373</v>
      </c>
      <c r="B8967" s="8" t="str">
        <f t="shared" ref="B8967:B8968" si="147">HYPERLINK("https://twitter.com/H6024ciIkrom","@H6024ciIkrom")</f>
        <v>@H6024ciIkrom</v>
      </c>
      <c r="C8967" s="8" t="s">
        <v>318</v>
      </c>
      <c r="D8967" s="8">
        <v>845</v>
      </c>
      <c r="E8967" s="8">
        <v>0</v>
      </c>
      <c r="F8967" s="8">
        <v>112</v>
      </c>
    </row>
    <row r="8968" spans="1:6" ht="12.75">
      <c r="A8968" s="8">
        <v>43900.823715277773</v>
      </c>
      <c r="B8968" s="8" t="str">
        <f t="shared" si="147"/>
        <v>@H6024ciIkrom</v>
      </c>
      <c r="C8968" s="8" t="s">
        <v>3820</v>
      </c>
      <c r="D8968" s="8">
        <v>24</v>
      </c>
      <c r="E8968" s="8">
        <v>0</v>
      </c>
      <c r="F8968" s="8">
        <v>112</v>
      </c>
    </row>
    <row r="8969" spans="1:6" ht="12.75">
      <c r="A8969" s="8">
        <v>43900.82340277778</v>
      </c>
      <c r="B8969" s="8" t="str">
        <f>HYPERLINK("https://twitter.com/Seprizol2","@Seprizol2")</f>
        <v>@Seprizol2</v>
      </c>
      <c r="C8969" s="8" t="s">
        <v>1186</v>
      </c>
      <c r="D8969" s="8">
        <v>53</v>
      </c>
      <c r="E8969" s="8">
        <v>0</v>
      </c>
      <c r="F8969" s="8">
        <v>567</v>
      </c>
    </row>
    <row r="8970" spans="1:6" ht="12.75">
      <c r="A8970" s="8">
        <v>43900.822939814811</v>
      </c>
      <c r="B8970" s="8" t="str">
        <f>HYPERLINK("https://twitter.com/YoyokSubandriy3","@YoyokSubandriy3")</f>
        <v>@YoyokSubandriy3</v>
      </c>
      <c r="C8970" s="8" t="s">
        <v>4056</v>
      </c>
      <c r="D8970" s="8">
        <v>7</v>
      </c>
      <c r="E8970" s="8">
        <v>0</v>
      </c>
      <c r="F8970" s="8">
        <v>1338</v>
      </c>
    </row>
    <row r="8971" spans="1:6" ht="12.75">
      <c r="A8971" s="8">
        <v>43900.822488425925</v>
      </c>
      <c r="B8971" s="8" t="str">
        <f>HYPERLINK("https://twitter.com/KATADATAcoid","@KATADATAcoid")</f>
        <v>@KATADATAcoid</v>
      </c>
      <c r="C8971" s="8" t="s">
        <v>4057</v>
      </c>
      <c r="D8971" s="8">
        <v>0</v>
      </c>
      <c r="E8971" s="8">
        <v>0</v>
      </c>
      <c r="F8971" s="8">
        <v>42045</v>
      </c>
    </row>
    <row r="8972" spans="1:6" ht="12.75">
      <c r="A8972" s="8">
        <v>43900.82240740741</v>
      </c>
      <c r="B8972" s="8" t="str">
        <f>HYPERLINK("https://twitter.com/YoyokSubandriy3","@YoyokSubandriy3")</f>
        <v>@YoyokSubandriy3</v>
      </c>
      <c r="C8972" s="8" t="s">
        <v>4058</v>
      </c>
      <c r="D8972" s="8">
        <v>11</v>
      </c>
      <c r="E8972" s="8">
        <v>0</v>
      </c>
      <c r="F8972" s="8">
        <v>1338</v>
      </c>
    </row>
    <row r="8973" spans="1:6" ht="12.75">
      <c r="A8973" s="8">
        <v>43900.821655092594</v>
      </c>
      <c r="B8973" s="8" t="str">
        <f>HYPERLINK("https://twitter.com/ichisaima","@ichisaima")</f>
        <v>@ichisaima</v>
      </c>
      <c r="C8973" s="8" t="s">
        <v>3633</v>
      </c>
      <c r="D8973" s="8">
        <v>10</v>
      </c>
      <c r="E8973" s="8">
        <v>0</v>
      </c>
      <c r="F8973" s="8">
        <v>4</v>
      </c>
    </row>
    <row r="8974" spans="1:6" ht="12.75">
      <c r="A8974" s="8">
        <v>43900.820983796293</v>
      </c>
      <c r="B8974" s="8" t="str">
        <f>HYPERLINK("https://twitter.com/haviez_aviez","@haviez_aviez")</f>
        <v>@haviez_aviez</v>
      </c>
      <c r="C8974" s="8" t="s">
        <v>318</v>
      </c>
      <c r="D8974" s="8">
        <v>845</v>
      </c>
      <c r="E8974" s="8">
        <v>0</v>
      </c>
      <c r="F8974" s="8">
        <v>215</v>
      </c>
    </row>
    <row r="8975" spans="1:6" ht="12.75">
      <c r="A8975" s="8">
        <v>43900.820972222224</v>
      </c>
      <c r="B8975" s="8" t="str">
        <f>HYPERLINK("https://twitter.com/randydavrian7","@randydavrian7")</f>
        <v>@randydavrian7</v>
      </c>
      <c r="C8975" s="8" t="s">
        <v>4059</v>
      </c>
      <c r="D8975" s="8">
        <v>0</v>
      </c>
      <c r="E8975" s="8">
        <v>0</v>
      </c>
      <c r="F8975" s="8">
        <v>136</v>
      </c>
    </row>
    <row r="8976" spans="1:6" ht="12.75">
      <c r="A8976" s="8">
        <v>43900.820833333331</v>
      </c>
      <c r="B8976" s="8" t="str">
        <f>HYPERLINK("https://twitter.com/iNewsID","@iNewsID")</f>
        <v>@iNewsID</v>
      </c>
      <c r="C8976" s="8" t="s">
        <v>4060</v>
      </c>
      <c r="D8976" s="8">
        <v>0</v>
      </c>
      <c r="E8976" s="8">
        <v>0</v>
      </c>
      <c r="F8976" s="8">
        <v>1383</v>
      </c>
    </row>
    <row r="8977" spans="1:6" ht="12.75">
      <c r="A8977" s="8">
        <v>43900.820706018523</v>
      </c>
      <c r="B8977" s="8" t="str">
        <f>HYPERLINK("https://twitter.com/malangpostgrup","@malangpostgrup")</f>
        <v>@malangpostgrup</v>
      </c>
      <c r="C8977" s="8" t="s">
        <v>4061</v>
      </c>
      <c r="D8977" s="8">
        <v>0</v>
      </c>
      <c r="E8977" s="8">
        <v>0</v>
      </c>
      <c r="F8977" s="8">
        <v>2609</v>
      </c>
    </row>
    <row r="8978" spans="1:6" ht="12.75">
      <c r="A8978" s="8">
        <v>43900.820543981477</v>
      </c>
      <c r="B8978" s="8" t="str">
        <f>HYPERLINK("https://twitter.com/NegaraKecil","@NegaraKecil")</f>
        <v>@NegaraKecil</v>
      </c>
      <c r="C8978" s="8" t="s">
        <v>318</v>
      </c>
      <c r="D8978" s="8">
        <v>845</v>
      </c>
      <c r="E8978" s="8">
        <v>0</v>
      </c>
      <c r="F8978" s="8">
        <v>1431</v>
      </c>
    </row>
    <row r="8979" spans="1:6" ht="12.75">
      <c r="A8979" s="8">
        <v>43900.820393518516</v>
      </c>
      <c r="B8979" s="8" t="str">
        <f>HYPERLINK("https://twitter.com/agusboy_1973","@agusboy_1973")</f>
        <v>@agusboy_1973</v>
      </c>
      <c r="C8979" s="8" t="s">
        <v>1186</v>
      </c>
      <c r="D8979" s="8">
        <v>53</v>
      </c>
      <c r="E8979" s="8">
        <v>0</v>
      </c>
      <c r="F8979" s="8">
        <v>4799</v>
      </c>
    </row>
    <row r="8980" spans="1:6" ht="12.75">
      <c r="A8980" s="8">
        <v>43900.8199537037</v>
      </c>
      <c r="B8980" s="8" t="str">
        <f>HYPERLINK("https://twitter.com/ramadhanrizal","@ramadhanrizal")</f>
        <v>@ramadhanrizal</v>
      </c>
      <c r="C8980" s="8" t="s">
        <v>4062</v>
      </c>
      <c r="D8980" s="8">
        <v>0</v>
      </c>
      <c r="E8980" s="8">
        <v>0</v>
      </c>
      <c r="F8980" s="8">
        <v>189</v>
      </c>
    </row>
    <row r="8981" spans="1:6" ht="12.75">
      <c r="A8981" s="8">
        <v>43900.819791666669</v>
      </c>
      <c r="B8981" s="8" t="str">
        <f>HYPERLINK("https://twitter.com/joe_bon_two","@joe_bon_two")</f>
        <v>@joe_bon_two</v>
      </c>
      <c r="C8981" s="8" t="s">
        <v>3820</v>
      </c>
      <c r="D8981" s="8">
        <v>24</v>
      </c>
      <c r="E8981" s="8">
        <v>0</v>
      </c>
      <c r="F8981" s="8">
        <v>1295</v>
      </c>
    </row>
    <row r="8982" spans="1:6" ht="12.75">
      <c r="A8982" s="8">
        <v>43900.819097222222</v>
      </c>
      <c r="B8982" s="8" t="str">
        <f>HYPERLINK("https://twitter.com/yen_bongak","@yen_bongak")</f>
        <v>@yen_bongak</v>
      </c>
      <c r="C8982" s="8" t="s">
        <v>318</v>
      </c>
      <c r="D8982" s="8">
        <v>845</v>
      </c>
      <c r="E8982" s="8">
        <v>0</v>
      </c>
      <c r="F8982" s="8">
        <v>98</v>
      </c>
    </row>
    <row r="8983" spans="1:6" ht="12.75">
      <c r="A8983" s="8">
        <v>43900.818888888884</v>
      </c>
      <c r="B8983" s="8" t="str">
        <f>HYPERLINK("https://twitter.com/AchmadW41440522","@AchmadW41440522")</f>
        <v>@AchmadW41440522</v>
      </c>
      <c r="C8983" s="8" t="s">
        <v>318</v>
      </c>
      <c r="D8983" s="8">
        <v>845</v>
      </c>
      <c r="E8983" s="8">
        <v>0</v>
      </c>
      <c r="F8983" s="8">
        <v>74</v>
      </c>
    </row>
    <row r="8984" spans="1:6" ht="12.75">
      <c r="A8984" s="8">
        <v>43900.818877314814</v>
      </c>
      <c r="B8984" s="8" t="str">
        <f>HYPERLINK("https://twitter.com/SKakilima","@SKakilima")</f>
        <v>@SKakilima</v>
      </c>
      <c r="C8984" s="8" t="s">
        <v>318</v>
      </c>
      <c r="D8984" s="8">
        <v>845</v>
      </c>
      <c r="E8984" s="8">
        <v>0</v>
      </c>
      <c r="F8984" s="8">
        <v>372</v>
      </c>
    </row>
    <row r="8985" spans="1:6" ht="12.75">
      <c r="A8985" s="8">
        <v>43900.818807870368</v>
      </c>
      <c r="B8985" s="8" t="str">
        <f>HYPERLINK("https://twitter.com/DevinRmd","@DevinRmd")</f>
        <v>@DevinRmd</v>
      </c>
      <c r="C8985" s="8" t="s">
        <v>4063</v>
      </c>
      <c r="D8985" s="8">
        <v>1</v>
      </c>
      <c r="E8985" s="8">
        <v>0</v>
      </c>
      <c r="F8985" s="8">
        <v>917</v>
      </c>
    </row>
    <row r="8986" spans="1:6" ht="12.75">
      <c r="A8986" s="8">
        <v>43900.818391203706</v>
      </c>
      <c r="B8986" s="8" t="str">
        <f>HYPERLINK("https://twitter.com/abbakarmohamma2","@abbakarmohamma2")</f>
        <v>@abbakarmohamma2</v>
      </c>
      <c r="C8986" s="8" t="s">
        <v>318</v>
      </c>
      <c r="D8986" s="8">
        <v>845</v>
      </c>
      <c r="E8986" s="8">
        <v>0</v>
      </c>
      <c r="F8986" s="8">
        <v>659</v>
      </c>
    </row>
    <row r="8987" spans="1:6" ht="12.75">
      <c r="A8987" s="8">
        <v>43900.818078703705</v>
      </c>
      <c r="B8987" s="8" t="str">
        <f>HYPERLINK("https://twitter.com/monicameloh","@monicameloh")</f>
        <v>@monicameloh</v>
      </c>
      <c r="C8987" s="8" t="s">
        <v>4064</v>
      </c>
      <c r="D8987" s="8">
        <v>3</v>
      </c>
      <c r="E8987" s="8">
        <v>0</v>
      </c>
      <c r="F8987" s="8">
        <v>639</v>
      </c>
    </row>
    <row r="8988" spans="1:6" ht="12.75">
      <c r="A8988" s="8">
        <v>43900.817962962959</v>
      </c>
      <c r="B8988" s="8" t="str">
        <f>HYPERLINK("https://twitter.com/muzietar","@muzietar")</f>
        <v>@muzietar</v>
      </c>
      <c r="C8988" s="8" t="s">
        <v>318</v>
      </c>
      <c r="D8988" s="8">
        <v>845</v>
      </c>
      <c r="E8988" s="8">
        <v>0</v>
      </c>
      <c r="F8988" s="8">
        <v>118</v>
      </c>
    </row>
    <row r="8989" spans="1:6" ht="12.75">
      <c r="A8989" s="8">
        <v>43900.817430555559</v>
      </c>
      <c r="B8989" s="8" t="str">
        <f>HYPERLINK("https://twitter.com/news_benz","@news_benz")</f>
        <v>@news_benz</v>
      </c>
      <c r="C8989" s="8" t="s">
        <v>1186</v>
      </c>
      <c r="D8989" s="8">
        <v>53</v>
      </c>
      <c r="E8989" s="8">
        <v>0</v>
      </c>
      <c r="F8989" s="8">
        <v>741</v>
      </c>
    </row>
    <row r="8990" spans="1:6" ht="12.75">
      <c r="A8990" s="8">
        <v>43900.817245370374</v>
      </c>
      <c r="B8990" s="8" t="str">
        <f>HYPERLINK("https://twitter.com/Rezas35","@Rezas35")</f>
        <v>@Rezas35</v>
      </c>
      <c r="C8990" s="8" t="s">
        <v>318</v>
      </c>
      <c r="D8990" s="8">
        <v>845</v>
      </c>
      <c r="E8990" s="8">
        <v>0</v>
      </c>
      <c r="F8990" s="8">
        <v>25</v>
      </c>
    </row>
    <row r="8991" spans="1:6" ht="12.75">
      <c r="A8991" s="8">
        <v>43900.816631944443</v>
      </c>
      <c r="B8991" s="8" t="str">
        <f>HYPERLINK("https://twitter.com/SobatAm81388373","@SobatAm81388373")</f>
        <v>@SobatAm81388373</v>
      </c>
      <c r="C8991" s="8" t="s">
        <v>4065</v>
      </c>
      <c r="D8991" s="8">
        <v>0</v>
      </c>
      <c r="E8991" s="8">
        <v>0</v>
      </c>
      <c r="F8991" s="8">
        <v>8</v>
      </c>
    </row>
    <row r="8992" spans="1:6" ht="12.75">
      <c r="A8992" s="8">
        <v>43900.816562499997</v>
      </c>
      <c r="B8992" s="8" t="str">
        <f>HYPERLINK("https://twitter.com/dewi_darmawati","@dewi_darmawati")</f>
        <v>@dewi_darmawati</v>
      </c>
      <c r="C8992" s="8" t="s">
        <v>4030</v>
      </c>
      <c r="D8992" s="8">
        <v>3</v>
      </c>
      <c r="E8992" s="8">
        <v>0</v>
      </c>
      <c r="F8992" s="8">
        <v>4409</v>
      </c>
    </row>
    <row r="8993" spans="1:6" ht="12.75">
      <c r="A8993" s="8">
        <v>43900.816377314812</v>
      </c>
      <c r="B8993" s="8" t="str">
        <f>HYPERLINK("https://twitter.com/KhaArsya","@KhaArsya")</f>
        <v>@KhaArsya</v>
      </c>
      <c r="C8993" s="8" t="s">
        <v>318</v>
      </c>
      <c r="D8993" s="8">
        <v>845</v>
      </c>
      <c r="E8993" s="8">
        <v>0</v>
      </c>
      <c r="F8993" s="8">
        <v>24</v>
      </c>
    </row>
    <row r="8994" spans="1:6" ht="12.75">
      <c r="A8994" s="8">
        <v>43900.816238425927</v>
      </c>
      <c r="B8994" s="8" t="str">
        <f>HYPERLINK("https://twitter.com/lea_chan2","@lea_chan2")</f>
        <v>@lea_chan2</v>
      </c>
      <c r="C8994" s="8" t="s">
        <v>318</v>
      </c>
      <c r="D8994" s="8">
        <v>845</v>
      </c>
      <c r="E8994" s="8">
        <v>0</v>
      </c>
      <c r="F8994" s="8">
        <v>41</v>
      </c>
    </row>
    <row r="8995" spans="1:6" ht="12.75">
      <c r="A8995" s="8">
        <v>43900.815740740742</v>
      </c>
      <c r="B8995" s="8" t="str">
        <f>HYPERLINK("https://twitter.com/Pseudo_silk","@Pseudo_silk")</f>
        <v>@Pseudo_silk</v>
      </c>
      <c r="C8995" s="8" t="s">
        <v>4066</v>
      </c>
      <c r="D8995" s="8">
        <v>0</v>
      </c>
      <c r="E8995" s="8">
        <v>1</v>
      </c>
      <c r="F8995" s="8">
        <v>1260</v>
      </c>
    </row>
    <row r="8996" spans="1:6" ht="12.75">
      <c r="A8996" s="8">
        <v>43900.815486111111</v>
      </c>
      <c r="B8996" s="8" t="str">
        <f>HYPERLINK("https://twitter.com/mulanbilqis","@mulanbilqis")</f>
        <v>@mulanbilqis</v>
      </c>
      <c r="C8996" s="8" t="s">
        <v>4030</v>
      </c>
      <c r="D8996" s="8">
        <v>3</v>
      </c>
      <c r="E8996" s="8">
        <v>0</v>
      </c>
      <c r="F8996" s="8">
        <v>13344</v>
      </c>
    </row>
    <row r="8997" spans="1:6" ht="12.75">
      <c r="A8997" s="8">
        <v>43900.814016203702</v>
      </c>
      <c r="B8997" s="8" t="str">
        <f>HYPERLINK("https://twitter.com/JJaeyumixx","@JJaeyumixx")</f>
        <v>@JJaeyumixx</v>
      </c>
      <c r="C8997" s="8" t="s">
        <v>4067</v>
      </c>
      <c r="D8997" s="8">
        <v>0</v>
      </c>
      <c r="E8997" s="8">
        <v>0</v>
      </c>
      <c r="F8997" s="8">
        <v>162</v>
      </c>
    </row>
    <row r="8998" spans="1:6" ht="12.75">
      <c r="A8998" s="8">
        <v>43900.81386574074</v>
      </c>
      <c r="B8998" s="8" t="str">
        <f>HYPERLINK("https://twitter.com/IanTepos1","@IanTepos1")</f>
        <v>@IanTepos1</v>
      </c>
      <c r="C8998" s="8" t="s">
        <v>318</v>
      </c>
      <c r="D8998" s="8">
        <v>845</v>
      </c>
      <c r="E8998" s="8">
        <v>0</v>
      </c>
      <c r="F8998" s="8">
        <v>45</v>
      </c>
    </row>
    <row r="8999" spans="1:6" ht="12.75">
      <c r="A8999" s="8">
        <v>43900.813645833332</v>
      </c>
      <c r="B8999" s="8" t="str">
        <f>HYPERLINK("https://twitter.com/DadBorneo","@DadBorneo")</f>
        <v>@DadBorneo</v>
      </c>
      <c r="C8999" s="8" t="s">
        <v>4068</v>
      </c>
      <c r="D8999" s="8">
        <v>32</v>
      </c>
      <c r="E8999" s="8">
        <v>0</v>
      </c>
      <c r="F8999" s="8">
        <v>782</v>
      </c>
    </row>
    <row r="9000" spans="1:6" ht="12.75">
      <c r="A9000" s="8">
        <v>43900.813391203701</v>
      </c>
      <c r="B9000" s="8" t="str">
        <f>HYPERLINK("https://twitter.com/slwyahya","@slwyahya")</f>
        <v>@slwyahya</v>
      </c>
      <c r="C9000" s="8" t="s">
        <v>318</v>
      </c>
      <c r="D9000" s="8">
        <v>845</v>
      </c>
      <c r="E9000" s="8">
        <v>0</v>
      </c>
      <c r="F9000" s="8">
        <v>487</v>
      </c>
    </row>
    <row r="9001" spans="1:6" ht="12.75">
      <c r="A9001" s="8">
        <v>43900.813379629632</v>
      </c>
      <c r="B9001" s="8" t="str">
        <f>HYPERLINK("https://twitter.com/Soebur8","@Soebur8")</f>
        <v>@Soebur8</v>
      </c>
      <c r="C9001" s="8" t="s">
        <v>318</v>
      </c>
      <c r="D9001" s="8">
        <v>845</v>
      </c>
      <c r="E9001" s="8">
        <v>0</v>
      </c>
      <c r="F9001" s="8">
        <v>546</v>
      </c>
    </row>
    <row r="9002" spans="1:6" ht="12.75">
      <c r="A9002" s="8">
        <v>43900.813287037032</v>
      </c>
      <c r="B9002" s="8" t="str">
        <f>HYPERLINK("https://twitter.com/enricofernandos","@enricofernandos")</f>
        <v>@enricofernandos</v>
      </c>
      <c r="C9002" s="8" t="s">
        <v>4069</v>
      </c>
      <c r="D9002" s="8">
        <v>0</v>
      </c>
      <c r="E9002" s="8">
        <v>0</v>
      </c>
      <c r="F9002" s="8">
        <v>11</v>
      </c>
    </row>
    <row r="9003" spans="1:6" ht="12.75">
      <c r="A9003" s="8">
        <v>43900.813171296293</v>
      </c>
      <c r="B9003" s="8" t="str">
        <f>HYPERLINK("https://twitter.com/Ahfau001","@Ahfau001")</f>
        <v>@Ahfau001</v>
      </c>
      <c r="C9003" s="8" t="s">
        <v>1186</v>
      </c>
      <c r="D9003" s="8">
        <v>53</v>
      </c>
      <c r="E9003" s="8">
        <v>0</v>
      </c>
      <c r="F9003" s="8">
        <v>584</v>
      </c>
    </row>
    <row r="9004" spans="1:6" ht="12.75">
      <c r="A9004" s="8">
        <v>43900.812650462962</v>
      </c>
      <c r="B9004" s="8" t="str">
        <f>HYPERLINK("https://twitter.com/DiasporaXxi","@DiasporaXxi")</f>
        <v>@DiasporaXxi</v>
      </c>
      <c r="C9004" s="8" t="s">
        <v>4070</v>
      </c>
      <c r="D9004" s="8">
        <v>0</v>
      </c>
      <c r="E9004" s="8">
        <v>0</v>
      </c>
      <c r="F9004" s="8">
        <v>51</v>
      </c>
    </row>
    <row r="9005" spans="1:6" ht="12.75">
      <c r="A9005" s="8">
        <v>43900.812627314815</v>
      </c>
      <c r="B9005" s="8" t="str">
        <f>HYPERLINK("https://twitter.com/ArieSondang","@ArieSondang")</f>
        <v>@ArieSondang</v>
      </c>
      <c r="C9005" s="8" t="s">
        <v>4071</v>
      </c>
      <c r="D9005" s="8">
        <v>0</v>
      </c>
      <c r="E9005" s="8">
        <v>0</v>
      </c>
      <c r="F9005" s="8">
        <v>581</v>
      </c>
    </row>
    <row r="9006" spans="1:6" ht="12.75">
      <c r="A9006" s="8">
        <v>43900.812476851846</v>
      </c>
      <c r="B9006" s="8" t="str">
        <f>HYPERLINK("https://twitter.com/ashoktewary","@ashoktewary")</f>
        <v>@ashoktewary</v>
      </c>
      <c r="C9006" s="8" t="s">
        <v>1957</v>
      </c>
      <c r="D9006" s="8">
        <v>1487</v>
      </c>
      <c r="E9006" s="8">
        <v>0</v>
      </c>
      <c r="F9006" s="8">
        <v>39</v>
      </c>
    </row>
    <row r="9007" spans="1:6" ht="12.75">
      <c r="A9007" s="8">
        <v>43900.811944444446</v>
      </c>
      <c r="B9007" s="8" t="str">
        <f>HYPERLINK("https://twitter.com/awanstarrr","@awanstarrr")</f>
        <v>@awanstarrr</v>
      </c>
      <c r="C9007" s="8" t="s">
        <v>318</v>
      </c>
      <c r="D9007" s="8">
        <v>845</v>
      </c>
      <c r="E9007" s="8">
        <v>0</v>
      </c>
      <c r="F9007" s="8">
        <v>34</v>
      </c>
    </row>
    <row r="9008" spans="1:6" ht="12.75">
      <c r="A9008" s="8">
        <v>43900.811678240745</v>
      </c>
      <c r="B9008" s="8" t="str">
        <f>HYPERLINK("https://twitter.com/pratamarangga65","@pratamarangga65")</f>
        <v>@pratamarangga65</v>
      </c>
      <c r="C9008" s="8" t="s">
        <v>4030</v>
      </c>
      <c r="D9008" s="8">
        <v>3</v>
      </c>
      <c r="E9008" s="8">
        <v>0</v>
      </c>
      <c r="F9008" s="8">
        <v>1730</v>
      </c>
    </row>
    <row r="9009" spans="1:6" ht="12.75">
      <c r="A9009" s="8">
        <v>43900.811666666668</v>
      </c>
      <c r="B9009" s="8" t="str">
        <f>HYPERLINK("https://twitter.com/roon3651","@roon3651")</f>
        <v>@roon3651</v>
      </c>
      <c r="C9009" s="8" t="s">
        <v>4072</v>
      </c>
      <c r="D9009" s="8">
        <v>1</v>
      </c>
      <c r="E9009" s="8">
        <v>0</v>
      </c>
      <c r="F9009" s="8">
        <v>420</v>
      </c>
    </row>
    <row r="9010" spans="1:6" ht="12.75">
      <c r="A9010" s="8">
        <v>43900.811388888891</v>
      </c>
      <c r="B9010" s="8" t="str">
        <f>HYPERLINK("https://twitter.com/indiboyahoocom1","@indiboyahoocom1")</f>
        <v>@indiboyahoocom1</v>
      </c>
      <c r="C9010" s="8" t="s">
        <v>1186</v>
      </c>
      <c r="D9010" s="8">
        <v>53</v>
      </c>
      <c r="E9010" s="8">
        <v>0</v>
      </c>
      <c r="F9010" s="8">
        <v>4639</v>
      </c>
    </row>
    <row r="9011" spans="1:6" ht="12.75">
      <c r="A9011" s="8">
        <v>43900.811273148152</v>
      </c>
      <c r="B9011" s="8" t="str">
        <f>HYPERLINK("https://twitter.com/bontotoriginal","@bontotoriginal")</f>
        <v>@bontotoriginal</v>
      </c>
      <c r="C9011" s="8" t="s">
        <v>318</v>
      </c>
      <c r="D9011" s="8">
        <v>845</v>
      </c>
      <c r="E9011" s="8">
        <v>0</v>
      </c>
      <c r="F9011" s="8">
        <v>5932</v>
      </c>
    </row>
    <row r="9012" spans="1:6" ht="12.75">
      <c r="A9012" s="8">
        <v>43900.81086805556</v>
      </c>
      <c r="B9012" s="8" t="str">
        <f>HYPERLINK("https://twitter.com/Hanifah933","@Hanifah933")</f>
        <v>@Hanifah933</v>
      </c>
      <c r="C9012" s="8" t="s">
        <v>4073</v>
      </c>
      <c r="D9012" s="8">
        <v>3</v>
      </c>
      <c r="E9012" s="8">
        <v>4</v>
      </c>
      <c r="F9012" s="8">
        <v>7239</v>
      </c>
    </row>
    <row r="9013" spans="1:6" ht="12.75">
      <c r="A9013" s="8">
        <v>43900.810648148152</v>
      </c>
      <c r="B9013" s="8" t="str">
        <f>HYPERLINK("https://twitter.com/AbidinsyahI","@AbidinsyahI")</f>
        <v>@AbidinsyahI</v>
      </c>
      <c r="C9013" s="8" t="s">
        <v>1186</v>
      </c>
      <c r="D9013" s="8">
        <v>53</v>
      </c>
      <c r="E9013" s="8">
        <v>0</v>
      </c>
      <c r="F9013" s="8">
        <v>2227</v>
      </c>
    </row>
    <row r="9014" spans="1:6" ht="12.75">
      <c r="A9014" s="8">
        <v>43900.809814814813</v>
      </c>
      <c r="B9014" s="8" t="str">
        <f>HYPERLINK("https://twitter.com/fqtfq","@fqtfq")</f>
        <v>@fqtfq</v>
      </c>
      <c r="C9014" s="8" t="s">
        <v>4074</v>
      </c>
      <c r="D9014" s="8">
        <v>0</v>
      </c>
      <c r="E9014" s="8">
        <v>0</v>
      </c>
      <c r="F9014" s="8">
        <v>346</v>
      </c>
    </row>
    <row r="9015" spans="1:6" ht="12.75">
      <c r="A9015" s="8">
        <v>43900.809606481482</v>
      </c>
      <c r="B9015" s="8" t="str">
        <f>HYPERLINK("https://twitter.com/HAchsyid","@HAchsyid")</f>
        <v>@HAchsyid</v>
      </c>
      <c r="C9015" s="8" t="s">
        <v>318</v>
      </c>
      <c r="D9015" s="8">
        <v>845</v>
      </c>
      <c r="E9015" s="8">
        <v>0</v>
      </c>
      <c r="F9015" s="8">
        <v>2832</v>
      </c>
    </row>
    <row r="9016" spans="1:6" ht="12.75">
      <c r="A9016" s="8">
        <v>43900.809467592597</v>
      </c>
      <c r="B9016" s="8" t="str">
        <f>HYPERLINK("https://twitter.com/Evita_Armye","@Evita_Armye")</f>
        <v>@Evita_Armye</v>
      </c>
      <c r="C9016" s="8" t="s">
        <v>4075</v>
      </c>
      <c r="D9016" s="8">
        <v>1</v>
      </c>
      <c r="E9016" s="8">
        <v>0</v>
      </c>
      <c r="F9016" s="8">
        <v>230</v>
      </c>
    </row>
    <row r="9017" spans="1:6" ht="12.75">
      <c r="A9017" s="8">
        <v>43900.809328703705</v>
      </c>
      <c r="B9017" s="8" t="str">
        <f>HYPERLINK("https://twitter.com/aryacokronegoro","@aryacokronegoro")</f>
        <v>@aryacokronegoro</v>
      </c>
      <c r="C9017" s="8" t="s">
        <v>4076</v>
      </c>
      <c r="D9017" s="8">
        <v>1</v>
      </c>
      <c r="E9017" s="8">
        <v>4</v>
      </c>
      <c r="F9017" s="8">
        <v>437</v>
      </c>
    </row>
    <row r="9018" spans="1:6" ht="12.75">
      <c r="A9018" s="8">
        <v>43900.809178240743</v>
      </c>
      <c r="B9018" s="8" t="str">
        <f>HYPERLINK("https://twitter.com/shuamiku","@shuamiku")</f>
        <v>@shuamiku</v>
      </c>
      <c r="C9018" s="8" t="s">
        <v>4077</v>
      </c>
      <c r="D9018" s="8">
        <v>0</v>
      </c>
      <c r="E9018" s="8">
        <v>0</v>
      </c>
      <c r="F9018" s="8">
        <v>978</v>
      </c>
    </row>
    <row r="9019" spans="1:6" ht="12.75">
      <c r="A9019" s="8">
        <v>43900.808321759258</v>
      </c>
      <c r="B9019" s="8" t="str">
        <f>HYPERLINK("https://twitter.com/attamimi_farid","@attamimi_farid")</f>
        <v>@attamimi_farid</v>
      </c>
      <c r="C9019" s="8" t="s">
        <v>4078</v>
      </c>
      <c r="D9019" s="8">
        <v>0</v>
      </c>
      <c r="E9019" s="8">
        <v>0</v>
      </c>
      <c r="F9019" s="8">
        <v>313</v>
      </c>
    </row>
    <row r="9020" spans="1:6" ht="12.75">
      <c r="A9020" s="8">
        <v>43900.80804398148</v>
      </c>
      <c r="B9020" s="8" t="str">
        <f>HYPERLINK("https://twitter.com/R4den_aria","@R4den_aria")</f>
        <v>@R4den_aria</v>
      </c>
      <c r="C9020" s="8" t="s">
        <v>318</v>
      </c>
      <c r="D9020" s="8">
        <v>845</v>
      </c>
      <c r="E9020" s="8">
        <v>0</v>
      </c>
      <c r="F9020" s="8">
        <v>812</v>
      </c>
    </row>
    <row r="9021" spans="1:6" ht="12.75">
      <c r="A9021" s="8">
        <v>43900.807800925926</v>
      </c>
      <c r="B9021" s="8" t="str">
        <f>HYPERLINK("https://twitter.com/kuaajajaalajuja","@kuaajajaalajuja")</f>
        <v>@kuaajajaalajuja</v>
      </c>
      <c r="C9021" s="8" t="s">
        <v>318</v>
      </c>
      <c r="D9021" s="8">
        <v>845</v>
      </c>
      <c r="E9021" s="8">
        <v>0</v>
      </c>
      <c r="F9021" s="8">
        <v>276</v>
      </c>
    </row>
    <row r="9022" spans="1:6" ht="12.75">
      <c r="A9022" s="8">
        <v>43900.807511574079</v>
      </c>
      <c r="B9022" s="8" t="str">
        <f>HYPERLINK("https://twitter.com/ditaparanrengi","@ditaparanrengi")</f>
        <v>@ditaparanrengi</v>
      </c>
      <c r="C9022" s="8" t="s">
        <v>4079</v>
      </c>
      <c r="D9022" s="8">
        <v>0</v>
      </c>
      <c r="E9022" s="8">
        <v>0</v>
      </c>
      <c r="F9022" s="8">
        <v>337</v>
      </c>
    </row>
    <row r="9023" spans="1:6" ht="12.75">
      <c r="A9023" s="8">
        <v>43900.807152777779</v>
      </c>
      <c r="B9023" s="8" t="str">
        <f>HYPERLINK("https://twitter.com/kaziemustari1","@kaziemustari1")</f>
        <v>@kaziemustari1</v>
      </c>
      <c r="C9023" s="8" t="s">
        <v>318</v>
      </c>
      <c r="D9023" s="8">
        <v>845</v>
      </c>
      <c r="E9023" s="8">
        <v>0</v>
      </c>
      <c r="F9023" s="8">
        <v>56</v>
      </c>
    </row>
    <row r="9024" spans="1:6" ht="12.75">
      <c r="A9024" s="8">
        <v>43900.806979166664</v>
      </c>
      <c r="B9024" s="8" t="str">
        <f>HYPERLINK("https://twitter.com/blxters","@blxters")</f>
        <v>@blxters</v>
      </c>
      <c r="C9024" s="8" t="s">
        <v>4080</v>
      </c>
      <c r="D9024" s="8">
        <v>0</v>
      </c>
      <c r="E9024" s="8">
        <v>0</v>
      </c>
      <c r="F9024" s="8">
        <v>393</v>
      </c>
    </row>
    <row r="9025" spans="1:6" ht="12.75">
      <c r="A9025" s="8">
        <v>43900.806631944448</v>
      </c>
      <c r="B9025" s="8" t="str">
        <f>HYPERLINK("https://twitter.com/RepKertanegara","@RepKertanegara")</f>
        <v>@RepKertanegara</v>
      </c>
      <c r="C9025" s="8" t="s">
        <v>3190</v>
      </c>
      <c r="D9025" s="8">
        <v>114</v>
      </c>
      <c r="E9025" s="8">
        <v>0</v>
      </c>
      <c r="F9025" s="8">
        <v>117</v>
      </c>
    </row>
    <row r="9026" spans="1:6" ht="12.75">
      <c r="A9026" s="8">
        <v>43900.79822916667</v>
      </c>
      <c r="B9026" s="8" t="str">
        <f>HYPERLINK("https://twitter.com/ZweiSusanto","@ZweiSusanto")</f>
        <v>@ZweiSusanto</v>
      </c>
      <c r="C9026" s="8" t="s">
        <v>593</v>
      </c>
      <c r="D9026" s="8">
        <v>494</v>
      </c>
      <c r="E9026" s="8">
        <v>0</v>
      </c>
      <c r="F9026" s="8">
        <v>205</v>
      </c>
    </row>
    <row r="9027" spans="1:6" ht="12.75">
      <c r="A9027" s="8">
        <v>43900.798148148147</v>
      </c>
      <c r="B9027" s="8" t="str">
        <f>HYPERLINK("https://twitter.com/Metro_TV","@Metro_TV")</f>
        <v>@Metro_TV</v>
      </c>
      <c r="C9027" s="8" t="s">
        <v>4081</v>
      </c>
      <c r="D9027" s="8">
        <v>0</v>
      </c>
      <c r="E9027" s="8">
        <v>0</v>
      </c>
      <c r="F9027" s="8">
        <v>10518989</v>
      </c>
    </row>
    <row r="9028" spans="1:6" ht="12.75">
      <c r="A9028" s="8">
        <v>43900.797719907408</v>
      </c>
      <c r="B9028" s="8" t="str">
        <f>HYPERLINK("https://twitter.com/Andi_0014","@Andi_0014")</f>
        <v>@Andi_0014</v>
      </c>
      <c r="C9028" s="8" t="s">
        <v>4082</v>
      </c>
      <c r="D9028" s="8">
        <v>0</v>
      </c>
      <c r="E9028" s="8">
        <v>0</v>
      </c>
      <c r="F9028" s="8">
        <v>9</v>
      </c>
    </row>
    <row r="9029" spans="1:6" ht="12.75">
      <c r="A9029" s="8">
        <v>43900.797256944439</v>
      </c>
      <c r="B9029" s="8" t="str">
        <f>HYPERLINK("https://twitter.com/fhrlnrhyt","@fhrlnrhyt")</f>
        <v>@fhrlnrhyt</v>
      </c>
      <c r="C9029" s="8" t="s">
        <v>4083</v>
      </c>
      <c r="D9029" s="8">
        <v>0</v>
      </c>
      <c r="E9029" s="8">
        <v>0</v>
      </c>
      <c r="F9029" s="8">
        <v>118</v>
      </c>
    </row>
    <row r="9030" spans="1:6" ht="12.75">
      <c r="A9030" s="8">
        <v>43900.796805555554</v>
      </c>
      <c r="B9030" s="8" t="str">
        <f>HYPERLINK("https://twitter.com/indrapg","@indrapg")</f>
        <v>@indrapg</v>
      </c>
      <c r="C9030" s="8" t="s">
        <v>318</v>
      </c>
      <c r="D9030" s="8">
        <v>802</v>
      </c>
      <c r="E9030" s="8">
        <v>0</v>
      </c>
      <c r="F9030" s="8">
        <v>127</v>
      </c>
    </row>
    <row r="9031" spans="1:6" ht="12.75">
      <c r="A9031" s="8">
        <v>43900.79650462963</v>
      </c>
      <c r="B9031" s="8" t="str">
        <f t="shared" ref="B9031:B9032" si="148">HYPERLINK("https://twitter.com/echoPiR","@echoPiR")</f>
        <v>@echoPiR</v>
      </c>
      <c r="C9031" s="8" t="s">
        <v>4084</v>
      </c>
      <c r="D9031" s="8">
        <v>0</v>
      </c>
      <c r="E9031" s="8">
        <v>0</v>
      </c>
      <c r="F9031" s="8">
        <v>164</v>
      </c>
    </row>
    <row r="9032" spans="1:6" ht="12.75">
      <c r="A9032" s="8">
        <v>43900.795844907407</v>
      </c>
      <c r="B9032" s="8" t="str">
        <f t="shared" si="148"/>
        <v>@echoPiR</v>
      </c>
      <c r="C9032" s="8" t="s">
        <v>4085</v>
      </c>
      <c r="D9032" s="8">
        <v>0</v>
      </c>
      <c r="E9032" s="8">
        <v>0</v>
      </c>
      <c r="F9032" s="8">
        <v>164</v>
      </c>
    </row>
    <row r="9033" spans="1:6" ht="12.75">
      <c r="A9033" s="8">
        <v>43900.795659722222</v>
      </c>
      <c r="B9033" s="8" t="str">
        <f>HYPERLINK("https://twitter.com/kang_professor","@kang_professor")</f>
        <v>@kang_professor</v>
      </c>
      <c r="C9033" s="8" t="s">
        <v>318</v>
      </c>
      <c r="D9033" s="8">
        <v>802</v>
      </c>
      <c r="E9033" s="8">
        <v>0</v>
      </c>
      <c r="F9033" s="8">
        <v>8</v>
      </c>
    </row>
    <row r="9034" spans="1:6" ht="12.75">
      <c r="A9034" s="8">
        <v>43900.794988425929</v>
      </c>
      <c r="B9034" s="8" t="str">
        <f>HYPERLINK("https://twitter.com/bakpao_geprek","@bakpao_geprek")</f>
        <v>@bakpao_geprek</v>
      </c>
      <c r="C9034" s="8" t="s">
        <v>4086</v>
      </c>
      <c r="D9034" s="8">
        <v>0</v>
      </c>
      <c r="E9034" s="8">
        <v>0</v>
      </c>
      <c r="F9034" s="8">
        <v>2908</v>
      </c>
    </row>
    <row r="9035" spans="1:6" ht="12.75">
      <c r="A9035" s="8">
        <v>43900.794745370367</v>
      </c>
      <c r="B9035" s="8" t="str">
        <f>HYPERLINK("https://twitter.com/jerin_68","@jerin_68")</f>
        <v>@jerin_68</v>
      </c>
      <c r="C9035" s="8" t="s">
        <v>4087</v>
      </c>
      <c r="D9035" s="8">
        <v>1</v>
      </c>
      <c r="E9035" s="8">
        <v>0</v>
      </c>
      <c r="F9035" s="8">
        <v>630</v>
      </c>
    </row>
    <row r="9036" spans="1:6" ht="12.75">
      <c r="A9036" s="8">
        <v>43900.794490740736</v>
      </c>
      <c r="B9036" s="8" t="str">
        <f>HYPERLINK("https://twitter.com/widawardhiansya","@widawardhiansya")</f>
        <v>@widawardhiansya</v>
      </c>
      <c r="C9036" s="8" t="s">
        <v>318</v>
      </c>
      <c r="D9036" s="8">
        <v>802</v>
      </c>
      <c r="E9036" s="8">
        <v>0</v>
      </c>
      <c r="F9036" s="8">
        <v>400</v>
      </c>
    </row>
    <row r="9037" spans="1:6" ht="12.75">
      <c r="A9037" s="8">
        <v>43900.794363425928</v>
      </c>
      <c r="B9037" s="8" t="str">
        <f>HYPERLINK("https://twitter.com/messa27831074","@messa27831074")</f>
        <v>@messa27831074</v>
      </c>
      <c r="C9037" s="8" t="s">
        <v>318</v>
      </c>
      <c r="D9037" s="8">
        <v>802</v>
      </c>
      <c r="E9037" s="8">
        <v>0</v>
      </c>
      <c r="F9037" s="8">
        <v>471</v>
      </c>
    </row>
    <row r="9038" spans="1:6" ht="12.75">
      <c r="A9038" s="8">
        <v>43900.794236111113</v>
      </c>
      <c r="B9038" s="8" t="str">
        <f>HYPERLINK("https://twitter.com/MAisbayu","@MAisbayu")</f>
        <v>@MAisbayu</v>
      </c>
      <c r="C9038" s="8" t="s">
        <v>4088</v>
      </c>
      <c r="D9038" s="8">
        <v>0</v>
      </c>
      <c r="E9038" s="8">
        <v>0</v>
      </c>
      <c r="F9038" s="8">
        <v>48</v>
      </c>
    </row>
    <row r="9039" spans="1:6" ht="12.75">
      <c r="A9039" s="8">
        <v>43900.794062500005</v>
      </c>
      <c r="B9039" s="8" t="str">
        <f>HYPERLINK("https://twitter.com/teraslampung_ok","@teraslampung_ok")</f>
        <v>@teraslampung_ok</v>
      </c>
      <c r="C9039" s="8" t="s">
        <v>4089</v>
      </c>
      <c r="D9039" s="8">
        <v>0</v>
      </c>
      <c r="E9039" s="8">
        <v>0</v>
      </c>
      <c r="F9039" s="8">
        <v>734</v>
      </c>
    </row>
    <row r="9040" spans="1:6" ht="12.75">
      <c r="A9040" s="8">
        <v>43900.793749999997</v>
      </c>
      <c r="B9040" s="8" t="str">
        <f>HYPERLINK("https://twitter.com/derika_rh","@derika_rh")</f>
        <v>@derika_rh</v>
      </c>
      <c r="C9040" s="8" t="s">
        <v>1959</v>
      </c>
      <c r="D9040" s="8">
        <v>2</v>
      </c>
      <c r="E9040" s="8">
        <v>0</v>
      </c>
      <c r="F9040" s="8">
        <v>698</v>
      </c>
    </row>
    <row r="9041" spans="1:6" ht="12.75">
      <c r="A9041" s="8">
        <v>43900.793738425928</v>
      </c>
      <c r="B9041" s="8" t="str">
        <f>HYPERLINK("https://twitter.com/Baktipan","@Baktipan")</f>
        <v>@Baktipan</v>
      </c>
      <c r="C9041" s="8" t="s">
        <v>4090</v>
      </c>
      <c r="D9041" s="8">
        <v>0</v>
      </c>
      <c r="E9041" s="8">
        <v>0</v>
      </c>
      <c r="F9041" s="8">
        <v>20</v>
      </c>
    </row>
    <row r="9042" spans="1:6" ht="12.75">
      <c r="A9042" s="8">
        <v>43900.793692129635</v>
      </c>
      <c r="B9042" s="8" t="str">
        <f>HYPERLINK("https://twitter.com/Praecursator007","@Praecursator007")</f>
        <v>@Praecursator007</v>
      </c>
      <c r="C9042" s="8" t="s">
        <v>4091</v>
      </c>
      <c r="D9042" s="8">
        <v>0</v>
      </c>
      <c r="E9042" s="8">
        <v>2</v>
      </c>
      <c r="F9042" s="8">
        <v>6074</v>
      </c>
    </row>
    <row r="9043" spans="1:6" ht="12.75">
      <c r="A9043" s="8">
        <v>43900.79288194445</v>
      </c>
      <c r="B9043" s="8" t="str">
        <f>HYPERLINK("https://twitter.com/Wotayuk","@Wotayuk")</f>
        <v>@Wotayuk</v>
      </c>
      <c r="C9043" s="8" t="s">
        <v>4092</v>
      </c>
      <c r="D9043" s="8">
        <v>0</v>
      </c>
      <c r="E9043" s="8">
        <v>0</v>
      </c>
      <c r="F9043" s="8">
        <v>65</v>
      </c>
    </row>
    <row r="9044" spans="1:6" ht="12.75">
      <c r="A9044" s="8">
        <v>43900.792627314819</v>
      </c>
      <c r="B9044" s="8" t="str">
        <f>HYPERLINK("https://twitter.com/ixan253","@ixan253")</f>
        <v>@ixan253</v>
      </c>
      <c r="C9044" s="8" t="s">
        <v>318</v>
      </c>
      <c r="D9044" s="8">
        <v>802</v>
      </c>
      <c r="E9044" s="8">
        <v>0</v>
      </c>
      <c r="F9044" s="8">
        <v>1423</v>
      </c>
    </row>
    <row r="9045" spans="1:6" ht="12.75">
      <c r="A9045" s="8">
        <v>43900.792604166665</v>
      </c>
      <c r="B9045" s="8" t="str">
        <f>HYPERLINK("https://twitter.com/doctor_kureha","@doctor_kureha")</f>
        <v>@doctor_kureha</v>
      </c>
      <c r="C9045" s="8" t="s">
        <v>4093</v>
      </c>
      <c r="D9045" s="8">
        <v>0</v>
      </c>
      <c r="E9045" s="8">
        <v>0</v>
      </c>
      <c r="F9045" s="8">
        <v>689</v>
      </c>
    </row>
    <row r="9046" spans="1:6" ht="12.75">
      <c r="A9046" s="8">
        <v>43900.792442129634</v>
      </c>
      <c r="B9046" s="8" t="str">
        <f>HYPERLINK("https://twitter.com/Elfindwin","@Elfindwin")</f>
        <v>@Elfindwin</v>
      </c>
      <c r="C9046" s="8" t="s">
        <v>4094</v>
      </c>
      <c r="D9046" s="8">
        <v>0</v>
      </c>
      <c r="E9046" s="8">
        <v>0</v>
      </c>
      <c r="F9046" s="8">
        <v>42</v>
      </c>
    </row>
    <row r="9047" spans="1:6" ht="12.75">
      <c r="A9047" s="8">
        <v>43900.792430555557</v>
      </c>
      <c r="B9047" s="8" t="str">
        <f>HYPERLINK("https://twitter.com/lidah_tornado","@lidah_tornado")</f>
        <v>@lidah_tornado</v>
      </c>
      <c r="C9047" s="8" t="s">
        <v>4095</v>
      </c>
      <c r="D9047" s="8">
        <v>0</v>
      </c>
      <c r="E9047" s="8">
        <v>2</v>
      </c>
      <c r="F9047" s="8">
        <v>3336</v>
      </c>
    </row>
    <row r="9048" spans="1:6" ht="12.75">
      <c r="A9048" s="8">
        <v>43900.792291666672</v>
      </c>
      <c r="B9048" s="8" t="str">
        <f>HYPERLINK("https://twitter.com/Fm98Sonora","@Fm98Sonora")</f>
        <v>@Fm98Sonora</v>
      </c>
      <c r="C9048" s="8" t="s">
        <v>4096</v>
      </c>
      <c r="D9048" s="8">
        <v>2</v>
      </c>
      <c r="E9048" s="8">
        <v>0</v>
      </c>
      <c r="F9048" s="8">
        <v>27</v>
      </c>
    </row>
    <row r="9049" spans="1:6" ht="12.75">
      <c r="A9049" s="8">
        <v>43900.792256944449</v>
      </c>
      <c r="B9049" s="8" t="str">
        <f>HYPERLINK("https://twitter.com/kangewink","@kangewink")</f>
        <v>@kangewink</v>
      </c>
      <c r="C9049" s="8" t="s">
        <v>318</v>
      </c>
      <c r="D9049" s="8">
        <v>802</v>
      </c>
      <c r="E9049" s="8">
        <v>0</v>
      </c>
      <c r="F9049" s="8">
        <v>147</v>
      </c>
    </row>
    <row r="9050" spans="1:6" ht="12.75">
      <c r="A9050" s="8">
        <v>43900.792222222226</v>
      </c>
      <c r="B9050" s="8" t="str">
        <f>HYPERLINK("https://twitter.com/AhsanS01","@AhsanS01")</f>
        <v>@AhsanS01</v>
      </c>
      <c r="C9050" s="8" t="s">
        <v>4097</v>
      </c>
      <c r="D9050" s="8">
        <v>0</v>
      </c>
      <c r="E9050" s="8">
        <v>0</v>
      </c>
      <c r="F9050" s="8">
        <v>968</v>
      </c>
    </row>
    <row r="9051" spans="1:6" ht="12.75">
      <c r="A9051" s="8">
        <v>43900.792118055557</v>
      </c>
      <c r="B9051" s="8" t="str">
        <f>HYPERLINK("https://twitter.com/acehaye","@acehaye")</f>
        <v>@acehaye</v>
      </c>
      <c r="C9051" s="8" t="s">
        <v>4098</v>
      </c>
      <c r="D9051" s="8">
        <v>0</v>
      </c>
      <c r="E9051" s="8">
        <v>0</v>
      </c>
      <c r="F9051" s="8">
        <v>216</v>
      </c>
    </row>
    <row r="9052" spans="1:6" ht="12.75">
      <c r="A9052" s="8">
        <v>43900.79206018518</v>
      </c>
      <c r="B9052" s="8" t="str">
        <f>HYPERLINK("https://twitter.com/mediapontianak","@mediapontianak")</f>
        <v>@mediapontianak</v>
      </c>
      <c r="C9052" s="8" t="s">
        <v>4099</v>
      </c>
      <c r="D9052" s="8">
        <v>0</v>
      </c>
      <c r="E9052" s="8">
        <v>0</v>
      </c>
      <c r="F9052" s="8">
        <v>275</v>
      </c>
    </row>
    <row r="9053" spans="1:6" ht="12.75">
      <c r="A9053" s="8">
        <v>43900.79184027778</v>
      </c>
      <c r="B9053" s="8" t="str">
        <f>HYPERLINK("https://twitter.com/RadarMiliter","@RadarMiliter")</f>
        <v>@RadarMiliter</v>
      </c>
      <c r="C9053" s="8" t="s">
        <v>4100</v>
      </c>
      <c r="D9053" s="8">
        <v>0</v>
      </c>
      <c r="E9053" s="8">
        <v>0</v>
      </c>
      <c r="F9053" s="8">
        <v>156</v>
      </c>
    </row>
    <row r="9054" spans="1:6" ht="12.75">
      <c r="A9054" s="8">
        <v>43900.791712962964</v>
      </c>
      <c r="B9054" s="8" t="str">
        <f>HYPERLINK("https://twitter.com/andi_dwan15","@andi_dwan15")</f>
        <v>@andi_dwan15</v>
      </c>
      <c r="C9054" s="8" t="s">
        <v>4101</v>
      </c>
      <c r="D9054" s="8">
        <v>0</v>
      </c>
      <c r="E9054" s="8">
        <v>0</v>
      </c>
      <c r="F9054" s="8">
        <v>62</v>
      </c>
    </row>
    <row r="9055" spans="1:6" ht="12.75">
      <c r="A9055" s="8">
        <v>43900.791481481487</v>
      </c>
      <c r="B9055" s="8" t="str">
        <f>HYPERLINK("https://twitter.com/Wotayuk","@Wotayuk")</f>
        <v>@Wotayuk</v>
      </c>
      <c r="C9055" s="8" t="s">
        <v>4102</v>
      </c>
      <c r="D9055" s="8">
        <v>0</v>
      </c>
      <c r="E9055" s="8">
        <v>0</v>
      </c>
      <c r="F9055" s="8">
        <v>65</v>
      </c>
    </row>
    <row r="9056" spans="1:6" ht="12.75">
      <c r="A9056" s="8">
        <v>43900.790983796294</v>
      </c>
      <c r="B9056" s="8" t="str">
        <f>HYPERLINK("https://twitter.com/wonpilwantsme","@wonpilwantsme")</f>
        <v>@wonpilwantsme</v>
      </c>
      <c r="C9056" s="8" t="s">
        <v>4103</v>
      </c>
      <c r="D9056" s="8">
        <v>0</v>
      </c>
      <c r="E9056" s="8">
        <v>0</v>
      </c>
      <c r="F9056" s="8">
        <v>488</v>
      </c>
    </row>
    <row r="9057" spans="1:6" ht="12.75">
      <c r="A9057" s="8">
        <v>43900.790034722224</v>
      </c>
      <c r="B9057" s="8" t="str">
        <f>HYPERLINK("https://twitter.com/best_salesman_","@best_salesman_")</f>
        <v>@best_salesman_</v>
      </c>
      <c r="C9057" s="8" t="s">
        <v>318</v>
      </c>
      <c r="D9057" s="8">
        <v>802</v>
      </c>
      <c r="E9057" s="8">
        <v>0</v>
      </c>
      <c r="F9057" s="8">
        <v>1646</v>
      </c>
    </row>
    <row r="9058" spans="1:6" ht="12.75">
      <c r="A9058" s="8">
        <v>43900.789675925931</v>
      </c>
      <c r="B9058" s="8" t="str">
        <f>HYPERLINK("https://twitter.com/Wotayuk","@Wotayuk")</f>
        <v>@Wotayuk</v>
      </c>
      <c r="C9058" s="8" t="s">
        <v>4104</v>
      </c>
      <c r="D9058" s="8">
        <v>0</v>
      </c>
      <c r="E9058" s="8">
        <v>0</v>
      </c>
      <c r="F9058" s="8">
        <v>65</v>
      </c>
    </row>
    <row r="9059" spans="1:6" ht="12.75">
      <c r="A9059" s="8">
        <v>43900.789664351847</v>
      </c>
      <c r="B9059" s="8" t="str">
        <f>HYPERLINK("https://twitter.com/zlkr_naen","@zlkr_naen")</f>
        <v>@zlkr_naen</v>
      </c>
      <c r="C9059" s="8" t="s">
        <v>3820</v>
      </c>
      <c r="D9059" s="8">
        <v>22</v>
      </c>
      <c r="E9059" s="8">
        <v>0</v>
      </c>
      <c r="F9059" s="8">
        <v>807</v>
      </c>
    </row>
    <row r="9060" spans="1:6" ht="12.75">
      <c r="A9060" s="8">
        <v>43900.789571759262</v>
      </c>
      <c r="B9060" s="8" t="str">
        <f>HYPERLINK("https://twitter.com/_apelu","@_apelu")</f>
        <v>@_apelu</v>
      </c>
      <c r="C9060" s="8" t="s">
        <v>3050</v>
      </c>
      <c r="D9060" s="8">
        <v>139</v>
      </c>
      <c r="E9060" s="8">
        <v>0</v>
      </c>
      <c r="F9060" s="8">
        <v>309</v>
      </c>
    </row>
    <row r="9061" spans="1:6" ht="12.75">
      <c r="A9061" s="8">
        <v>43900.789247685185</v>
      </c>
      <c r="B9061" s="8" t="str">
        <f>HYPERLINK("https://twitter.com/zlkr_naen","@zlkr_naen")</f>
        <v>@zlkr_naen</v>
      </c>
      <c r="C9061" s="8" t="s">
        <v>318</v>
      </c>
      <c r="D9061" s="8">
        <v>802</v>
      </c>
      <c r="E9061" s="8">
        <v>0</v>
      </c>
      <c r="F9061" s="8">
        <v>807</v>
      </c>
    </row>
    <row r="9062" spans="1:6" ht="12.75">
      <c r="A9062" s="8">
        <v>43900.789166666669</v>
      </c>
      <c r="B9062" s="8" t="str">
        <f>HYPERLINK("https://twitter.com/anninditabs","@anninditabs")</f>
        <v>@anninditabs</v>
      </c>
      <c r="C9062" s="8" t="s">
        <v>4105</v>
      </c>
      <c r="D9062" s="8">
        <v>0</v>
      </c>
      <c r="E9062" s="8">
        <v>0</v>
      </c>
      <c r="F9062" s="8">
        <v>735</v>
      </c>
    </row>
    <row r="9063" spans="1:6" ht="12.75">
      <c r="A9063" s="8">
        <v>43900.788599537038</v>
      </c>
      <c r="B9063" s="8" t="str">
        <f>HYPERLINK("https://twitter.com/_wni_","@_wni_")</f>
        <v>@_wni_</v>
      </c>
      <c r="C9063" s="8" t="s">
        <v>4106</v>
      </c>
      <c r="D9063" s="8">
        <v>0</v>
      </c>
      <c r="E9063" s="8">
        <v>0</v>
      </c>
      <c r="F9063" s="8">
        <v>20</v>
      </c>
    </row>
    <row r="9064" spans="1:6" ht="12.75">
      <c r="A9064" s="8">
        <v>43900.788506944446</v>
      </c>
      <c r="B9064" s="8" t="str">
        <f>HYPERLINK("https://twitter.com/RoyhanSulaeman","@RoyhanSulaeman")</f>
        <v>@RoyhanSulaeman</v>
      </c>
      <c r="C9064" s="8" t="s">
        <v>318</v>
      </c>
      <c r="D9064" s="8">
        <v>802</v>
      </c>
      <c r="E9064" s="8">
        <v>0</v>
      </c>
      <c r="F9064" s="8">
        <v>33</v>
      </c>
    </row>
    <row r="9065" spans="1:6" ht="12.75">
      <c r="A9065" s="8">
        <v>43900.788275462968</v>
      </c>
      <c r="B9065" s="8" t="str">
        <f>HYPERLINK("https://twitter.com/LanangS61007204","@LanangS61007204")</f>
        <v>@LanangS61007204</v>
      </c>
      <c r="C9065" s="8" t="s">
        <v>3265</v>
      </c>
      <c r="D9065" s="8">
        <v>548</v>
      </c>
      <c r="E9065" s="8">
        <v>0</v>
      </c>
      <c r="F9065" s="8">
        <v>44</v>
      </c>
    </row>
    <row r="9066" spans="1:6" ht="12.75">
      <c r="A9066" s="8">
        <v>43900.787719907406</v>
      </c>
      <c r="B9066" s="8" t="str">
        <f>HYPERLINK("https://twitter.com/0haewuff","@0haewuff")</f>
        <v>@0haewuff</v>
      </c>
      <c r="C9066" s="8" t="s">
        <v>4107</v>
      </c>
      <c r="D9066" s="8">
        <v>0</v>
      </c>
      <c r="E9066" s="8">
        <v>0</v>
      </c>
      <c r="F9066" s="8">
        <v>604</v>
      </c>
    </row>
    <row r="9067" spans="1:6" ht="12.75">
      <c r="A9067" s="8">
        <v>43900.787314814814</v>
      </c>
      <c r="B9067" s="8" t="str">
        <f>HYPERLINK("https://twitter.com/anakdewa","@anakdewa")</f>
        <v>@anakdewa</v>
      </c>
      <c r="C9067" s="8" t="s">
        <v>4108</v>
      </c>
      <c r="D9067" s="8">
        <v>1</v>
      </c>
      <c r="E9067" s="8">
        <v>2</v>
      </c>
      <c r="F9067" s="8">
        <v>672</v>
      </c>
    </row>
    <row r="9068" spans="1:6" ht="12.75">
      <c r="A9068" s="8">
        <v>43900.787245370375</v>
      </c>
      <c r="B9068" s="8" t="str">
        <f>HYPERLINK("https://twitter.com/santidewi888","@santidewi888")</f>
        <v>@santidewi888</v>
      </c>
      <c r="C9068" s="8" t="s">
        <v>4109</v>
      </c>
      <c r="D9068" s="8">
        <v>0</v>
      </c>
      <c r="E9068" s="8">
        <v>0</v>
      </c>
      <c r="F9068" s="8">
        <v>723</v>
      </c>
    </row>
    <row r="9069" spans="1:6" ht="12.75">
      <c r="A9069" s="8">
        <v>43900.78696759259</v>
      </c>
      <c r="B9069" s="8" t="str">
        <f>HYPERLINK("https://twitter.com/mureliyana","@mureliyana")</f>
        <v>@mureliyana</v>
      </c>
      <c r="C9069" s="8" t="s">
        <v>318</v>
      </c>
      <c r="D9069" s="8">
        <v>802</v>
      </c>
      <c r="E9069" s="8">
        <v>0</v>
      </c>
      <c r="F9069" s="8">
        <v>333</v>
      </c>
    </row>
    <row r="9070" spans="1:6" ht="12.75">
      <c r="A9070" s="8">
        <v>43900.78638888889</v>
      </c>
      <c r="B9070" s="8" t="str">
        <f>HYPERLINK("https://twitter.com/pantriady","@pantriady")</f>
        <v>@pantriady</v>
      </c>
      <c r="C9070" s="8" t="s">
        <v>4110</v>
      </c>
      <c r="D9070" s="8">
        <v>0</v>
      </c>
      <c r="E9070" s="8">
        <v>0</v>
      </c>
      <c r="F9070" s="8">
        <v>59</v>
      </c>
    </row>
    <row r="9071" spans="1:6" ht="12.75">
      <c r="A9071" s="8">
        <v>43900.786377314813</v>
      </c>
      <c r="B9071" s="8" t="str">
        <f>HYPERLINK("https://twitter.com/ISIS_Balik_NO","@ISIS_Balik_NO")</f>
        <v>@ISIS_Balik_NO</v>
      </c>
      <c r="C9071" s="8" t="s">
        <v>4111</v>
      </c>
      <c r="D9071" s="8">
        <v>0</v>
      </c>
      <c r="E9071" s="8">
        <v>0</v>
      </c>
      <c r="F9071" s="8">
        <v>6222</v>
      </c>
    </row>
    <row r="9072" spans="1:6" ht="12.75">
      <c r="A9072" s="8">
        <v>43900.786377314813</v>
      </c>
      <c r="B9072" s="8" t="str">
        <f>HYPERLINK("https://twitter.com/idntimes","@idntimes")</f>
        <v>@idntimes</v>
      </c>
      <c r="C9072" s="8" t="s">
        <v>4112</v>
      </c>
      <c r="D9072" s="8">
        <v>1</v>
      </c>
      <c r="E9072" s="8">
        <v>1</v>
      </c>
      <c r="F9072" s="8">
        <v>394448</v>
      </c>
    </row>
    <row r="9073" spans="1:6" ht="12.75">
      <c r="A9073" s="8">
        <v>43900.786296296297</v>
      </c>
      <c r="B9073" s="8" t="str">
        <f>HYPERLINK("https://twitter.com/sfi4ns","@sfi4ns")</f>
        <v>@sfi4ns</v>
      </c>
      <c r="C9073" s="8" t="s">
        <v>1186</v>
      </c>
      <c r="D9073" s="8">
        <v>39</v>
      </c>
      <c r="E9073" s="8">
        <v>0</v>
      </c>
      <c r="F9073" s="8">
        <v>2901</v>
      </c>
    </row>
    <row r="9074" spans="1:6" ht="12.75">
      <c r="A9074" s="8">
        <v>43900.785405092596</v>
      </c>
      <c r="B9074" s="8" t="str">
        <f>HYPERLINK("https://twitter.com/ferzkarim","@ferzkarim")</f>
        <v>@ferzkarim</v>
      </c>
      <c r="C9074" s="8" t="s">
        <v>4113</v>
      </c>
      <c r="D9074" s="8">
        <v>0</v>
      </c>
      <c r="E9074" s="8">
        <v>0</v>
      </c>
      <c r="F9074" s="8">
        <v>121</v>
      </c>
    </row>
    <row r="9075" spans="1:6" ht="12.75">
      <c r="A9075" s="8">
        <v>43900.785381944443</v>
      </c>
      <c r="B9075" s="8" t="str">
        <f>HYPERLINK("https://twitter.com/_leazzuri","@_leazzuri")</f>
        <v>@_leazzuri</v>
      </c>
      <c r="C9075" s="8" t="s">
        <v>4114</v>
      </c>
      <c r="D9075" s="8">
        <v>0</v>
      </c>
      <c r="E9075" s="8">
        <v>0</v>
      </c>
      <c r="F9075" s="8">
        <v>137</v>
      </c>
    </row>
    <row r="9076" spans="1:6" ht="12.75">
      <c r="A9076" s="8">
        <v>43900.78533564815</v>
      </c>
      <c r="B9076" s="8" t="str">
        <f>HYPERLINK("https://twitter.com/realcleanindia","@realcleanindia")</f>
        <v>@realcleanindia</v>
      </c>
      <c r="C9076" s="8" t="s">
        <v>4115</v>
      </c>
      <c r="D9076" s="8">
        <v>0</v>
      </c>
      <c r="E9076" s="8">
        <v>0</v>
      </c>
      <c r="F9076" s="8">
        <v>1</v>
      </c>
    </row>
    <row r="9077" spans="1:6" ht="12.75">
      <c r="A9077" s="8">
        <v>43900.785254629634</v>
      </c>
      <c r="B9077" s="8" t="str">
        <f>HYPERLINK("https://twitter.com/AEPishere","@AEPishere")</f>
        <v>@AEPishere</v>
      </c>
      <c r="C9077" s="8" t="s">
        <v>4116</v>
      </c>
      <c r="D9077" s="8">
        <v>12</v>
      </c>
      <c r="E9077" s="8">
        <v>0</v>
      </c>
      <c r="F9077" s="8">
        <v>3009</v>
      </c>
    </row>
    <row r="9078" spans="1:6" ht="12.75">
      <c r="A9078" s="8">
        <v>43900.785115740742</v>
      </c>
      <c r="B9078" s="8" t="str">
        <f>HYPERLINK("https://twitter.com/jonnefi","@jonnefi")</f>
        <v>@jonnefi</v>
      </c>
      <c r="C9078" s="8" t="s">
        <v>318</v>
      </c>
      <c r="D9078" s="8">
        <v>802</v>
      </c>
      <c r="E9078" s="8">
        <v>0</v>
      </c>
      <c r="F9078" s="8">
        <v>935</v>
      </c>
    </row>
    <row r="9079" spans="1:6" ht="12.75">
      <c r="A9079" s="8">
        <v>43900.785057870366</v>
      </c>
      <c r="B9079" s="8" t="str">
        <f>HYPERLINK("https://twitter.com/ISIS_Balik_NO","@ISIS_Balik_NO")</f>
        <v>@ISIS_Balik_NO</v>
      </c>
      <c r="C9079" s="8" t="s">
        <v>4117</v>
      </c>
      <c r="D9079" s="8">
        <v>0</v>
      </c>
      <c r="E9079" s="8">
        <v>0</v>
      </c>
      <c r="F9079" s="8">
        <v>6222</v>
      </c>
    </row>
    <row r="9080" spans="1:6" ht="12.75">
      <c r="A9080" s="8">
        <v>43900.784872685181</v>
      </c>
      <c r="B9080" s="8" t="str">
        <f>HYPERLINK("https://twitter.com/aslipribumiraya","@aslipribumiraya")</f>
        <v>@aslipribumiraya</v>
      </c>
      <c r="C9080" s="8" t="s">
        <v>4118</v>
      </c>
      <c r="D9080" s="8">
        <v>0</v>
      </c>
      <c r="E9080" s="8">
        <v>1</v>
      </c>
      <c r="F9080" s="8">
        <v>2151</v>
      </c>
    </row>
    <row r="9081" spans="1:6" ht="12.75">
      <c r="A9081" s="8">
        <v>43900.784687499996</v>
      </c>
      <c r="B9081" s="8" t="str">
        <f>HYPERLINK("https://twitter.com/tiyatiyottt","@tiyatiyottt")</f>
        <v>@tiyatiyottt</v>
      </c>
      <c r="C9081" s="8" t="s">
        <v>4116</v>
      </c>
      <c r="D9081" s="8">
        <v>12</v>
      </c>
      <c r="E9081" s="8">
        <v>0</v>
      </c>
      <c r="F9081" s="8">
        <v>228</v>
      </c>
    </row>
    <row r="9082" spans="1:6" ht="12.75">
      <c r="A9082" s="8">
        <v>43900.784629629634</v>
      </c>
      <c r="B9082" s="8" t="str">
        <f>HYPERLINK("https://twitter.com/alexa_alie","@alexa_alie")</f>
        <v>@alexa_alie</v>
      </c>
      <c r="C9082" s="8" t="s">
        <v>4116</v>
      </c>
      <c r="D9082" s="8">
        <v>12</v>
      </c>
      <c r="E9082" s="8">
        <v>0</v>
      </c>
      <c r="F9082" s="8">
        <v>109</v>
      </c>
    </row>
    <row r="9083" spans="1:6" ht="12.75">
      <c r="A9083" s="8">
        <v>43900.78460648148</v>
      </c>
      <c r="B9083" s="8" t="str">
        <f>HYPERLINK("https://twitter.com/goencobain","@goencobain")</f>
        <v>@goencobain</v>
      </c>
      <c r="C9083" s="8" t="s">
        <v>318</v>
      </c>
      <c r="D9083" s="8">
        <v>802</v>
      </c>
      <c r="E9083" s="8">
        <v>0</v>
      </c>
      <c r="F9083" s="8">
        <v>47</v>
      </c>
    </row>
    <row r="9084" spans="1:6" ht="12.75">
      <c r="A9084" s="8">
        <v>43900.783946759257</v>
      </c>
      <c r="B9084" s="8" t="str">
        <f>HYPERLINK("https://twitter.com/jim_tooth","@jim_tooth")</f>
        <v>@jim_tooth</v>
      </c>
      <c r="C9084" s="8" t="s">
        <v>4119</v>
      </c>
      <c r="D9084" s="8">
        <v>0</v>
      </c>
      <c r="E9084" s="8">
        <v>0</v>
      </c>
      <c r="F9084" s="8">
        <v>8</v>
      </c>
    </row>
    <row r="9085" spans="1:6" ht="12.75">
      <c r="A9085" s="8">
        <v>43900.783854166672</v>
      </c>
      <c r="B9085" s="8" t="str">
        <f>HYPERLINK("https://twitter.com/LaeGaligo","@LaeGaligo")</f>
        <v>@LaeGaligo</v>
      </c>
      <c r="C9085" s="8" t="s">
        <v>318</v>
      </c>
      <c r="D9085" s="8">
        <v>802</v>
      </c>
      <c r="E9085" s="8">
        <v>0</v>
      </c>
      <c r="F9085" s="8">
        <v>671</v>
      </c>
    </row>
    <row r="9086" spans="1:6" ht="12.75">
      <c r="A9086" s="8">
        <v>43900.78324074074</v>
      </c>
      <c r="B9086" s="8" t="str">
        <f>HYPERLINK("https://twitter.com/Jaga_indonesia1","@Jaga_indonesia1")</f>
        <v>@Jaga_indonesia1</v>
      </c>
      <c r="C9086" s="8" t="s">
        <v>2777</v>
      </c>
      <c r="D9086" s="8">
        <v>82</v>
      </c>
      <c r="E9086" s="8">
        <v>0</v>
      </c>
      <c r="F9086" s="8">
        <v>743</v>
      </c>
    </row>
    <row r="9087" spans="1:6" ht="12.75">
      <c r="A9087" s="8">
        <v>43900.782951388886</v>
      </c>
      <c r="B9087" s="8" t="str">
        <f>HYPERLINK("https://twitter.com/ISIS_Balik_NO","@ISIS_Balik_NO")</f>
        <v>@ISIS_Balik_NO</v>
      </c>
      <c r="C9087" s="8" t="s">
        <v>4120</v>
      </c>
      <c r="D9087" s="8">
        <v>0</v>
      </c>
      <c r="E9087" s="8">
        <v>0</v>
      </c>
      <c r="F9087" s="8">
        <v>6222</v>
      </c>
    </row>
    <row r="9088" spans="1:6" ht="12.75">
      <c r="A9088" s="8">
        <v>43900.782673611116</v>
      </c>
      <c r="B9088" s="8" t="str">
        <f>HYPERLINK("https://twitter.com/demokrasicoid","@demokrasicoid")</f>
        <v>@demokrasicoid</v>
      </c>
      <c r="C9088" s="8" t="s">
        <v>4121</v>
      </c>
      <c r="D9088" s="8">
        <v>0</v>
      </c>
      <c r="E9088" s="8">
        <v>0</v>
      </c>
      <c r="F9088" s="8">
        <v>23318</v>
      </c>
    </row>
    <row r="9089" spans="1:6" ht="12.75">
      <c r="A9089" s="8">
        <v>43900.782592592594</v>
      </c>
      <c r="B9089" s="8" t="str">
        <f>HYPERLINK("https://twitter.com/panjimao","@panjimao")</f>
        <v>@panjimao</v>
      </c>
      <c r="C9089" s="8" t="s">
        <v>4122</v>
      </c>
      <c r="D9089" s="8">
        <v>21</v>
      </c>
      <c r="E9089" s="8">
        <v>0</v>
      </c>
      <c r="F9089" s="8">
        <v>394</v>
      </c>
    </row>
    <row r="9090" spans="1:6" ht="12.75">
      <c r="A9090" s="8">
        <v>43900.782280092593</v>
      </c>
      <c r="B9090" s="8" t="str">
        <f>HYPERLINK("https://twitter.com/Zahzazahza1","@Zahzazahza1")</f>
        <v>@Zahzazahza1</v>
      </c>
      <c r="C9090" s="8" t="s">
        <v>318</v>
      </c>
      <c r="D9090" s="8">
        <v>802</v>
      </c>
      <c r="E9090" s="8">
        <v>0</v>
      </c>
      <c r="F9090" s="8">
        <v>126</v>
      </c>
    </row>
    <row r="9091" spans="1:6" ht="12.75">
      <c r="A9091" s="8">
        <v>43900.781944444447</v>
      </c>
      <c r="B9091" s="8" t="str">
        <f>HYPERLINK("https://twitter.com/ariesM_","@ariesM_")</f>
        <v>@ariesM_</v>
      </c>
      <c r="C9091" s="8" t="s">
        <v>4116</v>
      </c>
      <c r="D9091" s="8">
        <v>12</v>
      </c>
      <c r="E9091" s="8">
        <v>0</v>
      </c>
      <c r="F9091" s="8">
        <v>264</v>
      </c>
    </row>
    <row r="9092" spans="1:6" ht="12.75">
      <c r="A9092" s="8">
        <v>43900.781643518523</v>
      </c>
      <c r="B9092" s="8" t="str">
        <f>HYPERLINK("https://twitter.com/ISIS_Balik_NO","@ISIS_Balik_NO")</f>
        <v>@ISIS_Balik_NO</v>
      </c>
      <c r="C9092" s="8" t="s">
        <v>4123</v>
      </c>
      <c r="D9092" s="8">
        <v>0</v>
      </c>
      <c r="E9092" s="8">
        <v>0</v>
      </c>
      <c r="F9092" s="8">
        <v>6222</v>
      </c>
    </row>
    <row r="9093" spans="1:6" ht="12.75">
      <c r="A9093" s="8">
        <v>43900.781493055554</v>
      </c>
      <c r="B9093" s="8" t="str">
        <f>HYPERLINK("https://twitter.com/suryadarma471","@suryadarma471")</f>
        <v>@suryadarma471</v>
      </c>
      <c r="C9093" s="8" t="s">
        <v>318</v>
      </c>
      <c r="D9093" s="8">
        <v>802</v>
      </c>
      <c r="E9093" s="8">
        <v>0</v>
      </c>
      <c r="F9093" s="8">
        <v>712</v>
      </c>
    </row>
    <row r="9094" spans="1:6" ht="12.75">
      <c r="A9094" s="8">
        <v>43900.780868055561</v>
      </c>
      <c r="B9094" s="8" t="str">
        <f>HYPERLINK("https://twitter.com/ISIS_Balik_NO","@ISIS_Balik_NO")</f>
        <v>@ISIS_Balik_NO</v>
      </c>
      <c r="C9094" s="8" t="s">
        <v>4124</v>
      </c>
      <c r="D9094" s="8">
        <v>0</v>
      </c>
      <c r="E9094" s="8">
        <v>1</v>
      </c>
      <c r="F9094" s="8">
        <v>6222</v>
      </c>
    </row>
    <row r="9095" spans="1:6" ht="12.75">
      <c r="A9095" s="8">
        <v>43900.780185185184</v>
      </c>
      <c r="B9095" s="8" t="str">
        <f>HYPERLINK("https://twitter.com/Qwerty53676690","@Qwerty53676690")</f>
        <v>@Qwerty53676690</v>
      </c>
      <c r="C9095" s="8" t="s">
        <v>318</v>
      </c>
      <c r="D9095" s="8">
        <v>802</v>
      </c>
      <c r="E9095" s="8">
        <v>0</v>
      </c>
      <c r="F9095" s="8">
        <v>12</v>
      </c>
    </row>
    <row r="9096" spans="1:6" ht="12.75">
      <c r="A9096" s="8">
        <v>43900.780127314814</v>
      </c>
      <c r="B9096" s="8" t="str">
        <f>HYPERLINK("https://twitter.com/aroeldisini","@aroeldisini")</f>
        <v>@aroeldisini</v>
      </c>
      <c r="C9096" s="8" t="s">
        <v>318</v>
      </c>
      <c r="D9096" s="8">
        <v>802</v>
      </c>
      <c r="E9096" s="8">
        <v>0</v>
      </c>
      <c r="F9096" s="8">
        <v>243</v>
      </c>
    </row>
    <row r="9097" spans="1:6" ht="12.75">
      <c r="A9097" s="8">
        <v>43900.779965277776</v>
      </c>
      <c r="B9097" s="8" t="str">
        <f>HYPERLINK("https://twitter.com/RadioElshinta","@RadioElshinta")</f>
        <v>@RadioElshinta</v>
      </c>
      <c r="C9097" s="8" t="s">
        <v>4125</v>
      </c>
      <c r="D9097" s="8">
        <v>0</v>
      </c>
      <c r="E9097" s="8">
        <v>1</v>
      </c>
      <c r="F9097" s="8">
        <v>3637431</v>
      </c>
    </row>
    <row r="9098" spans="1:6" ht="12.75">
      <c r="A9098" s="8">
        <v>43900.779953703706</v>
      </c>
      <c r="B9098" s="8" t="str">
        <f>HYPERLINK("https://twitter.com/Antara_Kalteng","@Antara_Kalteng")</f>
        <v>@Antara_Kalteng</v>
      </c>
      <c r="C9098" s="8" t="s">
        <v>3909</v>
      </c>
      <c r="D9098" s="8">
        <v>0</v>
      </c>
      <c r="E9098" s="8">
        <v>0</v>
      </c>
      <c r="F9098" s="8">
        <v>4673</v>
      </c>
    </row>
    <row r="9099" spans="1:6" ht="12.75">
      <c r="A9099" s="8">
        <v>43900.77988425926</v>
      </c>
      <c r="B9099" s="8" t="str">
        <f>HYPERLINK("https://twitter.com/Syaiful70712854","@Syaiful70712854")</f>
        <v>@Syaiful70712854</v>
      </c>
      <c r="C9099" s="8" t="s">
        <v>318</v>
      </c>
      <c r="D9099" s="8">
        <v>802</v>
      </c>
      <c r="E9099" s="8">
        <v>0</v>
      </c>
      <c r="F9099" s="8">
        <v>4</v>
      </c>
    </row>
    <row r="9100" spans="1:6" ht="12.75">
      <c r="A9100" s="8">
        <v>43900.779513888891</v>
      </c>
      <c r="B9100" s="8" t="str">
        <f>HYPERLINK("https://twitter.com/the_schloss","@the_schloss")</f>
        <v>@the_schloss</v>
      </c>
      <c r="C9100" s="8" t="s">
        <v>1186</v>
      </c>
      <c r="D9100" s="8">
        <v>39</v>
      </c>
      <c r="E9100" s="8">
        <v>0</v>
      </c>
      <c r="F9100" s="8">
        <v>593</v>
      </c>
    </row>
    <row r="9101" spans="1:6" ht="12.75">
      <c r="A9101" s="8">
        <v>43900.779178240744</v>
      </c>
      <c r="B9101" s="8" t="str">
        <f>HYPERLINK("https://twitter.com/Arfa_Manaf","@Arfa_Manaf")</f>
        <v>@Arfa_Manaf</v>
      </c>
      <c r="C9101" s="8" t="s">
        <v>318</v>
      </c>
      <c r="D9101" s="8">
        <v>802</v>
      </c>
      <c r="E9101" s="8">
        <v>0</v>
      </c>
      <c r="F9101" s="8">
        <v>87</v>
      </c>
    </row>
    <row r="9102" spans="1:6" ht="12.75">
      <c r="A9102" s="8">
        <v>43900.779120370367</v>
      </c>
      <c r="B9102" s="8" t="str">
        <f>HYPERLINK("https://twitter.com/gbrllaaaa","@gbrllaaaa")</f>
        <v>@gbrllaaaa</v>
      </c>
      <c r="C9102" s="8" t="s">
        <v>4126</v>
      </c>
      <c r="D9102" s="8">
        <v>0</v>
      </c>
      <c r="E9102" s="8">
        <v>0</v>
      </c>
      <c r="F9102" s="8">
        <v>251</v>
      </c>
    </row>
    <row r="9103" spans="1:6" ht="12.75">
      <c r="A9103" s="8">
        <v>43900.778333333335</v>
      </c>
      <c r="B9103" s="8" t="str">
        <f>HYPERLINK("https://twitter.com/Malahay48802284","@Malahay48802284")</f>
        <v>@Malahay48802284</v>
      </c>
      <c r="C9103" s="8" t="s">
        <v>318</v>
      </c>
      <c r="D9103" s="8">
        <v>802</v>
      </c>
      <c r="E9103" s="8">
        <v>0</v>
      </c>
      <c r="F9103" s="8">
        <v>48</v>
      </c>
    </row>
    <row r="9104" spans="1:6" ht="12.75">
      <c r="A9104" s="8">
        <v>43900.778275462959</v>
      </c>
      <c r="B9104" s="8" t="str">
        <f>HYPERLINK("https://twitter.com/akuuririn","@akuuririn")</f>
        <v>@akuuririn</v>
      </c>
      <c r="C9104" s="8" t="s">
        <v>4127</v>
      </c>
      <c r="D9104" s="8">
        <v>0</v>
      </c>
      <c r="E9104" s="8">
        <v>0</v>
      </c>
      <c r="F9104" s="8">
        <v>636</v>
      </c>
    </row>
    <row r="9105" spans="1:6" ht="12.75">
      <c r="A9105" s="8">
        <v>43900.778124999997</v>
      </c>
      <c r="B9105" s="8" t="str">
        <f>HYPERLINK("https://twitter.com/Buyung_Isjoyo","@Buyung_Isjoyo")</f>
        <v>@Buyung_Isjoyo</v>
      </c>
      <c r="C9105" s="8" t="s">
        <v>318</v>
      </c>
      <c r="D9105" s="8">
        <v>802</v>
      </c>
      <c r="E9105" s="8">
        <v>0</v>
      </c>
      <c r="F9105" s="8">
        <v>414</v>
      </c>
    </row>
    <row r="9106" spans="1:6" ht="12.75">
      <c r="A9106" s="8">
        <v>43900.777835648143</v>
      </c>
      <c r="B9106" s="8" t="str">
        <f>HYPERLINK("https://twitter.com/kompascom","@kompascom")</f>
        <v>@kompascom</v>
      </c>
      <c r="C9106" s="8" t="s">
        <v>4128</v>
      </c>
      <c r="D9106" s="8">
        <v>0</v>
      </c>
      <c r="E9106" s="8">
        <v>3</v>
      </c>
      <c r="F9106" s="8">
        <v>7539294</v>
      </c>
    </row>
    <row r="9107" spans="1:6" ht="12.75">
      <c r="A9107" s="8">
        <v>43900.777754629627</v>
      </c>
      <c r="B9107" s="8" t="str">
        <f>HYPERLINK("https://twitter.com/ISIS_Balik_NO","@ISIS_Balik_NO")</f>
        <v>@ISIS_Balik_NO</v>
      </c>
      <c r="C9107" s="8" t="s">
        <v>4129</v>
      </c>
      <c r="D9107" s="8">
        <v>0</v>
      </c>
      <c r="E9107" s="8">
        <v>0</v>
      </c>
      <c r="F9107" s="8">
        <v>6222</v>
      </c>
    </row>
    <row r="9108" spans="1:6" ht="12.75">
      <c r="A9108" s="8">
        <v>43900.777268518519</v>
      </c>
      <c r="B9108" s="8" t="str">
        <f>HYPERLINK("https://twitter.com/DanaputraHendra","@DanaputraHendra")</f>
        <v>@DanaputraHendra</v>
      </c>
      <c r="C9108" s="8" t="s">
        <v>318</v>
      </c>
      <c r="D9108" s="8">
        <v>802</v>
      </c>
      <c r="E9108" s="8">
        <v>0</v>
      </c>
      <c r="F9108" s="8">
        <v>369</v>
      </c>
    </row>
    <row r="9109" spans="1:6" ht="12.75">
      <c r="A9109" s="8">
        <v>43900.777199074073</v>
      </c>
      <c r="B9109" s="8" t="str">
        <f>HYPERLINK("https://twitter.com/RatnaDAstuti1","@RatnaDAstuti1")</f>
        <v>@RatnaDAstuti1</v>
      </c>
      <c r="C9109" s="8" t="s">
        <v>1959</v>
      </c>
      <c r="D9109" s="8">
        <v>2</v>
      </c>
      <c r="E9109" s="8">
        <v>0</v>
      </c>
      <c r="F9109" s="8">
        <v>33</v>
      </c>
    </row>
    <row r="9110" spans="1:6" ht="12.75">
      <c r="A9110" s="8">
        <v>43900.776747685188</v>
      </c>
      <c r="B9110" s="8" t="str">
        <f>HYPERLINK("https://twitter.com/SuryaBorneo","@SuryaBorneo")</f>
        <v>@SuryaBorneo</v>
      </c>
      <c r="C9110" s="8" t="s">
        <v>4116</v>
      </c>
      <c r="D9110" s="8">
        <v>12</v>
      </c>
      <c r="E9110" s="8">
        <v>0</v>
      </c>
      <c r="F9110" s="8">
        <v>1019</v>
      </c>
    </row>
    <row r="9111" spans="1:6" ht="12.75">
      <c r="A9111" s="8">
        <v>43900.776701388888</v>
      </c>
      <c r="B9111" s="8" t="str">
        <f>HYPERLINK("https://twitter.com/yudisanti08","@yudisanti08")</f>
        <v>@yudisanti08</v>
      </c>
      <c r="C9111" s="8" t="s">
        <v>318</v>
      </c>
      <c r="D9111" s="8">
        <v>802</v>
      </c>
      <c r="E9111" s="8">
        <v>0</v>
      </c>
      <c r="F9111" s="8">
        <v>229</v>
      </c>
    </row>
    <row r="9112" spans="1:6" ht="12.75">
      <c r="A9112" s="8">
        <v>43900.776643518519</v>
      </c>
      <c r="B9112" s="8" t="str">
        <f>HYPERLINK("https://twitter.com/ISIS_Balik_NO","@ISIS_Balik_NO")</f>
        <v>@ISIS_Balik_NO</v>
      </c>
      <c r="C9112" s="8" t="s">
        <v>4130</v>
      </c>
      <c r="D9112" s="8">
        <v>0</v>
      </c>
      <c r="E9112" s="8">
        <v>0</v>
      </c>
      <c r="F9112" s="8">
        <v>6222</v>
      </c>
    </row>
    <row r="9113" spans="1:6" ht="12.75">
      <c r="A9113" s="8">
        <v>43900.776608796295</v>
      </c>
      <c r="B9113" s="8" t="str">
        <f>HYPERLINK("https://twitter.com/kangngabei","@kangngabei")</f>
        <v>@kangngabei</v>
      </c>
      <c r="C9113" s="8" t="s">
        <v>4116</v>
      </c>
      <c r="D9113" s="8">
        <v>12</v>
      </c>
      <c r="E9113" s="8">
        <v>0</v>
      </c>
      <c r="F9113" s="8">
        <v>1794</v>
      </c>
    </row>
    <row r="9114" spans="1:6" ht="12.75">
      <c r="A9114" s="8">
        <v>43900.776134259257</v>
      </c>
      <c r="B9114" s="8" t="str">
        <f>HYPERLINK("https://twitter.com/masdhafm","@masdhafm")</f>
        <v>@masdhafm</v>
      </c>
      <c r="C9114" s="8" t="s">
        <v>4131</v>
      </c>
      <c r="D9114" s="8">
        <v>0</v>
      </c>
      <c r="E9114" s="8">
        <v>0</v>
      </c>
      <c r="F9114" s="8">
        <v>2825</v>
      </c>
    </row>
    <row r="9115" spans="1:6" ht="12.75">
      <c r="A9115" s="8">
        <v>43900.77579861111</v>
      </c>
      <c r="B9115" s="8" t="str">
        <f t="shared" ref="B9115:B9116" si="149">HYPERLINK("https://twitter.com/julerocks","@julerocks")</f>
        <v>@julerocks</v>
      </c>
      <c r="C9115" s="8" t="s">
        <v>4056</v>
      </c>
      <c r="D9115" s="8">
        <v>6</v>
      </c>
      <c r="E9115" s="8">
        <v>0</v>
      </c>
      <c r="F9115" s="8">
        <v>1082</v>
      </c>
    </row>
    <row r="9116" spans="1:6" ht="12.75">
      <c r="A9116" s="8">
        <v>43900.775740740741</v>
      </c>
      <c r="B9116" s="8" t="str">
        <f t="shared" si="149"/>
        <v>@julerocks</v>
      </c>
      <c r="C9116" s="8" t="s">
        <v>4058</v>
      </c>
      <c r="D9116" s="8">
        <v>10</v>
      </c>
      <c r="E9116" s="8">
        <v>0</v>
      </c>
      <c r="F9116" s="8">
        <v>1082</v>
      </c>
    </row>
    <row r="9117" spans="1:6" ht="12.75">
      <c r="A9117" s="8">
        <v>43900.775729166664</v>
      </c>
      <c r="B9117" s="8" t="str">
        <f>HYPERLINK("https://twitter.com/AjaTindaz","@AjaTindaz")</f>
        <v>@AjaTindaz</v>
      </c>
      <c r="C9117" s="8" t="s">
        <v>3190</v>
      </c>
      <c r="D9117" s="8">
        <v>110</v>
      </c>
      <c r="E9117" s="8">
        <v>0</v>
      </c>
      <c r="F9117" s="8">
        <v>55</v>
      </c>
    </row>
    <row r="9118" spans="1:6" ht="12.75">
      <c r="A9118" s="8">
        <v>43900.775636574079</v>
      </c>
      <c r="B9118" s="8" t="str">
        <f>HYPERLINK("https://twitter.com/sarimusdar09","@sarimusdar09")</f>
        <v>@sarimusdar09</v>
      </c>
      <c r="C9118" s="8" t="s">
        <v>4132</v>
      </c>
      <c r="D9118" s="8">
        <v>0</v>
      </c>
      <c r="E9118" s="8">
        <v>0</v>
      </c>
      <c r="F9118" s="8">
        <v>4488</v>
      </c>
    </row>
    <row r="9119" spans="1:6" ht="12.75">
      <c r="A9119" s="8">
        <v>43900.775381944448</v>
      </c>
      <c r="B9119" s="8" t="str">
        <f>HYPERLINK("https://twitter.com/SuYaNToNo_7","@SuYaNToNo_7")</f>
        <v>@SuYaNToNo_7</v>
      </c>
      <c r="C9119" s="8" t="s">
        <v>318</v>
      </c>
      <c r="D9119" s="8">
        <v>802</v>
      </c>
      <c r="E9119" s="8">
        <v>0</v>
      </c>
      <c r="F9119" s="8">
        <v>129</v>
      </c>
    </row>
    <row r="9120" spans="1:6" ht="12.75">
      <c r="A9120" s="8">
        <v>43900.775312500002</v>
      </c>
      <c r="B9120" s="8" t="str">
        <f>HYPERLINK("https://twitter.com/Upik1610","@Upik1610")</f>
        <v>@Upik1610</v>
      </c>
      <c r="C9120" s="8" t="s">
        <v>4133</v>
      </c>
      <c r="D9120" s="8">
        <v>1</v>
      </c>
      <c r="E9120" s="8">
        <v>0</v>
      </c>
      <c r="F9120" s="8">
        <v>818</v>
      </c>
    </row>
    <row r="9121" spans="1:6" ht="12.75">
      <c r="A9121" s="8">
        <v>43900.774861111116</v>
      </c>
      <c r="B9121" s="8" t="str">
        <f>HYPERLINK("https://twitter.com/yogapraditow","@yogapraditow")</f>
        <v>@yogapraditow</v>
      </c>
      <c r="C9121" s="8" t="s">
        <v>4134</v>
      </c>
      <c r="D9121" s="8">
        <v>6</v>
      </c>
      <c r="E9121" s="8">
        <v>0</v>
      </c>
      <c r="F9121" s="8">
        <v>439</v>
      </c>
    </row>
    <row r="9122" spans="1:6" ht="12.75">
      <c r="A9122" s="8">
        <v>43900.774814814809</v>
      </c>
      <c r="B9122" s="8" t="str">
        <f>HYPERLINK("https://twitter.com/DarmaDa89934536","@DarmaDa89934536")</f>
        <v>@DarmaDa89934536</v>
      </c>
      <c r="C9122" s="8" t="s">
        <v>1186</v>
      </c>
      <c r="D9122" s="8">
        <v>39</v>
      </c>
      <c r="E9122" s="8">
        <v>0</v>
      </c>
      <c r="F9122" s="8">
        <v>318</v>
      </c>
    </row>
    <row r="9123" spans="1:6" ht="12.75">
      <c r="A9123" s="8">
        <v>43900.774259259255</v>
      </c>
      <c r="B9123" s="8" t="str">
        <f>HYPERLINK("https://twitter.com/cakra_byuha","@cakra_byuha")</f>
        <v>@cakra_byuha</v>
      </c>
      <c r="C9123" s="8" t="s">
        <v>318</v>
      </c>
      <c r="D9123" s="8">
        <v>802</v>
      </c>
      <c r="E9123" s="8">
        <v>0</v>
      </c>
      <c r="F9123" s="8">
        <v>356</v>
      </c>
    </row>
    <row r="9124" spans="1:6" ht="12.75">
      <c r="A9124" s="8">
        <v>43900.774131944447</v>
      </c>
      <c r="B9124" s="8" t="str">
        <f>HYPERLINK("https://twitter.com/Belibsber","@Belibsber")</f>
        <v>@Belibsber</v>
      </c>
      <c r="C9124" s="8" t="s">
        <v>3050</v>
      </c>
      <c r="D9124" s="8">
        <v>139</v>
      </c>
      <c r="E9124" s="8">
        <v>0</v>
      </c>
      <c r="F9124" s="8">
        <v>653</v>
      </c>
    </row>
    <row r="9125" spans="1:6" ht="12.75">
      <c r="A9125" s="8">
        <v>43900.773634259254</v>
      </c>
      <c r="B9125" s="8" t="str">
        <f>HYPERLINK("https://twitter.com/merdekadotcom","@merdekadotcom")</f>
        <v>@merdekadotcom</v>
      </c>
      <c r="C9125" s="8" t="s">
        <v>4135</v>
      </c>
      <c r="D9125" s="8">
        <v>1</v>
      </c>
      <c r="E9125" s="8">
        <v>1</v>
      </c>
      <c r="F9125" s="8">
        <v>231978</v>
      </c>
    </row>
    <row r="9126" spans="1:6" ht="12.75">
      <c r="A9126" s="8">
        <v>43900.756203703699</v>
      </c>
      <c r="B9126" s="8" t="str">
        <f>HYPERLINK("https://twitter.com/Indra07229551","@Indra07229551")</f>
        <v>@Indra07229551</v>
      </c>
      <c r="C9126" s="8" t="s">
        <v>318</v>
      </c>
      <c r="D9126" s="8">
        <v>747</v>
      </c>
      <c r="E9126" s="8">
        <v>0</v>
      </c>
      <c r="F9126" s="8">
        <v>115</v>
      </c>
    </row>
    <row r="9127" spans="1:6" ht="12.75">
      <c r="A9127" s="8">
        <v>43900.756064814814</v>
      </c>
      <c r="B9127" s="8" t="str">
        <f>HYPERLINK("https://twitter.com/nhiarjuniar","@nhiarjuniar")</f>
        <v>@nhiarjuniar</v>
      </c>
      <c r="C9127" s="8" t="s">
        <v>318</v>
      </c>
      <c r="D9127" s="8">
        <v>747</v>
      </c>
      <c r="E9127" s="8">
        <v>0</v>
      </c>
      <c r="F9127" s="8">
        <v>2293</v>
      </c>
    </row>
    <row r="9128" spans="1:6" ht="12.75">
      <c r="A9128" s="8">
        <v>43900.756041666667</v>
      </c>
      <c r="B9128" s="8" t="str">
        <f>HYPERLINK("https://twitter.com/ZamanBadroez","@ZamanBadroez")</f>
        <v>@ZamanBadroez</v>
      </c>
      <c r="C9128" s="8" t="s">
        <v>318</v>
      </c>
      <c r="D9128" s="8">
        <v>747</v>
      </c>
      <c r="E9128" s="8">
        <v>0</v>
      </c>
      <c r="F9128" s="8">
        <v>184</v>
      </c>
    </row>
    <row r="9129" spans="1:6" ht="12.75">
      <c r="A9129" s="8">
        <v>43900.755752314813</v>
      </c>
      <c r="B9129" s="8" t="str">
        <f>HYPERLINK("https://twitter.com/shivtruley","@shivtruley")</f>
        <v>@shivtruley</v>
      </c>
      <c r="C9129" s="8" t="s">
        <v>4136</v>
      </c>
      <c r="D9129" s="8">
        <v>0</v>
      </c>
      <c r="E9129" s="8">
        <v>0</v>
      </c>
      <c r="F9129" s="8">
        <v>47</v>
      </c>
    </row>
    <row r="9130" spans="1:6" ht="12.75">
      <c r="A9130" s="8">
        <v>43900.754918981482</v>
      </c>
      <c r="B9130" s="8" t="str">
        <f>HYPERLINK("https://twitter.com/DakwahOnline114","@DakwahOnline114")</f>
        <v>@DakwahOnline114</v>
      </c>
      <c r="C9130" s="8" t="s">
        <v>318</v>
      </c>
      <c r="D9130" s="8">
        <v>747</v>
      </c>
      <c r="E9130" s="8">
        <v>0</v>
      </c>
      <c r="F9130" s="8">
        <v>1096</v>
      </c>
    </row>
    <row r="9131" spans="1:6" ht="12.75">
      <c r="A9131" s="8">
        <v>43900.754895833335</v>
      </c>
      <c r="B9131" s="8" t="str">
        <f>HYPERLINK("https://twitter.com/akmehta63","@akmehta63")</f>
        <v>@akmehta63</v>
      </c>
      <c r="C9131" s="8" t="s">
        <v>1808</v>
      </c>
      <c r="D9131" s="8">
        <v>839</v>
      </c>
      <c r="E9131" s="8">
        <v>0</v>
      </c>
      <c r="F9131" s="8">
        <v>329</v>
      </c>
    </row>
    <row r="9132" spans="1:6" ht="12.75">
      <c r="A9132" s="8">
        <v>43900.75472222222</v>
      </c>
      <c r="B9132" s="8" t="str">
        <f>HYPERLINK("https://twitter.com/faishal_am","@faishal_am")</f>
        <v>@faishal_am</v>
      </c>
      <c r="C9132" s="8" t="s">
        <v>3190</v>
      </c>
      <c r="D9132" s="8">
        <v>106</v>
      </c>
      <c r="E9132" s="8">
        <v>0</v>
      </c>
      <c r="F9132" s="8">
        <v>421</v>
      </c>
    </row>
    <row r="9133" spans="1:6" ht="12.75">
      <c r="A9133" s="8">
        <v>43900.754398148143</v>
      </c>
      <c r="B9133" s="8" t="str">
        <f>HYPERLINK("https://twitter.com/reno_2","@reno_2")</f>
        <v>@reno_2</v>
      </c>
      <c r="C9133" s="8" t="s">
        <v>318</v>
      </c>
      <c r="D9133" s="8">
        <v>747</v>
      </c>
      <c r="E9133" s="8">
        <v>0</v>
      </c>
      <c r="F9133" s="8">
        <v>3771</v>
      </c>
    </row>
    <row r="9134" spans="1:6" ht="12.75">
      <c r="A9134" s="8">
        <v>43900.754027777773</v>
      </c>
      <c r="B9134" s="8" t="str">
        <f>HYPERLINK("https://twitter.com/DarkAng28654725","@DarkAng28654725")</f>
        <v>@DarkAng28654725</v>
      </c>
      <c r="C9134" s="8" t="s">
        <v>4137</v>
      </c>
      <c r="D9134" s="8">
        <v>0</v>
      </c>
      <c r="E9134" s="8">
        <v>0</v>
      </c>
      <c r="F9134" s="8">
        <v>0</v>
      </c>
    </row>
    <row r="9135" spans="1:6" ht="12.75">
      <c r="A9135" s="8">
        <v>43900.753969907411</v>
      </c>
      <c r="B9135" s="8" t="str">
        <f>HYPERLINK("https://twitter.com/Manoj39769297","@Manoj39769297")</f>
        <v>@Manoj39769297</v>
      </c>
      <c r="C9135" s="8" t="s">
        <v>4138</v>
      </c>
      <c r="D9135" s="8">
        <v>0</v>
      </c>
      <c r="E9135" s="8">
        <v>0</v>
      </c>
      <c r="F9135" s="8">
        <v>2</v>
      </c>
    </row>
    <row r="9136" spans="1:6" ht="12.75">
      <c r="A9136" s="8">
        <v>43900.753842592589</v>
      </c>
      <c r="B9136" s="8" t="str">
        <f>HYPERLINK("https://twitter.com/Haluan_","@Haluan_")</f>
        <v>@Haluan_</v>
      </c>
      <c r="C9136" s="8" t="s">
        <v>4139</v>
      </c>
      <c r="D9136" s="8">
        <v>0</v>
      </c>
      <c r="E9136" s="8">
        <v>0</v>
      </c>
      <c r="F9136" s="8">
        <v>1540</v>
      </c>
    </row>
    <row r="9137" spans="1:6" ht="12.75">
      <c r="A9137" s="8">
        <v>43900.753831018519</v>
      </c>
      <c r="B9137" s="8" t="str">
        <f>HYPERLINK("https://twitter.com/Pedang_Terhunus","@Pedang_Terhunus")</f>
        <v>@Pedang_Terhunus</v>
      </c>
      <c r="C9137" s="8" t="s">
        <v>1186</v>
      </c>
      <c r="D9137" s="8">
        <v>32</v>
      </c>
      <c r="E9137" s="8">
        <v>0</v>
      </c>
      <c r="F9137" s="8">
        <v>223</v>
      </c>
    </row>
    <row r="9138" spans="1:6" ht="12.75">
      <c r="A9138" s="8">
        <v>43900.75377314815</v>
      </c>
      <c r="B9138" s="8" t="str">
        <f>HYPERLINK("https://twitter.com/Andywperdana","@Andywperdana")</f>
        <v>@Andywperdana</v>
      </c>
      <c r="C9138" s="8" t="s">
        <v>318</v>
      </c>
      <c r="D9138" s="8">
        <v>747</v>
      </c>
      <c r="E9138" s="8">
        <v>0</v>
      </c>
      <c r="F9138" s="8">
        <v>363</v>
      </c>
    </row>
    <row r="9139" spans="1:6" ht="12.75">
      <c r="A9139" s="8">
        <v>43900.753599537042</v>
      </c>
      <c r="B9139" s="8" t="str">
        <f>HYPERLINK("https://twitter.com/rakhmat_haikal","@rakhmat_haikal")</f>
        <v>@rakhmat_haikal</v>
      </c>
      <c r="C9139" s="8" t="s">
        <v>4140</v>
      </c>
      <c r="D9139" s="8">
        <v>0</v>
      </c>
      <c r="E9139" s="8">
        <v>0</v>
      </c>
      <c r="F9139" s="8">
        <v>788</v>
      </c>
    </row>
    <row r="9140" spans="1:6" ht="12.75">
      <c r="A9140" s="8">
        <v>43900.753587962958</v>
      </c>
      <c r="B9140" s="8" t="str">
        <f>HYPERLINK("https://twitter.com/FAuratv","@FAuratv")</f>
        <v>@FAuratv</v>
      </c>
      <c r="C9140" s="8" t="s">
        <v>4141</v>
      </c>
      <c r="D9140" s="8">
        <v>0</v>
      </c>
      <c r="E9140" s="8">
        <v>0</v>
      </c>
      <c r="F9140" s="8">
        <v>1</v>
      </c>
    </row>
    <row r="9141" spans="1:6" ht="12.75">
      <c r="A9141" s="8">
        <v>43900.753472222219</v>
      </c>
      <c r="B9141" s="8" t="str">
        <f t="shared" ref="B9141:B9142" si="150">HYPERLINK("https://twitter.com/DutaDamaiBanten","@DutaDamaiBanten")</f>
        <v>@DutaDamaiBanten</v>
      </c>
      <c r="C9141" s="8" t="s">
        <v>4142</v>
      </c>
      <c r="D9141" s="8">
        <v>1</v>
      </c>
      <c r="E9141" s="8">
        <v>0</v>
      </c>
      <c r="F9141" s="8">
        <v>42</v>
      </c>
    </row>
    <row r="9142" spans="1:6" ht="12.75">
      <c r="A9142" s="8">
        <v>43900.753159722226</v>
      </c>
      <c r="B9142" s="8" t="str">
        <f t="shared" si="150"/>
        <v>@DutaDamaiBanten</v>
      </c>
      <c r="C9142" s="8" t="s">
        <v>3888</v>
      </c>
      <c r="D9142" s="8">
        <v>3</v>
      </c>
      <c r="E9142" s="8">
        <v>0</v>
      </c>
      <c r="F9142" s="8">
        <v>42</v>
      </c>
    </row>
    <row r="9143" spans="1:6" ht="12.75">
      <c r="A9143" s="8">
        <v>43900.753113425926</v>
      </c>
      <c r="B9143" s="8" t="str">
        <f>HYPERLINK("https://twitter.com/Addarul1","@Addarul1")</f>
        <v>@Addarul1</v>
      </c>
      <c r="C9143" s="8" t="s">
        <v>1186</v>
      </c>
      <c r="D9143" s="8">
        <v>32</v>
      </c>
      <c r="E9143" s="8">
        <v>0</v>
      </c>
      <c r="F9143" s="8">
        <v>4787</v>
      </c>
    </row>
    <row r="9144" spans="1:6" ht="12.75">
      <c r="A9144" s="8">
        <v>43900.753009259264</v>
      </c>
      <c r="B9144" s="8" t="str">
        <f>HYPERLINK("https://twitter.com/MIbrahimazka1","@MIbrahimazka1")</f>
        <v>@MIbrahimazka1</v>
      </c>
      <c r="C9144" s="8" t="s">
        <v>318</v>
      </c>
      <c r="D9144" s="8">
        <v>747</v>
      </c>
      <c r="E9144" s="8">
        <v>0</v>
      </c>
      <c r="F9144" s="8">
        <v>887</v>
      </c>
    </row>
    <row r="9145" spans="1:6" ht="12.75">
      <c r="A9145" s="8">
        <v>43900.752881944441</v>
      </c>
      <c r="B9145" s="8" t="str">
        <f>HYPERLINK("https://twitter.com/tribunnews","@tribunnews")</f>
        <v>@tribunnews</v>
      </c>
      <c r="C9145" s="8" t="s">
        <v>4143</v>
      </c>
      <c r="D9145" s="8">
        <v>0</v>
      </c>
      <c r="E9145" s="8">
        <v>1</v>
      </c>
      <c r="F9145" s="8">
        <v>893598</v>
      </c>
    </row>
    <row r="9146" spans="1:6" ht="12.75">
      <c r="A9146" s="8">
        <v>43900.752337962964</v>
      </c>
      <c r="B9146" s="8" t="str">
        <f>HYPERLINK("https://twitter.com/viveksingh2503","@viveksingh2503")</f>
        <v>@viveksingh2503</v>
      </c>
      <c r="C9146" s="8" t="s">
        <v>4144</v>
      </c>
      <c r="D9146" s="8">
        <v>0</v>
      </c>
      <c r="E9146" s="8">
        <v>2</v>
      </c>
      <c r="F9146" s="8">
        <v>180</v>
      </c>
    </row>
    <row r="9147" spans="1:6" ht="12.75">
      <c r="A9147" s="8">
        <v>43900.751863425925</v>
      </c>
      <c r="B9147" s="8" t="str">
        <f>HYPERLINK("https://twitter.com/kiasleo","@kiasleo")</f>
        <v>@kiasleo</v>
      </c>
      <c r="C9147" s="8" t="s">
        <v>4145</v>
      </c>
      <c r="D9147" s="8">
        <v>4</v>
      </c>
      <c r="E9147" s="8">
        <v>0</v>
      </c>
      <c r="F9147" s="8">
        <v>635</v>
      </c>
    </row>
    <row r="9148" spans="1:6" ht="12.75">
      <c r="A9148" s="8">
        <v>43900.751516203702</v>
      </c>
      <c r="B9148" s="8" t="str">
        <f>HYPERLINK("https://twitter.com/ArabicaBali","@ArabicaBali")</f>
        <v>@ArabicaBali</v>
      </c>
      <c r="C9148" s="8" t="s">
        <v>4146</v>
      </c>
      <c r="D9148" s="8">
        <v>0</v>
      </c>
      <c r="E9148" s="8">
        <v>0</v>
      </c>
      <c r="F9148" s="8">
        <v>144</v>
      </c>
    </row>
    <row r="9149" spans="1:6" ht="12.75">
      <c r="A9149" s="8">
        <v>43900.751412037032</v>
      </c>
      <c r="B9149" s="8" t="str">
        <f>HYPERLINK("https://twitter.com/republikaonline","@republikaonline")</f>
        <v>@republikaonline</v>
      </c>
      <c r="C9149" s="8" t="s">
        <v>4147</v>
      </c>
      <c r="D9149" s="8">
        <v>0</v>
      </c>
      <c r="E9149" s="8">
        <v>0</v>
      </c>
      <c r="F9149" s="8">
        <v>1223442</v>
      </c>
    </row>
    <row r="9150" spans="1:6" ht="12.75">
      <c r="A9150" s="8">
        <v>43900.751400462963</v>
      </c>
      <c r="B9150" s="8" t="str">
        <f>HYPERLINK("https://twitter.com/Makmur13745478","@Makmur13745478")</f>
        <v>@Makmur13745478</v>
      </c>
      <c r="C9150" s="8" t="s">
        <v>4148</v>
      </c>
      <c r="D9150" s="8">
        <v>5</v>
      </c>
      <c r="E9150" s="8">
        <v>0</v>
      </c>
      <c r="F9150" s="8">
        <v>309</v>
      </c>
    </row>
    <row r="9151" spans="1:6" ht="12.75">
      <c r="A9151" s="8">
        <v>43900.750960648147</v>
      </c>
      <c r="B9151" s="8" t="str">
        <f>HYPERLINK("https://twitter.com/oak_math_lee_91","@oak_math_lee_91")</f>
        <v>@oak_math_lee_91</v>
      </c>
      <c r="C9151" s="8" t="s">
        <v>4149</v>
      </c>
      <c r="D9151" s="8">
        <v>0</v>
      </c>
      <c r="E9151" s="8">
        <v>0</v>
      </c>
      <c r="F9151" s="8">
        <v>123</v>
      </c>
    </row>
    <row r="9152" spans="1:6" ht="12.75">
      <c r="A9152" s="8">
        <v>43900.750208333338</v>
      </c>
      <c r="B9152" s="8" t="str">
        <f>HYPERLINK("https://twitter.com/AlfaOmega0110","@AlfaOmega0110")</f>
        <v>@AlfaOmega0110</v>
      </c>
      <c r="C9152" s="8" t="s">
        <v>4150</v>
      </c>
      <c r="D9152" s="8">
        <v>527</v>
      </c>
      <c r="E9152" s="8">
        <v>0</v>
      </c>
      <c r="F9152" s="8">
        <v>1432</v>
      </c>
    </row>
    <row r="9153" spans="1:6" ht="12.75">
      <c r="A9153" s="8">
        <v>43900.750115740739</v>
      </c>
      <c r="B9153" s="8" t="str">
        <f>HYPERLINK("https://twitter.com/Vickih_worsnop","@Vickih_worsnop")</f>
        <v>@Vickih_worsnop</v>
      </c>
      <c r="C9153" s="8" t="s">
        <v>4151</v>
      </c>
      <c r="D9153" s="8">
        <v>3</v>
      </c>
      <c r="E9153" s="8">
        <v>0</v>
      </c>
      <c r="F9153" s="8">
        <v>217</v>
      </c>
    </row>
    <row r="9154" spans="1:6" ht="12.75">
      <c r="A9154" s="8">
        <v>43900.750057870369</v>
      </c>
      <c r="B9154" s="8" t="str">
        <f>HYPERLINK("https://twitter.com/AtaSuharta9","@AtaSuharta9")</f>
        <v>@AtaSuharta9</v>
      </c>
      <c r="C9154" s="8" t="s">
        <v>318</v>
      </c>
      <c r="D9154" s="8">
        <v>747</v>
      </c>
      <c r="E9154" s="8">
        <v>0</v>
      </c>
      <c r="F9154" s="8">
        <v>708</v>
      </c>
    </row>
    <row r="9155" spans="1:6" ht="12.75">
      <c r="A9155" s="8">
        <v>43900.749895833331</v>
      </c>
      <c r="B9155" s="8" t="str">
        <f>HYPERLINK("https://twitter.com/mus_tanjung","@mus_tanjung")</f>
        <v>@mus_tanjung</v>
      </c>
      <c r="C9155" s="8" t="s">
        <v>318</v>
      </c>
      <c r="D9155" s="8">
        <v>747</v>
      </c>
      <c r="E9155" s="8">
        <v>0</v>
      </c>
      <c r="F9155" s="8">
        <v>2600</v>
      </c>
    </row>
    <row r="9156" spans="1:6" ht="12.75">
      <c r="A9156" s="8">
        <v>43900.749421296292</v>
      </c>
      <c r="B9156" s="8" t="str">
        <f>HYPERLINK("https://twitter.com/nandothok","@nandothok")</f>
        <v>@nandothok</v>
      </c>
      <c r="C9156" s="8" t="s">
        <v>4152</v>
      </c>
      <c r="D9156" s="8">
        <v>2</v>
      </c>
      <c r="E9156" s="8">
        <v>0</v>
      </c>
      <c r="F9156" s="8">
        <v>337</v>
      </c>
    </row>
    <row r="9157" spans="1:6" ht="12.75">
      <c r="A9157" s="8">
        <v>43900.748912037037</v>
      </c>
      <c r="B9157" s="8" t="str">
        <f>HYPERLINK("https://twitter.com/ariyandiyuda","@ariyandiyuda")</f>
        <v>@ariyandiyuda</v>
      </c>
      <c r="C9157" s="8" t="s">
        <v>318</v>
      </c>
      <c r="D9157" s="8">
        <v>747</v>
      </c>
      <c r="E9157" s="8">
        <v>0</v>
      </c>
      <c r="F9157" s="8">
        <v>320</v>
      </c>
    </row>
    <row r="9158" spans="1:6" ht="12.75">
      <c r="A9158" s="8">
        <v>43900.74863425926</v>
      </c>
      <c r="B9158" s="8" t="str">
        <f>HYPERLINK("https://twitter.com/han_ss","@han_ss")</f>
        <v>@han_ss</v>
      </c>
      <c r="C9158" s="8" t="s">
        <v>4153</v>
      </c>
      <c r="D9158" s="8">
        <v>0</v>
      </c>
      <c r="E9158" s="8">
        <v>2</v>
      </c>
      <c r="F9158" s="8">
        <v>226</v>
      </c>
    </row>
    <row r="9159" spans="1:6" ht="12.75">
      <c r="A9159" s="8">
        <v>43900.747847222221</v>
      </c>
      <c r="B9159" s="8" t="str">
        <f>HYPERLINK("https://twitter.com/IsBoog","@IsBoog")</f>
        <v>@IsBoog</v>
      </c>
      <c r="C9159" s="8" t="s">
        <v>318</v>
      </c>
      <c r="D9159" s="8">
        <v>747</v>
      </c>
      <c r="E9159" s="8">
        <v>0</v>
      </c>
      <c r="F9159" s="8">
        <v>98</v>
      </c>
    </row>
    <row r="9160" spans="1:6" ht="12.75">
      <c r="A9160" s="8">
        <v>43900.747418981482</v>
      </c>
      <c r="B9160" s="8" t="str">
        <f>HYPERLINK("https://twitter.com/IzulV3","@IzulV3")</f>
        <v>@IzulV3</v>
      </c>
      <c r="C9160" s="8" t="s">
        <v>318</v>
      </c>
      <c r="D9160" s="8">
        <v>747</v>
      </c>
      <c r="E9160" s="8">
        <v>0</v>
      </c>
      <c r="F9160" s="8">
        <v>1200</v>
      </c>
    </row>
    <row r="9161" spans="1:6" ht="12.75">
      <c r="A9161" s="8">
        <v>43900.747187500005</v>
      </c>
      <c r="B9161" s="8" t="str">
        <f>HYPERLINK("https://twitter.com/Mahmud30598789","@Mahmud30598789")</f>
        <v>@Mahmud30598789</v>
      </c>
      <c r="C9161" s="8" t="s">
        <v>318</v>
      </c>
      <c r="D9161" s="8">
        <v>747</v>
      </c>
      <c r="E9161" s="8">
        <v>0</v>
      </c>
      <c r="F9161" s="8">
        <v>124</v>
      </c>
    </row>
    <row r="9162" spans="1:6" ht="12.75">
      <c r="A9162" s="8">
        <v>43900.746782407412</v>
      </c>
      <c r="B9162" s="8" t="str">
        <f>HYPERLINK("https://twitter.com/topinfo_id","@topinfo_id")</f>
        <v>@topinfo_id</v>
      </c>
      <c r="C9162" s="8" t="s">
        <v>4154</v>
      </c>
      <c r="D9162" s="8">
        <v>0</v>
      </c>
      <c r="E9162" s="8">
        <v>0</v>
      </c>
      <c r="F9162" s="8">
        <v>83</v>
      </c>
    </row>
    <row r="9163" spans="1:6" ht="12.75">
      <c r="A9163" s="8">
        <v>43900.746550925927</v>
      </c>
      <c r="B9163" s="8" t="str">
        <f t="shared" ref="B9163:B9164" si="151">HYPERLINK("https://twitter.com/dwiyanaDKM","@dwiyanaDKM")</f>
        <v>@dwiyanaDKM</v>
      </c>
      <c r="C9163" s="8" t="s">
        <v>4155</v>
      </c>
      <c r="D9163" s="8">
        <v>4</v>
      </c>
      <c r="E9163" s="8">
        <v>0</v>
      </c>
      <c r="F9163" s="8">
        <v>2970</v>
      </c>
    </row>
    <row r="9164" spans="1:6" ht="12.75">
      <c r="A9164" s="8">
        <v>43900.746493055558</v>
      </c>
      <c r="B9164" s="8" t="str">
        <f t="shared" si="151"/>
        <v>@dwiyanaDKM</v>
      </c>
      <c r="C9164" s="8" t="s">
        <v>4156</v>
      </c>
      <c r="D9164" s="8">
        <v>11</v>
      </c>
      <c r="E9164" s="8">
        <v>0</v>
      </c>
      <c r="F9164" s="8">
        <v>2970</v>
      </c>
    </row>
    <row r="9165" spans="1:6" ht="12.75">
      <c r="A9165" s="8">
        <v>43900.745648148149</v>
      </c>
      <c r="B9165" s="8" t="str">
        <f>HYPERLINK("https://twitter.com/Roosita11","@Roosita11")</f>
        <v>@Roosita11</v>
      </c>
      <c r="C9165" s="8" t="s">
        <v>318</v>
      </c>
      <c r="D9165" s="8">
        <v>747</v>
      </c>
      <c r="E9165" s="8">
        <v>0</v>
      </c>
      <c r="F9165" s="8">
        <v>10</v>
      </c>
    </row>
    <row r="9166" spans="1:6" ht="12.75">
      <c r="A9166" s="8">
        <v>43900.745578703703</v>
      </c>
      <c r="B9166" s="8" t="str">
        <f>HYPERLINK("https://twitter.com/skyincolour","@skyincolour")</f>
        <v>@skyincolour</v>
      </c>
      <c r="C9166" s="8" t="s">
        <v>4148</v>
      </c>
      <c r="D9166" s="8">
        <v>5</v>
      </c>
      <c r="E9166" s="8">
        <v>0</v>
      </c>
      <c r="F9166" s="8">
        <v>147</v>
      </c>
    </row>
    <row r="9167" spans="1:6" ht="12.75">
      <c r="A9167" s="8">
        <v>43900.745462962965</v>
      </c>
      <c r="B9167" s="8" t="str">
        <f>HYPERLINK("https://twitter.com/dian_9395","@dian_9395")</f>
        <v>@dian_9395</v>
      </c>
      <c r="C9167" s="8" t="s">
        <v>3050</v>
      </c>
      <c r="D9167" s="8">
        <v>135</v>
      </c>
      <c r="E9167" s="8">
        <v>0</v>
      </c>
      <c r="F9167" s="8">
        <v>441</v>
      </c>
    </row>
    <row r="9168" spans="1:6" ht="12.75">
      <c r="A9168" s="8">
        <v>43900.745347222226</v>
      </c>
      <c r="B9168" s="8" t="str">
        <f>HYPERLINK("https://twitter.com/oak_math_lee_91","@oak_math_lee_91")</f>
        <v>@oak_math_lee_91</v>
      </c>
      <c r="C9168" s="8" t="s">
        <v>4157</v>
      </c>
      <c r="D9168" s="8">
        <v>0</v>
      </c>
      <c r="E9168" s="8">
        <v>0</v>
      </c>
      <c r="F9168" s="8">
        <v>123</v>
      </c>
    </row>
    <row r="9169" spans="1:6" ht="12.75">
      <c r="A9169" s="8">
        <v>43900.74428240741</v>
      </c>
      <c r="B9169" s="8" t="str">
        <f>HYPERLINK("https://twitter.com/antaramakassar","@antaramakassar")</f>
        <v>@antaramakassar</v>
      </c>
      <c r="C9169" s="8" t="s">
        <v>4158</v>
      </c>
      <c r="D9169" s="8">
        <v>0</v>
      </c>
      <c r="E9169" s="8">
        <v>0</v>
      </c>
      <c r="F9169" s="8">
        <v>2645</v>
      </c>
    </row>
    <row r="9170" spans="1:6" ht="12.75">
      <c r="A9170" s="8">
        <v>43900.744131944448</v>
      </c>
      <c r="B9170" s="8" t="str">
        <f>HYPERLINK("https://twitter.com/galamedianews","@galamedianews")</f>
        <v>@galamedianews</v>
      </c>
      <c r="C9170" s="8" t="s">
        <v>4159</v>
      </c>
      <c r="D9170" s="8">
        <v>0</v>
      </c>
      <c r="E9170" s="8">
        <v>0</v>
      </c>
      <c r="F9170" s="8">
        <v>13860</v>
      </c>
    </row>
    <row r="9171" spans="1:6" ht="12.75">
      <c r="A9171" s="8">
        <v>43900.743599537032</v>
      </c>
      <c r="B9171" s="8" t="str">
        <f>HYPERLINK("https://twitter.com/hartanto_mas","@hartanto_mas")</f>
        <v>@hartanto_mas</v>
      </c>
      <c r="C9171" s="8" t="s">
        <v>318</v>
      </c>
      <c r="D9171" s="8">
        <v>747</v>
      </c>
      <c r="E9171" s="8">
        <v>0</v>
      </c>
      <c r="F9171" s="8">
        <v>1058</v>
      </c>
    </row>
    <row r="9172" spans="1:6" ht="12.75">
      <c r="A9172" s="8">
        <v>43900.743414351848</v>
      </c>
      <c r="B9172" s="8" t="str">
        <f>HYPERLINK("https://twitter.com/JaketKulit_PKU","@JaketKulit_PKU")</f>
        <v>@JaketKulit_PKU</v>
      </c>
      <c r="C9172" s="8" t="s">
        <v>318</v>
      </c>
      <c r="D9172" s="8">
        <v>747</v>
      </c>
      <c r="E9172" s="8">
        <v>0</v>
      </c>
      <c r="F9172" s="8">
        <v>37</v>
      </c>
    </row>
    <row r="9173" spans="1:6" ht="12.75">
      <c r="A9173" s="8">
        <v>43900.742812500001</v>
      </c>
      <c r="B9173" s="8" t="str">
        <f>HYPERLINK("https://twitter.com/deddyhariadi","@deddyhariadi")</f>
        <v>@deddyhariadi</v>
      </c>
      <c r="C9173" s="8" t="s">
        <v>4160</v>
      </c>
      <c r="D9173" s="8">
        <v>1</v>
      </c>
      <c r="E9173" s="8">
        <v>0</v>
      </c>
      <c r="F9173" s="8">
        <v>378</v>
      </c>
    </row>
    <row r="9174" spans="1:6" ht="12.75">
      <c r="A9174" s="8">
        <v>43900.742303240739</v>
      </c>
      <c r="B9174" s="8" t="str">
        <f>HYPERLINK("https://twitter.com/adhymedan","@adhymedan")</f>
        <v>@adhymedan</v>
      </c>
      <c r="C9174" s="8" t="s">
        <v>318</v>
      </c>
      <c r="D9174" s="8">
        <v>747</v>
      </c>
      <c r="E9174" s="8">
        <v>0</v>
      </c>
      <c r="F9174" s="8">
        <v>624</v>
      </c>
    </row>
    <row r="9175" spans="1:6" ht="12.75">
      <c r="A9175" s="8">
        <v>43900.742222222223</v>
      </c>
      <c r="B9175" s="8" t="str">
        <f>HYPERLINK("https://twitter.com/jasminealie","@jasminealie")</f>
        <v>@jasminealie</v>
      </c>
      <c r="C9175" s="8" t="s">
        <v>4148</v>
      </c>
      <c r="D9175" s="8">
        <v>5</v>
      </c>
      <c r="E9175" s="8">
        <v>0</v>
      </c>
      <c r="F9175" s="8">
        <v>748</v>
      </c>
    </row>
    <row r="9176" spans="1:6" ht="12.75">
      <c r="A9176" s="8">
        <v>43900.741446759261</v>
      </c>
      <c r="B9176" s="8" t="str">
        <f>HYPERLINK("https://twitter.com/KBRIAbuja","@KBRIAbuja")</f>
        <v>@KBRIAbuja</v>
      </c>
      <c r="C9176" s="8" t="s">
        <v>2851</v>
      </c>
      <c r="D9176" s="8">
        <v>51</v>
      </c>
      <c r="E9176" s="8">
        <v>0</v>
      </c>
      <c r="F9176" s="8">
        <v>768</v>
      </c>
    </row>
    <row r="9177" spans="1:6" ht="12.75">
      <c r="A9177" s="8">
        <v>43900.741354166668</v>
      </c>
      <c r="B9177" s="8" t="str">
        <f>HYPERLINK("https://twitter.com/bungachairani","@bungachairani")</f>
        <v>@bungachairani</v>
      </c>
      <c r="C9177" s="8" t="s">
        <v>4148</v>
      </c>
      <c r="D9177" s="8">
        <v>5</v>
      </c>
      <c r="E9177" s="8">
        <v>0</v>
      </c>
      <c r="F9177" s="8">
        <v>859</v>
      </c>
    </row>
    <row r="9178" spans="1:6" ht="12.75">
      <c r="A9178" s="8">
        <v>43900.741157407407</v>
      </c>
      <c r="B9178" s="8" t="str">
        <f>HYPERLINK("https://twitter.com/republikaonline","@republikaonline")</f>
        <v>@republikaonline</v>
      </c>
      <c r="C9178" s="8" t="s">
        <v>4161</v>
      </c>
      <c r="D9178" s="8">
        <v>5</v>
      </c>
      <c r="E9178" s="8">
        <v>6</v>
      </c>
      <c r="F9178" s="8">
        <v>1223442</v>
      </c>
    </row>
    <row r="9179" spans="1:6" ht="12.75">
      <c r="A9179" s="8">
        <v>43900.741145833337</v>
      </c>
      <c r="B9179" s="8" t="str">
        <f>HYPERLINK("https://twitter.com/KBRIAbuja","@KBRIAbuja")</f>
        <v>@KBRIAbuja</v>
      </c>
      <c r="C9179" s="8" t="s">
        <v>3168</v>
      </c>
      <c r="D9179" s="8">
        <v>71</v>
      </c>
      <c r="E9179" s="8">
        <v>0</v>
      </c>
      <c r="F9179" s="8">
        <v>768</v>
      </c>
    </row>
    <row r="9180" spans="1:6" ht="12.75">
      <c r="A9180" s="8">
        <v>43900.741018518514</v>
      </c>
      <c r="B9180" s="8" t="str">
        <f>HYPERLINK("https://twitter.com/ryolandafit","@ryolandafit")</f>
        <v>@ryolandafit</v>
      </c>
      <c r="C9180" s="8" t="s">
        <v>4096</v>
      </c>
      <c r="D9180" s="8">
        <v>1</v>
      </c>
      <c r="E9180" s="8">
        <v>0</v>
      </c>
      <c r="F9180" s="8">
        <v>660</v>
      </c>
    </row>
    <row r="9181" spans="1:6" ht="12.75">
      <c r="A9181" s="8">
        <v>43900.740914351853</v>
      </c>
      <c r="B9181" s="8" t="str">
        <f>HYPERLINK("https://twitter.com/KBRIAbuja","@KBRIAbuja")</f>
        <v>@KBRIAbuja</v>
      </c>
      <c r="C9181" s="8" t="s">
        <v>4162</v>
      </c>
      <c r="D9181" s="8">
        <v>119</v>
      </c>
      <c r="E9181" s="8">
        <v>0</v>
      </c>
      <c r="F9181" s="8">
        <v>768</v>
      </c>
    </row>
    <row r="9182" spans="1:6" ht="12.75">
      <c r="A9182" s="8">
        <v>43900.740393518514</v>
      </c>
      <c r="B9182" s="8" t="str">
        <f>HYPERLINK("https://twitter.com/arie_miracle","@arie_miracle")</f>
        <v>@arie_miracle</v>
      </c>
      <c r="C9182" s="8" t="s">
        <v>318</v>
      </c>
      <c r="D9182" s="8">
        <v>747</v>
      </c>
      <c r="E9182" s="8">
        <v>0</v>
      </c>
      <c r="F9182" s="8">
        <v>980</v>
      </c>
    </row>
    <row r="9183" spans="1:6" ht="12.75">
      <c r="A9183" s="8">
        <v>43900.740358796298</v>
      </c>
      <c r="B9183" s="8" t="str">
        <f>HYPERLINK("https://twitter.com/IpungLombok","@IpungLombok")</f>
        <v>@IpungLombok</v>
      </c>
      <c r="C9183" s="8" t="s">
        <v>318</v>
      </c>
      <c r="D9183" s="8">
        <v>747</v>
      </c>
      <c r="E9183" s="8">
        <v>0</v>
      </c>
      <c r="F9183" s="8">
        <v>15256</v>
      </c>
    </row>
    <row r="9184" spans="1:6" ht="12.75">
      <c r="A9184" s="8">
        <v>43900.740243055552</v>
      </c>
      <c r="B9184" s="8" t="str">
        <f>HYPERLINK("https://twitter.com/ArdinalRais","@ArdinalRais")</f>
        <v>@ArdinalRais</v>
      </c>
      <c r="C9184" s="8" t="s">
        <v>4163</v>
      </c>
      <c r="D9184" s="8">
        <v>0</v>
      </c>
      <c r="E9184" s="8">
        <v>1</v>
      </c>
      <c r="F9184" s="8">
        <v>326</v>
      </c>
    </row>
    <row r="9185" spans="1:6" ht="12.75">
      <c r="A9185" s="8">
        <v>43900.739930555559</v>
      </c>
      <c r="B9185" s="8" t="str">
        <f>HYPERLINK("https://twitter.com/chocoboomz","@chocoboomz")</f>
        <v>@chocoboomz</v>
      </c>
      <c r="C9185" s="8" t="s">
        <v>4164</v>
      </c>
      <c r="D9185" s="8">
        <v>0</v>
      </c>
      <c r="E9185" s="8">
        <v>0</v>
      </c>
      <c r="F9185" s="8">
        <v>779</v>
      </c>
    </row>
    <row r="9186" spans="1:6" ht="12.75">
      <c r="A9186" s="8">
        <v>43900.739884259259</v>
      </c>
      <c r="B9186" s="8" t="str">
        <f>HYPERLINK("https://twitter.com/kumarbambam","@kumarbambam")</f>
        <v>@kumarbambam</v>
      </c>
      <c r="C9186" s="8" t="s">
        <v>1957</v>
      </c>
      <c r="D9186" s="8">
        <v>1485</v>
      </c>
      <c r="E9186" s="8">
        <v>0</v>
      </c>
      <c r="F9186" s="8">
        <v>1466</v>
      </c>
    </row>
    <row r="9187" spans="1:6" ht="12.75">
      <c r="A9187" s="8">
        <v>43900.739733796298</v>
      </c>
      <c r="B9187" s="8" t="str">
        <f t="shared" ref="B9187:B9188" si="152">HYPERLINK("https://twitter.com/Vickih_worsnop","@Vickih_worsnop")</f>
        <v>@Vickih_worsnop</v>
      </c>
      <c r="C9187" s="8" t="s">
        <v>4165</v>
      </c>
      <c r="D9187" s="8">
        <v>5</v>
      </c>
      <c r="E9187" s="8">
        <v>0</v>
      </c>
      <c r="F9187" s="8">
        <v>217</v>
      </c>
    </row>
    <row r="9188" spans="1:6" ht="12.75">
      <c r="A9188" s="8">
        <v>43900.739641203705</v>
      </c>
      <c r="B9188" s="8" t="str">
        <f t="shared" si="152"/>
        <v>@Vickih_worsnop</v>
      </c>
      <c r="C9188" s="8" t="s">
        <v>4166</v>
      </c>
      <c r="D9188" s="8">
        <v>4</v>
      </c>
      <c r="E9188" s="8">
        <v>0</v>
      </c>
      <c r="F9188" s="8">
        <v>217</v>
      </c>
    </row>
    <row r="9189" spans="1:6" ht="12.75">
      <c r="A9189" s="8">
        <v>43900.73951388889</v>
      </c>
      <c r="B9189" s="8" t="str">
        <f>HYPERLINK("https://twitter.com/KBRI_Bangkok","@KBRI_Bangkok")</f>
        <v>@KBRI_Bangkok</v>
      </c>
      <c r="C9189" s="8" t="s">
        <v>2851</v>
      </c>
      <c r="D9189" s="8">
        <v>51</v>
      </c>
      <c r="E9189" s="8">
        <v>0</v>
      </c>
      <c r="F9189" s="8">
        <v>3952</v>
      </c>
    </row>
    <row r="9190" spans="1:6" ht="12.75">
      <c r="A9190" s="8">
        <v>43900.739259259259</v>
      </c>
      <c r="B9190" s="8" t="str">
        <f>HYPERLINK("https://twitter.com/Vickih_worsnop","@Vickih_worsnop")</f>
        <v>@Vickih_worsnop</v>
      </c>
      <c r="C9190" s="8" t="s">
        <v>4167</v>
      </c>
      <c r="D9190" s="8">
        <v>3</v>
      </c>
      <c r="E9190" s="8">
        <v>0</v>
      </c>
      <c r="F9190" s="8">
        <v>217</v>
      </c>
    </row>
    <row r="9191" spans="1:6" ht="12.75">
      <c r="A9191" s="8">
        <v>43900.738819444443</v>
      </c>
      <c r="B9191" s="8" t="str">
        <f>HYPERLINK("https://twitter.com/nina7erna","@nina7erna")</f>
        <v>@nina7erna</v>
      </c>
      <c r="C9191" s="8" t="s">
        <v>318</v>
      </c>
      <c r="D9191" s="8">
        <v>747</v>
      </c>
      <c r="E9191" s="8">
        <v>0</v>
      </c>
      <c r="F9191" s="8">
        <v>274</v>
      </c>
    </row>
    <row r="9192" spans="1:6" ht="12.75">
      <c r="A9192" s="8">
        <v>43900.738703703704</v>
      </c>
      <c r="B9192" s="8" t="str">
        <f>HYPERLINK("https://twitter.com/MeTubeID","@MeTubeID")</f>
        <v>@MeTubeID</v>
      </c>
      <c r="C9192" s="8" t="s">
        <v>4168</v>
      </c>
      <c r="D9192" s="8">
        <v>0</v>
      </c>
      <c r="E9192" s="8">
        <v>0</v>
      </c>
      <c r="F9192" s="8">
        <v>6311</v>
      </c>
    </row>
    <row r="9193" spans="1:6" ht="12.75">
      <c r="A9193" s="8">
        <v>43900.738692129627</v>
      </c>
      <c r="B9193" s="8" t="str">
        <f>HYPERLINK("https://twitter.com/suryanjari","@suryanjari")</f>
        <v>@suryanjari</v>
      </c>
      <c r="C9193" s="8" t="s">
        <v>318</v>
      </c>
      <c r="D9193" s="8">
        <v>747</v>
      </c>
      <c r="E9193" s="8">
        <v>0</v>
      </c>
      <c r="F9193" s="8">
        <v>89</v>
      </c>
    </row>
    <row r="9194" spans="1:6" ht="12.75">
      <c r="A9194" s="8">
        <v>43900.738622685181</v>
      </c>
      <c r="B9194" s="8" t="str">
        <f>HYPERLINK("https://twitter.com/itsmeparkjihoon","@itsmeparkjihoon")</f>
        <v>@itsmeparkjihoon</v>
      </c>
      <c r="C9194" s="8" t="s">
        <v>4145</v>
      </c>
      <c r="D9194" s="8">
        <v>4</v>
      </c>
      <c r="E9194" s="8">
        <v>0</v>
      </c>
      <c r="F9194" s="8">
        <v>1483</v>
      </c>
    </row>
    <row r="9195" spans="1:6" ht="12.75">
      <c r="A9195" s="8">
        <v>43900.738530092596</v>
      </c>
      <c r="B9195" s="8" t="str">
        <f>HYPERLINK("https://twitter.com/pertiwi_bunda","@pertiwi_bunda")</f>
        <v>@pertiwi_bunda</v>
      </c>
      <c r="C9195" s="8" t="s">
        <v>318</v>
      </c>
      <c r="D9195" s="8">
        <v>747</v>
      </c>
      <c r="E9195" s="8">
        <v>0</v>
      </c>
      <c r="F9195" s="8">
        <v>871</v>
      </c>
    </row>
    <row r="9196" spans="1:6" ht="12.75">
      <c r="A9196" s="8">
        <v>43900.738229166665</v>
      </c>
      <c r="B9196" s="8" t="str">
        <f>HYPERLINK("https://twitter.com/KompasTV","@KompasTV")</f>
        <v>@KompasTV</v>
      </c>
      <c r="C9196" s="8" t="s">
        <v>4169</v>
      </c>
      <c r="D9196" s="8">
        <v>1</v>
      </c>
      <c r="E9196" s="8">
        <v>5</v>
      </c>
      <c r="F9196" s="8">
        <v>2960929</v>
      </c>
    </row>
    <row r="9197" spans="1:6" ht="12.75">
      <c r="A9197" s="8">
        <v>43900.737881944442</v>
      </c>
      <c r="B9197" s="8" t="str">
        <f>HYPERLINK("https://twitter.com/merdekadotcom","@merdekadotcom")</f>
        <v>@merdekadotcom</v>
      </c>
      <c r="C9197" s="8" t="s">
        <v>4170</v>
      </c>
      <c r="D9197" s="8">
        <v>1</v>
      </c>
      <c r="E9197" s="8">
        <v>1</v>
      </c>
      <c r="F9197" s="8">
        <v>231973</v>
      </c>
    </row>
    <row r="9198" spans="1:6" ht="12.75">
      <c r="A9198" s="8">
        <v>43900.737870370373</v>
      </c>
      <c r="B9198" s="8" t="str">
        <f>HYPERLINK("https://twitter.com/e100ss","@e100ss")</f>
        <v>@e100ss</v>
      </c>
      <c r="C9198" s="8" t="s">
        <v>4171</v>
      </c>
      <c r="D9198" s="8">
        <v>0</v>
      </c>
      <c r="E9198" s="8">
        <v>4</v>
      </c>
      <c r="F9198" s="8">
        <v>782044</v>
      </c>
    </row>
    <row r="9199" spans="1:6" ht="12.75">
      <c r="A9199" s="8">
        <v>43900.737638888888</v>
      </c>
      <c r="B9199" s="8" t="str">
        <f>HYPERLINK("https://twitter.com/JoAtmojo3","@JoAtmojo3")</f>
        <v>@JoAtmojo3</v>
      </c>
      <c r="C9199" s="8" t="s">
        <v>318</v>
      </c>
      <c r="D9199" s="8">
        <v>747</v>
      </c>
      <c r="E9199" s="8">
        <v>0</v>
      </c>
      <c r="F9199" s="8">
        <v>1658</v>
      </c>
    </row>
    <row r="9200" spans="1:6" ht="12.75">
      <c r="A9200" s="8">
        <v>43900.737581018519</v>
      </c>
      <c r="B9200" s="8" t="str">
        <f>HYPERLINK("https://twitter.com/Vickih_worsnop","@Vickih_worsnop")</f>
        <v>@Vickih_worsnop</v>
      </c>
      <c r="C9200" s="8" t="s">
        <v>4172</v>
      </c>
      <c r="D9200" s="8">
        <v>2</v>
      </c>
      <c r="E9200" s="8">
        <v>0</v>
      </c>
      <c r="F9200" s="8">
        <v>217</v>
      </c>
    </row>
    <row r="9201" spans="1:6" ht="12.75">
      <c r="A9201" s="8">
        <v>43900.737280092595</v>
      </c>
      <c r="B9201" s="8" t="str">
        <f>HYPERLINK("https://twitter.com/DTS_kominfo","@DTS_kominfo")</f>
        <v>@DTS_kominfo</v>
      </c>
      <c r="C9201" s="8" t="s">
        <v>4173</v>
      </c>
      <c r="D9201" s="8">
        <v>0</v>
      </c>
      <c r="E9201" s="8">
        <v>0</v>
      </c>
      <c r="F9201" s="8">
        <v>2134</v>
      </c>
    </row>
    <row r="9202" spans="1:6" ht="12.75">
      <c r="A9202" s="8">
        <v>43900.73704861111</v>
      </c>
      <c r="B9202" s="8" t="str">
        <f>HYPERLINK("https://twitter.com/IZahronissa","@IZahronissa")</f>
        <v>@IZahronissa</v>
      </c>
      <c r="C9202" s="8" t="s">
        <v>3126</v>
      </c>
      <c r="D9202" s="8">
        <v>324</v>
      </c>
      <c r="E9202" s="8">
        <v>0</v>
      </c>
      <c r="F9202" s="8">
        <v>85</v>
      </c>
    </row>
    <row r="9203" spans="1:6" ht="12.75">
      <c r="A9203" s="8">
        <v>43900.735914351855</v>
      </c>
      <c r="B9203" s="8" t="str">
        <f>HYPERLINK("https://twitter.com/Berita7dotid","@Berita7dotid")</f>
        <v>@Berita7dotid</v>
      </c>
      <c r="C9203" s="8" t="s">
        <v>4121</v>
      </c>
      <c r="D9203" s="8">
        <v>0</v>
      </c>
      <c r="E9203" s="8">
        <v>0</v>
      </c>
      <c r="F9203" s="8">
        <v>2561</v>
      </c>
    </row>
    <row r="9204" spans="1:6" ht="12.75">
      <c r="A9204" s="8">
        <v>43900.735474537039</v>
      </c>
      <c r="B9204" s="8" t="str">
        <f>HYPERLINK("https://twitter.com/LemanSule10","@LemanSule10")</f>
        <v>@LemanSule10</v>
      </c>
      <c r="C9204" s="8" t="s">
        <v>318</v>
      </c>
      <c r="D9204" s="8">
        <v>747</v>
      </c>
      <c r="E9204" s="8">
        <v>0</v>
      </c>
      <c r="F9204" s="8">
        <v>888</v>
      </c>
    </row>
    <row r="9205" spans="1:6" ht="12.75">
      <c r="A9205" s="8">
        <v>43900.73542824074</v>
      </c>
      <c r="B9205" s="8" t="str">
        <f>HYPERLINK("https://twitter.com/SayyidahAminah6","@SayyidahAminah6")</f>
        <v>@SayyidahAminah6</v>
      </c>
      <c r="C9205" s="8" t="s">
        <v>3190</v>
      </c>
      <c r="D9205" s="8">
        <v>106</v>
      </c>
      <c r="E9205" s="8">
        <v>0</v>
      </c>
      <c r="F9205" s="8">
        <v>5</v>
      </c>
    </row>
    <row r="9206" spans="1:6" ht="12.75">
      <c r="A9206" s="8">
        <v>43900.734525462962</v>
      </c>
      <c r="B9206" s="8" t="str">
        <f>HYPERLINK("https://twitter.com/MndJaya","@MndJaya")</f>
        <v>@MndJaya</v>
      </c>
      <c r="C9206" s="8" t="s">
        <v>4174</v>
      </c>
      <c r="D9206" s="8">
        <v>8</v>
      </c>
      <c r="E9206" s="8">
        <v>0</v>
      </c>
      <c r="F9206" s="8">
        <v>2564</v>
      </c>
    </row>
    <row r="9207" spans="1:6" ht="12.75">
      <c r="A9207" s="8">
        <v>43900.734189814815</v>
      </c>
      <c r="B9207" s="8" t="str">
        <f>HYPERLINK("https://twitter.com/PemburuDajjal07","@PemburuDajjal07")</f>
        <v>@PemburuDajjal07</v>
      </c>
      <c r="C9207" s="8" t="s">
        <v>1186</v>
      </c>
      <c r="D9207" s="8">
        <v>32</v>
      </c>
      <c r="E9207" s="8">
        <v>0</v>
      </c>
      <c r="F9207" s="8">
        <v>1765</v>
      </c>
    </row>
    <row r="9208" spans="1:6" ht="12.75">
      <c r="A9208" s="8">
        <v>43900.73400462963</v>
      </c>
      <c r="B9208" s="8" t="str">
        <f>HYPERLINK("https://twitter.com/abidinzaenal4","@abidinzaenal4")</f>
        <v>@abidinzaenal4</v>
      </c>
      <c r="C9208" s="8" t="s">
        <v>318</v>
      </c>
      <c r="D9208" s="8">
        <v>747</v>
      </c>
      <c r="E9208" s="8">
        <v>0</v>
      </c>
      <c r="F9208" s="8">
        <v>437</v>
      </c>
    </row>
    <row r="9209" spans="1:6" ht="12.75">
      <c r="A9209" s="8">
        <v>43900.733958333338</v>
      </c>
      <c r="B9209" s="8" t="str">
        <f>HYPERLINK("https://twitter.com/afredoazza","@afredoazza")</f>
        <v>@afredoazza</v>
      </c>
      <c r="C9209" s="8" t="s">
        <v>4175</v>
      </c>
      <c r="D9209" s="8">
        <v>21</v>
      </c>
      <c r="E9209" s="8">
        <v>0</v>
      </c>
      <c r="F9209" s="8">
        <v>58</v>
      </c>
    </row>
    <row r="9210" spans="1:6" ht="12.75">
      <c r="A9210" s="8">
        <v>43900.733888888892</v>
      </c>
      <c r="B9210" s="8" t="str">
        <f>HYPERLINK("https://twitter.com/demirakyt007","@demirakyt007")</f>
        <v>@demirakyt007</v>
      </c>
      <c r="C9210" s="8" t="s">
        <v>4176</v>
      </c>
      <c r="D9210" s="8">
        <v>0</v>
      </c>
      <c r="E9210" s="8">
        <v>0</v>
      </c>
      <c r="F9210" s="8">
        <v>71</v>
      </c>
    </row>
    <row r="9211" spans="1:6" ht="12.75">
      <c r="A9211" s="8">
        <v>43900.733634259261</v>
      </c>
      <c r="B9211" s="8" t="str">
        <f>HYPERLINK("https://twitter.com/wahiday_","@wahiday_")</f>
        <v>@wahiday_</v>
      </c>
      <c r="C9211" s="8" t="s">
        <v>295</v>
      </c>
      <c r="D9211" s="8">
        <v>71</v>
      </c>
      <c r="E9211" s="8">
        <v>0</v>
      </c>
      <c r="F9211" s="8">
        <v>1003</v>
      </c>
    </row>
    <row r="9212" spans="1:6" ht="12.75">
      <c r="A9212" s="8">
        <v>43900.733576388884</v>
      </c>
      <c r="B9212" s="8" t="str">
        <f>HYPERLINK("https://twitter.com/NusaDirga","@NusaDirga")</f>
        <v>@NusaDirga</v>
      </c>
      <c r="C9212" s="8" t="s">
        <v>1186</v>
      </c>
      <c r="D9212" s="8">
        <v>32</v>
      </c>
      <c r="E9212" s="8">
        <v>0</v>
      </c>
      <c r="F9212" s="8">
        <v>353</v>
      </c>
    </row>
    <row r="9213" spans="1:6" ht="12.75">
      <c r="A9213" s="8">
        <v>43900.733391203699</v>
      </c>
      <c r="B9213" s="8" t="str">
        <f>HYPERLINK("https://twitter.com/ceknricekcom_id","@ceknricekcom_id")</f>
        <v>@ceknricekcom_id</v>
      </c>
      <c r="C9213" s="8" t="s">
        <v>4177</v>
      </c>
      <c r="D9213" s="8">
        <v>0</v>
      </c>
      <c r="E9213" s="8">
        <v>0</v>
      </c>
      <c r="F9213" s="8">
        <v>29570</v>
      </c>
    </row>
    <row r="9214" spans="1:6" ht="12.75">
      <c r="A9214" s="8">
        <v>43900.732928240745</v>
      </c>
      <c r="B9214" s="8" t="str">
        <f>HYPERLINK("https://twitter.com/mariadi63425147","@mariadi63425147")</f>
        <v>@mariadi63425147</v>
      </c>
      <c r="C9214" s="8" t="s">
        <v>318</v>
      </c>
      <c r="D9214" s="8">
        <v>747</v>
      </c>
      <c r="E9214" s="8">
        <v>0</v>
      </c>
      <c r="F9214" s="8">
        <v>72</v>
      </c>
    </row>
    <row r="9215" spans="1:6" ht="12.75">
      <c r="A9215" s="8">
        <v>43900.732835648145</v>
      </c>
      <c r="B9215" s="8" t="str">
        <f>HYPERLINK("https://twitter.com/odongodong4","@odongodong4")</f>
        <v>@odongodong4</v>
      </c>
      <c r="C9215" s="8" t="s">
        <v>318</v>
      </c>
      <c r="D9215" s="8">
        <v>747</v>
      </c>
      <c r="E9215" s="8">
        <v>0</v>
      </c>
      <c r="F9215" s="8">
        <v>7733</v>
      </c>
    </row>
    <row r="9216" spans="1:6" ht="12.75">
      <c r="A9216" s="8">
        <v>43900.732800925922</v>
      </c>
      <c r="B9216" s="8" t="str">
        <f>HYPERLINK("https://twitter.com/Vickih_worsnop","@Vickih_worsnop")</f>
        <v>@Vickih_worsnop</v>
      </c>
      <c r="C9216" s="8" t="s">
        <v>4178</v>
      </c>
      <c r="D9216" s="8">
        <v>3</v>
      </c>
      <c r="E9216" s="8">
        <v>0</v>
      </c>
      <c r="F9216" s="8">
        <v>217</v>
      </c>
    </row>
    <row r="9217" spans="1:6" ht="12.75">
      <c r="A9217" s="8">
        <v>43900.731724537036</v>
      </c>
      <c r="B9217" s="8" t="str">
        <f>HYPERLINK("https://twitter.com/Dwiatmoko1963","@Dwiatmoko1963")</f>
        <v>@Dwiatmoko1963</v>
      </c>
      <c r="C9217" s="8" t="s">
        <v>318</v>
      </c>
      <c r="D9217" s="8">
        <v>747</v>
      </c>
      <c r="E9217" s="8">
        <v>0</v>
      </c>
      <c r="F9217" s="8">
        <v>21</v>
      </c>
    </row>
    <row r="9218" spans="1:6" ht="12.75">
      <c r="A9218" s="8">
        <v>43900.731296296297</v>
      </c>
      <c r="B9218" s="8" t="str">
        <f>HYPERLINK("https://twitter.com/Daddysyahruzad1","@Daddysyahruzad1")</f>
        <v>@Daddysyahruzad1</v>
      </c>
      <c r="C9218" s="8" t="s">
        <v>318</v>
      </c>
      <c r="D9218" s="8">
        <v>747</v>
      </c>
      <c r="E9218" s="8">
        <v>0</v>
      </c>
      <c r="F9218" s="8">
        <v>54</v>
      </c>
    </row>
    <row r="9219" spans="1:6" ht="12.75">
      <c r="A9219" s="8">
        <v>43900.731261574074</v>
      </c>
      <c r="B9219" s="8" t="str">
        <f>HYPERLINK("https://twitter.com/azis_nudin","@azis_nudin")</f>
        <v>@azis_nudin</v>
      </c>
      <c r="C9219" s="8" t="s">
        <v>318</v>
      </c>
      <c r="D9219" s="8">
        <v>747</v>
      </c>
      <c r="E9219" s="8">
        <v>0</v>
      </c>
      <c r="F9219" s="8">
        <v>34</v>
      </c>
    </row>
    <row r="9220" spans="1:6" ht="12.75">
      <c r="A9220" s="8">
        <v>43900.730868055558</v>
      </c>
      <c r="B9220" s="8" t="str">
        <f>HYPERLINK("https://twitter.com/Joyo08230378","@Joyo08230378")</f>
        <v>@Joyo08230378</v>
      </c>
      <c r="C9220" s="8" t="s">
        <v>318</v>
      </c>
      <c r="D9220" s="8">
        <v>747</v>
      </c>
      <c r="E9220" s="8">
        <v>0</v>
      </c>
      <c r="F9220" s="8">
        <v>115</v>
      </c>
    </row>
    <row r="9221" spans="1:6" ht="12.75">
      <c r="A9221" s="8">
        <v>43900.730717592596</v>
      </c>
      <c r="B9221" s="8" t="str">
        <f>HYPERLINK("https://twitter.com/humaspolsekboj1","@humaspolsekboj1")</f>
        <v>@humaspolsekboj1</v>
      </c>
      <c r="C9221" s="8" t="s">
        <v>4179</v>
      </c>
      <c r="D9221" s="8">
        <v>0</v>
      </c>
      <c r="E9221" s="8">
        <v>0</v>
      </c>
      <c r="F9221" s="8">
        <v>5</v>
      </c>
    </row>
    <row r="9222" spans="1:6" ht="12.75">
      <c r="A9222" s="8">
        <v>43900.730671296296</v>
      </c>
      <c r="B9222" s="8" t="str">
        <f>HYPERLINK("https://twitter.com/Naniel123456","@Naniel123456")</f>
        <v>@Naniel123456</v>
      </c>
      <c r="C9222" s="8" t="s">
        <v>318</v>
      </c>
      <c r="D9222" s="8">
        <v>747</v>
      </c>
      <c r="E9222" s="8">
        <v>0</v>
      </c>
      <c r="F9222" s="8">
        <v>275</v>
      </c>
    </row>
    <row r="9223" spans="1:6" ht="12.75">
      <c r="A9223" s="8">
        <v>43900.730636574073</v>
      </c>
      <c r="B9223" s="8" t="str">
        <f>HYPERLINK("https://twitter.com/susidiansafitri","@susidiansafitri")</f>
        <v>@susidiansafitri</v>
      </c>
      <c r="C9223" s="8" t="s">
        <v>1186</v>
      </c>
      <c r="D9223" s="8">
        <v>32</v>
      </c>
      <c r="E9223" s="8">
        <v>0</v>
      </c>
      <c r="F9223" s="8">
        <v>2164</v>
      </c>
    </row>
    <row r="9224" spans="1:6" ht="12.75">
      <c r="A9224" s="8">
        <v>43900.730347222227</v>
      </c>
      <c r="B9224" s="8" t="str">
        <f>HYPERLINK("https://twitter.com/jvn_kidz","@jvn_kidz")</f>
        <v>@jvn_kidz</v>
      </c>
      <c r="C9224" s="8" t="s">
        <v>295</v>
      </c>
      <c r="D9224" s="8">
        <v>71</v>
      </c>
      <c r="E9224" s="8">
        <v>0</v>
      </c>
      <c r="F9224" s="8">
        <v>1293</v>
      </c>
    </row>
    <row r="9225" spans="1:6" ht="12.75">
      <c r="A9225" s="8">
        <v>43900.730312500003</v>
      </c>
      <c r="B9225" s="8" t="str">
        <f>HYPERLINK("https://twitter.com/antaramakassar","@antaramakassar")</f>
        <v>@antaramakassar</v>
      </c>
      <c r="C9225" s="8" t="s">
        <v>4180</v>
      </c>
      <c r="D9225" s="8">
        <v>0</v>
      </c>
      <c r="E9225" s="8">
        <v>0</v>
      </c>
      <c r="F9225" s="8">
        <v>2645</v>
      </c>
    </row>
    <row r="9226" spans="1:6" ht="12.75">
      <c r="A9226" s="8">
        <v>43900.714479166665</v>
      </c>
      <c r="B9226" s="8" t="str">
        <f>HYPERLINK("https://twitter.com/PrettySulistiya","@PrettySulistiya")</f>
        <v>@PrettySulistiya</v>
      </c>
      <c r="C9226" s="8" t="s">
        <v>3545</v>
      </c>
      <c r="D9226" s="8">
        <v>12</v>
      </c>
      <c r="E9226" s="8">
        <v>0</v>
      </c>
      <c r="F9226" s="8">
        <v>38</v>
      </c>
    </row>
    <row r="9227" spans="1:6" ht="12.75">
      <c r="A9227" s="8">
        <v>43900.714421296296</v>
      </c>
      <c r="B9227" s="8" t="str">
        <f>HYPERLINK("https://twitter.com/Vickih_worsnop","@Vickih_worsnop")</f>
        <v>@Vickih_worsnop</v>
      </c>
      <c r="C9227" s="8" t="s">
        <v>2607</v>
      </c>
      <c r="D9227" s="8">
        <v>2</v>
      </c>
      <c r="E9227" s="8">
        <v>0</v>
      </c>
      <c r="F9227" s="8">
        <v>217</v>
      </c>
    </row>
    <row r="9228" spans="1:6" ht="12.75">
      <c r="A9228" s="8">
        <v>43900.714108796295</v>
      </c>
      <c r="B9228" s="8" t="str">
        <f>HYPERLINK("https://twitter.com/febdypw","@febdypw")</f>
        <v>@febdypw</v>
      </c>
      <c r="C9228" s="8" t="s">
        <v>4181</v>
      </c>
      <c r="D9228" s="8">
        <v>0</v>
      </c>
      <c r="E9228" s="8">
        <v>0</v>
      </c>
      <c r="F9228" s="8">
        <v>370</v>
      </c>
    </row>
    <row r="9229" spans="1:6" ht="12.75">
      <c r="A9229" s="8">
        <v>43900.714050925926</v>
      </c>
      <c r="B9229" s="8" t="str">
        <f>HYPERLINK("https://twitter.com/kher_ariefs","@kher_ariefs")</f>
        <v>@kher_ariefs</v>
      </c>
      <c r="C9229" s="8" t="s">
        <v>318</v>
      </c>
      <c r="D9229" s="8">
        <v>685</v>
      </c>
      <c r="E9229" s="8">
        <v>0</v>
      </c>
      <c r="F9229" s="8">
        <v>373</v>
      </c>
    </row>
    <row r="9230" spans="1:6" ht="12.75">
      <c r="A9230" s="8">
        <v>43900.714039351849</v>
      </c>
      <c r="B9230" s="8" t="str">
        <f>HYPERLINK("https://twitter.com/rachmadhi","@rachmadhi")</f>
        <v>@rachmadhi</v>
      </c>
      <c r="C9230" s="8" t="s">
        <v>4182</v>
      </c>
      <c r="D9230" s="8">
        <v>0</v>
      </c>
      <c r="E9230" s="8">
        <v>0</v>
      </c>
      <c r="F9230" s="8">
        <v>100</v>
      </c>
    </row>
    <row r="9231" spans="1:6" ht="12.75">
      <c r="A9231" s="8">
        <v>43900.712557870371</v>
      </c>
      <c r="B9231" s="8" t="str">
        <f>HYPERLINK("https://twitter.com/black13side","@black13side")</f>
        <v>@black13side</v>
      </c>
      <c r="C9231" s="8" t="s">
        <v>318</v>
      </c>
      <c r="D9231" s="8">
        <v>685</v>
      </c>
      <c r="E9231" s="8">
        <v>0</v>
      </c>
      <c r="F9231" s="8">
        <v>638</v>
      </c>
    </row>
    <row r="9232" spans="1:6" ht="12.75">
      <c r="A9232" s="8">
        <v>43900.712199074071</v>
      </c>
      <c r="B9232" s="8" t="str">
        <f>HYPERLINK("https://twitter.com/Debrtbs","@Debrtbs")</f>
        <v>@Debrtbs</v>
      </c>
      <c r="C9232" s="8" t="s">
        <v>4183</v>
      </c>
      <c r="D9232" s="8">
        <v>2</v>
      </c>
      <c r="E9232" s="8">
        <v>0</v>
      </c>
      <c r="F9232" s="8">
        <v>640</v>
      </c>
    </row>
    <row r="9233" spans="1:6" ht="12.75">
      <c r="A9233" s="8">
        <v>43900.712048611109</v>
      </c>
      <c r="B9233" s="8" t="str">
        <f>HYPERLINK("https://twitter.com/KBRITokyo","@KBRITokyo")</f>
        <v>@KBRITokyo</v>
      </c>
      <c r="C9233" s="8" t="s">
        <v>4184</v>
      </c>
      <c r="D9233" s="8">
        <v>0</v>
      </c>
      <c r="E9233" s="8">
        <v>5</v>
      </c>
      <c r="F9233" s="8">
        <v>19154</v>
      </c>
    </row>
    <row r="9234" spans="1:6" ht="12.75">
      <c r="A9234" s="8">
        <v>43900.7109375</v>
      </c>
      <c r="B9234" s="8" t="str">
        <f>HYPERLINK("https://twitter.com/dik_her","@dik_her")</f>
        <v>@dik_her</v>
      </c>
      <c r="C9234" s="8" t="s">
        <v>318</v>
      </c>
      <c r="D9234" s="8">
        <v>685</v>
      </c>
      <c r="E9234" s="8">
        <v>0</v>
      </c>
      <c r="F9234" s="8">
        <v>770</v>
      </c>
    </row>
    <row r="9235" spans="1:6" ht="12.75">
      <c r="A9235" s="8">
        <v>43900.710613425923</v>
      </c>
      <c r="B9235" s="8" t="str">
        <f>HYPERLINK("https://twitter.com/Rajendra20211","@Rajendra20211")</f>
        <v>@Rajendra20211</v>
      </c>
      <c r="C9235" s="8" t="s">
        <v>4185</v>
      </c>
      <c r="D9235" s="8">
        <v>0</v>
      </c>
      <c r="E9235" s="8">
        <v>0</v>
      </c>
      <c r="F9235" s="8">
        <v>942</v>
      </c>
    </row>
    <row r="9236" spans="1:6" ht="12.75">
      <c r="A9236" s="8">
        <v>43900.710509259261</v>
      </c>
      <c r="B9236" s="8" t="str">
        <f>HYPERLINK("https://twitter.com/LidyaPatient","@LidyaPatient")</f>
        <v>@LidyaPatient</v>
      </c>
      <c r="C9236" s="8" t="s">
        <v>3190</v>
      </c>
      <c r="D9236" s="8">
        <v>102</v>
      </c>
      <c r="E9236" s="8">
        <v>0</v>
      </c>
      <c r="F9236" s="8">
        <v>722</v>
      </c>
    </row>
    <row r="9237" spans="1:6" ht="12.75">
      <c r="A9237" s="8">
        <v>43900.710462962961</v>
      </c>
      <c r="B9237" s="8" t="str">
        <f>HYPERLINK("https://twitter.com/MasHarun12","@MasHarun12")</f>
        <v>@MasHarun12</v>
      </c>
      <c r="C9237" s="8" t="s">
        <v>318</v>
      </c>
      <c r="D9237" s="8">
        <v>685</v>
      </c>
      <c r="E9237" s="8">
        <v>0</v>
      </c>
      <c r="F9237" s="8">
        <v>11</v>
      </c>
    </row>
    <row r="9238" spans="1:6" ht="12.75">
      <c r="A9238" s="8">
        <v>43900.710324074069</v>
      </c>
      <c r="B9238" s="8" t="str">
        <f>HYPERLINK("https://twitter.com/Fikrison1","@Fikrison1")</f>
        <v>@Fikrison1</v>
      </c>
      <c r="C9238" s="8" t="s">
        <v>318</v>
      </c>
      <c r="D9238" s="8">
        <v>685</v>
      </c>
      <c r="E9238" s="8">
        <v>0</v>
      </c>
      <c r="F9238" s="8">
        <v>209</v>
      </c>
    </row>
    <row r="9239" spans="1:6" ht="12.75">
      <c r="A9239" s="8">
        <v>43900.71020833333</v>
      </c>
      <c r="B9239" s="8" t="str">
        <f>HYPERLINK("https://twitter.com/CNNIDdaily","@CNNIDdaily")</f>
        <v>@CNNIDdaily</v>
      </c>
      <c r="C9239" s="8" t="s">
        <v>4186</v>
      </c>
      <c r="D9239" s="8">
        <v>0</v>
      </c>
      <c r="E9239" s="8">
        <v>1</v>
      </c>
      <c r="F9239" s="8">
        <v>123060</v>
      </c>
    </row>
    <row r="9240" spans="1:6" ht="12.75">
      <c r="A9240" s="8">
        <v>43900.709918981476</v>
      </c>
      <c r="B9240" s="8" t="str">
        <f>HYPERLINK("https://twitter.com/Flash_Ard","@Flash_Ard")</f>
        <v>@Flash_Ard</v>
      </c>
      <c r="C9240" s="8" t="s">
        <v>318</v>
      </c>
      <c r="D9240" s="8">
        <v>685</v>
      </c>
      <c r="E9240" s="8">
        <v>0</v>
      </c>
      <c r="F9240" s="8">
        <v>56</v>
      </c>
    </row>
    <row r="9241" spans="1:6" ht="12.75">
      <c r="A9241" s="8">
        <v>43900.709895833337</v>
      </c>
      <c r="B9241" s="8" t="str">
        <f>HYPERLINK("https://twitter.com/tukanganalisa","@tukanganalisa")</f>
        <v>@tukanganalisa</v>
      </c>
      <c r="C9241" s="8" t="s">
        <v>318</v>
      </c>
      <c r="D9241" s="8">
        <v>685</v>
      </c>
      <c r="E9241" s="8">
        <v>0</v>
      </c>
      <c r="F9241" s="8">
        <v>139</v>
      </c>
    </row>
    <row r="9242" spans="1:6" ht="12.75">
      <c r="A9242" s="8">
        <v>43900.709374999999</v>
      </c>
      <c r="B9242" s="8" t="str">
        <f>HYPERLINK("https://twitter.com/kjridubai","@kjridubai")</f>
        <v>@kjridubai</v>
      </c>
      <c r="C9242" s="8" t="s">
        <v>2851</v>
      </c>
      <c r="D9242" s="8">
        <v>49</v>
      </c>
      <c r="E9242" s="8">
        <v>0</v>
      </c>
      <c r="F9242" s="8">
        <v>1529</v>
      </c>
    </row>
    <row r="9243" spans="1:6" ht="12.75">
      <c r="A9243" s="8">
        <v>43900.709340277783</v>
      </c>
      <c r="B9243" s="8" t="str">
        <f>HYPERLINK("https://twitter.com/nius77","@nius77")</f>
        <v>@nius77</v>
      </c>
      <c r="C9243" s="8" t="s">
        <v>2432</v>
      </c>
      <c r="D9243" s="8">
        <v>45</v>
      </c>
      <c r="E9243" s="8">
        <v>0</v>
      </c>
      <c r="F9243" s="8">
        <v>3332</v>
      </c>
    </row>
    <row r="9244" spans="1:6" ht="12.75">
      <c r="A9244" s="8">
        <v>43900.709224537037</v>
      </c>
      <c r="B9244" s="8" t="str">
        <f>HYPERLINK("https://twitter.com/evil300699","@evil300699")</f>
        <v>@evil300699</v>
      </c>
      <c r="C9244" s="8" t="s">
        <v>4187</v>
      </c>
      <c r="D9244" s="8">
        <v>0</v>
      </c>
      <c r="E9244" s="8">
        <v>0</v>
      </c>
      <c r="F9244" s="8">
        <v>172</v>
      </c>
    </row>
    <row r="9245" spans="1:6" ht="12.75">
      <c r="A9245" s="8">
        <v>43900.709062499998</v>
      </c>
      <c r="B9245" s="8" t="str">
        <f>HYPERLINK("https://twitter.com/CNNIDdaily","@CNNIDdaily")</f>
        <v>@CNNIDdaily</v>
      </c>
      <c r="C9245" s="8" t="s">
        <v>4188</v>
      </c>
      <c r="D9245" s="8">
        <v>1</v>
      </c>
      <c r="E9245" s="8">
        <v>1</v>
      </c>
      <c r="F9245" s="8">
        <v>123060</v>
      </c>
    </row>
    <row r="9246" spans="1:6" ht="12.75">
      <c r="A9246" s="8">
        <v>43900.708680555559</v>
      </c>
      <c r="B9246" s="8" t="str">
        <f>HYPERLINK("https://twitter.com/HendraLaurensi_","@HendraLaurensi_")</f>
        <v>@HendraLaurensi_</v>
      </c>
      <c r="C9246" s="8" t="s">
        <v>4174</v>
      </c>
      <c r="D9246" s="8">
        <v>7</v>
      </c>
      <c r="E9246" s="8">
        <v>0</v>
      </c>
      <c r="F9246" s="8">
        <v>2623</v>
      </c>
    </row>
    <row r="9247" spans="1:6" ht="12.75">
      <c r="A9247" s="8">
        <v>43900.708287037036</v>
      </c>
      <c r="B9247" s="8" t="str">
        <f>HYPERLINK("https://twitter.com/Zeedman3","@Zeedman3")</f>
        <v>@Zeedman3</v>
      </c>
      <c r="C9247" s="8" t="s">
        <v>318</v>
      </c>
      <c r="D9247" s="8">
        <v>685</v>
      </c>
      <c r="E9247" s="8">
        <v>0</v>
      </c>
      <c r="F9247" s="8">
        <v>26</v>
      </c>
    </row>
    <row r="9248" spans="1:6" ht="12.75">
      <c r="A9248" s="8">
        <v>43900.708136574074</v>
      </c>
      <c r="B9248" s="8" t="str">
        <f>HYPERLINK("https://twitter.com/Yasmin15889819","@Yasmin15889819")</f>
        <v>@Yasmin15889819</v>
      </c>
      <c r="C9248" s="8" t="s">
        <v>318</v>
      </c>
      <c r="D9248" s="8">
        <v>685</v>
      </c>
      <c r="E9248" s="8">
        <v>0</v>
      </c>
      <c r="F9248" s="8">
        <v>276</v>
      </c>
    </row>
    <row r="9249" spans="1:6" ht="12.75">
      <c r="A9249" s="8">
        <v>43900.707789351851</v>
      </c>
      <c r="B9249" s="8" t="str">
        <f>HYPERLINK("https://twitter.com/KETAPANG_BORNEO","@KETAPANG_BORNEO")</f>
        <v>@KETAPANG_BORNEO</v>
      </c>
      <c r="C9249" s="8" t="s">
        <v>318</v>
      </c>
      <c r="D9249" s="8">
        <v>685</v>
      </c>
      <c r="E9249" s="8">
        <v>0</v>
      </c>
      <c r="F9249" s="8">
        <v>184</v>
      </c>
    </row>
    <row r="9250" spans="1:6" ht="12.75">
      <c r="A9250" s="8">
        <v>43900.707708333328</v>
      </c>
      <c r="B9250" s="8" t="str">
        <f>HYPERLINK("https://twitter.com/antaranews","@antaranews")</f>
        <v>@antaranews</v>
      </c>
      <c r="C9250" s="8" t="s">
        <v>4189</v>
      </c>
      <c r="D9250" s="8">
        <v>0</v>
      </c>
      <c r="E9250" s="8">
        <v>1</v>
      </c>
      <c r="F9250" s="8">
        <v>1107158</v>
      </c>
    </row>
    <row r="9251" spans="1:6" ht="12.75">
      <c r="A9251" s="8">
        <v>43900.707592592589</v>
      </c>
      <c r="B9251" s="8" t="str">
        <f>HYPERLINK("https://twitter.com/mahdi_heriyadi","@mahdi_heriyadi")</f>
        <v>@mahdi_heriyadi</v>
      </c>
      <c r="C9251" s="8" t="s">
        <v>318</v>
      </c>
      <c r="D9251" s="8">
        <v>685</v>
      </c>
      <c r="E9251" s="8">
        <v>0</v>
      </c>
      <c r="F9251" s="8">
        <v>1275</v>
      </c>
    </row>
    <row r="9252" spans="1:6" ht="12.75">
      <c r="A9252" s="8">
        <v>43900.707569444443</v>
      </c>
      <c r="B9252" s="8" t="str">
        <f>HYPERLINK("https://twitter.com/RahmanRismiaty","@RahmanRismiaty")</f>
        <v>@RahmanRismiaty</v>
      </c>
      <c r="C9252" s="8" t="s">
        <v>318</v>
      </c>
      <c r="D9252" s="8">
        <v>685</v>
      </c>
      <c r="E9252" s="8">
        <v>0</v>
      </c>
      <c r="F9252" s="8">
        <v>6</v>
      </c>
    </row>
    <row r="9253" spans="1:6" ht="12.75">
      <c r="A9253" s="8">
        <v>43900.70711805555</v>
      </c>
      <c r="B9253" s="8" t="str">
        <f>HYPERLINK("https://twitter.com/itsssdone","@itsssdone")</f>
        <v>@itsssdone</v>
      </c>
      <c r="C9253" s="8" t="s">
        <v>3050</v>
      </c>
      <c r="D9253" s="8">
        <v>134</v>
      </c>
      <c r="E9253" s="8">
        <v>0</v>
      </c>
      <c r="F9253" s="8">
        <v>270</v>
      </c>
    </row>
    <row r="9254" spans="1:6" ht="12.75">
      <c r="A9254" s="8">
        <v>43900.70689814815</v>
      </c>
      <c r="B9254" s="8" t="str">
        <f>HYPERLINK("https://twitter.com/msipang08","@msipang08")</f>
        <v>@msipang08</v>
      </c>
      <c r="C9254" s="8" t="s">
        <v>318</v>
      </c>
      <c r="D9254" s="8">
        <v>685</v>
      </c>
      <c r="E9254" s="8">
        <v>0</v>
      </c>
      <c r="F9254" s="8">
        <v>152</v>
      </c>
    </row>
    <row r="9255" spans="1:6" ht="12.75">
      <c r="A9255" s="8">
        <v>43900.706655092596</v>
      </c>
      <c r="B9255" s="8" t="str">
        <f>HYPERLINK("https://twitter.com/EkoGesto","@EkoGesto")</f>
        <v>@EkoGesto</v>
      </c>
      <c r="C9255" s="8" t="s">
        <v>318</v>
      </c>
      <c r="D9255" s="8">
        <v>685</v>
      </c>
      <c r="E9255" s="8">
        <v>0</v>
      </c>
      <c r="F9255" s="8">
        <v>232</v>
      </c>
    </row>
    <row r="9256" spans="1:6" ht="12.75">
      <c r="A9256" s="8">
        <v>43900.706643518519</v>
      </c>
      <c r="B9256" s="8" t="str">
        <f>HYPERLINK("https://twitter.com/itsmeparkjihoon","@itsmeparkjihoon")</f>
        <v>@itsmeparkjihoon</v>
      </c>
      <c r="C9256" s="8" t="s">
        <v>4183</v>
      </c>
      <c r="D9256" s="8">
        <v>2</v>
      </c>
      <c r="E9256" s="8">
        <v>0</v>
      </c>
      <c r="F9256" s="8">
        <v>1483</v>
      </c>
    </row>
    <row r="9257" spans="1:6" ht="12.75">
      <c r="A9257" s="8">
        <v>43900.706099537041</v>
      </c>
      <c r="B9257" s="8" t="str">
        <f>HYPERLINK("https://twitter.com/B4T_","@B4T_")</f>
        <v>@B4T_</v>
      </c>
      <c r="C9257" s="8" t="s">
        <v>4190</v>
      </c>
      <c r="D9257" s="8">
        <v>0</v>
      </c>
      <c r="E9257" s="8">
        <v>1</v>
      </c>
      <c r="F9257" s="8">
        <v>7</v>
      </c>
    </row>
    <row r="9258" spans="1:6" ht="12.75">
      <c r="A9258" s="8">
        <v>43900.705925925926</v>
      </c>
      <c r="B9258" s="8" t="str">
        <f>HYPERLINK("https://twitter.com/MarikaRahman_","@MarikaRahman_")</f>
        <v>@MarikaRahman_</v>
      </c>
      <c r="C9258" s="8" t="s">
        <v>4191</v>
      </c>
      <c r="D9258" s="8">
        <v>1</v>
      </c>
      <c r="E9258" s="8">
        <v>3</v>
      </c>
      <c r="F9258" s="8">
        <v>15930</v>
      </c>
    </row>
    <row r="9259" spans="1:6" ht="12.75">
      <c r="A9259" s="8">
        <v>43900.70590277778</v>
      </c>
      <c r="B9259" s="8" t="str">
        <f>HYPERLINK("https://twitter.com/mamaangie9","@mamaangie9")</f>
        <v>@mamaangie9</v>
      </c>
      <c r="C9259" s="8" t="s">
        <v>318</v>
      </c>
      <c r="D9259" s="8">
        <v>685</v>
      </c>
      <c r="E9259" s="8">
        <v>0</v>
      </c>
      <c r="F9259" s="8">
        <v>133</v>
      </c>
    </row>
    <row r="9260" spans="1:6" ht="12.75">
      <c r="A9260" s="8">
        <v>43900.705763888887</v>
      </c>
      <c r="B9260" s="8" t="str">
        <f>HYPERLINK("https://twitter.com/wni_jmsri","@wni_jmsri")</f>
        <v>@wni_jmsri</v>
      </c>
      <c r="C9260" s="8" t="s">
        <v>4192</v>
      </c>
      <c r="D9260" s="8">
        <v>783</v>
      </c>
      <c r="E9260" s="8">
        <v>0</v>
      </c>
      <c r="F9260" s="8">
        <v>204</v>
      </c>
    </row>
    <row r="9261" spans="1:6" ht="12.75">
      <c r="A9261" s="8">
        <v>43900.705625000002</v>
      </c>
      <c r="B9261" s="8" t="str">
        <f>HYPERLINK("https://twitter.com/Arhan26461681","@Arhan26461681")</f>
        <v>@Arhan26461681</v>
      </c>
      <c r="C9261" s="8" t="s">
        <v>318</v>
      </c>
      <c r="D9261" s="8">
        <v>685</v>
      </c>
      <c r="E9261" s="8">
        <v>0</v>
      </c>
      <c r="F9261" s="8">
        <v>57</v>
      </c>
    </row>
    <row r="9262" spans="1:6" ht="12.75">
      <c r="A9262" s="8">
        <v>43900.705451388887</v>
      </c>
      <c r="B9262" s="8" t="str">
        <f>HYPERLINK("https://twitter.com/pemikir5","@pemikir5")</f>
        <v>@pemikir5</v>
      </c>
      <c r="C9262" s="8" t="s">
        <v>1186</v>
      </c>
      <c r="D9262" s="8">
        <v>24</v>
      </c>
      <c r="E9262" s="8">
        <v>0</v>
      </c>
      <c r="F9262" s="8">
        <v>15176</v>
      </c>
    </row>
    <row r="9263" spans="1:6" ht="12.75">
      <c r="A9263" s="8">
        <v>43900.705289351856</v>
      </c>
      <c r="B9263" s="8" t="str">
        <f>HYPERLINK("https://twitter.com/aples0037","@aples0037")</f>
        <v>@aples0037</v>
      </c>
      <c r="C9263" s="8" t="s">
        <v>3190</v>
      </c>
      <c r="D9263" s="8">
        <v>102</v>
      </c>
      <c r="E9263" s="8">
        <v>0</v>
      </c>
      <c r="F9263" s="8">
        <v>1499</v>
      </c>
    </row>
    <row r="9264" spans="1:6" ht="12.75">
      <c r="A9264" s="8">
        <v>43900.705150462964</v>
      </c>
      <c r="B9264" s="8" t="str">
        <f>HYPERLINK("https://twitter.com/wni_jmsri","@wni_jmsri")</f>
        <v>@wni_jmsri</v>
      </c>
      <c r="C9264" s="8" t="s">
        <v>4193</v>
      </c>
      <c r="D9264" s="8">
        <v>366</v>
      </c>
      <c r="E9264" s="8">
        <v>0</v>
      </c>
      <c r="F9264" s="8">
        <v>204</v>
      </c>
    </row>
    <row r="9265" spans="1:6" ht="12.75">
      <c r="A9265" s="8">
        <v>43900.704976851848</v>
      </c>
      <c r="B9265" s="8" t="str">
        <f>HYPERLINK("https://twitter.com/IrwantoArief1","@IrwantoArief1")</f>
        <v>@IrwantoArief1</v>
      </c>
      <c r="C9265" s="8" t="s">
        <v>4194</v>
      </c>
      <c r="D9265" s="8">
        <v>17</v>
      </c>
      <c r="E9265" s="8">
        <v>0</v>
      </c>
      <c r="F9265" s="8">
        <v>2157</v>
      </c>
    </row>
    <row r="9266" spans="1:6" ht="12.75">
      <c r="A9266" s="8">
        <v>43900.704606481479</v>
      </c>
      <c r="B9266" s="8" t="str">
        <f>HYPERLINK("https://twitter.com/lixhtsout","@lixhtsout")</f>
        <v>@lixhtsout</v>
      </c>
      <c r="C9266" s="8" t="s">
        <v>4195</v>
      </c>
      <c r="D9266" s="8">
        <v>1</v>
      </c>
      <c r="E9266" s="8">
        <v>0</v>
      </c>
      <c r="F9266" s="8">
        <v>203</v>
      </c>
    </row>
    <row r="9267" spans="1:6" ht="12.75">
      <c r="A9267" s="8">
        <v>43900.704548611116</v>
      </c>
      <c r="B9267" s="8" t="str">
        <f>HYPERLINK("https://twitter.com/ReiMiechi99","@ReiMiechi99")</f>
        <v>@ReiMiechi99</v>
      </c>
      <c r="C9267" s="8" t="s">
        <v>4196</v>
      </c>
      <c r="D9267" s="8">
        <v>0</v>
      </c>
      <c r="E9267" s="8">
        <v>0</v>
      </c>
      <c r="F9267" s="8">
        <v>86</v>
      </c>
    </row>
    <row r="9268" spans="1:6" ht="12.75">
      <c r="A9268" s="8">
        <v>43900.704386574071</v>
      </c>
      <c r="B9268" s="8" t="str">
        <f>HYPERLINK("https://twitter.com/gunady_678","@gunady_678")</f>
        <v>@gunady_678</v>
      </c>
      <c r="C9268" s="8" t="s">
        <v>4197</v>
      </c>
      <c r="D9268" s="8">
        <v>0</v>
      </c>
      <c r="E9268" s="8">
        <v>0</v>
      </c>
      <c r="F9268" s="8">
        <v>419</v>
      </c>
    </row>
    <row r="9269" spans="1:6" ht="12.75">
      <c r="A9269" s="8">
        <v>43900.70380787037</v>
      </c>
      <c r="B9269" s="8" t="str">
        <f>HYPERLINK("https://twitter.com/AbiAsyraf","@AbiAsyraf")</f>
        <v>@AbiAsyraf</v>
      </c>
      <c r="C9269" s="8" t="s">
        <v>318</v>
      </c>
      <c r="D9269" s="8">
        <v>685</v>
      </c>
      <c r="E9269" s="8">
        <v>0</v>
      </c>
      <c r="F9269" s="8">
        <v>445</v>
      </c>
    </row>
    <row r="9270" spans="1:6" ht="12.75">
      <c r="A9270" s="8">
        <v>43900.703784722224</v>
      </c>
      <c r="B9270" s="8" t="str">
        <f>HYPERLINK("https://twitter.com/wni_jmsri","@wni_jmsri")</f>
        <v>@wni_jmsri</v>
      </c>
      <c r="C9270" s="8" t="s">
        <v>4198</v>
      </c>
      <c r="D9270" s="8">
        <v>56</v>
      </c>
      <c r="E9270" s="8">
        <v>0</v>
      </c>
      <c r="F9270" s="8">
        <v>204</v>
      </c>
    </row>
    <row r="9271" spans="1:6" ht="12.75">
      <c r="A9271" s="8">
        <v>43900.703599537039</v>
      </c>
      <c r="B9271" s="8" t="str">
        <f>HYPERLINK("https://twitter.com/jatengtodaycom","@jatengtodaycom")</f>
        <v>@jatengtodaycom</v>
      </c>
      <c r="C9271" s="8" t="s">
        <v>4199</v>
      </c>
      <c r="D9271" s="8">
        <v>0</v>
      </c>
      <c r="E9271" s="8">
        <v>0</v>
      </c>
      <c r="F9271" s="8">
        <v>77</v>
      </c>
    </row>
    <row r="9272" spans="1:6" ht="12.75">
      <c r="A9272" s="8">
        <v>43900.703379629631</v>
      </c>
      <c r="B9272" s="8" t="str">
        <f>HYPERLINK("https://twitter.com/imalavins","@imalavins")</f>
        <v>@imalavins</v>
      </c>
      <c r="C9272" s="8" t="s">
        <v>4200</v>
      </c>
      <c r="D9272" s="8">
        <v>0</v>
      </c>
      <c r="E9272" s="8">
        <v>0</v>
      </c>
      <c r="F9272" s="8">
        <v>1140</v>
      </c>
    </row>
    <row r="9273" spans="1:6" ht="12.75">
      <c r="A9273" s="8">
        <v>43900.703356481477</v>
      </c>
      <c r="B9273" s="8" t="str">
        <f>HYPERLINK("https://twitter.com/LuNa20410042","@LuNa20410042")</f>
        <v>@LuNa20410042</v>
      </c>
      <c r="C9273" s="8" t="s">
        <v>318</v>
      </c>
      <c r="D9273" s="8">
        <v>685</v>
      </c>
      <c r="E9273" s="8">
        <v>0</v>
      </c>
      <c r="F9273" s="8">
        <v>448</v>
      </c>
    </row>
    <row r="9274" spans="1:6" ht="12.75">
      <c r="A9274" s="8">
        <v>43900.7028125</v>
      </c>
      <c r="B9274" s="8" t="str">
        <f>HYPERLINK("https://twitter.com/SudhaBishan","@SudhaBishan")</f>
        <v>@SudhaBishan</v>
      </c>
      <c r="C9274" s="8" t="s">
        <v>1957</v>
      </c>
      <c r="D9274" s="8">
        <v>1483</v>
      </c>
      <c r="E9274" s="8">
        <v>0</v>
      </c>
      <c r="F9274" s="8">
        <v>395</v>
      </c>
    </row>
    <row r="9275" spans="1:6" ht="12.75">
      <c r="A9275" s="8">
        <v>43900.702708333338</v>
      </c>
      <c r="B9275" s="8" t="str">
        <f>HYPERLINK("https://twitter.com/__Ndaru__","@__Ndaru__")</f>
        <v>@__Ndaru__</v>
      </c>
      <c r="C9275" s="8" t="s">
        <v>4201</v>
      </c>
      <c r="D9275" s="8">
        <v>0</v>
      </c>
      <c r="E9275" s="8">
        <v>0</v>
      </c>
      <c r="F9275" s="8">
        <v>351</v>
      </c>
    </row>
    <row r="9276" spans="1:6" ht="12.75">
      <c r="A9276" s="8">
        <v>43900.702696759261</v>
      </c>
      <c r="B9276" s="8" t="str">
        <f>HYPERLINK("https://twitter.com/sunda_banten","@sunda_banten")</f>
        <v>@sunda_banten</v>
      </c>
      <c r="C9276" s="8" t="s">
        <v>318</v>
      </c>
      <c r="D9276" s="8">
        <v>685</v>
      </c>
      <c r="E9276" s="8">
        <v>0</v>
      </c>
      <c r="F9276" s="8">
        <v>154</v>
      </c>
    </row>
    <row r="9277" spans="1:6" ht="12.75">
      <c r="A9277" s="8">
        <v>43900.702650462961</v>
      </c>
      <c r="B9277" s="8" t="str">
        <f>HYPERLINK("https://twitter.com/KBRI_Bangkok","@KBRI_Bangkok")</f>
        <v>@KBRI_Bangkok</v>
      </c>
      <c r="C9277" s="8" t="s">
        <v>4202</v>
      </c>
      <c r="D9277" s="8">
        <v>1</v>
      </c>
      <c r="E9277" s="8">
        <v>0</v>
      </c>
      <c r="F9277" s="8">
        <v>3952</v>
      </c>
    </row>
    <row r="9278" spans="1:6" ht="12.75">
      <c r="A9278" s="8">
        <v>43900.702361111107</v>
      </c>
      <c r="B9278" s="8" t="str">
        <f>HYPERLINK("https://twitter.com/fahmijourney","@fahmijourney")</f>
        <v>@fahmijourney</v>
      </c>
      <c r="C9278" s="8" t="s">
        <v>4203</v>
      </c>
      <c r="D9278" s="8">
        <v>0</v>
      </c>
      <c r="E9278" s="8">
        <v>0</v>
      </c>
      <c r="F9278" s="8">
        <v>2299</v>
      </c>
    </row>
    <row r="9279" spans="1:6" ht="12.75">
      <c r="A9279" s="8">
        <v>43900.702314814815</v>
      </c>
      <c r="B9279" s="8" t="str">
        <f>HYPERLINK("https://twitter.com/husnu_daroin","@husnu_daroin")</f>
        <v>@husnu_daroin</v>
      </c>
      <c r="C9279" s="8" t="s">
        <v>318</v>
      </c>
      <c r="D9279" s="8">
        <v>685</v>
      </c>
      <c r="E9279" s="8">
        <v>0</v>
      </c>
      <c r="F9279" s="8">
        <v>106</v>
      </c>
    </row>
    <row r="9280" spans="1:6" ht="12.75">
      <c r="A9280" s="8">
        <v>43900.701620370368</v>
      </c>
      <c r="B9280" s="8" t="str">
        <f>HYPERLINK("https://twitter.com/kjrijohorbahru","@kjrijohorbahru")</f>
        <v>@kjrijohorbahru</v>
      </c>
      <c r="C9280" s="8" t="s">
        <v>4204</v>
      </c>
      <c r="D9280" s="8">
        <v>0</v>
      </c>
      <c r="E9280" s="8">
        <v>1</v>
      </c>
      <c r="F9280" s="8">
        <v>679</v>
      </c>
    </row>
    <row r="9281" spans="1:6" ht="12.75">
      <c r="A9281" s="8">
        <v>43900.701597222222</v>
      </c>
      <c r="B9281" s="8" t="str">
        <f>HYPERLINK("https://twitter.com/didiksuharman2","@didiksuharman2")</f>
        <v>@didiksuharman2</v>
      </c>
      <c r="C9281" s="8" t="s">
        <v>4205</v>
      </c>
      <c r="D9281" s="8">
        <v>0</v>
      </c>
      <c r="E9281" s="8">
        <v>0</v>
      </c>
      <c r="F9281" s="8">
        <v>409</v>
      </c>
    </row>
    <row r="9282" spans="1:6" ht="12.75">
      <c r="A9282" s="8">
        <v>43900.701180555552</v>
      </c>
      <c r="B9282" s="8" t="str">
        <f>HYPERLINK("https://twitter.com/aausupid","@aausupid")</f>
        <v>@aausupid</v>
      </c>
      <c r="C9282" s="8" t="s">
        <v>4206</v>
      </c>
      <c r="D9282" s="8">
        <v>0</v>
      </c>
      <c r="E9282" s="8">
        <v>0</v>
      </c>
      <c r="F9282" s="8">
        <v>927</v>
      </c>
    </row>
    <row r="9283" spans="1:6" ht="12.75">
      <c r="A9283" s="8">
        <v>43900.700775462959</v>
      </c>
      <c r="B9283" s="8" t="str">
        <f>HYPERLINK("https://twitter.com/SigitWtj","@SigitWtj")</f>
        <v>@SigitWtj</v>
      </c>
      <c r="C9283" s="8" t="s">
        <v>2851</v>
      </c>
      <c r="D9283" s="8">
        <v>49</v>
      </c>
      <c r="E9283" s="8">
        <v>0</v>
      </c>
      <c r="F9283" s="8">
        <v>1638</v>
      </c>
    </row>
    <row r="9284" spans="1:6" ht="12.75">
      <c r="A9284" s="8">
        <v>43900.700023148151</v>
      </c>
      <c r="B9284" s="8" t="str">
        <f>HYPERLINK("https://twitter.com/Haluan_","@Haluan_")</f>
        <v>@Haluan_</v>
      </c>
      <c r="C9284" s="8" t="s">
        <v>4207</v>
      </c>
      <c r="D9284" s="8">
        <v>0</v>
      </c>
      <c r="E9284" s="8">
        <v>0</v>
      </c>
      <c r="F9284" s="8">
        <v>1540</v>
      </c>
    </row>
    <row r="9285" spans="1:6" ht="12.75">
      <c r="A9285" s="8">
        <v>43900.699791666666</v>
      </c>
      <c r="B9285" s="8" t="str">
        <f>HYPERLINK("https://twitter.com/sihol72","@sihol72")</f>
        <v>@sihol72</v>
      </c>
      <c r="C9285" s="8" t="s">
        <v>4208</v>
      </c>
      <c r="D9285" s="8">
        <v>0</v>
      </c>
      <c r="E9285" s="8">
        <v>0</v>
      </c>
      <c r="F9285" s="8">
        <v>163</v>
      </c>
    </row>
    <row r="9286" spans="1:6" ht="12.75">
      <c r="A9286" s="8">
        <v>43900.699560185181</v>
      </c>
      <c r="B9286" s="8" t="str">
        <f>HYPERLINK("https://twitter.com/alpin_aktam18","@alpin_aktam18")</f>
        <v>@alpin_aktam18</v>
      </c>
      <c r="C9286" s="8" t="s">
        <v>4209</v>
      </c>
      <c r="D9286" s="8">
        <v>1</v>
      </c>
      <c r="E9286" s="8">
        <v>0</v>
      </c>
      <c r="F9286" s="8">
        <v>7110</v>
      </c>
    </row>
    <row r="9287" spans="1:6" ht="12.75">
      <c r="A9287" s="8">
        <v>43900.699490740742</v>
      </c>
      <c r="B9287" s="8" t="str">
        <f>HYPERLINK("https://twitter.com/WingitI","@WingitI")</f>
        <v>@WingitI</v>
      </c>
      <c r="C9287" s="8" t="s">
        <v>318</v>
      </c>
      <c r="D9287" s="8">
        <v>685</v>
      </c>
      <c r="E9287" s="8">
        <v>0</v>
      </c>
      <c r="F9287" s="8">
        <v>293</v>
      </c>
    </row>
    <row r="9288" spans="1:6" ht="12.75">
      <c r="A9288" s="8">
        <v>43900.699293981481</v>
      </c>
      <c r="B9288" s="8" t="str">
        <f>HYPERLINK("https://twitter.com/nynysOk","@nynysOk")</f>
        <v>@nynysOk</v>
      </c>
      <c r="C9288" s="8" t="s">
        <v>4210</v>
      </c>
      <c r="D9288" s="8">
        <v>0</v>
      </c>
      <c r="E9288" s="8">
        <v>1</v>
      </c>
      <c r="F9288" s="8">
        <v>21</v>
      </c>
    </row>
    <row r="9289" spans="1:6" ht="12.75">
      <c r="A9289" s="8">
        <v>43900.699247685188</v>
      </c>
      <c r="B9289" s="8" t="str">
        <f>HYPERLINK("https://twitter.com/zurqaniAhmad","@zurqaniAhmad")</f>
        <v>@zurqaniAhmad</v>
      </c>
      <c r="C9289" s="8" t="s">
        <v>318</v>
      </c>
      <c r="D9289" s="8">
        <v>685</v>
      </c>
      <c r="E9289" s="8">
        <v>0</v>
      </c>
      <c r="F9289" s="8">
        <v>226</v>
      </c>
    </row>
    <row r="9290" spans="1:6" ht="12.75">
      <c r="A9290" s="8">
        <v>43900.699004629627</v>
      </c>
      <c r="B9290" s="8" t="str">
        <f>HYPERLINK("https://twitter.com/jagmesbon","@jagmesbon")</f>
        <v>@jagmesbon</v>
      </c>
      <c r="C9290" s="8" t="s">
        <v>4211</v>
      </c>
      <c r="D9290" s="8">
        <v>0</v>
      </c>
      <c r="E9290" s="8">
        <v>1</v>
      </c>
      <c r="F9290" s="8">
        <v>152</v>
      </c>
    </row>
    <row r="9291" spans="1:6" ht="12.75">
      <c r="A9291" s="8">
        <v>43900.698912037042</v>
      </c>
      <c r="B9291" s="8" t="str">
        <f>HYPERLINK("https://twitter.com/Naynadyarahma","@Naynadyarahma")</f>
        <v>@Naynadyarahma</v>
      </c>
      <c r="C9291" s="8" t="s">
        <v>2851</v>
      </c>
      <c r="D9291" s="8">
        <v>49</v>
      </c>
      <c r="E9291" s="8">
        <v>0</v>
      </c>
      <c r="F9291" s="8">
        <v>491</v>
      </c>
    </row>
    <row r="9292" spans="1:6" ht="12.75">
      <c r="A9292" s="8">
        <v>43900.69809027778</v>
      </c>
      <c r="B9292" s="8" t="str">
        <f>HYPERLINK("https://twitter.com/4N135_4_RI_One","@4N135_4_RI_One")</f>
        <v>@4N135_4_RI_One</v>
      </c>
      <c r="C9292" s="8" t="s">
        <v>318</v>
      </c>
      <c r="D9292" s="8">
        <v>685</v>
      </c>
      <c r="E9292" s="8">
        <v>0</v>
      </c>
      <c r="F9292" s="8">
        <v>723</v>
      </c>
    </row>
    <row r="9293" spans="1:6" ht="12.75">
      <c r="A9293" s="8">
        <v>43900.697789351849</v>
      </c>
      <c r="B9293" s="8" t="str">
        <f>HYPERLINK("https://twitter.com/ithaanne","@ithaanne")</f>
        <v>@ithaanne</v>
      </c>
      <c r="C9293" s="8" t="s">
        <v>318</v>
      </c>
      <c r="D9293" s="8">
        <v>685</v>
      </c>
      <c r="E9293" s="8">
        <v>0</v>
      </c>
      <c r="F9293" s="8">
        <v>296</v>
      </c>
    </row>
    <row r="9294" spans="1:6" ht="12.75">
      <c r="A9294" s="8">
        <v>43900.697581018518</v>
      </c>
      <c r="B9294" s="8" t="str">
        <f>HYPERLINK("https://twitter.com/Yosmen","@Yosmen")</f>
        <v>@Yosmen</v>
      </c>
      <c r="C9294" s="8" t="s">
        <v>318</v>
      </c>
      <c r="D9294" s="8">
        <v>685</v>
      </c>
      <c r="E9294" s="8">
        <v>0</v>
      </c>
      <c r="F9294" s="8">
        <v>145</v>
      </c>
    </row>
    <row r="9295" spans="1:6" ht="12.75">
      <c r="A9295" s="8">
        <v>43900.696516203709</v>
      </c>
      <c r="B9295" s="8" t="str">
        <f>HYPERLINK("https://twitter.com/DhayatOscar1","@DhayatOscar1")</f>
        <v>@DhayatOscar1</v>
      </c>
      <c r="C9295" s="8" t="s">
        <v>318</v>
      </c>
      <c r="D9295" s="8">
        <v>685</v>
      </c>
      <c r="E9295" s="8">
        <v>0</v>
      </c>
      <c r="F9295" s="8">
        <v>1088</v>
      </c>
    </row>
    <row r="9296" spans="1:6" ht="12.75">
      <c r="A9296" s="8">
        <v>43900.695891203708</v>
      </c>
      <c r="B9296" s="8" t="str">
        <f>HYPERLINK("https://twitter.com/kompascom","@kompascom")</f>
        <v>@kompascom</v>
      </c>
      <c r="C9296" s="8" t="s">
        <v>4212</v>
      </c>
      <c r="D9296" s="8">
        <v>2</v>
      </c>
      <c r="E9296" s="8">
        <v>4</v>
      </c>
      <c r="F9296" s="8">
        <v>7538982</v>
      </c>
    </row>
    <row r="9297" spans="1:6" ht="12.75">
      <c r="A9297" s="8">
        <v>43900.695289351846</v>
      </c>
      <c r="B9297" s="8" t="str">
        <f>HYPERLINK("https://twitter.com/Dharma_0ne","@Dharma_0ne")</f>
        <v>@Dharma_0ne</v>
      </c>
      <c r="C9297" s="8" t="s">
        <v>1809</v>
      </c>
      <c r="D9297" s="8">
        <v>1</v>
      </c>
      <c r="E9297" s="8">
        <v>0</v>
      </c>
      <c r="F9297" s="8">
        <v>4666</v>
      </c>
    </row>
    <row r="9298" spans="1:6" ht="12.75">
      <c r="A9298" s="8">
        <v>43900.695243055554</v>
      </c>
      <c r="B9298" s="8" t="str">
        <f>HYPERLINK("https://twitter.com/umaremania87","@umaremania87")</f>
        <v>@umaremania87</v>
      </c>
      <c r="C9298" s="8" t="s">
        <v>4213</v>
      </c>
      <c r="D9298" s="8">
        <v>2</v>
      </c>
      <c r="E9298" s="8">
        <v>0</v>
      </c>
      <c r="F9298" s="8">
        <v>312</v>
      </c>
    </row>
    <row r="9299" spans="1:6" ht="12.75">
      <c r="A9299" s="8">
        <v>43900.695081018523</v>
      </c>
      <c r="B9299" s="8" t="str">
        <f>HYPERLINK("https://twitter.com/Milenial02","@Milenial02")</f>
        <v>@Milenial02</v>
      </c>
      <c r="C9299" s="8" t="s">
        <v>318</v>
      </c>
      <c r="D9299" s="8">
        <v>685</v>
      </c>
      <c r="E9299" s="8">
        <v>0</v>
      </c>
      <c r="F9299" s="8">
        <v>820</v>
      </c>
    </row>
    <row r="9300" spans="1:6" ht="12.75">
      <c r="A9300" s="8">
        <v>43900.695023148146</v>
      </c>
      <c r="B9300" s="8" t="str">
        <f>HYPERLINK("https://twitter.com/antaranews","@antaranews")</f>
        <v>@antaranews</v>
      </c>
      <c r="C9300" s="8" t="s">
        <v>4214</v>
      </c>
      <c r="D9300" s="8">
        <v>1</v>
      </c>
      <c r="E9300" s="8">
        <v>3</v>
      </c>
      <c r="F9300" s="8">
        <v>1107158</v>
      </c>
    </row>
    <row r="9301" spans="1:6" ht="12.75">
      <c r="A9301" s="8">
        <v>43900.694965277777</v>
      </c>
      <c r="B9301" s="8" t="str">
        <f>HYPERLINK("https://twitter.com/Ishish19885793","@Ishish19885793")</f>
        <v>@Ishish19885793</v>
      </c>
      <c r="C9301" s="8" t="s">
        <v>318</v>
      </c>
      <c r="D9301" s="8">
        <v>685</v>
      </c>
      <c r="E9301" s="8">
        <v>0</v>
      </c>
      <c r="F9301" s="8">
        <v>63</v>
      </c>
    </row>
    <row r="9302" spans="1:6" ht="12.75">
      <c r="A9302" s="8">
        <v>43900.694699074069</v>
      </c>
      <c r="B9302" s="8" t="str">
        <f>HYPERLINK("https://twitter.com/abi_hasna","@abi_hasna")</f>
        <v>@abi_hasna</v>
      </c>
      <c r="C9302" s="8" t="s">
        <v>318</v>
      </c>
      <c r="D9302" s="8">
        <v>685</v>
      </c>
      <c r="E9302" s="8">
        <v>0</v>
      </c>
      <c r="F9302" s="8">
        <v>26</v>
      </c>
    </row>
    <row r="9303" spans="1:6" ht="12.75">
      <c r="A9303" s="8">
        <v>43900.694502314815</v>
      </c>
      <c r="B9303" s="8" t="str">
        <f>HYPERLINK("https://twitter.com/rainonbluesky","@rainonbluesky")</f>
        <v>@rainonbluesky</v>
      </c>
      <c r="C9303" s="8" t="s">
        <v>318</v>
      </c>
      <c r="D9303" s="8">
        <v>685</v>
      </c>
      <c r="E9303" s="8">
        <v>0</v>
      </c>
      <c r="F9303" s="8">
        <v>181</v>
      </c>
    </row>
    <row r="9304" spans="1:6" ht="12.75">
      <c r="A9304" s="8">
        <v>43900.694479166668</v>
      </c>
      <c r="B9304" s="8" t="str">
        <f>HYPERLINK("https://twitter.com/alineadotid","@alineadotid")</f>
        <v>@alineadotid</v>
      </c>
      <c r="C9304" s="8" t="s">
        <v>4215</v>
      </c>
      <c r="D9304" s="8">
        <v>0</v>
      </c>
      <c r="E9304" s="8">
        <v>0</v>
      </c>
      <c r="F9304" s="8">
        <v>611500</v>
      </c>
    </row>
    <row r="9305" spans="1:6" ht="12.75">
      <c r="A9305" s="8">
        <v>43900.693900462968</v>
      </c>
      <c r="B9305" s="8" t="str">
        <f>HYPERLINK("https://twitter.com/AdjengPradha","@AdjengPradha")</f>
        <v>@AdjengPradha</v>
      </c>
      <c r="C9305" s="8" t="s">
        <v>4216</v>
      </c>
      <c r="D9305" s="8">
        <v>0</v>
      </c>
      <c r="E9305" s="8">
        <v>0</v>
      </c>
      <c r="F9305" s="8">
        <v>935</v>
      </c>
    </row>
    <row r="9306" spans="1:6" ht="12.75">
      <c r="A9306" s="8">
        <v>43900.693819444445</v>
      </c>
      <c r="B9306" s="8" t="str">
        <f>HYPERLINK("https://twitter.com/Ibam103209","@Ibam103209")</f>
        <v>@Ibam103209</v>
      </c>
      <c r="C9306" s="8" t="s">
        <v>318</v>
      </c>
      <c r="D9306" s="8">
        <v>685</v>
      </c>
      <c r="E9306" s="8">
        <v>0</v>
      </c>
      <c r="F9306" s="8">
        <v>98</v>
      </c>
    </row>
    <row r="9307" spans="1:6" ht="12.75">
      <c r="A9307" s="8">
        <v>43900.693715277783</v>
      </c>
      <c r="B9307" s="8" t="str">
        <f>HYPERLINK("https://twitter.com/ghynursha","@ghynursha")</f>
        <v>@ghynursha</v>
      </c>
      <c r="C9307" s="8" t="s">
        <v>3050</v>
      </c>
      <c r="D9307" s="8">
        <v>134</v>
      </c>
      <c r="E9307" s="8">
        <v>0</v>
      </c>
      <c r="F9307" s="8">
        <v>1320</v>
      </c>
    </row>
    <row r="9308" spans="1:6" ht="12.75">
      <c r="A9308" s="8">
        <v>43900.693078703705</v>
      </c>
      <c r="B9308" s="8" t="str">
        <f>HYPERLINK("https://twitter.com/manishd88429735","@manishd88429735")</f>
        <v>@manishd88429735</v>
      </c>
      <c r="C9308" s="8" t="s">
        <v>4217</v>
      </c>
      <c r="D9308" s="8">
        <v>1</v>
      </c>
      <c r="E9308" s="8">
        <v>1</v>
      </c>
      <c r="F9308" s="8">
        <v>23</v>
      </c>
    </row>
    <row r="9309" spans="1:6" ht="12.75">
      <c r="A9309" s="8">
        <v>43900.692129629635</v>
      </c>
      <c r="B9309" s="8" t="str">
        <f>HYPERLINK("https://twitter.com/BangkitPribumi","@BangkitPribumi")</f>
        <v>@BangkitPribumi</v>
      </c>
      <c r="C9309" s="8" t="s">
        <v>4218</v>
      </c>
      <c r="D9309" s="8">
        <v>9</v>
      </c>
      <c r="E9309" s="8">
        <v>0</v>
      </c>
      <c r="F9309" s="8">
        <v>783</v>
      </c>
    </row>
    <row r="9310" spans="1:6" ht="12.75">
      <c r="A9310" s="8">
        <v>43900.691782407404</v>
      </c>
      <c r="B9310" s="8" t="str">
        <f>HYPERLINK("https://twitter.com/mus_kosgoro","@mus_kosgoro")</f>
        <v>@mus_kosgoro</v>
      </c>
      <c r="C9310" s="8" t="s">
        <v>3190</v>
      </c>
      <c r="D9310" s="8">
        <v>102</v>
      </c>
      <c r="E9310" s="8">
        <v>0</v>
      </c>
      <c r="F9310" s="8">
        <v>111</v>
      </c>
    </row>
    <row r="9311" spans="1:6" ht="12.75">
      <c r="A9311" s="8">
        <v>43900.691631944443</v>
      </c>
      <c r="B9311" s="8" t="str">
        <f>HYPERLINK("https://twitter.com/ManafSamuel","@ManafSamuel")</f>
        <v>@ManafSamuel</v>
      </c>
      <c r="C9311" s="8" t="s">
        <v>4219</v>
      </c>
      <c r="D9311" s="8">
        <v>0</v>
      </c>
      <c r="E9311" s="8">
        <v>1</v>
      </c>
      <c r="F9311" s="8">
        <v>1779</v>
      </c>
    </row>
    <row r="9312" spans="1:6" ht="12.75">
      <c r="A9312" s="8">
        <v>43900.691446759258</v>
      </c>
      <c r="B9312" s="8" t="str">
        <f>HYPERLINK("https://twitter.com/kkvrindhavan","@kkvrindhavan")</f>
        <v>@kkvrindhavan</v>
      </c>
      <c r="C9312" s="8" t="s">
        <v>3126</v>
      </c>
      <c r="D9312" s="8">
        <v>323</v>
      </c>
      <c r="E9312" s="8">
        <v>0</v>
      </c>
      <c r="F9312" s="8">
        <v>1723</v>
      </c>
    </row>
    <row r="9313" spans="1:6" ht="12.75">
      <c r="A9313" s="8">
        <v>43900.691435185188</v>
      </c>
      <c r="B9313" s="8" t="str">
        <f>HYPERLINK("https://twitter.com/Joehan_d","@Joehan_d")</f>
        <v>@Joehan_d</v>
      </c>
      <c r="C9313" s="8" t="s">
        <v>318</v>
      </c>
      <c r="D9313" s="8">
        <v>685</v>
      </c>
      <c r="E9313" s="8">
        <v>0</v>
      </c>
      <c r="F9313" s="8">
        <v>696</v>
      </c>
    </row>
    <row r="9314" spans="1:6" ht="12.75">
      <c r="A9314" s="8">
        <v>43900.690891203703</v>
      </c>
      <c r="B9314" s="8" t="str">
        <f>HYPERLINK("https://twitter.com/romirhon","@romirhon")</f>
        <v>@romirhon</v>
      </c>
      <c r="C9314" s="8" t="s">
        <v>318</v>
      </c>
      <c r="D9314" s="8">
        <v>685</v>
      </c>
      <c r="E9314" s="8">
        <v>0</v>
      </c>
      <c r="F9314" s="8">
        <v>222</v>
      </c>
    </row>
    <row r="9315" spans="1:6" ht="12.75">
      <c r="A9315" s="8">
        <v>43900.690555555557</v>
      </c>
      <c r="B9315" s="8" t="str">
        <f>HYPERLINK("https://twitter.com/destadara1","@destadara1")</f>
        <v>@destadara1</v>
      </c>
      <c r="C9315" s="8" t="s">
        <v>3050</v>
      </c>
      <c r="D9315" s="8">
        <v>134</v>
      </c>
      <c r="E9315" s="8">
        <v>0</v>
      </c>
      <c r="F9315" s="8">
        <v>632</v>
      </c>
    </row>
    <row r="9316" spans="1:6" ht="12.75">
      <c r="A9316" s="8">
        <v>43900.690266203703</v>
      </c>
      <c r="B9316" s="8" t="str">
        <f>HYPERLINK("https://twitter.com/katyusha_strike","@katyusha_strike")</f>
        <v>@katyusha_strike</v>
      </c>
      <c r="C9316" s="8" t="s">
        <v>3190</v>
      </c>
      <c r="D9316" s="8">
        <v>102</v>
      </c>
      <c r="E9316" s="8">
        <v>0</v>
      </c>
      <c r="F9316" s="8">
        <v>197</v>
      </c>
    </row>
    <row r="9317" spans="1:6" ht="12.75">
      <c r="A9317" s="8">
        <v>43900.689710648148</v>
      </c>
      <c r="B9317" s="8" t="str">
        <f>HYPERLINK("https://twitter.com/girish8483","@girish8483")</f>
        <v>@girish8483</v>
      </c>
      <c r="C9317" s="8" t="s">
        <v>1957</v>
      </c>
      <c r="D9317" s="8">
        <v>1483</v>
      </c>
      <c r="E9317" s="8">
        <v>0</v>
      </c>
      <c r="F9317" s="8">
        <v>638</v>
      </c>
    </row>
    <row r="9318" spans="1:6" ht="12.75">
      <c r="A9318" s="8">
        <v>43900.689444444448</v>
      </c>
      <c r="B9318" s="8" t="str">
        <f>HYPERLINK("https://twitter.com/dodi_ahmad07","@dodi_ahmad07")</f>
        <v>@dodi_ahmad07</v>
      </c>
      <c r="C9318" s="8" t="s">
        <v>3190</v>
      </c>
      <c r="D9318" s="8">
        <v>102</v>
      </c>
      <c r="E9318" s="8">
        <v>0</v>
      </c>
      <c r="F9318" s="8">
        <v>639</v>
      </c>
    </row>
    <row r="9319" spans="1:6" ht="12.75">
      <c r="A9319" s="8">
        <v>43900.689293981486</v>
      </c>
      <c r="B9319" s="8" t="str">
        <f>HYPERLINK("https://twitter.com/lazismupakem","@lazismupakem")</f>
        <v>@lazismupakem</v>
      </c>
      <c r="C9319" s="8" t="s">
        <v>4220</v>
      </c>
      <c r="D9319" s="8">
        <v>0</v>
      </c>
      <c r="E9319" s="8">
        <v>0</v>
      </c>
      <c r="F9319" s="8">
        <v>51</v>
      </c>
    </row>
    <row r="9320" spans="1:6" ht="12.75">
      <c r="A9320" s="8">
        <v>43900.688981481479</v>
      </c>
      <c r="B9320" s="8" t="str">
        <f>HYPERLINK("https://twitter.com/AnnaVLee","@AnnaVLee")</f>
        <v>@AnnaVLee</v>
      </c>
      <c r="C9320" s="8" t="s">
        <v>3969</v>
      </c>
      <c r="D9320" s="8">
        <v>59</v>
      </c>
      <c r="E9320" s="8">
        <v>0</v>
      </c>
      <c r="F9320" s="8">
        <v>177</v>
      </c>
    </row>
    <row r="9321" spans="1:6" ht="12.75">
      <c r="A9321" s="8">
        <v>43900.688819444447</v>
      </c>
      <c r="B9321" s="8" t="str">
        <f>HYPERLINK("https://twitter.com/cucupsaeroji","@cucupsaeroji")</f>
        <v>@cucupsaeroji</v>
      </c>
      <c r="C9321" s="8" t="s">
        <v>318</v>
      </c>
      <c r="D9321" s="8">
        <v>685</v>
      </c>
      <c r="E9321" s="8">
        <v>0</v>
      </c>
      <c r="F9321" s="8">
        <v>246</v>
      </c>
    </row>
    <row r="9322" spans="1:6" ht="12.75">
      <c r="A9322" s="8">
        <v>43900.688541666663</v>
      </c>
      <c r="B9322" s="8" t="str">
        <f>HYPERLINK("https://twitter.com/lazismupakem","@lazismupakem")</f>
        <v>@lazismupakem</v>
      </c>
      <c r="C9322" s="8" t="s">
        <v>3860</v>
      </c>
      <c r="D9322" s="8">
        <v>6</v>
      </c>
      <c r="E9322" s="8">
        <v>0</v>
      </c>
      <c r="F9322" s="8">
        <v>51</v>
      </c>
    </row>
    <row r="9323" spans="1:6" ht="12.75">
      <c r="A9323" s="8">
        <v>43900.688043981485</v>
      </c>
      <c r="B9323" s="8" t="str">
        <f>HYPERLINK("https://twitter.com/ridhowi9912","@ridhowi9912")</f>
        <v>@ridhowi9912</v>
      </c>
      <c r="C9323" s="8" t="s">
        <v>318</v>
      </c>
      <c r="D9323" s="8">
        <v>685</v>
      </c>
      <c r="E9323" s="8">
        <v>0</v>
      </c>
      <c r="F9323" s="8">
        <v>160</v>
      </c>
    </row>
    <row r="9324" spans="1:6" ht="12.75">
      <c r="A9324" s="8">
        <v>43900.687546296293</v>
      </c>
      <c r="B9324" s="8" t="str">
        <f>HYPERLINK("https://twitter.com/alineadotid","@alineadotid")</f>
        <v>@alineadotid</v>
      </c>
      <c r="C9324" s="8" t="s">
        <v>4221</v>
      </c>
      <c r="D9324" s="8">
        <v>0</v>
      </c>
      <c r="E9324" s="8">
        <v>0</v>
      </c>
      <c r="F9324" s="8">
        <v>611500</v>
      </c>
    </row>
    <row r="9325" spans="1:6" ht="12.75">
      <c r="A9325" s="8">
        <v>43900.687476851846</v>
      </c>
      <c r="B9325" s="8" t="str">
        <f>HYPERLINK("https://twitter.com/justinusas","@justinusas")</f>
        <v>@justinusas</v>
      </c>
      <c r="C9325" s="8" t="s">
        <v>3262</v>
      </c>
      <c r="D9325" s="8">
        <v>250</v>
      </c>
      <c r="E9325" s="8">
        <v>0</v>
      </c>
      <c r="F9325" s="8">
        <v>746</v>
      </c>
    </row>
    <row r="9326" spans="1:6" ht="12.75">
      <c r="A9326" s="8">
        <v>43900.673368055555</v>
      </c>
      <c r="B9326" s="8" t="str">
        <f>HYPERLINK("https://twitter.com/zamnurjaman66","@zamnurjaman66")</f>
        <v>@zamnurjaman66</v>
      </c>
      <c r="C9326" s="8" t="s">
        <v>318</v>
      </c>
      <c r="D9326" s="8">
        <v>626</v>
      </c>
      <c r="E9326" s="8">
        <v>0</v>
      </c>
      <c r="F9326" s="8">
        <v>214</v>
      </c>
    </row>
    <row r="9327" spans="1:6" ht="12.75">
      <c r="A9327" s="8">
        <v>43900.673032407409</v>
      </c>
      <c r="B9327" s="8" t="str">
        <f>HYPERLINK("https://twitter.com/TheDauwani","@TheDauwani")</f>
        <v>@TheDauwani</v>
      </c>
      <c r="C9327" s="8" t="s">
        <v>295</v>
      </c>
      <c r="D9327" s="8">
        <v>67</v>
      </c>
      <c r="E9327" s="8">
        <v>0</v>
      </c>
      <c r="F9327" s="8">
        <v>379</v>
      </c>
    </row>
    <row r="9328" spans="1:6" ht="12.75">
      <c r="A9328" s="8">
        <v>43900.672916666663</v>
      </c>
      <c r="B9328" s="8" t="str">
        <f>HYPERLINK("https://twitter.com/BattosaKaki","@BattosaKaki")</f>
        <v>@BattosaKaki</v>
      </c>
      <c r="C9328" s="8" t="s">
        <v>318</v>
      </c>
      <c r="D9328" s="8">
        <v>626</v>
      </c>
      <c r="E9328" s="8">
        <v>0</v>
      </c>
      <c r="F9328" s="8">
        <v>205</v>
      </c>
    </row>
    <row r="9329" spans="1:6" ht="12.75">
      <c r="A9329" s="8">
        <v>43900.67287037037</v>
      </c>
      <c r="B9329" s="8" t="str">
        <f>HYPERLINK("https://twitter.com/dean_suga","@dean_suga")</f>
        <v>@dean_suga</v>
      </c>
      <c r="C9329" s="8" t="s">
        <v>318</v>
      </c>
      <c r="D9329" s="8">
        <v>626</v>
      </c>
      <c r="E9329" s="8">
        <v>0</v>
      </c>
      <c r="F9329" s="8">
        <v>321</v>
      </c>
    </row>
    <row r="9330" spans="1:6" ht="12.75">
      <c r="A9330" s="8">
        <v>43900.672789351855</v>
      </c>
      <c r="B9330" s="8" t="str">
        <f>HYPERLINK("https://twitter.com/topinfo_id","@topinfo_id")</f>
        <v>@topinfo_id</v>
      </c>
      <c r="C9330" s="8" t="s">
        <v>4222</v>
      </c>
      <c r="D9330" s="8">
        <v>0</v>
      </c>
      <c r="E9330" s="8">
        <v>0</v>
      </c>
      <c r="F9330" s="8">
        <v>83</v>
      </c>
    </row>
    <row r="9331" spans="1:6" ht="12.75">
      <c r="A9331" s="8">
        <v>43900.672777777778</v>
      </c>
      <c r="B9331" s="8" t="str">
        <f>HYPERLINK("https://twitter.com/bintAN23","@bintAN23")</f>
        <v>@bintAN23</v>
      </c>
      <c r="C9331" s="8" t="s">
        <v>318</v>
      </c>
      <c r="D9331" s="8">
        <v>626</v>
      </c>
      <c r="E9331" s="8">
        <v>0</v>
      </c>
      <c r="F9331" s="8">
        <v>142</v>
      </c>
    </row>
    <row r="9332" spans="1:6" ht="12.75">
      <c r="A9332" s="8">
        <v>43900.672465277778</v>
      </c>
      <c r="B9332" s="8" t="str">
        <f>HYPERLINK("https://twitter.com/ANTARABengkulu","@ANTARABengkulu")</f>
        <v>@ANTARABengkulu</v>
      </c>
      <c r="C9332" s="8" t="s">
        <v>4223</v>
      </c>
      <c r="D9332" s="8">
        <v>0</v>
      </c>
      <c r="E9332" s="8">
        <v>0</v>
      </c>
      <c r="F9332" s="8">
        <v>2127</v>
      </c>
    </row>
    <row r="9333" spans="1:6" ht="12.75">
      <c r="A9333" s="8">
        <v>43900.67224537037</v>
      </c>
      <c r="B9333" s="8" t="str">
        <f>HYPERLINK("https://twitter.com/ivooxid","@ivooxid")</f>
        <v>@ivooxid</v>
      </c>
      <c r="C9333" s="8" t="s">
        <v>4224</v>
      </c>
      <c r="D9333" s="8">
        <v>0</v>
      </c>
      <c r="E9333" s="8">
        <v>0</v>
      </c>
      <c r="F9333" s="8">
        <v>1446</v>
      </c>
    </row>
    <row r="9334" spans="1:6" ht="12.75">
      <c r="A9334" s="8">
        <v>43900.672071759254</v>
      </c>
      <c r="B9334" s="8" t="str">
        <f>HYPERLINK("https://twitter.com/dennyirenk1","@dennyirenk1")</f>
        <v>@dennyirenk1</v>
      </c>
      <c r="C9334" s="8" t="s">
        <v>3190</v>
      </c>
      <c r="D9334" s="8">
        <v>96</v>
      </c>
      <c r="E9334" s="8">
        <v>0</v>
      </c>
      <c r="F9334" s="8">
        <v>84</v>
      </c>
    </row>
    <row r="9335" spans="1:6" ht="12.75">
      <c r="A9335" s="8">
        <v>43900.671180555553</v>
      </c>
      <c r="B9335" s="8" t="str">
        <f>HYPERLINK("https://twitter.com/Metrobatam_com","@Metrobatam_com")</f>
        <v>@Metrobatam_com</v>
      </c>
      <c r="C9335" s="8" t="s">
        <v>4225</v>
      </c>
      <c r="D9335" s="8">
        <v>0</v>
      </c>
      <c r="E9335" s="8">
        <v>0</v>
      </c>
      <c r="F9335" s="8">
        <v>118</v>
      </c>
    </row>
    <row r="9336" spans="1:6" ht="12.75">
      <c r="A9336" s="8">
        <v>43900.671018518522</v>
      </c>
      <c r="B9336" s="8" t="str">
        <f>HYPERLINK("https://twitter.com/RSyapriadi","@RSyapriadi")</f>
        <v>@RSyapriadi</v>
      </c>
      <c r="C9336" s="8" t="s">
        <v>318</v>
      </c>
      <c r="D9336" s="8">
        <v>626</v>
      </c>
      <c r="E9336" s="8">
        <v>0</v>
      </c>
      <c r="F9336" s="8">
        <v>188</v>
      </c>
    </row>
    <row r="9337" spans="1:6" ht="12.75">
      <c r="A9337" s="8">
        <v>43900.670752314814</v>
      </c>
      <c r="B9337" s="8" t="str">
        <f>HYPERLINK("https://twitter.com/KARDUSDURIAN","@KARDUSDURIAN")</f>
        <v>@KARDUSDURIAN</v>
      </c>
      <c r="C9337" s="8" t="s">
        <v>318</v>
      </c>
      <c r="D9337" s="8">
        <v>626</v>
      </c>
      <c r="E9337" s="8">
        <v>0</v>
      </c>
      <c r="F9337" s="8">
        <v>205</v>
      </c>
    </row>
    <row r="9338" spans="1:6" ht="12.75">
      <c r="A9338" s="8">
        <v>43900.670671296291</v>
      </c>
      <c r="B9338" s="8" t="str">
        <f>HYPERLINK("https://twitter.com/Sukabumi_inLove","@Sukabumi_inLove")</f>
        <v>@Sukabumi_inLove</v>
      </c>
      <c r="C9338" s="8" t="s">
        <v>3545</v>
      </c>
      <c r="D9338" s="8">
        <v>11</v>
      </c>
      <c r="E9338" s="8">
        <v>0</v>
      </c>
      <c r="F9338" s="8">
        <v>16</v>
      </c>
    </row>
    <row r="9339" spans="1:6" ht="12.75">
      <c r="A9339" s="8">
        <v>43900.669849537036</v>
      </c>
      <c r="B9339" s="8" t="str">
        <f>HYPERLINK("https://twitter.com/agintaginting_","@agintaginting_")</f>
        <v>@agintaginting_</v>
      </c>
      <c r="C9339" s="8" t="s">
        <v>4226</v>
      </c>
      <c r="D9339" s="8">
        <v>0</v>
      </c>
      <c r="E9339" s="8">
        <v>0</v>
      </c>
      <c r="F9339" s="8">
        <v>1135</v>
      </c>
    </row>
    <row r="9340" spans="1:6" ht="12.75">
      <c r="A9340" s="8">
        <v>43900.668402777781</v>
      </c>
      <c r="B9340" s="8" t="str">
        <f>HYPERLINK("https://twitter.com/demirakyt007","@demirakyt007")</f>
        <v>@demirakyt007</v>
      </c>
      <c r="C9340" s="8" t="s">
        <v>4227</v>
      </c>
      <c r="D9340" s="8">
        <v>0</v>
      </c>
      <c r="E9340" s="8">
        <v>0</v>
      </c>
      <c r="F9340" s="8">
        <v>71</v>
      </c>
    </row>
    <row r="9341" spans="1:6" ht="12.75">
      <c r="A9341" s="8">
        <v>43900.667581018519</v>
      </c>
      <c r="B9341" s="8" t="str">
        <f>HYPERLINK("https://twitter.com/RezaMrc786","@RezaMrc786")</f>
        <v>@RezaMrc786</v>
      </c>
      <c r="C9341" s="8" t="s">
        <v>1186</v>
      </c>
      <c r="D9341" s="8">
        <v>21</v>
      </c>
      <c r="E9341" s="8">
        <v>0</v>
      </c>
      <c r="F9341" s="8">
        <v>322</v>
      </c>
    </row>
    <row r="9342" spans="1:6" ht="12.75">
      <c r="A9342" s="8">
        <v>43900.667395833334</v>
      </c>
      <c r="B9342" s="8" t="str">
        <f>HYPERLINK("https://twitter.com/kovinji","@kovinji")</f>
        <v>@kovinji</v>
      </c>
      <c r="C9342" s="8" t="s">
        <v>4228</v>
      </c>
      <c r="D9342" s="8">
        <v>0</v>
      </c>
      <c r="E9342" s="8">
        <v>0</v>
      </c>
      <c r="F9342" s="8">
        <v>1808</v>
      </c>
    </row>
    <row r="9343" spans="1:6" ht="12.75">
      <c r="A9343" s="8">
        <v>43900.667071759264</v>
      </c>
      <c r="B9343" s="8" t="str">
        <f>HYPERLINK("https://twitter.com/ISIS_Balik_NO","@ISIS_Balik_NO")</f>
        <v>@ISIS_Balik_NO</v>
      </c>
      <c r="C9343" s="8" t="s">
        <v>4229</v>
      </c>
      <c r="D9343" s="8">
        <v>0</v>
      </c>
      <c r="E9343" s="8">
        <v>0</v>
      </c>
      <c r="F9343" s="8">
        <v>6221</v>
      </c>
    </row>
    <row r="9344" spans="1:6" ht="12.75">
      <c r="A9344" s="8">
        <v>43900.666944444441</v>
      </c>
      <c r="B9344" s="8" t="str">
        <f>HYPERLINK("https://twitter.com/OmGadunz","@OmGadunz")</f>
        <v>@OmGadunz</v>
      </c>
      <c r="C9344" s="8" t="s">
        <v>4230</v>
      </c>
      <c r="D9344" s="8">
        <v>0</v>
      </c>
      <c r="E9344" s="8">
        <v>0</v>
      </c>
      <c r="F9344" s="8">
        <v>398</v>
      </c>
    </row>
    <row r="9345" spans="1:6" ht="12.75">
      <c r="A9345" s="8">
        <v>43900.666851851856</v>
      </c>
      <c r="B9345" s="8" t="str">
        <f>HYPERLINK("https://twitter.com/Jayalfi1","@Jayalfi1")</f>
        <v>@Jayalfi1</v>
      </c>
      <c r="C9345" s="8" t="s">
        <v>318</v>
      </c>
      <c r="D9345" s="8">
        <v>626</v>
      </c>
      <c r="E9345" s="8">
        <v>0</v>
      </c>
      <c r="F9345" s="8">
        <v>183</v>
      </c>
    </row>
    <row r="9346" spans="1:6" ht="12.75">
      <c r="A9346" s="8">
        <v>43900.666805555556</v>
      </c>
      <c r="B9346" s="8" t="str">
        <f>HYPERLINK("https://twitter.com/Iswadi79628669","@Iswadi79628669")</f>
        <v>@Iswadi79628669</v>
      </c>
      <c r="C9346" s="8" t="s">
        <v>4231</v>
      </c>
      <c r="D9346" s="8">
        <v>2</v>
      </c>
      <c r="E9346" s="8">
        <v>0</v>
      </c>
      <c r="F9346" s="8">
        <v>194</v>
      </c>
    </row>
    <row r="9347" spans="1:6" ht="12.75">
      <c r="A9347" s="8">
        <v>43900.666689814811</v>
      </c>
      <c r="B9347" s="8" t="str">
        <f>HYPERLINK("https://twitter.com/mustaking12","@mustaking12")</f>
        <v>@mustaking12</v>
      </c>
      <c r="C9347" s="8" t="s">
        <v>318</v>
      </c>
      <c r="D9347" s="8">
        <v>626</v>
      </c>
      <c r="E9347" s="8">
        <v>0</v>
      </c>
      <c r="F9347" s="8">
        <v>33</v>
      </c>
    </row>
    <row r="9348" spans="1:6" ht="12.75">
      <c r="A9348" s="8">
        <v>43900.666400462964</v>
      </c>
      <c r="B9348" s="8" t="str">
        <f>HYPERLINK("https://twitter.com/Noble_Naman22","@Noble_Naman22")</f>
        <v>@Noble_Naman22</v>
      </c>
      <c r="C9348" s="8" t="s">
        <v>1808</v>
      </c>
      <c r="D9348" s="8">
        <v>838</v>
      </c>
      <c r="E9348" s="8">
        <v>0</v>
      </c>
      <c r="F9348" s="8">
        <v>79</v>
      </c>
    </row>
    <row r="9349" spans="1:6" ht="12.75">
      <c r="A9349" s="8">
        <v>43900.665393518517</v>
      </c>
      <c r="B9349" s="8" t="str">
        <f>HYPERLINK("https://twitter.com/omdewasa","@omdewasa")</f>
        <v>@omdewasa</v>
      </c>
      <c r="C9349" s="8" t="s">
        <v>3050</v>
      </c>
      <c r="D9349" s="8">
        <v>130</v>
      </c>
      <c r="E9349" s="8">
        <v>0</v>
      </c>
      <c r="F9349" s="8">
        <v>60</v>
      </c>
    </row>
    <row r="9350" spans="1:6" ht="12.75">
      <c r="A9350" s="8">
        <v>43900.665393518517</v>
      </c>
      <c r="B9350" s="8" t="str">
        <f>HYPERLINK("https://twitter.com/demirakyt007","@demirakyt007")</f>
        <v>@demirakyt007</v>
      </c>
      <c r="C9350" s="8" t="s">
        <v>4232</v>
      </c>
      <c r="D9350" s="8">
        <v>0</v>
      </c>
      <c r="E9350" s="8">
        <v>0</v>
      </c>
      <c r="F9350" s="8">
        <v>71</v>
      </c>
    </row>
    <row r="9351" spans="1:6" ht="12.75">
      <c r="A9351" s="8">
        <v>43900.66505787037</v>
      </c>
      <c r="B9351" s="8" t="str">
        <f>HYPERLINK("https://twitter.com/Anaksemut4","@Anaksemut4")</f>
        <v>@Anaksemut4</v>
      </c>
      <c r="C9351" s="8" t="s">
        <v>318</v>
      </c>
      <c r="D9351" s="8">
        <v>626</v>
      </c>
      <c r="E9351" s="8">
        <v>0</v>
      </c>
      <c r="F9351" s="8">
        <v>4191</v>
      </c>
    </row>
    <row r="9352" spans="1:6" ht="12.75">
      <c r="A9352" s="8">
        <v>43900.66469907407</v>
      </c>
      <c r="B9352" s="8" t="str">
        <f>HYPERLINK("https://twitter.com/ballambinlove","@ballambinlove")</f>
        <v>@ballambinlove</v>
      </c>
      <c r="C9352" s="8" t="s">
        <v>4233</v>
      </c>
      <c r="D9352" s="8">
        <v>1</v>
      </c>
      <c r="E9352" s="8">
        <v>0</v>
      </c>
      <c r="F9352" s="8">
        <v>1021</v>
      </c>
    </row>
    <row r="9353" spans="1:6" ht="12.75">
      <c r="A9353" s="8">
        <v>43900.663576388892</v>
      </c>
      <c r="B9353" s="8" t="str">
        <f>HYPERLINK("https://twitter.com/kompascom","@kompascom")</f>
        <v>@kompascom</v>
      </c>
      <c r="C9353" s="8" t="s">
        <v>4234</v>
      </c>
      <c r="D9353" s="8">
        <v>1</v>
      </c>
      <c r="E9353" s="8">
        <v>0</v>
      </c>
      <c r="F9353" s="8">
        <v>7538889</v>
      </c>
    </row>
    <row r="9354" spans="1:6" ht="12.75">
      <c r="A9354" s="8">
        <v>43900.66337962963</v>
      </c>
      <c r="B9354" s="8" t="str">
        <f>HYPERLINK("https://twitter.com/Luftwaffe__SS","@Luftwaffe__SS")</f>
        <v>@Luftwaffe__SS</v>
      </c>
      <c r="C9354" s="8" t="s">
        <v>318</v>
      </c>
      <c r="D9354" s="8">
        <v>626</v>
      </c>
      <c r="E9354" s="8">
        <v>0</v>
      </c>
      <c r="F9354" s="8">
        <v>21</v>
      </c>
    </row>
    <row r="9355" spans="1:6" ht="12.75">
      <c r="A9355" s="8">
        <v>43900.663356481484</v>
      </c>
      <c r="B9355" s="8" t="str">
        <f>HYPERLINK("https://twitter.com/Pencintasejat19","@Pencintasejat19")</f>
        <v>@Pencintasejat19</v>
      </c>
      <c r="C9355" s="8" t="s">
        <v>4235</v>
      </c>
      <c r="D9355" s="8">
        <v>1676</v>
      </c>
      <c r="E9355" s="8">
        <v>0</v>
      </c>
      <c r="F9355" s="8">
        <v>99</v>
      </c>
    </row>
    <row r="9356" spans="1:6" ht="12.75">
      <c r="A9356" s="8">
        <v>43900.661793981482</v>
      </c>
      <c r="B9356" s="8" t="str">
        <f>HYPERLINK("https://twitter.com/RPP_4","@RPP_4")</f>
        <v>@RPP_4</v>
      </c>
      <c r="C9356" s="8" t="s">
        <v>4236</v>
      </c>
      <c r="D9356" s="8">
        <v>7</v>
      </c>
      <c r="E9356" s="8">
        <v>0</v>
      </c>
      <c r="F9356" s="8">
        <v>510</v>
      </c>
    </row>
    <row r="9357" spans="1:6" ht="12.75">
      <c r="A9357" s="8">
        <v>43900.661446759259</v>
      </c>
      <c r="B9357" s="8" t="str">
        <f t="shared" ref="B9357:B9358" si="153">HYPERLINK("https://twitter.com/eben_heizer","@eben_heizer")</f>
        <v>@eben_heizer</v>
      </c>
      <c r="C9357" s="8" t="s">
        <v>295</v>
      </c>
      <c r="D9357" s="8">
        <v>67</v>
      </c>
      <c r="E9357" s="8">
        <v>0</v>
      </c>
      <c r="F9357" s="8">
        <v>1619</v>
      </c>
    </row>
    <row r="9358" spans="1:6" ht="12.75">
      <c r="A9358" s="8">
        <v>43900.661377314813</v>
      </c>
      <c r="B9358" s="8" t="str">
        <f t="shared" si="153"/>
        <v>@eben_heizer</v>
      </c>
      <c r="C9358" s="8" t="s">
        <v>2432</v>
      </c>
      <c r="D9358" s="8">
        <v>43</v>
      </c>
      <c r="E9358" s="8">
        <v>0</v>
      </c>
      <c r="F9358" s="8">
        <v>1619</v>
      </c>
    </row>
    <row r="9359" spans="1:6" ht="12.75">
      <c r="A9359" s="8">
        <v>43900.661261574074</v>
      </c>
      <c r="B9359" s="8" t="str">
        <f>HYPERLINK("https://twitter.com/badgoneworst","@badgoneworst")</f>
        <v>@badgoneworst</v>
      </c>
      <c r="C9359" s="8" t="s">
        <v>3190</v>
      </c>
      <c r="D9359" s="8">
        <v>96</v>
      </c>
      <c r="E9359" s="8">
        <v>0</v>
      </c>
      <c r="F9359" s="8">
        <v>33</v>
      </c>
    </row>
    <row r="9360" spans="1:6" ht="12.75">
      <c r="A9360" s="8">
        <v>43900.66106481482</v>
      </c>
      <c r="B9360" s="8" t="str">
        <f>HYPERLINK("https://twitter.com/Stiabudi1714","@Stiabudi1714")</f>
        <v>@Stiabudi1714</v>
      </c>
      <c r="C9360" s="8" t="s">
        <v>4237</v>
      </c>
      <c r="D9360" s="8">
        <v>0</v>
      </c>
      <c r="E9360" s="8">
        <v>0</v>
      </c>
      <c r="F9360" s="8">
        <v>10</v>
      </c>
    </row>
    <row r="9361" spans="1:6" ht="12.75">
      <c r="A9361" s="8">
        <v>43900.661053240736</v>
      </c>
      <c r="B9361" s="8" t="str">
        <f>HYPERLINK("https://twitter.com/bisniscomjabar","@bisniscomjabar")</f>
        <v>@bisniscomjabar</v>
      </c>
      <c r="C9361" s="8" t="s">
        <v>4238</v>
      </c>
      <c r="D9361" s="8">
        <v>0</v>
      </c>
      <c r="E9361" s="8">
        <v>0</v>
      </c>
      <c r="F9361" s="8">
        <v>20767</v>
      </c>
    </row>
    <row r="9362" spans="1:6" ht="12.75">
      <c r="A9362" s="8">
        <v>43900.66070601852</v>
      </c>
      <c r="B9362" s="8" t="str">
        <f>HYPERLINK("https://twitter.com/itsmeparkjihoon","@itsmeparkjihoon")</f>
        <v>@itsmeparkjihoon</v>
      </c>
      <c r="C9362" s="8" t="s">
        <v>4239</v>
      </c>
      <c r="D9362" s="8">
        <v>3</v>
      </c>
      <c r="E9362" s="8">
        <v>0</v>
      </c>
      <c r="F9362" s="8">
        <v>1483</v>
      </c>
    </row>
    <row r="9363" spans="1:6" ht="12.75">
      <c r="A9363" s="8">
        <v>43900.660625000004</v>
      </c>
      <c r="B9363" s="8" t="str">
        <f>HYPERLINK("https://twitter.com/swandywidjaja06","@swandywidjaja06")</f>
        <v>@swandywidjaja06</v>
      </c>
      <c r="C9363" s="8" t="s">
        <v>3262</v>
      </c>
      <c r="D9363" s="8">
        <v>249</v>
      </c>
      <c r="E9363" s="8">
        <v>0</v>
      </c>
      <c r="F9363" s="8">
        <v>252</v>
      </c>
    </row>
    <row r="9364" spans="1:6" ht="12.75">
      <c r="A9364" s="8">
        <v>43900.660520833335</v>
      </c>
      <c r="B9364" s="8" t="str">
        <f>HYPERLINK("https://twitter.com/Dukun081","@Dukun081")</f>
        <v>@Dukun081</v>
      </c>
      <c r="C9364" s="8" t="s">
        <v>318</v>
      </c>
      <c r="D9364" s="8">
        <v>626</v>
      </c>
      <c r="E9364" s="8">
        <v>0</v>
      </c>
      <c r="F9364" s="8">
        <v>987</v>
      </c>
    </row>
    <row r="9365" spans="1:6" ht="12.75">
      <c r="A9365" s="8">
        <v>43900.660277777773</v>
      </c>
      <c r="B9365" s="8" t="str">
        <f t="shared" ref="B9365:B9366" si="154">HYPERLINK("https://twitter.com/Stiabudi1714","@Stiabudi1714")</f>
        <v>@Stiabudi1714</v>
      </c>
      <c r="C9365" s="8" t="s">
        <v>4240</v>
      </c>
      <c r="D9365" s="8">
        <v>0</v>
      </c>
      <c r="E9365" s="8">
        <v>0</v>
      </c>
      <c r="F9365" s="8">
        <v>10</v>
      </c>
    </row>
    <row r="9366" spans="1:6" ht="12.75">
      <c r="A9366" s="8">
        <v>43900.659733796296</v>
      </c>
      <c r="B9366" s="8" t="str">
        <f t="shared" si="154"/>
        <v>@Stiabudi1714</v>
      </c>
      <c r="C9366" s="8" t="s">
        <v>4241</v>
      </c>
      <c r="D9366" s="8">
        <v>0</v>
      </c>
      <c r="E9366" s="8">
        <v>0</v>
      </c>
      <c r="F9366" s="8">
        <v>10</v>
      </c>
    </row>
    <row r="9367" spans="1:6" ht="12.75">
      <c r="A9367" s="8">
        <v>43900.659351851849</v>
      </c>
      <c r="B9367" s="8" t="str">
        <f>HYPERLINK("https://twitter.com/TolisArif","@TolisArif")</f>
        <v>@TolisArif</v>
      </c>
      <c r="C9367" s="8" t="s">
        <v>318</v>
      </c>
      <c r="D9367" s="8">
        <v>626</v>
      </c>
      <c r="E9367" s="8">
        <v>0</v>
      </c>
      <c r="F9367" s="8">
        <v>22</v>
      </c>
    </row>
    <row r="9368" spans="1:6" ht="12.75">
      <c r="A9368" s="8">
        <v>43900.65934027778</v>
      </c>
      <c r="B9368" s="8" t="str">
        <f>HYPERLINK("https://twitter.com/420wd","@420wd")</f>
        <v>@420wd</v>
      </c>
      <c r="C9368" s="8" t="s">
        <v>3820</v>
      </c>
      <c r="D9368" s="8">
        <v>19</v>
      </c>
      <c r="E9368" s="8">
        <v>0</v>
      </c>
      <c r="F9368" s="8">
        <v>155</v>
      </c>
    </row>
    <row r="9369" spans="1:6" ht="12.75">
      <c r="A9369" s="8">
        <v>43900.659155092595</v>
      </c>
      <c r="B9369" s="8" t="str">
        <f>HYPERLINK("https://twitter.com/joeyjack04","@joeyjack04")</f>
        <v>@joeyjack04</v>
      </c>
      <c r="C9369" s="8" t="s">
        <v>4242</v>
      </c>
      <c r="D9369" s="8">
        <v>792</v>
      </c>
      <c r="E9369" s="8">
        <v>0</v>
      </c>
      <c r="F9369" s="8">
        <v>619</v>
      </c>
    </row>
    <row r="9370" spans="1:6" ht="12.75">
      <c r="A9370" s="8">
        <v>43900.65896990741</v>
      </c>
      <c r="B9370" s="8" t="str">
        <f>HYPERLINK("https://twitter.com/CNNIndonesia","@CNNIndonesia")</f>
        <v>@CNNIndonesia</v>
      </c>
      <c r="C9370" s="8" t="s">
        <v>4243</v>
      </c>
      <c r="D9370" s="8">
        <v>1</v>
      </c>
      <c r="E9370" s="8">
        <v>8</v>
      </c>
      <c r="F9370" s="8">
        <v>676156</v>
      </c>
    </row>
    <row r="9371" spans="1:6" ht="12.75">
      <c r="A9371" s="8">
        <v>43900.65892361111</v>
      </c>
      <c r="B9371" s="8" t="str">
        <f>HYPERLINK("https://twitter.com/MizyUji","@MizyUji")</f>
        <v>@MizyUji</v>
      </c>
      <c r="C9371" s="8" t="s">
        <v>318</v>
      </c>
      <c r="D9371" s="8">
        <v>626</v>
      </c>
      <c r="E9371" s="8">
        <v>0</v>
      </c>
      <c r="F9371" s="8">
        <v>107</v>
      </c>
    </row>
    <row r="9372" spans="1:6" ht="12.75">
      <c r="A9372" s="8">
        <v>43900.658807870372</v>
      </c>
      <c r="B9372" s="8" t="str">
        <f>HYPERLINK("https://twitter.com/ranggalawe727","@ranggalawe727")</f>
        <v>@ranggalawe727</v>
      </c>
      <c r="C9372" s="8" t="s">
        <v>3820</v>
      </c>
      <c r="D9372" s="8">
        <v>19</v>
      </c>
      <c r="E9372" s="8">
        <v>0</v>
      </c>
      <c r="F9372" s="8">
        <v>324</v>
      </c>
    </row>
    <row r="9373" spans="1:6" ht="12.75">
      <c r="A9373" s="8">
        <v>43900.658379629633</v>
      </c>
      <c r="B9373" s="8" t="str">
        <f>HYPERLINK("https://twitter.com/satriosoegianto","@satriosoegianto")</f>
        <v>@satriosoegianto</v>
      </c>
      <c r="C9373" s="8" t="s">
        <v>4244</v>
      </c>
      <c r="D9373" s="8">
        <v>1</v>
      </c>
      <c r="E9373" s="8">
        <v>0</v>
      </c>
      <c r="F9373" s="8">
        <v>70</v>
      </c>
    </row>
    <row r="9374" spans="1:6" ht="12.75">
      <c r="A9374" s="8">
        <v>43900.658379629633</v>
      </c>
      <c r="B9374" s="8" t="str">
        <f>HYPERLINK("https://twitter.com/Avinash08606124","@Avinash08606124")</f>
        <v>@Avinash08606124</v>
      </c>
      <c r="C9374" s="8" t="s">
        <v>1957</v>
      </c>
      <c r="D9374" s="8">
        <v>1479</v>
      </c>
      <c r="E9374" s="8">
        <v>0</v>
      </c>
      <c r="F9374" s="8">
        <v>15</v>
      </c>
    </row>
    <row r="9375" spans="1:6" ht="12.75">
      <c r="A9375" s="8">
        <v>43900.658287037033</v>
      </c>
      <c r="B9375" s="8" t="str">
        <f>HYPERLINK("https://twitter.com/Asep_Hidayat82","@Asep_Hidayat82")</f>
        <v>@Asep_Hidayat82</v>
      </c>
      <c r="C9375" s="8" t="s">
        <v>318</v>
      </c>
      <c r="D9375" s="8">
        <v>626</v>
      </c>
      <c r="E9375" s="8">
        <v>0</v>
      </c>
      <c r="F9375" s="8">
        <v>100</v>
      </c>
    </row>
    <row r="9376" spans="1:6" ht="12.75">
      <c r="A9376" s="8">
        <v>43900.657905092594</v>
      </c>
      <c r="B9376" s="8" t="str">
        <f>HYPERLINK("https://twitter.com/AgusbudiSs79","@AgusbudiSs79")</f>
        <v>@AgusbudiSs79</v>
      </c>
      <c r="C9376" s="8" t="s">
        <v>3820</v>
      </c>
      <c r="D9376" s="8">
        <v>19</v>
      </c>
      <c r="E9376" s="8">
        <v>0</v>
      </c>
      <c r="F9376" s="8">
        <v>388</v>
      </c>
    </row>
    <row r="9377" spans="1:6" ht="12.75">
      <c r="A9377" s="8">
        <v>43900.657870370371</v>
      </c>
      <c r="B9377" s="8" t="str">
        <f>HYPERLINK("https://twitter.com/heyitsamal","@heyitsamal")</f>
        <v>@heyitsamal</v>
      </c>
      <c r="C9377" s="8" t="s">
        <v>4245</v>
      </c>
      <c r="D9377" s="8">
        <v>0</v>
      </c>
      <c r="E9377" s="8">
        <v>0</v>
      </c>
      <c r="F9377" s="8">
        <v>17</v>
      </c>
    </row>
    <row r="9378" spans="1:6" ht="12.75">
      <c r="A9378" s="8">
        <v>43900.657800925925</v>
      </c>
      <c r="B9378" s="8" t="str">
        <f>HYPERLINK("https://twitter.com/elqadri_kaizen","@elqadri_kaizen")</f>
        <v>@elqadri_kaizen</v>
      </c>
      <c r="C9378" s="8" t="s">
        <v>318</v>
      </c>
      <c r="D9378" s="8">
        <v>626</v>
      </c>
      <c r="E9378" s="8">
        <v>0</v>
      </c>
      <c r="F9378" s="8">
        <v>140</v>
      </c>
    </row>
    <row r="9379" spans="1:6" ht="12.75">
      <c r="A9379" s="8">
        <v>43900.657766203702</v>
      </c>
      <c r="B9379" s="8" t="str">
        <f>HYPERLINK("https://twitter.com/OmGadunz","@OmGadunz")</f>
        <v>@OmGadunz</v>
      </c>
      <c r="C9379" s="8" t="s">
        <v>4246</v>
      </c>
      <c r="D9379" s="8">
        <v>0</v>
      </c>
      <c r="E9379" s="8">
        <v>0</v>
      </c>
      <c r="F9379" s="8">
        <v>398</v>
      </c>
    </row>
    <row r="9380" spans="1:6" ht="12.75">
      <c r="A9380" s="8">
        <v>43900.657442129625</v>
      </c>
      <c r="B9380" s="8" t="str">
        <f>HYPERLINK("https://twitter.com/ryzazu","@ryzazu")</f>
        <v>@ryzazu</v>
      </c>
      <c r="C9380" s="8" t="s">
        <v>4247</v>
      </c>
      <c r="D9380" s="8">
        <v>0</v>
      </c>
      <c r="E9380" s="8">
        <v>0</v>
      </c>
      <c r="F9380" s="8">
        <v>7</v>
      </c>
    </row>
    <row r="9381" spans="1:6" ht="12.75">
      <c r="A9381" s="8">
        <v>43900.657175925924</v>
      </c>
      <c r="B9381" s="8" t="str">
        <f>HYPERLINK("https://twitter.com/reyharlan","@reyharlan")</f>
        <v>@reyharlan</v>
      </c>
      <c r="C9381" s="8" t="s">
        <v>318</v>
      </c>
      <c r="D9381" s="8">
        <v>626</v>
      </c>
      <c r="E9381" s="8">
        <v>0</v>
      </c>
      <c r="F9381" s="8">
        <v>585</v>
      </c>
    </row>
    <row r="9382" spans="1:6" ht="12.75">
      <c r="A9382" s="8">
        <v>43900.65625</v>
      </c>
      <c r="B9382" s="8" t="str">
        <f>HYPERLINK("https://twitter.com/id_aksi","@id_aksi")</f>
        <v>@id_aksi</v>
      </c>
      <c r="C9382" s="8" t="s">
        <v>4248</v>
      </c>
      <c r="D9382" s="8">
        <v>0</v>
      </c>
      <c r="E9382" s="8">
        <v>0</v>
      </c>
      <c r="F9382" s="8">
        <v>79</v>
      </c>
    </row>
    <row r="9383" spans="1:6" ht="12.75">
      <c r="A9383" s="8">
        <v>43900.655752314815</v>
      </c>
      <c r="B9383" s="8" t="str">
        <f>HYPERLINK("https://twitter.com/ZeemFirdaus88","@ZeemFirdaus88")</f>
        <v>@ZeemFirdaus88</v>
      </c>
      <c r="C9383" s="8" t="s">
        <v>4249</v>
      </c>
      <c r="D9383" s="8">
        <v>0</v>
      </c>
      <c r="E9383" s="8">
        <v>0</v>
      </c>
      <c r="F9383" s="8">
        <v>1836</v>
      </c>
    </row>
    <row r="9384" spans="1:6" ht="12.75">
      <c r="A9384" s="8">
        <v>43900.655717592592</v>
      </c>
      <c r="B9384" s="8" t="str">
        <f>HYPERLINK("https://twitter.com/beritalimacom","@beritalimacom")</f>
        <v>@beritalimacom</v>
      </c>
      <c r="C9384" s="8" t="s">
        <v>4250</v>
      </c>
      <c r="D9384" s="8">
        <v>0</v>
      </c>
      <c r="E9384" s="8">
        <v>0</v>
      </c>
      <c r="F9384" s="8">
        <v>1454</v>
      </c>
    </row>
    <row r="9385" spans="1:6" ht="12.75">
      <c r="A9385" s="8">
        <v>43900.655381944445</v>
      </c>
      <c r="B9385" s="8" t="str">
        <f>HYPERLINK("https://twitter.com/AgusSul93688054","@AgusSul93688054")</f>
        <v>@AgusSul93688054</v>
      </c>
      <c r="C9385" s="8" t="s">
        <v>318</v>
      </c>
      <c r="D9385" s="8">
        <v>626</v>
      </c>
      <c r="E9385" s="8">
        <v>0</v>
      </c>
      <c r="F9385" s="8">
        <v>123</v>
      </c>
    </row>
    <row r="9386" spans="1:6" ht="12.75">
      <c r="A9386" s="8">
        <v>43900.654918981483</v>
      </c>
      <c r="B9386" s="8" t="str">
        <f>HYPERLINK("https://twitter.com/Anita1024002","@Anita1024002")</f>
        <v>@Anita1024002</v>
      </c>
      <c r="C9386" s="8" t="s">
        <v>4251</v>
      </c>
      <c r="D9386" s="8">
        <v>12</v>
      </c>
      <c r="E9386" s="8">
        <v>0</v>
      </c>
      <c r="F9386" s="8">
        <v>2719</v>
      </c>
    </row>
    <row r="9387" spans="1:6" ht="12.75">
      <c r="A9387" s="8">
        <v>43900.654791666668</v>
      </c>
      <c r="B9387" s="8" t="str">
        <f>HYPERLINK("https://twitter.com/Mohamad24133394","@Mohamad24133394")</f>
        <v>@Mohamad24133394</v>
      </c>
      <c r="C9387" s="8" t="s">
        <v>318</v>
      </c>
      <c r="D9387" s="8">
        <v>626</v>
      </c>
      <c r="E9387" s="8">
        <v>0</v>
      </c>
      <c r="F9387" s="8">
        <v>17</v>
      </c>
    </row>
    <row r="9388" spans="1:6" ht="12.75">
      <c r="A9388" s="8">
        <v>43900.654537037037</v>
      </c>
      <c r="B9388" s="8" t="str">
        <f>HYPERLINK("https://twitter.com/kompascom","@kompascom")</f>
        <v>@kompascom</v>
      </c>
      <c r="C9388" s="8" t="s">
        <v>4252</v>
      </c>
      <c r="D9388" s="8">
        <v>2</v>
      </c>
      <c r="E9388" s="8">
        <v>2</v>
      </c>
      <c r="F9388" s="8">
        <v>7538889</v>
      </c>
    </row>
    <row r="9389" spans="1:6" ht="12.75">
      <c r="A9389" s="8">
        <v>43900.654004629629</v>
      </c>
      <c r="B9389" s="8" t="str">
        <f>HYPERLINK("https://twitter.com/bmt_sabary","@bmt_sabary")</f>
        <v>@bmt_sabary</v>
      </c>
      <c r="C9389" s="8" t="s">
        <v>318</v>
      </c>
      <c r="D9389" s="8">
        <v>626</v>
      </c>
      <c r="E9389" s="8">
        <v>0</v>
      </c>
      <c r="F9389" s="8">
        <v>2564</v>
      </c>
    </row>
    <row r="9390" spans="1:6" ht="12.75">
      <c r="A9390" s="8">
        <v>43900.653761574074</v>
      </c>
      <c r="B9390" s="8" t="str">
        <f>HYPERLINK("https://twitter.com/Lupusrex_","@Lupusrex_")</f>
        <v>@Lupusrex_</v>
      </c>
      <c r="C9390" s="8" t="s">
        <v>318</v>
      </c>
      <c r="D9390" s="8">
        <v>626</v>
      </c>
      <c r="E9390" s="8">
        <v>0</v>
      </c>
      <c r="F9390" s="8">
        <v>11</v>
      </c>
    </row>
    <row r="9391" spans="1:6" ht="12.75">
      <c r="A9391" s="8">
        <v>43900.653356481482</v>
      </c>
      <c r="B9391" s="8" t="str">
        <f>HYPERLINK("https://twitter.com/_wni_","@_wni_")</f>
        <v>@_wni_</v>
      </c>
      <c r="C9391" s="8" t="s">
        <v>4253</v>
      </c>
      <c r="D9391" s="8">
        <v>0</v>
      </c>
      <c r="E9391" s="8">
        <v>0</v>
      </c>
      <c r="F9391" s="8">
        <v>20</v>
      </c>
    </row>
    <row r="9392" spans="1:6" ht="12.75">
      <c r="A9392" s="8">
        <v>43900.653356481482</v>
      </c>
      <c r="B9392" s="8" t="str">
        <f>HYPERLINK("https://twitter.com/MbahSemesta","@MbahSemesta")</f>
        <v>@MbahSemesta</v>
      </c>
      <c r="C9392" s="8" t="s">
        <v>4242</v>
      </c>
      <c r="D9392" s="8">
        <v>792</v>
      </c>
      <c r="E9392" s="8">
        <v>0</v>
      </c>
      <c r="F9392" s="8">
        <v>2194</v>
      </c>
    </row>
    <row r="9393" spans="1:6" ht="12.75">
      <c r="A9393" s="8">
        <v>43900.652835648143</v>
      </c>
      <c r="B9393" s="8" t="str">
        <f>HYPERLINK("https://twitter.com/EliteOzzy","@EliteOzzy")</f>
        <v>@EliteOzzy</v>
      </c>
      <c r="C9393" s="8" t="s">
        <v>4254</v>
      </c>
      <c r="D9393" s="8">
        <v>1</v>
      </c>
      <c r="E9393" s="8">
        <v>0</v>
      </c>
      <c r="F9393" s="8">
        <v>166</v>
      </c>
    </row>
    <row r="9394" spans="1:6" ht="12.75">
      <c r="A9394" s="8">
        <v>43900.652777777781</v>
      </c>
      <c r="B9394" s="8" t="str">
        <f>HYPERLINK("https://twitter.com/newsmerahputih","@newsmerahputih")</f>
        <v>@newsmerahputih</v>
      </c>
      <c r="C9394" s="8" t="s">
        <v>4255</v>
      </c>
      <c r="D9394" s="8">
        <v>1</v>
      </c>
      <c r="E9394" s="8">
        <v>0</v>
      </c>
      <c r="F9394" s="8">
        <v>8739</v>
      </c>
    </row>
    <row r="9395" spans="1:6" ht="12.75">
      <c r="A9395" s="8">
        <v>43900.652754629627</v>
      </c>
      <c r="B9395" s="8" t="str">
        <f>HYPERLINK("https://twitter.com/wijaya_karenina","@wijaya_karenina")</f>
        <v>@wijaya_karenina</v>
      </c>
      <c r="C9395" s="8" t="s">
        <v>3190</v>
      </c>
      <c r="D9395" s="8">
        <v>96</v>
      </c>
      <c r="E9395" s="8">
        <v>0</v>
      </c>
      <c r="F9395" s="8">
        <v>520</v>
      </c>
    </row>
    <row r="9396" spans="1:6" ht="12.75">
      <c r="A9396" s="8">
        <v>43900.65252314815</v>
      </c>
      <c r="B9396" s="8" t="str">
        <f>HYPERLINK("https://twitter.com/opunk_senior","@opunk_senior")</f>
        <v>@opunk_senior</v>
      </c>
      <c r="C9396" s="8" t="s">
        <v>3190</v>
      </c>
      <c r="D9396" s="8">
        <v>96</v>
      </c>
      <c r="E9396" s="8">
        <v>0</v>
      </c>
      <c r="F9396" s="8">
        <v>1306</v>
      </c>
    </row>
    <row r="9397" spans="1:6" ht="12.75">
      <c r="A9397" s="8">
        <v>43900.652384259258</v>
      </c>
      <c r="B9397" s="8" t="str">
        <f>HYPERLINK("https://twitter.com/AgengAryan","@AgengAryan")</f>
        <v>@AgengAryan</v>
      </c>
      <c r="C9397" s="8" t="s">
        <v>4256</v>
      </c>
      <c r="D9397" s="8">
        <v>0</v>
      </c>
      <c r="E9397" s="8">
        <v>0</v>
      </c>
      <c r="F9397" s="8">
        <v>287</v>
      </c>
    </row>
    <row r="9398" spans="1:6" ht="12.75">
      <c r="A9398" s="8">
        <v>43900.651539351849</v>
      </c>
      <c r="B9398" s="8" t="str">
        <f>HYPERLINK("https://twitter.com/Ish27270583","@Ish27270583")</f>
        <v>@Ish27270583</v>
      </c>
      <c r="C9398" s="8" t="s">
        <v>3820</v>
      </c>
      <c r="D9398" s="8">
        <v>19</v>
      </c>
      <c r="E9398" s="8">
        <v>0</v>
      </c>
      <c r="F9398" s="8">
        <v>107</v>
      </c>
    </row>
    <row r="9399" spans="1:6" ht="12.75">
      <c r="A9399" s="8">
        <v>43900.649976851855</v>
      </c>
      <c r="B9399" s="8" t="str">
        <f>HYPERLINK("https://twitter.com/starrrbouyyy","@starrrbouyyy")</f>
        <v>@starrrbouyyy</v>
      </c>
      <c r="C9399" s="8" t="s">
        <v>4257</v>
      </c>
      <c r="D9399" s="8">
        <v>0</v>
      </c>
      <c r="E9399" s="8">
        <v>0</v>
      </c>
      <c r="F9399" s="8">
        <v>98</v>
      </c>
    </row>
    <row r="9400" spans="1:6" ht="12.75">
      <c r="A9400" s="8">
        <v>43900.649861111116</v>
      </c>
      <c r="B9400" s="8" t="str">
        <f>HYPERLINK("https://twitter.com/edwardzufri","@edwardzufri")</f>
        <v>@edwardzufri</v>
      </c>
      <c r="C9400" s="8" t="s">
        <v>3190</v>
      </c>
      <c r="D9400" s="8">
        <v>96</v>
      </c>
      <c r="E9400" s="8">
        <v>0</v>
      </c>
      <c r="F9400" s="8">
        <v>226</v>
      </c>
    </row>
    <row r="9401" spans="1:6" ht="12.75">
      <c r="A9401" s="8">
        <v>43900.649467592593</v>
      </c>
      <c r="B9401" s="8" t="str">
        <f>HYPERLINK("https://twitter.com/DesyaPurnama2","@DesyaPurnama2")</f>
        <v>@DesyaPurnama2</v>
      </c>
      <c r="C9401" s="8" t="s">
        <v>318</v>
      </c>
      <c r="D9401" s="8">
        <v>626</v>
      </c>
      <c r="E9401" s="8">
        <v>0</v>
      </c>
      <c r="F9401" s="8">
        <v>342</v>
      </c>
    </row>
    <row r="9402" spans="1:6" ht="12.75">
      <c r="A9402" s="8">
        <v>43900.649409722224</v>
      </c>
      <c r="B9402" s="8" t="str">
        <f>HYPERLINK("https://twitter.com/ISIS_Balik_NO","@ISIS_Balik_NO")</f>
        <v>@ISIS_Balik_NO</v>
      </c>
      <c r="C9402" s="8" t="s">
        <v>4258</v>
      </c>
      <c r="D9402" s="8">
        <v>0</v>
      </c>
      <c r="E9402" s="8">
        <v>0</v>
      </c>
      <c r="F9402" s="8">
        <v>6221</v>
      </c>
    </row>
    <row r="9403" spans="1:6" ht="12.75">
      <c r="A9403" s="8">
        <v>43900.649305555555</v>
      </c>
      <c r="B9403" s="8" t="str">
        <f>HYPERLINK("https://twitter.com/prateekmishra92","@prateekmishra92")</f>
        <v>@prateekmishra92</v>
      </c>
      <c r="C9403" s="8" t="s">
        <v>4259</v>
      </c>
      <c r="D9403" s="8">
        <v>0</v>
      </c>
      <c r="E9403" s="8">
        <v>1</v>
      </c>
      <c r="F9403" s="8">
        <v>93</v>
      </c>
    </row>
    <row r="9404" spans="1:6" ht="12.75">
      <c r="A9404" s="8">
        <v>43900.649050925931</v>
      </c>
      <c r="B9404" s="8" t="str">
        <f>HYPERLINK("https://twitter.com/Adyapanji","@Adyapanji")</f>
        <v>@Adyapanji</v>
      </c>
      <c r="C9404" s="8" t="s">
        <v>3190</v>
      </c>
      <c r="D9404" s="8">
        <v>96</v>
      </c>
      <c r="E9404" s="8">
        <v>0</v>
      </c>
      <c r="F9404" s="8">
        <v>415</v>
      </c>
    </row>
    <row r="9405" spans="1:6" ht="12.75">
      <c r="A9405" s="8">
        <v>43900.648912037039</v>
      </c>
      <c r="B9405" s="8" t="str">
        <f>HYPERLINK("https://twitter.com/SayurLodehBTW2","@SayurLodehBTW2")</f>
        <v>@SayurLodehBTW2</v>
      </c>
      <c r="C9405" s="8" t="s">
        <v>3190</v>
      </c>
      <c r="D9405" s="8">
        <v>96</v>
      </c>
      <c r="E9405" s="8">
        <v>0</v>
      </c>
      <c r="F9405" s="8">
        <v>627</v>
      </c>
    </row>
    <row r="9406" spans="1:6" ht="12.75">
      <c r="A9406" s="8">
        <v>43900.648773148147</v>
      </c>
      <c r="B9406" s="8" t="str">
        <f>HYPERLINK("https://twitter.com/tyo_alle31","@tyo_alle31")</f>
        <v>@tyo_alle31</v>
      </c>
      <c r="C9406" s="8" t="s">
        <v>318</v>
      </c>
      <c r="D9406" s="8">
        <v>626</v>
      </c>
      <c r="E9406" s="8">
        <v>0</v>
      </c>
      <c r="F9406" s="8">
        <v>170</v>
      </c>
    </row>
    <row r="9407" spans="1:6" ht="12.75">
      <c r="A9407" s="8">
        <v>43900.648738425924</v>
      </c>
      <c r="B9407" s="8" t="str">
        <f>HYPERLINK("https://twitter.com/uniang_kamek","@uniang_kamek")</f>
        <v>@uniang_kamek</v>
      </c>
      <c r="C9407" s="8" t="s">
        <v>318</v>
      </c>
      <c r="D9407" s="8">
        <v>626</v>
      </c>
      <c r="E9407" s="8">
        <v>0</v>
      </c>
      <c r="F9407" s="8">
        <v>30</v>
      </c>
    </row>
    <row r="9408" spans="1:6" ht="12.75">
      <c r="A9408" s="8">
        <v>43900.648680555554</v>
      </c>
      <c r="B9408" s="8" t="str">
        <f>HYPERLINK("https://twitter.com/anantha15534960","@anantha15534960")</f>
        <v>@anantha15534960</v>
      </c>
      <c r="C9408" s="8" t="s">
        <v>1957</v>
      </c>
      <c r="D9408" s="8">
        <v>1479</v>
      </c>
      <c r="E9408" s="8">
        <v>0</v>
      </c>
      <c r="F9408" s="8">
        <v>14</v>
      </c>
    </row>
    <row r="9409" spans="1:6" ht="12.75">
      <c r="A9409" s="8">
        <v>43900.648483796293</v>
      </c>
      <c r="B9409" s="8" t="str">
        <f>HYPERLINK("https://twitter.com/BilalAhmed1915","@BilalAhmed1915")</f>
        <v>@BilalAhmed1915</v>
      </c>
      <c r="C9409" s="8" t="s">
        <v>4260</v>
      </c>
      <c r="D9409" s="8">
        <v>0</v>
      </c>
      <c r="E9409" s="8">
        <v>0</v>
      </c>
      <c r="F9409" s="8">
        <v>85</v>
      </c>
    </row>
    <row r="9410" spans="1:6" ht="12.75">
      <c r="A9410" s="8">
        <v>43900.648402777777</v>
      </c>
      <c r="B9410" s="8" t="str">
        <f>HYPERLINK("https://twitter.com/Paulispoal","@Paulispoal")</f>
        <v>@Paulispoal</v>
      </c>
      <c r="C9410" s="8" t="s">
        <v>318</v>
      </c>
      <c r="D9410" s="8">
        <v>626</v>
      </c>
      <c r="E9410" s="8">
        <v>0</v>
      </c>
      <c r="F9410" s="8">
        <v>250</v>
      </c>
    </row>
    <row r="9411" spans="1:6" ht="12.75">
      <c r="A9411" s="8">
        <v>43900.648275462961</v>
      </c>
      <c r="B9411" s="8" t="str">
        <f>HYPERLINK("https://twitter.com/semvakmerah","@semvakmerah")</f>
        <v>@semvakmerah</v>
      </c>
      <c r="C9411" s="8" t="s">
        <v>318</v>
      </c>
      <c r="D9411" s="8">
        <v>626</v>
      </c>
      <c r="E9411" s="8">
        <v>0</v>
      </c>
      <c r="F9411" s="8">
        <v>269</v>
      </c>
    </row>
    <row r="9412" spans="1:6" ht="12.75">
      <c r="A9412" s="8">
        <v>43900.64775462963</v>
      </c>
      <c r="B9412" s="8" t="str">
        <f>HYPERLINK("https://twitter.com/alooyy","@alooyy")</f>
        <v>@alooyy</v>
      </c>
      <c r="C9412" s="8" t="s">
        <v>318</v>
      </c>
      <c r="D9412" s="8">
        <v>626</v>
      </c>
      <c r="E9412" s="8">
        <v>0</v>
      </c>
      <c r="F9412" s="8">
        <v>763</v>
      </c>
    </row>
    <row r="9413" spans="1:6" ht="12.75">
      <c r="A9413" s="8">
        <v>43900.647627314815</v>
      </c>
      <c r="B9413" s="8" t="str">
        <f>HYPERLINK("https://twitter.com/tinybee83","@tinybee83")</f>
        <v>@tinybee83</v>
      </c>
      <c r="C9413" s="8" t="s">
        <v>4261</v>
      </c>
      <c r="D9413" s="8">
        <v>0</v>
      </c>
      <c r="E9413" s="8">
        <v>1</v>
      </c>
      <c r="F9413" s="8">
        <v>162</v>
      </c>
    </row>
    <row r="9414" spans="1:6" ht="12.75">
      <c r="A9414" s="8">
        <v>43900.646828703699</v>
      </c>
      <c r="B9414" s="8" t="str">
        <f>HYPERLINK("https://twitter.com/Aalqanuniy","@Aalqanuniy")</f>
        <v>@Aalqanuniy</v>
      </c>
      <c r="C9414" s="8" t="s">
        <v>318</v>
      </c>
      <c r="D9414" s="8">
        <v>626</v>
      </c>
      <c r="E9414" s="8">
        <v>0</v>
      </c>
      <c r="F9414" s="8">
        <v>109</v>
      </c>
    </row>
    <row r="9415" spans="1:6" ht="12.75">
      <c r="A9415" s="8">
        <v>43900.646111111113</v>
      </c>
      <c r="B9415" s="8" t="str">
        <f>HYPERLINK("https://twitter.com/MaskuMasku1","@MaskuMasku1")</f>
        <v>@MaskuMasku1</v>
      </c>
      <c r="C9415" s="8" t="s">
        <v>318</v>
      </c>
      <c r="D9415" s="8">
        <v>626</v>
      </c>
      <c r="E9415" s="8">
        <v>0</v>
      </c>
      <c r="F9415" s="8">
        <v>3574</v>
      </c>
    </row>
    <row r="9416" spans="1:6" ht="12.75">
      <c r="A9416" s="8">
        <v>43900.645949074074</v>
      </c>
      <c r="B9416" s="8" t="str">
        <f>HYPERLINK("https://twitter.com/Wandi_sikembar","@Wandi_sikembar")</f>
        <v>@Wandi_sikembar</v>
      </c>
      <c r="C9416" s="8" t="s">
        <v>318</v>
      </c>
      <c r="D9416" s="8">
        <v>626</v>
      </c>
      <c r="E9416" s="8">
        <v>0</v>
      </c>
      <c r="F9416" s="8">
        <v>2</v>
      </c>
    </row>
    <row r="9417" spans="1:6" ht="12.75">
      <c r="A9417" s="8">
        <v>43900.645729166667</v>
      </c>
      <c r="B9417" s="8" t="str">
        <f>HYPERLINK("https://twitter.com/wni_jmsri","@wni_jmsri")</f>
        <v>@wni_jmsri</v>
      </c>
      <c r="C9417" s="8" t="s">
        <v>4262</v>
      </c>
      <c r="D9417" s="8">
        <v>864</v>
      </c>
      <c r="E9417" s="8">
        <v>0</v>
      </c>
      <c r="F9417" s="8">
        <v>204</v>
      </c>
    </row>
    <row r="9418" spans="1:6" ht="12.75">
      <c r="A9418" s="8">
        <v>43900.645671296297</v>
      </c>
      <c r="B9418" s="8" t="str">
        <f>HYPERLINK("https://twitter.com/SWTJNK","@SWTJNK")</f>
        <v>@SWTJNK</v>
      </c>
      <c r="C9418" s="8" t="s">
        <v>4263</v>
      </c>
      <c r="D9418" s="8">
        <v>0</v>
      </c>
      <c r="E9418" s="8">
        <v>0</v>
      </c>
      <c r="F9418" s="8">
        <v>400</v>
      </c>
    </row>
    <row r="9419" spans="1:6" ht="12.75">
      <c r="A9419" s="8">
        <v>43900.645567129628</v>
      </c>
      <c r="B9419" s="8" t="str">
        <f>HYPERLINK("https://twitter.com/DaniTrisdian1","@DaniTrisdian1")</f>
        <v>@DaniTrisdian1</v>
      </c>
      <c r="C9419" s="8" t="s">
        <v>318</v>
      </c>
      <c r="D9419" s="8">
        <v>626</v>
      </c>
      <c r="E9419" s="8">
        <v>0</v>
      </c>
      <c r="F9419" s="8">
        <v>21</v>
      </c>
    </row>
    <row r="9420" spans="1:6" ht="12.75">
      <c r="A9420" s="8">
        <v>43900.64543981482</v>
      </c>
      <c r="B9420" s="8" t="str">
        <f>HYPERLINK("https://twitter.com/Ndrews1162011","@Ndrews1162011")</f>
        <v>@Ndrews1162011</v>
      </c>
      <c r="C9420" s="8" t="s">
        <v>4264</v>
      </c>
      <c r="D9420" s="8">
        <v>0</v>
      </c>
      <c r="E9420" s="8">
        <v>0</v>
      </c>
      <c r="F9420" s="8">
        <v>1325</v>
      </c>
    </row>
    <row r="9421" spans="1:6" ht="12.75">
      <c r="A9421" s="8">
        <v>43900.645289351851</v>
      </c>
      <c r="B9421" s="8" t="str">
        <f>HYPERLINK("https://twitter.com/_wni_","@_wni_")</f>
        <v>@_wni_</v>
      </c>
      <c r="C9421" s="8" t="s">
        <v>4265</v>
      </c>
      <c r="D9421" s="8">
        <v>1</v>
      </c>
      <c r="E9421" s="8">
        <v>0</v>
      </c>
      <c r="F9421" s="8">
        <v>20</v>
      </c>
    </row>
    <row r="9422" spans="1:6" ht="12.75">
      <c r="A9422" s="8">
        <v>43900.645162037035</v>
      </c>
      <c r="B9422" s="8" t="str">
        <f>HYPERLINK("https://twitter.com/JokoWiyanto12","@JokoWiyanto12")</f>
        <v>@JokoWiyanto12</v>
      </c>
      <c r="C9422" s="8" t="s">
        <v>1186</v>
      </c>
      <c r="D9422" s="8">
        <v>21</v>
      </c>
      <c r="E9422" s="8">
        <v>0</v>
      </c>
      <c r="F9422" s="8">
        <v>732</v>
      </c>
    </row>
    <row r="9423" spans="1:6" ht="12.75">
      <c r="A9423" s="8">
        <v>43900.644756944443</v>
      </c>
      <c r="B9423" s="8" t="str">
        <f>HYPERLINK("https://twitter.com/MKhalida18","@MKhalida18")</f>
        <v>@MKhalida18</v>
      </c>
      <c r="C9423" s="8" t="s">
        <v>3545</v>
      </c>
      <c r="D9423" s="8">
        <v>11</v>
      </c>
      <c r="E9423" s="8">
        <v>0</v>
      </c>
      <c r="F9423" s="8">
        <v>20</v>
      </c>
    </row>
    <row r="9424" spans="1:6" ht="12.75">
      <c r="A9424" s="8">
        <v>43900.644641203704</v>
      </c>
      <c r="B9424" s="8" t="str">
        <f>HYPERLINK("https://twitter.com/VanRizaldy","@VanRizaldy")</f>
        <v>@VanRizaldy</v>
      </c>
      <c r="C9424" s="8" t="s">
        <v>318</v>
      </c>
      <c r="D9424" s="8">
        <v>626</v>
      </c>
      <c r="E9424" s="8">
        <v>0</v>
      </c>
      <c r="F9424" s="8">
        <v>29</v>
      </c>
    </row>
    <row r="9425" spans="1:6" ht="12.75">
      <c r="A9425" s="8">
        <v>43900.644548611112</v>
      </c>
      <c r="B9425" s="8" t="str">
        <f>HYPERLINK("https://twitter.com/looookeeee","@looookeeee")</f>
        <v>@looookeeee</v>
      </c>
      <c r="C9425" s="8" t="s">
        <v>1957</v>
      </c>
      <c r="D9425" s="8">
        <v>1479</v>
      </c>
      <c r="E9425" s="8">
        <v>0</v>
      </c>
      <c r="F9425" s="8">
        <v>145</v>
      </c>
    </row>
    <row r="9426" spans="1:6" ht="12.75">
      <c r="A9426" s="8">
        <v>43900.631585648152</v>
      </c>
      <c r="B9426" s="8" t="str">
        <f>HYPERLINK("https://twitter.com/ZuRsaja","@ZuRsaja")</f>
        <v>@ZuRsaja</v>
      </c>
      <c r="C9426" s="8" t="s">
        <v>3820</v>
      </c>
      <c r="D9426" s="8">
        <v>15</v>
      </c>
      <c r="E9426" s="8">
        <v>0</v>
      </c>
      <c r="F9426" s="8">
        <v>1768</v>
      </c>
    </row>
    <row r="9427" spans="1:6" ht="12.75">
      <c r="A9427" s="8">
        <v>43900.631203703699</v>
      </c>
      <c r="B9427" s="8" t="str">
        <f>HYPERLINK("https://twitter.com/LapakJersey90","@LapakJersey90")</f>
        <v>@LapakJersey90</v>
      </c>
      <c r="C9427" s="8" t="s">
        <v>4266</v>
      </c>
      <c r="D9427" s="8">
        <v>1</v>
      </c>
      <c r="E9427" s="8">
        <v>1</v>
      </c>
      <c r="F9427" s="8">
        <v>406</v>
      </c>
    </row>
    <row r="9428" spans="1:6" ht="12.75">
      <c r="A9428" s="8">
        <v>43900.631076388891</v>
      </c>
      <c r="B9428" s="8" t="str">
        <f>HYPERLINK("https://twitter.com/umam_chaerul","@umam_chaerul")</f>
        <v>@umam_chaerul</v>
      </c>
      <c r="C9428" s="8" t="s">
        <v>318</v>
      </c>
      <c r="D9428" s="8">
        <v>575</v>
      </c>
      <c r="E9428" s="8">
        <v>0</v>
      </c>
      <c r="F9428" s="8">
        <v>2900</v>
      </c>
    </row>
    <row r="9429" spans="1:6" ht="12.75">
      <c r="A9429" s="8">
        <v>43900.631030092598</v>
      </c>
      <c r="B9429" s="8" t="str">
        <f>HYPERLINK("https://twitter.com/Amru59290634","@Amru59290634")</f>
        <v>@Amru59290634</v>
      </c>
      <c r="C9429" s="8" t="s">
        <v>318</v>
      </c>
      <c r="D9429" s="8">
        <v>575</v>
      </c>
      <c r="E9429" s="8">
        <v>0</v>
      </c>
      <c r="F9429" s="8">
        <v>10</v>
      </c>
    </row>
    <row r="9430" spans="1:6" ht="12.75">
      <c r="A9430" s="8">
        <v>43900.630856481483</v>
      </c>
      <c r="B9430" s="8" t="str">
        <f>HYPERLINK("https://twitter.com/bahrimuhammad","@bahrimuhammad")</f>
        <v>@bahrimuhammad</v>
      </c>
      <c r="C9430" s="8" t="s">
        <v>318</v>
      </c>
      <c r="D9430" s="8">
        <v>575</v>
      </c>
      <c r="E9430" s="8">
        <v>0</v>
      </c>
      <c r="F9430" s="8">
        <v>79</v>
      </c>
    </row>
    <row r="9431" spans="1:6" ht="12.75">
      <c r="A9431" s="8">
        <v>43900.630613425921</v>
      </c>
      <c r="B9431" s="8" t="str">
        <f>HYPERLINK("https://twitter.com/aslitopek","@aslitopek")</f>
        <v>@aslitopek</v>
      </c>
      <c r="C9431" s="8" t="s">
        <v>3190</v>
      </c>
      <c r="D9431" s="8">
        <v>85</v>
      </c>
      <c r="E9431" s="8">
        <v>0</v>
      </c>
      <c r="F9431" s="8">
        <v>449</v>
      </c>
    </row>
    <row r="9432" spans="1:6" ht="12.75">
      <c r="A9432" s="8">
        <v>43900.630567129629</v>
      </c>
      <c r="B9432" s="8" t="str">
        <f>HYPERLINK("https://twitter.com/iaz_Raswandhi","@iaz_Raswandhi")</f>
        <v>@iaz_Raswandhi</v>
      </c>
      <c r="C9432" s="8" t="s">
        <v>3190</v>
      </c>
      <c r="D9432" s="8">
        <v>85</v>
      </c>
      <c r="E9432" s="8">
        <v>0</v>
      </c>
      <c r="F9432" s="8">
        <v>315</v>
      </c>
    </row>
    <row r="9433" spans="1:6" ht="12.75">
      <c r="A9433" s="8">
        <v>43900.630462962959</v>
      </c>
      <c r="B9433" s="8" t="str">
        <f>HYPERLINK("https://twitter.com/YoungmandayS","@YoungmandayS")</f>
        <v>@YoungmandayS</v>
      </c>
      <c r="C9433" s="8" t="s">
        <v>3190</v>
      </c>
      <c r="D9433" s="8">
        <v>85</v>
      </c>
      <c r="E9433" s="8">
        <v>0</v>
      </c>
      <c r="F9433" s="8">
        <v>174</v>
      </c>
    </row>
    <row r="9434" spans="1:6" ht="12.75">
      <c r="A9434" s="8">
        <v>43900.630428240736</v>
      </c>
      <c r="B9434" s="8" t="str">
        <f>HYPERLINK("https://twitter.com/Fahrezi07189344","@Fahrezi07189344")</f>
        <v>@Fahrezi07189344</v>
      </c>
      <c r="C9434" s="8" t="s">
        <v>318</v>
      </c>
      <c r="D9434" s="8">
        <v>575</v>
      </c>
      <c r="E9434" s="8">
        <v>0</v>
      </c>
      <c r="F9434" s="8">
        <v>190</v>
      </c>
    </row>
    <row r="9435" spans="1:6" ht="12.75">
      <c r="A9435" s="8">
        <v>43900.630358796298</v>
      </c>
      <c r="B9435" s="8" t="str">
        <f>HYPERLINK("https://twitter.com/manofsiji","@manofsiji")</f>
        <v>@manofsiji</v>
      </c>
      <c r="C9435" s="8" t="s">
        <v>318</v>
      </c>
      <c r="D9435" s="8">
        <v>575</v>
      </c>
      <c r="E9435" s="8">
        <v>0</v>
      </c>
      <c r="F9435" s="8">
        <v>557</v>
      </c>
    </row>
    <row r="9436" spans="1:6" ht="12.75">
      <c r="A9436" s="8">
        <v>43900.630347222221</v>
      </c>
      <c r="B9436" s="8" t="str">
        <f>HYPERLINK("https://twitter.com/Bjang99","@Bjang99")</f>
        <v>@Bjang99</v>
      </c>
      <c r="C9436" s="8" t="s">
        <v>3190</v>
      </c>
      <c r="D9436" s="8">
        <v>85</v>
      </c>
      <c r="E9436" s="8">
        <v>0</v>
      </c>
      <c r="F9436" s="8">
        <v>251</v>
      </c>
    </row>
    <row r="9437" spans="1:6" ht="12.75">
      <c r="A9437" s="8">
        <v>43900.629930555559</v>
      </c>
      <c r="B9437" s="8" t="str">
        <f>HYPERLINK("https://twitter.com/republikaonline","@republikaonline")</f>
        <v>@republikaonline</v>
      </c>
      <c r="C9437" s="8" t="s">
        <v>4267</v>
      </c>
      <c r="D9437" s="8">
        <v>0</v>
      </c>
      <c r="E9437" s="8">
        <v>1</v>
      </c>
      <c r="F9437" s="8">
        <v>1223315</v>
      </c>
    </row>
    <row r="9438" spans="1:6" ht="12.75">
      <c r="A9438" s="8">
        <v>43900.629675925928</v>
      </c>
      <c r="B9438" s="8" t="str">
        <f>HYPERLINK("https://twitter.com/kadarusman_us","@kadarusman_us")</f>
        <v>@kadarusman_us</v>
      </c>
      <c r="C9438" s="8" t="s">
        <v>318</v>
      </c>
      <c r="D9438" s="8">
        <v>575</v>
      </c>
      <c r="E9438" s="8">
        <v>0</v>
      </c>
      <c r="F9438" s="8">
        <v>469</v>
      </c>
    </row>
    <row r="9439" spans="1:6" ht="12.75">
      <c r="A9439" s="8">
        <v>43900.62881944445</v>
      </c>
      <c r="B9439" s="8" t="str">
        <f>HYPERLINK("https://twitter.com/AgusAwe","@AgusAwe")</f>
        <v>@AgusAwe</v>
      </c>
      <c r="C9439" s="8" t="s">
        <v>4268</v>
      </c>
      <c r="D9439" s="8">
        <v>0</v>
      </c>
      <c r="E9439" s="8">
        <v>0</v>
      </c>
      <c r="F9439" s="8">
        <v>2001</v>
      </c>
    </row>
    <row r="9440" spans="1:6" ht="12.75">
      <c r="A9440" s="8">
        <v>43900.628611111111</v>
      </c>
      <c r="B9440" s="8" t="str">
        <f>HYPERLINK("https://twitter.com/candrarudy","@candrarudy")</f>
        <v>@candrarudy</v>
      </c>
      <c r="C9440" s="8" t="s">
        <v>3190</v>
      </c>
      <c r="D9440" s="8">
        <v>85</v>
      </c>
      <c r="E9440" s="8">
        <v>0</v>
      </c>
      <c r="F9440" s="8">
        <v>443</v>
      </c>
    </row>
    <row r="9441" spans="1:6" ht="12.75">
      <c r="A9441" s="8">
        <v>43900.628530092596</v>
      </c>
      <c r="B9441" s="8" t="str">
        <f>HYPERLINK("https://twitter.com/marvelisdad","@marvelisdad")</f>
        <v>@marvelisdad</v>
      </c>
      <c r="C9441" s="8" t="s">
        <v>2199</v>
      </c>
      <c r="D9441" s="8">
        <v>9110</v>
      </c>
      <c r="E9441" s="8">
        <v>0</v>
      </c>
      <c r="F9441" s="8">
        <v>775</v>
      </c>
    </row>
    <row r="9442" spans="1:6" ht="12.75">
      <c r="A9442" s="8">
        <v>43900.627442129626</v>
      </c>
      <c r="B9442" s="8" t="str">
        <f>HYPERLINK("https://twitter.com/5Tendi","@5Tendi")</f>
        <v>@5Tendi</v>
      </c>
      <c r="C9442" s="8" t="s">
        <v>3190</v>
      </c>
      <c r="D9442" s="8">
        <v>85</v>
      </c>
      <c r="E9442" s="8">
        <v>0</v>
      </c>
      <c r="F9442" s="8">
        <v>193</v>
      </c>
    </row>
    <row r="9443" spans="1:6" ht="12.75">
      <c r="A9443" s="8">
        <v>43900.627129629633</v>
      </c>
      <c r="B9443" s="8" t="str">
        <f>HYPERLINK("https://twitter.com/RajKendre11","@RajKendre11")</f>
        <v>@RajKendre11</v>
      </c>
      <c r="C9443" s="8" t="s">
        <v>4269</v>
      </c>
      <c r="D9443" s="8">
        <v>0</v>
      </c>
      <c r="E9443" s="8">
        <v>0</v>
      </c>
      <c r="F9443" s="8">
        <v>16</v>
      </c>
    </row>
    <row r="9444" spans="1:6" ht="12.75">
      <c r="A9444" s="8">
        <v>43900.626898148148</v>
      </c>
      <c r="B9444" s="8" t="str">
        <f>HYPERLINK("https://twitter.com/Aripp1nya","@Aripp1nya")</f>
        <v>@Aripp1nya</v>
      </c>
      <c r="C9444" s="8" t="s">
        <v>318</v>
      </c>
      <c r="D9444" s="8">
        <v>575</v>
      </c>
      <c r="E9444" s="8">
        <v>0</v>
      </c>
      <c r="F9444" s="8">
        <v>60</v>
      </c>
    </row>
    <row r="9445" spans="1:6" ht="12.75">
      <c r="A9445" s="8">
        <v>43900.626655092594</v>
      </c>
      <c r="B9445" s="8" t="str">
        <f>HYPERLINK("https://twitter.com/henymenik1","@henymenik1")</f>
        <v>@henymenik1</v>
      </c>
      <c r="C9445" s="8" t="s">
        <v>4270</v>
      </c>
      <c r="D9445" s="8">
        <v>12</v>
      </c>
      <c r="E9445" s="8">
        <v>0</v>
      </c>
      <c r="F9445" s="8">
        <v>378</v>
      </c>
    </row>
    <row r="9446" spans="1:6" ht="12.75">
      <c r="A9446" s="8">
        <v>43900.626215277778</v>
      </c>
      <c r="B9446" s="8" t="str">
        <f>HYPERLINK("https://twitter.com/kbrisingapura","@kbrisingapura")</f>
        <v>@kbrisingapura</v>
      </c>
      <c r="C9446" s="8" t="s">
        <v>4271</v>
      </c>
      <c r="D9446" s="8">
        <v>0</v>
      </c>
      <c r="E9446" s="8">
        <v>1</v>
      </c>
      <c r="F9446" s="8">
        <v>4646</v>
      </c>
    </row>
    <row r="9447" spans="1:6" ht="12.75">
      <c r="A9447" s="8">
        <v>43900.626180555555</v>
      </c>
      <c r="B9447" s="8" t="str">
        <f>HYPERLINK("https://twitter.com/SelasihL","@SelasihL")</f>
        <v>@SelasihL</v>
      </c>
      <c r="C9447" s="8" t="s">
        <v>1186</v>
      </c>
      <c r="D9447" s="8">
        <v>18</v>
      </c>
      <c r="E9447" s="8">
        <v>0</v>
      </c>
      <c r="F9447" s="8">
        <v>419</v>
      </c>
    </row>
    <row r="9448" spans="1:6" ht="12.75">
      <c r="A9448" s="8">
        <v>43900.625949074078</v>
      </c>
      <c r="B9448" s="8" t="str">
        <f>HYPERLINK("https://twitter.com/SherlockAbhi","@SherlockAbhi")</f>
        <v>@SherlockAbhi</v>
      </c>
      <c r="C9448" s="8" t="s">
        <v>1808</v>
      </c>
      <c r="D9448" s="8">
        <v>835</v>
      </c>
      <c r="E9448" s="8">
        <v>0</v>
      </c>
      <c r="F9448" s="8">
        <v>122</v>
      </c>
    </row>
    <row r="9449" spans="1:6" ht="12.75">
      <c r="A9449" s="8">
        <v>43900.625115740739</v>
      </c>
      <c r="B9449" s="8" t="str">
        <f>HYPERLINK("https://twitter.com/outlieeer","@outlieeer")</f>
        <v>@outlieeer</v>
      </c>
      <c r="C9449" s="8" t="s">
        <v>3190</v>
      </c>
      <c r="D9449" s="8">
        <v>85</v>
      </c>
      <c r="E9449" s="8">
        <v>0</v>
      </c>
      <c r="F9449" s="8">
        <v>1273</v>
      </c>
    </row>
    <row r="9450" spans="1:6" ht="12.75">
      <c r="A9450" s="8">
        <v>43900.625115740739</v>
      </c>
      <c r="B9450" s="8" t="str">
        <f>HYPERLINK("https://twitter.com/Bambangsadono5","@Bambangsadono5")</f>
        <v>@Bambangsadono5</v>
      </c>
      <c r="C9450" s="8" t="s">
        <v>318</v>
      </c>
      <c r="D9450" s="8">
        <v>575</v>
      </c>
      <c r="E9450" s="8">
        <v>0</v>
      </c>
      <c r="F9450" s="8">
        <v>20</v>
      </c>
    </row>
    <row r="9451" spans="1:6" ht="12.75">
      <c r="A9451" s="8">
        <v>43900.625092592592</v>
      </c>
      <c r="B9451" s="8" t="str">
        <f>HYPERLINK("https://twitter.com/tombakMatahar1","@tombakMatahar1")</f>
        <v>@tombakMatahar1</v>
      </c>
      <c r="C9451" s="8" t="s">
        <v>318</v>
      </c>
      <c r="D9451" s="8">
        <v>575</v>
      </c>
      <c r="E9451" s="8">
        <v>0</v>
      </c>
      <c r="F9451" s="8">
        <v>154</v>
      </c>
    </row>
    <row r="9452" spans="1:6" ht="12.75">
      <c r="A9452" s="8">
        <v>43900.625</v>
      </c>
      <c r="B9452" s="8" t="str">
        <f>HYPERLINK("https://twitter.com/WSetyorini2","@WSetyorini2")</f>
        <v>@WSetyorini2</v>
      </c>
      <c r="C9452" s="8" t="s">
        <v>3190</v>
      </c>
      <c r="D9452" s="8">
        <v>85</v>
      </c>
      <c r="E9452" s="8">
        <v>0</v>
      </c>
      <c r="F9452" s="8">
        <v>1195</v>
      </c>
    </row>
    <row r="9453" spans="1:6" ht="12.75">
      <c r="A9453" s="8">
        <v>43900.624872685185</v>
      </c>
      <c r="B9453" s="8" t="str">
        <f>HYPERLINK("https://twitter.com/YusrieAsmawi","@YusrieAsmawi")</f>
        <v>@YusrieAsmawi</v>
      </c>
      <c r="C9453" s="8" t="s">
        <v>318</v>
      </c>
      <c r="D9453" s="8">
        <v>575</v>
      </c>
      <c r="E9453" s="8">
        <v>0</v>
      </c>
      <c r="F9453" s="8">
        <v>12</v>
      </c>
    </row>
    <row r="9454" spans="1:6" ht="12.75">
      <c r="A9454" s="8">
        <v>43900.624618055561</v>
      </c>
      <c r="B9454" s="8" t="str">
        <f>HYPERLINK("https://twitter.com/Fathir_fir","@Fathir_fir")</f>
        <v>@Fathir_fir</v>
      </c>
      <c r="C9454" s="8" t="s">
        <v>318</v>
      </c>
      <c r="D9454" s="8">
        <v>575</v>
      </c>
      <c r="E9454" s="8">
        <v>0</v>
      </c>
      <c r="F9454" s="8">
        <v>31</v>
      </c>
    </row>
    <row r="9455" spans="1:6" ht="12.75">
      <c r="A9455" s="8">
        <v>43900.624606481477</v>
      </c>
      <c r="B9455" s="8" t="str">
        <f>HYPERLINK("https://twitter.com/BiLLYKHAERUDIN","@BiLLYKHAERUDIN")</f>
        <v>@BiLLYKHAERUDIN</v>
      </c>
      <c r="C9455" s="8" t="s">
        <v>3190</v>
      </c>
      <c r="D9455" s="8">
        <v>85</v>
      </c>
      <c r="E9455" s="8">
        <v>0</v>
      </c>
      <c r="F9455" s="8">
        <v>51841</v>
      </c>
    </row>
    <row r="9456" spans="1:6" ht="12.75">
      <c r="A9456" s="8">
        <v>43900.624456018515</v>
      </c>
      <c r="B9456" s="8" t="str">
        <f>HYPERLINK("https://twitter.com/SoebiyantoDiny","@SoebiyantoDiny")</f>
        <v>@SoebiyantoDiny</v>
      </c>
      <c r="C9456" s="8" t="s">
        <v>318</v>
      </c>
      <c r="D9456" s="8">
        <v>575</v>
      </c>
      <c r="E9456" s="8">
        <v>0</v>
      </c>
      <c r="F9456" s="8">
        <v>5</v>
      </c>
    </row>
    <row r="9457" spans="1:6" ht="12.75">
      <c r="A9457" s="8">
        <v>43900.624305555553</v>
      </c>
      <c r="B9457" s="8" t="str">
        <f>HYPERLINK("https://twitter.com/pasadenasl","@pasadenasl")</f>
        <v>@pasadenasl</v>
      </c>
      <c r="C9457" s="8" t="s">
        <v>318</v>
      </c>
      <c r="D9457" s="8">
        <v>575</v>
      </c>
      <c r="E9457" s="8">
        <v>0</v>
      </c>
      <c r="F9457" s="8">
        <v>402</v>
      </c>
    </row>
    <row r="9458" spans="1:6" ht="12.75">
      <c r="A9458" s="8">
        <v>43900.624247685184</v>
      </c>
      <c r="B9458" s="8" t="str">
        <f>HYPERLINK("https://twitter.com/Agustinekyy","@Agustinekyy")</f>
        <v>@Agustinekyy</v>
      </c>
      <c r="C9458" s="8" t="s">
        <v>4272</v>
      </c>
      <c r="D9458" s="8">
        <v>0</v>
      </c>
      <c r="E9458" s="8">
        <v>0</v>
      </c>
      <c r="F9458" s="8">
        <v>1844</v>
      </c>
    </row>
    <row r="9459" spans="1:6" ht="12.75">
      <c r="A9459" s="8">
        <v>43900.623773148152</v>
      </c>
      <c r="B9459" s="8" t="str">
        <f>HYPERLINK("https://twitter.com/shirahato657","@shirahato657")</f>
        <v>@shirahato657</v>
      </c>
      <c r="C9459" s="8" t="s">
        <v>2851</v>
      </c>
      <c r="D9459" s="8">
        <v>44</v>
      </c>
      <c r="E9459" s="8">
        <v>0</v>
      </c>
      <c r="F9459" s="8">
        <v>13</v>
      </c>
    </row>
    <row r="9460" spans="1:6" ht="12.75">
      <c r="A9460" s="8">
        <v>43900.62363425926</v>
      </c>
      <c r="B9460" s="8" t="str">
        <f>HYPERLINK("https://twitter.com/leamaya6","@leamaya6")</f>
        <v>@leamaya6</v>
      </c>
      <c r="C9460" s="8" t="s">
        <v>4273</v>
      </c>
      <c r="D9460" s="8">
        <v>0</v>
      </c>
      <c r="E9460" s="8">
        <v>0</v>
      </c>
      <c r="F9460" s="8">
        <v>980</v>
      </c>
    </row>
    <row r="9461" spans="1:6" ht="12.75">
      <c r="A9461" s="8">
        <v>43900.623553240745</v>
      </c>
      <c r="B9461" s="8" t="str">
        <f>HYPERLINK("https://twitter.com/aslipribumiraya","@aslipribumiraya")</f>
        <v>@aslipribumiraya</v>
      </c>
      <c r="C9461" s="8" t="s">
        <v>4274</v>
      </c>
      <c r="D9461" s="8">
        <v>0</v>
      </c>
      <c r="E9461" s="8">
        <v>0</v>
      </c>
      <c r="F9461" s="8">
        <v>2133</v>
      </c>
    </row>
    <row r="9462" spans="1:6" ht="12.75">
      <c r="A9462" s="8">
        <v>43900.622418981482</v>
      </c>
      <c r="B9462" s="8" t="str">
        <f>HYPERLINK("https://twitter.com/jawapos","@jawapos")</f>
        <v>@jawapos</v>
      </c>
      <c r="C9462" s="8" t="s">
        <v>4275</v>
      </c>
      <c r="D9462" s="8">
        <v>1</v>
      </c>
      <c r="E9462" s="8">
        <v>0</v>
      </c>
      <c r="F9462" s="8">
        <v>128476</v>
      </c>
    </row>
    <row r="9463" spans="1:6" ht="12.75">
      <c r="A9463" s="8">
        <v>43900.622025462959</v>
      </c>
      <c r="B9463" s="8" t="str">
        <f>HYPERLINK("https://twitter.com/egafi","@egafi")</f>
        <v>@egafi</v>
      </c>
      <c r="C9463" s="8" t="s">
        <v>318</v>
      </c>
      <c r="D9463" s="8">
        <v>575</v>
      </c>
      <c r="E9463" s="8">
        <v>0</v>
      </c>
      <c r="F9463" s="8">
        <v>157</v>
      </c>
    </row>
    <row r="9464" spans="1:6" ht="12.75">
      <c r="A9464" s="8">
        <v>43900.621759259258</v>
      </c>
      <c r="B9464" s="8" t="str">
        <f>HYPERLINK("https://twitter.com/TrioMacari2000","@TrioMacari2000")</f>
        <v>@TrioMacari2000</v>
      </c>
      <c r="C9464" s="8" t="s">
        <v>318</v>
      </c>
      <c r="D9464" s="8">
        <v>575</v>
      </c>
      <c r="E9464" s="8">
        <v>0</v>
      </c>
      <c r="F9464" s="8">
        <v>6547</v>
      </c>
    </row>
    <row r="9465" spans="1:6" ht="12.75">
      <c r="A9465" s="8">
        <v>43900.621377314819</v>
      </c>
      <c r="B9465" s="8" t="str">
        <f>HYPERLINK("https://twitter.com/windaheris","@windaheris")</f>
        <v>@windaheris</v>
      </c>
      <c r="C9465" s="8" t="s">
        <v>318</v>
      </c>
      <c r="D9465" s="8">
        <v>575</v>
      </c>
      <c r="E9465" s="8">
        <v>0</v>
      </c>
      <c r="F9465" s="8">
        <v>249</v>
      </c>
    </row>
    <row r="9466" spans="1:6" ht="12.75">
      <c r="A9466" s="8">
        <v>43900.621168981481</v>
      </c>
      <c r="B9466" s="8" t="str">
        <f>HYPERLINK("https://twitter.com/PENCARI10738867","@PENCARI10738867")</f>
        <v>@PENCARI10738867</v>
      </c>
      <c r="C9466" s="8" t="s">
        <v>318</v>
      </c>
      <c r="D9466" s="8">
        <v>575</v>
      </c>
      <c r="E9466" s="8">
        <v>0</v>
      </c>
      <c r="F9466" s="8">
        <v>3</v>
      </c>
    </row>
    <row r="9467" spans="1:6" ht="12.75">
      <c r="A9467" s="8">
        <v>43900.621076388888</v>
      </c>
      <c r="B9467" s="8" t="str">
        <f>HYPERLINK("https://twitter.com/Masartono","@Masartono")</f>
        <v>@Masartono</v>
      </c>
      <c r="C9467" s="8" t="s">
        <v>318</v>
      </c>
      <c r="D9467" s="8">
        <v>575</v>
      </c>
      <c r="E9467" s="8">
        <v>0</v>
      </c>
      <c r="F9467" s="8">
        <v>542</v>
      </c>
    </row>
    <row r="9468" spans="1:6" ht="12.75">
      <c r="A9468" s="8">
        <v>43900.620243055557</v>
      </c>
      <c r="B9468" s="8" t="str">
        <f>HYPERLINK("https://twitter.com/30792Haikal","@30792Haikal")</f>
        <v>@30792Haikal</v>
      </c>
      <c r="C9468" s="8" t="s">
        <v>3820</v>
      </c>
      <c r="D9468" s="8">
        <v>15</v>
      </c>
      <c r="E9468" s="8">
        <v>0</v>
      </c>
      <c r="F9468" s="8">
        <v>1613</v>
      </c>
    </row>
    <row r="9469" spans="1:6" ht="12.75">
      <c r="A9469" s="8">
        <v>43900.620196759264</v>
      </c>
      <c r="B9469" s="8" t="str">
        <f>HYPERLINK("https://twitter.com/Derri_dayen","@Derri_dayen")</f>
        <v>@Derri_dayen</v>
      </c>
      <c r="C9469" s="8" t="s">
        <v>4276</v>
      </c>
      <c r="D9469" s="8">
        <v>5</v>
      </c>
      <c r="E9469" s="8">
        <v>0</v>
      </c>
      <c r="F9469" s="8">
        <v>674</v>
      </c>
    </row>
    <row r="9470" spans="1:6" ht="12.75">
      <c r="A9470" s="8">
        <v>43900.619837962964</v>
      </c>
      <c r="B9470" s="8" t="str">
        <f>HYPERLINK("https://twitter.com/kenkenews","@kenkenews")</f>
        <v>@kenkenews</v>
      </c>
      <c r="C9470" s="8" t="s">
        <v>4121</v>
      </c>
      <c r="D9470" s="8">
        <v>0</v>
      </c>
      <c r="E9470" s="8">
        <v>0</v>
      </c>
      <c r="F9470" s="8">
        <v>163</v>
      </c>
    </row>
    <row r="9471" spans="1:6" ht="12.75">
      <c r="A9471" s="8">
        <v>43900.619594907403</v>
      </c>
      <c r="B9471" s="8" t="str">
        <f>HYPERLINK("https://twitter.com/erha_Kuswandi","@erha_Kuswandi")</f>
        <v>@erha_Kuswandi</v>
      </c>
      <c r="C9471" s="8" t="s">
        <v>3820</v>
      </c>
      <c r="D9471" s="8">
        <v>15</v>
      </c>
      <c r="E9471" s="8">
        <v>0</v>
      </c>
      <c r="F9471" s="8">
        <v>330</v>
      </c>
    </row>
    <row r="9472" spans="1:6" ht="12.75">
      <c r="A9472" s="8">
        <v>43900.619479166664</v>
      </c>
      <c r="B9472" s="8" t="str">
        <f>HYPERLINK("https://twitter.com/kaskus","@kaskus")</f>
        <v>@kaskus</v>
      </c>
      <c r="C9472" s="8" t="s">
        <v>4277</v>
      </c>
      <c r="D9472" s="8">
        <v>0</v>
      </c>
      <c r="E9472" s="8">
        <v>0</v>
      </c>
      <c r="F9472" s="8">
        <v>2615078</v>
      </c>
    </row>
    <row r="9473" spans="1:6" ht="12.75">
      <c r="A9473" s="8">
        <v>43900.619004629625</v>
      </c>
      <c r="B9473" s="8" t="str">
        <f>HYPERLINK("https://twitter.com/idntimes","@idntimes")</f>
        <v>@idntimes</v>
      </c>
      <c r="C9473" s="8" t="s">
        <v>4278</v>
      </c>
      <c r="D9473" s="8">
        <v>0</v>
      </c>
      <c r="E9473" s="8">
        <v>0</v>
      </c>
      <c r="F9473" s="8">
        <v>394440</v>
      </c>
    </row>
    <row r="9474" spans="1:6" ht="12.75">
      <c r="A9474" s="8">
        <v>43900.618807870371</v>
      </c>
      <c r="B9474" s="8" t="str">
        <f>HYPERLINK("https://twitter.com/ana_khoz","@ana_khoz")</f>
        <v>@ana_khoz</v>
      </c>
      <c r="C9474" s="8" t="s">
        <v>3190</v>
      </c>
      <c r="D9474" s="8">
        <v>85</v>
      </c>
      <c r="E9474" s="8">
        <v>0</v>
      </c>
      <c r="F9474" s="8">
        <v>18804</v>
      </c>
    </row>
    <row r="9475" spans="1:6" ht="12.75">
      <c r="A9475" s="8">
        <v>43900.618437500001</v>
      </c>
      <c r="B9475" s="8" t="str">
        <f>HYPERLINK("https://twitter.com/kompascom","@kompascom")</f>
        <v>@kompascom</v>
      </c>
      <c r="C9475" s="8" t="s">
        <v>4279</v>
      </c>
      <c r="D9475" s="8">
        <v>1</v>
      </c>
      <c r="E9475" s="8">
        <v>4</v>
      </c>
      <c r="F9475" s="8">
        <v>7538794</v>
      </c>
    </row>
    <row r="9476" spans="1:6" ht="12.75">
      <c r="A9476" s="8">
        <v>43900.617974537032</v>
      </c>
      <c r="B9476" s="8" t="str">
        <f>HYPERLINK("https://twitter.com/tyrannosdotrex","@tyrannosdotrex")</f>
        <v>@tyrannosdotrex</v>
      </c>
      <c r="C9476" s="8" t="s">
        <v>4280</v>
      </c>
      <c r="D9476" s="8">
        <v>0</v>
      </c>
      <c r="E9476" s="8">
        <v>0</v>
      </c>
      <c r="F9476" s="8">
        <v>12611</v>
      </c>
    </row>
    <row r="9477" spans="1:6" ht="12.75">
      <c r="A9477" s="8">
        <v>43900.617893518516</v>
      </c>
      <c r="B9477" s="8" t="str">
        <f>HYPERLINK("https://twitter.com/FauziaLatiff","@FauziaLatiff")</f>
        <v>@FauziaLatiff</v>
      </c>
      <c r="C9477" s="8" t="s">
        <v>2851</v>
      </c>
      <c r="D9477" s="8">
        <v>44</v>
      </c>
      <c r="E9477" s="8">
        <v>0</v>
      </c>
      <c r="F9477" s="8">
        <v>24</v>
      </c>
    </row>
    <row r="9478" spans="1:6" ht="12.75">
      <c r="A9478" s="8">
        <v>43900.617164351846</v>
      </c>
      <c r="B9478" s="8" t="str">
        <f>HYPERLINK("https://twitter.com/kbrioslo","@kbrioslo")</f>
        <v>@kbrioslo</v>
      </c>
      <c r="C9478" s="8" t="s">
        <v>2851</v>
      </c>
      <c r="D9478" s="8">
        <v>44</v>
      </c>
      <c r="E9478" s="8">
        <v>0</v>
      </c>
      <c r="F9478" s="8">
        <v>2427</v>
      </c>
    </row>
    <row r="9479" spans="1:6" ht="12.75">
      <c r="A9479" s="8">
        <v>43900.616666666669</v>
      </c>
      <c r="B9479" s="8" t="str">
        <f>HYPERLINK("https://twitter.com/Dewie34292319","@Dewie34292319")</f>
        <v>@Dewie34292319</v>
      </c>
      <c r="C9479" s="8" t="s">
        <v>318</v>
      </c>
      <c r="D9479" s="8">
        <v>575</v>
      </c>
      <c r="E9479" s="8">
        <v>0</v>
      </c>
      <c r="F9479" s="8">
        <v>1845</v>
      </c>
    </row>
    <row r="9480" spans="1:6" ht="12.75">
      <c r="A9480" s="8">
        <v>43900.61655092593</v>
      </c>
      <c r="B9480" s="8" t="str">
        <f>HYPERLINK("https://twitter.com/Uchiezombie","@Uchiezombie")</f>
        <v>@Uchiezombie</v>
      </c>
      <c r="C9480" s="8" t="s">
        <v>318</v>
      </c>
      <c r="D9480" s="8">
        <v>575</v>
      </c>
      <c r="E9480" s="8">
        <v>0</v>
      </c>
      <c r="F9480" s="8">
        <v>634</v>
      </c>
    </row>
    <row r="9481" spans="1:6" ht="12.75">
      <c r="A9481" s="8">
        <v>43900.616493055553</v>
      </c>
      <c r="B9481" s="8" t="str">
        <f>HYPERLINK("https://twitter.com/PrinceMaitra","@PrinceMaitra")</f>
        <v>@PrinceMaitra</v>
      </c>
      <c r="C9481" s="8" t="s">
        <v>4281</v>
      </c>
      <c r="D9481" s="8">
        <v>0</v>
      </c>
      <c r="E9481" s="8">
        <v>0</v>
      </c>
      <c r="F9481" s="8">
        <v>499</v>
      </c>
    </row>
    <row r="9482" spans="1:6" ht="12.75">
      <c r="A9482" s="8">
        <v>43900.615601851852</v>
      </c>
      <c r="B9482" s="8" t="str">
        <f>HYPERLINK("https://twitter.com/jambiseru","@jambiseru")</f>
        <v>@jambiseru</v>
      </c>
      <c r="C9482" s="8" t="s">
        <v>4282</v>
      </c>
      <c r="D9482" s="8">
        <v>0</v>
      </c>
      <c r="E9482" s="8">
        <v>0</v>
      </c>
      <c r="F9482" s="8">
        <v>446</v>
      </c>
    </row>
    <row r="9483" spans="1:6" ht="12.75">
      <c r="A9483" s="8">
        <v>43900.615347222221</v>
      </c>
      <c r="B9483" s="8" t="str">
        <f>HYPERLINK("https://twitter.com/KBRI_Beograd","@KBRI_Beograd")</f>
        <v>@KBRI_Beograd</v>
      </c>
      <c r="C9483" s="8" t="s">
        <v>2851</v>
      </c>
      <c r="D9483" s="8">
        <v>44</v>
      </c>
      <c r="E9483" s="8">
        <v>0</v>
      </c>
      <c r="F9483" s="8">
        <v>1285</v>
      </c>
    </row>
    <row r="9484" spans="1:6" ht="12.75">
      <c r="A9484" s="8">
        <v>43900.615266203706</v>
      </c>
      <c r="B9484" s="8" t="str">
        <f>HYPERLINK("https://twitter.com/ArialSyamsiah","@ArialSyamsiah")</f>
        <v>@ArialSyamsiah</v>
      </c>
      <c r="C9484" s="8" t="s">
        <v>2851</v>
      </c>
      <c r="D9484" s="8">
        <v>44</v>
      </c>
      <c r="E9484" s="8">
        <v>0</v>
      </c>
      <c r="F9484" s="8">
        <v>25</v>
      </c>
    </row>
    <row r="9485" spans="1:6" ht="12.75">
      <c r="A9485" s="8">
        <v>43900.614629629628</v>
      </c>
      <c r="B9485" s="8" t="str">
        <f t="shared" ref="B9485:B9486" si="155">HYPERLINK("https://twitter.com/555masteng","@555masteng")</f>
        <v>@555masteng</v>
      </c>
      <c r="C9485" s="8" t="s">
        <v>295</v>
      </c>
      <c r="D9485" s="8">
        <v>64</v>
      </c>
      <c r="E9485" s="8">
        <v>0</v>
      </c>
      <c r="F9485" s="8">
        <v>5584</v>
      </c>
    </row>
    <row r="9486" spans="1:6" ht="12.75">
      <c r="A9486" s="8">
        <v>43900.614386574074</v>
      </c>
      <c r="B9486" s="8" t="str">
        <f t="shared" si="155"/>
        <v>@555masteng</v>
      </c>
      <c r="C9486" s="8" t="s">
        <v>2432</v>
      </c>
      <c r="D9486" s="8">
        <v>41</v>
      </c>
      <c r="E9486" s="8">
        <v>0</v>
      </c>
      <c r="F9486" s="8">
        <v>5584</v>
      </c>
    </row>
    <row r="9487" spans="1:6" ht="12.75">
      <c r="A9487" s="8">
        <v>43900.614317129628</v>
      </c>
      <c r="B9487" s="8" t="str">
        <f>HYPERLINK("https://twitter.com/skyincolour","@skyincolour")</f>
        <v>@skyincolour</v>
      </c>
      <c r="C9487" s="8" t="s">
        <v>4283</v>
      </c>
      <c r="D9487" s="8">
        <v>2</v>
      </c>
      <c r="E9487" s="8">
        <v>0</v>
      </c>
      <c r="F9487" s="8">
        <v>147</v>
      </c>
    </row>
    <row r="9488" spans="1:6" ht="12.75">
      <c r="A9488" s="8">
        <v>43900.61409722222</v>
      </c>
      <c r="B9488" s="8" t="str">
        <f>HYPERLINK("https://twitter.com/BahasaHati6","@BahasaHati6")</f>
        <v>@BahasaHati6</v>
      </c>
      <c r="C9488" s="8" t="s">
        <v>4284</v>
      </c>
      <c r="D9488" s="8">
        <v>1</v>
      </c>
      <c r="E9488" s="8">
        <v>0</v>
      </c>
      <c r="F9488" s="8">
        <v>3709</v>
      </c>
    </row>
    <row r="9489" spans="1:6" ht="12.75">
      <c r="A9489" s="8">
        <v>43900.613900462966</v>
      </c>
      <c r="B9489" s="8" t="str">
        <f>HYPERLINK("https://twitter.com/Bocah__koplak","@Bocah__koplak")</f>
        <v>@Bocah__koplak</v>
      </c>
      <c r="C9489" s="8" t="s">
        <v>4285</v>
      </c>
      <c r="D9489" s="8">
        <v>1</v>
      </c>
      <c r="E9489" s="8">
        <v>2</v>
      </c>
      <c r="F9489" s="8">
        <v>6382</v>
      </c>
    </row>
    <row r="9490" spans="1:6" ht="12.75">
      <c r="A9490" s="8">
        <v>43900.613842592589</v>
      </c>
      <c r="B9490" s="8" t="str">
        <f>HYPERLINK("https://twitter.com/SangKaisar722","@SangKaisar722")</f>
        <v>@SangKaisar722</v>
      </c>
      <c r="C9490" s="8" t="s">
        <v>318</v>
      </c>
      <c r="D9490" s="8">
        <v>575</v>
      </c>
      <c r="E9490" s="8">
        <v>0</v>
      </c>
      <c r="F9490" s="8">
        <v>544</v>
      </c>
    </row>
    <row r="9491" spans="1:6" ht="12.75">
      <c r="A9491" s="8">
        <v>43900.61347222222</v>
      </c>
      <c r="B9491" s="8" t="str">
        <f>HYPERLINK("https://twitter.com/cherisshaf","@cherisshaf")</f>
        <v>@cherisshaf</v>
      </c>
      <c r="C9491" s="8" t="s">
        <v>4286</v>
      </c>
      <c r="D9491" s="8">
        <v>2</v>
      </c>
      <c r="E9491" s="8">
        <v>0</v>
      </c>
      <c r="F9491" s="8">
        <v>931</v>
      </c>
    </row>
    <row r="9492" spans="1:6" ht="12.75">
      <c r="A9492" s="8">
        <v>43900.61341435185</v>
      </c>
      <c r="B9492" s="8" t="str">
        <f>HYPERLINK("https://twitter.com/JatengPos","@JatengPos")</f>
        <v>@JatengPos</v>
      </c>
      <c r="C9492" s="8" t="s">
        <v>4287</v>
      </c>
      <c r="D9492" s="8">
        <v>0</v>
      </c>
      <c r="E9492" s="8">
        <v>0</v>
      </c>
      <c r="F9492" s="8">
        <v>955</v>
      </c>
    </row>
    <row r="9493" spans="1:6" ht="12.75">
      <c r="A9493" s="8">
        <v>43900.612858796296</v>
      </c>
      <c r="B9493" s="8" t="str">
        <f>HYPERLINK("https://twitter.com/WNoviska","@WNoviska")</f>
        <v>@WNoviska</v>
      </c>
      <c r="C9493" s="8" t="s">
        <v>2851</v>
      </c>
      <c r="D9493" s="8">
        <v>44</v>
      </c>
      <c r="E9493" s="8">
        <v>0</v>
      </c>
      <c r="F9493" s="8">
        <v>22</v>
      </c>
    </row>
    <row r="9494" spans="1:6" ht="12.75">
      <c r="A9494" s="8">
        <v>43900.612569444449</v>
      </c>
      <c r="B9494" s="8" t="str">
        <f>HYPERLINK("https://twitter.com/HarisSang","@HarisSang")</f>
        <v>@HarisSang</v>
      </c>
      <c r="C9494" s="8" t="s">
        <v>1186</v>
      </c>
      <c r="D9494" s="8">
        <v>18</v>
      </c>
      <c r="E9494" s="8">
        <v>0</v>
      </c>
      <c r="F9494" s="8">
        <v>991</v>
      </c>
    </row>
    <row r="9495" spans="1:6" ht="12.75">
      <c r="A9495" s="8">
        <v>43900.612337962964</v>
      </c>
      <c r="B9495" s="8" t="str">
        <f>HYPERLINK("https://twitter.com/Adra_silent","@Adra_silent")</f>
        <v>@Adra_silent</v>
      </c>
      <c r="C9495" s="8" t="s">
        <v>318</v>
      </c>
      <c r="D9495" s="8">
        <v>575</v>
      </c>
      <c r="E9495" s="8">
        <v>0</v>
      </c>
      <c r="F9495" s="8">
        <v>4202</v>
      </c>
    </row>
    <row r="9496" spans="1:6" ht="12.75">
      <c r="A9496" s="8">
        <v>43900.612071759257</v>
      </c>
      <c r="B9496" s="8" t="str">
        <f>HYPERLINK("https://twitter.com/bakti249","@bakti249")</f>
        <v>@bakti249</v>
      </c>
      <c r="C9496" s="8" t="s">
        <v>318</v>
      </c>
      <c r="D9496" s="8">
        <v>575</v>
      </c>
      <c r="E9496" s="8">
        <v>0</v>
      </c>
      <c r="F9496" s="8">
        <v>139</v>
      </c>
    </row>
    <row r="9497" spans="1:6" ht="12.75">
      <c r="A9497" s="8">
        <v>43900.611793981487</v>
      </c>
      <c r="B9497" s="8" t="str">
        <f>HYPERLINK("https://twitter.com/AlummiRambe","@AlummiRambe")</f>
        <v>@AlummiRambe</v>
      </c>
      <c r="C9497" s="8" t="s">
        <v>4270</v>
      </c>
      <c r="D9497" s="8">
        <v>12</v>
      </c>
      <c r="E9497" s="8">
        <v>0</v>
      </c>
      <c r="F9497" s="8">
        <v>2200</v>
      </c>
    </row>
    <row r="9498" spans="1:6" ht="12.75">
      <c r="A9498" s="8">
        <v>43900.611678240741</v>
      </c>
      <c r="B9498" s="8" t="str">
        <f>HYPERLINK("https://twitter.com/Isis_Garay","@Isis_Garay")</f>
        <v>@Isis_Garay</v>
      </c>
      <c r="C9498" s="8" t="s">
        <v>4288</v>
      </c>
      <c r="D9498" s="8">
        <v>0</v>
      </c>
      <c r="E9498" s="8">
        <v>0</v>
      </c>
      <c r="F9498" s="8">
        <v>262</v>
      </c>
    </row>
    <row r="9499" spans="1:6" ht="12.75">
      <c r="A9499" s="8">
        <v>43900.611655092594</v>
      </c>
      <c r="B9499" s="8" t="str">
        <f>HYPERLINK("https://twitter.com/Gandawan","@Gandawan")</f>
        <v>@Gandawan</v>
      </c>
      <c r="C9499" s="8" t="s">
        <v>4283</v>
      </c>
      <c r="D9499" s="8">
        <v>2</v>
      </c>
      <c r="E9499" s="8">
        <v>0</v>
      </c>
      <c r="F9499" s="8">
        <v>1409</v>
      </c>
    </row>
    <row r="9500" spans="1:6" ht="12.75">
      <c r="A9500" s="8">
        <v>43900.611631944441</v>
      </c>
      <c r="B9500" s="8" t="str">
        <f>HYPERLINK("https://twitter.com/LeoOliel","@LeoOliel")</f>
        <v>@LeoOliel</v>
      </c>
      <c r="C9500" s="8" t="s">
        <v>318</v>
      </c>
      <c r="D9500" s="8">
        <v>575</v>
      </c>
      <c r="E9500" s="8">
        <v>0</v>
      </c>
      <c r="F9500" s="8">
        <v>367</v>
      </c>
    </row>
    <row r="9501" spans="1:6" ht="12.75">
      <c r="A9501" s="8">
        <v>43900.611516203702</v>
      </c>
      <c r="B9501" s="8" t="str">
        <f>HYPERLINK("https://twitter.com/LopezUkar","@LopezUkar")</f>
        <v>@LopezUkar</v>
      </c>
      <c r="C9501" s="8" t="s">
        <v>318</v>
      </c>
      <c r="D9501" s="8">
        <v>575</v>
      </c>
      <c r="E9501" s="8">
        <v>0</v>
      </c>
      <c r="F9501" s="8">
        <v>157</v>
      </c>
    </row>
    <row r="9502" spans="1:6" ht="12.75">
      <c r="A9502" s="8">
        <v>43900.61136574074</v>
      </c>
      <c r="B9502" s="8" t="str">
        <f>HYPERLINK("https://twitter.com/alFiant_Angga","@alFiant_Angga")</f>
        <v>@alFiant_Angga</v>
      </c>
      <c r="C9502" s="8" t="s">
        <v>4289</v>
      </c>
      <c r="D9502" s="8">
        <v>3</v>
      </c>
      <c r="E9502" s="8">
        <v>0</v>
      </c>
      <c r="F9502" s="8">
        <v>1083</v>
      </c>
    </row>
    <row r="9503" spans="1:6" ht="12.75">
      <c r="A9503" s="8">
        <v>43900.611342592594</v>
      </c>
      <c r="B9503" s="8" t="str">
        <f>HYPERLINK("https://twitter.com/VanDaGhang","@VanDaGhang")</f>
        <v>@VanDaGhang</v>
      </c>
      <c r="C9503" s="8" t="s">
        <v>318</v>
      </c>
      <c r="D9503" s="8">
        <v>575</v>
      </c>
      <c r="E9503" s="8">
        <v>0</v>
      </c>
      <c r="F9503" s="8">
        <v>228</v>
      </c>
    </row>
    <row r="9504" spans="1:6" ht="12.75">
      <c r="A9504" s="8">
        <v>43900.610937500001</v>
      </c>
      <c r="B9504" s="8" t="str">
        <f>HYPERLINK("https://twitter.com/addinaf","@addinaf")</f>
        <v>@addinaf</v>
      </c>
      <c r="C9504" s="8" t="s">
        <v>1397</v>
      </c>
      <c r="D9504" s="8">
        <v>28</v>
      </c>
      <c r="E9504" s="8">
        <v>0</v>
      </c>
      <c r="F9504" s="8">
        <v>841</v>
      </c>
    </row>
    <row r="9505" spans="1:6" ht="12.75">
      <c r="A9505" s="8">
        <v>43900.610162037032</v>
      </c>
      <c r="B9505" s="8" t="str">
        <f>HYPERLINK("https://twitter.com/SitumeangLinda","@SitumeangLinda")</f>
        <v>@SitumeangLinda</v>
      </c>
      <c r="C9505" s="8" t="s">
        <v>2851</v>
      </c>
      <c r="D9505" s="8">
        <v>44</v>
      </c>
      <c r="E9505" s="8">
        <v>0</v>
      </c>
      <c r="F9505" s="8">
        <v>22</v>
      </c>
    </row>
    <row r="9506" spans="1:6" ht="12.75">
      <c r="A9506" s="8">
        <v>43900.609965277778</v>
      </c>
      <c r="B9506" s="8" t="str">
        <f>HYPERLINK("https://twitter.com/EiDadang","@EiDadang")</f>
        <v>@EiDadang</v>
      </c>
      <c r="C9506" s="8" t="s">
        <v>4290</v>
      </c>
      <c r="D9506" s="8">
        <v>22</v>
      </c>
      <c r="E9506" s="8">
        <v>0</v>
      </c>
      <c r="F9506" s="8">
        <v>4873</v>
      </c>
    </row>
    <row r="9507" spans="1:6" ht="12.75">
      <c r="A9507" s="8">
        <v>43900.609710648147</v>
      </c>
      <c r="B9507" s="8" t="str">
        <f>HYPERLINK("https://twitter.com/usroh2014","@usroh2014")</f>
        <v>@usroh2014</v>
      </c>
      <c r="C9507" s="8" t="s">
        <v>318</v>
      </c>
      <c r="D9507" s="8">
        <v>575</v>
      </c>
      <c r="E9507" s="8">
        <v>0</v>
      </c>
      <c r="F9507" s="8">
        <v>88</v>
      </c>
    </row>
    <row r="9508" spans="1:6" ht="12.75">
      <c r="A9508" s="8">
        <v>43900.609571759254</v>
      </c>
      <c r="B9508" s="8" t="str">
        <f>HYPERLINK("https://twitter.com/BramMaulana12","@BramMaulana12")</f>
        <v>@BramMaulana12</v>
      </c>
      <c r="C9508" s="8" t="s">
        <v>4291</v>
      </c>
      <c r="D9508" s="8">
        <v>0</v>
      </c>
      <c r="E9508" s="8">
        <v>0</v>
      </c>
      <c r="F9508" s="8">
        <v>17</v>
      </c>
    </row>
    <row r="9509" spans="1:6" ht="12.75">
      <c r="A9509" s="8">
        <v>43900.60936342593</v>
      </c>
      <c r="B9509" s="8" t="str">
        <f>HYPERLINK("https://twitter.com/Fianto94","@Fianto94")</f>
        <v>@Fianto94</v>
      </c>
      <c r="C9509" s="8" t="s">
        <v>318</v>
      </c>
      <c r="D9509" s="8">
        <v>575</v>
      </c>
      <c r="E9509" s="8">
        <v>0</v>
      </c>
      <c r="F9509" s="8">
        <v>1533</v>
      </c>
    </row>
    <row r="9510" spans="1:6" ht="12.75">
      <c r="A9510" s="8">
        <v>43900.609155092592</v>
      </c>
      <c r="B9510" s="8" t="str">
        <f>HYPERLINK("https://twitter.com/untungPWIRnekad","@untungPWIRnekad")</f>
        <v>@untungPWIRnekad</v>
      </c>
      <c r="C9510" s="8" t="s">
        <v>318</v>
      </c>
      <c r="D9510" s="8">
        <v>575</v>
      </c>
      <c r="E9510" s="8">
        <v>0</v>
      </c>
      <c r="F9510" s="8">
        <v>303</v>
      </c>
    </row>
    <row r="9511" spans="1:6" ht="12.75">
      <c r="A9511" s="8">
        <v>43900.609120370369</v>
      </c>
      <c r="B9511" s="8" t="str">
        <f>HYPERLINK("https://twitter.com/wni_jmsri","@wni_jmsri")</f>
        <v>@wni_jmsri</v>
      </c>
      <c r="C9511" s="8" t="s">
        <v>4292</v>
      </c>
      <c r="D9511" s="8">
        <v>205</v>
      </c>
      <c r="E9511" s="8">
        <v>0</v>
      </c>
      <c r="F9511" s="8">
        <v>204</v>
      </c>
    </row>
    <row r="9512" spans="1:6" ht="12.75">
      <c r="A9512" s="8">
        <v>43900.609050925923</v>
      </c>
      <c r="B9512" s="8" t="str">
        <f>HYPERLINK("https://twitter.com/kompascom","@kompascom")</f>
        <v>@kompascom</v>
      </c>
      <c r="C9512" s="8" t="s">
        <v>4293</v>
      </c>
      <c r="D9512" s="8">
        <v>2</v>
      </c>
      <c r="E9512" s="8">
        <v>17</v>
      </c>
      <c r="F9512" s="8">
        <v>7538794</v>
      </c>
    </row>
    <row r="9513" spans="1:6" ht="12.75">
      <c r="A9513" s="8">
        <v>43900.608969907407</v>
      </c>
      <c r="B9513" s="8" t="str">
        <f>HYPERLINK("https://twitter.com/CeciliaBintang","@CeciliaBintang")</f>
        <v>@CeciliaBintang</v>
      </c>
      <c r="C9513" s="8" t="s">
        <v>4294</v>
      </c>
      <c r="D9513" s="8">
        <v>0</v>
      </c>
      <c r="E9513" s="8">
        <v>0</v>
      </c>
      <c r="F9513" s="8">
        <v>4</v>
      </c>
    </row>
    <row r="9514" spans="1:6" ht="12.75">
      <c r="A9514" s="8">
        <v>43900.608865740738</v>
      </c>
      <c r="B9514" s="8" t="str">
        <f>HYPERLINK("https://twitter.com/sekuteki","@sekuteki")</f>
        <v>@sekuteki</v>
      </c>
      <c r="C9514" s="8" t="s">
        <v>318</v>
      </c>
      <c r="D9514" s="8">
        <v>575</v>
      </c>
      <c r="E9514" s="8">
        <v>0</v>
      </c>
      <c r="F9514" s="8">
        <v>8</v>
      </c>
    </row>
    <row r="9515" spans="1:6" ht="12.75">
      <c r="A9515" s="8">
        <v>43900.608437499999</v>
      </c>
      <c r="B9515" s="8" t="str">
        <f>HYPERLINK("https://twitter.com/susanlily119","@susanlily119")</f>
        <v>@susanlily119</v>
      </c>
      <c r="C9515" s="8" t="s">
        <v>4295</v>
      </c>
      <c r="D9515" s="8">
        <v>0</v>
      </c>
      <c r="E9515" s="8">
        <v>0</v>
      </c>
      <c r="F9515" s="8">
        <v>16</v>
      </c>
    </row>
    <row r="9516" spans="1:6" ht="12.75">
      <c r="A9516" s="8">
        <v>43900.608356481476</v>
      </c>
      <c r="B9516" s="8" t="str">
        <f>HYPERLINK("https://twitter.com/AlberaD5","@AlberaD5")</f>
        <v>@AlberaD5</v>
      </c>
      <c r="C9516" s="8" t="s">
        <v>3969</v>
      </c>
      <c r="D9516" s="8">
        <v>58</v>
      </c>
      <c r="E9516" s="8">
        <v>0</v>
      </c>
      <c r="F9516" s="8">
        <v>1840</v>
      </c>
    </row>
    <row r="9517" spans="1:6" ht="12.75">
      <c r="A9517" s="8">
        <v>43900.608344907407</v>
      </c>
      <c r="B9517" s="8" t="str">
        <f>HYPERLINK("https://twitter.com/Katrina__SO9","@Katrina__SO9")</f>
        <v>@Katrina__SO9</v>
      </c>
      <c r="C9517" s="8" t="s">
        <v>4270</v>
      </c>
      <c r="D9517" s="8">
        <v>12</v>
      </c>
      <c r="E9517" s="8">
        <v>0</v>
      </c>
      <c r="F9517" s="8">
        <v>3501</v>
      </c>
    </row>
    <row r="9518" spans="1:6" ht="12.75">
      <c r="A9518" s="8">
        <v>43900.608159722222</v>
      </c>
      <c r="B9518" s="8" t="str">
        <f>HYPERLINK("https://twitter.com/Muhmed17419307","@Muhmed17419307")</f>
        <v>@Muhmed17419307</v>
      </c>
      <c r="C9518" s="8" t="s">
        <v>318</v>
      </c>
      <c r="D9518" s="8">
        <v>575</v>
      </c>
      <c r="E9518" s="8">
        <v>0</v>
      </c>
      <c r="F9518" s="8">
        <v>195</v>
      </c>
    </row>
    <row r="9519" spans="1:6" ht="12.75">
      <c r="A9519" s="8">
        <v>43900.608101851853</v>
      </c>
      <c r="B9519" s="8" t="str">
        <f>HYPERLINK("https://twitter.com/skyincolour","@skyincolour")</f>
        <v>@skyincolour</v>
      </c>
      <c r="C9519" s="8" t="s">
        <v>4296</v>
      </c>
      <c r="D9519" s="8">
        <v>2</v>
      </c>
      <c r="E9519" s="8">
        <v>0</v>
      </c>
      <c r="F9519" s="8">
        <v>147</v>
      </c>
    </row>
    <row r="9520" spans="1:6" ht="12.75">
      <c r="A9520" s="8">
        <v>43900.607488425929</v>
      </c>
      <c r="B9520" s="8" t="str">
        <f>HYPERLINK("https://twitter.com/Santri_Gay3ng","@Santri_Gay3ng")</f>
        <v>@Santri_Gay3ng</v>
      </c>
      <c r="C9520" s="8" t="s">
        <v>4270</v>
      </c>
      <c r="D9520" s="8">
        <v>12</v>
      </c>
      <c r="E9520" s="8">
        <v>0</v>
      </c>
      <c r="F9520" s="8">
        <v>460</v>
      </c>
    </row>
    <row r="9521" spans="1:6" ht="12.75">
      <c r="A9521" s="8">
        <v>43900.607268518521</v>
      </c>
      <c r="B9521" s="8" t="str">
        <f>HYPERLINK("https://twitter.com/MariaEmmanuelle","@MariaEmmanuelle")</f>
        <v>@MariaEmmanuelle</v>
      </c>
      <c r="C9521" s="8" t="s">
        <v>3969</v>
      </c>
      <c r="D9521" s="8">
        <v>58</v>
      </c>
      <c r="E9521" s="8">
        <v>0</v>
      </c>
      <c r="F9521" s="8">
        <v>670</v>
      </c>
    </row>
    <row r="9522" spans="1:6" ht="12.75">
      <c r="A9522" s="8">
        <v>43900.607025462959</v>
      </c>
      <c r="B9522" s="8" t="str">
        <f>HYPERLINK("https://twitter.com/Ndlosoor","@Ndlosoor")</f>
        <v>@Ndlosoor</v>
      </c>
      <c r="C9522" s="8" t="s">
        <v>4297</v>
      </c>
      <c r="D9522" s="8">
        <v>0</v>
      </c>
      <c r="E9522" s="8">
        <v>0</v>
      </c>
      <c r="F9522" s="8">
        <v>18</v>
      </c>
    </row>
    <row r="9523" spans="1:6" ht="12.75">
      <c r="A9523" s="8">
        <v>43900.606585648144</v>
      </c>
      <c r="B9523" s="8" t="str">
        <f>HYPERLINK("https://twitter.com/rsafari77","@rsafari77")</f>
        <v>@rsafari77</v>
      </c>
      <c r="C9523" s="8" t="s">
        <v>318</v>
      </c>
      <c r="D9523" s="8">
        <v>575</v>
      </c>
      <c r="E9523" s="8">
        <v>0</v>
      </c>
      <c r="F9523" s="8">
        <v>336</v>
      </c>
    </row>
    <row r="9524" spans="1:6" ht="12.75">
      <c r="A9524" s="8">
        <v>43900.606400462959</v>
      </c>
      <c r="B9524" s="8" t="str">
        <f>HYPERLINK("https://twitter.com/AyuuuLindaaa","@AyuuuLindaaa")</f>
        <v>@AyuuuLindaaa</v>
      </c>
      <c r="C9524" s="8" t="s">
        <v>2851</v>
      </c>
      <c r="D9524" s="8">
        <v>44</v>
      </c>
      <c r="E9524" s="8">
        <v>0</v>
      </c>
      <c r="F9524" s="8">
        <v>23</v>
      </c>
    </row>
    <row r="9525" spans="1:6" ht="12.75">
      <c r="A9525" s="8">
        <v>43900.606342592597</v>
      </c>
      <c r="B9525" s="8" t="str">
        <f>HYPERLINK("https://twitter.com/ThyaniPutri","@ThyaniPutri")</f>
        <v>@ThyaniPutri</v>
      </c>
      <c r="C9525" s="8" t="s">
        <v>2851</v>
      </c>
      <c r="D9525" s="8">
        <v>44</v>
      </c>
      <c r="E9525" s="8">
        <v>0</v>
      </c>
      <c r="F9525" s="8">
        <v>228</v>
      </c>
    </row>
    <row r="9526" spans="1:6" ht="12.75">
      <c r="A9526" s="8">
        <v>43900.589826388888</v>
      </c>
      <c r="B9526" s="8" t="str">
        <f>HYPERLINK("https://twitter.com/__Ndaru__","@__Ndaru__")</f>
        <v>@__Ndaru__</v>
      </c>
      <c r="C9526" s="8" t="s">
        <v>4298</v>
      </c>
      <c r="D9526" s="8">
        <v>0</v>
      </c>
      <c r="E9526" s="8">
        <v>0</v>
      </c>
      <c r="F9526" s="8">
        <v>353</v>
      </c>
    </row>
    <row r="9527" spans="1:6" ht="12.75">
      <c r="A9527" s="8">
        <v>43900.589131944449</v>
      </c>
      <c r="B9527" s="8" t="str">
        <f>HYPERLINK("https://twitter.com/Katrina__SO9","@Katrina__SO9")</f>
        <v>@Katrina__SO9</v>
      </c>
      <c r="C9527" s="8" t="s">
        <v>4299</v>
      </c>
      <c r="D9527" s="8">
        <v>1</v>
      </c>
      <c r="E9527" s="8">
        <v>1</v>
      </c>
      <c r="F9527" s="8">
        <v>3501</v>
      </c>
    </row>
    <row r="9528" spans="1:6" ht="12.75">
      <c r="A9528" s="8">
        <v>43900.588587962964</v>
      </c>
      <c r="B9528" s="8" t="str">
        <f>HYPERLINK("https://twitter.com/antaz345","@antaz345")</f>
        <v>@antaz345</v>
      </c>
      <c r="C9528" s="8" t="s">
        <v>1186</v>
      </c>
      <c r="D9528" s="8">
        <v>14</v>
      </c>
      <c r="E9528" s="8">
        <v>0</v>
      </c>
      <c r="F9528" s="8">
        <v>2528</v>
      </c>
    </row>
    <row r="9529" spans="1:6" ht="12.75">
      <c r="A9529" s="8">
        <v>43900.588310185187</v>
      </c>
      <c r="B9529" s="8" t="str">
        <f>HYPERLINK("https://twitter.com/Bahaudinastari1","@Bahaudinastari1")</f>
        <v>@Bahaudinastari1</v>
      </c>
      <c r="C9529" s="8" t="s">
        <v>318</v>
      </c>
      <c r="D9529" s="8">
        <v>513</v>
      </c>
      <c r="E9529" s="8">
        <v>0</v>
      </c>
      <c r="F9529" s="8">
        <v>240</v>
      </c>
    </row>
    <row r="9530" spans="1:6" ht="12.75">
      <c r="A9530" s="8">
        <v>43900.58798611111</v>
      </c>
      <c r="B9530" s="8" t="str">
        <f>HYPERLINK("https://twitter.com/tuqul","@tuqul")</f>
        <v>@tuqul</v>
      </c>
      <c r="C9530" s="8" t="s">
        <v>4300</v>
      </c>
      <c r="D9530" s="8">
        <v>1</v>
      </c>
      <c r="E9530" s="8">
        <v>0</v>
      </c>
      <c r="F9530" s="8">
        <v>269</v>
      </c>
    </row>
    <row r="9531" spans="1:6" ht="12.75">
      <c r="A9531" s="8">
        <v>43900.587824074071</v>
      </c>
      <c r="B9531" s="8" t="str">
        <f>HYPERLINK("https://twitter.com/gupta_tanmaya","@gupta_tanmaya")</f>
        <v>@gupta_tanmaya</v>
      </c>
      <c r="C9531" s="8" t="s">
        <v>4301</v>
      </c>
      <c r="D9531" s="8">
        <v>0</v>
      </c>
      <c r="E9531" s="8">
        <v>0</v>
      </c>
      <c r="F9531" s="8">
        <v>3</v>
      </c>
    </row>
    <row r="9532" spans="1:6" ht="12.75">
      <c r="A9532" s="8">
        <v>43900.587581018517</v>
      </c>
      <c r="B9532" s="8" t="str">
        <f>HYPERLINK("https://twitter.com/JanggutMbah","@JanggutMbah")</f>
        <v>@JanggutMbah</v>
      </c>
      <c r="C9532" s="8" t="s">
        <v>2851</v>
      </c>
      <c r="D9532" s="8">
        <v>32</v>
      </c>
      <c r="E9532" s="8">
        <v>0</v>
      </c>
      <c r="F9532" s="8">
        <v>2407</v>
      </c>
    </row>
    <row r="9533" spans="1:6" ht="12.75">
      <c r="A9533" s="8">
        <v>43900.587557870371</v>
      </c>
      <c r="B9533" s="8" t="str">
        <f>HYPERLINK("https://twitter.com/ChodetBang","@ChodetBang")</f>
        <v>@ChodetBang</v>
      </c>
      <c r="C9533" s="8" t="s">
        <v>318</v>
      </c>
      <c r="D9533" s="8">
        <v>513</v>
      </c>
      <c r="E9533" s="8">
        <v>0</v>
      </c>
      <c r="F9533" s="8">
        <v>63</v>
      </c>
    </row>
    <row r="9534" spans="1:6" ht="12.75">
      <c r="A9534" s="8">
        <v>43900.587534722217</v>
      </c>
      <c r="B9534" s="8" t="str">
        <f>HYPERLINK("https://twitter.com/ManusiaIkanDeni","@ManusiaIkanDeni")</f>
        <v>@ManusiaIkanDeni</v>
      </c>
      <c r="C9534" s="8" t="s">
        <v>318</v>
      </c>
      <c r="D9534" s="8">
        <v>513</v>
      </c>
      <c r="E9534" s="8">
        <v>0</v>
      </c>
      <c r="F9534" s="8">
        <v>550</v>
      </c>
    </row>
    <row r="9535" spans="1:6" ht="12.75">
      <c r="A9535" s="8">
        <v>43900.587500000001</v>
      </c>
      <c r="B9535" s="8" t="str">
        <f>HYPERLINK("https://twitter.com/Hex_Black_Jhex","@Hex_Black_Jhex")</f>
        <v>@Hex_Black_Jhex</v>
      </c>
      <c r="C9535" s="8" t="s">
        <v>318</v>
      </c>
      <c r="D9535" s="8">
        <v>513</v>
      </c>
      <c r="E9535" s="8">
        <v>0</v>
      </c>
      <c r="F9535" s="8">
        <v>1800</v>
      </c>
    </row>
    <row r="9536" spans="1:6" ht="12.75">
      <c r="A9536" s="8">
        <v>43900.587187500001</v>
      </c>
      <c r="B9536" s="8" t="str">
        <f t="shared" ref="B9536:B9538" si="156">HYPERLINK("https://twitter.com/TopToross","@TopToross")</f>
        <v>@TopToross</v>
      </c>
      <c r="C9536" s="8" t="s">
        <v>4302</v>
      </c>
      <c r="D9536" s="8">
        <v>3</v>
      </c>
      <c r="E9536" s="8">
        <v>0</v>
      </c>
      <c r="F9536" s="8">
        <v>3298</v>
      </c>
    </row>
    <row r="9537" spans="1:6" ht="12.75">
      <c r="A9537" s="8">
        <v>43900.587152777778</v>
      </c>
      <c r="B9537" s="8" t="str">
        <f t="shared" si="156"/>
        <v>@TopToross</v>
      </c>
      <c r="C9537" s="8" t="s">
        <v>4303</v>
      </c>
      <c r="D9537" s="8">
        <v>2</v>
      </c>
      <c r="E9537" s="8">
        <v>0</v>
      </c>
      <c r="F9537" s="8">
        <v>3298</v>
      </c>
    </row>
    <row r="9538" spans="1:6" ht="12.75">
      <c r="A9538" s="8">
        <v>43900.587094907409</v>
      </c>
      <c r="B9538" s="8" t="str">
        <f t="shared" si="156"/>
        <v>@TopToross</v>
      </c>
      <c r="C9538" s="8" t="s">
        <v>4304</v>
      </c>
      <c r="D9538" s="8">
        <v>2</v>
      </c>
      <c r="E9538" s="8">
        <v>0</v>
      </c>
      <c r="F9538" s="8">
        <v>3298</v>
      </c>
    </row>
    <row r="9539" spans="1:6" ht="12.75">
      <c r="A9539" s="8">
        <v>43900.58699074074</v>
      </c>
      <c r="B9539" s="8" t="str">
        <f>HYPERLINK("https://twitter.com/patihq_patria","@patihq_patria")</f>
        <v>@patihq_patria</v>
      </c>
      <c r="C9539" s="8" t="s">
        <v>4305</v>
      </c>
      <c r="D9539" s="8">
        <v>0</v>
      </c>
      <c r="E9539" s="8">
        <v>0</v>
      </c>
      <c r="F9539" s="8">
        <v>3319</v>
      </c>
    </row>
    <row r="9540" spans="1:6" ht="12.75">
      <c r="A9540" s="8">
        <v>43900.586689814816</v>
      </c>
      <c r="B9540" s="8" t="str">
        <f>HYPERLINK("https://twitter.com/fixus_id","@fixus_id")</f>
        <v>@fixus_id</v>
      </c>
      <c r="C9540" s="8" t="s">
        <v>4306</v>
      </c>
      <c r="D9540" s="8">
        <v>0</v>
      </c>
      <c r="E9540" s="8">
        <v>0</v>
      </c>
      <c r="F9540" s="8">
        <v>449</v>
      </c>
    </row>
    <row r="9541" spans="1:6" ht="12.75">
      <c r="A9541" s="8">
        <v>43900.586099537039</v>
      </c>
      <c r="B9541" s="8" t="str">
        <f>HYPERLINK("https://twitter.com/Jess_moker","@Jess_moker")</f>
        <v>@Jess_moker</v>
      </c>
      <c r="C9541" s="8" t="s">
        <v>318</v>
      </c>
      <c r="D9541" s="8">
        <v>513</v>
      </c>
      <c r="E9541" s="8">
        <v>0</v>
      </c>
      <c r="F9541" s="8">
        <v>60</v>
      </c>
    </row>
    <row r="9542" spans="1:6" ht="12.75">
      <c r="A9542" s="8">
        <v>43900.585682870369</v>
      </c>
      <c r="B9542" s="8" t="str">
        <f>HYPERLINK("https://twitter.com/bayoep","@bayoep")</f>
        <v>@bayoep</v>
      </c>
      <c r="C9542" s="8" t="s">
        <v>318</v>
      </c>
      <c r="D9542" s="8">
        <v>513</v>
      </c>
      <c r="E9542" s="8">
        <v>0</v>
      </c>
      <c r="F9542" s="8">
        <v>839</v>
      </c>
    </row>
    <row r="9543" spans="1:6" ht="12.75">
      <c r="A9543" s="8">
        <v>43900.585335648153</v>
      </c>
      <c r="B9543" s="8" t="str">
        <f>HYPERLINK("https://twitter.com/FannyFaradilla5","@FannyFaradilla5")</f>
        <v>@FannyFaradilla5</v>
      </c>
      <c r="C9543" s="8" t="s">
        <v>4307</v>
      </c>
      <c r="D9543" s="8">
        <v>0</v>
      </c>
      <c r="E9543" s="8">
        <v>0</v>
      </c>
      <c r="F9543" s="8">
        <v>12</v>
      </c>
    </row>
    <row r="9544" spans="1:6" ht="12.75">
      <c r="A9544" s="8">
        <v>43900.585046296299</v>
      </c>
      <c r="B9544" s="8" t="str">
        <f>HYPERLINK("https://twitter.com/nove_rico","@nove_rico")</f>
        <v>@nove_rico</v>
      </c>
      <c r="C9544" s="8" t="s">
        <v>4308</v>
      </c>
      <c r="D9544" s="8">
        <v>0</v>
      </c>
      <c r="E9544" s="8">
        <v>1</v>
      </c>
      <c r="F9544" s="8">
        <v>317</v>
      </c>
    </row>
    <row r="9545" spans="1:6" ht="12.75">
      <c r="A9545" s="8">
        <v>43900.584918981476</v>
      </c>
      <c r="B9545" s="8" t="str">
        <f>HYPERLINK("https://twitter.com/JadoelMpik","@JadoelMpik")</f>
        <v>@JadoelMpik</v>
      </c>
      <c r="C9545" s="8" t="s">
        <v>3545</v>
      </c>
      <c r="D9545" s="8">
        <v>8</v>
      </c>
      <c r="E9545" s="8">
        <v>0</v>
      </c>
      <c r="F9545" s="8">
        <v>2930</v>
      </c>
    </row>
    <row r="9546" spans="1:6" ht="12.75">
      <c r="A9546" s="8">
        <v>43900.584780092591</v>
      </c>
      <c r="B9546" s="8" t="str">
        <f>HYPERLINK("https://twitter.com/Dade88020008","@Dade88020008")</f>
        <v>@Dade88020008</v>
      </c>
      <c r="C9546" s="8" t="s">
        <v>3190</v>
      </c>
      <c r="D9546" s="8">
        <v>67</v>
      </c>
      <c r="E9546" s="8">
        <v>0</v>
      </c>
      <c r="F9546" s="8">
        <v>25</v>
      </c>
    </row>
    <row r="9547" spans="1:6" ht="12.75">
      <c r="A9547" s="8">
        <v>43900.584097222221</v>
      </c>
      <c r="B9547" s="8" t="str">
        <f>HYPERLINK("https://twitter.com/geloraco","@geloraco")</f>
        <v>@geloraco</v>
      </c>
      <c r="C9547" s="8" t="s">
        <v>4121</v>
      </c>
      <c r="D9547" s="8">
        <v>0</v>
      </c>
      <c r="E9547" s="8">
        <v>1</v>
      </c>
      <c r="F9547" s="8">
        <v>105721</v>
      </c>
    </row>
    <row r="9548" spans="1:6" ht="12.75">
      <c r="A9548" s="8">
        <v>43900.58384259259</v>
      </c>
      <c r="B9548" s="8" t="str">
        <f>HYPERLINK("https://twitter.com/ms_sitindjak","@ms_sitindjak")</f>
        <v>@ms_sitindjak</v>
      </c>
      <c r="C9548" s="8" t="s">
        <v>2199</v>
      </c>
      <c r="D9548" s="8">
        <v>9109</v>
      </c>
      <c r="E9548" s="8">
        <v>0</v>
      </c>
      <c r="F9548" s="8">
        <v>3804</v>
      </c>
    </row>
    <row r="9549" spans="1:6" ht="12.75">
      <c r="A9549" s="8">
        <v>43900.583831018521</v>
      </c>
      <c r="B9549" s="8" t="str">
        <f>HYPERLINK("https://twitter.com/IwanTrk11","@IwanTrk11")</f>
        <v>@IwanTrk11</v>
      </c>
      <c r="C9549" s="8" t="s">
        <v>4309</v>
      </c>
      <c r="D9549" s="8">
        <v>0</v>
      </c>
      <c r="E9549" s="8">
        <v>0</v>
      </c>
      <c r="F9549" s="8">
        <v>4</v>
      </c>
    </row>
    <row r="9550" spans="1:6" ht="12.75">
      <c r="A9550" s="8">
        <v>43900.583645833336</v>
      </c>
      <c r="B9550" s="8" t="str">
        <f>HYPERLINK("https://twitter.com/QueenaHareemAby","@QueenaHareemAby")</f>
        <v>@QueenaHareemAby</v>
      </c>
      <c r="C9550" s="8" t="s">
        <v>318</v>
      </c>
      <c r="D9550" s="8">
        <v>513</v>
      </c>
      <c r="E9550" s="8">
        <v>0</v>
      </c>
      <c r="F9550" s="8">
        <v>1354</v>
      </c>
    </row>
    <row r="9551" spans="1:6" ht="12.75">
      <c r="A9551" s="8">
        <v>43900.583275462966</v>
      </c>
      <c r="B9551" s="8" t="str">
        <f>HYPERLINK("https://twitter.com/M4DI8","@M4DI8")</f>
        <v>@M4DI8</v>
      </c>
      <c r="C9551" s="8" t="s">
        <v>318</v>
      </c>
      <c r="D9551" s="8">
        <v>513</v>
      </c>
      <c r="E9551" s="8">
        <v>0</v>
      </c>
      <c r="F9551" s="8">
        <v>445</v>
      </c>
    </row>
    <row r="9552" spans="1:6" ht="12.75">
      <c r="A9552" s="8">
        <v>43900.583125000005</v>
      </c>
      <c r="B9552" s="8" t="str">
        <f>HYPERLINK("https://twitter.com/sahaya1234","@sahaya1234")</f>
        <v>@sahaya1234</v>
      </c>
      <c r="C9552" s="8" t="s">
        <v>318</v>
      </c>
      <c r="D9552" s="8">
        <v>513</v>
      </c>
      <c r="E9552" s="8">
        <v>0</v>
      </c>
      <c r="F9552" s="8">
        <v>861</v>
      </c>
    </row>
    <row r="9553" spans="1:6" ht="12.75">
      <c r="A9553" s="8">
        <v>43900.582905092597</v>
      </c>
      <c r="B9553" s="8" t="str">
        <f>HYPERLINK("https://twitter.com/JoePhiyo","@JoePhiyo")</f>
        <v>@JoePhiyo</v>
      </c>
      <c r="C9553" s="8" t="s">
        <v>318</v>
      </c>
      <c r="D9553" s="8">
        <v>513</v>
      </c>
      <c r="E9553" s="8">
        <v>0</v>
      </c>
      <c r="F9553" s="8">
        <v>2299</v>
      </c>
    </row>
    <row r="9554" spans="1:6" ht="12.75">
      <c r="A9554" s="8">
        <v>43900.582754629635</v>
      </c>
      <c r="B9554" s="8" t="str">
        <f>HYPERLINK("https://twitter.com/DiasporaXxi","@DiasporaXxi")</f>
        <v>@DiasporaXxi</v>
      </c>
      <c r="C9554" s="8" t="s">
        <v>4310</v>
      </c>
      <c r="D9554" s="8">
        <v>0</v>
      </c>
      <c r="E9554" s="8">
        <v>0</v>
      </c>
      <c r="F9554" s="8">
        <v>51</v>
      </c>
    </row>
    <row r="9555" spans="1:6" ht="12.75">
      <c r="A9555" s="8">
        <v>43900.582094907411</v>
      </c>
      <c r="B9555" s="8" t="str">
        <f>HYPERLINK("https://twitter.com/mahandas7","@mahandas7")</f>
        <v>@mahandas7</v>
      </c>
      <c r="C9555" s="8" t="s">
        <v>1957</v>
      </c>
      <c r="D9555" s="8">
        <v>1475</v>
      </c>
      <c r="E9555" s="8">
        <v>0</v>
      </c>
      <c r="F9555" s="8">
        <v>27</v>
      </c>
    </row>
    <row r="9556" spans="1:6" ht="12.75">
      <c r="A9556" s="8">
        <v>43900.582094907411</v>
      </c>
      <c r="B9556" s="8" t="str">
        <f>HYPERLINK("https://twitter.com/dewantara_adjie","@dewantara_adjie")</f>
        <v>@dewantara_adjie</v>
      </c>
      <c r="C9556" s="8" t="s">
        <v>4276</v>
      </c>
      <c r="D9556" s="8">
        <v>4</v>
      </c>
      <c r="E9556" s="8">
        <v>0</v>
      </c>
      <c r="F9556" s="8">
        <v>4805</v>
      </c>
    </row>
    <row r="9557" spans="1:6" ht="12.75">
      <c r="A9557" s="8">
        <v>43900.58184027778</v>
      </c>
      <c r="B9557" s="8" t="str">
        <f t="shared" ref="B9557:B9558" si="157">HYPERLINK("https://twitter.com/IrfanID","@IrfanID")</f>
        <v>@IrfanID</v>
      </c>
      <c r="C9557" s="8" t="s">
        <v>295</v>
      </c>
      <c r="D9557" s="8">
        <v>62</v>
      </c>
      <c r="E9557" s="8">
        <v>0</v>
      </c>
      <c r="F9557" s="8">
        <v>269</v>
      </c>
    </row>
    <row r="9558" spans="1:6" ht="12.75">
      <c r="A9558" s="8">
        <v>43900.581817129627</v>
      </c>
      <c r="B9558" s="8" t="str">
        <f t="shared" si="157"/>
        <v>@IrfanID</v>
      </c>
      <c r="C9558" s="8" t="s">
        <v>2432</v>
      </c>
      <c r="D9558" s="8">
        <v>40</v>
      </c>
      <c r="E9558" s="8">
        <v>0</v>
      </c>
      <c r="F9558" s="8">
        <v>269</v>
      </c>
    </row>
    <row r="9559" spans="1:6" ht="12.75">
      <c r="A9559" s="8">
        <v>43900.581759259258</v>
      </c>
      <c r="B9559" s="8" t="str">
        <f>HYPERLINK("https://twitter.com/akta_ID","@akta_ID")</f>
        <v>@akta_ID</v>
      </c>
      <c r="C9559" s="8" t="s">
        <v>318</v>
      </c>
      <c r="D9559" s="8">
        <v>513</v>
      </c>
      <c r="E9559" s="8">
        <v>0</v>
      </c>
      <c r="F9559" s="8">
        <v>3950</v>
      </c>
    </row>
    <row r="9560" spans="1:6" ht="12.75">
      <c r="A9560" s="8">
        <v>43900.580625000002</v>
      </c>
      <c r="B9560" s="8" t="str">
        <f>HYPERLINK("https://twitter.com/anwmks","@anwmks")</f>
        <v>@anwmks</v>
      </c>
      <c r="C9560" s="8" t="s">
        <v>318</v>
      </c>
      <c r="D9560" s="8">
        <v>513</v>
      </c>
      <c r="E9560" s="8">
        <v>0</v>
      </c>
      <c r="F9560" s="8">
        <v>14</v>
      </c>
    </row>
    <row r="9561" spans="1:6" ht="12.75">
      <c r="A9561" s="8">
        <v>43900.580590277779</v>
      </c>
      <c r="B9561" s="8" t="str">
        <f>HYPERLINK("https://twitter.com/KBRI_Athena","@KBRI_Athena")</f>
        <v>@KBRI_Athena</v>
      </c>
      <c r="C9561" s="8" t="s">
        <v>4311</v>
      </c>
      <c r="D9561" s="8">
        <v>0</v>
      </c>
      <c r="E9561" s="8">
        <v>1</v>
      </c>
      <c r="F9561" s="8">
        <v>1244</v>
      </c>
    </row>
    <row r="9562" spans="1:6" ht="12.75">
      <c r="A9562" s="8">
        <v>43900.579988425925</v>
      </c>
      <c r="B9562" s="8" t="str">
        <f>HYPERLINK("https://twitter.com/doelsss_","@doelsss_")</f>
        <v>@doelsss_</v>
      </c>
      <c r="C9562" s="8" t="s">
        <v>318</v>
      </c>
      <c r="D9562" s="8">
        <v>513</v>
      </c>
      <c r="E9562" s="8">
        <v>0</v>
      </c>
      <c r="F9562" s="8">
        <v>355</v>
      </c>
    </row>
    <row r="9563" spans="1:6" ht="12.75">
      <c r="A9563" s="8">
        <v>43900.579884259263</v>
      </c>
      <c r="B9563" s="8" t="str">
        <f>HYPERLINK("https://twitter.com/itsmaifault","@itsmaifault")</f>
        <v>@itsmaifault</v>
      </c>
      <c r="C9563" s="8" t="s">
        <v>4312</v>
      </c>
      <c r="D9563" s="8">
        <v>0</v>
      </c>
      <c r="E9563" s="8">
        <v>0</v>
      </c>
      <c r="F9563" s="8">
        <v>27</v>
      </c>
    </row>
    <row r="9564" spans="1:6" ht="12.75">
      <c r="A9564" s="8">
        <v>43900.579317129625</v>
      </c>
      <c r="B9564" s="8" t="str">
        <f>HYPERLINK("https://twitter.com/Katozef","@Katozef")</f>
        <v>@Katozef</v>
      </c>
      <c r="C9564" s="8" t="s">
        <v>318</v>
      </c>
      <c r="D9564" s="8">
        <v>513</v>
      </c>
      <c r="E9564" s="8">
        <v>0</v>
      </c>
      <c r="F9564" s="8">
        <v>1</v>
      </c>
    </row>
    <row r="9565" spans="1:6" ht="12.75">
      <c r="A9565" s="8">
        <v>43900.57917824074</v>
      </c>
      <c r="B9565" s="8" t="str">
        <f>HYPERLINK("https://twitter.com/Raj_Bhardwaj17","@Raj_Bhardwaj17")</f>
        <v>@Raj_Bhardwaj17</v>
      </c>
      <c r="C9565" s="8" t="s">
        <v>1957</v>
      </c>
      <c r="D9565" s="8">
        <v>1475</v>
      </c>
      <c r="E9565" s="8">
        <v>0</v>
      </c>
      <c r="F9565" s="8">
        <v>191</v>
      </c>
    </row>
    <row r="9566" spans="1:6" ht="12.75">
      <c r="A9566" s="8">
        <v>43900.579097222224</v>
      </c>
      <c r="B9566" s="8" t="str">
        <f>HYPERLINK("https://twitter.com/kekekapriana","@kekekapriana")</f>
        <v>@kekekapriana</v>
      </c>
      <c r="C9566" s="8" t="s">
        <v>4313</v>
      </c>
      <c r="D9566" s="8">
        <v>0</v>
      </c>
      <c r="E9566" s="8">
        <v>0</v>
      </c>
      <c r="F9566" s="8">
        <v>1601</v>
      </c>
    </row>
    <row r="9567" spans="1:6" ht="12.75">
      <c r="A9567" s="8">
        <v>43900.578993055555</v>
      </c>
      <c r="B9567" s="8" t="str">
        <f>HYPERLINK("https://twitter.com/dido_myname","@dido_myname")</f>
        <v>@dido_myname</v>
      </c>
      <c r="C9567" s="8" t="s">
        <v>318</v>
      </c>
      <c r="D9567" s="8">
        <v>513</v>
      </c>
      <c r="E9567" s="8">
        <v>0</v>
      </c>
      <c r="F9567" s="8">
        <v>300</v>
      </c>
    </row>
    <row r="9568" spans="1:6" ht="12.75">
      <c r="A9568" s="8">
        <v>43900.578692129631</v>
      </c>
      <c r="B9568" s="8" t="str">
        <f>HYPERLINK("https://twitter.com/IwanSap70381661","@IwanSap70381661")</f>
        <v>@IwanSap70381661</v>
      </c>
      <c r="C9568" s="8" t="s">
        <v>318</v>
      </c>
      <c r="D9568" s="8">
        <v>513</v>
      </c>
      <c r="E9568" s="8">
        <v>0</v>
      </c>
      <c r="F9568" s="8">
        <v>1591</v>
      </c>
    </row>
    <row r="9569" spans="1:6" ht="12.75">
      <c r="A9569" s="8">
        <v>43900.578645833331</v>
      </c>
      <c r="B9569" s="8" t="str">
        <f>HYPERLINK("https://twitter.com/adekoedin","@adekoedin")</f>
        <v>@adekoedin</v>
      </c>
      <c r="C9569" s="8" t="s">
        <v>4314</v>
      </c>
      <c r="D9569" s="8">
        <v>0</v>
      </c>
      <c r="E9569" s="8">
        <v>0</v>
      </c>
      <c r="F9569" s="8">
        <v>671</v>
      </c>
    </row>
    <row r="9570" spans="1:6" ht="12.75">
      <c r="A9570" s="8">
        <v>43900.57849537037</v>
      </c>
      <c r="B9570" s="8" t="str">
        <f>HYPERLINK("https://twitter.com/sentralbatam","@sentralbatam")</f>
        <v>@sentralbatam</v>
      </c>
      <c r="C9570" s="8" t="s">
        <v>4315</v>
      </c>
      <c r="D9570" s="8">
        <v>0</v>
      </c>
      <c r="E9570" s="8">
        <v>0</v>
      </c>
      <c r="F9570" s="8">
        <v>106</v>
      </c>
    </row>
    <row r="9571" spans="1:6" ht="12.75">
      <c r="A9571" s="8">
        <v>43900.578402777777</v>
      </c>
      <c r="B9571" s="8" t="str">
        <f>HYPERLINK("https://twitter.com/ziqraalridho","@ziqraalridho")</f>
        <v>@ziqraalridho</v>
      </c>
      <c r="C9571" s="8" t="s">
        <v>318</v>
      </c>
      <c r="D9571" s="8">
        <v>513</v>
      </c>
      <c r="E9571" s="8">
        <v>0</v>
      </c>
      <c r="F9571" s="8">
        <v>1291</v>
      </c>
    </row>
    <row r="9572" spans="1:6" ht="12.75">
      <c r="A9572" s="8">
        <v>43900.578171296293</v>
      </c>
      <c r="B9572" s="8" t="str">
        <f>HYPERLINK("https://twitter.com/arif_maslah","@arif_maslah")</f>
        <v>@arif_maslah</v>
      </c>
      <c r="C9572" s="8" t="s">
        <v>3190</v>
      </c>
      <c r="D9572" s="8">
        <v>67</v>
      </c>
      <c r="E9572" s="8">
        <v>0</v>
      </c>
      <c r="F9572" s="8">
        <v>102</v>
      </c>
    </row>
    <row r="9573" spans="1:6" ht="12.75">
      <c r="A9573" s="8">
        <v>43900.578020833331</v>
      </c>
      <c r="B9573" s="8" t="str">
        <f>HYPERLINK("https://twitter.com/KJRIPENANG","@KJRIPENANG")</f>
        <v>@KJRIPENANG</v>
      </c>
      <c r="C9573" s="8" t="s">
        <v>2851</v>
      </c>
      <c r="D9573" s="8">
        <v>32</v>
      </c>
      <c r="E9573" s="8">
        <v>0</v>
      </c>
      <c r="F9573" s="8">
        <v>510</v>
      </c>
    </row>
    <row r="9574" spans="1:6" ht="12.75">
      <c r="A9574" s="8">
        <v>43900.577777777777</v>
      </c>
      <c r="B9574" s="8" t="str">
        <f>HYPERLINK("https://twitter.com/IwanTrk11","@IwanTrk11")</f>
        <v>@IwanTrk11</v>
      </c>
      <c r="C9574" s="8" t="s">
        <v>4316</v>
      </c>
      <c r="D9574" s="8">
        <v>0</v>
      </c>
      <c r="E9574" s="8">
        <v>0</v>
      </c>
      <c r="F9574" s="8">
        <v>4</v>
      </c>
    </row>
    <row r="9575" spans="1:6" ht="12.75">
      <c r="A9575" s="8">
        <v>43900.5777662037</v>
      </c>
      <c r="B9575" s="8" t="str">
        <f>HYPERLINK("https://twitter.com/arifipin08oknum","@arifipin08oknum")</f>
        <v>@arifipin08oknum</v>
      </c>
      <c r="C9575" s="8" t="s">
        <v>318</v>
      </c>
      <c r="D9575" s="8">
        <v>513</v>
      </c>
      <c r="E9575" s="8">
        <v>0</v>
      </c>
      <c r="F9575" s="8">
        <v>126</v>
      </c>
    </row>
    <row r="9576" spans="1:6" ht="12.75">
      <c r="A9576" s="8">
        <v>43900.576932870375</v>
      </c>
      <c r="B9576" s="8" t="str">
        <f>HYPERLINK("https://twitter.com/marjuki_moh","@marjuki_moh")</f>
        <v>@marjuki_moh</v>
      </c>
      <c r="C9576" s="8" t="s">
        <v>318</v>
      </c>
      <c r="D9576" s="8">
        <v>513</v>
      </c>
      <c r="E9576" s="8">
        <v>0</v>
      </c>
      <c r="F9576" s="8">
        <v>323</v>
      </c>
    </row>
    <row r="9577" spans="1:6" ht="12.75">
      <c r="A9577" s="8">
        <v>43900.576898148152</v>
      </c>
      <c r="B9577" s="8" t="str">
        <f>HYPERLINK("https://twitter.com/erizal7360","@erizal7360")</f>
        <v>@erizal7360</v>
      </c>
      <c r="C9577" s="8" t="s">
        <v>318</v>
      </c>
      <c r="D9577" s="8">
        <v>513</v>
      </c>
      <c r="E9577" s="8">
        <v>0</v>
      </c>
      <c r="F9577" s="8">
        <v>2574</v>
      </c>
    </row>
    <row r="9578" spans="1:6" ht="12.75">
      <c r="A9578" s="8">
        <v>43900.576898148152</v>
      </c>
      <c r="B9578" s="8" t="str">
        <f>HYPERLINK("https://twitter.com/Bagus_EfendiNew","@Bagus_EfendiNew")</f>
        <v>@Bagus_EfendiNew</v>
      </c>
      <c r="C9578" s="8" t="s">
        <v>318</v>
      </c>
      <c r="D9578" s="8">
        <v>513</v>
      </c>
      <c r="E9578" s="8">
        <v>0</v>
      </c>
      <c r="F9578" s="8">
        <v>29</v>
      </c>
    </row>
    <row r="9579" spans="1:6" ht="12.75">
      <c r="A9579" s="8">
        <v>43900.576724537037</v>
      </c>
      <c r="B9579" s="8" t="str">
        <f>HYPERLINK("https://twitter.com/ahmadsusena","@ahmadsusena")</f>
        <v>@ahmadsusena</v>
      </c>
      <c r="C9579" s="8" t="s">
        <v>318</v>
      </c>
      <c r="D9579" s="8">
        <v>513</v>
      </c>
      <c r="E9579" s="8">
        <v>0</v>
      </c>
      <c r="F9579" s="8">
        <v>137</v>
      </c>
    </row>
    <row r="9580" spans="1:6" ht="12.75">
      <c r="A9580" s="8">
        <v>43900.576666666668</v>
      </c>
      <c r="B9580" s="8" t="str">
        <f>HYPERLINK("https://twitter.com/luthfia_husna","@luthfia_husna")</f>
        <v>@luthfia_husna</v>
      </c>
      <c r="C9580" s="8" t="s">
        <v>3110</v>
      </c>
      <c r="D9580" s="8">
        <v>11</v>
      </c>
      <c r="E9580" s="8">
        <v>0</v>
      </c>
      <c r="F9580" s="8">
        <v>12</v>
      </c>
    </row>
    <row r="9581" spans="1:6" ht="12.75">
      <c r="A9581" s="8">
        <v>43900.576319444444</v>
      </c>
      <c r="B9581" s="8" t="str">
        <f>HYPERLINK("https://twitter.com/kemitris","@kemitris")</f>
        <v>@kemitris</v>
      </c>
      <c r="C9581" s="8" t="s">
        <v>318</v>
      </c>
      <c r="D9581" s="8">
        <v>513</v>
      </c>
      <c r="E9581" s="8">
        <v>0</v>
      </c>
      <c r="F9581" s="8">
        <v>399</v>
      </c>
    </row>
    <row r="9582" spans="1:6" ht="12.75">
      <c r="A9582" s="8">
        <v>43900.57540509259</v>
      </c>
      <c r="B9582" s="8" t="str">
        <f>HYPERLINK("https://twitter.com/publicanews","@publicanews")</f>
        <v>@publicanews</v>
      </c>
      <c r="C9582" s="8" t="s">
        <v>2578</v>
      </c>
      <c r="D9582" s="8">
        <v>0</v>
      </c>
      <c r="E9582" s="8">
        <v>0</v>
      </c>
      <c r="F9582" s="8">
        <v>158</v>
      </c>
    </row>
    <row r="9583" spans="1:6" ht="12.75">
      <c r="A9583" s="8">
        <v>43900.575046296297</v>
      </c>
      <c r="B9583" s="8" t="str">
        <f>HYPERLINK("https://twitter.com/saidbasalim","@saidbasalim")</f>
        <v>@saidbasalim</v>
      </c>
      <c r="C9583" s="8" t="s">
        <v>318</v>
      </c>
      <c r="D9583" s="8">
        <v>513</v>
      </c>
      <c r="E9583" s="8">
        <v>0</v>
      </c>
      <c r="F9583" s="8">
        <v>299</v>
      </c>
    </row>
    <row r="9584" spans="1:6" ht="12.75">
      <c r="A9584" s="8">
        <v>43900.57503472222</v>
      </c>
      <c r="B9584" s="8" t="str">
        <f>HYPERLINK("https://twitter.com/Muhammad__Aziz_","@Muhammad__Aziz_")</f>
        <v>@Muhammad__Aziz_</v>
      </c>
      <c r="C9584" s="8" t="s">
        <v>3190</v>
      </c>
      <c r="D9584" s="8">
        <v>67</v>
      </c>
      <c r="E9584" s="8">
        <v>0</v>
      </c>
      <c r="F9584" s="8">
        <v>334</v>
      </c>
    </row>
    <row r="9585" spans="1:6" ht="12.75">
      <c r="A9585" s="8">
        <v>43900.574814814812</v>
      </c>
      <c r="B9585" s="8" t="str">
        <f>HYPERLINK("https://twitter.com/Anti_Hoak","@Anti_Hoak")</f>
        <v>@Anti_Hoak</v>
      </c>
      <c r="C9585" s="8" t="s">
        <v>318</v>
      </c>
      <c r="D9585" s="8">
        <v>513</v>
      </c>
      <c r="E9585" s="8">
        <v>0</v>
      </c>
      <c r="F9585" s="8">
        <v>933</v>
      </c>
    </row>
    <row r="9586" spans="1:6" ht="12.75">
      <c r="A9586" s="8">
        <v>43900.574479166666</v>
      </c>
      <c r="B9586" s="8" t="str">
        <f>HYPERLINK("https://twitter.com/ragilsaputra645","@ragilsaputra645")</f>
        <v>@ragilsaputra645</v>
      </c>
      <c r="C9586" s="8" t="s">
        <v>318</v>
      </c>
      <c r="D9586" s="8">
        <v>513</v>
      </c>
      <c r="E9586" s="8">
        <v>0</v>
      </c>
      <c r="F9586" s="8">
        <v>429</v>
      </c>
    </row>
    <row r="9587" spans="1:6" ht="12.75">
      <c r="A9587" s="8">
        <v>43900.574201388888</v>
      </c>
      <c r="B9587" s="8" t="str">
        <f>HYPERLINK("https://twitter.com/Parjo48789369","@Parjo48789369")</f>
        <v>@Parjo48789369</v>
      </c>
      <c r="C9587" s="8" t="s">
        <v>318</v>
      </c>
      <c r="D9587" s="8">
        <v>513</v>
      </c>
      <c r="E9587" s="8">
        <v>0</v>
      </c>
      <c r="F9587" s="8">
        <v>262</v>
      </c>
    </row>
    <row r="9588" spans="1:6" ht="12.75">
      <c r="A9588" s="8">
        <v>43900.573923611111</v>
      </c>
      <c r="B9588" s="8" t="str">
        <f>HYPERLINK("https://twitter.com/theditor3","@theditor3")</f>
        <v>@theditor3</v>
      </c>
      <c r="C9588" s="8" t="s">
        <v>318</v>
      </c>
      <c r="D9588" s="8">
        <v>513</v>
      </c>
      <c r="E9588" s="8">
        <v>0</v>
      </c>
      <c r="F9588" s="8">
        <v>110</v>
      </c>
    </row>
    <row r="9589" spans="1:6" ht="12.75">
      <c r="A9589" s="8">
        <v>43900.573599537034</v>
      </c>
      <c r="B9589" s="8" t="str">
        <f>HYPERLINK("https://twitter.com/KamiOposisiID","@KamiOposisiID")</f>
        <v>@KamiOposisiID</v>
      </c>
      <c r="C9589" s="8" t="s">
        <v>318</v>
      </c>
      <c r="D9589" s="8">
        <v>513</v>
      </c>
      <c r="E9589" s="8">
        <v>0</v>
      </c>
      <c r="F9589" s="8">
        <v>31726</v>
      </c>
    </row>
    <row r="9590" spans="1:6" ht="12.75">
      <c r="A9590" s="8">
        <v>43900.57331018518</v>
      </c>
      <c r="B9590" s="8" t="str">
        <f>HYPERLINK("https://twitter.com/BangDoelDhomenk","@BangDoelDhomenk")</f>
        <v>@BangDoelDhomenk</v>
      </c>
      <c r="C9590" s="8" t="s">
        <v>3820</v>
      </c>
      <c r="D9590" s="8">
        <v>11</v>
      </c>
      <c r="E9590" s="8">
        <v>0</v>
      </c>
      <c r="F9590" s="8">
        <v>465</v>
      </c>
    </row>
    <row r="9591" spans="1:6" ht="12.75">
      <c r="A9591" s="8">
        <v>43900.573298611111</v>
      </c>
      <c r="B9591" s="8" t="str">
        <f>HYPERLINK("https://twitter.com/kompascom","@kompascom")</f>
        <v>@kompascom</v>
      </c>
      <c r="C9591" s="8" t="s">
        <v>4317</v>
      </c>
      <c r="D9591" s="8">
        <v>0</v>
      </c>
      <c r="E9591" s="8">
        <v>2</v>
      </c>
      <c r="F9591" s="8">
        <v>7538668</v>
      </c>
    </row>
    <row r="9592" spans="1:6" ht="12.75">
      <c r="A9592" s="8">
        <v>43900.572905092587</v>
      </c>
      <c r="B9592" s="8" t="str">
        <f>HYPERLINK("https://twitter.com/Di_Wangsa69","@Di_Wangsa69")</f>
        <v>@Di_Wangsa69</v>
      </c>
      <c r="C9592" s="8" t="s">
        <v>318</v>
      </c>
      <c r="D9592" s="8">
        <v>513</v>
      </c>
      <c r="E9592" s="8">
        <v>0</v>
      </c>
      <c r="F9592" s="8">
        <v>360</v>
      </c>
    </row>
    <row r="9593" spans="1:6" ht="12.75">
      <c r="A9593" s="8">
        <v>43900.572384259256</v>
      </c>
      <c r="B9593" s="8" t="str">
        <f>HYPERLINK("https://twitter.com/Sat_Pinayungan","@Sat_Pinayungan")</f>
        <v>@Sat_Pinayungan</v>
      </c>
      <c r="C9593" s="8" t="s">
        <v>318</v>
      </c>
      <c r="D9593" s="8">
        <v>513</v>
      </c>
      <c r="E9593" s="8">
        <v>0</v>
      </c>
      <c r="F9593" s="8">
        <v>2372</v>
      </c>
    </row>
    <row r="9594" spans="1:6" ht="12.75">
      <c r="A9594" s="8">
        <v>43900.572326388894</v>
      </c>
      <c r="B9594" s="8" t="str">
        <f>HYPERLINK("https://twitter.com/Slash074","@Slash074")</f>
        <v>@Slash074</v>
      </c>
      <c r="C9594" s="8" t="s">
        <v>318</v>
      </c>
      <c r="D9594" s="8">
        <v>513</v>
      </c>
      <c r="E9594" s="8">
        <v>0</v>
      </c>
      <c r="F9594" s="8">
        <v>101</v>
      </c>
    </row>
    <row r="9595" spans="1:6" ht="12.75">
      <c r="A9595" s="8">
        <v>43900.572094907402</v>
      </c>
      <c r="B9595" s="8" t="str">
        <f>HYPERLINK("https://twitter.com/banglintas","@banglintas")</f>
        <v>@banglintas</v>
      </c>
      <c r="C9595" s="8" t="s">
        <v>4318</v>
      </c>
      <c r="D9595" s="8">
        <v>0</v>
      </c>
      <c r="E9595" s="8">
        <v>0</v>
      </c>
      <c r="F9595" s="8">
        <v>55</v>
      </c>
    </row>
    <row r="9596" spans="1:6" ht="12.75">
      <c r="A9596" s="8">
        <v>43900.572048611109</v>
      </c>
      <c r="B9596" s="8" t="str">
        <f>HYPERLINK("https://twitter.com/MVVZ3","@MVVZ3")</f>
        <v>@MVVZ3</v>
      </c>
      <c r="C9596" s="8" t="s">
        <v>318</v>
      </c>
      <c r="D9596" s="8">
        <v>513</v>
      </c>
      <c r="E9596" s="8">
        <v>0</v>
      </c>
      <c r="F9596" s="8">
        <v>1072</v>
      </c>
    </row>
    <row r="9597" spans="1:6" ht="12.75">
      <c r="A9597" s="8">
        <v>43900.572025462963</v>
      </c>
      <c r="B9597" s="8" t="str">
        <f>HYPERLINK("https://twitter.com/krlnrshf","@krlnrshf")</f>
        <v>@krlnrshf</v>
      </c>
      <c r="C9597" s="8" t="s">
        <v>3050</v>
      </c>
      <c r="D9597" s="8">
        <v>122</v>
      </c>
      <c r="E9597" s="8">
        <v>0</v>
      </c>
      <c r="F9597" s="8">
        <v>280</v>
      </c>
    </row>
    <row r="9598" spans="1:6" ht="12.75">
      <c r="A9598" s="8">
        <v>43900.572002314817</v>
      </c>
      <c r="B9598" s="8" t="str">
        <f>HYPERLINK("https://twitter.com/kingsDja","@kingsDja")</f>
        <v>@kingsDja</v>
      </c>
      <c r="C9598" s="8" t="s">
        <v>318</v>
      </c>
      <c r="D9598" s="8">
        <v>513</v>
      </c>
      <c r="E9598" s="8">
        <v>0</v>
      </c>
      <c r="F9598" s="8">
        <v>702</v>
      </c>
    </row>
    <row r="9599" spans="1:6" ht="12.75">
      <c r="A9599" s="8">
        <v>43900.571412037039</v>
      </c>
      <c r="B9599" s="8" t="str">
        <f>HYPERLINK("https://twitter.com/SheelaGaikwad6","@SheelaGaikwad6")</f>
        <v>@SheelaGaikwad6</v>
      </c>
      <c r="C9599" s="8" t="s">
        <v>1808</v>
      </c>
      <c r="D9599" s="8">
        <v>835</v>
      </c>
      <c r="E9599" s="8">
        <v>0</v>
      </c>
      <c r="F9599" s="8">
        <v>511</v>
      </c>
    </row>
    <row r="9600" spans="1:6" ht="12.75">
      <c r="A9600" s="8">
        <v>43900.571018518516</v>
      </c>
      <c r="B9600" s="8" t="str">
        <f>HYPERLINK("https://twitter.com/Wahyuwiwid3","@Wahyuwiwid3")</f>
        <v>@Wahyuwiwid3</v>
      </c>
      <c r="C9600" s="8" t="s">
        <v>3262</v>
      </c>
      <c r="D9600" s="8">
        <v>247</v>
      </c>
      <c r="E9600" s="8">
        <v>0</v>
      </c>
      <c r="F9600" s="8">
        <v>1124</v>
      </c>
    </row>
    <row r="9601" spans="1:6" ht="12.75">
      <c r="A9601" s="8">
        <v>43900.570555555554</v>
      </c>
      <c r="B9601" s="8" t="str">
        <f>HYPERLINK("https://twitter.com/nurel_effah","@nurel_effah")</f>
        <v>@nurel_effah</v>
      </c>
      <c r="C9601" s="8" t="s">
        <v>2851</v>
      </c>
      <c r="D9601" s="8">
        <v>32</v>
      </c>
      <c r="E9601" s="8">
        <v>0</v>
      </c>
      <c r="F9601" s="8">
        <v>3612</v>
      </c>
    </row>
    <row r="9602" spans="1:6" ht="12.75">
      <c r="A9602" s="8">
        <v>43900.570486111115</v>
      </c>
      <c r="B9602" s="8" t="str">
        <f>HYPERLINK("https://twitter.com/matarangdaeng","@matarangdaeng")</f>
        <v>@matarangdaeng</v>
      </c>
      <c r="C9602" s="8" t="s">
        <v>318</v>
      </c>
      <c r="D9602" s="8">
        <v>513</v>
      </c>
      <c r="E9602" s="8">
        <v>0</v>
      </c>
      <c r="F9602" s="8">
        <v>1634</v>
      </c>
    </row>
    <row r="9603" spans="1:6" ht="12.75">
      <c r="A9603" s="8">
        <v>43900.570474537039</v>
      </c>
      <c r="B9603" s="8" t="str">
        <f>HYPERLINK("https://twitter.com/NgoenGata","@NgoenGata")</f>
        <v>@NgoenGata</v>
      </c>
      <c r="C9603" s="8" t="s">
        <v>318</v>
      </c>
      <c r="D9603" s="8">
        <v>513</v>
      </c>
      <c r="E9603" s="8">
        <v>0</v>
      </c>
      <c r="F9603" s="8">
        <v>58</v>
      </c>
    </row>
    <row r="9604" spans="1:6" ht="12.75">
      <c r="A9604" s="8">
        <v>43900.570347222223</v>
      </c>
      <c r="B9604" s="8" t="str">
        <f>HYPERLINK("https://twitter.com/bakulswikee","@bakulswikee")</f>
        <v>@bakulswikee</v>
      </c>
      <c r="C9604" s="8" t="s">
        <v>318</v>
      </c>
      <c r="D9604" s="8">
        <v>513</v>
      </c>
      <c r="E9604" s="8">
        <v>0</v>
      </c>
      <c r="F9604" s="8">
        <v>415</v>
      </c>
    </row>
    <row r="9605" spans="1:6" ht="12.75">
      <c r="A9605" s="8">
        <v>43900.570219907408</v>
      </c>
      <c r="B9605" s="8" t="str">
        <f>HYPERLINK("https://twitter.com/Anita1024002","@Anita1024002")</f>
        <v>@Anita1024002</v>
      </c>
      <c r="C9605" s="8" t="s">
        <v>4319</v>
      </c>
      <c r="D9605" s="8">
        <v>1</v>
      </c>
      <c r="E9605" s="8">
        <v>0</v>
      </c>
      <c r="F9605" s="8">
        <v>2719</v>
      </c>
    </row>
    <row r="9606" spans="1:6" ht="12.75">
      <c r="A9606" s="8">
        <v>43900.57</v>
      </c>
      <c r="B9606" s="8" t="str">
        <f>HYPERLINK("https://twitter.com/min_wahab","@min_wahab")</f>
        <v>@min_wahab</v>
      </c>
      <c r="C9606" s="8" t="s">
        <v>3190</v>
      </c>
      <c r="D9606" s="8">
        <v>67</v>
      </c>
      <c r="E9606" s="8">
        <v>0</v>
      </c>
      <c r="F9606" s="8">
        <v>171</v>
      </c>
    </row>
    <row r="9607" spans="1:6" ht="12.75">
      <c r="A9607" s="8">
        <v>43900.569351851853</v>
      </c>
      <c r="B9607" s="8" t="str">
        <f>HYPERLINK("https://twitter.com/Divyafeb","@Divyafeb")</f>
        <v>@Divyafeb</v>
      </c>
      <c r="C9607" s="8" t="s">
        <v>1957</v>
      </c>
      <c r="D9607" s="8">
        <v>1475</v>
      </c>
      <c r="E9607" s="8">
        <v>0</v>
      </c>
      <c r="F9607" s="8">
        <v>48</v>
      </c>
    </row>
    <row r="9608" spans="1:6" ht="12.75">
      <c r="A9608" s="8">
        <v>43900.568599537037</v>
      </c>
      <c r="B9608" s="8" t="str">
        <f>HYPERLINK("https://twitter.com/noorrohman","@noorrohman")</f>
        <v>@noorrohman</v>
      </c>
      <c r="C9608" s="8" t="s">
        <v>3190</v>
      </c>
      <c r="D9608" s="8">
        <v>67</v>
      </c>
      <c r="E9608" s="8">
        <v>0</v>
      </c>
      <c r="F9608" s="8">
        <v>238</v>
      </c>
    </row>
    <row r="9609" spans="1:6" ht="12.75">
      <c r="A9609" s="8">
        <v>43900.568483796298</v>
      </c>
      <c r="B9609" s="8" t="str">
        <f>HYPERLINK("https://twitter.com/_aiek_esthreem_","@_aiek_esthreem_")</f>
        <v>@_aiek_esthreem_</v>
      </c>
      <c r="C9609" s="8" t="s">
        <v>4320</v>
      </c>
      <c r="D9609" s="8">
        <v>1</v>
      </c>
      <c r="E9609" s="8">
        <v>3</v>
      </c>
      <c r="F9609" s="8">
        <v>17102</v>
      </c>
    </row>
    <row r="9610" spans="1:6" ht="12.75">
      <c r="A9610" s="8">
        <v>43900.567893518513</v>
      </c>
      <c r="B9610" s="8" t="str">
        <f>HYPERLINK("https://twitter.com/noorrohman","@noorrohman")</f>
        <v>@noorrohman</v>
      </c>
      <c r="C9610" s="8" t="s">
        <v>3050</v>
      </c>
      <c r="D9610" s="8">
        <v>122</v>
      </c>
      <c r="E9610" s="8">
        <v>0</v>
      </c>
      <c r="F9610" s="8">
        <v>238</v>
      </c>
    </row>
    <row r="9611" spans="1:6" ht="12.75">
      <c r="A9611" s="8">
        <v>43900.56759259259</v>
      </c>
      <c r="B9611" s="8" t="str">
        <f>HYPERLINK("https://twitter.com/Konigsdag12","@Konigsdag12")</f>
        <v>@Konigsdag12</v>
      </c>
      <c r="C9611" s="8" t="s">
        <v>318</v>
      </c>
      <c r="D9611" s="8">
        <v>513</v>
      </c>
      <c r="E9611" s="8">
        <v>0</v>
      </c>
      <c r="F9611" s="8">
        <v>249</v>
      </c>
    </row>
    <row r="9612" spans="1:6" ht="12.75">
      <c r="A9612" s="8">
        <v>43900.56731481482</v>
      </c>
      <c r="B9612" s="8" t="str">
        <f>HYPERLINK("https://twitter.com/shangluu","@shangluu")</f>
        <v>@shangluu</v>
      </c>
      <c r="C9612" s="8" t="s">
        <v>1917</v>
      </c>
      <c r="D9612" s="8">
        <v>1535</v>
      </c>
      <c r="E9612" s="8">
        <v>0</v>
      </c>
      <c r="F9612" s="8">
        <v>29</v>
      </c>
    </row>
    <row r="9613" spans="1:6" ht="12.75">
      <c r="A9613" s="8">
        <v>43900.566875000004</v>
      </c>
      <c r="B9613" s="8" t="str">
        <f>HYPERLINK("https://twitter.com/IrwanHayat1","@IrwanHayat1")</f>
        <v>@IrwanHayat1</v>
      </c>
      <c r="C9613" s="8" t="s">
        <v>3190</v>
      </c>
      <c r="D9613" s="8">
        <v>67</v>
      </c>
      <c r="E9613" s="8">
        <v>0</v>
      </c>
      <c r="F9613" s="8">
        <v>678</v>
      </c>
    </row>
    <row r="9614" spans="1:6" ht="12.75">
      <c r="A9614" s="8">
        <v>43900.566793981481</v>
      </c>
      <c r="B9614" s="8" t="str">
        <f>HYPERLINK("https://twitter.com/gurutua7","@gurutua7")</f>
        <v>@gurutua7</v>
      </c>
      <c r="C9614" s="8" t="s">
        <v>318</v>
      </c>
      <c r="D9614" s="8">
        <v>513</v>
      </c>
      <c r="E9614" s="8">
        <v>0</v>
      </c>
      <c r="F9614" s="8">
        <v>1278</v>
      </c>
    </row>
    <row r="9615" spans="1:6" ht="12.75">
      <c r="A9615" s="8">
        <v>43900.566562499997</v>
      </c>
      <c r="B9615" s="8" t="str">
        <f>HYPERLINK("https://twitter.com/wni_jmsri","@wni_jmsri")</f>
        <v>@wni_jmsri</v>
      </c>
      <c r="C9615" s="8" t="s">
        <v>4321</v>
      </c>
      <c r="D9615" s="8">
        <v>18</v>
      </c>
      <c r="E9615" s="8">
        <v>0</v>
      </c>
      <c r="F9615" s="8">
        <v>204</v>
      </c>
    </row>
    <row r="9616" spans="1:6" ht="12.75">
      <c r="A9616" s="8">
        <v>43900.566331018519</v>
      </c>
      <c r="B9616" s="8" t="str">
        <f>HYPERLINK("https://twitter.com/truefullsun","@truefullsun")</f>
        <v>@truefullsun</v>
      </c>
      <c r="C9616" s="8" t="s">
        <v>4322</v>
      </c>
      <c r="D9616" s="8">
        <v>0</v>
      </c>
      <c r="E9616" s="8">
        <v>1</v>
      </c>
      <c r="F9616" s="8">
        <v>6128</v>
      </c>
    </row>
    <row r="9617" spans="1:6" ht="12.75">
      <c r="A9617" s="8">
        <v>43900.566122685181</v>
      </c>
      <c r="B9617" s="8" t="str">
        <f>HYPERLINK("https://twitter.com/wni_jmsri","@wni_jmsri")</f>
        <v>@wni_jmsri</v>
      </c>
      <c r="C9617" s="8" t="s">
        <v>4323</v>
      </c>
      <c r="D9617" s="8">
        <v>6303</v>
      </c>
      <c r="E9617" s="8">
        <v>0</v>
      </c>
      <c r="F9617" s="8">
        <v>204</v>
      </c>
    </row>
    <row r="9618" spans="1:6" ht="12.75">
      <c r="A9618" s="8">
        <v>43900.565995370373</v>
      </c>
      <c r="B9618" s="8" t="str">
        <f>HYPERLINK("https://twitter.com/rainnnbouw","@rainnnbouw")</f>
        <v>@rainnnbouw</v>
      </c>
      <c r="C9618" s="8" t="s">
        <v>3050</v>
      </c>
      <c r="D9618" s="8">
        <v>122</v>
      </c>
      <c r="E9618" s="8">
        <v>0</v>
      </c>
      <c r="F9618" s="8">
        <v>298</v>
      </c>
    </row>
    <row r="9619" spans="1:6" ht="12.75">
      <c r="A9619" s="8">
        <v>43900.565914351857</v>
      </c>
      <c r="B9619" s="8" t="str">
        <f>HYPERLINK("https://twitter.com/ferri_ScHpai","@ferri_ScHpai")</f>
        <v>@ferri_ScHpai</v>
      </c>
      <c r="C9619" s="8" t="s">
        <v>318</v>
      </c>
      <c r="D9619" s="8">
        <v>513</v>
      </c>
      <c r="E9619" s="8">
        <v>0</v>
      </c>
      <c r="F9619" s="8">
        <v>213</v>
      </c>
    </row>
    <row r="9620" spans="1:6" ht="12.75">
      <c r="A9620" s="8">
        <v>43900.564467592594</v>
      </c>
      <c r="B9620" s="8" t="str">
        <f t="shared" ref="B9620:B9621" si="158">HYPERLINK("https://twitter.com/TambunanErlis","@TambunanErlis")</f>
        <v>@TambunanErlis</v>
      </c>
      <c r="C9620" s="8" t="s">
        <v>295</v>
      </c>
      <c r="D9620" s="8">
        <v>62</v>
      </c>
      <c r="E9620" s="8">
        <v>0</v>
      </c>
      <c r="F9620" s="8">
        <v>814</v>
      </c>
    </row>
    <row r="9621" spans="1:6" ht="12.75">
      <c r="A9621" s="8">
        <v>43900.564432870371</v>
      </c>
      <c r="B9621" s="8" t="str">
        <f t="shared" si="158"/>
        <v>@TambunanErlis</v>
      </c>
      <c r="C9621" s="8" t="s">
        <v>2432</v>
      </c>
      <c r="D9621" s="8">
        <v>40</v>
      </c>
      <c r="E9621" s="8">
        <v>0</v>
      </c>
      <c r="F9621" s="8">
        <v>814</v>
      </c>
    </row>
    <row r="9622" spans="1:6" ht="12.75">
      <c r="A9622" s="8">
        <v>43900.56413194444</v>
      </c>
      <c r="B9622" s="8" t="str">
        <f>HYPERLINK("https://twitter.com/denny0214","@denny0214")</f>
        <v>@denny0214</v>
      </c>
      <c r="C9622" s="8" t="s">
        <v>3190</v>
      </c>
      <c r="D9622" s="8">
        <v>67</v>
      </c>
      <c r="E9622" s="8">
        <v>0</v>
      </c>
      <c r="F9622" s="8">
        <v>96</v>
      </c>
    </row>
    <row r="9623" spans="1:6" ht="12.75">
      <c r="A9623" s="8">
        <v>43900.56413194444</v>
      </c>
      <c r="B9623" s="8" t="str">
        <f>HYPERLINK("https://twitter.com/gotte4","@gotte4")</f>
        <v>@gotte4</v>
      </c>
      <c r="C9623" s="8" t="s">
        <v>318</v>
      </c>
      <c r="D9623" s="8">
        <v>513</v>
      </c>
      <c r="E9623" s="8">
        <v>0</v>
      </c>
      <c r="F9623" s="8">
        <v>414</v>
      </c>
    </row>
    <row r="9624" spans="1:6" ht="12.75">
      <c r="A9624" s="8">
        <v>43900.564074074078</v>
      </c>
      <c r="B9624" s="8" t="str">
        <f>HYPERLINK("https://twitter.com/SukurWong","@SukurWong")</f>
        <v>@SukurWong</v>
      </c>
      <c r="C9624" s="8" t="s">
        <v>318</v>
      </c>
      <c r="D9624" s="8">
        <v>513</v>
      </c>
      <c r="E9624" s="8">
        <v>0</v>
      </c>
      <c r="F9624" s="8">
        <v>195</v>
      </c>
    </row>
    <row r="9625" spans="1:6" ht="12.75">
      <c r="A9625" s="8">
        <v>43900.564039351855</v>
      </c>
      <c r="B9625" s="8" t="str">
        <f>HYPERLINK("https://twitter.com/dedijovic","@dedijovic")</f>
        <v>@dedijovic</v>
      </c>
      <c r="C9625" s="8" t="s">
        <v>1318</v>
      </c>
      <c r="D9625" s="8">
        <v>23193</v>
      </c>
      <c r="E9625" s="8">
        <v>0</v>
      </c>
      <c r="F9625" s="8">
        <v>13</v>
      </c>
    </row>
    <row r="9626" spans="1:6" ht="12.75">
      <c r="A9626" s="8">
        <v>43900.548182870371</v>
      </c>
      <c r="B9626" s="8" t="str">
        <f>HYPERLINK("https://twitter.com/MbaViia","@MbaViia")</f>
        <v>@MbaViia</v>
      </c>
      <c r="C9626" s="8" t="s">
        <v>4156</v>
      </c>
      <c r="D9626" s="8">
        <v>9</v>
      </c>
      <c r="E9626" s="8">
        <v>0</v>
      </c>
      <c r="F9626" s="8">
        <v>144</v>
      </c>
    </row>
    <row r="9627" spans="1:6" ht="12.75">
      <c r="A9627" s="8">
        <v>43900.548171296294</v>
      </c>
      <c r="B9627" s="8" t="str">
        <f>HYPERLINK("https://twitter.com/AnakLolina","@AnakLolina")</f>
        <v>@AnakLolina</v>
      </c>
      <c r="C9627" s="8" t="s">
        <v>4174</v>
      </c>
      <c r="D9627" s="8">
        <v>6</v>
      </c>
      <c r="E9627" s="8">
        <v>0</v>
      </c>
      <c r="F9627" s="8">
        <v>15293</v>
      </c>
    </row>
    <row r="9628" spans="1:6" ht="12.75">
      <c r="A9628" s="8">
        <v>43900.547939814816</v>
      </c>
      <c r="B9628" s="8" t="str">
        <f>HYPERLINK("https://twitter.com/masaqin","@masaqin")</f>
        <v>@masaqin</v>
      </c>
      <c r="C9628" s="8" t="s">
        <v>2119</v>
      </c>
      <c r="D9628" s="8">
        <v>1314</v>
      </c>
      <c r="E9628" s="8">
        <v>0</v>
      </c>
      <c r="F9628" s="8">
        <v>661</v>
      </c>
    </row>
    <row r="9629" spans="1:6" ht="12.75">
      <c r="A9629" s="8">
        <v>43900.54788194444</v>
      </c>
      <c r="B9629" s="8" t="str">
        <f>HYPERLINK("https://twitter.com/aldy_mw","@aldy_mw")</f>
        <v>@aldy_mw</v>
      </c>
      <c r="C9629" s="8" t="s">
        <v>318</v>
      </c>
      <c r="D9629" s="8">
        <v>435</v>
      </c>
      <c r="E9629" s="8">
        <v>0</v>
      </c>
      <c r="F9629" s="8">
        <v>1333</v>
      </c>
    </row>
    <row r="9630" spans="1:6" ht="12.75">
      <c r="A9630" s="8">
        <v>43900.547789351855</v>
      </c>
      <c r="B9630" s="8" t="str">
        <f>HYPERLINK("https://twitter.com/ditepihatimu","@ditepihatimu")</f>
        <v>@ditepihatimu</v>
      </c>
      <c r="C9630" s="8" t="s">
        <v>3190</v>
      </c>
      <c r="D9630" s="8">
        <v>57</v>
      </c>
      <c r="E9630" s="8">
        <v>0</v>
      </c>
      <c r="F9630" s="8">
        <v>561</v>
      </c>
    </row>
    <row r="9631" spans="1:6" ht="12.75">
      <c r="A9631" s="8">
        <v>43900.547708333332</v>
      </c>
      <c r="B9631" s="8" t="str">
        <f>HYPERLINK("https://twitter.com/PARTAI_HARIMAU","@PARTAI_HARIMAU")</f>
        <v>@PARTAI_HARIMAU</v>
      </c>
      <c r="C9631" s="8" t="s">
        <v>318</v>
      </c>
      <c r="D9631" s="8">
        <v>435</v>
      </c>
      <c r="E9631" s="8">
        <v>0</v>
      </c>
      <c r="F9631" s="8">
        <v>5307</v>
      </c>
    </row>
    <row r="9632" spans="1:6" ht="12.75">
      <c r="A9632" s="8">
        <v>43900.547407407408</v>
      </c>
      <c r="B9632" s="8" t="str">
        <f>HYPERLINK("https://twitter.com/vekgautam147","@vekgautam147")</f>
        <v>@vekgautam147</v>
      </c>
      <c r="C9632" s="8" t="s">
        <v>1917</v>
      </c>
      <c r="D9632" s="8">
        <v>1533</v>
      </c>
      <c r="E9632" s="8">
        <v>0</v>
      </c>
      <c r="F9632" s="8">
        <v>57</v>
      </c>
    </row>
    <row r="9633" spans="1:6" ht="12.75">
      <c r="A9633" s="8">
        <v>43900.547060185185</v>
      </c>
      <c r="B9633" s="8" t="str">
        <f>HYPERLINK("https://twitter.com/Rakha_Boum1","@Rakha_Boum1")</f>
        <v>@Rakha_Boum1</v>
      </c>
      <c r="C9633" s="8" t="s">
        <v>3190</v>
      </c>
      <c r="D9633" s="8">
        <v>57</v>
      </c>
      <c r="E9633" s="8">
        <v>0</v>
      </c>
      <c r="F9633" s="8">
        <v>283</v>
      </c>
    </row>
    <row r="9634" spans="1:6" ht="12.75">
      <c r="A9634" s="8">
        <v>43900.547048611115</v>
      </c>
      <c r="B9634" s="8" t="str">
        <f>HYPERLINK("https://twitter.com/om_oga","@om_oga")</f>
        <v>@om_oga</v>
      </c>
      <c r="C9634" s="8" t="s">
        <v>3126</v>
      </c>
      <c r="D9634" s="8">
        <v>322</v>
      </c>
      <c r="E9634" s="8">
        <v>0</v>
      </c>
      <c r="F9634" s="8">
        <v>240</v>
      </c>
    </row>
    <row r="9635" spans="1:6" ht="12.75">
      <c r="A9635" s="8">
        <v>43900.546944444446</v>
      </c>
      <c r="B9635" s="8" t="str">
        <f>HYPERLINK("https://twitter.com/AlasanKlasique","@AlasanKlasique")</f>
        <v>@AlasanKlasique</v>
      </c>
      <c r="C9635" s="8" t="s">
        <v>2851</v>
      </c>
      <c r="D9635" s="8">
        <v>28</v>
      </c>
      <c r="E9635" s="8">
        <v>0</v>
      </c>
      <c r="F9635" s="8">
        <v>28</v>
      </c>
    </row>
    <row r="9636" spans="1:6" ht="12.75">
      <c r="A9636" s="8">
        <v>43900.546493055561</v>
      </c>
      <c r="B9636" s="8" t="str">
        <f>HYPERLINK("https://twitter.com/YaTaqwa83","@YaTaqwa83")</f>
        <v>@YaTaqwa83</v>
      </c>
      <c r="C9636" s="8" t="s">
        <v>318</v>
      </c>
      <c r="D9636" s="8">
        <v>435</v>
      </c>
      <c r="E9636" s="8">
        <v>0</v>
      </c>
      <c r="F9636" s="8">
        <v>722</v>
      </c>
    </row>
    <row r="9637" spans="1:6" ht="12.75">
      <c r="A9637" s="8">
        <v>43900.546458333338</v>
      </c>
      <c r="B9637" s="8" t="str">
        <f>HYPERLINK("https://twitter.com/bangajee","@bangajee")</f>
        <v>@bangajee</v>
      </c>
      <c r="C9637" s="8" t="s">
        <v>318</v>
      </c>
      <c r="D9637" s="8">
        <v>435</v>
      </c>
      <c r="E9637" s="8">
        <v>0</v>
      </c>
      <c r="F9637" s="8">
        <v>1182</v>
      </c>
    </row>
    <row r="9638" spans="1:6" ht="12.75">
      <c r="A9638" s="8">
        <v>43900.546261574069</v>
      </c>
      <c r="B9638" s="8" t="str">
        <f>HYPERLINK("https://twitter.com/GHadikarsa","@GHadikarsa")</f>
        <v>@GHadikarsa</v>
      </c>
      <c r="C9638" s="8" t="s">
        <v>318</v>
      </c>
      <c r="D9638" s="8">
        <v>435</v>
      </c>
      <c r="E9638" s="8">
        <v>0</v>
      </c>
      <c r="F9638" s="8">
        <v>267</v>
      </c>
    </row>
    <row r="9639" spans="1:6" ht="12.75">
      <c r="A9639" s="8">
        <v>43900.545590277776</v>
      </c>
      <c r="B9639" s="8" t="str">
        <f>HYPERLINK("https://twitter.com/FandiAc55658442","@FandiAc55658442")</f>
        <v>@FandiAc55658442</v>
      </c>
      <c r="C9639" s="8" t="s">
        <v>4324</v>
      </c>
      <c r="D9639" s="8">
        <v>0</v>
      </c>
      <c r="E9639" s="8">
        <v>0</v>
      </c>
      <c r="F9639" s="8">
        <v>4</v>
      </c>
    </row>
    <row r="9640" spans="1:6" ht="12.75">
      <c r="A9640" s="8">
        <v>43900.545405092591</v>
      </c>
      <c r="B9640" s="8" t="str">
        <f>HYPERLINK("https://twitter.com/72_ganden","@72_ganden")</f>
        <v>@72_ganden</v>
      </c>
      <c r="C9640" s="8" t="s">
        <v>318</v>
      </c>
      <c r="D9640" s="8">
        <v>435</v>
      </c>
      <c r="E9640" s="8">
        <v>0</v>
      </c>
      <c r="F9640" s="8">
        <v>6</v>
      </c>
    </row>
    <row r="9641" spans="1:6" ht="12.75">
      <c r="A9641" s="8">
        <v>43900.545254629629</v>
      </c>
      <c r="B9641" s="8" t="str">
        <f>HYPERLINK("https://twitter.com/AGUSINDONESIA2","@AGUSINDONESIA2")</f>
        <v>@AGUSINDONESIA2</v>
      </c>
      <c r="C9641" s="8" t="s">
        <v>3190</v>
      </c>
      <c r="D9641" s="8">
        <v>57</v>
      </c>
      <c r="E9641" s="8">
        <v>0</v>
      </c>
      <c r="F9641" s="8">
        <v>424</v>
      </c>
    </row>
    <row r="9642" spans="1:6" ht="12.75">
      <c r="A9642" s="8">
        <v>43900.544618055559</v>
      </c>
      <c r="B9642" s="8" t="str">
        <f>HYPERLINK("https://twitter.com/eizanfolks","@eizanfolks")</f>
        <v>@eizanfolks</v>
      </c>
      <c r="C9642" s="8" t="s">
        <v>1427</v>
      </c>
      <c r="D9642" s="8">
        <v>1048</v>
      </c>
      <c r="E9642" s="8">
        <v>0</v>
      </c>
      <c r="F9642" s="8">
        <v>8958</v>
      </c>
    </row>
    <row r="9643" spans="1:6" ht="12.75">
      <c r="A9643" s="8">
        <v>43900.54451388889</v>
      </c>
      <c r="B9643" s="8" t="str">
        <f>HYPERLINK("https://twitter.com/Qolybri_8216","@Qolybri_8216")</f>
        <v>@Qolybri_8216</v>
      </c>
      <c r="C9643" s="8" t="s">
        <v>318</v>
      </c>
      <c r="D9643" s="8">
        <v>435</v>
      </c>
      <c r="E9643" s="8">
        <v>0</v>
      </c>
      <c r="F9643" s="8">
        <v>2117</v>
      </c>
    </row>
    <row r="9644" spans="1:6" ht="12.75">
      <c r="A9644" s="8">
        <v>43900.543981481482</v>
      </c>
      <c r="B9644" s="8" t="str">
        <f>HYPERLINK("https://twitter.com/ngonowaelah","@ngonowaelah")</f>
        <v>@ngonowaelah</v>
      </c>
      <c r="C9644" s="8" t="s">
        <v>4325</v>
      </c>
      <c r="D9644" s="8">
        <v>12</v>
      </c>
      <c r="E9644" s="8">
        <v>0</v>
      </c>
      <c r="F9644" s="8">
        <v>1845</v>
      </c>
    </row>
    <row r="9645" spans="1:6" ht="12.75">
      <c r="A9645" s="8">
        <v>43900.543715277774</v>
      </c>
      <c r="B9645" s="8" t="str">
        <f>HYPERLINK("https://twitter.com/satrianaga","@satrianaga")</f>
        <v>@satrianaga</v>
      </c>
      <c r="C9645" s="8" t="s">
        <v>318</v>
      </c>
      <c r="D9645" s="8">
        <v>435</v>
      </c>
      <c r="E9645" s="8">
        <v>0</v>
      </c>
      <c r="F9645" s="8">
        <v>327</v>
      </c>
    </row>
    <row r="9646" spans="1:6" ht="12.75">
      <c r="A9646" s="8">
        <v>43900.54351851852</v>
      </c>
      <c r="B9646" s="8" t="str">
        <f>HYPERLINK("https://twitter.com/indraalfarius","@indraalfarius")</f>
        <v>@indraalfarius</v>
      </c>
      <c r="C9646" s="8" t="s">
        <v>318</v>
      </c>
      <c r="D9646" s="8">
        <v>435</v>
      </c>
      <c r="E9646" s="8">
        <v>0</v>
      </c>
      <c r="F9646" s="8">
        <v>694</v>
      </c>
    </row>
    <row r="9647" spans="1:6" ht="12.75">
      <c r="A9647" s="8">
        <v>43900.543229166666</v>
      </c>
      <c r="B9647" s="8" t="str">
        <f>HYPERLINK("https://twitter.com/SarahFaradhiba2","@SarahFaradhiba2")</f>
        <v>@SarahFaradhiba2</v>
      </c>
      <c r="C9647" s="8" t="s">
        <v>4326</v>
      </c>
      <c r="D9647" s="8">
        <v>0</v>
      </c>
      <c r="E9647" s="8">
        <v>0</v>
      </c>
      <c r="F9647" s="8">
        <v>148</v>
      </c>
    </row>
    <row r="9648" spans="1:6" ht="12.75">
      <c r="A9648" s="8">
        <v>43900.542986111112</v>
      </c>
      <c r="B9648" s="8" t="str">
        <f>HYPERLINK("https://twitter.com/slamet_mugy","@slamet_mugy")</f>
        <v>@slamet_mugy</v>
      </c>
      <c r="C9648" s="8" t="s">
        <v>318</v>
      </c>
      <c r="D9648" s="8">
        <v>435</v>
      </c>
      <c r="E9648" s="8">
        <v>0</v>
      </c>
      <c r="F9648" s="8">
        <v>94</v>
      </c>
    </row>
    <row r="9649" spans="1:6" ht="12.75">
      <c r="A9649" s="8">
        <v>43900.542696759258</v>
      </c>
      <c r="B9649" s="8" t="str">
        <f>HYPERLINK("https://twitter.com/TMustcho","@TMustcho")</f>
        <v>@TMustcho</v>
      </c>
      <c r="C9649" s="8" t="s">
        <v>318</v>
      </c>
      <c r="D9649" s="8">
        <v>435</v>
      </c>
      <c r="E9649" s="8">
        <v>0</v>
      </c>
      <c r="F9649" s="8">
        <v>586</v>
      </c>
    </row>
    <row r="9650" spans="1:6" ht="12.75">
      <c r="A9650" s="8">
        <v>43900.542557870373</v>
      </c>
      <c r="B9650" s="8" t="str">
        <f>HYPERLINK("https://twitter.com/53N74N7H","@53N74N7H")</f>
        <v>@53N74N7H</v>
      </c>
      <c r="C9650" s="8" t="s">
        <v>4327</v>
      </c>
      <c r="D9650" s="8">
        <v>1</v>
      </c>
      <c r="E9650" s="8">
        <v>0</v>
      </c>
      <c r="F9650" s="8">
        <v>1532</v>
      </c>
    </row>
    <row r="9651" spans="1:6" ht="12.75">
      <c r="A9651" s="8">
        <v>43900.54241898148</v>
      </c>
      <c r="B9651" s="8" t="str">
        <f>HYPERLINK("https://twitter.com/syam2s","@syam2s")</f>
        <v>@syam2s</v>
      </c>
      <c r="C9651" s="8" t="s">
        <v>295</v>
      </c>
      <c r="D9651" s="8">
        <v>55</v>
      </c>
      <c r="E9651" s="8">
        <v>0</v>
      </c>
      <c r="F9651" s="8">
        <v>813</v>
      </c>
    </row>
    <row r="9652" spans="1:6" ht="12.75">
      <c r="A9652" s="8">
        <v>43900.542326388888</v>
      </c>
      <c r="B9652" s="8" t="str">
        <f>HYPERLINK("https://twitter.com/dodiraveni","@dodiraveni")</f>
        <v>@dodiraveni</v>
      </c>
      <c r="C9652" s="8" t="s">
        <v>318</v>
      </c>
      <c r="D9652" s="8">
        <v>435</v>
      </c>
      <c r="E9652" s="8">
        <v>0</v>
      </c>
      <c r="F9652" s="8">
        <v>256</v>
      </c>
    </row>
    <row r="9653" spans="1:6" ht="12.75">
      <c r="A9653" s="8">
        <v>43900.541018518517</v>
      </c>
      <c r="B9653" s="8" t="str">
        <f>HYPERLINK("https://twitter.com/Suswant65202349","@Suswant65202349")</f>
        <v>@Suswant65202349</v>
      </c>
      <c r="C9653" s="8" t="s">
        <v>318</v>
      </c>
      <c r="D9653" s="8">
        <v>435</v>
      </c>
      <c r="E9653" s="8">
        <v>0</v>
      </c>
      <c r="F9653" s="8">
        <v>25</v>
      </c>
    </row>
    <row r="9654" spans="1:6" ht="12.75">
      <c r="A9654" s="8">
        <v>43900.540162037039</v>
      </c>
      <c r="B9654" s="8" t="str">
        <f>HYPERLINK("https://twitter.com/glaciofluvigeom","@glaciofluvigeom")</f>
        <v>@glaciofluvigeom</v>
      </c>
      <c r="C9654" s="8" t="s">
        <v>1957</v>
      </c>
      <c r="D9654" s="8">
        <v>1472</v>
      </c>
      <c r="E9654" s="8">
        <v>0</v>
      </c>
      <c r="F9654" s="8">
        <v>105</v>
      </c>
    </row>
    <row r="9655" spans="1:6" ht="12.75">
      <c r="A9655" s="8">
        <v>43900.539826388893</v>
      </c>
      <c r="B9655" s="8" t="str">
        <f>HYPERLINK("https://twitter.com/masrurin7","@masrurin7")</f>
        <v>@masrurin7</v>
      </c>
      <c r="C9655" s="8" t="s">
        <v>1186</v>
      </c>
      <c r="D9655" s="8">
        <v>11</v>
      </c>
      <c r="E9655" s="8">
        <v>0</v>
      </c>
      <c r="F9655" s="8">
        <v>220</v>
      </c>
    </row>
    <row r="9656" spans="1:6" ht="12.75">
      <c r="A9656" s="8">
        <v>43900.53943287037</v>
      </c>
      <c r="B9656" s="8" t="str">
        <f>HYPERLINK("https://twitter.com/SangkhalifahC","@SangkhalifahC")</f>
        <v>@SangkhalifahC</v>
      </c>
      <c r="C9656" s="8" t="s">
        <v>4328</v>
      </c>
      <c r="D9656" s="8">
        <v>0</v>
      </c>
      <c r="E9656" s="8">
        <v>0</v>
      </c>
      <c r="F9656" s="8">
        <v>6</v>
      </c>
    </row>
    <row r="9657" spans="1:6" ht="12.75">
      <c r="A9657" s="8">
        <v>43900.539386574077</v>
      </c>
      <c r="B9657" s="8" t="str">
        <f>HYPERLINK("https://twitter.com/PrimaPerdana5","@PrimaPerdana5")</f>
        <v>@PrimaPerdana5</v>
      </c>
      <c r="C9657" s="8" t="s">
        <v>318</v>
      </c>
      <c r="D9657" s="8">
        <v>435</v>
      </c>
      <c r="E9657" s="8">
        <v>0</v>
      </c>
      <c r="F9657" s="8">
        <v>34</v>
      </c>
    </row>
    <row r="9658" spans="1:6" ht="12.75">
      <c r="A9658" s="8">
        <v>43900.538981481484</v>
      </c>
      <c r="B9658" s="8" t="str">
        <f>HYPERLINK("https://twitter.com/icadakimasu","@icadakimasu")</f>
        <v>@icadakimasu</v>
      </c>
      <c r="C9658" s="8" t="s">
        <v>4329</v>
      </c>
      <c r="D9658" s="8">
        <v>5558</v>
      </c>
      <c r="E9658" s="8">
        <v>0</v>
      </c>
      <c r="F9658" s="8">
        <v>1121</v>
      </c>
    </row>
    <row r="9659" spans="1:6" ht="12.75">
      <c r="A9659" s="8">
        <v>43900.538101851853</v>
      </c>
      <c r="B9659" s="8" t="str">
        <f>HYPERLINK("https://twitter.com/jokowidohoax","@jokowidohoax")</f>
        <v>@jokowidohoax</v>
      </c>
      <c r="C9659" s="8" t="s">
        <v>318</v>
      </c>
      <c r="D9659" s="8">
        <v>435</v>
      </c>
      <c r="E9659" s="8">
        <v>0</v>
      </c>
      <c r="F9659" s="8">
        <v>1175</v>
      </c>
    </row>
    <row r="9660" spans="1:6" ht="12.75">
      <c r="A9660" s="8">
        <v>43900.53805555556</v>
      </c>
      <c r="B9660" s="8" t="str">
        <f>HYPERLINK("https://twitter.com/safirasafifra","@safirasafifra")</f>
        <v>@safirasafifra</v>
      </c>
      <c r="C9660" s="8" t="s">
        <v>318</v>
      </c>
      <c r="D9660" s="8">
        <v>435</v>
      </c>
      <c r="E9660" s="8">
        <v>0</v>
      </c>
      <c r="F9660" s="8">
        <v>42</v>
      </c>
    </row>
    <row r="9661" spans="1:6" ht="12.75">
      <c r="A9661" s="8">
        <v>43900.538020833337</v>
      </c>
      <c r="B9661" s="8" t="str">
        <f>HYPERLINK("https://twitter.com/BustamyKarmen","@BustamyKarmen")</f>
        <v>@BustamyKarmen</v>
      </c>
      <c r="C9661" s="8" t="s">
        <v>4330</v>
      </c>
      <c r="D9661" s="8">
        <v>0</v>
      </c>
      <c r="E9661" s="8">
        <v>0</v>
      </c>
      <c r="F9661" s="8">
        <v>0</v>
      </c>
    </row>
    <row r="9662" spans="1:6" ht="12.75">
      <c r="A9662" s="8">
        <v>43900.537997685184</v>
      </c>
      <c r="B9662" s="8" t="str">
        <f>HYPERLINK("https://twitter.com/suryabangga","@suryabangga")</f>
        <v>@suryabangga</v>
      </c>
      <c r="C9662" s="8" t="s">
        <v>3190</v>
      </c>
      <c r="D9662" s="8">
        <v>57</v>
      </c>
      <c r="E9662" s="8">
        <v>0</v>
      </c>
      <c r="F9662" s="8">
        <v>498</v>
      </c>
    </row>
    <row r="9663" spans="1:6" ht="12.75">
      <c r="A9663" s="8">
        <v>43900.537731481483</v>
      </c>
      <c r="B9663" s="8" t="str">
        <f>HYPERLINK("https://twitter.com/abi_rasyid212","@abi_rasyid212")</f>
        <v>@abi_rasyid212</v>
      </c>
      <c r="C9663" s="8" t="s">
        <v>318</v>
      </c>
      <c r="D9663" s="8">
        <v>435</v>
      </c>
      <c r="E9663" s="8">
        <v>0</v>
      </c>
      <c r="F9663" s="8">
        <v>427</v>
      </c>
    </row>
    <row r="9664" spans="1:6" ht="12.75">
      <c r="A9664" s="8">
        <v>43900.537615740745</v>
      </c>
      <c r="B9664" s="8" t="str">
        <f>HYPERLINK("https://twitter.com/Nuke_Fit","@Nuke_Fit")</f>
        <v>@Nuke_Fit</v>
      </c>
      <c r="C9664" s="8" t="s">
        <v>3262</v>
      </c>
      <c r="D9664" s="8">
        <v>245</v>
      </c>
      <c r="E9664" s="8">
        <v>0</v>
      </c>
      <c r="F9664" s="8">
        <v>411</v>
      </c>
    </row>
    <row r="9665" spans="1:6" ht="12.75">
      <c r="A9665" s="8">
        <v>43900.53733796296</v>
      </c>
      <c r="B9665" s="8" t="str">
        <f>HYPERLINK("https://twitter.com/Bolang37042789","@Bolang37042789")</f>
        <v>@Bolang37042789</v>
      </c>
      <c r="C9665" s="8" t="s">
        <v>318</v>
      </c>
      <c r="D9665" s="8">
        <v>435</v>
      </c>
      <c r="E9665" s="8">
        <v>0</v>
      </c>
      <c r="F9665" s="8">
        <v>29</v>
      </c>
    </row>
    <row r="9666" spans="1:6" ht="12.75">
      <c r="A9666" s="8">
        <v>43900.537037037036</v>
      </c>
      <c r="B9666" s="8" t="str">
        <f>HYPERLINK("https://twitter.com/PojokNU","@PojokNU")</f>
        <v>@PojokNU</v>
      </c>
      <c r="C9666" s="8" t="s">
        <v>4331</v>
      </c>
      <c r="D9666" s="8">
        <v>0</v>
      </c>
      <c r="E9666" s="8">
        <v>0</v>
      </c>
      <c r="F9666" s="8">
        <v>708</v>
      </c>
    </row>
    <row r="9667" spans="1:6" ht="12.75">
      <c r="A9667" s="8">
        <v>43900.536516203705</v>
      </c>
      <c r="B9667" s="8" t="str">
        <f>HYPERLINK("https://twitter.com/uday_lalit","@uday_lalit")</f>
        <v>@uday_lalit</v>
      </c>
      <c r="C9667" s="8" t="s">
        <v>1957</v>
      </c>
      <c r="D9667" s="8">
        <v>1472</v>
      </c>
      <c r="E9667" s="8">
        <v>0</v>
      </c>
      <c r="F9667" s="8">
        <v>199</v>
      </c>
    </row>
    <row r="9668" spans="1:6" ht="12.75">
      <c r="A9668" s="8">
        <v>43900.536504629628</v>
      </c>
      <c r="B9668" s="8" t="str">
        <f>HYPERLINK("https://twitter.com/NianaHasibuan","@NianaHasibuan")</f>
        <v>@NianaHasibuan</v>
      </c>
      <c r="C9668" s="8" t="s">
        <v>318</v>
      </c>
      <c r="D9668" s="8">
        <v>435</v>
      </c>
      <c r="E9668" s="8">
        <v>0</v>
      </c>
      <c r="F9668" s="8">
        <v>351</v>
      </c>
    </row>
    <row r="9669" spans="1:6" ht="12.75">
      <c r="A9669" s="8">
        <v>43900.536458333328</v>
      </c>
      <c r="B9669" s="8" t="str">
        <f>HYPERLINK("https://twitter.com/yoladwi16","@yoladwi16")</f>
        <v>@yoladwi16</v>
      </c>
      <c r="C9669" s="8" t="s">
        <v>4332</v>
      </c>
      <c r="D9669" s="8">
        <v>2</v>
      </c>
      <c r="E9669" s="8">
        <v>0</v>
      </c>
      <c r="F9669" s="8">
        <v>400</v>
      </c>
    </row>
    <row r="9670" spans="1:6" ht="12.75">
      <c r="A9670" s="8">
        <v>43900.536250000005</v>
      </c>
      <c r="B9670" s="8" t="str">
        <f>HYPERLINK("https://twitter.com/HaswanEvan","@HaswanEvan")</f>
        <v>@HaswanEvan</v>
      </c>
      <c r="C9670" s="8" t="s">
        <v>318</v>
      </c>
      <c r="D9670" s="8">
        <v>435</v>
      </c>
      <c r="E9670" s="8">
        <v>0</v>
      </c>
      <c r="F9670" s="8">
        <v>565</v>
      </c>
    </row>
    <row r="9671" spans="1:6" ht="12.75">
      <c r="A9671" s="8">
        <v>43900.536111111112</v>
      </c>
      <c r="B9671" s="8" t="str">
        <f>HYPERLINK("https://twitter.com/LembagaMacan","@LembagaMacan")</f>
        <v>@LembagaMacan</v>
      </c>
      <c r="C9671" s="8" t="s">
        <v>318</v>
      </c>
      <c r="D9671" s="8">
        <v>435</v>
      </c>
      <c r="E9671" s="8">
        <v>0</v>
      </c>
      <c r="F9671" s="8">
        <v>2</v>
      </c>
    </row>
    <row r="9672" spans="1:6" ht="12.75">
      <c r="A9672" s="8">
        <v>43900.535868055551</v>
      </c>
      <c r="B9672" s="8" t="str">
        <f>HYPERLINK("https://twitter.com/putra_bisma12","@putra_bisma12")</f>
        <v>@putra_bisma12</v>
      </c>
      <c r="C9672" s="8" t="s">
        <v>4333</v>
      </c>
      <c r="D9672" s="8">
        <v>0</v>
      </c>
      <c r="E9672" s="8">
        <v>1</v>
      </c>
      <c r="F9672" s="8">
        <v>4257</v>
      </c>
    </row>
    <row r="9673" spans="1:6" ht="12.75">
      <c r="A9673" s="8">
        <v>43900.535590277781</v>
      </c>
      <c r="B9673" s="8" t="str">
        <f>HYPERLINK("https://twitter.com/HzGashirTx","@HzGashirTx")</f>
        <v>@HzGashirTx</v>
      </c>
      <c r="C9673" s="8" t="s">
        <v>318</v>
      </c>
      <c r="D9673" s="8">
        <v>435</v>
      </c>
      <c r="E9673" s="8">
        <v>0</v>
      </c>
      <c r="F9673" s="8">
        <v>43</v>
      </c>
    </row>
    <row r="9674" spans="1:6" ht="12.75">
      <c r="A9674" s="8">
        <v>43900.535439814819</v>
      </c>
      <c r="B9674" s="8" t="str">
        <f>HYPERLINK("https://twitter.com/endangmuslim4","@endangmuslim4")</f>
        <v>@endangmuslim4</v>
      </c>
      <c r="C9674" s="8" t="s">
        <v>318</v>
      </c>
      <c r="D9674" s="8">
        <v>435</v>
      </c>
      <c r="E9674" s="8">
        <v>0</v>
      </c>
      <c r="F9674" s="8">
        <v>39</v>
      </c>
    </row>
    <row r="9675" spans="1:6" ht="12.75">
      <c r="A9675" s="8">
        <v>43900.535370370373</v>
      </c>
      <c r="B9675" s="8" t="str">
        <f>HYPERLINK("https://twitter.com/ep717","@ep717")</f>
        <v>@ep717</v>
      </c>
      <c r="C9675" s="8" t="s">
        <v>318</v>
      </c>
      <c r="D9675" s="8">
        <v>435</v>
      </c>
      <c r="E9675" s="8">
        <v>0</v>
      </c>
      <c r="F9675" s="8">
        <v>375</v>
      </c>
    </row>
    <row r="9676" spans="1:6" ht="12.75">
      <c r="A9676" s="8">
        <v>43900.534826388888</v>
      </c>
      <c r="B9676" s="8" t="str">
        <f>HYPERLINK("https://twitter.com/EveReadyItem","@EveReadyItem")</f>
        <v>@EveReadyItem</v>
      </c>
      <c r="C9676" s="8" t="s">
        <v>318</v>
      </c>
      <c r="D9676" s="8">
        <v>435</v>
      </c>
      <c r="E9676" s="8">
        <v>0</v>
      </c>
      <c r="F9676" s="8">
        <v>2892</v>
      </c>
    </row>
    <row r="9677" spans="1:6" ht="12.75">
      <c r="A9677" s="8">
        <v>43900.534583333334</v>
      </c>
      <c r="B9677" s="8" t="str">
        <f>HYPERLINK("https://twitter.com/tofu_crispy","@tofu_crispy")</f>
        <v>@tofu_crispy</v>
      </c>
      <c r="C9677" s="8" t="s">
        <v>3648</v>
      </c>
      <c r="D9677" s="8">
        <v>647</v>
      </c>
      <c r="E9677" s="8">
        <v>0</v>
      </c>
      <c r="F9677" s="8">
        <v>209</v>
      </c>
    </row>
    <row r="9678" spans="1:6" ht="12.75">
      <c r="A9678" s="8">
        <v>43900.534375000003</v>
      </c>
      <c r="B9678" s="8" t="str">
        <f>HYPERLINK("https://twitter.com/theWorldOfLie","@theWorldOfLie")</f>
        <v>@theWorldOfLie</v>
      </c>
      <c r="C9678" s="8" t="s">
        <v>318</v>
      </c>
      <c r="D9678" s="8">
        <v>435</v>
      </c>
      <c r="E9678" s="8">
        <v>0</v>
      </c>
      <c r="F9678" s="8">
        <v>1085</v>
      </c>
    </row>
    <row r="9679" spans="1:6" ht="12.75">
      <c r="A9679" s="8">
        <v>43900.534363425926</v>
      </c>
      <c r="B9679" s="8" t="str">
        <f>HYPERLINK("https://twitter.com/SherlyMam","@SherlyMam")</f>
        <v>@SherlyMam</v>
      </c>
      <c r="C9679" s="8" t="s">
        <v>4218</v>
      </c>
      <c r="D9679" s="8">
        <v>8</v>
      </c>
      <c r="E9679" s="8">
        <v>0</v>
      </c>
      <c r="F9679" s="8">
        <v>732</v>
      </c>
    </row>
    <row r="9680" spans="1:6" ht="12.75">
      <c r="A9680" s="8">
        <v>43900.53396990741</v>
      </c>
      <c r="B9680" s="8" t="str">
        <f>HYPERLINK("https://twitter.com/Tukangs43614478","@Tukangs43614478")</f>
        <v>@Tukangs43614478</v>
      </c>
      <c r="C9680" s="8" t="s">
        <v>318</v>
      </c>
      <c r="D9680" s="8">
        <v>435</v>
      </c>
      <c r="E9680" s="8">
        <v>0</v>
      </c>
      <c r="F9680" s="8">
        <v>728</v>
      </c>
    </row>
    <row r="9681" spans="1:6" ht="12.75">
      <c r="A9681" s="8">
        <v>43900.532847222217</v>
      </c>
      <c r="B9681" s="8" t="str">
        <f>HYPERLINK("https://twitter.com/mindasari29","@mindasari29")</f>
        <v>@mindasari29</v>
      </c>
      <c r="C9681" s="8" t="s">
        <v>318</v>
      </c>
      <c r="D9681" s="8">
        <v>435</v>
      </c>
      <c r="E9681" s="8">
        <v>0</v>
      </c>
      <c r="F9681" s="8">
        <v>435</v>
      </c>
    </row>
    <row r="9682" spans="1:6" ht="12.75">
      <c r="A9682" s="8">
        <v>43900.532326388886</v>
      </c>
      <c r="B9682" s="8" t="str">
        <f>HYPERLINK("https://twitter.com/DamailahRI","@DamailahRI")</f>
        <v>@DamailahRI</v>
      </c>
      <c r="C9682" s="8" t="s">
        <v>4334</v>
      </c>
      <c r="D9682" s="8">
        <v>0</v>
      </c>
      <c r="E9682" s="8">
        <v>0</v>
      </c>
      <c r="F9682" s="8">
        <v>32226</v>
      </c>
    </row>
    <row r="9683" spans="1:6" ht="12.75">
      <c r="A9683" s="8">
        <v>43900.532314814816</v>
      </c>
      <c r="B9683" s="8" t="str">
        <f>HYPERLINK("https://twitter.com/trisno_khs","@trisno_khs")</f>
        <v>@trisno_khs</v>
      </c>
      <c r="C9683" s="8" t="s">
        <v>3190</v>
      </c>
      <c r="D9683" s="8">
        <v>57</v>
      </c>
      <c r="E9683" s="8">
        <v>0</v>
      </c>
      <c r="F9683" s="8">
        <v>33</v>
      </c>
    </row>
    <row r="9684" spans="1:6" ht="12.75">
      <c r="A9684" s="8">
        <v>43900.532314814816</v>
      </c>
      <c r="B9684" s="8" t="str">
        <f>HYPERLINK("https://twitter.com/Baqimustaghfiri","@Baqimustaghfiri")</f>
        <v>@Baqimustaghfiri</v>
      </c>
      <c r="C9684" s="8" t="s">
        <v>3190</v>
      </c>
      <c r="D9684" s="8">
        <v>57</v>
      </c>
      <c r="E9684" s="8">
        <v>0</v>
      </c>
      <c r="F9684" s="8">
        <v>522</v>
      </c>
    </row>
    <row r="9685" spans="1:6" ht="12.75">
      <c r="A9685" s="8">
        <v>43900.531875000001</v>
      </c>
      <c r="B9685" s="8" t="str">
        <f>HYPERLINK("https://twitter.com/Chris17147695","@Chris17147695")</f>
        <v>@Chris17147695</v>
      </c>
      <c r="C9685" s="8" t="s">
        <v>3190</v>
      </c>
      <c r="D9685" s="8">
        <v>57</v>
      </c>
      <c r="E9685" s="8">
        <v>0</v>
      </c>
      <c r="F9685" s="8">
        <v>129</v>
      </c>
    </row>
    <row r="9686" spans="1:6" ht="12.75">
      <c r="A9686" s="8">
        <v>43900.531793981485</v>
      </c>
      <c r="B9686" s="8" t="str">
        <f>HYPERLINK("https://twitter.com/Febi_aop","@Febi_aop")</f>
        <v>@Febi_aop</v>
      </c>
      <c r="C9686" s="8" t="s">
        <v>318</v>
      </c>
      <c r="D9686" s="8">
        <v>435</v>
      </c>
      <c r="E9686" s="8">
        <v>0</v>
      </c>
      <c r="F9686" s="8">
        <v>323</v>
      </c>
    </row>
    <row r="9687" spans="1:6" ht="12.75">
      <c r="A9687" s="8">
        <v>43900.531539351854</v>
      </c>
      <c r="B9687" s="8" t="str">
        <f>HYPERLINK("https://twitter.com/abyalif74_noni","@abyalif74_noni")</f>
        <v>@abyalif74_noni</v>
      </c>
      <c r="C9687" s="8" t="s">
        <v>318</v>
      </c>
      <c r="D9687" s="8">
        <v>435</v>
      </c>
      <c r="E9687" s="8">
        <v>0</v>
      </c>
      <c r="F9687" s="8">
        <v>3974</v>
      </c>
    </row>
    <row r="9688" spans="1:6" ht="12.75">
      <c r="A9688" s="8">
        <v>43900.531076388885</v>
      </c>
      <c r="B9688" s="8" t="str">
        <f>HYPERLINK("https://twitter.com/Mirae62981454","@Mirae62981454")</f>
        <v>@Mirae62981454</v>
      </c>
      <c r="C9688" s="8" t="s">
        <v>318</v>
      </c>
      <c r="D9688" s="8">
        <v>435</v>
      </c>
      <c r="E9688" s="8">
        <v>0</v>
      </c>
      <c r="F9688" s="8">
        <v>531</v>
      </c>
    </row>
    <row r="9689" spans="1:6" ht="12.75">
      <c r="A9689" s="8">
        <v>43900.530995370369</v>
      </c>
      <c r="B9689" s="8" t="str">
        <f>HYPERLINK("https://twitter.com/HirvySarmento","@HirvySarmento")</f>
        <v>@HirvySarmento</v>
      </c>
      <c r="C9689" s="8" t="s">
        <v>318</v>
      </c>
      <c r="D9689" s="8">
        <v>435</v>
      </c>
      <c r="E9689" s="8">
        <v>0</v>
      </c>
      <c r="F9689" s="8">
        <v>331</v>
      </c>
    </row>
    <row r="9690" spans="1:6" ht="12.75">
      <c r="A9690" s="8">
        <v>43900.530833333338</v>
      </c>
      <c r="B9690" s="8" t="str">
        <f>HYPERLINK("https://twitter.com/NingrumJameela","@NingrumJameela")</f>
        <v>@NingrumJameela</v>
      </c>
      <c r="C9690" s="8" t="s">
        <v>318</v>
      </c>
      <c r="D9690" s="8">
        <v>435</v>
      </c>
      <c r="E9690" s="8">
        <v>0</v>
      </c>
      <c r="F9690" s="8">
        <v>4771</v>
      </c>
    </row>
    <row r="9691" spans="1:6" ht="12.75">
      <c r="A9691" s="8">
        <v>43900.530763888892</v>
      </c>
      <c r="B9691" s="8" t="str">
        <f>HYPERLINK("https://twitter.com/kurnias37443041","@kurnias37443041")</f>
        <v>@kurnias37443041</v>
      </c>
      <c r="C9691" s="8" t="s">
        <v>3190</v>
      </c>
      <c r="D9691" s="8">
        <v>57</v>
      </c>
      <c r="E9691" s="8">
        <v>0</v>
      </c>
      <c r="F9691" s="8">
        <v>35</v>
      </c>
    </row>
    <row r="9692" spans="1:6" ht="12.75">
      <c r="A9692" s="8">
        <v>43900.530312499999</v>
      </c>
      <c r="B9692" s="8" t="str">
        <f>HYPERLINK("https://twitter.com/raanimh","@raanimh")</f>
        <v>@raanimh</v>
      </c>
      <c r="C9692" s="8" t="s">
        <v>318</v>
      </c>
      <c r="D9692" s="8">
        <v>435</v>
      </c>
      <c r="E9692" s="8">
        <v>0</v>
      </c>
      <c r="F9692" s="8">
        <v>31</v>
      </c>
    </row>
    <row r="9693" spans="1:6" ht="12.75">
      <c r="A9693" s="8">
        <v>43900.530081018514</v>
      </c>
      <c r="B9693" s="8" t="str">
        <f>HYPERLINK("https://twitter.com/echaasmawi","@echaasmawi")</f>
        <v>@echaasmawi</v>
      </c>
      <c r="C9693" s="8" t="s">
        <v>318</v>
      </c>
      <c r="D9693" s="8">
        <v>435</v>
      </c>
      <c r="E9693" s="8">
        <v>0</v>
      </c>
      <c r="F9693" s="8">
        <v>1473</v>
      </c>
    </row>
    <row r="9694" spans="1:6" ht="12.75">
      <c r="A9694" s="8">
        <v>43900.53</v>
      </c>
      <c r="B9694" s="8" t="str">
        <f>HYPERLINK("https://twitter.com/ISIS_Balik_NO","@ISIS_Balik_NO")</f>
        <v>@ISIS_Balik_NO</v>
      </c>
      <c r="C9694" s="8" t="s">
        <v>4335</v>
      </c>
      <c r="D9694" s="8">
        <v>0</v>
      </c>
      <c r="E9694" s="8">
        <v>0</v>
      </c>
      <c r="F9694" s="8">
        <v>6218</v>
      </c>
    </row>
    <row r="9695" spans="1:6" ht="12.75">
      <c r="A9695" s="8">
        <v>43900.529872685191</v>
      </c>
      <c r="B9695" s="8" t="str">
        <f>HYPERLINK("https://twitter.com/_afaz","@_afaz")</f>
        <v>@_afaz</v>
      </c>
      <c r="C9695" s="8" t="s">
        <v>3050</v>
      </c>
      <c r="D9695" s="8">
        <v>114</v>
      </c>
      <c r="E9695" s="8">
        <v>0</v>
      </c>
      <c r="F9695" s="8">
        <v>266</v>
      </c>
    </row>
    <row r="9696" spans="1:6" ht="12.75">
      <c r="A9696" s="8">
        <v>43900.529652777783</v>
      </c>
      <c r="B9696" s="8" t="str">
        <f>HYPERLINK("https://twitter.com/jenDarain","@jenDarain")</f>
        <v>@jenDarain</v>
      </c>
      <c r="C9696" s="8" t="s">
        <v>3190</v>
      </c>
      <c r="D9696" s="8">
        <v>57</v>
      </c>
      <c r="E9696" s="8">
        <v>0</v>
      </c>
      <c r="F9696" s="8">
        <v>3717</v>
      </c>
    </row>
    <row r="9697" spans="1:6" ht="12.75">
      <c r="A9697" s="8">
        <v>43900.529594907406</v>
      </c>
      <c r="B9697" s="8" t="str">
        <f>HYPERLINK("https://twitter.com/kbrimanama","@kbrimanama")</f>
        <v>@kbrimanama</v>
      </c>
      <c r="C9697" s="8" t="s">
        <v>2851</v>
      </c>
      <c r="D9697" s="8">
        <v>28</v>
      </c>
      <c r="E9697" s="8">
        <v>0</v>
      </c>
      <c r="F9697" s="8">
        <v>1431</v>
      </c>
    </row>
    <row r="9698" spans="1:6" ht="12.75">
      <c r="A9698" s="8">
        <v>43900.529363425929</v>
      </c>
      <c r="B9698" s="8" t="str">
        <f>HYPERLINK("https://twitter.com/I_Luv300","@I_Luv300")</f>
        <v>@I_Luv300</v>
      </c>
      <c r="C9698" s="8" t="s">
        <v>318</v>
      </c>
      <c r="D9698" s="8">
        <v>435</v>
      </c>
      <c r="E9698" s="8">
        <v>0</v>
      </c>
      <c r="F9698" s="8">
        <v>96</v>
      </c>
    </row>
    <row r="9699" spans="1:6" ht="12.75">
      <c r="A9699" s="8">
        <v>43900.529351851852</v>
      </c>
      <c r="B9699" s="8" t="str">
        <f>HYPERLINK("https://twitter.com/jundullohNKRI","@jundullohNKRI")</f>
        <v>@jundullohNKRI</v>
      </c>
      <c r="C9699" s="8" t="s">
        <v>318</v>
      </c>
      <c r="D9699" s="8">
        <v>435</v>
      </c>
      <c r="E9699" s="8">
        <v>0</v>
      </c>
      <c r="F9699" s="8">
        <v>457</v>
      </c>
    </row>
    <row r="9700" spans="1:6" ht="12.75">
      <c r="A9700" s="8">
        <v>43900.529120370367</v>
      </c>
      <c r="B9700" s="8" t="str">
        <f>HYPERLINK("https://twitter.com/daviani_sendy","@daviani_sendy")</f>
        <v>@daviani_sendy</v>
      </c>
      <c r="C9700" s="8" t="s">
        <v>4336</v>
      </c>
      <c r="D9700" s="8">
        <v>0</v>
      </c>
      <c r="E9700" s="8">
        <v>1</v>
      </c>
      <c r="F9700" s="8">
        <v>24</v>
      </c>
    </row>
    <row r="9701" spans="1:6" ht="12.75">
      <c r="A9701" s="8">
        <v>43900.528807870374</v>
      </c>
      <c r="B9701" s="8" t="str">
        <f>HYPERLINK("https://twitter.com/ISIS_Balik_NO","@ISIS_Balik_NO")</f>
        <v>@ISIS_Balik_NO</v>
      </c>
      <c r="C9701" s="8" t="s">
        <v>4337</v>
      </c>
      <c r="D9701" s="8">
        <v>0</v>
      </c>
      <c r="E9701" s="8">
        <v>0</v>
      </c>
      <c r="F9701" s="8">
        <v>6218</v>
      </c>
    </row>
    <row r="9702" spans="1:6" ht="12.75">
      <c r="A9702" s="8">
        <v>43900.528738425928</v>
      </c>
      <c r="B9702" s="8" t="str">
        <f>HYPERLINK("https://twitter.com/tonyfathony2","@tonyfathony2")</f>
        <v>@tonyfathony2</v>
      </c>
      <c r="C9702" s="8" t="s">
        <v>4338</v>
      </c>
      <c r="D9702" s="8">
        <v>0</v>
      </c>
      <c r="E9702" s="8">
        <v>0</v>
      </c>
      <c r="F9702" s="8">
        <v>1650</v>
      </c>
    </row>
    <row r="9703" spans="1:6" ht="12.75">
      <c r="A9703" s="8">
        <v>43900.52815972222</v>
      </c>
      <c r="B9703" s="8" t="str">
        <f>HYPERLINK("https://twitter.com/ISIS_Balik_NO","@ISIS_Balik_NO")</f>
        <v>@ISIS_Balik_NO</v>
      </c>
      <c r="C9703" s="8" t="s">
        <v>4339</v>
      </c>
      <c r="D9703" s="8">
        <v>11</v>
      </c>
      <c r="E9703" s="8">
        <v>0</v>
      </c>
      <c r="F9703" s="8">
        <v>6218</v>
      </c>
    </row>
    <row r="9704" spans="1:6" ht="12.75">
      <c r="A9704" s="8">
        <v>43900.528067129635</v>
      </c>
      <c r="B9704" s="8" t="str">
        <f>HYPERLINK("https://twitter.com/AnnaHally_","@AnnaHally_")</f>
        <v>@AnnaHally_</v>
      </c>
      <c r="C9704" s="8" t="s">
        <v>2511</v>
      </c>
      <c r="D9704" s="8">
        <v>9</v>
      </c>
      <c r="E9704" s="8">
        <v>0</v>
      </c>
      <c r="F9704" s="8">
        <v>7314</v>
      </c>
    </row>
    <row r="9705" spans="1:6" ht="12.75">
      <c r="A9705" s="8">
        <v>43900.527986111112</v>
      </c>
      <c r="B9705" s="8" t="str">
        <f>HYPERLINK("https://twitter.com/IgmanYP","@IgmanYP")</f>
        <v>@IgmanYP</v>
      </c>
      <c r="C9705" s="8" t="s">
        <v>318</v>
      </c>
      <c r="D9705" s="8">
        <v>435</v>
      </c>
      <c r="E9705" s="8">
        <v>0</v>
      </c>
      <c r="F9705" s="8">
        <v>279</v>
      </c>
    </row>
    <row r="9706" spans="1:6" ht="12.75">
      <c r="A9706" s="8">
        <v>43900.527962962966</v>
      </c>
      <c r="B9706" s="8" t="str">
        <f>HYPERLINK("https://twitter.com/Blegodesign","@Blegodesign")</f>
        <v>@Blegodesign</v>
      </c>
      <c r="C9706" s="8" t="s">
        <v>4340</v>
      </c>
      <c r="D9706" s="8">
        <v>0</v>
      </c>
      <c r="E9706" s="8">
        <v>0</v>
      </c>
      <c r="F9706" s="8">
        <v>488</v>
      </c>
    </row>
    <row r="9707" spans="1:6" ht="12.75">
      <c r="A9707" s="8">
        <v>43900.527858796297</v>
      </c>
      <c r="B9707" s="8" t="str">
        <f>HYPERLINK("https://twitter.com/HariNugros05","@HariNugros05")</f>
        <v>@HariNugros05</v>
      </c>
      <c r="C9707" s="8" t="s">
        <v>318</v>
      </c>
      <c r="D9707" s="8">
        <v>435</v>
      </c>
      <c r="E9707" s="8">
        <v>0</v>
      </c>
      <c r="F9707" s="8">
        <v>662</v>
      </c>
    </row>
    <row r="9708" spans="1:6" ht="12.75">
      <c r="A9708" s="8">
        <v>43900.527835648143</v>
      </c>
      <c r="B9708" s="8" t="str">
        <f>HYPERLINK("https://twitter.com/ISIS_Balik_NO","@ISIS_Balik_NO")</f>
        <v>@ISIS_Balik_NO</v>
      </c>
      <c r="C9708" s="8" t="s">
        <v>4341</v>
      </c>
      <c r="D9708" s="8">
        <v>0</v>
      </c>
      <c r="E9708" s="8">
        <v>0</v>
      </c>
      <c r="F9708" s="8">
        <v>6218</v>
      </c>
    </row>
    <row r="9709" spans="1:6" ht="12.75">
      <c r="A9709" s="8">
        <v>43900.527789351851</v>
      </c>
      <c r="B9709" s="8" t="str">
        <f>HYPERLINK("https://twitter.com/eko_n9udiarto","@eko_n9udiarto")</f>
        <v>@eko_n9udiarto</v>
      </c>
      <c r="C9709" s="8" t="s">
        <v>318</v>
      </c>
      <c r="D9709" s="8">
        <v>435</v>
      </c>
      <c r="E9709" s="8">
        <v>0</v>
      </c>
      <c r="F9709" s="8">
        <v>902</v>
      </c>
    </row>
    <row r="9710" spans="1:6" ht="12.75">
      <c r="A9710" s="8">
        <v>43900.527511574073</v>
      </c>
      <c r="B9710" s="8" t="str">
        <f>HYPERLINK("https://twitter.com/BudiEmEm","@BudiEmEm")</f>
        <v>@BudiEmEm</v>
      </c>
      <c r="C9710" s="8" t="s">
        <v>4342</v>
      </c>
      <c r="D9710" s="8">
        <v>2</v>
      </c>
      <c r="E9710" s="8">
        <v>0</v>
      </c>
      <c r="F9710" s="8">
        <v>1544</v>
      </c>
    </row>
    <row r="9711" spans="1:6" ht="12.75">
      <c r="A9711" s="8">
        <v>43900.527025462958</v>
      </c>
      <c r="B9711" s="8" t="str">
        <f>HYPERLINK("https://twitter.com/ranaonline","@ranaonline")</f>
        <v>@ranaonline</v>
      </c>
      <c r="C9711" s="8" t="s">
        <v>1957</v>
      </c>
      <c r="D9711" s="8">
        <v>1472</v>
      </c>
      <c r="E9711" s="8">
        <v>0</v>
      </c>
      <c r="F9711" s="8">
        <v>751</v>
      </c>
    </row>
    <row r="9712" spans="1:6" ht="12.75">
      <c r="A9712" s="8">
        <v>43900.527013888888</v>
      </c>
      <c r="B9712" s="8" t="str">
        <f>HYPERLINK("https://twitter.com/BonekSiSegoElek","@BonekSiSegoElek")</f>
        <v>@BonekSiSegoElek</v>
      </c>
      <c r="C9712" s="8" t="s">
        <v>3190</v>
      </c>
      <c r="D9712" s="8">
        <v>57</v>
      </c>
      <c r="E9712" s="8">
        <v>0</v>
      </c>
      <c r="F9712" s="8">
        <v>63</v>
      </c>
    </row>
    <row r="9713" spans="1:6" ht="12.75">
      <c r="A9713" s="8">
        <v>43900.526944444442</v>
      </c>
      <c r="B9713" s="8" t="str">
        <f>HYPERLINK("https://twitter.com/cece_fakhruddin","@cece_fakhruddin")</f>
        <v>@cece_fakhruddin</v>
      </c>
      <c r="C9713" s="8" t="s">
        <v>318</v>
      </c>
      <c r="D9713" s="8">
        <v>435</v>
      </c>
      <c r="E9713" s="8">
        <v>0</v>
      </c>
      <c r="F9713" s="8">
        <v>90</v>
      </c>
    </row>
    <row r="9714" spans="1:6" ht="12.75">
      <c r="A9714" s="8">
        <v>43900.526898148149</v>
      </c>
      <c r="B9714" s="8" t="str">
        <f>HYPERLINK("https://twitter.com/zakie_mubarrok","@zakie_mubarrok")</f>
        <v>@zakie_mubarrok</v>
      </c>
      <c r="C9714" s="8" t="s">
        <v>3190</v>
      </c>
      <c r="D9714" s="8">
        <v>57</v>
      </c>
      <c r="E9714" s="8">
        <v>0</v>
      </c>
      <c r="F9714" s="8">
        <v>418</v>
      </c>
    </row>
    <row r="9715" spans="1:6" ht="12.75">
      <c r="A9715" s="8">
        <v>43900.526747685188</v>
      </c>
      <c r="B9715" s="8" t="str">
        <f>HYPERLINK("https://twitter.com/kbri_tashkent","@kbri_tashkent")</f>
        <v>@kbri_tashkent</v>
      </c>
      <c r="C9715" s="8" t="s">
        <v>2851</v>
      </c>
      <c r="D9715" s="8">
        <v>28</v>
      </c>
      <c r="E9715" s="8">
        <v>0</v>
      </c>
      <c r="F9715" s="8">
        <v>386</v>
      </c>
    </row>
    <row r="9716" spans="1:6" ht="12.75">
      <c r="A9716" s="8">
        <v>43900.526724537034</v>
      </c>
      <c r="B9716" s="8" t="str">
        <f>HYPERLINK("https://twitter.com/ISIS_Balik_NO","@ISIS_Balik_NO")</f>
        <v>@ISIS_Balik_NO</v>
      </c>
      <c r="C9716" s="8" t="s">
        <v>4343</v>
      </c>
      <c r="D9716" s="8">
        <v>23</v>
      </c>
      <c r="E9716" s="8">
        <v>0</v>
      </c>
      <c r="F9716" s="8">
        <v>6218</v>
      </c>
    </row>
    <row r="9717" spans="1:6" ht="12.75">
      <c r="A9717" s="8">
        <v>43900.526655092588</v>
      </c>
      <c r="B9717" s="8" t="str">
        <f>HYPERLINK("https://twitter.com/reviel08","@reviel08")</f>
        <v>@reviel08</v>
      </c>
      <c r="C9717" s="8" t="s">
        <v>318</v>
      </c>
      <c r="D9717" s="8">
        <v>435</v>
      </c>
      <c r="E9717" s="8">
        <v>0</v>
      </c>
      <c r="F9717" s="8">
        <v>752</v>
      </c>
    </row>
    <row r="9718" spans="1:6" ht="12.75">
      <c r="A9718" s="8">
        <v>43900.526550925926</v>
      </c>
      <c r="B9718" s="8" t="str">
        <f>HYPERLINK("https://twitter.com/Jusuf_Ah","@Jusuf_Ah")</f>
        <v>@Jusuf_Ah</v>
      </c>
      <c r="C9718" s="8" t="s">
        <v>3190</v>
      </c>
      <c r="D9718" s="8">
        <v>57</v>
      </c>
      <c r="E9718" s="8">
        <v>0</v>
      </c>
      <c r="F9718" s="8">
        <v>754</v>
      </c>
    </row>
    <row r="9719" spans="1:6" ht="12.75">
      <c r="A9719" s="8">
        <v>43900.52648148148</v>
      </c>
      <c r="B9719" s="8" t="str">
        <f>HYPERLINK("https://twitter.com/pelepasdahaga2","@pelepasdahaga2")</f>
        <v>@pelepasdahaga2</v>
      </c>
      <c r="C9719" s="8" t="s">
        <v>318</v>
      </c>
      <c r="D9719" s="8">
        <v>435</v>
      </c>
      <c r="E9719" s="8">
        <v>0</v>
      </c>
      <c r="F9719" s="8">
        <v>6</v>
      </c>
    </row>
    <row r="9720" spans="1:6" ht="12.75">
      <c r="A9720" s="8">
        <v>43900.526469907403</v>
      </c>
      <c r="B9720" s="8" t="str">
        <f>HYPERLINK("https://twitter.com/elshinta_smg","@elshinta_smg")</f>
        <v>@elshinta_smg</v>
      </c>
      <c r="C9720" s="8" t="s">
        <v>4344</v>
      </c>
      <c r="D9720" s="8">
        <v>0</v>
      </c>
      <c r="E9720" s="8">
        <v>0</v>
      </c>
      <c r="F9720" s="8">
        <v>3810</v>
      </c>
    </row>
    <row r="9721" spans="1:6" ht="12.75">
      <c r="A9721" s="8">
        <v>43900.526446759264</v>
      </c>
      <c r="B9721" s="8" t="str">
        <f>HYPERLINK("https://twitter.com/Bang_Udje","@Bang_Udje")</f>
        <v>@Bang_Udje</v>
      </c>
      <c r="C9721" s="8" t="s">
        <v>318</v>
      </c>
      <c r="D9721" s="8">
        <v>435</v>
      </c>
      <c r="E9721" s="8">
        <v>0</v>
      </c>
      <c r="F9721" s="8">
        <v>99</v>
      </c>
    </row>
    <row r="9722" spans="1:6" ht="12.75">
      <c r="A9722" s="8">
        <v>43900.526412037041</v>
      </c>
      <c r="B9722" s="8" t="str">
        <f>HYPERLINK("https://twitter.com/merdekadotcom","@merdekadotcom")</f>
        <v>@merdekadotcom</v>
      </c>
      <c r="C9722" s="8" t="s">
        <v>4345</v>
      </c>
      <c r="D9722" s="8">
        <v>0</v>
      </c>
      <c r="E9722" s="8">
        <v>1</v>
      </c>
      <c r="F9722" s="8">
        <v>231957</v>
      </c>
    </row>
    <row r="9723" spans="1:6" ht="12.75">
      <c r="A9723" s="8">
        <v>43900.526388888888</v>
      </c>
      <c r="B9723" s="8" t="str">
        <f>HYPERLINK("https://twitter.com/Theonecoser","@Theonecoser")</f>
        <v>@Theonecoser</v>
      </c>
      <c r="C9723" s="8" t="s">
        <v>318</v>
      </c>
      <c r="D9723" s="8">
        <v>435</v>
      </c>
      <c r="E9723" s="8">
        <v>0</v>
      </c>
      <c r="F9723" s="8">
        <v>58</v>
      </c>
    </row>
    <row r="9724" spans="1:6" ht="12.75">
      <c r="A9724" s="8">
        <v>43900.526365740741</v>
      </c>
      <c r="B9724" s="8" t="str">
        <f>HYPERLINK("https://twitter.com/mundsir","@mundsir")</f>
        <v>@mundsir</v>
      </c>
      <c r="C9724" s="8" t="s">
        <v>318</v>
      </c>
      <c r="D9724" s="8">
        <v>435</v>
      </c>
      <c r="E9724" s="8">
        <v>0</v>
      </c>
      <c r="F9724" s="8">
        <v>86</v>
      </c>
    </row>
    <row r="9725" spans="1:6" ht="12.75">
      <c r="A9725" s="8">
        <v>43900.52615740741</v>
      </c>
      <c r="B9725" s="8" t="str">
        <f>HYPERLINK("https://twitter.com/Syukri_rev","@Syukri_rev")</f>
        <v>@Syukri_rev</v>
      </c>
      <c r="C9725" s="8" t="s">
        <v>3190</v>
      </c>
      <c r="D9725" s="8">
        <v>57</v>
      </c>
      <c r="E9725" s="8">
        <v>0</v>
      </c>
      <c r="F9725" s="8">
        <v>472</v>
      </c>
    </row>
    <row r="9726" spans="1:6" ht="12.75">
      <c r="A9726" s="8">
        <v>43900.506851851853</v>
      </c>
      <c r="B9726" s="8" t="str">
        <f>HYPERLINK("https://twitter.com/GrabMY","@GrabMY")</f>
        <v>@GrabMY</v>
      </c>
      <c r="C9726" s="8" t="s">
        <v>4346</v>
      </c>
      <c r="D9726" s="8">
        <v>0</v>
      </c>
      <c r="E9726" s="8">
        <v>0</v>
      </c>
      <c r="F9726" s="8">
        <v>46507</v>
      </c>
    </row>
    <row r="9727" spans="1:6" ht="12.75">
      <c r="A9727" s="8">
        <v>43900.506550925929</v>
      </c>
      <c r="B9727" s="8" t="str">
        <f>HYPERLINK("https://twitter.com/NamungAbdiGusti","@NamungAbdiGusti")</f>
        <v>@NamungAbdiGusti</v>
      </c>
      <c r="C9727" s="8" t="s">
        <v>318</v>
      </c>
      <c r="D9727" s="8">
        <v>350</v>
      </c>
      <c r="E9727" s="8">
        <v>0</v>
      </c>
      <c r="F9727" s="8">
        <v>517</v>
      </c>
    </row>
    <row r="9728" spans="1:6" ht="12.75">
      <c r="A9728" s="8">
        <v>43900.506469907406</v>
      </c>
      <c r="B9728" s="8" t="str">
        <f>HYPERLINK("https://twitter.com/BLVCK_Deccyber","@BLVCK_Deccyber")</f>
        <v>@BLVCK_Deccyber</v>
      </c>
      <c r="C9728" s="8" t="s">
        <v>318</v>
      </c>
      <c r="D9728" s="8">
        <v>350</v>
      </c>
      <c r="E9728" s="8">
        <v>0</v>
      </c>
      <c r="F9728" s="8">
        <v>252</v>
      </c>
    </row>
    <row r="9729" spans="1:6" ht="12.75">
      <c r="A9729" s="8">
        <v>43900.506400462968</v>
      </c>
      <c r="B9729" s="8" t="str">
        <f>HYPERLINK("https://twitter.com/ophunkdoank","@ophunkdoank")</f>
        <v>@ophunkdoank</v>
      </c>
      <c r="C9729" s="8" t="s">
        <v>4347</v>
      </c>
      <c r="D9729" s="8">
        <v>0</v>
      </c>
      <c r="E9729" s="8">
        <v>0</v>
      </c>
      <c r="F9729" s="8">
        <v>1453</v>
      </c>
    </row>
    <row r="9730" spans="1:6" ht="12.75">
      <c r="A9730" s="8">
        <v>43900.506122685183</v>
      </c>
      <c r="B9730" s="8" t="str">
        <f>HYPERLINK("https://twitter.com/gianko_81","@gianko_81")</f>
        <v>@gianko_81</v>
      </c>
      <c r="C9730" s="8" t="s">
        <v>318</v>
      </c>
      <c r="D9730" s="8">
        <v>350</v>
      </c>
      <c r="E9730" s="8">
        <v>0</v>
      </c>
      <c r="F9730" s="8">
        <v>175</v>
      </c>
    </row>
    <row r="9731" spans="1:6" ht="12.75">
      <c r="A9731" s="8">
        <v>43900.506099537037</v>
      </c>
      <c r="B9731" s="8" t="str">
        <f>HYPERLINK("https://twitter.com/samareza","@samareza")</f>
        <v>@samareza</v>
      </c>
      <c r="C9731" s="8" t="s">
        <v>295</v>
      </c>
      <c r="D9731" s="8">
        <v>52</v>
      </c>
      <c r="E9731" s="8">
        <v>0</v>
      </c>
      <c r="F9731" s="8">
        <v>302</v>
      </c>
    </row>
    <row r="9732" spans="1:6" ht="12.75">
      <c r="A9732" s="8">
        <v>43900.505983796298</v>
      </c>
      <c r="B9732" s="8" t="str">
        <f>HYPERLINK("https://twitter.com/Sonyrony2","@Sonyrony2")</f>
        <v>@Sonyrony2</v>
      </c>
      <c r="C9732" s="8" t="s">
        <v>318</v>
      </c>
      <c r="D9732" s="8">
        <v>350</v>
      </c>
      <c r="E9732" s="8">
        <v>0</v>
      </c>
      <c r="F9732" s="8">
        <v>347</v>
      </c>
    </row>
    <row r="9733" spans="1:6" ht="12.75">
      <c r="A9733" s="8">
        <v>43900.50582175926</v>
      </c>
      <c r="B9733" s="8" t="str">
        <f>HYPERLINK("https://twitter.com/Wahyudi632","@Wahyudi632")</f>
        <v>@Wahyudi632</v>
      </c>
      <c r="C9733" s="8" t="s">
        <v>318</v>
      </c>
      <c r="D9733" s="8">
        <v>350</v>
      </c>
      <c r="E9733" s="8">
        <v>0</v>
      </c>
      <c r="F9733" s="8">
        <v>19</v>
      </c>
    </row>
    <row r="9734" spans="1:6" ht="12.75">
      <c r="A9734" s="8">
        <v>43900.505729166667</v>
      </c>
      <c r="B9734" s="8" t="str">
        <f>HYPERLINK("https://twitter.com/agataizalabdi","@agataizalabdi")</f>
        <v>@agataizalabdi</v>
      </c>
      <c r="C9734" s="8" t="s">
        <v>318</v>
      </c>
      <c r="D9734" s="8">
        <v>350</v>
      </c>
      <c r="E9734" s="8">
        <v>0</v>
      </c>
      <c r="F9734" s="8">
        <v>249</v>
      </c>
    </row>
    <row r="9735" spans="1:6" ht="12.75">
      <c r="A9735" s="8">
        <v>43900.505555555559</v>
      </c>
      <c r="B9735" s="8" t="str">
        <f>HYPERLINK("https://twitter.com/segarabanyu","@segarabanyu")</f>
        <v>@segarabanyu</v>
      </c>
      <c r="C9735" s="8" t="s">
        <v>4348</v>
      </c>
      <c r="D9735" s="8">
        <v>5</v>
      </c>
      <c r="E9735" s="8">
        <v>0</v>
      </c>
      <c r="F9735" s="8">
        <v>270</v>
      </c>
    </row>
    <row r="9736" spans="1:6" ht="12.75">
      <c r="A9736" s="8">
        <v>43900.505381944444</v>
      </c>
      <c r="B9736" s="8" t="str">
        <f>HYPERLINK("https://twitter.com/takitakirumbha","@takitakirumbha")</f>
        <v>@takitakirumbha</v>
      </c>
      <c r="C9736" s="8" t="s">
        <v>4349</v>
      </c>
      <c r="D9736" s="8">
        <v>0</v>
      </c>
      <c r="E9736" s="8">
        <v>0</v>
      </c>
      <c r="F9736" s="8">
        <v>2501</v>
      </c>
    </row>
    <row r="9737" spans="1:6" ht="12.75">
      <c r="A9737" s="8">
        <v>43900.505127314813</v>
      </c>
      <c r="B9737" s="8" t="str">
        <f>HYPERLINK("https://twitter.com/bin_sata","@bin_sata")</f>
        <v>@bin_sata</v>
      </c>
      <c r="C9737" s="8" t="s">
        <v>318</v>
      </c>
      <c r="D9737" s="8">
        <v>350</v>
      </c>
      <c r="E9737" s="8">
        <v>0</v>
      </c>
      <c r="F9737" s="8">
        <v>134</v>
      </c>
    </row>
    <row r="9738" spans="1:6" ht="12.75">
      <c r="A9738" s="8">
        <v>43900.505115740743</v>
      </c>
      <c r="B9738" s="8" t="str">
        <f>HYPERLINK("https://twitter.com/ranger_white28","@ranger_white28")</f>
        <v>@ranger_white28</v>
      </c>
      <c r="C9738" s="8" t="s">
        <v>318</v>
      </c>
      <c r="D9738" s="8">
        <v>350</v>
      </c>
      <c r="E9738" s="8">
        <v>0</v>
      </c>
      <c r="F9738" s="8">
        <v>835</v>
      </c>
    </row>
    <row r="9739" spans="1:6" ht="12.75">
      <c r="A9739" s="8">
        <v>43900.505069444444</v>
      </c>
      <c r="B9739" s="8" t="str">
        <f>HYPERLINK("https://twitter.com/harakatuna","@harakatuna")</f>
        <v>@harakatuna</v>
      </c>
      <c r="C9739" s="8" t="s">
        <v>4350</v>
      </c>
      <c r="D9739" s="8">
        <v>0</v>
      </c>
      <c r="E9739" s="8">
        <v>0</v>
      </c>
      <c r="F9739" s="8">
        <v>418</v>
      </c>
    </row>
    <row r="9740" spans="1:6" ht="12.75">
      <c r="A9740" s="8">
        <v>43900.504537037035</v>
      </c>
      <c r="B9740" s="8" t="str">
        <f>HYPERLINK("https://twitter.com/LordOfAllWorld","@LordOfAllWorld")</f>
        <v>@LordOfAllWorld</v>
      </c>
      <c r="C9740" s="8" t="s">
        <v>1957</v>
      </c>
      <c r="D9740" s="8">
        <v>1462</v>
      </c>
      <c r="E9740" s="8">
        <v>0</v>
      </c>
      <c r="F9740" s="8">
        <v>13</v>
      </c>
    </row>
    <row r="9741" spans="1:6" ht="12.75">
      <c r="A9741" s="8">
        <v>43900.50445601852</v>
      </c>
      <c r="B9741" s="8" t="str">
        <f>HYPERLINK("https://twitter.com/N__youchi","@N__youchi")</f>
        <v>@N__youchi</v>
      </c>
      <c r="C9741" s="8" t="s">
        <v>4351</v>
      </c>
      <c r="D9741" s="8">
        <v>0</v>
      </c>
      <c r="E9741" s="8">
        <v>0</v>
      </c>
      <c r="F9741" s="8">
        <v>148</v>
      </c>
    </row>
    <row r="9742" spans="1:6" ht="12.75">
      <c r="A9742" s="8">
        <v>43900.504282407404</v>
      </c>
      <c r="B9742" s="8" t="str">
        <f>HYPERLINK("https://twitter.com/FianOneil","@FianOneil")</f>
        <v>@FianOneil</v>
      </c>
      <c r="C9742" s="8" t="s">
        <v>318</v>
      </c>
      <c r="D9742" s="8">
        <v>350</v>
      </c>
      <c r="E9742" s="8">
        <v>0</v>
      </c>
      <c r="F9742" s="8">
        <v>623</v>
      </c>
    </row>
    <row r="9743" spans="1:6" ht="12.75">
      <c r="A9743" s="8">
        <v>43900.504178240742</v>
      </c>
      <c r="B9743" s="8" t="str">
        <f>HYPERLINK("https://twitter.com/chankyuuuuuuuuu","@chankyuuuuuuuuu")</f>
        <v>@chankyuuuuuuuuu</v>
      </c>
      <c r="C9743" s="8" t="s">
        <v>3050</v>
      </c>
      <c r="D9743" s="8">
        <v>99</v>
      </c>
      <c r="E9743" s="8">
        <v>0</v>
      </c>
      <c r="F9743" s="8">
        <v>80</v>
      </c>
    </row>
    <row r="9744" spans="1:6" ht="12.75">
      <c r="A9744" s="8">
        <v>43900.504131944443</v>
      </c>
      <c r="B9744" s="8" t="str">
        <f>HYPERLINK("https://twitter.com/jasmevcebong","@jasmevcebong")</f>
        <v>@jasmevcebong</v>
      </c>
      <c r="C9744" s="8" t="s">
        <v>318</v>
      </c>
      <c r="D9744" s="8">
        <v>350</v>
      </c>
      <c r="E9744" s="8">
        <v>0</v>
      </c>
      <c r="F9744" s="8">
        <v>658</v>
      </c>
    </row>
    <row r="9745" spans="1:6" ht="12.75">
      <c r="A9745" s="8">
        <v>43900.503483796296</v>
      </c>
      <c r="B9745" s="8" t="str">
        <f>HYPERLINK("https://twitter.com/ImanHidayat85","@ImanHidayat85")</f>
        <v>@ImanHidayat85</v>
      </c>
      <c r="C9745" s="8" t="s">
        <v>4352</v>
      </c>
      <c r="D9745" s="8">
        <v>11</v>
      </c>
      <c r="E9745" s="8">
        <v>0</v>
      </c>
      <c r="F9745" s="8">
        <v>329</v>
      </c>
    </row>
    <row r="9746" spans="1:6" ht="12.75">
      <c r="A9746" s="8">
        <v>43900.502939814818</v>
      </c>
      <c r="B9746" s="8" t="str">
        <f>HYPERLINK("https://twitter.com/iJay4ever","@iJay4ever")</f>
        <v>@iJay4ever</v>
      </c>
      <c r="C9746" s="8" t="s">
        <v>1957</v>
      </c>
      <c r="D9746" s="8">
        <v>1462</v>
      </c>
      <c r="E9746" s="8">
        <v>0</v>
      </c>
      <c r="F9746" s="8">
        <v>69</v>
      </c>
    </row>
    <row r="9747" spans="1:6" ht="12.75">
      <c r="A9747" s="8">
        <v>43900.502847222218</v>
      </c>
      <c r="B9747" s="8" t="str">
        <f>HYPERLINK("https://twitter.com/dharam2509","@dharam2509")</f>
        <v>@dharam2509</v>
      </c>
      <c r="C9747" s="8" t="s">
        <v>4044</v>
      </c>
      <c r="D9747" s="8">
        <v>2</v>
      </c>
      <c r="E9747" s="8">
        <v>0</v>
      </c>
      <c r="F9747" s="8">
        <v>579</v>
      </c>
    </row>
    <row r="9748" spans="1:6" ht="12.75">
      <c r="A9748" s="8">
        <v>43900.502638888887</v>
      </c>
      <c r="B9748" s="8" t="str">
        <f>HYPERLINK("https://twitter.com/rmjyun","@rmjyun")</f>
        <v>@rmjyun</v>
      </c>
      <c r="C9748" s="8" t="s">
        <v>4353</v>
      </c>
      <c r="D9748" s="8">
        <v>0</v>
      </c>
      <c r="E9748" s="8">
        <v>0</v>
      </c>
      <c r="F9748" s="8">
        <v>1038</v>
      </c>
    </row>
    <row r="9749" spans="1:6" ht="12.75">
      <c r="A9749" s="8">
        <v>43900.502106481479</v>
      </c>
      <c r="B9749" s="8" t="str">
        <f>HYPERLINK("https://twitter.com/Ferdyan_SN","@Ferdyan_SN")</f>
        <v>@Ferdyan_SN</v>
      </c>
      <c r="C9749" s="8" t="s">
        <v>4354</v>
      </c>
      <c r="D9749" s="8">
        <v>0</v>
      </c>
      <c r="E9749" s="8">
        <v>0</v>
      </c>
      <c r="F9749" s="8">
        <v>280</v>
      </c>
    </row>
    <row r="9750" spans="1:6" ht="12.75">
      <c r="A9750" s="8">
        <v>43900.50199074074</v>
      </c>
      <c r="B9750" s="8" t="str">
        <f>HYPERLINK("https://twitter.com/86Joma","@86Joma")</f>
        <v>@86Joma</v>
      </c>
      <c r="C9750" s="8" t="s">
        <v>3050</v>
      </c>
      <c r="D9750" s="8">
        <v>99</v>
      </c>
      <c r="E9750" s="8">
        <v>0</v>
      </c>
      <c r="F9750" s="8">
        <v>354</v>
      </c>
    </row>
    <row r="9751" spans="1:6" ht="12.75">
      <c r="A9751" s="8">
        <v>43900.501932870371</v>
      </c>
      <c r="B9751" s="8" t="str">
        <f>HYPERLINK("https://twitter.com/saket016","@saket016")</f>
        <v>@saket016</v>
      </c>
      <c r="C9751" s="8" t="s">
        <v>1957</v>
      </c>
      <c r="D9751" s="8">
        <v>1462</v>
      </c>
      <c r="E9751" s="8">
        <v>0</v>
      </c>
      <c r="F9751" s="8">
        <v>220</v>
      </c>
    </row>
    <row r="9752" spans="1:6" ht="12.75">
      <c r="A9752" s="8">
        <v>43900.501770833333</v>
      </c>
      <c r="B9752" s="8" t="str">
        <f>HYPERLINK("https://twitter.com/NagaHitam194","@NagaHitam194")</f>
        <v>@NagaHitam194</v>
      </c>
      <c r="C9752" s="8" t="s">
        <v>318</v>
      </c>
      <c r="D9752" s="8">
        <v>350</v>
      </c>
      <c r="E9752" s="8">
        <v>0</v>
      </c>
      <c r="F9752" s="8">
        <v>11</v>
      </c>
    </row>
    <row r="9753" spans="1:6" ht="12.75">
      <c r="A9753" s="8">
        <v>43900.501203703709</v>
      </c>
      <c r="B9753" s="8" t="str">
        <f>HYPERLINK("https://twitter.com/PideksoRoyo1","@PideksoRoyo1")</f>
        <v>@PideksoRoyo1</v>
      </c>
      <c r="C9753" s="8" t="s">
        <v>4355</v>
      </c>
      <c r="D9753" s="8">
        <v>0</v>
      </c>
      <c r="E9753" s="8">
        <v>0</v>
      </c>
      <c r="F9753" s="8">
        <v>752</v>
      </c>
    </row>
    <row r="9754" spans="1:6" ht="12.75">
      <c r="A9754" s="8">
        <v>43900.501030092593</v>
      </c>
      <c r="B9754" s="8" t="str">
        <f>HYPERLINK("https://twitter.com/premlovebank","@premlovebank")</f>
        <v>@premlovebank</v>
      </c>
      <c r="C9754" s="8" t="s">
        <v>1957</v>
      </c>
      <c r="D9754" s="8">
        <v>1462</v>
      </c>
      <c r="E9754" s="8">
        <v>0</v>
      </c>
      <c r="F9754" s="8">
        <v>57</v>
      </c>
    </row>
    <row r="9755" spans="1:6" ht="12.75">
      <c r="A9755" s="8">
        <v>43900.500787037032</v>
      </c>
      <c r="B9755" s="8" t="str">
        <f>HYPERLINK("https://twitter.com/HansRi8","@HansRi8")</f>
        <v>@HansRi8</v>
      </c>
      <c r="C9755" s="8" t="s">
        <v>318</v>
      </c>
      <c r="D9755" s="8">
        <v>350</v>
      </c>
      <c r="E9755" s="8">
        <v>0</v>
      </c>
      <c r="F9755" s="8">
        <v>29</v>
      </c>
    </row>
    <row r="9756" spans="1:6" ht="12.75">
      <c r="A9756" s="8">
        <v>43900.499722222223</v>
      </c>
      <c r="B9756" s="8" t="str">
        <f>HYPERLINK("https://twitter.com/KBRI_Kuwait","@KBRI_Kuwait")</f>
        <v>@KBRI_Kuwait</v>
      </c>
      <c r="C9756" s="8" t="s">
        <v>4356</v>
      </c>
      <c r="D9756" s="8">
        <v>0</v>
      </c>
      <c r="E9756" s="8">
        <v>1</v>
      </c>
      <c r="F9756" s="8">
        <v>2590</v>
      </c>
    </row>
    <row r="9757" spans="1:6" ht="12.75">
      <c r="A9757" s="8">
        <v>43900.499699074076</v>
      </c>
      <c r="B9757" s="8" t="str">
        <f>HYPERLINK("https://twitter.com/Widiatis279","@Widiatis279")</f>
        <v>@Widiatis279</v>
      </c>
      <c r="C9757" s="8" t="s">
        <v>295</v>
      </c>
      <c r="D9757" s="8">
        <v>52</v>
      </c>
      <c r="E9757" s="8">
        <v>0</v>
      </c>
      <c r="F9757" s="8">
        <v>725</v>
      </c>
    </row>
    <row r="9758" spans="1:6" ht="12.75">
      <c r="A9758" s="8">
        <v>43900.499571759261</v>
      </c>
      <c r="B9758" s="8" t="str">
        <f>HYPERLINK("https://twitter.com/minerva_zain","@minerva_zain")</f>
        <v>@minerva_zain</v>
      </c>
      <c r="C9758" s="8" t="s">
        <v>3190</v>
      </c>
      <c r="D9758" s="8">
        <v>1</v>
      </c>
      <c r="E9758" s="8">
        <v>0</v>
      </c>
      <c r="F9758" s="8">
        <v>69</v>
      </c>
    </row>
    <row r="9759" spans="1:6" ht="12.75">
      <c r="A9759" s="8">
        <v>43900.499467592592</v>
      </c>
      <c r="B9759" s="8" t="str">
        <f>HYPERLINK("https://twitter.com/Widiatis279","@Widiatis279")</f>
        <v>@Widiatis279</v>
      </c>
      <c r="C9759" s="8" t="s">
        <v>2432</v>
      </c>
      <c r="D9759" s="8">
        <v>32</v>
      </c>
      <c r="E9759" s="8">
        <v>0</v>
      </c>
      <c r="F9759" s="8">
        <v>725</v>
      </c>
    </row>
    <row r="9760" spans="1:6" ht="12.75">
      <c r="A9760" s="8">
        <v>43900.499351851853</v>
      </c>
      <c r="B9760" s="8" t="str">
        <f>HYPERLINK("https://twitter.com/Anaksemut4","@Anaksemut4")</f>
        <v>@Anaksemut4</v>
      </c>
      <c r="C9760" s="8" t="s">
        <v>1186</v>
      </c>
      <c r="D9760" s="8">
        <v>8</v>
      </c>
      <c r="E9760" s="8">
        <v>0</v>
      </c>
      <c r="F9760" s="8">
        <v>4189</v>
      </c>
    </row>
    <row r="9761" spans="1:6" ht="12.75">
      <c r="A9761" s="8">
        <v>43900.499328703707</v>
      </c>
      <c r="B9761" s="8" t="str">
        <f>HYPERLINK("https://twitter.com/woi_sar","@woi_sar")</f>
        <v>@woi_sar</v>
      </c>
      <c r="C9761" s="8" t="s">
        <v>318</v>
      </c>
      <c r="D9761" s="8">
        <v>350</v>
      </c>
      <c r="E9761" s="8">
        <v>0</v>
      </c>
      <c r="F9761" s="8">
        <v>550</v>
      </c>
    </row>
    <row r="9762" spans="1:6" ht="12.75">
      <c r="A9762" s="8">
        <v>43900.499247685184</v>
      </c>
      <c r="B9762" s="8" t="str">
        <f>HYPERLINK("https://twitter.com/SriNeng70160486","@SriNeng70160486")</f>
        <v>@SriNeng70160486</v>
      </c>
      <c r="C9762" s="8" t="s">
        <v>318</v>
      </c>
      <c r="D9762" s="8">
        <v>350</v>
      </c>
      <c r="E9762" s="8">
        <v>0</v>
      </c>
      <c r="F9762" s="8">
        <v>568</v>
      </c>
    </row>
    <row r="9763" spans="1:6" ht="12.75">
      <c r="A9763" s="8">
        <v>43900.49899305556</v>
      </c>
      <c r="B9763" s="8" t="str">
        <f>HYPERLINK("https://twitter.com/maanshart","@maanshart")</f>
        <v>@maanshart</v>
      </c>
      <c r="C9763" s="8" t="s">
        <v>4044</v>
      </c>
      <c r="D9763" s="8">
        <v>2</v>
      </c>
      <c r="E9763" s="8">
        <v>0</v>
      </c>
      <c r="F9763" s="8">
        <v>234</v>
      </c>
    </row>
    <row r="9764" spans="1:6" ht="12.75">
      <c r="A9764" s="8">
        <v>43900.498923611114</v>
      </c>
      <c r="B9764" s="8" t="str">
        <f>HYPERLINK("https://twitter.com/Rh_Kurniawan","@Rh_Kurniawan")</f>
        <v>@Rh_Kurniawan</v>
      </c>
      <c r="C9764" s="8" t="s">
        <v>3050</v>
      </c>
      <c r="D9764" s="8">
        <v>99</v>
      </c>
      <c r="E9764" s="8">
        <v>0</v>
      </c>
      <c r="F9764" s="8">
        <v>325</v>
      </c>
    </row>
    <row r="9765" spans="1:6" ht="12.75">
      <c r="A9765" s="8">
        <v>43900.498877314814</v>
      </c>
      <c r="B9765" s="8" t="str">
        <f>HYPERLINK("https://twitter.com/davinachaniago","@davinachaniago")</f>
        <v>@davinachaniago</v>
      </c>
      <c r="C9765" s="8" t="s">
        <v>318</v>
      </c>
      <c r="D9765" s="8">
        <v>350</v>
      </c>
      <c r="E9765" s="8">
        <v>0</v>
      </c>
      <c r="F9765" s="8">
        <v>142</v>
      </c>
    </row>
    <row r="9766" spans="1:6" ht="12.75">
      <c r="A9766" s="8">
        <v>43900.498773148152</v>
      </c>
      <c r="B9766" s="8" t="str">
        <f>HYPERLINK("https://twitter.com/pigslam1","@pigslam1")</f>
        <v>@pigslam1</v>
      </c>
      <c r="C9766" s="8" t="s">
        <v>4357</v>
      </c>
      <c r="D9766" s="8">
        <v>0</v>
      </c>
      <c r="E9766" s="8">
        <v>0</v>
      </c>
      <c r="F9766" s="8">
        <v>97</v>
      </c>
    </row>
    <row r="9767" spans="1:6" ht="12.75">
      <c r="A9767" s="8">
        <v>43900.498518518521</v>
      </c>
      <c r="B9767" s="8" t="str">
        <f>HYPERLINK("https://twitter.com/milamelissa09","@milamelissa09")</f>
        <v>@milamelissa09</v>
      </c>
      <c r="C9767" s="8" t="s">
        <v>318</v>
      </c>
      <c r="D9767" s="8">
        <v>350</v>
      </c>
      <c r="E9767" s="8">
        <v>0</v>
      </c>
      <c r="F9767" s="8">
        <v>723</v>
      </c>
    </row>
    <row r="9768" spans="1:6" ht="12.75">
      <c r="A9768" s="8">
        <v>43900.498437499999</v>
      </c>
      <c r="B9768" s="8" t="str">
        <f>HYPERLINK("https://twitter.com/SumaHan65560614","@SumaHan65560614")</f>
        <v>@SumaHan65560614</v>
      </c>
      <c r="C9768" s="8" t="s">
        <v>318</v>
      </c>
      <c r="D9768" s="8">
        <v>350</v>
      </c>
      <c r="E9768" s="8">
        <v>0</v>
      </c>
      <c r="F9768" s="8">
        <v>97</v>
      </c>
    </row>
    <row r="9769" spans="1:6" ht="12.75">
      <c r="A9769" s="8">
        <v>43900.498171296298</v>
      </c>
      <c r="B9769" s="8" t="str">
        <f>HYPERLINK("https://twitter.com/evanfajrin","@evanfajrin")</f>
        <v>@evanfajrin</v>
      </c>
      <c r="C9769" s="8" t="s">
        <v>3050</v>
      </c>
      <c r="D9769" s="8">
        <v>99</v>
      </c>
      <c r="E9769" s="8">
        <v>0</v>
      </c>
      <c r="F9769" s="8">
        <v>379</v>
      </c>
    </row>
    <row r="9770" spans="1:6" ht="12.75">
      <c r="A9770" s="8">
        <v>43900.497349537036</v>
      </c>
      <c r="B9770" s="8" t="str">
        <f>HYPERLINK("https://twitter.com/sefiezr","@sefiezr")</f>
        <v>@sefiezr</v>
      </c>
      <c r="C9770" s="8" t="s">
        <v>3050</v>
      </c>
      <c r="D9770" s="8">
        <v>99</v>
      </c>
      <c r="E9770" s="8">
        <v>0</v>
      </c>
      <c r="F9770" s="8">
        <v>587</v>
      </c>
    </row>
    <row r="9771" spans="1:6" ht="12.75">
      <c r="A9771" s="8">
        <v>43900.497152777782</v>
      </c>
      <c r="B9771" s="8" t="str">
        <f>HYPERLINK("https://twitter.com/fandy5758","@fandy5758")</f>
        <v>@fandy5758</v>
      </c>
      <c r="C9771" s="8" t="s">
        <v>318</v>
      </c>
      <c r="D9771" s="8">
        <v>350</v>
      </c>
      <c r="E9771" s="8">
        <v>0</v>
      </c>
      <c r="F9771" s="8">
        <v>77</v>
      </c>
    </row>
    <row r="9772" spans="1:6" ht="12.75">
      <c r="A9772" s="8">
        <v>43900.496840277774</v>
      </c>
      <c r="B9772" s="8" t="str">
        <f t="shared" ref="B9772:B9773" si="159">HYPERLINK("https://twitter.com/mulanbilqis","@mulanbilqis")</f>
        <v>@mulanbilqis</v>
      </c>
      <c r="C9772" s="8" t="s">
        <v>4155</v>
      </c>
      <c r="D9772" s="8">
        <v>2</v>
      </c>
      <c r="E9772" s="8">
        <v>0</v>
      </c>
      <c r="F9772" s="8">
        <v>13338</v>
      </c>
    </row>
    <row r="9773" spans="1:6" ht="12.75">
      <c r="A9773" s="8">
        <v>43900.496736111112</v>
      </c>
      <c r="B9773" s="8" t="str">
        <f t="shared" si="159"/>
        <v>@mulanbilqis</v>
      </c>
      <c r="C9773" s="8" t="s">
        <v>4156</v>
      </c>
      <c r="D9773" s="8">
        <v>8</v>
      </c>
      <c r="E9773" s="8">
        <v>0</v>
      </c>
      <c r="F9773" s="8">
        <v>13338</v>
      </c>
    </row>
    <row r="9774" spans="1:6" ht="12.75">
      <c r="A9774" s="8">
        <v>43900.496655092589</v>
      </c>
      <c r="B9774" s="8" t="str">
        <f>HYPERLINK("https://twitter.com/ranggazainalm","@ranggazainalm")</f>
        <v>@ranggazainalm</v>
      </c>
      <c r="C9774" s="8" t="s">
        <v>3050</v>
      </c>
      <c r="D9774" s="8">
        <v>99</v>
      </c>
      <c r="E9774" s="8">
        <v>0</v>
      </c>
      <c r="F9774" s="8">
        <v>10985</v>
      </c>
    </row>
    <row r="9775" spans="1:6" ht="12.75">
      <c r="A9775" s="8">
        <v>43900.49618055555</v>
      </c>
      <c r="B9775" s="8" t="str">
        <f>HYPERLINK("https://twitter.com/mudha_satriya","@mudha_satriya")</f>
        <v>@mudha_satriya</v>
      </c>
      <c r="C9775" s="8" t="s">
        <v>2851</v>
      </c>
      <c r="D9775" s="8">
        <v>23</v>
      </c>
      <c r="E9775" s="8">
        <v>0</v>
      </c>
      <c r="F9775" s="8">
        <v>1884</v>
      </c>
    </row>
    <row r="9776" spans="1:6" ht="12.75">
      <c r="A9776" s="8">
        <v>43900.495752314819</v>
      </c>
      <c r="B9776" s="8" t="str">
        <f>HYPERLINK("https://twitter.com/LuqmanBeeNKRI","@LuqmanBeeNKRI")</f>
        <v>@LuqmanBeeNKRI</v>
      </c>
      <c r="C9776" s="8" t="s">
        <v>4358</v>
      </c>
      <c r="D9776" s="8">
        <v>1</v>
      </c>
      <c r="E9776" s="8">
        <v>4</v>
      </c>
      <c r="F9776" s="8">
        <v>2772</v>
      </c>
    </row>
    <row r="9777" spans="1:6" ht="12.75">
      <c r="A9777" s="8">
        <v>43900.495046296295</v>
      </c>
      <c r="B9777" s="8" t="str">
        <f>HYPERLINK("https://twitter.com/KBRI_Kuwait","@KBRI_Kuwait")</f>
        <v>@KBRI_Kuwait</v>
      </c>
      <c r="C9777" s="8" t="s">
        <v>2851</v>
      </c>
      <c r="D9777" s="8">
        <v>23</v>
      </c>
      <c r="E9777" s="8">
        <v>0</v>
      </c>
      <c r="F9777" s="8">
        <v>2590</v>
      </c>
    </row>
    <row r="9778" spans="1:6" ht="12.75">
      <c r="A9778" s="8">
        <v>43900.494733796295</v>
      </c>
      <c r="B9778" s="8" t="str">
        <f>HYPERLINK("https://twitter.com/mudha_satriya","@mudha_satriya")</f>
        <v>@mudha_satriya</v>
      </c>
      <c r="C9778" s="8" t="s">
        <v>4359</v>
      </c>
      <c r="D9778" s="8">
        <v>4</v>
      </c>
      <c r="E9778" s="8">
        <v>0</v>
      </c>
      <c r="F9778" s="8">
        <v>1884</v>
      </c>
    </row>
    <row r="9779" spans="1:6" ht="12.75">
      <c r="A9779" s="8">
        <v>43900.494594907403</v>
      </c>
      <c r="B9779" s="8" t="str">
        <f>HYPERLINK("https://twitter.com/EmElEs12","@EmElEs12")</f>
        <v>@EmElEs12</v>
      </c>
      <c r="C9779" s="8" t="s">
        <v>318</v>
      </c>
      <c r="D9779" s="8">
        <v>350</v>
      </c>
      <c r="E9779" s="8">
        <v>0</v>
      </c>
      <c r="F9779" s="8">
        <v>2819</v>
      </c>
    </row>
    <row r="9780" spans="1:6" ht="12.75">
      <c r="A9780" s="8">
        <v>43900.494525462964</v>
      </c>
      <c r="B9780" s="8" t="str">
        <f>HYPERLINK("https://twitter.com/miharja_ozzy","@miharja_ozzy")</f>
        <v>@miharja_ozzy</v>
      </c>
      <c r="C9780" s="8" t="s">
        <v>318</v>
      </c>
      <c r="D9780" s="8">
        <v>350</v>
      </c>
      <c r="E9780" s="8">
        <v>0</v>
      </c>
      <c r="F9780" s="8">
        <v>89</v>
      </c>
    </row>
    <row r="9781" spans="1:6" ht="12.75">
      <c r="A9781" s="8">
        <v>43900.494328703702</v>
      </c>
      <c r="B9781" s="8" t="str">
        <f>HYPERLINK("https://twitter.com/darbulax","@darbulax")</f>
        <v>@darbulax</v>
      </c>
      <c r="C9781" s="8" t="s">
        <v>318</v>
      </c>
      <c r="D9781" s="8">
        <v>350</v>
      </c>
      <c r="E9781" s="8">
        <v>0</v>
      </c>
      <c r="F9781" s="8">
        <v>258</v>
      </c>
    </row>
    <row r="9782" spans="1:6" ht="12.75">
      <c r="A9782" s="8">
        <v>43900.494155092594</v>
      </c>
      <c r="B9782" s="8" t="str">
        <f>HYPERLINK("https://twitter.com/VinaEska","@VinaEska")</f>
        <v>@VinaEska</v>
      </c>
      <c r="C9782" s="8" t="s">
        <v>4352</v>
      </c>
      <c r="D9782" s="8">
        <v>11</v>
      </c>
      <c r="E9782" s="8">
        <v>0</v>
      </c>
      <c r="F9782" s="8">
        <v>837</v>
      </c>
    </row>
    <row r="9783" spans="1:6" ht="12.75">
      <c r="A9783" s="8">
        <v>43900.493726851855</v>
      </c>
      <c r="B9783" s="8" t="str">
        <f>HYPERLINK("https://twitter.com/darushamdani","@darushamdani")</f>
        <v>@darushamdani</v>
      </c>
      <c r="C9783" s="8" t="s">
        <v>4360</v>
      </c>
      <c r="D9783" s="8">
        <v>0</v>
      </c>
      <c r="E9783" s="8">
        <v>0</v>
      </c>
      <c r="F9783" s="8">
        <v>227</v>
      </c>
    </row>
    <row r="9784" spans="1:6" ht="12.75">
      <c r="A9784" s="8">
        <v>43900.493483796294</v>
      </c>
      <c r="B9784" s="8" t="str">
        <f>HYPERLINK("https://twitter.com/Prasety72595950","@Prasety72595950")</f>
        <v>@Prasety72595950</v>
      </c>
      <c r="C9784" s="8" t="s">
        <v>4361</v>
      </c>
      <c r="D9784" s="8">
        <v>0</v>
      </c>
      <c r="E9784" s="8">
        <v>1</v>
      </c>
      <c r="F9784" s="8">
        <v>4</v>
      </c>
    </row>
    <row r="9785" spans="1:6" ht="12.75">
      <c r="A9785" s="8">
        <v>43900.493425925924</v>
      </c>
      <c r="B9785" s="8" t="str">
        <f>HYPERLINK("https://twitter.com/RivaldiZakie","@RivaldiZakie")</f>
        <v>@RivaldiZakie</v>
      </c>
      <c r="C9785" s="8" t="s">
        <v>2851</v>
      </c>
      <c r="D9785" s="8">
        <v>23</v>
      </c>
      <c r="E9785" s="8">
        <v>0</v>
      </c>
      <c r="F9785" s="8">
        <v>15</v>
      </c>
    </row>
    <row r="9786" spans="1:6" ht="12.75">
      <c r="A9786" s="8">
        <v>43900.493229166663</v>
      </c>
      <c r="B9786" s="8" t="str">
        <f>HYPERLINK("https://twitter.com/baddocq","@baddocq")</f>
        <v>@baddocq</v>
      </c>
      <c r="C9786" s="8" t="s">
        <v>318</v>
      </c>
      <c r="D9786" s="8">
        <v>350</v>
      </c>
      <c r="E9786" s="8">
        <v>0</v>
      </c>
      <c r="F9786" s="8">
        <v>114</v>
      </c>
    </row>
    <row r="9787" spans="1:6" ht="12.75">
      <c r="A9787" s="8">
        <v>43900.493009259255</v>
      </c>
      <c r="B9787" s="8" t="str">
        <f>HYPERLINK("https://twitter.com/Vote_4_Sickular","@Vote_4_Sickular")</f>
        <v>@Vote_4_Sickular</v>
      </c>
      <c r="C9787" s="8" t="s">
        <v>1808</v>
      </c>
      <c r="D9787" s="8">
        <v>831</v>
      </c>
      <c r="E9787" s="8">
        <v>0</v>
      </c>
      <c r="F9787" s="8">
        <v>452</v>
      </c>
    </row>
    <row r="9788" spans="1:6" ht="12.75">
      <c r="A9788" s="8">
        <v>43900.492939814816</v>
      </c>
      <c r="B9788" s="8" t="str">
        <f>HYPERLINK("https://twitter.com/Sandi_22april","@Sandi_22april")</f>
        <v>@Sandi_22april</v>
      </c>
      <c r="C9788" s="8" t="s">
        <v>318</v>
      </c>
      <c r="D9788" s="8">
        <v>350</v>
      </c>
      <c r="E9788" s="8">
        <v>0</v>
      </c>
      <c r="F9788" s="8">
        <v>688</v>
      </c>
    </row>
    <row r="9789" spans="1:6" ht="12.75">
      <c r="A9789" s="8">
        <v>43900.49287037037</v>
      </c>
      <c r="B9789" s="8" t="str">
        <f>HYPERLINK("https://twitter.com/khecang","@khecang")</f>
        <v>@khecang</v>
      </c>
      <c r="C9789" s="8" t="s">
        <v>318</v>
      </c>
      <c r="D9789" s="8">
        <v>350</v>
      </c>
      <c r="E9789" s="8">
        <v>0</v>
      </c>
      <c r="F9789" s="8">
        <v>56</v>
      </c>
    </row>
    <row r="9790" spans="1:6" ht="12.75">
      <c r="A9790" s="8">
        <v>43900.492476851854</v>
      </c>
      <c r="B9790" s="8" t="str">
        <f>HYPERLINK("https://twitter.com/sean_husen","@sean_husen")</f>
        <v>@sean_husen</v>
      </c>
      <c r="C9790" s="8" t="s">
        <v>318</v>
      </c>
      <c r="D9790" s="8">
        <v>350</v>
      </c>
      <c r="E9790" s="8">
        <v>0</v>
      </c>
      <c r="F9790" s="8">
        <v>509</v>
      </c>
    </row>
    <row r="9791" spans="1:6" ht="12.75">
      <c r="A9791" s="8">
        <v>43900.492384259254</v>
      </c>
      <c r="B9791" s="8" t="str">
        <f>HYPERLINK("https://twitter.com/Nurulele","@Nurulele")</f>
        <v>@Nurulele</v>
      </c>
      <c r="C9791" s="8" t="s">
        <v>3050</v>
      </c>
      <c r="D9791" s="8">
        <v>99</v>
      </c>
      <c r="E9791" s="8">
        <v>0</v>
      </c>
      <c r="F9791" s="8">
        <v>512</v>
      </c>
    </row>
    <row r="9792" spans="1:6" ht="12.75">
      <c r="A9792" s="8">
        <v>43900.492129629631</v>
      </c>
      <c r="B9792" s="8" t="str">
        <f>HYPERLINK("https://twitter.com/tja_ams2","@tja_ams2")</f>
        <v>@tja_ams2</v>
      </c>
      <c r="C9792" s="8" t="s">
        <v>318</v>
      </c>
      <c r="D9792" s="8">
        <v>350</v>
      </c>
      <c r="E9792" s="8">
        <v>0</v>
      </c>
      <c r="F9792" s="8">
        <v>723</v>
      </c>
    </row>
    <row r="9793" spans="1:6" ht="12.75">
      <c r="A9793" s="8">
        <v>43900.491932870369</v>
      </c>
      <c r="B9793" s="8" t="str">
        <f>HYPERLINK("https://twitter.com/iffah_hannah","@iffah_hannah")</f>
        <v>@iffah_hannah</v>
      </c>
      <c r="C9793" s="8" t="s">
        <v>3050</v>
      </c>
      <c r="D9793" s="8">
        <v>99</v>
      </c>
      <c r="E9793" s="8">
        <v>0</v>
      </c>
      <c r="F9793" s="8">
        <v>2436</v>
      </c>
    </row>
    <row r="9794" spans="1:6" ht="12.75">
      <c r="A9794" s="8">
        <v>43900.491770833338</v>
      </c>
      <c r="B9794" s="8" t="str">
        <f>HYPERLINK("https://twitter.com/cinnamon_irish","@cinnamon_irish")</f>
        <v>@cinnamon_irish</v>
      </c>
      <c r="C9794" s="8" t="s">
        <v>318</v>
      </c>
      <c r="D9794" s="8">
        <v>350</v>
      </c>
      <c r="E9794" s="8">
        <v>0</v>
      </c>
      <c r="F9794" s="8">
        <v>3289</v>
      </c>
    </row>
    <row r="9795" spans="1:6" ht="12.75">
      <c r="A9795" s="8">
        <v>43900.491736111115</v>
      </c>
      <c r="B9795" s="8" t="str">
        <f>HYPERLINK("https://twitter.com/Jinit12345","@Jinit12345")</f>
        <v>@Jinit12345</v>
      </c>
      <c r="C9795" s="8" t="s">
        <v>1957</v>
      </c>
      <c r="D9795" s="8">
        <v>1462</v>
      </c>
      <c r="E9795" s="8">
        <v>0</v>
      </c>
      <c r="F9795" s="8">
        <v>2786</v>
      </c>
    </row>
    <row r="9796" spans="1:6" ht="12.75">
      <c r="A9796" s="8">
        <v>43900.491724537038</v>
      </c>
      <c r="B9796" s="8" t="str">
        <f>HYPERLINK("https://twitter.com/VIVAcoid","@VIVAcoid")</f>
        <v>@VIVAcoid</v>
      </c>
      <c r="C9796" s="8" t="s">
        <v>4362</v>
      </c>
      <c r="D9796" s="8">
        <v>2</v>
      </c>
      <c r="E9796" s="8">
        <v>0</v>
      </c>
      <c r="F9796" s="8">
        <v>4176681</v>
      </c>
    </row>
    <row r="9797" spans="1:6" ht="12.75">
      <c r="A9797" s="8">
        <v>43900.491689814815</v>
      </c>
      <c r="B9797" s="8" t="str">
        <f>HYPERLINK("https://twitter.com/Jinit12345","@Jinit12345")</f>
        <v>@Jinit12345</v>
      </c>
      <c r="C9797" s="8" t="s">
        <v>1808</v>
      </c>
      <c r="D9797" s="8">
        <v>831</v>
      </c>
      <c r="E9797" s="8">
        <v>0</v>
      </c>
      <c r="F9797" s="8">
        <v>2786</v>
      </c>
    </row>
    <row r="9798" spans="1:6" ht="12.75">
      <c r="A9798" s="8">
        <v>43900.490995370375</v>
      </c>
      <c r="B9798" s="8" t="str">
        <f>HYPERLINK("https://twitter.com/wow_keren","@wow_keren")</f>
        <v>@wow_keren</v>
      </c>
      <c r="C9798" s="8" t="s">
        <v>4363</v>
      </c>
      <c r="D9798" s="8">
        <v>0</v>
      </c>
      <c r="E9798" s="8">
        <v>0</v>
      </c>
      <c r="F9798" s="8">
        <v>32025</v>
      </c>
    </row>
    <row r="9799" spans="1:6" ht="12.75">
      <c r="A9799" s="8">
        <v>43900.490995370375</v>
      </c>
      <c r="B9799" s="8" t="str">
        <f>HYPERLINK("https://twitter.com/vivanewscom","@vivanewscom")</f>
        <v>@vivanewscom</v>
      </c>
      <c r="C9799" s="8" t="s">
        <v>4364</v>
      </c>
      <c r="D9799" s="8">
        <v>2</v>
      </c>
      <c r="E9799" s="8">
        <v>1</v>
      </c>
      <c r="F9799" s="8">
        <v>4860</v>
      </c>
    </row>
    <row r="9800" spans="1:6" ht="12.75">
      <c r="A9800" s="8">
        <v>43900.490740740745</v>
      </c>
      <c r="B9800" s="8" t="str">
        <f>HYPERLINK("https://twitter.com/cahyodjo","@cahyodjo")</f>
        <v>@cahyodjo</v>
      </c>
      <c r="C9800" s="8" t="s">
        <v>3126</v>
      </c>
      <c r="D9800" s="8">
        <v>320</v>
      </c>
      <c r="E9800" s="8">
        <v>0</v>
      </c>
      <c r="F9800" s="8">
        <v>130</v>
      </c>
    </row>
    <row r="9801" spans="1:6" ht="12.75">
      <c r="A9801" s="8">
        <v>43900.490405092598</v>
      </c>
      <c r="B9801" s="8" t="str">
        <f>HYPERLINK("https://twitter.com/Raianoop07Kumar","@Raianoop07Kumar")</f>
        <v>@Raianoop07Kumar</v>
      </c>
      <c r="C9801" s="8" t="s">
        <v>1957</v>
      </c>
      <c r="D9801" s="8">
        <v>1462</v>
      </c>
      <c r="E9801" s="8">
        <v>0</v>
      </c>
      <c r="F9801" s="8">
        <v>224</v>
      </c>
    </row>
    <row r="9802" spans="1:6" ht="12.75">
      <c r="A9802" s="8">
        <v>43900.490335648152</v>
      </c>
      <c r="B9802" s="8" t="str">
        <f>HYPERLINK("https://twitter.com/bangidjoen","@bangidjoen")</f>
        <v>@bangidjoen</v>
      </c>
      <c r="C9802" s="8" t="s">
        <v>318</v>
      </c>
      <c r="D9802" s="8">
        <v>350</v>
      </c>
      <c r="E9802" s="8">
        <v>0</v>
      </c>
      <c r="F9802" s="8">
        <v>98</v>
      </c>
    </row>
    <row r="9803" spans="1:6" ht="12.75">
      <c r="A9803" s="8">
        <v>43900.490289351852</v>
      </c>
      <c r="B9803" s="8" t="str">
        <f>HYPERLINK("https://twitter.com/AhmadRo77197638","@AhmadRo77197638")</f>
        <v>@AhmadRo77197638</v>
      </c>
      <c r="C9803" s="8" t="s">
        <v>318</v>
      </c>
      <c r="D9803" s="8">
        <v>350</v>
      </c>
      <c r="E9803" s="8">
        <v>0</v>
      </c>
      <c r="F9803" s="8">
        <v>5</v>
      </c>
    </row>
    <row r="9804" spans="1:6" ht="12.75">
      <c r="A9804" s="8">
        <v>43900.490150462967</v>
      </c>
      <c r="B9804" s="8" t="str">
        <f>HYPERLINK("https://twitter.com/BukanMabangAer","@BukanMabangAer")</f>
        <v>@BukanMabangAer</v>
      </c>
      <c r="C9804" s="8" t="s">
        <v>4352</v>
      </c>
      <c r="D9804" s="8">
        <v>11</v>
      </c>
      <c r="E9804" s="8">
        <v>0</v>
      </c>
      <c r="F9804" s="8">
        <v>64</v>
      </c>
    </row>
    <row r="9805" spans="1:6" ht="12.75">
      <c r="A9805" s="8">
        <v>43900.489849537036</v>
      </c>
      <c r="B9805" s="8" t="str">
        <f>HYPERLINK("https://twitter.com/darmajasa","@darmajasa")</f>
        <v>@darmajasa</v>
      </c>
      <c r="C9805" s="8" t="s">
        <v>318</v>
      </c>
      <c r="D9805" s="8">
        <v>350</v>
      </c>
      <c r="E9805" s="8">
        <v>0</v>
      </c>
      <c r="F9805" s="8">
        <v>432</v>
      </c>
    </row>
    <row r="9806" spans="1:6" ht="12.75">
      <c r="A9806" s="8">
        <v>43900.489004629635</v>
      </c>
      <c r="B9806" s="8" t="str">
        <f>HYPERLINK("https://twitter.com/maename","@maename")</f>
        <v>@maename</v>
      </c>
      <c r="C9806" s="8" t="s">
        <v>318</v>
      </c>
      <c r="D9806" s="8">
        <v>350</v>
      </c>
      <c r="E9806" s="8">
        <v>0</v>
      </c>
      <c r="F9806" s="8">
        <v>228</v>
      </c>
    </row>
    <row r="9807" spans="1:6" ht="12.75">
      <c r="A9807" s="8">
        <v>43900.488993055551</v>
      </c>
      <c r="B9807" s="8" t="str">
        <f>HYPERLINK("https://twitter.com/Jangsunda","@Jangsunda")</f>
        <v>@Jangsunda</v>
      </c>
      <c r="C9807" s="8" t="s">
        <v>4365</v>
      </c>
      <c r="D9807" s="8">
        <v>50</v>
      </c>
      <c r="E9807" s="8">
        <v>0</v>
      </c>
      <c r="F9807" s="8">
        <v>260</v>
      </c>
    </row>
    <row r="9808" spans="1:6" ht="12.75">
      <c r="A9808" s="8">
        <v>43900.488761574074</v>
      </c>
      <c r="B9808" s="8" t="str">
        <f>HYPERLINK("https://twitter.com/zal_4d3k","@zal_4d3k")</f>
        <v>@zal_4d3k</v>
      </c>
      <c r="C9808" s="8" t="s">
        <v>318</v>
      </c>
      <c r="D9808" s="8">
        <v>350</v>
      </c>
      <c r="E9808" s="8">
        <v>0</v>
      </c>
      <c r="F9808" s="8">
        <v>760</v>
      </c>
    </row>
    <row r="9809" spans="1:6" ht="12.75">
      <c r="A9809" s="8">
        <v>43900.488483796296</v>
      </c>
      <c r="B9809" s="8" t="str">
        <f>HYPERLINK("https://twitter.com/LintankJr","@LintankJr")</f>
        <v>@LintankJr</v>
      </c>
      <c r="C9809" s="8" t="s">
        <v>318</v>
      </c>
      <c r="D9809" s="8">
        <v>350</v>
      </c>
      <c r="E9809" s="8">
        <v>0</v>
      </c>
      <c r="F9809" s="8">
        <v>1570</v>
      </c>
    </row>
    <row r="9810" spans="1:6" ht="12.75">
      <c r="A9810" s="8">
        <v>43900.487870370373</v>
      </c>
      <c r="B9810" s="8" t="str">
        <f>HYPERLINK("https://twitter.com/qurotulayuno","@qurotulayuno")</f>
        <v>@qurotulayuno</v>
      </c>
      <c r="C9810" s="8" t="s">
        <v>4366</v>
      </c>
      <c r="D9810" s="8">
        <v>0</v>
      </c>
      <c r="E9810" s="8">
        <v>0</v>
      </c>
      <c r="F9810" s="8">
        <v>900</v>
      </c>
    </row>
    <row r="9811" spans="1:6" ht="12.75">
      <c r="A9811" s="8">
        <v>43900.487673611111</v>
      </c>
      <c r="B9811" s="8" t="str">
        <f>HYPERLINK("https://twitter.com/RiriJreeng","@RiriJreeng")</f>
        <v>@RiriJreeng</v>
      </c>
      <c r="C9811" s="8" t="s">
        <v>4156</v>
      </c>
      <c r="D9811" s="8">
        <v>8</v>
      </c>
      <c r="E9811" s="8">
        <v>0</v>
      </c>
      <c r="F9811" s="8">
        <v>5864</v>
      </c>
    </row>
    <row r="9812" spans="1:6" ht="12.75">
      <c r="A9812" s="8">
        <v>43900.487615740742</v>
      </c>
      <c r="B9812" s="8" t="str">
        <f>HYPERLINK("https://twitter.com/one_zhaq2","@one_zhaq2")</f>
        <v>@one_zhaq2</v>
      </c>
      <c r="C9812" s="8" t="s">
        <v>318</v>
      </c>
      <c r="D9812" s="8">
        <v>350</v>
      </c>
      <c r="E9812" s="8">
        <v>0</v>
      </c>
      <c r="F9812" s="8">
        <v>205</v>
      </c>
    </row>
    <row r="9813" spans="1:6" ht="12.75">
      <c r="A9813" s="8">
        <v>43900.487534722226</v>
      </c>
      <c r="B9813" s="8" t="str">
        <f>HYPERLINK("https://twitter.com/VIVAcoid","@VIVAcoid")</f>
        <v>@VIVAcoid</v>
      </c>
      <c r="C9813" s="8" t="s">
        <v>4367</v>
      </c>
      <c r="D9813" s="8">
        <v>1</v>
      </c>
      <c r="E9813" s="8">
        <v>0</v>
      </c>
      <c r="F9813" s="8">
        <v>4176681</v>
      </c>
    </row>
    <row r="9814" spans="1:6" ht="12.75">
      <c r="A9814" s="8">
        <v>43900.487025462964</v>
      </c>
      <c r="B9814" s="8" t="str">
        <f>HYPERLINK("https://twitter.com/kentudoosh","@kentudoosh")</f>
        <v>@kentudoosh</v>
      </c>
      <c r="C9814" s="8" t="s">
        <v>2851</v>
      </c>
      <c r="D9814" s="8">
        <v>23</v>
      </c>
      <c r="E9814" s="8">
        <v>0</v>
      </c>
      <c r="F9814" s="8">
        <v>403</v>
      </c>
    </row>
    <row r="9815" spans="1:6" ht="12.75">
      <c r="A9815" s="8">
        <v>43900.486979166672</v>
      </c>
      <c r="B9815" s="8" t="str">
        <f>HYPERLINK("https://twitter.com/T14503NG","@T14503NG")</f>
        <v>@T14503NG</v>
      </c>
      <c r="C9815" s="8" t="s">
        <v>4122</v>
      </c>
      <c r="D9815" s="8">
        <v>19</v>
      </c>
      <c r="E9815" s="8">
        <v>0</v>
      </c>
      <c r="F9815" s="8">
        <v>849</v>
      </c>
    </row>
    <row r="9816" spans="1:6" ht="12.75">
      <c r="A9816" s="8">
        <v>43900.486828703702</v>
      </c>
      <c r="B9816" s="8" t="str">
        <f>HYPERLINK("https://twitter.com/vivanewscom","@vivanewscom")</f>
        <v>@vivanewscom</v>
      </c>
      <c r="C9816" s="8" t="s">
        <v>4368</v>
      </c>
      <c r="D9816" s="8">
        <v>1</v>
      </c>
      <c r="E9816" s="8">
        <v>1</v>
      </c>
      <c r="F9816" s="8">
        <v>4860</v>
      </c>
    </row>
    <row r="9817" spans="1:6" ht="12.75">
      <c r="A9817" s="8">
        <v>43900.486747685187</v>
      </c>
      <c r="B9817" s="8" t="str">
        <f>HYPERLINK("https://twitter.com/xayyyubi","@xayyyubi")</f>
        <v>@xayyyubi</v>
      </c>
      <c r="C9817" s="8" t="s">
        <v>3050</v>
      </c>
      <c r="D9817" s="8">
        <v>99</v>
      </c>
      <c r="E9817" s="8">
        <v>0</v>
      </c>
      <c r="F9817" s="8">
        <v>411</v>
      </c>
    </row>
    <row r="9818" spans="1:6" ht="12.75">
      <c r="A9818" s="8">
        <v>43900.486388888894</v>
      </c>
      <c r="B9818" s="8" t="str">
        <f>HYPERLINK("https://twitter.com/SR_2127","@SR_2127")</f>
        <v>@SR_2127</v>
      </c>
      <c r="C9818" s="8" t="s">
        <v>4369</v>
      </c>
      <c r="D9818" s="8">
        <v>0</v>
      </c>
      <c r="E9818" s="8">
        <v>0</v>
      </c>
      <c r="F9818" s="8">
        <v>301</v>
      </c>
    </row>
    <row r="9819" spans="1:6" ht="12.75">
      <c r="A9819" s="8">
        <v>43900.48636574074</v>
      </c>
      <c r="B9819" s="8" t="str">
        <f>HYPERLINK("https://twitter.com/okezonenews","@okezonenews")</f>
        <v>@okezonenews</v>
      </c>
      <c r="C9819" s="8" t="s">
        <v>4370</v>
      </c>
      <c r="D9819" s="8">
        <v>0</v>
      </c>
      <c r="E9819" s="8">
        <v>0</v>
      </c>
      <c r="F9819" s="8">
        <v>1743964</v>
      </c>
    </row>
    <row r="9820" spans="1:6" ht="12.75">
      <c r="A9820" s="8">
        <v>43900.485208333332</v>
      </c>
      <c r="B9820" s="8" t="str">
        <f>HYPERLINK("https://twitter.com/PandoePertiwi","@PandoePertiwi")</f>
        <v>@PandoePertiwi</v>
      </c>
      <c r="C9820" s="8" t="s">
        <v>318</v>
      </c>
      <c r="D9820" s="8">
        <v>350</v>
      </c>
      <c r="E9820" s="8">
        <v>0</v>
      </c>
      <c r="F9820" s="8">
        <v>369</v>
      </c>
    </row>
    <row r="9821" spans="1:6" ht="12.75">
      <c r="A9821" s="8">
        <v>43900.485208333332</v>
      </c>
      <c r="B9821" s="8" t="str">
        <f>HYPERLINK("https://twitter.com/hkbhagwa","@hkbhagwa")</f>
        <v>@hkbhagwa</v>
      </c>
      <c r="C9821" s="8" t="s">
        <v>1957</v>
      </c>
      <c r="D9821" s="8">
        <v>1462</v>
      </c>
      <c r="E9821" s="8">
        <v>0</v>
      </c>
      <c r="F9821" s="8">
        <v>225</v>
      </c>
    </row>
    <row r="9822" spans="1:6" ht="12.75">
      <c r="A9822" s="8">
        <v>43900.485092592593</v>
      </c>
      <c r="B9822" s="8" t="str">
        <f>HYPERLINK("https://twitter.com/diannovie03","@diannovie03")</f>
        <v>@diannovie03</v>
      </c>
      <c r="C9822" s="8" t="s">
        <v>4371</v>
      </c>
      <c r="D9822" s="8">
        <v>0</v>
      </c>
      <c r="E9822" s="8">
        <v>0</v>
      </c>
      <c r="F9822" s="8">
        <v>930</v>
      </c>
    </row>
    <row r="9823" spans="1:6" ht="12.75">
      <c r="A9823" s="8">
        <v>43900.484965277778</v>
      </c>
      <c r="B9823" s="8" t="str">
        <f>HYPERLINK("https://twitter.com/prillyone","@prillyone")</f>
        <v>@prillyone</v>
      </c>
      <c r="C9823" s="8" t="s">
        <v>3050</v>
      </c>
      <c r="D9823" s="8">
        <v>99</v>
      </c>
      <c r="E9823" s="8">
        <v>0</v>
      </c>
      <c r="F9823" s="8">
        <v>253</v>
      </c>
    </row>
    <row r="9824" spans="1:6" ht="12.75">
      <c r="A9824" s="8">
        <v>43900.484895833331</v>
      </c>
      <c r="B9824" s="8" t="str">
        <f>HYPERLINK("https://twitter.com/ThenBagoess","@ThenBagoess")</f>
        <v>@ThenBagoess</v>
      </c>
      <c r="C9824" s="8" t="s">
        <v>4372</v>
      </c>
      <c r="D9824" s="8">
        <v>0</v>
      </c>
      <c r="E9824" s="8">
        <v>1</v>
      </c>
      <c r="F9824" s="8">
        <v>6678</v>
      </c>
    </row>
    <row r="9825" spans="1:6" ht="12.75">
      <c r="A9825" s="8">
        <v>43900.484872685185</v>
      </c>
      <c r="B9825" s="8" t="str">
        <f>HYPERLINK("https://twitter.com/arifbudimanis","@arifbudimanis")</f>
        <v>@arifbudimanis</v>
      </c>
      <c r="C9825" s="8" t="s">
        <v>318</v>
      </c>
      <c r="D9825" s="8">
        <v>350</v>
      </c>
      <c r="E9825" s="8">
        <v>0</v>
      </c>
      <c r="F9825" s="8">
        <v>30</v>
      </c>
    </row>
    <row r="9826" spans="1:6" ht="12.75">
      <c r="A9826" s="8">
        <v>43900.465150462958</v>
      </c>
      <c r="B9826" s="8" t="str">
        <f>HYPERLINK("https://twitter.com/Novitaaaps","@Novitaaaps")</f>
        <v>@Novitaaaps</v>
      </c>
      <c r="C9826" s="8" t="s">
        <v>3050</v>
      </c>
      <c r="D9826" s="8">
        <v>45</v>
      </c>
      <c r="E9826" s="8">
        <v>0</v>
      </c>
      <c r="F9826" s="8">
        <v>1554</v>
      </c>
    </row>
    <row r="9827" spans="1:6" ht="12.75">
      <c r="A9827" s="8">
        <v>43900.465104166666</v>
      </c>
      <c r="B9827" s="8" t="str">
        <f>HYPERLINK("https://twitter.com/GlobalDesi84","@GlobalDesi84")</f>
        <v>@GlobalDesi84</v>
      </c>
      <c r="C9827" s="8" t="s">
        <v>1957</v>
      </c>
      <c r="D9827" s="8">
        <v>1446</v>
      </c>
      <c r="E9827" s="8">
        <v>0</v>
      </c>
      <c r="F9827" s="8">
        <v>1232</v>
      </c>
    </row>
    <row r="9828" spans="1:6" ht="12.75">
      <c r="A9828" s="8">
        <v>43900.464594907404</v>
      </c>
      <c r="B9828" s="8" t="str">
        <f>HYPERLINK("https://twitter.com/santidewi888","@santidewi888")</f>
        <v>@santidewi888</v>
      </c>
      <c r="C9828" s="8" t="s">
        <v>4373</v>
      </c>
      <c r="D9828" s="8">
        <v>0</v>
      </c>
      <c r="E9828" s="8">
        <v>0</v>
      </c>
      <c r="F9828" s="8">
        <v>723</v>
      </c>
    </row>
    <row r="9829" spans="1:6" ht="12.75">
      <c r="A9829" s="8">
        <v>43900.464525462958</v>
      </c>
      <c r="B9829" s="8" t="str">
        <f>HYPERLINK("https://twitter.com/RanggaHardi1","@RanggaHardi1")</f>
        <v>@RanggaHardi1</v>
      </c>
      <c r="C9829" s="8" t="s">
        <v>318</v>
      </c>
      <c r="D9829" s="8">
        <v>276</v>
      </c>
      <c r="E9829" s="8">
        <v>0</v>
      </c>
      <c r="F9829" s="8">
        <v>17</v>
      </c>
    </row>
    <row r="9830" spans="1:6" ht="12.75">
      <c r="A9830" s="8">
        <v>43900.464398148149</v>
      </c>
      <c r="B9830" s="8" t="str">
        <f>HYPERLINK("https://twitter.com/gunungsejuk","@gunungsejuk")</f>
        <v>@gunungsejuk</v>
      </c>
      <c r="C9830" s="8" t="s">
        <v>3050</v>
      </c>
      <c r="D9830" s="8">
        <v>45</v>
      </c>
      <c r="E9830" s="8">
        <v>0</v>
      </c>
      <c r="F9830" s="8">
        <v>336</v>
      </c>
    </row>
    <row r="9831" spans="1:6" ht="12.75">
      <c r="A9831" s="8">
        <v>43900.464166666672</v>
      </c>
      <c r="B9831" s="8" t="str">
        <f>HYPERLINK("https://twitter.com/Aliffitrindewor","@Aliffitrindewor")</f>
        <v>@Aliffitrindewor</v>
      </c>
      <c r="C9831" s="8" t="s">
        <v>2511</v>
      </c>
      <c r="D9831" s="8">
        <v>4</v>
      </c>
      <c r="E9831" s="8">
        <v>0</v>
      </c>
      <c r="F9831" s="8">
        <v>551</v>
      </c>
    </row>
    <row r="9832" spans="1:6" ht="12.75">
      <c r="A9832" s="8">
        <v>43900.464108796295</v>
      </c>
      <c r="B9832" s="8" t="str">
        <f>HYPERLINK("https://twitter.com/ruangobrol_id","@ruangobrol_id")</f>
        <v>@ruangobrol_id</v>
      </c>
      <c r="C9832" s="8" t="s">
        <v>4374</v>
      </c>
      <c r="D9832" s="8">
        <v>0</v>
      </c>
      <c r="E9832" s="8">
        <v>0</v>
      </c>
      <c r="F9832" s="8">
        <v>166</v>
      </c>
    </row>
    <row r="9833" spans="1:6" ht="12.75">
      <c r="A9833" s="8">
        <v>43900.463599537034</v>
      </c>
      <c r="B9833" s="8" t="str">
        <f>HYPERLINK("https://twitter.com/akunsudi","@akunsudi")</f>
        <v>@akunsudi</v>
      </c>
      <c r="C9833" s="8" t="s">
        <v>3050</v>
      </c>
      <c r="D9833" s="8">
        <v>45</v>
      </c>
      <c r="E9833" s="8">
        <v>0</v>
      </c>
      <c r="F9833" s="8">
        <v>1326</v>
      </c>
    </row>
    <row r="9834" spans="1:6" ht="12.75">
      <c r="A9834" s="8">
        <v>43900.463518518518</v>
      </c>
      <c r="B9834" s="8" t="str">
        <f>HYPERLINK("https://twitter.com/ketantrivedi128","@ketantrivedi128")</f>
        <v>@ketantrivedi128</v>
      </c>
      <c r="C9834" s="8" t="s">
        <v>1957</v>
      </c>
      <c r="D9834" s="8">
        <v>1446</v>
      </c>
      <c r="E9834" s="8">
        <v>0</v>
      </c>
      <c r="F9834" s="8">
        <v>393</v>
      </c>
    </row>
    <row r="9835" spans="1:6" ht="12.75">
      <c r="A9835" s="8">
        <v>43900.463379629626</v>
      </c>
      <c r="B9835" s="8" t="str">
        <f>HYPERLINK("https://twitter.com/kingsvt_17","@kingsvt_17")</f>
        <v>@kingsvt_17</v>
      </c>
      <c r="C9835" s="8" t="s">
        <v>2851</v>
      </c>
      <c r="D9835" s="8">
        <v>3</v>
      </c>
      <c r="E9835" s="8">
        <v>0</v>
      </c>
      <c r="F9835" s="8">
        <v>175</v>
      </c>
    </row>
    <row r="9836" spans="1:6" ht="12.75">
      <c r="A9836" s="8">
        <v>43900.463043981479</v>
      </c>
      <c r="B9836" s="8" t="str">
        <f>HYPERLINK("https://twitter.com/TFakta2","@TFakta2")</f>
        <v>@TFakta2</v>
      </c>
      <c r="C9836" s="8" t="s">
        <v>318</v>
      </c>
      <c r="D9836" s="8">
        <v>276</v>
      </c>
      <c r="E9836" s="8">
        <v>0</v>
      </c>
      <c r="F9836" s="8">
        <v>626</v>
      </c>
    </row>
    <row r="9837" spans="1:6" ht="12.75">
      <c r="A9837" s="8">
        <v>43900.462997685187</v>
      </c>
      <c r="B9837" s="8" t="str">
        <f>HYPERLINK("https://twitter.com/svargadrinks","@svargadrinks")</f>
        <v>@svargadrinks</v>
      </c>
      <c r="C9837" s="8" t="s">
        <v>3262</v>
      </c>
      <c r="D9837" s="8">
        <v>244</v>
      </c>
      <c r="E9837" s="8">
        <v>0</v>
      </c>
      <c r="F9837" s="8">
        <v>29</v>
      </c>
    </row>
    <row r="9838" spans="1:6" ht="12.75">
      <c r="A9838" s="8">
        <v>43900.462893518517</v>
      </c>
      <c r="B9838" s="8" t="str">
        <f>HYPERLINK("https://twitter.com/tulasid0","@tulasid0")</f>
        <v>@tulasid0</v>
      </c>
      <c r="C9838" s="8" t="s">
        <v>1917</v>
      </c>
      <c r="D9838" s="8">
        <v>1530</v>
      </c>
      <c r="E9838" s="8">
        <v>0</v>
      </c>
      <c r="F9838" s="8">
        <v>77</v>
      </c>
    </row>
    <row r="9839" spans="1:6" ht="12.75">
      <c r="A9839" s="8">
        <v>43900.462870370371</v>
      </c>
      <c r="B9839" s="8" t="str">
        <f>HYPERLINK("https://twitter.com/octania_","@octania_")</f>
        <v>@octania_</v>
      </c>
      <c r="C9839" s="8" t="s">
        <v>2432</v>
      </c>
      <c r="D9839" s="8">
        <v>30</v>
      </c>
      <c r="E9839" s="8">
        <v>0</v>
      </c>
      <c r="F9839" s="8">
        <v>2733</v>
      </c>
    </row>
    <row r="9840" spans="1:6" ht="12.75">
      <c r="A9840" s="8">
        <v>43900.462534722217</v>
      </c>
      <c r="B9840" s="8" t="str">
        <f>HYPERLINK("https://twitter.com/gombang","@gombang")</f>
        <v>@gombang</v>
      </c>
      <c r="C9840" s="8" t="s">
        <v>3050</v>
      </c>
      <c r="D9840" s="8">
        <v>45</v>
      </c>
      <c r="E9840" s="8">
        <v>0</v>
      </c>
      <c r="F9840" s="8">
        <v>1497</v>
      </c>
    </row>
    <row r="9841" spans="1:6" ht="12.75">
      <c r="A9841" s="8">
        <v>43900.462523148148</v>
      </c>
      <c r="B9841" s="8" t="str">
        <f>HYPERLINK("https://twitter.com/sunitakasih","@sunitakasih")</f>
        <v>@sunitakasih</v>
      </c>
      <c r="C9841" s="8" t="s">
        <v>3050</v>
      </c>
      <c r="D9841" s="8">
        <v>45</v>
      </c>
      <c r="E9841" s="8">
        <v>0</v>
      </c>
      <c r="F9841" s="8">
        <v>624</v>
      </c>
    </row>
    <row r="9842" spans="1:6" ht="12.75">
      <c r="A9842" s="8">
        <v>43900.462430555555</v>
      </c>
      <c r="B9842" s="8" t="str">
        <f>HYPERLINK("https://twitter.com/dusthetic","@dusthetic")</f>
        <v>@dusthetic</v>
      </c>
      <c r="C9842" s="8" t="s">
        <v>2851</v>
      </c>
      <c r="D9842" s="8">
        <v>3</v>
      </c>
      <c r="E9842" s="8">
        <v>0</v>
      </c>
      <c r="F9842" s="8">
        <v>2283</v>
      </c>
    </row>
    <row r="9843" spans="1:6" ht="12.75">
      <c r="A9843" s="8">
        <v>43900.462418981479</v>
      </c>
      <c r="B9843" s="8" t="str">
        <f>HYPERLINK("https://twitter.com/tweetaje_aje","@tweetaje_aje")</f>
        <v>@tweetaje_aje</v>
      </c>
      <c r="C9843" s="8" t="s">
        <v>3050</v>
      </c>
      <c r="D9843" s="8">
        <v>45</v>
      </c>
      <c r="E9843" s="8">
        <v>0</v>
      </c>
      <c r="F9843" s="8">
        <v>30</v>
      </c>
    </row>
    <row r="9844" spans="1:6" ht="12.75">
      <c r="A9844" s="8">
        <v>43900.462407407409</v>
      </c>
      <c r="B9844" s="8" t="str">
        <f>HYPERLINK("https://twitter.com/nrzhersan","@nrzhersan")</f>
        <v>@nrzhersan</v>
      </c>
      <c r="C9844" s="8" t="s">
        <v>2851</v>
      </c>
      <c r="D9844" s="8">
        <v>3</v>
      </c>
      <c r="E9844" s="8">
        <v>0</v>
      </c>
      <c r="F9844" s="8">
        <v>309</v>
      </c>
    </row>
    <row r="9845" spans="1:6" ht="12.75">
      <c r="A9845" s="8">
        <v>43900.462002314816</v>
      </c>
      <c r="B9845" s="8" t="str">
        <f>HYPERLINK("https://twitter.com/Nakei_zahwa","@Nakei_zahwa")</f>
        <v>@Nakei_zahwa</v>
      </c>
      <c r="C9845" s="8" t="s">
        <v>318</v>
      </c>
      <c r="D9845" s="8">
        <v>276</v>
      </c>
      <c r="E9845" s="8">
        <v>0</v>
      </c>
      <c r="F9845" s="8">
        <v>1447</v>
      </c>
    </row>
    <row r="9846" spans="1:6" ht="12.75">
      <c r="A9846" s="8">
        <v>43900.461979166663</v>
      </c>
      <c r="B9846" s="8" t="str">
        <f>HYPERLINK("https://twitter.com/Jelantik5","@Jelantik5")</f>
        <v>@Jelantik5</v>
      </c>
      <c r="C9846" s="8" t="s">
        <v>4348</v>
      </c>
      <c r="D9846" s="8">
        <v>3</v>
      </c>
      <c r="E9846" s="8">
        <v>0</v>
      </c>
      <c r="F9846" s="8">
        <v>6547</v>
      </c>
    </row>
    <row r="9847" spans="1:6" ht="12.75">
      <c r="A9847" s="8">
        <v>43900.461979166663</v>
      </c>
      <c r="B9847" s="8" t="str">
        <f>HYPERLINK("https://twitter.com/BagusCHermawan","@BagusCHermawan")</f>
        <v>@BagusCHermawan</v>
      </c>
      <c r="C9847" s="8" t="s">
        <v>3050</v>
      </c>
      <c r="D9847" s="8">
        <v>45</v>
      </c>
      <c r="E9847" s="8">
        <v>0</v>
      </c>
      <c r="F9847" s="8">
        <v>146</v>
      </c>
    </row>
    <row r="9848" spans="1:6" ht="12.75">
      <c r="A9848" s="8">
        <v>43900.461817129632</v>
      </c>
      <c r="B9848" s="8" t="str">
        <f>HYPERLINK("https://twitter.com/Jelantik5","@Jelantik5")</f>
        <v>@Jelantik5</v>
      </c>
      <c r="C9848" s="8" t="s">
        <v>4375</v>
      </c>
      <c r="D9848" s="8">
        <v>2</v>
      </c>
      <c r="E9848" s="8">
        <v>0</v>
      </c>
      <c r="F9848" s="8">
        <v>6547</v>
      </c>
    </row>
    <row r="9849" spans="1:6" ht="12.75">
      <c r="A9849" s="8">
        <v>43900.461701388893</v>
      </c>
      <c r="B9849" s="8" t="str">
        <f>HYPERLINK("https://twitter.com/agama_nusantara","@agama_nusantara")</f>
        <v>@agama_nusantara</v>
      </c>
      <c r="C9849" s="8" t="s">
        <v>4375</v>
      </c>
      <c r="D9849" s="8">
        <v>2</v>
      </c>
      <c r="E9849" s="8">
        <v>0</v>
      </c>
      <c r="F9849" s="8">
        <v>7489</v>
      </c>
    </row>
    <row r="9850" spans="1:6" ht="12.75">
      <c r="A9850" s="8">
        <v>43900.461643518516</v>
      </c>
      <c r="B9850" s="8" t="str">
        <f>HYPERLINK("https://twitter.com/Stadela_twett","@Stadela_twett")</f>
        <v>@Stadela_twett</v>
      </c>
      <c r="C9850" s="8" t="s">
        <v>295</v>
      </c>
      <c r="D9850" s="8">
        <v>48</v>
      </c>
      <c r="E9850" s="8">
        <v>0</v>
      </c>
      <c r="F9850" s="8">
        <v>2990</v>
      </c>
    </row>
    <row r="9851" spans="1:6" ht="12.75">
      <c r="A9851" s="8">
        <v>43900.461631944447</v>
      </c>
      <c r="B9851" s="8" t="str">
        <f>HYPERLINK("https://twitter.com/kopiganja","@kopiganja")</f>
        <v>@kopiganja</v>
      </c>
      <c r="C9851" s="8" t="s">
        <v>3050</v>
      </c>
      <c r="D9851" s="8">
        <v>45</v>
      </c>
      <c r="E9851" s="8">
        <v>0</v>
      </c>
      <c r="F9851" s="8">
        <v>112167</v>
      </c>
    </row>
    <row r="9852" spans="1:6" ht="12.75">
      <c r="A9852" s="8">
        <v>43900.461608796293</v>
      </c>
      <c r="B9852" s="8" t="str">
        <f>HYPERLINK("https://twitter.com/Kemlu_RI","@Kemlu_RI")</f>
        <v>@Kemlu_RI</v>
      </c>
      <c r="C9852" s="8" t="s">
        <v>4376</v>
      </c>
      <c r="D9852" s="8">
        <v>3</v>
      </c>
      <c r="E9852" s="8">
        <v>5</v>
      </c>
      <c r="F9852" s="8">
        <v>171262</v>
      </c>
    </row>
    <row r="9853" spans="1:6" ht="12.75">
      <c r="A9853" s="8">
        <v>43900.461504629631</v>
      </c>
      <c r="B9853" s="8" t="str">
        <f>HYPERLINK("https://twitter.com/zoker_2","@zoker_2")</f>
        <v>@zoker_2</v>
      </c>
      <c r="C9853" s="8" t="s">
        <v>3050</v>
      </c>
      <c r="D9853" s="8">
        <v>45</v>
      </c>
      <c r="E9853" s="8">
        <v>0</v>
      </c>
      <c r="F9853" s="8">
        <v>39</v>
      </c>
    </row>
    <row r="9854" spans="1:6" ht="12.75">
      <c r="A9854" s="8">
        <v>43900.461481481485</v>
      </c>
      <c r="B9854" s="8" t="str">
        <f>HYPERLINK("https://twitter.com/thesadblood","@thesadblood")</f>
        <v>@thesadblood</v>
      </c>
      <c r="C9854" s="8" t="s">
        <v>4377</v>
      </c>
      <c r="D9854" s="8">
        <v>20</v>
      </c>
      <c r="E9854" s="8">
        <v>0</v>
      </c>
      <c r="F9854" s="8">
        <v>737</v>
      </c>
    </row>
    <row r="9855" spans="1:6" ht="12.75">
      <c r="A9855" s="8">
        <v>43900.461377314816</v>
      </c>
      <c r="B9855" s="8" t="str">
        <f>HYPERLINK("https://twitter.com/santidewi888","@santidewi888")</f>
        <v>@santidewi888</v>
      </c>
      <c r="C9855" s="8" t="s">
        <v>4378</v>
      </c>
      <c r="D9855" s="8">
        <v>0</v>
      </c>
      <c r="E9855" s="8">
        <v>0</v>
      </c>
      <c r="F9855" s="8">
        <v>723</v>
      </c>
    </row>
    <row r="9856" spans="1:6" ht="12.75">
      <c r="A9856" s="8">
        <v>43900.461319444439</v>
      </c>
      <c r="B9856" s="8" t="str">
        <f>HYPERLINK("https://twitter.com/agama_nusantara","@agama_nusantara")</f>
        <v>@agama_nusantara</v>
      </c>
      <c r="C9856" s="8" t="s">
        <v>4348</v>
      </c>
      <c r="D9856" s="8">
        <v>3</v>
      </c>
      <c r="E9856" s="8">
        <v>0</v>
      </c>
      <c r="F9856" s="8">
        <v>7489</v>
      </c>
    </row>
    <row r="9857" spans="1:6" ht="12.75">
      <c r="A9857" s="8">
        <v>43900.461226851854</v>
      </c>
      <c r="B9857" s="8" t="str">
        <f>HYPERLINK("https://twitter.com/jurumasakuco","@jurumasakuco")</f>
        <v>@jurumasakuco</v>
      </c>
      <c r="C9857" s="8" t="s">
        <v>3050</v>
      </c>
      <c r="D9857" s="8">
        <v>45</v>
      </c>
      <c r="E9857" s="8">
        <v>0</v>
      </c>
      <c r="F9857" s="8">
        <v>1611</v>
      </c>
    </row>
    <row r="9858" spans="1:6" ht="12.75">
      <c r="A9858" s="8">
        <v>43900.461168981477</v>
      </c>
      <c r="B9858" s="8" t="str">
        <f>HYPERLINK("https://twitter.com/lookslina","@lookslina")</f>
        <v>@lookslina</v>
      </c>
      <c r="C9858" s="8" t="s">
        <v>4379</v>
      </c>
      <c r="D9858" s="8">
        <v>2</v>
      </c>
      <c r="E9858" s="8">
        <v>3</v>
      </c>
      <c r="F9858" s="8">
        <v>587</v>
      </c>
    </row>
    <row r="9859" spans="1:6" ht="12.75">
      <c r="A9859" s="8">
        <v>43900.461168981477</v>
      </c>
      <c r="B9859" s="8" t="str">
        <f>HYPERLINK("https://twitter.com/ariflukman2268","@ariflukman2268")</f>
        <v>@ariflukman2268</v>
      </c>
      <c r="C9859" s="8" t="s">
        <v>1186</v>
      </c>
      <c r="D9859" s="8">
        <v>3</v>
      </c>
      <c r="E9859" s="8">
        <v>0</v>
      </c>
      <c r="F9859" s="8">
        <v>337</v>
      </c>
    </row>
    <row r="9860" spans="1:6" ht="12.75">
      <c r="A9860" s="8">
        <v>43900.461145833338</v>
      </c>
      <c r="B9860" s="8" t="str">
        <f>HYPERLINK("https://twitter.com/hm4hdi","@hm4hdi")</f>
        <v>@hm4hdi</v>
      </c>
      <c r="C9860" s="8" t="s">
        <v>3050</v>
      </c>
      <c r="D9860" s="8">
        <v>45</v>
      </c>
      <c r="E9860" s="8">
        <v>0</v>
      </c>
      <c r="F9860" s="8">
        <v>51</v>
      </c>
    </row>
    <row r="9861" spans="1:6" ht="12.75">
      <c r="A9861" s="8">
        <v>43900.461076388892</v>
      </c>
      <c r="B9861" s="8" t="str">
        <f>HYPERLINK("https://twitter.com/AremaNita__","@AremaNita__")</f>
        <v>@AremaNita__</v>
      </c>
      <c r="C9861" s="8" t="s">
        <v>4348</v>
      </c>
      <c r="D9861" s="8">
        <v>3</v>
      </c>
      <c r="E9861" s="8">
        <v>0</v>
      </c>
      <c r="F9861" s="8">
        <v>8448</v>
      </c>
    </row>
    <row r="9862" spans="1:6" ht="12.75">
      <c r="A9862" s="8">
        <v>43900.461064814815</v>
      </c>
      <c r="B9862" s="8" t="str">
        <f>HYPERLINK("https://twitter.com/arbchaann","@arbchaann")</f>
        <v>@arbchaann</v>
      </c>
      <c r="C9862" s="8" t="s">
        <v>3050</v>
      </c>
      <c r="D9862" s="8">
        <v>45</v>
      </c>
      <c r="E9862" s="8">
        <v>0</v>
      </c>
      <c r="F9862" s="8">
        <v>1603</v>
      </c>
    </row>
    <row r="9863" spans="1:6" ht="12.75">
      <c r="A9863" s="8">
        <v>43900.461018518516</v>
      </c>
      <c r="B9863" s="8" t="str">
        <f>HYPERLINK("https://twitter.com/c0llegekidzzz","@c0llegekidzzz")</f>
        <v>@c0llegekidzzz</v>
      </c>
      <c r="C9863" s="8" t="s">
        <v>3050</v>
      </c>
      <c r="D9863" s="8">
        <v>45</v>
      </c>
      <c r="E9863" s="8">
        <v>0</v>
      </c>
      <c r="F9863" s="8">
        <v>340</v>
      </c>
    </row>
    <row r="9864" spans="1:6" ht="12.75">
      <c r="A9864" s="8">
        <v>43900.460868055554</v>
      </c>
      <c r="B9864" s="8" t="str">
        <f>HYPERLINK("https://twitter.com/gladi_ad","@gladi_ad")</f>
        <v>@gladi_ad</v>
      </c>
      <c r="C9864" s="8" t="s">
        <v>3050</v>
      </c>
      <c r="D9864" s="8">
        <v>45</v>
      </c>
      <c r="E9864" s="8">
        <v>0</v>
      </c>
      <c r="F9864" s="8">
        <v>3080</v>
      </c>
    </row>
    <row r="9865" spans="1:6" ht="12.75">
      <c r="A9865" s="8">
        <v>43900.460428240738</v>
      </c>
      <c r="B9865" s="8" t="str">
        <f>HYPERLINK("https://twitter.com/AlisahDw","@AlisahDw")</f>
        <v>@AlisahDw</v>
      </c>
      <c r="C9865" s="8" t="s">
        <v>3050</v>
      </c>
      <c r="D9865" s="8">
        <v>45</v>
      </c>
      <c r="E9865" s="8">
        <v>0</v>
      </c>
      <c r="F9865" s="8">
        <v>58</v>
      </c>
    </row>
    <row r="9866" spans="1:6" ht="12.75">
      <c r="A9866" s="8">
        <v>43900.460405092592</v>
      </c>
      <c r="B9866" s="8" t="str">
        <f>HYPERLINK("https://twitter.com/NabilahAbdussa1","@NabilahAbdussa1")</f>
        <v>@NabilahAbdussa1</v>
      </c>
      <c r="C9866" s="8" t="s">
        <v>3050</v>
      </c>
      <c r="D9866" s="8">
        <v>45</v>
      </c>
      <c r="E9866" s="8">
        <v>0</v>
      </c>
      <c r="F9866" s="8">
        <v>525</v>
      </c>
    </row>
    <row r="9867" spans="1:6" ht="12.75">
      <c r="A9867" s="8">
        <v>43900.460324074069</v>
      </c>
      <c r="B9867" s="8" t="str">
        <f>HYPERLINK("https://twitter.com/alifwiralodra","@alifwiralodra")</f>
        <v>@alifwiralodra</v>
      </c>
      <c r="C9867" s="8" t="s">
        <v>4380</v>
      </c>
      <c r="D9867" s="8">
        <v>2</v>
      </c>
      <c r="E9867" s="8">
        <v>0</v>
      </c>
      <c r="F9867" s="8">
        <v>8182</v>
      </c>
    </row>
    <row r="9868" spans="1:6" ht="12.75">
      <c r="A9868" s="8">
        <v>43900.460196759261</v>
      </c>
      <c r="B9868" s="8" t="str">
        <f>HYPERLINK("https://twitter.com/fajaryogaan","@fajaryogaan")</f>
        <v>@fajaryogaan</v>
      </c>
      <c r="C9868" s="8" t="s">
        <v>3050</v>
      </c>
      <c r="D9868" s="8">
        <v>45</v>
      </c>
      <c r="E9868" s="8">
        <v>0</v>
      </c>
      <c r="F9868" s="8">
        <v>196</v>
      </c>
    </row>
    <row r="9869" spans="1:6" ht="12.75">
      <c r="A9869" s="8">
        <v>43900.45994212963</v>
      </c>
      <c r="B9869" s="8" t="str">
        <f>HYPERLINK("https://twitter.com/gyuvenchy0428","@gyuvenchy0428")</f>
        <v>@gyuvenchy0428</v>
      </c>
      <c r="C9869" s="8" t="s">
        <v>4381</v>
      </c>
      <c r="D9869" s="8">
        <v>0</v>
      </c>
      <c r="E9869" s="8">
        <v>0</v>
      </c>
      <c r="F9869" s="8">
        <v>167</v>
      </c>
    </row>
    <row r="9870" spans="1:6" ht="12.75">
      <c r="A9870" s="8">
        <v>43900.459745370375</v>
      </c>
      <c r="B9870" s="8" t="str">
        <f>HYPERLINK("https://twitter.com/aulyraindradjid","@aulyraindradjid")</f>
        <v>@aulyraindradjid</v>
      </c>
      <c r="C9870" s="8" t="s">
        <v>295</v>
      </c>
      <c r="D9870" s="8">
        <v>48</v>
      </c>
      <c r="E9870" s="8">
        <v>0</v>
      </c>
      <c r="F9870" s="8">
        <v>245</v>
      </c>
    </row>
    <row r="9871" spans="1:6" ht="12.75">
      <c r="A9871" s="8">
        <v>43900.459687499999</v>
      </c>
      <c r="B9871" s="8" t="str">
        <f>HYPERLINK("https://twitter.com/si_doel07","@si_doel07")</f>
        <v>@si_doel07</v>
      </c>
      <c r="C9871" s="8" t="s">
        <v>318</v>
      </c>
      <c r="D9871" s="8">
        <v>276</v>
      </c>
      <c r="E9871" s="8">
        <v>0</v>
      </c>
      <c r="F9871" s="8">
        <v>172</v>
      </c>
    </row>
    <row r="9872" spans="1:6" ht="12.75">
      <c r="A9872" s="8">
        <v>43900.459525462968</v>
      </c>
      <c r="B9872" s="8" t="str">
        <f>HYPERLINK("https://twitter.com/vipeaceful__","@vipeaceful__")</f>
        <v>@vipeaceful__</v>
      </c>
      <c r="C9872" s="8" t="s">
        <v>3050</v>
      </c>
      <c r="D9872" s="8">
        <v>45</v>
      </c>
      <c r="E9872" s="8">
        <v>0</v>
      </c>
      <c r="F9872" s="8">
        <v>263</v>
      </c>
    </row>
    <row r="9873" spans="1:6" ht="12.75">
      <c r="A9873" s="8">
        <v>43900.459421296298</v>
      </c>
      <c r="B9873" s="8" t="str">
        <f>HYPERLINK("https://twitter.com/nenghima1","@nenghima1")</f>
        <v>@nenghima1</v>
      </c>
      <c r="C9873" s="8" t="s">
        <v>4382</v>
      </c>
      <c r="D9873" s="8">
        <v>0</v>
      </c>
      <c r="E9873" s="8">
        <v>0</v>
      </c>
      <c r="F9873" s="8">
        <v>257</v>
      </c>
    </row>
    <row r="9874" spans="1:6" ht="12.75">
      <c r="A9874" s="8">
        <v>43900.459236111114</v>
      </c>
      <c r="B9874" s="8" t="str">
        <f>HYPERLINK("https://twitter.com/Rudi_Hermawan","@Rudi_Hermawan")</f>
        <v>@Rudi_Hermawan</v>
      </c>
      <c r="C9874" s="8" t="s">
        <v>1186</v>
      </c>
      <c r="D9874" s="8">
        <v>3</v>
      </c>
      <c r="E9874" s="8">
        <v>0</v>
      </c>
      <c r="F9874" s="8">
        <v>1063</v>
      </c>
    </row>
    <row r="9875" spans="1:6" ht="12.75">
      <c r="A9875" s="8">
        <v>43900.459016203706</v>
      </c>
      <c r="B9875" s="8" t="str">
        <f>HYPERLINK("https://twitter.com/seppam_","@seppam_")</f>
        <v>@seppam_</v>
      </c>
      <c r="C9875" s="8" t="s">
        <v>3050</v>
      </c>
      <c r="D9875" s="8">
        <v>45</v>
      </c>
      <c r="E9875" s="8">
        <v>0</v>
      </c>
      <c r="F9875" s="8">
        <v>512</v>
      </c>
    </row>
    <row r="9876" spans="1:6" ht="12.75">
      <c r="A9876" s="8">
        <v>43900.458715277782</v>
      </c>
      <c r="B9876" s="8" t="str">
        <f>HYPERLINK("https://twitter.com/Mata2Kucing","@Mata2Kucing")</f>
        <v>@Mata2Kucing</v>
      </c>
      <c r="C9876" s="8" t="s">
        <v>3050</v>
      </c>
      <c r="D9876" s="8">
        <v>45</v>
      </c>
      <c r="E9876" s="8">
        <v>0</v>
      </c>
      <c r="F9876" s="8">
        <v>70</v>
      </c>
    </row>
    <row r="9877" spans="1:6" ht="12.75">
      <c r="A9877" s="8">
        <v>43900.458668981482</v>
      </c>
      <c r="B9877" s="8" t="str">
        <f t="shared" ref="B9877:B9878" si="160">HYPERLINK("https://twitter.com/pratamarangga65","@pratamarangga65")</f>
        <v>@pratamarangga65</v>
      </c>
      <c r="C9877" s="8" t="s">
        <v>4155</v>
      </c>
      <c r="D9877" s="8">
        <v>1</v>
      </c>
      <c r="E9877" s="8">
        <v>0</v>
      </c>
      <c r="F9877" s="8">
        <v>1730</v>
      </c>
    </row>
    <row r="9878" spans="1:6" ht="12.75">
      <c r="A9878" s="8">
        <v>43900.458645833336</v>
      </c>
      <c r="B9878" s="8" t="str">
        <f t="shared" si="160"/>
        <v>@pratamarangga65</v>
      </c>
      <c r="C9878" s="8" t="s">
        <v>4156</v>
      </c>
      <c r="D9878" s="8">
        <v>5</v>
      </c>
      <c r="E9878" s="8">
        <v>0</v>
      </c>
      <c r="F9878" s="8">
        <v>1730</v>
      </c>
    </row>
    <row r="9879" spans="1:6" ht="12.75">
      <c r="A9879" s="8">
        <v>43900.458634259259</v>
      </c>
      <c r="B9879" s="8" t="str">
        <f>HYPERLINK("https://twitter.com/delia_a","@delia_a")</f>
        <v>@delia_a</v>
      </c>
      <c r="C9879" s="8" t="s">
        <v>3050</v>
      </c>
      <c r="D9879" s="8">
        <v>45</v>
      </c>
      <c r="E9879" s="8">
        <v>0</v>
      </c>
      <c r="F9879" s="8">
        <v>562</v>
      </c>
    </row>
    <row r="9880" spans="1:6" ht="12.75">
      <c r="A9880" s="8">
        <v>43900.458622685182</v>
      </c>
      <c r="B9880" s="8" t="str">
        <f>HYPERLINK("https://twitter.com/buana_himbar","@buana_himbar")</f>
        <v>@buana_himbar</v>
      </c>
      <c r="C9880" s="8" t="s">
        <v>3050</v>
      </c>
      <c r="D9880" s="8">
        <v>45</v>
      </c>
      <c r="E9880" s="8">
        <v>0</v>
      </c>
      <c r="F9880" s="8">
        <v>103</v>
      </c>
    </row>
    <row r="9881" spans="1:6" ht="12.75">
      <c r="A9881" s="8">
        <v>43900.458506944444</v>
      </c>
      <c r="B9881" s="8" t="str">
        <f>HYPERLINK("https://twitter.com/tinelo_lipu","@tinelo_lipu")</f>
        <v>@tinelo_lipu</v>
      </c>
      <c r="C9881" s="8" t="s">
        <v>318</v>
      </c>
      <c r="D9881" s="8">
        <v>276</v>
      </c>
      <c r="E9881" s="8">
        <v>0</v>
      </c>
      <c r="F9881" s="8">
        <v>313</v>
      </c>
    </row>
    <row r="9882" spans="1:6" ht="12.75">
      <c r="A9882" s="8">
        <v>43900.458483796298</v>
      </c>
      <c r="B9882" s="8" t="str">
        <f>HYPERLINK("https://twitter.com/YugaOscar","@YugaOscar")</f>
        <v>@YugaOscar</v>
      </c>
      <c r="C9882" s="8" t="s">
        <v>2511</v>
      </c>
      <c r="D9882" s="8">
        <v>4</v>
      </c>
      <c r="E9882" s="8">
        <v>0</v>
      </c>
      <c r="F9882" s="8">
        <v>190</v>
      </c>
    </row>
    <row r="9883" spans="1:6" ht="12.75">
      <c r="A9883" s="8">
        <v>43900.458240740743</v>
      </c>
      <c r="B9883" s="8" t="str">
        <f>HYPERLINK("https://twitter.com/desty2_","@desty2_")</f>
        <v>@desty2_</v>
      </c>
      <c r="C9883" s="8" t="s">
        <v>4383</v>
      </c>
      <c r="D9883" s="8">
        <v>0</v>
      </c>
      <c r="E9883" s="8">
        <v>0</v>
      </c>
      <c r="F9883" s="8">
        <v>646</v>
      </c>
    </row>
    <row r="9884" spans="1:6" ht="12.75">
      <c r="A9884" s="8">
        <v>43900.458229166667</v>
      </c>
      <c r="B9884" s="8" t="str">
        <f>HYPERLINK("https://twitter.com/mujjtahidah","@mujjtahidah")</f>
        <v>@mujjtahidah</v>
      </c>
      <c r="C9884" s="8" t="s">
        <v>3050</v>
      </c>
      <c r="D9884" s="8">
        <v>45</v>
      </c>
      <c r="E9884" s="8">
        <v>0</v>
      </c>
      <c r="F9884" s="8">
        <v>226</v>
      </c>
    </row>
    <row r="9885" spans="1:6" ht="12.75">
      <c r="A9885" s="8">
        <v>43900.458182870367</v>
      </c>
      <c r="B9885" s="8" t="str">
        <f>HYPERLINK("https://twitter.com/strike_bravo_b","@strike_bravo_b")</f>
        <v>@strike_bravo_b</v>
      </c>
      <c r="C9885" s="8" t="s">
        <v>3050</v>
      </c>
      <c r="D9885" s="8">
        <v>45</v>
      </c>
      <c r="E9885" s="8">
        <v>0</v>
      </c>
      <c r="F9885" s="8">
        <v>265</v>
      </c>
    </row>
    <row r="9886" spans="1:6" ht="12.75">
      <c r="A9886" s="8">
        <v>43900.458182870367</v>
      </c>
      <c r="B9886" s="8" t="str">
        <f>HYPERLINK("https://twitter.com/thesadblood","@thesadblood")</f>
        <v>@thesadblood</v>
      </c>
      <c r="C9886" s="8" t="s">
        <v>3050</v>
      </c>
      <c r="D9886" s="8">
        <v>45</v>
      </c>
      <c r="E9886" s="8">
        <v>0</v>
      </c>
      <c r="F9886" s="8">
        <v>737</v>
      </c>
    </row>
    <row r="9887" spans="1:6" ht="12.75">
      <c r="A9887" s="8">
        <v>43900.458148148144</v>
      </c>
      <c r="B9887" s="8" t="str">
        <f>HYPERLINK("https://twitter.com/sidneyalesandra","@sidneyalesandra")</f>
        <v>@sidneyalesandra</v>
      </c>
      <c r="C9887" s="8" t="s">
        <v>3050</v>
      </c>
      <c r="D9887" s="8">
        <v>45</v>
      </c>
      <c r="E9887" s="8">
        <v>0</v>
      </c>
      <c r="F9887" s="8">
        <v>769</v>
      </c>
    </row>
    <row r="9888" spans="1:6" ht="12.75">
      <c r="A9888" s="8">
        <v>43900.458136574074</v>
      </c>
      <c r="B9888" s="8" t="str">
        <f>HYPERLINK("https://twitter.com/andyypri23","@andyypri23")</f>
        <v>@andyypri23</v>
      </c>
      <c r="C9888" s="8" t="s">
        <v>3050</v>
      </c>
      <c r="D9888" s="8">
        <v>45</v>
      </c>
      <c r="E9888" s="8">
        <v>0</v>
      </c>
      <c r="F9888" s="8">
        <v>16</v>
      </c>
    </row>
    <row r="9889" spans="1:6" ht="12.75">
      <c r="A9889" s="8">
        <v>43900.457986111112</v>
      </c>
      <c r="B9889" s="8" t="str">
        <f>HYPERLINK("https://twitter.com/eggggsie","@eggggsie")</f>
        <v>@eggggsie</v>
      </c>
      <c r="C9889" s="8" t="s">
        <v>3050</v>
      </c>
      <c r="D9889" s="8">
        <v>45</v>
      </c>
      <c r="E9889" s="8">
        <v>0</v>
      </c>
      <c r="F9889" s="8">
        <v>10951</v>
      </c>
    </row>
    <row r="9890" spans="1:6" ht="12.75">
      <c r="A9890" s="8">
        <v>43900.45793981482</v>
      </c>
      <c r="B9890" s="8" t="str">
        <f>HYPERLINK("https://twitter.com/wahyuutomos","@wahyuutomos")</f>
        <v>@wahyuutomos</v>
      </c>
      <c r="C9890" s="8" t="s">
        <v>3050</v>
      </c>
      <c r="D9890" s="8">
        <v>45</v>
      </c>
      <c r="E9890" s="8">
        <v>0</v>
      </c>
      <c r="F9890" s="8">
        <v>123</v>
      </c>
    </row>
    <row r="9891" spans="1:6" ht="12.75">
      <c r="A9891" s="8">
        <v>43900.45789351852</v>
      </c>
      <c r="B9891" s="8" t="str">
        <f>HYPERLINK("https://twitter.com/seutaslara","@seutaslara")</f>
        <v>@seutaslara</v>
      </c>
      <c r="C9891" s="8" t="s">
        <v>4384</v>
      </c>
      <c r="D9891" s="8">
        <v>0</v>
      </c>
      <c r="E9891" s="8">
        <v>0</v>
      </c>
      <c r="F9891" s="8">
        <v>183</v>
      </c>
    </row>
    <row r="9892" spans="1:6" ht="12.75">
      <c r="A9892" s="8">
        <v>43900.457789351851</v>
      </c>
      <c r="B9892" s="8" t="str">
        <f>HYPERLINK("https://twitter.com/lookslina","@lookslina")</f>
        <v>@lookslina</v>
      </c>
      <c r="C9892" s="8" t="s">
        <v>4385</v>
      </c>
      <c r="D9892" s="8">
        <v>3</v>
      </c>
      <c r="E9892" s="8">
        <v>5</v>
      </c>
      <c r="F9892" s="8">
        <v>587</v>
      </c>
    </row>
    <row r="9893" spans="1:6" ht="12.75">
      <c r="A9893" s="8">
        <v>43900.457777777774</v>
      </c>
      <c r="B9893" s="8" t="str">
        <f>HYPERLINK("https://twitter.com/martabakforlyfe","@martabakforlyfe")</f>
        <v>@martabakforlyfe</v>
      </c>
      <c r="C9893" s="8" t="s">
        <v>3050</v>
      </c>
      <c r="D9893" s="8">
        <v>45</v>
      </c>
      <c r="E9893" s="8">
        <v>0</v>
      </c>
      <c r="F9893" s="8">
        <v>68</v>
      </c>
    </row>
    <row r="9894" spans="1:6" ht="12.75">
      <c r="A9894" s="8">
        <v>43900.457685185189</v>
      </c>
      <c r="B9894" s="8" t="str">
        <f>HYPERLINK("https://twitter.com/lampostco","@lampostco")</f>
        <v>@lampostco</v>
      </c>
      <c r="C9894" s="8" t="s">
        <v>4386</v>
      </c>
      <c r="D9894" s="8">
        <v>0</v>
      </c>
      <c r="E9894" s="8">
        <v>0</v>
      </c>
      <c r="F9894" s="8">
        <v>1831</v>
      </c>
    </row>
    <row r="9895" spans="1:6" ht="12.75">
      <c r="A9895" s="8">
        <v>43900.457650462966</v>
      </c>
      <c r="B9895" s="8" t="str">
        <f>HYPERLINK("https://twitter.com/daundoeren","@daundoeren")</f>
        <v>@daundoeren</v>
      </c>
      <c r="C9895" s="8" t="s">
        <v>4387</v>
      </c>
      <c r="D9895" s="8">
        <v>0</v>
      </c>
      <c r="E9895" s="8">
        <v>0</v>
      </c>
      <c r="F9895" s="8">
        <v>0</v>
      </c>
    </row>
    <row r="9896" spans="1:6" ht="12.75">
      <c r="A9896" s="8">
        <v>43900.457569444443</v>
      </c>
      <c r="B9896" s="8" t="str">
        <f>HYPERLINK("https://twitter.com/spontanuhui","@spontanuhui")</f>
        <v>@spontanuhui</v>
      </c>
      <c r="C9896" s="8" t="s">
        <v>3050</v>
      </c>
      <c r="D9896" s="8">
        <v>45</v>
      </c>
      <c r="E9896" s="8">
        <v>0</v>
      </c>
      <c r="F9896" s="8">
        <v>46</v>
      </c>
    </row>
    <row r="9897" spans="1:6" ht="12.75">
      <c r="A9897" s="8">
        <v>43900.457337962958</v>
      </c>
      <c r="B9897" s="8" t="str">
        <f>HYPERLINK("https://twitter.com/Peri_Reis","@Peri_Reis")</f>
        <v>@Peri_Reis</v>
      </c>
      <c r="C9897" s="8" t="s">
        <v>318</v>
      </c>
      <c r="D9897" s="8">
        <v>276</v>
      </c>
      <c r="E9897" s="8">
        <v>0</v>
      </c>
      <c r="F9897" s="8">
        <v>140</v>
      </c>
    </row>
    <row r="9898" spans="1:6" ht="12.75">
      <c r="A9898" s="8">
        <v>43900.45716435185</v>
      </c>
      <c r="B9898" s="8" t="str">
        <f>HYPERLINK("https://twitter.com/bulansridevi","@bulansridevi")</f>
        <v>@bulansridevi</v>
      </c>
      <c r="C9898" s="8" t="s">
        <v>4388</v>
      </c>
      <c r="D9898" s="8">
        <v>0</v>
      </c>
      <c r="E9898" s="8">
        <v>0</v>
      </c>
      <c r="F9898" s="8">
        <v>1361</v>
      </c>
    </row>
    <row r="9899" spans="1:6" ht="12.75">
      <c r="A9899" s="8">
        <v>43900.457106481481</v>
      </c>
      <c r="B9899" s="8" t="str">
        <f>HYPERLINK("https://twitter.com/SifatDuniawi","@SifatDuniawi")</f>
        <v>@SifatDuniawi</v>
      </c>
      <c r="C9899" s="8" t="s">
        <v>3050</v>
      </c>
      <c r="D9899" s="8">
        <v>45</v>
      </c>
      <c r="E9899" s="8">
        <v>0</v>
      </c>
      <c r="F9899" s="8">
        <v>376</v>
      </c>
    </row>
    <row r="9900" spans="1:6" ht="12.75">
      <c r="A9900" s="8">
        <v>43900.457048611112</v>
      </c>
      <c r="B9900" s="8" t="str">
        <f>HYPERLINK("https://twitter.com/BucinnyaJulianC","@BucinnyaJulianC")</f>
        <v>@BucinnyaJulianC</v>
      </c>
      <c r="C9900" s="8" t="s">
        <v>3050</v>
      </c>
      <c r="D9900" s="8">
        <v>45</v>
      </c>
      <c r="E9900" s="8">
        <v>0</v>
      </c>
      <c r="F9900" s="8">
        <v>575</v>
      </c>
    </row>
    <row r="9901" spans="1:6" ht="12.75">
      <c r="A9901" s="8">
        <v>43900.456712962958</v>
      </c>
      <c r="B9901" s="8" t="str">
        <f>HYPERLINK("https://twitter.com/ryolandafit","@ryolandafit")</f>
        <v>@ryolandafit</v>
      </c>
      <c r="C9901" s="8" t="s">
        <v>4389</v>
      </c>
      <c r="D9901" s="8">
        <v>4</v>
      </c>
      <c r="E9901" s="8">
        <v>0</v>
      </c>
      <c r="F9901" s="8">
        <v>659</v>
      </c>
    </row>
    <row r="9902" spans="1:6" ht="12.75">
      <c r="A9902" s="8">
        <v>43900.456643518519</v>
      </c>
      <c r="B9902" s="8" t="str">
        <f>HYPERLINK("https://twitter.com/TirtoID","@TirtoID")</f>
        <v>@TirtoID</v>
      </c>
      <c r="C9902" s="8" t="s">
        <v>4390</v>
      </c>
      <c r="D9902" s="8">
        <v>45</v>
      </c>
      <c r="E9902" s="8">
        <v>37</v>
      </c>
      <c r="F9902" s="8">
        <v>497058</v>
      </c>
    </row>
    <row r="9903" spans="1:6" ht="12.75">
      <c r="A9903" s="8">
        <v>43900.456631944442</v>
      </c>
      <c r="B9903" s="8" t="str">
        <f>HYPERLINK("https://twitter.com/HasbyYusuf9","@HasbyYusuf9")</f>
        <v>@HasbyYusuf9</v>
      </c>
      <c r="C9903" s="8" t="s">
        <v>4391</v>
      </c>
      <c r="D9903" s="8">
        <v>0</v>
      </c>
      <c r="E9903" s="8">
        <v>0</v>
      </c>
      <c r="F9903" s="8">
        <v>189</v>
      </c>
    </row>
    <row r="9904" spans="1:6" ht="12.75">
      <c r="A9904" s="8">
        <v>43900.456493055557</v>
      </c>
      <c r="B9904" s="8" t="str">
        <f>HYPERLINK("https://twitter.com/anis120763","@anis120763")</f>
        <v>@anis120763</v>
      </c>
      <c r="C9904" s="8" t="s">
        <v>318</v>
      </c>
      <c r="D9904" s="8">
        <v>276</v>
      </c>
      <c r="E9904" s="8">
        <v>0</v>
      </c>
      <c r="F9904" s="8">
        <v>698</v>
      </c>
    </row>
    <row r="9905" spans="1:6" ht="12.75">
      <c r="A9905" s="8">
        <v>43900.456261574072</v>
      </c>
      <c r="B9905" s="8" t="str">
        <f>HYPERLINK("https://twitter.com/RepublikTweep","@RepublikTweep")</f>
        <v>@RepublikTweep</v>
      </c>
      <c r="C9905" s="8" t="s">
        <v>4392</v>
      </c>
      <c r="D9905" s="8">
        <v>0</v>
      </c>
      <c r="E9905" s="8">
        <v>0</v>
      </c>
      <c r="F9905" s="8">
        <v>27667</v>
      </c>
    </row>
    <row r="9906" spans="1:6" ht="12.75">
      <c r="A9906" s="8">
        <v>43900.45621527778</v>
      </c>
      <c r="B9906" s="8" t="str">
        <f>HYPERLINK("https://twitter.com/sranjithreddy","@sranjithreddy")</f>
        <v>@sranjithreddy</v>
      </c>
      <c r="C9906" s="8" t="s">
        <v>1957</v>
      </c>
      <c r="D9906" s="8">
        <v>1446</v>
      </c>
      <c r="E9906" s="8">
        <v>0</v>
      </c>
      <c r="F9906" s="8">
        <v>198</v>
      </c>
    </row>
    <row r="9907" spans="1:6" ht="12.75">
      <c r="A9907" s="8">
        <v>43900.456180555557</v>
      </c>
      <c r="B9907" s="8" t="str">
        <f>HYPERLINK("https://twitter.com/bambangharyono3","@bambangharyono3")</f>
        <v>@bambangharyono3</v>
      </c>
      <c r="C9907" s="8" t="s">
        <v>295</v>
      </c>
      <c r="D9907" s="8">
        <v>48</v>
      </c>
      <c r="E9907" s="8">
        <v>0</v>
      </c>
      <c r="F9907" s="8">
        <v>6946</v>
      </c>
    </row>
    <row r="9908" spans="1:6" ht="12.75">
      <c r="A9908" s="8">
        <v>43900.456041666665</v>
      </c>
      <c r="B9908" s="8" t="str">
        <f>HYPERLINK("https://twitter.com/rahmaalibasya","@rahmaalibasya")</f>
        <v>@rahmaalibasya</v>
      </c>
      <c r="C9908" s="8" t="s">
        <v>2227</v>
      </c>
      <c r="D9908" s="8">
        <v>3</v>
      </c>
      <c r="E9908" s="8">
        <v>0</v>
      </c>
      <c r="F9908" s="8">
        <v>75</v>
      </c>
    </row>
    <row r="9909" spans="1:6" ht="12.75">
      <c r="A9909" s="8">
        <v>43900.456018518518</v>
      </c>
      <c r="B9909" s="8" t="str">
        <f>HYPERLINK("https://twitter.com/hudattamini","@hudattamini")</f>
        <v>@hudattamini</v>
      </c>
      <c r="C9909" s="8" t="s">
        <v>4393</v>
      </c>
      <c r="D9909" s="8">
        <v>0</v>
      </c>
      <c r="E9909" s="8">
        <v>0</v>
      </c>
      <c r="F9909" s="8">
        <v>3723</v>
      </c>
    </row>
    <row r="9910" spans="1:6" ht="12.75">
      <c r="A9910" s="8">
        <v>43900.455937499995</v>
      </c>
      <c r="B9910" s="8" t="str">
        <f>HYPERLINK("https://twitter.com/Ningnon11392644","@Ningnon11392644")</f>
        <v>@Ningnon11392644</v>
      </c>
      <c r="C9910" s="8" t="s">
        <v>4394</v>
      </c>
      <c r="D9910" s="8">
        <v>0</v>
      </c>
      <c r="E9910" s="8">
        <v>2</v>
      </c>
      <c r="F9910" s="8">
        <v>1638</v>
      </c>
    </row>
    <row r="9911" spans="1:6" ht="12.75">
      <c r="A9911" s="8">
        <v>43900.455937499995</v>
      </c>
      <c r="B9911" s="8" t="str">
        <f>HYPERLINK("https://twitter.com/bambangharyono3","@bambangharyono3")</f>
        <v>@bambangharyono3</v>
      </c>
      <c r="C9911" s="8" t="s">
        <v>2432</v>
      </c>
      <c r="D9911" s="8">
        <v>30</v>
      </c>
      <c r="E9911" s="8">
        <v>0</v>
      </c>
      <c r="F9911" s="8">
        <v>6946</v>
      </c>
    </row>
    <row r="9912" spans="1:6" ht="12.75">
      <c r="A9912" s="8">
        <v>43900.45590277778</v>
      </c>
      <c r="B9912" s="8" t="str">
        <f>HYPERLINK("https://twitter.com/ucokseparoh","@ucokseparoh")</f>
        <v>@ucokseparoh</v>
      </c>
      <c r="C9912" s="8" t="s">
        <v>1186</v>
      </c>
      <c r="D9912" s="8">
        <v>3</v>
      </c>
      <c r="E9912" s="8">
        <v>0</v>
      </c>
      <c r="F9912" s="8">
        <v>522</v>
      </c>
    </row>
    <row r="9913" spans="1:6" ht="12.75">
      <c r="A9913" s="8">
        <v>43900.455729166672</v>
      </c>
      <c r="B9913" s="8" t="str">
        <f>HYPERLINK("https://twitter.com/scarfaizz","@scarfaizz")</f>
        <v>@scarfaizz</v>
      </c>
      <c r="C9913" s="8" t="s">
        <v>2227</v>
      </c>
      <c r="D9913" s="8">
        <v>3</v>
      </c>
      <c r="E9913" s="8">
        <v>0</v>
      </c>
      <c r="F9913" s="8">
        <v>186</v>
      </c>
    </row>
    <row r="9914" spans="1:6" ht="12.75">
      <c r="A9914" s="8">
        <v>43900.455706018518</v>
      </c>
      <c r="B9914" s="8" t="str">
        <f t="shared" ref="B9914:B9915" si="161">HYPERLINK("https://twitter.com/reyvesaragih","@reyvesaragih")</f>
        <v>@reyvesaragih</v>
      </c>
      <c r="C9914" s="8" t="s">
        <v>295</v>
      </c>
      <c r="D9914" s="8">
        <v>48</v>
      </c>
      <c r="E9914" s="8">
        <v>0</v>
      </c>
      <c r="F9914" s="8">
        <v>408</v>
      </c>
    </row>
    <row r="9915" spans="1:6" ht="12.75">
      <c r="A9915" s="8">
        <v>43900.455659722225</v>
      </c>
      <c r="B9915" s="8" t="str">
        <f t="shared" si="161"/>
        <v>@reyvesaragih</v>
      </c>
      <c r="C9915" s="8" t="s">
        <v>2432</v>
      </c>
      <c r="D9915" s="8">
        <v>30</v>
      </c>
      <c r="E9915" s="8">
        <v>0</v>
      </c>
      <c r="F9915" s="8">
        <v>408</v>
      </c>
    </row>
    <row r="9916" spans="1:6" ht="12.75">
      <c r="A9916" s="8">
        <v>43900.455567129626</v>
      </c>
      <c r="B9916" s="8" t="str">
        <f>HYPERLINK("https://twitter.com/StalistS","@StalistS")</f>
        <v>@StalistS</v>
      </c>
      <c r="C9916" s="8" t="s">
        <v>318</v>
      </c>
      <c r="D9916" s="8">
        <v>276</v>
      </c>
      <c r="E9916" s="8">
        <v>0</v>
      </c>
      <c r="F9916" s="8">
        <v>1810</v>
      </c>
    </row>
    <row r="9917" spans="1:6" ht="12.75">
      <c r="A9917" s="8">
        <v>43900.455555555556</v>
      </c>
      <c r="B9917" s="8" t="str">
        <f>HYPERLINK("https://twitter.com/ilman__nafian","@ilman__nafian")</f>
        <v>@ilman__nafian</v>
      </c>
      <c r="C9917" s="8" t="s">
        <v>4395</v>
      </c>
      <c r="D9917" s="8">
        <v>0</v>
      </c>
      <c r="E9917" s="8">
        <v>0</v>
      </c>
      <c r="F9917" s="8">
        <v>3005</v>
      </c>
    </row>
    <row r="9918" spans="1:6" ht="12.75">
      <c r="A9918" s="8">
        <v>43900.454837962963</v>
      </c>
      <c r="B9918" s="8" t="str">
        <f>HYPERLINK("https://twitter.com/MMargani5","@MMargani5")</f>
        <v>@MMargani5</v>
      </c>
      <c r="C9918" s="8" t="s">
        <v>2511</v>
      </c>
      <c r="D9918" s="8">
        <v>4</v>
      </c>
      <c r="E9918" s="8">
        <v>0</v>
      </c>
      <c r="F9918" s="8">
        <v>5765</v>
      </c>
    </row>
    <row r="9919" spans="1:6" ht="12.75">
      <c r="A9919" s="8">
        <v>43900.454745370371</v>
      </c>
      <c r="B9919" s="8" t="str">
        <f>HYPERLINK("https://twitter.com/Mulia07094480","@Mulia07094480")</f>
        <v>@Mulia07094480</v>
      </c>
      <c r="C9919" s="8" t="s">
        <v>4068</v>
      </c>
      <c r="D9919" s="8">
        <v>30</v>
      </c>
      <c r="E9919" s="8">
        <v>0</v>
      </c>
      <c r="F9919" s="8">
        <v>763</v>
      </c>
    </row>
    <row r="9920" spans="1:6" ht="12.75">
      <c r="A9920" s="8">
        <v>43900.454155092593</v>
      </c>
      <c r="B9920" s="8" t="str">
        <f>HYPERLINK("https://twitter.com/dwiewibawanto","@dwiewibawanto")</f>
        <v>@dwiewibawanto</v>
      </c>
      <c r="C9920" s="8" t="s">
        <v>318</v>
      </c>
      <c r="D9920" s="8">
        <v>276</v>
      </c>
      <c r="E9920" s="8">
        <v>0</v>
      </c>
      <c r="F9920" s="8">
        <v>344</v>
      </c>
    </row>
    <row r="9921" spans="1:6" ht="12.75">
      <c r="A9921" s="8">
        <v>43900.453738425931</v>
      </c>
      <c r="B9921" s="8" t="str">
        <f>HYPERLINK("https://twitter.com/ZAEffendy","@ZAEffendy")</f>
        <v>@ZAEffendy</v>
      </c>
      <c r="C9921" s="8" t="s">
        <v>4396</v>
      </c>
      <c r="D9921" s="8">
        <v>4</v>
      </c>
      <c r="E9921" s="8">
        <v>3</v>
      </c>
      <c r="F9921" s="8">
        <v>60260</v>
      </c>
    </row>
    <row r="9922" spans="1:6" ht="12.75">
      <c r="A9922" s="8">
        <v>43900.4533912037</v>
      </c>
      <c r="B9922" s="8" t="str">
        <f>HYPERLINK("https://twitter.com/AvinashMishra50","@AvinashMishra50")</f>
        <v>@AvinashMishra50</v>
      </c>
      <c r="C9922" s="8" t="s">
        <v>1808</v>
      </c>
      <c r="D9922" s="8">
        <v>825</v>
      </c>
      <c r="E9922" s="8">
        <v>0</v>
      </c>
      <c r="F9922" s="8">
        <v>128</v>
      </c>
    </row>
    <row r="9923" spans="1:6" ht="12.75">
      <c r="A9923" s="8">
        <v>43900.453333333338</v>
      </c>
      <c r="B9923" s="8" t="str">
        <f>HYPERLINK("https://twitter.com/irmawati_arini","@irmawati_arini")</f>
        <v>@irmawati_arini</v>
      </c>
      <c r="C9923" s="8" t="s">
        <v>318</v>
      </c>
      <c r="D9923" s="8">
        <v>276</v>
      </c>
      <c r="E9923" s="8">
        <v>0</v>
      </c>
      <c r="F9923" s="8">
        <v>125</v>
      </c>
    </row>
    <row r="9924" spans="1:6" ht="12.75">
      <c r="A9924" s="8">
        <v>43900.453298611115</v>
      </c>
      <c r="B9924" s="8" t="str">
        <f>HYPERLINK("https://twitter.com/lacuzte","@lacuzte")</f>
        <v>@lacuzte</v>
      </c>
      <c r="C9924" s="8" t="s">
        <v>318</v>
      </c>
      <c r="D9924" s="8">
        <v>276</v>
      </c>
      <c r="E9924" s="8">
        <v>0</v>
      </c>
      <c r="F9924" s="8">
        <v>178</v>
      </c>
    </row>
    <row r="9925" spans="1:6" ht="12.75">
      <c r="A9925" s="8">
        <v>43900.453194444446</v>
      </c>
      <c r="B9925" s="8" t="str">
        <f>HYPERLINK("https://twitter.com/AnnaHally_","@AnnaHally_")</f>
        <v>@AnnaHally_</v>
      </c>
      <c r="C9925" s="8" t="s">
        <v>4218</v>
      </c>
      <c r="D9925" s="8">
        <v>6</v>
      </c>
      <c r="E9925" s="8">
        <v>0</v>
      </c>
      <c r="F9925" s="8">
        <v>7313</v>
      </c>
    </row>
    <row r="9926" spans="1:6" ht="12.75">
      <c r="A9926" s="8">
        <v>43900.423067129625</v>
      </c>
      <c r="B9926" s="8" t="str">
        <f>HYPERLINK("https://twitter.com/Jackjackaljugja","@Jackjackaljugja")</f>
        <v>@Jackjackaljugja</v>
      </c>
      <c r="C9926" s="8" t="s">
        <v>318</v>
      </c>
      <c r="D9926" s="8">
        <v>217</v>
      </c>
      <c r="E9926" s="8">
        <v>0</v>
      </c>
      <c r="F9926" s="8">
        <v>628</v>
      </c>
    </row>
    <row r="9927" spans="1:6" ht="12.75">
      <c r="A9927" s="8">
        <v>43900.42287037037</v>
      </c>
      <c r="B9927" s="8" t="str">
        <f>HYPERLINK("https://twitter.com/kbri_tashkent","@kbri_tashkent")</f>
        <v>@kbri_tashkent</v>
      </c>
      <c r="C9927" s="8" t="s">
        <v>3168</v>
      </c>
      <c r="D9927" s="8">
        <v>67</v>
      </c>
      <c r="E9927" s="8">
        <v>0</v>
      </c>
      <c r="F9927" s="8">
        <v>387</v>
      </c>
    </row>
    <row r="9928" spans="1:6" ht="12.75">
      <c r="A9928" s="8">
        <v>43900.422523148147</v>
      </c>
      <c r="B9928" s="8" t="str">
        <f>HYPERLINK("https://twitter.com/stivemanual","@stivemanual")</f>
        <v>@stivemanual</v>
      </c>
      <c r="C9928" s="8" t="s">
        <v>318</v>
      </c>
      <c r="D9928" s="8">
        <v>217</v>
      </c>
      <c r="E9928" s="8">
        <v>0</v>
      </c>
      <c r="F9928" s="8">
        <v>346</v>
      </c>
    </row>
    <row r="9929" spans="1:6" ht="12.75">
      <c r="A9929" s="8">
        <v>43900.421909722223</v>
      </c>
      <c r="B9929" s="8" t="str">
        <f>HYPERLINK("https://twitter.com/BasirWahyu","@BasirWahyu")</f>
        <v>@BasirWahyu</v>
      </c>
      <c r="C9929" s="8" t="s">
        <v>318</v>
      </c>
      <c r="D9929" s="8">
        <v>217</v>
      </c>
      <c r="E9929" s="8">
        <v>0</v>
      </c>
      <c r="F9929" s="8">
        <v>536</v>
      </c>
    </row>
    <row r="9930" spans="1:6" ht="12.75">
      <c r="A9930" s="8">
        <v>43900.4215625</v>
      </c>
      <c r="B9930" s="8" t="str">
        <f>HYPERLINK("https://twitter.com/coekry85","@coekry85")</f>
        <v>@coekry85</v>
      </c>
      <c r="C9930" s="8" t="s">
        <v>318</v>
      </c>
      <c r="D9930" s="8">
        <v>217</v>
      </c>
      <c r="E9930" s="8">
        <v>0</v>
      </c>
      <c r="F9930" s="8">
        <v>353</v>
      </c>
    </row>
    <row r="9931" spans="1:6" ht="12.75">
      <c r="A9931" s="8">
        <v>43900.421458333338</v>
      </c>
      <c r="B9931" s="8" t="str">
        <f>HYPERLINK("https://twitter.com/cm_ram23","@cm_ram23")</f>
        <v>@cm_ram23</v>
      </c>
      <c r="C9931" s="8" t="s">
        <v>1957</v>
      </c>
      <c r="D9931" s="8">
        <v>1434</v>
      </c>
      <c r="E9931" s="8">
        <v>0</v>
      </c>
      <c r="F9931" s="8">
        <v>168</v>
      </c>
    </row>
    <row r="9932" spans="1:6" ht="12.75">
      <c r="A9932" s="8">
        <v>43900.420891203699</v>
      </c>
      <c r="B9932" s="8" t="str">
        <f>HYPERLINK("https://twitter.com/minniephoria","@minniephoria")</f>
        <v>@minniephoria</v>
      </c>
      <c r="C9932" s="8" t="s">
        <v>4397</v>
      </c>
      <c r="D9932" s="8">
        <v>0</v>
      </c>
      <c r="E9932" s="8">
        <v>0</v>
      </c>
      <c r="F9932" s="8">
        <v>3765</v>
      </c>
    </row>
    <row r="9933" spans="1:6" ht="12.75">
      <c r="A9933" s="8">
        <v>43900.420497685191</v>
      </c>
      <c r="B9933" s="8" t="str">
        <f>HYPERLINK("https://twitter.com/rullytanggo","@rullytanggo")</f>
        <v>@rullytanggo</v>
      </c>
      <c r="C9933" s="8" t="s">
        <v>318</v>
      </c>
      <c r="D9933" s="8">
        <v>217</v>
      </c>
      <c r="E9933" s="8">
        <v>0</v>
      </c>
      <c r="F9933" s="8">
        <v>248</v>
      </c>
    </row>
    <row r="9934" spans="1:6" ht="12.75">
      <c r="A9934" s="8">
        <v>43900.418564814812</v>
      </c>
      <c r="B9934" s="8" t="str">
        <f t="shared" ref="B9934:B9935" si="162">HYPERLINK("https://twitter.com/dorandae_il","@dorandae_il")</f>
        <v>@dorandae_il</v>
      </c>
      <c r="C9934" s="8" t="s">
        <v>295</v>
      </c>
      <c r="D9934" s="8">
        <v>37</v>
      </c>
      <c r="E9934" s="8">
        <v>0</v>
      </c>
      <c r="F9934" s="8">
        <v>1400</v>
      </c>
    </row>
    <row r="9935" spans="1:6" ht="12.75">
      <c r="A9935" s="8">
        <v>43900.418425925927</v>
      </c>
      <c r="B9935" s="8" t="str">
        <f t="shared" si="162"/>
        <v>@dorandae_il</v>
      </c>
      <c r="C9935" s="8" t="s">
        <v>2432</v>
      </c>
      <c r="D9935" s="8">
        <v>23</v>
      </c>
      <c r="E9935" s="8">
        <v>0</v>
      </c>
      <c r="F9935" s="8">
        <v>1400</v>
      </c>
    </row>
    <row r="9936" spans="1:6" ht="12.75">
      <c r="A9936" s="8">
        <v>43900.418136574073</v>
      </c>
      <c r="B9936" s="8" t="str">
        <f>HYPERLINK("https://twitter.com/btungka1997","@btungka1997")</f>
        <v>@btungka1997</v>
      </c>
      <c r="C9936" s="8" t="s">
        <v>295</v>
      </c>
      <c r="D9936" s="8">
        <v>37</v>
      </c>
      <c r="E9936" s="8">
        <v>0</v>
      </c>
      <c r="F9936" s="8">
        <v>428</v>
      </c>
    </row>
    <row r="9937" spans="1:6" ht="12.75">
      <c r="A9937" s="8">
        <v>43900.41810185185</v>
      </c>
      <c r="B9937" s="8" t="str">
        <f>HYPERLINK("https://twitter.com/sandi_pendi","@sandi_pendi")</f>
        <v>@sandi_pendi</v>
      </c>
      <c r="C9937" s="8" t="s">
        <v>318</v>
      </c>
      <c r="D9937" s="8">
        <v>217</v>
      </c>
      <c r="E9937" s="8">
        <v>0</v>
      </c>
      <c r="F9937" s="8">
        <v>148</v>
      </c>
    </row>
    <row r="9938" spans="1:6" ht="12.75">
      <c r="A9938" s="8">
        <v>43900.418032407411</v>
      </c>
      <c r="B9938" s="8" t="str">
        <f>HYPERLINK("https://twitter.com/HKreddy511","@HKreddy511")</f>
        <v>@HKreddy511</v>
      </c>
      <c r="C9938" s="8" t="s">
        <v>1957</v>
      </c>
      <c r="D9938" s="8">
        <v>1434</v>
      </c>
      <c r="E9938" s="8">
        <v>0</v>
      </c>
      <c r="F9938" s="8">
        <v>66</v>
      </c>
    </row>
    <row r="9939" spans="1:6" ht="12.75">
      <c r="A9939" s="8">
        <v>43900.417997685188</v>
      </c>
      <c r="B9939" s="8" t="str">
        <f>HYPERLINK("https://twitter.com/btungka1997","@btungka1997")</f>
        <v>@btungka1997</v>
      </c>
      <c r="C9939" s="8" t="s">
        <v>2432</v>
      </c>
      <c r="D9939" s="8">
        <v>23</v>
      </c>
      <c r="E9939" s="8">
        <v>0</v>
      </c>
      <c r="F9939" s="8">
        <v>428</v>
      </c>
    </row>
    <row r="9940" spans="1:6" ht="12.75">
      <c r="A9940" s="8">
        <v>43900.417974537035</v>
      </c>
      <c r="B9940" s="8" t="str">
        <f>HYPERLINK("https://twitter.com/swarupkdc","@swarupkdc")</f>
        <v>@swarupkdc</v>
      </c>
      <c r="C9940" s="8" t="s">
        <v>1957</v>
      </c>
      <c r="D9940" s="8">
        <v>1434</v>
      </c>
      <c r="E9940" s="8">
        <v>0</v>
      </c>
      <c r="F9940" s="8">
        <v>502</v>
      </c>
    </row>
    <row r="9941" spans="1:6" ht="12.75">
      <c r="A9941" s="8">
        <v>43900.41788194445</v>
      </c>
      <c r="B9941" s="8" t="str">
        <f>HYPERLINK("https://twitter.com/syarwani_mhd","@syarwani_mhd")</f>
        <v>@syarwani_mhd</v>
      </c>
      <c r="C9941" s="8" t="s">
        <v>318</v>
      </c>
      <c r="D9941" s="8">
        <v>217</v>
      </c>
      <c r="E9941" s="8">
        <v>0</v>
      </c>
      <c r="F9941" s="8">
        <v>1871</v>
      </c>
    </row>
    <row r="9942" spans="1:6" ht="12.75">
      <c r="A9942" s="8">
        <v>43900.417824074073</v>
      </c>
      <c r="B9942" s="8" t="str">
        <f>HYPERLINK("https://twitter.com/anandhtrichy","@anandhtrichy")</f>
        <v>@anandhtrichy</v>
      </c>
      <c r="C9942" s="8" t="s">
        <v>1957</v>
      </c>
      <c r="D9942" s="8">
        <v>1434</v>
      </c>
      <c r="E9942" s="8">
        <v>0</v>
      </c>
      <c r="F9942" s="8">
        <v>481</v>
      </c>
    </row>
    <row r="9943" spans="1:6" ht="12.75">
      <c r="A9943" s="8">
        <v>43900.417569444442</v>
      </c>
      <c r="B9943" s="8" t="str">
        <f>HYPERLINK("https://twitter.com/NalarDanLogika","@NalarDanLogika")</f>
        <v>@NalarDanLogika</v>
      </c>
      <c r="C9943" s="8" t="s">
        <v>318</v>
      </c>
      <c r="D9943" s="8">
        <v>217</v>
      </c>
      <c r="E9943" s="8">
        <v>0</v>
      </c>
      <c r="F9943" s="8">
        <v>91</v>
      </c>
    </row>
    <row r="9944" spans="1:6" ht="12.75">
      <c r="A9944" s="8">
        <v>43900.417222222226</v>
      </c>
      <c r="B9944" s="8" t="str">
        <f>HYPERLINK("https://twitter.com/isis_B7","@isis_B7")</f>
        <v>@isis_B7</v>
      </c>
      <c r="C9944" s="8" t="s">
        <v>4398</v>
      </c>
      <c r="D9944" s="8">
        <v>0</v>
      </c>
      <c r="E9944" s="8">
        <v>0</v>
      </c>
      <c r="F9944" s="8">
        <v>1862</v>
      </c>
    </row>
    <row r="9945" spans="1:6" ht="12.75">
      <c r="A9945" s="8">
        <v>43900.417002314818</v>
      </c>
      <c r="B9945" s="8" t="str">
        <f>HYPERLINK("https://twitter.com/GisellaCik","@GisellaCik")</f>
        <v>@GisellaCik</v>
      </c>
      <c r="C9945" s="8" t="s">
        <v>4399</v>
      </c>
      <c r="D9945" s="8">
        <v>0</v>
      </c>
      <c r="E9945" s="8">
        <v>0</v>
      </c>
      <c r="F9945" s="8">
        <v>6722</v>
      </c>
    </row>
    <row r="9946" spans="1:6" ht="12.75">
      <c r="A9946" s="8">
        <v>43900.416956018518</v>
      </c>
      <c r="B9946" s="8" t="str">
        <f>HYPERLINK("https://twitter.com/Bi84X","@Bi84X")</f>
        <v>@Bi84X</v>
      </c>
      <c r="C9946" s="8" t="s">
        <v>4400</v>
      </c>
      <c r="D9946" s="8">
        <v>0</v>
      </c>
      <c r="E9946" s="8">
        <v>0</v>
      </c>
      <c r="F9946" s="8">
        <v>49</v>
      </c>
    </row>
    <row r="9947" spans="1:6" ht="12.75">
      <c r="A9947" s="8">
        <v>43900.416828703703</v>
      </c>
      <c r="B9947" s="8" t="str">
        <f>HYPERLINK("https://twitter.com/eqy_franky","@eqy_franky")</f>
        <v>@eqy_franky</v>
      </c>
      <c r="C9947" s="8" t="s">
        <v>318</v>
      </c>
      <c r="D9947" s="8">
        <v>217</v>
      </c>
      <c r="E9947" s="8">
        <v>0</v>
      </c>
      <c r="F9947" s="8">
        <v>1365</v>
      </c>
    </row>
    <row r="9948" spans="1:6" ht="12.75">
      <c r="A9948" s="8">
        <v>43900.416527777779</v>
      </c>
      <c r="B9948" s="8" t="str">
        <f>HYPERLINK("https://twitter.com/b4n9y05","@b4n9y05")</f>
        <v>@b4n9y05</v>
      </c>
      <c r="C9948" s="8" t="s">
        <v>318</v>
      </c>
      <c r="D9948" s="8">
        <v>217</v>
      </c>
      <c r="E9948" s="8">
        <v>0</v>
      </c>
      <c r="F9948" s="8">
        <v>180</v>
      </c>
    </row>
    <row r="9949" spans="1:6" ht="12.75">
      <c r="A9949" s="8">
        <v>43900.416469907403</v>
      </c>
      <c r="B9949" s="8" t="str">
        <f>HYPERLINK("https://twitter.com/GisellaCik","@GisellaCik")</f>
        <v>@GisellaCik</v>
      </c>
      <c r="C9949" s="8" t="s">
        <v>4401</v>
      </c>
      <c r="D9949" s="8">
        <v>0</v>
      </c>
      <c r="E9949" s="8">
        <v>0</v>
      </c>
      <c r="F9949" s="8">
        <v>6722</v>
      </c>
    </row>
    <row r="9950" spans="1:6" ht="12.75">
      <c r="A9950" s="8">
        <v>43900.416435185187</v>
      </c>
      <c r="B9950" s="8" t="str">
        <f>HYPERLINK("https://twitter.com/abdi67401648","@abdi67401648")</f>
        <v>@abdi67401648</v>
      </c>
      <c r="C9950" s="8" t="s">
        <v>4402</v>
      </c>
      <c r="D9950" s="8">
        <v>0</v>
      </c>
      <c r="E9950" s="8">
        <v>0</v>
      </c>
      <c r="F9950" s="8">
        <v>343</v>
      </c>
    </row>
    <row r="9951" spans="1:6" ht="12.75">
      <c r="A9951" s="8">
        <v>43900.415277777778</v>
      </c>
      <c r="B9951" s="8" t="str">
        <f>HYPERLINK("https://twitter.com/Sittiminaj","@Sittiminaj")</f>
        <v>@Sittiminaj</v>
      </c>
      <c r="C9951" s="8" t="s">
        <v>318</v>
      </c>
      <c r="D9951" s="8">
        <v>217</v>
      </c>
      <c r="E9951" s="8">
        <v>0</v>
      </c>
      <c r="F9951" s="8">
        <v>3678</v>
      </c>
    </row>
    <row r="9952" spans="1:6" ht="12.75">
      <c r="A9952" s="8">
        <v>43900.415104166663</v>
      </c>
      <c r="B9952" s="8" t="str">
        <f>HYPERLINK("https://twitter.com/zitomcavalera","@zitomcavalera")</f>
        <v>@zitomcavalera</v>
      </c>
      <c r="C9952" s="8" t="s">
        <v>295</v>
      </c>
      <c r="D9952" s="8">
        <v>37</v>
      </c>
      <c r="E9952" s="8">
        <v>0</v>
      </c>
      <c r="F9952" s="8">
        <v>67</v>
      </c>
    </row>
    <row r="9953" spans="1:6" ht="12.75">
      <c r="A9953" s="8">
        <v>43900.414236111115</v>
      </c>
      <c r="B9953" s="8" t="str">
        <f>HYPERLINK("https://twitter.com/JOINLampung","@JOINLampung")</f>
        <v>@JOINLampung</v>
      </c>
      <c r="C9953" s="8" t="s">
        <v>4403</v>
      </c>
      <c r="D9953" s="8">
        <v>1</v>
      </c>
      <c r="E9953" s="8">
        <v>3</v>
      </c>
      <c r="F9953" s="8">
        <v>7732</v>
      </c>
    </row>
    <row r="9954" spans="1:6" ht="12.75">
      <c r="A9954" s="8">
        <v>43900.413784722223</v>
      </c>
      <c r="B9954" s="8" t="str">
        <f>HYPERLINK("https://twitter.com/Vipin53830083","@Vipin53830083")</f>
        <v>@Vipin53830083</v>
      </c>
      <c r="C9954" s="8" t="s">
        <v>1957</v>
      </c>
      <c r="D9954" s="8">
        <v>1434</v>
      </c>
      <c r="E9954" s="8">
        <v>0</v>
      </c>
      <c r="F9954" s="8">
        <v>10</v>
      </c>
    </row>
    <row r="9955" spans="1:6" ht="12.75">
      <c r="A9955" s="8">
        <v>43900.413217592592</v>
      </c>
      <c r="B9955" s="8" t="str">
        <f>HYPERLINK("https://twitter.com/belagaam_launda","@belagaam_launda")</f>
        <v>@belagaam_launda</v>
      </c>
      <c r="C9955" s="8" t="s">
        <v>1957</v>
      </c>
      <c r="D9955" s="8">
        <v>1434</v>
      </c>
      <c r="E9955" s="8">
        <v>0</v>
      </c>
      <c r="F9955" s="8">
        <v>134</v>
      </c>
    </row>
    <row r="9956" spans="1:6" ht="12.75">
      <c r="A9956" s="8">
        <v>43900.413078703699</v>
      </c>
      <c r="B9956" s="8" t="str">
        <f>HYPERLINK("https://twitter.com/Aditya_Panji","@Aditya_Panji")</f>
        <v>@Aditya_Panji</v>
      </c>
      <c r="C9956" s="8" t="s">
        <v>2432</v>
      </c>
      <c r="D9956" s="8">
        <v>23</v>
      </c>
      <c r="E9956" s="8">
        <v>0</v>
      </c>
      <c r="F9956" s="8">
        <v>569</v>
      </c>
    </row>
    <row r="9957" spans="1:6" ht="12.75">
      <c r="A9957" s="8">
        <v>43900.412789351853</v>
      </c>
      <c r="B9957" s="8" t="str">
        <f t="shared" ref="B9957:B9958" si="163">HYPERLINK("https://twitter.com/ewin8923","@ewin8923")</f>
        <v>@ewin8923</v>
      </c>
      <c r="C9957" s="8" t="s">
        <v>295</v>
      </c>
      <c r="D9957" s="8">
        <v>37</v>
      </c>
      <c r="E9957" s="8">
        <v>0</v>
      </c>
      <c r="F9957" s="8">
        <v>1045</v>
      </c>
    </row>
    <row r="9958" spans="1:6" ht="12.75">
      <c r="A9958" s="8">
        <v>43900.41270833333</v>
      </c>
      <c r="B9958" s="8" t="str">
        <f t="shared" si="163"/>
        <v>@ewin8923</v>
      </c>
      <c r="C9958" s="8" t="s">
        <v>2432</v>
      </c>
      <c r="D9958" s="8">
        <v>23</v>
      </c>
      <c r="E9958" s="8">
        <v>0</v>
      </c>
      <c r="F9958" s="8">
        <v>1045</v>
      </c>
    </row>
    <row r="9959" spans="1:6" ht="12.75">
      <c r="A9959" s="8">
        <v>43900.412465277783</v>
      </c>
      <c r="B9959" s="8" t="str">
        <f>HYPERLINK("https://twitter.com/PolitikToday","@PolitikToday")</f>
        <v>@PolitikToday</v>
      </c>
      <c r="C9959" s="8" t="s">
        <v>2471</v>
      </c>
      <c r="D9959" s="8">
        <v>11</v>
      </c>
      <c r="E9959" s="8">
        <v>12</v>
      </c>
      <c r="F9959" s="8">
        <v>7219</v>
      </c>
    </row>
    <row r="9960" spans="1:6" ht="12.75">
      <c r="A9960" s="8">
        <v>43900.41233796296</v>
      </c>
      <c r="B9960" s="8" t="str">
        <f>HYPERLINK("https://twitter.com/arnsoni","@arnsoni")</f>
        <v>@arnsoni</v>
      </c>
      <c r="C9960" s="8" t="s">
        <v>4404</v>
      </c>
      <c r="D9960" s="8">
        <v>0</v>
      </c>
      <c r="E9960" s="8">
        <v>0</v>
      </c>
      <c r="F9960" s="8">
        <v>131</v>
      </c>
    </row>
    <row r="9961" spans="1:6" ht="12.75">
      <c r="A9961" s="8">
        <v>43900.411446759259</v>
      </c>
      <c r="B9961" s="8" t="str">
        <f>HYPERLINK("https://twitter.com/Samsulhidayat77","@Samsulhidayat77")</f>
        <v>@Samsulhidayat77</v>
      </c>
      <c r="C9961" s="8" t="s">
        <v>318</v>
      </c>
      <c r="D9961" s="8">
        <v>217</v>
      </c>
      <c r="E9961" s="8">
        <v>0</v>
      </c>
      <c r="F9961" s="8">
        <v>556</v>
      </c>
    </row>
    <row r="9962" spans="1:6" ht="12.75">
      <c r="A9962" s="8">
        <v>43900.411412037036</v>
      </c>
      <c r="B9962" s="8" t="str">
        <f>HYPERLINK("https://twitter.com/PramodBagde","@PramodBagde")</f>
        <v>@PramodBagde</v>
      </c>
      <c r="C9962" s="8" t="s">
        <v>1957</v>
      </c>
      <c r="D9962" s="8">
        <v>1434</v>
      </c>
      <c r="E9962" s="8">
        <v>0</v>
      </c>
      <c r="F9962" s="8">
        <v>83</v>
      </c>
    </row>
    <row r="9963" spans="1:6" ht="12.75">
      <c r="A9963" s="8">
        <v>43900.410613425927</v>
      </c>
      <c r="B9963" s="8" t="str">
        <f>HYPERLINK("https://twitter.com/elingydx_","@elingydx_")</f>
        <v>@elingydx_</v>
      </c>
      <c r="C9963" s="8" t="s">
        <v>4365</v>
      </c>
      <c r="D9963" s="8">
        <v>44</v>
      </c>
      <c r="E9963" s="8">
        <v>0</v>
      </c>
      <c r="F9963" s="8">
        <v>2</v>
      </c>
    </row>
    <row r="9964" spans="1:6" ht="12.75">
      <c r="A9964" s="8">
        <v>43900.410231481481</v>
      </c>
      <c r="B9964" s="8" t="str">
        <f>HYPERLINK("https://twitter.com/rozali53","@rozali53")</f>
        <v>@rozali53</v>
      </c>
      <c r="C9964" s="8" t="s">
        <v>4405</v>
      </c>
      <c r="D9964" s="8">
        <v>1</v>
      </c>
      <c r="E9964" s="8">
        <v>0</v>
      </c>
      <c r="F9964" s="8">
        <v>1022</v>
      </c>
    </row>
    <row r="9965" spans="1:6" ht="12.75">
      <c r="A9965" s="8">
        <v>43900.410208333335</v>
      </c>
      <c r="B9965" s="8" t="str">
        <f>HYPERLINK("https://twitter.com/edi_muchlis","@edi_muchlis")</f>
        <v>@edi_muchlis</v>
      </c>
      <c r="C9965" s="8" t="s">
        <v>318</v>
      </c>
      <c r="D9965" s="8">
        <v>217</v>
      </c>
      <c r="E9965" s="8">
        <v>0</v>
      </c>
      <c r="F9965" s="8">
        <v>773</v>
      </c>
    </row>
    <row r="9966" spans="1:6" ht="12.75">
      <c r="A9966" s="8">
        <v>43900.410092592589</v>
      </c>
      <c r="B9966" s="8" t="str">
        <f>HYPERLINK("https://twitter.com/Amelya_Anandh","@Amelya_Anandh")</f>
        <v>@Amelya_Anandh</v>
      </c>
      <c r="C9966" s="8" t="s">
        <v>4406</v>
      </c>
      <c r="D9966" s="8">
        <v>0</v>
      </c>
      <c r="E9966" s="8">
        <v>0</v>
      </c>
      <c r="F9966" s="8">
        <v>750</v>
      </c>
    </row>
    <row r="9967" spans="1:6" ht="12.75">
      <c r="A9967" s="8">
        <v>43900.410046296296</v>
      </c>
      <c r="B9967" s="8" t="str">
        <f>HYPERLINK("https://twitter.com/dannydhe","@dannydhe")</f>
        <v>@dannydhe</v>
      </c>
      <c r="C9967" s="8" t="s">
        <v>318</v>
      </c>
      <c r="D9967" s="8">
        <v>217</v>
      </c>
      <c r="E9967" s="8">
        <v>0</v>
      </c>
      <c r="F9967" s="8">
        <v>3541</v>
      </c>
    </row>
    <row r="9968" spans="1:6" ht="12.75">
      <c r="A9968" s="8">
        <v>43900.409930555557</v>
      </c>
      <c r="B9968" s="8" t="str">
        <f>HYPERLINK("https://twitter.com/setyaadipurnomo","@setyaadipurnomo")</f>
        <v>@setyaadipurnomo</v>
      </c>
      <c r="C9968" s="8" t="s">
        <v>318</v>
      </c>
      <c r="D9968" s="8">
        <v>217</v>
      </c>
      <c r="E9968" s="8">
        <v>0</v>
      </c>
      <c r="F9968" s="8">
        <v>15</v>
      </c>
    </row>
    <row r="9969" spans="1:6" ht="12.75">
      <c r="A9969" s="8">
        <v>43900.408877314811</v>
      </c>
      <c r="B9969" s="8" t="str">
        <f t="shared" ref="B9969:B9970" si="164">HYPERLINK("https://twitter.com/GoTotheJek","@GoTotheJek")</f>
        <v>@GoTotheJek</v>
      </c>
      <c r="C9969" s="8" t="s">
        <v>295</v>
      </c>
      <c r="D9969" s="8">
        <v>37</v>
      </c>
      <c r="E9969" s="8">
        <v>0</v>
      </c>
      <c r="F9969" s="8">
        <v>779</v>
      </c>
    </row>
    <row r="9970" spans="1:6" ht="12.75">
      <c r="A9970" s="8">
        <v>43900.408101851848</v>
      </c>
      <c r="B9970" s="8" t="str">
        <f t="shared" si="164"/>
        <v>@GoTotheJek</v>
      </c>
      <c r="C9970" s="8" t="s">
        <v>2432</v>
      </c>
      <c r="D9970" s="8">
        <v>23</v>
      </c>
      <c r="E9970" s="8">
        <v>0</v>
      </c>
      <c r="F9970" s="8">
        <v>779</v>
      </c>
    </row>
    <row r="9971" spans="1:6" ht="12.75">
      <c r="A9971" s="8">
        <v>43900.408067129625</v>
      </c>
      <c r="B9971" s="8" t="str">
        <f>HYPERLINK("https://twitter.com/TweetCakra","@TweetCakra")</f>
        <v>@TweetCakra</v>
      </c>
      <c r="C9971" s="8" t="s">
        <v>318</v>
      </c>
      <c r="D9971" s="8">
        <v>217</v>
      </c>
      <c r="E9971" s="8">
        <v>0</v>
      </c>
      <c r="F9971" s="8">
        <v>1091</v>
      </c>
    </row>
    <row r="9972" spans="1:6" ht="12.75">
      <c r="A9972" s="8">
        <v>43900.408032407402</v>
      </c>
      <c r="B9972" s="8" t="str">
        <f>HYPERLINK("https://twitter.com/penjamoonitja","@penjamoonitja")</f>
        <v>@penjamoonitja</v>
      </c>
      <c r="C9972" s="8" t="s">
        <v>3969</v>
      </c>
      <c r="D9972" s="8">
        <v>52</v>
      </c>
      <c r="E9972" s="8">
        <v>0</v>
      </c>
      <c r="F9972" s="8">
        <v>519</v>
      </c>
    </row>
    <row r="9973" spans="1:6" ht="12.75">
      <c r="A9973" s="8">
        <v>43900.407638888893</v>
      </c>
      <c r="B9973" s="8" t="str">
        <f>HYPERLINK("https://twitter.com/Pradeepgrana","@Pradeepgrana")</f>
        <v>@Pradeepgrana</v>
      </c>
      <c r="C9973" s="8" t="s">
        <v>1957</v>
      </c>
      <c r="D9973" s="8">
        <v>1434</v>
      </c>
      <c r="E9973" s="8">
        <v>0</v>
      </c>
      <c r="F9973" s="8">
        <v>19</v>
      </c>
    </row>
    <row r="9974" spans="1:6" ht="12.75">
      <c r="A9974" s="8">
        <v>43900.407488425924</v>
      </c>
      <c r="B9974" s="8" t="str">
        <f t="shared" ref="B9974:B9975" si="165">HYPERLINK("https://twitter.com/bantoro29_","@bantoro29_")</f>
        <v>@bantoro29_</v>
      </c>
      <c r="C9974" s="8" t="s">
        <v>318</v>
      </c>
      <c r="D9974" s="8">
        <v>217</v>
      </c>
      <c r="E9974" s="8">
        <v>0</v>
      </c>
      <c r="F9974" s="8">
        <v>4918</v>
      </c>
    </row>
    <row r="9975" spans="1:6" ht="12.75">
      <c r="A9975" s="8">
        <v>43900.407384259262</v>
      </c>
      <c r="B9975" s="8" t="str">
        <f t="shared" si="165"/>
        <v>@bantoro29_</v>
      </c>
      <c r="C9975" s="8" t="s">
        <v>3820</v>
      </c>
      <c r="D9975" s="8">
        <v>3</v>
      </c>
      <c r="E9975" s="8">
        <v>0</v>
      </c>
      <c r="F9975" s="8">
        <v>4918</v>
      </c>
    </row>
    <row r="9976" spans="1:6" ht="12.75">
      <c r="A9976" s="8">
        <v>43900.406921296293</v>
      </c>
      <c r="B9976" s="8" t="str">
        <f>HYPERLINK("https://twitter.com/rendroko","@rendroko")</f>
        <v>@rendroko</v>
      </c>
      <c r="C9976" s="8" t="s">
        <v>318</v>
      </c>
      <c r="D9976" s="8">
        <v>217</v>
      </c>
      <c r="E9976" s="8">
        <v>0</v>
      </c>
      <c r="F9976" s="8">
        <v>1029</v>
      </c>
    </row>
    <row r="9977" spans="1:6" ht="12.75">
      <c r="A9977" s="8">
        <v>43900.406898148147</v>
      </c>
      <c r="B9977" s="8" t="str">
        <f>HYPERLINK("https://twitter.com/250praveen","@250praveen")</f>
        <v>@250praveen</v>
      </c>
      <c r="C9977" s="8" t="s">
        <v>1957</v>
      </c>
      <c r="D9977" s="8">
        <v>1434</v>
      </c>
      <c r="E9977" s="8">
        <v>0</v>
      </c>
      <c r="F9977" s="8">
        <v>1527</v>
      </c>
    </row>
    <row r="9978" spans="1:6" ht="12.75">
      <c r="A9978" s="8">
        <v>43900.406805555554</v>
      </c>
      <c r="B9978" s="8" t="str">
        <f>HYPERLINK("https://twitter.com/utkaltweet","@utkaltweet")</f>
        <v>@utkaltweet</v>
      </c>
      <c r="C9978" s="8" t="s">
        <v>1957</v>
      </c>
      <c r="D9978" s="8">
        <v>1434</v>
      </c>
      <c r="E9978" s="8">
        <v>0</v>
      </c>
      <c r="F9978" s="8">
        <v>40</v>
      </c>
    </row>
    <row r="9979" spans="1:6" ht="12.75">
      <c r="A9979" s="8">
        <v>43900.406412037039</v>
      </c>
      <c r="B9979" s="8" t="str">
        <f>HYPERLINK("https://twitter.com/Aapke_babuji","@Aapke_babuji")</f>
        <v>@Aapke_babuji</v>
      </c>
      <c r="C9979" s="8" t="s">
        <v>1957</v>
      </c>
      <c r="D9979" s="8">
        <v>1434</v>
      </c>
      <c r="E9979" s="8">
        <v>0</v>
      </c>
      <c r="F9979" s="8">
        <v>36</v>
      </c>
    </row>
    <row r="9980" spans="1:6" ht="12.75">
      <c r="A9980" s="8">
        <v>43900.405775462961</v>
      </c>
      <c r="B9980" s="8" t="str">
        <f>HYPERLINK("https://twitter.com/kunenmanai","@kunenmanai")</f>
        <v>@kunenmanai</v>
      </c>
      <c r="C9980" s="8" t="s">
        <v>295</v>
      </c>
      <c r="D9980" s="8">
        <v>37</v>
      </c>
      <c r="E9980" s="8">
        <v>0</v>
      </c>
      <c r="F9980" s="8">
        <v>2251</v>
      </c>
    </row>
    <row r="9981" spans="1:6" ht="12.75">
      <c r="A9981" s="8">
        <v>43900.405671296292</v>
      </c>
      <c r="B9981" s="8" t="str">
        <f>HYPERLINK("https://twitter.com/indranzr","@indranzr")</f>
        <v>@indranzr</v>
      </c>
      <c r="C9981" s="8" t="s">
        <v>318</v>
      </c>
      <c r="D9981" s="8">
        <v>217</v>
      </c>
      <c r="E9981" s="8">
        <v>0</v>
      </c>
      <c r="F9981" s="8">
        <v>205</v>
      </c>
    </row>
    <row r="9982" spans="1:6" ht="12.75">
      <c r="A9982" s="8">
        <v>43900.405324074076</v>
      </c>
      <c r="B9982" s="8" t="str">
        <f t="shared" ref="B9982:B9983" si="166">HYPERLINK("https://twitter.com/BudiEmEm","@BudiEmEm")</f>
        <v>@BudiEmEm</v>
      </c>
      <c r="C9982" s="8" t="s">
        <v>295</v>
      </c>
      <c r="D9982" s="8">
        <v>37</v>
      </c>
      <c r="E9982" s="8">
        <v>0</v>
      </c>
      <c r="F9982" s="8">
        <v>1544</v>
      </c>
    </row>
    <row r="9983" spans="1:6" ht="12.75">
      <c r="A9983" s="8">
        <v>43900.405208333337</v>
      </c>
      <c r="B9983" s="8" t="str">
        <f t="shared" si="166"/>
        <v>@BudiEmEm</v>
      </c>
      <c r="C9983" s="8" t="s">
        <v>2432</v>
      </c>
      <c r="D9983" s="8">
        <v>23</v>
      </c>
      <c r="E9983" s="8">
        <v>0</v>
      </c>
      <c r="F9983" s="8">
        <v>1544</v>
      </c>
    </row>
    <row r="9984" spans="1:6" ht="12.75">
      <c r="A9984" s="8">
        <v>43900.404108796298</v>
      </c>
      <c r="B9984" s="8" t="str">
        <f>HYPERLINK("https://twitter.com/haries_yachya","@haries_yachya")</f>
        <v>@haries_yachya</v>
      </c>
      <c r="C9984" s="8" t="s">
        <v>3633</v>
      </c>
      <c r="D9984" s="8">
        <v>8</v>
      </c>
      <c r="E9984" s="8">
        <v>0</v>
      </c>
      <c r="F9984" s="8">
        <v>48</v>
      </c>
    </row>
    <row r="9985" spans="1:6" ht="12.75">
      <c r="A9985" s="8">
        <v>43900.404085648144</v>
      </c>
      <c r="B9985" s="8" t="str">
        <f>HYPERLINK("https://twitter.com/APA072316","@APA072316")</f>
        <v>@APA072316</v>
      </c>
      <c r="C9985" s="8" t="s">
        <v>318</v>
      </c>
      <c r="D9985" s="8">
        <v>217</v>
      </c>
      <c r="E9985" s="8">
        <v>0</v>
      </c>
      <c r="F9985" s="8">
        <v>690</v>
      </c>
    </row>
    <row r="9986" spans="1:6" ht="12.75">
      <c r="A9986" s="8">
        <v>43900.404016203705</v>
      </c>
      <c r="B9986" s="8" t="str">
        <f>HYPERLINK("https://twitter.com/pemburu_syurg","@pemburu_syurg")</f>
        <v>@pemburu_syurg</v>
      </c>
      <c r="C9986" s="8" t="s">
        <v>318</v>
      </c>
      <c r="D9986" s="8">
        <v>217</v>
      </c>
      <c r="E9986" s="8">
        <v>0</v>
      </c>
      <c r="F9986" s="8">
        <v>876</v>
      </c>
    </row>
    <row r="9987" spans="1:6" ht="12.75">
      <c r="A9987" s="8">
        <v>43900.403946759259</v>
      </c>
      <c r="B9987" s="8" t="str">
        <f>HYPERLINK("https://twitter.com/globalerning","@globalerning")</f>
        <v>@globalerning</v>
      </c>
      <c r="C9987" s="8" t="s">
        <v>318</v>
      </c>
      <c r="D9987" s="8">
        <v>217</v>
      </c>
      <c r="E9987" s="8">
        <v>0</v>
      </c>
      <c r="F9987" s="8">
        <v>227</v>
      </c>
    </row>
    <row r="9988" spans="1:6" ht="12.75">
      <c r="A9988" s="8">
        <v>43900.403854166667</v>
      </c>
      <c r="B9988" s="8" t="str">
        <f>HYPERLINK("https://twitter.com/Faylasalle2","@Faylasalle2")</f>
        <v>@Faylasalle2</v>
      </c>
      <c r="C9988" s="8" t="s">
        <v>3126</v>
      </c>
      <c r="D9988" s="8">
        <v>317</v>
      </c>
      <c r="E9988" s="8">
        <v>0</v>
      </c>
      <c r="F9988" s="8">
        <v>572</v>
      </c>
    </row>
    <row r="9989" spans="1:6" ht="12.75">
      <c r="A9989" s="8">
        <v>43900.403738425928</v>
      </c>
      <c r="B9989" s="8" t="str">
        <f>HYPERLINK("https://twitter.com/TanmayS55193616","@TanmayS55193616")</f>
        <v>@TanmayS55193616</v>
      </c>
      <c r="C9989" s="8" t="s">
        <v>1808</v>
      </c>
      <c r="D9989" s="8">
        <v>817</v>
      </c>
      <c r="E9989" s="8">
        <v>0</v>
      </c>
      <c r="F9989" s="8">
        <v>136</v>
      </c>
    </row>
    <row r="9990" spans="1:6" ht="12.75">
      <c r="A9990" s="8">
        <v>43900.403668981482</v>
      </c>
      <c r="B9990" s="8" t="str">
        <f>HYPERLINK("https://twitter.com/RSYadav87757277","@RSYadav87757277")</f>
        <v>@RSYadav87757277</v>
      </c>
      <c r="C9990" s="8" t="s">
        <v>1957</v>
      </c>
      <c r="D9990" s="8">
        <v>1434</v>
      </c>
      <c r="E9990" s="8">
        <v>0</v>
      </c>
      <c r="F9990" s="8">
        <v>1394</v>
      </c>
    </row>
    <row r="9991" spans="1:6" ht="12.75">
      <c r="A9991" s="8">
        <v>43900.403506944444</v>
      </c>
      <c r="B9991" s="8" t="str">
        <f>HYPERLINK("https://twitter.com/BeritaCenter","@BeritaCenter")</f>
        <v>@BeritaCenter</v>
      </c>
      <c r="C9991" s="8" t="s">
        <v>4407</v>
      </c>
      <c r="D9991" s="8">
        <v>0</v>
      </c>
      <c r="E9991" s="8">
        <v>0</v>
      </c>
      <c r="F9991" s="8">
        <v>9407</v>
      </c>
    </row>
    <row r="9992" spans="1:6" ht="12.75">
      <c r="A9992" s="8">
        <v>43900.403171296297</v>
      </c>
      <c r="B9992" s="8" t="str">
        <f>HYPERLINK("https://twitter.com/apunM","@apunM")</f>
        <v>@apunM</v>
      </c>
      <c r="C9992" s="8" t="s">
        <v>4408</v>
      </c>
      <c r="D9992" s="8">
        <v>0</v>
      </c>
      <c r="E9992" s="8">
        <v>0</v>
      </c>
      <c r="F9992" s="8">
        <v>205</v>
      </c>
    </row>
    <row r="9993" spans="1:6" ht="12.75">
      <c r="A9993" s="8">
        <v>43900.402812500004</v>
      </c>
      <c r="B9993" s="8" t="str">
        <f>HYPERLINK("https://twitter.com/MohammadRivai","@MohammadRivai")</f>
        <v>@MohammadRivai</v>
      </c>
      <c r="C9993" s="8" t="s">
        <v>318</v>
      </c>
      <c r="D9993" s="8">
        <v>217</v>
      </c>
      <c r="E9993" s="8">
        <v>0</v>
      </c>
      <c r="F9993" s="8">
        <v>160</v>
      </c>
    </row>
    <row r="9994" spans="1:6" ht="12.75">
      <c r="A9994" s="8">
        <v>43900.402083333334</v>
      </c>
      <c r="B9994" s="8" t="str">
        <f>HYPERLINK("https://twitter.com/putu_aryawati","@putu_aryawati")</f>
        <v>@putu_aryawati</v>
      </c>
      <c r="C9994" s="8" t="s">
        <v>4409</v>
      </c>
      <c r="D9994" s="8">
        <v>0</v>
      </c>
      <c r="E9994" s="8">
        <v>0</v>
      </c>
      <c r="F9994" s="8">
        <v>872</v>
      </c>
    </row>
    <row r="9995" spans="1:6" ht="12.75">
      <c r="A9995" s="8">
        <v>43900.401701388888</v>
      </c>
      <c r="B9995" s="8" t="str">
        <f>HYPERLINK("https://twitter.com/Saefullloh","@Saefullloh")</f>
        <v>@Saefullloh</v>
      </c>
      <c r="C9995" s="8" t="s">
        <v>4410</v>
      </c>
      <c r="D9995" s="8">
        <v>0</v>
      </c>
      <c r="E9995" s="8">
        <v>0</v>
      </c>
      <c r="F9995" s="8">
        <v>796</v>
      </c>
    </row>
    <row r="9996" spans="1:6" ht="12.75">
      <c r="A9996" s="8">
        <v>43900.401562500003</v>
      </c>
      <c r="B9996" s="8" t="str">
        <f>HYPERLINK("https://twitter.com/SBanendro","@SBanendro")</f>
        <v>@SBanendro</v>
      </c>
      <c r="C9996" s="8" t="s">
        <v>4194</v>
      </c>
      <c r="D9996" s="8">
        <v>13</v>
      </c>
      <c r="E9996" s="8">
        <v>0</v>
      </c>
      <c r="F9996" s="8">
        <v>1193</v>
      </c>
    </row>
    <row r="9997" spans="1:6" ht="12.75">
      <c r="A9997" s="8">
        <v>43900.401458333334</v>
      </c>
      <c r="B9997" s="8" t="str">
        <f>HYPERLINK("https://twitter.com/nIshant07145772","@nIshant07145772")</f>
        <v>@nIshant07145772</v>
      </c>
      <c r="C9997" s="8" t="s">
        <v>1957</v>
      </c>
      <c r="D9997" s="8">
        <v>1434</v>
      </c>
      <c r="E9997" s="8">
        <v>0</v>
      </c>
      <c r="F9997" s="8">
        <v>15</v>
      </c>
    </row>
    <row r="9998" spans="1:6" ht="12.75">
      <c r="A9998" s="8">
        <v>43900.401423611111</v>
      </c>
      <c r="B9998" s="8" t="str">
        <f>HYPERLINK("https://twitter.com/SugarVree","@SugarVree")</f>
        <v>@SugarVree</v>
      </c>
      <c r="C9998" s="8" t="s">
        <v>4411</v>
      </c>
      <c r="D9998" s="8">
        <v>0</v>
      </c>
      <c r="E9998" s="8">
        <v>0</v>
      </c>
      <c r="F9998" s="8">
        <v>3376</v>
      </c>
    </row>
    <row r="9999" spans="1:6" ht="12.75">
      <c r="A9999" s="8">
        <v>43900.401226851856</v>
      </c>
      <c r="B9999" s="8" t="str">
        <f>HYPERLINK("https://twitter.com/samsulrizal73","@samsulrizal73")</f>
        <v>@samsulrizal73</v>
      </c>
      <c r="C9999" s="8" t="s">
        <v>318</v>
      </c>
      <c r="D9999" s="8">
        <v>217</v>
      </c>
      <c r="E9999" s="8">
        <v>0</v>
      </c>
      <c r="F9999" s="8">
        <v>817</v>
      </c>
    </row>
    <row r="10000" spans="1:6" ht="12.75">
      <c r="A10000" s="8">
        <v>43900.40116898148</v>
      </c>
      <c r="B10000" s="8" t="str">
        <f>HYPERLINK("https://twitter.com/BroadWit","@BroadWit")</f>
        <v>@BroadWit</v>
      </c>
      <c r="C10000" s="8" t="s">
        <v>1808</v>
      </c>
      <c r="D10000" s="8">
        <v>817</v>
      </c>
      <c r="E10000" s="8">
        <v>0</v>
      </c>
      <c r="F10000" s="8">
        <v>1370</v>
      </c>
    </row>
    <row r="10001" spans="1:6" ht="12.75">
      <c r="A10001" s="8">
        <v>43900.401018518518</v>
      </c>
      <c r="B10001" s="8" t="str">
        <f>HYPERLINK("https://twitter.com/SayswhyCe","@SayswhyCe")</f>
        <v>@SayswhyCe</v>
      </c>
      <c r="C10001" s="8" t="s">
        <v>4412</v>
      </c>
      <c r="D10001" s="8">
        <v>0</v>
      </c>
      <c r="E10001" s="8">
        <v>0</v>
      </c>
      <c r="F10001" s="8">
        <v>627</v>
      </c>
    </row>
    <row r="10002" spans="1:6" ht="12.75">
      <c r="A10002" s="8">
        <v>43900.400752314818</v>
      </c>
      <c r="B10002" s="8" t="str">
        <f>HYPERLINK("https://twitter.com/Mun4fikunn","@Mun4fikunn")</f>
        <v>@Mun4fikunn</v>
      </c>
      <c r="C10002" s="8" t="s">
        <v>4413</v>
      </c>
      <c r="D10002" s="8">
        <v>0</v>
      </c>
      <c r="E10002" s="8">
        <v>1</v>
      </c>
      <c r="F10002" s="8">
        <v>1664</v>
      </c>
    </row>
    <row r="10003" spans="1:6" ht="12.75">
      <c r="A10003" s="8">
        <v>43900.400370370371</v>
      </c>
      <c r="B10003" s="8" t="str">
        <f>HYPERLINK("https://twitter.com/biosdaddyy","@biosdaddyy")</f>
        <v>@biosdaddyy</v>
      </c>
      <c r="C10003" s="8" t="s">
        <v>1957</v>
      </c>
      <c r="D10003" s="8">
        <v>1434</v>
      </c>
      <c r="E10003" s="8">
        <v>0</v>
      </c>
      <c r="F10003" s="8">
        <v>1127</v>
      </c>
    </row>
    <row r="10004" spans="1:6" ht="12.75">
      <c r="A10004" s="8">
        <v>43900.400300925925</v>
      </c>
      <c r="B10004" s="8" t="str">
        <f>HYPERLINK("https://twitter.com/dukcapil_bantul","@dukcapil_bantul")</f>
        <v>@dukcapil_bantul</v>
      </c>
      <c r="C10004" s="8" t="s">
        <v>4414</v>
      </c>
      <c r="D10004" s="8">
        <v>1</v>
      </c>
      <c r="E10004" s="8">
        <v>0</v>
      </c>
      <c r="F10004" s="8">
        <v>293</v>
      </c>
    </row>
    <row r="10005" spans="1:6" ht="12.75">
      <c r="A10005" s="8">
        <v>43900.399895833332</v>
      </c>
      <c r="B10005" s="8" t="str">
        <f>HYPERLINK("https://twitter.com/maykrisna","@maykrisna")</f>
        <v>@maykrisna</v>
      </c>
      <c r="C10005" s="8" t="s">
        <v>2432</v>
      </c>
      <c r="D10005" s="8">
        <v>23</v>
      </c>
      <c r="E10005" s="8">
        <v>0</v>
      </c>
      <c r="F10005" s="8">
        <v>634</v>
      </c>
    </row>
    <row r="10006" spans="1:6" ht="12.75">
      <c r="A10006" s="8">
        <v>43900.399849537032</v>
      </c>
      <c r="B10006" s="8" t="str">
        <f>HYPERLINK("https://twitter.com/Safitri48827283","@Safitri48827283")</f>
        <v>@Safitri48827283</v>
      </c>
      <c r="C10006" s="8" t="s">
        <v>3126</v>
      </c>
      <c r="D10006" s="8">
        <v>317</v>
      </c>
      <c r="E10006" s="8">
        <v>0</v>
      </c>
      <c r="F10006" s="8">
        <v>32</v>
      </c>
    </row>
    <row r="10007" spans="1:6" ht="12.75">
      <c r="A10007" s="8">
        <v>43900.399305555555</v>
      </c>
      <c r="B10007" s="8" t="str">
        <f>HYPERLINK("https://twitter.com/terasid","@terasid")</f>
        <v>@terasid</v>
      </c>
      <c r="C10007" s="8" t="s">
        <v>4415</v>
      </c>
      <c r="D10007" s="8">
        <v>5</v>
      </c>
      <c r="E10007" s="8">
        <v>0</v>
      </c>
      <c r="F10007" s="8">
        <v>3211</v>
      </c>
    </row>
    <row r="10008" spans="1:6" ht="12.75">
      <c r="A10008" s="8">
        <v>43900.399282407408</v>
      </c>
      <c r="B10008" s="8" t="str">
        <f t="shared" ref="B10008:B10009" si="167">HYPERLINK("https://twitter.com/aripinkturtle","@aripinkturtle")</f>
        <v>@aripinkturtle</v>
      </c>
      <c r="C10008" s="8" t="s">
        <v>295</v>
      </c>
      <c r="D10008" s="8">
        <v>37</v>
      </c>
      <c r="E10008" s="8">
        <v>0</v>
      </c>
      <c r="F10008" s="8">
        <v>137</v>
      </c>
    </row>
    <row r="10009" spans="1:6" ht="12.75">
      <c r="A10009" s="8">
        <v>43900.399131944447</v>
      </c>
      <c r="B10009" s="8" t="str">
        <f t="shared" si="167"/>
        <v>@aripinkturtle</v>
      </c>
      <c r="C10009" s="8" t="s">
        <v>2432</v>
      </c>
      <c r="D10009" s="8">
        <v>23</v>
      </c>
      <c r="E10009" s="8">
        <v>0</v>
      </c>
      <c r="F10009" s="8">
        <v>137</v>
      </c>
    </row>
    <row r="10010" spans="1:6" ht="12.75">
      <c r="A10010" s="8">
        <v>43900.39907407407</v>
      </c>
      <c r="B10010" s="8" t="str">
        <f>HYPERLINK("https://twitter.com/PEDOMAN_id","@PEDOMAN_id")</f>
        <v>@PEDOMAN_id</v>
      </c>
      <c r="C10010" s="8" t="s">
        <v>4416</v>
      </c>
      <c r="D10010" s="8">
        <v>0</v>
      </c>
      <c r="E10010" s="8">
        <v>0</v>
      </c>
      <c r="F10010" s="8">
        <v>60334</v>
      </c>
    </row>
    <row r="10011" spans="1:6" ht="12.75">
      <c r="A10011" s="8">
        <v>43900.398935185185</v>
      </c>
      <c r="B10011" s="8" t="str">
        <f t="shared" ref="B10011:B10012" si="168">HYPERLINK("https://twitter.com/Be_wise_man","@Be_wise_man")</f>
        <v>@Be_wise_man</v>
      </c>
      <c r="C10011" s="8" t="s">
        <v>295</v>
      </c>
      <c r="D10011" s="8">
        <v>37</v>
      </c>
      <c r="E10011" s="8">
        <v>0</v>
      </c>
      <c r="F10011" s="8">
        <v>190</v>
      </c>
    </row>
    <row r="10012" spans="1:6" ht="12.75">
      <c r="A10012" s="8">
        <v>43900.398831018523</v>
      </c>
      <c r="B10012" s="8" t="str">
        <f t="shared" si="168"/>
        <v>@Be_wise_man</v>
      </c>
      <c r="C10012" s="8" t="s">
        <v>2432</v>
      </c>
      <c r="D10012" s="8">
        <v>23</v>
      </c>
      <c r="E10012" s="8">
        <v>0</v>
      </c>
      <c r="F10012" s="8">
        <v>190</v>
      </c>
    </row>
    <row r="10013" spans="1:6" ht="12.75">
      <c r="A10013" s="8">
        <v>43900.398125</v>
      </c>
      <c r="B10013" s="8" t="str">
        <f>HYPERLINK("https://twitter.com/Tiere_eRDe","@Tiere_eRDe")</f>
        <v>@Tiere_eRDe</v>
      </c>
      <c r="C10013" s="8" t="s">
        <v>4417</v>
      </c>
      <c r="D10013" s="8">
        <v>26</v>
      </c>
      <c r="E10013" s="8">
        <v>0</v>
      </c>
      <c r="F10013" s="8">
        <v>249</v>
      </c>
    </row>
    <row r="10014" spans="1:6" ht="12.75">
      <c r="A10014" s="8">
        <v>43900.398043981477</v>
      </c>
      <c r="B10014" s="8" t="str">
        <f>HYPERLINK("https://twitter.com/pujangga_q","@pujangga_q")</f>
        <v>@pujangga_q</v>
      </c>
      <c r="C10014" s="8" t="s">
        <v>318</v>
      </c>
      <c r="D10014" s="8">
        <v>217</v>
      </c>
      <c r="E10014" s="8">
        <v>0</v>
      </c>
      <c r="F10014" s="8">
        <v>134</v>
      </c>
    </row>
    <row r="10015" spans="1:6" ht="12.75">
      <c r="A10015" s="8">
        <v>43900.397928240738</v>
      </c>
      <c r="B10015" s="8" t="str">
        <f>HYPERLINK("https://twitter.com/NazrilSayhan","@NazrilSayhan")</f>
        <v>@NazrilSayhan</v>
      </c>
      <c r="C10015" s="8" t="s">
        <v>318</v>
      </c>
      <c r="D10015" s="8">
        <v>217</v>
      </c>
      <c r="E10015" s="8">
        <v>0</v>
      </c>
      <c r="F10015" s="8">
        <v>172</v>
      </c>
    </row>
    <row r="10016" spans="1:6" ht="12.75">
      <c r="A10016" s="8">
        <v>43900.397893518515</v>
      </c>
      <c r="B10016" s="8" t="str">
        <f>HYPERLINK("https://twitter.com/Matromli17","@Matromli17")</f>
        <v>@Matromli17</v>
      </c>
      <c r="C10016" s="8" t="s">
        <v>3262</v>
      </c>
      <c r="D10016" s="8">
        <v>242</v>
      </c>
      <c r="E10016" s="8">
        <v>0</v>
      </c>
      <c r="F10016" s="8">
        <v>47</v>
      </c>
    </row>
    <row r="10017" spans="1:6" ht="12.75">
      <c r="A10017" s="8">
        <v>43900.397858796292</v>
      </c>
      <c r="B10017" s="8" t="str">
        <f>HYPERLINK("https://twitter.com/icaippeo","@icaippeo")</f>
        <v>@icaippeo</v>
      </c>
      <c r="C10017" s="8" t="s">
        <v>4418</v>
      </c>
      <c r="D10017" s="8">
        <v>3</v>
      </c>
      <c r="E10017" s="8">
        <v>0</v>
      </c>
      <c r="F10017" s="8">
        <v>1080</v>
      </c>
    </row>
    <row r="10018" spans="1:6" ht="12.75">
      <c r="A10018" s="8">
        <v>43900.397858796292</v>
      </c>
      <c r="B10018" s="8" t="str">
        <f>HYPERLINK("https://twitter.com/Ngebutmaut","@Ngebutmaut")</f>
        <v>@Ngebutmaut</v>
      </c>
      <c r="C10018" s="8" t="s">
        <v>318</v>
      </c>
      <c r="D10018" s="8">
        <v>217</v>
      </c>
      <c r="E10018" s="8">
        <v>0</v>
      </c>
      <c r="F10018" s="8">
        <v>324</v>
      </c>
    </row>
    <row r="10019" spans="1:6" ht="12.75">
      <c r="A10019" s="8">
        <v>43900.397581018522</v>
      </c>
      <c r="B10019" s="8" t="str">
        <f>HYPERLINK("https://twitter.com/Carlacarlaninja","@Carlacarlaninja")</f>
        <v>@Carlacarlaninja</v>
      </c>
      <c r="C10019" s="8" t="s">
        <v>2432</v>
      </c>
      <c r="D10019" s="8">
        <v>23</v>
      </c>
      <c r="E10019" s="8">
        <v>0</v>
      </c>
      <c r="F10019" s="8">
        <v>277</v>
      </c>
    </row>
    <row r="10020" spans="1:6" ht="12.75">
      <c r="A10020" s="8">
        <v>43900.39738425926</v>
      </c>
      <c r="B10020" s="8" t="str">
        <f>HYPERLINK("https://twitter.com/Hasan49336769","@Hasan49336769")</f>
        <v>@Hasan49336769</v>
      </c>
      <c r="C10020" s="8" t="s">
        <v>318</v>
      </c>
      <c r="D10020" s="8">
        <v>217</v>
      </c>
      <c r="E10020" s="8">
        <v>0</v>
      </c>
      <c r="F10020" s="8">
        <v>166</v>
      </c>
    </row>
    <row r="10021" spans="1:6" ht="12.75">
      <c r="A10021" s="8">
        <v>43900.397106481483</v>
      </c>
      <c r="B10021" s="8" t="str">
        <f>HYPERLINK("https://twitter.com/Aiek_Channel__","@Aiek_Channel__")</f>
        <v>@Aiek_Channel__</v>
      </c>
      <c r="C10021" s="8" t="s">
        <v>4251</v>
      </c>
      <c r="D10021" s="8">
        <v>8</v>
      </c>
      <c r="E10021" s="8">
        <v>0</v>
      </c>
      <c r="F10021" s="8">
        <v>9075</v>
      </c>
    </row>
    <row r="10022" spans="1:6" ht="12.75">
      <c r="A10022" s="8">
        <v>43900.39708333333</v>
      </c>
      <c r="B10022" s="8" t="str">
        <f>HYPERLINK("https://twitter.com/sakuramoist","@sakuramoist")</f>
        <v>@sakuramoist</v>
      </c>
      <c r="C10022" s="8" t="s">
        <v>4418</v>
      </c>
      <c r="D10022" s="8">
        <v>3</v>
      </c>
      <c r="E10022" s="8">
        <v>0</v>
      </c>
      <c r="F10022" s="8">
        <v>1022</v>
      </c>
    </row>
    <row r="10023" spans="1:6" ht="12.75">
      <c r="A10023" s="8">
        <v>43900.396944444445</v>
      </c>
      <c r="B10023" s="8" t="str">
        <f>HYPERLINK("https://twitter.com/MyowntHTs","@MyowntHTs")</f>
        <v>@MyowntHTs</v>
      </c>
      <c r="C10023" s="8" t="s">
        <v>1957</v>
      </c>
      <c r="D10023" s="8">
        <v>1434</v>
      </c>
      <c r="E10023" s="8">
        <v>0</v>
      </c>
      <c r="F10023" s="8">
        <v>30</v>
      </c>
    </row>
    <row r="10024" spans="1:6" ht="12.75">
      <c r="A10024" s="8">
        <v>43900.396307870367</v>
      </c>
      <c r="B10024" s="8" t="str">
        <f>HYPERLINK("https://twitter.com/viskaya","@viskaya")</f>
        <v>@viskaya</v>
      </c>
      <c r="C10024" s="8" t="s">
        <v>318</v>
      </c>
      <c r="D10024" s="8">
        <v>217</v>
      </c>
      <c r="E10024" s="8">
        <v>0</v>
      </c>
      <c r="F10024" s="8">
        <v>788</v>
      </c>
    </row>
    <row r="10025" spans="1:6" ht="12.75">
      <c r="A10025" s="8">
        <v>43900.395844907413</v>
      </c>
      <c r="B10025" s="8" t="str">
        <f>HYPERLINK("https://twitter.com/blurrymarch","@blurrymarch")</f>
        <v>@blurrymarch</v>
      </c>
      <c r="C10025" s="8" t="s">
        <v>4418</v>
      </c>
      <c r="D10025" s="8">
        <v>3</v>
      </c>
      <c r="E10025" s="8">
        <v>0</v>
      </c>
      <c r="F10025" s="8">
        <v>533</v>
      </c>
    </row>
    <row r="10026" spans="1:6" ht="12.75">
      <c r="A10026" s="8">
        <v>43900.381840277776</v>
      </c>
      <c r="B10026" s="8" t="str">
        <f>HYPERLINK("https://twitter.com/PradityaBeni","@PradityaBeni")</f>
        <v>@PradityaBeni</v>
      </c>
      <c r="C10026" s="8" t="s">
        <v>318</v>
      </c>
      <c r="D10026" s="8">
        <v>171</v>
      </c>
      <c r="E10026" s="8">
        <v>0</v>
      </c>
      <c r="F10026" s="8">
        <v>1299</v>
      </c>
    </row>
    <row r="10027" spans="1:6" ht="12.75">
      <c r="A10027" s="8">
        <v>43900.38181712963</v>
      </c>
      <c r="B10027" s="8" t="str">
        <f>HYPERLINK("https://twitter.com/syahdansaepulan","@syahdansaepulan")</f>
        <v>@syahdansaepulan</v>
      </c>
      <c r="C10027" s="8" t="s">
        <v>4365</v>
      </c>
      <c r="D10027" s="8">
        <v>41</v>
      </c>
      <c r="E10027" s="8">
        <v>0</v>
      </c>
      <c r="F10027" s="8">
        <v>182</v>
      </c>
    </row>
    <row r="10028" spans="1:6" ht="12.75">
      <c r="A10028" s="8">
        <v>43900.381724537037</v>
      </c>
      <c r="B10028" s="8" t="str">
        <f>HYPERLINK("https://twitter.com/membaca_zaman","@membaca_zaman")</f>
        <v>@membaca_zaman</v>
      </c>
      <c r="C10028" s="8" t="s">
        <v>318</v>
      </c>
      <c r="D10028" s="8">
        <v>171</v>
      </c>
      <c r="E10028" s="8">
        <v>0</v>
      </c>
      <c r="F10028" s="8">
        <v>40</v>
      </c>
    </row>
    <row r="10029" spans="1:6" ht="12.75">
      <c r="A10029" s="8">
        <v>43900.381435185191</v>
      </c>
      <c r="B10029" s="8" t="str">
        <f>HYPERLINK("https://twitter.com/TututKris77","@TututKris77")</f>
        <v>@TututKris77</v>
      </c>
      <c r="C10029" s="8" t="s">
        <v>4419</v>
      </c>
      <c r="D10029" s="8">
        <v>0</v>
      </c>
      <c r="E10029" s="8">
        <v>0</v>
      </c>
      <c r="F10029" s="8">
        <v>153</v>
      </c>
    </row>
    <row r="10030" spans="1:6" ht="12.75">
      <c r="A10030" s="8">
        <v>43900.381319444445</v>
      </c>
      <c r="B10030" s="8" t="str">
        <f>HYPERLINK("https://twitter.com/PakJenggot__","@PakJenggot__")</f>
        <v>@PakJenggot__</v>
      </c>
      <c r="C10030" s="8" t="s">
        <v>3969</v>
      </c>
      <c r="D10030" s="8">
        <v>49</v>
      </c>
      <c r="E10030" s="8">
        <v>0</v>
      </c>
      <c r="F10030" s="8">
        <v>3098</v>
      </c>
    </row>
    <row r="10031" spans="1:6" ht="12.75">
      <c r="A10031" s="8">
        <v>43900.381030092598</v>
      </c>
      <c r="B10031" s="8" t="str">
        <f>HYPERLINK("https://twitter.com/vidalavidah","@vidalavidah")</f>
        <v>@vidalavidah</v>
      </c>
      <c r="C10031" s="8" t="s">
        <v>295</v>
      </c>
      <c r="D10031" s="8">
        <v>20</v>
      </c>
      <c r="E10031" s="8">
        <v>0</v>
      </c>
      <c r="F10031" s="8">
        <v>174</v>
      </c>
    </row>
    <row r="10032" spans="1:6" ht="12.75">
      <c r="A10032" s="8">
        <v>43900.380543981482</v>
      </c>
      <c r="B10032" s="8" t="str">
        <f>HYPERLINK("https://twitter.com/MMargani5","@MMargani5")</f>
        <v>@MMargani5</v>
      </c>
      <c r="C10032" s="8" t="s">
        <v>4251</v>
      </c>
      <c r="D10032" s="8">
        <v>6</v>
      </c>
      <c r="E10032" s="8">
        <v>0</v>
      </c>
      <c r="F10032" s="8">
        <v>5763</v>
      </c>
    </row>
    <row r="10033" spans="1:6" ht="12.75">
      <c r="A10033" s="8">
        <v>43900.380532407406</v>
      </c>
      <c r="B10033" s="8" t="str">
        <f>HYPERLINK("https://twitter.com/rajesh_sampath","@rajesh_sampath")</f>
        <v>@rajesh_sampath</v>
      </c>
      <c r="C10033" s="8" t="s">
        <v>1957</v>
      </c>
      <c r="D10033" s="8">
        <v>1409</v>
      </c>
      <c r="E10033" s="8">
        <v>0</v>
      </c>
      <c r="F10033" s="8">
        <v>85</v>
      </c>
    </row>
    <row r="10034" spans="1:6" ht="12.75">
      <c r="A10034" s="8">
        <v>43900.380208333328</v>
      </c>
      <c r="B10034" s="8" t="str">
        <f>HYPERLINK("https://twitter.com/sabriahrazak","@sabriahrazak")</f>
        <v>@sabriahrazak</v>
      </c>
      <c r="C10034" s="8" t="s">
        <v>4420</v>
      </c>
      <c r="D10034" s="8">
        <v>6</v>
      </c>
      <c r="E10034" s="8">
        <v>0</v>
      </c>
      <c r="F10034" s="8">
        <v>2287</v>
      </c>
    </row>
    <row r="10035" spans="1:6" ht="12.75">
      <c r="A10035" s="8">
        <v>43900.379884259259</v>
      </c>
      <c r="B10035" s="8" t="str">
        <f>HYPERLINK("https://twitter.com/NandaDaulay7","@NandaDaulay7")</f>
        <v>@NandaDaulay7</v>
      </c>
      <c r="C10035" s="8" t="s">
        <v>318</v>
      </c>
      <c r="D10035" s="8">
        <v>170</v>
      </c>
      <c r="E10035" s="8">
        <v>0</v>
      </c>
      <c r="F10035" s="8">
        <v>719</v>
      </c>
    </row>
    <row r="10036" spans="1:6" ht="12.75">
      <c r="A10036" s="8">
        <v>43900.379606481481</v>
      </c>
      <c r="B10036" s="8" t="str">
        <f>HYPERLINK("https://twitter.com/sanatanbhartiya","@sanatanbhartiya")</f>
        <v>@sanatanbhartiya</v>
      </c>
      <c r="C10036" s="8" t="s">
        <v>1957</v>
      </c>
      <c r="D10036" s="8">
        <v>1409</v>
      </c>
      <c r="E10036" s="8">
        <v>0</v>
      </c>
      <c r="F10036" s="8">
        <v>22</v>
      </c>
    </row>
    <row r="10037" spans="1:6" ht="12.75">
      <c r="A10037" s="8">
        <v>43900.379479166666</v>
      </c>
      <c r="B10037" s="8" t="str">
        <f>HYPERLINK("https://twitter.com/Andi_Pristiawan","@Andi_Pristiawan")</f>
        <v>@Andi_Pristiawan</v>
      </c>
      <c r="C10037" s="8" t="s">
        <v>318</v>
      </c>
      <c r="D10037" s="8">
        <v>171</v>
      </c>
      <c r="E10037" s="8">
        <v>0</v>
      </c>
      <c r="F10037" s="8">
        <v>340</v>
      </c>
    </row>
    <row r="10038" spans="1:6" ht="12.75">
      <c r="A10038" s="8">
        <v>43900.379166666666</v>
      </c>
      <c r="B10038" s="8" t="str">
        <f>HYPERLINK("https://twitter.com/widikurnia","@widikurnia")</f>
        <v>@widikurnia</v>
      </c>
      <c r="C10038" s="8" t="s">
        <v>295</v>
      </c>
      <c r="D10038" s="8">
        <v>20</v>
      </c>
      <c r="E10038" s="8">
        <v>0</v>
      </c>
      <c r="F10038" s="8">
        <v>240</v>
      </c>
    </row>
    <row r="10039" spans="1:6" ht="12.75">
      <c r="A10039" s="8">
        <v>43900.378900462965</v>
      </c>
      <c r="B10039" s="8" t="str">
        <f>HYPERLINK("https://twitter.com/oppiicial","@oppiicial")</f>
        <v>@oppiicial</v>
      </c>
      <c r="C10039" s="8" t="s">
        <v>318</v>
      </c>
      <c r="D10039" s="8">
        <v>171</v>
      </c>
      <c r="E10039" s="8">
        <v>0</v>
      </c>
      <c r="F10039" s="8">
        <v>368</v>
      </c>
    </row>
    <row r="10040" spans="1:6" ht="12.75">
      <c r="A10040" s="8">
        <v>43900.378495370373</v>
      </c>
      <c r="B10040" s="8" t="str">
        <f>HYPERLINK("https://twitter.com/Info__sumut","@Info__sumut")</f>
        <v>@Info__sumut</v>
      </c>
      <c r="C10040" s="8" t="s">
        <v>4421</v>
      </c>
      <c r="D10040" s="8">
        <v>0</v>
      </c>
      <c r="E10040" s="8">
        <v>0</v>
      </c>
      <c r="F10040" s="8">
        <v>945</v>
      </c>
    </row>
    <row r="10041" spans="1:6" ht="12.75">
      <c r="A10041" s="8">
        <v>43900.378460648149</v>
      </c>
      <c r="B10041" s="8" t="str">
        <f>HYPERLINK("https://twitter.com/JagoBharathJago","@JagoBharathJago")</f>
        <v>@JagoBharathJago</v>
      </c>
      <c r="C10041" s="8" t="s">
        <v>1957</v>
      </c>
      <c r="D10041" s="8">
        <v>1409</v>
      </c>
      <c r="E10041" s="8">
        <v>0</v>
      </c>
      <c r="F10041" s="8">
        <v>10743</v>
      </c>
    </row>
    <row r="10042" spans="1:6" ht="12.75">
      <c r="A10042" s="8">
        <v>43900.377581018518</v>
      </c>
      <c r="B10042" s="8" t="str">
        <f>HYPERLINK("https://twitter.com/being_gujjubhai","@being_gujjubhai")</f>
        <v>@being_gujjubhai</v>
      </c>
      <c r="C10042" s="8" t="s">
        <v>1957</v>
      </c>
      <c r="D10042" s="8">
        <v>1409</v>
      </c>
      <c r="E10042" s="8">
        <v>0</v>
      </c>
      <c r="F10042" s="8">
        <v>77</v>
      </c>
    </row>
    <row r="10043" spans="1:6" ht="12.75">
      <c r="A10043" s="8">
        <v>43900.377326388887</v>
      </c>
      <c r="B10043" s="8" t="str">
        <f t="shared" ref="B10043:B10044" si="169">HYPERLINK("https://twitter.com/kudabebas99","@kudabebas99")</f>
        <v>@kudabebas99</v>
      </c>
      <c r="C10043" s="8" t="s">
        <v>295</v>
      </c>
      <c r="D10043" s="8">
        <v>20</v>
      </c>
      <c r="E10043" s="8">
        <v>0</v>
      </c>
      <c r="F10043" s="8">
        <v>119</v>
      </c>
    </row>
    <row r="10044" spans="1:6" ht="12.75">
      <c r="A10044" s="8">
        <v>43900.377199074079</v>
      </c>
      <c r="B10044" s="8" t="str">
        <f t="shared" si="169"/>
        <v>@kudabebas99</v>
      </c>
      <c r="C10044" s="8" t="s">
        <v>2432</v>
      </c>
      <c r="D10044" s="8">
        <v>10</v>
      </c>
      <c r="E10044" s="8">
        <v>0</v>
      </c>
      <c r="F10044" s="8">
        <v>119</v>
      </c>
    </row>
    <row r="10045" spans="1:6" ht="12.75">
      <c r="A10045" s="8">
        <v>43900.37704861111</v>
      </c>
      <c r="B10045" s="8" t="str">
        <f>HYPERLINK("https://twitter.com/RaFaIs12","@RaFaIs12")</f>
        <v>@RaFaIs12</v>
      </c>
      <c r="C10045" s="8" t="s">
        <v>3168</v>
      </c>
      <c r="D10045" s="8">
        <v>65</v>
      </c>
      <c r="E10045" s="8">
        <v>0</v>
      </c>
      <c r="F10045" s="8">
        <v>124</v>
      </c>
    </row>
    <row r="10046" spans="1:6" ht="12.75">
      <c r="A10046" s="8">
        <v>43900.37704861111</v>
      </c>
      <c r="B10046" s="8" t="str">
        <f>HYPERLINK("https://twitter.com/carlessguy","@carlessguy")</f>
        <v>@carlessguy</v>
      </c>
      <c r="C10046" s="8" t="s">
        <v>4422</v>
      </c>
      <c r="D10046" s="8">
        <v>0</v>
      </c>
      <c r="E10046" s="8">
        <v>0</v>
      </c>
      <c r="F10046" s="8">
        <v>19</v>
      </c>
    </row>
    <row r="10047" spans="1:6" ht="12.75">
      <c r="A10047" s="8">
        <v>43900.376562500001</v>
      </c>
      <c r="B10047" s="8" t="str">
        <f>HYPERLINK("https://twitter.com/FathinHarly","@FathinHarly")</f>
        <v>@FathinHarly</v>
      </c>
      <c r="C10047" s="8" t="s">
        <v>4365</v>
      </c>
      <c r="D10047" s="8">
        <v>41</v>
      </c>
      <c r="E10047" s="8">
        <v>0</v>
      </c>
      <c r="F10047" s="8">
        <v>305</v>
      </c>
    </row>
    <row r="10048" spans="1:6" ht="12.75">
      <c r="A10048" s="8">
        <v>43900.376516203702</v>
      </c>
      <c r="B10048" s="8" t="str">
        <f>HYPERLINK("https://twitter.com/02fc71ba00c2451","@02fc71ba00c2451")</f>
        <v>@02fc71ba00c2451</v>
      </c>
      <c r="C10048" s="8" t="s">
        <v>318</v>
      </c>
      <c r="D10048" s="8">
        <v>171</v>
      </c>
      <c r="E10048" s="8">
        <v>0</v>
      </c>
      <c r="F10048" s="8">
        <v>411</v>
      </c>
    </row>
    <row r="10049" spans="1:6" ht="12.75">
      <c r="A10049" s="8">
        <v>43900.376493055555</v>
      </c>
      <c r="B10049" s="8" t="str">
        <f>HYPERLINK("https://twitter.com/ino_mufc","@ino_mufc")</f>
        <v>@ino_mufc</v>
      </c>
      <c r="C10049" s="8" t="s">
        <v>318</v>
      </c>
      <c r="D10049" s="8">
        <v>171</v>
      </c>
      <c r="E10049" s="8">
        <v>0</v>
      </c>
      <c r="F10049" s="8">
        <v>398</v>
      </c>
    </row>
    <row r="10050" spans="1:6" ht="12.75">
      <c r="A10050" s="8">
        <v>43900.376099537039</v>
      </c>
      <c r="B10050" s="8" t="str">
        <f>HYPERLINK("https://twitter.com/sikecilmarmut","@sikecilmarmut")</f>
        <v>@sikecilmarmut</v>
      </c>
      <c r="C10050" s="8" t="s">
        <v>4423</v>
      </c>
      <c r="D10050" s="8">
        <v>6</v>
      </c>
      <c r="E10050" s="8">
        <v>0</v>
      </c>
      <c r="F10050" s="8">
        <v>2281</v>
      </c>
    </row>
    <row r="10051" spans="1:6" ht="12.75">
      <c r="A10051" s="8">
        <v>43900.376064814816</v>
      </c>
      <c r="B10051" s="8" t="str">
        <f>HYPERLINK("https://twitter.com/ama2enico","@ama2enico")</f>
        <v>@ama2enico</v>
      </c>
      <c r="C10051" s="8" t="s">
        <v>295</v>
      </c>
      <c r="D10051" s="8">
        <v>20</v>
      </c>
      <c r="E10051" s="8">
        <v>0</v>
      </c>
      <c r="F10051" s="8">
        <v>577</v>
      </c>
    </row>
    <row r="10052" spans="1:6" ht="12.75">
      <c r="A10052" s="8">
        <v>43900.376064814816</v>
      </c>
      <c r="B10052" s="8" t="str">
        <f>HYPERLINK("https://twitter.com/NewsArrahmah","@NewsArrahmah")</f>
        <v>@NewsArrahmah</v>
      </c>
      <c r="C10052" s="8" t="s">
        <v>4424</v>
      </c>
      <c r="D10052" s="8">
        <v>0</v>
      </c>
      <c r="E10052" s="8">
        <v>0</v>
      </c>
      <c r="F10052" s="8">
        <v>476</v>
      </c>
    </row>
    <row r="10053" spans="1:6" ht="12.75">
      <c r="A10053" s="8">
        <v>43900.37600694444</v>
      </c>
      <c r="B10053" s="8" t="str">
        <f>HYPERLINK("https://twitter.com/heniunique","@heniunique")</f>
        <v>@heniunique</v>
      </c>
      <c r="C10053" s="8" t="s">
        <v>4425</v>
      </c>
      <c r="D10053" s="8">
        <v>23</v>
      </c>
      <c r="E10053" s="8">
        <v>0</v>
      </c>
      <c r="F10053" s="8">
        <v>10016</v>
      </c>
    </row>
    <row r="10054" spans="1:6" ht="12.75">
      <c r="A10054" s="8">
        <v>43900.375787037032</v>
      </c>
      <c r="B10054" s="8" t="str">
        <f>HYPERLINK("https://twitter.com/SalimFarrah","@SalimFarrah")</f>
        <v>@SalimFarrah</v>
      </c>
      <c r="C10054" s="8" t="s">
        <v>318</v>
      </c>
      <c r="D10054" s="8">
        <v>171</v>
      </c>
      <c r="E10054" s="8">
        <v>0</v>
      </c>
      <c r="F10054" s="8">
        <v>597</v>
      </c>
    </row>
    <row r="10055" spans="1:6" ht="12.75">
      <c r="A10055" s="8">
        <v>43900.375578703708</v>
      </c>
      <c r="B10055" s="8" t="str">
        <f>HYPERLINK("https://twitter.com/sikecilmarmut","@sikecilmarmut")</f>
        <v>@sikecilmarmut</v>
      </c>
      <c r="C10055" s="8" t="s">
        <v>4426</v>
      </c>
      <c r="D10055" s="8">
        <v>138</v>
      </c>
      <c r="E10055" s="8">
        <v>0</v>
      </c>
      <c r="F10055" s="8">
        <v>2281</v>
      </c>
    </row>
    <row r="10056" spans="1:6" ht="12.75">
      <c r="A10056" s="8">
        <v>43900.375347222223</v>
      </c>
      <c r="B10056" s="8" t="str">
        <f>HYPERLINK("https://twitter.com/baap1972","@baap1972")</f>
        <v>@baap1972</v>
      </c>
      <c r="C10056" s="8" t="s">
        <v>1957</v>
      </c>
      <c r="D10056" s="8">
        <v>1409</v>
      </c>
      <c r="E10056" s="8">
        <v>0</v>
      </c>
      <c r="F10056" s="8">
        <v>369</v>
      </c>
    </row>
    <row r="10057" spans="1:6" ht="12.75">
      <c r="A10057" s="8">
        <v>43900.3753125</v>
      </c>
      <c r="B10057" s="8" t="str">
        <f>HYPERLINK("https://twitter.com/AldyGreget","@AldyGreget")</f>
        <v>@AldyGreget</v>
      </c>
      <c r="C10057" s="8" t="s">
        <v>295</v>
      </c>
      <c r="D10057" s="8">
        <v>20</v>
      </c>
      <c r="E10057" s="8">
        <v>0</v>
      </c>
      <c r="F10057" s="8">
        <v>572</v>
      </c>
    </row>
    <row r="10058" spans="1:6" ht="12.75">
      <c r="A10058" s="8">
        <v>43900.3752662037</v>
      </c>
      <c r="B10058" s="8" t="str">
        <f>HYPERLINK("https://twitter.com/theway2pawan","@theway2pawan")</f>
        <v>@theway2pawan</v>
      </c>
      <c r="C10058" s="8" t="s">
        <v>1957</v>
      </c>
      <c r="D10058" s="8">
        <v>1409</v>
      </c>
      <c r="E10058" s="8">
        <v>0</v>
      </c>
      <c r="F10058" s="8">
        <v>217</v>
      </c>
    </row>
    <row r="10059" spans="1:6" ht="12.75">
      <c r="A10059" s="8">
        <v>43900.374872685185</v>
      </c>
      <c r="B10059" s="8" t="str">
        <f>HYPERLINK("https://twitter.com/dea_nurismaya","@dea_nurismaya")</f>
        <v>@dea_nurismaya</v>
      </c>
      <c r="C10059" s="8" t="s">
        <v>295</v>
      </c>
      <c r="D10059" s="8">
        <v>20</v>
      </c>
      <c r="E10059" s="8">
        <v>0</v>
      </c>
      <c r="F10059" s="8">
        <v>501</v>
      </c>
    </row>
    <row r="10060" spans="1:6" ht="12.75">
      <c r="A10060" s="8">
        <v>43900.374768518523</v>
      </c>
      <c r="B10060" s="8" t="str">
        <f t="shared" ref="B10060:B10061" si="170">HYPERLINK("https://twitter.com/dodi_ahmad07","@dodi_ahmad07")</f>
        <v>@dodi_ahmad07</v>
      </c>
      <c r="C10060" s="8" t="s">
        <v>295</v>
      </c>
      <c r="D10060" s="8">
        <v>20</v>
      </c>
      <c r="E10060" s="8">
        <v>0</v>
      </c>
      <c r="F10060" s="8">
        <v>638</v>
      </c>
    </row>
    <row r="10061" spans="1:6" ht="12.75">
      <c r="A10061" s="8">
        <v>43900.374571759261</v>
      </c>
      <c r="B10061" s="8" t="str">
        <f t="shared" si="170"/>
        <v>@dodi_ahmad07</v>
      </c>
      <c r="C10061" s="8" t="s">
        <v>2432</v>
      </c>
      <c r="D10061" s="8">
        <v>10</v>
      </c>
      <c r="E10061" s="8">
        <v>0</v>
      </c>
      <c r="F10061" s="8">
        <v>638</v>
      </c>
    </row>
    <row r="10062" spans="1:6" ht="12.75">
      <c r="A10062" s="8">
        <v>43900.374560185184</v>
      </c>
      <c r="B10062" s="8" t="str">
        <f>HYPERLINK("https://twitter.com/carlessguy","@carlessguy")</f>
        <v>@carlessguy</v>
      </c>
      <c r="C10062" s="8" t="s">
        <v>4427</v>
      </c>
      <c r="D10062" s="8">
        <v>0</v>
      </c>
      <c r="E10062" s="8">
        <v>0</v>
      </c>
      <c r="F10062" s="8">
        <v>19</v>
      </c>
    </row>
    <row r="10063" spans="1:6" ht="12.75">
      <c r="A10063" s="8">
        <v>43900.374305555553</v>
      </c>
      <c r="B10063" s="8" t="str">
        <f>HYPERLINK("https://twitter.com/jarwo16","@jarwo16")</f>
        <v>@jarwo16</v>
      </c>
      <c r="C10063" s="8" t="s">
        <v>295</v>
      </c>
      <c r="D10063" s="8">
        <v>20</v>
      </c>
      <c r="E10063" s="8">
        <v>0</v>
      </c>
      <c r="F10063" s="8">
        <v>899</v>
      </c>
    </row>
    <row r="10064" spans="1:6" ht="12.75">
      <c r="A10064" s="8">
        <v>43900.37427083333</v>
      </c>
      <c r="B10064" s="8" t="str">
        <f>HYPERLINK("https://twitter.com/abufarrel","@abufarrel")</f>
        <v>@abufarrel</v>
      </c>
      <c r="C10064" s="8" t="s">
        <v>318</v>
      </c>
      <c r="D10064" s="8">
        <v>171</v>
      </c>
      <c r="E10064" s="8">
        <v>0</v>
      </c>
      <c r="F10064" s="8">
        <v>1186</v>
      </c>
    </row>
    <row r="10065" spans="1:6" ht="12.75">
      <c r="A10065" s="8">
        <v>43900.374247685184</v>
      </c>
      <c r="B10065" s="8" t="str">
        <f>HYPERLINK("https://twitter.com/Mat4H4ri","@Mat4H4ri")</f>
        <v>@Mat4H4ri</v>
      </c>
      <c r="C10065" s="8" t="s">
        <v>4428</v>
      </c>
      <c r="D10065" s="8">
        <v>0</v>
      </c>
      <c r="E10065" s="8">
        <v>0</v>
      </c>
      <c r="F10065" s="8">
        <v>464</v>
      </c>
    </row>
    <row r="10066" spans="1:6" ht="12.75">
      <c r="A10066" s="8">
        <v>43900.374039351853</v>
      </c>
      <c r="B10066" s="8" t="str">
        <f>HYPERLINK("https://twitter.com/dubie_tina","@dubie_tina")</f>
        <v>@dubie_tina</v>
      </c>
      <c r="C10066" s="8" t="s">
        <v>295</v>
      </c>
      <c r="D10066" s="8">
        <v>20</v>
      </c>
      <c r="E10066" s="8">
        <v>0</v>
      </c>
      <c r="F10066" s="8">
        <v>1127</v>
      </c>
    </row>
    <row r="10067" spans="1:6" ht="12.75">
      <c r="A10067" s="8">
        <v>43900.373981481476</v>
      </c>
      <c r="B10067" s="8" t="str">
        <f t="shared" ref="B10067:B10068" si="171">HYPERLINK("https://twitter.com/kauminfidel","@kauminfidel")</f>
        <v>@kauminfidel</v>
      </c>
      <c r="C10067" s="8" t="s">
        <v>2432</v>
      </c>
      <c r="D10067" s="8">
        <v>10</v>
      </c>
      <c r="E10067" s="8">
        <v>0</v>
      </c>
      <c r="F10067" s="8">
        <v>491</v>
      </c>
    </row>
    <row r="10068" spans="1:6" ht="12.75">
      <c r="A10068" s="8">
        <v>43900.373958333337</v>
      </c>
      <c r="B10068" s="8" t="str">
        <f t="shared" si="171"/>
        <v>@kauminfidel</v>
      </c>
      <c r="C10068" s="8" t="s">
        <v>295</v>
      </c>
      <c r="D10068" s="8">
        <v>20</v>
      </c>
      <c r="E10068" s="8">
        <v>0</v>
      </c>
      <c r="F10068" s="8">
        <v>491</v>
      </c>
    </row>
    <row r="10069" spans="1:6" ht="12.75">
      <c r="A10069" s="8">
        <v>43900.373796296291</v>
      </c>
      <c r="B10069" s="8" t="str">
        <f>HYPERLINK("https://twitter.com/dubie_tina","@dubie_tina")</f>
        <v>@dubie_tina</v>
      </c>
      <c r="C10069" s="8" t="s">
        <v>2432</v>
      </c>
      <c r="D10069" s="8">
        <v>10</v>
      </c>
      <c r="E10069" s="8">
        <v>0</v>
      </c>
      <c r="F10069" s="8">
        <v>1127</v>
      </c>
    </row>
    <row r="10070" spans="1:6" ht="12.75">
      <c r="A10070" s="8">
        <v>43900.373495370368</v>
      </c>
      <c r="B10070" s="8" t="str">
        <f>HYPERLINK("https://twitter.com/widiahapsari","@widiahapsari")</f>
        <v>@widiahapsari</v>
      </c>
      <c r="C10070" s="8" t="s">
        <v>295</v>
      </c>
      <c r="D10070" s="8">
        <v>20</v>
      </c>
      <c r="E10070" s="8">
        <v>0</v>
      </c>
      <c r="F10070" s="8">
        <v>924</v>
      </c>
    </row>
    <row r="10071" spans="1:6" ht="12.75">
      <c r="A10071" s="8">
        <v>43900.373333333337</v>
      </c>
      <c r="B10071" s="8" t="str">
        <f>HYPERLINK("https://twitter.com/SgMarthin","@SgMarthin")</f>
        <v>@SgMarthin</v>
      </c>
      <c r="C10071" s="8" t="s">
        <v>295</v>
      </c>
      <c r="D10071" s="8">
        <v>20</v>
      </c>
      <c r="E10071" s="8">
        <v>0</v>
      </c>
      <c r="F10071" s="8">
        <v>730</v>
      </c>
    </row>
    <row r="10072" spans="1:6" ht="12.75">
      <c r="A10072" s="8">
        <v>43900.373287037037</v>
      </c>
      <c r="B10072" s="8" t="str">
        <f>HYPERLINK("https://twitter.com/yoeeed","@yoeeed")</f>
        <v>@yoeeed</v>
      </c>
      <c r="C10072" s="8" t="s">
        <v>295</v>
      </c>
      <c r="D10072" s="8">
        <v>20</v>
      </c>
      <c r="E10072" s="8">
        <v>0</v>
      </c>
      <c r="F10072" s="8">
        <v>225</v>
      </c>
    </row>
    <row r="10073" spans="1:6" ht="12.75">
      <c r="A10073" s="8">
        <v>43900.37327546296</v>
      </c>
      <c r="B10073" s="8" t="str">
        <f>HYPERLINK("https://twitter.com/SgMarthin","@SgMarthin")</f>
        <v>@SgMarthin</v>
      </c>
      <c r="C10073" s="8" t="s">
        <v>2432</v>
      </c>
      <c r="D10073" s="8">
        <v>10</v>
      </c>
      <c r="E10073" s="8">
        <v>0</v>
      </c>
      <c r="F10073" s="8">
        <v>730</v>
      </c>
    </row>
    <row r="10074" spans="1:6" ht="12.75">
      <c r="A10074" s="8">
        <v>43900.37300925926</v>
      </c>
      <c r="B10074" s="8" t="str">
        <f>HYPERLINK("https://twitter.com/endanghidayat","@endanghidayat")</f>
        <v>@endanghidayat</v>
      </c>
      <c r="C10074" s="8" t="s">
        <v>318</v>
      </c>
      <c r="D10074" s="8">
        <v>171</v>
      </c>
      <c r="E10074" s="8">
        <v>0</v>
      </c>
      <c r="F10074" s="8">
        <v>657</v>
      </c>
    </row>
    <row r="10075" spans="1:6" ht="12.75">
      <c r="A10075" s="8">
        <v>43900.37290509259</v>
      </c>
      <c r="B10075" s="8" t="str">
        <f>HYPERLINK("https://twitter.com/dhanjr9","@dhanjr9")</f>
        <v>@dhanjr9</v>
      </c>
      <c r="C10075" s="8" t="s">
        <v>318</v>
      </c>
      <c r="D10075" s="8">
        <v>171</v>
      </c>
      <c r="E10075" s="8">
        <v>0</v>
      </c>
      <c r="F10075" s="8">
        <v>51</v>
      </c>
    </row>
    <row r="10076" spans="1:6" ht="12.75">
      <c r="A10076" s="8">
        <v>43900.372800925921</v>
      </c>
      <c r="B10076" s="8" t="str">
        <f>HYPERLINK("https://twitter.com/Yerinyasin","@Yerinyasin")</f>
        <v>@Yerinyasin</v>
      </c>
      <c r="C10076" s="8" t="s">
        <v>295</v>
      </c>
      <c r="D10076" s="8">
        <v>20</v>
      </c>
      <c r="E10076" s="8">
        <v>0</v>
      </c>
      <c r="F10076" s="8">
        <v>255</v>
      </c>
    </row>
    <row r="10077" spans="1:6" ht="12.75">
      <c r="A10077" s="8">
        <v>43900.372673611113</v>
      </c>
      <c r="B10077" s="8" t="str">
        <f t="shared" ref="B10077:B10078" si="172">HYPERLINK("https://twitter.com/khrnnsamtrvania","@khrnnsamtrvania")</f>
        <v>@khrnnsamtrvania</v>
      </c>
      <c r="C10077" s="8" t="s">
        <v>295</v>
      </c>
      <c r="D10077" s="8">
        <v>20</v>
      </c>
      <c r="E10077" s="8">
        <v>0</v>
      </c>
      <c r="F10077" s="8">
        <v>510</v>
      </c>
    </row>
    <row r="10078" spans="1:6" ht="12.75">
      <c r="A10078" s="8">
        <v>43900.372557870374</v>
      </c>
      <c r="B10078" s="8" t="str">
        <f t="shared" si="172"/>
        <v>@khrnnsamtrvania</v>
      </c>
      <c r="C10078" s="8" t="s">
        <v>2432</v>
      </c>
      <c r="D10078" s="8">
        <v>10</v>
      </c>
      <c r="E10078" s="8">
        <v>0</v>
      </c>
      <c r="F10078" s="8">
        <v>510</v>
      </c>
    </row>
    <row r="10079" spans="1:6" ht="12.75">
      <c r="A10079" s="8">
        <v>43900.372291666667</v>
      </c>
      <c r="B10079" s="8" t="str">
        <f>HYPERLINK("https://twitter.com/GauravChopra","@GauravChopra")</f>
        <v>@GauravChopra</v>
      </c>
      <c r="C10079" s="8" t="s">
        <v>1808</v>
      </c>
      <c r="D10079" s="8">
        <v>814</v>
      </c>
      <c r="E10079" s="8">
        <v>0</v>
      </c>
      <c r="F10079" s="8">
        <v>319</v>
      </c>
    </row>
    <row r="10080" spans="1:6" ht="12.75">
      <c r="A10080" s="8">
        <v>43900.37222222222</v>
      </c>
      <c r="B10080" s="8" t="str">
        <f>HYPERLINK("https://twitter.com/muhammadarditya","@muhammadarditya")</f>
        <v>@muhammadarditya</v>
      </c>
      <c r="C10080" s="8" t="s">
        <v>295</v>
      </c>
      <c r="D10080" s="8">
        <v>20</v>
      </c>
      <c r="E10080" s="8">
        <v>0</v>
      </c>
      <c r="F10080" s="8">
        <v>301</v>
      </c>
    </row>
    <row r="10081" spans="1:6" ht="12.75">
      <c r="A10081" s="8">
        <v>43900.372175925921</v>
      </c>
      <c r="B10081" s="8" t="str">
        <f>HYPERLINK("https://twitter.com/meikendiah","@meikendiah")</f>
        <v>@meikendiah</v>
      </c>
      <c r="C10081" s="8" t="s">
        <v>318</v>
      </c>
      <c r="D10081" s="8">
        <v>171</v>
      </c>
      <c r="E10081" s="8">
        <v>0</v>
      </c>
      <c r="F10081" s="8">
        <v>222</v>
      </c>
    </row>
    <row r="10082" spans="1:6" ht="12.75">
      <c r="A10082" s="8">
        <v>43900.372152777782</v>
      </c>
      <c r="B10082" s="8" t="str">
        <f>HYPERLINK("https://twitter.com/rita_tj","@rita_tj")</f>
        <v>@rita_tj</v>
      </c>
      <c r="C10082" s="8" t="s">
        <v>295</v>
      </c>
      <c r="D10082" s="8">
        <v>20</v>
      </c>
      <c r="E10082" s="8">
        <v>0</v>
      </c>
      <c r="F10082" s="8">
        <v>4724</v>
      </c>
    </row>
    <row r="10083" spans="1:6" ht="12.75">
      <c r="A10083" s="8">
        <v>43900.371898148151</v>
      </c>
      <c r="B10083" s="8" t="str">
        <f>HYPERLINK("https://twitter.com/Patriot67381760","@Patriot67381760")</f>
        <v>@Patriot67381760</v>
      </c>
      <c r="C10083" s="8" t="s">
        <v>4429</v>
      </c>
      <c r="D10083" s="8">
        <v>0</v>
      </c>
      <c r="E10083" s="8">
        <v>0</v>
      </c>
      <c r="F10083" s="8">
        <v>3089</v>
      </c>
    </row>
    <row r="10084" spans="1:6" ht="12.75">
      <c r="A10084" s="8">
        <v>43900.371886574074</v>
      </c>
      <c r="B10084" s="8" t="str">
        <f>HYPERLINK("https://twitter.com/bttmmn","@bttmmn")</f>
        <v>@bttmmn</v>
      </c>
      <c r="C10084" s="8" t="s">
        <v>4430</v>
      </c>
      <c r="D10084" s="8">
        <v>0</v>
      </c>
      <c r="E10084" s="8">
        <v>0</v>
      </c>
      <c r="F10084" s="8">
        <v>811</v>
      </c>
    </row>
    <row r="10085" spans="1:6" ht="12.75">
      <c r="A10085" s="8">
        <v>43900.371666666666</v>
      </c>
      <c r="B10085" s="8" t="str">
        <f t="shared" ref="B10085:B10086" si="173">HYPERLINK("https://twitter.com/teapoutt","@teapoutt")</f>
        <v>@teapoutt</v>
      </c>
      <c r="C10085" s="8" t="s">
        <v>295</v>
      </c>
      <c r="D10085" s="8">
        <v>20</v>
      </c>
      <c r="E10085" s="8">
        <v>0</v>
      </c>
      <c r="F10085" s="8">
        <v>570</v>
      </c>
    </row>
    <row r="10086" spans="1:6" ht="12.75">
      <c r="A10086" s="8">
        <v>43900.37164351852</v>
      </c>
      <c r="B10086" s="8" t="str">
        <f t="shared" si="173"/>
        <v>@teapoutt</v>
      </c>
      <c r="C10086" s="8" t="s">
        <v>2432</v>
      </c>
      <c r="D10086" s="8">
        <v>10</v>
      </c>
      <c r="E10086" s="8">
        <v>0</v>
      </c>
      <c r="F10086" s="8">
        <v>570</v>
      </c>
    </row>
    <row r="10087" spans="1:6" ht="12.75">
      <c r="A10087" s="8">
        <v>43900.370937500003</v>
      </c>
      <c r="B10087" s="8" t="str">
        <f>HYPERLINK("https://twitter.com/andrie_nich","@andrie_nich")</f>
        <v>@andrie_nich</v>
      </c>
      <c r="C10087" s="8" t="s">
        <v>295</v>
      </c>
      <c r="D10087" s="8">
        <v>20</v>
      </c>
      <c r="E10087" s="8">
        <v>0</v>
      </c>
      <c r="F10087" s="8">
        <v>161</v>
      </c>
    </row>
    <row r="10088" spans="1:6" ht="12.75">
      <c r="A10088" s="8">
        <v>43900.370254629626</v>
      </c>
      <c r="B10088" s="8" t="str">
        <f>HYPERLINK("https://twitter.com/irawanpamungks","@irawanpamungks")</f>
        <v>@irawanpamungks</v>
      </c>
      <c r="C10088" s="8" t="s">
        <v>295</v>
      </c>
      <c r="D10088" s="8">
        <v>20</v>
      </c>
      <c r="E10088" s="8">
        <v>0</v>
      </c>
      <c r="F10088" s="8">
        <v>549</v>
      </c>
    </row>
    <row r="10089" spans="1:6" ht="12.75">
      <c r="A10089" s="8">
        <v>43900.369826388887</v>
      </c>
      <c r="B10089" s="8" t="str">
        <f>HYPERLINK("https://twitter.com/JoshiRakesh2004","@JoshiRakesh2004")</f>
        <v>@JoshiRakesh2004</v>
      </c>
      <c r="C10089" s="8" t="s">
        <v>1808</v>
      </c>
      <c r="D10089" s="8">
        <v>814</v>
      </c>
      <c r="E10089" s="8">
        <v>0</v>
      </c>
      <c r="F10089" s="8">
        <v>3536</v>
      </c>
    </row>
    <row r="10090" spans="1:6" ht="12.75">
      <c r="A10090" s="8">
        <v>43900.369745370372</v>
      </c>
      <c r="B10090" s="8" t="str">
        <f>HYPERLINK("https://twitter.com/Donie248","@Donie248")</f>
        <v>@Donie248</v>
      </c>
      <c r="C10090" s="8" t="s">
        <v>4431</v>
      </c>
      <c r="D10090" s="8">
        <v>2</v>
      </c>
      <c r="E10090" s="8">
        <v>0</v>
      </c>
      <c r="F10090" s="8">
        <v>532</v>
      </c>
    </row>
    <row r="10091" spans="1:6" ht="12.75">
      <c r="A10091" s="8">
        <v>43900.369583333333</v>
      </c>
      <c r="B10091" s="8" t="str">
        <f>HYPERLINK("https://twitter.com/ImReborn2","@ImReborn2")</f>
        <v>@ImReborn2</v>
      </c>
      <c r="C10091" s="8" t="s">
        <v>318</v>
      </c>
      <c r="D10091" s="8">
        <v>171</v>
      </c>
      <c r="E10091" s="8">
        <v>0</v>
      </c>
      <c r="F10091" s="8">
        <v>119</v>
      </c>
    </row>
    <row r="10092" spans="1:6" ht="12.75">
      <c r="A10092" s="8">
        <v>43900.369432870371</v>
      </c>
      <c r="B10092" s="8" t="str">
        <f>HYPERLINK("https://twitter.com/kurawa","@kurawa")</f>
        <v>@kurawa</v>
      </c>
      <c r="C10092" s="8" t="s">
        <v>4432</v>
      </c>
      <c r="D10092" s="8">
        <v>20</v>
      </c>
      <c r="E10092" s="8">
        <v>19</v>
      </c>
      <c r="F10092" s="8">
        <v>340770</v>
      </c>
    </row>
    <row r="10093" spans="1:6" ht="12.75">
      <c r="A10093" s="8">
        <v>43900.369398148148</v>
      </c>
      <c r="B10093" s="8" t="str">
        <f>HYPERLINK("https://twitter.com/yoeeed","@yoeeed")</f>
        <v>@yoeeed</v>
      </c>
      <c r="C10093" s="8" t="s">
        <v>2432</v>
      </c>
      <c r="D10093" s="8">
        <v>10</v>
      </c>
      <c r="E10093" s="8">
        <v>0</v>
      </c>
      <c r="F10093" s="8">
        <v>225</v>
      </c>
    </row>
    <row r="10094" spans="1:6" ht="12.75">
      <c r="A10094" s="8">
        <v>43900.369224537033</v>
      </c>
      <c r="B10094" s="8" t="str">
        <f>HYPERLINK("https://twitter.com/SuryaBorneo","@SuryaBorneo")</f>
        <v>@SuryaBorneo</v>
      </c>
      <c r="C10094" s="8" t="s">
        <v>4122</v>
      </c>
      <c r="D10094" s="8">
        <v>15</v>
      </c>
      <c r="E10094" s="8">
        <v>0</v>
      </c>
      <c r="F10094" s="8">
        <v>1014</v>
      </c>
    </row>
    <row r="10095" spans="1:6" ht="12.75">
      <c r="A10095" s="8">
        <v>43900.36891203704</v>
      </c>
      <c r="B10095" s="8" t="str">
        <f>HYPERLINK("https://twitter.com/arjunakiriti","@arjunakiriti")</f>
        <v>@arjunakiriti</v>
      </c>
      <c r="C10095" s="8" t="s">
        <v>3262</v>
      </c>
      <c r="D10095" s="8">
        <v>237</v>
      </c>
      <c r="E10095" s="8">
        <v>0</v>
      </c>
      <c r="F10095" s="8">
        <v>387</v>
      </c>
    </row>
    <row r="10096" spans="1:6" ht="12.75">
      <c r="A10096" s="8">
        <v>43900.367754629631</v>
      </c>
      <c r="B10096" s="8" t="str">
        <f>HYPERLINK("https://twitter.com/anilsirpioneer","@anilsirpioneer")</f>
        <v>@anilsirpioneer</v>
      </c>
      <c r="C10096" s="8" t="s">
        <v>1957</v>
      </c>
      <c r="D10096" s="8">
        <v>1409</v>
      </c>
      <c r="E10096" s="8">
        <v>0</v>
      </c>
      <c r="F10096" s="8">
        <v>30</v>
      </c>
    </row>
    <row r="10097" spans="1:6" ht="12.75">
      <c r="A10097" s="8">
        <v>43900.36755787037</v>
      </c>
      <c r="B10097" s="8" t="str">
        <f>HYPERLINK("https://twitter.com/jarwo16","@jarwo16")</f>
        <v>@jarwo16</v>
      </c>
      <c r="C10097" s="8" t="s">
        <v>2432</v>
      </c>
      <c r="D10097" s="8">
        <v>10</v>
      </c>
      <c r="E10097" s="8">
        <v>0</v>
      </c>
      <c r="F10097" s="8">
        <v>899</v>
      </c>
    </row>
    <row r="10098" spans="1:6" ht="12.75">
      <c r="A10098" s="8">
        <v>43900.367430555554</v>
      </c>
      <c r="B10098" s="8" t="str">
        <f>HYPERLINK("https://twitter.com/JonPohong","@JonPohong")</f>
        <v>@JonPohong</v>
      </c>
      <c r="C10098" s="8" t="s">
        <v>318</v>
      </c>
      <c r="D10098" s="8">
        <v>171</v>
      </c>
      <c r="E10098" s="8">
        <v>0</v>
      </c>
      <c r="F10098" s="8">
        <v>314</v>
      </c>
    </row>
    <row r="10099" spans="1:6" ht="12.75">
      <c r="A10099" s="8">
        <v>43900.367222222223</v>
      </c>
      <c r="B10099" s="8" t="str">
        <f>HYPERLINK("https://twitter.com/sanket_rd","@sanket_rd")</f>
        <v>@sanket_rd</v>
      </c>
      <c r="C10099" s="8" t="s">
        <v>1957</v>
      </c>
      <c r="D10099" s="8">
        <v>1409</v>
      </c>
      <c r="E10099" s="8">
        <v>0</v>
      </c>
      <c r="F10099" s="8">
        <v>55</v>
      </c>
    </row>
    <row r="10100" spans="1:6" ht="12.75">
      <c r="A10100" s="8">
        <v>43900.366793981477</v>
      </c>
      <c r="B10100" s="8" t="str">
        <f>HYPERLINK("https://twitter.com/kurawa","@kurawa")</f>
        <v>@kurawa</v>
      </c>
      <c r="C10100" s="8" t="s">
        <v>4433</v>
      </c>
      <c r="D10100" s="8">
        <v>10</v>
      </c>
      <c r="E10100" s="8">
        <v>13</v>
      </c>
      <c r="F10100" s="8">
        <v>340770</v>
      </c>
    </row>
    <row r="10101" spans="1:6" ht="12.75">
      <c r="A10101" s="8">
        <v>43900.366574074069</v>
      </c>
      <c r="B10101" s="8" t="str">
        <f>HYPERLINK("https://twitter.com/Kaisar_Dusun","@Kaisar_Dusun")</f>
        <v>@Kaisar_Dusun</v>
      </c>
      <c r="C10101" s="8" t="s">
        <v>318</v>
      </c>
      <c r="D10101" s="8">
        <v>171</v>
      </c>
      <c r="E10101" s="8">
        <v>0</v>
      </c>
      <c r="F10101" s="8">
        <v>1505</v>
      </c>
    </row>
    <row r="10102" spans="1:6" ht="12.75">
      <c r="A10102" s="8">
        <v>43900.365752314814</v>
      </c>
      <c r="B10102" s="8" t="str">
        <f>HYPERLINK("https://twitter.com/SantaPradana","@SantaPradana")</f>
        <v>@SantaPradana</v>
      </c>
      <c r="C10102" s="8" t="s">
        <v>3126</v>
      </c>
      <c r="D10102" s="8">
        <v>312</v>
      </c>
      <c r="E10102" s="8">
        <v>0</v>
      </c>
      <c r="F10102" s="8">
        <v>496</v>
      </c>
    </row>
    <row r="10103" spans="1:6" ht="12.75">
      <c r="A10103" s="8">
        <v>43900.365543981483</v>
      </c>
      <c r="B10103" s="8" t="str">
        <f>HYPERLINK("https://twitter.com/Juuns_","@Juuns_")</f>
        <v>@Juuns_</v>
      </c>
      <c r="C10103" s="8" t="s">
        <v>4434</v>
      </c>
      <c r="D10103" s="8">
        <v>0</v>
      </c>
      <c r="E10103" s="8">
        <v>0</v>
      </c>
      <c r="F10103" s="8">
        <v>318</v>
      </c>
    </row>
    <row r="10104" spans="1:6" ht="12.75">
      <c r="A10104" s="8">
        <v>43900.36519675926</v>
      </c>
      <c r="B10104" s="8" t="str">
        <f>HYPERLINK("https://twitter.com/mayanchocolate0","@mayanchocolate0")</f>
        <v>@mayanchocolate0</v>
      </c>
      <c r="C10104" s="8" t="s">
        <v>1957</v>
      </c>
      <c r="D10104" s="8">
        <v>1409</v>
      </c>
      <c r="E10104" s="8">
        <v>0</v>
      </c>
      <c r="F10104" s="8">
        <v>632</v>
      </c>
    </row>
    <row r="10105" spans="1:6" ht="12.75">
      <c r="A10105" s="8">
        <v>43900.365127314813</v>
      </c>
      <c r="B10105" s="8" t="str">
        <f>HYPERLINK("https://twitter.com/sofiankawar1","@sofiankawar1")</f>
        <v>@sofiankawar1</v>
      </c>
      <c r="C10105" s="8" t="s">
        <v>4435</v>
      </c>
      <c r="D10105" s="8">
        <v>1</v>
      </c>
      <c r="E10105" s="8">
        <v>0</v>
      </c>
      <c r="F10105" s="8">
        <v>166</v>
      </c>
    </row>
    <row r="10106" spans="1:6" ht="12.75">
      <c r="A10106" s="8">
        <v>43900.364386574074</v>
      </c>
      <c r="B10106" s="8" t="str">
        <f>HYPERLINK("https://twitter.com/outthinker83","@outthinker83")</f>
        <v>@outthinker83</v>
      </c>
      <c r="C10106" s="8" t="s">
        <v>1808</v>
      </c>
      <c r="D10106" s="8">
        <v>814</v>
      </c>
      <c r="E10106" s="8">
        <v>0</v>
      </c>
      <c r="F10106" s="8">
        <v>687</v>
      </c>
    </row>
    <row r="10107" spans="1:6" ht="12.75">
      <c r="A10107" s="8">
        <v>43900.364259259259</v>
      </c>
      <c r="B10107" s="8" t="str">
        <f>HYPERLINK("https://twitter.com/TawakalBack","@TawakalBack")</f>
        <v>@TawakalBack</v>
      </c>
      <c r="C10107" s="8" t="s">
        <v>318</v>
      </c>
      <c r="D10107" s="8">
        <v>171</v>
      </c>
      <c r="E10107" s="8">
        <v>0</v>
      </c>
      <c r="F10107" s="8">
        <v>694</v>
      </c>
    </row>
    <row r="10108" spans="1:6" ht="12.75">
      <c r="A10108" s="8">
        <v>43900.36409722222</v>
      </c>
      <c r="B10108" s="8" t="str">
        <f>HYPERLINK("https://twitter.com/yandiiyan374","@yandiiyan374")</f>
        <v>@yandiiyan374</v>
      </c>
      <c r="C10108" s="8" t="s">
        <v>4436</v>
      </c>
      <c r="D10108" s="8">
        <v>0</v>
      </c>
      <c r="E10108" s="8">
        <v>0</v>
      </c>
      <c r="F10108" s="8">
        <v>4</v>
      </c>
    </row>
    <row r="10109" spans="1:6" ht="12.75">
      <c r="A10109" s="8">
        <v>43900.363958333328</v>
      </c>
      <c r="B10109" s="8" t="str">
        <f>HYPERLINK("https://twitter.com/Arifin2Zainal","@Arifin2Zainal")</f>
        <v>@Arifin2Zainal</v>
      </c>
      <c r="C10109" s="8" t="s">
        <v>318</v>
      </c>
      <c r="D10109" s="8">
        <v>171</v>
      </c>
      <c r="E10109" s="8">
        <v>0</v>
      </c>
      <c r="F10109" s="8">
        <v>1887</v>
      </c>
    </row>
    <row r="10110" spans="1:6" ht="12.75">
      <c r="A10110" s="8">
        <v>43900.362743055557</v>
      </c>
      <c r="B10110" s="8" t="str">
        <f>HYPERLINK("https://twitter.com/miyamin48","@miyamin48")</f>
        <v>@miyamin48</v>
      </c>
      <c r="C10110" s="8" t="s">
        <v>3649</v>
      </c>
      <c r="D10110" s="8">
        <v>6</v>
      </c>
      <c r="E10110" s="8">
        <v>0</v>
      </c>
      <c r="F10110" s="8">
        <v>322</v>
      </c>
    </row>
    <row r="10111" spans="1:6" ht="12.75">
      <c r="A10111" s="8">
        <v>43900.362685185188</v>
      </c>
      <c r="B10111" s="8" t="str">
        <f>HYPERLINK("https://twitter.com/idpenamini","@idpenamini")</f>
        <v>@idpenamini</v>
      </c>
      <c r="C10111" s="8" t="s">
        <v>4225</v>
      </c>
      <c r="D10111" s="8">
        <v>0</v>
      </c>
      <c r="E10111" s="8">
        <v>0</v>
      </c>
      <c r="F10111" s="8">
        <v>175</v>
      </c>
    </row>
    <row r="10112" spans="1:6" ht="12.75">
      <c r="A10112" s="8">
        <v>43900.362557870365</v>
      </c>
      <c r="B10112" s="8" t="str">
        <f>HYPERLINK("https://twitter.com/johny2b","@johny2b")</f>
        <v>@johny2b</v>
      </c>
      <c r="C10112" s="8" t="s">
        <v>3168</v>
      </c>
      <c r="D10112" s="8">
        <v>65</v>
      </c>
      <c r="E10112" s="8">
        <v>0</v>
      </c>
      <c r="F10112" s="8">
        <v>1739</v>
      </c>
    </row>
    <row r="10113" spans="1:6" ht="12.75">
      <c r="A10113" s="8">
        <v>43900.362523148149</v>
      </c>
      <c r="B10113" s="8" t="str">
        <f>HYPERLINK("https://twitter.com/KMNRDR_RX","@KMNRDR_RX")</f>
        <v>@KMNRDR_RX</v>
      </c>
      <c r="C10113" s="8" t="s">
        <v>3168</v>
      </c>
      <c r="D10113" s="8">
        <v>65</v>
      </c>
      <c r="E10113" s="8">
        <v>0</v>
      </c>
      <c r="F10113" s="8">
        <v>351</v>
      </c>
    </row>
    <row r="10114" spans="1:6" ht="12.75">
      <c r="A10114" s="8">
        <v>43900.361886574072</v>
      </c>
      <c r="B10114" s="8" t="str">
        <f>HYPERLINK("https://twitter.com/marSyaheedAS","@marSyaheedAS")</f>
        <v>@marSyaheedAS</v>
      </c>
      <c r="C10114" s="8" t="s">
        <v>318</v>
      </c>
      <c r="D10114" s="8">
        <v>171</v>
      </c>
      <c r="E10114" s="8">
        <v>0</v>
      </c>
      <c r="F10114" s="8">
        <v>1944</v>
      </c>
    </row>
    <row r="10115" spans="1:6" ht="12.75">
      <c r="A10115" s="8">
        <v>43900.361817129626</v>
      </c>
      <c r="B10115" s="8" t="str">
        <f>HYPERLINK("https://twitter.com/buryam_semiaduk","@buryam_semiaduk")</f>
        <v>@buryam_semiaduk</v>
      </c>
      <c r="C10115" s="8" t="s">
        <v>4437</v>
      </c>
      <c r="D10115" s="8">
        <v>0</v>
      </c>
      <c r="E10115" s="8">
        <v>0</v>
      </c>
      <c r="F10115" s="8">
        <v>134</v>
      </c>
    </row>
    <row r="10116" spans="1:6" ht="12.75">
      <c r="A10116" s="8">
        <v>43900.361666666664</v>
      </c>
      <c r="B10116" s="8" t="str">
        <f>HYPERLINK("https://twitter.com/rahmat_aryad","@rahmat_aryad")</f>
        <v>@rahmat_aryad</v>
      </c>
      <c r="C10116" s="8" t="s">
        <v>4438</v>
      </c>
      <c r="D10116" s="8">
        <v>0</v>
      </c>
      <c r="E10116" s="8">
        <v>0</v>
      </c>
      <c r="F10116" s="8">
        <v>1</v>
      </c>
    </row>
    <row r="10117" spans="1:6" ht="12.75">
      <c r="A10117" s="8">
        <v>43900.361631944441</v>
      </c>
      <c r="B10117" s="8" t="str">
        <f>HYPERLINK("https://twitter.com/wongpegagan","@wongpegagan")</f>
        <v>@wongpegagan</v>
      </c>
      <c r="C10117" s="8" t="s">
        <v>318</v>
      </c>
      <c r="D10117" s="8">
        <v>171</v>
      </c>
      <c r="E10117" s="8">
        <v>0</v>
      </c>
      <c r="F10117" s="8">
        <v>22</v>
      </c>
    </row>
    <row r="10118" spans="1:6" ht="12.75">
      <c r="A10118" s="8">
        <v>43900.361585648148</v>
      </c>
      <c r="B10118" s="8" t="str">
        <f>HYPERLINK("https://twitter.com/897asy","@897asy")</f>
        <v>@897asy</v>
      </c>
      <c r="C10118" s="8" t="s">
        <v>318</v>
      </c>
      <c r="D10118" s="8">
        <v>171</v>
      </c>
      <c r="E10118" s="8">
        <v>0</v>
      </c>
      <c r="F10118" s="8">
        <v>322</v>
      </c>
    </row>
    <row r="10119" spans="1:6" ht="12.75">
      <c r="A10119" s="8">
        <v>43900.361446759256</v>
      </c>
      <c r="B10119" s="8" t="str">
        <f>HYPERLINK("https://twitter.com/prawirasubarjah","@prawirasubarjah")</f>
        <v>@prawirasubarjah</v>
      </c>
      <c r="C10119" s="8" t="s">
        <v>318</v>
      </c>
      <c r="D10119" s="8">
        <v>171</v>
      </c>
      <c r="E10119" s="8">
        <v>0</v>
      </c>
      <c r="F10119" s="8">
        <v>676</v>
      </c>
    </row>
    <row r="10120" spans="1:6" ht="12.75">
      <c r="A10120" s="8">
        <v>43900.36142361111</v>
      </c>
      <c r="B10120" s="8" t="str">
        <f>HYPERLINK("https://twitter.com/firmandamopoli","@firmandamopoli")</f>
        <v>@firmandamopoli</v>
      </c>
      <c r="C10120" s="8" t="s">
        <v>318</v>
      </c>
      <c r="D10120" s="8">
        <v>171</v>
      </c>
      <c r="E10120" s="8">
        <v>0</v>
      </c>
      <c r="F10120" s="8">
        <v>1402</v>
      </c>
    </row>
    <row r="10121" spans="1:6" ht="12.75">
      <c r="A10121" s="8">
        <v>43900.361134259263</v>
      </c>
      <c r="B10121" s="8" t="str">
        <f>HYPERLINK("https://twitter.com/Bayumaruti","@Bayumaruti")</f>
        <v>@Bayumaruti</v>
      </c>
      <c r="C10121" s="8" t="s">
        <v>318</v>
      </c>
      <c r="D10121" s="8">
        <v>171</v>
      </c>
      <c r="E10121" s="8">
        <v>0</v>
      </c>
      <c r="F10121" s="8">
        <v>341</v>
      </c>
    </row>
    <row r="10122" spans="1:6" ht="12.75">
      <c r="A10122" s="8">
        <v>43900.361076388886</v>
      </c>
      <c r="B10122" s="8" t="str">
        <f>HYPERLINK("https://twitter.com/AhmadYani340895","@AhmadYani340895")</f>
        <v>@AhmadYani340895</v>
      </c>
      <c r="C10122" s="8" t="s">
        <v>318</v>
      </c>
      <c r="D10122" s="8">
        <v>171</v>
      </c>
      <c r="E10122" s="8">
        <v>0</v>
      </c>
      <c r="F10122" s="8">
        <v>2027</v>
      </c>
    </row>
    <row r="10123" spans="1:6" ht="12.75">
      <c r="A10123" s="8">
        <v>43900.361018518517</v>
      </c>
      <c r="B10123" s="8" t="str">
        <f>HYPERLINK("https://twitter.com/OemarBakhrie","@OemarBakhrie")</f>
        <v>@OemarBakhrie</v>
      </c>
      <c r="C10123" s="8" t="s">
        <v>4365</v>
      </c>
      <c r="D10123" s="8">
        <v>41</v>
      </c>
      <c r="E10123" s="8">
        <v>0</v>
      </c>
      <c r="F10123" s="8">
        <v>338</v>
      </c>
    </row>
    <row r="10124" spans="1:6" ht="12.75">
      <c r="A10124" s="8">
        <v>43900.361018518517</v>
      </c>
      <c r="B10124" s="8" t="str">
        <f>HYPERLINK("https://twitter.com/airlanggakusum4","@airlanggakusum4")</f>
        <v>@airlanggakusum4</v>
      </c>
      <c r="C10124" s="8" t="s">
        <v>318</v>
      </c>
      <c r="D10124" s="8">
        <v>171</v>
      </c>
      <c r="E10124" s="8">
        <v>0</v>
      </c>
      <c r="F10124" s="8">
        <v>783</v>
      </c>
    </row>
    <row r="10125" spans="1:6" ht="12.75">
      <c r="A10125" s="8">
        <v>43900.360914351855</v>
      </c>
      <c r="B10125" s="8" t="str">
        <f>HYPERLINK("https://twitter.com/zuriswanfajri","@zuriswanfajri")</f>
        <v>@zuriswanfajri</v>
      </c>
      <c r="C10125" s="8" t="s">
        <v>4251</v>
      </c>
      <c r="D10125" s="8">
        <v>6</v>
      </c>
      <c r="E10125" s="8">
        <v>0</v>
      </c>
      <c r="F10125" s="8">
        <v>4482</v>
      </c>
    </row>
    <row r="10126" spans="1:6" ht="12.75">
      <c r="A10126" s="8">
        <v>43900.34002314815</v>
      </c>
      <c r="B10126" s="8" t="str">
        <f>HYPERLINK("https://twitter.com/BudiNafa","@BudiNafa")</f>
        <v>@BudiNafa</v>
      </c>
      <c r="C10126" s="8" t="s">
        <v>318</v>
      </c>
      <c r="D10126" s="8">
        <v>98</v>
      </c>
      <c r="E10126" s="8">
        <v>0</v>
      </c>
      <c r="F10126" s="8">
        <v>221</v>
      </c>
    </row>
    <row r="10127" spans="1:6" ht="12.75">
      <c r="A10127" s="8">
        <v>43900.339814814812</v>
      </c>
      <c r="B10127" s="8" t="str">
        <f>HYPERLINK("https://twitter.com/Derridaisme","@Derridaisme")</f>
        <v>@Derridaisme</v>
      </c>
      <c r="C10127" s="8" t="s">
        <v>4439</v>
      </c>
      <c r="D10127" s="8">
        <v>6</v>
      </c>
      <c r="E10127" s="8">
        <v>0</v>
      </c>
      <c r="F10127" s="8">
        <v>408</v>
      </c>
    </row>
    <row r="10128" spans="1:6" ht="12.75">
      <c r="A10128" s="8">
        <v>43900.339571759258</v>
      </c>
      <c r="B10128" s="8" t="str">
        <f>HYPERLINK("https://twitter.com/ConversationIDN","@ConversationIDN")</f>
        <v>@ConversationIDN</v>
      </c>
      <c r="C10128" s="8" t="s">
        <v>4439</v>
      </c>
      <c r="D10128" s="8">
        <v>6</v>
      </c>
      <c r="E10128" s="8">
        <v>0</v>
      </c>
      <c r="F10128" s="8">
        <v>20838</v>
      </c>
    </row>
    <row r="10129" spans="1:6" ht="12.75">
      <c r="A10129" s="8">
        <v>43900.339409722219</v>
      </c>
      <c r="B10129" s="8" t="str">
        <f>HYPERLINK("https://twitter.com/Kura2T","@Kura2T")</f>
        <v>@Kura2T</v>
      </c>
      <c r="C10129" s="8" t="s">
        <v>318</v>
      </c>
      <c r="D10129" s="8">
        <v>98</v>
      </c>
      <c r="E10129" s="8">
        <v>0</v>
      </c>
      <c r="F10129" s="8">
        <v>4</v>
      </c>
    </row>
    <row r="10130" spans="1:6" ht="12.75">
      <c r="A10130" s="8">
        <v>43900.33861111111</v>
      </c>
      <c r="B10130" s="8" t="str">
        <f>HYPERLINK("https://twitter.com/inthanlubis","@inthanlubis")</f>
        <v>@inthanlubis</v>
      </c>
      <c r="C10130" s="8" t="s">
        <v>318</v>
      </c>
      <c r="D10130" s="8">
        <v>98</v>
      </c>
      <c r="E10130" s="8">
        <v>0</v>
      </c>
      <c r="F10130" s="8">
        <v>892</v>
      </c>
    </row>
    <row r="10131" spans="1:6" ht="12.75">
      <c r="A10131" s="8">
        <v>43900.338495370372</v>
      </c>
      <c r="B10131" s="8" t="str">
        <f>HYPERLINK("https://twitter.com/SlametSt75","@SlametSt75")</f>
        <v>@SlametSt75</v>
      </c>
      <c r="C10131" s="8" t="s">
        <v>318</v>
      </c>
      <c r="D10131" s="8">
        <v>98</v>
      </c>
      <c r="E10131" s="8">
        <v>0</v>
      </c>
      <c r="F10131" s="8">
        <v>47</v>
      </c>
    </row>
    <row r="10132" spans="1:6" ht="12.75">
      <c r="A10132" s="8">
        <v>43900.338136574079</v>
      </c>
      <c r="B10132" s="8" t="str">
        <f>HYPERLINK("https://twitter.com/AbSabRana","@AbSabRana")</f>
        <v>@AbSabRana</v>
      </c>
      <c r="C10132" s="8" t="s">
        <v>4440</v>
      </c>
      <c r="D10132" s="8">
        <v>1</v>
      </c>
      <c r="E10132" s="8">
        <v>0</v>
      </c>
      <c r="F10132" s="8">
        <v>774</v>
      </c>
    </row>
    <row r="10133" spans="1:6" ht="12.75">
      <c r="A10133" s="8">
        <v>43900.337800925925</v>
      </c>
      <c r="B10133" s="8" t="str">
        <f>HYPERLINK("https://twitter.com/ElshintaDotcom","@ElshintaDotcom")</f>
        <v>@ElshintaDotcom</v>
      </c>
      <c r="C10133" s="8" t="s">
        <v>4441</v>
      </c>
      <c r="D10133" s="8">
        <v>0</v>
      </c>
      <c r="E10133" s="8">
        <v>0</v>
      </c>
      <c r="F10133" s="8">
        <v>27954</v>
      </c>
    </row>
    <row r="10134" spans="1:6" ht="12.75">
      <c r="A10134" s="8">
        <v>43900.33766203704</v>
      </c>
      <c r="B10134" s="8" t="str">
        <f>HYPERLINK("https://twitter.com/cici_1945","@cici_1945")</f>
        <v>@cici_1945</v>
      </c>
      <c r="C10134" s="8" t="s">
        <v>318</v>
      </c>
      <c r="D10134" s="8">
        <v>98</v>
      </c>
      <c r="E10134" s="8">
        <v>0</v>
      </c>
      <c r="F10134" s="8">
        <v>406</v>
      </c>
    </row>
    <row r="10135" spans="1:6" ht="12.75">
      <c r="A10135" s="8">
        <v>43900.337118055555</v>
      </c>
      <c r="B10135" s="8" t="str">
        <f>HYPERLINK("https://twitter.com/VishalPandit126","@VishalPandit126")</f>
        <v>@VishalPandit126</v>
      </c>
      <c r="C10135" s="8" t="s">
        <v>1957</v>
      </c>
      <c r="D10135" s="8">
        <v>1395</v>
      </c>
      <c r="E10135" s="8">
        <v>0</v>
      </c>
      <c r="F10135" s="8">
        <v>10</v>
      </c>
    </row>
    <row r="10136" spans="1:6" ht="12.75">
      <c r="A10136" s="8">
        <v>43900.337060185186</v>
      </c>
      <c r="B10136" s="8" t="str">
        <f>HYPERLINK("https://twitter.com/Uncle_ukan","@Uncle_ukan")</f>
        <v>@Uncle_ukan</v>
      </c>
      <c r="C10136" s="8" t="s">
        <v>318</v>
      </c>
      <c r="D10136" s="8">
        <v>98</v>
      </c>
      <c r="E10136" s="8">
        <v>0</v>
      </c>
      <c r="F10136" s="8">
        <v>1149</v>
      </c>
    </row>
    <row r="10137" spans="1:6" ht="12.75">
      <c r="A10137" s="8">
        <v>43900.336967592593</v>
      </c>
      <c r="B10137" s="8" t="str">
        <f>HYPERLINK("https://twitter.com/BorobudurNews_","@BorobudurNews_")</f>
        <v>@BorobudurNews_</v>
      </c>
      <c r="C10137" s="8" t="s">
        <v>4442</v>
      </c>
      <c r="D10137" s="8">
        <v>0</v>
      </c>
      <c r="E10137" s="8">
        <v>0</v>
      </c>
      <c r="F10137" s="8">
        <v>3031</v>
      </c>
    </row>
    <row r="10138" spans="1:6" ht="12.75">
      <c r="A10138" s="8">
        <v>43900.336111111115</v>
      </c>
      <c r="B10138" s="8" t="str">
        <f>HYPERLINK("https://twitter.com/profanitties","@profanitties")</f>
        <v>@profanitties</v>
      </c>
      <c r="C10138" s="8" t="s">
        <v>4377</v>
      </c>
      <c r="D10138" s="8">
        <v>19</v>
      </c>
      <c r="E10138" s="8">
        <v>0</v>
      </c>
      <c r="F10138" s="8">
        <v>107</v>
      </c>
    </row>
    <row r="10139" spans="1:6" ht="12.75">
      <c r="A10139" s="8">
        <v>43900.336087962962</v>
      </c>
      <c r="B10139" s="8" t="str">
        <f>HYPERLINK("https://twitter.com/majalahSM","@majalahSM")</f>
        <v>@majalahSM</v>
      </c>
      <c r="C10139" s="8" t="s">
        <v>4443</v>
      </c>
      <c r="D10139" s="8">
        <v>0</v>
      </c>
      <c r="E10139" s="8">
        <v>0</v>
      </c>
      <c r="F10139" s="8">
        <v>20511</v>
      </c>
    </row>
    <row r="10140" spans="1:6" ht="12.75">
      <c r="A10140" s="8">
        <v>43900.336006944446</v>
      </c>
      <c r="B10140" s="8" t="str">
        <f>HYPERLINK("https://twitter.com/Cintakemala","@Cintakemala")</f>
        <v>@Cintakemala</v>
      </c>
      <c r="C10140" s="8" t="s">
        <v>4444</v>
      </c>
      <c r="D10140" s="8">
        <v>4</v>
      </c>
      <c r="E10140" s="8">
        <v>0</v>
      </c>
      <c r="F10140" s="8">
        <v>126</v>
      </c>
    </row>
    <row r="10141" spans="1:6" ht="12.75">
      <c r="A10141" s="8">
        <v>43900.335868055554</v>
      </c>
      <c r="B10141" s="8" t="str">
        <f>HYPERLINK("https://twitter.com/Fikrye_hidayat","@Fikrye_hidayat")</f>
        <v>@Fikrye_hidayat</v>
      </c>
      <c r="C10141" s="8" t="s">
        <v>318</v>
      </c>
      <c r="D10141" s="8">
        <v>98</v>
      </c>
      <c r="E10141" s="8">
        <v>0</v>
      </c>
      <c r="F10141" s="8">
        <v>263</v>
      </c>
    </row>
    <row r="10142" spans="1:6" ht="12.75">
      <c r="A10142" s="8">
        <v>43900.335833333331</v>
      </c>
      <c r="B10142" s="8" t="str">
        <f>HYPERLINK("https://twitter.com/NagaoSantiago","@NagaoSantiago")</f>
        <v>@NagaoSantiago</v>
      </c>
      <c r="C10142" s="8" t="s">
        <v>4445</v>
      </c>
      <c r="D10142" s="8">
        <v>0</v>
      </c>
      <c r="E10142" s="8">
        <v>0</v>
      </c>
      <c r="F10142" s="8">
        <v>2747</v>
      </c>
    </row>
    <row r="10143" spans="1:6" ht="12.75">
      <c r="A10143" s="8">
        <v>43900.335810185185</v>
      </c>
      <c r="B10143" s="8" t="str">
        <f>HYPERLINK("https://twitter.com/mediaindonesia","@mediaindonesia")</f>
        <v>@mediaindonesia</v>
      </c>
      <c r="C10143" s="8" t="s">
        <v>4446</v>
      </c>
      <c r="D10143" s="8">
        <v>0</v>
      </c>
      <c r="E10143" s="8">
        <v>2</v>
      </c>
      <c r="F10143" s="8">
        <v>1420830</v>
      </c>
    </row>
    <row r="10144" spans="1:6" ht="12.75">
      <c r="A10144" s="8">
        <v>43900.335775462961</v>
      </c>
      <c r="B10144" s="8" t="str">
        <f>HYPERLINK("https://twitter.com/KenKenanta","@KenKenanta")</f>
        <v>@KenKenanta</v>
      </c>
      <c r="C10144" s="8" t="s">
        <v>318</v>
      </c>
      <c r="D10144" s="8">
        <v>98</v>
      </c>
      <c r="E10144" s="8">
        <v>0</v>
      </c>
      <c r="F10144" s="8">
        <v>199</v>
      </c>
    </row>
    <row r="10145" spans="1:6" ht="12.75">
      <c r="A10145" s="8">
        <v>43900.335694444446</v>
      </c>
      <c r="B10145" s="8" t="str">
        <f>HYPERLINK("https://twitter.com/Sparkusland","@Sparkusland")</f>
        <v>@Sparkusland</v>
      </c>
      <c r="C10145" s="8" t="s">
        <v>1957</v>
      </c>
      <c r="D10145" s="8">
        <v>1395</v>
      </c>
      <c r="E10145" s="8">
        <v>0</v>
      </c>
      <c r="F10145" s="8">
        <v>97</v>
      </c>
    </row>
    <row r="10146" spans="1:6" ht="12.75">
      <c r="A10146" s="8">
        <v>43900.335092592592</v>
      </c>
      <c r="B10146" s="8" t="str">
        <f>HYPERLINK("https://twitter.com/BillTemporo","@BillTemporo")</f>
        <v>@BillTemporo</v>
      </c>
      <c r="C10146" s="8" t="s">
        <v>355</v>
      </c>
      <c r="D10146" s="8">
        <v>0</v>
      </c>
      <c r="E10146" s="8">
        <v>0</v>
      </c>
      <c r="F10146" s="8">
        <v>11</v>
      </c>
    </row>
    <row r="10147" spans="1:6" ht="12.75">
      <c r="A10147" s="8">
        <v>43900.335046296299</v>
      </c>
      <c r="B10147" s="8" t="str">
        <f>HYPERLINK("https://twitter.com/AnakLeuweng","@AnakLeuweng")</f>
        <v>@AnakLeuweng</v>
      </c>
      <c r="C10147" s="8" t="s">
        <v>318</v>
      </c>
      <c r="D10147" s="8">
        <v>98</v>
      </c>
      <c r="E10147" s="8">
        <v>0</v>
      </c>
      <c r="F10147" s="8">
        <v>568</v>
      </c>
    </row>
    <row r="10148" spans="1:6" ht="12.75">
      <c r="A10148" s="8">
        <v>43900.334803240738</v>
      </c>
      <c r="B10148" s="8" t="str">
        <f>HYPERLINK("https://twitter.com/Bang_N_E_O","@Bang_N_E_O")</f>
        <v>@Bang_N_E_O</v>
      </c>
      <c r="C10148" s="8" t="s">
        <v>4251</v>
      </c>
      <c r="D10148" s="8">
        <v>4</v>
      </c>
      <c r="E10148" s="8">
        <v>0</v>
      </c>
      <c r="F10148" s="8">
        <v>3746</v>
      </c>
    </row>
    <row r="10149" spans="1:6" ht="12.75">
      <c r="A10149" s="8">
        <v>43900.334652777776</v>
      </c>
      <c r="B10149" s="8" t="str">
        <f>HYPERLINK("https://twitter.com/IyoeNew","@IyoeNew")</f>
        <v>@IyoeNew</v>
      </c>
      <c r="C10149" s="8" t="s">
        <v>318</v>
      </c>
      <c r="D10149" s="8">
        <v>98</v>
      </c>
      <c r="E10149" s="8">
        <v>0</v>
      </c>
      <c r="F10149" s="8">
        <v>85</v>
      </c>
    </row>
    <row r="10150" spans="1:6" ht="12.75">
      <c r="A10150" s="8">
        <v>43900.334490740745</v>
      </c>
      <c r="B10150" s="8" t="str">
        <f>HYPERLINK("https://twitter.com/indrajam","@indrajam")</f>
        <v>@indrajam</v>
      </c>
      <c r="C10150" s="8" t="s">
        <v>318</v>
      </c>
      <c r="D10150" s="8">
        <v>98</v>
      </c>
      <c r="E10150" s="8">
        <v>0</v>
      </c>
      <c r="F10150" s="8">
        <v>422</v>
      </c>
    </row>
    <row r="10151" spans="1:6" ht="12.75">
      <c r="A10151" s="8">
        <v>43900.334340277783</v>
      </c>
      <c r="B10151" s="8" t="str">
        <f>HYPERLINK("https://twitter.com/katatodaycom","@katatodaycom")</f>
        <v>@katatodaycom</v>
      </c>
      <c r="C10151" s="8" t="s">
        <v>4447</v>
      </c>
      <c r="D10151" s="8">
        <v>0</v>
      </c>
      <c r="E10151" s="8">
        <v>0</v>
      </c>
      <c r="F10151" s="8">
        <v>1306</v>
      </c>
    </row>
    <row r="10152" spans="1:6" ht="12.75">
      <c r="A10152" s="8">
        <v>43900.334178240737</v>
      </c>
      <c r="B10152" s="8" t="str">
        <f>HYPERLINK("https://twitter.com/zakkimdfr","@zakkimdfr")</f>
        <v>@zakkimdfr</v>
      </c>
      <c r="C10152" s="8" t="s">
        <v>318</v>
      </c>
      <c r="D10152" s="8">
        <v>98</v>
      </c>
      <c r="E10152" s="8">
        <v>0</v>
      </c>
      <c r="F10152" s="8">
        <v>170</v>
      </c>
    </row>
    <row r="10153" spans="1:6" ht="12.75">
      <c r="A10153" s="8">
        <v>43900.333900462967</v>
      </c>
      <c r="B10153" s="8" t="str">
        <f>HYPERLINK("https://twitter.com/jekgarbi","@jekgarbi")</f>
        <v>@jekgarbi</v>
      </c>
      <c r="C10153" s="8" t="s">
        <v>4448</v>
      </c>
      <c r="D10153" s="8">
        <v>0</v>
      </c>
      <c r="E10153" s="8">
        <v>0</v>
      </c>
      <c r="F10153" s="8">
        <v>159</v>
      </c>
    </row>
    <row r="10154" spans="1:6" ht="12.75">
      <c r="A10154" s="8">
        <v>43900.333344907413</v>
      </c>
      <c r="B10154" s="8" t="str">
        <f>HYPERLINK("https://twitter.com/depodIGHIN","@depodIGHIN")</f>
        <v>@depodIGHIN</v>
      </c>
      <c r="C10154" s="8" t="s">
        <v>4365</v>
      </c>
      <c r="D10154" s="8">
        <v>30</v>
      </c>
      <c r="E10154" s="8">
        <v>0</v>
      </c>
      <c r="F10154" s="8">
        <v>1254</v>
      </c>
    </row>
    <row r="10155" spans="1:6" ht="12.75">
      <c r="A10155" s="8">
        <v>43900.33321759259</v>
      </c>
      <c r="B10155" s="8" t="str">
        <f>HYPERLINK("https://twitter.com/tasya_4black","@tasya_4black")</f>
        <v>@tasya_4black</v>
      </c>
      <c r="C10155" s="8" t="s">
        <v>4449</v>
      </c>
      <c r="D10155" s="8">
        <v>4</v>
      </c>
      <c r="E10155" s="8">
        <v>0</v>
      </c>
      <c r="F10155" s="8">
        <v>99</v>
      </c>
    </row>
    <row r="10156" spans="1:6" ht="12.75">
      <c r="A10156" s="8">
        <v>43900.333113425921</v>
      </c>
      <c r="B10156" s="8" t="str">
        <f>HYPERLINK("https://twitter.com/sanjaysubramnym","@sanjaysubramnym")</f>
        <v>@sanjaysubramnym</v>
      </c>
      <c r="C10156" s="8" t="s">
        <v>1808</v>
      </c>
      <c r="D10156" s="8">
        <v>809</v>
      </c>
      <c r="E10156" s="8">
        <v>0</v>
      </c>
      <c r="F10156" s="8">
        <v>163</v>
      </c>
    </row>
    <row r="10157" spans="1:6" ht="12.75">
      <c r="A10157" s="8">
        <v>43900.332962962959</v>
      </c>
      <c r="B10157" s="8" t="str">
        <f>HYPERLINK("https://twitter.com/tasya_4black","@tasya_4black")</f>
        <v>@tasya_4black</v>
      </c>
      <c r="C10157" s="8" t="s">
        <v>4450</v>
      </c>
      <c r="D10157" s="8">
        <v>3</v>
      </c>
      <c r="E10157" s="8">
        <v>0</v>
      </c>
      <c r="F10157" s="8">
        <v>99</v>
      </c>
    </row>
    <row r="10158" spans="1:6" ht="12.75">
      <c r="A10158" s="8">
        <v>43900.331469907411</v>
      </c>
      <c r="B10158" s="8" t="str">
        <f>HYPERLINK("https://twitter.com/BanuAstaman","@BanuAstaman")</f>
        <v>@BanuAstaman</v>
      </c>
      <c r="C10158" s="8" t="s">
        <v>3168</v>
      </c>
      <c r="D10158" s="8">
        <v>61</v>
      </c>
      <c r="E10158" s="8">
        <v>0</v>
      </c>
      <c r="F10158" s="8">
        <v>429</v>
      </c>
    </row>
    <row r="10159" spans="1:6" ht="12.75">
      <c r="A10159" s="8">
        <v>43900.331423611111</v>
      </c>
      <c r="B10159" s="8" t="str">
        <f>HYPERLINK("https://twitter.com/azoel_together","@azoel_together")</f>
        <v>@azoel_together</v>
      </c>
      <c r="C10159" s="8" t="s">
        <v>318</v>
      </c>
      <c r="D10159" s="8">
        <v>98</v>
      </c>
      <c r="E10159" s="8">
        <v>0</v>
      </c>
      <c r="F10159" s="8">
        <v>465</v>
      </c>
    </row>
    <row r="10160" spans="1:6" ht="12.75">
      <c r="A10160" s="8">
        <v>43900.331307870365</v>
      </c>
      <c r="B10160" s="8" t="str">
        <f>HYPERLINK("https://twitter.com/tommyandro01","@tommyandro01")</f>
        <v>@tommyandro01</v>
      </c>
      <c r="C10160" s="8" t="s">
        <v>4451</v>
      </c>
      <c r="D10160" s="8">
        <v>0</v>
      </c>
      <c r="E10160" s="8">
        <v>0</v>
      </c>
      <c r="F10160" s="8">
        <v>3</v>
      </c>
    </row>
    <row r="10161" spans="1:6" ht="12.75">
      <c r="A10161" s="8">
        <v>43900.331296296295</v>
      </c>
      <c r="B10161" s="8" t="str">
        <f>HYPERLINK("https://twitter.com/dhe_end0512","@dhe_end0512")</f>
        <v>@dhe_end0512</v>
      </c>
      <c r="C10161" s="8" t="s">
        <v>3262</v>
      </c>
      <c r="D10161" s="8">
        <v>233</v>
      </c>
      <c r="E10161" s="8">
        <v>0</v>
      </c>
      <c r="F10161" s="8">
        <v>27</v>
      </c>
    </row>
    <row r="10162" spans="1:6" ht="12.75">
      <c r="A10162" s="8">
        <v>43900.331192129626</v>
      </c>
      <c r="B10162" s="8" t="str">
        <f>HYPERLINK("https://twitter.com/amelia_ch90","@amelia_ch90")</f>
        <v>@amelia_ch90</v>
      </c>
      <c r="C10162" s="8" t="s">
        <v>318</v>
      </c>
      <c r="D10162" s="8">
        <v>98</v>
      </c>
      <c r="E10162" s="8">
        <v>0</v>
      </c>
      <c r="F10162" s="8">
        <v>204</v>
      </c>
    </row>
    <row r="10163" spans="1:6" ht="12.75">
      <c r="A10163" s="8">
        <v>43900.330752314811</v>
      </c>
      <c r="B10163" s="8" t="str">
        <f>HYPERLINK("https://twitter.com/Isis_boo310","@Isis_boo310")</f>
        <v>@Isis_boo310</v>
      </c>
      <c r="C10163" s="8" t="s">
        <v>4452</v>
      </c>
      <c r="D10163" s="8">
        <v>0</v>
      </c>
      <c r="E10163" s="8">
        <v>0</v>
      </c>
      <c r="F10163" s="8">
        <v>181</v>
      </c>
    </row>
    <row r="10164" spans="1:6" ht="12.75">
      <c r="A10164" s="8">
        <v>43900.330324074079</v>
      </c>
      <c r="B10164" s="8" t="str">
        <f>HYPERLINK("https://twitter.com/dedirahimuddin","@dedirahimuddin")</f>
        <v>@dedirahimuddin</v>
      </c>
      <c r="C10164" s="8" t="s">
        <v>318</v>
      </c>
      <c r="D10164" s="8">
        <v>98</v>
      </c>
      <c r="E10164" s="8">
        <v>0</v>
      </c>
      <c r="F10164" s="8">
        <v>546</v>
      </c>
    </row>
    <row r="10165" spans="1:6" ht="12.75">
      <c r="A10165" s="8">
        <v>43900.329988425925</v>
      </c>
      <c r="B10165" s="8" t="str">
        <f>HYPERLINK("https://twitter.com/kafara666","@kafara666")</f>
        <v>@kafara666</v>
      </c>
      <c r="C10165" s="8" t="s">
        <v>318</v>
      </c>
      <c r="D10165" s="8">
        <v>98</v>
      </c>
      <c r="E10165" s="8">
        <v>0</v>
      </c>
      <c r="F10165" s="8">
        <v>85</v>
      </c>
    </row>
    <row r="10166" spans="1:6" ht="12.75">
      <c r="A10166" s="8">
        <v>43900.329710648148</v>
      </c>
      <c r="B10166" s="8" t="str">
        <f>HYPERLINK("https://twitter.com/ipongadi1976","@ipongadi1976")</f>
        <v>@ipongadi1976</v>
      </c>
      <c r="C10166" s="8" t="s">
        <v>4365</v>
      </c>
      <c r="D10166" s="8">
        <v>30</v>
      </c>
      <c r="E10166" s="8">
        <v>0</v>
      </c>
      <c r="F10166" s="8">
        <v>138</v>
      </c>
    </row>
    <row r="10167" spans="1:6" ht="12.75">
      <c r="A10167" s="8">
        <v>43900.329224537039</v>
      </c>
      <c r="B10167" s="8" t="str">
        <f>HYPERLINK("https://twitter.com/NandarSupriatn7","@NandarSupriatn7")</f>
        <v>@NandarSupriatn7</v>
      </c>
      <c r="C10167" s="8" t="s">
        <v>3126</v>
      </c>
      <c r="D10167" s="8">
        <v>308</v>
      </c>
      <c r="E10167" s="8">
        <v>0</v>
      </c>
      <c r="F10167" s="8">
        <v>310</v>
      </c>
    </row>
    <row r="10168" spans="1:6" ht="12.75">
      <c r="A10168" s="8">
        <v>43900.328958333332</v>
      </c>
      <c r="B10168" s="8" t="str">
        <f>HYPERLINK("https://twitter.com/nemidle2","@nemidle2")</f>
        <v>@nemidle2</v>
      </c>
      <c r="C10168" s="8" t="s">
        <v>318</v>
      </c>
      <c r="D10168" s="8">
        <v>98</v>
      </c>
      <c r="E10168" s="8">
        <v>0</v>
      </c>
      <c r="F10168" s="8">
        <v>42</v>
      </c>
    </row>
    <row r="10169" spans="1:6" ht="12.75">
      <c r="A10169" s="8">
        <v>43900.328680555554</v>
      </c>
      <c r="B10169" s="8" t="str">
        <f>HYPERLINK("https://twitter.com/kuninggemilang","@kuninggemilang")</f>
        <v>@kuninggemilang</v>
      </c>
      <c r="C10169" s="8" t="s">
        <v>4453</v>
      </c>
      <c r="D10169" s="8">
        <v>0</v>
      </c>
      <c r="E10169" s="8">
        <v>0</v>
      </c>
      <c r="F10169" s="8">
        <v>3903</v>
      </c>
    </row>
    <row r="10170" spans="1:6" ht="12.75">
      <c r="A10170" s="8">
        <v>43900.328645833331</v>
      </c>
      <c r="B10170" s="8" t="str">
        <f>HYPERLINK("https://twitter.com/seniazka","@seniazka")</f>
        <v>@seniazka</v>
      </c>
      <c r="C10170" s="8" t="s">
        <v>4454</v>
      </c>
      <c r="D10170" s="8">
        <v>16</v>
      </c>
      <c r="E10170" s="8">
        <v>0</v>
      </c>
      <c r="F10170" s="8">
        <v>221</v>
      </c>
    </row>
    <row r="10171" spans="1:6" ht="12.75">
      <c r="A10171" s="8">
        <v>43900.328599537039</v>
      </c>
      <c r="B10171" s="8" t="str">
        <f>HYPERLINK("https://twitter.com/khadijah3019","@khadijah3019")</f>
        <v>@khadijah3019</v>
      </c>
      <c r="C10171" s="8" t="s">
        <v>318</v>
      </c>
      <c r="D10171" s="8">
        <v>98</v>
      </c>
      <c r="E10171" s="8">
        <v>0</v>
      </c>
      <c r="F10171" s="8">
        <v>935</v>
      </c>
    </row>
    <row r="10172" spans="1:6" ht="12.75">
      <c r="A10172" s="8">
        <v>43900.328402777777</v>
      </c>
      <c r="B10172" s="8" t="str">
        <f>HYPERLINK("https://twitter.com/NagaCuan","@NagaCuan")</f>
        <v>@NagaCuan</v>
      </c>
      <c r="C10172" s="8" t="s">
        <v>4455</v>
      </c>
      <c r="D10172" s="8">
        <v>0</v>
      </c>
      <c r="E10172" s="8">
        <v>0</v>
      </c>
      <c r="F10172" s="8">
        <v>3</v>
      </c>
    </row>
    <row r="10173" spans="1:6" ht="12.75">
      <c r="A10173" s="8">
        <v>43900.328125</v>
      </c>
      <c r="B10173" s="8" t="str">
        <f>HYPERLINK("https://twitter.com/besnaitsabes","@besnaitsabes")</f>
        <v>@besnaitsabes</v>
      </c>
      <c r="C10173" s="8" t="s">
        <v>4365</v>
      </c>
      <c r="D10173" s="8">
        <v>30</v>
      </c>
      <c r="E10173" s="8">
        <v>0</v>
      </c>
      <c r="F10173" s="8">
        <v>466</v>
      </c>
    </row>
    <row r="10174" spans="1:6" ht="12.75">
      <c r="A10174" s="8">
        <v>43900.327916666662</v>
      </c>
      <c r="B10174" s="8" t="str">
        <f>HYPERLINK("https://twitter.com/winhansa","@winhansa")</f>
        <v>@winhansa</v>
      </c>
      <c r="C10174" s="8" t="s">
        <v>318</v>
      </c>
      <c r="D10174" s="8">
        <v>98</v>
      </c>
      <c r="E10174" s="8">
        <v>0</v>
      </c>
      <c r="F10174" s="8">
        <v>45</v>
      </c>
    </row>
    <row r="10175" spans="1:6" ht="12.75">
      <c r="A10175" s="8">
        <v>43900.327881944446</v>
      </c>
      <c r="B10175" s="8" t="str">
        <f>HYPERLINK("https://twitter.com/alfarizi_rafi","@alfarizi_rafi")</f>
        <v>@alfarizi_rafi</v>
      </c>
      <c r="C10175" s="8" t="s">
        <v>318</v>
      </c>
      <c r="D10175" s="8">
        <v>98</v>
      </c>
      <c r="E10175" s="8">
        <v>0</v>
      </c>
      <c r="F10175" s="8">
        <v>419</v>
      </c>
    </row>
    <row r="10176" spans="1:6" ht="12.75">
      <c r="A10176" s="8">
        <v>43900.327187499999</v>
      </c>
      <c r="B10176" s="8" t="str">
        <f>HYPERLINK("https://twitter.com/integrity160171","@integrity160171")</f>
        <v>@integrity160171</v>
      </c>
      <c r="C10176" s="8" t="s">
        <v>3126</v>
      </c>
      <c r="D10176" s="8">
        <v>308</v>
      </c>
      <c r="E10176" s="8">
        <v>0</v>
      </c>
      <c r="F10176" s="8">
        <v>499</v>
      </c>
    </row>
    <row r="10177" spans="1:6" ht="12.75">
      <c r="A10177" s="8">
        <v>43900.326956018514</v>
      </c>
      <c r="B10177" s="8" t="str">
        <f>HYPERLINK("https://twitter.com/Iam_Sudarshann","@Iam_Sudarshann")</f>
        <v>@Iam_Sudarshann</v>
      </c>
      <c r="C10177" s="8" t="s">
        <v>1957</v>
      </c>
      <c r="D10177" s="8">
        <v>1395</v>
      </c>
      <c r="E10177" s="8">
        <v>0</v>
      </c>
      <c r="F10177" s="8">
        <v>590</v>
      </c>
    </row>
    <row r="10178" spans="1:6" ht="12.75">
      <c r="A10178" s="8">
        <v>43900.326898148152</v>
      </c>
      <c r="B10178" s="8" t="str">
        <f>HYPERLINK("https://twitter.com/publicanews","@publicanews")</f>
        <v>@publicanews</v>
      </c>
      <c r="C10178" s="8" t="s">
        <v>2618</v>
      </c>
      <c r="D10178" s="8">
        <v>0</v>
      </c>
      <c r="E10178" s="8">
        <v>0</v>
      </c>
      <c r="F10178" s="8">
        <v>157</v>
      </c>
    </row>
    <row r="10179" spans="1:6" ht="12.75">
      <c r="A10179" s="8">
        <v>43900.326481481483</v>
      </c>
      <c r="B10179" s="8" t="str">
        <f>HYPERLINK("https://twitter.com/ibach77","@ibach77")</f>
        <v>@ibach77</v>
      </c>
      <c r="C10179" s="8" t="s">
        <v>3126</v>
      </c>
      <c r="D10179" s="8">
        <v>308</v>
      </c>
      <c r="E10179" s="8">
        <v>0</v>
      </c>
      <c r="F10179" s="8">
        <v>736</v>
      </c>
    </row>
    <row r="10180" spans="1:6" ht="12.75">
      <c r="A10180" s="8">
        <v>43900.326284722221</v>
      </c>
      <c r="B10180" s="8" t="str">
        <f>HYPERLINK("https://twitter.com/feelinpeachyou","@feelinpeachyou")</f>
        <v>@feelinpeachyou</v>
      </c>
      <c r="C10180" s="8" t="s">
        <v>3969</v>
      </c>
      <c r="D10180" s="8">
        <v>48</v>
      </c>
      <c r="E10180" s="8">
        <v>0</v>
      </c>
      <c r="F10180" s="8">
        <v>125</v>
      </c>
    </row>
    <row r="10181" spans="1:6" ht="12.75">
      <c r="A10181" s="8">
        <v>43900.325717592597</v>
      </c>
      <c r="B10181" s="8" t="str">
        <f>HYPERLINK("https://twitter.com/germantantra","@germantantra")</f>
        <v>@germantantra</v>
      </c>
      <c r="C10181" s="8" t="s">
        <v>4456</v>
      </c>
      <c r="D10181" s="8">
        <v>1</v>
      </c>
      <c r="E10181" s="8">
        <v>0</v>
      </c>
      <c r="F10181" s="8">
        <v>165</v>
      </c>
    </row>
    <row r="10182" spans="1:6" ht="12.75">
      <c r="A10182" s="8">
        <v>43900.32534722222</v>
      </c>
      <c r="B10182" s="8" t="str">
        <f>HYPERLINK("https://twitter.com/kd123459","@kd123459")</f>
        <v>@kd123459</v>
      </c>
      <c r="C10182" s="8" t="s">
        <v>1808</v>
      </c>
      <c r="D10182" s="8">
        <v>809</v>
      </c>
      <c r="E10182" s="8">
        <v>0</v>
      </c>
      <c r="F10182" s="8">
        <v>61</v>
      </c>
    </row>
    <row r="10183" spans="1:6" ht="12.75">
      <c r="A10183" s="8">
        <v>43900.325277777782</v>
      </c>
      <c r="B10183" s="8" t="str">
        <f>HYPERLINK("https://twitter.com/Ronggeng_Betawi","@Ronggeng_Betawi")</f>
        <v>@Ronggeng_Betawi</v>
      </c>
      <c r="C10183" s="8" t="s">
        <v>4457</v>
      </c>
      <c r="D10183" s="8">
        <v>0</v>
      </c>
      <c r="E10183" s="8">
        <v>0</v>
      </c>
      <c r="F10183" s="8">
        <v>1881</v>
      </c>
    </row>
    <row r="10184" spans="1:6" ht="12.75">
      <c r="A10184" s="8">
        <v>43900.325092592597</v>
      </c>
      <c r="B10184" s="8" t="str">
        <f>HYPERLINK("https://twitter.com/MtdSapei","@MtdSapei")</f>
        <v>@MtdSapei</v>
      </c>
      <c r="C10184" s="8" t="s">
        <v>4251</v>
      </c>
      <c r="D10184" s="8">
        <v>4</v>
      </c>
      <c r="E10184" s="8">
        <v>0</v>
      </c>
      <c r="F10184" s="8">
        <v>1575</v>
      </c>
    </row>
    <row r="10185" spans="1:6" ht="12.75">
      <c r="A10185" s="8">
        <v>43900.325046296297</v>
      </c>
      <c r="B10185" s="8" t="str">
        <f>HYPERLINK("https://twitter.com/kachoomar","@kachoomar")</f>
        <v>@kachoomar</v>
      </c>
      <c r="C10185" s="8" t="s">
        <v>1808</v>
      </c>
      <c r="D10185" s="8">
        <v>809</v>
      </c>
      <c r="E10185" s="8">
        <v>0</v>
      </c>
      <c r="F10185" s="8">
        <v>789</v>
      </c>
    </row>
    <row r="10186" spans="1:6" ht="12.75">
      <c r="A10186" s="8">
        <v>43900.324884259258</v>
      </c>
      <c r="B10186" s="8" t="str">
        <f>HYPERLINK("https://twitter.com/NagaCuan","@NagaCuan")</f>
        <v>@NagaCuan</v>
      </c>
      <c r="C10186" s="8" t="s">
        <v>4458</v>
      </c>
      <c r="D10186" s="8">
        <v>0</v>
      </c>
      <c r="E10186" s="8">
        <v>0</v>
      </c>
      <c r="F10186" s="8">
        <v>3</v>
      </c>
    </row>
    <row r="10187" spans="1:6" ht="12.75">
      <c r="A10187" s="8">
        <v>43900.324143518519</v>
      </c>
      <c r="B10187" s="8" t="str">
        <f>HYPERLINK("https://twitter.com/blackxsugaarr","@blackxsugaarr")</f>
        <v>@blackxsugaarr</v>
      </c>
      <c r="C10187" s="8" t="s">
        <v>4459</v>
      </c>
      <c r="D10187" s="8">
        <v>1</v>
      </c>
      <c r="E10187" s="8">
        <v>0</v>
      </c>
      <c r="F10187" s="8">
        <v>588</v>
      </c>
    </row>
    <row r="10188" spans="1:6" ht="12.75">
      <c r="A10188" s="8">
        <v>43900.324143518519</v>
      </c>
      <c r="B10188" s="8" t="str">
        <f>HYPERLINK("https://twitter.com/nanaanata","@nanaanata")</f>
        <v>@nanaanata</v>
      </c>
      <c r="C10188" s="8" t="s">
        <v>4460</v>
      </c>
      <c r="D10188" s="8">
        <v>0</v>
      </c>
      <c r="E10188" s="8">
        <v>0</v>
      </c>
      <c r="F10188" s="8">
        <v>261</v>
      </c>
    </row>
    <row r="10189" spans="1:6" ht="12.75">
      <c r="A10189" s="8">
        <v>43900.323969907404</v>
      </c>
      <c r="B10189" s="8" t="str">
        <f>HYPERLINK("https://twitter.com/yossy_ea","@yossy_ea")</f>
        <v>@yossy_ea</v>
      </c>
      <c r="C10189" s="8" t="s">
        <v>318</v>
      </c>
      <c r="D10189" s="8">
        <v>98</v>
      </c>
      <c r="E10189" s="8">
        <v>0</v>
      </c>
      <c r="F10189" s="8">
        <v>168</v>
      </c>
    </row>
    <row r="10190" spans="1:6" ht="12.75">
      <c r="A10190" s="8">
        <v>43900.323946759258</v>
      </c>
      <c r="B10190" s="8" t="str">
        <f>HYPERLINK("https://twitter.com/iz_wni","@iz_wni")</f>
        <v>@iz_wni</v>
      </c>
      <c r="C10190" s="8" t="s">
        <v>4461</v>
      </c>
      <c r="D10190" s="8">
        <v>2993</v>
      </c>
      <c r="E10190" s="8">
        <v>0</v>
      </c>
      <c r="F10190" s="8">
        <v>87</v>
      </c>
    </row>
    <row r="10191" spans="1:6" ht="12.75">
      <c r="A10191" s="8">
        <v>43900.323935185181</v>
      </c>
      <c r="B10191" s="8" t="str">
        <f>HYPERLINK("https://twitter.com/adechila","@adechila")</f>
        <v>@adechila</v>
      </c>
      <c r="C10191" s="8" t="s">
        <v>4122</v>
      </c>
      <c r="D10191" s="8">
        <v>12</v>
      </c>
      <c r="E10191" s="8">
        <v>0</v>
      </c>
      <c r="F10191" s="8">
        <v>350</v>
      </c>
    </row>
    <row r="10192" spans="1:6" ht="12.75">
      <c r="A10192" s="8">
        <v>43900.323819444442</v>
      </c>
      <c r="B10192" s="8" t="str">
        <f>HYPERLINK("https://twitter.com/KerongKerang","@KerongKerang")</f>
        <v>@KerongKerang</v>
      </c>
      <c r="C10192" s="8" t="s">
        <v>4462</v>
      </c>
      <c r="D10192" s="8">
        <v>0</v>
      </c>
      <c r="E10192" s="8">
        <v>0</v>
      </c>
      <c r="F10192" s="8">
        <v>124</v>
      </c>
    </row>
    <row r="10193" spans="1:6" ht="12.75">
      <c r="A10193" s="8">
        <v>43900.323738425926</v>
      </c>
      <c r="B10193" s="8" t="str">
        <f>HYPERLINK("https://twitter.com/Tandaseru_id","@Tandaseru_id")</f>
        <v>@Tandaseru_id</v>
      </c>
      <c r="C10193" s="8" t="s">
        <v>4401</v>
      </c>
      <c r="D10193" s="8">
        <v>0</v>
      </c>
      <c r="E10193" s="8">
        <v>0</v>
      </c>
      <c r="F10193" s="8">
        <v>538</v>
      </c>
    </row>
    <row r="10194" spans="1:6" ht="12.75">
      <c r="A10194" s="8">
        <v>43900.323715277773</v>
      </c>
      <c r="B10194" s="8" t="str">
        <f>HYPERLINK("https://twitter.com/Ramnath297","@Ramnath297")</f>
        <v>@Ramnath297</v>
      </c>
      <c r="C10194" s="8" t="s">
        <v>1957</v>
      </c>
      <c r="D10194" s="8">
        <v>1395</v>
      </c>
      <c r="E10194" s="8">
        <v>0</v>
      </c>
      <c r="F10194" s="8">
        <v>1830</v>
      </c>
    </row>
    <row r="10195" spans="1:6" ht="12.75">
      <c r="A10195" s="8">
        <v>43900.323645833334</v>
      </c>
      <c r="B10195" s="8" t="str">
        <f>HYPERLINK("https://twitter.com/Ferry92754797","@Ferry92754797")</f>
        <v>@Ferry92754797</v>
      </c>
      <c r="C10195" s="8" t="s">
        <v>4463</v>
      </c>
      <c r="D10195" s="8">
        <v>10</v>
      </c>
      <c r="E10195" s="8">
        <v>0</v>
      </c>
      <c r="F10195" s="8">
        <v>101</v>
      </c>
    </row>
    <row r="10196" spans="1:6" ht="12.75">
      <c r="A10196" s="8">
        <v>43900.323460648149</v>
      </c>
      <c r="B10196" s="8" t="str">
        <f>HYPERLINK("https://twitter.com/adjibaya","@adjibaya")</f>
        <v>@adjibaya</v>
      </c>
      <c r="C10196" s="8" t="s">
        <v>4290</v>
      </c>
      <c r="D10196" s="8">
        <v>20</v>
      </c>
      <c r="E10196" s="8">
        <v>0</v>
      </c>
      <c r="F10196" s="8">
        <v>5157</v>
      </c>
    </row>
    <row r="10197" spans="1:6" ht="12.75">
      <c r="A10197" s="8">
        <v>43900.323113425926</v>
      </c>
      <c r="B10197" s="8" t="str">
        <f>HYPERLINK("https://twitter.com/Habibecker","@Habibecker")</f>
        <v>@Habibecker</v>
      </c>
      <c r="C10197" s="8" t="s">
        <v>4464</v>
      </c>
      <c r="D10197" s="8">
        <v>0</v>
      </c>
      <c r="E10197" s="8">
        <v>0</v>
      </c>
      <c r="F10197" s="8">
        <v>2607</v>
      </c>
    </row>
    <row r="10198" spans="1:6" ht="12.75">
      <c r="A10198" s="8">
        <v>43900.322962962964</v>
      </c>
      <c r="B10198" s="8" t="str">
        <f>HYPERLINK("https://twitter.com/peepal59","@peepal59")</f>
        <v>@peepal59</v>
      </c>
      <c r="C10198" s="8" t="s">
        <v>1957</v>
      </c>
      <c r="D10198" s="8">
        <v>1395</v>
      </c>
      <c r="E10198" s="8">
        <v>0</v>
      </c>
      <c r="F10198" s="8">
        <v>874</v>
      </c>
    </row>
    <row r="10199" spans="1:6" ht="12.75">
      <c r="A10199" s="8">
        <v>43900.322789351849</v>
      </c>
      <c r="B10199" s="8" t="str">
        <f>HYPERLINK("https://twitter.com/tusinojapan","@tusinojapan")</f>
        <v>@tusinojapan</v>
      </c>
      <c r="C10199" s="8" t="s">
        <v>318</v>
      </c>
      <c r="D10199" s="8">
        <v>98</v>
      </c>
      <c r="E10199" s="8">
        <v>0</v>
      </c>
      <c r="F10199" s="8">
        <v>2184</v>
      </c>
    </row>
    <row r="10200" spans="1:6" ht="12.75">
      <c r="A10200" s="8">
        <v>43900.322615740741</v>
      </c>
      <c r="B10200" s="8" t="str">
        <f>HYPERLINK("https://twitter.com/bukan_pns","@bukan_pns")</f>
        <v>@bukan_pns</v>
      </c>
      <c r="C10200" s="8" t="s">
        <v>318</v>
      </c>
      <c r="D10200" s="8">
        <v>98</v>
      </c>
      <c r="E10200" s="8">
        <v>0</v>
      </c>
      <c r="F10200" s="8">
        <v>22</v>
      </c>
    </row>
    <row r="10201" spans="1:6" ht="12.75">
      <c r="A10201" s="8">
        <v>43900.321979166663</v>
      </c>
      <c r="B10201" s="8" t="str">
        <f>HYPERLINK("https://twitter.com/KBRIPanamaCity","@KBRIPanamaCity")</f>
        <v>@KBRIPanamaCity</v>
      </c>
      <c r="C10201" s="8" t="s">
        <v>4465</v>
      </c>
      <c r="D10201" s="8">
        <v>0</v>
      </c>
      <c r="E10201" s="8">
        <v>0</v>
      </c>
      <c r="F10201" s="8">
        <v>1293</v>
      </c>
    </row>
    <row r="10202" spans="1:6" ht="12.75">
      <c r="A10202" s="8">
        <v>43900.321967592594</v>
      </c>
      <c r="B10202" s="8" t="str">
        <f>HYPERLINK("https://twitter.com/adibssiraj","@adibssiraj")</f>
        <v>@adibssiraj</v>
      </c>
      <c r="C10202" s="8" t="s">
        <v>318</v>
      </c>
      <c r="D10202" s="8">
        <v>98</v>
      </c>
      <c r="E10202" s="8">
        <v>0</v>
      </c>
      <c r="F10202" s="8">
        <v>736</v>
      </c>
    </row>
    <row r="10203" spans="1:6" ht="12.75">
      <c r="A10203" s="8">
        <v>43900.321493055555</v>
      </c>
      <c r="B10203" s="8" t="str">
        <f>HYPERLINK("https://twitter.com/TalibAyoe","@TalibAyoe")</f>
        <v>@TalibAyoe</v>
      </c>
      <c r="C10203" s="8" t="s">
        <v>4466</v>
      </c>
      <c r="D10203" s="8">
        <v>0</v>
      </c>
      <c r="E10203" s="8">
        <v>0</v>
      </c>
      <c r="F10203" s="8">
        <v>61</v>
      </c>
    </row>
    <row r="10204" spans="1:6" ht="12.75">
      <c r="A10204" s="8">
        <v>43900.321377314816</v>
      </c>
      <c r="B10204" s="8" t="str">
        <f t="shared" ref="B10204:B10206" si="174">HYPERLINK("https://twitter.com/AnggunLasmi","@AnggunLasmi")</f>
        <v>@AnggunLasmi</v>
      </c>
      <c r="C10204" s="8" t="s">
        <v>4467</v>
      </c>
      <c r="D10204" s="8">
        <v>0</v>
      </c>
      <c r="E10204" s="8">
        <v>0</v>
      </c>
      <c r="F10204" s="8">
        <v>1</v>
      </c>
    </row>
    <row r="10205" spans="1:6" ht="12.75">
      <c r="A10205" s="8">
        <v>43900.321377314816</v>
      </c>
      <c r="B10205" s="8" t="str">
        <f t="shared" si="174"/>
        <v>@AnggunLasmi</v>
      </c>
      <c r="C10205" s="8" t="s">
        <v>4468</v>
      </c>
      <c r="D10205" s="8">
        <v>0</v>
      </c>
      <c r="E10205" s="8">
        <v>0</v>
      </c>
      <c r="F10205" s="8">
        <v>1</v>
      </c>
    </row>
    <row r="10206" spans="1:6" ht="12.75">
      <c r="A10206" s="8">
        <v>43900.32136574074</v>
      </c>
      <c r="B10206" s="8" t="str">
        <f t="shared" si="174"/>
        <v>@AnggunLasmi</v>
      </c>
      <c r="C10206" s="8" t="s">
        <v>4469</v>
      </c>
      <c r="D10206" s="8">
        <v>0</v>
      </c>
      <c r="E10206" s="8">
        <v>0</v>
      </c>
      <c r="F10206" s="8">
        <v>1</v>
      </c>
    </row>
    <row r="10207" spans="1:6" ht="12.75">
      <c r="A10207" s="8">
        <v>43900.321192129632</v>
      </c>
      <c r="B10207" s="8" t="str">
        <f>HYPERLINK("https://twitter.com/ras_af06","@ras_af06")</f>
        <v>@ras_af06</v>
      </c>
      <c r="C10207" s="8" t="s">
        <v>4470</v>
      </c>
      <c r="D10207" s="8">
        <v>57</v>
      </c>
      <c r="E10207" s="8">
        <v>0</v>
      </c>
      <c r="F10207" s="8">
        <v>140</v>
      </c>
    </row>
    <row r="10208" spans="1:6" ht="12.75">
      <c r="A10208" s="8">
        <v>43900.321030092593</v>
      </c>
      <c r="B10208" s="8" t="str">
        <f>HYPERLINK("https://twitter.com/nanaanata","@nanaanata")</f>
        <v>@nanaanata</v>
      </c>
      <c r="C10208" s="8" t="s">
        <v>4471</v>
      </c>
      <c r="D10208" s="8">
        <v>0</v>
      </c>
      <c r="E10208" s="8">
        <v>0</v>
      </c>
      <c r="F10208" s="8">
        <v>261</v>
      </c>
    </row>
    <row r="10209" spans="1:6" ht="12.75">
      <c r="A10209" s="8">
        <v>43900.320335648154</v>
      </c>
      <c r="B10209" s="8" t="str">
        <f>HYPERLINK("https://twitter.com/Addarul1","@Addarul1")</f>
        <v>@Addarul1</v>
      </c>
      <c r="C10209" s="8" t="s">
        <v>318</v>
      </c>
      <c r="D10209" s="8">
        <v>98</v>
      </c>
      <c r="E10209" s="8">
        <v>0</v>
      </c>
      <c r="F10209" s="8">
        <v>4789</v>
      </c>
    </row>
    <row r="10210" spans="1:6" ht="12.75">
      <c r="A10210" s="8">
        <v>43900.32030092593</v>
      </c>
      <c r="B10210" s="8" t="str">
        <f>HYPERLINK("https://twitter.com/__anomali__","@__anomali__")</f>
        <v>@__anomali__</v>
      </c>
      <c r="C10210" s="8" t="s">
        <v>3262</v>
      </c>
      <c r="D10210" s="8">
        <v>233</v>
      </c>
      <c r="E10210" s="8">
        <v>0</v>
      </c>
      <c r="F10210" s="8">
        <v>2489</v>
      </c>
    </row>
    <row r="10211" spans="1:6" ht="12.75">
      <c r="A10211" s="8">
        <v>43900.319976851853</v>
      </c>
      <c r="B10211" s="8" t="str">
        <f t="shared" ref="B10211:B10212" si="175">HYPERLINK("https://twitter.com/AnggunLasmi","@AnggunLasmi")</f>
        <v>@AnggunLasmi</v>
      </c>
      <c r="C10211" s="8" t="s">
        <v>4472</v>
      </c>
      <c r="D10211" s="8">
        <v>0</v>
      </c>
      <c r="E10211" s="8">
        <v>0</v>
      </c>
      <c r="F10211" s="8">
        <v>1</v>
      </c>
    </row>
    <row r="10212" spans="1:6" ht="12.75">
      <c r="A10212" s="8">
        <v>43900.319976851853</v>
      </c>
      <c r="B10212" s="8" t="str">
        <f t="shared" si="175"/>
        <v>@AnggunLasmi</v>
      </c>
      <c r="C10212" s="8" t="s">
        <v>4473</v>
      </c>
      <c r="D10212" s="8">
        <v>0</v>
      </c>
      <c r="E10212" s="8">
        <v>0</v>
      </c>
      <c r="F10212" s="8">
        <v>1</v>
      </c>
    </row>
    <row r="10213" spans="1:6" ht="12.75">
      <c r="A10213" s="8">
        <v>43900.319756944446</v>
      </c>
      <c r="B10213" s="8" t="str">
        <f>HYPERLINK("https://twitter.com/Atha879","@Atha879")</f>
        <v>@Atha879</v>
      </c>
      <c r="C10213" s="8" t="s">
        <v>4474</v>
      </c>
      <c r="D10213" s="8">
        <v>1</v>
      </c>
      <c r="E10213" s="8">
        <v>0</v>
      </c>
      <c r="F10213" s="8">
        <v>1485</v>
      </c>
    </row>
    <row r="10214" spans="1:6" ht="12.75">
      <c r="A10214" s="8">
        <v>43900.318784722222</v>
      </c>
      <c r="B10214" s="8" t="str">
        <f>HYPERLINK("https://twitter.com/edisuhendro14","@edisuhendro14")</f>
        <v>@edisuhendro14</v>
      </c>
      <c r="C10214" s="8" t="s">
        <v>4425</v>
      </c>
      <c r="D10214" s="8">
        <v>22</v>
      </c>
      <c r="E10214" s="8">
        <v>0</v>
      </c>
      <c r="F10214" s="8">
        <v>106</v>
      </c>
    </row>
    <row r="10215" spans="1:6" ht="12.75">
      <c r="A10215" s="8">
        <v>43900.317858796298</v>
      </c>
      <c r="B10215" s="8" t="str">
        <f>HYPERLINK("https://twitter.com/jodi_wirawan","@jodi_wirawan")</f>
        <v>@jodi_wirawan</v>
      </c>
      <c r="C10215" s="8" t="s">
        <v>3649</v>
      </c>
      <c r="D10215" s="8">
        <v>4</v>
      </c>
      <c r="E10215" s="8">
        <v>0</v>
      </c>
      <c r="F10215" s="8">
        <v>155</v>
      </c>
    </row>
    <row r="10216" spans="1:6" ht="12.75">
      <c r="A10216" s="8">
        <v>43900.317766203705</v>
      </c>
      <c r="B10216" s="8" t="str">
        <f>HYPERLINK("https://twitter.com/Bou_Chacha","@Bou_Chacha")</f>
        <v>@Bou_Chacha</v>
      </c>
      <c r="C10216" s="8" t="s">
        <v>4475</v>
      </c>
      <c r="D10216" s="8">
        <v>1</v>
      </c>
      <c r="E10216" s="8">
        <v>1</v>
      </c>
      <c r="F10216" s="8">
        <v>207</v>
      </c>
    </row>
    <row r="10217" spans="1:6" ht="12.75">
      <c r="A10217" s="8">
        <v>43900.317048611112</v>
      </c>
      <c r="B10217" s="8" t="str">
        <f>HYPERLINK("https://twitter.com/MuyawanS","@MuyawanS")</f>
        <v>@MuyawanS</v>
      </c>
      <c r="C10217" s="8" t="s">
        <v>4476</v>
      </c>
      <c r="D10217" s="8">
        <v>0</v>
      </c>
      <c r="E10217" s="8">
        <v>0</v>
      </c>
      <c r="F10217" s="8">
        <v>1099</v>
      </c>
    </row>
    <row r="10218" spans="1:6" ht="12.75">
      <c r="A10218" s="8">
        <v>43900.316875000004</v>
      </c>
      <c r="B10218" s="8" t="str">
        <f>HYPERLINK("https://twitter.com/2019PrabowoSan2","@2019PrabowoSan2")</f>
        <v>@2019PrabowoSan2</v>
      </c>
      <c r="C10218" s="8" t="s">
        <v>4477</v>
      </c>
      <c r="D10218" s="8">
        <v>1246</v>
      </c>
      <c r="E10218" s="8">
        <v>0</v>
      </c>
      <c r="F10218" s="8">
        <v>1872</v>
      </c>
    </row>
    <row r="10219" spans="1:6" ht="12.75">
      <c r="A10219" s="8">
        <v>43900.315486111111</v>
      </c>
      <c r="B10219" s="8" t="str">
        <f>HYPERLINK("https://twitter.com/aulnadza","@aulnadza")</f>
        <v>@aulnadza</v>
      </c>
      <c r="C10219" s="8" t="s">
        <v>4365</v>
      </c>
      <c r="D10219" s="8">
        <v>30</v>
      </c>
      <c r="E10219" s="8">
        <v>0</v>
      </c>
      <c r="F10219" s="8">
        <v>166</v>
      </c>
    </row>
    <row r="10220" spans="1:6" ht="12.75">
      <c r="A10220" s="8">
        <v>43900.315451388888</v>
      </c>
      <c r="B10220" s="8" t="str">
        <f>HYPERLINK("https://twitter.com/2ikhtiar","@2ikhtiar")</f>
        <v>@2ikhtiar</v>
      </c>
      <c r="C10220" s="8" t="s">
        <v>318</v>
      </c>
      <c r="D10220" s="8">
        <v>98</v>
      </c>
      <c r="E10220" s="8">
        <v>0</v>
      </c>
      <c r="F10220" s="8">
        <v>417</v>
      </c>
    </row>
    <row r="10221" spans="1:6" ht="12.75">
      <c r="A10221" s="8">
        <v>43900.315185185187</v>
      </c>
      <c r="B10221" s="8" t="str">
        <f>HYPERLINK("https://twitter.com/EndlessNight77","@EndlessNight77")</f>
        <v>@EndlessNight77</v>
      </c>
      <c r="C10221" s="8" t="s">
        <v>318</v>
      </c>
      <c r="D10221" s="8">
        <v>98</v>
      </c>
      <c r="E10221" s="8">
        <v>0</v>
      </c>
      <c r="F10221" s="8">
        <v>1</v>
      </c>
    </row>
    <row r="10222" spans="1:6" ht="12.75">
      <c r="A10222" s="8">
        <v>43900.314918981487</v>
      </c>
      <c r="B10222" s="8" t="str">
        <f>HYPERLINK("https://twitter.com/sirfvikas","@sirfvikas")</f>
        <v>@sirfvikas</v>
      </c>
      <c r="C10222" s="8" t="s">
        <v>1957</v>
      </c>
      <c r="D10222" s="8">
        <v>1395</v>
      </c>
      <c r="E10222" s="8">
        <v>0</v>
      </c>
      <c r="F10222" s="8">
        <v>767</v>
      </c>
    </row>
    <row r="10223" spans="1:6" ht="12.75">
      <c r="A10223" s="8">
        <v>43900.314849537041</v>
      </c>
      <c r="B10223" s="8" t="str">
        <f>HYPERLINK("https://twitter.com/antoniusdennyww","@antoniusdennyww")</f>
        <v>@antoniusdennyww</v>
      </c>
      <c r="C10223" s="8" t="s">
        <v>4365</v>
      </c>
      <c r="D10223" s="8">
        <v>30</v>
      </c>
      <c r="E10223" s="8">
        <v>0</v>
      </c>
      <c r="F10223" s="8">
        <v>402</v>
      </c>
    </row>
    <row r="10224" spans="1:6" ht="12.75">
      <c r="A10224" s="8">
        <v>43900.314108796301</v>
      </c>
      <c r="B10224" s="8" t="str">
        <f>HYPERLINK("https://twitter.com/BillTemporo","@BillTemporo")</f>
        <v>@BillTemporo</v>
      </c>
      <c r="C10224" s="8" t="s">
        <v>384</v>
      </c>
      <c r="D10224" s="8">
        <v>0</v>
      </c>
      <c r="E10224" s="8">
        <v>0</v>
      </c>
      <c r="F10224" s="8">
        <v>11</v>
      </c>
    </row>
    <row r="10225" spans="1:6" ht="12.75">
      <c r="A10225" s="8">
        <v>43900.313912037032</v>
      </c>
      <c r="B10225" s="8" t="str">
        <f>HYPERLINK("https://twitter.com/badikrfai","@badikrfai")</f>
        <v>@badikrfai</v>
      </c>
      <c r="C10225" s="8" t="s">
        <v>4478</v>
      </c>
      <c r="D10225" s="8">
        <v>0</v>
      </c>
      <c r="E10225" s="8">
        <v>1</v>
      </c>
      <c r="F10225" s="8">
        <v>365</v>
      </c>
    </row>
    <row r="10226" spans="1:6" ht="12.75">
      <c r="A10226" s="8">
        <v>43900.298356481479</v>
      </c>
      <c r="B10226" s="8" t="str">
        <f>HYPERLINK("https://twitter.com/diandh93","@diandh93")</f>
        <v>@diandh93</v>
      </c>
      <c r="C10226" s="8" t="s">
        <v>318</v>
      </c>
      <c r="D10226" s="8">
        <v>63</v>
      </c>
      <c r="E10226" s="8">
        <v>0</v>
      </c>
      <c r="F10226" s="8">
        <v>161</v>
      </c>
    </row>
    <row r="10227" spans="1:6" ht="12.75">
      <c r="A10227" s="8">
        <v>43900.298217592594</v>
      </c>
      <c r="B10227" s="8" t="str">
        <f>HYPERLINK("https://twitter.com/DeinSugandi","@DeinSugandi")</f>
        <v>@DeinSugandi</v>
      </c>
      <c r="C10227" s="8" t="s">
        <v>318</v>
      </c>
      <c r="D10227" s="8">
        <v>63</v>
      </c>
      <c r="E10227" s="8">
        <v>0</v>
      </c>
      <c r="F10227" s="8">
        <v>162</v>
      </c>
    </row>
    <row r="10228" spans="1:6" ht="12.75">
      <c r="A10228" s="8">
        <v>43900.298043981486</v>
      </c>
      <c r="B10228" s="8" t="str">
        <f>HYPERLINK("https://twitter.com/fasyam7","@fasyam7")</f>
        <v>@fasyam7</v>
      </c>
      <c r="C10228" s="8" t="s">
        <v>318</v>
      </c>
      <c r="D10228" s="8">
        <v>63</v>
      </c>
      <c r="E10228" s="8">
        <v>0</v>
      </c>
      <c r="F10228" s="8">
        <v>766</v>
      </c>
    </row>
    <row r="10229" spans="1:6" ht="12.75">
      <c r="A10229" s="8">
        <v>43900.298020833332</v>
      </c>
      <c r="B10229" s="8" t="str">
        <f>HYPERLINK("https://twitter.com/LastBench_","@LastBench_")</f>
        <v>@LastBench_</v>
      </c>
      <c r="C10229" s="8" t="s">
        <v>1957</v>
      </c>
      <c r="D10229" s="8">
        <v>1387</v>
      </c>
      <c r="E10229" s="8">
        <v>0</v>
      </c>
      <c r="F10229" s="8">
        <v>407</v>
      </c>
    </row>
    <row r="10230" spans="1:6" ht="12.75">
      <c r="A10230" s="8">
        <v>43900.29792824074</v>
      </c>
      <c r="B10230" s="8" t="str">
        <f>HYPERLINK("https://twitter.com/widiarifwkwk","@widiarifwkwk")</f>
        <v>@widiarifwkwk</v>
      </c>
      <c r="C10230" s="8" t="s">
        <v>4365</v>
      </c>
      <c r="D10230" s="8">
        <v>21</v>
      </c>
      <c r="E10230" s="8">
        <v>0</v>
      </c>
      <c r="F10230" s="8">
        <v>366</v>
      </c>
    </row>
    <row r="10231" spans="1:6" ht="12.75">
      <c r="A10231" s="8">
        <v>43900.297766203701</v>
      </c>
      <c r="B10231" s="8" t="str">
        <f>HYPERLINK("https://twitter.com/focal_bionic","@focal_bionic")</f>
        <v>@focal_bionic</v>
      </c>
      <c r="C10231" s="8" t="s">
        <v>318</v>
      </c>
      <c r="D10231" s="8">
        <v>63</v>
      </c>
      <c r="E10231" s="8">
        <v>0</v>
      </c>
      <c r="F10231" s="8">
        <v>1028</v>
      </c>
    </row>
    <row r="10232" spans="1:6" ht="12.75">
      <c r="A10232" s="8">
        <v>43900.29688657407</v>
      </c>
      <c r="B10232" s="8" t="str">
        <f>HYPERLINK("https://twitter.com/sofiankawar1","@sofiankawar1")</f>
        <v>@sofiankawar1</v>
      </c>
      <c r="C10232" s="8" t="s">
        <v>4479</v>
      </c>
      <c r="D10232" s="8">
        <v>0</v>
      </c>
      <c r="E10232" s="8">
        <v>0</v>
      </c>
      <c r="F10232" s="8">
        <v>164</v>
      </c>
    </row>
    <row r="10233" spans="1:6" ht="12.75">
      <c r="A10233" s="8">
        <v>43900.296782407408</v>
      </c>
      <c r="B10233" s="8" t="str">
        <f>HYPERLINK("https://twitter.com/mithlm88","@mithlm88")</f>
        <v>@mithlm88</v>
      </c>
      <c r="C10233" s="8" t="s">
        <v>1917</v>
      </c>
      <c r="D10233" s="8">
        <v>1525</v>
      </c>
      <c r="E10233" s="8">
        <v>0</v>
      </c>
      <c r="F10233" s="8">
        <v>287</v>
      </c>
    </row>
    <row r="10234" spans="1:6" ht="12.75">
      <c r="A10234" s="8">
        <v>43900.295706018514</v>
      </c>
      <c r="B10234" s="8" t="str">
        <f>HYPERLINK("https://twitter.com/damario04","@damario04")</f>
        <v>@damario04</v>
      </c>
      <c r="C10234" s="8" t="s">
        <v>166</v>
      </c>
      <c r="D10234" s="8">
        <v>0</v>
      </c>
      <c r="E10234" s="8">
        <v>0</v>
      </c>
      <c r="F10234" s="8">
        <v>403</v>
      </c>
    </row>
    <row r="10235" spans="1:6" ht="12.75">
      <c r="A10235" s="8">
        <v>43900.295335648145</v>
      </c>
      <c r="B10235" s="8" t="str">
        <f>HYPERLINK("https://twitter.com/riripapa29","@riripapa29")</f>
        <v>@riripapa29</v>
      </c>
      <c r="C10235" s="8" t="s">
        <v>4480</v>
      </c>
      <c r="D10235" s="8">
        <v>0</v>
      </c>
      <c r="E10235" s="8">
        <v>0</v>
      </c>
      <c r="F10235" s="8">
        <v>121</v>
      </c>
    </row>
    <row r="10236" spans="1:6" ht="12.75">
      <c r="A10236" s="8">
        <v>43900.294942129629</v>
      </c>
      <c r="B10236" s="8" t="str">
        <f>HYPERLINK("https://twitter.com/fasyam7","@fasyam7")</f>
        <v>@fasyam7</v>
      </c>
      <c r="C10236" s="8" t="s">
        <v>3126</v>
      </c>
      <c r="D10236" s="8">
        <v>294</v>
      </c>
      <c r="E10236" s="8">
        <v>0</v>
      </c>
      <c r="F10236" s="8">
        <v>766</v>
      </c>
    </row>
    <row r="10237" spans="1:6" ht="12.75">
      <c r="A10237" s="8">
        <v>43900.29482638889</v>
      </c>
      <c r="B10237" s="8" t="str">
        <f>HYPERLINK("https://twitter.com/SSyuban","@SSyuban")</f>
        <v>@SSyuban</v>
      </c>
      <c r="C10237" s="8" t="s">
        <v>318</v>
      </c>
      <c r="D10237" s="8">
        <v>63</v>
      </c>
      <c r="E10237" s="8">
        <v>0</v>
      </c>
      <c r="F10237" s="8">
        <v>577</v>
      </c>
    </row>
    <row r="10238" spans="1:6" ht="12.75">
      <c r="A10238" s="8">
        <v>43900.294374999998</v>
      </c>
      <c r="B10238" s="8" t="str">
        <f>HYPERLINK("https://twitter.com/e_poel","@e_poel")</f>
        <v>@e_poel</v>
      </c>
      <c r="C10238" s="8" t="s">
        <v>3126</v>
      </c>
      <c r="D10238" s="8">
        <v>294</v>
      </c>
      <c r="E10238" s="8">
        <v>0</v>
      </c>
      <c r="F10238" s="8">
        <v>322</v>
      </c>
    </row>
    <row r="10239" spans="1:6" ht="12.75">
      <c r="A10239" s="8">
        <v>43900.293993055559</v>
      </c>
      <c r="B10239" s="8" t="str">
        <f>HYPERLINK("https://twitter.com/KosmetikDinda","@KosmetikDinda")</f>
        <v>@KosmetikDinda</v>
      </c>
      <c r="C10239" s="8" t="s">
        <v>3126</v>
      </c>
      <c r="D10239" s="8">
        <v>294</v>
      </c>
      <c r="E10239" s="8">
        <v>0</v>
      </c>
      <c r="F10239" s="8">
        <v>1295</v>
      </c>
    </row>
    <row r="10240" spans="1:6" ht="12.75">
      <c r="A10240" s="8">
        <v>43900.293344907404</v>
      </c>
      <c r="B10240" s="8" t="str">
        <f>HYPERLINK("https://twitter.com/SusiDudayev","@SusiDudayev")</f>
        <v>@SusiDudayev</v>
      </c>
      <c r="C10240" s="8" t="s">
        <v>3126</v>
      </c>
      <c r="D10240" s="8">
        <v>294</v>
      </c>
      <c r="E10240" s="8">
        <v>0</v>
      </c>
      <c r="F10240" s="8">
        <v>191</v>
      </c>
    </row>
    <row r="10241" spans="1:6" ht="12.75">
      <c r="A10241" s="8">
        <v>43900.293229166666</v>
      </c>
      <c r="B10241" s="8" t="str">
        <f>HYPERLINK("https://twitter.com/bhrigutantra","@bhrigutantra")</f>
        <v>@bhrigutantra</v>
      </c>
      <c r="C10241" s="8" t="s">
        <v>3126</v>
      </c>
      <c r="D10241" s="8">
        <v>294</v>
      </c>
      <c r="E10241" s="8">
        <v>0</v>
      </c>
      <c r="F10241" s="8">
        <v>733</v>
      </c>
    </row>
    <row r="10242" spans="1:6" ht="12.75">
      <c r="A10242" s="8">
        <v>43900.29310185185</v>
      </c>
      <c r="B10242" s="8" t="str">
        <f>HYPERLINK("https://twitter.com/udinshabar","@udinshabar")</f>
        <v>@udinshabar</v>
      </c>
      <c r="C10242" s="8" t="s">
        <v>3126</v>
      </c>
      <c r="D10242" s="8">
        <v>294</v>
      </c>
      <c r="E10242" s="8">
        <v>0</v>
      </c>
      <c r="F10242" s="8">
        <v>91</v>
      </c>
    </row>
    <row r="10243" spans="1:6" ht="12.75">
      <c r="A10243" s="8">
        <v>43900.292754629627</v>
      </c>
      <c r="B10243" s="8" t="str">
        <f>HYPERLINK("https://twitter.com/DMarcella7","@DMarcella7")</f>
        <v>@DMarcella7</v>
      </c>
      <c r="C10243" s="8" t="s">
        <v>318</v>
      </c>
      <c r="D10243" s="8">
        <v>63</v>
      </c>
      <c r="E10243" s="8">
        <v>0</v>
      </c>
      <c r="F10243" s="8">
        <v>25</v>
      </c>
    </row>
    <row r="10244" spans="1:6" ht="12.75">
      <c r="A10244" s="8">
        <v>43900.292511574073</v>
      </c>
      <c r="B10244" s="8" t="str">
        <f>HYPERLINK("https://twitter.com/berniemohammad","@berniemohammad")</f>
        <v>@berniemohammad</v>
      </c>
      <c r="C10244" s="8" t="s">
        <v>3649</v>
      </c>
      <c r="D10244" s="8">
        <v>3</v>
      </c>
      <c r="E10244" s="8">
        <v>0</v>
      </c>
      <c r="F10244" s="8">
        <v>1171</v>
      </c>
    </row>
    <row r="10245" spans="1:6" ht="12.75">
      <c r="A10245" s="8">
        <v>43900.292164351849</v>
      </c>
      <c r="B10245" s="8" t="str">
        <f>HYPERLINK("https://twitter.com/dhion_rama","@dhion_rama")</f>
        <v>@dhion_rama</v>
      </c>
      <c r="C10245" s="8" t="s">
        <v>4365</v>
      </c>
      <c r="D10245" s="8">
        <v>21</v>
      </c>
      <c r="E10245" s="8">
        <v>0</v>
      </c>
      <c r="F10245" s="8">
        <v>534</v>
      </c>
    </row>
    <row r="10246" spans="1:6" ht="12.75">
      <c r="A10246" s="8">
        <v>43900.292048611111</v>
      </c>
      <c r="B10246" s="8" t="str">
        <f>HYPERLINK("https://twitter.com/Tommy93507168","@Tommy93507168")</f>
        <v>@Tommy93507168</v>
      </c>
      <c r="C10246" s="8" t="s">
        <v>4481</v>
      </c>
      <c r="D10246" s="8">
        <v>0</v>
      </c>
      <c r="E10246" s="8">
        <v>1</v>
      </c>
      <c r="F10246" s="8">
        <v>1258</v>
      </c>
    </row>
    <row r="10247" spans="1:6" ht="12.75">
      <c r="A10247" s="8">
        <v>43900.289560185185</v>
      </c>
      <c r="B10247" s="8" t="str">
        <f>HYPERLINK("https://twitter.com/CelotehPrabu","@CelotehPrabu")</f>
        <v>@CelotehPrabu</v>
      </c>
      <c r="C10247" s="8" t="s">
        <v>3126</v>
      </c>
      <c r="D10247" s="8">
        <v>294</v>
      </c>
      <c r="E10247" s="8">
        <v>0</v>
      </c>
      <c r="F10247" s="8">
        <v>3075</v>
      </c>
    </row>
    <row r="10248" spans="1:6" ht="12.75">
      <c r="A10248" s="8">
        <v>43900.289351851854</v>
      </c>
      <c r="B10248" s="8" t="str">
        <f>HYPERLINK("https://twitter.com/ranshbrn","@ranshbrn")</f>
        <v>@ranshbrn</v>
      </c>
      <c r="C10248" s="8" t="s">
        <v>4482</v>
      </c>
      <c r="D10248" s="8">
        <v>0</v>
      </c>
      <c r="E10248" s="8">
        <v>0</v>
      </c>
      <c r="F10248" s="8">
        <v>27</v>
      </c>
    </row>
    <row r="10249" spans="1:6" ht="12.75">
      <c r="A10249" s="8">
        <v>43900.289166666669</v>
      </c>
      <c r="B10249" s="8" t="str">
        <f>HYPERLINK("https://twitter.com/vabulousveby","@vabulousveby")</f>
        <v>@vabulousveby</v>
      </c>
      <c r="C10249" s="8" t="s">
        <v>3126</v>
      </c>
      <c r="D10249" s="8">
        <v>294</v>
      </c>
      <c r="E10249" s="8">
        <v>0</v>
      </c>
      <c r="F10249" s="8">
        <v>125</v>
      </c>
    </row>
    <row r="10250" spans="1:6" ht="12.75">
      <c r="A10250" s="8">
        <v>43900.289085648154</v>
      </c>
      <c r="B10250" s="8" t="str">
        <f>HYPERLINK("https://twitter.com/rizki_50","@rizki_50")</f>
        <v>@rizki_50</v>
      </c>
      <c r="C10250" s="8" t="s">
        <v>318</v>
      </c>
      <c r="D10250" s="8">
        <v>63</v>
      </c>
      <c r="E10250" s="8">
        <v>0</v>
      </c>
      <c r="F10250" s="8">
        <v>2053</v>
      </c>
    </row>
    <row r="10251" spans="1:6" ht="12.75">
      <c r="A10251" s="8">
        <v>43900.287893518514</v>
      </c>
      <c r="B10251" s="8" t="str">
        <f>HYPERLINK("https://twitter.com/andarisqiwahab","@andarisqiwahab")</f>
        <v>@andarisqiwahab</v>
      </c>
      <c r="C10251" s="8" t="s">
        <v>3126</v>
      </c>
      <c r="D10251" s="8">
        <v>294</v>
      </c>
      <c r="E10251" s="8">
        <v>0</v>
      </c>
      <c r="F10251" s="8">
        <v>765</v>
      </c>
    </row>
    <row r="10252" spans="1:6" ht="12.75">
      <c r="A10252" s="8">
        <v>43900.287858796291</v>
      </c>
      <c r="B10252" s="8" t="str">
        <f>HYPERLINK("https://twitter.com/adivijesantos01","@adivijesantos01")</f>
        <v>@adivijesantos01</v>
      </c>
      <c r="C10252" s="8" t="s">
        <v>4483</v>
      </c>
      <c r="D10252" s="8">
        <v>1</v>
      </c>
      <c r="E10252" s="8">
        <v>0</v>
      </c>
      <c r="F10252" s="8">
        <v>1643</v>
      </c>
    </row>
    <row r="10253" spans="1:6" ht="12.75">
      <c r="A10253" s="8">
        <v>43900.287824074076</v>
      </c>
      <c r="B10253" s="8" t="str">
        <f>HYPERLINK("https://twitter.com/zupatista","@zupatista")</f>
        <v>@zupatista</v>
      </c>
      <c r="C10253" s="8" t="s">
        <v>3126</v>
      </c>
      <c r="D10253" s="8">
        <v>294</v>
      </c>
      <c r="E10253" s="8">
        <v>0</v>
      </c>
      <c r="F10253" s="8">
        <v>80</v>
      </c>
    </row>
    <row r="10254" spans="1:6" ht="12.75">
      <c r="A10254" s="8">
        <v>43900.287453703699</v>
      </c>
      <c r="B10254" s="8" t="str">
        <f>HYPERLINK("https://twitter.com/damarjuventini","@damarjuventini")</f>
        <v>@damarjuventini</v>
      </c>
      <c r="C10254" s="8" t="s">
        <v>4365</v>
      </c>
      <c r="D10254" s="8">
        <v>21</v>
      </c>
      <c r="E10254" s="8">
        <v>0</v>
      </c>
      <c r="F10254" s="8">
        <v>129</v>
      </c>
    </row>
    <row r="10255" spans="1:6" ht="12.75">
      <c r="A10255" s="8">
        <v>43900.287118055552</v>
      </c>
      <c r="B10255" s="8" t="str">
        <f>HYPERLINK("https://twitter.com/satyasiba","@satyasiba")</f>
        <v>@satyasiba</v>
      </c>
      <c r="C10255" s="8" t="s">
        <v>4484</v>
      </c>
      <c r="D10255" s="8">
        <v>1</v>
      </c>
      <c r="E10255" s="8">
        <v>2</v>
      </c>
      <c r="F10255" s="8">
        <v>1325</v>
      </c>
    </row>
    <row r="10256" spans="1:6" ht="12.75">
      <c r="A10256" s="8">
        <v>43900.286631944444</v>
      </c>
      <c r="B10256" s="8" t="str">
        <f>HYPERLINK("https://twitter.com/_raja_babu","@_raja_babu")</f>
        <v>@_raja_babu</v>
      </c>
      <c r="C10256" s="8" t="s">
        <v>1957</v>
      </c>
      <c r="D10256" s="8">
        <v>1387</v>
      </c>
      <c r="E10256" s="8">
        <v>0</v>
      </c>
      <c r="F10256" s="8">
        <v>325</v>
      </c>
    </row>
    <row r="10257" spans="1:6" ht="12.75">
      <c r="A10257" s="8">
        <v>43900.286585648151</v>
      </c>
      <c r="B10257" s="8" t="str">
        <f>HYPERLINK("https://twitter.com/lelakimusaja","@lelakimusaja")</f>
        <v>@lelakimusaja</v>
      </c>
      <c r="C10257" s="8" t="s">
        <v>4485</v>
      </c>
      <c r="D10257" s="8">
        <v>0</v>
      </c>
      <c r="E10257" s="8">
        <v>0</v>
      </c>
      <c r="F10257" s="8">
        <v>734</v>
      </c>
    </row>
    <row r="10258" spans="1:6" ht="12.75">
      <c r="A10258" s="8">
        <v>43900.285312499997</v>
      </c>
      <c r="B10258" s="8" t="str">
        <f>HYPERLINK("https://twitter.com/NdonTwit","@NdonTwit")</f>
        <v>@NdonTwit</v>
      </c>
      <c r="C10258" s="8" t="s">
        <v>4486</v>
      </c>
      <c r="D10258" s="8">
        <v>1</v>
      </c>
      <c r="E10258" s="8">
        <v>0</v>
      </c>
      <c r="F10258" s="8">
        <v>8497</v>
      </c>
    </row>
    <row r="10259" spans="1:6" ht="12.75">
      <c r="A10259" s="8">
        <v>43900.28524305555</v>
      </c>
      <c r="B10259" s="8" t="str">
        <f>HYPERLINK("https://twitter.com/mury_eko","@mury_eko")</f>
        <v>@mury_eko</v>
      </c>
      <c r="C10259" s="8" t="s">
        <v>3633</v>
      </c>
      <c r="D10259" s="8">
        <v>6</v>
      </c>
      <c r="E10259" s="8">
        <v>0</v>
      </c>
      <c r="F10259" s="8">
        <v>1586</v>
      </c>
    </row>
    <row r="10260" spans="1:6" ht="12.75">
      <c r="A10260" s="8">
        <v>43900.285081018519</v>
      </c>
      <c r="B10260" s="8" t="str">
        <f>HYPERLINK("https://twitter.com/EkoPh18","@EkoPh18")</f>
        <v>@EkoPh18</v>
      </c>
      <c r="C10260" s="8" t="s">
        <v>318</v>
      </c>
      <c r="D10260" s="8">
        <v>63</v>
      </c>
      <c r="E10260" s="8">
        <v>0</v>
      </c>
      <c r="F10260" s="8">
        <v>314</v>
      </c>
    </row>
    <row r="10261" spans="1:6" ht="12.75">
      <c r="A10261" s="8">
        <v>43900.28502314815</v>
      </c>
      <c r="B10261" s="8" t="str">
        <f>HYPERLINK("https://twitter.com/esarkosh","@esarkosh")</f>
        <v>@esarkosh</v>
      </c>
      <c r="C10261" s="8" t="s">
        <v>318</v>
      </c>
      <c r="D10261" s="8">
        <v>63</v>
      </c>
      <c r="E10261" s="8">
        <v>0</v>
      </c>
      <c r="F10261" s="8">
        <v>262</v>
      </c>
    </row>
    <row r="10262" spans="1:6" ht="12.75">
      <c r="A10262" s="8">
        <v>43900.284988425927</v>
      </c>
      <c r="B10262" s="8" t="str">
        <f>HYPERLINK("https://twitter.com/Si_Kalacakra","@Si_Kalacakra")</f>
        <v>@Si_Kalacakra</v>
      </c>
      <c r="C10262" s="8" t="s">
        <v>318</v>
      </c>
      <c r="D10262" s="8">
        <v>63</v>
      </c>
      <c r="E10262" s="8">
        <v>0</v>
      </c>
      <c r="F10262" s="8">
        <v>1419</v>
      </c>
    </row>
    <row r="10263" spans="1:6" ht="12.75">
      <c r="A10263" s="8">
        <v>43900.284768518519</v>
      </c>
      <c r="B10263" s="8" t="str">
        <f>HYPERLINK("https://twitter.com/taph_sha","@taph_sha")</f>
        <v>@taph_sha</v>
      </c>
      <c r="C10263" s="8" t="s">
        <v>3633</v>
      </c>
      <c r="D10263" s="8">
        <v>6</v>
      </c>
      <c r="E10263" s="8">
        <v>0</v>
      </c>
      <c r="F10263" s="8">
        <v>94</v>
      </c>
    </row>
    <row r="10264" spans="1:6" ht="12.75">
      <c r="A10264" s="8">
        <v>43900.284513888888</v>
      </c>
      <c r="B10264" s="8" t="str">
        <f>HYPERLINK("https://twitter.com/waawan0605","@waawan0605")</f>
        <v>@waawan0605</v>
      </c>
      <c r="C10264" s="8" t="s">
        <v>4365</v>
      </c>
      <c r="D10264" s="8">
        <v>21</v>
      </c>
      <c r="E10264" s="8">
        <v>0</v>
      </c>
      <c r="F10264" s="8">
        <v>485</v>
      </c>
    </row>
    <row r="10265" spans="1:6" ht="12.75">
      <c r="A10265" s="8">
        <v>43900.283773148149</v>
      </c>
      <c r="B10265" s="8" t="str">
        <f>HYPERLINK("https://twitter.com/NediSetiadi","@NediSetiadi")</f>
        <v>@NediSetiadi</v>
      </c>
      <c r="C10265" s="8" t="s">
        <v>4487</v>
      </c>
      <c r="D10265" s="8">
        <v>1</v>
      </c>
      <c r="E10265" s="8">
        <v>3</v>
      </c>
      <c r="F10265" s="8">
        <v>5603</v>
      </c>
    </row>
    <row r="10266" spans="1:6" ht="12.75">
      <c r="A10266" s="8">
        <v>43900.282743055555</v>
      </c>
      <c r="B10266" s="8" t="str">
        <f>HYPERLINK("https://twitter.com/yetsonbasir","@yetsonbasir")</f>
        <v>@yetsonbasir</v>
      </c>
      <c r="C10266" s="8" t="s">
        <v>318</v>
      </c>
      <c r="D10266" s="8">
        <v>63</v>
      </c>
      <c r="E10266" s="8">
        <v>0</v>
      </c>
      <c r="F10266" s="8">
        <v>477</v>
      </c>
    </row>
    <row r="10267" spans="1:6" ht="12.75">
      <c r="A10267" s="8">
        <v>43900.282708333332</v>
      </c>
      <c r="B10267" s="8" t="str">
        <f>HYPERLINK("https://twitter.com/pandusolusi","@pandusolusi")</f>
        <v>@pandusolusi</v>
      </c>
      <c r="C10267" s="8" t="s">
        <v>4488</v>
      </c>
      <c r="D10267" s="8">
        <v>0</v>
      </c>
      <c r="E10267" s="8">
        <v>0</v>
      </c>
      <c r="F10267" s="8">
        <v>180</v>
      </c>
    </row>
    <row r="10268" spans="1:6" ht="12.75">
      <c r="A10268" s="8">
        <v>43900.282696759255</v>
      </c>
      <c r="B10268" s="8" t="str">
        <f>HYPERLINK("https://twitter.com/febry_hasian","@febry_hasian")</f>
        <v>@febry_hasian</v>
      </c>
      <c r="C10268" s="8" t="s">
        <v>3262</v>
      </c>
      <c r="D10268" s="8">
        <v>228</v>
      </c>
      <c r="E10268" s="8">
        <v>0</v>
      </c>
      <c r="F10268" s="8">
        <v>962</v>
      </c>
    </row>
    <row r="10269" spans="1:6" ht="12.75">
      <c r="A10269" s="8">
        <v>43900.282384259262</v>
      </c>
      <c r="B10269" s="8" t="str">
        <f>HYPERLINK("https://twitter.com/aguskekesss","@aguskekesss")</f>
        <v>@aguskekesss</v>
      </c>
      <c r="C10269" s="8" t="s">
        <v>4365</v>
      </c>
      <c r="D10269" s="8">
        <v>21</v>
      </c>
      <c r="E10269" s="8">
        <v>0</v>
      </c>
      <c r="F10269" s="8">
        <v>49</v>
      </c>
    </row>
    <row r="10270" spans="1:6" ht="12.75">
      <c r="A10270" s="8">
        <v>43900.282361111109</v>
      </c>
      <c r="B10270" s="8" t="str">
        <f>HYPERLINK("https://twitter.com/AchmadyaniAy70","@AchmadyaniAy70")</f>
        <v>@AchmadyaniAy70</v>
      </c>
      <c r="C10270" s="8" t="s">
        <v>318</v>
      </c>
      <c r="D10270" s="8">
        <v>63</v>
      </c>
      <c r="E10270" s="8">
        <v>0</v>
      </c>
      <c r="F10270" s="8">
        <v>4302</v>
      </c>
    </row>
    <row r="10271" spans="1:6" ht="12.75">
      <c r="A10271" s="8">
        <v>43900.282326388886</v>
      </c>
      <c r="B10271" s="8" t="str">
        <f>HYPERLINK("https://twitter.com/WidiyartoAdi","@WidiyartoAdi")</f>
        <v>@WidiyartoAdi</v>
      </c>
      <c r="C10271" s="8" t="s">
        <v>4365</v>
      </c>
      <c r="D10271" s="8">
        <v>21</v>
      </c>
      <c r="E10271" s="8">
        <v>0</v>
      </c>
      <c r="F10271" s="8">
        <v>54</v>
      </c>
    </row>
    <row r="10272" spans="1:6" ht="12.75">
      <c r="A10272" s="8">
        <v>43900.28197916667</v>
      </c>
      <c r="B10272" s="8" t="str">
        <f>HYPERLINK("https://twitter.com/dwikaparama","@dwikaparama")</f>
        <v>@dwikaparama</v>
      </c>
      <c r="C10272" s="8" t="s">
        <v>4365</v>
      </c>
      <c r="D10272" s="8">
        <v>21</v>
      </c>
      <c r="E10272" s="8">
        <v>0</v>
      </c>
      <c r="F10272" s="8">
        <v>257</v>
      </c>
    </row>
    <row r="10273" spans="1:6" ht="12.75">
      <c r="A10273" s="8">
        <v>43900.2815162037</v>
      </c>
      <c r="B10273" s="8" t="str">
        <f>HYPERLINK("https://twitter.com/everteenrags","@everteenrags")</f>
        <v>@everteenrags</v>
      </c>
      <c r="C10273" s="8" t="s">
        <v>1957</v>
      </c>
      <c r="D10273" s="8">
        <v>1387</v>
      </c>
      <c r="E10273" s="8">
        <v>0</v>
      </c>
      <c r="F10273" s="8">
        <v>42</v>
      </c>
    </row>
    <row r="10274" spans="1:6" ht="12.75">
      <c r="A10274" s="8">
        <v>43900.281469907408</v>
      </c>
      <c r="B10274" s="8" t="str">
        <f>HYPERLINK("https://twitter.com/Jedi_Ankush","@Jedi_Ankush")</f>
        <v>@Jedi_Ankush</v>
      </c>
      <c r="C10274" s="8" t="s">
        <v>1957</v>
      </c>
      <c r="D10274" s="8">
        <v>1387</v>
      </c>
      <c r="E10274" s="8">
        <v>0</v>
      </c>
      <c r="F10274" s="8">
        <v>225</v>
      </c>
    </row>
    <row r="10275" spans="1:6" ht="12.75">
      <c r="A10275" s="8">
        <v>43900.281365740739</v>
      </c>
      <c r="B10275" s="8" t="str">
        <f>HYPERLINK("https://twitter.com/BiLLYKHAERUDIN","@BiLLYKHAERUDIN")</f>
        <v>@BiLLYKHAERUDIN</v>
      </c>
      <c r="C10275" s="8" t="s">
        <v>3649</v>
      </c>
      <c r="D10275" s="8">
        <v>3</v>
      </c>
      <c r="E10275" s="8">
        <v>0</v>
      </c>
      <c r="F10275" s="8">
        <v>51841</v>
      </c>
    </row>
    <row r="10276" spans="1:6" ht="12.75">
      <c r="A10276" s="8">
        <v>43900.280162037037</v>
      </c>
      <c r="B10276" s="8" t="str">
        <f>HYPERLINK("https://twitter.com/5adja","@5adja")</f>
        <v>@5adja</v>
      </c>
      <c r="C10276" s="8" t="s">
        <v>3262</v>
      </c>
      <c r="D10276" s="8">
        <v>228</v>
      </c>
      <c r="E10276" s="8">
        <v>0</v>
      </c>
      <c r="F10276" s="8">
        <v>40065</v>
      </c>
    </row>
    <row r="10277" spans="1:6" ht="12.75">
      <c r="A10277" s="8">
        <v>43900.279409722221</v>
      </c>
      <c r="B10277" s="8" t="str">
        <f>HYPERLINK("https://twitter.com/MochatmaW","@MochatmaW")</f>
        <v>@MochatmaW</v>
      </c>
      <c r="C10277" s="8" t="s">
        <v>318</v>
      </c>
      <c r="D10277" s="8">
        <v>63</v>
      </c>
      <c r="E10277" s="8">
        <v>0</v>
      </c>
      <c r="F10277" s="8">
        <v>4849</v>
      </c>
    </row>
    <row r="10278" spans="1:6" ht="12.75">
      <c r="A10278" s="8">
        <v>43900.27853009259</v>
      </c>
      <c r="B10278" s="8" t="str">
        <f>HYPERLINK("https://twitter.com/mass_umam","@mass_umam")</f>
        <v>@mass_umam</v>
      </c>
      <c r="C10278" s="8" t="s">
        <v>3649</v>
      </c>
      <c r="D10278" s="8">
        <v>3</v>
      </c>
      <c r="E10278" s="8">
        <v>0</v>
      </c>
      <c r="F10278" s="8">
        <v>278</v>
      </c>
    </row>
    <row r="10279" spans="1:6" ht="12.75">
      <c r="A10279" s="8">
        <v>43900.278495370367</v>
      </c>
      <c r="B10279" s="8" t="str">
        <f>HYPERLINK("https://twitter.com/PribumiDong","@PribumiDong")</f>
        <v>@PribumiDong</v>
      </c>
      <c r="C10279" s="8" t="s">
        <v>318</v>
      </c>
      <c r="D10279" s="8">
        <v>63</v>
      </c>
      <c r="E10279" s="8">
        <v>0</v>
      </c>
      <c r="F10279" s="8">
        <v>870</v>
      </c>
    </row>
    <row r="10280" spans="1:6" ht="12.75">
      <c r="A10280" s="8">
        <v>43900.278449074074</v>
      </c>
      <c r="B10280" s="8" t="str">
        <f>HYPERLINK("https://twitter.com/deviamasen","@deviamasen")</f>
        <v>@deviamasen</v>
      </c>
      <c r="C10280" s="8" t="s">
        <v>1427</v>
      </c>
      <c r="D10280" s="8">
        <v>1047</v>
      </c>
      <c r="E10280" s="8">
        <v>0</v>
      </c>
      <c r="F10280" s="8">
        <v>336</v>
      </c>
    </row>
    <row r="10281" spans="1:6" ht="12.75">
      <c r="A10281" s="8">
        <v>43900.27820601852</v>
      </c>
      <c r="B10281" s="8" t="str">
        <f>HYPERLINK("https://twitter.com/wuchenyics","@wuchenyics")</f>
        <v>@wuchenyics</v>
      </c>
      <c r="C10281" s="8" t="s">
        <v>3633</v>
      </c>
      <c r="D10281" s="8">
        <v>6</v>
      </c>
      <c r="E10281" s="8">
        <v>0</v>
      </c>
      <c r="F10281" s="8">
        <v>67</v>
      </c>
    </row>
    <row r="10282" spans="1:6" ht="12.75">
      <c r="A10282" s="8">
        <v>43900.278148148151</v>
      </c>
      <c r="B10282" s="8" t="str">
        <f>HYPERLINK("https://twitter.com/chandra89007716","@chandra89007716")</f>
        <v>@chandra89007716</v>
      </c>
      <c r="C10282" s="8" t="s">
        <v>1957</v>
      </c>
      <c r="D10282" s="8">
        <v>1387</v>
      </c>
      <c r="E10282" s="8">
        <v>0</v>
      </c>
      <c r="F10282" s="8">
        <v>47</v>
      </c>
    </row>
    <row r="10283" spans="1:6" ht="12.75">
      <c r="A10283" s="8">
        <v>43900.277800925927</v>
      </c>
      <c r="B10283" s="8" t="str">
        <f>HYPERLINK("https://twitter.com/patarsun","@patarsun")</f>
        <v>@patarsun</v>
      </c>
      <c r="C10283" s="8" t="s">
        <v>318</v>
      </c>
      <c r="D10283" s="8">
        <v>63</v>
      </c>
      <c r="E10283" s="8">
        <v>0</v>
      </c>
      <c r="F10283" s="8">
        <v>465</v>
      </c>
    </row>
    <row r="10284" spans="1:6" ht="12.75">
      <c r="A10284" s="8">
        <v>43900.277777777781</v>
      </c>
      <c r="B10284" s="8" t="str">
        <f>HYPERLINK("https://twitter.com/for_kama","@for_kama")</f>
        <v>@for_kama</v>
      </c>
      <c r="C10284" s="8" t="s">
        <v>1957</v>
      </c>
      <c r="D10284" s="8">
        <v>1387</v>
      </c>
      <c r="E10284" s="8">
        <v>0</v>
      </c>
      <c r="F10284" s="8">
        <v>1071</v>
      </c>
    </row>
    <row r="10285" spans="1:6" ht="12.75">
      <c r="A10285" s="8">
        <v>43900.277465277773</v>
      </c>
      <c r="B10285" s="8" t="str">
        <f>HYPERLINK("https://twitter.com/trendingtopiq","@trendingtopiq")</f>
        <v>@trendingtopiq</v>
      </c>
      <c r="C10285" s="8" t="s">
        <v>4489</v>
      </c>
      <c r="D10285" s="8">
        <v>3</v>
      </c>
      <c r="E10285" s="8">
        <v>7</v>
      </c>
      <c r="F10285" s="8">
        <v>14608</v>
      </c>
    </row>
    <row r="10286" spans="1:6" ht="12.75">
      <c r="A10286" s="8">
        <v>43900.277013888888</v>
      </c>
      <c r="B10286" s="8" t="str">
        <f>HYPERLINK("https://twitter.com/Qraybatavia3","@Qraybatavia3")</f>
        <v>@Qraybatavia3</v>
      </c>
      <c r="C10286" s="8" t="s">
        <v>3126</v>
      </c>
      <c r="D10286" s="8">
        <v>294</v>
      </c>
      <c r="E10286" s="8">
        <v>0</v>
      </c>
      <c r="F10286" s="8">
        <v>299</v>
      </c>
    </row>
    <row r="10287" spans="1:6" ht="12.75">
      <c r="A10287" s="8">
        <v>43900.276932870373</v>
      </c>
      <c r="B10287" s="8" t="str">
        <f>HYPERLINK("https://twitter.com/Suroso60592134","@Suroso60592134")</f>
        <v>@Suroso60592134</v>
      </c>
      <c r="C10287" s="8" t="s">
        <v>3126</v>
      </c>
      <c r="D10287" s="8">
        <v>294</v>
      </c>
      <c r="E10287" s="8">
        <v>0</v>
      </c>
      <c r="F10287" s="8">
        <v>285</v>
      </c>
    </row>
    <row r="10288" spans="1:6" ht="12.75">
      <c r="A10288" s="8">
        <v>43900.276770833334</v>
      </c>
      <c r="B10288" s="8" t="str">
        <f>HYPERLINK("https://twitter.com/maspras02","@maspras02")</f>
        <v>@maspras02</v>
      </c>
      <c r="C10288" s="8" t="s">
        <v>3126</v>
      </c>
      <c r="D10288" s="8">
        <v>294</v>
      </c>
      <c r="E10288" s="8">
        <v>0</v>
      </c>
      <c r="F10288" s="8">
        <v>150</v>
      </c>
    </row>
    <row r="10289" spans="1:6" ht="12.75">
      <c r="A10289" s="8">
        <v>43900.276412037041</v>
      </c>
      <c r="B10289" s="8" t="str">
        <f>HYPERLINK("https://twitter.com/stevenkurus","@stevenkurus")</f>
        <v>@stevenkurus</v>
      </c>
      <c r="C10289" s="8" t="s">
        <v>4365</v>
      </c>
      <c r="D10289" s="8">
        <v>21</v>
      </c>
      <c r="E10289" s="8">
        <v>0</v>
      </c>
      <c r="F10289" s="8">
        <v>500</v>
      </c>
    </row>
    <row r="10290" spans="1:6" ht="12.75">
      <c r="A10290" s="8">
        <v>43900.276319444441</v>
      </c>
      <c r="B10290" s="8" t="str">
        <f>HYPERLINK("https://twitter.com/Spider__id","@Spider__id")</f>
        <v>@Spider__id</v>
      </c>
      <c r="C10290" s="8" t="s">
        <v>4174</v>
      </c>
      <c r="D10290" s="8">
        <v>1</v>
      </c>
      <c r="E10290" s="8">
        <v>0</v>
      </c>
      <c r="F10290" s="8">
        <v>5029</v>
      </c>
    </row>
    <row r="10291" spans="1:6" ht="12.75">
      <c r="A10291" s="8">
        <v>43900.276087962964</v>
      </c>
      <c r="B10291" s="8" t="str">
        <f>HYPERLINK("https://twitter.com/dubie_tina","@dubie_tina")</f>
        <v>@dubie_tina</v>
      </c>
      <c r="C10291" s="8" t="s">
        <v>3262</v>
      </c>
      <c r="D10291" s="8">
        <v>228</v>
      </c>
      <c r="E10291" s="8">
        <v>0</v>
      </c>
      <c r="F10291" s="8">
        <v>1126</v>
      </c>
    </row>
    <row r="10292" spans="1:6" ht="12.75">
      <c r="A10292" s="8">
        <v>43900.275925925926</v>
      </c>
      <c r="B10292" s="8" t="str">
        <f>HYPERLINK("https://twitter.com/amymura9","@amymura9")</f>
        <v>@amymura9</v>
      </c>
      <c r="C10292" s="8" t="s">
        <v>3126</v>
      </c>
      <c r="D10292" s="8">
        <v>294</v>
      </c>
      <c r="E10292" s="8">
        <v>0</v>
      </c>
      <c r="F10292" s="8">
        <v>105</v>
      </c>
    </row>
    <row r="10293" spans="1:6" ht="12.75">
      <c r="A10293" s="8">
        <v>43900.275856481487</v>
      </c>
      <c r="B10293" s="8" t="str">
        <f>HYPERLINK("https://twitter.com/Mnas_Fch","@Mnas_Fch")</f>
        <v>@Mnas_Fch</v>
      </c>
      <c r="C10293" s="8" t="s">
        <v>3743</v>
      </c>
      <c r="D10293" s="8">
        <v>720</v>
      </c>
      <c r="E10293" s="8">
        <v>0</v>
      </c>
      <c r="F10293" s="8">
        <v>611</v>
      </c>
    </row>
    <row r="10294" spans="1:6" ht="12.75">
      <c r="A10294" s="8">
        <v>43900.275717592594</v>
      </c>
      <c r="B10294" s="8" t="str">
        <f>HYPERLINK("https://twitter.com/mediaindonesia","@mediaindonesia")</f>
        <v>@mediaindonesia</v>
      </c>
      <c r="C10294" s="8" t="s">
        <v>4490</v>
      </c>
      <c r="D10294" s="8">
        <v>0</v>
      </c>
      <c r="E10294" s="8">
        <v>1</v>
      </c>
      <c r="F10294" s="8">
        <v>1420822</v>
      </c>
    </row>
    <row r="10295" spans="1:6" ht="12.75">
      <c r="A10295" s="8">
        <v>43900.275706018518</v>
      </c>
      <c r="B10295" s="8" t="str">
        <f>HYPERLINK("https://twitter.com/pravi2019","@pravi2019")</f>
        <v>@pravi2019</v>
      </c>
      <c r="C10295" s="8" t="s">
        <v>1957</v>
      </c>
      <c r="D10295" s="8">
        <v>1387</v>
      </c>
      <c r="E10295" s="8">
        <v>0</v>
      </c>
      <c r="F10295" s="8">
        <v>286</v>
      </c>
    </row>
    <row r="10296" spans="1:6" ht="12.75">
      <c r="A10296" s="8">
        <v>43900.275405092594</v>
      </c>
      <c r="B10296" s="8" t="str">
        <f>HYPERLINK("https://twitter.com/adityatrd","@adityatrd")</f>
        <v>@adityatrd</v>
      </c>
      <c r="C10296" s="8" t="s">
        <v>4365</v>
      </c>
      <c r="D10296" s="8">
        <v>21</v>
      </c>
      <c r="E10296" s="8">
        <v>0</v>
      </c>
      <c r="F10296" s="8">
        <v>529</v>
      </c>
    </row>
    <row r="10297" spans="1:6" ht="12.75">
      <c r="A10297" s="8">
        <v>43900.275208333333</v>
      </c>
      <c r="B10297" s="8" t="str">
        <f>HYPERLINK("https://twitter.com/twihtolic","@twihtolic")</f>
        <v>@twihtolic</v>
      </c>
      <c r="C10297" s="8" t="s">
        <v>1957</v>
      </c>
      <c r="D10297" s="8">
        <v>1387</v>
      </c>
      <c r="E10297" s="8">
        <v>0</v>
      </c>
      <c r="F10297" s="8">
        <v>418</v>
      </c>
    </row>
    <row r="10298" spans="1:6" ht="12.75">
      <c r="A10298" s="8">
        <v>43900.274953703702</v>
      </c>
      <c r="B10298" s="8" t="str">
        <f>HYPERLINK("https://twitter.com/rudysatt","@rudysatt")</f>
        <v>@rudysatt</v>
      </c>
      <c r="C10298" s="8" t="s">
        <v>3633</v>
      </c>
      <c r="D10298" s="8">
        <v>6</v>
      </c>
      <c r="E10298" s="8">
        <v>0</v>
      </c>
      <c r="F10298" s="8">
        <v>256</v>
      </c>
    </row>
    <row r="10299" spans="1:6" ht="12.75">
      <c r="A10299" s="8">
        <v>43900.27449074074</v>
      </c>
      <c r="B10299" s="8" t="str">
        <f>HYPERLINK("https://twitter.com/erlang_dimas","@erlang_dimas")</f>
        <v>@erlang_dimas</v>
      </c>
      <c r="C10299" s="8" t="s">
        <v>3126</v>
      </c>
      <c r="D10299" s="8">
        <v>294</v>
      </c>
      <c r="E10299" s="8">
        <v>0</v>
      </c>
      <c r="F10299" s="8">
        <v>46</v>
      </c>
    </row>
    <row r="10300" spans="1:6" ht="12.75">
      <c r="A10300" s="8">
        <v>43900.272939814815</v>
      </c>
      <c r="B10300" s="8" t="str">
        <f>HYPERLINK("https://twitter.com/harijayagunawan","@harijayagunawan")</f>
        <v>@harijayagunawan</v>
      </c>
      <c r="C10300" s="8" t="s">
        <v>318</v>
      </c>
      <c r="D10300" s="8">
        <v>63</v>
      </c>
      <c r="E10300" s="8">
        <v>0</v>
      </c>
      <c r="F10300" s="8">
        <v>480</v>
      </c>
    </row>
    <row r="10301" spans="1:6" ht="12.75">
      <c r="A10301" s="8">
        <v>43900.272905092592</v>
      </c>
      <c r="B10301" s="8" t="str">
        <f>HYPERLINK("https://twitter.com/ILawputra","@ILawputra")</f>
        <v>@ILawputra</v>
      </c>
      <c r="C10301" s="8" t="s">
        <v>4417</v>
      </c>
      <c r="D10301" s="8">
        <v>23</v>
      </c>
      <c r="E10301" s="8">
        <v>0</v>
      </c>
      <c r="F10301" s="8">
        <v>66</v>
      </c>
    </row>
    <row r="10302" spans="1:6" ht="12.75">
      <c r="A10302" s="8">
        <v>43900.272534722222</v>
      </c>
      <c r="B10302" s="8" t="str">
        <f>HYPERLINK("https://twitter.com/rhom89","@rhom89")</f>
        <v>@rhom89</v>
      </c>
      <c r="C10302" s="8" t="s">
        <v>3743</v>
      </c>
      <c r="D10302" s="8">
        <v>720</v>
      </c>
      <c r="E10302" s="8">
        <v>0</v>
      </c>
      <c r="F10302" s="8">
        <v>9</v>
      </c>
    </row>
    <row r="10303" spans="1:6" ht="12.75">
      <c r="A10303" s="8">
        <v>43900.272222222222</v>
      </c>
      <c r="B10303" s="8" t="str">
        <f>HYPERLINK("https://twitter.com/qothrunnadaida","@qothrunnadaida")</f>
        <v>@qothrunnadaida</v>
      </c>
      <c r="C10303" s="8" t="s">
        <v>4365</v>
      </c>
      <c r="D10303" s="8">
        <v>21</v>
      </c>
      <c r="E10303" s="8">
        <v>0</v>
      </c>
      <c r="F10303" s="8">
        <v>284</v>
      </c>
    </row>
    <row r="10304" spans="1:6" ht="12.75">
      <c r="A10304" s="8">
        <v>43900.272106481483</v>
      </c>
      <c r="B10304" s="8" t="str">
        <f>HYPERLINK("https://twitter.com/73Buset","@73Buset")</f>
        <v>@73Buset</v>
      </c>
      <c r="C10304" s="8" t="s">
        <v>3126</v>
      </c>
      <c r="D10304" s="8">
        <v>294</v>
      </c>
      <c r="E10304" s="8">
        <v>0</v>
      </c>
      <c r="F10304" s="8">
        <v>558</v>
      </c>
    </row>
    <row r="10305" spans="1:6" ht="12.75">
      <c r="A10305" s="8">
        <v>43900.271840277783</v>
      </c>
      <c r="B10305" s="8" t="str">
        <f>HYPERLINK("https://twitter.com/kamalpd","@kamalpd")</f>
        <v>@kamalpd</v>
      </c>
      <c r="C10305" s="8" t="s">
        <v>1957</v>
      </c>
      <c r="D10305" s="8">
        <v>1387</v>
      </c>
      <c r="E10305" s="8">
        <v>0</v>
      </c>
      <c r="F10305" s="8">
        <v>181</v>
      </c>
    </row>
    <row r="10306" spans="1:6" ht="12.75">
      <c r="A10306" s="8">
        <v>43900.27171296296</v>
      </c>
      <c r="B10306" s="8" t="str">
        <f>HYPERLINK("https://twitter.com/sapetahni","@sapetahni")</f>
        <v>@sapetahni</v>
      </c>
      <c r="C10306" s="8" t="s">
        <v>4491</v>
      </c>
      <c r="D10306" s="8">
        <v>0</v>
      </c>
      <c r="E10306" s="8">
        <v>0</v>
      </c>
      <c r="F10306" s="8">
        <v>2017</v>
      </c>
    </row>
    <row r="10307" spans="1:6" ht="12.75">
      <c r="A10307" s="8">
        <v>43900.271412037036</v>
      </c>
      <c r="B10307" s="8" t="str">
        <f>HYPERLINK("https://twitter.com/kopitehkopi","@kopitehkopi")</f>
        <v>@kopitehkopi</v>
      </c>
      <c r="C10307" s="8" t="s">
        <v>3262</v>
      </c>
      <c r="D10307" s="8">
        <v>228</v>
      </c>
      <c r="E10307" s="8">
        <v>0</v>
      </c>
      <c r="F10307" s="8">
        <v>4888</v>
      </c>
    </row>
    <row r="10308" spans="1:6" ht="12.75">
      <c r="A10308" s="8">
        <v>43900.271354166667</v>
      </c>
      <c r="B10308" s="8" t="str">
        <f>HYPERLINK("https://twitter.com/ennyelf2","@ennyelf2")</f>
        <v>@ennyelf2</v>
      </c>
      <c r="C10308" s="8" t="s">
        <v>318</v>
      </c>
      <c r="D10308" s="8">
        <v>63</v>
      </c>
      <c r="E10308" s="8">
        <v>0</v>
      </c>
      <c r="F10308" s="8">
        <v>402</v>
      </c>
    </row>
    <row r="10309" spans="1:6" ht="12.75">
      <c r="A10309" s="8">
        <v>43900.271319444444</v>
      </c>
      <c r="B10309" s="8" t="str">
        <f>HYPERLINK("https://twitter.com/ck_vintage","@ck_vintage")</f>
        <v>@ck_vintage</v>
      </c>
      <c r="C10309" s="8" t="s">
        <v>1957</v>
      </c>
      <c r="D10309" s="8">
        <v>1387</v>
      </c>
      <c r="E10309" s="8">
        <v>0</v>
      </c>
      <c r="F10309" s="8">
        <v>75</v>
      </c>
    </row>
    <row r="10310" spans="1:6" ht="12.75">
      <c r="A10310" s="8">
        <v>43900.270844907413</v>
      </c>
      <c r="B10310" s="8" t="str">
        <f>HYPERLINK("https://twitter.com/kompascom","@kompascom")</f>
        <v>@kompascom</v>
      </c>
      <c r="C10310" s="8" t="s">
        <v>4492</v>
      </c>
      <c r="D10310" s="8">
        <v>0</v>
      </c>
      <c r="E10310" s="8">
        <v>5</v>
      </c>
      <c r="F10310" s="8">
        <v>7537757</v>
      </c>
    </row>
    <row r="10311" spans="1:6" ht="12.75">
      <c r="A10311" s="8">
        <v>43900.270474537036</v>
      </c>
      <c r="B10311" s="8" t="str">
        <f>HYPERLINK("https://twitter.com/UjangSuprihatn4","@UjangSuprihatn4")</f>
        <v>@UjangSuprihatn4</v>
      </c>
      <c r="C10311" s="8" t="s">
        <v>318</v>
      </c>
      <c r="D10311" s="8">
        <v>63</v>
      </c>
      <c r="E10311" s="8">
        <v>0</v>
      </c>
      <c r="F10311" s="8">
        <v>698</v>
      </c>
    </row>
    <row r="10312" spans="1:6" ht="12.75">
      <c r="A10312" s="8">
        <v>43900.270474537036</v>
      </c>
      <c r="B10312" s="8" t="str">
        <f>HYPERLINK("https://twitter.com/Chusyairii","@Chusyairii")</f>
        <v>@Chusyairii</v>
      </c>
      <c r="C10312" s="8" t="s">
        <v>4365</v>
      </c>
      <c r="D10312" s="8">
        <v>21</v>
      </c>
      <c r="E10312" s="8">
        <v>0</v>
      </c>
      <c r="F10312" s="8">
        <v>251</v>
      </c>
    </row>
    <row r="10313" spans="1:6" ht="12.75">
      <c r="A10313" s="8">
        <v>43900.270358796297</v>
      </c>
      <c r="B10313" s="8" t="str">
        <f>HYPERLINK("https://twitter.com/Oscar41861193","@Oscar41861193")</f>
        <v>@Oscar41861193</v>
      </c>
      <c r="C10313" s="8" t="s">
        <v>3126</v>
      </c>
      <c r="D10313" s="8">
        <v>294</v>
      </c>
      <c r="E10313" s="8">
        <v>0</v>
      </c>
      <c r="F10313" s="8">
        <v>343</v>
      </c>
    </row>
    <row r="10314" spans="1:6" ht="12.75">
      <c r="A10314" s="8">
        <v>43900.270312499997</v>
      </c>
      <c r="B10314" s="8" t="str">
        <f>HYPERLINK("https://twitter.com/PadjajaranMedia","@PadjajaranMedia")</f>
        <v>@PadjajaranMedia</v>
      </c>
      <c r="C10314" s="8" t="s">
        <v>4493</v>
      </c>
      <c r="D10314" s="8">
        <v>0</v>
      </c>
      <c r="E10314" s="8">
        <v>0</v>
      </c>
      <c r="F10314" s="8">
        <v>171</v>
      </c>
    </row>
    <row r="10315" spans="1:6" ht="12.75">
      <c r="A10315" s="8">
        <v>43900.270300925928</v>
      </c>
      <c r="B10315" s="8" t="str">
        <f>HYPERLINK("https://twitter.com/Konco_82","@Konco_82")</f>
        <v>@Konco_82</v>
      </c>
      <c r="C10315" s="8" t="s">
        <v>4494</v>
      </c>
      <c r="D10315" s="8">
        <v>2</v>
      </c>
      <c r="E10315" s="8">
        <v>0</v>
      </c>
      <c r="F10315" s="8">
        <v>1717</v>
      </c>
    </row>
    <row r="10316" spans="1:6" ht="12.75">
      <c r="A10316" s="8">
        <v>43900.270069444443</v>
      </c>
      <c r="B10316" s="8" t="str">
        <f>HYPERLINK("https://twitter.com/ISIS_Balik_NO","@ISIS_Balik_NO")</f>
        <v>@ISIS_Balik_NO</v>
      </c>
      <c r="C10316" s="8" t="s">
        <v>4495</v>
      </c>
      <c r="D10316" s="8">
        <v>0</v>
      </c>
      <c r="E10316" s="8">
        <v>0</v>
      </c>
      <c r="F10316" s="8">
        <v>6220</v>
      </c>
    </row>
    <row r="10317" spans="1:6" ht="12.75">
      <c r="A10317" s="8">
        <v>43900.269965277781</v>
      </c>
      <c r="B10317" s="8" t="str">
        <f>HYPERLINK("https://twitter.com/user_3131","@user_3131")</f>
        <v>@user_3131</v>
      </c>
      <c r="C10317" s="8" t="s">
        <v>4417</v>
      </c>
      <c r="D10317" s="8">
        <v>23</v>
      </c>
      <c r="E10317" s="8">
        <v>0</v>
      </c>
      <c r="F10317" s="8">
        <v>163</v>
      </c>
    </row>
    <row r="10318" spans="1:6" ht="12.75">
      <c r="A10318" s="8">
        <v>43900.269814814819</v>
      </c>
      <c r="B10318" s="8" t="str">
        <f>HYPERLINK("https://twitter.com/SalimFarrah","@SalimFarrah")</f>
        <v>@SalimFarrah</v>
      </c>
      <c r="C10318" s="8" t="s">
        <v>4496</v>
      </c>
      <c r="D10318" s="8">
        <v>0</v>
      </c>
      <c r="E10318" s="8">
        <v>0</v>
      </c>
      <c r="F10318" s="8">
        <v>597</v>
      </c>
    </row>
    <row r="10319" spans="1:6" ht="12.75">
      <c r="A10319" s="8">
        <v>43900.268148148149</v>
      </c>
      <c r="B10319" s="8" t="str">
        <f>HYPERLINK("https://twitter.com/jjsengui","@jjsengui")</f>
        <v>@jjsengui</v>
      </c>
      <c r="C10319" s="8" t="s">
        <v>4497</v>
      </c>
      <c r="D10319" s="8">
        <v>1</v>
      </c>
      <c r="E10319" s="8">
        <v>0</v>
      </c>
      <c r="F10319" s="8">
        <v>906</v>
      </c>
    </row>
    <row r="10320" spans="1:6" ht="12.75">
      <c r="A10320" s="8">
        <v>43900.268078703702</v>
      </c>
      <c r="B10320" s="8" t="str">
        <f>HYPERLINK("https://twitter.com/soundBroKen","@soundBroKen")</f>
        <v>@soundBroKen</v>
      </c>
      <c r="C10320" s="8" t="s">
        <v>4365</v>
      </c>
      <c r="D10320" s="8">
        <v>21</v>
      </c>
      <c r="E10320" s="8">
        <v>0</v>
      </c>
      <c r="F10320" s="8">
        <v>219</v>
      </c>
    </row>
    <row r="10321" spans="1:6" ht="12.75">
      <c r="A10321" s="8">
        <v>43900.267708333333</v>
      </c>
      <c r="B10321" s="8" t="str">
        <f>HYPERLINK("https://twitter.com/sukatanyaj","@sukatanyaj")</f>
        <v>@sukatanyaj</v>
      </c>
      <c r="C10321" s="8" t="s">
        <v>3126</v>
      </c>
      <c r="D10321" s="8">
        <v>294</v>
      </c>
      <c r="E10321" s="8">
        <v>0</v>
      </c>
      <c r="F10321" s="8">
        <v>5696</v>
      </c>
    </row>
    <row r="10322" spans="1:6" ht="12.75">
      <c r="A10322" s="8">
        <v>43900.267013888893</v>
      </c>
      <c r="B10322" s="8" t="str">
        <f>HYPERLINK("https://twitter.com/Konco_82","@Konco_82")</f>
        <v>@Konco_82</v>
      </c>
      <c r="C10322" s="8" t="s">
        <v>2872</v>
      </c>
      <c r="D10322" s="8">
        <v>3</v>
      </c>
      <c r="E10322" s="8">
        <v>0</v>
      </c>
      <c r="F10322" s="8">
        <v>1717</v>
      </c>
    </row>
    <row r="10323" spans="1:6" ht="12.75">
      <c r="A10323" s="8">
        <v>43900.266828703709</v>
      </c>
      <c r="B10323" s="8" t="str">
        <f>HYPERLINK("https://twitter.com/Beri19","@Beri19")</f>
        <v>@Beri19</v>
      </c>
      <c r="C10323" s="8" t="s">
        <v>4365</v>
      </c>
      <c r="D10323" s="8">
        <v>21</v>
      </c>
      <c r="E10323" s="8">
        <v>0</v>
      </c>
      <c r="F10323" s="8">
        <v>570</v>
      </c>
    </row>
    <row r="10324" spans="1:6" ht="12.75">
      <c r="A10324" s="8">
        <v>43900.266597222224</v>
      </c>
      <c r="B10324" s="8" t="str">
        <f>HYPERLINK("https://twitter.com/noura_fitri","@noura_fitri")</f>
        <v>@noura_fitri</v>
      </c>
      <c r="C10324" s="8" t="s">
        <v>4417</v>
      </c>
      <c r="D10324" s="8">
        <v>23</v>
      </c>
      <c r="E10324" s="8">
        <v>0</v>
      </c>
      <c r="F10324" s="8">
        <v>365</v>
      </c>
    </row>
    <row r="10325" spans="1:6" ht="12.75">
      <c r="A10325" s="8">
        <v>43900.266585648147</v>
      </c>
      <c r="B10325" s="8" t="str">
        <f>HYPERLINK("https://twitter.com/Nina_amang","@Nina_amang")</f>
        <v>@Nina_amang</v>
      </c>
      <c r="C10325" s="8" t="s">
        <v>3633</v>
      </c>
      <c r="D10325" s="8">
        <v>6</v>
      </c>
      <c r="E10325" s="8">
        <v>0</v>
      </c>
      <c r="F10325" s="8">
        <v>1142</v>
      </c>
    </row>
    <row r="10326" spans="1:6" ht="12.75">
      <c r="A10326" s="8">
        <v>43900.256319444445</v>
      </c>
      <c r="B10326" s="8" t="str">
        <f>HYPERLINK("https://twitter.com/kbriportmoresby","@kbriportmoresby")</f>
        <v>@kbriportmoresby</v>
      </c>
      <c r="C10326" s="8" t="s">
        <v>3168</v>
      </c>
      <c r="D10326" s="8">
        <v>55</v>
      </c>
      <c r="E10326" s="8">
        <v>0</v>
      </c>
      <c r="F10326" s="8">
        <v>505</v>
      </c>
    </row>
    <row r="10327" spans="1:6" ht="12.75">
      <c r="A10327" s="8">
        <v>43900.255555555559</v>
      </c>
      <c r="B10327" s="8" t="str">
        <f>HYPERLINK("https://twitter.com/yonna_double_n","@yonna_double_n")</f>
        <v>@yonna_double_n</v>
      </c>
      <c r="C10327" s="8" t="s">
        <v>4498</v>
      </c>
      <c r="D10327" s="8">
        <v>0</v>
      </c>
      <c r="E10327" s="8">
        <v>0</v>
      </c>
      <c r="F10327" s="8">
        <v>0</v>
      </c>
    </row>
    <row r="10328" spans="1:6" ht="12.75">
      <c r="A10328" s="8">
        <v>43900.25509259259</v>
      </c>
      <c r="B10328" s="8" t="str">
        <f>HYPERLINK("https://twitter.com/mukhlasinn","@mukhlasinn")</f>
        <v>@mukhlasinn</v>
      </c>
      <c r="C10328" s="8" t="s">
        <v>318</v>
      </c>
      <c r="D10328" s="8">
        <v>36</v>
      </c>
      <c r="E10328" s="8">
        <v>0</v>
      </c>
      <c r="F10328" s="8">
        <v>510</v>
      </c>
    </row>
    <row r="10329" spans="1:6" ht="12.75">
      <c r="A10329" s="8">
        <v>43900.254270833335</v>
      </c>
      <c r="B10329" s="8" t="str">
        <f>HYPERLINK("https://twitter.com/pvsarath","@pvsarath")</f>
        <v>@pvsarath</v>
      </c>
      <c r="C10329" s="8" t="s">
        <v>1957</v>
      </c>
      <c r="D10329" s="8">
        <v>1375</v>
      </c>
      <c r="E10329" s="8">
        <v>0</v>
      </c>
      <c r="F10329" s="8">
        <v>470</v>
      </c>
    </row>
    <row r="10330" spans="1:6" ht="12.75">
      <c r="A10330" s="8">
        <v>43900.253796296296</v>
      </c>
      <c r="B10330" s="8" t="str">
        <f>HYPERLINK("https://twitter.com/medcom_id","@medcom_id")</f>
        <v>@medcom_id</v>
      </c>
      <c r="C10330" s="8" t="s">
        <v>4499</v>
      </c>
      <c r="D10330" s="8">
        <v>0</v>
      </c>
      <c r="E10330" s="8">
        <v>0</v>
      </c>
      <c r="F10330" s="8">
        <v>18551</v>
      </c>
    </row>
    <row r="10331" spans="1:6" ht="12.75">
      <c r="A10331" s="8">
        <v>43900.253668981481</v>
      </c>
      <c r="B10331" s="8" t="str">
        <f>HYPERLINK("https://twitter.com/PrideIndonesia","@PrideIndonesia")</f>
        <v>@PrideIndonesia</v>
      </c>
      <c r="C10331" s="8" t="s">
        <v>3262</v>
      </c>
      <c r="D10331" s="8">
        <v>224</v>
      </c>
      <c r="E10331" s="8">
        <v>0</v>
      </c>
      <c r="F10331" s="8">
        <v>850</v>
      </c>
    </row>
    <row r="10332" spans="1:6" ht="12.75">
      <c r="A10332" s="8">
        <v>43900.25200231481</v>
      </c>
      <c r="B10332" s="8" t="str">
        <f>HYPERLINK("https://twitter.com/ayamgoreng28","@ayamgoreng28")</f>
        <v>@ayamgoreng28</v>
      </c>
      <c r="C10332" s="8" t="s">
        <v>4500</v>
      </c>
      <c r="D10332" s="8">
        <v>0</v>
      </c>
      <c r="E10332" s="8">
        <v>0</v>
      </c>
      <c r="F10332" s="8">
        <v>31</v>
      </c>
    </row>
    <row r="10333" spans="1:6" ht="12.75">
      <c r="A10333" s="8">
        <v>43900.251747685186</v>
      </c>
      <c r="B10333" s="8" t="str">
        <f>HYPERLINK("https://twitter.com/stuichkov","@stuichkov")</f>
        <v>@stuichkov</v>
      </c>
      <c r="C10333" s="8" t="s">
        <v>4365</v>
      </c>
      <c r="D10333" s="8">
        <v>2</v>
      </c>
      <c r="E10333" s="8">
        <v>0</v>
      </c>
      <c r="F10333" s="8">
        <v>1351</v>
      </c>
    </row>
    <row r="10334" spans="1:6" ht="12.75">
      <c r="A10334" s="8">
        <v>43900.251076388886</v>
      </c>
      <c r="B10334" s="8" t="str">
        <f>HYPERLINK("https://twitter.com/irfanofa","@irfanofa")</f>
        <v>@irfanofa</v>
      </c>
      <c r="C10334" s="8" t="s">
        <v>4365</v>
      </c>
      <c r="D10334" s="8">
        <v>2</v>
      </c>
      <c r="E10334" s="8">
        <v>0</v>
      </c>
      <c r="F10334" s="8">
        <v>2261</v>
      </c>
    </row>
    <row r="10335" spans="1:6" ht="12.75">
      <c r="A10335" s="8">
        <v>43900.2503125</v>
      </c>
      <c r="B10335" s="8" t="str">
        <f>HYPERLINK("https://twitter.com/BETAWI_KOTA","@BETAWI_KOTA")</f>
        <v>@BETAWI_KOTA</v>
      </c>
      <c r="C10335" s="8" t="s">
        <v>318</v>
      </c>
      <c r="D10335" s="8">
        <v>36</v>
      </c>
      <c r="E10335" s="8">
        <v>0</v>
      </c>
      <c r="F10335" s="8">
        <v>795</v>
      </c>
    </row>
    <row r="10336" spans="1:6" ht="12.75">
      <c r="A10336" s="8">
        <v>43900.250254629631</v>
      </c>
      <c r="B10336" s="8" t="str">
        <f>HYPERLINK("https://twitter.com/Joglosemarnews","@Joglosemarnews")</f>
        <v>@Joglosemarnews</v>
      </c>
      <c r="C10336" s="8" t="s">
        <v>4501</v>
      </c>
      <c r="D10336" s="8">
        <v>0</v>
      </c>
      <c r="E10336" s="8">
        <v>0</v>
      </c>
      <c r="F10336" s="8">
        <v>320</v>
      </c>
    </row>
    <row r="10337" spans="1:6" ht="12.75">
      <c r="A10337" s="8">
        <v>43900.25</v>
      </c>
      <c r="B10337" s="8" t="str">
        <f>HYPERLINK("https://twitter.com/FootballTribeID","@FootballTribeID")</f>
        <v>@FootballTribeID</v>
      </c>
      <c r="C10337" s="8" t="s">
        <v>4502</v>
      </c>
      <c r="D10337" s="8">
        <v>2</v>
      </c>
      <c r="E10337" s="8">
        <v>7</v>
      </c>
      <c r="F10337" s="8">
        <v>33183</v>
      </c>
    </row>
    <row r="10338" spans="1:6" ht="12.75">
      <c r="A10338" s="8">
        <v>43900.24936342593</v>
      </c>
      <c r="B10338" s="8" t="str">
        <f>HYPERLINK("https://twitter.com/kbaswaja","@kbaswaja")</f>
        <v>@kbaswaja</v>
      </c>
      <c r="C10338" s="8" t="s">
        <v>4503</v>
      </c>
      <c r="D10338" s="8">
        <v>0</v>
      </c>
      <c r="E10338" s="8">
        <v>1</v>
      </c>
      <c r="F10338" s="8">
        <v>11923</v>
      </c>
    </row>
    <row r="10339" spans="1:6" ht="12.75">
      <c r="A10339" s="8">
        <v>43900.249201388884</v>
      </c>
      <c r="B10339" s="8" t="str">
        <f>HYPERLINK("https://twitter.com/Tiffany54914537","@Tiffany54914537")</f>
        <v>@Tiffany54914537</v>
      </c>
      <c r="C10339" s="8" t="s">
        <v>4504</v>
      </c>
      <c r="D10339" s="8">
        <v>0</v>
      </c>
      <c r="E10339" s="8">
        <v>0</v>
      </c>
      <c r="F10339" s="8">
        <v>0</v>
      </c>
    </row>
    <row r="10340" spans="1:6" ht="12.75">
      <c r="A10340" s="8">
        <v>43900.248935185184</v>
      </c>
      <c r="B10340" s="8" t="str">
        <f>HYPERLINK("https://twitter.com/siva_varadhan","@siva_varadhan")</f>
        <v>@siva_varadhan</v>
      </c>
      <c r="C10340" s="8" t="s">
        <v>1957</v>
      </c>
      <c r="D10340" s="8">
        <v>1375</v>
      </c>
      <c r="E10340" s="8">
        <v>0</v>
      </c>
      <c r="F10340" s="8">
        <v>12</v>
      </c>
    </row>
    <row r="10341" spans="1:6" ht="12.75">
      <c r="A10341" s="8">
        <v>43900.248819444445</v>
      </c>
      <c r="B10341" s="8" t="str">
        <f>HYPERLINK("https://twitter.com/arm4di0n","@arm4di0n")</f>
        <v>@arm4di0n</v>
      </c>
      <c r="C10341" s="8" t="s">
        <v>318</v>
      </c>
      <c r="D10341" s="8">
        <v>36</v>
      </c>
      <c r="E10341" s="8">
        <v>0</v>
      </c>
      <c r="F10341" s="8">
        <v>578</v>
      </c>
    </row>
    <row r="10342" spans="1:6" ht="12.75">
      <c r="A10342" s="8">
        <v>43900.248703703706</v>
      </c>
      <c r="B10342" s="8" t="str">
        <f>HYPERLINK("https://twitter.com/sabriahrazak","@sabriahrazak")</f>
        <v>@sabriahrazak</v>
      </c>
      <c r="C10342" s="8" t="s">
        <v>318</v>
      </c>
      <c r="D10342" s="8">
        <v>36</v>
      </c>
      <c r="E10342" s="8">
        <v>0</v>
      </c>
      <c r="F10342" s="8">
        <v>2287</v>
      </c>
    </row>
    <row r="10343" spans="1:6" ht="12.75">
      <c r="A10343" s="8">
        <v>43900.248668981483</v>
      </c>
      <c r="B10343" s="8" t="str">
        <f>HYPERLINK("https://twitter.com/gopikrishnaa","@gopikrishnaa")</f>
        <v>@gopikrishnaa</v>
      </c>
      <c r="C10343" s="8" t="s">
        <v>1957</v>
      </c>
      <c r="D10343" s="8">
        <v>1375</v>
      </c>
      <c r="E10343" s="8">
        <v>0</v>
      </c>
      <c r="F10343" s="8">
        <v>731</v>
      </c>
    </row>
    <row r="10344" spans="1:6" ht="12.75">
      <c r="A10344" s="8">
        <v>43900.24790509259</v>
      </c>
      <c r="B10344" s="8" t="str">
        <f>HYPERLINK("https://twitter.com/dwninda","@dwninda")</f>
        <v>@dwninda</v>
      </c>
      <c r="C10344" s="8" t="s">
        <v>4417</v>
      </c>
      <c r="D10344" s="8">
        <v>20</v>
      </c>
      <c r="E10344" s="8">
        <v>0</v>
      </c>
      <c r="F10344" s="8">
        <v>364</v>
      </c>
    </row>
    <row r="10345" spans="1:6" ht="12.75">
      <c r="A10345" s="8">
        <v>43900.247546296298</v>
      </c>
      <c r="B10345" s="8" t="str">
        <f>HYPERLINK("https://twitter.com/Rudihartonos","@Rudihartonos")</f>
        <v>@Rudihartonos</v>
      </c>
      <c r="C10345" s="8" t="s">
        <v>318</v>
      </c>
      <c r="D10345" s="8">
        <v>36</v>
      </c>
      <c r="E10345" s="8">
        <v>0</v>
      </c>
      <c r="F10345" s="8">
        <v>669</v>
      </c>
    </row>
    <row r="10346" spans="1:6" ht="12.75">
      <c r="A10346" s="8">
        <v>43900.246874999997</v>
      </c>
      <c r="B10346" s="8" t="str">
        <f>HYPERLINK("https://twitter.com/CSEASUCB","@CSEASUCB")</f>
        <v>@CSEASUCB</v>
      </c>
      <c r="C10346" s="8" t="s">
        <v>4505</v>
      </c>
      <c r="D10346" s="8">
        <v>2</v>
      </c>
      <c r="E10346" s="8">
        <v>0</v>
      </c>
      <c r="F10346" s="8">
        <v>2274</v>
      </c>
    </row>
    <row r="10347" spans="1:6" ht="12.75">
      <c r="A10347" s="8">
        <v>43900.246412037042</v>
      </c>
      <c r="B10347" s="8" t="str">
        <f>HYPERLINK("https://twitter.com/kbrimaputo","@kbrimaputo")</f>
        <v>@kbrimaputo</v>
      </c>
      <c r="C10347" s="8" t="s">
        <v>4506</v>
      </c>
      <c r="D10347" s="8">
        <v>0</v>
      </c>
      <c r="E10347" s="8">
        <v>1</v>
      </c>
      <c r="F10347" s="8">
        <v>326</v>
      </c>
    </row>
    <row r="10348" spans="1:6" ht="12.75">
      <c r="A10348" s="8">
        <v>43900.246296296296</v>
      </c>
      <c r="B10348" s="8" t="str">
        <f>HYPERLINK("https://twitter.com/Sidd_Info","@Sidd_Info")</f>
        <v>@Sidd_Info</v>
      </c>
      <c r="C10348" s="8" t="s">
        <v>1957</v>
      </c>
      <c r="D10348" s="8">
        <v>1375</v>
      </c>
      <c r="E10348" s="8">
        <v>0</v>
      </c>
      <c r="F10348" s="8">
        <v>94</v>
      </c>
    </row>
    <row r="10349" spans="1:6" ht="12.75">
      <c r="A10349" s="8">
        <v>43900.244259259256</v>
      </c>
      <c r="B10349" s="8" t="str">
        <f>HYPERLINK("https://twitter.com/thebrahmingal","@thebrahmingal")</f>
        <v>@thebrahmingal</v>
      </c>
      <c r="C10349" s="8" t="s">
        <v>1957</v>
      </c>
      <c r="D10349" s="8">
        <v>1375</v>
      </c>
      <c r="E10349" s="8">
        <v>0</v>
      </c>
      <c r="F10349" s="8">
        <v>2465</v>
      </c>
    </row>
    <row r="10350" spans="1:6" ht="12.75">
      <c r="A10350" s="8">
        <v>43900.244108796294</v>
      </c>
      <c r="B10350" s="8" t="str">
        <f>HYPERLINK("https://twitter.com/republikaonline","@republikaonline")</f>
        <v>@republikaonline</v>
      </c>
      <c r="C10350" s="8" t="s">
        <v>4507</v>
      </c>
      <c r="D10350" s="8">
        <v>0</v>
      </c>
      <c r="E10350" s="8">
        <v>5</v>
      </c>
      <c r="F10350" s="8">
        <v>1222977</v>
      </c>
    </row>
    <row r="10351" spans="1:6" ht="12.75">
      <c r="A10351" s="8">
        <v>43900.243506944447</v>
      </c>
      <c r="B10351" s="8" t="str">
        <f>HYPERLINK("https://twitter.com/ryan_eza","@ryan_eza")</f>
        <v>@ryan_eza</v>
      </c>
      <c r="C10351" s="8" t="s">
        <v>318</v>
      </c>
      <c r="D10351" s="8">
        <v>36</v>
      </c>
      <c r="E10351" s="8">
        <v>0</v>
      </c>
      <c r="F10351" s="8">
        <v>222</v>
      </c>
    </row>
    <row r="10352" spans="1:6" ht="12.75">
      <c r="A10352" s="8">
        <v>43900.241724537038</v>
      </c>
      <c r="B10352" s="8" t="str">
        <f>HYPERLINK("https://twitter.com/bolabangetidn","@bolabangetidn")</f>
        <v>@bolabangetidn</v>
      </c>
      <c r="C10352" s="8" t="s">
        <v>4508</v>
      </c>
      <c r="D10352" s="8">
        <v>0</v>
      </c>
      <c r="E10352" s="8">
        <v>0</v>
      </c>
      <c r="F10352" s="8">
        <v>520</v>
      </c>
    </row>
    <row r="10353" spans="1:6" ht="12.75">
      <c r="A10353" s="8">
        <v>43900.241273148145</v>
      </c>
      <c r="B10353" s="8" t="str">
        <f>HYPERLINK("https://twitter.com/reditanp","@reditanp")</f>
        <v>@reditanp</v>
      </c>
      <c r="C10353" s="8" t="s">
        <v>4236</v>
      </c>
      <c r="D10353" s="8">
        <v>3</v>
      </c>
      <c r="E10353" s="8">
        <v>0</v>
      </c>
      <c r="F10353" s="8">
        <v>354</v>
      </c>
    </row>
    <row r="10354" spans="1:6" ht="12.75">
      <c r="A10354" s="8">
        <v>43900.240659722222</v>
      </c>
      <c r="B10354" s="8" t="str">
        <f>HYPERLINK("https://twitter.com/anggitfathur","@anggitfathur")</f>
        <v>@anggitfathur</v>
      </c>
      <c r="C10354" s="8" t="s">
        <v>4509</v>
      </c>
      <c r="D10354" s="8">
        <v>0</v>
      </c>
      <c r="E10354" s="8">
        <v>0</v>
      </c>
      <c r="F10354" s="8">
        <v>32</v>
      </c>
    </row>
    <row r="10355" spans="1:6" ht="12.75">
      <c r="A10355" s="8">
        <v>43900.240069444444</v>
      </c>
      <c r="B10355" s="8" t="str">
        <f>HYPERLINK("https://twitter.com/Haka_rainen","@Haka_rainen")</f>
        <v>@Haka_rainen</v>
      </c>
      <c r="C10355" s="8" t="s">
        <v>318</v>
      </c>
      <c r="D10355" s="8">
        <v>36</v>
      </c>
      <c r="E10355" s="8">
        <v>0</v>
      </c>
      <c r="F10355" s="8">
        <v>181</v>
      </c>
    </row>
    <row r="10356" spans="1:6" ht="12.75">
      <c r="A10356" s="8">
        <v>43900.238692129627</v>
      </c>
      <c r="B10356" s="8" t="str">
        <f>HYPERLINK("https://twitter.com/yanisuparno","@yanisuparno")</f>
        <v>@yanisuparno</v>
      </c>
      <c r="C10356" s="8" t="s">
        <v>318</v>
      </c>
      <c r="D10356" s="8">
        <v>36</v>
      </c>
      <c r="E10356" s="8">
        <v>0</v>
      </c>
      <c r="F10356" s="8">
        <v>483</v>
      </c>
    </row>
    <row r="10357" spans="1:6" ht="12.75">
      <c r="A10357" s="8">
        <v>43900.23846064815</v>
      </c>
      <c r="B10357" s="8" t="str">
        <f>HYPERLINK("https://twitter.com/donnyysetiawan","@donnyysetiawan")</f>
        <v>@donnyysetiawan</v>
      </c>
      <c r="C10357" s="8" t="s">
        <v>318</v>
      </c>
      <c r="D10357" s="8">
        <v>36</v>
      </c>
      <c r="E10357" s="8">
        <v>0</v>
      </c>
      <c r="F10357" s="8">
        <v>663</v>
      </c>
    </row>
    <row r="10358" spans="1:6" ht="12.75">
      <c r="A10358" s="8">
        <v>43900.238009259258</v>
      </c>
      <c r="B10358" s="8" t="str">
        <f>HYPERLINK("https://twitter.com/gaolehsambattt","@gaolehsambattt")</f>
        <v>@gaolehsambattt</v>
      </c>
      <c r="C10358" s="8" t="s">
        <v>1427</v>
      </c>
      <c r="D10358" s="8">
        <v>1046</v>
      </c>
      <c r="E10358" s="8">
        <v>0</v>
      </c>
      <c r="F10358" s="8">
        <v>203</v>
      </c>
    </row>
    <row r="10359" spans="1:6" ht="12.75">
      <c r="A10359" s="8">
        <v>43900.237858796296</v>
      </c>
      <c r="B10359" s="8" t="str">
        <f>HYPERLINK("https://twitter.com/maxaghie","@maxaghie")</f>
        <v>@maxaghie</v>
      </c>
      <c r="C10359" s="8" t="s">
        <v>318</v>
      </c>
      <c r="D10359" s="8">
        <v>36</v>
      </c>
      <c r="E10359" s="8">
        <v>0</v>
      </c>
      <c r="F10359" s="8">
        <v>59</v>
      </c>
    </row>
    <row r="10360" spans="1:6" ht="12.75">
      <c r="A10360" s="8">
        <v>43900.237743055557</v>
      </c>
      <c r="B10360" s="8" t="str">
        <f>HYPERLINK("https://twitter.com/MayantiToding","@MayantiToding")</f>
        <v>@MayantiToding</v>
      </c>
      <c r="C10360" s="8" t="s">
        <v>3969</v>
      </c>
      <c r="D10360" s="8">
        <v>44</v>
      </c>
      <c r="E10360" s="8">
        <v>0</v>
      </c>
      <c r="F10360" s="8">
        <v>204</v>
      </c>
    </row>
    <row r="10361" spans="1:6" ht="12.75">
      <c r="A10361" s="8">
        <v>43900.235798611116</v>
      </c>
      <c r="B10361" s="8" t="str">
        <f>HYPERLINK("https://twitter.com/i_SandeepNikam","@i_SandeepNikam")</f>
        <v>@i_SandeepNikam</v>
      </c>
      <c r="C10361" s="8" t="s">
        <v>1957</v>
      </c>
      <c r="D10361" s="8">
        <v>1375</v>
      </c>
      <c r="E10361" s="8">
        <v>0</v>
      </c>
      <c r="F10361" s="8">
        <v>74</v>
      </c>
    </row>
    <row r="10362" spans="1:6" ht="12.75">
      <c r="A10362" s="8">
        <v>43900.235590277778</v>
      </c>
      <c r="B10362" s="8" t="str">
        <f>HYPERLINK("https://twitter.com/bernadgh","@bernadgh")</f>
        <v>@bernadgh</v>
      </c>
      <c r="C10362" s="8" t="s">
        <v>4510</v>
      </c>
      <c r="D10362" s="8">
        <v>130</v>
      </c>
      <c r="E10362" s="8">
        <v>0</v>
      </c>
      <c r="F10362" s="8">
        <v>2026</v>
      </c>
    </row>
    <row r="10363" spans="1:6" ht="12.75">
      <c r="A10363" s="8">
        <v>43900.235486111109</v>
      </c>
      <c r="B10363" s="8" t="str">
        <f>HYPERLINK("https://twitter.com/shaashtanga","@shaashtanga")</f>
        <v>@shaashtanga</v>
      </c>
      <c r="C10363" s="8" t="s">
        <v>1957</v>
      </c>
      <c r="D10363" s="8">
        <v>1375</v>
      </c>
      <c r="E10363" s="8">
        <v>0</v>
      </c>
      <c r="F10363" s="8">
        <v>686</v>
      </c>
    </row>
    <row r="10364" spans="1:6" ht="12.75">
      <c r="A10364" s="8">
        <v>43900.232974537037</v>
      </c>
      <c r="B10364" s="8" t="str">
        <f>HYPERLINK("https://twitter.com/shitian321136","@shitian321136")</f>
        <v>@shitian321136</v>
      </c>
      <c r="C10364" s="8" t="s">
        <v>4511</v>
      </c>
      <c r="D10364" s="8">
        <v>0</v>
      </c>
      <c r="E10364" s="8">
        <v>0</v>
      </c>
      <c r="F10364" s="8">
        <v>931</v>
      </c>
    </row>
    <row r="10365" spans="1:6" ht="12.75">
      <c r="A10365" s="8">
        <v>43900.231550925921</v>
      </c>
      <c r="B10365" s="8" t="str">
        <f>HYPERLINK("https://twitter.com/ronggo81","@ronggo81")</f>
        <v>@ronggo81</v>
      </c>
      <c r="C10365" s="8" t="s">
        <v>3969</v>
      </c>
      <c r="D10365" s="8">
        <v>44</v>
      </c>
      <c r="E10365" s="8">
        <v>0</v>
      </c>
      <c r="F10365" s="8">
        <v>4199</v>
      </c>
    </row>
    <row r="10366" spans="1:6" ht="12.75">
      <c r="A10366" s="8">
        <v>43900.231504629628</v>
      </c>
      <c r="B10366" s="8" t="str">
        <f>HYPERLINK("https://twitter.com/MAlexandriet","@MAlexandriet")</f>
        <v>@MAlexandriet</v>
      </c>
      <c r="C10366" s="8" t="s">
        <v>3262</v>
      </c>
      <c r="D10366" s="8">
        <v>224</v>
      </c>
      <c r="E10366" s="8">
        <v>0</v>
      </c>
      <c r="F10366" s="8">
        <v>207</v>
      </c>
    </row>
    <row r="10367" spans="1:6" ht="12.75">
      <c r="A10367" s="8">
        <v>43900.230057870373</v>
      </c>
      <c r="B10367" s="8" t="str">
        <f>HYPERLINK("https://twitter.com/555masteng","@555masteng")</f>
        <v>@555masteng</v>
      </c>
      <c r="C10367" s="8" t="s">
        <v>3969</v>
      </c>
      <c r="D10367" s="8">
        <v>44</v>
      </c>
      <c r="E10367" s="8">
        <v>0</v>
      </c>
      <c r="F10367" s="8">
        <v>5579</v>
      </c>
    </row>
    <row r="10368" spans="1:6" ht="12.75">
      <c r="A10368" s="8">
        <v>43900.229016203702</v>
      </c>
      <c r="B10368" s="8" t="str">
        <f>HYPERLINK("https://twitter.com/dwiya_rizkani","@dwiya_rizkani")</f>
        <v>@dwiya_rizkani</v>
      </c>
      <c r="C10368" s="8" t="s">
        <v>4417</v>
      </c>
      <c r="D10368" s="8">
        <v>20</v>
      </c>
      <c r="E10368" s="8">
        <v>0</v>
      </c>
      <c r="F10368" s="8">
        <v>267</v>
      </c>
    </row>
    <row r="10369" spans="1:6" ht="12.75">
      <c r="A10369" s="8">
        <v>43900.219872685186</v>
      </c>
      <c r="B10369" s="8" t="str">
        <f>HYPERLINK("https://twitter.com/TruthSpeaksTuff","@TruthSpeaksTuff")</f>
        <v>@TruthSpeaksTuff</v>
      </c>
      <c r="C10369" s="8" t="s">
        <v>1957</v>
      </c>
      <c r="D10369" s="8">
        <v>1375</v>
      </c>
      <c r="E10369" s="8">
        <v>0</v>
      </c>
      <c r="F10369" s="8">
        <v>2112</v>
      </c>
    </row>
    <row r="10370" spans="1:6" ht="12.75">
      <c r="A10370" s="8">
        <v>43900.217523148152</v>
      </c>
      <c r="B10370" s="8" t="str">
        <f>HYPERLINK("https://twitter.com/taufiq_alif","@taufiq_alif")</f>
        <v>@taufiq_alif</v>
      </c>
      <c r="C10370" s="8" t="s">
        <v>3168</v>
      </c>
      <c r="D10370" s="8">
        <v>55</v>
      </c>
      <c r="E10370" s="8">
        <v>0</v>
      </c>
      <c r="F10370" s="8">
        <v>316</v>
      </c>
    </row>
    <row r="10371" spans="1:6" ht="12.75">
      <c r="A10371" s="8">
        <v>43900.216134259259</v>
      </c>
      <c r="B10371" s="8" t="str">
        <f>HYPERLINK("https://twitter.com/Bagas73307108","@Bagas73307108")</f>
        <v>@Bagas73307108</v>
      </c>
      <c r="C10371" s="8" t="s">
        <v>3126</v>
      </c>
      <c r="D10371" s="8">
        <v>264</v>
      </c>
      <c r="E10371" s="8">
        <v>0</v>
      </c>
      <c r="F10371" s="8">
        <v>439</v>
      </c>
    </row>
    <row r="10372" spans="1:6" ht="12.75">
      <c r="A10372" s="8">
        <v>43900.214282407411</v>
      </c>
      <c r="B10372" s="8" t="str">
        <f>HYPERLINK("https://twitter.com/agtriady","@agtriady")</f>
        <v>@agtriady</v>
      </c>
      <c r="C10372" s="8" t="s">
        <v>4512</v>
      </c>
      <c r="D10372" s="8">
        <v>0</v>
      </c>
      <c r="E10372" s="8">
        <v>0</v>
      </c>
      <c r="F10372" s="8">
        <v>203</v>
      </c>
    </row>
    <row r="10373" spans="1:6" ht="12.75">
      <c r="A10373" s="8">
        <v>43900.213726851856</v>
      </c>
      <c r="B10373" s="8" t="str">
        <f>HYPERLINK("https://twitter.com/cowo_rasamocca","@cowo_rasamocca")</f>
        <v>@cowo_rasamocca</v>
      </c>
      <c r="C10373" s="8" t="s">
        <v>318</v>
      </c>
      <c r="D10373" s="8">
        <v>22</v>
      </c>
      <c r="E10373" s="8">
        <v>0</v>
      </c>
      <c r="F10373" s="8">
        <v>6437</v>
      </c>
    </row>
    <row r="10374" spans="1:6" ht="12.75">
      <c r="A10374" s="8">
        <v>43900.212083333332</v>
      </c>
      <c r="B10374" s="8" t="str">
        <f>HYPERLINK("https://twitter.com/k4m3l1on","@k4m3l1on")</f>
        <v>@k4m3l1on</v>
      </c>
      <c r="C10374" s="8" t="s">
        <v>1957</v>
      </c>
      <c r="D10374" s="8">
        <v>1366</v>
      </c>
      <c r="E10374" s="8">
        <v>0</v>
      </c>
      <c r="F10374" s="8">
        <v>38</v>
      </c>
    </row>
    <row r="10375" spans="1:6" ht="12.75">
      <c r="A10375" s="8">
        <v>43900.211365740739</v>
      </c>
      <c r="B10375" s="8" t="str">
        <f>HYPERLINK("https://twitter.com/Firmansyah_02_","@Firmansyah_02_")</f>
        <v>@Firmansyah_02_</v>
      </c>
      <c r="C10375" s="8" t="s">
        <v>318</v>
      </c>
      <c r="D10375" s="8">
        <v>22</v>
      </c>
      <c r="E10375" s="8">
        <v>0</v>
      </c>
      <c r="F10375" s="8">
        <v>235</v>
      </c>
    </row>
    <row r="10376" spans="1:6" ht="12.75">
      <c r="A10376" s="8">
        <v>43900.209606481483</v>
      </c>
      <c r="B10376" s="8" t="str">
        <f>HYPERLINK("https://twitter.com/AlhanaShop","@AlhanaShop")</f>
        <v>@AlhanaShop</v>
      </c>
      <c r="C10376" s="8" t="s">
        <v>3743</v>
      </c>
      <c r="D10376" s="8">
        <v>718</v>
      </c>
      <c r="E10376" s="8">
        <v>0</v>
      </c>
      <c r="F10376" s="8">
        <v>2</v>
      </c>
    </row>
    <row r="10377" spans="1:6" ht="12.75">
      <c r="A10377" s="8">
        <v>43900.208553240736</v>
      </c>
      <c r="B10377" s="8" t="str">
        <f>HYPERLINK("https://twitter.com/cendananews","@cendananews")</f>
        <v>@cendananews</v>
      </c>
      <c r="C10377" s="8" t="s">
        <v>4513</v>
      </c>
      <c r="D10377" s="8">
        <v>0</v>
      </c>
      <c r="E10377" s="8">
        <v>0</v>
      </c>
      <c r="F10377" s="8">
        <v>4573</v>
      </c>
    </row>
    <row r="10378" spans="1:6" ht="12.75">
      <c r="A10378" s="8">
        <v>43900.208402777775</v>
      </c>
      <c r="B10378" s="8" t="str">
        <f>HYPERLINK("https://twitter.com/ffyoesoef","@ffyoesoef")</f>
        <v>@ffyoesoef</v>
      </c>
      <c r="C10378" s="8" t="s">
        <v>4514</v>
      </c>
      <c r="D10378" s="8">
        <v>0</v>
      </c>
      <c r="E10378" s="8">
        <v>0</v>
      </c>
      <c r="F10378" s="8">
        <v>85</v>
      </c>
    </row>
    <row r="10379" spans="1:6" ht="12.75">
      <c r="A10379" s="8">
        <v>43900.20793981482</v>
      </c>
      <c r="B10379" s="8" t="str">
        <f>HYPERLINK("https://twitter.com/Ilham_TaufikH","@Ilham_TaufikH")</f>
        <v>@Ilham_TaufikH</v>
      </c>
      <c r="C10379" s="8" t="s">
        <v>3110</v>
      </c>
      <c r="D10379" s="8">
        <v>8</v>
      </c>
      <c r="E10379" s="8">
        <v>0</v>
      </c>
      <c r="F10379" s="8">
        <v>72</v>
      </c>
    </row>
    <row r="10380" spans="1:6" ht="12.75">
      <c r="A10380" s="8">
        <v>43900.205833333333</v>
      </c>
      <c r="B10380" s="8" t="str">
        <f>HYPERLINK("https://twitter.com/AngeloGo","@AngeloGo")</f>
        <v>@AngeloGo</v>
      </c>
      <c r="C10380" s="8" t="s">
        <v>4417</v>
      </c>
      <c r="D10380" s="8">
        <v>15</v>
      </c>
      <c r="E10380" s="8">
        <v>0</v>
      </c>
      <c r="F10380" s="8">
        <v>58</v>
      </c>
    </row>
    <row r="10381" spans="1:6" ht="12.75">
      <c r="A10381" s="8">
        <v>43900.205231481479</v>
      </c>
      <c r="B10381" s="8" t="str">
        <f>HYPERLINK("https://twitter.com/titiktitikblank","@titiktitikblank")</f>
        <v>@titiktitikblank</v>
      </c>
      <c r="C10381" s="8" t="s">
        <v>4515</v>
      </c>
      <c r="D10381" s="8">
        <v>9</v>
      </c>
      <c r="E10381" s="8">
        <v>0</v>
      </c>
      <c r="F10381" s="8">
        <v>361</v>
      </c>
    </row>
    <row r="10382" spans="1:6" ht="12.75">
      <c r="A10382" s="8">
        <v>43900.198969907404</v>
      </c>
      <c r="B10382" s="8" t="str">
        <f>HYPERLINK("https://twitter.com/rihadita","@rihadita")</f>
        <v>@rihadita</v>
      </c>
      <c r="C10382" s="8" t="s">
        <v>4516</v>
      </c>
      <c r="D10382" s="8">
        <v>258</v>
      </c>
      <c r="E10382" s="8">
        <v>0</v>
      </c>
      <c r="F10382" s="8">
        <v>853</v>
      </c>
    </row>
    <row r="10383" spans="1:6" ht="12.75">
      <c r="A10383" s="8">
        <v>43900.19809027778</v>
      </c>
      <c r="B10383" s="8" t="str">
        <f>HYPERLINK("https://twitter.com/nfrnndy","@nfrnndy")</f>
        <v>@nfrnndy</v>
      </c>
      <c r="C10383" s="8" t="s">
        <v>3262</v>
      </c>
      <c r="D10383" s="8">
        <v>221</v>
      </c>
      <c r="E10383" s="8">
        <v>0</v>
      </c>
      <c r="F10383" s="8">
        <v>1084</v>
      </c>
    </row>
    <row r="10384" spans="1:6" ht="12.75">
      <c r="A10384" s="8">
        <v>43900.198078703703</v>
      </c>
      <c r="B10384" s="8" t="str">
        <f>HYPERLINK("https://twitter.com/galuhadityas1","@galuhadityas1")</f>
        <v>@galuhadityas1</v>
      </c>
      <c r="C10384" s="8" t="s">
        <v>4417</v>
      </c>
      <c r="D10384" s="8">
        <v>15</v>
      </c>
      <c r="E10384" s="8">
        <v>0</v>
      </c>
      <c r="F10384" s="8">
        <v>162</v>
      </c>
    </row>
    <row r="10385" spans="1:6" ht="12.75">
      <c r="A10385" s="8">
        <v>43900.19803240741</v>
      </c>
      <c r="B10385" s="8" t="str">
        <f>HYPERLINK("https://twitter.com/GSiwalette","@GSiwalette")</f>
        <v>@GSiwalette</v>
      </c>
      <c r="C10385" s="8" t="s">
        <v>4517</v>
      </c>
      <c r="D10385" s="8">
        <v>0</v>
      </c>
      <c r="E10385" s="8">
        <v>0</v>
      </c>
      <c r="F10385" s="8">
        <v>668</v>
      </c>
    </row>
    <row r="10386" spans="1:6" ht="12.75">
      <c r="A10386" s="8">
        <v>43900.197581018518</v>
      </c>
      <c r="B10386" s="8" t="str">
        <f>HYPERLINK("https://twitter.com/mala_yoram","@mala_yoram")</f>
        <v>@mala_yoram</v>
      </c>
      <c r="C10386" s="8" t="s">
        <v>1957</v>
      </c>
      <c r="D10386" s="8">
        <v>1366</v>
      </c>
      <c r="E10386" s="8">
        <v>0</v>
      </c>
      <c r="F10386" s="8">
        <v>1017</v>
      </c>
    </row>
    <row r="10387" spans="1:6" ht="12.75">
      <c r="A10387" s="8">
        <v>43900.197372685187</v>
      </c>
      <c r="B10387" s="8" t="str">
        <f>HYPERLINK("https://twitter.com/chandirakumarn","@chandirakumarn")</f>
        <v>@chandirakumarn</v>
      </c>
      <c r="C10387" s="8" t="s">
        <v>1957</v>
      </c>
      <c r="D10387" s="8">
        <v>1366</v>
      </c>
      <c r="E10387" s="8">
        <v>0</v>
      </c>
      <c r="F10387" s="8">
        <v>24</v>
      </c>
    </row>
    <row r="10388" spans="1:6" ht="12.75">
      <c r="A10388" s="8">
        <v>43900.196770833332</v>
      </c>
      <c r="B10388" s="8" t="str">
        <f>HYPERLINK("https://twitter.com/m___lawan","@m___lawan")</f>
        <v>@m___lawan</v>
      </c>
      <c r="C10388" s="8" t="s">
        <v>4518</v>
      </c>
      <c r="D10388" s="8">
        <v>0</v>
      </c>
      <c r="E10388" s="8">
        <v>0</v>
      </c>
      <c r="F10388" s="8">
        <v>333</v>
      </c>
    </row>
    <row r="10389" spans="1:6" ht="12.75">
      <c r="A10389" s="8">
        <v>43900.19594907407</v>
      </c>
      <c r="B10389" s="8" t="str">
        <f>HYPERLINK("https://twitter.com/LukmanHariant11","@LukmanHariant11")</f>
        <v>@LukmanHariant11</v>
      </c>
      <c r="C10389" s="8" t="s">
        <v>4510</v>
      </c>
      <c r="D10389" s="8">
        <v>129</v>
      </c>
      <c r="E10389" s="8">
        <v>0</v>
      </c>
      <c r="F10389" s="8">
        <v>393</v>
      </c>
    </row>
    <row r="10390" spans="1:6" ht="12.75">
      <c r="A10390" s="8">
        <v>43900.19358796296</v>
      </c>
      <c r="B10390" s="8" t="str">
        <f>HYPERLINK("https://twitter.com/manishthakur528","@manishthakur528")</f>
        <v>@manishthakur528</v>
      </c>
      <c r="C10390" s="8" t="s">
        <v>1957</v>
      </c>
      <c r="D10390" s="8">
        <v>1366</v>
      </c>
      <c r="E10390" s="8">
        <v>0</v>
      </c>
      <c r="F10390" s="8">
        <v>64</v>
      </c>
    </row>
    <row r="10391" spans="1:6" ht="12.75">
      <c r="A10391" s="8">
        <v>43900.191574074073</v>
      </c>
      <c r="B10391" s="8" t="str">
        <f>HYPERLINK("https://twitter.com/wahhabicc_jabar","@wahhabicc_jabar")</f>
        <v>@wahhabicc_jabar</v>
      </c>
      <c r="C10391" s="8" t="s">
        <v>3262</v>
      </c>
      <c r="D10391" s="8">
        <v>221</v>
      </c>
      <c r="E10391" s="8">
        <v>0</v>
      </c>
      <c r="F10391" s="8">
        <v>30969</v>
      </c>
    </row>
    <row r="10392" spans="1:6" ht="12.75">
      <c r="A10392" s="8">
        <v>43900.191296296296</v>
      </c>
      <c r="B10392" s="8" t="str">
        <f>HYPERLINK("https://twitter.com/medcom_id","@medcom_id")</f>
        <v>@medcom_id</v>
      </c>
      <c r="C10392" s="8" t="s">
        <v>4519</v>
      </c>
      <c r="D10392" s="8">
        <v>0</v>
      </c>
      <c r="E10392" s="8">
        <v>0</v>
      </c>
      <c r="F10392" s="8">
        <v>18549</v>
      </c>
    </row>
    <row r="10393" spans="1:6" ht="12.75">
      <c r="A10393" s="8">
        <v>43900.190370370372</v>
      </c>
      <c r="B10393" s="8" t="str">
        <f>HYPERLINK("https://twitter.com/BlackRednBlue","@BlackRednBlue")</f>
        <v>@BlackRednBlue</v>
      </c>
      <c r="C10393" s="8" t="s">
        <v>4470</v>
      </c>
      <c r="D10393" s="8">
        <v>56</v>
      </c>
      <c r="E10393" s="8">
        <v>0</v>
      </c>
      <c r="F10393" s="8">
        <v>604</v>
      </c>
    </row>
    <row r="10394" spans="1:6" ht="12.75">
      <c r="A10394" s="8">
        <v>43900.189722222218</v>
      </c>
      <c r="B10394" s="8" t="str">
        <f>HYPERLINK("https://twitter.com/Kangaroo_In_US","@Kangaroo_In_US")</f>
        <v>@Kangaroo_In_US</v>
      </c>
      <c r="C10394" s="8" t="s">
        <v>1957</v>
      </c>
      <c r="D10394" s="8">
        <v>1366</v>
      </c>
      <c r="E10394" s="8">
        <v>0</v>
      </c>
      <c r="F10394" s="8">
        <v>521</v>
      </c>
    </row>
    <row r="10395" spans="1:6" ht="12.75">
      <c r="A10395" s="8">
        <v>43900.189652777779</v>
      </c>
      <c r="B10395" s="8" t="str">
        <f t="shared" ref="B10395:B10396" si="176">HYPERLINK("https://twitter.com/DemplonMak","@DemplonMak")</f>
        <v>@DemplonMak</v>
      </c>
      <c r="C10395" s="8" t="s">
        <v>4152</v>
      </c>
      <c r="D10395" s="8">
        <v>1</v>
      </c>
      <c r="E10395" s="8">
        <v>0</v>
      </c>
      <c r="F10395" s="8">
        <v>3552</v>
      </c>
    </row>
    <row r="10396" spans="1:6" ht="12.75">
      <c r="A10396" s="8">
        <v>43900.188750000001</v>
      </c>
      <c r="B10396" s="8" t="str">
        <f t="shared" si="176"/>
        <v>@DemplonMak</v>
      </c>
      <c r="C10396" s="8" t="s">
        <v>4520</v>
      </c>
      <c r="D10396" s="8">
        <v>1</v>
      </c>
      <c r="E10396" s="8">
        <v>0</v>
      </c>
      <c r="F10396" s="8">
        <v>3552</v>
      </c>
    </row>
    <row r="10397" spans="1:6" ht="12.75">
      <c r="A10397" s="8">
        <v>43900.188483796301</v>
      </c>
      <c r="B10397" s="8" t="str">
        <f>HYPERLINK("https://twitter.com/KerongKerang","@KerongKerang")</f>
        <v>@KerongKerang</v>
      </c>
      <c r="C10397" s="8" t="s">
        <v>4521</v>
      </c>
      <c r="D10397" s="8">
        <v>0</v>
      </c>
      <c r="E10397" s="8">
        <v>0</v>
      </c>
      <c r="F10397" s="8">
        <v>123</v>
      </c>
    </row>
    <row r="10398" spans="1:6" ht="12.75">
      <c r="A10398" s="8">
        <v>43900.186203703706</v>
      </c>
      <c r="B10398" s="8" t="str">
        <f>HYPERLINK("https://twitter.com/SyrianWar1936","@SyrianWar1936")</f>
        <v>@SyrianWar1936</v>
      </c>
      <c r="C10398" s="8" t="s">
        <v>4522</v>
      </c>
      <c r="D10398" s="8">
        <v>3</v>
      </c>
      <c r="E10398" s="8">
        <v>0</v>
      </c>
      <c r="F10398" s="8">
        <v>96</v>
      </c>
    </row>
    <row r="10399" spans="1:6" ht="12.75">
      <c r="A10399" s="8">
        <v>43900.185057870374</v>
      </c>
      <c r="B10399" s="8" t="str">
        <f>HYPERLINK("https://twitter.com/AmitChowkidar","@AmitChowkidar")</f>
        <v>@AmitChowkidar</v>
      </c>
      <c r="C10399" s="8" t="s">
        <v>1957</v>
      </c>
      <c r="D10399" s="8">
        <v>1366</v>
      </c>
      <c r="E10399" s="8">
        <v>0</v>
      </c>
      <c r="F10399" s="8">
        <v>297</v>
      </c>
    </row>
    <row r="10400" spans="1:6" ht="12.75">
      <c r="A10400" s="8">
        <v>43900.183634259258</v>
      </c>
      <c r="B10400" s="8" t="str">
        <f>HYPERLINK("https://twitter.com/hazpohan","@hazpohan")</f>
        <v>@hazpohan</v>
      </c>
      <c r="C10400" s="8" t="s">
        <v>4523</v>
      </c>
      <c r="D10400" s="8">
        <v>0</v>
      </c>
      <c r="E10400" s="8">
        <v>1</v>
      </c>
      <c r="F10400" s="8">
        <v>13848</v>
      </c>
    </row>
    <row r="10401" spans="1:6" ht="12.75">
      <c r="A10401" s="8">
        <v>43900.183634259258</v>
      </c>
      <c r="B10401" s="8" t="str">
        <f>HYPERLINK("https://twitter.com/DooPoetry","@DooPoetry")</f>
        <v>@DooPoetry</v>
      </c>
      <c r="C10401" s="8" t="s">
        <v>4417</v>
      </c>
      <c r="D10401" s="8">
        <v>15</v>
      </c>
      <c r="E10401" s="8">
        <v>0</v>
      </c>
      <c r="F10401" s="8">
        <v>152</v>
      </c>
    </row>
    <row r="10402" spans="1:6" ht="12.75">
      <c r="A10402" s="8">
        <v>43900.183148148149</v>
      </c>
      <c r="B10402" s="8" t="str">
        <f>HYPERLINK("https://twitter.com/meryharison","@meryharison")</f>
        <v>@meryharison</v>
      </c>
      <c r="C10402" s="8" t="s">
        <v>4068</v>
      </c>
      <c r="D10402" s="8">
        <v>28</v>
      </c>
      <c r="E10402" s="8">
        <v>0</v>
      </c>
      <c r="F10402" s="8">
        <v>1192</v>
      </c>
    </row>
    <row r="10403" spans="1:6" ht="12.75">
      <c r="A10403" s="8">
        <v>43900.182754629626</v>
      </c>
      <c r="B10403" s="8" t="str">
        <f>HYPERLINK("https://twitter.com/WiratamaJody","@WiratamaJody")</f>
        <v>@WiratamaJody</v>
      </c>
      <c r="C10403" s="8" t="s">
        <v>4524</v>
      </c>
      <c r="D10403" s="8">
        <v>22</v>
      </c>
      <c r="E10403" s="8">
        <v>0</v>
      </c>
      <c r="F10403" s="8">
        <v>703</v>
      </c>
    </row>
    <row r="10404" spans="1:6" ht="12.75">
      <c r="A10404" s="8">
        <v>43900.182662037041</v>
      </c>
      <c r="B10404" s="8" t="str">
        <f>HYPERLINK("https://twitter.com/s_odedra","@s_odedra")</f>
        <v>@s_odedra</v>
      </c>
      <c r="C10404" s="8" t="s">
        <v>1957</v>
      </c>
      <c r="D10404" s="8">
        <v>1366</v>
      </c>
      <c r="E10404" s="8">
        <v>0</v>
      </c>
      <c r="F10404" s="8">
        <v>13</v>
      </c>
    </row>
    <row r="10405" spans="1:6" ht="12.75">
      <c r="A10405" s="8">
        <v>43900.181840277779</v>
      </c>
      <c r="B10405" s="8" t="str">
        <f>HYPERLINK("https://twitter.com/gavade_sanket","@gavade_sanket")</f>
        <v>@gavade_sanket</v>
      </c>
      <c r="C10405" s="8" t="s">
        <v>1808</v>
      </c>
      <c r="D10405" s="8">
        <v>803</v>
      </c>
      <c r="E10405" s="8">
        <v>0</v>
      </c>
      <c r="F10405" s="8">
        <v>232</v>
      </c>
    </row>
    <row r="10406" spans="1:6" ht="12.75">
      <c r="A10406" s="8">
        <v>43900.180127314816</v>
      </c>
      <c r="B10406" s="8" t="str">
        <f>HYPERLINK("https://twitter.com/daruhalilin93","@daruhalilin93")</f>
        <v>@daruhalilin93</v>
      </c>
      <c r="C10406" s="8" t="s">
        <v>4524</v>
      </c>
      <c r="D10406" s="8">
        <v>22</v>
      </c>
      <c r="E10406" s="8">
        <v>0</v>
      </c>
      <c r="F10406" s="8">
        <v>266</v>
      </c>
    </row>
    <row r="10407" spans="1:6" ht="12.75">
      <c r="A10407" s="8">
        <v>43900.179803240739</v>
      </c>
      <c r="B10407" s="8" t="str">
        <f>HYPERLINK("https://twitter.com/cendol_dawet123","@cendol_dawet123")</f>
        <v>@cendol_dawet123</v>
      </c>
      <c r="C10407" s="8" t="s">
        <v>4525</v>
      </c>
      <c r="D10407" s="8">
        <v>0</v>
      </c>
      <c r="E10407" s="8">
        <v>0</v>
      </c>
      <c r="F10407" s="8">
        <v>9</v>
      </c>
    </row>
    <row r="10408" spans="1:6" ht="12.75">
      <c r="A10408" s="8">
        <v>43900.17869212963</v>
      </c>
      <c r="B10408" s="8" t="str">
        <f>HYPERLINK("https://twitter.com/adi81500221","@adi81500221")</f>
        <v>@adi81500221</v>
      </c>
      <c r="C10408" s="8" t="s">
        <v>318</v>
      </c>
      <c r="D10408" s="8">
        <v>22</v>
      </c>
      <c r="E10408" s="8">
        <v>0</v>
      </c>
      <c r="F10408" s="8">
        <v>999</v>
      </c>
    </row>
    <row r="10409" spans="1:6" ht="12.75">
      <c r="A10409" s="8">
        <v>43900.178518518514</v>
      </c>
      <c r="B10409" s="8" t="str">
        <f>HYPERLINK("https://twitter.com/fwzakiy","@fwzakiy")</f>
        <v>@fwzakiy</v>
      </c>
      <c r="C10409" s="8" t="s">
        <v>3168</v>
      </c>
      <c r="D10409" s="8">
        <v>53</v>
      </c>
      <c r="E10409" s="8">
        <v>0</v>
      </c>
      <c r="F10409" s="8">
        <v>1240</v>
      </c>
    </row>
    <row r="10410" spans="1:6" ht="12.75">
      <c r="A10410" s="8">
        <v>43900.175671296296</v>
      </c>
      <c r="B10410" s="8" t="str">
        <f>HYPERLINK("https://twitter.com/TedjoGotick","@TedjoGotick")</f>
        <v>@TedjoGotick</v>
      </c>
      <c r="C10410" s="8" t="s">
        <v>4526</v>
      </c>
      <c r="D10410" s="8">
        <v>0</v>
      </c>
      <c r="E10410" s="8">
        <v>0</v>
      </c>
      <c r="F10410" s="8">
        <v>230</v>
      </c>
    </row>
    <row r="10411" spans="1:6" ht="12.75">
      <c r="A10411" s="8">
        <v>43900.174375000002</v>
      </c>
      <c r="B10411" s="8" t="str">
        <f>HYPERLINK("https://twitter.com/JAK22N","@JAK22N")</f>
        <v>@JAK22N</v>
      </c>
      <c r="C10411" s="8" t="s">
        <v>1957</v>
      </c>
      <c r="D10411" s="8">
        <v>1366</v>
      </c>
      <c r="E10411" s="8">
        <v>0</v>
      </c>
      <c r="F10411" s="8">
        <v>277</v>
      </c>
    </row>
    <row r="10412" spans="1:6" ht="12.75">
      <c r="A10412" s="8">
        <v>43900.174282407403</v>
      </c>
      <c r="B10412" s="8" t="str">
        <f>HYPERLINK("https://twitter.com/ChanKoros","@ChanKoros")</f>
        <v>@ChanKoros</v>
      </c>
      <c r="C10412" s="8" t="s">
        <v>4527</v>
      </c>
      <c r="D10412" s="8">
        <v>0</v>
      </c>
      <c r="E10412" s="8">
        <v>0</v>
      </c>
      <c r="F10412" s="8">
        <v>2</v>
      </c>
    </row>
    <row r="10413" spans="1:6" ht="12.75">
      <c r="A10413" s="8">
        <v>43900.173657407402</v>
      </c>
      <c r="B10413" s="8" t="str">
        <f>HYPERLINK("https://twitter.com/becak125cc","@becak125cc")</f>
        <v>@becak125cc</v>
      </c>
      <c r="C10413" s="8" t="s">
        <v>4068</v>
      </c>
      <c r="D10413" s="8">
        <v>28</v>
      </c>
      <c r="E10413" s="8">
        <v>0</v>
      </c>
      <c r="F10413" s="8">
        <v>559</v>
      </c>
    </row>
    <row r="10414" spans="1:6" ht="12.75">
      <c r="A10414" s="8">
        <v>43900.173634259263</v>
      </c>
      <c r="B10414" s="8" t="str">
        <f>HYPERLINK("https://twitter.com/deddyhariadi","@deddyhariadi")</f>
        <v>@deddyhariadi</v>
      </c>
      <c r="C10414" s="8" t="s">
        <v>3969</v>
      </c>
      <c r="D10414" s="8">
        <v>41</v>
      </c>
      <c r="E10414" s="8">
        <v>0</v>
      </c>
      <c r="F10414" s="8">
        <v>378</v>
      </c>
    </row>
    <row r="10415" spans="1:6" ht="12.75">
      <c r="A10415" s="8">
        <v>43900.172013888892</v>
      </c>
      <c r="B10415" s="8" t="str">
        <f>HYPERLINK("https://twitter.com/dikaguzana","@dikaguzana")</f>
        <v>@dikaguzana</v>
      </c>
      <c r="C10415" s="8" t="s">
        <v>4417</v>
      </c>
      <c r="D10415" s="8">
        <v>12</v>
      </c>
      <c r="E10415" s="8">
        <v>0</v>
      </c>
      <c r="F10415" s="8">
        <v>399</v>
      </c>
    </row>
    <row r="10416" spans="1:6" ht="12.75">
      <c r="A10416" s="8">
        <v>43900.171180555553</v>
      </c>
      <c r="B10416" s="8" t="str">
        <f>HYPERLINK("https://twitter.com/ChanKoros","@ChanKoros")</f>
        <v>@ChanKoros</v>
      </c>
      <c r="C10416" s="8" t="s">
        <v>4528</v>
      </c>
      <c r="D10416" s="8">
        <v>0</v>
      </c>
      <c r="E10416" s="8">
        <v>0</v>
      </c>
      <c r="F10416" s="8">
        <v>2</v>
      </c>
    </row>
    <row r="10417" spans="1:6" ht="12.75">
      <c r="A10417" s="8">
        <v>43900.170428240745</v>
      </c>
      <c r="B10417" s="8" t="str">
        <f>HYPERLINK("https://twitter.com/Devarajan1984","@Devarajan1984")</f>
        <v>@Devarajan1984</v>
      </c>
      <c r="C10417" s="8" t="s">
        <v>1957</v>
      </c>
      <c r="D10417" s="8">
        <v>1359</v>
      </c>
      <c r="E10417" s="8">
        <v>0</v>
      </c>
      <c r="F10417" s="8">
        <v>19</v>
      </c>
    </row>
    <row r="10418" spans="1:6" ht="12.75">
      <c r="A10418" s="8">
        <v>43900.170173611114</v>
      </c>
      <c r="B10418" s="8" t="str">
        <f>HYPERLINK("https://twitter.com/namo_soft","@namo_soft")</f>
        <v>@namo_soft</v>
      </c>
      <c r="C10418" s="8" t="s">
        <v>4529</v>
      </c>
      <c r="D10418" s="8">
        <v>0</v>
      </c>
      <c r="E10418" s="8">
        <v>1</v>
      </c>
      <c r="F10418" s="8">
        <v>13</v>
      </c>
    </row>
    <row r="10419" spans="1:6" ht="12.75">
      <c r="A10419" s="8">
        <v>43900.165451388893</v>
      </c>
      <c r="B10419" s="8" t="str">
        <f>HYPERLINK("https://twitter.com/Premiere_Magz","@Premiere_Magz")</f>
        <v>@Premiere_Magz</v>
      </c>
      <c r="C10419" s="8" t="s">
        <v>4417</v>
      </c>
      <c r="D10419" s="8">
        <v>12</v>
      </c>
      <c r="E10419" s="8">
        <v>0</v>
      </c>
      <c r="F10419" s="8">
        <v>1706</v>
      </c>
    </row>
    <row r="10420" spans="1:6" ht="12.75">
      <c r="A10420" s="8">
        <v>43900.165104166663</v>
      </c>
      <c r="B10420" s="8" t="str">
        <f>HYPERLINK("https://twitter.com/amampe6","@amampe6")</f>
        <v>@amampe6</v>
      </c>
      <c r="C10420" s="8" t="s">
        <v>4417</v>
      </c>
      <c r="D10420" s="8">
        <v>12</v>
      </c>
      <c r="E10420" s="8">
        <v>0</v>
      </c>
      <c r="F10420" s="8">
        <v>852</v>
      </c>
    </row>
    <row r="10421" spans="1:6" ht="12.75">
      <c r="A10421" s="8">
        <v>43900.164502314816</v>
      </c>
      <c r="B10421" s="8" t="str">
        <f>HYPERLINK("https://twitter.com/Maulana01977473","@Maulana01977473")</f>
        <v>@Maulana01977473</v>
      </c>
      <c r="C10421" s="8" t="s">
        <v>3126</v>
      </c>
      <c r="D10421" s="8">
        <v>261</v>
      </c>
      <c r="E10421" s="8">
        <v>0</v>
      </c>
      <c r="F10421" s="8">
        <v>120</v>
      </c>
    </row>
    <row r="10422" spans="1:6" ht="12.75">
      <c r="A10422" s="8">
        <v>43900.16405092593</v>
      </c>
      <c r="B10422" s="8" t="str">
        <f>HYPERLINK("https://twitter.com/mudha_satriya","@mudha_satriya")</f>
        <v>@mudha_satriya</v>
      </c>
      <c r="C10422" s="8" t="s">
        <v>4194</v>
      </c>
      <c r="D10422" s="8">
        <v>11</v>
      </c>
      <c r="E10422" s="8">
        <v>0</v>
      </c>
      <c r="F10422" s="8">
        <v>1886</v>
      </c>
    </row>
    <row r="10423" spans="1:6" ht="12.75">
      <c r="A10423" s="8">
        <v>43900.163969907408</v>
      </c>
      <c r="B10423" s="8" t="str">
        <f>HYPERLINK("https://twitter.com/wunderkid85","@wunderkid85")</f>
        <v>@wunderkid85</v>
      </c>
      <c r="C10423" s="8" t="s">
        <v>1957</v>
      </c>
      <c r="D10423" s="8">
        <v>1359</v>
      </c>
      <c r="E10423" s="8">
        <v>0</v>
      </c>
      <c r="F10423" s="8">
        <v>121</v>
      </c>
    </row>
    <row r="10424" spans="1:6" ht="12.75">
      <c r="A10424" s="8">
        <v>43900.161365740743</v>
      </c>
      <c r="B10424" s="8" t="str">
        <f>HYPERLINK("https://twitter.com/DarmaDa89934536","@DarmaDa89934536")</f>
        <v>@DarmaDa89934536</v>
      </c>
      <c r="C10424" s="8" t="s">
        <v>3126</v>
      </c>
      <c r="D10424" s="8">
        <v>261</v>
      </c>
      <c r="E10424" s="8">
        <v>0</v>
      </c>
      <c r="F10424" s="8">
        <v>317</v>
      </c>
    </row>
    <row r="10425" spans="1:6" ht="12.75">
      <c r="A10425" s="8">
        <v>43900.160092592589</v>
      </c>
      <c r="B10425" s="8" t="str">
        <f>HYPERLINK("https://twitter.com/andhyandhara","@andhyandhara")</f>
        <v>@andhyandhara</v>
      </c>
      <c r="C10425" s="8" t="s">
        <v>4417</v>
      </c>
      <c r="D10425" s="8">
        <v>12</v>
      </c>
      <c r="E10425" s="8">
        <v>0</v>
      </c>
      <c r="F10425" s="8">
        <v>370</v>
      </c>
    </row>
    <row r="10426" spans="1:6" ht="12.75">
      <c r="A10426" s="8">
        <v>43900.159363425926</v>
      </c>
      <c r="B10426" s="8" t="str">
        <f>HYPERLINK("https://twitter.com/FransiscaKwee","@FransiscaKwee")</f>
        <v>@FransiscaKwee</v>
      </c>
      <c r="C10426" s="8" t="s">
        <v>4417</v>
      </c>
      <c r="D10426" s="8">
        <v>12</v>
      </c>
      <c r="E10426" s="8">
        <v>0</v>
      </c>
      <c r="F10426" s="8">
        <v>165</v>
      </c>
    </row>
    <row r="10427" spans="1:6" ht="12.75">
      <c r="A10427" s="8">
        <v>43900.159317129626</v>
      </c>
      <c r="B10427" s="8" t="str">
        <f>HYPERLINK("https://twitter.com/Musannifsanusi","@Musannifsanusi")</f>
        <v>@Musannifsanusi</v>
      </c>
      <c r="C10427" s="8" t="s">
        <v>4417</v>
      </c>
      <c r="D10427" s="8">
        <v>12</v>
      </c>
      <c r="E10427" s="8">
        <v>0</v>
      </c>
      <c r="F10427" s="8">
        <v>526</v>
      </c>
    </row>
    <row r="10428" spans="1:6" ht="12.75">
      <c r="A10428" s="8">
        <v>43900.157800925925</v>
      </c>
      <c r="B10428" s="8" t="str">
        <f>HYPERLINK("https://twitter.com/prateek81754479","@prateek81754479")</f>
        <v>@prateek81754479</v>
      </c>
      <c r="C10428" s="8" t="s">
        <v>1957</v>
      </c>
      <c r="D10428" s="8">
        <v>1359</v>
      </c>
      <c r="E10428" s="8">
        <v>0</v>
      </c>
      <c r="F10428" s="8">
        <v>183</v>
      </c>
    </row>
    <row r="10429" spans="1:6" ht="12.75">
      <c r="A10429" s="8">
        <v>43900.157557870371</v>
      </c>
      <c r="B10429" s="8" t="str">
        <f>HYPERLINK("https://twitter.com/Bhupesh9412","@Bhupesh9412")</f>
        <v>@Bhupesh9412</v>
      </c>
      <c r="C10429" s="8" t="s">
        <v>1957</v>
      </c>
      <c r="D10429" s="8">
        <v>1359</v>
      </c>
      <c r="E10429" s="8">
        <v>0</v>
      </c>
      <c r="F10429" s="8">
        <v>461</v>
      </c>
    </row>
    <row r="10430" spans="1:6" ht="12.75">
      <c r="A10430" s="8">
        <v>43900.157337962963</v>
      </c>
      <c r="B10430" s="8" t="str">
        <f>HYPERLINK("https://twitter.com/fun_kirtan","@fun_kirtan")</f>
        <v>@fun_kirtan</v>
      </c>
      <c r="C10430" s="8" t="s">
        <v>1808</v>
      </c>
      <c r="D10430" s="8">
        <v>801</v>
      </c>
      <c r="E10430" s="8">
        <v>0</v>
      </c>
      <c r="F10430" s="8">
        <v>90</v>
      </c>
    </row>
    <row r="10431" spans="1:6" ht="12.75">
      <c r="A10431" s="8">
        <v>43900.157013888893</v>
      </c>
      <c r="B10431" s="8" t="str">
        <f>HYPERLINK("https://twitter.com/I_ManishJangu","@I_ManishJangu")</f>
        <v>@I_ManishJangu</v>
      </c>
      <c r="C10431" s="8" t="s">
        <v>1957</v>
      </c>
      <c r="D10431" s="8">
        <v>1359</v>
      </c>
      <c r="E10431" s="8">
        <v>0</v>
      </c>
      <c r="F10431" s="8">
        <v>528</v>
      </c>
    </row>
    <row r="10432" spans="1:6" ht="12.75">
      <c r="A10432" s="8">
        <v>43900.156412037039</v>
      </c>
      <c r="B10432" s="8" t="str">
        <f>HYPERLINK("https://twitter.com/trumpathon","@trumpathon")</f>
        <v>@trumpathon</v>
      </c>
      <c r="C10432" s="8" t="s">
        <v>4530</v>
      </c>
      <c r="D10432" s="8">
        <v>0</v>
      </c>
      <c r="E10432" s="8">
        <v>0</v>
      </c>
      <c r="F10432" s="8">
        <v>821</v>
      </c>
    </row>
    <row r="10433" spans="1:6" ht="12.75">
      <c r="A10433" s="8">
        <v>43900.154814814814</v>
      </c>
      <c r="B10433" s="8" t="str">
        <f>HYPERLINK("https://twitter.com/jeevitshav","@jeevitshav")</f>
        <v>@jeevitshav</v>
      </c>
      <c r="C10433" s="8" t="s">
        <v>1957</v>
      </c>
      <c r="D10433" s="8">
        <v>1359</v>
      </c>
      <c r="E10433" s="8">
        <v>0</v>
      </c>
      <c r="F10433" s="8">
        <v>37</v>
      </c>
    </row>
    <row r="10434" spans="1:6" ht="12.75">
      <c r="A10434" s="8">
        <v>43900.154062500005</v>
      </c>
      <c r="B10434" s="8" t="str">
        <f>HYPERLINK("https://twitter.com/you_are_see","@you_are_see")</f>
        <v>@you_are_see</v>
      </c>
      <c r="C10434" s="8" t="s">
        <v>4531</v>
      </c>
      <c r="D10434" s="8">
        <v>0</v>
      </c>
      <c r="E10434" s="8">
        <v>1</v>
      </c>
      <c r="F10434" s="8">
        <v>30</v>
      </c>
    </row>
    <row r="10435" spans="1:6" ht="12.75">
      <c r="A10435" s="8">
        <v>43900.153865740736</v>
      </c>
      <c r="B10435" s="8" t="str">
        <f>HYPERLINK("https://twitter.com/tydapenting","@tydapenting")</f>
        <v>@tydapenting</v>
      </c>
      <c r="C10435" s="8" t="s">
        <v>4417</v>
      </c>
      <c r="D10435" s="8">
        <v>12</v>
      </c>
      <c r="E10435" s="8">
        <v>0</v>
      </c>
      <c r="F10435" s="8">
        <v>129</v>
      </c>
    </row>
    <row r="10436" spans="1:6" ht="12.75">
      <c r="A10436" s="8">
        <v>43900.153692129628</v>
      </c>
      <c r="B10436" s="8" t="str">
        <f>HYPERLINK("https://twitter.com/ArfaKaKhasam","@ArfaKaKhasam")</f>
        <v>@ArfaKaKhasam</v>
      </c>
      <c r="C10436" s="8" t="s">
        <v>1808</v>
      </c>
      <c r="D10436" s="8">
        <v>801</v>
      </c>
      <c r="E10436" s="8">
        <v>0</v>
      </c>
      <c r="F10436" s="8">
        <v>174</v>
      </c>
    </row>
    <row r="10437" spans="1:6" ht="12.75">
      <c r="A10437" s="8">
        <v>43900.151458333334</v>
      </c>
      <c r="B10437" s="8" t="str">
        <f>HYPERLINK("https://twitter.com/BojoGal98631880","@BojoGal98631880")</f>
        <v>@BojoGal98631880</v>
      </c>
      <c r="C10437" s="8" t="s">
        <v>4470</v>
      </c>
      <c r="D10437" s="8">
        <v>55</v>
      </c>
      <c r="E10437" s="8">
        <v>0</v>
      </c>
      <c r="F10437" s="8">
        <v>38</v>
      </c>
    </row>
    <row r="10438" spans="1:6" ht="12.75">
      <c r="A10438" s="8">
        <v>43900.150868055556</v>
      </c>
      <c r="B10438" s="8" t="str">
        <f>HYPERLINK("https://twitter.com/KaSawarkar","@KaSawarkar")</f>
        <v>@KaSawarkar</v>
      </c>
      <c r="C10438" s="8" t="s">
        <v>1957</v>
      </c>
      <c r="D10438" s="8">
        <v>1359</v>
      </c>
      <c r="E10438" s="8">
        <v>0</v>
      </c>
      <c r="F10438" s="8">
        <v>27</v>
      </c>
    </row>
    <row r="10439" spans="1:6" ht="12.75">
      <c r="A10439" s="8">
        <v>43900.150624999995</v>
      </c>
      <c r="B10439" s="8" t="str">
        <f>HYPERLINK("https://twitter.com/ririsaput","@ririsaput")</f>
        <v>@ririsaput</v>
      </c>
      <c r="C10439" s="8" t="s">
        <v>4417</v>
      </c>
      <c r="D10439" s="8">
        <v>12</v>
      </c>
      <c r="E10439" s="8">
        <v>0</v>
      </c>
      <c r="F10439" s="8">
        <v>747</v>
      </c>
    </row>
    <row r="10440" spans="1:6" ht="12.75">
      <c r="A10440" s="8">
        <v>43900.150057870371</v>
      </c>
      <c r="B10440" s="8" t="str">
        <f>HYPERLINK("https://twitter.com/PrimeSentient","@PrimeSentient")</f>
        <v>@PrimeSentient</v>
      </c>
      <c r="C10440" s="8" t="s">
        <v>1808</v>
      </c>
      <c r="D10440" s="8">
        <v>801</v>
      </c>
      <c r="E10440" s="8">
        <v>0</v>
      </c>
      <c r="F10440" s="8">
        <v>15</v>
      </c>
    </row>
    <row r="10441" spans="1:6" ht="12.75">
      <c r="A10441" s="8">
        <v>43900.149814814809</v>
      </c>
      <c r="B10441" s="8" t="str">
        <f>HYPERLINK("https://twitter.com/dyahwie","@dyahwie")</f>
        <v>@dyahwie</v>
      </c>
      <c r="C10441" s="8" t="s">
        <v>4417</v>
      </c>
      <c r="D10441" s="8">
        <v>12</v>
      </c>
      <c r="E10441" s="8">
        <v>0</v>
      </c>
      <c r="F10441" s="8">
        <v>966</v>
      </c>
    </row>
    <row r="10442" spans="1:6" ht="12.75">
      <c r="A10442" s="8">
        <v>43900.149363425924</v>
      </c>
      <c r="B10442" s="8" t="str">
        <f>HYPERLINK("https://twitter.com/mr_devilliers","@mr_devilliers")</f>
        <v>@mr_devilliers</v>
      </c>
      <c r="C10442" s="8" t="s">
        <v>1957</v>
      </c>
      <c r="D10442" s="8">
        <v>1359</v>
      </c>
      <c r="E10442" s="8">
        <v>0</v>
      </c>
      <c r="F10442" s="8">
        <v>94</v>
      </c>
    </row>
    <row r="10443" spans="1:6" ht="12.75">
      <c r="A10443" s="8">
        <v>43900.149305555555</v>
      </c>
      <c r="B10443" s="8" t="str">
        <f>HYPERLINK("https://twitter.com/kompascom","@kompascom")</f>
        <v>@kompascom</v>
      </c>
      <c r="C10443" s="8" t="s">
        <v>4532</v>
      </c>
      <c r="D10443" s="8">
        <v>12</v>
      </c>
      <c r="E10443" s="8">
        <v>20</v>
      </c>
      <c r="F10443" s="8">
        <v>7537633</v>
      </c>
    </row>
    <row r="10444" spans="1:6" ht="12.75">
      <c r="A10444" s="8">
        <v>43900.14335648148</v>
      </c>
      <c r="B10444" s="8" t="str">
        <f>HYPERLINK("https://twitter.com/Rajeev63Rk","@Rajeev63Rk")</f>
        <v>@Rajeev63Rk</v>
      </c>
      <c r="C10444" s="8" t="s">
        <v>1808</v>
      </c>
      <c r="D10444" s="8">
        <v>801</v>
      </c>
      <c r="E10444" s="8">
        <v>0</v>
      </c>
      <c r="F10444" s="8">
        <v>910</v>
      </c>
    </row>
    <row r="10445" spans="1:6" ht="12.75">
      <c r="A10445" s="8">
        <v>43900.14271990741</v>
      </c>
      <c r="B10445" s="8" t="str">
        <f>HYPERLINK("https://twitter.com/nirbhaykjha","@nirbhaykjha")</f>
        <v>@nirbhaykjha</v>
      </c>
      <c r="C10445" s="8" t="s">
        <v>1808</v>
      </c>
      <c r="D10445" s="8">
        <v>801</v>
      </c>
      <c r="E10445" s="8">
        <v>0</v>
      </c>
      <c r="F10445" s="8">
        <v>325</v>
      </c>
    </row>
    <row r="10446" spans="1:6" ht="12.75">
      <c r="A10446" s="8">
        <v>43900.141782407409</v>
      </c>
      <c r="B10446" s="8" t="str">
        <f>HYPERLINK("https://twitter.com/biscuit_rotti","@biscuit_rotti")</f>
        <v>@biscuit_rotti</v>
      </c>
      <c r="C10446" s="8" t="s">
        <v>1957</v>
      </c>
      <c r="D10446" s="8">
        <v>1359</v>
      </c>
      <c r="E10446" s="8">
        <v>0</v>
      </c>
      <c r="F10446" s="8">
        <v>433</v>
      </c>
    </row>
    <row r="10447" spans="1:6" ht="12.75">
      <c r="A10447" s="8">
        <v>43900.140729166669</v>
      </c>
      <c r="B10447" s="8" t="str">
        <f>HYPERLINK("https://twitter.com/tweetinagarwal","@tweetinagarwal")</f>
        <v>@tweetinagarwal</v>
      </c>
      <c r="C10447" s="8" t="s">
        <v>1957</v>
      </c>
      <c r="D10447" s="8">
        <v>1359</v>
      </c>
      <c r="E10447" s="8">
        <v>0</v>
      </c>
      <c r="F10447" s="8">
        <v>546</v>
      </c>
    </row>
    <row r="10448" spans="1:6" ht="12.75">
      <c r="A10448" s="8">
        <v>43900.140057870369</v>
      </c>
      <c r="B10448" s="8" t="str">
        <f>HYPERLINK("https://twitter.com/tpsumantri","@tpsumantri")</f>
        <v>@tpsumantri</v>
      </c>
      <c r="C10448" s="8" t="s">
        <v>1857</v>
      </c>
      <c r="D10448" s="8">
        <v>1</v>
      </c>
      <c r="E10448" s="8">
        <v>0</v>
      </c>
      <c r="F10448" s="8">
        <v>4</v>
      </c>
    </row>
    <row r="10449" spans="1:6" ht="12.75">
      <c r="A10449" s="8">
        <v>43900.138553240744</v>
      </c>
      <c r="B10449" s="8" t="str">
        <f>HYPERLINK("https://twitter.com/PresentGen","@PresentGen")</f>
        <v>@PresentGen</v>
      </c>
      <c r="C10449" s="8" t="s">
        <v>1957</v>
      </c>
      <c r="D10449" s="8">
        <v>1359</v>
      </c>
      <c r="E10449" s="8">
        <v>0</v>
      </c>
      <c r="F10449" s="8">
        <v>688</v>
      </c>
    </row>
    <row r="10450" spans="1:6" ht="12.75">
      <c r="A10450" s="8">
        <v>43900.136979166666</v>
      </c>
      <c r="B10450" s="8" t="str">
        <f>HYPERLINK("https://twitter.com/hariom9836","@hariom9836")</f>
        <v>@hariom9836</v>
      </c>
      <c r="C10450" s="8" t="s">
        <v>1957</v>
      </c>
      <c r="D10450" s="8">
        <v>1359</v>
      </c>
      <c r="E10450" s="8">
        <v>0</v>
      </c>
      <c r="F10450" s="8">
        <v>357</v>
      </c>
    </row>
    <row r="10451" spans="1:6" ht="12.75">
      <c r="A10451" s="8">
        <v>43900.136041666672</v>
      </c>
      <c r="B10451" s="8" t="str">
        <f>HYPERLINK("https://twitter.com/nuggettoffy","@nuggettoffy")</f>
        <v>@nuggettoffy</v>
      </c>
      <c r="C10451" s="8" t="s">
        <v>1808</v>
      </c>
      <c r="D10451" s="8">
        <v>801</v>
      </c>
      <c r="E10451" s="8">
        <v>0</v>
      </c>
      <c r="F10451" s="8">
        <v>814</v>
      </c>
    </row>
    <row r="10452" spans="1:6" ht="12.75">
      <c r="A10452" s="8">
        <v>43900.135682870372</v>
      </c>
      <c r="B10452" s="8" t="str">
        <f>HYPERLINK("https://twitter.com/King1Amrit","@King1Amrit")</f>
        <v>@King1Amrit</v>
      </c>
      <c r="C10452" s="8" t="s">
        <v>1957</v>
      </c>
      <c r="D10452" s="8">
        <v>1359</v>
      </c>
      <c r="E10452" s="8">
        <v>0</v>
      </c>
      <c r="F10452" s="8">
        <v>406</v>
      </c>
    </row>
    <row r="10453" spans="1:6" ht="12.75">
      <c r="A10453" s="8">
        <v>43900.135231481487</v>
      </c>
      <c r="B10453" s="8" t="str">
        <f>HYPERLINK("https://twitter.com/nagpaals","@nagpaals")</f>
        <v>@nagpaals</v>
      </c>
      <c r="C10453" s="8" t="s">
        <v>1957</v>
      </c>
      <c r="D10453" s="8">
        <v>1359</v>
      </c>
      <c r="E10453" s="8">
        <v>0</v>
      </c>
      <c r="F10453" s="8">
        <v>222</v>
      </c>
    </row>
    <row r="10454" spans="1:6" ht="12.75">
      <c r="A10454" s="8">
        <v>43900.135069444441</v>
      </c>
      <c r="B10454" s="8" t="str">
        <f>HYPERLINK("https://twitter.com/Sh1vanshu","@Sh1vanshu")</f>
        <v>@Sh1vanshu</v>
      </c>
      <c r="C10454" s="8" t="s">
        <v>1957</v>
      </c>
      <c r="D10454" s="8">
        <v>1359</v>
      </c>
      <c r="E10454" s="8">
        <v>0</v>
      </c>
      <c r="F10454" s="8">
        <v>325</v>
      </c>
    </row>
    <row r="10455" spans="1:6" ht="12.75">
      <c r="A10455" s="8">
        <v>43900.134143518517</v>
      </c>
      <c r="B10455" s="8" t="str">
        <f>HYPERLINK("https://twitter.com/deepakbaluni","@deepakbaluni")</f>
        <v>@deepakbaluni</v>
      </c>
      <c r="C10455" s="8" t="s">
        <v>1917</v>
      </c>
      <c r="D10455" s="8">
        <v>1522</v>
      </c>
      <c r="E10455" s="8">
        <v>0</v>
      </c>
      <c r="F10455" s="8">
        <v>469</v>
      </c>
    </row>
    <row r="10456" spans="1:6" ht="12.75">
      <c r="A10456" s="8">
        <v>43900.132604166662</v>
      </c>
      <c r="B10456" s="8" t="str">
        <f>HYPERLINK("https://twitter.com/arjunyeshwanthk","@arjunyeshwanthk")</f>
        <v>@arjunyeshwanthk</v>
      </c>
      <c r="C10456" s="8" t="s">
        <v>1957</v>
      </c>
      <c r="D10456" s="8">
        <v>1359</v>
      </c>
      <c r="E10456" s="8">
        <v>0</v>
      </c>
      <c r="F10456" s="8">
        <v>460</v>
      </c>
    </row>
    <row r="10457" spans="1:6" ht="12.75">
      <c r="A10457" s="8">
        <v>43900.132268518515</v>
      </c>
      <c r="B10457" s="8" t="str">
        <f>HYPERLINK("https://twitter.com/medcom_id","@medcom_id")</f>
        <v>@medcom_id</v>
      </c>
      <c r="C10457" s="8" t="s">
        <v>4533</v>
      </c>
      <c r="D10457" s="8">
        <v>0</v>
      </c>
      <c r="E10457" s="8">
        <v>1</v>
      </c>
      <c r="F10457" s="8">
        <v>18548</v>
      </c>
    </row>
    <row r="10458" spans="1:6" ht="12.75">
      <c r="A10458" s="8">
        <v>43900.131111111114</v>
      </c>
      <c r="B10458" s="8" t="str">
        <f>HYPERLINK("https://twitter.com/antonionugroz","@antonionugroz")</f>
        <v>@antonionugroz</v>
      </c>
      <c r="C10458" s="8" t="s">
        <v>4534</v>
      </c>
      <c r="D10458" s="8">
        <v>0</v>
      </c>
      <c r="E10458" s="8">
        <v>0</v>
      </c>
      <c r="F10458" s="8">
        <v>207</v>
      </c>
    </row>
    <row r="10459" spans="1:6" ht="12.75">
      <c r="A10459" s="8">
        <v>43900.130937499998</v>
      </c>
      <c r="B10459" s="8" t="str">
        <f>HYPERLINK("https://twitter.com/FaktaNew5","@FaktaNew5")</f>
        <v>@FaktaNew5</v>
      </c>
      <c r="C10459" s="8" t="s">
        <v>4318</v>
      </c>
      <c r="D10459" s="8">
        <v>0</v>
      </c>
      <c r="E10459" s="8">
        <v>0</v>
      </c>
      <c r="F10459" s="8">
        <v>174</v>
      </c>
    </row>
    <row r="10460" spans="1:6" ht="12.75">
      <c r="A10460" s="8">
        <v>43900.13076388889</v>
      </c>
      <c r="B10460" s="8" t="str">
        <f>HYPERLINK("https://twitter.com/AliDavala99","@AliDavala99")</f>
        <v>@AliDavala99</v>
      </c>
      <c r="C10460" s="8" t="s">
        <v>3126</v>
      </c>
      <c r="D10460" s="8">
        <v>259</v>
      </c>
      <c r="E10460" s="8">
        <v>0</v>
      </c>
      <c r="F10460" s="8">
        <v>85</v>
      </c>
    </row>
    <row r="10461" spans="1:6" ht="12.75">
      <c r="A10461" s="8">
        <v>43900.130578703705</v>
      </c>
      <c r="B10461" s="8" t="str">
        <f>HYPERLINK("https://twitter.com/absimor","@absimor")</f>
        <v>@absimor</v>
      </c>
      <c r="C10461" s="8" t="s">
        <v>4535</v>
      </c>
      <c r="D10461" s="8">
        <v>0</v>
      </c>
      <c r="E10461" s="8">
        <v>0</v>
      </c>
      <c r="F10461" s="8">
        <v>1</v>
      </c>
    </row>
    <row r="10462" spans="1:6" ht="12.75">
      <c r="A10462" s="8">
        <v>43900.128969907411</v>
      </c>
      <c r="B10462" s="8" t="str">
        <f>HYPERLINK("https://twitter.com/AnnaHindusthani","@AnnaHindusthani")</f>
        <v>@AnnaHindusthani</v>
      </c>
      <c r="C10462" s="8" t="s">
        <v>1957</v>
      </c>
      <c r="D10462" s="8">
        <v>1342</v>
      </c>
      <c r="E10462" s="8">
        <v>0</v>
      </c>
      <c r="F10462" s="8">
        <v>340</v>
      </c>
    </row>
    <row r="10463" spans="1:6" ht="12.75">
      <c r="A10463" s="8">
        <v>43900.126666666663</v>
      </c>
      <c r="B10463" s="8" t="str">
        <f>HYPERLINK("https://twitter.com/Rajiv290029","@Rajiv290029")</f>
        <v>@Rajiv290029</v>
      </c>
      <c r="C10463" s="8" t="s">
        <v>1957</v>
      </c>
      <c r="D10463" s="8">
        <v>1342</v>
      </c>
      <c r="E10463" s="8">
        <v>0</v>
      </c>
      <c r="F10463" s="8">
        <v>605</v>
      </c>
    </row>
    <row r="10464" spans="1:6" ht="12.75">
      <c r="A10464" s="8">
        <v>43900.126504629632</v>
      </c>
      <c r="B10464" s="8" t="str">
        <f>HYPERLINK("https://twitter.com/NathTeerth","@NathTeerth")</f>
        <v>@NathTeerth</v>
      </c>
      <c r="C10464" s="8" t="s">
        <v>1917</v>
      </c>
      <c r="D10464" s="8">
        <v>1519</v>
      </c>
      <c r="E10464" s="8">
        <v>0</v>
      </c>
      <c r="F10464" s="8">
        <v>380</v>
      </c>
    </row>
    <row r="10465" spans="1:6" ht="12.75">
      <c r="A10465" s="8">
        <v>43900.126331018517</v>
      </c>
      <c r="B10465" s="8" t="str">
        <f>HYPERLINK("https://twitter.com/akshay0728","@akshay0728")</f>
        <v>@akshay0728</v>
      </c>
      <c r="C10465" s="8" t="s">
        <v>1957</v>
      </c>
      <c r="D10465" s="8">
        <v>1342</v>
      </c>
      <c r="E10465" s="8">
        <v>0</v>
      </c>
      <c r="F10465" s="8">
        <v>57</v>
      </c>
    </row>
    <row r="10466" spans="1:6" ht="12.75">
      <c r="A10466" s="8">
        <v>43900.1253125</v>
      </c>
      <c r="B10466" s="8" t="str">
        <f>HYPERLINK("https://twitter.com/TankRavi","@TankRavi")</f>
        <v>@TankRavi</v>
      </c>
      <c r="C10466" s="8" t="s">
        <v>1957</v>
      </c>
      <c r="D10466" s="8">
        <v>1342</v>
      </c>
      <c r="E10466" s="8">
        <v>0</v>
      </c>
      <c r="F10466" s="8">
        <v>629</v>
      </c>
    </row>
    <row r="10467" spans="1:6" ht="12.75">
      <c r="A10467" s="8">
        <v>43900.125081018516</v>
      </c>
      <c r="B10467" s="8" t="str">
        <f>HYPERLINK("https://twitter.com/Saagarbadgujar1","@Saagarbadgujar1")</f>
        <v>@Saagarbadgujar1</v>
      </c>
      <c r="C10467" s="8" t="s">
        <v>1808</v>
      </c>
      <c r="D10467" s="8">
        <v>796</v>
      </c>
      <c r="E10467" s="8">
        <v>0</v>
      </c>
      <c r="F10467" s="8">
        <v>54</v>
      </c>
    </row>
    <row r="10468" spans="1:6" ht="12.75">
      <c r="A10468" s="8">
        <v>43900.124976851846</v>
      </c>
      <c r="B10468" s="8" t="str">
        <f>HYPERLINK("https://twitter.com/koentowijanarko","@koentowijanarko")</f>
        <v>@koentowijanarko</v>
      </c>
      <c r="C10468" s="8" t="s">
        <v>1394</v>
      </c>
      <c r="D10468" s="8">
        <v>0</v>
      </c>
      <c r="E10468" s="8">
        <v>0</v>
      </c>
      <c r="F10468" s="8">
        <v>420</v>
      </c>
    </row>
    <row r="10469" spans="1:6" ht="12.75">
      <c r="A10469" s="8">
        <v>43900.124374999999</v>
      </c>
      <c r="B10469" s="8" t="str">
        <f>HYPERLINK("https://twitter.com/KBRITokyo","@KBRITokyo")</f>
        <v>@KBRITokyo</v>
      </c>
      <c r="C10469" s="8" t="s">
        <v>3168</v>
      </c>
      <c r="D10469" s="8">
        <v>51</v>
      </c>
      <c r="E10469" s="8">
        <v>0</v>
      </c>
      <c r="F10469" s="8">
        <v>19147</v>
      </c>
    </row>
    <row r="10470" spans="1:6" ht="12.75">
      <c r="A10470" s="8">
        <v>43900.124340277776</v>
      </c>
      <c r="B10470" s="8" t="str">
        <f>HYPERLINK("https://twitter.com/Banizlam","@Banizlam")</f>
        <v>@Banizlam</v>
      </c>
      <c r="C10470" s="8" t="s">
        <v>1808</v>
      </c>
      <c r="D10470" s="8">
        <v>796</v>
      </c>
      <c r="E10470" s="8">
        <v>0</v>
      </c>
      <c r="F10470" s="8">
        <v>490</v>
      </c>
    </row>
    <row r="10471" spans="1:6" ht="12.75">
      <c r="A10471" s="8">
        <v>43900.123784722222</v>
      </c>
      <c r="B10471" s="8" t="str">
        <f>HYPERLINK("https://twitter.com/cpraghav","@cpraghav")</f>
        <v>@cpraghav</v>
      </c>
      <c r="C10471" s="8" t="s">
        <v>1808</v>
      </c>
      <c r="D10471" s="8">
        <v>796</v>
      </c>
      <c r="E10471" s="8">
        <v>0</v>
      </c>
      <c r="F10471" s="8">
        <v>5691</v>
      </c>
    </row>
    <row r="10472" spans="1:6" ht="12.75">
      <c r="A10472" s="8">
        <v>43900.122175925921</v>
      </c>
      <c r="B10472" s="8" t="str">
        <f>HYPERLINK("https://twitter.com/episro","@episro")</f>
        <v>@episro</v>
      </c>
      <c r="C10472" s="8" t="s">
        <v>1808</v>
      </c>
      <c r="D10472" s="8">
        <v>796</v>
      </c>
      <c r="E10472" s="8">
        <v>0</v>
      </c>
      <c r="F10472" s="8">
        <v>807</v>
      </c>
    </row>
    <row r="10473" spans="1:6" ht="12.75">
      <c r="A10473" s="8">
        <v>43900.122129629628</v>
      </c>
      <c r="B10473" s="8" t="str">
        <f>HYPERLINK("https://twitter.com/Vasujin56701501","@Vasujin56701501")</f>
        <v>@Vasujin56701501</v>
      </c>
      <c r="C10473" s="8" t="s">
        <v>1808</v>
      </c>
      <c r="D10473" s="8">
        <v>796</v>
      </c>
      <c r="E10473" s="8">
        <v>0</v>
      </c>
      <c r="F10473" s="8">
        <v>308</v>
      </c>
    </row>
    <row r="10474" spans="1:6" ht="12.75">
      <c r="A10474" s="8">
        <v>43900.122106481482</v>
      </c>
      <c r="B10474" s="8" t="str">
        <f>HYPERLINK("https://twitter.com/shashank249","@shashank249")</f>
        <v>@shashank249</v>
      </c>
      <c r="C10474" s="8" t="s">
        <v>1808</v>
      </c>
      <c r="D10474" s="8">
        <v>796</v>
      </c>
      <c r="E10474" s="8">
        <v>0</v>
      </c>
      <c r="F10474" s="8">
        <v>96</v>
      </c>
    </row>
    <row r="10475" spans="1:6" ht="12.75">
      <c r="A10475" s="8">
        <v>43900.120798611111</v>
      </c>
      <c r="B10475" s="8" t="str">
        <f>HYPERLINK("https://twitter.com/BesuraTaansane","@BesuraTaansane")</f>
        <v>@BesuraTaansane</v>
      </c>
      <c r="C10475" s="8" t="s">
        <v>1808</v>
      </c>
      <c r="D10475" s="8">
        <v>796</v>
      </c>
      <c r="E10475" s="8">
        <v>0</v>
      </c>
      <c r="F10475" s="8">
        <v>17118</v>
      </c>
    </row>
    <row r="10476" spans="1:6" ht="12.75">
      <c r="A10476" s="8">
        <v>43900.120671296296</v>
      </c>
      <c r="B10476" s="8" t="str">
        <f>HYPERLINK("https://twitter.com/_Urban_monk","@_Urban_monk")</f>
        <v>@_Urban_monk</v>
      </c>
      <c r="C10476" s="8" t="s">
        <v>1808</v>
      </c>
      <c r="D10476" s="8">
        <v>796</v>
      </c>
      <c r="E10476" s="8">
        <v>0</v>
      </c>
      <c r="F10476" s="8">
        <v>71</v>
      </c>
    </row>
    <row r="10477" spans="1:6" ht="12.75">
      <c r="A10477" s="8">
        <v>43900.120567129634</v>
      </c>
      <c r="B10477" s="8" t="str">
        <f>HYPERLINK("https://twitter.com/riseupshashank","@riseupshashank")</f>
        <v>@riseupshashank</v>
      </c>
      <c r="C10477" s="8" t="s">
        <v>1957</v>
      </c>
      <c r="D10477" s="8">
        <v>1342</v>
      </c>
      <c r="E10477" s="8">
        <v>0</v>
      </c>
      <c r="F10477" s="8">
        <v>590</v>
      </c>
    </row>
    <row r="10478" spans="1:6" ht="12.75">
      <c r="A10478" s="8">
        <v>43900.120520833334</v>
      </c>
      <c r="B10478" s="8" t="str">
        <f>HYPERLINK("https://twitter.com/MustofaAri463","@MustofaAri463")</f>
        <v>@MustofaAri463</v>
      </c>
      <c r="C10478" s="8" t="s">
        <v>4536</v>
      </c>
      <c r="D10478" s="8">
        <v>0</v>
      </c>
      <c r="E10478" s="8">
        <v>0</v>
      </c>
      <c r="F10478" s="8">
        <v>2</v>
      </c>
    </row>
    <row r="10479" spans="1:6" ht="12.75">
      <c r="A10479" s="8">
        <v>43900.115486111114</v>
      </c>
      <c r="B10479" s="8" t="str">
        <f>HYPERLINK("https://twitter.com/Sanjeev90585877","@Sanjeev90585877")</f>
        <v>@Sanjeev90585877</v>
      </c>
      <c r="C10479" s="8" t="s">
        <v>1957</v>
      </c>
      <c r="D10479" s="8">
        <v>1342</v>
      </c>
      <c r="E10479" s="8">
        <v>0</v>
      </c>
      <c r="F10479" s="8">
        <v>172</v>
      </c>
    </row>
    <row r="10480" spans="1:6" ht="12.75">
      <c r="A10480" s="8">
        <v>43900.115127314813</v>
      </c>
      <c r="B10480" s="8" t="str">
        <f>HYPERLINK("https://twitter.com/abcunlimited1","@abcunlimited1")</f>
        <v>@abcunlimited1</v>
      </c>
      <c r="C10480" s="8" t="s">
        <v>1808</v>
      </c>
      <c r="D10480" s="8">
        <v>796</v>
      </c>
      <c r="E10480" s="8">
        <v>0</v>
      </c>
      <c r="F10480" s="8">
        <v>238</v>
      </c>
    </row>
    <row r="10481" spans="1:6" ht="12.75">
      <c r="A10481" s="8">
        <v>43900.114363425921</v>
      </c>
      <c r="B10481" s="8" t="str">
        <f>HYPERLINK("https://twitter.com/ChandraKuanar","@ChandraKuanar")</f>
        <v>@ChandraKuanar</v>
      </c>
      <c r="C10481" s="8" t="s">
        <v>1808</v>
      </c>
      <c r="D10481" s="8">
        <v>796</v>
      </c>
      <c r="E10481" s="8">
        <v>0</v>
      </c>
      <c r="F10481" s="8">
        <v>364</v>
      </c>
    </row>
    <row r="10482" spans="1:6" ht="12.75">
      <c r="A10482" s="8">
        <v>43900.114074074074</v>
      </c>
      <c r="B10482" s="8" t="str">
        <f>HYPERLINK("https://twitter.com/SarojBa03890732","@SarojBa03890732")</f>
        <v>@SarojBa03890732</v>
      </c>
      <c r="C10482" s="8" t="s">
        <v>1957</v>
      </c>
      <c r="D10482" s="8">
        <v>1342</v>
      </c>
      <c r="E10482" s="8">
        <v>0</v>
      </c>
      <c r="F10482" s="8">
        <v>385</v>
      </c>
    </row>
    <row r="10483" spans="1:6" ht="12.75">
      <c r="A10483" s="8">
        <v>43900.113923611112</v>
      </c>
      <c r="B10483" s="8" t="str">
        <f>HYPERLINK("https://twitter.com/rprsayz","@rprsayz")</f>
        <v>@rprsayz</v>
      </c>
      <c r="C10483" s="8" t="s">
        <v>1808</v>
      </c>
      <c r="D10483" s="8">
        <v>796</v>
      </c>
      <c r="E10483" s="8">
        <v>0</v>
      </c>
      <c r="F10483" s="8">
        <v>302</v>
      </c>
    </row>
    <row r="10484" spans="1:6" ht="12.75">
      <c r="A10484" s="8">
        <v>43900.113622685181</v>
      </c>
      <c r="B10484" s="8" t="str">
        <f>HYPERLINK("https://twitter.com/Lohana1983","@Lohana1983")</f>
        <v>@Lohana1983</v>
      </c>
      <c r="C10484" s="8" t="s">
        <v>1808</v>
      </c>
      <c r="D10484" s="8">
        <v>796</v>
      </c>
      <c r="E10484" s="8">
        <v>0</v>
      </c>
      <c r="F10484" s="8">
        <v>27470</v>
      </c>
    </row>
    <row r="10485" spans="1:6" ht="12.75">
      <c r="A10485" s="8">
        <v>43900.113206018519</v>
      </c>
      <c r="B10485" s="8" t="str">
        <f>HYPERLINK("https://twitter.com/RestlessPUNdit","@RestlessPUNdit")</f>
        <v>@RestlessPUNdit</v>
      </c>
      <c r="C10485" s="8" t="s">
        <v>1957</v>
      </c>
      <c r="D10485" s="8">
        <v>1342</v>
      </c>
      <c r="E10485" s="8">
        <v>0</v>
      </c>
      <c r="F10485" s="8">
        <v>347</v>
      </c>
    </row>
    <row r="10486" spans="1:6" ht="12.75">
      <c r="A10486" s="8">
        <v>43900.112291666665</v>
      </c>
      <c r="B10486" s="8" t="str">
        <f>HYPERLINK("https://twitter.com/JakartaStar","@JakartaStar")</f>
        <v>@JakartaStar</v>
      </c>
      <c r="C10486" s="8" t="s">
        <v>3262</v>
      </c>
      <c r="D10486" s="8">
        <v>217</v>
      </c>
      <c r="E10486" s="8">
        <v>0</v>
      </c>
      <c r="F10486" s="8">
        <v>5717</v>
      </c>
    </row>
    <row r="10487" spans="1:6" ht="12.75">
      <c r="A10487" s="8">
        <v>43900.110115740739</v>
      </c>
      <c r="B10487" s="8" t="str">
        <f>HYPERLINK("https://twitter.com/Subroto4239517","@Subroto4239517")</f>
        <v>@Subroto4239517</v>
      </c>
      <c r="C10487" s="8" t="s">
        <v>1957</v>
      </c>
      <c r="D10487" s="8">
        <v>1342</v>
      </c>
      <c r="E10487" s="8">
        <v>0</v>
      </c>
      <c r="F10487" s="8">
        <v>29</v>
      </c>
    </row>
    <row r="10488" spans="1:6" ht="12.75">
      <c r="A10488" s="8">
        <v>43900.109490740739</v>
      </c>
      <c r="B10488" s="8" t="str">
        <f>HYPERLINK("https://twitter.com/aaravdwivedii","@aaravdwivedii")</f>
        <v>@aaravdwivedii</v>
      </c>
      <c r="C10488" s="8" t="s">
        <v>1957</v>
      </c>
      <c r="D10488" s="8">
        <v>1342</v>
      </c>
      <c r="E10488" s="8">
        <v>0</v>
      </c>
      <c r="F10488" s="8">
        <v>43</v>
      </c>
    </row>
    <row r="10489" spans="1:6" ht="12.75">
      <c r="A10489" s="8">
        <v>43900.109120370369</v>
      </c>
      <c r="B10489" s="8" t="str">
        <f>HYPERLINK("https://twitter.com/SanathanBharat","@SanathanBharat")</f>
        <v>@SanathanBharat</v>
      </c>
      <c r="C10489" s="8" t="s">
        <v>1808</v>
      </c>
      <c r="D10489" s="8">
        <v>796</v>
      </c>
      <c r="E10489" s="8">
        <v>0</v>
      </c>
      <c r="F10489" s="8">
        <v>2421</v>
      </c>
    </row>
    <row r="10490" spans="1:6" ht="12.75">
      <c r="A10490" s="8">
        <v>43900.108888888892</v>
      </c>
      <c r="B10490" s="8" t="str">
        <f>HYPERLINK("https://twitter.com/2acct4","@2acct4")</f>
        <v>@2acct4</v>
      </c>
      <c r="C10490" s="8" t="s">
        <v>1957</v>
      </c>
      <c r="D10490" s="8">
        <v>1342</v>
      </c>
      <c r="E10490" s="8">
        <v>0</v>
      </c>
      <c r="F10490" s="8">
        <v>38</v>
      </c>
    </row>
    <row r="10491" spans="1:6" ht="12.75">
      <c r="A10491" s="8">
        <v>43900.10869212963</v>
      </c>
      <c r="B10491" s="8" t="str">
        <f>HYPERLINK("https://twitter.com/Ghovar4","@Ghovar4")</f>
        <v>@Ghovar4</v>
      </c>
      <c r="C10491" s="8" t="s">
        <v>4537</v>
      </c>
      <c r="D10491" s="8">
        <v>0</v>
      </c>
      <c r="E10491" s="8">
        <v>0</v>
      </c>
      <c r="F10491" s="8">
        <v>246</v>
      </c>
    </row>
    <row r="10492" spans="1:6" ht="12.75">
      <c r="A10492" s="8">
        <v>43900.108298611114</v>
      </c>
      <c r="B10492" s="8" t="str">
        <f>HYPERLINK("https://twitter.com/mjrajput","@mjrajput")</f>
        <v>@mjrajput</v>
      </c>
      <c r="C10492" s="8" t="s">
        <v>1957</v>
      </c>
      <c r="D10492" s="8">
        <v>1342</v>
      </c>
      <c r="E10492" s="8">
        <v>0</v>
      </c>
      <c r="F10492" s="8">
        <v>178</v>
      </c>
    </row>
    <row r="10493" spans="1:6" ht="12.75">
      <c r="A10493" s="8">
        <v>43900.107615740737</v>
      </c>
      <c r="B10493" s="8" t="str">
        <f>HYPERLINK("https://twitter.com/pinto456","@pinto456")</f>
        <v>@pinto456</v>
      </c>
      <c r="C10493" s="8" t="s">
        <v>1957</v>
      </c>
      <c r="D10493" s="8">
        <v>1342</v>
      </c>
      <c r="E10493" s="8">
        <v>0</v>
      </c>
      <c r="F10493" s="8">
        <v>6</v>
      </c>
    </row>
    <row r="10494" spans="1:6" ht="12.75">
      <c r="A10494" s="8">
        <v>43900.103738425925</v>
      </c>
      <c r="B10494" s="8" t="str">
        <f>HYPERLINK("https://twitter.com/PrishThakkar","@PrishThakkar")</f>
        <v>@PrishThakkar</v>
      </c>
      <c r="C10494" s="8" t="s">
        <v>1957</v>
      </c>
      <c r="D10494" s="8">
        <v>1342</v>
      </c>
      <c r="E10494" s="8">
        <v>0</v>
      </c>
      <c r="F10494" s="8">
        <v>215</v>
      </c>
    </row>
    <row r="10495" spans="1:6" ht="12.75">
      <c r="A10495" s="8">
        <v>43900.10319444444</v>
      </c>
      <c r="B10495" s="8" t="str">
        <f>HYPERLINK("https://twitter.com/KajalRo30382245","@KajalRo30382245")</f>
        <v>@KajalRo30382245</v>
      </c>
      <c r="C10495" s="8" t="s">
        <v>1957</v>
      </c>
      <c r="D10495" s="8">
        <v>1342</v>
      </c>
      <c r="E10495" s="8">
        <v>0</v>
      </c>
      <c r="F10495" s="8">
        <v>41</v>
      </c>
    </row>
    <row r="10496" spans="1:6" ht="12.75">
      <c r="A10496" s="8">
        <v>43900.102997685186</v>
      </c>
      <c r="B10496" s="8" t="str">
        <f>HYPERLINK("https://twitter.com/QWERTY8202","@QWERTY8202")</f>
        <v>@QWERTY8202</v>
      </c>
      <c r="C10496" s="8" t="s">
        <v>1808</v>
      </c>
      <c r="D10496" s="8">
        <v>796</v>
      </c>
      <c r="E10496" s="8">
        <v>0</v>
      </c>
      <c r="F10496" s="8">
        <v>249</v>
      </c>
    </row>
    <row r="10497" spans="1:6" ht="12.75">
      <c r="A10497" s="8">
        <v>43900.102442129632</v>
      </c>
      <c r="B10497" s="8" t="str">
        <f>HYPERLINK("https://twitter.com/SportsInBharat","@SportsInBharat")</f>
        <v>@SportsInBharat</v>
      </c>
      <c r="C10497" s="8" t="s">
        <v>1808</v>
      </c>
      <c r="D10497" s="8">
        <v>796</v>
      </c>
      <c r="E10497" s="8">
        <v>0</v>
      </c>
      <c r="F10497" s="8">
        <v>573</v>
      </c>
    </row>
    <row r="10498" spans="1:6" ht="12.75">
      <c r="A10498" s="8">
        <v>43900.1012037037</v>
      </c>
      <c r="B10498" s="8" t="str">
        <f>HYPERLINK("https://twitter.com/akun_boso2","@akun_boso2")</f>
        <v>@akun_boso2</v>
      </c>
      <c r="C10498" s="8" t="s">
        <v>4538</v>
      </c>
      <c r="D10498" s="8">
        <v>0</v>
      </c>
      <c r="E10498" s="8">
        <v>1</v>
      </c>
      <c r="F10498" s="8">
        <v>995</v>
      </c>
    </row>
    <row r="10499" spans="1:6" ht="12.75">
      <c r="A10499" s="8">
        <v>43900.101006944446</v>
      </c>
      <c r="B10499" s="8" t="str">
        <f>HYPERLINK("https://twitter.com/Arnav_Rupde","@Arnav_Rupde")</f>
        <v>@Arnav_Rupde</v>
      </c>
      <c r="C10499" s="8" t="s">
        <v>1957</v>
      </c>
      <c r="D10499" s="8">
        <v>1342</v>
      </c>
      <c r="E10499" s="8">
        <v>0</v>
      </c>
      <c r="F10499" s="8">
        <v>249</v>
      </c>
    </row>
    <row r="10500" spans="1:6" ht="12.75">
      <c r="A10500" s="8">
        <v>43900.10050925926</v>
      </c>
      <c r="B10500" s="8" t="str">
        <f>HYPERLINK("https://twitter.com/_coff33","@_coff33")</f>
        <v>@_coff33</v>
      </c>
      <c r="C10500" s="8" t="s">
        <v>1917</v>
      </c>
      <c r="D10500" s="8">
        <v>1519</v>
      </c>
      <c r="E10500" s="8">
        <v>0</v>
      </c>
      <c r="F10500" s="8">
        <v>87</v>
      </c>
    </row>
    <row r="10501" spans="1:6" ht="12.75">
      <c r="A10501" s="8">
        <v>43900.099849537037</v>
      </c>
      <c r="B10501" s="8" t="str">
        <f>HYPERLINK("https://twitter.com/ivooxid","@ivooxid")</f>
        <v>@ivooxid</v>
      </c>
      <c r="C10501" s="8" t="s">
        <v>4539</v>
      </c>
      <c r="D10501" s="8">
        <v>0</v>
      </c>
      <c r="E10501" s="8">
        <v>0</v>
      </c>
      <c r="F10501" s="8">
        <v>1446</v>
      </c>
    </row>
    <row r="10502" spans="1:6" ht="12.75">
      <c r="A10502" s="8">
        <v>43900.098819444444</v>
      </c>
      <c r="B10502" s="8" t="str">
        <f>HYPERLINK("https://twitter.com/rajgunda","@rajgunda")</f>
        <v>@rajgunda</v>
      </c>
      <c r="C10502" s="8" t="s">
        <v>1957</v>
      </c>
      <c r="D10502" s="8">
        <v>1342</v>
      </c>
      <c r="E10502" s="8">
        <v>0</v>
      </c>
      <c r="F10502" s="8">
        <v>215</v>
      </c>
    </row>
    <row r="10503" spans="1:6" ht="12.75">
      <c r="A10503" s="8">
        <v>43900.097407407404</v>
      </c>
      <c r="B10503" s="8" t="str">
        <f>HYPERLINK("https://twitter.com/sunilkumarmotwa","@sunilkumarmotwa")</f>
        <v>@sunilkumarmotwa</v>
      </c>
      <c r="C10503" s="8" t="s">
        <v>1957</v>
      </c>
      <c r="D10503" s="8">
        <v>1342</v>
      </c>
      <c r="E10503" s="8">
        <v>0</v>
      </c>
      <c r="F10503" s="8">
        <v>63</v>
      </c>
    </row>
    <row r="10504" spans="1:6" ht="12.75">
      <c r="A10504" s="8">
        <v>43900.09710648148</v>
      </c>
      <c r="B10504" s="8" t="str">
        <f>HYPERLINK("https://twitter.com/koshurBatti","@koshurBatti")</f>
        <v>@koshurBatti</v>
      </c>
      <c r="C10504" s="8" t="s">
        <v>1917</v>
      </c>
      <c r="D10504" s="8">
        <v>1519</v>
      </c>
      <c r="E10504" s="8">
        <v>0</v>
      </c>
      <c r="F10504" s="8">
        <v>391</v>
      </c>
    </row>
    <row r="10505" spans="1:6" ht="12.75">
      <c r="A10505" s="8">
        <v>43900.09684027778</v>
      </c>
      <c r="B10505" s="8" t="str">
        <f>HYPERLINK("https://twitter.com/AnkurAvatar","@AnkurAvatar")</f>
        <v>@AnkurAvatar</v>
      </c>
      <c r="C10505" s="8" t="s">
        <v>4540</v>
      </c>
      <c r="D10505" s="8">
        <v>0</v>
      </c>
      <c r="E10505" s="8">
        <v>0</v>
      </c>
      <c r="F10505" s="8">
        <v>21</v>
      </c>
    </row>
    <row r="10506" spans="1:6" ht="12.75">
      <c r="A10506" s="8">
        <v>43900.096354166672</v>
      </c>
      <c r="B10506" s="8" t="str">
        <f>HYPERLINK("https://twitter.com/idpenamini","@idpenamini")</f>
        <v>@idpenamini</v>
      </c>
      <c r="C10506" s="8" t="s">
        <v>4541</v>
      </c>
      <c r="D10506" s="8">
        <v>0</v>
      </c>
      <c r="E10506" s="8">
        <v>0</v>
      </c>
      <c r="F10506" s="8">
        <v>175</v>
      </c>
    </row>
    <row r="10507" spans="1:6" ht="12.75">
      <c r="A10507" s="8">
        <v>43900.09584490741</v>
      </c>
      <c r="B10507" s="8" t="str">
        <f>HYPERLINK("https://twitter.com/KaalaChaashma","@KaalaChaashma")</f>
        <v>@KaalaChaashma</v>
      </c>
      <c r="C10507" s="8" t="s">
        <v>1808</v>
      </c>
      <c r="D10507" s="8">
        <v>796</v>
      </c>
      <c r="E10507" s="8">
        <v>0</v>
      </c>
      <c r="F10507" s="8">
        <v>211</v>
      </c>
    </row>
    <row r="10508" spans="1:6" ht="12.75">
      <c r="A10508" s="8">
        <v>43900.095671296294</v>
      </c>
      <c r="B10508" s="8" t="str">
        <f>HYPERLINK("https://twitter.com/durgeshnith","@durgeshnith")</f>
        <v>@durgeshnith</v>
      </c>
      <c r="C10508" s="8" t="s">
        <v>1957</v>
      </c>
      <c r="D10508" s="8">
        <v>1342</v>
      </c>
      <c r="E10508" s="8">
        <v>0</v>
      </c>
      <c r="F10508" s="8">
        <v>350</v>
      </c>
    </row>
    <row r="10509" spans="1:6" ht="12.75">
      <c r="A10509" s="8">
        <v>43900.095185185186</v>
      </c>
      <c r="B10509" s="8" t="str">
        <f>HYPERLINK("https://twitter.com/Eka_K_S","@Eka_K_S")</f>
        <v>@Eka_K_S</v>
      </c>
      <c r="C10509" s="8" t="s">
        <v>4542</v>
      </c>
      <c r="D10509" s="8">
        <v>0</v>
      </c>
      <c r="E10509" s="8">
        <v>0</v>
      </c>
      <c r="F10509" s="8">
        <v>215</v>
      </c>
    </row>
    <row r="10510" spans="1:6" ht="12.75">
      <c r="A10510" s="8">
        <v>43900.095162037032</v>
      </c>
      <c r="B10510" s="8" t="str">
        <f>HYPERLINK("https://twitter.com/StockSk5","@StockSk5")</f>
        <v>@StockSk5</v>
      </c>
      <c r="C10510" s="8" t="s">
        <v>1957</v>
      </c>
      <c r="D10510" s="8">
        <v>1342</v>
      </c>
      <c r="E10510" s="8">
        <v>0</v>
      </c>
      <c r="F10510" s="8">
        <v>32</v>
      </c>
    </row>
    <row r="10511" spans="1:6" ht="12.75">
      <c r="A10511" s="8">
        <v>43900.095150462963</v>
      </c>
      <c r="B10511" s="8" t="str">
        <f>HYPERLINK("https://twitter.com/putri_ayuandii","@putri_ayuandii")</f>
        <v>@putri_ayuandii</v>
      </c>
      <c r="C10511" s="8" t="s">
        <v>4542</v>
      </c>
      <c r="D10511" s="8">
        <v>0</v>
      </c>
      <c r="E10511" s="8">
        <v>0</v>
      </c>
      <c r="F10511" s="8">
        <v>363</v>
      </c>
    </row>
    <row r="10512" spans="1:6" ht="12.75">
      <c r="A10512" s="8">
        <v>43900.094976851848</v>
      </c>
      <c r="B10512" s="8" t="str">
        <f>HYPERLINK("https://twitter.com/sanadya99","@sanadya99")</f>
        <v>@sanadya99</v>
      </c>
      <c r="C10512" s="8" t="s">
        <v>1957</v>
      </c>
      <c r="D10512" s="8">
        <v>1342</v>
      </c>
      <c r="E10512" s="8">
        <v>0</v>
      </c>
      <c r="F10512" s="8">
        <v>382</v>
      </c>
    </row>
    <row r="10513" spans="1:6" ht="12.75">
      <c r="A10513" s="8">
        <v>43900.093865740739</v>
      </c>
      <c r="B10513" s="8" t="str">
        <f>HYPERLINK("https://twitter.com/thetolkienerd","@thetolkienerd")</f>
        <v>@thetolkienerd</v>
      </c>
      <c r="C10513" s="8" t="s">
        <v>1808</v>
      </c>
      <c r="D10513" s="8">
        <v>796</v>
      </c>
      <c r="E10513" s="8">
        <v>0</v>
      </c>
      <c r="F10513" s="8">
        <v>149</v>
      </c>
    </row>
    <row r="10514" spans="1:6" ht="12.75">
      <c r="A10514" s="8">
        <v>43900.093101851853</v>
      </c>
      <c r="B10514" s="8" t="str">
        <f>HYPERLINK("https://twitter.com/hans_tbn","@hans_tbn")</f>
        <v>@hans_tbn</v>
      </c>
      <c r="C10514" s="8" t="s">
        <v>4470</v>
      </c>
      <c r="D10514" s="8">
        <v>54</v>
      </c>
      <c r="E10514" s="8">
        <v>0</v>
      </c>
      <c r="F10514" s="8">
        <v>774</v>
      </c>
    </row>
    <row r="10515" spans="1:6" ht="12.75">
      <c r="A10515" s="8">
        <v>43900.091412037036</v>
      </c>
      <c r="B10515" s="8" t="str">
        <f>HYPERLINK("https://twitter.com/arisutrisna_ari","@arisutrisna_ari")</f>
        <v>@arisutrisna_ari</v>
      </c>
      <c r="C10515" s="8" t="s">
        <v>4543</v>
      </c>
      <c r="D10515" s="8">
        <v>0</v>
      </c>
      <c r="E10515" s="8">
        <v>0</v>
      </c>
      <c r="F10515" s="8">
        <v>455</v>
      </c>
    </row>
    <row r="10516" spans="1:6" ht="12.75">
      <c r="A10516" s="8">
        <v>43900.090138888889</v>
      </c>
      <c r="B10516" s="8" t="str">
        <f>HYPERLINK("https://twitter.com/yashsaklecha","@yashsaklecha")</f>
        <v>@yashsaklecha</v>
      </c>
      <c r="C10516" s="8" t="s">
        <v>1957</v>
      </c>
      <c r="D10516" s="8">
        <v>1316</v>
      </c>
      <c r="E10516" s="8">
        <v>0</v>
      </c>
      <c r="F10516" s="8">
        <v>400</v>
      </c>
    </row>
    <row r="10517" spans="1:6" ht="12.75">
      <c r="A10517" s="8">
        <v>43900.089745370366</v>
      </c>
      <c r="B10517" s="8" t="str">
        <f>HYPERLINK("https://twitter.com/NeonKashmir","@NeonKashmir")</f>
        <v>@NeonKashmir</v>
      </c>
      <c r="C10517" s="8" t="s">
        <v>1917</v>
      </c>
      <c r="D10517" s="8">
        <v>1517</v>
      </c>
      <c r="E10517" s="8">
        <v>0</v>
      </c>
      <c r="F10517" s="8">
        <v>1901</v>
      </c>
    </row>
    <row r="10518" spans="1:6" ht="12.75">
      <c r="A10518" s="8">
        <v>43900.089641203704</v>
      </c>
      <c r="B10518" s="8" t="str">
        <f>HYPERLINK("https://twitter.com/pakhishukla21","@pakhishukla21")</f>
        <v>@pakhishukla21</v>
      </c>
      <c r="C10518" s="8" t="s">
        <v>1957</v>
      </c>
      <c r="D10518" s="8">
        <v>1316</v>
      </c>
      <c r="E10518" s="8">
        <v>0</v>
      </c>
      <c r="F10518" s="8">
        <v>3504</v>
      </c>
    </row>
    <row r="10519" spans="1:6" ht="12.75">
      <c r="A10519" s="8">
        <v>43900.088402777779</v>
      </c>
      <c r="B10519" s="8" t="str">
        <f>HYPERLINK("https://twitter.com/akv1179","@akv1179")</f>
        <v>@akv1179</v>
      </c>
      <c r="C10519" s="8" t="s">
        <v>1957</v>
      </c>
      <c r="D10519" s="8">
        <v>1316</v>
      </c>
      <c r="E10519" s="8">
        <v>0</v>
      </c>
      <c r="F10519" s="8">
        <v>423</v>
      </c>
    </row>
    <row r="10520" spans="1:6" ht="12.75">
      <c r="A10520" s="8">
        <v>43900.087627314817</v>
      </c>
      <c r="B10520" s="8" t="str">
        <f>HYPERLINK("https://twitter.com/adarshchuroria","@adarshchuroria")</f>
        <v>@adarshchuroria</v>
      </c>
      <c r="C10520" s="8" t="s">
        <v>1917</v>
      </c>
      <c r="D10520" s="8">
        <v>1517</v>
      </c>
      <c r="E10520" s="8">
        <v>0</v>
      </c>
      <c r="F10520" s="8">
        <v>441</v>
      </c>
    </row>
    <row r="10521" spans="1:6" ht="12.75">
      <c r="A10521" s="8">
        <v>43900.087337962963</v>
      </c>
      <c r="B10521" s="8" t="str">
        <f>HYPERLINK("https://twitter.com/ShreePanicker","@ShreePanicker")</f>
        <v>@ShreePanicker</v>
      </c>
      <c r="C10521" s="8" t="s">
        <v>1917</v>
      </c>
      <c r="D10521" s="8">
        <v>1517</v>
      </c>
      <c r="E10521" s="8">
        <v>0</v>
      </c>
      <c r="F10521" s="8">
        <v>654</v>
      </c>
    </row>
    <row r="10522" spans="1:6" ht="12.75">
      <c r="A10522" s="8">
        <v>43900.087222222224</v>
      </c>
      <c r="B10522" s="8" t="str">
        <f>HYPERLINK("https://twitter.com/umamcelo10","@umamcelo10")</f>
        <v>@umamcelo10</v>
      </c>
      <c r="C10522" s="8" t="s">
        <v>4544</v>
      </c>
      <c r="D10522" s="8">
        <v>2</v>
      </c>
      <c r="E10522" s="8">
        <v>0</v>
      </c>
      <c r="F10522" s="8">
        <v>107</v>
      </c>
    </row>
    <row r="10523" spans="1:6" ht="12.75">
      <c r="A10523" s="8">
        <v>43900.087013888886</v>
      </c>
      <c r="B10523" s="8" t="str">
        <f>HYPERLINK("https://twitter.com/Roni64831039","@Roni64831039")</f>
        <v>@Roni64831039</v>
      </c>
      <c r="C10523" s="8" t="s">
        <v>4068</v>
      </c>
      <c r="D10523" s="8">
        <v>25</v>
      </c>
      <c r="E10523" s="8">
        <v>0</v>
      </c>
      <c r="F10523" s="8">
        <v>264</v>
      </c>
    </row>
    <row r="10524" spans="1:6" ht="12.75">
      <c r="A10524" s="8">
        <v>43900.086388888885</v>
      </c>
      <c r="B10524" s="8" t="str">
        <f>HYPERLINK("https://twitter.com/tribunmedan","@tribunmedan")</f>
        <v>@tribunmedan</v>
      </c>
      <c r="C10524" s="8" t="s">
        <v>4545</v>
      </c>
      <c r="D10524" s="8">
        <v>0</v>
      </c>
      <c r="E10524" s="8">
        <v>0</v>
      </c>
      <c r="F10524" s="8">
        <v>72955</v>
      </c>
    </row>
    <row r="10525" spans="1:6" ht="12.75">
      <c r="A10525" s="8">
        <v>43900.084641203706</v>
      </c>
      <c r="B10525" s="8" t="str">
        <f>HYPERLINK("https://twitter.com/CaptAssamRegt","@CaptAssamRegt")</f>
        <v>@CaptAssamRegt</v>
      </c>
      <c r="C10525" s="8" t="s">
        <v>1957</v>
      </c>
      <c r="D10525" s="8">
        <v>1316</v>
      </c>
      <c r="E10525" s="8">
        <v>0</v>
      </c>
      <c r="F10525" s="8">
        <v>792</v>
      </c>
    </row>
    <row r="10526" spans="1:6" ht="12.75">
      <c r="A10526" s="8">
        <v>43900.082430555558</v>
      </c>
      <c r="B10526" s="8" t="str">
        <f>HYPERLINK("https://twitter.com/Zahrah40291660","@Zahrah40291660")</f>
        <v>@Zahrah40291660</v>
      </c>
      <c r="C10526" s="8" t="s">
        <v>3126</v>
      </c>
      <c r="D10526" s="8">
        <v>256</v>
      </c>
      <c r="E10526" s="8">
        <v>0</v>
      </c>
      <c r="F10526" s="8">
        <v>1682</v>
      </c>
    </row>
    <row r="10527" spans="1:6" ht="12.75">
      <c r="A10527" s="8">
        <v>43900.082013888888</v>
      </c>
      <c r="B10527" s="8" t="str">
        <f>HYPERLINK("https://twitter.com/VikasGsaraswat","@VikasGsaraswat")</f>
        <v>@VikasGsaraswat</v>
      </c>
      <c r="C10527" s="8" t="s">
        <v>1957</v>
      </c>
      <c r="D10527" s="8">
        <v>1316</v>
      </c>
      <c r="E10527" s="8">
        <v>0</v>
      </c>
      <c r="F10527" s="8">
        <v>198</v>
      </c>
    </row>
    <row r="10528" spans="1:6" ht="12.75">
      <c r="A10528" s="8">
        <v>43900.08194444445</v>
      </c>
      <c r="B10528" s="8" t="str">
        <f>HYPERLINK("https://twitter.com/AwasareYogesh","@AwasareYogesh")</f>
        <v>@AwasareYogesh</v>
      </c>
      <c r="C10528" s="8" t="s">
        <v>1957</v>
      </c>
      <c r="D10528" s="8">
        <v>1316</v>
      </c>
      <c r="E10528" s="8">
        <v>0</v>
      </c>
      <c r="F10528" s="8">
        <v>300</v>
      </c>
    </row>
    <row r="10529" spans="1:6" ht="12.75">
      <c r="A10529" s="8">
        <v>43900.081678240742</v>
      </c>
      <c r="B10529" s="8" t="str">
        <f>HYPERLINK("https://twitter.com/ishanc","@ishanc")</f>
        <v>@ishanc</v>
      </c>
      <c r="C10529" s="8" t="s">
        <v>1957</v>
      </c>
      <c r="D10529" s="8">
        <v>1316</v>
      </c>
      <c r="E10529" s="8">
        <v>0</v>
      </c>
      <c r="F10529" s="8">
        <v>1002</v>
      </c>
    </row>
    <row r="10530" spans="1:6" ht="12.75">
      <c r="A10530" s="8">
        <v>43900.081550925926</v>
      </c>
      <c r="B10530" s="8" t="str">
        <f>HYPERLINK("https://twitter.com/devendra_2000","@devendra_2000")</f>
        <v>@devendra_2000</v>
      </c>
      <c r="C10530" s="8" t="s">
        <v>1957</v>
      </c>
      <c r="D10530" s="8">
        <v>1316</v>
      </c>
      <c r="E10530" s="8">
        <v>0</v>
      </c>
      <c r="F10530" s="8">
        <v>303</v>
      </c>
    </row>
    <row r="10531" spans="1:6" ht="12.75">
      <c r="A10531" s="8">
        <v>43900.080046296294</v>
      </c>
      <c r="B10531" s="8" t="str">
        <f>HYPERLINK("https://twitter.com/jayantsharmaa","@jayantsharmaa")</f>
        <v>@jayantsharmaa</v>
      </c>
      <c r="C10531" s="8" t="s">
        <v>1957</v>
      </c>
      <c r="D10531" s="8">
        <v>1316</v>
      </c>
      <c r="E10531" s="8">
        <v>0</v>
      </c>
      <c r="F10531" s="8">
        <v>501</v>
      </c>
    </row>
    <row r="10532" spans="1:6" ht="12.75">
      <c r="A10532" s="8">
        <v>43900.079791666663</v>
      </c>
      <c r="B10532" s="8" t="str">
        <f>HYPERLINK("https://twitter.com/AhmadVerel","@AhmadVerel")</f>
        <v>@AhmadVerel</v>
      </c>
      <c r="C10532" s="8" t="s">
        <v>4068</v>
      </c>
      <c r="D10532" s="8">
        <v>25</v>
      </c>
      <c r="E10532" s="8">
        <v>0</v>
      </c>
      <c r="F10532" s="8">
        <v>1421</v>
      </c>
    </row>
    <row r="10533" spans="1:6" ht="12.75">
      <c r="A10533" s="8">
        <v>43900.079456018517</v>
      </c>
      <c r="B10533" s="8" t="str">
        <f>HYPERLINK("https://twitter.com/SamSharma2019","@SamSharma2019")</f>
        <v>@SamSharma2019</v>
      </c>
      <c r="C10533" s="8" t="s">
        <v>1957</v>
      </c>
      <c r="D10533" s="8">
        <v>1316</v>
      </c>
      <c r="E10533" s="8">
        <v>0</v>
      </c>
      <c r="F10533" s="8">
        <v>40</v>
      </c>
    </row>
    <row r="10534" spans="1:6" ht="12.75">
      <c r="A10534" s="8">
        <v>43900.079270833332</v>
      </c>
      <c r="B10534" s="8" t="str">
        <f>HYPERLINK("https://twitter.com/BhakthLokesh","@BhakthLokesh")</f>
        <v>@BhakthLokesh</v>
      </c>
      <c r="C10534" s="8" t="s">
        <v>1957</v>
      </c>
      <c r="D10534" s="8">
        <v>1316</v>
      </c>
      <c r="E10534" s="8">
        <v>0</v>
      </c>
      <c r="F10534" s="8">
        <v>794</v>
      </c>
    </row>
    <row r="10535" spans="1:6" ht="12.75">
      <c r="A10535" s="8">
        <v>43900.078414351854</v>
      </c>
      <c r="B10535" s="8" t="str">
        <f>HYPERLINK("https://twitter.com/Ajitesh4037","@Ajitesh4037")</f>
        <v>@Ajitesh4037</v>
      </c>
      <c r="C10535" s="8" t="s">
        <v>1957</v>
      </c>
      <c r="D10535" s="8">
        <v>1316</v>
      </c>
      <c r="E10535" s="8">
        <v>0</v>
      </c>
      <c r="F10535" s="8">
        <v>138</v>
      </c>
    </row>
    <row r="10536" spans="1:6" ht="12.75">
      <c r="A10536" s="8">
        <v>43900.077905092592</v>
      </c>
      <c r="B10536" s="8" t="str">
        <f>HYPERLINK("https://twitter.com/indonesia_sk","@indonesia_sk")</f>
        <v>@indonesia_sk</v>
      </c>
      <c r="C10536" s="8" t="s">
        <v>3168</v>
      </c>
      <c r="D10536" s="8">
        <v>50</v>
      </c>
      <c r="E10536" s="8">
        <v>0</v>
      </c>
      <c r="F10536" s="8">
        <v>1067</v>
      </c>
    </row>
    <row r="10537" spans="1:6" ht="12.75">
      <c r="A10537" s="8">
        <v>43900.077407407407</v>
      </c>
      <c r="B10537" s="8" t="str">
        <f>HYPERLINK("https://twitter.com/ImPrasanna_Rao","@ImPrasanna_Rao")</f>
        <v>@ImPrasanna_Rao</v>
      </c>
      <c r="C10537" s="8" t="s">
        <v>1808</v>
      </c>
      <c r="D10537" s="8">
        <v>776</v>
      </c>
      <c r="E10537" s="8">
        <v>0</v>
      </c>
      <c r="F10537" s="8">
        <v>181</v>
      </c>
    </row>
    <row r="10538" spans="1:6" ht="12.75">
      <c r="A10538" s="8">
        <v>43900.077210648145</v>
      </c>
      <c r="B10538" s="8" t="str">
        <f>HYPERLINK("https://twitter.com/GyanveerSingh8","@GyanveerSingh8")</f>
        <v>@GyanveerSingh8</v>
      </c>
      <c r="C10538" s="8" t="s">
        <v>1957</v>
      </c>
      <c r="D10538" s="8">
        <v>1316</v>
      </c>
      <c r="E10538" s="8">
        <v>0</v>
      </c>
      <c r="F10538" s="8">
        <v>973</v>
      </c>
    </row>
    <row r="10539" spans="1:6" ht="12.75">
      <c r="A10539" s="8">
        <v>43900.075833333336</v>
      </c>
      <c r="B10539" s="8" t="str">
        <f>HYPERLINK("https://twitter.com/r4rajiv","@r4rajiv")</f>
        <v>@r4rajiv</v>
      </c>
      <c r="C10539" s="8" t="s">
        <v>1957</v>
      </c>
      <c r="D10539" s="8">
        <v>1316</v>
      </c>
      <c r="E10539" s="8">
        <v>0</v>
      </c>
      <c r="F10539" s="8">
        <v>190</v>
      </c>
    </row>
    <row r="10540" spans="1:6" ht="12.75">
      <c r="A10540" s="8">
        <v>43900.075624999998</v>
      </c>
      <c r="B10540" s="8" t="str">
        <f>HYPERLINK("https://twitter.com/ExcaliburMonkz","@ExcaliburMonkz")</f>
        <v>@ExcaliburMonkz</v>
      </c>
      <c r="C10540" s="8" t="s">
        <v>1957</v>
      </c>
      <c r="D10540" s="8">
        <v>1316</v>
      </c>
      <c r="E10540" s="8">
        <v>0</v>
      </c>
      <c r="F10540" s="8">
        <v>1089</v>
      </c>
    </row>
    <row r="10541" spans="1:6" ht="12.75">
      <c r="A10541" s="8">
        <v>43900.075104166666</v>
      </c>
      <c r="B10541" s="8" t="str">
        <f>HYPERLINK("https://twitter.com/narendrapjoshi","@narendrapjoshi")</f>
        <v>@narendrapjoshi</v>
      </c>
      <c r="C10541" s="8" t="s">
        <v>1808</v>
      </c>
      <c r="D10541" s="8">
        <v>776</v>
      </c>
      <c r="E10541" s="8">
        <v>0</v>
      </c>
      <c r="F10541" s="8">
        <v>2358</v>
      </c>
    </row>
    <row r="10542" spans="1:6" ht="12.75">
      <c r="A10542" s="8">
        <v>43900.074861111112</v>
      </c>
      <c r="B10542" s="8" t="str">
        <f>HYPERLINK("https://twitter.com/ChaudhuryAlok","@ChaudhuryAlok")</f>
        <v>@ChaudhuryAlok</v>
      </c>
      <c r="C10542" s="8" t="s">
        <v>1957</v>
      </c>
      <c r="D10542" s="8">
        <v>1316</v>
      </c>
      <c r="E10542" s="8">
        <v>0</v>
      </c>
      <c r="F10542" s="8">
        <v>990</v>
      </c>
    </row>
    <row r="10543" spans="1:6" ht="12.75">
      <c r="A10543" s="8">
        <v>43900.074745370366</v>
      </c>
      <c r="B10543" s="8" t="str">
        <f>HYPERLINK("https://twitter.com/PantunJ2P","@PantunJ2P")</f>
        <v>@PantunJ2P</v>
      </c>
      <c r="C10543" s="8" t="s">
        <v>4470</v>
      </c>
      <c r="D10543" s="8">
        <v>53</v>
      </c>
      <c r="E10543" s="8">
        <v>0</v>
      </c>
      <c r="F10543" s="8">
        <v>12996</v>
      </c>
    </row>
    <row r="10544" spans="1:6" ht="12.75">
      <c r="A10544" s="8">
        <v>43900.072974537034</v>
      </c>
      <c r="B10544" s="8" t="str">
        <f>HYPERLINK("https://twitter.com/EngGuntur","@EngGuntur")</f>
        <v>@EngGuntur</v>
      </c>
      <c r="C10544" s="8" t="s">
        <v>4470</v>
      </c>
      <c r="D10544" s="8">
        <v>53</v>
      </c>
      <c r="E10544" s="8">
        <v>0</v>
      </c>
      <c r="F10544" s="8">
        <v>2443</v>
      </c>
    </row>
    <row r="10545" spans="1:6" ht="12.75">
      <c r="A10545" s="8">
        <v>43900.072696759264</v>
      </c>
      <c r="B10545" s="8" t="str">
        <f>HYPERLINK("https://twitter.com/vishalgaur111","@vishalgaur111")</f>
        <v>@vishalgaur111</v>
      </c>
      <c r="C10545" s="8" t="s">
        <v>1957</v>
      </c>
      <c r="D10545" s="8">
        <v>1316</v>
      </c>
      <c r="E10545" s="8">
        <v>0</v>
      </c>
      <c r="F10545" s="8">
        <v>1040</v>
      </c>
    </row>
    <row r="10546" spans="1:6" ht="12.75">
      <c r="A10546" s="8">
        <v>43900.072175925925</v>
      </c>
      <c r="B10546" s="8" t="str">
        <f>HYPERLINK("https://twitter.com/Rajgupta147741","@Rajgupta147741")</f>
        <v>@Rajgupta147741</v>
      </c>
      <c r="C10546" s="8" t="s">
        <v>1957</v>
      </c>
      <c r="D10546" s="8">
        <v>1316</v>
      </c>
      <c r="E10546" s="8">
        <v>0</v>
      </c>
      <c r="F10546" s="8">
        <v>41</v>
      </c>
    </row>
    <row r="10547" spans="1:6" ht="12.75">
      <c r="A10547" s="8">
        <v>43900.071585648147</v>
      </c>
      <c r="B10547" s="8" t="str">
        <f>HYPERLINK("https://twitter.com/jitendrachauh19","@jitendrachauh19")</f>
        <v>@jitendrachauh19</v>
      </c>
      <c r="C10547" s="8" t="s">
        <v>1957</v>
      </c>
      <c r="D10547" s="8">
        <v>1316</v>
      </c>
      <c r="E10547" s="8">
        <v>0</v>
      </c>
      <c r="F10547" s="8">
        <v>255</v>
      </c>
    </row>
    <row r="10548" spans="1:6" ht="12.75">
      <c r="A10548" s="8">
        <v>43900.071539351848</v>
      </c>
      <c r="B10548" s="8" t="str">
        <f>HYPERLINK("https://twitter.com/MurBaud1per2in","@MurBaud1per2in")</f>
        <v>@MurBaud1per2in</v>
      </c>
      <c r="C10548" s="8" t="s">
        <v>4546</v>
      </c>
      <c r="D10548" s="8">
        <v>0</v>
      </c>
      <c r="E10548" s="8">
        <v>0</v>
      </c>
      <c r="F10548" s="8">
        <v>34</v>
      </c>
    </row>
    <row r="10549" spans="1:6" ht="12.75">
      <c r="A10549" s="8">
        <v>43900.070960648147</v>
      </c>
      <c r="B10549" s="8" t="str">
        <f>HYPERLINK("https://twitter.com/vaibhavpattadur","@vaibhavpattadur")</f>
        <v>@vaibhavpattadur</v>
      </c>
      <c r="C10549" s="8" t="s">
        <v>1808</v>
      </c>
      <c r="D10549" s="8">
        <v>776</v>
      </c>
      <c r="E10549" s="8">
        <v>0</v>
      </c>
      <c r="F10549" s="8">
        <v>79</v>
      </c>
    </row>
    <row r="10550" spans="1:6" ht="12.75">
      <c r="A10550" s="8">
        <v>43900.069826388892</v>
      </c>
      <c r="B10550" s="8" t="str">
        <f>HYPERLINK("https://twitter.com/therensoOlrenli","@therensoOlrenli")</f>
        <v>@therensoOlrenli</v>
      </c>
      <c r="C10550" s="8" t="s">
        <v>4547</v>
      </c>
      <c r="D10550" s="8">
        <v>0</v>
      </c>
      <c r="E10550" s="8">
        <v>0</v>
      </c>
      <c r="F10550" s="8">
        <v>535</v>
      </c>
    </row>
    <row r="10551" spans="1:6" ht="12.75">
      <c r="A10551" s="8">
        <v>43900.069027777776</v>
      </c>
      <c r="B10551" s="8" t="str">
        <f>HYPERLINK("https://twitter.com/KamleshBirar","@KamleshBirar")</f>
        <v>@KamleshBirar</v>
      </c>
      <c r="C10551" s="8" t="s">
        <v>1957</v>
      </c>
      <c r="D10551" s="8">
        <v>1316</v>
      </c>
      <c r="E10551" s="8">
        <v>0</v>
      </c>
      <c r="F10551" s="8">
        <v>804</v>
      </c>
    </row>
    <row r="10552" spans="1:6" ht="12.75">
      <c r="A10552" s="8">
        <v>43900.067731481482</v>
      </c>
      <c r="B10552" s="8" t="str">
        <f>HYPERLINK("https://twitter.com/itsmeroshan2121","@itsmeroshan2121")</f>
        <v>@itsmeroshan2121</v>
      </c>
      <c r="C10552" s="8" t="s">
        <v>1957</v>
      </c>
      <c r="D10552" s="8">
        <v>1316</v>
      </c>
      <c r="E10552" s="8">
        <v>0</v>
      </c>
      <c r="F10552" s="8">
        <v>1050</v>
      </c>
    </row>
    <row r="10553" spans="1:6" ht="12.75">
      <c r="A10553" s="8">
        <v>43900.067384259259</v>
      </c>
      <c r="B10553" s="8" t="str">
        <f>HYPERLINK("https://twitter.com/kiran_khairna","@kiran_khairna")</f>
        <v>@kiran_khairna</v>
      </c>
      <c r="C10553" s="8" t="s">
        <v>1957</v>
      </c>
      <c r="D10553" s="8">
        <v>1316</v>
      </c>
      <c r="E10553" s="8">
        <v>0</v>
      </c>
      <c r="F10553" s="8">
        <v>11</v>
      </c>
    </row>
    <row r="10554" spans="1:6" ht="12.75">
      <c r="A10554" s="8">
        <v>43900.06722222222</v>
      </c>
      <c r="B10554" s="8" t="str">
        <f>HYPERLINK("https://twitter.com/RameshS46214166","@RameshS46214166")</f>
        <v>@RameshS46214166</v>
      </c>
      <c r="C10554" s="8" t="s">
        <v>1957</v>
      </c>
      <c r="D10554" s="8">
        <v>1316</v>
      </c>
      <c r="E10554" s="8">
        <v>0</v>
      </c>
      <c r="F10554" s="8">
        <v>460</v>
      </c>
    </row>
    <row r="10555" spans="1:6" ht="12.75">
      <c r="A10555" s="8">
        <v>43900.066793981481</v>
      </c>
      <c r="B10555" s="8" t="str">
        <f>HYPERLINK("https://twitter.com/sanjoymimim","@sanjoymimim")</f>
        <v>@sanjoymimim</v>
      </c>
      <c r="C10555" s="8" t="s">
        <v>1957</v>
      </c>
      <c r="D10555" s="8">
        <v>1316</v>
      </c>
      <c r="E10555" s="8">
        <v>0</v>
      </c>
      <c r="F10555" s="8">
        <v>336</v>
      </c>
    </row>
    <row r="10556" spans="1:6" ht="12.75">
      <c r="A10556" s="8">
        <v>43900.06631944445</v>
      </c>
      <c r="B10556" s="8" t="str">
        <f>HYPERLINK("https://twitter.com/iSatish007","@iSatish007")</f>
        <v>@iSatish007</v>
      </c>
      <c r="C10556" s="8" t="s">
        <v>1808</v>
      </c>
      <c r="D10556" s="8">
        <v>776</v>
      </c>
      <c r="E10556" s="8">
        <v>0</v>
      </c>
      <c r="F10556" s="8">
        <v>82</v>
      </c>
    </row>
    <row r="10557" spans="1:6" ht="12.75">
      <c r="A10557" s="8">
        <v>43900.066041666665</v>
      </c>
      <c r="B10557" s="8" t="str">
        <f>HYPERLINK("https://twitter.com/Naufalbubur","@Naufalbubur")</f>
        <v>@Naufalbubur</v>
      </c>
      <c r="C10557" s="8" t="s">
        <v>4548</v>
      </c>
      <c r="D10557" s="8">
        <v>32</v>
      </c>
      <c r="E10557" s="8">
        <v>0</v>
      </c>
      <c r="F10557" s="8">
        <v>90</v>
      </c>
    </row>
    <row r="10558" spans="1:6" ht="12.75">
      <c r="A10558" s="8">
        <v>43900.065648148149</v>
      </c>
      <c r="B10558" s="8" t="str">
        <f>HYPERLINK("https://twitter.com/Priyanka24Sri","@Priyanka24Sri")</f>
        <v>@Priyanka24Sri</v>
      </c>
      <c r="C10558" s="8" t="s">
        <v>1808</v>
      </c>
      <c r="D10558" s="8">
        <v>776</v>
      </c>
      <c r="E10558" s="8">
        <v>0</v>
      </c>
      <c r="F10558" s="8">
        <v>103</v>
      </c>
    </row>
    <row r="10559" spans="1:6" ht="12.75">
      <c r="A10559" s="8">
        <v>43900.065625000003</v>
      </c>
      <c r="B10559" s="8" t="str">
        <f>HYPERLINK("https://twitter.com/BharatheshBhara","@BharatheshBhara")</f>
        <v>@BharatheshBhara</v>
      </c>
      <c r="C10559" s="8" t="s">
        <v>1957</v>
      </c>
      <c r="D10559" s="8">
        <v>1316</v>
      </c>
      <c r="E10559" s="8">
        <v>0</v>
      </c>
      <c r="F10559" s="8">
        <v>1321</v>
      </c>
    </row>
    <row r="10560" spans="1:6" ht="12.75">
      <c r="A10560" s="8">
        <v>43900.065405092595</v>
      </c>
      <c r="B10560" s="8" t="str">
        <f>HYPERLINK("https://twitter.com/VickyDeshwal4","@VickyDeshwal4")</f>
        <v>@VickyDeshwal4</v>
      </c>
      <c r="C10560" s="8" t="s">
        <v>1957</v>
      </c>
      <c r="D10560" s="8">
        <v>1316</v>
      </c>
      <c r="E10560" s="8">
        <v>0</v>
      </c>
      <c r="F10560" s="8">
        <v>549</v>
      </c>
    </row>
    <row r="10561" spans="1:6" ht="12.75">
      <c r="A10561" s="8">
        <v>43900.065347222218</v>
      </c>
      <c r="B10561" s="8" t="str">
        <f>HYPERLINK("https://twitter.com/usman_alfath","@usman_alfath")</f>
        <v>@usman_alfath</v>
      </c>
      <c r="C10561" s="8" t="s">
        <v>2872</v>
      </c>
      <c r="D10561" s="8">
        <v>2</v>
      </c>
      <c r="E10561" s="8">
        <v>0</v>
      </c>
      <c r="F10561" s="8">
        <v>178</v>
      </c>
    </row>
    <row r="10562" spans="1:6" ht="12.75">
      <c r="A10562" s="8">
        <v>43900.064849537041</v>
      </c>
      <c r="B10562" s="8" t="str">
        <f>HYPERLINK("https://twitter.com/wiliam999","@wiliam999")</f>
        <v>@wiliam999</v>
      </c>
      <c r="C10562" s="8" t="s">
        <v>4549</v>
      </c>
      <c r="D10562" s="8">
        <v>0</v>
      </c>
      <c r="E10562" s="8">
        <v>2</v>
      </c>
      <c r="F10562" s="8">
        <v>2375</v>
      </c>
    </row>
    <row r="10563" spans="1:6" ht="12.75">
      <c r="A10563" s="8">
        <v>43900.063981481479</v>
      </c>
      <c r="B10563" s="8" t="str">
        <f>HYPERLINK("https://twitter.com/Draculaa21","@Draculaa21")</f>
        <v>@Draculaa21</v>
      </c>
      <c r="C10563" s="8" t="s">
        <v>1957</v>
      </c>
      <c r="D10563" s="8">
        <v>1316</v>
      </c>
      <c r="E10563" s="8">
        <v>0</v>
      </c>
      <c r="F10563" s="8">
        <v>302</v>
      </c>
    </row>
    <row r="10564" spans="1:6" ht="12.75">
      <c r="A10564" s="8">
        <v>43900.063379629632</v>
      </c>
      <c r="B10564" s="8" t="str">
        <f>HYPERLINK("https://twitter.com/ModifiedAkki","@ModifiedAkki")</f>
        <v>@ModifiedAkki</v>
      </c>
      <c r="C10564" s="8" t="s">
        <v>1957</v>
      </c>
      <c r="D10564" s="8">
        <v>1316</v>
      </c>
      <c r="E10564" s="8">
        <v>0</v>
      </c>
      <c r="F10564" s="8">
        <v>613</v>
      </c>
    </row>
    <row r="10565" spans="1:6" ht="12.75">
      <c r="A10565" s="8">
        <v>43900.062395833331</v>
      </c>
      <c r="B10565" s="8" t="str">
        <f>HYPERLINK("https://twitter.com/sagar_parsa","@sagar_parsa")</f>
        <v>@sagar_parsa</v>
      </c>
      <c r="C10565" s="8" t="s">
        <v>1957</v>
      </c>
      <c r="D10565" s="8">
        <v>1316</v>
      </c>
      <c r="E10565" s="8">
        <v>0</v>
      </c>
      <c r="F10565" s="8">
        <v>80</v>
      </c>
    </row>
    <row r="10566" spans="1:6" ht="12.75">
      <c r="A10566" s="8">
        <v>43900.061944444446</v>
      </c>
      <c r="B10566" s="8" t="str">
        <f>HYPERLINK("https://twitter.com/dharit87","@dharit87")</f>
        <v>@dharit87</v>
      </c>
      <c r="C10566" s="8" t="s">
        <v>1957</v>
      </c>
      <c r="D10566" s="8">
        <v>1316</v>
      </c>
      <c r="E10566" s="8">
        <v>0</v>
      </c>
      <c r="F10566" s="8">
        <v>563</v>
      </c>
    </row>
    <row r="10567" spans="1:6" ht="12.75">
      <c r="A10567" s="8">
        <v>43900.061608796299</v>
      </c>
      <c r="B10567" s="8" t="str">
        <f>HYPERLINK("https://twitter.com/gvbsatish9999","@gvbsatish9999")</f>
        <v>@gvbsatish9999</v>
      </c>
      <c r="C10567" s="8" t="s">
        <v>1957</v>
      </c>
      <c r="D10567" s="8">
        <v>1316</v>
      </c>
      <c r="E10567" s="8">
        <v>0</v>
      </c>
      <c r="F10567" s="8">
        <v>165</v>
      </c>
    </row>
    <row r="10568" spans="1:6" ht="12.75">
      <c r="A10568" s="8">
        <v>43900.060937499999</v>
      </c>
      <c r="B10568" s="8" t="str">
        <f>HYPERLINK("https://twitter.com/topinfo_id","@topinfo_id")</f>
        <v>@topinfo_id</v>
      </c>
      <c r="C10568" s="8" t="s">
        <v>4550</v>
      </c>
      <c r="D10568" s="8">
        <v>0</v>
      </c>
      <c r="E10568" s="8">
        <v>0</v>
      </c>
      <c r="F10568" s="8">
        <v>77</v>
      </c>
    </row>
    <row r="10569" spans="1:6" ht="12.75">
      <c r="A10569" s="8">
        <v>43900.060671296298</v>
      </c>
      <c r="B10569" s="8" t="str">
        <f>HYPERLINK("https://twitter.com/vikramcreative8","@vikramcreative8")</f>
        <v>@vikramcreative8</v>
      </c>
      <c r="C10569" s="8" t="s">
        <v>1957</v>
      </c>
      <c r="D10569" s="8">
        <v>1316</v>
      </c>
      <c r="E10569" s="8">
        <v>0</v>
      </c>
      <c r="F10569" s="8">
        <v>1925</v>
      </c>
    </row>
    <row r="10570" spans="1:6" ht="12.75">
      <c r="A10570" s="8">
        <v>43900.060416666667</v>
      </c>
      <c r="B10570" s="8" t="str">
        <f>HYPERLINK("https://twitter.com/nikhil_sathaye","@nikhil_sathaye")</f>
        <v>@nikhil_sathaye</v>
      </c>
      <c r="C10570" s="8" t="s">
        <v>1957</v>
      </c>
      <c r="D10570" s="8">
        <v>1316</v>
      </c>
      <c r="E10570" s="8">
        <v>0</v>
      </c>
      <c r="F10570" s="8">
        <v>56</v>
      </c>
    </row>
    <row r="10571" spans="1:6" ht="12.75">
      <c r="A10571" s="8">
        <v>43900.059872685189</v>
      </c>
      <c r="B10571" s="8" t="str">
        <f>HYPERLINK("https://twitter.com/jemmi99999","@jemmi99999")</f>
        <v>@jemmi99999</v>
      </c>
      <c r="C10571" s="8" t="s">
        <v>4551</v>
      </c>
      <c r="D10571" s="8">
        <v>0</v>
      </c>
      <c r="E10571" s="8">
        <v>0</v>
      </c>
      <c r="F10571" s="8">
        <v>3</v>
      </c>
    </row>
    <row r="10572" spans="1:6" ht="12.75">
      <c r="A10572" s="8">
        <v>43900.058969907404</v>
      </c>
      <c r="B10572" s="8" t="str">
        <f>HYPERLINK("https://twitter.com/yenchann","@yenchann")</f>
        <v>@yenchann</v>
      </c>
      <c r="C10572" s="8" t="s">
        <v>4552</v>
      </c>
      <c r="D10572" s="8">
        <v>0</v>
      </c>
      <c r="E10572" s="8">
        <v>0</v>
      </c>
      <c r="F10572" s="8">
        <v>356</v>
      </c>
    </row>
    <row r="10573" spans="1:6" ht="12.75">
      <c r="A10573" s="8">
        <v>43900.058935185181</v>
      </c>
      <c r="B10573" s="8" t="str">
        <f>HYPERLINK("https://twitter.com/Rranjanrocks","@Rranjanrocks")</f>
        <v>@Rranjanrocks</v>
      </c>
      <c r="C10573" s="8" t="s">
        <v>4553</v>
      </c>
      <c r="D10573" s="8">
        <v>0</v>
      </c>
      <c r="E10573" s="8">
        <v>0</v>
      </c>
      <c r="F10573" s="8">
        <v>45</v>
      </c>
    </row>
    <row r="10574" spans="1:6" ht="12.75">
      <c r="A10574" s="8">
        <v>43900.058182870373</v>
      </c>
      <c r="B10574" s="8" t="str">
        <f>HYPERLINK("https://twitter.com/ecominindia","@ecominindia")</f>
        <v>@ecominindia</v>
      </c>
      <c r="C10574" s="8" t="s">
        <v>1957</v>
      </c>
      <c r="D10574" s="8">
        <v>1316</v>
      </c>
      <c r="E10574" s="8">
        <v>0</v>
      </c>
      <c r="F10574" s="8">
        <v>578</v>
      </c>
    </row>
    <row r="10575" spans="1:6" ht="12.75">
      <c r="A10575" s="8">
        <v>43900.057928240742</v>
      </c>
      <c r="B10575" s="8" t="str">
        <f>HYPERLINK("https://twitter.com/fachrozi","@fachrozi")</f>
        <v>@fachrozi</v>
      </c>
      <c r="C10575" s="8" t="s">
        <v>4554</v>
      </c>
      <c r="D10575" s="8">
        <v>0</v>
      </c>
      <c r="E10575" s="8">
        <v>0</v>
      </c>
      <c r="F10575" s="8">
        <v>332</v>
      </c>
    </row>
    <row r="10576" spans="1:6" ht="12.75">
      <c r="A10576" s="8">
        <v>43900.056967592594</v>
      </c>
      <c r="B10576" s="8" t="str">
        <f>HYPERLINK("https://twitter.com/sandeepjariwala","@sandeepjariwala")</f>
        <v>@sandeepjariwala</v>
      </c>
      <c r="C10576" s="8" t="s">
        <v>1957</v>
      </c>
      <c r="D10576" s="8">
        <v>1316</v>
      </c>
      <c r="E10576" s="8">
        <v>0</v>
      </c>
      <c r="F10576" s="8">
        <v>37</v>
      </c>
    </row>
    <row r="10577" spans="1:6" ht="12.75">
      <c r="A10577" s="8">
        <v>43900.055312500001</v>
      </c>
      <c r="B10577" s="8" t="str">
        <f>HYPERLINK("https://twitter.com/Dalaal_Patrakar","@Dalaal_Patrakar")</f>
        <v>@Dalaal_Patrakar</v>
      </c>
      <c r="C10577" s="8" t="s">
        <v>1808</v>
      </c>
      <c r="D10577" s="8">
        <v>776</v>
      </c>
      <c r="E10577" s="8">
        <v>0</v>
      </c>
      <c r="F10577" s="8">
        <v>275</v>
      </c>
    </row>
    <row r="10578" spans="1:6" ht="12.75">
      <c r="A10578" s="8">
        <v>43900.055312500001</v>
      </c>
      <c r="B10578" s="8" t="str">
        <f>HYPERLINK("https://twitter.com/TanmayS55193616","@TanmayS55193616")</f>
        <v>@TanmayS55193616</v>
      </c>
      <c r="C10578" s="8" t="s">
        <v>1957</v>
      </c>
      <c r="D10578" s="8">
        <v>1316</v>
      </c>
      <c r="E10578" s="8">
        <v>0</v>
      </c>
      <c r="F10578" s="8">
        <v>134</v>
      </c>
    </row>
    <row r="10579" spans="1:6" ht="12.75">
      <c r="A10579" s="8">
        <v>43900.055185185185</v>
      </c>
      <c r="B10579" s="8" t="str">
        <f>HYPERLINK("https://twitter.com/Dalaal_Patrakar","@Dalaal_Patrakar")</f>
        <v>@Dalaal_Patrakar</v>
      </c>
      <c r="C10579" s="8" t="s">
        <v>1957</v>
      </c>
      <c r="D10579" s="8">
        <v>1316</v>
      </c>
      <c r="E10579" s="8">
        <v>0</v>
      </c>
      <c r="F10579" s="8">
        <v>275</v>
      </c>
    </row>
    <row r="10580" spans="1:6" ht="12.75">
      <c r="A10580" s="8">
        <v>43900.054745370369</v>
      </c>
      <c r="B10580" s="8" t="str">
        <f>HYPERLINK("https://twitter.com/itsmeangling","@itsmeangling")</f>
        <v>@itsmeangling</v>
      </c>
      <c r="C10580" s="8" t="s">
        <v>4555</v>
      </c>
      <c r="D10580" s="8">
        <v>0</v>
      </c>
      <c r="E10580" s="8">
        <v>0</v>
      </c>
      <c r="F10580" s="8">
        <v>95</v>
      </c>
    </row>
    <row r="10581" spans="1:6" ht="12.75">
      <c r="A10581" s="8">
        <v>43900.053171296298</v>
      </c>
      <c r="B10581" s="8" t="str">
        <f>HYPERLINK("https://twitter.com/Abhi_bali_","@Abhi_bali_")</f>
        <v>@Abhi_bali_</v>
      </c>
      <c r="C10581" s="8" t="s">
        <v>4556</v>
      </c>
      <c r="D10581" s="8">
        <v>0</v>
      </c>
      <c r="E10581" s="8">
        <v>0</v>
      </c>
      <c r="F10581" s="8">
        <v>123</v>
      </c>
    </row>
    <row r="10582" spans="1:6" ht="12.75">
      <c r="A10582" s="8">
        <v>43900.052812499998</v>
      </c>
      <c r="B10582" s="8" t="str">
        <f>HYPERLINK("https://twitter.com/jenny_alvina","@jenny_alvina")</f>
        <v>@jenny_alvina</v>
      </c>
      <c r="C10582" s="8" t="s">
        <v>4542</v>
      </c>
      <c r="D10582" s="8">
        <v>0</v>
      </c>
      <c r="E10582" s="8">
        <v>0</v>
      </c>
      <c r="F10582" s="8">
        <v>57</v>
      </c>
    </row>
    <row r="10583" spans="1:6" ht="12.75">
      <c r="A10583" s="8">
        <v>43900.05195601852</v>
      </c>
      <c r="B10583" s="8" t="str">
        <f>HYPERLINK("https://twitter.com/ImAmritSagar","@ImAmritSagar")</f>
        <v>@ImAmritSagar</v>
      </c>
      <c r="C10583" s="8" t="s">
        <v>1808</v>
      </c>
      <c r="D10583" s="8">
        <v>776</v>
      </c>
      <c r="E10583" s="8">
        <v>0</v>
      </c>
      <c r="F10583" s="8">
        <v>643</v>
      </c>
    </row>
    <row r="10584" spans="1:6" ht="12.75">
      <c r="A10584" s="8">
        <v>43900.05190972222</v>
      </c>
      <c r="B10584" s="8" t="str">
        <f>HYPERLINK("https://twitter.com/hdimara79","@hdimara79")</f>
        <v>@hdimara79</v>
      </c>
      <c r="C10584" s="8" t="s">
        <v>1396</v>
      </c>
      <c r="D10584" s="8">
        <v>60</v>
      </c>
      <c r="E10584" s="8">
        <v>0</v>
      </c>
      <c r="F10584" s="8">
        <v>52</v>
      </c>
    </row>
    <row r="10585" spans="1:6" ht="12.75">
      <c r="A10585" s="8">
        <v>43900.051354166666</v>
      </c>
      <c r="B10585" s="8" t="str">
        <f>HYPERLINK("https://twitter.com/kiranp4912","@kiranp4912")</f>
        <v>@kiranp4912</v>
      </c>
      <c r="C10585" s="8" t="s">
        <v>1808</v>
      </c>
      <c r="D10585" s="8">
        <v>776</v>
      </c>
      <c r="E10585" s="8">
        <v>0</v>
      </c>
      <c r="F10585" s="8">
        <v>290</v>
      </c>
    </row>
    <row r="10586" spans="1:6" ht="12.75">
      <c r="A10586" s="8">
        <v>43900.051342592589</v>
      </c>
      <c r="B10586" s="8" t="str">
        <f>HYPERLINK("https://twitter.com/1234_567890p","@1234_567890p")</f>
        <v>@1234_567890p</v>
      </c>
      <c r="C10586" s="8" t="s">
        <v>1808</v>
      </c>
      <c r="D10586" s="8">
        <v>776</v>
      </c>
      <c r="E10586" s="8">
        <v>0</v>
      </c>
      <c r="F10586" s="8">
        <v>619</v>
      </c>
    </row>
    <row r="10587" spans="1:6" ht="12.75">
      <c r="A10587" s="8">
        <v>43900.050173611111</v>
      </c>
      <c r="B10587" s="8" t="str">
        <f>HYPERLINK("https://twitter.com/subhash_k_jha","@subhash_k_jha")</f>
        <v>@subhash_k_jha</v>
      </c>
      <c r="C10587" s="8" t="s">
        <v>1957</v>
      </c>
      <c r="D10587" s="8">
        <v>1316</v>
      </c>
      <c r="E10587" s="8">
        <v>0</v>
      </c>
      <c r="F10587" s="8">
        <v>89</v>
      </c>
    </row>
    <row r="10588" spans="1:6" ht="12.75">
      <c r="A10588" s="8">
        <v>43900.050046296295</v>
      </c>
      <c r="B10588" s="8" t="str">
        <f>HYPERLINK("https://twitter.com/NomanAliKing1","@NomanAliKing1")</f>
        <v>@NomanAliKing1</v>
      </c>
      <c r="C10588" s="8" t="s">
        <v>4557</v>
      </c>
      <c r="D10588" s="8">
        <v>0</v>
      </c>
      <c r="E10588" s="8">
        <v>0</v>
      </c>
      <c r="F10588" s="8">
        <v>317</v>
      </c>
    </row>
    <row r="10589" spans="1:6" ht="12.75">
      <c r="A10589" s="8">
        <v>43900.049930555557</v>
      </c>
      <c r="B10589" s="8" t="str">
        <f>HYPERLINK("https://twitter.com/ShuBham966999","@ShuBham966999")</f>
        <v>@ShuBham966999</v>
      </c>
      <c r="C10589" s="8" t="s">
        <v>1957</v>
      </c>
      <c r="D10589" s="8">
        <v>1316</v>
      </c>
      <c r="E10589" s="8">
        <v>0</v>
      </c>
      <c r="F10589" s="8">
        <v>144</v>
      </c>
    </row>
    <row r="10590" spans="1:6" ht="12.75">
      <c r="A10590" s="8">
        <v>43900.049363425926</v>
      </c>
      <c r="B10590" s="8" t="str">
        <f>HYPERLINK("https://twitter.com/HindustanUnited","@HindustanUnited")</f>
        <v>@HindustanUnited</v>
      </c>
      <c r="C10590" s="8" t="s">
        <v>1957</v>
      </c>
      <c r="D10590" s="8">
        <v>1316</v>
      </c>
      <c r="E10590" s="8">
        <v>0</v>
      </c>
      <c r="F10590" s="8">
        <v>330</v>
      </c>
    </row>
    <row r="10591" spans="1:6" ht="12.75">
      <c r="A10591" s="8">
        <v>43900.048819444448</v>
      </c>
      <c r="B10591" s="8" t="str">
        <f>HYPERLINK("https://twitter.com/nuggettoffy","@nuggettoffy")</f>
        <v>@nuggettoffy</v>
      </c>
      <c r="C10591" s="8" t="s">
        <v>1957</v>
      </c>
      <c r="D10591" s="8">
        <v>1316</v>
      </c>
      <c r="E10591" s="8">
        <v>0</v>
      </c>
      <c r="F10591" s="8">
        <v>814</v>
      </c>
    </row>
    <row r="10592" spans="1:6" ht="12.75">
      <c r="A10592" s="8">
        <v>43900.048692129625</v>
      </c>
      <c r="B10592" s="8" t="str">
        <f>HYPERLINK("https://twitter.com/Jay35421736","@Jay35421736")</f>
        <v>@Jay35421736</v>
      </c>
      <c r="C10592" s="8" t="s">
        <v>1808</v>
      </c>
      <c r="D10592" s="8">
        <v>776</v>
      </c>
      <c r="E10592" s="8">
        <v>0</v>
      </c>
      <c r="F10592" s="8">
        <v>78</v>
      </c>
    </row>
    <row r="10593" spans="1:6" ht="12.75">
      <c r="A10593" s="8">
        <v>43900.048645833333</v>
      </c>
      <c r="B10593" s="8" t="str">
        <f>HYPERLINK("https://twitter.com/AmiSri","@AmiSri")</f>
        <v>@AmiSri</v>
      </c>
      <c r="C10593" s="8" t="s">
        <v>4558</v>
      </c>
      <c r="D10593" s="8">
        <v>4</v>
      </c>
      <c r="E10593" s="8">
        <v>0</v>
      </c>
      <c r="F10593" s="8">
        <v>17809</v>
      </c>
    </row>
    <row r="10594" spans="1:6" ht="12.75">
      <c r="A10594" s="8">
        <v>43900.048483796301</v>
      </c>
      <c r="B10594" s="8" t="str">
        <f>HYPERLINK("https://twitter.com/BurhanSaidi","@BurhanSaidi")</f>
        <v>@BurhanSaidi</v>
      </c>
      <c r="C10594" s="8" t="s">
        <v>318</v>
      </c>
      <c r="D10594" s="8">
        <v>17</v>
      </c>
      <c r="E10594" s="8">
        <v>0</v>
      </c>
      <c r="F10594" s="8">
        <v>1517</v>
      </c>
    </row>
    <row r="10595" spans="1:6" ht="12.75">
      <c r="A10595" s="8">
        <v>43900.048391203702</v>
      </c>
      <c r="B10595" s="8" t="str">
        <f>HYPERLINK("https://twitter.com/kiranp4912","@kiranp4912")</f>
        <v>@kiranp4912</v>
      </c>
      <c r="C10595" s="8" t="s">
        <v>1957</v>
      </c>
      <c r="D10595" s="8">
        <v>1274</v>
      </c>
      <c r="E10595" s="8">
        <v>0</v>
      </c>
      <c r="F10595" s="8">
        <v>290</v>
      </c>
    </row>
    <row r="10596" spans="1:6" ht="12.75">
      <c r="A10596" s="8">
        <v>43900.047962962963</v>
      </c>
      <c r="B10596" s="8" t="str">
        <f>HYPERLINK("https://twitter.com/shubhammandhare","@shubhammandhare")</f>
        <v>@shubhammandhare</v>
      </c>
      <c r="C10596" s="8" t="s">
        <v>1808</v>
      </c>
      <c r="D10596" s="8">
        <v>760</v>
      </c>
      <c r="E10596" s="8">
        <v>0</v>
      </c>
      <c r="F10596" s="8">
        <v>142</v>
      </c>
    </row>
    <row r="10597" spans="1:6" ht="12.75">
      <c r="A10597" s="8">
        <v>43900.047673611116</v>
      </c>
      <c r="B10597" s="8" t="str">
        <f>HYPERLINK("https://twitter.com/Namo_4_Ever","@Namo_4_Ever")</f>
        <v>@Namo_4_Ever</v>
      </c>
      <c r="C10597" s="8" t="s">
        <v>1957</v>
      </c>
      <c r="D10597" s="8">
        <v>1274</v>
      </c>
      <c r="E10597" s="8">
        <v>0</v>
      </c>
      <c r="F10597" s="8">
        <v>44</v>
      </c>
    </row>
    <row r="10598" spans="1:6" ht="12.75">
      <c r="A10598" s="8">
        <v>43900.047523148147</v>
      </c>
      <c r="B10598" s="8" t="str">
        <f>HYPERLINK("https://twitter.com/shashi_2001","@shashi_2001")</f>
        <v>@shashi_2001</v>
      </c>
      <c r="C10598" s="8" t="s">
        <v>1957</v>
      </c>
      <c r="D10598" s="8">
        <v>1274</v>
      </c>
      <c r="E10598" s="8">
        <v>0</v>
      </c>
      <c r="F10598" s="8">
        <v>6940</v>
      </c>
    </row>
    <row r="10599" spans="1:6" ht="12.75">
      <c r="A10599" s="8">
        <v>43900.047106481477</v>
      </c>
      <c r="B10599" s="8" t="str">
        <f>HYPERLINK("https://twitter.com/devild_ice","@devild_ice")</f>
        <v>@devild_ice</v>
      </c>
      <c r="C10599" s="8" t="s">
        <v>4559</v>
      </c>
      <c r="D10599" s="8">
        <v>0</v>
      </c>
      <c r="E10599" s="8">
        <v>0</v>
      </c>
      <c r="F10599" s="8">
        <v>208</v>
      </c>
    </row>
    <row r="10600" spans="1:6" ht="12.75">
      <c r="A10600" s="8">
        <v>43900.046759259261</v>
      </c>
      <c r="B10600" s="8" t="str">
        <f>HYPERLINK("https://twitter.com/Joss_Van_Dick","@Joss_Van_Dick")</f>
        <v>@Joss_Van_Dick</v>
      </c>
      <c r="C10600" s="8" t="s">
        <v>4560</v>
      </c>
      <c r="D10600" s="8">
        <v>0</v>
      </c>
      <c r="E10600" s="8">
        <v>0</v>
      </c>
      <c r="F10600" s="8">
        <v>1459</v>
      </c>
    </row>
    <row r="10601" spans="1:6" ht="12.75">
      <c r="A10601" s="8">
        <v>43900.046678240746</v>
      </c>
      <c r="B10601" s="8" t="str">
        <f>HYPERLINK("https://twitter.com/kudratihoon","@kudratihoon")</f>
        <v>@kudratihoon</v>
      </c>
      <c r="C10601" s="8" t="s">
        <v>1957</v>
      </c>
      <c r="D10601" s="8">
        <v>1274</v>
      </c>
      <c r="E10601" s="8">
        <v>0</v>
      </c>
      <c r="F10601" s="8">
        <v>421</v>
      </c>
    </row>
    <row r="10602" spans="1:6" ht="12.75">
      <c r="A10602" s="8">
        <v>43900.046134259261</v>
      </c>
      <c r="B10602" s="8" t="str">
        <f>HYPERLINK("https://twitter.com/ImAmritSagar","@ImAmritSagar")</f>
        <v>@ImAmritSagar</v>
      </c>
      <c r="C10602" s="8" t="s">
        <v>1957</v>
      </c>
      <c r="D10602" s="8">
        <v>1274</v>
      </c>
      <c r="E10602" s="8">
        <v>0</v>
      </c>
      <c r="F10602" s="8">
        <v>643</v>
      </c>
    </row>
    <row r="10603" spans="1:6" ht="12.75">
      <c r="A10603" s="8">
        <v>43900.046099537038</v>
      </c>
      <c r="B10603" s="8" t="str">
        <f>HYPERLINK("https://twitter.com/ankur0906","@ankur0906")</f>
        <v>@ankur0906</v>
      </c>
      <c r="C10603" s="8" t="s">
        <v>1957</v>
      </c>
      <c r="D10603" s="8">
        <v>1274</v>
      </c>
      <c r="E10603" s="8">
        <v>0</v>
      </c>
      <c r="F10603" s="8">
        <v>2049</v>
      </c>
    </row>
    <row r="10604" spans="1:6" ht="12.75">
      <c r="A10604" s="8">
        <v>43900.045717592591</v>
      </c>
      <c r="B10604" s="8" t="str">
        <f>HYPERLINK("https://twitter.com/jurnalpatrolin1","@jurnalpatrolin1")</f>
        <v>@jurnalpatrolin1</v>
      </c>
      <c r="C10604" s="8" t="s">
        <v>4561</v>
      </c>
      <c r="D10604" s="8">
        <v>0</v>
      </c>
      <c r="E10604" s="8">
        <v>0</v>
      </c>
      <c r="F10604" s="8">
        <v>57</v>
      </c>
    </row>
    <row r="10605" spans="1:6" ht="12.75">
      <c r="A10605" s="8">
        <v>43900.044236111113</v>
      </c>
      <c r="B10605" s="8" t="str">
        <f>HYPERLINK("https://twitter.com/LR62383524","@LR62383524")</f>
        <v>@LR62383524</v>
      </c>
      <c r="C10605" s="8" t="s">
        <v>1917</v>
      </c>
      <c r="D10605" s="8">
        <v>1511</v>
      </c>
      <c r="E10605" s="8">
        <v>0</v>
      </c>
      <c r="F10605" s="8">
        <v>201</v>
      </c>
    </row>
    <row r="10606" spans="1:6" ht="12.75">
      <c r="A10606" s="8">
        <v>43900.044166666667</v>
      </c>
      <c r="B10606" s="8" t="str">
        <f>HYPERLINK("https://twitter.com/gwmokobukanmiko","@gwmokobukanmiko")</f>
        <v>@gwmokobukanmiko</v>
      </c>
      <c r="C10606" s="8" t="s">
        <v>4562</v>
      </c>
      <c r="D10606" s="8">
        <v>0</v>
      </c>
      <c r="E10606" s="8">
        <v>1</v>
      </c>
      <c r="F10606" s="8">
        <v>64</v>
      </c>
    </row>
    <row r="10607" spans="1:6" ht="12.75">
      <c r="A10607" s="8">
        <v>43900.044004629628</v>
      </c>
      <c r="B10607" s="8" t="str">
        <f>HYPERLINK("https://twitter.com/Dang38617587","@Dang38617587")</f>
        <v>@Dang38617587</v>
      </c>
      <c r="C10607" s="8" t="s">
        <v>1957</v>
      </c>
      <c r="D10607" s="8">
        <v>1274</v>
      </c>
      <c r="E10607" s="8">
        <v>0</v>
      </c>
      <c r="F10607" s="8">
        <v>16</v>
      </c>
    </row>
    <row r="10608" spans="1:6" ht="12.75">
      <c r="A10608" s="8">
        <v>43900.044004629628</v>
      </c>
      <c r="B10608" s="8" t="str">
        <f>HYPERLINK("https://twitter.com/gangulyrahul","@gangulyrahul")</f>
        <v>@gangulyrahul</v>
      </c>
      <c r="C10608" s="8" t="s">
        <v>1957</v>
      </c>
      <c r="D10608" s="8">
        <v>1274</v>
      </c>
      <c r="E10608" s="8">
        <v>0</v>
      </c>
      <c r="F10608" s="8">
        <v>127</v>
      </c>
    </row>
    <row r="10609" spans="1:6" ht="12.75">
      <c r="A10609" s="8">
        <v>43900.043773148151</v>
      </c>
      <c r="B10609" s="8" t="str">
        <f>HYPERLINK("https://twitter.com/kantiwjanis","@kantiwjanis")</f>
        <v>@kantiwjanis</v>
      </c>
      <c r="C10609" s="8" t="s">
        <v>3262</v>
      </c>
      <c r="D10609" s="8">
        <v>214</v>
      </c>
      <c r="E10609" s="8">
        <v>0</v>
      </c>
      <c r="F10609" s="8">
        <v>1026</v>
      </c>
    </row>
    <row r="10610" spans="1:6" ht="12.75">
      <c r="A10610" s="8">
        <v>43900.042453703703</v>
      </c>
      <c r="B10610" s="8" t="str">
        <f t="shared" ref="B10610:B10611" si="177">HYPERLINK("https://twitter.com/safetravelkemlu","@safetravelkemlu")</f>
        <v>@safetravelkemlu</v>
      </c>
      <c r="C10610" s="8" t="s">
        <v>4563</v>
      </c>
      <c r="D10610" s="8">
        <v>1</v>
      </c>
      <c r="E10610" s="8">
        <v>0</v>
      </c>
      <c r="F10610" s="8">
        <v>787</v>
      </c>
    </row>
    <row r="10611" spans="1:6" ht="12.75">
      <c r="A10611" s="8">
        <v>43900.041863425926</v>
      </c>
      <c r="B10611" s="8" t="str">
        <f t="shared" si="177"/>
        <v>@safetravelkemlu</v>
      </c>
      <c r="C10611" s="8" t="s">
        <v>3110</v>
      </c>
      <c r="D10611" s="8">
        <v>7</v>
      </c>
      <c r="E10611" s="8">
        <v>0</v>
      </c>
      <c r="F10611" s="8">
        <v>787</v>
      </c>
    </row>
    <row r="10612" spans="1:6" ht="12.75">
      <c r="A10612" s="8">
        <v>43900.041041666671</v>
      </c>
      <c r="B10612" s="8" t="str">
        <f>HYPERLINK("https://twitter.com/aguskurni82","@aguskurni82")</f>
        <v>@aguskurni82</v>
      </c>
      <c r="C10612" s="8" t="s">
        <v>3743</v>
      </c>
      <c r="D10612" s="8">
        <v>717</v>
      </c>
      <c r="E10612" s="8">
        <v>0</v>
      </c>
      <c r="F10612" s="8">
        <v>171</v>
      </c>
    </row>
    <row r="10613" spans="1:6" ht="12.75">
      <c r="A10613" s="8">
        <v>43900.040821759263</v>
      </c>
      <c r="B10613" s="8" t="str">
        <f>HYPERLINK("https://twitter.com/Ravi23feb","@Ravi23feb")</f>
        <v>@Ravi23feb</v>
      </c>
      <c r="C10613" s="8" t="s">
        <v>1957</v>
      </c>
      <c r="D10613" s="8">
        <v>1274</v>
      </c>
      <c r="E10613" s="8">
        <v>0</v>
      </c>
      <c r="F10613" s="8">
        <v>50</v>
      </c>
    </row>
    <row r="10614" spans="1:6" ht="12.75">
      <c r="A10614" s="8">
        <v>43900.039548611108</v>
      </c>
      <c r="B10614" s="8" t="str">
        <f>HYPERLINK("https://twitter.com/EngIngEng1469","@EngIngEng1469")</f>
        <v>@EngIngEng1469</v>
      </c>
      <c r="C10614" s="8" t="s">
        <v>3126</v>
      </c>
      <c r="D10614" s="8">
        <v>252</v>
      </c>
      <c r="E10614" s="8">
        <v>0</v>
      </c>
      <c r="F10614" s="8">
        <v>412</v>
      </c>
    </row>
    <row r="10615" spans="1:6" ht="12.75">
      <c r="A10615" s="8">
        <v>43900.03869212963</v>
      </c>
      <c r="B10615" s="8" t="str">
        <f>HYPERLINK("https://twitter.com/spheretual","@spheretual")</f>
        <v>@spheretual</v>
      </c>
      <c r="C10615" s="8" t="s">
        <v>4564</v>
      </c>
      <c r="D10615" s="8">
        <v>0</v>
      </c>
      <c r="E10615" s="8">
        <v>0</v>
      </c>
      <c r="F10615" s="8">
        <v>655</v>
      </c>
    </row>
    <row r="10616" spans="1:6" ht="12.75">
      <c r="A10616" s="8">
        <v>43900.038391203707</v>
      </c>
      <c r="B10616" s="8" t="str">
        <f>HYPERLINK("https://twitter.com/New_India22","@New_India22")</f>
        <v>@New_India22</v>
      </c>
      <c r="C10616" s="8" t="s">
        <v>1957</v>
      </c>
      <c r="D10616" s="8">
        <v>1274</v>
      </c>
      <c r="E10616" s="8">
        <v>0</v>
      </c>
      <c r="F10616" s="8">
        <v>855</v>
      </c>
    </row>
    <row r="10617" spans="1:6" ht="12.75">
      <c r="A10617" s="8">
        <v>43900.038124999999</v>
      </c>
      <c r="B10617" s="8" t="str">
        <f>HYPERLINK("https://twitter.com/ojhaanjaliHD","@ojhaanjaliHD")</f>
        <v>@ojhaanjaliHD</v>
      </c>
      <c r="C10617" s="8" t="s">
        <v>1957</v>
      </c>
      <c r="D10617" s="8">
        <v>1274</v>
      </c>
      <c r="E10617" s="8">
        <v>0</v>
      </c>
      <c r="F10617" s="8">
        <v>187</v>
      </c>
    </row>
    <row r="10618" spans="1:6" ht="12.75">
      <c r="A10618" s="8">
        <v>43900.037349537037</v>
      </c>
      <c r="B10618" s="8" t="str">
        <f t="shared" ref="B10618:B10619" si="178">HYPERLINK("https://twitter.com/weirdlywild_","@weirdlywild_")</f>
        <v>@weirdlywild_</v>
      </c>
      <c r="C10618" s="8" t="s">
        <v>1957</v>
      </c>
      <c r="D10618" s="8">
        <v>1274</v>
      </c>
      <c r="E10618" s="8">
        <v>0</v>
      </c>
      <c r="F10618" s="8">
        <v>240</v>
      </c>
    </row>
    <row r="10619" spans="1:6" ht="12.75">
      <c r="A10619" s="8">
        <v>43900.037291666667</v>
      </c>
      <c r="B10619" s="8" t="str">
        <f t="shared" si="178"/>
        <v>@weirdlywild_</v>
      </c>
      <c r="C10619" s="8" t="s">
        <v>1808</v>
      </c>
      <c r="D10619" s="8">
        <v>760</v>
      </c>
      <c r="E10619" s="8">
        <v>0</v>
      </c>
      <c r="F10619" s="8">
        <v>240</v>
      </c>
    </row>
    <row r="10620" spans="1:6" ht="12.75">
      <c r="A10620" s="8">
        <v>43900.037164351852</v>
      </c>
      <c r="B10620" s="8" t="str">
        <f>HYPERLINK("https://twitter.com/Rajesh2804","@Rajesh2804")</f>
        <v>@Rajesh2804</v>
      </c>
      <c r="C10620" s="8" t="s">
        <v>1957</v>
      </c>
      <c r="D10620" s="8">
        <v>1274</v>
      </c>
      <c r="E10620" s="8">
        <v>0</v>
      </c>
      <c r="F10620" s="8">
        <v>527</v>
      </c>
    </row>
    <row r="10621" spans="1:6" ht="12.75">
      <c r="A10621" s="8">
        <v>43900.037141203706</v>
      </c>
      <c r="B10621" s="8" t="str">
        <f>HYPERLINK("https://twitter.com/Puruthakur78","@Puruthakur78")</f>
        <v>@Puruthakur78</v>
      </c>
      <c r="C10621" s="8" t="s">
        <v>1957</v>
      </c>
      <c r="D10621" s="8">
        <v>1274</v>
      </c>
      <c r="E10621" s="8">
        <v>0</v>
      </c>
      <c r="F10621" s="8">
        <v>662</v>
      </c>
    </row>
    <row r="10622" spans="1:6" ht="12.75">
      <c r="A10622" s="8">
        <v>43900.036793981482</v>
      </c>
      <c r="B10622" s="8" t="str">
        <f>HYPERLINK("https://twitter.com/drmanrk","@drmanrk")</f>
        <v>@drmanrk</v>
      </c>
      <c r="C10622" s="8" t="s">
        <v>1957</v>
      </c>
      <c r="D10622" s="8">
        <v>1274</v>
      </c>
      <c r="E10622" s="8">
        <v>0</v>
      </c>
      <c r="F10622" s="8">
        <v>721</v>
      </c>
    </row>
    <row r="10623" spans="1:6" ht="12.75">
      <c r="A10623" s="8">
        <v>43900.035127314812</v>
      </c>
      <c r="B10623" s="8" t="str">
        <f>HYPERLINK("https://twitter.com/abdulla41734805","@abdulla41734805")</f>
        <v>@abdulla41734805</v>
      </c>
      <c r="C10623" s="8" t="s">
        <v>4565</v>
      </c>
      <c r="D10623" s="8">
        <v>0</v>
      </c>
      <c r="E10623" s="8">
        <v>0</v>
      </c>
      <c r="F10623" s="8">
        <v>20</v>
      </c>
    </row>
    <row r="10624" spans="1:6" ht="12.75">
      <c r="A10624" s="8">
        <v>43900.034641203703</v>
      </c>
      <c r="B10624" s="8" t="str">
        <f>HYPERLINK("https://twitter.com/suma14373","@suma14373")</f>
        <v>@suma14373</v>
      </c>
      <c r="C10624" s="8" t="s">
        <v>1957</v>
      </c>
      <c r="D10624" s="8">
        <v>1274</v>
      </c>
      <c r="E10624" s="8">
        <v>0</v>
      </c>
      <c r="F10624" s="8">
        <v>428</v>
      </c>
    </row>
    <row r="10625" spans="1:6" ht="12.75">
      <c r="A10625" s="8">
        <v>43900.03334490741</v>
      </c>
      <c r="B10625" s="8" t="str">
        <f>HYPERLINK("https://twitter.com/HarmanManchanda","@HarmanManchanda")</f>
        <v>@HarmanManchanda</v>
      </c>
      <c r="C10625" s="8" t="s">
        <v>1957</v>
      </c>
      <c r="D10625" s="8">
        <v>1274</v>
      </c>
      <c r="E10625" s="8">
        <v>0</v>
      </c>
      <c r="F10625" s="8">
        <v>2047</v>
      </c>
    </row>
    <row r="10626" spans="1:6" ht="12.75">
      <c r="A10626" s="8">
        <v>43900.03297453704</v>
      </c>
      <c r="B10626" s="8" t="str">
        <f>HYPERLINK("https://twitter.com/Cooldeep_Raj","@Cooldeep_Raj")</f>
        <v>@Cooldeep_Raj</v>
      </c>
      <c r="C10626" s="8" t="s">
        <v>1808</v>
      </c>
      <c r="D10626" s="8">
        <v>760</v>
      </c>
      <c r="E10626" s="8">
        <v>0</v>
      </c>
      <c r="F10626" s="8">
        <v>247</v>
      </c>
    </row>
    <row r="10627" spans="1:6" ht="12.75">
      <c r="A10627" s="8">
        <v>43900.032743055555</v>
      </c>
      <c r="B10627" s="8" t="str">
        <f>HYPERLINK("https://twitter.com/SamikDa92202218","@SamikDa92202218")</f>
        <v>@SamikDa92202218</v>
      </c>
      <c r="C10627" s="8" t="s">
        <v>1957</v>
      </c>
      <c r="D10627" s="8">
        <v>1274</v>
      </c>
      <c r="E10627" s="8">
        <v>0</v>
      </c>
      <c r="F10627" s="8">
        <v>137</v>
      </c>
    </row>
    <row r="10628" spans="1:6" ht="12.75">
      <c r="A10628" s="8">
        <v>43900.032662037032</v>
      </c>
      <c r="B10628" s="8" t="str">
        <f>HYPERLINK("https://twitter.com/ACinemaLover","@ACinemaLover")</f>
        <v>@ACinemaLover</v>
      </c>
      <c r="C10628" s="8" t="s">
        <v>1957</v>
      </c>
      <c r="D10628" s="8">
        <v>1274</v>
      </c>
      <c r="E10628" s="8">
        <v>0</v>
      </c>
      <c r="F10628" s="8">
        <v>15</v>
      </c>
    </row>
    <row r="10629" spans="1:6" ht="12.75">
      <c r="A10629" s="8">
        <v>43900.032210648147</v>
      </c>
      <c r="B10629" s="8" t="str">
        <f>HYPERLINK("https://twitter.com/zanuarzain","@zanuarzain")</f>
        <v>@zanuarzain</v>
      </c>
      <c r="C10629" s="8" t="s">
        <v>318</v>
      </c>
      <c r="D10629" s="8">
        <v>17</v>
      </c>
      <c r="E10629" s="8">
        <v>0</v>
      </c>
      <c r="F10629" s="8">
        <v>318</v>
      </c>
    </row>
    <row r="10630" spans="1:6" ht="12.75">
      <c r="A10630" s="8">
        <v>43900.032083333332</v>
      </c>
      <c r="B10630" s="8" t="str">
        <f>HYPERLINK("https://twitter.com/SangvikarGirish","@SangvikarGirish")</f>
        <v>@SangvikarGirish</v>
      </c>
      <c r="C10630" s="8" t="s">
        <v>1808</v>
      </c>
      <c r="D10630" s="8">
        <v>760</v>
      </c>
      <c r="E10630" s="8">
        <v>0</v>
      </c>
      <c r="F10630" s="8">
        <v>1208</v>
      </c>
    </row>
    <row r="10631" spans="1:6" ht="12.75">
      <c r="A10631" s="8">
        <v>43900.031666666662</v>
      </c>
      <c r="B10631" s="8" t="str">
        <f>HYPERLINK("https://twitter.com/DenmasBedj0","@DenmasBedj0")</f>
        <v>@DenmasBedj0</v>
      </c>
      <c r="C10631" s="8" t="s">
        <v>3262</v>
      </c>
      <c r="D10631" s="8">
        <v>214</v>
      </c>
      <c r="E10631" s="8">
        <v>0</v>
      </c>
      <c r="F10631" s="8">
        <v>1876</v>
      </c>
    </row>
    <row r="10632" spans="1:6" ht="12.75">
      <c r="A10632" s="8">
        <v>43900.031423611115</v>
      </c>
      <c r="B10632" s="8" t="str">
        <f>HYPERLINK("https://twitter.com/nimassekartadji","@nimassekartadji")</f>
        <v>@nimassekartadji</v>
      </c>
      <c r="C10632" s="8" t="s">
        <v>2962</v>
      </c>
      <c r="D10632" s="8">
        <v>5686</v>
      </c>
      <c r="E10632" s="8">
        <v>0</v>
      </c>
      <c r="F10632" s="8">
        <v>59</v>
      </c>
    </row>
    <row r="10633" spans="1:6" ht="12.75">
      <c r="A10633" s="8">
        <v>43900.030578703707</v>
      </c>
      <c r="B10633" s="8" t="str">
        <f>HYPERLINK("https://twitter.com/mabailkom","@mabailkom")</f>
        <v>@mabailkom</v>
      </c>
      <c r="C10633" s="8" t="s">
        <v>4566</v>
      </c>
      <c r="D10633" s="8">
        <v>0</v>
      </c>
      <c r="E10633" s="8">
        <v>0</v>
      </c>
      <c r="F10633" s="8">
        <v>1161</v>
      </c>
    </row>
    <row r="10634" spans="1:6" ht="12.75">
      <c r="A10634" s="8">
        <v>43900.030312499999</v>
      </c>
      <c r="B10634" s="8" t="str">
        <f>HYPERLINK("https://twitter.com/kjri_ny","@kjri_ny")</f>
        <v>@kjri_ny</v>
      </c>
      <c r="C10634" s="8" t="s">
        <v>4567</v>
      </c>
      <c r="D10634" s="8">
        <v>0</v>
      </c>
      <c r="E10634" s="8">
        <v>0</v>
      </c>
      <c r="F10634" s="8">
        <v>2075</v>
      </c>
    </row>
    <row r="10635" spans="1:6" ht="12.75">
      <c r="A10635" s="8">
        <v>43900.030138888891</v>
      </c>
      <c r="B10635" s="8" t="str">
        <f>HYPERLINK("https://twitter.com/elaiass","@elaiass")</f>
        <v>@elaiass</v>
      </c>
      <c r="C10635" s="8" t="s">
        <v>4568</v>
      </c>
      <c r="D10635" s="8">
        <v>0</v>
      </c>
      <c r="E10635" s="8">
        <v>1</v>
      </c>
      <c r="F10635" s="8">
        <v>742</v>
      </c>
    </row>
    <row r="10636" spans="1:6" ht="12.75">
      <c r="A10636" s="8">
        <v>43900.029560185183</v>
      </c>
      <c r="B10636" s="8" t="str">
        <f>HYPERLINK("https://twitter.com/makkana138","@makkana138")</f>
        <v>@makkana138</v>
      </c>
      <c r="C10636" s="8" t="s">
        <v>1808</v>
      </c>
      <c r="D10636" s="8">
        <v>760</v>
      </c>
      <c r="E10636" s="8">
        <v>0</v>
      </c>
      <c r="F10636" s="8">
        <v>1665</v>
      </c>
    </row>
    <row r="10637" spans="1:6" ht="12.75">
      <c r="A10637" s="8">
        <v>43900.029479166667</v>
      </c>
      <c r="B10637" s="8" t="str">
        <f>HYPERLINK("https://twitter.com/batagorrebus","@batagorrebus")</f>
        <v>@batagorrebus</v>
      </c>
      <c r="C10637" s="8" t="s">
        <v>4569</v>
      </c>
      <c r="D10637" s="8">
        <v>0</v>
      </c>
      <c r="E10637" s="8">
        <v>0</v>
      </c>
      <c r="F10637" s="8">
        <v>139</v>
      </c>
    </row>
    <row r="10638" spans="1:6" ht="12.75">
      <c r="A10638" s="8">
        <v>43900.029374999998</v>
      </c>
      <c r="B10638" s="8" t="str">
        <f>HYPERLINK("https://twitter.com/kumarsushant67","@kumarsushant67")</f>
        <v>@kumarsushant67</v>
      </c>
      <c r="C10638" s="8" t="s">
        <v>1957</v>
      </c>
      <c r="D10638" s="8">
        <v>1274</v>
      </c>
      <c r="E10638" s="8">
        <v>0</v>
      </c>
      <c r="F10638" s="8">
        <v>107</v>
      </c>
    </row>
    <row r="10639" spans="1:6" ht="12.75">
      <c r="A10639" s="8">
        <v>43900.029074074075</v>
      </c>
      <c r="B10639" s="8" t="str">
        <f>HYPERLINK("https://twitter.com/sudhir4444444","@sudhir4444444")</f>
        <v>@sudhir4444444</v>
      </c>
      <c r="C10639" s="8" t="s">
        <v>1957</v>
      </c>
      <c r="D10639" s="8">
        <v>1274</v>
      </c>
      <c r="E10639" s="8">
        <v>0</v>
      </c>
      <c r="F10639" s="8">
        <v>635</v>
      </c>
    </row>
    <row r="10640" spans="1:6" ht="12.75">
      <c r="A10640" s="8">
        <v>43900.028796296298</v>
      </c>
      <c r="B10640" s="8" t="str">
        <f>HYPERLINK("https://twitter.com/revolutia","@revolutia")</f>
        <v>@revolutia</v>
      </c>
      <c r="C10640" s="8" t="s">
        <v>4515</v>
      </c>
      <c r="D10640" s="8">
        <v>8</v>
      </c>
      <c r="E10640" s="8">
        <v>0</v>
      </c>
      <c r="F10640" s="8">
        <v>24561</v>
      </c>
    </row>
    <row r="10641" spans="1:6" ht="12.75">
      <c r="A10641" s="8">
        <v>43900.028784722221</v>
      </c>
      <c r="B10641" s="8" t="str">
        <f>HYPERLINK("https://twitter.com/nagendrapathak","@nagendrapathak")</f>
        <v>@nagendrapathak</v>
      </c>
      <c r="C10641" s="8" t="s">
        <v>4570</v>
      </c>
      <c r="D10641" s="8">
        <v>0</v>
      </c>
      <c r="E10641" s="8">
        <v>0</v>
      </c>
      <c r="F10641" s="8">
        <v>1090</v>
      </c>
    </row>
    <row r="10642" spans="1:6" ht="12.75">
      <c r="A10642" s="8">
        <v>43900.028726851851</v>
      </c>
      <c r="B10642" s="8" t="str">
        <f>HYPERLINK("https://twitter.com/addamfarizi","@addamfarizi")</f>
        <v>@addamfarizi</v>
      </c>
      <c r="C10642" s="8" t="s">
        <v>4571</v>
      </c>
      <c r="D10642" s="8">
        <v>0</v>
      </c>
      <c r="E10642" s="8">
        <v>0</v>
      </c>
      <c r="F10642" s="8">
        <v>132</v>
      </c>
    </row>
    <row r="10643" spans="1:6" ht="12.75">
      <c r="A10643" s="8">
        <v>43900.028657407413</v>
      </c>
      <c r="B10643" s="8" t="str">
        <f>HYPERLINK("https://twitter.com/endoe21","@endoe21")</f>
        <v>@endoe21</v>
      </c>
      <c r="C10643" s="8" t="s">
        <v>4572</v>
      </c>
      <c r="D10643" s="8">
        <v>1</v>
      </c>
      <c r="E10643" s="8">
        <v>0</v>
      </c>
      <c r="F10643" s="8">
        <v>2032</v>
      </c>
    </row>
    <row r="10644" spans="1:6" ht="12.75">
      <c r="A10644" s="8">
        <v>43900.028541666667</v>
      </c>
      <c r="B10644" s="8" t="str">
        <f>HYPERLINK("https://twitter.com/batagorrebus","@batagorrebus")</f>
        <v>@batagorrebus</v>
      </c>
      <c r="C10644" s="8" t="s">
        <v>4573</v>
      </c>
      <c r="D10644" s="8">
        <v>0</v>
      </c>
      <c r="E10644" s="8">
        <v>0</v>
      </c>
      <c r="F10644" s="8">
        <v>139</v>
      </c>
    </row>
    <row r="10645" spans="1:6" ht="12.75">
      <c r="A10645" s="8">
        <v>43900.028541666667</v>
      </c>
      <c r="B10645" s="8" t="str">
        <f>HYPERLINK("https://twitter.com/Lohana1983","@Lohana1983")</f>
        <v>@Lohana1983</v>
      </c>
      <c r="C10645" s="8" t="s">
        <v>1957</v>
      </c>
      <c r="D10645" s="8">
        <v>1274</v>
      </c>
      <c r="E10645" s="8">
        <v>0</v>
      </c>
      <c r="F10645" s="8">
        <v>27471</v>
      </c>
    </row>
    <row r="10646" spans="1:6" ht="12.75">
      <c r="A10646" s="8">
        <v>43900.028310185182</v>
      </c>
      <c r="B10646" s="8" t="str">
        <f>HYPERLINK("https://twitter.com/sudlimbu","@sudlimbu")</f>
        <v>@sudlimbu</v>
      </c>
      <c r="C10646" s="8" t="s">
        <v>1957</v>
      </c>
      <c r="D10646" s="8">
        <v>1274</v>
      </c>
      <c r="E10646" s="8">
        <v>0</v>
      </c>
      <c r="F10646" s="8">
        <v>1152</v>
      </c>
    </row>
    <row r="10647" spans="1:6" ht="12.75">
      <c r="A10647" s="8">
        <v>43900.02825231482</v>
      </c>
      <c r="B10647" s="8" t="str">
        <f>HYPERLINK("https://twitter.com/hisandeepshere","@hisandeepshere")</f>
        <v>@hisandeepshere</v>
      </c>
      <c r="C10647" s="8" t="s">
        <v>1808</v>
      </c>
      <c r="D10647" s="8">
        <v>760</v>
      </c>
      <c r="E10647" s="8">
        <v>0</v>
      </c>
      <c r="F10647" s="8">
        <v>236</v>
      </c>
    </row>
    <row r="10648" spans="1:6" ht="12.75">
      <c r="A10648" s="8">
        <v>43900.02721064815</v>
      </c>
      <c r="B10648" s="8" t="str">
        <f>HYPERLINK("https://twitter.com/NuclearCow","@NuclearCow")</f>
        <v>@NuclearCow</v>
      </c>
      <c r="C10648" s="8" t="s">
        <v>1957</v>
      </c>
      <c r="D10648" s="8">
        <v>1274</v>
      </c>
      <c r="E10648" s="8">
        <v>0</v>
      </c>
      <c r="F10648" s="8">
        <v>7</v>
      </c>
    </row>
    <row r="10649" spans="1:6" ht="12.75">
      <c r="A10649" s="8">
        <v>43900.026666666672</v>
      </c>
      <c r="B10649" s="8" t="str">
        <f>HYPERLINK("https://twitter.com/TheCons05476018","@TheCons05476018")</f>
        <v>@TheCons05476018</v>
      </c>
      <c r="C10649" s="8" t="s">
        <v>1957</v>
      </c>
      <c r="D10649" s="8">
        <v>1274</v>
      </c>
      <c r="E10649" s="8">
        <v>0</v>
      </c>
      <c r="F10649" s="8">
        <v>34</v>
      </c>
    </row>
    <row r="10650" spans="1:6" ht="12.75">
      <c r="A10650" s="8">
        <v>43900.026585648149</v>
      </c>
      <c r="B10650" s="8" t="str">
        <f>HYPERLINK("https://twitter.com/morningstarwink","@morningstarwink")</f>
        <v>@morningstarwink</v>
      </c>
      <c r="C10650" s="8" t="s">
        <v>1957</v>
      </c>
      <c r="D10650" s="8">
        <v>1274</v>
      </c>
      <c r="E10650" s="8">
        <v>0</v>
      </c>
      <c r="F10650" s="8">
        <v>59</v>
      </c>
    </row>
    <row r="10651" spans="1:6" ht="12.75">
      <c r="A10651" s="8">
        <v>43900.026180555556</v>
      </c>
      <c r="B10651" s="8" t="str">
        <f>HYPERLINK("https://twitter.com/marcelinalbs_","@marcelinalbs_")</f>
        <v>@marcelinalbs_</v>
      </c>
      <c r="C10651" s="8" t="s">
        <v>3168</v>
      </c>
      <c r="D10651" s="8">
        <v>49</v>
      </c>
      <c r="E10651" s="8">
        <v>0</v>
      </c>
      <c r="F10651" s="8">
        <v>25</v>
      </c>
    </row>
    <row r="10652" spans="1:6" ht="12.75">
      <c r="A10652" s="8">
        <v>43900.024756944447</v>
      </c>
      <c r="B10652" s="8" t="str">
        <f>HYPERLINK("https://twitter.com/kirank139","@kirank139")</f>
        <v>@kirank139</v>
      </c>
      <c r="C10652" s="8" t="s">
        <v>1957</v>
      </c>
      <c r="D10652" s="8">
        <v>1274</v>
      </c>
      <c r="E10652" s="8">
        <v>0</v>
      </c>
      <c r="F10652" s="8">
        <v>290</v>
      </c>
    </row>
    <row r="10653" spans="1:6" ht="12.75">
      <c r="A10653" s="8">
        <v>43900.024641203709</v>
      </c>
      <c r="B10653" s="8" t="str">
        <f>HYPERLINK("https://twitter.com/Navneet77046375","@Navneet77046375")</f>
        <v>@Navneet77046375</v>
      </c>
      <c r="C10653" s="8" t="s">
        <v>1957</v>
      </c>
      <c r="D10653" s="8">
        <v>1274</v>
      </c>
      <c r="E10653" s="8">
        <v>0</v>
      </c>
      <c r="F10653" s="8">
        <v>21</v>
      </c>
    </row>
    <row r="10654" spans="1:6" ht="12.75">
      <c r="A10654" s="8">
        <v>43900.02344907407</v>
      </c>
      <c r="B10654" s="8" t="str">
        <f>HYPERLINK("https://twitter.com/itsAJ_007","@itsAJ_007")</f>
        <v>@itsAJ_007</v>
      </c>
      <c r="C10654" s="8" t="s">
        <v>1957</v>
      </c>
      <c r="D10654" s="8">
        <v>1274</v>
      </c>
      <c r="E10654" s="8">
        <v>0</v>
      </c>
      <c r="F10654" s="8">
        <v>270</v>
      </c>
    </row>
    <row r="10655" spans="1:6" ht="12.75">
      <c r="A10655" s="8">
        <v>43900.022789351853</v>
      </c>
      <c r="B10655" s="8" t="str">
        <f>HYPERLINK("https://twitter.com/meikeisnawaty","@meikeisnawaty")</f>
        <v>@meikeisnawaty</v>
      </c>
      <c r="C10655" s="8" t="s">
        <v>4574</v>
      </c>
      <c r="D10655" s="8">
        <v>0</v>
      </c>
      <c r="E10655" s="8">
        <v>0</v>
      </c>
      <c r="F10655" s="8">
        <v>290</v>
      </c>
    </row>
    <row r="10656" spans="1:6" ht="12.75">
      <c r="A10656" s="8">
        <v>43900.022164351853</v>
      </c>
      <c r="B10656" s="8" t="str">
        <f>HYPERLINK("https://twitter.com/SaintOrSinner30","@SaintOrSinner30")</f>
        <v>@SaintOrSinner30</v>
      </c>
      <c r="C10656" s="8" t="s">
        <v>1917</v>
      </c>
      <c r="D10656" s="8">
        <v>1511</v>
      </c>
      <c r="E10656" s="8">
        <v>0</v>
      </c>
      <c r="F10656" s="8">
        <v>316</v>
      </c>
    </row>
    <row r="10657" spans="1:6" ht="12.75">
      <c r="A10657" s="8">
        <v>43900.022152777776</v>
      </c>
      <c r="B10657" s="8" t="str">
        <f>HYPERLINK("https://twitter.com/rakeshKharta","@rakeshKharta")</f>
        <v>@rakeshKharta</v>
      </c>
      <c r="C10657" s="8" t="s">
        <v>1957</v>
      </c>
      <c r="D10657" s="8">
        <v>1274</v>
      </c>
      <c r="E10657" s="8">
        <v>0</v>
      </c>
      <c r="F10657" s="8">
        <v>183</v>
      </c>
    </row>
    <row r="10658" spans="1:6" ht="12.75">
      <c r="A10658" s="8">
        <v>43900.021608796298</v>
      </c>
      <c r="B10658" s="8" t="str">
        <f>HYPERLINK("https://twitter.com/ChetanV41633352","@ChetanV41633352")</f>
        <v>@ChetanV41633352</v>
      </c>
      <c r="C10658" s="8" t="s">
        <v>1957</v>
      </c>
      <c r="D10658" s="8">
        <v>1274</v>
      </c>
      <c r="E10658" s="8">
        <v>0</v>
      </c>
      <c r="F10658" s="8">
        <v>108</v>
      </c>
    </row>
    <row r="10659" spans="1:6" ht="12.75">
      <c r="A10659" s="8">
        <v>43900.021574074075</v>
      </c>
      <c r="B10659" s="8" t="str">
        <f>HYPERLINK("https://twitter.com/chaitalikotecha","@chaitalikotecha")</f>
        <v>@chaitalikotecha</v>
      </c>
      <c r="C10659" s="8" t="s">
        <v>1957</v>
      </c>
      <c r="D10659" s="8">
        <v>1274</v>
      </c>
      <c r="E10659" s="8">
        <v>0</v>
      </c>
      <c r="F10659" s="8">
        <v>285</v>
      </c>
    </row>
    <row r="10660" spans="1:6" ht="12.75">
      <c r="A10660" s="8">
        <v>43900.021493055552</v>
      </c>
      <c r="B10660" s="8" t="str">
        <f>HYPERLINK("https://twitter.com/fullyfaltu2020","@fullyfaltu2020")</f>
        <v>@fullyfaltu2020</v>
      </c>
      <c r="C10660" s="8" t="s">
        <v>1808</v>
      </c>
      <c r="D10660" s="8">
        <v>760</v>
      </c>
      <c r="E10660" s="8">
        <v>0</v>
      </c>
      <c r="F10660" s="8">
        <v>207</v>
      </c>
    </row>
    <row r="10661" spans="1:6" ht="12.75">
      <c r="A10661" s="8">
        <v>43900.021226851852</v>
      </c>
      <c r="B10661" s="8" t="str">
        <f>HYPERLINK("https://twitter.com/indozonemedia","@indozonemedia")</f>
        <v>@indozonemedia</v>
      </c>
      <c r="C10661" s="8" t="s">
        <v>4575</v>
      </c>
      <c r="D10661" s="8">
        <v>1</v>
      </c>
      <c r="E10661" s="8">
        <v>1</v>
      </c>
      <c r="F10661" s="8">
        <v>1787957</v>
      </c>
    </row>
    <row r="10662" spans="1:6" ht="12.75">
      <c r="A10662" s="8">
        <v>43900.021203703705</v>
      </c>
      <c r="B10662" s="8" t="str">
        <f>HYPERLINK("https://twitter.com/khuspe_mangesh","@khuspe_mangesh")</f>
        <v>@khuspe_mangesh</v>
      </c>
      <c r="C10662" s="8" t="s">
        <v>1808</v>
      </c>
      <c r="D10662" s="8">
        <v>760</v>
      </c>
      <c r="E10662" s="8">
        <v>0</v>
      </c>
      <c r="F10662" s="8">
        <v>149</v>
      </c>
    </row>
    <row r="10663" spans="1:6" ht="12.75">
      <c r="A10663" s="8">
        <v>43900.021099537036</v>
      </c>
      <c r="B10663" s="8" t="str">
        <f>HYPERLINK("https://twitter.com/rohitupadhyay","@rohitupadhyay")</f>
        <v>@rohitupadhyay</v>
      </c>
      <c r="C10663" s="8" t="s">
        <v>1808</v>
      </c>
      <c r="D10663" s="8">
        <v>760</v>
      </c>
      <c r="E10663" s="8">
        <v>0</v>
      </c>
      <c r="F10663" s="8">
        <v>105</v>
      </c>
    </row>
    <row r="10664" spans="1:6" ht="12.75">
      <c r="A10664" s="8">
        <v>43900.020937499998</v>
      </c>
      <c r="B10664" s="8" t="str">
        <f>HYPERLINK("https://twitter.com/tishtriya","@tishtriya")</f>
        <v>@tishtriya</v>
      </c>
      <c r="C10664" s="8" t="s">
        <v>1808</v>
      </c>
      <c r="D10664" s="8">
        <v>760</v>
      </c>
      <c r="E10664" s="8">
        <v>0</v>
      </c>
      <c r="F10664" s="8">
        <v>4357</v>
      </c>
    </row>
    <row r="10665" spans="1:6" ht="12.75">
      <c r="A10665" s="8">
        <v>43900.020925925928</v>
      </c>
      <c r="B10665" s="8" t="str">
        <f>HYPERLINK("https://twitter.com/pilotignews","@pilotignews")</f>
        <v>@pilotignews</v>
      </c>
      <c r="C10665" s="8" t="s">
        <v>4550</v>
      </c>
      <c r="D10665" s="8">
        <v>0</v>
      </c>
      <c r="E10665" s="8">
        <v>0</v>
      </c>
      <c r="F10665" s="8">
        <v>37</v>
      </c>
    </row>
    <row r="10666" spans="1:6" ht="12.75">
      <c r="A10666" s="8">
        <v>43900.02071759259</v>
      </c>
      <c r="B10666" s="8" t="str">
        <f>HYPERLINK("https://twitter.com/01Karn","@01Karn")</f>
        <v>@01Karn</v>
      </c>
      <c r="C10666" s="8" t="s">
        <v>1957</v>
      </c>
      <c r="D10666" s="8">
        <v>1274</v>
      </c>
      <c r="E10666" s="8">
        <v>0</v>
      </c>
      <c r="F10666" s="8">
        <v>13313</v>
      </c>
    </row>
    <row r="10667" spans="1:6" ht="12.75">
      <c r="A10667" s="8">
        <v>43900.020023148143</v>
      </c>
      <c r="B10667" s="8" t="str">
        <f>HYPERLINK("https://twitter.com/Prakash30335252","@Prakash30335252")</f>
        <v>@Prakash30335252</v>
      </c>
      <c r="C10667" s="8" t="s">
        <v>1957</v>
      </c>
      <c r="D10667" s="8">
        <v>1274</v>
      </c>
      <c r="E10667" s="8">
        <v>0</v>
      </c>
      <c r="F10667" s="8">
        <v>230</v>
      </c>
    </row>
    <row r="10668" spans="1:6" ht="12.75">
      <c r="A10668" s="8">
        <v>43900.019861111112</v>
      </c>
      <c r="B10668" s="8" t="str">
        <f>HYPERLINK("https://twitter.com/fk_librandus","@fk_librandus")</f>
        <v>@fk_librandus</v>
      </c>
      <c r="C10668" s="8" t="s">
        <v>1957</v>
      </c>
      <c r="D10668" s="8">
        <v>1274</v>
      </c>
      <c r="E10668" s="8">
        <v>0</v>
      </c>
      <c r="F10668" s="8">
        <v>47</v>
      </c>
    </row>
    <row r="10669" spans="1:6" ht="12.75">
      <c r="A10669" s="8">
        <v>43900.019826388889</v>
      </c>
      <c r="B10669" s="8" t="str">
        <f>HYPERLINK("https://twitter.com/paslah_satria","@paslah_satria")</f>
        <v>@paslah_satria</v>
      </c>
      <c r="C10669" s="8" t="s">
        <v>4576</v>
      </c>
      <c r="D10669" s="8">
        <v>0</v>
      </c>
      <c r="E10669" s="8">
        <v>0</v>
      </c>
      <c r="F10669" s="8">
        <v>78</v>
      </c>
    </row>
    <row r="10670" spans="1:6" ht="12.75">
      <c r="A10670" s="8">
        <v>43900.019733796296</v>
      </c>
      <c r="B10670" s="8" t="str">
        <f>HYPERLINK("https://twitter.com/kgatul","@kgatul")</f>
        <v>@kgatul</v>
      </c>
      <c r="C10670" s="8" t="s">
        <v>1957</v>
      </c>
      <c r="D10670" s="8">
        <v>1274</v>
      </c>
      <c r="E10670" s="8">
        <v>0</v>
      </c>
      <c r="F10670" s="8">
        <v>51</v>
      </c>
    </row>
    <row r="10671" spans="1:6" ht="12.75">
      <c r="A10671" s="8">
        <v>43900.01966435185</v>
      </c>
      <c r="B10671" s="8" t="str">
        <f>HYPERLINK("https://twitter.com/Mrityun56220812","@Mrityun56220812")</f>
        <v>@Mrityun56220812</v>
      </c>
      <c r="C10671" s="8" t="s">
        <v>1957</v>
      </c>
      <c r="D10671" s="8">
        <v>1274</v>
      </c>
      <c r="E10671" s="8">
        <v>0</v>
      </c>
      <c r="F10671" s="8">
        <v>177</v>
      </c>
    </row>
    <row r="10672" spans="1:6" ht="12.75">
      <c r="A10672" s="8">
        <v>43900.019513888888</v>
      </c>
      <c r="B10672" s="8" t="str">
        <f>HYPERLINK("https://twitter.com/sutanakhir","@sutanakhir")</f>
        <v>@sutanakhir</v>
      </c>
      <c r="C10672" s="8" t="s">
        <v>3126</v>
      </c>
      <c r="D10672" s="8">
        <v>252</v>
      </c>
      <c r="E10672" s="8">
        <v>0</v>
      </c>
      <c r="F10672" s="8">
        <v>216</v>
      </c>
    </row>
    <row r="10673" spans="1:6" ht="12.75">
      <c r="A10673" s="8">
        <v>43900.018842592588</v>
      </c>
      <c r="B10673" s="8" t="str">
        <f>HYPERLINK("https://twitter.com/Itorhs","@Itorhs")</f>
        <v>@Itorhs</v>
      </c>
      <c r="C10673" s="8" t="s">
        <v>4577</v>
      </c>
      <c r="D10673" s="8">
        <v>0</v>
      </c>
      <c r="E10673" s="8">
        <v>0</v>
      </c>
      <c r="F10673" s="8">
        <v>31</v>
      </c>
    </row>
    <row r="10674" spans="1:6" ht="12.75">
      <c r="A10674" s="8">
        <v>43900.018576388888</v>
      </c>
      <c r="B10674" s="8" t="str">
        <f t="shared" ref="B10674:B10675" si="179">HYPERLINK("https://twitter.com/kbrilima","@kbrilima")</f>
        <v>@kbrilima</v>
      </c>
      <c r="C10674" s="8" t="s">
        <v>1396</v>
      </c>
      <c r="D10674" s="8">
        <v>59</v>
      </c>
      <c r="E10674" s="8">
        <v>0</v>
      </c>
      <c r="F10674" s="8">
        <v>1326</v>
      </c>
    </row>
    <row r="10675" spans="1:6" ht="12.75">
      <c r="A10675" s="8">
        <v>43900.018530092595</v>
      </c>
      <c r="B10675" s="8" t="str">
        <f t="shared" si="179"/>
        <v>@kbrilima</v>
      </c>
      <c r="C10675" s="8" t="s">
        <v>3168</v>
      </c>
      <c r="D10675" s="8">
        <v>49</v>
      </c>
      <c r="E10675" s="8">
        <v>0</v>
      </c>
      <c r="F10675" s="8">
        <v>1326</v>
      </c>
    </row>
    <row r="10676" spans="1:6" ht="12.75">
      <c r="A10676" s="8">
        <v>43900.018495370372</v>
      </c>
      <c r="B10676" s="8" t="str">
        <f>HYPERLINK("https://twitter.com/paslah_satria","@paslah_satria")</f>
        <v>@paslah_satria</v>
      </c>
      <c r="C10676" s="8" t="s">
        <v>4578</v>
      </c>
      <c r="D10676" s="8">
        <v>0</v>
      </c>
      <c r="E10676" s="8">
        <v>1</v>
      </c>
      <c r="F10676" s="8">
        <v>78</v>
      </c>
    </row>
    <row r="10677" spans="1:6" ht="12.75">
      <c r="A10677" s="8">
        <v>43900.018379629633</v>
      </c>
      <c r="B10677" s="8" t="str">
        <f>HYPERLINK("https://twitter.com/vinod_rathod1","@vinod_rathod1")</f>
        <v>@vinod_rathod1</v>
      </c>
      <c r="C10677" s="8" t="s">
        <v>1808</v>
      </c>
      <c r="D10677" s="8">
        <v>760</v>
      </c>
      <c r="E10677" s="8">
        <v>0</v>
      </c>
      <c r="F10677" s="8">
        <v>64</v>
      </c>
    </row>
    <row r="10678" spans="1:6" ht="12.75">
      <c r="A10678" s="8">
        <v>43900.017997685187</v>
      </c>
      <c r="B10678" s="8" t="str">
        <f>HYPERLINK("https://twitter.com/asheesh_01","@asheesh_01")</f>
        <v>@asheesh_01</v>
      </c>
      <c r="C10678" s="8" t="s">
        <v>1808</v>
      </c>
      <c r="D10678" s="8">
        <v>760</v>
      </c>
      <c r="E10678" s="8">
        <v>0</v>
      </c>
      <c r="F10678" s="8">
        <v>105</v>
      </c>
    </row>
    <row r="10679" spans="1:6" ht="12.75">
      <c r="A10679" s="8">
        <v>43900.017928240741</v>
      </c>
      <c r="B10679" s="8" t="str">
        <f>HYPERLINK("https://twitter.com/praveen171590","@praveen171590")</f>
        <v>@praveen171590</v>
      </c>
      <c r="C10679" s="8" t="s">
        <v>1957</v>
      </c>
      <c r="D10679" s="8">
        <v>1274</v>
      </c>
      <c r="E10679" s="8">
        <v>0</v>
      </c>
      <c r="F10679" s="8">
        <v>119</v>
      </c>
    </row>
    <row r="10680" spans="1:6" ht="12.75">
      <c r="A10680" s="8">
        <v>43900.017835648148</v>
      </c>
      <c r="B10680" s="8" t="str">
        <f>HYPERLINK("https://twitter.com/KOVVURU_KIRAN","@KOVVURU_KIRAN")</f>
        <v>@KOVVURU_KIRAN</v>
      </c>
      <c r="C10680" s="8" t="s">
        <v>1957</v>
      </c>
      <c r="D10680" s="8">
        <v>1274</v>
      </c>
      <c r="E10680" s="8">
        <v>0</v>
      </c>
      <c r="F10680" s="8">
        <v>21</v>
      </c>
    </row>
    <row r="10681" spans="1:6" ht="12.75">
      <c r="A10681" s="8">
        <v>43900.017638888894</v>
      </c>
      <c r="B10681" s="8" t="str">
        <f>HYPERLINK("https://twitter.com/nagendrapathak","@nagendrapathak")</f>
        <v>@nagendrapathak</v>
      </c>
      <c r="C10681" s="8" t="s">
        <v>1957</v>
      </c>
      <c r="D10681" s="8">
        <v>1274</v>
      </c>
      <c r="E10681" s="8">
        <v>0</v>
      </c>
      <c r="F10681" s="8">
        <v>1090</v>
      </c>
    </row>
    <row r="10682" spans="1:6" ht="12.75">
      <c r="A10682" s="8">
        <v>43900.017453703702</v>
      </c>
      <c r="B10682" s="8" t="str">
        <f>HYPERLINK("https://twitter.com/SeshBaldaniya","@SeshBaldaniya")</f>
        <v>@SeshBaldaniya</v>
      </c>
      <c r="C10682" s="8" t="s">
        <v>1957</v>
      </c>
      <c r="D10682" s="8">
        <v>1274</v>
      </c>
      <c r="E10682" s="8">
        <v>0</v>
      </c>
      <c r="F10682" s="8">
        <v>414</v>
      </c>
    </row>
    <row r="10683" spans="1:6" ht="12.75">
      <c r="A10683" s="8">
        <v>43900.01734953704</v>
      </c>
      <c r="B10683" s="8" t="str">
        <f>HYPERLINK("https://twitter.com/EngGuntur","@EngGuntur")</f>
        <v>@EngGuntur</v>
      </c>
      <c r="C10683" s="8" t="s">
        <v>4579</v>
      </c>
      <c r="D10683" s="8">
        <v>29</v>
      </c>
      <c r="E10683" s="8">
        <v>0</v>
      </c>
      <c r="F10683" s="8">
        <v>2435</v>
      </c>
    </row>
    <row r="10684" spans="1:6" ht="12.75">
      <c r="A10684" s="8">
        <v>43900.017314814817</v>
      </c>
      <c r="B10684" s="8" t="str">
        <f>HYPERLINK("https://twitter.com/virendersingh77","@virendersingh77")</f>
        <v>@virendersingh77</v>
      </c>
      <c r="C10684" s="8" t="s">
        <v>1957</v>
      </c>
      <c r="D10684" s="8">
        <v>1274</v>
      </c>
      <c r="E10684" s="8">
        <v>0</v>
      </c>
      <c r="F10684" s="8">
        <v>31</v>
      </c>
    </row>
    <row r="10685" spans="1:6" ht="12.75">
      <c r="A10685" s="8">
        <v>43900.017175925925</v>
      </c>
      <c r="B10685" s="8" t="str">
        <f>HYPERLINK("https://twitter.com/Southlover4","@Southlover4")</f>
        <v>@Southlover4</v>
      </c>
      <c r="C10685" s="8" t="s">
        <v>1808</v>
      </c>
      <c r="D10685" s="8">
        <v>760</v>
      </c>
      <c r="E10685" s="8">
        <v>0</v>
      </c>
      <c r="F10685" s="8">
        <v>147</v>
      </c>
    </row>
    <row r="10686" spans="1:6" ht="12.75">
      <c r="A10686" s="8">
        <v>43900.01697916667</v>
      </c>
      <c r="B10686" s="8" t="str">
        <f>HYPERLINK("https://twitter.com/lostinmyowntune","@lostinmyowntune")</f>
        <v>@lostinmyowntune</v>
      </c>
      <c r="C10686" s="8" t="s">
        <v>1957</v>
      </c>
      <c r="D10686" s="8">
        <v>1274</v>
      </c>
      <c r="E10686" s="8">
        <v>0</v>
      </c>
      <c r="F10686" s="8">
        <v>25</v>
      </c>
    </row>
    <row r="10687" spans="1:6" ht="12.75">
      <c r="A10687" s="8">
        <v>43900.016909722224</v>
      </c>
      <c r="B10687" s="8" t="str">
        <f>HYPERLINK("https://twitter.com/d_prexa","@d_prexa")</f>
        <v>@d_prexa</v>
      </c>
      <c r="C10687" s="8" t="s">
        <v>1957</v>
      </c>
      <c r="D10687" s="8">
        <v>1274</v>
      </c>
      <c r="E10687" s="8">
        <v>0</v>
      </c>
      <c r="F10687" s="8">
        <v>223</v>
      </c>
    </row>
    <row r="10688" spans="1:6" ht="12.75">
      <c r="A10688" s="8">
        <v>43900.016909722224</v>
      </c>
      <c r="B10688" s="8" t="str">
        <f>HYPERLINK("https://twitter.com/sr_pradhan_","@sr_pradhan_")</f>
        <v>@sr_pradhan_</v>
      </c>
      <c r="C10688" s="8" t="s">
        <v>1957</v>
      </c>
      <c r="D10688" s="8">
        <v>1274</v>
      </c>
      <c r="E10688" s="8">
        <v>0</v>
      </c>
      <c r="F10688" s="8">
        <v>430</v>
      </c>
    </row>
    <row r="10689" spans="1:6" ht="12.75">
      <c r="A10689" s="8">
        <v>43900.016805555555</v>
      </c>
      <c r="B10689" s="8" t="str">
        <f>HYPERLINK("https://twitter.com/TarunKa66677483","@TarunKa66677483")</f>
        <v>@TarunKa66677483</v>
      </c>
      <c r="C10689" s="8" t="s">
        <v>1808</v>
      </c>
      <c r="D10689" s="8">
        <v>760</v>
      </c>
      <c r="E10689" s="8">
        <v>0</v>
      </c>
      <c r="F10689" s="8">
        <v>317</v>
      </c>
    </row>
    <row r="10690" spans="1:6" ht="12.75">
      <c r="A10690" s="8">
        <v>43900.016331018516</v>
      </c>
      <c r="B10690" s="8" t="str">
        <f>HYPERLINK("https://twitter.com/JakartaStar","@JakartaStar")</f>
        <v>@JakartaStar</v>
      </c>
      <c r="C10690" s="8" t="s">
        <v>4580</v>
      </c>
      <c r="D10690" s="8">
        <v>2</v>
      </c>
      <c r="E10690" s="8">
        <v>0</v>
      </c>
      <c r="F10690" s="8">
        <v>5717</v>
      </c>
    </row>
    <row r="10691" spans="1:6" ht="12.75">
      <c r="A10691" s="8">
        <v>43900.016041666662</v>
      </c>
      <c r="B10691" s="8" t="str">
        <f>HYPERLINK("https://twitter.com/antarakalbar","@antarakalbar")</f>
        <v>@antarakalbar</v>
      </c>
      <c r="C10691" s="8" t="s">
        <v>4581</v>
      </c>
      <c r="D10691" s="8">
        <v>0</v>
      </c>
      <c r="E10691" s="8">
        <v>0</v>
      </c>
      <c r="F10691" s="8">
        <v>5261</v>
      </c>
    </row>
    <row r="10692" spans="1:6" ht="12.75">
      <c r="A10692" s="8">
        <v>43900.015902777777</v>
      </c>
      <c r="B10692" s="8" t="str">
        <f>HYPERLINK("https://twitter.com/fullyfaltu2020","@fullyfaltu2020")</f>
        <v>@fullyfaltu2020</v>
      </c>
      <c r="C10692" s="8" t="s">
        <v>1957</v>
      </c>
      <c r="D10692" s="8">
        <v>1274</v>
      </c>
      <c r="E10692" s="8">
        <v>0</v>
      </c>
      <c r="F10692" s="8">
        <v>207</v>
      </c>
    </row>
    <row r="10693" spans="1:6" ht="12.75">
      <c r="A10693" s="8">
        <v>43900.015729166669</v>
      </c>
      <c r="B10693" s="8" t="str">
        <f>HYPERLINK("https://twitter.com/bitopan_","@bitopan_")</f>
        <v>@bitopan_</v>
      </c>
      <c r="C10693" s="8" t="s">
        <v>1957</v>
      </c>
      <c r="D10693" s="8">
        <v>1274</v>
      </c>
      <c r="E10693" s="8">
        <v>0</v>
      </c>
      <c r="F10693" s="8">
        <v>1290</v>
      </c>
    </row>
    <row r="10694" spans="1:6" ht="12.75">
      <c r="A10694" s="8">
        <v>43900.006423611107</v>
      </c>
      <c r="B10694" s="8" t="str">
        <f>HYPERLINK("https://twitter.com/Om_Datuk","@Om_Datuk")</f>
        <v>@Om_Datuk</v>
      </c>
      <c r="C10694" s="8" t="s">
        <v>318</v>
      </c>
      <c r="D10694" s="8">
        <v>13</v>
      </c>
      <c r="E10694" s="8">
        <v>0</v>
      </c>
      <c r="F10694" s="8">
        <v>700</v>
      </c>
    </row>
    <row r="10695" spans="1:6" ht="12.75">
      <c r="A10695" s="8">
        <v>43900.005856481483</v>
      </c>
      <c r="B10695" s="8" t="str">
        <f>HYPERLINK("https://twitter.com/aisyacinintyas","@aisyacinintyas")</f>
        <v>@aisyacinintyas</v>
      </c>
      <c r="C10695" s="8" t="s">
        <v>4582</v>
      </c>
      <c r="D10695" s="8">
        <v>0</v>
      </c>
      <c r="E10695" s="8">
        <v>0</v>
      </c>
      <c r="F10695" s="8">
        <v>636</v>
      </c>
    </row>
    <row r="10696" spans="1:6" ht="12.75">
      <c r="A10696" s="8">
        <v>43900.005231481482</v>
      </c>
      <c r="B10696" s="8" t="str">
        <f>HYPERLINK("https://twitter.com/DUdawant","@DUdawant")</f>
        <v>@DUdawant</v>
      </c>
      <c r="C10696" s="8" t="s">
        <v>1957</v>
      </c>
      <c r="D10696" s="8">
        <v>1208</v>
      </c>
      <c r="E10696" s="8">
        <v>0</v>
      </c>
      <c r="F10696" s="8">
        <v>746</v>
      </c>
    </row>
    <row r="10697" spans="1:6" ht="12.75">
      <c r="A10697" s="8">
        <v>43900.005196759259</v>
      </c>
      <c r="B10697" s="8" t="str">
        <f>HYPERLINK("https://twitter.com/Kevinhandy13_","@Kevinhandy13_")</f>
        <v>@Kevinhandy13_</v>
      </c>
      <c r="C10697" s="8" t="s">
        <v>4583</v>
      </c>
      <c r="D10697" s="8">
        <v>0</v>
      </c>
      <c r="E10697" s="8">
        <v>0</v>
      </c>
      <c r="F10697" s="8">
        <v>692</v>
      </c>
    </row>
    <row r="10698" spans="1:6" ht="12.75">
      <c r="A10698" s="8">
        <v>43900.004872685182</v>
      </c>
      <c r="B10698" s="8" t="str">
        <f>HYPERLINK("https://twitter.com/TusharR14423811","@TusharR14423811")</f>
        <v>@TusharR14423811</v>
      </c>
      <c r="C10698" s="8" t="s">
        <v>1957</v>
      </c>
      <c r="D10698" s="8">
        <v>1208</v>
      </c>
      <c r="E10698" s="8">
        <v>0</v>
      </c>
      <c r="F10698" s="8">
        <v>214</v>
      </c>
    </row>
    <row r="10699" spans="1:6" ht="12.75">
      <c r="A10699" s="8">
        <v>43900.004641203705</v>
      </c>
      <c r="B10699" s="8" t="str">
        <f>HYPERLINK("https://twitter.com/Pandey_DK_","@Pandey_DK_")</f>
        <v>@Pandey_DK_</v>
      </c>
      <c r="C10699" s="8" t="s">
        <v>1957</v>
      </c>
      <c r="D10699" s="8">
        <v>1208</v>
      </c>
      <c r="E10699" s="8">
        <v>0</v>
      </c>
      <c r="F10699" s="8">
        <v>1559</v>
      </c>
    </row>
    <row r="10700" spans="1:6" ht="12.75">
      <c r="A10700" s="8">
        <v>43900.004618055551</v>
      </c>
      <c r="B10700" s="8" t="str">
        <f>HYPERLINK("https://twitter.com/raghusomnath","@raghusomnath")</f>
        <v>@raghusomnath</v>
      </c>
      <c r="C10700" s="8" t="s">
        <v>1957</v>
      </c>
      <c r="D10700" s="8">
        <v>1208</v>
      </c>
      <c r="E10700" s="8">
        <v>0</v>
      </c>
      <c r="F10700" s="8">
        <v>5</v>
      </c>
    </row>
    <row r="10701" spans="1:6" ht="12.75">
      <c r="A10701" s="8">
        <v>43900.004606481481</v>
      </c>
      <c r="B10701" s="8" t="str">
        <f>HYPERLINK("https://twitter.com/mmsawant","@mmsawant")</f>
        <v>@mmsawant</v>
      </c>
      <c r="C10701" s="8" t="s">
        <v>1957</v>
      </c>
      <c r="D10701" s="8">
        <v>1208</v>
      </c>
      <c r="E10701" s="8">
        <v>0</v>
      </c>
      <c r="F10701" s="8">
        <v>160</v>
      </c>
    </row>
    <row r="10702" spans="1:6" ht="12.75">
      <c r="A10702" s="8">
        <v>43900.003796296296</v>
      </c>
      <c r="B10702" s="8" t="str">
        <f>HYPERLINK("https://twitter.com/IamMP15","@IamMP15")</f>
        <v>@IamMP15</v>
      </c>
      <c r="C10702" s="8" t="s">
        <v>1957</v>
      </c>
      <c r="D10702" s="8">
        <v>1208</v>
      </c>
      <c r="E10702" s="8">
        <v>0</v>
      </c>
      <c r="F10702" s="8">
        <v>2</v>
      </c>
    </row>
    <row r="10703" spans="1:6" ht="12.75">
      <c r="A10703" s="8">
        <v>43900.003518518519</v>
      </c>
      <c r="B10703" s="8" t="str">
        <f>HYPERLINK("https://twitter.com/Raj_Jain9","@Raj_Jain9")</f>
        <v>@Raj_Jain9</v>
      </c>
      <c r="C10703" s="8" t="s">
        <v>1957</v>
      </c>
      <c r="D10703" s="8">
        <v>1208</v>
      </c>
      <c r="E10703" s="8">
        <v>0</v>
      </c>
      <c r="F10703" s="8">
        <v>38</v>
      </c>
    </row>
    <row r="10704" spans="1:6" ht="12.75">
      <c r="A10704" s="8">
        <v>43900.003240740742</v>
      </c>
      <c r="B10704" s="8" t="str">
        <f>HYPERLINK("https://twitter.com/zullifkar_ab","@zullifkar_ab")</f>
        <v>@zullifkar_ab</v>
      </c>
      <c r="C10704" s="8" t="s">
        <v>4584</v>
      </c>
      <c r="D10704" s="8">
        <v>0</v>
      </c>
      <c r="E10704" s="8">
        <v>0</v>
      </c>
      <c r="F10704" s="8">
        <v>121</v>
      </c>
    </row>
    <row r="10705" spans="1:6" ht="12.75">
      <c r="A10705" s="8">
        <v>43900.003229166672</v>
      </c>
      <c r="B10705" s="8" t="str">
        <f t="shared" ref="B10705:B10706" si="180">HYPERLINK("https://twitter.com/56perumal","@56perumal")</f>
        <v>@56perumal</v>
      </c>
      <c r="C10705" s="8" t="s">
        <v>1808</v>
      </c>
      <c r="D10705" s="8">
        <v>738</v>
      </c>
      <c r="E10705" s="8">
        <v>0</v>
      </c>
      <c r="F10705" s="8">
        <v>43412</v>
      </c>
    </row>
    <row r="10706" spans="1:6" ht="12.75">
      <c r="A10706" s="8">
        <v>43900.003194444449</v>
      </c>
      <c r="B10706" s="8" t="str">
        <f t="shared" si="180"/>
        <v>@56perumal</v>
      </c>
      <c r="C10706" s="8" t="s">
        <v>1957</v>
      </c>
      <c r="D10706" s="8">
        <v>1208</v>
      </c>
      <c r="E10706" s="8">
        <v>0</v>
      </c>
      <c r="F10706" s="8">
        <v>43412</v>
      </c>
    </row>
    <row r="10707" spans="1:6" ht="12.75">
      <c r="A10707" s="8">
        <v>43900.003136574072</v>
      </c>
      <c r="B10707" s="8" t="str">
        <f>HYPERLINK("https://twitter.com/TuriminVanthat","@TuriminVanthat")</f>
        <v>@TuriminVanthat</v>
      </c>
      <c r="C10707" s="8" t="s">
        <v>4585</v>
      </c>
      <c r="D10707" s="8">
        <v>0</v>
      </c>
      <c r="E10707" s="8">
        <v>0</v>
      </c>
      <c r="F10707" s="8">
        <v>307</v>
      </c>
    </row>
    <row r="10708" spans="1:6" ht="12.75">
      <c r="A10708" s="8">
        <v>43900.003125000003</v>
      </c>
      <c r="B10708" s="8" t="str">
        <f>HYPERLINK("https://twitter.com/jaishreeram110","@jaishreeram110")</f>
        <v>@jaishreeram110</v>
      </c>
      <c r="C10708" s="8" t="s">
        <v>1957</v>
      </c>
      <c r="D10708" s="8">
        <v>1208</v>
      </c>
      <c r="E10708" s="8">
        <v>0</v>
      </c>
      <c r="F10708" s="8">
        <v>53</v>
      </c>
    </row>
    <row r="10709" spans="1:6" ht="12.75">
      <c r="A10709" s="8">
        <v>43900.002974537041</v>
      </c>
      <c r="B10709" s="8" t="str">
        <f>HYPERLINK("https://twitter.com/abhaykunayak","@abhaykunayak")</f>
        <v>@abhaykunayak</v>
      </c>
      <c r="C10709" s="8" t="s">
        <v>1957</v>
      </c>
      <c r="D10709" s="8">
        <v>1208</v>
      </c>
      <c r="E10709" s="8">
        <v>0</v>
      </c>
      <c r="F10709" s="8">
        <v>96</v>
      </c>
    </row>
    <row r="10710" spans="1:6" ht="12.75">
      <c r="A10710" s="8">
        <v>43900.002916666665</v>
      </c>
      <c r="B10710" s="8" t="str">
        <f>HYPERLINK("https://twitter.com/topinfo_id","@topinfo_id")</f>
        <v>@topinfo_id</v>
      </c>
      <c r="C10710" s="8" t="s">
        <v>4447</v>
      </c>
      <c r="D10710" s="8">
        <v>0</v>
      </c>
      <c r="E10710" s="8">
        <v>0</v>
      </c>
      <c r="F10710" s="8">
        <v>77</v>
      </c>
    </row>
    <row r="10711" spans="1:6" ht="12.75">
      <c r="A10711" s="8">
        <v>43900.002083333333</v>
      </c>
      <c r="B10711" s="8" t="str">
        <f>HYPERLINK("https://twitter.com/hariaithal","@hariaithal")</f>
        <v>@hariaithal</v>
      </c>
      <c r="C10711" s="8" t="s">
        <v>1957</v>
      </c>
      <c r="D10711" s="8">
        <v>1208</v>
      </c>
      <c r="E10711" s="8">
        <v>0</v>
      </c>
      <c r="F10711" s="8">
        <v>42</v>
      </c>
    </row>
    <row r="10712" spans="1:6" ht="12.75">
      <c r="A10712" s="8">
        <v>43900.002071759256</v>
      </c>
      <c r="B10712" s="8" t="str">
        <f>HYPERLINK("https://twitter.com/hisandeepshere","@hisandeepshere")</f>
        <v>@hisandeepshere</v>
      </c>
      <c r="C10712" s="8" t="s">
        <v>1957</v>
      </c>
      <c r="D10712" s="8">
        <v>1208</v>
      </c>
      <c r="E10712" s="8">
        <v>0</v>
      </c>
      <c r="F10712" s="8">
        <v>231</v>
      </c>
    </row>
    <row r="10713" spans="1:6" ht="12.75">
      <c r="A10713" s="8">
        <v>43900.001550925925</v>
      </c>
      <c r="B10713" s="8" t="str">
        <f>HYPERLINK("https://twitter.com/rajesh_v_rajan","@rajesh_v_rajan")</f>
        <v>@rajesh_v_rajan</v>
      </c>
      <c r="C10713" s="8" t="s">
        <v>1808</v>
      </c>
      <c r="D10713" s="8">
        <v>738</v>
      </c>
      <c r="E10713" s="8">
        <v>0</v>
      </c>
      <c r="F10713" s="8">
        <v>144</v>
      </c>
    </row>
    <row r="10714" spans="1:6" ht="12.75">
      <c r="A10714" s="8">
        <v>43900.001331018517</v>
      </c>
      <c r="B10714" s="8" t="str">
        <f>HYPERLINK("https://twitter.com/fadhilahhay","@fadhilahhay")</f>
        <v>@fadhilahhay</v>
      </c>
      <c r="C10714" s="8" t="s">
        <v>4548</v>
      </c>
      <c r="D10714" s="8">
        <v>31</v>
      </c>
      <c r="E10714" s="8">
        <v>0</v>
      </c>
      <c r="F10714" s="8">
        <v>343</v>
      </c>
    </row>
    <row r="10715" spans="1:6" ht="12.75">
      <c r="A10715" s="8">
        <v>43900.001319444447</v>
      </c>
      <c r="B10715" s="8" t="str">
        <f>HYPERLINK("https://twitter.com/Hi_Akshay_Here","@Hi_Akshay_Here")</f>
        <v>@Hi_Akshay_Here</v>
      </c>
      <c r="C10715" s="8" t="s">
        <v>1957</v>
      </c>
      <c r="D10715" s="8">
        <v>1208</v>
      </c>
      <c r="E10715" s="8">
        <v>0</v>
      </c>
      <c r="F10715" s="8">
        <v>206</v>
      </c>
    </row>
    <row r="10716" spans="1:6" ht="12.75">
      <c r="A10716" s="8">
        <v>43900.001157407409</v>
      </c>
      <c r="B10716" s="8" t="str">
        <f>HYPERLINK("https://twitter.com/sris19781","@sris19781")</f>
        <v>@sris19781</v>
      </c>
      <c r="C10716" s="8" t="s">
        <v>1957</v>
      </c>
      <c r="D10716" s="8">
        <v>1208</v>
      </c>
      <c r="E10716" s="8">
        <v>0</v>
      </c>
      <c r="F10716" s="8">
        <v>1290</v>
      </c>
    </row>
    <row r="10717" spans="1:6" ht="12.75">
      <c r="A10717" s="8">
        <v>43900.001134259262</v>
      </c>
      <c r="B10717" s="8" t="str">
        <f>HYPERLINK("https://twitter.com/pinki_sanyal","@pinki_sanyal")</f>
        <v>@pinki_sanyal</v>
      </c>
      <c r="C10717" s="8" t="s">
        <v>1808</v>
      </c>
      <c r="D10717" s="8">
        <v>738</v>
      </c>
      <c r="E10717" s="8">
        <v>0</v>
      </c>
      <c r="F10717" s="8">
        <v>347</v>
      </c>
    </row>
    <row r="10718" spans="1:6" ht="12.75">
      <c r="A10718" s="8">
        <v>43900.001122685186</v>
      </c>
      <c r="B10718" s="8" t="str">
        <f>HYPERLINK("https://twitter.com/i_vishal0315","@i_vishal0315")</f>
        <v>@i_vishal0315</v>
      </c>
      <c r="C10718" s="8" t="s">
        <v>1957</v>
      </c>
      <c r="D10718" s="8">
        <v>1208</v>
      </c>
      <c r="E10718" s="8">
        <v>0</v>
      </c>
      <c r="F10718" s="8">
        <v>2290</v>
      </c>
    </row>
    <row r="10719" spans="1:6" ht="12.75">
      <c r="A10719" s="8">
        <v>43900.000844907408</v>
      </c>
      <c r="B10719" s="8" t="str">
        <f>HYPERLINK("https://twitter.com/vijesh21","@vijesh21")</f>
        <v>@vijesh21</v>
      </c>
      <c r="C10719" s="8" t="s">
        <v>1957</v>
      </c>
      <c r="D10719" s="8">
        <v>1208</v>
      </c>
      <c r="E10719" s="8">
        <v>0</v>
      </c>
      <c r="F10719" s="8">
        <v>6067</v>
      </c>
    </row>
    <row r="10720" spans="1:6" ht="12.75">
      <c r="A10720" s="8">
        <v>43900.000671296293</v>
      </c>
      <c r="B10720" s="8" t="str">
        <f>HYPERLINK("https://twitter.com/WahhabiCC","@WahhabiCC")</f>
        <v>@WahhabiCC</v>
      </c>
      <c r="C10720" s="8" t="s">
        <v>4586</v>
      </c>
      <c r="D10720" s="8">
        <v>1</v>
      </c>
      <c r="E10720" s="8">
        <v>0</v>
      </c>
      <c r="F10720" s="8">
        <v>17364</v>
      </c>
    </row>
    <row r="10721" spans="1:6" ht="12.75">
      <c r="A10721" s="8">
        <v>43900.000439814816</v>
      </c>
      <c r="B10721" s="8" t="str">
        <f>HYPERLINK("https://twitter.com/tthelonevvolff","@tthelonevvolff")</f>
        <v>@tthelonevvolff</v>
      </c>
      <c r="C10721" s="8" t="s">
        <v>4587</v>
      </c>
      <c r="D10721" s="8">
        <v>0</v>
      </c>
      <c r="E10721" s="8">
        <v>0</v>
      </c>
      <c r="F10721" s="8">
        <v>831</v>
      </c>
    </row>
    <row r="10722" spans="1:6" ht="12.75">
      <c r="A10722" s="8">
        <v>43899.999918981484</v>
      </c>
      <c r="B10722" s="8" t="str">
        <f>HYPERLINK("https://twitter.com/Suryapr37700870","@Suryapr37700870")</f>
        <v>@Suryapr37700870</v>
      </c>
      <c r="C10722" s="8" t="s">
        <v>4588</v>
      </c>
      <c r="D10722" s="8">
        <v>2</v>
      </c>
      <c r="E10722" s="8">
        <v>0</v>
      </c>
      <c r="F10722" s="8">
        <v>668</v>
      </c>
    </row>
    <row r="10723" spans="1:6" ht="12.75">
      <c r="A10723" s="8">
        <v>43899.999675925923</v>
      </c>
      <c r="B10723" s="8" t="str">
        <f>HYPERLINK("https://twitter.com/tekarok007","@tekarok007")</f>
        <v>@tekarok007</v>
      </c>
      <c r="C10723" s="8" t="s">
        <v>4589</v>
      </c>
      <c r="D10723" s="8">
        <v>0</v>
      </c>
      <c r="E10723" s="8">
        <v>0</v>
      </c>
      <c r="F10723" s="8">
        <v>184</v>
      </c>
    </row>
    <row r="10724" spans="1:6" ht="12.75">
      <c r="A10724" s="8">
        <v>43899.999583333338</v>
      </c>
      <c r="B10724" s="8" t="str">
        <f>HYPERLINK("https://twitter.com/vikas5572","@vikas5572")</f>
        <v>@vikas5572</v>
      </c>
      <c r="C10724" s="8" t="s">
        <v>1808</v>
      </c>
      <c r="D10724" s="8">
        <v>738</v>
      </c>
      <c r="E10724" s="8">
        <v>0</v>
      </c>
      <c r="F10724" s="8">
        <v>86</v>
      </c>
    </row>
    <row r="10725" spans="1:6" ht="12.75">
      <c r="A10725" s="8">
        <v>43899.999328703707</v>
      </c>
      <c r="B10725" s="8" t="str">
        <f>HYPERLINK("https://twitter.com/syamirfandi","@syamirfandi")</f>
        <v>@syamirfandi</v>
      </c>
      <c r="C10725" s="8" t="s">
        <v>3601</v>
      </c>
      <c r="D10725" s="8">
        <v>1</v>
      </c>
      <c r="E10725" s="8">
        <v>0</v>
      </c>
      <c r="F10725" s="8">
        <v>61</v>
      </c>
    </row>
    <row r="10726" spans="1:6" ht="12.75">
      <c r="A10726" s="8">
        <v>43899.99927083333</v>
      </c>
      <c r="B10726" s="8" t="str">
        <f>HYPERLINK("https://twitter.com/shailajavellank","@shailajavellank")</f>
        <v>@shailajavellank</v>
      </c>
      <c r="C10726" s="8" t="s">
        <v>1957</v>
      </c>
      <c r="D10726" s="8">
        <v>1208</v>
      </c>
      <c r="E10726" s="8">
        <v>0</v>
      </c>
      <c r="F10726" s="8">
        <v>33</v>
      </c>
    </row>
    <row r="10727" spans="1:6" ht="12.75">
      <c r="A10727" s="8">
        <v>43899.998819444445</v>
      </c>
      <c r="B10727" s="8" t="str">
        <f>HYPERLINK("https://twitter.com/Rajtiwari1709","@Rajtiwari1709")</f>
        <v>@Rajtiwari1709</v>
      </c>
      <c r="C10727" s="8" t="s">
        <v>1957</v>
      </c>
      <c r="D10727" s="8">
        <v>1208</v>
      </c>
      <c r="E10727" s="8">
        <v>0</v>
      </c>
      <c r="F10727" s="8">
        <v>196</v>
      </c>
    </row>
    <row r="10728" spans="1:6" ht="12.75">
      <c r="A10728" s="8">
        <v>43899.998796296291</v>
      </c>
      <c r="B10728" s="8" t="str">
        <f t="shared" ref="B10728:B10729" si="181">HYPERLINK("https://twitter.com/syamirfandi","@syamirfandi")</f>
        <v>@syamirfandi</v>
      </c>
      <c r="C10728" s="8" t="s">
        <v>3604</v>
      </c>
      <c r="D10728" s="8">
        <v>1</v>
      </c>
      <c r="E10728" s="8">
        <v>0</v>
      </c>
      <c r="F10728" s="8">
        <v>61</v>
      </c>
    </row>
    <row r="10729" spans="1:6" ht="12.75">
      <c r="A10729" s="8">
        <v>43899.998715277776</v>
      </c>
      <c r="B10729" s="8" t="str">
        <f t="shared" si="181"/>
        <v>@syamirfandi</v>
      </c>
      <c r="C10729" s="8" t="s">
        <v>3603</v>
      </c>
      <c r="D10729" s="8">
        <v>1</v>
      </c>
      <c r="E10729" s="8">
        <v>0</v>
      </c>
      <c r="F10729" s="8">
        <v>61</v>
      </c>
    </row>
    <row r="10730" spans="1:6" ht="12.75">
      <c r="A10730" s="8">
        <v>43899.998553240745</v>
      </c>
      <c r="B10730" s="8" t="str">
        <f>HYPERLINK("https://twitter.com/JakartaStar","@JakartaStar")</f>
        <v>@JakartaStar</v>
      </c>
      <c r="C10730" s="8" t="s">
        <v>4590</v>
      </c>
      <c r="D10730" s="8">
        <v>9</v>
      </c>
      <c r="E10730" s="8">
        <v>0</v>
      </c>
      <c r="F10730" s="8">
        <v>5717</v>
      </c>
    </row>
    <row r="10731" spans="1:6" ht="12.75">
      <c r="A10731" s="8">
        <v>43899.998518518521</v>
      </c>
      <c r="B10731" s="8" t="str">
        <f>HYPERLINK("https://twitter.com/_DharmaTalkies_","@_DharmaTalkies_")</f>
        <v>@_DharmaTalkies_</v>
      </c>
      <c r="C10731" s="8" t="s">
        <v>1957</v>
      </c>
      <c r="D10731" s="8">
        <v>1208</v>
      </c>
      <c r="E10731" s="8">
        <v>0</v>
      </c>
      <c r="F10731" s="8">
        <v>188</v>
      </c>
    </row>
    <row r="10732" spans="1:6" ht="12.75">
      <c r="A10732" s="8">
        <v>43899.997696759259</v>
      </c>
      <c r="B10732" s="8" t="str">
        <f>HYPERLINK("https://twitter.com/rameshzy","@rameshzy")</f>
        <v>@rameshzy</v>
      </c>
      <c r="C10732" s="8" t="s">
        <v>1957</v>
      </c>
      <c r="D10732" s="8">
        <v>1208</v>
      </c>
      <c r="E10732" s="8">
        <v>0</v>
      </c>
      <c r="F10732" s="8">
        <v>244</v>
      </c>
    </row>
    <row r="10733" spans="1:6" ht="12.75">
      <c r="A10733" s="8">
        <v>43899.997291666667</v>
      </c>
      <c r="B10733" s="8" t="str">
        <f>HYPERLINK("https://twitter.com/RohitPa18647353","@RohitPa18647353")</f>
        <v>@RohitPa18647353</v>
      </c>
      <c r="C10733" s="8" t="s">
        <v>1957</v>
      </c>
      <c r="D10733" s="8">
        <v>1208</v>
      </c>
      <c r="E10733" s="8">
        <v>0</v>
      </c>
      <c r="F10733" s="8">
        <v>9</v>
      </c>
    </row>
    <row r="10734" spans="1:6" ht="12.75">
      <c r="A10734" s="8">
        <v>43899.996689814812</v>
      </c>
      <c r="B10734" s="8" t="str">
        <f>HYPERLINK("https://twitter.com/kamesh_gadia","@kamesh_gadia")</f>
        <v>@kamesh_gadia</v>
      </c>
      <c r="C10734" s="8" t="s">
        <v>1957</v>
      </c>
      <c r="D10734" s="8">
        <v>1208</v>
      </c>
      <c r="E10734" s="8">
        <v>0</v>
      </c>
      <c r="F10734" s="8">
        <v>2378</v>
      </c>
    </row>
    <row r="10735" spans="1:6" ht="12.75">
      <c r="A10735" s="8">
        <v>43899.996504629627</v>
      </c>
      <c r="B10735" s="8" t="str">
        <f>HYPERLINK("https://twitter.com/Baktinegeri01","@Baktinegeri01")</f>
        <v>@Baktinegeri01</v>
      </c>
      <c r="C10735" s="8" t="s">
        <v>4591</v>
      </c>
      <c r="D10735" s="8">
        <v>28</v>
      </c>
      <c r="E10735" s="8">
        <v>0</v>
      </c>
      <c r="F10735" s="8">
        <v>846</v>
      </c>
    </row>
    <row r="10736" spans="1:6" ht="12.75">
      <c r="A10736" s="8">
        <v>43899.99628472222</v>
      </c>
      <c r="B10736" s="8" t="str">
        <f>HYPERLINK("https://twitter.com/KaveriThiyagara","@KaveriThiyagara")</f>
        <v>@KaveriThiyagara</v>
      </c>
      <c r="C10736" s="8" t="s">
        <v>1917</v>
      </c>
      <c r="D10736" s="8">
        <v>1507</v>
      </c>
      <c r="E10736" s="8">
        <v>0</v>
      </c>
      <c r="F10736" s="8">
        <v>620</v>
      </c>
    </row>
    <row r="10737" spans="1:6" ht="12.75">
      <c r="A10737" s="8">
        <v>43899.995833333334</v>
      </c>
      <c r="B10737" s="8" t="str">
        <f>HYPERLINK("https://twitter.com/nocountry4women","@nocountry4women")</f>
        <v>@nocountry4women</v>
      </c>
      <c r="C10737" s="8" t="s">
        <v>1808</v>
      </c>
      <c r="D10737" s="8">
        <v>738</v>
      </c>
      <c r="E10737" s="8">
        <v>0</v>
      </c>
      <c r="F10737" s="8">
        <v>549</v>
      </c>
    </row>
    <row r="10738" spans="1:6" ht="12.75">
      <c r="A10738" s="8">
        <v>43899.995798611111</v>
      </c>
      <c r="B10738" s="8" t="str">
        <f>HYPERLINK("https://twitter.com/potholemumbai","@potholemumbai")</f>
        <v>@potholemumbai</v>
      </c>
      <c r="C10738" s="8" t="s">
        <v>1957</v>
      </c>
      <c r="D10738" s="8">
        <v>1208</v>
      </c>
      <c r="E10738" s="8">
        <v>0</v>
      </c>
      <c r="F10738" s="8">
        <v>163</v>
      </c>
    </row>
    <row r="10739" spans="1:6" ht="12.75">
      <c r="A10739" s="8">
        <v>43899.995659722219</v>
      </c>
      <c r="B10739" s="8" t="str">
        <f>HYPERLINK("https://twitter.com/AloelAsheen","@AloelAsheen")</f>
        <v>@AloelAsheen</v>
      </c>
      <c r="C10739" s="8" t="s">
        <v>3265</v>
      </c>
      <c r="D10739" s="8">
        <v>545</v>
      </c>
      <c r="E10739" s="8">
        <v>0</v>
      </c>
      <c r="F10739" s="8">
        <v>28</v>
      </c>
    </row>
    <row r="10740" spans="1:6" ht="12.75">
      <c r="A10740" s="8">
        <v>43899.994849537034</v>
      </c>
      <c r="B10740" s="8" t="str">
        <f>HYPERLINK("https://twitter.com/RamanaSuresh","@RamanaSuresh")</f>
        <v>@RamanaSuresh</v>
      </c>
      <c r="C10740" s="8" t="s">
        <v>1957</v>
      </c>
      <c r="D10740" s="8">
        <v>1208</v>
      </c>
      <c r="E10740" s="8">
        <v>0</v>
      </c>
      <c r="F10740" s="8">
        <v>5328</v>
      </c>
    </row>
    <row r="10741" spans="1:6" ht="12.75">
      <c r="A10741" s="8">
        <v>43899.994814814811</v>
      </c>
      <c r="B10741" s="8" t="str">
        <f>HYPERLINK("https://twitter.com/RMOLNetwork","@RMOLNetwork")</f>
        <v>@RMOLNetwork</v>
      </c>
      <c r="C10741" s="8" t="s">
        <v>4588</v>
      </c>
      <c r="D10741" s="8">
        <v>2</v>
      </c>
      <c r="E10741" s="8">
        <v>0</v>
      </c>
      <c r="F10741" s="8">
        <v>5488</v>
      </c>
    </row>
    <row r="10742" spans="1:6" ht="12.75">
      <c r="A10742" s="8">
        <v>43899.994664351849</v>
      </c>
      <c r="B10742" s="8" t="str">
        <f>HYPERLINK("https://twitter.com/RananTurnip","@RananTurnip")</f>
        <v>@RananTurnip</v>
      </c>
      <c r="C10742" s="8" t="s">
        <v>4592</v>
      </c>
      <c r="D10742" s="8">
        <v>0</v>
      </c>
      <c r="E10742" s="8">
        <v>0</v>
      </c>
      <c r="F10742" s="8">
        <v>147</v>
      </c>
    </row>
    <row r="10743" spans="1:6" ht="12.75">
      <c r="A10743" s="8">
        <v>43899.994537037041</v>
      </c>
      <c r="B10743" s="8" t="str">
        <f>HYPERLINK("https://twitter.com/rmolsumsel","@rmolsumsel")</f>
        <v>@rmolsumsel</v>
      </c>
      <c r="C10743" s="8" t="s">
        <v>4593</v>
      </c>
      <c r="D10743" s="8">
        <v>2</v>
      </c>
      <c r="E10743" s="8">
        <v>0</v>
      </c>
      <c r="F10743" s="8">
        <v>1970</v>
      </c>
    </row>
    <row r="10744" spans="1:6" ht="12.75">
      <c r="A10744" s="8">
        <v>43899.993923611109</v>
      </c>
      <c r="B10744" s="8" t="str">
        <f>HYPERLINK("https://twitter.com/ModifidBhaaarat","@ModifidBhaaarat")</f>
        <v>@ModifidBhaaarat</v>
      </c>
      <c r="C10744" s="8" t="s">
        <v>1808</v>
      </c>
      <c r="D10744" s="8">
        <v>738</v>
      </c>
      <c r="E10744" s="8">
        <v>0</v>
      </c>
      <c r="F10744" s="8">
        <v>9067</v>
      </c>
    </row>
    <row r="10745" spans="1:6" ht="12.75">
      <c r="A10745" s="8">
        <v>43899.993495370371</v>
      </c>
      <c r="B10745" s="8" t="str">
        <f>HYPERLINK("https://twitter.com/PMShah87","@PMShah87")</f>
        <v>@PMShah87</v>
      </c>
      <c r="C10745" s="8" t="s">
        <v>1808</v>
      </c>
      <c r="D10745" s="8">
        <v>738</v>
      </c>
      <c r="E10745" s="8">
        <v>0</v>
      </c>
      <c r="F10745" s="8">
        <v>120</v>
      </c>
    </row>
    <row r="10746" spans="1:6" ht="12.75">
      <c r="A10746" s="8">
        <v>43899.993136574078</v>
      </c>
      <c r="B10746" s="8" t="str">
        <f>HYPERLINK("https://twitter.com/GeoCivicTechie","@GeoCivicTechie")</f>
        <v>@GeoCivicTechie</v>
      </c>
      <c r="C10746" s="8" t="s">
        <v>1957</v>
      </c>
      <c r="D10746" s="8">
        <v>1208</v>
      </c>
      <c r="E10746" s="8">
        <v>0</v>
      </c>
      <c r="F10746" s="8">
        <v>3879</v>
      </c>
    </row>
    <row r="10747" spans="1:6" ht="12.75">
      <c r="A10747" s="8">
        <v>43899.992650462962</v>
      </c>
      <c r="B10747" s="8" t="str">
        <f>HYPERLINK("https://twitter.com/MUKESHPITTY","@MUKESHPITTY")</f>
        <v>@MUKESHPITTY</v>
      </c>
      <c r="C10747" s="8" t="s">
        <v>4594</v>
      </c>
      <c r="D10747" s="8">
        <v>0</v>
      </c>
      <c r="E10747" s="8">
        <v>0</v>
      </c>
      <c r="F10747" s="8">
        <v>107</v>
      </c>
    </row>
    <row r="10748" spans="1:6" ht="12.75">
      <c r="A10748" s="8">
        <v>43899.992534722223</v>
      </c>
      <c r="B10748" s="8" t="str">
        <f>HYPERLINK("https://twitter.com/Vikas1Diwakar","@Vikas1Diwakar")</f>
        <v>@Vikas1Diwakar</v>
      </c>
      <c r="C10748" s="8" t="s">
        <v>1957</v>
      </c>
      <c r="D10748" s="8">
        <v>1208</v>
      </c>
      <c r="E10748" s="8">
        <v>0</v>
      </c>
      <c r="F10748" s="8">
        <v>69</v>
      </c>
    </row>
    <row r="10749" spans="1:6" ht="12.75">
      <c r="A10749" s="8">
        <v>43899.991944444446</v>
      </c>
      <c r="B10749" s="8" t="str">
        <f>HYPERLINK("https://twitter.com/avinash_mailme","@avinash_mailme")</f>
        <v>@avinash_mailme</v>
      </c>
      <c r="C10749" s="8" t="s">
        <v>1957</v>
      </c>
      <c r="D10749" s="8">
        <v>1208</v>
      </c>
      <c r="E10749" s="8">
        <v>0</v>
      </c>
      <c r="F10749" s="8">
        <v>1108</v>
      </c>
    </row>
    <row r="10750" spans="1:6" ht="12.75">
      <c r="A10750" s="8">
        <v>43899.9919212963</v>
      </c>
      <c r="B10750" s="8" t="str">
        <f>HYPERLINK("https://twitter.com/PoisonOfChoice","@PoisonOfChoice")</f>
        <v>@PoisonOfChoice</v>
      </c>
      <c r="C10750" s="8" t="s">
        <v>1808</v>
      </c>
      <c r="D10750" s="8">
        <v>738</v>
      </c>
      <c r="E10750" s="8">
        <v>0</v>
      </c>
      <c r="F10750" s="8">
        <v>1898</v>
      </c>
    </row>
    <row r="10751" spans="1:6" ht="12.75">
      <c r="A10751" s="8">
        <v>43899.991851851853</v>
      </c>
      <c r="B10751" s="8" t="str">
        <f>HYPERLINK("https://twitter.com/avinash_mailme","@avinash_mailme")</f>
        <v>@avinash_mailme</v>
      </c>
      <c r="C10751" s="8" t="s">
        <v>1808</v>
      </c>
      <c r="D10751" s="8">
        <v>738</v>
      </c>
      <c r="E10751" s="8">
        <v>0</v>
      </c>
      <c r="F10751" s="8">
        <v>1108</v>
      </c>
    </row>
    <row r="10752" spans="1:6" ht="12.75">
      <c r="A10752" s="8">
        <v>43899.991770833338</v>
      </c>
      <c r="B10752" s="8" t="str">
        <f>HYPERLINK("https://twitter.com/sunilarab","@sunilarab")</f>
        <v>@sunilarab</v>
      </c>
      <c r="C10752" s="8" t="s">
        <v>1957</v>
      </c>
      <c r="D10752" s="8">
        <v>1208</v>
      </c>
      <c r="E10752" s="8">
        <v>0</v>
      </c>
      <c r="F10752" s="8">
        <v>234</v>
      </c>
    </row>
    <row r="10753" spans="1:6" ht="12.75">
      <c r="A10753" s="8">
        <v>43899.991562499999</v>
      </c>
      <c r="B10753" s="8" t="str">
        <f>HYPERLINK("https://twitter.com/Dakshinhindu","@Dakshinhindu")</f>
        <v>@Dakshinhindu</v>
      </c>
      <c r="C10753" s="8" t="s">
        <v>1957</v>
      </c>
      <c r="D10753" s="8">
        <v>1208</v>
      </c>
      <c r="E10753" s="8">
        <v>0</v>
      </c>
      <c r="F10753" s="8">
        <v>91</v>
      </c>
    </row>
    <row r="10754" spans="1:6" ht="12.75">
      <c r="A10754" s="8">
        <v>43899.991423611107</v>
      </c>
      <c r="B10754" s="8" t="str">
        <f>HYPERLINK("https://twitter.com/dhruvsharmaits1","@dhruvsharmaits1")</f>
        <v>@dhruvsharmaits1</v>
      </c>
      <c r="C10754" s="8" t="s">
        <v>1957</v>
      </c>
      <c r="D10754" s="8">
        <v>1208</v>
      </c>
      <c r="E10754" s="8">
        <v>0</v>
      </c>
      <c r="F10754" s="8">
        <v>367</v>
      </c>
    </row>
    <row r="10755" spans="1:6" ht="12.75">
      <c r="A10755" s="8">
        <v>43899.991354166668</v>
      </c>
      <c r="B10755" s="8" t="str">
        <f>HYPERLINK("https://twitter.com/radiosgpfm","@radiosgpfm")</f>
        <v>@radiosgpfm</v>
      </c>
      <c r="C10755" s="8" t="s">
        <v>4022</v>
      </c>
      <c r="D10755" s="8">
        <v>0</v>
      </c>
      <c r="E10755" s="8">
        <v>0</v>
      </c>
      <c r="F10755" s="8">
        <v>11</v>
      </c>
    </row>
    <row r="10756" spans="1:6" ht="12.75">
      <c r="A10756" s="8">
        <v>43899.991261574076</v>
      </c>
      <c r="B10756" s="8" t="str">
        <f>HYPERLINK("https://twitter.com/ddmrake","@ddmrake")</f>
        <v>@ddmrake</v>
      </c>
      <c r="C10756" s="8" t="s">
        <v>1957</v>
      </c>
      <c r="D10756" s="8">
        <v>1208</v>
      </c>
      <c r="E10756" s="8">
        <v>0</v>
      </c>
      <c r="F10756" s="8">
        <v>4</v>
      </c>
    </row>
    <row r="10757" spans="1:6" ht="12.75">
      <c r="A10757" s="8">
        <v>43899.990624999999</v>
      </c>
      <c r="B10757" s="8" t="str">
        <f>HYPERLINK("https://twitter.com/abak_zawil","@abak_zawil")</f>
        <v>@abak_zawil</v>
      </c>
      <c r="C10757" s="8" t="s">
        <v>318</v>
      </c>
      <c r="D10757" s="8">
        <v>13</v>
      </c>
      <c r="E10757" s="8">
        <v>0</v>
      </c>
      <c r="F10757" s="8">
        <v>776</v>
      </c>
    </row>
    <row r="10758" spans="1:6" ht="12.75">
      <c r="A10758" s="8">
        <v>43899.99019675926</v>
      </c>
      <c r="B10758" s="8" t="str">
        <f>HYPERLINK("https://twitter.com/ricky4763","@ricky4763")</f>
        <v>@ricky4763</v>
      </c>
      <c r="C10758" s="8" t="s">
        <v>3262</v>
      </c>
      <c r="D10758" s="8">
        <v>211</v>
      </c>
      <c r="E10758" s="8">
        <v>0</v>
      </c>
      <c r="F10758" s="8">
        <v>1344</v>
      </c>
    </row>
    <row r="10759" spans="1:6" ht="12.75">
      <c r="A10759" s="8">
        <v>43899.99018518519</v>
      </c>
      <c r="B10759" s="8" t="str">
        <f>HYPERLINK("https://twitter.com/GentBear","@GentBear")</f>
        <v>@GentBear</v>
      </c>
      <c r="C10759" s="8" t="s">
        <v>1957</v>
      </c>
      <c r="D10759" s="8">
        <v>1208</v>
      </c>
      <c r="E10759" s="8">
        <v>0</v>
      </c>
      <c r="F10759" s="8">
        <v>39</v>
      </c>
    </row>
    <row r="10760" spans="1:6" ht="12.75">
      <c r="A10760" s="8">
        <v>43899.989212962959</v>
      </c>
      <c r="B10760" s="8" t="str">
        <f>HYPERLINK("https://twitter.com/pedjuangnkri","@pedjuangnkri")</f>
        <v>@pedjuangnkri</v>
      </c>
      <c r="C10760" s="8" t="s">
        <v>3262</v>
      </c>
      <c r="D10760" s="8">
        <v>211</v>
      </c>
      <c r="E10760" s="8">
        <v>0</v>
      </c>
      <c r="F10760" s="8">
        <v>157</v>
      </c>
    </row>
    <row r="10761" spans="1:6" ht="12.75">
      <c r="A10761" s="8">
        <v>43899.989108796297</v>
      </c>
      <c r="B10761" s="8" t="str">
        <f>HYPERLINK("https://twitter.com/vps_sng","@vps_sng")</f>
        <v>@vps_sng</v>
      </c>
      <c r="C10761" s="8" t="s">
        <v>1808</v>
      </c>
      <c r="D10761" s="8">
        <v>738</v>
      </c>
      <c r="E10761" s="8">
        <v>0</v>
      </c>
      <c r="F10761" s="8">
        <v>56</v>
      </c>
    </row>
    <row r="10762" spans="1:6" ht="12.75">
      <c r="A10762" s="8">
        <v>43899.989016203705</v>
      </c>
      <c r="B10762" s="8" t="str">
        <f>HYPERLINK("https://twitter.com/knpfin","@knpfin")</f>
        <v>@knpfin</v>
      </c>
      <c r="C10762" s="8" t="s">
        <v>1957</v>
      </c>
      <c r="D10762" s="8">
        <v>1208</v>
      </c>
      <c r="E10762" s="8">
        <v>0</v>
      </c>
      <c r="F10762" s="8">
        <v>62</v>
      </c>
    </row>
    <row r="10763" spans="1:6" ht="12.75">
      <c r="A10763" s="8">
        <v>43899.988692129627</v>
      </c>
      <c r="B10763" s="8" t="str">
        <f>HYPERLINK("https://twitter.com/1vishalpandya","@1vishalpandya")</f>
        <v>@1vishalpandya</v>
      </c>
      <c r="C10763" s="8" t="s">
        <v>1957</v>
      </c>
      <c r="D10763" s="8">
        <v>1208</v>
      </c>
      <c r="E10763" s="8">
        <v>0</v>
      </c>
      <c r="F10763" s="8">
        <v>399</v>
      </c>
    </row>
    <row r="10764" spans="1:6" ht="12.75">
      <c r="A10764" s="8">
        <v>43899.988171296296</v>
      </c>
      <c r="B10764" s="8" t="str">
        <f>HYPERLINK("https://twitter.com/SheelaGaikwad6","@SheelaGaikwad6")</f>
        <v>@SheelaGaikwad6</v>
      </c>
      <c r="C10764" s="8" t="s">
        <v>1957</v>
      </c>
      <c r="D10764" s="8">
        <v>1208</v>
      </c>
      <c r="E10764" s="8">
        <v>0</v>
      </c>
      <c r="F10764" s="8">
        <v>512</v>
      </c>
    </row>
    <row r="10765" spans="1:6" ht="12.75">
      <c r="A10765" s="8">
        <v>43899.988032407404</v>
      </c>
      <c r="B10765" s="8" t="str">
        <f>HYPERLINK("https://twitter.com/alpinsi_pandi","@alpinsi_pandi")</f>
        <v>@alpinsi_pandi</v>
      </c>
      <c r="C10765" s="8" t="s">
        <v>4595</v>
      </c>
      <c r="D10765" s="8">
        <v>0</v>
      </c>
      <c r="E10765" s="8">
        <v>2</v>
      </c>
      <c r="F10765" s="8">
        <v>10307</v>
      </c>
    </row>
    <row r="10766" spans="1:6" ht="12.75">
      <c r="A10766" s="8">
        <v>43899.987847222219</v>
      </c>
      <c r="B10766" s="8" t="str">
        <f>HYPERLINK("https://twitter.com/Bhatzubi____","@Bhatzubi____")</f>
        <v>@Bhatzubi____</v>
      </c>
      <c r="C10766" s="8" t="s">
        <v>4596</v>
      </c>
      <c r="D10766" s="8">
        <v>0</v>
      </c>
      <c r="E10766" s="8">
        <v>2</v>
      </c>
      <c r="F10766" s="8">
        <v>111</v>
      </c>
    </row>
    <row r="10767" spans="1:6" ht="12.75">
      <c r="A10767" s="8">
        <v>43899.987638888888</v>
      </c>
      <c r="B10767" s="8" t="str">
        <f>HYPERLINK("https://twitter.com/arena51","@arena51")</f>
        <v>@arena51</v>
      </c>
      <c r="C10767" s="8" t="s">
        <v>318</v>
      </c>
      <c r="D10767" s="8">
        <v>13</v>
      </c>
      <c r="E10767" s="8">
        <v>0</v>
      </c>
      <c r="F10767" s="8">
        <v>1838</v>
      </c>
    </row>
    <row r="10768" spans="1:6" ht="12.75">
      <c r="A10768" s="8">
        <v>43899.987569444449</v>
      </c>
      <c r="B10768" s="8" t="str">
        <f>HYPERLINK("https://twitter.com/fatherofpakland","@fatherofpakland")</f>
        <v>@fatherofpakland</v>
      </c>
      <c r="C10768" s="8" t="s">
        <v>1957</v>
      </c>
      <c r="D10768" s="8">
        <v>1208</v>
      </c>
      <c r="E10768" s="8">
        <v>0</v>
      </c>
      <c r="F10768" s="8">
        <v>132</v>
      </c>
    </row>
    <row r="10769" spans="1:6" ht="12.75">
      <c r="A10769" s="8">
        <v>43899.987303240741</v>
      </c>
      <c r="B10769" s="8" t="str">
        <f>HYPERLINK("https://twitter.com/ibnup077","@ibnup077")</f>
        <v>@ibnup077</v>
      </c>
      <c r="C10769" s="8" t="s">
        <v>318</v>
      </c>
      <c r="D10769" s="8">
        <v>13</v>
      </c>
      <c r="E10769" s="8">
        <v>0</v>
      </c>
      <c r="F10769" s="8">
        <v>378</v>
      </c>
    </row>
    <row r="10770" spans="1:6" ht="12.75">
      <c r="A10770" s="8">
        <v>43899.987256944441</v>
      </c>
      <c r="B10770" s="8" t="str">
        <f>HYPERLINK("https://twitter.com/animalover85","@animalover85")</f>
        <v>@animalover85</v>
      </c>
      <c r="C10770" s="8" t="s">
        <v>1808</v>
      </c>
      <c r="D10770" s="8">
        <v>738</v>
      </c>
      <c r="E10770" s="8">
        <v>0</v>
      </c>
      <c r="F10770" s="8">
        <v>25</v>
      </c>
    </row>
    <row r="10771" spans="1:6" ht="12.75">
      <c r="A10771" s="8">
        <v>43899.987233796295</v>
      </c>
      <c r="B10771" s="8" t="str">
        <f>HYPERLINK("https://twitter.com/wacuduing","@wacuduing")</f>
        <v>@wacuduing</v>
      </c>
      <c r="C10771" s="8" t="s">
        <v>4524</v>
      </c>
      <c r="D10771" s="8">
        <v>19</v>
      </c>
      <c r="E10771" s="8">
        <v>0</v>
      </c>
      <c r="F10771" s="8">
        <v>90</v>
      </c>
    </row>
    <row r="10772" spans="1:6" ht="12.75">
      <c r="A10772" s="8">
        <v>43899.987013888887</v>
      </c>
      <c r="B10772" s="8" t="str">
        <f>HYPERLINK("https://twitter.com/adepedia","@adepedia")</f>
        <v>@adepedia</v>
      </c>
      <c r="C10772" s="8" t="s">
        <v>4597</v>
      </c>
      <c r="D10772" s="8">
        <v>2</v>
      </c>
      <c r="E10772" s="8">
        <v>0</v>
      </c>
      <c r="F10772" s="8">
        <v>1840</v>
      </c>
    </row>
    <row r="10773" spans="1:6" ht="12.75">
      <c r="A10773" s="8">
        <v>43899.986747685187</v>
      </c>
      <c r="B10773" s="8" t="str">
        <f>HYPERLINK("https://twitter.com/germantantra","@germantantra")</f>
        <v>@germantantra</v>
      </c>
      <c r="C10773" s="8" t="s">
        <v>2979</v>
      </c>
      <c r="D10773" s="8">
        <v>249</v>
      </c>
      <c r="E10773" s="8">
        <v>0</v>
      </c>
      <c r="F10773" s="8">
        <v>163</v>
      </c>
    </row>
    <row r="10774" spans="1:6" ht="12.75">
      <c r="A10774" s="8">
        <v>43899.986585648148</v>
      </c>
      <c r="B10774" s="8" t="str">
        <f>HYPERLINK("https://twitter.com/sizzigayatri","@sizzigayatri")</f>
        <v>@sizzigayatri</v>
      </c>
      <c r="C10774" s="8" t="s">
        <v>4598</v>
      </c>
      <c r="D10774" s="8">
        <v>0</v>
      </c>
      <c r="E10774" s="8">
        <v>0</v>
      </c>
      <c r="F10774" s="8">
        <v>26</v>
      </c>
    </row>
    <row r="10775" spans="1:6" ht="12.75">
      <c r="A10775" s="8">
        <v>43899.986273148148</v>
      </c>
      <c r="B10775" s="8" t="str">
        <f>HYPERLINK("https://twitter.com/KontanNews","@KontanNews")</f>
        <v>@KontanNews</v>
      </c>
      <c r="C10775" s="8" t="s">
        <v>4599</v>
      </c>
      <c r="D10775" s="8">
        <v>0</v>
      </c>
      <c r="E10775" s="8">
        <v>0</v>
      </c>
      <c r="F10775" s="8">
        <v>318456</v>
      </c>
    </row>
    <row r="10776" spans="1:6" ht="12.75">
      <c r="A10776" s="8">
        <v>43899.985578703709</v>
      </c>
      <c r="B10776" s="8" t="str">
        <f>HYPERLINK("https://twitter.com/topinfo_id","@topinfo_id")</f>
        <v>@topinfo_id</v>
      </c>
      <c r="C10776" s="8" t="s">
        <v>4600</v>
      </c>
      <c r="D10776" s="8">
        <v>0</v>
      </c>
      <c r="E10776" s="8">
        <v>0</v>
      </c>
      <c r="F10776" s="8">
        <v>77</v>
      </c>
    </row>
    <row r="10777" spans="1:6" ht="12.75">
      <c r="A10777" s="8">
        <v>43899.985543981486</v>
      </c>
      <c r="B10777" s="8" t="str">
        <f>HYPERLINK("https://twitter.com/DaraManisku20","@DaraManisku20")</f>
        <v>@DaraManisku20</v>
      </c>
      <c r="C10777" s="8" t="s">
        <v>4068</v>
      </c>
      <c r="D10777" s="8">
        <v>21</v>
      </c>
      <c r="E10777" s="8">
        <v>0</v>
      </c>
      <c r="F10777" s="8">
        <v>452</v>
      </c>
    </row>
    <row r="10778" spans="1:6" ht="12.75">
      <c r="A10778" s="8">
        <v>43899.985324074078</v>
      </c>
      <c r="B10778" s="8" t="str">
        <f>HYPERLINK("https://twitter.com/astraloka","@astraloka")</f>
        <v>@astraloka</v>
      </c>
      <c r="C10778" s="8" t="s">
        <v>4601</v>
      </c>
      <c r="D10778" s="8">
        <v>0</v>
      </c>
      <c r="E10778" s="8">
        <v>0</v>
      </c>
      <c r="F10778" s="8">
        <v>24</v>
      </c>
    </row>
    <row r="10779" spans="1:6" ht="12.75">
      <c r="A10779" s="8">
        <v>43899.984837962962</v>
      </c>
      <c r="B10779" s="8" t="str">
        <f>HYPERLINK("https://twitter.com/Prasad","@Prasad")</f>
        <v>@Prasad</v>
      </c>
      <c r="C10779" s="8" t="s">
        <v>1957</v>
      </c>
      <c r="D10779" s="8">
        <v>1208</v>
      </c>
      <c r="E10779" s="8">
        <v>0</v>
      </c>
      <c r="F10779" s="8">
        <v>1539</v>
      </c>
    </row>
    <row r="10780" spans="1:6" ht="12.75">
      <c r="A10780" s="8">
        <v>43899.984571759254</v>
      </c>
      <c r="B10780" s="8" t="str">
        <f>HYPERLINK("https://twitter.com/vslokhande","@vslokhande")</f>
        <v>@vslokhande</v>
      </c>
      <c r="C10780" s="8" t="s">
        <v>1808</v>
      </c>
      <c r="D10780" s="8">
        <v>738</v>
      </c>
      <c r="E10780" s="8">
        <v>0</v>
      </c>
      <c r="F10780" s="8">
        <v>229</v>
      </c>
    </row>
    <row r="10781" spans="1:6" ht="12.75">
      <c r="A10781" s="8">
        <v>43899.9841087963</v>
      </c>
      <c r="B10781" s="8" t="str">
        <f>HYPERLINK("https://twitter.com/harilalwala","@harilalwala")</f>
        <v>@harilalwala</v>
      </c>
      <c r="C10781" s="8" t="s">
        <v>1957</v>
      </c>
      <c r="D10781" s="8">
        <v>1208</v>
      </c>
      <c r="E10781" s="8">
        <v>0</v>
      </c>
      <c r="F10781" s="8">
        <v>48</v>
      </c>
    </row>
    <row r="10782" spans="1:6" ht="12.75">
      <c r="A10782" s="8">
        <v>43899.983993055561</v>
      </c>
      <c r="B10782" s="8" t="str">
        <f>HYPERLINK("https://twitter.com/Ornamentalistb","@Ornamentalistb")</f>
        <v>@Ornamentalistb</v>
      </c>
      <c r="C10782" s="8" t="s">
        <v>1957</v>
      </c>
      <c r="D10782" s="8">
        <v>1208</v>
      </c>
      <c r="E10782" s="8">
        <v>0</v>
      </c>
      <c r="F10782" s="8">
        <v>23</v>
      </c>
    </row>
    <row r="10783" spans="1:6" ht="12.75">
      <c r="A10783" s="8">
        <v>43899.983761574069</v>
      </c>
      <c r="B10783" s="8" t="str">
        <f>HYPERLINK("https://twitter.com/NathTeerth","@NathTeerth")</f>
        <v>@NathTeerth</v>
      </c>
      <c r="C10783" s="8" t="s">
        <v>1808</v>
      </c>
      <c r="D10783" s="8">
        <v>738</v>
      </c>
      <c r="E10783" s="8">
        <v>0</v>
      </c>
      <c r="F10783" s="8">
        <v>378</v>
      </c>
    </row>
    <row r="10784" spans="1:6" ht="12.75">
      <c r="A10784" s="8">
        <v>43899.983506944445</v>
      </c>
      <c r="B10784" s="8" t="str">
        <f>HYPERLINK("https://twitter.com/rakns","@rakns")</f>
        <v>@rakns</v>
      </c>
      <c r="C10784" s="8" t="s">
        <v>1957</v>
      </c>
      <c r="D10784" s="8">
        <v>1208</v>
      </c>
      <c r="E10784" s="8">
        <v>0</v>
      </c>
      <c r="F10784" s="8">
        <v>229</v>
      </c>
    </row>
    <row r="10785" spans="1:6" ht="12.75">
      <c r="A10785" s="8">
        <v>43899.98332175926</v>
      </c>
      <c r="B10785" s="8" t="str">
        <f>HYPERLINK("https://twitter.com/Bimasenna","@Bimasenna")</f>
        <v>@Bimasenna</v>
      </c>
      <c r="C10785" s="8" t="s">
        <v>4597</v>
      </c>
      <c r="D10785" s="8">
        <v>2</v>
      </c>
      <c r="E10785" s="8">
        <v>0</v>
      </c>
      <c r="F10785" s="8">
        <v>136</v>
      </c>
    </row>
    <row r="10786" spans="1:6" ht="12.75">
      <c r="A10786" s="8">
        <v>43899.983263888891</v>
      </c>
      <c r="B10786" s="8" t="str">
        <f>HYPERLINK("https://twitter.com/nitu2468","@nitu2468")</f>
        <v>@nitu2468</v>
      </c>
      <c r="C10786" s="8" t="s">
        <v>1957</v>
      </c>
      <c r="D10786" s="8">
        <v>1208</v>
      </c>
      <c r="E10786" s="8">
        <v>0</v>
      </c>
      <c r="F10786" s="8">
        <v>416</v>
      </c>
    </row>
    <row r="10787" spans="1:6" ht="12.75">
      <c r="A10787" s="8">
        <v>43899.983101851853</v>
      </c>
      <c r="B10787" s="8" t="str">
        <f>HYPERLINK("https://twitter.com/iVimalPandey","@iVimalPandey")</f>
        <v>@iVimalPandey</v>
      </c>
      <c r="C10787" s="8" t="s">
        <v>1957</v>
      </c>
      <c r="D10787" s="8">
        <v>1208</v>
      </c>
      <c r="E10787" s="8">
        <v>0</v>
      </c>
      <c r="F10787" s="8">
        <v>373</v>
      </c>
    </row>
    <row r="10788" spans="1:6" ht="12.75">
      <c r="A10788" s="8">
        <v>43899.982974537037</v>
      </c>
      <c r="B10788" s="8" t="str">
        <f>HYPERLINK("https://twitter.com/ek_aalu_bonda","@ek_aalu_bonda")</f>
        <v>@ek_aalu_bonda</v>
      </c>
      <c r="C10788" s="8" t="s">
        <v>1808</v>
      </c>
      <c r="D10788" s="8">
        <v>738</v>
      </c>
      <c r="E10788" s="8">
        <v>0</v>
      </c>
      <c r="F10788" s="8">
        <v>9527</v>
      </c>
    </row>
    <row r="10789" spans="1:6" ht="12.75">
      <c r="A10789" s="8">
        <v>43899.982974537037</v>
      </c>
      <c r="B10789" s="8" t="str">
        <f>HYPERLINK("https://twitter.com/Patil_Office","@Patil_Office")</f>
        <v>@Patil_Office</v>
      </c>
      <c r="C10789" s="8" t="s">
        <v>1957</v>
      </c>
      <c r="D10789" s="8">
        <v>1208</v>
      </c>
      <c r="E10789" s="8">
        <v>0</v>
      </c>
      <c r="F10789" s="8">
        <v>69</v>
      </c>
    </row>
    <row r="10790" spans="1:6" ht="12.75">
      <c r="A10790" s="8">
        <v>43899.982928240745</v>
      </c>
      <c r="B10790" s="8" t="str">
        <f>HYPERLINK("https://twitter.com/RajuSalla5","@RajuSalla5")</f>
        <v>@RajuSalla5</v>
      </c>
      <c r="C10790" s="8" t="s">
        <v>1957</v>
      </c>
      <c r="D10790" s="8">
        <v>1208</v>
      </c>
      <c r="E10790" s="8">
        <v>0</v>
      </c>
      <c r="F10790" s="8">
        <v>55</v>
      </c>
    </row>
    <row r="10791" spans="1:6" ht="12.75">
      <c r="A10791" s="8">
        <v>43899.982673611114</v>
      </c>
      <c r="B10791" s="8" t="str">
        <f>HYPERLINK("https://twitter.com/KontanNews","@KontanNews")</f>
        <v>@KontanNews</v>
      </c>
      <c r="C10791" s="8" t="s">
        <v>4602</v>
      </c>
      <c r="D10791" s="8">
        <v>2</v>
      </c>
      <c r="E10791" s="8">
        <v>2</v>
      </c>
      <c r="F10791" s="8">
        <v>318456</v>
      </c>
    </row>
    <row r="10792" spans="1:6" ht="12.75">
      <c r="A10792" s="8">
        <v>43899.982465277775</v>
      </c>
      <c r="B10792" s="8" t="str">
        <f>HYPERLINK("https://twitter.com/Laxmidh35358655","@Laxmidh35358655")</f>
        <v>@Laxmidh35358655</v>
      </c>
      <c r="C10792" s="8" t="s">
        <v>1957</v>
      </c>
      <c r="D10792" s="8">
        <v>1208</v>
      </c>
      <c r="E10792" s="8">
        <v>0</v>
      </c>
      <c r="F10792" s="8">
        <v>68</v>
      </c>
    </row>
    <row r="10793" spans="1:6" ht="12.75">
      <c r="A10793" s="8">
        <v>43899.982094907406</v>
      </c>
      <c r="B10793" s="8" t="str">
        <f>HYPERLINK("https://twitter.com/RobbyZakaria10","@RobbyZakaria10")</f>
        <v>@RobbyZakaria10</v>
      </c>
      <c r="C10793" s="8" t="s">
        <v>4603</v>
      </c>
      <c r="D10793" s="8">
        <v>0</v>
      </c>
      <c r="E10793" s="8">
        <v>0</v>
      </c>
      <c r="F10793" s="8">
        <v>1145</v>
      </c>
    </row>
    <row r="10794" spans="1:6" ht="12.75">
      <c r="A10794" s="8">
        <v>43899.965046296296</v>
      </c>
      <c r="B10794" s="8" t="str">
        <f>HYPERLINK("https://twitter.com/sanjuc606","@sanjuc606")</f>
        <v>@sanjuc606</v>
      </c>
      <c r="C10794" s="8" t="s">
        <v>1957</v>
      </c>
      <c r="D10794" s="8">
        <v>1128</v>
      </c>
      <c r="E10794" s="8">
        <v>0</v>
      </c>
      <c r="F10794" s="8">
        <v>26</v>
      </c>
    </row>
    <row r="10795" spans="1:6" ht="12.75">
      <c r="A10795" s="8">
        <v>43899.964999999997</v>
      </c>
      <c r="B10795" s="8" t="str">
        <f>HYPERLINK("https://twitter.com/AddalamarriU","@AddalamarriU")</f>
        <v>@AddalamarriU</v>
      </c>
      <c r="C10795" s="8" t="s">
        <v>1957</v>
      </c>
      <c r="D10795" s="8">
        <v>1128</v>
      </c>
      <c r="E10795" s="8">
        <v>0</v>
      </c>
      <c r="F10795" s="8">
        <v>376</v>
      </c>
    </row>
    <row r="10796" spans="1:6" ht="12.75">
      <c r="A10796" s="8">
        <v>43899.964999999997</v>
      </c>
      <c r="B10796" s="8" t="str">
        <f>HYPERLINK("https://twitter.com/ManishSahgal","@ManishSahgal")</f>
        <v>@ManishSahgal</v>
      </c>
      <c r="C10796" s="8" t="s">
        <v>1957</v>
      </c>
      <c r="D10796" s="8">
        <v>1128</v>
      </c>
      <c r="E10796" s="8">
        <v>0</v>
      </c>
      <c r="F10796" s="8">
        <v>191</v>
      </c>
    </row>
    <row r="10797" spans="1:6" ht="12.75">
      <c r="A10797" s="8">
        <v>43899.964537037042</v>
      </c>
      <c r="B10797" s="8" t="str">
        <f>HYPERLINK("https://twitter.com/MondyJacob","@MondyJacob")</f>
        <v>@MondyJacob</v>
      </c>
      <c r="C10797" s="8" t="s">
        <v>3262</v>
      </c>
      <c r="D10797" s="8">
        <v>208</v>
      </c>
      <c r="E10797" s="8">
        <v>0</v>
      </c>
      <c r="F10797" s="8">
        <v>261</v>
      </c>
    </row>
    <row r="10798" spans="1:6" ht="12.75">
      <c r="A10798" s="8">
        <v>43899.964259259257</v>
      </c>
      <c r="B10798" s="8" t="str">
        <f>HYPERLINK("https://twitter.com/2sosdua1415","@2sosdua1415")</f>
        <v>@2sosdua1415</v>
      </c>
      <c r="C10798" s="8" t="s">
        <v>4542</v>
      </c>
      <c r="D10798" s="8">
        <v>0</v>
      </c>
      <c r="E10798" s="8">
        <v>0</v>
      </c>
      <c r="F10798" s="8">
        <v>854</v>
      </c>
    </row>
    <row r="10799" spans="1:6" ht="12.75">
      <c r="A10799" s="8">
        <v>43899.964247685188</v>
      </c>
      <c r="B10799" s="8" t="str">
        <f>HYPERLINK("https://twitter.com/KundariM","@KundariM")</f>
        <v>@KundariM</v>
      </c>
      <c r="C10799" s="8" t="s">
        <v>4604</v>
      </c>
      <c r="D10799" s="8">
        <v>0</v>
      </c>
      <c r="E10799" s="8">
        <v>0</v>
      </c>
      <c r="F10799" s="8">
        <v>142</v>
      </c>
    </row>
    <row r="10800" spans="1:6" ht="12.75">
      <c r="A10800" s="8">
        <v>43899.96398148148</v>
      </c>
      <c r="B10800" s="8" t="str">
        <f>HYPERLINK("https://twitter.com/humanbe34445575","@humanbe34445575")</f>
        <v>@humanbe34445575</v>
      </c>
      <c r="C10800" s="8" t="s">
        <v>1957</v>
      </c>
      <c r="D10800" s="8">
        <v>1128</v>
      </c>
      <c r="E10800" s="8">
        <v>0</v>
      </c>
      <c r="F10800" s="8">
        <v>127</v>
      </c>
    </row>
    <row r="10801" spans="1:6" ht="12.75">
      <c r="A10801" s="8">
        <v>43899.963726851856</v>
      </c>
      <c r="B10801" s="8" t="str">
        <f>HYPERLINK("https://twitter.com/Ashishtrpathi1","@Ashishtrpathi1")</f>
        <v>@Ashishtrpathi1</v>
      </c>
      <c r="C10801" s="8" t="s">
        <v>1957</v>
      </c>
      <c r="D10801" s="8">
        <v>1128</v>
      </c>
      <c r="E10801" s="8">
        <v>0</v>
      </c>
      <c r="F10801" s="8">
        <v>949</v>
      </c>
    </row>
    <row r="10802" spans="1:6" ht="12.75">
      <c r="A10802" s="8">
        <v>43899.963564814811</v>
      </c>
      <c r="B10802" s="8" t="str">
        <f>HYPERLINK("https://twitter.com/hermawanjsp","@hermawanjsp")</f>
        <v>@hermawanjsp</v>
      </c>
      <c r="C10802" s="8" t="s">
        <v>4290</v>
      </c>
      <c r="D10802" s="8">
        <v>19</v>
      </c>
      <c r="E10802" s="8">
        <v>0</v>
      </c>
      <c r="F10802" s="8">
        <v>1534</v>
      </c>
    </row>
    <row r="10803" spans="1:6" ht="12.75">
      <c r="A10803" s="8">
        <v>43899.963402777779</v>
      </c>
      <c r="B10803" s="8" t="str">
        <f>HYPERLINK("https://twitter.com/mdbsid","@mdbsid")</f>
        <v>@mdbsid</v>
      </c>
      <c r="C10803" s="8" t="s">
        <v>1957</v>
      </c>
      <c r="D10803" s="8">
        <v>1128</v>
      </c>
      <c r="E10803" s="8">
        <v>0</v>
      </c>
      <c r="F10803" s="8">
        <v>1111</v>
      </c>
    </row>
    <row r="10804" spans="1:6" ht="12.75">
      <c r="A10804" s="8">
        <v>43899.963333333333</v>
      </c>
      <c r="B10804" s="8" t="str">
        <f>HYPERLINK("https://twitter.com/arpit_ut","@arpit_ut")</f>
        <v>@arpit_ut</v>
      </c>
      <c r="C10804" s="8" t="s">
        <v>1808</v>
      </c>
      <c r="D10804" s="8">
        <v>704</v>
      </c>
      <c r="E10804" s="8">
        <v>0</v>
      </c>
      <c r="F10804" s="8">
        <v>40</v>
      </c>
    </row>
    <row r="10805" spans="1:6" ht="12.75">
      <c r="A10805" s="8">
        <v>43899.963009259256</v>
      </c>
      <c r="B10805" s="8" t="str">
        <f>HYPERLINK("https://twitter.com/sudar2k","@sudar2k")</f>
        <v>@sudar2k</v>
      </c>
      <c r="C10805" s="8" t="s">
        <v>1808</v>
      </c>
      <c r="D10805" s="8">
        <v>704</v>
      </c>
      <c r="E10805" s="8">
        <v>0</v>
      </c>
      <c r="F10805" s="8">
        <v>2308</v>
      </c>
    </row>
    <row r="10806" spans="1:6" ht="12.75">
      <c r="A10806" s="8">
        <v>43899.962962962964</v>
      </c>
      <c r="B10806" s="8" t="str">
        <f>HYPERLINK("https://twitter.com/DILIPSH30231235","@DILIPSH30231235")</f>
        <v>@DILIPSH30231235</v>
      </c>
      <c r="C10806" s="8" t="s">
        <v>1957</v>
      </c>
      <c r="D10806" s="8">
        <v>1128</v>
      </c>
      <c r="E10806" s="8">
        <v>0</v>
      </c>
      <c r="F10806" s="8">
        <v>27</v>
      </c>
    </row>
    <row r="10807" spans="1:6" ht="12.75">
      <c r="A10807" s="8">
        <v>43899.962256944447</v>
      </c>
      <c r="B10807" s="8" t="str">
        <f>HYPERLINK("https://twitter.com/angga_key","@angga_key")</f>
        <v>@angga_key</v>
      </c>
      <c r="C10807" s="8" t="s">
        <v>4605</v>
      </c>
      <c r="D10807" s="8">
        <v>2</v>
      </c>
      <c r="E10807" s="8">
        <v>0</v>
      </c>
      <c r="F10807" s="8">
        <v>805</v>
      </c>
    </row>
    <row r="10808" spans="1:6" ht="12.75">
      <c r="A10808" s="8">
        <v>43899.962037037039</v>
      </c>
      <c r="B10808" s="8" t="str">
        <f>HYPERLINK("https://twitter.com/NitinGu75947455","@NitinGu75947455")</f>
        <v>@NitinGu75947455</v>
      </c>
      <c r="C10808" s="8" t="s">
        <v>1957</v>
      </c>
      <c r="D10808" s="8">
        <v>1128</v>
      </c>
      <c r="E10808" s="8">
        <v>0</v>
      </c>
      <c r="F10808" s="8">
        <v>13</v>
      </c>
    </row>
    <row r="10809" spans="1:6" ht="12.75">
      <c r="A10809" s="8">
        <v>43899.962013888886</v>
      </c>
      <c r="B10809" s="8" t="str">
        <f>HYPERLINK("https://twitter.com/peachopie","@peachopie")</f>
        <v>@peachopie</v>
      </c>
      <c r="C10809" s="8" t="s">
        <v>4606</v>
      </c>
      <c r="D10809" s="8">
        <v>0</v>
      </c>
      <c r="E10809" s="8">
        <v>0</v>
      </c>
      <c r="F10809" s="8">
        <v>315</v>
      </c>
    </row>
    <row r="10810" spans="1:6" ht="12.75">
      <c r="A10810" s="8">
        <v>43899.961770833332</v>
      </c>
      <c r="B10810" s="8" t="str">
        <f>HYPERLINK("https://twitter.com/VijayGowda2016","@VijayGowda2016")</f>
        <v>@VijayGowda2016</v>
      </c>
      <c r="C10810" s="8" t="s">
        <v>1957</v>
      </c>
      <c r="D10810" s="8">
        <v>1128</v>
      </c>
      <c r="E10810" s="8">
        <v>0</v>
      </c>
      <c r="F10810" s="8">
        <v>152</v>
      </c>
    </row>
    <row r="10811" spans="1:6" ht="12.75">
      <c r="A10811" s="8">
        <v>43899.961493055554</v>
      </c>
      <c r="B10811" s="8" t="str">
        <f>HYPERLINK("https://twitter.com/URabelli","@URabelli")</f>
        <v>@URabelli</v>
      </c>
      <c r="C10811" s="8" t="s">
        <v>318</v>
      </c>
      <c r="D10811" s="8">
        <v>6</v>
      </c>
      <c r="E10811" s="8">
        <v>0</v>
      </c>
      <c r="F10811" s="8">
        <v>857</v>
      </c>
    </row>
    <row r="10812" spans="1:6" ht="12.75">
      <c r="A10812" s="8">
        <v>43899.960844907408</v>
      </c>
      <c r="B10812" s="8" t="str">
        <f>HYPERLINK("https://twitter.com/hary717","@hary717")</f>
        <v>@hary717</v>
      </c>
      <c r="C10812" s="8" t="s">
        <v>318</v>
      </c>
      <c r="D10812" s="8">
        <v>6</v>
      </c>
      <c r="E10812" s="8">
        <v>0</v>
      </c>
      <c r="F10812" s="8">
        <v>2495</v>
      </c>
    </row>
    <row r="10813" spans="1:6" ht="12.75">
      <c r="A10813" s="8">
        <v>43899.960439814815</v>
      </c>
      <c r="B10813" s="8" t="str">
        <f>HYPERLINK("https://twitter.com/UrubingDilah","@UrubingDilah")</f>
        <v>@UrubingDilah</v>
      </c>
      <c r="C10813" s="8" t="s">
        <v>4068</v>
      </c>
      <c r="D10813" s="8">
        <v>19</v>
      </c>
      <c r="E10813" s="8">
        <v>0</v>
      </c>
      <c r="F10813" s="8">
        <v>1374</v>
      </c>
    </row>
    <row r="10814" spans="1:6" ht="12.75">
      <c r="A10814" s="8">
        <v>43899.960219907407</v>
      </c>
      <c r="B10814" s="8" t="str">
        <f>HYPERLINK("https://twitter.com/TodayOrAfter","@TodayOrAfter")</f>
        <v>@TodayOrAfter</v>
      </c>
      <c r="C10814" s="8" t="s">
        <v>4607</v>
      </c>
      <c r="D10814" s="8">
        <v>40</v>
      </c>
      <c r="E10814" s="8">
        <v>0</v>
      </c>
      <c r="F10814" s="8">
        <v>136</v>
      </c>
    </row>
    <row r="10815" spans="1:6" ht="12.75">
      <c r="A10815" s="8">
        <v>43899.960115740745</v>
      </c>
      <c r="B10815" s="8" t="str">
        <f>HYPERLINK("https://twitter.com/MunSailor","@MunSailor")</f>
        <v>@MunSailor</v>
      </c>
      <c r="C10815" s="8" t="s">
        <v>4608</v>
      </c>
      <c r="D10815" s="8">
        <v>1</v>
      </c>
      <c r="E10815" s="8">
        <v>0</v>
      </c>
      <c r="F10815" s="8">
        <v>191</v>
      </c>
    </row>
    <row r="10816" spans="1:6" ht="12.75">
      <c r="A10816" s="8">
        <v>43899.960034722222</v>
      </c>
      <c r="B10816" s="8" t="str">
        <f>HYPERLINK("https://twitter.com/ub_Sanath","@ub_Sanath")</f>
        <v>@ub_Sanath</v>
      </c>
      <c r="C10816" s="8" t="s">
        <v>1808</v>
      </c>
      <c r="D10816" s="8">
        <v>704</v>
      </c>
      <c r="E10816" s="8">
        <v>0</v>
      </c>
      <c r="F10816" s="8">
        <v>732</v>
      </c>
    </row>
    <row r="10817" spans="1:6" ht="12.75">
      <c r="A10817" s="8">
        <v>43899.959976851853</v>
      </c>
      <c r="B10817" s="8" t="str">
        <f>HYPERLINK("https://twitter.com/abinyadzaky","@abinyadzaky")</f>
        <v>@abinyadzaky</v>
      </c>
      <c r="C10817" s="8" t="s">
        <v>318</v>
      </c>
      <c r="D10817" s="8">
        <v>6</v>
      </c>
      <c r="E10817" s="8">
        <v>0</v>
      </c>
      <c r="F10817" s="8">
        <v>100</v>
      </c>
    </row>
    <row r="10818" spans="1:6" ht="12.75">
      <c r="A10818" s="8">
        <v>43899.959965277776</v>
      </c>
      <c r="B10818" s="8" t="str">
        <f>HYPERLINK("https://twitter.com/Ravi46937646","@Ravi46937646")</f>
        <v>@Ravi46937646</v>
      </c>
      <c r="C10818" s="8" t="s">
        <v>4609</v>
      </c>
      <c r="D10818" s="8">
        <v>0</v>
      </c>
      <c r="E10818" s="8">
        <v>0</v>
      </c>
      <c r="F10818" s="8">
        <v>16</v>
      </c>
    </row>
    <row r="10819" spans="1:6" ht="12.75">
      <c r="A10819" s="8">
        <v>43899.95994212963</v>
      </c>
      <c r="B10819" s="8" t="str">
        <f>HYPERLINK("https://twitter.com/MardiSiswoyo6","@MardiSiswoyo6")</f>
        <v>@MardiSiswoyo6</v>
      </c>
      <c r="C10819" s="8" t="s">
        <v>4610</v>
      </c>
      <c r="D10819" s="8">
        <v>0</v>
      </c>
      <c r="E10819" s="8">
        <v>1</v>
      </c>
      <c r="F10819" s="8">
        <v>800</v>
      </c>
    </row>
    <row r="10820" spans="1:6" ht="12.75">
      <c r="A10820" s="8">
        <v>43899.959814814814</v>
      </c>
      <c r="B10820" s="8" t="str">
        <f>HYPERLINK("https://twitter.com/Sai67104409","@Sai67104409")</f>
        <v>@Sai67104409</v>
      </c>
      <c r="C10820" s="8" t="s">
        <v>318</v>
      </c>
      <c r="D10820" s="8">
        <v>6</v>
      </c>
      <c r="E10820" s="8">
        <v>0</v>
      </c>
      <c r="F10820" s="8">
        <v>197</v>
      </c>
    </row>
    <row r="10821" spans="1:6" ht="12.75">
      <c r="A10821" s="8">
        <v>43899.959652777776</v>
      </c>
      <c r="B10821" s="8" t="str">
        <f>HYPERLINK("https://twitter.com/sudar2k","@sudar2k")</f>
        <v>@sudar2k</v>
      </c>
      <c r="C10821" s="8" t="s">
        <v>1957</v>
      </c>
      <c r="D10821" s="8">
        <v>1128</v>
      </c>
      <c r="E10821" s="8">
        <v>0</v>
      </c>
      <c r="F10821" s="8">
        <v>2308</v>
      </c>
    </row>
    <row r="10822" spans="1:6" ht="12.75">
      <c r="A10822" s="8">
        <v>43899.959606481483</v>
      </c>
      <c r="B10822" s="8" t="str">
        <f>HYPERLINK("https://twitter.com/vickyku48775947","@vickyku48775947")</f>
        <v>@vickyku48775947</v>
      </c>
      <c r="C10822" s="8" t="s">
        <v>1957</v>
      </c>
      <c r="D10822" s="8">
        <v>1128</v>
      </c>
      <c r="E10822" s="8">
        <v>0</v>
      </c>
      <c r="F10822" s="8">
        <v>2246</v>
      </c>
    </row>
    <row r="10823" spans="1:6" ht="12.75">
      <c r="A10823" s="8">
        <v>43899.959363425922</v>
      </c>
      <c r="B10823" s="8" t="str">
        <f>HYPERLINK("https://twitter.com/DpkVohra","@DpkVohra")</f>
        <v>@DpkVohra</v>
      </c>
      <c r="C10823" s="8" t="s">
        <v>1957</v>
      </c>
      <c r="D10823" s="8">
        <v>1128</v>
      </c>
      <c r="E10823" s="8">
        <v>0</v>
      </c>
      <c r="F10823" s="8">
        <v>450</v>
      </c>
    </row>
    <row r="10824" spans="1:6" ht="12.75">
      <c r="A10824" s="8">
        <v>43899.959236111114</v>
      </c>
      <c r="B10824" s="8" t="str">
        <f>HYPERLINK("https://twitter.com/maklumatID","@maklumatID")</f>
        <v>@maklumatID</v>
      </c>
      <c r="C10824" s="8" t="s">
        <v>4611</v>
      </c>
      <c r="D10824" s="8">
        <v>0</v>
      </c>
      <c r="E10824" s="8">
        <v>0</v>
      </c>
      <c r="F10824" s="8">
        <v>78</v>
      </c>
    </row>
    <row r="10825" spans="1:6" ht="12.75">
      <c r="A10825" s="8">
        <v>43899.959201388891</v>
      </c>
      <c r="B10825" s="8" t="str">
        <f>HYPERLINK("https://twitter.com/Manoj06051696","@Manoj06051696")</f>
        <v>@Manoj06051696</v>
      </c>
      <c r="C10825" s="8" t="s">
        <v>1957</v>
      </c>
      <c r="D10825" s="8">
        <v>1128</v>
      </c>
      <c r="E10825" s="8">
        <v>0</v>
      </c>
      <c r="F10825" s="8">
        <v>73</v>
      </c>
    </row>
    <row r="10826" spans="1:6" ht="12.75">
      <c r="A10826" s="8">
        <v>43899.959155092598</v>
      </c>
      <c r="B10826" s="8" t="str">
        <f>HYPERLINK("https://twitter.com/Fadhliansyah83","@Fadhliansyah83")</f>
        <v>@Fadhliansyah83</v>
      </c>
      <c r="C10826" s="8" t="s">
        <v>3110</v>
      </c>
      <c r="D10826" s="8">
        <v>6</v>
      </c>
      <c r="E10826" s="8">
        <v>0</v>
      </c>
      <c r="F10826" s="8">
        <v>18</v>
      </c>
    </row>
    <row r="10827" spans="1:6" ht="12.75">
      <c r="A10827" s="8">
        <v>43899.959085648152</v>
      </c>
      <c r="B10827" s="8" t="str">
        <f>HYPERLINK("https://twitter.com/MiMarathiBhau","@MiMarathiBhau")</f>
        <v>@MiMarathiBhau</v>
      </c>
      <c r="C10827" s="8" t="s">
        <v>1957</v>
      </c>
      <c r="D10827" s="8">
        <v>1128</v>
      </c>
      <c r="E10827" s="8">
        <v>0</v>
      </c>
      <c r="F10827" s="8">
        <v>183</v>
      </c>
    </row>
    <row r="10828" spans="1:6" ht="12.75">
      <c r="A10828" s="8">
        <v>43899.95888888889</v>
      </c>
      <c r="B10828" s="8" t="str">
        <f>HYPERLINK("https://twitter.com/YogeshChoubey11","@YogeshChoubey11")</f>
        <v>@YogeshChoubey11</v>
      </c>
      <c r="C10828" s="8" t="s">
        <v>1957</v>
      </c>
      <c r="D10828" s="8">
        <v>1128</v>
      </c>
      <c r="E10828" s="8">
        <v>0</v>
      </c>
      <c r="F10828" s="8">
        <v>87</v>
      </c>
    </row>
    <row r="10829" spans="1:6" ht="12.75">
      <c r="A10829" s="8">
        <v>43899.958599537036</v>
      </c>
      <c r="B10829" s="8" t="str">
        <f>HYPERLINK("https://twitter.com/vhisky","@vhisky")</f>
        <v>@vhisky</v>
      </c>
      <c r="C10829" s="8" t="s">
        <v>1957</v>
      </c>
      <c r="D10829" s="8">
        <v>1128</v>
      </c>
      <c r="E10829" s="8">
        <v>0</v>
      </c>
      <c r="F10829" s="8">
        <v>41</v>
      </c>
    </row>
    <row r="10830" spans="1:6" ht="12.75">
      <c r="A10830" s="8">
        <v>43899.958310185189</v>
      </c>
      <c r="B10830" s="8" t="str">
        <f>HYPERLINK("https://twitter.com/shivakumar_rm","@shivakumar_rm")</f>
        <v>@shivakumar_rm</v>
      </c>
      <c r="C10830" s="8" t="s">
        <v>1957</v>
      </c>
      <c r="D10830" s="8">
        <v>1128</v>
      </c>
      <c r="E10830" s="8">
        <v>0</v>
      </c>
      <c r="F10830" s="8">
        <v>337</v>
      </c>
    </row>
    <row r="10831" spans="1:6" ht="12.75">
      <c r="A10831" s="8">
        <v>43899.958194444444</v>
      </c>
      <c r="B10831" s="8" t="str">
        <f>HYPERLINK("https://twitter.com/DedyNad_id","@DedyNad_id")</f>
        <v>@DedyNad_id</v>
      </c>
      <c r="C10831" s="8" t="s">
        <v>4290</v>
      </c>
      <c r="D10831" s="8">
        <v>19</v>
      </c>
      <c r="E10831" s="8">
        <v>0</v>
      </c>
      <c r="F10831" s="8">
        <v>4111</v>
      </c>
    </row>
    <row r="10832" spans="1:6" ht="12.75">
      <c r="A10832" s="8">
        <v>43899.958182870367</v>
      </c>
      <c r="B10832" s="8" t="str">
        <f>HYPERLINK("https://twitter.com/AdarshS11843484","@AdarshS11843484")</f>
        <v>@AdarshS11843484</v>
      </c>
      <c r="C10832" s="8" t="s">
        <v>1957</v>
      </c>
      <c r="D10832" s="8">
        <v>1128</v>
      </c>
      <c r="E10832" s="8">
        <v>0</v>
      </c>
      <c r="F10832" s="8">
        <v>105</v>
      </c>
    </row>
    <row r="10833" spans="1:6" ht="12.75">
      <c r="A10833" s="8">
        <v>43899.957962962959</v>
      </c>
      <c r="B10833" s="8" t="str">
        <f>HYPERLINK("https://twitter.com/joyanand1510","@joyanand1510")</f>
        <v>@joyanand1510</v>
      </c>
      <c r="C10833" s="8" t="s">
        <v>1957</v>
      </c>
      <c r="D10833" s="8">
        <v>1128</v>
      </c>
      <c r="E10833" s="8">
        <v>0</v>
      </c>
      <c r="F10833" s="8">
        <v>18</v>
      </c>
    </row>
    <row r="10834" spans="1:6" ht="12.75">
      <c r="A10834" s="8">
        <v>43899.957905092597</v>
      </c>
      <c r="B10834" s="8" t="str">
        <f>HYPERLINK("https://twitter.com/Saten99","@Saten99")</f>
        <v>@Saten99</v>
      </c>
      <c r="C10834" s="8" t="s">
        <v>1957</v>
      </c>
      <c r="D10834" s="8">
        <v>1128</v>
      </c>
      <c r="E10834" s="8">
        <v>0</v>
      </c>
      <c r="F10834" s="8">
        <v>35</v>
      </c>
    </row>
    <row r="10835" spans="1:6" ht="12.75">
      <c r="A10835" s="8">
        <v>43899.95789351852</v>
      </c>
      <c r="B10835" s="8" t="str">
        <f>HYPERLINK("https://twitter.com/rish_ranjan","@rish_ranjan")</f>
        <v>@rish_ranjan</v>
      </c>
      <c r="C10835" s="8" t="s">
        <v>1808</v>
      </c>
      <c r="D10835" s="8">
        <v>704</v>
      </c>
      <c r="E10835" s="8">
        <v>0</v>
      </c>
      <c r="F10835" s="8">
        <v>241</v>
      </c>
    </row>
    <row r="10836" spans="1:6" ht="12.75">
      <c r="A10836" s="8">
        <v>43899.957812499997</v>
      </c>
      <c r="B10836" s="8" t="str">
        <f>HYPERLINK("https://twitter.com/prashn786","@prashn786")</f>
        <v>@prashn786</v>
      </c>
      <c r="C10836" s="8" t="s">
        <v>1957</v>
      </c>
      <c r="D10836" s="8">
        <v>1128</v>
      </c>
      <c r="E10836" s="8">
        <v>0</v>
      </c>
      <c r="F10836" s="8">
        <v>83</v>
      </c>
    </row>
    <row r="10837" spans="1:6" ht="12.75">
      <c r="A10837" s="8">
        <v>43899.957557870366</v>
      </c>
      <c r="B10837" s="8" t="str">
        <f>HYPERLINK("https://twitter.com/kl_srivatsa","@kl_srivatsa")</f>
        <v>@kl_srivatsa</v>
      </c>
      <c r="C10837" s="8" t="s">
        <v>1957</v>
      </c>
      <c r="D10837" s="8">
        <v>1128</v>
      </c>
      <c r="E10837" s="8">
        <v>0</v>
      </c>
      <c r="F10837" s="8">
        <v>3</v>
      </c>
    </row>
    <row r="10838" spans="1:6" ht="12.75">
      <c r="A10838" s="8">
        <v>43899.957523148143</v>
      </c>
      <c r="B10838" s="8" t="str">
        <f>HYPERLINK("https://twitter.com/vaayu_putra","@vaayu_putra")</f>
        <v>@vaayu_putra</v>
      </c>
      <c r="C10838" s="8" t="s">
        <v>1957</v>
      </c>
      <c r="D10838" s="8">
        <v>1128</v>
      </c>
      <c r="E10838" s="8">
        <v>0</v>
      </c>
      <c r="F10838" s="8">
        <v>190</v>
      </c>
    </row>
    <row r="10839" spans="1:6" ht="12.75">
      <c r="A10839" s="8">
        <v>43899.957465277781</v>
      </c>
      <c r="B10839" s="8" t="str">
        <f>HYPERLINK("https://twitter.com/SuryaMajapahi7","@SuryaMajapahi7")</f>
        <v>@SuryaMajapahi7</v>
      </c>
      <c r="C10839" s="8" t="s">
        <v>4612</v>
      </c>
      <c r="D10839" s="8">
        <v>0</v>
      </c>
      <c r="E10839" s="8">
        <v>0</v>
      </c>
      <c r="F10839" s="8">
        <v>719</v>
      </c>
    </row>
    <row r="10840" spans="1:6" ht="12.75">
      <c r="A10840" s="8">
        <v>43899.957303240742</v>
      </c>
      <c r="B10840" s="8" t="str">
        <f>HYPERLINK("https://twitter.com/ObaiIdon","@ObaiIdon")</f>
        <v>@ObaiIdon</v>
      </c>
      <c r="C10840" s="8" t="s">
        <v>4613</v>
      </c>
      <c r="D10840" s="8">
        <v>0</v>
      </c>
      <c r="E10840" s="8">
        <v>1</v>
      </c>
      <c r="F10840" s="8">
        <v>191</v>
      </c>
    </row>
    <row r="10841" spans="1:6" ht="12.75">
      <c r="A10841" s="8">
        <v>43899.957060185188</v>
      </c>
      <c r="B10841" s="8" t="str">
        <f>HYPERLINK("https://twitter.com/alkafhh","@alkafhh")</f>
        <v>@alkafhh</v>
      </c>
      <c r="C10841" s="8" t="s">
        <v>4614</v>
      </c>
      <c r="D10841" s="8">
        <v>0</v>
      </c>
      <c r="E10841" s="8">
        <v>0</v>
      </c>
      <c r="F10841" s="8">
        <v>1858</v>
      </c>
    </row>
    <row r="10842" spans="1:6" ht="12.75">
      <c r="A10842" s="8">
        <v>43899.956145833334</v>
      </c>
      <c r="B10842" s="8" t="str">
        <f>HYPERLINK("https://twitter.com/roshankottari","@roshankottari")</f>
        <v>@roshankottari</v>
      </c>
      <c r="C10842" s="8" t="s">
        <v>1957</v>
      </c>
      <c r="D10842" s="8">
        <v>1128</v>
      </c>
      <c r="E10842" s="8">
        <v>0</v>
      </c>
      <c r="F10842" s="8">
        <v>53</v>
      </c>
    </row>
    <row r="10843" spans="1:6" ht="12.75">
      <c r="A10843" s="8">
        <v>43899.956041666665</v>
      </c>
      <c r="B10843" s="8" t="str">
        <f>HYPERLINK("https://twitter.com/ayu__mantari","@ayu__mantari")</f>
        <v>@ayu__mantari</v>
      </c>
      <c r="C10843" s="8" t="s">
        <v>4615</v>
      </c>
      <c r="D10843" s="8">
        <v>162</v>
      </c>
      <c r="E10843" s="8">
        <v>0</v>
      </c>
      <c r="F10843" s="8">
        <v>3302</v>
      </c>
    </row>
    <row r="10844" spans="1:6" ht="12.75">
      <c r="A10844" s="8">
        <v>43899.955787037034</v>
      </c>
      <c r="B10844" s="8" t="str">
        <f>HYPERLINK("https://twitter.com/SherlyOct4viani","@SherlyOct4viani")</f>
        <v>@SherlyOct4viani</v>
      </c>
      <c r="C10844" s="8" t="s">
        <v>4290</v>
      </c>
      <c r="D10844" s="8">
        <v>19</v>
      </c>
      <c r="E10844" s="8">
        <v>0</v>
      </c>
      <c r="F10844" s="8">
        <v>650</v>
      </c>
    </row>
    <row r="10845" spans="1:6" ht="12.75">
      <c r="A10845" s="8">
        <v>43899.955775462964</v>
      </c>
      <c r="B10845" s="8" t="str">
        <f>HYPERLINK("https://twitter.com/apocalypsoblitz","@apocalypsoblitz")</f>
        <v>@apocalypsoblitz</v>
      </c>
      <c r="C10845" s="8" t="s">
        <v>4616</v>
      </c>
      <c r="D10845" s="8">
        <v>0</v>
      </c>
      <c r="E10845" s="8">
        <v>0</v>
      </c>
      <c r="F10845" s="8">
        <v>361</v>
      </c>
    </row>
    <row r="10846" spans="1:6" ht="12.75">
      <c r="A10846" s="8">
        <v>43899.955659722225</v>
      </c>
      <c r="B10846" s="8" t="str">
        <f>HYPERLINK("https://twitter.com/deepaksinghrao7","@deepaksinghrao7")</f>
        <v>@deepaksinghrao7</v>
      </c>
      <c r="C10846" s="8" t="s">
        <v>1808</v>
      </c>
      <c r="D10846" s="8">
        <v>704</v>
      </c>
      <c r="E10846" s="8">
        <v>0</v>
      </c>
      <c r="F10846" s="8">
        <v>118</v>
      </c>
    </row>
    <row r="10847" spans="1:6" ht="12.75">
      <c r="A10847" s="8">
        <v>43899.955381944441</v>
      </c>
      <c r="B10847" s="8" t="str">
        <f>HYPERLINK("https://twitter.com/samienz","@samienz")</f>
        <v>@samienz</v>
      </c>
      <c r="C10847" s="8" t="s">
        <v>318</v>
      </c>
      <c r="D10847" s="8">
        <v>6</v>
      </c>
      <c r="E10847" s="8">
        <v>0</v>
      </c>
      <c r="F10847" s="8">
        <v>977</v>
      </c>
    </row>
    <row r="10848" spans="1:6" ht="12.75">
      <c r="A10848" s="8">
        <v>43899.95511574074</v>
      </c>
      <c r="B10848" s="8" t="str">
        <f>HYPERLINK("https://twitter.com/BambhaniaPravin","@BambhaniaPravin")</f>
        <v>@BambhaniaPravin</v>
      </c>
      <c r="C10848" s="8" t="s">
        <v>1957</v>
      </c>
      <c r="D10848" s="8">
        <v>1128</v>
      </c>
      <c r="E10848" s="8">
        <v>0</v>
      </c>
      <c r="F10848" s="8">
        <v>43</v>
      </c>
    </row>
    <row r="10849" spans="1:6" ht="12.75">
      <c r="A10849" s="8">
        <v>43899.954895833333</v>
      </c>
      <c r="B10849" s="8" t="str">
        <f>HYPERLINK("https://twitter.com/true_wisdom9","@true_wisdom9")</f>
        <v>@true_wisdom9</v>
      </c>
      <c r="C10849" s="8" t="s">
        <v>1957</v>
      </c>
      <c r="D10849" s="8">
        <v>1128</v>
      </c>
      <c r="E10849" s="8">
        <v>0</v>
      </c>
      <c r="F10849" s="8">
        <v>187</v>
      </c>
    </row>
    <row r="10850" spans="1:6" ht="12.75">
      <c r="A10850" s="8">
        <v>43899.954664351855</v>
      </c>
      <c r="B10850" s="8" t="str">
        <f>HYPERLINK("https://twitter.com/AmitJangra5000","@AmitJangra5000")</f>
        <v>@AmitJangra5000</v>
      </c>
      <c r="C10850" s="8" t="s">
        <v>1957</v>
      </c>
      <c r="D10850" s="8">
        <v>1128</v>
      </c>
      <c r="E10850" s="8">
        <v>0</v>
      </c>
      <c r="F10850" s="8">
        <v>32</v>
      </c>
    </row>
    <row r="10851" spans="1:6" ht="12.75">
      <c r="A10851" s="8">
        <v>43899.954594907409</v>
      </c>
      <c r="B10851" s="8" t="str">
        <f>HYPERLINK("https://twitter.com/JK__Tamil","@JK__Tamil")</f>
        <v>@JK__Tamil</v>
      </c>
      <c r="C10851" s="8" t="s">
        <v>1957</v>
      </c>
      <c r="D10851" s="8">
        <v>1128</v>
      </c>
      <c r="E10851" s="8">
        <v>0</v>
      </c>
      <c r="F10851" s="8">
        <v>30</v>
      </c>
    </row>
    <row r="10852" spans="1:6" ht="12.75">
      <c r="A10852" s="8">
        <v>43899.954398148147</v>
      </c>
      <c r="B10852" s="8" t="str">
        <f>HYPERLINK("https://twitter.com/imsvishal","@imsvishal")</f>
        <v>@imsvishal</v>
      </c>
      <c r="C10852" s="8" t="s">
        <v>1957</v>
      </c>
      <c r="D10852" s="8">
        <v>1128</v>
      </c>
      <c r="E10852" s="8">
        <v>0</v>
      </c>
      <c r="F10852" s="8">
        <v>521</v>
      </c>
    </row>
    <row r="10853" spans="1:6" ht="12.75">
      <c r="A10853" s="8">
        <v>43899.954328703709</v>
      </c>
      <c r="B10853" s="8" t="str">
        <f>HYPERLINK("https://twitter.com/Dpsinghster","@Dpsinghster")</f>
        <v>@Dpsinghster</v>
      </c>
      <c r="C10853" s="8" t="s">
        <v>1957</v>
      </c>
      <c r="D10853" s="8">
        <v>1128</v>
      </c>
      <c r="E10853" s="8">
        <v>0</v>
      </c>
      <c r="F10853" s="8">
        <v>134</v>
      </c>
    </row>
    <row r="10854" spans="1:6" ht="12.75">
      <c r="A10854" s="8">
        <v>43899.954317129625</v>
      </c>
      <c r="B10854" s="8" t="str">
        <f>HYPERLINK("https://twitter.com/Manishis050","@Manishis050")</f>
        <v>@Manishis050</v>
      </c>
      <c r="C10854" s="8" t="s">
        <v>1957</v>
      </c>
      <c r="D10854" s="8">
        <v>1128</v>
      </c>
      <c r="E10854" s="8">
        <v>0</v>
      </c>
      <c r="F10854" s="8">
        <v>180</v>
      </c>
    </row>
    <row r="10855" spans="1:6" ht="12.75">
      <c r="A10855" s="8">
        <v>43899.953564814816</v>
      </c>
      <c r="B10855" s="8" t="str">
        <f>HYPERLINK("https://twitter.com/yeshesvee","@yeshesvee")</f>
        <v>@yeshesvee</v>
      </c>
      <c r="C10855" s="8" t="s">
        <v>1957</v>
      </c>
      <c r="D10855" s="8">
        <v>1128</v>
      </c>
      <c r="E10855" s="8">
        <v>0</v>
      </c>
      <c r="F10855" s="8">
        <v>140</v>
      </c>
    </row>
    <row r="10856" spans="1:6" ht="12.75">
      <c r="A10856" s="8">
        <v>43899.953043981484</v>
      </c>
      <c r="B10856" s="8" t="str">
        <f>HYPERLINK("https://twitter.com/Five5starA","@Five5starA")</f>
        <v>@Five5starA</v>
      </c>
      <c r="C10856" s="8" t="s">
        <v>1917</v>
      </c>
      <c r="D10856" s="8">
        <v>1505</v>
      </c>
      <c r="E10856" s="8">
        <v>0</v>
      </c>
      <c r="F10856" s="8">
        <v>2258</v>
      </c>
    </row>
    <row r="10857" spans="1:6" ht="12.75">
      <c r="A10857" s="8">
        <v>43899.952800925923</v>
      </c>
      <c r="B10857" s="8" t="str">
        <f>HYPERLINK("https://twitter.com/Aisha42981132","@Aisha42981132")</f>
        <v>@Aisha42981132</v>
      </c>
      <c r="C10857" s="8" t="s">
        <v>4617</v>
      </c>
      <c r="D10857" s="8">
        <v>4</v>
      </c>
      <c r="E10857" s="8">
        <v>0</v>
      </c>
      <c r="F10857" s="8">
        <v>110</v>
      </c>
    </row>
    <row r="10858" spans="1:6" ht="12.75">
      <c r="A10858" s="8">
        <v>43899.952662037038</v>
      </c>
      <c r="B10858" s="8" t="str">
        <f>HYPERLINK("https://twitter.com/Ka7_tujuh","@Ka7_tujuh")</f>
        <v>@Ka7_tujuh</v>
      </c>
      <c r="C10858" s="8" t="s">
        <v>4618</v>
      </c>
      <c r="D10858" s="8">
        <v>0</v>
      </c>
      <c r="E10858" s="8">
        <v>0</v>
      </c>
      <c r="F10858" s="8">
        <v>508</v>
      </c>
    </row>
    <row r="10859" spans="1:6" ht="12.75">
      <c r="A10859" s="8">
        <v>43899.952534722222</v>
      </c>
      <c r="B10859" s="8" t="str">
        <f>HYPERLINK("https://twitter.com/Marktabakholan","@Marktabakholan")</f>
        <v>@Marktabakholan</v>
      </c>
      <c r="C10859" s="8" t="s">
        <v>4619</v>
      </c>
      <c r="D10859" s="8">
        <v>0</v>
      </c>
      <c r="E10859" s="8">
        <v>1</v>
      </c>
      <c r="F10859" s="8">
        <v>204</v>
      </c>
    </row>
    <row r="10860" spans="1:6" ht="12.75">
      <c r="A10860" s="8">
        <v>43899.952094907407</v>
      </c>
      <c r="B10860" s="8" t="str">
        <f>HYPERLINK("https://twitter.com/ArnabGoswamiRtv","@ArnabGoswamiRtv")</f>
        <v>@ArnabGoswamiRtv</v>
      </c>
      <c r="C10860" s="8" t="s">
        <v>1957</v>
      </c>
      <c r="D10860" s="8">
        <v>1128</v>
      </c>
      <c r="E10860" s="8">
        <v>0</v>
      </c>
      <c r="F10860" s="8">
        <v>49662</v>
      </c>
    </row>
    <row r="10861" spans="1:6" ht="12.75">
      <c r="A10861" s="8">
        <v>43899.95177083333</v>
      </c>
      <c r="B10861" s="8" t="str">
        <f>HYPERLINK("https://twitter.com/Ka7_tujuh","@Ka7_tujuh")</f>
        <v>@Ka7_tujuh</v>
      </c>
      <c r="C10861" s="8" t="s">
        <v>4290</v>
      </c>
      <c r="D10861" s="8">
        <v>19</v>
      </c>
      <c r="E10861" s="8">
        <v>0</v>
      </c>
      <c r="F10861" s="8">
        <v>508</v>
      </c>
    </row>
    <row r="10862" spans="1:6" ht="12.75">
      <c r="A10862" s="8">
        <v>43899.951388888891</v>
      </c>
      <c r="B10862" s="8" t="str">
        <f>HYPERLINK("https://twitter.com/ShashwatTheOne","@ShashwatTheOne")</f>
        <v>@ShashwatTheOne</v>
      </c>
      <c r="C10862" s="8" t="s">
        <v>1808</v>
      </c>
      <c r="D10862" s="8">
        <v>704</v>
      </c>
      <c r="E10862" s="8">
        <v>0</v>
      </c>
      <c r="F10862" s="8">
        <v>527</v>
      </c>
    </row>
    <row r="10863" spans="1:6" ht="12.75">
      <c r="A10863" s="8">
        <v>43899.95113425926</v>
      </c>
      <c r="B10863" s="8" t="str">
        <f>HYPERLINK("https://twitter.com/KJRI_Vancouver","@KJRI_Vancouver")</f>
        <v>@KJRI_Vancouver</v>
      </c>
      <c r="C10863" s="8" t="s">
        <v>3168</v>
      </c>
      <c r="D10863" s="8">
        <v>46</v>
      </c>
      <c r="E10863" s="8">
        <v>0</v>
      </c>
      <c r="F10863" s="8">
        <v>2373</v>
      </c>
    </row>
    <row r="10864" spans="1:6" ht="12.75">
      <c r="A10864" s="8">
        <v>43899.950671296298</v>
      </c>
      <c r="B10864" s="8" t="str">
        <f>HYPERLINK("https://twitter.com/saxenaa14","@saxenaa14")</f>
        <v>@saxenaa14</v>
      </c>
      <c r="C10864" s="8" t="s">
        <v>1808</v>
      </c>
      <c r="D10864" s="8">
        <v>704</v>
      </c>
      <c r="E10864" s="8">
        <v>0</v>
      </c>
      <c r="F10864" s="8">
        <v>1218</v>
      </c>
    </row>
    <row r="10865" spans="1:6" ht="12.75">
      <c r="A10865" s="8">
        <v>43899.950497685189</v>
      </c>
      <c r="B10865" s="8" t="str">
        <f>HYPERLINK("https://twitter.com/fandy18058347","@fandy18058347")</f>
        <v>@fandy18058347</v>
      </c>
      <c r="C10865" s="8" t="s">
        <v>3262</v>
      </c>
      <c r="D10865" s="8">
        <v>208</v>
      </c>
      <c r="E10865" s="8">
        <v>0</v>
      </c>
      <c r="F10865" s="8">
        <v>224</v>
      </c>
    </row>
    <row r="10866" spans="1:6" ht="12.75">
      <c r="A10866" s="8">
        <v>43899.950219907405</v>
      </c>
      <c r="B10866" s="8" t="str">
        <f>HYPERLINK("https://twitter.com/Aatish00959462","@Aatish00959462")</f>
        <v>@Aatish00959462</v>
      </c>
      <c r="C10866" s="8" t="s">
        <v>1957</v>
      </c>
      <c r="D10866" s="8">
        <v>1128</v>
      </c>
      <c r="E10866" s="8">
        <v>0</v>
      </c>
      <c r="F10866" s="8">
        <v>113</v>
      </c>
    </row>
    <row r="10867" spans="1:6" ht="12.75">
      <c r="A10867" s="8">
        <v>43899.949872685189</v>
      </c>
      <c r="B10867" s="8" t="str">
        <f>HYPERLINK("https://twitter.com/shainGLa","@shainGLa")</f>
        <v>@shainGLa</v>
      </c>
      <c r="C10867" s="8" t="s">
        <v>1957</v>
      </c>
      <c r="D10867" s="8">
        <v>1128</v>
      </c>
      <c r="E10867" s="8">
        <v>0</v>
      </c>
      <c r="F10867" s="8">
        <v>452</v>
      </c>
    </row>
    <row r="10868" spans="1:6" ht="12.75">
      <c r="A10868" s="8">
        <v>43899.949548611112</v>
      </c>
      <c r="B10868" s="8" t="str">
        <f>HYPERLINK("https://twitter.com/nda_shendrayadi","@nda_shendrayadi")</f>
        <v>@nda_shendrayadi</v>
      </c>
      <c r="C10868" s="8" t="s">
        <v>4620</v>
      </c>
      <c r="D10868" s="8">
        <v>0</v>
      </c>
      <c r="E10868" s="8">
        <v>0</v>
      </c>
      <c r="F10868" s="8">
        <v>27</v>
      </c>
    </row>
    <row r="10869" spans="1:6" ht="12.75">
      <c r="A10869" s="8">
        <v>43899.949143518519</v>
      </c>
      <c r="B10869" s="8" t="str">
        <f>HYPERLINK("https://twitter.com/RAdeAhmadSobir4","@RAdeAhmadSobir4")</f>
        <v>@RAdeAhmadSobir4</v>
      </c>
      <c r="C10869" s="8" t="s">
        <v>318</v>
      </c>
      <c r="D10869" s="8">
        <v>6</v>
      </c>
      <c r="E10869" s="8">
        <v>0</v>
      </c>
      <c r="F10869" s="8">
        <v>27</v>
      </c>
    </row>
    <row r="10870" spans="1:6" ht="12.75">
      <c r="A10870" s="8">
        <v>43899.948437500003</v>
      </c>
      <c r="B10870" s="8" t="str">
        <f>HYPERLINK("https://twitter.com/iampragyagni","@iampragyagni")</f>
        <v>@iampragyagni</v>
      </c>
      <c r="C10870" s="8" t="s">
        <v>1957</v>
      </c>
      <c r="D10870" s="8">
        <v>1128</v>
      </c>
      <c r="E10870" s="8">
        <v>0</v>
      </c>
      <c r="F10870" s="8">
        <v>39</v>
      </c>
    </row>
    <row r="10871" spans="1:6" ht="12.75">
      <c r="A10871" s="8">
        <v>43899.948391203703</v>
      </c>
      <c r="B10871" s="8" t="str">
        <f>HYPERLINK("https://twitter.com/DonSindonesia","@DonSindonesia")</f>
        <v>@DonSindonesia</v>
      </c>
      <c r="C10871" s="8" t="s">
        <v>4621</v>
      </c>
      <c r="D10871" s="8">
        <v>0</v>
      </c>
      <c r="E10871" s="8">
        <v>0</v>
      </c>
      <c r="F10871" s="8">
        <v>335</v>
      </c>
    </row>
    <row r="10872" spans="1:6" ht="12.75">
      <c r="A10872" s="8">
        <v>43899.948252314818</v>
      </c>
      <c r="B10872" s="8" t="str">
        <f>HYPERLINK("https://twitter.com/0d5e359a58f4437","@0d5e359a58f4437")</f>
        <v>@0d5e359a58f4437</v>
      </c>
      <c r="C10872" s="8" t="s">
        <v>3262</v>
      </c>
      <c r="D10872" s="8">
        <v>208</v>
      </c>
      <c r="E10872" s="8">
        <v>0</v>
      </c>
      <c r="F10872" s="8">
        <v>865</v>
      </c>
    </row>
    <row r="10873" spans="1:6" ht="12.75">
      <c r="A10873" s="8">
        <v>43899.948240740741</v>
      </c>
      <c r="B10873" s="8" t="str">
        <f>HYPERLINK("https://twitter.com/Asthana1Vishal","@Asthana1Vishal")</f>
        <v>@Asthana1Vishal</v>
      </c>
      <c r="C10873" s="8" t="s">
        <v>1957</v>
      </c>
      <c r="D10873" s="8">
        <v>1128</v>
      </c>
      <c r="E10873" s="8">
        <v>0</v>
      </c>
      <c r="F10873" s="8">
        <v>111</v>
      </c>
    </row>
    <row r="10874" spans="1:6" ht="12.75">
      <c r="A10874" s="8">
        <v>43899.948206018518</v>
      </c>
      <c r="B10874" s="8" t="str">
        <f>HYPERLINK("https://twitter.com/Hamzah_Baudin","@Hamzah_Baudin")</f>
        <v>@Hamzah_Baudin</v>
      </c>
      <c r="C10874" s="8" t="s">
        <v>4470</v>
      </c>
      <c r="D10874" s="8">
        <v>50</v>
      </c>
      <c r="E10874" s="8">
        <v>0</v>
      </c>
      <c r="F10874" s="8">
        <v>3090</v>
      </c>
    </row>
    <row r="10875" spans="1:6" ht="12.75">
      <c r="A10875" s="8">
        <v>43899.948078703703</v>
      </c>
      <c r="B10875" s="8" t="str">
        <f>HYPERLINK("https://twitter.com/umaralims","@umaralims")</f>
        <v>@umaralims</v>
      </c>
      <c r="C10875" s="8" t="s">
        <v>4001</v>
      </c>
      <c r="D10875" s="8">
        <v>6</v>
      </c>
      <c r="E10875" s="8">
        <v>7</v>
      </c>
      <c r="F10875" s="8">
        <v>3807</v>
      </c>
    </row>
    <row r="10876" spans="1:6" ht="12.75">
      <c r="A10876" s="8">
        <v>43899.947615740741</v>
      </c>
      <c r="B10876" s="8" t="str">
        <f>HYPERLINK("https://twitter.com/oengoemeloeloe","@oengoemeloeloe")</f>
        <v>@oengoemeloeloe</v>
      </c>
      <c r="C10876" s="8" t="s">
        <v>4622</v>
      </c>
      <c r="D10876" s="8">
        <v>0</v>
      </c>
      <c r="E10876" s="8">
        <v>0</v>
      </c>
      <c r="F10876" s="8">
        <v>586</v>
      </c>
    </row>
    <row r="10877" spans="1:6" ht="12.75">
      <c r="A10877" s="8">
        <v>43899.947280092594</v>
      </c>
      <c r="B10877" s="8" t="str">
        <f>HYPERLINK("https://twitter.com/DrGaurav0007","@DrGaurav0007")</f>
        <v>@DrGaurav0007</v>
      </c>
      <c r="C10877" s="8" t="s">
        <v>1957</v>
      </c>
      <c r="D10877" s="8">
        <v>1128</v>
      </c>
      <c r="E10877" s="8">
        <v>0</v>
      </c>
      <c r="F10877" s="8">
        <v>1214</v>
      </c>
    </row>
    <row r="10878" spans="1:6" ht="12.75">
      <c r="A10878" s="8">
        <v>43899.947233796294</v>
      </c>
      <c r="B10878" s="8" t="str">
        <f>HYPERLINK("https://twitter.com/MogheKrittika","@MogheKrittika")</f>
        <v>@MogheKrittika</v>
      </c>
      <c r="C10878" s="8" t="s">
        <v>1957</v>
      </c>
      <c r="D10878" s="8">
        <v>1128</v>
      </c>
      <c r="E10878" s="8">
        <v>0</v>
      </c>
      <c r="F10878" s="8">
        <v>252</v>
      </c>
    </row>
    <row r="10879" spans="1:6" ht="12.75">
      <c r="A10879" s="8">
        <v>43899.946898148148</v>
      </c>
      <c r="B10879" s="8" t="str">
        <f>HYPERLINK("https://twitter.com/suaradotcom","@suaradotcom")</f>
        <v>@suaradotcom</v>
      </c>
      <c r="C10879" s="8" t="s">
        <v>4623</v>
      </c>
      <c r="D10879" s="8">
        <v>0</v>
      </c>
      <c r="E10879" s="8">
        <v>0</v>
      </c>
      <c r="F10879" s="8">
        <v>24404</v>
      </c>
    </row>
    <row r="10880" spans="1:6" ht="12.75">
      <c r="A10880" s="8">
        <v>43899.946898148148</v>
      </c>
      <c r="B10880" s="8" t="str">
        <f>HYPERLINK("https://twitter.com/Haluan_","@Haluan_")</f>
        <v>@Haluan_</v>
      </c>
      <c r="C10880" s="8" t="s">
        <v>4624</v>
      </c>
      <c r="D10880" s="8">
        <v>0</v>
      </c>
      <c r="E10880" s="8">
        <v>0</v>
      </c>
      <c r="F10880" s="8">
        <v>1532</v>
      </c>
    </row>
    <row r="10881" spans="1:6" ht="12.75">
      <c r="A10881" s="8">
        <v>43899.945752314816</v>
      </c>
      <c r="B10881" s="8" t="str">
        <f>HYPERLINK("https://twitter.com/veg_biryani_guy","@veg_biryani_guy")</f>
        <v>@veg_biryani_guy</v>
      </c>
      <c r="C10881" s="8" t="s">
        <v>1957</v>
      </c>
      <c r="D10881" s="8">
        <v>1128</v>
      </c>
      <c r="E10881" s="8">
        <v>0</v>
      </c>
      <c r="F10881" s="8">
        <v>37</v>
      </c>
    </row>
    <row r="10882" spans="1:6" ht="12.75">
      <c r="A10882" s="8">
        <v>43899.945555555554</v>
      </c>
      <c r="B10882" s="8" t="str">
        <f>HYPERLINK("https://twitter.com/yusri_albima","@yusri_albima")</f>
        <v>@yusri_albima</v>
      </c>
      <c r="C10882" s="8" t="s">
        <v>4162</v>
      </c>
      <c r="D10882" s="8">
        <v>118</v>
      </c>
      <c r="E10882" s="8">
        <v>0</v>
      </c>
      <c r="F10882" s="8">
        <v>2780</v>
      </c>
    </row>
    <row r="10883" spans="1:6" ht="12.75">
      <c r="A10883" s="8">
        <v>43899.944618055553</v>
      </c>
      <c r="B10883" s="8" t="str">
        <f>HYPERLINK("https://twitter.com/AbhishekSondhi7","@AbhishekSondhi7")</f>
        <v>@AbhishekSondhi7</v>
      </c>
      <c r="C10883" s="8" t="s">
        <v>1957</v>
      </c>
      <c r="D10883" s="8">
        <v>1128</v>
      </c>
      <c r="E10883" s="8">
        <v>0</v>
      </c>
      <c r="F10883" s="8">
        <v>156</v>
      </c>
    </row>
    <row r="10884" spans="1:6" ht="12.75">
      <c r="A10884" s="8">
        <v>43899.944606481484</v>
      </c>
      <c r="B10884" s="8" t="str">
        <f>HYPERLINK("https://twitter.com/pravinsinh6666","@pravinsinh6666")</f>
        <v>@pravinsinh6666</v>
      </c>
      <c r="C10884" s="8" t="s">
        <v>1957</v>
      </c>
      <c r="D10884" s="8">
        <v>1128</v>
      </c>
      <c r="E10884" s="8">
        <v>0</v>
      </c>
      <c r="F10884" s="8">
        <v>592</v>
      </c>
    </row>
    <row r="10885" spans="1:6" ht="12.75">
      <c r="A10885" s="8">
        <v>43899.943865740745</v>
      </c>
      <c r="B10885" s="8" t="str">
        <f>HYPERLINK("https://twitter.com/lazybirdmumbai","@lazybirdmumbai")</f>
        <v>@lazybirdmumbai</v>
      </c>
      <c r="C10885" s="8" t="s">
        <v>1957</v>
      </c>
      <c r="D10885" s="8">
        <v>1128</v>
      </c>
      <c r="E10885" s="8">
        <v>0</v>
      </c>
      <c r="F10885" s="8">
        <v>15</v>
      </c>
    </row>
    <row r="10886" spans="1:6" ht="12.75">
      <c r="A10886" s="8">
        <v>43899.943749999999</v>
      </c>
      <c r="B10886" s="8" t="str">
        <f>HYPERLINK("https://twitter.com/Prabhat71488862","@Prabhat71488862")</f>
        <v>@Prabhat71488862</v>
      </c>
      <c r="C10886" s="8" t="s">
        <v>1957</v>
      </c>
      <c r="D10886" s="8">
        <v>1128</v>
      </c>
      <c r="E10886" s="8">
        <v>0</v>
      </c>
      <c r="F10886" s="8">
        <v>402</v>
      </c>
    </row>
    <row r="10887" spans="1:6" ht="12.75">
      <c r="A10887" s="8">
        <v>43899.943692129629</v>
      </c>
      <c r="B10887" s="8" t="str">
        <f>HYPERLINK("https://twitter.com/vivekkumarnain","@vivekkumarnain")</f>
        <v>@vivekkumarnain</v>
      </c>
      <c r="C10887" s="8" t="s">
        <v>1957</v>
      </c>
      <c r="D10887" s="8">
        <v>1128</v>
      </c>
      <c r="E10887" s="8">
        <v>0</v>
      </c>
      <c r="F10887" s="8">
        <v>489</v>
      </c>
    </row>
    <row r="10888" spans="1:6" ht="12.75">
      <c r="A10888" s="8">
        <v>43899.943657407406</v>
      </c>
      <c r="B10888" s="8" t="str">
        <f>HYPERLINK("https://twitter.com/gregwasis","@gregwasis")</f>
        <v>@gregwasis</v>
      </c>
      <c r="C10888" s="8" t="s">
        <v>4290</v>
      </c>
      <c r="D10888" s="8">
        <v>19</v>
      </c>
      <c r="E10888" s="8">
        <v>0</v>
      </c>
      <c r="F10888" s="8">
        <v>2883</v>
      </c>
    </row>
    <row r="10889" spans="1:6" ht="12.75">
      <c r="A10889" s="8">
        <v>43899.943645833337</v>
      </c>
      <c r="B10889" s="8" t="str">
        <f>HYPERLINK("https://twitter.com/jiteshsinght","@jiteshsinght")</f>
        <v>@jiteshsinght</v>
      </c>
      <c r="C10889" s="8" t="s">
        <v>1957</v>
      </c>
      <c r="D10889" s="8">
        <v>1128</v>
      </c>
      <c r="E10889" s="8">
        <v>0</v>
      </c>
      <c r="F10889" s="8">
        <v>371</v>
      </c>
    </row>
    <row r="10890" spans="1:6" ht="12.75">
      <c r="A10890" s="8">
        <v>43899.943287037036</v>
      </c>
      <c r="B10890" s="8" t="str">
        <f>HYPERLINK("https://twitter.com/yerisurabaya","@yerisurabaya")</f>
        <v>@yerisurabaya</v>
      </c>
      <c r="C10890" s="8" t="s">
        <v>4625</v>
      </c>
      <c r="D10890" s="8">
        <v>21</v>
      </c>
      <c r="E10890" s="8">
        <v>0</v>
      </c>
      <c r="F10890" s="8">
        <v>82</v>
      </c>
    </row>
    <row r="10891" spans="1:6" ht="12.75">
      <c r="A10891" s="8">
        <v>43899.942858796298</v>
      </c>
      <c r="B10891" s="8" t="str">
        <f>HYPERLINK("https://twitter.com/susiani19791","@susiani19791")</f>
        <v>@susiani19791</v>
      </c>
      <c r="C10891" s="8" t="s">
        <v>4626</v>
      </c>
      <c r="D10891" s="8">
        <v>0</v>
      </c>
      <c r="E10891" s="8">
        <v>0</v>
      </c>
      <c r="F10891" s="8">
        <v>744</v>
      </c>
    </row>
    <row r="10892" spans="1:6" ht="12.75">
      <c r="A10892" s="8">
        <v>43899.942488425921</v>
      </c>
      <c r="B10892" s="8" t="str">
        <f>HYPERLINK("https://twitter.com/yuanbowo","@yuanbowo")</f>
        <v>@yuanbowo</v>
      </c>
      <c r="C10892" s="8" t="s">
        <v>4627</v>
      </c>
      <c r="D10892" s="8">
        <v>0</v>
      </c>
      <c r="E10892" s="8">
        <v>0</v>
      </c>
      <c r="F10892" s="8">
        <v>173</v>
      </c>
    </row>
    <row r="10893" spans="1:6" ht="12.75">
      <c r="A10893" s="8">
        <v>43899.941817129627</v>
      </c>
      <c r="B10893" s="8" t="str">
        <f>HYPERLINK("https://twitter.com/a9ustiono","@a9ustiono")</f>
        <v>@a9ustiono</v>
      </c>
      <c r="C10893" s="8" t="s">
        <v>4290</v>
      </c>
      <c r="D10893" s="8">
        <v>19</v>
      </c>
      <c r="E10893" s="8">
        <v>0</v>
      </c>
      <c r="F10893" s="8">
        <v>2041</v>
      </c>
    </row>
    <row r="10894" spans="1:6" ht="12.75">
      <c r="A10894" s="8">
        <v>43899.923402777778</v>
      </c>
      <c r="B10894" s="8" t="str">
        <f>HYPERLINK("https://twitter.com/ImModified","@ImModified")</f>
        <v>@ImModified</v>
      </c>
      <c r="C10894" s="8" t="s">
        <v>1957</v>
      </c>
      <c r="D10894" s="8">
        <v>1049</v>
      </c>
      <c r="E10894" s="8">
        <v>0</v>
      </c>
      <c r="F10894" s="8">
        <v>4562</v>
      </c>
    </row>
    <row r="10895" spans="1:6" ht="12.75">
      <c r="A10895" s="8">
        <v>43899.923275462963</v>
      </c>
      <c r="B10895" s="8" t="str">
        <f>HYPERLINK("https://twitter.com/beniagus5","@beniagus5")</f>
        <v>@beniagus5</v>
      </c>
      <c r="C10895" s="8" t="s">
        <v>3126</v>
      </c>
      <c r="D10895" s="8">
        <v>240</v>
      </c>
      <c r="E10895" s="8">
        <v>0</v>
      </c>
      <c r="F10895" s="8">
        <v>78</v>
      </c>
    </row>
    <row r="10896" spans="1:6" ht="12.75">
      <c r="A10896" s="8">
        <v>43899.923055555555</v>
      </c>
      <c r="B10896" s="8" t="str">
        <f>HYPERLINK("https://twitter.com/raje147","@raje147")</f>
        <v>@raje147</v>
      </c>
      <c r="C10896" s="8" t="s">
        <v>1808</v>
      </c>
      <c r="D10896" s="8">
        <v>689</v>
      </c>
      <c r="E10896" s="8">
        <v>0</v>
      </c>
      <c r="F10896" s="8">
        <v>243</v>
      </c>
    </row>
    <row r="10897" spans="1:6" ht="12.75">
      <c r="A10897" s="8">
        <v>43899.922789351855</v>
      </c>
      <c r="B10897" s="8" t="str">
        <f>HYPERLINK("https://twitter.com/neelimatripathi","@neelimatripathi")</f>
        <v>@neelimatripathi</v>
      </c>
      <c r="C10897" s="8" t="s">
        <v>1957</v>
      </c>
      <c r="D10897" s="8">
        <v>1049</v>
      </c>
      <c r="E10897" s="8">
        <v>0</v>
      </c>
      <c r="F10897" s="8">
        <v>4735</v>
      </c>
    </row>
    <row r="10898" spans="1:6" ht="12.75">
      <c r="A10898" s="8">
        <v>43899.92251157407</v>
      </c>
      <c r="B10898" s="8" t="str">
        <f>HYPERLINK("https://twitter.com/agama_nusantara","@agama_nusantara")</f>
        <v>@agama_nusantara</v>
      </c>
      <c r="C10898" s="8" t="s">
        <v>4591</v>
      </c>
      <c r="D10898" s="8">
        <v>26</v>
      </c>
      <c r="E10898" s="8">
        <v>0</v>
      </c>
      <c r="F10898" s="8">
        <v>7480</v>
      </c>
    </row>
    <row r="10899" spans="1:6" ht="12.75">
      <c r="A10899" s="8">
        <v>43899.9221875</v>
      </c>
      <c r="B10899" s="8" t="str">
        <f>HYPERLINK("https://twitter.com/anshsin14932634","@anshsin14932634")</f>
        <v>@anshsin14932634</v>
      </c>
      <c r="C10899" s="8" t="s">
        <v>1917</v>
      </c>
      <c r="D10899" s="8">
        <v>1499</v>
      </c>
      <c r="E10899" s="8">
        <v>0</v>
      </c>
      <c r="F10899" s="8">
        <v>1</v>
      </c>
    </row>
    <row r="10900" spans="1:6" ht="12.75">
      <c r="A10900" s="8">
        <v>43899.922025462962</v>
      </c>
      <c r="B10900" s="8" t="str">
        <f>HYPERLINK("https://twitter.com/desiprocess","@desiprocess")</f>
        <v>@desiprocess</v>
      </c>
      <c r="C10900" s="8" t="s">
        <v>1957</v>
      </c>
      <c r="D10900" s="8">
        <v>1049</v>
      </c>
      <c r="E10900" s="8">
        <v>0</v>
      </c>
      <c r="F10900" s="8">
        <v>416</v>
      </c>
    </row>
    <row r="10901" spans="1:6" ht="12.75">
      <c r="A10901" s="8">
        <v>43899.921481481477</v>
      </c>
      <c r="B10901" s="8" t="str">
        <f>HYPERLINK("https://twitter.com/ranshbrn","@ranshbrn")</f>
        <v>@ranshbrn</v>
      </c>
      <c r="C10901" s="8" t="s">
        <v>4628</v>
      </c>
      <c r="D10901" s="8">
        <v>0</v>
      </c>
      <c r="E10901" s="8">
        <v>0</v>
      </c>
      <c r="F10901" s="8">
        <v>27</v>
      </c>
    </row>
    <row r="10902" spans="1:6" ht="12.75">
      <c r="A10902" s="8">
        <v>43899.920891203699</v>
      </c>
      <c r="B10902" s="8" t="str">
        <f>HYPERLINK("https://twitter.com/RizalA44276133","@RizalA44276133")</f>
        <v>@RizalA44276133</v>
      </c>
      <c r="C10902" s="8" t="s">
        <v>4629</v>
      </c>
      <c r="D10902" s="8">
        <v>0</v>
      </c>
      <c r="E10902" s="8">
        <v>0</v>
      </c>
      <c r="F10902" s="8">
        <v>22</v>
      </c>
    </row>
    <row r="10903" spans="1:6" ht="12.75">
      <c r="A10903" s="8">
        <v>43899.92082175926</v>
      </c>
      <c r="B10903" s="8" t="str">
        <f>HYPERLINK("https://twitter.com/RangCebol","@RangCebol")</f>
        <v>@RangCebol</v>
      </c>
      <c r="C10903" s="8" t="s">
        <v>4630</v>
      </c>
      <c r="D10903" s="8">
        <v>0</v>
      </c>
      <c r="E10903" s="8">
        <v>0</v>
      </c>
      <c r="F10903" s="8">
        <v>20</v>
      </c>
    </row>
    <row r="10904" spans="1:6" ht="12.75">
      <c r="A10904" s="8">
        <v>43899.920451388884</v>
      </c>
      <c r="B10904" s="8" t="str">
        <f>HYPERLINK("https://twitter.com/Gau_444","@Gau_444")</f>
        <v>@Gau_444</v>
      </c>
      <c r="C10904" s="8" t="s">
        <v>1808</v>
      </c>
      <c r="D10904" s="8">
        <v>689</v>
      </c>
      <c r="E10904" s="8">
        <v>0</v>
      </c>
      <c r="F10904" s="8">
        <v>118</v>
      </c>
    </row>
    <row r="10905" spans="1:6" ht="12.75">
      <c r="A10905" s="8">
        <v>43899.920416666668</v>
      </c>
      <c r="B10905" s="8" t="str">
        <f>HYPERLINK("https://twitter.com/rajsum74","@rajsum74")</f>
        <v>@rajsum74</v>
      </c>
      <c r="C10905" s="8" t="s">
        <v>4631</v>
      </c>
      <c r="D10905" s="8">
        <v>0</v>
      </c>
      <c r="E10905" s="8">
        <v>1</v>
      </c>
      <c r="F10905" s="8">
        <v>1510</v>
      </c>
    </row>
    <row r="10906" spans="1:6" ht="12.75">
      <c r="A10906" s="8">
        <v>43899.920416666668</v>
      </c>
      <c r="B10906" s="8" t="str">
        <f>HYPERLINK("https://twitter.com/Thiruvenkatam82","@Thiruvenkatam82")</f>
        <v>@Thiruvenkatam82</v>
      </c>
      <c r="C10906" s="8" t="s">
        <v>1957</v>
      </c>
      <c r="D10906" s="8">
        <v>1049</v>
      </c>
      <c r="E10906" s="8">
        <v>0</v>
      </c>
      <c r="F10906" s="8">
        <v>169</v>
      </c>
    </row>
    <row r="10907" spans="1:6" ht="12.75">
      <c r="A10907" s="8">
        <v>43899.920104166667</v>
      </c>
      <c r="B10907" s="8" t="str">
        <f>HYPERLINK("https://twitter.com/Mangu365xx7","@Mangu365xx7")</f>
        <v>@Mangu365xx7</v>
      </c>
      <c r="C10907" s="8" t="s">
        <v>1957</v>
      </c>
      <c r="D10907" s="8">
        <v>1049</v>
      </c>
      <c r="E10907" s="8">
        <v>0</v>
      </c>
      <c r="F10907" s="8">
        <v>179</v>
      </c>
    </row>
    <row r="10908" spans="1:6" ht="12.75">
      <c r="A10908" s="8">
        <v>43899.919837962967</v>
      </c>
      <c r="B10908" s="8" t="str">
        <f>HYPERLINK("https://twitter.com/hamaro_id","@hamaro_id")</f>
        <v>@hamaro_id</v>
      </c>
      <c r="C10908" s="8" t="s">
        <v>3969</v>
      </c>
      <c r="D10908" s="8">
        <v>36</v>
      </c>
      <c r="E10908" s="8">
        <v>0</v>
      </c>
      <c r="F10908" s="8">
        <v>1690</v>
      </c>
    </row>
    <row r="10909" spans="1:6" ht="12.75">
      <c r="A10909" s="8">
        <v>43899.91978009259</v>
      </c>
      <c r="B10909" s="8" t="str">
        <f>HYPERLINK("https://twitter.com/pranayk18433129","@pranayk18433129")</f>
        <v>@pranayk18433129</v>
      </c>
      <c r="C10909" s="8" t="s">
        <v>1957</v>
      </c>
      <c r="D10909" s="8">
        <v>1049</v>
      </c>
      <c r="E10909" s="8">
        <v>0</v>
      </c>
      <c r="F10909" s="8">
        <v>423</v>
      </c>
    </row>
    <row r="10910" spans="1:6" ht="12.75">
      <c r="A10910" s="8">
        <v>43899.918993055559</v>
      </c>
      <c r="B10910" s="8" t="str">
        <f>HYPERLINK("https://twitter.com/Andriamuis","@Andriamuis")</f>
        <v>@Andriamuis</v>
      </c>
      <c r="C10910" s="8" t="s">
        <v>4515</v>
      </c>
      <c r="D10910" s="8">
        <v>6</v>
      </c>
      <c r="E10910" s="8">
        <v>0</v>
      </c>
      <c r="F10910" s="8">
        <v>187</v>
      </c>
    </row>
    <row r="10911" spans="1:6" ht="12.75">
      <c r="A10911" s="8">
        <v>43899.918935185182</v>
      </c>
      <c r="B10911" s="8" t="str">
        <f>HYPERLINK("https://twitter.com/SatyamPtel","@SatyamPtel")</f>
        <v>@SatyamPtel</v>
      </c>
      <c r="C10911" s="8" t="s">
        <v>1957</v>
      </c>
      <c r="D10911" s="8">
        <v>1049</v>
      </c>
      <c r="E10911" s="8">
        <v>0</v>
      </c>
      <c r="F10911" s="8">
        <v>188</v>
      </c>
    </row>
    <row r="10912" spans="1:6" ht="12.75">
      <c r="A10912" s="8">
        <v>43899.918657407412</v>
      </c>
      <c r="B10912" s="8" t="str">
        <f>HYPERLINK("https://twitter.com/seosmolinks","@seosmolinks")</f>
        <v>@seosmolinks</v>
      </c>
      <c r="C10912" s="8" t="s">
        <v>1957</v>
      </c>
      <c r="D10912" s="8">
        <v>1049</v>
      </c>
      <c r="E10912" s="8">
        <v>0</v>
      </c>
      <c r="F10912" s="8">
        <v>20995</v>
      </c>
    </row>
    <row r="10913" spans="1:6" ht="12.75">
      <c r="A10913" s="8">
        <v>43899.918634259258</v>
      </c>
      <c r="B10913" s="8" t="str">
        <f>HYPERLINK("https://twitter.com/wardayadi1","@wardayadi1")</f>
        <v>@wardayadi1</v>
      </c>
      <c r="C10913" s="8" t="s">
        <v>4290</v>
      </c>
      <c r="D10913" s="8">
        <v>12</v>
      </c>
      <c r="E10913" s="8">
        <v>0</v>
      </c>
      <c r="F10913" s="8">
        <v>4456</v>
      </c>
    </row>
    <row r="10914" spans="1:6" ht="12.75">
      <c r="A10914" s="8">
        <v>43899.918437500004</v>
      </c>
      <c r="B10914" s="8" t="str">
        <f>HYPERLINK("https://twitter.com/anita_devi2","@anita_devi2")</f>
        <v>@anita_devi2</v>
      </c>
      <c r="C10914" s="8" t="s">
        <v>4632</v>
      </c>
      <c r="D10914" s="8">
        <v>0</v>
      </c>
      <c r="E10914" s="8">
        <v>0</v>
      </c>
      <c r="F10914" s="8">
        <v>185</v>
      </c>
    </row>
    <row r="10915" spans="1:6" ht="12.75">
      <c r="A10915" s="8">
        <v>43899.918171296296</v>
      </c>
      <c r="B10915" s="8" t="str">
        <f>HYPERLINK("https://twitter.com/Thejak_Milan","@Thejak_Milan")</f>
        <v>@Thejak_Milan</v>
      </c>
      <c r="C10915" s="8" t="s">
        <v>3126</v>
      </c>
      <c r="D10915" s="8">
        <v>240</v>
      </c>
      <c r="E10915" s="8">
        <v>0</v>
      </c>
      <c r="F10915" s="8">
        <v>452</v>
      </c>
    </row>
    <row r="10916" spans="1:6" ht="12.75">
      <c r="A10916" s="8">
        <v>43899.917974537035</v>
      </c>
      <c r="B10916" s="8" t="str">
        <f>HYPERLINK("https://twitter.com/dhantyarra","@dhantyarra")</f>
        <v>@dhantyarra</v>
      </c>
      <c r="C10916" s="8" t="s">
        <v>402</v>
      </c>
      <c r="D10916" s="8">
        <v>109</v>
      </c>
      <c r="E10916" s="8">
        <v>0</v>
      </c>
      <c r="F10916" s="8">
        <v>444</v>
      </c>
    </row>
    <row r="10917" spans="1:6" ht="12.75">
      <c r="A10917" s="8">
        <v>43899.917962962965</v>
      </c>
      <c r="B10917" s="8" t="str">
        <f>HYPERLINK("https://twitter.com/CGSPhaniSai","@CGSPhaniSai")</f>
        <v>@CGSPhaniSai</v>
      </c>
      <c r="C10917" s="8" t="s">
        <v>1957</v>
      </c>
      <c r="D10917" s="8">
        <v>1049</v>
      </c>
      <c r="E10917" s="8">
        <v>0</v>
      </c>
      <c r="F10917" s="8">
        <v>89</v>
      </c>
    </row>
    <row r="10918" spans="1:6" ht="12.75">
      <c r="A10918" s="8">
        <v>43899.917928240742</v>
      </c>
      <c r="B10918" s="8" t="str">
        <f>HYPERLINK("https://twitter.com/sulistiawan_rd","@sulistiawan_rd")</f>
        <v>@sulistiawan_rd</v>
      </c>
      <c r="C10918" s="8" t="s">
        <v>4633</v>
      </c>
      <c r="D10918" s="8">
        <v>0</v>
      </c>
      <c r="E10918" s="8">
        <v>0</v>
      </c>
      <c r="F10918" s="8">
        <v>738</v>
      </c>
    </row>
    <row r="10919" spans="1:6" ht="12.75">
      <c r="A10919" s="8">
        <v>43899.917800925927</v>
      </c>
      <c r="B10919" s="8" t="str">
        <f>HYPERLINK("https://twitter.com/liton21gmp","@liton21gmp")</f>
        <v>@liton21gmp</v>
      </c>
      <c r="C10919" s="8" t="s">
        <v>4634</v>
      </c>
      <c r="D10919" s="8">
        <v>0</v>
      </c>
      <c r="E10919" s="8">
        <v>0</v>
      </c>
      <c r="F10919" s="8">
        <v>146</v>
      </c>
    </row>
    <row r="10920" spans="1:6" ht="12.75">
      <c r="A10920" s="8">
        <v>43899.917766203704</v>
      </c>
      <c r="B10920" s="8" t="str">
        <f>HYPERLINK("https://twitter.com/kbrisofia","@kbrisofia")</f>
        <v>@kbrisofia</v>
      </c>
      <c r="C10920" s="8" t="s">
        <v>4635</v>
      </c>
      <c r="D10920" s="8">
        <v>0</v>
      </c>
      <c r="E10920" s="8">
        <v>0</v>
      </c>
      <c r="F10920" s="8">
        <v>334</v>
      </c>
    </row>
    <row r="10921" spans="1:6" ht="12.75">
      <c r="A10921" s="8">
        <v>43899.917766203704</v>
      </c>
      <c r="B10921" s="8" t="str">
        <f>HYPERLINK("https://twitter.com/Urbnite1","@Urbnite1")</f>
        <v>@Urbnite1</v>
      </c>
      <c r="C10921" s="8" t="s">
        <v>1957</v>
      </c>
      <c r="D10921" s="8">
        <v>1049</v>
      </c>
      <c r="E10921" s="8">
        <v>0</v>
      </c>
      <c r="F10921" s="8">
        <v>118</v>
      </c>
    </row>
    <row r="10922" spans="1:6" ht="12.75">
      <c r="A10922" s="8">
        <v>43899.917604166665</v>
      </c>
      <c r="B10922" s="8" t="str">
        <f>HYPERLINK("https://twitter.com/rohitdhiman0017","@rohitdhiman0017")</f>
        <v>@rohitdhiman0017</v>
      </c>
      <c r="C10922" s="8" t="s">
        <v>1957</v>
      </c>
      <c r="D10922" s="8">
        <v>1049</v>
      </c>
      <c r="E10922" s="8">
        <v>0</v>
      </c>
      <c r="F10922" s="8">
        <v>248</v>
      </c>
    </row>
    <row r="10923" spans="1:6" ht="12.75">
      <c r="A10923" s="8">
        <v>43899.917523148149</v>
      </c>
      <c r="B10923" s="8" t="str">
        <f>HYPERLINK("https://twitter.com/pujarana_","@pujarana_")</f>
        <v>@pujarana_</v>
      </c>
      <c r="C10923" s="8" t="s">
        <v>4636</v>
      </c>
      <c r="D10923" s="8">
        <v>0</v>
      </c>
      <c r="E10923" s="8">
        <v>0</v>
      </c>
      <c r="F10923" s="8">
        <v>314</v>
      </c>
    </row>
    <row r="10924" spans="1:6" ht="12.75">
      <c r="A10924" s="8">
        <v>43899.91741898148</v>
      </c>
      <c r="B10924" s="8" t="str">
        <f>HYPERLINK("https://twitter.com/adviprast","@adviprast")</f>
        <v>@adviprast</v>
      </c>
      <c r="C10924" s="8" t="s">
        <v>4194</v>
      </c>
      <c r="D10924" s="8">
        <v>10</v>
      </c>
      <c r="E10924" s="8">
        <v>0</v>
      </c>
      <c r="F10924" s="8">
        <v>2999</v>
      </c>
    </row>
    <row r="10925" spans="1:6" ht="12.75">
      <c r="A10925" s="8">
        <v>43899.91710648148</v>
      </c>
      <c r="B10925" s="8" t="str">
        <f>HYPERLINK("https://twitter.com/InvincibleBabu","@InvincibleBabu")</f>
        <v>@InvincibleBabu</v>
      </c>
      <c r="C10925" s="8" t="s">
        <v>1808</v>
      </c>
      <c r="D10925" s="8">
        <v>689</v>
      </c>
      <c r="E10925" s="8">
        <v>0</v>
      </c>
      <c r="F10925" s="8">
        <v>4564</v>
      </c>
    </row>
    <row r="10926" spans="1:6" ht="12.75">
      <c r="A10926" s="8">
        <v>43899.91642361111</v>
      </c>
      <c r="B10926" s="8" t="str">
        <f>HYPERLINK("https://twitter.com/_Dhav_","@_Dhav_")</f>
        <v>@_Dhav_</v>
      </c>
      <c r="C10926" s="8" t="s">
        <v>1957</v>
      </c>
      <c r="D10926" s="8">
        <v>1049</v>
      </c>
      <c r="E10926" s="8">
        <v>0</v>
      </c>
      <c r="F10926" s="8">
        <v>325</v>
      </c>
    </row>
    <row r="10927" spans="1:6" ht="12.75">
      <c r="A10927" s="8">
        <v>43899.916388888887</v>
      </c>
      <c r="B10927" s="8" t="str">
        <f>HYPERLINK("https://twitter.com/AkhilSh08142970","@AkhilSh08142970")</f>
        <v>@AkhilSh08142970</v>
      </c>
      <c r="C10927" s="8" t="s">
        <v>1957</v>
      </c>
      <c r="D10927" s="8">
        <v>1049</v>
      </c>
      <c r="E10927" s="8">
        <v>0</v>
      </c>
      <c r="F10927" s="8">
        <v>198</v>
      </c>
    </row>
    <row r="10928" spans="1:6" ht="12.75">
      <c r="A10928" s="8">
        <v>43899.915763888886</v>
      </c>
      <c r="B10928" s="8" t="str">
        <f>HYPERLINK("https://twitter.com/ronggo81","@ronggo81")</f>
        <v>@ronggo81</v>
      </c>
      <c r="C10928" s="8" t="s">
        <v>4290</v>
      </c>
      <c r="D10928" s="8">
        <v>12</v>
      </c>
      <c r="E10928" s="8">
        <v>0</v>
      </c>
      <c r="F10928" s="8">
        <v>4199</v>
      </c>
    </row>
    <row r="10929" spans="1:6" ht="12.75">
      <c r="A10929" s="8">
        <v>43899.915486111116</v>
      </c>
      <c r="B10929" s="8" t="str">
        <f>HYPERLINK("https://twitter.com/jimmysimada","@jimmysimada")</f>
        <v>@jimmysimada</v>
      </c>
      <c r="C10929" s="8" t="s">
        <v>4290</v>
      </c>
      <c r="D10929" s="8">
        <v>12</v>
      </c>
      <c r="E10929" s="8">
        <v>0</v>
      </c>
      <c r="F10929" s="8">
        <v>2530</v>
      </c>
    </row>
    <row r="10930" spans="1:6" ht="12.75">
      <c r="A10930" s="8">
        <v>43899.915046296301</v>
      </c>
      <c r="B10930" s="8" t="str">
        <f>HYPERLINK("https://twitter.com/party_banna","@party_banna")</f>
        <v>@party_banna</v>
      </c>
      <c r="C10930" s="8" t="s">
        <v>1957</v>
      </c>
      <c r="D10930" s="8">
        <v>1049</v>
      </c>
      <c r="E10930" s="8">
        <v>0</v>
      </c>
      <c r="F10930" s="8">
        <v>814</v>
      </c>
    </row>
    <row r="10931" spans="1:6" ht="12.75">
      <c r="A10931" s="8">
        <v>43899.914884259255</v>
      </c>
      <c r="B10931" s="8" t="str">
        <f>HYPERLINK("https://twitter.com/Nations_Choice","@Nations_Choice")</f>
        <v>@Nations_Choice</v>
      </c>
      <c r="C10931" s="8" t="s">
        <v>1957</v>
      </c>
      <c r="D10931" s="8">
        <v>1049</v>
      </c>
      <c r="E10931" s="8">
        <v>0</v>
      </c>
      <c r="F10931" s="8">
        <v>5777</v>
      </c>
    </row>
    <row r="10932" spans="1:6" ht="12.75">
      <c r="A10932" s="8">
        <v>43899.914803240739</v>
      </c>
      <c r="B10932" s="8" t="str">
        <f>HYPERLINK("https://twitter.com/Wangdusun","@Wangdusun")</f>
        <v>@Wangdusun</v>
      </c>
      <c r="C10932" s="8" t="s">
        <v>4637</v>
      </c>
      <c r="D10932" s="8">
        <v>0</v>
      </c>
      <c r="E10932" s="8">
        <v>0</v>
      </c>
      <c r="F10932" s="8">
        <v>3</v>
      </c>
    </row>
    <row r="10933" spans="1:6" ht="12.75">
      <c r="A10933" s="8">
        <v>43899.914143518516</v>
      </c>
      <c r="B10933" s="8" t="str">
        <f>HYPERLINK("https://twitter.com/Celeslondon","@Celeslondon")</f>
        <v>@Celeslondon</v>
      </c>
      <c r="C10933" s="8" t="s">
        <v>4638</v>
      </c>
      <c r="D10933" s="8">
        <v>22311</v>
      </c>
      <c r="E10933" s="8">
        <v>0</v>
      </c>
      <c r="F10933" s="8">
        <v>54</v>
      </c>
    </row>
    <row r="10934" spans="1:6" ht="12.75">
      <c r="A10934" s="8">
        <v>43899.914120370369</v>
      </c>
      <c r="B10934" s="8" t="str">
        <f>HYPERLINK("https://twitter.com/sagarvm040","@sagarvm040")</f>
        <v>@sagarvm040</v>
      </c>
      <c r="C10934" s="8" t="s">
        <v>1808</v>
      </c>
      <c r="D10934" s="8">
        <v>689</v>
      </c>
      <c r="E10934" s="8">
        <v>0</v>
      </c>
      <c r="F10934" s="8">
        <v>81</v>
      </c>
    </row>
    <row r="10935" spans="1:6" ht="12.75">
      <c r="A10935" s="8">
        <v>43899.913912037038</v>
      </c>
      <c r="B10935" s="8" t="str">
        <f>HYPERLINK("https://twitter.com/tribunpontianak","@tribunpontianak")</f>
        <v>@tribunpontianak</v>
      </c>
      <c r="C10935" s="8" t="s">
        <v>4639</v>
      </c>
      <c r="D10935" s="8">
        <v>0</v>
      </c>
      <c r="E10935" s="8">
        <v>0</v>
      </c>
      <c r="F10935" s="8">
        <v>84202</v>
      </c>
    </row>
    <row r="10936" spans="1:6" ht="12.75">
      <c r="A10936" s="8">
        <v>43899.913472222222</v>
      </c>
      <c r="B10936" s="8" t="str">
        <f>HYPERLINK("https://twitter.com/suara1hati","@suara1hati")</f>
        <v>@suara1hati</v>
      </c>
      <c r="C10936" s="8" t="s">
        <v>3265</v>
      </c>
      <c r="D10936" s="8">
        <v>543</v>
      </c>
      <c r="E10936" s="8">
        <v>0</v>
      </c>
      <c r="F10936" s="8">
        <v>1424</v>
      </c>
    </row>
    <row r="10937" spans="1:6" ht="12.75">
      <c r="A10937" s="8">
        <v>43899.913344907407</v>
      </c>
      <c r="B10937" s="8" t="str">
        <f>HYPERLINK("https://twitter.com/va_ats","@va_ats")</f>
        <v>@va_ats</v>
      </c>
      <c r="C10937" s="8" t="s">
        <v>1957</v>
      </c>
      <c r="D10937" s="8">
        <v>1048</v>
      </c>
      <c r="E10937" s="8">
        <v>0</v>
      </c>
      <c r="F10937" s="8">
        <v>33</v>
      </c>
    </row>
    <row r="10938" spans="1:6" ht="12.75">
      <c r="A10938" s="8">
        <v>43899.912777777776</v>
      </c>
      <c r="B10938" s="8" t="str">
        <f>HYPERLINK("https://twitter.com/dhanisNW","@dhanisNW")</f>
        <v>@dhanisNW</v>
      </c>
      <c r="C10938" s="8" t="s">
        <v>4640</v>
      </c>
      <c r="D10938" s="8">
        <v>0</v>
      </c>
      <c r="E10938" s="8">
        <v>0</v>
      </c>
      <c r="F10938" s="8">
        <v>466</v>
      </c>
    </row>
    <row r="10939" spans="1:6" ht="12.75">
      <c r="A10939" s="8">
        <v>43899.912673611107</v>
      </c>
      <c r="B10939" s="8" t="str">
        <f>HYPERLINK("https://twitter.com/dinbag","@dinbag")</f>
        <v>@dinbag</v>
      </c>
      <c r="C10939" s="8" t="s">
        <v>1957</v>
      </c>
      <c r="D10939" s="8">
        <v>1049</v>
      </c>
      <c r="E10939" s="8">
        <v>0</v>
      </c>
      <c r="F10939" s="8">
        <v>172</v>
      </c>
    </row>
    <row r="10940" spans="1:6" ht="12.75">
      <c r="A10940" s="8">
        <v>43899.912245370375</v>
      </c>
      <c r="B10940" s="8" t="str">
        <f>HYPERLINK("https://twitter.com/dubie_tina","@dubie_tina")</f>
        <v>@dubie_tina</v>
      </c>
      <c r="C10940" s="8" t="s">
        <v>4068</v>
      </c>
      <c r="D10940" s="8">
        <v>14</v>
      </c>
      <c r="E10940" s="8">
        <v>0</v>
      </c>
      <c r="F10940" s="8">
        <v>1126</v>
      </c>
    </row>
    <row r="10941" spans="1:6" ht="12.75">
      <c r="A10941" s="8">
        <v>43899.912175925929</v>
      </c>
      <c r="B10941" s="8" t="str">
        <f>HYPERLINK("https://twitter.com/agama_nusantara","@agama_nusantara")</f>
        <v>@agama_nusantara</v>
      </c>
      <c r="C10941" s="8" t="s">
        <v>4641</v>
      </c>
      <c r="D10941" s="8">
        <v>1</v>
      </c>
      <c r="E10941" s="8">
        <v>0</v>
      </c>
      <c r="F10941" s="8">
        <v>7480</v>
      </c>
    </row>
    <row r="10942" spans="1:6" ht="12.75">
      <c r="A10942" s="8">
        <v>43899.911562499998</v>
      </c>
      <c r="B10942" s="8" t="str">
        <f>HYPERLINK("https://twitter.com/kapset","@kapset")</f>
        <v>@kapset</v>
      </c>
      <c r="C10942" s="8" t="s">
        <v>1957</v>
      </c>
      <c r="D10942" s="8">
        <v>1049</v>
      </c>
      <c r="E10942" s="8">
        <v>0</v>
      </c>
      <c r="F10942" s="8">
        <v>353</v>
      </c>
    </row>
    <row r="10943" spans="1:6" ht="12.75">
      <c r="A10943" s="8">
        <v>43899.911273148144</v>
      </c>
      <c r="B10943" s="8" t="str">
        <f>HYPERLINK("https://twitter.com/ekcupcoffee1","@ekcupcoffee1")</f>
        <v>@ekcupcoffee1</v>
      </c>
      <c r="C10943" s="8" t="s">
        <v>1808</v>
      </c>
      <c r="D10943" s="8">
        <v>689</v>
      </c>
      <c r="E10943" s="8">
        <v>0</v>
      </c>
      <c r="F10943" s="8">
        <v>204</v>
      </c>
    </row>
    <row r="10944" spans="1:6" ht="12.75">
      <c r="A10944" s="8">
        <v>43899.910995370374</v>
      </c>
      <c r="B10944" s="8" t="str">
        <f>HYPERLINK("https://twitter.com/bhanuraj_abhi27","@bhanuraj_abhi27")</f>
        <v>@bhanuraj_abhi27</v>
      </c>
      <c r="C10944" s="8" t="s">
        <v>1957</v>
      </c>
      <c r="D10944" s="8">
        <v>1049</v>
      </c>
      <c r="E10944" s="8">
        <v>0</v>
      </c>
      <c r="F10944" s="8">
        <v>45</v>
      </c>
    </row>
    <row r="10945" spans="1:6" ht="12.75">
      <c r="A10945" s="8">
        <v>43899.910798611112</v>
      </c>
      <c r="B10945" s="8" t="str">
        <f>HYPERLINK("https://twitter.com/sanju_bjp4life2","@sanju_bjp4life2")</f>
        <v>@sanju_bjp4life2</v>
      </c>
      <c r="C10945" s="8" t="s">
        <v>4642</v>
      </c>
      <c r="D10945" s="8">
        <v>0</v>
      </c>
      <c r="E10945" s="8">
        <v>0</v>
      </c>
      <c r="F10945" s="8">
        <v>280</v>
      </c>
    </row>
    <row r="10946" spans="1:6" ht="12.75">
      <c r="A10946" s="8">
        <v>43899.910787037035</v>
      </c>
      <c r="B10946" s="8" t="str">
        <f>HYPERLINK("https://twitter.com/voaindonesia","@voaindonesia")</f>
        <v>@voaindonesia</v>
      </c>
      <c r="C10946" s="8" t="s">
        <v>4511</v>
      </c>
      <c r="D10946" s="8">
        <v>0</v>
      </c>
      <c r="E10946" s="8">
        <v>0</v>
      </c>
      <c r="F10946" s="8">
        <v>307995</v>
      </c>
    </row>
    <row r="10947" spans="1:6" ht="12.75">
      <c r="A10947" s="8">
        <v>43899.910613425927</v>
      </c>
      <c r="B10947" s="8" t="str">
        <f>HYPERLINK("https://twitter.com/ruangobrol_id","@ruangobrol_id")</f>
        <v>@ruangobrol_id</v>
      </c>
      <c r="C10947" s="8" t="s">
        <v>4643</v>
      </c>
      <c r="D10947" s="8">
        <v>0</v>
      </c>
      <c r="E10947" s="8">
        <v>0</v>
      </c>
      <c r="F10947" s="8">
        <v>166</v>
      </c>
    </row>
    <row r="10948" spans="1:6" ht="12.75">
      <c r="A10948" s="8">
        <v>43899.910370370373</v>
      </c>
      <c r="B10948" s="8" t="str">
        <f>HYPERLINK("https://twitter.com/narenrajam","@narenrajam")</f>
        <v>@narenrajam</v>
      </c>
      <c r="C10948" s="8" t="s">
        <v>1808</v>
      </c>
      <c r="D10948" s="8">
        <v>689</v>
      </c>
      <c r="E10948" s="8">
        <v>0</v>
      </c>
      <c r="F10948" s="8">
        <v>65</v>
      </c>
    </row>
    <row r="10949" spans="1:6" ht="12.75">
      <c r="A10949" s="8">
        <v>43899.91028935185</v>
      </c>
      <c r="B10949" s="8" t="str">
        <f>HYPERLINK("https://twitter.com/unusualthnkng","@unusualthnkng")</f>
        <v>@unusualthnkng</v>
      </c>
      <c r="C10949" s="8" t="s">
        <v>1957</v>
      </c>
      <c r="D10949" s="8">
        <v>1049</v>
      </c>
      <c r="E10949" s="8">
        <v>0</v>
      </c>
      <c r="F10949" s="8">
        <v>41</v>
      </c>
    </row>
    <row r="10950" spans="1:6" ht="12.75">
      <c r="A10950" s="8">
        <v>43899.910127314812</v>
      </c>
      <c r="B10950" s="8" t="str">
        <f>HYPERLINK("https://twitter.com/valencia_amara","@valencia_amara")</f>
        <v>@valencia_amara</v>
      </c>
      <c r="C10950" s="8" t="s">
        <v>4644</v>
      </c>
      <c r="D10950" s="8">
        <v>1</v>
      </c>
      <c r="E10950" s="8">
        <v>0</v>
      </c>
      <c r="F10950" s="8">
        <v>4935</v>
      </c>
    </row>
    <row r="10951" spans="1:6" ht="12.75">
      <c r="A10951" s="8">
        <v>43899.909849537042</v>
      </c>
      <c r="B10951" s="8" t="str">
        <f>HYPERLINK("https://twitter.com/sofinofianty3","@sofinofianty3")</f>
        <v>@sofinofianty3</v>
      </c>
      <c r="C10951" s="8" t="s">
        <v>4645</v>
      </c>
      <c r="D10951" s="8">
        <v>0</v>
      </c>
      <c r="E10951" s="8">
        <v>0</v>
      </c>
      <c r="F10951" s="8">
        <v>1084</v>
      </c>
    </row>
    <row r="10952" spans="1:6" ht="12.75">
      <c r="A10952" s="8">
        <v>43899.909699074073</v>
      </c>
      <c r="B10952" s="8" t="str">
        <f>HYPERLINK("https://twitter.com/Akshita25470592","@Akshita25470592")</f>
        <v>@Akshita25470592</v>
      </c>
      <c r="C10952" s="8" t="s">
        <v>1957</v>
      </c>
      <c r="D10952" s="8">
        <v>1049</v>
      </c>
      <c r="E10952" s="8">
        <v>0</v>
      </c>
      <c r="F10952" s="8">
        <v>72</v>
      </c>
    </row>
    <row r="10953" spans="1:6" ht="12.75">
      <c r="A10953" s="8">
        <v>43899.909664351857</v>
      </c>
      <c r="B10953" s="8" t="str">
        <f>HYPERLINK("https://twitter.com/RakeshJingade","@RakeshJingade")</f>
        <v>@RakeshJingade</v>
      </c>
      <c r="C10953" s="8" t="s">
        <v>1957</v>
      </c>
      <c r="D10953" s="8">
        <v>1049</v>
      </c>
      <c r="E10953" s="8">
        <v>0</v>
      </c>
      <c r="F10953" s="8">
        <v>1621</v>
      </c>
    </row>
    <row r="10954" spans="1:6" ht="12.75">
      <c r="A10954" s="8">
        <v>43899.909571759257</v>
      </c>
      <c r="B10954" s="8" t="str">
        <f>HYPERLINK("https://twitter.com/ArreyPooja","@ArreyPooja")</f>
        <v>@ArreyPooja</v>
      </c>
      <c r="C10954" s="8" t="s">
        <v>1808</v>
      </c>
      <c r="D10954" s="8">
        <v>689</v>
      </c>
      <c r="E10954" s="8">
        <v>0</v>
      </c>
      <c r="F10954" s="8">
        <v>91</v>
      </c>
    </row>
    <row r="10955" spans="1:6" ht="12.75">
      <c r="A10955" s="8">
        <v>43899.909456018519</v>
      </c>
      <c r="B10955" s="8" t="str">
        <f>HYPERLINK("https://twitter.com/narenrajam","@narenrajam")</f>
        <v>@narenrajam</v>
      </c>
      <c r="C10955" s="8" t="s">
        <v>1957</v>
      </c>
      <c r="D10955" s="8">
        <v>1049</v>
      </c>
      <c r="E10955" s="8">
        <v>0</v>
      </c>
      <c r="F10955" s="8">
        <v>65</v>
      </c>
    </row>
    <row r="10956" spans="1:6" ht="12.75">
      <c r="A10956" s="8">
        <v>43899.909351851849</v>
      </c>
      <c r="B10956" s="8" t="str">
        <f>HYPERLINK("https://twitter.com/mirzalialily","@mirzalialily")</f>
        <v>@mirzalialily</v>
      </c>
      <c r="C10956" s="8" t="s">
        <v>3262</v>
      </c>
      <c r="D10956" s="8">
        <v>202</v>
      </c>
      <c r="E10956" s="8">
        <v>0</v>
      </c>
      <c r="F10956" s="8">
        <v>739</v>
      </c>
    </row>
    <row r="10957" spans="1:6" ht="12.75">
      <c r="A10957" s="8">
        <v>43899.909270833334</v>
      </c>
      <c r="B10957" s="8" t="str">
        <f>HYPERLINK("https://twitter.com/jaamvant","@jaamvant")</f>
        <v>@jaamvant</v>
      </c>
      <c r="C10957" s="8" t="s">
        <v>1808</v>
      </c>
      <c r="D10957" s="8">
        <v>689</v>
      </c>
      <c r="E10957" s="8">
        <v>0</v>
      </c>
      <c r="F10957" s="8">
        <v>92</v>
      </c>
    </row>
    <row r="10958" spans="1:6" ht="12.75">
      <c r="A10958" s="8">
        <v>43899.909120370372</v>
      </c>
      <c r="B10958" s="8" t="str">
        <f>HYPERLINK("https://twitter.com/atlneptun","@atlneptun")</f>
        <v>@atlneptun</v>
      </c>
      <c r="C10958" s="8" t="s">
        <v>4646</v>
      </c>
      <c r="D10958" s="8">
        <v>0</v>
      </c>
      <c r="E10958" s="8">
        <v>0</v>
      </c>
      <c r="F10958" s="8">
        <v>7611</v>
      </c>
    </row>
    <row r="10959" spans="1:6" ht="12.75">
      <c r="A10959" s="8">
        <v>43899.909004629633</v>
      </c>
      <c r="B10959" s="8" t="str">
        <f>HYPERLINK("https://twitter.com/djmahimtura","@djmahimtura")</f>
        <v>@djmahimtura</v>
      </c>
      <c r="C10959" s="8" t="s">
        <v>1957</v>
      </c>
      <c r="D10959" s="8">
        <v>1049</v>
      </c>
      <c r="E10959" s="8">
        <v>0</v>
      </c>
      <c r="F10959" s="8">
        <v>76</v>
      </c>
    </row>
    <row r="10960" spans="1:6" ht="12.75">
      <c r="A10960" s="8">
        <v>43899.908912037034</v>
      </c>
      <c r="B10960" s="8" t="str">
        <f>HYPERLINK("https://twitter.com/GagakNeww2","@GagakNeww2")</f>
        <v>@GagakNeww2</v>
      </c>
      <c r="C10960" s="8" t="s">
        <v>4647</v>
      </c>
      <c r="D10960" s="8">
        <v>1</v>
      </c>
      <c r="E10960" s="8">
        <v>3</v>
      </c>
      <c r="F10960" s="8">
        <v>560</v>
      </c>
    </row>
    <row r="10961" spans="1:6" ht="12.75">
      <c r="A10961" s="8">
        <v>43899.908865740741</v>
      </c>
      <c r="B10961" s="8" t="str">
        <f>HYPERLINK("https://twitter.com/RaviSha35930234","@RaviSha35930234")</f>
        <v>@RaviSha35930234</v>
      </c>
      <c r="C10961" s="8" t="s">
        <v>1957</v>
      </c>
      <c r="D10961" s="8">
        <v>1049</v>
      </c>
      <c r="E10961" s="8">
        <v>0</v>
      </c>
      <c r="F10961" s="8">
        <v>64</v>
      </c>
    </row>
    <row r="10962" spans="1:6" ht="12.75">
      <c r="A10962" s="8">
        <v>43899.908784722225</v>
      </c>
      <c r="B10962" s="8" t="str">
        <f>HYPERLINK("https://twitter.com/hoonjan_191","@hoonjan_191")</f>
        <v>@hoonjan_191</v>
      </c>
      <c r="C10962" s="8" t="s">
        <v>1808</v>
      </c>
      <c r="D10962" s="8">
        <v>689</v>
      </c>
      <c r="E10962" s="8">
        <v>0</v>
      </c>
      <c r="F10962" s="8">
        <v>427</v>
      </c>
    </row>
    <row r="10963" spans="1:6" ht="12.75">
      <c r="A10963" s="8">
        <v>43899.908402777779</v>
      </c>
      <c r="B10963" s="8" t="str">
        <f>HYPERLINK("https://twitter.com/ravinderjands11","@ravinderjands11")</f>
        <v>@ravinderjands11</v>
      </c>
      <c r="C10963" s="8" t="s">
        <v>1957</v>
      </c>
      <c r="D10963" s="8">
        <v>1049</v>
      </c>
      <c r="E10963" s="8">
        <v>0</v>
      </c>
      <c r="F10963" s="8">
        <v>66</v>
      </c>
    </row>
    <row r="10964" spans="1:6" ht="12.75">
      <c r="A10964" s="8">
        <v>43899.908391203702</v>
      </c>
      <c r="B10964" s="8" t="str">
        <f>HYPERLINK("https://twitter.com/CraigL99477906","@CraigL99477906")</f>
        <v>@CraigL99477906</v>
      </c>
      <c r="C10964" s="8" t="s">
        <v>1957</v>
      </c>
      <c r="D10964" s="8">
        <v>1049</v>
      </c>
      <c r="E10964" s="8">
        <v>0</v>
      </c>
      <c r="F10964" s="8">
        <v>3</v>
      </c>
    </row>
    <row r="10965" spans="1:6" ht="12.75">
      <c r="A10965" s="8">
        <v>43899.908368055556</v>
      </c>
      <c r="B10965" s="8" t="str">
        <f>HYPERLINK("https://twitter.com/Amanskid","@Amanskid")</f>
        <v>@Amanskid</v>
      </c>
      <c r="C10965" s="8" t="s">
        <v>3126</v>
      </c>
      <c r="D10965" s="8">
        <v>240</v>
      </c>
      <c r="E10965" s="8">
        <v>0</v>
      </c>
      <c r="F10965" s="8">
        <v>1390</v>
      </c>
    </row>
    <row r="10966" spans="1:6" ht="12.75">
      <c r="A10966" s="8">
        <v>43899.908125000002</v>
      </c>
      <c r="B10966" s="8" t="str">
        <f>HYPERLINK("https://twitter.com/baghel_vinod","@baghel_vinod")</f>
        <v>@baghel_vinod</v>
      </c>
      <c r="C10966" s="8" t="s">
        <v>1957</v>
      </c>
      <c r="D10966" s="8">
        <v>1049</v>
      </c>
      <c r="E10966" s="8">
        <v>0</v>
      </c>
      <c r="F10966" s="8">
        <v>259</v>
      </c>
    </row>
    <row r="10967" spans="1:6" ht="12.75">
      <c r="A10967" s="8">
        <v>43899.907777777778</v>
      </c>
      <c r="B10967" s="8" t="str">
        <f>HYPERLINK("https://twitter.com/kwee_anton","@kwee_anton")</f>
        <v>@kwee_anton</v>
      </c>
      <c r="C10967" s="8" t="s">
        <v>4648</v>
      </c>
      <c r="D10967" s="8">
        <v>0</v>
      </c>
      <c r="E10967" s="8">
        <v>0</v>
      </c>
      <c r="F10967" s="8">
        <v>64</v>
      </c>
    </row>
    <row r="10968" spans="1:6" ht="12.75">
      <c r="A10968" s="8">
        <v>43899.907754629632</v>
      </c>
      <c r="B10968" s="8" t="str">
        <f>HYPERLINK("https://twitter.com/TUKANGUMBAHI","@TUKANGUMBAHI")</f>
        <v>@TUKANGUMBAHI</v>
      </c>
      <c r="C10968" s="8" t="s">
        <v>4649</v>
      </c>
      <c r="D10968" s="8">
        <v>0</v>
      </c>
      <c r="E10968" s="8">
        <v>0</v>
      </c>
      <c r="F10968" s="8">
        <v>552</v>
      </c>
    </row>
    <row r="10969" spans="1:6" ht="12.75">
      <c r="A10969" s="8">
        <v>43899.907581018517</v>
      </c>
      <c r="B10969" s="8" t="str">
        <f>HYPERLINK("https://twitter.com/jaypatel9491","@jaypatel9491")</f>
        <v>@jaypatel9491</v>
      </c>
      <c r="C10969" s="8" t="s">
        <v>1957</v>
      </c>
      <c r="D10969" s="8">
        <v>1049</v>
      </c>
      <c r="E10969" s="8">
        <v>0</v>
      </c>
      <c r="F10969" s="8">
        <v>334</v>
      </c>
    </row>
    <row r="10970" spans="1:6" ht="12.75">
      <c r="A10970" s="8">
        <v>43899.906817129631</v>
      </c>
      <c r="B10970" s="8" t="str">
        <f>HYPERLINK("https://twitter.com/YashKha12250958","@YashKha12250958")</f>
        <v>@YashKha12250958</v>
      </c>
      <c r="C10970" s="8" t="s">
        <v>1957</v>
      </c>
      <c r="D10970" s="8">
        <v>1049</v>
      </c>
      <c r="E10970" s="8">
        <v>0</v>
      </c>
      <c r="F10970" s="8">
        <v>195</v>
      </c>
    </row>
    <row r="10971" spans="1:6" ht="12.75">
      <c r="A10971" s="8">
        <v>43899.906678240739</v>
      </c>
      <c r="B10971" s="8" t="str">
        <f>HYPERLINK("https://twitter.com/Syaiful97337696","@Syaiful97337696")</f>
        <v>@Syaiful97337696</v>
      </c>
      <c r="C10971" s="8" t="s">
        <v>3126</v>
      </c>
      <c r="D10971" s="8">
        <v>240</v>
      </c>
      <c r="E10971" s="8">
        <v>0</v>
      </c>
      <c r="F10971" s="8">
        <v>162</v>
      </c>
    </row>
    <row r="10972" spans="1:6" ht="12.75">
      <c r="A10972" s="8">
        <v>43899.906666666662</v>
      </c>
      <c r="B10972" s="8" t="str">
        <f>HYPERLINK("https://twitter.com/aackthu","@aackthu")</f>
        <v>@aackthu</v>
      </c>
      <c r="C10972" s="8" t="s">
        <v>1957</v>
      </c>
      <c r="D10972" s="8">
        <v>1049</v>
      </c>
      <c r="E10972" s="8">
        <v>0</v>
      </c>
      <c r="F10972" s="8">
        <v>1647</v>
      </c>
    </row>
    <row r="10973" spans="1:6" ht="12.75">
      <c r="A10973" s="8">
        <v>43899.906631944439</v>
      </c>
      <c r="B10973" s="8" t="str">
        <f>HYPERLINK("https://twitter.com/iambidra","@iambidra")</f>
        <v>@iambidra</v>
      </c>
      <c r="C10973" s="8" t="s">
        <v>1957</v>
      </c>
      <c r="D10973" s="8">
        <v>1049</v>
      </c>
      <c r="E10973" s="8">
        <v>0</v>
      </c>
      <c r="F10973" s="8">
        <v>85</v>
      </c>
    </row>
    <row r="10974" spans="1:6" ht="12.75">
      <c r="A10974" s="8">
        <v>43899.906481481477</v>
      </c>
      <c r="B10974" s="8" t="str">
        <f>HYPERLINK("https://twitter.com/dipahindustani","@dipahindustani")</f>
        <v>@dipahindustani</v>
      </c>
      <c r="C10974" s="8" t="s">
        <v>1957</v>
      </c>
      <c r="D10974" s="8">
        <v>1049</v>
      </c>
      <c r="E10974" s="8">
        <v>0</v>
      </c>
      <c r="F10974" s="8">
        <v>3439</v>
      </c>
    </row>
    <row r="10975" spans="1:6" ht="12.75">
      <c r="A10975" s="8">
        <v>43899.906423611115</v>
      </c>
      <c r="B10975" s="8" t="str">
        <f>HYPERLINK("https://twitter.com/Kamo_Pasta","@Kamo_Pasta")</f>
        <v>@Kamo_Pasta</v>
      </c>
      <c r="C10975" s="8" t="s">
        <v>4650</v>
      </c>
      <c r="D10975" s="8">
        <v>31</v>
      </c>
      <c r="E10975" s="8">
        <v>0</v>
      </c>
      <c r="F10975" s="8">
        <v>2493</v>
      </c>
    </row>
    <row r="10976" spans="1:6" ht="12.75">
      <c r="A10976" s="8">
        <v>43899.906412037039</v>
      </c>
      <c r="B10976" s="8" t="str">
        <f>HYPERLINK("https://twitter.com/chubby19752","@chubby19752")</f>
        <v>@chubby19752</v>
      </c>
      <c r="C10976" s="8" t="s">
        <v>1957</v>
      </c>
      <c r="D10976" s="8">
        <v>1049</v>
      </c>
      <c r="E10976" s="8">
        <v>0</v>
      </c>
      <c r="F10976" s="8">
        <v>38</v>
      </c>
    </row>
    <row r="10977" spans="1:6" ht="12.75">
      <c r="A10977" s="8">
        <v>43899.905590277776</v>
      </c>
      <c r="B10977" s="8" t="str">
        <f>HYPERLINK("https://twitter.com/crusader_alone","@crusader_alone")</f>
        <v>@crusader_alone</v>
      </c>
      <c r="C10977" s="8" t="s">
        <v>1957</v>
      </c>
      <c r="D10977" s="8">
        <v>1049</v>
      </c>
      <c r="E10977" s="8">
        <v>0</v>
      </c>
      <c r="F10977" s="8">
        <v>54</v>
      </c>
    </row>
    <row r="10978" spans="1:6" ht="12.75">
      <c r="A10978" s="8">
        <v>43899.905347222222</v>
      </c>
      <c r="B10978" s="8" t="str">
        <f>HYPERLINK("https://twitter.com/kuninggemilang","@kuninggemilang")</f>
        <v>@kuninggemilang</v>
      </c>
      <c r="C10978" s="8" t="s">
        <v>3168</v>
      </c>
      <c r="D10978" s="8">
        <v>45</v>
      </c>
      <c r="E10978" s="8">
        <v>0</v>
      </c>
      <c r="F10978" s="8">
        <v>3903</v>
      </c>
    </row>
    <row r="10979" spans="1:6" ht="12.75">
      <c r="A10979" s="8">
        <v>43899.905300925922</v>
      </c>
      <c r="B10979" s="8" t="str">
        <f>HYPERLINK("https://twitter.com/renaalasyifa1","@renaalasyifa1")</f>
        <v>@renaalasyifa1</v>
      </c>
      <c r="C10979" s="8" t="s">
        <v>4645</v>
      </c>
      <c r="D10979" s="8">
        <v>0</v>
      </c>
      <c r="E10979" s="8">
        <v>1</v>
      </c>
      <c r="F10979" s="8">
        <v>2531</v>
      </c>
    </row>
    <row r="10980" spans="1:6" ht="12.75">
      <c r="A10980" s="8">
        <v>43899.90525462963</v>
      </c>
      <c r="B10980" s="8" t="str">
        <f>HYPERLINK("https://twitter.com/ashutosh_akm","@ashutosh_akm")</f>
        <v>@ashutosh_akm</v>
      </c>
      <c r="C10980" s="8" t="s">
        <v>1957</v>
      </c>
      <c r="D10980" s="8">
        <v>1049</v>
      </c>
      <c r="E10980" s="8">
        <v>0</v>
      </c>
      <c r="F10980" s="8">
        <v>502</v>
      </c>
    </row>
    <row r="10981" spans="1:6" ht="12.75">
      <c r="A10981" s="8">
        <v>43899.905208333337</v>
      </c>
      <c r="B10981" s="8" t="str">
        <f>HYPERLINK("https://twitter.com/ASHISHK93169960","@ASHISHK93169960")</f>
        <v>@ASHISHK93169960</v>
      </c>
      <c r="C10981" s="8" t="s">
        <v>1957</v>
      </c>
      <c r="D10981" s="8">
        <v>1049</v>
      </c>
      <c r="E10981" s="8">
        <v>0</v>
      </c>
      <c r="F10981" s="8">
        <v>54</v>
      </c>
    </row>
    <row r="10982" spans="1:6" ht="12.75">
      <c r="A10982" s="8">
        <v>43899.904826388884</v>
      </c>
      <c r="B10982" s="8" t="str">
        <f>HYPERLINK("https://twitter.com/hendra_hrdn","@hendra_hrdn")</f>
        <v>@hendra_hrdn</v>
      </c>
      <c r="C10982" s="8" t="s">
        <v>4444</v>
      </c>
      <c r="D10982" s="8">
        <v>2</v>
      </c>
      <c r="E10982" s="8">
        <v>0</v>
      </c>
      <c r="F10982" s="8">
        <v>623</v>
      </c>
    </row>
    <row r="10983" spans="1:6" ht="12.75">
      <c r="A10983" s="8">
        <v>43899.904756944445</v>
      </c>
      <c r="B10983" s="8" t="str">
        <f>HYPERLINK("https://twitter.com/Maulana11423281","@Maulana11423281")</f>
        <v>@Maulana11423281</v>
      </c>
      <c r="C10983" s="8" t="s">
        <v>4651</v>
      </c>
      <c r="D10983" s="8">
        <v>63</v>
      </c>
      <c r="E10983" s="8">
        <v>0</v>
      </c>
      <c r="F10983" s="8">
        <v>223</v>
      </c>
    </row>
    <row r="10984" spans="1:6" ht="12.75">
      <c r="A10984" s="8">
        <v>43899.904699074075</v>
      </c>
      <c r="B10984" s="8" t="str">
        <f>HYPERLINK("https://twitter.com/BP3TKI_MATARAM","@BP3TKI_MATARAM")</f>
        <v>@BP3TKI_MATARAM</v>
      </c>
      <c r="C10984" s="8" t="s">
        <v>4652</v>
      </c>
      <c r="D10984" s="8">
        <v>0</v>
      </c>
      <c r="E10984" s="8">
        <v>0</v>
      </c>
      <c r="F10984" s="8">
        <v>433</v>
      </c>
    </row>
    <row r="10985" spans="1:6" ht="12.75">
      <c r="A10985" s="8">
        <v>43899.904537037037</v>
      </c>
      <c r="B10985" s="8" t="str">
        <f>HYPERLINK("https://twitter.com/Noor94Rima","@Noor94Rima")</f>
        <v>@Noor94Rima</v>
      </c>
      <c r="C10985" s="8" t="s">
        <v>1396</v>
      </c>
      <c r="D10985" s="8">
        <v>56</v>
      </c>
      <c r="E10985" s="8">
        <v>0</v>
      </c>
      <c r="F10985" s="8">
        <v>4</v>
      </c>
    </row>
    <row r="10986" spans="1:6" ht="12.75">
      <c r="A10986" s="8">
        <v>43899.90452546296</v>
      </c>
      <c r="B10986" s="8" t="str">
        <f>HYPERLINK("https://twitter.com/fallaciousss","@fallaciousss")</f>
        <v>@fallaciousss</v>
      </c>
      <c r="C10986" s="8" t="s">
        <v>4625</v>
      </c>
      <c r="D10986" s="8">
        <v>20</v>
      </c>
      <c r="E10986" s="8">
        <v>0</v>
      </c>
      <c r="F10986" s="8">
        <v>4</v>
      </c>
    </row>
    <row r="10987" spans="1:6" ht="12.75">
      <c r="A10987" s="8">
        <v>43899.904432870375</v>
      </c>
      <c r="B10987" s="8" t="str">
        <f>HYPERLINK("https://twitter.com/MariawanDede","@MariawanDede")</f>
        <v>@MariawanDede</v>
      </c>
      <c r="C10987" s="8" t="s">
        <v>4653</v>
      </c>
      <c r="D10987" s="8">
        <v>0</v>
      </c>
      <c r="E10987" s="8">
        <v>0</v>
      </c>
      <c r="F10987" s="8">
        <v>1890</v>
      </c>
    </row>
    <row r="10988" spans="1:6" ht="12.75">
      <c r="A10988" s="8">
        <v>43899.90425925926</v>
      </c>
      <c r="B10988" s="8" t="str">
        <f>HYPERLINK("https://twitter.com/dbcndtn","@dbcndtn")</f>
        <v>@dbcndtn</v>
      </c>
      <c r="C10988" s="8" t="s">
        <v>4654</v>
      </c>
      <c r="D10988" s="8">
        <v>0</v>
      </c>
      <c r="E10988" s="8">
        <v>0</v>
      </c>
      <c r="F10988" s="8">
        <v>69</v>
      </c>
    </row>
    <row r="10989" spans="1:6" ht="12.75">
      <c r="A10989" s="8">
        <v>43899.90415509259</v>
      </c>
      <c r="B10989" s="8" t="str">
        <f>HYPERLINK("https://twitter.com/irvanjuniant","@irvanjuniant")</f>
        <v>@irvanjuniant</v>
      </c>
      <c r="C10989" s="8" t="s">
        <v>2199</v>
      </c>
      <c r="D10989" s="8">
        <v>9107</v>
      </c>
      <c r="E10989" s="8">
        <v>0</v>
      </c>
      <c r="F10989" s="8">
        <v>558</v>
      </c>
    </row>
    <row r="10990" spans="1:6" ht="12.75">
      <c r="A10990" s="8">
        <v>43899.904004629629</v>
      </c>
      <c r="B10990" s="8" t="str">
        <f>HYPERLINK("https://twitter.com/marwaribania","@marwaribania")</f>
        <v>@marwaribania</v>
      </c>
      <c r="C10990" s="8" t="s">
        <v>1957</v>
      </c>
      <c r="D10990" s="8">
        <v>1049</v>
      </c>
      <c r="E10990" s="8">
        <v>0</v>
      </c>
      <c r="F10990" s="8">
        <v>112</v>
      </c>
    </row>
    <row r="10991" spans="1:6" ht="12.75">
      <c r="A10991" s="8">
        <v>43899.903784722221</v>
      </c>
      <c r="B10991" s="8" t="str">
        <f>HYPERLINK("https://twitter.com/Pandit_Ji_719","@Pandit_Ji_719")</f>
        <v>@Pandit_Ji_719</v>
      </c>
      <c r="C10991" s="8" t="s">
        <v>1957</v>
      </c>
      <c r="D10991" s="8">
        <v>1049</v>
      </c>
      <c r="E10991" s="8">
        <v>0</v>
      </c>
      <c r="F10991" s="8">
        <v>436</v>
      </c>
    </row>
    <row r="10992" spans="1:6" ht="12.75">
      <c r="A10992" s="8">
        <v>43899.903784722221</v>
      </c>
      <c r="B10992" s="8" t="str">
        <f>HYPERLINK("https://twitter.com/ravi527james","@ravi527james")</f>
        <v>@ravi527james</v>
      </c>
      <c r="C10992" s="8" t="s">
        <v>1957</v>
      </c>
      <c r="D10992" s="8">
        <v>1049</v>
      </c>
      <c r="E10992" s="8">
        <v>0</v>
      </c>
      <c r="F10992" s="8">
        <v>5</v>
      </c>
    </row>
    <row r="10993" spans="1:6" ht="12.75">
      <c r="A10993" s="8">
        <v>43899.903726851851</v>
      </c>
      <c r="B10993" s="8" t="str">
        <f>HYPERLINK("https://twitter.com/slametwasngad","@slametwasngad")</f>
        <v>@slametwasngad</v>
      </c>
      <c r="C10993" s="8" t="s">
        <v>3126</v>
      </c>
      <c r="D10993" s="8">
        <v>240</v>
      </c>
      <c r="E10993" s="8">
        <v>0</v>
      </c>
      <c r="F10993" s="8">
        <v>239</v>
      </c>
    </row>
    <row r="10994" spans="1:6" ht="12.75">
      <c r="A10994" s="8">
        <v>43899.881736111114</v>
      </c>
      <c r="B10994" s="8" t="str">
        <f>HYPERLINK("https://twitter.com/Shatruspeak","@Shatruspeak")</f>
        <v>@Shatruspeak</v>
      </c>
      <c r="C10994" s="8" t="s">
        <v>1917</v>
      </c>
      <c r="D10994" s="8">
        <v>1493</v>
      </c>
      <c r="E10994" s="8">
        <v>0</v>
      </c>
      <c r="F10994" s="8">
        <v>175</v>
      </c>
    </row>
    <row r="10995" spans="1:6" ht="12.75">
      <c r="A10995" s="8">
        <v>43899.881689814814</v>
      </c>
      <c r="B10995" s="8" t="str">
        <f>HYPERLINK("https://twitter.com/alifakbarputra","@alifakbarputra")</f>
        <v>@alifakbarputra</v>
      </c>
      <c r="C10995" s="8" t="s">
        <v>4236</v>
      </c>
      <c r="D10995" s="8">
        <v>1</v>
      </c>
      <c r="E10995" s="8">
        <v>0</v>
      </c>
      <c r="F10995" s="8">
        <v>419</v>
      </c>
    </row>
    <row r="10996" spans="1:6" ht="12.75">
      <c r="A10996" s="8">
        <v>43899.881249999999</v>
      </c>
      <c r="B10996" s="8" t="str">
        <f>HYPERLINK("https://twitter.com/SarahHapsarii","@SarahHapsarii")</f>
        <v>@SarahHapsarii</v>
      </c>
      <c r="C10996" s="8" t="s">
        <v>4655</v>
      </c>
      <c r="D10996" s="8">
        <v>0</v>
      </c>
      <c r="E10996" s="8">
        <v>0</v>
      </c>
      <c r="F10996" s="8">
        <v>1757</v>
      </c>
    </row>
    <row r="10997" spans="1:6" ht="12.75">
      <c r="A10997" s="8">
        <v>43899.881064814814</v>
      </c>
      <c r="B10997" s="8" t="str">
        <f>HYPERLINK("https://twitter.com/news_outsiders","@news_outsiders")</f>
        <v>@news_outsiders</v>
      </c>
      <c r="C10997" s="8" t="s">
        <v>4656</v>
      </c>
      <c r="D10997" s="8">
        <v>0</v>
      </c>
      <c r="E10997" s="8">
        <v>0</v>
      </c>
      <c r="F10997" s="8">
        <v>115</v>
      </c>
    </row>
    <row r="10998" spans="1:6" ht="12.75">
      <c r="A10998" s="8">
        <v>43899.88076388889</v>
      </c>
      <c r="B10998" s="8" t="str">
        <f>HYPERLINK("https://twitter.com/MatruBhakt","@MatruBhakt")</f>
        <v>@MatruBhakt</v>
      </c>
      <c r="C10998" s="8" t="s">
        <v>1957</v>
      </c>
      <c r="D10998" s="8">
        <v>942</v>
      </c>
      <c r="E10998" s="8">
        <v>0</v>
      </c>
      <c r="F10998" s="8">
        <v>9863</v>
      </c>
    </row>
    <row r="10999" spans="1:6" ht="12.75">
      <c r="A10999" s="8">
        <v>43899.880601851852</v>
      </c>
      <c r="B10999" s="8" t="str">
        <f>HYPERLINK("https://twitter.com/Rakisdianrd","@Rakisdianrd")</f>
        <v>@Rakisdianrd</v>
      </c>
      <c r="C10999" s="8" t="s">
        <v>4377</v>
      </c>
      <c r="D10999" s="8">
        <v>17</v>
      </c>
      <c r="E10999" s="8">
        <v>0</v>
      </c>
      <c r="F10999" s="8">
        <v>365</v>
      </c>
    </row>
    <row r="11000" spans="1:6" ht="12.75">
      <c r="A11000" s="8">
        <v>43899.880312499998</v>
      </c>
      <c r="B11000" s="8" t="str">
        <f>HYPERLINK("https://twitter.com/wongFFwong","@wongFFwong")</f>
        <v>@wongFFwong</v>
      </c>
      <c r="C11000" s="8" t="s">
        <v>3969</v>
      </c>
      <c r="D11000" s="8">
        <v>35</v>
      </c>
      <c r="E11000" s="8">
        <v>0</v>
      </c>
      <c r="F11000" s="8">
        <v>167</v>
      </c>
    </row>
    <row r="11001" spans="1:6" ht="12.75">
      <c r="A11001" s="8">
        <v>43899.880162037036</v>
      </c>
      <c r="B11001" s="8" t="str">
        <f>HYPERLINK("https://twitter.com/MochAskar1","@MochAskar1")</f>
        <v>@MochAskar1</v>
      </c>
      <c r="C11001" s="8" t="s">
        <v>4068</v>
      </c>
      <c r="D11001" s="8">
        <v>10</v>
      </c>
      <c r="E11001" s="8">
        <v>0</v>
      </c>
      <c r="F11001" s="8">
        <v>33</v>
      </c>
    </row>
    <row r="11002" spans="1:6" ht="12.75">
      <c r="A11002" s="8">
        <v>43899.880011574074</v>
      </c>
      <c r="B11002" s="8" t="str">
        <f>HYPERLINK("https://twitter.com/LangitnyaCerah","@LangitnyaCerah")</f>
        <v>@LangitnyaCerah</v>
      </c>
      <c r="C11002" s="8" t="s">
        <v>4290</v>
      </c>
      <c r="D11002" s="8">
        <v>2</v>
      </c>
      <c r="E11002" s="8">
        <v>0</v>
      </c>
      <c r="F11002" s="8">
        <v>4478</v>
      </c>
    </row>
    <row r="11003" spans="1:6" ht="12.75">
      <c r="A11003" s="8">
        <v>43899.87981481482</v>
      </c>
      <c r="B11003" s="8" t="str">
        <f>HYPERLINK("https://twitter.com/TkkSureshKumar","@TkkSureshKumar")</f>
        <v>@TkkSureshKumar</v>
      </c>
      <c r="C11003" s="8" t="s">
        <v>1957</v>
      </c>
      <c r="D11003" s="8">
        <v>942</v>
      </c>
      <c r="E11003" s="8">
        <v>0</v>
      </c>
      <c r="F11003" s="8">
        <v>6550</v>
      </c>
    </row>
    <row r="11004" spans="1:6" ht="12.75">
      <c r="A11004" s="8">
        <v>43899.87981481482</v>
      </c>
      <c r="B11004" s="8" t="str">
        <f>HYPERLINK("https://twitter.com/jokosamudra1","@jokosamudra1")</f>
        <v>@jokosamudra1</v>
      </c>
      <c r="C11004" s="8" t="s">
        <v>3969</v>
      </c>
      <c r="D11004" s="8">
        <v>35</v>
      </c>
      <c r="E11004" s="8">
        <v>0</v>
      </c>
      <c r="F11004" s="8">
        <v>49</v>
      </c>
    </row>
    <row r="11005" spans="1:6" ht="12.75">
      <c r="A11005" s="8">
        <v>43899.87981481482</v>
      </c>
      <c r="B11005" s="8" t="str">
        <f>HYPERLINK("https://twitter.com/TheArieAir","@TheArieAir")</f>
        <v>@TheArieAir</v>
      </c>
      <c r="C11005" s="8" t="s">
        <v>4290</v>
      </c>
      <c r="D11005" s="8">
        <v>2</v>
      </c>
      <c r="E11005" s="8">
        <v>0</v>
      </c>
      <c r="F11005" s="8">
        <v>88806</v>
      </c>
    </row>
    <row r="11006" spans="1:6" ht="12.75">
      <c r="A11006" s="8">
        <v>43899.879571759258</v>
      </c>
      <c r="B11006" s="8" t="str">
        <f>HYPERLINK("https://twitter.com/alifwiralodra","@alifwiralodra")</f>
        <v>@alifwiralodra</v>
      </c>
      <c r="C11006" s="8" t="s">
        <v>4657</v>
      </c>
      <c r="D11006" s="8">
        <v>2</v>
      </c>
      <c r="E11006" s="8">
        <v>2</v>
      </c>
      <c r="F11006" s="8">
        <v>8191</v>
      </c>
    </row>
    <row r="11007" spans="1:6" ht="12.75">
      <c r="A11007" s="8">
        <v>43899.879236111112</v>
      </c>
      <c r="B11007" s="8" t="str">
        <f>HYPERLINK("https://twitter.com/desi_taddka","@desi_taddka")</f>
        <v>@desi_taddka</v>
      </c>
      <c r="C11007" s="8" t="s">
        <v>1957</v>
      </c>
      <c r="D11007" s="8">
        <v>942</v>
      </c>
      <c r="E11007" s="8">
        <v>0</v>
      </c>
      <c r="F11007" s="8">
        <v>70</v>
      </c>
    </row>
    <row r="11008" spans="1:6" ht="12.75">
      <c r="A11008" s="8">
        <v>43899.879178240742</v>
      </c>
      <c r="B11008" s="8" t="str">
        <f>HYPERLINK("https://twitter.com/manoj_k90","@manoj_k90")</f>
        <v>@manoj_k90</v>
      </c>
      <c r="C11008" s="8" t="s">
        <v>1957</v>
      </c>
      <c r="D11008" s="8">
        <v>942</v>
      </c>
      <c r="E11008" s="8">
        <v>0</v>
      </c>
      <c r="F11008" s="8">
        <v>402</v>
      </c>
    </row>
    <row r="11009" spans="1:6" ht="12.75">
      <c r="A11009" s="8">
        <v>43899.879108796296</v>
      </c>
      <c r="B11009" s="8" t="str">
        <f>HYPERLINK("https://twitter.com/isis_janelle","@isis_janelle")</f>
        <v>@isis_janelle</v>
      </c>
      <c r="C11009" s="8" t="s">
        <v>4658</v>
      </c>
      <c r="D11009" s="8">
        <v>0</v>
      </c>
      <c r="E11009" s="8">
        <v>0</v>
      </c>
      <c r="F11009" s="8">
        <v>81</v>
      </c>
    </row>
    <row r="11010" spans="1:6" ht="12.75">
      <c r="A11010" s="8">
        <v>43899.879027777773</v>
      </c>
      <c r="B11010" s="8" t="str">
        <f>HYPERLINK("https://twitter.com/koecing_hutan","@koecing_hutan")</f>
        <v>@koecing_hutan</v>
      </c>
      <c r="C11010" s="8" t="s">
        <v>4659</v>
      </c>
      <c r="D11010" s="8">
        <v>0</v>
      </c>
      <c r="E11010" s="8">
        <v>0</v>
      </c>
      <c r="F11010" s="8">
        <v>423</v>
      </c>
    </row>
    <row r="11011" spans="1:6" ht="12.75">
      <c r="A11011" s="8">
        <v>43899.878784722227</v>
      </c>
      <c r="B11011" s="8" t="str">
        <f>HYPERLINK("https://twitter.com/muji_haryaka","@muji_haryaka")</f>
        <v>@muji_haryaka</v>
      </c>
      <c r="C11011" s="8" t="s">
        <v>4068</v>
      </c>
      <c r="D11011" s="8">
        <v>10</v>
      </c>
      <c r="E11011" s="8">
        <v>0</v>
      </c>
      <c r="F11011" s="8">
        <v>1162</v>
      </c>
    </row>
    <row r="11012" spans="1:6" ht="12.75">
      <c r="A11012" s="8">
        <v>43899.878078703703</v>
      </c>
      <c r="B11012" s="8" t="str">
        <f>HYPERLINK("https://twitter.com/kya_kaam_hai","@kya_kaam_hai")</f>
        <v>@kya_kaam_hai</v>
      </c>
      <c r="C11012" s="8" t="s">
        <v>1957</v>
      </c>
      <c r="D11012" s="8">
        <v>942</v>
      </c>
      <c r="E11012" s="8">
        <v>0</v>
      </c>
      <c r="F11012" s="8">
        <v>110</v>
      </c>
    </row>
    <row r="11013" spans="1:6" ht="12.75">
      <c r="A11013" s="8">
        <v>43899.877893518518</v>
      </c>
      <c r="B11013" s="8" t="str">
        <f>HYPERLINK("https://twitter.com/RamdhanieAgus","@RamdhanieAgus")</f>
        <v>@RamdhanieAgus</v>
      </c>
      <c r="C11013" s="8" t="s">
        <v>4660</v>
      </c>
      <c r="D11013" s="8">
        <v>2463</v>
      </c>
      <c r="E11013" s="8">
        <v>0</v>
      </c>
      <c r="F11013" s="8">
        <v>14</v>
      </c>
    </row>
    <row r="11014" spans="1:6" ht="12.75">
      <c r="A11014" s="8">
        <v>43899.877847222218</v>
      </c>
      <c r="B11014" s="8" t="str">
        <f>HYPERLINK("https://twitter.com/slc53736650","@slc53736650")</f>
        <v>@slc53736650</v>
      </c>
      <c r="C11014" s="8" t="s">
        <v>1957</v>
      </c>
      <c r="D11014" s="8">
        <v>942</v>
      </c>
      <c r="E11014" s="8">
        <v>0</v>
      </c>
      <c r="F11014" s="8">
        <v>233</v>
      </c>
    </row>
    <row r="11015" spans="1:6" ht="12.75">
      <c r="A11015" s="8">
        <v>43899.877604166672</v>
      </c>
      <c r="B11015" s="8" t="str">
        <f>HYPERLINK("https://twitter.com/Ravi46937646","@Ravi46937646")</f>
        <v>@Ravi46937646</v>
      </c>
      <c r="C11015" s="8" t="s">
        <v>1808</v>
      </c>
      <c r="D11015" s="8">
        <v>656</v>
      </c>
      <c r="E11015" s="8">
        <v>0</v>
      </c>
      <c r="F11015" s="8">
        <v>13</v>
      </c>
    </row>
    <row r="11016" spans="1:6" ht="12.75">
      <c r="A11016" s="8">
        <v>43899.877500000002</v>
      </c>
      <c r="B11016" s="8" t="str">
        <f>HYPERLINK("https://twitter.com/vishaljagli","@vishaljagli")</f>
        <v>@vishaljagli</v>
      </c>
      <c r="C11016" s="8" t="s">
        <v>1957</v>
      </c>
      <c r="D11016" s="8">
        <v>942</v>
      </c>
      <c r="E11016" s="8">
        <v>0</v>
      </c>
      <c r="F11016" s="8">
        <v>156</v>
      </c>
    </row>
    <row r="11017" spans="1:6" ht="12.75">
      <c r="A11017" s="8">
        <v>43899.877326388887</v>
      </c>
      <c r="B11017" s="8" t="str">
        <f>HYPERLINK("https://twitter.com/fightacnescars","@fightacnescars")</f>
        <v>@fightacnescars</v>
      </c>
      <c r="C11017" s="8" t="s">
        <v>4661</v>
      </c>
      <c r="D11017" s="8">
        <v>0</v>
      </c>
      <c r="E11017" s="8">
        <v>0</v>
      </c>
      <c r="F11017" s="8">
        <v>491</v>
      </c>
    </row>
    <row r="11018" spans="1:6" ht="12.75">
      <c r="A11018" s="8">
        <v>43899.877222222218</v>
      </c>
      <c r="B11018" s="8" t="str">
        <f>HYPERLINK("https://twitter.com/GantenkSeno","@GantenkSeno")</f>
        <v>@GantenkSeno</v>
      </c>
      <c r="C11018" s="8" t="s">
        <v>4662</v>
      </c>
      <c r="D11018" s="8">
        <v>0</v>
      </c>
      <c r="E11018" s="8">
        <v>2</v>
      </c>
      <c r="F11018" s="8">
        <v>2304</v>
      </c>
    </row>
    <row r="11019" spans="1:6" ht="12.75">
      <c r="A11019" s="8">
        <v>43899.877071759256</v>
      </c>
      <c r="B11019" s="8" t="str">
        <f>HYPERLINK("https://twitter.com/NairAvis","@NairAvis")</f>
        <v>@NairAvis</v>
      </c>
      <c r="C11019" s="8" t="s">
        <v>1957</v>
      </c>
      <c r="D11019" s="8">
        <v>942</v>
      </c>
      <c r="E11019" s="8">
        <v>0</v>
      </c>
      <c r="F11019" s="8">
        <v>15</v>
      </c>
    </row>
    <row r="11020" spans="1:6" ht="12.75">
      <c r="A11020" s="8">
        <v>43899.876944444448</v>
      </c>
      <c r="B11020" s="8" t="str">
        <f>HYPERLINK("https://twitter.com/avi_saxena","@avi_saxena")</f>
        <v>@avi_saxena</v>
      </c>
      <c r="C11020" s="8" t="s">
        <v>1808</v>
      </c>
      <c r="D11020" s="8">
        <v>656</v>
      </c>
      <c r="E11020" s="8">
        <v>0</v>
      </c>
      <c r="F11020" s="8">
        <v>1782</v>
      </c>
    </row>
    <row r="11021" spans="1:6" ht="12.75">
      <c r="A11021" s="8">
        <v>43899.876898148148</v>
      </c>
      <c r="B11021" s="8" t="str">
        <f>HYPERLINK("https://twitter.com/Dave_Carli","@Dave_Carli")</f>
        <v>@Dave_Carli</v>
      </c>
      <c r="C11021" s="8" t="s">
        <v>4663</v>
      </c>
      <c r="D11021" s="8">
        <v>2</v>
      </c>
      <c r="E11021" s="8">
        <v>0</v>
      </c>
      <c r="F11021" s="8">
        <v>360</v>
      </c>
    </row>
    <row r="11022" spans="1:6" ht="12.75">
      <c r="A11022" s="8">
        <v>43899.876666666663</v>
      </c>
      <c r="B11022" s="8" t="str">
        <f>HYPERLINK("https://twitter.com/gendro_kesesi","@gendro_kesesi")</f>
        <v>@gendro_kesesi</v>
      </c>
      <c r="C11022" s="8" t="s">
        <v>4664</v>
      </c>
      <c r="D11022" s="8">
        <v>30</v>
      </c>
      <c r="E11022" s="8">
        <v>0</v>
      </c>
      <c r="F11022" s="8">
        <v>973</v>
      </c>
    </row>
    <row r="11023" spans="1:6" ht="12.75">
      <c r="A11023" s="8">
        <v>43899.876377314809</v>
      </c>
      <c r="B11023" s="8" t="str">
        <f>HYPERLINK("https://twitter.com/Madelin252","@Madelin252")</f>
        <v>@Madelin252</v>
      </c>
      <c r="C11023" s="8" t="s">
        <v>4665</v>
      </c>
      <c r="D11023" s="8">
        <v>1</v>
      </c>
      <c r="E11023" s="8">
        <v>0</v>
      </c>
      <c r="F11023" s="8">
        <v>1286</v>
      </c>
    </row>
    <row r="11024" spans="1:6" ht="12.75">
      <c r="A11024" s="8">
        <v>43899.876261574071</v>
      </c>
      <c r="B11024" s="8" t="str">
        <f>HYPERLINK("https://twitter.com/LathaRamaswamy","@LathaRamaswamy")</f>
        <v>@LathaRamaswamy</v>
      </c>
      <c r="C11024" s="8" t="s">
        <v>1808</v>
      </c>
      <c r="D11024" s="8">
        <v>656</v>
      </c>
      <c r="E11024" s="8">
        <v>0</v>
      </c>
      <c r="F11024" s="8">
        <v>314</v>
      </c>
    </row>
    <row r="11025" spans="1:6" ht="12.75">
      <c r="A11025" s="8">
        <v>43899.876238425924</v>
      </c>
      <c r="B11025" s="8" t="str">
        <f>HYPERLINK("https://twitter.com/zaa_darani","@zaa_darani")</f>
        <v>@zaa_darani</v>
      </c>
      <c r="C11025" s="8" t="s">
        <v>4666</v>
      </c>
      <c r="D11025" s="8">
        <v>0</v>
      </c>
      <c r="E11025" s="8">
        <v>0</v>
      </c>
      <c r="F11025" s="8">
        <v>2</v>
      </c>
    </row>
    <row r="11026" spans="1:6" ht="12.75">
      <c r="A11026" s="8">
        <v>43899.876238425924</v>
      </c>
      <c r="B11026" s="8" t="str">
        <f>HYPERLINK("https://twitter.com/ISIS_Balik_NO","@ISIS_Balik_NO")</f>
        <v>@ISIS_Balik_NO</v>
      </c>
      <c r="C11026" s="8" t="s">
        <v>4667</v>
      </c>
      <c r="D11026" s="8">
        <v>168</v>
      </c>
      <c r="E11026" s="8">
        <v>0</v>
      </c>
      <c r="F11026" s="8">
        <v>6222</v>
      </c>
    </row>
    <row r="11027" spans="1:6" ht="12.75">
      <c r="A11027" s="8">
        <v>43899.876192129625</v>
      </c>
      <c r="B11027" s="8" t="str">
        <f>HYPERLINK("https://twitter.com/Sofianasution1","@Sofianasution1")</f>
        <v>@Sofianasution1</v>
      </c>
      <c r="C11027" s="8" t="s">
        <v>4655</v>
      </c>
      <c r="D11027" s="8">
        <v>1</v>
      </c>
      <c r="E11027" s="8">
        <v>2</v>
      </c>
      <c r="F11027" s="8">
        <v>3121</v>
      </c>
    </row>
    <row r="11028" spans="1:6" ht="12.75">
      <c r="A11028" s="8">
        <v>43899.876087962963</v>
      </c>
      <c r="B11028" s="8" t="str">
        <f>HYPERLINK("https://twitter.com/soloposdotcom","@soloposdotcom")</f>
        <v>@soloposdotcom</v>
      </c>
      <c r="C11028" s="8" t="s">
        <v>4668</v>
      </c>
      <c r="D11028" s="8">
        <v>0</v>
      </c>
      <c r="E11028" s="8">
        <v>0</v>
      </c>
      <c r="F11028" s="8">
        <v>60031</v>
      </c>
    </row>
    <row r="11029" spans="1:6" ht="12.75">
      <c r="A11029" s="8">
        <v>43899.875937500001</v>
      </c>
      <c r="B11029" s="8" t="str">
        <f>HYPERLINK("https://twitter.com/boytoy0001","@boytoy0001")</f>
        <v>@boytoy0001</v>
      </c>
      <c r="C11029" s="8" t="s">
        <v>1957</v>
      </c>
      <c r="D11029" s="8">
        <v>942</v>
      </c>
      <c r="E11029" s="8">
        <v>0</v>
      </c>
      <c r="F11029" s="8">
        <v>1120</v>
      </c>
    </row>
    <row r="11030" spans="1:6" ht="12.75">
      <c r="A11030" s="8">
        <v>43899.875740740739</v>
      </c>
      <c r="B11030" s="8" t="str">
        <f>HYPERLINK("https://twitter.com/SabrinaRamle","@SabrinaRamle")</f>
        <v>@SabrinaRamle</v>
      </c>
      <c r="C11030" s="8" t="s">
        <v>4669</v>
      </c>
      <c r="D11030" s="8">
        <v>0</v>
      </c>
      <c r="E11030" s="8">
        <v>0</v>
      </c>
      <c r="F11030" s="8">
        <v>160</v>
      </c>
    </row>
    <row r="11031" spans="1:6" ht="12.75">
      <c r="A11031" s="8">
        <v>43899.875023148154</v>
      </c>
      <c r="B11031" s="8" t="str">
        <f>HYPERLINK("https://twitter.com/madhurbhaiya","@madhurbhaiya")</f>
        <v>@madhurbhaiya</v>
      </c>
      <c r="C11031" s="8" t="s">
        <v>1957</v>
      </c>
      <c r="D11031" s="8">
        <v>942</v>
      </c>
      <c r="E11031" s="8">
        <v>0</v>
      </c>
      <c r="F11031" s="8">
        <v>1404</v>
      </c>
    </row>
    <row r="11032" spans="1:6" ht="12.75">
      <c r="A11032" s="8">
        <v>43899.875</v>
      </c>
      <c r="B11032" s="8" t="str">
        <f>HYPERLINK("https://twitter.com/ihimanshusahu","@ihimanshusahu")</f>
        <v>@ihimanshusahu</v>
      </c>
      <c r="C11032" s="8" t="s">
        <v>1957</v>
      </c>
      <c r="D11032" s="8">
        <v>942</v>
      </c>
      <c r="E11032" s="8">
        <v>0</v>
      </c>
      <c r="F11032" s="8">
        <v>95</v>
      </c>
    </row>
    <row r="11033" spans="1:6" ht="12.75">
      <c r="A11033" s="8">
        <v>43899.874328703707</v>
      </c>
      <c r="B11033" s="8" t="str">
        <f>HYPERLINK("https://twitter.com/mhetar_akshay","@mhetar_akshay")</f>
        <v>@mhetar_akshay</v>
      </c>
      <c r="C11033" s="8" t="s">
        <v>1957</v>
      </c>
      <c r="D11033" s="8">
        <v>942</v>
      </c>
      <c r="E11033" s="8">
        <v>0</v>
      </c>
      <c r="F11033" s="8">
        <v>48</v>
      </c>
    </row>
    <row r="11034" spans="1:6" ht="12.75">
      <c r="A11034" s="8">
        <v>43899.874282407407</v>
      </c>
      <c r="B11034" s="8" t="str">
        <f>HYPERLINK("https://twitter.com/apuyman1","@apuyman1")</f>
        <v>@apuyman1</v>
      </c>
      <c r="C11034" s="8" t="s">
        <v>4670</v>
      </c>
      <c r="D11034" s="8">
        <v>2</v>
      </c>
      <c r="E11034" s="8">
        <v>0</v>
      </c>
      <c r="F11034" s="8">
        <v>590</v>
      </c>
    </row>
    <row r="11035" spans="1:6" ht="12.75">
      <c r="A11035" s="8">
        <v>43899.873981481476</v>
      </c>
      <c r="B11035" s="8" t="str">
        <f>HYPERLINK("https://twitter.com/egharap","@egharap")</f>
        <v>@egharap</v>
      </c>
      <c r="C11035" s="8" t="s">
        <v>4671</v>
      </c>
      <c r="D11035" s="8">
        <v>1</v>
      </c>
      <c r="E11035" s="8">
        <v>2</v>
      </c>
      <c r="F11035" s="8">
        <v>330</v>
      </c>
    </row>
    <row r="11036" spans="1:6" ht="12.75">
      <c r="A11036" s="8">
        <v>43899.873402777783</v>
      </c>
      <c r="B11036" s="8" t="str">
        <f>HYPERLINK("https://twitter.com/YepadiBaika","@YepadiBaika")</f>
        <v>@YepadiBaika</v>
      </c>
      <c r="C11036" s="8" t="s">
        <v>1957</v>
      </c>
      <c r="D11036" s="8">
        <v>942</v>
      </c>
      <c r="E11036" s="8">
        <v>0</v>
      </c>
      <c r="F11036" s="8">
        <v>241</v>
      </c>
    </row>
    <row r="11037" spans="1:6" ht="12.75">
      <c r="A11037" s="8">
        <v>43899.873391203699</v>
      </c>
      <c r="B11037" s="8" t="str">
        <f>HYPERLINK("https://twitter.com/_wni_","@_wni_")</f>
        <v>@_wni_</v>
      </c>
      <c r="C11037" s="8" t="s">
        <v>4672</v>
      </c>
      <c r="D11037" s="8">
        <v>0</v>
      </c>
      <c r="E11037" s="8">
        <v>1</v>
      </c>
      <c r="F11037" s="8">
        <v>21</v>
      </c>
    </row>
    <row r="11038" spans="1:6" ht="12.75">
      <c r="A11038" s="8">
        <v>43899.873310185183</v>
      </c>
      <c r="B11038" s="8" t="str">
        <f>HYPERLINK("https://twitter.com/172263bff5c8473","@172263bff5c8473")</f>
        <v>@172263bff5c8473</v>
      </c>
      <c r="C11038" s="8" t="s">
        <v>1808</v>
      </c>
      <c r="D11038" s="8">
        <v>656</v>
      </c>
      <c r="E11038" s="8">
        <v>0</v>
      </c>
      <c r="F11038" s="8">
        <v>537</v>
      </c>
    </row>
    <row r="11039" spans="1:6" ht="12.75">
      <c r="A11039" s="8">
        <v>43899.873287037037</v>
      </c>
      <c r="B11039" s="8" t="str">
        <f>HYPERLINK("https://twitter.com/AdielDevis","@AdielDevis")</f>
        <v>@AdielDevis</v>
      </c>
      <c r="C11039" s="8" t="s">
        <v>4194</v>
      </c>
      <c r="D11039" s="8">
        <v>6</v>
      </c>
      <c r="E11039" s="8">
        <v>0</v>
      </c>
      <c r="F11039" s="8">
        <v>617</v>
      </c>
    </row>
    <row r="11040" spans="1:6" ht="12.75">
      <c r="A11040" s="8">
        <v>43899.873101851852</v>
      </c>
      <c r="B11040" s="8" t="str">
        <f>HYPERLINK("https://twitter.com/ekanzoy","@ekanzoy")</f>
        <v>@ekanzoy</v>
      </c>
      <c r="C11040" s="8" t="s">
        <v>4673</v>
      </c>
      <c r="D11040" s="8">
        <v>0</v>
      </c>
      <c r="E11040" s="8">
        <v>0</v>
      </c>
      <c r="F11040" s="8">
        <v>170</v>
      </c>
    </row>
    <row r="11041" spans="1:6" ht="12.75">
      <c r="A11041" s="8">
        <v>43899.872407407413</v>
      </c>
      <c r="B11041" s="8" t="str">
        <f>HYPERLINK("https://twitter.com/iNeelesh","@iNeelesh")</f>
        <v>@iNeelesh</v>
      </c>
      <c r="C11041" s="8" t="s">
        <v>1957</v>
      </c>
      <c r="D11041" s="8">
        <v>942</v>
      </c>
      <c r="E11041" s="8">
        <v>0</v>
      </c>
      <c r="F11041" s="8">
        <v>430</v>
      </c>
    </row>
    <row r="11042" spans="1:6" ht="12.75">
      <c r="A11042" s="8">
        <v>43899.871979166666</v>
      </c>
      <c r="B11042" s="8" t="str">
        <f>HYPERLINK("https://twitter.com/HarshModified","@HarshModified")</f>
        <v>@HarshModified</v>
      </c>
      <c r="C11042" s="8" t="s">
        <v>1957</v>
      </c>
      <c r="D11042" s="8">
        <v>942</v>
      </c>
      <c r="E11042" s="8">
        <v>0</v>
      </c>
      <c r="F11042" s="8">
        <v>123</v>
      </c>
    </row>
    <row r="11043" spans="1:6" ht="12.75">
      <c r="A11043" s="8">
        <v>43899.871550925927</v>
      </c>
      <c r="B11043" s="8" t="str">
        <f>HYPERLINK("https://twitter.com/republikaonline","@republikaonline")</f>
        <v>@republikaonline</v>
      </c>
      <c r="C11043" s="8" t="s">
        <v>4674</v>
      </c>
      <c r="D11043" s="8">
        <v>2</v>
      </c>
      <c r="E11043" s="8">
        <v>0</v>
      </c>
      <c r="F11043" s="8">
        <v>1222766</v>
      </c>
    </row>
    <row r="11044" spans="1:6" ht="12.75">
      <c r="A11044" s="8">
        <v>43899.870243055557</v>
      </c>
      <c r="B11044" s="8" t="str">
        <f>HYPERLINK("https://twitter.com/aroonjain55","@aroonjain55")</f>
        <v>@aroonjain55</v>
      </c>
      <c r="C11044" s="8" t="s">
        <v>1957</v>
      </c>
      <c r="D11044" s="8">
        <v>942</v>
      </c>
      <c r="E11044" s="8">
        <v>0</v>
      </c>
      <c r="F11044" s="8">
        <v>210</v>
      </c>
    </row>
    <row r="11045" spans="1:6" ht="12.75">
      <c r="A11045" s="8">
        <v>43899.870162037041</v>
      </c>
      <c r="B11045" s="8" t="str">
        <f>HYPERLINK("https://twitter.com/devyprisc","@devyprisc")</f>
        <v>@devyprisc</v>
      </c>
      <c r="C11045" s="8" t="s">
        <v>3969</v>
      </c>
      <c r="D11045" s="8">
        <v>35</v>
      </c>
      <c r="E11045" s="8">
        <v>0</v>
      </c>
      <c r="F11045" s="8">
        <v>1625</v>
      </c>
    </row>
    <row r="11046" spans="1:6" ht="12.75">
      <c r="A11046" s="8">
        <v>43899.869722222225</v>
      </c>
      <c r="B11046" s="8" t="str">
        <f>HYPERLINK("https://twitter.com/shakthigj","@shakthigj")</f>
        <v>@shakthigj</v>
      </c>
      <c r="C11046" s="8" t="s">
        <v>1957</v>
      </c>
      <c r="D11046" s="8">
        <v>942</v>
      </c>
      <c r="E11046" s="8">
        <v>0</v>
      </c>
      <c r="F11046" s="8">
        <v>2327</v>
      </c>
    </row>
    <row r="11047" spans="1:6" ht="12.75">
      <c r="A11047" s="8">
        <v>43899.869525462964</v>
      </c>
      <c r="B11047" s="8" t="str">
        <f>HYPERLINK("https://twitter.com/MinkaShodiq","@MinkaShodiq")</f>
        <v>@MinkaShodiq</v>
      </c>
      <c r="C11047" s="8" t="s">
        <v>4068</v>
      </c>
      <c r="D11047" s="8">
        <v>10</v>
      </c>
      <c r="E11047" s="8">
        <v>0</v>
      </c>
      <c r="F11047" s="8">
        <v>1597</v>
      </c>
    </row>
    <row r="11048" spans="1:6" ht="12.75">
      <c r="A11048" s="8">
        <v>43899.869374999995</v>
      </c>
      <c r="B11048" s="8" t="str">
        <f>HYPERLINK("https://twitter.com/Muchlis_TFOA","@Muchlis_TFOA")</f>
        <v>@Muchlis_TFOA</v>
      </c>
      <c r="C11048" s="8" t="s">
        <v>4675</v>
      </c>
      <c r="D11048" s="8">
        <v>0</v>
      </c>
      <c r="E11048" s="8">
        <v>0</v>
      </c>
      <c r="F11048" s="8">
        <v>222</v>
      </c>
    </row>
    <row r="11049" spans="1:6" ht="12.75">
      <c r="A11049" s="8">
        <v>43899.869201388894</v>
      </c>
      <c r="B11049" s="8" t="str">
        <f>HYPERLINK("https://twitter.com/voaislam","@voaislam")</f>
        <v>@voaislam</v>
      </c>
      <c r="C11049" s="8" t="s">
        <v>4020</v>
      </c>
      <c r="D11049" s="8">
        <v>0</v>
      </c>
      <c r="E11049" s="8">
        <v>1</v>
      </c>
      <c r="F11049" s="8">
        <v>87837</v>
      </c>
    </row>
    <row r="11050" spans="1:6" ht="12.75">
      <c r="A11050" s="8">
        <v>43899.869120370371</v>
      </c>
      <c r="B11050" s="8" t="str">
        <f>HYPERLINK("https://twitter.com/AMarindul","@AMarindul")</f>
        <v>@AMarindul</v>
      </c>
      <c r="C11050" s="8" t="s">
        <v>4676</v>
      </c>
      <c r="D11050" s="8">
        <v>0</v>
      </c>
      <c r="E11050" s="8">
        <v>0</v>
      </c>
      <c r="F11050" s="8">
        <v>280</v>
      </c>
    </row>
    <row r="11051" spans="1:6" ht="12.75">
      <c r="A11051" s="8">
        <v>43899.869004629625</v>
      </c>
      <c r="B11051" s="8" t="str">
        <f>HYPERLINK("https://twitter.com/igoen_anindya","@igoen_anindya")</f>
        <v>@igoen_anindya</v>
      </c>
      <c r="C11051" s="8" t="s">
        <v>4677</v>
      </c>
      <c r="D11051" s="8">
        <v>0</v>
      </c>
      <c r="E11051" s="8">
        <v>1</v>
      </c>
      <c r="F11051" s="8">
        <v>490</v>
      </c>
    </row>
    <row r="11052" spans="1:6" ht="12.75">
      <c r="A11052" s="8">
        <v>43899.869004629625</v>
      </c>
      <c r="B11052" s="8" t="str">
        <f>HYPERLINK("https://twitter.com/mayankgaur777","@mayankgaur777")</f>
        <v>@mayankgaur777</v>
      </c>
      <c r="C11052" s="8" t="s">
        <v>1917</v>
      </c>
      <c r="D11052" s="8">
        <v>1493</v>
      </c>
      <c r="E11052" s="8">
        <v>0</v>
      </c>
      <c r="F11052" s="8">
        <v>108</v>
      </c>
    </row>
    <row r="11053" spans="1:6" ht="12.75">
      <c r="A11053" s="8">
        <v>43899.868923611109</v>
      </c>
      <c r="B11053" s="8" t="str">
        <f>HYPERLINK("https://twitter.com/PakRoaster99","@PakRoaster99")</f>
        <v>@PakRoaster99</v>
      </c>
      <c r="C11053" s="8" t="s">
        <v>1957</v>
      </c>
      <c r="D11053" s="8">
        <v>942</v>
      </c>
      <c r="E11053" s="8">
        <v>0</v>
      </c>
      <c r="F11053" s="8">
        <v>283</v>
      </c>
    </row>
    <row r="11054" spans="1:6" ht="12.75">
      <c r="A11054" s="8">
        <v>43899.868692129632</v>
      </c>
      <c r="B11054" s="8" t="str">
        <f>HYPERLINK("https://twitter.com/aurChacha","@aurChacha")</f>
        <v>@aurChacha</v>
      </c>
      <c r="C11054" s="8" t="s">
        <v>1957</v>
      </c>
      <c r="D11054" s="8">
        <v>942</v>
      </c>
      <c r="E11054" s="8">
        <v>0</v>
      </c>
      <c r="F11054" s="8">
        <v>10</v>
      </c>
    </row>
    <row r="11055" spans="1:6" ht="12.75">
      <c r="A11055" s="8">
        <v>43899.868587962963</v>
      </c>
      <c r="B11055" s="8" t="str">
        <f>HYPERLINK("https://twitter.com/mega_yoora","@mega_yoora")</f>
        <v>@mega_yoora</v>
      </c>
      <c r="C11055" s="8" t="s">
        <v>4678</v>
      </c>
      <c r="D11055" s="8">
        <v>0</v>
      </c>
      <c r="E11055" s="8">
        <v>0</v>
      </c>
      <c r="F11055" s="8">
        <v>884</v>
      </c>
    </row>
    <row r="11056" spans="1:6" ht="12.75">
      <c r="A11056" s="8">
        <v>43899.868414351848</v>
      </c>
      <c r="B11056" s="8" t="str">
        <f>HYPERLINK("https://twitter.com/ChirpyFox","@ChirpyFox")</f>
        <v>@ChirpyFox</v>
      </c>
      <c r="C11056" s="8" t="s">
        <v>1957</v>
      </c>
      <c r="D11056" s="8">
        <v>942</v>
      </c>
      <c r="E11056" s="8">
        <v>0</v>
      </c>
      <c r="F11056" s="8">
        <v>87</v>
      </c>
    </row>
    <row r="11057" spans="1:6" ht="12.75">
      <c r="A11057" s="8">
        <v>43899.868321759262</v>
      </c>
      <c r="B11057" s="8" t="str">
        <f>HYPERLINK("https://twitter.com/Soegieharto","@Soegieharto")</f>
        <v>@Soegieharto</v>
      </c>
      <c r="C11057" s="8" t="s">
        <v>3126</v>
      </c>
      <c r="D11057" s="8">
        <v>230</v>
      </c>
      <c r="E11057" s="8">
        <v>0</v>
      </c>
      <c r="F11057" s="8">
        <v>236</v>
      </c>
    </row>
    <row r="11058" spans="1:6" ht="12.75">
      <c r="A11058" s="8">
        <v>43899.868229166663</v>
      </c>
      <c r="B11058" s="8" t="str">
        <f>HYPERLINK("https://twitter.com/Sigromilir01","@Sigromilir01")</f>
        <v>@Sigromilir01</v>
      </c>
      <c r="C11058" s="8" t="s">
        <v>4679</v>
      </c>
      <c r="D11058" s="8">
        <v>0</v>
      </c>
      <c r="E11058" s="8">
        <v>0</v>
      </c>
      <c r="F11058" s="8">
        <v>33</v>
      </c>
    </row>
    <row r="11059" spans="1:6" ht="12.75">
      <c r="A11059" s="8">
        <v>43899.867997685185</v>
      </c>
      <c r="B11059" s="8" t="str">
        <f>HYPERLINK("https://twitter.com/SantoshBindge","@SantoshBindge")</f>
        <v>@SantoshBindge</v>
      </c>
      <c r="C11059" s="8" t="s">
        <v>1957</v>
      </c>
      <c r="D11059" s="8">
        <v>942</v>
      </c>
      <c r="E11059" s="8">
        <v>0</v>
      </c>
      <c r="F11059" s="8">
        <v>17</v>
      </c>
    </row>
    <row r="11060" spans="1:6" ht="12.75">
      <c r="A11060" s="8">
        <v>43899.86791666667</v>
      </c>
      <c r="B11060" s="8" t="str">
        <f>HYPERLINK("https://twitter.com/SilitongaEfraim","@SilitongaEfraim")</f>
        <v>@SilitongaEfraim</v>
      </c>
      <c r="C11060" s="8" t="s">
        <v>4068</v>
      </c>
      <c r="D11060" s="8">
        <v>10</v>
      </c>
      <c r="E11060" s="8">
        <v>0</v>
      </c>
      <c r="F11060" s="8">
        <v>2116</v>
      </c>
    </row>
    <row r="11061" spans="1:6" ht="12.75">
      <c r="A11061" s="8">
        <v>43899.867777777778</v>
      </c>
      <c r="B11061" s="8" t="str">
        <f>HYPERLINK("https://twitter.com/beritasumut","@beritasumut")</f>
        <v>@beritasumut</v>
      </c>
      <c r="C11061" s="8" t="s">
        <v>4421</v>
      </c>
      <c r="D11061" s="8">
        <v>0</v>
      </c>
      <c r="E11061" s="8">
        <v>0</v>
      </c>
      <c r="F11061" s="8">
        <v>1821</v>
      </c>
    </row>
    <row r="11062" spans="1:6" ht="12.75">
      <c r="A11062" s="8">
        <v>43899.86755787037</v>
      </c>
      <c r="B11062" s="8" t="str">
        <f>HYPERLINK("https://twitter.com/praveen_taj","@praveen_taj")</f>
        <v>@praveen_taj</v>
      </c>
      <c r="C11062" s="8" t="s">
        <v>1808</v>
      </c>
      <c r="D11062" s="8">
        <v>656</v>
      </c>
      <c r="E11062" s="8">
        <v>0</v>
      </c>
      <c r="F11062" s="8">
        <v>431</v>
      </c>
    </row>
    <row r="11063" spans="1:6" ht="12.75">
      <c r="A11063" s="8">
        <v>43899.8674537037</v>
      </c>
      <c r="B11063" s="8" t="str">
        <f>HYPERLINK("https://twitter.com/Nadilaputri22","@Nadilaputri22")</f>
        <v>@Nadilaputri22</v>
      </c>
      <c r="C11063" s="8" t="s">
        <v>4655</v>
      </c>
      <c r="D11063" s="8">
        <v>0</v>
      </c>
      <c r="E11063" s="8">
        <v>0</v>
      </c>
      <c r="F11063" s="8">
        <v>1727</v>
      </c>
    </row>
    <row r="11064" spans="1:6" ht="12.75">
      <c r="A11064" s="8">
        <v>43899.867245370369</v>
      </c>
      <c r="B11064" s="8" t="str">
        <f>HYPERLINK("https://twitter.com/rameshraop","@rameshraop")</f>
        <v>@rameshraop</v>
      </c>
      <c r="C11064" s="8" t="s">
        <v>1957</v>
      </c>
      <c r="D11064" s="8">
        <v>942</v>
      </c>
      <c r="E11064" s="8">
        <v>0</v>
      </c>
      <c r="F11064" s="8">
        <v>255</v>
      </c>
    </row>
    <row r="11065" spans="1:6" ht="12.75">
      <c r="A11065" s="8">
        <v>43899.867118055554</v>
      </c>
      <c r="B11065" s="8" t="str">
        <f>HYPERLINK("https://twitter.com/UdayashankarK","@UdayashankarK")</f>
        <v>@UdayashankarK</v>
      </c>
      <c r="C11065" s="8" t="s">
        <v>1808</v>
      </c>
      <c r="D11065" s="8">
        <v>656</v>
      </c>
      <c r="E11065" s="8">
        <v>0</v>
      </c>
      <c r="F11065" s="8">
        <v>243</v>
      </c>
    </row>
    <row r="11066" spans="1:6" ht="12.75">
      <c r="A11066" s="8">
        <v>43899.867002314815</v>
      </c>
      <c r="B11066" s="8" t="str">
        <f>HYPERLINK("https://twitter.com/shashi021202","@shashi021202")</f>
        <v>@shashi021202</v>
      </c>
      <c r="C11066" s="8" t="s">
        <v>1957</v>
      </c>
      <c r="D11066" s="8">
        <v>942</v>
      </c>
      <c r="E11066" s="8">
        <v>0</v>
      </c>
      <c r="F11066" s="8">
        <v>760</v>
      </c>
    </row>
    <row r="11067" spans="1:6" ht="12.75">
      <c r="A11067" s="8">
        <v>43899.866875</v>
      </c>
      <c r="B11067" s="8" t="str">
        <f>HYPERLINK("https://twitter.com/Nitizen_Zen","@Nitizen_Zen")</f>
        <v>@Nitizen_Zen</v>
      </c>
      <c r="C11067" s="8" t="s">
        <v>3969</v>
      </c>
      <c r="D11067" s="8">
        <v>35</v>
      </c>
      <c r="E11067" s="8">
        <v>0</v>
      </c>
      <c r="F11067" s="8">
        <v>458</v>
      </c>
    </row>
    <row r="11068" spans="1:6" ht="12.75">
      <c r="A11068" s="8">
        <v>43899.866724537038</v>
      </c>
      <c r="B11068" s="8" t="str">
        <f>HYPERLINK("https://twitter.com/mega_yoora","@mega_yoora")</f>
        <v>@mega_yoora</v>
      </c>
      <c r="C11068" s="8" t="s">
        <v>4680</v>
      </c>
      <c r="D11068" s="8">
        <v>0</v>
      </c>
      <c r="E11068" s="8">
        <v>0</v>
      </c>
      <c r="F11068" s="8">
        <v>884</v>
      </c>
    </row>
    <row r="11069" spans="1:6" ht="12.75">
      <c r="A11069" s="8">
        <v>43899.866666666669</v>
      </c>
      <c r="B11069" s="8" t="str">
        <f>HYPERLINK("https://twitter.com/Kabirsahni10","@Kabirsahni10")</f>
        <v>@Kabirsahni10</v>
      </c>
      <c r="C11069" s="8" t="s">
        <v>4681</v>
      </c>
      <c r="D11069" s="8">
        <v>0</v>
      </c>
      <c r="E11069" s="8">
        <v>0</v>
      </c>
      <c r="F11069" s="8">
        <v>8</v>
      </c>
    </row>
    <row r="11070" spans="1:6" ht="12.75">
      <c r="A11070" s="8">
        <v>43899.866574074069</v>
      </c>
      <c r="B11070" s="8" t="str">
        <f>HYPERLINK("https://twitter.com/devancab","@devancab")</f>
        <v>@devancab</v>
      </c>
      <c r="C11070" s="8" t="s">
        <v>4377</v>
      </c>
      <c r="D11070" s="8">
        <v>17</v>
      </c>
      <c r="E11070" s="8">
        <v>0</v>
      </c>
      <c r="F11070" s="8">
        <v>17</v>
      </c>
    </row>
    <row r="11071" spans="1:6" ht="12.75">
      <c r="A11071" s="8">
        <v>43899.866469907407</v>
      </c>
      <c r="B11071" s="8" t="str">
        <f>HYPERLINK("https://twitter.com/alap030193","@alap030193")</f>
        <v>@alap030193</v>
      </c>
      <c r="C11071" s="8" t="s">
        <v>1957</v>
      </c>
      <c r="D11071" s="8">
        <v>942</v>
      </c>
      <c r="E11071" s="8">
        <v>0</v>
      </c>
      <c r="F11071" s="8">
        <v>650</v>
      </c>
    </row>
    <row r="11072" spans="1:6" ht="12.75">
      <c r="A11072" s="8">
        <v>43899.866018518514</v>
      </c>
      <c r="B11072" s="8" t="str">
        <f>HYPERLINK("https://twitter.com/ArabNomaden","@ArabNomaden")</f>
        <v>@ArabNomaden</v>
      </c>
      <c r="C11072" s="8" t="s">
        <v>4682</v>
      </c>
      <c r="D11072" s="8">
        <v>1785</v>
      </c>
      <c r="E11072" s="8">
        <v>0</v>
      </c>
      <c r="F11072" s="8">
        <v>7</v>
      </c>
    </row>
    <row r="11073" spans="1:6" ht="12.75">
      <c r="A11073" s="8">
        <v>43899.865949074076</v>
      </c>
      <c r="B11073" s="8" t="str">
        <f>HYPERLINK("https://twitter.com/harshkumar1810","@harshkumar1810")</f>
        <v>@harshkumar1810</v>
      </c>
      <c r="C11073" s="8" t="s">
        <v>1808</v>
      </c>
      <c r="D11073" s="8">
        <v>656</v>
      </c>
      <c r="E11073" s="8">
        <v>0</v>
      </c>
      <c r="F11073" s="8">
        <v>224</v>
      </c>
    </row>
    <row r="11074" spans="1:6" ht="12.75">
      <c r="A11074" s="8">
        <v>43899.865856481483</v>
      </c>
      <c r="B11074" s="8" t="str">
        <f>HYPERLINK("https://twitter.com/drmurukadas","@drmurukadas")</f>
        <v>@drmurukadas</v>
      </c>
      <c r="C11074" s="8" t="s">
        <v>1808</v>
      </c>
      <c r="D11074" s="8">
        <v>656</v>
      </c>
      <c r="E11074" s="8">
        <v>0</v>
      </c>
      <c r="F11074" s="8">
        <v>470</v>
      </c>
    </row>
    <row r="11075" spans="1:6" ht="12.75">
      <c r="A11075" s="8">
        <v>43899.865717592591</v>
      </c>
      <c r="B11075" s="8" t="str">
        <f>HYPERLINK("https://twitter.com/ChamimCahaya","@ChamimCahaya")</f>
        <v>@ChamimCahaya</v>
      </c>
      <c r="C11075" s="8" t="s">
        <v>4194</v>
      </c>
      <c r="D11075" s="8">
        <v>6</v>
      </c>
      <c r="E11075" s="8">
        <v>0</v>
      </c>
      <c r="F11075" s="8">
        <v>743</v>
      </c>
    </row>
    <row r="11076" spans="1:6" ht="12.75">
      <c r="A11076" s="8">
        <v>43899.865671296298</v>
      </c>
      <c r="B11076" s="8" t="str">
        <f>HYPERLINK("https://twitter.com/SarahHapsarii","@SarahHapsarii")</f>
        <v>@SarahHapsarii</v>
      </c>
      <c r="C11076" s="8" t="s">
        <v>4655</v>
      </c>
      <c r="D11076" s="8">
        <v>0</v>
      </c>
      <c r="E11076" s="8">
        <v>0</v>
      </c>
      <c r="F11076" s="8">
        <v>1757</v>
      </c>
    </row>
    <row r="11077" spans="1:6" ht="12.75">
      <c r="A11077" s="8">
        <v>43899.865219907406</v>
      </c>
      <c r="B11077" s="8" t="str">
        <f>HYPERLINK("https://twitter.com/MisterLonely_17","@MisterLonely_17")</f>
        <v>@MisterLonely_17</v>
      </c>
      <c r="C11077" s="8" t="s">
        <v>3265</v>
      </c>
      <c r="D11077" s="8">
        <v>541</v>
      </c>
      <c r="E11077" s="8">
        <v>0</v>
      </c>
      <c r="F11077" s="8">
        <v>93</v>
      </c>
    </row>
    <row r="11078" spans="1:6" ht="12.75">
      <c r="A11078" s="8">
        <v>43899.865150462967</v>
      </c>
      <c r="B11078" s="8" t="str">
        <f>HYPERLINK("https://twitter.com/omashu01","@omashu01")</f>
        <v>@omashu01</v>
      </c>
      <c r="C11078" s="8" t="s">
        <v>1957</v>
      </c>
      <c r="D11078" s="8">
        <v>942</v>
      </c>
      <c r="E11078" s="8">
        <v>0</v>
      </c>
      <c r="F11078" s="8">
        <v>1009</v>
      </c>
    </row>
    <row r="11079" spans="1:6" ht="12.75">
      <c r="A11079" s="8">
        <v>43899.865081018521</v>
      </c>
      <c r="B11079" s="8" t="str">
        <f>HYPERLINK("https://twitter.com/Devende93685651","@Devende93685651")</f>
        <v>@Devende93685651</v>
      </c>
      <c r="C11079" s="8" t="s">
        <v>1957</v>
      </c>
      <c r="D11079" s="8">
        <v>942</v>
      </c>
      <c r="E11079" s="8">
        <v>0</v>
      </c>
      <c r="F11079" s="8">
        <v>150</v>
      </c>
    </row>
    <row r="11080" spans="1:6" ht="12.75">
      <c r="A11080" s="8">
        <v>43899.864861111113</v>
      </c>
      <c r="B11080" s="8" t="str">
        <f>HYPERLINK("https://twitter.com/sanjaysubramnym","@sanjaysubramnym")</f>
        <v>@sanjaysubramnym</v>
      </c>
      <c r="C11080" s="8" t="s">
        <v>1957</v>
      </c>
      <c r="D11080" s="8">
        <v>942</v>
      </c>
      <c r="E11080" s="8">
        <v>0</v>
      </c>
      <c r="F11080" s="8">
        <v>163</v>
      </c>
    </row>
    <row r="11081" spans="1:6" ht="12.75">
      <c r="A11081" s="8">
        <v>43899.864675925928</v>
      </c>
      <c r="B11081" s="8" t="str">
        <f>HYPERLINK("https://twitter.com/al_fakru","@al_fakru")</f>
        <v>@al_fakru</v>
      </c>
      <c r="C11081" s="8" t="s">
        <v>4470</v>
      </c>
      <c r="D11081" s="8">
        <v>43</v>
      </c>
      <c r="E11081" s="8">
        <v>0</v>
      </c>
      <c r="F11081" s="8">
        <v>2986</v>
      </c>
    </row>
    <row r="11082" spans="1:6" ht="12.75">
      <c r="A11082" s="8">
        <v>43899.864629629628</v>
      </c>
      <c r="B11082" s="8" t="str">
        <f>HYPERLINK("https://twitter.com/MNCNewsroom","@MNCNewsroom")</f>
        <v>@MNCNewsroom</v>
      </c>
      <c r="C11082" s="8" t="s">
        <v>4683</v>
      </c>
      <c r="D11082" s="8">
        <v>0</v>
      </c>
      <c r="E11082" s="8">
        <v>0</v>
      </c>
      <c r="F11082" s="8">
        <v>17593</v>
      </c>
    </row>
    <row r="11083" spans="1:6" ht="12.75">
      <c r="A11083" s="8">
        <v>43899.864594907413</v>
      </c>
      <c r="B11083" s="8" t="str">
        <f>HYPERLINK("https://twitter.com/alloy0969","@alloy0969")</f>
        <v>@alloy0969</v>
      </c>
      <c r="C11083" s="8" t="s">
        <v>4590</v>
      </c>
      <c r="D11083" s="8">
        <v>8</v>
      </c>
      <c r="E11083" s="8">
        <v>0</v>
      </c>
      <c r="F11083" s="8">
        <v>39</v>
      </c>
    </row>
    <row r="11084" spans="1:6" ht="12.75">
      <c r="A11084" s="8">
        <v>43899.86446759259</v>
      </c>
      <c r="B11084" s="8" t="str">
        <f>HYPERLINK("https://twitter.com/Jokowinomics_id","@Jokowinomics_id")</f>
        <v>@Jokowinomics_id</v>
      </c>
      <c r="C11084" s="8" t="s">
        <v>4684</v>
      </c>
      <c r="D11084" s="8">
        <v>0</v>
      </c>
      <c r="E11084" s="8">
        <v>0</v>
      </c>
      <c r="F11084" s="8">
        <v>1657</v>
      </c>
    </row>
    <row r="11085" spans="1:6" ht="12.75">
      <c r="A11085" s="8">
        <v>43899.864247685182</v>
      </c>
      <c r="B11085" s="8" t="str">
        <f>HYPERLINK("https://twitter.com/Bhattacharyya31","@Bhattacharyya31")</f>
        <v>@Bhattacharyya31</v>
      </c>
      <c r="C11085" s="8" t="s">
        <v>1957</v>
      </c>
      <c r="D11085" s="8">
        <v>942</v>
      </c>
      <c r="E11085" s="8">
        <v>0</v>
      </c>
      <c r="F11085" s="8">
        <v>537</v>
      </c>
    </row>
    <row r="11086" spans="1:6" ht="12.75">
      <c r="A11086" s="8">
        <v>43899.86409722222</v>
      </c>
      <c r="B11086" s="8" t="str">
        <f>HYPERLINK("https://twitter.com/Om_Sainatha","@Om_Sainatha")</f>
        <v>@Om_Sainatha</v>
      </c>
      <c r="C11086" s="8" t="s">
        <v>1957</v>
      </c>
      <c r="D11086" s="8">
        <v>942</v>
      </c>
      <c r="E11086" s="8">
        <v>0</v>
      </c>
      <c r="F11086" s="8">
        <v>701</v>
      </c>
    </row>
    <row r="11087" spans="1:6" ht="12.75">
      <c r="A11087" s="8">
        <v>43899.863356481481</v>
      </c>
      <c r="B11087" s="8" t="str">
        <f t="shared" ref="B11087:B11088" si="182">HYPERLINK("https://twitter.com/Proud_Hindu_PS","@Proud_Hindu_PS")</f>
        <v>@Proud_Hindu_PS</v>
      </c>
      <c r="C11087" s="8" t="s">
        <v>1808</v>
      </c>
      <c r="D11087" s="8">
        <v>656</v>
      </c>
      <c r="E11087" s="8">
        <v>0</v>
      </c>
      <c r="F11087" s="8">
        <v>6081</v>
      </c>
    </row>
    <row r="11088" spans="1:6" ht="12.75">
      <c r="A11088" s="8">
        <v>43899.862997685181</v>
      </c>
      <c r="B11088" s="8" t="str">
        <f t="shared" si="182"/>
        <v>@Proud_Hindu_PS</v>
      </c>
      <c r="C11088" s="8" t="s">
        <v>1957</v>
      </c>
      <c r="D11088" s="8">
        <v>942</v>
      </c>
      <c r="E11088" s="8">
        <v>0</v>
      </c>
      <c r="F11088" s="8">
        <v>6081</v>
      </c>
    </row>
    <row r="11089" spans="1:6" ht="12.75">
      <c r="A11089" s="8">
        <v>43899.862951388888</v>
      </c>
      <c r="B11089" s="8" t="str">
        <f>HYPERLINK("https://twitter.com/satujengkal","@satujengkal")</f>
        <v>@satujengkal</v>
      </c>
      <c r="C11089" s="8" t="s">
        <v>4685</v>
      </c>
      <c r="D11089" s="8">
        <v>0</v>
      </c>
      <c r="E11089" s="8">
        <v>0</v>
      </c>
      <c r="F11089" s="8">
        <v>78</v>
      </c>
    </row>
    <row r="11090" spans="1:6" ht="12.75">
      <c r="A11090" s="8">
        <v>43899.862824074073</v>
      </c>
      <c r="B11090" s="8" t="str">
        <f>HYPERLINK("https://twitter.com/PartBurungGalak","@PartBurungGalak")</f>
        <v>@PartBurungGalak</v>
      </c>
      <c r="C11090" s="8" t="s">
        <v>3969</v>
      </c>
      <c r="D11090" s="8">
        <v>35</v>
      </c>
      <c r="E11090" s="8">
        <v>0</v>
      </c>
      <c r="F11090" s="8">
        <v>7115</v>
      </c>
    </row>
    <row r="11091" spans="1:6" ht="12.75">
      <c r="A11091" s="8">
        <v>43899.862604166672</v>
      </c>
      <c r="B11091" s="8" t="str">
        <f>HYPERLINK("https://twitter.com/mpu_gandhring","@mpu_gandhring")</f>
        <v>@mpu_gandhring</v>
      </c>
      <c r="C11091" s="8" t="s">
        <v>4686</v>
      </c>
      <c r="D11091" s="8">
        <v>1</v>
      </c>
      <c r="E11091" s="8">
        <v>0</v>
      </c>
      <c r="F11091" s="8">
        <v>294</v>
      </c>
    </row>
    <row r="11092" spans="1:6" ht="12.75">
      <c r="A11092" s="8">
        <v>43899.862164351856</v>
      </c>
      <c r="B11092" s="8" t="str">
        <f>HYPERLINK("https://twitter.com/WillShowPaper","@WillShowPaper")</f>
        <v>@WillShowPaper</v>
      </c>
      <c r="C11092" s="8" t="s">
        <v>1957</v>
      </c>
      <c r="D11092" s="8">
        <v>942</v>
      </c>
      <c r="E11092" s="8">
        <v>0</v>
      </c>
      <c r="F11092" s="8">
        <v>678</v>
      </c>
    </row>
    <row r="11093" spans="1:6" ht="12.75">
      <c r="A11093" s="8">
        <v>43899.86210648148</v>
      </c>
      <c r="B11093" s="8" t="str">
        <f>HYPERLINK("https://twitter.com/Plutoni48537599","@Plutoni48537599")</f>
        <v>@Plutoni48537599</v>
      </c>
      <c r="C11093" s="8" t="s">
        <v>4687</v>
      </c>
      <c r="D11093" s="8">
        <v>0</v>
      </c>
      <c r="E11093" s="8">
        <v>0</v>
      </c>
      <c r="F11093" s="8">
        <v>0</v>
      </c>
    </row>
    <row r="11094" spans="1:6" ht="12.75">
      <c r="A11094" s="8">
        <v>43899.840162037042</v>
      </c>
      <c r="B11094" s="8" t="str">
        <f>HYPERLINK("https://twitter.com/SUYONOBENDOL03","@SUYONOBENDOL03")</f>
        <v>@SUYONOBENDOL03</v>
      </c>
      <c r="C11094" s="8" t="s">
        <v>4688</v>
      </c>
      <c r="D11094" s="8">
        <v>1</v>
      </c>
      <c r="E11094" s="8">
        <v>0</v>
      </c>
      <c r="F11094" s="8">
        <v>387</v>
      </c>
    </row>
    <row r="11095" spans="1:6" ht="12.75">
      <c r="A11095" s="8">
        <v>43899.840011574073</v>
      </c>
      <c r="B11095" s="8" t="str">
        <f>HYPERLINK("https://twitter.com/Manavi_19","@Manavi_19")</f>
        <v>@Manavi_19</v>
      </c>
      <c r="C11095" s="8" t="s">
        <v>1957</v>
      </c>
      <c r="D11095" s="8">
        <v>844</v>
      </c>
      <c r="E11095" s="8">
        <v>0</v>
      </c>
      <c r="F11095" s="8">
        <v>339</v>
      </c>
    </row>
    <row r="11096" spans="1:6" ht="12.75">
      <c r="A11096" s="8">
        <v>43899.839687500003</v>
      </c>
      <c r="B11096" s="8" t="str">
        <f>HYPERLINK("https://twitter.com/Kalpana39256306","@Kalpana39256306")</f>
        <v>@Kalpana39256306</v>
      </c>
      <c r="C11096" s="8" t="s">
        <v>1957</v>
      </c>
      <c r="D11096" s="8">
        <v>844</v>
      </c>
      <c r="E11096" s="8">
        <v>0</v>
      </c>
      <c r="F11096" s="8">
        <v>29</v>
      </c>
    </row>
    <row r="11097" spans="1:6" ht="12.75">
      <c r="A11097" s="8">
        <v>43899.83965277778</v>
      </c>
      <c r="B11097" s="8" t="str">
        <f>HYPERLINK("https://twitter.com/prafullaketkar","@prafullaketkar")</f>
        <v>@prafullaketkar</v>
      </c>
      <c r="C11097" s="8" t="s">
        <v>1957</v>
      </c>
      <c r="D11097" s="8">
        <v>844</v>
      </c>
      <c r="E11097" s="8">
        <v>0</v>
      </c>
      <c r="F11097" s="8">
        <v>30962</v>
      </c>
    </row>
    <row r="11098" spans="1:6" ht="12.75">
      <c r="A11098" s="8">
        <v>43899.839583333334</v>
      </c>
      <c r="B11098" s="8" t="str">
        <f>HYPERLINK("https://twitter.com/ppiiyyuusshh007","@ppiiyyuusshh007")</f>
        <v>@ppiiyyuusshh007</v>
      </c>
      <c r="C11098" s="8" t="s">
        <v>1808</v>
      </c>
      <c r="D11098" s="8">
        <v>621</v>
      </c>
      <c r="E11098" s="8">
        <v>0</v>
      </c>
      <c r="F11098" s="8">
        <v>136</v>
      </c>
    </row>
    <row r="11099" spans="1:6" ht="12.75">
      <c r="A11099" s="8">
        <v>43899.839374999996</v>
      </c>
      <c r="B11099" s="8" t="str">
        <f>HYPERLINK("https://twitter.com/RupeshRSalunke2","@RupeshRSalunke2")</f>
        <v>@RupeshRSalunke2</v>
      </c>
      <c r="C11099" s="8" t="s">
        <v>1957</v>
      </c>
      <c r="D11099" s="8">
        <v>844</v>
      </c>
      <c r="E11099" s="8">
        <v>0</v>
      </c>
      <c r="F11099" s="8">
        <v>69</v>
      </c>
    </row>
    <row r="11100" spans="1:6" ht="12.75">
      <c r="A11100" s="8">
        <v>43899.839317129634</v>
      </c>
      <c r="B11100" s="8" t="str">
        <f>HYPERLINK("https://twitter.com/amitagarwal78","@amitagarwal78")</f>
        <v>@amitagarwal78</v>
      </c>
      <c r="C11100" s="8" t="s">
        <v>1957</v>
      </c>
      <c r="D11100" s="8">
        <v>844</v>
      </c>
      <c r="E11100" s="8">
        <v>0</v>
      </c>
      <c r="F11100" s="8">
        <v>106</v>
      </c>
    </row>
    <row r="11101" spans="1:6" ht="12.75">
      <c r="A11101" s="8">
        <v>43899.839236111111</v>
      </c>
      <c r="B11101" s="8" t="str">
        <f>HYPERLINK("https://twitter.com/PradiptaArya4","@PradiptaArya4")</f>
        <v>@PradiptaArya4</v>
      </c>
      <c r="C11101" s="8" t="s">
        <v>4689</v>
      </c>
      <c r="D11101" s="8">
        <v>0</v>
      </c>
      <c r="E11101" s="8">
        <v>0</v>
      </c>
      <c r="F11101" s="8">
        <v>2575</v>
      </c>
    </row>
    <row r="11102" spans="1:6" ht="12.75">
      <c r="A11102" s="8">
        <v>43899.839097222226</v>
      </c>
      <c r="B11102" s="8" t="str">
        <f>HYPERLINK("https://twitter.com/ayush_yati","@ayush_yati")</f>
        <v>@ayush_yati</v>
      </c>
      <c r="C11102" s="8" t="s">
        <v>1957</v>
      </c>
      <c r="D11102" s="8">
        <v>844</v>
      </c>
      <c r="E11102" s="8">
        <v>0</v>
      </c>
      <c r="F11102" s="8">
        <v>13</v>
      </c>
    </row>
    <row r="11103" spans="1:6" ht="12.75">
      <c r="A11103" s="8">
        <v>43899.838842592595</v>
      </c>
      <c r="B11103" s="8" t="str">
        <f>HYPERLINK("https://twitter.com/Hindian_Patriot","@Hindian_Patriot")</f>
        <v>@Hindian_Patriot</v>
      </c>
      <c r="C11103" s="8" t="s">
        <v>1917</v>
      </c>
      <c r="D11103" s="8">
        <v>1484</v>
      </c>
      <c r="E11103" s="8">
        <v>0</v>
      </c>
      <c r="F11103" s="8">
        <v>766</v>
      </c>
    </row>
    <row r="11104" spans="1:6" ht="12.75">
      <c r="A11104" s="8">
        <v>43899.838796296295</v>
      </c>
      <c r="B11104" s="8" t="str">
        <f>HYPERLINK("https://twitter.com/dabenone2","@dabenone2")</f>
        <v>@dabenone2</v>
      </c>
      <c r="C11104" s="8" t="s">
        <v>4377</v>
      </c>
      <c r="D11104" s="8">
        <v>9</v>
      </c>
      <c r="E11104" s="8">
        <v>0</v>
      </c>
      <c r="F11104" s="8">
        <v>86</v>
      </c>
    </row>
    <row r="11105" spans="1:6" ht="12.75">
      <c r="A11105" s="8">
        <v>43899.838749999995</v>
      </c>
      <c r="B11105" s="8" t="str">
        <f>HYPERLINK("https://twitter.com/akashSpanja19","@akashSpanja19")</f>
        <v>@akashSpanja19</v>
      </c>
      <c r="C11105" s="8" t="s">
        <v>1808</v>
      </c>
      <c r="D11105" s="8">
        <v>621</v>
      </c>
      <c r="E11105" s="8">
        <v>0</v>
      </c>
      <c r="F11105" s="8">
        <v>584</v>
      </c>
    </row>
    <row r="11106" spans="1:6" ht="12.75">
      <c r="A11106" s="8">
        <v>43899.838622685187</v>
      </c>
      <c r="B11106" s="8" t="str">
        <f>HYPERLINK("https://twitter.com/curio_cherry","@curio_cherry")</f>
        <v>@curio_cherry</v>
      </c>
      <c r="C11106" s="8" t="s">
        <v>4377</v>
      </c>
      <c r="D11106" s="8">
        <v>9</v>
      </c>
      <c r="E11106" s="8">
        <v>0</v>
      </c>
      <c r="F11106" s="8">
        <v>271</v>
      </c>
    </row>
    <row r="11107" spans="1:6" ht="12.75">
      <c r="A11107" s="8">
        <v>43899.838506944448</v>
      </c>
      <c r="B11107" s="8" t="str">
        <f>HYPERLINK("https://twitter.com/SarveshKrDev","@SarveshKrDev")</f>
        <v>@SarveshKrDev</v>
      </c>
      <c r="C11107" s="8" t="s">
        <v>1808</v>
      </c>
      <c r="D11107" s="8">
        <v>621</v>
      </c>
      <c r="E11107" s="8">
        <v>0</v>
      </c>
      <c r="F11107" s="8">
        <v>156</v>
      </c>
    </row>
    <row r="11108" spans="1:6" ht="12.75">
      <c r="A11108" s="8">
        <v>43899.838275462964</v>
      </c>
      <c r="B11108" s="8" t="str">
        <f>HYPERLINK("https://twitter.com/amitgunsoldier","@amitgunsoldier")</f>
        <v>@amitgunsoldier</v>
      </c>
      <c r="C11108" s="8" t="s">
        <v>1957</v>
      </c>
      <c r="D11108" s="8">
        <v>844</v>
      </c>
      <c r="E11108" s="8">
        <v>0</v>
      </c>
      <c r="F11108" s="8">
        <v>827</v>
      </c>
    </row>
    <row r="11109" spans="1:6" ht="12.75">
      <c r="A11109" s="8">
        <v>43899.838194444441</v>
      </c>
      <c r="B11109" s="8" t="str">
        <f>HYPERLINK("https://twitter.com/mery_200515","@mery_200515")</f>
        <v>@mery_200515</v>
      </c>
      <c r="C11109" s="8" t="s">
        <v>4690</v>
      </c>
      <c r="D11109" s="8">
        <v>3</v>
      </c>
      <c r="E11109" s="8">
        <v>0</v>
      </c>
      <c r="F11109" s="8">
        <v>7</v>
      </c>
    </row>
    <row r="11110" spans="1:6" ht="12.75">
      <c r="A11110" s="8">
        <v>43899.837731481486</v>
      </c>
      <c r="B11110" s="8" t="str">
        <f>HYPERLINK("https://twitter.com/DNobody101","@DNobody101")</f>
        <v>@DNobody101</v>
      </c>
      <c r="C11110" s="8" t="s">
        <v>1808</v>
      </c>
      <c r="D11110" s="8">
        <v>621</v>
      </c>
      <c r="E11110" s="8">
        <v>0</v>
      </c>
      <c r="F11110" s="8">
        <v>117</v>
      </c>
    </row>
    <row r="11111" spans="1:6" ht="12.75">
      <c r="A11111" s="8">
        <v>43899.837685185186</v>
      </c>
      <c r="B11111" s="8" t="str">
        <f>HYPERLINK("https://twitter.com/MahaveerM_","@MahaveerM_")</f>
        <v>@MahaveerM_</v>
      </c>
      <c r="C11111" s="8" t="s">
        <v>1957</v>
      </c>
      <c r="D11111" s="8">
        <v>844</v>
      </c>
      <c r="E11111" s="8">
        <v>0</v>
      </c>
      <c r="F11111" s="8">
        <v>78999</v>
      </c>
    </row>
    <row r="11112" spans="1:6" ht="12.75">
      <c r="A11112" s="8">
        <v>43899.837592592594</v>
      </c>
      <c r="B11112" s="8" t="str">
        <f>HYPERLINK("https://twitter.com/iamsagar89","@iamsagar89")</f>
        <v>@iamsagar89</v>
      </c>
      <c r="C11112" s="8" t="s">
        <v>1957</v>
      </c>
      <c r="D11112" s="8">
        <v>844</v>
      </c>
      <c r="E11112" s="8">
        <v>0</v>
      </c>
      <c r="F11112" s="8">
        <v>805</v>
      </c>
    </row>
    <row r="11113" spans="1:6" ht="12.75">
      <c r="A11113" s="8">
        <v>43899.837534722217</v>
      </c>
      <c r="B11113" s="8" t="str">
        <f>HYPERLINK("https://twitter.com/Hindusherni18","@Hindusherni18")</f>
        <v>@Hindusherni18</v>
      </c>
      <c r="C11113" s="8" t="s">
        <v>1957</v>
      </c>
      <c r="D11113" s="8">
        <v>844</v>
      </c>
      <c r="E11113" s="8">
        <v>0</v>
      </c>
      <c r="F11113" s="8">
        <v>30</v>
      </c>
    </row>
    <row r="11114" spans="1:6" ht="12.75">
      <c r="A11114" s="8">
        <v>43899.837210648147</v>
      </c>
      <c r="B11114" s="8" t="str">
        <f t="shared" ref="B11114:B11115" si="183">HYPERLINK("https://twitter.com/mauryaavdhesh","@mauryaavdhesh")</f>
        <v>@mauryaavdhesh</v>
      </c>
      <c r="C11114" s="8" t="s">
        <v>1957</v>
      </c>
      <c r="D11114" s="8">
        <v>844</v>
      </c>
      <c r="E11114" s="8">
        <v>0</v>
      </c>
      <c r="F11114" s="8">
        <v>737</v>
      </c>
    </row>
    <row r="11115" spans="1:6" ht="12.75">
      <c r="A11115" s="8">
        <v>43899.837071759262</v>
      </c>
      <c r="B11115" s="8" t="str">
        <f t="shared" si="183"/>
        <v>@mauryaavdhesh</v>
      </c>
      <c r="C11115" s="8" t="s">
        <v>1808</v>
      </c>
      <c r="D11115" s="8">
        <v>621</v>
      </c>
      <c r="E11115" s="8">
        <v>0</v>
      </c>
      <c r="F11115" s="8">
        <v>737</v>
      </c>
    </row>
    <row r="11116" spans="1:6" ht="12.75">
      <c r="A11116" s="8">
        <v>43899.836967592593</v>
      </c>
      <c r="B11116" s="8" t="str">
        <f>HYPERLINK("https://twitter.com/amitchangal142","@amitchangal142")</f>
        <v>@amitchangal142</v>
      </c>
      <c r="C11116" s="8" t="s">
        <v>1957</v>
      </c>
      <c r="D11116" s="8">
        <v>844</v>
      </c>
      <c r="E11116" s="8">
        <v>0</v>
      </c>
      <c r="F11116" s="8">
        <v>325</v>
      </c>
    </row>
    <row r="11117" spans="1:6" ht="12.75">
      <c r="A11117" s="8">
        <v>43899.836909722224</v>
      </c>
      <c r="B11117" s="8" t="str">
        <f>HYPERLINK("https://twitter.com/annasantoz318","@annasantoz318")</f>
        <v>@annasantoz318</v>
      </c>
      <c r="C11117" s="8" t="s">
        <v>4691</v>
      </c>
      <c r="D11117" s="8">
        <v>5</v>
      </c>
      <c r="E11117" s="8">
        <v>0</v>
      </c>
      <c r="F11117" s="8">
        <v>12387</v>
      </c>
    </row>
    <row r="11118" spans="1:6" ht="12.75">
      <c r="A11118" s="8">
        <v>43899.836851851855</v>
      </c>
      <c r="B11118" s="8" t="str">
        <f>HYPERLINK("https://twitter.com/Diwakar_Deepu","@Diwakar_Deepu")</f>
        <v>@Diwakar_Deepu</v>
      </c>
      <c r="C11118" s="8" t="s">
        <v>1957</v>
      </c>
      <c r="D11118" s="8">
        <v>844</v>
      </c>
      <c r="E11118" s="8">
        <v>0</v>
      </c>
      <c r="F11118" s="8">
        <v>104</v>
      </c>
    </row>
    <row r="11119" spans="1:6" ht="12.75">
      <c r="A11119" s="8">
        <v>43899.836724537032</v>
      </c>
      <c r="B11119" s="8" t="str">
        <f>HYPERLINK("https://twitter.com/ag_ritesh","@ag_ritesh")</f>
        <v>@ag_ritesh</v>
      </c>
      <c r="C11119" s="8" t="s">
        <v>1808</v>
      </c>
      <c r="D11119" s="8">
        <v>621</v>
      </c>
      <c r="E11119" s="8">
        <v>0</v>
      </c>
      <c r="F11119" s="8">
        <v>208</v>
      </c>
    </row>
    <row r="11120" spans="1:6" ht="12.75">
      <c r="A11120" s="8">
        <v>43899.836712962962</v>
      </c>
      <c r="B11120" s="8" t="str">
        <f>HYPERLINK("https://twitter.com/SeifRisyad","@SeifRisyad")</f>
        <v>@SeifRisyad</v>
      </c>
      <c r="C11120" s="8" t="s">
        <v>1381</v>
      </c>
      <c r="D11120" s="8">
        <v>2</v>
      </c>
      <c r="E11120" s="8">
        <v>0</v>
      </c>
      <c r="F11120" s="8">
        <v>242</v>
      </c>
    </row>
    <row r="11121" spans="1:6" ht="12.75">
      <c r="A11121" s="8">
        <v>43899.836701388893</v>
      </c>
      <c r="B11121" s="8" t="str">
        <f>HYPERLINK("https://twitter.com/amol_khiste","@amol_khiste")</f>
        <v>@amol_khiste</v>
      </c>
      <c r="C11121" s="8" t="s">
        <v>1957</v>
      </c>
      <c r="D11121" s="8">
        <v>844</v>
      </c>
      <c r="E11121" s="8">
        <v>0</v>
      </c>
      <c r="F11121" s="8">
        <v>462</v>
      </c>
    </row>
    <row r="11122" spans="1:6" ht="12.75">
      <c r="A11122" s="8">
        <v>43899.836631944447</v>
      </c>
      <c r="B11122" s="8" t="str">
        <f>HYPERLINK("https://twitter.com/goyeena","@goyeena")</f>
        <v>@goyeena</v>
      </c>
      <c r="C11122" s="8" t="s">
        <v>1957</v>
      </c>
      <c r="D11122" s="8">
        <v>844</v>
      </c>
      <c r="E11122" s="8">
        <v>0</v>
      </c>
      <c r="F11122" s="8">
        <v>327</v>
      </c>
    </row>
    <row r="11123" spans="1:6" ht="12.75">
      <c r="A11123" s="8">
        <v>43899.836377314816</v>
      </c>
      <c r="B11123" s="8" t="str">
        <f>HYPERLINK("https://twitter.com/mat_rifqi","@mat_rifqi")</f>
        <v>@mat_rifqi</v>
      </c>
      <c r="C11123" s="8" t="s">
        <v>4664</v>
      </c>
      <c r="D11123" s="8">
        <v>29</v>
      </c>
      <c r="E11123" s="8">
        <v>0</v>
      </c>
      <c r="F11123" s="8">
        <v>1326</v>
      </c>
    </row>
    <row r="11124" spans="1:6" ht="12.75">
      <c r="A11124" s="8">
        <v>43899.836215277777</v>
      </c>
      <c r="B11124" s="8" t="str">
        <f>HYPERLINK("https://twitter.com/news_outsiders","@news_outsiders")</f>
        <v>@news_outsiders</v>
      </c>
      <c r="C11124" s="8" t="s">
        <v>4692</v>
      </c>
      <c r="D11124" s="8">
        <v>0</v>
      </c>
      <c r="E11124" s="8">
        <v>0</v>
      </c>
      <c r="F11124" s="8">
        <v>115</v>
      </c>
    </row>
    <row r="11125" spans="1:6" ht="12.75">
      <c r="A11125" s="8">
        <v>43899.836076388892</v>
      </c>
      <c r="B11125" s="8" t="str">
        <f>HYPERLINK("https://twitter.com/kakaknyalucas","@kakaknyalucas")</f>
        <v>@kakaknyalucas</v>
      </c>
      <c r="C11125" s="8" t="s">
        <v>4625</v>
      </c>
      <c r="D11125" s="8">
        <v>18</v>
      </c>
      <c r="E11125" s="8">
        <v>0</v>
      </c>
      <c r="F11125" s="8">
        <v>226</v>
      </c>
    </row>
    <row r="11126" spans="1:6" ht="12.75">
      <c r="A11126" s="8">
        <v>43899.835856481484</v>
      </c>
      <c r="B11126" s="8" t="str">
        <f>HYPERLINK("https://twitter.com/sanjaymehta","@sanjaymehta")</f>
        <v>@sanjaymehta</v>
      </c>
      <c r="C11126" s="8" t="s">
        <v>1957</v>
      </c>
      <c r="D11126" s="8">
        <v>844</v>
      </c>
      <c r="E11126" s="8">
        <v>0</v>
      </c>
      <c r="F11126" s="8">
        <v>394</v>
      </c>
    </row>
    <row r="11127" spans="1:6" ht="12.75">
      <c r="A11127" s="8">
        <v>43899.835590277777</v>
      </c>
      <c r="B11127" s="8" t="str">
        <f>HYPERLINK("https://twitter.com/ronirustamadji","@ronirustamadji")</f>
        <v>@ronirustamadji</v>
      </c>
      <c r="C11127" s="8" t="s">
        <v>4377</v>
      </c>
      <c r="D11127" s="8">
        <v>9</v>
      </c>
      <c r="E11127" s="8">
        <v>0</v>
      </c>
      <c r="F11127" s="8">
        <v>3323</v>
      </c>
    </row>
    <row r="11128" spans="1:6" ht="12.75">
      <c r="A11128" s="8">
        <v>43899.835451388892</v>
      </c>
      <c r="B11128" s="8" t="str">
        <f>HYPERLINK("https://twitter.com/scciaIist","@scciaIist")</f>
        <v>@scciaIist</v>
      </c>
      <c r="C11128" s="8" t="s">
        <v>4377</v>
      </c>
      <c r="D11128" s="8">
        <v>9</v>
      </c>
      <c r="E11128" s="8">
        <v>0</v>
      </c>
      <c r="F11128" s="8">
        <v>1092</v>
      </c>
    </row>
    <row r="11129" spans="1:6" ht="12.75">
      <c r="A11129" s="8">
        <v>43899.835104166668</v>
      </c>
      <c r="B11129" s="8" t="str">
        <f>HYPERLINK("https://twitter.com/kbrioslo","@kbrioslo")</f>
        <v>@kbrioslo</v>
      </c>
      <c r="C11129" s="8" t="s">
        <v>1396</v>
      </c>
      <c r="D11129" s="8">
        <v>54</v>
      </c>
      <c r="E11129" s="8">
        <v>0</v>
      </c>
      <c r="F11129" s="8">
        <v>2426</v>
      </c>
    </row>
    <row r="11130" spans="1:6" ht="12.75">
      <c r="A11130" s="8">
        <v>43899.835034722222</v>
      </c>
      <c r="B11130" s="8" t="str">
        <f>HYPERLINK("https://twitter.com/JPulasaria","@JPulasaria")</f>
        <v>@JPulasaria</v>
      </c>
      <c r="C11130" s="8" t="s">
        <v>1957</v>
      </c>
      <c r="D11130" s="8">
        <v>844</v>
      </c>
      <c r="E11130" s="8">
        <v>0</v>
      </c>
      <c r="F11130" s="8">
        <v>2374</v>
      </c>
    </row>
    <row r="11131" spans="1:6" ht="12.75">
      <c r="A11131" s="8">
        <v>43899.83488425926</v>
      </c>
      <c r="B11131" s="8" t="str">
        <f>HYPERLINK("https://twitter.com/Soehandika_","@Soehandika_")</f>
        <v>@Soehandika_</v>
      </c>
      <c r="C11131" s="8" t="s">
        <v>4693</v>
      </c>
      <c r="D11131" s="8">
        <v>0</v>
      </c>
      <c r="E11131" s="8">
        <v>0</v>
      </c>
      <c r="F11131" s="8">
        <v>352</v>
      </c>
    </row>
    <row r="11132" spans="1:6" ht="12.75">
      <c r="A11132" s="8">
        <v>43899.834756944445</v>
      </c>
      <c r="B11132" s="8" t="str">
        <f>HYPERLINK("https://twitter.com/kiran_sankhla","@kiran_sankhla")</f>
        <v>@kiran_sankhla</v>
      </c>
      <c r="C11132" s="8" t="s">
        <v>1957</v>
      </c>
      <c r="D11132" s="8">
        <v>844</v>
      </c>
      <c r="E11132" s="8">
        <v>0</v>
      </c>
      <c r="F11132" s="8">
        <v>1703</v>
      </c>
    </row>
    <row r="11133" spans="1:6" ht="12.75">
      <c r="A11133" s="8">
        <v>43899.834745370375</v>
      </c>
      <c r="B11133" s="8" t="str">
        <f>HYPERLINK("https://twitter.com/Faylasalle2","@Faylasalle2")</f>
        <v>@Faylasalle2</v>
      </c>
      <c r="C11133" s="8" t="s">
        <v>3821</v>
      </c>
      <c r="D11133" s="8">
        <v>20</v>
      </c>
      <c r="E11133" s="8">
        <v>0</v>
      </c>
      <c r="F11133" s="8">
        <v>573</v>
      </c>
    </row>
    <row r="11134" spans="1:6" ht="12.75">
      <c r="A11134" s="8">
        <v>43899.834745370375</v>
      </c>
      <c r="B11134" s="8" t="str">
        <f>HYPERLINK("https://twitter.com/MayankP98617867","@MayankP98617867")</f>
        <v>@MayankP98617867</v>
      </c>
      <c r="C11134" s="8" t="s">
        <v>1808</v>
      </c>
      <c r="D11134" s="8">
        <v>621</v>
      </c>
      <c r="E11134" s="8">
        <v>0</v>
      </c>
      <c r="F11134" s="8">
        <v>543</v>
      </c>
    </row>
    <row r="11135" spans="1:6" ht="12.75">
      <c r="A11135" s="8">
        <v>43899.834675925929</v>
      </c>
      <c r="B11135" s="8" t="str">
        <f>HYPERLINK("https://twitter.com/SPTyagi20","@SPTyagi20")</f>
        <v>@SPTyagi20</v>
      </c>
      <c r="C11135" s="8" t="s">
        <v>1957</v>
      </c>
      <c r="D11135" s="8">
        <v>844</v>
      </c>
      <c r="E11135" s="8">
        <v>0</v>
      </c>
      <c r="F11135" s="8">
        <v>746</v>
      </c>
    </row>
    <row r="11136" spans="1:6" ht="12.75">
      <c r="A11136" s="8">
        <v>43899.834594907406</v>
      </c>
      <c r="B11136" s="8" t="str">
        <f>HYPERLINK("https://twitter.com/oktashin","@oktashin")</f>
        <v>@oktashin</v>
      </c>
      <c r="C11136" s="8" t="s">
        <v>4377</v>
      </c>
      <c r="D11136" s="8">
        <v>9</v>
      </c>
      <c r="E11136" s="8">
        <v>0</v>
      </c>
      <c r="F11136" s="8">
        <v>229</v>
      </c>
    </row>
    <row r="11137" spans="1:6" ht="12.75">
      <c r="A11137" s="8">
        <v>43899.834502314814</v>
      </c>
      <c r="B11137" s="8" t="str">
        <f>HYPERLINK("https://twitter.com/SumanSh58123278","@SumanSh58123278")</f>
        <v>@SumanSh58123278</v>
      </c>
      <c r="C11137" s="8" t="s">
        <v>1808</v>
      </c>
      <c r="D11137" s="8">
        <v>621</v>
      </c>
      <c r="E11137" s="8">
        <v>0</v>
      </c>
      <c r="F11137" s="8">
        <v>9361</v>
      </c>
    </row>
    <row r="11138" spans="1:6" ht="12.75">
      <c r="A11138" s="8">
        <v>43899.834432870368</v>
      </c>
      <c r="B11138" s="8" t="str">
        <f>HYPERLINK("https://twitter.com/modi_sushi","@modi_sushi")</f>
        <v>@modi_sushi</v>
      </c>
      <c r="C11138" s="8" t="s">
        <v>1808</v>
      </c>
      <c r="D11138" s="8">
        <v>621</v>
      </c>
      <c r="E11138" s="8">
        <v>0</v>
      </c>
      <c r="F11138" s="8">
        <v>237</v>
      </c>
    </row>
    <row r="11139" spans="1:6" ht="12.75">
      <c r="A11139" s="8">
        <v>43899.834409722222</v>
      </c>
      <c r="B11139" s="8" t="str">
        <f>HYPERLINK("https://twitter.com/Aabhas24","@Aabhas24")</f>
        <v>@Aabhas24</v>
      </c>
      <c r="C11139" s="8" t="s">
        <v>1957</v>
      </c>
      <c r="D11139" s="8">
        <v>844</v>
      </c>
      <c r="E11139" s="8">
        <v>0</v>
      </c>
      <c r="F11139" s="8">
        <v>28684</v>
      </c>
    </row>
    <row r="11140" spans="1:6" ht="12.75">
      <c r="A11140" s="8">
        <v>43899.83421296296</v>
      </c>
      <c r="B11140" s="8" t="str">
        <f>HYPERLINK("https://twitter.com/malikrohit91","@malikrohit91")</f>
        <v>@malikrohit91</v>
      </c>
      <c r="C11140" s="8" t="s">
        <v>1957</v>
      </c>
      <c r="D11140" s="8">
        <v>844</v>
      </c>
      <c r="E11140" s="8">
        <v>0</v>
      </c>
      <c r="F11140" s="8">
        <v>125</v>
      </c>
    </row>
    <row r="11141" spans="1:6" ht="12.75">
      <c r="A11141" s="8">
        <v>43899.833634259259</v>
      </c>
      <c r="B11141" s="8" t="str">
        <f>HYPERLINK("https://twitter.com/andrydanield","@andrydanield")</f>
        <v>@andrydanield</v>
      </c>
      <c r="C11141" s="8" t="s">
        <v>4377</v>
      </c>
      <c r="D11141" s="8">
        <v>9</v>
      </c>
      <c r="E11141" s="8">
        <v>0</v>
      </c>
      <c r="F11141" s="8">
        <v>713</v>
      </c>
    </row>
    <row r="11142" spans="1:6" ht="12.75">
      <c r="A11142" s="8">
        <v>43899.83357638889</v>
      </c>
      <c r="B11142" s="8" t="str">
        <f>HYPERLINK("https://twitter.com/SumanSh58123278","@SumanSh58123278")</f>
        <v>@SumanSh58123278</v>
      </c>
      <c r="C11142" s="8" t="s">
        <v>1957</v>
      </c>
      <c r="D11142" s="8">
        <v>844</v>
      </c>
      <c r="E11142" s="8">
        <v>0</v>
      </c>
      <c r="F11142" s="8">
        <v>9361</v>
      </c>
    </row>
    <row r="11143" spans="1:6" ht="12.75">
      <c r="A11143" s="8">
        <v>43899.833472222221</v>
      </c>
      <c r="B11143" s="8" t="str">
        <f>HYPERLINK("https://twitter.com/priyanshu953","@priyanshu953")</f>
        <v>@priyanshu953</v>
      </c>
      <c r="C11143" s="8" t="s">
        <v>1957</v>
      </c>
      <c r="D11143" s="8">
        <v>844</v>
      </c>
      <c r="E11143" s="8">
        <v>0</v>
      </c>
      <c r="F11143" s="8">
        <v>94</v>
      </c>
    </row>
    <row r="11144" spans="1:6" ht="12.75">
      <c r="A11144" s="8">
        <v>43899.833344907413</v>
      </c>
      <c r="B11144" s="8" t="str">
        <f>HYPERLINK("https://twitter.com/little_weirdd","@little_weirdd")</f>
        <v>@little_weirdd</v>
      </c>
      <c r="C11144" s="8" t="s">
        <v>1808</v>
      </c>
      <c r="D11144" s="8">
        <v>621</v>
      </c>
      <c r="E11144" s="8">
        <v>0</v>
      </c>
      <c r="F11144" s="8">
        <v>35</v>
      </c>
    </row>
    <row r="11145" spans="1:6" ht="12.75">
      <c r="A11145" s="8">
        <v>43899.833333333328</v>
      </c>
      <c r="B11145" s="8" t="str">
        <f>HYPERLINK("https://twitter.com/TirtoID","@TirtoID")</f>
        <v>@TirtoID</v>
      </c>
      <c r="C11145" s="8" t="s">
        <v>4694</v>
      </c>
      <c r="D11145" s="8">
        <v>9</v>
      </c>
      <c r="E11145" s="8">
        <v>15</v>
      </c>
      <c r="F11145" s="8">
        <v>496528</v>
      </c>
    </row>
    <row r="11146" spans="1:6" ht="12.75">
      <c r="A11146" s="8">
        <v>43899.833171296297</v>
      </c>
      <c r="B11146" s="8" t="str">
        <f>HYPERLINK("https://twitter.com/ArvindK60125823","@ArvindK60125823")</f>
        <v>@ArvindK60125823</v>
      </c>
      <c r="C11146" s="8" t="s">
        <v>1917</v>
      </c>
      <c r="D11146" s="8">
        <v>1484</v>
      </c>
      <c r="E11146" s="8">
        <v>0</v>
      </c>
      <c r="F11146" s="8">
        <v>296</v>
      </c>
    </row>
    <row r="11147" spans="1:6" ht="12.75">
      <c r="A11147" s="8">
        <v>43899.83293981482</v>
      </c>
      <c r="B11147" s="8" t="str">
        <f>HYPERLINK("https://twitter.com/resyad_alby","@resyad_alby")</f>
        <v>@resyad_alby</v>
      </c>
      <c r="C11147" s="8" t="s">
        <v>4695</v>
      </c>
      <c r="D11147" s="8">
        <v>0</v>
      </c>
      <c r="E11147" s="8">
        <v>0</v>
      </c>
      <c r="F11147" s="8">
        <v>148</v>
      </c>
    </row>
    <row r="11148" spans="1:6" ht="12.75">
      <c r="A11148" s="8">
        <v>43899.832685185189</v>
      </c>
      <c r="B11148" s="8" t="str">
        <f>HYPERLINK("https://twitter.com/gozeau","@gozeau")</f>
        <v>@gozeau</v>
      </c>
      <c r="C11148" s="8" t="s">
        <v>4696</v>
      </c>
      <c r="D11148" s="8">
        <v>0</v>
      </c>
      <c r="E11148" s="8">
        <v>0</v>
      </c>
      <c r="F11148" s="8">
        <v>38</v>
      </c>
    </row>
    <row r="11149" spans="1:6" ht="12.75">
      <c r="A11149" s="8">
        <v>43899.832488425927</v>
      </c>
      <c r="B11149" s="8" t="str">
        <f>HYPERLINK("https://twitter.com/jajangbageur","@jajangbageur")</f>
        <v>@jajangbageur</v>
      </c>
      <c r="C11149" s="8" t="s">
        <v>4697</v>
      </c>
      <c r="D11149" s="8">
        <v>0</v>
      </c>
      <c r="E11149" s="8">
        <v>0</v>
      </c>
      <c r="F11149" s="8">
        <v>34</v>
      </c>
    </row>
    <row r="11150" spans="1:6" ht="12.75">
      <c r="A11150" s="8">
        <v>43899.832465277781</v>
      </c>
      <c r="B11150" s="8" t="str">
        <f>HYPERLINK("https://twitter.com/dhavaljvora","@dhavaljvora")</f>
        <v>@dhavaljvora</v>
      </c>
      <c r="C11150" s="8" t="s">
        <v>1957</v>
      </c>
      <c r="D11150" s="8">
        <v>844</v>
      </c>
      <c r="E11150" s="8">
        <v>0</v>
      </c>
      <c r="F11150" s="8">
        <v>10</v>
      </c>
    </row>
    <row r="11151" spans="1:6" ht="12.75">
      <c r="A11151" s="8">
        <v>43899.832199074073</v>
      </c>
      <c r="B11151" s="8" t="str">
        <f>HYPERLINK("https://twitter.com/vishnu_moholkar","@vishnu_moholkar")</f>
        <v>@vishnu_moholkar</v>
      </c>
      <c r="C11151" s="8" t="s">
        <v>1957</v>
      </c>
      <c r="D11151" s="8">
        <v>844</v>
      </c>
      <c r="E11151" s="8">
        <v>0</v>
      </c>
      <c r="F11151" s="8">
        <v>416</v>
      </c>
    </row>
    <row r="11152" spans="1:6" ht="12.75">
      <c r="A11152" s="8">
        <v>43899.83211805555</v>
      </c>
      <c r="B11152" s="8" t="str">
        <f>HYPERLINK("https://twitter.com/ImViiru","@ImViiru")</f>
        <v>@ImViiru</v>
      </c>
      <c r="C11152" s="8" t="s">
        <v>1808</v>
      </c>
      <c r="D11152" s="8">
        <v>621</v>
      </c>
      <c r="E11152" s="8">
        <v>0</v>
      </c>
      <c r="F11152" s="8">
        <v>245</v>
      </c>
    </row>
    <row r="11153" spans="1:6" ht="12.75">
      <c r="A11153" s="8">
        <v>43899.832060185188</v>
      </c>
      <c r="B11153" s="8" t="str">
        <f>HYPERLINK("https://twitter.com/yasminao89","@yasminao89")</f>
        <v>@yasminao89</v>
      </c>
      <c r="C11153" s="8" t="s">
        <v>1957</v>
      </c>
      <c r="D11153" s="8">
        <v>844</v>
      </c>
      <c r="E11153" s="8">
        <v>0</v>
      </c>
      <c r="F11153" s="8">
        <v>157</v>
      </c>
    </row>
    <row r="11154" spans="1:6" ht="12.75">
      <c r="A11154" s="8">
        <v>43899.831921296296</v>
      </c>
      <c r="B11154" s="8" t="str">
        <f>HYPERLINK("https://twitter.com/Shudhtweets","@Shudhtweets")</f>
        <v>@Shudhtweets</v>
      </c>
      <c r="C11154" s="8" t="s">
        <v>1957</v>
      </c>
      <c r="D11154" s="8">
        <v>844</v>
      </c>
      <c r="E11154" s="8">
        <v>0</v>
      </c>
      <c r="F11154" s="8">
        <v>335</v>
      </c>
    </row>
    <row r="11155" spans="1:6" ht="12.75">
      <c r="A11155" s="8">
        <v>43899.831863425927</v>
      </c>
      <c r="B11155" s="8" t="str">
        <f>HYPERLINK("https://twitter.com/KJRI_CapeTown","@KJRI_CapeTown")</f>
        <v>@KJRI_CapeTown</v>
      </c>
      <c r="C11155" s="8" t="s">
        <v>3168</v>
      </c>
      <c r="D11155" s="8">
        <v>34</v>
      </c>
      <c r="E11155" s="8">
        <v>0</v>
      </c>
      <c r="F11155" s="8">
        <v>124</v>
      </c>
    </row>
    <row r="11156" spans="1:6" ht="12.75">
      <c r="A11156" s="8">
        <v>43899.831377314811</v>
      </c>
      <c r="B11156" s="8" t="str">
        <f>HYPERLINK("https://twitter.com/quest_illusion","@quest_illusion")</f>
        <v>@quest_illusion</v>
      </c>
      <c r="C11156" s="8" t="s">
        <v>1957</v>
      </c>
      <c r="D11156" s="8">
        <v>844</v>
      </c>
      <c r="E11156" s="8">
        <v>0</v>
      </c>
      <c r="F11156" s="8">
        <v>918</v>
      </c>
    </row>
    <row r="11157" spans="1:6" ht="12.75">
      <c r="A11157" s="8">
        <v>43899.831238425926</v>
      </c>
      <c r="B11157" s="8" t="str">
        <f>HYPERLINK("https://twitter.com/gemaposID","@gemaposID")</f>
        <v>@gemaposID</v>
      </c>
      <c r="C11157" s="8" t="s">
        <v>4698</v>
      </c>
      <c r="D11157" s="8">
        <v>0</v>
      </c>
      <c r="E11157" s="8">
        <v>0</v>
      </c>
      <c r="F11157" s="8">
        <v>4</v>
      </c>
    </row>
    <row r="11158" spans="1:6" ht="12.75">
      <c r="A11158" s="8">
        <v>43899.831099537041</v>
      </c>
      <c r="B11158" s="8" t="str">
        <f>HYPERLINK("https://twitter.com/JantoLatief3","@JantoLatief3")</f>
        <v>@JantoLatief3</v>
      </c>
      <c r="C11158" s="8" t="s">
        <v>4425</v>
      </c>
      <c r="D11158" s="8">
        <v>16</v>
      </c>
      <c r="E11158" s="8">
        <v>0</v>
      </c>
      <c r="F11158" s="8">
        <v>1658</v>
      </c>
    </row>
    <row r="11159" spans="1:6" ht="12.75">
      <c r="A11159" s="8">
        <v>43899.831030092595</v>
      </c>
      <c r="B11159" s="8" t="str">
        <f>HYPERLINK("https://twitter.com/mrsnail22","@mrsnail22")</f>
        <v>@mrsnail22</v>
      </c>
      <c r="C11159" s="8" t="s">
        <v>3262</v>
      </c>
      <c r="D11159" s="8">
        <v>193</v>
      </c>
      <c r="E11159" s="8">
        <v>0</v>
      </c>
      <c r="F11159" s="8">
        <v>423</v>
      </c>
    </row>
    <row r="11160" spans="1:6" ht="12.75">
      <c r="A11160" s="8">
        <v>43899.831018518518</v>
      </c>
      <c r="B11160" s="8" t="str">
        <f>HYPERLINK("https://twitter.com/ridgwayqu1","@ridgwayqu1")</f>
        <v>@ridgwayqu1</v>
      </c>
      <c r="C11160" s="8" t="s">
        <v>1957</v>
      </c>
      <c r="D11160" s="8">
        <v>844</v>
      </c>
      <c r="E11160" s="8">
        <v>0</v>
      </c>
      <c r="F11160" s="8">
        <v>150</v>
      </c>
    </row>
    <row r="11161" spans="1:6" ht="12.75">
      <c r="A11161" s="8">
        <v>43899.830740740741</v>
      </c>
      <c r="B11161" s="8" t="str">
        <f>HYPERLINK("https://twitter.com/cptsandeepsingh","@cptsandeepsingh")</f>
        <v>@cptsandeepsingh</v>
      </c>
      <c r="C11161" s="8" t="s">
        <v>1808</v>
      </c>
      <c r="D11161" s="8">
        <v>621</v>
      </c>
      <c r="E11161" s="8">
        <v>0</v>
      </c>
      <c r="F11161" s="8">
        <v>438</v>
      </c>
    </row>
    <row r="11162" spans="1:6" ht="12.75">
      <c r="A11162" s="8">
        <v>43899.830196759256</v>
      </c>
      <c r="B11162" s="8" t="str">
        <f>HYPERLINK("https://twitter.com/hdimara79","@hdimara79")</f>
        <v>@hdimara79</v>
      </c>
      <c r="C11162" s="8" t="s">
        <v>3168</v>
      </c>
      <c r="D11162" s="8">
        <v>34</v>
      </c>
      <c r="E11162" s="8">
        <v>0</v>
      </c>
      <c r="F11162" s="8">
        <v>52</v>
      </c>
    </row>
    <row r="11163" spans="1:6" ht="12.75">
      <c r="A11163" s="8">
        <v>43899.82980324074</v>
      </c>
      <c r="B11163" s="8" t="str">
        <f>HYPERLINK("https://twitter.com/ikobem77","@ikobem77")</f>
        <v>@ikobem77</v>
      </c>
      <c r="C11163" s="8" t="s">
        <v>4425</v>
      </c>
      <c r="D11163" s="8">
        <v>16</v>
      </c>
      <c r="E11163" s="8">
        <v>0</v>
      </c>
      <c r="F11163" s="8">
        <v>1768</v>
      </c>
    </row>
    <row r="11164" spans="1:6" ht="12.75">
      <c r="A11164" s="8">
        <v>43899.829699074078</v>
      </c>
      <c r="B11164" s="8" t="str">
        <f>HYPERLINK("https://twitter.com/ramisright","@ramisright")</f>
        <v>@ramisright</v>
      </c>
      <c r="C11164" s="8" t="s">
        <v>1957</v>
      </c>
      <c r="D11164" s="8">
        <v>844</v>
      </c>
      <c r="E11164" s="8">
        <v>0</v>
      </c>
      <c r="F11164" s="8">
        <v>759</v>
      </c>
    </row>
    <row r="11165" spans="1:6" ht="12.75">
      <c r="A11165" s="8">
        <v>43899.829675925925</v>
      </c>
      <c r="B11165" s="8" t="str">
        <f>HYPERLINK("https://twitter.com/MK_mayaKS","@MK_mayaKS")</f>
        <v>@MK_mayaKS</v>
      </c>
      <c r="C11165" s="8" t="s">
        <v>4699</v>
      </c>
      <c r="D11165" s="8">
        <v>0</v>
      </c>
      <c r="E11165" s="8">
        <v>0</v>
      </c>
      <c r="F11165" s="8">
        <v>460</v>
      </c>
    </row>
    <row r="11166" spans="1:6" ht="12.75">
      <c r="A11166" s="8">
        <v>43899.829502314809</v>
      </c>
      <c r="B11166" s="8" t="str">
        <f>HYPERLINK("https://twitter.com/Married2Martyr","@Married2Martyr")</f>
        <v>@Married2Martyr</v>
      </c>
      <c r="C11166" s="8" t="s">
        <v>1808</v>
      </c>
      <c r="D11166" s="8">
        <v>621</v>
      </c>
      <c r="E11166" s="8">
        <v>0</v>
      </c>
      <c r="F11166" s="8">
        <v>753</v>
      </c>
    </row>
    <row r="11167" spans="1:6" ht="12.75">
      <c r="A11167" s="8">
        <v>43899.82913194444</v>
      </c>
      <c r="B11167" s="8" t="str">
        <f>HYPERLINK("https://twitter.com/i_strts","@i_strts")</f>
        <v>@i_strts</v>
      </c>
      <c r="C11167" s="8" t="s">
        <v>1808</v>
      </c>
      <c r="D11167" s="8">
        <v>621</v>
      </c>
      <c r="E11167" s="8">
        <v>0</v>
      </c>
      <c r="F11167" s="8">
        <v>132</v>
      </c>
    </row>
    <row r="11168" spans="1:6" ht="12.75">
      <c r="A11168" s="8">
        <v>43899.828865740739</v>
      </c>
      <c r="B11168" s="8" t="str">
        <f>HYPERLINK("https://twitter.com/dmnmntdkseneng","@dmnmntdkseneng")</f>
        <v>@dmnmntdkseneng</v>
      </c>
      <c r="C11168" s="8" t="s">
        <v>4700</v>
      </c>
      <c r="D11168" s="8">
        <v>0</v>
      </c>
      <c r="E11168" s="8">
        <v>0</v>
      </c>
      <c r="F11168" s="8">
        <v>128</v>
      </c>
    </row>
    <row r="11169" spans="1:6" ht="12.75">
      <c r="A11169" s="8">
        <v>43899.8284837963</v>
      </c>
      <c r="B11169" s="8" t="str">
        <f>HYPERLINK("https://twitter.com/Dharan13191557","@Dharan13191557")</f>
        <v>@Dharan13191557</v>
      </c>
      <c r="C11169" s="8" t="s">
        <v>1957</v>
      </c>
      <c r="D11169" s="8">
        <v>844</v>
      </c>
      <c r="E11169" s="8">
        <v>0</v>
      </c>
      <c r="F11169" s="8">
        <v>4</v>
      </c>
    </row>
    <row r="11170" spans="1:6" ht="12.75">
      <c r="A11170" s="8">
        <v>43899.828414351854</v>
      </c>
      <c r="B11170" s="8" t="str">
        <f>HYPERLINK("https://twitter.com/CumaGiar","@CumaGiar")</f>
        <v>@CumaGiar</v>
      </c>
      <c r="C11170" s="8" t="s">
        <v>4701</v>
      </c>
      <c r="D11170" s="8">
        <v>0</v>
      </c>
      <c r="E11170" s="8">
        <v>0</v>
      </c>
      <c r="F11170" s="8">
        <v>0</v>
      </c>
    </row>
    <row r="11171" spans="1:6" ht="12.75">
      <c r="A11171" s="8">
        <v>43899.828310185185</v>
      </c>
      <c r="B11171" s="8" t="str">
        <f>HYPERLINK("https://twitter.com/AhmadiReno1","@AhmadiReno1")</f>
        <v>@AhmadiReno1</v>
      </c>
      <c r="C11171" s="8" t="s">
        <v>4702</v>
      </c>
      <c r="D11171" s="8">
        <v>0</v>
      </c>
      <c r="E11171" s="8">
        <v>0</v>
      </c>
      <c r="F11171" s="8">
        <v>95</v>
      </c>
    </row>
    <row r="11172" spans="1:6" ht="12.75">
      <c r="A11172" s="8">
        <v>43899.827905092592</v>
      </c>
      <c r="B11172" s="8" t="str">
        <f>HYPERLINK("https://twitter.com/UtomoFreddy","@UtomoFreddy")</f>
        <v>@UtomoFreddy</v>
      </c>
      <c r="C11172" s="8" t="s">
        <v>4425</v>
      </c>
      <c r="D11172" s="8">
        <v>16</v>
      </c>
      <c r="E11172" s="8">
        <v>0</v>
      </c>
      <c r="F11172" s="8">
        <v>108</v>
      </c>
    </row>
    <row r="11173" spans="1:6" ht="12.75">
      <c r="A11173" s="8">
        <v>43899.827789351853</v>
      </c>
      <c r="B11173" s="8" t="str">
        <f>HYPERLINK("https://twitter.com/Bere7777777","@Bere7777777")</f>
        <v>@Bere7777777</v>
      </c>
      <c r="C11173" s="8" t="s">
        <v>4703</v>
      </c>
      <c r="D11173" s="8">
        <v>0</v>
      </c>
      <c r="E11173" s="8">
        <v>1</v>
      </c>
      <c r="F11173" s="8">
        <v>290</v>
      </c>
    </row>
    <row r="11174" spans="1:6" ht="12.75">
      <c r="A11174" s="8">
        <v>43899.827789351853</v>
      </c>
      <c r="B11174" s="8" t="str">
        <f>HYPERLINK("https://twitter.com/Acharya280702","@Acharya280702")</f>
        <v>@Acharya280702</v>
      </c>
      <c r="C11174" s="8" t="s">
        <v>1957</v>
      </c>
      <c r="D11174" s="8">
        <v>844</v>
      </c>
      <c r="E11174" s="8">
        <v>0</v>
      </c>
      <c r="F11174" s="8">
        <v>337</v>
      </c>
    </row>
    <row r="11175" spans="1:6" ht="12.75">
      <c r="A11175" s="8">
        <v>43899.827685185184</v>
      </c>
      <c r="B11175" s="8" t="str">
        <f>HYPERLINK("https://twitter.com/rabishranjan94","@rabishranjan94")</f>
        <v>@rabishranjan94</v>
      </c>
      <c r="C11175" s="8" t="s">
        <v>1808</v>
      </c>
      <c r="D11175" s="8">
        <v>621</v>
      </c>
      <c r="E11175" s="8">
        <v>0</v>
      </c>
      <c r="F11175" s="8">
        <v>237</v>
      </c>
    </row>
    <row r="11176" spans="1:6" ht="12.75">
      <c r="A11176" s="8">
        <v>43899.827337962968</v>
      </c>
      <c r="B11176" s="8" t="str">
        <f>HYPERLINK("https://twitter.com/Namaku_Mei","@Namaku_Mei")</f>
        <v>@Namaku_Mei</v>
      </c>
      <c r="C11176" s="8" t="s">
        <v>4704</v>
      </c>
      <c r="D11176" s="8">
        <v>1</v>
      </c>
      <c r="E11176" s="8">
        <v>3</v>
      </c>
      <c r="F11176" s="8">
        <v>35591</v>
      </c>
    </row>
    <row r="11177" spans="1:6" ht="12.75">
      <c r="A11177" s="8">
        <v>43899.827268518522</v>
      </c>
      <c r="B11177" s="8" t="str">
        <f>HYPERLINK("https://twitter.com/pendividia","@pendividia")</f>
        <v>@pendividia</v>
      </c>
      <c r="C11177" s="8" t="s">
        <v>3262</v>
      </c>
      <c r="D11177" s="8">
        <v>193</v>
      </c>
      <c r="E11177" s="8">
        <v>0</v>
      </c>
      <c r="F11177" s="8">
        <v>605</v>
      </c>
    </row>
    <row r="11178" spans="1:6" ht="12.75">
      <c r="A11178" s="8">
        <v>43899.827187499999</v>
      </c>
      <c r="B11178" s="8" t="str">
        <f>HYPERLINK("https://twitter.com/ociirosiana","@ociirosiana")</f>
        <v>@ociirosiana</v>
      </c>
      <c r="C11178" s="8" t="s">
        <v>4524</v>
      </c>
      <c r="D11178" s="8">
        <v>15</v>
      </c>
      <c r="E11178" s="8">
        <v>0</v>
      </c>
      <c r="F11178" s="8">
        <v>434</v>
      </c>
    </row>
    <row r="11179" spans="1:6" ht="12.75">
      <c r="A11179" s="8">
        <v>43899.826909722222</v>
      </c>
      <c r="B11179" s="8" t="str">
        <f>HYPERLINK("https://twitter.com/emzee_18","@emzee_18")</f>
        <v>@emzee_18</v>
      </c>
      <c r="C11179" s="8" t="s">
        <v>1957</v>
      </c>
      <c r="D11179" s="8">
        <v>844</v>
      </c>
      <c r="E11179" s="8">
        <v>0</v>
      </c>
      <c r="F11179" s="8">
        <v>196</v>
      </c>
    </row>
    <row r="11180" spans="1:6" ht="12.75">
      <c r="A11180" s="8">
        <v>43899.826851851853</v>
      </c>
      <c r="B11180" s="8" t="str">
        <f>HYPERLINK("https://twitter.com/sanjitmishra08","@sanjitmishra08")</f>
        <v>@sanjitmishra08</v>
      </c>
      <c r="C11180" s="8" t="s">
        <v>1808</v>
      </c>
      <c r="D11180" s="8">
        <v>621</v>
      </c>
      <c r="E11180" s="8">
        <v>0</v>
      </c>
      <c r="F11180" s="8">
        <v>456</v>
      </c>
    </row>
    <row r="11181" spans="1:6" ht="12.75">
      <c r="A11181" s="8">
        <v>43899.826817129629</v>
      </c>
      <c r="B11181" s="8" t="str">
        <f>HYPERLINK("https://twitter.com/saurabh_1414","@saurabh_1414")</f>
        <v>@saurabh_1414</v>
      </c>
      <c r="C11181" s="8" t="s">
        <v>4705</v>
      </c>
      <c r="D11181" s="8">
        <v>0</v>
      </c>
      <c r="E11181" s="8">
        <v>0</v>
      </c>
      <c r="F11181" s="8">
        <v>145</v>
      </c>
    </row>
    <row r="11182" spans="1:6" ht="12.75">
      <c r="A11182" s="8">
        <v>43899.826527777783</v>
      </c>
      <c r="B11182" s="8" t="str">
        <f>HYPERLINK("https://twitter.com/kbrioslo","@kbrioslo")</f>
        <v>@kbrioslo</v>
      </c>
      <c r="C11182" s="8" t="s">
        <v>3168</v>
      </c>
      <c r="D11182" s="8">
        <v>34</v>
      </c>
      <c r="E11182" s="8">
        <v>0</v>
      </c>
      <c r="F11182" s="8">
        <v>2426</v>
      </c>
    </row>
    <row r="11183" spans="1:6" ht="12.75">
      <c r="A11183" s="8">
        <v>43899.82640046296</v>
      </c>
      <c r="B11183" s="8" t="str">
        <f>HYPERLINK("https://twitter.com/Naveenku555","@Naveenku555")</f>
        <v>@Naveenku555</v>
      </c>
      <c r="C11183" s="8" t="s">
        <v>1808</v>
      </c>
      <c r="D11183" s="8">
        <v>621</v>
      </c>
      <c r="E11183" s="8">
        <v>0</v>
      </c>
      <c r="F11183" s="8">
        <v>1069</v>
      </c>
    </row>
    <row r="11184" spans="1:6" ht="12.75">
      <c r="A11184" s="8">
        <v>43899.826354166667</v>
      </c>
      <c r="B11184" s="8" t="str">
        <f>HYPERLINK("https://twitter.com/fenrysva","@fenrysva")</f>
        <v>@fenrysva</v>
      </c>
      <c r="C11184" s="8" t="s">
        <v>4625</v>
      </c>
      <c r="D11184" s="8">
        <v>18</v>
      </c>
      <c r="E11184" s="8">
        <v>0</v>
      </c>
      <c r="F11184" s="8">
        <v>809</v>
      </c>
    </row>
    <row r="11185" spans="1:6" ht="12.75">
      <c r="A11185" s="8">
        <v>43899.826273148152</v>
      </c>
      <c r="B11185" s="8" t="str">
        <f>HYPERLINK("https://twitter.com/an_dre_ho","@an_dre_ho")</f>
        <v>@an_dre_ho</v>
      </c>
      <c r="C11185" s="8" t="s">
        <v>4706</v>
      </c>
      <c r="D11185" s="8">
        <v>0</v>
      </c>
      <c r="E11185" s="8">
        <v>0</v>
      </c>
      <c r="F11185" s="8">
        <v>1493</v>
      </c>
    </row>
    <row r="11186" spans="1:6" ht="12.75">
      <c r="A11186" s="8">
        <v>43899.825925925921</v>
      </c>
      <c r="B11186" s="8" t="str">
        <f>HYPERLINK("https://twitter.com/aviralbansal","@aviralbansal")</f>
        <v>@aviralbansal</v>
      </c>
      <c r="C11186" s="8" t="s">
        <v>1808</v>
      </c>
      <c r="D11186" s="8">
        <v>621</v>
      </c>
      <c r="E11186" s="8">
        <v>0</v>
      </c>
      <c r="F11186" s="8">
        <v>947</v>
      </c>
    </row>
    <row r="11187" spans="1:6" ht="12.75">
      <c r="A11187" s="8">
        <v>43899.825821759259</v>
      </c>
      <c r="B11187" s="8" t="str">
        <f>HYPERLINK("https://twitter.com/Gregori_shire","@Gregori_shire")</f>
        <v>@Gregori_shire</v>
      </c>
      <c r="C11187" s="8" t="s">
        <v>4425</v>
      </c>
      <c r="D11187" s="8">
        <v>16</v>
      </c>
      <c r="E11187" s="8">
        <v>0</v>
      </c>
      <c r="F11187" s="8">
        <v>154</v>
      </c>
    </row>
    <row r="11188" spans="1:6" ht="12.75">
      <c r="A11188" s="8">
        <v>43899.825659722221</v>
      </c>
      <c r="B11188" s="8" t="str">
        <f>HYPERLINK("https://twitter.com/cintada17","@cintada17")</f>
        <v>@cintada17</v>
      </c>
      <c r="C11188" s="8" t="s">
        <v>4425</v>
      </c>
      <c r="D11188" s="8">
        <v>16</v>
      </c>
      <c r="E11188" s="8">
        <v>0</v>
      </c>
      <c r="F11188" s="8">
        <v>8077</v>
      </c>
    </row>
    <row r="11189" spans="1:6" ht="12.75">
      <c r="A11189" s="8">
        <v>43899.825624999998</v>
      </c>
      <c r="B11189" s="8" t="str">
        <f>HYPERLINK("https://twitter.com/hanumadu","@hanumadu")</f>
        <v>@hanumadu</v>
      </c>
      <c r="C11189" s="8" t="s">
        <v>1808</v>
      </c>
      <c r="D11189" s="8">
        <v>621</v>
      </c>
      <c r="E11189" s="8">
        <v>0</v>
      </c>
      <c r="F11189" s="8">
        <v>113</v>
      </c>
    </row>
    <row r="11190" spans="1:6" ht="12.75">
      <c r="A11190" s="8">
        <v>43899.825509259259</v>
      </c>
      <c r="B11190" s="8" t="str">
        <f>HYPERLINK("https://twitter.com/Anavaratha5","@Anavaratha5")</f>
        <v>@Anavaratha5</v>
      </c>
      <c r="C11190" s="8" t="s">
        <v>1957</v>
      </c>
      <c r="D11190" s="8">
        <v>844</v>
      </c>
      <c r="E11190" s="8">
        <v>0</v>
      </c>
      <c r="F11190" s="8">
        <v>3</v>
      </c>
    </row>
    <row r="11191" spans="1:6" ht="12.75">
      <c r="A11191" s="8">
        <v>43899.825462962966</v>
      </c>
      <c r="B11191" s="8" t="str">
        <f>HYPERLINK("https://twitter.com/NormanAhmad6","@NormanAhmad6")</f>
        <v>@NormanAhmad6</v>
      </c>
      <c r="C11191" s="8" t="s">
        <v>3262</v>
      </c>
      <c r="D11191" s="8">
        <v>193</v>
      </c>
      <c r="E11191" s="8">
        <v>0</v>
      </c>
      <c r="F11191" s="8">
        <v>1173</v>
      </c>
    </row>
    <row r="11192" spans="1:6" ht="12.75">
      <c r="A11192" s="8">
        <v>43899.82540509259</v>
      </c>
      <c r="B11192" s="8" t="str">
        <f>HYPERLINK("https://twitter.com/iguptavikram","@iguptavikram")</f>
        <v>@iguptavikram</v>
      </c>
      <c r="C11192" s="8" t="s">
        <v>1957</v>
      </c>
      <c r="D11192" s="8">
        <v>844</v>
      </c>
      <c r="E11192" s="8">
        <v>0</v>
      </c>
      <c r="F11192" s="8">
        <v>1818</v>
      </c>
    </row>
    <row r="11193" spans="1:6" ht="12.75">
      <c r="A11193" s="8">
        <v>43899.825358796297</v>
      </c>
      <c r="B11193" s="8" t="str">
        <f>HYPERLINK("https://twitter.com/_wni_","@_wni_")</f>
        <v>@_wni_</v>
      </c>
      <c r="C11193" s="8" t="s">
        <v>4707</v>
      </c>
      <c r="D11193" s="8">
        <v>255</v>
      </c>
      <c r="E11193" s="8">
        <v>0</v>
      </c>
      <c r="F11193" s="8">
        <v>18</v>
      </c>
    </row>
    <row r="11194" spans="1:6" ht="12.75">
      <c r="A11194" s="8">
        <v>43899.797939814816</v>
      </c>
      <c r="B11194" s="8" t="str">
        <f>HYPERLINK("https://twitter.com/yovie114","@yovie114")</f>
        <v>@yovie114</v>
      </c>
      <c r="C11194" s="8" t="s">
        <v>4708</v>
      </c>
      <c r="D11194" s="8">
        <v>0</v>
      </c>
      <c r="E11194" s="8">
        <v>0</v>
      </c>
      <c r="F11194" s="8">
        <v>103</v>
      </c>
    </row>
    <row r="11195" spans="1:6" ht="12.75">
      <c r="A11195" s="8">
        <v>43899.797905092593</v>
      </c>
      <c r="B11195" s="8" t="str">
        <f>HYPERLINK("https://twitter.com/kiasleo","@kiasleo")</f>
        <v>@kiasleo</v>
      </c>
      <c r="C11195" s="8" t="s">
        <v>4709</v>
      </c>
      <c r="D11195" s="8">
        <v>4</v>
      </c>
      <c r="E11195" s="8">
        <v>0</v>
      </c>
      <c r="F11195" s="8">
        <v>638</v>
      </c>
    </row>
    <row r="11196" spans="1:6" ht="12.75">
      <c r="A11196" s="8">
        <v>43899.797592592593</v>
      </c>
      <c r="B11196" s="8" t="str">
        <f>HYPERLINK("https://twitter.com/alfiarnimakhtaf","@alfiarnimakhtaf")</f>
        <v>@alfiarnimakhtaf</v>
      </c>
      <c r="C11196" s="8" t="s">
        <v>4710</v>
      </c>
      <c r="D11196" s="8">
        <v>0</v>
      </c>
      <c r="E11196" s="8">
        <v>0</v>
      </c>
      <c r="F11196" s="8">
        <v>1037</v>
      </c>
    </row>
    <row r="11197" spans="1:6" ht="12.75">
      <c r="A11197" s="8">
        <v>43899.797546296293</v>
      </c>
      <c r="B11197" s="8" t="str">
        <f>HYPERLINK("https://twitter.com/Nationalist_007","@Nationalist_007")</f>
        <v>@Nationalist_007</v>
      </c>
      <c r="C11197" s="8" t="s">
        <v>1957</v>
      </c>
      <c r="D11197" s="8">
        <v>734</v>
      </c>
      <c r="E11197" s="8">
        <v>0</v>
      </c>
      <c r="F11197" s="8">
        <v>246</v>
      </c>
    </row>
    <row r="11198" spans="1:6" ht="12.75">
      <c r="A11198" s="8">
        <v>43899.797500000001</v>
      </c>
      <c r="B11198" s="8" t="str">
        <f>HYPERLINK("https://twitter.com/Akashrajpathak1","@Akashrajpathak1")</f>
        <v>@Akashrajpathak1</v>
      </c>
      <c r="C11198" s="8" t="s">
        <v>1957</v>
      </c>
      <c r="D11198" s="8">
        <v>734</v>
      </c>
      <c r="E11198" s="8">
        <v>0</v>
      </c>
      <c r="F11198" s="8">
        <v>129</v>
      </c>
    </row>
    <row r="11199" spans="1:6" ht="12.75">
      <c r="A11199" s="8">
        <v>43899.797465277778</v>
      </c>
      <c r="B11199" s="8" t="str">
        <f>HYPERLINK("https://twitter.com/mrkotians","@mrkotians")</f>
        <v>@mrkotians</v>
      </c>
      <c r="C11199" s="8" t="s">
        <v>1957</v>
      </c>
      <c r="D11199" s="8">
        <v>734</v>
      </c>
      <c r="E11199" s="8">
        <v>0</v>
      </c>
      <c r="F11199" s="8">
        <v>1710</v>
      </c>
    </row>
    <row r="11200" spans="1:6" ht="12.75">
      <c r="A11200" s="8">
        <v>43899.797326388885</v>
      </c>
      <c r="B11200" s="8" t="str">
        <f>HYPERLINK("https://twitter.com/IntelWasabi","@IntelWasabi")</f>
        <v>@IntelWasabi</v>
      </c>
      <c r="C11200" s="8" t="s">
        <v>1957</v>
      </c>
      <c r="D11200" s="8">
        <v>734</v>
      </c>
      <c r="E11200" s="8">
        <v>0</v>
      </c>
      <c r="F11200" s="8">
        <v>171</v>
      </c>
    </row>
    <row r="11201" spans="1:6" ht="12.75">
      <c r="A11201" s="8">
        <v>43899.797314814816</v>
      </c>
      <c r="B11201" s="8" t="str">
        <f>HYPERLINK("https://twitter.com/RajatSurana17","@RajatSurana17")</f>
        <v>@RajatSurana17</v>
      </c>
      <c r="C11201" s="8" t="s">
        <v>1957</v>
      </c>
      <c r="D11201" s="8">
        <v>734</v>
      </c>
      <c r="E11201" s="8">
        <v>0</v>
      </c>
      <c r="F11201" s="8">
        <v>32</v>
      </c>
    </row>
    <row r="11202" spans="1:6" ht="12.75">
      <c r="A11202" s="8">
        <v>43899.797222222223</v>
      </c>
      <c r="B11202" s="8" t="str">
        <f>HYPERLINK("https://twitter.com/vijaygajera","@vijaygajera")</f>
        <v>@vijaygajera</v>
      </c>
      <c r="C11202" s="8" t="s">
        <v>1957</v>
      </c>
      <c r="D11202" s="8">
        <v>734</v>
      </c>
      <c r="E11202" s="8">
        <v>0</v>
      </c>
      <c r="F11202" s="8">
        <v>380</v>
      </c>
    </row>
    <row r="11203" spans="1:6" ht="12.75">
      <c r="A11203" s="8">
        <v>43899.797152777777</v>
      </c>
      <c r="B11203" s="8" t="str">
        <f>HYPERLINK("https://twitter.com/sledge_hammer2o","@sledge_hammer2o")</f>
        <v>@sledge_hammer2o</v>
      </c>
      <c r="C11203" s="8" t="s">
        <v>1957</v>
      </c>
      <c r="D11203" s="8">
        <v>734</v>
      </c>
      <c r="E11203" s="8">
        <v>0</v>
      </c>
      <c r="F11203" s="8">
        <v>80</v>
      </c>
    </row>
    <row r="11204" spans="1:6" ht="12.75">
      <c r="A11204" s="8">
        <v>43899.796932870369</v>
      </c>
      <c r="B11204" s="8" t="str">
        <f>HYPERLINK("https://twitter.com/OxenAli","@OxenAli")</f>
        <v>@OxenAli</v>
      </c>
      <c r="C11204" s="8" t="s">
        <v>4711</v>
      </c>
      <c r="D11204" s="8">
        <v>0</v>
      </c>
      <c r="E11204" s="8">
        <v>0</v>
      </c>
      <c r="F11204" s="8">
        <v>3</v>
      </c>
    </row>
    <row r="11205" spans="1:6" ht="12.75">
      <c r="A11205" s="8">
        <v>43899.796759259261</v>
      </c>
      <c r="B11205" s="8" t="str">
        <f>HYPERLINK("https://twitter.com/aanu_Nar","@aanu_Nar")</f>
        <v>@aanu_Nar</v>
      </c>
      <c r="C11205" s="8" t="s">
        <v>1957</v>
      </c>
      <c r="D11205" s="8">
        <v>734</v>
      </c>
      <c r="E11205" s="8">
        <v>0</v>
      </c>
      <c r="F11205" s="8">
        <v>34</v>
      </c>
    </row>
    <row r="11206" spans="1:6" ht="12.75">
      <c r="A11206" s="8">
        <v>43899.796215277776</v>
      </c>
      <c r="B11206" s="8" t="str">
        <f>HYPERLINK("https://twitter.com/Harshit08934622","@Harshit08934622")</f>
        <v>@Harshit08934622</v>
      </c>
      <c r="C11206" s="8" t="s">
        <v>4712</v>
      </c>
      <c r="D11206" s="8">
        <v>0</v>
      </c>
      <c r="E11206" s="8">
        <v>0</v>
      </c>
      <c r="F11206" s="8">
        <v>66</v>
      </c>
    </row>
    <row r="11207" spans="1:6" ht="12.75">
      <c r="A11207" s="8">
        <v>43899.796122685184</v>
      </c>
      <c r="B11207" s="8" t="str">
        <f>HYPERLINK("https://twitter.com/divas_ranjan","@divas_ranjan")</f>
        <v>@divas_ranjan</v>
      </c>
      <c r="C11207" s="8" t="s">
        <v>1808</v>
      </c>
      <c r="D11207" s="8">
        <v>549</v>
      </c>
      <c r="E11207" s="8">
        <v>0</v>
      </c>
      <c r="F11207" s="8">
        <v>161</v>
      </c>
    </row>
    <row r="11208" spans="1:6" ht="12.75">
      <c r="A11208" s="8">
        <v>43899.795694444445</v>
      </c>
      <c r="B11208" s="8" t="str">
        <f>HYPERLINK("https://twitter.com/ErindaSofi","@ErindaSofi")</f>
        <v>@ErindaSofi</v>
      </c>
      <c r="C11208" s="8" t="s">
        <v>4713</v>
      </c>
      <c r="D11208" s="8">
        <v>1</v>
      </c>
      <c r="E11208" s="8">
        <v>0</v>
      </c>
      <c r="F11208" s="8">
        <v>6244</v>
      </c>
    </row>
    <row r="11209" spans="1:6" ht="12.75">
      <c r="A11209" s="8">
        <v>43899.795682870375</v>
      </c>
      <c r="B11209" s="8" t="str">
        <f>HYPERLINK("https://twitter.com/PramodTater","@PramodTater")</f>
        <v>@PramodTater</v>
      </c>
      <c r="C11209" s="8" t="s">
        <v>1808</v>
      </c>
      <c r="D11209" s="8">
        <v>549</v>
      </c>
      <c r="E11209" s="8">
        <v>0</v>
      </c>
      <c r="F11209" s="8">
        <v>5220</v>
      </c>
    </row>
    <row r="11210" spans="1:6" ht="12.75">
      <c r="A11210" s="8">
        <v>43899.795613425929</v>
      </c>
      <c r="B11210" s="8" t="str">
        <f>HYPERLINK("https://twitter.com/bhaagnaxali","@bhaagnaxali")</f>
        <v>@bhaagnaxali</v>
      </c>
      <c r="C11210" s="8" t="s">
        <v>1957</v>
      </c>
      <c r="D11210" s="8">
        <v>734</v>
      </c>
      <c r="E11210" s="8">
        <v>0</v>
      </c>
      <c r="F11210" s="8">
        <v>119</v>
      </c>
    </row>
    <row r="11211" spans="1:6" ht="12.75">
      <c r="A11211" s="8">
        <v>43899.795127314814</v>
      </c>
      <c r="B11211" s="8" t="str">
        <f>HYPERLINK("https://twitter.com/02Trus","@02Trus")</f>
        <v>@02Trus</v>
      </c>
      <c r="C11211" s="8" t="s">
        <v>4664</v>
      </c>
      <c r="D11211" s="8">
        <v>23</v>
      </c>
      <c r="E11211" s="8">
        <v>0</v>
      </c>
      <c r="F11211" s="8">
        <v>265</v>
      </c>
    </row>
    <row r="11212" spans="1:6" ht="12.75">
      <c r="A11212" s="8">
        <v>43899.794594907406</v>
      </c>
      <c r="B11212" s="8" t="str">
        <f>HYPERLINK("https://twitter.com/mallik_hyd","@mallik_hyd")</f>
        <v>@mallik_hyd</v>
      </c>
      <c r="C11212" s="8" t="s">
        <v>1917</v>
      </c>
      <c r="D11212" s="8">
        <v>1473</v>
      </c>
      <c r="E11212" s="8">
        <v>0</v>
      </c>
      <c r="F11212" s="8">
        <v>307</v>
      </c>
    </row>
    <row r="11213" spans="1:6" ht="12.75">
      <c r="A11213" s="8">
        <v>43899.794571759259</v>
      </c>
      <c r="B11213" s="8" t="str">
        <f>HYPERLINK("https://twitter.com/masudarmanto","@masudarmanto")</f>
        <v>@masudarmanto</v>
      </c>
      <c r="C11213" s="8" t="s">
        <v>4524</v>
      </c>
      <c r="D11213" s="8">
        <v>10</v>
      </c>
      <c r="E11213" s="8">
        <v>0</v>
      </c>
      <c r="F11213" s="8">
        <v>204</v>
      </c>
    </row>
    <row r="11214" spans="1:6" ht="12.75">
      <c r="A11214" s="8">
        <v>43899.794374999998</v>
      </c>
      <c r="B11214" s="8" t="str">
        <f>HYPERLINK("https://twitter.com/TankThimble","@TankThimble")</f>
        <v>@TankThimble</v>
      </c>
      <c r="C11214" s="8" t="s">
        <v>1808</v>
      </c>
      <c r="D11214" s="8">
        <v>549</v>
      </c>
      <c r="E11214" s="8">
        <v>0</v>
      </c>
      <c r="F11214" s="8">
        <v>27</v>
      </c>
    </row>
    <row r="11215" spans="1:6" ht="12.75">
      <c r="A11215" s="8">
        <v>43899.794270833328</v>
      </c>
      <c r="B11215" s="8" t="str">
        <f>HYPERLINK("https://twitter.com/Yeyen41020695","@Yeyen41020695")</f>
        <v>@Yeyen41020695</v>
      </c>
      <c r="C11215" s="8" t="s">
        <v>4714</v>
      </c>
      <c r="D11215" s="8">
        <v>0</v>
      </c>
      <c r="E11215" s="8">
        <v>0</v>
      </c>
      <c r="F11215" s="8">
        <v>2017</v>
      </c>
    </row>
    <row r="11216" spans="1:6" ht="12.75">
      <c r="A11216" s="8">
        <v>43899.794247685189</v>
      </c>
      <c r="B11216" s="8" t="str">
        <f>HYPERLINK("https://twitter.com/gonkcil","@gonkcil")</f>
        <v>@gonkcil</v>
      </c>
      <c r="C11216" s="8" t="s">
        <v>3262</v>
      </c>
      <c r="D11216" s="8">
        <v>183</v>
      </c>
      <c r="E11216" s="8">
        <v>0</v>
      </c>
      <c r="F11216" s="8">
        <v>151</v>
      </c>
    </row>
    <row r="11217" spans="1:6" ht="12.75">
      <c r="A11217" s="8">
        <v>43899.794212962966</v>
      </c>
      <c r="B11217" s="8" t="str">
        <f>HYPERLINK("https://twitter.com/honestology","@honestology")</f>
        <v>@honestology</v>
      </c>
      <c r="C11217" s="8" t="s">
        <v>1957</v>
      </c>
      <c r="D11217" s="8">
        <v>734</v>
      </c>
      <c r="E11217" s="8">
        <v>0</v>
      </c>
      <c r="F11217" s="8">
        <v>466</v>
      </c>
    </row>
    <row r="11218" spans="1:6" ht="12.75">
      <c r="A11218" s="8">
        <v>43899.794131944444</v>
      </c>
      <c r="B11218" s="8" t="str">
        <f>HYPERLINK("https://twitter.com/ajaypshetty","@ajaypshetty")</f>
        <v>@ajaypshetty</v>
      </c>
      <c r="C11218" s="8" t="s">
        <v>1957</v>
      </c>
      <c r="D11218" s="8">
        <v>734</v>
      </c>
      <c r="E11218" s="8">
        <v>0</v>
      </c>
      <c r="F11218" s="8">
        <v>2421</v>
      </c>
    </row>
    <row r="11219" spans="1:6" ht="12.75">
      <c r="A11219" s="8">
        <v>43899.793553240743</v>
      </c>
      <c r="B11219" s="8" t="str">
        <f>HYPERLINK("https://twitter.com/coolfiredeep","@coolfiredeep")</f>
        <v>@coolfiredeep</v>
      </c>
      <c r="C11219" s="8" t="s">
        <v>1957</v>
      </c>
      <c r="D11219" s="8">
        <v>734</v>
      </c>
      <c r="E11219" s="8">
        <v>0</v>
      </c>
      <c r="F11219" s="8">
        <v>351</v>
      </c>
    </row>
    <row r="11220" spans="1:6" ht="12.75">
      <c r="A11220" s="8">
        <v>43899.79351851852</v>
      </c>
      <c r="B11220" s="8" t="str">
        <f>HYPERLINK("https://twitter.com/amasaww","@amasaww")</f>
        <v>@amasaww</v>
      </c>
      <c r="C11220" s="8" t="s">
        <v>4625</v>
      </c>
      <c r="D11220" s="8">
        <v>13</v>
      </c>
      <c r="E11220" s="8">
        <v>0</v>
      </c>
      <c r="F11220" s="8">
        <v>1350</v>
      </c>
    </row>
    <row r="11221" spans="1:6" ht="12.75">
      <c r="A11221" s="8">
        <v>43899.793275462958</v>
      </c>
      <c r="B11221" s="8" t="str">
        <f>HYPERLINK("https://twitter.com/RajArya32120890","@RajArya32120890")</f>
        <v>@RajArya32120890</v>
      </c>
      <c r="C11221" s="8" t="s">
        <v>1917</v>
      </c>
      <c r="D11221" s="8">
        <v>1473</v>
      </c>
      <c r="E11221" s="8">
        <v>0</v>
      </c>
      <c r="F11221" s="8">
        <v>95</v>
      </c>
    </row>
    <row r="11222" spans="1:6" ht="12.75">
      <c r="A11222" s="8">
        <v>43899.793217592596</v>
      </c>
      <c r="B11222" s="8" t="str">
        <f>HYPERLINK("https://twitter.com/scrdslp","@scrdslp")</f>
        <v>@scrdslp</v>
      </c>
      <c r="C11222" s="8" t="s">
        <v>4715</v>
      </c>
      <c r="D11222" s="8">
        <v>0</v>
      </c>
      <c r="E11222" s="8">
        <v>0</v>
      </c>
      <c r="F11222" s="8">
        <v>3</v>
      </c>
    </row>
    <row r="11223" spans="1:6" ht="12.75">
      <c r="A11223" s="8">
        <v>43899.79310185185</v>
      </c>
      <c r="B11223" s="8" t="str">
        <f>HYPERLINK("https://twitter.com/nhyz_vip","@nhyz_vip")</f>
        <v>@nhyz_vip</v>
      </c>
      <c r="C11223" s="8" t="s">
        <v>4716</v>
      </c>
      <c r="D11223" s="8">
        <v>0</v>
      </c>
      <c r="E11223" s="8">
        <v>0</v>
      </c>
      <c r="F11223" s="8">
        <v>6</v>
      </c>
    </row>
    <row r="11224" spans="1:6" ht="12.75">
      <c r="A11224" s="8">
        <v>43899.79288194445</v>
      </c>
      <c r="B11224" s="8" t="str">
        <f>HYPERLINK("https://twitter.com/prcbraju","@prcbraju")</f>
        <v>@prcbraju</v>
      </c>
      <c r="C11224" s="8" t="s">
        <v>1957</v>
      </c>
      <c r="D11224" s="8">
        <v>734</v>
      </c>
      <c r="E11224" s="8">
        <v>0</v>
      </c>
      <c r="F11224" s="8">
        <v>107</v>
      </c>
    </row>
    <row r="11225" spans="1:6" ht="12.75">
      <c r="A11225" s="8">
        <v>43899.792824074073</v>
      </c>
      <c r="B11225" s="8" t="str">
        <f>HYPERLINK("https://twitter.com/NaithaniJeevan","@NaithaniJeevan")</f>
        <v>@NaithaniJeevan</v>
      </c>
      <c r="C11225" s="8" t="s">
        <v>4717</v>
      </c>
      <c r="D11225" s="8">
        <v>0</v>
      </c>
      <c r="E11225" s="8">
        <v>0</v>
      </c>
      <c r="F11225" s="8">
        <v>125</v>
      </c>
    </row>
    <row r="11226" spans="1:6" ht="12.75">
      <c r="A11226" s="8">
        <v>43899.79277777778</v>
      </c>
      <c r="B11226" s="8" t="str">
        <f>HYPERLINK("https://twitter.com/Thomas_shelby11","@Thomas_shelby11")</f>
        <v>@Thomas_shelby11</v>
      </c>
      <c r="C11226" s="8" t="s">
        <v>1957</v>
      </c>
      <c r="D11226" s="8">
        <v>734</v>
      </c>
      <c r="E11226" s="8">
        <v>0</v>
      </c>
      <c r="F11226" s="8">
        <v>1483</v>
      </c>
    </row>
    <row r="11227" spans="1:6" ht="12.75">
      <c r="A11227" s="8">
        <v>43899.792569444442</v>
      </c>
      <c r="B11227" s="8" t="str">
        <f>HYPERLINK("https://twitter.com/Chapunkkorret","@Chapunkkorret")</f>
        <v>@Chapunkkorret</v>
      </c>
      <c r="C11227" s="8" t="s">
        <v>3262</v>
      </c>
      <c r="D11227" s="8">
        <v>183</v>
      </c>
      <c r="E11227" s="8">
        <v>0</v>
      </c>
      <c r="F11227" s="8">
        <v>226</v>
      </c>
    </row>
    <row r="11228" spans="1:6" ht="12.75">
      <c r="A11228" s="8">
        <v>43899.792523148149</v>
      </c>
      <c r="B11228" s="8" t="str">
        <f>HYPERLINK("https://twitter.com/agatha_lisa","@agatha_lisa")</f>
        <v>@agatha_lisa</v>
      </c>
      <c r="C11228" s="8" t="s">
        <v>4718</v>
      </c>
      <c r="D11228" s="8">
        <v>0</v>
      </c>
      <c r="E11228" s="8">
        <v>0</v>
      </c>
      <c r="F11228" s="8">
        <v>36</v>
      </c>
    </row>
    <row r="11229" spans="1:6" ht="12.75">
      <c r="A11229" s="8">
        <v>43899.792326388888</v>
      </c>
      <c r="B11229" s="8" t="str">
        <f>HYPERLINK("https://twitter.com/iwanwidia","@iwanwidia")</f>
        <v>@iwanwidia</v>
      </c>
      <c r="C11229" s="8" t="s">
        <v>4719</v>
      </c>
      <c r="D11229" s="8">
        <v>0</v>
      </c>
      <c r="E11229" s="8">
        <v>0</v>
      </c>
      <c r="F11229" s="8">
        <v>24</v>
      </c>
    </row>
    <row r="11230" spans="1:6" ht="12.75">
      <c r="A11230" s="8">
        <v>43899.792303240742</v>
      </c>
      <c r="B11230" s="8" t="str">
        <f>HYPERLINK("https://twitter.com/SATYAtatva","@SATYAtatva")</f>
        <v>@SATYAtatva</v>
      </c>
      <c r="C11230" s="8" t="s">
        <v>1917</v>
      </c>
      <c r="D11230" s="8">
        <v>1473</v>
      </c>
      <c r="E11230" s="8">
        <v>0</v>
      </c>
      <c r="F11230" s="8">
        <v>111</v>
      </c>
    </row>
    <row r="11231" spans="1:6" ht="12.75">
      <c r="A11231" s="8">
        <v>43899.792256944449</v>
      </c>
      <c r="B11231" s="8" t="str">
        <f>HYPERLINK("https://twitter.com/AffeImWeltraum","@AffeImWeltraum")</f>
        <v>@AffeImWeltraum</v>
      </c>
      <c r="C11231" s="8" t="s">
        <v>1957</v>
      </c>
      <c r="D11231" s="8">
        <v>734</v>
      </c>
      <c r="E11231" s="8">
        <v>0</v>
      </c>
      <c r="F11231" s="8">
        <v>101</v>
      </c>
    </row>
    <row r="11232" spans="1:6" ht="12.75">
      <c r="A11232" s="8">
        <v>43899.79215277778</v>
      </c>
      <c r="B11232" s="8" t="str">
        <f>HYPERLINK("https://twitter.com/akuncyber","@akuncyber")</f>
        <v>@akuncyber</v>
      </c>
      <c r="C11232" s="8" t="s">
        <v>4720</v>
      </c>
      <c r="D11232" s="8">
        <v>0</v>
      </c>
      <c r="E11232" s="8">
        <v>0</v>
      </c>
      <c r="F11232" s="8">
        <v>17</v>
      </c>
    </row>
    <row r="11233" spans="1:6" ht="12.75">
      <c r="A11233" s="8">
        <v>43899.792141203703</v>
      </c>
      <c r="B11233" s="8" t="str">
        <f>HYPERLINK("https://twitter.com/nurultryani","@nurultryani")</f>
        <v>@nurultryani</v>
      </c>
      <c r="C11233" s="8" t="s">
        <v>4524</v>
      </c>
      <c r="D11233" s="8">
        <v>10</v>
      </c>
      <c r="E11233" s="8">
        <v>0</v>
      </c>
      <c r="F11233" s="8">
        <v>3489</v>
      </c>
    </row>
    <row r="11234" spans="1:6" ht="12.75">
      <c r="A11234" s="8">
        <v>43899.791979166665</v>
      </c>
      <c r="B11234" s="8" t="str">
        <f>HYPERLINK("https://twitter.com/rezapramaa","@rezapramaa")</f>
        <v>@rezapramaa</v>
      </c>
      <c r="C11234" s="8" t="s">
        <v>4524</v>
      </c>
      <c r="D11234" s="8">
        <v>10</v>
      </c>
      <c r="E11234" s="8">
        <v>0</v>
      </c>
      <c r="F11234" s="8">
        <v>1081</v>
      </c>
    </row>
    <row r="11235" spans="1:6" ht="12.75">
      <c r="A11235" s="8">
        <v>43899.791932870372</v>
      </c>
      <c r="B11235" s="8" t="str">
        <f>HYPERLINK("https://twitter.com/meTonyStarc","@meTonyStarc")</f>
        <v>@meTonyStarc</v>
      </c>
      <c r="C11235" s="8" t="s">
        <v>1808</v>
      </c>
      <c r="D11235" s="8">
        <v>549</v>
      </c>
      <c r="E11235" s="8">
        <v>0</v>
      </c>
      <c r="F11235" s="8">
        <v>158</v>
      </c>
    </row>
    <row r="11236" spans="1:6" ht="12.75">
      <c r="A11236" s="8">
        <v>43899.791921296295</v>
      </c>
      <c r="B11236" s="8" t="str">
        <f>HYPERLINK("https://twitter.com/Muhammadmep","@Muhammadmep")</f>
        <v>@Muhammadmep</v>
      </c>
      <c r="C11236" s="8" t="s">
        <v>4524</v>
      </c>
      <c r="D11236" s="8">
        <v>10</v>
      </c>
      <c r="E11236" s="8">
        <v>0</v>
      </c>
      <c r="F11236" s="8">
        <v>670</v>
      </c>
    </row>
    <row r="11237" spans="1:6" ht="12.75">
      <c r="A11237" s="8">
        <v>43899.791678240741</v>
      </c>
      <c r="B11237" s="8" t="str">
        <f>HYPERLINK("https://twitter.com/_KAFAWA_","@_KAFAWA_")</f>
        <v>@_KAFAWA_</v>
      </c>
      <c r="C11237" s="8" t="s">
        <v>1957</v>
      </c>
      <c r="D11237" s="8">
        <v>734</v>
      </c>
      <c r="E11237" s="8">
        <v>0</v>
      </c>
      <c r="F11237" s="8">
        <v>1731</v>
      </c>
    </row>
    <row r="11238" spans="1:6" ht="12.75">
      <c r="A11238" s="8">
        <v>43899.791516203702</v>
      </c>
      <c r="B11238" s="8" t="str">
        <f>HYPERLINK("https://twitter.com/ElvistDenali","@ElvistDenali")</f>
        <v>@ElvistDenali</v>
      </c>
      <c r="C11238" s="8" t="s">
        <v>4721</v>
      </c>
      <c r="D11238" s="8">
        <v>0</v>
      </c>
      <c r="E11238" s="8">
        <v>0</v>
      </c>
      <c r="F11238" s="8">
        <v>453</v>
      </c>
    </row>
    <row r="11239" spans="1:6" ht="12.75">
      <c r="A11239" s="8">
        <v>43899.791504629626</v>
      </c>
      <c r="B11239" s="8" t="str">
        <f>HYPERLINK("https://twitter.com/republikaonline","@republikaonline")</f>
        <v>@republikaonline</v>
      </c>
      <c r="C11239" s="8" t="s">
        <v>4722</v>
      </c>
      <c r="D11239" s="8">
        <v>0</v>
      </c>
      <c r="E11239" s="8">
        <v>1</v>
      </c>
      <c r="F11239" s="8">
        <v>1222683</v>
      </c>
    </row>
    <row r="11240" spans="1:6" ht="12.75">
      <c r="A11240" s="8">
        <v>43899.791365740741</v>
      </c>
      <c r="B11240" s="8" t="str">
        <f>HYPERLINK("https://twitter.com/rishi_iitr","@rishi_iitr")</f>
        <v>@rishi_iitr</v>
      </c>
      <c r="C11240" s="8" t="s">
        <v>1957</v>
      </c>
      <c r="D11240" s="8">
        <v>734</v>
      </c>
      <c r="E11240" s="8">
        <v>0</v>
      </c>
      <c r="F11240" s="8">
        <v>503</v>
      </c>
    </row>
    <row r="11241" spans="1:6" ht="12.75">
      <c r="A11241" s="8">
        <v>43899.791145833333</v>
      </c>
      <c r="B11241" s="8" t="str">
        <f>HYPERLINK("https://twitter.com/ildivialorossi","@ildivialorossi")</f>
        <v>@ildivialorossi</v>
      </c>
      <c r="C11241" s="8" t="s">
        <v>4420</v>
      </c>
      <c r="D11241" s="8">
        <v>5</v>
      </c>
      <c r="E11241" s="8">
        <v>0</v>
      </c>
      <c r="F11241" s="8">
        <v>348</v>
      </c>
    </row>
    <row r="11242" spans="1:6" ht="12.75">
      <c r="A11242" s="8">
        <v>43899.791099537033</v>
      </c>
      <c r="B11242" s="8" t="str">
        <f>HYPERLINK("https://twitter.com/Ashutos70386782","@Ashutos70386782")</f>
        <v>@Ashutos70386782</v>
      </c>
      <c r="C11242" s="8" t="s">
        <v>1957</v>
      </c>
      <c r="D11242" s="8">
        <v>734</v>
      </c>
      <c r="E11242" s="8">
        <v>0</v>
      </c>
      <c r="F11242" s="8">
        <v>25</v>
      </c>
    </row>
    <row r="11243" spans="1:6" ht="12.75">
      <c r="A11243" s="8">
        <v>43899.791041666671</v>
      </c>
      <c r="B11243" s="8" t="str">
        <f>HYPERLINK("https://twitter.com/faisalramdani23","@faisalramdani23")</f>
        <v>@faisalramdani23</v>
      </c>
      <c r="C11243" s="8" t="s">
        <v>4723</v>
      </c>
      <c r="D11243" s="8">
        <v>2</v>
      </c>
      <c r="E11243" s="8">
        <v>0</v>
      </c>
      <c r="F11243" s="8">
        <v>448</v>
      </c>
    </row>
    <row r="11244" spans="1:6" ht="12.75">
      <c r="A11244" s="8">
        <v>43899.790902777779</v>
      </c>
      <c r="B11244" s="8" t="str">
        <f>HYPERLINK("https://twitter.com/pathakbk","@pathakbk")</f>
        <v>@pathakbk</v>
      </c>
      <c r="C11244" s="8" t="s">
        <v>1957</v>
      </c>
      <c r="D11244" s="8">
        <v>734</v>
      </c>
      <c r="E11244" s="8">
        <v>0</v>
      </c>
      <c r="F11244" s="8">
        <v>333</v>
      </c>
    </row>
    <row r="11245" spans="1:6" ht="12.75">
      <c r="A11245" s="8">
        <v>43899.790879629625</v>
      </c>
      <c r="B11245" s="8" t="str">
        <f>HYPERLINK("https://twitter.com/pavanRkumar","@pavanRkumar")</f>
        <v>@pavanRkumar</v>
      </c>
      <c r="C11245" s="8" t="s">
        <v>1808</v>
      </c>
      <c r="D11245" s="8">
        <v>549</v>
      </c>
      <c r="E11245" s="8">
        <v>0</v>
      </c>
      <c r="F11245" s="8">
        <v>138</v>
      </c>
    </row>
    <row r="11246" spans="1:6" ht="12.75">
      <c r="A11246" s="8">
        <v>43899.79078703704</v>
      </c>
      <c r="B11246" s="8" t="str">
        <f>HYPERLINK("https://twitter.com/HuseinShelly","@HuseinShelly")</f>
        <v>@HuseinShelly</v>
      </c>
      <c r="C11246" s="8" t="s">
        <v>4724</v>
      </c>
      <c r="D11246" s="8">
        <v>0</v>
      </c>
      <c r="E11246" s="8">
        <v>0</v>
      </c>
      <c r="F11246" s="8">
        <v>316</v>
      </c>
    </row>
    <row r="11247" spans="1:6" ht="12.75">
      <c r="A11247" s="8">
        <v>43899.790763888886</v>
      </c>
      <c r="B11247" s="8" t="str">
        <f>HYPERLINK("https://twitter.com/81Sahil","@81Sahil")</f>
        <v>@81Sahil</v>
      </c>
      <c r="C11247" s="8" t="s">
        <v>1957</v>
      </c>
      <c r="D11247" s="8">
        <v>734</v>
      </c>
      <c r="E11247" s="8">
        <v>0</v>
      </c>
      <c r="F11247" s="8">
        <v>466</v>
      </c>
    </row>
    <row r="11248" spans="1:6" ht="12.75">
      <c r="A11248" s="8">
        <v>43899.790706018517</v>
      </c>
      <c r="B11248" s="8" t="str">
        <f>HYPERLINK("https://twitter.com/avinashivkumar","@avinashivkumar")</f>
        <v>@avinashivkumar</v>
      </c>
      <c r="C11248" s="8" t="s">
        <v>1957</v>
      </c>
      <c r="D11248" s="8">
        <v>734</v>
      </c>
      <c r="E11248" s="8">
        <v>0</v>
      </c>
      <c r="F11248" s="8">
        <v>99</v>
      </c>
    </row>
    <row r="11249" spans="1:6" ht="12.75">
      <c r="A11249" s="8">
        <v>43899.790439814809</v>
      </c>
      <c r="B11249" s="8" t="str">
        <f>HYPERLINK("https://twitter.com/BihariChhora_1","@BihariChhora_1")</f>
        <v>@BihariChhora_1</v>
      </c>
      <c r="C11249" s="8" t="s">
        <v>1808</v>
      </c>
      <c r="D11249" s="8">
        <v>549</v>
      </c>
      <c r="E11249" s="8">
        <v>0</v>
      </c>
      <c r="F11249" s="8">
        <v>55</v>
      </c>
    </row>
    <row r="11250" spans="1:6" ht="12.75">
      <c r="A11250" s="8">
        <v>43899.790347222224</v>
      </c>
      <c r="B11250" s="8" t="str">
        <f>HYPERLINK("https://twitter.com/staged_drama","@staged_drama")</f>
        <v>@staged_drama</v>
      </c>
      <c r="C11250" s="8" t="s">
        <v>1957</v>
      </c>
      <c r="D11250" s="8">
        <v>734</v>
      </c>
      <c r="E11250" s="8">
        <v>0</v>
      </c>
      <c r="F11250" s="8">
        <v>65</v>
      </c>
    </row>
    <row r="11251" spans="1:6" ht="12.75">
      <c r="A11251" s="8">
        <v>43899.790196759262</v>
      </c>
      <c r="B11251" s="8" t="str">
        <f>HYPERLINK("https://twitter.com/BihariChhora_1","@BihariChhora_1")</f>
        <v>@BihariChhora_1</v>
      </c>
      <c r="C11251" s="8" t="s">
        <v>1957</v>
      </c>
      <c r="D11251" s="8">
        <v>734</v>
      </c>
      <c r="E11251" s="8">
        <v>0</v>
      </c>
      <c r="F11251" s="8">
        <v>55</v>
      </c>
    </row>
    <row r="11252" spans="1:6" ht="12.75">
      <c r="A11252" s="8">
        <v>43899.789884259255</v>
      </c>
      <c r="B11252" s="8" t="str">
        <f>HYPERLINK("https://twitter.com/watsonbrielle","@watsonbrielle")</f>
        <v>@watsonbrielle</v>
      </c>
      <c r="C11252" s="8" t="s">
        <v>3168</v>
      </c>
      <c r="D11252" s="8">
        <v>21</v>
      </c>
      <c r="E11252" s="8">
        <v>0</v>
      </c>
      <c r="F11252" s="8">
        <v>49</v>
      </c>
    </row>
    <row r="11253" spans="1:6" ht="12.75">
      <c r="A11253" s="8">
        <v>43899.789675925931</v>
      </c>
      <c r="B11253" s="8" t="str">
        <f>HYPERLINK("https://twitter.com/vineethsn","@vineethsn")</f>
        <v>@vineethsn</v>
      </c>
      <c r="C11253" s="8" t="s">
        <v>1808</v>
      </c>
      <c r="D11253" s="8">
        <v>549</v>
      </c>
      <c r="E11253" s="8">
        <v>0</v>
      </c>
      <c r="F11253" s="8">
        <v>102</v>
      </c>
    </row>
    <row r="11254" spans="1:6" ht="12.75">
      <c r="A11254" s="8">
        <v>43899.789652777778</v>
      </c>
      <c r="B11254" s="8" t="str">
        <f>HYPERLINK("https://twitter.com/wawan_mlg","@wawan_mlg")</f>
        <v>@wawan_mlg</v>
      </c>
      <c r="C11254" s="8" t="s">
        <v>4725</v>
      </c>
      <c r="D11254" s="8">
        <v>0</v>
      </c>
      <c r="E11254" s="8">
        <v>3</v>
      </c>
      <c r="F11254" s="8">
        <v>346</v>
      </c>
    </row>
    <row r="11255" spans="1:6" ht="12.75">
      <c r="A11255" s="8">
        <v>43899.789513888885</v>
      </c>
      <c r="B11255" s="8" t="str">
        <f>HYPERLINK("https://twitter.com/andi_dwan15","@andi_dwan15")</f>
        <v>@andi_dwan15</v>
      </c>
      <c r="C11255" s="8" t="s">
        <v>4726</v>
      </c>
      <c r="D11255" s="8">
        <v>0</v>
      </c>
      <c r="E11255" s="8">
        <v>0</v>
      </c>
      <c r="F11255" s="8">
        <v>62</v>
      </c>
    </row>
    <row r="11256" spans="1:6" ht="12.75">
      <c r="A11256" s="8">
        <v>43899.789363425924</v>
      </c>
      <c r="B11256" s="8" t="str">
        <f>HYPERLINK("https://twitter.com/broto2001","@broto2001")</f>
        <v>@broto2001</v>
      </c>
      <c r="C11256" s="8" t="s">
        <v>4727</v>
      </c>
      <c r="D11256" s="8">
        <v>0</v>
      </c>
      <c r="E11256" s="8">
        <v>0</v>
      </c>
      <c r="F11256" s="8">
        <v>527</v>
      </c>
    </row>
    <row r="11257" spans="1:6" ht="12.75">
      <c r="A11257" s="8">
        <v>43899.789259259254</v>
      </c>
      <c r="B11257" s="8" t="str">
        <f t="shared" ref="B11257:B11258" si="184">HYPERLINK("https://twitter.com/StaunchSanghi","@StaunchSanghi")</f>
        <v>@StaunchSanghi</v>
      </c>
      <c r="C11257" s="8" t="s">
        <v>1808</v>
      </c>
      <c r="D11257" s="8">
        <v>549</v>
      </c>
      <c r="E11257" s="8">
        <v>0</v>
      </c>
      <c r="F11257" s="8">
        <v>140</v>
      </c>
    </row>
    <row r="11258" spans="1:6" ht="12.75">
      <c r="A11258" s="8">
        <v>43899.789224537039</v>
      </c>
      <c r="B11258" s="8" t="str">
        <f t="shared" si="184"/>
        <v>@StaunchSanghi</v>
      </c>
      <c r="C11258" s="8" t="s">
        <v>1957</v>
      </c>
      <c r="D11258" s="8">
        <v>734</v>
      </c>
      <c r="E11258" s="8">
        <v>0</v>
      </c>
      <c r="F11258" s="8">
        <v>140</v>
      </c>
    </row>
    <row r="11259" spans="1:6" ht="12.75">
      <c r="A11259" s="8">
        <v>43899.789027777777</v>
      </c>
      <c r="B11259" s="8" t="str">
        <f>HYPERLINK("https://twitter.com/Haris71661027","@Haris71661027")</f>
        <v>@Haris71661027</v>
      </c>
      <c r="C11259" s="8" t="s">
        <v>3126</v>
      </c>
      <c r="D11259" s="8">
        <v>220</v>
      </c>
      <c r="E11259" s="8">
        <v>0</v>
      </c>
      <c r="F11259" s="8">
        <v>639</v>
      </c>
    </row>
    <row r="11260" spans="1:6" ht="12.75">
      <c r="A11260" s="8">
        <v>43899.789004629631</v>
      </c>
      <c r="B11260" s="8" t="str">
        <f>HYPERLINK("https://twitter.com/hamdanrolay","@hamdanrolay")</f>
        <v>@hamdanrolay</v>
      </c>
      <c r="C11260" s="8" t="s">
        <v>4524</v>
      </c>
      <c r="D11260" s="8">
        <v>10</v>
      </c>
      <c r="E11260" s="8">
        <v>0</v>
      </c>
      <c r="F11260" s="8">
        <v>211</v>
      </c>
    </row>
    <row r="11261" spans="1:6" ht="12.75">
      <c r="A11261" s="8">
        <v>43899.788900462961</v>
      </c>
      <c r="B11261" s="8" t="str">
        <f>HYPERLINK("https://twitter.com/nur_eny17","@nur_eny17")</f>
        <v>@nur_eny17</v>
      </c>
      <c r="C11261" s="8" t="s">
        <v>4524</v>
      </c>
      <c r="D11261" s="8">
        <v>10</v>
      </c>
      <c r="E11261" s="8">
        <v>0</v>
      </c>
      <c r="F11261" s="8">
        <v>209</v>
      </c>
    </row>
    <row r="11262" spans="1:6" ht="12.75">
      <c r="A11262" s="8">
        <v>43899.788877314815</v>
      </c>
      <c r="B11262" s="8" t="str">
        <f>HYPERLINK("https://twitter.com/MLSetiawan92","@MLSetiawan92")</f>
        <v>@MLSetiawan92</v>
      </c>
      <c r="C11262" s="8" t="s">
        <v>3168</v>
      </c>
      <c r="D11262" s="8">
        <v>21</v>
      </c>
      <c r="E11262" s="8">
        <v>0</v>
      </c>
      <c r="F11262" s="8">
        <v>867</v>
      </c>
    </row>
    <row r="11263" spans="1:6" ht="12.75">
      <c r="A11263" s="8">
        <v>43899.788657407407</v>
      </c>
      <c r="B11263" s="8" t="str">
        <f>HYPERLINK("https://twitter.com/penikmatsemua_","@penikmatsemua_")</f>
        <v>@penikmatsemua_</v>
      </c>
      <c r="C11263" s="8" t="s">
        <v>4524</v>
      </c>
      <c r="D11263" s="8">
        <v>10</v>
      </c>
      <c r="E11263" s="8">
        <v>0</v>
      </c>
      <c r="F11263" s="8">
        <v>35</v>
      </c>
    </row>
    <row r="11264" spans="1:6" ht="12.75">
      <c r="A11264" s="8">
        <v>43899.788449074069</v>
      </c>
      <c r="B11264" s="8" t="str">
        <f>HYPERLINK("https://twitter.com/GTVID_News","@GTVID_News")</f>
        <v>@GTVID_News</v>
      </c>
      <c r="C11264" s="8" t="s">
        <v>4728</v>
      </c>
      <c r="D11264" s="8">
        <v>0</v>
      </c>
      <c r="E11264" s="8">
        <v>0</v>
      </c>
      <c r="F11264" s="8">
        <v>10819</v>
      </c>
    </row>
    <row r="11265" spans="1:6" ht="12.75">
      <c r="A11265" s="8">
        <v>43899.788194444445</v>
      </c>
      <c r="B11265" s="8" t="str">
        <f>HYPERLINK("https://twitter.com/mraihaniqbal","@mraihaniqbal")</f>
        <v>@mraihaniqbal</v>
      </c>
      <c r="C11265" s="8" t="s">
        <v>3168</v>
      </c>
      <c r="D11265" s="8">
        <v>21</v>
      </c>
      <c r="E11265" s="8">
        <v>0</v>
      </c>
      <c r="F11265" s="8">
        <v>172</v>
      </c>
    </row>
    <row r="11266" spans="1:6" ht="12.75">
      <c r="A11266" s="8">
        <v>43899.788194444445</v>
      </c>
      <c r="B11266" s="8" t="str">
        <f>HYPERLINK("https://twitter.com/dondi_zulheri","@dondi_zulheri")</f>
        <v>@dondi_zulheri</v>
      </c>
      <c r="C11266" s="8" t="s">
        <v>4729</v>
      </c>
      <c r="D11266" s="8">
        <v>0</v>
      </c>
      <c r="E11266" s="8">
        <v>0</v>
      </c>
      <c r="F11266" s="8">
        <v>419</v>
      </c>
    </row>
    <row r="11267" spans="1:6" ht="12.75">
      <c r="A11267" s="8">
        <v>43899.787962962961</v>
      </c>
      <c r="B11267" s="8" t="str">
        <f>HYPERLINK("https://twitter.com/ASHOKEDASGUPTA5","@ASHOKEDASGUPTA5")</f>
        <v>@ASHOKEDASGUPTA5</v>
      </c>
      <c r="C11267" s="8" t="s">
        <v>1957</v>
      </c>
      <c r="D11267" s="8">
        <v>734</v>
      </c>
      <c r="E11267" s="8">
        <v>0</v>
      </c>
      <c r="F11267" s="8">
        <v>24</v>
      </c>
    </row>
    <row r="11268" spans="1:6" ht="12.75">
      <c r="A11268" s="8">
        <v>43899.787743055553</v>
      </c>
      <c r="B11268" s="8" t="str">
        <f>HYPERLINK("https://twitter.com/ibnupurna","@ibnupurna")</f>
        <v>@ibnupurna</v>
      </c>
      <c r="C11268" s="8" t="s">
        <v>4730</v>
      </c>
      <c r="D11268" s="8">
        <v>0</v>
      </c>
      <c r="E11268" s="8">
        <v>1</v>
      </c>
      <c r="F11268" s="8">
        <v>5960</v>
      </c>
    </row>
    <row r="11269" spans="1:6" ht="12.75">
      <c r="A11269" s="8">
        <v>43899.787523148145</v>
      </c>
      <c r="B11269" s="8" t="str">
        <f>HYPERLINK("https://twitter.com/rafifa_kayla","@rafifa_kayla")</f>
        <v>@rafifa_kayla</v>
      </c>
      <c r="C11269" s="8" t="s">
        <v>4731</v>
      </c>
      <c r="D11269" s="8">
        <v>0</v>
      </c>
      <c r="E11269" s="8">
        <v>0</v>
      </c>
      <c r="F11269" s="8">
        <v>1143</v>
      </c>
    </row>
    <row r="11270" spans="1:6" ht="12.75">
      <c r="A11270" s="8">
        <v>43899.787349537037</v>
      </c>
      <c r="B11270" s="8" t="str">
        <f>HYPERLINK("https://twitter.com/Acaciacey","@Acaciacey")</f>
        <v>@Acaciacey</v>
      </c>
      <c r="C11270" s="8" t="s">
        <v>3168</v>
      </c>
      <c r="D11270" s="8">
        <v>21</v>
      </c>
      <c r="E11270" s="8">
        <v>0</v>
      </c>
      <c r="F11270" s="8">
        <v>522</v>
      </c>
    </row>
    <row r="11271" spans="1:6" ht="12.75">
      <c r="A11271" s="8">
        <v>43899.787233796298</v>
      </c>
      <c r="B11271" s="8" t="str">
        <f>HYPERLINK("https://twitter.com/daningayu","@daningayu")</f>
        <v>@daningayu</v>
      </c>
      <c r="C11271" s="8" t="s">
        <v>3168</v>
      </c>
      <c r="D11271" s="8">
        <v>21</v>
      </c>
      <c r="E11271" s="8">
        <v>0</v>
      </c>
      <c r="F11271" s="8">
        <v>482</v>
      </c>
    </row>
    <row r="11272" spans="1:6" ht="12.75">
      <c r="A11272" s="8">
        <v>43899.787164351852</v>
      </c>
      <c r="B11272" s="8" t="str">
        <f>HYPERLINK("https://twitter.com/Aravindakodiya","@Aravindakodiya")</f>
        <v>@Aravindakodiya</v>
      </c>
      <c r="C11272" s="8" t="s">
        <v>1808</v>
      </c>
      <c r="D11272" s="8">
        <v>549</v>
      </c>
      <c r="E11272" s="8">
        <v>0</v>
      </c>
      <c r="F11272" s="8">
        <v>73</v>
      </c>
    </row>
    <row r="11273" spans="1:6" ht="12.75">
      <c r="A11273" s="8">
        <v>43899.787083333329</v>
      </c>
      <c r="B11273" s="8" t="str">
        <f>HYPERLINK("https://twitter.com/VinBisht8888","@VinBisht8888")</f>
        <v>@VinBisht8888</v>
      </c>
      <c r="C11273" s="8" t="s">
        <v>1917</v>
      </c>
      <c r="D11273" s="8">
        <v>1473</v>
      </c>
      <c r="E11273" s="8">
        <v>0</v>
      </c>
      <c r="F11273" s="8">
        <v>74</v>
      </c>
    </row>
    <row r="11274" spans="1:6" ht="12.75">
      <c r="A11274" s="8">
        <v>43899.786944444444</v>
      </c>
      <c r="B11274" s="8" t="str">
        <f>HYPERLINK("https://twitter.com/hndr_frnnd","@hndr_frnnd")</f>
        <v>@hndr_frnnd</v>
      </c>
      <c r="C11274" s="8" t="s">
        <v>4732</v>
      </c>
      <c r="D11274" s="8">
        <v>0</v>
      </c>
      <c r="E11274" s="8">
        <v>0</v>
      </c>
      <c r="F11274" s="8">
        <v>57</v>
      </c>
    </row>
    <row r="11275" spans="1:6" ht="12.75">
      <c r="A11275" s="8">
        <v>43899.786805555559</v>
      </c>
      <c r="B11275" s="8" t="str">
        <f>HYPERLINK("https://twitter.com/ryolandafit","@ryolandafit")</f>
        <v>@ryolandafit</v>
      </c>
      <c r="C11275" s="8" t="s">
        <v>4709</v>
      </c>
      <c r="D11275" s="8">
        <v>4</v>
      </c>
      <c r="E11275" s="8">
        <v>0</v>
      </c>
      <c r="F11275" s="8">
        <v>658</v>
      </c>
    </row>
    <row r="11276" spans="1:6" ht="12.75">
      <c r="A11276" s="8">
        <v>43899.786666666667</v>
      </c>
      <c r="B11276" s="8" t="str">
        <f>HYPERLINK("https://twitter.com/fchrezaaa_","@fchrezaaa_")</f>
        <v>@fchrezaaa_</v>
      </c>
      <c r="C11276" s="8" t="s">
        <v>4524</v>
      </c>
      <c r="D11276" s="8">
        <v>10</v>
      </c>
      <c r="E11276" s="8">
        <v>0</v>
      </c>
      <c r="F11276" s="8">
        <v>648</v>
      </c>
    </row>
    <row r="11277" spans="1:6" ht="12.75">
      <c r="A11277" s="8">
        <v>43899.786365740743</v>
      </c>
      <c r="B11277" s="8" t="str">
        <f>HYPERLINK("https://twitter.com/AEPishere","@AEPishere")</f>
        <v>@AEPishere</v>
      </c>
      <c r="C11277" s="8" t="s">
        <v>4709</v>
      </c>
      <c r="D11277" s="8">
        <v>4</v>
      </c>
      <c r="E11277" s="8">
        <v>0</v>
      </c>
      <c r="F11277" s="8">
        <v>3007</v>
      </c>
    </row>
    <row r="11278" spans="1:6" ht="12.75">
      <c r="A11278" s="8">
        <v>43899.786354166667</v>
      </c>
      <c r="B11278" s="8" t="str">
        <f>HYPERLINK("https://twitter.com/nationalist1907","@nationalist1907")</f>
        <v>@nationalist1907</v>
      </c>
      <c r="C11278" s="8" t="s">
        <v>1808</v>
      </c>
      <c r="D11278" s="8">
        <v>549</v>
      </c>
      <c r="E11278" s="8">
        <v>0</v>
      </c>
      <c r="F11278" s="8">
        <v>573</v>
      </c>
    </row>
    <row r="11279" spans="1:6" ht="12.75">
      <c r="A11279" s="8">
        <v>43899.78628472222</v>
      </c>
      <c r="B11279" s="8" t="str">
        <f>HYPERLINK("https://twitter.com/ShauryPS","@ShauryPS")</f>
        <v>@ShauryPS</v>
      </c>
      <c r="C11279" s="8" t="s">
        <v>1957</v>
      </c>
      <c r="D11279" s="8">
        <v>734</v>
      </c>
      <c r="E11279" s="8">
        <v>0</v>
      </c>
      <c r="F11279" s="8">
        <v>152</v>
      </c>
    </row>
    <row r="11280" spans="1:6" ht="12.75">
      <c r="A11280" s="8">
        <v>43899.786261574074</v>
      </c>
      <c r="B11280" s="8" t="str">
        <f>HYPERLINK("https://twitter.com/AcharyaBharath","@AcharyaBharath")</f>
        <v>@AcharyaBharath</v>
      </c>
      <c r="C11280" s="8" t="s">
        <v>1957</v>
      </c>
      <c r="D11280" s="8">
        <v>734</v>
      </c>
      <c r="E11280" s="8">
        <v>0</v>
      </c>
      <c r="F11280" s="8">
        <v>273</v>
      </c>
    </row>
    <row r="11281" spans="1:6" ht="12.75">
      <c r="A11281" s="8">
        <v>43899.786168981482</v>
      </c>
      <c r="B11281" s="8" t="str">
        <f>HYPERLINK("https://twitter.com/miaemilymia","@miaemilymia")</f>
        <v>@miaemilymia</v>
      </c>
      <c r="C11281" s="8" t="s">
        <v>4723</v>
      </c>
      <c r="D11281" s="8">
        <v>2</v>
      </c>
      <c r="E11281" s="8">
        <v>0</v>
      </c>
      <c r="F11281" s="8">
        <v>7302</v>
      </c>
    </row>
    <row r="11282" spans="1:6" ht="12.75">
      <c r="A11282" s="8">
        <v>43899.786134259259</v>
      </c>
      <c r="B11282" s="8" t="str">
        <f>HYPERLINK("https://twitter.com/caramelied","@caramelied")</f>
        <v>@caramelied</v>
      </c>
      <c r="C11282" s="8" t="s">
        <v>4625</v>
      </c>
      <c r="D11282" s="8">
        <v>13</v>
      </c>
      <c r="E11282" s="8">
        <v>0</v>
      </c>
      <c r="F11282" s="8">
        <v>1403</v>
      </c>
    </row>
    <row r="11283" spans="1:6" ht="12.75">
      <c r="A11283" s="8">
        <v>43899.786122685182</v>
      </c>
      <c r="B11283" s="8" t="str">
        <f>HYPERLINK("https://twitter.com/ISIS_Balik_NO","@ISIS_Balik_NO")</f>
        <v>@ISIS_Balik_NO</v>
      </c>
      <c r="C11283" s="8" t="s">
        <v>4733</v>
      </c>
      <c r="D11283" s="8">
        <v>0</v>
      </c>
      <c r="E11283" s="8">
        <v>0</v>
      </c>
      <c r="F11283" s="8">
        <v>6226</v>
      </c>
    </row>
    <row r="11284" spans="1:6" ht="12.75">
      <c r="A11284" s="8">
        <v>43899.786041666666</v>
      </c>
      <c r="B11284" s="8" t="str">
        <f>HYPERLINK("https://twitter.com/EdwinOs68707223","@EdwinOs68707223")</f>
        <v>@EdwinOs68707223</v>
      </c>
      <c r="C11284" s="8" t="s">
        <v>3265</v>
      </c>
      <c r="D11284" s="8">
        <v>540</v>
      </c>
      <c r="E11284" s="8">
        <v>0</v>
      </c>
      <c r="F11284" s="8">
        <v>5</v>
      </c>
    </row>
    <row r="11285" spans="1:6" ht="12.75">
      <c r="A11285" s="8">
        <v>43899.785983796297</v>
      </c>
      <c r="B11285" s="8" t="str">
        <f>HYPERLINK("https://twitter.com/KATADATAcoid","@KATADATAcoid")</f>
        <v>@KATADATAcoid</v>
      </c>
      <c r="C11285" s="8" t="s">
        <v>4734</v>
      </c>
      <c r="D11285" s="8">
        <v>0</v>
      </c>
      <c r="E11285" s="8">
        <v>1</v>
      </c>
      <c r="F11285" s="8">
        <v>42019</v>
      </c>
    </row>
    <row r="11286" spans="1:6" ht="12.75">
      <c r="A11286" s="8">
        <v>43899.785856481481</v>
      </c>
      <c r="B11286" s="8" t="str">
        <f>HYPERLINK("https://twitter.com/rajgrad","@rajgrad")</f>
        <v>@rajgrad</v>
      </c>
      <c r="C11286" s="8" t="s">
        <v>1957</v>
      </c>
      <c r="D11286" s="8">
        <v>734</v>
      </c>
      <c r="E11286" s="8">
        <v>0</v>
      </c>
      <c r="F11286" s="8">
        <v>196</v>
      </c>
    </row>
    <row r="11287" spans="1:6" ht="12.75">
      <c r="A11287" s="8">
        <v>43899.785682870366</v>
      </c>
      <c r="B11287" s="8" t="str">
        <f>HYPERLINK("https://twitter.com/BoedyMard","@BoedyMard")</f>
        <v>@BoedyMard</v>
      </c>
      <c r="C11287" s="8" t="s">
        <v>4735</v>
      </c>
      <c r="D11287" s="8">
        <v>0</v>
      </c>
      <c r="E11287" s="8">
        <v>0</v>
      </c>
      <c r="F11287" s="8">
        <v>261</v>
      </c>
    </row>
    <row r="11288" spans="1:6" ht="12.75">
      <c r="A11288" s="8">
        <v>43899.785567129627</v>
      </c>
      <c r="B11288" s="8" t="str">
        <f>HYPERLINK("https://twitter.com/RaghuveerBelur","@RaghuveerBelur")</f>
        <v>@RaghuveerBelur</v>
      </c>
      <c r="C11288" s="8" t="s">
        <v>1957</v>
      </c>
      <c r="D11288" s="8">
        <v>734</v>
      </c>
      <c r="E11288" s="8">
        <v>0</v>
      </c>
      <c r="F11288" s="8">
        <v>548</v>
      </c>
    </row>
    <row r="11289" spans="1:6" ht="12.75">
      <c r="A11289" s="8">
        <v>43899.785486111112</v>
      </c>
      <c r="B11289" s="8" t="str">
        <f>HYPERLINK("https://twitter.com/anarkistis","@anarkistis")</f>
        <v>@anarkistis</v>
      </c>
      <c r="C11289" s="8" t="s">
        <v>4736</v>
      </c>
      <c r="D11289" s="8">
        <v>0</v>
      </c>
      <c r="E11289" s="8">
        <v>0</v>
      </c>
      <c r="F11289" s="8">
        <v>0</v>
      </c>
    </row>
    <row r="11290" spans="1:6" ht="12.75">
      <c r="A11290" s="8">
        <v>43899.785324074073</v>
      </c>
      <c r="B11290" s="8" t="str">
        <f>HYPERLINK("https://twitter.com/ThePoliteWolf","@ThePoliteWolf")</f>
        <v>@ThePoliteWolf</v>
      </c>
      <c r="C11290" s="8" t="s">
        <v>1808</v>
      </c>
      <c r="D11290" s="8">
        <v>549</v>
      </c>
      <c r="E11290" s="8">
        <v>0</v>
      </c>
      <c r="F11290" s="8">
        <v>109</v>
      </c>
    </row>
    <row r="11291" spans="1:6" ht="12.75">
      <c r="A11291" s="8">
        <v>43899.78524305555</v>
      </c>
      <c r="B11291" s="8" t="str">
        <f>HYPERLINK("https://twitter.com/Ashwani42221811","@Ashwani42221811")</f>
        <v>@Ashwani42221811</v>
      </c>
      <c r="C11291" s="8" t="s">
        <v>1957</v>
      </c>
      <c r="D11291" s="8">
        <v>734</v>
      </c>
      <c r="E11291" s="8">
        <v>0</v>
      </c>
      <c r="F11291" s="8">
        <v>40</v>
      </c>
    </row>
    <row r="11292" spans="1:6" ht="12.75">
      <c r="A11292" s="8">
        <v>43899.78496527778</v>
      </c>
      <c r="B11292" s="8" t="str">
        <f>HYPERLINK("https://twitter.com/takdir17","@takdir17")</f>
        <v>@takdir17</v>
      </c>
      <c r="C11292" s="8" t="s">
        <v>3110</v>
      </c>
      <c r="D11292" s="8">
        <v>4</v>
      </c>
      <c r="E11292" s="8">
        <v>0</v>
      </c>
      <c r="F11292" s="8">
        <v>340</v>
      </c>
    </row>
    <row r="11293" spans="1:6" ht="12.75">
      <c r="A11293" s="8">
        <v>43899.784849537042</v>
      </c>
      <c r="B11293" s="8" t="str">
        <f>HYPERLINK("https://twitter.com/Rajali1910","@Rajali1910")</f>
        <v>@Rajali1910</v>
      </c>
      <c r="C11293" s="8" t="s">
        <v>1957</v>
      </c>
      <c r="D11293" s="8">
        <v>734</v>
      </c>
      <c r="E11293" s="8">
        <v>0</v>
      </c>
      <c r="F11293" s="8">
        <v>141</v>
      </c>
    </row>
    <row r="11294" spans="1:6" ht="12.75">
      <c r="A11294" s="8">
        <v>43899.756643518514</v>
      </c>
      <c r="B11294" s="8" t="str">
        <f>HYPERLINK("https://twitter.com/Dreamcoid","@Dreamcoid")</f>
        <v>@Dreamcoid</v>
      </c>
      <c r="C11294" s="8" t="s">
        <v>4737</v>
      </c>
      <c r="D11294" s="8">
        <v>0</v>
      </c>
      <c r="E11294" s="8">
        <v>0</v>
      </c>
      <c r="F11294" s="8">
        <v>11586</v>
      </c>
    </row>
    <row r="11295" spans="1:6" ht="12.75">
      <c r="A11295" s="8">
        <v>43899.756504629629</v>
      </c>
      <c r="B11295" s="8" t="str">
        <f>HYPERLINK("https://twitter.com/Satish_GP","@Satish_GP")</f>
        <v>@Satish_GP</v>
      </c>
      <c r="C11295" s="8" t="s">
        <v>1957</v>
      </c>
      <c r="D11295" s="8">
        <v>605</v>
      </c>
      <c r="E11295" s="8">
        <v>0</v>
      </c>
      <c r="F11295" s="8">
        <v>56</v>
      </c>
    </row>
    <row r="11296" spans="1:6" ht="12.75">
      <c r="A11296" s="8">
        <v>43899.756400462968</v>
      </c>
      <c r="B11296" s="8" t="str">
        <f>HYPERLINK("https://twitter.com/almightykarthik","@almightykarthik")</f>
        <v>@almightykarthik</v>
      </c>
      <c r="C11296" s="8" t="s">
        <v>1957</v>
      </c>
      <c r="D11296" s="8">
        <v>605</v>
      </c>
      <c r="E11296" s="8">
        <v>0</v>
      </c>
      <c r="F11296" s="8">
        <v>1321</v>
      </c>
    </row>
    <row r="11297" spans="1:6" ht="12.75">
      <c r="A11297" s="8">
        <v>43899.756319444445</v>
      </c>
      <c r="B11297" s="8" t="str">
        <f>HYPERLINK("https://twitter.com/vsmevoyzz","@vsmevoyzz")</f>
        <v>@vsmevoyzz</v>
      </c>
      <c r="C11297" s="8" t="s">
        <v>593</v>
      </c>
      <c r="D11297" s="8">
        <v>492</v>
      </c>
      <c r="E11297" s="8">
        <v>0</v>
      </c>
      <c r="F11297" s="8">
        <v>1040</v>
      </c>
    </row>
    <row r="11298" spans="1:6" ht="12.75">
      <c r="A11298" s="8">
        <v>43899.756226851852</v>
      </c>
      <c r="B11298" s="8" t="str">
        <f>HYPERLINK("https://twitter.com/Rana33346046","@Rana33346046")</f>
        <v>@Rana33346046</v>
      </c>
      <c r="C11298" s="8" t="s">
        <v>1957</v>
      </c>
      <c r="D11298" s="8">
        <v>605</v>
      </c>
      <c r="E11298" s="8">
        <v>0</v>
      </c>
      <c r="F11298" s="8">
        <v>132</v>
      </c>
    </row>
    <row r="11299" spans="1:6" ht="12.75">
      <c r="A11299" s="8">
        <v>43899.756203703699</v>
      </c>
      <c r="B11299" s="8" t="str">
        <f>HYPERLINK("https://twitter.com/Siddhan67416044","@Siddhan67416044")</f>
        <v>@Siddhan67416044</v>
      </c>
      <c r="C11299" s="8" t="s">
        <v>1957</v>
      </c>
      <c r="D11299" s="8">
        <v>605</v>
      </c>
      <c r="E11299" s="8">
        <v>0</v>
      </c>
      <c r="F11299" s="8">
        <v>53</v>
      </c>
    </row>
    <row r="11300" spans="1:6" ht="12.75">
      <c r="A11300" s="8">
        <v>43899.755833333329</v>
      </c>
      <c r="B11300" s="8" t="str">
        <f>HYPERLINK("https://twitter.com/harihariono1","@harihariono1")</f>
        <v>@harihariono1</v>
      </c>
      <c r="C11300" s="8" t="s">
        <v>4738</v>
      </c>
      <c r="D11300" s="8">
        <v>1</v>
      </c>
      <c r="E11300" s="8">
        <v>0</v>
      </c>
      <c r="F11300" s="8">
        <v>9512</v>
      </c>
    </row>
    <row r="11301" spans="1:6" ht="12.75">
      <c r="A11301" s="8">
        <v>43899.755682870367</v>
      </c>
      <c r="B11301" s="8" t="str">
        <f>HYPERLINK("https://twitter.com/abcunlimited1","@abcunlimited1")</f>
        <v>@abcunlimited1</v>
      </c>
      <c r="C11301" s="8" t="s">
        <v>1957</v>
      </c>
      <c r="D11301" s="8">
        <v>605</v>
      </c>
      <c r="E11301" s="8">
        <v>0</v>
      </c>
      <c r="F11301" s="8">
        <v>237</v>
      </c>
    </row>
    <row r="11302" spans="1:6" ht="12.75">
      <c r="A11302" s="8">
        <v>43899.755613425921</v>
      </c>
      <c r="B11302" s="8" t="str">
        <f>HYPERLINK("https://twitter.com/ZAEffendy","@ZAEffendy")</f>
        <v>@ZAEffendy</v>
      </c>
      <c r="C11302" s="8" t="s">
        <v>4739</v>
      </c>
      <c r="D11302" s="8">
        <v>0</v>
      </c>
      <c r="E11302" s="8">
        <v>0</v>
      </c>
      <c r="F11302" s="8">
        <v>60236</v>
      </c>
    </row>
    <row r="11303" spans="1:6" ht="12.75">
      <c r="A11303" s="8">
        <v>43899.755567129629</v>
      </c>
      <c r="B11303" s="8" t="str">
        <f>HYPERLINK("https://twitter.com/eka_dini722","@eka_dini722")</f>
        <v>@eka_dini722</v>
      </c>
      <c r="C11303" s="8" t="s">
        <v>4470</v>
      </c>
      <c r="D11303" s="8">
        <v>37</v>
      </c>
      <c r="E11303" s="8">
        <v>0</v>
      </c>
      <c r="F11303" s="8">
        <v>2459</v>
      </c>
    </row>
    <row r="11304" spans="1:6" ht="12.75">
      <c r="A11304" s="8">
        <v>43899.755543981482</v>
      </c>
      <c r="B11304" s="8" t="str">
        <f>HYPERLINK("https://twitter.com/Bhartiyalist","@Bhartiyalist")</f>
        <v>@Bhartiyalist</v>
      </c>
      <c r="C11304" s="8" t="s">
        <v>1917</v>
      </c>
      <c r="D11304" s="8">
        <v>1456</v>
      </c>
      <c r="E11304" s="8">
        <v>0</v>
      </c>
      <c r="F11304" s="8">
        <v>621</v>
      </c>
    </row>
    <row r="11305" spans="1:6" ht="12.75">
      <c r="A11305" s="8">
        <v>43899.75545138889</v>
      </c>
      <c r="B11305" s="8" t="str">
        <f>HYPERLINK("https://twitter.com/krishangoenka","@krishangoenka")</f>
        <v>@krishangoenka</v>
      </c>
      <c r="C11305" s="8" t="s">
        <v>1957</v>
      </c>
      <c r="D11305" s="8">
        <v>605</v>
      </c>
      <c r="E11305" s="8">
        <v>0</v>
      </c>
      <c r="F11305" s="8">
        <v>78</v>
      </c>
    </row>
    <row r="11306" spans="1:6" ht="12.75">
      <c r="A11306" s="8">
        <v>43899.755335648151</v>
      </c>
      <c r="B11306" s="8" t="str">
        <f>HYPERLINK("https://twitter.com/IMehla","@IMehla")</f>
        <v>@IMehla</v>
      </c>
      <c r="C11306" s="8" t="s">
        <v>1957</v>
      </c>
      <c r="D11306" s="8">
        <v>605</v>
      </c>
      <c r="E11306" s="8">
        <v>0</v>
      </c>
      <c r="F11306" s="8">
        <v>217</v>
      </c>
    </row>
    <row r="11307" spans="1:6" ht="12.75">
      <c r="A11307" s="8">
        <v>43899.755266203705</v>
      </c>
      <c r="B11307" s="8" t="str">
        <f>HYPERLINK("https://twitter.com/BukanGatutKaca","@BukanGatutKaca")</f>
        <v>@BukanGatutKaca</v>
      </c>
      <c r="C11307" s="8" t="s">
        <v>4740</v>
      </c>
      <c r="D11307" s="8">
        <v>0</v>
      </c>
      <c r="E11307" s="8">
        <v>0</v>
      </c>
      <c r="F11307" s="8">
        <v>382</v>
      </c>
    </row>
    <row r="11308" spans="1:6" ht="12.75">
      <c r="A11308" s="8">
        <v>43899.75508101852</v>
      </c>
      <c r="B11308" s="8" t="str">
        <f>HYPERLINK("https://twitter.com/I_Hunt_Porkemon","@I_Hunt_Porkemon")</f>
        <v>@I_Hunt_Porkemon</v>
      </c>
      <c r="C11308" s="8" t="s">
        <v>1808</v>
      </c>
      <c r="D11308" s="8">
        <v>484</v>
      </c>
      <c r="E11308" s="8">
        <v>0</v>
      </c>
      <c r="F11308" s="8">
        <v>162</v>
      </c>
    </row>
    <row r="11309" spans="1:6" ht="12.75">
      <c r="A11309" s="8">
        <v>43899.754953703705</v>
      </c>
      <c r="B11309" s="8" t="str">
        <f>HYPERLINK("https://twitter.com/rahuljitani","@rahuljitani")</f>
        <v>@rahuljitani</v>
      </c>
      <c r="C11309" s="8" t="s">
        <v>1808</v>
      </c>
      <c r="D11309" s="8">
        <v>484</v>
      </c>
      <c r="E11309" s="8">
        <v>0</v>
      </c>
      <c r="F11309" s="8">
        <v>127</v>
      </c>
    </row>
    <row r="11310" spans="1:6" ht="12.75">
      <c r="A11310" s="8">
        <v>43899.754918981482</v>
      </c>
      <c r="B11310" s="8" t="str">
        <f>HYPERLINK("https://twitter.com/geeta_patel_","@geeta_patel_")</f>
        <v>@geeta_patel_</v>
      </c>
      <c r="C11310" s="8" t="s">
        <v>1957</v>
      </c>
      <c r="D11310" s="8">
        <v>605</v>
      </c>
      <c r="E11310" s="8">
        <v>0</v>
      </c>
      <c r="F11310" s="8">
        <v>878</v>
      </c>
    </row>
    <row r="11311" spans="1:6" ht="12.75">
      <c r="A11311" s="8">
        <v>43899.754861111112</v>
      </c>
      <c r="B11311" s="8" t="str">
        <f>HYPERLINK("https://twitter.com/ComeButter","@ComeButter")</f>
        <v>@ComeButter</v>
      </c>
      <c r="C11311" s="8" t="s">
        <v>1957</v>
      </c>
      <c r="D11311" s="8">
        <v>605</v>
      </c>
      <c r="E11311" s="8">
        <v>0</v>
      </c>
      <c r="F11311" s="8">
        <v>148</v>
      </c>
    </row>
    <row r="11312" spans="1:6" ht="12.75">
      <c r="A11312" s="8">
        <v>43899.754849537036</v>
      </c>
      <c r="B11312" s="8" t="str">
        <f>HYPERLINK("https://twitter.com/KicauSunyi","@KicauSunyi")</f>
        <v>@KicauSunyi</v>
      </c>
      <c r="C11312" s="8" t="s">
        <v>4741</v>
      </c>
      <c r="D11312" s="8">
        <v>0</v>
      </c>
      <c r="E11312" s="8">
        <v>0</v>
      </c>
      <c r="F11312" s="8">
        <v>3667</v>
      </c>
    </row>
    <row r="11313" spans="1:6" ht="12.75">
      <c r="A11313" s="8">
        <v>43899.754282407404</v>
      </c>
      <c r="B11313" s="8" t="str">
        <f>HYPERLINK("https://twitter.com/Otyswan1","@Otyswan1")</f>
        <v>@Otyswan1</v>
      </c>
      <c r="C11313" s="8" t="s">
        <v>4742</v>
      </c>
      <c r="D11313" s="8">
        <v>2</v>
      </c>
      <c r="E11313" s="8">
        <v>0</v>
      </c>
      <c r="F11313" s="8">
        <v>2007</v>
      </c>
    </row>
    <row r="11314" spans="1:6" ht="12.75">
      <c r="A11314" s="8">
        <v>43899.754224537042</v>
      </c>
      <c r="B11314" s="8" t="str">
        <f>HYPERLINK("https://twitter.com/ScurrilousHeart","@ScurrilousHeart")</f>
        <v>@ScurrilousHeart</v>
      </c>
      <c r="C11314" s="8" t="s">
        <v>1957</v>
      </c>
      <c r="D11314" s="8">
        <v>605</v>
      </c>
      <c r="E11314" s="8">
        <v>0</v>
      </c>
      <c r="F11314" s="8">
        <v>213</v>
      </c>
    </row>
    <row r="11315" spans="1:6" ht="12.75">
      <c r="A11315" s="8">
        <v>43899.753900462965</v>
      </c>
      <c r="B11315" s="8" t="str">
        <f>HYPERLINK("https://twitter.com/NeerajaJoshi1","@NeerajaJoshi1")</f>
        <v>@NeerajaJoshi1</v>
      </c>
      <c r="C11315" s="8" t="s">
        <v>1808</v>
      </c>
      <c r="D11315" s="8">
        <v>484</v>
      </c>
      <c r="E11315" s="8">
        <v>0</v>
      </c>
      <c r="F11315" s="8">
        <v>769</v>
      </c>
    </row>
    <row r="11316" spans="1:6" ht="12.75">
      <c r="A11316" s="8">
        <v>43899.753541666665</v>
      </c>
      <c r="B11316" s="8" t="str">
        <f>HYPERLINK("https://twitter.com/Ichi_No_Kamae","@Ichi_No_Kamae")</f>
        <v>@Ichi_No_Kamae</v>
      </c>
      <c r="C11316" s="8" t="s">
        <v>4742</v>
      </c>
      <c r="D11316" s="8">
        <v>2</v>
      </c>
      <c r="E11316" s="8">
        <v>0</v>
      </c>
      <c r="F11316" s="8">
        <v>518</v>
      </c>
    </row>
    <row r="11317" spans="1:6" ht="12.75">
      <c r="A11317" s="8">
        <v>43899.753437499996</v>
      </c>
      <c r="B11317" s="8" t="str">
        <f>HYPERLINK("https://twitter.com/MiMarathiBhau","@MiMarathiBhau")</f>
        <v>@MiMarathiBhau</v>
      </c>
      <c r="C11317" s="8" t="s">
        <v>1917</v>
      </c>
      <c r="D11317" s="8">
        <v>1456</v>
      </c>
      <c r="E11317" s="8">
        <v>0</v>
      </c>
      <c r="F11317" s="8">
        <v>182</v>
      </c>
    </row>
    <row r="11318" spans="1:6" ht="12.75">
      <c r="A11318" s="8">
        <v>43899.753379629634</v>
      </c>
      <c r="B11318" s="8" t="str">
        <f>HYPERLINK("https://twitter.com/GurmeetGary","@GurmeetGary")</f>
        <v>@GurmeetGary</v>
      </c>
      <c r="C11318" s="8" t="s">
        <v>1957</v>
      </c>
      <c r="D11318" s="8">
        <v>605</v>
      </c>
      <c r="E11318" s="8">
        <v>0</v>
      </c>
      <c r="F11318" s="8">
        <v>200</v>
      </c>
    </row>
    <row r="11319" spans="1:6" ht="12.75">
      <c r="A11319" s="8">
        <v>43899.753171296295</v>
      </c>
      <c r="B11319" s="8" t="str">
        <f>HYPERLINK("https://twitter.com/MyBagaspati","@MyBagaspati")</f>
        <v>@MyBagaspati</v>
      </c>
      <c r="C11319" s="8" t="s">
        <v>4743</v>
      </c>
      <c r="D11319" s="8">
        <v>0</v>
      </c>
      <c r="E11319" s="8">
        <v>0</v>
      </c>
      <c r="F11319" s="8">
        <v>2287</v>
      </c>
    </row>
    <row r="11320" spans="1:6" ht="12.75">
      <c r="A11320" s="8">
        <v>43899.753009259264</v>
      </c>
      <c r="B11320" s="8" t="str">
        <f>HYPERLINK("https://twitter.com/_vinayshukla","@_vinayshukla")</f>
        <v>@_vinayshukla</v>
      </c>
      <c r="C11320" s="8" t="s">
        <v>1808</v>
      </c>
      <c r="D11320" s="8">
        <v>484</v>
      </c>
      <c r="E11320" s="8">
        <v>0</v>
      </c>
      <c r="F11320" s="8">
        <v>1482</v>
      </c>
    </row>
    <row r="11321" spans="1:6" ht="12.75">
      <c r="A11321" s="8">
        <v>43899.752974537041</v>
      </c>
      <c r="B11321" s="8" t="str">
        <f>HYPERLINK("https://twitter.com/ISIS_Balik_NO","@ISIS_Balik_NO")</f>
        <v>@ISIS_Balik_NO</v>
      </c>
      <c r="C11321" s="8" t="s">
        <v>4744</v>
      </c>
      <c r="D11321" s="8">
        <v>0</v>
      </c>
      <c r="E11321" s="8">
        <v>0</v>
      </c>
      <c r="F11321" s="8">
        <v>6224</v>
      </c>
    </row>
    <row r="11322" spans="1:6" ht="12.75">
      <c r="A11322" s="8">
        <v>43899.752928240741</v>
      </c>
      <c r="B11322" s="8" t="str">
        <f>HYPERLINK("https://twitter.com/hikarisvn","@hikarisvn")</f>
        <v>@hikarisvn</v>
      </c>
      <c r="C11322" s="8" t="s">
        <v>4745</v>
      </c>
      <c r="D11322" s="8">
        <v>0</v>
      </c>
      <c r="E11322" s="8">
        <v>0</v>
      </c>
      <c r="F11322" s="8">
        <v>267</v>
      </c>
    </row>
    <row r="11323" spans="1:6" ht="12.75">
      <c r="A11323" s="8">
        <v>43899.752847222218</v>
      </c>
      <c r="B11323" s="8" t="str">
        <f>HYPERLINK("https://twitter.com/imanfs165","@imanfs165")</f>
        <v>@imanfs165</v>
      </c>
      <c r="C11323" s="8" t="s">
        <v>4746</v>
      </c>
      <c r="D11323" s="8">
        <v>0</v>
      </c>
      <c r="E11323" s="8">
        <v>1</v>
      </c>
      <c r="F11323" s="8">
        <v>415</v>
      </c>
    </row>
    <row r="11324" spans="1:6" ht="12.75">
      <c r="A11324" s="8">
        <v>43899.752685185187</v>
      </c>
      <c r="B11324" s="8" t="str">
        <f>HYPERLINK("https://twitter.com/Arjunaahhh","@Arjunaahhh")</f>
        <v>@Arjunaahhh</v>
      </c>
      <c r="C11324" s="8" t="s">
        <v>1917</v>
      </c>
      <c r="D11324" s="8">
        <v>1456</v>
      </c>
      <c r="E11324" s="8">
        <v>0</v>
      </c>
      <c r="F11324" s="8">
        <v>106</v>
      </c>
    </row>
    <row r="11325" spans="1:6" ht="12.75">
      <c r="A11325" s="8">
        <v>43899.75267361111</v>
      </c>
      <c r="B11325" s="8" t="str">
        <f>HYPERLINK("https://twitter.com/singhvaibhav921","@singhvaibhav921")</f>
        <v>@singhvaibhav921</v>
      </c>
      <c r="C11325" s="8" t="s">
        <v>1957</v>
      </c>
      <c r="D11325" s="8">
        <v>605</v>
      </c>
      <c r="E11325" s="8">
        <v>0</v>
      </c>
      <c r="F11325" s="8">
        <v>916</v>
      </c>
    </row>
    <row r="11326" spans="1:6" ht="12.75">
      <c r="A11326" s="8">
        <v>43899.752627314811</v>
      </c>
      <c r="B11326" s="8" t="str">
        <f>HYPERLINK("https://twitter.com/aditya1402d","@aditya1402d")</f>
        <v>@aditya1402d</v>
      </c>
      <c r="C11326" s="8" t="s">
        <v>1957</v>
      </c>
      <c r="D11326" s="8">
        <v>605</v>
      </c>
      <c r="E11326" s="8">
        <v>0</v>
      </c>
      <c r="F11326" s="8">
        <v>18</v>
      </c>
    </row>
    <row r="11327" spans="1:6" ht="12.75">
      <c r="A11327" s="8">
        <v>43899.752592592587</v>
      </c>
      <c r="B11327" s="8" t="str">
        <f>HYPERLINK("https://twitter.com/NyiMasRuminah","@NyiMasRuminah")</f>
        <v>@NyiMasRuminah</v>
      </c>
      <c r="C11327" s="8" t="s">
        <v>4747</v>
      </c>
      <c r="D11327" s="8">
        <v>2</v>
      </c>
      <c r="E11327" s="8">
        <v>1</v>
      </c>
      <c r="F11327" s="8">
        <v>4397</v>
      </c>
    </row>
    <row r="11328" spans="1:6" ht="12.75">
      <c r="A11328" s="8">
        <v>43899.752569444448</v>
      </c>
      <c r="B11328" s="8" t="str">
        <f>HYPERLINK("https://twitter.com/nandigaumata","@nandigaumata")</f>
        <v>@nandigaumata</v>
      </c>
      <c r="C11328" s="8" t="s">
        <v>1957</v>
      </c>
      <c r="D11328" s="8">
        <v>605</v>
      </c>
      <c r="E11328" s="8">
        <v>0</v>
      </c>
      <c r="F11328" s="8">
        <v>242</v>
      </c>
    </row>
    <row r="11329" spans="1:6" ht="12.75">
      <c r="A11329" s="8">
        <v>43899.752557870372</v>
      </c>
      <c r="B11329" s="8" t="str">
        <f>HYPERLINK("https://twitter.com/OutOfOfficeRG","@OutOfOfficeRG")</f>
        <v>@OutOfOfficeRG</v>
      </c>
      <c r="C11329" s="8" t="s">
        <v>1808</v>
      </c>
      <c r="D11329" s="8">
        <v>484</v>
      </c>
      <c r="E11329" s="8">
        <v>0</v>
      </c>
      <c r="F11329" s="8">
        <v>331</v>
      </c>
    </row>
    <row r="11330" spans="1:6" ht="12.75">
      <c r="A11330" s="8">
        <v>43899.752476851849</v>
      </c>
      <c r="B11330" s="8" t="str">
        <f>HYPERLINK("https://twitter.com/Bharath_Kumar_M","@Bharath_Kumar_M")</f>
        <v>@Bharath_Kumar_M</v>
      </c>
      <c r="C11330" s="8" t="s">
        <v>1808</v>
      </c>
      <c r="D11330" s="8">
        <v>484</v>
      </c>
      <c r="E11330" s="8">
        <v>0</v>
      </c>
      <c r="F11330" s="8">
        <v>140</v>
      </c>
    </row>
    <row r="11331" spans="1:6" ht="12.75">
      <c r="A11331" s="8">
        <v>43899.75236111111</v>
      </c>
      <c r="B11331" s="8" t="str">
        <f>HYPERLINK("https://twitter.com/imarpitmi","@imarpitmi")</f>
        <v>@imarpitmi</v>
      </c>
      <c r="C11331" s="8" t="s">
        <v>1957</v>
      </c>
      <c r="D11331" s="8">
        <v>605</v>
      </c>
      <c r="E11331" s="8">
        <v>0</v>
      </c>
      <c r="F11331" s="8">
        <v>176</v>
      </c>
    </row>
    <row r="11332" spans="1:6" ht="12.75">
      <c r="A11332" s="8">
        <v>43899.752280092594</v>
      </c>
      <c r="B11332" s="8" t="str">
        <f>HYPERLINK("https://twitter.com/bhawsar_dhawal","@bhawsar_dhawal")</f>
        <v>@bhawsar_dhawal</v>
      </c>
      <c r="C11332" s="8" t="s">
        <v>1957</v>
      </c>
      <c r="D11332" s="8">
        <v>605</v>
      </c>
      <c r="E11332" s="8">
        <v>0</v>
      </c>
      <c r="F11332" s="8">
        <v>12</v>
      </c>
    </row>
    <row r="11333" spans="1:6" ht="12.75">
      <c r="A11333" s="8">
        <v>43899.752280092594</v>
      </c>
      <c r="B11333" s="8" t="str">
        <f>HYPERLINK("https://twitter.com/Jaysyku","@Jaysyku")</f>
        <v>@Jaysyku</v>
      </c>
      <c r="C11333" s="8" t="s">
        <v>4470</v>
      </c>
      <c r="D11333" s="8">
        <v>37</v>
      </c>
      <c r="E11333" s="8">
        <v>0</v>
      </c>
      <c r="F11333" s="8">
        <v>254</v>
      </c>
    </row>
    <row r="11334" spans="1:6" ht="12.75">
      <c r="A11334" s="8">
        <v>43899.752233796295</v>
      </c>
      <c r="B11334" s="8" t="str">
        <f>HYPERLINK("https://twitter.com/EkoBSEko","@EkoBSEko")</f>
        <v>@EkoBSEko</v>
      </c>
      <c r="C11334" s="8" t="s">
        <v>4748</v>
      </c>
      <c r="D11334" s="8">
        <v>0</v>
      </c>
      <c r="E11334" s="8">
        <v>0</v>
      </c>
      <c r="F11334" s="8">
        <v>216</v>
      </c>
    </row>
    <row r="11335" spans="1:6" ht="12.75">
      <c r="A11335" s="8">
        <v>43899.752152777779</v>
      </c>
      <c r="B11335" s="8" t="str">
        <f>HYPERLINK("https://twitter.com/ISIS_Balik_NO","@ISIS_Balik_NO")</f>
        <v>@ISIS_Balik_NO</v>
      </c>
      <c r="C11335" s="8" t="s">
        <v>4749</v>
      </c>
      <c r="D11335" s="8">
        <v>0</v>
      </c>
      <c r="E11335" s="8">
        <v>0</v>
      </c>
      <c r="F11335" s="8">
        <v>6224</v>
      </c>
    </row>
    <row r="11336" spans="1:6" ht="12.75">
      <c r="A11336" s="8">
        <v>43899.751944444448</v>
      </c>
      <c r="B11336" s="8" t="str">
        <f>HYPERLINK("https://twitter.com/jeeyoaurjinedo","@jeeyoaurjinedo")</f>
        <v>@jeeyoaurjinedo</v>
      </c>
      <c r="C11336" s="8" t="s">
        <v>1808</v>
      </c>
      <c r="D11336" s="8">
        <v>484</v>
      </c>
      <c r="E11336" s="8">
        <v>0</v>
      </c>
      <c r="F11336" s="8">
        <v>204</v>
      </c>
    </row>
    <row r="11337" spans="1:6" ht="12.75">
      <c r="A11337" s="8">
        <v>43899.751875000002</v>
      </c>
      <c r="B11337" s="8" t="str">
        <f>HYPERLINK("https://twitter.com/BillTemporo","@BillTemporo")</f>
        <v>@BillTemporo</v>
      </c>
      <c r="C11337" s="8" t="s">
        <v>355</v>
      </c>
      <c r="D11337" s="8">
        <v>0</v>
      </c>
      <c r="E11337" s="8">
        <v>0</v>
      </c>
      <c r="F11337" s="8">
        <v>11</v>
      </c>
    </row>
    <row r="11338" spans="1:6" ht="12.75">
      <c r="A11338" s="8">
        <v>43899.751782407402</v>
      </c>
      <c r="B11338" s="8" t="str">
        <f>HYPERLINK("https://twitter.com/shintaaraa_","@shintaaraa_")</f>
        <v>@shintaaraa_</v>
      </c>
      <c r="C11338" s="8" t="s">
        <v>4750</v>
      </c>
      <c r="D11338" s="8">
        <v>1</v>
      </c>
      <c r="E11338" s="8">
        <v>0</v>
      </c>
      <c r="F11338" s="8">
        <v>3390</v>
      </c>
    </row>
    <row r="11339" spans="1:6" ht="12.75">
      <c r="A11339" s="8">
        <v>43899.751550925925</v>
      </c>
      <c r="B11339" s="8" t="str">
        <f>HYPERLINK("https://twitter.com/Iamrajivpal","@Iamrajivpal")</f>
        <v>@Iamrajivpal</v>
      </c>
      <c r="C11339" s="8" t="s">
        <v>1957</v>
      </c>
      <c r="D11339" s="8">
        <v>605</v>
      </c>
      <c r="E11339" s="8">
        <v>0</v>
      </c>
      <c r="F11339" s="8">
        <v>59</v>
      </c>
    </row>
    <row r="11340" spans="1:6" ht="12.75">
      <c r="A11340" s="8">
        <v>43899.751423611116</v>
      </c>
      <c r="B11340" s="8" t="str">
        <f>HYPERLINK("https://twitter.com/ISIS_Balik_NO","@ISIS_Balik_NO")</f>
        <v>@ISIS_Balik_NO</v>
      </c>
      <c r="C11340" s="8" t="s">
        <v>4751</v>
      </c>
      <c r="D11340" s="8">
        <v>0</v>
      </c>
      <c r="E11340" s="8">
        <v>0</v>
      </c>
      <c r="F11340" s="8">
        <v>6224</v>
      </c>
    </row>
    <row r="11341" spans="1:6" ht="12.75">
      <c r="A11341" s="8">
        <v>43899.751400462963</v>
      </c>
      <c r="B11341" s="8" t="str">
        <f>HYPERLINK("https://twitter.com/sapnamodgil","@sapnamodgil")</f>
        <v>@sapnamodgil</v>
      </c>
      <c r="C11341" s="8" t="s">
        <v>1957</v>
      </c>
      <c r="D11341" s="8">
        <v>605</v>
      </c>
      <c r="E11341" s="8">
        <v>0</v>
      </c>
      <c r="F11341" s="8">
        <v>719</v>
      </c>
    </row>
    <row r="11342" spans="1:6" ht="12.75">
      <c r="A11342" s="8">
        <v>43899.751331018517</v>
      </c>
      <c r="B11342" s="8" t="str">
        <f>HYPERLINK("https://twitter.com/KATADATAcoid","@KATADATAcoid")</f>
        <v>@KATADATAcoid</v>
      </c>
      <c r="C11342" s="8" t="s">
        <v>4752</v>
      </c>
      <c r="D11342" s="8">
        <v>1</v>
      </c>
      <c r="E11342" s="8">
        <v>0</v>
      </c>
      <c r="F11342" s="8">
        <v>42019</v>
      </c>
    </row>
    <row r="11343" spans="1:6" ht="12.75">
      <c r="A11343" s="8">
        <v>43899.750381944439</v>
      </c>
      <c r="B11343" s="8" t="str">
        <f>HYPERLINK("https://twitter.com/rajankuliyal007","@rajankuliyal007")</f>
        <v>@rajankuliyal007</v>
      </c>
      <c r="C11343" s="8" t="s">
        <v>1957</v>
      </c>
      <c r="D11343" s="8">
        <v>605</v>
      </c>
      <c r="E11343" s="8">
        <v>0</v>
      </c>
      <c r="F11343" s="8">
        <v>197</v>
      </c>
    </row>
    <row r="11344" spans="1:6" ht="12.75">
      <c r="A11344" s="8">
        <v>43899.750231481477</v>
      </c>
      <c r="B11344" s="8" t="str">
        <f>HYPERLINK("https://twitter.com/DeshNeeti","@DeshNeeti")</f>
        <v>@DeshNeeti</v>
      </c>
      <c r="C11344" s="8" t="s">
        <v>1808</v>
      </c>
      <c r="D11344" s="8">
        <v>484</v>
      </c>
      <c r="E11344" s="8">
        <v>0</v>
      </c>
      <c r="F11344" s="8">
        <v>1882</v>
      </c>
    </row>
    <row r="11345" spans="1:6" ht="12.75">
      <c r="A11345" s="8">
        <v>43899.750162037039</v>
      </c>
      <c r="B11345" s="8" t="str">
        <f>HYPERLINK("https://twitter.com/th_firebrand","@th_firebrand")</f>
        <v>@th_firebrand</v>
      </c>
      <c r="C11345" s="8" t="s">
        <v>1917</v>
      </c>
      <c r="D11345" s="8">
        <v>1456</v>
      </c>
      <c r="E11345" s="8">
        <v>0</v>
      </c>
      <c r="F11345" s="8">
        <v>139</v>
      </c>
    </row>
    <row r="11346" spans="1:6" ht="12.75">
      <c r="A11346" s="8">
        <v>43899.750057870369</v>
      </c>
      <c r="B11346" s="8" t="str">
        <f>HYPERLINK("https://twitter.com/sharsanj","@sharsanj")</f>
        <v>@sharsanj</v>
      </c>
      <c r="C11346" s="8" t="s">
        <v>1957</v>
      </c>
      <c r="D11346" s="8">
        <v>605</v>
      </c>
      <c r="E11346" s="8">
        <v>0</v>
      </c>
      <c r="F11346" s="8">
        <v>1705</v>
      </c>
    </row>
    <row r="11347" spans="1:6" ht="12.75">
      <c r="A11347" s="8">
        <v>43899.749826388885</v>
      </c>
      <c r="B11347" s="8" t="str">
        <f>HYPERLINK("https://twitter.com/kakudmi","@kakudmi")</f>
        <v>@kakudmi</v>
      </c>
      <c r="C11347" s="8" t="s">
        <v>1957</v>
      </c>
      <c r="D11347" s="8">
        <v>605</v>
      </c>
      <c r="E11347" s="8">
        <v>0</v>
      </c>
      <c r="F11347" s="8">
        <v>301</v>
      </c>
    </row>
    <row r="11348" spans="1:6" ht="12.75">
      <c r="A11348" s="8">
        <v>43899.749675925923</v>
      </c>
      <c r="B11348" s="8" t="str">
        <f>HYPERLINK("https://twitter.com/iBharatVasi","@iBharatVasi")</f>
        <v>@iBharatVasi</v>
      </c>
      <c r="C11348" s="8" t="s">
        <v>1957</v>
      </c>
      <c r="D11348" s="8">
        <v>605</v>
      </c>
      <c r="E11348" s="8">
        <v>0</v>
      </c>
      <c r="F11348" s="8">
        <v>162</v>
      </c>
    </row>
    <row r="11349" spans="1:6" ht="12.75">
      <c r="A11349" s="8">
        <v>43899.749479166669</v>
      </c>
      <c r="B11349" s="8" t="str">
        <f>HYPERLINK("https://twitter.com/Ashvin_Ramani","@Ashvin_Ramani")</f>
        <v>@Ashvin_Ramani</v>
      </c>
      <c r="C11349" s="8" t="s">
        <v>1957</v>
      </c>
      <c r="D11349" s="8">
        <v>605</v>
      </c>
      <c r="E11349" s="8">
        <v>0</v>
      </c>
      <c r="F11349" s="8">
        <v>866</v>
      </c>
    </row>
    <row r="11350" spans="1:6" ht="12.75">
      <c r="A11350" s="8">
        <v>43899.749467592592</v>
      </c>
      <c r="B11350" s="8" t="str">
        <f>HYPERLINK("https://twitter.com/prabhakers","@prabhakers")</f>
        <v>@prabhakers</v>
      </c>
      <c r="C11350" s="8" t="s">
        <v>1808</v>
      </c>
      <c r="D11350" s="8">
        <v>484</v>
      </c>
      <c r="E11350" s="8">
        <v>0</v>
      </c>
      <c r="F11350" s="8">
        <v>1140</v>
      </c>
    </row>
    <row r="11351" spans="1:6" ht="12.75">
      <c r="A11351" s="8">
        <v>43899.749421296292</v>
      </c>
      <c r="B11351" s="8" t="str">
        <f>HYPERLINK("https://twitter.com/bhagirathi29","@bhagirathi29")</f>
        <v>@bhagirathi29</v>
      </c>
      <c r="C11351" s="8" t="s">
        <v>1917</v>
      </c>
      <c r="D11351" s="8">
        <v>1456</v>
      </c>
      <c r="E11351" s="8">
        <v>0</v>
      </c>
      <c r="F11351" s="8">
        <v>1218</v>
      </c>
    </row>
    <row r="11352" spans="1:6" ht="12.75">
      <c r="A11352" s="8">
        <v>43899.749143518522</v>
      </c>
      <c r="B11352" s="8" t="str">
        <f>HYPERLINK("https://twitter.com/ritshar07","@ritshar07")</f>
        <v>@ritshar07</v>
      </c>
      <c r="C11352" s="8" t="s">
        <v>1957</v>
      </c>
      <c r="D11352" s="8">
        <v>605</v>
      </c>
      <c r="E11352" s="8">
        <v>0</v>
      </c>
      <c r="F11352" s="8">
        <v>17</v>
      </c>
    </row>
    <row r="11353" spans="1:6" ht="12.75">
      <c r="A11353" s="8">
        <v>43899.749050925922</v>
      </c>
      <c r="B11353" s="8" t="str">
        <f>HYPERLINK("https://twitter.com/Anirudh_44836","@Anirudh_44836")</f>
        <v>@Anirudh_44836</v>
      </c>
      <c r="C11353" s="8" t="s">
        <v>1957</v>
      </c>
      <c r="D11353" s="8">
        <v>605</v>
      </c>
      <c r="E11353" s="8">
        <v>0</v>
      </c>
      <c r="F11353" s="8">
        <v>155</v>
      </c>
    </row>
    <row r="11354" spans="1:6" ht="12.75">
      <c r="A11354" s="8">
        <v>43899.748969907407</v>
      </c>
      <c r="B11354" s="8" t="str">
        <f>HYPERLINK("https://twitter.com/hindutvaaa","@hindutvaaa")</f>
        <v>@hindutvaaa</v>
      </c>
      <c r="C11354" s="8" t="s">
        <v>1957</v>
      </c>
      <c r="D11354" s="8">
        <v>605</v>
      </c>
      <c r="E11354" s="8">
        <v>0</v>
      </c>
      <c r="F11354" s="8">
        <v>245</v>
      </c>
    </row>
    <row r="11355" spans="1:6" ht="12.75">
      <c r="A11355" s="8">
        <v>43899.748842592591</v>
      </c>
      <c r="B11355" s="8" t="str">
        <f>HYPERLINK("https://twitter.com/bipinbhimani","@bipinbhimani")</f>
        <v>@bipinbhimani</v>
      </c>
      <c r="C11355" s="8" t="s">
        <v>1957</v>
      </c>
      <c r="D11355" s="8">
        <v>605</v>
      </c>
      <c r="E11355" s="8">
        <v>0</v>
      </c>
      <c r="F11355" s="8">
        <v>2700</v>
      </c>
    </row>
    <row r="11356" spans="1:6" ht="12.75">
      <c r="A11356" s="8">
        <v>43899.748726851853</v>
      </c>
      <c r="B11356" s="8" t="str">
        <f>HYPERLINK("https://twitter.com/ferdibillah","@ferdibillah")</f>
        <v>@ferdibillah</v>
      </c>
      <c r="C11356" s="8" t="s">
        <v>4463</v>
      </c>
      <c r="D11356" s="8">
        <v>5</v>
      </c>
      <c r="E11356" s="8">
        <v>0</v>
      </c>
      <c r="F11356" s="8">
        <v>1333</v>
      </c>
    </row>
    <row r="11357" spans="1:6" ht="12.75">
      <c r="A11357" s="8">
        <v>43899.748449074075</v>
      </c>
      <c r="B11357" s="8" t="str">
        <f>HYPERLINK("https://twitter.com/ISIS_Balik_NO","@ISIS_Balik_NO")</f>
        <v>@ISIS_Balik_NO</v>
      </c>
      <c r="C11357" s="8" t="s">
        <v>4753</v>
      </c>
      <c r="D11357" s="8">
        <v>58</v>
      </c>
      <c r="E11357" s="8">
        <v>0</v>
      </c>
      <c r="F11357" s="8">
        <v>6224</v>
      </c>
    </row>
    <row r="11358" spans="1:6" ht="12.75">
      <c r="A11358" s="8">
        <v>43899.74836805556</v>
      </c>
      <c r="B11358" s="8" t="str">
        <f>HYPERLINK("https://twitter.com/the_hyderabadi","@the_hyderabadi")</f>
        <v>@the_hyderabadi</v>
      </c>
      <c r="C11358" s="8" t="s">
        <v>1957</v>
      </c>
      <c r="D11358" s="8">
        <v>605</v>
      </c>
      <c r="E11358" s="8">
        <v>0</v>
      </c>
      <c r="F11358" s="8">
        <v>782</v>
      </c>
    </row>
    <row r="11359" spans="1:6" ht="12.75">
      <c r="A11359" s="8">
        <v>43899.74832175926</v>
      </c>
      <c r="B11359" s="8" t="str">
        <f>HYPERLINK("https://twitter.com/rawathindustani","@rawathindustani")</f>
        <v>@rawathindustani</v>
      </c>
      <c r="C11359" s="8" t="s">
        <v>1808</v>
      </c>
      <c r="D11359" s="8">
        <v>484</v>
      </c>
      <c r="E11359" s="8">
        <v>0</v>
      </c>
      <c r="F11359" s="8">
        <v>388</v>
      </c>
    </row>
    <row r="11360" spans="1:6" ht="12.75">
      <c r="A11360" s="8">
        <v>43899.74827546296</v>
      </c>
      <c r="B11360" s="8" t="str">
        <f>HYPERLINK("https://twitter.com/JustoneK7","@JustoneK7")</f>
        <v>@JustoneK7</v>
      </c>
      <c r="C11360" s="8" t="s">
        <v>1957</v>
      </c>
      <c r="D11360" s="8">
        <v>605</v>
      </c>
      <c r="E11360" s="8">
        <v>0</v>
      </c>
      <c r="F11360" s="8">
        <v>646</v>
      </c>
    </row>
    <row r="11361" spans="1:6" ht="12.75">
      <c r="A11361" s="8">
        <v>43899.748182870375</v>
      </c>
      <c r="B11361" s="8" t="str">
        <f>HYPERLINK("https://twitter.com/AshAchanta","@AshAchanta")</f>
        <v>@AshAchanta</v>
      </c>
      <c r="C11361" s="8" t="s">
        <v>1957</v>
      </c>
      <c r="D11361" s="8">
        <v>605</v>
      </c>
      <c r="E11361" s="8">
        <v>0</v>
      </c>
      <c r="F11361" s="8">
        <v>79</v>
      </c>
    </row>
    <row r="11362" spans="1:6" ht="12.75">
      <c r="A11362" s="8">
        <v>43899.748113425929</v>
      </c>
      <c r="B11362" s="8" t="str">
        <f>HYPERLINK("https://twitter.com/ISIS_Balik_NO","@ISIS_Balik_NO")</f>
        <v>@ISIS_Balik_NO</v>
      </c>
      <c r="C11362" s="8" t="s">
        <v>4754</v>
      </c>
      <c r="D11362" s="8">
        <v>14</v>
      </c>
      <c r="E11362" s="8">
        <v>0</v>
      </c>
      <c r="F11362" s="8">
        <v>6224</v>
      </c>
    </row>
    <row r="11363" spans="1:6" ht="12.75">
      <c r="A11363" s="8">
        <v>43899.747627314813</v>
      </c>
      <c r="B11363" s="8" t="str">
        <f>HYPERLINK("https://twitter.com/amitsingh9897","@amitsingh9897")</f>
        <v>@amitsingh9897</v>
      </c>
      <c r="C11363" s="8" t="s">
        <v>1808</v>
      </c>
      <c r="D11363" s="8">
        <v>484</v>
      </c>
      <c r="E11363" s="8">
        <v>0</v>
      </c>
      <c r="F11363" s="8">
        <v>97</v>
      </c>
    </row>
    <row r="11364" spans="1:6" ht="12.75">
      <c r="A11364" s="8">
        <v>43899.747557870374</v>
      </c>
      <c r="B11364" s="8" t="str">
        <f>HYPERLINK("https://twitter.com/syamsulhadi_ae","@syamsulhadi_ae")</f>
        <v>@syamsulhadi_ae</v>
      </c>
      <c r="C11364" s="8" t="s">
        <v>4463</v>
      </c>
      <c r="D11364" s="8">
        <v>5</v>
      </c>
      <c r="E11364" s="8">
        <v>0</v>
      </c>
      <c r="F11364" s="8">
        <v>253</v>
      </c>
    </row>
    <row r="11365" spans="1:6" ht="12.75">
      <c r="A11365" s="8">
        <v>43899.747210648144</v>
      </c>
      <c r="B11365" s="8" t="str">
        <f>HYPERLINK("https://twitter.com/Prashan97206948","@Prashan97206948")</f>
        <v>@Prashan97206948</v>
      </c>
      <c r="C11365" s="8" t="s">
        <v>1957</v>
      </c>
      <c r="D11365" s="8">
        <v>605</v>
      </c>
      <c r="E11365" s="8">
        <v>0</v>
      </c>
      <c r="F11365" s="8">
        <v>33</v>
      </c>
    </row>
    <row r="11366" spans="1:6" ht="12.75">
      <c r="A11366" s="8">
        <v>43899.747118055559</v>
      </c>
      <c r="B11366" s="8" t="str">
        <f>HYPERLINK("https://twitter.com/Kamto96126219","@Kamto96126219")</f>
        <v>@Kamto96126219</v>
      </c>
      <c r="C11366" s="8" t="s">
        <v>4651</v>
      </c>
      <c r="D11366" s="8">
        <v>59</v>
      </c>
      <c r="E11366" s="8">
        <v>0</v>
      </c>
      <c r="F11366" s="8">
        <v>680</v>
      </c>
    </row>
    <row r="11367" spans="1:6" ht="12.75">
      <c r="A11367" s="8">
        <v>43899.747013888889</v>
      </c>
      <c r="B11367" s="8" t="str">
        <f>HYPERLINK("https://twitter.com/RocketS46853234","@RocketS46853234")</f>
        <v>@RocketS46853234</v>
      </c>
      <c r="C11367" s="8" t="s">
        <v>1808</v>
      </c>
      <c r="D11367" s="8">
        <v>484</v>
      </c>
      <c r="E11367" s="8">
        <v>0</v>
      </c>
      <c r="F11367" s="8">
        <v>22</v>
      </c>
    </row>
    <row r="11368" spans="1:6" ht="12.75">
      <c r="A11368" s="8">
        <v>43899.74690972222</v>
      </c>
      <c r="B11368" s="8" t="str">
        <f>HYPERLINK("https://twitter.com/strike_bravo_b","@strike_bravo_b")</f>
        <v>@strike_bravo_b</v>
      </c>
      <c r="C11368" s="8" t="s">
        <v>4755</v>
      </c>
      <c r="D11368" s="8">
        <v>0</v>
      </c>
      <c r="E11368" s="8">
        <v>0</v>
      </c>
      <c r="F11368" s="8">
        <v>264</v>
      </c>
    </row>
    <row r="11369" spans="1:6" ht="12.75">
      <c r="A11369" s="8">
        <v>43899.746828703705</v>
      </c>
      <c r="B11369" s="8" t="str">
        <f>HYPERLINK("https://twitter.com/9000966","@9000966")</f>
        <v>@9000966</v>
      </c>
      <c r="C11369" s="8" t="s">
        <v>1957</v>
      </c>
      <c r="D11369" s="8">
        <v>605</v>
      </c>
      <c r="E11369" s="8">
        <v>0</v>
      </c>
      <c r="F11369" s="8">
        <v>5</v>
      </c>
    </row>
    <row r="11370" spans="1:6" ht="12.75">
      <c r="A11370" s="8">
        <v>43899.746736111112</v>
      </c>
      <c r="B11370" s="8" t="str">
        <f>HYPERLINK("https://twitter.com/halli_kiran","@halli_kiran")</f>
        <v>@halli_kiran</v>
      </c>
      <c r="C11370" s="8" t="s">
        <v>1808</v>
      </c>
      <c r="D11370" s="8">
        <v>484</v>
      </c>
      <c r="E11370" s="8">
        <v>0</v>
      </c>
      <c r="F11370" s="8">
        <v>369</v>
      </c>
    </row>
    <row r="11371" spans="1:6" ht="12.75">
      <c r="A11371" s="8">
        <v>43899.74664351852</v>
      </c>
      <c r="B11371" s="8" t="str">
        <f>HYPERLINK("https://twitter.com/R_means1985","@R_means1985")</f>
        <v>@R_means1985</v>
      </c>
      <c r="C11371" s="8" t="s">
        <v>1957</v>
      </c>
      <c r="D11371" s="8">
        <v>605</v>
      </c>
      <c r="E11371" s="8">
        <v>0</v>
      </c>
      <c r="F11371" s="8">
        <v>524</v>
      </c>
    </row>
    <row r="11372" spans="1:6" ht="12.75">
      <c r="A11372" s="8">
        <v>43899.746585648143</v>
      </c>
      <c r="B11372" s="8" t="str">
        <f>HYPERLINK("https://twitter.com/devtaekim","@devtaekim")</f>
        <v>@devtaekim</v>
      </c>
      <c r="C11372" s="8" t="s">
        <v>4756</v>
      </c>
      <c r="D11372" s="8">
        <v>0</v>
      </c>
      <c r="E11372" s="8">
        <v>0</v>
      </c>
      <c r="F11372" s="8">
        <v>732</v>
      </c>
    </row>
    <row r="11373" spans="1:6" ht="12.75">
      <c r="A11373" s="8">
        <v>43899.746412037042</v>
      </c>
      <c r="B11373" s="8" t="str">
        <f>HYPERLINK("https://twitter.com/SnnehaPATeL","@SnnehaPATeL")</f>
        <v>@SnnehaPATeL</v>
      </c>
      <c r="C11373" s="8" t="s">
        <v>1957</v>
      </c>
      <c r="D11373" s="8">
        <v>605</v>
      </c>
      <c r="E11373" s="8">
        <v>0</v>
      </c>
      <c r="F11373" s="8">
        <v>158</v>
      </c>
    </row>
    <row r="11374" spans="1:6" ht="12.75">
      <c r="A11374" s="8">
        <v>43899.746354166666</v>
      </c>
      <c r="B11374" s="8" t="str">
        <f>HYPERLINK("https://twitter.com/GangadharS69","@GangadharS69")</f>
        <v>@GangadharS69</v>
      </c>
      <c r="C11374" s="8" t="s">
        <v>1957</v>
      </c>
      <c r="D11374" s="8">
        <v>605</v>
      </c>
      <c r="E11374" s="8">
        <v>0</v>
      </c>
      <c r="F11374" s="8">
        <v>30</v>
      </c>
    </row>
    <row r="11375" spans="1:6" ht="12.75">
      <c r="A11375" s="8">
        <v>43899.746319444443</v>
      </c>
      <c r="B11375" s="8" t="str">
        <f>HYPERLINK("https://twitter.com/SigitWtj","@SigitWtj")</f>
        <v>@SigitWtj</v>
      </c>
      <c r="C11375" s="8" t="s">
        <v>1396</v>
      </c>
      <c r="D11375" s="8">
        <v>53</v>
      </c>
      <c r="E11375" s="8">
        <v>0</v>
      </c>
      <c r="F11375" s="8">
        <v>1639</v>
      </c>
    </row>
    <row r="11376" spans="1:6" ht="12.75">
      <c r="A11376" s="8">
        <v>43899.746041666665</v>
      </c>
      <c r="B11376" s="8" t="str">
        <f>HYPERLINK("https://twitter.com/Yossari12127468","@Yossari12127468")</f>
        <v>@Yossari12127468</v>
      </c>
      <c r="C11376" s="8" t="s">
        <v>1808</v>
      </c>
      <c r="D11376" s="8">
        <v>484</v>
      </c>
      <c r="E11376" s="8">
        <v>0</v>
      </c>
      <c r="F11376" s="8">
        <v>81</v>
      </c>
    </row>
    <row r="11377" spans="1:6" ht="12.75">
      <c r="A11377" s="8">
        <v>43899.745972222227</v>
      </c>
      <c r="B11377" s="8" t="str">
        <f>HYPERLINK("https://twitter.com/Manesha76","@Manesha76")</f>
        <v>@Manesha76</v>
      </c>
      <c r="C11377" s="8" t="s">
        <v>1957</v>
      </c>
      <c r="D11377" s="8">
        <v>605</v>
      </c>
      <c r="E11377" s="8">
        <v>0</v>
      </c>
      <c r="F11377" s="8">
        <v>17719</v>
      </c>
    </row>
    <row r="11378" spans="1:6" ht="12.75">
      <c r="A11378" s="8">
        <v>43899.745856481481</v>
      </c>
      <c r="B11378" s="8" t="str">
        <f>HYPERLINK("https://twitter.com/anakdekan","@anakdekan")</f>
        <v>@anakdekan</v>
      </c>
      <c r="C11378" s="8" t="s">
        <v>4757</v>
      </c>
      <c r="D11378" s="8">
        <v>0</v>
      </c>
      <c r="E11378" s="8">
        <v>0</v>
      </c>
      <c r="F11378" s="8">
        <v>1092</v>
      </c>
    </row>
    <row r="11379" spans="1:6" ht="12.75">
      <c r="A11379" s="8">
        <v>43899.745856481481</v>
      </c>
      <c r="B11379" s="8" t="str">
        <f>HYPERLINK("https://twitter.com/adhinurdafina","@adhinurdafina")</f>
        <v>@adhinurdafina</v>
      </c>
      <c r="C11379" s="8" t="s">
        <v>3265</v>
      </c>
      <c r="D11379" s="8">
        <v>537</v>
      </c>
      <c r="E11379" s="8">
        <v>0</v>
      </c>
      <c r="F11379" s="8">
        <v>1293</v>
      </c>
    </row>
    <row r="11380" spans="1:6" ht="12.75">
      <c r="A11380" s="8">
        <v>43899.745821759258</v>
      </c>
      <c r="B11380" s="8" t="str">
        <f>HYPERLINK("https://twitter.com/deepaggarwal1","@deepaggarwal1")</f>
        <v>@deepaggarwal1</v>
      </c>
      <c r="C11380" s="8" t="s">
        <v>1957</v>
      </c>
      <c r="D11380" s="8">
        <v>605</v>
      </c>
      <c r="E11380" s="8">
        <v>0</v>
      </c>
      <c r="F11380" s="8">
        <v>860</v>
      </c>
    </row>
    <row r="11381" spans="1:6" ht="12.75">
      <c r="A11381" s="8">
        <v>43899.745798611111</v>
      </c>
      <c r="B11381" s="8" t="str">
        <f>HYPERLINK("https://twitter.com/DModi24","@DModi24")</f>
        <v>@DModi24</v>
      </c>
      <c r="C11381" s="8" t="s">
        <v>1957</v>
      </c>
      <c r="D11381" s="8">
        <v>605</v>
      </c>
      <c r="E11381" s="8">
        <v>0</v>
      </c>
      <c r="F11381" s="8">
        <v>118</v>
      </c>
    </row>
    <row r="11382" spans="1:6" ht="12.75">
      <c r="A11382" s="8">
        <v>43899.745682870373</v>
      </c>
      <c r="B11382" s="8" t="str">
        <f>HYPERLINK("https://twitter.com/__sachin_sharma","@__sachin_sharma")</f>
        <v>@__sachin_sharma</v>
      </c>
      <c r="C11382" s="8" t="s">
        <v>1808</v>
      </c>
      <c r="D11382" s="8">
        <v>484</v>
      </c>
      <c r="E11382" s="8">
        <v>0</v>
      </c>
      <c r="F11382" s="8">
        <v>111</v>
      </c>
    </row>
    <row r="11383" spans="1:6" ht="12.75">
      <c r="A11383" s="8">
        <v>43899.745439814811</v>
      </c>
      <c r="B11383" s="8" t="str">
        <f>HYPERLINK("https://twitter.com/99Abhi007","@99Abhi007")</f>
        <v>@99Abhi007</v>
      </c>
      <c r="C11383" s="8" t="s">
        <v>1957</v>
      </c>
      <c r="D11383" s="8">
        <v>605</v>
      </c>
      <c r="E11383" s="8">
        <v>0</v>
      </c>
      <c r="F11383" s="8">
        <v>46</v>
      </c>
    </row>
    <row r="11384" spans="1:6" ht="12.75">
      <c r="A11384" s="8">
        <v>43899.745347222226</v>
      </c>
      <c r="B11384" s="8" t="str">
        <f>HYPERLINK("https://twitter.com/Masdjodi1","@Masdjodi1")</f>
        <v>@Masdjodi1</v>
      </c>
      <c r="C11384" s="8" t="s">
        <v>4038</v>
      </c>
      <c r="D11384" s="8">
        <v>22</v>
      </c>
      <c r="E11384" s="8">
        <v>0</v>
      </c>
      <c r="F11384" s="8">
        <v>751</v>
      </c>
    </row>
    <row r="11385" spans="1:6" ht="12.75">
      <c r="A11385" s="8">
        <v>43899.745312500003</v>
      </c>
      <c r="B11385" s="8" t="str">
        <f>HYPERLINK("https://twitter.com/Jsr_avi","@Jsr_avi")</f>
        <v>@Jsr_avi</v>
      </c>
      <c r="C11385" s="8" t="s">
        <v>1808</v>
      </c>
      <c r="D11385" s="8">
        <v>484</v>
      </c>
      <c r="E11385" s="8">
        <v>0</v>
      </c>
      <c r="F11385" s="8">
        <v>459</v>
      </c>
    </row>
    <row r="11386" spans="1:6" ht="12.75">
      <c r="A11386" s="8">
        <v>43899.745300925926</v>
      </c>
      <c r="B11386" s="8" t="str">
        <f>HYPERLINK("https://twitter.com/Indopolitika","@Indopolitika")</f>
        <v>@Indopolitika</v>
      </c>
      <c r="C11386" s="8" t="s">
        <v>4758</v>
      </c>
      <c r="D11386" s="8">
        <v>0</v>
      </c>
      <c r="E11386" s="8">
        <v>0</v>
      </c>
      <c r="F11386" s="8">
        <v>10588</v>
      </c>
    </row>
    <row r="11387" spans="1:6" ht="12.75">
      <c r="A11387" s="8">
        <v>43899.745208333334</v>
      </c>
      <c r="B11387" s="8" t="str">
        <f>HYPERLINK("https://twitter.com/AmeyAnandrao","@AmeyAnandrao")</f>
        <v>@AmeyAnandrao</v>
      </c>
      <c r="C11387" s="8" t="s">
        <v>1957</v>
      </c>
      <c r="D11387" s="8">
        <v>605</v>
      </c>
      <c r="E11387" s="8">
        <v>0</v>
      </c>
      <c r="F11387" s="8">
        <v>13</v>
      </c>
    </row>
    <row r="11388" spans="1:6" ht="12.75">
      <c r="A11388" s="8">
        <v>43899.74518518518</v>
      </c>
      <c r="B11388" s="8" t="str">
        <f>HYPERLINK("https://twitter.com/Indopolitika","@Indopolitika")</f>
        <v>@Indopolitika</v>
      </c>
      <c r="C11388" s="8" t="s">
        <v>4759</v>
      </c>
      <c r="D11388" s="8">
        <v>0</v>
      </c>
      <c r="E11388" s="8">
        <v>0</v>
      </c>
      <c r="F11388" s="8">
        <v>10588</v>
      </c>
    </row>
    <row r="11389" spans="1:6" ht="12.75">
      <c r="A11389" s="8">
        <v>43899.745023148149</v>
      </c>
      <c r="B11389" s="8" t="str">
        <f>HYPERLINK("https://twitter.com/drbharatpath","@drbharatpath")</f>
        <v>@drbharatpath</v>
      </c>
      <c r="C11389" s="8" t="s">
        <v>1957</v>
      </c>
      <c r="D11389" s="8">
        <v>605</v>
      </c>
      <c r="E11389" s="8">
        <v>0</v>
      </c>
      <c r="F11389" s="8">
        <v>13</v>
      </c>
    </row>
    <row r="11390" spans="1:6" ht="12.75">
      <c r="A11390" s="8">
        <v>43899.744930555556</v>
      </c>
      <c r="B11390" s="8" t="str">
        <f>HYPERLINK("https://twitter.com/_saveki","@_saveki")</f>
        <v>@_saveki</v>
      </c>
      <c r="C11390" s="8" t="s">
        <v>1808</v>
      </c>
      <c r="D11390" s="8">
        <v>484</v>
      </c>
      <c r="E11390" s="8">
        <v>0</v>
      </c>
      <c r="F11390" s="8">
        <v>496</v>
      </c>
    </row>
    <row r="11391" spans="1:6" ht="12.75">
      <c r="A11391" s="8">
        <v>43899.744814814811</v>
      </c>
      <c r="B11391" s="8" t="str">
        <f>HYPERLINK("https://twitter.com/PrathamNayak","@PrathamNayak")</f>
        <v>@PrathamNayak</v>
      </c>
      <c r="C11391" s="8" t="s">
        <v>1957</v>
      </c>
      <c r="D11391" s="8">
        <v>605</v>
      </c>
      <c r="E11391" s="8">
        <v>0</v>
      </c>
      <c r="F11391" s="8">
        <v>316</v>
      </c>
    </row>
    <row r="11392" spans="1:6" ht="12.75">
      <c r="A11392" s="8">
        <v>43899.744664351849</v>
      </c>
      <c r="B11392" s="8" t="str">
        <f>HYPERLINK("https://twitter.com/Batman2715","@Batman2715")</f>
        <v>@Batman2715</v>
      </c>
      <c r="C11392" s="8" t="s">
        <v>1957</v>
      </c>
      <c r="D11392" s="8">
        <v>605</v>
      </c>
      <c r="E11392" s="8">
        <v>0</v>
      </c>
      <c r="F11392" s="8">
        <v>173</v>
      </c>
    </row>
    <row r="11393" spans="1:6" ht="12.75">
      <c r="A11393" s="8">
        <v>43899.743715277778</v>
      </c>
      <c r="B11393" s="8" t="str">
        <f>HYPERLINK("https://twitter.com/kbri_tripoli","@kbri_tripoli")</f>
        <v>@kbri_tripoli</v>
      </c>
      <c r="C11393" s="8" t="s">
        <v>4760</v>
      </c>
      <c r="D11393" s="8">
        <v>6</v>
      </c>
      <c r="E11393" s="8">
        <v>0</v>
      </c>
      <c r="F11393" s="8">
        <v>17</v>
      </c>
    </row>
    <row r="11394" spans="1:6" ht="12.75">
      <c r="A11394" s="8">
        <v>43899.715509259258</v>
      </c>
      <c r="B11394" s="8" t="str">
        <f>HYPERLINK("https://twitter.com/reram35h","@reram35h")</f>
        <v>@reram35h</v>
      </c>
      <c r="C11394" s="8" t="s">
        <v>1808</v>
      </c>
      <c r="D11394" s="8">
        <v>365</v>
      </c>
      <c r="E11394" s="8">
        <v>0</v>
      </c>
      <c r="F11394" s="8">
        <v>34</v>
      </c>
    </row>
    <row r="11395" spans="1:6" ht="12.75">
      <c r="A11395" s="8">
        <v>43899.715486111112</v>
      </c>
      <c r="B11395" s="8" t="str">
        <f>HYPERLINK("https://twitter.com/hindustani89","@hindustani89")</f>
        <v>@hindustani89</v>
      </c>
      <c r="C11395" s="8" t="s">
        <v>1957</v>
      </c>
      <c r="D11395" s="8">
        <v>439</v>
      </c>
      <c r="E11395" s="8">
        <v>0</v>
      </c>
      <c r="F11395" s="8">
        <v>166</v>
      </c>
    </row>
    <row r="11396" spans="1:6" ht="12.75">
      <c r="A11396" s="8">
        <v>43899.715416666666</v>
      </c>
      <c r="B11396" s="8" t="str">
        <f>HYPERLINK("https://twitter.com/prakashpandya7","@prakashpandya7")</f>
        <v>@prakashpandya7</v>
      </c>
      <c r="C11396" s="8" t="s">
        <v>1808</v>
      </c>
      <c r="D11396" s="8">
        <v>365</v>
      </c>
      <c r="E11396" s="8">
        <v>0</v>
      </c>
      <c r="F11396" s="8">
        <v>5764</v>
      </c>
    </row>
    <row r="11397" spans="1:6" ht="12.75">
      <c r="A11397" s="8">
        <v>43899.715370370366</v>
      </c>
      <c r="B11397" s="8" t="str">
        <f>HYPERLINK("https://twitter.com/asuhan101010101","@asuhan101010101")</f>
        <v>@asuhan101010101</v>
      </c>
      <c r="C11397" s="8" t="s">
        <v>4761</v>
      </c>
      <c r="D11397" s="8">
        <v>0</v>
      </c>
      <c r="E11397" s="8">
        <v>0</v>
      </c>
      <c r="F11397" s="8">
        <v>2057</v>
      </c>
    </row>
    <row r="11398" spans="1:6" ht="12.75">
      <c r="A11398" s="8">
        <v>43899.715196759258</v>
      </c>
      <c r="B11398" s="8" t="str">
        <f>HYPERLINK("https://twitter.com/venkyo","@venkyo")</f>
        <v>@venkyo</v>
      </c>
      <c r="C11398" s="8" t="s">
        <v>1957</v>
      </c>
      <c r="D11398" s="8">
        <v>439</v>
      </c>
      <c r="E11398" s="8">
        <v>0</v>
      </c>
      <c r="F11398" s="8">
        <v>214</v>
      </c>
    </row>
    <row r="11399" spans="1:6" ht="12.75">
      <c r="A11399" s="8">
        <v>43899.715185185181</v>
      </c>
      <c r="B11399" s="8" t="str">
        <f>HYPERLINK("https://twitter.com/gmaksngo","@gmaksngo")</f>
        <v>@gmaksngo</v>
      </c>
      <c r="C11399" s="8" t="s">
        <v>4762</v>
      </c>
      <c r="D11399" s="8">
        <v>0</v>
      </c>
      <c r="E11399" s="8">
        <v>0</v>
      </c>
      <c r="F11399" s="8">
        <v>374</v>
      </c>
    </row>
    <row r="11400" spans="1:6" ht="12.75">
      <c r="A11400" s="8">
        <v>43899.715127314819</v>
      </c>
      <c r="B11400" s="8" t="str">
        <f>HYPERLINK("https://twitter.com/Siberdotnews","@Siberdotnews")</f>
        <v>@Siberdotnews</v>
      </c>
      <c r="C11400" s="8" t="s">
        <v>4762</v>
      </c>
      <c r="D11400" s="8">
        <v>0</v>
      </c>
      <c r="E11400" s="8">
        <v>0</v>
      </c>
      <c r="F11400" s="8">
        <v>92</v>
      </c>
    </row>
    <row r="11401" spans="1:6" ht="12.75">
      <c r="A11401" s="8">
        <v>43899.715057870373</v>
      </c>
      <c r="B11401" s="8" t="str">
        <f>HYPERLINK("https://twitter.com/babu_saffron","@babu_saffron")</f>
        <v>@babu_saffron</v>
      </c>
      <c r="C11401" s="8" t="s">
        <v>1808</v>
      </c>
      <c r="D11401" s="8">
        <v>365</v>
      </c>
      <c r="E11401" s="8">
        <v>0</v>
      </c>
      <c r="F11401" s="8">
        <v>2892</v>
      </c>
    </row>
    <row r="11402" spans="1:6" ht="12.75">
      <c r="A11402" s="8">
        <v>43899.714918981481</v>
      </c>
      <c r="B11402" s="8" t="str">
        <f>HYPERLINK("https://twitter.com/ShivamM76615996","@ShivamM76615996")</f>
        <v>@ShivamM76615996</v>
      </c>
      <c r="C11402" s="8" t="s">
        <v>1808</v>
      </c>
      <c r="D11402" s="8">
        <v>365</v>
      </c>
      <c r="E11402" s="8">
        <v>0</v>
      </c>
      <c r="F11402" s="8">
        <v>217</v>
      </c>
    </row>
    <row r="11403" spans="1:6" ht="12.75">
      <c r="A11403" s="8">
        <v>43899.714745370366</v>
      </c>
      <c r="B11403" s="8" t="str">
        <f>HYPERLINK("https://twitter.com/bheem8680","@bheem8680")</f>
        <v>@bheem8680</v>
      </c>
      <c r="C11403" s="8" t="s">
        <v>1808</v>
      </c>
      <c r="D11403" s="8">
        <v>365</v>
      </c>
      <c r="E11403" s="8">
        <v>0</v>
      </c>
      <c r="F11403" s="8">
        <v>92</v>
      </c>
    </row>
    <row r="11404" spans="1:6" ht="12.75">
      <c r="A11404" s="8">
        <v>43899.714722222227</v>
      </c>
      <c r="B11404" s="8" t="str">
        <f>HYPERLINK("https://twitter.com/manojrunjhun","@manojrunjhun")</f>
        <v>@manojrunjhun</v>
      </c>
      <c r="C11404" s="8" t="s">
        <v>1808</v>
      </c>
      <c r="D11404" s="8">
        <v>365</v>
      </c>
      <c r="E11404" s="8">
        <v>0</v>
      </c>
      <c r="F11404" s="8">
        <v>545</v>
      </c>
    </row>
    <row r="11405" spans="1:6" ht="12.75">
      <c r="A11405" s="8">
        <v>43899.714537037042</v>
      </c>
      <c r="B11405" s="8" t="str">
        <f>HYPERLINK("https://twitter.com/emilalfatih","@emilalfatih")</f>
        <v>@emilalfatih</v>
      </c>
      <c r="C11405" s="8" t="s">
        <v>4763</v>
      </c>
      <c r="D11405" s="8">
        <v>0</v>
      </c>
      <c r="E11405" s="8">
        <v>0</v>
      </c>
      <c r="F11405" s="8">
        <v>210</v>
      </c>
    </row>
    <row r="11406" spans="1:6" ht="12.75">
      <c r="A11406" s="8">
        <v>43899.714398148149</v>
      </c>
      <c r="B11406" s="8" t="str">
        <f>HYPERLINK("https://twitter.com/kuldeepsewa","@kuldeepsewa")</f>
        <v>@kuldeepsewa</v>
      </c>
      <c r="C11406" s="8" t="s">
        <v>1808</v>
      </c>
      <c r="D11406" s="8">
        <v>365</v>
      </c>
      <c r="E11406" s="8">
        <v>0</v>
      </c>
      <c r="F11406" s="8">
        <v>273</v>
      </c>
    </row>
    <row r="11407" spans="1:6" ht="12.75">
      <c r="A11407" s="8">
        <v>43899.714363425926</v>
      </c>
      <c r="B11407" s="8" t="str">
        <f>HYPERLINK("https://twitter.com/KamlakarMishra9","@KamlakarMishra9")</f>
        <v>@KamlakarMishra9</v>
      </c>
      <c r="C11407" s="8" t="s">
        <v>4764</v>
      </c>
      <c r="D11407" s="8">
        <v>0</v>
      </c>
      <c r="E11407" s="8">
        <v>0</v>
      </c>
      <c r="F11407" s="8">
        <v>170</v>
      </c>
    </row>
    <row r="11408" spans="1:6" ht="12.75">
      <c r="A11408" s="8">
        <v>43899.714212962965</v>
      </c>
      <c r="B11408" s="8" t="str">
        <f>HYPERLINK("https://twitter.com/Roy29259419","@Roy29259419")</f>
        <v>@Roy29259419</v>
      </c>
      <c r="C11408" s="8" t="s">
        <v>4765</v>
      </c>
      <c r="D11408" s="8">
        <v>0</v>
      </c>
      <c r="E11408" s="8">
        <v>0</v>
      </c>
      <c r="F11408" s="8">
        <v>0</v>
      </c>
    </row>
    <row r="11409" spans="1:6" ht="12.75">
      <c r="A11409" s="8">
        <v>43899.713912037041</v>
      </c>
      <c r="B11409" s="8" t="str">
        <f>HYPERLINK("https://twitter.com/Simpleashish","@Simpleashish")</f>
        <v>@Simpleashish</v>
      </c>
      <c r="C11409" s="8" t="s">
        <v>1808</v>
      </c>
      <c r="D11409" s="8">
        <v>365</v>
      </c>
      <c r="E11409" s="8">
        <v>0</v>
      </c>
      <c r="F11409" s="8">
        <v>1215</v>
      </c>
    </row>
    <row r="11410" spans="1:6" ht="12.75">
      <c r="A11410" s="8">
        <v>43899.71366898148</v>
      </c>
      <c r="B11410" s="8" t="str">
        <f>HYPERLINK("https://twitter.com/NileshTheGreat","@NileshTheGreat")</f>
        <v>@NileshTheGreat</v>
      </c>
      <c r="C11410" s="8" t="s">
        <v>1957</v>
      </c>
      <c r="D11410" s="8">
        <v>439</v>
      </c>
      <c r="E11410" s="8">
        <v>0</v>
      </c>
      <c r="F11410" s="8">
        <v>791</v>
      </c>
    </row>
    <row r="11411" spans="1:6" ht="12.75">
      <c r="A11411" s="8">
        <v>43899.71361111111</v>
      </c>
      <c r="B11411" s="8" t="str">
        <f>HYPERLINK("https://twitter.com/jawapos","@jawapos")</f>
        <v>@jawapos</v>
      </c>
      <c r="C11411" s="8" t="s">
        <v>4766</v>
      </c>
      <c r="D11411" s="8">
        <v>0</v>
      </c>
      <c r="E11411" s="8">
        <v>0</v>
      </c>
      <c r="F11411" s="8">
        <v>128131</v>
      </c>
    </row>
    <row r="11412" spans="1:6" ht="12.75">
      <c r="A11412" s="8">
        <v>43899.713310185187</v>
      </c>
      <c r="B11412" s="8" t="str">
        <f>HYPERLINK("https://twitter.com/ADShah30","@ADShah30")</f>
        <v>@ADShah30</v>
      </c>
      <c r="C11412" s="8" t="s">
        <v>1957</v>
      </c>
      <c r="D11412" s="8">
        <v>439</v>
      </c>
      <c r="E11412" s="8">
        <v>0</v>
      </c>
      <c r="F11412" s="8">
        <v>298</v>
      </c>
    </row>
    <row r="11413" spans="1:6" ht="12.75">
      <c r="A11413" s="8">
        <v>43899.713310185187</v>
      </c>
      <c r="B11413" s="8" t="str">
        <f>HYPERLINK("https://twitter.com/sumithasudhas","@sumithasudhas")</f>
        <v>@sumithasudhas</v>
      </c>
      <c r="C11413" s="8" t="s">
        <v>1957</v>
      </c>
      <c r="D11413" s="8">
        <v>439</v>
      </c>
      <c r="E11413" s="8">
        <v>0</v>
      </c>
      <c r="F11413" s="8">
        <v>234</v>
      </c>
    </row>
    <row r="11414" spans="1:6" ht="12.75">
      <c r="A11414" s="8">
        <v>43899.713275462964</v>
      </c>
      <c r="B11414" s="8" t="str">
        <f>HYPERLINK("https://twitter.com/BeingIndian02","@BeingIndian02")</f>
        <v>@BeingIndian02</v>
      </c>
      <c r="C11414" s="8" t="s">
        <v>1957</v>
      </c>
      <c r="D11414" s="8">
        <v>439</v>
      </c>
      <c r="E11414" s="8">
        <v>0</v>
      </c>
      <c r="F11414" s="8">
        <v>315</v>
      </c>
    </row>
    <row r="11415" spans="1:6" ht="12.75">
      <c r="A11415" s="8">
        <v>43899.713263888887</v>
      </c>
      <c r="B11415" s="8" t="str">
        <f>HYPERLINK("https://twitter.com/veer_bikaner","@veer_bikaner")</f>
        <v>@veer_bikaner</v>
      </c>
      <c r="C11415" s="8" t="s">
        <v>1808</v>
      </c>
      <c r="D11415" s="8">
        <v>365</v>
      </c>
      <c r="E11415" s="8">
        <v>0</v>
      </c>
      <c r="F11415" s="8">
        <v>427</v>
      </c>
    </row>
    <row r="11416" spans="1:6" ht="12.75">
      <c r="A11416" s="8">
        <v>43899.713240740741</v>
      </c>
      <c r="B11416" s="8" t="str">
        <f>HYPERLINK("https://twitter.com/love_da_lehsoon","@love_da_lehsoon")</f>
        <v>@love_da_lehsoon</v>
      </c>
      <c r="C11416" s="8" t="s">
        <v>1957</v>
      </c>
      <c r="D11416" s="8">
        <v>439</v>
      </c>
      <c r="E11416" s="8">
        <v>0</v>
      </c>
      <c r="F11416" s="8">
        <v>15</v>
      </c>
    </row>
    <row r="11417" spans="1:6" ht="12.75">
      <c r="A11417" s="8">
        <v>43899.713194444441</v>
      </c>
      <c r="B11417" s="8" t="str">
        <f>HYPERLINK("https://twitter.com/JumardiDaeng","@JumardiDaeng")</f>
        <v>@JumardiDaeng</v>
      </c>
      <c r="C11417" s="8" t="s">
        <v>3262</v>
      </c>
      <c r="D11417" s="8">
        <v>171</v>
      </c>
      <c r="E11417" s="8">
        <v>0</v>
      </c>
      <c r="F11417" s="8">
        <v>51</v>
      </c>
    </row>
    <row r="11418" spans="1:6" ht="12.75">
      <c r="A11418" s="8">
        <v>43899.712997685187</v>
      </c>
      <c r="B11418" s="8" t="str">
        <f>HYPERLINK("https://twitter.com/ErvineKiddies","@ErvineKiddies")</f>
        <v>@ErvineKiddies</v>
      </c>
      <c r="C11418" s="8" t="s">
        <v>4767</v>
      </c>
      <c r="D11418" s="8">
        <v>0</v>
      </c>
      <c r="E11418" s="8">
        <v>2</v>
      </c>
      <c r="F11418" s="8">
        <v>884</v>
      </c>
    </row>
    <row r="11419" spans="1:6" ht="12.75">
      <c r="A11419" s="8">
        <v>43899.712858796294</v>
      </c>
      <c r="B11419" s="8" t="str">
        <f>HYPERLINK("https://twitter.com/rkumar0325","@rkumar0325")</f>
        <v>@rkumar0325</v>
      </c>
      <c r="C11419" s="8" t="s">
        <v>1917</v>
      </c>
      <c r="D11419" s="8">
        <v>1422</v>
      </c>
      <c r="E11419" s="8">
        <v>0</v>
      </c>
      <c r="F11419" s="8">
        <v>118</v>
      </c>
    </row>
    <row r="11420" spans="1:6" ht="12.75">
      <c r="A11420" s="8">
        <v>43899.712650462963</v>
      </c>
      <c r="B11420" s="8" t="str">
        <f>HYPERLINK("https://twitter.com/Lightsavailable","@Lightsavailable")</f>
        <v>@Lightsavailable</v>
      </c>
      <c r="C11420" s="8" t="s">
        <v>1808</v>
      </c>
      <c r="D11420" s="8">
        <v>365</v>
      </c>
      <c r="E11420" s="8">
        <v>0</v>
      </c>
      <c r="F11420" s="8">
        <v>77</v>
      </c>
    </row>
    <row r="11421" spans="1:6" ht="12.75">
      <c r="A11421" s="8">
        <v>43899.712650462963</v>
      </c>
      <c r="B11421" s="8" t="str">
        <f>HYPERLINK("https://twitter.com/Roy29259419","@Roy29259419")</f>
        <v>@Roy29259419</v>
      </c>
      <c r="C11421" s="8" t="s">
        <v>4768</v>
      </c>
      <c r="D11421" s="8">
        <v>0</v>
      </c>
      <c r="E11421" s="8">
        <v>0</v>
      </c>
      <c r="F11421" s="8">
        <v>0</v>
      </c>
    </row>
    <row r="11422" spans="1:6" ht="12.75">
      <c r="A11422" s="8">
        <v>43899.712627314817</v>
      </c>
      <c r="B11422" s="8" t="str">
        <f>HYPERLINK("https://twitter.com/Ssh05350166","@Ssh05350166")</f>
        <v>@Ssh05350166</v>
      </c>
      <c r="C11422" s="8" t="s">
        <v>1957</v>
      </c>
      <c r="D11422" s="8">
        <v>439</v>
      </c>
      <c r="E11422" s="8">
        <v>0</v>
      </c>
      <c r="F11422" s="8">
        <v>92</v>
      </c>
    </row>
    <row r="11423" spans="1:6" ht="12.75">
      <c r="A11423" s="8">
        <v>43899.712604166663</v>
      </c>
      <c r="B11423" s="8" t="str">
        <f>HYPERLINK("https://twitter.com/tum_and_hum","@tum_and_hum")</f>
        <v>@tum_and_hum</v>
      </c>
      <c r="C11423" s="8" t="s">
        <v>1957</v>
      </c>
      <c r="D11423" s="8">
        <v>439</v>
      </c>
      <c r="E11423" s="8">
        <v>0</v>
      </c>
      <c r="F11423" s="8">
        <v>404</v>
      </c>
    </row>
    <row r="11424" spans="1:6" ht="12.75">
      <c r="A11424" s="8">
        <v>43899.712581018517</v>
      </c>
      <c r="B11424" s="8" t="str">
        <f>HYPERLINK("https://twitter.com/ylgkULAYIKzALHu","@ylgkULAYIKzALHu")</f>
        <v>@ylgkULAYIKzALHu</v>
      </c>
      <c r="C11424" s="8" t="s">
        <v>1957</v>
      </c>
      <c r="D11424" s="8">
        <v>439</v>
      </c>
      <c r="E11424" s="8">
        <v>0</v>
      </c>
      <c r="F11424" s="8">
        <v>13</v>
      </c>
    </row>
    <row r="11425" spans="1:6" ht="12.75">
      <c r="A11425" s="8">
        <v>43899.71256944444</v>
      </c>
      <c r="B11425" s="8" t="str">
        <f>HYPERLINK("https://twitter.com/UnHindustani","@UnHindustani")</f>
        <v>@UnHindustani</v>
      </c>
      <c r="C11425" s="8" t="s">
        <v>1957</v>
      </c>
      <c r="D11425" s="8">
        <v>439</v>
      </c>
      <c r="E11425" s="8">
        <v>0</v>
      </c>
      <c r="F11425" s="8">
        <v>5</v>
      </c>
    </row>
    <row r="11426" spans="1:6" ht="12.75">
      <c r="A11426" s="8">
        <v>43899.712534722217</v>
      </c>
      <c r="B11426" s="8" t="str">
        <f>HYPERLINK("https://twitter.com/visheshtanwar26","@visheshtanwar26")</f>
        <v>@visheshtanwar26</v>
      </c>
      <c r="C11426" s="8" t="s">
        <v>1957</v>
      </c>
      <c r="D11426" s="8">
        <v>439</v>
      </c>
      <c r="E11426" s="8">
        <v>0</v>
      </c>
      <c r="F11426" s="8">
        <v>901</v>
      </c>
    </row>
    <row r="11427" spans="1:6" ht="12.75">
      <c r="A11427" s="8">
        <v>43899.712511574078</v>
      </c>
      <c r="B11427" s="8" t="str">
        <f t="shared" ref="B11427:B11428" si="185">HYPERLINK("https://twitter.com/kumarjeevan73","@kumarjeevan73")</f>
        <v>@kumarjeevan73</v>
      </c>
      <c r="C11427" s="8" t="s">
        <v>1957</v>
      </c>
      <c r="D11427" s="8">
        <v>439</v>
      </c>
      <c r="E11427" s="8">
        <v>0</v>
      </c>
      <c r="F11427" s="8">
        <v>96</v>
      </c>
    </row>
    <row r="11428" spans="1:6" ht="12.75">
      <c r="A11428" s="8">
        <v>43899.712442129632</v>
      </c>
      <c r="B11428" s="8" t="str">
        <f t="shared" si="185"/>
        <v>@kumarjeevan73</v>
      </c>
      <c r="C11428" s="8" t="s">
        <v>1808</v>
      </c>
      <c r="D11428" s="8">
        <v>365</v>
      </c>
      <c r="E11428" s="8">
        <v>0</v>
      </c>
      <c r="F11428" s="8">
        <v>96</v>
      </c>
    </row>
    <row r="11429" spans="1:6" ht="12.75">
      <c r="A11429" s="8">
        <v>43899.712094907409</v>
      </c>
      <c r="B11429" s="8" t="str">
        <f>HYPERLINK("https://twitter.com/Sentjoko","@Sentjoko")</f>
        <v>@Sentjoko</v>
      </c>
      <c r="C11429" s="8" t="s">
        <v>4769</v>
      </c>
      <c r="D11429" s="8">
        <v>0</v>
      </c>
      <c r="E11429" s="8">
        <v>0</v>
      </c>
      <c r="F11429" s="8">
        <v>1579</v>
      </c>
    </row>
    <row r="11430" spans="1:6" ht="12.75">
      <c r="A11430" s="8">
        <v>43899.712071759262</v>
      </c>
      <c r="B11430" s="8" t="str">
        <f>HYPERLINK("https://twitter.com/TigerBrahmin121","@TigerBrahmin121")</f>
        <v>@TigerBrahmin121</v>
      </c>
      <c r="C11430" s="8" t="s">
        <v>1808</v>
      </c>
      <c r="D11430" s="8">
        <v>365</v>
      </c>
      <c r="E11430" s="8">
        <v>0</v>
      </c>
      <c r="F11430" s="8">
        <v>80</v>
      </c>
    </row>
    <row r="11431" spans="1:6" ht="12.75">
      <c r="A11431" s="8">
        <v>43899.712048611109</v>
      </c>
      <c r="B11431" s="8" t="str">
        <f>HYPERLINK("https://twitter.com/mahesh_kandwal","@mahesh_kandwal")</f>
        <v>@mahesh_kandwal</v>
      </c>
      <c r="C11431" s="8" t="s">
        <v>1808</v>
      </c>
      <c r="D11431" s="8">
        <v>365</v>
      </c>
      <c r="E11431" s="8">
        <v>0</v>
      </c>
      <c r="F11431" s="8">
        <v>136</v>
      </c>
    </row>
    <row r="11432" spans="1:6" ht="12.75">
      <c r="A11432" s="8">
        <v>43899.712037037039</v>
      </c>
      <c r="B11432" s="8" t="str">
        <f>HYPERLINK("https://twitter.com/manmauji_life","@manmauji_life")</f>
        <v>@manmauji_life</v>
      </c>
      <c r="C11432" s="8" t="s">
        <v>1957</v>
      </c>
      <c r="D11432" s="8">
        <v>439</v>
      </c>
      <c r="E11432" s="8">
        <v>0</v>
      </c>
      <c r="F11432" s="8">
        <v>103</v>
      </c>
    </row>
    <row r="11433" spans="1:6" ht="12.75">
      <c r="A11433" s="8">
        <v>43899.711898148147</v>
      </c>
      <c r="B11433" s="8" t="str">
        <f>HYPERLINK("https://twitter.com/ErvineKiddies","@ErvineKiddies")</f>
        <v>@ErvineKiddies</v>
      </c>
      <c r="C11433" s="8" t="s">
        <v>4770</v>
      </c>
      <c r="D11433" s="8">
        <v>0</v>
      </c>
      <c r="E11433" s="8">
        <v>2</v>
      </c>
      <c r="F11433" s="8">
        <v>884</v>
      </c>
    </row>
    <row r="11434" spans="1:6" ht="12.75">
      <c r="A11434" s="8">
        <v>43899.711770833332</v>
      </c>
      <c r="B11434" s="8" t="str">
        <f>HYPERLINK("https://twitter.com/mangalsingh29","@mangalsingh29")</f>
        <v>@mangalsingh29</v>
      </c>
      <c r="C11434" s="8" t="s">
        <v>1957</v>
      </c>
      <c r="D11434" s="8">
        <v>439</v>
      </c>
      <c r="E11434" s="8">
        <v>0</v>
      </c>
      <c r="F11434" s="8">
        <v>99</v>
      </c>
    </row>
    <row r="11435" spans="1:6" ht="12.75">
      <c r="A11435" s="8">
        <v>43899.711655092593</v>
      </c>
      <c r="B11435" s="8" t="str">
        <f>HYPERLINK("https://twitter.com/sachindixit2002","@sachindixit2002")</f>
        <v>@sachindixit2002</v>
      </c>
      <c r="C11435" s="8" t="s">
        <v>1808</v>
      </c>
      <c r="D11435" s="8">
        <v>365</v>
      </c>
      <c r="E11435" s="8">
        <v>0</v>
      </c>
      <c r="F11435" s="8">
        <v>715</v>
      </c>
    </row>
    <row r="11436" spans="1:6" ht="12.75">
      <c r="A11436" s="8">
        <v>43899.711631944447</v>
      </c>
      <c r="B11436" s="8" t="str">
        <f>HYPERLINK("https://twitter.com/saura_21","@saura_21")</f>
        <v>@saura_21</v>
      </c>
      <c r="C11436" s="8" t="s">
        <v>1957</v>
      </c>
      <c r="D11436" s="8">
        <v>439</v>
      </c>
      <c r="E11436" s="8">
        <v>0</v>
      </c>
      <c r="F11436" s="8">
        <v>61</v>
      </c>
    </row>
    <row r="11437" spans="1:6" ht="12.75">
      <c r="A11437" s="8">
        <v>43899.711458333331</v>
      </c>
      <c r="B11437" s="8" t="str">
        <f>HYPERLINK("https://twitter.com/TRULY_INDIAN_1","@TRULY_INDIAN_1")</f>
        <v>@TRULY_INDIAN_1</v>
      </c>
      <c r="C11437" s="8" t="s">
        <v>1957</v>
      </c>
      <c r="D11437" s="8">
        <v>439</v>
      </c>
      <c r="E11437" s="8">
        <v>0</v>
      </c>
      <c r="F11437" s="8">
        <v>89</v>
      </c>
    </row>
    <row r="11438" spans="1:6" ht="12.75">
      <c r="A11438" s="8">
        <v>43899.711377314816</v>
      </c>
      <c r="B11438" s="8" t="str">
        <f>HYPERLINK("https://twitter.com/_philalethes_","@_philalethes_")</f>
        <v>@_philalethes_</v>
      </c>
      <c r="C11438" s="8" t="s">
        <v>1957</v>
      </c>
      <c r="D11438" s="8">
        <v>439</v>
      </c>
      <c r="E11438" s="8">
        <v>0</v>
      </c>
      <c r="F11438" s="8">
        <v>499</v>
      </c>
    </row>
    <row r="11439" spans="1:6" ht="12.75">
      <c r="A11439" s="8">
        <v>43899.711273148147</v>
      </c>
      <c r="B11439" s="8" t="str">
        <f>HYPERLINK("https://twitter.com/abhaytewari1964","@abhaytewari1964")</f>
        <v>@abhaytewari1964</v>
      </c>
      <c r="C11439" s="8" t="s">
        <v>1957</v>
      </c>
      <c r="D11439" s="8">
        <v>439</v>
      </c>
      <c r="E11439" s="8">
        <v>0</v>
      </c>
      <c r="F11439" s="8">
        <v>73</v>
      </c>
    </row>
    <row r="11440" spans="1:6" ht="12.75">
      <c r="A11440" s="8">
        <v>43899.711076388892</v>
      </c>
      <c r="B11440" s="8" t="str">
        <f>HYPERLINK("https://twitter.com/KerongKerang","@KerongKerang")</f>
        <v>@KerongKerang</v>
      </c>
      <c r="C11440" s="8" t="s">
        <v>4771</v>
      </c>
      <c r="D11440" s="8">
        <v>0</v>
      </c>
      <c r="E11440" s="8">
        <v>0</v>
      </c>
      <c r="F11440" s="8">
        <v>122</v>
      </c>
    </row>
    <row r="11441" spans="1:6" ht="12.75">
      <c r="A11441" s="8">
        <v>43899.711041666669</v>
      </c>
      <c r="B11441" s="8" t="str">
        <f>HYPERLINK("https://twitter.com/anilbpurva","@anilbpurva")</f>
        <v>@anilbpurva</v>
      </c>
      <c r="C11441" s="8" t="s">
        <v>1808</v>
      </c>
      <c r="D11441" s="8">
        <v>365</v>
      </c>
      <c r="E11441" s="8">
        <v>0</v>
      </c>
      <c r="F11441" s="8">
        <v>50</v>
      </c>
    </row>
    <row r="11442" spans="1:6" ht="12.75">
      <c r="A11442" s="8">
        <v>43899.711006944446</v>
      </c>
      <c r="B11442" s="8" t="str">
        <f>HYPERLINK("https://twitter.com/eka_dini722","@eka_dini722")</f>
        <v>@eka_dini722</v>
      </c>
      <c r="C11442" s="8" t="s">
        <v>4579</v>
      </c>
      <c r="D11442" s="8">
        <v>24</v>
      </c>
      <c r="E11442" s="8">
        <v>0</v>
      </c>
      <c r="F11442" s="8">
        <v>2459</v>
      </c>
    </row>
    <row r="11443" spans="1:6" ht="12.75">
      <c r="A11443" s="8">
        <v>43899.71092592593</v>
      </c>
      <c r="B11443" s="8" t="str">
        <f>HYPERLINK("https://twitter.com/raymond_frans","@raymond_frans")</f>
        <v>@raymond_frans</v>
      </c>
      <c r="C11443" s="8" t="s">
        <v>4772</v>
      </c>
      <c r="D11443" s="8">
        <v>0</v>
      </c>
      <c r="E11443" s="8">
        <v>1</v>
      </c>
      <c r="F11443" s="8">
        <v>380</v>
      </c>
    </row>
    <row r="11444" spans="1:6" ht="12.75">
      <c r="A11444" s="8">
        <v>43899.710833333331</v>
      </c>
      <c r="B11444" s="8" t="str">
        <f>HYPERLINK("https://twitter.com/sanjaytiku","@sanjaytiku")</f>
        <v>@sanjaytiku</v>
      </c>
      <c r="C11444" s="8" t="s">
        <v>1917</v>
      </c>
      <c r="D11444" s="8">
        <v>1422</v>
      </c>
      <c r="E11444" s="8">
        <v>0</v>
      </c>
      <c r="F11444" s="8">
        <v>369</v>
      </c>
    </row>
    <row r="11445" spans="1:6" ht="12.75">
      <c r="A11445" s="8">
        <v>43899.710659722223</v>
      </c>
      <c r="B11445" s="8" t="str">
        <f>HYPERLINK("https://twitter.com/shyamu_75","@shyamu_75")</f>
        <v>@shyamu_75</v>
      </c>
      <c r="C11445" s="8" t="s">
        <v>1808</v>
      </c>
      <c r="D11445" s="8">
        <v>365</v>
      </c>
      <c r="E11445" s="8">
        <v>0</v>
      </c>
      <c r="F11445" s="8">
        <v>81</v>
      </c>
    </row>
    <row r="11446" spans="1:6" ht="12.75">
      <c r="A11446" s="8">
        <v>43899.710636574076</v>
      </c>
      <c r="B11446" s="8" t="str">
        <f>HYPERLINK("https://twitter.com/DrMahima3","@DrMahima3")</f>
        <v>@DrMahima3</v>
      </c>
      <c r="C11446" s="8" t="s">
        <v>1957</v>
      </c>
      <c r="D11446" s="8">
        <v>439</v>
      </c>
      <c r="E11446" s="8">
        <v>0</v>
      </c>
      <c r="F11446" s="8">
        <v>116</v>
      </c>
    </row>
    <row r="11447" spans="1:6" ht="12.75">
      <c r="A11447" s="8">
        <v>43899.710613425923</v>
      </c>
      <c r="B11447" s="8" t="str">
        <f>HYPERLINK("https://twitter.com/05d95a682cea478","@05d95a682cea478")</f>
        <v>@05d95a682cea478</v>
      </c>
      <c r="C11447" s="8" t="s">
        <v>4773</v>
      </c>
      <c r="D11447" s="8">
        <v>0</v>
      </c>
      <c r="E11447" s="8">
        <v>0</v>
      </c>
      <c r="F11447" s="8">
        <v>15</v>
      </c>
    </row>
    <row r="11448" spans="1:6" ht="12.75">
      <c r="A11448" s="8">
        <v>43899.710601851853</v>
      </c>
      <c r="B11448" s="8" t="str">
        <f>HYPERLINK("https://twitter.com/rajshri_mahtani","@rajshri_mahtani")</f>
        <v>@rajshri_mahtani</v>
      </c>
      <c r="C11448" s="8" t="s">
        <v>1957</v>
      </c>
      <c r="D11448" s="8">
        <v>439</v>
      </c>
      <c r="E11448" s="8">
        <v>0</v>
      </c>
      <c r="F11448" s="8">
        <v>803</v>
      </c>
    </row>
    <row r="11449" spans="1:6" ht="12.75">
      <c r="A11449" s="8">
        <v>43899.710555555561</v>
      </c>
      <c r="B11449" s="8" t="str">
        <f>HYPERLINK("https://twitter.com/vivekramanreddy","@vivekramanreddy")</f>
        <v>@vivekramanreddy</v>
      </c>
      <c r="C11449" s="8" t="s">
        <v>1957</v>
      </c>
      <c r="D11449" s="8">
        <v>439</v>
      </c>
      <c r="E11449" s="8">
        <v>0</v>
      </c>
      <c r="F11449" s="8">
        <v>36</v>
      </c>
    </row>
    <row r="11450" spans="1:6" ht="12.75">
      <c r="A11450" s="8">
        <v>43899.710509259261</v>
      </c>
      <c r="B11450" s="8" t="str">
        <f>HYPERLINK("https://twitter.com/vaibhav_bari_09","@vaibhav_bari_09")</f>
        <v>@vaibhav_bari_09</v>
      </c>
      <c r="C11450" s="8" t="s">
        <v>1808</v>
      </c>
      <c r="D11450" s="8">
        <v>365</v>
      </c>
      <c r="E11450" s="8">
        <v>0</v>
      </c>
      <c r="F11450" s="8">
        <v>97</v>
      </c>
    </row>
    <row r="11451" spans="1:6" ht="12.75">
      <c r="A11451" s="8">
        <v>43899.710474537038</v>
      </c>
      <c r="B11451" s="8" t="str">
        <f>HYPERLINK("https://twitter.com/OfficeOfSA","@OfficeOfSA")</f>
        <v>@OfficeOfSA</v>
      </c>
      <c r="C11451" s="8" t="s">
        <v>1957</v>
      </c>
      <c r="D11451" s="8">
        <v>439</v>
      </c>
      <c r="E11451" s="8">
        <v>0</v>
      </c>
      <c r="F11451" s="8">
        <v>550</v>
      </c>
    </row>
    <row r="11452" spans="1:6" ht="12.75">
      <c r="A11452" s="8">
        <v>43899.710324074069</v>
      </c>
      <c r="B11452" s="8" t="str">
        <f>HYPERLINK("https://twitter.com/LukmanHarijanto","@LukmanHarijanto")</f>
        <v>@LukmanHarijanto</v>
      </c>
      <c r="C11452" s="8" t="s">
        <v>4774</v>
      </c>
      <c r="D11452" s="8">
        <v>0</v>
      </c>
      <c r="E11452" s="8">
        <v>0</v>
      </c>
      <c r="F11452" s="8">
        <v>1025</v>
      </c>
    </row>
    <row r="11453" spans="1:6" ht="12.75">
      <c r="A11453" s="8">
        <v>43899.710266203707</v>
      </c>
      <c r="B11453" s="8" t="str">
        <f>HYPERLINK("https://twitter.com/Shailenndra","@Shailenndra")</f>
        <v>@Shailenndra</v>
      </c>
      <c r="C11453" s="8" t="s">
        <v>1957</v>
      </c>
      <c r="D11453" s="8">
        <v>439</v>
      </c>
      <c r="E11453" s="8">
        <v>0</v>
      </c>
      <c r="F11453" s="8">
        <v>156</v>
      </c>
    </row>
    <row r="11454" spans="1:6" ht="12.75">
      <c r="A11454" s="8">
        <v>43899.710150462968</v>
      </c>
      <c r="B11454" s="8" t="str">
        <f>HYPERLINK("https://twitter.com/Roy29259419","@Roy29259419")</f>
        <v>@Roy29259419</v>
      </c>
      <c r="C11454" s="8" t="s">
        <v>4775</v>
      </c>
      <c r="D11454" s="8">
        <v>0</v>
      </c>
      <c r="E11454" s="8">
        <v>0</v>
      </c>
      <c r="F11454" s="8">
        <v>0</v>
      </c>
    </row>
    <row r="11455" spans="1:6" ht="12.75">
      <c r="A11455" s="8">
        <v>43899.710138888884</v>
      </c>
      <c r="B11455" s="8" t="str">
        <f>HYPERLINK("https://twitter.com/SidharthSuman19","@SidharthSuman19")</f>
        <v>@SidharthSuman19</v>
      </c>
      <c r="C11455" s="8" t="s">
        <v>1957</v>
      </c>
      <c r="D11455" s="8">
        <v>439</v>
      </c>
      <c r="E11455" s="8">
        <v>0</v>
      </c>
      <c r="F11455" s="8">
        <v>6</v>
      </c>
    </row>
    <row r="11456" spans="1:6" ht="12.75">
      <c r="A11456" s="8">
        <v>43899.710046296299</v>
      </c>
      <c r="B11456" s="8" t="str">
        <f>HYPERLINK("https://twitter.com/AsbunBudiman","@AsbunBudiman")</f>
        <v>@AsbunBudiman</v>
      </c>
      <c r="C11456" s="8" t="s">
        <v>4776</v>
      </c>
      <c r="D11456" s="8">
        <v>0</v>
      </c>
      <c r="E11456" s="8">
        <v>0</v>
      </c>
      <c r="F11456" s="8">
        <v>10</v>
      </c>
    </row>
    <row r="11457" spans="1:6" ht="12.75">
      <c r="A11457" s="8">
        <v>43899.709953703699</v>
      </c>
      <c r="B11457" s="8" t="str">
        <f>HYPERLINK("https://twitter.com/AnnaKur34179103","@AnnaKur34179103")</f>
        <v>@AnnaKur34179103</v>
      </c>
      <c r="C11457" s="8" t="s">
        <v>3262</v>
      </c>
      <c r="D11457" s="8">
        <v>171</v>
      </c>
      <c r="E11457" s="8">
        <v>0</v>
      </c>
      <c r="F11457" s="8">
        <v>645</v>
      </c>
    </row>
    <row r="11458" spans="1:6" ht="12.75">
      <c r="A11458" s="8">
        <v>43899.70988425926</v>
      </c>
      <c r="B11458" s="8" t="str">
        <f>HYPERLINK("https://twitter.com/MohatarmaFasaad","@MohatarmaFasaad")</f>
        <v>@MohatarmaFasaad</v>
      </c>
      <c r="C11458" s="8" t="s">
        <v>1917</v>
      </c>
      <c r="D11458" s="8">
        <v>1422</v>
      </c>
      <c r="E11458" s="8">
        <v>0</v>
      </c>
      <c r="F11458" s="8">
        <v>93</v>
      </c>
    </row>
    <row r="11459" spans="1:6" ht="12.75">
      <c r="A11459" s="8">
        <v>43899.709803240738</v>
      </c>
      <c r="B11459" s="8" t="str">
        <f>HYPERLINK("https://twitter.com/SULIS_TIO77","@SULIS_TIO77")</f>
        <v>@SULIS_TIO77</v>
      </c>
      <c r="C11459" s="8" t="s">
        <v>4777</v>
      </c>
      <c r="D11459" s="8">
        <v>7</v>
      </c>
      <c r="E11459" s="8">
        <v>0</v>
      </c>
      <c r="F11459" s="8">
        <v>1602</v>
      </c>
    </row>
    <row r="11460" spans="1:6" ht="12.75">
      <c r="A11460" s="8">
        <v>43899.709641203706</v>
      </c>
      <c r="B11460" s="8" t="str">
        <f>HYPERLINK("https://twitter.com/Abede_fghi","@Abede_fghi")</f>
        <v>@Abede_fghi</v>
      </c>
      <c r="C11460" s="8" t="s">
        <v>4778</v>
      </c>
      <c r="D11460" s="8">
        <v>16</v>
      </c>
      <c r="E11460" s="8">
        <v>0</v>
      </c>
      <c r="F11460" s="8">
        <v>202</v>
      </c>
    </row>
    <row r="11461" spans="1:6" ht="12.75">
      <c r="A11461" s="8">
        <v>43899.709594907406</v>
      </c>
      <c r="B11461" s="8" t="str">
        <f>HYPERLINK("https://twitter.com/BalliaticBabu","@BalliaticBabu")</f>
        <v>@BalliaticBabu</v>
      </c>
      <c r="C11461" s="8" t="s">
        <v>1957</v>
      </c>
      <c r="D11461" s="8">
        <v>439</v>
      </c>
      <c r="E11461" s="8">
        <v>0</v>
      </c>
      <c r="F11461" s="8">
        <v>196</v>
      </c>
    </row>
    <row r="11462" spans="1:6" ht="12.75">
      <c r="A11462" s="8">
        <v>43899.709398148145</v>
      </c>
      <c r="B11462" s="8" t="str">
        <f>HYPERLINK("https://twitter.com/anandv7580","@anandv7580")</f>
        <v>@anandv7580</v>
      </c>
      <c r="C11462" s="8" t="s">
        <v>1957</v>
      </c>
      <c r="D11462" s="8">
        <v>439</v>
      </c>
      <c r="E11462" s="8">
        <v>0</v>
      </c>
      <c r="F11462" s="8">
        <v>14</v>
      </c>
    </row>
    <row r="11463" spans="1:6" ht="12.75">
      <c r="A11463" s="8">
        <v>43899.709386574075</v>
      </c>
      <c r="B11463" s="8" t="str">
        <f>HYPERLINK("https://twitter.com/sanjay_111","@sanjay_111")</f>
        <v>@sanjay_111</v>
      </c>
      <c r="C11463" s="8" t="s">
        <v>1957</v>
      </c>
      <c r="D11463" s="8">
        <v>439</v>
      </c>
      <c r="E11463" s="8">
        <v>0</v>
      </c>
      <c r="F11463" s="8">
        <v>196</v>
      </c>
    </row>
    <row r="11464" spans="1:6" ht="12.75">
      <c r="A11464" s="8">
        <v>43899.709328703699</v>
      </c>
      <c r="B11464" s="8" t="str">
        <f>HYPERLINK("https://twitter.com/DiAltoK10","@DiAltoK10")</f>
        <v>@DiAltoK10</v>
      </c>
      <c r="C11464" s="8" t="s">
        <v>1808</v>
      </c>
      <c r="D11464" s="8">
        <v>365</v>
      </c>
      <c r="E11464" s="8">
        <v>0</v>
      </c>
      <c r="F11464" s="8">
        <v>522</v>
      </c>
    </row>
    <row r="11465" spans="1:6" ht="12.75">
      <c r="A11465" s="8">
        <v>43899.709224537037</v>
      </c>
      <c r="B11465" s="8" t="str">
        <f>HYPERLINK("https://twitter.com/Slea_Zilla","@Slea_Zilla")</f>
        <v>@Slea_Zilla</v>
      </c>
      <c r="C11465" s="8" t="s">
        <v>1957</v>
      </c>
      <c r="D11465" s="8">
        <v>439</v>
      </c>
      <c r="E11465" s="8">
        <v>0</v>
      </c>
      <c r="F11465" s="8">
        <v>209</v>
      </c>
    </row>
    <row r="11466" spans="1:6" ht="12.75">
      <c r="A11466" s="8">
        <v>43899.70921296296</v>
      </c>
      <c r="B11466" s="8" t="str">
        <f>HYPERLINK("https://twitter.com/Naveen701","@Naveen701")</f>
        <v>@Naveen701</v>
      </c>
      <c r="C11466" s="8" t="s">
        <v>1808</v>
      </c>
      <c r="D11466" s="8">
        <v>365</v>
      </c>
      <c r="E11466" s="8">
        <v>0</v>
      </c>
      <c r="F11466" s="8">
        <v>3561</v>
      </c>
    </row>
    <row r="11467" spans="1:6" ht="12.75">
      <c r="A11467" s="8">
        <v>43899.709155092598</v>
      </c>
      <c r="B11467" s="8" t="str">
        <f>HYPERLINK("https://twitter.com/DhirajS22443395","@DhirajS22443395")</f>
        <v>@DhirajS22443395</v>
      </c>
      <c r="C11467" s="8" t="s">
        <v>1808</v>
      </c>
      <c r="D11467" s="8">
        <v>365</v>
      </c>
      <c r="E11467" s="8">
        <v>0</v>
      </c>
      <c r="F11467" s="8">
        <v>314</v>
      </c>
    </row>
    <row r="11468" spans="1:6" ht="12.75">
      <c r="A11468" s="8">
        <v>43899.709004629629</v>
      </c>
      <c r="B11468" s="8" t="str">
        <f>HYPERLINK("https://twitter.com/anditoaja","@anditoaja")</f>
        <v>@anditoaja</v>
      </c>
      <c r="C11468" s="8" t="s">
        <v>4779</v>
      </c>
      <c r="D11468" s="8">
        <v>0</v>
      </c>
      <c r="E11468" s="8">
        <v>0</v>
      </c>
      <c r="F11468" s="8">
        <v>1473</v>
      </c>
    </row>
    <row r="11469" spans="1:6" ht="12.75">
      <c r="A11469" s="8">
        <v>43899.70893518519</v>
      </c>
      <c r="B11469" s="8" t="str">
        <f>HYPERLINK("https://twitter.com/KerongKerang","@KerongKerang")</f>
        <v>@KerongKerang</v>
      </c>
      <c r="C11469" s="8" t="s">
        <v>4780</v>
      </c>
      <c r="D11469" s="8">
        <v>0</v>
      </c>
      <c r="E11469" s="8">
        <v>0</v>
      </c>
      <c r="F11469" s="8">
        <v>122</v>
      </c>
    </row>
    <row r="11470" spans="1:6" ht="12.75">
      <c r="A11470" s="8">
        <v>43899.708831018521</v>
      </c>
      <c r="B11470" s="8" t="str">
        <f>HYPERLINK("https://twitter.com/solotrustcom","@solotrustcom")</f>
        <v>@solotrustcom</v>
      </c>
      <c r="C11470" s="8" t="s">
        <v>4781</v>
      </c>
      <c r="D11470" s="8">
        <v>0</v>
      </c>
      <c r="E11470" s="8">
        <v>0</v>
      </c>
      <c r="F11470" s="8">
        <v>130</v>
      </c>
    </row>
    <row r="11471" spans="1:6" ht="12.75">
      <c r="A11471" s="8">
        <v>43899.708807870367</v>
      </c>
      <c r="B11471" s="8" t="str">
        <f>HYPERLINK("https://twitter.com/AkashRaja365","@AkashRaja365")</f>
        <v>@AkashRaja365</v>
      </c>
      <c r="C11471" s="8" t="s">
        <v>1808</v>
      </c>
      <c r="D11471" s="8">
        <v>365</v>
      </c>
      <c r="E11471" s="8">
        <v>0</v>
      </c>
      <c r="F11471" s="8">
        <v>304</v>
      </c>
    </row>
    <row r="11472" spans="1:6" ht="12.75">
      <c r="A11472" s="8">
        <v>43899.708784722221</v>
      </c>
      <c r="B11472" s="8" t="str">
        <f>HYPERLINK("https://twitter.com/Nadya96562589","@Nadya96562589")</f>
        <v>@Nadya96562589</v>
      </c>
      <c r="C11472" s="8" t="s">
        <v>3265</v>
      </c>
      <c r="D11472" s="8">
        <v>536</v>
      </c>
      <c r="E11472" s="8">
        <v>0</v>
      </c>
      <c r="F11472" s="8">
        <v>104</v>
      </c>
    </row>
    <row r="11473" spans="1:6" ht="12.75">
      <c r="A11473" s="8">
        <v>43899.708750000005</v>
      </c>
      <c r="B11473" s="8" t="str">
        <f>HYPERLINK("https://twitter.com/imgautam_pn","@imgautam_pn")</f>
        <v>@imgautam_pn</v>
      </c>
      <c r="C11473" s="8" t="s">
        <v>1957</v>
      </c>
      <c r="D11473" s="8">
        <v>439</v>
      </c>
      <c r="E11473" s="8">
        <v>0</v>
      </c>
      <c r="F11473" s="8">
        <v>265</v>
      </c>
    </row>
    <row r="11474" spans="1:6" ht="12.75">
      <c r="A11474" s="8">
        <v>43899.708668981482</v>
      </c>
      <c r="B11474" s="8" t="str">
        <f>HYPERLINK("https://twitter.com/tej27misra","@tej27misra")</f>
        <v>@tej27misra</v>
      </c>
      <c r="C11474" s="8" t="s">
        <v>1808</v>
      </c>
      <c r="D11474" s="8">
        <v>365</v>
      </c>
      <c r="E11474" s="8">
        <v>0</v>
      </c>
      <c r="F11474" s="8">
        <v>70</v>
      </c>
    </row>
    <row r="11475" spans="1:6" ht="12.75">
      <c r="A11475" s="8">
        <v>43899.708657407406</v>
      </c>
      <c r="B11475" s="8" t="str">
        <f>HYPERLINK("https://twitter.com/Arunkumar9727","@Arunkumar9727")</f>
        <v>@Arunkumar9727</v>
      </c>
      <c r="C11475" s="8" t="s">
        <v>1808</v>
      </c>
      <c r="D11475" s="8">
        <v>365</v>
      </c>
      <c r="E11475" s="8">
        <v>0</v>
      </c>
      <c r="F11475" s="8">
        <v>1431</v>
      </c>
    </row>
    <row r="11476" spans="1:6" ht="12.75">
      <c r="A11476" s="8">
        <v>43899.708634259259</v>
      </c>
      <c r="B11476" s="8" t="str">
        <f>HYPERLINK("https://twitter.com/dheathebear","@dheathebear")</f>
        <v>@dheathebear</v>
      </c>
      <c r="C11476" s="8" t="s">
        <v>4782</v>
      </c>
      <c r="D11476" s="8">
        <v>0</v>
      </c>
      <c r="E11476" s="8">
        <v>1</v>
      </c>
      <c r="F11476" s="8">
        <v>515</v>
      </c>
    </row>
    <row r="11477" spans="1:6" ht="12.75">
      <c r="A11477" s="8">
        <v>43899.708611111113</v>
      </c>
      <c r="B11477" s="8" t="str">
        <f>HYPERLINK("https://twitter.com/firozeGandhi","@firozeGandhi")</f>
        <v>@firozeGandhi</v>
      </c>
      <c r="C11477" s="8" t="s">
        <v>1957</v>
      </c>
      <c r="D11477" s="8">
        <v>439</v>
      </c>
      <c r="E11477" s="8">
        <v>0</v>
      </c>
      <c r="F11477" s="8">
        <v>93</v>
      </c>
    </row>
    <row r="11478" spans="1:6" ht="12.75">
      <c r="A11478" s="8">
        <v>43899.708553240736</v>
      </c>
      <c r="B11478" s="8" t="str">
        <f>HYPERLINK("https://twitter.com/Guruskbd","@Guruskbd")</f>
        <v>@Guruskbd</v>
      </c>
      <c r="C11478" s="8" t="s">
        <v>1957</v>
      </c>
      <c r="D11478" s="8">
        <v>439</v>
      </c>
      <c r="E11478" s="8">
        <v>0</v>
      </c>
      <c r="F11478" s="8">
        <v>304</v>
      </c>
    </row>
    <row r="11479" spans="1:6" ht="12.75">
      <c r="A11479" s="8">
        <v>43899.708553240736</v>
      </c>
      <c r="B11479" s="8" t="str">
        <f>HYPERLINK("https://twitter.com/sir_prabesh","@sir_prabesh")</f>
        <v>@sir_prabesh</v>
      </c>
      <c r="C11479" s="8" t="s">
        <v>1808</v>
      </c>
      <c r="D11479" s="8">
        <v>365</v>
      </c>
      <c r="E11479" s="8">
        <v>0</v>
      </c>
      <c r="F11479" s="8">
        <v>2541</v>
      </c>
    </row>
    <row r="11480" spans="1:6" ht="12.75">
      <c r="A11480" s="8">
        <v>43899.708530092597</v>
      </c>
      <c r="B11480" s="8" t="str">
        <f>HYPERLINK("https://twitter.com/RanjiniTam","@RanjiniTam")</f>
        <v>@RanjiniTam</v>
      </c>
      <c r="C11480" s="8" t="s">
        <v>1808</v>
      </c>
      <c r="D11480" s="8">
        <v>365</v>
      </c>
      <c r="E11480" s="8">
        <v>0</v>
      </c>
      <c r="F11480" s="8">
        <v>139</v>
      </c>
    </row>
    <row r="11481" spans="1:6" ht="12.75">
      <c r="A11481" s="8">
        <v>43899.708518518513</v>
      </c>
      <c r="B11481" s="8" t="str">
        <f>HYPERLINK("https://twitter.com/srajwadi","@srajwadi")</f>
        <v>@srajwadi</v>
      </c>
      <c r="C11481" s="8" t="s">
        <v>1957</v>
      </c>
      <c r="D11481" s="8">
        <v>439</v>
      </c>
      <c r="E11481" s="8">
        <v>0</v>
      </c>
      <c r="F11481" s="8">
        <v>329</v>
      </c>
    </row>
    <row r="11482" spans="1:6" ht="12.75">
      <c r="A11482" s="8">
        <v>43899.708483796298</v>
      </c>
      <c r="B11482" s="8" t="str">
        <f>HYPERLINK("https://twitter.com/IndianAvenger2","@IndianAvenger2")</f>
        <v>@IndianAvenger2</v>
      </c>
      <c r="C11482" s="8" t="s">
        <v>1957</v>
      </c>
      <c r="D11482" s="8">
        <v>439</v>
      </c>
      <c r="E11482" s="8">
        <v>0</v>
      </c>
      <c r="F11482" s="8">
        <v>8</v>
      </c>
    </row>
    <row r="11483" spans="1:6" ht="12.75">
      <c r="A11483" s="8">
        <v>43899.708425925928</v>
      </c>
      <c r="B11483" s="8" t="str">
        <f>HYPERLINK("https://twitter.com/amit_kulkarni19","@amit_kulkarni19")</f>
        <v>@amit_kulkarni19</v>
      </c>
      <c r="C11483" s="8" t="s">
        <v>1957</v>
      </c>
      <c r="D11483" s="8">
        <v>439</v>
      </c>
      <c r="E11483" s="8">
        <v>0</v>
      </c>
      <c r="F11483" s="8">
        <v>13</v>
      </c>
    </row>
    <row r="11484" spans="1:6" ht="12.75">
      <c r="A11484" s="8">
        <v>43899.708391203705</v>
      </c>
      <c r="B11484" s="8" t="str">
        <f>HYPERLINK("https://twitter.com/dr_ramjyani","@dr_ramjyani")</f>
        <v>@dr_ramjyani</v>
      </c>
      <c r="C11484" s="8" t="s">
        <v>1957</v>
      </c>
      <c r="D11484" s="8">
        <v>439</v>
      </c>
      <c r="E11484" s="8">
        <v>0</v>
      </c>
      <c r="F11484" s="8">
        <v>25</v>
      </c>
    </row>
    <row r="11485" spans="1:6" ht="12.75">
      <c r="A11485" s="8">
        <v>43899.708379629628</v>
      </c>
      <c r="B11485" s="8" t="str">
        <f>HYPERLINK("https://twitter.com/jiaiur","@jiaiur")</f>
        <v>@jiaiur</v>
      </c>
      <c r="C11485" s="8" t="s">
        <v>4783</v>
      </c>
      <c r="D11485" s="8">
        <v>0</v>
      </c>
      <c r="E11485" s="8">
        <v>0</v>
      </c>
      <c r="F11485" s="8">
        <v>379</v>
      </c>
    </row>
    <row r="11486" spans="1:6" ht="12.75">
      <c r="A11486" s="8">
        <v>43899.708321759259</v>
      </c>
      <c r="B11486" s="8" t="str">
        <f>HYPERLINK("https://twitter.com/Amanpr_t","@Amanpr_t")</f>
        <v>@Amanpr_t</v>
      </c>
      <c r="C11486" s="8" t="s">
        <v>1808</v>
      </c>
      <c r="D11486" s="8">
        <v>365</v>
      </c>
      <c r="E11486" s="8">
        <v>0</v>
      </c>
      <c r="F11486" s="8">
        <v>139</v>
      </c>
    </row>
    <row r="11487" spans="1:6" ht="12.75">
      <c r="A11487" s="8">
        <v>43899.708067129628</v>
      </c>
      <c r="B11487" s="8" t="str">
        <f>HYPERLINK("https://twitter.com/Y2j4083","@Y2j4083")</f>
        <v>@Y2j4083</v>
      </c>
      <c r="C11487" s="8" t="s">
        <v>1957</v>
      </c>
      <c r="D11487" s="8">
        <v>439</v>
      </c>
      <c r="E11487" s="8">
        <v>0</v>
      </c>
      <c r="F11487" s="8">
        <v>1219</v>
      </c>
    </row>
    <row r="11488" spans="1:6" ht="12.75">
      <c r="A11488" s="8">
        <v>43899.707905092597</v>
      </c>
      <c r="B11488" s="8" t="str">
        <f>HYPERLINK("https://twitter.com/ManishG62466396","@ManishG62466396")</f>
        <v>@ManishG62466396</v>
      </c>
      <c r="C11488" s="8" t="s">
        <v>1957</v>
      </c>
      <c r="D11488" s="8">
        <v>439</v>
      </c>
      <c r="E11488" s="8">
        <v>0</v>
      </c>
      <c r="F11488" s="8">
        <v>1096</v>
      </c>
    </row>
    <row r="11489" spans="1:6" ht="12.75">
      <c r="A11489" s="8">
        <v>43899.707800925928</v>
      </c>
      <c r="B11489" s="8" t="str">
        <f>HYPERLINK("https://twitter.com/yessyryan","@yessyryan")</f>
        <v>@yessyryan</v>
      </c>
      <c r="C11489" s="8" t="s">
        <v>3405</v>
      </c>
      <c r="D11489" s="8">
        <v>87</v>
      </c>
      <c r="E11489" s="8">
        <v>0</v>
      </c>
      <c r="F11489" s="8">
        <v>109</v>
      </c>
    </row>
    <row r="11490" spans="1:6" ht="12.75">
      <c r="A11490" s="8">
        <v>43899.707372685181</v>
      </c>
      <c r="B11490" s="8" t="str">
        <f>HYPERLINK("https://twitter.com/devashi36451209","@devashi36451209")</f>
        <v>@devashi36451209</v>
      </c>
      <c r="C11490" s="8" t="s">
        <v>4784</v>
      </c>
      <c r="D11490" s="8">
        <v>1</v>
      </c>
      <c r="E11490" s="8">
        <v>0</v>
      </c>
      <c r="F11490" s="8">
        <v>477</v>
      </c>
    </row>
    <row r="11491" spans="1:6" ht="12.75">
      <c r="A11491" s="8">
        <v>43899.707361111112</v>
      </c>
      <c r="B11491" s="8" t="str">
        <f>HYPERLINK("https://twitter.com/LauraFadillah1","@LauraFadillah1")</f>
        <v>@LauraFadillah1</v>
      </c>
      <c r="C11491" s="8" t="s">
        <v>3126</v>
      </c>
      <c r="D11491" s="8">
        <v>211</v>
      </c>
      <c r="E11491" s="8">
        <v>0</v>
      </c>
      <c r="F11491" s="8">
        <v>424</v>
      </c>
    </row>
    <row r="11492" spans="1:6" ht="12.75">
      <c r="A11492" s="8">
        <v>43899.707314814819</v>
      </c>
      <c r="B11492" s="8" t="str">
        <f>HYPERLINK("https://twitter.com/rajs51","@rajs51")</f>
        <v>@rajs51</v>
      </c>
      <c r="C11492" s="8" t="s">
        <v>1808</v>
      </c>
      <c r="D11492" s="8">
        <v>365</v>
      </c>
      <c r="E11492" s="8">
        <v>0</v>
      </c>
      <c r="F11492" s="8">
        <v>440</v>
      </c>
    </row>
    <row r="11493" spans="1:6" ht="12.75">
      <c r="A11493" s="8">
        <v>43899.707280092596</v>
      </c>
      <c r="B11493" s="8" t="str">
        <f>HYPERLINK("https://twitter.com/UnEarthShastra","@UnEarthShastra")</f>
        <v>@UnEarthShastra</v>
      </c>
      <c r="C11493" s="8" t="s">
        <v>1957</v>
      </c>
      <c r="D11493" s="8">
        <v>439</v>
      </c>
      <c r="E11493" s="8">
        <v>0</v>
      </c>
      <c r="F11493" s="8">
        <v>42</v>
      </c>
    </row>
    <row r="11494" spans="1:6" ht="12.75">
      <c r="A11494" s="8">
        <v>43899.673495370371</v>
      </c>
      <c r="B11494" s="8" t="str">
        <f>HYPERLINK("https://twitter.com/loveurblood","@loveurblood")</f>
        <v>@loveurblood</v>
      </c>
      <c r="C11494" s="8" t="s">
        <v>1808</v>
      </c>
      <c r="D11494" s="8">
        <v>22</v>
      </c>
      <c r="E11494" s="8">
        <v>0</v>
      </c>
      <c r="F11494" s="8">
        <v>348</v>
      </c>
    </row>
    <row r="11495" spans="1:6" ht="12.75">
      <c r="A11495" s="8">
        <v>43899.673425925925</v>
      </c>
      <c r="B11495" s="8" t="str">
        <f>HYPERLINK("https://twitter.com/VenkatNarayan80","@VenkatNarayan80")</f>
        <v>@VenkatNarayan80</v>
      </c>
      <c r="C11495" s="8" t="s">
        <v>1808</v>
      </c>
      <c r="D11495" s="8">
        <v>22</v>
      </c>
      <c r="E11495" s="8">
        <v>0</v>
      </c>
      <c r="F11495" s="8">
        <v>604</v>
      </c>
    </row>
    <row r="11496" spans="1:6" ht="12.75">
      <c r="A11496" s="8">
        <v>43899.673414351855</v>
      </c>
      <c r="B11496" s="8" t="str">
        <f>HYPERLINK("https://twitter.com/kanyepaschim","@kanyepaschim")</f>
        <v>@kanyepaschim</v>
      </c>
      <c r="C11496" s="8" t="s">
        <v>1808</v>
      </c>
      <c r="D11496" s="8">
        <v>22</v>
      </c>
      <c r="E11496" s="8">
        <v>0</v>
      </c>
      <c r="F11496" s="8">
        <v>311</v>
      </c>
    </row>
    <row r="11497" spans="1:6" ht="12.75">
      <c r="A11497" s="8">
        <v>43899.673379629632</v>
      </c>
      <c r="B11497" s="8" t="str">
        <f>HYPERLINK("https://twitter.com/loveurblood","@loveurblood")</f>
        <v>@loveurblood</v>
      </c>
      <c r="C11497" s="8" t="s">
        <v>1957</v>
      </c>
      <c r="D11497" s="8">
        <v>179</v>
      </c>
      <c r="E11497" s="8">
        <v>0</v>
      </c>
      <c r="F11497" s="8">
        <v>348</v>
      </c>
    </row>
    <row r="11498" spans="1:6" ht="12.75">
      <c r="A11498" s="8">
        <v>43899.673379629632</v>
      </c>
      <c r="B11498" s="8" t="str">
        <f>HYPERLINK("https://twitter.com/Nurhadi77swg","@Nurhadi77swg")</f>
        <v>@Nurhadi77swg</v>
      </c>
      <c r="C11498" s="8" t="s">
        <v>4785</v>
      </c>
      <c r="D11498" s="8">
        <v>504</v>
      </c>
      <c r="E11498" s="8">
        <v>0</v>
      </c>
      <c r="F11498" s="8">
        <v>90</v>
      </c>
    </row>
    <row r="11499" spans="1:6" ht="12.75">
      <c r="A11499" s="8">
        <v>43899.673368055555</v>
      </c>
      <c r="B11499" s="8" t="str">
        <f>HYPERLINK("https://twitter.com/i_m_hunter_","@i_m_hunter_")</f>
        <v>@i_m_hunter_</v>
      </c>
      <c r="C11499" s="8" t="s">
        <v>1808</v>
      </c>
      <c r="D11499" s="8">
        <v>22</v>
      </c>
      <c r="E11499" s="8">
        <v>0</v>
      </c>
      <c r="F11499" s="8">
        <v>295</v>
      </c>
    </row>
    <row r="11500" spans="1:6" ht="12.75">
      <c r="A11500" s="8">
        <v>43899.673368055555</v>
      </c>
      <c r="B11500" s="8" t="str">
        <f>HYPERLINK("https://twitter.com/Dilseindian1","@Dilseindian1")</f>
        <v>@Dilseindian1</v>
      </c>
      <c r="C11500" s="8" t="s">
        <v>1808</v>
      </c>
      <c r="D11500" s="8">
        <v>22</v>
      </c>
      <c r="E11500" s="8">
        <v>0</v>
      </c>
      <c r="F11500" s="8">
        <v>209</v>
      </c>
    </row>
    <row r="11501" spans="1:6" ht="12.75">
      <c r="A11501" s="8">
        <v>43899.673298611116</v>
      </c>
      <c r="B11501" s="8" t="str">
        <f>HYPERLINK("https://twitter.com/srikanthbjp_","@srikanthbjp_")</f>
        <v>@srikanthbjp_</v>
      </c>
      <c r="C11501" s="8" t="s">
        <v>1808</v>
      </c>
      <c r="D11501" s="8">
        <v>22</v>
      </c>
      <c r="E11501" s="8">
        <v>0</v>
      </c>
      <c r="F11501" s="8">
        <v>8757</v>
      </c>
    </row>
    <row r="11502" spans="1:6" ht="12.75">
      <c r="A11502" s="8">
        <v>43899.673287037032</v>
      </c>
      <c r="B11502" s="8" t="str">
        <f>HYPERLINK("https://twitter.com/jitendra_lalani","@jitendra_lalani")</f>
        <v>@jitendra_lalani</v>
      </c>
      <c r="C11502" s="8" t="s">
        <v>1917</v>
      </c>
      <c r="D11502" s="8">
        <v>1403</v>
      </c>
      <c r="E11502" s="8">
        <v>0</v>
      </c>
      <c r="F11502" s="8">
        <v>197</v>
      </c>
    </row>
    <row r="11503" spans="1:6" ht="12.75">
      <c r="A11503" s="8">
        <v>43899.673287037032</v>
      </c>
      <c r="B11503" s="8" t="str">
        <f>HYPERLINK("https://twitter.com/sulata_ghosh","@sulata_ghosh")</f>
        <v>@sulata_ghosh</v>
      </c>
      <c r="C11503" s="8" t="s">
        <v>1808</v>
      </c>
      <c r="D11503" s="8">
        <v>22</v>
      </c>
      <c r="E11503" s="8">
        <v>0</v>
      </c>
      <c r="F11503" s="8">
        <v>1133</v>
      </c>
    </row>
    <row r="11504" spans="1:6" ht="12.75">
      <c r="A11504" s="8">
        <v>43899.673263888893</v>
      </c>
      <c r="B11504" s="8" t="str">
        <f>HYPERLINK("https://twitter.com/Resolute_Ken","@Resolute_Ken")</f>
        <v>@Resolute_Ken</v>
      </c>
      <c r="C11504" s="8" t="s">
        <v>1808</v>
      </c>
      <c r="D11504" s="8">
        <v>22</v>
      </c>
      <c r="E11504" s="8">
        <v>0</v>
      </c>
      <c r="F11504" s="8">
        <v>1350</v>
      </c>
    </row>
    <row r="11505" spans="1:6" ht="12.75">
      <c r="A11505" s="8">
        <v>43899.673263888893</v>
      </c>
      <c r="B11505" s="8" t="str">
        <f>HYPERLINK("https://twitter.com/Tribun_Solo","@Tribun_Solo")</f>
        <v>@Tribun_Solo</v>
      </c>
      <c r="C11505" s="8" t="s">
        <v>4786</v>
      </c>
      <c r="D11505" s="8">
        <v>0</v>
      </c>
      <c r="E11505" s="8">
        <v>0</v>
      </c>
      <c r="F11505" s="8">
        <v>2217</v>
      </c>
    </row>
    <row r="11506" spans="1:6" ht="12.75">
      <c r="A11506" s="8">
        <v>43899.673252314809</v>
      </c>
      <c r="B11506" s="8" t="str">
        <f>HYPERLINK("https://twitter.com/ashish_ghanghav","@ashish_ghanghav")</f>
        <v>@ashish_ghanghav</v>
      </c>
      <c r="C11506" s="8" t="s">
        <v>1808</v>
      </c>
      <c r="D11506" s="8">
        <v>22</v>
      </c>
      <c r="E11506" s="8">
        <v>0</v>
      </c>
      <c r="F11506" s="8">
        <v>251</v>
      </c>
    </row>
    <row r="11507" spans="1:6" ht="12.75">
      <c r="A11507" s="8">
        <v>43899.673171296294</v>
      </c>
      <c r="B11507" s="8" t="str">
        <f>HYPERLINK("https://twitter.com/ak6RAMROM","@ak6RAMROM")</f>
        <v>@ak6RAMROM</v>
      </c>
      <c r="C11507" s="8" t="s">
        <v>1808</v>
      </c>
      <c r="D11507" s="8">
        <v>22</v>
      </c>
      <c r="E11507" s="8">
        <v>0</v>
      </c>
      <c r="F11507" s="8">
        <v>94</v>
      </c>
    </row>
    <row r="11508" spans="1:6" ht="12.75">
      <c r="A11508" s="8">
        <v>43899.673171296294</v>
      </c>
      <c r="B11508" s="8" t="str">
        <f>HYPERLINK("https://twitter.com/ChoteeSarkar","@ChoteeSarkar")</f>
        <v>@ChoteeSarkar</v>
      </c>
      <c r="C11508" s="8" t="s">
        <v>1808</v>
      </c>
      <c r="D11508" s="8">
        <v>22</v>
      </c>
      <c r="E11508" s="8">
        <v>0</v>
      </c>
      <c r="F11508" s="8">
        <v>1680</v>
      </c>
    </row>
    <row r="11509" spans="1:6" ht="12.75">
      <c r="A11509" s="8">
        <v>43899.673148148147</v>
      </c>
      <c r="B11509" s="8" t="str">
        <f>HYPERLINK("https://twitter.com/maneeshagsharma","@maneeshagsharma")</f>
        <v>@maneeshagsharma</v>
      </c>
      <c r="C11509" s="8" t="s">
        <v>1957</v>
      </c>
      <c r="D11509" s="8">
        <v>179</v>
      </c>
      <c r="E11509" s="8">
        <v>0</v>
      </c>
      <c r="F11509" s="8">
        <v>612</v>
      </c>
    </row>
    <row r="11510" spans="1:6" ht="12.75">
      <c r="A11510" s="8">
        <v>43899.673113425924</v>
      </c>
      <c r="B11510" s="8" t="str">
        <f>HYPERLINK("https://twitter.com/PandeyVyas","@PandeyVyas")</f>
        <v>@PandeyVyas</v>
      </c>
      <c r="C11510" s="8" t="s">
        <v>1808</v>
      </c>
      <c r="D11510" s="8">
        <v>22</v>
      </c>
      <c r="E11510" s="8">
        <v>0</v>
      </c>
      <c r="F11510" s="8">
        <v>167</v>
      </c>
    </row>
    <row r="11511" spans="1:6" ht="12.75">
      <c r="A11511" s="8">
        <v>43899.673078703709</v>
      </c>
      <c r="B11511" s="8" t="str">
        <f>HYPERLINK("https://twitter.com/malapati","@malapati")</f>
        <v>@malapati</v>
      </c>
      <c r="C11511" s="8" t="s">
        <v>1808</v>
      </c>
      <c r="D11511" s="8">
        <v>22</v>
      </c>
      <c r="E11511" s="8">
        <v>0</v>
      </c>
      <c r="F11511" s="8">
        <v>233</v>
      </c>
    </row>
    <row r="11512" spans="1:6" ht="12.75">
      <c r="A11512" s="8">
        <v>43899.673078703709</v>
      </c>
      <c r="B11512" s="8" t="str">
        <f>HYPERLINK("https://twitter.com/RajeshA68591831","@RajeshA68591831")</f>
        <v>@RajeshA68591831</v>
      </c>
      <c r="C11512" s="8" t="s">
        <v>1808</v>
      </c>
      <c r="D11512" s="8">
        <v>22</v>
      </c>
      <c r="E11512" s="8">
        <v>0</v>
      </c>
      <c r="F11512" s="8">
        <v>177</v>
      </c>
    </row>
    <row r="11513" spans="1:6" ht="12.75">
      <c r="A11513" s="8">
        <v>43899.673020833332</v>
      </c>
      <c r="B11513" s="8" t="str">
        <f>HYPERLINK("https://twitter.com/sandeep21031983","@sandeep21031983")</f>
        <v>@sandeep21031983</v>
      </c>
      <c r="C11513" s="8" t="s">
        <v>1957</v>
      </c>
      <c r="D11513" s="8">
        <v>179</v>
      </c>
      <c r="E11513" s="8">
        <v>0</v>
      </c>
      <c r="F11513" s="8">
        <v>1185</v>
      </c>
    </row>
    <row r="11514" spans="1:6" ht="12.75">
      <c r="A11514" s="8">
        <v>43899.672986111109</v>
      </c>
      <c r="B11514" s="8" t="str">
        <f>HYPERLINK("https://twitter.com/joelpote","@joelpote")</f>
        <v>@joelpote</v>
      </c>
      <c r="C11514" s="8" t="s">
        <v>3126</v>
      </c>
      <c r="D11514" s="8">
        <v>194</v>
      </c>
      <c r="E11514" s="8">
        <v>0</v>
      </c>
      <c r="F11514" s="8">
        <v>450</v>
      </c>
    </row>
    <row r="11515" spans="1:6" ht="12.75">
      <c r="A11515" s="8">
        <v>43899.672962962963</v>
      </c>
      <c r="B11515" s="8" t="str">
        <f>HYPERLINK("https://twitter.com/less_litrate","@less_litrate")</f>
        <v>@less_litrate</v>
      </c>
      <c r="C11515" s="8" t="s">
        <v>1957</v>
      </c>
      <c r="D11515" s="8">
        <v>179</v>
      </c>
      <c r="E11515" s="8">
        <v>0</v>
      </c>
      <c r="F11515" s="8">
        <v>285</v>
      </c>
    </row>
    <row r="11516" spans="1:6" ht="12.75">
      <c r="A11516" s="8">
        <v>43899.672905092593</v>
      </c>
      <c r="B11516" s="8" t="str">
        <f>HYPERLINK("https://twitter.com/Sachin7511","@Sachin7511")</f>
        <v>@Sachin7511</v>
      </c>
      <c r="C11516" s="8" t="s">
        <v>1957</v>
      </c>
      <c r="D11516" s="8">
        <v>179</v>
      </c>
      <c r="E11516" s="8">
        <v>0</v>
      </c>
      <c r="F11516" s="8">
        <v>55</v>
      </c>
    </row>
    <row r="11517" spans="1:6" ht="12.75">
      <c r="A11517" s="8">
        <v>43899.672893518524</v>
      </c>
      <c r="B11517" s="8" t="str">
        <f>HYPERLINK("https://twitter.com/chandru_race","@chandru_race")</f>
        <v>@chandru_race</v>
      </c>
      <c r="C11517" s="8" t="s">
        <v>1957</v>
      </c>
      <c r="D11517" s="8">
        <v>179</v>
      </c>
      <c r="E11517" s="8">
        <v>0</v>
      </c>
      <c r="F11517" s="8">
        <v>204</v>
      </c>
    </row>
    <row r="11518" spans="1:6" ht="12.75">
      <c r="A11518" s="8">
        <v>43899.672858796301</v>
      </c>
      <c r="B11518" s="8" t="str">
        <f>HYPERLINK("https://twitter.com/RK_INDIAN0","@RK_INDIAN0")</f>
        <v>@RK_INDIAN0</v>
      </c>
      <c r="C11518" s="8" t="s">
        <v>1808</v>
      </c>
      <c r="D11518" s="8">
        <v>22</v>
      </c>
      <c r="E11518" s="8">
        <v>0</v>
      </c>
      <c r="F11518" s="8">
        <v>826</v>
      </c>
    </row>
    <row r="11519" spans="1:6" ht="12.75">
      <c r="A11519" s="8">
        <v>43899.672847222224</v>
      </c>
      <c r="B11519" s="8" t="str">
        <f>HYPERLINK("https://twitter.com/WhySoSeriousAlw","@WhySoSeriousAlw")</f>
        <v>@WhySoSeriousAlw</v>
      </c>
      <c r="C11519" s="8" t="s">
        <v>1808</v>
      </c>
      <c r="D11519" s="8">
        <v>22</v>
      </c>
      <c r="E11519" s="8">
        <v>0</v>
      </c>
      <c r="F11519" s="8">
        <v>53</v>
      </c>
    </row>
    <row r="11520" spans="1:6" ht="12.75">
      <c r="A11520" s="8">
        <v>43899.672743055555</v>
      </c>
      <c r="B11520" s="8" t="str">
        <f>HYPERLINK("https://twitter.com/iKnowNthng","@iKnowNthng")</f>
        <v>@iKnowNthng</v>
      </c>
      <c r="C11520" s="8" t="s">
        <v>1957</v>
      </c>
      <c r="D11520" s="8">
        <v>179</v>
      </c>
      <c r="E11520" s="8">
        <v>0</v>
      </c>
      <c r="F11520" s="8">
        <v>115</v>
      </c>
    </row>
    <row r="11521" spans="1:6" ht="12.75">
      <c r="A11521" s="8">
        <v>43899.672638888893</v>
      </c>
      <c r="B11521" s="8" t="str">
        <f>HYPERLINK("https://twitter.com/bhagat_ruchi","@bhagat_ruchi")</f>
        <v>@bhagat_ruchi</v>
      </c>
      <c r="C11521" s="8" t="s">
        <v>1957</v>
      </c>
      <c r="D11521" s="8">
        <v>179</v>
      </c>
      <c r="E11521" s="8">
        <v>0</v>
      </c>
      <c r="F11521" s="8">
        <v>81</v>
      </c>
    </row>
    <row r="11522" spans="1:6" ht="12.75">
      <c r="A11522" s="8">
        <v>43899.67260416667</v>
      </c>
      <c r="B11522" s="8" t="str">
        <f>HYPERLINK("https://twitter.com/vacha_bhavsar","@vacha_bhavsar")</f>
        <v>@vacha_bhavsar</v>
      </c>
      <c r="C11522" s="8" t="s">
        <v>1957</v>
      </c>
      <c r="D11522" s="8">
        <v>179</v>
      </c>
      <c r="E11522" s="8">
        <v>0</v>
      </c>
      <c r="F11522" s="8">
        <v>972</v>
      </c>
    </row>
    <row r="11523" spans="1:6" ht="12.75">
      <c r="A11523" s="8">
        <v>43899.672592592593</v>
      </c>
      <c r="B11523" s="8" t="str">
        <f>HYPERLINK("https://twitter.com/riteshcrown","@riteshcrown")</f>
        <v>@riteshcrown</v>
      </c>
      <c r="C11523" s="8" t="s">
        <v>1957</v>
      </c>
      <c r="D11523" s="8">
        <v>179</v>
      </c>
      <c r="E11523" s="8">
        <v>0</v>
      </c>
      <c r="F11523" s="8">
        <v>148</v>
      </c>
    </row>
    <row r="11524" spans="1:6" ht="12.75">
      <c r="A11524" s="8">
        <v>43899.672534722224</v>
      </c>
      <c r="B11524" s="8" t="str">
        <f>HYPERLINK("https://twitter.com/pokershash","@pokershash")</f>
        <v>@pokershash</v>
      </c>
      <c r="C11524" s="8" t="s">
        <v>4787</v>
      </c>
      <c r="D11524" s="8">
        <v>22</v>
      </c>
      <c r="E11524" s="8">
        <v>47</v>
      </c>
      <c r="F11524" s="8">
        <v>60128</v>
      </c>
    </row>
    <row r="11525" spans="1:6" ht="12.75">
      <c r="A11525" s="8">
        <v>43899.672442129631</v>
      </c>
      <c r="B11525" s="8" t="str">
        <f>HYPERLINK("https://twitter.com/ShrawaniGupta","@ShrawaniGupta")</f>
        <v>@ShrawaniGupta</v>
      </c>
      <c r="C11525" s="8" t="s">
        <v>1957</v>
      </c>
      <c r="D11525" s="8">
        <v>179</v>
      </c>
      <c r="E11525" s="8">
        <v>0</v>
      </c>
      <c r="F11525" s="8">
        <v>1034</v>
      </c>
    </row>
    <row r="11526" spans="1:6" ht="12.75">
      <c r="A11526" s="8">
        <v>43899.6722337963</v>
      </c>
      <c r="B11526" s="8" t="str">
        <f>HYPERLINK("https://twitter.com/singhrishav16","@singhrishav16")</f>
        <v>@singhrishav16</v>
      </c>
      <c r="C11526" s="8" t="s">
        <v>1957</v>
      </c>
      <c r="D11526" s="8">
        <v>179</v>
      </c>
      <c r="E11526" s="8">
        <v>0</v>
      </c>
      <c r="F11526" s="8">
        <v>66</v>
      </c>
    </row>
    <row r="11527" spans="1:6" ht="12.75">
      <c r="A11527" s="8">
        <v>43899.6721875</v>
      </c>
      <c r="B11527" s="8" t="str">
        <f>HYPERLINK("https://twitter.com/Charas_Gaanja","@Charas_Gaanja")</f>
        <v>@Charas_Gaanja</v>
      </c>
      <c r="C11527" s="8" t="s">
        <v>4788</v>
      </c>
      <c r="D11527" s="8">
        <v>0</v>
      </c>
      <c r="E11527" s="8">
        <v>1</v>
      </c>
      <c r="F11527" s="8">
        <v>2257</v>
      </c>
    </row>
    <row r="11528" spans="1:6" ht="12.75">
      <c r="A11528" s="8">
        <v>43899.672152777777</v>
      </c>
      <c r="B11528" s="8" t="str">
        <f>HYPERLINK("https://twitter.com/rizieqdivist","@rizieqdivist")</f>
        <v>@rizieqdivist</v>
      </c>
      <c r="C11528" s="8" t="s">
        <v>4470</v>
      </c>
      <c r="D11528" s="8">
        <v>23</v>
      </c>
      <c r="E11528" s="8">
        <v>0</v>
      </c>
      <c r="F11528" s="8">
        <v>6619</v>
      </c>
    </row>
    <row r="11529" spans="1:6" ht="12.75">
      <c r="A11529" s="8">
        <v>43899.672013888892</v>
      </c>
      <c r="B11529" s="8" t="str">
        <f>HYPERLINK("https://twitter.com/antonaj18862939","@antonaj18862939")</f>
        <v>@antonaj18862939</v>
      </c>
      <c r="C11529" s="8" t="s">
        <v>4789</v>
      </c>
      <c r="D11529" s="8">
        <v>0</v>
      </c>
      <c r="E11529" s="8">
        <v>0</v>
      </c>
      <c r="F11529" s="8">
        <v>0</v>
      </c>
    </row>
    <row r="11530" spans="1:6" ht="12.75">
      <c r="A11530" s="8">
        <v>43899.671990740739</v>
      </c>
      <c r="B11530" s="8" t="str">
        <f>HYPERLINK("https://twitter.com/Kamal36754111","@Kamal36754111")</f>
        <v>@Kamal36754111</v>
      </c>
      <c r="C11530" s="8" t="s">
        <v>1957</v>
      </c>
      <c r="D11530" s="8">
        <v>179</v>
      </c>
      <c r="E11530" s="8">
        <v>0</v>
      </c>
      <c r="F11530" s="8">
        <v>0</v>
      </c>
    </row>
    <row r="11531" spans="1:6" ht="12.75">
      <c r="A11531" s="8">
        <v>43899.671944444446</v>
      </c>
      <c r="B11531" s="8" t="str">
        <f>HYPERLINK("https://twitter.com/i_satyakam","@i_satyakam")</f>
        <v>@i_satyakam</v>
      </c>
      <c r="C11531" s="8" t="s">
        <v>1957</v>
      </c>
      <c r="D11531" s="8">
        <v>179</v>
      </c>
      <c r="E11531" s="8">
        <v>0</v>
      </c>
      <c r="F11531" s="8">
        <v>42</v>
      </c>
    </row>
    <row r="11532" spans="1:6" ht="12.75">
      <c r="A11532" s="8">
        <v>43899.671712962961</v>
      </c>
      <c r="B11532" s="8" t="str">
        <f>HYPERLINK("https://twitter.com/tarunkrishna2","@tarunkrishna2")</f>
        <v>@tarunkrishna2</v>
      </c>
      <c r="C11532" s="8" t="s">
        <v>1957</v>
      </c>
      <c r="D11532" s="8">
        <v>179</v>
      </c>
      <c r="E11532" s="8">
        <v>0</v>
      </c>
      <c r="F11532" s="8">
        <v>200</v>
      </c>
    </row>
    <row r="11533" spans="1:6" ht="12.75">
      <c r="A11533" s="8">
        <v>43899.671678240746</v>
      </c>
      <c r="B11533" s="8" t="str">
        <f>HYPERLINK("https://twitter.com/dictator9979","@dictator9979")</f>
        <v>@dictator9979</v>
      </c>
      <c r="C11533" s="8" t="s">
        <v>1957</v>
      </c>
      <c r="D11533" s="8">
        <v>179</v>
      </c>
      <c r="E11533" s="8">
        <v>0</v>
      </c>
      <c r="F11533" s="8">
        <v>28</v>
      </c>
    </row>
    <row r="11534" spans="1:6" ht="12.75">
      <c r="A11534" s="8">
        <v>43899.671446759261</v>
      </c>
      <c r="B11534" s="8" t="str">
        <f>HYPERLINK("https://twitter.com/kasturikr","@kasturikr")</f>
        <v>@kasturikr</v>
      </c>
      <c r="C11534" s="8" t="s">
        <v>1957</v>
      </c>
      <c r="D11534" s="8">
        <v>179</v>
      </c>
      <c r="E11534" s="8">
        <v>0</v>
      </c>
      <c r="F11534" s="8">
        <v>18</v>
      </c>
    </row>
    <row r="11535" spans="1:6" ht="12.75">
      <c r="A11535" s="8">
        <v>43899.671122685184</v>
      </c>
      <c r="B11535" s="8" t="str">
        <f>HYPERLINK("https://twitter.com/Girlbandit_","@Girlbandit_")</f>
        <v>@Girlbandit_</v>
      </c>
      <c r="C11535" s="8" t="s">
        <v>1957</v>
      </c>
      <c r="D11535" s="8">
        <v>179</v>
      </c>
      <c r="E11535" s="8">
        <v>0</v>
      </c>
      <c r="F11535" s="8">
        <v>75</v>
      </c>
    </row>
    <row r="11536" spans="1:6" ht="12.75">
      <c r="A11536" s="8">
        <v>43899.671076388884</v>
      </c>
      <c r="B11536" s="8" t="str">
        <f>HYPERLINK("https://twitter.com/konstantine_07","@konstantine_07")</f>
        <v>@konstantine_07</v>
      </c>
      <c r="C11536" s="8" t="s">
        <v>1957</v>
      </c>
      <c r="D11536" s="8">
        <v>179</v>
      </c>
      <c r="E11536" s="8">
        <v>0</v>
      </c>
      <c r="F11536" s="8">
        <v>545</v>
      </c>
    </row>
    <row r="11537" spans="1:6" ht="12.75">
      <c r="A11537" s="8">
        <v>43899.670983796299</v>
      </c>
      <c r="B11537" s="8" t="str">
        <f>HYPERLINK("https://twitter.com/tejas_1point0","@tejas_1point0")</f>
        <v>@tejas_1point0</v>
      </c>
      <c r="C11537" s="8" t="s">
        <v>1957</v>
      </c>
      <c r="D11537" s="8">
        <v>179</v>
      </c>
      <c r="E11537" s="8">
        <v>0</v>
      </c>
      <c r="F11537" s="8">
        <v>13</v>
      </c>
    </row>
    <row r="11538" spans="1:6" ht="12.75">
      <c r="A11538" s="8">
        <v>43899.67052083333</v>
      </c>
      <c r="B11538" s="8" t="str">
        <f>HYPERLINK("https://twitter.com/sunailrohit","@sunailrohit")</f>
        <v>@sunailrohit</v>
      </c>
      <c r="C11538" s="8" t="s">
        <v>1957</v>
      </c>
      <c r="D11538" s="8">
        <v>179</v>
      </c>
      <c r="E11538" s="8">
        <v>0</v>
      </c>
      <c r="F11538" s="8">
        <v>103</v>
      </c>
    </row>
    <row r="11539" spans="1:6" ht="12.75">
      <c r="A11539" s="8">
        <v>43899.67050925926</v>
      </c>
      <c r="B11539" s="8" t="str">
        <f>HYPERLINK("https://twitter.com/Savarkar18","@Savarkar18")</f>
        <v>@Savarkar18</v>
      </c>
      <c r="C11539" s="8" t="s">
        <v>1957</v>
      </c>
      <c r="D11539" s="8">
        <v>179</v>
      </c>
      <c r="E11539" s="8">
        <v>0</v>
      </c>
      <c r="F11539" s="8">
        <v>197</v>
      </c>
    </row>
    <row r="11540" spans="1:6" ht="12.75">
      <c r="A11540" s="8">
        <v>43899.670173611114</v>
      </c>
      <c r="B11540" s="8" t="str">
        <f>HYPERLINK("https://twitter.com/RafianIbrahim","@RafianIbrahim")</f>
        <v>@RafianIbrahim</v>
      </c>
      <c r="C11540" s="8" t="s">
        <v>4790</v>
      </c>
      <c r="D11540" s="8">
        <v>0</v>
      </c>
      <c r="E11540" s="8">
        <v>0</v>
      </c>
      <c r="F11540" s="8">
        <v>346</v>
      </c>
    </row>
    <row r="11541" spans="1:6" ht="12.75">
      <c r="A11541" s="8">
        <v>43899.670057870375</v>
      </c>
      <c r="B11541" s="8" t="str">
        <f>HYPERLINK("https://twitter.com/AjayKeshri8","@AjayKeshri8")</f>
        <v>@AjayKeshri8</v>
      </c>
      <c r="C11541" s="8" t="s">
        <v>1957</v>
      </c>
      <c r="D11541" s="8">
        <v>179</v>
      </c>
      <c r="E11541" s="8">
        <v>0</v>
      </c>
      <c r="F11541" s="8">
        <v>102</v>
      </c>
    </row>
    <row r="11542" spans="1:6" ht="12.75">
      <c r="A11542" s="8">
        <v>43899.670046296298</v>
      </c>
      <c r="B11542" s="8" t="str">
        <f>HYPERLINK("https://twitter.com/Punter_8","@Punter_8")</f>
        <v>@Punter_8</v>
      </c>
      <c r="C11542" s="8" t="s">
        <v>1957</v>
      </c>
      <c r="D11542" s="8">
        <v>179</v>
      </c>
      <c r="E11542" s="8">
        <v>0</v>
      </c>
      <c r="F11542" s="8">
        <v>63</v>
      </c>
    </row>
    <row r="11543" spans="1:6" ht="12.75">
      <c r="A11543" s="8">
        <v>43899.670023148152</v>
      </c>
      <c r="B11543" s="8" t="str">
        <f>HYPERLINK("https://twitter.com/mishrarun20","@mishrarun20")</f>
        <v>@mishrarun20</v>
      </c>
      <c r="C11543" s="8" t="s">
        <v>1957</v>
      </c>
      <c r="D11543" s="8">
        <v>179</v>
      </c>
      <c r="E11543" s="8">
        <v>0</v>
      </c>
      <c r="F11543" s="8">
        <v>1203</v>
      </c>
    </row>
    <row r="11544" spans="1:6" ht="12.75">
      <c r="A11544" s="8">
        <v>43899.669988425929</v>
      </c>
      <c r="B11544" s="8" t="str">
        <f>HYPERLINK("https://twitter.com/limmyhl","@limmyhl")</f>
        <v>@limmyhl</v>
      </c>
      <c r="C11544" s="8" t="s">
        <v>4791</v>
      </c>
      <c r="D11544" s="8">
        <v>0</v>
      </c>
      <c r="E11544" s="8">
        <v>0</v>
      </c>
      <c r="F11544" s="8">
        <v>151</v>
      </c>
    </row>
    <row r="11545" spans="1:6" ht="12.75">
      <c r="A11545" s="8">
        <v>43899.669849537036</v>
      </c>
      <c r="B11545" s="8" t="str">
        <f>HYPERLINK("https://twitter.com/supv06","@supv06")</f>
        <v>@supv06</v>
      </c>
      <c r="C11545" s="8" t="s">
        <v>1957</v>
      </c>
      <c r="D11545" s="8">
        <v>179</v>
      </c>
      <c r="E11545" s="8">
        <v>0</v>
      </c>
      <c r="F11545" s="8">
        <v>55</v>
      </c>
    </row>
    <row r="11546" spans="1:6" ht="12.75">
      <c r="A11546" s="8">
        <v>43899.669814814813</v>
      </c>
      <c r="B11546" s="8" t="str">
        <f>HYPERLINK("https://twitter.com/pdiatre","@pdiatre")</f>
        <v>@pdiatre</v>
      </c>
      <c r="C11546" s="8" t="s">
        <v>1957</v>
      </c>
      <c r="D11546" s="8">
        <v>179</v>
      </c>
      <c r="E11546" s="8">
        <v>0</v>
      </c>
      <c r="F11546" s="8">
        <v>121</v>
      </c>
    </row>
    <row r="11547" spans="1:6" ht="12.75">
      <c r="A11547" s="8">
        <v>43899.669803240744</v>
      </c>
      <c r="B11547" s="8" t="str">
        <f>HYPERLINK("https://twitter.com/PatDanang","@PatDanang")</f>
        <v>@PatDanang</v>
      </c>
      <c r="C11547" s="8" t="s">
        <v>3262</v>
      </c>
      <c r="D11547" s="8">
        <v>164</v>
      </c>
      <c r="E11547" s="8">
        <v>0</v>
      </c>
      <c r="F11547" s="8">
        <v>3169</v>
      </c>
    </row>
    <row r="11548" spans="1:6" ht="12.75">
      <c r="A11548" s="8">
        <v>43899.669745370367</v>
      </c>
      <c r="B11548" s="8" t="str">
        <f>HYPERLINK("https://twitter.com/suryacakung","@suryacakung")</f>
        <v>@suryacakung</v>
      </c>
      <c r="C11548" s="8" t="s">
        <v>3126</v>
      </c>
      <c r="D11548" s="8">
        <v>194</v>
      </c>
      <c r="E11548" s="8">
        <v>0</v>
      </c>
      <c r="F11548" s="8">
        <v>582</v>
      </c>
    </row>
    <row r="11549" spans="1:6" ht="12.75">
      <c r="A11549" s="8">
        <v>43899.669675925921</v>
      </c>
      <c r="B11549" s="8" t="str">
        <f>HYPERLINK("https://twitter.com/hardikpkamdar","@hardikpkamdar")</f>
        <v>@hardikpkamdar</v>
      </c>
      <c r="C11549" s="8" t="s">
        <v>1957</v>
      </c>
      <c r="D11549" s="8">
        <v>179</v>
      </c>
      <c r="E11549" s="8">
        <v>0</v>
      </c>
      <c r="F11549" s="8">
        <v>38</v>
      </c>
    </row>
    <row r="11550" spans="1:6" ht="12.75">
      <c r="A11550" s="8">
        <v>43899.669537037036</v>
      </c>
      <c r="B11550" s="8" t="str">
        <f>HYPERLINK("https://twitter.com/MrFair_N_Ugly","@MrFair_N_Ugly")</f>
        <v>@MrFair_N_Ugly</v>
      </c>
      <c r="C11550" s="8" t="s">
        <v>1957</v>
      </c>
      <c r="D11550" s="8">
        <v>179</v>
      </c>
      <c r="E11550" s="8">
        <v>0</v>
      </c>
      <c r="F11550" s="8">
        <v>45</v>
      </c>
    </row>
    <row r="11551" spans="1:6" ht="12.75">
      <c r="A11551" s="8">
        <v>43899.669456018513</v>
      </c>
      <c r="B11551" s="8" t="str">
        <f>HYPERLINK("https://twitter.com/satishgarg53","@satishgarg53")</f>
        <v>@satishgarg53</v>
      </c>
      <c r="C11551" s="8" t="s">
        <v>1957</v>
      </c>
      <c r="D11551" s="8">
        <v>179</v>
      </c>
      <c r="E11551" s="8">
        <v>0</v>
      </c>
      <c r="F11551" s="8">
        <v>327</v>
      </c>
    </row>
    <row r="11552" spans="1:6" ht="12.75">
      <c r="A11552" s="8">
        <v>43899.669398148151</v>
      </c>
      <c r="B11552" s="8" t="str">
        <f>HYPERLINK("https://twitter.com/BerhatiNyaman_","@BerhatiNyaman_")</f>
        <v>@BerhatiNyaman_</v>
      </c>
      <c r="C11552" s="8" t="s">
        <v>4792</v>
      </c>
      <c r="D11552" s="8">
        <v>0</v>
      </c>
      <c r="E11552" s="8">
        <v>0</v>
      </c>
      <c r="F11552" s="8">
        <v>2017</v>
      </c>
    </row>
    <row r="11553" spans="1:6" ht="12.75">
      <c r="A11553" s="8">
        <v>43899.669351851851</v>
      </c>
      <c r="B11553" s="8" t="str">
        <f>HYPERLINK("https://twitter.com/Akankshaksh","@Akankshaksh")</f>
        <v>@Akankshaksh</v>
      </c>
      <c r="C11553" s="8" t="s">
        <v>1957</v>
      </c>
      <c r="D11553" s="8">
        <v>179</v>
      </c>
      <c r="E11553" s="8">
        <v>0</v>
      </c>
      <c r="F11553" s="8">
        <v>33</v>
      </c>
    </row>
    <row r="11554" spans="1:6" ht="12.75">
      <c r="A11554" s="8">
        <v>43899.669108796297</v>
      </c>
      <c r="B11554" s="8" t="str">
        <f>HYPERLINK("https://twitter.com/Chetan_jais","@Chetan_jais")</f>
        <v>@Chetan_jais</v>
      </c>
      <c r="C11554" s="8" t="s">
        <v>1957</v>
      </c>
      <c r="D11554" s="8">
        <v>179</v>
      </c>
      <c r="E11554" s="8">
        <v>0</v>
      </c>
      <c r="F11554" s="8">
        <v>197</v>
      </c>
    </row>
    <row r="11555" spans="1:6" ht="12.75">
      <c r="A11555" s="8">
        <v>43899.66909722222</v>
      </c>
      <c r="B11555" s="8" t="str">
        <f>HYPERLINK("https://twitter.com/Prashanth1237","@Prashanth1237")</f>
        <v>@Prashanth1237</v>
      </c>
      <c r="C11555" s="8" t="s">
        <v>1957</v>
      </c>
      <c r="D11555" s="8">
        <v>179</v>
      </c>
      <c r="E11555" s="8">
        <v>0</v>
      </c>
      <c r="F11555" s="8">
        <v>469</v>
      </c>
    </row>
    <row r="11556" spans="1:6" ht="12.75">
      <c r="A11556" s="8">
        <v>43899.669004629628</v>
      </c>
      <c r="B11556" s="8" t="str">
        <f>HYPERLINK("https://twitter.com/su7loo","@su7loo")</f>
        <v>@su7loo</v>
      </c>
      <c r="C11556" s="8" t="s">
        <v>4470</v>
      </c>
      <c r="D11556" s="8">
        <v>23</v>
      </c>
      <c r="E11556" s="8">
        <v>0</v>
      </c>
      <c r="F11556" s="8">
        <v>1220</v>
      </c>
    </row>
    <row r="11557" spans="1:6" ht="12.75">
      <c r="A11557" s="8">
        <v>43899.668981481482</v>
      </c>
      <c r="B11557" s="8" t="str">
        <f>HYPERLINK("https://twitter.com/Ranjeetkr_das","@Ranjeetkr_das")</f>
        <v>@Ranjeetkr_das</v>
      </c>
      <c r="C11557" s="8" t="s">
        <v>1957</v>
      </c>
      <c r="D11557" s="8">
        <v>179</v>
      </c>
      <c r="E11557" s="8">
        <v>0</v>
      </c>
      <c r="F11557" s="8">
        <v>73</v>
      </c>
    </row>
    <row r="11558" spans="1:6" ht="12.75">
      <c r="A11558" s="8">
        <v>43899.668912037036</v>
      </c>
      <c r="B11558" s="8" t="str">
        <f>HYPERLINK("https://twitter.com/jawapos","@jawapos")</f>
        <v>@jawapos</v>
      </c>
      <c r="C11558" s="8" t="s">
        <v>4793</v>
      </c>
      <c r="D11558" s="8">
        <v>0</v>
      </c>
      <c r="E11558" s="8">
        <v>0</v>
      </c>
      <c r="F11558" s="8">
        <v>128114</v>
      </c>
    </row>
    <row r="11559" spans="1:6" ht="12.75">
      <c r="A11559" s="8">
        <v>43899.66887731482</v>
      </c>
      <c r="B11559" s="8" t="str">
        <f>HYPERLINK("https://twitter.com/Dezashy","@Dezashy")</f>
        <v>@Dezashy</v>
      </c>
      <c r="C11559" s="8" t="s">
        <v>4651</v>
      </c>
      <c r="D11559" s="8">
        <v>58</v>
      </c>
      <c r="E11559" s="8">
        <v>0</v>
      </c>
      <c r="F11559" s="8">
        <v>870</v>
      </c>
    </row>
    <row r="11560" spans="1:6" ht="12.75">
      <c r="A11560" s="8">
        <v>43899.668819444443</v>
      </c>
      <c r="B11560" s="8" t="str">
        <f>HYPERLINK("https://twitter.com/CyclopsRasik","@CyclopsRasik")</f>
        <v>@CyclopsRasik</v>
      </c>
      <c r="C11560" s="8" t="s">
        <v>1957</v>
      </c>
      <c r="D11560" s="8">
        <v>179</v>
      </c>
      <c r="E11560" s="8">
        <v>0</v>
      </c>
      <c r="F11560" s="8">
        <v>1026</v>
      </c>
    </row>
    <row r="11561" spans="1:6" ht="12.75">
      <c r="A11561" s="8">
        <v>43899.668726851851</v>
      </c>
      <c r="B11561" s="8" t="str">
        <f>HYPERLINK("https://twitter.com/rishita2222","@rishita2222")</f>
        <v>@rishita2222</v>
      </c>
      <c r="C11561" s="8" t="s">
        <v>1957</v>
      </c>
      <c r="D11561" s="8">
        <v>179</v>
      </c>
      <c r="E11561" s="8">
        <v>0</v>
      </c>
      <c r="F11561" s="8">
        <v>75</v>
      </c>
    </row>
    <row r="11562" spans="1:6" ht="12.75">
      <c r="A11562" s="8">
        <v>43899.668680555551</v>
      </c>
      <c r="B11562" s="8" t="str">
        <f>HYPERLINK("https://twitter.com/SV_03","@SV_03")</f>
        <v>@SV_03</v>
      </c>
      <c r="C11562" s="8" t="s">
        <v>1957</v>
      </c>
      <c r="D11562" s="8">
        <v>179</v>
      </c>
      <c r="E11562" s="8">
        <v>0</v>
      </c>
      <c r="F11562" s="8">
        <v>134</v>
      </c>
    </row>
    <row r="11563" spans="1:6" ht="12.75">
      <c r="A11563" s="8">
        <v>43899.668379629627</v>
      </c>
      <c r="B11563" s="8" t="str">
        <f>HYPERLINK("https://twitter.com/caa_nrc_best","@caa_nrc_best")</f>
        <v>@caa_nrc_best</v>
      </c>
      <c r="C11563" s="8" t="s">
        <v>1957</v>
      </c>
      <c r="D11563" s="8">
        <v>179</v>
      </c>
      <c r="E11563" s="8">
        <v>0</v>
      </c>
      <c r="F11563" s="8">
        <v>4375</v>
      </c>
    </row>
    <row r="11564" spans="1:6" ht="12.75">
      <c r="A11564" s="8">
        <v>43899.668171296296</v>
      </c>
      <c r="B11564" s="8" t="str">
        <f>HYPERLINK("https://twitter.com/UmakanthRaja","@UmakanthRaja")</f>
        <v>@UmakanthRaja</v>
      </c>
      <c r="C11564" s="8" t="s">
        <v>1957</v>
      </c>
      <c r="D11564" s="8">
        <v>179</v>
      </c>
      <c r="E11564" s="8">
        <v>0</v>
      </c>
      <c r="F11564" s="8">
        <v>111</v>
      </c>
    </row>
    <row r="11565" spans="1:6" ht="12.75">
      <c r="A11565" s="8">
        <v>43899.668124999997</v>
      </c>
      <c r="B11565" s="8" t="str">
        <f>HYPERLINK("https://twitter.com/LoneSou33045134","@LoneSou33045134")</f>
        <v>@LoneSou33045134</v>
      </c>
      <c r="C11565" s="8" t="s">
        <v>1957</v>
      </c>
      <c r="D11565" s="8">
        <v>179</v>
      </c>
      <c r="E11565" s="8">
        <v>0</v>
      </c>
      <c r="F11565" s="8">
        <v>69</v>
      </c>
    </row>
    <row r="11566" spans="1:6" ht="12.75">
      <c r="A11566" s="8">
        <v>43899.668067129634</v>
      </c>
      <c r="B11566" s="8" t="str">
        <f>HYPERLINK("https://twitter.com/Wrecker709","@Wrecker709")</f>
        <v>@Wrecker709</v>
      </c>
      <c r="C11566" s="8" t="s">
        <v>1957</v>
      </c>
      <c r="D11566" s="8">
        <v>179</v>
      </c>
      <c r="E11566" s="8">
        <v>0</v>
      </c>
      <c r="F11566" s="8">
        <v>38</v>
      </c>
    </row>
    <row r="11567" spans="1:6" ht="12.75">
      <c r="A11567" s="8">
        <v>43899.66805555555</v>
      </c>
      <c r="B11567" s="8" t="str">
        <f>HYPERLINK("https://twitter.com/tejasarcasm","@tejasarcasm")</f>
        <v>@tejasarcasm</v>
      </c>
      <c r="C11567" s="8" t="s">
        <v>1957</v>
      </c>
      <c r="D11567" s="8">
        <v>179</v>
      </c>
      <c r="E11567" s="8">
        <v>0</v>
      </c>
      <c r="F11567" s="8">
        <v>11198</v>
      </c>
    </row>
    <row r="11568" spans="1:6" ht="12.75">
      <c r="A11568" s="8">
        <v>43899.66805555555</v>
      </c>
      <c r="B11568" s="8" t="str">
        <f>HYPERLINK("https://twitter.com/dwimidhaM","@dwimidhaM")</f>
        <v>@dwimidhaM</v>
      </c>
      <c r="C11568" s="8" t="s">
        <v>1957</v>
      </c>
      <c r="D11568" s="8">
        <v>179</v>
      </c>
      <c r="E11568" s="8">
        <v>0</v>
      </c>
      <c r="F11568" s="8">
        <v>6751</v>
      </c>
    </row>
    <row r="11569" spans="1:6" ht="12.75">
      <c r="A11569" s="8">
        <v>43899.668032407411</v>
      </c>
      <c r="B11569" s="8" t="str">
        <f>HYPERLINK("https://twitter.com/frida_rahardjo","@frida_rahardjo")</f>
        <v>@frida_rahardjo</v>
      </c>
      <c r="C11569" s="8" t="s">
        <v>4032</v>
      </c>
      <c r="D11569" s="8">
        <v>11</v>
      </c>
      <c r="E11569" s="8">
        <v>0</v>
      </c>
      <c r="F11569" s="8">
        <v>1489</v>
      </c>
    </row>
    <row r="11570" spans="1:6" ht="12.75">
      <c r="A11570" s="8">
        <v>43899.66788194445</v>
      </c>
      <c r="B11570" s="8" t="str">
        <f>HYPERLINK("https://twitter.com/ISIS_Balik_NO","@ISIS_Balik_NO")</f>
        <v>@ISIS_Balik_NO</v>
      </c>
      <c r="C11570" s="8" t="s">
        <v>4794</v>
      </c>
      <c r="D11570" s="8">
        <v>0</v>
      </c>
      <c r="E11570" s="8">
        <v>0</v>
      </c>
      <c r="F11570" s="8">
        <v>6227</v>
      </c>
    </row>
    <row r="11571" spans="1:6" ht="12.75">
      <c r="A11571" s="8">
        <v>43899.667858796296</v>
      </c>
      <c r="B11571" s="8" t="str">
        <f>HYPERLINK("https://twitter.com/aashish_mish","@aashish_mish")</f>
        <v>@aashish_mish</v>
      </c>
      <c r="C11571" s="8" t="s">
        <v>1957</v>
      </c>
      <c r="D11571" s="8">
        <v>179</v>
      </c>
      <c r="E11571" s="8">
        <v>0</v>
      </c>
      <c r="F11571" s="8">
        <v>27</v>
      </c>
    </row>
    <row r="11572" spans="1:6" ht="12.75">
      <c r="A11572" s="8">
        <v>43899.667847222227</v>
      </c>
      <c r="B11572" s="8" t="str">
        <f>HYPERLINK("https://twitter.com/DeepakMeharcha1","@DeepakMeharcha1")</f>
        <v>@DeepakMeharcha1</v>
      </c>
      <c r="C11572" s="8" t="s">
        <v>1957</v>
      </c>
      <c r="D11572" s="8">
        <v>179</v>
      </c>
      <c r="E11572" s="8">
        <v>0</v>
      </c>
      <c r="F11572" s="8">
        <v>373</v>
      </c>
    </row>
    <row r="11573" spans="1:6" ht="12.75">
      <c r="A11573" s="8">
        <v>43899.667812500003</v>
      </c>
      <c r="B11573" s="8" t="str">
        <f>HYPERLINK("https://twitter.com/Raj__Hacker","@Raj__Hacker")</f>
        <v>@Raj__Hacker</v>
      </c>
      <c r="C11573" s="8" t="s">
        <v>1957</v>
      </c>
      <c r="D11573" s="8">
        <v>179</v>
      </c>
      <c r="E11573" s="8">
        <v>0</v>
      </c>
      <c r="F11573" s="8">
        <v>600</v>
      </c>
    </row>
    <row r="11574" spans="1:6" ht="12.75">
      <c r="A11574" s="8">
        <v>43899.66778935185</v>
      </c>
      <c r="B11574" s="8" t="str">
        <f>HYPERLINK("https://twitter.com/vinutagayatri","@vinutagayatri")</f>
        <v>@vinutagayatri</v>
      </c>
      <c r="C11574" s="8" t="s">
        <v>1957</v>
      </c>
      <c r="D11574" s="8">
        <v>179</v>
      </c>
      <c r="E11574" s="8">
        <v>0</v>
      </c>
      <c r="F11574" s="8">
        <v>42</v>
      </c>
    </row>
    <row r="11575" spans="1:6" ht="12.75">
      <c r="A11575" s="8">
        <v>43899.667719907404</v>
      </c>
      <c r="B11575" s="8" t="str">
        <f>HYPERLINK("https://twitter.com/ramkumarchari","@ramkumarchari")</f>
        <v>@ramkumarchari</v>
      </c>
      <c r="C11575" s="8" t="s">
        <v>1957</v>
      </c>
      <c r="D11575" s="8">
        <v>179</v>
      </c>
      <c r="E11575" s="8">
        <v>0</v>
      </c>
      <c r="F11575" s="8">
        <v>885</v>
      </c>
    </row>
    <row r="11576" spans="1:6" ht="12.75">
      <c r="A11576" s="8">
        <v>43899.667708333334</v>
      </c>
      <c r="B11576" s="8" t="str">
        <f>HYPERLINK("https://twitter.com/CanYouAskWhy","@CanYouAskWhy")</f>
        <v>@CanYouAskWhy</v>
      </c>
      <c r="C11576" s="8" t="s">
        <v>1957</v>
      </c>
      <c r="D11576" s="8">
        <v>179</v>
      </c>
      <c r="E11576" s="8">
        <v>0</v>
      </c>
      <c r="F11576" s="8">
        <v>1070</v>
      </c>
    </row>
    <row r="11577" spans="1:6" ht="12.75">
      <c r="A11577" s="8">
        <v>43899.667557870373</v>
      </c>
      <c r="B11577" s="8" t="str">
        <f>HYPERLINK("https://twitter.com/BrijulalDwajrar","@BrijulalDwajrar")</f>
        <v>@BrijulalDwajrar</v>
      </c>
      <c r="C11577" s="8" t="s">
        <v>1957</v>
      </c>
      <c r="D11577" s="8">
        <v>179</v>
      </c>
      <c r="E11577" s="8">
        <v>0</v>
      </c>
      <c r="F11577" s="8">
        <v>457</v>
      </c>
    </row>
    <row r="11578" spans="1:6" ht="12.75">
      <c r="A11578" s="8">
        <v>43899.667407407411</v>
      </c>
      <c r="B11578" s="8" t="str">
        <f>HYPERLINK("https://twitter.com/Bundeli_","@Bundeli_")</f>
        <v>@Bundeli_</v>
      </c>
      <c r="C11578" s="8" t="s">
        <v>1957</v>
      </c>
      <c r="D11578" s="8">
        <v>179</v>
      </c>
      <c r="E11578" s="8">
        <v>0</v>
      </c>
      <c r="F11578" s="8">
        <v>573</v>
      </c>
    </row>
    <row r="11579" spans="1:6" ht="12.75">
      <c r="A11579" s="8">
        <v>43899.667349537034</v>
      </c>
      <c r="B11579" s="8" t="str">
        <f>HYPERLINK("https://twitter.com/KaranrajTomar","@KaranrajTomar")</f>
        <v>@KaranrajTomar</v>
      </c>
      <c r="C11579" s="8" t="s">
        <v>1957</v>
      </c>
      <c r="D11579" s="8">
        <v>179</v>
      </c>
      <c r="E11579" s="8">
        <v>0</v>
      </c>
      <c r="F11579" s="8">
        <v>156</v>
      </c>
    </row>
    <row r="11580" spans="1:6" ht="12.75">
      <c r="A11580" s="8">
        <v>43899.667337962965</v>
      </c>
      <c r="B11580" s="8" t="str">
        <f>HYPERLINK("https://twitter.com/Chandan_tndn","@Chandan_tndn")</f>
        <v>@Chandan_tndn</v>
      </c>
      <c r="C11580" s="8" t="s">
        <v>1957</v>
      </c>
      <c r="D11580" s="8">
        <v>179</v>
      </c>
      <c r="E11580" s="8">
        <v>0</v>
      </c>
      <c r="F11580" s="8">
        <v>1318</v>
      </c>
    </row>
    <row r="11581" spans="1:6" ht="12.75">
      <c r="A11581" s="8">
        <v>43899.667164351849</v>
      </c>
      <c r="B11581" s="8" t="str">
        <f>HYPERLINK("https://twitter.com/Mritunjoykumar1","@Mritunjoykumar1")</f>
        <v>@Mritunjoykumar1</v>
      </c>
      <c r="C11581" s="8" t="s">
        <v>1957</v>
      </c>
      <c r="D11581" s="8">
        <v>179</v>
      </c>
      <c r="E11581" s="8">
        <v>0</v>
      </c>
      <c r="F11581" s="8">
        <v>1238</v>
      </c>
    </row>
    <row r="11582" spans="1:6" ht="12.75">
      <c r="A11582" s="8">
        <v>43899.66710648148</v>
      </c>
      <c r="B11582" s="8" t="str">
        <f>HYPERLINK("https://twitter.com/SaatTobat","@SaatTobat")</f>
        <v>@SaatTobat</v>
      </c>
      <c r="C11582" s="8" t="s">
        <v>1078</v>
      </c>
      <c r="D11582" s="8">
        <v>706</v>
      </c>
      <c r="E11582" s="8">
        <v>0</v>
      </c>
      <c r="F11582" s="8">
        <v>1597</v>
      </c>
    </row>
    <row r="11583" spans="1:6" ht="12.75">
      <c r="A11583" s="8">
        <v>43899.667094907403</v>
      </c>
      <c r="B11583" s="8" t="str">
        <f>HYPERLINK("https://twitter.com/srikanthbjp_","@srikanthbjp_")</f>
        <v>@srikanthbjp_</v>
      </c>
      <c r="C11583" s="8" t="s">
        <v>1957</v>
      </c>
      <c r="D11583" s="8">
        <v>179</v>
      </c>
      <c r="E11583" s="8">
        <v>0</v>
      </c>
      <c r="F11583" s="8">
        <v>8757</v>
      </c>
    </row>
    <row r="11584" spans="1:6" ht="12.75">
      <c r="A11584" s="8">
        <v>43899.667048611111</v>
      </c>
      <c r="B11584" s="8" t="str">
        <f>HYPERLINK("https://twitter.com/endhog_ungu","@endhog_ungu")</f>
        <v>@endhog_ungu</v>
      </c>
      <c r="C11584" s="8" t="s">
        <v>4795</v>
      </c>
      <c r="D11584" s="8">
        <v>44</v>
      </c>
      <c r="E11584" s="8">
        <v>0</v>
      </c>
      <c r="F11584" s="8">
        <v>333</v>
      </c>
    </row>
    <row r="11585" spans="1:6" ht="12.75">
      <c r="A11585" s="8">
        <v>43899.667002314818</v>
      </c>
      <c r="B11585" s="8" t="str">
        <f>HYPERLINK("https://twitter.com/Dharmik_War","@Dharmik_War")</f>
        <v>@Dharmik_War</v>
      </c>
      <c r="C11585" s="8" t="s">
        <v>1957</v>
      </c>
      <c r="D11585" s="8">
        <v>179</v>
      </c>
      <c r="E11585" s="8">
        <v>0</v>
      </c>
      <c r="F11585" s="8">
        <v>11</v>
      </c>
    </row>
    <row r="11586" spans="1:6" ht="12.75">
      <c r="A11586" s="8">
        <v>43899.666990740741</v>
      </c>
      <c r="B11586" s="8" t="str">
        <f>HYPERLINK("https://twitter.com/NobitaDuffer","@NobitaDuffer")</f>
        <v>@NobitaDuffer</v>
      </c>
      <c r="C11586" s="8" t="s">
        <v>1957</v>
      </c>
      <c r="D11586" s="8">
        <v>179</v>
      </c>
      <c r="E11586" s="8">
        <v>0</v>
      </c>
      <c r="F11586" s="8">
        <v>275</v>
      </c>
    </row>
    <row r="11587" spans="1:6" ht="12.75">
      <c r="A11587" s="8">
        <v>43899.666701388887</v>
      </c>
      <c r="B11587" s="8" t="str">
        <f>HYPERLINK("https://twitter.com/stateit__","@stateit__")</f>
        <v>@stateit__</v>
      </c>
      <c r="C11587" s="8" t="s">
        <v>1957</v>
      </c>
      <c r="D11587" s="8">
        <v>179</v>
      </c>
      <c r="E11587" s="8">
        <v>0</v>
      </c>
      <c r="F11587" s="8">
        <v>57</v>
      </c>
    </row>
    <row r="11588" spans="1:6" ht="12.75">
      <c r="A11588" s="8">
        <v>43899.666562500002</v>
      </c>
      <c r="B11588" s="8" t="str">
        <f>HYPERLINK("https://twitter.com/bmskuks","@bmskuks")</f>
        <v>@bmskuks</v>
      </c>
      <c r="C11588" s="8" t="s">
        <v>1957</v>
      </c>
      <c r="D11588" s="8">
        <v>179</v>
      </c>
      <c r="E11588" s="8">
        <v>0</v>
      </c>
      <c r="F11588" s="8">
        <v>289</v>
      </c>
    </row>
    <row r="11589" spans="1:6" ht="12.75">
      <c r="A11589" s="8">
        <v>43899.666550925926</v>
      </c>
      <c r="B11589" s="8" t="str">
        <f>HYPERLINK("https://twitter.com/AdrianR3Y","@AdrianR3Y")</f>
        <v>@AdrianR3Y</v>
      </c>
      <c r="C11589" s="8" t="s">
        <v>4470</v>
      </c>
      <c r="D11589" s="8">
        <v>23</v>
      </c>
      <c r="E11589" s="8">
        <v>0</v>
      </c>
      <c r="F11589" s="8">
        <v>2210</v>
      </c>
    </row>
    <row r="11590" spans="1:6" ht="12.75">
      <c r="A11590" s="8">
        <v>43899.666446759264</v>
      </c>
      <c r="B11590" s="8" t="str">
        <f>HYPERLINK("https://twitter.com/Narendr85179337","@Narendr85179337")</f>
        <v>@Narendr85179337</v>
      </c>
      <c r="C11590" s="8" t="s">
        <v>1957</v>
      </c>
      <c r="D11590" s="8">
        <v>179</v>
      </c>
      <c r="E11590" s="8">
        <v>0</v>
      </c>
      <c r="F11590" s="8">
        <v>56</v>
      </c>
    </row>
    <row r="11591" spans="1:6" ht="12.75">
      <c r="A11591" s="8">
        <v>43899.666400462964</v>
      </c>
      <c r="B11591" s="8" t="str">
        <f>HYPERLINK("https://twitter.com/2KgRiceConvert","@2KgRiceConvert")</f>
        <v>@2KgRiceConvert</v>
      </c>
      <c r="C11591" s="8" t="s">
        <v>1957</v>
      </c>
      <c r="D11591" s="8">
        <v>179</v>
      </c>
      <c r="E11591" s="8">
        <v>0</v>
      </c>
      <c r="F11591" s="8">
        <v>46</v>
      </c>
    </row>
    <row r="11592" spans="1:6" ht="12.75">
      <c r="A11592" s="8">
        <v>43899.666365740741</v>
      </c>
      <c r="B11592" s="8" t="str">
        <f>HYPERLINK("https://twitter.com/Pe0NiX","@Pe0NiX")</f>
        <v>@Pe0NiX</v>
      </c>
      <c r="C11592" s="8" t="s">
        <v>1957</v>
      </c>
      <c r="D11592" s="8">
        <v>179</v>
      </c>
      <c r="E11592" s="8">
        <v>0</v>
      </c>
      <c r="F11592" s="8">
        <v>85</v>
      </c>
    </row>
    <row r="11593" spans="1:6" ht="12.75">
      <c r="A11593" s="8">
        <v>43899.666331018518</v>
      </c>
      <c r="B11593" s="8" t="str">
        <f>HYPERLINK("https://twitter.com/tulsidaskhan21","@tulsidaskhan21")</f>
        <v>@tulsidaskhan21</v>
      </c>
      <c r="C11593" s="8" t="s">
        <v>1957</v>
      </c>
      <c r="D11593" s="8">
        <v>179</v>
      </c>
      <c r="E11593" s="8">
        <v>0</v>
      </c>
      <c r="F11593" s="8">
        <v>163</v>
      </c>
    </row>
    <row r="11594" spans="1:6" ht="12.75">
      <c r="A11594" s="8">
        <v>43899.631828703699</v>
      </c>
      <c r="B11594" s="8" t="str">
        <f>HYPERLINK("https://twitter.com/BubuNyaii","@BubuNyaii")</f>
        <v>@BubuNyaii</v>
      </c>
      <c r="C11594" s="8" t="s">
        <v>4470</v>
      </c>
      <c r="D11594" s="8">
        <v>5</v>
      </c>
      <c r="E11594" s="8">
        <v>0</v>
      </c>
      <c r="F11594" s="8">
        <v>4079</v>
      </c>
    </row>
    <row r="11595" spans="1:6" ht="12.75">
      <c r="A11595" s="8">
        <v>43899.631747685184</v>
      </c>
      <c r="B11595" s="8" t="str">
        <f>HYPERLINK("https://twitter.com/AnakKolong___","@AnakKolong___")</f>
        <v>@AnakKolong___</v>
      </c>
      <c r="C11595" s="8" t="s">
        <v>4796</v>
      </c>
      <c r="D11595" s="8">
        <v>1</v>
      </c>
      <c r="E11595" s="8">
        <v>0</v>
      </c>
      <c r="F11595" s="8">
        <v>8103</v>
      </c>
    </row>
    <row r="11596" spans="1:6" ht="12.75">
      <c r="A11596" s="8">
        <v>43899.631620370375</v>
      </c>
      <c r="B11596" s="8" t="str">
        <f>HYPERLINK("https://twitter.com/Poposindoe","@Poposindoe")</f>
        <v>@Poposindoe</v>
      </c>
      <c r="C11596" s="8" t="s">
        <v>4797</v>
      </c>
      <c r="D11596" s="8">
        <v>17</v>
      </c>
      <c r="E11596" s="8">
        <v>0</v>
      </c>
      <c r="F11596" s="8">
        <v>610</v>
      </c>
    </row>
    <row r="11597" spans="1:6" ht="12.75">
      <c r="A11597" s="8">
        <v>43899.631354166668</v>
      </c>
      <c r="B11597" s="8" t="str">
        <f>HYPERLINK("https://twitter.com/BubuNyaii","@BubuNyaii")</f>
        <v>@BubuNyaii</v>
      </c>
      <c r="C11597" s="8" t="s">
        <v>4798</v>
      </c>
      <c r="D11597" s="8">
        <v>1</v>
      </c>
      <c r="E11597" s="8">
        <v>1</v>
      </c>
      <c r="F11597" s="8">
        <v>4079</v>
      </c>
    </row>
    <row r="11598" spans="1:6" ht="12.75">
      <c r="A11598" s="8">
        <v>43899.631076388891</v>
      </c>
      <c r="B11598" s="8" t="str">
        <f>HYPERLINK("https://twitter.com/hariankompas","@hariankompas")</f>
        <v>@hariankompas</v>
      </c>
      <c r="C11598" s="8" t="s">
        <v>4799</v>
      </c>
      <c r="D11598" s="8">
        <v>0</v>
      </c>
      <c r="E11598" s="8">
        <v>0</v>
      </c>
      <c r="F11598" s="8">
        <v>789522</v>
      </c>
    </row>
    <row r="11599" spans="1:6" ht="12.75">
      <c r="A11599" s="8">
        <v>43899.630775462967</v>
      </c>
      <c r="B11599" s="8" t="str">
        <f>HYPERLINK("https://twitter.com/Hanifah933","@Hanifah933")</f>
        <v>@Hanifah933</v>
      </c>
      <c r="C11599" s="8" t="s">
        <v>4590</v>
      </c>
      <c r="D11599" s="8">
        <v>4</v>
      </c>
      <c r="E11599" s="8">
        <v>0</v>
      </c>
      <c r="F11599" s="8">
        <v>7244</v>
      </c>
    </row>
    <row r="11600" spans="1:6" ht="12.75">
      <c r="A11600" s="8">
        <v>43899.630729166667</v>
      </c>
      <c r="B11600" s="8" t="str">
        <f>HYPERLINK("https://twitter.com/cadarmerah","@cadarmerah")</f>
        <v>@cadarmerah</v>
      </c>
      <c r="C11600" s="8" t="s">
        <v>4470</v>
      </c>
      <c r="D11600" s="8">
        <v>5</v>
      </c>
      <c r="E11600" s="8">
        <v>0</v>
      </c>
      <c r="F11600" s="8">
        <v>5665</v>
      </c>
    </row>
    <row r="11601" spans="1:6" ht="12.75">
      <c r="A11601" s="8">
        <v>43899.63009259259</v>
      </c>
      <c r="B11601" s="8" t="str">
        <f>HYPERLINK("https://twitter.com/Ari3Pras","@Ari3Pras")</f>
        <v>@Ari3Pras</v>
      </c>
      <c r="C11601" s="8" t="s">
        <v>4470</v>
      </c>
      <c r="D11601" s="8">
        <v>5</v>
      </c>
      <c r="E11601" s="8">
        <v>0</v>
      </c>
      <c r="F11601" s="8">
        <v>7619</v>
      </c>
    </row>
    <row r="11602" spans="1:6" ht="12.75">
      <c r="A11602" s="8">
        <v>43899.629861111112</v>
      </c>
      <c r="B11602" s="8" t="str">
        <f>HYPERLINK("https://twitter.com/addamfarizi","@addamfarizi")</f>
        <v>@addamfarizi</v>
      </c>
      <c r="C11602" s="8" t="s">
        <v>4800</v>
      </c>
      <c r="D11602" s="8">
        <v>0</v>
      </c>
      <c r="E11602" s="8">
        <v>0</v>
      </c>
      <c r="F11602" s="8">
        <v>132</v>
      </c>
    </row>
    <row r="11603" spans="1:6" ht="12.75">
      <c r="A11603" s="8">
        <v>43899.629756944443</v>
      </c>
      <c r="B11603" s="8" t="str">
        <f>HYPERLINK("https://twitter.com/raja_sonny","@raja_sonny")</f>
        <v>@raja_sonny</v>
      </c>
      <c r="C11603" s="8" t="s">
        <v>4801</v>
      </c>
      <c r="D11603" s="8">
        <v>148</v>
      </c>
      <c r="E11603" s="8">
        <v>0</v>
      </c>
      <c r="F11603" s="8">
        <v>24</v>
      </c>
    </row>
    <row r="11604" spans="1:6" ht="12.75">
      <c r="A11604" s="8">
        <v>43899.629525462966</v>
      </c>
      <c r="B11604" s="8" t="str">
        <f>HYPERLINK("https://twitter.com/Andri_C1AB","@Andri_C1AB")</f>
        <v>@Andri_C1AB</v>
      </c>
      <c r="C11604" s="8" t="s">
        <v>4470</v>
      </c>
      <c r="D11604" s="8">
        <v>5</v>
      </c>
      <c r="E11604" s="8">
        <v>0</v>
      </c>
      <c r="F11604" s="8">
        <v>5077</v>
      </c>
    </row>
    <row r="11605" spans="1:6" ht="12.75">
      <c r="A11605" s="8">
        <v>43899.629479166666</v>
      </c>
      <c r="B11605" s="8" t="str">
        <f>HYPERLINK("https://twitter.com/ElMacho03154475","@ElMacho03154475")</f>
        <v>@ElMacho03154475</v>
      </c>
      <c r="C11605" s="8" t="s">
        <v>4802</v>
      </c>
      <c r="D11605" s="8">
        <v>3</v>
      </c>
      <c r="E11605" s="8">
        <v>0</v>
      </c>
      <c r="F11605" s="8">
        <v>427</v>
      </c>
    </row>
    <row r="11606" spans="1:6" ht="12.75">
      <c r="A11606" s="8">
        <v>43899.629305555558</v>
      </c>
      <c r="B11606" s="8" t="str">
        <f>HYPERLINK("https://twitter.com/noe_santara","@noe_santara")</f>
        <v>@noe_santara</v>
      </c>
      <c r="C11606" s="8" t="s">
        <v>4803</v>
      </c>
      <c r="D11606" s="8">
        <v>1</v>
      </c>
      <c r="E11606" s="8">
        <v>0</v>
      </c>
      <c r="F11606" s="8">
        <v>1941</v>
      </c>
    </row>
    <row r="11607" spans="1:6" ht="12.75">
      <c r="A11607" s="8">
        <v>43899.629201388889</v>
      </c>
      <c r="B11607" s="8" t="str">
        <f>HYPERLINK("https://twitter.com/onsrgst","@onsrgst")</f>
        <v>@onsrgst</v>
      </c>
      <c r="C11607" s="8" t="s">
        <v>4804</v>
      </c>
      <c r="D11607" s="8">
        <v>0</v>
      </c>
      <c r="E11607" s="8">
        <v>0</v>
      </c>
      <c r="F11607" s="8">
        <v>112</v>
      </c>
    </row>
    <row r="11608" spans="1:6" ht="12.75">
      <c r="A11608" s="8">
        <v>43899.62871527778</v>
      </c>
      <c r="B11608" s="8" t="str">
        <f>HYPERLINK("https://twitter.com/ryolandafit","@ryolandafit")</f>
        <v>@ryolandafit</v>
      </c>
      <c r="C11608" s="8" t="s">
        <v>4805</v>
      </c>
      <c r="D11608" s="8">
        <v>3</v>
      </c>
      <c r="E11608" s="8">
        <v>0</v>
      </c>
      <c r="F11608" s="8">
        <v>658</v>
      </c>
    </row>
    <row r="11609" spans="1:6" ht="12.75">
      <c r="A11609" s="8">
        <v>43899.628668981481</v>
      </c>
      <c r="B11609" s="8" t="str">
        <f>HYPERLINK("https://twitter.com/TaliUdeng","@TaliUdeng")</f>
        <v>@TaliUdeng</v>
      </c>
      <c r="C11609" s="8" t="s">
        <v>4470</v>
      </c>
      <c r="D11609" s="8">
        <v>5</v>
      </c>
      <c r="E11609" s="8">
        <v>0</v>
      </c>
      <c r="F11609" s="8">
        <v>12379</v>
      </c>
    </row>
    <row r="11610" spans="1:6" ht="12.75">
      <c r="A11610" s="8">
        <v>43899.628182870365</v>
      </c>
      <c r="B11610" s="8" t="str">
        <f>HYPERLINK("https://twitter.com/PetapaGendut","@PetapaGendut")</f>
        <v>@PetapaGendut</v>
      </c>
      <c r="C11610" s="8" t="s">
        <v>299</v>
      </c>
      <c r="D11610" s="8">
        <v>4750</v>
      </c>
      <c r="E11610" s="8">
        <v>0</v>
      </c>
      <c r="F11610" s="8">
        <v>4</v>
      </c>
    </row>
    <row r="11611" spans="1:6" ht="12.75">
      <c r="A11611" s="8">
        <v>43899.628020833334</v>
      </c>
      <c r="B11611" s="8" t="str">
        <f>HYPERLINK("https://twitter.com/ryolandafit","@ryolandafit")</f>
        <v>@ryolandafit</v>
      </c>
      <c r="C11611" s="8" t="s">
        <v>4806</v>
      </c>
      <c r="D11611" s="8">
        <v>2</v>
      </c>
      <c r="E11611" s="8">
        <v>0</v>
      </c>
      <c r="F11611" s="8">
        <v>658</v>
      </c>
    </row>
    <row r="11612" spans="1:6" ht="12.75">
      <c r="A11612" s="8">
        <v>43899.627800925926</v>
      </c>
      <c r="B11612" s="8" t="str">
        <f>HYPERLINK("https://twitter.com/cadarmerah","@cadarmerah")</f>
        <v>@cadarmerah</v>
      </c>
      <c r="C11612" s="8" t="s">
        <v>4032</v>
      </c>
      <c r="D11612" s="8">
        <v>7</v>
      </c>
      <c r="E11612" s="8">
        <v>0</v>
      </c>
      <c r="F11612" s="8">
        <v>5665</v>
      </c>
    </row>
    <row r="11613" spans="1:6" ht="12.75">
      <c r="A11613" s="8">
        <v>43899.627638888887</v>
      </c>
      <c r="B11613" s="8" t="str">
        <f>HYPERLINK("https://twitter.com/kanimsurakarta","@kanimsurakarta")</f>
        <v>@kanimsurakarta</v>
      </c>
      <c r="C11613" s="8" t="s">
        <v>4807</v>
      </c>
      <c r="D11613" s="8">
        <v>0</v>
      </c>
      <c r="E11613" s="8">
        <v>0</v>
      </c>
      <c r="F11613" s="8">
        <v>364</v>
      </c>
    </row>
    <row r="11614" spans="1:6" ht="12.75">
      <c r="A11614" s="8">
        <v>43899.627488425926</v>
      </c>
      <c r="B11614" s="8" t="str">
        <f>HYPERLINK("https://twitter.com/pikiran_rakyat","@pikiran_rakyat")</f>
        <v>@pikiran_rakyat</v>
      </c>
      <c r="C11614" s="8" t="s">
        <v>4808</v>
      </c>
      <c r="D11614" s="8">
        <v>0</v>
      </c>
      <c r="E11614" s="8">
        <v>0</v>
      </c>
      <c r="F11614" s="8">
        <v>413371</v>
      </c>
    </row>
    <row r="11615" spans="1:6" ht="12.75">
      <c r="A11615" s="8">
        <v>43899.627268518518</v>
      </c>
      <c r="B11615" s="8" t="str">
        <f>HYPERLINK("https://twitter.com/Koarmada2SBY","@Koarmada2SBY")</f>
        <v>@Koarmada2SBY</v>
      </c>
      <c r="C11615" s="8" t="s">
        <v>4809</v>
      </c>
      <c r="D11615" s="8">
        <v>0</v>
      </c>
      <c r="E11615" s="8">
        <v>0</v>
      </c>
      <c r="F11615" s="8">
        <v>1862</v>
      </c>
    </row>
    <row r="11616" spans="1:6" ht="12.75">
      <c r="A11616" s="8">
        <v>43899.627152777779</v>
      </c>
      <c r="B11616" s="8" t="str">
        <f>HYPERLINK("https://twitter.com/okezonenews","@okezonenews")</f>
        <v>@okezonenews</v>
      </c>
      <c r="C11616" s="8" t="s">
        <v>4810</v>
      </c>
      <c r="D11616" s="8">
        <v>0</v>
      </c>
      <c r="E11616" s="8">
        <v>0</v>
      </c>
      <c r="F11616" s="8">
        <v>1743979</v>
      </c>
    </row>
    <row r="11617" spans="1:6" ht="12.75">
      <c r="A11617" s="8">
        <v>43899.626539351855</v>
      </c>
      <c r="B11617" s="8" t="str">
        <f>HYPERLINK("https://twitter.com/aryacokronegoro","@aryacokronegoro")</f>
        <v>@aryacokronegoro</v>
      </c>
      <c r="C11617" s="8" t="s">
        <v>4811</v>
      </c>
      <c r="D11617" s="8">
        <v>0</v>
      </c>
      <c r="E11617" s="8">
        <v>0</v>
      </c>
      <c r="F11617" s="8">
        <v>439</v>
      </c>
    </row>
    <row r="11618" spans="1:6" ht="12.75">
      <c r="A11618" s="8">
        <v>43899.626446759255</v>
      </c>
      <c r="B11618" s="8" t="str">
        <f>HYPERLINK("https://twitter.com/rynkimi","@rynkimi")</f>
        <v>@rynkimi</v>
      </c>
      <c r="C11618" s="8" t="s">
        <v>4812</v>
      </c>
      <c r="D11618" s="8">
        <v>0</v>
      </c>
      <c r="E11618" s="8">
        <v>0</v>
      </c>
      <c r="F11618" s="8">
        <v>15</v>
      </c>
    </row>
    <row r="11619" spans="1:6" ht="12.75">
      <c r="A11619" s="8">
        <v>43899.626377314809</v>
      </c>
      <c r="B11619" s="8" t="str">
        <f>HYPERLINK("https://twitter.com/Capttrilokslp","@Capttrilokslp")</f>
        <v>@Capttrilokslp</v>
      </c>
      <c r="C11619" s="8" t="s">
        <v>4813</v>
      </c>
      <c r="D11619" s="8">
        <v>0</v>
      </c>
      <c r="E11619" s="8">
        <v>0</v>
      </c>
      <c r="F11619" s="8">
        <v>5</v>
      </c>
    </row>
    <row r="11620" spans="1:6" ht="12.75">
      <c r="A11620" s="8">
        <v>43899.626192129625</v>
      </c>
      <c r="B11620" s="8" t="str">
        <f>HYPERLINK("https://twitter.com/gadisresidu_b3","@gadisresidu_b3")</f>
        <v>@gadisresidu_b3</v>
      </c>
      <c r="C11620" s="8" t="s">
        <v>4814</v>
      </c>
      <c r="D11620" s="8">
        <v>0</v>
      </c>
      <c r="E11620" s="8">
        <v>0</v>
      </c>
      <c r="F11620" s="8">
        <v>2259</v>
      </c>
    </row>
    <row r="11621" spans="1:6" ht="12.75">
      <c r="A11621" s="8">
        <v>43899.626192129625</v>
      </c>
      <c r="B11621" s="8" t="str">
        <f>HYPERLINK("https://twitter.com/AnakKolong___","@AnakKolong___")</f>
        <v>@AnakKolong___</v>
      </c>
      <c r="C11621" s="8" t="s">
        <v>4815</v>
      </c>
      <c r="D11621" s="8">
        <v>5</v>
      </c>
      <c r="E11621" s="8">
        <v>11</v>
      </c>
      <c r="F11621" s="8">
        <v>8103</v>
      </c>
    </row>
    <row r="11622" spans="1:6" ht="12.75">
      <c r="A11622" s="8">
        <v>43899.625972222224</v>
      </c>
      <c r="B11622" s="8" t="str">
        <f>HYPERLINK("https://twitter.com/IndonesiaInWhk","@IndonesiaInWhk")</f>
        <v>@IndonesiaInWhk</v>
      </c>
      <c r="C11622" s="8" t="s">
        <v>1396</v>
      </c>
      <c r="D11622" s="8">
        <v>49</v>
      </c>
      <c r="E11622" s="8">
        <v>0</v>
      </c>
      <c r="F11622" s="8">
        <v>562</v>
      </c>
    </row>
    <row r="11623" spans="1:6" ht="12.75">
      <c r="A11623" s="8">
        <v>43899.625717592593</v>
      </c>
      <c r="B11623" s="8" t="str">
        <f>HYPERLINK("https://twitter.com/VIVAcoid","@VIVAcoid")</f>
        <v>@VIVAcoid</v>
      </c>
      <c r="C11623" s="8" t="s">
        <v>4816</v>
      </c>
      <c r="D11623" s="8">
        <v>1</v>
      </c>
      <c r="E11623" s="8">
        <v>0</v>
      </c>
      <c r="F11623" s="8">
        <v>4176372</v>
      </c>
    </row>
    <row r="11624" spans="1:6" ht="12.75">
      <c r="A11624" s="8">
        <v>43899.62537037037</v>
      </c>
      <c r="B11624" s="8" t="str">
        <f>HYPERLINK("https://twitter.com/vivanewscom","@vivanewscom")</f>
        <v>@vivanewscom</v>
      </c>
      <c r="C11624" s="8" t="s">
        <v>4817</v>
      </c>
      <c r="D11624" s="8">
        <v>1</v>
      </c>
      <c r="E11624" s="8">
        <v>1</v>
      </c>
      <c r="F11624" s="8">
        <v>4827</v>
      </c>
    </row>
    <row r="11625" spans="1:6" ht="12.75">
      <c r="A11625" s="8">
        <v>43899.625277777777</v>
      </c>
      <c r="B11625" s="8" t="str">
        <f>HYPERLINK("https://twitter.com/Ogutz27","@Ogutz27")</f>
        <v>@Ogutz27</v>
      </c>
      <c r="C11625" s="8" t="s">
        <v>4818</v>
      </c>
      <c r="D11625" s="8">
        <v>312</v>
      </c>
      <c r="E11625" s="8">
        <v>0</v>
      </c>
      <c r="F11625" s="8">
        <v>130</v>
      </c>
    </row>
    <row r="11626" spans="1:6" ht="12.75">
      <c r="A11626" s="8">
        <v>43899.625185185185</v>
      </c>
      <c r="B11626" s="8" t="str">
        <f>HYPERLINK("https://twitter.com/nyinyir404","@nyinyir404")</f>
        <v>@nyinyir404</v>
      </c>
      <c r="C11626" s="8" t="s">
        <v>4819</v>
      </c>
      <c r="D11626" s="8">
        <v>1</v>
      </c>
      <c r="E11626" s="8">
        <v>2</v>
      </c>
      <c r="F11626" s="8">
        <v>4236</v>
      </c>
    </row>
    <row r="11627" spans="1:6" ht="12.75">
      <c r="A11627" s="8">
        <v>43899.624930555554</v>
      </c>
      <c r="B11627" s="8" t="str">
        <f>HYPERLINK("https://twitter.com/Sarvesh16960722","@Sarvesh16960722")</f>
        <v>@Sarvesh16960722</v>
      </c>
      <c r="C11627" s="8" t="s">
        <v>4820</v>
      </c>
      <c r="D11627" s="8">
        <v>0</v>
      </c>
      <c r="E11627" s="8">
        <v>0</v>
      </c>
      <c r="F11627" s="8">
        <v>336</v>
      </c>
    </row>
    <row r="11628" spans="1:6" ht="12.75">
      <c r="A11628" s="8">
        <v>43899.624837962961</v>
      </c>
      <c r="B11628" s="8" t="str">
        <f>HYPERLINK("https://twitter.com/jaihomumbai","@jaihomumbai")</f>
        <v>@jaihomumbai</v>
      </c>
      <c r="C11628" s="8" t="s">
        <v>4821</v>
      </c>
      <c r="D11628" s="8">
        <v>0</v>
      </c>
      <c r="E11628" s="8">
        <v>1</v>
      </c>
      <c r="F11628" s="8">
        <v>1177</v>
      </c>
    </row>
    <row r="11629" spans="1:6" ht="12.75">
      <c r="A11629" s="8">
        <v>43899.624768518523</v>
      </c>
      <c r="B11629" s="8" t="str">
        <f>HYPERLINK("https://twitter.com/bangkitriambada","@bangkitriambada")</f>
        <v>@bangkitriambada</v>
      </c>
      <c r="C11629" s="8" t="s">
        <v>4822</v>
      </c>
      <c r="D11629" s="8">
        <v>3</v>
      </c>
      <c r="E11629" s="8">
        <v>0</v>
      </c>
      <c r="F11629" s="8">
        <v>208</v>
      </c>
    </row>
    <row r="11630" spans="1:6" ht="12.75">
      <c r="A11630" s="8">
        <v>43899.624710648146</v>
      </c>
      <c r="B11630" s="8" t="str">
        <f>HYPERLINK("https://twitter.com/555masteng","@555masteng")</f>
        <v>@555masteng</v>
      </c>
      <c r="C11630" s="8" t="s">
        <v>4463</v>
      </c>
      <c r="D11630" s="8">
        <v>2</v>
      </c>
      <c r="E11630" s="8">
        <v>0</v>
      </c>
      <c r="F11630" s="8">
        <v>5587</v>
      </c>
    </row>
    <row r="11631" spans="1:6" ht="12.75">
      <c r="A11631" s="8">
        <v>43899.624490740738</v>
      </c>
      <c r="B11631" s="8" t="str">
        <f>HYPERLINK("https://twitter.com/jawapos","@jawapos")</f>
        <v>@jawapos</v>
      </c>
      <c r="C11631" s="8" t="s">
        <v>4823</v>
      </c>
      <c r="D11631" s="8">
        <v>3</v>
      </c>
      <c r="E11631" s="8">
        <v>2</v>
      </c>
      <c r="F11631" s="8">
        <v>128097</v>
      </c>
    </row>
    <row r="11632" spans="1:6" ht="12.75">
      <c r="A11632" s="8">
        <v>43899.624201388884</v>
      </c>
      <c r="B11632" s="8" t="str">
        <f>HYPERLINK("https://twitter.com/KompasTV","@KompasTV")</f>
        <v>@KompasTV</v>
      </c>
      <c r="C11632" s="8" t="s">
        <v>4824</v>
      </c>
      <c r="D11632" s="8">
        <v>2</v>
      </c>
      <c r="E11632" s="8">
        <v>5</v>
      </c>
      <c r="F11632" s="8">
        <v>2959839</v>
      </c>
    </row>
    <row r="11633" spans="1:6" ht="12.75">
      <c r="A11633" s="8">
        <v>43899.624097222222</v>
      </c>
      <c r="B11633" s="8" t="str">
        <f>HYPERLINK("https://twitter.com/antarasumbar","@antarasumbar")</f>
        <v>@antarasumbar</v>
      </c>
      <c r="C11633" s="8" t="s">
        <v>4825</v>
      </c>
      <c r="D11633" s="8">
        <v>0</v>
      </c>
      <c r="E11633" s="8">
        <v>0</v>
      </c>
      <c r="F11633" s="8">
        <v>9142</v>
      </c>
    </row>
    <row r="11634" spans="1:6" ht="12.75">
      <c r="A11634" s="8">
        <v>43899.623587962968</v>
      </c>
      <c r="B11634" s="8" t="str">
        <f>HYPERLINK("https://twitter.com/sopianmoo","@sopianmoo")</f>
        <v>@sopianmoo</v>
      </c>
      <c r="C11634" s="8" t="s">
        <v>4826</v>
      </c>
      <c r="D11634" s="8">
        <v>3</v>
      </c>
      <c r="E11634" s="8">
        <v>0</v>
      </c>
      <c r="F11634" s="8">
        <v>61</v>
      </c>
    </row>
    <row r="11635" spans="1:6" ht="12.75">
      <c r="A11635" s="8">
        <v>43899.622696759259</v>
      </c>
      <c r="B11635" s="8" t="str">
        <f>HYPERLINK("https://twitter.com/ThereseClaire_","@ThereseClaire_")</f>
        <v>@ThereseClaire_</v>
      </c>
      <c r="C11635" s="8" t="s">
        <v>4827</v>
      </c>
      <c r="D11635" s="8">
        <v>0</v>
      </c>
      <c r="E11635" s="8">
        <v>0</v>
      </c>
      <c r="F11635" s="8">
        <v>2053</v>
      </c>
    </row>
    <row r="11636" spans="1:6" ht="12.75">
      <c r="A11636" s="8">
        <v>43899.622662037036</v>
      </c>
      <c r="B11636" s="8" t="str">
        <f>HYPERLINK("https://twitter.com/EvaLaksmi","@EvaLaksmi")</f>
        <v>@EvaLaksmi</v>
      </c>
      <c r="C11636" s="8" t="s">
        <v>3262</v>
      </c>
      <c r="D11636" s="8">
        <v>154</v>
      </c>
      <c r="E11636" s="8">
        <v>0</v>
      </c>
      <c r="F11636" s="8">
        <v>325</v>
      </c>
    </row>
    <row r="11637" spans="1:6" ht="12.75">
      <c r="A11637" s="8">
        <v>43899.622569444444</v>
      </c>
      <c r="B11637" s="8" t="str">
        <f>HYPERLINK("https://twitter.com/nosa_her","@nosa_her")</f>
        <v>@nosa_her</v>
      </c>
      <c r="C11637" s="8" t="s">
        <v>3262</v>
      </c>
      <c r="D11637" s="8">
        <v>154</v>
      </c>
      <c r="E11637" s="8">
        <v>0</v>
      </c>
      <c r="F11637" s="8">
        <v>594</v>
      </c>
    </row>
    <row r="11638" spans="1:6" ht="12.75">
      <c r="A11638" s="8">
        <v>43899.622430555552</v>
      </c>
      <c r="B11638" s="8" t="str">
        <f>HYPERLINK("https://twitter.com/Amira_gG","@Amira_gG")</f>
        <v>@Amira_gG</v>
      </c>
      <c r="C11638" s="8" t="s">
        <v>4805</v>
      </c>
      <c r="D11638" s="8">
        <v>3</v>
      </c>
      <c r="E11638" s="8">
        <v>0</v>
      </c>
      <c r="F11638" s="8">
        <v>423</v>
      </c>
    </row>
    <row r="11639" spans="1:6" ht="12.75">
      <c r="A11639" s="8">
        <v>43899.622291666667</v>
      </c>
      <c r="B11639" s="8" t="str">
        <f>HYPERLINK("https://twitter.com/Balesh06866009","@Balesh06866009")</f>
        <v>@Balesh06866009</v>
      </c>
      <c r="C11639" s="8" t="s">
        <v>1917</v>
      </c>
      <c r="D11639" s="8">
        <v>1387</v>
      </c>
      <c r="E11639" s="8">
        <v>0</v>
      </c>
      <c r="F11639" s="8">
        <v>52</v>
      </c>
    </row>
    <row r="11640" spans="1:6" ht="12.75">
      <c r="A11640" s="8">
        <v>43899.622256944444</v>
      </c>
      <c r="B11640" s="8" t="str">
        <f>HYPERLINK("https://twitter.com/ennyelf2","@ennyelf2")</f>
        <v>@ennyelf2</v>
      </c>
      <c r="C11640" s="8" t="s">
        <v>3126</v>
      </c>
      <c r="D11640" s="8">
        <v>184</v>
      </c>
      <c r="E11640" s="8">
        <v>0</v>
      </c>
      <c r="F11640" s="8">
        <v>398</v>
      </c>
    </row>
    <row r="11641" spans="1:6" ht="12.75">
      <c r="A11641" s="8">
        <v>43899.622106481482</v>
      </c>
      <c r="B11641" s="8" t="str">
        <f>HYPERLINK("https://twitter.com/KJRI_CapeTown","@KJRI_CapeTown")</f>
        <v>@KJRI_CapeTown</v>
      </c>
      <c r="C11641" s="8" t="s">
        <v>1396</v>
      </c>
      <c r="D11641" s="8">
        <v>49</v>
      </c>
      <c r="E11641" s="8">
        <v>0</v>
      </c>
      <c r="F11641" s="8">
        <v>124</v>
      </c>
    </row>
    <row r="11642" spans="1:6" ht="12.75">
      <c r="A11642" s="8">
        <v>43899.622060185182</v>
      </c>
      <c r="B11642" s="8" t="str">
        <f>HYPERLINK("https://twitter.com/OpanMinOn","@OpanMinOn")</f>
        <v>@OpanMinOn</v>
      </c>
      <c r="C11642" s="8" t="s">
        <v>4664</v>
      </c>
      <c r="D11642" s="8">
        <v>15</v>
      </c>
      <c r="E11642" s="8">
        <v>0</v>
      </c>
      <c r="F11642" s="8">
        <v>2418</v>
      </c>
    </row>
    <row r="11643" spans="1:6" ht="12.75">
      <c r="A11643" s="8">
        <v>43899.621944444443</v>
      </c>
      <c r="B11643" s="8" t="str">
        <f>HYPERLINK("https://twitter.com/Bernard_Sims","@Bernard_Sims")</f>
        <v>@Bernard_Sims</v>
      </c>
      <c r="C11643" s="8" t="s">
        <v>4828</v>
      </c>
      <c r="D11643" s="8">
        <v>0</v>
      </c>
      <c r="E11643" s="8">
        <v>0</v>
      </c>
      <c r="F11643" s="8">
        <v>1369</v>
      </c>
    </row>
    <row r="11644" spans="1:6" ht="12.75">
      <c r="A11644" s="8">
        <v>43899.621747685189</v>
      </c>
      <c r="B11644" s="8" t="str">
        <f>HYPERLINK("https://twitter.com/bangkitriambada","@bangkitriambada")</f>
        <v>@bangkitriambada</v>
      </c>
      <c r="C11644" s="8" t="s">
        <v>4829</v>
      </c>
      <c r="D11644" s="8">
        <v>5</v>
      </c>
      <c r="E11644" s="8">
        <v>0</v>
      </c>
      <c r="F11644" s="8">
        <v>208</v>
      </c>
    </row>
    <row r="11645" spans="1:6" ht="12.75">
      <c r="A11645" s="8">
        <v>43899.621631944443</v>
      </c>
      <c r="B11645" s="8" t="str">
        <f>HYPERLINK("https://twitter.com/EddyWilliamTwit","@EddyWilliamTwit")</f>
        <v>@EddyWilliamTwit</v>
      </c>
      <c r="C11645" s="8" t="s">
        <v>4805</v>
      </c>
      <c r="D11645" s="8">
        <v>3</v>
      </c>
      <c r="E11645" s="8">
        <v>0</v>
      </c>
      <c r="F11645" s="8">
        <v>94</v>
      </c>
    </row>
    <row r="11646" spans="1:6" ht="12.75">
      <c r="A11646" s="8">
        <v>43899.621539351851</v>
      </c>
      <c r="B11646" s="8" t="str">
        <f>HYPERLINK("https://twitter.com/samoelli","@samoelli")</f>
        <v>@samoelli</v>
      </c>
      <c r="C11646" s="8" t="s">
        <v>3126</v>
      </c>
      <c r="D11646" s="8">
        <v>184</v>
      </c>
      <c r="E11646" s="8">
        <v>0</v>
      </c>
      <c r="F11646" s="8">
        <v>534</v>
      </c>
    </row>
    <row r="11647" spans="1:6" ht="12.75">
      <c r="A11647" s="8">
        <v>43899.621203703704</v>
      </c>
      <c r="B11647" s="8" t="str">
        <f>HYPERLINK("https://twitter.com/nsmahalwal27","@nsmahalwal27")</f>
        <v>@nsmahalwal27</v>
      </c>
      <c r="C11647" s="8" t="s">
        <v>4830</v>
      </c>
      <c r="D11647" s="8">
        <v>4</v>
      </c>
      <c r="E11647" s="8">
        <v>0</v>
      </c>
      <c r="F11647" s="8">
        <v>809</v>
      </c>
    </row>
    <row r="11648" spans="1:6" ht="12.75">
      <c r="A11648" s="8">
        <v>43899.621145833335</v>
      </c>
      <c r="B11648" s="8" t="str">
        <f>HYPERLINK("https://twitter.com/jogjacoret","@jogjacoret")</f>
        <v>@jogjacoret</v>
      </c>
      <c r="C11648" s="8" t="s">
        <v>4831</v>
      </c>
      <c r="D11648" s="8">
        <v>0</v>
      </c>
      <c r="E11648" s="8">
        <v>0</v>
      </c>
      <c r="F11648" s="8">
        <v>1291</v>
      </c>
    </row>
    <row r="11649" spans="1:6" ht="12.75">
      <c r="A11649" s="8">
        <v>43899.620370370365</v>
      </c>
      <c r="B11649" s="8" t="str">
        <f>HYPERLINK("https://twitter.com/AbhiChaubey07","@AbhiChaubey07")</f>
        <v>@AbhiChaubey07</v>
      </c>
      <c r="C11649" s="8" t="s">
        <v>4830</v>
      </c>
      <c r="D11649" s="8">
        <v>4</v>
      </c>
      <c r="E11649" s="8">
        <v>0</v>
      </c>
      <c r="F11649" s="8">
        <v>142</v>
      </c>
    </row>
    <row r="11650" spans="1:6" ht="12.75">
      <c r="A11650" s="8">
        <v>43899.620196759264</v>
      </c>
      <c r="B11650" s="8" t="str">
        <f>HYPERLINK("https://twitter.com/dwikyenggar","@dwikyenggar")</f>
        <v>@dwikyenggar</v>
      </c>
      <c r="C11650" s="8" t="s">
        <v>4032</v>
      </c>
      <c r="D11650" s="8">
        <v>7</v>
      </c>
      <c r="E11650" s="8">
        <v>0</v>
      </c>
      <c r="F11650" s="8">
        <v>587</v>
      </c>
    </row>
    <row r="11651" spans="1:6" ht="12.75">
      <c r="A11651" s="8">
        <v>43899.619479166664</v>
      </c>
      <c r="B11651" s="8" t="str">
        <f>HYPERLINK("https://twitter.com/KompasTV","@KompasTV")</f>
        <v>@KompasTV</v>
      </c>
      <c r="C11651" s="8" t="s">
        <v>4832</v>
      </c>
      <c r="D11651" s="8">
        <v>3</v>
      </c>
      <c r="E11651" s="8">
        <v>2</v>
      </c>
      <c r="F11651" s="8">
        <v>2959839</v>
      </c>
    </row>
    <row r="11652" spans="1:6" ht="12.75">
      <c r="A11652" s="8">
        <v>43899.619212962964</v>
      </c>
      <c r="B11652" s="8" t="str">
        <f>HYPERLINK("https://twitter.com/CepotPresiden","@CepotPresiden")</f>
        <v>@CepotPresiden</v>
      </c>
      <c r="C11652" s="8" t="s">
        <v>3126</v>
      </c>
      <c r="D11652" s="8">
        <v>184</v>
      </c>
      <c r="E11652" s="8">
        <v>0</v>
      </c>
      <c r="F11652" s="8">
        <v>171</v>
      </c>
    </row>
    <row r="11653" spans="1:6" ht="12.75">
      <c r="A11653" s="8">
        <v>43899.619166666671</v>
      </c>
      <c r="B11653" s="8" t="str">
        <f>HYPERLINK("https://twitter.com/Antara_Jabar","@Antara_Jabar")</f>
        <v>@Antara_Jabar</v>
      </c>
      <c r="C11653" s="8" t="s">
        <v>4833</v>
      </c>
      <c r="D11653" s="8">
        <v>0</v>
      </c>
      <c r="E11653" s="8">
        <v>0</v>
      </c>
      <c r="F11653" s="8">
        <v>1669</v>
      </c>
    </row>
    <row r="11654" spans="1:6" ht="12.75">
      <c r="A11654" s="8">
        <v>43899.61891203704</v>
      </c>
      <c r="B11654" s="8" t="str">
        <f>HYPERLINK("https://twitter.com/stelivena","@stelivena")</f>
        <v>@stelivena</v>
      </c>
      <c r="C11654" s="8" t="s">
        <v>4834</v>
      </c>
      <c r="D11654" s="8">
        <v>0</v>
      </c>
      <c r="E11654" s="8">
        <v>0</v>
      </c>
      <c r="F11654" s="8">
        <v>2</v>
      </c>
    </row>
    <row r="11655" spans="1:6" ht="12.75">
      <c r="A11655" s="8">
        <v>43899.61886574074</v>
      </c>
      <c r="B11655" s="8" t="str">
        <f>HYPERLINK("https://twitter.com/pujinseokjin","@pujinseokjin")</f>
        <v>@pujinseokjin</v>
      </c>
      <c r="C11655" s="8" t="s">
        <v>4835</v>
      </c>
      <c r="D11655" s="8">
        <v>0</v>
      </c>
      <c r="E11655" s="8">
        <v>0</v>
      </c>
      <c r="F11655" s="8">
        <v>86</v>
      </c>
    </row>
    <row r="11656" spans="1:6" ht="12.75">
      <c r="A11656" s="8">
        <v>43899.618703703702</v>
      </c>
      <c r="B11656" s="8" t="str">
        <f>HYPERLINK("https://twitter.com/SutanPamuncak4","@SutanPamuncak4")</f>
        <v>@SutanPamuncak4</v>
      </c>
      <c r="C11656" s="8" t="s">
        <v>4836</v>
      </c>
      <c r="D11656" s="8">
        <v>5417</v>
      </c>
      <c r="E11656" s="8">
        <v>0</v>
      </c>
      <c r="F11656" s="8">
        <v>1078</v>
      </c>
    </row>
    <row r="11657" spans="1:6" ht="12.75">
      <c r="A11657" s="8">
        <v>43899.618449074071</v>
      </c>
      <c r="B11657" s="8" t="str">
        <f>HYPERLINK("https://twitter.com/MeAgriannie","@MeAgriannie")</f>
        <v>@MeAgriannie</v>
      </c>
      <c r="C11657" s="8" t="s">
        <v>4837</v>
      </c>
      <c r="D11657" s="8">
        <v>1</v>
      </c>
      <c r="E11657" s="8">
        <v>0</v>
      </c>
      <c r="F11657" s="8">
        <v>113</v>
      </c>
    </row>
    <row r="11658" spans="1:6" ht="12.75">
      <c r="A11658" s="8">
        <v>43899.617939814816</v>
      </c>
      <c r="B11658" s="8" t="str">
        <f>HYPERLINK("https://twitter.com/Fatma_Reyna","@Fatma_Reyna")</f>
        <v>@Fatma_Reyna</v>
      </c>
      <c r="C11658" s="8" t="s">
        <v>4838</v>
      </c>
      <c r="D11658" s="8">
        <v>1</v>
      </c>
      <c r="E11658" s="8">
        <v>0</v>
      </c>
      <c r="F11658" s="8">
        <v>1105</v>
      </c>
    </row>
    <row r="11659" spans="1:6" ht="12.75">
      <c r="A11659" s="8">
        <v>43899.617766203708</v>
      </c>
      <c r="B11659" s="8" t="str">
        <f>HYPERLINK("https://twitter.com/aksadorable","@aksadorable")</f>
        <v>@aksadorable</v>
      </c>
      <c r="C11659" s="8" t="s">
        <v>1917</v>
      </c>
      <c r="D11659" s="8">
        <v>1387</v>
      </c>
      <c r="E11659" s="8">
        <v>0</v>
      </c>
      <c r="F11659" s="8">
        <v>533</v>
      </c>
    </row>
    <row r="11660" spans="1:6" ht="12.75">
      <c r="A11660" s="8">
        <v>43899.617037037038</v>
      </c>
      <c r="B11660" s="8" t="str">
        <f>HYPERLINK("https://twitter.com/VIVAcoid","@VIVAcoid")</f>
        <v>@VIVAcoid</v>
      </c>
      <c r="C11660" s="8" t="s">
        <v>4839</v>
      </c>
      <c r="D11660" s="8">
        <v>1</v>
      </c>
      <c r="E11660" s="8">
        <v>0</v>
      </c>
      <c r="F11660" s="8">
        <v>4176372</v>
      </c>
    </row>
    <row r="11661" spans="1:6" ht="12.75">
      <c r="A11661" s="8">
        <v>43899.617013888885</v>
      </c>
      <c r="B11661" s="8" t="str">
        <f>HYPERLINK("https://twitter.com/etjon5","@etjon5")</f>
        <v>@etjon5</v>
      </c>
      <c r="C11661" s="8" t="s">
        <v>4836</v>
      </c>
      <c r="D11661" s="8">
        <v>5417</v>
      </c>
      <c r="E11661" s="8">
        <v>0</v>
      </c>
      <c r="F11661" s="8">
        <v>1068</v>
      </c>
    </row>
    <row r="11662" spans="1:6" ht="12.75">
      <c r="A11662" s="8">
        <v>43899.6169212963</v>
      </c>
      <c r="B11662" s="8" t="str">
        <f>HYPERLINK("https://twitter.com/MeAgriannie","@MeAgriannie")</f>
        <v>@MeAgriannie</v>
      </c>
      <c r="C11662" s="8" t="s">
        <v>4840</v>
      </c>
      <c r="D11662" s="8">
        <v>0</v>
      </c>
      <c r="E11662" s="8">
        <v>0</v>
      </c>
      <c r="F11662" s="8">
        <v>113</v>
      </c>
    </row>
    <row r="11663" spans="1:6" ht="12.75">
      <c r="A11663" s="8">
        <v>43899.616863425923</v>
      </c>
      <c r="B11663" s="8" t="str">
        <f>HYPERLINK("https://twitter.com/dhemit_official","@dhemit_official")</f>
        <v>@dhemit_official</v>
      </c>
      <c r="C11663" s="8" t="s">
        <v>4841</v>
      </c>
      <c r="D11663" s="8">
        <v>0</v>
      </c>
      <c r="E11663" s="8">
        <v>0</v>
      </c>
      <c r="F11663" s="8">
        <v>19</v>
      </c>
    </row>
    <row r="11664" spans="1:6" ht="12.75">
      <c r="A11664" s="8">
        <v>43899.616712962961</v>
      </c>
      <c r="B11664" s="8" t="str">
        <f>HYPERLINK("https://twitter.com/vivanewscom","@vivanewscom")</f>
        <v>@vivanewscom</v>
      </c>
      <c r="C11664" s="8" t="s">
        <v>4842</v>
      </c>
      <c r="D11664" s="8">
        <v>1</v>
      </c>
      <c r="E11664" s="8">
        <v>0</v>
      </c>
      <c r="F11664" s="8">
        <v>4827</v>
      </c>
    </row>
    <row r="11665" spans="1:6" ht="12.75">
      <c r="A11665" s="8">
        <v>43899.616562499999</v>
      </c>
      <c r="B11665" s="8" t="str">
        <f>HYPERLINK("https://twitter.com/Nusantara_TV","@Nusantara_TV")</f>
        <v>@Nusantara_TV</v>
      </c>
      <c r="C11665" s="8" t="s">
        <v>4843</v>
      </c>
      <c r="D11665" s="8">
        <v>0</v>
      </c>
      <c r="E11665" s="8">
        <v>0</v>
      </c>
      <c r="F11665" s="8">
        <v>501</v>
      </c>
    </row>
    <row r="11666" spans="1:6" ht="12.75">
      <c r="A11666" s="8">
        <v>43899.616319444445</v>
      </c>
      <c r="B11666" s="8" t="str">
        <f>HYPERLINK("https://twitter.com/bharatdarshi","@bharatdarshi")</f>
        <v>@bharatdarshi</v>
      </c>
      <c r="C11666" s="8" t="s">
        <v>4830</v>
      </c>
      <c r="D11666" s="8">
        <v>4</v>
      </c>
      <c r="E11666" s="8">
        <v>0</v>
      </c>
      <c r="F11666" s="8">
        <v>301</v>
      </c>
    </row>
    <row r="11667" spans="1:6" ht="12.75">
      <c r="A11667" s="8">
        <v>43899.615532407406</v>
      </c>
      <c r="B11667" s="8" t="str">
        <f>HYPERLINK("https://twitter.com/ika_feriyana","@ika_feriyana")</f>
        <v>@ika_feriyana</v>
      </c>
      <c r="C11667" s="8" t="s">
        <v>4801</v>
      </c>
      <c r="D11667" s="8">
        <v>148</v>
      </c>
      <c r="E11667" s="8">
        <v>0</v>
      </c>
      <c r="F11667" s="8">
        <v>140</v>
      </c>
    </row>
    <row r="11668" spans="1:6" ht="12.75">
      <c r="A11668" s="8">
        <v>43899.615162037036</v>
      </c>
      <c r="B11668" s="8" t="str">
        <f>HYPERLINK("https://twitter.com/EULIS61893872","@EULIS61893872")</f>
        <v>@EULIS61893872</v>
      </c>
      <c r="C11668" s="8" t="s">
        <v>3126</v>
      </c>
      <c r="D11668" s="8">
        <v>184</v>
      </c>
      <c r="E11668" s="8">
        <v>0</v>
      </c>
      <c r="F11668" s="8">
        <v>395</v>
      </c>
    </row>
    <row r="11669" spans="1:6" ht="12.75">
      <c r="A11669" s="8">
        <v>43899.614386574074</v>
      </c>
      <c r="B11669" s="8" t="str">
        <f>HYPERLINK("https://twitter.com/IIBeingM44ll","@IIBeingM44ll")</f>
        <v>@IIBeingM44ll</v>
      </c>
      <c r="C11669" s="8" t="s">
        <v>4830</v>
      </c>
      <c r="D11669" s="8">
        <v>4</v>
      </c>
      <c r="E11669" s="8">
        <v>0</v>
      </c>
      <c r="F11669" s="8">
        <v>12922</v>
      </c>
    </row>
    <row r="11670" spans="1:6" ht="12.75">
      <c r="A11670" s="8">
        <v>43899.614386574074</v>
      </c>
      <c r="B11670" s="8" t="str">
        <f>HYPERLINK("https://twitter.com/Rashmi_welekar","@Rashmi_welekar")</f>
        <v>@Rashmi_welekar</v>
      </c>
      <c r="C11670" s="8" t="s">
        <v>1917</v>
      </c>
      <c r="D11670" s="8">
        <v>1387</v>
      </c>
      <c r="E11670" s="8">
        <v>0</v>
      </c>
      <c r="F11670" s="8">
        <v>111</v>
      </c>
    </row>
    <row r="11671" spans="1:6" ht="12.75">
      <c r="A11671" s="8">
        <v>43899.614131944443</v>
      </c>
      <c r="B11671" s="8" t="str">
        <f>HYPERLINK("https://twitter.com/SpaceofBella","@SpaceofBella")</f>
        <v>@SpaceofBella</v>
      </c>
      <c r="C11671" s="8" t="s">
        <v>4844</v>
      </c>
      <c r="D11671" s="8">
        <v>0</v>
      </c>
      <c r="E11671" s="8">
        <v>0</v>
      </c>
      <c r="F11671" s="8">
        <v>118</v>
      </c>
    </row>
    <row r="11672" spans="1:6" ht="12.75">
      <c r="A11672" s="8">
        <v>43899.614074074074</v>
      </c>
      <c r="B11672" s="8" t="str">
        <f>HYPERLINK("https://twitter.com/8ab2cad1a73d4fe","@8ab2cad1a73d4fe")</f>
        <v>@8ab2cad1a73d4fe</v>
      </c>
      <c r="C11672" s="8" t="s">
        <v>3126</v>
      </c>
      <c r="D11672" s="8">
        <v>184</v>
      </c>
      <c r="E11672" s="8">
        <v>0</v>
      </c>
      <c r="F11672" s="8">
        <v>468</v>
      </c>
    </row>
    <row r="11673" spans="1:6" ht="12.75">
      <c r="A11673" s="8">
        <v>43899.614050925928</v>
      </c>
      <c r="B11673" s="8" t="str">
        <f>HYPERLINK("https://twitter.com/sanjaymshra","@sanjaymshra")</f>
        <v>@sanjaymshra</v>
      </c>
      <c r="C11673" s="8" t="s">
        <v>1917</v>
      </c>
      <c r="D11673" s="8">
        <v>1387</v>
      </c>
      <c r="E11673" s="8">
        <v>0</v>
      </c>
      <c r="F11673" s="8">
        <v>715</v>
      </c>
    </row>
    <row r="11674" spans="1:6" ht="12.75">
      <c r="A11674" s="8">
        <v>43899.613750000004</v>
      </c>
      <c r="B11674" s="8" t="str">
        <f>HYPERLINK("https://twitter.com/SambasSamsu61","@SambasSamsu61")</f>
        <v>@SambasSamsu61</v>
      </c>
      <c r="C11674" s="8" t="s">
        <v>4032</v>
      </c>
      <c r="D11674" s="8">
        <v>7</v>
      </c>
      <c r="E11674" s="8">
        <v>0</v>
      </c>
      <c r="F11674" s="8">
        <v>91</v>
      </c>
    </row>
    <row r="11675" spans="1:6" ht="12.75">
      <c r="A11675" s="8">
        <v>43899.613611111112</v>
      </c>
      <c r="B11675" s="8" t="str">
        <f>HYPERLINK("https://twitter.com/Narendr00740375","@Narendr00740375")</f>
        <v>@Narendr00740375</v>
      </c>
      <c r="C11675" s="8" t="s">
        <v>4845</v>
      </c>
      <c r="D11675" s="8">
        <v>0</v>
      </c>
      <c r="E11675" s="8">
        <v>0</v>
      </c>
      <c r="F11675" s="8">
        <v>24</v>
      </c>
    </row>
    <row r="11676" spans="1:6" ht="12.75">
      <c r="A11676" s="8">
        <v>43899.612407407403</v>
      </c>
      <c r="B11676" s="8" t="str">
        <f>HYPERLINK("https://twitter.com/sammyfish13","@sammyfish13")</f>
        <v>@sammyfish13</v>
      </c>
      <c r="C11676" s="8" t="s">
        <v>4846</v>
      </c>
      <c r="D11676" s="8">
        <v>1</v>
      </c>
      <c r="E11676" s="8">
        <v>0</v>
      </c>
      <c r="F11676" s="8">
        <v>454</v>
      </c>
    </row>
    <row r="11677" spans="1:6" ht="12.75">
      <c r="A11677" s="8">
        <v>43899.612361111111</v>
      </c>
      <c r="B11677" s="8" t="str">
        <f>HYPERLINK("https://twitter.com/coffeeandme_","@coffeeandme_")</f>
        <v>@coffeeandme_</v>
      </c>
      <c r="C11677" s="8" t="s">
        <v>4847</v>
      </c>
      <c r="D11677" s="8">
        <v>0</v>
      </c>
      <c r="E11677" s="8">
        <v>1</v>
      </c>
      <c r="F11677" s="8">
        <v>1723</v>
      </c>
    </row>
    <row r="11678" spans="1:6" ht="12.75">
      <c r="A11678" s="8">
        <v>43899.612326388888</v>
      </c>
      <c r="B11678" s="8" t="str">
        <f>HYPERLINK("https://twitter.com/PratapVijender","@PratapVijender")</f>
        <v>@PratapVijender</v>
      </c>
      <c r="C11678" s="8" t="s">
        <v>1917</v>
      </c>
      <c r="D11678" s="8">
        <v>1387</v>
      </c>
      <c r="E11678" s="8">
        <v>0</v>
      </c>
      <c r="F11678" s="8">
        <v>177</v>
      </c>
    </row>
    <row r="11679" spans="1:6" ht="12.75">
      <c r="A11679" s="8">
        <v>43899.612129629633</v>
      </c>
      <c r="B11679" s="8" t="str">
        <f>HYPERLINK("https://twitter.com/BerlandGroup","@BerlandGroup")</f>
        <v>@BerlandGroup</v>
      </c>
      <c r="C11679" s="8" t="s">
        <v>4848</v>
      </c>
      <c r="D11679" s="8">
        <v>0</v>
      </c>
      <c r="E11679" s="8">
        <v>0</v>
      </c>
      <c r="F11679" s="8">
        <v>796</v>
      </c>
    </row>
    <row r="11680" spans="1:6" ht="12.75">
      <c r="A11680" s="8">
        <v>43899.612013888887</v>
      </c>
      <c r="B11680" s="8" t="str">
        <f>HYPERLINK("https://twitter.com/yogendranathti1","@yogendranathti1")</f>
        <v>@yogendranathti1</v>
      </c>
      <c r="C11680" s="8" t="s">
        <v>4849</v>
      </c>
      <c r="D11680" s="8">
        <v>0</v>
      </c>
      <c r="E11680" s="8">
        <v>0</v>
      </c>
      <c r="F11680" s="8">
        <v>320</v>
      </c>
    </row>
    <row r="11681" spans="1:6" ht="12.75">
      <c r="A11681" s="8">
        <v>43899.612013888887</v>
      </c>
      <c r="B11681" s="8" t="str">
        <f>HYPERLINK("https://twitter.com/jr_kw19","@jr_kw19")</f>
        <v>@jr_kw19</v>
      </c>
      <c r="C11681" s="8" t="s">
        <v>4032</v>
      </c>
      <c r="D11681" s="8">
        <v>7</v>
      </c>
      <c r="E11681" s="8">
        <v>0</v>
      </c>
      <c r="F11681" s="8">
        <v>41604</v>
      </c>
    </row>
    <row r="11682" spans="1:6" ht="12.75">
      <c r="A11682" s="8">
        <v>43899.611944444448</v>
      </c>
      <c r="B11682" s="8" t="str">
        <f>HYPERLINK("https://twitter.com/iRupeshS","@iRupeshS")</f>
        <v>@iRupeshS</v>
      </c>
      <c r="C11682" s="8" t="s">
        <v>4850</v>
      </c>
      <c r="D11682" s="8">
        <v>4</v>
      </c>
      <c r="E11682" s="8">
        <v>5</v>
      </c>
      <c r="F11682" s="8">
        <v>44564</v>
      </c>
    </row>
    <row r="11683" spans="1:6" ht="12.75">
      <c r="A11683" s="8">
        <v>43899.61136574074</v>
      </c>
      <c r="B11683" s="8" t="str">
        <f>HYPERLINK("https://twitter.com/APA072316","@APA072316")</f>
        <v>@APA072316</v>
      </c>
      <c r="C11683" s="8" t="s">
        <v>3126</v>
      </c>
      <c r="D11683" s="8">
        <v>184</v>
      </c>
      <c r="E11683" s="8">
        <v>0</v>
      </c>
      <c r="F11683" s="8">
        <v>683</v>
      </c>
    </row>
    <row r="11684" spans="1:6" ht="12.75">
      <c r="A11684" s="8">
        <v>43899.611331018517</v>
      </c>
      <c r="B11684" s="8" t="str">
        <f>HYPERLINK("https://twitter.com/Ravikant_Netam","@Ravikant_Netam")</f>
        <v>@Ravikant_Netam</v>
      </c>
      <c r="C11684" s="8" t="s">
        <v>1917</v>
      </c>
      <c r="D11684" s="8">
        <v>1387</v>
      </c>
      <c r="E11684" s="8">
        <v>0</v>
      </c>
      <c r="F11684" s="8">
        <v>900</v>
      </c>
    </row>
    <row r="11685" spans="1:6" ht="12.75">
      <c r="A11685" s="8">
        <v>43899.611319444448</v>
      </c>
      <c r="B11685" s="8" t="str">
        <f>HYPERLINK("https://twitter.com/mujiant90379502","@mujiant90379502")</f>
        <v>@mujiant90379502</v>
      </c>
      <c r="C11685" s="8" t="s">
        <v>3126</v>
      </c>
      <c r="D11685" s="8">
        <v>184</v>
      </c>
      <c r="E11685" s="8">
        <v>0</v>
      </c>
      <c r="F11685" s="8">
        <v>167</v>
      </c>
    </row>
    <row r="11686" spans="1:6" ht="12.75">
      <c r="A11686" s="8">
        <v>43899.611192129625</v>
      </c>
      <c r="B11686" s="8" t="str">
        <f>HYPERLINK("https://twitter.com/sumodoel","@sumodoel")</f>
        <v>@sumodoel</v>
      </c>
      <c r="C11686" s="8" t="s">
        <v>4851</v>
      </c>
      <c r="D11686" s="8">
        <v>0</v>
      </c>
      <c r="E11686" s="8">
        <v>0</v>
      </c>
      <c r="F11686" s="8">
        <v>268</v>
      </c>
    </row>
    <row r="11687" spans="1:6" ht="12.75">
      <c r="A11687" s="8">
        <v>43899.610821759255</v>
      </c>
      <c r="B11687" s="8" t="str">
        <f>HYPERLINK("https://twitter.com/kangdede78","@kangdede78")</f>
        <v>@kangdede78</v>
      </c>
      <c r="C11687" s="8" t="s">
        <v>4590</v>
      </c>
      <c r="D11687" s="8">
        <v>4</v>
      </c>
      <c r="E11687" s="8">
        <v>0</v>
      </c>
      <c r="F11687" s="8">
        <v>99370</v>
      </c>
    </row>
    <row r="11688" spans="1:6" ht="12.75">
      <c r="A11688" s="8">
        <v>43899.610706018517</v>
      </c>
      <c r="B11688" s="8" t="str">
        <f>HYPERLINK("https://twitter.com/KakekHalal","@KakekHalal")</f>
        <v>@KakekHalal</v>
      </c>
      <c r="C11688" s="8" t="s">
        <v>4463</v>
      </c>
      <c r="D11688" s="8">
        <v>2</v>
      </c>
      <c r="E11688" s="8">
        <v>0</v>
      </c>
      <c r="F11688" s="8">
        <v>23561</v>
      </c>
    </row>
    <row r="11689" spans="1:6" ht="12.75">
      <c r="A11689" s="8">
        <v>43899.610590277778</v>
      </c>
      <c r="B11689" s="8" t="str">
        <f>HYPERLINK("https://twitter.com/dwiyanaDKM","@dwiyanaDKM")</f>
        <v>@dwiyanaDKM</v>
      </c>
      <c r="C11689" s="8" t="s">
        <v>4590</v>
      </c>
      <c r="D11689" s="8">
        <v>4</v>
      </c>
      <c r="E11689" s="8">
        <v>0</v>
      </c>
      <c r="F11689" s="8">
        <v>2916</v>
      </c>
    </row>
    <row r="11690" spans="1:6" ht="12.75">
      <c r="A11690" s="8">
        <v>43899.610520833332</v>
      </c>
      <c r="B11690" s="8" t="str">
        <f>HYPERLINK("https://twitter.com/sondangsway","@sondangsway")</f>
        <v>@sondangsway</v>
      </c>
      <c r="C11690" s="8" t="s">
        <v>4852</v>
      </c>
      <c r="D11690" s="8">
        <v>0</v>
      </c>
      <c r="E11690" s="8">
        <v>0</v>
      </c>
      <c r="F11690" s="8">
        <v>581</v>
      </c>
    </row>
    <row r="11691" spans="1:6" ht="12.75">
      <c r="A11691" s="8">
        <v>43899.610462962963</v>
      </c>
      <c r="B11691" s="8" t="str">
        <f>HYPERLINK("https://twitter.com/merdekadotcom","@merdekadotcom")</f>
        <v>@merdekadotcom</v>
      </c>
      <c r="C11691" s="8" t="s">
        <v>4853</v>
      </c>
      <c r="D11691" s="8">
        <v>1</v>
      </c>
      <c r="E11691" s="8">
        <v>0</v>
      </c>
      <c r="F11691" s="8">
        <v>231907</v>
      </c>
    </row>
    <row r="11692" spans="1:6" ht="12.75">
      <c r="A11692" s="8">
        <v>43899.610208333332</v>
      </c>
      <c r="B11692" s="8" t="str">
        <f>HYPERLINK("https://twitter.com/coffeeandme_","@coffeeandme_")</f>
        <v>@coffeeandme_</v>
      </c>
      <c r="C11692" s="8" t="s">
        <v>4854</v>
      </c>
      <c r="D11692" s="8">
        <v>4</v>
      </c>
      <c r="E11692" s="8">
        <v>6</v>
      </c>
      <c r="F11692" s="8">
        <v>1723</v>
      </c>
    </row>
    <row r="11693" spans="1:6" ht="12.75">
      <c r="A11693" s="8">
        <v>43899.610138888893</v>
      </c>
      <c r="B11693" s="8" t="str">
        <f>HYPERLINK("https://twitter.com/pubinform","@pubinform")</f>
        <v>@pubinform</v>
      </c>
      <c r="C11693" s="8" t="s">
        <v>4855</v>
      </c>
      <c r="D11693" s="8">
        <v>0</v>
      </c>
      <c r="E11693" s="8">
        <v>0</v>
      </c>
      <c r="F11693" s="8">
        <v>383</v>
      </c>
    </row>
    <row r="11694" spans="1:6" ht="12.75">
      <c r="A11694" s="8">
        <v>43899.589780092589</v>
      </c>
      <c r="B11694" s="8" t="str">
        <f>HYPERLINK("https://twitter.com/dhanidhan78","@dhanidhan78")</f>
        <v>@dhanidhan78</v>
      </c>
      <c r="C11694" s="8" t="s">
        <v>3262</v>
      </c>
      <c r="D11694" s="8">
        <v>147</v>
      </c>
      <c r="E11694" s="8">
        <v>0</v>
      </c>
      <c r="F11694" s="8">
        <v>103</v>
      </c>
    </row>
    <row r="11695" spans="1:6" ht="12.75">
      <c r="A11695" s="8">
        <v>43899.58971064815</v>
      </c>
      <c r="B11695" s="8" t="str">
        <f>HYPERLINK("https://twitter.com/Hajrah_m3chy","@Hajrah_m3chy")</f>
        <v>@Hajrah_m3chy</v>
      </c>
      <c r="C11695" s="8" t="s">
        <v>4664</v>
      </c>
      <c r="D11695" s="8">
        <v>10</v>
      </c>
      <c r="E11695" s="8">
        <v>0</v>
      </c>
      <c r="F11695" s="8">
        <v>258</v>
      </c>
    </row>
    <row r="11696" spans="1:6" ht="12.75">
      <c r="A11696" s="8">
        <v>43899.589606481481</v>
      </c>
      <c r="B11696" s="8" t="str">
        <f>HYPERLINK("https://twitter.com/topinfo_id","@topinfo_id")</f>
        <v>@topinfo_id</v>
      </c>
      <c r="C11696" s="8" t="s">
        <v>4856</v>
      </c>
      <c r="D11696" s="8">
        <v>0</v>
      </c>
      <c r="E11696" s="8">
        <v>0</v>
      </c>
      <c r="F11696" s="8">
        <v>69</v>
      </c>
    </row>
    <row r="11697" spans="1:6" ht="12.75">
      <c r="A11697" s="8">
        <v>43899.589456018519</v>
      </c>
      <c r="B11697" s="8" t="str">
        <f>HYPERLINK("https://twitter.com/mishera","@mishera")</f>
        <v>@mishera</v>
      </c>
      <c r="C11697" s="8" t="s">
        <v>4801</v>
      </c>
      <c r="D11697" s="8">
        <v>144</v>
      </c>
      <c r="E11697" s="8">
        <v>0</v>
      </c>
      <c r="F11697" s="8">
        <v>120</v>
      </c>
    </row>
    <row r="11698" spans="1:6" ht="12.75">
      <c r="A11698" s="8">
        <v>43899.58929398148</v>
      </c>
      <c r="B11698" s="8" t="str">
        <f>HYPERLINK("https://twitter.com/anditoaja","@anditoaja")</f>
        <v>@anditoaja</v>
      </c>
      <c r="C11698" s="8" t="s">
        <v>4857</v>
      </c>
      <c r="D11698" s="8">
        <v>0</v>
      </c>
      <c r="E11698" s="8">
        <v>0</v>
      </c>
      <c r="F11698" s="8">
        <v>1473</v>
      </c>
    </row>
    <row r="11699" spans="1:6" ht="12.75">
      <c r="A11699" s="8">
        <v>43899.588831018518</v>
      </c>
      <c r="B11699" s="8" t="str">
        <f>HYPERLINK("https://twitter.com/didi_idid","@didi_idid")</f>
        <v>@didi_idid</v>
      </c>
      <c r="C11699" s="8" t="s">
        <v>4858</v>
      </c>
      <c r="D11699" s="8">
        <v>1</v>
      </c>
      <c r="E11699" s="8">
        <v>0</v>
      </c>
      <c r="F11699" s="8">
        <v>547</v>
      </c>
    </row>
    <row r="11700" spans="1:6" ht="12.75">
      <c r="A11700" s="8">
        <v>43899.588136574079</v>
      </c>
      <c r="B11700" s="8" t="str">
        <f>HYPERLINK("https://twitter.com/riteshpali","@riteshpali")</f>
        <v>@riteshpali</v>
      </c>
      <c r="C11700" s="8" t="s">
        <v>1917</v>
      </c>
      <c r="D11700" s="8">
        <v>1357</v>
      </c>
      <c r="E11700" s="8">
        <v>0</v>
      </c>
      <c r="F11700" s="8">
        <v>886</v>
      </c>
    </row>
    <row r="11701" spans="1:6" ht="12.75">
      <c r="A11701" s="8">
        <v>43899.587951388894</v>
      </c>
      <c r="B11701" s="8" t="str">
        <f>HYPERLINK("https://twitter.com/nilamerah1","@nilamerah1")</f>
        <v>@nilamerah1</v>
      </c>
      <c r="C11701" s="8" t="s">
        <v>3126</v>
      </c>
      <c r="D11701" s="8">
        <v>164</v>
      </c>
      <c r="E11701" s="8">
        <v>0</v>
      </c>
      <c r="F11701" s="8">
        <v>3845</v>
      </c>
    </row>
    <row r="11702" spans="1:6" ht="12.75">
      <c r="A11702" s="8">
        <v>43899.587916666671</v>
      </c>
      <c r="B11702" s="8" t="str">
        <f>HYPERLINK("https://twitter.com/alpinsi_pandi","@alpinsi_pandi")</f>
        <v>@alpinsi_pandi</v>
      </c>
      <c r="C11702" s="8" t="s">
        <v>4859</v>
      </c>
      <c r="D11702" s="8">
        <v>0</v>
      </c>
      <c r="E11702" s="8">
        <v>0</v>
      </c>
      <c r="F11702" s="8">
        <v>10300</v>
      </c>
    </row>
    <row r="11703" spans="1:6" ht="12.75">
      <c r="A11703" s="8">
        <v>43899.587025462963</v>
      </c>
      <c r="B11703" s="8" t="str">
        <f>HYPERLINK("https://twitter.com/alterpaulo2","@alterpaulo2")</f>
        <v>@alterpaulo2</v>
      </c>
      <c r="C11703" s="8" t="s">
        <v>4860</v>
      </c>
      <c r="D11703" s="8">
        <v>3</v>
      </c>
      <c r="E11703" s="8">
        <v>0</v>
      </c>
      <c r="F11703" s="8">
        <v>35</v>
      </c>
    </row>
    <row r="11704" spans="1:6" ht="12.75">
      <c r="A11704" s="8">
        <v>43899.586701388893</v>
      </c>
      <c r="B11704" s="8" t="str">
        <f>HYPERLINK("https://twitter.com/wisanggeni_AB","@wisanggeni_AB")</f>
        <v>@wisanggeni_AB</v>
      </c>
      <c r="C11704" s="8" t="s">
        <v>4664</v>
      </c>
      <c r="D11704" s="8">
        <v>10</v>
      </c>
      <c r="E11704" s="8">
        <v>0</v>
      </c>
      <c r="F11704" s="8">
        <v>2205</v>
      </c>
    </row>
    <row r="11705" spans="1:6" ht="12.75">
      <c r="A11705" s="8">
        <v>43899.58662037037</v>
      </c>
      <c r="B11705" s="8" t="str">
        <f>HYPERLINK("https://twitter.com/ryolandafit","@ryolandafit")</f>
        <v>@ryolandafit</v>
      </c>
      <c r="C11705" s="8" t="s">
        <v>4861</v>
      </c>
      <c r="D11705" s="8">
        <v>2</v>
      </c>
      <c r="E11705" s="8">
        <v>0</v>
      </c>
      <c r="F11705" s="8">
        <v>658</v>
      </c>
    </row>
    <row r="11706" spans="1:6" ht="12.75">
      <c r="A11706" s="8">
        <v>43899.586608796293</v>
      </c>
      <c r="B11706" s="8" t="str">
        <f t="shared" ref="B11706:B11707" si="186">HYPERLINK("https://twitter.com/FauziaLatiff","@FauziaLatiff")</f>
        <v>@FauziaLatiff</v>
      </c>
      <c r="C11706" s="8" t="s">
        <v>1396</v>
      </c>
      <c r="D11706" s="8">
        <v>44</v>
      </c>
      <c r="E11706" s="8">
        <v>0</v>
      </c>
      <c r="F11706" s="8">
        <v>17</v>
      </c>
    </row>
    <row r="11707" spans="1:6" ht="12.75">
      <c r="A11707" s="8">
        <v>43899.586597222224</v>
      </c>
      <c r="B11707" s="8" t="str">
        <f t="shared" si="186"/>
        <v>@FauziaLatiff</v>
      </c>
      <c r="C11707" s="8" t="s">
        <v>1397</v>
      </c>
      <c r="D11707" s="8">
        <v>21</v>
      </c>
      <c r="E11707" s="8">
        <v>0</v>
      </c>
      <c r="F11707" s="8">
        <v>17</v>
      </c>
    </row>
    <row r="11708" spans="1:6" ht="12.75">
      <c r="A11708" s="8">
        <v>43899.586435185185</v>
      </c>
      <c r="B11708" s="8" t="str">
        <f>HYPERLINK("https://twitter.com/HasbyYusuf9","@HasbyYusuf9")</f>
        <v>@HasbyYusuf9</v>
      </c>
      <c r="C11708" s="8" t="s">
        <v>4664</v>
      </c>
      <c r="D11708" s="8">
        <v>10</v>
      </c>
      <c r="E11708" s="8">
        <v>0</v>
      </c>
      <c r="F11708" s="8">
        <v>185</v>
      </c>
    </row>
    <row r="11709" spans="1:6" ht="12.75">
      <c r="A11709" s="8">
        <v>43899.586400462962</v>
      </c>
      <c r="B11709" s="8" t="str">
        <f>HYPERLINK("https://twitter.com/alpinsi_pandi","@alpinsi_pandi")</f>
        <v>@alpinsi_pandi</v>
      </c>
      <c r="C11709" s="8" t="s">
        <v>4862</v>
      </c>
      <c r="D11709" s="8">
        <v>0</v>
      </c>
      <c r="E11709" s="8">
        <v>1</v>
      </c>
      <c r="F11709" s="8">
        <v>10300</v>
      </c>
    </row>
    <row r="11710" spans="1:6" ht="12.75">
      <c r="A11710" s="8">
        <v>43899.586284722223</v>
      </c>
      <c r="B11710" s="8" t="str">
        <f>HYPERLINK("https://twitter.com/translatorbali","@translatorbali")</f>
        <v>@translatorbali</v>
      </c>
      <c r="C11710" s="8" t="s">
        <v>1396</v>
      </c>
      <c r="D11710" s="8">
        <v>44</v>
      </c>
      <c r="E11710" s="8">
        <v>0</v>
      </c>
      <c r="F11710" s="8">
        <v>3876</v>
      </c>
    </row>
    <row r="11711" spans="1:6" ht="12.75">
      <c r="A11711" s="8">
        <v>43899.586215277777</v>
      </c>
      <c r="B11711" s="8" t="str">
        <f>HYPERLINK("https://twitter.com/vibeom","@vibeom")</f>
        <v>@vibeom</v>
      </c>
      <c r="C11711" s="8" t="s">
        <v>4795</v>
      </c>
      <c r="D11711" s="8">
        <v>43</v>
      </c>
      <c r="E11711" s="8">
        <v>0</v>
      </c>
      <c r="F11711" s="8">
        <v>785</v>
      </c>
    </row>
    <row r="11712" spans="1:6" ht="12.75">
      <c r="A11712" s="8">
        <v>43899.586041666669</v>
      </c>
      <c r="B11712" s="8" t="str">
        <f>HYPERLINK("https://twitter.com/SofyanSugandhi","@SofyanSugandhi")</f>
        <v>@SofyanSugandhi</v>
      </c>
      <c r="C11712" s="8" t="s">
        <v>3126</v>
      </c>
      <c r="D11712" s="8">
        <v>164</v>
      </c>
      <c r="E11712" s="8">
        <v>0</v>
      </c>
      <c r="F11712" s="8">
        <v>697</v>
      </c>
    </row>
    <row r="11713" spans="1:6" ht="12.75">
      <c r="A11713" s="8">
        <v>43899.585868055554</v>
      </c>
      <c r="B11713" s="8" t="str">
        <f>HYPERLINK("https://twitter.com/suri95080404","@suri95080404")</f>
        <v>@suri95080404</v>
      </c>
      <c r="C11713" s="8" t="s">
        <v>1917</v>
      </c>
      <c r="D11713" s="8">
        <v>1357</v>
      </c>
      <c r="E11713" s="8">
        <v>0</v>
      </c>
      <c r="F11713" s="8">
        <v>110</v>
      </c>
    </row>
    <row r="11714" spans="1:6" ht="12.75">
      <c r="A11714" s="8">
        <v>43899.585462962961</v>
      </c>
      <c r="B11714" s="8" t="str">
        <f>HYPERLINK("https://twitter.com/suaradotcom","@suaradotcom")</f>
        <v>@suaradotcom</v>
      </c>
      <c r="C11714" s="8" t="s">
        <v>4863</v>
      </c>
      <c r="D11714" s="8">
        <v>0</v>
      </c>
      <c r="E11714" s="8">
        <v>0</v>
      </c>
      <c r="F11714" s="8">
        <v>24393</v>
      </c>
    </row>
    <row r="11715" spans="1:6" ht="12.75">
      <c r="A11715" s="8">
        <v>43899.585104166668</v>
      </c>
      <c r="B11715" s="8" t="str">
        <f>HYPERLINK("https://twitter.com/AgustiAlfons","@AgustiAlfons")</f>
        <v>@AgustiAlfons</v>
      </c>
      <c r="C11715" s="8" t="s">
        <v>4864</v>
      </c>
      <c r="D11715" s="8">
        <v>0</v>
      </c>
      <c r="E11715" s="8">
        <v>0</v>
      </c>
      <c r="F11715" s="8">
        <v>545</v>
      </c>
    </row>
    <row r="11716" spans="1:6" ht="12.75">
      <c r="A11716" s="8">
        <v>43899.584328703699</v>
      </c>
      <c r="B11716" s="8" t="str">
        <f>HYPERLINK("https://twitter.com/alpinsi_pandi","@alpinsi_pandi")</f>
        <v>@alpinsi_pandi</v>
      </c>
      <c r="C11716" s="8" t="s">
        <v>4865</v>
      </c>
      <c r="D11716" s="8">
        <v>0</v>
      </c>
      <c r="E11716" s="8">
        <v>2</v>
      </c>
      <c r="F11716" s="8">
        <v>10300</v>
      </c>
    </row>
    <row r="11717" spans="1:6" ht="12.75">
      <c r="A11717" s="8">
        <v>43899.584317129629</v>
      </c>
      <c r="B11717" s="8" t="str">
        <f>HYPERLINK("https://twitter.com/UmyRina","@UmyRina")</f>
        <v>@UmyRina</v>
      </c>
      <c r="C11717" s="8" t="s">
        <v>4864</v>
      </c>
      <c r="D11717" s="8">
        <v>0</v>
      </c>
      <c r="E11717" s="8">
        <v>0</v>
      </c>
      <c r="F11717" s="8">
        <v>359</v>
      </c>
    </row>
    <row r="11718" spans="1:6" ht="12.75">
      <c r="A11718" s="8">
        <v>43899.584189814814</v>
      </c>
      <c r="B11718" s="8" t="str">
        <f>HYPERLINK("https://twitter.com/covesiacom","@covesiacom")</f>
        <v>@covesiacom</v>
      </c>
      <c r="C11718" s="8" t="s">
        <v>4866</v>
      </c>
      <c r="D11718" s="8">
        <v>0</v>
      </c>
      <c r="E11718" s="8">
        <v>0</v>
      </c>
      <c r="F11718" s="8">
        <v>6172</v>
      </c>
    </row>
    <row r="11719" spans="1:6" ht="12.75">
      <c r="A11719" s="8">
        <v>43899.584062499998</v>
      </c>
      <c r="B11719" s="8" t="str">
        <f>HYPERLINK("https://twitter.com/Brewok60447739","@Brewok60447739")</f>
        <v>@Brewok60447739</v>
      </c>
      <c r="C11719" s="8" t="s">
        <v>4867</v>
      </c>
      <c r="D11719" s="8">
        <v>0</v>
      </c>
      <c r="E11719" s="8">
        <v>1</v>
      </c>
      <c r="F11719" s="8">
        <v>5</v>
      </c>
    </row>
    <row r="11720" spans="1:6" ht="12.75">
      <c r="A11720" s="8">
        <v>43899.583854166667</v>
      </c>
      <c r="B11720" s="8" t="str">
        <f>HYPERLINK("https://twitter.com/DiantyYasmin3","@DiantyYasmin3")</f>
        <v>@DiantyYasmin3</v>
      </c>
      <c r="C11720" s="8" t="s">
        <v>4868</v>
      </c>
      <c r="D11720" s="8">
        <v>1</v>
      </c>
      <c r="E11720" s="8">
        <v>0</v>
      </c>
      <c r="F11720" s="8">
        <v>10295</v>
      </c>
    </row>
    <row r="11721" spans="1:6" ht="12.75">
      <c r="A11721" s="8">
        <v>43899.58315972222</v>
      </c>
      <c r="B11721" s="8" t="str">
        <f>HYPERLINK("https://twitter.com/SuryaBorneo","@SuryaBorneo")</f>
        <v>@SuryaBorneo</v>
      </c>
      <c r="C11721" s="8" t="s">
        <v>4829</v>
      </c>
      <c r="D11721" s="8">
        <v>4</v>
      </c>
      <c r="E11721" s="8">
        <v>0</v>
      </c>
      <c r="F11721" s="8">
        <v>1010</v>
      </c>
    </row>
    <row r="11722" spans="1:6" ht="12.75">
      <c r="A11722" s="8">
        <v>43899.583125000005</v>
      </c>
      <c r="B11722" s="8" t="str">
        <f>HYPERLINK("https://twitter.com/meaningful4SuDi","@meaningful4SuDi")</f>
        <v>@meaningful4SuDi</v>
      </c>
      <c r="C11722" s="8" t="s">
        <v>4829</v>
      </c>
      <c r="D11722" s="8">
        <v>4</v>
      </c>
      <c r="E11722" s="8">
        <v>0</v>
      </c>
      <c r="F11722" s="8">
        <v>296</v>
      </c>
    </row>
    <row r="11723" spans="1:6" ht="12.75">
      <c r="A11723" s="8">
        <v>43899.58289351852</v>
      </c>
      <c r="B11723" s="8" t="str">
        <f>HYPERLINK("https://twitter.com/Abdulla39860063","@Abdulla39860063")</f>
        <v>@Abdulla39860063</v>
      </c>
      <c r="C11723" s="8" t="s">
        <v>4869</v>
      </c>
      <c r="D11723" s="8">
        <v>0</v>
      </c>
      <c r="E11723" s="8">
        <v>0</v>
      </c>
      <c r="F11723" s="8">
        <v>31</v>
      </c>
    </row>
    <row r="11724" spans="1:6" ht="12.75">
      <c r="A11724" s="8">
        <v>43899.58284722222</v>
      </c>
      <c r="B11724" s="8" t="str">
        <f>HYPERLINK("https://twitter.com/ryolandafit","@ryolandafit")</f>
        <v>@ryolandafit</v>
      </c>
      <c r="C11724" s="8" t="s">
        <v>4860</v>
      </c>
      <c r="D11724" s="8">
        <v>3</v>
      </c>
      <c r="E11724" s="8">
        <v>0</v>
      </c>
      <c r="F11724" s="8">
        <v>658</v>
      </c>
    </row>
    <row r="11725" spans="1:6" ht="12.75">
      <c r="A11725" s="8">
        <v>43899.582731481481</v>
      </c>
      <c r="B11725" s="8" t="str">
        <f>HYPERLINK("https://twitter.com/De_rezha","@De_rezha")</f>
        <v>@De_rezha</v>
      </c>
      <c r="C11725" s="8" t="s">
        <v>4860</v>
      </c>
      <c r="D11725" s="8">
        <v>3</v>
      </c>
      <c r="E11725" s="8">
        <v>0</v>
      </c>
      <c r="F11725" s="8">
        <v>267</v>
      </c>
    </row>
    <row r="11726" spans="1:6" ht="12.75">
      <c r="A11726" s="8">
        <v>43899.582511574074</v>
      </c>
      <c r="B11726" s="8" t="str">
        <f>HYPERLINK("https://twitter.com/4r_yantie","@4r_yantie")</f>
        <v>@4r_yantie</v>
      </c>
      <c r="C11726" s="8" t="s">
        <v>4664</v>
      </c>
      <c r="D11726" s="8">
        <v>10</v>
      </c>
      <c r="E11726" s="8">
        <v>0</v>
      </c>
      <c r="F11726" s="8">
        <v>507</v>
      </c>
    </row>
    <row r="11727" spans="1:6" ht="12.75">
      <c r="A11727" s="8">
        <v>43899.582199074073</v>
      </c>
      <c r="B11727" s="8" t="str">
        <f>HYPERLINK("https://twitter.com/cnbcindonesia","@cnbcindonesia")</f>
        <v>@cnbcindonesia</v>
      </c>
      <c r="C11727" s="8" t="s">
        <v>4870</v>
      </c>
      <c r="D11727" s="8">
        <v>4</v>
      </c>
      <c r="E11727" s="8">
        <v>4</v>
      </c>
      <c r="F11727" s="8">
        <v>31668</v>
      </c>
    </row>
    <row r="11728" spans="1:6" ht="12.75">
      <c r="A11728" s="8">
        <v>43899.58211805555</v>
      </c>
      <c r="B11728" s="8" t="str">
        <f>HYPERLINK("https://twitter.com/Aiek_Channel__","@Aiek_Channel__")</f>
        <v>@Aiek_Channel__</v>
      </c>
      <c r="C11728" s="8" t="s">
        <v>3126</v>
      </c>
      <c r="D11728" s="8">
        <v>164</v>
      </c>
      <c r="E11728" s="8">
        <v>0</v>
      </c>
      <c r="F11728" s="8">
        <v>9071</v>
      </c>
    </row>
    <row r="11729" spans="1:6" ht="12.75">
      <c r="A11729" s="8">
        <v>43899.582106481481</v>
      </c>
      <c r="B11729" s="8" t="str">
        <f>HYPERLINK("https://twitter.com/alpinsi_pandi","@alpinsi_pandi")</f>
        <v>@alpinsi_pandi</v>
      </c>
      <c r="C11729" s="8" t="s">
        <v>4871</v>
      </c>
      <c r="D11729" s="8">
        <v>1</v>
      </c>
      <c r="E11729" s="8">
        <v>1</v>
      </c>
      <c r="F11729" s="8">
        <v>10300</v>
      </c>
    </row>
    <row r="11730" spans="1:6" ht="12.75">
      <c r="A11730" s="8">
        <v>43899.581516203703</v>
      </c>
      <c r="B11730" s="8" t="str">
        <f>HYPERLINK("https://twitter.com/AlasanKlasique","@AlasanKlasique")</f>
        <v>@AlasanKlasique</v>
      </c>
      <c r="C11730" s="8" t="s">
        <v>1396</v>
      </c>
      <c r="D11730" s="8">
        <v>44</v>
      </c>
      <c r="E11730" s="8">
        <v>0</v>
      </c>
      <c r="F11730" s="8">
        <v>25</v>
      </c>
    </row>
    <row r="11731" spans="1:6" ht="12.75">
      <c r="A11731" s="8">
        <v>43899.581504629634</v>
      </c>
      <c r="B11731" s="8" t="str">
        <f>HYPERLINK("https://twitter.com/92157352kL_Bg33","@92157352kL_Bg33")</f>
        <v>@92157352kL_Bg33</v>
      </c>
      <c r="C11731" s="8" t="s">
        <v>4664</v>
      </c>
      <c r="D11731" s="8">
        <v>10</v>
      </c>
      <c r="E11731" s="8">
        <v>0</v>
      </c>
      <c r="F11731" s="8">
        <v>7337</v>
      </c>
    </row>
    <row r="11732" spans="1:6" ht="12.75">
      <c r="A11732" s="8">
        <v>43899.581435185188</v>
      </c>
      <c r="B11732" s="8" t="str">
        <f>HYPERLINK("https://twitter.com/GRMNg_Sadewo","@GRMNg_Sadewo")</f>
        <v>@GRMNg_Sadewo</v>
      </c>
      <c r="C11732" s="8" t="s">
        <v>4664</v>
      </c>
      <c r="D11732" s="8">
        <v>10</v>
      </c>
      <c r="E11732" s="8">
        <v>0</v>
      </c>
      <c r="F11732" s="8">
        <v>8889</v>
      </c>
    </row>
    <row r="11733" spans="1:6" ht="12.75">
      <c r="A11733" s="8">
        <v>43899.580520833333</v>
      </c>
      <c r="B11733" s="8" t="str">
        <f>HYPERLINK("https://twitter.com/budimanharya","@budimanharya")</f>
        <v>@budimanharya</v>
      </c>
      <c r="C11733" s="8" t="s">
        <v>3126</v>
      </c>
      <c r="D11733" s="8">
        <v>164</v>
      </c>
      <c r="E11733" s="8">
        <v>0</v>
      </c>
      <c r="F11733" s="8">
        <v>866</v>
      </c>
    </row>
    <row r="11734" spans="1:6" ht="12.75">
      <c r="A11734" s="8">
        <v>43899.580520833333</v>
      </c>
      <c r="B11734" s="8" t="str">
        <f>HYPERLINK("https://twitter.com/arre13arie","@arre13arie")</f>
        <v>@arre13arie</v>
      </c>
      <c r="C11734" s="8" t="s">
        <v>3262</v>
      </c>
      <c r="D11734" s="8">
        <v>147</v>
      </c>
      <c r="E11734" s="8">
        <v>0</v>
      </c>
      <c r="F11734" s="8">
        <v>269</v>
      </c>
    </row>
    <row r="11735" spans="1:6" ht="12.75">
      <c r="A11735" s="8">
        <v>43899.580509259264</v>
      </c>
      <c r="B11735" s="8" t="str">
        <f>HYPERLINK("https://twitter.com/vadegumilar","@vadegumilar")</f>
        <v>@vadegumilar</v>
      </c>
      <c r="C11735" s="8" t="s">
        <v>3262</v>
      </c>
      <c r="D11735" s="8">
        <v>147</v>
      </c>
      <c r="E11735" s="8">
        <v>0</v>
      </c>
      <c r="F11735" s="8">
        <v>282</v>
      </c>
    </row>
    <row r="11736" spans="1:6" ht="12.75">
      <c r="A11736" s="8">
        <v>43899.580428240741</v>
      </c>
      <c r="B11736" s="8" t="str">
        <f>HYPERLINK("https://twitter.com/Last_Hurrrah","@Last_Hurrrah")</f>
        <v>@Last_Hurrrah</v>
      </c>
      <c r="C11736" s="8" t="s">
        <v>1917</v>
      </c>
      <c r="D11736" s="8">
        <v>1357</v>
      </c>
      <c r="E11736" s="8">
        <v>0</v>
      </c>
      <c r="F11736" s="8">
        <v>2569</v>
      </c>
    </row>
    <row r="11737" spans="1:6" ht="12.75">
      <c r="A11737" s="8">
        <v>43899.58017361111</v>
      </c>
      <c r="B11737" s="8" t="str">
        <f>HYPERLINK("https://twitter.com/Rani_Indriani_S","@Rani_Indriani_S")</f>
        <v>@Rani_Indriani_S</v>
      </c>
      <c r="C11737" s="8" t="s">
        <v>4872</v>
      </c>
      <c r="D11737" s="8">
        <v>6</v>
      </c>
      <c r="E11737" s="8">
        <v>0</v>
      </c>
      <c r="F11737" s="8">
        <v>905</v>
      </c>
    </row>
    <row r="11738" spans="1:6" ht="12.75">
      <c r="A11738" s="8">
        <v>43899.579930555556</v>
      </c>
      <c r="B11738" s="8" t="str">
        <f>HYPERLINK("https://twitter.com/De_rezha","@De_rezha")</f>
        <v>@De_rezha</v>
      </c>
      <c r="C11738" s="8" t="s">
        <v>4873</v>
      </c>
      <c r="D11738" s="8">
        <v>1</v>
      </c>
      <c r="E11738" s="8">
        <v>0</v>
      </c>
      <c r="F11738" s="8">
        <v>267</v>
      </c>
    </row>
    <row r="11739" spans="1:6" ht="12.75">
      <c r="A11739" s="8">
        <v>43899.579907407402</v>
      </c>
      <c r="B11739" s="8" t="str">
        <f>HYPERLINK("https://twitter.com/id_aksi","@id_aksi")</f>
        <v>@id_aksi</v>
      </c>
      <c r="C11739" s="8" t="s">
        <v>4874</v>
      </c>
      <c r="D11739" s="8">
        <v>0</v>
      </c>
      <c r="E11739" s="8">
        <v>0</v>
      </c>
      <c r="F11739" s="8">
        <v>79</v>
      </c>
    </row>
    <row r="11740" spans="1:6" ht="12.75">
      <c r="A11740" s="8">
        <v>43899.579872685186</v>
      </c>
      <c r="B11740" s="8" t="str">
        <f>HYPERLINK("https://twitter.com/Metro_TV","@Metro_TV")</f>
        <v>@Metro_TV</v>
      </c>
      <c r="C11740" s="8" t="s">
        <v>4875</v>
      </c>
      <c r="D11740" s="8">
        <v>3</v>
      </c>
      <c r="E11740" s="8">
        <v>1</v>
      </c>
      <c r="F11740" s="8">
        <v>10518462</v>
      </c>
    </row>
    <row r="11741" spans="1:6" ht="12.75">
      <c r="A11741" s="8">
        <v>43899.579733796301</v>
      </c>
      <c r="B11741" s="8" t="str">
        <f>HYPERLINK("https://twitter.com/K1r4n14__","@K1r4n14__")</f>
        <v>@K1r4n14__</v>
      </c>
      <c r="C11741" s="8" t="s">
        <v>4664</v>
      </c>
      <c r="D11741" s="8">
        <v>10</v>
      </c>
      <c r="E11741" s="8">
        <v>0</v>
      </c>
      <c r="F11741" s="8">
        <v>5531</v>
      </c>
    </row>
    <row r="11742" spans="1:6" ht="12.75">
      <c r="A11742" s="8">
        <v>43899.579699074078</v>
      </c>
      <c r="B11742" s="8" t="str">
        <f>HYPERLINK("https://twitter.com/AgusprayMako","@AgusprayMako")</f>
        <v>@AgusprayMako</v>
      </c>
      <c r="C11742" s="8" t="s">
        <v>3126</v>
      </c>
      <c r="D11742" s="8">
        <v>164</v>
      </c>
      <c r="E11742" s="8">
        <v>0</v>
      </c>
      <c r="F11742" s="8">
        <v>277</v>
      </c>
    </row>
    <row r="11743" spans="1:6" ht="12.75">
      <c r="A11743" s="8">
        <v>43899.579571759255</v>
      </c>
      <c r="B11743" s="8" t="str">
        <f>HYPERLINK("https://twitter.com/starjogja","@starjogja")</f>
        <v>@starjogja</v>
      </c>
      <c r="C11743" s="8" t="s">
        <v>4876</v>
      </c>
      <c r="D11743" s="8">
        <v>0</v>
      </c>
      <c r="E11743" s="8">
        <v>0</v>
      </c>
      <c r="F11743" s="8">
        <v>28124</v>
      </c>
    </row>
    <row r="11744" spans="1:6" ht="12.75">
      <c r="A11744" s="8">
        <v>43899.579513888893</v>
      </c>
      <c r="B11744" s="8" t="str">
        <f>HYPERLINK("https://twitter.com/RahmatAlfian09","@RahmatAlfian09")</f>
        <v>@RahmatAlfian09</v>
      </c>
      <c r="C11744" s="8" t="s">
        <v>4877</v>
      </c>
      <c r="D11744" s="8">
        <v>0</v>
      </c>
      <c r="E11744" s="8">
        <v>0</v>
      </c>
      <c r="F11744" s="8">
        <v>487</v>
      </c>
    </row>
    <row r="11745" spans="1:6" ht="12.75">
      <c r="A11745" s="8">
        <v>43899.579456018517</v>
      </c>
      <c r="B11745" s="8" t="str">
        <f>HYPERLINK("https://twitter.com/zhu_dave","@zhu_dave")</f>
        <v>@zhu_dave</v>
      </c>
      <c r="C11745" s="8" t="s">
        <v>3262</v>
      </c>
      <c r="D11745" s="8">
        <v>147</v>
      </c>
      <c r="E11745" s="8">
        <v>0</v>
      </c>
      <c r="F11745" s="8">
        <v>1592</v>
      </c>
    </row>
    <row r="11746" spans="1:6" ht="12.75">
      <c r="A11746" s="8">
        <v>43899.578506944439</v>
      </c>
      <c r="B11746" s="8" t="str">
        <f>HYPERLINK("https://twitter.com/Anette0925","@Anette0925")</f>
        <v>@Anette0925</v>
      </c>
      <c r="C11746" s="8" t="s">
        <v>4878</v>
      </c>
      <c r="D11746" s="8">
        <v>2</v>
      </c>
      <c r="E11746" s="8">
        <v>0</v>
      </c>
      <c r="F11746" s="8">
        <v>4007</v>
      </c>
    </row>
    <row r="11747" spans="1:6" ht="12.75">
      <c r="A11747" s="8">
        <v>43899.578402777777</v>
      </c>
      <c r="B11747" s="8" t="str">
        <f>HYPERLINK("https://twitter.com/rongs_rong","@rongs_rong")</f>
        <v>@rongs_rong</v>
      </c>
      <c r="C11747" s="8" t="s">
        <v>3969</v>
      </c>
      <c r="D11747" s="8">
        <v>21</v>
      </c>
      <c r="E11747" s="8">
        <v>0</v>
      </c>
      <c r="F11747" s="8">
        <v>3245</v>
      </c>
    </row>
    <row r="11748" spans="1:6" ht="12.75">
      <c r="A11748" s="8">
        <v>43899.578321759254</v>
      </c>
      <c r="B11748" s="8" t="str">
        <f t="shared" ref="B11748:B11749" si="187">HYPERLINK("https://twitter.com/nurel_effah","@nurel_effah")</f>
        <v>@nurel_effah</v>
      </c>
      <c r="C11748" s="8" t="s">
        <v>1396</v>
      </c>
      <c r="D11748" s="8">
        <v>44</v>
      </c>
      <c r="E11748" s="8">
        <v>0</v>
      </c>
      <c r="F11748" s="8">
        <v>3628</v>
      </c>
    </row>
    <row r="11749" spans="1:6" ht="12.75">
      <c r="A11749" s="8">
        <v>43899.578298611115</v>
      </c>
      <c r="B11749" s="8" t="str">
        <f t="shared" si="187"/>
        <v>@nurel_effah</v>
      </c>
      <c r="C11749" s="8" t="s">
        <v>1397</v>
      </c>
      <c r="D11749" s="8">
        <v>21</v>
      </c>
      <c r="E11749" s="8">
        <v>0</v>
      </c>
      <c r="F11749" s="8">
        <v>3628</v>
      </c>
    </row>
    <row r="11750" spans="1:6" ht="12.75">
      <c r="A11750" s="8">
        <v>43899.578182870369</v>
      </c>
      <c r="B11750" s="8" t="str">
        <f>HYPERLINK("https://twitter.com/GakNyerahBRO__","@GakNyerahBRO__")</f>
        <v>@GakNyerahBRO__</v>
      </c>
      <c r="C11750" s="8" t="s">
        <v>4664</v>
      </c>
      <c r="D11750" s="8">
        <v>10</v>
      </c>
      <c r="E11750" s="8">
        <v>0</v>
      </c>
      <c r="F11750" s="8">
        <v>13179</v>
      </c>
    </row>
    <row r="11751" spans="1:6" ht="12.75">
      <c r="A11751" s="8">
        <v>43899.577893518523</v>
      </c>
      <c r="B11751" s="8" t="str">
        <f>HYPERLINK("https://twitter.com/antaranews","@antaranews")</f>
        <v>@antaranews</v>
      </c>
      <c r="C11751" s="8" t="s">
        <v>4879</v>
      </c>
      <c r="D11751" s="8">
        <v>0</v>
      </c>
      <c r="E11751" s="8">
        <v>1</v>
      </c>
      <c r="F11751" s="8">
        <v>1107014</v>
      </c>
    </row>
    <row r="11752" spans="1:6" ht="12.75">
      <c r="A11752" s="8">
        <v>43899.5777662037</v>
      </c>
      <c r="B11752" s="8" t="str">
        <f>HYPERLINK("https://twitter.com/ragilsaputra645","@ragilsaputra645")</f>
        <v>@ragilsaputra645</v>
      </c>
      <c r="C11752" s="8" t="s">
        <v>3126</v>
      </c>
      <c r="D11752" s="8">
        <v>164</v>
      </c>
      <c r="E11752" s="8">
        <v>0</v>
      </c>
      <c r="F11752" s="8">
        <v>423</v>
      </c>
    </row>
    <row r="11753" spans="1:6" ht="12.75">
      <c r="A11753" s="8">
        <v>43899.57744212963</v>
      </c>
      <c r="B11753" s="8" t="str">
        <f>HYPERLINK("https://twitter.com/connect2sumesh","@connect2sumesh")</f>
        <v>@connect2sumesh</v>
      </c>
      <c r="C11753" s="8" t="s">
        <v>1917</v>
      </c>
      <c r="D11753" s="8">
        <v>1357</v>
      </c>
      <c r="E11753" s="8">
        <v>0</v>
      </c>
      <c r="F11753" s="8">
        <v>861</v>
      </c>
    </row>
    <row r="11754" spans="1:6" ht="12.75">
      <c r="A11754" s="8">
        <v>43899.577326388884</v>
      </c>
      <c r="B11754" s="8" t="str">
        <f t="shared" ref="B11754:B11755" si="188">HYPERLINK("https://twitter.com/wni_jmsri","@wni_jmsri")</f>
        <v>@wni_jmsri</v>
      </c>
      <c r="C11754" s="8" t="s">
        <v>4880</v>
      </c>
      <c r="D11754" s="8">
        <v>23</v>
      </c>
      <c r="E11754" s="8">
        <v>0</v>
      </c>
      <c r="F11754" s="8">
        <v>203</v>
      </c>
    </row>
    <row r="11755" spans="1:6" ht="12.75">
      <c r="A11755" s="8">
        <v>43899.577280092592</v>
      </c>
      <c r="B11755" s="8" t="str">
        <f t="shared" si="188"/>
        <v>@wni_jmsri</v>
      </c>
      <c r="C11755" s="8" t="s">
        <v>4881</v>
      </c>
      <c r="D11755" s="8">
        <v>10321</v>
      </c>
      <c r="E11755" s="8">
        <v>0</v>
      </c>
      <c r="F11755" s="8">
        <v>203</v>
      </c>
    </row>
    <row r="11756" spans="1:6" ht="12.75">
      <c r="A11756" s="8">
        <v>43899.577256944445</v>
      </c>
      <c r="B11756" s="8" t="str">
        <f>HYPERLINK("https://twitter.com/D_m3chy","@D_m3chy")</f>
        <v>@D_m3chy</v>
      </c>
      <c r="C11756" s="8" t="s">
        <v>4664</v>
      </c>
      <c r="D11756" s="8">
        <v>10</v>
      </c>
      <c r="E11756" s="8">
        <v>0</v>
      </c>
      <c r="F11756" s="8">
        <v>19959</v>
      </c>
    </row>
    <row r="11757" spans="1:6" ht="12.75">
      <c r="A11757" s="8">
        <v>43899.577210648145</v>
      </c>
      <c r="B11757" s="8" t="str">
        <f>HYPERLINK("https://twitter.com/SIARIndonesia","@SIARIndonesia")</f>
        <v>@SIARIndonesia</v>
      </c>
      <c r="C11757" s="8" t="s">
        <v>4882</v>
      </c>
      <c r="D11757" s="8">
        <v>0</v>
      </c>
      <c r="E11757" s="8">
        <v>0</v>
      </c>
      <c r="F11757" s="8">
        <v>371</v>
      </c>
    </row>
    <row r="11758" spans="1:6" ht="12.75">
      <c r="A11758" s="8">
        <v>43899.576574074075</v>
      </c>
      <c r="B11758" s="8" t="str">
        <f>HYPERLINK("https://twitter.com/penjelajahhh","@penjelajahhh")</f>
        <v>@penjelajahhh</v>
      </c>
      <c r="C11758" s="8" t="s">
        <v>3969</v>
      </c>
      <c r="D11758" s="8">
        <v>21</v>
      </c>
      <c r="E11758" s="8">
        <v>0</v>
      </c>
      <c r="F11758" s="8">
        <v>270</v>
      </c>
    </row>
    <row r="11759" spans="1:6" ht="12.75">
      <c r="A11759" s="8">
        <v>43899.576539351852</v>
      </c>
      <c r="B11759" s="8" t="str">
        <f>HYPERLINK("https://twitter.com/WahabisLokal","@WahabisLokal")</f>
        <v>@WahabisLokal</v>
      </c>
      <c r="C11759" s="8" t="s">
        <v>3969</v>
      </c>
      <c r="D11759" s="8">
        <v>21</v>
      </c>
      <c r="E11759" s="8">
        <v>0</v>
      </c>
      <c r="F11759" s="8">
        <v>20572</v>
      </c>
    </row>
    <row r="11760" spans="1:6" ht="12.75">
      <c r="A11760" s="8">
        <v>43899.57640046296</v>
      </c>
      <c r="B11760" s="8" t="str">
        <f t="shared" ref="B11760:B11761" si="189">HYPERLINK("https://twitter.com/HaniahHanamichi","@HaniahHanamichi")</f>
        <v>@HaniahHanamichi</v>
      </c>
      <c r="C11760" s="8" t="s">
        <v>1396</v>
      </c>
      <c r="D11760" s="8">
        <v>44</v>
      </c>
      <c r="E11760" s="8">
        <v>0</v>
      </c>
      <c r="F11760" s="8">
        <v>2352</v>
      </c>
    </row>
    <row r="11761" spans="1:6" ht="12.75">
      <c r="A11761" s="8">
        <v>43899.576388888891</v>
      </c>
      <c r="B11761" s="8" t="str">
        <f t="shared" si="189"/>
        <v>@HaniahHanamichi</v>
      </c>
      <c r="C11761" s="8" t="s">
        <v>1397</v>
      </c>
      <c r="D11761" s="8">
        <v>21</v>
      </c>
      <c r="E11761" s="8">
        <v>0</v>
      </c>
      <c r="F11761" s="8">
        <v>2352</v>
      </c>
    </row>
    <row r="11762" spans="1:6" ht="12.75">
      <c r="A11762" s="8">
        <v>43899.576273148152</v>
      </c>
      <c r="B11762" s="8" t="str">
        <f>HYPERLINK("https://twitter.com/thakervipul3","@thakervipul3")</f>
        <v>@thakervipul3</v>
      </c>
      <c r="C11762" s="8" t="s">
        <v>1917</v>
      </c>
      <c r="D11762" s="8">
        <v>1357</v>
      </c>
      <c r="E11762" s="8">
        <v>0</v>
      </c>
      <c r="F11762" s="8">
        <v>274</v>
      </c>
    </row>
    <row r="11763" spans="1:6" ht="12.75">
      <c r="A11763" s="8">
        <v>43899.576099537036</v>
      </c>
      <c r="B11763" s="8" t="str">
        <f>HYPERLINK("https://twitter.com/AbdurachmanAl","@AbdurachmanAl")</f>
        <v>@AbdurachmanAl</v>
      </c>
      <c r="C11763" s="8" t="s">
        <v>4883</v>
      </c>
      <c r="D11763" s="8">
        <v>0</v>
      </c>
      <c r="E11763" s="8">
        <v>0</v>
      </c>
      <c r="F11763" s="8">
        <v>194</v>
      </c>
    </row>
    <row r="11764" spans="1:6" ht="12.75">
      <c r="A11764" s="8">
        <v>43899.576099537036</v>
      </c>
      <c r="B11764" s="8" t="str">
        <f>HYPERLINK("https://twitter.com/2103_R4CHM4","@2103_R4CHM4")</f>
        <v>@2103_R4CHM4</v>
      </c>
      <c r="C11764" s="8" t="s">
        <v>3126</v>
      </c>
      <c r="D11764" s="8">
        <v>164</v>
      </c>
      <c r="E11764" s="8">
        <v>0</v>
      </c>
      <c r="F11764" s="8">
        <v>2456</v>
      </c>
    </row>
    <row r="11765" spans="1:6" ht="12.75">
      <c r="A11765" s="8">
        <v>43899.576006944444</v>
      </c>
      <c r="B11765" s="8" t="str">
        <f>HYPERLINK("https://twitter.com/singhasya","@singhasya")</f>
        <v>@singhasya</v>
      </c>
      <c r="C11765" s="8" t="s">
        <v>1917</v>
      </c>
      <c r="D11765" s="8">
        <v>1357</v>
      </c>
      <c r="E11765" s="8">
        <v>0</v>
      </c>
      <c r="F11765" s="8">
        <v>119</v>
      </c>
    </row>
    <row r="11766" spans="1:6" ht="12.75">
      <c r="A11766" s="8">
        <v>43899.575972222221</v>
      </c>
      <c r="B11766" s="8" t="str">
        <f>HYPERLINK("https://twitter.com/didiksuharman2","@didiksuharman2")</f>
        <v>@didiksuharman2</v>
      </c>
      <c r="C11766" s="8" t="s">
        <v>4884</v>
      </c>
      <c r="D11766" s="8">
        <v>0</v>
      </c>
      <c r="E11766" s="8">
        <v>0</v>
      </c>
      <c r="F11766" s="8">
        <v>409</v>
      </c>
    </row>
    <row r="11767" spans="1:6" ht="12.75">
      <c r="A11767" s="8">
        <v>43899.575937500005</v>
      </c>
      <c r="B11767" s="8" t="str">
        <f>HYPERLINK("https://twitter.com/HotP3pp3rminTea","@HotP3pp3rminTea")</f>
        <v>@HotP3pp3rminTea</v>
      </c>
      <c r="C11767" s="8" t="s">
        <v>4885</v>
      </c>
      <c r="D11767" s="8">
        <v>10</v>
      </c>
      <c r="E11767" s="8">
        <v>11</v>
      </c>
      <c r="F11767" s="8">
        <v>11678</v>
      </c>
    </row>
    <row r="11768" spans="1:6" ht="12.75">
      <c r="A11768" s="8">
        <v>43899.575648148151</v>
      </c>
      <c r="B11768" s="8" t="str">
        <f>HYPERLINK("https://twitter.com/bewithgyul","@bewithgyul")</f>
        <v>@bewithgyul</v>
      </c>
      <c r="C11768" s="8" t="s">
        <v>4795</v>
      </c>
      <c r="D11768" s="8">
        <v>43</v>
      </c>
      <c r="E11768" s="8">
        <v>0</v>
      </c>
      <c r="F11768" s="8">
        <v>228</v>
      </c>
    </row>
    <row r="11769" spans="1:6" ht="12.75">
      <c r="A11769" s="8">
        <v>43899.574548611112</v>
      </c>
      <c r="B11769" s="8" t="str">
        <f>HYPERLINK("https://twitter.com/IdEmbassy_Seoul","@IdEmbassy_Seoul")</f>
        <v>@IdEmbassy_Seoul</v>
      </c>
      <c r="C11769" s="8" t="s">
        <v>4886</v>
      </c>
      <c r="D11769" s="8">
        <v>0</v>
      </c>
      <c r="E11769" s="8">
        <v>0</v>
      </c>
      <c r="F11769" s="8">
        <v>3894</v>
      </c>
    </row>
    <row r="11770" spans="1:6" ht="12.75">
      <c r="A11770" s="8">
        <v>43899.574247685188</v>
      </c>
      <c r="B11770" s="8" t="str">
        <f>HYPERLINK("https://twitter.com/liputan6dotcom","@liputan6dotcom")</f>
        <v>@liputan6dotcom</v>
      </c>
      <c r="C11770" s="8" t="s">
        <v>4887</v>
      </c>
      <c r="D11770" s="8">
        <v>1</v>
      </c>
      <c r="E11770" s="8">
        <v>2</v>
      </c>
      <c r="F11770" s="8">
        <v>3637845</v>
      </c>
    </row>
    <row r="11771" spans="1:6" ht="12.75">
      <c r="A11771" s="8">
        <v>43899.573912037042</v>
      </c>
      <c r="B11771" s="8" t="str">
        <f>HYPERLINK("https://twitter.com/JanggutMbah","@JanggutMbah")</f>
        <v>@JanggutMbah</v>
      </c>
      <c r="C11771" s="8" t="s">
        <v>1396</v>
      </c>
      <c r="D11771" s="8">
        <v>44</v>
      </c>
      <c r="E11771" s="8">
        <v>0</v>
      </c>
      <c r="F11771" s="8">
        <v>2415</v>
      </c>
    </row>
    <row r="11772" spans="1:6" ht="12.75">
      <c r="A11772" s="8">
        <v>43899.57340277778</v>
      </c>
      <c r="B11772" s="8" t="str">
        <f>HYPERLINK("https://twitter.com/Anaya_kh95","@Anaya_kh95")</f>
        <v>@Anaya_kh95</v>
      </c>
      <c r="C11772" s="8" t="s">
        <v>4888</v>
      </c>
      <c r="D11772" s="8">
        <v>0</v>
      </c>
      <c r="E11772" s="8">
        <v>0</v>
      </c>
      <c r="F11772" s="8">
        <v>292</v>
      </c>
    </row>
    <row r="11773" spans="1:6" ht="12.75">
      <c r="A11773" s="8">
        <v>43899.573263888888</v>
      </c>
      <c r="B11773" s="8" t="str">
        <f>HYPERLINK("https://twitter.com/4liong1","@4liong1")</f>
        <v>@4liong1</v>
      </c>
      <c r="C11773" s="8" t="s">
        <v>4889</v>
      </c>
      <c r="D11773" s="8">
        <v>0</v>
      </c>
      <c r="E11773" s="8">
        <v>0</v>
      </c>
      <c r="F11773" s="8">
        <v>11</v>
      </c>
    </row>
    <row r="11774" spans="1:6" ht="12.75">
      <c r="A11774" s="8">
        <v>43899.573148148149</v>
      </c>
      <c r="B11774" s="8" t="str">
        <f>HYPERLINK("https://twitter.com/Humbhartwasi","@Humbhartwasi")</f>
        <v>@Humbhartwasi</v>
      </c>
      <c r="C11774" s="8" t="s">
        <v>1917</v>
      </c>
      <c r="D11774" s="8">
        <v>1357</v>
      </c>
      <c r="E11774" s="8">
        <v>0</v>
      </c>
      <c r="F11774" s="8">
        <v>145</v>
      </c>
    </row>
    <row r="11775" spans="1:6" ht="12.75">
      <c r="A11775" s="8">
        <v>43899.572685185187</v>
      </c>
      <c r="B11775" s="8" t="str">
        <f>HYPERLINK("https://twitter.com/Adi1susilo","@Adi1susilo")</f>
        <v>@Adi1susilo</v>
      </c>
      <c r="C11775" s="8" t="s">
        <v>4890</v>
      </c>
      <c r="D11775" s="8">
        <v>0</v>
      </c>
      <c r="E11775" s="8">
        <v>0</v>
      </c>
      <c r="F11775" s="8">
        <v>48</v>
      </c>
    </row>
    <row r="11776" spans="1:6" ht="12.75">
      <c r="A11776" s="8">
        <v>43899.572430555556</v>
      </c>
      <c r="B11776" s="8" t="str">
        <f>HYPERLINK("https://twitter.com/bmbgst","@bmbgst")</f>
        <v>@bmbgst</v>
      </c>
      <c r="C11776" s="8" t="s">
        <v>3265</v>
      </c>
      <c r="D11776" s="8">
        <v>534</v>
      </c>
      <c r="E11776" s="8">
        <v>0</v>
      </c>
      <c r="F11776" s="8">
        <v>599</v>
      </c>
    </row>
    <row r="11777" spans="1:6" ht="12.75">
      <c r="A11777" s="8">
        <v>43899.571875000001</v>
      </c>
      <c r="B11777" s="8" t="str">
        <f>HYPERLINK("https://twitter.com/ISIS_Balik_NO","@ISIS_Balik_NO")</f>
        <v>@ISIS_Balik_NO</v>
      </c>
      <c r="C11777" s="8" t="s">
        <v>4891</v>
      </c>
      <c r="D11777" s="8">
        <v>1</v>
      </c>
      <c r="E11777" s="8">
        <v>0</v>
      </c>
      <c r="F11777" s="8">
        <v>6225</v>
      </c>
    </row>
    <row r="11778" spans="1:6" ht="12.75">
      <c r="A11778" s="8">
        <v>43899.571793981479</v>
      </c>
      <c r="B11778" s="8" t="str">
        <f t="shared" ref="B11778:B11779" si="190">HYPERLINK("https://twitter.com/Galuhramadhania","@Galuhramadhania")</f>
        <v>@Galuhramadhania</v>
      </c>
      <c r="C11778" s="8" t="s">
        <v>1396</v>
      </c>
      <c r="D11778" s="8">
        <v>44</v>
      </c>
      <c r="E11778" s="8">
        <v>0</v>
      </c>
      <c r="F11778" s="8">
        <v>1988</v>
      </c>
    </row>
    <row r="11779" spans="1:6" ht="12.75">
      <c r="A11779" s="8">
        <v>43899.571782407409</v>
      </c>
      <c r="B11779" s="8" t="str">
        <f t="shared" si="190"/>
        <v>@Galuhramadhania</v>
      </c>
      <c r="C11779" s="8" t="s">
        <v>1397</v>
      </c>
      <c r="D11779" s="8">
        <v>21</v>
      </c>
      <c r="E11779" s="8">
        <v>0</v>
      </c>
      <c r="F11779" s="8">
        <v>1988</v>
      </c>
    </row>
    <row r="11780" spans="1:6" ht="12.75">
      <c r="A11780" s="8">
        <v>43899.571712962963</v>
      </c>
      <c r="B11780" s="8" t="str">
        <f>HYPERLINK("https://twitter.com/ISIS_Balik_NO","@ISIS_Balik_NO")</f>
        <v>@ISIS_Balik_NO</v>
      </c>
      <c r="C11780" s="8" t="s">
        <v>4892</v>
      </c>
      <c r="D11780" s="8">
        <v>1</v>
      </c>
      <c r="E11780" s="8">
        <v>3</v>
      </c>
      <c r="F11780" s="8">
        <v>6225</v>
      </c>
    </row>
    <row r="11781" spans="1:6" ht="12.75">
      <c r="A11781" s="8">
        <v>43899.570914351847</v>
      </c>
      <c r="B11781" s="8" t="str">
        <f>HYPERLINK("https://twitter.com/Cipilable","@Cipilable")</f>
        <v>@Cipilable</v>
      </c>
      <c r="C11781" s="8" t="s">
        <v>3262</v>
      </c>
      <c r="D11781" s="8">
        <v>147</v>
      </c>
      <c r="E11781" s="8">
        <v>0</v>
      </c>
      <c r="F11781" s="8">
        <v>1400</v>
      </c>
    </row>
    <row r="11782" spans="1:6" ht="12.75">
      <c r="A11782" s="8">
        <v>43899.570868055554</v>
      </c>
      <c r="B11782" s="8" t="str">
        <f>HYPERLINK("https://twitter.com/shashiii3","@shashiii3")</f>
        <v>@shashiii3</v>
      </c>
      <c r="C11782" s="8" t="s">
        <v>1917</v>
      </c>
      <c r="D11782" s="8">
        <v>1357</v>
      </c>
      <c r="E11782" s="8">
        <v>0</v>
      </c>
      <c r="F11782" s="8">
        <v>113</v>
      </c>
    </row>
    <row r="11783" spans="1:6" ht="12.75">
      <c r="A11783" s="8">
        <v>43899.570381944446</v>
      </c>
      <c r="B11783" s="8" t="str">
        <f t="shared" ref="B11783:B11784" si="191">HYPERLINK("https://twitter.com/ISIS_Balik_NO","@ISIS_Balik_NO")</f>
        <v>@ISIS_Balik_NO</v>
      </c>
      <c r="C11783" s="8" t="s">
        <v>4893</v>
      </c>
      <c r="D11783" s="8">
        <v>0</v>
      </c>
      <c r="E11783" s="8">
        <v>0</v>
      </c>
      <c r="F11783" s="8">
        <v>6225</v>
      </c>
    </row>
    <row r="11784" spans="1:6" ht="12.75">
      <c r="A11784" s="8">
        <v>43899.57</v>
      </c>
      <c r="B11784" s="8" t="str">
        <f t="shared" si="191"/>
        <v>@ISIS_Balik_NO</v>
      </c>
      <c r="C11784" s="8" t="s">
        <v>4894</v>
      </c>
      <c r="D11784" s="8">
        <v>63</v>
      </c>
      <c r="E11784" s="8">
        <v>0</v>
      </c>
      <c r="F11784" s="8">
        <v>6225</v>
      </c>
    </row>
    <row r="11785" spans="1:6" ht="12.75">
      <c r="A11785" s="8">
        <v>43899.569780092592</v>
      </c>
      <c r="B11785" s="8" t="str">
        <f>HYPERLINK("https://twitter.com/rikardoar","@rikardoar")</f>
        <v>@rikardoar</v>
      </c>
      <c r="C11785" s="8" t="s">
        <v>4895</v>
      </c>
      <c r="D11785" s="8">
        <v>4</v>
      </c>
      <c r="E11785" s="8">
        <v>0</v>
      </c>
      <c r="F11785" s="8">
        <v>163</v>
      </c>
    </row>
    <row r="11786" spans="1:6" ht="12.75">
      <c r="A11786" s="8">
        <v>43899.569571759261</v>
      </c>
      <c r="B11786" s="8" t="str">
        <f>HYPERLINK("https://twitter.com/kingonnet","@kingonnet")</f>
        <v>@kingonnet</v>
      </c>
      <c r="C11786" s="8" t="s">
        <v>1917</v>
      </c>
      <c r="D11786" s="8">
        <v>1357</v>
      </c>
      <c r="E11786" s="8">
        <v>0</v>
      </c>
      <c r="F11786" s="8">
        <v>257</v>
      </c>
    </row>
    <row r="11787" spans="1:6" ht="12.75">
      <c r="A11787" s="8">
        <v>43899.569456018522</v>
      </c>
      <c r="B11787" s="8" t="str">
        <f>HYPERLINK("https://twitter.com/uzoneindonesia","@uzoneindonesia")</f>
        <v>@uzoneindonesia</v>
      </c>
      <c r="C11787" s="8" t="s">
        <v>4896</v>
      </c>
      <c r="D11787" s="8">
        <v>0</v>
      </c>
      <c r="E11787" s="8">
        <v>0</v>
      </c>
      <c r="F11787" s="8">
        <v>22567</v>
      </c>
    </row>
    <row r="11788" spans="1:6" ht="12.75">
      <c r="A11788" s="8">
        <v>43899.569444444445</v>
      </c>
      <c r="B11788" s="8" t="str">
        <f>HYPERLINK("https://twitter.com/ElshintaTegal_","@ElshintaTegal_")</f>
        <v>@ElshintaTegal_</v>
      </c>
      <c r="C11788" s="8" t="s">
        <v>4897</v>
      </c>
      <c r="D11788" s="8">
        <v>0</v>
      </c>
      <c r="E11788" s="8">
        <v>0</v>
      </c>
      <c r="F11788" s="8">
        <v>42</v>
      </c>
    </row>
    <row r="11789" spans="1:6" ht="12.75">
      <c r="A11789" s="8">
        <v>43899.569421296299</v>
      </c>
      <c r="B11789" s="8" t="str">
        <f>HYPERLINK("https://twitter.com/prisma93246654","@prisma93246654")</f>
        <v>@prisma93246654</v>
      </c>
      <c r="C11789" s="8" t="s">
        <v>4898</v>
      </c>
      <c r="D11789" s="8">
        <v>0</v>
      </c>
      <c r="E11789" s="8">
        <v>0</v>
      </c>
      <c r="F11789" s="8">
        <v>812</v>
      </c>
    </row>
    <row r="11790" spans="1:6" ht="12.75">
      <c r="A11790" s="8">
        <v>43899.569212962961</v>
      </c>
      <c r="B11790" s="8" t="str">
        <f>HYPERLINK("https://twitter.com/IgnatiusRadity4","@IgnatiusRadity4")</f>
        <v>@IgnatiusRadity4</v>
      </c>
      <c r="C11790" s="8" t="s">
        <v>4899</v>
      </c>
      <c r="D11790" s="8">
        <v>0</v>
      </c>
      <c r="E11790" s="8">
        <v>0</v>
      </c>
      <c r="F11790" s="8">
        <v>17</v>
      </c>
    </row>
    <row r="11791" spans="1:6" ht="12.75">
      <c r="A11791" s="8">
        <v>43899.569178240738</v>
      </c>
      <c r="B11791" s="8" t="str">
        <f>HYPERLINK("https://twitter.com/Rahul09989","@Rahul09989")</f>
        <v>@Rahul09989</v>
      </c>
      <c r="C11791" s="8" t="s">
        <v>1917</v>
      </c>
      <c r="D11791" s="8">
        <v>1357</v>
      </c>
      <c r="E11791" s="8">
        <v>0</v>
      </c>
      <c r="F11791" s="8">
        <v>209</v>
      </c>
    </row>
    <row r="11792" spans="1:6" ht="12.75">
      <c r="A11792" s="8">
        <v>43899.569016203706</v>
      </c>
      <c r="B11792" s="8" t="str">
        <f>HYPERLINK("https://twitter.com/ISIS_Balik_NO","@ISIS_Balik_NO")</f>
        <v>@ISIS_Balik_NO</v>
      </c>
      <c r="C11792" s="8" t="s">
        <v>4900</v>
      </c>
      <c r="D11792" s="8">
        <v>0</v>
      </c>
      <c r="E11792" s="8">
        <v>0</v>
      </c>
      <c r="F11792" s="8">
        <v>6225</v>
      </c>
    </row>
    <row r="11793" spans="1:6" ht="12.75">
      <c r="A11793" s="8">
        <v>43899.568391203706</v>
      </c>
      <c r="B11793" s="8" t="str">
        <f>HYPERLINK("https://twitter.com/GueIslam212aja","@GueIslam212aja")</f>
        <v>@GueIslam212aja</v>
      </c>
      <c r="C11793" s="8" t="s">
        <v>3126</v>
      </c>
      <c r="D11793" s="8">
        <v>164</v>
      </c>
      <c r="E11793" s="8">
        <v>0</v>
      </c>
      <c r="F11793" s="8">
        <v>1652</v>
      </c>
    </row>
    <row r="11794" spans="1:6" ht="12.75">
      <c r="A11794" s="8">
        <v>43899.548437500001</v>
      </c>
      <c r="B11794" s="8" t="str">
        <f>HYPERLINK("https://twitter.com/fangirlsetia","@fangirlsetia")</f>
        <v>@fangirlsetia</v>
      </c>
      <c r="C11794" s="8" t="s">
        <v>4901</v>
      </c>
      <c r="D11794" s="8">
        <v>9</v>
      </c>
      <c r="E11794" s="8">
        <v>0</v>
      </c>
      <c r="F11794" s="8">
        <v>716</v>
      </c>
    </row>
    <row r="11795" spans="1:6" ht="12.75">
      <c r="A11795" s="8">
        <v>43899.548333333332</v>
      </c>
      <c r="B11795" s="8" t="str">
        <f>HYPERLINK("https://twitter.com/farusaccount","@farusaccount")</f>
        <v>@farusaccount</v>
      </c>
      <c r="C11795" s="8" t="s">
        <v>1396</v>
      </c>
      <c r="D11795" s="8">
        <v>35</v>
      </c>
      <c r="E11795" s="8">
        <v>0</v>
      </c>
      <c r="F11795" s="8">
        <v>242</v>
      </c>
    </row>
    <row r="11796" spans="1:6" ht="12.75">
      <c r="A11796" s="8">
        <v>43899.54822916667</v>
      </c>
      <c r="B11796" s="8" t="str">
        <f>HYPERLINK("https://twitter.com/JokoSut57812674","@JokoSut57812674")</f>
        <v>@JokoSut57812674</v>
      </c>
      <c r="C11796" s="8" t="s">
        <v>3262</v>
      </c>
      <c r="D11796" s="8">
        <v>129</v>
      </c>
      <c r="E11796" s="8">
        <v>0</v>
      </c>
      <c r="F11796" s="8">
        <v>150</v>
      </c>
    </row>
    <row r="11797" spans="1:6" ht="12.75">
      <c r="A11797" s="8">
        <v>43899.54788194444</v>
      </c>
      <c r="B11797" s="8" t="str">
        <f>HYPERLINK("https://twitter.com/marahdi2000","@marahdi2000")</f>
        <v>@marahdi2000</v>
      </c>
      <c r="C11797" s="8" t="s">
        <v>4902</v>
      </c>
      <c r="D11797" s="8">
        <v>0</v>
      </c>
      <c r="E11797" s="8">
        <v>0</v>
      </c>
      <c r="F11797" s="8">
        <v>265</v>
      </c>
    </row>
    <row r="11798" spans="1:6" ht="12.75">
      <c r="A11798" s="8">
        <v>43899.546736111108</v>
      </c>
      <c r="B11798" s="8" t="str">
        <f>HYPERLINK("https://twitter.com/Hayaqu1","@Hayaqu1")</f>
        <v>@Hayaqu1</v>
      </c>
      <c r="C11798" s="8" t="s">
        <v>3126</v>
      </c>
      <c r="D11798" s="8">
        <v>145</v>
      </c>
      <c r="E11798" s="8">
        <v>0</v>
      </c>
      <c r="F11798" s="8">
        <v>159</v>
      </c>
    </row>
    <row r="11799" spans="1:6" ht="12.75">
      <c r="A11799" s="8">
        <v>43899.546701388885</v>
      </c>
      <c r="B11799" s="8" t="str">
        <f>HYPERLINK("https://twitter.com/Sachin7511","@Sachin7511")</f>
        <v>@Sachin7511</v>
      </c>
      <c r="C11799" s="8" t="s">
        <v>1917</v>
      </c>
      <c r="D11799" s="8">
        <v>1313</v>
      </c>
      <c r="E11799" s="8">
        <v>0</v>
      </c>
      <c r="F11799" s="8">
        <v>55</v>
      </c>
    </row>
    <row r="11800" spans="1:6" ht="12.75">
      <c r="A11800" s="8">
        <v>43899.546076388884</v>
      </c>
      <c r="B11800" s="8" t="str">
        <f>HYPERLINK("https://twitter.com/maajeedfcb","@maajeedfcb")</f>
        <v>@maajeedfcb</v>
      </c>
      <c r="C11800" s="8" t="s">
        <v>4903</v>
      </c>
      <c r="D11800" s="8">
        <v>0</v>
      </c>
      <c r="E11800" s="8">
        <v>0</v>
      </c>
      <c r="F11800" s="8">
        <v>1854</v>
      </c>
    </row>
    <row r="11801" spans="1:6" ht="12.75">
      <c r="A11801" s="8">
        <v>43899.545833333337</v>
      </c>
      <c r="B11801" s="8" t="str">
        <f>HYPERLINK("https://twitter.com/Edo09833229","@Edo09833229")</f>
        <v>@Edo09833229</v>
      </c>
      <c r="C11801" s="8" t="s">
        <v>4826</v>
      </c>
      <c r="D11801" s="8">
        <v>2</v>
      </c>
      <c r="E11801" s="8">
        <v>0</v>
      </c>
      <c r="F11801" s="8">
        <v>69</v>
      </c>
    </row>
    <row r="11802" spans="1:6" ht="12.75">
      <c r="A11802" s="8">
        <v>43899.545497685191</v>
      </c>
      <c r="B11802" s="8" t="str">
        <f>HYPERLINK("https://twitter.com/airmagzcom","@airmagzcom")</f>
        <v>@airmagzcom</v>
      </c>
      <c r="C11802" s="8" t="s">
        <v>4318</v>
      </c>
      <c r="D11802" s="8">
        <v>0</v>
      </c>
      <c r="E11802" s="8">
        <v>0</v>
      </c>
      <c r="F11802" s="8">
        <v>131</v>
      </c>
    </row>
    <row r="11803" spans="1:6" ht="12.75">
      <c r="A11803" s="8">
        <v>43899.543888888889</v>
      </c>
      <c r="B11803" s="8" t="str">
        <f>HYPERLINK("https://twitter.com/Zulifa7","@Zulifa7")</f>
        <v>@Zulifa7</v>
      </c>
      <c r="C11803" s="8" t="s">
        <v>3743</v>
      </c>
      <c r="D11803" s="8">
        <v>715</v>
      </c>
      <c r="E11803" s="8">
        <v>0</v>
      </c>
      <c r="F11803" s="8">
        <v>26</v>
      </c>
    </row>
    <row r="11804" spans="1:6" ht="12.75">
      <c r="A11804" s="8">
        <v>43899.54378472222</v>
      </c>
      <c r="B11804" s="8" t="str">
        <f>HYPERLINK("https://twitter.com/AgusRoufLathief","@AgusRoufLathief")</f>
        <v>@AgusRoufLathief</v>
      </c>
      <c r="C11804" s="8" t="s">
        <v>4450</v>
      </c>
      <c r="D11804" s="8">
        <v>1</v>
      </c>
      <c r="E11804" s="8">
        <v>0</v>
      </c>
      <c r="F11804" s="8">
        <v>2923</v>
      </c>
    </row>
    <row r="11805" spans="1:6" ht="12.75">
      <c r="A11805" s="8">
        <v>43899.542557870373</v>
      </c>
      <c r="B11805" s="8" t="str">
        <f>HYPERLINK("https://twitter.com/Hubaba10","@Hubaba10")</f>
        <v>@Hubaba10</v>
      </c>
      <c r="C11805" s="8" t="s">
        <v>1917</v>
      </c>
      <c r="D11805" s="8">
        <v>1313</v>
      </c>
      <c r="E11805" s="8">
        <v>0</v>
      </c>
      <c r="F11805" s="8">
        <v>66</v>
      </c>
    </row>
    <row r="11806" spans="1:6" ht="12.75">
      <c r="A11806" s="8">
        <v>43899.542037037041</v>
      </c>
      <c r="B11806" s="8" t="str">
        <f>HYPERLINK("https://twitter.com/akshaysince1987","@akshaysince1987")</f>
        <v>@akshaysince1987</v>
      </c>
      <c r="C11806" s="8" t="s">
        <v>1917</v>
      </c>
      <c r="D11806" s="8">
        <v>1313</v>
      </c>
      <c r="E11806" s="8">
        <v>0</v>
      </c>
      <c r="F11806" s="8">
        <v>390</v>
      </c>
    </row>
    <row r="11807" spans="1:6" ht="12.75">
      <c r="A11807" s="8">
        <v>43899.541805555556</v>
      </c>
      <c r="B11807" s="8" t="str">
        <f>HYPERLINK("https://twitter.com/didi_armayanto","@didi_armayanto")</f>
        <v>@didi_armayanto</v>
      </c>
      <c r="C11807" s="8" t="s">
        <v>4904</v>
      </c>
      <c r="D11807" s="8">
        <v>0</v>
      </c>
      <c r="E11807" s="8">
        <v>0</v>
      </c>
      <c r="F11807" s="8">
        <v>4804</v>
      </c>
    </row>
    <row r="11808" spans="1:6" ht="12.75">
      <c r="A11808" s="8">
        <v>43899.541689814811</v>
      </c>
      <c r="B11808" s="8" t="str">
        <f>HYPERLINK("https://twitter.com/Ashishmundepi","@Ashishmundepi")</f>
        <v>@Ashishmundepi</v>
      </c>
      <c r="C11808" s="8" t="s">
        <v>1917</v>
      </c>
      <c r="D11808" s="8">
        <v>1313</v>
      </c>
      <c r="E11808" s="8">
        <v>0</v>
      </c>
      <c r="F11808" s="8">
        <v>53</v>
      </c>
    </row>
    <row r="11809" spans="1:6" ht="12.75">
      <c r="A11809" s="8">
        <v>43899.541666666672</v>
      </c>
      <c r="B11809" s="8" t="str">
        <f>HYPERLINK("https://twitter.com/MeTubeID","@MeTubeID")</f>
        <v>@MeTubeID</v>
      </c>
      <c r="C11809" s="8" t="s">
        <v>4905</v>
      </c>
      <c r="D11809" s="8">
        <v>0</v>
      </c>
      <c r="E11809" s="8">
        <v>0</v>
      </c>
      <c r="F11809" s="8">
        <v>6307</v>
      </c>
    </row>
    <row r="11810" spans="1:6" ht="12.75">
      <c r="A11810" s="8">
        <v>43899.541377314818</v>
      </c>
      <c r="B11810" s="8" t="str">
        <f>HYPERLINK("https://twitter.com/MJoeJoef1","@MJoeJoef1")</f>
        <v>@MJoeJoef1</v>
      </c>
      <c r="C11810" s="8" t="s">
        <v>3126</v>
      </c>
      <c r="D11810" s="8">
        <v>145</v>
      </c>
      <c r="E11810" s="8">
        <v>0</v>
      </c>
      <c r="F11810" s="8">
        <v>624</v>
      </c>
    </row>
    <row r="11811" spans="1:6" ht="12.75">
      <c r="A11811" s="8">
        <v>43899.541319444441</v>
      </c>
      <c r="B11811" s="8" t="str">
        <f>HYPERLINK("https://twitter.com/mudha_satriya","@mudha_satriya")</f>
        <v>@mudha_satriya</v>
      </c>
      <c r="C11811" s="8" t="s">
        <v>4777</v>
      </c>
      <c r="D11811" s="8">
        <v>5</v>
      </c>
      <c r="E11811" s="8">
        <v>0</v>
      </c>
      <c r="F11811" s="8">
        <v>1884</v>
      </c>
    </row>
    <row r="11812" spans="1:6" ht="12.75">
      <c r="A11812" s="8">
        <v>43899.541122685187</v>
      </c>
      <c r="B11812" s="8" t="str">
        <f>HYPERLINK("https://twitter.com/JhonniSinaga20","@JhonniSinaga20")</f>
        <v>@JhonniSinaga20</v>
      </c>
      <c r="C11812" s="8" t="s">
        <v>4906</v>
      </c>
      <c r="D11812" s="8">
        <v>0</v>
      </c>
      <c r="E11812" s="8">
        <v>0</v>
      </c>
      <c r="F11812" s="8">
        <v>557</v>
      </c>
    </row>
    <row r="11813" spans="1:6" ht="12.75">
      <c r="A11813" s="8">
        <v>43899.540451388893</v>
      </c>
      <c r="B11813" s="8" t="str">
        <f>HYPERLINK("https://twitter.com/primadhy","@primadhy")</f>
        <v>@primadhy</v>
      </c>
      <c r="C11813" s="8" t="s">
        <v>4907</v>
      </c>
      <c r="D11813" s="8">
        <v>0</v>
      </c>
      <c r="E11813" s="8">
        <v>0</v>
      </c>
      <c r="F11813" s="8">
        <v>361</v>
      </c>
    </row>
    <row r="11814" spans="1:6" ht="12.75">
      <c r="A11814" s="8">
        <v>43899.540439814809</v>
      </c>
      <c r="B11814" s="8" t="str">
        <f>HYPERLINK("https://twitter.com/RiantoSutarman","@RiantoSutarman")</f>
        <v>@RiantoSutarman</v>
      </c>
      <c r="C11814" s="8" t="s">
        <v>3262</v>
      </c>
      <c r="D11814" s="8">
        <v>129</v>
      </c>
      <c r="E11814" s="8">
        <v>0</v>
      </c>
      <c r="F11814" s="8">
        <v>60</v>
      </c>
    </row>
    <row r="11815" spans="1:6" ht="12.75">
      <c r="A11815" s="8">
        <v>43899.540335648147</v>
      </c>
      <c r="B11815" s="8" t="str">
        <f>HYPERLINK("https://twitter.com/NegriMerahPutih","@NegriMerahPutih")</f>
        <v>@NegriMerahPutih</v>
      </c>
      <c r="C11815" s="8" t="s">
        <v>4908</v>
      </c>
      <c r="D11815" s="8">
        <v>0</v>
      </c>
      <c r="E11815" s="8">
        <v>1</v>
      </c>
      <c r="F11815" s="8">
        <v>1569</v>
      </c>
    </row>
    <row r="11816" spans="1:6" ht="12.75">
      <c r="A11816" s="8">
        <v>43899.540185185186</v>
      </c>
      <c r="B11816" s="8" t="str">
        <f>HYPERLINK("https://twitter.com/Samuja9","@Samuja9")</f>
        <v>@Samuja9</v>
      </c>
      <c r="C11816" s="8" t="s">
        <v>3969</v>
      </c>
      <c r="D11816" s="8">
        <v>18</v>
      </c>
      <c r="E11816" s="8">
        <v>0</v>
      </c>
      <c r="F11816" s="8">
        <v>1291</v>
      </c>
    </row>
    <row r="11817" spans="1:6" ht="12.75">
      <c r="A11817" s="8">
        <v>43899.540104166663</v>
      </c>
      <c r="B11817" s="8" t="str">
        <f>HYPERLINK("https://twitter.com/panjimao","@panjimao")</f>
        <v>@panjimao</v>
      </c>
      <c r="C11817" s="8" t="s">
        <v>4901</v>
      </c>
      <c r="D11817" s="8">
        <v>9</v>
      </c>
      <c r="E11817" s="8">
        <v>0</v>
      </c>
      <c r="F11817" s="8">
        <v>394</v>
      </c>
    </row>
    <row r="11818" spans="1:6" ht="12.75">
      <c r="A11818" s="8">
        <v>43899.538622685184</v>
      </c>
      <c r="B11818" s="8" t="str">
        <f>HYPERLINK("https://twitter.com/Salman_alfarIsl","@Salman_alfarIsl")</f>
        <v>@Salman_alfarIsl</v>
      </c>
      <c r="C11818" s="8" t="s">
        <v>3126</v>
      </c>
      <c r="D11818" s="8">
        <v>145</v>
      </c>
      <c r="E11818" s="8">
        <v>0</v>
      </c>
      <c r="F11818" s="8">
        <v>147</v>
      </c>
    </row>
    <row r="11819" spans="1:6" ht="12.75">
      <c r="A11819" s="8">
        <v>43899.538356481484</v>
      </c>
      <c r="B11819" s="8" t="str">
        <f>HYPERLINK("https://twitter.com/SgMarthin","@SgMarthin")</f>
        <v>@SgMarthin</v>
      </c>
      <c r="C11819" s="8" t="s">
        <v>4909</v>
      </c>
      <c r="D11819" s="8">
        <v>0</v>
      </c>
      <c r="E11819" s="8">
        <v>0</v>
      </c>
      <c r="F11819" s="8">
        <v>661</v>
      </c>
    </row>
    <row r="11820" spans="1:6" ht="12.75">
      <c r="A11820" s="8">
        <v>43899.537870370375</v>
      </c>
      <c r="B11820" s="8" t="str">
        <f>HYPERLINK("https://twitter.com/Fahrezi07189344","@Fahrezi07189344")</f>
        <v>@Fahrezi07189344</v>
      </c>
      <c r="C11820" s="8" t="s">
        <v>3126</v>
      </c>
      <c r="D11820" s="8">
        <v>145</v>
      </c>
      <c r="E11820" s="8">
        <v>0</v>
      </c>
      <c r="F11820" s="8">
        <v>189</v>
      </c>
    </row>
    <row r="11821" spans="1:6" ht="12.75">
      <c r="A11821" s="8">
        <v>43899.537650462968</v>
      </c>
      <c r="B11821" s="8" t="str">
        <f>HYPERLINK("https://twitter.com/ihwan_sn","@ihwan_sn")</f>
        <v>@ihwan_sn</v>
      </c>
      <c r="C11821" s="8" t="s">
        <v>3265</v>
      </c>
      <c r="D11821" s="8">
        <v>532</v>
      </c>
      <c r="E11821" s="8">
        <v>0</v>
      </c>
      <c r="F11821" s="8">
        <v>456</v>
      </c>
    </row>
    <row r="11822" spans="1:6" ht="12.75">
      <c r="A11822" s="8">
        <v>43899.537488425922</v>
      </c>
      <c r="B11822" s="8" t="str">
        <f>HYPERLINK("https://twitter.com/SundeepTugnait","@SundeepTugnait")</f>
        <v>@SundeepTugnait</v>
      </c>
      <c r="C11822" s="8" t="s">
        <v>1917</v>
      </c>
      <c r="D11822" s="8">
        <v>1313</v>
      </c>
      <c r="E11822" s="8">
        <v>0</v>
      </c>
      <c r="F11822" s="8">
        <v>305</v>
      </c>
    </row>
    <row r="11823" spans="1:6" ht="12.75">
      <c r="A11823" s="8">
        <v>43899.537465277783</v>
      </c>
      <c r="B11823" s="8" t="str">
        <f>HYPERLINK("https://twitter.com/PebriAtoy","@PebriAtoy")</f>
        <v>@PebriAtoy</v>
      </c>
      <c r="C11823" s="8" t="s">
        <v>3969</v>
      </c>
      <c r="D11823" s="8">
        <v>18</v>
      </c>
      <c r="E11823" s="8">
        <v>0</v>
      </c>
      <c r="F11823" s="8">
        <v>437</v>
      </c>
    </row>
    <row r="11824" spans="1:6" ht="12.75">
      <c r="A11824" s="8">
        <v>43899.537268518514</v>
      </c>
      <c r="B11824" s="8" t="str">
        <f>HYPERLINK("https://twitter.com/MartinHanafi1","@MartinHanafi1")</f>
        <v>@MartinHanafi1</v>
      </c>
      <c r="C11824" s="8" t="s">
        <v>4777</v>
      </c>
      <c r="D11824" s="8">
        <v>5</v>
      </c>
      <c r="E11824" s="8">
        <v>0</v>
      </c>
      <c r="F11824" s="8">
        <v>212</v>
      </c>
    </row>
    <row r="11825" spans="1:6" ht="12.75">
      <c r="A11825" s="8">
        <v>43899.537222222221</v>
      </c>
      <c r="B11825" s="8" t="str">
        <f>HYPERLINK("https://twitter.com/bhvybhatnagar","@bhvybhatnagar")</f>
        <v>@bhvybhatnagar</v>
      </c>
      <c r="C11825" s="8" t="s">
        <v>1917</v>
      </c>
      <c r="D11825" s="8">
        <v>1313</v>
      </c>
      <c r="E11825" s="8">
        <v>0</v>
      </c>
      <c r="F11825" s="8">
        <v>203</v>
      </c>
    </row>
    <row r="11826" spans="1:6" ht="12.75">
      <c r="A11826" s="8">
        <v>43899.536759259259</v>
      </c>
      <c r="B11826" s="8" t="str">
        <f>HYPERLINK("https://twitter.com/rizkiatyas","@rizkiatyas")</f>
        <v>@rizkiatyas</v>
      </c>
      <c r="C11826" s="8" t="s">
        <v>4801</v>
      </c>
      <c r="D11826" s="8">
        <v>143</v>
      </c>
      <c r="E11826" s="8">
        <v>0</v>
      </c>
      <c r="F11826" s="8">
        <v>461</v>
      </c>
    </row>
    <row r="11827" spans="1:6" ht="12.75">
      <c r="A11827" s="8">
        <v>43899.536747685182</v>
      </c>
      <c r="B11827" s="8" t="str">
        <f>HYPERLINK("https://twitter.com/RivaldiZakie","@RivaldiZakie")</f>
        <v>@RivaldiZakie</v>
      </c>
      <c r="C11827" s="8" t="s">
        <v>4777</v>
      </c>
      <c r="D11827" s="8">
        <v>5</v>
      </c>
      <c r="E11827" s="8">
        <v>0</v>
      </c>
      <c r="F11827" s="8">
        <v>15</v>
      </c>
    </row>
    <row r="11828" spans="1:6" ht="12.75">
      <c r="A11828" s="8">
        <v>43899.536296296297</v>
      </c>
      <c r="B11828" s="8" t="str">
        <f>HYPERLINK("https://twitter.com/DarwinParlindu1","@DarwinParlindu1")</f>
        <v>@DarwinParlindu1</v>
      </c>
      <c r="C11828" s="8" t="s">
        <v>3262</v>
      </c>
      <c r="D11828" s="8">
        <v>129</v>
      </c>
      <c r="E11828" s="8">
        <v>0</v>
      </c>
      <c r="F11828" s="8">
        <v>18</v>
      </c>
    </row>
    <row r="11829" spans="1:6" ht="12.75">
      <c r="A11829" s="8">
        <v>43899.536122685182</v>
      </c>
      <c r="B11829" s="8" t="str">
        <f>HYPERLINK("https://twitter.com/AndyJuliyanto22","@AndyJuliyanto22")</f>
        <v>@AndyJuliyanto22</v>
      </c>
      <c r="C11829" s="8" t="s">
        <v>4777</v>
      </c>
      <c r="D11829" s="8">
        <v>5</v>
      </c>
      <c r="E11829" s="8">
        <v>0</v>
      </c>
      <c r="F11829" s="8">
        <v>1960</v>
      </c>
    </row>
    <row r="11830" spans="1:6" ht="12.75">
      <c r="A11830" s="8">
        <v>43899.535891203705</v>
      </c>
      <c r="B11830" s="8" t="str">
        <f>HYPERLINK("https://twitter.com/alyaseptianii","@alyaseptianii")</f>
        <v>@alyaseptianii</v>
      </c>
      <c r="C11830" s="8" t="s">
        <v>4910</v>
      </c>
      <c r="D11830" s="8">
        <v>1</v>
      </c>
      <c r="E11830" s="8">
        <v>0</v>
      </c>
      <c r="F11830" s="8">
        <v>1309</v>
      </c>
    </row>
    <row r="11831" spans="1:6" ht="12.75">
      <c r="A11831" s="8">
        <v>43899.535879629635</v>
      </c>
      <c r="B11831" s="8" t="str">
        <f>HYPERLINK("https://twitter.com/14_bayangSemu","@14_bayangSemu")</f>
        <v>@14_bayangSemu</v>
      </c>
      <c r="C11831" s="8" t="s">
        <v>4651</v>
      </c>
      <c r="D11831" s="8">
        <v>51</v>
      </c>
      <c r="E11831" s="8">
        <v>0</v>
      </c>
      <c r="F11831" s="8">
        <v>3329</v>
      </c>
    </row>
    <row r="11832" spans="1:6" ht="12.75">
      <c r="A11832" s="8">
        <v>43899.535648148143</v>
      </c>
      <c r="B11832" s="8" t="str">
        <f>HYPERLINK("https://twitter.com/ParmonanganRaja","@ParmonanganRaja")</f>
        <v>@ParmonanganRaja</v>
      </c>
      <c r="C11832" s="8" t="s">
        <v>4911</v>
      </c>
      <c r="D11832" s="8">
        <v>4</v>
      </c>
      <c r="E11832" s="8">
        <v>0</v>
      </c>
      <c r="F11832" s="8">
        <v>196</v>
      </c>
    </row>
    <row r="11833" spans="1:6" ht="12.75">
      <c r="A11833" s="8">
        <v>43899.535636574074</v>
      </c>
      <c r="B11833" s="8" t="str">
        <f>HYPERLINK("https://twitter.com/abebgs","@abebgs")</f>
        <v>@abebgs</v>
      </c>
      <c r="C11833" s="8" t="s">
        <v>3262</v>
      </c>
      <c r="D11833" s="8">
        <v>129</v>
      </c>
      <c r="E11833" s="8">
        <v>0</v>
      </c>
      <c r="F11833" s="8">
        <v>182</v>
      </c>
    </row>
    <row r="11834" spans="1:6" ht="12.75">
      <c r="A11834" s="8">
        <v>43899.535439814819</v>
      </c>
      <c r="B11834" s="8" t="str">
        <f>HYPERLINK("https://twitter.com/Trihadimium_Boi","@Trihadimium_Boi")</f>
        <v>@Trihadimium_Boi</v>
      </c>
      <c r="C11834" s="8" t="s">
        <v>4777</v>
      </c>
      <c r="D11834" s="8">
        <v>5</v>
      </c>
      <c r="E11834" s="8">
        <v>0</v>
      </c>
      <c r="F11834" s="8">
        <v>19</v>
      </c>
    </row>
    <row r="11835" spans="1:6" ht="12.75">
      <c r="A11835" s="8">
        <v>43899.535150462965</v>
      </c>
      <c r="B11835" s="8" t="str">
        <f>HYPERLINK("https://twitter.com/MBewing","@MBewing")</f>
        <v>@MBewing</v>
      </c>
      <c r="C11835" s="8" t="s">
        <v>4912</v>
      </c>
      <c r="D11835" s="8">
        <v>0</v>
      </c>
      <c r="E11835" s="8">
        <v>0</v>
      </c>
      <c r="F11835" s="8">
        <v>196</v>
      </c>
    </row>
    <row r="11836" spans="1:6" ht="12.75">
      <c r="A11836" s="8">
        <v>43899.534467592588</v>
      </c>
      <c r="B11836" s="8" t="str">
        <f>HYPERLINK("https://twitter.com/setkabgoid","@setkabgoid")</f>
        <v>@setkabgoid</v>
      </c>
      <c r="C11836" s="8" t="s">
        <v>4318</v>
      </c>
      <c r="D11836" s="8">
        <v>5</v>
      </c>
      <c r="E11836" s="8">
        <v>7</v>
      </c>
      <c r="F11836" s="8">
        <v>1030809</v>
      </c>
    </row>
    <row r="11837" spans="1:6" ht="12.75">
      <c r="A11837" s="8">
        <v>43899.533900462964</v>
      </c>
      <c r="B11837" s="8" t="str">
        <f>HYPERLINK("https://twitter.com/TruthSpeaksTuff","@TruthSpeaksTuff")</f>
        <v>@TruthSpeaksTuff</v>
      </c>
      <c r="C11837" s="8" t="s">
        <v>1917</v>
      </c>
      <c r="D11837" s="8">
        <v>1313</v>
      </c>
      <c r="E11837" s="8">
        <v>0</v>
      </c>
      <c r="F11837" s="8">
        <v>2109</v>
      </c>
    </row>
    <row r="11838" spans="1:6" ht="12.75">
      <c r="A11838" s="8">
        <v>43899.533900462964</v>
      </c>
      <c r="B11838" s="8" t="str">
        <f>HYPERLINK("https://twitter.com/adhirodriguez","@adhirodriguez")</f>
        <v>@adhirodriguez</v>
      </c>
      <c r="C11838" s="8" t="s">
        <v>3262</v>
      </c>
      <c r="D11838" s="8">
        <v>129</v>
      </c>
      <c r="E11838" s="8">
        <v>0</v>
      </c>
      <c r="F11838" s="8">
        <v>311</v>
      </c>
    </row>
    <row r="11839" spans="1:6" ht="12.75">
      <c r="A11839" s="8">
        <v>43899.533379629633</v>
      </c>
      <c r="B11839" s="8" t="str">
        <f>HYPERLINK("https://twitter.com/mumungwisnu_1","@mumungwisnu_1")</f>
        <v>@mumungwisnu_1</v>
      </c>
      <c r="C11839" s="8" t="s">
        <v>3262</v>
      </c>
      <c r="D11839" s="8">
        <v>129</v>
      </c>
      <c r="E11839" s="8">
        <v>0</v>
      </c>
      <c r="F11839" s="8">
        <v>82</v>
      </c>
    </row>
    <row r="11840" spans="1:6" ht="12.75">
      <c r="A11840" s="8">
        <v>43899.533159722225</v>
      </c>
      <c r="B11840" s="8" t="str">
        <f>HYPERLINK("https://twitter.com/fifahlna","@fifahlna")</f>
        <v>@fifahlna</v>
      </c>
      <c r="C11840" s="8" t="s">
        <v>4795</v>
      </c>
      <c r="D11840" s="8">
        <v>40</v>
      </c>
      <c r="E11840" s="8">
        <v>0</v>
      </c>
      <c r="F11840" s="8">
        <v>329</v>
      </c>
    </row>
    <row r="11841" spans="1:6" ht="12.75">
      <c r="A11841" s="8">
        <v>43899.532916666663</v>
      </c>
      <c r="B11841" s="8" t="str">
        <f>HYPERLINK("https://twitter.com/GandozEsparadoz","@GandozEsparadoz")</f>
        <v>@GandozEsparadoz</v>
      </c>
      <c r="C11841" s="8" t="s">
        <v>3969</v>
      </c>
      <c r="D11841" s="8">
        <v>18</v>
      </c>
      <c r="E11841" s="8">
        <v>0</v>
      </c>
      <c r="F11841" s="8">
        <v>598</v>
      </c>
    </row>
    <row r="11842" spans="1:6" ht="12.75">
      <c r="A11842" s="8">
        <v>43899.53261574074</v>
      </c>
      <c r="B11842" s="8" t="str">
        <f>HYPERLINK("https://twitter.com/GRMNg_Sadewo","@GRMNg_Sadewo")</f>
        <v>@GRMNg_Sadewo</v>
      </c>
      <c r="C11842" s="8" t="s">
        <v>4651</v>
      </c>
      <c r="D11842" s="8">
        <v>51</v>
      </c>
      <c r="E11842" s="8">
        <v>0</v>
      </c>
      <c r="F11842" s="8">
        <v>8887</v>
      </c>
    </row>
    <row r="11843" spans="1:6" ht="12.75">
      <c r="A11843" s="8">
        <v>43899.532384259262</v>
      </c>
      <c r="B11843" s="8" t="str">
        <f>HYPERLINK("https://twitter.com/4rchang3l","@4rchang3l")</f>
        <v>@4rchang3l</v>
      </c>
      <c r="C11843" s="8" t="s">
        <v>4913</v>
      </c>
      <c r="D11843" s="8">
        <v>0</v>
      </c>
      <c r="E11843" s="8">
        <v>0</v>
      </c>
      <c r="F11843" s="8">
        <v>9</v>
      </c>
    </row>
    <row r="11844" spans="1:6" ht="12.75">
      <c r="A11844" s="8">
        <v>43899.531990740739</v>
      </c>
      <c r="B11844" s="8" t="str">
        <f>HYPERLINK("https://twitter.com/adeshsuryan","@adeshsuryan")</f>
        <v>@adeshsuryan</v>
      </c>
      <c r="C11844" s="8" t="s">
        <v>1917</v>
      </c>
      <c r="D11844" s="8">
        <v>1313</v>
      </c>
      <c r="E11844" s="8">
        <v>0</v>
      </c>
      <c r="F11844" s="8">
        <v>155</v>
      </c>
    </row>
    <row r="11845" spans="1:6" ht="12.75">
      <c r="A11845" s="8">
        <v>43899.531689814816</v>
      </c>
      <c r="B11845" s="8" t="str">
        <f>HYPERLINK("https://twitter.com/jasanugasyuk","@jasanugasyuk")</f>
        <v>@jasanugasyuk</v>
      </c>
      <c r="C11845" s="8" t="s">
        <v>4914</v>
      </c>
      <c r="D11845" s="8">
        <v>1</v>
      </c>
      <c r="E11845" s="8">
        <v>0</v>
      </c>
      <c r="F11845" s="8">
        <v>215</v>
      </c>
    </row>
    <row r="11846" spans="1:6" ht="12.75">
      <c r="A11846" s="8">
        <v>43899.531527777777</v>
      </c>
      <c r="B11846" s="8" t="str">
        <f>HYPERLINK("https://twitter.com/AgustinaYurisa","@AgustinaYurisa")</f>
        <v>@AgustinaYurisa</v>
      </c>
      <c r="C11846" s="8" t="s">
        <v>4915</v>
      </c>
      <c r="D11846" s="8">
        <v>1</v>
      </c>
      <c r="E11846" s="8">
        <v>0</v>
      </c>
      <c r="F11846" s="8">
        <v>837</v>
      </c>
    </row>
    <row r="11847" spans="1:6" ht="12.75">
      <c r="A11847" s="8">
        <v>43899.531388888892</v>
      </c>
      <c r="B11847" s="8" t="str">
        <f>HYPERLINK("https://twitter.com/furqon_mustanir","@furqon_mustanir")</f>
        <v>@furqon_mustanir</v>
      </c>
      <c r="C11847" s="8" t="s">
        <v>3126</v>
      </c>
      <c r="D11847" s="8">
        <v>145</v>
      </c>
      <c r="E11847" s="8">
        <v>0</v>
      </c>
      <c r="F11847" s="8">
        <v>191</v>
      </c>
    </row>
    <row r="11848" spans="1:6" ht="12.75">
      <c r="A11848" s="8">
        <v>43899.531134259261</v>
      </c>
      <c r="B11848" s="8" t="str">
        <f>HYPERLINK("https://twitter.com/SurajKu26162358","@SurajKu26162358")</f>
        <v>@SurajKu26162358</v>
      </c>
      <c r="C11848" s="8" t="s">
        <v>1917</v>
      </c>
      <c r="D11848" s="8">
        <v>1313</v>
      </c>
      <c r="E11848" s="8">
        <v>0</v>
      </c>
      <c r="F11848" s="8">
        <v>60</v>
      </c>
    </row>
    <row r="11849" spans="1:6" ht="12.75">
      <c r="A11849" s="8">
        <v>43899.531076388885</v>
      </c>
      <c r="B11849" s="8" t="str">
        <f>HYPERLINK("https://twitter.com/clara_ng","@clara_ng")</f>
        <v>@clara_ng</v>
      </c>
      <c r="C11849" s="8" t="s">
        <v>4916</v>
      </c>
      <c r="D11849" s="8">
        <v>0</v>
      </c>
      <c r="E11849" s="8">
        <v>9</v>
      </c>
      <c r="F11849" s="8">
        <v>186086</v>
      </c>
    </row>
    <row r="11850" spans="1:6" ht="12.75">
      <c r="A11850" s="8">
        <v>43899.530775462961</v>
      </c>
      <c r="B11850" s="8" t="str">
        <f>HYPERLINK("https://twitter.com/NamasteBharat1","@NamasteBharat1")</f>
        <v>@NamasteBharat1</v>
      </c>
      <c r="C11850" s="8" t="s">
        <v>1917</v>
      </c>
      <c r="D11850" s="8">
        <v>1313</v>
      </c>
      <c r="E11850" s="8">
        <v>0</v>
      </c>
      <c r="F11850" s="8">
        <v>162</v>
      </c>
    </row>
    <row r="11851" spans="1:6" ht="12.75">
      <c r="A11851" s="8">
        <v>43899.53052083333</v>
      </c>
      <c r="B11851" s="8" t="str">
        <f t="shared" ref="B11851:B11852" si="192">HYPERLINK("https://twitter.com/kbrikualalumpur","@kbrikualalumpur")</f>
        <v>@kbrikualalumpur</v>
      </c>
      <c r="C11851" s="8" t="s">
        <v>4917</v>
      </c>
      <c r="D11851" s="8">
        <v>0</v>
      </c>
      <c r="E11851" s="8">
        <v>0</v>
      </c>
      <c r="F11851" s="8">
        <v>6935</v>
      </c>
    </row>
    <row r="11852" spans="1:6" ht="12.75">
      <c r="A11852" s="8">
        <v>43899.530509259261</v>
      </c>
      <c r="B11852" s="8" t="str">
        <f t="shared" si="192"/>
        <v>@kbrikualalumpur</v>
      </c>
      <c r="C11852" s="8" t="s">
        <v>4918</v>
      </c>
      <c r="D11852" s="8">
        <v>0</v>
      </c>
      <c r="E11852" s="8">
        <v>0</v>
      </c>
      <c r="F11852" s="8">
        <v>6935</v>
      </c>
    </row>
    <row r="11853" spans="1:6" ht="12.75">
      <c r="A11853" s="8">
        <v>43899.530486111107</v>
      </c>
      <c r="B11853" s="8" t="str">
        <f>HYPERLINK("https://twitter.com/miss_moronoxy","@miss_moronoxy")</f>
        <v>@miss_moronoxy</v>
      </c>
      <c r="C11853" s="8" t="s">
        <v>1917</v>
      </c>
      <c r="D11853" s="8">
        <v>1313</v>
      </c>
      <c r="E11853" s="8">
        <v>0</v>
      </c>
      <c r="F11853" s="8">
        <v>705</v>
      </c>
    </row>
    <row r="11854" spans="1:6" ht="12.75">
      <c r="A11854" s="8">
        <v>43899.53025462963</v>
      </c>
      <c r="B11854" s="8" t="str">
        <f>HYPERLINK("https://twitter.com/EggySari","@EggySari")</f>
        <v>@EggySari</v>
      </c>
      <c r="C11854" s="8" t="s">
        <v>3126</v>
      </c>
      <c r="D11854" s="8">
        <v>145</v>
      </c>
      <c r="E11854" s="8">
        <v>0</v>
      </c>
      <c r="F11854" s="8">
        <v>196</v>
      </c>
    </row>
    <row r="11855" spans="1:6" ht="12.75">
      <c r="A11855" s="8">
        <v>43899.530219907407</v>
      </c>
      <c r="B11855" s="8" t="str">
        <f>HYPERLINK("https://twitter.com/aausupid","@aausupid")</f>
        <v>@aausupid</v>
      </c>
      <c r="C11855" s="8" t="s">
        <v>4919</v>
      </c>
      <c r="D11855" s="8">
        <v>0</v>
      </c>
      <c r="E11855" s="8">
        <v>1</v>
      </c>
      <c r="F11855" s="8">
        <v>920</v>
      </c>
    </row>
    <row r="11856" spans="1:6" ht="12.75">
      <c r="A11856" s="8">
        <v>43899.529537037037</v>
      </c>
      <c r="B11856" s="8" t="str">
        <f>HYPERLINK("https://twitter.com/ViRaghuvanshi","@ViRaghuvanshi")</f>
        <v>@ViRaghuvanshi</v>
      </c>
      <c r="C11856" s="8" t="s">
        <v>1917</v>
      </c>
      <c r="D11856" s="8">
        <v>1313</v>
      </c>
      <c r="E11856" s="8">
        <v>0</v>
      </c>
      <c r="F11856" s="8">
        <v>70</v>
      </c>
    </row>
    <row r="11857" spans="1:6" ht="12.75">
      <c r="A11857" s="8">
        <v>43899.528923611113</v>
      </c>
      <c r="B11857" s="8" t="str">
        <f>HYPERLINK("https://twitter.com/robert_dagenyk","@robert_dagenyk")</f>
        <v>@robert_dagenyk</v>
      </c>
      <c r="C11857" s="8" t="s">
        <v>3262</v>
      </c>
      <c r="D11857" s="8">
        <v>129</v>
      </c>
      <c r="E11857" s="8">
        <v>0</v>
      </c>
      <c r="F11857" s="8">
        <v>213</v>
      </c>
    </row>
    <row r="11858" spans="1:6" ht="12.75">
      <c r="A11858" s="8">
        <v>43899.528738425928</v>
      </c>
      <c r="B11858" s="8" t="str">
        <f>HYPERLINK("https://twitter.com/aku_sayang_aku_","@aku_sayang_aku_")</f>
        <v>@aku_sayang_aku_</v>
      </c>
      <c r="C11858" s="8" t="s">
        <v>4801</v>
      </c>
      <c r="D11858" s="8">
        <v>143</v>
      </c>
      <c r="E11858" s="8">
        <v>0</v>
      </c>
      <c r="F11858" s="8">
        <v>100</v>
      </c>
    </row>
    <row r="11859" spans="1:6" ht="12.75">
      <c r="A11859" s="8">
        <v>43899.528622685189</v>
      </c>
      <c r="B11859" s="8" t="str">
        <f>HYPERLINK("https://twitter.com/Brahmachaarini","@Brahmachaarini")</f>
        <v>@Brahmachaarini</v>
      </c>
      <c r="C11859" s="8" t="s">
        <v>4920</v>
      </c>
      <c r="D11859" s="8">
        <v>9</v>
      </c>
      <c r="E11859" s="8">
        <v>0</v>
      </c>
      <c r="F11859" s="8">
        <v>330</v>
      </c>
    </row>
    <row r="11860" spans="1:6" ht="12.75">
      <c r="A11860" s="8">
        <v>43899.528356481482</v>
      </c>
      <c r="B11860" s="8" t="str">
        <f>HYPERLINK("https://twitter.com/Dk8012","@Dk8012")</f>
        <v>@Dk8012</v>
      </c>
      <c r="C11860" s="8" t="s">
        <v>1917</v>
      </c>
      <c r="D11860" s="8">
        <v>1313</v>
      </c>
      <c r="E11860" s="8">
        <v>0</v>
      </c>
      <c r="F11860" s="8">
        <v>237</v>
      </c>
    </row>
    <row r="11861" spans="1:6" ht="12.75">
      <c r="A11861" s="8">
        <v>43899.52815972222</v>
      </c>
      <c r="B11861" s="8" t="str">
        <f>HYPERLINK("https://twitter.com/c2bilal2f","@c2bilal2f")</f>
        <v>@c2bilal2f</v>
      </c>
      <c r="C11861" s="8" t="s">
        <v>3126</v>
      </c>
      <c r="D11861" s="8">
        <v>145</v>
      </c>
      <c r="E11861" s="8">
        <v>0</v>
      </c>
      <c r="F11861" s="8">
        <v>2009</v>
      </c>
    </row>
    <row r="11862" spans="1:6" ht="12.75">
      <c r="A11862" s="8">
        <v>43899.528113425928</v>
      </c>
      <c r="B11862" s="8" t="str">
        <f>HYPERLINK("https://twitter.com/asword_151","@asword_151")</f>
        <v>@asword_151</v>
      </c>
      <c r="C11862" s="8" t="s">
        <v>4911</v>
      </c>
      <c r="D11862" s="8">
        <v>4</v>
      </c>
      <c r="E11862" s="8">
        <v>0</v>
      </c>
      <c r="F11862" s="8">
        <v>1687</v>
      </c>
    </row>
    <row r="11863" spans="1:6" ht="12.75">
      <c r="A11863" s="8">
        <v>43899.528009259258</v>
      </c>
      <c r="B11863" s="8" t="str">
        <f>HYPERLINK("https://twitter.com/AliLenon1","@AliLenon1")</f>
        <v>@AliLenon1</v>
      </c>
      <c r="C11863" s="8" t="s">
        <v>3262</v>
      </c>
      <c r="D11863" s="8">
        <v>129</v>
      </c>
      <c r="E11863" s="8">
        <v>0</v>
      </c>
      <c r="F11863" s="8">
        <v>1368</v>
      </c>
    </row>
    <row r="11864" spans="1:6" ht="12.75">
      <c r="A11864" s="8">
        <v>43899.527847222227</v>
      </c>
      <c r="B11864" s="8" t="str">
        <f>HYPERLINK("https://twitter.com/devdec","@devdec")</f>
        <v>@devdec</v>
      </c>
      <c r="C11864" s="8" t="s">
        <v>1396</v>
      </c>
      <c r="D11864" s="8">
        <v>35</v>
      </c>
      <c r="E11864" s="8">
        <v>0</v>
      </c>
      <c r="F11864" s="8">
        <v>157</v>
      </c>
    </row>
    <row r="11865" spans="1:6" ht="12.75">
      <c r="A11865" s="8">
        <v>43899.527777777781</v>
      </c>
      <c r="B11865" s="8" t="str">
        <f>HYPERLINK("https://twitter.com/KurioID","@KurioID")</f>
        <v>@KurioID</v>
      </c>
      <c r="C11865" s="8" t="s">
        <v>4921</v>
      </c>
      <c r="D11865" s="8">
        <v>1</v>
      </c>
      <c r="E11865" s="8">
        <v>1</v>
      </c>
      <c r="F11865" s="8">
        <v>7994</v>
      </c>
    </row>
    <row r="11866" spans="1:6" ht="12.75">
      <c r="A11866" s="8">
        <v>43899.527696759258</v>
      </c>
      <c r="B11866" s="8" t="str">
        <f>HYPERLINK("https://twitter.com/Jay68671082","@Jay68671082")</f>
        <v>@Jay68671082</v>
      </c>
      <c r="C11866" s="8" t="s">
        <v>1917</v>
      </c>
      <c r="D11866" s="8">
        <v>1313</v>
      </c>
      <c r="E11866" s="8">
        <v>0</v>
      </c>
      <c r="F11866" s="8">
        <v>628</v>
      </c>
    </row>
    <row r="11867" spans="1:6" ht="12.75">
      <c r="A11867" s="8">
        <v>43899.52716435185</v>
      </c>
      <c r="B11867" s="8" t="str">
        <f>HYPERLINK("https://twitter.com/joeyjack04","@joeyjack04")</f>
        <v>@joeyjack04</v>
      </c>
      <c r="C11867" s="8" t="s">
        <v>4922</v>
      </c>
      <c r="D11867" s="8">
        <v>0</v>
      </c>
      <c r="E11867" s="8">
        <v>0</v>
      </c>
      <c r="F11867" s="8">
        <v>618</v>
      </c>
    </row>
    <row r="11868" spans="1:6" ht="12.75">
      <c r="A11868" s="8">
        <v>43899.527129629627</v>
      </c>
      <c r="B11868" s="8" t="str">
        <f>HYPERLINK("https://twitter.com/Maury2Maurya","@Maury2Maurya")</f>
        <v>@Maury2Maurya</v>
      </c>
      <c r="C11868" s="8" t="s">
        <v>1917</v>
      </c>
      <c r="D11868" s="8">
        <v>1313</v>
      </c>
      <c r="E11868" s="8">
        <v>0</v>
      </c>
      <c r="F11868" s="8">
        <v>766</v>
      </c>
    </row>
    <row r="11869" spans="1:6" ht="12.75">
      <c r="A11869" s="8">
        <v>43899.527106481481</v>
      </c>
      <c r="B11869" s="8" t="str">
        <f>HYPERLINK("https://twitter.com/IndoEthio","@IndoEthio")</f>
        <v>@IndoEthio</v>
      </c>
      <c r="C11869" s="8" t="s">
        <v>1396</v>
      </c>
      <c r="D11869" s="8">
        <v>35</v>
      </c>
      <c r="E11869" s="8">
        <v>0</v>
      </c>
      <c r="F11869" s="8">
        <v>3601</v>
      </c>
    </row>
    <row r="11870" spans="1:6" ht="12.75">
      <c r="A11870" s="8">
        <v>43899.527094907404</v>
      </c>
      <c r="B11870" s="8" t="str">
        <f>HYPERLINK("https://twitter.com/GlobalTimeseu","@GlobalTimeseu")</f>
        <v>@GlobalTimeseu</v>
      </c>
      <c r="C11870" s="8" t="s">
        <v>1396</v>
      </c>
      <c r="D11870" s="8">
        <v>35</v>
      </c>
      <c r="E11870" s="8">
        <v>0</v>
      </c>
      <c r="F11870" s="8">
        <v>1997</v>
      </c>
    </row>
    <row r="11871" spans="1:6" ht="12.75">
      <c r="A11871" s="8">
        <v>43899.526759259257</v>
      </c>
      <c r="B11871" s="8" t="str">
        <f>HYPERLINK("https://twitter.com/kompascom","@kompascom")</f>
        <v>@kompascom</v>
      </c>
      <c r="C11871" s="8" t="s">
        <v>4923</v>
      </c>
      <c r="D11871" s="8">
        <v>4</v>
      </c>
      <c r="E11871" s="8">
        <v>5</v>
      </c>
      <c r="F11871" s="8">
        <v>7536321</v>
      </c>
    </row>
    <row r="11872" spans="1:6" ht="12.75">
      <c r="A11872" s="8">
        <v>43899.526342592595</v>
      </c>
      <c r="B11872" s="8" t="str">
        <f>HYPERLINK("https://twitter.com/YogaNugrahaID","@YogaNugrahaID")</f>
        <v>@YogaNugrahaID</v>
      </c>
      <c r="C11872" s="8" t="s">
        <v>4924</v>
      </c>
      <c r="D11872" s="8">
        <v>0</v>
      </c>
      <c r="E11872" s="8">
        <v>0</v>
      </c>
      <c r="F11872" s="8">
        <v>579</v>
      </c>
    </row>
    <row r="11873" spans="1:6" ht="12.75">
      <c r="A11873" s="8">
        <v>43899.525891203702</v>
      </c>
      <c r="B11873" s="8" t="str">
        <f>HYPERLINK("https://twitter.com/krishandelhi","@krishandelhi")</f>
        <v>@krishandelhi</v>
      </c>
      <c r="C11873" s="8" t="s">
        <v>1917</v>
      </c>
      <c r="D11873" s="8">
        <v>1313</v>
      </c>
      <c r="E11873" s="8">
        <v>0</v>
      </c>
      <c r="F11873" s="8">
        <v>646</v>
      </c>
    </row>
    <row r="11874" spans="1:6" ht="12.75">
      <c r="A11874" s="8">
        <v>43899.525601851856</v>
      </c>
      <c r="B11874" s="8" t="str">
        <f>HYPERLINK("https://twitter.com/Riyaz1405","@Riyaz1405")</f>
        <v>@Riyaz1405</v>
      </c>
      <c r="C11874" s="8" t="s">
        <v>4925</v>
      </c>
      <c r="D11874" s="8">
        <v>0</v>
      </c>
      <c r="E11874" s="8">
        <v>0</v>
      </c>
      <c r="F11874" s="8">
        <v>12</v>
      </c>
    </row>
    <row r="11875" spans="1:6" ht="12.75">
      <c r="A11875" s="8">
        <v>43899.525509259256</v>
      </c>
      <c r="B11875" s="8" t="str">
        <f>HYPERLINK("https://twitter.com/yb110yogesh","@yb110yogesh")</f>
        <v>@yb110yogesh</v>
      </c>
      <c r="C11875" s="8" t="s">
        <v>1917</v>
      </c>
      <c r="D11875" s="8">
        <v>1313</v>
      </c>
      <c r="E11875" s="8">
        <v>0</v>
      </c>
      <c r="F11875" s="8">
        <v>105</v>
      </c>
    </row>
    <row r="11876" spans="1:6" ht="12.75">
      <c r="A11876" s="8">
        <v>43899.525092592594</v>
      </c>
      <c r="B11876" s="8" t="str">
        <f>HYPERLINK("https://twitter.com/moniicamiirand","@moniicamiirand")</f>
        <v>@moniicamiirand</v>
      </c>
      <c r="C11876" s="8" t="s">
        <v>4801</v>
      </c>
      <c r="D11876" s="8">
        <v>143</v>
      </c>
      <c r="E11876" s="8">
        <v>0</v>
      </c>
      <c r="F11876" s="8">
        <v>386</v>
      </c>
    </row>
    <row r="11877" spans="1:6" ht="12.75">
      <c r="A11877" s="8">
        <v>43899.524953703702</v>
      </c>
      <c r="B11877" s="8" t="str">
        <f>HYPERLINK("https://twitter.com/sastrawanawan","@sastrawanawan")</f>
        <v>@sastrawanawan</v>
      </c>
      <c r="C11877" s="8" t="s">
        <v>3262</v>
      </c>
      <c r="D11877" s="8">
        <v>129</v>
      </c>
      <c r="E11877" s="8">
        <v>0</v>
      </c>
      <c r="F11877" s="8">
        <v>1774</v>
      </c>
    </row>
    <row r="11878" spans="1:6" ht="12.75">
      <c r="A11878" s="8">
        <v>43899.524722222224</v>
      </c>
      <c r="B11878" s="8" t="str">
        <f>HYPERLINK("https://twitter.com/indiapremi","@indiapremi")</f>
        <v>@indiapremi</v>
      </c>
      <c r="C11878" s="8" t="s">
        <v>4920</v>
      </c>
      <c r="D11878" s="8">
        <v>9</v>
      </c>
      <c r="E11878" s="8">
        <v>0</v>
      </c>
      <c r="F11878" s="8">
        <v>1365</v>
      </c>
    </row>
    <row r="11879" spans="1:6" ht="12.75">
      <c r="A11879" s="8">
        <v>43899.524710648147</v>
      </c>
      <c r="B11879" s="8" t="str">
        <f>HYPERLINK("https://twitter.com/58d7169a88a84cf","@58d7169a88a84cf")</f>
        <v>@58d7169a88a84cf</v>
      </c>
      <c r="C11879" s="8" t="s">
        <v>3126</v>
      </c>
      <c r="D11879" s="8">
        <v>145</v>
      </c>
      <c r="E11879" s="8">
        <v>0</v>
      </c>
      <c r="F11879" s="8">
        <v>93</v>
      </c>
    </row>
    <row r="11880" spans="1:6" ht="12.75">
      <c r="A11880" s="8">
        <v>43899.524375000001</v>
      </c>
      <c r="B11880" s="8" t="str">
        <f>HYPERLINK("https://twitter.com/Arpit2311","@Arpit2311")</f>
        <v>@Arpit2311</v>
      </c>
      <c r="C11880" s="8" t="s">
        <v>1917</v>
      </c>
      <c r="D11880" s="8">
        <v>1313</v>
      </c>
      <c r="E11880" s="8">
        <v>0</v>
      </c>
      <c r="F11880" s="8">
        <v>303</v>
      </c>
    </row>
    <row r="11881" spans="1:6" ht="12.75">
      <c r="A11881" s="8">
        <v>43899.524293981478</v>
      </c>
      <c r="B11881" s="8" t="str">
        <f>HYPERLINK("https://twitter.com/JagoanMelon","@JagoanMelon")</f>
        <v>@JagoanMelon</v>
      </c>
      <c r="C11881" s="8" t="s">
        <v>4926</v>
      </c>
      <c r="D11881" s="8">
        <v>1</v>
      </c>
      <c r="E11881" s="8">
        <v>0</v>
      </c>
      <c r="F11881" s="8">
        <v>1195</v>
      </c>
    </row>
    <row r="11882" spans="1:6" ht="12.75">
      <c r="A11882" s="8">
        <v>43899.524236111116</v>
      </c>
      <c r="B11882" s="8" t="str">
        <f>HYPERLINK("https://twitter.com/kunal_rajchitte","@kunal_rajchitte")</f>
        <v>@kunal_rajchitte</v>
      </c>
      <c r="C11882" s="8" t="s">
        <v>1917</v>
      </c>
      <c r="D11882" s="8">
        <v>1313</v>
      </c>
      <c r="E11882" s="8">
        <v>0</v>
      </c>
      <c r="F11882" s="8">
        <v>404</v>
      </c>
    </row>
    <row r="11883" spans="1:6" ht="12.75">
      <c r="A11883" s="8">
        <v>43899.52412037037</v>
      </c>
      <c r="B11883" s="8" t="str">
        <f>HYPERLINK("https://twitter.com/kbriportmoresby","@kbriportmoresby")</f>
        <v>@kbriportmoresby</v>
      </c>
      <c r="C11883" s="8" t="s">
        <v>1399</v>
      </c>
      <c r="D11883" s="8">
        <v>55</v>
      </c>
      <c r="E11883" s="8">
        <v>0</v>
      </c>
      <c r="F11883" s="8">
        <v>505</v>
      </c>
    </row>
    <row r="11884" spans="1:6" ht="12.75">
      <c r="A11884" s="8">
        <v>43899.523634259254</v>
      </c>
      <c r="B11884" s="8" t="str">
        <f>HYPERLINK("https://twitter.com/erteyoyo","@erteyoyo")</f>
        <v>@erteyoyo</v>
      </c>
      <c r="C11884" s="8" t="s">
        <v>4927</v>
      </c>
      <c r="D11884" s="8">
        <v>75</v>
      </c>
      <c r="E11884" s="8">
        <v>0</v>
      </c>
      <c r="F11884" s="8">
        <v>985</v>
      </c>
    </row>
    <row r="11885" spans="1:6" ht="12.75">
      <c r="A11885" s="8">
        <v>43899.523414351846</v>
      </c>
      <c r="B11885" s="8" t="str">
        <f>HYPERLINK("https://twitter.com/keumad","@keumad")</f>
        <v>@keumad</v>
      </c>
      <c r="C11885" s="8" t="s">
        <v>1396</v>
      </c>
      <c r="D11885" s="8">
        <v>35</v>
      </c>
      <c r="E11885" s="8">
        <v>0</v>
      </c>
      <c r="F11885" s="8">
        <v>399</v>
      </c>
    </row>
    <row r="11886" spans="1:6" ht="12.75">
      <c r="A11886" s="8">
        <v>43899.522962962961</v>
      </c>
      <c r="B11886" s="8" t="str">
        <f>HYPERLINK("https://twitter.com/Turkiwale","@Turkiwale")</f>
        <v>@Turkiwale</v>
      </c>
      <c r="C11886" s="8" t="s">
        <v>4920</v>
      </c>
      <c r="D11886" s="8">
        <v>9</v>
      </c>
      <c r="E11886" s="8">
        <v>0</v>
      </c>
      <c r="F11886" s="8">
        <v>300</v>
      </c>
    </row>
    <row r="11887" spans="1:6" ht="12.75">
      <c r="A11887" s="8">
        <v>43899.522604166668</v>
      </c>
      <c r="B11887" s="8" t="str">
        <f>HYPERLINK("https://twitter.com/lusi_ramadhani","@lusi_ramadhani")</f>
        <v>@lusi_ramadhani</v>
      </c>
      <c r="C11887" s="8" t="s">
        <v>1396</v>
      </c>
      <c r="D11887" s="8">
        <v>35</v>
      </c>
      <c r="E11887" s="8">
        <v>0</v>
      </c>
      <c r="F11887" s="8">
        <v>358</v>
      </c>
    </row>
    <row r="11888" spans="1:6" ht="12.75">
      <c r="A11888" s="8">
        <v>43899.522534722222</v>
      </c>
      <c r="B11888" s="8" t="str">
        <f>HYPERLINK("https://twitter.com/Joginde01456662","@Joginde01456662")</f>
        <v>@Joginde01456662</v>
      </c>
      <c r="C11888" s="8" t="s">
        <v>1917</v>
      </c>
      <c r="D11888" s="8">
        <v>1313</v>
      </c>
      <c r="E11888" s="8">
        <v>0</v>
      </c>
      <c r="F11888" s="8">
        <v>134</v>
      </c>
    </row>
    <row r="11889" spans="1:6" ht="12.75">
      <c r="A11889" s="8">
        <v>43899.522222222222</v>
      </c>
      <c r="B11889" s="8" t="str">
        <f>HYPERLINK("https://twitter.com/SutariUu111","@SutariUu111")</f>
        <v>@SutariUu111</v>
      </c>
      <c r="C11889" s="8" t="s">
        <v>4928</v>
      </c>
      <c r="D11889" s="8">
        <v>0</v>
      </c>
      <c r="E11889" s="8">
        <v>1</v>
      </c>
      <c r="F11889" s="8">
        <v>2901</v>
      </c>
    </row>
    <row r="11890" spans="1:6" ht="12.75">
      <c r="A11890" s="8">
        <v>43899.522060185191</v>
      </c>
      <c r="B11890" s="8" t="str">
        <f>HYPERLINK("https://twitter.com/rvliarzk","@rvliarzk")</f>
        <v>@rvliarzk</v>
      </c>
      <c r="C11890" s="8" t="s">
        <v>4901</v>
      </c>
      <c r="D11890" s="8">
        <v>9</v>
      </c>
      <c r="E11890" s="8">
        <v>0</v>
      </c>
      <c r="F11890" s="8">
        <v>528</v>
      </c>
    </row>
    <row r="11891" spans="1:6" ht="12.75">
      <c r="A11891" s="8">
        <v>43899.521736111114</v>
      </c>
      <c r="B11891" s="8" t="str">
        <f>HYPERLINK("https://twitter.com/ashutoshanmol72","@ashutoshanmol72")</f>
        <v>@ashutoshanmol72</v>
      </c>
      <c r="C11891" s="8" t="s">
        <v>4920</v>
      </c>
      <c r="D11891" s="8">
        <v>9</v>
      </c>
      <c r="E11891" s="8">
        <v>0</v>
      </c>
      <c r="F11891" s="8">
        <v>322</v>
      </c>
    </row>
    <row r="11892" spans="1:6" ht="12.75">
      <c r="A11892" s="8">
        <v>43899.521666666667</v>
      </c>
      <c r="B11892" s="8" t="str">
        <f>HYPERLINK("https://twitter.com/Rajendrap1078","@Rajendrap1078")</f>
        <v>@Rajendrap1078</v>
      </c>
      <c r="C11892" s="8" t="s">
        <v>4920</v>
      </c>
      <c r="D11892" s="8">
        <v>9</v>
      </c>
      <c r="E11892" s="8">
        <v>0</v>
      </c>
      <c r="F11892" s="8">
        <v>664</v>
      </c>
    </row>
    <row r="11893" spans="1:6" ht="12.75">
      <c r="A11893" s="8">
        <v>43899.521562499998</v>
      </c>
      <c r="B11893" s="8" t="str">
        <f>HYPERLINK("https://twitter.com/KUNWARPRITAM1","@KUNWARPRITAM1")</f>
        <v>@KUNWARPRITAM1</v>
      </c>
      <c r="C11893" s="8" t="s">
        <v>1917</v>
      </c>
      <c r="D11893" s="8">
        <v>1313</v>
      </c>
      <c r="E11893" s="8">
        <v>0</v>
      </c>
      <c r="F11893" s="8">
        <v>242</v>
      </c>
    </row>
    <row r="11894" spans="1:6" ht="12.75">
      <c r="A11894" s="8">
        <v>43899.506215277783</v>
      </c>
      <c r="B11894" s="8" t="str">
        <f>HYPERLINK("https://twitter.com/PutraMalam88","@PutraMalam88")</f>
        <v>@PutraMalam88</v>
      </c>
      <c r="C11894" s="8" t="s">
        <v>3126</v>
      </c>
      <c r="D11894" s="8">
        <v>126</v>
      </c>
      <c r="E11894" s="8">
        <v>0</v>
      </c>
      <c r="F11894" s="8">
        <v>308</v>
      </c>
    </row>
    <row r="11895" spans="1:6" ht="12.75">
      <c r="A11895" s="8">
        <v>43899.50613425926</v>
      </c>
      <c r="B11895" s="8" t="str">
        <f>HYPERLINK("https://twitter.com/Amol31477837","@Amol31477837")</f>
        <v>@Amol31477837</v>
      </c>
      <c r="C11895" s="8" t="s">
        <v>1917</v>
      </c>
      <c r="D11895" s="8">
        <v>1264</v>
      </c>
      <c r="E11895" s="8">
        <v>0</v>
      </c>
      <c r="F11895" s="8">
        <v>114</v>
      </c>
    </row>
    <row r="11896" spans="1:6" ht="12.75">
      <c r="A11896" s="8">
        <v>43899.506111111114</v>
      </c>
      <c r="B11896" s="8" t="str">
        <f>HYPERLINK("https://twitter.com/kbrimaputo","@kbrimaputo")</f>
        <v>@kbrimaputo</v>
      </c>
      <c r="C11896" s="8" t="s">
        <v>4929</v>
      </c>
      <c r="D11896" s="8">
        <v>0</v>
      </c>
      <c r="E11896" s="8">
        <v>0</v>
      </c>
      <c r="F11896" s="8">
        <v>326</v>
      </c>
    </row>
    <row r="11897" spans="1:6" ht="12.75">
      <c r="A11897" s="8">
        <v>43899.505706018521</v>
      </c>
      <c r="B11897" s="8" t="str">
        <f>HYPERLINK("https://twitter.com/pandeysatish69","@pandeysatish69")</f>
        <v>@pandeysatish69</v>
      </c>
      <c r="C11897" s="8" t="s">
        <v>1917</v>
      </c>
      <c r="D11897" s="8">
        <v>1264</v>
      </c>
      <c r="E11897" s="8">
        <v>0</v>
      </c>
      <c r="F11897" s="8">
        <v>271</v>
      </c>
    </row>
    <row r="11898" spans="1:6" ht="12.75">
      <c r="A11898" s="8">
        <v>43899.505671296298</v>
      </c>
      <c r="B11898" s="8" t="str">
        <f>HYPERLINK("https://twitter.com/Budihar21525608","@Budihar21525608")</f>
        <v>@Budihar21525608</v>
      </c>
      <c r="C11898" s="8" t="s">
        <v>3262</v>
      </c>
      <c r="D11898" s="8">
        <v>112</v>
      </c>
      <c r="E11898" s="8">
        <v>0</v>
      </c>
      <c r="F11898" s="8">
        <v>6324</v>
      </c>
    </row>
    <row r="11899" spans="1:6" ht="12.75">
      <c r="A11899" s="8">
        <v>43899.505636574075</v>
      </c>
      <c r="B11899" s="8" t="str">
        <f>HYPERLINK("https://twitter.com/Ankit_Singhals","@Ankit_Singhals")</f>
        <v>@Ankit_Singhals</v>
      </c>
      <c r="C11899" s="8" t="s">
        <v>1917</v>
      </c>
      <c r="D11899" s="8">
        <v>1264</v>
      </c>
      <c r="E11899" s="8">
        <v>0</v>
      </c>
      <c r="F11899" s="8">
        <v>305</v>
      </c>
    </row>
    <row r="11900" spans="1:6" ht="12.75">
      <c r="A11900" s="8">
        <v>43899.505509259259</v>
      </c>
      <c r="B11900" s="8" t="str">
        <f>HYPERLINK("https://twitter.com/4242Dev","@4242Dev")</f>
        <v>@4242Dev</v>
      </c>
      <c r="C11900" s="8" t="s">
        <v>1917</v>
      </c>
      <c r="D11900" s="8">
        <v>1264</v>
      </c>
      <c r="E11900" s="8">
        <v>0</v>
      </c>
      <c r="F11900" s="8">
        <v>316</v>
      </c>
    </row>
    <row r="11901" spans="1:6" ht="12.75">
      <c r="A11901" s="8">
        <v>43899.505439814813</v>
      </c>
      <c r="B11901" s="8" t="str">
        <f>HYPERLINK("https://twitter.com/manishkp16","@manishkp16")</f>
        <v>@manishkp16</v>
      </c>
      <c r="C11901" s="8" t="s">
        <v>1917</v>
      </c>
      <c r="D11901" s="8">
        <v>1264</v>
      </c>
      <c r="E11901" s="8">
        <v>0</v>
      </c>
      <c r="F11901" s="8">
        <v>170</v>
      </c>
    </row>
    <row r="11902" spans="1:6" ht="12.75">
      <c r="A11902" s="8">
        <v>43899.505324074074</v>
      </c>
      <c r="B11902" s="8" t="str">
        <f>HYPERLINK("https://twitter.com/_Vairply","@_Vairply")</f>
        <v>@_Vairply</v>
      </c>
      <c r="C11902" s="8" t="s">
        <v>3126</v>
      </c>
      <c r="D11902" s="8">
        <v>126</v>
      </c>
      <c r="E11902" s="8">
        <v>0</v>
      </c>
      <c r="F11902" s="8">
        <v>7150</v>
      </c>
    </row>
    <row r="11903" spans="1:6" ht="12.75">
      <c r="A11903" s="8">
        <v>43899.505057870367</v>
      </c>
      <c r="B11903" s="8" t="str">
        <f>HYPERLINK("https://twitter.com/neonaagesh","@neonaagesh")</f>
        <v>@neonaagesh</v>
      </c>
      <c r="C11903" s="8" t="s">
        <v>1917</v>
      </c>
      <c r="D11903" s="8">
        <v>1264</v>
      </c>
      <c r="E11903" s="8">
        <v>0</v>
      </c>
      <c r="F11903" s="8">
        <v>30</v>
      </c>
    </row>
    <row r="11904" spans="1:6" ht="12.75">
      <c r="A11904" s="8">
        <v>43899.504965277782</v>
      </c>
      <c r="B11904" s="8" t="str">
        <f>HYPERLINK("https://twitter.com/junaediedi1598","@junaediedi1598")</f>
        <v>@junaediedi1598</v>
      </c>
      <c r="C11904" s="8" t="s">
        <v>4801</v>
      </c>
      <c r="D11904" s="8">
        <v>139</v>
      </c>
      <c r="E11904" s="8">
        <v>0</v>
      </c>
      <c r="F11904" s="8">
        <v>126</v>
      </c>
    </row>
    <row r="11905" spans="1:6" ht="12.75">
      <c r="A11905" s="8">
        <v>43899.504918981482</v>
      </c>
      <c r="B11905" s="8" t="str">
        <f>HYPERLINK("https://twitter.com/saurabhsattvic","@saurabhsattvic")</f>
        <v>@saurabhsattvic</v>
      </c>
      <c r="C11905" s="8" t="s">
        <v>1917</v>
      </c>
      <c r="D11905" s="8">
        <v>1264</v>
      </c>
      <c r="E11905" s="8">
        <v>0</v>
      </c>
      <c r="F11905" s="8">
        <v>1134</v>
      </c>
    </row>
    <row r="11906" spans="1:6" ht="12.75">
      <c r="A11906" s="8">
        <v>43899.504629629635</v>
      </c>
      <c r="B11906" s="8" t="str">
        <f>HYPERLINK("https://twitter.com/PromilaSuri","@PromilaSuri")</f>
        <v>@PromilaSuri</v>
      </c>
      <c r="C11906" s="8" t="s">
        <v>1917</v>
      </c>
      <c r="D11906" s="8">
        <v>1264</v>
      </c>
      <c r="E11906" s="8">
        <v>0</v>
      </c>
      <c r="F11906" s="8">
        <v>1867</v>
      </c>
    </row>
    <row r="11907" spans="1:6" ht="12.75">
      <c r="A11907" s="8">
        <v>43899.503958333335</v>
      </c>
      <c r="B11907" s="8" t="str">
        <f>HYPERLINK("https://twitter.com/mucry_singh","@mucry_singh")</f>
        <v>@mucry_singh</v>
      </c>
      <c r="C11907" s="8" t="s">
        <v>3126</v>
      </c>
      <c r="D11907" s="8">
        <v>126</v>
      </c>
      <c r="E11907" s="8">
        <v>0</v>
      </c>
      <c r="F11907" s="8">
        <v>1035</v>
      </c>
    </row>
    <row r="11908" spans="1:6" ht="12.75">
      <c r="A11908" s="8">
        <v>43899.503958333335</v>
      </c>
      <c r="B11908" s="8" t="str">
        <f>HYPERLINK("https://twitter.com/AmmannaSantosh","@AmmannaSantosh")</f>
        <v>@AmmannaSantosh</v>
      </c>
      <c r="C11908" s="8" t="s">
        <v>1917</v>
      </c>
      <c r="D11908" s="8">
        <v>1264</v>
      </c>
      <c r="E11908" s="8">
        <v>0</v>
      </c>
      <c r="F11908" s="8">
        <v>385</v>
      </c>
    </row>
    <row r="11909" spans="1:6" ht="12.75">
      <c r="A11909" s="8">
        <v>43899.503888888888</v>
      </c>
      <c r="B11909" s="8" t="str">
        <f>HYPERLINK("https://twitter.com/ash_upad","@ash_upad")</f>
        <v>@ash_upad</v>
      </c>
      <c r="C11909" s="8" t="s">
        <v>1917</v>
      </c>
      <c r="D11909" s="8">
        <v>1264</v>
      </c>
      <c r="E11909" s="8">
        <v>0</v>
      </c>
      <c r="F11909" s="8">
        <v>17</v>
      </c>
    </row>
    <row r="11910" spans="1:6" ht="12.75">
      <c r="A11910" s="8">
        <v>43899.503796296296</v>
      </c>
      <c r="B11910" s="8" t="str">
        <f>HYPERLINK("https://twitter.com/RealAlokAwasthi","@RealAlokAwasthi")</f>
        <v>@RealAlokAwasthi</v>
      </c>
      <c r="C11910" s="8" t="s">
        <v>1917</v>
      </c>
      <c r="D11910" s="8">
        <v>1264</v>
      </c>
      <c r="E11910" s="8">
        <v>0</v>
      </c>
      <c r="F11910" s="8">
        <v>330</v>
      </c>
    </row>
    <row r="11911" spans="1:6" ht="12.75">
      <c r="A11911" s="8">
        <v>43899.503599537042</v>
      </c>
      <c r="B11911" s="8" t="str">
        <f>HYPERLINK("https://twitter.com/claraaec_sc","@claraaec_sc")</f>
        <v>@claraaec_sc</v>
      </c>
      <c r="C11911" s="8" t="s">
        <v>4801</v>
      </c>
      <c r="D11911" s="8">
        <v>139</v>
      </c>
      <c r="E11911" s="8">
        <v>0</v>
      </c>
      <c r="F11911" s="8">
        <v>853</v>
      </c>
    </row>
    <row r="11912" spans="1:6" ht="12.75">
      <c r="A11912" s="8">
        <v>43899.503252314811</v>
      </c>
      <c r="B11912" s="8" t="str">
        <f>HYPERLINK("https://twitter.com/idntimes","@idntimes")</f>
        <v>@idntimes</v>
      </c>
      <c r="C11912" s="8" t="s">
        <v>4930</v>
      </c>
      <c r="D11912" s="8">
        <v>0</v>
      </c>
      <c r="E11912" s="8">
        <v>0</v>
      </c>
      <c r="F11912" s="8">
        <v>394325</v>
      </c>
    </row>
    <row r="11913" spans="1:6" ht="12.75">
      <c r="A11913" s="8">
        <v>43899.502430555556</v>
      </c>
      <c r="B11913" s="8" t="str">
        <f>HYPERLINK("https://twitter.com/beritaKBR","@beritaKBR")</f>
        <v>@beritaKBR</v>
      </c>
      <c r="C11913" s="8" t="s">
        <v>4931</v>
      </c>
      <c r="D11913" s="8">
        <v>0</v>
      </c>
      <c r="E11913" s="8">
        <v>0</v>
      </c>
      <c r="F11913" s="8">
        <v>137276</v>
      </c>
    </row>
    <row r="11914" spans="1:6" ht="12.75">
      <c r="A11914" s="8">
        <v>43899.502280092594</v>
      </c>
      <c r="B11914" s="8" t="str">
        <f>HYPERLINK("https://twitter.com/DiasporaXxi","@DiasporaXxi")</f>
        <v>@DiasporaXxi</v>
      </c>
      <c r="C11914" s="8" t="s">
        <v>4932</v>
      </c>
      <c r="D11914" s="8">
        <v>0</v>
      </c>
      <c r="E11914" s="8">
        <v>0</v>
      </c>
      <c r="F11914" s="8">
        <v>50</v>
      </c>
    </row>
    <row r="11915" spans="1:6" ht="12.75">
      <c r="A11915" s="8">
        <v>43899.50199074074</v>
      </c>
      <c r="B11915" s="8" t="str">
        <f>HYPERLINK("https://twitter.com/drishti16966","@drishti16966")</f>
        <v>@drishti16966</v>
      </c>
      <c r="C11915" s="8" t="s">
        <v>1917</v>
      </c>
      <c r="D11915" s="8">
        <v>1264</v>
      </c>
      <c r="E11915" s="8">
        <v>0</v>
      </c>
      <c r="F11915" s="8">
        <v>530</v>
      </c>
    </row>
    <row r="11916" spans="1:6" ht="12.75">
      <c r="A11916" s="8">
        <v>43899.501944444448</v>
      </c>
      <c r="B11916" s="8" t="str">
        <f>HYPERLINK("https://twitter.com/idpenamini","@idpenamini")</f>
        <v>@idpenamini</v>
      </c>
      <c r="C11916" s="8" t="s">
        <v>4933</v>
      </c>
      <c r="D11916" s="8">
        <v>0</v>
      </c>
      <c r="E11916" s="8">
        <v>0</v>
      </c>
      <c r="F11916" s="8">
        <v>175</v>
      </c>
    </row>
    <row r="11917" spans="1:6" ht="12.75">
      <c r="A11917" s="8">
        <v>43899.501296296294</v>
      </c>
      <c r="B11917" s="8" t="str">
        <f>HYPERLINK("https://twitter.com/sagakom","@sagakom")</f>
        <v>@sagakom</v>
      </c>
      <c r="C11917" s="8" t="s">
        <v>4318</v>
      </c>
      <c r="D11917" s="8">
        <v>0</v>
      </c>
      <c r="E11917" s="8">
        <v>0</v>
      </c>
      <c r="F11917" s="8">
        <v>286</v>
      </c>
    </row>
    <row r="11918" spans="1:6" ht="12.75">
      <c r="A11918" s="8">
        <v>43899.501180555555</v>
      </c>
      <c r="B11918" s="8" t="str">
        <f>HYPERLINK("https://twitter.com/hendra235","@hendra235")</f>
        <v>@hendra235</v>
      </c>
      <c r="C11918" s="8" t="s">
        <v>4934</v>
      </c>
      <c r="D11918" s="8">
        <v>0</v>
      </c>
      <c r="E11918" s="8">
        <v>0</v>
      </c>
      <c r="F11918" s="8">
        <v>293</v>
      </c>
    </row>
    <row r="11919" spans="1:6" ht="12.75">
      <c r="A11919" s="8">
        <v>43899.501076388886</v>
      </c>
      <c r="B11919" s="8" t="str">
        <f>HYPERLINK("https://twitter.com/WahhabiCC","@WahhabiCC")</f>
        <v>@WahhabiCC</v>
      </c>
      <c r="C11919" s="8" t="s">
        <v>4935</v>
      </c>
      <c r="D11919" s="8">
        <v>0</v>
      </c>
      <c r="E11919" s="8">
        <v>1</v>
      </c>
      <c r="F11919" s="8">
        <v>17363</v>
      </c>
    </row>
    <row r="11920" spans="1:6" ht="12.75">
      <c r="A11920" s="8">
        <v>43899.500972222224</v>
      </c>
      <c r="B11920" s="8" t="str">
        <f>HYPERLINK("https://twitter.com/kingsDja","@kingsDja")</f>
        <v>@kingsDja</v>
      </c>
      <c r="C11920" s="8" t="s">
        <v>3265</v>
      </c>
      <c r="D11920" s="8">
        <v>530</v>
      </c>
      <c r="E11920" s="8">
        <v>0</v>
      </c>
      <c r="F11920" s="8">
        <v>701</v>
      </c>
    </row>
    <row r="11921" spans="1:6" ht="12.75">
      <c r="A11921" s="8">
        <v>43899.500960648147</v>
      </c>
      <c r="B11921" s="8" t="str">
        <f>HYPERLINK("https://twitter.com/rae2154","@rae2154")</f>
        <v>@rae2154</v>
      </c>
      <c r="C11921" s="8" t="s">
        <v>4795</v>
      </c>
      <c r="D11921" s="8">
        <v>37</v>
      </c>
      <c r="E11921" s="8">
        <v>0</v>
      </c>
      <c r="F11921" s="8">
        <v>315</v>
      </c>
    </row>
    <row r="11922" spans="1:6" ht="12.75">
      <c r="A11922" s="8">
        <v>43899.500601851847</v>
      </c>
      <c r="B11922" s="8" t="str">
        <f t="shared" ref="B11922:B11923" si="193">HYPERLINK("https://twitter.com/farhanpenyiar","@farhanpenyiar")</f>
        <v>@farhanpenyiar</v>
      </c>
      <c r="C11922" s="8" t="s">
        <v>4936</v>
      </c>
      <c r="D11922" s="8">
        <v>1</v>
      </c>
      <c r="E11922" s="8">
        <v>0</v>
      </c>
      <c r="F11922" s="8">
        <v>424210</v>
      </c>
    </row>
    <row r="11923" spans="1:6" ht="12.75">
      <c r="A11923" s="8">
        <v>43899.500555555554</v>
      </c>
      <c r="B11923" s="8" t="str">
        <f t="shared" si="193"/>
        <v>@farhanpenyiar</v>
      </c>
      <c r="C11923" s="8" t="s">
        <v>4937</v>
      </c>
      <c r="D11923" s="8">
        <v>1</v>
      </c>
      <c r="E11923" s="8">
        <v>0</v>
      </c>
      <c r="F11923" s="8">
        <v>424210</v>
      </c>
    </row>
    <row r="11924" spans="1:6" ht="12.75">
      <c r="A11924" s="8">
        <v>43899.500543981485</v>
      </c>
      <c r="B11924" s="8" t="str">
        <f>HYPERLINK("https://twitter.com/adedinar2011","@adedinar2011")</f>
        <v>@adedinar2011</v>
      </c>
      <c r="C11924" s="8" t="s">
        <v>3265</v>
      </c>
      <c r="D11924" s="8">
        <v>530</v>
      </c>
      <c r="E11924" s="8">
        <v>0</v>
      </c>
      <c r="F11924" s="8">
        <v>66</v>
      </c>
    </row>
    <row r="11925" spans="1:6" ht="12.75">
      <c r="A11925" s="8">
        <v>43899.500046296293</v>
      </c>
      <c r="B11925" s="8" t="str">
        <f>HYPERLINK("https://twitter.com/Macan4sia","@Macan4sia")</f>
        <v>@Macan4sia</v>
      </c>
      <c r="C11925" s="8" t="s">
        <v>4277</v>
      </c>
      <c r="D11925" s="8">
        <v>0</v>
      </c>
      <c r="E11925" s="8">
        <v>0</v>
      </c>
      <c r="F11925" s="8">
        <v>190</v>
      </c>
    </row>
    <row r="11926" spans="1:6" ht="12.75">
      <c r="A11926" s="8">
        <v>43899.499131944445</v>
      </c>
      <c r="B11926" s="8" t="str">
        <f>HYPERLINK("https://twitter.com/Samikbanerji","@Samikbanerji")</f>
        <v>@Samikbanerji</v>
      </c>
      <c r="C11926" s="8" t="s">
        <v>1917</v>
      </c>
      <c r="D11926" s="8">
        <v>1264</v>
      </c>
      <c r="E11926" s="8">
        <v>0</v>
      </c>
      <c r="F11926" s="8">
        <v>1147</v>
      </c>
    </row>
    <row r="11927" spans="1:6" ht="12.75">
      <c r="A11927" s="8">
        <v>43899.498969907407</v>
      </c>
      <c r="B11927" s="8" t="str">
        <f>HYPERLINK("https://twitter.com/macheossa","@macheossa")</f>
        <v>@macheossa</v>
      </c>
      <c r="C11927" s="8" t="s">
        <v>4795</v>
      </c>
      <c r="D11927" s="8">
        <v>37</v>
      </c>
      <c r="E11927" s="8">
        <v>0</v>
      </c>
      <c r="F11927" s="8">
        <v>428</v>
      </c>
    </row>
    <row r="11928" spans="1:6" ht="12.75">
      <c r="A11928" s="8">
        <v>43899.498969907407</v>
      </c>
      <c r="B11928" s="8" t="str">
        <f>HYPERLINK("https://twitter.com/abandani5","@abandani5")</f>
        <v>@abandani5</v>
      </c>
      <c r="C11928" s="8" t="s">
        <v>3265</v>
      </c>
      <c r="D11928" s="8">
        <v>530</v>
      </c>
      <c r="E11928" s="8">
        <v>0</v>
      </c>
      <c r="F11928" s="8">
        <v>34</v>
      </c>
    </row>
    <row r="11929" spans="1:6" ht="12.75">
      <c r="A11929" s="8">
        <v>43899.498923611114</v>
      </c>
      <c r="B11929" s="8" t="str">
        <f>HYPERLINK("https://twitter.com/SydSalesman","@SydSalesman")</f>
        <v>@SydSalesman</v>
      </c>
      <c r="C11929" s="8" t="s">
        <v>3969</v>
      </c>
      <c r="D11929" s="8">
        <v>13</v>
      </c>
      <c r="E11929" s="8">
        <v>0</v>
      </c>
      <c r="F11929" s="8">
        <v>6272</v>
      </c>
    </row>
    <row r="11930" spans="1:6" ht="12.75">
      <c r="A11930" s="8">
        <v>43899.498877314814</v>
      </c>
      <c r="B11930" s="8" t="str">
        <f>HYPERLINK("https://twitter.com/SilalahiFabian","@SilalahiFabian")</f>
        <v>@SilalahiFabian</v>
      </c>
      <c r="C11930" s="8" t="s">
        <v>3262</v>
      </c>
      <c r="D11930" s="8">
        <v>112</v>
      </c>
      <c r="E11930" s="8">
        <v>0</v>
      </c>
      <c r="F11930" s="8">
        <v>174</v>
      </c>
    </row>
    <row r="11931" spans="1:6" ht="12.75">
      <c r="A11931" s="8">
        <v>43899.497604166667</v>
      </c>
      <c r="B11931" s="8" t="str">
        <f>HYPERLINK("https://twitter.com/Akash54321Akash","@Akash54321Akash")</f>
        <v>@Akash54321Akash</v>
      </c>
      <c r="C11931" s="8" t="s">
        <v>1917</v>
      </c>
      <c r="D11931" s="8">
        <v>1264</v>
      </c>
      <c r="E11931" s="8">
        <v>0</v>
      </c>
      <c r="F11931" s="8">
        <v>920</v>
      </c>
    </row>
    <row r="11932" spans="1:6" ht="12.75">
      <c r="A11932" s="8">
        <v>43899.497337962966</v>
      </c>
      <c r="B11932" s="8" t="str">
        <f>HYPERLINK("https://twitter.com/HamzaFadh","@HamzaFadh")</f>
        <v>@HamzaFadh</v>
      </c>
      <c r="C11932" s="8" t="s">
        <v>4938</v>
      </c>
      <c r="D11932" s="8">
        <v>0</v>
      </c>
      <c r="E11932" s="8">
        <v>0</v>
      </c>
      <c r="F11932" s="8">
        <v>8</v>
      </c>
    </row>
    <row r="11933" spans="1:6" ht="12.75">
      <c r="A11933" s="8">
        <v>43899.497187500005</v>
      </c>
      <c r="B11933" s="8" t="str">
        <f>HYPERLINK("https://twitter.com/thesadblood","@thesadblood")</f>
        <v>@thesadblood</v>
      </c>
      <c r="C11933" s="8" t="s">
        <v>4797</v>
      </c>
      <c r="D11933" s="8">
        <v>13</v>
      </c>
      <c r="E11933" s="8">
        <v>0</v>
      </c>
      <c r="F11933" s="8">
        <v>648</v>
      </c>
    </row>
    <row r="11934" spans="1:6" ht="12.75">
      <c r="A11934" s="8">
        <v>43899.496898148151</v>
      </c>
      <c r="B11934" s="8" t="str">
        <f>HYPERLINK("https://twitter.com/Dreamcoid","@Dreamcoid")</f>
        <v>@Dreamcoid</v>
      </c>
      <c r="C11934" s="8" t="s">
        <v>4939</v>
      </c>
      <c r="D11934" s="8">
        <v>0</v>
      </c>
      <c r="E11934" s="8">
        <v>0</v>
      </c>
      <c r="F11934" s="8">
        <v>11586</v>
      </c>
    </row>
    <row r="11935" spans="1:6" ht="12.75">
      <c r="A11935" s="8">
        <v>43899.496689814812</v>
      </c>
      <c r="B11935" s="8" t="str">
        <f>HYPERLINK("https://twitter.com/Januarjososusa1","@Januarjososusa1")</f>
        <v>@Januarjososusa1</v>
      </c>
      <c r="C11935" s="8" t="s">
        <v>4940</v>
      </c>
      <c r="D11935" s="8">
        <v>28</v>
      </c>
      <c r="E11935" s="8">
        <v>0</v>
      </c>
      <c r="F11935" s="8">
        <v>239</v>
      </c>
    </row>
    <row r="11936" spans="1:6" ht="12.75">
      <c r="A11936" s="8">
        <v>43899.495925925927</v>
      </c>
      <c r="B11936" s="8" t="str">
        <f>HYPERLINK("https://twitter.com/SurenderCareer","@SurenderCareer")</f>
        <v>@SurenderCareer</v>
      </c>
      <c r="C11936" s="8" t="s">
        <v>1917</v>
      </c>
      <c r="D11936" s="8">
        <v>1264</v>
      </c>
      <c r="E11936" s="8">
        <v>0</v>
      </c>
      <c r="F11936" s="8">
        <v>272</v>
      </c>
    </row>
    <row r="11937" spans="1:6" ht="12.75">
      <c r="A11937" s="8">
        <v>43899.495717592596</v>
      </c>
      <c r="B11937" s="8" t="str">
        <f>HYPERLINK("https://twitter.com/muhalfazri","@muhalfazri")</f>
        <v>@muhalfazri</v>
      </c>
      <c r="C11937" s="8" t="s">
        <v>4941</v>
      </c>
      <c r="D11937" s="8">
        <v>3</v>
      </c>
      <c r="E11937" s="8">
        <v>0</v>
      </c>
      <c r="F11937" s="8">
        <v>426</v>
      </c>
    </row>
    <row r="11938" spans="1:6" ht="12.75">
      <c r="A11938" s="8">
        <v>43899.495486111111</v>
      </c>
      <c r="B11938" s="8" t="str">
        <f>HYPERLINK("https://twitter.com/Bermartabat3","@Bermartabat3")</f>
        <v>@Bermartabat3</v>
      </c>
      <c r="C11938" s="8" t="s">
        <v>3126</v>
      </c>
      <c r="D11938" s="8">
        <v>126</v>
      </c>
      <c r="E11938" s="8">
        <v>0</v>
      </c>
      <c r="F11938" s="8">
        <v>225</v>
      </c>
    </row>
    <row r="11939" spans="1:6" ht="12.75">
      <c r="A11939" s="8">
        <v>43899.495104166665</v>
      </c>
      <c r="B11939" s="8" t="str">
        <f>HYPERLINK("https://twitter.com/nileshamesar","@nileshamesar")</f>
        <v>@nileshamesar</v>
      </c>
      <c r="C11939" s="8" t="s">
        <v>1917</v>
      </c>
      <c r="D11939" s="8">
        <v>1264</v>
      </c>
      <c r="E11939" s="8">
        <v>0</v>
      </c>
      <c r="F11939" s="8">
        <v>239</v>
      </c>
    </row>
    <row r="11940" spans="1:6" ht="12.75">
      <c r="A11940" s="8">
        <v>43899.494537037041</v>
      </c>
      <c r="B11940" s="8" t="str">
        <f>HYPERLINK("https://twitter.com/kiranroro","@kiranroro")</f>
        <v>@kiranroro</v>
      </c>
      <c r="C11940" s="8" t="s">
        <v>4942</v>
      </c>
      <c r="D11940" s="8">
        <v>0</v>
      </c>
      <c r="E11940" s="8">
        <v>0</v>
      </c>
      <c r="F11940" s="8">
        <v>1120</v>
      </c>
    </row>
    <row r="11941" spans="1:6" ht="12.75">
      <c r="A11941" s="8">
        <v>43899.494386574079</v>
      </c>
      <c r="B11941" s="8" t="str">
        <f>HYPERLINK("https://twitter.com/ElshintaDotcom","@ElshintaDotcom")</f>
        <v>@ElshintaDotcom</v>
      </c>
      <c r="C11941" s="8" t="s">
        <v>4943</v>
      </c>
      <c r="D11941" s="8">
        <v>0</v>
      </c>
      <c r="E11941" s="8">
        <v>0</v>
      </c>
      <c r="F11941" s="8">
        <v>27953</v>
      </c>
    </row>
    <row r="11942" spans="1:6" ht="12.75">
      <c r="A11942" s="8">
        <v>43899.494166666671</v>
      </c>
      <c r="B11942" s="8" t="str">
        <f>HYPERLINK("https://twitter.com/wow_keren","@wow_keren")</f>
        <v>@wow_keren</v>
      </c>
      <c r="C11942" s="8" t="s">
        <v>4944</v>
      </c>
      <c r="D11942" s="8">
        <v>0</v>
      </c>
      <c r="E11942" s="8">
        <v>0</v>
      </c>
      <c r="F11942" s="8">
        <v>32027</v>
      </c>
    </row>
    <row r="11943" spans="1:6" ht="12.75">
      <c r="A11943" s="8">
        <v>43899.494108796294</v>
      </c>
      <c r="B11943" s="8" t="str">
        <f>HYPERLINK("https://twitter.com/gitamarindra","@gitamarindra")</f>
        <v>@gitamarindra</v>
      </c>
      <c r="C11943" s="8" t="s">
        <v>4797</v>
      </c>
      <c r="D11943" s="8">
        <v>13</v>
      </c>
      <c r="E11943" s="8">
        <v>0</v>
      </c>
      <c r="F11943" s="8">
        <v>363</v>
      </c>
    </row>
    <row r="11944" spans="1:6" ht="12.75">
      <c r="A11944" s="8">
        <v>43899.494004629625</v>
      </c>
      <c r="B11944" s="8" t="str">
        <f>HYPERLINK("https://twitter.com/72Margono","@72Margono")</f>
        <v>@72Margono</v>
      </c>
      <c r="C11944" s="8" t="s">
        <v>4945</v>
      </c>
      <c r="D11944" s="8">
        <v>38</v>
      </c>
      <c r="E11944" s="8">
        <v>0</v>
      </c>
      <c r="F11944" s="8">
        <v>2</v>
      </c>
    </row>
    <row r="11945" spans="1:6" ht="12.75">
      <c r="A11945" s="8">
        <v>43899.493969907402</v>
      </c>
      <c r="B11945" s="8" t="str">
        <f>HYPERLINK("https://twitter.com/gelaskotak","@gelaskotak")</f>
        <v>@gelaskotak</v>
      </c>
      <c r="C11945" s="8" t="s">
        <v>4797</v>
      </c>
      <c r="D11945" s="8">
        <v>13</v>
      </c>
      <c r="E11945" s="8">
        <v>0</v>
      </c>
      <c r="F11945" s="8">
        <v>302</v>
      </c>
    </row>
    <row r="11946" spans="1:6" ht="12.75">
      <c r="A11946" s="8">
        <v>43899.493761574078</v>
      </c>
      <c r="B11946" s="8" t="str">
        <f>HYPERLINK("https://twitter.com/suaradotcom","@suaradotcom")</f>
        <v>@suaradotcom</v>
      </c>
      <c r="C11946" s="8" t="s">
        <v>4946</v>
      </c>
      <c r="D11946" s="8">
        <v>0</v>
      </c>
      <c r="E11946" s="8">
        <v>0</v>
      </c>
      <c r="F11946" s="8">
        <v>24391</v>
      </c>
    </row>
    <row r="11947" spans="1:6" ht="12.75">
      <c r="A11947" s="8">
        <v>43899.493564814809</v>
      </c>
      <c r="B11947" s="8" t="str">
        <f>HYPERLINK("https://twitter.com/Temulaw71417452","@Temulaw71417452")</f>
        <v>@Temulaw71417452</v>
      </c>
      <c r="C11947" s="8" t="s">
        <v>4947</v>
      </c>
      <c r="D11947" s="8">
        <v>0</v>
      </c>
      <c r="E11947" s="8">
        <v>0</v>
      </c>
      <c r="F11947" s="8">
        <v>82</v>
      </c>
    </row>
    <row r="11948" spans="1:6" ht="12.75">
      <c r="A11948" s="8">
        <v>43899.493368055555</v>
      </c>
      <c r="B11948" s="8" t="str">
        <f>HYPERLINK("https://twitter.com/marleenmars","@marleenmars")</f>
        <v>@marleenmars</v>
      </c>
      <c r="C11948" s="8" t="s">
        <v>4797</v>
      </c>
      <c r="D11948" s="8">
        <v>13</v>
      </c>
      <c r="E11948" s="8">
        <v>0</v>
      </c>
      <c r="F11948" s="8">
        <v>419</v>
      </c>
    </row>
    <row r="11949" spans="1:6" ht="12.75">
      <c r="A11949" s="8">
        <v>43899.492893518516</v>
      </c>
      <c r="B11949" s="8" t="str">
        <f>HYPERLINK("https://twitter.com/Mumun82550128","@Mumun82550128")</f>
        <v>@Mumun82550128</v>
      </c>
      <c r="C11949" s="8" t="s">
        <v>3126</v>
      </c>
      <c r="D11949" s="8">
        <v>126</v>
      </c>
      <c r="E11949" s="8">
        <v>0</v>
      </c>
      <c r="F11949" s="8">
        <v>63</v>
      </c>
    </row>
    <row r="11950" spans="1:6" ht="12.75">
      <c r="A11950" s="8">
        <v>43899.492662037039</v>
      </c>
      <c r="B11950" s="8" t="str">
        <f>HYPERLINK("https://twitter.com/sriman21491199","@sriman21491199")</f>
        <v>@sriman21491199</v>
      </c>
      <c r="C11950" s="8" t="s">
        <v>1917</v>
      </c>
      <c r="D11950" s="8">
        <v>1264</v>
      </c>
      <c r="E11950" s="8">
        <v>0</v>
      </c>
      <c r="F11950" s="8">
        <v>201</v>
      </c>
    </row>
    <row r="11951" spans="1:6" ht="12.75">
      <c r="A11951" s="8">
        <v>43899.492106481484</v>
      </c>
      <c r="B11951" s="8" t="str">
        <f>HYPERLINK("https://twitter.com/sikecilmarmut","@sikecilmarmut")</f>
        <v>@sikecilmarmut</v>
      </c>
      <c r="C11951" s="8" t="s">
        <v>4948</v>
      </c>
      <c r="D11951" s="8">
        <v>104</v>
      </c>
      <c r="E11951" s="8">
        <v>0</v>
      </c>
      <c r="F11951" s="8">
        <v>2278</v>
      </c>
    </row>
    <row r="11952" spans="1:6" ht="12.75">
      <c r="A11952" s="8">
        <v>43899.492025462961</v>
      </c>
      <c r="B11952" s="8" t="str">
        <f>HYPERLINK("https://twitter.com/ndCapio","@ndCapio")</f>
        <v>@ndCapio</v>
      </c>
      <c r="C11952" s="8" t="s">
        <v>4797</v>
      </c>
      <c r="D11952" s="8">
        <v>13</v>
      </c>
      <c r="E11952" s="8">
        <v>0</v>
      </c>
      <c r="F11952" s="8">
        <v>647</v>
      </c>
    </row>
    <row r="11953" spans="1:6" ht="12.75">
      <c r="A11953" s="8">
        <v>43899.4918287037</v>
      </c>
      <c r="B11953" s="8" t="str">
        <f>HYPERLINK("https://twitter.com/catdst","@catdst")</f>
        <v>@catdst</v>
      </c>
      <c r="C11953" s="8" t="s">
        <v>4797</v>
      </c>
      <c r="D11953" s="8">
        <v>13</v>
      </c>
      <c r="E11953" s="8">
        <v>0</v>
      </c>
      <c r="F11953" s="8">
        <v>5180</v>
      </c>
    </row>
    <row r="11954" spans="1:6" ht="12.75">
      <c r="A11954" s="8">
        <v>43899.491747685184</v>
      </c>
      <c r="B11954" s="8" t="str">
        <f>HYPERLINK("https://twitter.com/danang22wazza","@danang22wazza")</f>
        <v>@danang22wazza</v>
      </c>
      <c r="C11954" s="8" t="s">
        <v>4949</v>
      </c>
      <c r="D11954" s="8">
        <v>0</v>
      </c>
      <c r="E11954" s="8">
        <v>0</v>
      </c>
      <c r="F11954" s="8">
        <v>91</v>
      </c>
    </row>
    <row r="11955" spans="1:6" ht="12.75">
      <c r="A11955" s="8">
        <v>43899.491736111115</v>
      </c>
      <c r="B11955" s="8" t="str">
        <f>HYPERLINK("https://twitter.com/budihar24541523","@budihar24541523")</f>
        <v>@budihar24541523</v>
      </c>
      <c r="C11955" s="8" t="s">
        <v>3126</v>
      </c>
      <c r="D11955" s="8">
        <v>126</v>
      </c>
      <c r="E11955" s="8">
        <v>0</v>
      </c>
      <c r="F11955" s="8">
        <v>247</v>
      </c>
    </row>
    <row r="11956" spans="1:6" ht="12.75">
      <c r="A11956" s="8">
        <v>43899.491655092592</v>
      </c>
      <c r="B11956" s="8" t="str">
        <f>HYPERLINK("https://twitter.com/muhammadjujur1","@muhammadjujur1")</f>
        <v>@muhammadjujur1</v>
      </c>
      <c r="C11956" s="8" t="s">
        <v>4950</v>
      </c>
      <c r="D11956" s="8">
        <v>3</v>
      </c>
      <c r="E11956" s="8">
        <v>0</v>
      </c>
      <c r="F11956" s="8">
        <v>91</v>
      </c>
    </row>
    <row r="11957" spans="1:6" ht="12.75">
      <c r="A11957" s="8">
        <v>43899.49150462963</v>
      </c>
      <c r="B11957" s="8" t="str">
        <f>HYPERLINK("https://twitter.com/IndonesiaInSto","@IndonesiaInSto")</f>
        <v>@IndonesiaInSto</v>
      </c>
      <c r="C11957" s="8" t="s">
        <v>1396</v>
      </c>
      <c r="D11957" s="8">
        <v>25</v>
      </c>
      <c r="E11957" s="8">
        <v>0</v>
      </c>
      <c r="F11957" s="8">
        <v>1247</v>
      </c>
    </row>
    <row r="11958" spans="1:6" ht="12.75">
      <c r="A11958" s="8">
        <v>43899.491481481484</v>
      </c>
      <c r="B11958" s="8" t="str">
        <f>HYPERLINK("https://twitter.com/AEPishere","@AEPishere")</f>
        <v>@AEPishere</v>
      </c>
      <c r="C11958" s="8" t="s">
        <v>4951</v>
      </c>
      <c r="D11958" s="8">
        <v>2</v>
      </c>
      <c r="E11958" s="8">
        <v>0</v>
      </c>
      <c r="F11958" s="8">
        <v>3006</v>
      </c>
    </row>
    <row r="11959" spans="1:6" ht="12.75">
      <c r="A11959" s="8">
        <v>43899.491481481484</v>
      </c>
      <c r="B11959" s="8" t="str">
        <f>HYPERLINK("https://twitter.com/effervescenty","@effervescenty")</f>
        <v>@effervescenty</v>
      </c>
      <c r="C11959" s="8" t="s">
        <v>4797</v>
      </c>
      <c r="D11959" s="8">
        <v>13</v>
      </c>
      <c r="E11959" s="8">
        <v>0</v>
      </c>
      <c r="F11959" s="8">
        <v>341</v>
      </c>
    </row>
    <row r="11960" spans="1:6" ht="12.75">
      <c r="A11960" s="8">
        <v>43899.491307870368</v>
      </c>
      <c r="B11960" s="8" t="str">
        <f>HYPERLINK("https://twitter.com/bestprofitsby","@bestprofitsby")</f>
        <v>@bestprofitsby</v>
      </c>
      <c r="C11960" s="8" t="s">
        <v>4952</v>
      </c>
      <c r="D11960" s="8">
        <v>0</v>
      </c>
      <c r="E11960" s="8">
        <v>0</v>
      </c>
      <c r="F11960" s="8">
        <v>82</v>
      </c>
    </row>
    <row r="11961" spans="1:6" ht="12.75">
      <c r="A11961" s="8">
        <v>43899.490902777776</v>
      </c>
      <c r="B11961" s="8" t="str">
        <f>HYPERLINK("https://twitter.com/NPatnaik55","@NPatnaik55")</f>
        <v>@NPatnaik55</v>
      </c>
      <c r="C11961" s="8" t="s">
        <v>1917</v>
      </c>
      <c r="D11961" s="8">
        <v>1264</v>
      </c>
      <c r="E11961" s="8">
        <v>0</v>
      </c>
      <c r="F11961" s="8">
        <v>1101</v>
      </c>
    </row>
    <row r="11962" spans="1:6" ht="12.75">
      <c r="A11962" s="8">
        <v>43899.490844907406</v>
      </c>
      <c r="B11962" s="8" t="str">
        <f>HYPERLINK("https://twitter.com/hendryx691","@hendryx691")</f>
        <v>@hendryx691</v>
      </c>
      <c r="C11962" s="8" t="s">
        <v>4797</v>
      </c>
      <c r="D11962" s="8">
        <v>13</v>
      </c>
      <c r="E11962" s="8">
        <v>0</v>
      </c>
      <c r="F11962" s="8">
        <v>788</v>
      </c>
    </row>
    <row r="11963" spans="1:6" ht="12.75">
      <c r="A11963" s="8">
        <v>43899.490740740745</v>
      </c>
      <c r="B11963" s="8" t="str">
        <f>HYPERLINK("https://twitter.com/ChristWamea","@ChristWamea")</f>
        <v>@ChristWamea</v>
      </c>
      <c r="C11963" s="8" t="s">
        <v>4797</v>
      </c>
      <c r="D11963" s="8">
        <v>13</v>
      </c>
      <c r="E11963" s="8">
        <v>0</v>
      </c>
      <c r="F11963" s="8">
        <v>29552</v>
      </c>
    </row>
    <row r="11964" spans="1:6" ht="12.75">
      <c r="A11964" s="8">
        <v>43899.490624999999</v>
      </c>
      <c r="B11964" s="8" t="str">
        <f>HYPERLINK("https://twitter.com/diponegros","@diponegros")</f>
        <v>@diponegros</v>
      </c>
      <c r="C11964" s="8" t="s">
        <v>3265</v>
      </c>
      <c r="D11964" s="8">
        <v>530</v>
      </c>
      <c r="E11964" s="8">
        <v>0</v>
      </c>
      <c r="F11964" s="8">
        <v>648</v>
      </c>
    </row>
    <row r="11965" spans="1:6" ht="12.75">
      <c r="A11965" s="8">
        <v>43899.490578703699</v>
      </c>
      <c r="B11965" s="8" t="str">
        <f>HYPERLINK("https://twitter.com/IamProud_Indian","@IamProud_Indian")</f>
        <v>@IamProud_Indian</v>
      </c>
      <c r="C11965" s="8" t="s">
        <v>1917</v>
      </c>
      <c r="D11965" s="8">
        <v>1264</v>
      </c>
      <c r="E11965" s="8">
        <v>0</v>
      </c>
      <c r="F11965" s="8">
        <v>150</v>
      </c>
    </row>
    <row r="11966" spans="1:6" ht="12.75">
      <c r="A11966" s="8">
        <v>43899.490578703699</v>
      </c>
      <c r="B11966" s="8" t="str">
        <f>HYPERLINK("https://twitter.com/febrisujatmiko","@febrisujatmiko")</f>
        <v>@febrisujatmiko</v>
      </c>
      <c r="C11966" s="8" t="s">
        <v>4797</v>
      </c>
      <c r="D11966" s="8">
        <v>13</v>
      </c>
      <c r="E11966" s="8">
        <v>0</v>
      </c>
      <c r="F11966" s="8">
        <v>333</v>
      </c>
    </row>
    <row r="11967" spans="1:6" ht="12.75">
      <c r="A11967" s="8">
        <v>43899.490543981483</v>
      </c>
      <c r="B11967" s="8" t="str">
        <f>HYPERLINK("https://twitter.com/SahlanAmin4","@SahlanAmin4")</f>
        <v>@SahlanAmin4</v>
      </c>
      <c r="C11967" s="8" t="s">
        <v>3126</v>
      </c>
      <c r="D11967" s="8">
        <v>126</v>
      </c>
      <c r="E11967" s="8">
        <v>0</v>
      </c>
      <c r="F11967" s="8">
        <v>789</v>
      </c>
    </row>
    <row r="11968" spans="1:6" ht="12.75">
      <c r="A11968" s="8">
        <v>43899.49046296296</v>
      </c>
      <c r="B11968" s="8" t="str">
        <f>HYPERLINK("https://twitter.com/gerahkali","@gerahkali")</f>
        <v>@gerahkali</v>
      </c>
      <c r="C11968" s="8" t="s">
        <v>4797</v>
      </c>
      <c r="D11968" s="8">
        <v>13</v>
      </c>
      <c r="E11968" s="8">
        <v>0</v>
      </c>
      <c r="F11968" s="8">
        <v>697</v>
      </c>
    </row>
    <row r="11969" spans="1:6" ht="12.75">
      <c r="A11969" s="8">
        <v>43899.489918981482</v>
      </c>
      <c r="B11969" s="8" t="str">
        <f>HYPERLINK("https://twitter.com/kendynuna","@kendynuna")</f>
        <v>@kendynuna</v>
      </c>
      <c r="C11969" s="8" t="s">
        <v>1396</v>
      </c>
      <c r="D11969" s="8">
        <v>25</v>
      </c>
      <c r="E11969" s="8">
        <v>0</v>
      </c>
      <c r="F11969" s="8">
        <v>137</v>
      </c>
    </row>
    <row r="11970" spans="1:6" ht="12.75">
      <c r="A11970" s="8">
        <v>43899.489861111113</v>
      </c>
      <c r="B11970" s="8" t="str">
        <f>HYPERLINK("https://twitter.com/Imrahul19Gupta","@Imrahul19Gupta")</f>
        <v>@Imrahul19Gupta</v>
      </c>
      <c r="C11970" s="8" t="s">
        <v>1917</v>
      </c>
      <c r="D11970" s="8">
        <v>1264</v>
      </c>
      <c r="E11970" s="8">
        <v>0</v>
      </c>
      <c r="F11970" s="8">
        <v>243</v>
      </c>
    </row>
    <row r="11971" spans="1:6" ht="12.75">
      <c r="A11971" s="8">
        <v>43899.489583333328</v>
      </c>
      <c r="B11971" s="8" t="str">
        <f>HYPERLINK("https://twitter.com/TirtoID","@TirtoID")</f>
        <v>@TirtoID</v>
      </c>
      <c r="C11971" s="8" t="s">
        <v>4953</v>
      </c>
      <c r="D11971" s="8">
        <v>13</v>
      </c>
      <c r="E11971" s="8">
        <v>20</v>
      </c>
      <c r="F11971" s="8">
        <v>496132</v>
      </c>
    </row>
    <row r="11972" spans="1:6" ht="12.75">
      <c r="A11972" s="8">
        <v>43899.489317129628</v>
      </c>
      <c r="B11972" s="8" t="str">
        <f>HYPERLINK("https://twitter.com/tonggosmovic","@tonggosmovic")</f>
        <v>@tonggosmovic</v>
      </c>
      <c r="C11972" s="8" t="s">
        <v>4954</v>
      </c>
      <c r="D11972" s="8">
        <v>2</v>
      </c>
      <c r="E11972" s="8">
        <v>0</v>
      </c>
      <c r="F11972" s="8">
        <v>382</v>
      </c>
    </row>
    <row r="11973" spans="1:6" ht="12.75">
      <c r="A11973" s="8">
        <v>43899.48918981482</v>
      </c>
      <c r="B11973" s="8" t="str">
        <f>HYPERLINK("https://twitter.com/Jugnispeaks","@Jugnispeaks")</f>
        <v>@Jugnispeaks</v>
      </c>
      <c r="C11973" s="8" t="s">
        <v>1917</v>
      </c>
      <c r="D11973" s="8">
        <v>1264</v>
      </c>
      <c r="E11973" s="8">
        <v>0</v>
      </c>
      <c r="F11973" s="8">
        <v>3411</v>
      </c>
    </row>
    <row r="11974" spans="1:6" ht="12.75">
      <c r="A11974" s="8">
        <v>43899.489085648151</v>
      </c>
      <c r="B11974" s="8" t="str">
        <f>HYPERLINK("https://twitter.com/daksh00999","@daksh00999")</f>
        <v>@daksh00999</v>
      </c>
      <c r="C11974" s="8" t="s">
        <v>1917</v>
      </c>
      <c r="D11974" s="8">
        <v>1264</v>
      </c>
      <c r="E11974" s="8">
        <v>0</v>
      </c>
      <c r="F11974" s="8">
        <v>109</v>
      </c>
    </row>
    <row r="11975" spans="1:6" ht="12.75">
      <c r="A11975" s="8">
        <v>43899.489062499997</v>
      </c>
      <c r="B11975" s="8" t="str">
        <f>HYPERLINK("https://twitter.com/ssak67","@ssak67")</f>
        <v>@ssak67</v>
      </c>
      <c r="C11975" s="8" t="s">
        <v>1917</v>
      </c>
      <c r="D11975" s="8">
        <v>1264</v>
      </c>
      <c r="E11975" s="8">
        <v>0</v>
      </c>
      <c r="F11975" s="8">
        <v>604</v>
      </c>
    </row>
    <row r="11976" spans="1:6" ht="12.75">
      <c r="A11976" s="8">
        <v>43899.488935185189</v>
      </c>
      <c r="B11976" s="8" t="str">
        <f>HYPERLINK("https://twitter.com/Haluan_","@Haluan_")</f>
        <v>@Haluan_</v>
      </c>
      <c r="C11976" s="8" t="s">
        <v>4955</v>
      </c>
      <c r="D11976" s="8">
        <v>0</v>
      </c>
      <c r="E11976" s="8">
        <v>0</v>
      </c>
      <c r="F11976" s="8">
        <v>1530</v>
      </c>
    </row>
    <row r="11977" spans="1:6" ht="12.75">
      <c r="A11977" s="8">
        <v>43899.488900462966</v>
      </c>
      <c r="B11977" s="8" t="str">
        <f>HYPERLINK("https://twitter.com/zurohit","@zurohit")</f>
        <v>@zurohit</v>
      </c>
      <c r="C11977" s="8" t="s">
        <v>1917</v>
      </c>
      <c r="D11977" s="8">
        <v>1264</v>
      </c>
      <c r="E11977" s="8">
        <v>0</v>
      </c>
      <c r="F11977" s="8">
        <v>1747</v>
      </c>
    </row>
    <row r="11978" spans="1:6" ht="12.75">
      <c r="A11978" s="8">
        <v>43899.488668981481</v>
      </c>
      <c r="B11978" s="8" t="str">
        <f>HYPERLINK("https://twitter.com/satender83","@satender83")</f>
        <v>@satender83</v>
      </c>
      <c r="C11978" s="8" t="s">
        <v>1917</v>
      </c>
      <c r="D11978" s="8">
        <v>1264</v>
      </c>
      <c r="E11978" s="8">
        <v>0</v>
      </c>
      <c r="F11978" s="8">
        <v>318</v>
      </c>
    </row>
    <row r="11979" spans="1:6" ht="12.75">
      <c r="A11979" s="8">
        <v>43899.488506944443</v>
      </c>
      <c r="B11979" s="8" t="str">
        <f>HYPERLINK("https://twitter.com/iSM2407","@iSM2407")</f>
        <v>@iSM2407</v>
      </c>
      <c r="C11979" s="8" t="s">
        <v>1917</v>
      </c>
      <c r="D11979" s="8">
        <v>1264</v>
      </c>
      <c r="E11979" s="8">
        <v>0</v>
      </c>
      <c r="F11979" s="8">
        <v>512</v>
      </c>
    </row>
    <row r="11980" spans="1:6" ht="12.75">
      <c r="A11980" s="8">
        <v>43899.48810185185</v>
      </c>
      <c r="B11980" s="8" t="str">
        <f>HYPERLINK("https://twitter.com/in_nass","@in_nass")</f>
        <v>@in_nass</v>
      </c>
      <c r="C11980" s="8" t="s">
        <v>4954</v>
      </c>
      <c r="D11980" s="8">
        <v>2</v>
      </c>
      <c r="E11980" s="8">
        <v>0</v>
      </c>
      <c r="F11980" s="8">
        <v>1158</v>
      </c>
    </row>
    <row r="11981" spans="1:6" ht="12.75">
      <c r="A11981" s="8">
        <v>43899.487986111111</v>
      </c>
      <c r="B11981" s="8" t="str">
        <f>HYPERLINK("https://twitter.com/mudha_satriya","@mudha_satriya")</f>
        <v>@mudha_satriya</v>
      </c>
      <c r="C11981" s="8" t="s">
        <v>4951</v>
      </c>
      <c r="D11981" s="8">
        <v>2</v>
      </c>
      <c r="E11981" s="8">
        <v>0</v>
      </c>
      <c r="F11981" s="8">
        <v>1884</v>
      </c>
    </row>
    <row r="11982" spans="1:6" ht="12.75">
      <c r="A11982" s="8">
        <v>43899.487488425926</v>
      </c>
      <c r="B11982" s="8" t="str">
        <f>HYPERLINK("https://twitter.com/Msetiawaaan","@Msetiawaaan")</f>
        <v>@Msetiawaaan</v>
      </c>
      <c r="C11982" s="8" t="s">
        <v>4956</v>
      </c>
      <c r="D11982" s="8">
        <v>2</v>
      </c>
      <c r="E11982" s="8">
        <v>1</v>
      </c>
      <c r="F11982" s="8">
        <v>347</v>
      </c>
    </row>
    <row r="11983" spans="1:6" ht="12.75">
      <c r="A11983" s="8">
        <v>43899.487488425926</v>
      </c>
      <c r="B11983" s="8" t="str">
        <f>HYPERLINK("https://twitter.com/YLestperinggo","@YLestperinggo")</f>
        <v>@YLestperinggo</v>
      </c>
      <c r="C11983" s="8" t="s">
        <v>4826</v>
      </c>
      <c r="D11983" s="8">
        <v>1</v>
      </c>
      <c r="E11983" s="8">
        <v>0</v>
      </c>
      <c r="F11983" s="8">
        <v>502</v>
      </c>
    </row>
    <row r="11984" spans="1:6" ht="12.75">
      <c r="A11984" s="8">
        <v>43899.487291666665</v>
      </c>
      <c r="B11984" s="8" t="str">
        <f>HYPERLINK("https://twitter.com/ranjdeep","@ranjdeep")</f>
        <v>@ranjdeep</v>
      </c>
      <c r="C11984" s="8" t="s">
        <v>1917</v>
      </c>
      <c r="D11984" s="8">
        <v>1264</v>
      </c>
      <c r="E11984" s="8">
        <v>0</v>
      </c>
      <c r="F11984" s="8">
        <v>285</v>
      </c>
    </row>
    <row r="11985" spans="1:6" ht="12.75">
      <c r="A11985" s="8">
        <v>43899.486932870372</v>
      </c>
      <c r="B11985" s="8" t="str">
        <f>HYPERLINK("https://twitter.com/Metro_TV","@Metro_TV")</f>
        <v>@Metro_TV</v>
      </c>
      <c r="C11985" s="8" t="s">
        <v>4957</v>
      </c>
      <c r="D11985" s="8">
        <v>2</v>
      </c>
      <c r="E11985" s="8">
        <v>2</v>
      </c>
      <c r="F11985" s="8">
        <v>10518435</v>
      </c>
    </row>
    <row r="11986" spans="1:6" ht="12.75">
      <c r="A11986" s="8">
        <v>43899.486562499995</v>
      </c>
      <c r="B11986" s="8" t="str">
        <f>HYPERLINK("https://twitter.com/dsutanandika","@dsutanandika")</f>
        <v>@dsutanandika</v>
      </c>
      <c r="C11986" s="8" t="s">
        <v>3265</v>
      </c>
      <c r="D11986" s="8">
        <v>530</v>
      </c>
      <c r="E11986" s="8">
        <v>0</v>
      </c>
      <c r="F11986" s="8">
        <v>324</v>
      </c>
    </row>
    <row r="11987" spans="1:6" ht="12.75">
      <c r="A11987" s="8">
        <v>43899.48600694444</v>
      </c>
      <c r="B11987" s="8" t="str">
        <f>HYPERLINK("https://twitter.com/vikas5572","@vikas5572")</f>
        <v>@vikas5572</v>
      </c>
      <c r="C11987" s="8" t="s">
        <v>1917</v>
      </c>
      <c r="D11987" s="8">
        <v>1264</v>
      </c>
      <c r="E11987" s="8">
        <v>0</v>
      </c>
      <c r="F11987" s="8">
        <v>87</v>
      </c>
    </row>
    <row r="11988" spans="1:6" ht="12.75">
      <c r="A11988" s="8">
        <v>43899.485567129625</v>
      </c>
      <c r="B11988" s="8" t="str">
        <f>HYPERLINK("https://twitter.com/pramit_sharma","@pramit_sharma")</f>
        <v>@pramit_sharma</v>
      </c>
      <c r="C11988" s="8" t="s">
        <v>1917</v>
      </c>
      <c r="D11988" s="8">
        <v>1264</v>
      </c>
      <c r="E11988" s="8">
        <v>0</v>
      </c>
      <c r="F11988" s="8">
        <v>339</v>
      </c>
    </row>
    <row r="11989" spans="1:6" ht="12.75">
      <c r="A11989" s="8">
        <v>43899.485173611116</v>
      </c>
      <c r="B11989" s="8" t="str">
        <f>HYPERLINK("https://twitter.com/mdefante27","@mdefante27")</f>
        <v>@mdefante27</v>
      </c>
      <c r="C11989" s="8" t="s">
        <v>4958</v>
      </c>
      <c r="D11989" s="8">
        <v>0</v>
      </c>
      <c r="E11989" s="8">
        <v>1</v>
      </c>
      <c r="F11989" s="8">
        <v>1768</v>
      </c>
    </row>
    <row r="11990" spans="1:6" ht="12.75">
      <c r="A11990" s="8">
        <v>43899.485092592593</v>
      </c>
      <c r="B11990" s="8" t="str">
        <f>HYPERLINK("https://twitter.com/mohammadrokhis1","@mohammadrokhis1")</f>
        <v>@mohammadrokhis1</v>
      </c>
      <c r="C11990" s="8" t="s">
        <v>4959</v>
      </c>
      <c r="D11990" s="8">
        <v>0</v>
      </c>
      <c r="E11990" s="8">
        <v>1</v>
      </c>
      <c r="F11990" s="8">
        <v>6</v>
      </c>
    </row>
    <row r="11991" spans="1:6" ht="12.75">
      <c r="A11991" s="8">
        <v>43899.484594907408</v>
      </c>
      <c r="B11991" s="8" t="str">
        <f>HYPERLINK("https://twitter.com/genostlly","@genostlly")</f>
        <v>@genostlly</v>
      </c>
      <c r="C11991" s="8" t="s">
        <v>3262</v>
      </c>
      <c r="D11991" s="8">
        <v>112</v>
      </c>
      <c r="E11991" s="8">
        <v>0</v>
      </c>
      <c r="F11991" s="8">
        <v>724</v>
      </c>
    </row>
    <row r="11992" spans="1:6" ht="12.75">
      <c r="A11992" s="8">
        <v>43899.484120370369</v>
      </c>
      <c r="B11992" s="8" t="str">
        <f>HYPERLINK("https://twitter.com/torotrapah","@torotrapah")</f>
        <v>@torotrapah</v>
      </c>
      <c r="C11992" s="8" t="s">
        <v>3511</v>
      </c>
      <c r="D11992" s="8">
        <v>176</v>
      </c>
      <c r="E11992" s="8">
        <v>0</v>
      </c>
      <c r="F11992" s="8">
        <v>72</v>
      </c>
    </row>
    <row r="11993" spans="1:6" ht="12.75">
      <c r="A11993" s="8">
        <v>43899.483958333338</v>
      </c>
      <c r="B11993" s="8" t="str">
        <f>HYPERLINK("https://twitter.com/rzkkykurniawan","@rzkkykurniawan")</f>
        <v>@rzkkykurniawan</v>
      </c>
      <c r="C11993" s="8" t="s">
        <v>4927</v>
      </c>
      <c r="D11993" s="8">
        <v>73</v>
      </c>
      <c r="E11993" s="8">
        <v>0</v>
      </c>
      <c r="F11993" s="8">
        <v>72</v>
      </c>
    </row>
    <row r="11994" spans="1:6" ht="12.75">
      <c r="A11994" s="8">
        <v>43899.465138888889</v>
      </c>
      <c r="B11994" s="8" t="str">
        <f>HYPERLINK("https://twitter.com/PrimeSentient","@PrimeSentient")</f>
        <v>@PrimeSentient</v>
      </c>
      <c r="C11994" s="8" t="s">
        <v>1917</v>
      </c>
      <c r="D11994" s="8">
        <v>1192</v>
      </c>
      <c r="E11994" s="8">
        <v>0</v>
      </c>
      <c r="F11994" s="8">
        <v>15</v>
      </c>
    </row>
    <row r="11995" spans="1:6" ht="12.75">
      <c r="A11995" s="8">
        <v>43899.464988425927</v>
      </c>
      <c r="B11995" s="8" t="str">
        <f>HYPERLINK("https://twitter.com/samarindaonline","@samarindaonline")</f>
        <v>@samarindaonline</v>
      </c>
      <c r="C11995" s="8" t="s">
        <v>4960</v>
      </c>
      <c r="D11995" s="8">
        <v>1</v>
      </c>
      <c r="E11995" s="8">
        <v>0</v>
      </c>
      <c r="F11995" s="8">
        <v>4463</v>
      </c>
    </row>
    <row r="11996" spans="1:6" ht="12.75">
      <c r="A11996" s="8">
        <v>43899.464398148149</v>
      </c>
      <c r="B11996" s="8" t="str">
        <f>HYPERLINK("https://twitter.com/arindraaa","@arindraaa")</f>
        <v>@arindraaa</v>
      </c>
      <c r="C11996" s="8" t="s">
        <v>4795</v>
      </c>
      <c r="D11996" s="8">
        <v>33</v>
      </c>
      <c r="E11996" s="8">
        <v>0</v>
      </c>
      <c r="F11996" s="8">
        <v>210</v>
      </c>
    </row>
    <row r="11997" spans="1:6" ht="12.75">
      <c r="A11997" s="8">
        <v>43899.464016203703</v>
      </c>
      <c r="B11997" s="8" t="str">
        <f>HYPERLINK("https://twitter.com/Meycanmecaca","@Meycanmecaca")</f>
        <v>@Meycanmecaca</v>
      </c>
      <c r="C11997" s="8" t="s">
        <v>3126</v>
      </c>
      <c r="D11997" s="8">
        <v>101</v>
      </c>
      <c r="E11997" s="8">
        <v>0</v>
      </c>
      <c r="F11997" s="8">
        <v>1772</v>
      </c>
    </row>
    <row r="11998" spans="1:6" ht="12.75">
      <c r="A11998" s="8">
        <v>43899.463958333334</v>
      </c>
      <c r="B11998" s="8" t="str">
        <f>HYPERLINK("https://twitter.com/de_baweano","@de_baweano")</f>
        <v>@de_baweano</v>
      </c>
      <c r="C11998" s="8" t="s">
        <v>4961</v>
      </c>
      <c r="D11998" s="8">
        <v>0</v>
      </c>
      <c r="E11998" s="8">
        <v>0</v>
      </c>
      <c r="F11998" s="8">
        <v>52</v>
      </c>
    </row>
    <row r="11999" spans="1:6" ht="12.75">
      <c r="A11999" s="8">
        <v>43899.463796296295</v>
      </c>
      <c r="B11999" s="8" t="str">
        <f>HYPERLINK("https://twitter.com/singpraveer","@singpraveer")</f>
        <v>@singpraveer</v>
      </c>
      <c r="C11999" s="8" t="s">
        <v>1917</v>
      </c>
      <c r="D11999" s="8">
        <v>1192</v>
      </c>
      <c r="E11999" s="8">
        <v>0</v>
      </c>
      <c r="F11999" s="8">
        <v>1298</v>
      </c>
    </row>
    <row r="12000" spans="1:6" ht="12.75">
      <c r="A12000" s="8">
        <v>43899.46371527778</v>
      </c>
      <c r="B12000" s="8" t="str">
        <f>HYPERLINK("https://twitter.com/MatsunagaXavier","@MatsunagaXavier")</f>
        <v>@MatsunagaXavier</v>
      </c>
      <c r="C12000" s="8" t="s">
        <v>3262</v>
      </c>
      <c r="D12000" s="8">
        <v>97</v>
      </c>
      <c r="E12000" s="8">
        <v>0</v>
      </c>
      <c r="F12000" s="8">
        <v>61</v>
      </c>
    </row>
    <row r="12001" spans="1:6" ht="12.75">
      <c r="A12001" s="8">
        <v>43899.463136574079</v>
      </c>
      <c r="B12001" s="8" t="str">
        <f>HYPERLINK("https://twitter.com/melfianooo","@melfianooo")</f>
        <v>@melfianooo</v>
      </c>
      <c r="C12001" s="8" t="s">
        <v>4962</v>
      </c>
      <c r="D12001" s="8">
        <v>0</v>
      </c>
      <c r="E12001" s="8">
        <v>0</v>
      </c>
      <c r="F12001" s="8">
        <v>42</v>
      </c>
    </row>
    <row r="12002" spans="1:6" ht="12.75">
      <c r="A12002" s="8">
        <v>43899.46303240741</v>
      </c>
      <c r="B12002" s="8" t="str">
        <f>HYPERLINK("https://twitter.com/Ad_the_idol","@Ad_the_idol")</f>
        <v>@Ad_the_idol</v>
      </c>
      <c r="C12002" s="8" t="s">
        <v>1917</v>
      </c>
      <c r="D12002" s="8">
        <v>1192</v>
      </c>
      <c r="E12002" s="8">
        <v>0</v>
      </c>
      <c r="F12002" s="8">
        <v>728</v>
      </c>
    </row>
    <row r="12003" spans="1:6" ht="12.75">
      <c r="A12003" s="8">
        <v>43899.46266203704</v>
      </c>
      <c r="B12003" s="8" t="str">
        <f>HYPERLINK("https://twitter.com/CredFad1l","@CredFad1l")</f>
        <v>@CredFad1l</v>
      </c>
      <c r="C12003" s="8" t="s">
        <v>1396</v>
      </c>
      <c r="D12003" s="8">
        <v>17</v>
      </c>
      <c r="E12003" s="8">
        <v>0</v>
      </c>
      <c r="F12003" s="8">
        <v>2</v>
      </c>
    </row>
    <row r="12004" spans="1:6" ht="12.75">
      <c r="A12004" s="8">
        <v>43899.461643518516</v>
      </c>
      <c r="B12004" s="8" t="str">
        <f>HYPERLINK("https://twitter.com/chan_baeries","@chan_baeries")</f>
        <v>@chan_baeries</v>
      </c>
      <c r="C12004" s="8" t="s">
        <v>4795</v>
      </c>
      <c r="D12004" s="8">
        <v>33</v>
      </c>
      <c r="E12004" s="8">
        <v>0</v>
      </c>
      <c r="F12004" s="8">
        <v>95</v>
      </c>
    </row>
    <row r="12005" spans="1:6" ht="12.75">
      <c r="A12005" s="8">
        <v>43899.461539351847</v>
      </c>
      <c r="B12005" s="8" t="str">
        <f>HYPERLINK("https://twitter.com/Bhojpuriyajawan","@Bhojpuriyajawan")</f>
        <v>@Bhojpuriyajawan</v>
      </c>
      <c r="C12005" s="8" t="s">
        <v>1917</v>
      </c>
      <c r="D12005" s="8">
        <v>1192</v>
      </c>
      <c r="E12005" s="8">
        <v>0</v>
      </c>
      <c r="F12005" s="8">
        <v>123</v>
      </c>
    </row>
    <row r="12006" spans="1:6" ht="12.75">
      <c r="A12006" s="8">
        <v>43899.461342592593</v>
      </c>
      <c r="B12006" s="8" t="str">
        <f>HYPERLINK("https://twitter.com/Julia_Zeed","@Julia_Zeed")</f>
        <v>@Julia_Zeed</v>
      </c>
      <c r="C12006" s="8" t="s">
        <v>4691</v>
      </c>
      <c r="D12006" s="8">
        <v>1</v>
      </c>
      <c r="E12006" s="8">
        <v>0</v>
      </c>
      <c r="F12006" s="8">
        <v>3020</v>
      </c>
    </row>
    <row r="12007" spans="1:6" ht="12.75">
      <c r="A12007" s="8">
        <v>43899.461226851854</v>
      </c>
      <c r="B12007" s="8" t="str">
        <f>HYPERLINK("https://twitter.com/nrbroto","@nrbroto")</f>
        <v>@nrbroto</v>
      </c>
      <c r="C12007" s="8" t="s">
        <v>1396</v>
      </c>
      <c r="D12007" s="8">
        <v>17</v>
      </c>
      <c r="E12007" s="8">
        <v>0</v>
      </c>
      <c r="F12007" s="8">
        <v>466</v>
      </c>
    </row>
    <row r="12008" spans="1:6" ht="12.75">
      <c r="A12008" s="8">
        <v>43899.460775462961</v>
      </c>
      <c r="B12008" s="8" t="str">
        <f>HYPERLINK("https://twitter.com/viviyivi","@viviyivi")</f>
        <v>@viviyivi</v>
      </c>
      <c r="C12008" s="8" t="s">
        <v>1396</v>
      </c>
      <c r="D12008" s="8">
        <v>17</v>
      </c>
      <c r="E12008" s="8">
        <v>0</v>
      </c>
      <c r="F12008" s="8">
        <v>274</v>
      </c>
    </row>
    <row r="12009" spans="1:6" ht="12.75">
      <c r="A12009" s="8">
        <v>43899.460740740746</v>
      </c>
      <c r="B12009" s="8" t="str">
        <f>HYPERLINK("https://twitter.com/MyNameisSVS","@MyNameisSVS")</f>
        <v>@MyNameisSVS</v>
      </c>
      <c r="C12009" s="8" t="s">
        <v>1917</v>
      </c>
      <c r="D12009" s="8">
        <v>1192</v>
      </c>
      <c r="E12009" s="8">
        <v>0</v>
      </c>
      <c r="F12009" s="8">
        <v>101</v>
      </c>
    </row>
    <row r="12010" spans="1:6" ht="12.75">
      <c r="A12010" s="8">
        <v>43899.460694444446</v>
      </c>
      <c r="B12010" s="8" t="str">
        <f>HYPERLINK("https://twitter.com/kinny93_","@kinny93_")</f>
        <v>@kinny93_</v>
      </c>
      <c r="C12010" s="8" t="s">
        <v>1396</v>
      </c>
      <c r="D12010" s="8">
        <v>17</v>
      </c>
      <c r="E12010" s="8">
        <v>0</v>
      </c>
      <c r="F12010" s="8">
        <v>24</v>
      </c>
    </row>
    <row r="12011" spans="1:6" ht="12.75">
      <c r="A12011" s="8">
        <v>43899.460451388892</v>
      </c>
      <c r="B12011" s="8" t="str">
        <f>HYPERLINK("https://twitter.com/oonelaf","@oonelaf")</f>
        <v>@oonelaf</v>
      </c>
      <c r="C12011" s="8" t="s">
        <v>1396</v>
      </c>
      <c r="D12011" s="8">
        <v>17</v>
      </c>
      <c r="E12011" s="8">
        <v>0</v>
      </c>
      <c r="F12011" s="8">
        <v>117</v>
      </c>
    </row>
    <row r="12012" spans="1:6" ht="12.75">
      <c r="A12012" s="8">
        <v>43899.460370370369</v>
      </c>
      <c r="B12012" s="8" t="str">
        <f>HYPERLINK("https://twitter.com/02avi02","@02avi02")</f>
        <v>@02avi02</v>
      </c>
      <c r="C12012" s="8" t="s">
        <v>1917</v>
      </c>
      <c r="D12012" s="8">
        <v>1192</v>
      </c>
      <c r="E12012" s="8">
        <v>0</v>
      </c>
      <c r="F12012" s="8">
        <v>2657</v>
      </c>
    </row>
    <row r="12013" spans="1:6" ht="12.75">
      <c r="A12013" s="8">
        <v>43899.460324074069</v>
      </c>
      <c r="B12013" s="8" t="str">
        <f>HYPERLINK("https://twitter.com/Reyhanlaksana","@Reyhanlaksana")</f>
        <v>@Reyhanlaksana</v>
      </c>
      <c r="C12013" s="8" t="s">
        <v>3126</v>
      </c>
      <c r="D12013" s="8">
        <v>101</v>
      </c>
      <c r="E12013" s="8">
        <v>0</v>
      </c>
      <c r="F12013" s="8">
        <v>515</v>
      </c>
    </row>
    <row r="12014" spans="1:6" ht="12.75">
      <c r="A12014" s="8">
        <v>43899.460196759261</v>
      </c>
      <c r="B12014" s="8" t="str">
        <f>HYPERLINK("https://twitter.com/sadhuvaad","@sadhuvaad")</f>
        <v>@sadhuvaad</v>
      </c>
      <c r="C12014" s="8" t="s">
        <v>1917</v>
      </c>
      <c r="D12014" s="8">
        <v>1192</v>
      </c>
      <c r="E12014" s="8">
        <v>0</v>
      </c>
      <c r="F12014" s="8">
        <v>11734</v>
      </c>
    </row>
    <row r="12015" spans="1:6" ht="12.75">
      <c r="A12015" s="8">
        <v>43899.459803240738</v>
      </c>
      <c r="B12015" s="8" t="str">
        <f>HYPERLINK("https://twitter.com/arivpermana","@arivpermana")</f>
        <v>@arivpermana</v>
      </c>
      <c r="C12015" s="8" t="s">
        <v>4963</v>
      </c>
      <c r="D12015" s="8">
        <v>0</v>
      </c>
      <c r="E12015" s="8">
        <v>0</v>
      </c>
      <c r="F12015" s="8">
        <v>41</v>
      </c>
    </row>
    <row r="12016" spans="1:6" ht="12.75">
      <c r="A12016" s="8">
        <v>43899.459560185191</v>
      </c>
      <c r="B12016" s="8" t="str">
        <f>HYPERLINK("https://twitter.com/ichashinhwa","@ichashinhwa")</f>
        <v>@ichashinhwa</v>
      </c>
      <c r="C12016" s="8" t="s">
        <v>1396</v>
      </c>
      <c r="D12016" s="8">
        <v>17</v>
      </c>
      <c r="E12016" s="8">
        <v>0</v>
      </c>
      <c r="F12016" s="8">
        <v>3134</v>
      </c>
    </row>
    <row r="12017" spans="1:6" ht="12.75">
      <c r="A12017" s="8">
        <v>43899.459409722222</v>
      </c>
      <c r="B12017" s="8" t="str">
        <f>HYPERLINK("https://twitter.com/Harian_Jogja","@Harian_Jogja")</f>
        <v>@Harian_Jogja</v>
      </c>
      <c r="C12017" s="8" t="s">
        <v>4964</v>
      </c>
      <c r="D12017" s="8">
        <v>0</v>
      </c>
      <c r="E12017" s="8">
        <v>0</v>
      </c>
      <c r="F12017" s="8">
        <v>155926</v>
      </c>
    </row>
    <row r="12018" spans="1:6" ht="12.75">
      <c r="A12018" s="8">
        <v>43899.459247685183</v>
      </c>
      <c r="B12018" s="8" t="str">
        <f>HYPERLINK("https://twitter.com/HermanChow73","@HermanChow73")</f>
        <v>@HermanChow73</v>
      </c>
      <c r="C12018" s="8" t="s">
        <v>4965</v>
      </c>
      <c r="D12018" s="8">
        <v>1</v>
      </c>
      <c r="E12018" s="8">
        <v>2</v>
      </c>
      <c r="F12018" s="8">
        <v>3452</v>
      </c>
    </row>
    <row r="12019" spans="1:6" ht="12.75">
      <c r="A12019" s="8">
        <v>43899.459097222221</v>
      </c>
      <c r="B12019" s="8" t="str">
        <f>HYPERLINK("https://twitter.com/bramantareja","@bramantareja")</f>
        <v>@bramantareja</v>
      </c>
      <c r="C12019" s="8" t="s">
        <v>3262</v>
      </c>
      <c r="D12019" s="8">
        <v>97</v>
      </c>
      <c r="E12019" s="8">
        <v>0</v>
      </c>
      <c r="F12019" s="8">
        <v>495</v>
      </c>
    </row>
    <row r="12020" spans="1:6" ht="12.75">
      <c r="A12020" s="8">
        <v>43899.45893518519</v>
      </c>
      <c r="B12020" s="8" t="str">
        <f>HYPERLINK("https://twitter.com/miarpit","@miarpit")</f>
        <v>@miarpit</v>
      </c>
      <c r="C12020" s="8" t="s">
        <v>1917</v>
      </c>
      <c r="D12020" s="8">
        <v>1192</v>
      </c>
      <c r="E12020" s="8">
        <v>0</v>
      </c>
      <c r="F12020" s="8">
        <v>28</v>
      </c>
    </row>
    <row r="12021" spans="1:6" ht="12.75">
      <c r="A12021" s="8">
        <v>43899.458784722221</v>
      </c>
      <c r="B12021" s="8" t="str">
        <f>HYPERLINK("https://twitter.com/radarmasnetwork","@radarmasnetwork")</f>
        <v>@radarmasnetwork</v>
      </c>
      <c r="C12021" s="8" t="s">
        <v>4966</v>
      </c>
      <c r="D12021" s="8">
        <v>0</v>
      </c>
      <c r="E12021" s="8">
        <v>0</v>
      </c>
      <c r="F12021" s="8">
        <v>2469</v>
      </c>
    </row>
    <row r="12022" spans="1:6" ht="12.75">
      <c r="A12022" s="8">
        <v>43899.458622685182</v>
      </c>
      <c r="B12022" s="8" t="str">
        <f>HYPERLINK("https://twitter.com/raghavseth001","@raghavseth001")</f>
        <v>@raghavseth001</v>
      </c>
      <c r="C12022" s="8" t="s">
        <v>1917</v>
      </c>
      <c r="D12022" s="8">
        <v>1192</v>
      </c>
      <c r="E12022" s="8">
        <v>0</v>
      </c>
      <c r="F12022" s="8">
        <v>159</v>
      </c>
    </row>
    <row r="12023" spans="1:6" ht="12.75">
      <c r="A12023" s="8">
        <v>43899.458437499998</v>
      </c>
      <c r="B12023" s="8" t="str">
        <f>HYPERLINK("https://twitter.com/kbri_tashkent","@kbri_tashkent")</f>
        <v>@kbri_tashkent</v>
      </c>
      <c r="C12023" s="8" t="s">
        <v>1396</v>
      </c>
      <c r="D12023" s="8">
        <v>17</v>
      </c>
      <c r="E12023" s="8">
        <v>0</v>
      </c>
      <c r="F12023" s="8">
        <v>387</v>
      </c>
    </row>
    <row r="12024" spans="1:6" ht="12.75">
      <c r="A12024" s="8">
        <v>43899.458425925928</v>
      </c>
      <c r="B12024" s="8" t="str">
        <f>HYPERLINK("https://twitter.com/kbenaranHakiki","@kbenaranHakiki")</f>
        <v>@kbenaranHakiki</v>
      </c>
      <c r="C12024" s="8" t="s">
        <v>4927</v>
      </c>
      <c r="D12024" s="8">
        <v>69</v>
      </c>
      <c r="E12024" s="8">
        <v>0</v>
      </c>
      <c r="F12024" s="8">
        <v>1409</v>
      </c>
    </row>
    <row r="12025" spans="1:6" ht="12.75">
      <c r="A12025" s="8">
        <v>43899.458194444444</v>
      </c>
      <c r="B12025" s="8" t="str">
        <f>HYPERLINK("https://twitter.com/johan_woda","@johan_woda")</f>
        <v>@johan_woda</v>
      </c>
      <c r="C12025" s="8" t="s">
        <v>3262</v>
      </c>
      <c r="D12025" s="8">
        <v>97</v>
      </c>
      <c r="E12025" s="8">
        <v>0</v>
      </c>
      <c r="F12025" s="8">
        <v>442</v>
      </c>
    </row>
    <row r="12026" spans="1:6" ht="12.75">
      <c r="A12026" s="8">
        <v>43899.458182870367</v>
      </c>
      <c r="B12026" s="8" t="str">
        <f>HYPERLINK("https://twitter.com/Saptasrungi1","@Saptasrungi1")</f>
        <v>@Saptasrungi1</v>
      </c>
      <c r="C12026" s="8" t="s">
        <v>1917</v>
      </c>
      <c r="D12026" s="8">
        <v>1192</v>
      </c>
      <c r="E12026" s="8">
        <v>0</v>
      </c>
      <c r="F12026" s="8">
        <v>93</v>
      </c>
    </row>
    <row r="12027" spans="1:6" ht="12.75">
      <c r="A12027" s="8">
        <v>43899.458078703705</v>
      </c>
      <c r="B12027" s="8" t="str">
        <f>HYPERLINK("https://twitter.com/leksono_duto","@leksono_duto")</f>
        <v>@leksono_duto</v>
      </c>
      <c r="C12027" s="8" t="s">
        <v>4967</v>
      </c>
      <c r="D12027" s="8">
        <v>1</v>
      </c>
      <c r="E12027" s="8">
        <v>0</v>
      </c>
      <c r="F12027" s="8">
        <v>34</v>
      </c>
    </row>
    <row r="12028" spans="1:6" ht="12.75">
      <c r="A12028" s="8">
        <v>43899.457685185189</v>
      </c>
      <c r="B12028" s="8" t="str">
        <f>HYPERLINK("https://twitter.com/raiyant21","@raiyant21")</f>
        <v>@raiyant21</v>
      </c>
      <c r="C12028" s="8" t="s">
        <v>1396</v>
      </c>
      <c r="D12028" s="8">
        <v>17</v>
      </c>
      <c r="E12028" s="8">
        <v>0</v>
      </c>
      <c r="F12028" s="8">
        <v>642</v>
      </c>
    </row>
    <row r="12029" spans="1:6" ht="12.75">
      <c r="A12029" s="8">
        <v>43899.457372685181</v>
      </c>
      <c r="B12029" s="8" t="str">
        <f>HYPERLINK("https://twitter.com/DPPPAKSI","@DPPPAKSI")</f>
        <v>@DPPPAKSI</v>
      </c>
      <c r="C12029" s="8" t="s">
        <v>4968</v>
      </c>
      <c r="D12029" s="8">
        <v>0</v>
      </c>
      <c r="E12029" s="8">
        <v>0</v>
      </c>
      <c r="F12029" s="8">
        <v>43</v>
      </c>
    </row>
    <row r="12030" spans="1:6" ht="12.75">
      <c r="A12030" s="8">
        <v>43899.457199074073</v>
      </c>
      <c r="B12030" s="8" t="str">
        <f>HYPERLINK("https://twitter.com/agoessp","@agoessp")</f>
        <v>@agoessp</v>
      </c>
      <c r="C12030" s="8" t="s">
        <v>3262</v>
      </c>
      <c r="D12030" s="8">
        <v>97</v>
      </c>
      <c r="E12030" s="8">
        <v>0</v>
      </c>
      <c r="F12030" s="8">
        <v>142</v>
      </c>
    </row>
    <row r="12031" spans="1:6" ht="12.75">
      <c r="A12031" s="8">
        <v>43899.456921296296</v>
      </c>
      <c r="B12031" s="8" t="str">
        <f>HYPERLINK("https://twitter.com/GeoCivicTechie","@GeoCivicTechie")</f>
        <v>@GeoCivicTechie</v>
      </c>
      <c r="C12031" s="8" t="s">
        <v>1917</v>
      </c>
      <c r="D12031" s="8">
        <v>1192</v>
      </c>
      <c r="E12031" s="8">
        <v>0</v>
      </c>
      <c r="F12031" s="8">
        <v>3880</v>
      </c>
    </row>
    <row r="12032" spans="1:6" ht="12.75">
      <c r="A12032" s="8">
        <v>43899.45685185185</v>
      </c>
      <c r="B12032" s="8" t="str">
        <f>HYPERLINK("https://twitter.com/NotXSocialist","@NotXSocialist")</f>
        <v>@NotXSocialist</v>
      </c>
      <c r="C12032" s="8" t="s">
        <v>1917</v>
      </c>
      <c r="D12032" s="8">
        <v>1192</v>
      </c>
      <c r="E12032" s="8">
        <v>0</v>
      </c>
      <c r="F12032" s="8">
        <v>54</v>
      </c>
    </row>
    <row r="12033" spans="1:6" ht="12.75">
      <c r="A12033" s="8">
        <v>43899.456828703704</v>
      </c>
      <c r="B12033" s="8" t="str">
        <f>HYPERLINK("https://twitter.com/UAsysa","@UAsysa")</f>
        <v>@UAsysa</v>
      </c>
      <c r="C12033" s="8" t="s">
        <v>3126</v>
      </c>
      <c r="D12033" s="8">
        <v>101</v>
      </c>
      <c r="E12033" s="8">
        <v>0</v>
      </c>
      <c r="F12033" s="8">
        <v>571</v>
      </c>
    </row>
    <row r="12034" spans="1:6" ht="12.75">
      <c r="A12034" s="8">
        <v>43899.456817129627</v>
      </c>
      <c r="B12034" s="8" t="str">
        <f>HYPERLINK("https://twitter.com/Jabal50703631","@Jabal50703631")</f>
        <v>@Jabal50703631</v>
      </c>
      <c r="C12034" s="8" t="s">
        <v>4969</v>
      </c>
      <c r="D12034" s="8">
        <v>0</v>
      </c>
      <c r="E12034" s="8">
        <v>0</v>
      </c>
      <c r="F12034" s="8">
        <v>265</v>
      </c>
    </row>
    <row r="12035" spans="1:6" ht="12.75">
      <c r="A12035" s="8">
        <v>43899.456678240742</v>
      </c>
      <c r="B12035" s="8" t="str">
        <f>HYPERLINK("https://twitter.com/vivekkumarnain","@vivekkumarnain")</f>
        <v>@vivekkumarnain</v>
      </c>
      <c r="C12035" s="8" t="s">
        <v>1917</v>
      </c>
      <c r="D12035" s="8">
        <v>1192</v>
      </c>
      <c r="E12035" s="8">
        <v>0</v>
      </c>
      <c r="F12035" s="8">
        <v>488</v>
      </c>
    </row>
    <row r="12036" spans="1:6" ht="12.75">
      <c r="A12036" s="8">
        <v>43899.456192129626</v>
      </c>
      <c r="B12036" s="8" t="str">
        <f>HYPERLINK("https://twitter.com/mnk_0611_","@mnk_0611_")</f>
        <v>@mnk_0611_</v>
      </c>
      <c r="C12036" s="8" t="s">
        <v>4970</v>
      </c>
      <c r="D12036" s="8">
        <v>2</v>
      </c>
      <c r="E12036" s="8">
        <v>0</v>
      </c>
      <c r="F12036" s="8">
        <v>15</v>
      </c>
    </row>
    <row r="12037" spans="1:6" ht="12.75">
      <c r="A12037" s="8">
        <v>43899.456157407403</v>
      </c>
      <c r="B12037" s="8" t="str">
        <f>HYPERLINK("https://twitter.com/AAMan57605882","@AAMan57605882")</f>
        <v>@AAMan57605882</v>
      </c>
      <c r="C12037" s="8" t="s">
        <v>1917</v>
      </c>
      <c r="D12037" s="8">
        <v>1192</v>
      </c>
      <c r="E12037" s="8">
        <v>0</v>
      </c>
      <c r="F12037" s="8">
        <v>54</v>
      </c>
    </row>
    <row r="12038" spans="1:6" ht="12.75">
      <c r="A12038" s="8">
        <v>43899.456018518518</v>
      </c>
      <c r="B12038" s="8" t="str">
        <f>HYPERLINK("https://twitter.com/kontakperkasayg","@kontakperkasayg")</f>
        <v>@kontakperkasayg</v>
      </c>
      <c r="C12038" s="8" t="s">
        <v>4971</v>
      </c>
      <c r="D12038" s="8">
        <v>0</v>
      </c>
      <c r="E12038" s="8">
        <v>0</v>
      </c>
      <c r="F12038" s="8">
        <v>152</v>
      </c>
    </row>
    <row r="12039" spans="1:6" ht="12.75">
      <c r="A12039" s="8">
        <v>43899.455682870372</v>
      </c>
      <c r="B12039" s="8" t="str">
        <f>HYPERLINK("https://twitter.com/imkpbhatt","@imkpbhatt")</f>
        <v>@imkpbhatt</v>
      </c>
      <c r="C12039" s="8" t="s">
        <v>1917</v>
      </c>
      <c r="D12039" s="8">
        <v>1192</v>
      </c>
      <c r="E12039" s="8">
        <v>0</v>
      </c>
      <c r="F12039" s="8">
        <v>1113</v>
      </c>
    </row>
    <row r="12040" spans="1:6" ht="12.75">
      <c r="A12040" s="8">
        <v>43899.455601851849</v>
      </c>
      <c r="B12040" s="8" t="str">
        <f>HYPERLINK("https://twitter.com/suaradotcom","@suaradotcom")</f>
        <v>@suaradotcom</v>
      </c>
      <c r="C12040" s="8" t="s">
        <v>4972</v>
      </c>
      <c r="D12040" s="8">
        <v>0</v>
      </c>
      <c r="E12040" s="8">
        <v>0</v>
      </c>
      <c r="F12040" s="8">
        <v>24389</v>
      </c>
    </row>
    <row r="12041" spans="1:6" ht="12.75">
      <c r="A12041" s="8">
        <v>43899.455590277779</v>
      </c>
      <c r="B12041" s="8" t="str">
        <f>HYPERLINK("https://twitter.com/lsm_mrtbt_sumut","@lsm_mrtbt_sumut")</f>
        <v>@lsm_mrtbt_sumut</v>
      </c>
      <c r="C12041" s="8" t="s">
        <v>4973</v>
      </c>
      <c r="D12041" s="8">
        <v>0</v>
      </c>
      <c r="E12041" s="8">
        <v>0</v>
      </c>
      <c r="F12041" s="8">
        <v>126</v>
      </c>
    </row>
    <row r="12042" spans="1:6" ht="12.75">
      <c r="A12042" s="8">
        <v>43899.455590277779</v>
      </c>
      <c r="B12042" s="8" t="str">
        <f>HYPERLINK("https://twitter.com/utamanewscom","@utamanewscom")</f>
        <v>@utamanewscom</v>
      </c>
      <c r="C12042" s="8" t="s">
        <v>4973</v>
      </c>
      <c r="D12042" s="8">
        <v>0</v>
      </c>
      <c r="E12042" s="8">
        <v>0</v>
      </c>
      <c r="F12042" s="8">
        <v>962</v>
      </c>
    </row>
    <row r="12043" spans="1:6" ht="12.75">
      <c r="A12043" s="8">
        <v>43899.455439814818</v>
      </c>
      <c r="B12043" s="8" t="str">
        <f>HYPERLINK("https://twitter.com/lukisaepul","@lukisaepul")</f>
        <v>@lukisaepul</v>
      </c>
      <c r="C12043" s="8" t="s">
        <v>4974</v>
      </c>
      <c r="D12043" s="8">
        <v>0</v>
      </c>
      <c r="E12043" s="8">
        <v>0</v>
      </c>
      <c r="F12043" s="8">
        <v>792</v>
      </c>
    </row>
    <row r="12044" spans="1:6" ht="12.75">
      <c r="A12044" s="8">
        <v>43899.455196759256</v>
      </c>
      <c r="B12044" s="8" t="str">
        <f>HYPERLINK("https://twitter.com/Ashley16552938","@Ashley16552938")</f>
        <v>@Ashley16552938</v>
      </c>
      <c r="C12044" s="8" t="s">
        <v>1917</v>
      </c>
      <c r="D12044" s="8">
        <v>1192</v>
      </c>
      <c r="E12044" s="8">
        <v>0</v>
      </c>
      <c r="F12044" s="8">
        <v>42</v>
      </c>
    </row>
    <row r="12045" spans="1:6" ht="12.75">
      <c r="A12045" s="8">
        <v>43899.454814814817</v>
      </c>
      <c r="B12045" s="8" t="str">
        <f>HYPERLINK("https://twitter.com/taraarhunny","@taraarhunny")</f>
        <v>@taraarhunny</v>
      </c>
      <c r="C12045" s="8" t="s">
        <v>1396</v>
      </c>
      <c r="D12045" s="8">
        <v>17</v>
      </c>
      <c r="E12045" s="8">
        <v>0</v>
      </c>
      <c r="F12045" s="8">
        <v>722</v>
      </c>
    </row>
    <row r="12046" spans="1:6" ht="12.75">
      <c r="A12046" s="8">
        <v>43899.45480324074</v>
      </c>
      <c r="B12046" s="8" t="str">
        <f>HYPERLINK("https://twitter.com/kirkdad1","@kirkdad1")</f>
        <v>@kirkdad1</v>
      </c>
      <c r="C12046" s="8" t="s">
        <v>1917</v>
      </c>
      <c r="D12046" s="8">
        <v>1192</v>
      </c>
      <c r="E12046" s="8">
        <v>0</v>
      </c>
      <c r="F12046" s="8">
        <v>338</v>
      </c>
    </row>
    <row r="12047" spans="1:6" ht="12.75">
      <c r="A12047" s="8">
        <v>43899.454594907409</v>
      </c>
      <c r="B12047" s="8" t="str">
        <f>HYPERLINK("https://twitter.com/quirkyaloneeeee","@quirkyaloneeeee")</f>
        <v>@quirkyaloneeeee</v>
      </c>
      <c r="C12047" s="8" t="s">
        <v>1396</v>
      </c>
      <c r="D12047" s="8">
        <v>17</v>
      </c>
      <c r="E12047" s="8">
        <v>0</v>
      </c>
      <c r="F12047" s="8">
        <v>215</v>
      </c>
    </row>
    <row r="12048" spans="1:6" ht="12.75">
      <c r="A12048" s="8">
        <v>43899.454224537039</v>
      </c>
      <c r="B12048" s="8" t="str">
        <f>HYPERLINK("https://twitter.com/rahmadino_ridho","@rahmadino_ridho")</f>
        <v>@rahmadino_ridho</v>
      </c>
      <c r="C12048" s="8" t="s">
        <v>4975</v>
      </c>
      <c r="D12048" s="8">
        <v>6</v>
      </c>
      <c r="E12048" s="8">
        <v>0</v>
      </c>
      <c r="F12048" s="8">
        <v>1458</v>
      </c>
    </row>
    <row r="12049" spans="1:6" ht="12.75">
      <c r="A12049" s="8">
        <v>43899.454201388886</v>
      </c>
      <c r="B12049" s="8" t="str">
        <f>HYPERLINK("https://twitter.com/ojha_ivar","@ojha_ivar")</f>
        <v>@ojha_ivar</v>
      </c>
      <c r="C12049" s="8" t="s">
        <v>1917</v>
      </c>
      <c r="D12049" s="8">
        <v>1192</v>
      </c>
      <c r="E12049" s="8">
        <v>0</v>
      </c>
      <c r="F12049" s="8">
        <v>1597</v>
      </c>
    </row>
    <row r="12050" spans="1:6" ht="12.75">
      <c r="A12050" s="8">
        <v>43899.454097222224</v>
      </c>
      <c r="B12050" s="8" t="str">
        <f>HYPERLINK("https://twitter.com/cahyaanih","@cahyaanih")</f>
        <v>@cahyaanih</v>
      </c>
      <c r="C12050" s="8" t="s">
        <v>1396</v>
      </c>
      <c r="D12050" s="8">
        <v>17</v>
      </c>
      <c r="E12050" s="8">
        <v>0</v>
      </c>
      <c r="F12050" s="8">
        <v>583</v>
      </c>
    </row>
    <row r="12051" spans="1:6" ht="12.75">
      <c r="A12051" s="8">
        <v>43899.454062500001</v>
      </c>
      <c r="B12051" s="8" t="str">
        <f>HYPERLINK("https://twitter.com/Amanpra61697619","@Amanpra61697619")</f>
        <v>@Amanpra61697619</v>
      </c>
      <c r="C12051" s="8" t="s">
        <v>4976</v>
      </c>
      <c r="D12051" s="8">
        <v>0</v>
      </c>
      <c r="E12051" s="8">
        <v>0</v>
      </c>
      <c r="F12051" s="8">
        <v>131</v>
      </c>
    </row>
    <row r="12052" spans="1:6" ht="12.75">
      <c r="A12052" s="8">
        <v>43899.453946759255</v>
      </c>
      <c r="B12052" s="8" t="str">
        <f>HYPERLINK("https://twitter.com/christiyantosw","@christiyantosw")</f>
        <v>@christiyantosw</v>
      </c>
      <c r="C12052" s="8" t="s">
        <v>4977</v>
      </c>
      <c r="D12052" s="8">
        <v>1</v>
      </c>
      <c r="E12052" s="8">
        <v>0</v>
      </c>
      <c r="F12052" s="8">
        <v>3070</v>
      </c>
    </row>
    <row r="12053" spans="1:6" ht="12.75">
      <c r="A12053" s="8">
        <v>43899.453622685185</v>
      </c>
      <c r="B12053" s="8" t="str">
        <f>HYPERLINK("https://twitter.com/MohammadRozaqi","@MohammadRozaqi")</f>
        <v>@MohammadRozaqi</v>
      </c>
      <c r="C12053" s="8" t="s">
        <v>1396</v>
      </c>
      <c r="D12053" s="8">
        <v>17</v>
      </c>
      <c r="E12053" s="8">
        <v>0</v>
      </c>
      <c r="F12053" s="8">
        <v>21</v>
      </c>
    </row>
    <row r="12054" spans="1:6" ht="12.75">
      <c r="A12054" s="8">
        <v>43899.453599537039</v>
      </c>
      <c r="B12054" s="8" t="str">
        <f>HYPERLINK("https://twitter.com/MoTeeTee","@MoTeeTee")</f>
        <v>@MoTeeTee</v>
      </c>
      <c r="C12054" s="8" t="s">
        <v>3969</v>
      </c>
      <c r="D12054" s="8">
        <v>9</v>
      </c>
      <c r="E12054" s="8">
        <v>0</v>
      </c>
      <c r="F12054" s="8">
        <v>758</v>
      </c>
    </row>
    <row r="12055" spans="1:6" ht="12.75">
      <c r="A12055" s="8">
        <v>43899.45349537037</v>
      </c>
      <c r="B12055" s="8" t="str">
        <f>HYPERLINK("https://twitter.com/naval_tedy","@naval_tedy")</f>
        <v>@naval_tedy</v>
      </c>
      <c r="C12055" s="8" t="s">
        <v>4927</v>
      </c>
      <c r="D12055" s="8">
        <v>69</v>
      </c>
      <c r="E12055" s="8">
        <v>0</v>
      </c>
      <c r="F12055" s="8">
        <v>165</v>
      </c>
    </row>
    <row r="12056" spans="1:6" ht="12.75">
      <c r="A12056" s="8">
        <v>43899.45349537037</v>
      </c>
      <c r="B12056" s="8" t="str">
        <f>HYPERLINK("https://twitter.com/BPop4ever","@BPop4ever")</f>
        <v>@BPop4ever</v>
      </c>
      <c r="C12056" s="8" t="s">
        <v>3262</v>
      </c>
      <c r="D12056" s="8">
        <v>97</v>
      </c>
      <c r="E12056" s="8">
        <v>0</v>
      </c>
      <c r="F12056" s="8">
        <v>78</v>
      </c>
    </row>
    <row r="12057" spans="1:6" ht="12.75">
      <c r="A12057" s="8">
        <v>43899.453379629631</v>
      </c>
      <c r="B12057" s="8" t="str">
        <f>HYPERLINK("https://twitter.com/pesanbijakk","@pesanbijakk")</f>
        <v>@pesanbijakk</v>
      </c>
      <c r="C12057" s="8" t="s">
        <v>4978</v>
      </c>
      <c r="D12057" s="8">
        <v>4</v>
      </c>
      <c r="E12057" s="8">
        <v>0</v>
      </c>
      <c r="F12057" s="8">
        <v>94072</v>
      </c>
    </row>
    <row r="12058" spans="1:6" ht="12.75">
      <c r="A12058" s="8">
        <v>43899.453298611115</v>
      </c>
      <c r="B12058" s="8" t="str">
        <f>HYPERLINK("https://twitter.com/endikz","@endikz")</f>
        <v>@endikz</v>
      </c>
      <c r="C12058" s="8" t="s">
        <v>1396</v>
      </c>
      <c r="D12058" s="8">
        <v>17</v>
      </c>
      <c r="E12058" s="8">
        <v>0</v>
      </c>
      <c r="F12058" s="8">
        <v>151</v>
      </c>
    </row>
    <row r="12059" spans="1:6" ht="12.75">
      <c r="A12059" s="8">
        <v>43899.453287037039</v>
      </c>
      <c r="B12059" s="8" t="str">
        <f>HYPERLINK("https://twitter.com/rayansahel1","@rayansahel1")</f>
        <v>@rayansahel1</v>
      </c>
      <c r="C12059" s="8" t="s">
        <v>4927</v>
      </c>
      <c r="D12059" s="8">
        <v>69</v>
      </c>
      <c r="E12059" s="8">
        <v>0</v>
      </c>
      <c r="F12059" s="8">
        <v>135</v>
      </c>
    </row>
    <row r="12060" spans="1:6" ht="12.75">
      <c r="A12060" s="8">
        <v>43899.453275462962</v>
      </c>
      <c r="B12060" s="8" t="str">
        <f>HYPERLINK("https://twitter.com/midimorin","@midimorin")</f>
        <v>@midimorin</v>
      </c>
      <c r="C12060" s="8" t="s">
        <v>1396</v>
      </c>
      <c r="D12060" s="8">
        <v>17</v>
      </c>
      <c r="E12060" s="8">
        <v>0</v>
      </c>
      <c r="F12060" s="8">
        <v>322</v>
      </c>
    </row>
    <row r="12061" spans="1:6" ht="12.75">
      <c r="A12061" s="8">
        <v>43899.453206018516</v>
      </c>
      <c r="B12061" s="8" t="str">
        <f>HYPERLINK("https://twitter.com/Antok114","@Antok114")</f>
        <v>@Antok114</v>
      </c>
      <c r="C12061" s="8" t="s">
        <v>3126</v>
      </c>
      <c r="D12061" s="8">
        <v>101</v>
      </c>
      <c r="E12061" s="8">
        <v>0</v>
      </c>
      <c r="F12061" s="8">
        <v>877</v>
      </c>
    </row>
    <row r="12062" spans="1:6" ht="12.75">
      <c r="A12062" s="8">
        <v>43899.453159722223</v>
      </c>
      <c r="B12062" s="8" t="str">
        <f>HYPERLINK("https://twitter.com/KejoraWangi","@KejoraWangi")</f>
        <v>@KejoraWangi</v>
      </c>
      <c r="C12062" s="8" t="s">
        <v>4979</v>
      </c>
      <c r="D12062" s="8">
        <v>7</v>
      </c>
      <c r="E12062" s="8">
        <v>0</v>
      </c>
      <c r="F12062" s="8">
        <v>3</v>
      </c>
    </row>
    <row r="12063" spans="1:6" ht="12.75">
      <c r="A12063" s="8">
        <v>43899.453101851846</v>
      </c>
      <c r="B12063" s="8" t="str">
        <f>HYPERLINK("https://twitter.com/pesanbijakk","@pesanbijakk")</f>
        <v>@pesanbijakk</v>
      </c>
      <c r="C12063" s="8" t="s">
        <v>4607</v>
      </c>
      <c r="D12063" s="8">
        <v>36</v>
      </c>
      <c r="E12063" s="8">
        <v>0</v>
      </c>
      <c r="F12063" s="8">
        <v>94072</v>
      </c>
    </row>
    <row r="12064" spans="1:6" ht="12.75">
      <c r="A12064" s="8">
        <v>43899.453055555554</v>
      </c>
      <c r="B12064" s="8" t="str">
        <f>HYPERLINK("https://twitter.com/vsmevoyzz","@vsmevoyzz")</f>
        <v>@vsmevoyzz</v>
      </c>
      <c r="C12064" s="8" t="s">
        <v>1396</v>
      </c>
      <c r="D12064" s="8">
        <v>17</v>
      </c>
      <c r="E12064" s="8">
        <v>0</v>
      </c>
      <c r="F12064" s="8">
        <v>1038</v>
      </c>
    </row>
    <row r="12065" spans="1:6" ht="12.75">
      <c r="A12065" s="8">
        <v>43899.453032407408</v>
      </c>
      <c r="B12065" s="8" t="str">
        <f>HYPERLINK("https://twitter.com/pesanbijakk","@pesanbijakk")</f>
        <v>@pesanbijakk</v>
      </c>
      <c r="C12065" s="8" t="s">
        <v>4980</v>
      </c>
      <c r="D12065" s="8">
        <v>14</v>
      </c>
      <c r="E12065" s="8">
        <v>0</v>
      </c>
      <c r="F12065" s="8">
        <v>94072</v>
      </c>
    </row>
    <row r="12066" spans="1:6" ht="12.75">
      <c r="A12066" s="8">
        <v>43899.452893518523</v>
      </c>
      <c r="B12066" s="8" t="str">
        <f>HYPERLINK("https://twitter.com/OfficialiNewsTV","@OfficialiNewsTV")</f>
        <v>@OfficialiNewsTV</v>
      </c>
      <c r="C12066" s="8" t="s">
        <v>4981</v>
      </c>
      <c r="D12066" s="8">
        <v>1</v>
      </c>
      <c r="E12066" s="8">
        <v>4</v>
      </c>
      <c r="F12066" s="8">
        <v>96672</v>
      </c>
    </row>
    <row r="12067" spans="1:6" ht="12.75">
      <c r="A12067" s="8">
        <v>43899.452604166669</v>
      </c>
      <c r="B12067" s="8" t="str">
        <f>HYPERLINK("https://twitter.com/thesadblood","@thesadblood")</f>
        <v>@thesadblood</v>
      </c>
      <c r="C12067" s="8" t="s">
        <v>4975</v>
      </c>
      <c r="D12067" s="8">
        <v>6</v>
      </c>
      <c r="E12067" s="8">
        <v>0</v>
      </c>
      <c r="F12067" s="8">
        <v>648</v>
      </c>
    </row>
    <row r="12068" spans="1:6" ht="12.75">
      <c r="A12068" s="8">
        <v>43899.452407407407</v>
      </c>
      <c r="B12068" s="8" t="str">
        <f>HYPERLINK("https://twitter.com/RohithNaag","@RohithNaag")</f>
        <v>@RohithNaag</v>
      </c>
      <c r="C12068" s="8" t="s">
        <v>1917</v>
      </c>
      <c r="D12068" s="8">
        <v>1192</v>
      </c>
      <c r="E12068" s="8">
        <v>0</v>
      </c>
      <c r="F12068" s="8">
        <v>66</v>
      </c>
    </row>
    <row r="12069" spans="1:6" ht="12.75">
      <c r="A12069" s="8">
        <v>43899.452372685184</v>
      </c>
      <c r="B12069" s="8" t="str">
        <f>HYPERLINK("https://twitter.com/pkmahto14","@pkmahto14")</f>
        <v>@pkmahto14</v>
      </c>
      <c r="C12069" s="8" t="s">
        <v>1917</v>
      </c>
      <c r="D12069" s="8">
        <v>1192</v>
      </c>
      <c r="E12069" s="8">
        <v>0</v>
      </c>
      <c r="F12069" s="8">
        <v>417</v>
      </c>
    </row>
    <row r="12070" spans="1:6" ht="12.75">
      <c r="A12070" s="8">
        <v>43899.452314814815</v>
      </c>
      <c r="B12070" s="8" t="str">
        <f>HYPERLINK("https://twitter.com/Kemlu_RI","@Kemlu_RI")</f>
        <v>@Kemlu_RI</v>
      </c>
      <c r="C12070" s="8" t="s">
        <v>4982</v>
      </c>
      <c r="D12070" s="8">
        <v>17</v>
      </c>
      <c r="E12070" s="8">
        <v>14</v>
      </c>
      <c r="F12070" s="8">
        <v>171174</v>
      </c>
    </row>
    <row r="12071" spans="1:6" ht="12.75">
      <c r="A12071" s="8">
        <v>43899.452083333337</v>
      </c>
      <c r="B12071" s="8" t="str">
        <f>HYPERLINK("https://twitter.com/vikramsarin","@vikramsarin")</f>
        <v>@vikramsarin</v>
      </c>
      <c r="C12071" s="8" t="s">
        <v>1917</v>
      </c>
      <c r="D12071" s="8">
        <v>1192</v>
      </c>
      <c r="E12071" s="8">
        <v>0</v>
      </c>
      <c r="F12071" s="8">
        <v>7727</v>
      </c>
    </row>
    <row r="12072" spans="1:6" ht="12.75">
      <c r="A12072" s="8">
        <v>43899.452025462961</v>
      </c>
      <c r="B12072" s="8" t="str">
        <f>HYPERLINK("https://twitter.com/Hassan56168691","@Hassan56168691")</f>
        <v>@Hassan56168691</v>
      </c>
      <c r="C12072" s="8" t="s">
        <v>3969</v>
      </c>
      <c r="D12072" s="8">
        <v>9</v>
      </c>
      <c r="E12072" s="8">
        <v>0</v>
      </c>
      <c r="F12072" s="8">
        <v>38</v>
      </c>
    </row>
    <row r="12073" spans="1:6" ht="12.75">
      <c r="A12073" s="8">
        <v>43899.45144675926</v>
      </c>
      <c r="B12073" s="8" t="str">
        <f>HYPERLINK("https://twitter.com/PaijoAryanto__","@PaijoAryanto__")</f>
        <v>@PaijoAryanto__</v>
      </c>
      <c r="C12073" s="8" t="s">
        <v>299</v>
      </c>
      <c r="D12073" s="8">
        <v>4750</v>
      </c>
      <c r="E12073" s="8">
        <v>0</v>
      </c>
      <c r="F12073" s="8">
        <v>755</v>
      </c>
    </row>
    <row r="12074" spans="1:6" ht="12.75">
      <c r="A12074" s="8">
        <v>43899.451192129629</v>
      </c>
      <c r="B12074" s="8" t="str">
        <f>HYPERLINK("https://twitter.com/Elinlinlon","@Elinlinlon")</f>
        <v>@Elinlinlon</v>
      </c>
      <c r="C12074" s="8" t="s">
        <v>4975</v>
      </c>
      <c r="D12074" s="8">
        <v>6</v>
      </c>
      <c r="E12074" s="8">
        <v>0</v>
      </c>
      <c r="F12074" s="8">
        <v>527</v>
      </c>
    </row>
    <row r="12075" spans="1:6" ht="12.75">
      <c r="A12075" s="8">
        <v>43899.451168981483</v>
      </c>
      <c r="B12075" s="8" t="str">
        <f>HYPERLINK("https://twitter.com/cafebiru88","@cafebiru88")</f>
        <v>@cafebiru88</v>
      </c>
      <c r="C12075" s="8" t="s">
        <v>4607</v>
      </c>
      <c r="D12075" s="8">
        <v>36</v>
      </c>
      <c r="E12075" s="8">
        <v>0</v>
      </c>
      <c r="F12075" s="8">
        <v>18025</v>
      </c>
    </row>
    <row r="12076" spans="1:6" ht="12.75">
      <c r="A12076" s="8">
        <v>43899.451041666667</v>
      </c>
      <c r="B12076" s="8" t="str">
        <f>HYPERLINK("https://twitter.com/GarmeoNatan","@GarmeoNatan")</f>
        <v>@GarmeoNatan</v>
      </c>
      <c r="C12076" s="8" t="s">
        <v>4983</v>
      </c>
      <c r="D12076" s="8">
        <v>0</v>
      </c>
      <c r="E12076" s="8">
        <v>0</v>
      </c>
      <c r="F12076" s="8">
        <v>3112</v>
      </c>
    </row>
    <row r="12077" spans="1:6" ht="12.75">
      <c r="A12077" s="8">
        <v>43899.451041666667</v>
      </c>
      <c r="B12077" s="8" t="str">
        <f>HYPERLINK("https://twitter.com/cafebiru88","@cafebiru88")</f>
        <v>@cafebiru88</v>
      </c>
      <c r="C12077" s="8" t="s">
        <v>4980</v>
      </c>
      <c r="D12077" s="8">
        <v>14</v>
      </c>
      <c r="E12077" s="8">
        <v>0</v>
      </c>
      <c r="F12077" s="8">
        <v>18025</v>
      </c>
    </row>
    <row r="12078" spans="1:6" ht="12.75">
      <c r="A12078" s="8">
        <v>43899.450972222221</v>
      </c>
      <c r="B12078" s="8" t="str">
        <f>HYPERLINK("https://twitter.com/hgberry","@hgberry")</f>
        <v>@hgberry</v>
      </c>
      <c r="C12078" s="8" t="s">
        <v>3969</v>
      </c>
      <c r="D12078" s="8">
        <v>9</v>
      </c>
      <c r="E12078" s="8">
        <v>0</v>
      </c>
      <c r="F12078" s="8">
        <v>1654</v>
      </c>
    </row>
    <row r="12079" spans="1:6" ht="12.75">
      <c r="A12079" s="8">
        <v>43899.450798611113</v>
      </c>
      <c r="B12079" s="8" t="str">
        <f>HYPERLINK("https://twitter.com/aihaibaraq","@aihaibaraq")</f>
        <v>@aihaibaraq</v>
      </c>
      <c r="C12079" s="8" t="s">
        <v>4984</v>
      </c>
      <c r="D12079" s="8">
        <v>6</v>
      </c>
      <c r="E12079" s="8">
        <v>0</v>
      </c>
      <c r="F12079" s="8">
        <v>246</v>
      </c>
    </row>
    <row r="12080" spans="1:6" ht="12.75">
      <c r="A12080" s="8">
        <v>43899.450775462959</v>
      </c>
      <c r="B12080" s="8" t="str">
        <f>HYPERLINK("https://twitter.com/guiitarjm","@guiitarjm")</f>
        <v>@guiitarjm</v>
      </c>
      <c r="C12080" s="8" t="s">
        <v>3969</v>
      </c>
      <c r="D12080" s="8">
        <v>9</v>
      </c>
      <c r="E12080" s="8">
        <v>0</v>
      </c>
      <c r="F12080" s="8">
        <v>293</v>
      </c>
    </row>
    <row r="12081" spans="1:6" ht="12.75">
      <c r="A12081" s="8">
        <v>43899.45034722222</v>
      </c>
      <c r="B12081" s="8" t="str">
        <f>HYPERLINK("https://twitter.com/kirekswasta","@kirekswasta")</f>
        <v>@kirekswasta</v>
      </c>
      <c r="C12081" s="8" t="s">
        <v>3969</v>
      </c>
      <c r="D12081" s="8">
        <v>9</v>
      </c>
      <c r="E12081" s="8">
        <v>0</v>
      </c>
      <c r="F12081" s="8">
        <v>12430</v>
      </c>
    </row>
    <row r="12082" spans="1:6" ht="12.75">
      <c r="A12082" s="8">
        <v>43899.450150462959</v>
      </c>
      <c r="B12082" s="8" t="str">
        <f>HYPERLINK("https://twitter.com/cilliasiregar","@cilliasiregar")</f>
        <v>@cilliasiregar</v>
      </c>
      <c r="C12082" s="8" t="s">
        <v>4978</v>
      </c>
      <c r="D12082" s="8">
        <v>4</v>
      </c>
      <c r="E12082" s="8">
        <v>0</v>
      </c>
      <c r="F12082" s="8">
        <v>7</v>
      </c>
    </row>
    <row r="12083" spans="1:6" ht="12.75">
      <c r="A12083" s="8">
        <v>43899.45003472222</v>
      </c>
      <c r="B12083" s="8" t="str">
        <f>HYPERLINK("https://twitter.com/deniardianta","@deniardianta")</f>
        <v>@deniardianta</v>
      </c>
      <c r="C12083" s="8" t="s">
        <v>4985</v>
      </c>
      <c r="D12083" s="8">
        <v>0</v>
      </c>
      <c r="E12083" s="8">
        <v>0</v>
      </c>
      <c r="F12083" s="8">
        <v>414</v>
      </c>
    </row>
    <row r="12084" spans="1:6" ht="12.75">
      <c r="A12084" s="8">
        <v>43899.450011574074</v>
      </c>
      <c r="B12084" s="8" t="str">
        <f>HYPERLINK("https://twitter.com/__interlac_","@__interlac_")</f>
        <v>@__interlac_</v>
      </c>
      <c r="C12084" s="8" t="s">
        <v>4651</v>
      </c>
      <c r="D12084" s="8">
        <v>45</v>
      </c>
      <c r="E12084" s="8">
        <v>0</v>
      </c>
      <c r="F12084" s="8">
        <v>7340</v>
      </c>
    </row>
    <row r="12085" spans="1:6" ht="12.75">
      <c r="A12085" s="8">
        <v>43899.449687500004</v>
      </c>
      <c r="B12085" s="8" t="str">
        <f>HYPERLINK("https://twitter.com/Rahman_Nashir","@Rahman_Nashir")</f>
        <v>@Rahman_Nashir</v>
      </c>
      <c r="C12085" s="8" t="s">
        <v>4986</v>
      </c>
      <c r="D12085" s="8">
        <v>0</v>
      </c>
      <c r="E12085" s="8">
        <v>0</v>
      </c>
      <c r="F12085" s="8">
        <v>3061</v>
      </c>
    </row>
    <row r="12086" spans="1:6" ht="12.75">
      <c r="A12086" s="8">
        <v>43899.449641203704</v>
      </c>
      <c r="B12086" s="8" t="str">
        <f t="shared" ref="B12086:B12087" si="194">HYPERLINK("https://twitter.com/cilliasiregar","@cilliasiregar")</f>
        <v>@cilliasiregar</v>
      </c>
      <c r="C12086" s="8" t="s">
        <v>4607</v>
      </c>
      <c r="D12086" s="8">
        <v>36</v>
      </c>
      <c r="E12086" s="8">
        <v>0</v>
      </c>
      <c r="F12086" s="8">
        <v>7</v>
      </c>
    </row>
    <row r="12087" spans="1:6" ht="12.75">
      <c r="A12087" s="8">
        <v>43899.449594907404</v>
      </c>
      <c r="B12087" s="8" t="str">
        <f t="shared" si="194"/>
        <v>@cilliasiregar</v>
      </c>
      <c r="C12087" s="8" t="s">
        <v>4980</v>
      </c>
      <c r="D12087" s="8">
        <v>14</v>
      </c>
      <c r="E12087" s="8">
        <v>0</v>
      </c>
      <c r="F12087" s="8">
        <v>7</v>
      </c>
    </row>
    <row r="12088" spans="1:6" ht="12.75">
      <c r="A12088" s="8">
        <v>43899.449363425927</v>
      </c>
      <c r="B12088" s="8" t="str">
        <f>HYPERLINK("https://twitter.com/_bhagwaShinobi","@_bhagwaShinobi")</f>
        <v>@_bhagwaShinobi</v>
      </c>
      <c r="C12088" s="8" t="s">
        <v>1917</v>
      </c>
      <c r="D12088" s="8">
        <v>1192</v>
      </c>
      <c r="E12088" s="8">
        <v>0</v>
      </c>
      <c r="F12088" s="8">
        <v>33</v>
      </c>
    </row>
    <row r="12089" spans="1:6" ht="12.75">
      <c r="A12089" s="8">
        <v>43899.448865740742</v>
      </c>
      <c r="B12089" s="8" t="str">
        <f>HYPERLINK("https://twitter.com/Novirana1","@Novirana1")</f>
        <v>@Novirana1</v>
      </c>
      <c r="C12089" s="8" t="s">
        <v>3126</v>
      </c>
      <c r="D12089" s="8">
        <v>101</v>
      </c>
      <c r="E12089" s="8">
        <v>0</v>
      </c>
      <c r="F12089" s="8">
        <v>606</v>
      </c>
    </row>
    <row r="12090" spans="1:6" ht="12.75">
      <c r="A12090" s="8">
        <v>43899.448854166665</v>
      </c>
      <c r="B12090" s="8" t="str">
        <f>HYPERLINK("https://twitter.com/pilotignews","@pilotignews")</f>
        <v>@pilotignews</v>
      </c>
      <c r="C12090" s="8" t="s">
        <v>4987</v>
      </c>
      <c r="D12090" s="8">
        <v>0</v>
      </c>
      <c r="E12090" s="8">
        <v>0</v>
      </c>
      <c r="F12090" s="8">
        <v>37</v>
      </c>
    </row>
    <row r="12091" spans="1:6" ht="12.75">
      <c r="A12091" s="8">
        <v>43899.448773148149</v>
      </c>
      <c r="B12091" s="8" t="str">
        <f>HYPERLINK("https://twitter.com/PriyankVyas13","@PriyankVyas13")</f>
        <v>@PriyankVyas13</v>
      </c>
      <c r="C12091" s="8" t="s">
        <v>1917</v>
      </c>
      <c r="D12091" s="8">
        <v>1192</v>
      </c>
      <c r="E12091" s="8">
        <v>0</v>
      </c>
      <c r="F12091" s="8">
        <v>43</v>
      </c>
    </row>
    <row r="12092" spans="1:6" ht="12.75">
      <c r="A12092" s="8">
        <v>43899.448368055557</v>
      </c>
      <c r="B12092" s="8" t="str">
        <f>HYPERLINK("https://twitter.com/Charles40883182","@Charles40883182")</f>
        <v>@Charles40883182</v>
      </c>
      <c r="C12092" s="8" t="s">
        <v>4988</v>
      </c>
      <c r="D12092" s="8">
        <v>0</v>
      </c>
      <c r="E12092" s="8">
        <v>0</v>
      </c>
      <c r="F12092" s="8">
        <v>235</v>
      </c>
    </row>
    <row r="12093" spans="1:6" ht="12.75">
      <c r="A12093" s="8">
        <v>43899.448136574079</v>
      </c>
      <c r="B12093" s="8" t="str">
        <f>HYPERLINK("https://twitter.com/kikasyafii","@kikasyafii")</f>
        <v>@kikasyafii</v>
      </c>
      <c r="C12093" s="8" t="s">
        <v>3969</v>
      </c>
      <c r="D12093" s="8">
        <v>9</v>
      </c>
      <c r="E12093" s="8">
        <v>0</v>
      </c>
      <c r="F12093" s="8">
        <v>3053</v>
      </c>
    </row>
    <row r="12094" spans="1:6" ht="12.75">
      <c r="A12094" s="8">
        <v>43899.423206018517</v>
      </c>
      <c r="B12094" s="8" t="str">
        <f>HYPERLINK("https://twitter.com/bahrupia","@bahrupia")</f>
        <v>@bahrupia</v>
      </c>
      <c r="C12094" s="8" t="s">
        <v>1917</v>
      </c>
      <c r="D12094" s="8">
        <v>1116</v>
      </c>
      <c r="E12094" s="8">
        <v>0</v>
      </c>
      <c r="F12094" s="8">
        <v>23</v>
      </c>
    </row>
    <row r="12095" spans="1:6" ht="12.75">
      <c r="A12095" s="8">
        <v>43899.422581018516</v>
      </c>
      <c r="B12095" s="8" t="str">
        <f>HYPERLINK("https://twitter.com/Dsk_Talks","@Dsk_Talks")</f>
        <v>@Dsk_Talks</v>
      </c>
      <c r="C12095" s="8" t="s">
        <v>1917</v>
      </c>
      <c r="D12095" s="8">
        <v>1116</v>
      </c>
      <c r="E12095" s="8">
        <v>0</v>
      </c>
      <c r="F12095" s="8">
        <v>9642</v>
      </c>
    </row>
    <row r="12096" spans="1:6" ht="12.75">
      <c r="A12096" s="8">
        <v>43899.422546296293</v>
      </c>
      <c r="B12096" s="8" t="str">
        <f>HYPERLINK("https://twitter.com/Nadila_ID","@Nadila_ID")</f>
        <v>@Nadila_ID</v>
      </c>
      <c r="C12096" s="8" t="s">
        <v>4607</v>
      </c>
      <c r="D12096" s="8">
        <v>26</v>
      </c>
      <c r="E12096" s="8">
        <v>0</v>
      </c>
      <c r="F12096" s="8">
        <v>7168</v>
      </c>
    </row>
    <row r="12097" spans="1:6" ht="12.75">
      <c r="A12097" s="8">
        <v>43899.422349537039</v>
      </c>
      <c r="B12097" s="8" t="str">
        <f>HYPERLINK("https://twitter.com/Bere7777777","@Bere7777777")</f>
        <v>@Bere7777777</v>
      </c>
      <c r="C12097" s="8" t="s">
        <v>4989</v>
      </c>
      <c r="D12097" s="8">
        <v>0</v>
      </c>
      <c r="E12097" s="8">
        <v>0</v>
      </c>
      <c r="F12097" s="8">
        <v>289</v>
      </c>
    </row>
    <row r="12098" spans="1:6" ht="12.75">
      <c r="A12098" s="8">
        <v>43899.422210648147</v>
      </c>
      <c r="B12098" s="8" t="str">
        <f>HYPERLINK("https://twitter.com/ayu_basuki_","@ayu_basuki_")</f>
        <v>@ayu_basuki_</v>
      </c>
      <c r="C12098" s="8" t="s">
        <v>4651</v>
      </c>
      <c r="D12098" s="8">
        <v>38</v>
      </c>
      <c r="E12098" s="8">
        <v>0</v>
      </c>
      <c r="F12098" s="8">
        <v>3850</v>
      </c>
    </row>
    <row r="12099" spans="1:6" ht="12.75">
      <c r="A12099" s="8">
        <v>43899.422106481477</v>
      </c>
      <c r="B12099" s="8" t="str">
        <f>HYPERLINK("https://twitter.com/hilihmosok_","@hilihmosok_")</f>
        <v>@hilihmosok_</v>
      </c>
      <c r="C12099" s="8" t="s">
        <v>4990</v>
      </c>
      <c r="D12099" s="8">
        <v>458</v>
      </c>
      <c r="E12099" s="8">
        <v>0</v>
      </c>
      <c r="F12099" s="8">
        <v>666</v>
      </c>
    </row>
    <row r="12100" spans="1:6" ht="12.75">
      <c r="A12100" s="8">
        <v>43899.421990740739</v>
      </c>
      <c r="B12100" s="8" t="str">
        <f>HYPERLINK("https://twitter.com/Nadila_ID","@Nadila_ID")</f>
        <v>@Nadila_ID</v>
      </c>
      <c r="C12100" s="8" t="s">
        <v>4980</v>
      </c>
      <c r="D12100" s="8">
        <v>4</v>
      </c>
      <c r="E12100" s="8">
        <v>0</v>
      </c>
      <c r="F12100" s="8">
        <v>7168</v>
      </c>
    </row>
    <row r="12101" spans="1:6" ht="12.75">
      <c r="A12101" s="8">
        <v>43899.421944444446</v>
      </c>
      <c r="B12101" s="8" t="str">
        <f>HYPERLINK("https://twitter.com/ramdhan497","@ramdhan497")</f>
        <v>@ramdhan497</v>
      </c>
      <c r="C12101" s="8" t="s">
        <v>4991</v>
      </c>
      <c r="D12101" s="8">
        <v>9</v>
      </c>
      <c r="E12101" s="8">
        <v>0</v>
      </c>
      <c r="F12101" s="8">
        <v>203</v>
      </c>
    </row>
    <row r="12102" spans="1:6" ht="12.75">
      <c r="A12102" s="8">
        <v>43899.421701388885</v>
      </c>
      <c r="B12102" s="8" t="str">
        <f>HYPERLINK("https://twitter.com/leksono_duto","@leksono_duto")</f>
        <v>@leksono_duto</v>
      </c>
      <c r="C12102" s="8" t="s">
        <v>4992</v>
      </c>
      <c r="D12102" s="8">
        <v>1</v>
      </c>
      <c r="E12102" s="8">
        <v>0</v>
      </c>
      <c r="F12102" s="8">
        <v>34</v>
      </c>
    </row>
    <row r="12103" spans="1:6" ht="12.75">
      <c r="A12103" s="8">
        <v>43899.421493055561</v>
      </c>
      <c r="B12103" s="8" t="str">
        <f>HYPERLINK("https://twitter.com/Leel310","@Leel310")</f>
        <v>@Leel310</v>
      </c>
      <c r="C12103" s="8" t="s">
        <v>4993</v>
      </c>
      <c r="D12103" s="8">
        <v>0</v>
      </c>
      <c r="E12103" s="8">
        <v>0</v>
      </c>
      <c r="F12103" s="8">
        <v>3</v>
      </c>
    </row>
    <row r="12104" spans="1:6" ht="12.75">
      <c r="A12104" s="8">
        <v>43899.421331018515</v>
      </c>
      <c r="B12104" s="8" t="str">
        <f>HYPERLINK("https://twitter.com/geloraco","@geloraco")</f>
        <v>@geloraco</v>
      </c>
      <c r="C12104" s="8" t="s">
        <v>4277</v>
      </c>
      <c r="D12104" s="8">
        <v>0</v>
      </c>
      <c r="E12104" s="8">
        <v>0</v>
      </c>
      <c r="F12104" s="8">
        <v>105408</v>
      </c>
    </row>
    <row r="12105" spans="1:6" ht="12.75">
      <c r="A12105" s="8">
        <v>43899.420925925922</v>
      </c>
      <c r="B12105" s="8" t="str">
        <f>HYPERLINK("https://twitter.com/DThizi","@DThizi")</f>
        <v>@DThizi</v>
      </c>
      <c r="C12105" s="8" t="s">
        <v>3126</v>
      </c>
      <c r="D12105" s="8">
        <v>87</v>
      </c>
      <c r="E12105" s="8">
        <v>0</v>
      </c>
      <c r="F12105" s="8">
        <v>1129</v>
      </c>
    </row>
    <row r="12106" spans="1:6" ht="12.75">
      <c r="A12106" s="8">
        <v>43899.420914351853</v>
      </c>
      <c r="B12106" s="8" t="str">
        <f>HYPERLINK("https://twitter.com/Realitarakyat01","@Realitarakyat01")</f>
        <v>@Realitarakyat01</v>
      </c>
      <c r="C12106" s="8" t="s">
        <v>4994</v>
      </c>
      <c r="D12106" s="8">
        <v>0</v>
      </c>
      <c r="E12106" s="8">
        <v>0</v>
      </c>
      <c r="F12106" s="8">
        <v>128</v>
      </c>
    </row>
    <row r="12107" spans="1:6" ht="12.75">
      <c r="A12107" s="8">
        <v>43899.42087962963</v>
      </c>
      <c r="B12107" s="8" t="str">
        <f>HYPERLINK("https://twitter.com/rishi_iitr","@rishi_iitr")</f>
        <v>@rishi_iitr</v>
      </c>
      <c r="C12107" s="8" t="s">
        <v>1917</v>
      </c>
      <c r="D12107" s="8">
        <v>1116</v>
      </c>
      <c r="E12107" s="8">
        <v>0</v>
      </c>
      <c r="F12107" s="8">
        <v>505</v>
      </c>
    </row>
    <row r="12108" spans="1:6" ht="12.75">
      <c r="A12108" s="8">
        <v>43899.420405092591</v>
      </c>
      <c r="B12108" s="8" t="str">
        <f>HYPERLINK("https://twitter.com/Rahulsway","@Rahulsway")</f>
        <v>@Rahulsway</v>
      </c>
      <c r="C12108" s="8" t="s">
        <v>1917</v>
      </c>
      <c r="D12108" s="8">
        <v>1116</v>
      </c>
      <c r="E12108" s="8">
        <v>0</v>
      </c>
      <c r="F12108" s="8">
        <v>59</v>
      </c>
    </row>
    <row r="12109" spans="1:6" ht="12.75">
      <c r="A12109" s="8">
        <v>43899.420289351852</v>
      </c>
      <c r="B12109" s="8" t="str">
        <f>HYPERLINK("https://twitter.com/saul_we","@saul_we")</f>
        <v>@saul_we</v>
      </c>
      <c r="C12109" s="8" t="s">
        <v>3262</v>
      </c>
      <c r="D12109" s="8">
        <v>81</v>
      </c>
      <c r="E12109" s="8">
        <v>0</v>
      </c>
      <c r="F12109" s="8">
        <v>1018</v>
      </c>
    </row>
    <row r="12110" spans="1:6" ht="12.75">
      <c r="A12110" s="8">
        <v>43899.420289351852</v>
      </c>
      <c r="B12110" s="8" t="str">
        <f>HYPERLINK("https://twitter.com/ComeButter","@ComeButter")</f>
        <v>@ComeButter</v>
      </c>
      <c r="C12110" s="8" t="s">
        <v>1917</v>
      </c>
      <c r="D12110" s="8">
        <v>1116</v>
      </c>
      <c r="E12110" s="8">
        <v>0</v>
      </c>
      <c r="F12110" s="8">
        <v>148</v>
      </c>
    </row>
    <row r="12111" spans="1:6" ht="12.75">
      <c r="A12111" s="8">
        <v>43899.42024305556</v>
      </c>
      <c r="B12111" s="8" t="str">
        <f t="shared" ref="B12111:B12112" si="195">HYPERLINK("https://twitter.com/R24966786","@R24966786")</f>
        <v>@R24966786</v>
      </c>
      <c r="C12111" s="8" t="s">
        <v>4995</v>
      </c>
      <c r="D12111" s="8">
        <v>0</v>
      </c>
      <c r="E12111" s="8">
        <v>0</v>
      </c>
      <c r="F12111" s="8">
        <v>20</v>
      </c>
    </row>
    <row r="12112" spans="1:6" ht="12.75">
      <c r="A12112" s="8">
        <v>43899.420162037037</v>
      </c>
      <c r="B12112" s="8" t="str">
        <f t="shared" si="195"/>
        <v>@R24966786</v>
      </c>
      <c r="C12112" s="8" t="s">
        <v>4995</v>
      </c>
      <c r="D12112" s="8">
        <v>0</v>
      </c>
      <c r="E12112" s="8">
        <v>0</v>
      </c>
      <c r="F12112" s="8">
        <v>20</v>
      </c>
    </row>
    <row r="12113" spans="1:6" ht="12.75">
      <c r="A12113" s="8">
        <v>43899.419837962967</v>
      </c>
      <c r="B12113" s="8" t="str">
        <f>HYPERLINK("https://twitter.com/ImVinod529","@ImVinod529")</f>
        <v>@ImVinod529</v>
      </c>
      <c r="C12113" s="8" t="s">
        <v>1917</v>
      </c>
      <c r="D12113" s="8">
        <v>1116</v>
      </c>
      <c r="E12113" s="8">
        <v>0</v>
      </c>
      <c r="F12113" s="8">
        <v>125</v>
      </c>
    </row>
    <row r="12114" spans="1:6" ht="12.75">
      <c r="A12114" s="8">
        <v>43899.419664351852</v>
      </c>
      <c r="B12114" s="8" t="str">
        <f>HYPERLINK("https://twitter.com/sg3169","@sg3169")</f>
        <v>@sg3169</v>
      </c>
      <c r="C12114" s="8" t="s">
        <v>1917</v>
      </c>
      <c r="D12114" s="8">
        <v>1116</v>
      </c>
      <c r="E12114" s="8">
        <v>0</v>
      </c>
      <c r="F12114" s="8">
        <v>350</v>
      </c>
    </row>
    <row r="12115" spans="1:6" ht="12.75">
      <c r="A12115" s="8">
        <v>43899.419398148151</v>
      </c>
      <c r="B12115" s="8" t="str">
        <f>HYPERLINK("https://twitter.com/YogaAdrianyoga6","@YogaAdrianyoga6")</f>
        <v>@YogaAdrianyoga6</v>
      </c>
      <c r="C12115" s="8" t="s">
        <v>4996</v>
      </c>
      <c r="D12115" s="8">
        <v>0</v>
      </c>
      <c r="E12115" s="8">
        <v>0</v>
      </c>
      <c r="F12115" s="8">
        <v>798</v>
      </c>
    </row>
    <row r="12116" spans="1:6" ht="12.75">
      <c r="A12116" s="8">
        <v>43899.419166666667</v>
      </c>
      <c r="B12116" s="8" t="str">
        <f>HYPERLINK("https://twitter.com/voter1947","@voter1947")</f>
        <v>@voter1947</v>
      </c>
      <c r="C12116" s="8" t="s">
        <v>1917</v>
      </c>
      <c r="D12116" s="8">
        <v>1116</v>
      </c>
      <c r="E12116" s="8">
        <v>0</v>
      </c>
      <c r="F12116" s="8">
        <v>136</v>
      </c>
    </row>
    <row r="12117" spans="1:6" ht="12.75">
      <c r="A12117" s="8">
        <v>43899.419062500005</v>
      </c>
      <c r="B12117" s="8" t="str">
        <f>HYPERLINK("https://twitter.com/YajneshNarayan","@YajneshNarayan")</f>
        <v>@YajneshNarayan</v>
      </c>
      <c r="C12117" s="8" t="s">
        <v>1917</v>
      </c>
      <c r="D12117" s="8">
        <v>1116</v>
      </c>
      <c r="E12117" s="8">
        <v>0</v>
      </c>
      <c r="F12117" s="8">
        <v>369</v>
      </c>
    </row>
    <row r="12118" spans="1:6" ht="12.75">
      <c r="A12118" s="8">
        <v>43899.418668981481</v>
      </c>
      <c r="B12118" s="8" t="str">
        <f>HYPERLINK("https://twitter.com/Leel310","@Leel310")</f>
        <v>@Leel310</v>
      </c>
      <c r="C12118" s="8" t="s">
        <v>4997</v>
      </c>
      <c r="D12118" s="8">
        <v>0</v>
      </c>
      <c r="E12118" s="8">
        <v>0</v>
      </c>
      <c r="F12118" s="8">
        <v>3</v>
      </c>
    </row>
    <row r="12119" spans="1:6" ht="12.75">
      <c r="A12119" s="8">
        <v>43899.41814814815</v>
      </c>
      <c r="B12119" s="8" t="str">
        <f>HYPERLINK("https://twitter.com/vjmindian","@vjmindian")</f>
        <v>@vjmindian</v>
      </c>
      <c r="C12119" s="8" t="s">
        <v>1917</v>
      </c>
      <c r="D12119" s="8">
        <v>1116</v>
      </c>
      <c r="E12119" s="8">
        <v>0</v>
      </c>
      <c r="F12119" s="8">
        <v>1136</v>
      </c>
    </row>
    <row r="12120" spans="1:6" ht="12.75">
      <c r="A12120" s="8">
        <v>43899.418067129634</v>
      </c>
      <c r="B12120" s="8" t="str">
        <f>HYPERLINK("https://twitter.com/RismaRS1","@RismaRS1")</f>
        <v>@RismaRS1</v>
      </c>
      <c r="C12120" s="8" t="s">
        <v>4998</v>
      </c>
      <c r="D12120" s="8">
        <v>0</v>
      </c>
      <c r="E12120" s="8">
        <v>0</v>
      </c>
      <c r="F12120" s="8">
        <v>141</v>
      </c>
    </row>
    <row r="12121" spans="1:6" ht="12.75">
      <c r="A12121" s="8">
        <v>43899.41805555555</v>
      </c>
      <c r="B12121" s="8" t="str">
        <f>HYPERLINK("https://twitter.com/RaagAnuragi","@RaagAnuragi")</f>
        <v>@RaagAnuragi</v>
      </c>
      <c r="C12121" s="8" t="s">
        <v>1917</v>
      </c>
      <c r="D12121" s="8">
        <v>1116</v>
      </c>
      <c r="E12121" s="8">
        <v>0</v>
      </c>
      <c r="F12121" s="8">
        <v>103</v>
      </c>
    </row>
    <row r="12122" spans="1:6" ht="12.75">
      <c r="A12122" s="8">
        <v>43899.417534722219</v>
      </c>
      <c r="B12122" s="8" t="str">
        <f>HYPERLINK("https://twitter.com/Simpleashish","@Simpleashish")</f>
        <v>@Simpleashish</v>
      </c>
      <c r="C12122" s="8" t="s">
        <v>1917</v>
      </c>
      <c r="D12122" s="8">
        <v>1116</v>
      </c>
      <c r="E12122" s="8">
        <v>0</v>
      </c>
      <c r="F12122" s="8">
        <v>1216</v>
      </c>
    </row>
    <row r="12123" spans="1:6" ht="12.75">
      <c r="A12123" s="8">
        <v>43899.417488425926</v>
      </c>
      <c r="B12123" s="8" t="str">
        <f>HYPERLINK("https://twitter.com/PJustitia7","@PJustitia7")</f>
        <v>@PJustitia7</v>
      </c>
      <c r="C12123" s="8" t="s">
        <v>4999</v>
      </c>
      <c r="D12123" s="8">
        <v>0</v>
      </c>
      <c r="E12123" s="8">
        <v>1</v>
      </c>
      <c r="F12123" s="8">
        <v>826</v>
      </c>
    </row>
    <row r="12124" spans="1:6" ht="12.75">
      <c r="A12124" s="8">
        <v>43899.417442129634</v>
      </c>
      <c r="B12124" s="8" t="str">
        <f>HYPERLINK("https://twitter.com/demokrasicoid","@demokrasicoid")</f>
        <v>@demokrasicoid</v>
      </c>
      <c r="C12124" s="8" t="s">
        <v>5000</v>
      </c>
      <c r="D12124" s="8">
        <v>0</v>
      </c>
      <c r="E12124" s="8">
        <v>1</v>
      </c>
      <c r="F12124" s="8">
        <v>23208</v>
      </c>
    </row>
    <row r="12125" spans="1:6" ht="12.75">
      <c r="A12125" s="8">
        <v>43899.417384259257</v>
      </c>
      <c r="B12125" s="8" t="str">
        <f>HYPERLINK("https://twitter.com/cnbcindonesia","@cnbcindonesia")</f>
        <v>@cnbcindonesia</v>
      </c>
      <c r="C12125" s="8" t="s">
        <v>5001</v>
      </c>
      <c r="D12125" s="8">
        <v>1</v>
      </c>
      <c r="E12125" s="8">
        <v>1</v>
      </c>
      <c r="F12125" s="8">
        <v>31658</v>
      </c>
    </row>
    <row r="12126" spans="1:6" ht="12.75">
      <c r="A12126" s="8">
        <v>43899.416365740741</v>
      </c>
      <c r="B12126" s="8" t="str">
        <f t="shared" ref="B12126:B12127" si="196">HYPERLINK("https://twitter.com/fiestaradio_","@fiestaradio_")</f>
        <v>@fiestaradio_</v>
      </c>
      <c r="C12126" s="8" t="s">
        <v>5002</v>
      </c>
      <c r="D12126" s="8">
        <v>0</v>
      </c>
      <c r="E12126" s="8">
        <v>0</v>
      </c>
      <c r="F12126" s="8">
        <v>2058</v>
      </c>
    </row>
    <row r="12127" spans="1:6" ht="12.75">
      <c r="A12127" s="8">
        <v>43899.416354166664</v>
      </c>
      <c r="B12127" s="8" t="str">
        <f t="shared" si="196"/>
        <v>@fiestaradio_</v>
      </c>
      <c r="C12127" s="8" t="s">
        <v>5003</v>
      </c>
      <c r="D12127" s="8">
        <v>0</v>
      </c>
      <c r="E12127" s="8">
        <v>0</v>
      </c>
      <c r="F12127" s="8">
        <v>2058</v>
      </c>
    </row>
    <row r="12128" spans="1:6" ht="12.75">
      <c r="A12128" s="8">
        <v>43899.416284722218</v>
      </c>
      <c r="B12128" s="8" t="str">
        <f>HYPERLINK("https://twitter.com/MuzlimIndonesia","@MuzlimIndonesia")</f>
        <v>@MuzlimIndonesia</v>
      </c>
      <c r="C12128" s="8" t="s">
        <v>3262</v>
      </c>
      <c r="D12128" s="8">
        <v>81</v>
      </c>
      <c r="E12128" s="8">
        <v>0</v>
      </c>
      <c r="F12128" s="8">
        <v>1864</v>
      </c>
    </row>
    <row r="12129" spans="1:6" ht="12.75">
      <c r="A12129" s="8">
        <v>43899.41615740741</v>
      </c>
      <c r="B12129" s="8" t="str">
        <f>HYPERLINK("https://twitter.com/antuyyay","@antuyyay")</f>
        <v>@antuyyay</v>
      </c>
      <c r="C12129" s="8" t="s">
        <v>5004</v>
      </c>
      <c r="D12129" s="8">
        <v>0</v>
      </c>
      <c r="E12129" s="8">
        <v>0</v>
      </c>
      <c r="F12129" s="8">
        <v>250</v>
      </c>
    </row>
    <row r="12130" spans="1:6" ht="12.75">
      <c r="A12130" s="8">
        <v>43899.415636574078</v>
      </c>
      <c r="B12130" s="8" t="str">
        <f>HYPERLINK("https://twitter.com/Masdjodi1","@Masdjodi1")</f>
        <v>@Masdjodi1</v>
      </c>
      <c r="C12130" s="8" t="s">
        <v>3126</v>
      </c>
      <c r="D12130" s="8">
        <v>87</v>
      </c>
      <c r="E12130" s="8">
        <v>0</v>
      </c>
      <c r="F12130" s="8">
        <v>749</v>
      </c>
    </row>
    <row r="12131" spans="1:6" ht="12.75">
      <c r="A12131" s="8">
        <v>43899.415208333332</v>
      </c>
      <c r="B12131" s="8" t="str">
        <f>HYPERLINK("https://twitter.com/Profeson6","@Profeson6")</f>
        <v>@Profeson6</v>
      </c>
      <c r="C12131" s="8" t="s">
        <v>4651</v>
      </c>
      <c r="D12131" s="8">
        <v>38</v>
      </c>
      <c r="E12131" s="8">
        <v>0</v>
      </c>
      <c r="F12131" s="8">
        <v>2441</v>
      </c>
    </row>
    <row r="12132" spans="1:6" ht="12.75">
      <c r="A12132" s="8">
        <v>43899.415000000001</v>
      </c>
      <c r="B12132" s="8" t="str">
        <f>HYPERLINK("https://twitter.com/GTVID_News","@GTVID_News")</f>
        <v>@GTVID_News</v>
      </c>
      <c r="C12132" s="8" t="s">
        <v>5005</v>
      </c>
      <c r="D12132" s="8">
        <v>1</v>
      </c>
      <c r="E12132" s="8">
        <v>0</v>
      </c>
      <c r="F12132" s="8">
        <v>10819</v>
      </c>
    </row>
    <row r="12133" spans="1:6" ht="12.75">
      <c r="A12133" s="8">
        <v>43899.414976851855</v>
      </c>
      <c r="B12133" s="8" t="str">
        <f>HYPERLINK("https://twitter.com/AnandSindhu15","@AnandSindhu15")</f>
        <v>@AnandSindhu15</v>
      </c>
      <c r="C12133" s="8" t="s">
        <v>1917</v>
      </c>
      <c r="D12133" s="8">
        <v>1116</v>
      </c>
      <c r="E12133" s="8">
        <v>0</v>
      </c>
      <c r="F12133" s="8">
        <v>104</v>
      </c>
    </row>
    <row r="12134" spans="1:6" ht="12.75">
      <c r="A12134" s="8">
        <v>43899.414768518516</v>
      </c>
      <c r="B12134" s="8" t="str">
        <f>HYPERLINK("https://twitter.com/reynoldandries1","@reynoldandries1")</f>
        <v>@reynoldandries1</v>
      </c>
      <c r="C12134" s="8" t="s">
        <v>3262</v>
      </c>
      <c r="D12134" s="8">
        <v>81</v>
      </c>
      <c r="E12134" s="8">
        <v>0</v>
      </c>
      <c r="F12134" s="8">
        <v>6403</v>
      </c>
    </row>
    <row r="12135" spans="1:6" ht="12.75">
      <c r="A12135" s="8">
        <v>43899.414583333331</v>
      </c>
      <c r="B12135" s="8" t="str">
        <f>HYPERLINK("https://twitter.com/JyesthaPadival","@JyesthaPadival")</f>
        <v>@JyesthaPadival</v>
      </c>
      <c r="C12135" s="8" t="s">
        <v>1917</v>
      </c>
      <c r="D12135" s="8">
        <v>1116</v>
      </c>
      <c r="E12135" s="8">
        <v>0</v>
      </c>
      <c r="F12135" s="8">
        <v>122</v>
      </c>
    </row>
    <row r="12136" spans="1:6" ht="12.75">
      <c r="A12136" s="8">
        <v>43899.414571759262</v>
      </c>
      <c r="B12136" s="8" t="str">
        <f>HYPERLINK("https://twitter.com/elshintamedan","@elshintamedan")</f>
        <v>@elshintamedan</v>
      </c>
      <c r="C12136" s="8" t="s">
        <v>5006</v>
      </c>
      <c r="D12136" s="8">
        <v>0</v>
      </c>
      <c r="E12136" s="8">
        <v>0</v>
      </c>
      <c r="F12136" s="8">
        <v>1746</v>
      </c>
    </row>
    <row r="12137" spans="1:6" ht="12.75">
      <c r="A12137" s="8">
        <v>43899.414525462962</v>
      </c>
      <c r="B12137" s="8" t="str">
        <f>HYPERLINK("https://twitter.com/Yadi33653534","@Yadi33653534")</f>
        <v>@Yadi33653534</v>
      </c>
      <c r="C12137" s="8" t="s">
        <v>5007</v>
      </c>
      <c r="D12137" s="8">
        <v>2</v>
      </c>
      <c r="E12137" s="8">
        <v>0</v>
      </c>
      <c r="F12137" s="8">
        <v>616</v>
      </c>
    </row>
    <row r="12138" spans="1:6" ht="12.75">
      <c r="A12138" s="8">
        <v>43899.414490740739</v>
      </c>
      <c r="B12138" s="8" t="str">
        <f>HYPERLINK("https://twitter.com/Ilyas55120860","@Ilyas55120860")</f>
        <v>@Ilyas55120860</v>
      </c>
      <c r="C12138" s="8" t="s">
        <v>3265</v>
      </c>
      <c r="D12138" s="8">
        <v>520</v>
      </c>
      <c r="E12138" s="8">
        <v>0</v>
      </c>
      <c r="F12138" s="8">
        <v>120</v>
      </c>
    </row>
    <row r="12139" spans="1:6" ht="12.75">
      <c r="A12139" s="8">
        <v>43899.414259259254</v>
      </c>
      <c r="B12139" s="8" t="str">
        <f>HYPERLINK("https://twitter.com/Naoliviea","@Naoliviea")</f>
        <v>@Naoliviea</v>
      </c>
      <c r="C12139" s="8" t="s">
        <v>4651</v>
      </c>
      <c r="D12139" s="8">
        <v>38</v>
      </c>
      <c r="E12139" s="8">
        <v>0</v>
      </c>
      <c r="F12139" s="8">
        <v>3130</v>
      </c>
    </row>
    <row r="12140" spans="1:6" ht="12.75">
      <c r="A12140" s="8">
        <v>43899.414166666669</v>
      </c>
      <c r="B12140" s="8" t="str">
        <f>HYPERLINK("https://twitter.com/Antara_Jabar","@Antara_Jabar")</f>
        <v>@Antara_Jabar</v>
      </c>
      <c r="C12140" s="8" t="s">
        <v>5008</v>
      </c>
      <c r="D12140" s="8">
        <v>0</v>
      </c>
      <c r="E12140" s="8">
        <v>0</v>
      </c>
      <c r="F12140" s="8">
        <v>1667</v>
      </c>
    </row>
    <row r="12141" spans="1:6" ht="12.75">
      <c r="A12141" s="8">
        <v>43899.413912037038</v>
      </c>
      <c r="B12141" s="8" t="str">
        <f>HYPERLINK("https://twitter.com/katakinidotcom","@katakinidotcom")</f>
        <v>@katakinidotcom</v>
      </c>
      <c r="C12141" s="8" t="s">
        <v>5009</v>
      </c>
      <c r="D12141" s="8">
        <v>0</v>
      </c>
      <c r="E12141" s="8">
        <v>0</v>
      </c>
      <c r="F12141" s="8">
        <v>572</v>
      </c>
    </row>
    <row r="12142" spans="1:6" ht="12.75">
      <c r="A12142" s="8">
        <v>43899.4137962963</v>
      </c>
      <c r="B12142" s="8" t="str">
        <f>HYPERLINK("https://twitter.com/drresh","@drresh")</f>
        <v>@drresh</v>
      </c>
      <c r="C12142" s="8" t="s">
        <v>1917</v>
      </c>
      <c r="D12142" s="8">
        <v>1116</v>
      </c>
      <c r="E12142" s="8">
        <v>0</v>
      </c>
      <c r="F12142" s="8">
        <v>186</v>
      </c>
    </row>
    <row r="12143" spans="1:6" ht="12.75">
      <c r="A12143" s="8">
        <v>43899.413773148146</v>
      </c>
      <c r="B12143" s="8" t="str">
        <f>HYPERLINK("https://twitter.com/kapildsharma","@kapildsharma")</f>
        <v>@kapildsharma</v>
      </c>
      <c r="C12143" s="8" t="s">
        <v>1917</v>
      </c>
      <c r="D12143" s="8">
        <v>1116</v>
      </c>
      <c r="E12143" s="8">
        <v>0</v>
      </c>
      <c r="F12143" s="8">
        <v>707</v>
      </c>
    </row>
    <row r="12144" spans="1:6" ht="12.75">
      <c r="A12144" s="8">
        <v>43899.413668981477</v>
      </c>
      <c r="B12144" s="8" t="str">
        <f>HYPERLINK("https://twitter.com/PUSPENDUPAUL8","@PUSPENDUPAUL8")</f>
        <v>@PUSPENDUPAUL8</v>
      </c>
      <c r="C12144" s="8" t="s">
        <v>1917</v>
      </c>
      <c r="D12144" s="8">
        <v>1116</v>
      </c>
      <c r="E12144" s="8">
        <v>0</v>
      </c>
      <c r="F12144" s="8">
        <v>219</v>
      </c>
    </row>
    <row r="12145" spans="1:6" ht="12.75">
      <c r="A12145" s="8">
        <v>43899.412789351853</v>
      </c>
      <c r="B12145" s="8" t="str">
        <f>HYPERLINK("https://twitter.com/ramayanads","@ramayanads")</f>
        <v>@ramayanads</v>
      </c>
      <c r="C12145" s="8" t="s">
        <v>5010</v>
      </c>
      <c r="D12145" s="8">
        <v>0</v>
      </c>
      <c r="E12145" s="8">
        <v>0</v>
      </c>
      <c r="F12145" s="8">
        <v>16188</v>
      </c>
    </row>
    <row r="12146" spans="1:6" ht="12.75">
      <c r="A12146" s="8">
        <v>43899.412557870368</v>
      </c>
      <c r="B12146" s="8" t="str">
        <f>HYPERLINK("https://twitter.com/__SisiLusipara","@__SisiLusipara")</f>
        <v>@__SisiLusipara</v>
      </c>
      <c r="C12146" s="8" t="s">
        <v>3126</v>
      </c>
      <c r="D12146" s="8">
        <v>87</v>
      </c>
      <c r="E12146" s="8">
        <v>0</v>
      </c>
      <c r="F12146" s="8">
        <v>4595</v>
      </c>
    </row>
    <row r="12147" spans="1:6" ht="12.75">
      <c r="A12147" s="8">
        <v>43899.411863425921</v>
      </c>
      <c r="B12147" s="8" t="str">
        <f>HYPERLINK("https://twitter.com/mayanchocolate0","@mayanchocolate0")</f>
        <v>@mayanchocolate0</v>
      </c>
      <c r="C12147" s="8" t="s">
        <v>1917</v>
      </c>
      <c r="D12147" s="8">
        <v>1116</v>
      </c>
      <c r="E12147" s="8">
        <v>0</v>
      </c>
      <c r="F12147" s="8">
        <v>632</v>
      </c>
    </row>
    <row r="12148" spans="1:6" ht="12.75">
      <c r="A12148" s="8">
        <v>43899.411608796298</v>
      </c>
      <c r="B12148" s="8" t="str">
        <f>HYPERLINK("https://twitter.com/akunNOVA02","@akunNOVA02")</f>
        <v>@akunNOVA02</v>
      </c>
      <c r="C12148" s="8" t="s">
        <v>4872</v>
      </c>
      <c r="D12148" s="8">
        <v>3</v>
      </c>
      <c r="E12148" s="8">
        <v>0</v>
      </c>
      <c r="F12148" s="8">
        <v>0</v>
      </c>
    </row>
    <row r="12149" spans="1:6" ht="12.75">
      <c r="A12149" s="8">
        <v>43899.411087962959</v>
      </c>
      <c r="B12149" s="8" t="str">
        <f>HYPERLINK("https://twitter.com/AadiNishant","@AadiNishant")</f>
        <v>@AadiNishant</v>
      </c>
      <c r="C12149" s="8" t="s">
        <v>1917</v>
      </c>
      <c r="D12149" s="8">
        <v>1116</v>
      </c>
      <c r="E12149" s="8">
        <v>0</v>
      </c>
      <c r="F12149" s="8">
        <v>2015</v>
      </c>
    </row>
    <row r="12150" spans="1:6" ht="12.75">
      <c r="A12150" s="8">
        <v>43899.410902777774</v>
      </c>
      <c r="B12150" s="8" t="str">
        <f>HYPERLINK("https://twitter.com/Jaysyku","@Jaysyku")</f>
        <v>@Jaysyku</v>
      </c>
      <c r="C12150" s="8" t="s">
        <v>5011</v>
      </c>
      <c r="D12150" s="8">
        <v>6</v>
      </c>
      <c r="E12150" s="8">
        <v>0</v>
      </c>
      <c r="F12150" s="8">
        <v>254</v>
      </c>
    </row>
    <row r="12151" spans="1:6" ht="12.75">
      <c r="A12151" s="8">
        <v>43899.41070601852</v>
      </c>
      <c r="B12151" s="8" t="str">
        <f>HYPERLINK("https://twitter.com/1frm90Migration","@1frm90Migration")</f>
        <v>@1frm90Migration</v>
      </c>
      <c r="C12151" s="8" t="s">
        <v>1917</v>
      </c>
      <c r="D12151" s="8">
        <v>1116</v>
      </c>
      <c r="E12151" s="8">
        <v>0</v>
      </c>
      <c r="F12151" s="8">
        <v>243</v>
      </c>
    </row>
    <row r="12152" spans="1:6" ht="12.75">
      <c r="A12152" s="8">
        <v>43899.410671296297</v>
      </c>
      <c r="B12152" s="8" t="str">
        <f>HYPERLINK("https://twitter.com/okezonenews","@okezonenews")</f>
        <v>@okezonenews</v>
      </c>
      <c r="C12152" s="8" t="s">
        <v>5012</v>
      </c>
      <c r="D12152" s="8">
        <v>0</v>
      </c>
      <c r="E12152" s="8">
        <v>1</v>
      </c>
      <c r="F12152" s="8">
        <v>1743967</v>
      </c>
    </row>
    <row r="12153" spans="1:6" ht="12.75">
      <c r="A12153" s="8">
        <v>43899.410462962958</v>
      </c>
      <c r="B12153" s="8" t="str">
        <f>HYPERLINK("https://twitter.com/_Vairply","@_Vairply")</f>
        <v>@_Vairply</v>
      </c>
      <c r="C12153" s="8" t="s">
        <v>4651</v>
      </c>
      <c r="D12153" s="8">
        <v>38</v>
      </c>
      <c r="E12153" s="8">
        <v>0</v>
      </c>
      <c r="F12153" s="8">
        <v>7144</v>
      </c>
    </row>
    <row r="12154" spans="1:6" ht="12.75">
      <c r="A12154" s="8">
        <v>43899.409918981481</v>
      </c>
      <c r="B12154" s="8" t="str">
        <f>HYPERLINK("https://twitter.com/monikaboedianto","@monikaboedianto")</f>
        <v>@monikaboedianto</v>
      </c>
      <c r="C12154" s="8" t="s">
        <v>3262</v>
      </c>
      <c r="D12154" s="8">
        <v>81</v>
      </c>
      <c r="E12154" s="8">
        <v>0</v>
      </c>
      <c r="F12154" s="8">
        <v>124</v>
      </c>
    </row>
    <row r="12155" spans="1:6" ht="12.75">
      <c r="A12155" s="8">
        <v>43899.409652777773</v>
      </c>
      <c r="B12155" s="8" t="str">
        <f>HYPERLINK("https://twitter.com/ade_kost","@ade_kost")</f>
        <v>@ade_kost</v>
      </c>
      <c r="C12155" s="8" t="s">
        <v>5013</v>
      </c>
      <c r="D12155" s="8">
        <v>5</v>
      </c>
      <c r="E12155" s="8">
        <v>0</v>
      </c>
      <c r="F12155" s="8">
        <v>34</v>
      </c>
    </row>
    <row r="12156" spans="1:6" ht="12.75">
      <c r="A12156" s="8">
        <v>43899.409594907411</v>
      </c>
      <c r="B12156" s="8" t="str">
        <f>HYPERLINK("https://twitter.com/pityelf","@pityelf")</f>
        <v>@pityelf</v>
      </c>
      <c r="C12156" s="8" t="s">
        <v>4801</v>
      </c>
      <c r="D12156" s="8">
        <v>134</v>
      </c>
      <c r="E12156" s="8">
        <v>0</v>
      </c>
      <c r="F12156" s="8">
        <v>180</v>
      </c>
    </row>
    <row r="12157" spans="1:6" ht="12.75">
      <c r="A12157" s="8">
        <v>43899.408726851849</v>
      </c>
      <c r="B12157" s="8" t="str">
        <f>HYPERLINK("https://twitter.com/bud1_f1","@bud1_f1")</f>
        <v>@bud1_f1</v>
      </c>
      <c r="C12157" s="8" t="s">
        <v>3262</v>
      </c>
      <c r="D12157" s="8">
        <v>81</v>
      </c>
      <c r="E12157" s="8">
        <v>0</v>
      </c>
      <c r="F12157" s="8">
        <v>1768</v>
      </c>
    </row>
    <row r="12158" spans="1:6" ht="12.75">
      <c r="A12158" s="8">
        <v>43899.40834490741</v>
      </c>
      <c r="B12158" s="8" t="str">
        <f>HYPERLINK("https://twitter.com/Bisniscom","@Bisniscom")</f>
        <v>@Bisniscom</v>
      </c>
      <c r="C12158" s="8" t="s">
        <v>5014</v>
      </c>
      <c r="D12158" s="8">
        <v>0</v>
      </c>
      <c r="E12158" s="8">
        <v>0</v>
      </c>
      <c r="F12158" s="8">
        <v>994298</v>
      </c>
    </row>
    <row r="12159" spans="1:6" ht="12.75">
      <c r="A12159" s="8">
        <v>43899.40834490741</v>
      </c>
      <c r="B12159" s="8" t="str">
        <f>HYPERLINK("https://twitter.com/bisnisindgroup","@bisnisindgroup")</f>
        <v>@bisnisindgroup</v>
      </c>
      <c r="C12159" s="8" t="s">
        <v>5014</v>
      </c>
      <c r="D12159" s="8">
        <v>0</v>
      </c>
      <c r="E12159" s="8">
        <v>0</v>
      </c>
      <c r="F12159" s="8">
        <v>7396</v>
      </c>
    </row>
    <row r="12160" spans="1:6" ht="12.75">
      <c r="A12160" s="8">
        <v>43899.408275462964</v>
      </c>
      <c r="B12160" s="8" t="str">
        <f>HYPERLINK("https://twitter.com/su7loo","@su7loo")</f>
        <v>@su7loo</v>
      </c>
      <c r="C12160" s="8" t="s">
        <v>299</v>
      </c>
      <c r="D12160" s="8">
        <v>4748</v>
      </c>
      <c r="E12160" s="8">
        <v>0</v>
      </c>
      <c r="F12160" s="8">
        <v>1219</v>
      </c>
    </row>
    <row r="12161" spans="1:6" ht="12.75">
      <c r="A12161" s="8">
        <v>43899.408159722225</v>
      </c>
      <c r="B12161" s="8" t="str">
        <f>HYPERLINK("https://twitter.com/iAsAnIndian","@iAsAnIndian")</f>
        <v>@iAsAnIndian</v>
      </c>
      <c r="C12161" s="8" t="s">
        <v>1917</v>
      </c>
      <c r="D12161" s="8">
        <v>1116</v>
      </c>
      <c r="E12161" s="8">
        <v>0</v>
      </c>
      <c r="F12161" s="8">
        <v>75</v>
      </c>
    </row>
    <row r="12162" spans="1:6" ht="12.75">
      <c r="A12162" s="8">
        <v>43899.407800925925</v>
      </c>
      <c r="B12162" s="8" t="str">
        <f>HYPERLINK("https://twitter.com/EchAryanti","@EchAryanti")</f>
        <v>@EchAryanti</v>
      </c>
      <c r="C12162" s="8" t="s">
        <v>5015</v>
      </c>
      <c r="D12162" s="8">
        <v>0</v>
      </c>
      <c r="E12162" s="8">
        <v>1</v>
      </c>
      <c r="F12162" s="8">
        <v>760</v>
      </c>
    </row>
    <row r="12163" spans="1:6" ht="12.75">
      <c r="A12163" s="8">
        <v>43899.407523148147</v>
      </c>
      <c r="B12163" s="8" t="str">
        <f>HYPERLINK("https://twitter.com/RuliCalista","@RuliCalista")</f>
        <v>@RuliCalista</v>
      </c>
      <c r="C12163" s="8" t="s">
        <v>5016</v>
      </c>
      <c r="D12163" s="8">
        <v>3</v>
      </c>
      <c r="E12163" s="8">
        <v>0</v>
      </c>
      <c r="F12163" s="8">
        <v>351</v>
      </c>
    </row>
    <row r="12164" spans="1:6" ht="12.75">
      <c r="A12164" s="8">
        <v>43899.407395833332</v>
      </c>
      <c r="B12164" s="8" t="str">
        <f>HYPERLINK("https://twitter.com/MinerwaU","@MinerwaU")</f>
        <v>@MinerwaU</v>
      </c>
      <c r="C12164" s="8" t="s">
        <v>1917</v>
      </c>
      <c r="D12164" s="8">
        <v>1116</v>
      </c>
      <c r="E12164" s="8">
        <v>0</v>
      </c>
      <c r="F12164" s="8">
        <v>563</v>
      </c>
    </row>
    <row r="12165" spans="1:6" ht="12.75">
      <c r="A12165" s="8">
        <v>43899.40730324074</v>
      </c>
      <c r="B12165" s="8" t="str">
        <f>HYPERLINK("https://twitter.com/gilang_coffee","@gilang_coffee")</f>
        <v>@gilang_coffee</v>
      </c>
      <c r="C12165" s="8" t="s">
        <v>4651</v>
      </c>
      <c r="D12165" s="8">
        <v>38</v>
      </c>
      <c r="E12165" s="8">
        <v>0</v>
      </c>
      <c r="F12165" s="8">
        <v>7119</v>
      </c>
    </row>
    <row r="12166" spans="1:6" ht="12.75">
      <c r="A12166" s="8">
        <v>43899.406921296293</v>
      </c>
      <c r="B12166" s="8" t="str">
        <f>HYPERLINK("https://twitter.com/rushtotp","@rushtotp")</f>
        <v>@rushtotp</v>
      </c>
      <c r="C12166" s="8" t="s">
        <v>1917</v>
      </c>
      <c r="D12166" s="8">
        <v>1116</v>
      </c>
      <c r="E12166" s="8">
        <v>0</v>
      </c>
      <c r="F12166" s="8">
        <v>191</v>
      </c>
    </row>
    <row r="12167" spans="1:6" ht="12.75">
      <c r="A12167" s="8">
        <v>43899.406863425931</v>
      </c>
      <c r="B12167" s="8" t="str">
        <f>HYPERLINK("https://twitter.com/anshunagdev","@anshunagdev")</f>
        <v>@anshunagdev</v>
      </c>
      <c r="C12167" s="8" t="s">
        <v>1917</v>
      </c>
      <c r="D12167" s="8">
        <v>1116</v>
      </c>
      <c r="E12167" s="8">
        <v>0</v>
      </c>
      <c r="F12167" s="8">
        <v>85</v>
      </c>
    </row>
    <row r="12168" spans="1:6" ht="12.75">
      <c r="A12168" s="8">
        <v>43899.406863425931</v>
      </c>
      <c r="B12168" s="8" t="str">
        <f>HYPERLINK("https://twitter.com/Realitarakyat01","@Realitarakyat01")</f>
        <v>@Realitarakyat01</v>
      </c>
      <c r="C12168" s="8" t="s">
        <v>5017</v>
      </c>
      <c r="D12168" s="8">
        <v>0</v>
      </c>
      <c r="E12168" s="8">
        <v>0</v>
      </c>
      <c r="F12168" s="8">
        <v>128</v>
      </c>
    </row>
    <row r="12169" spans="1:6" ht="12.75">
      <c r="A12169" s="8">
        <v>43899.406701388885</v>
      </c>
      <c r="B12169" s="8" t="str">
        <f>HYPERLINK("https://twitter.com/HVSharath","@HVSharath")</f>
        <v>@HVSharath</v>
      </c>
      <c r="C12169" s="8" t="s">
        <v>1917</v>
      </c>
      <c r="D12169" s="8">
        <v>1116</v>
      </c>
      <c r="E12169" s="8">
        <v>0</v>
      </c>
      <c r="F12169" s="8">
        <v>123</v>
      </c>
    </row>
    <row r="12170" spans="1:6" ht="12.75">
      <c r="A12170" s="8">
        <v>43899.40662037037</v>
      </c>
      <c r="B12170" s="8" t="str">
        <f>HYPERLINK("https://twitter.com/KJRIJeddah","@KJRIJeddah")</f>
        <v>@KJRIJeddah</v>
      </c>
      <c r="C12170" s="8" t="s">
        <v>5018</v>
      </c>
      <c r="D12170" s="8">
        <v>0</v>
      </c>
      <c r="E12170" s="8">
        <v>1</v>
      </c>
      <c r="F12170" s="8">
        <v>2360</v>
      </c>
    </row>
    <row r="12171" spans="1:6" ht="12.75">
      <c r="A12171" s="8">
        <v>43899.40662037037</v>
      </c>
      <c r="B12171" s="8" t="str">
        <f>HYPERLINK("https://twitter.com/fyalifya","@fyalifya")</f>
        <v>@fyalifya</v>
      </c>
      <c r="C12171" s="8" t="s">
        <v>3262</v>
      </c>
      <c r="D12171" s="8">
        <v>81</v>
      </c>
      <c r="E12171" s="8">
        <v>0</v>
      </c>
      <c r="F12171" s="8">
        <v>648</v>
      </c>
    </row>
    <row r="12172" spans="1:6" ht="12.75">
      <c r="A12172" s="8">
        <v>43899.406284722223</v>
      </c>
      <c r="B12172" s="8" t="str">
        <f>HYPERLINK("https://twitter.com/KontanNews","@KontanNews")</f>
        <v>@KontanNews</v>
      </c>
      <c r="C12172" s="8" t="s">
        <v>5019</v>
      </c>
      <c r="D12172" s="8">
        <v>2</v>
      </c>
      <c r="E12172" s="8">
        <v>3</v>
      </c>
      <c r="F12172" s="8">
        <v>318402</v>
      </c>
    </row>
    <row r="12173" spans="1:6" ht="12.75">
      <c r="A12173" s="8">
        <v>43899.406284722223</v>
      </c>
      <c r="B12173" s="8" t="str">
        <f>HYPERLINK("https://twitter.com/MNCNewsroom","@MNCNewsroom")</f>
        <v>@MNCNewsroom</v>
      </c>
      <c r="C12173" s="8" t="s">
        <v>5020</v>
      </c>
      <c r="D12173" s="8">
        <v>0</v>
      </c>
      <c r="E12173" s="8">
        <v>1</v>
      </c>
      <c r="F12173" s="8">
        <v>17589</v>
      </c>
    </row>
    <row r="12174" spans="1:6" ht="12.75">
      <c r="A12174" s="8">
        <v>43899.405775462961</v>
      </c>
      <c r="B12174" s="8" t="str">
        <f>HYPERLINK("https://twitter.com/anak_rao","@anak_rao")</f>
        <v>@anak_rao</v>
      </c>
      <c r="C12174" s="8" t="s">
        <v>3126</v>
      </c>
      <c r="D12174" s="8">
        <v>87</v>
      </c>
      <c r="E12174" s="8">
        <v>0</v>
      </c>
      <c r="F12174" s="8">
        <v>297</v>
      </c>
    </row>
    <row r="12175" spans="1:6" ht="12.75">
      <c r="A12175" s="8">
        <v>43899.405706018515</v>
      </c>
      <c r="B12175" s="8" t="str">
        <f>HYPERLINK("https://twitter.com/gendro_kesesi","@gendro_kesesi")</f>
        <v>@gendro_kesesi</v>
      </c>
      <c r="C12175" s="8" t="s">
        <v>4927</v>
      </c>
      <c r="D12175" s="8">
        <v>63</v>
      </c>
      <c r="E12175" s="8">
        <v>0</v>
      </c>
      <c r="F12175" s="8">
        <v>972</v>
      </c>
    </row>
    <row r="12176" spans="1:6" ht="12.75">
      <c r="A12176" s="8">
        <v>43899.405601851853</v>
      </c>
      <c r="B12176" s="8" t="str">
        <f>HYPERLINK("https://twitter.com/jurnascom","@jurnascom")</f>
        <v>@jurnascom</v>
      </c>
      <c r="C12176" s="8" t="s">
        <v>5021</v>
      </c>
      <c r="D12176" s="8">
        <v>0</v>
      </c>
      <c r="E12176" s="8">
        <v>0</v>
      </c>
      <c r="F12176" s="8">
        <v>24369</v>
      </c>
    </row>
    <row r="12177" spans="1:6" ht="12.75">
      <c r="A12177" s="8">
        <v>43899.405451388884</v>
      </c>
      <c r="B12177" s="8" t="str">
        <f>HYPERLINK("https://twitter.com/CNNIDdaily","@CNNIDdaily")</f>
        <v>@CNNIDdaily</v>
      </c>
      <c r="C12177" s="8" t="s">
        <v>5022</v>
      </c>
      <c r="D12177" s="8">
        <v>3</v>
      </c>
      <c r="E12177" s="8">
        <v>2</v>
      </c>
      <c r="F12177" s="8">
        <v>122659</v>
      </c>
    </row>
    <row r="12178" spans="1:6" ht="12.75">
      <c r="A12178" s="8">
        <v>43899.405057870375</v>
      </c>
      <c r="B12178" s="8" t="str">
        <f>HYPERLINK("https://twitter.com/moamerasumitro","@moamerasumitro")</f>
        <v>@moamerasumitro</v>
      </c>
      <c r="C12178" s="8" t="s">
        <v>5016</v>
      </c>
      <c r="D12178" s="8">
        <v>3</v>
      </c>
      <c r="E12178" s="8">
        <v>0</v>
      </c>
      <c r="F12178" s="8">
        <v>43</v>
      </c>
    </row>
    <row r="12179" spans="1:6" ht="12.75">
      <c r="A12179" s="8">
        <v>43899.404942129629</v>
      </c>
      <c r="B12179" s="8" t="str">
        <f>HYPERLINK("https://twitter.com/Ihwanghazali","@Ihwanghazali")</f>
        <v>@Ihwanghazali</v>
      </c>
      <c r="C12179" s="8" t="s">
        <v>5023</v>
      </c>
      <c r="D12179" s="8">
        <v>0</v>
      </c>
      <c r="E12179" s="8">
        <v>0</v>
      </c>
      <c r="F12179" s="8">
        <v>10</v>
      </c>
    </row>
    <row r="12180" spans="1:6" ht="12.75">
      <c r="A12180" s="8">
        <v>43899.404699074075</v>
      </c>
      <c r="B12180" s="8" t="str">
        <f>HYPERLINK("https://twitter.com/fans_ayanami","@fans_ayanami")</f>
        <v>@fans_ayanami</v>
      </c>
      <c r="C12180" s="8" t="s">
        <v>4927</v>
      </c>
      <c r="D12180" s="8">
        <v>63</v>
      </c>
      <c r="E12180" s="8">
        <v>0</v>
      </c>
      <c r="F12180" s="8">
        <v>461</v>
      </c>
    </row>
    <row r="12181" spans="1:6" ht="12.75">
      <c r="A12181" s="8">
        <v>43899.404363425929</v>
      </c>
      <c r="B12181" s="8" t="str">
        <f>HYPERLINK("https://twitter.com/King_El_Montes","@King_El_Montes")</f>
        <v>@King_El_Montes</v>
      </c>
      <c r="C12181" s="8" t="s">
        <v>3126</v>
      </c>
      <c r="D12181" s="8">
        <v>87</v>
      </c>
      <c r="E12181" s="8">
        <v>0</v>
      </c>
      <c r="F12181" s="8">
        <v>124</v>
      </c>
    </row>
    <row r="12182" spans="1:6" ht="12.75">
      <c r="A12182" s="8">
        <v>43899.404212962967</v>
      </c>
      <c r="B12182" s="8" t="str">
        <f>HYPERLINK("https://twitter.com/drprashyvashy1","@drprashyvashy1")</f>
        <v>@drprashyvashy1</v>
      </c>
      <c r="C12182" s="8" t="s">
        <v>1917</v>
      </c>
      <c r="D12182" s="8">
        <v>1116</v>
      </c>
      <c r="E12182" s="8">
        <v>0</v>
      </c>
      <c r="F12182" s="8">
        <v>101</v>
      </c>
    </row>
    <row r="12183" spans="1:6" ht="12.75">
      <c r="A12183" s="8">
        <v>43899.404189814813</v>
      </c>
      <c r="B12183" s="8" t="str">
        <f>HYPERLINK("https://twitter.com/beingsumitsngh","@beingsumitsngh")</f>
        <v>@beingsumitsngh</v>
      </c>
      <c r="C12183" s="8" t="s">
        <v>1917</v>
      </c>
      <c r="D12183" s="8">
        <v>1116</v>
      </c>
      <c r="E12183" s="8">
        <v>0</v>
      </c>
      <c r="F12183" s="8">
        <v>148</v>
      </c>
    </row>
    <row r="12184" spans="1:6" ht="12.75">
      <c r="A12184" s="8">
        <v>43899.40388888889</v>
      </c>
      <c r="B12184" s="8" t="str">
        <f>HYPERLINK("https://twitter.com/AashishMisra","@AashishMisra")</f>
        <v>@AashishMisra</v>
      </c>
      <c r="C12184" s="8" t="s">
        <v>1917</v>
      </c>
      <c r="D12184" s="8">
        <v>1116</v>
      </c>
      <c r="E12184" s="8">
        <v>0</v>
      </c>
      <c r="F12184" s="8">
        <v>349</v>
      </c>
    </row>
    <row r="12185" spans="1:6" ht="12.75">
      <c r="A12185" s="8">
        <v>43899.403483796297</v>
      </c>
      <c r="B12185" s="8" t="str">
        <f>HYPERLINK("https://twitter.com/ObaiIdon","@ObaiIdon")</f>
        <v>@ObaiIdon</v>
      </c>
      <c r="C12185" s="8" t="s">
        <v>3262</v>
      </c>
      <c r="D12185" s="8">
        <v>81</v>
      </c>
      <c r="E12185" s="8">
        <v>0</v>
      </c>
      <c r="F12185" s="8">
        <v>188</v>
      </c>
    </row>
    <row r="12186" spans="1:6" ht="12.75">
      <c r="A12186" s="8">
        <v>43899.403078703705</v>
      </c>
      <c r="B12186" s="8" t="str">
        <f>HYPERLINK("https://twitter.com/panjimao","@panjimao")</f>
        <v>@panjimao</v>
      </c>
      <c r="C12186" s="8" t="s">
        <v>4795</v>
      </c>
      <c r="D12186" s="8">
        <v>30</v>
      </c>
      <c r="E12186" s="8">
        <v>0</v>
      </c>
      <c r="F12186" s="8">
        <v>394</v>
      </c>
    </row>
    <row r="12187" spans="1:6" ht="12.75">
      <c r="A12187" s="8">
        <v>43899.402685185181</v>
      </c>
      <c r="B12187" s="8" t="str">
        <f>HYPERLINK("https://twitter.com/BusranMekar","@BusranMekar")</f>
        <v>@BusranMekar</v>
      </c>
      <c r="C12187" s="8" t="s">
        <v>5024</v>
      </c>
      <c r="D12187" s="8">
        <v>0</v>
      </c>
      <c r="E12187" s="8">
        <v>0</v>
      </c>
      <c r="F12187" s="8">
        <v>2226</v>
      </c>
    </row>
    <row r="12188" spans="1:6" ht="12.75">
      <c r="A12188" s="8">
        <v>43899.402280092589</v>
      </c>
      <c r="B12188" s="8" t="str">
        <f>HYPERLINK("https://twitter.com/shenoy_hemanth","@shenoy_hemanth")</f>
        <v>@shenoy_hemanth</v>
      </c>
      <c r="C12188" s="8" t="s">
        <v>1917</v>
      </c>
      <c r="D12188" s="8">
        <v>1116</v>
      </c>
      <c r="E12188" s="8">
        <v>0</v>
      </c>
      <c r="F12188" s="8">
        <v>175</v>
      </c>
    </row>
    <row r="12189" spans="1:6" ht="12.75">
      <c r="A12189" s="8">
        <v>43899.401458333334</v>
      </c>
      <c r="B12189" s="8" t="str">
        <f>HYPERLINK("https://twitter.com/turdcleaner","@turdcleaner")</f>
        <v>@turdcleaner</v>
      </c>
      <c r="C12189" s="8" t="s">
        <v>1917</v>
      </c>
      <c r="D12189" s="8">
        <v>1116</v>
      </c>
      <c r="E12189" s="8">
        <v>0</v>
      </c>
      <c r="F12189" s="8">
        <v>226</v>
      </c>
    </row>
    <row r="12190" spans="1:6" ht="12.75">
      <c r="A12190" s="8">
        <v>43899.40121527778</v>
      </c>
      <c r="B12190" s="8" t="str">
        <f>HYPERLINK("https://twitter.com/YLestperinggo","@YLestperinggo")</f>
        <v>@YLestperinggo</v>
      </c>
      <c r="C12190" s="8" t="s">
        <v>4826</v>
      </c>
      <c r="D12190" s="8">
        <v>1</v>
      </c>
      <c r="E12190" s="8">
        <v>0</v>
      </c>
      <c r="F12190" s="8">
        <v>500</v>
      </c>
    </row>
    <row r="12191" spans="1:6" ht="12.75">
      <c r="A12191" s="8">
        <v>43899.401180555556</v>
      </c>
      <c r="B12191" s="8" t="str">
        <f>HYPERLINK("https://twitter.com/noteiqbal","@noteiqbal")</f>
        <v>@noteiqbal</v>
      </c>
      <c r="C12191" s="8" t="s">
        <v>3126</v>
      </c>
      <c r="D12191" s="8">
        <v>87</v>
      </c>
      <c r="E12191" s="8">
        <v>0</v>
      </c>
      <c r="F12191" s="8">
        <v>4531</v>
      </c>
    </row>
    <row r="12192" spans="1:6" ht="12.75">
      <c r="A12192" s="8">
        <v>43899.401076388887</v>
      </c>
      <c r="B12192" s="8" t="str">
        <f>HYPERLINK("https://twitter.com/Baktinegeri01","@Baktinegeri01")</f>
        <v>@Baktinegeri01</v>
      </c>
      <c r="C12192" s="8" t="s">
        <v>3262</v>
      </c>
      <c r="D12192" s="8">
        <v>81</v>
      </c>
      <c r="E12192" s="8">
        <v>0</v>
      </c>
      <c r="F12192" s="8">
        <v>844</v>
      </c>
    </row>
    <row r="12193" spans="1:6" ht="12.75">
      <c r="A12193" s="8">
        <v>43899.400347222225</v>
      </c>
      <c r="B12193" s="8" t="str">
        <f>HYPERLINK("https://twitter.com/kbri_tashkent","@kbri_tashkent")</f>
        <v>@kbri_tashkent</v>
      </c>
      <c r="C12193" s="8" t="s">
        <v>1397</v>
      </c>
      <c r="D12193" s="8">
        <v>15</v>
      </c>
      <c r="E12193" s="8">
        <v>0</v>
      </c>
      <c r="F12193" s="8">
        <v>387</v>
      </c>
    </row>
    <row r="12194" spans="1:6" ht="12.75">
      <c r="A12194" s="8">
        <v>43899.381284722222</v>
      </c>
      <c r="B12194" s="8" t="str">
        <f>HYPERLINK("https://twitter.com/RsRs26767107","@RsRs26767107")</f>
        <v>@RsRs26767107</v>
      </c>
      <c r="C12194" s="8" t="s">
        <v>5025</v>
      </c>
      <c r="D12194" s="8">
        <v>5</v>
      </c>
      <c r="E12194" s="8">
        <v>0</v>
      </c>
      <c r="F12194" s="8">
        <v>28</v>
      </c>
    </row>
    <row r="12195" spans="1:6" ht="12.75">
      <c r="A12195" s="8">
        <v>43899.381157407406</v>
      </c>
      <c r="B12195" s="8" t="str">
        <f>HYPERLINK("https://twitter.com/ZheeOmega","@ZheeOmega")</f>
        <v>@ZheeOmega</v>
      </c>
      <c r="C12195" s="8" t="s">
        <v>5026</v>
      </c>
      <c r="D12195" s="8">
        <v>1</v>
      </c>
      <c r="E12195" s="8">
        <v>0</v>
      </c>
      <c r="F12195" s="8">
        <v>17746</v>
      </c>
    </row>
    <row r="12196" spans="1:6" ht="12.75">
      <c r="A12196" s="8">
        <v>43899.38108796296</v>
      </c>
      <c r="B12196" s="8" t="str">
        <f>HYPERLINK("https://twitter.com/HDouboegiez","@HDouboegiez")</f>
        <v>@HDouboegiez</v>
      </c>
      <c r="C12196" s="8" t="s">
        <v>4651</v>
      </c>
      <c r="D12196" s="8">
        <v>26</v>
      </c>
      <c r="E12196" s="8">
        <v>0</v>
      </c>
      <c r="F12196" s="8">
        <v>6184</v>
      </c>
    </row>
    <row r="12197" spans="1:6" ht="12.75">
      <c r="A12197" s="8">
        <v>43899.381076388891</v>
      </c>
      <c r="B12197" s="8" t="str">
        <f>HYPERLINK("https://twitter.com/Ary_pakeY","@Ary_pakeY")</f>
        <v>@Ary_pakeY</v>
      </c>
      <c r="C12197" s="8" t="s">
        <v>4651</v>
      </c>
      <c r="D12197" s="8">
        <v>26</v>
      </c>
      <c r="E12197" s="8">
        <v>0</v>
      </c>
      <c r="F12197" s="8">
        <v>2441</v>
      </c>
    </row>
    <row r="12198" spans="1:6" ht="12.75">
      <c r="A12198" s="8">
        <v>43899.381053240737</v>
      </c>
      <c r="B12198" s="8" t="str">
        <f>HYPERLINK("https://twitter.com/monasammy","@monasammy")</f>
        <v>@monasammy</v>
      </c>
      <c r="C12198" s="8" t="s">
        <v>5027</v>
      </c>
      <c r="D12198" s="8">
        <v>0</v>
      </c>
      <c r="E12198" s="8">
        <v>0</v>
      </c>
      <c r="F12198" s="8">
        <v>26</v>
      </c>
    </row>
    <row r="12199" spans="1:6" ht="12.75">
      <c r="A12199" s="8">
        <v>43899.380844907406</v>
      </c>
      <c r="B12199" s="8" t="str">
        <f>HYPERLINK("https://twitter.com/CepoexR","@CepoexR")</f>
        <v>@CepoexR</v>
      </c>
      <c r="C12199" s="8" t="s">
        <v>4651</v>
      </c>
      <c r="D12199" s="8">
        <v>26</v>
      </c>
      <c r="E12199" s="8">
        <v>0</v>
      </c>
      <c r="F12199" s="8">
        <v>1551</v>
      </c>
    </row>
    <row r="12200" spans="1:6" ht="12.75">
      <c r="A12200" s="8">
        <v>43899.38071759259</v>
      </c>
      <c r="B12200" s="8" t="str">
        <f>HYPERLINK("https://twitter.com/5angkan","@5angkan")</f>
        <v>@5angkan</v>
      </c>
      <c r="C12200" s="8" t="s">
        <v>4449</v>
      </c>
      <c r="D12200" s="8">
        <v>2</v>
      </c>
      <c r="E12200" s="8">
        <v>0</v>
      </c>
      <c r="F12200" s="8">
        <v>146</v>
      </c>
    </row>
    <row r="12201" spans="1:6" ht="12.75">
      <c r="A12201" s="8">
        <v>43899.379872685182</v>
      </c>
      <c r="B12201" s="8" t="str">
        <f>HYPERLINK("https://twitter.com/FrankyTts","@FrankyTts")</f>
        <v>@FrankyTts</v>
      </c>
      <c r="C12201" s="8" t="s">
        <v>5028</v>
      </c>
      <c r="D12201" s="8">
        <v>0</v>
      </c>
      <c r="E12201" s="8">
        <v>0</v>
      </c>
      <c r="F12201" s="8">
        <v>19</v>
      </c>
    </row>
    <row r="12202" spans="1:6" ht="12.75">
      <c r="A12202" s="8">
        <v>43899.37981481482</v>
      </c>
      <c r="B12202" s="8" t="str">
        <f>HYPERLINK("https://twitter.com/didienAZHAR","@didienAZHAR")</f>
        <v>@didienAZHAR</v>
      </c>
      <c r="C12202" s="8" t="s">
        <v>5029</v>
      </c>
      <c r="D12202" s="8">
        <v>0</v>
      </c>
      <c r="E12202" s="8">
        <v>0</v>
      </c>
      <c r="F12202" s="8">
        <v>22628</v>
      </c>
    </row>
    <row r="12203" spans="1:6" ht="12.75">
      <c r="A12203" s="8">
        <v>43899.379664351851</v>
      </c>
      <c r="B12203" s="8" t="str">
        <f>HYPERLINK("https://twitter.com/FirstHamesh","@FirstHamesh")</f>
        <v>@FirstHamesh</v>
      </c>
      <c r="C12203" s="8" t="s">
        <v>1917</v>
      </c>
      <c r="D12203" s="8">
        <v>1040</v>
      </c>
      <c r="E12203" s="8">
        <v>0</v>
      </c>
      <c r="F12203" s="8">
        <v>13</v>
      </c>
    </row>
    <row r="12204" spans="1:6" ht="12.75">
      <c r="A12204" s="8">
        <v>43899.379212962958</v>
      </c>
      <c r="B12204" s="8" t="str">
        <f>HYPERLINK("https://twitter.com/IMulya77","@IMulya77")</f>
        <v>@IMulya77</v>
      </c>
      <c r="C12204" s="8" t="s">
        <v>5030</v>
      </c>
      <c r="D12204" s="8">
        <v>0</v>
      </c>
      <c r="E12204" s="8">
        <v>1</v>
      </c>
      <c r="F12204" s="8">
        <v>1017</v>
      </c>
    </row>
    <row r="12205" spans="1:6" ht="12.75">
      <c r="A12205" s="8">
        <v>43899.379178240742</v>
      </c>
      <c r="B12205" s="8" t="str">
        <f>HYPERLINK("https://twitter.com/MoTeeTee","@MoTeeTee")</f>
        <v>@MoTeeTee</v>
      </c>
      <c r="C12205" s="8" t="s">
        <v>1986</v>
      </c>
      <c r="D12205" s="8">
        <v>880</v>
      </c>
      <c r="E12205" s="8">
        <v>0</v>
      </c>
      <c r="F12205" s="8">
        <v>757</v>
      </c>
    </row>
    <row r="12206" spans="1:6" ht="12.75">
      <c r="A12206" s="8">
        <v>43899.378935185188</v>
      </c>
      <c r="B12206" s="8" t="str">
        <f>HYPERLINK("https://twitter.com/GAthreya","@GAthreya")</f>
        <v>@GAthreya</v>
      </c>
      <c r="C12206" s="8" t="s">
        <v>1917</v>
      </c>
      <c r="D12206" s="8">
        <v>1040</v>
      </c>
      <c r="E12206" s="8">
        <v>0</v>
      </c>
      <c r="F12206" s="8">
        <v>49</v>
      </c>
    </row>
    <row r="12207" spans="1:6" ht="12.75">
      <c r="A12207" s="8">
        <v>43899.378657407404</v>
      </c>
      <c r="B12207" s="8" t="str">
        <f>HYPERLINK("https://twitter.com/TeyengCekap","@TeyengCekap")</f>
        <v>@TeyengCekap</v>
      </c>
      <c r="C12207" s="8" t="s">
        <v>3262</v>
      </c>
      <c r="D12207" s="8">
        <v>64</v>
      </c>
      <c r="E12207" s="8">
        <v>0</v>
      </c>
      <c r="F12207" s="8">
        <v>5817</v>
      </c>
    </row>
    <row r="12208" spans="1:6" ht="12.75">
      <c r="A12208" s="8">
        <v>43899.378518518519</v>
      </c>
      <c r="B12208" s="8" t="str">
        <f>HYPERLINK("https://twitter.com/ArisKoerniawan3","@ArisKoerniawan3")</f>
        <v>@ArisKoerniawan3</v>
      </c>
      <c r="C12208" s="8" t="s">
        <v>3262</v>
      </c>
      <c r="D12208" s="8">
        <v>64</v>
      </c>
      <c r="E12208" s="8">
        <v>0</v>
      </c>
      <c r="F12208" s="8">
        <v>486</v>
      </c>
    </row>
    <row r="12209" spans="1:6" ht="12.75">
      <c r="A12209" s="8">
        <v>43899.378518518519</v>
      </c>
      <c r="B12209" s="8" t="str">
        <f>HYPERLINK("https://twitter.com/LautPaku","@LautPaku")</f>
        <v>@LautPaku</v>
      </c>
      <c r="C12209" s="8" t="s">
        <v>5031</v>
      </c>
      <c r="D12209" s="8">
        <v>0</v>
      </c>
      <c r="E12209" s="8">
        <v>1</v>
      </c>
      <c r="F12209" s="8">
        <v>34</v>
      </c>
    </row>
    <row r="12210" spans="1:6" ht="12.75">
      <c r="A12210" s="8">
        <v>43899.377372685187</v>
      </c>
      <c r="B12210" s="8" t="str">
        <f>HYPERLINK("https://twitter.com/Tandaseru_id","@Tandaseru_id")</f>
        <v>@Tandaseru_id</v>
      </c>
      <c r="C12210" s="8" t="s">
        <v>5032</v>
      </c>
      <c r="D12210" s="8">
        <v>0</v>
      </c>
      <c r="E12210" s="8">
        <v>0</v>
      </c>
      <c r="F12210" s="8">
        <v>536</v>
      </c>
    </row>
    <row r="12211" spans="1:6" ht="12.75">
      <c r="A12211" s="8">
        <v>43899.377210648148</v>
      </c>
      <c r="B12211" s="8" t="str">
        <f>HYPERLINK("https://twitter.com/siramrit","@siramrit")</f>
        <v>@siramrit</v>
      </c>
      <c r="C12211" s="8" t="s">
        <v>1917</v>
      </c>
      <c r="D12211" s="8">
        <v>1040</v>
      </c>
      <c r="E12211" s="8">
        <v>0</v>
      </c>
      <c r="F12211" s="8">
        <v>281</v>
      </c>
    </row>
    <row r="12212" spans="1:6" ht="12.75">
      <c r="A12212" s="8">
        <v>43899.377164351856</v>
      </c>
      <c r="B12212" s="8" t="str">
        <f>HYPERLINK("https://twitter.com/Katrina__SO9","@Katrina__SO9")</f>
        <v>@Katrina__SO9</v>
      </c>
      <c r="C12212" s="8" t="s">
        <v>4651</v>
      </c>
      <c r="D12212" s="8">
        <v>26</v>
      </c>
      <c r="E12212" s="8">
        <v>0</v>
      </c>
      <c r="F12212" s="8">
        <v>3483</v>
      </c>
    </row>
    <row r="12213" spans="1:6" ht="12.75">
      <c r="A12213" s="8">
        <v>43899.376967592594</v>
      </c>
      <c r="B12213" s="8" t="str">
        <f>HYPERLINK("https://twitter.com/amGourav","@amGourav")</f>
        <v>@amGourav</v>
      </c>
      <c r="C12213" s="8" t="s">
        <v>1917</v>
      </c>
      <c r="D12213" s="8">
        <v>1040</v>
      </c>
      <c r="E12213" s="8">
        <v>0</v>
      </c>
      <c r="F12213" s="8">
        <v>623</v>
      </c>
    </row>
    <row r="12214" spans="1:6" ht="12.75">
      <c r="A12214" s="8">
        <v>43899.376944444448</v>
      </c>
      <c r="B12214" s="8" t="str">
        <f>HYPERLINK("https://twitter.com/Heine_Nababan","@Heine_Nababan")</f>
        <v>@Heine_Nababan</v>
      </c>
      <c r="C12214" s="8" t="s">
        <v>5033</v>
      </c>
      <c r="D12214" s="8">
        <v>2</v>
      </c>
      <c r="E12214" s="8">
        <v>0</v>
      </c>
      <c r="F12214" s="8">
        <v>2564</v>
      </c>
    </row>
    <row r="12215" spans="1:6" ht="12.75">
      <c r="A12215" s="8">
        <v>43899.376932870371</v>
      </c>
      <c r="B12215" s="8" t="str">
        <f>HYPERLINK("https://twitter.com/Alie_Fahnoor","@Alie_Fahnoor")</f>
        <v>@Alie_Fahnoor</v>
      </c>
      <c r="C12215" s="8" t="s">
        <v>5034</v>
      </c>
      <c r="D12215" s="8">
        <v>1</v>
      </c>
      <c r="E12215" s="8">
        <v>0</v>
      </c>
      <c r="F12215" s="8">
        <v>466</v>
      </c>
    </row>
    <row r="12216" spans="1:6" ht="12.75">
      <c r="A12216" s="8">
        <v>43899.376863425925</v>
      </c>
      <c r="B12216" s="8" t="str">
        <f>HYPERLINK("https://twitter.com/Mulia07094480","@Mulia07094480")</f>
        <v>@Mulia07094480</v>
      </c>
      <c r="C12216" s="8" t="s">
        <v>3262</v>
      </c>
      <c r="D12216" s="8">
        <v>64</v>
      </c>
      <c r="E12216" s="8">
        <v>0</v>
      </c>
      <c r="F12216" s="8">
        <v>761</v>
      </c>
    </row>
    <row r="12217" spans="1:6" ht="12.75">
      <c r="A12217" s="8">
        <v>43899.376620370371</v>
      </c>
      <c r="B12217" s="8" t="str">
        <f>HYPERLINK("https://twitter.com/MAliSubhan2","@MAliSubhan2")</f>
        <v>@MAliSubhan2</v>
      </c>
      <c r="C12217" s="8" t="s">
        <v>3262</v>
      </c>
      <c r="D12217" s="8">
        <v>64</v>
      </c>
      <c r="E12217" s="8">
        <v>0</v>
      </c>
      <c r="F12217" s="8">
        <v>1267</v>
      </c>
    </row>
    <row r="12218" spans="1:6" ht="12.75">
      <c r="A12218" s="8">
        <v>43899.376469907409</v>
      </c>
      <c r="B12218" s="8" t="str">
        <f>HYPERLINK("https://twitter.com/RP19573603","@RP19573603")</f>
        <v>@RP19573603</v>
      </c>
      <c r="C12218" s="8" t="s">
        <v>1917</v>
      </c>
      <c r="D12218" s="8">
        <v>1040</v>
      </c>
      <c r="E12218" s="8">
        <v>0</v>
      </c>
      <c r="F12218" s="8">
        <v>30</v>
      </c>
    </row>
    <row r="12219" spans="1:6" ht="12.75">
      <c r="A12219" s="8">
        <v>43899.375949074078</v>
      </c>
      <c r="B12219" s="8" t="str">
        <f>HYPERLINK("https://twitter.com/ditjenkesmas","@ditjenkesmas")</f>
        <v>@ditjenkesmas</v>
      </c>
      <c r="C12219" s="8" t="s">
        <v>4801</v>
      </c>
      <c r="D12219" s="8">
        <v>133</v>
      </c>
      <c r="E12219" s="8">
        <v>0</v>
      </c>
      <c r="F12219" s="8">
        <v>7279</v>
      </c>
    </row>
    <row r="12220" spans="1:6" ht="12.75">
      <c r="A12220" s="8">
        <v>43899.375775462962</v>
      </c>
      <c r="B12220" s="8" t="str">
        <f>HYPERLINK("https://twitter.com/vjrc2002","@vjrc2002")</f>
        <v>@vjrc2002</v>
      </c>
      <c r="C12220" s="8" t="s">
        <v>1917</v>
      </c>
      <c r="D12220" s="8">
        <v>1040</v>
      </c>
      <c r="E12220" s="8">
        <v>0</v>
      </c>
      <c r="F12220" s="8">
        <v>163</v>
      </c>
    </row>
    <row r="12221" spans="1:6" ht="12.75">
      <c r="A12221" s="8">
        <v>43899.375335648147</v>
      </c>
      <c r="B12221" s="8" t="str">
        <f>HYPERLINK("https://twitter.com/rohmantaufik485","@rohmantaufik485")</f>
        <v>@rohmantaufik485</v>
      </c>
      <c r="C12221" s="8" t="s">
        <v>5035</v>
      </c>
      <c r="D12221" s="8">
        <v>0</v>
      </c>
      <c r="E12221" s="8">
        <v>0</v>
      </c>
      <c r="F12221" s="8">
        <v>1</v>
      </c>
    </row>
    <row r="12222" spans="1:6" ht="12.75">
      <c r="A12222" s="8">
        <v>43899.375196759254</v>
      </c>
      <c r="B12222" s="8" t="str">
        <f>HYPERLINK("https://twitter.com/sendysuwanto","@sendysuwanto")</f>
        <v>@sendysuwanto</v>
      </c>
      <c r="C12222" s="8" t="s">
        <v>4778</v>
      </c>
      <c r="D12222" s="8">
        <v>11</v>
      </c>
      <c r="E12222" s="8">
        <v>0</v>
      </c>
      <c r="F12222" s="8">
        <v>1015</v>
      </c>
    </row>
    <row r="12223" spans="1:6" ht="12.75">
      <c r="A12223" s="8">
        <v>43899.375081018516</v>
      </c>
      <c r="B12223" s="8" t="str">
        <f>HYPERLINK("https://twitter.com/MNCNewsroom","@MNCNewsroom")</f>
        <v>@MNCNewsroom</v>
      </c>
      <c r="C12223" s="8" t="s">
        <v>5036</v>
      </c>
      <c r="D12223" s="8">
        <v>0</v>
      </c>
      <c r="E12223" s="8">
        <v>0</v>
      </c>
      <c r="F12223" s="8">
        <v>17589</v>
      </c>
    </row>
    <row r="12224" spans="1:6" ht="12.75">
      <c r="A12224" s="8">
        <v>43899.375069444446</v>
      </c>
      <c r="B12224" s="8" t="str">
        <f>HYPERLINK("https://twitter.com/Dhanie7771","@Dhanie7771")</f>
        <v>@Dhanie7771</v>
      </c>
      <c r="C12224" s="8" t="s">
        <v>5037</v>
      </c>
      <c r="D12224" s="8">
        <v>1</v>
      </c>
      <c r="E12224" s="8">
        <v>0</v>
      </c>
      <c r="F12224" s="8">
        <v>3240</v>
      </c>
    </row>
    <row r="12225" spans="1:6" ht="12.75">
      <c r="A12225" s="8">
        <v>43899.375</v>
      </c>
      <c r="B12225" s="8" t="str">
        <f>HYPERLINK("https://twitter.com/CastilloJoshima","@CastilloJoshima")</f>
        <v>@CastilloJoshima</v>
      </c>
      <c r="C12225" s="8" t="s">
        <v>5038</v>
      </c>
      <c r="D12225" s="8">
        <v>1</v>
      </c>
      <c r="E12225" s="8">
        <v>0</v>
      </c>
      <c r="F12225" s="8">
        <v>5481</v>
      </c>
    </row>
    <row r="12226" spans="1:6" ht="12.75">
      <c r="A12226" s="8">
        <v>43899.374664351853</v>
      </c>
      <c r="B12226" s="8" t="str">
        <f>HYPERLINK("https://twitter.com/dw_saptarini","@dw_saptarini")</f>
        <v>@dw_saptarini</v>
      </c>
      <c r="C12226" s="8" t="s">
        <v>5039</v>
      </c>
      <c r="D12226" s="8">
        <v>1</v>
      </c>
      <c r="E12226" s="8">
        <v>1</v>
      </c>
      <c r="F12226" s="8">
        <v>4383</v>
      </c>
    </row>
    <row r="12227" spans="1:6" ht="12.75">
      <c r="A12227" s="8">
        <v>43899.374143518522</v>
      </c>
      <c r="B12227" s="8" t="str">
        <f>HYPERLINK("https://twitter.com/wisanggeni_AB","@wisanggeni_AB")</f>
        <v>@wisanggeni_AB</v>
      </c>
      <c r="C12227" s="8" t="s">
        <v>4651</v>
      </c>
      <c r="D12227" s="8">
        <v>26</v>
      </c>
      <c r="E12227" s="8">
        <v>0</v>
      </c>
      <c r="F12227" s="8">
        <v>2188</v>
      </c>
    </row>
    <row r="12228" spans="1:6" ht="12.75">
      <c r="A12228" s="8">
        <v>43899.374039351853</v>
      </c>
      <c r="B12228" s="8" t="str">
        <f>HYPERLINK("https://twitter.com/CindarNasmoco","@CindarNasmoco")</f>
        <v>@CindarNasmoco</v>
      </c>
      <c r="C12228" s="8" t="s">
        <v>3126</v>
      </c>
      <c r="D12228" s="8">
        <v>67</v>
      </c>
      <c r="E12228" s="8">
        <v>0</v>
      </c>
      <c r="F12228" s="8">
        <v>57</v>
      </c>
    </row>
    <row r="12229" spans="1:6" ht="12.75">
      <c r="A12229" s="8">
        <v>43899.373877314814</v>
      </c>
      <c r="B12229" s="8" t="str">
        <f>HYPERLINK("https://twitter.com/raihanaditya86","@raihanaditya86")</f>
        <v>@raihanaditya86</v>
      </c>
      <c r="C12229" s="8" t="s">
        <v>3265</v>
      </c>
      <c r="D12229" s="8">
        <v>519</v>
      </c>
      <c r="E12229" s="8">
        <v>0</v>
      </c>
      <c r="F12229" s="8">
        <v>36</v>
      </c>
    </row>
    <row r="12230" spans="1:6" ht="12.75">
      <c r="A12230" s="8">
        <v>43899.373807870375</v>
      </c>
      <c r="B12230" s="8" t="str">
        <f>HYPERLINK("https://twitter.com/ku_lko","@ku_lko")</f>
        <v>@ku_lko</v>
      </c>
      <c r="C12230" s="8" t="s">
        <v>1917</v>
      </c>
      <c r="D12230" s="8">
        <v>1040</v>
      </c>
      <c r="E12230" s="8">
        <v>0</v>
      </c>
      <c r="F12230" s="8">
        <v>105</v>
      </c>
    </row>
    <row r="12231" spans="1:6" ht="12.75">
      <c r="A12231" s="8">
        <v>43899.373738425929</v>
      </c>
      <c r="B12231" s="8" t="str">
        <f>HYPERLINK("https://twitter.com/ZoneVenomWar","@ZoneVenomWar")</f>
        <v>@ZoneVenomWar</v>
      </c>
      <c r="C12231" s="8" t="s">
        <v>3262</v>
      </c>
      <c r="D12231" s="8">
        <v>64</v>
      </c>
      <c r="E12231" s="8">
        <v>0</v>
      </c>
      <c r="F12231" s="8">
        <v>1641</v>
      </c>
    </row>
    <row r="12232" spans="1:6" ht="12.75">
      <c r="A12232" s="8">
        <v>43899.373599537037</v>
      </c>
      <c r="B12232" s="8" t="str">
        <f>HYPERLINK("https://twitter.com/abhinnov","@abhinnov")</f>
        <v>@abhinnov</v>
      </c>
      <c r="C12232" s="8" t="s">
        <v>1917</v>
      </c>
      <c r="D12232" s="8">
        <v>1040</v>
      </c>
      <c r="E12232" s="8">
        <v>0</v>
      </c>
      <c r="F12232" s="8">
        <v>68</v>
      </c>
    </row>
    <row r="12233" spans="1:6" ht="12.75">
      <c r="A12233" s="8">
        <v>43899.373553240745</v>
      </c>
      <c r="B12233" s="8" t="str">
        <f>HYPERLINK("https://twitter.com/LizhaLorin","@LizhaLorin")</f>
        <v>@LizhaLorin</v>
      </c>
      <c r="C12233" s="8" t="s">
        <v>4651</v>
      </c>
      <c r="D12233" s="8">
        <v>26</v>
      </c>
      <c r="E12233" s="8">
        <v>0</v>
      </c>
      <c r="F12233" s="8">
        <v>117</v>
      </c>
    </row>
    <row r="12234" spans="1:6" ht="12.75">
      <c r="A12234" s="8">
        <v>43899.373495370368</v>
      </c>
      <c r="B12234" s="8" t="str">
        <f>HYPERLINK("https://twitter.com/MisbakhuddinSi6","@MisbakhuddinSi6")</f>
        <v>@MisbakhuddinSi6</v>
      </c>
      <c r="C12234" s="8" t="s">
        <v>5040</v>
      </c>
      <c r="D12234" s="8">
        <v>1</v>
      </c>
      <c r="E12234" s="8">
        <v>2</v>
      </c>
      <c r="F12234" s="8">
        <v>110</v>
      </c>
    </row>
    <row r="12235" spans="1:6" ht="12.75">
      <c r="A12235" s="8">
        <v>43899.373124999998</v>
      </c>
      <c r="B12235" s="8" t="str">
        <f>HYPERLINK("https://twitter.com/amymura9","@amymura9")</f>
        <v>@amymura9</v>
      </c>
      <c r="C12235" s="8" t="s">
        <v>5041</v>
      </c>
      <c r="D12235" s="8">
        <v>2</v>
      </c>
      <c r="E12235" s="8">
        <v>0</v>
      </c>
      <c r="F12235" s="8">
        <v>101</v>
      </c>
    </row>
    <row r="12236" spans="1:6" ht="12.75">
      <c r="A12236" s="8">
        <v>43899.373090277775</v>
      </c>
      <c r="B12236" s="8" t="str">
        <f>HYPERLINK("https://twitter.com/NMoekijat","@NMoekijat")</f>
        <v>@NMoekijat</v>
      </c>
      <c r="C12236" s="8" t="s">
        <v>5042</v>
      </c>
      <c r="D12236" s="8">
        <v>1</v>
      </c>
      <c r="E12236" s="8">
        <v>4</v>
      </c>
      <c r="F12236" s="8">
        <v>9844</v>
      </c>
    </row>
    <row r="12237" spans="1:6" ht="12.75">
      <c r="A12237" s="8">
        <v>43899.372986111106</v>
      </c>
      <c r="B12237" s="8" t="str">
        <f>HYPERLINK("https://twitter.com/AlberaD5","@AlberaD5")</f>
        <v>@AlberaD5</v>
      </c>
      <c r="C12237" s="8" t="s">
        <v>3262</v>
      </c>
      <c r="D12237" s="8">
        <v>64</v>
      </c>
      <c r="E12237" s="8">
        <v>0</v>
      </c>
      <c r="F12237" s="8">
        <v>1812</v>
      </c>
    </row>
    <row r="12238" spans="1:6" ht="12.75">
      <c r="A12238" s="8">
        <v>43899.372881944444</v>
      </c>
      <c r="B12238" s="8" t="str">
        <f>HYPERLINK("https://twitter.com/HeroeMS","@HeroeMS")</f>
        <v>@HeroeMS</v>
      </c>
      <c r="C12238" s="8" t="s">
        <v>5043</v>
      </c>
      <c r="D12238" s="8">
        <v>0</v>
      </c>
      <c r="E12238" s="8">
        <v>0</v>
      </c>
      <c r="F12238" s="8">
        <v>247</v>
      </c>
    </row>
    <row r="12239" spans="1:6" ht="12.75">
      <c r="A12239" s="8">
        <v>43899.372870370367</v>
      </c>
      <c r="B12239" s="8" t="str">
        <f>HYPERLINK("https://twitter.com/NamungAbdiGusti","@NamungAbdiGusti")</f>
        <v>@NamungAbdiGusti</v>
      </c>
      <c r="C12239" s="8" t="s">
        <v>4927</v>
      </c>
      <c r="D12239" s="8">
        <v>59</v>
      </c>
      <c r="E12239" s="8">
        <v>0</v>
      </c>
      <c r="F12239" s="8">
        <v>517</v>
      </c>
    </row>
    <row r="12240" spans="1:6" ht="12.75">
      <c r="A12240" s="8">
        <v>43899.372835648144</v>
      </c>
      <c r="B12240" s="8" t="str">
        <f>HYPERLINK("https://twitter.com/AmitChaure4","@AmitChaure4")</f>
        <v>@AmitChaure4</v>
      </c>
      <c r="C12240" s="8" t="s">
        <v>1917</v>
      </c>
      <c r="D12240" s="8">
        <v>1040</v>
      </c>
      <c r="E12240" s="8">
        <v>0</v>
      </c>
      <c r="F12240" s="8">
        <v>75</v>
      </c>
    </row>
    <row r="12241" spans="1:6" ht="12.75">
      <c r="A12241" s="8">
        <v>43899.372407407413</v>
      </c>
      <c r="B12241" s="8" t="str">
        <f>HYPERLINK("https://twitter.com/kalkunhaus","@kalkunhaus")</f>
        <v>@kalkunhaus</v>
      </c>
      <c r="C12241" s="8" t="s">
        <v>5044</v>
      </c>
      <c r="D12241" s="8">
        <v>0</v>
      </c>
      <c r="E12241" s="8">
        <v>0</v>
      </c>
      <c r="F12241" s="8">
        <v>344</v>
      </c>
    </row>
    <row r="12242" spans="1:6" ht="12.75">
      <c r="A12242" s="8">
        <v>43899.372407407413</v>
      </c>
      <c r="B12242" s="8" t="str">
        <f>HYPERLINK("https://twitter.com/hiraethas","@hiraethas")</f>
        <v>@hiraethas</v>
      </c>
      <c r="C12242" s="8" t="s">
        <v>4795</v>
      </c>
      <c r="D12242" s="8">
        <v>29</v>
      </c>
      <c r="E12242" s="8">
        <v>0</v>
      </c>
      <c r="F12242" s="8">
        <v>514</v>
      </c>
    </row>
    <row r="12243" spans="1:6" ht="12.75">
      <c r="A12243" s="8">
        <v>43899.372245370367</v>
      </c>
      <c r="B12243" s="8" t="str">
        <f>HYPERLINK("https://twitter.com/awl_perindu","@awl_perindu")</f>
        <v>@awl_perindu</v>
      </c>
      <c r="C12243" s="8" t="s">
        <v>3265</v>
      </c>
      <c r="D12243" s="8">
        <v>519</v>
      </c>
      <c r="E12243" s="8">
        <v>0</v>
      </c>
      <c r="F12243" s="8">
        <v>110</v>
      </c>
    </row>
    <row r="12244" spans="1:6" ht="12.75">
      <c r="A12244" s="8">
        <v>43899.372210648144</v>
      </c>
      <c r="B12244" s="8" t="str">
        <f>HYPERLINK("https://twitter.com/NasDem","@NasDem")</f>
        <v>@NasDem</v>
      </c>
      <c r="C12244" s="8" t="s">
        <v>5045</v>
      </c>
      <c r="D12244" s="8">
        <v>0</v>
      </c>
      <c r="E12244" s="8">
        <v>2</v>
      </c>
      <c r="F12244" s="8">
        <v>91465</v>
      </c>
    </row>
    <row r="12245" spans="1:6" ht="12.75">
      <c r="A12245" s="8">
        <v>43899.372199074074</v>
      </c>
      <c r="B12245" s="8" t="str">
        <f>HYPERLINK("https://twitter.com/TeJay29","@TeJay29")</f>
        <v>@TeJay29</v>
      </c>
      <c r="C12245" s="8" t="s">
        <v>1917</v>
      </c>
      <c r="D12245" s="8">
        <v>1040</v>
      </c>
      <c r="E12245" s="8">
        <v>0</v>
      </c>
      <c r="F12245" s="8">
        <v>1628</v>
      </c>
    </row>
    <row r="12246" spans="1:6" ht="12.75">
      <c r="A12246" s="8">
        <v>43899.371666666666</v>
      </c>
      <c r="B12246" s="8" t="str">
        <f>HYPERLINK("https://twitter.com/bthree80","@bthree80")</f>
        <v>@bthree80</v>
      </c>
      <c r="C12246" s="8" t="s">
        <v>4651</v>
      </c>
      <c r="D12246" s="8">
        <v>26</v>
      </c>
      <c r="E12246" s="8">
        <v>0</v>
      </c>
      <c r="F12246" s="8">
        <v>1572</v>
      </c>
    </row>
    <row r="12247" spans="1:6" ht="12.75">
      <c r="A12247" s="8">
        <v>43899.371377314819</v>
      </c>
      <c r="B12247" s="8" t="str">
        <f>HYPERLINK("https://twitter.com/EJulijanto","@EJulijanto")</f>
        <v>@EJulijanto</v>
      </c>
      <c r="C12247" s="8" t="s">
        <v>5033</v>
      </c>
      <c r="D12247" s="8">
        <v>2</v>
      </c>
      <c r="E12247" s="8">
        <v>0</v>
      </c>
      <c r="F12247" s="8">
        <v>523</v>
      </c>
    </row>
    <row r="12248" spans="1:6" ht="12.75">
      <c r="A12248" s="8">
        <v>43899.371157407411</v>
      </c>
      <c r="B12248" s="8" t="str">
        <f>HYPERLINK("https://twitter.com/SolahuddinAlAy9","@SolahuddinAlAy9")</f>
        <v>@SolahuddinAlAy9</v>
      </c>
      <c r="C12248" s="8" t="s">
        <v>4651</v>
      </c>
      <c r="D12248" s="8">
        <v>26</v>
      </c>
      <c r="E12248" s="8">
        <v>0</v>
      </c>
      <c r="F12248" s="8">
        <v>1568</v>
      </c>
    </row>
    <row r="12249" spans="1:6" ht="12.75">
      <c r="A12249" s="8">
        <v>43899.370949074073</v>
      </c>
      <c r="B12249" s="8" t="str">
        <f>HYPERLINK("https://twitter.com/nayakuddin","@nayakuddin")</f>
        <v>@nayakuddin</v>
      </c>
      <c r="C12249" s="8" t="s">
        <v>1917</v>
      </c>
      <c r="D12249" s="8">
        <v>1040</v>
      </c>
      <c r="E12249" s="8">
        <v>0</v>
      </c>
      <c r="F12249" s="8">
        <v>241</v>
      </c>
    </row>
    <row r="12250" spans="1:6" ht="12.75">
      <c r="A12250" s="8">
        <v>43899.370868055557</v>
      </c>
      <c r="B12250" s="8" t="str">
        <f>HYPERLINK("https://twitter.com/SasiKiron0","@SasiKiron0")</f>
        <v>@SasiKiron0</v>
      </c>
      <c r="C12250" s="8" t="s">
        <v>4651</v>
      </c>
      <c r="D12250" s="8">
        <v>26</v>
      </c>
      <c r="E12250" s="8">
        <v>0</v>
      </c>
      <c r="F12250" s="8">
        <v>4290</v>
      </c>
    </row>
    <row r="12251" spans="1:6" ht="12.75">
      <c r="A12251" s="8">
        <v>43899.370462962965</v>
      </c>
      <c r="B12251" s="8" t="str">
        <f>HYPERLINK("https://twitter.com/EtekewerReborn_","@EtekewerReborn_")</f>
        <v>@EtekewerReborn_</v>
      </c>
      <c r="C12251" s="8" t="s">
        <v>4651</v>
      </c>
      <c r="D12251" s="8">
        <v>26</v>
      </c>
      <c r="E12251" s="8">
        <v>0</v>
      </c>
      <c r="F12251" s="8">
        <v>4182</v>
      </c>
    </row>
    <row r="12252" spans="1:6" ht="12.75">
      <c r="A12252" s="8">
        <v>43899.370405092588</v>
      </c>
      <c r="B12252" s="8" t="str">
        <f>HYPERLINK("https://twitter.com/vikas_ki_baate","@vikas_ki_baate")</f>
        <v>@vikas_ki_baate</v>
      </c>
      <c r="C12252" s="8" t="s">
        <v>1917</v>
      </c>
      <c r="D12252" s="8">
        <v>1040</v>
      </c>
      <c r="E12252" s="8">
        <v>0</v>
      </c>
      <c r="F12252" s="8">
        <v>3414</v>
      </c>
    </row>
    <row r="12253" spans="1:6" ht="12.75">
      <c r="A12253" s="8">
        <v>43899.370243055557</v>
      </c>
      <c r="B12253" s="8" t="str">
        <f>HYPERLINK("https://twitter.com/alnettt_","@alnettt_")</f>
        <v>@alnettt_</v>
      </c>
      <c r="C12253" s="8" t="s">
        <v>5046</v>
      </c>
      <c r="D12253" s="8">
        <v>0</v>
      </c>
      <c r="E12253" s="8">
        <v>0</v>
      </c>
      <c r="F12253" s="8">
        <v>107</v>
      </c>
    </row>
    <row r="12254" spans="1:6" ht="12.75">
      <c r="A12254" s="8">
        <v>43899.369687500002</v>
      </c>
      <c r="B12254" s="8" t="str">
        <f>HYPERLINK("https://twitter.com/BUS_EKONOMI","@BUS_EKONOMI")</f>
        <v>@BUS_EKONOMI</v>
      </c>
      <c r="C12254" s="8" t="s">
        <v>3262</v>
      </c>
      <c r="D12254" s="8">
        <v>64</v>
      </c>
      <c r="E12254" s="8">
        <v>0</v>
      </c>
      <c r="F12254" s="8">
        <v>3847</v>
      </c>
    </row>
    <row r="12255" spans="1:6" ht="12.75">
      <c r="A12255" s="8">
        <v>43899.369247685187</v>
      </c>
      <c r="B12255" s="8" t="str">
        <f>HYPERLINK("https://twitter.com/geet19s","@geet19s")</f>
        <v>@geet19s</v>
      </c>
      <c r="C12255" s="8" t="s">
        <v>1917</v>
      </c>
      <c r="D12255" s="8">
        <v>1040</v>
      </c>
      <c r="E12255" s="8">
        <v>0</v>
      </c>
      <c r="F12255" s="8">
        <v>381</v>
      </c>
    </row>
    <row r="12256" spans="1:6" ht="12.75">
      <c r="A12256" s="8">
        <v>43899.369131944448</v>
      </c>
      <c r="B12256" s="8" t="str">
        <f>HYPERLINK("https://twitter.com/NasDem","@NasDem")</f>
        <v>@NasDem</v>
      </c>
      <c r="C12256" s="8" t="s">
        <v>5047</v>
      </c>
      <c r="D12256" s="8">
        <v>0</v>
      </c>
      <c r="E12256" s="8">
        <v>1</v>
      </c>
      <c r="F12256" s="8">
        <v>91465</v>
      </c>
    </row>
    <row r="12257" spans="1:6" ht="12.75">
      <c r="A12257" s="8">
        <v>43899.369062500002</v>
      </c>
      <c r="B12257" s="8" t="str">
        <f>HYPERLINK("https://twitter.com/dibatas_kota","@dibatas_kota")</f>
        <v>@dibatas_kota</v>
      </c>
      <c r="C12257" s="8" t="s">
        <v>3126</v>
      </c>
      <c r="D12257" s="8">
        <v>67</v>
      </c>
      <c r="E12257" s="8">
        <v>0</v>
      </c>
      <c r="F12257" s="8">
        <v>239</v>
      </c>
    </row>
    <row r="12258" spans="1:6" ht="12.75">
      <c r="A12258" s="8">
        <v>43899.368310185186</v>
      </c>
      <c r="B12258" s="8" t="str">
        <f>HYPERLINK("https://twitter.com/kbrisingapura","@kbrisingapura")</f>
        <v>@kbrisingapura</v>
      </c>
      <c r="C12258" s="8" t="s">
        <v>5048</v>
      </c>
      <c r="D12258" s="8">
        <v>1</v>
      </c>
      <c r="E12258" s="8">
        <v>0</v>
      </c>
      <c r="F12258" s="8">
        <v>4639</v>
      </c>
    </row>
    <row r="12259" spans="1:6" ht="12.75">
      <c r="A12259" s="8">
        <v>43899.368275462963</v>
      </c>
      <c r="B12259" s="8" t="str">
        <f>HYPERLINK("https://twitter.com/gindoduri","@gindoduri")</f>
        <v>@gindoduri</v>
      </c>
      <c r="C12259" s="8" t="s">
        <v>3126</v>
      </c>
      <c r="D12259" s="8">
        <v>67</v>
      </c>
      <c r="E12259" s="8">
        <v>0</v>
      </c>
      <c r="F12259" s="8">
        <v>425</v>
      </c>
    </row>
    <row r="12260" spans="1:6" ht="12.75">
      <c r="A12260" s="8">
        <v>43899.368229166663</v>
      </c>
      <c r="B12260" s="8" t="str">
        <f>HYPERLINK("https://twitter.com/Ari3Pras","@Ari3Pras")</f>
        <v>@Ari3Pras</v>
      </c>
      <c r="C12260" s="8" t="s">
        <v>3262</v>
      </c>
      <c r="D12260" s="8">
        <v>64</v>
      </c>
      <c r="E12260" s="8">
        <v>0</v>
      </c>
      <c r="F12260" s="8">
        <v>7615</v>
      </c>
    </row>
    <row r="12261" spans="1:6" ht="12.75">
      <c r="A12261" s="8">
        <v>43899.368101851855</v>
      </c>
      <c r="B12261" s="8" t="str">
        <f>HYPERLINK("https://twitter.com/radio_kotabatik","@radio_kotabatik")</f>
        <v>@radio_kotabatik</v>
      </c>
      <c r="C12261" s="8" t="s">
        <v>5049</v>
      </c>
      <c r="D12261" s="8">
        <v>0</v>
      </c>
      <c r="E12261" s="8">
        <v>0</v>
      </c>
      <c r="F12261" s="8">
        <v>5232</v>
      </c>
    </row>
    <row r="12262" spans="1:6" ht="12.75">
      <c r="A12262" s="8">
        <v>43899.367743055554</v>
      </c>
      <c r="B12262" s="8" t="str">
        <f>HYPERLINK("https://twitter.com/diabetherb","@diabetherb")</f>
        <v>@diabetherb</v>
      </c>
      <c r="C12262" s="8" t="s">
        <v>5050</v>
      </c>
      <c r="D12262" s="8">
        <v>0</v>
      </c>
      <c r="E12262" s="8">
        <v>0</v>
      </c>
      <c r="F12262" s="8">
        <v>46</v>
      </c>
    </row>
    <row r="12263" spans="1:6" ht="12.75">
      <c r="A12263" s="8">
        <v>43899.367465277777</v>
      </c>
      <c r="B12263" s="8" t="str">
        <f>HYPERLINK("https://twitter.com/Demokrat_TV","@Demokrat_TV")</f>
        <v>@Demokrat_TV</v>
      </c>
      <c r="C12263" s="8" t="s">
        <v>4778</v>
      </c>
      <c r="D12263" s="8">
        <v>11</v>
      </c>
      <c r="E12263" s="8">
        <v>0</v>
      </c>
      <c r="F12263" s="8">
        <v>6174966</v>
      </c>
    </row>
    <row r="12264" spans="1:6" ht="12.75">
      <c r="A12264" s="8">
        <v>43899.367337962962</v>
      </c>
      <c r="B12264" s="8" t="str">
        <f>HYPERLINK("https://twitter.com/publicanews","@publicanews")</f>
        <v>@publicanews</v>
      </c>
      <c r="C12264" s="8" t="s">
        <v>5051</v>
      </c>
      <c r="D12264" s="8">
        <v>0</v>
      </c>
      <c r="E12264" s="8">
        <v>0</v>
      </c>
      <c r="F12264" s="8">
        <v>156</v>
      </c>
    </row>
    <row r="12265" spans="1:6" ht="12.75">
      <c r="A12265" s="8">
        <v>43899.367291666669</v>
      </c>
      <c r="B12265" s="8" t="str">
        <f>HYPERLINK("https://twitter.com/empiirr","@empiirr")</f>
        <v>@empiirr</v>
      </c>
      <c r="C12265" s="8" t="s">
        <v>5052</v>
      </c>
      <c r="D12265" s="8">
        <v>2</v>
      </c>
      <c r="E12265" s="8">
        <v>0</v>
      </c>
      <c r="F12265" s="8">
        <v>463</v>
      </c>
    </row>
    <row r="12266" spans="1:6" ht="12.75">
      <c r="A12266" s="8">
        <v>43899.367106481484</v>
      </c>
      <c r="B12266" s="8" t="str">
        <f>HYPERLINK("https://twitter.com/sachin_karkera","@sachin_karkera")</f>
        <v>@sachin_karkera</v>
      </c>
      <c r="C12266" s="8" t="s">
        <v>1917</v>
      </c>
      <c r="D12266" s="8">
        <v>1040</v>
      </c>
      <c r="E12266" s="8">
        <v>0</v>
      </c>
      <c r="F12266" s="8">
        <v>2811</v>
      </c>
    </row>
    <row r="12267" spans="1:6" ht="12.75">
      <c r="A12267" s="8">
        <v>43899.366944444446</v>
      </c>
      <c r="B12267" s="8" t="str">
        <f>HYPERLINK("https://twitter.com/SatriaSrr","@SatriaSrr")</f>
        <v>@SatriaSrr</v>
      </c>
      <c r="C12267" s="8" t="s">
        <v>3126</v>
      </c>
      <c r="D12267" s="8">
        <v>67</v>
      </c>
      <c r="E12267" s="8">
        <v>0</v>
      </c>
      <c r="F12267" s="8">
        <v>53</v>
      </c>
    </row>
    <row r="12268" spans="1:6" ht="12.75">
      <c r="A12268" s="8">
        <v>43899.366886574076</v>
      </c>
      <c r="B12268" s="8" t="str">
        <f>HYPERLINK("https://twitter.com/hindustani89","@hindustani89")</f>
        <v>@hindustani89</v>
      </c>
      <c r="C12268" s="8" t="s">
        <v>1917</v>
      </c>
      <c r="D12268" s="8">
        <v>1040</v>
      </c>
      <c r="E12268" s="8">
        <v>0</v>
      </c>
      <c r="F12268" s="8">
        <v>166</v>
      </c>
    </row>
    <row r="12269" spans="1:6" ht="12.75">
      <c r="A12269" s="8">
        <v>43899.366770833338</v>
      </c>
      <c r="B12269" s="8" t="str">
        <f>HYPERLINK("https://twitter.com/Lakhend46257958","@Lakhend46257958")</f>
        <v>@Lakhend46257958</v>
      </c>
      <c r="C12269" s="8" t="s">
        <v>1917</v>
      </c>
      <c r="D12269" s="8">
        <v>1040</v>
      </c>
      <c r="E12269" s="8">
        <v>0</v>
      </c>
      <c r="F12269" s="8">
        <v>180</v>
      </c>
    </row>
    <row r="12270" spans="1:6" ht="12.75">
      <c r="A12270" s="8">
        <v>43899.366585648153</v>
      </c>
      <c r="B12270" s="8" t="str">
        <f>HYPERLINK("https://twitter.com/demoSoCRAZY","@demoSoCRAZY")</f>
        <v>@demoSoCRAZY</v>
      </c>
      <c r="C12270" s="8" t="s">
        <v>4651</v>
      </c>
      <c r="D12270" s="8">
        <v>26</v>
      </c>
      <c r="E12270" s="8">
        <v>0</v>
      </c>
      <c r="F12270" s="8">
        <v>5794</v>
      </c>
    </row>
    <row r="12271" spans="1:6" ht="12.75">
      <c r="A12271" s="8">
        <v>43899.366481481484</v>
      </c>
      <c r="B12271" s="8" t="str">
        <f>HYPERLINK("https://twitter.com/bothra_ajay","@bothra_ajay")</f>
        <v>@bothra_ajay</v>
      </c>
      <c r="C12271" s="8" t="s">
        <v>1917</v>
      </c>
      <c r="D12271" s="8">
        <v>1040</v>
      </c>
      <c r="E12271" s="8">
        <v>0</v>
      </c>
      <c r="F12271" s="8">
        <v>371</v>
      </c>
    </row>
    <row r="12272" spans="1:6" ht="12.75">
      <c r="A12272" s="8">
        <v>43899.366284722222</v>
      </c>
      <c r="B12272" s="8" t="str">
        <f>HYPERLINK("https://twitter.com/sk_mb17","@sk_mb17")</f>
        <v>@sk_mb17</v>
      </c>
      <c r="C12272" s="8" t="s">
        <v>1917</v>
      </c>
      <c r="D12272" s="8">
        <v>1040</v>
      </c>
      <c r="E12272" s="8">
        <v>0</v>
      </c>
      <c r="F12272" s="8">
        <v>611</v>
      </c>
    </row>
    <row r="12273" spans="1:6" ht="12.75">
      <c r="A12273" s="8">
        <v>43899.366099537037</v>
      </c>
      <c r="B12273" s="8" t="str">
        <f>HYPERLINK("https://twitter.com/D_m3chy","@D_m3chy")</f>
        <v>@D_m3chy</v>
      </c>
      <c r="C12273" s="8" t="s">
        <v>4651</v>
      </c>
      <c r="D12273" s="8">
        <v>26</v>
      </c>
      <c r="E12273" s="8">
        <v>0</v>
      </c>
      <c r="F12273" s="8">
        <v>19953</v>
      </c>
    </row>
    <row r="12274" spans="1:6" ht="12.75">
      <c r="A12274" s="8">
        <v>43899.365231481483</v>
      </c>
      <c r="B12274" s="8" t="str">
        <f>HYPERLINK("https://twitter.com/marnoto731","@marnoto731")</f>
        <v>@marnoto731</v>
      </c>
      <c r="C12274" s="8" t="s">
        <v>5053</v>
      </c>
      <c r="D12274" s="8">
        <v>0</v>
      </c>
      <c r="E12274" s="8">
        <v>0</v>
      </c>
      <c r="F12274" s="8">
        <v>42</v>
      </c>
    </row>
    <row r="12275" spans="1:6" ht="12.75">
      <c r="A12275" s="8">
        <v>43899.364340277782</v>
      </c>
      <c r="B12275" s="8" t="str">
        <f>HYPERLINK("https://twitter.com/Wizard_Bulu_168","@Wizard_Bulu_168")</f>
        <v>@Wizard_Bulu_168</v>
      </c>
      <c r="C12275" s="8" t="s">
        <v>4651</v>
      </c>
      <c r="D12275" s="8">
        <v>26</v>
      </c>
      <c r="E12275" s="8">
        <v>0</v>
      </c>
      <c r="F12275" s="8">
        <v>6493</v>
      </c>
    </row>
    <row r="12276" spans="1:6" ht="12.75">
      <c r="A12276" s="8">
        <v>43899.364270833335</v>
      </c>
      <c r="B12276" s="8" t="str">
        <f>HYPERLINK("https://twitter.com/ShigeMatsu007","@ShigeMatsu007")</f>
        <v>@ShigeMatsu007</v>
      </c>
      <c r="C12276" s="8" t="s">
        <v>5050</v>
      </c>
      <c r="D12276" s="8">
        <v>0</v>
      </c>
      <c r="E12276" s="8">
        <v>0</v>
      </c>
      <c r="F12276" s="8">
        <v>5139</v>
      </c>
    </row>
    <row r="12277" spans="1:6" ht="12.75">
      <c r="A12277" s="8">
        <v>43899.364212962959</v>
      </c>
      <c r="B12277" s="8" t="str">
        <f>HYPERLINK("https://twitter.com/dw_saptarini","@dw_saptarini")</f>
        <v>@dw_saptarini</v>
      </c>
      <c r="C12277" s="8" t="s">
        <v>5054</v>
      </c>
      <c r="D12277" s="8">
        <v>2</v>
      </c>
      <c r="E12277" s="8">
        <v>9</v>
      </c>
      <c r="F12277" s="8">
        <v>4383</v>
      </c>
    </row>
    <row r="12278" spans="1:6" ht="12.75">
      <c r="A12278" s="8">
        <v>43899.36418981482</v>
      </c>
      <c r="B12278" s="8" t="str">
        <f>HYPERLINK("https://twitter.com/medut_","@medut_")</f>
        <v>@medut_</v>
      </c>
      <c r="C12278" s="8" t="s">
        <v>5055</v>
      </c>
      <c r="D12278" s="8">
        <v>0</v>
      </c>
      <c r="E12278" s="8">
        <v>0</v>
      </c>
      <c r="F12278" s="8">
        <v>374</v>
      </c>
    </row>
    <row r="12279" spans="1:6" ht="12.75">
      <c r="A12279" s="8">
        <v>43899.363877314812</v>
      </c>
      <c r="B12279" s="8" t="str">
        <f>HYPERLINK("https://twitter.com/Ngarit8","@Ngarit8")</f>
        <v>@Ngarit8</v>
      </c>
      <c r="C12279" s="8" t="s">
        <v>3262</v>
      </c>
      <c r="D12279" s="8">
        <v>64</v>
      </c>
      <c r="E12279" s="8">
        <v>0</v>
      </c>
      <c r="F12279" s="8">
        <v>337</v>
      </c>
    </row>
    <row r="12280" spans="1:6" ht="12.75">
      <c r="A12280" s="8">
        <v>43899.363761574074</v>
      </c>
      <c r="B12280" s="8" t="str">
        <f>HYPERLINK("https://twitter.com/anujkr9","@anujkr9")</f>
        <v>@anujkr9</v>
      </c>
      <c r="C12280" s="8" t="s">
        <v>1917</v>
      </c>
      <c r="D12280" s="8">
        <v>1040</v>
      </c>
      <c r="E12280" s="8">
        <v>0</v>
      </c>
      <c r="F12280" s="8">
        <v>164</v>
      </c>
    </row>
    <row r="12281" spans="1:6" ht="12.75">
      <c r="A12281" s="8">
        <v>43899.363738425927</v>
      </c>
      <c r="B12281" s="8" t="str">
        <f>HYPERLINK("https://twitter.com/02Sakera","@02Sakera")</f>
        <v>@02Sakera</v>
      </c>
      <c r="C12281" s="8" t="s">
        <v>4651</v>
      </c>
      <c r="D12281" s="8">
        <v>26</v>
      </c>
      <c r="E12281" s="8">
        <v>0</v>
      </c>
      <c r="F12281" s="8">
        <v>1140</v>
      </c>
    </row>
    <row r="12282" spans="1:6" ht="12.75">
      <c r="A12282" s="8">
        <v>43899.363483796296</v>
      </c>
      <c r="B12282" s="8" t="str">
        <f>HYPERLINK("https://twitter.com/WieRamly","@WieRamly")</f>
        <v>@WieRamly</v>
      </c>
      <c r="C12282" s="8" t="s">
        <v>3262</v>
      </c>
      <c r="D12282" s="8">
        <v>64</v>
      </c>
      <c r="E12282" s="8">
        <v>0</v>
      </c>
      <c r="F12282" s="8">
        <v>412</v>
      </c>
    </row>
    <row r="12283" spans="1:6" ht="12.75">
      <c r="A12283" s="8">
        <v>43899.362627314811</v>
      </c>
      <c r="B12283" s="8" t="str">
        <f>HYPERLINK("https://twitter.com/Febri___1717","@Febri___1717")</f>
        <v>@Febri___1717</v>
      </c>
      <c r="C12283" s="8" t="s">
        <v>4651</v>
      </c>
      <c r="D12283" s="8">
        <v>26</v>
      </c>
      <c r="E12283" s="8">
        <v>0</v>
      </c>
      <c r="F12283" s="8">
        <v>14020</v>
      </c>
    </row>
    <row r="12284" spans="1:6" ht="12.75">
      <c r="A12284" s="8">
        <v>43899.362511574072</v>
      </c>
      <c r="B12284" s="8" t="str">
        <f>HYPERLINK("https://twitter.com/ay_aLNiie","@ay_aLNiie")</f>
        <v>@ay_aLNiie</v>
      </c>
      <c r="C12284" s="8" t="s">
        <v>4651</v>
      </c>
      <c r="D12284" s="8">
        <v>26</v>
      </c>
      <c r="E12284" s="8">
        <v>0</v>
      </c>
      <c r="F12284" s="8">
        <v>1189</v>
      </c>
    </row>
    <row r="12285" spans="1:6" ht="12.75">
      <c r="A12285" s="8">
        <v>43899.362314814818</v>
      </c>
      <c r="B12285" s="8" t="str">
        <f>HYPERLINK("https://twitter.com/GreenbayPluit","@GreenbayPluit")</f>
        <v>@GreenbayPluit</v>
      </c>
      <c r="C12285" s="8" t="s">
        <v>5056</v>
      </c>
      <c r="D12285" s="8">
        <v>0</v>
      </c>
      <c r="E12285" s="8">
        <v>0</v>
      </c>
      <c r="F12285" s="8">
        <v>13</v>
      </c>
    </row>
    <row r="12286" spans="1:6" ht="12.75">
      <c r="A12286" s="8">
        <v>43899.361643518518</v>
      </c>
      <c r="B12286" s="8" t="str">
        <f>HYPERLINK("https://twitter.com/SwapneelRaaje","@SwapneelRaaje")</f>
        <v>@SwapneelRaaje</v>
      </c>
      <c r="C12286" s="8" t="s">
        <v>1917</v>
      </c>
      <c r="D12286" s="8">
        <v>1040</v>
      </c>
      <c r="E12286" s="8">
        <v>0</v>
      </c>
      <c r="F12286" s="8">
        <v>28</v>
      </c>
    </row>
    <row r="12287" spans="1:6" ht="12.75">
      <c r="A12287" s="8">
        <v>43899.361631944441</v>
      </c>
      <c r="B12287" s="8" t="str">
        <f>HYPERLINK("https://twitter.com/Indianandabori1","@Indianandabori1")</f>
        <v>@Indianandabori1</v>
      </c>
      <c r="C12287" s="8" t="s">
        <v>5057</v>
      </c>
      <c r="D12287" s="8">
        <v>0</v>
      </c>
      <c r="E12287" s="8">
        <v>0</v>
      </c>
      <c r="F12287" s="8">
        <v>3</v>
      </c>
    </row>
    <row r="12288" spans="1:6" ht="12.75">
      <c r="A12288" s="8">
        <v>43899.361585648148</v>
      </c>
      <c r="B12288" s="8" t="str">
        <f>HYPERLINK("https://twitter.com/MukhlisSaptono","@MukhlisSaptono")</f>
        <v>@MukhlisSaptono</v>
      </c>
      <c r="C12288" s="8" t="s">
        <v>5058</v>
      </c>
      <c r="D12288" s="8">
        <v>0</v>
      </c>
      <c r="E12288" s="8">
        <v>2</v>
      </c>
      <c r="F12288" s="8">
        <v>128</v>
      </c>
    </row>
    <row r="12289" spans="1:6" ht="12.75">
      <c r="A12289" s="8">
        <v>43899.36142361111</v>
      </c>
      <c r="B12289" s="8" t="str">
        <f>HYPERLINK("https://twitter.com/g_mahendru","@g_mahendru")</f>
        <v>@g_mahendru</v>
      </c>
      <c r="C12289" s="8" t="s">
        <v>1917</v>
      </c>
      <c r="D12289" s="8">
        <v>1040</v>
      </c>
      <c r="E12289" s="8">
        <v>0</v>
      </c>
      <c r="F12289" s="8">
        <v>210</v>
      </c>
    </row>
    <row r="12290" spans="1:6" ht="12.75">
      <c r="A12290" s="8">
        <v>43899.36136574074</v>
      </c>
      <c r="B12290" s="8" t="str">
        <f>HYPERLINK("https://twitter.com/Alsanusi6","@Alsanusi6")</f>
        <v>@Alsanusi6</v>
      </c>
      <c r="C12290" s="8" t="s">
        <v>3262</v>
      </c>
      <c r="D12290" s="8">
        <v>64</v>
      </c>
      <c r="E12290" s="8">
        <v>0</v>
      </c>
      <c r="F12290" s="8">
        <v>265</v>
      </c>
    </row>
    <row r="12291" spans="1:6" ht="12.75">
      <c r="A12291" s="8">
        <v>43899.361157407402</v>
      </c>
      <c r="B12291" s="8" t="str">
        <f>HYPERLINK("https://twitter.com/_Wiwis_Mbecak","@_Wiwis_Mbecak")</f>
        <v>@_Wiwis_Mbecak</v>
      </c>
      <c r="C12291" s="8" t="s">
        <v>4651</v>
      </c>
      <c r="D12291" s="8">
        <v>26</v>
      </c>
      <c r="E12291" s="8">
        <v>0</v>
      </c>
      <c r="F12291" s="8">
        <v>6709</v>
      </c>
    </row>
    <row r="12292" spans="1:6" ht="12.75">
      <c r="A12292" s="8">
        <v>43899.360787037032</v>
      </c>
      <c r="B12292" s="8" t="str">
        <f>HYPERLINK("https://twitter.com/i_Dhana","@i_Dhana")</f>
        <v>@i_Dhana</v>
      </c>
      <c r="C12292" s="8" t="s">
        <v>1917</v>
      </c>
      <c r="D12292" s="8">
        <v>1040</v>
      </c>
      <c r="E12292" s="8">
        <v>0</v>
      </c>
      <c r="F12292" s="8">
        <v>572</v>
      </c>
    </row>
    <row r="12293" spans="1:6" ht="12.75">
      <c r="A12293" s="8">
        <v>43899.360509259262</v>
      </c>
      <c r="B12293" s="8" t="str">
        <f>HYPERLINK("https://twitter.com/Argo33Susanto","@Argo33Susanto")</f>
        <v>@Argo33Susanto</v>
      </c>
      <c r="C12293" s="8" t="s">
        <v>3126</v>
      </c>
      <c r="D12293" s="8">
        <v>67</v>
      </c>
      <c r="E12293" s="8">
        <v>0</v>
      </c>
      <c r="F12293" s="8">
        <v>2436</v>
      </c>
    </row>
    <row r="12294" spans="1:6" ht="12.75">
      <c r="A12294" s="8">
        <v>43899.340069444443</v>
      </c>
      <c r="B12294" s="8" t="str">
        <f>HYPERLINK("https://twitter.com/pambapontar","@pambapontar")</f>
        <v>@pambapontar</v>
      </c>
      <c r="C12294" s="8" t="s">
        <v>5059</v>
      </c>
      <c r="D12294" s="8">
        <v>38</v>
      </c>
      <c r="E12294" s="8">
        <v>0</v>
      </c>
      <c r="F12294" s="8">
        <v>161</v>
      </c>
    </row>
    <row r="12295" spans="1:6" ht="12.75">
      <c r="A12295" s="8">
        <v>43899.340069444443</v>
      </c>
      <c r="B12295" s="8" t="str">
        <f>HYPERLINK("https://twitter.com/arjuno_ireng01","@arjuno_ireng01")</f>
        <v>@arjuno_ireng01</v>
      </c>
      <c r="C12295" s="8" t="s">
        <v>3262</v>
      </c>
      <c r="D12295" s="8">
        <v>30</v>
      </c>
      <c r="E12295" s="8">
        <v>0</v>
      </c>
      <c r="F12295" s="8">
        <v>11234</v>
      </c>
    </row>
    <row r="12296" spans="1:6" ht="12.75">
      <c r="A12296" s="8">
        <v>43899.33975694445</v>
      </c>
      <c r="B12296" s="8" t="str">
        <f>HYPERLINK("https://twitter.com/Ichwanzein","@Ichwanzein")</f>
        <v>@Ichwanzein</v>
      </c>
      <c r="C12296" s="8" t="s">
        <v>4927</v>
      </c>
      <c r="D12296" s="8">
        <v>58</v>
      </c>
      <c r="E12296" s="8">
        <v>0</v>
      </c>
      <c r="F12296" s="8">
        <v>776</v>
      </c>
    </row>
    <row r="12297" spans="1:6" ht="12.75">
      <c r="A12297" s="8">
        <v>43899.339328703703</v>
      </c>
      <c r="B12297" s="8" t="str">
        <f>HYPERLINK("https://twitter.com/SimonYa00021159","@SimonYa00021159")</f>
        <v>@SimonYa00021159</v>
      </c>
      <c r="C12297" s="8" t="s">
        <v>3262</v>
      </c>
      <c r="D12297" s="8">
        <v>30</v>
      </c>
      <c r="E12297" s="8">
        <v>0</v>
      </c>
      <c r="F12297" s="8">
        <v>167</v>
      </c>
    </row>
    <row r="12298" spans="1:6" ht="12.75">
      <c r="A12298" s="8">
        <v>43899.337743055556</v>
      </c>
      <c r="B12298" s="8" t="str">
        <f>HYPERLINK("https://twitter.com/diditmuhammad","@diditmuhammad")</f>
        <v>@diditmuhammad</v>
      </c>
      <c r="C12298" s="8" t="s">
        <v>3265</v>
      </c>
      <c r="D12298" s="8">
        <v>514</v>
      </c>
      <c r="E12298" s="8">
        <v>0</v>
      </c>
      <c r="F12298" s="8">
        <v>499</v>
      </c>
    </row>
    <row r="12299" spans="1:6" ht="12.75">
      <c r="A12299" s="8">
        <v>43899.33766203704</v>
      </c>
      <c r="B12299" s="8" t="str">
        <f>HYPERLINK("https://twitter.com/tenhyd","@tenhyd")</f>
        <v>@tenhyd</v>
      </c>
      <c r="C12299" s="8" t="s">
        <v>1917</v>
      </c>
      <c r="D12299" s="8">
        <v>983</v>
      </c>
      <c r="E12299" s="8">
        <v>0</v>
      </c>
      <c r="F12299" s="8">
        <v>204</v>
      </c>
    </row>
    <row r="12300" spans="1:6" ht="12.75">
      <c r="A12300" s="8">
        <v>43899.337604166663</v>
      </c>
      <c r="B12300" s="8" t="str">
        <f>HYPERLINK("https://twitter.com/taeyoongimatcha","@taeyoongimatcha")</f>
        <v>@taeyoongimatcha</v>
      </c>
      <c r="C12300" s="8" t="s">
        <v>4795</v>
      </c>
      <c r="D12300" s="8">
        <v>19</v>
      </c>
      <c r="E12300" s="8">
        <v>0</v>
      </c>
      <c r="F12300" s="8">
        <v>365</v>
      </c>
    </row>
    <row r="12301" spans="1:6" ht="12.75">
      <c r="A12301" s="8">
        <v>43899.336967592593</v>
      </c>
      <c r="B12301" s="8" t="str">
        <f>HYPERLINK("https://twitter.com/hczlnut","@hczlnut")</f>
        <v>@hczlnut</v>
      </c>
      <c r="C12301" s="8" t="s">
        <v>4795</v>
      </c>
      <c r="D12301" s="8">
        <v>19</v>
      </c>
      <c r="E12301" s="8">
        <v>0</v>
      </c>
      <c r="F12301" s="8">
        <v>95</v>
      </c>
    </row>
    <row r="12302" spans="1:6" ht="12.75">
      <c r="A12302" s="8">
        <v>43899.336909722224</v>
      </c>
      <c r="B12302" s="8" t="str">
        <f>HYPERLINK("https://twitter.com/saradmnnit","@saradmnnit")</f>
        <v>@saradmnnit</v>
      </c>
      <c r="C12302" s="8" t="s">
        <v>1917</v>
      </c>
      <c r="D12302" s="8">
        <v>983</v>
      </c>
      <c r="E12302" s="8">
        <v>0</v>
      </c>
      <c r="F12302" s="8">
        <v>1481</v>
      </c>
    </row>
    <row r="12303" spans="1:6" ht="12.75">
      <c r="A12303" s="8">
        <v>43899.336840277778</v>
      </c>
      <c r="B12303" s="8" t="str">
        <f>HYPERLINK("https://twitter.com/ashishneeraj","@ashishneeraj")</f>
        <v>@ashishneeraj</v>
      </c>
      <c r="C12303" s="8" t="s">
        <v>1917</v>
      </c>
      <c r="D12303" s="8">
        <v>983</v>
      </c>
      <c r="E12303" s="8">
        <v>0</v>
      </c>
      <c r="F12303" s="8">
        <v>674</v>
      </c>
    </row>
    <row r="12304" spans="1:6" ht="12.75">
      <c r="A12304" s="8">
        <v>43899.336655092593</v>
      </c>
      <c r="B12304" s="8" t="str">
        <f>HYPERLINK("https://twitter.com/lase_dhanil","@lase_dhanil")</f>
        <v>@lase_dhanil</v>
      </c>
      <c r="C12304" s="8" t="s">
        <v>3262</v>
      </c>
      <c r="D12304" s="8">
        <v>30</v>
      </c>
      <c r="E12304" s="8">
        <v>0</v>
      </c>
      <c r="F12304" s="8">
        <v>475</v>
      </c>
    </row>
    <row r="12305" spans="1:6" ht="12.75">
      <c r="A12305" s="8">
        <v>43899.336446759262</v>
      </c>
      <c r="B12305" s="8" t="str">
        <f>HYPERLINK("https://twitter.com/bin1022131","@bin1022131")</f>
        <v>@bin1022131</v>
      </c>
      <c r="C12305" s="8" t="s">
        <v>4795</v>
      </c>
      <c r="D12305" s="8">
        <v>19</v>
      </c>
      <c r="E12305" s="8">
        <v>0</v>
      </c>
      <c r="F12305" s="8">
        <v>35</v>
      </c>
    </row>
    <row r="12306" spans="1:6" ht="12.75">
      <c r="A12306" s="8">
        <v>43899.335856481484</v>
      </c>
      <c r="B12306" s="8" t="str">
        <f>HYPERLINK("https://twitter.com/lukisaepul","@lukisaepul")</f>
        <v>@lukisaepul</v>
      </c>
      <c r="C12306" s="8" t="s">
        <v>3262</v>
      </c>
      <c r="D12306" s="8">
        <v>30</v>
      </c>
      <c r="E12306" s="8">
        <v>0</v>
      </c>
      <c r="F12306" s="8">
        <v>792</v>
      </c>
    </row>
    <row r="12307" spans="1:6" ht="12.75">
      <c r="A12307" s="8">
        <v>43899.33556712963</v>
      </c>
      <c r="B12307" s="8" t="str">
        <f>HYPERLINK("https://twitter.com/desmonebenezer2","@desmonebenezer2")</f>
        <v>@desmonebenezer2</v>
      </c>
      <c r="C12307" s="8" t="s">
        <v>3262</v>
      </c>
      <c r="D12307" s="8">
        <v>30</v>
      </c>
      <c r="E12307" s="8">
        <v>0</v>
      </c>
      <c r="F12307" s="8">
        <v>110</v>
      </c>
    </row>
    <row r="12308" spans="1:6" ht="12.75">
      <c r="A12308" s="8">
        <v>43899.33520833333</v>
      </c>
      <c r="B12308" s="8" t="str">
        <f>HYPERLINK("https://twitter.com/ahmagun13","@ahmagun13")</f>
        <v>@ahmagun13</v>
      </c>
      <c r="C12308" s="8" t="s">
        <v>3126</v>
      </c>
      <c r="D12308" s="8">
        <v>48</v>
      </c>
      <c r="E12308" s="8">
        <v>0</v>
      </c>
      <c r="F12308" s="8">
        <v>362</v>
      </c>
    </row>
    <row r="12309" spans="1:6" ht="12.75">
      <c r="A12309" s="8">
        <v>43899.335185185184</v>
      </c>
      <c r="B12309" s="8" t="str">
        <f>HYPERLINK("https://twitter.com/agama_nusantara","@agama_nusantara")</f>
        <v>@agama_nusantara</v>
      </c>
      <c r="C12309" s="8" t="s">
        <v>3262</v>
      </c>
      <c r="D12309" s="8">
        <v>30</v>
      </c>
      <c r="E12309" s="8">
        <v>0</v>
      </c>
      <c r="F12309" s="8">
        <v>7454</v>
      </c>
    </row>
    <row r="12310" spans="1:6" ht="12.75">
      <c r="A12310" s="8">
        <v>43899.335023148145</v>
      </c>
      <c r="B12310" s="8" t="str">
        <f>HYPERLINK("https://twitter.com/satrio_Abiem","@satrio_Abiem")</f>
        <v>@satrio_Abiem</v>
      </c>
      <c r="C12310" s="8" t="s">
        <v>5060</v>
      </c>
      <c r="D12310" s="8">
        <v>0</v>
      </c>
      <c r="E12310" s="8">
        <v>0</v>
      </c>
      <c r="F12310" s="8">
        <v>1277</v>
      </c>
    </row>
    <row r="12311" spans="1:6" ht="12.75">
      <c r="A12311" s="8">
        <v>43899.334918981476</v>
      </c>
      <c r="B12311" s="8" t="str">
        <f>HYPERLINK("https://twitter.com/Destisa7","@Destisa7")</f>
        <v>@Destisa7</v>
      </c>
      <c r="C12311" s="8" t="s">
        <v>3126</v>
      </c>
      <c r="D12311" s="8">
        <v>48</v>
      </c>
      <c r="E12311" s="8">
        <v>0</v>
      </c>
      <c r="F12311" s="8">
        <v>1456</v>
      </c>
    </row>
    <row r="12312" spans="1:6" ht="12.75">
      <c r="A12312" s="8">
        <v>43899.334814814814</v>
      </c>
      <c r="B12312" s="8" t="str">
        <f>HYPERLINK("https://twitter.com/ocin71","@ocin71")</f>
        <v>@ocin71</v>
      </c>
      <c r="C12312" s="8" t="s">
        <v>4927</v>
      </c>
      <c r="D12312" s="8">
        <v>58</v>
      </c>
      <c r="E12312" s="8">
        <v>0</v>
      </c>
      <c r="F12312" s="8">
        <v>347</v>
      </c>
    </row>
    <row r="12313" spans="1:6" ht="12.75">
      <c r="A12313" s="8">
        <v>43899.334768518514</v>
      </c>
      <c r="B12313" s="8" t="str">
        <f>HYPERLINK("https://twitter.com/piyu7444","@piyu7444")</f>
        <v>@piyu7444</v>
      </c>
      <c r="C12313" s="8" t="s">
        <v>1917</v>
      </c>
      <c r="D12313" s="8">
        <v>983</v>
      </c>
      <c r="E12313" s="8">
        <v>0</v>
      </c>
      <c r="F12313" s="8">
        <v>65</v>
      </c>
    </row>
    <row r="12314" spans="1:6" ht="12.75">
      <c r="A12314" s="8">
        <v>43899.33458333333</v>
      </c>
      <c r="B12314" s="8" t="str">
        <f>HYPERLINK("https://twitter.com/indroprayitno39","@indroprayitno39")</f>
        <v>@indroprayitno39</v>
      </c>
      <c r="C12314" s="8" t="s">
        <v>4591</v>
      </c>
      <c r="D12314" s="8">
        <v>18</v>
      </c>
      <c r="E12314" s="8">
        <v>0</v>
      </c>
      <c r="F12314" s="8">
        <v>159</v>
      </c>
    </row>
    <row r="12315" spans="1:6" ht="12.75">
      <c r="A12315" s="8">
        <v>43899.334548611107</v>
      </c>
      <c r="B12315" s="8" t="str">
        <f>HYPERLINK("https://twitter.com/agama_nusantara","@agama_nusantara")</f>
        <v>@agama_nusantara</v>
      </c>
      <c r="C12315" s="8" t="s">
        <v>5061</v>
      </c>
      <c r="D12315" s="8">
        <v>3</v>
      </c>
      <c r="E12315" s="8">
        <v>0</v>
      </c>
      <c r="F12315" s="8">
        <v>7454</v>
      </c>
    </row>
    <row r="12316" spans="1:6" ht="12.75">
      <c r="A12316" s="8">
        <v>43899.333854166667</v>
      </c>
      <c r="B12316" s="8" t="str">
        <f>HYPERLINK("https://twitter.com/Skrkn1","@Skrkn1")</f>
        <v>@Skrkn1</v>
      </c>
      <c r="C12316" s="8" t="s">
        <v>5062</v>
      </c>
      <c r="D12316" s="8">
        <v>1</v>
      </c>
      <c r="E12316" s="8">
        <v>0</v>
      </c>
      <c r="F12316" s="8">
        <v>10</v>
      </c>
    </row>
    <row r="12317" spans="1:6" ht="12.75">
      <c r="A12317" s="8">
        <v>43899.333518518513</v>
      </c>
      <c r="B12317" s="8" t="str">
        <f>HYPERLINK("https://twitter.com/sonumehta0002","@sonumehta0002")</f>
        <v>@sonumehta0002</v>
      </c>
      <c r="C12317" s="8" t="s">
        <v>1917</v>
      </c>
      <c r="D12317" s="8">
        <v>983</v>
      </c>
      <c r="E12317" s="8">
        <v>0</v>
      </c>
      <c r="F12317" s="8">
        <v>105</v>
      </c>
    </row>
    <row r="12318" spans="1:6" ht="12.75">
      <c r="A12318" s="8">
        <v>43899.333321759259</v>
      </c>
      <c r="B12318" s="8" t="str">
        <f>HYPERLINK("https://twitter.com/zoelkarnain__","@zoelkarnain__")</f>
        <v>@zoelkarnain__</v>
      </c>
      <c r="C12318" s="8" t="s">
        <v>4795</v>
      </c>
      <c r="D12318" s="8">
        <v>19</v>
      </c>
      <c r="E12318" s="8">
        <v>0</v>
      </c>
      <c r="F12318" s="8">
        <v>367</v>
      </c>
    </row>
    <row r="12319" spans="1:6" ht="12.75">
      <c r="A12319" s="8">
        <v>43899.333090277782</v>
      </c>
      <c r="B12319" s="8" t="str">
        <f>HYPERLINK("https://twitter.com/Yasmin15889819","@Yasmin15889819")</f>
        <v>@Yasmin15889819</v>
      </c>
      <c r="C12319" s="8" t="s">
        <v>3821</v>
      </c>
      <c r="D12319" s="8">
        <v>17</v>
      </c>
      <c r="E12319" s="8">
        <v>0</v>
      </c>
      <c r="F12319" s="8">
        <v>276</v>
      </c>
    </row>
    <row r="12320" spans="1:6" ht="12.75">
      <c r="A12320" s="8">
        <v>43899.332858796297</v>
      </c>
      <c r="B12320" s="8" t="str">
        <f>HYPERLINK("https://twitter.com/Beritasatu","@Beritasatu")</f>
        <v>@Beritasatu</v>
      </c>
      <c r="C12320" s="8" t="s">
        <v>5063</v>
      </c>
      <c r="D12320" s="8">
        <v>1</v>
      </c>
      <c r="E12320" s="8">
        <v>4</v>
      </c>
      <c r="F12320" s="8">
        <v>618520</v>
      </c>
    </row>
    <row r="12321" spans="1:6" ht="12.75">
      <c r="A12321" s="8">
        <v>43899.332384259258</v>
      </c>
      <c r="B12321" s="8" t="str">
        <f>HYPERLINK("https://twitter.com/jasminealie","@jasminealie")</f>
        <v>@jasminealie</v>
      </c>
      <c r="C12321" s="8" t="s">
        <v>4795</v>
      </c>
      <c r="D12321" s="8">
        <v>19</v>
      </c>
      <c r="E12321" s="8">
        <v>0</v>
      </c>
      <c r="F12321" s="8">
        <v>748</v>
      </c>
    </row>
    <row r="12322" spans="1:6" ht="12.75">
      <c r="A12322" s="8">
        <v>43899.332083333335</v>
      </c>
      <c r="B12322" s="8" t="str">
        <f>HYPERLINK("https://twitter.com/napuandini","@napuandini")</f>
        <v>@napuandini</v>
      </c>
      <c r="C12322" s="8" t="s">
        <v>4795</v>
      </c>
      <c r="D12322" s="8">
        <v>19</v>
      </c>
      <c r="E12322" s="8">
        <v>0</v>
      </c>
      <c r="F12322" s="8">
        <v>999</v>
      </c>
    </row>
    <row r="12323" spans="1:6" ht="12.75">
      <c r="A12323" s="8">
        <v>43899.332060185188</v>
      </c>
      <c r="B12323" s="8" t="str">
        <f>HYPERLINK("https://twitter.com/faisalramdani23","@faisalramdani23")</f>
        <v>@faisalramdani23</v>
      </c>
      <c r="C12323" s="8" t="s">
        <v>5064</v>
      </c>
      <c r="D12323" s="8">
        <v>2</v>
      </c>
      <c r="E12323" s="8">
        <v>0</v>
      </c>
      <c r="F12323" s="8">
        <v>448</v>
      </c>
    </row>
    <row r="12324" spans="1:6" ht="12.75">
      <c r="A12324" s="8">
        <v>43899.331747685181</v>
      </c>
      <c r="B12324" s="8" t="str">
        <f>HYPERLINK("https://twitter.com/DivineHindu","@DivineHindu")</f>
        <v>@DivineHindu</v>
      </c>
      <c r="C12324" s="8" t="s">
        <v>1917</v>
      </c>
      <c r="D12324" s="8">
        <v>983</v>
      </c>
      <c r="E12324" s="8">
        <v>0</v>
      </c>
      <c r="F12324" s="8">
        <v>5800</v>
      </c>
    </row>
    <row r="12325" spans="1:6" ht="12.75">
      <c r="A12325" s="8">
        <v>43899.331736111111</v>
      </c>
      <c r="B12325" s="8" t="str">
        <f>HYPERLINK("https://twitter.com/Im_Egalitarian","@Im_Egalitarian")</f>
        <v>@Im_Egalitarian</v>
      </c>
      <c r="C12325" s="8" t="s">
        <v>1917</v>
      </c>
      <c r="D12325" s="8">
        <v>983</v>
      </c>
      <c r="E12325" s="8">
        <v>0</v>
      </c>
      <c r="F12325" s="8">
        <v>137</v>
      </c>
    </row>
    <row r="12326" spans="1:6" ht="12.75">
      <c r="A12326" s="8">
        <v>43899.331504629634</v>
      </c>
      <c r="B12326" s="8" t="str">
        <f>HYPERLINK("https://twitter.com/CeriaSinom","@CeriaSinom")</f>
        <v>@CeriaSinom</v>
      </c>
      <c r="C12326" s="8" t="s">
        <v>3262</v>
      </c>
      <c r="D12326" s="8">
        <v>30</v>
      </c>
      <c r="E12326" s="8">
        <v>0</v>
      </c>
      <c r="F12326" s="8">
        <v>155</v>
      </c>
    </row>
    <row r="12327" spans="1:6" ht="12.75">
      <c r="A12327" s="8">
        <v>43899.331412037034</v>
      </c>
      <c r="B12327" s="8" t="str">
        <f>HYPERLINK("https://twitter.com/mitravarun2","@mitravarun2")</f>
        <v>@mitravarun2</v>
      </c>
      <c r="C12327" s="8" t="s">
        <v>1917</v>
      </c>
      <c r="D12327" s="8">
        <v>983</v>
      </c>
      <c r="E12327" s="8">
        <v>0</v>
      </c>
      <c r="F12327" s="8">
        <v>631</v>
      </c>
    </row>
    <row r="12328" spans="1:6" ht="12.75">
      <c r="A12328" s="8">
        <v>43899.331145833334</v>
      </c>
      <c r="B12328" s="8" t="str">
        <f>HYPERLINK("https://twitter.com/Yfais","@Yfais")</f>
        <v>@Yfais</v>
      </c>
      <c r="C12328" s="8" t="s">
        <v>3262</v>
      </c>
      <c r="D12328" s="8">
        <v>30</v>
      </c>
      <c r="E12328" s="8">
        <v>0</v>
      </c>
      <c r="F12328" s="8">
        <v>619</v>
      </c>
    </row>
    <row r="12329" spans="1:6" ht="12.75">
      <c r="A12329" s="8">
        <v>43899.330972222218</v>
      </c>
      <c r="B12329" s="8" t="str">
        <f>HYPERLINK("https://twitter.com/hemaviton99","@hemaviton99")</f>
        <v>@hemaviton99</v>
      </c>
      <c r="C12329" s="8" t="s">
        <v>3262</v>
      </c>
      <c r="D12329" s="8">
        <v>30</v>
      </c>
      <c r="E12329" s="8">
        <v>0</v>
      </c>
      <c r="F12329" s="8">
        <v>5842</v>
      </c>
    </row>
    <row r="12330" spans="1:6" ht="12.75">
      <c r="A12330" s="8">
        <v>43899.330960648149</v>
      </c>
      <c r="B12330" s="8" t="str">
        <f>HYPERLINK("https://twitter.com/sakuraaa_3","@sakuraaa_3")</f>
        <v>@sakuraaa_3</v>
      </c>
      <c r="C12330" s="8" t="s">
        <v>4795</v>
      </c>
      <c r="D12330" s="8">
        <v>19</v>
      </c>
      <c r="E12330" s="8">
        <v>0</v>
      </c>
      <c r="F12330" s="8">
        <v>65</v>
      </c>
    </row>
    <row r="12331" spans="1:6" ht="12.75">
      <c r="A12331" s="8">
        <v>43899.330937499995</v>
      </c>
      <c r="B12331" s="8" t="str">
        <f>HYPERLINK("https://twitter.com/tribunnews","@tribunnews")</f>
        <v>@tribunnews</v>
      </c>
      <c r="C12331" s="8" t="s">
        <v>5065</v>
      </c>
      <c r="D12331" s="8">
        <v>2</v>
      </c>
      <c r="E12331" s="8">
        <v>5</v>
      </c>
      <c r="F12331" s="8">
        <v>892161</v>
      </c>
    </row>
    <row r="12332" spans="1:6" ht="12.75">
      <c r="A12332" s="8">
        <v>43899.330879629633</v>
      </c>
      <c r="B12332" s="8" t="str">
        <f>HYPERLINK("https://twitter.com/pangudarasa","@pangudarasa")</f>
        <v>@pangudarasa</v>
      </c>
      <c r="C12332" s="8" t="s">
        <v>5066</v>
      </c>
      <c r="D12332" s="8">
        <v>0</v>
      </c>
      <c r="E12332" s="8">
        <v>1</v>
      </c>
      <c r="F12332" s="8">
        <v>242</v>
      </c>
    </row>
    <row r="12333" spans="1:6" ht="12.75">
      <c r="A12333" s="8">
        <v>43899.330833333333</v>
      </c>
      <c r="B12333" s="8" t="str">
        <f>HYPERLINK("https://twitter.com/shintaaraa_","@shintaaraa_")</f>
        <v>@shintaaraa_</v>
      </c>
      <c r="C12333" s="8" t="s">
        <v>5067</v>
      </c>
      <c r="D12333" s="8">
        <v>2</v>
      </c>
      <c r="E12333" s="8">
        <v>0</v>
      </c>
      <c r="F12333" s="8">
        <v>3389</v>
      </c>
    </row>
    <row r="12334" spans="1:6" ht="12.75">
      <c r="A12334" s="8">
        <v>43899.330648148149</v>
      </c>
      <c r="B12334" s="8" t="str">
        <f>HYPERLINK("https://twitter.com/voaislam","@voaislam")</f>
        <v>@voaislam</v>
      </c>
      <c r="C12334" s="8" t="s">
        <v>4020</v>
      </c>
      <c r="D12334" s="8">
        <v>0</v>
      </c>
      <c r="E12334" s="8">
        <v>0</v>
      </c>
      <c r="F12334" s="8">
        <v>87848</v>
      </c>
    </row>
    <row r="12335" spans="1:6" ht="12.75">
      <c r="A12335" s="8">
        <v>43899.330300925925</v>
      </c>
      <c r="B12335" s="8" t="str">
        <f>HYPERLINK("https://twitter.com/cutejaeminaa","@cutejaeminaa")</f>
        <v>@cutejaeminaa</v>
      </c>
      <c r="C12335" s="8" t="s">
        <v>4795</v>
      </c>
      <c r="D12335" s="8">
        <v>19</v>
      </c>
      <c r="E12335" s="8">
        <v>0</v>
      </c>
      <c r="F12335" s="8">
        <v>339</v>
      </c>
    </row>
    <row r="12336" spans="1:6" ht="12.75">
      <c r="A12336" s="8">
        <v>43899.330162037033</v>
      </c>
      <c r="B12336" s="8" t="str">
        <f>HYPERLINK("https://twitter.com/moprat02255","@moprat02255")</f>
        <v>@moprat02255</v>
      </c>
      <c r="C12336" s="8" t="s">
        <v>4795</v>
      </c>
      <c r="D12336" s="8">
        <v>19</v>
      </c>
      <c r="E12336" s="8">
        <v>0</v>
      </c>
      <c r="F12336" s="8">
        <v>2120</v>
      </c>
    </row>
    <row r="12337" spans="1:6" ht="12.75">
      <c r="A12337" s="8">
        <v>43899.329953703702</v>
      </c>
      <c r="B12337" s="8" t="str">
        <f>HYPERLINK("https://twitter.com/itsAthenazi","@itsAthenazi")</f>
        <v>@itsAthenazi</v>
      </c>
      <c r="C12337" s="8" t="s">
        <v>4795</v>
      </c>
      <c r="D12337" s="8">
        <v>19</v>
      </c>
      <c r="E12337" s="8">
        <v>0</v>
      </c>
      <c r="F12337" s="8">
        <v>618</v>
      </c>
    </row>
    <row r="12338" spans="1:6" ht="12.75">
      <c r="A12338" s="8">
        <v>43899.329629629632</v>
      </c>
      <c r="B12338" s="8" t="str">
        <f>HYPERLINK("https://twitter.com/anwar_suprijadi","@anwar_suprijadi")</f>
        <v>@anwar_suprijadi</v>
      </c>
      <c r="C12338" s="8" t="s">
        <v>5068</v>
      </c>
      <c r="D12338" s="8">
        <v>0</v>
      </c>
      <c r="E12338" s="8">
        <v>0</v>
      </c>
      <c r="F12338" s="8">
        <v>143</v>
      </c>
    </row>
    <row r="12339" spans="1:6" ht="12.75">
      <c r="A12339" s="8">
        <v>43899.329421296294</v>
      </c>
      <c r="B12339" s="8" t="str">
        <f>HYPERLINK("https://twitter.com/sarimusdar09","@sarimusdar09")</f>
        <v>@sarimusdar09</v>
      </c>
      <c r="C12339" s="8" t="s">
        <v>5069</v>
      </c>
      <c r="D12339" s="8">
        <v>1</v>
      </c>
      <c r="E12339" s="8">
        <v>0</v>
      </c>
      <c r="F12339" s="8">
        <v>4468</v>
      </c>
    </row>
    <row r="12340" spans="1:6" ht="12.75">
      <c r="A12340" s="8">
        <v>43899.329212962963</v>
      </c>
      <c r="B12340" s="8" t="str">
        <f>HYPERLINK("https://twitter.com/hendry_martien","@hendry_martien")</f>
        <v>@hendry_martien</v>
      </c>
      <c r="C12340" s="8" t="s">
        <v>3262</v>
      </c>
      <c r="D12340" s="8">
        <v>30</v>
      </c>
      <c r="E12340" s="8">
        <v>0</v>
      </c>
      <c r="F12340" s="8">
        <v>646</v>
      </c>
    </row>
    <row r="12341" spans="1:6" ht="12.75">
      <c r="A12341" s="8">
        <v>43899.329166666663</v>
      </c>
      <c r="B12341" s="8" t="str">
        <f>HYPERLINK("https://twitter.com/MYSangPrabu","@MYSangPrabu")</f>
        <v>@MYSangPrabu</v>
      </c>
      <c r="C12341" s="8" t="s">
        <v>3126</v>
      </c>
      <c r="D12341" s="8">
        <v>48</v>
      </c>
      <c r="E12341" s="8">
        <v>0</v>
      </c>
      <c r="F12341" s="8">
        <v>932</v>
      </c>
    </row>
    <row r="12342" spans="1:6" ht="12.75">
      <c r="A12342" s="8">
        <v>43899.328969907408</v>
      </c>
      <c r="B12342" s="8" t="str">
        <f>HYPERLINK("https://twitter.com/ajeeysaka","@ajeeysaka")</f>
        <v>@ajeeysaka</v>
      </c>
      <c r="C12342" s="8" t="s">
        <v>3262</v>
      </c>
      <c r="D12342" s="8">
        <v>30</v>
      </c>
      <c r="E12342" s="8">
        <v>0</v>
      </c>
      <c r="F12342" s="8">
        <v>755</v>
      </c>
    </row>
    <row r="12343" spans="1:6" ht="12.75">
      <c r="A12343" s="8">
        <v>43899.32876157407</v>
      </c>
      <c r="B12343" s="8" t="str">
        <f>HYPERLINK("https://twitter.com/T14503NG","@T14503NG")</f>
        <v>@T14503NG</v>
      </c>
      <c r="C12343" s="8" t="s">
        <v>4795</v>
      </c>
      <c r="D12343" s="8">
        <v>19</v>
      </c>
      <c r="E12343" s="8">
        <v>0</v>
      </c>
      <c r="F12343" s="8">
        <v>850</v>
      </c>
    </row>
    <row r="12344" spans="1:6" ht="12.75">
      <c r="A12344" s="8">
        <v>43899.328229166669</v>
      </c>
      <c r="B12344" s="8" t="str">
        <f>HYPERLINK("https://twitter.com/kusuma_kinan","@kusuma_kinan")</f>
        <v>@kusuma_kinan</v>
      </c>
      <c r="C12344" s="8" t="s">
        <v>3126</v>
      </c>
      <c r="D12344" s="8">
        <v>48</v>
      </c>
      <c r="E12344" s="8">
        <v>0</v>
      </c>
      <c r="F12344" s="8">
        <v>661</v>
      </c>
    </row>
    <row r="12345" spans="1:6" ht="12.75">
      <c r="A12345" s="8">
        <v>43899.328090277777</v>
      </c>
      <c r="B12345" s="8" t="str">
        <f>HYPERLINK("https://twitter.com/KATADATAcoid","@KATADATAcoid")</f>
        <v>@KATADATAcoid</v>
      </c>
      <c r="C12345" s="8" t="s">
        <v>5070</v>
      </c>
      <c r="D12345" s="8">
        <v>0</v>
      </c>
      <c r="E12345" s="8">
        <v>4</v>
      </c>
      <c r="F12345" s="8">
        <v>42004</v>
      </c>
    </row>
    <row r="12346" spans="1:6" ht="12.75">
      <c r="A12346" s="8">
        <v>43899.3278587963</v>
      </c>
      <c r="B12346" s="8" t="str">
        <f>HYPERLINK("https://twitter.com/fandy5758","@fandy5758")</f>
        <v>@fandy5758</v>
      </c>
      <c r="C12346" s="8" t="s">
        <v>3265</v>
      </c>
      <c r="D12346" s="8">
        <v>514</v>
      </c>
      <c r="E12346" s="8">
        <v>0</v>
      </c>
      <c r="F12346" s="8">
        <v>73</v>
      </c>
    </row>
    <row r="12347" spans="1:6" ht="12.75">
      <c r="A12347" s="8">
        <v>43899.327268518522</v>
      </c>
      <c r="B12347" s="8" t="str">
        <f>HYPERLINK("https://twitter.com/only131_","@only131_")</f>
        <v>@only131_</v>
      </c>
      <c r="C12347" s="8" t="s">
        <v>4795</v>
      </c>
      <c r="D12347" s="8">
        <v>19</v>
      </c>
      <c r="E12347" s="8">
        <v>0</v>
      </c>
      <c r="F12347" s="8">
        <v>532</v>
      </c>
    </row>
    <row r="12348" spans="1:6" ht="12.75">
      <c r="A12348" s="8">
        <v>43899.327245370368</v>
      </c>
      <c r="B12348" s="8" t="str">
        <f>HYPERLINK("https://twitter.com/BentenkNKRI","@BentenkNKRI")</f>
        <v>@BentenkNKRI</v>
      </c>
      <c r="C12348" s="8" t="s">
        <v>3262</v>
      </c>
      <c r="D12348" s="8">
        <v>30</v>
      </c>
      <c r="E12348" s="8">
        <v>0</v>
      </c>
      <c r="F12348" s="8">
        <v>1388</v>
      </c>
    </row>
    <row r="12349" spans="1:6" ht="12.75">
      <c r="A12349" s="8">
        <v>43899.327106481476</v>
      </c>
      <c r="B12349" s="8" t="str">
        <f>HYPERLINK("https://twitter.com/_greyrainbows","@_greyrainbows")</f>
        <v>@_greyrainbows</v>
      </c>
      <c r="C12349" s="8" t="s">
        <v>4795</v>
      </c>
      <c r="D12349" s="8">
        <v>19</v>
      </c>
      <c r="E12349" s="8">
        <v>0</v>
      </c>
      <c r="F12349" s="8">
        <v>4306</v>
      </c>
    </row>
    <row r="12350" spans="1:6" ht="12.75">
      <c r="A12350" s="8">
        <v>43899.327060185184</v>
      </c>
      <c r="B12350" s="8" t="str">
        <f>HYPERLINK("https://twitter.com/meow_leader","@meow_leader")</f>
        <v>@meow_leader</v>
      </c>
      <c r="C12350" s="8" t="s">
        <v>3262</v>
      </c>
      <c r="D12350" s="8">
        <v>30</v>
      </c>
      <c r="E12350" s="8">
        <v>0</v>
      </c>
      <c r="F12350" s="8">
        <v>3734</v>
      </c>
    </row>
    <row r="12351" spans="1:6" ht="12.75">
      <c r="A12351" s="8">
        <v>43899.327002314814</v>
      </c>
      <c r="B12351" s="8" t="str">
        <f>HYPERLINK("https://twitter.com/expelliarmusc","@expelliarmusc")</f>
        <v>@expelliarmusc</v>
      </c>
      <c r="C12351" s="8" t="s">
        <v>4795</v>
      </c>
      <c r="D12351" s="8">
        <v>19</v>
      </c>
      <c r="E12351" s="8">
        <v>0</v>
      </c>
      <c r="F12351" s="8">
        <v>425</v>
      </c>
    </row>
    <row r="12352" spans="1:6" ht="12.75">
      <c r="A12352" s="8">
        <v>43899.326886574076</v>
      </c>
      <c r="B12352" s="8" t="str">
        <f>HYPERLINK("https://twitter.com/sechankuy","@sechankuy")</f>
        <v>@sechankuy</v>
      </c>
      <c r="C12352" s="8" t="s">
        <v>4795</v>
      </c>
      <c r="D12352" s="8">
        <v>19</v>
      </c>
      <c r="E12352" s="8">
        <v>0</v>
      </c>
      <c r="F12352" s="8">
        <v>164</v>
      </c>
    </row>
    <row r="12353" spans="1:6" ht="12.75">
      <c r="A12353" s="8">
        <v>43899.326562499999</v>
      </c>
      <c r="B12353" s="8" t="str">
        <f>HYPERLINK("https://twitter.com/rizkiputraasle","@rizkiputraasle")</f>
        <v>@rizkiputraasle</v>
      </c>
      <c r="C12353" s="8" t="s">
        <v>5071</v>
      </c>
      <c r="D12353" s="8">
        <v>0</v>
      </c>
      <c r="E12353" s="8">
        <v>0</v>
      </c>
      <c r="F12353" s="8">
        <v>332</v>
      </c>
    </row>
    <row r="12354" spans="1:6" ht="12.75">
      <c r="A12354" s="8">
        <v>43899.326550925922</v>
      </c>
      <c r="B12354" s="8" t="str">
        <f>HYPERLINK("https://twitter.com/azisbakhtiar","@azisbakhtiar")</f>
        <v>@azisbakhtiar</v>
      </c>
      <c r="C12354" s="8" t="s">
        <v>4795</v>
      </c>
      <c r="D12354" s="8">
        <v>19</v>
      </c>
      <c r="E12354" s="8">
        <v>0</v>
      </c>
      <c r="F12354" s="8">
        <v>1779</v>
      </c>
    </row>
    <row r="12355" spans="1:6" ht="12.75">
      <c r="A12355" s="8">
        <v>43899.326481481483</v>
      </c>
      <c r="B12355" s="8" t="str">
        <f>HYPERLINK("https://twitter.com/diptijoshi31","@diptijoshi31")</f>
        <v>@diptijoshi31</v>
      </c>
      <c r="C12355" s="8" t="s">
        <v>1917</v>
      </c>
      <c r="D12355" s="8">
        <v>983</v>
      </c>
      <c r="E12355" s="8">
        <v>0</v>
      </c>
      <c r="F12355" s="8">
        <v>127</v>
      </c>
    </row>
    <row r="12356" spans="1:6" ht="12.75">
      <c r="A12356" s="8">
        <v>43899.326342592598</v>
      </c>
      <c r="B12356" s="8" t="str">
        <f>HYPERLINK("https://twitter.com/manoj250785","@manoj250785")</f>
        <v>@manoj250785</v>
      </c>
      <c r="C12356" s="8" t="s">
        <v>1917</v>
      </c>
      <c r="D12356" s="8">
        <v>983</v>
      </c>
      <c r="E12356" s="8">
        <v>0</v>
      </c>
      <c r="F12356" s="8">
        <v>138</v>
      </c>
    </row>
    <row r="12357" spans="1:6" ht="12.75">
      <c r="A12357" s="8">
        <v>43899.325983796298</v>
      </c>
      <c r="B12357" s="8" t="str">
        <f>HYPERLINK("https://twitter.com/BeritaCOVID19","@BeritaCOVID19")</f>
        <v>@BeritaCOVID19</v>
      </c>
      <c r="C12357" s="8" t="s">
        <v>5072</v>
      </c>
      <c r="D12357" s="8">
        <v>19</v>
      </c>
      <c r="E12357" s="8">
        <v>29</v>
      </c>
      <c r="F12357" s="8">
        <v>20355</v>
      </c>
    </row>
    <row r="12358" spans="1:6" ht="12.75">
      <c r="A12358" s="8">
        <v>43899.325138888889</v>
      </c>
      <c r="B12358" s="8" t="str">
        <f>HYPERLINK("https://twitter.com/manju1812","@manju1812")</f>
        <v>@manju1812</v>
      </c>
      <c r="C12358" s="8" t="s">
        <v>1917</v>
      </c>
      <c r="D12358" s="8">
        <v>983</v>
      </c>
      <c r="E12358" s="8">
        <v>0</v>
      </c>
      <c r="F12358" s="8">
        <v>226</v>
      </c>
    </row>
    <row r="12359" spans="1:6" ht="12.75">
      <c r="A12359" s="8">
        <v>43899.325057870374</v>
      </c>
      <c r="B12359" s="8" t="str">
        <f>HYPERLINK("https://twitter.com/Chikiajadong","@Chikiajadong")</f>
        <v>@Chikiajadong</v>
      </c>
      <c r="C12359" s="8" t="s">
        <v>5073</v>
      </c>
      <c r="D12359" s="8">
        <v>1</v>
      </c>
      <c r="E12359" s="8">
        <v>0</v>
      </c>
      <c r="F12359" s="8">
        <v>491</v>
      </c>
    </row>
    <row r="12360" spans="1:6" ht="12.75">
      <c r="A12360" s="8">
        <v>43899.325057870374</v>
      </c>
      <c r="B12360" s="8" t="str">
        <f>HYPERLINK("https://twitter.com/tribunnews","@tribunnews")</f>
        <v>@tribunnews</v>
      </c>
      <c r="C12360" s="8" t="s">
        <v>5074</v>
      </c>
      <c r="D12360" s="8">
        <v>0</v>
      </c>
      <c r="E12360" s="8">
        <v>3</v>
      </c>
      <c r="F12360" s="8">
        <v>892161</v>
      </c>
    </row>
    <row r="12361" spans="1:6" ht="12.75">
      <c r="A12361" s="8">
        <v>43899.324861111112</v>
      </c>
      <c r="B12361" s="8" t="str">
        <f>HYPERLINK("https://twitter.com/ummychasan","@ummychasan")</f>
        <v>@ummychasan</v>
      </c>
      <c r="C12361" s="8" t="s">
        <v>3262</v>
      </c>
      <c r="D12361" s="8">
        <v>30</v>
      </c>
      <c r="E12361" s="8">
        <v>0</v>
      </c>
      <c r="F12361" s="8">
        <v>4833</v>
      </c>
    </row>
    <row r="12362" spans="1:6" ht="12.75">
      <c r="A12362" s="8">
        <v>43899.324583333335</v>
      </c>
      <c r="B12362" s="8" t="str">
        <f>HYPERLINK("https://twitter.com/_wni_","@_wni_")</f>
        <v>@_wni_</v>
      </c>
      <c r="C12362" s="8" t="s">
        <v>5075</v>
      </c>
      <c r="D12362" s="8">
        <v>2927</v>
      </c>
      <c r="E12362" s="8">
        <v>0</v>
      </c>
      <c r="F12362" s="8">
        <v>16</v>
      </c>
    </row>
    <row r="12363" spans="1:6" ht="12.75">
      <c r="A12363" s="8">
        <v>43899.324224537035</v>
      </c>
      <c r="B12363" s="8" t="str">
        <f>HYPERLINK("https://twitter.com/ranusandiputra","@ranusandiputra")</f>
        <v>@ranusandiputra</v>
      </c>
      <c r="C12363" s="8" t="s">
        <v>3126</v>
      </c>
      <c r="D12363" s="8">
        <v>48</v>
      </c>
      <c r="E12363" s="8">
        <v>0</v>
      </c>
      <c r="F12363" s="8">
        <v>1171</v>
      </c>
    </row>
    <row r="12364" spans="1:6" ht="12.75">
      <c r="A12364" s="8">
        <v>43899.324189814812</v>
      </c>
      <c r="B12364" s="8" t="str">
        <f>HYPERLINK("https://twitter.com/jjsengui","@jjsengui")</f>
        <v>@jjsengui</v>
      </c>
      <c r="C12364" s="8" t="s">
        <v>3262</v>
      </c>
      <c r="D12364" s="8">
        <v>30</v>
      </c>
      <c r="E12364" s="8">
        <v>0</v>
      </c>
      <c r="F12364" s="8">
        <v>905</v>
      </c>
    </row>
    <row r="12365" spans="1:6" ht="12.75">
      <c r="A12365" s="8">
        <v>43899.323981481481</v>
      </c>
      <c r="B12365" s="8" t="str">
        <f>HYPERLINK("https://twitter.com/bjf_revival","@bjf_revival")</f>
        <v>@bjf_revival</v>
      </c>
      <c r="C12365" s="8" t="s">
        <v>3126</v>
      </c>
      <c r="D12365" s="8">
        <v>48</v>
      </c>
      <c r="E12365" s="8">
        <v>0</v>
      </c>
      <c r="F12365" s="8">
        <v>744</v>
      </c>
    </row>
    <row r="12366" spans="1:6" ht="12.75">
      <c r="A12366" s="8">
        <v>43899.323379629626</v>
      </c>
      <c r="B12366" s="8" t="str">
        <f>HYPERLINK("https://twitter.com/kaskus","@kaskus")</f>
        <v>@kaskus</v>
      </c>
      <c r="C12366" s="8" t="s">
        <v>5076</v>
      </c>
      <c r="D12366" s="8">
        <v>3</v>
      </c>
      <c r="E12366" s="8">
        <v>6</v>
      </c>
      <c r="F12366" s="8">
        <v>2615034</v>
      </c>
    </row>
    <row r="12367" spans="1:6" ht="12.75">
      <c r="A12367" s="8">
        <v>43899.323194444441</v>
      </c>
      <c r="B12367" s="8" t="str">
        <f>HYPERLINK("https://twitter.com/Firmanbudianap2","@Firmanbudianap2")</f>
        <v>@Firmanbudianap2</v>
      </c>
      <c r="C12367" s="8" t="s">
        <v>5067</v>
      </c>
      <c r="D12367" s="8">
        <v>2</v>
      </c>
      <c r="E12367" s="8">
        <v>0</v>
      </c>
      <c r="F12367" s="8">
        <v>174</v>
      </c>
    </row>
    <row r="12368" spans="1:6" ht="12.75">
      <c r="A12368" s="8">
        <v>43899.322847222225</v>
      </c>
      <c r="B12368" s="8" t="str">
        <f>HYPERLINK("https://twitter.com/Anjinnnng","@Anjinnnng")</f>
        <v>@Anjinnnng</v>
      </c>
      <c r="C12368" s="8" t="s">
        <v>4895</v>
      </c>
      <c r="D12368" s="8">
        <v>3</v>
      </c>
      <c r="E12368" s="8">
        <v>0</v>
      </c>
      <c r="F12368" s="8">
        <v>143</v>
      </c>
    </row>
    <row r="12369" spans="1:6" ht="12.75">
      <c r="A12369" s="8">
        <v>43899.322650462964</v>
      </c>
      <c r="B12369" s="8" t="str">
        <f>HYPERLINK("https://twitter.com/Addarul1","@Addarul1")</f>
        <v>@Addarul1</v>
      </c>
      <c r="C12369" s="8" t="s">
        <v>3126</v>
      </c>
      <c r="D12369" s="8">
        <v>48</v>
      </c>
      <c r="E12369" s="8">
        <v>0</v>
      </c>
      <c r="F12369" s="8">
        <v>4783</v>
      </c>
    </row>
    <row r="12370" spans="1:6" ht="12.75">
      <c r="A12370" s="8">
        <v>43899.322349537033</v>
      </c>
      <c r="B12370" s="8" t="str">
        <f>HYPERLINK("https://twitter.com/AdiaBramono","@AdiaBramono")</f>
        <v>@AdiaBramono</v>
      </c>
      <c r="C12370" s="8" t="s">
        <v>4607</v>
      </c>
      <c r="D12370" s="8">
        <v>25</v>
      </c>
      <c r="E12370" s="8">
        <v>0</v>
      </c>
      <c r="F12370" s="8">
        <v>98</v>
      </c>
    </row>
    <row r="12371" spans="1:6" ht="12.75">
      <c r="A12371" s="8">
        <v>43899.321782407409</v>
      </c>
      <c r="B12371" s="8" t="str">
        <f>HYPERLINK("https://twitter.com/JuniartoWidodo","@JuniartoWidodo")</f>
        <v>@JuniartoWidodo</v>
      </c>
      <c r="C12371" s="8" t="s">
        <v>3126</v>
      </c>
      <c r="D12371" s="8">
        <v>48</v>
      </c>
      <c r="E12371" s="8">
        <v>0</v>
      </c>
      <c r="F12371" s="8">
        <v>1756</v>
      </c>
    </row>
    <row r="12372" spans="1:6" ht="12.75">
      <c r="A12372" s="8">
        <v>43899.321481481486</v>
      </c>
      <c r="B12372" s="8" t="str">
        <f>HYPERLINK("https://twitter.com/krisnaEm","@krisnaEm")</f>
        <v>@krisnaEm</v>
      </c>
      <c r="C12372" s="8" t="s">
        <v>5059</v>
      </c>
      <c r="D12372" s="8">
        <v>38</v>
      </c>
      <c r="E12372" s="8">
        <v>0</v>
      </c>
      <c r="F12372" s="8">
        <v>314</v>
      </c>
    </row>
    <row r="12373" spans="1:6" ht="12.75">
      <c r="A12373" s="8">
        <v>43899.321400462963</v>
      </c>
      <c r="B12373" s="8" t="str">
        <f>HYPERLINK("https://twitter.com/Si_Kalacakra","@Si_Kalacakra")</f>
        <v>@Si_Kalacakra</v>
      </c>
      <c r="C12373" s="8" t="s">
        <v>3126</v>
      </c>
      <c r="D12373" s="8">
        <v>48</v>
      </c>
      <c r="E12373" s="8">
        <v>0</v>
      </c>
      <c r="F12373" s="8">
        <v>1407</v>
      </c>
    </row>
    <row r="12374" spans="1:6" ht="12.75">
      <c r="A12374" s="8">
        <v>43899.320717592593</v>
      </c>
      <c r="B12374" s="8" t="str">
        <f>HYPERLINK("https://twitter.com/ravipatel1108","@ravipatel1108")</f>
        <v>@ravipatel1108</v>
      </c>
      <c r="C12374" s="8" t="s">
        <v>1917</v>
      </c>
      <c r="D12374" s="8">
        <v>983</v>
      </c>
      <c r="E12374" s="8">
        <v>0</v>
      </c>
      <c r="F12374" s="8">
        <v>221</v>
      </c>
    </row>
    <row r="12375" spans="1:6" ht="12.75">
      <c r="A12375" s="8">
        <v>43899.320613425924</v>
      </c>
      <c r="B12375" s="8" t="str">
        <f>HYPERLINK("https://twitter.com/_wni_","@_wni_")</f>
        <v>@_wni_</v>
      </c>
      <c r="C12375" s="8" t="s">
        <v>5077</v>
      </c>
      <c r="D12375" s="8">
        <v>0</v>
      </c>
      <c r="E12375" s="8">
        <v>0</v>
      </c>
      <c r="F12375" s="8">
        <v>16</v>
      </c>
    </row>
    <row r="12376" spans="1:6" ht="12.75">
      <c r="A12376" s="8">
        <v>43899.320277777777</v>
      </c>
      <c r="B12376" s="8" t="str">
        <f>HYPERLINK("https://twitter.com/wmudrana","@wmudrana")</f>
        <v>@wmudrana</v>
      </c>
      <c r="C12376" s="8" t="s">
        <v>5078</v>
      </c>
      <c r="D12376" s="8">
        <v>2</v>
      </c>
      <c r="E12376" s="8">
        <v>0</v>
      </c>
      <c r="F12376" s="8">
        <v>29</v>
      </c>
    </row>
    <row r="12377" spans="1:6" ht="12.75">
      <c r="A12377" s="8">
        <v>43899.3200462963</v>
      </c>
      <c r="B12377" s="8" t="str">
        <f>HYPERLINK("https://twitter.com/Sentjoko","@Sentjoko")</f>
        <v>@Sentjoko</v>
      </c>
      <c r="C12377" s="8" t="s">
        <v>5079</v>
      </c>
      <c r="D12377" s="8">
        <v>0</v>
      </c>
      <c r="E12377" s="8">
        <v>1</v>
      </c>
      <c r="F12377" s="8">
        <v>1579</v>
      </c>
    </row>
    <row r="12378" spans="1:6" ht="12.75">
      <c r="A12378" s="8">
        <v>43899.3199537037</v>
      </c>
      <c r="B12378" s="8" t="str">
        <f>HYPERLINK("https://twitter.com/QueenTukiyem","@QueenTukiyem")</f>
        <v>@QueenTukiyem</v>
      </c>
      <c r="C12378" s="8" t="s">
        <v>3126</v>
      </c>
      <c r="D12378" s="8">
        <v>48</v>
      </c>
      <c r="E12378" s="8">
        <v>0</v>
      </c>
      <c r="F12378" s="8">
        <v>4200</v>
      </c>
    </row>
    <row r="12379" spans="1:6" ht="12.75">
      <c r="A12379" s="8">
        <v>43899.319884259261</v>
      </c>
      <c r="B12379" s="8" t="str">
        <f>HYPERLINK("https://twitter.com/CecyliaCrystal","@CecyliaCrystal")</f>
        <v>@CecyliaCrystal</v>
      </c>
      <c r="C12379" s="8" t="s">
        <v>5080</v>
      </c>
      <c r="D12379" s="8">
        <v>190</v>
      </c>
      <c r="E12379" s="8">
        <v>0</v>
      </c>
      <c r="F12379" s="8">
        <v>95</v>
      </c>
    </row>
    <row r="12380" spans="1:6" ht="12.75">
      <c r="A12380" s="8">
        <v>43899.319837962961</v>
      </c>
      <c r="B12380" s="8" t="str">
        <f>HYPERLINK("https://twitter.com/Nana_Rosaa_","@Nana_Rosaa_")</f>
        <v>@Nana_Rosaa_</v>
      </c>
      <c r="C12380" s="8" t="s">
        <v>3262</v>
      </c>
      <c r="D12380" s="8">
        <v>30</v>
      </c>
      <c r="E12380" s="8">
        <v>0</v>
      </c>
      <c r="F12380" s="8">
        <v>9708</v>
      </c>
    </row>
    <row r="12381" spans="1:6" ht="12.75">
      <c r="A12381" s="8">
        <v>43899.31962962963</v>
      </c>
      <c r="B12381" s="8" t="str">
        <f>HYPERLINK("https://twitter.com/EkSoemadinata","@EkSoemadinata")</f>
        <v>@EkSoemadinata</v>
      </c>
      <c r="C12381" s="8" t="s">
        <v>5081</v>
      </c>
      <c r="D12381" s="8">
        <v>0</v>
      </c>
      <c r="E12381" s="8">
        <v>0</v>
      </c>
      <c r="F12381" s="8">
        <v>0</v>
      </c>
    </row>
    <row r="12382" spans="1:6" ht="12.75">
      <c r="A12382" s="8">
        <v>43899.318819444445</v>
      </c>
      <c r="B12382" s="8" t="str">
        <f>HYPERLINK("https://twitter.com/MbarepJeng","@MbarepJeng")</f>
        <v>@MbarepJeng</v>
      </c>
      <c r="C12382" s="8" t="s">
        <v>3262</v>
      </c>
      <c r="D12382" s="8">
        <v>30</v>
      </c>
      <c r="E12382" s="8">
        <v>0</v>
      </c>
      <c r="F12382" s="8">
        <v>88</v>
      </c>
    </row>
    <row r="12383" spans="1:6" ht="12.75">
      <c r="A12383" s="8">
        <v>43899.317557870367</v>
      </c>
      <c r="B12383" s="8" t="str">
        <f>HYPERLINK("https://twitter.com/NinoGitar","@NinoGitar")</f>
        <v>@NinoGitar</v>
      </c>
      <c r="C12383" s="8" t="s">
        <v>3126</v>
      </c>
      <c r="D12383" s="8">
        <v>48</v>
      </c>
      <c r="E12383" s="8">
        <v>0</v>
      </c>
      <c r="F12383" s="8">
        <v>116</v>
      </c>
    </row>
    <row r="12384" spans="1:6" ht="12.75">
      <c r="A12384" s="8">
        <v>43899.31753472222</v>
      </c>
      <c r="B12384" s="8" t="str">
        <f>HYPERLINK("https://twitter.com/riki_ardi_an","@riki_ardi_an")</f>
        <v>@riki_ardi_an</v>
      </c>
      <c r="C12384" s="8" t="s">
        <v>3265</v>
      </c>
      <c r="D12384" s="8">
        <v>514</v>
      </c>
      <c r="E12384" s="8">
        <v>0</v>
      </c>
      <c r="F12384" s="8">
        <v>270</v>
      </c>
    </row>
    <row r="12385" spans="1:6" ht="12.75">
      <c r="A12385" s="8">
        <v>43899.317395833335</v>
      </c>
      <c r="B12385" s="8" t="str">
        <f>HYPERLINK("https://twitter.com/kompascom","@kompascom")</f>
        <v>@kompascom</v>
      </c>
      <c r="C12385" s="8" t="s">
        <v>5082</v>
      </c>
      <c r="D12385" s="8">
        <v>2</v>
      </c>
      <c r="E12385" s="8">
        <v>2</v>
      </c>
      <c r="F12385" s="8">
        <v>7535848</v>
      </c>
    </row>
    <row r="12386" spans="1:6" ht="12.75">
      <c r="A12386" s="8">
        <v>43899.317199074074</v>
      </c>
      <c r="B12386" s="8" t="str">
        <f>HYPERLINK("https://twitter.com/mudha_satriya","@mudha_satriya")</f>
        <v>@mudha_satriya</v>
      </c>
      <c r="C12386" s="8" t="s">
        <v>5083</v>
      </c>
      <c r="D12386" s="8">
        <v>1</v>
      </c>
      <c r="E12386" s="8">
        <v>0</v>
      </c>
      <c r="F12386" s="8">
        <v>1884</v>
      </c>
    </row>
    <row r="12387" spans="1:6" ht="12.75">
      <c r="A12387" s="8">
        <v>43899.317083333328</v>
      </c>
      <c r="B12387" s="8" t="str">
        <f>HYPERLINK("https://twitter.com/SFT96DITA","@SFT96DITA")</f>
        <v>@SFT96DITA</v>
      </c>
      <c r="C12387" s="8" t="s">
        <v>5084</v>
      </c>
      <c r="D12387" s="8">
        <v>0</v>
      </c>
      <c r="E12387" s="8">
        <v>0</v>
      </c>
      <c r="F12387" s="8">
        <v>100</v>
      </c>
    </row>
    <row r="12388" spans="1:6" ht="12.75">
      <c r="A12388" s="8">
        <v>43899.317071759258</v>
      </c>
      <c r="B12388" s="8" t="str">
        <f>HYPERLINK("https://twitter.com/kundalini001","@kundalini001")</f>
        <v>@kundalini001</v>
      </c>
      <c r="C12388" s="8" t="s">
        <v>3262</v>
      </c>
      <c r="D12388" s="8">
        <v>30</v>
      </c>
      <c r="E12388" s="8">
        <v>0</v>
      </c>
      <c r="F12388" s="8">
        <v>252</v>
      </c>
    </row>
    <row r="12389" spans="1:6" ht="12.75">
      <c r="A12389" s="8">
        <v>43899.316828703704</v>
      </c>
      <c r="B12389" s="8" t="str">
        <f>HYPERLINK("https://twitter.com/HaridasKukkur","@HaridasKukkur")</f>
        <v>@HaridasKukkur</v>
      </c>
      <c r="C12389" s="8" t="s">
        <v>1917</v>
      </c>
      <c r="D12389" s="8">
        <v>983</v>
      </c>
      <c r="E12389" s="8">
        <v>0</v>
      </c>
      <c r="F12389" s="8">
        <v>273</v>
      </c>
    </row>
    <row r="12390" spans="1:6" ht="12.75">
      <c r="A12390" s="8">
        <v>43899.316030092596</v>
      </c>
      <c r="B12390" s="8" t="str">
        <f>HYPERLINK("https://twitter.com/Dare2SpeakUp","@Dare2SpeakUp")</f>
        <v>@Dare2SpeakUp</v>
      </c>
      <c r="C12390" s="8" t="s">
        <v>1917</v>
      </c>
      <c r="D12390" s="8">
        <v>983</v>
      </c>
      <c r="E12390" s="8">
        <v>0</v>
      </c>
      <c r="F12390" s="8">
        <v>106</v>
      </c>
    </row>
    <row r="12391" spans="1:6" ht="12.75">
      <c r="A12391" s="8">
        <v>43899.315995370373</v>
      </c>
      <c r="B12391" s="8" t="str">
        <f>HYPERLINK("https://twitter.com/Suharso_Yos","@Suharso_Yos")</f>
        <v>@Suharso_Yos</v>
      </c>
      <c r="C12391" s="8" t="s">
        <v>5085</v>
      </c>
      <c r="D12391" s="8">
        <v>0</v>
      </c>
      <c r="E12391" s="8">
        <v>2</v>
      </c>
      <c r="F12391" s="8">
        <v>2279</v>
      </c>
    </row>
    <row r="12392" spans="1:6" ht="12.75">
      <c r="A12392" s="8">
        <v>43899.315821759257</v>
      </c>
      <c r="B12392" s="8" t="str">
        <f>HYPERLINK("https://twitter.com/kimcheezoo","@kimcheezoo")</f>
        <v>@kimcheezoo</v>
      </c>
      <c r="C12392" s="8" t="s">
        <v>5086</v>
      </c>
      <c r="D12392" s="8">
        <v>31</v>
      </c>
      <c r="E12392" s="8">
        <v>0</v>
      </c>
      <c r="F12392" s="8">
        <v>10</v>
      </c>
    </row>
    <row r="12393" spans="1:6" ht="12.75">
      <c r="A12393" s="8">
        <v>43899.314606481479</v>
      </c>
      <c r="B12393" s="8" t="str">
        <f>HYPERLINK("https://twitter.com/idpenamini","@idpenamini")</f>
        <v>@idpenamini</v>
      </c>
      <c r="C12393" s="8" t="s">
        <v>5087</v>
      </c>
      <c r="D12393" s="8">
        <v>0</v>
      </c>
      <c r="E12393" s="8">
        <v>0</v>
      </c>
      <c r="F12393" s="8">
        <v>175</v>
      </c>
    </row>
    <row r="12394" spans="1:6" ht="12.75">
      <c r="A12394" s="8">
        <v>43899.298217592594</v>
      </c>
      <c r="B12394" s="8" t="str">
        <f>HYPERLINK("https://twitter.com/ISandakila","@ISandakila")</f>
        <v>@ISandakila</v>
      </c>
      <c r="C12394" s="8" t="s">
        <v>5016</v>
      </c>
      <c r="D12394" s="8">
        <v>1</v>
      </c>
      <c r="E12394" s="8">
        <v>0</v>
      </c>
      <c r="F12394" s="8">
        <v>3</v>
      </c>
    </row>
    <row r="12395" spans="1:6" ht="12.75">
      <c r="A12395" s="8">
        <v>43899.297997685186</v>
      </c>
      <c r="B12395" s="8" t="str">
        <f>HYPERLINK("https://twitter.com/LegalKant","@LegalKant")</f>
        <v>@LegalKant</v>
      </c>
      <c r="C12395" s="8" t="s">
        <v>5088</v>
      </c>
      <c r="D12395" s="8">
        <v>0</v>
      </c>
      <c r="E12395" s="8">
        <v>0</v>
      </c>
      <c r="F12395" s="8">
        <v>5106</v>
      </c>
    </row>
    <row r="12396" spans="1:6" ht="12.75">
      <c r="A12396" s="8">
        <v>43899.297372685185</v>
      </c>
      <c r="B12396" s="8" t="str">
        <f>HYPERLINK("https://twitter.com/AptOutlook","@AptOutlook")</f>
        <v>@AptOutlook</v>
      </c>
      <c r="C12396" s="8" t="s">
        <v>1917</v>
      </c>
      <c r="D12396" s="8">
        <v>952</v>
      </c>
      <c r="E12396" s="8">
        <v>0</v>
      </c>
      <c r="F12396" s="8">
        <v>506</v>
      </c>
    </row>
    <row r="12397" spans="1:6" ht="12.75">
      <c r="A12397" s="8">
        <v>43899.297222222223</v>
      </c>
      <c r="B12397" s="8" t="str">
        <f>HYPERLINK("https://twitter.com/AhsanHadziq","@AhsanHadziq")</f>
        <v>@AhsanHadziq</v>
      </c>
      <c r="C12397" s="8" t="s">
        <v>5089</v>
      </c>
      <c r="D12397" s="8">
        <v>0</v>
      </c>
      <c r="E12397" s="8">
        <v>0</v>
      </c>
      <c r="F12397" s="8">
        <v>968</v>
      </c>
    </row>
    <row r="12398" spans="1:6" ht="12.75">
      <c r="A12398" s="8">
        <v>43899.295891203699</v>
      </c>
      <c r="B12398" s="8" t="str">
        <f>HYPERLINK("https://twitter.com/DonSokong","@DonSokong")</f>
        <v>@DonSokong</v>
      </c>
      <c r="C12398" s="8" t="s">
        <v>5090</v>
      </c>
      <c r="D12398" s="8">
        <v>0</v>
      </c>
      <c r="E12398" s="8">
        <v>0</v>
      </c>
      <c r="F12398" s="8">
        <v>14</v>
      </c>
    </row>
    <row r="12399" spans="1:6" ht="12.75">
      <c r="A12399" s="8">
        <v>43899.29587962963</v>
      </c>
      <c r="B12399" s="8" t="str">
        <f>HYPERLINK("https://twitter.com/eko_juandri","@eko_juandri")</f>
        <v>@eko_juandri</v>
      </c>
      <c r="C12399" s="8" t="s">
        <v>3126</v>
      </c>
      <c r="D12399" s="8">
        <v>28</v>
      </c>
      <c r="E12399" s="8">
        <v>0</v>
      </c>
      <c r="F12399" s="8">
        <v>1319</v>
      </c>
    </row>
    <row r="12400" spans="1:6" ht="12.75">
      <c r="A12400" s="8">
        <v>43899.295694444445</v>
      </c>
      <c r="B12400" s="8" t="str">
        <f>HYPERLINK("https://twitter.com/damario04","@damario04")</f>
        <v>@damario04</v>
      </c>
      <c r="C12400" s="8" t="s">
        <v>166</v>
      </c>
      <c r="D12400" s="8">
        <v>0</v>
      </c>
      <c r="E12400" s="8">
        <v>0</v>
      </c>
      <c r="F12400" s="8">
        <v>403</v>
      </c>
    </row>
    <row r="12401" spans="1:6" ht="12.75">
      <c r="A12401" s="8">
        <v>43899.295405092591</v>
      </c>
      <c r="B12401" s="8" t="str">
        <f>HYPERLINK("https://twitter.com/azizbuitenzorg","@azizbuitenzorg")</f>
        <v>@azizbuitenzorg</v>
      </c>
      <c r="C12401" s="8" t="s">
        <v>3265</v>
      </c>
      <c r="D12401" s="8">
        <v>510</v>
      </c>
      <c r="E12401" s="8">
        <v>0</v>
      </c>
      <c r="F12401" s="8">
        <v>723</v>
      </c>
    </row>
    <row r="12402" spans="1:6" ht="12.75">
      <c r="A12402" s="8">
        <v>43899.295381944445</v>
      </c>
      <c r="B12402" s="8" t="str">
        <f>HYPERLINK("https://twitter.com/farrisaja","@farrisaja")</f>
        <v>@farrisaja</v>
      </c>
      <c r="C12402" s="8" t="s">
        <v>5091</v>
      </c>
      <c r="D12402" s="8">
        <v>0</v>
      </c>
      <c r="E12402" s="8">
        <v>0</v>
      </c>
      <c r="F12402" s="8">
        <v>29</v>
      </c>
    </row>
    <row r="12403" spans="1:6" ht="12.75">
      <c r="A12403" s="8">
        <v>43899.29519675926</v>
      </c>
      <c r="B12403" s="8" t="str">
        <f>HYPERLINK("https://twitter.com/g4m4r333","@g4m4r333")</f>
        <v>@g4m4r333</v>
      </c>
      <c r="C12403" s="8" t="s">
        <v>5092</v>
      </c>
      <c r="D12403" s="8">
        <v>3</v>
      </c>
      <c r="E12403" s="8">
        <v>0</v>
      </c>
      <c r="F12403" s="8">
        <v>16</v>
      </c>
    </row>
    <row r="12404" spans="1:6" ht="12.75">
      <c r="A12404" s="8">
        <v>43899.293310185181</v>
      </c>
      <c r="B12404" s="8" t="str">
        <f>HYPERLINK("https://twitter.com/nizham_id","@nizham_id")</f>
        <v>@nizham_id</v>
      </c>
      <c r="C12404" s="8" t="s">
        <v>5093</v>
      </c>
      <c r="D12404" s="8">
        <v>1</v>
      </c>
      <c r="E12404" s="8">
        <v>0</v>
      </c>
      <c r="F12404" s="8">
        <v>1362</v>
      </c>
    </row>
    <row r="12405" spans="1:6" ht="12.75">
      <c r="A12405" s="8">
        <v>43899.292361111111</v>
      </c>
      <c r="B12405" s="8" t="str">
        <f>HYPERLINK("https://twitter.com/AutoVega","@AutoVega")</f>
        <v>@AutoVega</v>
      </c>
      <c r="C12405" s="8" t="s">
        <v>1917</v>
      </c>
      <c r="D12405" s="8">
        <v>952</v>
      </c>
      <c r="E12405" s="8">
        <v>0</v>
      </c>
      <c r="F12405" s="8">
        <v>330</v>
      </c>
    </row>
    <row r="12406" spans="1:6" ht="12.75">
      <c r="A12406" s="8">
        <v>43899.292187500003</v>
      </c>
      <c r="B12406" s="8" t="str">
        <f>HYPERLINK("https://twitter.com/awibowo___","@awibowo___")</f>
        <v>@awibowo___</v>
      </c>
      <c r="C12406" s="8" t="s">
        <v>4778</v>
      </c>
      <c r="D12406" s="8">
        <v>9</v>
      </c>
      <c r="E12406" s="8">
        <v>0</v>
      </c>
      <c r="F12406" s="8">
        <v>33</v>
      </c>
    </row>
    <row r="12407" spans="1:6" ht="12.75">
      <c r="A12407" s="8">
        <v>43899.292164351849</v>
      </c>
      <c r="B12407" s="8" t="str">
        <f>HYPERLINK("https://twitter.com/lomo_tech","@lomo_tech")</f>
        <v>@lomo_tech</v>
      </c>
      <c r="C12407" s="8" t="s">
        <v>5094</v>
      </c>
      <c r="D12407" s="8">
        <v>1</v>
      </c>
      <c r="E12407" s="8">
        <v>0</v>
      </c>
      <c r="F12407" s="8">
        <v>1510</v>
      </c>
    </row>
    <row r="12408" spans="1:6" ht="12.75">
      <c r="A12408" s="8">
        <v>43899.291666666672</v>
      </c>
      <c r="B12408" s="8" t="str">
        <f>HYPERLINK("https://twitter.com/GerryS","@GerryS")</f>
        <v>@GerryS</v>
      </c>
      <c r="C12408" s="8" t="s">
        <v>5095</v>
      </c>
      <c r="D12408" s="8">
        <v>1</v>
      </c>
      <c r="E12408" s="8">
        <v>1</v>
      </c>
      <c r="F12408" s="8">
        <v>6443</v>
      </c>
    </row>
    <row r="12409" spans="1:6" ht="12.75">
      <c r="A12409" s="8">
        <v>43899.289548611108</v>
      </c>
      <c r="B12409" s="8" t="str">
        <f>HYPERLINK("https://twitter.com/republikaonline","@republikaonline")</f>
        <v>@republikaonline</v>
      </c>
      <c r="C12409" s="8" t="s">
        <v>5096</v>
      </c>
      <c r="D12409" s="8">
        <v>1</v>
      </c>
      <c r="E12409" s="8">
        <v>1</v>
      </c>
      <c r="F12409" s="8">
        <v>1222283</v>
      </c>
    </row>
    <row r="12410" spans="1:6" ht="12.75">
      <c r="A12410" s="8">
        <v>43899.289351851854</v>
      </c>
      <c r="B12410" s="8" t="str">
        <f>HYPERLINK("https://twitter.com/OldJoe771","@OldJoe771")</f>
        <v>@OldJoe771</v>
      </c>
      <c r="C12410" s="8" t="s">
        <v>3126</v>
      </c>
      <c r="D12410" s="8">
        <v>28</v>
      </c>
      <c r="E12410" s="8">
        <v>0</v>
      </c>
      <c r="F12410" s="8">
        <v>340</v>
      </c>
    </row>
    <row r="12411" spans="1:6" ht="12.75">
      <c r="A12411" s="8">
        <v>43899.289224537039</v>
      </c>
      <c r="B12411" s="8" t="str">
        <f>HYPERLINK("https://twitter.com/Kania_MetroTV","@Kania_MetroTV")</f>
        <v>@Kania_MetroTV</v>
      </c>
      <c r="C12411" s="8" t="s">
        <v>5097</v>
      </c>
      <c r="D12411" s="8">
        <v>0</v>
      </c>
      <c r="E12411" s="8">
        <v>0</v>
      </c>
      <c r="F12411" s="8">
        <v>215812</v>
      </c>
    </row>
    <row r="12412" spans="1:6" ht="12.75">
      <c r="A12412" s="8">
        <v>43899.288958333331</v>
      </c>
      <c r="B12412" s="8" t="str">
        <f>HYPERLINK("https://twitter.com/1umarsidik","@1umarsidik")</f>
        <v>@1umarsidik</v>
      </c>
      <c r="C12412" s="8" t="s">
        <v>3265</v>
      </c>
      <c r="D12412" s="8">
        <v>510</v>
      </c>
      <c r="E12412" s="8">
        <v>0</v>
      </c>
      <c r="F12412" s="8">
        <v>212</v>
      </c>
    </row>
    <row r="12413" spans="1:6" ht="12.75">
      <c r="A12413" s="8">
        <v>43899.288946759261</v>
      </c>
      <c r="B12413" s="8" t="str">
        <f>HYPERLINK("https://twitter.com/ghaiadi","@ghaiadi")</f>
        <v>@ghaiadi</v>
      </c>
      <c r="C12413" s="8" t="s">
        <v>1917</v>
      </c>
      <c r="D12413" s="8">
        <v>952</v>
      </c>
      <c r="E12413" s="8">
        <v>0</v>
      </c>
      <c r="F12413" s="8">
        <v>84</v>
      </c>
    </row>
    <row r="12414" spans="1:6" ht="12.75">
      <c r="A12414" s="8">
        <v>43899.288657407407</v>
      </c>
      <c r="B12414" s="8" t="str">
        <f>HYPERLINK("https://twitter.com/KristiantoTian2","@KristiantoTian2")</f>
        <v>@KristiantoTian2</v>
      </c>
      <c r="C12414" s="8" t="s">
        <v>5098</v>
      </c>
      <c r="D12414" s="8">
        <v>0</v>
      </c>
      <c r="E12414" s="8">
        <v>0</v>
      </c>
      <c r="F12414" s="8">
        <v>105</v>
      </c>
    </row>
    <row r="12415" spans="1:6" ht="12.75">
      <c r="A12415" s="8">
        <v>43899.288032407407</v>
      </c>
      <c r="B12415" s="8" t="str">
        <f>HYPERLINK("https://twitter.com/HKZ_506","@HKZ_506")</f>
        <v>@HKZ_506</v>
      </c>
      <c r="C12415" s="8" t="s">
        <v>1917</v>
      </c>
      <c r="D12415" s="8">
        <v>952</v>
      </c>
      <c r="E12415" s="8">
        <v>0</v>
      </c>
      <c r="F12415" s="8">
        <v>172</v>
      </c>
    </row>
    <row r="12416" spans="1:6" ht="12.75">
      <c r="A12416" s="8">
        <v>43899.28733796296</v>
      </c>
      <c r="B12416" s="8" t="str">
        <f>HYPERLINK("https://twitter.com/mizibak","@mizibak")</f>
        <v>@mizibak</v>
      </c>
      <c r="C12416" s="8" t="s">
        <v>5099</v>
      </c>
      <c r="D12416" s="8">
        <v>0</v>
      </c>
      <c r="E12416" s="8">
        <v>0</v>
      </c>
      <c r="F12416" s="8">
        <v>484</v>
      </c>
    </row>
    <row r="12417" spans="1:6" ht="12.75">
      <c r="A12417" s="8">
        <v>43899.286678240736</v>
      </c>
      <c r="B12417" s="8" t="str">
        <f>HYPERLINK("https://twitter.com/GEMAKINDO","@GEMAKINDO")</f>
        <v>@GEMAKINDO</v>
      </c>
      <c r="C12417" s="8" t="s">
        <v>5025</v>
      </c>
      <c r="D12417" s="8">
        <v>3</v>
      </c>
      <c r="E12417" s="8">
        <v>0</v>
      </c>
      <c r="F12417" s="8">
        <v>21</v>
      </c>
    </row>
    <row r="12418" spans="1:6" ht="12.75">
      <c r="A12418" s="8">
        <v>43899.285648148143</v>
      </c>
      <c r="B12418" s="8" t="str">
        <f>HYPERLINK("https://twitter.com/DODDI_F","@DODDI_F")</f>
        <v>@DODDI_F</v>
      </c>
      <c r="C12418" s="8" t="s">
        <v>3265</v>
      </c>
      <c r="D12418" s="8">
        <v>510</v>
      </c>
      <c r="E12418" s="8">
        <v>0</v>
      </c>
      <c r="F12418" s="8">
        <v>2564</v>
      </c>
    </row>
    <row r="12419" spans="1:6" ht="12.75">
      <c r="A12419" s="8">
        <v>43899.285046296296</v>
      </c>
      <c r="B12419" s="8" t="str">
        <f>HYPERLINK("https://twitter.com/medcom_id","@medcom_id")</f>
        <v>@medcom_id</v>
      </c>
      <c r="C12419" s="8" t="s">
        <v>5100</v>
      </c>
      <c r="D12419" s="8">
        <v>0</v>
      </c>
      <c r="E12419" s="8">
        <v>0</v>
      </c>
      <c r="F12419" s="8">
        <v>18532</v>
      </c>
    </row>
    <row r="12420" spans="1:6" ht="12.75">
      <c r="A12420" s="8">
        <v>43899.284479166672</v>
      </c>
      <c r="B12420" s="8" t="str">
        <f>HYPERLINK("https://twitter.com/miftahulfalah","@miftahulfalah")</f>
        <v>@miftahulfalah</v>
      </c>
      <c r="C12420" s="8" t="s">
        <v>3265</v>
      </c>
      <c r="D12420" s="8">
        <v>510</v>
      </c>
      <c r="E12420" s="8">
        <v>0</v>
      </c>
      <c r="F12420" s="8">
        <v>1281</v>
      </c>
    </row>
    <row r="12421" spans="1:6" ht="12.75">
      <c r="A12421" s="8">
        <v>43899.284270833334</v>
      </c>
      <c r="B12421" s="8" t="str">
        <f>HYPERLINK("https://twitter.com/rdmzrn","@rdmzrn")</f>
        <v>@rdmzrn</v>
      </c>
      <c r="C12421" s="8" t="s">
        <v>4162</v>
      </c>
      <c r="D12421" s="8">
        <v>117</v>
      </c>
      <c r="E12421" s="8">
        <v>0</v>
      </c>
      <c r="F12421" s="8">
        <v>1</v>
      </c>
    </row>
    <row r="12422" spans="1:6" ht="12.75">
      <c r="A12422" s="8">
        <v>43899.284189814818</v>
      </c>
      <c r="B12422" s="8" t="str">
        <f>HYPERLINK("https://twitter.com/LaelaAmien","@LaelaAmien")</f>
        <v>@LaelaAmien</v>
      </c>
      <c r="C12422" s="8" t="s">
        <v>3126</v>
      </c>
      <c r="D12422" s="8">
        <v>28</v>
      </c>
      <c r="E12422" s="8">
        <v>0</v>
      </c>
      <c r="F12422" s="8">
        <v>876</v>
      </c>
    </row>
    <row r="12423" spans="1:6" ht="12.75">
      <c r="A12423" s="8">
        <v>43899.283263888894</v>
      </c>
      <c r="B12423" s="8" t="str">
        <f>HYPERLINK("https://twitter.com/Sulisti14281557","@Sulisti14281557")</f>
        <v>@Sulisti14281557</v>
      </c>
      <c r="C12423" s="8" t="s">
        <v>3126</v>
      </c>
      <c r="D12423" s="8">
        <v>28</v>
      </c>
      <c r="E12423" s="8">
        <v>0</v>
      </c>
      <c r="F12423" s="8">
        <v>5606</v>
      </c>
    </row>
    <row r="12424" spans="1:6" ht="12.75">
      <c r="A12424" s="8">
        <v>43899.282997685186</v>
      </c>
      <c r="B12424" s="8" t="str">
        <f>HYPERLINK("https://twitter.com/YanHarahap","@YanHarahap")</f>
        <v>@YanHarahap</v>
      </c>
      <c r="C12424" s="8" t="s">
        <v>5101</v>
      </c>
      <c r="D12424" s="8">
        <v>0</v>
      </c>
      <c r="E12424" s="8">
        <v>0</v>
      </c>
      <c r="F12424" s="8">
        <v>5457</v>
      </c>
    </row>
    <row r="12425" spans="1:6" ht="12.75">
      <c r="A12425" s="8">
        <v>43899.282685185186</v>
      </c>
      <c r="B12425" s="8" t="str">
        <f>HYPERLINK("https://twitter.com/pikiran_rakyat","@pikiran_rakyat")</f>
        <v>@pikiran_rakyat</v>
      </c>
      <c r="C12425" s="8" t="s">
        <v>5102</v>
      </c>
      <c r="D12425" s="8">
        <v>0</v>
      </c>
      <c r="E12425" s="8">
        <v>2</v>
      </c>
      <c r="F12425" s="8">
        <v>413356</v>
      </c>
    </row>
    <row r="12426" spans="1:6" ht="12.75">
      <c r="A12426" s="8">
        <v>43899.281192129631</v>
      </c>
      <c r="B12426" s="8" t="str">
        <f>HYPERLINK("https://twitter.com/DavinRulli","@DavinRulli")</f>
        <v>@DavinRulli</v>
      </c>
      <c r="C12426" s="8" t="s">
        <v>3192</v>
      </c>
      <c r="D12426" s="8">
        <v>67</v>
      </c>
      <c r="E12426" s="8">
        <v>0</v>
      </c>
      <c r="F12426" s="8">
        <v>199</v>
      </c>
    </row>
    <row r="12427" spans="1:6" ht="12.75">
      <c r="A12427" s="8">
        <v>43899.281134259261</v>
      </c>
      <c r="B12427" s="8" t="str">
        <f>HYPERLINK("https://twitter.com/shankaragh148","@shankaragh148")</f>
        <v>@shankaragh148</v>
      </c>
      <c r="C12427" s="8" t="s">
        <v>1917</v>
      </c>
      <c r="D12427" s="8">
        <v>952</v>
      </c>
      <c r="E12427" s="8">
        <v>0</v>
      </c>
      <c r="F12427" s="8">
        <v>276</v>
      </c>
    </row>
    <row r="12428" spans="1:6" ht="12.75">
      <c r="A12428" s="8">
        <v>43899.281099537038</v>
      </c>
      <c r="B12428" s="8" t="str">
        <f>HYPERLINK("https://twitter.com/LiberoSpeziale","@LiberoSpeziale")</f>
        <v>@LiberoSpeziale</v>
      </c>
      <c r="C12428" s="8" t="s">
        <v>3265</v>
      </c>
      <c r="D12428" s="8">
        <v>510</v>
      </c>
      <c r="E12428" s="8">
        <v>0</v>
      </c>
      <c r="F12428" s="8">
        <v>7</v>
      </c>
    </row>
    <row r="12429" spans="1:6" ht="12.75">
      <c r="A12429" s="8">
        <v>43899.280868055561</v>
      </c>
      <c r="B12429" s="8" t="str">
        <f>HYPERLINK("https://twitter.com/taufiekdh","@taufiekdh")</f>
        <v>@taufiekdh</v>
      </c>
      <c r="C12429" s="8" t="s">
        <v>3126</v>
      </c>
      <c r="D12429" s="8">
        <v>28</v>
      </c>
      <c r="E12429" s="8">
        <v>0</v>
      </c>
      <c r="F12429" s="8">
        <v>321</v>
      </c>
    </row>
    <row r="12430" spans="1:6" ht="12.75">
      <c r="A12430" s="8">
        <v>43899.280428240745</v>
      </c>
      <c r="B12430" s="8" t="str">
        <f>HYPERLINK("https://twitter.com/JAK22N","@JAK22N")</f>
        <v>@JAK22N</v>
      </c>
      <c r="C12430" s="8" t="s">
        <v>1917</v>
      </c>
      <c r="D12430" s="8">
        <v>952</v>
      </c>
      <c r="E12430" s="8">
        <v>0</v>
      </c>
      <c r="F12430" s="8">
        <v>278</v>
      </c>
    </row>
    <row r="12431" spans="1:6" ht="12.75">
      <c r="A12431" s="8">
        <v>43899.277974537035</v>
      </c>
      <c r="B12431" s="8" t="str">
        <f>HYPERLINK("https://twitter.com/adechila","@adechila")</f>
        <v>@adechila</v>
      </c>
      <c r="C12431" s="8" t="s">
        <v>4760</v>
      </c>
      <c r="D12431" s="8">
        <v>5</v>
      </c>
      <c r="E12431" s="8">
        <v>0</v>
      </c>
      <c r="F12431" s="8">
        <v>350</v>
      </c>
    </row>
    <row r="12432" spans="1:6" ht="12.75">
      <c r="A12432" s="8">
        <v>43899.277708333335</v>
      </c>
      <c r="B12432" s="8" t="str">
        <f>HYPERLINK("https://twitter.com/ExSecularSummit","@ExSecularSummit")</f>
        <v>@ExSecularSummit</v>
      </c>
      <c r="C12432" s="8" t="s">
        <v>1917</v>
      </c>
      <c r="D12432" s="8">
        <v>952</v>
      </c>
      <c r="E12432" s="8">
        <v>0</v>
      </c>
      <c r="F12432" s="8">
        <v>211</v>
      </c>
    </row>
    <row r="12433" spans="1:6" ht="12.75">
      <c r="A12433" s="8">
        <v>43899.27715277778</v>
      </c>
      <c r="B12433" s="8" t="str">
        <f>HYPERLINK("https://twitter.com/akmalmursid1","@akmalmursid1")</f>
        <v>@akmalmursid1</v>
      </c>
      <c r="C12433" s="8" t="s">
        <v>1427</v>
      </c>
      <c r="D12433" s="8">
        <v>1044</v>
      </c>
      <c r="E12433" s="8">
        <v>0</v>
      </c>
      <c r="F12433" s="8">
        <v>93</v>
      </c>
    </row>
    <row r="12434" spans="1:6" ht="12.75">
      <c r="A12434" s="8">
        <v>43899.276423611111</v>
      </c>
      <c r="B12434" s="8" t="str">
        <f>HYPERLINK("https://twitter.com/Andli_Firman","@Andli_Firman")</f>
        <v>@Andli_Firman</v>
      </c>
      <c r="C12434" s="8" t="s">
        <v>3511</v>
      </c>
      <c r="D12434" s="8">
        <v>167</v>
      </c>
      <c r="E12434" s="8">
        <v>0</v>
      </c>
      <c r="F12434" s="8">
        <v>720</v>
      </c>
    </row>
    <row r="12435" spans="1:6" ht="12.75">
      <c r="A12435" s="8">
        <v>43899.275856481487</v>
      </c>
      <c r="B12435" s="8" t="str">
        <f>HYPERLINK("https://twitter.com/hasyimmubarak","@hasyimmubarak")</f>
        <v>@hasyimmubarak</v>
      </c>
      <c r="C12435" s="8" t="s">
        <v>5103</v>
      </c>
      <c r="D12435" s="8">
        <v>228</v>
      </c>
      <c r="E12435" s="8">
        <v>0</v>
      </c>
      <c r="F12435" s="8">
        <v>1094</v>
      </c>
    </row>
    <row r="12436" spans="1:6" ht="12.75">
      <c r="A12436" s="8">
        <v>43899.275208333333</v>
      </c>
      <c r="B12436" s="8" t="str">
        <f>HYPERLINK("https://twitter.com/rizahariati","@rizahariati")</f>
        <v>@rizahariati</v>
      </c>
      <c r="C12436" s="8" t="s">
        <v>5104</v>
      </c>
      <c r="D12436" s="8">
        <v>0</v>
      </c>
      <c r="E12436" s="8">
        <v>0</v>
      </c>
      <c r="F12436" s="8">
        <v>872</v>
      </c>
    </row>
    <row r="12437" spans="1:6" ht="12.75">
      <c r="A12437" s="8">
        <v>43899.27511574074</v>
      </c>
      <c r="B12437" s="8" t="str">
        <f>HYPERLINK("https://twitter.com/owri8","@owri8")</f>
        <v>@owri8</v>
      </c>
      <c r="C12437" s="8" t="s">
        <v>5105</v>
      </c>
      <c r="D12437" s="8">
        <v>0</v>
      </c>
      <c r="E12437" s="8">
        <v>0</v>
      </c>
      <c r="F12437" s="8">
        <v>1096</v>
      </c>
    </row>
    <row r="12438" spans="1:6" ht="12.75">
      <c r="A12438" s="8">
        <v>43899.274953703702</v>
      </c>
      <c r="B12438" s="8" t="str">
        <f>HYPERLINK("https://twitter.com/schwambach__","@schwambach__")</f>
        <v>@schwambach__</v>
      </c>
      <c r="C12438" s="8" t="s">
        <v>5106</v>
      </c>
      <c r="D12438" s="8">
        <v>0</v>
      </c>
      <c r="E12438" s="8">
        <v>0</v>
      </c>
      <c r="F12438" s="8">
        <v>1084</v>
      </c>
    </row>
    <row r="12439" spans="1:6" ht="12.75">
      <c r="A12439" s="8">
        <v>43899.274606481486</v>
      </c>
      <c r="B12439" s="8" t="str">
        <f>HYPERLINK("https://twitter.com/surodilagan","@surodilagan")</f>
        <v>@surodilagan</v>
      </c>
      <c r="C12439" s="8" t="s">
        <v>3126</v>
      </c>
      <c r="D12439" s="8">
        <v>28</v>
      </c>
      <c r="E12439" s="8">
        <v>0</v>
      </c>
      <c r="F12439" s="8">
        <v>1463</v>
      </c>
    </row>
    <row r="12440" spans="1:6" ht="12.75">
      <c r="A12440" s="8">
        <v>43899.274560185186</v>
      </c>
      <c r="B12440" s="8" t="str">
        <f>HYPERLINK("https://twitter.com/NoeyHariandi","@NoeyHariandi")</f>
        <v>@NoeyHariandi</v>
      </c>
      <c r="C12440" s="8" t="s">
        <v>5107</v>
      </c>
      <c r="D12440" s="8">
        <v>1</v>
      </c>
      <c r="E12440" s="8">
        <v>0</v>
      </c>
      <c r="F12440" s="8">
        <v>319</v>
      </c>
    </row>
    <row r="12441" spans="1:6" ht="12.75">
      <c r="A12441" s="8">
        <v>43899.274247685185</v>
      </c>
      <c r="B12441" s="8" t="str">
        <f>HYPERLINK("https://twitter.com/WuLaaaaannn","@WuLaaaaannn")</f>
        <v>@WuLaaaaannn</v>
      </c>
      <c r="C12441" s="8" t="s">
        <v>4927</v>
      </c>
      <c r="D12441" s="8">
        <v>51</v>
      </c>
      <c r="E12441" s="8">
        <v>0</v>
      </c>
      <c r="F12441" s="8">
        <v>362</v>
      </c>
    </row>
    <row r="12442" spans="1:6" ht="12.75">
      <c r="A12442" s="8">
        <v>43899.274189814816</v>
      </c>
      <c r="B12442" s="8" t="str">
        <f>HYPERLINK("https://twitter.com/atalBhaarat","@atalBhaarat")</f>
        <v>@atalBhaarat</v>
      </c>
      <c r="C12442" s="8" t="s">
        <v>1917</v>
      </c>
      <c r="D12442" s="8">
        <v>952</v>
      </c>
      <c r="E12442" s="8">
        <v>0</v>
      </c>
      <c r="F12442" s="8">
        <v>223</v>
      </c>
    </row>
    <row r="12443" spans="1:6" ht="12.75">
      <c r="A12443" s="8">
        <v>43899.273993055554</v>
      </c>
      <c r="B12443" s="8" t="str">
        <f>HYPERLINK("https://twitter.com/SAWUNGLANANG","@SAWUNGLANANG")</f>
        <v>@SAWUNGLANANG</v>
      </c>
      <c r="C12443" s="8" t="s">
        <v>5108</v>
      </c>
      <c r="D12443" s="8">
        <v>0</v>
      </c>
      <c r="E12443" s="8">
        <v>1</v>
      </c>
      <c r="F12443" s="8">
        <v>56</v>
      </c>
    </row>
    <row r="12444" spans="1:6" ht="12.75">
      <c r="A12444" s="8">
        <v>43899.273726851854</v>
      </c>
      <c r="B12444" s="8" t="str">
        <f>HYPERLINK("https://twitter.com/tikaisme","@tikaisme")</f>
        <v>@tikaisme</v>
      </c>
      <c r="C12444" s="8" t="s">
        <v>4801</v>
      </c>
      <c r="D12444" s="8">
        <v>129</v>
      </c>
      <c r="E12444" s="8">
        <v>0</v>
      </c>
      <c r="F12444" s="8">
        <v>394</v>
      </c>
    </row>
    <row r="12445" spans="1:6" ht="12.75">
      <c r="A12445" s="8">
        <v>43899.273495370369</v>
      </c>
      <c r="B12445" s="8" t="str">
        <f>HYPERLINK("https://twitter.com/SblBhavesh","@SblBhavesh")</f>
        <v>@SblBhavesh</v>
      </c>
      <c r="C12445" s="8" t="s">
        <v>1917</v>
      </c>
      <c r="D12445" s="8">
        <v>952</v>
      </c>
      <c r="E12445" s="8">
        <v>0</v>
      </c>
      <c r="F12445" s="8">
        <v>105</v>
      </c>
    </row>
    <row r="12446" spans="1:6" ht="12.75">
      <c r="A12446" s="8">
        <v>43899.273125</v>
      </c>
      <c r="B12446" s="8" t="str">
        <f>HYPERLINK("https://twitter.com/rennotantoyo","@rennotantoyo")</f>
        <v>@rennotantoyo</v>
      </c>
      <c r="C12446" s="8" t="s">
        <v>3126</v>
      </c>
      <c r="D12446" s="8">
        <v>28</v>
      </c>
      <c r="E12446" s="8">
        <v>0</v>
      </c>
      <c r="F12446" s="8">
        <v>288</v>
      </c>
    </row>
    <row r="12447" spans="1:6" ht="12.75">
      <c r="A12447" s="8">
        <v>43899.272986111115</v>
      </c>
      <c r="B12447" s="8" t="str">
        <f>HYPERLINK("https://twitter.com/kompascom","@kompascom")</f>
        <v>@kompascom</v>
      </c>
      <c r="C12447" s="8" t="s">
        <v>5109</v>
      </c>
      <c r="D12447" s="8">
        <v>0</v>
      </c>
      <c r="E12447" s="8">
        <v>3</v>
      </c>
      <c r="F12447" s="8">
        <v>7535752</v>
      </c>
    </row>
    <row r="12448" spans="1:6" ht="12.75">
      <c r="A12448" s="8">
        <v>43899.271319444444</v>
      </c>
      <c r="B12448" s="8" t="str">
        <f>HYPERLINK("https://twitter.com/SunardiGiman1","@SunardiGiman1")</f>
        <v>@SunardiGiman1</v>
      </c>
      <c r="C12448" s="8" t="s">
        <v>3265</v>
      </c>
      <c r="D12448" s="8">
        <v>510</v>
      </c>
      <c r="E12448" s="8">
        <v>0</v>
      </c>
      <c r="F12448" s="8">
        <v>1078</v>
      </c>
    </row>
    <row r="12449" spans="1:6" ht="12.75">
      <c r="A12449" s="8">
        <v>43899.270254629635</v>
      </c>
      <c r="B12449" s="8" t="str">
        <f>HYPERLINK("https://twitter.com/TedongNag4","@TedongNag4")</f>
        <v>@TedongNag4</v>
      </c>
      <c r="C12449" s="8" t="s">
        <v>3265</v>
      </c>
      <c r="D12449" s="8">
        <v>510</v>
      </c>
      <c r="E12449" s="8">
        <v>0</v>
      </c>
      <c r="F12449" s="8">
        <v>527</v>
      </c>
    </row>
    <row r="12450" spans="1:6" ht="12.75">
      <c r="A12450" s="8">
        <v>43899.269872685181</v>
      </c>
      <c r="B12450" s="8" t="str">
        <f>HYPERLINK("https://twitter.com/Profeeesor","@Profeeesor")</f>
        <v>@Profeeesor</v>
      </c>
      <c r="C12450" s="8" t="s">
        <v>3126</v>
      </c>
      <c r="D12450" s="8">
        <v>28</v>
      </c>
      <c r="E12450" s="8">
        <v>0</v>
      </c>
      <c r="F12450" s="8">
        <v>3488</v>
      </c>
    </row>
    <row r="12451" spans="1:6" ht="12.75">
      <c r="A12451" s="8">
        <v>43899.269814814819</v>
      </c>
      <c r="B12451" s="8" t="str">
        <f>HYPERLINK("https://twitter.com/AfifahTsuroya","@AfifahTsuroya")</f>
        <v>@AfifahTsuroya</v>
      </c>
      <c r="C12451" s="8" t="s">
        <v>3126</v>
      </c>
      <c r="D12451" s="8">
        <v>28</v>
      </c>
      <c r="E12451" s="8">
        <v>0</v>
      </c>
      <c r="F12451" s="8">
        <v>326</v>
      </c>
    </row>
    <row r="12452" spans="1:6" ht="12.75">
      <c r="A12452" s="8">
        <v>43899.269756944443</v>
      </c>
      <c r="B12452" s="8" t="str">
        <f>HYPERLINK("https://twitter.com/what_did_imiss","@what_did_imiss")</f>
        <v>@what_did_imiss</v>
      </c>
      <c r="C12452" s="8" t="s">
        <v>1917</v>
      </c>
      <c r="D12452" s="8">
        <v>952</v>
      </c>
      <c r="E12452" s="8">
        <v>0</v>
      </c>
      <c r="F12452" s="8">
        <v>440</v>
      </c>
    </row>
    <row r="12453" spans="1:6" ht="12.75">
      <c r="A12453" s="8">
        <v>43899.269490740742</v>
      </c>
      <c r="B12453" s="8" t="str">
        <f>HYPERLINK("https://twitter.com/Andi11915615","@Andi11915615")</f>
        <v>@Andi11915615</v>
      </c>
      <c r="C12453" s="8" t="s">
        <v>1875</v>
      </c>
      <c r="D12453" s="8">
        <v>84</v>
      </c>
      <c r="E12453" s="8">
        <v>0</v>
      </c>
      <c r="F12453" s="8">
        <v>24</v>
      </c>
    </row>
    <row r="12454" spans="1:6" ht="12.75">
      <c r="A12454" s="8">
        <v>43899.269247685181</v>
      </c>
      <c r="B12454" s="8" t="str">
        <f>HYPERLINK("https://twitter.com/iNewsID","@iNewsID")</f>
        <v>@iNewsID</v>
      </c>
      <c r="C12454" s="8" t="s">
        <v>5020</v>
      </c>
      <c r="D12454" s="8">
        <v>0</v>
      </c>
      <c r="E12454" s="8">
        <v>0</v>
      </c>
      <c r="F12454" s="8">
        <v>1375</v>
      </c>
    </row>
    <row r="12455" spans="1:6" ht="12.75">
      <c r="A12455" s="8">
        <v>43899.26835648148</v>
      </c>
      <c r="B12455" s="8" t="str">
        <f>HYPERLINK("https://twitter.com/arzuhdi","@arzuhdi")</f>
        <v>@arzuhdi</v>
      </c>
      <c r="C12455" s="8" t="s">
        <v>5110</v>
      </c>
      <c r="D12455" s="8">
        <v>0</v>
      </c>
      <c r="E12455" s="8">
        <v>0</v>
      </c>
      <c r="F12455" s="8">
        <v>33</v>
      </c>
    </row>
    <row r="12456" spans="1:6" ht="12.75">
      <c r="A12456" s="8">
        <v>43899.267812499995</v>
      </c>
      <c r="B12456" s="8" t="str">
        <f>HYPERLINK("https://twitter.com/bhupeshpapnai","@bhupeshpapnai")</f>
        <v>@bhupeshpapnai</v>
      </c>
      <c r="C12456" s="8" t="s">
        <v>1917</v>
      </c>
      <c r="D12456" s="8">
        <v>952</v>
      </c>
      <c r="E12456" s="8">
        <v>0</v>
      </c>
      <c r="F12456" s="8">
        <v>400</v>
      </c>
    </row>
    <row r="12457" spans="1:6" ht="12.75">
      <c r="A12457" s="8">
        <v>43899.267523148148</v>
      </c>
      <c r="B12457" s="8" t="str">
        <f>HYPERLINK("https://twitter.com/bibin_bey","@bibin_bey")</f>
        <v>@bibin_bey</v>
      </c>
      <c r="C12457" s="8" t="s">
        <v>3126</v>
      </c>
      <c r="D12457" s="8">
        <v>28</v>
      </c>
      <c r="E12457" s="8">
        <v>0</v>
      </c>
      <c r="F12457" s="8">
        <v>1625</v>
      </c>
    </row>
    <row r="12458" spans="1:6" ht="12.75">
      <c r="A12458" s="8">
        <v>43899.267430555556</v>
      </c>
      <c r="B12458" s="8" t="str">
        <f>HYPERLINK("https://twitter.com/mumin_rb","@mumin_rb")</f>
        <v>@mumin_rb</v>
      </c>
      <c r="C12458" s="8" t="s">
        <v>3126</v>
      </c>
      <c r="D12458" s="8">
        <v>28</v>
      </c>
      <c r="E12458" s="8">
        <v>0</v>
      </c>
      <c r="F12458" s="8">
        <v>789</v>
      </c>
    </row>
    <row r="12459" spans="1:6" ht="12.75">
      <c r="A12459" s="8">
        <v>43899.267233796301</v>
      </c>
      <c r="B12459" s="8" t="str">
        <f>HYPERLINK("https://twitter.com/sabhya_purush","@sabhya_purush")</f>
        <v>@sabhya_purush</v>
      </c>
      <c r="C12459" s="8" t="s">
        <v>1917</v>
      </c>
      <c r="D12459" s="8">
        <v>952</v>
      </c>
      <c r="E12459" s="8">
        <v>0</v>
      </c>
      <c r="F12459" s="8">
        <v>41</v>
      </c>
    </row>
    <row r="12460" spans="1:6" ht="12.75">
      <c r="A12460" s="8">
        <v>43899.266446759255</v>
      </c>
      <c r="B12460" s="8" t="str">
        <f>HYPERLINK("https://twitter.com/Harryy_Pawter","@Harryy_Pawter")</f>
        <v>@Harryy_Pawter</v>
      </c>
      <c r="C12460" s="8" t="s">
        <v>1917</v>
      </c>
      <c r="D12460" s="8">
        <v>952</v>
      </c>
      <c r="E12460" s="8">
        <v>0</v>
      </c>
      <c r="F12460" s="8">
        <v>192</v>
      </c>
    </row>
    <row r="12461" spans="1:6" ht="12.75">
      <c r="A12461" s="8">
        <v>43899.265775462962</v>
      </c>
      <c r="B12461" s="8" t="str">
        <f>HYPERLINK("https://twitter.com/dewi_darmawati","@dewi_darmawati")</f>
        <v>@dewi_darmawati</v>
      </c>
      <c r="C12461" s="8" t="s">
        <v>4591</v>
      </c>
      <c r="D12461" s="8">
        <v>16</v>
      </c>
      <c r="E12461" s="8">
        <v>0</v>
      </c>
      <c r="F12461" s="8">
        <v>4404</v>
      </c>
    </row>
    <row r="12462" spans="1:6" ht="12.75">
      <c r="A12462" s="8">
        <v>43899.265625</v>
      </c>
      <c r="B12462" s="8" t="str">
        <f>HYPERLINK("https://twitter.com/Andini_932","@Andini_932")</f>
        <v>@Andini_932</v>
      </c>
      <c r="C12462" s="8" t="s">
        <v>5111</v>
      </c>
      <c r="D12462" s="8">
        <v>1</v>
      </c>
      <c r="E12462" s="8">
        <v>0</v>
      </c>
      <c r="F12462" s="8">
        <v>87</v>
      </c>
    </row>
    <row r="12463" spans="1:6" ht="12.75">
      <c r="A12463" s="8">
        <v>43899.265023148153</v>
      </c>
      <c r="B12463" s="8" t="str">
        <f>HYPERLINK("https://twitter.com/dindun80","@dindun80")</f>
        <v>@dindun80</v>
      </c>
      <c r="C12463" s="8" t="s">
        <v>4927</v>
      </c>
      <c r="D12463" s="8">
        <v>51</v>
      </c>
      <c r="E12463" s="8">
        <v>0</v>
      </c>
      <c r="F12463" s="8">
        <v>114</v>
      </c>
    </row>
    <row r="12464" spans="1:6" ht="12.75">
      <c r="A12464" s="8">
        <v>43899.264837962968</v>
      </c>
      <c r="B12464" s="8" t="str">
        <f>HYPERLINK("https://twitter.com/vkbtn46","@vkbtn46")</f>
        <v>@vkbtn46</v>
      </c>
      <c r="C12464" s="8" t="s">
        <v>1917</v>
      </c>
      <c r="D12464" s="8">
        <v>952</v>
      </c>
      <c r="E12464" s="8">
        <v>0</v>
      </c>
      <c r="F12464" s="8">
        <v>157</v>
      </c>
    </row>
    <row r="12465" spans="1:6" ht="12.75">
      <c r="A12465" s="8">
        <v>43899.264606481476</v>
      </c>
      <c r="B12465" s="8" t="str">
        <f>HYPERLINK("https://twitter.com/FernianHaeHaean","@FernianHaeHaean")</f>
        <v>@FernianHaeHaean</v>
      </c>
      <c r="C12465" s="8" t="s">
        <v>3126</v>
      </c>
      <c r="D12465" s="8">
        <v>28</v>
      </c>
      <c r="E12465" s="8">
        <v>0</v>
      </c>
      <c r="F12465" s="8">
        <v>271</v>
      </c>
    </row>
    <row r="12466" spans="1:6" ht="12.75">
      <c r="A12466" s="8">
        <v>43899.264247685191</v>
      </c>
      <c r="B12466" s="8" t="str">
        <f>HYPERLINK("https://twitter.com/BharatBhakta","@BharatBhakta")</f>
        <v>@BharatBhakta</v>
      </c>
      <c r="C12466" s="8" t="s">
        <v>1917</v>
      </c>
      <c r="D12466" s="8">
        <v>952</v>
      </c>
      <c r="E12466" s="8">
        <v>0</v>
      </c>
      <c r="F12466" s="8">
        <v>1522</v>
      </c>
    </row>
    <row r="12467" spans="1:6" ht="12.75">
      <c r="A12467" s="8">
        <v>43899.264155092591</v>
      </c>
      <c r="B12467" s="8" t="str">
        <f>HYPERLINK("https://twitter.com/Bhakt20","@Bhakt20")</f>
        <v>@Bhakt20</v>
      </c>
      <c r="C12467" s="8" t="s">
        <v>1917</v>
      </c>
      <c r="D12467" s="8">
        <v>952</v>
      </c>
      <c r="E12467" s="8">
        <v>0</v>
      </c>
      <c r="F12467" s="8">
        <v>284</v>
      </c>
    </row>
    <row r="12468" spans="1:6" ht="12.75">
      <c r="A12468" s="8">
        <v>43899.263958333337</v>
      </c>
      <c r="B12468" s="8" t="str">
        <f>HYPERLINK("https://twitter.com/ExSecular","@ExSecular")</f>
        <v>@ExSecular</v>
      </c>
      <c r="C12468" s="8" t="s">
        <v>1917</v>
      </c>
      <c r="D12468" s="8">
        <v>952</v>
      </c>
      <c r="E12468" s="8">
        <v>0</v>
      </c>
      <c r="F12468" s="8">
        <v>85004</v>
      </c>
    </row>
    <row r="12469" spans="1:6" ht="12.75">
      <c r="A12469" s="8">
        <v>43899.263391203705</v>
      </c>
      <c r="B12469" s="8" t="str">
        <f>HYPERLINK("https://twitter.com/MRidwanNst11","@MRidwanNst11")</f>
        <v>@MRidwanNst11</v>
      </c>
      <c r="C12469" s="8" t="s">
        <v>4927</v>
      </c>
      <c r="D12469" s="8">
        <v>51</v>
      </c>
      <c r="E12469" s="8">
        <v>0</v>
      </c>
      <c r="F12469" s="8">
        <v>28</v>
      </c>
    </row>
    <row r="12470" spans="1:6" ht="12.75">
      <c r="A12470" s="8">
        <v>43899.262164351851</v>
      </c>
      <c r="B12470" s="8" t="str">
        <f>HYPERLINK("https://twitter.com/Agusman70452600","@Agusman70452600")</f>
        <v>@Agusman70452600</v>
      </c>
      <c r="C12470" s="8" t="s">
        <v>3126</v>
      </c>
      <c r="D12470" s="8">
        <v>28</v>
      </c>
      <c r="E12470" s="8">
        <v>0</v>
      </c>
      <c r="F12470" s="8">
        <v>507</v>
      </c>
    </row>
    <row r="12471" spans="1:6" ht="12.75">
      <c r="A12471" s="8">
        <v>43899.261990740742</v>
      </c>
      <c r="B12471" s="8" t="str">
        <f>HYPERLINK("https://twitter.com/h3nd4r","@h3nd4r")</f>
        <v>@h3nd4r</v>
      </c>
      <c r="C12471" s="8" t="s">
        <v>5112</v>
      </c>
      <c r="D12471" s="8">
        <v>2</v>
      </c>
      <c r="E12471" s="8">
        <v>0</v>
      </c>
      <c r="F12471" s="8">
        <v>159</v>
      </c>
    </row>
    <row r="12472" spans="1:6" ht="12.75">
      <c r="A12472" s="8">
        <v>43899.261793981481</v>
      </c>
      <c r="B12472" s="8" t="str">
        <f>HYPERLINK("https://twitter.com/ativre_","@ativre_")</f>
        <v>@ativre_</v>
      </c>
      <c r="C12472" s="8" t="s">
        <v>4548</v>
      </c>
      <c r="D12472" s="8">
        <v>24</v>
      </c>
      <c r="E12472" s="8">
        <v>0</v>
      </c>
      <c r="F12472" s="8">
        <v>65</v>
      </c>
    </row>
    <row r="12473" spans="1:6" ht="12.75">
      <c r="A12473" s="8">
        <v>43899.261354166665</v>
      </c>
      <c r="B12473" s="8" t="str">
        <f>HYPERLINK("https://twitter.com/Anizacha","@Anizacha")</f>
        <v>@Anizacha</v>
      </c>
      <c r="C12473" s="8" t="s">
        <v>3265</v>
      </c>
      <c r="D12473" s="8">
        <v>510</v>
      </c>
      <c r="E12473" s="8">
        <v>0</v>
      </c>
      <c r="F12473" s="8">
        <v>1838</v>
      </c>
    </row>
    <row r="12474" spans="1:6" ht="12.75">
      <c r="A12474" s="8">
        <v>43899.261284722219</v>
      </c>
      <c r="B12474" s="8" t="str">
        <f t="shared" ref="B12474:B12476" si="197">HYPERLINK("https://twitter.com/_wni_","@_wni_")</f>
        <v>@_wni_</v>
      </c>
      <c r="C12474" s="8" t="s">
        <v>5113</v>
      </c>
      <c r="D12474" s="8">
        <v>3733</v>
      </c>
      <c r="E12474" s="8">
        <v>0</v>
      </c>
      <c r="F12474" s="8">
        <v>16</v>
      </c>
    </row>
    <row r="12475" spans="1:6" ht="12.75">
      <c r="A12475" s="8">
        <v>43899.261203703703</v>
      </c>
      <c r="B12475" s="8" t="str">
        <f t="shared" si="197"/>
        <v>@_wni_</v>
      </c>
      <c r="C12475" s="8" t="s">
        <v>5114</v>
      </c>
      <c r="D12475" s="8">
        <v>10175</v>
      </c>
      <c r="E12475" s="8">
        <v>0</v>
      </c>
      <c r="F12475" s="8">
        <v>16</v>
      </c>
    </row>
    <row r="12476" spans="1:6" ht="12.75">
      <c r="A12476" s="8">
        <v>43899.260995370365</v>
      </c>
      <c r="B12476" s="8" t="str">
        <f t="shared" si="197"/>
        <v>@_wni_</v>
      </c>
      <c r="C12476" s="8" t="s">
        <v>5115</v>
      </c>
      <c r="D12476" s="8">
        <v>3945</v>
      </c>
      <c r="E12476" s="8">
        <v>0</v>
      </c>
      <c r="F12476" s="8">
        <v>16</v>
      </c>
    </row>
    <row r="12477" spans="1:6" ht="12.75">
      <c r="A12477" s="8">
        <v>43899.260937500003</v>
      </c>
      <c r="B12477" s="8" t="str">
        <f>HYPERLINK("https://twitter.com/la1laha1llallah","@la1laha1llallah")</f>
        <v>@la1laha1llallah</v>
      </c>
      <c r="C12477" s="8" t="s">
        <v>3126</v>
      </c>
      <c r="D12477" s="8">
        <v>28</v>
      </c>
      <c r="E12477" s="8">
        <v>0</v>
      </c>
      <c r="F12477" s="8">
        <v>4056</v>
      </c>
    </row>
    <row r="12478" spans="1:6" ht="12.75">
      <c r="A12478" s="8">
        <v>43899.260694444441</v>
      </c>
      <c r="B12478" s="8" t="str">
        <f t="shared" ref="B12478:B12479" si="198">HYPERLINK("https://twitter.com/_wni_","@_wni_")</f>
        <v>@_wni_</v>
      </c>
      <c r="C12478" s="8" t="s">
        <v>5116</v>
      </c>
      <c r="D12478" s="8">
        <v>4318</v>
      </c>
      <c r="E12478" s="8">
        <v>0</v>
      </c>
      <c r="F12478" s="8">
        <v>16</v>
      </c>
    </row>
    <row r="12479" spans="1:6" ht="12.75">
      <c r="A12479" s="8">
        <v>43899.260428240741</v>
      </c>
      <c r="B12479" s="8" t="str">
        <f t="shared" si="198"/>
        <v>@_wni_</v>
      </c>
      <c r="C12479" s="8" t="s">
        <v>5117</v>
      </c>
      <c r="D12479" s="8">
        <v>0</v>
      </c>
      <c r="E12479" s="8">
        <v>0</v>
      </c>
      <c r="F12479" s="8">
        <v>16</v>
      </c>
    </row>
    <row r="12480" spans="1:6" ht="12.75">
      <c r="A12480" s="8">
        <v>43899.260335648149</v>
      </c>
      <c r="B12480" s="8" t="str">
        <f>HYPERLINK("https://twitter.com/Lord_Sakto","@Lord_Sakto")</f>
        <v>@Lord_Sakto</v>
      </c>
      <c r="C12480" s="8" t="s">
        <v>3126</v>
      </c>
      <c r="D12480" s="8">
        <v>28</v>
      </c>
      <c r="E12480" s="8">
        <v>0</v>
      </c>
      <c r="F12480" s="8">
        <v>2844</v>
      </c>
    </row>
    <row r="12481" spans="1:6" ht="12.75">
      <c r="A12481" s="8">
        <v>43899.259525462963</v>
      </c>
      <c r="B12481" s="8" t="str">
        <f>HYPERLINK("https://twitter.com/evereeze","@evereeze")</f>
        <v>@evereeze</v>
      </c>
      <c r="C12481" s="8" t="s">
        <v>5118</v>
      </c>
      <c r="D12481" s="8">
        <v>5</v>
      </c>
      <c r="E12481" s="8">
        <v>0</v>
      </c>
      <c r="F12481" s="8">
        <v>321</v>
      </c>
    </row>
    <row r="12482" spans="1:6" ht="12.75">
      <c r="A12482" s="8">
        <v>43899.258483796293</v>
      </c>
      <c r="B12482" s="8" t="str">
        <f>HYPERLINK("https://twitter.com/NisshaGuna1","@NisshaGuna1")</f>
        <v>@NisshaGuna1</v>
      </c>
      <c r="C12482" s="8" t="s">
        <v>4801</v>
      </c>
      <c r="D12482" s="8">
        <v>129</v>
      </c>
      <c r="E12482" s="8">
        <v>0</v>
      </c>
      <c r="F12482" s="8">
        <v>514</v>
      </c>
    </row>
    <row r="12483" spans="1:6" ht="12.75">
      <c r="A12483" s="8">
        <v>43899.258287037039</v>
      </c>
      <c r="B12483" s="8" t="str">
        <f>HYPERLINK("https://twitter.com/kiswanto_sp","@kiswanto_sp")</f>
        <v>@kiswanto_sp</v>
      </c>
      <c r="C12483" s="8" t="s">
        <v>4927</v>
      </c>
      <c r="D12483" s="8">
        <v>51</v>
      </c>
      <c r="E12483" s="8">
        <v>0</v>
      </c>
      <c r="F12483" s="8">
        <v>1964</v>
      </c>
    </row>
    <row r="12484" spans="1:6" ht="12.75">
      <c r="A12484" s="8">
        <v>43899.257233796292</v>
      </c>
      <c r="B12484" s="8" t="str">
        <f>HYPERLINK("https://twitter.com/yuliaboe1","@yuliaboe1")</f>
        <v>@yuliaboe1</v>
      </c>
      <c r="C12484" s="8" t="s">
        <v>4591</v>
      </c>
      <c r="D12484" s="8">
        <v>16</v>
      </c>
      <c r="E12484" s="8">
        <v>0</v>
      </c>
      <c r="F12484" s="8">
        <v>13</v>
      </c>
    </row>
    <row r="12485" spans="1:6" ht="12.75">
      <c r="A12485" s="8">
        <v>43899.256539351853</v>
      </c>
      <c r="B12485" s="8" t="str">
        <f>HYPERLINK("https://twitter.com/kangisrona","@kangisrona")</f>
        <v>@kangisrona</v>
      </c>
      <c r="C12485" s="8" t="s">
        <v>5119</v>
      </c>
      <c r="D12485" s="8">
        <v>0</v>
      </c>
      <c r="E12485" s="8">
        <v>0</v>
      </c>
      <c r="F12485" s="8">
        <v>1348</v>
      </c>
    </row>
    <row r="12486" spans="1:6" ht="12.75">
      <c r="A12486" s="8">
        <v>43899.256261574075</v>
      </c>
      <c r="B12486" s="8" t="str">
        <f>HYPERLINK("https://twitter.com/CasperBeWin1","@CasperBeWin1")</f>
        <v>@CasperBeWin1</v>
      </c>
      <c r="C12486" s="8" t="s">
        <v>3126</v>
      </c>
      <c r="D12486" s="8">
        <v>5</v>
      </c>
      <c r="E12486" s="8">
        <v>0</v>
      </c>
      <c r="F12486" s="8">
        <v>2997</v>
      </c>
    </row>
    <row r="12487" spans="1:6" ht="12.75">
      <c r="A12487" s="8">
        <v>43899.255960648152</v>
      </c>
      <c r="B12487" s="8" t="str">
        <f>HYPERLINK("https://twitter.com/sandyquote","@sandyquote")</f>
        <v>@sandyquote</v>
      </c>
      <c r="C12487" s="8" t="s">
        <v>1917</v>
      </c>
      <c r="D12487" s="8">
        <v>933</v>
      </c>
      <c r="E12487" s="8">
        <v>0</v>
      </c>
      <c r="F12487" s="8">
        <v>60</v>
      </c>
    </row>
    <row r="12488" spans="1:6" ht="12.75">
      <c r="A12488" s="8">
        <v>43899.255856481483</v>
      </c>
      <c r="B12488" s="8" t="str">
        <f>HYPERLINK("https://twitter.com/mineshah","@mineshah")</f>
        <v>@mineshah</v>
      </c>
      <c r="C12488" s="8" t="s">
        <v>1917</v>
      </c>
      <c r="D12488" s="8">
        <v>933</v>
      </c>
      <c r="E12488" s="8">
        <v>0</v>
      </c>
      <c r="F12488" s="8">
        <v>311</v>
      </c>
    </row>
    <row r="12489" spans="1:6" ht="12.75">
      <c r="A12489" s="8">
        <v>43899.255636574075</v>
      </c>
      <c r="B12489" s="8" t="str">
        <f>HYPERLINK("https://twitter.com/Jioenk_Nizam","@Jioenk_Nizam")</f>
        <v>@Jioenk_Nizam</v>
      </c>
      <c r="C12489" s="8" t="s">
        <v>5059</v>
      </c>
      <c r="D12489" s="8">
        <v>35</v>
      </c>
      <c r="E12489" s="8">
        <v>0</v>
      </c>
      <c r="F12489" s="8">
        <v>255</v>
      </c>
    </row>
    <row r="12490" spans="1:6" ht="12.75">
      <c r="A12490" s="8">
        <v>43899.255555555559</v>
      </c>
      <c r="B12490" s="8" t="str">
        <f>HYPERLINK("https://twitter.com/ani_nyebar","@ani_nyebar")</f>
        <v>@ani_nyebar</v>
      </c>
      <c r="C12490" s="8" t="s">
        <v>5120</v>
      </c>
      <c r="D12490" s="8">
        <v>0</v>
      </c>
      <c r="E12490" s="8">
        <v>0</v>
      </c>
      <c r="F12490" s="8">
        <v>127</v>
      </c>
    </row>
    <row r="12491" spans="1:6" ht="12.75">
      <c r="A12491" s="8">
        <v>43899.255173611113</v>
      </c>
      <c r="B12491" s="8" t="str">
        <f>HYPERLINK("https://twitter.com/BannedMs","@BannedMs")</f>
        <v>@BannedMs</v>
      </c>
      <c r="C12491" s="8" t="s">
        <v>3126</v>
      </c>
      <c r="D12491" s="8">
        <v>5</v>
      </c>
      <c r="E12491" s="8">
        <v>0</v>
      </c>
      <c r="F12491" s="8">
        <v>754</v>
      </c>
    </row>
    <row r="12492" spans="1:6" ht="12.75">
      <c r="A12492" s="8">
        <v>43899.253912037035</v>
      </c>
      <c r="B12492" s="8" t="str">
        <f>HYPERLINK("https://twitter.com/evereeze","@evereeze")</f>
        <v>@evereeze</v>
      </c>
      <c r="C12492" s="8" t="s">
        <v>3511</v>
      </c>
      <c r="D12492" s="8">
        <v>166</v>
      </c>
      <c r="E12492" s="8">
        <v>0</v>
      </c>
      <c r="F12492" s="8">
        <v>320</v>
      </c>
    </row>
    <row r="12493" spans="1:6" ht="12.75">
      <c r="A12493" s="8">
        <v>43899.253796296296</v>
      </c>
      <c r="B12493" s="8" t="str">
        <f>HYPERLINK("https://twitter.com/frida_rahardjo","@frida_rahardjo")</f>
        <v>@frida_rahardjo</v>
      </c>
      <c r="C12493" s="8" t="s">
        <v>5121</v>
      </c>
      <c r="D12493" s="8">
        <v>3</v>
      </c>
      <c r="E12493" s="8">
        <v>0</v>
      </c>
      <c r="F12493" s="8">
        <v>1484</v>
      </c>
    </row>
    <row r="12494" spans="1:6" ht="12.75">
      <c r="A12494" s="8">
        <v>43899.252881944441</v>
      </c>
      <c r="B12494" s="8" t="str">
        <f>HYPERLINK("https://twitter.com/Bapak22821866","@Bapak22821866")</f>
        <v>@Bapak22821866</v>
      </c>
      <c r="C12494" s="8" t="s">
        <v>3126</v>
      </c>
      <c r="D12494" s="8">
        <v>5</v>
      </c>
      <c r="E12494" s="8">
        <v>0</v>
      </c>
      <c r="F12494" s="8">
        <v>1807</v>
      </c>
    </row>
    <row r="12495" spans="1:6" ht="12.75">
      <c r="A12495" s="8">
        <v>43899.25236111111</v>
      </c>
      <c r="B12495" s="8" t="str">
        <f>HYPERLINK("https://twitter.com/Innayaputri72","@Innayaputri72")</f>
        <v>@Innayaputri72</v>
      </c>
      <c r="C12495" s="8" t="s">
        <v>5122</v>
      </c>
      <c r="D12495" s="8">
        <v>0</v>
      </c>
      <c r="E12495" s="8">
        <v>1</v>
      </c>
      <c r="F12495" s="8">
        <v>17280</v>
      </c>
    </row>
    <row r="12496" spans="1:6" ht="12.75">
      <c r="A12496" s="8">
        <v>43899.252164351856</v>
      </c>
      <c r="B12496" s="8" t="str">
        <f>HYPERLINK("https://twitter.com/Agitated_One","@Agitated_One")</f>
        <v>@Agitated_One</v>
      </c>
      <c r="C12496" s="8" t="s">
        <v>1917</v>
      </c>
      <c r="D12496" s="8">
        <v>933</v>
      </c>
      <c r="E12496" s="8">
        <v>0</v>
      </c>
      <c r="F12496" s="8">
        <v>588</v>
      </c>
    </row>
    <row r="12497" spans="1:6" ht="12.75">
      <c r="A12497" s="8">
        <v>43899.252164351856</v>
      </c>
      <c r="B12497" s="8" t="str">
        <f>HYPERLINK("https://twitter.com/ShamesSpoke","@ShamesSpoke")</f>
        <v>@ShamesSpoke</v>
      </c>
      <c r="C12497" s="8" t="s">
        <v>1917</v>
      </c>
      <c r="D12497" s="8">
        <v>933</v>
      </c>
      <c r="E12497" s="8">
        <v>0</v>
      </c>
      <c r="F12497" s="8">
        <v>1398</v>
      </c>
    </row>
    <row r="12498" spans="1:6" ht="12.75">
      <c r="A12498" s="8">
        <v>43899.252060185187</v>
      </c>
      <c r="B12498" s="8" t="str">
        <f>HYPERLINK("https://twitter.com/kenzhy_trueblue","@kenzhy_trueblue")</f>
        <v>@kenzhy_trueblue</v>
      </c>
      <c r="C12498" s="8" t="s">
        <v>3265</v>
      </c>
      <c r="D12498" s="8">
        <v>500</v>
      </c>
      <c r="E12498" s="8">
        <v>0</v>
      </c>
      <c r="F12498" s="8">
        <v>669</v>
      </c>
    </row>
    <row r="12499" spans="1:6" ht="12.75">
      <c r="A12499" s="8">
        <v>43899.25199074074</v>
      </c>
      <c r="B12499" s="8" t="str">
        <f>HYPERLINK("https://twitter.com/panca66","@panca66")</f>
        <v>@panca66</v>
      </c>
      <c r="C12499" s="8" t="s">
        <v>4778</v>
      </c>
      <c r="D12499" s="8">
        <v>8</v>
      </c>
      <c r="E12499" s="8">
        <v>0</v>
      </c>
      <c r="F12499" s="8">
        <v>83396</v>
      </c>
    </row>
    <row r="12500" spans="1:6" ht="12.75">
      <c r="A12500" s="8">
        <v>43899.25167824074</v>
      </c>
      <c r="B12500" s="8" t="str">
        <f>HYPERLINK("https://twitter.com/sybud","@sybud")</f>
        <v>@sybud</v>
      </c>
      <c r="C12500" s="8" t="s">
        <v>3511</v>
      </c>
      <c r="D12500" s="8">
        <v>166</v>
      </c>
      <c r="E12500" s="8">
        <v>0</v>
      </c>
      <c r="F12500" s="8">
        <v>159</v>
      </c>
    </row>
    <row r="12501" spans="1:6" ht="12.75">
      <c r="A12501" s="8">
        <v>43899.25163194444</v>
      </c>
      <c r="B12501" s="8" t="str">
        <f>HYPERLINK("https://twitter.com/SuporterOposisi","@SuporterOposisi")</f>
        <v>@SuporterOposisi</v>
      </c>
      <c r="C12501" s="8" t="s">
        <v>5123</v>
      </c>
      <c r="D12501" s="8">
        <v>0</v>
      </c>
      <c r="E12501" s="8">
        <v>0</v>
      </c>
      <c r="F12501" s="8">
        <v>472</v>
      </c>
    </row>
    <row r="12502" spans="1:6" ht="12.75">
      <c r="A12502" s="8">
        <v>43899.251481481479</v>
      </c>
      <c r="B12502" s="8" t="str">
        <f>HYPERLINK("https://twitter.com/eko_Widiyanto12","@eko_Widiyanto12")</f>
        <v>@eko_Widiyanto12</v>
      </c>
      <c r="C12502" s="8" t="s">
        <v>3265</v>
      </c>
      <c r="D12502" s="8">
        <v>500</v>
      </c>
      <c r="E12502" s="8">
        <v>0</v>
      </c>
      <c r="F12502" s="8">
        <v>276</v>
      </c>
    </row>
    <row r="12503" spans="1:6" ht="12.75">
      <c r="A12503" s="8">
        <v>43899.250057870369</v>
      </c>
      <c r="B12503" s="8" t="str">
        <f>HYPERLINK("https://twitter.com/queenjee23","@queenjee23")</f>
        <v>@queenjee23</v>
      </c>
      <c r="C12503" s="8" t="s">
        <v>4607</v>
      </c>
      <c r="D12503" s="8">
        <v>24</v>
      </c>
      <c r="E12503" s="8">
        <v>0</v>
      </c>
      <c r="F12503" s="8">
        <v>5</v>
      </c>
    </row>
    <row r="12504" spans="1:6" ht="12.75">
      <c r="A12504" s="8">
        <v>43899.250057870369</v>
      </c>
      <c r="B12504" s="8" t="str">
        <f>HYPERLINK("https://twitter.com/_aiek_esthreem_","@_aiek_esthreem_")</f>
        <v>@_aiek_esthreem_</v>
      </c>
      <c r="C12504" s="8" t="s">
        <v>5124</v>
      </c>
      <c r="D12504" s="8">
        <v>5</v>
      </c>
      <c r="E12504" s="8">
        <v>11</v>
      </c>
      <c r="F12504" s="8">
        <v>17053</v>
      </c>
    </row>
    <row r="12505" spans="1:6" ht="12.75">
      <c r="A12505" s="8">
        <v>43899.24827546296</v>
      </c>
      <c r="B12505" s="8" t="str">
        <f>HYPERLINK("https://twitter.com/rita_tj","@rita_tj")</f>
        <v>@rita_tj</v>
      </c>
      <c r="C12505" s="8" t="s">
        <v>5125</v>
      </c>
      <c r="D12505" s="8">
        <v>2</v>
      </c>
      <c r="E12505" s="8">
        <v>0</v>
      </c>
      <c r="F12505" s="8">
        <v>4723</v>
      </c>
    </row>
    <row r="12506" spans="1:6" ht="12.75">
      <c r="A12506" s="8">
        <v>43899.248124999998</v>
      </c>
      <c r="B12506" s="8" t="str">
        <f>HYPERLINK("https://twitter.com/sachaturvedi","@sachaturvedi")</f>
        <v>@sachaturvedi</v>
      </c>
      <c r="C12506" s="8" t="s">
        <v>1917</v>
      </c>
      <c r="D12506" s="8">
        <v>933</v>
      </c>
      <c r="E12506" s="8">
        <v>0</v>
      </c>
      <c r="F12506" s="8">
        <v>662</v>
      </c>
    </row>
    <row r="12507" spans="1:6" ht="12.75">
      <c r="A12507" s="8">
        <v>43899.24790509259</v>
      </c>
      <c r="B12507" s="8" t="str">
        <f>HYPERLINK("https://twitter.com/adistychwijaya","@adistychwijaya")</f>
        <v>@adistychwijaya</v>
      </c>
      <c r="C12507" s="8" t="s">
        <v>3265</v>
      </c>
      <c r="D12507" s="8">
        <v>500</v>
      </c>
      <c r="E12507" s="8">
        <v>0</v>
      </c>
      <c r="F12507" s="8">
        <v>288</v>
      </c>
    </row>
    <row r="12508" spans="1:6" ht="12.75">
      <c r="A12508" s="8">
        <v>43899.247719907406</v>
      </c>
      <c r="B12508" s="8" t="str">
        <f>HYPERLINK("https://twitter.com/SumaHan65560614","@SumaHan65560614")</f>
        <v>@SumaHan65560614</v>
      </c>
      <c r="C12508" s="8" t="s">
        <v>3265</v>
      </c>
      <c r="D12508" s="8">
        <v>500</v>
      </c>
      <c r="E12508" s="8">
        <v>0</v>
      </c>
      <c r="F12508" s="8">
        <v>94</v>
      </c>
    </row>
    <row r="12509" spans="1:6" ht="12.75">
      <c r="A12509" s="8">
        <v>43899.246388888889</v>
      </c>
      <c r="B12509" s="8" t="str">
        <f>HYPERLINK("https://twitter.com/choncitte","@choncitte")</f>
        <v>@choncitte</v>
      </c>
      <c r="C12509" s="8" t="s">
        <v>4801</v>
      </c>
      <c r="D12509" s="8">
        <v>125</v>
      </c>
      <c r="E12509" s="8">
        <v>0</v>
      </c>
      <c r="F12509" s="8">
        <v>135</v>
      </c>
    </row>
    <row r="12510" spans="1:6" ht="12.75">
      <c r="A12510" s="8">
        <v>43899.246365740742</v>
      </c>
      <c r="B12510" s="8" t="str">
        <f>HYPERLINK("https://twitter.com/Diti44668265","@Diti44668265")</f>
        <v>@Diti44668265</v>
      </c>
      <c r="C12510" s="8" t="s">
        <v>5126</v>
      </c>
      <c r="D12510" s="8">
        <v>1</v>
      </c>
      <c r="E12510" s="8">
        <v>0</v>
      </c>
      <c r="F12510" s="8">
        <v>1342</v>
      </c>
    </row>
    <row r="12511" spans="1:6" ht="12.75">
      <c r="A12511" s="8">
        <v>43899.246249999997</v>
      </c>
      <c r="B12511" s="8" t="str">
        <f>HYPERLINK("https://twitter.com/MerlynMagus","@MerlynMagus")</f>
        <v>@MerlynMagus</v>
      </c>
      <c r="C12511" s="8" t="s">
        <v>5127</v>
      </c>
      <c r="D12511" s="8">
        <v>0</v>
      </c>
      <c r="E12511" s="8">
        <v>0</v>
      </c>
      <c r="F12511" s="8">
        <v>503</v>
      </c>
    </row>
    <row r="12512" spans="1:6" ht="12.75">
      <c r="A12512" s="8">
        <v>43899.244895833333</v>
      </c>
      <c r="B12512" s="8" t="str">
        <f>HYPERLINK("https://twitter.com/Syam22926124","@Syam22926124")</f>
        <v>@Syam22926124</v>
      </c>
      <c r="C12512" s="8" t="s">
        <v>5128</v>
      </c>
      <c r="D12512" s="8">
        <v>0</v>
      </c>
      <c r="E12512" s="8">
        <v>0</v>
      </c>
      <c r="F12512" s="8">
        <v>1</v>
      </c>
    </row>
    <row r="12513" spans="1:6" ht="12.75">
      <c r="A12513" s="8">
        <v>43899.244293981479</v>
      </c>
      <c r="B12513" s="8" t="str">
        <f>HYPERLINK("https://twitter.com/DavinRulli","@DavinRulli")</f>
        <v>@DavinRulli</v>
      </c>
      <c r="C12513" s="8" t="s">
        <v>4895</v>
      </c>
      <c r="D12513" s="8">
        <v>2</v>
      </c>
      <c r="E12513" s="8">
        <v>0</v>
      </c>
      <c r="F12513" s="8">
        <v>199</v>
      </c>
    </row>
    <row r="12514" spans="1:6" ht="12.75">
      <c r="A12514" s="8">
        <v>43899.244120370371</v>
      </c>
      <c r="B12514" s="8" t="str">
        <f>HYPERLINK("https://twitter.com/Diskominfo_SMR","@Diskominfo_SMR")</f>
        <v>@Diskominfo_SMR</v>
      </c>
      <c r="C12514" s="8" t="s">
        <v>4801</v>
      </c>
      <c r="D12514" s="8">
        <v>125</v>
      </c>
      <c r="E12514" s="8">
        <v>0</v>
      </c>
      <c r="F12514" s="8">
        <v>723</v>
      </c>
    </row>
    <row r="12515" spans="1:6" ht="12.75">
      <c r="A12515" s="8">
        <v>43899.241377314815</v>
      </c>
      <c r="B12515" s="8" t="str">
        <f>HYPERLINK("https://twitter.com/OldJoe771","@OldJoe771")</f>
        <v>@OldJoe771</v>
      </c>
      <c r="C12515" s="8" t="s">
        <v>4927</v>
      </c>
      <c r="D12515" s="8">
        <v>46</v>
      </c>
      <c r="E12515" s="8">
        <v>0</v>
      </c>
      <c r="F12515" s="8">
        <v>341</v>
      </c>
    </row>
    <row r="12516" spans="1:6" ht="12.75">
      <c r="A12516" s="8">
        <v>43899.241249999999</v>
      </c>
      <c r="B12516" s="8" t="str">
        <f>HYPERLINK("https://twitter.com/danaramzaf","@danaramzaf")</f>
        <v>@danaramzaf</v>
      </c>
      <c r="C12516" s="8" t="s">
        <v>2199</v>
      </c>
      <c r="D12516" s="8">
        <v>9103</v>
      </c>
      <c r="E12516" s="8">
        <v>0</v>
      </c>
      <c r="F12516" s="8">
        <v>1040</v>
      </c>
    </row>
    <row r="12517" spans="1:6" ht="12.75">
      <c r="A12517" s="8">
        <v>43899.238668981481</v>
      </c>
      <c r="B12517" s="8" t="str">
        <f>HYPERLINK("https://twitter.com/sasikirana1992","@sasikirana1992")</f>
        <v>@sasikirana1992</v>
      </c>
      <c r="C12517" s="8" t="s">
        <v>3265</v>
      </c>
      <c r="D12517" s="8">
        <v>500</v>
      </c>
      <c r="E12517" s="8">
        <v>0</v>
      </c>
      <c r="F12517" s="8">
        <v>1628</v>
      </c>
    </row>
    <row r="12518" spans="1:6" ht="12.75">
      <c r="A12518" s="8">
        <v>43899.238217592589</v>
      </c>
      <c r="B12518" s="8" t="str">
        <f>HYPERLINK("https://twitter.com/Rambo25004053","@Rambo25004053")</f>
        <v>@Rambo25004053</v>
      </c>
      <c r="C12518" s="8" t="s">
        <v>4591</v>
      </c>
      <c r="D12518" s="8">
        <v>14</v>
      </c>
      <c r="E12518" s="8">
        <v>0</v>
      </c>
      <c r="F12518" s="8">
        <v>186</v>
      </c>
    </row>
    <row r="12519" spans="1:6" ht="12.75">
      <c r="A12519" s="8">
        <v>43899.238217592589</v>
      </c>
      <c r="B12519" s="8" t="str">
        <f>HYPERLINK("https://twitter.com/indrialvians","@indrialvians")</f>
        <v>@indrialvians</v>
      </c>
      <c r="C12519" s="8" t="s">
        <v>3511</v>
      </c>
      <c r="D12519" s="8">
        <v>166</v>
      </c>
      <c r="E12519" s="8">
        <v>0</v>
      </c>
      <c r="F12519" s="8">
        <v>779</v>
      </c>
    </row>
    <row r="12520" spans="1:6" ht="12.75">
      <c r="A12520" s="8">
        <v>43899.238113425927</v>
      </c>
      <c r="B12520" s="8" t="str">
        <f>HYPERLINK("https://twitter.com/SickularLibtard","@SickularLibtard")</f>
        <v>@SickularLibtard</v>
      </c>
      <c r="C12520" s="8" t="s">
        <v>1917</v>
      </c>
      <c r="D12520" s="8">
        <v>933</v>
      </c>
      <c r="E12520" s="8">
        <v>0</v>
      </c>
      <c r="F12520" s="8">
        <v>22015</v>
      </c>
    </row>
    <row r="12521" spans="1:6" ht="12.75">
      <c r="A12521" s="8">
        <v>43899.236909722225</v>
      </c>
      <c r="B12521" s="8" t="str">
        <f>HYPERLINK("https://twitter.com/okezonenews","@okezonenews")</f>
        <v>@okezonenews</v>
      </c>
      <c r="C12521" s="8" t="s">
        <v>5129</v>
      </c>
      <c r="D12521" s="8">
        <v>2</v>
      </c>
      <c r="E12521" s="8">
        <v>1</v>
      </c>
      <c r="F12521" s="8">
        <v>1743965</v>
      </c>
    </row>
    <row r="12522" spans="1:6" ht="12.75">
      <c r="A12522" s="8">
        <v>43899.236701388887</v>
      </c>
      <c r="B12522" s="8" t="str">
        <f>HYPERLINK("https://twitter.com/zakiagf","@zakiagf")</f>
        <v>@zakiagf</v>
      </c>
      <c r="C12522" s="8" t="s">
        <v>4801</v>
      </c>
      <c r="D12522" s="8">
        <v>125</v>
      </c>
      <c r="E12522" s="8">
        <v>0</v>
      </c>
      <c r="F12522" s="8">
        <v>637</v>
      </c>
    </row>
    <row r="12523" spans="1:6" ht="12.75">
      <c r="A12523" s="8">
        <v>43899.236331018517</v>
      </c>
      <c r="B12523" s="8" t="str">
        <f>HYPERLINK("https://twitter.com/ejtpd5","@ejtpd5")</f>
        <v>@ejtpd5</v>
      </c>
      <c r="C12523" s="8" t="s">
        <v>4778</v>
      </c>
      <c r="D12523" s="8">
        <v>8</v>
      </c>
      <c r="E12523" s="8">
        <v>0</v>
      </c>
      <c r="F12523" s="8">
        <v>863</v>
      </c>
    </row>
    <row r="12524" spans="1:6" ht="12.75">
      <c r="A12524" s="8">
        <v>43899.236087962963</v>
      </c>
      <c r="B12524" s="8" t="str">
        <f>HYPERLINK("https://twitter.com/Me_Nitesh_","@Me_Nitesh_")</f>
        <v>@Me_Nitesh_</v>
      </c>
      <c r="C12524" s="8" t="s">
        <v>1917</v>
      </c>
      <c r="D12524" s="8">
        <v>933</v>
      </c>
      <c r="E12524" s="8">
        <v>0</v>
      </c>
      <c r="F12524" s="8">
        <v>279</v>
      </c>
    </row>
    <row r="12525" spans="1:6" ht="12.75">
      <c r="A12525" s="8">
        <v>43899.235474537039</v>
      </c>
      <c r="B12525" s="8" t="str">
        <f>HYPERLINK("https://twitter.com/apreiskagilang","@apreiskagilang")</f>
        <v>@apreiskagilang</v>
      </c>
      <c r="C12525" s="8" t="s">
        <v>3265</v>
      </c>
      <c r="D12525" s="8">
        <v>500</v>
      </c>
      <c r="E12525" s="8">
        <v>0</v>
      </c>
      <c r="F12525" s="8">
        <v>1237</v>
      </c>
    </row>
    <row r="12526" spans="1:6" ht="12.75">
      <c r="A12526" s="8">
        <v>43899.23542824074</v>
      </c>
      <c r="B12526" s="8" t="str">
        <f>HYPERLINK("https://twitter.com/IstyadiI","@IstyadiI")</f>
        <v>@IstyadiI</v>
      </c>
      <c r="C12526" s="8" t="s">
        <v>3821</v>
      </c>
      <c r="D12526" s="8">
        <v>16</v>
      </c>
      <c r="E12526" s="8">
        <v>0</v>
      </c>
      <c r="F12526" s="8">
        <v>716</v>
      </c>
    </row>
    <row r="12527" spans="1:6" ht="12.75">
      <c r="A12527" s="8">
        <v>43899.235162037032</v>
      </c>
      <c r="B12527" s="8" t="str">
        <f>HYPERLINK("https://twitter.com/LiiaMonday","@LiiaMonday")</f>
        <v>@LiiaMonday</v>
      </c>
      <c r="C12527" s="8" t="s">
        <v>5130</v>
      </c>
      <c r="D12527" s="8">
        <v>3</v>
      </c>
      <c r="E12527" s="8">
        <v>0</v>
      </c>
      <c r="F12527" s="8">
        <v>1105</v>
      </c>
    </row>
    <row r="12528" spans="1:6" ht="12.75">
      <c r="A12528" s="8">
        <v>43899.233912037038</v>
      </c>
      <c r="B12528" s="8" t="str">
        <f>HYPERLINK("https://twitter.com/Gatra_Membangun","@Gatra_Membangun")</f>
        <v>@Gatra_Membangun</v>
      </c>
      <c r="C12528" s="8" t="s">
        <v>4801</v>
      </c>
      <c r="D12528" s="8">
        <v>125</v>
      </c>
      <c r="E12528" s="8">
        <v>0</v>
      </c>
      <c r="F12528" s="8">
        <v>0</v>
      </c>
    </row>
    <row r="12529" spans="1:6" ht="12.75">
      <c r="A12529" s="8">
        <v>43899.231851851851</v>
      </c>
      <c r="B12529" s="8" t="str">
        <f>HYPERLINK("https://twitter.com/sastromenggolo","@sastromenggolo")</f>
        <v>@sastromenggolo</v>
      </c>
      <c r="C12529" s="8" t="s">
        <v>3265</v>
      </c>
      <c r="D12529" s="8">
        <v>500</v>
      </c>
      <c r="E12529" s="8">
        <v>0</v>
      </c>
      <c r="F12529" s="8">
        <v>616</v>
      </c>
    </row>
    <row r="12530" spans="1:6" ht="12.75">
      <c r="A12530" s="8">
        <v>43899.231516203705</v>
      </c>
      <c r="B12530" s="8" t="str">
        <f>HYPERLINK("https://twitter.com/priyaranjang","@priyaranjang")</f>
        <v>@priyaranjang</v>
      </c>
      <c r="C12530" s="8" t="s">
        <v>1917</v>
      </c>
      <c r="D12530" s="8">
        <v>933</v>
      </c>
      <c r="E12530" s="8">
        <v>0</v>
      </c>
      <c r="F12530" s="8">
        <v>135</v>
      </c>
    </row>
    <row r="12531" spans="1:6" ht="12.75">
      <c r="A12531" s="8">
        <v>43899.230196759258</v>
      </c>
      <c r="B12531" s="8" t="str">
        <f>HYPERLINK("https://twitter.com/FerdinandHaean2","@FerdinandHaean2")</f>
        <v>@FerdinandHaean2</v>
      </c>
      <c r="C12531" s="8" t="s">
        <v>4778</v>
      </c>
      <c r="D12531" s="8">
        <v>8</v>
      </c>
      <c r="E12531" s="8">
        <v>0</v>
      </c>
      <c r="F12531" s="8">
        <v>47836</v>
      </c>
    </row>
    <row r="12532" spans="1:6" ht="12.75">
      <c r="A12532" s="8">
        <v>43899.229525462964</v>
      </c>
      <c r="B12532" s="8" t="str">
        <f>HYPERLINK("https://twitter.com/mishrarun20","@mishrarun20")</f>
        <v>@mishrarun20</v>
      </c>
      <c r="C12532" s="8" t="s">
        <v>1917</v>
      </c>
      <c r="D12532" s="8">
        <v>933</v>
      </c>
      <c r="E12532" s="8">
        <v>0</v>
      </c>
      <c r="F12532" s="8">
        <v>1201</v>
      </c>
    </row>
    <row r="12533" spans="1:6" ht="12.75">
      <c r="A12533" s="8">
        <v>43899.228356481486</v>
      </c>
      <c r="B12533" s="8" t="str">
        <f>HYPERLINK("https://twitter.com/Orange______del","@Orange______del")</f>
        <v>@Orange______del</v>
      </c>
      <c r="C12533" s="8" t="s">
        <v>1917</v>
      </c>
      <c r="D12533" s="8">
        <v>933</v>
      </c>
      <c r="E12533" s="8">
        <v>0</v>
      </c>
      <c r="F12533" s="8">
        <v>173</v>
      </c>
    </row>
    <row r="12534" spans="1:6" ht="12.75">
      <c r="A12534" s="8">
        <v>43899.228263888886</v>
      </c>
      <c r="B12534" s="8" t="str">
        <f>HYPERLINK("https://twitter.com/myatharva","@myatharva")</f>
        <v>@myatharva</v>
      </c>
      <c r="C12534" s="8" t="s">
        <v>5131</v>
      </c>
      <c r="D12534" s="8">
        <v>0</v>
      </c>
      <c r="E12534" s="8">
        <v>0</v>
      </c>
      <c r="F12534" s="8">
        <v>4039</v>
      </c>
    </row>
    <row r="12535" spans="1:6" ht="12.75">
      <c r="A12535" s="8">
        <v>43899.221284722225</v>
      </c>
      <c r="B12535" s="8" t="str">
        <f>HYPERLINK("https://twitter.com/rienyimoet","@rienyimoet")</f>
        <v>@rienyimoet</v>
      </c>
      <c r="C12535" s="8" t="s">
        <v>5132</v>
      </c>
      <c r="D12535" s="8">
        <v>0</v>
      </c>
      <c r="E12535" s="8">
        <v>0</v>
      </c>
      <c r="F12535" s="8">
        <v>307</v>
      </c>
    </row>
    <row r="12536" spans="1:6" ht="12.75">
      <c r="A12536" s="8">
        <v>43899.219502314816</v>
      </c>
      <c r="B12536" s="8" t="str">
        <f>HYPERLINK("https://twitter.com/adhe_oll","@adhe_oll")</f>
        <v>@adhe_oll</v>
      </c>
      <c r="C12536" s="8" t="s">
        <v>3265</v>
      </c>
      <c r="D12536" s="8">
        <v>500</v>
      </c>
      <c r="E12536" s="8">
        <v>0</v>
      </c>
      <c r="F12536" s="8">
        <v>73</v>
      </c>
    </row>
    <row r="12537" spans="1:6" ht="12.75">
      <c r="A12537" s="8">
        <v>43899.2191087963</v>
      </c>
      <c r="B12537" s="8" t="str">
        <f>HYPERLINK("https://twitter.com/JabreakYudha","@JabreakYudha")</f>
        <v>@JabreakYudha</v>
      </c>
      <c r="C12537" s="8" t="s">
        <v>3821</v>
      </c>
      <c r="D12537" s="8">
        <v>16</v>
      </c>
      <c r="E12537" s="8">
        <v>0</v>
      </c>
      <c r="F12537" s="8">
        <v>1764</v>
      </c>
    </row>
    <row r="12538" spans="1:6" ht="12.75">
      <c r="A12538" s="8">
        <v>43899.218692129631</v>
      </c>
      <c r="B12538" s="8" t="str">
        <f>HYPERLINK("https://twitter.com/Arfa_Manaf","@Arfa_Manaf")</f>
        <v>@Arfa_Manaf</v>
      </c>
      <c r="C12538" s="8" t="s">
        <v>4927</v>
      </c>
      <c r="D12538" s="8">
        <v>46</v>
      </c>
      <c r="E12538" s="8">
        <v>0</v>
      </c>
      <c r="F12538" s="8">
        <v>86</v>
      </c>
    </row>
    <row r="12539" spans="1:6" ht="12.75">
      <c r="A12539" s="8">
        <v>43899.218425925923</v>
      </c>
      <c r="B12539" s="8" t="str">
        <f>HYPERLINK("https://twitter.com/BasirWahyu","@BasirWahyu")</f>
        <v>@BasirWahyu</v>
      </c>
      <c r="C12539" s="8" t="s">
        <v>5133</v>
      </c>
      <c r="D12539" s="8">
        <v>0</v>
      </c>
      <c r="E12539" s="8">
        <v>0</v>
      </c>
      <c r="F12539" s="8">
        <v>540</v>
      </c>
    </row>
    <row r="12540" spans="1:6" ht="12.75">
      <c r="A12540" s="8">
        <v>43899.217673611114</v>
      </c>
      <c r="B12540" s="8" t="str">
        <f>HYPERLINK("https://twitter.com/Sanket80s","@Sanket80s")</f>
        <v>@Sanket80s</v>
      </c>
      <c r="C12540" s="8" t="s">
        <v>1917</v>
      </c>
      <c r="D12540" s="8">
        <v>933</v>
      </c>
      <c r="E12540" s="8">
        <v>0</v>
      </c>
      <c r="F12540" s="8">
        <v>610</v>
      </c>
    </row>
    <row r="12541" spans="1:6" ht="12.75">
      <c r="A12541" s="8">
        <v>43899.216238425928</v>
      </c>
      <c r="B12541" s="8" t="str">
        <f>HYPERLINK("https://twitter.com/pendividia","@pendividia")</f>
        <v>@pendividia</v>
      </c>
      <c r="C12541" s="8" t="s">
        <v>4591</v>
      </c>
      <c r="D12541" s="8">
        <v>14</v>
      </c>
      <c r="E12541" s="8">
        <v>0</v>
      </c>
      <c r="F12541" s="8">
        <v>603</v>
      </c>
    </row>
    <row r="12542" spans="1:6" ht="12.75">
      <c r="A12542" s="8">
        <v>43899.215717592597</v>
      </c>
      <c r="B12542" s="8" t="str">
        <f>HYPERLINK("https://twitter.com/TamaIsAlien","@TamaIsAlien")</f>
        <v>@TamaIsAlien</v>
      </c>
      <c r="C12542" s="8" t="s">
        <v>2199</v>
      </c>
      <c r="D12542" s="8">
        <v>9103</v>
      </c>
      <c r="E12542" s="8">
        <v>0</v>
      </c>
      <c r="F12542" s="8">
        <v>10</v>
      </c>
    </row>
    <row r="12543" spans="1:6" ht="12.75">
      <c r="A12543" s="8">
        <v>43899.215694444443</v>
      </c>
      <c r="B12543" s="8" t="str">
        <f>HYPERLINK("https://twitter.com/Lukman88755658","@Lukman88755658")</f>
        <v>@Lukman88755658</v>
      </c>
      <c r="C12543" s="8" t="s">
        <v>5134</v>
      </c>
      <c r="D12543" s="8">
        <v>1</v>
      </c>
      <c r="E12543" s="8">
        <v>0</v>
      </c>
      <c r="F12543" s="8">
        <v>434</v>
      </c>
    </row>
    <row r="12544" spans="1:6" ht="12.75">
      <c r="A12544" s="8">
        <v>43899.21025462963</v>
      </c>
      <c r="B12544" s="8" t="str">
        <f>HYPERLINK("https://twitter.com/harihariono1","@harihariono1")</f>
        <v>@harihariono1</v>
      </c>
      <c r="C12544" s="8" t="s">
        <v>5135</v>
      </c>
      <c r="D12544" s="8">
        <v>1</v>
      </c>
      <c r="E12544" s="8">
        <v>0</v>
      </c>
      <c r="F12544" s="8">
        <v>9504</v>
      </c>
    </row>
    <row r="12545" spans="1:6" ht="12.75">
      <c r="A12545" s="8">
        <v>43899.209282407406</v>
      </c>
      <c r="B12545" s="8" t="str">
        <f>HYPERLINK("https://twitter.com/BenZah6","@BenZah6")</f>
        <v>@BenZah6</v>
      </c>
      <c r="C12545" s="8" t="s">
        <v>3265</v>
      </c>
      <c r="D12545" s="8">
        <v>491</v>
      </c>
      <c r="E12545" s="8">
        <v>0</v>
      </c>
      <c r="F12545" s="8">
        <v>59</v>
      </c>
    </row>
    <row r="12546" spans="1:6" ht="12.75">
      <c r="A12546" s="8">
        <v>43899.207962962959</v>
      </c>
      <c r="B12546" s="8" t="str">
        <f>HYPERLINK("https://twitter.com/becak125cc","@becak125cc")</f>
        <v>@becak125cc</v>
      </c>
      <c r="C12546" s="8" t="s">
        <v>4591</v>
      </c>
      <c r="D12546" s="8">
        <v>12</v>
      </c>
      <c r="E12546" s="8">
        <v>0</v>
      </c>
      <c r="F12546" s="8">
        <v>551</v>
      </c>
    </row>
    <row r="12547" spans="1:6" ht="12.75">
      <c r="A12547" s="8">
        <v>43899.207048611112</v>
      </c>
      <c r="B12547" s="8" t="str">
        <f>HYPERLINK("https://twitter.com/dynamicsach","@dynamicsach")</f>
        <v>@dynamicsach</v>
      </c>
      <c r="C12547" s="8" t="s">
        <v>1917</v>
      </c>
      <c r="D12547" s="8">
        <v>922</v>
      </c>
      <c r="E12547" s="8">
        <v>0</v>
      </c>
      <c r="F12547" s="8">
        <v>755</v>
      </c>
    </row>
    <row r="12548" spans="1:6" ht="12.75">
      <c r="A12548" s="8">
        <v>43899.206631944442</v>
      </c>
      <c r="B12548" s="8" t="str">
        <f>HYPERLINK("https://twitter.com/IbhamJ","@IbhamJ")</f>
        <v>@IbhamJ</v>
      </c>
      <c r="C12548" s="8" t="s">
        <v>5013</v>
      </c>
      <c r="D12548" s="8">
        <v>4</v>
      </c>
      <c r="E12548" s="8">
        <v>0</v>
      </c>
      <c r="F12548" s="8">
        <v>782</v>
      </c>
    </row>
    <row r="12549" spans="1:6" ht="12.75">
      <c r="A12549" s="8">
        <v>43899.205659722225</v>
      </c>
      <c r="B12549" s="8" t="str">
        <f>HYPERLINK("https://twitter.com/ANS19842","@ANS19842")</f>
        <v>@ANS19842</v>
      </c>
      <c r="C12549" s="8" t="s">
        <v>3265</v>
      </c>
      <c r="D12549" s="8">
        <v>491</v>
      </c>
      <c r="E12549" s="8">
        <v>0</v>
      </c>
      <c r="F12549" s="8">
        <v>27</v>
      </c>
    </row>
    <row r="12550" spans="1:6" ht="12.75">
      <c r="A12550" s="8">
        <v>43899.205000000002</v>
      </c>
      <c r="B12550" s="8" t="str">
        <f>HYPERLINK("https://twitter.com/inong911","@inong911")</f>
        <v>@inong911</v>
      </c>
      <c r="C12550" s="8" t="s">
        <v>5136</v>
      </c>
      <c r="D12550" s="8">
        <v>1</v>
      </c>
      <c r="E12550" s="8">
        <v>1</v>
      </c>
      <c r="F12550" s="8">
        <v>488</v>
      </c>
    </row>
    <row r="12551" spans="1:6" ht="12.75">
      <c r="A12551" s="8">
        <v>43899.204270833332</v>
      </c>
      <c r="B12551" s="8" t="str">
        <f>HYPERLINK("https://twitter.com/Aaravmit","@Aaravmit")</f>
        <v>@Aaravmit</v>
      </c>
      <c r="C12551" s="8" t="s">
        <v>5137</v>
      </c>
      <c r="D12551" s="8">
        <v>0</v>
      </c>
      <c r="E12551" s="8">
        <v>0</v>
      </c>
      <c r="F12551" s="8">
        <v>70</v>
      </c>
    </row>
    <row r="12552" spans="1:6" ht="12.75">
      <c r="A12552" s="8">
        <v>43899.203923611116</v>
      </c>
      <c r="B12552" s="8" t="str">
        <f>HYPERLINK("https://twitter.com/harihariono1","@harihariono1")</f>
        <v>@harihariono1</v>
      </c>
      <c r="C12552" s="8" t="s">
        <v>4591</v>
      </c>
      <c r="D12552" s="8">
        <v>12</v>
      </c>
      <c r="E12552" s="8">
        <v>0</v>
      </c>
      <c r="F12552" s="8">
        <v>9504</v>
      </c>
    </row>
    <row r="12553" spans="1:6" ht="12.75">
      <c r="A12553" s="8">
        <v>43899.203449074077</v>
      </c>
      <c r="B12553" s="8" t="str">
        <f>HYPERLINK("https://twitter.com/Mataka81760170","@Mataka81760170")</f>
        <v>@Mataka81760170</v>
      </c>
      <c r="C12553" s="8" t="s">
        <v>4591</v>
      </c>
      <c r="D12553" s="8">
        <v>12</v>
      </c>
      <c r="E12553" s="8">
        <v>0</v>
      </c>
      <c r="F12553" s="8">
        <v>3632</v>
      </c>
    </row>
    <row r="12554" spans="1:6" ht="12.75">
      <c r="A12554" s="8">
        <v>43899.202546296292</v>
      </c>
      <c r="B12554" s="8" t="str">
        <f>HYPERLINK("https://twitter.com/AfifRajo","@AfifRajo")</f>
        <v>@AfifRajo</v>
      </c>
      <c r="C12554" s="8" t="s">
        <v>5013</v>
      </c>
      <c r="D12554" s="8">
        <v>4</v>
      </c>
      <c r="E12554" s="8">
        <v>0</v>
      </c>
      <c r="F12554" s="8">
        <v>1054</v>
      </c>
    </row>
    <row r="12555" spans="1:6" ht="12.75">
      <c r="A12555" s="8">
        <v>43899.201990740738</v>
      </c>
      <c r="B12555" s="8" t="str">
        <f>HYPERLINK("https://twitter.com/pankajsandhir","@pankajsandhir")</f>
        <v>@pankajsandhir</v>
      </c>
      <c r="C12555" s="8" t="s">
        <v>1917</v>
      </c>
      <c r="D12555" s="8">
        <v>922</v>
      </c>
      <c r="E12555" s="8">
        <v>0</v>
      </c>
      <c r="F12555" s="8">
        <v>765</v>
      </c>
    </row>
    <row r="12556" spans="1:6" ht="12.75">
      <c r="A12556" s="8">
        <v>43899.200844907406</v>
      </c>
      <c r="B12556" s="8" t="str">
        <f>HYPERLINK("https://twitter.com/kbriportmoresby","@kbriportmoresby")</f>
        <v>@kbriportmoresby</v>
      </c>
      <c r="C12556" s="8" t="s">
        <v>1397</v>
      </c>
      <c r="D12556" s="8">
        <v>13</v>
      </c>
      <c r="E12556" s="8">
        <v>0</v>
      </c>
      <c r="F12556" s="8">
        <v>505</v>
      </c>
    </row>
    <row r="12557" spans="1:6" ht="12.75">
      <c r="A12557" s="8">
        <v>43899.200613425928</v>
      </c>
      <c r="B12557" s="8" t="str">
        <f>HYPERLINK("https://twitter.com/ngonlain","@ngonlain")</f>
        <v>@ngonlain</v>
      </c>
      <c r="C12557" s="8" t="s">
        <v>4940</v>
      </c>
      <c r="D12557" s="8">
        <v>27</v>
      </c>
      <c r="E12557" s="8">
        <v>0</v>
      </c>
      <c r="F12557" s="8">
        <v>2636</v>
      </c>
    </row>
    <row r="12558" spans="1:6" ht="12.75">
      <c r="A12558" s="8">
        <v>43899.199432870373</v>
      </c>
      <c r="B12558" s="8" t="str">
        <f>HYPERLINK("https://twitter.com/doublesons","@doublesons")</f>
        <v>@doublesons</v>
      </c>
      <c r="C12558" s="8" t="s">
        <v>3405</v>
      </c>
      <c r="D12558" s="8">
        <v>86</v>
      </c>
      <c r="E12558" s="8">
        <v>0</v>
      </c>
      <c r="F12558" s="8">
        <v>512</v>
      </c>
    </row>
    <row r="12559" spans="1:6" ht="12.75">
      <c r="A12559" s="8">
        <v>43899.199155092589</v>
      </c>
      <c r="B12559" s="8" t="str">
        <f>HYPERLINK("https://twitter.com/RosaRosaniasari","@RosaRosaniasari")</f>
        <v>@RosaRosaniasari</v>
      </c>
      <c r="C12559" s="8" t="s">
        <v>4778</v>
      </c>
      <c r="D12559" s="8">
        <v>5</v>
      </c>
      <c r="E12559" s="8">
        <v>0</v>
      </c>
      <c r="F12559" s="8">
        <v>983</v>
      </c>
    </row>
    <row r="12560" spans="1:6" ht="12.75">
      <c r="A12560" s="8">
        <v>43899.198715277773</v>
      </c>
      <c r="B12560" s="8" t="str">
        <f>HYPERLINK("https://twitter.com/anshu_mani","@anshu_mani")</f>
        <v>@anshu_mani</v>
      </c>
      <c r="C12560" s="8" t="s">
        <v>1917</v>
      </c>
      <c r="D12560" s="8">
        <v>922</v>
      </c>
      <c r="E12560" s="8">
        <v>0</v>
      </c>
      <c r="F12560" s="8">
        <v>117</v>
      </c>
    </row>
    <row r="12561" spans="1:6" ht="12.75">
      <c r="A12561" s="8">
        <v>43899.198622685188</v>
      </c>
      <c r="B12561" s="8" t="str">
        <f>HYPERLINK("https://twitter.com/Selamet13995912","@Selamet13995912")</f>
        <v>@Selamet13995912</v>
      </c>
      <c r="C12561" s="8" t="s">
        <v>3265</v>
      </c>
      <c r="D12561" s="8">
        <v>491</v>
      </c>
      <c r="E12561" s="8">
        <v>0</v>
      </c>
      <c r="F12561" s="8">
        <v>390</v>
      </c>
    </row>
    <row r="12562" spans="1:6" ht="12.75">
      <c r="A12562" s="8">
        <v>43899.198414351849</v>
      </c>
      <c r="B12562" s="8" t="str">
        <f>HYPERLINK("https://twitter.com/DiumahM","@DiumahM")</f>
        <v>@DiumahM</v>
      </c>
      <c r="C12562" s="8" t="s">
        <v>4591</v>
      </c>
      <c r="D12562" s="8">
        <v>12</v>
      </c>
      <c r="E12562" s="8">
        <v>0</v>
      </c>
      <c r="F12562" s="8">
        <v>52</v>
      </c>
    </row>
    <row r="12563" spans="1:6" ht="12.75">
      <c r="A12563" s="8">
        <v>43899.198333333334</v>
      </c>
      <c r="B12563" s="8" t="str">
        <f>HYPERLINK("https://twitter.com/AEPishere","@AEPishere")</f>
        <v>@AEPishere</v>
      </c>
      <c r="C12563" s="8" t="s">
        <v>1397</v>
      </c>
      <c r="D12563" s="8">
        <v>13</v>
      </c>
      <c r="E12563" s="8">
        <v>0</v>
      </c>
      <c r="F12563" s="8">
        <v>3006</v>
      </c>
    </row>
    <row r="12564" spans="1:6" ht="12.75">
      <c r="A12564" s="8">
        <v>43899.197164351848</v>
      </c>
      <c r="B12564" s="8" t="str">
        <f>HYPERLINK("https://twitter.com/frz_mshl","@frz_mshl")</f>
        <v>@frz_mshl</v>
      </c>
      <c r="C12564" s="8" t="s">
        <v>4548</v>
      </c>
      <c r="D12564" s="8">
        <v>23</v>
      </c>
      <c r="E12564" s="8">
        <v>0</v>
      </c>
      <c r="F12564" s="8">
        <v>46</v>
      </c>
    </row>
    <row r="12565" spans="1:6" ht="12.75">
      <c r="A12565" s="8">
        <v>43899.197071759263</v>
      </c>
      <c r="B12565" s="8" t="str">
        <f>HYPERLINK("https://twitter.com/budiaesaja","@budiaesaja")</f>
        <v>@budiaesaja</v>
      </c>
      <c r="C12565" s="8" t="s">
        <v>5138</v>
      </c>
      <c r="D12565" s="8">
        <v>0</v>
      </c>
      <c r="E12565" s="8">
        <v>0</v>
      </c>
      <c r="F12565" s="8">
        <v>34</v>
      </c>
    </row>
    <row r="12566" spans="1:6" ht="12.75">
      <c r="A12566" s="8">
        <v>43899.196087962962</v>
      </c>
      <c r="B12566" s="8" t="str">
        <f>HYPERLINK("https://twitter.com/adechila","@adechila")</f>
        <v>@adechila</v>
      </c>
      <c r="C12566" s="8" t="s">
        <v>4760</v>
      </c>
      <c r="D12566" s="8">
        <v>5</v>
      </c>
      <c r="E12566" s="8">
        <v>0</v>
      </c>
      <c r="F12566" s="8">
        <v>350</v>
      </c>
    </row>
    <row r="12567" spans="1:6" ht="12.75">
      <c r="A12567" s="8">
        <v>43899.194409722222</v>
      </c>
      <c r="B12567" s="8" t="str">
        <f>HYPERLINK("https://twitter.com/Noer_A_zahra","@Noer_A_zahra")</f>
        <v>@Noer_A_zahra</v>
      </c>
      <c r="C12567" s="8" t="s">
        <v>5139</v>
      </c>
      <c r="D12567" s="8">
        <v>0</v>
      </c>
      <c r="E12567" s="8">
        <v>0</v>
      </c>
      <c r="F12567" s="8">
        <v>59</v>
      </c>
    </row>
    <row r="12568" spans="1:6" ht="12.75">
      <c r="A12568" s="8">
        <v>43899.193657407406</v>
      </c>
      <c r="B12568" s="8" t="str">
        <f>HYPERLINK("https://twitter.com/PermataJingga12","@PermataJingga12")</f>
        <v>@PermataJingga12</v>
      </c>
      <c r="C12568" s="8" t="s">
        <v>5140</v>
      </c>
      <c r="D12568" s="8">
        <v>0</v>
      </c>
      <c r="E12568" s="8">
        <v>0</v>
      </c>
      <c r="F12568" s="8">
        <v>310</v>
      </c>
    </row>
    <row r="12569" spans="1:6" ht="12.75">
      <c r="A12569" s="8">
        <v>43899.192893518513</v>
      </c>
      <c r="B12569" s="8" t="str">
        <f>HYPERLINK("https://twitter.com/giirlnextdoor","@giirlnextdoor")</f>
        <v>@giirlnextdoor</v>
      </c>
      <c r="C12569" s="8" t="s">
        <v>5141</v>
      </c>
      <c r="D12569" s="8">
        <v>0</v>
      </c>
      <c r="E12569" s="8">
        <v>0</v>
      </c>
      <c r="F12569" s="8">
        <v>210</v>
      </c>
    </row>
    <row r="12570" spans="1:6" ht="12.75">
      <c r="A12570" s="8">
        <v>43899.191550925927</v>
      </c>
      <c r="B12570" s="8" t="str">
        <f>HYPERLINK("https://twitter.com/manju_net","@manju_net")</f>
        <v>@manju_net</v>
      </c>
      <c r="C12570" s="8" t="s">
        <v>1917</v>
      </c>
      <c r="D12570" s="8">
        <v>922</v>
      </c>
      <c r="E12570" s="8">
        <v>0</v>
      </c>
      <c r="F12570" s="8">
        <v>60</v>
      </c>
    </row>
    <row r="12571" spans="1:6" ht="12.75">
      <c r="A12571" s="8">
        <v>43899.188750000001</v>
      </c>
      <c r="B12571" s="8" t="str">
        <f>HYPERLINK("https://twitter.com/FajarThama","@FajarThama")</f>
        <v>@FajarThama</v>
      </c>
      <c r="C12571" s="8" t="s">
        <v>5142</v>
      </c>
      <c r="D12571" s="8">
        <v>1</v>
      </c>
      <c r="E12571" s="8">
        <v>0</v>
      </c>
      <c r="F12571" s="8">
        <v>218</v>
      </c>
    </row>
    <row r="12572" spans="1:6" ht="12.75">
      <c r="A12572" s="8">
        <v>43899.187731481477</v>
      </c>
      <c r="B12572" s="8" t="str">
        <f>HYPERLINK("https://twitter.com/RadioElshinta","@RadioElshinta")</f>
        <v>@RadioElshinta</v>
      </c>
      <c r="C12572" s="8" t="s">
        <v>5143</v>
      </c>
      <c r="D12572" s="8">
        <v>1</v>
      </c>
      <c r="E12572" s="8">
        <v>1</v>
      </c>
      <c r="F12572" s="8">
        <v>3637223</v>
      </c>
    </row>
    <row r="12573" spans="1:6" ht="12.75">
      <c r="A12573" s="8">
        <v>43899.187719907408</v>
      </c>
      <c r="B12573" s="8" t="str">
        <f>HYPERLINK("https://twitter.com/NaureenIan","@NaureenIan")</f>
        <v>@NaureenIan</v>
      </c>
      <c r="C12573" s="8" t="s">
        <v>5013</v>
      </c>
      <c r="D12573" s="8">
        <v>4</v>
      </c>
      <c r="E12573" s="8">
        <v>0</v>
      </c>
      <c r="F12573" s="8">
        <v>1201</v>
      </c>
    </row>
    <row r="12574" spans="1:6" ht="12.75">
      <c r="A12574" s="8">
        <v>43899.186967592592</v>
      </c>
      <c r="B12574" s="8" t="str">
        <f>HYPERLINK("https://twitter.com/isis_eb","@isis_eb")</f>
        <v>@isis_eb</v>
      </c>
      <c r="C12574" s="8" t="s">
        <v>5144</v>
      </c>
      <c r="D12574" s="8">
        <v>4</v>
      </c>
      <c r="E12574" s="8">
        <v>0</v>
      </c>
      <c r="F12574" s="8">
        <v>360</v>
      </c>
    </row>
    <row r="12575" spans="1:6" ht="12.75">
      <c r="A12575" s="8">
        <v>43899.186018518521</v>
      </c>
      <c r="B12575" s="8" t="str">
        <f>HYPERLINK("https://twitter.com/bhupen_kr","@bhupen_kr")</f>
        <v>@bhupen_kr</v>
      </c>
      <c r="C12575" s="8" t="s">
        <v>1917</v>
      </c>
      <c r="D12575" s="8">
        <v>922</v>
      </c>
      <c r="E12575" s="8">
        <v>0</v>
      </c>
      <c r="F12575" s="8">
        <v>191</v>
      </c>
    </row>
    <row r="12576" spans="1:6" ht="12.75">
      <c r="A12576" s="8">
        <v>43899.183344907404</v>
      </c>
      <c r="B12576" s="8" t="str">
        <f>HYPERLINK("https://twitter.com/hendra235","@hendra235")</f>
        <v>@hendra235</v>
      </c>
      <c r="C12576" s="8" t="s">
        <v>3405</v>
      </c>
      <c r="D12576" s="8">
        <v>86</v>
      </c>
      <c r="E12576" s="8">
        <v>0</v>
      </c>
      <c r="F12576" s="8">
        <v>293</v>
      </c>
    </row>
    <row r="12577" spans="1:6" ht="12.75">
      <c r="A12577" s="8">
        <v>43899.178518518514</v>
      </c>
      <c r="B12577" s="8" t="str">
        <f>HYPERLINK("https://twitter.com/jatimmembaca","@jatimmembaca")</f>
        <v>@jatimmembaca</v>
      </c>
      <c r="C12577" s="8" t="s">
        <v>5145</v>
      </c>
      <c r="D12577" s="8">
        <v>0</v>
      </c>
      <c r="E12577" s="8">
        <v>0</v>
      </c>
      <c r="F12577" s="8">
        <v>548</v>
      </c>
    </row>
    <row r="12578" spans="1:6" ht="12.75">
      <c r="A12578" s="8">
        <v>43899.178368055553</v>
      </c>
      <c r="B12578" s="8" t="str">
        <f>HYPERLINK("https://twitter.com/Wrp73RM","@Wrp73RM")</f>
        <v>@Wrp73RM</v>
      </c>
      <c r="C12578" s="8" t="s">
        <v>3821</v>
      </c>
      <c r="D12578" s="8">
        <v>14</v>
      </c>
      <c r="E12578" s="8">
        <v>0</v>
      </c>
      <c r="F12578" s="8">
        <v>724</v>
      </c>
    </row>
    <row r="12579" spans="1:6" ht="12.75">
      <c r="A12579" s="8">
        <v>43899.173981481479</v>
      </c>
      <c r="B12579" s="8" t="str">
        <f>HYPERLINK("https://twitter.com/idaroyani343","@idaroyani343")</f>
        <v>@idaroyani343</v>
      </c>
      <c r="C12579" s="8" t="s">
        <v>4801</v>
      </c>
      <c r="D12579" s="8">
        <v>119</v>
      </c>
      <c r="E12579" s="8">
        <v>0</v>
      </c>
      <c r="F12579" s="8">
        <v>148</v>
      </c>
    </row>
    <row r="12580" spans="1:6" ht="12.75">
      <c r="A12580" s="8">
        <v>43899.173981481479</v>
      </c>
      <c r="B12580" s="8" t="str">
        <f>HYPERLINK("https://twitter.com/adi2889","@adi2889")</f>
        <v>@adi2889</v>
      </c>
      <c r="C12580" s="8" t="s">
        <v>1917</v>
      </c>
      <c r="D12580" s="8">
        <v>922</v>
      </c>
      <c r="E12580" s="8">
        <v>0</v>
      </c>
      <c r="F12580" s="8">
        <v>188</v>
      </c>
    </row>
    <row r="12581" spans="1:6" ht="12.75">
      <c r="A12581" s="8">
        <v>43899.172094907408</v>
      </c>
      <c r="B12581" s="8" t="str">
        <f>HYPERLINK("https://twitter.com/Rajukumarjha10","@Rajukumarjha10")</f>
        <v>@Rajukumarjha10</v>
      </c>
      <c r="C12581" s="8" t="s">
        <v>1917</v>
      </c>
      <c r="D12581" s="8">
        <v>910</v>
      </c>
      <c r="E12581" s="8">
        <v>0</v>
      </c>
      <c r="F12581" s="8">
        <v>160</v>
      </c>
    </row>
    <row r="12582" spans="1:6" ht="12.75">
      <c r="A12582" s="8">
        <v>43899.171724537038</v>
      </c>
      <c r="B12582" s="8" t="str">
        <f>HYPERLINK("https://twitter.com/Fajar_RAR","@Fajar_RAR")</f>
        <v>@Fajar_RAR</v>
      </c>
      <c r="C12582" s="8" t="s">
        <v>5013</v>
      </c>
      <c r="D12582" s="8">
        <v>1</v>
      </c>
      <c r="E12582" s="8">
        <v>0</v>
      </c>
      <c r="F12582" s="8">
        <v>641</v>
      </c>
    </row>
    <row r="12583" spans="1:6" ht="12.75">
      <c r="A12583" s="8">
        <v>43899.171249999999</v>
      </c>
      <c r="B12583" s="8" t="str">
        <f>HYPERLINK("https://twitter.com/ragumami1","@ragumami1")</f>
        <v>@ragumami1</v>
      </c>
      <c r="C12583" s="8" t="s">
        <v>1917</v>
      </c>
      <c r="D12583" s="8">
        <v>910</v>
      </c>
      <c r="E12583" s="8">
        <v>0</v>
      </c>
      <c r="F12583" s="8">
        <v>72</v>
      </c>
    </row>
    <row r="12584" spans="1:6" ht="12.75">
      <c r="A12584" s="8">
        <v>43899.170393518521</v>
      </c>
      <c r="B12584" s="8" t="str">
        <f>HYPERLINK("https://twitter.com/ganevzi","@ganevzi")</f>
        <v>@ganevzi</v>
      </c>
      <c r="C12584" s="8" t="s">
        <v>5146</v>
      </c>
      <c r="D12584" s="8">
        <v>0</v>
      </c>
      <c r="E12584" s="8">
        <v>0</v>
      </c>
      <c r="F12584" s="8">
        <v>20</v>
      </c>
    </row>
    <row r="12585" spans="1:6" ht="12.75">
      <c r="A12585" s="8">
        <v>43899.170289351852</v>
      </c>
      <c r="B12585" s="8" t="str">
        <f>HYPERLINK("https://twitter.com/21Lai21","@21Lai21")</f>
        <v>@21Lai21</v>
      </c>
      <c r="C12585" s="8" t="s">
        <v>5147</v>
      </c>
      <c r="D12585" s="8">
        <v>0</v>
      </c>
      <c r="E12585" s="8">
        <v>0</v>
      </c>
      <c r="F12585" s="8">
        <v>305</v>
      </c>
    </row>
    <row r="12586" spans="1:6" ht="12.75">
      <c r="A12586" s="8">
        <v>43899.169317129628</v>
      </c>
      <c r="B12586" s="8" t="str">
        <f>HYPERLINK("https://twitter.com/SWKannadiga","@SWKannadiga")</f>
        <v>@SWKannadiga</v>
      </c>
      <c r="C12586" s="8" t="s">
        <v>1917</v>
      </c>
      <c r="D12586" s="8">
        <v>910</v>
      </c>
      <c r="E12586" s="8">
        <v>0</v>
      </c>
      <c r="F12586" s="8">
        <v>156</v>
      </c>
    </row>
    <row r="12587" spans="1:6" ht="12.75">
      <c r="A12587" s="8">
        <v>43899.168344907404</v>
      </c>
      <c r="B12587" s="8" t="str">
        <f>HYPERLINK("https://twitter.com/BillTemporo","@BillTemporo")</f>
        <v>@BillTemporo</v>
      </c>
      <c r="C12587" s="8" t="s">
        <v>323</v>
      </c>
      <c r="D12587" s="8">
        <v>0</v>
      </c>
      <c r="E12587" s="8">
        <v>0</v>
      </c>
      <c r="F12587" s="8">
        <v>11</v>
      </c>
    </row>
    <row r="12588" spans="1:6" ht="12.75">
      <c r="A12588" s="8">
        <v>43899.166886574079</v>
      </c>
      <c r="B12588" s="8" t="str">
        <f>HYPERLINK("https://twitter.com/tvOneNews","@tvOneNews")</f>
        <v>@tvOneNews</v>
      </c>
      <c r="C12588" s="8" t="s">
        <v>5148</v>
      </c>
      <c r="D12588" s="8">
        <v>0</v>
      </c>
      <c r="E12588" s="8">
        <v>1</v>
      </c>
      <c r="F12588" s="8">
        <v>8731025</v>
      </c>
    </row>
    <row r="12589" spans="1:6" ht="12.75">
      <c r="A12589" s="8">
        <v>43899.166516203702</v>
      </c>
      <c r="B12589" s="8" t="str">
        <f>HYPERLINK("https://twitter.com/HarSastropawiro","@HarSastropawiro")</f>
        <v>@HarSastropawiro</v>
      </c>
      <c r="C12589" s="8" t="s">
        <v>4778</v>
      </c>
      <c r="D12589" s="8">
        <v>4</v>
      </c>
      <c r="E12589" s="8">
        <v>0</v>
      </c>
      <c r="F12589" s="8">
        <v>86</v>
      </c>
    </row>
    <row r="12590" spans="1:6" ht="12.75">
      <c r="A12590" s="8">
        <v>43899.164710648147</v>
      </c>
      <c r="B12590" s="8" t="str">
        <f>HYPERLINK("https://twitter.com/Digvija97432759","@Digvija97432759")</f>
        <v>@Digvija97432759</v>
      </c>
      <c r="C12590" s="8" t="s">
        <v>5149</v>
      </c>
      <c r="D12590" s="8">
        <v>0</v>
      </c>
      <c r="E12590" s="8">
        <v>0</v>
      </c>
      <c r="F12590" s="8">
        <v>139</v>
      </c>
    </row>
    <row r="12591" spans="1:6" ht="12.75">
      <c r="A12591" s="8">
        <v>43899.163831018523</v>
      </c>
      <c r="B12591" s="8" t="str">
        <f>HYPERLINK("https://twitter.com/YashNarayan05","@YashNarayan05")</f>
        <v>@YashNarayan05</v>
      </c>
      <c r="C12591" s="8" t="s">
        <v>1917</v>
      </c>
      <c r="D12591" s="8">
        <v>910</v>
      </c>
      <c r="E12591" s="8">
        <v>0</v>
      </c>
      <c r="F12591" s="8">
        <v>167</v>
      </c>
    </row>
    <row r="12592" spans="1:6" ht="12.75">
      <c r="A12592" s="8">
        <v>43899.162870370375</v>
      </c>
      <c r="B12592" s="8" t="str">
        <f>HYPERLINK("https://twitter.com/MRumfaran","@MRumfaran")</f>
        <v>@MRumfaran</v>
      </c>
      <c r="C12592" s="8" t="s">
        <v>5150</v>
      </c>
      <c r="D12592" s="8">
        <v>0</v>
      </c>
      <c r="E12592" s="8">
        <v>0</v>
      </c>
      <c r="F12592" s="8">
        <v>20</v>
      </c>
    </row>
    <row r="12593" spans="1:6" ht="12.75">
      <c r="A12593" s="8">
        <v>43899.162789351853</v>
      </c>
      <c r="B12593" s="8" t="str">
        <f>HYPERLINK("https://twitter.com/milano_ruas","@milano_ruas")</f>
        <v>@milano_ruas</v>
      </c>
      <c r="C12593" s="8" t="s">
        <v>5151</v>
      </c>
      <c r="D12593" s="8">
        <v>3</v>
      </c>
      <c r="E12593" s="8">
        <v>0</v>
      </c>
      <c r="F12593" s="8">
        <v>906</v>
      </c>
    </row>
    <row r="12594" spans="1:6" ht="12.75">
      <c r="A12594" s="8">
        <v>43899.162488425922</v>
      </c>
      <c r="B12594" s="8" t="str">
        <f>HYPERLINK("https://twitter.com/i___sunny92","@i___sunny92")</f>
        <v>@i___sunny92</v>
      </c>
      <c r="C12594" s="8" t="s">
        <v>1917</v>
      </c>
      <c r="D12594" s="8">
        <v>910</v>
      </c>
      <c r="E12594" s="8">
        <v>0</v>
      </c>
      <c r="F12594" s="8">
        <v>411</v>
      </c>
    </row>
    <row r="12595" spans="1:6" ht="12.75">
      <c r="A12595" s="8">
        <v>43899.161828703705</v>
      </c>
      <c r="B12595" s="8" t="str">
        <f>HYPERLINK("https://twitter.com/pundir_vaibhav_","@pundir_vaibhav_")</f>
        <v>@pundir_vaibhav_</v>
      </c>
      <c r="C12595" s="8" t="s">
        <v>1917</v>
      </c>
      <c r="D12595" s="8">
        <v>910</v>
      </c>
      <c r="E12595" s="8">
        <v>0</v>
      </c>
      <c r="F12595" s="8">
        <v>165</v>
      </c>
    </row>
    <row r="12596" spans="1:6" ht="12.75">
      <c r="A12596" s="8">
        <v>43899.159525462965</v>
      </c>
      <c r="B12596" s="8" t="str">
        <f>HYPERLINK("https://twitter.com/Anant_kakade","@Anant_kakade")</f>
        <v>@Anant_kakade</v>
      </c>
      <c r="C12596" s="8" t="s">
        <v>1917</v>
      </c>
      <c r="D12596" s="8">
        <v>910</v>
      </c>
      <c r="E12596" s="8">
        <v>0</v>
      </c>
      <c r="F12596" s="8">
        <v>216</v>
      </c>
    </row>
    <row r="12597" spans="1:6" ht="12.75">
      <c r="A12597" s="8">
        <v>43899.157418981486</v>
      </c>
      <c r="B12597" s="8" t="str">
        <f>HYPERLINK("https://twitter.com/Digvija97432759","@Digvija97432759")</f>
        <v>@Digvija97432759</v>
      </c>
      <c r="C12597" s="8" t="s">
        <v>5152</v>
      </c>
      <c r="D12597" s="8">
        <v>0</v>
      </c>
      <c r="E12597" s="8">
        <v>0</v>
      </c>
      <c r="F12597" s="8">
        <v>139</v>
      </c>
    </row>
    <row r="12598" spans="1:6" ht="12.75">
      <c r="A12598" s="8">
        <v>43899.157141203701</v>
      </c>
      <c r="B12598" s="8" t="str">
        <f>HYPERLINK("https://twitter.com/ch4pc","@ch4pc")</f>
        <v>@ch4pc</v>
      </c>
      <c r="C12598" s="8" t="s">
        <v>1917</v>
      </c>
      <c r="D12598" s="8">
        <v>910</v>
      </c>
      <c r="E12598" s="8">
        <v>0</v>
      </c>
      <c r="F12598" s="8">
        <v>76</v>
      </c>
    </row>
    <row r="12599" spans="1:6" ht="12.75">
      <c r="A12599" s="8">
        <v>43899.156550925924</v>
      </c>
      <c r="B12599" s="8" t="str">
        <f>HYPERLINK("https://twitter.com/isis_rfo","@isis_rfo")</f>
        <v>@isis_rfo</v>
      </c>
      <c r="C12599" s="8" t="s">
        <v>5153</v>
      </c>
      <c r="D12599" s="8">
        <v>0</v>
      </c>
      <c r="E12599" s="8">
        <v>0</v>
      </c>
      <c r="F12599" s="8">
        <v>100</v>
      </c>
    </row>
    <row r="12600" spans="1:6" ht="12.75">
      <c r="A12600" s="8">
        <v>43899.156539351854</v>
      </c>
      <c r="B12600" s="8" t="str">
        <f>HYPERLINK("https://twitter.com/im_Indra07","@im_Indra07")</f>
        <v>@im_Indra07</v>
      </c>
      <c r="C12600" s="8" t="s">
        <v>1917</v>
      </c>
      <c r="D12600" s="8">
        <v>910</v>
      </c>
      <c r="E12600" s="8">
        <v>0</v>
      </c>
      <c r="F12600" s="8">
        <v>178</v>
      </c>
    </row>
    <row r="12601" spans="1:6" ht="12.75">
      <c r="A12601" s="8">
        <v>43899.155358796299</v>
      </c>
      <c r="B12601" s="8" t="str">
        <f>HYPERLINK("https://twitter.com/Senag23","@Senag23")</f>
        <v>@Senag23</v>
      </c>
      <c r="C12601" s="8" t="s">
        <v>1917</v>
      </c>
      <c r="D12601" s="8">
        <v>910</v>
      </c>
      <c r="E12601" s="8">
        <v>0</v>
      </c>
      <c r="F12601" s="8">
        <v>308</v>
      </c>
    </row>
    <row r="12602" spans="1:6" ht="12.75">
      <c r="A12602" s="8">
        <v>43899.155312499999</v>
      </c>
      <c r="B12602" s="8" t="str">
        <f>HYPERLINK("https://twitter.com/ShuklaSwapnil11","@ShuklaSwapnil11")</f>
        <v>@ShuklaSwapnil11</v>
      </c>
      <c r="C12602" s="8" t="s">
        <v>1917</v>
      </c>
      <c r="D12602" s="8">
        <v>910</v>
      </c>
      <c r="E12602" s="8">
        <v>0</v>
      </c>
      <c r="F12602" s="8">
        <v>1138</v>
      </c>
    </row>
    <row r="12603" spans="1:6" ht="12.75">
      <c r="A12603" s="8">
        <v>43899.153923611113</v>
      </c>
      <c r="B12603" s="8" t="str">
        <f>HYPERLINK("https://twitter.com/avocadied","@avocadied")</f>
        <v>@avocadied</v>
      </c>
      <c r="C12603" s="8" t="s">
        <v>5154</v>
      </c>
      <c r="D12603" s="8">
        <v>0</v>
      </c>
      <c r="E12603" s="8">
        <v>0</v>
      </c>
      <c r="F12603" s="8">
        <v>114</v>
      </c>
    </row>
    <row r="12604" spans="1:6" ht="12.75">
      <c r="A12604" s="8">
        <v>43899.151400462964</v>
      </c>
      <c r="B12604" s="8" t="str">
        <f>HYPERLINK("https://twitter.com/_Riifay","@_Riifay")</f>
        <v>@_Riifay</v>
      </c>
      <c r="C12604" s="8" t="s">
        <v>3265</v>
      </c>
      <c r="D12604" s="8">
        <v>487</v>
      </c>
      <c r="E12604" s="8">
        <v>0</v>
      </c>
      <c r="F12604" s="8">
        <v>379</v>
      </c>
    </row>
    <row r="12605" spans="1:6" ht="12.75">
      <c r="A12605" s="8">
        <v>43899.151365740741</v>
      </c>
      <c r="B12605" s="8" t="str">
        <f>HYPERLINK("https://twitter.com/Bere7777777","@Bere7777777")</f>
        <v>@Bere7777777</v>
      </c>
      <c r="C12605" s="8" t="s">
        <v>5155</v>
      </c>
      <c r="D12605" s="8">
        <v>0</v>
      </c>
      <c r="E12605" s="8">
        <v>0</v>
      </c>
      <c r="F12605" s="8">
        <v>288</v>
      </c>
    </row>
    <row r="12606" spans="1:6" ht="12.75">
      <c r="A12606" s="8">
        <v>43899.151238425926</v>
      </c>
      <c r="B12606" s="8" t="str">
        <f>HYPERLINK("https://twitter.com/HendarwatiH","@HendarwatiH")</f>
        <v>@HendarwatiH</v>
      </c>
      <c r="C12606" s="8" t="s">
        <v>5156</v>
      </c>
      <c r="D12606" s="8">
        <v>10</v>
      </c>
      <c r="E12606" s="8">
        <v>0</v>
      </c>
      <c r="F12606" s="8">
        <v>2210</v>
      </c>
    </row>
    <row r="12607" spans="1:6" ht="12.75">
      <c r="A12607" s="8">
        <v>43899.15042824074</v>
      </c>
      <c r="B12607" s="8" t="str">
        <f>HYPERLINK("https://twitter.com/kembali_lagi76","@kembali_lagi76")</f>
        <v>@kembali_lagi76</v>
      </c>
      <c r="C12607" s="8" t="s">
        <v>5157</v>
      </c>
      <c r="D12607" s="8">
        <v>6</v>
      </c>
      <c r="E12607" s="8">
        <v>0</v>
      </c>
      <c r="F12607" s="8">
        <v>160</v>
      </c>
    </row>
    <row r="12608" spans="1:6" ht="12.75">
      <c r="A12608" s="8">
        <v>43899.147534722222</v>
      </c>
      <c r="B12608" s="8" t="str">
        <f>HYPERLINK("https://twitter.com/idpenamini","@idpenamini")</f>
        <v>@idpenamini</v>
      </c>
      <c r="C12608" s="8" t="s">
        <v>5158</v>
      </c>
      <c r="D12608" s="8">
        <v>0</v>
      </c>
      <c r="E12608" s="8">
        <v>0</v>
      </c>
      <c r="F12608" s="8">
        <v>175</v>
      </c>
    </row>
    <row r="12609" spans="1:6" ht="12.75">
      <c r="A12609" s="8">
        <v>43899.147488425922</v>
      </c>
      <c r="B12609" s="8" t="str">
        <f>HYPERLINK("https://twitter.com/BillTemporo","@BillTemporo")</f>
        <v>@BillTemporo</v>
      </c>
      <c r="C12609" s="8" t="s">
        <v>355</v>
      </c>
      <c r="D12609" s="8">
        <v>0</v>
      </c>
      <c r="E12609" s="8">
        <v>0</v>
      </c>
      <c r="F12609" s="8">
        <v>11</v>
      </c>
    </row>
    <row r="12610" spans="1:6" ht="12.75">
      <c r="A12610" s="8">
        <v>43899.142418981486</v>
      </c>
      <c r="B12610" s="8" t="str">
        <f>HYPERLINK("https://twitter.com/Bharatvarshe1","@Bharatvarshe1")</f>
        <v>@Bharatvarshe1</v>
      </c>
      <c r="C12610" s="8" t="s">
        <v>1917</v>
      </c>
      <c r="D12610" s="8">
        <v>910</v>
      </c>
      <c r="E12610" s="8">
        <v>0</v>
      </c>
      <c r="F12610" s="8">
        <v>84</v>
      </c>
    </row>
    <row r="12611" spans="1:6" ht="12.75">
      <c r="A12611" s="8">
        <v>43899.141863425924</v>
      </c>
      <c r="B12611" s="8" t="str">
        <f>HYPERLINK("https://twitter.com/bgohil76","@bgohil76")</f>
        <v>@bgohil76</v>
      </c>
      <c r="C12611" s="8" t="s">
        <v>1917</v>
      </c>
      <c r="D12611" s="8">
        <v>910</v>
      </c>
      <c r="E12611" s="8">
        <v>0</v>
      </c>
      <c r="F12611" s="8">
        <v>72</v>
      </c>
    </row>
    <row r="12612" spans="1:6" ht="12.75">
      <c r="A12612" s="8">
        <v>43899.139861111107</v>
      </c>
      <c r="B12612" s="8" t="str">
        <f>HYPERLINK("https://twitter.com/laxman_xy","@laxman_xy")</f>
        <v>@laxman_xy</v>
      </c>
      <c r="C12612" s="8" t="s">
        <v>1917</v>
      </c>
      <c r="D12612" s="8">
        <v>910</v>
      </c>
      <c r="E12612" s="8">
        <v>0</v>
      </c>
      <c r="F12612" s="8">
        <v>2758</v>
      </c>
    </row>
    <row r="12613" spans="1:6" ht="12.75">
      <c r="A12613" s="8">
        <v>43899.138958333337</v>
      </c>
      <c r="B12613" s="8" t="str">
        <f>HYPERLINK("https://twitter.com/ChannelIngusan","@ChannelIngusan")</f>
        <v>@ChannelIngusan</v>
      </c>
      <c r="C12613" s="8" t="s">
        <v>5159</v>
      </c>
      <c r="D12613" s="8">
        <v>1</v>
      </c>
      <c r="E12613" s="8">
        <v>1</v>
      </c>
      <c r="F12613" s="8">
        <v>932</v>
      </c>
    </row>
    <row r="12614" spans="1:6" ht="12.75">
      <c r="A12614" s="8">
        <v>43899.138321759259</v>
      </c>
      <c r="B12614" s="8" t="str">
        <f>HYPERLINK("https://twitter.com/philip_prebble","@philip_prebble")</f>
        <v>@philip_prebble</v>
      </c>
      <c r="C12614" s="8" t="s">
        <v>5160</v>
      </c>
      <c r="D12614" s="8">
        <v>4</v>
      </c>
      <c r="E12614" s="8">
        <v>0</v>
      </c>
      <c r="F12614" s="8">
        <v>1415</v>
      </c>
    </row>
    <row r="12615" spans="1:6" ht="12.75">
      <c r="A12615" s="8">
        <v>43899.137858796297</v>
      </c>
      <c r="B12615" s="8" t="str">
        <f>HYPERLINK("https://twitter.com/Jayanthpawar","@Jayanthpawar")</f>
        <v>@Jayanthpawar</v>
      </c>
      <c r="C12615" s="8" t="s">
        <v>1917</v>
      </c>
      <c r="D12615" s="8">
        <v>910</v>
      </c>
      <c r="E12615" s="8">
        <v>0</v>
      </c>
      <c r="F12615" s="8">
        <v>53</v>
      </c>
    </row>
    <row r="12616" spans="1:6" ht="12.75">
      <c r="A12616" s="8">
        <v>43899.136944444443</v>
      </c>
      <c r="B12616" s="8" t="str">
        <f>HYPERLINK("https://twitter.com/03__nakula","@03__nakula")</f>
        <v>@03__nakula</v>
      </c>
      <c r="C12616" s="8" t="s">
        <v>5151</v>
      </c>
      <c r="D12616" s="8">
        <v>3</v>
      </c>
      <c r="E12616" s="8">
        <v>0</v>
      </c>
      <c r="F12616" s="8">
        <v>11656</v>
      </c>
    </row>
    <row r="12617" spans="1:6" ht="12.75">
      <c r="A12617" s="8">
        <v>43899.135960648149</v>
      </c>
      <c r="B12617" s="8" t="str">
        <f>HYPERLINK("https://twitter.com/shivaprasad_124","@shivaprasad_124")</f>
        <v>@shivaprasad_124</v>
      </c>
      <c r="C12617" s="8" t="s">
        <v>1917</v>
      </c>
      <c r="D12617" s="8">
        <v>910</v>
      </c>
      <c r="E12617" s="8">
        <v>0</v>
      </c>
      <c r="F12617" s="8">
        <v>334</v>
      </c>
    </row>
    <row r="12618" spans="1:6" ht="12.75">
      <c r="A12618" s="8">
        <v>43899.135520833333</v>
      </c>
      <c r="B12618" s="8" t="str">
        <f>HYPERLINK("https://twitter.com/Bhargavsukesh","@Bhargavsukesh")</f>
        <v>@Bhargavsukesh</v>
      </c>
      <c r="C12618" s="8" t="s">
        <v>1917</v>
      </c>
      <c r="D12618" s="8">
        <v>910</v>
      </c>
      <c r="E12618" s="8">
        <v>0</v>
      </c>
      <c r="F12618" s="8">
        <v>210</v>
      </c>
    </row>
    <row r="12619" spans="1:6" ht="12.75">
      <c r="A12619" s="8">
        <v>43899.134710648148</v>
      </c>
      <c r="B12619" s="8" t="str">
        <f>HYPERLINK("https://twitter.com/sgmmylove","@sgmmylove")</f>
        <v>@sgmmylove</v>
      </c>
      <c r="C12619" s="8" t="s">
        <v>1917</v>
      </c>
      <c r="D12619" s="8">
        <v>910</v>
      </c>
      <c r="E12619" s="8">
        <v>0</v>
      </c>
      <c r="F12619" s="8">
        <v>96</v>
      </c>
    </row>
    <row r="12620" spans="1:6" ht="12.75">
      <c r="A12620" s="8">
        <v>43899.13449074074</v>
      </c>
      <c r="B12620" s="8" t="str">
        <f>HYPERLINK("https://twitter.com/bhre_wengker84","@bhre_wengker84")</f>
        <v>@bhre_wengker84</v>
      </c>
      <c r="C12620" s="8" t="s">
        <v>5161</v>
      </c>
      <c r="D12620" s="8">
        <v>3</v>
      </c>
      <c r="E12620" s="8">
        <v>2</v>
      </c>
      <c r="F12620" s="8">
        <v>5222</v>
      </c>
    </row>
    <row r="12621" spans="1:6" ht="12.75">
      <c r="A12621" s="8">
        <v>43899.13318287037</v>
      </c>
      <c r="B12621" s="8" t="str">
        <f>HYPERLINK("https://twitter.com/suprabola","@suprabola")</f>
        <v>@suprabola</v>
      </c>
      <c r="C12621" s="8" t="s">
        <v>1397</v>
      </c>
      <c r="D12621" s="8">
        <v>10</v>
      </c>
      <c r="E12621" s="8">
        <v>0</v>
      </c>
      <c r="F12621" s="8">
        <v>243</v>
      </c>
    </row>
    <row r="12622" spans="1:6" ht="12.75">
      <c r="A12622" s="8">
        <v>43899.132916666669</v>
      </c>
      <c r="B12622" s="8" t="str">
        <f>HYPERLINK("https://twitter.com/IcaMasyita","@IcaMasyita")</f>
        <v>@IcaMasyita</v>
      </c>
      <c r="C12622" s="8" t="s">
        <v>5112</v>
      </c>
      <c r="D12622" s="8">
        <v>1</v>
      </c>
      <c r="E12622" s="8">
        <v>0</v>
      </c>
      <c r="F12622" s="8">
        <v>108</v>
      </c>
    </row>
    <row r="12623" spans="1:6" ht="12.75">
      <c r="A12623" s="8">
        <v>43899.131157407406</v>
      </c>
      <c r="B12623" s="8" t="str">
        <f>HYPERLINK("https://twitter.com/AbolicHD","@AbolicHD")</f>
        <v>@AbolicHD</v>
      </c>
      <c r="C12623" s="8" t="s">
        <v>5162</v>
      </c>
      <c r="D12623" s="8">
        <v>0</v>
      </c>
      <c r="E12623" s="8">
        <v>0</v>
      </c>
      <c r="F12623" s="8">
        <v>381</v>
      </c>
    </row>
    <row r="12624" spans="1:6" ht="12.75">
      <c r="A12624" s="8">
        <v>43899.130347222221</v>
      </c>
      <c r="B12624" s="8" t="str">
        <f>HYPERLINK("https://twitter.com/subhammohanty7","@subhammohanty7")</f>
        <v>@subhammohanty7</v>
      </c>
      <c r="C12624" s="8" t="s">
        <v>1917</v>
      </c>
      <c r="D12624" s="8">
        <v>884</v>
      </c>
      <c r="E12624" s="8">
        <v>0</v>
      </c>
      <c r="F12624" s="8">
        <v>240</v>
      </c>
    </row>
    <row r="12625" spans="1:6" ht="12.75">
      <c r="A12625" s="8">
        <v>43899.128449074073</v>
      </c>
      <c r="B12625" s="8" t="str">
        <f>HYPERLINK("https://twitter.com/muhammadalfat18","@muhammadalfat18")</f>
        <v>@muhammadalfat18</v>
      </c>
      <c r="C12625" s="8" t="s">
        <v>3265</v>
      </c>
      <c r="D12625" s="8">
        <v>485</v>
      </c>
      <c r="E12625" s="8">
        <v>0</v>
      </c>
      <c r="F12625" s="8">
        <v>289</v>
      </c>
    </row>
    <row r="12626" spans="1:6" ht="12.75">
      <c r="A12626" s="8">
        <v>43899.128414351857</v>
      </c>
      <c r="B12626" s="8" t="str">
        <f>HYPERLINK("https://twitter.com/hendry_martien","@hendry_martien")</f>
        <v>@hendry_martien</v>
      </c>
      <c r="C12626" s="8" t="s">
        <v>5025</v>
      </c>
      <c r="D12626" s="8">
        <v>2</v>
      </c>
      <c r="E12626" s="8">
        <v>0</v>
      </c>
      <c r="F12626" s="8">
        <v>646</v>
      </c>
    </row>
    <row r="12627" spans="1:6" ht="12.75">
      <c r="A12627" s="8">
        <v>43899.126597222217</v>
      </c>
      <c r="B12627" s="8" t="str">
        <f>HYPERLINK("https://twitter.com/BillTemporo","@BillTemporo")</f>
        <v>@BillTemporo</v>
      </c>
      <c r="C12627" s="8" t="s">
        <v>384</v>
      </c>
      <c r="D12627" s="8">
        <v>0</v>
      </c>
      <c r="E12627" s="8">
        <v>0</v>
      </c>
      <c r="F12627" s="8">
        <v>11</v>
      </c>
    </row>
    <row r="12628" spans="1:6" ht="12.75">
      <c r="A12628" s="8">
        <v>43899.125300925924</v>
      </c>
      <c r="B12628" s="8" t="str">
        <f>HYPERLINK("https://twitter.com/KEZIAAM0UR","@KEZIAAM0UR")</f>
        <v>@KEZIAAM0UR</v>
      </c>
      <c r="C12628" s="8" t="s">
        <v>5163</v>
      </c>
      <c r="D12628" s="8">
        <v>0</v>
      </c>
      <c r="E12628" s="8">
        <v>0</v>
      </c>
      <c r="F12628" s="8">
        <v>99</v>
      </c>
    </row>
    <row r="12629" spans="1:6" ht="12.75">
      <c r="A12629" s="8">
        <v>43899.124872685185</v>
      </c>
      <c r="B12629" s="8" t="str">
        <f>HYPERLINK("https://twitter.com/dhawalp21","@dhawalp21")</f>
        <v>@dhawalp21</v>
      </c>
      <c r="C12629" s="8" t="s">
        <v>1917</v>
      </c>
      <c r="D12629" s="8">
        <v>884</v>
      </c>
      <c r="E12629" s="8">
        <v>0</v>
      </c>
      <c r="F12629" s="8">
        <v>89</v>
      </c>
    </row>
    <row r="12630" spans="1:6" ht="12.75">
      <c r="A12630" s="8">
        <v>43899.121874999997</v>
      </c>
      <c r="B12630" s="8" t="str">
        <f>HYPERLINK("https://twitter.com/okezonenews","@okezonenews")</f>
        <v>@okezonenews</v>
      </c>
      <c r="C12630" s="8" t="s">
        <v>5162</v>
      </c>
      <c r="D12630" s="8">
        <v>0</v>
      </c>
      <c r="E12630" s="8">
        <v>1</v>
      </c>
      <c r="F12630" s="8">
        <v>1743962</v>
      </c>
    </row>
    <row r="12631" spans="1:6" ht="12.75">
      <c r="A12631" s="8">
        <v>43899.119409722218</v>
      </c>
      <c r="B12631" s="8" t="str">
        <f>HYPERLINK("https://twitter.com/batman_jokr","@batman_jokr")</f>
        <v>@batman_jokr</v>
      </c>
      <c r="C12631" s="8" t="s">
        <v>1917</v>
      </c>
      <c r="D12631" s="8">
        <v>884</v>
      </c>
      <c r="E12631" s="8">
        <v>0</v>
      </c>
      <c r="F12631" s="8">
        <v>218</v>
      </c>
    </row>
    <row r="12632" spans="1:6" ht="12.75">
      <c r="A12632" s="8">
        <v>43899.119247685187</v>
      </c>
      <c r="B12632" s="8" t="str">
        <f>HYPERLINK("https://twitter.com/SirPunchKaPunch","@SirPunchKaPunch")</f>
        <v>@SirPunchKaPunch</v>
      </c>
      <c r="C12632" s="8" t="s">
        <v>1917</v>
      </c>
      <c r="D12632" s="8">
        <v>884</v>
      </c>
      <c r="E12632" s="8">
        <v>0</v>
      </c>
      <c r="F12632" s="8">
        <v>289</v>
      </c>
    </row>
    <row r="12633" spans="1:6" ht="12.75">
      <c r="A12633" s="8">
        <v>43899.119039351848</v>
      </c>
      <c r="B12633" s="8" t="str">
        <f>HYPERLINK("https://twitter.com/Ukidamayanti_","@Ukidamayanti_")</f>
        <v>@Ukidamayanti_</v>
      </c>
      <c r="C12633" s="8" t="s">
        <v>4801</v>
      </c>
      <c r="D12633" s="8">
        <v>118</v>
      </c>
      <c r="E12633" s="8">
        <v>0</v>
      </c>
      <c r="F12633" s="8">
        <v>330</v>
      </c>
    </row>
    <row r="12634" spans="1:6" ht="12.75">
      <c r="A12634" s="8">
        <v>43899.118506944447</v>
      </c>
      <c r="B12634" s="8" t="str">
        <f>HYPERLINK("https://twitter.com/Girlbandit_","@Girlbandit_")</f>
        <v>@Girlbandit_</v>
      </c>
      <c r="C12634" s="8" t="s">
        <v>1917</v>
      </c>
      <c r="D12634" s="8">
        <v>884</v>
      </c>
      <c r="E12634" s="8">
        <v>0</v>
      </c>
      <c r="F12634" s="8">
        <v>74</v>
      </c>
    </row>
    <row r="12635" spans="1:6" ht="12.75">
      <c r="A12635" s="8">
        <v>43899.118263888886</v>
      </c>
      <c r="B12635" s="8" t="str">
        <f>HYPERLINK("https://twitter.com/shuklasobhi","@shuklasobhi")</f>
        <v>@shuklasobhi</v>
      </c>
      <c r="C12635" s="8" t="s">
        <v>1917</v>
      </c>
      <c r="D12635" s="8">
        <v>884</v>
      </c>
      <c r="E12635" s="8">
        <v>0</v>
      </c>
      <c r="F12635" s="8">
        <v>316</v>
      </c>
    </row>
    <row r="12636" spans="1:6" ht="12.75">
      <c r="A12636" s="8">
        <v>43899.117048611108</v>
      </c>
      <c r="B12636" s="8" t="str">
        <f>HYPERLINK("https://twitter.com/BdyNusantara","@BdyNusantara")</f>
        <v>@BdyNusantara</v>
      </c>
      <c r="C12636" s="8" t="s">
        <v>5164</v>
      </c>
      <c r="D12636" s="8">
        <v>0</v>
      </c>
      <c r="E12636" s="8">
        <v>0</v>
      </c>
      <c r="F12636" s="8">
        <v>140</v>
      </c>
    </row>
    <row r="12637" spans="1:6" ht="12.75">
      <c r="A12637" s="8">
        <v>43899.116446759261</v>
      </c>
      <c r="B12637" s="8" t="str">
        <f>HYPERLINK("https://twitter.com/2acct4","@2acct4")</f>
        <v>@2acct4</v>
      </c>
      <c r="C12637" s="8" t="s">
        <v>1917</v>
      </c>
      <c r="D12637" s="8">
        <v>884</v>
      </c>
      <c r="E12637" s="8">
        <v>0</v>
      </c>
      <c r="F12637" s="8">
        <v>35</v>
      </c>
    </row>
    <row r="12638" spans="1:6" ht="12.75">
      <c r="A12638" s="8">
        <v>43899.114652777775</v>
      </c>
      <c r="B12638" s="8" t="str">
        <f>HYPERLINK("https://twitter.com/jain_piyush","@jain_piyush")</f>
        <v>@jain_piyush</v>
      </c>
      <c r="C12638" s="8" t="s">
        <v>1917</v>
      </c>
      <c r="D12638" s="8">
        <v>884</v>
      </c>
      <c r="E12638" s="8">
        <v>0</v>
      </c>
      <c r="F12638" s="8">
        <v>272</v>
      </c>
    </row>
    <row r="12639" spans="1:6" ht="12.75">
      <c r="A12639" s="8">
        <v>43899.113888888889</v>
      </c>
      <c r="B12639" s="8" t="str">
        <f>HYPERLINK("https://twitter.com/ElshintaTegal_","@ElshintaTegal_")</f>
        <v>@ElshintaTegal_</v>
      </c>
      <c r="C12639" s="8" t="s">
        <v>5165</v>
      </c>
      <c r="D12639" s="8">
        <v>0</v>
      </c>
      <c r="E12639" s="8">
        <v>0</v>
      </c>
      <c r="F12639" s="8">
        <v>42</v>
      </c>
    </row>
    <row r="12640" spans="1:6" ht="12.75">
      <c r="A12640" s="8">
        <v>43899.111574074079</v>
      </c>
      <c r="B12640" s="8" t="str">
        <f>HYPERLINK("https://twitter.com/Dhritarashtra9","@Dhritarashtra9")</f>
        <v>@Dhritarashtra9</v>
      </c>
      <c r="C12640" s="8" t="s">
        <v>1917</v>
      </c>
      <c r="D12640" s="8">
        <v>884</v>
      </c>
      <c r="E12640" s="8">
        <v>0</v>
      </c>
      <c r="F12640" s="8">
        <v>77</v>
      </c>
    </row>
    <row r="12641" spans="1:6" ht="12.75">
      <c r="A12641" s="8">
        <v>43899.111516203702</v>
      </c>
      <c r="B12641" s="8" t="str">
        <f>HYPERLINK("https://twitter.com/inder_morwal","@inder_morwal")</f>
        <v>@inder_morwal</v>
      </c>
      <c r="C12641" s="8" t="s">
        <v>1917</v>
      </c>
      <c r="D12641" s="8">
        <v>884</v>
      </c>
      <c r="E12641" s="8">
        <v>0</v>
      </c>
      <c r="F12641" s="8">
        <v>558</v>
      </c>
    </row>
    <row r="12642" spans="1:6" ht="12.75">
      <c r="A12642" s="8">
        <v>43899.111342592594</v>
      </c>
      <c r="B12642" s="8" t="str">
        <f>HYPERLINK("https://twitter.com/Parshini3","@Parshini3")</f>
        <v>@Parshini3</v>
      </c>
      <c r="C12642" s="8" t="s">
        <v>1917</v>
      </c>
      <c r="D12642" s="8">
        <v>884</v>
      </c>
      <c r="E12642" s="8">
        <v>0</v>
      </c>
      <c r="F12642" s="8">
        <v>98</v>
      </c>
    </row>
    <row r="12643" spans="1:6" ht="12.75">
      <c r="A12643" s="8">
        <v>43899.110787037032</v>
      </c>
      <c r="B12643" s="8" t="str">
        <f>HYPERLINK("https://twitter.com/germantantra","@germantantra")</f>
        <v>@germantantra</v>
      </c>
      <c r="C12643" s="8" t="s">
        <v>3405</v>
      </c>
      <c r="D12643" s="8">
        <v>83</v>
      </c>
      <c r="E12643" s="8">
        <v>0</v>
      </c>
      <c r="F12643" s="8">
        <v>157</v>
      </c>
    </row>
    <row r="12644" spans="1:6" ht="12.75">
      <c r="A12644" s="8">
        <v>43899.110162037032</v>
      </c>
      <c r="B12644" s="8" t="str">
        <f>HYPERLINK("https://twitter.com/youmyhomiebro","@youmyhomiebro")</f>
        <v>@youmyhomiebro</v>
      </c>
      <c r="C12644" s="8" t="s">
        <v>1917</v>
      </c>
      <c r="D12644" s="8">
        <v>884</v>
      </c>
      <c r="E12644" s="8">
        <v>0</v>
      </c>
      <c r="F12644" s="8">
        <v>1103</v>
      </c>
    </row>
    <row r="12645" spans="1:6" ht="12.75">
      <c r="A12645" s="8">
        <v>43899.110115740739</v>
      </c>
      <c r="B12645" s="8" t="str">
        <f>HYPERLINK("https://twitter.com/guyonblackybx","@guyonblackybx")</f>
        <v>@guyonblackybx</v>
      </c>
      <c r="C12645" s="8" t="s">
        <v>1917</v>
      </c>
      <c r="D12645" s="8">
        <v>884</v>
      </c>
      <c r="E12645" s="8">
        <v>0</v>
      </c>
      <c r="F12645" s="8">
        <v>193</v>
      </c>
    </row>
    <row r="12646" spans="1:6" ht="12.75">
      <c r="A12646" s="8">
        <v>43899.11001157407</v>
      </c>
      <c r="B12646" s="8" t="str">
        <f>HYPERLINK("https://twitter.com/Baja_karbon16","@Baja_karbon16")</f>
        <v>@Baja_karbon16</v>
      </c>
      <c r="C12646" s="8" t="s">
        <v>4548</v>
      </c>
      <c r="D12646" s="8">
        <v>22</v>
      </c>
      <c r="E12646" s="8">
        <v>0</v>
      </c>
      <c r="F12646" s="8">
        <v>124</v>
      </c>
    </row>
    <row r="12647" spans="1:6" ht="12.75">
      <c r="A12647" s="8">
        <v>43899.109618055554</v>
      </c>
      <c r="B12647" s="8" t="str">
        <f>HYPERLINK("https://twitter.com/KJRI_Vancouver","@KJRI_Vancouver")</f>
        <v>@KJRI_Vancouver</v>
      </c>
      <c r="C12647" s="8" t="s">
        <v>1397</v>
      </c>
      <c r="D12647" s="8">
        <v>9</v>
      </c>
      <c r="E12647" s="8">
        <v>0</v>
      </c>
      <c r="F12647" s="8">
        <v>2370</v>
      </c>
    </row>
    <row r="12648" spans="1:6" ht="12.75">
      <c r="A12648" s="8">
        <v>43899.105578703704</v>
      </c>
      <c r="B12648" s="8" t="str">
        <f>HYPERLINK("https://twitter.com/AjbaniAnkush","@AjbaniAnkush")</f>
        <v>@AjbaniAnkush</v>
      </c>
      <c r="C12648" s="8" t="s">
        <v>1917</v>
      </c>
      <c r="D12648" s="8">
        <v>884</v>
      </c>
      <c r="E12648" s="8">
        <v>0</v>
      </c>
      <c r="F12648" s="8">
        <v>504</v>
      </c>
    </row>
    <row r="12649" spans="1:6" ht="12.75">
      <c r="A12649" s="8">
        <v>43899.105393518519</v>
      </c>
      <c r="B12649" s="8" t="str">
        <f>HYPERLINK("https://twitter.com/Isis_Dirr","@Isis_Dirr")</f>
        <v>@Isis_Dirr</v>
      </c>
      <c r="C12649" s="8" t="s">
        <v>5166</v>
      </c>
      <c r="D12649" s="8">
        <v>2787</v>
      </c>
      <c r="E12649" s="8">
        <v>0</v>
      </c>
      <c r="F12649" s="8">
        <v>362</v>
      </c>
    </row>
    <row r="12650" spans="1:6" ht="12.75">
      <c r="A12650" s="8">
        <v>43899.104583333334</v>
      </c>
      <c r="B12650" s="8" t="str">
        <f>HYPERLINK("https://twitter.com/2019JokowiLNJT","@2019JokowiLNJT")</f>
        <v>@2019JokowiLNJT</v>
      </c>
      <c r="C12650" s="8" t="s">
        <v>5167</v>
      </c>
      <c r="D12650" s="8">
        <v>0</v>
      </c>
      <c r="E12650" s="8">
        <v>0</v>
      </c>
      <c r="F12650" s="8">
        <v>505</v>
      </c>
    </row>
    <row r="12651" spans="1:6" ht="12.75">
      <c r="A12651" s="8">
        <v>43899.104398148149</v>
      </c>
      <c r="B12651" s="8" t="str">
        <f>HYPERLINK("https://twitter.com/T3TT1R14","@T3TT1R14")</f>
        <v>@T3TT1R14</v>
      </c>
      <c r="C12651" s="8" t="s">
        <v>5059</v>
      </c>
      <c r="D12651" s="8">
        <v>31</v>
      </c>
      <c r="E12651" s="8">
        <v>0</v>
      </c>
      <c r="F12651" s="8">
        <v>133</v>
      </c>
    </row>
    <row r="12652" spans="1:6" ht="12.75">
      <c r="A12652" s="8">
        <v>43899.10365740741</v>
      </c>
      <c r="B12652" s="8" t="str">
        <f>HYPERLINK("https://twitter.com/Budihar21525608","@Budihar21525608")</f>
        <v>@Budihar21525608</v>
      </c>
      <c r="C12652" s="8" t="s">
        <v>5168</v>
      </c>
      <c r="D12652" s="8">
        <v>4</v>
      </c>
      <c r="E12652" s="8">
        <v>0</v>
      </c>
      <c r="F12652" s="8">
        <v>6328</v>
      </c>
    </row>
    <row r="12653" spans="1:6" ht="12.75">
      <c r="A12653" s="8">
        <v>43899.102708333332</v>
      </c>
      <c r="B12653" s="8" t="str">
        <f>HYPERLINK("https://twitter.com/whtthefcuk","@whtthefcuk")</f>
        <v>@whtthefcuk</v>
      </c>
      <c r="C12653" s="8" t="s">
        <v>1917</v>
      </c>
      <c r="D12653" s="8">
        <v>884</v>
      </c>
      <c r="E12653" s="8">
        <v>0</v>
      </c>
      <c r="F12653" s="8">
        <v>981</v>
      </c>
    </row>
    <row r="12654" spans="1:6" ht="12.75">
      <c r="A12654" s="8">
        <v>43899.10155092593</v>
      </c>
      <c r="B12654" s="8" t="str">
        <f>HYPERLINK("https://twitter.com/JayJayGatty","@JayJayGatty")</f>
        <v>@JayJayGatty</v>
      </c>
      <c r="C12654" s="8" t="s">
        <v>1917</v>
      </c>
      <c r="D12654" s="8">
        <v>884</v>
      </c>
      <c r="E12654" s="8">
        <v>0</v>
      </c>
      <c r="F12654" s="8">
        <v>255</v>
      </c>
    </row>
    <row r="12655" spans="1:6" ht="12.75">
      <c r="A12655" s="8">
        <v>43899.101481481484</v>
      </c>
      <c r="B12655" s="8" t="str">
        <f>HYPERLINK("https://twitter.com/sukatanyaj","@sukatanyaj")</f>
        <v>@sukatanyaj</v>
      </c>
      <c r="C12655" s="8" t="s">
        <v>3850</v>
      </c>
      <c r="D12655" s="8">
        <v>1452</v>
      </c>
      <c r="E12655" s="8">
        <v>0</v>
      </c>
      <c r="F12655" s="8">
        <v>5697</v>
      </c>
    </row>
    <row r="12656" spans="1:6" ht="12.75">
      <c r="A12656" s="8">
        <v>43899.100312499999</v>
      </c>
      <c r="B12656" s="8" t="str">
        <f>HYPERLINK("https://twitter.com/TheDineshSpeaks","@TheDineshSpeaks")</f>
        <v>@TheDineshSpeaks</v>
      </c>
      <c r="C12656" s="8" t="s">
        <v>1917</v>
      </c>
      <c r="D12656" s="8">
        <v>884</v>
      </c>
      <c r="E12656" s="8">
        <v>0</v>
      </c>
      <c r="F12656" s="8">
        <v>203</v>
      </c>
    </row>
    <row r="12657" spans="1:6" ht="12.75">
      <c r="A12657" s="8">
        <v>43899.098252314812</v>
      </c>
      <c r="B12657" s="8" t="str">
        <f>HYPERLINK("https://twitter.com/NeonBendyToe","@NeonBendyToe")</f>
        <v>@NeonBendyToe</v>
      </c>
      <c r="C12657" s="8" t="s">
        <v>1917</v>
      </c>
      <c r="D12657" s="8">
        <v>884</v>
      </c>
      <c r="E12657" s="8">
        <v>0</v>
      </c>
      <c r="F12657" s="8">
        <v>197</v>
      </c>
    </row>
    <row r="12658" spans="1:6" ht="12.75">
      <c r="A12658" s="8">
        <v>43899.098182870366</v>
      </c>
      <c r="B12658" s="8" t="str">
        <f>HYPERLINK("https://twitter.com/JacobBindhu","@JacobBindhu")</f>
        <v>@JacobBindhu</v>
      </c>
      <c r="C12658" s="8" t="s">
        <v>1917</v>
      </c>
      <c r="D12658" s="8">
        <v>884</v>
      </c>
      <c r="E12658" s="8">
        <v>0</v>
      </c>
      <c r="F12658" s="8">
        <v>154</v>
      </c>
    </row>
    <row r="12659" spans="1:6" ht="12.75">
      <c r="A12659" s="8">
        <v>43899.097349537042</v>
      </c>
      <c r="B12659" s="8" t="str">
        <f>HYPERLINK("https://twitter.com/Dnugroho11","@Dnugroho11")</f>
        <v>@Dnugroho11</v>
      </c>
      <c r="C12659" s="8" t="s">
        <v>5168</v>
      </c>
      <c r="D12659" s="8">
        <v>4</v>
      </c>
      <c r="E12659" s="8">
        <v>0</v>
      </c>
      <c r="F12659" s="8">
        <v>756</v>
      </c>
    </row>
    <row r="12660" spans="1:6" ht="12.75">
      <c r="A12660" s="8">
        <v>43899.097303240742</v>
      </c>
      <c r="B12660" s="8" t="str">
        <f>HYPERLINK("https://twitter.com/davidsetu","@davidsetu")</f>
        <v>@davidsetu</v>
      </c>
      <c r="C12660" s="8" t="s">
        <v>1917</v>
      </c>
      <c r="D12660" s="8">
        <v>884</v>
      </c>
      <c r="E12660" s="8">
        <v>0</v>
      </c>
      <c r="F12660" s="8">
        <v>107</v>
      </c>
    </row>
    <row r="12661" spans="1:6" ht="12.75">
      <c r="A12661" s="8">
        <v>43899.097037037034</v>
      </c>
      <c r="B12661" s="8" t="str">
        <f>HYPERLINK("https://twitter.com/jogakhichudi","@jogakhichudi")</f>
        <v>@jogakhichudi</v>
      </c>
      <c r="C12661" s="8" t="s">
        <v>1917</v>
      </c>
      <c r="D12661" s="8">
        <v>884</v>
      </c>
      <c r="E12661" s="8">
        <v>0</v>
      </c>
      <c r="F12661" s="8">
        <v>5915</v>
      </c>
    </row>
    <row r="12662" spans="1:6" ht="12.75">
      <c r="A12662" s="8">
        <v>43899.09648148148</v>
      </c>
      <c r="B12662" s="8" t="str">
        <f>HYPERLINK("https://twitter.com/achyutha","@achyutha")</f>
        <v>@achyutha</v>
      </c>
      <c r="C12662" s="8" t="s">
        <v>1917</v>
      </c>
      <c r="D12662" s="8">
        <v>884</v>
      </c>
      <c r="E12662" s="8">
        <v>0</v>
      </c>
      <c r="F12662" s="8">
        <v>764</v>
      </c>
    </row>
    <row r="12663" spans="1:6" ht="12.75">
      <c r="A12663" s="8">
        <v>43899.095023148147</v>
      </c>
      <c r="B12663" s="8" t="str">
        <f>HYPERLINK("https://twitter.com/igayathri9","@igayathri9")</f>
        <v>@igayathri9</v>
      </c>
      <c r="C12663" s="8" t="s">
        <v>1917</v>
      </c>
      <c r="D12663" s="8">
        <v>884</v>
      </c>
      <c r="E12663" s="8">
        <v>0</v>
      </c>
      <c r="F12663" s="8">
        <v>249</v>
      </c>
    </row>
    <row r="12664" spans="1:6" ht="12.75">
      <c r="A12664" s="8">
        <v>43899.093194444446</v>
      </c>
      <c r="B12664" s="8" t="str">
        <f>HYPERLINK("https://twitter.com/awibowo___","@awibowo___")</f>
        <v>@awibowo___</v>
      </c>
      <c r="C12664" s="8" t="s">
        <v>5059</v>
      </c>
      <c r="D12664" s="8">
        <v>31</v>
      </c>
      <c r="E12664" s="8">
        <v>0</v>
      </c>
      <c r="F12664" s="8">
        <v>33</v>
      </c>
    </row>
    <row r="12665" spans="1:6" ht="12.75">
      <c r="A12665" s="8">
        <v>43899.092199074075</v>
      </c>
      <c r="B12665" s="8" t="str">
        <f>HYPERLINK("https://twitter.com/niluhdevia","@niluhdevia")</f>
        <v>@niluhdevia</v>
      </c>
      <c r="C12665" s="8" t="s">
        <v>5169</v>
      </c>
      <c r="D12665" s="8">
        <v>1</v>
      </c>
      <c r="E12665" s="8">
        <v>0</v>
      </c>
      <c r="F12665" s="8">
        <v>1059</v>
      </c>
    </row>
    <row r="12666" spans="1:6" ht="12.75">
      <c r="A12666" s="8">
        <v>43899.091539351852</v>
      </c>
      <c r="B12666" s="8" t="str">
        <f>HYPERLINK("https://twitter.com/riturajrd","@riturajrd")</f>
        <v>@riturajrd</v>
      </c>
      <c r="C12666" s="8" t="s">
        <v>1917</v>
      </c>
      <c r="D12666" s="8">
        <v>884</v>
      </c>
      <c r="E12666" s="8">
        <v>0</v>
      </c>
      <c r="F12666" s="8">
        <v>150</v>
      </c>
    </row>
    <row r="12667" spans="1:6" ht="12.75">
      <c r="A12667" s="8">
        <v>43899.091527777782</v>
      </c>
      <c r="B12667" s="8" t="str">
        <f>HYPERLINK("https://twitter.com/shivaniojha","@shivaniojha")</f>
        <v>@shivaniojha</v>
      </c>
      <c r="C12667" s="8" t="s">
        <v>1917</v>
      </c>
      <c r="D12667" s="8">
        <v>884</v>
      </c>
      <c r="E12667" s="8">
        <v>0</v>
      </c>
      <c r="F12667" s="8">
        <v>1068</v>
      </c>
    </row>
    <row r="12668" spans="1:6" ht="12.75">
      <c r="A12668" s="8">
        <v>43899.09103009259</v>
      </c>
      <c r="B12668" s="8" t="str">
        <f>HYPERLINK("https://twitter.com/shubhammandhare","@shubhammandhare")</f>
        <v>@shubhammandhare</v>
      </c>
      <c r="C12668" s="8" t="s">
        <v>1917</v>
      </c>
      <c r="D12668" s="8">
        <v>884</v>
      </c>
      <c r="E12668" s="8">
        <v>0</v>
      </c>
      <c r="F12668" s="8">
        <v>140</v>
      </c>
    </row>
    <row r="12669" spans="1:6" ht="12.75">
      <c r="A12669" s="8">
        <v>43899.090162037042</v>
      </c>
      <c r="B12669" s="8" t="str">
        <f>HYPERLINK("https://twitter.com/Melrpell","@Melrpell")</f>
        <v>@Melrpell</v>
      </c>
      <c r="C12669" s="8" t="s">
        <v>5160</v>
      </c>
      <c r="D12669" s="8">
        <v>2</v>
      </c>
      <c r="E12669" s="8">
        <v>0</v>
      </c>
      <c r="F12669" s="8">
        <v>30773</v>
      </c>
    </row>
    <row r="12670" spans="1:6" ht="12.75">
      <c r="A12670" s="8">
        <v>43899.089861111112</v>
      </c>
      <c r="B12670" s="8" t="str">
        <f>HYPERLINK("https://twitter.com/PashaM0cliquers","@PashaM0cliquers")</f>
        <v>@PashaM0cliquers</v>
      </c>
      <c r="C12670" s="8" t="s">
        <v>3265</v>
      </c>
      <c r="D12670" s="8">
        <v>484</v>
      </c>
      <c r="E12670" s="8">
        <v>0</v>
      </c>
      <c r="F12670" s="8">
        <v>1011</v>
      </c>
    </row>
    <row r="12671" spans="1:6" ht="12.75">
      <c r="A12671" s="8">
        <v>43899.08975694445</v>
      </c>
      <c r="B12671" s="8" t="str">
        <f>HYPERLINK("https://twitter.com/araham11","@araham11")</f>
        <v>@araham11</v>
      </c>
      <c r="C12671" s="8" t="s">
        <v>1917</v>
      </c>
      <c r="D12671" s="8">
        <v>850</v>
      </c>
      <c r="E12671" s="8">
        <v>0</v>
      </c>
      <c r="F12671" s="8">
        <v>251</v>
      </c>
    </row>
    <row r="12672" spans="1:6" ht="12.75">
      <c r="A12672" s="8">
        <v>43899.08975694445</v>
      </c>
      <c r="B12672" s="8" t="str">
        <f>HYPERLINK("https://twitter.com/hendrachmanaa","@hendrachmanaa")</f>
        <v>@hendrachmanaa</v>
      </c>
      <c r="C12672" s="8" t="s">
        <v>5170</v>
      </c>
      <c r="D12672" s="8">
        <v>0</v>
      </c>
      <c r="E12672" s="8">
        <v>0</v>
      </c>
      <c r="F12672" s="8">
        <v>2298</v>
      </c>
    </row>
    <row r="12673" spans="1:6" ht="12.75">
      <c r="A12673" s="8">
        <v>43899.088958333334</v>
      </c>
      <c r="B12673" s="8" t="str">
        <f>HYPERLINK("https://twitter.com/Guruskbd","@Guruskbd")</f>
        <v>@Guruskbd</v>
      </c>
      <c r="C12673" s="8" t="s">
        <v>1917</v>
      </c>
      <c r="D12673" s="8">
        <v>850</v>
      </c>
      <c r="E12673" s="8">
        <v>0</v>
      </c>
      <c r="F12673" s="8">
        <v>301</v>
      </c>
    </row>
    <row r="12674" spans="1:6" ht="12.75">
      <c r="A12674" s="8">
        <v>43899.08761574074</v>
      </c>
      <c r="B12674" s="8" t="str">
        <f>HYPERLINK("https://twitter.com/cioraihan","@cioraihan")</f>
        <v>@cioraihan</v>
      </c>
      <c r="C12674" s="8" t="s">
        <v>5171</v>
      </c>
      <c r="D12674" s="8">
        <v>0</v>
      </c>
      <c r="E12674" s="8">
        <v>1</v>
      </c>
      <c r="F12674" s="8">
        <v>45</v>
      </c>
    </row>
    <row r="12675" spans="1:6" ht="12.75">
      <c r="A12675" s="8">
        <v>43899.08761574074</v>
      </c>
      <c r="B12675" s="8" t="str">
        <f>HYPERLINK("https://twitter.com/kr_shaurabh","@kr_shaurabh")</f>
        <v>@kr_shaurabh</v>
      </c>
      <c r="C12675" s="8" t="s">
        <v>1917</v>
      </c>
      <c r="D12675" s="8">
        <v>850</v>
      </c>
      <c r="E12675" s="8">
        <v>0</v>
      </c>
      <c r="F12675" s="8">
        <v>193</v>
      </c>
    </row>
    <row r="12676" spans="1:6" ht="12.75">
      <c r="A12676" s="8">
        <v>43899.087361111116</v>
      </c>
      <c r="B12676" s="8" t="str">
        <f>HYPERLINK("https://twitter.com/rickysinha","@rickysinha")</f>
        <v>@rickysinha</v>
      </c>
      <c r="C12676" s="8" t="s">
        <v>1917</v>
      </c>
      <c r="D12676" s="8">
        <v>850</v>
      </c>
      <c r="E12676" s="8">
        <v>0</v>
      </c>
      <c r="F12676" s="8">
        <v>290</v>
      </c>
    </row>
    <row r="12677" spans="1:6" ht="12.75">
      <c r="A12677" s="8">
        <v>43899.086793981478</v>
      </c>
      <c r="B12677" s="8" t="str">
        <f>HYPERLINK("https://twitter.com/isis_nur","@isis_nur")</f>
        <v>@isis_nur</v>
      </c>
      <c r="C12677" s="8" t="s">
        <v>5172</v>
      </c>
      <c r="D12677" s="8">
        <v>0</v>
      </c>
      <c r="E12677" s="8">
        <v>0</v>
      </c>
      <c r="F12677" s="8">
        <v>5</v>
      </c>
    </row>
    <row r="12678" spans="1:6" ht="12.75">
      <c r="A12678" s="8">
        <v>43899.085497685184</v>
      </c>
      <c r="B12678" s="8" t="str">
        <f>HYPERLINK("https://twitter.com/RomeskoP","@RomeskoP")</f>
        <v>@RomeskoP</v>
      </c>
      <c r="C12678" s="8" t="s">
        <v>4591</v>
      </c>
      <c r="D12678" s="8">
        <v>8</v>
      </c>
      <c r="E12678" s="8">
        <v>0</v>
      </c>
      <c r="F12678" s="8">
        <v>3012</v>
      </c>
    </row>
    <row r="12679" spans="1:6" ht="12.75">
      <c r="A12679" s="8">
        <v>43899.082615740743</v>
      </c>
      <c r="B12679" s="8" t="str">
        <f>HYPERLINK("https://twitter.com/Sidhanth_7","@Sidhanth_7")</f>
        <v>@Sidhanth_7</v>
      </c>
      <c r="C12679" s="8" t="s">
        <v>1917</v>
      </c>
      <c r="D12679" s="8">
        <v>850</v>
      </c>
      <c r="E12679" s="8">
        <v>0</v>
      </c>
      <c r="F12679" s="8">
        <v>129</v>
      </c>
    </row>
    <row r="12680" spans="1:6" ht="12.75">
      <c r="A12680" s="8">
        <v>43899.080300925925</v>
      </c>
      <c r="B12680" s="8" t="str">
        <f>HYPERLINK("https://twitter.com/b_heri_wibowo","@b_heri_wibowo")</f>
        <v>@b_heri_wibowo</v>
      </c>
      <c r="C12680" s="8" t="s">
        <v>5173</v>
      </c>
      <c r="D12680" s="8">
        <v>0</v>
      </c>
      <c r="E12680" s="8">
        <v>0</v>
      </c>
      <c r="F12680" s="8">
        <v>1051</v>
      </c>
    </row>
    <row r="12681" spans="1:6" ht="12.75">
      <c r="A12681" s="8">
        <v>43899.076562499999</v>
      </c>
      <c r="B12681" s="8" t="str">
        <f>HYPERLINK("https://twitter.com/Text_to_Amit","@Text_to_Amit")</f>
        <v>@Text_to_Amit</v>
      </c>
      <c r="C12681" s="8" t="s">
        <v>1917</v>
      </c>
      <c r="D12681" s="8">
        <v>850</v>
      </c>
      <c r="E12681" s="8">
        <v>0</v>
      </c>
      <c r="F12681" s="8">
        <v>202</v>
      </c>
    </row>
    <row r="12682" spans="1:6" ht="12.75">
      <c r="A12682" s="8">
        <v>43899.075243055559</v>
      </c>
      <c r="B12682" s="8" t="str">
        <f>HYPERLINK("https://twitter.com/sarkaramartya","@sarkaramartya")</f>
        <v>@sarkaramartya</v>
      </c>
      <c r="C12682" s="8" t="s">
        <v>1917</v>
      </c>
      <c r="D12682" s="8">
        <v>850</v>
      </c>
      <c r="E12682" s="8">
        <v>0</v>
      </c>
      <c r="F12682" s="8">
        <v>299</v>
      </c>
    </row>
    <row r="12683" spans="1:6" ht="12.75">
      <c r="A12683" s="8">
        <v>43899.074884259258</v>
      </c>
      <c r="B12683" s="8" t="str">
        <f>HYPERLINK("https://twitter.com/BoyJustice1","@BoyJustice1")</f>
        <v>@BoyJustice1</v>
      </c>
      <c r="C12683" s="8" t="s">
        <v>5174</v>
      </c>
      <c r="D12683" s="8">
        <v>55</v>
      </c>
      <c r="E12683" s="8">
        <v>0</v>
      </c>
      <c r="F12683" s="8">
        <v>180</v>
      </c>
    </row>
    <row r="12684" spans="1:6" ht="12.75">
      <c r="A12684" s="8">
        <v>43899.074814814812</v>
      </c>
      <c r="B12684" s="8" t="str">
        <f>HYPERLINK("https://twitter.com/RadioElshinta","@RadioElshinta")</f>
        <v>@RadioElshinta</v>
      </c>
      <c r="C12684" s="8" t="s">
        <v>5175</v>
      </c>
      <c r="D12684" s="8">
        <v>1</v>
      </c>
      <c r="E12684" s="8">
        <v>0</v>
      </c>
      <c r="F12684" s="8">
        <v>3637225</v>
      </c>
    </row>
    <row r="12685" spans="1:6" ht="12.75">
      <c r="A12685" s="8">
        <v>43899.072962962964</v>
      </c>
      <c r="B12685" s="8" t="str">
        <f>HYPERLINK("https://twitter.com/angeliafitriana","@angeliafitriana")</f>
        <v>@angeliafitriana</v>
      </c>
      <c r="C12685" s="8" t="s">
        <v>4548</v>
      </c>
      <c r="D12685" s="8">
        <v>21</v>
      </c>
      <c r="E12685" s="8">
        <v>0</v>
      </c>
      <c r="F12685" s="8">
        <v>1190</v>
      </c>
    </row>
    <row r="12686" spans="1:6" ht="12.75">
      <c r="A12686" s="8">
        <v>43899.072476851856</v>
      </c>
      <c r="B12686" s="8" t="str">
        <f>HYPERLINK("https://twitter.com/SiswadiMargo","@SiswadiMargo")</f>
        <v>@SiswadiMargo</v>
      </c>
      <c r="C12686" s="8" t="s">
        <v>5176</v>
      </c>
      <c r="D12686" s="8">
        <v>1</v>
      </c>
      <c r="E12686" s="8">
        <v>0</v>
      </c>
      <c r="F12686" s="8">
        <v>82</v>
      </c>
    </row>
    <row r="12687" spans="1:6" ht="12.75">
      <c r="A12687" s="8">
        <v>43899.071956018517</v>
      </c>
      <c r="B12687" s="8" t="str">
        <f>HYPERLINK("https://twitter.com/illusion_opus","@illusion_opus")</f>
        <v>@illusion_opus</v>
      </c>
      <c r="C12687" s="8" t="s">
        <v>1917</v>
      </c>
      <c r="D12687" s="8">
        <v>850</v>
      </c>
      <c r="E12687" s="8">
        <v>0</v>
      </c>
      <c r="F12687" s="8">
        <v>114</v>
      </c>
    </row>
    <row r="12688" spans="1:6" ht="12.75">
      <c r="A12688" s="8">
        <v>43899.070798611108</v>
      </c>
      <c r="B12688" s="8" t="str">
        <f>HYPERLINK("https://twitter.com/abhinyk1","@abhinyk1")</f>
        <v>@abhinyk1</v>
      </c>
      <c r="C12688" s="8" t="s">
        <v>1917</v>
      </c>
      <c r="D12688" s="8">
        <v>850</v>
      </c>
      <c r="E12688" s="8">
        <v>0</v>
      </c>
      <c r="F12688" s="8">
        <v>422</v>
      </c>
    </row>
    <row r="12689" spans="1:6" ht="12.75">
      <c r="A12689" s="8">
        <v>43899.070752314816</v>
      </c>
      <c r="B12689" s="8" t="str">
        <f>HYPERLINK("https://twitter.com/ElshintaTegal_","@ElshintaTegal_")</f>
        <v>@ElshintaTegal_</v>
      </c>
      <c r="C12689" s="8" t="s">
        <v>5177</v>
      </c>
      <c r="D12689" s="8">
        <v>0</v>
      </c>
      <c r="E12689" s="8">
        <v>0</v>
      </c>
      <c r="F12689" s="8">
        <v>42</v>
      </c>
    </row>
    <row r="12690" spans="1:6" ht="12.75">
      <c r="A12690" s="8">
        <v>43899.069525462968</v>
      </c>
      <c r="B12690" s="8" t="str">
        <f>HYPERLINK("https://twitter.com/MahinFatavit","@MahinFatavit")</f>
        <v>@MahinFatavit</v>
      </c>
      <c r="C12690" s="8" t="s">
        <v>5178</v>
      </c>
      <c r="D12690" s="8">
        <v>8</v>
      </c>
      <c r="E12690" s="8">
        <v>0</v>
      </c>
      <c r="F12690" s="8">
        <v>6065</v>
      </c>
    </row>
    <row r="12691" spans="1:6" ht="12.75">
      <c r="A12691" s="8">
        <v>43899.067766203705</v>
      </c>
      <c r="B12691" s="8" t="str">
        <f>HYPERLINK("https://twitter.com/codenameaditya","@codenameaditya")</f>
        <v>@codenameaditya</v>
      </c>
      <c r="C12691" s="8" t="s">
        <v>1917</v>
      </c>
      <c r="D12691" s="8">
        <v>850</v>
      </c>
      <c r="E12691" s="8">
        <v>0</v>
      </c>
      <c r="F12691" s="8">
        <v>318</v>
      </c>
    </row>
    <row r="12692" spans="1:6" ht="12.75">
      <c r="A12692" s="8">
        <v>43899.066469907411</v>
      </c>
      <c r="B12692" s="8" t="str">
        <f>HYPERLINK("https://twitter.com/MuhammadMario","@MuhammadMario")</f>
        <v>@MuhammadMario</v>
      </c>
      <c r="C12692" s="8" t="s">
        <v>3265</v>
      </c>
      <c r="D12692" s="8">
        <v>484</v>
      </c>
      <c r="E12692" s="8">
        <v>0</v>
      </c>
      <c r="F12692" s="8">
        <v>66</v>
      </c>
    </row>
    <row r="12693" spans="1:6" ht="12.75">
      <c r="A12693" s="8">
        <v>43899.066377314812</v>
      </c>
      <c r="B12693" s="8" t="str">
        <f>HYPERLINK("https://twitter.com/Ragh_Mys","@Ragh_Mys")</f>
        <v>@Ragh_Mys</v>
      </c>
      <c r="C12693" s="8" t="s">
        <v>1917</v>
      </c>
      <c r="D12693" s="8">
        <v>850</v>
      </c>
      <c r="E12693" s="8">
        <v>0</v>
      </c>
      <c r="F12693" s="8">
        <v>62</v>
      </c>
    </row>
    <row r="12694" spans="1:6" ht="12.75">
      <c r="A12694" s="8">
        <v>43899.064513888894</v>
      </c>
      <c r="B12694" s="8" t="str">
        <f>HYPERLINK("https://twitter.com/idpenamini","@idpenamini")</f>
        <v>@idpenamini</v>
      </c>
      <c r="C12694" s="8" t="s">
        <v>5179</v>
      </c>
      <c r="D12694" s="8">
        <v>0</v>
      </c>
      <c r="E12694" s="8">
        <v>0</v>
      </c>
      <c r="F12694" s="8">
        <v>175</v>
      </c>
    </row>
    <row r="12695" spans="1:6" ht="12.75">
      <c r="A12695" s="8">
        <v>43899.064363425925</v>
      </c>
      <c r="B12695" s="8" t="str">
        <f>HYPERLINK("https://twitter.com/Nurasyor","@Nurasyor")</f>
        <v>@Nurasyor</v>
      </c>
      <c r="C12695" s="8" t="s">
        <v>5180</v>
      </c>
      <c r="D12695" s="8">
        <v>1</v>
      </c>
      <c r="E12695" s="8">
        <v>0</v>
      </c>
      <c r="F12695" s="8">
        <v>1061</v>
      </c>
    </row>
    <row r="12696" spans="1:6" ht="12.75">
      <c r="A12696" s="8">
        <v>43899.063935185186</v>
      </c>
      <c r="B12696" s="8" t="str">
        <f>HYPERLINK("https://twitter.com/DrDhanendraDSP","@DrDhanendraDSP")</f>
        <v>@DrDhanendraDSP</v>
      </c>
      <c r="C12696" s="8" t="s">
        <v>1917</v>
      </c>
      <c r="D12696" s="8">
        <v>850</v>
      </c>
      <c r="E12696" s="8">
        <v>0</v>
      </c>
      <c r="F12696" s="8">
        <v>94</v>
      </c>
    </row>
    <row r="12697" spans="1:6" ht="12.75">
      <c r="A12697" s="8">
        <v>43899.063634259262</v>
      </c>
      <c r="B12697" s="8" t="str">
        <f>HYPERLINK("https://twitter.com/TankThimble","@TankThimble")</f>
        <v>@TankThimble</v>
      </c>
      <c r="C12697" s="8" t="s">
        <v>1917</v>
      </c>
      <c r="D12697" s="8">
        <v>850</v>
      </c>
      <c r="E12697" s="8">
        <v>0</v>
      </c>
      <c r="F12697" s="8">
        <v>27</v>
      </c>
    </row>
    <row r="12698" spans="1:6" ht="12.75">
      <c r="A12698" s="8">
        <v>43899.06318287037</v>
      </c>
      <c r="B12698" s="8" t="str">
        <f>HYPERLINK("https://twitter.com/anisfauzan1","@anisfauzan1")</f>
        <v>@anisfauzan1</v>
      </c>
      <c r="C12698" s="8" t="s">
        <v>4778</v>
      </c>
      <c r="D12698" s="8">
        <v>3</v>
      </c>
      <c r="E12698" s="8">
        <v>0</v>
      </c>
      <c r="F12698" s="8">
        <v>3067</v>
      </c>
    </row>
    <row r="12699" spans="1:6" ht="12.75">
      <c r="A12699" s="8">
        <v>43899.063009259262</v>
      </c>
      <c r="B12699" s="8" t="str">
        <f>HYPERLINK("https://twitter.com/WenSid","@WenSid")</f>
        <v>@WenSid</v>
      </c>
      <c r="C12699" s="8" t="s">
        <v>3265</v>
      </c>
      <c r="D12699" s="8">
        <v>484</v>
      </c>
      <c r="E12699" s="8">
        <v>0</v>
      </c>
      <c r="F12699" s="8">
        <v>121</v>
      </c>
    </row>
    <row r="12700" spans="1:6" ht="12.75">
      <c r="A12700" s="8">
        <v>43899.062534722223</v>
      </c>
      <c r="B12700" s="8" t="str">
        <f>HYPERLINK("https://twitter.com/InfoMagetanRaya","@InfoMagetanRaya")</f>
        <v>@InfoMagetanRaya</v>
      </c>
      <c r="C12700" s="8" t="s">
        <v>5145</v>
      </c>
      <c r="D12700" s="8">
        <v>0</v>
      </c>
      <c r="E12700" s="8">
        <v>0</v>
      </c>
      <c r="F12700" s="8">
        <v>543</v>
      </c>
    </row>
    <row r="12701" spans="1:6" ht="12.75">
      <c r="A12701" s="8">
        <v>43899.062037037038</v>
      </c>
      <c r="B12701" s="8" t="str">
        <f>HYPERLINK("https://twitter.com/WenSid","@WenSid")</f>
        <v>@WenSid</v>
      </c>
      <c r="C12701" s="8" t="s">
        <v>3821</v>
      </c>
      <c r="D12701" s="8">
        <v>13</v>
      </c>
      <c r="E12701" s="8">
        <v>0</v>
      </c>
      <c r="F12701" s="8">
        <v>121</v>
      </c>
    </row>
    <row r="12702" spans="1:6" ht="12.75">
      <c r="A12702" s="8">
        <v>43899.061909722222</v>
      </c>
      <c r="B12702" s="8" t="str">
        <f>HYPERLINK("https://twitter.com/MansiMakwana","@MansiMakwana")</f>
        <v>@MansiMakwana</v>
      </c>
      <c r="C12702" s="8" t="s">
        <v>1917</v>
      </c>
      <c r="D12702" s="8">
        <v>850</v>
      </c>
      <c r="E12702" s="8">
        <v>0</v>
      </c>
      <c r="F12702" s="8">
        <v>166</v>
      </c>
    </row>
    <row r="12703" spans="1:6" ht="12.75">
      <c r="A12703" s="8">
        <v>43899.061597222222</v>
      </c>
      <c r="B12703" s="8" t="str">
        <f>HYPERLINK("https://twitter.com/Rajendr43212394","@Rajendr43212394")</f>
        <v>@Rajendr43212394</v>
      </c>
      <c r="C12703" s="8" t="s">
        <v>1917</v>
      </c>
      <c r="D12703" s="8">
        <v>850</v>
      </c>
      <c r="E12703" s="8">
        <v>0</v>
      </c>
      <c r="F12703" s="8">
        <v>304</v>
      </c>
    </row>
    <row r="12704" spans="1:6" ht="12.75">
      <c r="A12704" s="8">
        <v>43899.061064814814</v>
      </c>
      <c r="B12704" s="8" t="str">
        <f>HYPERLINK("https://twitter.com/Spy17936215","@Spy17936215")</f>
        <v>@Spy17936215</v>
      </c>
      <c r="C12704" s="8" t="s">
        <v>5181</v>
      </c>
      <c r="D12704" s="8">
        <v>0</v>
      </c>
      <c r="E12704" s="8">
        <v>0</v>
      </c>
      <c r="F12704" s="8">
        <v>0</v>
      </c>
    </row>
    <row r="12705" spans="1:6" ht="12.75">
      <c r="A12705" s="8">
        <v>43899.060925925922</v>
      </c>
      <c r="B12705" s="8" t="str">
        <f>HYPERLINK("https://twitter.com/ElshintaTegal_","@ElshintaTegal_")</f>
        <v>@ElshintaTegal_</v>
      </c>
      <c r="C12705" s="8" t="s">
        <v>5142</v>
      </c>
      <c r="D12705" s="8">
        <v>1</v>
      </c>
      <c r="E12705" s="8">
        <v>0</v>
      </c>
      <c r="F12705" s="8">
        <v>42</v>
      </c>
    </row>
    <row r="12706" spans="1:6" ht="12.75">
      <c r="A12706" s="8">
        <v>43899.060856481483</v>
      </c>
      <c r="B12706" s="8" t="str">
        <f>HYPERLINK("https://twitter.com/Ozie96036369","@Ozie96036369")</f>
        <v>@Ozie96036369</v>
      </c>
      <c r="C12706" s="8" t="s">
        <v>3265</v>
      </c>
      <c r="D12706" s="8">
        <v>484</v>
      </c>
      <c r="E12706" s="8">
        <v>0</v>
      </c>
      <c r="F12706" s="8">
        <v>99</v>
      </c>
    </row>
    <row r="12707" spans="1:6" ht="12.75">
      <c r="A12707" s="8">
        <v>43899.060740740737</v>
      </c>
      <c r="B12707" s="8" t="str">
        <f>HYPERLINK("https://twitter.com/drpranaykumar","@drpranaykumar")</f>
        <v>@drpranaykumar</v>
      </c>
      <c r="C12707" s="8" t="s">
        <v>1917</v>
      </c>
      <c r="D12707" s="8">
        <v>850</v>
      </c>
      <c r="E12707" s="8">
        <v>0</v>
      </c>
      <c r="F12707" s="8">
        <v>193</v>
      </c>
    </row>
    <row r="12708" spans="1:6" ht="12.75">
      <c r="A12708" s="8">
        <v>43899.059965277775</v>
      </c>
      <c r="B12708" s="8" t="str">
        <f>HYPERLINK("https://twitter.com/LeapYear2020","@LeapYear2020")</f>
        <v>@LeapYear2020</v>
      </c>
      <c r="C12708" s="8" t="s">
        <v>1917</v>
      </c>
      <c r="D12708" s="8">
        <v>850</v>
      </c>
      <c r="E12708" s="8">
        <v>0</v>
      </c>
      <c r="F12708" s="8">
        <v>36</v>
      </c>
    </row>
    <row r="12709" spans="1:6" ht="12.75">
      <c r="A12709" s="8">
        <v>43899.05982638889</v>
      </c>
      <c r="B12709" s="8" t="str">
        <f>HYPERLINK("https://twitter.com/cursedkidd","@cursedkidd")</f>
        <v>@cursedkidd</v>
      </c>
      <c r="C12709" s="8" t="s">
        <v>5182</v>
      </c>
      <c r="D12709" s="8">
        <v>0</v>
      </c>
      <c r="E12709" s="8">
        <v>1</v>
      </c>
      <c r="F12709" s="8">
        <v>223548</v>
      </c>
    </row>
    <row r="12710" spans="1:6" ht="12.75">
      <c r="A12710" s="8">
        <v>43899.059282407412</v>
      </c>
      <c r="B12710" s="8" t="str">
        <f>HYPERLINK("https://twitter.com/RadioElshinta","@RadioElshinta")</f>
        <v>@RadioElshinta</v>
      </c>
      <c r="C12710" s="8" t="s">
        <v>5143</v>
      </c>
      <c r="D12710" s="8">
        <v>1</v>
      </c>
      <c r="E12710" s="8">
        <v>2</v>
      </c>
      <c r="F12710" s="8">
        <v>3637225</v>
      </c>
    </row>
    <row r="12711" spans="1:6" ht="12.75">
      <c r="A12711" s="8">
        <v>43899.059131944443</v>
      </c>
      <c r="B12711" s="8" t="str">
        <f>HYPERLINK("https://twitter.com/pyarakhadku","@pyarakhadku")</f>
        <v>@pyarakhadku</v>
      </c>
      <c r="C12711" s="8" t="s">
        <v>1917</v>
      </c>
      <c r="D12711" s="8">
        <v>850</v>
      </c>
      <c r="E12711" s="8">
        <v>0</v>
      </c>
      <c r="F12711" s="8">
        <v>266</v>
      </c>
    </row>
    <row r="12712" spans="1:6" ht="12.75">
      <c r="A12712" s="8">
        <v>43899.058923611112</v>
      </c>
      <c r="B12712" s="8" t="str">
        <f>HYPERLINK("https://twitter.com/MaverickFriend","@MaverickFriend")</f>
        <v>@MaverickFriend</v>
      </c>
      <c r="C12712" s="8" t="s">
        <v>1917</v>
      </c>
      <c r="D12712" s="8">
        <v>850</v>
      </c>
      <c r="E12712" s="8">
        <v>0</v>
      </c>
      <c r="F12712" s="8">
        <v>249</v>
      </c>
    </row>
    <row r="12713" spans="1:6" ht="12.75">
      <c r="A12713" s="8">
        <v>43899.057905092588</v>
      </c>
      <c r="B12713" s="8" t="str">
        <f>HYPERLINK("https://twitter.com/iAshvinSavaliya","@iAshvinSavaliya")</f>
        <v>@iAshvinSavaliya</v>
      </c>
      <c r="C12713" s="8" t="s">
        <v>1917</v>
      </c>
      <c r="D12713" s="8">
        <v>850</v>
      </c>
      <c r="E12713" s="8">
        <v>0</v>
      </c>
      <c r="F12713" s="8">
        <v>1141</v>
      </c>
    </row>
    <row r="12714" spans="1:6" ht="12.75">
      <c r="A12714" s="8">
        <v>43899.057812500003</v>
      </c>
      <c r="B12714" s="8" t="str">
        <f>HYPERLINK("https://twitter.com/newsanti","@newsanti")</f>
        <v>@newsanti</v>
      </c>
      <c r="C12714" s="8" t="s">
        <v>1917</v>
      </c>
      <c r="D12714" s="8">
        <v>850</v>
      </c>
      <c r="E12714" s="8">
        <v>0</v>
      </c>
      <c r="F12714" s="8">
        <v>2313</v>
      </c>
    </row>
    <row r="12715" spans="1:6" ht="12.75">
      <c r="A12715" s="8">
        <v>43899.057141203702</v>
      </c>
      <c r="B12715" s="8" t="str">
        <f>HYPERLINK("https://twitter.com/Makmur13745478","@Makmur13745478")</f>
        <v>@Makmur13745478</v>
      </c>
      <c r="C12715" s="8" t="s">
        <v>5183</v>
      </c>
      <c r="D12715" s="8">
        <v>0</v>
      </c>
      <c r="E12715" s="8">
        <v>0</v>
      </c>
      <c r="F12715" s="8">
        <v>310</v>
      </c>
    </row>
    <row r="12716" spans="1:6" ht="12.75">
      <c r="A12716" s="8">
        <v>43899.056018518517</v>
      </c>
      <c r="B12716" s="8" t="str">
        <f>HYPERLINK("https://twitter.com/ArfaKaKhasam","@ArfaKaKhasam")</f>
        <v>@ArfaKaKhasam</v>
      </c>
      <c r="C12716" s="8" t="s">
        <v>1917</v>
      </c>
      <c r="D12716" s="8">
        <v>850</v>
      </c>
      <c r="E12716" s="8">
        <v>0</v>
      </c>
      <c r="F12716" s="8">
        <v>173</v>
      </c>
    </row>
    <row r="12717" spans="1:6" ht="12.75">
      <c r="A12717" s="8">
        <v>43899.054178240738</v>
      </c>
      <c r="B12717" s="8" t="str">
        <f>HYPERLINK("https://twitter.com/LacellaUjung","@LacellaUjung")</f>
        <v>@LacellaUjung</v>
      </c>
      <c r="C12717" s="8" t="s">
        <v>3265</v>
      </c>
      <c r="D12717" s="8">
        <v>484</v>
      </c>
      <c r="E12717" s="8">
        <v>0</v>
      </c>
      <c r="F12717" s="8">
        <v>21</v>
      </c>
    </row>
    <row r="12718" spans="1:6" ht="12.75">
      <c r="A12718" s="8">
        <v>43899.054027777776</v>
      </c>
      <c r="B12718" s="8" t="str">
        <f>HYPERLINK("https://twitter.com/Puruthakur78","@Puruthakur78")</f>
        <v>@Puruthakur78</v>
      </c>
      <c r="C12718" s="8" t="s">
        <v>1917</v>
      </c>
      <c r="D12718" s="8">
        <v>850</v>
      </c>
      <c r="E12718" s="8">
        <v>0</v>
      </c>
      <c r="F12718" s="8">
        <v>663</v>
      </c>
    </row>
    <row r="12719" spans="1:6" ht="12.75">
      <c r="A12719" s="8">
        <v>43899.053715277776</v>
      </c>
      <c r="B12719" s="8" t="str">
        <f>HYPERLINK("https://twitter.com/suraj99211","@suraj99211")</f>
        <v>@suraj99211</v>
      </c>
      <c r="C12719" s="8" t="s">
        <v>1917</v>
      </c>
      <c r="D12719" s="8">
        <v>850</v>
      </c>
      <c r="E12719" s="8">
        <v>0</v>
      </c>
      <c r="F12719" s="8">
        <v>103</v>
      </c>
    </row>
    <row r="12720" spans="1:6" ht="12.75">
      <c r="A12720" s="8">
        <v>43899.05268518519</v>
      </c>
      <c r="B12720" s="8" t="str">
        <f>HYPERLINK("https://twitter.com/5OActionExpress","@5OActionExpress")</f>
        <v>@5OActionExpress</v>
      </c>
      <c r="C12720" s="8" t="s">
        <v>1917</v>
      </c>
      <c r="D12720" s="8">
        <v>850</v>
      </c>
      <c r="E12720" s="8">
        <v>0</v>
      </c>
      <c r="F12720" s="8">
        <v>732</v>
      </c>
    </row>
    <row r="12721" spans="1:6" ht="12.75">
      <c r="A12721" s="8">
        <v>43899.052372685182</v>
      </c>
      <c r="B12721" s="8" t="str">
        <f>HYPERLINK("https://twitter.com/dhruvbhim","@dhruvbhim")</f>
        <v>@dhruvbhim</v>
      </c>
      <c r="C12721" s="8" t="s">
        <v>1917</v>
      </c>
      <c r="D12721" s="8">
        <v>850</v>
      </c>
      <c r="E12721" s="8">
        <v>0</v>
      </c>
      <c r="F12721" s="8">
        <v>4500</v>
      </c>
    </row>
    <row r="12722" spans="1:6" ht="12.75">
      <c r="A12722" s="8">
        <v>43899.051944444444</v>
      </c>
      <c r="B12722" s="8" t="str">
        <f>HYPERLINK("https://twitter.com/YSDeora","@YSDeora")</f>
        <v>@YSDeora</v>
      </c>
      <c r="C12722" s="8" t="s">
        <v>1917</v>
      </c>
      <c r="D12722" s="8">
        <v>850</v>
      </c>
      <c r="E12722" s="8">
        <v>0</v>
      </c>
      <c r="F12722" s="8">
        <v>162</v>
      </c>
    </row>
    <row r="12723" spans="1:6" ht="12.75">
      <c r="A12723" s="8">
        <v>43899.051493055551</v>
      </c>
      <c r="B12723" s="8" t="str">
        <f>HYPERLINK("https://twitter.com/kya_kaam_hai","@kya_kaam_hai")</f>
        <v>@kya_kaam_hai</v>
      </c>
      <c r="C12723" s="8" t="s">
        <v>1917</v>
      </c>
      <c r="D12723" s="8">
        <v>850</v>
      </c>
      <c r="E12723" s="8">
        <v>0</v>
      </c>
      <c r="F12723" s="8">
        <v>107</v>
      </c>
    </row>
    <row r="12724" spans="1:6" ht="12.75">
      <c r="A12724" s="8">
        <v>43899.050567129627</v>
      </c>
      <c r="B12724" s="8" t="str">
        <f>HYPERLINK("https://twitter.com/Tweet2PBee","@Tweet2PBee")</f>
        <v>@Tweet2PBee</v>
      </c>
      <c r="C12724" s="8" t="s">
        <v>1917</v>
      </c>
      <c r="D12724" s="8">
        <v>850</v>
      </c>
      <c r="E12724" s="8">
        <v>0</v>
      </c>
      <c r="F12724" s="8">
        <v>86</v>
      </c>
    </row>
    <row r="12725" spans="1:6" ht="12.75">
      <c r="A12725" s="8">
        <v>43899.050439814819</v>
      </c>
      <c r="B12725" s="8" t="str">
        <f>HYPERLINK("https://twitter.com/liputan6dotcom","@liputan6dotcom")</f>
        <v>@liputan6dotcom</v>
      </c>
      <c r="C12725" s="8" t="s">
        <v>5184</v>
      </c>
      <c r="D12725" s="8">
        <v>0</v>
      </c>
      <c r="E12725" s="8">
        <v>3</v>
      </c>
      <c r="F12725" s="8">
        <v>3637533</v>
      </c>
    </row>
    <row r="12726" spans="1:6" ht="12.75">
      <c r="A12726" s="8">
        <v>43899.050370370373</v>
      </c>
      <c r="B12726" s="8" t="str">
        <f>HYPERLINK("https://twitter.com/swarupkdc","@swarupkdc")</f>
        <v>@swarupkdc</v>
      </c>
      <c r="C12726" s="8" t="s">
        <v>1917</v>
      </c>
      <c r="D12726" s="8">
        <v>850</v>
      </c>
      <c r="E12726" s="8">
        <v>0</v>
      </c>
      <c r="F12726" s="8">
        <v>501</v>
      </c>
    </row>
    <row r="12727" spans="1:6" ht="12.75">
      <c r="A12727" s="8">
        <v>43899.049942129626</v>
      </c>
      <c r="B12727" s="8" t="str">
        <f>HYPERLINK("https://twitter.com/Nitin1Jain","@Nitin1Jain")</f>
        <v>@Nitin1Jain</v>
      </c>
      <c r="C12727" s="8" t="s">
        <v>1917</v>
      </c>
      <c r="D12727" s="8">
        <v>850</v>
      </c>
      <c r="E12727" s="8">
        <v>0</v>
      </c>
      <c r="F12727" s="8">
        <v>1017</v>
      </c>
    </row>
    <row r="12728" spans="1:6" ht="12.75">
      <c r="A12728" s="8">
        <v>43899.049849537041</v>
      </c>
      <c r="B12728" s="8" t="str">
        <f>HYPERLINK("https://twitter.com/Ayiev_akbar","@Ayiev_akbar")</f>
        <v>@Ayiev_akbar</v>
      </c>
      <c r="C12728" s="8" t="s">
        <v>3265</v>
      </c>
      <c r="D12728" s="8">
        <v>484</v>
      </c>
      <c r="E12728" s="8">
        <v>0</v>
      </c>
      <c r="F12728" s="8">
        <v>308</v>
      </c>
    </row>
    <row r="12729" spans="1:6" ht="12.75">
      <c r="A12729" s="8">
        <v>43899.049837962964</v>
      </c>
      <c r="B12729" s="8" t="str">
        <f>HYPERLINK("https://twitter.com/Megat_Roh_25","@Megat_Roh_25")</f>
        <v>@Megat_Roh_25</v>
      </c>
      <c r="C12729" s="8" t="s">
        <v>5185</v>
      </c>
      <c r="D12729" s="8">
        <v>0</v>
      </c>
      <c r="E12729" s="8">
        <v>0</v>
      </c>
      <c r="F12729" s="8">
        <v>74</v>
      </c>
    </row>
    <row r="12730" spans="1:6" ht="12.75">
      <c r="A12730" s="8">
        <v>43899.049710648149</v>
      </c>
      <c r="B12730" s="8" t="str">
        <f>HYPERLINK("https://twitter.com/rahmazahidah","@rahmazahidah")</f>
        <v>@rahmazahidah</v>
      </c>
      <c r="C12730" s="8" t="s">
        <v>5186</v>
      </c>
      <c r="D12730" s="8">
        <v>0</v>
      </c>
      <c r="E12730" s="8">
        <v>0</v>
      </c>
      <c r="F12730" s="8">
        <v>335</v>
      </c>
    </row>
    <row r="12731" spans="1:6" ht="12.75">
      <c r="A12731" s="8">
        <v>43899.049513888887</v>
      </c>
      <c r="B12731" s="8" t="str">
        <f>HYPERLINK("https://twitter.com/padangekspres","@padangekspres")</f>
        <v>@padangekspres</v>
      </c>
      <c r="C12731" s="8" t="s">
        <v>4801</v>
      </c>
      <c r="D12731" s="8">
        <v>117</v>
      </c>
      <c r="E12731" s="8">
        <v>0</v>
      </c>
      <c r="F12731" s="8">
        <v>25341</v>
      </c>
    </row>
    <row r="12732" spans="1:6" ht="12.75">
      <c r="A12732" s="8">
        <v>43899.04923611111</v>
      </c>
      <c r="B12732" s="8" t="str">
        <f>HYPERLINK("https://twitter.com/samdristi","@samdristi")</f>
        <v>@samdristi</v>
      </c>
      <c r="C12732" s="8" t="s">
        <v>1917</v>
      </c>
      <c r="D12732" s="8">
        <v>850</v>
      </c>
      <c r="E12732" s="8">
        <v>0</v>
      </c>
      <c r="F12732" s="8">
        <v>453</v>
      </c>
    </row>
    <row r="12733" spans="1:6" ht="12.75">
      <c r="A12733" s="8">
        <v>43899.048287037032</v>
      </c>
      <c r="B12733" s="8" t="str">
        <f>HYPERLINK("https://twitter.com/ShakrajeetB","@ShakrajeetB")</f>
        <v>@ShakrajeetB</v>
      </c>
      <c r="C12733" s="8" t="s">
        <v>1917</v>
      </c>
      <c r="D12733" s="8">
        <v>795</v>
      </c>
      <c r="E12733" s="8">
        <v>0</v>
      </c>
      <c r="F12733" s="8">
        <v>214</v>
      </c>
    </row>
    <row r="12734" spans="1:6" ht="12.75">
      <c r="A12734" s="8">
        <v>43899.048252314809</v>
      </c>
      <c r="B12734" s="8" t="str">
        <f>HYPERLINK("https://twitter.com/b_heri_wibowo","@b_heri_wibowo")</f>
        <v>@b_heri_wibowo</v>
      </c>
      <c r="C12734" s="8" t="s">
        <v>5187</v>
      </c>
      <c r="D12734" s="8">
        <v>0</v>
      </c>
      <c r="E12734" s="8">
        <v>0</v>
      </c>
      <c r="F12734" s="8">
        <v>1050</v>
      </c>
    </row>
    <row r="12735" spans="1:6" ht="12.75">
      <c r="A12735" s="8">
        <v>43899.047337962962</v>
      </c>
      <c r="B12735" s="8" t="str">
        <f>HYPERLINK("https://twitter.com/shitalkumar888","@shitalkumar888")</f>
        <v>@shitalkumar888</v>
      </c>
      <c r="C12735" s="8" t="s">
        <v>1917</v>
      </c>
      <c r="D12735" s="8">
        <v>795</v>
      </c>
      <c r="E12735" s="8">
        <v>0</v>
      </c>
      <c r="F12735" s="8">
        <v>141</v>
      </c>
    </row>
    <row r="12736" spans="1:6" ht="12.75">
      <c r="A12736" s="8">
        <v>43899.04686342593</v>
      </c>
      <c r="B12736" s="8" t="str">
        <f>HYPERLINK("https://twitter.com/ashishsingh0612","@ashishsingh0612")</f>
        <v>@ashishsingh0612</v>
      </c>
      <c r="C12736" s="8" t="s">
        <v>1917</v>
      </c>
      <c r="D12736" s="8">
        <v>795</v>
      </c>
      <c r="E12736" s="8">
        <v>0</v>
      </c>
      <c r="F12736" s="8">
        <v>89</v>
      </c>
    </row>
    <row r="12737" spans="1:6" ht="12.75">
      <c r="A12737" s="8">
        <v>43899.046388888892</v>
      </c>
      <c r="B12737" s="8" t="str">
        <f>HYPERLINK("https://twitter.com/pcreliance","@pcreliance")</f>
        <v>@pcreliance</v>
      </c>
      <c r="C12737" s="8" t="s">
        <v>1917</v>
      </c>
      <c r="D12737" s="8">
        <v>795</v>
      </c>
      <c r="E12737" s="8">
        <v>0</v>
      </c>
      <c r="F12737" s="8">
        <v>364</v>
      </c>
    </row>
    <row r="12738" spans="1:6" ht="12.75">
      <c r="A12738" s="8">
        <v>43899.045011574075</v>
      </c>
      <c r="B12738" s="8" t="str">
        <f>HYPERLINK("https://twitter.com/DindaArya0","@DindaArya0")</f>
        <v>@DindaArya0</v>
      </c>
      <c r="C12738" s="8" t="s">
        <v>5188</v>
      </c>
      <c r="D12738" s="8">
        <v>0</v>
      </c>
      <c r="E12738" s="8">
        <v>0</v>
      </c>
      <c r="F12738" s="8">
        <v>47</v>
      </c>
    </row>
    <row r="12739" spans="1:6" ht="12.75">
      <c r="A12739" s="8">
        <v>43899.044560185182</v>
      </c>
      <c r="B12739" s="8" t="str">
        <f>HYPERLINK("https://twitter.com/maswawan03","@maswawan03")</f>
        <v>@maswawan03</v>
      </c>
      <c r="C12739" s="8" t="s">
        <v>5189</v>
      </c>
      <c r="D12739" s="8">
        <v>0</v>
      </c>
      <c r="E12739" s="8">
        <v>0</v>
      </c>
      <c r="F12739" s="8">
        <v>20</v>
      </c>
    </row>
    <row r="12740" spans="1:6" ht="12.75">
      <c r="A12740" s="8">
        <v>43899.044120370367</v>
      </c>
      <c r="B12740" s="8" t="str">
        <f>HYPERLINK("https://twitter.com/KumarSingh657","@KumarSingh657")</f>
        <v>@KumarSingh657</v>
      </c>
      <c r="C12740" s="8" t="s">
        <v>1917</v>
      </c>
      <c r="D12740" s="8">
        <v>795</v>
      </c>
      <c r="E12740" s="8">
        <v>0</v>
      </c>
      <c r="F12740" s="8">
        <v>266</v>
      </c>
    </row>
    <row r="12741" spans="1:6" ht="12.75">
      <c r="A12741" s="8">
        <v>43899.043680555551</v>
      </c>
      <c r="B12741" s="8" t="str">
        <f>HYPERLINK("https://twitter.com/EviKusdiani","@EviKusdiani")</f>
        <v>@EviKusdiani</v>
      </c>
      <c r="C12741" s="8" t="s">
        <v>3821</v>
      </c>
      <c r="D12741" s="8">
        <v>12</v>
      </c>
      <c r="E12741" s="8">
        <v>0</v>
      </c>
      <c r="F12741" s="8">
        <v>509</v>
      </c>
    </row>
    <row r="12742" spans="1:6" ht="12.75">
      <c r="A12742" s="8">
        <v>43899.043645833328</v>
      </c>
      <c r="B12742" s="8" t="str">
        <f>HYPERLINK("https://twitter.com/ranjanpatel108","@ranjanpatel108")</f>
        <v>@ranjanpatel108</v>
      </c>
      <c r="C12742" s="8" t="s">
        <v>1917</v>
      </c>
      <c r="D12742" s="8">
        <v>795</v>
      </c>
      <c r="E12742" s="8">
        <v>0</v>
      </c>
      <c r="F12742" s="8">
        <v>15983</v>
      </c>
    </row>
    <row r="12743" spans="1:6" ht="12.75">
      <c r="A12743" s="8">
        <v>43899.043344907404</v>
      </c>
      <c r="B12743" s="8" t="str">
        <f>HYPERLINK("https://twitter.com/Ravi46937646","@Ravi46937646")</f>
        <v>@Ravi46937646</v>
      </c>
      <c r="C12743" s="8" t="s">
        <v>1917</v>
      </c>
      <c r="D12743" s="8">
        <v>795</v>
      </c>
      <c r="E12743" s="8">
        <v>0</v>
      </c>
      <c r="F12743" s="8">
        <v>10</v>
      </c>
    </row>
    <row r="12744" spans="1:6" ht="12.75">
      <c r="A12744" s="8">
        <v>43899.043020833335</v>
      </c>
      <c r="B12744" s="8" t="str">
        <f>HYPERLINK("https://twitter.com/prasnupradhana","@prasnupradhana")</f>
        <v>@prasnupradhana</v>
      </c>
      <c r="C12744" s="8" t="s">
        <v>4895</v>
      </c>
      <c r="D12744" s="8">
        <v>1</v>
      </c>
      <c r="E12744" s="8">
        <v>0</v>
      </c>
      <c r="F12744" s="8">
        <v>437</v>
      </c>
    </row>
    <row r="12745" spans="1:6" ht="12.75">
      <c r="A12745" s="8">
        <v>43899.042905092589</v>
      </c>
      <c r="B12745" s="8" t="str">
        <f>HYPERLINK("https://twitter.com/DindaArya0","@DindaArya0")</f>
        <v>@DindaArya0</v>
      </c>
      <c r="C12745" s="8" t="s">
        <v>5190</v>
      </c>
      <c r="D12745" s="8">
        <v>0</v>
      </c>
      <c r="E12745" s="8">
        <v>0</v>
      </c>
      <c r="F12745" s="8">
        <v>47</v>
      </c>
    </row>
    <row r="12746" spans="1:6" ht="12.75">
      <c r="A12746" s="8">
        <v>43899.042870370366</v>
      </c>
      <c r="B12746" s="8" t="str">
        <f>HYPERLINK("https://twitter.com/SinghVijukum","@SinghVijukum")</f>
        <v>@SinghVijukum</v>
      </c>
      <c r="C12746" s="8" t="s">
        <v>1917</v>
      </c>
      <c r="D12746" s="8">
        <v>795</v>
      </c>
      <c r="E12746" s="8">
        <v>0</v>
      </c>
      <c r="F12746" s="8">
        <v>141</v>
      </c>
    </row>
    <row r="12747" spans="1:6" ht="12.75">
      <c r="A12747" s="8">
        <v>43899.042395833334</v>
      </c>
      <c r="B12747" s="8" t="str">
        <f>HYPERLINK("https://twitter.com/indolinearcom","@indolinearcom")</f>
        <v>@indolinearcom</v>
      </c>
      <c r="C12747" s="8" t="s">
        <v>5191</v>
      </c>
      <c r="D12747" s="8">
        <v>0</v>
      </c>
      <c r="E12747" s="8">
        <v>0</v>
      </c>
      <c r="F12747" s="8">
        <v>75</v>
      </c>
    </row>
    <row r="12748" spans="1:6" ht="12.75">
      <c r="A12748" s="8">
        <v>43899.042013888888</v>
      </c>
      <c r="B12748" s="8" t="str">
        <f>HYPERLINK("https://twitter.com/Gulai_puyu","@Gulai_puyu")</f>
        <v>@Gulai_puyu</v>
      </c>
      <c r="C12748" s="8" t="s">
        <v>5178</v>
      </c>
      <c r="D12748" s="8">
        <v>7</v>
      </c>
      <c r="E12748" s="8">
        <v>0</v>
      </c>
      <c r="F12748" s="8">
        <v>460</v>
      </c>
    </row>
    <row r="12749" spans="1:6" ht="12.75">
      <c r="A12749" s="8">
        <v>43899.042002314818</v>
      </c>
      <c r="B12749" s="8" t="str">
        <f>HYPERLINK("https://twitter.com/E1Keel","@E1Keel")</f>
        <v>@E1Keel</v>
      </c>
      <c r="C12749" s="8" t="s">
        <v>1917</v>
      </c>
      <c r="D12749" s="8">
        <v>795</v>
      </c>
      <c r="E12749" s="8">
        <v>0</v>
      </c>
      <c r="F12749" s="8">
        <v>123</v>
      </c>
    </row>
    <row r="12750" spans="1:6" ht="12.75">
      <c r="A12750" s="8">
        <v>43899.041944444441</v>
      </c>
      <c r="B12750" s="8" t="str">
        <f>HYPERLINK("https://twitter.com/RealVineyKumar","@RealVineyKumar")</f>
        <v>@RealVineyKumar</v>
      </c>
      <c r="C12750" s="8" t="s">
        <v>1917</v>
      </c>
      <c r="D12750" s="8">
        <v>795</v>
      </c>
      <c r="E12750" s="8">
        <v>0</v>
      </c>
      <c r="F12750" s="8">
        <v>298</v>
      </c>
    </row>
    <row r="12751" spans="1:6" ht="12.75">
      <c r="A12751" s="8">
        <v>43899.041620370372</v>
      </c>
      <c r="B12751" s="8" t="str">
        <f>HYPERLINK("https://twitter.com/rajtakk","@rajtakk")</f>
        <v>@rajtakk</v>
      </c>
      <c r="C12751" s="8" t="s">
        <v>1917</v>
      </c>
      <c r="D12751" s="8">
        <v>795</v>
      </c>
      <c r="E12751" s="8">
        <v>0</v>
      </c>
      <c r="F12751" s="8">
        <v>3622</v>
      </c>
    </row>
    <row r="12752" spans="1:6" ht="12.75">
      <c r="A12752" s="8">
        <v>43899.041168981479</v>
      </c>
      <c r="B12752" s="8" t="str">
        <f>HYPERLINK("https://twitter.com/PanickerUma","@PanickerUma")</f>
        <v>@PanickerUma</v>
      </c>
      <c r="C12752" s="8" t="s">
        <v>1917</v>
      </c>
      <c r="D12752" s="8">
        <v>795</v>
      </c>
      <c r="E12752" s="8">
        <v>0</v>
      </c>
      <c r="F12752" s="8">
        <v>572</v>
      </c>
    </row>
    <row r="12753" spans="1:6" ht="12.75">
      <c r="A12753" s="8">
        <v>43899.040752314817</v>
      </c>
      <c r="B12753" s="8" t="str">
        <f>HYPERLINK("https://twitter.com/xdjulistyox","@xdjulistyox")</f>
        <v>@xdjulistyox</v>
      </c>
      <c r="C12753" s="8" t="s">
        <v>3265</v>
      </c>
      <c r="D12753" s="8">
        <v>478</v>
      </c>
      <c r="E12753" s="8">
        <v>0</v>
      </c>
      <c r="F12753" s="8">
        <v>291</v>
      </c>
    </row>
    <row r="12754" spans="1:6" ht="12.75">
      <c r="A12754" s="8">
        <v>43899.040601851855</v>
      </c>
      <c r="B12754" s="8" t="str">
        <f>HYPERLINK("https://twitter.com/RajuSalla5","@RajuSalla5")</f>
        <v>@RajuSalla5</v>
      </c>
      <c r="C12754" s="8" t="s">
        <v>1917</v>
      </c>
      <c r="D12754" s="8">
        <v>795</v>
      </c>
      <c r="E12754" s="8">
        <v>0</v>
      </c>
      <c r="F12754" s="8">
        <v>55</v>
      </c>
    </row>
    <row r="12755" spans="1:6" ht="12.75">
      <c r="A12755" s="8">
        <v>43899.040219907409</v>
      </c>
      <c r="B12755" s="8" t="str">
        <f>HYPERLINK("https://twitter.com/Agamajinasi","@Agamajinasi")</f>
        <v>@Agamajinasi</v>
      </c>
      <c r="C12755" s="8" t="s">
        <v>5192</v>
      </c>
      <c r="D12755" s="8">
        <v>1</v>
      </c>
      <c r="E12755" s="8">
        <v>1</v>
      </c>
      <c r="F12755" s="8">
        <v>27503</v>
      </c>
    </row>
    <row r="12756" spans="1:6" ht="12.75">
      <c r="A12756" s="8">
        <v>43899.039212962962</v>
      </c>
      <c r="B12756" s="8" t="str">
        <f>HYPERLINK("https://twitter.com/praptopinardi1","@praptopinardi1")</f>
        <v>@praptopinardi1</v>
      </c>
      <c r="C12756" s="8" t="s">
        <v>5193</v>
      </c>
      <c r="D12756" s="8">
        <v>1</v>
      </c>
      <c r="E12756" s="8">
        <v>0</v>
      </c>
      <c r="F12756" s="8">
        <v>6</v>
      </c>
    </row>
    <row r="12757" spans="1:6" ht="12.75">
      <c r="A12757" s="8">
        <v>43899.039131944446</v>
      </c>
      <c r="B12757" s="8" t="str">
        <f>HYPERLINK("https://twitter.com/vikas2397","@vikas2397")</f>
        <v>@vikas2397</v>
      </c>
      <c r="C12757" s="8" t="s">
        <v>1917</v>
      </c>
      <c r="D12757" s="8">
        <v>795</v>
      </c>
      <c r="E12757" s="8">
        <v>0</v>
      </c>
      <c r="F12757" s="8">
        <v>1287</v>
      </c>
    </row>
    <row r="12758" spans="1:6" ht="12.75">
      <c r="A12758" s="8">
        <v>43899.038715277777</v>
      </c>
      <c r="B12758" s="8" t="str">
        <f>HYPERLINK("https://twitter.com/RadioElshinta","@RadioElshinta")</f>
        <v>@RadioElshinta</v>
      </c>
      <c r="C12758" s="8" t="s">
        <v>5194</v>
      </c>
      <c r="D12758" s="8">
        <v>1</v>
      </c>
      <c r="E12758" s="8">
        <v>2</v>
      </c>
      <c r="F12758" s="8">
        <v>3637234</v>
      </c>
    </row>
    <row r="12759" spans="1:6" ht="12.75">
      <c r="A12759" s="8">
        <v>43899.037233796298</v>
      </c>
      <c r="B12759" s="8" t="str">
        <f>HYPERLINK("https://twitter.com/mayankdchauhan","@mayankdchauhan")</f>
        <v>@mayankdchauhan</v>
      </c>
      <c r="C12759" s="8" t="s">
        <v>1917</v>
      </c>
      <c r="D12759" s="8">
        <v>795</v>
      </c>
      <c r="E12759" s="8">
        <v>0</v>
      </c>
      <c r="F12759" s="8">
        <v>247</v>
      </c>
    </row>
    <row r="12760" spans="1:6" ht="12.75">
      <c r="A12760" s="8">
        <v>43899.037222222221</v>
      </c>
      <c r="B12760" s="8" t="str">
        <f>HYPERLINK("https://twitter.com/PresentGen","@PresentGen")</f>
        <v>@PresentGen</v>
      </c>
      <c r="C12760" s="8" t="s">
        <v>1917</v>
      </c>
      <c r="D12760" s="8">
        <v>795</v>
      </c>
      <c r="E12760" s="8">
        <v>0</v>
      </c>
      <c r="F12760" s="8">
        <v>685</v>
      </c>
    </row>
    <row r="12761" spans="1:6" ht="12.75">
      <c r="A12761" s="8">
        <v>43899.036817129629</v>
      </c>
      <c r="B12761" s="8" t="str">
        <f>HYPERLINK("https://twitter.com/vinaysakure","@vinaysakure")</f>
        <v>@vinaysakure</v>
      </c>
      <c r="C12761" s="8" t="s">
        <v>1917</v>
      </c>
      <c r="D12761" s="8">
        <v>795</v>
      </c>
      <c r="E12761" s="8">
        <v>0</v>
      </c>
      <c r="F12761" s="8">
        <v>104</v>
      </c>
    </row>
    <row r="12762" spans="1:6" ht="12.75">
      <c r="A12762" s="8">
        <v>43899.036550925928</v>
      </c>
      <c r="B12762" s="8" t="str">
        <f>HYPERLINK("https://twitter.com/aneternalindian","@aneternalindian")</f>
        <v>@aneternalindian</v>
      </c>
      <c r="C12762" s="8" t="s">
        <v>1917</v>
      </c>
      <c r="D12762" s="8">
        <v>795</v>
      </c>
      <c r="E12762" s="8">
        <v>0</v>
      </c>
      <c r="F12762" s="8">
        <v>1050</v>
      </c>
    </row>
    <row r="12763" spans="1:6" ht="12.75">
      <c r="A12763" s="8">
        <v>43899.036296296297</v>
      </c>
      <c r="B12763" s="8" t="str">
        <f>HYPERLINK("https://twitter.com/MaBhartiKeVeer","@MaBhartiKeVeer")</f>
        <v>@MaBhartiKeVeer</v>
      </c>
      <c r="C12763" s="8" t="s">
        <v>1917</v>
      </c>
      <c r="D12763" s="8">
        <v>795</v>
      </c>
      <c r="E12763" s="8">
        <v>0</v>
      </c>
      <c r="F12763" s="8">
        <v>119</v>
      </c>
    </row>
    <row r="12764" spans="1:6" ht="12.75">
      <c r="A12764" s="8">
        <v>43899.03628472222</v>
      </c>
      <c r="B12764" s="8" t="str">
        <f>HYPERLINK("https://twitter.com/rakshithtumkur","@rakshithtumkur")</f>
        <v>@rakshithtumkur</v>
      </c>
      <c r="C12764" s="8" t="s">
        <v>1917</v>
      </c>
      <c r="D12764" s="8">
        <v>795</v>
      </c>
      <c r="E12764" s="8">
        <v>0</v>
      </c>
      <c r="F12764" s="8">
        <v>147</v>
      </c>
    </row>
    <row r="12765" spans="1:6" ht="12.75">
      <c r="A12765" s="8">
        <v>43899.035486111112</v>
      </c>
      <c r="B12765" s="8" t="str">
        <f>HYPERLINK("https://twitter.com/GvndTwri100","@GvndTwri100")</f>
        <v>@GvndTwri100</v>
      </c>
      <c r="C12765" s="8" t="s">
        <v>1917</v>
      </c>
      <c r="D12765" s="8">
        <v>795</v>
      </c>
      <c r="E12765" s="8">
        <v>0</v>
      </c>
      <c r="F12765" s="8">
        <v>351</v>
      </c>
    </row>
    <row r="12766" spans="1:6" ht="12.75">
      <c r="A12766" s="8">
        <v>43899.035162037035</v>
      </c>
      <c r="B12766" s="8" t="str">
        <f>HYPERLINK("https://twitter.com/AhnafMirza1","@AhnafMirza1")</f>
        <v>@AhnafMirza1</v>
      </c>
      <c r="C12766" s="8" t="s">
        <v>4927</v>
      </c>
      <c r="D12766" s="8">
        <v>40</v>
      </c>
      <c r="E12766" s="8">
        <v>0</v>
      </c>
      <c r="F12766" s="8">
        <v>162</v>
      </c>
    </row>
    <row r="12767" spans="1:6" ht="12.75">
      <c r="A12767" s="8">
        <v>43899.03502314815</v>
      </c>
      <c r="B12767" s="8" t="str">
        <f>HYPERLINK("https://twitter.com/Nusantara_TV","@Nusantara_TV")</f>
        <v>@Nusantara_TV</v>
      </c>
      <c r="C12767" s="8" t="s">
        <v>5195</v>
      </c>
      <c r="D12767" s="8">
        <v>0</v>
      </c>
      <c r="E12767" s="8">
        <v>0</v>
      </c>
      <c r="F12767" s="8">
        <v>501</v>
      </c>
    </row>
    <row r="12768" spans="1:6" ht="12.75">
      <c r="A12768" s="8">
        <v>43899.034594907411</v>
      </c>
      <c r="B12768" s="8" t="str">
        <f>HYPERLINK("https://twitter.com/AdeCand65866045","@AdeCand65866045")</f>
        <v>@AdeCand65866045</v>
      </c>
      <c r="C12768" s="8" t="s">
        <v>3265</v>
      </c>
      <c r="D12768" s="8">
        <v>478</v>
      </c>
      <c r="E12768" s="8">
        <v>0</v>
      </c>
      <c r="F12768" s="8">
        <v>158</v>
      </c>
    </row>
    <row r="12769" spans="1:6" ht="12.75">
      <c r="A12769" s="8">
        <v>43899.034201388888</v>
      </c>
      <c r="B12769" s="8" t="str">
        <f>HYPERLINK("https://twitter.com/PRIHONGGO","@PRIHONGGO")</f>
        <v>@PRIHONGGO</v>
      </c>
      <c r="C12769" s="8" t="s">
        <v>5196</v>
      </c>
      <c r="D12769" s="8">
        <v>3</v>
      </c>
      <c r="E12769" s="8">
        <v>0</v>
      </c>
      <c r="F12769" s="8">
        <v>1010</v>
      </c>
    </row>
    <row r="12770" spans="1:6" ht="12.75">
      <c r="A12770" s="8">
        <v>43899.033715277779</v>
      </c>
      <c r="B12770" s="8" t="str">
        <f>HYPERLINK("https://twitter.com/rachinscuriae","@rachinscuriae")</f>
        <v>@rachinscuriae</v>
      </c>
      <c r="C12770" s="8" t="s">
        <v>1917</v>
      </c>
      <c r="D12770" s="8">
        <v>795</v>
      </c>
      <c r="E12770" s="8">
        <v>0</v>
      </c>
      <c r="F12770" s="8">
        <v>746</v>
      </c>
    </row>
    <row r="12771" spans="1:6" ht="12.75">
      <c r="A12771" s="8">
        <v>43899.033518518518</v>
      </c>
      <c r="B12771" s="8" t="str">
        <f>HYPERLINK("https://twitter.com/CaptAssamRegt","@CaptAssamRegt")</f>
        <v>@CaptAssamRegt</v>
      </c>
      <c r="C12771" s="8" t="s">
        <v>1917</v>
      </c>
      <c r="D12771" s="8">
        <v>795</v>
      </c>
      <c r="E12771" s="8">
        <v>0</v>
      </c>
      <c r="F12771" s="8">
        <v>792</v>
      </c>
    </row>
    <row r="12772" spans="1:6" ht="12.75">
      <c r="A12772" s="8">
        <v>43899.033020833333</v>
      </c>
      <c r="B12772" s="8" t="str">
        <f>HYPERLINK("https://twitter.com/PradzWorLd","@PradzWorLd")</f>
        <v>@PradzWorLd</v>
      </c>
      <c r="C12772" s="8" t="s">
        <v>1917</v>
      </c>
      <c r="D12772" s="8">
        <v>795</v>
      </c>
      <c r="E12772" s="8">
        <v>0</v>
      </c>
      <c r="F12772" s="8">
        <v>1435</v>
      </c>
    </row>
    <row r="12773" spans="1:6" ht="12.75">
      <c r="A12773" s="8">
        <v>43899.03261574074</v>
      </c>
      <c r="B12773" s="8" t="str">
        <f>HYPERLINK("https://twitter.com/rickyblueblack","@rickyblueblack")</f>
        <v>@rickyblueblack</v>
      </c>
      <c r="C12773" s="8" t="s">
        <v>3265</v>
      </c>
      <c r="D12773" s="8">
        <v>478</v>
      </c>
      <c r="E12773" s="8">
        <v>0</v>
      </c>
      <c r="F12773" s="8">
        <v>66</v>
      </c>
    </row>
    <row r="12774" spans="1:6" ht="12.75">
      <c r="A12774" s="8">
        <v>43899.032071759255</v>
      </c>
      <c r="B12774" s="8" t="str">
        <f>HYPERLINK("https://twitter.com/BungJon","@BungJon")</f>
        <v>@BungJon</v>
      </c>
      <c r="C12774" s="8" t="s">
        <v>5197</v>
      </c>
      <c r="D12774" s="8">
        <v>5</v>
      </c>
      <c r="E12774" s="8">
        <v>0</v>
      </c>
      <c r="F12774" s="8">
        <v>29</v>
      </c>
    </row>
    <row r="12775" spans="1:6" ht="12.75">
      <c r="A12775" s="8">
        <v>43899.031712962962</v>
      </c>
      <c r="B12775" s="8" t="str">
        <f>HYPERLINK("https://twitter.com/dagelan_dunia","@dagelan_dunia")</f>
        <v>@dagelan_dunia</v>
      </c>
      <c r="C12775" s="8" t="s">
        <v>3265</v>
      </c>
      <c r="D12775" s="8">
        <v>478</v>
      </c>
      <c r="E12775" s="8">
        <v>0</v>
      </c>
      <c r="F12775" s="8">
        <v>207</v>
      </c>
    </row>
    <row r="12776" spans="1:6" ht="12.75">
      <c r="A12776" s="8">
        <v>43899.031388888892</v>
      </c>
      <c r="B12776" s="8" t="str">
        <f>HYPERLINK("https://twitter.com/rjasani9","@rjasani9")</f>
        <v>@rjasani9</v>
      </c>
      <c r="C12776" s="8" t="s">
        <v>1917</v>
      </c>
      <c r="D12776" s="8">
        <v>795</v>
      </c>
      <c r="E12776" s="8">
        <v>0</v>
      </c>
      <c r="F12776" s="8">
        <v>130</v>
      </c>
    </row>
    <row r="12777" spans="1:6" ht="12.75">
      <c r="A12777" s="8">
        <v>43899.031006944446</v>
      </c>
      <c r="B12777" s="8" t="str">
        <f>HYPERLINK("https://twitter.com/panditjipranam","@panditjipranam")</f>
        <v>@panditjipranam</v>
      </c>
      <c r="C12777" s="8" t="s">
        <v>1917</v>
      </c>
      <c r="D12777" s="8">
        <v>795</v>
      </c>
      <c r="E12777" s="8">
        <v>0</v>
      </c>
      <c r="F12777" s="8">
        <v>1228</v>
      </c>
    </row>
    <row r="12778" spans="1:6" ht="12.75">
      <c r="A12778" s="8">
        <v>43899.030358796299</v>
      </c>
      <c r="B12778" s="8" t="str">
        <f>HYPERLINK("https://twitter.com/gibberish_talks","@gibberish_talks")</f>
        <v>@gibberish_talks</v>
      </c>
      <c r="C12778" s="8" t="s">
        <v>1917</v>
      </c>
      <c r="D12778" s="8">
        <v>795</v>
      </c>
      <c r="E12778" s="8">
        <v>0</v>
      </c>
      <c r="F12778" s="8">
        <v>109</v>
      </c>
    </row>
    <row r="12779" spans="1:6" ht="12.75">
      <c r="A12779" s="8">
        <v>43899.03024305556</v>
      </c>
      <c r="B12779" s="8" t="str">
        <f>HYPERLINK("https://twitter.com/AropikariyaM","@AropikariyaM")</f>
        <v>@AropikariyaM</v>
      </c>
      <c r="C12779" s="8" t="s">
        <v>1917</v>
      </c>
      <c r="D12779" s="8">
        <v>795</v>
      </c>
      <c r="E12779" s="8">
        <v>0</v>
      </c>
      <c r="F12779" s="8">
        <v>129</v>
      </c>
    </row>
    <row r="12780" spans="1:6" ht="12.75">
      <c r="A12780" s="8">
        <v>43899.029872685191</v>
      </c>
      <c r="B12780" s="8" t="str">
        <f>HYPERLINK("https://twitter.com/ayodhyasreeram","@ayodhyasreeram")</f>
        <v>@ayodhyasreeram</v>
      </c>
      <c r="C12780" s="8" t="s">
        <v>1917</v>
      </c>
      <c r="D12780" s="8">
        <v>795</v>
      </c>
      <c r="E12780" s="8">
        <v>0</v>
      </c>
      <c r="F12780" s="8">
        <v>224</v>
      </c>
    </row>
    <row r="12781" spans="1:6" ht="12.75">
      <c r="A12781" s="8">
        <v>43899.029826388884</v>
      </c>
      <c r="B12781" s="8" t="str">
        <f>HYPERLINK("https://twitter.com/Mahendr30688977","@Mahendr30688977")</f>
        <v>@Mahendr30688977</v>
      </c>
      <c r="C12781" s="8" t="s">
        <v>1917</v>
      </c>
      <c r="D12781" s="8">
        <v>795</v>
      </c>
      <c r="E12781" s="8">
        <v>0</v>
      </c>
      <c r="F12781" s="8">
        <v>292</v>
      </c>
    </row>
    <row r="12782" spans="1:6" ht="12.75">
      <c r="A12782" s="8">
        <v>43899.029791666668</v>
      </c>
      <c r="B12782" s="8" t="str">
        <f>HYPERLINK("https://twitter.com/Bahaudinastari1","@Bahaudinastari1")</f>
        <v>@Bahaudinastari1</v>
      </c>
      <c r="C12782" s="8" t="s">
        <v>4927</v>
      </c>
      <c r="D12782" s="8">
        <v>40</v>
      </c>
      <c r="E12782" s="8">
        <v>0</v>
      </c>
      <c r="F12782" s="8">
        <v>239</v>
      </c>
    </row>
    <row r="12783" spans="1:6" ht="12.75">
      <c r="A12783" s="8">
        <v>43899.029641203699</v>
      </c>
      <c r="B12783" s="8" t="str">
        <f>HYPERLINK("https://twitter.com/chatpataka100","@chatpataka100")</f>
        <v>@chatpataka100</v>
      </c>
      <c r="C12783" s="8" t="s">
        <v>1917</v>
      </c>
      <c r="D12783" s="8">
        <v>795</v>
      </c>
      <c r="E12783" s="8">
        <v>0</v>
      </c>
      <c r="F12783" s="8">
        <v>6932</v>
      </c>
    </row>
    <row r="12784" spans="1:6" ht="12.75">
      <c r="A12784" s="8">
        <v>43899.029606481483</v>
      </c>
      <c r="B12784" s="8" t="str">
        <f>HYPERLINK("https://twitter.com/nirbanadian","@nirbanadian")</f>
        <v>@nirbanadian</v>
      </c>
      <c r="C12784" s="8" t="s">
        <v>3511</v>
      </c>
      <c r="D12784" s="8">
        <v>163</v>
      </c>
      <c r="E12784" s="8">
        <v>0</v>
      </c>
      <c r="F12784" s="8">
        <v>295</v>
      </c>
    </row>
    <row r="12785" spans="1:6" ht="12.75">
      <c r="A12785" s="8">
        <v>43899.029560185183</v>
      </c>
      <c r="B12785" s="8" t="str">
        <f>HYPERLINK("https://twitter.com/HeriCombo","@HeriCombo")</f>
        <v>@HeriCombo</v>
      </c>
      <c r="C12785" s="8" t="s">
        <v>5197</v>
      </c>
      <c r="D12785" s="8">
        <v>5</v>
      </c>
      <c r="E12785" s="8">
        <v>0</v>
      </c>
      <c r="F12785" s="8">
        <v>332</v>
      </c>
    </row>
    <row r="12786" spans="1:6" ht="12.75">
      <c r="A12786" s="8">
        <v>43899.028333333335</v>
      </c>
      <c r="B12786" s="8" t="str">
        <f>HYPERLINK("https://twitter.com/jayantsharmaa","@jayantsharmaa")</f>
        <v>@jayantsharmaa</v>
      </c>
      <c r="C12786" s="8" t="s">
        <v>1917</v>
      </c>
      <c r="D12786" s="8">
        <v>795</v>
      </c>
      <c r="E12786" s="8">
        <v>0</v>
      </c>
      <c r="F12786" s="8">
        <v>499</v>
      </c>
    </row>
    <row r="12787" spans="1:6" ht="12.75">
      <c r="A12787" s="8">
        <v>43899.027986111112</v>
      </c>
      <c r="B12787" s="8" t="str">
        <f>HYPERLINK("https://twitter.com/mukeshsahu1983","@mukeshsahu1983")</f>
        <v>@mukeshsahu1983</v>
      </c>
      <c r="C12787" s="8" t="s">
        <v>1917</v>
      </c>
      <c r="D12787" s="8">
        <v>795</v>
      </c>
      <c r="E12787" s="8">
        <v>0</v>
      </c>
      <c r="F12787" s="8">
        <v>102</v>
      </c>
    </row>
    <row r="12788" spans="1:6" ht="12.75">
      <c r="A12788" s="8">
        <v>43899.027858796297</v>
      </c>
      <c r="B12788" s="8" t="str">
        <f>HYPERLINK("https://twitter.com/fairaisy","@fairaisy")</f>
        <v>@fairaisy</v>
      </c>
      <c r="C12788" s="8" t="s">
        <v>4548</v>
      </c>
      <c r="D12788" s="8">
        <v>20</v>
      </c>
      <c r="E12788" s="8">
        <v>0</v>
      </c>
      <c r="F12788" s="8">
        <v>919</v>
      </c>
    </row>
    <row r="12789" spans="1:6" ht="12.75">
      <c r="A12789" s="8">
        <v>43899.026342592595</v>
      </c>
      <c r="B12789" s="8" t="str">
        <f>HYPERLINK("https://twitter.com/Rohitya36126249","@Rohitya36126249")</f>
        <v>@Rohitya36126249</v>
      </c>
      <c r="C12789" s="8" t="s">
        <v>1917</v>
      </c>
      <c r="D12789" s="8">
        <v>795</v>
      </c>
      <c r="E12789" s="8">
        <v>0</v>
      </c>
      <c r="F12789" s="8">
        <v>21</v>
      </c>
    </row>
    <row r="12790" spans="1:6" ht="12.75">
      <c r="A12790" s="8">
        <v>43899.025844907403</v>
      </c>
      <c r="B12790" s="8" t="str">
        <f>HYPERLINK("https://twitter.com/JohnZEddi1","@JohnZEddi1")</f>
        <v>@JohnZEddi1</v>
      </c>
      <c r="C12790" s="8" t="s">
        <v>5198</v>
      </c>
      <c r="D12790" s="8">
        <v>1</v>
      </c>
      <c r="E12790" s="8">
        <v>0</v>
      </c>
      <c r="F12790" s="8">
        <v>1468</v>
      </c>
    </row>
    <row r="12791" spans="1:6" ht="12.75">
      <c r="A12791" s="8">
        <v>43899.025821759264</v>
      </c>
      <c r="B12791" s="8" t="str">
        <f>HYPERLINK("https://twitter.com/Sharmaroyals","@Sharmaroyals")</f>
        <v>@Sharmaroyals</v>
      </c>
      <c r="C12791" s="8" t="s">
        <v>1917</v>
      </c>
      <c r="D12791" s="8">
        <v>795</v>
      </c>
      <c r="E12791" s="8">
        <v>0</v>
      </c>
      <c r="F12791" s="8">
        <v>567</v>
      </c>
    </row>
    <row r="12792" spans="1:6" ht="12.75">
      <c r="A12792" s="8">
        <v>43899.025624999995</v>
      </c>
      <c r="B12792" s="8" t="str">
        <f>HYPERLINK("https://twitter.com/tacittushar","@tacittushar")</f>
        <v>@tacittushar</v>
      </c>
      <c r="C12792" s="8" t="s">
        <v>1917</v>
      </c>
      <c r="D12792" s="8">
        <v>795</v>
      </c>
      <c r="E12792" s="8">
        <v>0</v>
      </c>
      <c r="F12792" s="8">
        <v>228</v>
      </c>
    </row>
    <row r="12793" spans="1:6" ht="12.75">
      <c r="A12793" s="8">
        <v>43899.025370370371</v>
      </c>
      <c r="B12793" s="8" t="str">
        <f>HYPERLINK("https://twitter.com/Ozie96036369","@Ozie96036369")</f>
        <v>@Ozie96036369</v>
      </c>
      <c r="C12793" s="8" t="s">
        <v>5199</v>
      </c>
      <c r="D12793" s="8">
        <v>1</v>
      </c>
      <c r="E12793" s="8">
        <v>0</v>
      </c>
      <c r="F12793" s="8">
        <v>99</v>
      </c>
    </row>
    <row r="12794" spans="1:6" ht="12.75">
      <c r="A12794" s="8">
        <v>43899.025034722217</v>
      </c>
      <c r="B12794" s="8" t="str">
        <f>HYPERLINK("https://twitter.com/absimor","@absimor")</f>
        <v>@absimor</v>
      </c>
      <c r="C12794" s="8" t="s">
        <v>5200</v>
      </c>
      <c r="D12794" s="8">
        <v>0</v>
      </c>
      <c r="E12794" s="8">
        <v>0</v>
      </c>
      <c r="F12794" s="8">
        <v>1</v>
      </c>
    </row>
    <row r="12795" spans="1:6" ht="12.75">
      <c r="A12795" s="8">
        <v>43899.024953703702</v>
      </c>
      <c r="B12795" s="8" t="str">
        <f>HYPERLINK("https://twitter.com/jjsengui","@jjsengui")</f>
        <v>@jjsengui</v>
      </c>
      <c r="C12795" s="8" t="s">
        <v>5201</v>
      </c>
      <c r="D12795" s="8">
        <v>5</v>
      </c>
      <c r="E12795" s="8">
        <v>0</v>
      </c>
      <c r="F12795" s="8">
        <v>911</v>
      </c>
    </row>
    <row r="12796" spans="1:6" ht="12.75">
      <c r="A12796" s="8">
        <v>43899.024722222224</v>
      </c>
      <c r="B12796" s="8" t="str">
        <f>HYPERLINK("https://twitter.com/anakbidadari","@anakbidadari")</f>
        <v>@anakbidadari</v>
      </c>
      <c r="C12796" s="8" t="s">
        <v>5202</v>
      </c>
      <c r="D12796" s="8">
        <v>1</v>
      </c>
      <c r="E12796" s="8">
        <v>0</v>
      </c>
      <c r="F12796" s="8">
        <v>254</v>
      </c>
    </row>
    <row r="12797" spans="1:6" ht="12.75">
      <c r="A12797" s="8">
        <v>43899.024525462963</v>
      </c>
      <c r="B12797" s="8" t="str">
        <f>HYPERLINK("https://twitter.com/DigantRai","@DigantRai")</f>
        <v>@DigantRai</v>
      </c>
      <c r="C12797" s="8" t="s">
        <v>1917</v>
      </c>
      <c r="D12797" s="8">
        <v>795</v>
      </c>
      <c r="E12797" s="8">
        <v>0</v>
      </c>
      <c r="F12797" s="8">
        <v>233</v>
      </c>
    </row>
    <row r="12798" spans="1:6" ht="12.75">
      <c r="A12798" s="8">
        <v>43899.024212962962</v>
      </c>
      <c r="B12798" s="8" t="str">
        <f>HYPERLINK("https://twitter.com/kindesire","@kindesire")</f>
        <v>@kindesire</v>
      </c>
      <c r="C12798" s="8" t="s">
        <v>3978</v>
      </c>
      <c r="D12798" s="8">
        <v>41</v>
      </c>
      <c r="E12798" s="8">
        <v>0</v>
      </c>
      <c r="F12798" s="8">
        <v>1038</v>
      </c>
    </row>
    <row r="12799" spans="1:6" ht="12.75">
      <c r="A12799" s="8">
        <v>43899.023356481484</v>
      </c>
      <c r="B12799" s="8" t="str">
        <f>HYPERLINK("https://twitter.com/dhruvalp3","@dhruvalp3")</f>
        <v>@dhruvalp3</v>
      </c>
      <c r="C12799" s="8" t="s">
        <v>1917</v>
      </c>
      <c r="D12799" s="8">
        <v>795</v>
      </c>
      <c r="E12799" s="8">
        <v>0</v>
      </c>
      <c r="F12799" s="8">
        <v>493</v>
      </c>
    </row>
    <row r="12800" spans="1:6" ht="12.75">
      <c r="A12800" s="8">
        <v>43899.023206018523</v>
      </c>
      <c r="B12800" s="8" t="str">
        <f>HYPERLINK("https://twitter.com/amansha58432073","@amansha58432073")</f>
        <v>@amansha58432073</v>
      </c>
      <c r="C12800" s="8" t="s">
        <v>1917</v>
      </c>
      <c r="D12800" s="8">
        <v>795</v>
      </c>
      <c r="E12800" s="8">
        <v>0</v>
      </c>
      <c r="F12800" s="8">
        <v>368</v>
      </c>
    </row>
    <row r="12801" spans="1:6" ht="12.75">
      <c r="A12801" s="8">
        <v>43899.022418981476</v>
      </c>
      <c r="B12801" s="8" t="str">
        <f>HYPERLINK("https://twitter.com/moki_dhiraj","@moki_dhiraj")</f>
        <v>@moki_dhiraj</v>
      </c>
      <c r="C12801" s="8" t="s">
        <v>1917</v>
      </c>
      <c r="D12801" s="8">
        <v>795</v>
      </c>
      <c r="E12801" s="8">
        <v>0</v>
      </c>
      <c r="F12801" s="8">
        <v>70</v>
      </c>
    </row>
    <row r="12802" spans="1:6" ht="12.75">
      <c r="A12802" s="8">
        <v>43899.022233796291</v>
      </c>
      <c r="B12802" s="8" t="str">
        <f>HYPERLINK("https://twitter.com/Vote_4_Sickular","@Vote_4_Sickular")</f>
        <v>@Vote_4_Sickular</v>
      </c>
      <c r="C12802" s="8" t="s">
        <v>1917</v>
      </c>
      <c r="D12802" s="8">
        <v>795</v>
      </c>
      <c r="E12802" s="8">
        <v>0</v>
      </c>
      <c r="F12802" s="8">
        <v>451</v>
      </c>
    </row>
    <row r="12803" spans="1:6" ht="12.75">
      <c r="A12803" s="8">
        <v>43899.021782407406</v>
      </c>
      <c r="B12803" s="8" t="str">
        <f>HYPERLINK("https://twitter.com/Imsagar30","@Imsagar30")</f>
        <v>@Imsagar30</v>
      </c>
      <c r="C12803" s="8" t="s">
        <v>1917</v>
      </c>
      <c r="D12803" s="8">
        <v>795</v>
      </c>
      <c r="E12803" s="8">
        <v>0</v>
      </c>
      <c r="F12803" s="8">
        <v>24</v>
      </c>
    </row>
    <row r="12804" spans="1:6" ht="12.75">
      <c r="A12804" s="8">
        <v>43899.021041666667</v>
      </c>
      <c r="B12804" s="8" t="str">
        <f>HYPERLINK("https://twitter.com/Pakdedy2","@Pakdedy2")</f>
        <v>@Pakdedy2</v>
      </c>
      <c r="C12804" s="8" t="s">
        <v>5178</v>
      </c>
      <c r="D12804" s="8">
        <v>7</v>
      </c>
      <c r="E12804" s="8">
        <v>0</v>
      </c>
      <c r="F12804" s="8">
        <v>274</v>
      </c>
    </row>
    <row r="12805" spans="1:6" ht="12.75">
      <c r="A12805" s="8">
        <v>43899.021018518513</v>
      </c>
      <c r="B12805" s="8" t="str">
        <f>HYPERLINK("https://twitter.com/petrelalminanga","@petrelalminanga")</f>
        <v>@petrelalminanga</v>
      </c>
      <c r="C12805" s="8" t="s">
        <v>4927</v>
      </c>
      <c r="D12805" s="8">
        <v>40</v>
      </c>
      <c r="E12805" s="8">
        <v>0</v>
      </c>
      <c r="F12805" s="8">
        <v>326</v>
      </c>
    </row>
    <row r="12806" spans="1:6" ht="12.75">
      <c r="A12806" s="8">
        <v>43899.02071759259</v>
      </c>
      <c r="B12806" s="8" t="str">
        <f>HYPERLINK("https://twitter.com/Abhishek_Anjani","@Abhishek_Anjani")</f>
        <v>@Abhishek_Anjani</v>
      </c>
      <c r="C12806" s="8" t="s">
        <v>1917</v>
      </c>
      <c r="D12806" s="8">
        <v>795</v>
      </c>
      <c r="E12806" s="8">
        <v>0</v>
      </c>
      <c r="F12806" s="8">
        <v>310</v>
      </c>
    </row>
    <row r="12807" spans="1:6" ht="12.75">
      <c r="A12807" s="8">
        <v>43899.020543981482</v>
      </c>
      <c r="B12807" s="8" t="str">
        <f>HYPERLINK("https://twitter.com/konstantine_07","@konstantine_07")</f>
        <v>@konstantine_07</v>
      </c>
      <c r="C12807" s="8" t="s">
        <v>1917</v>
      </c>
      <c r="D12807" s="8">
        <v>795</v>
      </c>
      <c r="E12807" s="8">
        <v>0</v>
      </c>
      <c r="F12807" s="8">
        <v>546</v>
      </c>
    </row>
    <row r="12808" spans="1:6" ht="12.75">
      <c r="A12808" s="8">
        <v>43899.020428240736</v>
      </c>
      <c r="B12808" s="8" t="str">
        <f>HYPERLINK("https://twitter.com/sagarvm040","@sagarvm040")</f>
        <v>@sagarvm040</v>
      </c>
      <c r="C12808" s="8" t="s">
        <v>1917</v>
      </c>
      <c r="D12808" s="8">
        <v>795</v>
      </c>
      <c r="E12808" s="8">
        <v>0</v>
      </c>
      <c r="F12808" s="8">
        <v>81</v>
      </c>
    </row>
    <row r="12809" spans="1:6" ht="12.75">
      <c r="A12809" s="8">
        <v>43899.02034722222</v>
      </c>
      <c r="B12809" s="8" t="str">
        <f>HYPERLINK("https://twitter.com/isis_meurer","@isis_meurer")</f>
        <v>@isis_meurer</v>
      </c>
      <c r="C12809" s="8" t="s">
        <v>5203</v>
      </c>
      <c r="D12809" s="8">
        <v>0</v>
      </c>
      <c r="E12809" s="8">
        <v>0</v>
      </c>
      <c r="F12809" s="8">
        <v>710</v>
      </c>
    </row>
    <row r="12810" spans="1:6" ht="12.75">
      <c r="A12810" s="8">
        <v>43899.020335648151</v>
      </c>
      <c r="B12810" s="8" t="str">
        <f>HYPERLINK("https://twitter.com/riiissszzz","@riiissszzz")</f>
        <v>@riiissszzz</v>
      </c>
      <c r="C12810" s="8" t="s">
        <v>4801</v>
      </c>
      <c r="D12810" s="8">
        <v>116</v>
      </c>
      <c r="E12810" s="8">
        <v>0</v>
      </c>
      <c r="F12810" s="8">
        <v>858</v>
      </c>
    </row>
    <row r="12811" spans="1:6" ht="12.75">
      <c r="A12811" s="8">
        <v>43899.020289351851</v>
      </c>
      <c r="B12811" s="8" t="str">
        <f>HYPERLINK("https://twitter.com/Pretdinan","@Pretdinan")</f>
        <v>@Pretdinan</v>
      </c>
      <c r="C12811" s="8" t="s">
        <v>4927</v>
      </c>
      <c r="D12811" s="8">
        <v>40</v>
      </c>
      <c r="E12811" s="8">
        <v>0</v>
      </c>
      <c r="F12811" s="8">
        <v>473</v>
      </c>
    </row>
    <row r="12812" spans="1:6" ht="12.75">
      <c r="A12812" s="8">
        <v>43899.020277777774</v>
      </c>
      <c r="B12812" s="8" t="str">
        <f>HYPERLINK("https://twitter.com/dibyafoo","@dibyafoo")</f>
        <v>@dibyafoo</v>
      </c>
      <c r="C12812" s="8" t="s">
        <v>1917</v>
      </c>
      <c r="D12812" s="8">
        <v>795</v>
      </c>
      <c r="E12812" s="8">
        <v>0</v>
      </c>
      <c r="F12812" s="8">
        <v>146</v>
      </c>
    </row>
    <row r="12813" spans="1:6" ht="12.75">
      <c r="A12813" s="8">
        <v>43899.020243055551</v>
      </c>
      <c r="B12813" s="8" t="str">
        <f>HYPERLINK("https://twitter.com/ihindubhakt","@ihindubhakt")</f>
        <v>@ihindubhakt</v>
      </c>
      <c r="C12813" s="8" t="s">
        <v>1917</v>
      </c>
      <c r="D12813" s="8">
        <v>795</v>
      </c>
      <c r="E12813" s="8">
        <v>0</v>
      </c>
      <c r="F12813" s="8">
        <v>202</v>
      </c>
    </row>
    <row r="12814" spans="1:6" ht="12.75">
      <c r="A12814" s="8">
        <v>43899.020057870366</v>
      </c>
      <c r="B12814" s="8" t="str">
        <f>HYPERLINK("https://twitter.com/Realitarakyat01","@Realitarakyat01")</f>
        <v>@Realitarakyat01</v>
      </c>
      <c r="C12814" s="8" t="s">
        <v>5204</v>
      </c>
      <c r="D12814" s="8">
        <v>0</v>
      </c>
      <c r="E12814" s="8">
        <v>0</v>
      </c>
      <c r="F12814" s="8">
        <v>128</v>
      </c>
    </row>
    <row r="12815" spans="1:6" ht="12.75">
      <c r="A12815" s="8">
        <v>43899.019895833335</v>
      </c>
      <c r="B12815" s="8" t="str">
        <f>HYPERLINK("https://twitter.com/paduaras","@paduaras")</f>
        <v>@paduaras</v>
      </c>
      <c r="C12815" s="8" t="s">
        <v>4801</v>
      </c>
      <c r="D12815" s="8">
        <v>116</v>
      </c>
      <c r="E12815" s="8">
        <v>0</v>
      </c>
      <c r="F12815" s="8">
        <v>857</v>
      </c>
    </row>
    <row r="12816" spans="1:6" ht="12.75">
      <c r="A12816" s="8">
        <v>43899.01961805555</v>
      </c>
      <c r="B12816" s="8" t="str">
        <f>HYPERLINK("https://twitter.com/Ozie96036369","@Ozie96036369")</f>
        <v>@Ozie96036369</v>
      </c>
      <c r="C12816" s="8" t="s">
        <v>5205</v>
      </c>
      <c r="D12816" s="8">
        <v>1</v>
      </c>
      <c r="E12816" s="8">
        <v>0</v>
      </c>
      <c r="F12816" s="8">
        <v>99</v>
      </c>
    </row>
    <row r="12817" spans="1:6" ht="12.75">
      <c r="A12817" s="8">
        <v>43899.019571759258</v>
      </c>
      <c r="B12817" s="8" t="str">
        <f>HYPERLINK("https://twitter.com/someone_kashi","@someone_kashi")</f>
        <v>@someone_kashi</v>
      </c>
      <c r="C12817" s="8" t="s">
        <v>1917</v>
      </c>
      <c r="D12817" s="8">
        <v>795</v>
      </c>
      <c r="E12817" s="8">
        <v>0</v>
      </c>
      <c r="F12817" s="8">
        <v>75</v>
      </c>
    </row>
    <row r="12818" spans="1:6" ht="12.75">
      <c r="A12818" s="8">
        <v>43899.019467592589</v>
      </c>
      <c r="B12818" s="8" t="str">
        <f>HYPERLINK("https://twitter.com/idithea","@idithea")</f>
        <v>@idithea</v>
      </c>
      <c r="C12818" s="8" t="s">
        <v>5206</v>
      </c>
      <c r="D12818" s="8">
        <v>0</v>
      </c>
      <c r="E12818" s="8">
        <v>0</v>
      </c>
      <c r="F12818" s="8">
        <v>67</v>
      </c>
    </row>
    <row r="12819" spans="1:6" ht="12.75">
      <c r="A12819" s="8">
        <v>43899.01898148148</v>
      </c>
      <c r="B12819" s="8" t="str">
        <f>HYPERLINK("https://twitter.com/ahjuicy7868","@ahjuicy7868")</f>
        <v>@ahjuicy7868</v>
      </c>
      <c r="C12819" s="8" t="s">
        <v>4801</v>
      </c>
      <c r="D12819" s="8">
        <v>116</v>
      </c>
      <c r="E12819" s="8">
        <v>0</v>
      </c>
      <c r="F12819" s="8">
        <v>199</v>
      </c>
    </row>
    <row r="12820" spans="1:6" ht="12.75">
      <c r="A12820" s="8">
        <v>43899.018900462965</v>
      </c>
      <c r="B12820" s="8" t="str">
        <f>HYPERLINK("https://twitter.com/AsabriGate","@AsabriGate")</f>
        <v>@AsabriGate</v>
      </c>
      <c r="C12820" s="8" t="s">
        <v>5123</v>
      </c>
      <c r="D12820" s="8">
        <v>1</v>
      </c>
      <c r="E12820" s="8">
        <v>1</v>
      </c>
      <c r="F12820" s="8">
        <v>4103</v>
      </c>
    </row>
    <row r="12821" spans="1:6" ht="12.75">
      <c r="A12821" s="8">
        <v>43899.018645833334</v>
      </c>
      <c r="B12821" s="8" t="str">
        <f>HYPERLINK("https://twitter.com/madhvithakurr","@madhvithakurr")</f>
        <v>@madhvithakurr</v>
      </c>
      <c r="C12821" s="8" t="s">
        <v>1917</v>
      </c>
      <c r="D12821" s="8">
        <v>795</v>
      </c>
      <c r="E12821" s="8">
        <v>0</v>
      </c>
      <c r="F12821" s="8">
        <v>1714</v>
      </c>
    </row>
    <row r="12822" spans="1:6" ht="12.75">
      <c r="A12822" s="8">
        <v>43899.018634259264</v>
      </c>
      <c r="B12822" s="8" t="str">
        <f>HYPERLINK("https://twitter.com/kumarbambam","@kumarbambam")</f>
        <v>@kumarbambam</v>
      </c>
      <c r="C12822" s="8" t="s">
        <v>1917</v>
      </c>
      <c r="D12822" s="8">
        <v>795</v>
      </c>
      <c r="E12822" s="8">
        <v>0</v>
      </c>
      <c r="F12822" s="8">
        <v>1464</v>
      </c>
    </row>
    <row r="12823" spans="1:6" ht="12.75">
      <c r="A12823" s="8">
        <v>43899.018599537041</v>
      </c>
      <c r="B12823" s="8" t="str">
        <f>HYPERLINK("https://twitter.com/Reiza_Patters","@Reiza_Patters")</f>
        <v>@Reiza_Patters</v>
      </c>
      <c r="C12823" s="8" t="s">
        <v>4927</v>
      </c>
      <c r="D12823" s="8">
        <v>40</v>
      </c>
      <c r="E12823" s="8">
        <v>0</v>
      </c>
      <c r="F12823" s="8">
        <v>29967</v>
      </c>
    </row>
    <row r="12824" spans="1:6" ht="12.75">
      <c r="A12824" s="8">
        <v>43899.018414351856</v>
      </c>
      <c r="B12824" s="8" t="str">
        <f>HYPERLINK("https://twitter.com/MadhoGupta","@MadhoGupta")</f>
        <v>@MadhoGupta</v>
      </c>
      <c r="C12824" s="8" t="s">
        <v>1917</v>
      </c>
      <c r="D12824" s="8">
        <v>795</v>
      </c>
      <c r="E12824" s="8">
        <v>0</v>
      </c>
      <c r="F12824" s="8">
        <v>55</v>
      </c>
    </row>
    <row r="12825" spans="1:6" ht="12.75">
      <c r="A12825" s="8">
        <v>43899.018229166672</v>
      </c>
      <c r="B12825" s="8" t="str">
        <f t="shared" ref="B12825:B12826" si="199">HYPERLINK("https://twitter.com/naadoorie","@naadoorie")</f>
        <v>@naadoorie</v>
      </c>
      <c r="C12825" s="8" t="s">
        <v>5207</v>
      </c>
      <c r="D12825" s="8">
        <v>1</v>
      </c>
      <c r="E12825" s="8">
        <v>0</v>
      </c>
      <c r="F12825" s="8">
        <v>23</v>
      </c>
    </row>
    <row r="12826" spans="1:6" ht="12.75">
      <c r="A12826" s="8">
        <v>43899.018148148149</v>
      </c>
      <c r="B12826" s="8" t="str">
        <f t="shared" si="199"/>
        <v>@naadoorie</v>
      </c>
      <c r="C12826" s="8" t="s">
        <v>5208</v>
      </c>
      <c r="D12826" s="8">
        <v>1</v>
      </c>
      <c r="E12826" s="8">
        <v>1</v>
      </c>
      <c r="F12826" s="8">
        <v>23</v>
      </c>
    </row>
    <row r="12827" spans="1:6" ht="12.75">
      <c r="A12827" s="8">
        <v>43899.018136574072</v>
      </c>
      <c r="B12827" s="8" t="str">
        <f>HYPERLINK("https://twitter.com/Unicorn8881","@Unicorn8881")</f>
        <v>@Unicorn8881</v>
      </c>
      <c r="C12827" s="8" t="s">
        <v>1917</v>
      </c>
      <c r="D12827" s="8">
        <v>795</v>
      </c>
      <c r="E12827" s="8">
        <v>0</v>
      </c>
      <c r="F12827" s="8">
        <v>314</v>
      </c>
    </row>
    <row r="12828" spans="1:6" ht="12.75">
      <c r="A12828" s="8">
        <v>43899.017951388887</v>
      </c>
      <c r="B12828" s="8" t="str">
        <f>HYPERLINK("https://twitter.com/paldeshpal","@paldeshpal")</f>
        <v>@paldeshpal</v>
      </c>
      <c r="C12828" s="8" t="s">
        <v>1917</v>
      </c>
      <c r="D12828" s="8">
        <v>795</v>
      </c>
      <c r="E12828" s="8">
        <v>0</v>
      </c>
      <c r="F12828" s="8">
        <v>90</v>
      </c>
    </row>
    <row r="12829" spans="1:6" ht="12.75">
      <c r="A12829" s="8">
        <v>43899.017812499995</v>
      </c>
      <c r="B12829" s="8" t="str">
        <f>HYPERLINK("https://twitter.com/RVgupta_11","@RVgupta_11")</f>
        <v>@RVgupta_11</v>
      </c>
      <c r="C12829" s="8" t="s">
        <v>1917</v>
      </c>
      <c r="D12829" s="8">
        <v>795</v>
      </c>
      <c r="E12829" s="8">
        <v>0</v>
      </c>
      <c r="F12829" s="8">
        <v>592</v>
      </c>
    </row>
    <row r="12830" spans="1:6" ht="12.75">
      <c r="A12830" s="8">
        <v>43899.01767361111</v>
      </c>
      <c r="B12830" s="8" t="str">
        <f>HYPERLINK("https://twitter.com/mikichill","@mikichill")</f>
        <v>@mikichill</v>
      </c>
      <c r="C12830" s="8" t="s">
        <v>1917</v>
      </c>
      <c r="D12830" s="8">
        <v>795</v>
      </c>
      <c r="E12830" s="8">
        <v>0</v>
      </c>
      <c r="F12830" s="8">
        <v>523</v>
      </c>
    </row>
    <row r="12831" spans="1:6" ht="12.75">
      <c r="A12831" s="8">
        <v>43899.017430555556</v>
      </c>
      <c r="B12831" s="8" t="str">
        <f>HYPERLINK("https://twitter.com/sgayya","@sgayya")</f>
        <v>@sgayya</v>
      </c>
      <c r="C12831" s="8" t="s">
        <v>1917</v>
      </c>
      <c r="D12831" s="8">
        <v>795</v>
      </c>
      <c r="E12831" s="8">
        <v>0</v>
      </c>
      <c r="F12831" s="8">
        <v>689</v>
      </c>
    </row>
    <row r="12832" spans="1:6" ht="12.75">
      <c r="A12832" s="8">
        <v>43899.017233796301</v>
      </c>
      <c r="B12832" s="8" t="str">
        <f>HYPERLINK("https://twitter.com/veraagustian_","@veraagustian_")</f>
        <v>@veraagustian_</v>
      </c>
      <c r="C12832" s="8" t="s">
        <v>5178</v>
      </c>
      <c r="D12832" s="8">
        <v>7</v>
      </c>
      <c r="E12832" s="8">
        <v>0</v>
      </c>
      <c r="F12832" s="8">
        <v>3350</v>
      </c>
    </row>
    <row r="12833" spans="1:6" ht="12.75">
      <c r="A12833" s="8">
        <v>43899.00644675926</v>
      </c>
      <c r="B12833" s="8" t="str">
        <f>HYPERLINK("https://twitter.com/JohnZEddi1","@JohnZEddi1")</f>
        <v>@JohnZEddi1</v>
      </c>
      <c r="C12833" s="8" t="s">
        <v>3821</v>
      </c>
      <c r="D12833" s="8">
        <v>8</v>
      </c>
      <c r="E12833" s="8">
        <v>0</v>
      </c>
      <c r="F12833" s="8">
        <v>1467</v>
      </c>
    </row>
    <row r="12834" spans="1:6" ht="12.75">
      <c r="A12834" s="8">
        <v>43899.006423611107</v>
      </c>
      <c r="B12834" s="8" t="str">
        <f>HYPERLINK("https://twitter.com/agama_nusantara","@agama_nusantara")</f>
        <v>@agama_nusantara</v>
      </c>
      <c r="C12834" s="8" t="s">
        <v>5209</v>
      </c>
      <c r="D12834" s="8">
        <v>0</v>
      </c>
      <c r="E12834" s="8">
        <v>0</v>
      </c>
      <c r="F12834" s="8">
        <v>7455</v>
      </c>
    </row>
    <row r="12835" spans="1:6" ht="12.75">
      <c r="A12835" s="8">
        <v>43899.006157407406</v>
      </c>
      <c r="B12835" s="8" t="str">
        <f>HYPERLINK("https://twitter.com/sekaradm","@sekaradm")</f>
        <v>@sekaradm</v>
      </c>
      <c r="C12835" s="8" t="s">
        <v>5210</v>
      </c>
      <c r="D12835" s="8">
        <v>0</v>
      </c>
      <c r="E12835" s="8">
        <v>0</v>
      </c>
      <c r="F12835" s="8">
        <v>259</v>
      </c>
    </row>
    <row r="12836" spans="1:6" ht="12.75">
      <c r="A12836" s="8">
        <v>43899.005983796298</v>
      </c>
      <c r="B12836" s="8" t="str">
        <f>HYPERLINK("https://twitter.com/ardnsndo_","@ardnsndo_")</f>
        <v>@ardnsndo_</v>
      </c>
      <c r="C12836" s="8" t="s">
        <v>5211</v>
      </c>
      <c r="D12836" s="8">
        <v>0</v>
      </c>
      <c r="E12836" s="8">
        <v>0</v>
      </c>
      <c r="F12836" s="8">
        <v>81</v>
      </c>
    </row>
    <row r="12837" spans="1:6" ht="12.75">
      <c r="A12837" s="8">
        <v>43899.005682870367</v>
      </c>
      <c r="B12837" s="8" t="str">
        <f>HYPERLINK("https://twitter.com/DevRD","@DevRD")</f>
        <v>@DevRD</v>
      </c>
      <c r="C12837" s="8" t="s">
        <v>3405</v>
      </c>
      <c r="D12837" s="8">
        <v>82</v>
      </c>
      <c r="E12837" s="8">
        <v>0</v>
      </c>
      <c r="F12837" s="8">
        <v>135</v>
      </c>
    </row>
    <row r="12838" spans="1:6" ht="12.75">
      <c r="A12838" s="8">
        <v>43899.005659722221</v>
      </c>
      <c r="B12838" s="8" t="str">
        <f>HYPERLINK("https://twitter.com/Vie9942","@Vie9942")</f>
        <v>@Vie9942</v>
      </c>
      <c r="C12838" s="8" t="s">
        <v>4778</v>
      </c>
      <c r="D12838" s="8">
        <v>2</v>
      </c>
      <c r="E12838" s="8">
        <v>0</v>
      </c>
      <c r="F12838" s="8">
        <v>314</v>
      </c>
    </row>
    <row r="12839" spans="1:6" ht="12.75">
      <c r="A12839" s="8">
        <v>43899.005636574075</v>
      </c>
      <c r="B12839" s="8" t="str">
        <f>HYPERLINK("https://twitter.com/topinfo_id","@topinfo_id")</f>
        <v>@topinfo_id</v>
      </c>
      <c r="C12839" s="8" t="s">
        <v>5179</v>
      </c>
      <c r="D12839" s="8">
        <v>0</v>
      </c>
      <c r="E12839" s="8">
        <v>0</v>
      </c>
      <c r="F12839" s="8">
        <v>64</v>
      </c>
    </row>
    <row r="12840" spans="1:6" ht="12.75">
      <c r="A12840" s="8">
        <v>43899.005277777775</v>
      </c>
      <c r="B12840" s="8" t="str">
        <f>HYPERLINK("https://twitter.com/KPUGate","@KPUGate")</f>
        <v>@KPUGate</v>
      </c>
      <c r="C12840" s="8" t="s">
        <v>5123</v>
      </c>
      <c r="D12840" s="8">
        <v>0</v>
      </c>
      <c r="E12840" s="8">
        <v>2</v>
      </c>
      <c r="F12840" s="8">
        <v>5061</v>
      </c>
    </row>
    <row r="12841" spans="1:6" ht="12.75">
      <c r="A12841" s="8">
        <v>43899.00508101852</v>
      </c>
      <c r="B12841" s="8" t="str">
        <f>HYPERLINK("https://twitter.com/gyanguru1008","@gyanguru1008")</f>
        <v>@gyanguru1008</v>
      </c>
      <c r="C12841" s="8" t="s">
        <v>1917</v>
      </c>
      <c r="D12841" s="8">
        <v>712</v>
      </c>
      <c r="E12841" s="8">
        <v>0</v>
      </c>
      <c r="F12841" s="8">
        <v>195</v>
      </c>
    </row>
    <row r="12842" spans="1:6" ht="12.75">
      <c r="A12842" s="8">
        <v>43899.005046296297</v>
      </c>
      <c r="B12842" s="8" t="str">
        <f>HYPERLINK("https://twitter.com/shaashtanga","@shaashtanga")</f>
        <v>@shaashtanga</v>
      </c>
      <c r="C12842" s="8" t="s">
        <v>1917</v>
      </c>
      <c r="D12842" s="8">
        <v>712</v>
      </c>
      <c r="E12842" s="8">
        <v>0</v>
      </c>
      <c r="F12842" s="8">
        <v>683</v>
      </c>
    </row>
    <row r="12843" spans="1:6" ht="12.75">
      <c r="A12843" s="8">
        <v>43899.004363425927</v>
      </c>
      <c r="B12843" s="8" t="str">
        <f>HYPERLINK("https://twitter.com/Tommy11Dima","@Tommy11Dima")</f>
        <v>@Tommy11Dima</v>
      </c>
      <c r="C12843" s="8" t="s">
        <v>3405</v>
      </c>
      <c r="D12843" s="8">
        <v>82</v>
      </c>
      <c r="E12843" s="8">
        <v>0</v>
      </c>
      <c r="F12843" s="8">
        <v>192</v>
      </c>
    </row>
    <row r="12844" spans="1:6" ht="12.75">
      <c r="A12844" s="8">
        <v>43899.003969907411</v>
      </c>
      <c r="B12844" s="8" t="str">
        <f>HYPERLINK("https://twitter.com/BackInRealLyf","@BackInRealLyf")</f>
        <v>@BackInRealLyf</v>
      </c>
      <c r="C12844" s="8" t="s">
        <v>1917</v>
      </c>
      <c r="D12844" s="8">
        <v>712</v>
      </c>
      <c r="E12844" s="8">
        <v>0</v>
      </c>
      <c r="F12844" s="8">
        <v>402</v>
      </c>
    </row>
    <row r="12845" spans="1:6" ht="12.75">
      <c r="A12845" s="8">
        <v>43899.003935185188</v>
      </c>
      <c r="B12845" s="8" t="str">
        <f>HYPERLINK("https://twitter.com/SultanGeni","@SultanGeni")</f>
        <v>@SultanGeni</v>
      </c>
      <c r="C12845" s="8" t="s">
        <v>3265</v>
      </c>
      <c r="D12845" s="8">
        <v>473</v>
      </c>
      <c r="E12845" s="8">
        <v>0</v>
      </c>
      <c r="F12845" s="8">
        <v>10</v>
      </c>
    </row>
    <row r="12846" spans="1:6" ht="12.75">
      <c r="A12846" s="8">
        <v>43899.00209490741</v>
      </c>
      <c r="B12846" s="8" t="str">
        <f>HYPERLINK("https://twitter.com/MutekM","@MutekM")</f>
        <v>@MutekM</v>
      </c>
      <c r="C12846" s="8" t="s">
        <v>5212</v>
      </c>
      <c r="D12846" s="8">
        <v>0</v>
      </c>
      <c r="E12846" s="8">
        <v>0</v>
      </c>
      <c r="F12846" s="8">
        <v>47</v>
      </c>
    </row>
    <row r="12847" spans="1:6" ht="12.75">
      <c r="A12847" s="8">
        <v>43899.000972222224</v>
      </c>
      <c r="B12847" s="8" t="str">
        <f>HYPERLINK("https://twitter.com/ayuariesta","@ayuariesta")</f>
        <v>@ayuariesta</v>
      </c>
      <c r="C12847" s="8" t="s">
        <v>3511</v>
      </c>
      <c r="D12847" s="8">
        <v>162</v>
      </c>
      <c r="E12847" s="8">
        <v>0</v>
      </c>
      <c r="F12847" s="8">
        <v>464</v>
      </c>
    </row>
    <row r="12848" spans="1:6" ht="12.75">
      <c r="A12848" s="8">
        <v>43899.000509259262</v>
      </c>
      <c r="B12848" s="8" t="str">
        <f>HYPERLINK("https://twitter.com/ishrikantpatil","@ishrikantpatil")</f>
        <v>@ishrikantpatil</v>
      </c>
      <c r="C12848" s="8" t="s">
        <v>1917</v>
      </c>
      <c r="D12848" s="8">
        <v>712</v>
      </c>
      <c r="E12848" s="8">
        <v>0</v>
      </c>
      <c r="F12848" s="8">
        <v>352</v>
      </c>
    </row>
    <row r="12849" spans="1:6" ht="12.75">
      <c r="A12849" s="8">
        <v>43899.00037037037</v>
      </c>
      <c r="B12849" s="8" t="str">
        <f>HYPERLINK("https://twitter.com/nanuths","@nanuths")</f>
        <v>@nanuths</v>
      </c>
      <c r="C12849" s="8" t="s">
        <v>5197</v>
      </c>
      <c r="D12849" s="8">
        <v>3</v>
      </c>
      <c r="E12849" s="8">
        <v>0</v>
      </c>
      <c r="F12849" s="8">
        <v>652</v>
      </c>
    </row>
    <row r="12850" spans="1:6" ht="12.75">
      <c r="A12850" s="8">
        <v>43899.000069444446</v>
      </c>
      <c r="B12850" s="8" t="str">
        <f>HYPERLINK("https://twitter.com/chatur59","@chatur59")</f>
        <v>@chatur59</v>
      </c>
      <c r="C12850" s="8" t="s">
        <v>1917</v>
      </c>
      <c r="D12850" s="8">
        <v>712</v>
      </c>
      <c r="E12850" s="8">
        <v>0</v>
      </c>
      <c r="F12850" s="8">
        <v>269</v>
      </c>
    </row>
    <row r="12851" spans="1:6" ht="12.75">
      <c r="A12851" s="8">
        <v>43898.999201388884</v>
      </c>
      <c r="B12851" s="8" t="str">
        <f>HYPERLINK("https://twitter.com/SemboyanR","@SemboyanR")</f>
        <v>@SemboyanR</v>
      </c>
      <c r="C12851" s="8" t="s">
        <v>4927</v>
      </c>
      <c r="D12851" s="8">
        <v>35</v>
      </c>
      <c r="E12851" s="8">
        <v>0</v>
      </c>
      <c r="F12851" s="8">
        <v>1306</v>
      </c>
    </row>
    <row r="12852" spans="1:6" ht="12.75">
      <c r="A12852" s="8">
        <v>43898.999155092592</v>
      </c>
      <c r="B12852" s="8" t="str">
        <f>HYPERLINK("https://twitter.com/YaTaqwa83","@YaTaqwa83")</f>
        <v>@YaTaqwa83</v>
      </c>
      <c r="C12852" s="8" t="s">
        <v>3265</v>
      </c>
      <c r="D12852" s="8">
        <v>473</v>
      </c>
      <c r="E12852" s="8">
        <v>0</v>
      </c>
      <c r="F12852" s="8">
        <v>722</v>
      </c>
    </row>
    <row r="12853" spans="1:6" ht="12.75">
      <c r="A12853" s="8">
        <v>43898.999074074076</v>
      </c>
      <c r="B12853" s="8" t="str">
        <f>HYPERLINK("https://twitter.com/DimasAHongBulat","@DimasAHongBulat")</f>
        <v>@DimasAHongBulat</v>
      </c>
      <c r="C12853" s="8" t="s">
        <v>3265</v>
      </c>
      <c r="D12853" s="8">
        <v>473</v>
      </c>
      <c r="E12853" s="8">
        <v>0</v>
      </c>
      <c r="F12853" s="8">
        <v>119</v>
      </c>
    </row>
    <row r="12854" spans="1:6" ht="12.75">
      <c r="A12854" s="8">
        <v>43898.998958333337</v>
      </c>
      <c r="B12854" s="8" t="str">
        <f>HYPERLINK("https://twitter.com/Kuncoro40505613","@Kuncoro40505613")</f>
        <v>@Kuncoro40505613</v>
      </c>
      <c r="C12854" s="8" t="s">
        <v>5213</v>
      </c>
      <c r="D12854" s="8">
        <v>2</v>
      </c>
      <c r="E12854" s="8">
        <v>0</v>
      </c>
      <c r="F12854" s="8">
        <v>1565</v>
      </c>
    </row>
    <row r="12855" spans="1:6" ht="12.75">
      <c r="A12855" s="8">
        <v>43898.998935185184</v>
      </c>
      <c r="B12855" s="8" t="str">
        <f>HYPERLINK("https://twitter.com/Lucifer64548328","@Lucifer64548328")</f>
        <v>@Lucifer64548328</v>
      </c>
      <c r="C12855" s="8" t="s">
        <v>3265</v>
      </c>
      <c r="D12855" s="8">
        <v>473</v>
      </c>
      <c r="E12855" s="8">
        <v>0</v>
      </c>
      <c r="F12855" s="8">
        <v>124</v>
      </c>
    </row>
    <row r="12856" spans="1:6" ht="12.75">
      <c r="A12856" s="8">
        <v>43898.998761574076</v>
      </c>
      <c r="B12856" s="8" t="str">
        <f>HYPERLINK("https://twitter.com/_arco_isis","@_arco_isis")</f>
        <v>@_arco_isis</v>
      </c>
      <c r="C12856" s="8" t="s">
        <v>5214</v>
      </c>
      <c r="D12856" s="8">
        <v>0</v>
      </c>
      <c r="E12856" s="8">
        <v>1</v>
      </c>
      <c r="F12856" s="8">
        <v>48</v>
      </c>
    </row>
    <row r="12857" spans="1:6" ht="12.75">
      <c r="A12857" s="8">
        <v>43898.998738425929</v>
      </c>
      <c r="B12857" s="8" t="str">
        <f>HYPERLINK("https://twitter.com/MbbsDoctor","@MbbsDoctor")</f>
        <v>@MbbsDoctor</v>
      </c>
      <c r="C12857" s="8" t="s">
        <v>1917</v>
      </c>
      <c r="D12857" s="8">
        <v>712</v>
      </c>
      <c r="E12857" s="8">
        <v>0</v>
      </c>
      <c r="F12857" s="8">
        <v>103</v>
      </c>
    </row>
    <row r="12858" spans="1:6" ht="12.75">
      <c r="A12858" s="8">
        <v>43898.998101851852</v>
      </c>
      <c r="B12858" s="8" t="str">
        <f>HYPERLINK("https://twitter.com/snouflakeu","@snouflakeu")</f>
        <v>@snouflakeu</v>
      </c>
      <c r="C12858" s="8" t="s">
        <v>3511</v>
      </c>
      <c r="D12858" s="8">
        <v>162</v>
      </c>
      <c r="E12858" s="8">
        <v>0</v>
      </c>
      <c r="F12858" s="8">
        <v>183</v>
      </c>
    </row>
    <row r="12859" spans="1:6" ht="12.75">
      <c r="A12859" s="8">
        <v>43898.99800925926</v>
      </c>
      <c r="B12859" s="8" t="str">
        <f>HYPERLINK("https://twitter.com/devyadav02","@devyadav02")</f>
        <v>@devyadav02</v>
      </c>
      <c r="C12859" s="8" t="s">
        <v>1917</v>
      </c>
      <c r="D12859" s="8">
        <v>712</v>
      </c>
      <c r="E12859" s="8">
        <v>0</v>
      </c>
      <c r="F12859" s="8">
        <v>78</v>
      </c>
    </row>
    <row r="12860" spans="1:6" ht="12.75">
      <c r="A12860" s="8">
        <v>43898.997800925921</v>
      </c>
      <c r="B12860" s="8" t="str">
        <f>HYPERLINK("https://twitter.com/erlanggadony_","@erlanggadony_")</f>
        <v>@erlanggadony_</v>
      </c>
      <c r="C12860" s="8" t="s">
        <v>4591</v>
      </c>
      <c r="D12860" s="8">
        <v>7</v>
      </c>
      <c r="E12860" s="8">
        <v>0</v>
      </c>
      <c r="F12860" s="8">
        <v>637</v>
      </c>
    </row>
    <row r="12861" spans="1:6" ht="12.75">
      <c r="A12861" s="8">
        <v>43898.997754629629</v>
      </c>
      <c r="B12861" s="8" t="str">
        <f>HYPERLINK("https://twitter.com/nvkmr2008","@nvkmr2008")</f>
        <v>@nvkmr2008</v>
      </c>
      <c r="C12861" s="8" t="s">
        <v>1917</v>
      </c>
      <c r="D12861" s="8">
        <v>712</v>
      </c>
      <c r="E12861" s="8">
        <v>0</v>
      </c>
      <c r="F12861" s="8">
        <v>83</v>
      </c>
    </row>
    <row r="12862" spans="1:6" ht="12.75">
      <c r="A12862" s="8">
        <v>43898.997175925921</v>
      </c>
      <c r="B12862" s="8" t="str">
        <f>HYPERLINK("https://twitter.com/proud_hindustaa","@proud_hindustaa")</f>
        <v>@proud_hindustaa</v>
      </c>
      <c r="C12862" s="8" t="s">
        <v>1917</v>
      </c>
      <c r="D12862" s="8">
        <v>712</v>
      </c>
      <c r="E12862" s="8">
        <v>0</v>
      </c>
      <c r="F12862" s="8">
        <v>422</v>
      </c>
    </row>
    <row r="12863" spans="1:6" ht="12.75">
      <c r="A12863" s="8">
        <v>43898.996550925927</v>
      </c>
      <c r="B12863" s="8" t="str">
        <f>HYPERLINK("https://twitter.com/alfi_mau","@alfi_mau")</f>
        <v>@alfi_mau</v>
      </c>
      <c r="C12863" s="8" t="s">
        <v>5197</v>
      </c>
      <c r="D12863" s="8">
        <v>3</v>
      </c>
      <c r="E12863" s="8">
        <v>0</v>
      </c>
      <c r="F12863" s="8">
        <v>193</v>
      </c>
    </row>
    <row r="12864" spans="1:6" ht="12.75">
      <c r="A12864" s="8">
        <v>43898.996516203704</v>
      </c>
      <c r="B12864" s="8" t="str">
        <f>HYPERLINK("https://twitter.com/abdulla41734805","@abdulla41734805")</f>
        <v>@abdulla41734805</v>
      </c>
      <c r="C12864" s="8" t="s">
        <v>5215</v>
      </c>
      <c r="D12864" s="8">
        <v>0</v>
      </c>
      <c r="E12864" s="8">
        <v>0</v>
      </c>
      <c r="F12864" s="8">
        <v>20</v>
      </c>
    </row>
    <row r="12865" spans="1:6" ht="12.75">
      <c r="A12865" s="8">
        <v>43898.996504629627</v>
      </c>
      <c r="B12865" s="8" t="str">
        <f>HYPERLINK("https://twitter.com/Putss","@Putss")</f>
        <v>@Putss</v>
      </c>
      <c r="C12865" s="8" t="s">
        <v>5059</v>
      </c>
      <c r="D12865" s="8">
        <v>27</v>
      </c>
      <c r="E12865" s="8">
        <v>0</v>
      </c>
      <c r="F12865" s="8">
        <v>511</v>
      </c>
    </row>
    <row r="12866" spans="1:6" ht="12.75">
      <c r="A12866" s="8">
        <v>43898.996469907404</v>
      </c>
      <c r="B12866" s="8" t="str">
        <f>HYPERLINK("https://twitter.com/woy_lau","@woy_lau")</f>
        <v>@woy_lau</v>
      </c>
      <c r="C12866" s="8" t="s">
        <v>3821</v>
      </c>
      <c r="D12866" s="8">
        <v>8</v>
      </c>
      <c r="E12866" s="8">
        <v>0</v>
      </c>
      <c r="F12866" s="8">
        <v>185</v>
      </c>
    </row>
    <row r="12867" spans="1:6" ht="12.75">
      <c r="A12867" s="8">
        <v>43898.996458333335</v>
      </c>
      <c r="B12867" s="8" t="str">
        <f>HYPERLINK("https://twitter.com/EkaWidjayaaa","@EkaWidjayaaa")</f>
        <v>@EkaWidjayaaa</v>
      </c>
      <c r="C12867" s="8" t="s">
        <v>5216</v>
      </c>
      <c r="D12867" s="8">
        <v>0</v>
      </c>
      <c r="E12867" s="8">
        <v>0</v>
      </c>
      <c r="F12867" s="8">
        <v>6</v>
      </c>
    </row>
    <row r="12868" spans="1:6" ht="12.75">
      <c r="A12868" s="8">
        <v>43898.996423611112</v>
      </c>
      <c r="B12868" s="8" t="str">
        <f t="shared" ref="B12868:B12869" si="200">HYPERLINK("https://twitter.com/mudha_satriya","@mudha_satriya")</f>
        <v>@mudha_satriya</v>
      </c>
      <c r="C12868" s="8" t="s">
        <v>5197</v>
      </c>
      <c r="D12868" s="8">
        <v>3</v>
      </c>
      <c r="E12868" s="8">
        <v>0</v>
      </c>
      <c r="F12868" s="8">
        <v>1887</v>
      </c>
    </row>
    <row r="12869" spans="1:6" ht="12.75">
      <c r="A12869" s="8">
        <v>43898.996331018519</v>
      </c>
      <c r="B12869" s="8" t="str">
        <f t="shared" si="200"/>
        <v>@mudha_satriya</v>
      </c>
      <c r="C12869" s="8" t="s">
        <v>3192</v>
      </c>
      <c r="D12869" s="8">
        <v>66</v>
      </c>
      <c r="E12869" s="8">
        <v>0</v>
      </c>
      <c r="F12869" s="8">
        <v>1887</v>
      </c>
    </row>
    <row r="12870" spans="1:6" ht="12.75">
      <c r="A12870" s="8">
        <v>43898.995648148149</v>
      </c>
      <c r="B12870" s="8" t="str">
        <f>HYPERLINK("https://twitter.com/NandoPananda","@NandoPananda")</f>
        <v>@NandoPananda</v>
      </c>
      <c r="C12870" s="8" t="s">
        <v>5217</v>
      </c>
      <c r="D12870" s="8">
        <v>8</v>
      </c>
      <c r="E12870" s="8">
        <v>0</v>
      </c>
      <c r="F12870" s="8">
        <v>278</v>
      </c>
    </row>
    <row r="12871" spans="1:6" ht="12.75">
      <c r="A12871" s="8">
        <v>43898.995034722218</v>
      </c>
      <c r="B12871" s="8" t="str">
        <f>HYPERLINK("https://twitter.com/gnr7979","@gnr7979")</f>
        <v>@gnr7979</v>
      </c>
      <c r="C12871" s="8" t="s">
        <v>1917</v>
      </c>
      <c r="D12871" s="8">
        <v>712</v>
      </c>
      <c r="E12871" s="8">
        <v>0</v>
      </c>
      <c r="F12871" s="8">
        <v>75</v>
      </c>
    </row>
    <row r="12872" spans="1:6" ht="12.75">
      <c r="A12872" s="8">
        <v>43898.99490740741</v>
      </c>
      <c r="B12872" s="8" t="str">
        <f>HYPERLINK("https://twitter.com/MarikaRahman_","@MarikaRahman_")</f>
        <v>@MarikaRahman_</v>
      </c>
      <c r="C12872" s="8" t="s">
        <v>3192</v>
      </c>
      <c r="D12872" s="8">
        <v>66</v>
      </c>
      <c r="E12872" s="8">
        <v>0</v>
      </c>
      <c r="F12872" s="8">
        <v>15792</v>
      </c>
    </row>
    <row r="12873" spans="1:6" ht="12.75">
      <c r="A12873" s="8">
        <v>43898.994814814811</v>
      </c>
      <c r="B12873" s="8" t="str">
        <f>HYPERLINK("https://twitter.com/pengumpuldata","@pengumpuldata")</f>
        <v>@pengumpuldata</v>
      </c>
      <c r="C12873" s="8" t="s">
        <v>5059</v>
      </c>
      <c r="D12873" s="8">
        <v>27</v>
      </c>
      <c r="E12873" s="8">
        <v>0</v>
      </c>
      <c r="F12873" s="8">
        <v>49</v>
      </c>
    </row>
    <row r="12874" spans="1:6" ht="12.75">
      <c r="A12874" s="8">
        <v>43898.994756944448</v>
      </c>
      <c r="B12874" s="8" t="str">
        <f>HYPERLINK("https://twitter.com/massmujab","@massmujab")</f>
        <v>@massmujab</v>
      </c>
      <c r="C12874" s="8" t="s">
        <v>3821</v>
      </c>
      <c r="D12874" s="8">
        <v>8</v>
      </c>
      <c r="E12874" s="8">
        <v>0</v>
      </c>
      <c r="F12874" s="8">
        <v>505</v>
      </c>
    </row>
    <row r="12875" spans="1:6" ht="12.75">
      <c r="A12875" s="8">
        <v>43898.994513888887</v>
      </c>
      <c r="B12875" s="8" t="str">
        <f>HYPERLINK("https://twitter.com/KompasTV","@KompasTV")</f>
        <v>@KompasTV</v>
      </c>
      <c r="C12875" s="8" t="s">
        <v>5218</v>
      </c>
      <c r="D12875" s="8">
        <v>3</v>
      </c>
      <c r="E12875" s="8">
        <v>7</v>
      </c>
      <c r="F12875" s="8">
        <v>2959417</v>
      </c>
    </row>
    <row r="12876" spans="1:6" ht="12.75">
      <c r="A12876" s="8">
        <v>43898.99423611111</v>
      </c>
      <c r="B12876" s="8" t="str">
        <f>HYPERLINK("https://twitter.com/Marsssven","@Marsssven")</f>
        <v>@Marsssven</v>
      </c>
      <c r="C12876" s="8" t="s">
        <v>3265</v>
      </c>
      <c r="D12876" s="8">
        <v>473</v>
      </c>
      <c r="E12876" s="8">
        <v>0</v>
      </c>
      <c r="F12876" s="8">
        <v>13</v>
      </c>
    </row>
    <row r="12877" spans="1:6" ht="12.75">
      <c r="A12877" s="8">
        <v>43898.993703703702</v>
      </c>
      <c r="B12877" s="8" t="str">
        <f>HYPERLINK("https://twitter.com/hemaviton99","@hemaviton99")</f>
        <v>@hemaviton99</v>
      </c>
      <c r="C12877" s="8" t="s">
        <v>5201</v>
      </c>
      <c r="D12877" s="8">
        <v>4</v>
      </c>
      <c r="E12877" s="8">
        <v>0</v>
      </c>
      <c r="F12877" s="8">
        <v>5838</v>
      </c>
    </row>
    <row r="12878" spans="1:6" ht="12.75">
      <c r="A12878" s="8">
        <v>43898.993692129632</v>
      </c>
      <c r="B12878" s="8" t="str">
        <f>HYPERLINK("https://twitter.com/JamestownUSA1","@JamestownUSA1")</f>
        <v>@JamestownUSA1</v>
      </c>
      <c r="C12878" s="8" t="s">
        <v>5219</v>
      </c>
      <c r="D12878" s="8">
        <v>0</v>
      </c>
      <c r="E12878" s="8">
        <v>1</v>
      </c>
      <c r="F12878" s="8">
        <v>130</v>
      </c>
    </row>
    <row r="12879" spans="1:6" ht="12.75">
      <c r="A12879" s="8">
        <v>43898.993587962963</v>
      </c>
      <c r="B12879" s="8" t="str">
        <f>HYPERLINK("https://twitter.com/fandyydstra25","@fandyydstra25")</f>
        <v>@fandyydstra25</v>
      </c>
      <c r="C12879" s="8" t="s">
        <v>3265</v>
      </c>
      <c r="D12879" s="8">
        <v>473</v>
      </c>
      <c r="E12879" s="8">
        <v>0</v>
      </c>
      <c r="F12879" s="8">
        <v>48</v>
      </c>
    </row>
    <row r="12880" spans="1:6" ht="12.75">
      <c r="A12880" s="8">
        <v>43898.992997685185</v>
      </c>
      <c r="B12880" s="8" t="str">
        <f>HYPERLINK("https://twitter.com/talktovardhan","@talktovardhan")</f>
        <v>@talktovardhan</v>
      </c>
      <c r="C12880" s="8" t="s">
        <v>1917</v>
      </c>
      <c r="D12880" s="8">
        <v>712</v>
      </c>
      <c r="E12880" s="8">
        <v>0</v>
      </c>
      <c r="F12880" s="8">
        <v>1813</v>
      </c>
    </row>
    <row r="12881" spans="1:6" ht="12.75">
      <c r="A12881" s="8">
        <v>43898.99291666667</v>
      </c>
      <c r="B12881" s="8" t="str">
        <f>HYPERLINK("https://twitter.com/princeof_AryvrT","@princeof_AryvrT")</f>
        <v>@princeof_AryvrT</v>
      </c>
      <c r="C12881" s="8" t="s">
        <v>5220</v>
      </c>
      <c r="D12881" s="8">
        <v>0</v>
      </c>
      <c r="E12881" s="8">
        <v>0</v>
      </c>
      <c r="F12881" s="8">
        <v>95</v>
      </c>
    </row>
    <row r="12882" spans="1:6" ht="12.75">
      <c r="A12882" s="8">
        <v>43898.992164351846</v>
      </c>
      <c r="B12882" s="8" t="str">
        <f>HYPERLINK("https://twitter.com/iamshashie","@iamshashie")</f>
        <v>@iamshashie</v>
      </c>
      <c r="C12882" s="8" t="s">
        <v>1917</v>
      </c>
      <c r="D12882" s="8">
        <v>712</v>
      </c>
      <c r="E12882" s="8">
        <v>0</v>
      </c>
      <c r="F12882" s="8">
        <v>158</v>
      </c>
    </row>
    <row r="12883" spans="1:6" ht="12.75">
      <c r="A12883" s="8">
        <v>43898.991782407407</v>
      </c>
      <c r="B12883" s="8" t="str">
        <f>HYPERLINK("https://twitter.com/RoshniVSingh","@RoshniVSingh")</f>
        <v>@RoshniVSingh</v>
      </c>
      <c r="C12883" s="8" t="s">
        <v>1917</v>
      </c>
      <c r="D12883" s="8">
        <v>712</v>
      </c>
      <c r="E12883" s="8">
        <v>0</v>
      </c>
      <c r="F12883" s="8">
        <v>417</v>
      </c>
    </row>
    <row r="12884" spans="1:6" ht="12.75">
      <c r="A12884" s="8">
        <v>43898.991527777776</v>
      </c>
      <c r="B12884" s="8" t="str">
        <f>HYPERLINK("https://twitter.com/andryxsan","@andryxsan")</f>
        <v>@andryxsan</v>
      </c>
      <c r="C12884" s="8" t="s">
        <v>4548</v>
      </c>
      <c r="D12884" s="8">
        <v>18</v>
      </c>
      <c r="E12884" s="8">
        <v>0</v>
      </c>
      <c r="F12884" s="8">
        <v>169</v>
      </c>
    </row>
    <row r="12885" spans="1:6" ht="12.75">
      <c r="A12885" s="8">
        <v>43898.991435185184</v>
      </c>
      <c r="B12885" s="8" t="str">
        <f>HYPERLINK("https://twitter.com/dwytono","@dwytono")</f>
        <v>@dwytono</v>
      </c>
      <c r="C12885" s="8" t="s">
        <v>4991</v>
      </c>
      <c r="D12885" s="8">
        <v>8</v>
      </c>
      <c r="E12885" s="8">
        <v>0</v>
      </c>
      <c r="F12885" s="8">
        <v>1892</v>
      </c>
    </row>
    <row r="12886" spans="1:6" ht="12.75">
      <c r="A12886" s="8">
        <v>43898.991261574076</v>
      </c>
      <c r="B12886" s="8" t="str">
        <f>HYPERLINK("https://twitter.com/Afrialsyarlee","@Afrialsyarlee")</f>
        <v>@Afrialsyarlee</v>
      </c>
      <c r="C12886" s="8" t="s">
        <v>5201</v>
      </c>
      <c r="D12886" s="8">
        <v>4</v>
      </c>
      <c r="E12886" s="8">
        <v>0</v>
      </c>
      <c r="F12886" s="8">
        <v>579</v>
      </c>
    </row>
    <row r="12887" spans="1:6" ht="12.75">
      <c r="A12887" s="8">
        <v>43898.99050925926</v>
      </c>
      <c r="B12887" s="8" t="str">
        <f>HYPERLINK("https://twitter.com/Amberrr30633365","@Amberrr30633365")</f>
        <v>@Amberrr30633365</v>
      </c>
      <c r="C12887" s="8" t="s">
        <v>5221</v>
      </c>
      <c r="D12887" s="8">
        <v>0</v>
      </c>
      <c r="E12887" s="8">
        <v>0</v>
      </c>
      <c r="F12887" s="8">
        <v>0</v>
      </c>
    </row>
    <row r="12888" spans="1:6" ht="12.75">
      <c r="A12888" s="8">
        <v>43898.990370370375</v>
      </c>
      <c r="B12888" s="8" t="str">
        <f>HYPERLINK("https://twitter.com/sapporo_jack","@sapporo_jack")</f>
        <v>@sapporo_jack</v>
      </c>
      <c r="C12888" s="8" t="s">
        <v>5222</v>
      </c>
      <c r="D12888" s="8">
        <v>0</v>
      </c>
      <c r="E12888" s="8">
        <v>0</v>
      </c>
      <c r="F12888" s="8">
        <v>87</v>
      </c>
    </row>
    <row r="12889" spans="1:6" ht="12.75">
      <c r="A12889" s="8">
        <v>43898.990266203706</v>
      </c>
      <c r="B12889" s="8" t="str">
        <f>HYPERLINK("https://twitter.com/AliLenon1","@AliLenon1")</f>
        <v>@AliLenon1</v>
      </c>
      <c r="C12889" s="8" t="s">
        <v>3405</v>
      </c>
      <c r="D12889" s="8">
        <v>82</v>
      </c>
      <c r="E12889" s="8">
        <v>0</v>
      </c>
      <c r="F12889" s="8">
        <v>1367</v>
      </c>
    </row>
    <row r="12890" spans="1:6" ht="12.75">
      <c r="A12890" s="8">
        <v>43898.990266203706</v>
      </c>
      <c r="B12890" s="8" t="str">
        <f>HYPERLINK("https://twitter.com/nana040461","@nana040461")</f>
        <v>@nana040461</v>
      </c>
      <c r="C12890" s="8" t="s">
        <v>3821</v>
      </c>
      <c r="D12890" s="8">
        <v>8</v>
      </c>
      <c r="E12890" s="8">
        <v>0</v>
      </c>
      <c r="F12890" s="8">
        <v>1916</v>
      </c>
    </row>
    <row r="12891" spans="1:6" ht="12.75">
      <c r="A12891" s="8">
        <v>43898.990231481483</v>
      </c>
      <c r="B12891" s="8" t="str">
        <f>HYPERLINK("https://twitter.com/ajipaf","@ajipaf")</f>
        <v>@ajipaf</v>
      </c>
      <c r="C12891" s="8" t="s">
        <v>3265</v>
      </c>
      <c r="D12891" s="8">
        <v>473</v>
      </c>
      <c r="E12891" s="8">
        <v>0</v>
      </c>
      <c r="F12891" s="8">
        <v>743</v>
      </c>
    </row>
    <row r="12892" spans="1:6" ht="12.75">
      <c r="A12892" s="8">
        <v>43898.990150462967</v>
      </c>
      <c r="B12892" s="8" t="str">
        <f>HYPERLINK("https://twitter.com/Aayushis1234","@Aayushis1234")</f>
        <v>@Aayushis1234</v>
      </c>
      <c r="C12892" s="8" t="s">
        <v>1917</v>
      </c>
      <c r="D12892" s="8">
        <v>712</v>
      </c>
      <c r="E12892" s="8">
        <v>0</v>
      </c>
      <c r="F12892" s="8">
        <v>2039</v>
      </c>
    </row>
    <row r="12893" spans="1:6" ht="12.75">
      <c r="A12893" s="8">
        <v>43898.990023148144</v>
      </c>
      <c r="B12893" s="8" t="str">
        <f>HYPERLINK("https://twitter.com/ajipaf","@ajipaf")</f>
        <v>@ajipaf</v>
      </c>
      <c r="C12893" s="8" t="s">
        <v>3821</v>
      </c>
      <c r="D12893" s="8">
        <v>8</v>
      </c>
      <c r="E12893" s="8">
        <v>0</v>
      </c>
      <c r="F12893" s="8">
        <v>743</v>
      </c>
    </row>
    <row r="12894" spans="1:6" ht="12.75">
      <c r="A12894" s="8">
        <v>43898.988807870366</v>
      </c>
      <c r="B12894" s="8" t="str">
        <f>HYPERLINK("https://twitter.com/Dewie34292319","@Dewie34292319")</f>
        <v>@Dewie34292319</v>
      </c>
      <c r="C12894" s="8" t="s">
        <v>3821</v>
      </c>
      <c r="D12894" s="8">
        <v>8</v>
      </c>
      <c r="E12894" s="8">
        <v>0</v>
      </c>
      <c r="F12894" s="8">
        <v>1837</v>
      </c>
    </row>
    <row r="12895" spans="1:6" ht="12.75">
      <c r="A12895" s="8">
        <v>43898.988750000004</v>
      </c>
      <c r="B12895" s="8" t="str">
        <f>HYPERLINK("https://twitter.com/BasirWahyu","@BasirWahyu")</f>
        <v>@BasirWahyu</v>
      </c>
      <c r="C12895" s="8" t="s">
        <v>5223</v>
      </c>
      <c r="D12895" s="8">
        <v>0</v>
      </c>
      <c r="E12895" s="8">
        <v>0</v>
      </c>
      <c r="F12895" s="8">
        <v>540</v>
      </c>
    </row>
    <row r="12896" spans="1:6" ht="12.75">
      <c r="A12896" s="8">
        <v>43898.988518518519</v>
      </c>
      <c r="B12896" s="8" t="str">
        <f>HYPERLINK("https://twitter.com/ChetanV41633352","@ChetanV41633352")</f>
        <v>@ChetanV41633352</v>
      </c>
      <c r="C12896" s="8" t="s">
        <v>1917</v>
      </c>
      <c r="D12896" s="8">
        <v>712</v>
      </c>
      <c r="E12896" s="8">
        <v>0</v>
      </c>
      <c r="F12896" s="8">
        <v>104</v>
      </c>
    </row>
    <row r="12897" spans="1:6" ht="12.75">
      <c r="A12897" s="8">
        <v>43898.988402777773</v>
      </c>
      <c r="B12897" s="8" t="str">
        <f>HYPERLINK("https://twitter.com/tepayunx","@tepayunx")</f>
        <v>@tepayunx</v>
      </c>
      <c r="C12897" s="8" t="s">
        <v>5224</v>
      </c>
      <c r="D12897" s="8">
        <v>0</v>
      </c>
      <c r="E12897" s="8">
        <v>0</v>
      </c>
      <c r="F12897" s="8">
        <v>200</v>
      </c>
    </row>
    <row r="12898" spans="1:6" ht="12.75">
      <c r="A12898" s="8">
        <v>43898.98809027778</v>
      </c>
      <c r="B12898" s="8" t="str">
        <f>HYPERLINK("https://twitter.com/hindubangal","@hindubangal")</f>
        <v>@hindubangal</v>
      </c>
      <c r="C12898" s="8" t="s">
        <v>1917</v>
      </c>
      <c r="D12898" s="8">
        <v>712</v>
      </c>
      <c r="E12898" s="8">
        <v>0</v>
      </c>
      <c r="F12898" s="8">
        <v>293</v>
      </c>
    </row>
    <row r="12899" spans="1:6" ht="12.75">
      <c r="A12899" s="8">
        <v>43898.987858796296</v>
      </c>
      <c r="B12899" s="8" t="str">
        <f>HYPERLINK("https://twitter.com/hemaviton99","@hemaviton99")</f>
        <v>@hemaviton99</v>
      </c>
      <c r="C12899" s="8" t="s">
        <v>5178</v>
      </c>
      <c r="D12899" s="8">
        <v>3</v>
      </c>
      <c r="E12899" s="8">
        <v>0</v>
      </c>
      <c r="F12899" s="8">
        <v>5838</v>
      </c>
    </row>
    <row r="12900" spans="1:6" ht="12.75">
      <c r="A12900" s="8">
        <v>43898.98746527778</v>
      </c>
      <c r="B12900" s="8" t="str">
        <f>HYPERLINK("https://twitter.com/gopalsaha93","@gopalsaha93")</f>
        <v>@gopalsaha93</v>
      </c>
      <c r="C12900" s="8" t="s">
        <v>1917</v>
      </c>
      <c r="D12900" s="8">
        <v>712</v>
      </c>
      <c r="E12900" s="8">
        <v>0</v>
      </c>
      <c r="F12900" s="8">
        <v>595</v>
      </c>
    </row>
    <row r="12901" spans="1:6" ht="12.75">
      <c r="A12901" s="8">
        <v>43898.987326388888</v>
      </c>
      <c r="B12901" s="8" t="str">
        <f>HYPERLINK("https://twitter.com/Andi_yusri_","@Andi_yusri_")</f>
        <v>@Andi_yusri_</v>
      </c>
      <c r="C12901" s="8" t="s">
        <v>5225</v>
      </c>
      <c r="D12901" s="8">
        <v>0</v>
      </c>
      <c r="E12901" s="8">
        <v>0</v>
      </c>
      <c r="F12901" s="8">
        <v>627</v>
      </c>
    </row>
    <row r="12902" spans="1:6" ht="12.75">
      <c r="A12902" s="8">
        <v>43898.987164351856</v>
      </c>
      <c r="B12902" s="8" t="str">
        <f>HYPERLINK("https://twitter.com/Pankajjaiswal77","@Pankajjaiswal77")</f>
        <v>@Pankajjaiswal77</v>
      </c>
      <c r="C12902" s="8" t="s">
        <v>1917</v>
      </c>
      <c r="D12902" s="8">
        <v>712</v>
      </c>
      <c r="E12902" s="8">
        <v>0</v>
      </c>
      <c r="F12902" s="8">
        <v>621</v>
      </c>
    </row>
    <row r="12903" spans="1:6" ht="12.75">
      <c r="A12903" s="8">
        <v>43898.986886574072</v>
      </c>
      <c r="B12903" s="8" t="str">
        <f>HYPERLINK("https://twitter.com/GnwnMulyadi","@GnwnMulyadi")</f>
        <v>@GnwnMulyadi</v>
      </c>
      <c r="C12903" s="8" t="s">
        <v>3821</v>
      </c>
      <c r="D12903" s="8">
        <v>8</v>
      </c>
      <c r="E12903" s="8">
        <v>0</v>
      </c>
      <c r="F12903" s="8">
        <v>502</v>
      </c>
    </row>
    <row r="12904" spans="1:6" ht="12.75">
      <c r="A12904" s="8">
        <v>43898.986817129626</v>
      </c>
      <c r="B12904" s="8" t="str">
        <f>HYPERLINK("https://twitter.com/arjuno_ireng01","@arjuno_ireng01")</f>
        <v>@arjuno_ireng01</v>
      </c>
      <c r="C12904" s="8" t="s">
        <v>5178</v>
      </c>
      <c r="D12904" s="8">
        <v>3</v>
      </c>
      <c r="E12904" s="8">
        <v>0</v>
      </c>
      <c r="F12904" s="8">
        <v>11233</v>
      </c>
    </row>
    <row r="12905" spans="1:6" ht="12.75">
      <c r="A12905" s="8">
        <v>43898.986539351856</v>
      </c>
      <c r="B12905" s="8" t="str">
        <f>HYPERLINK("https://twitter.com/yihaayihiiAK","@yihaayihiiAK")</f>
        <v>@yihaayihiiAK</v>
      </c>
      <c r="C12905" s="8" t="s">
        <v>3821</v>
      </c>
      <c r="D12905" s="8">
        <v>8</v>
      </c>
      <c r="E12905" s="8">
        <v>0</v>
      </c>
      <c r="F12905" s="8">
        <v>1537</v>
      </c>
    </row>
    <row r="12906" spans="1:6" ht="12.75">
      <c r="A12906" s="8">
        <v>43898.986064814817</v>
      </c>
      <c r="B12906" s="8" t="str">
        <f>HYPERLINK("https://twitter.com/OposisiCerdas","@OposisiCerdas")</f>
        <v>@OposisiCerdas</v>
      </c>
      <c r="C12906" s="8" t="s">
        <v>5123</v>
      </c>
      <c r="D12906" s="8">
        <v>8</v>
      </c>
      <c r="E12906" s="8">
        <v>24</v>
      </c>
      <c r="F12906" s="8">
        <v>18734</v>
      </c>
    </row>
    <row r="12907" spans="1:6" ht="12.75">
      <c r="A12907" s="8">
        <v>43898.985856481479</v>
      </c>
      <c r="B12907" s="8" t="str">
        <f t="shared" ref="B12907:B12908" si="201">HYPERLINK("https://twitter.com/INAinBucharest","@INAinBucharest")</f>
        <v>@INAinBucharest</v>
      </c>
      <c r="C12907" s="8" t="s">
        <v>1399</v>
      </c>
      <c r="D12907" s="8">
        <v>54</v>
      </c>
      <c r="E12907" s="8">
        <v>0</v>
      </c>
      <c r="F12907" s="8">
        <v>1674</v>
      </c>
    </row>
    <row r="12908" spans="1:6" ht="12.75">
      <c r="A12908" s="8">
        <v>43898.985821759255</v>
      </c>
      <c r="B12908" s="8" t="str">
        <f t="shared" si="201"/>
        <v>@INAinBucharest</v>
      </c>
      <c r="C12908" s="8" t="s">
        <v>1397</v>
      </c>
      <c r="D12908" s="8">
        <v>8</v>
      </c>
      <c r="E12908" s="8">
        <v>0</v>
      </c>
      <c r="F12908" s="8">
        <v>1674</v>
      </c>
    </row>
    <row r="12909" spans="1:6" ht="12.75">
      <c r="A12909" s="8">
        <v>43898.985208333332</v>
      </c>
      <c r="B12909" s="8" t="str">
        <f>HYPERLINK("https://twitter.com/mea_gulpa","@mea_gulpa")</f>
        <v>@mea_gulpa</v>
      </c>
      <c r="C12909" s="8" t="s">
        <v>1917</v>
      </c>
      <c r="D12909" s="8">
        <v>712</v>
      </c>
      <c r="E12909" s="8">
        <v>0</v>
      </c>
      <c r="F12909" s="8">
        <v>1250</v>
      </c>
    </row>
    <row r="12910" spans="1:6" ht="12.75">
      <c r="A12910" s="8">
        <v>43898.984722222223</v>
      </c>
      <c r="B12910" s="8" t="str">
        <f>HYPERLINK("https://twitter.com/darbulax","@darbulax")</f>
        <v>@darbulax</v>
      </c>
      <c r="C12910" s="8" t="s">
        <v>3265</v>
      </c>
      <c r="D12910" s="8">
        <v>473</v>
      </c>
      <c r="E12910" s="8">
        <v>0</v>
      </c>
      <c r="F12910" s="8">
        <v>259</v>
      </c>
    </row>
    <row r="12911" spans="1:6" ht="12.75">
      <c r="A12911" s="8">
        <v>43898.984178240746</v>
      </c>
      <c r="B12911" s="8" t="str">
        <f>HYPERLINK("https://twitter.com/INAinBucharest","@INAinBucharest")</f>
        <v>@INAinBucharest</v>
      </c>
      <c r="C12911" s="8" t="s">
        <v>5226</v>
      </c>
      <c r="D12911" s="8">
        <v>0</v>
      </c>
      <c r="E12911" s="8">
        <v>1</v>
      </c>
      <c r="F12911" s="8">
        <v>1674</v>
      </c>
    </row>
    <row r="12912" spans="1:6" ht="12.75">
      <c r="A12912" s="8">
        <v>43898.983796296292</v>
      </c>
      <c r="B12912" s="8" t="str">
        <f>HYPERLINK("https://twitter.com/bpriady","@bpriady")</f>
        <v>@bpriady</v>
      </c>
      <c r="C12912" s="8" t="s">
        <v>5059</v>
      </c>
      <c r="D12912" s="8">
        <v>27</v>
      </c>
      <c r="E12912" s="8">
        <v>0</v>
      </c>
      <c r="F12912" s="8">
        <v>610</v>
      </c>
    </row>
    <row r="12913" spans="1:6" ht="12.75">
      <c r="A12913" s="8">
        <v>43898.983344907407</v>
      </c>
      <c r="B12913" s="8" t="str">
        <f>HYPERLINK("https://twitter.com/wachyu_dhani","@wachyu_dhani")</f>
        <v>@wachyu_dhani</v>
      </c>
      <c r="C12913" s="8" t="s">
        <v>5227</v>
      </c>
      <c r="D12913" s="8">
        <v>0</v>
      </c>
      <c r="E12913" s="8">
        <v>0</v>
      </c>
      <c r="F12913" s="8">
        <v>827</v>
      </c>
    </row>
    <row r="12914" spans="1:6" ht="12.75">
      <c r="A12914" s="8">
        <v>43898.982893518521</v>
      </c>
      <c r="B12914" s="8" t="str">
        <f>HYPERLINK("https://twitter.com/RajniSo17591978","@RajniSo17591978")</f>
        <v>@RajniSo17591978</v>
      </c>
      <c r="C12914" s="8" t="s">
        <v>1917</v>
      </c>
      <c r="D12914" s="8">
        <v>712</v>
      </c>
      <c r="E12914" s="8">
        <v>0</v>
      </c>
      <c r="F12914" s="8">
        <v>387</v>
      </c>
    </row>
    <row r="12915" spans="1:6" ht="12.75">
      <c r="A12915" s="8">
        <v>43898.982662037037</v>
      </c>
      <c r="B12915" s="8" t="str">
        <f>HYPERLINK("https://twitter.com/TamiSena1","@TamiSena1")</f>
        <v>@TamiSena1</v>
      </c>
      <c r="C12915" s="8" t="s">
        <v>5228</v>
      </c>
      <c r="D12915" s="8">
        <v>0</v>
      </c>
      <c r="E12915" s="8">
        <v>0</v>
      </c>
      <c r="F12915" s="8">
        <v>954</v>
      </c>
    </row>
    <row r="12916" spans="1:6" ht="12.75">
      <c r="A12916" s="8">
        <v>43898.982002314813</v>
      </c>
      <c r="B12916" s="8" t="str">
        <f>HYPERLINK("https://twitter.com/Info_Tidung","@Info_Tidung")</f>
        <v>@Info_Tidung</v>
      </c>
      <c r="C12916" s="8" t="s">
        <v>5229</v>
      </c>
      <c r="D12916" s="8">
        <v>0</v>
      </c>
      <c r="E12916" s="8">
        <v>0</v>
      </c>
      <c r="F12916" s="8">
        <v>126</v>
      </c>
    </row>
    <row r="12917" spans="1:6" ht="12.75">
      <c r="A12917" s="8">
        <v>43898.981793981482</v>
      </c>
      <c r="B12917" s="8" t="str">
        <f>HYPERLINK("https://twitter.com/GuruSunadholi","@GuruSunadholi")</f>
        <v>@GuruSunadholi</v>
      </c>
      <c r="C12917" s="8" t="s">
        <v>1917</v>
      </c>
      <c r="D12917" s="8">
        <v>712</v>
      </c>
      <c r="E12917" s="8">
        <v>0</v>
      </c>
      <c r="F12917" s="8">
        <v>168</v>
      </c>
    </row>
    <row r="12918" spans="1:6" ht="12.75">
      <c r="A12918" s="8">
        <v>43898.981724537036</v>
      </c>
      <c r="B12918" s="8" t="str">
        <f>HYPERLINK("https://twitter.com/tegarcamspeed","@tegarcamspeed")</f>
        <v>@tegarcamspeed</v>
      </c>
      <c r="C12918" s="8" t="s">
        <v>5059</v>
      </c>
      <c r="D12918" s="8">
        <v>27</v>
      </c>
      <c r="E12918" s="8">
        <v>0</v>
      </c>
      <c r="F12918" s="8">
        <v>319</v>
      </c>
    </row>
    <row r="12919" spans="1:6" ht="12.75">
      <c r="A12919" s="8">
        <v>43898.981574074074</v>
      </c>
      <c r="B12919" s="8" t="str">
        <f>HYPERLINK("https://twitter.com/maswidhi95","@maswidhi95")</f>
        <v>@maswidhi95</v>
      </c>
      <c r="C12919" s="8" t="s">
        <v>5230</v>
      </c>
      <c r="D12919" s="8">
        <v>0</v>
      </c>
      <c r="E12919" s="8">
        <v>1</v>
      </c>
      <c r="F12919" s="8">
        <v>1967</v>
      </c>
    </row>
    <row r="12920" spans="1:6" ht="12.75">
      <c r="A12920" s="8">
        <v>43898.981296296297</v>
      </c>
      <c r="B12920" s="8" t="str">
        <f>HYPERLINK("https://twitter.com/antaranews","@antaranews")</f>
        <v>@antaranews</v>
      </c>
      <c r="C12920" s="8" t="s">
        <v>5231</v>
      </c>
      <c r="D12920" s="8">
        <v>4</v>
      </c>
      <c r="E12920" s="8">
        <v>7</v>
      </c>
      <c r="F12920" s="8">
        <v>1106957</v>
      </c>
    </row>
    <row r="12921" spans="1:6" ht="12.75">
      <c r="A12921" s="8">
        <v>43898.980810185181</v>
      </c>
      <c r="B12921" s="8" t="str">
        <f>HYPERLINK("https://twitter.com/hemaviton99","@hemaviton99")</f>
        <v>@hemaviton99</v>
      </c>
      <c r="C12921" s="8" t="s">
        <v>5232</v>
      </c>
      <c r="D12921" s="8">
        <v>0</v>
      </c>
      <c r="E12921" s="8">
        <v>1</v>
      </c>
      <c r="F12921" s="8">
        <v>5838</v>
      </c>
    </row>
    <row r="12922" spans="1:6" ht="12.75">
      <c r="A12922" s="8">
        <v>43898.980358796296</v>
      </c>
      <c r="B12922" s="8" t="str">
        <f>HYPERLINK("https://twitter.com/Nurjamalmvd","@Nurjamalmvd")</f>
        <v>@Nurjamalmvd</v>
      </c>
      <c r="C12922" s="8" t="s">
        <v>3265</v>
      </c>
      <c r="D12922" s="8">
        <v>473</v>
      </c>
      <c r="E12922" s="8">
        <v>0</v>
      </c>
      <c r="F12922" s="8">
        <v>6672</v>
      </c>
    </row>
    <row r="12923" spans="1:6" ht="12.75">
      <c r="A12923" s="8">
        <v>43898.979594907403</v>
      </c>
      <c r="B12923" s="8" t="str">
        <f>HYPERLINK("https://twitter.com/andinicp97","@andinicp97")</f>
        <v>@andinicp97</v>
      </c>
      <c r="C12923" s="8" t="s">
        <v>4548</v>
      </c>
      <c r="D12923" s="8">
        <v>18</v>
      </c>
      <c r="E12923" s="8">
        <v>0</v>
      </c>
      <c r="F12923" s="8">
        <v>28</v>
      </c>
    </row>
    <row r="12924" spans="1:6" ht="12.75">
      <c r="A12924" s="8">
        <v>43898.979374999995</v>
      </c>
      <c r="B12924" s="8" t="str">
        <f>HYPERLINK("https://twitter.com/DavidKanata","@DavidKanata")</f>
        <v>@DavidKanata</v>
      </c>
      <c r="C12924" s="8" t="s">
        <v>5025</v>
      </c>
      <c r="D12924" s="8">
        <v>1</v>
      </c>
      <c r="E12924" s="8">
        <v>0</v>
      </c>
      <c r="F12924" s="8">
        <v>1344</v>
      </c>
    </row>
    <row r="12925" spans="1:6" ht="12.75">
      <c r="A12925" s="8">
        <v>43898.979155092587</v>
      </c>
      <c r="B12925" s="8" t="str">
        <f>HYPERLINK("https://twitter.com/JohnIrwan4","@JohnIrwan4")</f>
        <v>@JohnIrwan4</v>
      </c>
      <c r="C12925" s="8" t="s">
        <v>5233</v>
      </c>
      <c r="D12925" s="8">
        <v>3</v>
      </c>
      <c r="E12925" s="8">
        <v>4</v>
      </c>
      <c r="F12925" s="8">
        <v>2742</v>
      </c>
    </row>
    <row r="12926" spans="1:6" ht="12.75">
      <c r="A12926" s="8">
        <v>43898.978680555556</v>
      </c>
      <c r="B12926" s="8" t="str">
        <f>HYPERLINK("https://twitter.com/pacoman212","@pacoman212")</f>
        <v>@pacoman212</v>
      </c>
      <c r="C12926" s="8" t="s">
        <v>1917</v>
      </c>
      <c r="D12926" s="8">
        <v>712</v>
      </c>
      <c r="E12926" s="8">
        <v>0</v>
      </c>
      <c r="F12926" s="8">
        <v>242</v>
      </c>
    </row>
    <row r="12927" spans="1:6" ht="12.75">
      <c r="A12927" s="8">
        <v>43898.978206018517</v>
      </c>
      <c r="B12927" s="8" t="str">
        <f>HYPERLINK("https://twitter.com/Ajaytiwaritm","@Ajaytiwaritm")</f>
        <v>@Ajaytiwaritm</v>
      </c>
      <c r="C12927" s="8" t="s">
        <v>1917</v>
      </c>
      <c r="D12927" s="8">
        <v>712</v>
      </c>
      <c r="E12927" s="8">
        <v>0</v>
      </c>
      <c r="F12927" s="8">
        <v>56</v>
      </c>
    </row>
    <row r="12928" spans="1:6" ht="12.75">
      <c r="A12928" s="8">
        <v>43898.977361111116</v>
      </c>
      <c r="B12928" s="8" t="str">
        <f>HYPERLINK("https://twitter.com/aprindakomala","@aprindakomala")</f>
        <v>@aprindakomala</v>
      </c>
      <c r="C12928" s="8" t="s">
        <v>4927</v>
      </c>
      <c r="D12928" s="8">
        <v>35</v>
      </c>
      <c r="E12928" s="8">
        <v>0</v>
      </c>
      <c r="F12928" s="8">
        <v>490</v>
      </c>
    </row>
    <row r="12929" spans="1:6" ht="12.75">
      <c r="A12929" s="8">
        <v>43898.976875</v>
      </c>
      <c r="B12929" s="8" t="str">
        <f>HYPERLINK("https://twitter.com/nareshsharma224","@nareshsharma224")</f>
        <v>@nareshsharma224</v>
      </c>
      <c r="C12929" s="8" t="s">
        <v>1917</v>
      </c>
      <c r="D12929" s="8">
        <v>712</v>
      </c>
      <c r="E12929" s="8">
        <v>0</v>
      </c>
      <c r="F12929" s="8">
        <v>1069</v>
      </c>
    </row>
    <row r="12930" spans="1:6" ht="12.75">
      <c r="A12930" s="8">
        <v>43898.976655092592</v>
      </c>
      <c r="B12930" s="8" t="str">
        <f>HYPERLINK("https://twitter.com/prabhashhalder","@prabhashhalder")</f>
        <v>@prabhashhalder</v>
      </c>
      <c r="C12930" s="8" t="s">
        <v>1917</v>
      </c>
      <c r="D12930" s="8">
        <v>712</v>
      </c>
      <c r="E12930" s="8">
        <v>0</v>
      </c>
      <c r="F12930" s="8">
        <v>229</v>
      </c>
    </row>
    <row r="12931" spans="1:6" ht="12.75">
      <c r="A12931" s="8">
        <v>43898.9762962963</v>
      </c>
      <c r="B12931" s="8" t="str">
        <f>HYPERLINK("https://twitter.com/msl_leo","@msl_leo")</f>
        <v>@msl_leo</v>
      </c>
      <c r="C12931" s="8" t="s">
        <v>1917</v>
      </c>
      <c r="D12931" s="8">
        <v>712</v>
      </c>
      <c r="E12931" s="8">
        <v>0</v>
      </c>
      <c r="F12931" s="8">
        <v>460</v>
      </c>
    </row>
    <row r="12932" spans="1:6" ht="12.75">
      <c r="A12932" s="8">
        <v>43898.975312499999</v>
      </c>
      <c r="B12932" s="8" t="str">
        <f>HYPERLINK("https://twitter.com/Hasnabila0508","@Hasnabila0508")</f>
        <v>@Hasnabila0508</v>
      </c>
      <c r="C12932" s="8" t="s">
        <v>5234</v>
      </c>
      <c r="D12932" s="8">
        <v>0</v>
      </c>
      <c r="E12932" s="8">
        <v>0</v>
      </c>
      <c r="F12932" s="8">
        <v>1</v>
      </c>
    </row>
    <row r="12933" spans="1:6" ht="12.75">
      <c r="A12933" s="8">
        <v>43898.965011574073</v>
      </c>
      <c r="B12933" s="8" t="str">
        <f>HYPERLINK("https://twitter.com/BJaunpuriya","@BJaunpuriya")</f>
        <v>@BJaunpuriya</v>
      </c>
      <c r="C12933" s="8" t="s">
        <v>1917</v>
      </c>
      <c r="D12933" s="8">
        <v>658</v>
      </c>
      <c r="E12933" s="8">
        <v>0</v>
      </c>
      <c r="F12933" s="8">
        <v>66</v>
      </c>
    </row>
    <row r="12934" spans="1:6" ht="12.75">
      <c r="A12934" s="8">
        <v>43898.964965277773</v>
      </c>
      <c r="B12934" s="8" t="str">
        <f>HYPERLINK("https://twitter.com/itsboyGunjan_","@itsboyGunjan_")</f>
        <v>@itsboyGunjan_</v>
      </c>
      <c r="C12934" s="8" t="s">
        <v>1917</v>
      </c>
      <c r="D12934" s="8">
        <v>658</v>
      </c>
      <c r="E12934" s="8">
        <v>0</v>
      </c>
      <c r="F12934" s="8">
        <v>101</v>
      </c>
    </row>
    <row r="12935" spans="1:6" ht="12.75">
      <c r="A12935" s="8">
        <v>43898.96475694445</v>
      </c>
      <c r="B12935" s="8" t="str">
        <f>HYPERLINK("https://twitter.com/ghost__particle","@ghost__particle")</f>
        <v>@ghost__particle</v>
      </c>
      <c r="C12935" s="8" t="s">
        <v>1917</v>
      </c>
      <c r="D12935" s="8">
        <v>658</v>
      </c>
      <c r="E12935" s="8">
        <v>0</v>
      </c>
      <c r="F12935" s="8">
        <v>147</v>
      </c>
    </row>
    <row r="12936" spans="1:6" ht="12.75">
      <c r="A12936" s="8">
        <v>43898.964675925927</v>
      </c>
      <c r="B12936" s="8" t="str">
        <f>HYPERLINK("https://twitter.com/Simpanse__","@Simpanse__")</f>
        <v>@Simpanse__</v>
      </c>
      <c r="C12936" s="8" t="s">
        <v>5235</v>
      </c>
      <c r="D12936" s="8">
        <v>0</v>
      </c>
      <c r="E12936" s="8">
        <v>0</v>
      </c>
      <c r="F12936" s="8">
        <v>518</v>
      </c>
    </row>
    <row r="12937" spans="1:6" ht="12.75">
      <c r="A12937" s="8">
        <v>43898.964490740742</v>
      </c>
      <c r="B12937" s="8" t="str">
        <f>HYPERLINK("https://twitter.com/ShankarVIyer4","@ShankarVIyer4")</f>
        <v>@ShankarVIyer4</v>
      </c>
      <c r="C12937" s="8" t="s">
        <v>1917</v>
      </c>
      <c r="D12937" s="8">
        <v>658</v>
      </c>
      <c r="E12937" s="8">
        <v>0</v>
      </c>
      <c r="F12937" s="8">
        <v>853</v>
      </c>
    </row>
    <row r="12938" spans="1:6" ht="12.75">
      <c r="A12938" s="8">
        <v>43898.964224537034</v>
      </c>
      <c r="B12938" s="8" t="str">
        <f>HYPERLINK("https://twitter.com/pemantau69","@pemantau69")</f>
        <v>@pemantau69</v>
      </c>
      <c r="C12938" s="8" t="s">
        <v>3265</v>
      </c>
      <c r="D12938" s="8">
        <v>461</v>
      </c>
      <c r="E12938" s="8">
        <v>0</v>
      </c>
      <c r="F12938" s="8">
        <v>100</v>
      </c>
    </row>
    <row r="12939" spans="1:6" ht="12.75">
      <c r="A12939" s="8">
        <v>43898.964224537034</v>
      </c>
      <c r="B12939" s="8" t="str">
        <f>HYPERLINK("https://twitter.com/_wni_","@_wni_")</f>
        <v>@_wni_</v>
      </c>
      <c r="C12939" s="8" t="s">
        <v>5236</v>
      </c>
      <c r="D12939" s="8">
        <v>0</v>
      </c>
      <c r="E12939" s="8">
        <v>0</v>
      </c>
      <c r="F12939" s="8">
        <v>16</v>
      </c>
    </row>
    <row r="12940" spans="1:6" ht="12.75">
      <c r="A12940" s="8">
        <v>43898.963807870372</v>
      </c>
      <c r="B12940" s="8" t="str">
        <f>HYPERLINK("https://twitter.com/shrikant1195","@shrikant1195")</f>
        <v>@shrikant1195</v>
      </c>
      <c r="C12940" s="8" t="s">
        <v>1917</v>
      </c>
      <c r="D12940" s="8">
        <v>658</v>
      </c>
      <c r="E12940" s="8">
        <v>0</v>
      </c>
      <c r="F12940" s="8">
        <v>57</v>
      </c>
    </row>
    <row r="12941" spans="1:6" ht="12.75">
      <c r="A12941" s="8">
        <v>43898.96329861111</v>
      </c>
      <c r="B12941" s="8" t="str">
        <f>HYPERLINK("https://twitter.com/artaxly","@artaxly")</f>
        <v>@artaxly</v>
      </c>
      <c r="C12941" s="8" t="s">
        <v>3265</v>
      </c>
      <c r="D12941" s="8">
        <v>461</v>
      </c>
      <c r="E12941" s="8">
        <v>0</v>
      </c>
      <c r="F12941" s="8">
        <v>150</v>
      </c>
    </row>
    <row r="12942" spans="1:6" ht="12.75">
      <c r="A12942" s="8">
        <v>43898.963275462964</v>
      </c>
      <c r="B12942" s="8" t="str">
        <f>HYPERLINK("https://twitter.com/jiteshsinght","@jiteshsinght")</f>
        <v>@jiteshsinght</v>
      </c>
      <c r="C12942" s="8" t="s">
        <v>1917</v>
      </c>
      <c r="D12942" s="8">
        <v>658</v>
      </c>
      <c r="E12942" s="8">
        <v>0</v>
      </c>
      <c r="F12942" s="8">
        <v>373</v>
      </c>
    </row>
    <row r="12943" spans="1:6" ht="12.75">
      <c r="A12943" s="8">
        <v>43898.96303240741</v>
      </c>
      <c r="B12943" s="8" t="str">
        <f>HYPERLINK("https://twitter.com/Nileshkharche9","@Nileshkharche9")</f>
        <v>@Nileshkharche9</v>
      </c>
      <c r="C12943" s="8" t="s">
        <v>1917</v>
      </c>
      <c r="D12943" s="8">
        <v>655</v>
      </c>
      <c r="E12943" s="8">
        <v>0</v>
      </c>
      <c r="F12943" s="8">
        <v>226</v>
      </c>
    </row>
    <row r="12944" spans="1:6" ht="12.75">
      <c r="A12944" s="8">
        <v>43898.962858796294</v>
      </c>
      <c r="B12944" s="8" t="str">
        <f>HYPERLINK("https://twitter.com/acapujangga","@acapujangga")</f>
        <v>@acapujangga</v>
      </c>
      <c r="C12944" s="8" t="s">
        <v>3265</v>
      </c>
      <c r="D12944" s="8">
        <v>461</v>
      </c>
      <c r="E12944" s="8">
        <v>0</v>
      </c>
      <c r="F12944" s="8">
        <v>8329</v>
      </c>
    </row>
    <row r="12945" spans="1:6" ht="12.75">
      <c r="A12945" s="8">
        <v>43898.962812500002</v>
      </c>
      <c r="B12945" s="8" t="str">
        <f>HYPERLINK("https://twitter.com/hapeproperti","@hapeproperti")</f>
        <v>@hapeproperti</v>
      </c>
      <c r="C12945" s="8" t="s">
        <v>5237</v>
      </c>
      <c r="D12945" s="8">
        <v>0</v>
      </c>
      <c r="E12945" s="8">
        <v>0</v>
      </c>
      <c r="F12945" s="8">
        <v>1627</v>
      </c>
    </row>
    <row r="12946" spans="1:6" ht="12.75">
      <c r="A12946" s="8">
        <v>43898.962129629625</v>
      </c>
      <c r="B12946" s="8" t="str">
        <f>HYPERLINK("https://twitter.com/seapish","@seapish")</f>
        <v>@seapish</v>
      </c>
      <c r="C12946" s="8" t="s">
        <v>1917</v>
      </c>
      <c r="D12946" s="8">
        <v>658</v>
      </c>
      <c r="E12946" s="8">
        <v>0</v>
      </c>
      <c r="F12946" s="8">
        <v>247</v>
      </c>
    </row>
    <row r="12947" spans="1:6" ht="12.75">
      <c r="A12947" s="8">
        <v>43898.962048611109</v>
      </c>
      <c r="B12947" s="8" t="str">
        <f>HYPERLINK("https://twitter.com/anupmudgal","@anupmudgal")</f>
        <v>@anupmudgal</v>
      </c>
      <c r="C12947" s="8" t="s">
        <v>1917</v>
      </c>
      <c r="D12947" s="8">
        <v>658</v>
      </c>
      <c r="E12947" s="8">
        <v>0</v>
      </c>
      <c r="F12947" s="8">
        <v>263</v>
      </c>
    </row>
    <row r="12948" spans="1:6" ht="12.75">
      <c r="A12948" s="8">
        <v>43898.961921296301</v>
      </c>
      <c r="B12948" s="8" t="str">
        <f>HYPERLINK("https://twitter.com/_philalethes_","@_philalethes_")</f>
        <v>@_philalethes_</v>
      </c>
      <c r="C12948" s="8" t="s">
        <v>1917</v>
      </c>
      <c r="D12948" s="8">
        <v>658</v>
      </c>
      <c r="E12948" s="8">
        <v>0</v>
      </c>
      <c r="F12948" s="8">
        <v>501</v>
      </c>
    </row>
    <row r="12949" spans="1:6" ht="12.75">
      <c r="A12949" s="8">
        <v>43898.961087962962</v>
      </c>
      <c r="B12949" s="8" t="str">
        <f>HYPERLINK("https://twitter.com/muslimpribumi","@muslimpribumi")</f>
        <v>@muslimpribumi</v>
      </c>
      <c r="C12949" s="8" t="s">
        <v>3265</v>
      </c>
      <c r="D12949" s="8">
        <v>461</v>
      </c>
      <c r="E12949" s="8">
        <v>0</v>
      </c>
      <c r="F12949" s="8">
        <v>2213</v>
      </c>
    </row>
    <row r="12950" spans="1:6" ht="12.75">
      <c r="A12950" s="8">
        <v>43898.961076388892</v>
      </c>
      <c r="B12950" s="8" t="str">
        <f>HYPERLINK("https://twitter.com/pavithrab96","@pavithrab96")</f>
        <v>@pavithrab96</v>
      </c>
      <c r="C12950" s="8" t="s">
        <v>1917</v>
      </c>
      <c r="D12950" s="8">
        <v>658</v>
      </c>
      <c r="E12950" s="8">
        <v>0</v>
      </c>
      <c r="F12950" s="8">
        <v>1312</v>
      </c>
    </row>
    <row r="12951" spans="1:6" ht="12.75">
      <c r="A12951" s="8">
        <v>43898.961006944446</v>
      </c>
      <c r="B12951" s="8" t="str">
        <f>HYPERLINK("https://twitter.com/koulrohit2016","@koulrohit2016")</f>
        <v>@koulrohit2016</v>
      </c>
      <c r="C12951" s="8" t="s">
        <v>1917</v>
      </c>
      <c r="D12951" s="8">
        <v>658</v>
      </c>
      <c r="E12951" s="8">
        <v>0</v>
      </c>
      <c r="F12951" s="8">
        <v>551</v>
      </c>
    </row>
    <row r="12952" spans="1:6" ht="12.75">
      <c r="A12952" s="8">
        <v>43898.960543981477</v>
      </c>
      <c r="B12952" s="8" t="str">
        <f>HYPERLINK("https://twitter.com/prashhtrivedi","@prashhtrivedi")</f>
        <v>@prashhtrivedi</v>
      </c>
      <c r="C12952" s="8" t="s">
        <v>1917</v>
      </c>
      <c r="D12952" s="8">
        <v>658</v>
      </c>
      <c r="E12952" s="8">
        <v>0</v>
      </c>
      <c r="F12952" s="8">
        <v>515</v>
      </c>
    </row>
    <row r="12953" spans="1:6" ht="12.75">
      <c r="A12953" s="8">
        <v>43898.960173611107</v>
      </c>
      <c r="B12953" s="8" t="str">
        <f>HYPERLINK("https://twitter.com/PoisonOfChoice","@PoisonOfChoice")</f>
        <v>@PoisonOfChoice</v>
      </c>
      <c r="C12953" s="8" t="s">
        <v>1917</v>
      </c>
      <c r="D12953" s="8">
        <v>658</v>
      </c>
      <c r="E12953" s="8">
        <v>0</v>
      </c>
      <c r="F12953" s="8">
        <v>1897</v>
      </c>
    </row>
    <row r="12954" spans="1:6" ht="12.75">
      <c r="A12954" s="8">
        <v>43898.960092592592</v>
      </c>
      <c r="B12954" s="8" t="str">
        <f>HYPERLINK("https://twitter.com/Coldplay91","@Coldplay91")</f>
        <v>@Coldplay91</v>
      </c>
      <c r="C12954" s="8" t="s">
        <v>1917</v>
      </c>
      <c r="D12954" s="8">
        <v>658</v>
      </c>
      <c r="E12954" s="8">
        <v>0</v>
      </c>
      <c r="F12954" s="8">
        <v>365</v>
      </c>
    </row>
    <row r="12955" spans="1:6" ht="12.75">
      <c r="A12955" s="8">
        <v>43898.960046296299</v>
      </c>
      <c r="B12955" s="8" t="str">
        <f>HYPERLINK("https://twitter.com/manjan_d","@manjan_d")</f>
        <v>@manjan_d</v>
      </c>
      <c r="C12955" s="8" t="s">
        <v>1917</v>
      </c>
      <c r="D12955" s="8">
        <v>658</v>
      </c>
      <c r="E12955" s="8">
        <v>0</v>
      </c>
      <c r="F12955" s="8">
        <v>63</v>
      </c>
    </row>
    <row r="12956" spans="1:6" ht="12.75">
      <c r="A12956" s="8">
        <v>43898.960034722222</v>
      </c>
      <c r="B12956" s="8" t="str">
        <f>HYPERLINK("https://twitter.com/kganti","@kganti")</f>
        <v>@kganti</v>
      </c>
      <c r="C12956" s="8" t="s">
        <v>1917</v>
      </c>
      <c r="D12956" s="8">
        <v>658</v>
      </c>
      <c r="E12956" s="8">
        <v>0</v>
      </c>
      <c r="F12956" s="8">
        <v>88</v>
      </c>
    </row>
    <row r="12957" spans="1:6" ht="12.75">
      <c r="A12957" s="8">
        <v>43898.959791666668</v>
      </c>
      <c r="B12957" s="8" t="str">
        <f>HYPERLINK("https://twitter.com/BatbaIl","@BatbaIl")</f>
        <v>@BatbaIl</v>
      </c>
      <c r="C12957" s="8" t="s">
        <v>1917</v>
      </c>
      <c r="D12957" s="8">
        <v>658</v>
      </c>
      <c r="E12957" s="8">
        <v>0</v>
      </c>
      <c r="F12957" s="8">
        <v>490</v>
      </c>
    </row>
    <row r="12958" spans="1:6" ht="12.75">
      <c r="A12958" s="8">
        <v>43898.959675925929</v>
      </c>
      <c r="B12958" s="8" t="str">
        <f>HYPERLINK("https://twitter.com/yadavsonu5529","@yadavsonu5529")</f>
        <v>@yadavsonu5529</v>
      </c>
      <c r="C12958" s="8" t="s">
        <v>1917</v>
      </c>
      <c r="D12958" s="8">
        <v>658</v>
      </c>
      <c r="E12958" s="8">
        <v>0</v>
      </c>
      <c r="F12958" s="8">
        <v>3700</v>
      </c>
    </row>
    <row r="12959" spans="1:6" ht="12.75">
      <c r="A12959" s="8">
        <v>43898.959432870368</v>
      </c>
      <c r="B12959" s="8" t="str">
        <f>HYPERLINK("https://twitter.com/AkhmadDimyati13","@AkhmadDimyati13")</f>
        <v>@AkhmadDimyati13</v>
      </c>
      <c r="C12959" s="8" t="s">
        <v>3265</v>
      </c>
      <c r="D12959" s="8">
        <v>461</v>
      </c>
      <c r="E12959" s="8">
        <v>0</v>
      </c>
      <c r="F12959" s="8">
        <v>179</v>
      </c>
    </row>
    <row r="12960" spans="1:6" ht="12.75">
      <c r="A12960" s="8">
        <v>43898.959050925929</v>
      </c>
      <c r="B12960" s="8" t="str">
        <f>HYPERLINK("https://twitter.com/sobandevarajan1","@sobandevarajan1")</f>
        <v>@sobandevarajan1</v>
      </c>
      <c r="C12960" s="8" t="s">
        <v>1917</v>
      </c>
      <c r="D12960" s="8">
        <v>658</v>
      </c>
      <c r="E12960" s="8">
        <v>0</v>
      </c>
      <c r="F12960" s="8">
        <v>793</v>
      </c>
    </row>
    <row r="12961" spans="1:6" ht="12.75">
      <c r="A12961" s="8">
        <v>43898.958622685182</v>
      </c>
      <c r="B12961" s="8" t="str">
        <f>HYPERLINK("https://twitter.com/vairagibaba","@vairagibaba")</f>
        <v>@vairagibaba</v>
      </c>
      <c r="C12961" s="8" t="s">
        <v>1917</v>
      </c>
      <c r="D12961" s="8">
        <v>658</v>
      </c>
      <c r="E12961" s="8">
        <v>0</v>
      </c>
      <c r="F12961" s="8">
        <v>6669</v>
      </c>
    </row>
    <row r="12962" spans="1:6" ht="12.75">
      <c r="A12962" s="8">
        <v>43898.958425925928</v>
      </c>
      <c r="B12962" s="8" t="str">
        <f>HYPERLINK("https://twitter.com/B664XSIH","@B664XSIH")</f>
        <v>@B664XSIH</v>
      </c>
      <c r="C12962" s="8" t="s">
        <v>5059</v>
      </c>
      <c r="D12962" s="8">
        <v>20</v>
      </c>
      <c r="E12962" s="8">
        <v>0</v>
      </c>
      <c r="F12962" s="8">
        <v>5001</v>
      </c>
    </row>
    <row r="12963" spans="1:6" ht="12.75">
      <c r="A12963" s="8">
        <v>43898.958344907413</v>
      </c>
      <c r="B12963" s="8" t="str">
        <f>HYPERLINK("https://twitter.com/Genpi_Co","@Genpi_Co")</f>
        <v>@Genpi_Co</v>
      </c>
      <c r="C12963" s="8" t="s">
        <v>5238</v>
      </c>
      <c r="D12963" s="8">
        <v>0</v>
      </c>
      <c r="E12963" s="8">
        <v>0</v>
      </c>
      <c r="F12963" s="8">
        <v>1750</v>
      </c>
    </row>
    <row r="12964" spans="1:6" ht="12.75">
      <c r="A12964" s="8">
        <v>43898.95815972222</v>
      </c>
      <c r="B12964" s="8" t="str">
        <f>HYPERLINK("https://twitter.com/srjk22","@srjk22")</f>
        <v>@srjk22</v>
      </c>
      <c r="C12964" s="8" t="s">
        <v>1917</v>
      </c>
      <c r="D12964" s="8">
        <v>658</v>
      </c>
      <c r="E12964" s="8">
        <v>0</v>
      </c>
      <c r="F12964" s="8">
        <v>10645</v>
      </c>
    </row>
    <row r="12965" spans="1:6" ht="12.75">
      <c r="A12965" s="8">
        <v>43898.958125000005</v>
      </c>
      <c r="B12965" s="8" t="str">
        <f>HYPERLINK("https://twitter.com/YanHarahap","@YanHarahap")</f>
        <v>@YanHarahap</v>
      </c>
      <c r="C12965" s="8" t="s">
        <v>4778</v>
      </c>
      <c r="D12965" s="8">
        <v>1</v>
      </c>
      <c r="E12965" s="8">
        <v>0</v>
      </c>
      <c r="F12965" s="8">
        <v>5458</v>
      </c>
    </row>
    <row r="12966" spans="1:6" ht="12.75">
      <c r="A12966" s="8">
        <v>43898.958125000005</v>
      </c>
      <c r="B12966" s="8" t="str">
        <f>HYPERLINK("https://twitter.com/Tonyptel","@Tonyptel")</f>
        <v>@Tonyptel</v>
      </c>
      <c r="C12966" s="8" t="s">
        <v>1917</v>
      </c>
      <c r="D12966" s="8">
        <v>658</v>
      </c>
      <c r="E12966" s="8">
        <v>0</v>
      </c>
      <c r="F12966" s="8">
        <v>122</v>
      </c>
    </row>
    <row r="12967" spans="1:6" ht="12.75">
      <c r="A12967" s="8">
        <v>43898.957824074074</v>
      </c>
      <c r="B12967" s="8" t="str">
        <f>HYPERLINK("https://twitter.com/RBN43617474","@RBN43617474")</f>
        <v>@RBN43617474</v>
      </c>
      <c r="C12967" s="8" t="s">
        <v>1917</v>
      </c>
      <c r="D12967" s="8">
        <v>658</v>
      </c>
      <c r="E12967" s="8">
        <v>0</v>
      </c>
      <c r="F12967" s="8">
        <v>60</v>
      </c>
    </row>
    <row r="12968" spans="1:6" ht="12.75">
      <c r="A12968" s="8">
        <v>43898.957789351851</v>
      </c>
      <c r="B12968" s="8" t="str">
        <f>HYPERLINK("https://twitter.com/DipendraDipzo","@DipendraDipzo")</f>
        <v>@DipendraDipzo</v>
      </c>
      <c r="C12968" s="8" t="s">
        <v>1917</v>
      </c>
      <c r="D12968" s="8">
        <v>658</v>
      </c>
      <c r="E12968" s="8">
        <v>0</v>
      </c>
      <c r="F12968" s="8">
        <v>4924</v>
      </c>
    </row>
    <row r="12969" spans="1:6" ht="12.75">
      <c r="A12969" s="8">
        <v>43898.957673611112</v>
      </c>
      <c r="B12969" s="8" t="str">
        <f>HYPERLINK("https://twitter.com/vivekdshetty","@vivekdshetty")</f>
        <v>@vivekdshetty</v>
      </c>
      <c r="C12969" s="8" t="s">
        <v>1917</v>
      </c>
      <c r="D12969" s="8">
        <v>658</v>
      </c>
      <c r="E12969" s="8">
        <v>0</v>
      </c>
      <c r="F12969" s="8">
        <v>102</v>
      </c>
    </row>
    <row r="12970" spans="1:6" ht="12.75">
      <c r="A12970" s="8">
        <v>43898.957592592589</v>
      </c>
      <c r="B12970" s="8" t="str">
        <f>HYPERLINK("https://twitter.com/keashe24","@keashe24")</f>
        <v>@keashe24</v>
      </c>
      <c r="C12970" s="8" t="s">
        <v>5239</v>
      </c>
      <c r="D12970" s="8">
        <v>0</v>
      </c>
      <c r="E12970" s="8">
        <v>0</v>
      </c>
      <c r="F12970" s="8">
        <v>1129</v>
      </c>
    </row>
    <row r="12971" spans="1:6" ht="12.75">
      <c r="A12971" s="8">
        <v>43898.957175925927</v>
      </c>
      <c r="B12971" s="8" t="str">
        <f>HYPERLINK("https://twitter.com/bambangsarlito","@bambangsarlito")</f>
        <v>@bambangsarlito</v>
      </c>
      <c r="C12971" s="8" t="s">
        <v>5059</v>
      </c>
      <c r="D12971" s="8">
        <v>20</v>
      </c>
      <c r="E12971" s="8">
        <v>0</v>
      </c>
      <c r="F12971" s="8">
        <v>359</v>
      </c>
    </row>
    <row r="12972" spans="1:6" ht="12.75">
      <c r="A12972" s="8">
        <v>43898.956886574073</v>
      </c>
      <c r="B12972" s="8" t="str">
        <f>HYPERLINK("https://twitter.com/rahmanmunich","@rahmanmunich")</f>
        <v>@rahmanmunich</v>
      </c>
      <c r="C12972" s="8" t="s">
        <v>5059</v>
      </c>
      <c r="D12972" s="8">
        <v>20</v>
      </c>
      <c r="E12972" s="8">
        <v>0</v>
      </c>
      <c r="F12972" s="8">
        <v>573</v>
      </c>
    </row>
    <row r="12973" spans="1:6" ht="12.75">
      <c r="A12973" s="8">
        <v>43898.956759259258</v>
      </c>
      <c r="B12973" s="8" t="str">
        <f>HYPERLINK("https://twitter.com/Frogenemy","@Frogenemy")</f>
        <v>@Frogenemy</v>
      </c>
      <c r="C12973" s="8" t="s">
        <v>5240</v>
      </c>
      <c r="D12973" s="8">
        <v>0</v>
      </c>
      <c r="E12973" s="8">
        <v>0</v>
      </c>
      <c r="F12973" s="8">
        <v>1811</v>
      </c>
    </row>
    <row r="12974" spans="1:6" ht="12.75">
      <c r="A12974" s="8">
        <v>43898.956041666665</v>
      </c>
      <c r="B12974" s="8" t="str">
        <f>HYPERLINK("https://twitter.com/katatodaycom","@katatodaycom")</f>
        <v>@katatodaycom</v>
      </c>
      <c r="C12974" s="8" t="s">
        <v>5158</v>
      </c>
      <c r="D12974" s="8">
        <v>0</v>
      </c>
      <c r="E12974" s="8">
        <v>0</v>
      </c>
      <c r="F12974" s="8">
        <v>1294</v>
      </c>
    </row>
    <row r="12975" spans="1:6" ht="12.75">
      <c r="A12975" s="8">
        <v>43898.956041666665</v>
      </c>
      <c r="B12975" s="8" t="str">
        <f>HYPERLINK("https://twitter.com/isis_alexandria","@isis_alexandria")</f>
        <v>@isis_alexandria</v>
      </c>
      <c r="C12975" s="8" t="s">
        <v>5241</v>
      </c>
      <c r="D12975" s="8">
        <v>1260</v>
      </c>
      <c r="E12975" s="8">
        <v>0</v>
      </c>
      <c r="F12975" s="8">
        <v>240</v>
      </c>
    </row>
    <row r="12976" spans="1:6" ht="12.75">
      <c r="A12976" s="8">
        <v>43898.955648148149</v>
      </c>
      <c r="B12976" s="8" t="str">
        <f>HYPERLINK("https://twitter.com/NegriMerahPutih","@NegriMerahPutih")</f>
        <v>@NegriMerahPutih</v>
      </c>
      <c r="C12976" s="8" t="s">
        <v>5242</v>
      </c>
      <c r="D12976" s="8">
        <v>0</v>
      </c>
      <c r="E12976" s="8">
        <v>1</v>
      </c>
      <c r="F12976" s="8">
        <v>1559</v>
      </c>
    </row>
    <row r="12977" spans="1:6" ht="12.75">
      <c r="A12977" s="8">
        <v>43898.954872685186</v>
      </c>
      <c r="B12977" s="8" t="str">
        <f>HYPERLINK("https://twitter.com/thanosbhaiyaa","@thanosbhaiyaa")</f>
        <v>@thanosbhaiyaa</v>
      </c>
      <c r="C12977" s="8" t="s">
        <v>1917</v>
      </c>
      <c r="D12977" s="8">
        <v>658</v>
      </c>
      <c r="E12977" s="8">
        <v>0</v>
      </c>
      <c r="F12977" s="8">
        <v>105</v>
      </c>
    </row>
    <row r="12978" spans="1:6" ht="12.75">
      <c r="A12978" s="8">
        <v>43898.95484953704</v>
      </c>
      <c r="B12978" s="8" t="str">
        <f>HYPERLINK("https://twitter.com/richardyl","@richardyl")</f>
        <v>@richardyl</v>
      </c>
      <c r="C12978" s="8" t="s">
        <v>4801</v>
      </c>
      <c r="D12978" s="8">
        <v>109</v>
      </c>
      <c r="E12978" s="8">
        <v>0</v>
      </c>
      <c r="F12978" s="8">
        <v>342</v>
      </c>
    </row>
    <row r="12979" spans="1:6" ht="12.75">
      <c r="A12979" s="8">
        <v>43898.954571759255</v>
      </c>
      <c r="B12979" s="8" t="str">
        <f>HYPERLINK("https://twitter.com/iqbal_khaerul","@iqbal_khaerul")</f>
        <v>@iqbal_khaerul</v>
      </c>
      <c r="C12979" s="8" t="s">
        <v>1399</v>
      </c>
      <c r="D12979" s="8">
        <v>52</v>
      </c>
      <c r="E12979" s="8">
        <v>0</v>
      </c>
      <c r="F12979" s="8">
        <v>210</v>
      </c>
    </row>
    <row r="12980" spans="1:6" ht="12.75">
      <c r="A12980" s="8">
        <v>43898.954513888893</v>
      </c>
      <c r="B12980" s="8" t="str">
        <f>HYPERLINK("https://twitter.com/riyandistaa","@riyandistaa")</f>
        <v>@riyandistaa</v>
      </c>
      <c r="C12980" s="8" t="s">
        <v>5243</v>
      </c>
      <c r="D12980" s="8">
        <v>2</v>
      </c>
      <c r="E12980" s="8">
        <v>0</v>
      </c>
      <c r="F12980" s="8">
        <v>105</v>
      </c>
    </row>
    <row r="12981" spans="1:6" ht="12.75">
      <c r="A12981" s="8">
        <v>43898.953773148147</v>
      </c>
      <c r="B12981" s="8" t="str">
        <f>HYPERLINK("https://twitter.com/vishnu_moholkar","@vishnu_moholkar")</f>
        <v>@vishnu_moholkar</v>
      </c>
      <c r="C12981" s="8" t="s">
        <v>1917</v>
      </c>
      <c r="D12981" s="8">
        <v>658</v>
      </c>
      <c r="E12981" s="8">
        <v>0</v>
      </c>
      <c r="F12981" s="8">
        <v>416</v>
      </c>
    </row>
    <row r="12982" spans="1:6" ht="12.75">
      <c r="A12982" s="8">
        <v>43898.95376157407</v>
      </c>
      <c r="B12982" s="8" t="str">
        <f>HYPERLINK("https://twitter.com/FeriPurwo","@FeriPurwo")</f>
        <v>@FeriPurwo</v>
      </c>
      <c r="C12982" s="8" t="s">
        <v>5244</v>
      </c>
      <c r="D12982" s="8">
        <v>0</v>
      </c>
      <c r="E12982" s="8">
        <v>0</v>
      </c>
      <c r="F12982" s="8">
        <v>17196</v>
      </c>
    </row>
    <row r="12983" spans="1:6" ht="12.75">
      <c r="A12983" s="8">
        <v>43898.953379629631</v>
      </c>
      <c r="B12983" s="8" t="str">
        <f>HYPERLINK("https://twitter.com/bladesnapper","@bladesnapper")</f>
        <v>@bladesnapper</v>
      </c>
      <c r="C12983" s="8" t="s">
        <v>5103</v>
      </c>
      <c r="D12983" s="8">
        <v>226</v>
      </c>
      <c r="E12983" s="8">
        <v>0</v>
      </c>
      <c r="F12983" s="8">
        <v>117</v>
      </c>
    </row>
    <row r="12984" spans="1:6" ht="12.75">
      <c r="A12984" s="8">
        <v>43898.953194444446</v>
      </c>
      <c r="B12984" s="8" t="str">
        <f>HYPERLINK("https://twitter.com/siabay","@siabay")</f>
        <v>@siabay</v>
      </c>
      <c r="C12984" s="8" t="s">
        <v>5245</v>
      </c>
      <c r="D12984" s="8">
        <v>2</v>
      </c>
      <c r="E12984" s="8">
        <v>0</v>
      </c>
      <c r="F12984" s="8">
        <v>1109</v>
      </c>
    </row>
    <row r="12985" spans="1:6" ht="12.75">
      <c r="A12985" s="8">
        <v>43898.952951388885</v>
      </c>
      <c r="B12985" s="8" t="str">
        <f>HYPERLINK("https://twitter.com/Yogs_Blr","@Yogs_Blr")</f>
        <v>@Yogs_Blr</v>
      </c>
      <c r="C12985" s="8" t="s">
        <v>1917</v>
      </c>
      <c r="D12985" s="8">
        <v>658</v>
      </c>
      <c r="E12985" s="8">
        <v>0</v>
      </c>
      <c r="F12985" s="8">
        <v>63</v>
      </c>
    </row>
    <row r="12986" spans="1:6" ht="12.75">
      <c r="A12986" s="8">
        <v>43898.952777777777</v>
      </c>
      <c r="B12986" s="8" t="str">
        <f>HYPERLINK("https://twitter.com/akelaladunga","@akelaladunga")</f>
        <v>@akelaladunga</v>
      </c>
      <c r="C12986" s="8" t="s">
        <v>1917</v>
      </c>
      <c r="D12986" s="8">
        <v>658</v>
      </c>
      <c r="E12986" s="8">
        <v>0</v>
      </c>
      <c r="F12986" s="8">
        <v>178</v>
      </c>
    </row>
    <row r="12987" spans="1:6" ht="12.75">
      <c r="A12987" s="8">
        <v>43898.952013888891</v>
      </c>
      <c r="B12987" s="8" t="str">
        <f>HYPERLINK("https://twitter.com/sukatanyaj","@sukatanyaj")</f>
        <v>@sukatanyaj</v>
      </c>
      <c r="C12987" s="8" t="s">
        <v>3511</v>
      </c>
      <c r="D12987" s="8">
        <v>159</v>
      </c>
      <c r="E12987" s="8">
        <v>0</v>
      </c>
      <c r="F12987" s="8">
        <v>5698</v>
      </c>
    </row>
    <row r="12988" spans="1:6" ht="12.75">
      <c r="A12988" s="8">
        <v>43898.951747685191</v>
      </c>
      <c r="B12988" s="8" t="str">
        <f>HYPERLINK("https://twitter.com/IRSAPress","@IRSAPress")</f>
        <v>@IRSAPress</v>
      </c>
      <c r="C12988" s="8" t="s">
        <v>4548</v>
      </c>
      <c r="D12988" s="8">
        <v>16</v>
      </c>
      <c r="E12988" s="8">
        <v>0</v>
      </c>
      <c r="F12988" s="8">
        <v>287</v>
      </c>
    </row>
    <row r="12989" spans="1:6" ht="12.75">
      <c r="A12989" s="8">
        <v>43898.951527777783</v>
      </c>
      <c r="B12989" s="8" t="str">
        <f>HYPERLINK("https://twitter.com/aoi_usagi79","@aoi_usagi79")</f>
        <v>@aoi_usagi79</v>
      </c>
      <c r="C12989" s="8" t="s">
        <v>5059</v>
      </c>
      <c r="D12989" s="8">
        <v>20</v>
      </c>
      <c r="E12989" s="8">
        <v>0</v>
      </c>
      <c r="F12989" s="8">
        <v>369</v>
      </c>
    </row>
    <row r="12990" spans="1:6" ht="12.75">
      <c r="A12990" s="8">
        <v>43898.951249999998</v>
      </c>
      <c r="B12990" s="8" t="str">
        <f>HYPERLINK("https://twitter.com/maulida_kr","@maulida_kr")</f>
        <v>@maulida_kr</v>
      </c>
      <c r="C12990" s="8" t="s">
        <v>4801</v>
      </c>
      <c r="D12990" s="8">
        <v>109</v>
      </c>
      <c r="E12990" s="8">
        <v>0</v>
      </c>
      <c r="F12990" s="8">
        <v>143</v>
      </c>
    </row>
    <row r="12991" spans="1:6" ht="12.75">
      <c r="A12991" s="8">
        <v>43898.950497685189</v>
      </c>
      <c r="B12991" s="8" t="str">
        <f t="shared" ref="B12991:B12992" si="202">HYPERLINK("https://twitter.com/desfandri","@desfandri")</f>
        <v>@desfandri</v>
      </c>
      <c r="C12991" s="8" t="s">
        <v>5246</v>
      </c>
      <c r="D12991" s="8">
        <v>0</v>
      </c>
      <c r="E12991" s="8">
        <v>0</v>
      </c>
      <c r="F12991" s="8">
        <v>160</v>
      </c>
    </row>
    <row r="12992" spans="1:6" ht="12.75">
      <c r="A12992" s="8">
        <v>43898.950358796297</v>
      </c>
      <c r="B12992" s="8" t="str">
        <f t="shared" si="202"/>
        <v>@desfandri</v>
      </c>
      <c r="C12992" s="8" t="s">
        <v>5247</v>
      </c>
      <c r="D12992" s="8">
        <v>0</v>
      </c>
      <c r="E12992" s="8">
        <v>0</v>
      </c>
      <c r="F12992" s="8">
        <v>160</v>
      </c>
    </row>
    <row r="12993" spans="1:6" ht="12.75">
      <c r="A12993" s="8">
        <v>43898.950069444443</v>
      </c>
      <c r="B12993" s="8" t="str">
        <f>HYPERLINK("https://twitter.com/sriagungb","@sriagungb")</f>
        <v>@sriagungb</v>
      </c>
      <c r="C12993" s="8" t="s">
        <v>4801</v>
      </c>
      <c r="D12993" s="8">
        <v>109</v>
      </c>
      <c r="E12993" s="8">
        <v>0</v>
      </c>
      <c r="F12993" s="8">
        <v>216</v>
      </c>
    </row>
    <row r="12994" spans="1:6" ht="12.75">
      <c r="A12994" s="8">
        <v>43898.949583333335</v>
      </c>
      <c r="B12994" s="8" t="str">
        <f>HYPERLINK("https://twitter.com/desfandri","@desfandri")</f>
        <v>@desfandri</v>
      </c>
      <c r="C12994" s="8" t="s">
        <v>5246</v>
      </c>
      <c r="D12994" s="8">
        <v>0</v>
      </c>
      <c r="E12994" s="8">
        <v>0</v>
      </c>
      <c r="F12994" s="8">
        <v>160</v>
      </c>
    </row>
    <row r="12995" spans="1:6" ht="12.75">
      <c r="A12995" s="8">
        <v>43898.94940972222</v>
      </c>
      <c r="B12995" s="8" t="str">
        <f>HYPERLINK("https://twitter.com/05d95a682cea478","@05d95a682cea478")</f>
        <v>@05d95a682cea478</v>
      </c>
      <c r="C12995" s="8" t="s">
        <v>5248</v>
      </c>
      <c r="D12995" s="8">
        <v>1</v>
      </c>
      <c r="E12995" s="8">
        <v>2</v>
      </c>
      <c r="F12995" s="8">
        <v>14</v>
      </c>
    </row>
    <row r="12996" spans="1:6" ht="12.75">
      <c r="A12996" s="8">
        <v>43898.949178240742</v>
      </c>
      <c r="B12996" s="8" t="str">
        <f>HYPERLINK("https://twitter.com/antiksucan","@antiksucan")</f>
        <v>@antiksucan</v>
      </c>
      <c r="C12996" s="8" t="s">
        <v>4801</v>
      </c>
      <c r="D12996" s="8">
        <v>109</v>
      </c>
      <c r="E12996" s="8">
        <v>0</v>
      </c>
      <c r="F12996" s="8">
        <v>209</v>
      </c>
    </row>
    <row r="12997" spans="1:6" ht="12.75">
      <c r="A12997" s="8">
        <v>43898.948958333334</v>
      </c>
      <c r="B12997" s="8" t="str">
        <f>HYPERLINK("https://twitter.com/rooopsing","@rooopsing")</f>
        <v>@rooopsing</v>
      </c>
      <c r="C12997" s="8" t="s">
        <v>1917</v>
      </c>
      <c r="D12997" s="8">
        <v>658</v>
      </c>
      <c r="E12997" s="8">
        <v>0</v>
      </c>
      <c r="F12997" s="8">
        <v>452</v>
      </c>
    </row>
    <row r="12998" spans="1:6" ht="12.75">
      <c r="A12998" s="8">
        <v>43898.948460648149</v>
      </c>
      <c r="B12998" s="8" t="str">
        <f>HYPERLINK("https://twitter.com/sukatanyaj","@sukatanyaj")</f>
        <v>@sukatanyaj</v>
      </c>
      <c r="C12998" s="8" t="s">
        <v>4927</v>
      </c>
      <c r="D12998" s="8">
        <v>31</v>
      </c>
      <c r="E12998" s="8">
        <v>0</v>
      </c>
      <c r="F12998" s="8">
        <v>5698</v>
      </c>
    </row>
    <row r="12999" spans="1:6" ht="12.75">
      <c r="A12999" s="8">
        <v>43898.948240740741</v>
      </c>
      <c r="B12999" s="8" t="str">
        <f>HYPERLINK("https://twitter.com/MamadTaufik","@MamadTaufik")</f>
        <v>@MamadTaufik</v>
      </c>
      <c r="C12999" s="8" t="s">
        <v>3265</v>
      </c>
      <c r="D12999" s="8">
        <v>461</v>
      </c>
      <c r="E12999" s="8">
        <v>0</v>
      </c>
      <c r="F12999" s="8">
        <v>564</v>
      </c>
    </row>
    <row r="13000" spans="1:6" ht="12.75">
      <c r="A13000" s="8">
        <v>43898.948159722218</v>
      </c>
      <c r="B13000" s="8" t="str">
        <f>HYPERLINK("https://twitter.com/masjohe","@masjohe")</f>
        <v>@masjohe</v>
      </c>
      <c r="C13000" s="8" t="s">
        <v>5059</v>
      </c>
      <c r="D13000" s="8">
        <v>20</v>
      </c>
      <c r="E13000" s="8">
        <v>0</v>
      </c>
      <c r="F13000" s="8">
        <v>458</v>
      </c>
    </row>
    <row r="13001" spans="1:6" ht="12.75">
      <c r="A13001" s="8">
        <v>43898.948148148149</v>
      </c>
      <c r="B13001" s="8" t="str">
        <f>HYPERLINK("https://twitter.com/cara14cheer","@cara14cheer")</f>
        <v>@cara14cheer</v>
      </c>
      <c r="C13001" s="8" t="s">
        <v>3405</v>
      </c>
      <c r="D13001" s="8">
        <v>79</v>
      </c>
      <c r="E13001" s="8">
        <v>0</v>
      </c>
      <c r="F13001" s="8">
        <v>535</v>
      </c>
    </row>
    <row r="13002" spans="1:6" ht="12.75">
      <c r="A13002" s="8">
        <v>43898.947534722218</v>
      </c>
      <c r="B13002" s="8" t="str">
        <f>HYPERLINK("https://twitter.com/_wni_","@_wni_")</f>
        <v>@_wni_</v>
      </c>
      <c r="C13002" s="8" t="s">
        <v>5249</v>
      </c>
      <c r="D13002" s="8">
        <v>4200</v>
      </c>
      <c r="E13002" s="8">
        <v>0</v>
      </c>
      <c r="F13002" s="8">
        <v>16</v>
      </c>
    </row>
    <row r="13003" spans="1:6" ht="12.75">
      <c r="A13003" s="8">
        <v>43898.947372685187</v>
      </c>
      <c r="B13003" s="8" t="str">
        <f>HYPERLINK("https://twitter.com/vijaysheth","@vijaysheth")</f>
        <v>@vijaysheth</v>
      </c>
      <c r="C13003" s="8" t="s">
        <v>1917</v>
      </c>
      <c r="D13003" s="8">
        <v>658</v>
      </c>
      <c r="E13003" s="8">
        <v>0</v>
      </c>
      <c r="F13003" s="8">
        <v>88</v>
      </c>
    </row>
    <row r="13004" spans="1:6" ht="12.75">
      <c r="A13004" s="8">
        <v>43898.947141203702</v>
      </c>
      <c r="B13004" s="8" t="str">
        <f>HYPERLINK("https://twitter.com/Amaresh80","@Amaresh80")</f>
        <v>@Amaresh80</v>
      </c>
      <c r="C13004" s="8" t="s">
        <v>1917</v>
      </c>
      <c r="D13004" s="8">
        <v>658</v>
      </c>
      <c r="E13004" s="8">
        <v>0</v>
      </c>
      <c r="F13004" s="8">
        <v>911</v>
      </c>
    </row>
    <row r="13005" spans="1:6" ht="12.75">
      <c r="A13005" s="8">
        <v>43898.947013888886</v>
      </c>
      <c r="B13005" s="8" t="str">
        <f>HYPERLINK("https://twitter.com/rajmishra_cool","@rajmishra_cool")</f>
        <v>@rajmishra_cool</v>
      </c>
      <c r="C13005" s="8" t="s">
        <v>1917</v>
      </c>
      <c r="D13005" s="8">
        <v>658</v>
      </c>
      <c r="E13005" s="8">
        <v>0</v>
      </c>
      <c r="F13005" s="8">
        <v>56</v>
      </c>
    </row>
    <row r="13006" spans="1:6" ht="12.75">
      <c r="A13006" s="8">
        <v>43898.947002314817</v>
      </c>
      <c r="B13006" s="8" t="str">
        <f>HYPERLINK("https://twitter.com/iim666","@iim666")</f>
        <v>@iim666</v>
      </c>
      <c r="C13006" s="8" t="s">
        <v>3511</v>
      </c>
      <c r="D13006" s="8">
        <v>159</v>
      </c>
      <c r="E13006" s="8">
        <v>0</v>
      </c>
      <c r="F13006" s="8">
        <v>318</v>
      </c>
    </row>
    <row r="13007" spans="1:6" ht="12.75">
      <c r="A13007" s="8">
        <v>43898.946932870371</v>
      </c>
      <c r="B13007" s="8" t="str">
        <f>HYPERLINK("https://twitter.com/jpgl_","@jpgl_")</f>
        <v>@jpgl_</v>
      </c>
      <c r="C13007" s="8" t="s">
        <v>1917</v>
      </c>
      <c r="D13007" s="8">
        <v>658</v>
      </c>
      <c r="E13007" s="8">
        <v>0</v>
      </c>
      <c r="F13007" s="8">
        <v>452</v>
      </c>
    </row>
    <row r="13008" spans="1:6" ht="12.75">
      <c r="A13008" s="8">
        <v>43898.94666666667</v>
      </c>
      <c r="B13008" s="8" t="str">
        <f>HYPERLINK("https://twitter.com/purnomo_jati1","@purnomo_jati1")</f>
        <v>@purnomo_jati1</v>
      </c>
      <c r="C13008" s="8" t="s">
        <v>5059</v>
      </c>
      <c r="D13008" s="8">
        <v>20</v>
      </c>
      <c r="E13008" s="8">
        <v>0</v>
      </c>
      <c r="F13008" s="8">
        <v>339</v>
      </c>
    </row>
    <row r="13009" spans="1:6" ht="12.75">
      <c r="A13009" s="8">
        <v>43898.946655092594</v>
      </c>
      <c r="B13009" s="8" t="str">
        <f>HYPERLINK("https://twitter.com/bbl58","@bbl58")</f>
        <v>@bbl58</v>
      </c>
      <c r="C13009" s="8" t="s">
        <v>5160</v>
      </c>
      <c r="D13009" s="8">
        <v>1</v>
      </c>
      <c r="E13009" s="8">
        <v>0</v>
      </c>
      <c r="F13009" s="8">
        <v>33622</v>
      </c>
    </row>
    <row r="13010" spans="1:6" ht="12.75">
      <c r="A13010" s="8">
        <v>43898.946215277778</v>
      </c>
      <c r="B13010" s="8" t="str">
        <f>HYPERLINK("https://twitter.com/faldyadhoez","@faldyadhoez")</f>
        <v>@faldyadhoez</v>
      </c>
      <c r="C13010" s="8" t="s">
        <v>5059</v>
      </c>
      <c r="D13010" s="8">
        <v>20</v>
      </c>
      <c r="E13010" s="8">
        <v>0</v>
      </c>
      <c r="F13010" s="8">
        <v>176</v>
      </c>
    </row>
    <row r="13011" spans="1:6" ht="12.75">
      <c r="A13011" s="8">
        <v>43898.946111111116</v>
      </c>
      <c r="B13011" s="8" t="str">
        <f>HYPERLINK("https://twitter.com/arianrams","@arianrams")</f>
        <v>@arianrams</v>
      </c>
      <c r="C13011" s="8" t="s">
        <v>1917</v>
      </c>
      <c r="D13011" s="8">
        <v>658</v>
      </c>
      <c r="E13011" s="8">
        <v>0</v>
      </c>
      <c r="F13011" s="8">
        <v>230</v>
      </c>
    </row>
    <row r="13012" spans="1:6" ht="12.75">
      <c r="A13012" s="8">
        <v>43898.945659722223</v>
      </c>
      <c r="B13012" s="8" t="str">
        <f>HYPERLINK("https://twitter.com/nikhilnikunj","@nikhilnikunj")</f>
        <v>@nikhilnikunj</v>
      </c>
      <c r="C13012" s="8" t="s">
        <v>1917</v>
      </c>
      <c r="D13012" s="8">
        <v>658</v>
      </c>
      <c r="E13012" s="8">
        <v>0</v>
      </c>
      <c r="F13012" s="8">
        <v>1232</v>
      </c>
    </row>
    <row r="13013" spans="1:6" ht="12.75">
      <c r="A13013" s="8">
        <v>43898.945092592592</v>
      </c>
      <c r="B13013" s="8" t="str">
        <f>HYPERLINK("https://twitter.com/srinivasvenkat5","@srinivasvenkat5")</f>
        <v>@srinivasvenkat5</v>
      </c>
      <c r="C13013" s="8" t="s">
        <v>1917</v>
      </c>
      <c r="D13013" s="8">
        <v>658</v>
      </c>
      <c r="E13013" s="8">
        <v>0</v>
      </c>
      <c r="F13013" s="8">
        <v>173</v>
      </c>
    </row>
    <row r="13014" spans="1:6" ht="12.75">
      <c r="A13014" s="8">
        <v>43898.944710648153</v>
      </c>
      <c r="B13014" s="8" t="str">
        <f>HYPERLINK("https://twitter.com/jgourav28","@jgourav28")</f>
        <v>@jgourav28</v>
      </c>
      <c r="C13014" s="8" t="s">
        <v>1917</v>
      </c>
      <c r="D13014" s="8">
        <v>658</v>
      </c>
      <c r="E13014" s="8">
        <v>0</v>
      </c>
      <c r="F13014" s="8">
        <v>171</v>
      </c>
    </row>
    <row r="13015" spans="1:6" ht="12.75">
      <c r="A13015" s="8">
        <v>43898.943379629629</v>
      </c>
      <c r="B13015" s="8" t="str">
        <f>HYPERLINK("https://twitter.com/vslokhande","@vslokhande")</f>
        <v>@vslokhande</v>
      </c>
      <c r="C13015" s="8" t="s">
        <v>1917</v>
      </c>
      <c r="D13015" s="8">
        <v>658</v>
      </c>
      <c r="E13015" s="8">
        <v>0</v>
      </c>
      <c r="F13015" s="8">
        <v>228</v>
      </c>
    </row>
    <row r="13016" spans="1:6" ht="12.75">
      <c r="A13016" s="8">
        <v>43898.943182870367</v>
      </c>
      <c r="B13016" s="8" t="str">
        <f>HYPERLINK("https://twitter.com/ajaypshetty","@ajaypshetty")</f>
        <v>@ajaypshetty</v>
      </c>
      <c r="C13016" s="8" t="s">
        <v>1917</v>
      </c>
      <c r="D13016" s="8">
        <v>658</v>
      </c>
      <c r="E13016" s="8">
        <v>0</v>
      </c>
      <c r="F13016" s="8">
        <v>2417</v>
      </c>
    </row>
    <row r="13017" spans="1:6" ht="12.75">
      <c r="A13017" s="8">
        <v>43898.943067129629</v>
      </c>
      <c r="B13017" s="8" t="str">
        <f>HYPERLINK("https://twitter.com/ackmalm","@ackmalm")</f>
        <v>@ackmalm</v>
      </c>
      <c r="C13017" s="8" t="s">
        <v>5078</v>
      </c>
      <c r="D13017" s="8">
        <v>1</v>
      </c>
      <c r="E13017" s="8">
        <v>0</v>
      </c>
      <c r="F13017" s="8">
        <v>214</v>
      </c>
    </row>
    <row r="13018" spans="1:6" ht="12.75">
      <c r="A13018" s="8">
        <v>43898.942569444444</v>
      </c>
      <c r="B13018" s="8" t="str">
        <f>HYPERLINK("https://twitter.com/Makmur13745478","@Makmur13745478")</f>
        <v>@Makmur13745478</v>
      </c>
      <c r="C13018" s="8" t="s">
        <v>5250</v>
      </c>
      <c r="D13018" s="8">
        <v>0</v>
      </c>
      <c r="E13018" s="8">
        <v>0</v>
      </c>
      <c r="F13018" s="8">
        <v>310</v>
      </c>
    </row>
    <row r="13019" spans="1:6" ht="12.75">
      <c r="A13019" s="8">
        <v>43898.941481481481</v>
      </c>
      <c r="B13019" s="8" t="str">
        <f>HYPERLINK("https://twitter.com/_wni_","@_wni_")</f>
        <v>@_wni_</v>
      </c>
      <c r="C13019" s="8" t="s">
        <v>5251</v>
      </c>
      <c r="D13019" s="8">
        <v>0</v>
      </c>
      <c r="E13019" s="8">
        <v>0</v>
      </c>
      <c r="F13019" s="8">
        <v>16</v>
      </c>
    </row>
    <row r="13020" spans="1:6" ht="12.75">
      <c r="A13020" s="8">
        <v>43898.941180555557</v>
      </c>
      <c r="B13020" s="8" t="str">
        <f>HYPERLINK("https://twitter.com/sigantengaduhai","@sigantengaduhai")</f>
        <v>@sigantengaduhai</v>
      </c>
      <c r="C13020" s="8" t="s">
        <v>5059</v>
      </c>
      <c r="D13020" s="8">
        <v>20</v>
      </c>
      <c r="E13020" s="8">
        <v>0</v>
      </c>
      <c r="F13020" s="8">
        <v>428</v>
      </c>
    </row>
    <row r="13021" spans="1:6" ht="12.75">
      <c r="A13021" s="8">
        <v>43898.941122685181</v>
      </c>
      <c r="B13021" s="8" t="str">
        <f>HYPERLINK("https://twitter.com/pramila2710","@pramila2710")</f>
        <v>@pramila2710</v>
      </c>
      <c r="C13021" s="8" t="s">
        <v>1917</v>
      </c>
      <c r="D13021" s="8">
        <v>658</v>
      </c>
      <c r="E13021" s="8">
        <v>0</v>
      </c>
      <c r="F13021" s="8">
        <v>19182</v>
      </c>
    </row>
    <row r="13022" spans="1:6" ht="12.75">
      <c r="A13022" s="8">
        <v>43898.940949074073</v>
      </c>
      <c r="B13022" s="8" t="str">
        <f>HYPERLINK("https://twitter.com/crypticyogi","@crypticyogi")</f>
        <v>@crypticyogi</v>
      </c>
      <c r="C13022" s="8" t="s">
        <v>1917</v>
      </c>
      <c r="D13022" s="8">
        <v>658</v>
      </c>
      <c r="E13022" s="8">
        <v>0</v>
      </c>
      <c r="F13022" s="8">
        <v>48</v>
      </c>
    </row>
    <row r="13023" spans="1:6" ht="12.75">
      <c r="A13023" s="8">
        <v>43898.94085648148</v>
      </c>
      <c r="B13023" s="8" t="str">
        <f>HYPERLINK("https://twitter.com/lndriati","@lndriati")</f>
        <v>@lndriati</v>
      </c>
      <c r="C13023" s="8" t="s">
        <v>3265</v>
      </c>
      <c r="D13023" s="8">
        <v>461</v>
      </c>
      <c r="E13023" s="8">
        <v>0</v>
      </c>
      <c r="F13023" s="8">
        <v>258</v>
      </c>
    </row>
    <row r="13024" spans="1:6" ht="12.75">
      <c r="A13024" s="8">
        <v>43898.940601851849</v>
      </c>
      <c r="B13024" s="8" t="str">
        <f>HYPERLINK("https://twitter.com/ParmonanganRaja","@ParmonanganRaja")</f>
        <v>@ParmonanganRaja</v>
      </c>
      <c r="C13024" s="8" t="s">
        <v>5252</v>
      </c>
      <c r="D13024" s="8">
        <v>0</v>
      </c>
      <c r="E13024" s="8">
        <v>0</v>
      </c>
      <c r="F13024" s="8">
        <v>197</v>
      </c>
    </row>
    <row r="13025" spans="1:6" ht="12.75">
      <c r="A13025" s="8">
        <v>43898.940520833334</v>
      </c>
      <c r="B13025" s="8" t="str">
        <f>HYPERLINK("https://twitter.com/HeriCombo","@HeriCombo")</f>
        <v>@HeriCombo</v>
      </c>
      <c r="C13025" s="8" t="s">
        <v>5059</v>
      </c>
      <c r="D13025" s="8">
        <v>20</v>
      </c>
      <c r="E13025" s="8">
        <v>0</v>
      </c>
      <c r="F13025" s="8">
        <v>332</v>
      </c>
    </row>
    <row r="13026" spans="1:6" ht="12.75">
      <c r="A13026" s="8">
        <v>43898.940381944441</v>
      </c>
      <c r="B13026" s="8" t="str">
        <f>HYPERLINK("https://twitter.com/NuningRusia","@NuningRusia")</f>
        <v>@NuningRusia</v>
      </c>
      <c r="C13026" s="8" t="s">
        <v>5059</v>
      </c>
      <c r="D13026" s="8">
        <v>20</v>
      </c>
      <c r="E13026" s="8">
        <v>0</v>
      </c>
      <c r="F13026" s="8">
        <v>606</v>
      </c>
    </row>
    <row r="13027" spans="1:6" ht="12.75">
      <c r="A13027" s="8">
        <v>43898.939965277779</v>
      </c>
      <c r="B13027" s="8" t="str">
        <f>HYPERLINK("https://twitter.com/fullyfaltu2020","@fullyfaltu2020")</f>
        <v>@fullyfaltu2020</v>
      </c>
      <c r="C13027" s="8" t="s">
        <v>1917</v>
      </c>
      <c r="D13027" s="8">
        <v>658</v>
      </c>
      <c r="E13027" s="8">
        <v>0</v>
      </c>
      <c r="F13027" s="8">
        <v>202</v>
      </c>
    </row>
    <row r="13028" spans="1:6" ht="12.75">
      <c r="A13028" s="8">
        <v>43898.939687499995</v>
      </c>
      <c r="B13028" s="8" t="str">
        <f>HYPERLINK("https://twitter.com/shiro35_","@shiro35_")</f>
        <v>@shiro35_</v>
      </c>
      <c r="C13028" s="8" t="s">
        <v>5059</v>
      </c>
      <c r="D13028" s="8">
        <v>20</v>
      </c>
      <c r="E13028" s="8">
        <v>0</v>
      </c>
      <c r="F13028" s="8">
        <v>356</v>
      </c>
    </row>
    <row r="13029" spans="1:6" ht="12.75">
      <c r="A13029" s="8">
        <v>43898.939421296294</v>
      </c>
      <c r="B13029" s="8" t="str">
        <f>HYPERLINK("https://twitter.com/JuliacantikSays","@JuliacantikSays")</f>
        <v>@JuliacantikSays</v>
      </c>
      <c r="C13029" s="8" t="s">
        <v>4617</v>
      </c>
      <c r="D13029" s="8">
        <v>1</v>
      </c>
      <c r="E13029" s="8">
        <v>0</v>
      </c>
      <c r="F13029" s="8">
        <v>105</v>
      </c>
    </row>
    <row r="13030" spans="1:6" ht="12.75">
      <c r="A13030" s="8">
        <v>43898.93917824074</v>
      </c>
      <c r="B13030" s="8" t="str">
        <f>HYPERLINK("https://twitter.com/cendananews","@cendananews")</f>
        <v>@cendananews</v>
      </c>
      <c r="C13030" s="8" t="s">
        <v>5253</v>
      </c>
      <c r="D13030" s="8">
        <v>0</v>
      </c>
      <c r="E13030" s="8">
        <v>0</v>
      </c>
      <c r="F13030" s="8">
        <v>4572</v>
      </c>
    </row>
    <row r="13031" spans="1:6" ht="12.75">
      <c r="A13031" s="8">
        <v>43898.939050925925</v>
      </c>
      <c r="B13031" s="8" t="str">
        <f>HYPERLINK("https://twitter.com/M_s_faisal","@M_s_faisal")</f>
        <v>@M_s_faisal</v>
      </c>
      <c r="C13031" s="8" t="s">
        <v>5254</v>
      </c>
      <c r="D13031" s="8">
        <v>0</v>
      </c>
      <c r="E13031" s="8">
        <v>0</v>
      </c>
      <c r="F13031" s="8">
        <v>34</v>
      </c>
    </row>
    <row r="13032" spans="1:6" ht="12.75">
      <c r="A13032" s="8">
        <v>43898.938842592594</v>
      </c>
      <c r="B13032" s="8" t="str">
        <f>HYPERLINK("https://twitter.com/KBRI__Roma","@KBRI__Roma")</f>
        <v>@KBRI__Roma</v>
      </c>
      <c r="C13032" s="8" t="s">
        <v>1397</v>
      </c>
      <c r="D13032" s="8">
        <v>7</v>
      </c>
      <c r="E13032" s="8">
        <v>0</v>
      </c>
      <c r="F13032" s="8">
        <v>1073</v>
      </c>
    </row>
    <row r="13033" spans="1:6" ht="12.75">
      <c r="A13033" s="8">
        <v>43898.923298611116</v>
      </c>
      <c r="B13033" s="8" t="str">
        <f>HYPERLINK("https://twitter.com/Harian_Jogja","@Harian_Jogja")</f>
        <v>@Harian_Jogja</v>
      </c>
      <c r="C13033" s="8" t="s">
        <v>5255</v>
      </c>
      <c r="D13033" s="8">
        <v>0</v>
      </c>
      <c r="E13033" s="8">
        <v>0</v>
      </c>
      <c r="F13033" s="8">
        <v>155883</v>
      </c>
    </row>
    <row r="13034" spans="1:6" ht="12.75">
      <c r="A13034" s="8">
        <v>43898.922939814816</v>
      </c>
      <c r="B13034" s="8" t="str">
        <f>HYPERLINK("https://twitter.com/telcowarrior","@telcowarrior")</f>
        <v>@telcowarrior</v>
      </c>
      <c r="C13034" s="8" t="s">
        <v>5256</v>
      </c>
      <c r="D13034" s="8">
        <v>0</v>
      </c>
      <c r="E13034" s="8">
        <v>0</v>
      </c>
      <c r="F13034" s="8">
        <v>0</v>
      </c>
    </row>
    <row r="13035" spans="1:6" ht="12.75">
      <c r="A13035" s="8">
        <v>43898.922789351855</v>
      </c>
      <c r="B13035" s="8" t="str">
        <f>HYPERLINK("https://twitter.com/PradityaBeni","@PradityaBeni")</f>
        <v>@PradityaBeni</v>
      </c>
      <c r="C13035" s="8" t="s">
        <v>3265</v>
      </c>
      <c r="D13035" s="8">
        <v>446</v>
      </c>
      <c r="E13035" s="8">
        <v>0</v>
      </c>
      <c r="F13035" s="8">
        <v>1300</v>
      </c>
    </row>
    <row r="13036" spans="1:6" ht="12.75">
      <c r="A13036" s="8">
        <v>43898.922662037032</v>
      </c>
      <c r="B13036" s="8" t="str">
        <f>HYPERLINK("https://twitter.com/abhatiwari12","@abhatiwari12")</f>
        <v>@abhatiwari12</v>
      </c>
      <c r="C13036" s="8" t="s">
        <v>1917</v>
      </c>
      <c r="D13036" s="8">
        <v>568</v>
      </c>
      <c r="E13036" s="8">
        <v>0</v>
      </c>
      <c r="F13036" s="8">
        <v>746</v>
      </c>
    </row>
    <row r="13037" spans="1:6" ht="12.75">
      <c r="A13037" s="8">
        <v>43898.9221875</v>
      </c>
      <c r="B13037" s="8" t="str">
        <f>HYPERLINK("https://twitter.com/babubisleriii","@babubisleriii")</f>
        <v>@babubisleriii</v>
      </c>
      <c r="C13037" s="8" t="s">
        <v>1917</v>
      </c>
      <c r="D13037" s="8">
        <v>568</v>
      </c>
      <c r="E13037" s="8">
        <v>0</v>
      </c>
      <c r="F13037" s="8">
        <v>126</v>
      </c>
    </row>
    <row r="13038" spans="1:6" ht="12.75">
      <c r="A13038" s="8">
        <v>43898.921539351853</v>
      </c>
      <c r="B13038" s="8" t="str">
        <f>HYPERLINK("https://twitter.com/sanggembalaawan","@sanggembalaawan")</f>
        <v>@sanggembalaawan</v>
      </c>
      <c r="C13038" s="8" t="s">
        <v>3265</v>
      </c>
      <c r="D13038" s="8">
        <v>446</v>
      </c>
      <c r="E13038" s="8">
        <v>0</v>
      </c>
      <c r="F13038" s="8">
        <v>24</v>
      </c>
    </row>
    <row r="13039" spans="1:6" ht="12.75">
      <c r="A13039" s="8">
        <v>43898.921122685184</v>
      </c>
      <c r="B13039" s="8" t="str">
        <f>HYPERLINK("https://twitter.com/tribunpontianak","@tribunpontianak")</f>
        <v>@tribunpontianak</v>
      </c>
      <c r="C13039" s="8" t="s">
        <v>5257</v>
      </c>
      <c r="D13039" s="8">
        <v>0</v>
      </c>
      <c r="E13039" s="8">
        <v>0</v>
      </c>
      <c r="F13039" s="8">
        <v>84191</v>
      </c>
    </row>
    <row r="13040" spans="1:6" ht="12.75">
      <c r="A13040" s="8">
        <v>43898.920798611114</v>
      </c>
      <c r="B13040" s="8" t="str">
        <f>HYPERLINK("https://twitter.com/YogiPra90","@YogiPra90")</f>
        <v>@YogiPra90</v>
      </c>
      <c r="C13040" s="8" t="s">
        <v>5258</v>
      </c>
      <c r="D13040" s="8">
        <v>0</v>
      </c>
      <c r="E13040" s="8">
        <v>1</v>
      </c>
      <c r="F13040" s="8">
        <v>1288</v>
      </c>
    </row>
    <row r="13041" spans="1:6" ht="12.75">
      <c r="A13041" s="8">
        <v>43898.920185185183</v>
      </c>
      <c r="B13041" s="8" t="str">
        <f>HYPERLINK("https://twitter.com/H4l1mun_D1n61n","@H4l1mun_D1n61n")</f>
        <v>@H4l1mun_D1n61n</v>
      </c>
      <c r="C13041" s="8" t="s">
        <v>5259</v>
      </c>
      <c r="D13041" s="8">
        <v>0</v>
      </c>
      <c r="E13041" s="8">
        <v>1</v>
      </c>
      <c r="F13041" s="8">
        <v>3822</v>
      </c>
    </row>
    <row r="13042" spans="1:6" ht="12.75">
      <c r="A13042" s="8">
        <v>43898.91988425926</v>
      </c>
      <c r="B13042" s="8" t="str">
        <f>HYPERLINK("https://twitter.com/Strive_4_futr","@Strive_4_futr")</f>
        <v>@Strive_4_futr</v>
      </c>
      <c r="C13042" s="8" t="s">
        <v>1917</v>
      </c>
      <c r="D13042" s="8">
        <v>568</v>
      </c>
      <c r="E13042" s="8">
        <v>0</v>
      </c>
      <c r="F13042" s="8">
        <v>494</v>
      </c>
    </row>
    <row r="13043" spans="1:6" ht="12.75">
      <c r="A13043" s="8">
        <v>43898.919305555552</v>
      </c>
      <c r="B13043" s="8" t="str">
        <f>HYPERLINK("https://twitter.com/GitaKembara","@GitaKembara")</f>
        <v>@GitaKembara</v>
      </c>
      <c r="C13043" s="8" t="s">
        <v>5260</v>
      </c>
      <c r="D13043" s="8">
        <v>0</v>
      </c>
      <c r="E13043" s="8">
        <v>0</v>
      </c>
      <c r="F13043" s="8">
        <v>21</v>
      </c>
    </row>
    <row r="13044" spans="1:6" ht="12.75">
      <c r="A13044" s="8">
        <v>43898.919259259259</v>
      </c>
      <c r="B13044" s="8" t="str">
        <f>HYPERLINK("https://twitter.com/Bayu_99091","@Bayu_99091")</f>
        <v>@Bayu_99091</v>
      </c>
      <c r="C13044" s="8" t="s">
        <v>3511</v>
      </c>
      <c r="D13044" s="8">
        <v>153</v>
      </c>
      <c r="E13044" s="8">
        <v>0</v>
      </c>
      <c r="F13044" s="8">
        <v>604</v>
      </c>
    </row>
    <row r="13045" spans="1:6" ht="12.75">
      <c r="A13045" s="8">
        <v>43898.918854166666</v>
      </c>
      <c r="B13045" s="8" t="str">
        <f>HYPERLINK("https://twitter.com/sudar2k","@sudar2k")</f>
        <v>@sudar2k</v>
      </c>
      <c r="C13045" s="8" t="s">
        <v>1917</v>
      </c>
      <c r="D13045" s="8">
        <v>568</v>
      </c>
      <c r="E13045" s="8">
        <v>0</v>
      </c>
      <c r="F13045" s="8">
        <v>2305</v>
      </c>
    </row>
    <row r="13046" spans="1:6" ht="12.75">
      <c r="A13046" s="8">
        <v>43898.918738425928</v>
      </c>
      <c r="B13046" s="8" t="str">
        <f>HYPERLINK("https://twitter.com/PungPurwanto","@PungPurwanto")</f>
        <v>@PungPurwanto</v>
      </c>
      <c r="C13046" s="8" t="s">
        <v>5261</v>
      </c>
      <c r="D13046" s="8">
        <v>3</v>
      </c>
      <c r="E13046" s="8">
        <v>0</v>
      </c>
      <c r="F13046" s="8">
        <v>643</v>
      </c>
    </row>
    <row r="13047" spans="1:6" ht="12.75">
      <c r="A13047" s="8">
        <v>43898.918668981481</v>
      </c>
      <c r="B13047" s="8" t="str">
        <f>HYPERLINK("https://twitter.com/Annie_Lugo","@Annie_Lugo")</f>
        <v>@Annie_Lugo</v>
      </c>
      <c r="C13047" s="8" t="s">
        <v>5262</v>
      </c>
      <c r="D13047" s="8">
        <v>0</v>
      </c>
      <c r="E13047" s="8">
        <v>0</v>
      </c>
      <c r="F13047" s="8">
        <v>804</v>
      </c>
    </row>
    <row r="13048" spans="1:6" ht="12.75">
      <c r="A13048" s="8">
        <v>43898.91851851852</v>
      </c>
      <c r="B13048" s="8" t="str">
        <f>HYPERLINK("https://twitter.com/JoshiRakesh2004","@JoshiRakesh2004")</f>
        <v>@JoshiRakesh2004</v>
      </c>
      <c r="C13048" s="8" t="s">
        <v>1917</v>
      </c>
      <c r="D13048" s="8">
        <v>568</v>
      </c>
      <c r="E13048" s="8">
        <v>0</v>
      </c>
      <c r="F13048" s="8">
        <v>3529</v>
      </c>
    </row>
    <row r="13049" spans="1:6" ht="12.75">
      <c r="A13049" s="8">
        <v>43898.918124999997</v>
      </c>
      <c r="B13049" s="8" t="str">
        <f>HYPERLINK("https://twitter.com/isis_rfo","@isis_rfo")</f>
        <v>@isis_rfo</v>
      </c>
      <c r="C13049" s="8" t="s">
        <v>5263</v>
      </c>
      <c r="D13049" s="8">
        <v>0</v>
      </c>
      <c r="E13049" s="8">
        <v>1</v>
      </c>
      <c r="F13049" s="8">
        <v>99</v>
      </c>
    </row>
    <row r="13050" spans="1:6" ht="12.75">
      <c r="A13050" s="8">
        <v>43898.917708333334</v>
      </c>
      <c r="B13050" s="8" t="str">
        <f>HYPERLINK("https://twitter.com/AsimMallick5","@AsimMallick5")</f>
        <v>@AsimMallick5</v>
      </c>
      <c r="C13050" s="8" t="s">
        <v>5264</v>
      </c>
      <c r="D13050" s="8">
        <v>0</v>
      </c>
      <c r="E13050" s="8">
        <v>0</v>
      </c>
      <c r="F13050" s="8">
        <v>6</v>
      </c>
    </row>
    <row r="13051" spans="1:6" ht="12.75">
      <c r="A13051" s="8">
        <v>43898.917696759258</v>
      </c>
      <c r="B13051" s="8" t="str">
        <f>HYPERLINK("https://twitter.com/Gaurav_gwl","@Gaurav_gwl")</f>
        <v>@Gaurav_gwl</v>
      </c>
      <c r="C13051" s="8" t="s">
        <v>1917</v>
      </c>
      <c r="D13051" s="8">
        <v>568</v>
      </c>
      <c r="E13051" s="8">
        <v>0</v>
      </c>
      <c r="F13051" s="8">
        <v>573</v>
      </c>
    </row>
    <row r="13052" spans="1:6" ht="12.75">
      <c r="A13052" s="8">
        <v>43898.917615740742</v>
      </c>
      <c r="B13052" s="8" t="str">
        <f>HYPERLINK("https://twitter.com/ghostslayer2112","@ghostslayer2112")</f>
        <v>@ghostslayer2112</v>
      </c>
      <c r="C13052" s="8" t="s">
        <v>1917</v>
      </c>
      <c r="D13052" s="8">
        <v>568</v>
      </c>
      <c r="E13052" s="8">
        <v>0</v>
      </c>
      <c r="F13052" s="8">
        <v>188</v>
      </c>
    </row>
    <row r="13053" spans="1:6" ht="12.75">
      <c r="A13053" s="8">
        <v>43898.917280092588</v>
      </c>
      <c r="B13053" s="8" t="str">
        <f>HYPERLINK("https://twitter.com/Prernaa_Singhh","@Prernaa_Singhh")</f>
        <v>@Prernaa_Singhh</v>
      </c>
      <c r="C13053" s="8" t="s">
        <v>1917</v>
      </c>
      <c r="D13053" s="8">
        <v>568</v>
      </c>
      <c r="E13053" s="8">
        <v>0</v>
      </c>
      <c r="F13053" s="8">
        <v>334</v>
      </c>
    </row>
    <row r="13054" spans="1:6" ht="12.75">
      <c r="A13054" s="8">
        <v>43898.917268518519</v>
      </c>
      <c r="B13054" s="8" t="str">
        <f>HYPERLINK("https://twitter.com/SsChugh","@SsChugh")</f>
        <v>@SsChugh</v>
      </c>
      <c r="C13054" s="8" t="s">
        <v>1917</v>
      </c>
      <c r="D13054" s="8">
        <v>568</v>
      </c>
      <c r="E13054" s="8">
        <v>0</v>
      </c>
      <c r="F13054" s="8">
        <v>570</v>
      </c>
    </row>
    <row r="13055" spans="1:6" ht="12.75">
      <c r="A13055" s="8">
        <v>43898.91706018518</v>
      </c>
      <c r="B13055" s="8" t="str">
        <f>HYPERLINK("https://twitter.com/INAinLebanon","@INAinLebanon")</f>
        <v>@INAinLebanon</v>
      </c>
      <c r="C13055" s="8" t="s">
        <v>1397</v>
      </c>
      <c r="D13055" s="8">
        <v>6</v>
      </c>
      <c r="E13055" s="8">
        <v>0</v>
      </c>
      <c r="F13055" s="8">
        <v>76</v>
      </c>
    </row>
    <row r="13056" spans="1:6" ht="12.75">
      <c r="A13056" s="8">
        <v>43898.917025462964</v>
      </c>
      <c r="B13056" s="8" t="str">
        <f>HYPERLINK("https://twitter.com/Ndinmuh93","@Ndinmuh93")</f>
        <v>@Ndinmuh93</v>
      </c>
      <c r="C13056" s="8" t="s">
        <v>4548</v>
      </c>
      <c r="D13056" s="8">
        <v>14</v>
      </c>
      <c r="E13056" s="8">
        <v>0</v>
      </c>
      <c r="F13056" s="8">
        <v>75</v>
      </c>
    </row>
    <row r="13057" spans="1:6" ht="12.75">
      <c r="A13057" s="8">
        <v>43898.916249999995</v>
      </c>
      <c r="B13057" s="8" t="str">
        <f>HYPERLINK("https://twitter.com/Madhy_Lensanews","@Madhy_Lensanews")</f>
        <v>@Madhy_Lensanews</v>
      </c>
      <c r="C13057" s="8" t="s">
        <v>5265</v>
      </c>
      <c r="D13057" s="8">
        <v>0</v>
      </c>
      <c r="E13057" s="8">
        <v>0</v>
      </c>
      <c r="F13057" s="8">
        <v>30</v>
      </c>
    </row>
    <row r="13058" spans="1:6" ht="12.75">
      <c r="A13058" s="8">
        <v>43898.916030092594</v>
      </c>
      <c r="B13058" s="8" t="str">
        <f>HYPERLINK("https://twitter.com/walthedoney","@walthedoney")</f>
        <v>@walthedoney</v>
      </c>
      <c r="C13058" s="8" t="s">
        <v>5266</v>
      </c>
      <c r="D13058" s="8">
        <v>0</v>
      </c>
      <c r="E13058" s="8">
        <v>0</v>
      </c>
      <c r="F13058" s="8">
        <v>819</v>
      </c>
    </row>
    <row r="13059" spans="1:6" ht="12.75">
      <c r="A13059" s="8">
        <v>43898.915949074071</v>
      </c>
      <c r="B13059" s="8" t="str">
        <f>HYPERLINK("https://twitter.com/bibin_bey","@bibin_bey")</f>
        <v>@bibin_bey</v>
      </c>
      <c r="C13059" s="8" t="s">
        <v>4927</v>
      </c>
      <c r="D13059" s="8">
        <v>28</v>
      </c>
      <c r="E13059" s="8">
        <v>0</v>
      </c>
      <c r="F13059" s="8">
        <v>1625</v>
      </c>
    </row>
    <row r="13060" spans="1:6" ht="12.75">
      <c r="A13060" s="8">
        <v>43898.915462962963</v>
      </c>
      <c r="B13060" s="8" t="str">
        <f>HYPERLINK("https://twitter.com/yowibisono","@yowibisono")</f>
        <v>@yowibisono</v>
      </c>
      <c r="C13060" s="8" t="s">
        <v>5103</v>
      </c>
      <c r="D13060" s="8">
        <v>224</v>
      </c>
      <c r="E13060" s="8">
        <v>0</v>
      </c>
      <c r="F13060" s="8">
        <v>720</v>
      </c>
    </row>
    <row r="13061" spans="1:6" ht="12.75">
      <c r="A13061" s="8">
        <v>43898.915300925924</v>
      </c>
      <c r="B13061" s="8" t="str">
        <f>HYPERLINK("https://twitter.com/RanaDevang5","@RanaDevang5")</f>
        <v>@RanaDevang5</v>
      </c>
      <c r="C13061" s="8" t="s">
        <v>1917</v>
      </c>
      <c r="D13061" s="8">
        <v>568</v>
      </c>
      <c r="E13061" s="8">
        <v>0</v>
      </c>
      <c r="F13061" s="8">
        <v>1222</v>
      </c>
    </row>
    <row r="13062" spans="1:6" ht="12.75">
      <c r="A13062" s="8">
        <v>43898.915150462963</v>
      </c>
      <c r="B13062" s="8" t="str">
        <f>HYPERLINK("https://twitter.com/jogisingh10kb","@jogisingh10kb")</f>
        <v>@jogisingh10kb</v>
      </c>
      <c r="C13062" s="8" t="s">
        <v>1917</v>
      </c>
      <c r="D13062" s="8">
        <v>568</v>
      </c>
      <c r="E13062" s="8">
        <v>0</v>
      </c>
      <c r="F13062" s="8">
        <v>755</v>
      </c>
    </row>
    <row r="13063" spans="1:6" ht="12.75">
      <c r="A13063" s="8">
        <v>43898.914976851855</v>
      </c>
      <c r="B13063" s="8" t="str">
        <f>HYPERLINK("https://twitter.com/aaalhasdiqi","@aaalhasdiqi")</f>
        <v>@aaalhasdiqi</v>
      </c>
      <c r="C13063" s="8" t="s">
        <v>5267</v>
      </c>
      <c r="D13063" s="8">
        <v>0</v>
      </c>
      <c r="E13063" s="8">
        <v>0</v>
      </c>
      <c r="F13063" s="8">
        <v>502</v>
      </c>
    </row>
    <row r="13064" spans="1:6" ht="12.75">
      <c r="A13064" s="8">
        <v>43898.914884259255</v>
      </c>
      <c r="B13064" s="8" t="str">
        <f>HYPERLINK("https://twitter.com/KBRI_Dakar","@KBRI_Dakar")</f>
        <v>@KBRI_Dakar</v>
      </c>
      <c r="C13064" s="8" t="s">
        <v>1397</v>
      </c>
      <c r="D13064" s="8">
        <v>6</v>
      </c>
      <c r="E13064" s="8">
        <v>0</v>
      </c>
      <c r="F13064" s="8">
        <v>360</v>
      </c>
    </row>
    <row r="13065" spans="1:6" ht="12.75">
      <c r="A13065" s="8">
        <v>43898.914803240739</v>
      </c>
      <c r="B13065" s="8" t="str">
        <f>HYPERLINK("https://twitter.com/SINDOnews","@SINDOnews")</f>
        <v>@SINDOnews</v>
      </c>
      <c r="C13065" s="8" t="s">
        <v>5261</v>
      </c>
      <c r="D13065" s="8">
        <v>3</v>
      </c>
      <c r="E13065" s="8">
        <v>0</v>
      </c>
      <c r="F13065" s="8">
        <v>271698</v>
      </c>
    </row>
    <row r="13066" spans="1:6" ht="12.75">
      <c r="A13066" s="8">
        <v>43898.914537037039</v>
      </c>
      <c r="B13066" s="8" t="str">
        <f>HYPERLINK("https://twitter.com/revolutia","@revolutia")</f>
        <v>@revolutia</v>
      </c>
      <c r="C13066" s="8" t="s">
        <v>5268</v>
      </c>
      <c r="D13066" s="8">
        <v>1</v>
      </c>
      <c r="E13066" s="8">
        <v>0</v>
      </c>
      <c r="F13066" s="8">
        <v>24556</v>
      </c>
    </row>
    <row r="13067" spans="1:6" ht="12.75">
      <c r="A13067" s="8">
        <v>43898.914409722223</v>
      </c>
      <c r="B13067" s="8" t="str">
        <f>HYPERLINK("https://twitter.com/manaaaaaaaaaaa_","@manaaaaaaaaaaa_")</f>
        <v>@manaaaaaaaaaaa_</v>
      </c>
      <c r="C13067" s="8" t="s">
        <v>3511</v>
      </c>
      <c r="D13067" s="8">
        <v>153</v>
      </c>
      <c r="E13067" s="8">
        <v>0</v>
      </c>
      <c r="F13067" s="8">
        <v>1542</v>
      </c>
    </row>
    <row r="13068" spans="1:6" ht="12.75">
      <c r="A13068" s="8">
        <v>43898.913969907408</v>
      </c>
      <c r="B13068" s="8" t="str">
        <f>HYPERLINK("https://twitter.com/Dhinoe2","@Dhinoe2")</f>
        <v>@Dhinoe2</v>
      </c>
      <c r="C13068" s="8" t="s">
        <v>5269</v>
      </c>
      <c r="D13068" s="8">
        <v>0</v>
      </c>
      <c r="E13068" s="8">
        <v>0</v>
      </c>
      <c r="F13068" s="8">
        <v>297</v>
      </c>
    </row>
    <row r="13069" spans="1:6" ht="12.75">
      <c r="A13069" s="8">
        <v>43898.913657407407</v>
      </c>
      <c r="B13069" s="8" t="str">
        <f>HYPERLINK("https://twitter.com/oyot_abah","@oyot_abah")</f>
        <v>@oyot_abah</v>
      </c>
      <c r="C13069" s="8" t="s">
        <v>3265</v>
      </c>
      <c r="D13069" s="8">
        <v>446</v>
      </c>
      <c r="E13069" s="8">
        <v>0</v>
      </c>
      <c r="F13069" s="8">
        <v>42</v>
      </c>
    </row>
    <row r="13070" spans="1:6" ht="12.75">
      <c r="A13070" s="8">
        <v>43898.913587962961</v>
      </c>
      <c r="B13070" s="8" t="str">
        <f>HYPERLINK("https://twitter.com/fahrizs_15","@fahrizs_15")</f>
        <v>@fahrizs_15</v>
      </c>
      <c r="C13070" s="8" t="s">
        <v>3265</v>
      </c>
      <c r="D13070" s="8">
        <v>446</v>
      </c>
      <c r="E13070" s="8">
        <v>0</v>
      </c>
      <c r="F13070" s="8">
        <v>38</v>
      </c>
    </row>
    <row r="13071" spans="1:6" ht="12.75">
      <c r="A13071" s="8">
        <v>43898.913495370369</v>
      </c>
      <c r="B13071" s="8" t="str">
        <f>HYPERLINK("https://twitter.com/nishnix49","@nishnix49")</f>
        <v>@nishnix49</v>
      </c>
      <c r="C13071" s="8" t="s">
        <v>1917</v>
      </c>
      <c r="D13071" s="8">
        <v>568</v>
      </c>
      <c r="E13071" s="8">
        <v>0</v>
      </c>
      <c r="F13071" s="8">
        <v>126</v>
      </c>
    </row>
    <row r="13072" spans="1:6" ht="12.75">
      <c r="A13072" s="8">
        <v>43898.91333333333</v>
      </c>
      <c r="B13072" s="8" t="str">
        <f>HYPERLINK("https://twitter.com/drsjp1982","@drsjp1982")</f>
        <v>@drsjp1982</v>
      </c>
      <c r="C13072" s="8" t="s">
        <v>1917</v>
      </c>
      <c r="D13072" s="8">
        <v>568</v>
      </c>
      <c r="E13072" s="8">
        <v>0</v>
      </c>
      <c r="F13072" s="8">
        <v>128</v>
      </c>
    </row>
    <row r="13073" spans="1:6" ht="12.75">
      <c r="A13073" s="8">
        <v>43898.913078703699</v>
      </c>
      <c r="B13073" s="8" t="str">
        <f>HYPERLINK("https://twitter.com/andy_nomicin","@andy_nomicin")</f>
        <v>@andy_nomicin</v>
      </c>
      <c r="C13073" s="8" t="s">
        <v>5270</v>
      </c>
      <c r="D13073" s="8">
        <v>1</v>
      </c>
      <c r="E13073" s="8">
        <v>0</v>
      </c>
      <c r="F13073" s="8">
        <v>7476</v>
      </c>
    </row>
    <row r="13074" spans="1:6" ht="12.75">
      <c r="A13074" s="8">
        <v>43898.912997685184</v>
      </c>
      <c r="B13074" s="8" t="str">
        <f>HYPERLINK("https://twitter.com/NoOne11796069","@NoOne11796069")</f>
        <v>@NoOne11796069</v>
      </c>
      <c r="C13074" s="8" t="s">
        <v>1917</v>
      </c>
      <c r="D13074" s="8">
        <v>568</v>
      </c>
      <c r="E13074" s="8">
        <v>0</v>
      </c>
      <c r="F13074" s="8">
        <v>144</v>
      </c>
    </row>
    <row r="13075" spans="1:6" ht="12.75">
      <c r="A13075" s="8">
        <v>43898.912592592591</v>
      </c>
      <c r="B13075" s="8" t="str">
        <f>HYPERLINK("https://twitter.com/DiditSurya","@DiditSurya")</f>
        <v>@DiditSurya</v>
      </c>
      <c r="C13075" s="8" t="s">
        <v>3265</v>
      </c>
      <c r="D13075" s="8">
        <v>446</v>
      </c>
      <c r="E13075" s="8">
        <v>0</v>
      </c>
      <c r="F13075" s="8">
        <v>198</v>
      </c>
    </row>
    <row r="13076" spans="1:6" ht="12.75">
      <c r="A13076" s="8">
        <v>43898.912349537037</v>
      </c>
      <c r="B13076" s="8" t="str">
        <f>HYPERLINK("https://twitter.com/TheoChandra10","@TheoChandra10")</f>
        <v>@TheoChandra10</v>
      </c>
      <c r="C13076" s="8" t="s">
        <v>3405</v>
      </c>
      <c r="D13076" s="8">
        <v>77</v>
      </c>
      <c r="E13076" s="8">
        <v>0</v>
      </c>
      <c r="F13076" s="8">
        <v>57</v>
      </c>
    </row>
    <row r="13077" spans="1:6" ht="12.75">
      <c r="A13077" s="8">
        <v>43898.912256944444</v>
      </c>
      <c r="B13077" s="8" t="str">
        <f>HYPERLINK("https://twitter.com/TCdharma","@TCdharma")</f>
        <v>@TCdharma</v>
      </c>
      <c r="C13077" s="8" t="s">
        <v>5271</v>
      </c>
      <c r="D13077" s="8">
        <v>1</v>
      </c>
      <c r="E13077" s="8">
        <v>0</v>
      </c>
      <c r="F13077" s="8">
        <v>4086</v>
      </c>
    </row>
    <row r="13078" spans="1:6" ht="12.75">
      <c r="A13078" s="8">
        <v>43898.912002314813</v>
      </c>
      <c r="B13078" s="8" t="str">
        <f>HYPERLINK("https://twitter.com/hony_anggara","@hony_anggara")</f>
        <v>@hony_anggara</v>
      </c>
      <c r="C13078" s="8" t="s">
        <v>3265</v>
      </c>
      <c r="D13078" s="8">
        <v>446</v>
      </c>
      <c r="E13078" s="8">
        <v>0</v>
      </c>
      <c r="F13078" s="8">
        <v>570</v>
      </c>
    </row>
    <row r="13079" spans="1:6" ht="12.75">
      <c r="A13079" s="8">
        <v>43898.911990740744</v>
      </c>
      <c r="B13079" s="8" t="str">
        <f>HYPERLINK("https://twitter.com/kannadaveera","@kannadaveera")</f>
        <v>@kannadaveera</v>
      </c>
      <c r="C13079" s="8" t="s">
        <v>1917</v>
      </c>
      <c r="D13079" s="8">
        <v>568</v>
      </c>
      <c r="E13079" s="8">
        <v>0</v>
      </c>
      <c r="F13079" s="8">
        <v>1140</v>
      </c>
    </row>
    <row r="13080" spans="1:6" ht="12.75">
      <c r="A13080" s="8">
        <v>43898.911898148144</v>
      </c>
      <c r="B13080" s="8" t="str">
        <f>HYPERLINK("https://twitter.com/LenaraChiroli","@LenaraChiroli")</f>
        <v>@LenaraChiroli</v>
      </c>
      <c r="C13080" s="8" t="s">
        <v>5272</v>
      </c>
      <c r="D13080" s="8">
        <v>0</v>
      </c>
      <c r="E13080" s="8">
        <v>1</v>
      </c>
      <c r="F13080" s="8">
        <v>207</v>
      </c>
    </row>
    <row r="13081" spans="1:6" ht="12.75">
      <c r="A13081" s="8">
        <v>43898.911863425921</v>
      </c>
      <c r="B13081" s="8" t="str">
        <f>HYPERLINK("https://twitter.com/Circlesnsquares","@Circlesnsquares")</f>
        <v>@Circlesnsquares</v>
      </c>
      <c r="C13081" s="8" t="s">
        <v>1917</v>
      </c>
      <c r="D13081" s="8">
        <v>568</v>
      </c>
      <c r="E13081" s="8">
        <v>0</v>
      </c>
      <c r="F13081" s="8">
        <v>1708</v>
      </c>
    </row>
    <row r="13082" spans="1:6" ht="12.75">
      <c r="A13082" s="8">
        <v>43898.911655092597</v>
      </c>
      <c r="B13082" s="8" t="str">
        <f>HYPERLINK("https://twitter.com/curdistani","@curdistani")</f>
        <v>@curdistani</v>
      </c>
      <c r="C13082" s="8" t="s">
        <v>4522</v>
      </c>
      <c r="D13082" s="8">
        <v>2</v>
      </c>
      <c r="E13082" s="8">
        <v>0</v>
      </c>
      <c r="F13082" s="8">
        <v>17645</v>
      </c>
    </row>
    <row r="13083" spans="1:6" ht="12.75">
      <c r="A13083" s="8">
        <v>43898.911504629628</v>
      </c>
      <c r="B13083" s="8" t="str">
        <f>HYPERLINK("https://twitter.com/suaradotcom","@suaradotcom")</f>
        <v>@suaradotcom</v>
      </c>
      <c r="C13083" s="8" t="s">
        <v>5273</v>
      </c>
      <c r="D13083" s="8">
        <v>0</v>
      </c>
      <c r="E13083" s="8">
        <v>0</v>
      </c>
      <c r="F13083" s="8">
        <v>24383</v>
      </c>
    </row>
    <row r="13084" spans="1:6" ht="12.75">
      <c r="A13084" s="8">
        <v>43898.91138888889</v>
      </c>
      <c r="B13084" s="8" t="str">
        <f>HYPERLINK("https://twitter.com/FdlhRzky","@FdlhRzky")</f>
        <v>@FdlhRzky</v>
      </c>
      <c r="C13084" s="8" t="s">
        <v>5103</v>
      </c>
      <c r="D13084" s="8">
        <v>224</v>
      </c>
      <c r="E13084" s="8">
        <v>0</v>
      </c>
      <c r="F13084" s="8">
        <v>177</v>
      </c>
    </row>
    <row r="13085" spans="1:6" ht="12.75">
      <c r="A13085" s="8">
        <v>43898.910509259258</v>
      </c>
      <c r="B13085" s="8" t="str">
        <f>HYPERLINK("https://twitter.com/desiprocess","@desiprocess")</f>
        <v>@desiprocess</v>
      </c>
      <c r="C13085" s="8" t="s">
        <v>1917</v>
      </c>
      <c r="D13085" s="8">
        <v>568</v>
      </c>
      <c r="E13085" s="8">
        <v>0</v>
      </c>
      <c r="F13085" s="8">
        <v>416</v>
      </c>
    </row>
    <row r="13086" spans="1:6" ht="12.75">
      <c r="A13086" s="8">
        <v>43898.909525462965</v>
      </c>
      <c r="B13086" s="8" t="str">
        <f>HYPERLINK("https://twitter.com/ajaymalani34","@ajaymalani34")</f>
        <v>@ajaymalani34</v>
      </c>
      <c r="C13086" s="8" t="s">
        <v>1917</v>
      </c>
      <c r="D13086" s="8">
        <v>568</v>
      </c>
      <c r="E13086" s="8">
        <v>0</v>
      </c>
      <c r="F13086" s="8">
        <v>4883</v>
      </c>
    </row>
    <row r="13087" spans="1:6" ht="12.75">
      <c r="A13087" s="8">
        <v>43898.909525462965</v>
      </c>
      <c r="B13087" s="8" t="str">
        <f>HYPERLINK("https://twitter.com/sid619","@sid619")</f>
        <v>@sid619</v>
      </c>
      <c r="C13087" s="8" t="s">
        <v>1917</v>
      </c>
      <c r="D13087" s="8">
        <v>568</v>
      </c>
      <c r="E13087" s="8">
        <v>0</v>
      </c>
      <c r="F13087" s="8">
        <v>221</v>
      </c>
    </row>
    <row r="13088" spans="1:6" ht="12.75">
      <c r="A13088" s="8">
        <v>43898.909421296295</v>
      </c>
      <c r="B13088" s="8" t="str">
        <f>HYPERLINK("https://twitter.com/HermanChow73","@HermanChow73")</f>
        <v>@HermanChow73</v>
      </c>
      <c r="C13088" s="8" t="s">
        <v>5274</v>
      </c>
      <c r="D13088" s="8">
        <v>1</v>
      </c>
      <c r="E13088" s="8">
        <v>1</v>
      </c>
      <c r="F13088" s="8">
        <v>3457</v>
      </c>
    </row>
    <row r="13089" spans="1:6" ht="12.75">
      <c r="A13089" s="8">
        <v>43898.909375000003</v>
      </c>
      <c r="B13089" s="8" t="str">
        <f>HYPERLINK("https://twitter.com/arm4di0n","@arm4di0n")</f>
        <v>@arm4di0n</v>
      </c>
      <c r="C13089" s="8" t="s">
        <v>4927</v>
      </c>
      <c r="D13089" s="8">
        <v>28</v>
      </c>
      <c r="E13089" s="8">
        <v>0</v>
      </c>
      <c r="F13089" s="8">
        <v>580</v>
      </c>
    </row>
    <row r="13090" spans="1:6" ht="12.75">
      <c r="A13090" s="8">
        <v>43898.909062499995</v>
      </c>
      <c r="B13090" s="8" t="str">
        <f>HYPERLINK("https://twitter.com/topinfo_id","@topinfo_id")</f>
        <v>@topinfo_id</v>
      </c>
      <c r="C13090" s="8" t="s">
        <v>5158</v>
      </c>
      <c r="D13090" s="8">
        <v>0</v>
      </c>
      <c r="E13090" s="8">
        <v>0</v>
      </c>
      <c r="F13090" s="8">
        <v>63</v>
      </c>
    </row>
    <row r="13091" spans="1:6" ht="12.75">
      <c r="A13091" s="8">
        <v>43898.90892361111</v>
      </c>
      <c r="B13091" s="8" t="str">
        <f>HYPERLINK("https://twitter.com/RiriLatief","@RiriLatief")</f>
        <v>@RiriLatief</v>
      </c>
      <c r="C13091" s="8" t="s">
        <v>4801</v>
      </c>
      <c r="D13091" s="8">
        <v>95</v>
      </c>
      <c r="E13091" s="8">
        <v>0</v>
      </c>
      <c r="F13091" s="8">
        <v>575</v>
      </c>
    </row>
    <row r="13092" spans="1:6" ht="12.75">
      <c r="A13092" s="8">
        <v>43898.908645833333</v>
      </c>
      <c r="B13092" s="8" t="str">
        <f>HYPERLINK("https://twitter.com/yanurdisah","@yanurdisah")</f>
        <v>@yanurdisah</v>
      </c>
      <c r="C13092" s="8" t="s">
        <v>3265</v>
      </c>
      <c r="D13092" s="8">
        <v>446</v>
      </c>
      <c r="E13092" s="8">
        <v>0</v>
      </c>
      <c r="F13092" s="8">
        <v>4921</v>
      </c>
    </row>
    <row r="13093" spans="1:6" ht="12.75">
      <c r="A13093" s="8">
        <v>43898.908333333333</v>
      </c>
      <c r="B13093" s="8" t="str">
        <f>HYPERLINK("https://twitter.com/TheDilSe","@TheDilSe")</f>
        <v>@TheDilSe</v>
      </c>
      <c r="C13093" s="8" t="s">
        <v>1917</v>
      </c>
      <c r="D13093" s="8">
        <v>568</v>
      </c>
      <c r="E13093" s="8">
        <v>0</v>
      </c>
      <c r="F13093" s="8">
        <v>116</v>
      </c>
    </row>
    <row r="13094" spans="1:6" ht="12.75">
      <c r="A13094" s="8">
        <v>43898.907546296294</v>
      </c>
      <c r="B13094" s="8" t="str">
        <f>HYPERLINK("https://twitter.com/chatterjeeria55","@chatterjeeria55")</f>
        <v>@chatterjeeria55</v>
      </c>
      <c r="C13094" s="8" t="s">
        <v>1917</v>
      </c>
      <c r="D13094" s="8">
        <v>568</v>
      </c>
      <c r="E13094" s="8">
        <v>0</v>
      </c>
      <c r="F13094" s="8">
        <v>111</v>
      </c>
    </row>
    <row r="13095" spans="1:6" ht="12.75">
      <c r="A13095" s="8">
        <v>43898.907476851848</v>
      </c>
      <c r="B13095" s="8" t="str">
        <f>HYPERLINK("https://twitter.com/AbuAlkahfi5","@AbuAlkahfi5")</f>
        <v>@AbuAlkahfi5</v>
      </c>
      <c r="C13095" s="8" t="s">
        <v>5275</v>
      </c>
      <c r="D13095" s="8">
        <v>0</v>
      </c>
      <c r="E13095" s="8">
        <v>0</v>
      </c>
      <c r="F13095" s="8">
        <v>67</v>
      </c>
    </row>
    <row r="13096" spans="1:6" ht="12.75">
      <c r="A13096" s="8">
        <v>43898.907465277778</v>
      </c>
      <c r="B13096" s="8" t="str">
        <f>HYPERLINK("https://twitter.com/Mpok_Hanum","@Mpok_Hanum")</f>
        <v>@Mpok_Hanum</v>
      </c>
      <c r="C13096" s="8" t="s">
        <v>5080</v>
      </c>
      <c r="D13096" s="8">
        <v>188</v>
      </c>
      <c r="E13096" s="8">
        <v>0</v>
      </c>
      <c r="F13096" s="8">
        <v>585</v>
      </c>
    </row>
    <row r="13097" spans="1:6" ht="12.75">
      <c r="A13097" s="8">
        <v>43898.907372685186</v>
      </c>
      <c r="B13097" s="8" t="str">
        <f>HYPERLINK("https://twitter.com/iEktaZ","@iEktaZ")</f>
        <v>@iEktaZ</v>
      </c>
      <c r="C13097" s="8" t="s">
        <v>1917</v>
      </c>
      <c r="D13097" s="8">
        <v>568</v>
      </c>
      <c r="E13097" s="8">
        <v>0</v>
      </c>
      <c r="F13097" s="8">
        <v>156</v>
      </c>
    </row>
    <row r="13098" spans="1:6" ht="12.75">
      <c r="A13098" s="8">
        <v>43898.907210648147</v>
      </c>
      <c r="B13098" s="8" t="str">
        <f>HYPERLINK("https://twitter.com/_Bakemono","@_Bakemono")</f>
        <v>@_Bakemono</v>
      </c>
      <c r="C13098" s="8" t="s">
        <v>3511</v>
      </c>
      <c r="D13098" s="8">
        <v>153</v>
      </c>
      <c r="E13098" s="8">
        <v>0</v>
      </c>
      <c r="F13098" s="8">
        <v>837</v>
      </c>
    </row>
    <row r="13099" spans="1:6" ht="12.75">
      <c r="A13099" s="8">
        <v>43898.907129629632</v>
      </c>
      <c r="B13099" s="8" t="str">
        <f>HYPERLINK("https://twitter.com/ashish20188","@ashish20188")</f>
        <v>@ashish20188</v>
      </c>
      <c r="C13099" s="8" t="s">
        <v>1917</v>
      </c>
      <c r="D13099" s="8">
        <v>568</v>
      </c>
      <c r="E13099" s="8">
        <v>0</v>
      </c>
      <c r="F13099" s="8">
        <v>201</v>
      </c>
    </row>
    <row r="13100" spans="1:6" ht="12.75">
      <c r="A13100" s="8">
        <v>43898.906388888892</v>
      </c>
      <c r="B13100" s="8" t="str">
        <f>HYPERLINK("https://twitter.com/IdEmbassy_Seoul","@IdEmbassy_Seoul")</f>
        <v>@IdEmbassy_Seoul</v>
      </c>
      <c r="C13100" s="8" t="s">
        <v>1397</v>
      </c>
      <c r="D13100" s="8">
        <v>6</v>
      </c>
      <c r="E13100" s="8">
        <v>0</v>
      </c>
      <c r="F13100" s="8">
        <v>3891</v>
      </c>
    </row>
    <row r="13101" spans="1:6" ht="12.75">
      <c r="A13101" s="8">
        <v>43898.906273148154</v>
      </c>
      <c r="B13101" s="8" t="str">
        <f>HYPERLINK("https://twitter.com/AliObeng","@AliObeng")</f>
        <v>@AliObeng</v>
      </c>
      <c r="C13101" s="8" t="s">
        <v>5276</v>
      </c>
      <c r="D13101" s="8">
        <v>0</v>
      </c>
      <c r="E13101" s="8">
        <v>0</v>
      </c>
      <c r="F13101" s="8">
        <v>3885</v>
      </c>
    </row>
    <row r="13102" spans="1:6" ht="12.75">
      <c r="A13102" s="8">
        <v>43898.906203703707</v>
      </c>
      <c r="B13102" s="8" t="str">
        <f>HYPERLINK("https://twitter.com/jadhavdj11","@jadhavdj11")</f>
        <v>@jadhavdj11</v>
      </c>
      <c r="C13102" s="8" t="s">
        <v>1917</v>
      </c>
      <c r="D13102" s="8">
        <v>568</v>
      </c>
      <c r="E13102" s="8">
        <v>0</v>
      </c>
      <c r="F13102" s="8">
        <v>304</v>
      </c>
    </row>
    <row r="13103" spans="1:6" ht="12.75">
      <c r="A13103" s="8">
        <v>43898.906099537038</v>
      </c>
      <c r="B13103" s="8" t="str">
        <f>HYPERLINK("https://twitter.com/AErse88","@AErse88")</f>
        <v>@AErse88</v>
      </c>
      <c r="C13103" s="8" t="s">
        <v>5277</v>
      </c>
      <c r="D13103" s="8">
        <v>0</v>
      </c>
      <c r="E13103" s="8">
        <v>0</v>
      </c>
      <c r="F13103" s="8">
        <v>93</v>
      </c>
    </row>
    <row r="13104" spans="1:6" ht="12.75">
      <c r="A13104" s="8">
        <v>43898.906087962961</v>
      </c>
      <c r="B13104" s="8" t="str">
        <f>HYPERLINK("https://twitter.com/herajlt","@herajlt")</f>
        <v>@herajlt</v>
      </c>
      <c r="C13104" s="8" t="s">
        <v>5278</v>
      </c>
      <c r="D13104" s="8">
        <v>0</v>
      </c>
      <c r="E13104" s="8">
        <v>0</v>
      </c>
      <c r="F13104" s="8">
        <v>520</v>
      </c>
    </row>
    <row r="13105" spans="1:6" ht="12.75">
      <c r="A13105" s="8">
        <v>43898.905914351853</v>
      </c>
      <c r="B13105" s="8" t="str">
        <f>HYPERLINK("https://twitter.com/rynsow","@rynsow")</f>
        <v>@rynsow</v>
      </c>
      <c r="C13105" s="8" t="s">
        <v>5279</v>
      </c>
      <c r="D13105" s="8">
        <v>0</v>
      </c>
      <c r="E13105" s="8">
        <v>0</v>
      </c>
      <c r="F13105" s="8">
        <v>200</v>
      </c>
    </row>
    <row r="13106" spans="1:6" ht="12.75">
      <c r="A13106" s="8">
        <v>43898.905717592592</v>
      </c>
      <c r="B13106" s="8" t="str">
        <f>HYPERLINK("https://twitter.com/MShravank","@MShravank")</f>
        <v>@MShravank</v>
      </c>
      <c r="C13106" s="8" t="s">
        <v>1917</v>
      </c>
      <c r="D13106" s="8">
        <v>568</v>
      </c>
      <c r="E13106" s="8">
        <v>0</v>
      </c>
      <c r="F13106" s="8">
        <v>3915</v>
      </c>
    </row>
    <row r="13107" spans="1:6" ht="12.75">
      <c r="A13107" s="8">
        <v>43898.90552083333</v>
      </c>
      <c r="B13107" s="8" t="str">
        <f>HYPERLINK("https://twitter.com/KhairilPajeri","@KhairilPajeri")</f>
        <v>@KhairilPajeri</v>
      </c>
      <c r="C13107" s="8" t="s">
        <v>3265</v>
      </c>
      <c r="D13107" s="8">
        <v>446</v>
      </c>
      <c r="E13107" s="8">
        <v>0</v>
      </c>
      <c r="F13107" s="8">
        <v>31</v>
      </c>
    </row>
    <row r="13108" spans="1:6" ht="12.75">
      <c r="A13108" s="8">
        <v>43898.905428240745</v>
      </c>
      <c r="B13108" s="8" t="str">
        <f>HYPERLINK("https://twitter.com/doink101","@doink101")</f>
        <v>@doink101</v>
      </c>
      <c r="C13108" s="8" t="s">
        <v>1917</v>
      </c>
      <c r="D13108" s="8">
        <v>568</v>
      </c>
      <c r="E13108" s="8">
        <v>0</v>
      </c>
      <c r="F13108" s="8">
        <v>66</v>
      </c>
    </row>
    <row r="13109" spans="1:6" ht="12.75">
      <c r="A13109" s="8">
        <v>43898.904699074075</v>
      </c>
      <c r="B13109" s="8" t="str">
        <f>HYPERLINK("https://twitter.com/Bapu___","@Bapu___")</f>
        <v>@Bapu___</v>
      </c>
      <c r="C13109" s="8" t="s">
        <v>1917</v>
      </c>
      <c r="D13109" s="8">
        <v>568</v>
      </c>
      <c r="E13109" s="8">
        <v>0</v>
      </c>
      <c r="F13109" s="8">
        <v>1591</v>
      </c>
    </row>
    <row r="13110" spans="1:6" ht="12.75">
      <c r="A13110" s="8">
        <v>43898.904606481483</v>
      </c>
      <c r="B13110" s="8" t="str">
        <f>HYPERLINK("https://twitter.com/keashe24","@keashe24")</f>
        <v>@keashe24</v>
      </c>
      <c r="C13110" s="8" t="s">
        <v>5280</v>
      </c>
      <c r="D13110" s="8">
        <v>0</v>
      </c>
      <c r="E13110" s="8">
        <v>0</v>
      </c>
      <c r="F13110" s="8">
        <v>1129</v>
      </c>
    </row>
    <row r="13111" spans="1:6" ht="12.75">
      <c r="A13111" s="8">
        <v>43898.903831018513</v>
      </c>
      <c r="B13111" s="8" t="str">
        <f>HYPERLINK("https://twitter.com/allg0o0d","@allg0o0d")</f>
        <v>@allg0o0d</v>
      </c>
      <c r="C13111" s="8" t="s">
        <v>4801</v>
      </c>
      <c r="D13111" s="8">
        <v>95</v>
      </c>
      <c r="E13111" s="8">
        <v>0</v>
      </c>
      <c r="F13111" s="8">
        <v>193</v>
      </c>
    </row>
    <row r="13112" spans="1:6" ht="12.75">
      <c r="A13112" s="8">
        <v>43898.903368055559</v>
      </c>
      <c r="B13112" s="8" t="str">
        <f>HYPERLINK("https://twitter.com/Ramprasadjetty","@Ramprasadjetty")</f>
        <v>@Ramprasadjetty</v>
      </c>
      <c r="C13112" s="8" t="s">
        <v>1917</v>
      </c>
      <c r="D13112" s="8">
        <v>568</v>
      </c>
      <c r="E13112" s="8">
        <v>0</v>
      </c>
      <c r="F13112" s="8">
        <v>477</v>
      </c>
    </row>
    <row r="13113" spans="1:6" ht="12.75">
      <c r="A13113" s="8">
        <v>43898.903136574074</v>
      </c>
      <c r="B13113" s="8" t="str">
        <f>HYPERLINK("https://twitter.com/cricketfreak_AP","@cricketfreak_AP")</f>
        <v>@cricketfreak_AP</v>
      </c>
      <c r="C13113" s="8" t="s">
        <v>1917</v>
      </c>
      <c r="D13113" s="8">
        <v>568</v>
      </c>
      <c r="E13113" s="8">
        <v>0</v>
      </c>
      <c r="F13113" s="8">
        <v>183</v>
      </c>
    </row>
    <row r="13114" spans="1:6" ht="12.75">
      <c r="A13114" s="8">
        <v>43898.903124999997</v>
      </c>
      <c r="B13114" s="8" t="str">
        <f>HYPERLINK("https://twitter.com/Mad_Leftist","@Mad_Leftist")</f>
        <v>@Mad_Leftist</v>
      </c>
      <c r="C13114" s="8" t="s">
        <v>1917</v>
      </c>
      <c r="D13114" s="8">
        <v>568</v>
      </c>
      <c r="E13114" s="8">
        <v>0</v>
      </c>
      <c r="F13114" s="8">
        <v>25</v>
      </c>
    </row>
    <row r="13115" spans="1:6" ht="12.75">
      <c r="A13115" s="8">
        <v>43898.902835648143</v>
      </c>
      <c r="B13115" s="8" t="str">
        <f>HYPERLINK("https://twitter.com/3rezkyaulia3","@3rezkyaulia3")</f>
        <v>@3rezkyaulia3</v>
      </c>
      <c r="C13115" s="8" t="s">
        <v>3511</v>
      </c>
      <c r="D13115" s="8">
        <v>153</v>
      </c>
      <c r="E13115" s="8">
        <v>0</v>
      </c>
      <c r="F13115" s="8">
        <v>233</v>
      </c>
    </row>
    <row r="13116" spans="1:6" ht="12.75">
      <c r="A13116" s="8">
        <v>43898.902812500004</v>
      </c>
      <c r="B13116" s="8" t="str">
        <f>HYPERLINK("https://twitter.com/AzyanNurani","@AzyanNurani")</f>
        <v>@AzyanNurani</v>
      </c>
      <c r="C13116" s="8" t="s">
        <v>5281</v>
      </c>
      <c r="D13116" s="8">
        <v>0</v>
      </c>
      <c r="E13116" s="8">
        <v>0</v>
      </c>
      <c r="F13116" s="8">
        <v>32384</v>
      </c>
    </row>
    <row r="13117" spans="1:6" ht="12.75">
      <c r="A13117" s="8">
        <v>43898.902604166666</v>
      </c>
      <c r="B13117" s="8" t="str">
        <f>HYPERLINK("https://twitter.com/OniCybog","@OniCybog")</f>
        <v>@OniCybog</v>
      </c>
      <c r="C13117" s="8" t="s">
        <v>1917</v>
      </c>
      <c r="D13117" s="8">
        <v>568</v>
      </c>
      <c r="E13117" s="8">
        <v>0</v>
      </c>
      <c r="F13117" s="8">
        <v>53</v>
      </c>
    </row>
    <row r="13118" spans="1:6" ht="12.75">
      <c r="A13118" s="8">
        <v>43898.902581018519</v>
      </c>
      <c r="B13118" s="8" t="str">
        <f>HYPERLINK("https://twitter.com/dov_Now","@dov_Now")</f>
        <v>@dov_Now</v>
      </c>
      <c r="C13118" s="8" t="s">
        <v>1397</v>
      </c>
      <c r="D13118" s="8">
        <v>6</v>
      </c>
      <c r="E13118" s="8">
        <v>0</v>
      </c>
      <c r="F13118" s="8">
        <v>387</v>
      </c>
    </row>
    <row r="13119" spans="1:6" ht="12.75">
      <c r="A13119" s="8">
        <v>43898.90253472222</v>
      </c>
      <c r="B13119" s="8" t="str">
        <f>HYPERLINK("https://twitter.com/Budakginuk","@Budakginuk")</f>
        <v>@Budakginuk</v>
      </c>
      <c r="C13119" s="8" t="s">
        <v>5282</v>
      </c>
      <c r="D13119" s="8">
        <v>0</v>
      </c>
      <c r="E13119" s="8">
        <v>0</v>
      </c>
      <c r="F13119" s="8">
        <v>767</v>
      </c>
    </row>
    <row r="13120" spans="1:6" ht="12.75">
      <c r="A13120" s="8">
        <v>43898.901805555557</v>
      </c>
      <c r="B13120" s="8" t="str">
        <f>HYPERLINK("https://twitter.com/manojgupta2","@manojgupta2")</f>
        <v>@manojgupta2</v>
      </c>
      <c r="C13120" s="8" t="s">
        <v>1917</v>
      </c>
      <c r="D13120" s="8">
        <v>568</v>
      </c>
      <c r="E13120" s="8">
        <v>0</v>
      </c>
      <c r="F13120" s="8">
        <v>173</v>
      </c>
    </row>
    <row r="13121" spans="1:6" ht="12.75">
      <c r="A13121" s="8">
        <v>43898.901030092587</v>
      </c>
      <c r="B13121" s="8" t="str">
        <f>HYPERLINK("https://twitter.com/qievo","@qievo")</f>
        <v>@qievo</v>
      </c>
      <c r="C13121" s="8" t="s">
        <v>4801</v>
      </c>
      <c r="D13121" s="8">
        <v>95</v>
      </c>
      <c r="E13121" s="8">
        <v>0</v>
      </c>
      <c r="F13121" s="8">
        <v>222</v>
      </c>
    </row>
    <row r="13122" spans="1:6" ht="12.75">
      <c r="A13122" s="8">
        <v>43898.900775462964</v>
      </c>
      <c r="B13122" s="8" t="str">
        <f>HYPERLINK("https://twitter.com/PitsBoy","@PitsBoy")</f>
        <v>@PitsBoy</v>
      </c>
      <c r="C13122" s="8" t="s">
        <v>4801</v>
      </c>
      <c r="D13122" s="8">
        <v>95</v>
      </c>
      <c r="E13122" s="8">
        <v>0</v>
      </c>
      <c r="F13122" s="8">
        <v>94</v>
      </c>
    </row>
    <row r="13123" spans="1:6" ht="12.75">
      <c r="A13123" s="8">
        <v>43898.900624999995</v>
      </c>
      <c r="B13123" s="8" t="str">
        <f>HYPERLINK("https://twitter.com/SuyitnoUung","@SuyitnoUung")</f>
        <v>@SuyitnoUung</v>
      </c>
      <c r="C13123" s="8" t="s">
        <v>1318</v>
      </c>
      <c r="D13123" s="8">
        <v>23206</v>
      </c>
      <c r="E13123" s="8">
        <v>0</v>
      </c>
      <c r="F13123" s="8">
        <v>46</v>
      </c>
    </row>
    <row r="13124" spans="1:6" ht="12.75">
      <c r="A13124" s="8">
        <v>43898.900613425925</v>
      </c>
      <c r="B13124" s="8" t="str">
        <f>HYPERLINK("https://twitter.com/kalisbrood","@kalisbrood")</f>
        <v>@kalisbrood</v>
      </c>
      <c r="C13124" s="8" t="s">
        <v>1917</v>
      </c>
      <c r="D13124" s="8">
        <v>568</v>
      </c>
      <c r="E13124" s="8">
        <v>0</v>
      </c>
      <c r="F13124" s="8">
        <v>1876</v>
      </c>
    </row>
    <row r="13125" spans="1:6" ht="12.75">
      <c r="A13125" s="8">
        <v>43898.900324074071</v>
      </c>
      <c r="B13125" s="8" t="str">
        <f>HYPERLINK("https://twitter.com/lakshmianand96","@lakshmianand96")</f>
        <v>@lakshmianand96</v>
      </c>
      <c r="C13125" s="8" t="s">
        <v>1917</v>
      </c>
      <c r="D13125" s="8">
        <v>568</v>
      </c>
      <c r="E13125" s="8">
        <v>0</v>
      </c>
      <c r="F13125" s="8">
        <v>7775</v>
      </c>
    </row>
    <row r="13126" spans="1:6" ht="12.75">
      <c r="A13126" s="8">
        <v>43898.900127314817</v>
      </c>
      <c r="B13126" s="8" t="str">
        <f>HYPERLINK("https://twitter.com/AdrisNafsak","@AdrisNafsak")</f>
        <v>@AdrisNafsak</v>
      </c>
      <c r="C13126" s="8" t="s">
        <v>3265</v>
      </c>
      <c r="D13126" s="8">
        <v>446</v>
      </c>
      <c r="E13126" s="8">
        <v>0</v>
      </c>
      <c r="F13126" s="8">
        <v>414</v>
      </c>
    </row>
    <row r="13127" spans="1:6" ht="12.75">
      <c r="A13127" s="8">
        <v>43898.899930555555</v>
      </c>
      <c r="B13127" s="8" t="str">
        <f>HYPERLINK("https://twitter.com/wni_jmsri","@wni_jmsri")</f>
        <v>@wni_jmsri</v>
      </c>
      <c r="C13127" s="8" t="s">
        <v>5283</v>
      </c>
      <c r="D13127" s="8">
        <v>634</v>
      </c>
      <c r="E13127" s="8">
        <v>0</v>
      </c>
      <c r="F13127" s="8">
        <v>199</v>
      </c>
    </row>
    <row r="13128" spans="1:6" ht="12.75">
      <c r="A13128" s="8">
        <v>43898.899814814809</v>
      </c>
      <c r="B13128" s="8" t="str">
        <f>HYPERLINK("https://twitter.com/asyrafiii","@asyrafiii")</f>
        <v>@asyrafiii</v>
      </c>
      <c r="C13128" s="8" t="s">
        <v>5284</v>
      </c>
      <c r="D13128" s="8">
        <v>0</v>
      </c>
      <c r="E13128" s="8">
        <v>0</v>
      </c>
      <c r="F13128" s="8">
        <v>408</v>
      </c>
    </row>
    <row r="13129" spans="1:6" ht="12.75">
      <c r="A13129" s="8">
        <v>43898.899664351848</v>
      </c>
      <c r="B13129" s="8" t="str">
        <f>HYPERLINK("https://twitter.com/ryana_ps","@ryana_ps")</f>
        <v>@ryana_ps</v>
      </c>
      <c r="C13129" s="8" t="s">
        <v>4801</v>
      </c>
      <c r="D13129" s="8">
        <v>95</v>
      </c>
      <c r="E13129" s="8">
        <v>0</v>
      </c>
      <c r="F13129" s="8">
        <v>310</v>
      </c>
    </row>
    <row r="13130" spans="1:6" ht="12.75">
      <c r="A13130" s="8">
        <v>43898.899386574078</v>
      </c>
      <c r="B13130" s="8" t="str">
        <f>HYPERLINK("https://twitter.com/MamaRapolo","@MamaRapolo")</f>
        <v>@MamaRapolo</v>
      </c>
      <c r="C13130" s="8" t="s">
        <v>5285</v>
      </c>
      <c r="D13130" s="8">
        <v>0</v>
      </c>
      <c r="E13130" s="8">
        <v>0</v>
      </c>
      <c r="F13130" s="8">
        <v>121</v>
      </c>
    </row>
    <row r="13131" spans="1:6" ht="12.75">
      <c r="A13131" s="8">
        <v>43898.899201388893</v>
      </c>
      <c r="B13131" s="8" t="str">
        <f>HYPERLINK("https://twitter.com/PJ_waley_Babu","@PJ_waley_Babu")</f>
        <v>@PJ_waley_Babu</v>
      </c>
      <c r="C13131" s="8" t="s">
        <v>1917</v>
      </c>
      <c r="D13131" s="8">
        <v>568</v>
      </c>
      <c r="E13131" s="8">
        <v>0</v>
      </c>
      <c r="F13131" s="8">
        <v>347</v>
      </c>
    </row>
    <row r="13132" spans="1:6" ht="12.75">
      <c r="A13132" s="8">
        <v>43898.899143518516</v>
      </c>
      <c r="B13132" s="8" t="str">
        <f>HYPERLINK("https://twitter.com/venkat_1705","@venkat_1705")</f>
        <v>@venkat_1705</v>
      </c>
      <c r="C13132" s="8" t="s">
        <v>1917</v>
      </c>
      <c r="D13132" s="8">
        <v>568</v>
      </c>
      <c r="E13132" s="8">
        <v>0</v>
      </c>
      <c r="F13132" s="8">
        <v>216</v>
      </c>
    </row>
    <row r="13133" spans="1:6" ht="12.75">
      <c r="A13133" s="8">
        <v>43898.881377314814</v>
      </c>
      <c r="B13133" s="8" t="str">
        <f>HYPERLINK("https://twitter.com/jaypatel9491","@jaypatel9491")</f>
        <v>@jaypatel9491</v>
      </c>
      <c r="C13133" s="8" t="s">
        <v>1917</v>
      </c>
      <c r="D13133" s="8">
        <v>481</v>
      </c>
      <c r="E13133" s="8">
        <v>0</v>
      </c>
      <c r="F13133" s="8">
        <v>338</v>
      </c>
    </row>
    <row r="13134" spans="1:6" ht="12.75">
      <c r="A13134" s="8">
        <v>43898.881307870368</v>
      </c>
      <c r="B13134" s="8" t="str">
        <f>HYPERLINK("https://twitter.com/ParthPa07241800","@ParthPa07241800")</f>
        <v>@ParthPa07241800</v>
      </c>
      <c r="C13134" s="8" t="s">
        <v>1917</v>
      </c>
      <c r="D13134" s="8">
        <v>481</v>
      </c>
      <c r="E13134" s="8">
        <v>0</v>
      </c>
      <c r="F13134" s="8">
        <v>2667</v>
      </c>
    </row>
    <row r="13135" spans="1:6" ht="12.75">
      <c r="A13135" s="8">
        <v>43898.881064814814</v>
      </c>
      <c r="B13135" s="8" t="str">
        <f>HYPERLINK("https://twitter.com/nitesh520","@nitesh520")</f>
        <v>@nitesh520</v>
      </c>
      <c r="C13135" s="8" t="s">
        <v>1917</v>
      </c>
      <c r="D13135" s="8">
        <v>481</v>
      </c>
      <c r="E13135" s="8">
        <v>0</v>
      </c>
      <c r="F13135" s="8">
        <v>275</v>
      </c>
    </row>
    <row r="13136" spans="1:6" ht="12.75">
      <c r="A13136" s="8">
        <v>43898.880983796298</v>
      </c>
      <c r="B13136" s="8" t="str">
        <f>HYPERLINK("https://twitter.com/kpartha","@kpartha")</f>
        <v>@kpartha</v>
      </c>
      <c r="C13136" s="8" t="s">
        <v>1917</v>
      </c>
      <c r="D13136" s="8">
        <v>481</v>
      </c>
      <c r="E13136" s="8">
        <v>0</v>
      </c>
      <c r="F13136" s="8">
        <v>496</v>
      </c>
    </row>
    <row r="13137" spans="1:6" ht="12.75">
      <c r="A13137" s="8">
        <v>43898.880613425921</v>
      </c>
      <c r="B13137" s="8" t="str">
        <f>HYPERLINK("https://twitter.com/NKRI__07","@NKRI__07")</f>
        <v>@NKRI__07</v>
      </c>
      <c r="C13137" s="8" t="s">
        <v>5286</v>
      </c>
      <c r="D13137" s="8">
        <v>2</v>
      </c>
      <c r="E13137" s="8">
        <v>0</v>
      </c>
      <c r="F13137" s="8">
        <v>1864</v>
      </c>
    </row>
    <row r="13138" spans="1:6" ht="12.75">
      <c r="A13138" s="8">
        <v>43898.880335648151</v>
      </c>
      <c r="B13138" s="8" t="str">
        <f>HYPERLINK("https://twitter.com/madejyotama","@madejyotama")</f>
        <v>@madejyotama</v>
      </c>
      <c r="C13138" s="8" t="s">
        <v>5287</v>
      </c>
      <c r="D13138" s="8">
        <v>1</v>
      </c>
      <c r="E13138" s="8">
        <v>0</v>
      </c>
      <c r="F13138" s="8">
        <v>207</v>
      </c>
    </row>
    <row r="13139" spans="1:6" ht="12.75">
      <c r="A13139" s="8">
        <v>43898.880277777775</v>
      </c>
      <c r="B13139" s="8" t="str">
        <f>HYPERLINK("https://twitter.com/jd8110404469","@jd8110404469")</f>
        <v>@jd8110404469</v>
      </c>
      <c r="C13139" s="8" t="s">
        <v>5288</v>
      </c>
      <c r="D13139" s="8">
        <v>0</v>
      </c>
      <c r="E13139" s="8">
        <v>0</v>
      </c>
      <c r="F13139" s="8">
        <v>114</v>
      </c>
    </row>
    <row r="13140" spans="1:6" ht="12.75">
      <c r="A13140" s="8">
        <v>43898.880196759259</v>
      </c>
      <c r="B13140" s="8" t="str">
        <f>HYPERLINK("https://twitter.com/yourqueenesther","@yourqueenesther")</f>
        <v>@yourqueenesther</v>
      </c>
      <c r="C13140" s="8" t="s">
        <v>4801</v>
      </c>
      <c r="D13140" s="8">
        <v>74</v>
      </c>
      <c r="E13140" s="8">
        <v>0</v>
      </c>
      <c r="F13140" s="8">
        <v>134</v>
      </c>
    </row>
    <row r="13141" spans="1:6" ht="12.75">
      <c r="A13141" s="8">
        <v>43898.88008101852</v>
      </c>
      <c r="B13141" s="8" t="str">
        <f>HYPERLINK("https://twitter.com/dararifin","@dararifin")</f>
        <v>@dararifin</v>
      </c>
      <c r="C13141" s="8" t="s">
        <v>5289</v>
      </c>
      <c r="D13141" s="8">
        <v>0</v>
      </c>
      <c r="E13141" s="8">
        <v>0</v>
      </c>
      <c r="F13141" s="8">
        <v>119</v>
      </c>
    </row>
    <row r="13142" spans="1:6" ht="12.75">
      <c r="A13142" s="8">
        <v>43898.879942129628</v>
      </c>
      <c r="B13142" s="8" t="str">
        <f>HYPERLINK("https://twitter.com/OpiniRakyat2","@OpiniRakyat2")</f>
        <v>@OpiniRakyat2</v>
      </c>
      <c r="C13142" s="8" t="s">
        <v>5290</v>
      </c>
      <c r="D13142" s="8">
        <v>0</v>
      </c>
      <c r="E13142" s="8">
        <v>0</v>
      </c>
      <c r="F13142" s="8">
        <v>263</v>
      </c>
    </row>
    <row r="13143" spans="1:6" ht="12.75">
      <c r="A13143" s="8">
        <v>43898.879872685182</v>
      </c>
      <c r="B13143" s="8" t="str">
        <f>HYPERLINK("https://twitter.com/SyPram_Khan","@SyPram_Khan")</f>
        <v>@SyPram_Khan</v>
      </c>
      <c r="C13143" s="8" t="s">
        <v>299</v>
      </c>
      <c r="D13143" s="8">
        <v>4747</v>
      </c>
      <c r="E13143" s="8">
        <v>0</v>
      </c>
      <c r="F13143" s="8">
        <v>298</v>
      </c>
    </row>
    <row r="13144" spans="1:6" ht="12.75">
      <c r="A13144" s="8">
        <v>43898.879490740743</v>
      </c>
      <c r="B13144" s="8" t="str">
        <f>HYPERLINK("https://twitter.com/ndaru_wardani","@ndaru_wardani")</f>
        <v>@ndaru_wardani</v>
      </c>
      <c r="C13144" s="8" t="s">
        <v>5291</v>
      </c>
      <c r="D13144" s="8">
        <v>2</v>
      </c>
      <c r="E13144" s="8">
        <v>0</v>
      </c>
      <c r="F13144" s="8">
        <v>307</v>
      </c>
    </row>
    <row r="13145" spans="1:6" ht="12.75">
      <c r="A13145" s="8">
        <v>43898.879421296297</v>
      </c>
      <c r="B13145" s="8" t="str">
        <f>HYPERLINK("https://twitter.com/mbohlahndes","@mbohlahndes")</f>
        <v>@mbohlahndes</v>
      </c>
      <c r="C13145" s="8" t="s">
        <v>5292</v>
      </c>
      <c r="D13145" s="8">
        <v>0</v>
      </c>
      <c r="E13145" s="8">
        <v>0</v>
      </c>
      <c r="F13145" s="8">
        <v>4</v>
      </c>
    </row>
    <row r="13146" spans="1:6" ht="12.75">
      <c r="A13146" s="8">
        <v>43898.879212962958</v>
      </c>
      <c r="B13146" s="8" t="str">
        <f>HYPERLINK("https://twitter.com/NayayoungIndia","@NayayoungIndia")</f>
        <v>@NayayoungIndia</v>
      </c>
      <c r="C13146" s="8" t="s">
        <v>1917</v>
      </c>
      <c r="D13146" s="8">
        <v>481</v>
      </c>
      <c r="E13146" s="8">
        <v>0</v>
      </c>
      <c r="F13146" s="8">
        <v>1503</v>
      </c>
    </row>
    <row r="13147" spans="1:6" ht="12.75">
      <c r="A13147" s="8">
        <v>43898.879201388889</v>
      </c>
      <c r="B13147" s="8" t="str">
        <f>HYPERLINK("https://twitter.com/kompascom","@kompascom")</f>
        <v>@kompascom</v>
      </c>
      <c r="C13147" s="8" t="s">
        <v>5293</v>
      </c>
      <c r="D13147" s="8">
        <v>1</v>
      </c>
      <c r="E13147" s="8">
        <v>6</v>
      </c>
      <c r="F13147" s="8">
        <v>7535243</v>
      </c>
    </row>
    <row r="13148" spans="1:6" ht="12.75">
      <c r="A13148" s="8">
        <v>43898.879178240742</v>
      </c>
      <c r="B13148" s="8" t="str">
        <f>HYPERLINK("https://twitter.com/magicwater17","@magicwater17")</f>
        <v>@magicwater17</v>
      </c>
      <c r="C13148" s="8" t="s">
        <v>4801</v>
      </c>
      <c r="D13148" s="8">
        <v>74</v>
      </c>
      <c r="E13148" s="8">
        <v>0</v>
      </c>
      <c r="F13148" s="8">
        <v>510</v>
      </c>
    </row>
    <row r="13149" spans="1:6" ht="12.75">
      <c r="A13149" s="8">
        <v>43898.878865740742</v>
      </c>
      <c r="B13149" s="8" t="str">
        <f>HYPERLINK("https://twitter.com/SPJ1810","@SPJ1810")</f>
        <v>@SPJ1810</v>
      </c>
      <c r="C13149" s="8" t="s">
        <v>1917</v>
      </c>
      <c r="D13149" s="8">
        <v>481</v>
      </c>
      <c r="E13149" s="8">
        <v>0</v>
      </c>
      <c r="F13149" s="8">
        <v>151</v>
      </c>
    </row>
    <row r="13150" spans="1:6" ht="12.75">
      <c r="A13150" s="8">
        <v>43898.878611111111</v>
      </c>
      <c r="B13150" s="8" t="str">
        <f>HYPERLINK("https://twitter.com/vijendravj","@vijendravj")</f>
        <v>@vijendravj</v>
      </c>
      <c r="C13150" s="8" t="s">
        <v>1917</v>
      </c>
      <c r="D13150" s="8">
        <v>481</v>
      </c>
      <c r="E13150" s="8">
        <v>0</v>
      </c>
      <c r="F13150" s="8">
        <v>375</v>
      </c>
    </row>
    <row r="13151" spans="1:6" ht="12.75">
      <c r="A13151" s="8">
        <v>43898.878495370373</v>
      </c>
      <c r="B13151" s="8" t="str">
        <f>HYPERLINK("https://twitter.com/fatikhazhr","@fatikhazhr")</f>
        <v>@fatikhazhr</v>
      </c>
      <c r="C13151" s="8" t="s">
        <v>4801</v>
      </c>
      <c r="D13151" s="8">
        <v>74</v>
      </c>
      <c r="E13151" s="8">
        <v>0</v>
      </c>
      <c r="F13151" s="8">
        <v>347</v>
      </c>
    </row>
    <row r="13152" spans="1:6" ht="12.75">
      <c r="A13152" s="8">
        <v>43898.878495370373</v>
      </c>
      <c r="B13152" s="8" t="str">
        <f>HYPERLINK("https://twitter.com/terasid","@terasid")</f>
        <v>@terasid</v>
      </c>
      <c r="C13152" s="8" t="s">
        <v>4415</v>
      </c>
      <c r="D13152" s="8">
        <v>5</v>
      </c>
      <c r="E13152" s="8">
        <v>0</v>
      </c>
      <c r="F13152" s="8">
        <v>3188</v>
      </c>
    </row>
    <row r="13153" spans="1:6" ht="12.75">
      <c r="A13153" s="8">
        <v>43898.878275462965</v>
      </c>
      <c r="B13153" s="8" t="str">
        <f>HYPERLINK("https://twitter.com/jabarnewss","@jabarnewss")</f>
        <v>@jabarnewss</v>
      </c>
      <c r="C13153" s="8" t="s">
        <v>5294</v>
      </c>
      <c r="D13153" s="8">
        <v>0</v>
      </c>
      <c r="E13153" s="8">
        <v>0</v>
      </c>
      <c r="F13153" s="8">
        <v>1351</v>
      </c>
    </row>
    <row r="13154" spans="1:6" ht="12.75">
      <c r="A13154" s="8">
        <v>43898.878217592588</v>
      </c>
      <c r="B13154" s="8" t="str">
        <f>HYPERLINK("https://twitter.com/empiirr","@empiirr")</f>
        <v>@empiirr</v>
      </c>
      <c r="C13154" s="8" t="s">
        <v>4801</v>
      </c>
      <c r="D13154" s="8">
        <v>74</v>
      </c>
      <c r="E13154" s="8">
        <v>0</v>
      </c>
      <c r="F13154" s="8">
        <v>463</v>
      </c>
    </row>
    <row r="13155" spans="1:6" ht="12.75">
      <c r="A13155" s="8">
        <v>43898.878206018519</v>
      </c>
      <c r="B13155" s="8" t="str">
        <f>HYPERLINK("https://twitter.com/hafizharya0430","@hafizharya0430")</f>
        <v>@hafizharya0430</v>
      </c>
      <c r="C13155" s="8" t="s">
        <v>4548</v>
      </c>
      <c r="D13155" s="8">
        <v>13</v>
      </c>
      <c r="E13155" s="8">
        <v>0</v>
      </c>
      <c r="F13155" s="8">
        <v>112</v>
      </c>
    </row>
    <row r="13156" spans="1:6" ht="12.75">
      <c r="A13156" s="8">
        <v>43898.878194444449</v>
      </c>
      <c r="B13156" s="8" t="str">
        <f>HYPERLINK("https://twitter.com/fatmabadewi_","@fatmabadewi_")</f>
        <v>@fatmabadewi_</v>
      </c>
      <c r="C13156" s="8" t="s">
        <v>4801</v>
      </c>
      <c r="D13156" s="8">
        <v>74</v>
      </c>
      <c r="E13156" s="8">
        <v>0</v>
      </c>
      <c r="F13156" s="8">
        <v>234</v>
      </c>
    </row>
    <row r="13157" spans="1:6" ht="12.75">
      <c r="A13157" s="8">
        <v>43898.878020833334</v>
      </c>
      <c r="B13157" s="8" t="str">
        <f>HYPERLINK("https://twitter.com/MumesNdate","@MumesNdate")</f>
        <v>@MumesNdate</v>
      </c>
      <c r="C13157" s="8" t="s">
        <v>5295</v>
      </c>
      <c r="D13157" s="8">
        <v>0</v>
      </c>
      <c r="E13157" s="8">
        <v>0</v>
      </c>
      <c r="F13157" s="8">
        <v>238</v>
      </c>
    </row>
    <row r="13158" spans="1:6" ht="12.75">
      <c r="A13158" s="8">
        <v>43898.877939814818</v>
      </c>
      <c r="B13158" s="8" t="str">
        <f>HYPERLINK("https://twitter.com/janak294","@janak294")</f>
        <v>@janak294</v>
      </c>
      <c r="C13158" s="8" t="s">
        <v>1917</v>
      </c>
      <c r="D13158" s="8">
        <v>481</v>
      </c>
      <c r="E13158" s="8">
        <v>0</v>
      </c>
      <c r="F13158" s="8">
        <v>134</v>
      </c>
    </row>
    <row r="13159" spans="1:6" ht="12.75">
      <c r="A13159" s="8">
        <v>43898.877893518518</v>
      </c>
      <c r="B13159" s="8" t="str">
        <f>HYPERLINK("https://twitter.com/tiotanandra","@tiotanandra")</f>
        <v>@tiotanandra</v>
      </c>
      <c r="C13159" s="8" t="s">
        <v>5103</v>
      </c>
      <c r="D13159" s="8">
        <v>222</v>
      </c>
      <c r="E13159" s="8">
        <v>0</v>
      </c>
      <c r="F13159" s="8">
        <v>209</v>
      </c>
    </row>
    <row r="13160" spans="1:6" ht="12.75">
      <c r="A13160" s="8">
        <v>43898.877893518518</v>
      </c>
      <c r="B13160" s="8" t="str">
        <f>HYPERLINK("https://twitter.com/ayonggg","@ayonggg")</f>
        <v>@ayonggg</v>
      </c>
      <c r="C13160" s="8" t="s">
        <v>5296</v>
      </c>
      <c r="D13160" s="8">
        <v>2</v>
      </c>
      <c r="E13160" s="8">
        <v>0</v>
      </c>
      <c r="F13160" s="8">
        <v>554</v>
      </c>
    </row>
    <row r="13161" spans="1:6" ht="12.75">
      <c r="A13161" s="8">
        <v>43898.877812499995</v>
      </c>
      <c r="B13161" s="8" t="str">
        <f>HYPERLINK("https://twitter.com/evalusianaw_","@evalusianaw_")</f>
        <v>@evalusianaw_</v>
      </c>
      <c r="C13161" s="8" t="s">
        <v>4801</v>
      </c>
      <c r="D13161" s="8">
        <v>74</v>
      </c>
      <c r="E13161" s="8">
        <v>0</v>
      </c>
      <c r="F13161" s="8">
        <v>106</v>
      </c>
    </row>
    <row r="13162" spans="1:6" ht="12.75">
      <c r="A13162" s="8">
        <v>43898.877650462964</v>
      </c>
      <c r="B13162" s="8" t="str">
        <f>HYPERLINK("https://twitter.com/OktaNur_","@OktaNur_")</f>
        <v>@OktaNur_</v>
      </c>
      <c r="C13162" s="8" t="s">
        <v>4801</v>
      </c>
      <c r="D13162" s="8">
        <v>74</v>
      </c>
      <c r="E13162" s="8">
        <v>0</v>
      </c>
      <c r="F13162" s="8">
        <v>638</v>
      </c>
    </row>
    <row r="13163" spans="1:6" ht="12.75">
      <c r="A13163" s="8">
        <v>43898.877638888887</v>
      </c>
      <c r="B13163" s="8" t="str">
        <f>HYPERLINK("https://twitter.com/Devang2019","@Devang2019")</f>
        <v>@Devang2019</v>
      </c>
      <c r="C13163" s="8" t="s">
        <v>1917</v>
      </c>
      <c r="D13163" s="8">
        <v>481</v>
      </c>
      <c r="E13163" s="8">
        <v>0</v>
      </c>
      <c r="F13163" s="8">
        <v>2221</v>
      </c>
    </row>
    <row r="13164" spans="1:6" ht="12.75">
      <c r="A13164" s="8">
        <v>43898.877546296295</v>
      </c>
      <c r="B13164" s="8" t="str">
        <f>HYPERLINK("https://twitter.com/pnggilsjamawar","@pnggilsjamawar")</f>
        <v>@pnggilsjamawar</v>
      </c>
      <c r="C13164" s="8" t="s">
        <v>5297</v>
      </c>
      <c r="D13164" s="8">
        <v>0</v>
      </c>
      <c r="E13164" s="8">
        <v>0</v>
      </c>
      <c r="F13164" s="8">
        <v>215</v>
      </c>
    </row>
    <row r="13165" spans="1:6" ht="12.75">
      <c r="A13165" s="8">
        <v>43898.877511574072</v>
      </c>
      <c r="B13165" s="8" t="str">
        <f>HYPERLINK("https://twitter.com/DurgeshRai17","@DurgeshRai17")</f>
        <v>@DurgeshRai17</v>
      </c>
      <c r="C13165" s="8" t="s">
        <v>1917</v>
      </c>
      <c r="D13165" s="8">
        <v>481</v>
      </c>
      <c r="E13165" s="8">
        <v>0</v>
      </c>
      <c r="F13165" s="8">
        <v>317</v>
      </c>
    </row>
    <row r="13166" spans="1:6" ht="12.75">
      <c r="A13166" s="8">
        <v>43898.877326388887</v>
      </c>
      <c r="B13166" s="8" t="str">
        <f>HYPERLINK("https://twitter.com/Rang_Hoki","@Rang_Hoki")</f>
        <v>@Rang_Hoki</v>
      </c>
      <c r="C13166" s="8" t="s">
        <v>5080</v>
      </c>
      <c r="D13166" s="8">
        <v>184</v>
      </c>
      <c r="E13166" s="8">
        <v>0</v>
      </c>
      <c r="F13166" s="8">
        <v>203</v>
      </c>
    </row>
    <row r="13167" spans="1:6" ht="12.75">
      <c r="A13167" s="8">
        <v>43898.877222222218</v>
      </c>
      <c r="B13167" s="8" t="str">
        <f>HYPERLINK("https://twitter.com/abhishekroy168","@abhishekroy168")</f>
        <v>@abhishekroy168</v>
      </c>
      <c r="C13167" s="8" t="s">
        <v>1917</v>
      </c>
      <c r="D13167" s="8">
        <v>481</v>
      </c>
      <c r="E13167" s="8">
        <v>0</v>
      </c>
      <c r="F13167" s="8">
        <v>300</v>
      </c>
    </row>
    <row r="13168" spans="1:6" ht="12.75">
      <c r="A13168" s="8">
        <v>43898.877083333333</v>
      </c>
      <c r="B13168" s="8" t="str">
        <f>HYPERLINK("https://twitter.com/haniiyya98","@haniiyya98")</f>
        <v>@haniiyya98</v>
      </c>
      <c r="C13168" s="8" t="s">
        <v>5298</v>
      </c>
      <c r="D13168" s="8">
        <v>0</v>
      </c>
      <c r="E13168" s="8">
        <v>0</v>
      </c>
      <c r="F13168" s="8">
        <v>354</v>
      </c>
    </row>
    <row r="13169" spans="1:6" ht="12.75">
      <c r="A13169" s="8">
        <v>43898.876932870371</v>
      </c>
      <c r="B13169" s="8" t="str">
        <f>HYPERLINK("https://twitter.com/MAlexandriet","@MAlexandriet")</f>
        <v>@MAlexandriet</v>
      </c>
      <c r="C13169" s="8" t="s">
        <v>5157</v>
      </c>
      <c r="D13169" s="8">
        <v>5</v>
      </c>
      <c r="E13169" s="8">
        <v>0</v>
      </c>
      <c r="F13169" s="8">
        <v>210</v>
      </c>
    </row>
    <row r="13170" spans="1:6" ht="12.75">
      <c r="A13170" s="8">
        <v>43898.876898148148</v>
      </c>
      <c r="B13170" s="8" t="str">
        <f>HYPERLINK("https://twitter.com/andyhumaidy","@andyhumaidy")</f>
        <v>@andyhumaidy</v>
      </c>
      <c r="C13170" s="8" t="s">
        <v>5299</v>
      </c>
      <c r="D13170" s="8">
        <v>0</v>
      </c>
      <c r="E13170" s="8">
        <v>0</v>
      </c>
      <c r="F13170" s="8">
        <v>2188</v>
      </c>
    </row>
    <row r="13171" spans="1:6" ht="12.75">
      <c r="A13171" s="8">
        <v>43898.876585648148</v>
      </c>
      <c r="B13171" s="8" t="str">
        <f>HYPERLINK("https://twitter.com/OpiniRakyat2","@OpiniRakyat2")</f>
        <v>@OpiniRakyat2</v>
      </c>
      <c r="C13171" s="8" t="s">
        <v>5300</v>
      </c>
      <c r="D13171" s="8">
        <v>0</v>
      </c>
      <c r="E13171" s="8">
        <v>0</v>
      </c>
      <c r="F13171" s="8">
        <v>263</v>
      </c>
    </row>
    <row r="13172" spans="1:6" ht="12.75">
      <c r="A13172" s="8">
        <v>43898.876307870371</v>
      </c>
      <c r="B13172" s="8" t="str">
        <f>HYPERLINK("https://twitter.com/jelsacangg","@jelsacangg")</f>
        <v>@jelsacangg</v>
      </c>
      <c r="C13172" s="8" t="s">
        <v>4801</v>
      </c>
      <c r="D13172" s="8">
        <v>74</v>
      </c>
      <c r="E13172" s="8">
        <v>0</v>
      </c>
      <c r="F13172" s="8">
        <v>439</v>
      </c>
    </row>
    <row r="13173" spans="1:6" ht="12.75">
      <c r="A13173" s="8">
        <v>43898.876273148147</v>
      </c>
      <c r="B13173" s="8" t="str">
        <f>HYPERLINK("https://twitter.com/wartabhineka","@wartabhineka")</f>
        <v>@wartabhineka</v>
      </c>
      <c r="C13173" s="8" t="s">
        <v>5301</v>
      </c>
      <c r="D13173" s="8">
        <v>0</v>
      </c>
      <c r="E13173" s="8">
        <v>0</v>
      </c>
      <c r="F13173" s="8">
        <v>115</v>
      </c>
    </row>
    <row r="13174" spans="1:6" ht="12.75">
      <c r="A13174" s="8">
        <v>43898.876273148147</v>
      </c>
      <c r="B13174" s="8" t="str">
        <f>HYPERLINK("https://twitter.com/sqkhrn","@sqkhrn")</f>
        <v>@sqkhrn</v>
      </c>
      <c r="C13174" s="8" t="s">
        <v>3511</v>
      </c>
      <c r="D13174" s="8">
        <v>143</v>
      </c>
      <c r="E13174" s="8">
        <v>0</v>
      </c>
      <c r="F13174" s="8">
        <v>73</v>
      </c>
    </row>
    <row r="13175" spans="1:6" ht="12.75">
      <c r="A13175" s="8">
        <v>43898.876018518524</v>
      </c>
      <c r="B13175" s="8" t="str">
        <f>HYPERLINK("https://twitter.com/johnywicked","@johnywicked")</f>
        <v>@johnywicked</v>
      </c>
      <c r="C13175" s="8" t="s">
        <v>1917</v>
      </c>
      <c r="D13175" s="8">
        <v>481</v>
      </c>
      <c r="E13175" s="8">
        <v>0</v>
      </c>
      <c r="F13175" s="8">
        <v>163</v>
      </c>
    </row>
    <row r="13176" spans="1:6" ht="12.75">
      <c r="A13176" s="8">
        <v>43898.875902777778</v>
      </c>
      <c r="B13176" s="8" t="str">
        <f>HYPERLINK("https://twitter.com/MNCNewsroom","@MNCNewsroom")</f>
        <v>@MNCNewsroom</v>
      </c>
      <c r="C13176" s="8" t="s">
        <v>5302</v>
      </c>
      <c r="D13176" s="8">
        <v>0</v>
      </c>
      <c r="E13176" s="8">
        <v>0</v>
      </c>
      <c r="F13176" s="8">
        <v>17586</v>
      </c>
    </row>
    <row r="13177" spans="1:6" ht="12.75">
      <c r="A13177" s="8">
        <v>43898.875798611116</v>
      </c>
      <c r="B13177" s="8" t="str">
        <f>HYPERLINK("https://twitter.com/nitesh_anjane","@nitesh_anjane")</f>
        <v>@nitesh_anjane</v>
      </c>
      <c r="C13177" s="8" t="s">
        <v>1917</v>
      </c>
      <c r="D13177" s="8">
        <v>481</v>
      </c>
      <c r="E13177" s="8">
        <v>0</v>
      </c>
      <c r="F13177" s="8">
        <v>79</v>
      </c>
    </row>
    <row r="13178" spans="1:6" ht="12.75">
      <c r="A13178" s="8">
        <v>43898.875543981485</v>
      </c>
      <c r="B13178" s="8" t="str">
        <f>HYPERLINK("https://twitter.com/rajkhodanpur","@rajkhodanpur")</f>
        <v>@rajkhodanpur</v>
      </c>
      <c r="C13178" s="8" t="s">
        <v>1917</v>
      </c>
      <c r="D13178" s="8">
        <v>481</v>
      </c>
      <c r="E13178" s="8">
        <v>0</v>
      </c>
      <c r="F13178" s="8">
        <v>258</v>
      </c>
    </row>
    <row r="13179" spans="1:6" ht="12.75">
      <c r="A13179" s="8">
        <v>43898.875219907408</v>
      </c>
      <c r="B13179" s="8" t="str">
        <f>HYPERLINK("https://twitter.com/tvOneNews","@tvOneNews")</f>
        <v>@tvOneNews</v>
      </c>
      <c r="C13179" s="8" t="s">
        <v>5148</v>
      </c>
      <c r="D13179" s="8">
        <v>0</v>
      </c>
      <c r="E13179" s="8">
        <v>0</v>
      </c>
      <c r="F13179" s="8">
        <v>8730884</v>
      </c>
    </row>
    <row r="13180" spans="1:6" ht="12.75">
      <c r="A13180" s="8">
        <v>43898.875185185185</v>
      </c>
      <c r="B13180" s="8" t="str">
        <f>HYPERLINK("https://twitter.com/strwwbrss","@strwwbrss")</f>
        <v>@strwwbrss</v>
      </c>
      <c r="C13180" s="8" t="s">
        <v>5303</v>
      </c>
      <c r="D13180" s="8">
        <v>1</v>
      </c>
      <c r="E13180" s="8">
        <v>0</v>
      </c>
      <c r="F13180" s="8">
        <v>79</v>
      </c>
    </row>
    <row r="13181" spans="1:6" ht="12.75">
      <c r="A13181" s="8">
        <v>43898.875057870369</v>
      </c>
      <c r="B13181" s="8" t="str">
        <f>HYPERLINK("https://twitter.com/ElfBebeSJMX","@ElfBebeSJMX")</f>
        <v>@ElfBebeSJMX</v>
      </c>
      <c r="C13181" s="8" t="s">
        <v>4801</v>
      </c>
      <c r="D13181" s="8">
        <v>74</v>
      </c>
      <c r="E13181" s="8">
        <v>0</v>
      </c>
      <c r="F13181" s="8">
        <v>205</v>
      </c>
    </row>
    <row r="13182" spans="1:6" ht="12.75">
      <c r="A13182" s="8">
        <v>43898.874780092592</v>
      </c>
      <c r="B13182" s="8" t="str">
        <f>HYPERLINK("https://twitter.com/rahmyutami04","@rahmyutami04")</f>
        <v>@rahmyutami04</v>
      </c>
      <c r="C13182" s="8" t="s">
        <v>4801</v>
      </c>
      <c r="D13182" s="8">
        <v>74</v>
      </c>
      <c r="E13182" s="8">
        <v>0</v>
      </c>
      <c r="F13182" s="8">
        <v>3653</v>
      </c>
    </row>
    <row r="13183" spans="1:6" ht="12.75">
      <c r="A13183" s="8">
        <v>43898.874513888892</v>
      </c>
      <c r="B13183" s="8" t="str">
        <f>HYPERLINK("https://twitter.com/ixlying","@ixlying")</f>
        <v>@ixlying</v>
      </c>
      <c r="C13183" s="8" t="s">
        <v>3265</v>
      </c>
      <c r="D13183" s="8">
        <v>428</v>
      </c>
      <c r="E13183" s="8">
        <v>0</v>
      </c>
      <c r="F13183" s="8">
        <v>48</v>
      </c>
    </row>
    <row r="13184" spans="1:6" ht="12.75">
      <c r="A13184" s="8">
        <v>43898.873518518521</v>
      </c>
      <c r="B13184" s="8" t="str">
        <f>HYPERLINK("https://twitter.com/rotslayer","@rotslayer")</f>
        <v>@rotslayer</v>
      </c>
      <c r="C13184" s="8" t="s">
        <v>1917</v>
      </c>
      <c r="D13184" s="8">
        <v>481</v>
      </c>
      <c r="E13184" s="8">
        <v>0</v>
      </c>
      <c r="F13184" s="8">
        <v>74</v>
      </c>
    </row>
    <row r="13185" spans="1:6" ht="12.75">
      <c r="A13185" s="8">
        <v>43898.873460648145</v>
      </c>
      <c r="B13185" s="8" t="str">
        <f>HYPERLINK("https://twitter.com/octavianisiboro","@octavianisiboro")</f>
        <v>@octavianisiboro</v>
      </c>
      <c r="C13185" s="8" t="s">
        <v>4801</v>
      </c>
      <c r="D13185" s="8">
        <v>74</v>
      </c>
      <c r="E13185" s="8">
        <v>0</v>
      </c>
      <c r="F13185" s="8">
        <v>299</v>
      </c>
    </row>
    <row r="13186" spans="1:6" ht="12.75">
      <c r="A13186" s="8">
        <v>43898.873310185183</v>
      </c>
      <c r="B13186" s="8" t="str">
        <f>HYPERLINK("https://twitter.com/ndaru_wardani","@ndaru_wardani")</f>
        <v>@ndaru_wardani</v>
      </c>
      <c r="C13186" s="8" t="s">
        <v>3405</v>
      </c>
      <c r="D13186" s="8">
        <v>74</v>
      </c>
      <c r="E13186" s="8">
        <v>0</v>
      </c>
      <c r="F13186" s="8">
        <v>307</v>
      </c>
    </row>
    <row r="13187" spans="1:6" ht="12.75">
      <c r="A13187" s="8">
        <v>43898.872962962967</v>
      </c>
      <c r="B13187" s="8" t="str">
        <f t="shared" ref="B13187:B13188" si="203">HYPERLINK("https://twitter.com/mediaindonesia","@mediaindonesia")</f>
        <v>@mediaindonesia</v>
      </c>
      <c r="C13187" s="8" t="s">
        <v>5304</v>
      </c>
      <c r="D13187" s="8">
        <v>0</v>
      </c>
      <c r="E13187" s="8">
        <v>4</v>
      </c>
      <c r="F13187" s="8">
        <v>1420678</v>
      </c>
    </row>
    <row r="13188" spans="1:6" ht="12.75">
      <c r="A13188" s="8">
        <v>43898.87290509259</v>
      </c>
      <c r="B13188" s="8" t="str">
        <f t="shared" si="203"/>
        <v>@mediaindonesia</v>
      </c>
      <c r="C13188" s="8" t="s">
        <v>5305</v>
      </c>
      <c r="D13188" s="8">
        <v>1</v>
      </c>
      <c r="E13188" s="8">
        <v>4</v>
      </c>
      <c r="F13188" s="8">
        <v>1420678</v>
      </c>
    </row>
    <row r="13189" spans="1:6" ht="12.75">
      <c r="A13189" s="8">
        <v>43898.872615740736</v>
      </c>
      <c r="B13189" s="8" t="str">
        <f>HYPERLINK("https://twitter.com/olamcah_","@olamcah_")</f>
        <v>@olamcah_</v>
      </c>
      <c r="C13189" s="8" t="s">
        <v>4548</v>
      </c>
      <c r="D13189" s="8">
        <v>13</v>
      </c>
      <c r="E13189" s="8">
        <v>0</v>
      </c>
      <c r="F13189" s="8">
        <v>145</v>
      </c>
    </row>
    <row r="13190" spans="1:6" ht="12.75">
      <c r="A13190" s="8">
        <v>43898.872407407413</v>
      </c>
      <c r="B13190" s="8" t="str">
        <f>HYPERLINK("https://twitter.com/pertiwi_bunda","@pertiwi_bunda")</f>
        <v>@pertiwi_bunda</v>
      </c>
      <c r="C13190" s="8" t="s">
        <v>4548</v>
      </c>
      <c r="D13190" s="8">
        <v>13</v>
      </c>
      <c r="E13190" s="8">
        <v>0</v>
      </c>
      <c r="F13190" s="8">
        <v>873</v>
      </c>
    </row>
    <row r="13191" spans="1:6" ht="12.75">
      <c r="A13191" s="8">
        <v>43898.872013888889</v>
      </c>
      <c r="B13191" s="8" t="str">
        <f>HYPERLINK("https://twitter.com/vivek0507","@vivek0507")</f>
        <v>@vivek0507</v>
      </c>
      <c r="C13191" s="8" t="s">
        <v>1917</v>
      </c>
      <c r="D13191" s="8">
        <v>481</v>
      </c>
      <c r="E13191" s="8">
        <v>0</v>
      </c>
      <c r="F13191" s="8">
        <v>320</v>
      </c>
    </row>
    <row r="13192" spans="1:6" ht="12.75">
      <c r="A13192" s="8">
        <v>43898.871921296297</v>
      </c>
      <c r="B13192" s="8" t="str">
        <f>HYPERLINK("https://twitter.com/tuanbonsu","@tuanbonsu")</f>
        <v>@tuanbonsu</v>
      </c>
      <c r="C13192" s="8" t="s">
        <v>5306</v>
      </c>
      <c r="D13192" s="8">
        <v>0</v>
      </c>
      <c r="E13192" s="8">
        <v>0</v>
      </c>
      <c r="F13192" s="8">
        <v>933</v>
      </c>
    </row>
    <row r="13193" spans="1:6" ht="12.75">
      <c r="A13193" s="8">
        <v>43898.871689814812</v>
      </c>
      <c r="B13193" s="8" t="str">
        <f>HYPERLINK("https://twitter.com/avinash_mailme","@avinash_mailme")</f>
        <v>@avinash_mailme</v>
      </c>
      <c r="C13193" s="8" t="s">
        <v>1917</v>
      </c>
      <c r="D13193" s="8">
        <v>481</v>
      </c>
      <c r="E13193" s="8">
        <v>0</v>
      </c>
      <c r="F13193" s="8">
        <v>1104</v>
      </c>
    </row>
    <row r="13194" spans="1:6" ht="12.75">
      <c r="A13194" s="8">
        <v>43898.871631944443</v>
      </c>
      <c r="B13194" s="8" t="str">
        <f>HYPERLINK("https://twitter.com/Reza_M67M","@Reza_M67M")</f>
        <v>@Reza_M67M</v>
      </c>
      <c r="C13194" s="8" t="s">
        <v>3511</v>
      </c>
      <c r="D13194" s="8">
        <v>143</v>
      </c>
      <c r="E13194" s="8">
        <v>0</v>
      </c>
      <c r="F13194" s="8">
        <v>561</v>
      </c>
    </row>
    <row r="13195" spans="1:6" ht="12.75">
      <c r="A13195" s="8">
        <v>43898.871550925927</v>
      </c>
      <c r="B13195" s="8" t="str">
        <f>HYPERLINK("https://twitter.com/shubham12649","@shubham12649")</f>
        <v>@shubham12649</v>
      </c>
      <c r="C13195" s="8" t="s">
        <v>1917</v>
      </c>
      <c r="D13195" s="8">
        <v>481</v>
      </c>
      <c r="E13195" s="8">
        <v>0</v>
      </c>
      <c r="F13195" s="8">
        <v>274</v>
      </c>
    </row>
    <row r="13196" spans="1:6" ht="12.75">
      <c r="A13196" s="8">
        <v>43898.871365740742</v>
      </c>
      <c r="B13196" s="8" t="str">
        <f>HYPERLINK("https://twitter.com/jakalalanatea","@jakalalanatea")</f>
        <v>@jakalalanatea</v>
      </c>
      <c r="C13196" s="8" t="s">
        <v>3265</v>
      </c>
      <c r="D13196" s="8">
        <v>428</v>
      </c>
      <c r="E13196" s="8">
        <v>0</v>
      </c>
      <c r="F13196" s="8">
        <v>706</v>
      </c>
    </row>
    <row r="13197" spans="1:6" ht="12.75">
      <c r="A13197" s="8">
        <v>43898.871249999997</v>
      </c>
      <c r="B13197" s="8" t="str">
        <f>HYPERLINK("https://twitter.com/kenkenews","@kenkenews")</f>
        <v>@kenkenews</v>
      </c>
      <c r="C13197" s="8" t="s">
        <v>5123</v>
      </c>
      <c r="D13197" s="8">
        <v>0</v>
      </c>
      <c r="E13197" s="8">
        <v>0</v>
      </c>
      <c r="F13197" s="8">
        <v>162</v>
      </c>
    </row>
    <row r="13198" spans="1:6" ht="12.75">
      <c r="A13198" s="8">
        <v>43898.871215277773</v>
      </c>
      <c r="B13198" s="8" t="str">
        <f>HYPERLINK("https://twitter.com/wow_keren","@wow_keren")</f>
        <v>@wow_keren</v>
      </c>
      <c r="C13198" s="8" t="s">
        <v>5307</v>
      </c>
      <c r="D13198" s="8">
        <v>0</v>
      </c>
      <c r="E13198" s="8">
        <v>0</v>
      </c>
      <c r="F13198" s="8">
        <v>32028</v>
      </c>
    </row>
    <row r="13199" spans="1:6" ht="12.75">
      <c r="A13199" s="8">
        <v>43898.87091435185</v>
      </c>
      <c r="B13199" s="8" t="str">
        <f>HYPERLINK("https://twitter.com/tushar2486","@tushar2486")</f>
        <v>@tushar2486</v>
      </c>
      <c r="C13199" s="8" t="s">
        <v>1917</v>
      </c>
      <c r="D13199" s="8">
        <v>481</v>
      </c>
      <c r="E13199" s="8">
        <v>0</v>
      </c>
      <c r="F13199" s="8">
        <v>230</v>
      </c>
    </row>
    <row r="13200" spans="1:6" ht="12.75">
      <c r="A13200" s="8">
        <v>43898.870833333334</v>
      </c>
      <c r="B13200" s="8" t="str">
        <f>HYPERLINK("https://twitter.com/cosrxx","@cosrxx")</f>
        <v>@cosrxx</v>
      </c>
      <c r="C13200" s="8" t="s">
        <v>5308</v>
      </c>
      <c r="D13200" s="8">
        <v>1</v>
      </c>
      <c r="E13200" s="8">
        <v>1</v>
      </c>
      <c r="F13200" s="8">
        <v>3873</v>
      </c>
    </row>
    <row r="13201" spans="1:6" ht="12.75">
      <c r="A13201" s="8">
        <v>43898.870740740742</v>
      </c>
      <c r="B13201" s="8" t="str">
        <f>HYPERLINK("https://twitter.com/CahayaBaktiGraf","@CahayaBaktiGraf")</f>
        <v>@CahayaBaktiGraf</v>
      </c>
      <c r="C13201" s="8" t="s">
        <v>5309</v>
      </c>
      <c r="D13201" s="8">
        <v>0</v>
      </c>
      <c r="E13201" s="8">
        <v>0</v>
      </c>
      <c r="F13201" s="8">
        <v>1029</v>
      </c>
    </row>
    <row r="13202" spans="1:6" ht="12.75">
      <c r="A13202" s="8">
        <v>43898.870567129634</v>
      </c>
      <c r="B13202" s="8" t="str">
        <f>HYPERLINK("https://twitter.com/dinonysus7","@dinonysus7")</f>
        <v>@dinonysus7</v>
      </c>
      <c r="C13202" s="8" t="s">
        <v>1917</v>
      </c>
      <c r="D13202" s="8">
        <v>481</v>
      </c>
      <c r="E13202" s="8">
        <v>0</v>
      </c>
      <c r="F13202" s="8">
        <v>516</v>
      </c>
    </row>
    <row r="13203" spans="1:6" ht="12.75">
      <c r="A13203" s="8">
        <v>43898.870081018518</v>
      </c>
      <c r="B13203" s="8" t="str">
        <f>HYPERLINK("https://twitter.com/arjundoto","@arjundoto")</f>
        <v>@arjundoto</v>
      </c>
      <c r="C13203" s="8" t="s">
        <v>3265</v>
      </c>
      <c r="D13203" s="8">
        <v>428</v>
      </c>
      <c r="E13203" s="8">
        <v>0</v>
      </c>
      <c r="F13203" s="8">
        <v>316</v>
      </c>
    </row>
    <row r="13204" spans="1:6" ht="12.75">
      <c r="A13204" s="8">
        <v>43898.869814814811</v>
      </c>
      <c r="B13204" s="8" t="str">
        <f>HYPERLINK("https://twitter.com/yoo95nic","@yoo95nic")</f>
        <v>@yoo95nic</v>
      </c>
      <c r="C13204" s="8" t="s">
        <v>4801</v>
      </c>
      <c r="D13204" s="8">
        <v>74</v>
      </c>
      <c r="E13204" s="8">
        <v>0</v>
      </c>
      <c r="F13204" s="8">
        <v>223</v>
      </c>
    </row>
    <row r="13205" spans="1:6" ht="12.75">
      <c r="A13205" s="8">
        <v>43898.869664351849</v>
      </c>
      <c r="B13205" s="8" t="str">
        <f>HYPERLINK("https://twitter.com/resyad_alby","@resyad_alby")</f>
        <v>@resyad_alby</v>
      </c>
      <c r="C13205" s="8" t="s">
        <v>5310</v>
      </c>
      <c r="D13205" s="8">
        <v>0</v>
      </c>
      <c r="E13205" s="8">
        <v>0</v>
      </c>
      <c r="F13205" s="8">
        <v>148</v>
      </c>
    </row>
    <row r="13206" spans="1:6" ht="12.75">
      <c r="A13206" s="8">
        <v>43898.868668981479</v>
      </c>
      <c r="B13206" s="8" t="str">
        <f>HYPERLINK("https://twitter.com/voaislam","@voaislam")</f>
        <v>@voaislam</v>
      </c>
      <c r="C13206" s="8" t="s">
        <v>4020</v>
      </c>
      <c r="D13206" s="8">
        <v>0</v>
      </c>
      <c r="E13206" s="8">
        <v>0</v>
      </c>
      <c r="F13206" s="8">
        <v>87846</v>
      </c>
    </row>
    <row r="13207" spans="1:6" ht="12.75">
      <c r="A13207" s="8">
        <v>43898.86855324074</v>
      </c>
      <c r="B13207" s="8" t="str">
        <f>HYPERLINK("https://twitter.com/gorofaiz","@gorofaiz")</f>
        <v>@gorofaiz</v>
      </c>
      <c r="C13207" s="8" t="s">
        <v>4801</v>
      </c>
      <c r="D13207" s="8">
        <v>74</v>
      </c>
      <c r="E13207" s="8">
        <v>0</v>
      </c>
      <c r="F13207" s="8">
        <v>207</v>
      </c>
    </row>
    <row r="13208" spans="1:6" ht="12.75">
      <c r="A13208" s="8">
        <v>43898.86854166667</v>
      </c>
      <c r="B13208" s="8" t="str">
        <f>HYPERLINK("https://twitter.com/prajnamu","@prajnamu")</f>
        <v>@prajnamu</v>
      </c>
      <c r="C13208" s="8" t="s">
        <v>5311</v>
      </c>
      <c r="D13208" s="8">
        <v>0</v>
      </c>
      <c r="E13208" s="8">
        <v>0</v>
      </c>
      <c r="F13208" s="8">
        <v>2350</v>
      </c>
    </row>
    <row r="13209" spans="1:6" ht="12.75">
      <c r="A13209" s="8">
        <v>43898.868437500001</v>
      </c>
      <c r="B13209" s="8" t="str">
        <f>HYPERLINK("https://twitter.com/amadahmunthe","@amadahmunthe")</f>
        <v>@amadahmunthe</v>
      </c>
      <c r="C13209" s="8" t="s">
        <v>4801</v>
      </c>
      <c r="D13209" s="8">
        <v>74</v>
      </c>
      <c r="E13209" s="8">
        <v>0</v>
      </c>
      <c r="F13209" s="8">
        <v>429</v>
      </c>
    </row>
    <row r="13210" spans="1:6" ht="12.75">
      <c r="A13210" s="8">
        <v>43898.868414351848</v>
      </c>
      <c r="B13210" s="8" t="str">
        <f>HYPERLINK("https://twitter.com/Sentjoko","@Sentjoko")</f>
        <v>@Sentjoko</v>
      </c>
      <c r="C13210" s="8" t="s">
        <v>5312</v>
      </c>
      <c r="D13210" s="8">
        <v>0</v>
      </c>
      <c r="E13210" s="8">
        <v>0</v>
      </c>
      <c r="F13210" s="8">
        <v>1579</v>
      </c>
    </row>
    <row r="13211" spans="1:6" ht="12.75">
      <c r="A13211" s="8">
        <v>43898.868402777778</v>
      </c>
      <c r="B13211" s="8" t="str">
        <f>HYPERLINK("https://twitter.com/ratu_adil","@ratu_adil")</f>
        <v>@ratu_adil</v>
      </c>
      <c r="C13211" s="8" t="s">
        <v>4984</v>
      </c>
      <c r="D13211" s="8">
        <v>5</v>
      </c>
      <c r="E13211" s="8">
        <v>0</v>
      </c>
      <c r="F13211" s="8">
        <v>52826</v>
      </c>
    </row>
    <row r="13212" spans="1:6" ht="12.75">
      <c r="A13212" s="8">
        <v>43898.867997685185</v>
      </c>
      <c r="B13212" s="8" t="str">
        <f>HYPERLINK("https://twitter.com/Sandeep93248761","@Sandeep93248761")</f>
        <v>@Sandeep93248761</v>
      </c>
      <c r="C13212" s="8" t="s">
        <v>1917</v>
      </c>
      <c r="D13212" s="8">
        <v>481</v>
      </c>
      <c r="E13212" s="8">
        <v>0</v>
      </c>
      <c r="F13212" s="8">
        <v>78</v>
      </c>
    </row>
    <row r="13213" spans="1:6" ht="12.75">
      <c r="A13213" s="8">
        <v>43898.867754629631</v>
      </c>
      <c r="B13213" s="8" t="str">
        <f>HYPERLINK("https://twitter.com/AnityasLimajari","@AnityasLimajari")</f>
        <v>@AnityasLimajari</v>
      </c>
      <c r="C13213" s="8" t="s">
        <v>4801</v>
      </c>
      <c r="D13213" s="8">
        <v>74</v>
      </c>
      <c r="E13213" s="8">
        <v>0</v>
      </c>
      <c r="F13213" s="8">
        <v>328</v>
      </c>
    </row>
    <row r="13214" spans="1:6" ht="12.75">
      <c r="A13214" s="8">
        <v>43898.867256944446</v>
      </c>
      <c r="B13214" s="8" t="str">
        <f>HYPERLINK("https://twitter.com/ratu_adil","@ratu_adil")</f>
        <v>@ratu_adil</v>
      </c>
      <c r="C13214" s="8" t="s">
        <v>5313</v>
      </c>
      <c r="D13214" s="8">
        <v>11</v>
      </c>
      <c r="E13214" s="8">
        <v>0</v>
      </c>
      <c r="F13214" s="8">
        <v>52826</v>
      </c>
    </row>
    <row r="13215" spans="1:6" ht="12.75">
      <c r="A13215" s="8">
        <v>43898.867048611108</v>
      </c>
      <c r="B13215" s="8" t="str">
        <f>HYPERLINK("https://twitter.com/Amanskid","@Amanskid")</f>
        <v>@Amanskid</v>
      </c>
      <c r="C13215" s="8" t="s">
        <v>4426</v>
      </c>
      <c r="D13215" s="8">
        <v>137</v>
      </c>
      <c r="E13215" s="8">
        <v>0</v>
      </c>
      <c r="F13215" s="8">
        <v>1388</v>
      </c>
    </row>
    <row r="13216" spans="1:6" ht="12.75">
      <c r="A13216" s="8">
        <v>43898.867013888885</v>
      </c>
      <c r="B13216" s="8" t="str">
        <f>HYPERLINK("https://twitter.com/umatliaeden","@umatliaeden")</f>
        <v>@umatliaeden</v>
      </c>
      <c r="C13216" s="8" t="s">
        <v>5314</v>
      </c>
      <c r="D13216" s="8">
        <v>0</v>
      </c>
      <c r="E13216" s="8">
        <v>0</v>
      </c>
      <c r="F13216" s="8">
        <v>132</v>
      </c>
    </row>
    <row r="13217" spans="1:6" ht="12.75">
      <c r="A13217" s="8">
        <v>43898.866979166662</v>
      </c>
      <c r="B13217" s="8" t="str">
        <f>HYPERLINK("https://twitter.com/SurenderKD29","@SurenderKD29")</f>
        <v>@SurenderKD29</v>
      </c>
      <c r="C13217" s="8" t="s">
        <v>1917</v>
      </c>
      <c r="D13217" s="8">
        <v>481</v>
      </c>
      <c r="E13217" s="8">
        <v>0</v>
      </c>
      <c r="F13217" s="8">
        <v>363</v>
      </c>
    </row>
    <row r="13218" spans="1:6" ht="12.75">
      <c r="A13218" s="8">
        <v>43898.866770833338</v>
      </c>
      <c r="B13218" s="8" t="str">
        <f>HYPERLINK("https://twitter.com/cgmagia","@cgmagia")</f>
        <v>@cgmagia</v>
      </c>
      <c r="C13218" s="8" t="s">
        <v>5315</v>
      </c>
      <c r="D13218" s="8">
        <v>0</v>
      </c>
      <c r="E13218" s="8">
        <v>1</v>
      </c>
      <c r="F13218" s="8">
        <v>26</v>
      </c>
    </row>
    <row r="13219" spans="1:6" ht="12.75">
      <c r="A13219" s="8">
        <v>43898.866585648153</v>
      </c>
      <c r="B13219" s="8" t="str">
        <f>HYPERLINK("https://twitter.com/Nikhilesh003","@Nikhilesh003")</f>
        <v>@Nikhilesh003</v>
      </c>
      <c r="C13219" s="8" t="s">
        <v>5316</v>
      </c>
      <c r="D13219" s="8">
        <v>0</v>
      </c>
      <c r="E13219" s="8">
        <v>0</v>
      </c>
      <c r="F13219" s="8">
        <v>40</v>
      </c>
    </row>
    <row r="13220" spans="1:6" ht="12.75">
      <c r="A13220" s="8">
        <v>43898.866574074069</v>
      </c>
      <c r="B13220" s="8" t="str">
        <f>HYPERLINK("https://twitter.com/Jsr_avi","@Jsr_avi")</f>
        <v>@Jsr_avi</v>
      </c>
      <c r="C13220" s="8" t="s">
        <v>1917</v>
      </c>
      <c r="D13220" s="8">
        <v>481</v>
      </c>
      <c r="E13220" s="8">
        <v>0</v>
      </c>
      <c r="F13220" s="8">
        <v>459</v>
      </c>
    </row>
    <row r="13221" spans="1:6" ht="12.75">
      <c r="A13221" s="8">
        <v>43898.866562499999</v>
      </c>
      <c r="B13221" s="8" t="str">
        <f>HYPERLINK("https://twitter.com/Urbnite1","@Urbnite1")</f>
        <v>@Urbnite1</v>
      </c>
      <c r="C13221" s="8" t="s">
        <v>1917</v>
      </c>
      <c r="D13221" s="8">
        <v>481</v>
      </c>
      <c r="E13221" s="8">
        <v>0</v>
      </c>
      <c r="F13221" s="8">
        <v>118</v>
      </c>
    </row>
    <row r="13222" spans="1:6" ht="12.75">
      <c r="A13222" s="8">
        <v>43898.866331018522</v>
      </c>
      <c r="B13222" s="8" t="str">
        <f>HYPERLINK("https://twitter.com/sksingh_23","@sksingh_23")</f>
        <v>@sksingh_23</v>
      </c>
      <c r="C13222" s="8" t="s">
        <v>1917</v>
      </c>
      <c r="D13222" s="8">
        <v>481</v>
      </c>
      <c r="E13222" s="8">
        <v>0</v>
      </c>
      <c r="F13222" s="8">
        <v>459</v>
      </c>
    </row>
    <row r="13223" spans="1:6" ht="12.75">
      <c r="A13223" s="8">
        <v>43898.866319444445</v>
      </c>
      <c r="B13223" s="8" t="str">
        <f>HYPERLINK("https://twitter.com/Sudarshanswamy","@Sudarshanswamy")</f>
        <v>@Sudarshanswamy</v>
      </c>
      <c r="C13223" s="8" t="s">
        <v>1917</v>
      </c>
      <c r="D13223" s="8">
        <v>481</v>
      </c>
      <c r="E13223" s="8">
        <v>0</v>
      </c>
      <c r="F13223" s="8">
        <v>151</v>
      </c>
    </row>
    <row r="13224" spans="1:6" ht="12.75">
      <c r="A13224" s="8">
        <v>43898.866296296299</v>
      </c>
      <c r="B13224" s="8" t="str">
        <f>HYPERLINK("https://twitter.com/yodanand","@yodanand")</f>
        <v>@yodanand</v>
      </c>
      <c r="C13224" s="8" t="s">
        <v>1917</v>
      </c>
      <c r="D13224" s="8">
        <v>481</v>
      </c>
      <c r="E13224" s="8">
        <v>0</v>
      </c>
      <c r="F13224" s="8">
        <v>87</v>
      </c>
    </row>
    <row r="13225" spans="1:6" ht="12.75">
      <c r="A13225" s="8">
        <v>43898.86618055556</v>
      </c>
      <c r="B13225" s="8" t="str">
        <f>HYPERLINK("https://twitter.com/nisrin_nh","@nisrin_nh")</f>
        <v>@nisrin_nh</v>
      </c>
      <c r="C13225" s="8" t="s">
        <v>2199</v>
      </c>
      <c r="D13225" s="8">
        <v>9101</v>
      </c>
      <c r="E13225" s="8">
        <v>0</v>
      </c>
      <c r="F13225" s="8">
        <v>283</v>
      </c>
    </row>
    <row r="13226" spans="1:6" ht="12.75">
      <c r="A13226" s="8">
        <v>43898.866157407407</v>
      </c>
      <c r="B13226" s="8" t="str">
        <f>HYPERLINK("https://twitter.com/Riteshkurai","@Riteshkurai")</f>
        <v>@Riteshkurai</v>
      </c>
      <c r="C13226" s="8" t="s">
        <v>5317</v>
      </c>
      <c r="D13226" s="8">
        <v>0</v>
      </c>
      <c r="E13226" s="8">
        <v>0</v>
      </c>
      <c r="F13226" s="8">
        <v>213</v>
      </c>
    </row>
    <row r="13227" spans="1:6" ht="12.75">
      <c r="A13227" s="8">
        <v>43898.865787037037</v>
      </c>
      <c r="B13227" s="8" t="str">
        <f>HYPERLINK("https://twitter.com/P2selalu","@P2selalu")</f>
        <v>@P2selalu</v>
      </c>
      <c r="C13227" s="8" t="s">
        <v>4927</v>
      </c>
      <c r="D13227" s="8">
        <v>23</v>
      </c>
      <c r="E13227" s="8">
        <v>0</v>
      </c>
      <c r="F13227" s="8">
        <v>3316</v>
      </c>
    </row>
    <row r="13228" spans="1:6" ht="12.75">
      <c r="A13228" s="8">
        <v>43898.865729166668</v>
      </c>
      <c r="B13228" s="8" t="str">
        <f>HYPERLINK("https://twitter.com/OMAIOfficial","@OMAIOfficial")</f>
        <v>@OMAIOfficial</v>
      </c>
      <c r="C13228" s="8" t="s">
        <v>4801</v>
      </c>
      <c r="D13228" s="8">
        <v>74</v>
      </c>
      <c r="E13228" s="8">
        <v>0</v>
      </c>
      <c r="F13228" s="8">
        <v>1460</v>
      </c>
    </row>
    <row r="13229" spans="1:6" ht="12.75">
      <c r="A13229" s="8">
        <v>43898.865439814814</v>
      </c>
      <c r="B13229" s="8" t="str">
        <f>HYPERLINK("https://twitter.com/ibrahimsp8","@ibrahimsp8")</f>
        <v>@ibrahimsp8</v>
      </c>
      <c r="C13229" s="8" t="s">
        <v>5318</v>
      </c>
      <c r="D13229" s="8">
        <v>0</v>
      </c>
      <c r="E13229" s="8">
        <v>0</v>
      </c>
      <c r="F13229" s="8">
        <v>30</v>
      </c>
    </row>
    <row r="13230" spans="1:6" ht="12.75">
      <c r="A13230" s="8">
        <v>43898.865428240737</v>
      </c>
      <c r="B13230" s="8" t="str">
        <f>HYPERLINK("https://twitter.com/Amanskid","@Amanskid")</f>
        <v>@Amanskid</v>
      </c>
      <c r="C13230" s="8" t="s">
        <v>3743</v>
      </c>
      <c r="D13230" s="8">
        <v>712</v>
      </c>
      <c r="E13230" s="8">
        <v>0</v>
      </c>
      <c r="F13230" s="8">
        <v>1388</v>
      </c>
    </row>
    <row r="13231" spans="1:6" ht="12.75">
      <c r="A13231" s="8">
        <v>43898.865416666667</v>
      </c>
      <c r="B13231" s="8" t="str">
        <f>HYPERLINK("https://twitter.com/aidanurra","@aidanurra")</f>
        <v>@aidanurra</v>
      </c>
      <c r="C13231" s="8" t="s">
        <v>4607</v>
      </c>
      <c r="D13231" s="8">
        <v>22</v>
      </c>
      <c r="E13231" s="8">
        <v>0</v>
      </c>
      <c r="F13231" s="8">
        <v>169</v>
      </c>
    </row>
    <row r="13232" spans="1:6" ht="12.75">
      <c r="A13232" s="8">
        <v>43898.865312499998</v>
      </c>
      <c r="B13232" s="8" t="str">
        <f>HYPERLINK("https://twitter.com/elangbc","@elangbc")</f>
        <v>@elangbc</v>
      </c>
      <c r="C13232" s="8" t="s">
        <v>5319</v>
      </c>
      <c r="D13232" s="8">
        <v>0</v>
      </c>
      <c r="E13232" s="8">
        <v>0</v>
      </c>
      <c r="F13232" s="8">
        <v>7939</v>
      </c>
    </row>
    <row r="13233" spans="1:6" ht="12.75">
      <c r="A13233" s="8">
        <v>43898.839409722219</v>
      </c>
      <c r="B13233" s="8" t="str">
        <f>HYPERLINK("https://twitter.com/Truethoughts68","@Truethoughts68")</f>
        <v>@Truethoughts68</v>
      </c>
      <c r="C13233" s="8" t="s">
        <v>1917</v>
      </c>
      <c r="D13233" s="8">
        <v>392</v>
      </c>
      <c r="E13233" s="8">
        <v>0</v>
      </c>
      <c r="F13233" s="8">
        <v>5068</v>
      </c>
    </row>
    <row r="13234" spans="1:6" ht="12.75">
      <c r="A13234" s="8">
        <v>43898.839247685188</v>
      </c>
      <c r="B13234" s="8" t="str">
        <f>HYPERLINK("https://twitter.com/AMITGKAMIT","@AMITGKAMIT")</f>
        <v>@AMITGKAMIT</v>
      </c>
      <c r="C13234" s="8" t="s">
        <v>1917</v>
      </c>
      <c r="D13234" s="8">
        <v>392</v>
      </c>
      <c r="E13234" s="8">
        <v>0</v>
      </c>
      <c r="F13234" s="8">
        <v>252</v>
      </c>
    </row>
    <row r="13235" spans="1:6" ht="12.75">
      <c r="A13235" s="8">
        <v>43898.838425925926</v>
      </c>
      <c r="B13235" s="8" t="str">
        <f>HYPERLINK("https://twitter.com/orionpax21153","@orionpax21153")</f>
        <v>@orionpax21153</v>
      </c>
      <c r="C13235" s="8" t="s">
        <v>1917</v>
      </c>
      <c r="D13235" s="8">
        <v>392</v>
      </c>
      <c r="E13235" s="8">
        <v>0</v>
      </c>
      <c r="F13235" s="8">
        <v>196</v>
      </c>
    </row>
    <row r="13236" spans="1:6" ht="12.75">
      <c r="A13236" s="8">
        <v>43898.838194444441</v>
      </c>
      <c r="B13236" s="8" t="str">
        <f>HYPERLINK("https://twitter.com/Nadila_ID","@Nadila_ID")</f>
        <v>@Nadila_ID</v>
      </c>
      <c r="C13236" s="8" t="s">
        <v>5320</v>
      </c>
      <c r="D13236" s="8">
        <v>0</v>
      </c>
      <c r="E13236" s="8">
        <v>0</v>
      </c>
      <c r="F13236" s="8">
        <v>7171</v>
      </c>
    </row>
    <row r="13237" spans="1:6" ht="12.75">
      <c r="A13237" s="8">
        <v>43898.838043981479</v>
      </c>
      <c r="B13237" s="8" t="str">
        <f>HYPERLINK("https://twitter.com/saktibs7","@saktibs7")</f>
        <v>@saktibs7</v>
      </c>
      <c r="C13237" s="8" t="s">
        <v>5080</v>
      </c>
      <c r="D13237" s="8">
        <v>180</v>
      </c>
      <c r="E13237" s="8">
        <v>0</v>
      </c>
      <c r="F13237" s="8">
        <v>436</v>
      </c>
    </row>
    <row r="13238" spans="1:6" ht="12.75">
      <c r="A13238" s="8">
        <v>43898.837905092594</v>
      </c>
      <c r="B13238" s="8" t="str">
        <f>HYPERLINK("https://twitter.com/AntonIDReborn","@AntonIDReborn")</f>
        <v>@AntonIDReborn</v>
      </c>
      <c r="C13238" s="8" t="s">
        <v>3265</v>
      </c>
      <c r="D13238" s="8">
        <v>414</v>
      </c>
      <c r="E13238" s="8">
        <v>0</v>
      </c>
      <c r="F13238" s="8">
        <v>463</v>
      </c>
    </row>
    <row r="13239" spans="1:6" ht="12.75">
      <c r="A13239" s="8">
        <v>43898.837581018517</v>
      </c>
      <c r="B13239" s="8" t="str">
        <f>HYPERLINK("https://twitter.com/mayurpatel1661","@mayurpatel1661")</f>
        <v>@mayurpatel1661</v>
      </c>
      <c r="C13239" s="8" t="s">
        <v>1917</v>
      </c>
      <c r="D13239" s="8">
        <v>392</v>
      </c>
      <c r="E13239" s="8">
        <v>0</v>
      </c>
      <c r="F13239" s="8">
        <v>690</v>
      </c>
    </row>
    <row r="13240" spans="1:6" ht="12.75">
      <c r="A13240" s="8">
        <v>43898.837476851855</v>
      </c>
      <c r="B13240" s="8" t="str">
        <f>HYPERLINK("https://twitter.com/ex_mod","@ex_mod")</f>
        <v>@ex_mod</v>
      </c>
      <c r="C13240" s="8" t="s">
        <v>3265</v>
      </c>
      <c r="D13240" s="8">
        <v>414</v>
      </c>
      <c r="E13240" s="8">
        <v>0</v>
      </c>
      <c r="F13240" s="8">
        <v>80</v>
      </c>
    </row>
    <row r="13241" spans="1:6" ht="12.75">
      <c r="A13241" s="8">
        <v>43898.837037037039</v>
      </c>
      <c r="B13241" s="8" t="str">
        <f>HYPERLINK("https://twitter.com/KhajuriaPawan","@KhajuriaPawan")</f>
        <v>@KhajuriaPawan</v>
      </c>
      <c r="C13241" s="8" t="s">
        <v>1917</v>
      </c>
      <c r="D13241" s="8">
        <v>392</v>
      </c>
      <c r="E13241" s="8">
        <v>0</v>
      </c>
      <c r="F13241" s="8">
        <v>1137</v>
      </c>
    </row>
    <row r="13242" spans="1:6" ht="12.75">
      <c r="A13242" s="8">
        <v>43898.837013888886</v>
      </c>
      <c r="B13242" s="8" t="str">
        <f>HYPERLINK("https://twitter.com/Riablee","@Riablee")</f>
        <v>@Riablee</v>
      </c>
      <c r="C13242" s="8" t="s">
        <v>3265</v>
      </c>
      <c r="D13242" s="8">
        <v>414</v>
      </c>
      <c r="E13242" s="8">
        <v>0</v>
      </c>
      <c r="F13242" s="8">
        <v>285</v>
      </c>
    </row>
    <row r="13243" spans="1:6" ht="12.75">
      <c r="A13243" s="8">
        <v>43898.836805555555</v>
      </c>
      <c r="B13243" s="8" t="str">
        <f>HYPERLINK("https://twitter.com/liputan6dotcom","@liputan6dotcom")</f>
        <v>@liputan6dotcom</v>
      </c>
      <c r="C13243" s="8" t="s">
        <v>5321</v>
      </c>
      <c r="D13243" s="8">
        <v>0</v>
      </c>
      <c r="E13243" s="8">
        <v>0</v>
      </c>
      <c r="F13243" s="8">
        <v>3637350</v>
      </c>
    </row>
    <row r="13244" spans="1:6" ht="12.75">
      <c r="A13244" s="8">
        <v>43898.836782407408</v>
      </c>
      <c r="B13244" s="8" t="str">
        <f>HYPERLINK("https://twitter.com/Singkong__Rebus","@Singkong__Rebus")</f>
        <v>@Singkong__Rebus</v>
      </c>
      <c r="C13244" s="8" t="s">
        <v>5322</v>
      </c>
      <c r="D13244" s="8">
        <v>0</v>
      </c>
      <c r="E13244" s="8">
        <v>0</v>
      </c>
      <c r="F13244" s="8">
        <v>394</v>
      </c>
    </row>
    <row r="13245" spans="1:6" ht="12.75">
      <c r="A13245" s="8">
        <v>43898.836331018523</v>
      </c>
      <c r="B13245" s="8" t="str">
        <f>HYPERLINK("https://twitter.com/widyous","@widyous")</f>
        <v>@widyous</v>
      </c>
      <c r="C13245" s="8" t="s">
        <v>3511</v>
      </c>
      <c r="D13245" s="8">
        <v>130</v>
      </c>
      <c r="E13245" s="8">
        <v>0</v>
      </c>
      <c r="F13245" s="8">
        <v>1519</v>
      </c>
    </row>
    <row r="13246" spans="1:6" ht="12.75">
      <c r="A13246" s="8">
        <v>43898.836319444439</v>
      </c>
      <c r="B13246" s="8" t="str">
        <f>HYPERLINK("https://twitter.com/fight4URIndia","@fight4URIndia")</f>
        <v>@fight4URIndia</v>
      </c>
      <c r="C13246" s="8" t="s">
        <v>1917</v>
      </c>
      <c r="D13246" s="8">
        <v>392</v>
      </c>
      <c r="E13246" s="8">
        <v>0</v>
      </c>
      <c r="F13246" s="8">
        <v>1424</v>
      </c>
    </row>
    <row r="13247" spans="1:6" ht="12.75">
      <c r="A13247" s="8">
        <v>43898.836041666669</v>
      </c>
      <c r="B13247" s="8" t="str">
        <f>HYPERLINK("https://twitter.com/BattleOfVienna","@BattleOfVienna")</f>
        <v>@BattleOfVienna</v>
      </c>
      <c r="C13247" s="8" t="s">
        <v>5323</v>
      </c>
      <c r="D13247" s="8">
        <v>0</v>
      </c>
      <c r="E13247" s="8">
        <v>0</v>
      </c>
      <c r="F13247" s="8">
        <v>57</v>
      </c>
    </row>
    <row r="13248" spans="1:6" ht="12.75">
      <c r="A13248" s="8">
        <v>43898.835497685184</v>
      </c>
      <c r="B13248" s="8" t="str">
        <f>HYPERLINK("https://twitter.com/inisialtg","@inisialtg")</f>
        <v>@inisialtg</v>
      </c>
      <c r="C13248" s="8" t="s">
        <v>5324</v>
      </c>
      <c r="D13248" s="8">
        <v>10</v>
      </c>
      <c r="E13248" s="8">
        <v>0</v>
      </c>
      <c r="F13248" s="8">
        <v>326</v>
      </c>
    </row>
    <row r="13249" spans="1:6" ht="12.75">
      <c r="A13249" s="8">
        <v>43898.835486111115</v>
      </c>
      <c r="B13249" s="8" t="str">
        <f>HYPERLINK("https://twitter.com/mukeshn20292764","@mukeshn20292764")</f>
        <v>@mukeshn20292764</v>
      </c>
      <c r="C13249" s="8" t="s">
        <v>1917</v>
      </c>
      <c r="D13249" s="8">
        <v>392</v>
      </c>
      <c r="E13249" s="8">
        <v>0</v>
      </c>
      <c r="F13249" s="8">
        <v>96</v>
      </c>
    </row>
    <row r="13250" spans="1:6" ht="12.75">
      <c r="A13250" s="8">
        <v>43898.835173611107</v>
      </c>
      <c r="B13250" s="8" t="str">
        <f>HYPERLINK("https://twitter.com/AbhilashaChoudh","@AbhilashaChoudh")</f>
        <v>@AbhilashaChoudh</v>
      </c>
      <c r="C13250" s="8" t="s">
        <v>1917</v>
      </c>
      <c r="D13250" s="8">
        <v>392</v>
      </c>
      <c r="E13250" s="8">
        <v>0</v>
      </c>
      <c r="F13250" s="8">
        <v>227</v>
      </c>
    </row>
    <row r="13251" spans="1:6" ht="12.75">
      <c r="A13251" s="8">
        <v>43898.834918981476</v>
      </c>
      <c r="B13251" s="8" t="str">
        <f>HYPERLINK("https://twitter.com/JanuarismanA","@JanuarismanA")</f>
        <v>@JanuarismanA</v>
      </c>
      <c r="C13251" s="8" t="s">
        <v>3265</v>
      </c>
      <c r="D13251" s="8">
        <v>414</v>
      </c>
      <c r="E13251" s="8">
        <v>0</v>
      </c>
      <c r="F13251" s="8">
        <v>26</v>
      </c>
    </row>
    <row r="13252" spans="1:6" ht="12.75">
      <c r="A13252" s="8">
        <v>43898.834907407407</v>
      </c>
      <c r="B13252" s="8" t="str">
        <f>HYPERLINK("https://twitter.com/BackSayur","@BackSayur")</f>
        <v>@BackSayur</v>
      </c>
      <c r="C13252" s="8" t="s">
        <v>5325</v>
      </c>
      <c r="D13252" s="8">
        <v>0</v>
      </c>
      <c r="E13252" s="8">
        <v>0</v>
      </c>
      <c r="F13252" s="8">
        <v>1060</v>
      </c>
    </row>
    <row r="13253" spans="1:6" ht="12.75">
      <c r="A13253" s="8">
        <v>43898.834745370375</v>
      </c>
      <c r="B13253" s="8" t="str">
        <f>HYPERLINK("https://twitter.com/Melinda75668165","@Melinda75668165")</f>
        <v>@Melinda75668165</v>
      </c>
      <c r="C13253" s="8" t="s">
        <v>3265</v>
      </c>
      <c r="D13253" s="8">
        <v>414</v>
      </c>
      <c r="E13253" s="8">
        <v>0</v>
      </c>
      <c r="F13253" s="8">
        <v>74</v>
      </c>
    </row>
    <row r="13254" spans="1:6" ht="12.75">
      <c r="A13254" s="8">
        <v>43898.834525462968</v>
      </c>
      <c r="B13254" s="8" t="str">
        <f>HYPERLINK("https://twitter.com/the_hyderabadi","@the_hyderabadi")</f>
        <v>@the_hyderabadi</v>
      </c>
      <c r="C13254" s="8" t="s">
        <v>1917</v>
      </c>
      <c r="D13254" s="8">
        <v>392</v>
      </c>
      <c r="E13254" s="8">
        <v>0</v>
      </c>
      <c r="F13254" s="8">
        <v>782</v>
      </c>
    </row>
    <row r="13255" spans="1:6" ht="12.75">
      <c r="A13255" s="8">
        <v>43898.834085648152</v>
      </c>
      <c r="B13255" s="8" t="str">
        <f>HYPERLINK("https://twitter.com/C41__5R","@C41__5R")</f>
        <v>@C41__5R</v>
      </c>
      <c r="C13255" s="8" t="s">
        <v>5326</v>
      </c>
      <c r="D13255" s="8">
        <v>0</v>
      </c>
      <c r="E13255" s="8">
        <v>0</v>
      </c>
      <c r="F13255" s="8">
        <v>609</v>
      </c>
    </row>
    <row r="13256" spans="1:6" ht="12.75">
      <c r="A13256" s="8">
        <v>43898.834039351852</v>
      </c>
      <c r="B13256" s="8" t="str">
        <f>HYPERLINK("https://twitter.com/iNewsID","@iNewsID")</f>
        <v>@iNewsID</v>
      </c>
      <c r="C13256" s="8" t="s">
        <v>5327</v>
      </c>
      <c r="D13256" s="8">
        <v>0</v>
      </c>
      <c r="E13256" s="8">
        <v>1</v>
      </c>
      <c r="F13256" s="8">
        <v>1374</v>
      </c>
    </row>
    <row r="13257" spans="1:6" ht="12.75">
      <c r="A13257" s="8">
        <v>43898.833900462967</v>
      </c>
      <c r="B13257" s="8" t="str">
        <f>HYPERLINK("https://twitter.com/AntonTs2","@AntonTs2")</f>
        <v>@AntonTs2</v>
      </c>
      <c r="C13257" s="8" t="s">
        <v>5328</v>
      </c>
      <c r="D13257" s="8">
        <v>3</v>
      </c>
      <c r="E13257" s="8">
        <v>0</v>
      </c>
      <c r="F13257" s="8">
        <v>149</v>
      </c>
    </row>
    <row r="13258" spans="1:6" ht="12.75">
      <c r="A13258" s="8">
        <v>43898.833043981482</v>
      </c>
      <c r="B13258" s="8" t="str">
        <f>HYPERLINK("https://twitter.com/addictpradeep","@addictpradeep")</f>
        <v>@addictpradeep</v>
      </c>
      <c r="C13258" s="8" t="s">
        <v>1917</v>
      </c>
      <c r="D13258" s="8">
        <v>392</v>
      </c>
      <c r="E13258" s="8">
        <v>0</v>
      </c>
      <c r="F13258" s="8">
        <v>1400</v>
      </c>
    </row>
    <row r="13259" spans="1:6" ht="12.75">
      <c r="A13259" s="8">
        <v>43898.832905092597</v>
      </c>
      <c r="B13259" s="8" t="str">
        <f>HYPERLINK("https://twitter.com/RSikucing","@RSikucing")</f>
        <v>@RSikucing</v>
      </c>
      <c r="C13259" s="8" t="s">
        <v>3265</v>
      </c>
      <c r="D13259" s="8">
        <v>414</v>
      </c>
      <c r="E13259" s="8">
        <v>0</v>
      </c>
      <c r="F13259" s="8">
        <v>18</v>
      </c>
    </row>
    <row r="13260" spans="1:6" ht="12.75">
      <c r="A13260" s="8">
        <v>43898.832812499997</v>
      </c>
      <c r="B13260" s="8" t="str">
        <f>HYPERLINK("https://twitter.com/HonestWordsOnly","@HonestWordsOnly")</f>
        <v>@HonestWordsOnly</v>
      </c>
      <c r="C13260" s="8" t="s">
        <v>1917</v>
      </c>
      <c r="D13260" s="8">
        <v>392</v>
      </c>
      <c r="E13260" s="8">
        <v>0</v>
      </c>
      <c r="F13260" s="8">
        <v>852</v>
      </c>
    </row>
    <row r="13261" spans="1:6" ht="12.75">
      <c r="A13261" s="8">
        <v>43898.832557870366</v>
      </c>
      <c r="B13261" s="8" t="str">
        <f>HYPERLINK("https://twitter.com/ErNamdeo","@ErNamdeo")</f>
        <v>@ErNamdeo</v>
      </c>
      <c r="C13261" s="8" t="s">
        <v>1917</v>
      </c>
      <c r="D13261" s="8">
        <v>392</v>
      </c>
      <c r="E13261" s="8">
        <v>0</v>
      </c>
      <c r="F13261" s="8">
        <v>670</v>
      </c>
    </row>
    <row r="13262" spans="1:6" ht="12.75">
      <c r="A13262" s="8">
        <v>43898.832199074073</v>
      </c>
      <c r="B13262" s="8" t="str">
        <f>HYPERLINK("https://twitter.com/ThinkDeeep","@ThinkDeeep")</f>
        <v>@ThinkDeeep</v>
      </c>
      <c r="C13262" s="8" t="s">
        <v>1917</v>
      </c>
      <c r="D13262" s="8">
        <v>392</v>
      </c>
      <c r="E13262" s="8">
        <v>0</v>
      </c>
      <c r="F13262" s="8">
        <v>285</v>
      </c>
    </row>
    <row r="13263" spans="1:6" ht="12.75">
      <c r="A13263" s="8">
        <v>43898.832152777773</v>
      </c>
      <c r="B13263" s="8" t="str">
        <f>HYPERLINK("https://twitter.com/SANJAY9375","@SANJAY9375")</f>
        <v>@SANJAY9375</v>
      </c>
      <c r="C13263" s="8" t="s">
        <v>1917</v>
      </c>
      <c r="D13263" s="8">
        <v>392</v>
      </c>
      <c r="E13263" s="8">
        <v>0</v>
      </c>
      <c r="F13263" s="8">
        <v>197</v>
      </c>
    </row>
    <row r="13264" spans="1:6" ht="12.75">
      <c r="A13264" s="8">
        <v>43898.832094907411</v>
      </c>
      <c r="B13264" s="8" t="str">
        <f>HYPERLINK("https://twitter.com/CakMan70489610","@CakMan70489610")</f>
        <v>@CakMan70489610</v>
      </c>
      <c r="C13264" s="8" t="s">
        <v>4927</v>
      </c>
      <c r="D13264" s="8">
        <v>17</v>
      </c>
      <c r="E13264" s="8">
        <v>0</v>
      </c>
      <c r="F13264" s="8">
        <v>524</v>
      </c>
    </row>
    <row r="13265" spans="1:6" ht="12.75">
      <c r="A13265" s="8">
        <v>43898.832025462965</v>
      </c>
      <c r="B13265" s="8" t="str">
        <f>HYPERLINK("https://twitter.com/GloballyPoorGal","@GloballyPoorGal")</f>
        <v>@GloballyPoorGal</v>
      </c>
      <c r="C13265" s="8" t="s">
        <v>1917</v>
      </c>
      <c r="D13265" s="8">
        <v>392</v>
      </c>
      <c r="E13265" s="8">
        <v>0</v>
      </c>
      <c r="F13265" s="8">
        <v>773</v>
      </c>
    </row>
    <row r="13266" spans="1:6" ht="12.75">
      <c r="A13266" s="8">
        <v>43898.831782407404</v>
      </c>
      <c r="B13266" s="8" t="str">
        <f>HYPERLINK("https://twitter.com/LIPUTAN_INDO","@LIPUTAN_INDO")</f>
        <v>@LIPUTAN_INDO</v>
      </c>
      <c r="C13266" s="8" t="s">
        <v>5329</v>
      </c>
      <c r="D13266" s="8">
        <v>0</v>
      </c>
      <c r="E13266" s="8">
        <v>0</v>
      </c>
      <c r="F13266" s="8">
        <v>771</v>
      </c>
    </row>
    <row r="13267" spans="1:6" ht="12.75">
      <c r="A13267" s="8">
        <v>43898.831666666665</v>
      </c>
      <c r="B13267" s="8" t="str">
        <f>HYPERLINK("https://twitter.com/kafara666","@kafara666")</f>
        <v>@kafara666</v>
      </c>
      <c r="C13267" s="8" t="s">
        <v>5330</v>
      </c>
      <c r="D13267" s="8">
        <v>0</v>
      </c>
      <c r="E13267" s="8">
        <v>0</v>
      </c>
      <c r="F13267" s="8">
        <v>83</v>
      </c>
    </row>
    <row r="13268" spans="1:6" ht="12.75">
      <c r="A13268" s="8">
        <v>43898.831435185188</v>
      </c>
      <c r="B13268" s="8" t="str">
        <f>HYPERLINK("https://twitter.com/farhanputra___","@farhanputra___")</f>
        <v>@farhanputra___</v>
      </c>
      <c r="C13268" s="8" t="s">
        <v>5103</v>
      </c>
      <c r="D13268" s="8">
        <v>219</v>
      </c>
      <c r="E13268" s="8">
        <v>0</v>
      </c>
      <c r="F13268" s="8">
        <v>814</v>
      </c>
    </row>
    <row r="13269" spans="1:6" ht="12.75">
      <c r="A13269" s="8">
        <v>43898.831192129626</v>
      </c>
      <c r="B13269" s="8" t="str">
        <f>HYPERLINK("https://twitter.com/budhiasty","@budhiasty")</f>
        <v>@budhiasty</v>
      </c>
      <c r="C13269" s="8" t="s">
        <v>5331</v>
      </c>
      <c r="D13269" s="8">
        <v>0</v>
      </c>
      <c r="E13269" s="8">
        <v>0</v>
      </c>
      <c r="F13269" s="8">
        <v>240</v>
      </c>
    </row>
    <row r="13270" spans="1:6" ht="12.75">
      <c r="A13270" s="8">
        <v>43898.831192129626</v>
      </c>
      <c r="B13270" s="8" t="str">
        <f>HYPERLINK("https://twitter.com/rajs51","@rajs51")</f>
        <v>@rajs51</v>
      </c>
      <c r="C13270" s="8" t="s">
        <v>1917</v>
      </c>
      <c r="D13270" s="8">
        <v>392</v>
      </c>
      <c r="E13270" s="8">
        <v>0</v>
      </c>
      <c r="F13270" s="8">
        <v>440</v>
      </c>
    </row>
    <row r="13271" spans="1:6" ht="12.75">
      <c r="A13271" s="8">
        <v>43898.83079861111</v>
      </c>
      <c r="B13271" s="8" t="str">
        <f>HYPERLINK("https://twitter.com/evereeze","@evereeze")</f>
        <v>@evereeze</v>
      </c>
      <c r="C13271" s="8" t="s">
        <v>5332</v>
      </c>
      <c r="D13271" s="8">
        <v>1</v>
      </c>
      <c r="E13271" s="8">
        <v>0</v>
      </c>
      <c r="F13271" s="8">
        <v>319</v>
      </c>
    </row>
    <row r="13272" spans="1:6" ht="12.75">
      <c r="A13272" s="8">
        <v>43898.830532407403</v>
      </c>
      <c r="B13272" s="8" t="str">
        <f>HYPERLINK("https://twitter.com/cptsandeepsingh","@cptsandeepsingh")</f>
        <v>@cptsandeepsingh</v>
      </c>
      <c r="C13272" s="8" t="s">
        <v>1917</v>
      </c>
      <c r="D13272" s="8">
        <v>392</v>
      </c>
      <c r="E13272" s="8">
        <v>0</v>
      </c>
      <c r="F13272" s="8">
        <v>437</v>
      </c>
    </row>
    <row r="13273" spans="1:6" ht="12.75">
      <c r="A13273" s="8">
        <v>43898.830312499995</v>
      </c>
      <c r="B13273" s="8" t="str">
        <f>HYPERLINK("https://twitter.com/RadenrofifahH","@RadenrofifahH")</f>
        <v>@RadenrofifahH</v>
      </c>
      <c r="C13273" s="8" t="s">
        <v>3511</v>
      </c>
      <c r="D13273" s="8">
        <v>130</v>
      </c>
      <c r="E13273" s="8">
        <v>0</v>
      </c>
      <c r="F13273" s="8">
        <v>492</v>
      </c>
    </row>
    <row r="13274" spans="1:6" ht="12.75">
      <c r="A13274" s="8">
        <v>43898.830057870371</v>
      </c>
      <c r="B13274" s="8" t="str">
        <f>HYPERLINK("https://twitter.com/JAIRAMKHEMKA","@JAIRAMKHEMKA")</f>
        <v>@JAIRAMKHEMKA</v>
      </c>
      <c r="C13274" s="8" t="s">
        <v>1917</v>
      </c>
      <c r="D13274" s="8">
        <v>392</v>
      </c>
      <c r="E13274" s="8">
        <v>0</v>
      </c>
      <c r="F13274" s="8">
        <v>737</v>
      </c>
    </row>
    <row r="13275" spans="1:6" ht="12.75">
      <c r="A13275" s="8">
        <v>43898.82980324074</v>
      </c>
      <c r="B13275" s="8" t="str">
        <f>HYPERLINK("https://twitter.com/katatodaycom","@katatodaycom")</f>
        <v>@katatodaycom</v>
      </c>
      <c r="C13275" s="8" t="s">
        <v>5333</v>
      </c>
      <c r="D13275" s="8">
        <v>0</v>
      </c>
      <c r="E13275" s="8">
        <v>0</v>
      </c>
      <c r="F13275" s="8">
        <v>1295</v>
      </c>
    </row>
    <row r="13276" spans="1:6" ht="12.75">
      <c r="A13276" s="8">
        <v>43898.829733796301</v>
      </c>
      <c r="B13276" s="8" t="str">
        <f>HYPERLINK("https://twitter.com/wasiman45","@wasiman45")</f>
        <v>@wasiman45</v>
      </c>
      <c r="C13276" s="8" t="s">
        <v>4607</v>
      </c>
      <c r="D13276" s="8">
        <v>18</v>
      </c>
      <c r="E13276" s="8">
        <v>0</v>
      </c>
      <c r="F13276" s="8">
        <v>453</v>
      </c>
    </row>
    <row r="13277" spans="1:6" ht="12.75">
      <c r="A13277" s="8">
        <v>43898.829062500001</v>
      </c>
      <c r="B13277" s="8" t="str">
        <f t="shared" ref="B13277:B13278" si="204">HYPERLINK("https://twitter.com/nenghima1","@nenghima1")</f>
        <v>@nenghima1</v>
      </c>
      <c r="C13277" s="8" t="s">
        <v>5334</v>
      </c>
      <c r="D13277" s="8">
        <v>4</v>
      </c>
      <c r="E13277" s="8">
        <v>0</v>
      </c>
      <c r="F13277" s="8">
        <v>243</v>
      </c>
    </row>
    <row r="13278" spans="1:6" ht="12.75">
      <c r="A13278" s="8">
        <v>43898.829027777778</v>
      </c>
      <c r="B13278" s="8" t="str">
        <f t="shared" si="204"/>
        <v>@nenghima1</v>
      </c>
      <c r="C13278" s="8" t="s">
        <v>3132</v>
      </c>
      <c r="D13278" s="8">
        <v>140</v>
      </c>
      <c r="E13278" s="8">
        <v>0</v>
      </c>
      <c r="F13278" s="8">
        <v>243</v>
      </c>
    </row>
    <row r="13279" spans="1:6" ht="12.75">
      <c r="A13279" s="8">
        <v>43898.829004629632</v>
      </c>
      <c r="B13279" s="8" t="str">
        <f>HYPERLINK("https://twitter.com/MohitYa09019614","@MohitYa09019614")</f>
        <v>@MohitYa09019614</v>
      </c>
      <c r="C13279" s="8" t="s">
        <v>1917</v>
      </c>
      <c r="D13279" s="8">
        <v>392</v>
      </c>
      <c r="E13279" s="8">
        <v>0</v>
      </c>
      <c r="F13279" s="8">
        <v>169</v>
      </c>
    </row>
    <row r="13280" spans="1:6" ht="12.75">
      <c r="A13280" s="8">
        <v>43898.828993055555</v>
      </c>
      <c r="B13280" s="8" t="str">
        <f>HYPERLINK("https://twitter.com/JamaicaJr3","@JamaicaJr3")</f>
        <v>@JamaicaJr3</v>
      </c>
      <c r="C13280" s="8" t="s">
        <v>3265</v>
      </c>
      <c r="D13280" s="8">
        <v>414</v>
      </c>
      <c r="E13280" s="8">
        <v>0</v>
      </c>
      <c r="F13280" s="8">
        <v>17</v>
      </c>
    </row>
    <row r="13281" spans="1:6" ht="12.75">
      <c r="A13281" s="8">
        <v>43898.828321759254</v>
      </c>
      <c r="B13281" s="8" t="str">
        <f>HYPERLINK("https://twitter.com/katrinuhsabino","@katrinuhsabino")</f>
        <v>@katrinuhsabino</v>
      </c>
      <c r="C13281" s="8" t="s">
        <v>5335</v>
      </c>
      <c r="D13281" s="8">
        <v>0</v>
      </c>
      <c r="E13281" s="8">
        <v>0</v>
      </c>
      <c r="F13281" s="8">
        <v>164</v>
      </c>
    </row>
    <row r="13282" spans="1:6" ht="12.75">
      <c r="A13282" s="8">
        <v>43898.828125</v>
      </c>
      <c r="B13282" s="8" t="str">
        <f>HYPERLINK("https://twitter.com/TanmayS55193616","@TanmayS55193616")</f>
        <v>@TanmayS55193616</v>
      </c>
      <c r="C13282" s="8" t="s">
        <v>1917</v>
      </c>
      <c r="D13282" s="8">
        <v>392</v>
      </c>
      <c r="E13282" s="8">
        <v>0</v>
      </c>
      <c r="F13282" s="8">
        <v>133</v>
      </c>
    </row>
    <row r="13283" spans="1:6" ht="12.75">
      <c r="A13283" s="8">
        <v>43898.828078703707</v>
      </c>
      <c r="B13283" s="8" t="str">
        <f>HYPERLINK("https://twitter.com/MaskuMasku1","@MaskuMasku1")</f>
        <v>@MaskuMasku1</v>
      </c>
      <c r="C13283" s="8" t="s">
        <v>5336</v>
      </c>
      <c r="D13283" s="8">
        <v>2</v>
      </c>
      <c r="E13283" s="8">
        <v>0</v>
      </c>
      <c r="F13283" s="8">
        <v>3574</v>
      </c>
    </row>
    <row r="13284" spans="1:6" ht="12.75">
      <c r="A13284" s="8">
        <v>43898.827881944446</v>
      </c>
      <c r="B13284" s="8" t="str">
        <f>HYPERLINK("https://twitter.com/VoiceOfKashi","@VoiceOfKashi")</f>
        <v>@VoiceOfKashi</v>
      </c>
      <c r="C13284" s="8" t="s">
        <v>1917</v>
      </c>
      <c r="D13284" s="8">
        <v>392</v>
      </c>
      <c r="E13284" s="8">
        <v>0</v>
      </c>
      <c r="F13284" s="8">
        <v>99</v>
      </c>
    </row>
    <row r="13285" spans="1:6" ht="12.75">
      <c r="A13285" s="8">
        <v>43898.82775462963</v>
      </c>
      <c r="B13285" s="8" t="str">
        <f>HYPERLINK("https://twitter.com/basu_smarajit","@basu_smarajit")</f>
        <v>@basu_smarajit</v>
      </c>
      <c r="C13285" s="8" t="s">
        <v>5337</v>
      </c>
      <c r="D13285" s="8">
        <v>6</v>
      </c>
      <c r="E13285" s="8">
        <v>0</v>
      </c>
      <c r="F13285" s="8">
        <v>697</v>
      </c>
    </row>
    <row r="13286" spans="1:6" ht="12.75">
      <c r="A13286" s="8">
        <v>43898.827303240745</v>
      </c>
      <c r="B13286" s="8" t="str">
        <f>HYPERLINK("https://twitter.com/faizalassegaf","@faizalassegaf")</f>
        <v>@faizalassegaf</v>
      </c>
      <c r="C13286" s="8" t="s">
        <v>5338</v>
      </c>
      <c r="D13286" s="8">
        <v>0</v>
      </c>
      <c r="E13286" s="8">
        <v>12</v>
      </c>
      <c r="F13286" s="8">
        <v>52309</v>
      </c>
    </row>
    <row r="13287" spans="1:6" ht="12.75">
      <c r="A13287" s="8">
        <v>43898.827025462961</v>
      </c>
      <c r="B13287" s="8" t="str">
        <f>HYPERLINK("https://twitter.com/superkomputer","@superkomputer")</f>
        <v>@superkomputer</v>
      </c>
      <c r="C13287" s="8" t="s">
        <v>3467</v>
      </c>
      <c r="D13287" s="8">
        <v>199</v>
      </c>
      <c r="E13287" s="8">
        <v>0</v>
      </c>
      <c r="F13287" s="8">
        <v>593</v>
      </c>
    </row>
    <row r="13288" spans="1:6" ht="12.75">
      <c r="A13288" s="8">
        <v>43898.826921296291</v>
      </c>
      <c r="B13288" s="8" t="str">
        <f>HYPERLINK("https://twitter.com/sachindixit2002","@sachindixit2002")</f>
        <v>@sachindixit2002</v>
      </c>
      <c r="C13288" s="8" t="s">
        <v>1917</v>
      </c>
      <c r="D13288" s="8">
        <v>392</v>
      </c>
      <c r="E13288" s="8">
        <v>0</v>
      </c>
      <c r="F13288" s="8">
        <v>714</v>
      </c>
    </row>
    <row r="13289" spans="1:6" ht="12.75">
      <c r="A13289" s="8">
        <v>43898.826342592598</v>
      </c>
      <c r="B13289" s="8" t="str">
        <f>HYPERLINK("https://twitter.com/mrgouravanand","@mrgouravanand")</f>
        <v>@mrgouravanand</v>
      </c>
      <c r="C13289" s="8" t="s">
        <v>1917</v>
      </c>
      <c r="D13289" s="8">
        <v>392</v>
      </c>
      <c r="E13289" s="8">
        <v>0</v>
      </c>
      <c r="F13289" s="8">
        <v>117</v>
      </c>
    </row>
    <row r="13290" spans="1:6" ht="12.75">
      <c r="A13290" s="8">
        <v>43898.826284722221</v>
      </c>
      <c r="B13290" s="8" t="str">
        <f>HYPERLINK("https://twitter.com/LieYurika","@LieYurika")</f>
        <v>@LieYurika</v>
      </c>
      <c r="C13290" s="8" t="s">
        <v>5339</v>
      </c>
      <c r="D13290" s="8">
        <v>0</v>
      </c>
      <c r="E13290" s="8">
        <v>0</v>
      </c>
      <c r="F13290" s="8">
        <v>632</v>
      </c>
    </row>
    <row r="13291" spans="1:6" ht="12.75">
      <c r="A13291" s="8">
        <v>43898.825706018513</v>
      </c>
      <c r="B13291" s="8" t="str">
        <f>HYPERLINK("https://twitter.com/widarto72094379","@widarto72094379")</f>
        <v>@widarto72094379</v>
      </c>
      <c r="C13291" s="8" t="s">
        <v>5340</v>
      </c>
      <c r="D13291" s="8">
        <v>0</v>
      </c>
      <c r="E13291" s="8">
        <v>0</v>
      </c>
      <c r="F13291" s="8">
        <v>523</v>
      </c>
    </row>
    <row r="13292" spans="1:6" ht="12.75">
      <c r="A13292" s="8">
        <v>43898.825358796297</v>
      </c>
      <c r="B13292" s="8" t="str">
        <f>HYPERLINK("https://twitter.com/sagarmoto","@sagarmoto")</f>
        <v>@sagarmoto</v>
      </c>
      <c r="C13292" s="8" t="s">
        <v>1917</v>
      </c>
      <c r="D13292" s="8">
        <v>392</v>
      </c>
      <c r="E13292" s="8">
        <v>0</v>
      </c>
      <c r="F13292" s="8">
        <v>96</v>
      </c>
    </row>
    <row r="13293" spans="1:6" ht="12.75">
      <c r="A13293" s="8">
        <v>43898.825277777782</v>
      </c>
      <c r="B13293" s="8" t="str">
        <f>HYPERLINK("https://twitter.com/ditjenkesmas","@ditjenkesmas")</f>
        <v>@ditjenkesmas</v>
      </c>
      <c r="C13293" s="8" t="s">
        <v>4607</v>
      </c>
      <c r="D13293" s="8">
        <v>18</v>
      </c>
      <c r="E13293" s="8">
        <v>0</v>
      </c>
      <c r="F13293" s="8">
        <v>7278</v>
      </c>
    </row>
    <row r="13294" spans="1:6" ht="12.75">
      <c r="A13294" s="8">
        <v>43898.825219907405</v>
      </c>
      <c r="B13294" s="8" t="str">
        <f>HYPERLINK("https://twitter.com/ImKunalAgarwal","@ImKunalAgarwal")</f>
        <v>@ImKunalAgarwal</v>
      </c>
      <c r="C13294" s="8" t="s">
        <v>1917</v>
      </c>
      <c r="D13294" s="8">
        <v>392</v>
      </c>
      <c r="E13294" s="8">
        <v>0</v>
      </c>
      <c r="F13294" s="8">
        <v>140</v>
      </c>
    </row>
    <row r="13295" spans="1:6" ht="12.75">
      <c r="A13295" s="8">
        <v>43898.825173611112</v>
      </c>
      <c r="B13295" s="8" t="str">
        <f>HYPERLINK("https://twitter.com/chacha_ninja","@chacha_ninja")</f>
        <v>@chacha_ninja</v>
      </c>
      <c r="C13295" s="8" t="s">
        <v>1917</v>
      </c>
      <c r="D13295" s="8">
        <v>392</v>
      </c>
      <c r="E13295" s="8">
        <v>0</v>
      </c>
      <c r="F13295" s="8">
        <v>268</v>
      </c>
    </row>
    <row r="13296" spans="1:6" ht="12.75">
      <c r="A13296" s="8">
        <v>43898.824918981481</v>
      </c>
      <c r="B13296" s="8" t="str">
        <f>HYPERLINK("https://twitter.com/nimbumirchi","@nimbumirchi")</f>
        <v>@nimbumirchi</v>
      </c>
      <c r="C13296" s="8" t="s">
        <v>1917</v>
      </c>
      <c r="D13296" s="8">
        <v>392</v>
      </c>
      <c r="E13296" s="8">
        <v>0</v>
      </c>
      <c r="F13296" s="8">
        <v>164</v>
      </c>
    </row>
    <row r="13297" spans="1:6" ht="12.75">
      <c r="A13297" s="8">
        <v>43898.824745370366</v>
      </c>
      <c r="B13297" s="8" t="str">
        <f>HYPERLINK("https://twitter.com/derapril","@derapril")</f>
        <v>@derapril</v>
      </c>
      <c r="C13297" s="8" t="s">
        <v>4607</v>
      </c>
      <c r="D13297" s="8">
        <v>18</v>
      </c>
      <c r="E13297" s="8">
        <v>0</v>
      </c>
      <c r="F13297" s="8">
        <v>799</v>
      </c>
    </row>
    <row r="13298" spans="1:6" ht="12.75">
      <c r="A13298" s="8">
        <v>43898.824699074074</v>
      </c>
      <c r="B13298" s="8" t="str">
        <f>HYPERLINK("https://twitter.com/KshatriySanjay","@KshatriySanjay")</f>
        <v>@KshatriySanjay</v>
      </c>
      <c r="C13298" s="8" t="s">
        <v>1917</v>
      </c>
      <c r="D13298" s="8">
        <v>392</v>
      </c>
      <c r="E13298" s="8">
        <v>0</v>
      </c>
      <c r="F13298" s="8">
        <v>564</v>
      </c>
    </row>
    <row r="13299" spans="1:6" ht="12.75">
      <c r="A13299" s="8">
        <v>43898.824606481481</v>
      </c>
      <c r="B13299" s="8" t="str">
        <f>HYPERLINK("https://twitter.com/GroovyInsider","@GroovyInsider")</f>
        <v>@GroovyInsider</v>
      </c>
      <c r="C13299" s="8" t="s">
        <v>4760</v>
      </c>
      <c r="D13299" s="8">
        <v>4</v>
      </c>
      <c r="E13299" s="8">
        <v>0</v>
      </c>
      <c r="F13299" s="8">
        <v>454</v>
      </c>
    </row>
    <row r="13300" spans="1:6" ht="12.75">
      <c r="A13300" s="8">
        <v>43898.824502314819</v>
      </c>
      <c r="B13300" s="8" t="str">
        <f>HYPERLINK("https://twitter.com/ChichoraMarwari","@ChichoraMarwari")</f>
        <v>@ChichoraMarwari</v>
      </c>
      <c r="C13300" s="8" t="s">
        <v>1917</v>
      </c>
      <c r="D13300" s="8">
        <v>392</v>
      </c>
      <c r="E13300" s="8">
        <v>0</v>
      </c>
      <c r="F13300" s="8">
        <v>138</v>
      </c>
    </row>
    <row r="13301" spans="1:6" ht="12.75">
      <c r="A13301" s="8">
        <v>43898.824479166666</v>
      </c>
      <c r="B13301" s="8" t="str">
        <f>HYPERLINK("https://twitter.com/teukurival_","@teukurival_")</f>
        <v>@teukurival_</v>
      </c>
      <c r="C13301" s="8" t="s">
        <v>3265</v>
      </c>
      <c r="D13301" s="8">
        <v>414</v>
      </c>
      <c r="E13301" s="8">
        <v>0</v>
      </c>
      <c r="F13301" s="8">
        <v>99</v>
      </c>
    </row>
    <row r="13302" spans="1:6" ht="12.75">
      <c r="A13302" s="8">
        <v>43898.824224537035</v>
      </c>
      <c r="B13302" s="8" t="str">
        <f>HYPERLINK("https://twitter.com/mushollarapi","@mushollarapi")</f>
        <v>@mushollarapi</v>
      </c>
      <c r="C13302" s="8" t="s">
        <v>5341</v>
      </c>
      <c r="D13302" s="8">
        <v>6</v>
      </c>
      <c r="E13302" s="8">
        <v>0</v>
      </c>
      <c r="F13302" s="8">
        <v>1450</v>
      </c>
    </row>
    <row r="13303" spans="1:6" ht="12.75">
      <c r="A13303" s="8">
        <v>43898.823796296296</v>
      </c>
      <c r="B13303" s="8" t="str">
        <f>HYPERLINK("https://twitter.com/kurolya","@kurolya")</f>
        <v>@kurolya</v>
      </c>
      <c r="C13303" s="8" t="s">
        <v>1917</v>
      </c>
      <c r="D13303" s="8">
        <v>392</v>
      </c>
      <c r="E13303" s="8">
        <v>0</v>
      </c>
      <c r="F13303" s="8">
        <v>101</v>
      </c>
    </row>
    <row r="13304" spans="1:6" ht="12.75">
      <c r="A13304" s="8">
        <v>43898.823657407411</v>
      </c>
      <c r="B13304" s="8" t="str">
        <f>HYPERLINK("https://twitter.com/abhogiyogi","@abhogiyogi")</f>
        <v>@abhogiyogi</v>
      </c>
      <c r="C13304" s="8" t="s">
        <v>1917</v>
      </c>
      <c r="D13304" s="8">
        <v>392</v>
      </c>
      <c r="E13304" s="8">
        <v>0</v>
      </c>
      <c r="F13304" s="8">
        <v>39</v>
      </c>
    </row>
    <row r="13305" spans="1:6" ht="12.75">
      <c r="A13305" s="8">
        <v>43898.823611111111</v>
      </c>
      <c r="B13305" s="8" t="str">
        <f>HYPERLINK("https://twitter.com/mrioagusta","@mrioagusta")</f>
        <v>@mrioagusta</v>
      </c>
      <c r="C13305" s="8" t="s">
        <v>4548</v>
      </c>
      <c r="D13305" s="8">
        <v>9</v>
      </c>
      <c r="E13305" s="8">
        <v>0</v>
      </c>
      <c r="F13305" s="8">
        <v>427</v>
      </c>
    </row>
    <row r="13306" spans="1:6" ht="12.75">
      <c r="A13306" s="8">
        <v>43898.823229166665</v>
      </c>
      <c r="B13306" s="8" t="str">
        <f t="shared" ref="B13306:B13315" si="205">HYPERLINK("https://twitter.com/inu_ratih1","@inu_ratih1")</f>
        <v>@inu_ratih1</v>
      </c>
      <c r="C13306" s="8" t="s">
        <v>5342</v>
      </c>
      <c r="D13306" s="8">
        <v>9</v>
      </c>
      <c r="E13306" s="8">
        <v>0</v>
      </c>
      <c r="F13306" s="8">
        <v>104</v>
      </c>
    </row>
    <row r="13307" spans="1:6" ht="12.75">
      <c r="A13307" s="8">
        <v>43898.823159722218</v>
      </c>
      <c r="B13307" s="8" t="str">
        <f t="shared" si="205"/>
        <v>@inu_ratih1</v>
      </c>
      <c r="C13307" s="8" t="s">
        <v>5343</v>
      </c>
      <c r="D13307" s="8">
        <v>21</v>
      </c>
      <c r="E13307" s="8">
        <v>0</v>
      </c>
      <c r="F13307" s="8">
        <v>104</v>
      </c>
    </row>
    <row r="13308" spans="1:6" ht="12.75">
      <c r="A13308" s="8">
        <v>43898.823136574079</v>
      </c>
      <c r="B13308" s="8" t="str">
        <f t="shared" si="205"/>
        <v>@inu_ratih1</v>
      </c>
      <c r="C13308" s="8" t="s">
        <v>5344</v>
      </c>
      <c r="D13308" s="8">
        <v>6</v>
      </c>
      <c r="E13308" s="8">
        <v>0</v>
      </c>
      <c r="F13308" s="8">
        <v>104</v>
      </c>
    </row>
    <row r="13309" spans="1:6" ht="12.75">
      <c r="A13309" s="8">
        <v>43898.822916666672</v>
      </c>
      <c r="B13309" s="8" t="str">
        <f t="shared" si="205"/>
        <v>@inu_ratih1</v>
      </c>
      <c r="C13309" s="8" t="s">
        <v>5345</v>
      </c>
      <c r="D13309" s="8">
        <v>44</v>
      </c>
      <c r="E13309" s="8">
        <v>0</v>
      </c>
      <c r="F13309" s="8">
        <v>104</v>
      </c>
    </row>
    <row r="13310" spans="1:6" ht="12.75">
      <c r="A13310" s="8">
        <v>43898.822881944448</v>
      </c>
      <c r="B13310" s="8" t="str">
        <f t="shared" si="205"/>
        <v>@inu_ratih1</v>
      </c>
      <c r="C13310" s="8" t="s">
        <v>5346</v>
      </c>
      <c r="D13310" s="8">
        <v>18</v>
      </c>
      <c r="E13310" s="8">
        <v>0</v>
      </c>
      <c r="F13310" s="8">
        <v>104</v>
      </c>
    </row>
    <row r="13311" spans="1:6" ht="12.75">
      <c r="A13311" s="8">
        <v>43898.822847222225</v>
      </c>
      <c r="B13311" s="8" t="str">
        <f t="shared" si="205"/>
        <v>@inu_ratih1</v>
      </c>
      <c r="C13311" s="8" t="s">
        <v>5347</v>
      </c>
      <c r="D13311" s="8">
        <v>12</v>
      </c>
      <c r="E13311" s="8">
        <v>0</v>
      </c>
      <c r="F13311" s="8">
        <v>104</v>
      </c>
    </row>
    <row r="13312" spans="1:6" ht="12.75">
      <c r="A13312" s="8">
        <v>43898.822824074072</v>
      </c>
      <c r="B13312" s="8" t="str">
        <f t="shared" si="205"/>
        <v>@inu_ratih1</v>
      </c>
      <c r="C13312" s="8" t="s">
        <v>5348</v>
      </c>
      <c r="D13312" s="8">
        <v>7</v>
      </c>
      <c r="E13312" s="8">
        <v>0</v>
      </c>
      <c r="F13312" s="8">
        <v>104</v>
      </c>
    </row>
    <row r="13313" spans="1:6" ht="12.75">
      <c r="A13313" s="8">
        <v>43898.822766203702</v>
      </c>
      <c r="B13313" s="8" t="str">
        <f t="shared" si="205"/>
        <v>@inu_ratih1</v>
      </c>
      <c r="C13313" s="8" t="s">
        <v>5349</v>
      </c>
      <c r="D13313" s="8">
        <v>14</v>
      </c>
      <c r="E13313" s="8">
        <v>0</v>
      </c>
      <c r="F13313" s="8">
        <v>104</v>
      </c>
    </row>
    <row r="13314" spans="1:6" ht="12.75">
      <c r="A13314" s="8">
        <v>43898.822581018518</v>
      </c>
      <c r="B13314" s="8" t="str">
        <f t="shared" si="205"/>
        <v>@inu_ratih1</v>
      </c>
      <c r="C13314" s="8" t="s">
        <v>5350</v>
      </c>
      <c r="D13314" s="8">
        <v>14</v>
      </c>
      <c r="E13314" s="8">
        <v>0</v>
      </c>
      <c r="F13314" s="8">
        <v>104</v>
      </c>
    </row>
    <row r="13315" spans="1:6" ht="12.75">
      <c r="A13315" s="8">
        <v>43898.822523148148</v>
      </c>
      <c r="B13315" s="8" t="str">
        <f t="shared" si="205"/>
        <v>@inu_ratih1</v>
      </c>
      <c r="C13315" s="8" t="s">
        <v>5351</v>
      </c>
      <c r="D13315" s="8">
        <v>23</v>
      </c>
      <c r="E13315" s="8">
        <v>0</v>
      </c>
      <c r="F13315" s="8">
        <v>104</v>
      </c>
    </row>
    <row r="13316" spans="1:6" ht="12.75">
      <c r="A13316" s="8">
        <v>43898.822384259256</v>
      </c>
      <c r="B13316" s="8" t="str">
        <f>HYPERLINK("https://twitter.com/kiyudgirl","@kiyudgirl")</f>
        <v>@kiyudgirl</v>
      </c>
      <c r="C13316" s="8" t="s">
        <v>5352</v>
      </c>
      <c r="D13316" s="8">
        <v>0</v>
      </c>
      <c r="E13316" s="8">
        <v>0</v>
      </c>
      <c r="F13316" s="8">
        <v>1961</v>
      </c>
    </row>
    <row r="13317" spans="1:6" ht="12.75">
      <c r="A13317" s="8">
        <v>43898.822106481486</v>
      </c>
      <c r="B13317" s="8" t="str">
        <f>HYPERLINK("https://twitter.com/winda_wati90","@winda_wati90")</f>
        <v>@winda_wati90</v>
      </c>
      <c r="C13317" s="8" t="s">
        <v>5353</v>
      </c>
      <c r="D13317" s="8">
        <v>0</v>
      </c>
      <c r="E13317" s="8">
        <v>0</v>
      </c>
      <c r="F13317" s="8">
        <v>567</v>
      </c>
    </row>
    <row r="13318" spans="1:6" ht="12.75">
      <c r="A13318" s="8">
        <v>43898.822083333333</v>
      </c>
      <c r="B13318" s="8" t="str">
        <f>HYPERLINK("https://twitter.com/CarolineAriesta","@CarolineAriesta")</f>
        <v>@CarolineAriesta</v>
      </c>
      <c r="C13318" s="8" t="s">
        <v>5354</v>
      </c>
      <c r="D13318" s="8">
        <v>0</v>
      </c>
      <c r="E13318" s="8">
        <v>0</v>
      </c>
      <c r="F13318" s="8">
        <v>139</v>
      </c>
    </row>
    <row r="13319" spans="1:6" ht="12.75">
      <c r="A13319" s="8">
        <v>43898.82199074074</v>
      </c>
      <c r="B13319" s="8" t="str">
        <f>HYPERLINK("https://twitter.com/rickyhdzaky","@rickyhdzaky")</f>
        <v>@rickyhdzaky</v>
      </c>
      <c r="C13319" s="8" t="s">
        <v>5103</v>
      </c>
      <c r="D13319" s="8">
        <v>219</v>
      </c>
      <c r="E13319" s="8">
        <v>0</v>
      </c>
      <c r="F13319" s="8">
        <v>212</v>
      </c>
    </row>
    <row r="13320" spans="1:6" ht="12.75">
      <c r="A13320" s="8">
        <v>43898.821712962963</v>
      </c>
      <c r="B13320" s="8" t="str">
        <f>HYPERLINK("https://twitter.com/yugantarjosh","@yugantarjosh")</f>
        <v>@yugantarjosh</v>
      </c>
      <c r="C13320" s="8" t="s">
        <v>1917</v>
      </c>
      <c r="D13320" s="8">
        <v>392</v>
      </c>
      <c r="E13320" s="8">
        <v>0</v>
      </c>
      <c r="F13320" s="8">
        <v>670</v>
      </c>
    </row>
    <row r="13321" spans="1:6" ht="12.75">
      <c r="A13321" s="8">
        <v>43898.821157407408</v>
      </c>
      <c r="B13321" s="8" t="str">
        <f>HYPERLINK("https://twitter.com/ilman__nafian","@ilman__nafian")</f>
        <v>@ilman__nafian</v>
      </c>
      <c r="C13321" s="8" t="s">
        <v>5355</v>
      </c>
      <c r="D13321" s="8">
        <v>0</v>
      </c>
      <c r="E13321" s="8">
        <v>0</v>
      </c>
      <c r="F13321" s="8">
        <v>2903</v>
      </c>
    </row>
    <row r="13322" spans="1:6" ht="12.75">
      <c r="A13322" s="8">
        <v>43898.820972222224</v>
      </c>
      <c r="B13322" s="8" t="str">
        <f>HYPERLINK("https://twitter.com/Ramesh14079836","@Ramesh14079836")</f>
        <v>@Ramesh14079836</v>
      </c>
      <c r="C13322" s="8" t="s">
        <v>1917</v>
      </c>
      <c r="D13322" s="8">
        <v>392</v>
      </c>
      <c r="E13322" s="8">
        <v>0</v>
      </c>
      <c r="F13322" s="8">
        <v>128</v>
      </c>
    </row>
    <row r="13323" spans="1:6" ht="12.75">
      <c r="A13323" s="8">
        <v>43898.819976851853</v>
      </c>
      <c r="B13323" s="8" t="str">
        <f>HYPERLINK("https://twitter.com/kuskopex","@kuskopex")</f>
        <v>@kuskopex</v>
      </c>
      <c r="C13323" s="8" t="s">
        <v>3265</v>
      </c>
      <c r="D13323" s="8">
        <v>414</v>
      </c>
      <c r="E13323" s="8">
        <v>0</v>
      </c>
      <c r="F13323" s="8">
        <v>60</v>
      </c>
    </row>
    <row r="13324" spans="1:6" ht="12.75">
      <c r="A13324" s="8">
        <v>43898.819525462968</v>
      </c>
      <c r="B13324" s="8" t="str">
        <f>HYPERLINK("https://twitter.com/pendividia","@pendividia")</f>
        <v>@pendividia</v>
      </c>
      <c r="C13324" s="8" t="s">
        <v>4818</v>
      </c>
      <c r="D13324" s="8">
        <v>307</v>
      </c>
      <c r="E13324" s="8">
        <v>0</v>
      </c>
      <c r="F13324" s="8">
        <v>607</v>
      </c>
    </row>
    <row r="13325" spans="1:6" ht="12.75">
      <c r="A13325" s="8">
        <v>43898.819386574076</v>
      </c>
      <c r="B13325" s="8" t="str">
        <f>HYPERLINK("https://twitter.com/JiDuggal","@JiDuggal")</f>
        <v>@JiDuggal</v>
      </c>
      <c r="C13325" s="8" t="s">
        <v>1917</v>
      </c>
      <c r="D13325" s="8">
        <v>392</v>
      </c>
      <c r="E13325" s="8">
        <v>0</v>
      </c>
      <c r="F13325" s="8">
        <v>59</v>
      </c>
    </row>
    <row r="13326" spans="1:6" ht="12.75">
      <c r="A13326" s="8">
        <v>43898.819282407407</v>
      </c>
      <c r="B13326" s="8" t="str">
        <f>HYPERLINK("https://twitter.com/nuytarigan","@nuytarigan")</f>
        <v>@nuytarigan</v>
      </c>
      <c r="C13326" s="8" t="s">
        <v>3511</v>
      </c>
      <c r="D13326" s="8">
        <v>130</v>
      </c>
      <c r="E13326" s="8">
        <v>0</v>
      </c>
      <c r="F13326" s="8">
        <v>3587</v>
      </c>
    </row>
    <row r="13327" spans="1:6" ht="12.75">
      <c r="A13327" s="8">
        <v>43898.819074074076</v>
      </c>
      <c r="B13327" s="8" t="str">
        <f>HYPERLINK("https://twitter.com/pendividia","@pendividia")</f>
        <v>@pendividia</v>
      </c>
      <c r="C13327" s="8" t="s">
        <v>2777</v>
      </c>
      <c r="D13327" s="8">
        <v>81</v>
      </c>
      <c r="E13327" s="8">
        <v>0</v>
      </c>
      <c r="F13327" s="8">
        <v>607</v>
      </c>
    </row>
    <row r="13328" spans="1:6" ht="12.75">
      <c r="A13328" s="8">
        <v>43898.818888888884</v>
      </c>
      <c r="B13328" s="8" t="str">
        <f>HYPERLINK("https://twitter.com/ashutoshpande60","@ashutoshpande60")</f>
        <v>@ashutoshpande60</v>
      </c>
      <c r="C13328" s="8" t="s">
        <v>1917</v>
      </c>
      <c r="D13328" s="8">
        <v>392</v>
      </c>
      <c r="E13328" s="8">
        <v>0</v>
      </c>
      <c r="F13328" s="8">
        <v>382</v>
      </c>
    </row>
    <row r="13329" spans="1:6" ht="12.75">
      <c r="A13329" s="8">
        <v>43898.818657407406</v>
      </c>
      <c r="B13329" s="8" t="str">
        <f>HYPERLINK("https://twitter.com/sundaruu","@sundaruu")</f>
        <v>@sundaruu</v>
      </c>
      <c r="C13329" s="8" t="s">
        <v>5356</v>
      </c>
      <c r="D13329" s="8">
        <v>0</v>
      </c>
      <c r="E13329" s="8">
        <v>0</v>
      </c>
      <c r="F13329" s="8">
        <v>106</v>
      </c>
    </row>
    <row r="13330" spans="1:6" ht="12.75">
      <c r="A13330" s="8">
        <v>43898.818472222221</v>
      </c>
      <c r="B13330" s="8" t="str">
        <f>HYPERLINK("https://twitter.com/jusclickme","@jusclickme")</f>
        <v>@jusclickme</v>
      </c>
      <c r="C13330" s="8" t="s">
        <v>1917</v>
      </c>
      <c r="D13330" s="8">
        <v>392</v>
      </c>
      <c r="E13330" s="8">
        <v>0</v>
      </c>
      <c r="F13330" s="8">
        <v>1033</v>
      </c>
    </row>
    <row r="13331" spans="1:6" ht="12.75">
      <c r="A13331" s="8">
        <v>43898.818368055552</v>
      </c>
      <c r="B13331" s="8" t="str">
        <f>HYPERLINK("https://twitter.com/ed_tirta","@ed_tirta")</f>
        <v>@ed_tirta</v>
      </c>
      <c r="C13331" s="8" t="s">
        <v>5357</v>
      </c>
      <c r="D13331" s="8">
        <v>0</v>
      </c>
      <c r="E13331" s="8">
        <v>0</v>
      </c>
      <c r="F13331" s="8">
        <v>1148</v>
      </c>
    </row>
    <row r="13332" spans="1:6" ht="12.75">
      <c r="A13332" s="8">
        <v>43898.818298611106</v>
      </c>
      <c r="B13332" s="8" t="str">
        <f>HYPERLINK("https://twitter.com/prabhat280277","@prabhat280277")</f>
        <v>@prabhat280277</v>
      </c>
      <c r="C13332" s="8" t="s">
        <v>1917</v>
      </c>
      <c r="D13332" s="8">
        <v>392</v>
      </c>
      <c r="E13332" s="8">
        <v>0</v>
      </c>
      <c r="F13332" s="8">
        <v>356</v>
      </c>
    </row>
    <row r="13333" spans="1:6" ht="12.75">
      <c r="A13333" s="8">
        <v>43898.798449074078</v>
      </c>
      <c r="B13333" s="8" t="str">
        <f>HYPERLINK("https://twitter.com/Shuklaaajay","@Shuklaaajay")</f>
        <v>@Shuklaaajay</v>
      </c>
      <c r="C13333" s="8" t="s">
        <v>1917</v>
      </c>
      <c r="D13333" s="8">
        <v>273</v>
      </c>
      <c r="E13333" s="8">
        <v>0</v>
      </c>
      <c r="F13333" s="8">
        <v>658</v>
      </c>
    </row>
    <row r="13334" spans="1:6" ht="12.75">
      <c r="A13334" s="8">
        <v>43898.798368055555</v>
      </c>
      <c r="B13334" s="8" t="str">
        <f>HYPERLINK("https://twitter.com/serambinews","@serambinews")</f>
        <v>@serambinews</v>
      </c>
      <c r="C13334" s="8" t="s">
        <v>5358</v>
      </c>
      <c r="D13334" s="8">
        <v>0</v>
      </c>
      <c r="E13334" s="8">
        <v>0</v>
      </c>
      <c r="F13334" s="8">
        <v>83855</v>
      </c>
    </row>
    <row r="13335" spans="1:6" ht="12.75">
      <c r="A13335" s="8">
        <v>43898.798078703709</v>
      </c>
      <c r="B13335" s="8" t="str">
        <f>HYPERLINK("https://twitter.com/indreformation","@indreformation")</f>
        <v>@indreformation</v>
      </c>
      <c r="C13335" s="8" t="s">
        <v>3511</v>
      </c>
      <c r="D13335" s="8">
        <v>112</v>
      </c>
      <c r="E13335" s="8">
        <v>0</v>
      </c>
      <c r="F13335" s="8">
        <v>130</v>
      </c>
    </row>
    <row r="13336" spans="1:6" ht="12.75">
      <c r="A13336" s="8">
        <v>43898.798043981486</v>
      </c>
      <c r="B13336" s="8" t="str">
        <f>HYPERLINK("https://twitter.com/BlessedasHindu","@BlessedasHindu")</f>
        <v>@BlessedasHindu</v>
      </c>
      <c r="C13336" s="8" t="s">
        <v>1917</v>
      </c>
      <c r="D13336" s="8">
        <v>273</v>
      </c>
      <c r="E13336" s="8">
        <v>0</v>
      </c>
      <c r="F13336" s="8">
        <v>580</v>
      </c>
    </row>
    <row r="13337" spans="1:6" ht="12.75">
      <c r="A13337" s="8">
        <v>43898.797789351855</v>
      </c>
      <c r="B13337" s="8" t="str">
        <f>HYPERLINK("https://twitter.com/ISIS_Balik_NO","@ISIS_Balik_NO")</f>
        <v>@ISIS_Balik_NO</v>
      </c>
      <c r="C13337" s="8" t="s">
        <v>5359</v>
      </c>
      <c r="D13337" s="8">
        <v>1</v>
      </c>
      <c r="E13337" s="8">
        <v>1</v>
      </c>
      <c r="F13337" s="8">
        <v>6179</v>
      </c>
    </row>
    <row r="13338" spans="1:6" ht="12.75">
      <c r="A13338" s="8">
        <v>43898.797650462962</v>
      </c>
      <c r="B13338" s="8" t="str">
        <f>HYPERLINK("https://twitter.com/pokaabhii","@pokaabhii")</f>
        <v>@pokaabhii</v>
      </c>
      <c r="C13338" s="8" t="s">
        <v>1917</v>
      </c>
      <c r="D13338" s="8">
        <v>273</v>
      </c>
      <c r="E13338" s="8">
        <v>0</v>
      </c>
      <c r="F13338" s="8">
        <v>703</v>
      </c>
    </row>
    <row r="13339" spans="1:6" ht="12.75">
      <c r="A13339" s="8">
        <v>43898.797615740739</v>
      </c>
      <c r="B13339" s="8" t="str">
        <f>HYPERLINK("https://twitter.com/Bhakt_2019","@Bhakt_2019")</f>
        <v>@Bhakt_2019</v>
      </c>
      <c r="C13339" s="8" t="s">
        <v>1917</v>
      </c>
      <c r="D13339" s="8">
        <v>273</v>
      </c>
      <c r="E13339" s="8">
        <v>0</v>
      </c>
      <c r="F13339" s="8">
        <v>442</v>
      </c>
    </row>
    <row r="13340" spans="1:6" ht="12.75">
      <c r="A13340" s="8">
        <v>43898.79755787037</v>
      </c>
      <c r="B13340" s="8" t="str">
        <f>HYPERLINK("https://twitter.com/Canda_Bisnis2","@Canda_Bisnis2")</f>
        <v>@Canda_Bisnis2</v>
      </c>
      <c r="C13340" s="8" t="s">
        <v>5360</v>
      </c>
      <c r="D13340" s="8">
        <v>0</v>
      </c>
      <c r="E13340" s="8">
        <v>1</v>
      </c>
      <c r="F13340" s="8">
        <v>2116</v>
      </c>
    </row>
    <row r="13341" spans="1:6" ht="12.75">
      <c r="A13341" s="8">
        <v>43898.797268518523</v>
      </c>
      <c r="B13341" s="8" t="str">
        <f>HYPERLINK("https://twitter.com/ryolandafit","@ryolandafit")</f>
        <v>@ryolandafit</v>
      </c>
      <c r="C13341" s="8" t="s">
        <v>5361</v>
      </c>
      <c r="D13341" s="8">
        <v>3</v>
      </c>
      <c r="E13341" s="8">
        <v>0</v>
      </c>
      <c r="F13341" s="8">
        <v>658</v>
      </c>
    </row>
    <row r="13342" spans="1:6" ht="12.75">
      <c r="A13342" s="8">
        <v>43898.797152777777</v>
      </c>
      <c r="B13342" s="8" t="str">
        <f>HYPERLINK("https://twitter.com/Canda_Bisnis2","@Canda_Bisnis2")</f>
        <v>@Canda_Bisnis2</v>
      </c>
      <c r="C13342" s="8" t="s">
        <v>299</v>
      </c>
      <c r="D13342" s="8">
        <v>4746</v>
      </c>
      <c r="E13342" s="8">
        <v>0</v>
      </c>
      <c r="F13342" s="8">
        <v>2116</v>
      </c>
    </row>
    <row r="13343" spans="1:6" ht="12.75">
      <c r="A13343" s="8">
        <v>43898.797060185185</v>
      </c>
      <c r="B13343" s="8" t="str">
        <f>HYPERLINK("https://twitter.com/desipetergrifin","@desipetergrifin")</f>
        <v>@desipetergrifin</v>
      </c>
      <c r="C13343" s="8" t="s">
        <v>1917</v>
      </c>
      <c r="D13343" s="8">
        <v>273</v>
      </c>
      <c r="E13343" s="8">
        <v>0</v>
      </c>
      <c r="F13343" s="8">
        <v>126</v>
      </c>
    </row>
    <row r="13344" spans="1:6" ht="12.75">
      <c r="A13344" s="8">
        <v>43898.796689814815</v>
      </c>
      <c r="B13344" s="8" t="str">
        <f>HYPERLINK("https://twitter.com/Hemant19871","@Hemant19871")</f>
        <v>@Hemant19871</v>
      </c>
      <c r="C13344" s="8" t="s">
        <v>1917</v>
      </c>
      <c r="D13344" s="8">
        <v>273</v>
      </c>
      <c r="E13344" s="8">
        <v>0</v>
      </c>
      <c r="F13344" s="8">
        <v>288</v>
      </c>
    </row>
    <row r="13345" spans="1:6" ht="12.75">
      <c r="A13345" s="8">
        <v>43898.796666666662</v>
      </c>
      <c r="B13345" s="8" t="str">
        <f>HYPERLINK("https://twitter.com/infoppkk","@infoppkk")</f>
        <v>@infoppkk</v>
      </c>
      <c r="C13345" s="8" t="s">
        <v>4607</v>
      </c>
      <c r="D13345" s="8">
        <v>14</v>
      </c>
      <c r="E13345" s="8">
        <v>0</v>
      </c>
      <c r="F13345" s="8">
        <v>5234</v>
      </c>
    </row>
    <row r="13346" spans="1:6" ht="12.75">
      <c r="A13346" s="8">
        <v>43898.796631944446</v>
      </c>
      <c r="B13346" s="8" t="str">
        <f>HYPERLINK("https://twitter.com/Sangh_Bharat","@Sangh_Bharat")</f>
        <v>@Sangh_Bharat</v>
      </c>
      <c r="C13346" s="8" t="s">
        <v>1917</v>
      </c>
      <c r="D13346" s="8">
        <v>273</v>
      </c>
      <c r="E13346" s="8">
        <v>0</v>
      </c>
      <c r="F13346" s="8">
        <v>107</v>
      </c>
    </row>
    <row r="13347" spans="1:6" ht="12.75">
      <c r="A13347" s="8">
        <v>43898.7965625</v>
      </c>
      <c r="B13347" s="8" t="str">
        <f>HYPERLINK("https://twitter.com/Jovanka_vanke","@Jovanka_vanke")</f>
        <v>@Jovanka_vanke</v>
      </c>
      <c r="C13347" s="8" t="s">
        <v>2777</v>
      </c>
      <c r="D13347" s="8">
        <v>80</v>
      </c>
      <c r="E13347" s="8">
        <v>0</v>
      </c>
      <c r="F13347" s="8">
        <v>883</v>
      </c>
    </row>
    <row r="13348" spans="1:6" ht="12.75">
      <c r="A13348" s="8">
        <v>43898.7965625</v>
      </c>
      <c r="B13348" s="8" t="str">
        <f>HYPERLINK("https://twitter.com/DIMVST","@DIMVST")</f>
        <v>@DIMVST</v>
      </c>
      <c r="C13348" s="8" t="s">
        <v>5362</v>
      </c>
      <c r="D13348" s="8">
        <v>0</v>
      </c>
      <c r="E13348" s="8">
        <v>0</v>
      </c>
      <c r="F13348" s="8">
        <v>300</v>
      </c>
    </row>
    <row r="13349" spans="1:6" ht="12.75">
      <c r="A13349" s="8">
        <v>43898.796203703707</v>
      </c>
      <c r="B13349" s="8" t="str">
        <f>HYPERLINK("https://twitter.com/kompascom","@kompascom")</f>
        <v>@kompascom</v>
      </c>
      <c r="C13349" s="8" t="s">
        <v>5363</v>
      </c>
      <c r="D13349" s="8">
        <v>0</v>
      </c>
      <c r="E13349" s="8">
        <v>5</v>
      </c>
      <c r="F13349" s="8">
        <v>7535020</v>
      </c>
    </row>
    <row r="13350" spans="1:6" ht="12.75">
      <c r="A13350" s="8">
        <v>43898.796111111107</v>
      </c>
      <c r="B13350" s="8" t="str">
        <f>HYPERLINK("https://twitter.com/aprilialee","@aprilialee")</f>
        <v>@aprilialee</v>
      </c>
      <c r="C13350" s="8" t="s">
        <v>5361</v>
      </c>
      <c r="D13350" s="8">
        <v>3</v>
      </c>
      <c r="E13350" s="8">
        <v>0</v>
      </c>
      <c r="F13350" s="8">
        <v>104</v>
      </c>
    </row>
    <row r="13351" spans="1:6" ht="12.75">
      <c r="A13351" s="8">
        <v>43898.795960648145</v>
      </c>
      <c r="B13351" s="8" t="str">
        <f>HYPERLINK("https://twitter.com/JumardiDaeng","@JumardiDaeng")</f>
        <v>@JumardiDaeng</v>
      </c>
      <c r="C13351" s="8" t="s">
        <v>5364</v>
      </c>
      <c r="D13351" s="8">
        <v>0</v>
      </c>
      <c r="E13351" s="8">
        <v>0</v>
      </c>
      <c r="F13351" s="8">
        <v>52</v>
      </c>
    </row>
    <row r="13352" spans="1:6" ht="12.75">
      <c r="A13352" s="8">
        <v>43898.795937499999</v>
      </c>
      <c r="B13352" s="8" t="str">
        <f>HYPERLINK("https://twitter.com/r0nggo05","@r0nggo05")</f>
        <v>@r0nggo05</v>
      </c>
      <c r="C13352" s="8" t="s">
        <v>5361</v>
      </c>
      <c r="D13352" s="8">
        <v>3</v>
      </c>
      <c r="E13352" s="8">
        <v>0</v>
      </c>
      <c r="F13352" s="8">
        <v>331</v>
      </c>
    </row>
    <row r="13353" spans="1:6" ht="12.75">
      <c r="A13353" s="8">
        <v>43898.795706018514</v>
      </c>
      <c r="B13353" s="8" t="str">
        <f>HYPERLINK("https://twitter.com/kurdipost1","@kurdipost1")</f>
        <v>@kurdipost1</v>
      </c>
      <c r="C13353" s="8" t="s">
        <v>5365</v>
      </c>
      <c r="D13353" s="8">
        <v>0</v>
      </c>
      <c r="E13353" s="8">
        <v>0</v>
      </c>
      <c r="F13353" s="8">
        <v>2294</v>
      </c>
    </row>
    <row r="13354" spans="1:6" ht="12.75">
      <c r="A13354" s="8">
        <v>43898.79552083333</v>
      </c>
      <c r="B13354" s="8" t="str">
        <f>HYPERLINK("https://twitter.com/p4ang5","@p4ang5")</f>
        <v>@p4ang5</v>
      </c>
      <c r="C13354" s="8" t="s">
        <v>5366</v>
      </c>
      <c r="D13354" s="8">
        <v>0</v>
      </c>
      <c r="E13354" s="8">
        <v>0</v>
      </c>
      <c r="F13354" s="8">
        <v>18</v>
      </c>
    </row>
    <row r="13355" spans="1:6" ht="12.75">
      <c r="A13355" s="8">
        <v>43898.795335648145</v>
      </c>
      <c r="B13355" s="8" t="str">
        <f>HYPERLINK("https://twitter.com/BongMusings","@BongMusings")</f>
        <v>@BongMusings</v>
      </c>
      <c r="C13355" s="8" t="s">
        <v>1917</v>
      </c>
      <c r="D13355" s="8">
        <v>273</v>
      </c>
      <c r="E13355" s="8">
        <v>0</v>
      </c>
      <c r="F13355" s="8">
        <v>191</v>
      </c>
    </row>
    <row r="13356" spans="1:6" ht="12.75">
      <c r="A13356" s="8">
        <v>43898.795289351852</v>
      </c>
      <c r="B13356" s="8" t="str">
        <f t="shared" ref="B13356:B13357" si="206">HYPERLINK("https://twitter.com/kbrimanama","@kbrimanama")</f>
        <v>@kbrimanama</v>
      </c>
      <c r="C13356" s="8" t="s">
        <v>1399</v>
      </c>
      <c r="D13356" s="8">
        <v>48</v>
      </c>
      <c r="E13356" s="8">
        <v>0</v>
      </c>
      <c r="F13356" s="8">
        <v>1432</v>
      </c>
    </row>
    <row r="13357" spans="1:6" ht="12.75">
      <c r="A13357" s="8">
        <v>43898.795266203699</v>
      </c>
      <c r="B13357" s="8" t="str">
        <f t="shared" si="206"/>
        <v>@kbrimanama</v>
      </c>
      <c r="C13357" s="8" t="s">
        <v>1376</v>
      </c>
      <c r="D13357" s="8">
        <v>62</v>
      </c>
      <c r="E13357" s="8">
        <v>0</v>
      </c>
      <c r="F13357" s="8">
        <v>1432</v>
      </c>
    </row>
    <row r="13358" spans="1:6" ht="12.75">
      <c r="A13358" s="8">
        <v>43898.795219907406</v>
      </c>
      <c r="B13358" s="8" t="str">
        <f>HYPERLINK("https://twitter.com/sonalsood5","@sonalsood5")</f>
        <v>@sonalsood5</v>
      </c>
      <c r="C13358" s="8" t="s">
        <v>1917</v>
      </c>
      <c r="D13358" s="8">
        <v>273</v>
      </c>
      <c r="E13358" s="8">
        <v>0</v>
      </c>
      <c r="F13358" s="8">
        <v>284</v>
      </c>
    </row>
    <row r="13359" spans="1:6" ht="12.75">
      <c r="A13359" s="8">
        <v>43898.795034722221</v>
      </c>
      <c r="B13359" s="8" t="str">
        <f>HYPERLINK("https://twitter.com/digshukladon008","@digshukladon008")</f>
        <v>@digshukladon008</v>
      </c>
      <c r="C13359" s="8" t="s">
        <v>1917</v>
      </c>
      <c r="D13359" s="8">
        <v>273</v>
      </c>
      <c r="E13359" s="8">
        <v>0</v>
      </c>
      <c r="F13359" s="8">
        <v>628</v>
      </c>
    </row>
    <row r="13360" spans="1:6" ht="12.75">
      <c r="A13360" s="8">
        <v>43898.794953703706</v>
      </c>
      <c r="B13360" s="8" t="str">
        <f>HYPERLINK("https://twitter.com/HeriSup85874459","@HeriSup85874459")</f>
        <v>@HeriSup85874459</v>
      </c>
      <c r="C13360" s="8" t="s">
        <v>3265</v>
      </c>
      <c r="D13360" s="8">
        <v>399</v>
      </c>
      <c r="E13360" s="8">
        <v>0</v>
      </c>
      <c r="F13360" s="8">
        <v>8</v>
      </c>
    </row>
    <row r="13361" spans="1:6" ht="12.75">
      <c r="A13361" s="8">
        <v>43898.794953703706</v>
      </c>
      <c r="B13361" s="8" t="str">
        <f>HYPERLINK("https://twitter.com/erlinhikmawan","@erlinhikmawan")</f>
        <v>@erlinhikmawan</v>
      </c>
      <c r="C13361" s="8" t="s">
        <v>3265</v>
      </c>
      <c r="D13361" s="8">
        <v>399</v>
      </c>
      <c r="E13361" s="8">
        <v>0</v>
      </c>
      <c r="F13361" s="8">
        <v>546</v>
      </c>
    </row>
    <row r="13362" spans="1:6" ht="12.75">
      <c r="A13362" s="8">
        <v>43898.794942129629</v>
      </c>
      <c r="B13362" s="8" t="str">
        <f>HYPERLINK("https://twitter.com/Karaaannnnn","@Karaaannnnn")</f>
        <v>@Karaaannnnn</v>
      </c>
      <c r="C13362" s="8" t="s">
        <v>1917</v>
      </c>
      <c r="D13362" s="8">
        <v>273</v>
      </c>
      <c r="E13362" s="8">
        <v>0</v>
      </c>
      <c r="F13362" s="8">
        <v>110</v>
      </c>
    </row>
    <row r="13363" spans="1:6" ht="12.75">
      <c r="A13363" s="8">
        <v>43898.794837962967</v>
      </c>
      <c r="B13363" s="8" t="str">
        <f>HYPERLINK("https://twitter.com/ayuNSA","@ayuNSA")</f>
        <v>@ayuNSA</v>
      </c>
      <c r="C13363" s="8" t="s">
        <v>3511</v>
      </c>
      <c r="D13363" s="8">
        <v>112</v>
      </c>
      <c r="E13363" s="8">
        <v>0</v>
      </c>
      <c r="F13363" s="8">
        <v>851</v>
      </c>
    </row>
    <row r="13364" spans="1:6" ht="12.75">
      <c r="A13364" s="8">
        <v>43898.794722222221</v>
      </c>
      <c r="B13364" s="8" t="str">
        <f>HYPERLINK("https://twitter.com/AaoSkjain","@AaoSkjain")</f>
        <v>@AaoSkjain</v>
      </c>
      <c r="C13364" s="8" t="s">
        <v>1917</v>
      </c>
      <c r="D13364" s="8">
        <v>273</v>
      </c>
      <c r="E13364" s="8">
        <v>0</v>
      </c>
      <c r="F13364" s="8">
        <v>274</v>
      </c>
    </row>
    <row r="13365" spans="1:6" ht="12.75">
      <c r="A13365" s="8">
        <v>43898.794652777782</v>
      </c>
      <c r="B13365" s="8" t="str">
        <f>HYPERLINK("https://twitter.com/Ayanleavin","@Ayanleavin")</f>
        <v>@Ayanleavin</v>
      </c>
      <c r="C13365" s="8" t="s">
        <v>1917</v>
      </c>
      <c r="D13365" s="8">
        <v>273</v>
      </c>
      <c r="E13365" s="8">
        <v>0</v>
      </c>
      <c r="F13365" s="8">
        <v>121</v>
      </c>
    </row>
    <row r="13366" spans="1:6" ht="12.75">
      <c r="A13366" s="8">
        <v>43898.794305555552</v>
      </c>
      <c r="B13366" s="8" t="str">
        <f>HYPERLINK("https://twitter.com/sWeEtPaNkAjG","@sWeEtPaNkAjG")</f>
        <v>@sWeEtPaNkAjG</v>
      </c>
      <c r="C13366" s="8" t="s">
        <v>1917</v>
      </c>
      <c r="D13366" s="8">
        <v>273</v>
      </c>
      <c r="E13366" s="8">
        <v>0</v>
      </c>
      <c r="F13366" s="8">
        <v>531</v>
      </c>
    </row>
    <row r="13367" spans="1:6" ht="12.75">
      <c r="A13367" s="8">
        <v>43898.794293981482</v>
      </c>
      <c r="B13367" s="8" t="str">
        <f>HYPERLINK("https://twitter.com/RajashvaniUpad","@RajashvaniUpad")</f>
        <v>@RajashvaniUpad</v>
      </c>
      <c r="C13367" s="8" t="s">
        <v>1917</v>
      </c>
      <c r="D13367" s="8">
        <v>273</v>
      </c>
      <c r="E13367" s="8">
        <v>0</v>
      </c>
      <c r="F13367" s="8">
        <v>240</v>
      </c>
    </row>
    <row r="13368" spans="1:6" ht="12.75">
      <c r="A13368" s="8">
        <v>43898.794189814813</v>
      </c>
      <c r="B13368" s="8" t="str">
        <f>HYPERLINK("https://twitter.com/gumber_sherry","@gumber_sherry")</f>
        <v>@gumber_sherry</v>
      </c>
      <c r="C13368" s="8" t="s">
        <v>1917</v>
      </c>
      <c r="D13368" s="8">
        <v>273</v>
      </c>
      <c r="E13368" s="8">
        <v>0</v>
      </c>
      <c r="F13368" s="8">
        <v>703</v>
      </c>
    </row>
    <row r="13369" spans="1:6" ht="12.75">
      <c r="A13369" s="8">
        <v>43898.794085648144</v>
      </c>
      <c r="B13369" s="8" t="str">
        <f>HYPERLINK("https://twitter.com/arkanrahman","@arkanrahman")</f>
        <v>@arkanrahman</v>
      </c>
      <c r="C13369" s="8" t="s">
        <v>4548</v>
      </c>
      <c r="D13369" s="8">
        <v>8</v>
      </c>
      <c r="E13369" s="8">
        <v>0</v>
      </c>
      <c r="F13369" s="8">
        <v>472</v>
      </c>
    </row>
    <row r="13370" spans="1:6" ht="12.75">
      <c r="A13370" s="8">
        <v>43898.793854166666</v>
      </c>
      <c r="B13370" s="8" t="str">
        <f>HYPERLINK("https://twitter.com/justice191270","@justice191270")</f>
        <v>@justice191270</v>
      </c>
      <c r="C13370" s="8" t="s">
        <v>3265</v>
      </c>
      <c r="D13370" s="8">
        <v>399</v>
      </c>
      <c r="E13370" s="8">
        <v>0</v>
      </c>
      <c r="F13370" s="8">
        <v>77</v>
      </c>
    </row>
    <row r="13371" spans="1:6" ht="12.75">
      <c r="A13371" s="8">
        <v>43898.793773148151</v>
      </c>
      <c r="B13371" s="8" t="str">
        <f>HYPERLINK("https://twitter.com/KompasTV","@KompasTV")</f>
        <v>@KompasTV</v>
      </c>
      <c r="C13371" s="8" t="s">
        <v>5367</v>
      </c>
      <c r="D13371" s="8">
        <v>3</v>
      </c>
      <c r="E13371" s="8">
        <v>3</v>
      </c>
      <c r="F13371" s="8">
        <v>2959219</v>
      </c>
    </row>
    <row r="13372" spans="1:6" ht="12.75">
      <c r="A13372" s="8">
        <v>43898.793564814812</v>
      </c>
      <c r="B13372" s="8" t="str">
        <f>HYPERLINK("https://twitter.com/gaganbrar5","@gaganbrar5")</f>
        <v>@gaganbrar5</v>
      </c>
      <c r="C13372" s="8" t="s">
        <v>1917</v>
      </c>
      <c r="D13372" s="8">
        <v>273</v>
      </c>
      <c r="E13372" s="8">
        <v>0</v>
      </c>
      <c r="F13372" s="8">
        <v>577</v>
      </c>
    </row>
    <row r="13373" spans="1:6" ht="12.75">
      <c r="A13373" s="8">
        <v>43898.793368055558</v>
      </c>
      <c r="B13373" s="8" t="str">
        <f>HYPERLINK("https://twitter.com/infoppkk","@infoppkk")</f>
        <v>@infoppkk</v>
      </c>
      <c r="C13373" s="8" t="s">
        <v>5368</v>
      </c>
      <c r="D13373" s="8">
        <v>0</v>
      </c>
      <c r="E13373" s="8">
        <v>0</v>
      </c>
      <c r="F13373" s="8">
        <v>5234</v>
      </c>
    </row>
    <row r="13374" spans="1:6" ht="12.75">
      <c r="A13374" s="8">
        <v>43898.793194444443</v>
      </c>
      <c r="B13374" s="8" t="str">
        <f>HYPERLINK("https://twitter.com/tulsidaskhan21","@tulsidaskhan21")</f>
        <v>@tulsidaskhan21</v>
      </c>
      <c r="C13374" s="8" t="s">
        <v>1917</v>
      </c>
      <c r="D13374" s="8">
        <v>273</v>
      </c>
      <c r="E13374" s="8">
        <v>0</v>
      </c>
      <c r="F13374" s="8">
        <v>163</v>
      </c>
    </row>
    <row r="13375" spans="1:6" ht="12.75">
      <c r="A13375" s="8">
        <v>43898.79315972222</v>
      </c>
      <c r="B13375" s="8" t="str">
        <f>HYPERLINK("https://twitter.com/farid_alfalaki","@farid_alfalaki")</f>
        <v>@farid_alfalaki</v>
      </c>
      <c r="C13375" s="8" t="s">
        <v>3511</v>
      </c>
      <c r="D13375" s="8">
        <v>112</v>
      </c>
      <c r="E13375" s="8">
        <v>0</v>
      </c>
      <c r="F13375" s="8">
        <v>608</v>
      </c>
    </row>
    <row r="13376" spans="1:6" ht="12.75">
      <c r="A13376" s="8">
        <v>43898.793124999997</v>
      </c>
      <c r="B13376" s="8" t="str">
        <f>HYPERLINK("https://twitter.com/adjjla","@adjjla")</f>
        <v>@adjjla</v>
      </c>
      <c r="C13376" s="8" t="s">
        <v>5369</v>
      </c>
      <c r="D13376" s="8">
        <v>0</v>
      </c>
      <c r="E13376" s="8">
        <v>0</v>
      </c>
      <c r="F13376" s="8">
        <v>64</v>
      </c>
    </row>
    <row r="13377" spans="1:6" ht="12.75">
      <c r="A13377" s="8">
        <v>43898.79305555555</v>
      </c>
      <c r="B13377" s="8" t="str">
        <f>HYPERLINK("https://twitter.com/real_indianraj","@real_indianraj")</f>
        <v>@real_indianraj</v>
      </c>
      <c r="C13377" s="8" t="s">
        <v>1917</v>
      </c>
      <c r="D13377" s="8">
        <v>273</v>
      </c>
      <c r="E13377" s="8">
        <v>0</v>
      </c>
      <c r="F13377" s="8">
        <v>73</v>
      </c>
    </row>
    <row r="13378" spans="1:6" ht="12.75">
      <c r="A13378" s="8">
        <v>43898.792928240742</v>
      </c>
      <c r="B13378" s="8" t="str">
        <f>HYPERLINK("https://twitter.com/vveksh","@vveksh")</f>
        <v>@vveksh</v>
      </c>
      <c r="C13378" s="8" t="s">
        <v>1917</v>
      </c>
      <c r="D13378" s="8">
        <v>273</v>
      </c>
      <c r="E13378" s="8">
        <v>0</v>
      </c>
      <c r="F13378" s="8">
        <v>118</v>
      </c>
    </row>
    <row r="13379" spans="1:6" ht="12.75">
      <c r="A13379" s="8">
        <v>43898.792916666665</v>
      </c>
      <c r="B13379" s="8" t="str">
        <f>HYPERLINK("https://twitter.com/NavneetAwasthi6","@NavneetAwasthi6")</f>
        <v>@NavneetAwasthi6</v>
      </c>
      <c r="C13379" s="8" t="s">
        <v>1917</v>
      </c>
      <c r="D13379" s="8">
        <v>273</v>
      </c>
      <c r="E13379" s="8">
        <v>0</v>
      </c>
      <c r="F13379" s="8">
        <v>1085</v>
      </c>
    </row>
    <row r="13380" spans="1:6" ht="12.75">
      <c r="A13380" s="8">
        <v>43898.792905092589</v>
      </c>
      <c r="B13380" s="8" t="str">
        <f>HYPERLINK("https://twitter.com/Keterbatasan234","@Keterbatasan234")</f>
        <v>@Keterbatasan234</v>
      </c>
      <c r="C13380" s="8" t="s">
        <v>5370</v>
      </c>
      <c r="D13380" s="8">
        <v>4</v>
      </c>
      <c r="E13380" s="8">
        <v>0</v>
      </c>
      <c r="F13380" s="8">
        <v>210</v>
      </c>
    </row>
    <row r="13381" spans="1:6" ht="12.75">
      <c r="A13381" s="8">
        <v>43898.792673611111</v>
      </c>
      <c r="B13381" s="8" t="str">
        <f>HYPERLINK("https://twitter.com/DewiTuwuh","@DewiTuwuh")</f>
        <v>@DewiTuwuh</v>
      </c>
      <c r="C13381" s="8" t="s">
        <v>3511</v>
      </c>
      <c r="D13381" s="8">
        <v>112</v>
      </c>
      <c r="E13381" s="8">
        <v>0</v>
      </c>
      <c r="F13381" s="8">
        <v>3745</v>
      </c>
    </row>
    <row r="13382" spans="1:6" ht="12.75">
      <c r="A13382" s="8">
        <v>43898.792546296296</v>
      </c>
      <c r="B13382" s="8" t="str">
        <f>HYPERLINK("https://twitter.com/dinda_meta","@dinda_meta")</f>
        <v>@dinda_meta</v>
      </c>
      <c r="C13382" s="8" t="s">
        <v>4548</v>
      </c>
      <c r="D13382" s="8">
        <v>8</v>
      </c>
      <c r="E13382" s="8">
        <v>0</v>
      </c>
      <c r="F13382" s="8">
        <v>126</v>
      </c>
    </row>
    <row r="13383" spans="1:6" ht="12.75">
      <c r="A13383" s="8">
        <v>43898.792407407411</v>
      </c>
      <c r="B13383" s="8" t="str">
        <f>HYPERLINK("https://twitter.com/frida_rahardjo","@frida_rahardjo")</f>
        <v>@frida_rahardjo</v>
      </c>
      <c r="C13383" s="8" t="s">
        <v>2777</v>
      </c>
      <c r="D13383" s="8">
        <v>80</v>
      </c>
      <c r="E13383" s="8">
        <v>0</v>
      </c>
      <c r="F13383" s="8">
        <v>1486</v>
      </c>
    </row>
    <row r="13384" spans="1:6" ht="12.75">
      <c r="A13384" s="8">
        <v>43898.792048611111</v>
      </c>
      <c r="B13384" s="8" t="str">
        <f>HYPERLINK("https://twitter.com/noirrettee","@noirrettee")</f>
        <v>@noirrettee</v>
      </c>
      <c r="C13384" s="8" t="s">
        <v>5103</v>
      </c>
      <c r="D13384" s="8">
        <v>210</v>
      </c>
      <c r="E13384" s="8">
        <v>0</v>
      </c>
      <c r="F13384" s="8">
        <v>66</v>
      </c>
    </row>
    <row r="13385" spans="1:6" ht="12.75">
      <c r="A13385" s="8">
        <v>43898.792002314818</v>
      </c>
      <c r="B13385" s="8" t="str">
        <f>HYPERLINK("https://twitter.com/Joshuasuu","@Joshuasuu")</f>
        <v>@Joshuasuu</v>
      </c>
      <c r="C13385" s="8" t="s">
        <v>5103</v>
      </c>
      <c r="D13385" s="8">
        <v>210</v>
      </c>
      <c r="E13385" s="8">
        <v>0</v>
      </c>
      <c r="F13385" s="8">
        <v>1710</v>
      </c>
    </row>
    <row r="13386" spans="1:6" ht="12.75">
      <c r="A13386" s="8">
        <v>43898.791932870372</v>
      </c>
      <c r="B13386" s="8" t="str">
        <f>HYPERLINK("https://twitter.com/dwiarlanny","@dwiarlanny")</f>
        <v>@dwiarlanny</v>
      </c>
      <c r="C13386" s="8" t="s">
        <v>5103</v>
      </c>
      <c r="D13386" s="8">
        <v>210</v>
      </c>
      <c r="E13386" s="8">
        <v>0</v>
      </c>
      <c r="F13386" s="8">
        <v>565</v>
      </c>
    </row>
    <row r="13387" spans="1:6" ht="12.75">
      <c r="A13387" s="8">
        <v>43898.791828703703</v>
      </c>
      <c r="B13387" s="8" t="str">
        <f>HYPERLINK("https://twitter.com/ariosutomo","@ariosutomo")</f>
        <v>@ariosutomo</v>
      </c>
      <c r="C13387" s="8" t="s">
        <v>3511</v>
      </c>
      <c r="D13387" s="8">
        <v>112</v>
      </c>
      <c r="E13387" s="8">
        <v>0</v>
      </c>
      <c r="F13387" s="8">
        <v>475</v>
      </c>
    </row>
    <row r="13388" spans="1:6" ht="12.75">
      <c r="A13388" s="8">
        <v>43898.791319444441</v>
      </c>
      <c r="B13388" s="8" t="str">
        <f>HYPERLINK("https://twitter.com/prakashandhani","@prakashandhani")</f>
        <v>@prakashandhani</v>
      </c>
      <c r="C13388" s="8" t="s">
        <v>1917</v>
      </c>
      <c r="D13388" s="8">
        <v>273</v>
      </c>
      <c r="E13388" s="8">
        <v>0</v>
      </c>
      <c r="F13388" s="8">
        <v>14</v>
      </c>
    </row>
    <row r="13389" spans="1:6" ht="12.75">
      <c r="A13389" s="8">
        <v>43898.791261574079</v>
      </c>
      <c r="B13389" s="8" t="str">
        <f>HYPERLINK("https://twitter.com/GViagta11","@GViagta11")</f>
        <v>@GViagta11</v>
      </c>
      <c r="C13389" s="8" t="s">
        <v>3511</v>
      </c>
      <c r="D13389" s="8">
        <v>112</v>
      </c>
      <c r="E13389" s="8">
        <v>0</v>
      </c>
      <c r="F13389" s="8">
        <v>223</v>
      </c>
    </row>
    <row r="13390" spans="1:6" ht="12.75">
      <c r="A13390" s="8">
        <v>43898.791238425925</v>
      </c>
      <c r="B13390" s="8" t="str">
        <f>HYPERLINK("https://twitter.com/Username_lul","@Username_lul")</f>
        <v>@Username_lul</v>
      </c>
      <c r="C13390" s="8" t="s">
        <v>1917</v>
      </c>
      <c r="D13390" s="8">
        <v>273</v>
      </c>
      <c r="E13390" s="8">
        <v>0</v>
      </c>
      <c r="F13390" s="8">
        <v>138</v>
      </c>
    </row>
    <row r="13391" spans="1:6" ht="12.75">
      <c r="A13391" s="8">
        <v>43898.791134259256</v>
      </c>
      <c r="B13391" s="8" t="str">
        <f>HYPERLINK("https://twitter.com/angadi_ashok","@angadi_ashok")</f>
        <v>@angadi_ashok</v>
      </c>
      <c r="C13391" s="8" t="s">
        <v>1917</v>
      </c>
      <c r="D13391" s="8">
        <v>273</v>
      </c>
      <c r="E13391" s="8">
        <v>0</v>
      </c>
      <c r="F13391" s="8">
        <v>956</v>
      </c>
    </row>
    <row r="13392" spans="1:6" ht="12.75">
      <c r="A13392" s="8">
        <v>43898.791030092594</v>
      </c>
      <c r="B13392" s="8" t="str">
        <f>HYPERLINK("https://twitter.com/krishnendubaks3","@krishnendubaks3")</f>
        <v>@krishnendubaks3</v>
      </c>
      <c r="C13392" s="8" t="s">
        <v>1917</v>
      </c>
      <c r="D13392" s="8">
        <v>273</v>
      </c>
      <c r="E13392" s="8">
        <v>0</v>
      </c>
      <c r="F13392" s="8">
        <v>168</v>
      </c>
    </row>
    <row r="13393" spans="1:6" ht="12.75">
      <c r="A13393" s="8">
        <v>43898.790729166663</v>
      </c>
      <c r="B13393" s="8" t="str">
        <f>HYPERLINK("https://twitter.com/ru8ymarch","@ru8ymarch")</f>
        <v>@ru8ymarch</v>
      </c>
      <c r="C13393" s="8" t="s">
        <v>5371</v>
      </c>
      <c r="D13393" s="8">
        <v>0</v>
      </c>
      <c r="E13393" s="8">
        <v>0</v>
      </c>
      <c r="F13393" s="8">
        <v>0</v>
      </c>
    </row>
    <row r="13394" spans="1:6" ht="12.75">
      <c r="A13394" s="8">
        <v>43898.790543981479</v>
      </c>
      <c r="B13394" s="8" t="str">
        <f>HYPERLINK("https://twitter.com/demoSoCRAZY","@demoSoCRAZY")</f>
        <v>@demoSoCRAZY</v>
      </c>
      <c r="C13394" s="8" t="s">
        <v>4927</v>
      </c>
      <c r="D13394" s="8">
        <v>14</v>
      </c>
      <c r="E13394" s="8">
        <v>0</v>
      </c>
      <c r="F13394" s="8">
        <v>5792</v>
      </c>
    </row>
    <row r="13395" spans="1:6" ht="12.75">
      <c r="A13395" s="8">
        <v>43898.790532407409</v>
      </c>
      <c r="B13395" s="8" t="str">
        <f>HYPERLINK("https://twitter.com/koekoeh","@koekoeh")</f>
        <v>@koekoeh</v>
      </c>
      <c r="C13395" s="8" t="s">
        <v>5372</v>
      </c>
      <c r="D13395" s="8">
        <v>0</v>
      </c>
      <c r="E13395" s="8">
        <v>0</v>
      </c>
      <c r="F13395" s="8">
        <v>3221</v>
      </c>
    </row>
    <row r="13396" spans="1:6" ht="12.75">
      <c r="A13396" s="8">
        <v>43898.790532407409</v>
      </c>
      <c r="B13396" s="8" t="str">
        <f>HYPERLINK("https://twitter.com/shubham89409647","@shubham89409647")</f>
        <v>@shubham89409647</v>
      </c>
      <c r="C13396" s="8" t="s">
        <v>1917</v>
      </c>
      <c r="D13396" s="8">
        <v>273</v>
      </c>
      <c r="E13396" s="8">
        <v>0</v>
      </c>
      <c r="F13396" s="8">
        <v>57</v>
      </c>
    </row>
    <row r="13397" spans="1:6" ht="12.75">
      <c r="A13397" s="8">
        <v>43898.790520833332</v>
      </c>
      <c r="B13397" s="8" t="str">
        <f>HYPERLINK("https://twitter.com/HibernationON","@HibernationON")</f>
        <v>@HibernationON</v>
      </c>
      <c r="C13397" s="8" t="s">
        <v>1917</v>
      </c>
      <c r="D13397" s="8">
        <v>273</v>
      </c>
      <c r="E13397" s="8">
        <v>0</v>
      </c>
      <c r="F13397" s="8">
        <v>163</v>
      </c>
    </row>
    <row r="13398" spans="1:6" ht="12.75">
      <c r="A13398" s="8">
        <v>43898.790497685186</v>
      </c>
      <c r="B13398" s="8" t="str">
        <f>HYPERLINK("https://twitter.com/preetka82967581","@preetka82967581")</f>
        <v>@preetka82967581</v>
      </c>
      <c r="C13398" s="8" t="s">
        <v>1917</v>
      </c>
      <c r="D13398" s="8">
        <v>273</v>
      </c>
      <c r="E13398" s="8">
        <v>0</v>
      </c>
      <c r="F13398" s="8">
        <v>257</v>
      </c>
    </row>
    <row r="13399" spans="1:6" ht="12.75">
      <c r="A13399" s="8">
        <v>43898.790254629625</v>
      </c>
      <c r="B13399" s="8" t="str">
        <f>HYPERLINK("https://twitter.com/MMJPRTM","@MMJPRTM")</f>
        <v>@MMJPRTM</v>
      </c>
      <c r="C13399" s="8" t="s">
        <v>5103</v>
      </c>
      <c r="D13399" s="8">
        <v>210</v>
      </c>
      <c r="E13399" s="8">
        <v>0</v>
      </c>
      <c r="F13399" s="8">
        <v>132</v>
      </c>
    </row>
    <row r="13400" spans="1:6" ht="12.75">
      <c r="A13400" s="8">
        <v>43898.789849537032</v>
      </c>
      <c r="B13400" s="8" t="str">
        <f>HYPERLINK("https://twitter.com/perplexityun","@perplexityun")</f>
        <v>@perplexityun</v>
      </c>
      <c r="C13400" s="8" t="s">
        <v>5373</v>
      </c>
      <c r="D13400" s="8">
        <v>0</v>
      </c>
      <c r="E13400" s="8">
        <v>0</v>
      </c>
      <c r="F13400" s="8">
        <v>193</v>
      </c>
    </row>
    <row r="13401" spans="1:6" ht="12.75">
      <c r="A13401" s="8">
        <v>43898.789513888885</v>
      </c>
      <c r="B13401" s="8" t="str">
        <f>HYPERLINK("https://twitter.com/shukla_daxesh","@shukla_daxesh")</f>
        <v>@shukla_daxesh</v>
      </c>
      <c r="C13401" s="8" t="s">
        <v>1917</v>
      </c>
      <c r="D13401" s="8">
        <v>273</v>
      </c>
      <c r="E13401" s="8">
        <v>0</v>
      </c>
      <c r="F13401" s="8">
        <v>561</v>
      </c>
    </row>
    <row r="13402" spans="1:6" ht="12.75">
      <c r="A13402" s="8">
        <v>43898.789351851854</v>
      </c>
      <c r="B13402" s="8" t="str">
        <f>HYPERLINK("https://twitter.com/agung7709","@agung7709")</f>
        <v>@agung7709</v>
      </c>
      <c r="C13402" s="8" t="s">
        <v>5374</v>
      </c>
      <c r="D13402" s="8">
        <v>0</v>
      </c>
      <c r="E13402" s="8">
        <v>0</v>
      </c>
      <c r="F13402" s="8">
        <v>1276</v>
      </c>
    </row>
    <row r="13403" spans="1:6" ht="12.75">
      <c r="A13403" s="8">
        <v>43898.789340277777</v>
      </c>
      <c r="B13403" s="8" t="str">
        <f>HYPERLINK("https://twitter.com/rxbipolarguy","@rxbipolarguy")</f>
        <v>@rxbipolarguy</v>
      </c>
      <c r="C13403" s="8" t="s">
        <v>1917</v>
      </c>
      <c r="D13403" s="8">
        <v>273</v>
      </c>
      <c r="E13403" s="8">
        <v>0</v>
      </c>
      <c r="F13403" s="8">
        <v>179</v>
      </c>
    </row>
    <row r="13404" spans="1:6" ht="12.75">
      <c r="A13404" s="8">
        <v>43898.789259259254</v>
      </c>
      <c r="B13404" s="8" t="str">
        <f>HYPERLINK("https://twitter.com/mediapontianak","@mediapontianak")</f>
        <v>@mediapontianak</v>
      </c>
      <c r="C13404" s="8" t="s">
        <v>5375</v>
      </c>
      <c r="D13404" s="8">
        <v>0</v>
      </c>
      <c r="E13404" s="8">
        <v>0</v>
      </c>
      <c r="F13404" s="8">
        <v>272</v>
      </c>
    </row>
    <row r="13405" spans="1:6" ht="12.75">
      <c r="A13405" s="8">
        <v>43898.789236111115</v>
      </c>
      <c r="B13405" s="8" t="str">
        <f>HYPERLINK("https://twitter.com/ajengarvianda","@ajengarvianda")</f>
        <v>@ajengarvianda</v>
      </c>
      <c r="C13405" s="8" t="s">
        <v>4607</v>
      </c>
      <c r="D13405" s="8">
        <v>14</v>
      </c>
      <c r="E13405" s="8">
        <v>0</v>
      </c>
      <c r="F13405" s="8">
        <v>172</v>
      </c>
    </row>
    <row r="13406" spans="1:6" ht="12.75">
      <c r="A13406" s="8">
        <v>43898.7890625</v>
      </c>
      <c r="B13406" s="8" t="str">
        <f>HYPERLINK("https://twitter.com/EyeyiMahza","@EyeyiMahza")</f>
        <v>@EyeyiMahza</v>
      </c>
      <c r="C13406" s="8" t="s">
        <v>3511</v>
      </c>
      <c r="D13406" s="8">
        <v>112</v>
      </c>
      <c r="E13406" s="8">
        <v>0</v>
      </c>
      <c r="F13406" s="8">
        <v>233</v>
      </c>
    </row>
    <row r="13407" spans="1:6" ht="12.75">
      <c r="A13407" s="8">
        <v>43898.788680555561</v>
      </c>
      <c r="B13407" s="8" t="str">
        <f>HYPERLINK("https://twitter.com/MantalTheBwoy","@MantalTheBwoy")</f>
        <v>@MantalTheBwoy</v>
      </c>
      <c r="C13407" s="8" t="s">
        <v>1917</v>
      </c>
      <c r="D13407" s="8">
        <v>273</v>
      </c>
      <c r="E13407" s="8">
        <v>0</v>
      </c>
      <c r="F13407" s="8">
        <v>211</v>
      </c>
    </row>
    <row r="13408" spans="1:6" ht="12.75">
      <c r="A13408" s="8">
        <v>43898.788611111115</v>
      </c>
      <c r="B13408" s="8" t="str">
        <f>HYPERLINK("https://twitter.com/MangalPurohit11","@MangalPurohit11")</f>
        <v>@MangalPurohit11</v>
      </c>
      <c r="C13408" s="8" t="s">
        <v>1917</v>
      </c>
      <c r="D13408" s="8">
        <v>273</v>
      </c>
      <c r="E13408" s="8">
        <v>0</v>
      </c>
      <c r="F13408" s="8">
        <v>886</v>
      </c>
    </row>
    <row r="13409" spans="1:6" ht="12.75">
      <c r="A13409" s="8">
        <v>43898.788599537038</v>
      </c>
      <c r="B13409" s="8" t="str">
        <f>HYPERLINK("https://twitter.com/Klan_Garangan","@Klan_Garangan")</f>
        <v>@Klan_Garangan</v>
      </c>
      <c r="C13409" s="8" t="s">
        <v>5376</v>
      </c>
      <c r="D13409" s="8">
        <v>9</v>
      </c>
      <c r="E13409" s="8">
        <v>0</v>
      </c>
      <c r="F13409" s="8">
        <v>726</v>
      </c>
    </row>
    <row r="13410" spans="1:6" ht="12.75">
      <c r="A13410" s="8">
        <v>43898.788564814815</v>
      </c>
      <c r="B13410" s="8" t="str">
        <f>HYPERLINK("https://twitter.com/akshaychandorka","@akshaychandorka")</f>
        <v>@akshaychandorka</v>
      </c>
      <c r="C13410" s="8" t="s">
        <v>1917</v>
      </c>
      <c r="D13410" s="8">
        <v>273</v>
      </c>
      <c r="E13410" s="8">
        <v>0</v>
      </c>
      <c r="F13410" s="8">
        <v>922</v>
      </c>
    </row>
    <row r="13411" spans="1:6" ht="12.75">
      <c r="A13411" s="8">
        <v>43898.788483796292</v>
      </c>
      <c r="B13411" s="8" t="str">
        <f>HYPERLINK("https://twitter.com/Neelam50079042","@Neelam50079042")</f>
        <v>@Neelam50079042</v>
      </c>
      <c r="C13411" s="8" t="s">
        <v>1917</v>
      </c>
      <c r="D13411" s="8">
        <v>273</v>
      </c>
      <c r="E13411" s="8">
        <v>0</v>
      </c>
      <c r="F13411" s="8">
        <v>105</v>
      </c>
    </row>
    <row r="13412" spans="1:6" ht="12.75">
      <c r="A13412" s="8">
        <v>43898.787997685184</v>
      </c>
      <c r="B13412" s="8" t="str">
        <f>HYPERLINK("https://twitter.com/Apurvgupta_3","@Apurvgupta_3")</f>
        <v>@Apurvgupta_3</v>
      </c>
      <c r="C13412" s="8" t="s">
        <v>1917</v>
      </c>
      <c r="D13412" s="8">
        <v>273</v>
      </c>
      <c r="E13412" s="8">
        <v>0</v>
      </c>
      <c r="F13412" s="8">
        <v>50</v>
      </c>
    </row>
    <row r="13413" spans="1:6" ht="12.75">
      <c r="A13413" s="8">
        <v>43898.787800925929</v>
      </c>
      <c r="B13413" s="8" t="str">
        <f>HYPERLINK("https://twitter.com/shivkumarssingh","@shivkumarssingh")</f>
        <v>@shivkumarssingh</v>
      </c>
      <c r="C13413" s="8" t="s">
        <v>1917</v>
      </c>
      <c r="D13413" s="8">
        <v>273</v>
      </c>
      <c r="E13413" s="8">
        <v>0</v>
      </c>
      <c r="F13413" s="8">
        <v>738</v>
      </c>
    </row>
    <row r="13414" spans="1:6" ht="12.75">
      <c r="A13414" s="8">
        <v>43898.787199074075</v>
      </c>
      <c r="B13414" s="8" t="str">
        <f>HYPERLINK("https://twitter.com/koko_irko","@koko_irko")</f>
        <v>@koko_irko</v>
      </c>
      <c r="C13414" s="8" t="s">
        <v>4991</v>
      </c>
      <c r="D13414" s="8">
        <v>7</v>
      </c>
      <c r="E13414" s="8">
        <v>0</v>
      </c>
      <c r="F13414" s="8">
        <v>1122</v>
      </c>
    </row>
    <row r="13415" spans="1:6" ht="12.75">
      <c r="A13415" s="8">
        <v>43898.787152777775</v>
      </c>
      <c r="B13415" s="8" t="str">
        <f>HYPERLINK("https://twitter.com/yahbangmrx","@yahbangmrx")</f>
        <v>@yahbangmrx</v>
      </c>
      <c r="C13415" s="8" t="s">
        <v>5370</v>
      </c>
      <c r="D13415" s="8">
        <v>4</v>
      </c>
      <c r="E13415" s="8">
        <v>0</v>
      </c>
      <c r="F13415" s="8">
        <v>629</v>
      </c>
    </row>
    <row r="13416" spans="1:6" ht="12.75">
      <c r="A13416" s="8">
        <v>43898.787118055552</v>
      </c>
      <c r="B13416" s="8" t="str">
        <f>HYPERLINK("https://twitter.com/BagusJimmi","@BagusJimmi")</f>
        <v>@BagusJimmi</v>
      </c>
      <c r="C13416" s="8" t="s">
        <v>3265</v>
      </c>
      <c r="D13416" s="8">
        <v>399</v>
      </c>
      <c r="E13416" s="8">
        <v>0</v>
      </c>
      <c r="F13416" s="8">
        <v>166</v>
      </c>
    </row>
    <row r="13417" spans="1:6" ht="12.75">
      <c r="A13417" s="8">
        <v>43898.787048611106</v>
      </c>
      <c r="B13417" s="8" t="str">
        <f>HYPERLINK("https://twitter.com/amz360","@amz360")</f>
        <v>@amz360</v>
      </c>
      <c r="C13417" s="8" t="s">
        <v>1917</v>
      </c>
      <c r="D13417" s="8">
        <v>273</v>
      </c>
      <c r="E13417" s="8">
        <v>0</v>
      </c>
      <c r="F13417" s="8">
        <v>4551</v>
      </c>
    </row>
    <row r="13418" spans="1:6" ht="12.75">
      <c r="A13418" s="8">
        <v>43898.787025462967</v>
      </c>
      <c r="B13418" s="8" t="str">
        <f>HYPERLINK("https://twitter.com/Nusanta124","@Nusanta124")</f>
        <v>@Nusanta124</v>
      </c>
      <c r="C13418" s="8" t="s">
        <v>5103</v>
      </c>
      <c r="D13418" s="8">
        <v>210</v>
      </c>
      <c r="E13418" s="8">
        <v>0</v>
      </c>
      <c r="F13418" s="8">
        <v>421</v>
      </c>
    </row>
    <row r="13419" spans="1:6" ht="12.75">
      <c r="A13419" s="8">
        <v>43898.786886574075</v>
      </c>
      <c r="B13419" s="8" t="str">
        <f>HYPERLINK("https://twitter.com/jawapostv","@jawapostv")</f>
        <v>@jawapostv</v>
      </c>
      <c r="C13419" s="8" t="s">
        <v>5377</v>
      </c>
      <c r="D13419" s="8">
        <v>0</v>
      </c>
      <c r="E13419" s="8">
        <v>0</v>
      </c>
      <c r="F13419" s="8">
        <v>5316</v>
      </c>
    </row>
    <row r="13420" spans="1:6" ht="12.75">
      <c r="A13420" s="8">
        <v>43898.786689814813</v>
      </c>
      <c r="B13420" s="8" t="str">
        <f>HYPERLINK("https://twitter.com/geetapawar6","@geetapawar6")</f>
        <v>@geetapawar6</v>
      </c>
      <c r="C13420" s="8" t="s">
        <v>1917</v>
      </c>
      <c r="D13420" s="8">
        <v>273</v>
      </c>
      <c r="E13420" s="8">
        <v>0</v>
      </c>
      <c r="F13420" s="8">
        <v>113</v>
      </c>
    </row>
    <row r="13421" spans="1:6" ht="12.75">
      <c r="A13421" s="8">
        <v>43898.786574074074</v>
      </c>
      <c r="B13421" s="8" t="str">
        <f>HYPERLINK("https://twitter.com/herophine101112","@herophine101112")</f>
        <v>@herophine101112</v>
      </c>
      <c r="C13421" s="8" t="s">
        <v>5370</v>
      </c>
      <c r="D13421" s="8">
        <v>4</v>
      </c>
      <c r="E13421" s="8">
        <v>0</v>
      </c>
      <c r="F13421" s="8">
        <v>277</v>
      </c>
    </row>
    <row r="13422" spans="1:6" ht="12.75">
      <c r="A13422" s="8">
        <v>43898.786562499998</v>
      </c>
      <c r="B13422" s="8" t="str">
        <f>HYPERLINK("https://twitter.com/Indomie70621673","@Indomie70621673")</f>
        <v>@Indomie70621673</v>
      </c>
      <c r="C13422" s="8" t="s">
        <v>5378</v>
      </c>
      <c r="D13422" s="8">
        <v>0</v>
      </c>
      <c r="E13422" s="8">
        <v>0</v>
      </c>
      <c r="F13422" s="8">
        <v>2</v>
      </c>
    </row>
    <row r="13423" spans="1:6" ht="12.75">
      <c r="A13423" s="8">
        <v>43898.786527777775</v>
      </c>
      <c r="B13423" s="8" t="str">
        <f>HYPERLINK("https://twitter.com/isandeeppandey","@isandeeppandey")</f>
        <v>@isandeeppandey</v>
      </c>
      <c r="C13423" s="8" t="s">
        <v>1917</v>
      </c>
      <c r="D13423" s="8">
        <v>273</v>
      </c>
      <c r="E13423" s="8">
        <v>0</v>
      </c>
      <c r="F13423" s="8">
        <v>185</v>
      </c>
    </row>
    <row r="13424" spans="1:6" ht="12.75">
      <c r="A13424" s="8">
        <v>43898.786493055552</v>
      </c>
      <c r="B13424" s="8" t="str">
        <f>HYPERLINK("https://twitter.com/ghesa93","@ghesa93")</f>
        <v>@ghesa93</v>
      </c>
      <c r="C13424" s="8" t="s">
        <v>5103</v>
      </c>
      <c r="D13424" s="8">
        <v>210</v>
      </c>
      <c r="E13424" s="8">
        <v>0</v>
      </c>
      <c r="F13424" s="8">
        <v>450</v>
      </c>
    </row>
    <row r="13425" spans="1:6" ht="12.75">
      <c r="A13425" s="8">
        <v>43898.786469907413</v>
      </c>
      <c r="B13425" s="8" t="str">
        <f>HYPERLINK("https://twitter.com/dr_spsharma","@dr_spsharma")</f>
        <v>@dr_spsharma</v>
      </c>
      <c r="C13425" s="8" t="s">
        <v>1917</v>
      </c>
      <c r="D13425" s="8">
        <v>273</v>
      </c>
      <c r="E13425" s="8">
        <v>0</v>
      </c>
      <c r="F13425" s="8">
        <v>117</v>
      </c>
    </row>
    <row r="13426" spans="1:6" ht="12.75">
      <c r="A13426" s="8">
        <v>43898.785775462966</v>
      </c>
      <c r="B13426" s="8" t="str">
        <f>HYPERLINK("https://twitter.com/okezonenews","@okezonenews")</f>
        <v>@okezonenews</v>
      </c>
      <c r="C13426" s="8" t="s">
        <v>5379</v>
      </c>
      <c r="D13426" s="8">
        <v>4</v>
      </c>
      <c r="E13426" s="8">
        <v>3</v>
      </c>
      <c r="F13426" s="8">
        <v>1744006</v>
      </c>
    </row>
    <row r="13427" spans="1:6" ht="12.75">
      <c r="A13427" s="8">
        <v>43898.785740740743</v>
      </c>
      <c r="B13427" s="8" t="str">
        <f>HYPERLINK("https://twitter.com/PramodBankoti","@PramodBankoti")</f>
        <v>@PramodBankoti</v>
      </c>
      <c r="C13427" s="8" t="s">
        <v>1917</v>
      </c>
      <c r="D13427" s="8">
        <v>273</v>
      </c>
      <c r="E13427" s="8">
        <v>0</v>
      </c>
      <c r="F13427" s="8">
        <v>179</v>
      </c>
    </row>
    <row r="13428" spans="1:6" ht="12.75">
      <c r="A13428" s="8">
        <v>43898.785659722227</v>
      </c>
      <c r="B13428" s="8" t="str">
        <f>HYPERLINK("https://twitter.com/Ghasira95973814","@Ghasira95973814")</f>
        <v>@Ghasira95973814</v>
      </c>
      <c r="C13428" s="8" t="s">
        <v>1917</v>
      </c>
      <c r="D13428" s="8">
        <v>273</v>
      </c>
      <c r="E13428" s="8">
        <v>0</v>
      </c>
      <c r="F13428" s="8">
        <v>47</v>
      </c>
    </row>
    <row r="13429" spans="1:6" ht="12.75">
      <c r="A13429" s="8">
        <v>43898.785625000004</v>
      </c>
      <c r="B13429" s="8" t="str">
        <f>HYPERLINK("https://twitter.com/kautsardiaz","@kautsardiaz")</f>
        <v>@kautsardiaz</v>
      </c>
      <c r="C13429" s="8" t="s">
        <v>3511</v>
      </c>
      <c r="D13429" s="8">
        <v>112</v>
      </c>
      <c r="E13429" s="8">
        <v>0</v>
      </c>
      <c r="F13429" s="8">
        <v>434</v>
      </c>
    </row>
    <row r="13430" spans="1:6" ht="12.75">
      <c r="A13430" s="8">
        <v>43898.785393518519</v>
      </c>
      <c r="B13430" s="8" t="str">
        <f>HYPERLINK("https://twitter.com/NaMo_Phani","@NaMo_Phani")</f>
        <v>@NaMo_Phani</v>
      </c>
      <c r="C13430" s="8" t="s">
        <v>1917</v>
      </c>
      <c r="D13430" s="8">
        <v>273</v>
      </c>
      <c r="E13430" s="8">
        <v>0</v>
      </c>
      <c r="F13430" s="8">
        <v>1786</v>
      </c>
    </row>
    <row r="13431" spans="1:6" ht="12.75">
      <c r="A13431" s="8">
        <v>43898.785381944443</v>
      </c>
      <c r="B13431" s="8" t="str">
        <f>HYPERLINK("https://twitter.com/LieYurika","@LieYurika")</f>
        <v>@LieYurika</v>
      </c>
      <c r="C13431" s="8" t="s">
        <v>5380</v>
      </c>
      <c r="D13431" s="8">
        <v>0</v>
      </c>
      <c r="E13431" s="8">
        <v>0</v>
      </c>
      <c r="F13431" s="8">
        <v>629</v>
      </c>
    </row>
    <row r="13432" spans="1:6" ht="12.75">
      <c r="A13432" s="8">
        <v>43898.785300925927</v>
      </c>
      <c r="B13432" s="8" t="str">
        <f>HYPERLINK("https://twitter.com/nasimiegoyeng","@nasimiegoyeng")</f>
        <v>@nasimiegoyeng</v>
      </c>
      <c r="C13432" s="8" t="s">
        <v>5103</v>
      </c>
      <c r="D13432" s="8">
        <v>210</v>
      </c>
      <c r="E13432" s="8">
        <v>0</v>
      </c>
      <c r="F13432" s="8">
        <v>1020</v>
      </c>
    </row>
    <row r="13433" spans="1:6" ht="12.75">
      <c r="A13433" s="8">
        <v>43898.756851851853</v>
      </c>
      <c r="B13433" s="8" t="str">
        <f>HYPERLINK("https://twitter.com/_basicallycold_","@_basicallycold_")</f>
        <v>@_basicallycold_</v>
      </c>
      <c r="C13433" s="8" t="s">
        <v>1917</v>
      </c>
      <c r="D13433" s="8">
        <v>55</v>
      </c>
      <c r="E13433" s="8">
        <v>0</v>
      </c>
      <c r="F13433" s="8">
        <v>170</v>
      </c>
    </row>
    <row r="13434" spans="1:6" ht="12.75">
      <c r="A13434" s="8">
        <v>43898.756840277776</v>
      </c>
      <c r="B13434" s="8" t="str">
        <f>HYPERLINK("https://twitter.com/DildaarSid","@DildaarSid")</f>
        <v>@DildaarSid</v>
      </c>
      <c r="C13434" s="8" t="s">
        <v>5381</v>
      </c>
      <c r="D13434" s="8">
        <v>0</v>
      </c>
      <c r="E13434" s="8">
        <v>0</v>
      </c>
      <c r="F13434" s="8">
        <v>95</v>
      </c>
    </row>
    <row r="13435" spans="1:6" ht="12.75">
      <c r="A13435" s="8">
        <v>43898.75681712963</v>
      </c>
      <c r="B13435" s="8" t="str">
        <f>HYPERLINK("https://twitter.com/TheRealLazyChef","@TheRealLazyChef")</f>
        <v>@TheRealLazyChef</v>
      </c>
      <c r="C13435" s="8" t="s">
        <v>1917</v>
      </c>
      <c r="D13435" s="8">
        <v>55</v>
      </c>
      <c r="E13435" s="8">
        <v>0</v>
      </c>
      <c r="F13435" s="8">
        <v>158</v>
      </c>
    </row>
    <row r="13436" spans="1:6" ht="12.75">
      <c r="A13436" s="8">
        <v>43898.756793981476</v>
      </c>
      <c r="B13436" s="8" t="str">
        <f>HYPERLINK("https://twitter.com/gofailthenpass","@gofailthenpass")</f>
        <v>@gofailthenpass</v>
      </c>
      <c r="C13436" s="8" t="s">
        <v>1917</v>
      </c>
      <c r="D13436" s="8">
        <v>55</v>
      </c>
      <c r="E13436" s="8">
        <v>0</v>
      </c>
      <c r="F13436" s="8">
        <v>75</v>
      </c>
    </row>
    <row r="13437" spans="1:6" ht="12.75">
      <c r="A13437" s="8">
        <v>43898.756770833337</v>
      </c>
      <c r="B13437" s="8" t="str">
        <f>HYPERLINK("https://twitter.com/fajarDputra","@fajarDputra")</f>
        <v>@fajarDputra</v>
      </c>
      <c r="C13437" s="8" t="s">
        <v>5382</v>
      </c>
      <c r="D13437" s="8">
        <v>0</v>
      </c>
      <c r="E13437" s="8">
        <v>0</v>
      </c>
      <c r="F13437" s="8">
        <v>202</v>
      </c>
    </row>
    <row r="13438" spans="1:6" ht="12.75">
      <c r="A13438" s="8">
        <v>43898.756712962961</v>
      </c>
      <c r="B13438" s="8" t="str">
        <f>HYPERLINK("https://twitter.com/fuzzyramm","@fuzzyramm")</f>
        <v>@fuzzyramm</v>
      </c>
      <c r="C13438" s="8" t="s">
        <v>1917</v>
      </c>
      <c r="D13438" s="8">
        <v>55</v>
      </c>
      <c r="E13438" s="8">
        <v>0</v>
      </c>
      <c r="F13438" s="8">
        <v>165</v>
      </c>
    </row>
    <row r="13439" spans="1:6" ht="12.75">
      <c r="A13439" s="8">
        <v>43898.756712962961</v>
      </c>
      <c r="B13439" s="8" t="str">
        <f>HYPERLINK("https://twitter.com/pukmedia","@pukmedia")</f>
        <v>@pukmedia</v>
      </c>
      <c r="C13439" s="8" t="s">
        <v>5365</v>
      </c>
      <c r="D13439" s="8">
        <v>0</v>
      </c>
      <c r="E13439" s="8">
        <v>0</v>
      </c>
      <c r="F13439" s="8">
        <v>6805</v>
      </c>
    </row>
    <row r="13440" spans="1:6" ht="12.75">
      <c r="A13440" s="8">
        <v>43898.756527777776</v>
      </c>
      <c r="B13440" s="8" t="str">
        <f>HYPERLINK("https://twitter.com/MAliSubhan2","@MAliSubhan2")</f>
        <v>@MAliSubhan2</v>
      </c>
      <c r="C13440" s="8" t="s">
        <v>5376</v>
      </c>
      <c r="D13440" s="8">
        <v>7</v>
      </c>
      <c r="E13440" s="8">
        <v>0</v>
      </c>
      <c r="F13440" s="8">
        <v>1272</v>
      </c>
    </row>
    <row r="13441" spans="1:6" ht="12.75">
      <c r="A13441" s="8">
        <v>43898.75645833333</v>
      </c>
      <c r="B13441" s="8" t="str">
        <f>HYPERLINK("https://twitter.com/wisechanakya2","@wisechanakya2")</f>
        <v>@wisechanakya2</v>
      </c>
      <c r="C13441" s="8" t="s">
        <v>1917</v>
      </c>
      <c r="D13441" s="8">
        <v>55</v>
      </c>
      <c r="E13441" s="8">
        <v>0</v>
      </c>
      <c r="F13441" s="8">
        <v>44</v>
      </c>
    </row>
    <row r="13442" spans="1:6" ht="12.75">
      <c r="A13442" s="8">
        <v>43898.756388888884</v>
      </c>
      <c r="B13442" s="8" t="str">
        <f>HYPERLINK("https://twitter.com/bhusanfani","@bhusanfani")</f>
        <v>@bhusanfani</v>
      </c>
      <c r="C13442" s="8" t="s">
        <v>1917</v>
      </c>
      <c r="D13442" s="8">
        <v>55</v>
      </c>
      <c r="E13442" s="8">
        <v>0</v>
      </c>
      <c r="F13442" s="8">
        <v>276</v>
      </c>
    </row>
    <row r="13443" spans="1:6" ht="12.75">
      <c r="A13443" s="8">
        <v>43898.756342592591</v>
      </c>
      <c r="B13443" s="8" t="str">
        <f>HYPERLINK("https://twitter.com/Lolwas2019","@Lolwas2019")</f>
        <v>@Lolwas2019</v>
      </c>
      <c r="C13443" s="8" t="s">
        <v>1917</v>
      </c>
      <c r="D13443" s="8">
        <v>55</v>
      </c>
      <c r="E13443" s="8">
        <v>0</v>
      </c>
      <c r="F13443" s="8">
        <v>119</v>
      </c>
    </row>
    <row r="13444" spans="1:6" ht="12.75">
      <c r="A13444" s="8">
        <v>43898.756249999999</v>
      </c>
      <c r="B13444" s="8" t="str">
        <f>HYPERLINK("https://twitter.com/Namrata09735275","@Namrata09735275")</f>
        <v>@Namrata09735275</v>
      </c>
      <c r="C13444" s="8" t="s">
        <v>1917</v>
      </c>
      <c r="D13444" s="8">
        <v>55</v>
      </c>
      <c r="E13444" s="8">
        <v>0</v>
      </c>
      <c r="F13444" s="8">
        <v>208</v>
      </c>
    </row>
    <row r="13445" spans="1:6" ht="12.75">
      <c r="A13445" s="8">
        <v>43898.756203703699</v>
      </c>
      <c r="B13445" s="8" t="str">
        <f>HYPERLINK("https://twitter.com/ressariririaa","@ressariririaa")</f>
        <v>@ressariririaa</v>
      </c>
      <c r="C13445" s="8" t="s">
        <v>5383</v>
      </c>
      <c r="D13445" s="8">
        <v>1</v>
      </c>
      <c r="E13445" s="8">
        <v>0</v>
      </c>
      <c r="F13445" s="8">
        <v>428</v>
      </c>
    </row>
    <row r="13446" spans="1:6" ht="12.75">
      <c r="A13446" s="8">
        <v>43898.75618055556</v>
      </c>
      <c r="B13446" s="8" t="str">
        <f>HYPERLINK("https://twitter.com/AnupSsm","@AnupSsm")</f>
        <v>@AnupSsm</v>
      </c>
      <c r="C13446" s="8" t="s">
        <v>1917</v>
      </c>
      <c r="D13446" s="8">
        <v>55</v>
      </c>
      <c r="E13446" s="8">
        <v>0</v>
      </c>
      <c r="F13446" s="8">
        <v>95</v>
      </c>
    </row>
    <row r="13447" spans="1:6" ht="12.75">
      <c r="A13447" s="8">
        <v>43898.756111111114</v>
      </c>
      <c r="B13447" s="8" t="str">
        <f>HYPERLINK("https://twitter.com/AtulCfo","@AtulCfo")</f>
        <v>@AtulCfo</v>
      </c>
      <c r="C13447" s="8" t="s">
        <v>1917</v>
      </c>
      <c r="D13447" s="8">
        <v>55</v>
      </c>
      <c r="E13447" s="8">
        <v>0</v>
      </c>
      <c r="F13447" s="8">
        <v>52</v>
      </c>
    </row>
    <row r="13448" spans="1:6" ht="12.75">
      <c r="A13448" s="8">
        <v>43898.755995370375</v>
      </c>
      <c r="B13448" s="8" t="str">
        <f>HYPERLINK("https://twitter.com/uttampatel","@uttampatel")</f>
        <v>@uttampatel</v>
      </c>
      <c r="C13448" s="8" t="s">
        <v>1917</v>
      </c>
      <c r="D13448" s="8">
        <v>55</v>
      </c>
      <c r="E13448" s="8">
        <v>0</v>
      </c>
      <c r="F13448" s="8">
        <v>97</v>
      </c>
    </row>
    <row r="13449" spans="1:6" ht="12.75">
      <c r="A13449" s="8">
        <v>43898.755995370375</v>
      </c>
      <c r="B13449" s="8" t="str">
        <f>HYPERLINK("https://twitter.com/BharatDharmaom","@BharatDharmaom")</f>
        <v>@BharatDharmaom</v>
      </c>
      <c r="C13449" s="8" t="s">
        <v>1917</v>
      </c>
      <c r="D13449" s="8">
        <v>55</v>
      </c>
      <c r="E13449" s="8">
        <v>0</v>
      </c>
      <c r="F13449" s="8">
        <v>116</v>
      </c>
    </row>
    <row r="13450" spans="1:6" ht="12.75">
      <c r="A13450" s="8">
        <v>43898.755960648152</v>
      </c>
      <c r="B13450" s="8" t="str">
        <f>HYPERLINK("https://twitter.com/pankil18sbm","@pankil18sbm")</f>
        <v>@pankil18sbm</v>
      </c>
      <c r="C13450" s="8" t="s">
        <v>1917</v>
      </c>
      <c r="D13450" s="8">
        <v>55</v>
      </c>
      <c r="E13450" s="8">
        <v>0</v>
      </c>
      <c r="F13450" s="8">
        <v>425</v>
      </c>
    </row>
    <row r="13451" spans="1:6" ht="12.75">
      <c r="A13451" s="8">
        <v>43898.755949074075</v>
      </c>
      <c r="B13451" s="8" t="str">
        <f>HYPERLINK("https://twitter.com/Life4Mahadev","@Life4Mahadev")</f>
        <v>@Life4Mahadev</v>
      </c>
      <c r="C13451" s="8" t="s">
        <v>1917</v>
      </c>
      <c r="D13451" s="8">
        <v>55</v>
      </c>
      <c r="E13451" s="8">
        <v>0</v>
      </c>
      <c r="F13451" s="8">
        <v>1655</v>
      </c>
    </row>
    <row r="13452" spans="1:6" ht="12.75">
      <c r="A13452" s="8">
        <v>43898.755937499998</v>
      </c>
      <c r="B13452" s="8" t="str">
        <f>HYPERLINK("https://twitter.com/Phantom1936","@Phantom1936")</f>
        <v>@Phantom1936</v>
      </c>
      <c r="C13452" s="8" t="s">
        <v>1917</v>
      </c>
      <c r="D13452" s="8">
        <v>55</v>
      </c>
      <c r="E13452" s="8">
        <v>0</v>
      </c>
      <c r="F13452" s="8">
        <v>98</v>
      </c>
    </row>
    <row r="13453" spans="1:6" ht="12.75">
      <c r="A13453" s="8">
        <v>43898.755833333329</v>
      </c>
      <c r="B13453" s="8" t="str">
        <f>HYPERLINK("https://twitter.com/santoshsm","@santoshsm")</f>
        <v>@santoshsm</v>
      </c>
      <c r="C13453" s="8" t="s">
        <v>1917</v>
      </c>
      <c r="D13453" s="8">
        <v>55</v>
      </c>
      <c r="E13453" s="8">
        <v>0</v>
      </c>
      <c r="F13453" s="8">
        <v>231</v>
      </c>
    </row>
    <row r="13454" spans="1:6" ht="12.75">
      <c r="A13454" s="8">
        <v>43898.755798611106</v>
      </c>
      <c r="B13454" s="8" t="str">
        <f>HYPERLINK("https://twitter.com/yourstrulyjoshi","@yourstrulyjoshi")</f>
        <v>@yourstrulyjoshi</v>
      </c>
      <c r="C13454" s="8" t="s">
        <v>1917</v>
      </c>
      <c r="D13454" s="8">
        <v>55</v>
      </c>
      <c r="E13454" s="8">
        <v>0</v>
      </c>
      <c r="F13454" s="8">
        <v>219</v>
      </c>
    </row>
    <row r="13455" spans="1:6" ht="12.75">
      <c r="A13455" s="8">
        <v>43898.755787037036</v>
      </c>
      <c r="B13455" s="8" t="str">
        <f>HYPERLINK("https://twitter.com/IsnaSabbullah","@IsnaSabbullah")</f>
        <v>@IsnaSabbullah</v>
      </c>
      <c r="C13455" s="8" t="s">
        <v>5156</v>
      </c>
      <c r="D13455" s="8">
        <v>8</v>
      </c>
      <c r="E13455" s="8">
        <v>0</v>
      </c>
      <c r="F13455" s="8">
        <v>103</v>
      </c>
    </row>
    <row r="13456" spans="1:6" ht="12.75">
      <c r="A13456" s="8">
        <v>43898.75576388889</v>
      </c>
      <c r="B13456" s="8" t="str">
        <f>HYPERLINK("https://twitter.com/priya_R143","@priya_R143")</f>
        <v>@priya_R143</v>
      </c>
      <c r="C13456" s="8" t="s">
        <v>1917</v>
      </c>
      <c r="D13456" s="8">
        <v>55</v>
      </c>
      <c r="E13456" s="8">
        <v>0</v>
      </c>
      <c r="F13456" s="8">
        <v>438</v>
      </c>
    </row>
    <row r="13457" spans="1:6" ht="12.75">
      <c r="A13457" s="8">
        <v>43898.755671296298</v>
      </c>
      <c r="B13457" s="8" t="str">
        <f>HYPERLINK("https://twitter.com/BhagwaBaba","@BhagwaBaba")</f>
        <v>@BhagwaBaba</v>
      </c>
      <c r="C13457" s="8" t="s">
        <v>1917</v>
      </c>
      <c r="D13457" s="8">
        <v>55</v>
      </c>
      <c r="E13457" s="8">
        <v>0</v>
      </c>
      <c r="F13457" s="8">
        <v>880</v>
      </c>
    </row>
    <row r="13458" spans="1:6" ht="12.75">
      <c r="A13458" s="8">
        <v>43898.755601851852</v>
      </c>
      <c r="B13458" s="8" t="str">
        <f>HYPERLINK("https://twitter.com/monty_chadha","@monty_chadha")</f>
        <v>@monty_chadha</v>
      </c>
      <c r="C13458" s="8" t="s">
        <v>1917</v>
      </c>
      <c r="D13458" s="8">
        <v>55</v>
      </c>
      <c r="E13458" s="8">
        <v>0</v>
      </c>
      <c r="F13458" s="8">
        <v>1767</v>
      </c>
    </row>
    <row r="13459" spans="1:6" ht="12.75">
      <c r="A13459" s="8">
        <v>43898.755497685182</v>
      </c>
      <c r="B13459" s="8" t="str">
        <f>HYPERLINK("https://twitter.com/rghvpandey","@rghvpandey")</f>
        <v>@rghvpandey</v>
      </c>
      <c r="C13459" s="8" t="s">
        <v>1917</v>
      </c>
      <c r="D13459" s="8">
        <v>55</v>
      </c>
      <c r="E13459" s="8">
        <v>0</v>
      </c>
      <c r="F13459" s="8">
        <v>726</v>
      </c>
    </row>
    <row r="13460" spans="1:6" ht="12.75">
      <c r="A13460" s="8">
        <v>43898.755474537036</v>
      </c>
      <c r="B13460" s="8" t="str">
        <f>HYPERLINK("https://twitter.com/_wni_","@_wni_")</f>
        <v>@_wni_</v>
      </c>
      <c r="C13460" s="8" t="s">
        <v>5384</v>
      </c>
      <c r="D13460" s="8">
        <v>2288</v>
      </c>
      <c r="E13460" s="8">
        <v>0</v>
      </c>
      <c r="F13460" s="8">
        <v>16</v>
      </c>
    </row>
    <row r="13461" spans="1:6" ht="12.75">
      <c r="A13461" s="8">
        <v>43898.755405092597</v>
      </c>
      <c r="B13461" s="8" t="str">
        <f>HYPERLINK("https://twitter.com/shanmukhssv","@shanmukhssv")</f>
        <v>@shanmukhssv</v>
      </c>
      <c r="C13461" s="8" t="s">
        <v>1917</v>
      </c>
      <c r="D13461" s="8">
        <v>55</v>
      </c>
      <c r="E13461" s="8">
        <v>0</v>
      </c>
      <c r="F13461" s="8">
        <v>347</v>
      </c>
    </row>
    <row r="13462" spans="1:6" ht="12.75">
      <c r="A13462" s="8">
        <v>43898.755381944444</v>
      </c>
      <c r="B13462" s="8" t="str">
        <f>HYPERLINK("https://twitter.com/um_dubey","@um_dubey")</f>
        <v>@um_dubey</v>
      </c>
      <c r="C13462" s="8" t="s">
        <v>1917</v>
      </c>
      <c r="D13462" s="8">
        <v>55</v>
      </c>
      <c r="E13462" s="8">
        <v>0</v>
      </c>
      <c r="F13462" s="8">
        <v>594</v>
      </c>
    </row>
    <row r="13463" spans="1:6" ht="12.75">
      <c r="A13463" s="8">
        <v>43898.755358796298</v>
      </c>
      <c r="B13463" s="8" t="str">
        <f>HYPERLINK("https://twitter.com/_wni_","@_wni_")</f>
        <v>@_wni_</v>
      </c>
      <c r="C13463" s="8" t="s">
        <v>5385</v>
      </c>
      <c r="D13463" s="8">
        <v>0</v>
      </c>
      <c r="E13463" s="8">
        <v>0</v>
      </c>
      <c r="F13463" s="8">
        <v>16</v>
      </c>
    </row>
    <row r="13464" spans="1:6" ht="12.75">
      <c r="A13464" s="8">
        <v>43898.755173611113</v>
      </c>
      <c r="B13464" s="8" t="str">
        <f>HYPERLINK("https://twitter.com/lenggaok","@lenggaok")</f>
        <v>@lenggaok</v>
      </c>
      <c r="C13464" s="8" t="s">
        <v>5386</v>
      </c>
      <c r="D13464" s="8">
        <v>0</v>
      </c>
      <c r="E13464" s="8">
        <v>0</v>
      </c>
      <c r="F13464" s="8">
        <v>88</v>
      </c>
    </row>
    <row r="13465" spans="1:6" ht="12.75">
      <c r="A13465" s="8">
        <v>43898.755173611113</v>
      </c>
      <c r="B13465" s="8" t="str">
        <f>HYPERLINK("https://twitter.com/bhagwanparge","@bhagwanparge")</f>
        <v>@bhagwanparge</v>
      </c>
      <c r="C13465" s="8" t="s">
        <v>1917</v>
      </c>
      <c r="D13465" s="8">
        <v>55</v>
      </c>
      <c r="E13465" s="8">
        <v>0</v>
      </c>
      <c r="F13465" s="8">
        <v>241</v>
      </c>
    </row>
    <row r="13466" spans="1:6" ht="12.75">
      <c r="A13466" s="8">
        <v>43898.75513888889</v>
      </c>
      <c r="B13466" s="8" t="str">
        <f>HYPERLINK("https://twitter.com/im_yash2307","@im_yash2307")</f>
        <v>@im_yash2307</v>
      </c>
      <c r="C13466" s="8" t="s">
        <v>1917</v>
      </c>
      <c r="D13466" s="8">
        <v>55</v>
      </c>
      <c r="E13466" s="8">
        <v>0</v>
      </c>
      <c r="F13466" s="8">
        <v>485</v>
      </c>
    </row>
    <row r="13467" spans="1:6" ht="12.75">
      <c r="A13467" s="8">
        <v>43898.755115740743</v>
      </c>
      <c r="B13467" s="8" t="str">
        <f>HYPERLINK("https://twitter.com/AjayendraPal","@AjayendraPal")</f>
        <v>@AjayendraPal</v>
      </c>
      <c r="C13467" s="8" t="s">
        <v>1917</v>
      </c>
      <c r="D13467" s="8">
        <v>55</v>
      </c>
      <c r="E13467" s="8">
        <v>0</v>
      </c>
      <c r="F13467" s="8">
        <v>337</v>
      </c>
    </row>
    <row r="13468" spans="1:6" ht="12.75">
      <c r="A13468" s="8">
        <v>43898.754988425921</v>
      </c>
      <c r="B13468" s="8" t="str">
        <f>HYPERLINK("https://twitter.com/hspanda_55","@hspanda_55")</f>
        <v>@hspanda_55</v>
      </c>
      <c r="C13468" s="8" t="s">
        <v>1917</v>
      </c>
      <c r="D13468" s="8">
        <v>55</v>
      </c>
      <c r="E13468" s="8">
        <v>0</v>
      </c>
      <c r="F13468" s="8">
        <v>122</v>
      </c>
    </row>
    <row r="13469" spans="1:6" ht="12.75">
      <c r="A13469" s="8">
        <v>43898.754988425921</v>
      </c>
      <c r="B13469" s="8" t="str">
        <f>HYPERLINK("https://twitter.com/darkha_butt_","@darkha_butt_")</f>
        <v>@darkha_butt_</v>
      </c>
      <c r="C13469" s="8" t="s">
        <v>1917</v>
      </c>
      <c r="D13469" s="8">
        <v>55</v>
      </c>
      <c r="E13469" s="8">
        <v>0</v>
      </c>
      <c r="F13469" s="8">
        <v>360</v>
      </c>
    </row>
    <row r="13470" spans="1:6" ht="12.75">
      <c r="A13470" s="8">
        <v>43898.754884259259</v>
      </c>
      <c r="B13470" s="8" t="str">
        <f>HYPERLINK("https://twitter.com/MainUglyHun","@MainUglyHun")</f>
        <v>@MainUglyHun</v>
      </c>
      <c r="C13470" s="8" t="s">
        <v>1917</v>
      </c>
      <c r="D13470" s="8">
        <v>55</v>
      </c>
      <c r="E13470" s="8">
        <v>0</v>
      </c>
      <c r="F13470" s="8">
        <v>608</v>
      </c>
    </row>
    <row r="13471" spans="1:6" ht="12.75">
      <c r="A13471" s="8">
        <v>43898.754837962959</v>
      </c>
      <c r="B13471" s="8" t="str">
        <f>HYPERLINK("https://twitter.com/MaheshSatpute07","@MaheshSatpute07")</f>
        <v>@MaheshSatpute07</v>
      </c>
      <c r="C13471" s="8" t="s">
        <v>1917</v>
      </c>
      <c r="D13471" s="8">
        <v>55</v>
      </c>
      <c r="E13471" s="8">
        <v>0</v>
      </c>
      <c r="F13471" s="8">
        <v>111</v>
      </c>
    </row>
    <row r="13472" spans="1:6" ht="12.75">
      <c r="A13472" s="8">
        <v>43898.75472222222</v>
      </c>
      <c r="B13472" s="8" t="str">
        <f>HYPERLINK("https://twitter.com/BahuAjanu","@BahuAjanu")</f>
        <v>@BahuAjanu</v>
      </c>
      <c r="C13472" s="8" t="s">
        <v>1917</v>
      </c>
      <c r="D13472" s="8">
        <v>55</v>
      </c>
      <c r="E13472" s="8">
        <v>0</v>
      </c>
      <c r="F13472" s="8">
        <v>172</v>
      </c>
    </row>
    <row r="13473" spans="1:6" ht="12.75">
      <c r="A13473" s="8">
        <v>43898.75472222222</v>
      </c>
      <c r="B13473" s="8" t="str">
        <f>HYPERLINK("https://twitter.com/shenoy70","@shenoy70")</f>
        <v>@shenoy70</v>
      </c>
      <c r="C13473" s="8" t="s">
        <v>1917</v>
      </c>
      <c r="D13473" s="8">
        <v>55</v>
      </c>
      <c r="E13473" s="8">
        <v>0</v>
      </c>
      <c r="F13473" s="8">
        <v>17560</v>
      </c>
    </row>
    <row r="13474" spans="1:6" ht="12.75">
      <c r="A13474" s="8">
        <v>43898.75472222222</v>
      </c>
      <c r="B13474" s="8" t="str">
        <f>HYPERLINK("https://twitter.com/kostha_bidda","@kostha_bidda")</f>
        <v>@kostha_bidda</v>
      </c>
      <c r="C13474" s="8" t="s">
        <v>1917</v>
      </c>
      <c r="D13474" s="8">
        <v>55</v>
      </c>
      <c r="E13474" s="8">
        <v>0</v>
      </c>
      <c r="F13474" s="8">
        <v>6446</v>
      </c>
    </row>
    <row r="13475" spans="1:6" ht="12.75">
      <c r="A13475" s="8">
        <v>43898.754652777774</v>
      </c>
      <c r="B13475" s="8" t="str">
        <f>HYPERLINK("https://twitter.com/marisambattt","@marisambattt")</f>
        <v>@marisambattt</v>
      </c>
      <c r="C13475" s="8" t="s">
        <v>5387</v>
      </c>
      <c r="D13475" s="8">
        <v>0</v>
      </c>
      <c r="E13475" s="8">
        <v>0</v>
      </c>
      <c r="F13475" s="8">
        <v>412</v>
      </c>
    </row>
    <row r="13476" spans="1:6" ht="12.75">
      <c r="A13476" s="8">
        <v>43898.754583333328</v>
      </c>
      <c r="B13476" s="8" t="str">
        <f>HYPERLINK("https://twitter.com/aniltiwari7273","@aniltiwari7273")</f>
        <v>@aniltiwari7273</v>
      </c>
      <c r="C13476" s="8" t="s">
        <v>1917</v>
      </c>
      <c r="D13476" s="8">
        <v>55</v>
      </c>
      <c r="E13476" s="8">
        <v>0</v>
      </c>
      <c r="F13476" s="8">
        <v>2614</v>
      </c>
    </row>
    <row r="13477" spans="1:6" ht="12.75">
      <c r="A13477" s="8">
        <v>43898.754560185189</v>
      </c>
      <c r="B13477" s="8" t="str">
        <f>HYPERLINK("https://twitter.com/__Jai__Hind","@__Jai__Hind")</f>
        <v>@__Jai__Hind</v>
      </c>
      <c r="C13477" s="8" t="s">
        <v>1917</v>
      </c>
      <c r="D13477" s="8">
        <v>55</v>
      </c>
      <c r="E13477" s="8">
        <v>0</v>
      </c>
      <c r="F13477" s="8">
        <v>779</v>
      </c>
    </row>
    <row r="13478" spans="1:6" ht="12.75">
      <c r="A13478" s="8">
        <v>43898.754525462966</v>
      </c>
      <c r="B13478" s="8" t="str">
        <f>HYPERLINK("https://twitter.com/forever_rishu","@forever_rishu")</f>
        <v>@forever_rishu</v>
      </c>
      <c r="C13478" s="8" t="s">
        <v>1917</v>
      </c>
      <c r="D13478" s="8">
        <v>55</v>
      </c>
      <c r="E13478" s="8">
        <v>0</v>
      </c>
      <c r="F13478" s="8">
        <v>1625</v>
      </c>
    </row>
    <row r="13479" spans="1:6" ht="12.75">
      <c r="A13479" s="8">
        <v>43898.754502314812</v>
      </c>
      <c r="B13479" s="8" t="str">
        <f>HYPERLINK("https://twitter.com/hindutraveler","@hindutraveler")</f>
        <v>@hindutraveler</v>
      </c>
      <c r="C13479" s="8" t="s">
        <v>1917</v>
      </c>
      <c r="D13479" s="8">
        <v>55</v>
      </c>
      <c r="E13479" s="8">
        <v>0</v>
      </c>
      <c r="F13479" s="8">
        <v>239</v>
      </c>
    </row>
    <row r="13480" spans="1:6" ht="12.75">
      <c r="A13480" s="8">
        <v>43898.754444444443</v>
      </c>
      <c r="B13480" s="8" t="str">
        <f>HYPERLINK("https://twitter.com/ImkHimansh","@ImkHimansh")</f>
        <v>@ImkHimansh</v>
      </c>
      <c r="C13480" s="8" t="s">
        <v>1917</v>
      </c>
      <c r="D13480" s="8">
        <v>55</v>
      </c>
      <c r="E13480" s="8">
        <v>0</v>
      </c>
      <c r="F13480" s="8">
        <v>447</v>
      </c>
    </row>
    <row r="13481" spans="1:6" ht="12.75">
      <c r="A13481" s="8">
        <v>43898.754375000004</v>
      </c>
      <c r="B13481" s="8" t="str">
        <f>HYPERLINK("https://twitter.com/Kari_Ninja","@Kari_Ninja")</f>
        <v>@Kari_Ninja</v>
      </c>
      <c r="C13481" s="8" t="s">
        <v>4548</v>
      </c>
      <c r="D13481" s="8">
        <v>5</v>
      </c>
      <c r="E13481" s="8">
        <v>0</v>
      </c>
      <c r="F13481" s="8">
        <v>957</v>
      </c>
    </row>
    <row r="13482" spans="1:6" ht="12.75">
      <c r="A13482" s="8">
        <v>43898.754363425927</v>
      </c>
      <c r="B13482" s="8" t="str">
        <f>HYPERLINK("https://twitter.com/ephraym8","@ephraym8")</f>
        <v>@ephraym8</v>
      </c>
      <c r="C13482" s="8" t="s">
        <v>2777</v>
      </c>
      <c r="D13482" s="8">
        <v>77</v>
      </c>
      <c r="E13482" s="8">
        <v>0</v>
      </c>
      <c r="F13482" s="8">
        <v>1216</v>
      </c>
    </row>
    <row r="13483" spans="1:6" ht="12.75">
      <c r="A13483" s="8">
        <v>43898.754328703704</v>
      </c>
      <c r="B13483" s="8" t="str">
        <f>HYPERLINK("https://twitter.com/Cacofonix1008","@Cacofonix1008")</f>
        <v>@Cacofonix1008</v>
      </c>
      <c r="C13483" s="8" t="s">
        <v>1917</v>
      </c>
      <c r="D13483" s="8">
        <v>55</v>
      </c>
      <c r="E13483" s="8">
        <v>0</v>
      </c>
      <c r="F13483" s="8">
        <v>308</v>
      </c>
    </row>
    <row r="13484" spans="1:6" ht="12.75">
      <c r="A13484" s="8">
        <v>43898.754293981481</v>
      </c>
      <c r="B13484" s="8" t="str">
        <f>HYPERLINK("https://twitter.com/BrunoMishra","@BrunoMishra")</f>
        <v>@BrunoMishra</v>
      </c>
      <c r="C13484" s="8" t="s">
        <v>1917</v>
      </c>
      <c r="D13484" s="8">
        <v>55</v>
      </c>
      <c r="E13484" s="8">
        <v>0</v>
      </c>
      <c r="F13484" s="8">
        <v>147</v>
      </c>
    </row>
    <row r="13485" spans="1:6" ht="12.75">
      <c r="A13485" s="8">
        <v>43898.754282407404</v>
      </c>
      <c r="B13485" s="8" t="str">
        <f>HYPERLINK("https://twitter.com/keel1616","@keel1616")</f>
        <v>@keel1616</v>
      </c>
      <c r="C13485" s="8" t="s">
        <v>1917</v>
      </c>
      <c r="D13485" s="8">
        <v>55</v>
      </c>
      <c r="E13485" s="8">
        <v>0</v>
      </c>
      <c r="F13485" s="8">
        <v>7434</v>
      </c>
    </row>
    <row r="13486" spans="1:6" ht="12.75">
      <c r="A13486" s="8">
        <v>43898.754282407404</v>
      </c>
      <c r="B13486" s="8" t="str">
        <f>HYPERLINK("https://twitter.com/en_setiawan","@en_setiawan")</f>
        <v>@en_setiawan</v>
      </c>
      <c r="C13486" s="8" t="s">
        <v>3511</v>
      </c>
      <c r="D13486" s="8">
        <v>71</v>
      </c>
      <c r="E13486" s="8">
        <v>0</v>
      </c>
      <c r="F13486" s="8">
        <v>972</v>
      </c>
    </row>
    <row r="13487" spans="1:6" ht="12.75">
      <c r="A13487" s="8">
        <v>43898.754270833335</v>
      </c>
      <c r="B13487" s="8" t="str">
        <f>HYPERLINK("https://twitter.com/ajkrjha","@ajkrjha")</f>
        <v>@ajkrjha</v>
      </c>
      <c r="C13487" s="8" t="s">
        <v>1917</v>
      </c>
      <c r="D13487" s="8">
        <v>55</v>
      </c>
      <c r="E13487" s="8">
        <v>0</v>
      </c>
      <c r="F13487" s="8">
        <v>367</v>
      </c>
    </row>
    <row r="13488" spans="1:6" ht="12.75">
      <c r="A13488" s="8">
        <v>43898.754270833335</v>
      </c>
      <c r="B13488" s="8" t="str">
        <f>HYPERLINK("https://twitter.com/sshivamsngh","@sshivamsngh")</f>
        <v>@sshivamsngh</v>
      </c>
      <c r="C13488" s="8" t="s">
        <v>1917</v>
      </c>
      <c r="D13488" s="8">
        <v>55</v>
      </c>
      <c r="E13488" s="8">
        <v>0</v>
      </c>
      <c r="F13488" s="8">
        <v>125</v>
      </c>
    </row>
    <row r="13489" spans="1:6" ht="12.75">
      <c r="A13489" s="8">
        <v>43898.754270833335</v>
      </c>
      <c r="B13489" s="8" t="str">
        <f>HYPERLINK("https://twitter.com/MK7786","@MK7786")</f>
        <v>@MK7786</v>
      </c>
      <c r="C13489" s="8" t="s">
        <v>1917</v>
      </c>
      <c r="D13489" s="8">
        <v>55</v>
      </c>
      <c r="E13489" s="8">
        <v>0</v>
      </c>
      <c r="F13489" s="8">
        <v>5087</v>
      </c>
    </row>
    <row r="13490" spans="1:6" ht="12.75">
      <c r="A13490" s="8">
        <v>43898.754236111112</v>
      </c>
      <c r="B13490" s="8" t="str">
        <f>HYPERLINK("https://twitter.com/Nitin01252081","@Nitin01252081")</f>
        <v>@Nitin01252081</v>
      </c>
      <c r="C13490" s="8" t="s">
        <v>1917</v>
      </c>
      <c r="D13490" s="8">
        <v>55</v>
      </c>
      <c r="E13490" s="8">
        <v>0</v>
      </c>
      <c r="F13490" s="8">
        <v>85</v>
      </c>
    </row>
    <row r="13491" spans="1:6" ht="12.75">
      <c r="A13491" s="8">
        <v>43898.754212962958</v>
      </c>
      <c r="B13491" s="8" t="str">
        <f>HYPERLINK("https://twitter.com/shwetankbhushan","@shwetankbhushan")</f>
        <v>@shwetankbhushan</v>
      </c>
      <c r="C13491" s="8" t="s">
        <v>1917</v>
      </c>
      <c r="D13491" s="8">
        <v>55</v>
      </c>
      <c r="E13491" s="8">
        <v>0</v>
      </c>
      <c r="F13491" s="8">
        <v>4454</v>
      </c>
    </row>
    <row r="13492" spans="1:6" ht="12.75">
      <c r="A13492" s="8">
        <v>43898.753981481481</v>
      </c>
      <c r="B13492" s="8" t="str">
        <f>HYPERLINK("https://twitter.com/zikitats","@zikitats")</f>
        <v>@zikitats</v>
      </c>
      <c r="C13492" s="8" t="s">
        <v>3511</v>
      </c>
      <c r="D13492" s="8">
        <v>71</v>
      </c>
      <c r="E13492" s="8">
        <v>0</v>
      </c>
      <c r="F13492" s="8">
        <v>751</v>
      </c>
    </row>
    <row r="13493" spans="1:6" ht="12.75">
      <c r="A13493" s="8">
        <v>43898.753738425927</v>
      </c>
      <c r="B13493" s="8" t="str">
        <f>HYPERLINK("https://twitter.com/evarahmaw__","@evarahmaw__")</f>
        <v>@evarahmaw__</v>
      </c>
      <c r="C13493" s="8" t="s">
        <v>5353</v>
      </c>
      <c r="D13493" s="8">
        <v>0</v>
      </c>
      <c r="E13493" s="8">
        <v>0</v>
      </c>
      <c r="F13493" s="8">
        <v>6271</v>
      </c>
    </row>
    <row r="13494" spans="1:6" ht="12.75">
      <c r="A13494" s="8">
        <v>43898.75371527778</v>
      </c>
      <c r="B13494" s="8" t="str">
        <f>HYPERLINK("https://twitter.com/coolfunnytshirt","@coolfunnytshirt")</f>
        <v>@coolfunnytshirt</v>
      </c>
      <c r="C13494" s="8" t="s">
        <v>5388</v>
      </c>
      <c r="D13494" s="8">
        <v>55</v>
      </c>
      <c r="E13494" s="8">
        <v>97</v>
      </c>
      <c r="F13494" s="8">
        <v>216585</v>
      </c>
    </row>
    <row r="13495" spans="1:6" ht="12.75">
      <c r="A13495" s="8">
        <v>43898.753020833334</v>
      </c>
      <c r="B13495" s="8" t="str">
        <f>HYPERLINK("https://twitter.com/HIVAIDSinfo","@HIVAIDSinfo")</f>
        <v>@HIVAIDSinfo</v>
      </c>
      <c r="C13495" s="8" t="s">
        <v>3511</v>
      </c>
      <c r="D13495" s="8">
        <v>71</v>
      </c>
      <c r="E13495" s="8">
        <v>0</v>
      </c>
      <c r="F13495" s="8">
        <v>329</v>
      </c>
    </row>
    <row r="13496" spans="1:6" ht="12.75">
      <c r="A13496" s="8">
        <v>43898.752858796295</v>
      </c>
      <c r="B13496" s="8" t="str">
        <f>HYPERLINK("https://twitter.com/harsohananto","@harsohananto")</f>
        <v>@harsohananto</v>
      </c>
      <c r="C13496" s="8" t="s">
        <v>3265</v>
      </c>
      <c r="D13496" s="8">
        <v>385</v>
      </c>
      <c r="E13496" s="8">
        <v>0</v>
      </c>
      <c r="F13496" s="8">
        <v>641</v>
      </c>
    </row>
    <row r="13497" spans="1:6" ht="12.75">
      <c r="A13497" s="8">
        <v>43898.752800925926</v>
      </c>
      <c r="B13497" s="8" t="str">
        <f>HYPERLINK("https://twitter.com/Indonesiaplusid","@Indonesiaplusid")</f>
        <v>@Indonesiaplusid</v>
      </c>
      <c r="C13497" s="8" t="s">
        <v>5389</v>
      </c>
      <c r="D13497" s="8">
        <v>0</v>
      </c>
      <c r="E13497" s="8">
        <v>0</v>
      </c>
      <c r="F13497" s="8">
        <v>107</v>
      </c>
    </row>
    <row r="13498" spans="1:6" ht="12.75">
      <c r="A13498" s="8">
        <v>43898.752685185187</v>
      </c>
      <c r="B13498" s="8" t="str">
        <f>HYPERLINK("https://twitter.com/abiyyu991223","@abiyyu991223")</f>
        <v>@abiyyu991223</v>
      </c>
      <c r="C13498" s="8" t="s">
        <v>5390</v>
      </c>
      <c r="D13498" s="8">
        <v>1</v>
      </c>
      <c r="E13498" s="8">
        <v>0</v>
      </c>
      <c r="F13498" s="8">
        <v>4486</v>
      </c>
    </row>
    <row r="13499" spans="1:6" ht="12.75">
      <c r="A13499" s="8">
        <v>43898.752511574072</v>
      </c>
      <c r="B13499" s="8" t="str">
        <f>HYPERLINK("https://twitter.com/sniperalhambra1","@sniperalhambra1")</f>
        <v>@sniperalhambra1</v>
      </c>
      <c r="C13499" s="8" t="s">
        <v>5391</v>
      </c>
      <c r="D13499" s="8">
        <v>1</v>
      </c>
      <c r="E13499" s="8">
        <v>0</v>
      </c>
      <c r="F13499" s="8">
        <v>432</v>
      </c>
    </row>
    <row r="13500" spans="1:6" ht="12.75">
      <c r="A13500" s="8">
        <v>43898.752465277779</v>
      </c>
      <c r="B13500" s="8" t="str">
        <f>HYPERLINK("https://twitter.com/FerdinandHaean2","@FerdinandHaean2")</f>
        <v>@FerdinandHaean2</v>
      </c>
      <c r="C13500" s="8" t="s">
        <v>5376</v>
      </c>
      <c r="D13500" s="8">
        <v>7</v>
      </c>
      <c r="E13500" s="8">
        <v>0</v>
      </c>
      <c r="F13500" s="8">
        <v>47819</v>
      </c>
    </row>
    <row r="13501" spans="1:6" ht="12.75">
      <c r="A13501" s="8">
        <v>43898.75199074074</v>
      </c>
      <c r="B13501" s="8" t="str">
        <f>HYPERLINK("https://twitter.com/cimarrrr","@cimarrrr")</f>
        <v>@cimarrrr</v>
      </c>
      <c r="C13501" s="8" t="s">
        <v>3511</v>
      </c>
      <c r="D13501" s="8">
        <v>71</v>
      </c>
      <c r="E13501" s="8">
        <v>0</v>
      </c>
      <c r="F13501" s="8">
        <v>349</v>
      </c>
    </row>
    <row r="13502" spans="1:6" ht="12.75">
      <c r="A13502" s="8">
        <v>43898.751932870371</v>
      </c>
      <c r="B13502" s="8" t="str">
        <f>HYPERLINK("https://twitter.com/deoasif","@deoasif")</f>
        <v>@deoasif</v>
      </c>
      <c r="C13502" s="8" t="s">
        <v>5392</v>
      </c>
      <c r="D13502" s="8">
        <v>0</v>
      </c>
      <c r="E13502" s="8">
        <v>0</v>
      </c>
      <c r="F13502" s="8">
        <v>89</v>
      </c>
    </row>
    <row r="13503" spans="1:6" ht="12.75">
      <c r="A13503" s="8">
        <v>43898.751689814817</v>
      </c>
      <c r="B13503" s="8" t="str">
        <f>HYPERLINK("https://twitter.com/SAAridha","@SAAridha")</f>
        <v>@SAAridha</v>
      </c>
      <c r="C13503" s="8" t="s">
        <v>3511</v>
      </c>
      <c r="D13503" s="8">
        <v>71</v>
      </c>
      <c r="E13503" s="8">
        <v>0</v>
      </c>
      <c r="F13503" s="8">
        <v>1009</v>
      </c>
    </row>
    <row r="13504" spans="1:6" ht="12.75">
      <c r="A13504" s="8">
        <v>43898.751597222217</v>
      </c>
      <c r="B13504" s="8" t="str">
        <f>HYPERLINK("https://twitter.com/abinyadzaky","@abinyadzaky")</f>
        <v>@abinyadzaky</v>
      </c>
      <c r="C13504" s="8" t="s">
        <v>4927</v>
      </c>
      <c r="D13504" s="8">
        <v>7</v>
      </c>
      <c r="E13504" s="8">
        <v>0</v>
      </c>
      <c r="F13504" s="8">
        <v>100</v>
      </c>
    </row>
    <row r="13505" spans="1:6" ht="12.75">
      <c r="A13505" s="8">
        <v>43898.751412037032</v>
      </c>
      <c r="B13505" s="8" t="str">
        <f>HYPERLINK("https://twitter.com/pikiran_rakyat","@pikiran_rakyat")</f>
        <v>@pikiran_rakyat</v>
      </c>
      <c r="C13505" s="8" t="s">
        <v>5393</v>
      </c>
      <c r="D13505" s="8">
        <v>0</v>
      </c>
      <c r="E13505" s="8">
        <v>0</v>
      </c>
      <c r="F13505" s="8">
        <v>413336</v>
      </c>
    </row>
    <row r="13506" spans="1:6" ht="12.75">
      <c r="A13506" s="8">
        <v>43898.751388888893</v>
      </c>
      <c r="B13506" s="8" t="str">
        <f>HYPERLINK("https://twitter.com/Nadila_ID","@Nadila_ID")</f>
        <v>@Nadila_ID</v>
      </c>
      <c r="C13506" s="8" t="s">
        <v>5394</v>
      </c>
      <c r="D13506" s="8">
        <v>0</v>
      </c>
      <c r="E13506" s="8">
        <v>0</v>
      </c>
      <c r="F13506" s="8">
        <v>7167</v>
      </c>
    </row>
    <row r="13507" spans="1:6" ht="12.75">
      <c r="A13507" s="8">
        <v>43898.751284722224</v>
      </c>
      <c r="B13507" s="8" t="str">
        <f>HYPERLINK("https://twitter.com/M_s_faisal","@M_s_faisal")</f>
        <v>@M_s_faisal</v>
      </c>
      <c r="C13507" s="8" t="s">
        <v>5395</v>
      </c>
      <c r="D13507" s="8">
        <v>0</v>
      </c>
      <c r="E13507" s="8">
        <v>0</v>
      </c>
      <c r="F13507" s="8">
        <v>34</v>
      </c>
    </row>
    <row r="13508" spans="1:6" ht="12.75">
      <c r="A13508" s="8">
        <v>43898.751030092593</v>
      </c>
      <c r="B13508" s="8" t="str">
        <f>HYPERLINK("https://twitter.com/NurlelySiregar","@NurlelySiregar")</f>
        <v>@NurlelySiregar</v>
      </c>
      <c r="C13508" s="8" t="s">
        <v>5396</v>
      </c>
      <c r="D13508" s="8">
        <v>0</v>
      </c>
      <c r="E13508" s="8">
        <v>0</v>
      </c>
      <c r="F13508" s="8">
        <v>8431</v>
      </c>
    </row>
    <row r="13509" spans="1:6" ht="12.75">
      <c r="A13509" s="8">
        <v>43898.750300925924</v>
      </c>
      <c r="B13509" s="8" t="str">
        <f>HYPERLINK("https://twitter.com/dhesmond4","@dhesmond4")</f>
        <v>@dhesmond4</v>
      </c>
      <c r="C13509" s="8" t="s">
        <v>4927</v>
      </c>
      <c r="D13509" s="8">
        <v>7</v>
      </c>
      <c r="E13509" s="8">
        <v>0</v>
      </c>
      <c r="F13509" s="8">
        <v>1001</v>
      </c>
    </row>
    <row r="13510" spans="1:6" ht="12.75">
      <c r="A13510" s="8">
        <v>43898.750173611115</v>
      </c>
      <c r="B13510" s="8" t="str">
        <f>HYPERLINK("https://twitter.com/cakeymakeup","@cakeymakeup")</f>
        <v>@cakeymakeup</v>
      </c>
      <c r="C13510" s="8" t="s">
        <v>3511</v>
      </c>
      <c r="D13510" s="8">
        <v>71</v>
      </c>
      <c r="E13510" s="8">
        <v>0</v>
      </c>
      <c r="F13510" s="8">
        <v>2369</v>
      </c>
    </row>
    <row r="13511" spans="1:6" ht="12.75">
      <c r="A13511" s="8">
        <v>43898.750046296293</v>
      </c>
      <c r="B13511" s="8" t="str">
        <f>HYPERLINK("https://twitter.com/Dra_satria","@Dra_satria")</f>
        <v>@Dra_satria</v>
      </c>
      <c r="C13511" s="8" t="s">
        <v>3511</v>
      </c>
      <c r="D13511" s="8">
        <v>71</v>
      </c>
      <c r="E13511" s="8">
        <v>0</v>
      </c>
      <c r="F13511" s="8">
        <v>1497</v>
      </c>
    </row>
    <row r="13512" spans="1:6" ht="12.75">
      <c r="A13512" s="8">
        <v>43898.749861111108</v>
      </c>
      <c r="B13512" s="8" t="str">
        <f>HYPERLINK("https://twitter.com/liranti","@liranti")</f>
        <v>@liranti</v>
      </c>
      <c r="C13512" s="8" t="s">
        <v>3511</v>
      </c>
      <c r="D13512" s="8">
        <v>71</v>
      </c>
      <c r="E13512" s="8">
        <v>0</v>
      </c>
      <c r="F13512" s="8">
        <v>531</v>
      </c>
    </row>
    <row r="13513" spans="1:6" ht="12.75">
      <c r="A13513" s="8">
        <v>43898.749837962961</v>
      </c>
      <c r="B13513" s="8" t="str">
        <f>HYPERLINK("https://twitter.com/aliandotcomm","@aliandotcomm")</f>
        <v>@aliandotcomm</v>
      </c>
      <c r="C13513" s="8" t="s">
        <v>4927</v>
      </c>
      <c r="D13513" s="8">
        <v>7</v>
      </c>
      <c r="E13513" s="8">
        <v>0</v>
      </c>
      <c r="F13513" s="8">
        <v>486</v>
      </c>
    </row>
    <row r="13514" spans="1:6" ht="12.75">
      <c r="A13514" s="8">
        <v>43898.749571759261</v>
      </c>
      <c r="B13514" s="8" t="str">
        <f>HYPERLINK("https://twitter.com/Laxyyta","@Laxyyta")</f>
        <v>@Laxyyta</v>
      </c>
      <c r="C13514" s="8" t="s">
        <v>5376</v>
      </c>
      <c r="D13514" s="8">
        <v>7</v>
      </c>
      <c r="E13514" s="8">
        <v>0</v>
      </c>
      <c r="F13514" s="8">
        <v>141</v>
      </c>
    </row>
    <row r="13515" spans="1:6" ht="12.75">
      <c r="A13515" s="8">
        <v>43898.749548611115</v>
      </c>
      <c r="B13515" s="8" t="str">
        <f>HYPERLINK("https://twitter.com/ryolandafit","@ryolandafit")</f>
        <v>@ryolandafit</v>
      </c>
      <c r="C13515" s="8" t="s">
        <v>5397</v>
      </c>
      <c r="D13515" s="8">
        <v>2</v>
      </c>
      <c r="E13515" s="8">
        <v>0</v>
      </c>
      <c r="F13515" s="8">
        <v>658</v>
      </c>
    </row>
    <row r="13516" spans="1:6" ht="12.75">
      <c r="A13516" s="8">
        <v>43898.749386574069</v>
      </c>
      <c r="B13516" s="8" t="str">
        <f>HYPERLINK("https://twitter.com/abah_hampru","@abah_hampru")</f>
        <v>@abah_hampru</v>
      </c>
      <c r="C13516" s="8" t="s">
        <v>3265</v>
      </c>
      <c r="D13516" s="8">
        <v>385</v>
      </c>
      <c r="E13516" s="8">
        <v>0</v>
      </c>
      <c r="F13516" s="8">
        <v>210</v>
      </c>
    </row>
    <row r="13517" spans="1:6" ht="12.75">
      <c r="A13517" s="8">
        <v>43898.749236111107</v>
      </c>
      <c r="B13517" s="8" t="str">
        <f>HYPERLINK("https://twitter.com/cicvara_00","@cicvara_00")</f>
        <v>@cicvara_00</v>
      </c>
      <c r="C13517" s="8" t="s">
        <v>5398</v>
      </c>
      <c r="D13517" s="8">
        <v>0</v>
      </c>
      <c r="E13517" s="8">
        <v>0</v>
      </c>
      <c r="F13517" s="8">
        <v>250</v>
      </c>
    </row>
    <row r="13518" spans="1:6" ht="12.75">
      <c r="A13518" s="8">
        <v>43898.748958333337</v>
      </c>
      <c r="B13518" s="8" t="str">
        <f>HYPERLINK("https://twitter.com/su7loo","@su7loo")</f>
        <v>@su7loo</v>
      </c>
      <c r="C13518" s="8" t="s">
        <v>5399</v>
      </c>
      <c r="D13518" s="8">
        <v>3</v>
      </c>
      <c r="E13518" s="8">
        <v>0</v>
      </c>
      <c r="F13518" s="8">
        <v>1215</v>
      </c>
    </row>
    <row r="13519" spans="1:6" ht="12.75">
      <c r="A13519" s="8">
        <v>43898.748854166668</v>
      </c>
      <c r="B13519" s="8" t="str">
        <f>HYPERLINK("https://twitter.com/Raditakia","@Raditakia")</f>
        <v>@Raditakia</v>
      </c>
      <c r="C13519" s="8" t="s">
        <v>2777</v>
      </c>
      <c r="D13519" s="8">
        <v>77</v>
      </c>
      <c r="E13519" s="8">
        <v>0</v>
      </c>
      <c r="F13519" s="8">
        <v>634</v>
      </c>
    </row>
    <row r="13520" spans="1:6" ht="12.75">
      <c r="A13520" s="8">
        <v>43898.748842592591</v>
      </c>
      <c r="B13520" s="8" t="str">
        <f>HYPERLINK("https://twitter.com/TercoRec","@TercoRec")</f>
        <v>@TercoRec</v>
      </c>
      <c r="C13520" s="8" t="s">
        <v>5400</v>
      </c>
      <c r="D13520" s="8">
        <v>0</v>
      </c>
      <c r="E13520" s="8">
        <v>0</v>
      </c>
      <c r="F13520" s="8">
        <v>835</v>
      </c>
    </row>
    <row r="13521" spans="1:6" ht="12.75">
      <c r="A13521" s="8">
        <v>43898.748194444444</v>
      </c>
      <c r="B13521" s="8" t="str">
        <f>HYPERLINK("https://twitter.com/jnxwpl","@jnxwpl")</f>
        <v>@jnxwpl</v>
      </c>
      <c r="C13521" s="8" t="s">
        <v>5401</v>
      </c>
      <c r="D13521" s="8">
        <v>0</v>
      </c>
      <c r="E13521" s="8">
        <v>0</v>
      </c>
      <c r="F13521" s="8">
        <v>751</v>
      </c>
    </row>
    <row r="13522" spans="1:6" ht="12.75">
      <c r="A13522" s="8">
        <v>43898.747557870374</v>
      </c>
      <c r="B13522" s="8" t="str">
        <f>HYPERLINK("https://twitter.com/redjoochan","@redjoochan")</f>
        <v>@redjoochan</v>
      </c>
      <c r="C13522" s="8" t="s">
        <v>3511</v>
      </c>
      <c r="D13522" s="8">
        <v>71</v>
      </c>
      <c r="E13522" s="8">
        <v>0</v>
      </c>
      <c r="F13522" s="8">
        <v>31</v>
      </c>
    </row>
    <row r="13523" spans="1:6" ht="12.75">
      <c r="A13523" s="8">
        <v>43898.747372685189</v>
      </c>
      <c r="B13523" s="8" t="str">
        <f>HYPERLINK("https://twitter.com/berlianidris","@berlianidris")</f>
        <v>@berlianidris</v>
      </c>
      <c r="C13523" s="8" t="s">
        <v>4927</v>
      </c>
      <c r="D13523" s="8">
        <v>7</v>
      </c>
      <c r="E13523" s="8">
        <v>0</v>
      </c>
      <c r="F13523" s="8">
        <v>11560</v>
      </c>
    </row>
    <row r="13524" spans="1:6" ht="12.75">
      <c r="A13524" s="8">
        <v>43898.74726851852</v>
      </c>
      <c r="B13524" s="8" t="str">
        <f>HYPERLINK("https://twitter.com/Raditakia","@Raditakia")</f>
        <v>@Raditakia</v>
      </c>
      <c r="C13524" s="8" t="s">
        <v>3511</v>
      </c>
      <c r="D13524" s="8">
        <v>71</v>
      </c>
      <c r="E13524" s="8">
        <v>0</v>
      </c>
      <c r="F13524" s="8">
        <v>634</v>
      </c>
    </row>
    <row r="13525" spans="1:6" ht="12.75">
      <c r="A13525" s="8">
        <v>43898.747094907405</v>
      </c>
      <c r="B13525" s="8" t="str">
        <f>HYPERLINK("https://twitter.com/camelia_oh","@camelia_oh")</f>
        <v>@camelia_oh</v>
      </c>
      <c r="C13525" s="8" t="s">
        <v>5402</v>
      </c>
      <c r="D13525" s="8">
        <v>0</v>
      </c>
      <c r="E13525" s="8">
        <v>0</v>
      </c>
      <c r="F13525" s="8">
        <v>956</v>
      </c>
    </row>
    <row r="13526" spans="1:6" ht="12.75">
      <c r="A13526" s="8">
        <v>43898.746979166666</v>
      </c>
      <c r="B13526" s="8" t="str">
        <f>HYPERLINK("https://twitter.com/ashariyudhit","@ashariyudhit")</f>
        <v>@ashariyudhit</v>
      </c>
      <c r="C13526" s="8" t="s">
        <v>3511</v>
      </c>
      <c r="D13526" s="8">
        <v>71</v>
      </c>
      <c r="E13526" s="8">
        <v>0</v>
      </c>
      <c r="F13526" s="8">
        <v>333</v>
      </c>
    </row>
    <row r="13527" spans="1:6" ht="12.75">
      <c r="A13527" s="8">
        <v>43898.746886574074</v>
      </c>
      <c r="B13527" s="8" t="str">
        <f>HYPERLINK("https://twitter.com/om_antje","@om_antje")</f>
        <v>@om_antje</v>
      </c>
      <c r="C13527" s="8" t="s">
        <v>5403</v>
      </c>
      <c r="D13527" s="8">
        <v>0</v>
      </c>
      <c r="E13527" s="8">
        <v>0</v>
      </c>
      <c r="F13527" s="8">
        <v>17</v>
      </c>
    </row>
    <row r="13528" spans="1:6" ht="12.75">
      <c r="A13528" s="8">
        <v>43898.746874999997</v>
      </c>
      <c r="B13528" s="8" t="str">
        <f>HYPERLINK("https://twitter.com/EGhifarry","@EGhifarry")</f>
        <v>@EGhifarry</v>
      </c>
      <c r="C13528" s="8" t="s">
        <v>3511</v>
      </c>
      <c r="D13528" s="8">
        <v>71</v>
      </c>
      <c r="E13528" s="8">
        <v>0</v>
      </c>
      <c r="F13528" s="8">
        <v>110</v>
      </c>
    </row>
    <row r="13529" spans="1:6" ht="12.75">
      <c r="A13529" s="8">
        <v>43898.746689814812</v>
      </c>
      <c r="B13529" s="8" t="str">
        <f>HYPERLINK("https://twitter.com/a_tuy_1026","@a_tuy_1026")</f>
        <v>@a_tuy_1026</v>
      </c>
      <c r="C13529" s="8" t="s">
        <v>3511</v>
      </c>
      <c r="D13529" s="8">
        <v>71</v>
      </c>
      <c r="E13529" s="8">
        <v>0</v>
      </c>
      <c r="F13529" s="8">
        <v>591</v>
      </c>
    </row>
    <row r="13530" spans="1:6" ht="12.75">
      <c r="A13530" s="8">
        <v>43898.746481481481</v>
      </c>
      <c r="B13530" s="8" t="str">
        <f>HYPERLINK("https://twitter.com/alfajriega","@alfajriega")</f>
        <v>@alfajriega</v>
      </c>
      <c r="C13530" s="8" t="s">
        <v>3511</v>
      </c>
      <c r="D13530" s="8">
        <v>71</v>
      </c>
      <c r="E13530" s="8">
        <v>0</v>
      </c>
      <c r="F13530" s="8">
        <v>516</v>
      </c>
    </row>
    <row r="13531" spans="1:6" ht="12.75">
      <c r="A13531" s="8">
        <v>43898.746400462958</v>
      </c>
      <c r="B13531" s="8" t="str">
        <f>HYPERLINK("https://twitter.com/MMJPRTM","@MMJPRTM")</f>
        <v>@MMJPRTM</v>
      </c>
      <c r="C13531" s="8" t="s">
        <v>3511</v>
      </c>
      <c r="D13531" s="8">
        <v>71</v>
      </c>
      <c r="E13531" s="8">
        <v>0</v>
      </c>
      <c r="F13531" s="8">
        <v>132</v>
      </c>
    </row>
    <row r="13532" spans="1:6" ht="12.75">
      <c r="A13532" s="8">
        <v>43898.746400462958</v>
      </c>
      <c r="B13532" s="8" t="str">
        <f>HYPERLINK("https://twitter.com/skyincolour","@skyincolour")</f>
        <v>@skyincolour</v>
      </c>
      <c r="C13532" s="8" t="s">
        <v>5397</v>
      </c>
      <c r="D13532" s="8">
        <v>2</v>
      </c>
      <c r="E13532" s="8">
        <v>0</v>
      </c>
      <c r="F13532" s="8">
        <v>146</v>
      </c>
    </row>
    <row r="13533" spans="1:6" ht="12.75">
      <c r="A13533" s="8">
        <v>43898.71502314815</v>
      </c>
      <c r="B13533" s="8" t="str">
        <f>HYPERLINK("https://twitter.com/Blegodesign","@Blegodesign")</f>
        <v>@Blegodesign</v>
      </c>
      <c r="C13533" s="8" t="s">
        <v>5404</v>
      </c>
      <c r="D13533" s="8">
        <v>0</v>
      </c>
      <c r="E13533" s="8">
        <v>0</v>
      </c>
      <c r="F13533" s="8">
        <v>493</v>
      </c>
    </row>
    <row r="13534" spans="1:6" ht="12.75">
      <c r="A13534" s="8">
        <v>43898.714872685188</v>
      </c>
      <c r="B13534" s="8" t="str">
        <f>HYPERLINK("https://twitter.com/MrsRachelIn","@MrsRachelIn")</f>
        <v>@MrsRachelIn</v>
      </c>
      <c r="C13534" s="8" t="s">
        <v>5405</v>
      </c>
      <c r="D13534" s="8">
        <v>0</v>
      </c>
      <c r="E13534" s="8">
        <v>0</v>
      </c>
      <c r="F13534" s="8">
        <v>3500</v>
      </c>
    </row>
    <row r="13535" spans="1:6" ht="12.75">
      <c r="A13535" s="8">
        <v>43898.714629629627</v>
      </c>
      <c r="B13535" s="8" t="str">
        <f>HYPERLINK("https://twitter.com/GANDO89460942","@GANDO89460942")</f>
        <v>@GANDO89460942</v>
      </c>
      <c r="C13535" s="8" t="s">
        <v>3265</v>
      </c>
      <c r="D13535" s="8">
        <v>364</v>
      </c>
      <c r="E13535" s="8">
        <v>0</v>
      </c>
      <c r="F13535" s="8">
        <v>2</v>
      </c>
    </row>
    <row r="13536" spans="1:6" ht="12.75">
      <c r="A13536" s="8">
        <v>43898.714594907404</v>
      </c>
      <c r="B13536" s="8" t="str">
        <f>HYPERLINK("https://twitter.com/Muslim_AntiPKI","@Muslim_AntiPKI")</f>
        <v>@Muslim_AntiPKI</v>
      </c>
      <c r="C13536" s="8" t="s">
        <v>5406</v>
      </c>
      <c r="D13536" s="8">
        <v>0</v>
      </c>
      <c r="E13536" s="8">
        <v>0</v>
      </c>
      <c r="F13536" s="8">
        <v>198</v>
      </c>
    </row>
    <row r="13537" spans="1:6" ht="12.75">
      <c r="A13537" s="8">
        <v>43898.713564814811</v>
      </c>
      <c r="B13537" s="8" t="str">
        <f>HYPERLINK("https://twitter.com/Bagindo_Rajo_","@Bagindo_Rajo_")</f>
        <v>@Bagindo_Rajo_</v>
      </c>
      <c r="C13537" s="8" t="s">
        <v>3265</v>
      </c>
      <c r="D13537" s="8">
        <v>364</v>
      </c>
      <c r="E13537" s="8">
        <v>0</v>
      </c>
      <c r="F13537" s="8">
        <v>5</v>
      </c>
    </row>
    <row r="13538" spans="1:6" ht="12.75">
      <c r="A13538" s="8">
        <v>43898.712974537033</v>
      </c>
      <c r="B13538" s="8" t="str">
        <f>HYPERLINK("https://twitter.com/kafiradikal","@kafiradikal")</f>
        <v>@kafiradikal</v>
      </c>
      <c r="C13538" s="8" t="s">
        <v>5407</v>
      </c>
      <c r="D13538" s="8">
        <v>1</v>
      </c>
      <c r="E13538" s="8">
        <v>1</v>
      </c>
      <c r="F13538" s="8">
        <v>19355</v>
      </c>
    </row>
    <row r="13539" spans="1:6" ht="12.75">
      <c r="A13539" s="8">
        <v>43898.712638888886</v>
      </c>
      <c r="B13539" s="8" t="str">
        <f>HYPERLINK("https://twitter.com/Klan_Garangan","@Klan_Garangan")</f>
        <v>@Klan_Garangan</v>
      </c>
      <c r="C13539" s="8" t="s">
        <v>5408</v>
      </c>
      <c r="D13539" s="8">
        <v>0</v>
      </c>
      <c r="E13539" s="8">
        <v>1</v>
      </c>
      <c r="F13539" s="8">
        <v>724</v>
      </c>
    </row>
    <row r="13540" spans="1:6" ht="12.75">
      <c r="A13540" s="8">
        <v>43898.71166666667</v>
      </c>
      <c r="B13540" s="8" t="str">
        <f>HYPERLINK("https://twitter.com/bffb300aff02425","@bffb300aff02425")</f>
        <v>@bffb300aff02425</v>
      </c>
      <c r="C13540" s="8" t="s">
        <v>4940</v>
      </c>
      <c r="D13540" s="8">
        <v>23</v>
      </c>
      <c r="E13540" s="8">
        <v>0</v>
      </c>
      <c r="F13540" s="8">
        <v>520</v>
      </c>
    </row>
    <row r="13541" spans="1:6" ht="12.75">
      <c r="A13541" s="8">
        <v>43898.711168981477</v>
      </c>
      <c r="B13541" s="8" t="str">
        <f>HYPERLINK("https://twitter.com/itsmeparkjihoon","@itsmeparkjihoon")</f>
        <v>@itsmeparkjihoon</v>
      </c>
      <c r="C13541" s="8" t="s">
        <v>5409</v>
      </c>
      <c r="D13541" s="8">
        <v>15</v>
      </c>
      <c r="E13541" s="8">
        <v>0</v>
      </c>
      <c r="F13541" s="8">
        <v>1487</v>
      </c>
    </row>
    <row r="13542" spans="1:6" ht="12.75">
      <c r="A13542" s="8">
        <v>43898.711006944446</v>
      </c>
      <c r="B13542" s="8" t="str">
        <f>HYPERLINK("https://twitter.com/rovsetta","@rovsetta")</f>
        <v>@rovsetta</v>
      </c>
      <c r="C13542" s="8" t="s">
        <v>5409</v>
      </c>
      <c r="D13542" s="8">
        <v>15</v>
      </c>
      <c r="E13542" s="8">
        <v>0</v>
      </c>
      <c r="F13542" s="8">
        <v>800</v>
      </c>
    </row>
    <row r="13543" spans="1:6" ht="12.75">
      <c r="A13543" s="8">
        <v>43898.710798611108</v>
      </c>
      <c r="B13543" s="8" t="str">
        <f>HYPERLINK("https://twitter.com/jokopro57","@jokopro57")</f>
        <v>@jokopro57</v>
      </c>
      <c r="C13543" s="8" t="s">
        <v>5410</v>
      </c>
      <c r="D13543" s="8">
        <v>0</v>
      </c>
      <c r="E13543" s="8">
        <v>0</v>
      </c>
      <c r="F13543" s="8">
        <v>20</v>
      </c>
    </row>
    <row r="13544" spans="1:6" ht="12.75">
      <c r="A13544" s="8">
        <v>43898.710798611108</v>
      </c>
      <c r="B13544" s="8" t="str">
        <f>HYPERLINK("https://twitter.com/diankusuma123","@diankusuma123")</f>
        <v>@diankusuma123</v>
      </c>
      <c r="C13544" s="8" t="s">
        <v>5410</v>
      </c>
      <c r="D13544" s="8">
        <v>0</v>
      </c>
      <c r="E13544" s="8">
        <v>0</v>
      </c>
      <c r="F13544" s="8">
        <v>98</v>
      </c>
    </row>
    <row r="13545" spans="1:6" ht="12.75">
      <c r="A13545" s="8">
        <v>43898.710613425923</v>
      </c>
      <c r="B13545" s="8" t="str">
        <f>HYPERLINK("https://twitter.com/bashandid","@bashandid")</f>
        <v>@bashandid</v>
      </c>
      <c r="C13545" s="8" t="s">
        <v>3265</v>
      </c>
      <c r="D13545" s="8">
        <v>364</v>
      </c>
      <c r="E13545" s="8">
        <v>0</v>
      </c>
      <c r="F13545" s="8">
        <v>92</v>
      </c>
    </row>
    <row r="13546" spans="1:6" ht="12.75">
      <c r="A13546" s="8">
        <v>43898.710416666669</v>
      </c>
      <c r="B13546" s="8" t="str">
        <f>HYPERLINK("https://twitter.com/subandi_amba","@subandi_amba")</f>
        <v>@subandi_amba</v>
      </c>
      <c r="C13546" s="8" t="s">
        <v>3265</v>
      </c>
      <c r="D13546" s="8">
        <v>364</v>
      </c>
      <c r="E13546" s="8">
        <v>0</v>
      </c>
      <c r="F13546" s="8">
        <v>226</v>
      </c>
    </row>
    <row r="13547" spans="1:6" ht="12.75">
      <c r="A13547" s="8">
        <v>43898.710266203707</v>
      </c>
      <c r="B13547" s="8" t="str">
        <f>HYPERLINK("https://twitter.com/adillaS3","@adillaS3")</f>
        <v>@adillaS3</v>
      </c>
      <c r="C13547" s="8" t="s">
        <v>5411</v>
      </c>
      <c r="D13547" s="8">
        <v>1</v>
      </c>
      <c r="E13547" s="8">
        <v>0</v>
      </c>
      <c r="F13547" s="8">
        <v>2572</v>
      </c>
    </row>
    <row r="13548" spans="1:6" ht="12.75">
      <c r="A13548" s="8">
        <v>43898.710092592592</v>
      </c>
      <c r="B13548" s="8" t="str">
        <f>HYPERLINK("https://twitter.com/xiuseoksoon__","@xiuseoksoon__")</f>
        <v>@xiuseoksoon__</v>
      </c>
      <c r="C13548" s="8" t="s">
        <v>5086</v>
      </c>
      <c r="D13548" s="8">
        <v>27</v>
      </c>
      <c r="E13548" s="8">
        <v>0</v>
      </c>
      <c r="F13548" s="8">
        <v>267</v>
      </c>
    </row>
    <row r="13549" spans="1:6" ht="12.75">
      <c r="A13549" s="8">
        <v>43898.71</v>
      </c>
      <c r="B13549" s="8" t="str">
        <f>HYPERLINK("https://twitter.com/KangDan65112920","@KangDan65112920")</f>
        <v>@KangDan65112920</v>
      </c>
      <c r="C13549" s="8" t="s">
        <v>5086</v>
      </c>
      <c r="D13549" s="8">
        <v>27</v>
      </c>
      <c r="E13549" s="8">
        <v>0</v>
      </c>
      <c r="F13549" s="8">
        <v>64</v>
      </c>
    </row>
    <row r="13550" spans="1:6" ht="12.75">
      <c r="A13550" s="8">
        <v>43898.709872685184</v>
      </c>
      <c r="B13550" s="8" t="str">
        <f>HYPERLINK("https://twitter.com/hoeneybunch","@hoeneybunch")</f>
        <v>@hoeneybunch</v>
      </c>
      <c r="C13550" s="8" t="s">
        <v>5409</v>
      </c>
      <c r="D13550" s="8">
        <v>15</v>
      </c>
      <c r="E13550" s="8">
        <v>0</v>
      </c>
      <c r="F13550" s="8">
        <v>2218</v>
      </c>
    </row>
    <row r="13551" spans="1:6" ht="12.75">
      <c r="A13551" s="8">
        <v>43898.709780092591</v>
      </c>
      <c r="B13551" s="8" t="str">
        <f>HYPERLINK("https://twitter.com/RMOLNetwork","@RMOLNetwork")</f>
        <v>@RMOLNetwork</v>
      </c>
      <c r="C13551" s="8" t="s">
        <v>5412</v>
      </c>
      <c r="D13551" s="8">
        <v>0</v>
      </c>
      <c r="E13551" s="8">
        <v>0</v>
      </c>
      <c r="F13551" s="8">
        <v>5466</v>
      </c>
    </row>
    <row r="13552" spans="1:6" ht="12.75">
      <c r="A13552" s="8">
        <v>43898.709722222222</v>
      </c>
      <c r="B13552" s="8" t="str">
        <f>HYPERLINK("https://twitter.com/venia_oh","@venia_oh")</f>
        <v>@venia_oh</v>
      </c>
      <c r="C13552" s="8" t="s">
        <v>5413</v>
      </c>
      <c r="D13552" s="8">
        <v>0</v>
      </c>
      <c r="E13552" s="8">
        <v>0</v>
      </c>
      <c r="F13552" s="8">
        <v>1190</v>
      </c>
    </row>
    <row r="13553" spans="1:6" ht="12.75">
      <c r="A13553" s="8">
        <v>43898.709270833337</v>
      </c>
      <c r="B13553" s="8" t="str">
        <f>HYPERLINK("https://twitter.com/echoPiR","@echoPiR")</f>
        <v>@echoPiR</v>
      </c>
      <c r="C13553" s="8" t="s">
        <v>5414</v>
      </c>
      <c r="D13553" s="8">
        <v>0</v>
      </c>
      <c r="E13553" s="8">
        <v>0</v>
      </c>
      <c r="F13553" s="8">
        <v>159</v>
      </c>
    </row>
    <row r="13554" spans="1:6" ht="12.75">
      <c r="A13554" s="8">
        <v>43898.709062499998</v>
      </c>
      <c r="B13554" s="8" t="str">
        <f>HYPERLINK("https://twitter.com/alin_raihani","@alin_raihani")</f>
        <v>@alin_raihani</v>
      </c>
      <c r="C13554" s="8" t="s">
        <v>5415</v>
      </c>
      <c r="D13554" s="8">
        <v>0</v>
      </c>
      <c r="E13554" s="8">
        <v>0</v>
      </c>
      <c r="F13554" s="8">
        <v>2</v>
      </c>
    </row>
    <row r="13555" spans="1:6" ht="12.75">
      <c r="A13555" s="8">
        <v>43898.70893518519</v>
      </c>
      <c r="B13555" s="8" t="str">
        <f>HYPERLINK("https://twitter.com/4rdn4n","@4rdn4n")</f>
        <v>@4rdn4n</v>
      </c>
      <c r="C13555" s="8" t="s">
        <v>3192</v>
      </c>
      <c r="D13555" s="8">
        <v>57</v>
      </c>
      <c r="E13555" s="8">
        <v>0</v>
      </c>
      <c r="F13555" s="8">
        <v>551</v>
      </c>
    </row>
    <row r="13556" spans="1:6" ht="12.75">
      <c r="A13556" s="8">
        <v>43898.708668981482</v>
      </c>
      <c r="B13556" s="8" t="str">
        <f>HYPERLINK("https://twitter.com/jawapos","@jawapos")</f>
        <v>@jawapos</v>
      </c>
      <c r="C13556" s="8" t="s">
        <v>5416</v>
      </c>
      <c r="D13556" s="8">
        <v>0</v>
      </c>
      <c r="E13556" s="8">
        <v>0</v>
      </c>
      <c r="F13556" s="8">
        <v>127752</v>
      </c>
    </row>
    <row r="13557" spans="1:6" ht="12.75">
      <c r="A13557" s="8">
        <v>43898.708634259259</v>
      </c>
      <c r="B13557" s="8" t="str">
        <f>HYPERLINK("https://twitter.com/tribunnews","@tribunnews")</f>
        <v>@tribunnews</v>
      </c>
      <c r="C13557" s="8" t="s">
        <v>5417</v>
      </c>
      <c r="D13557" s="8">
        <v>0</v>
      </c>
      <c r="E13557" s="8">
        <v>1</v>
      </c>
      <c r="F13557" s="8">
        <v>891678</v>
      </c>
    </row>
    <row r="13558" spans="1:6" ht="12.75">
      <c r="A13558" s="8">
        <v>43898.708368055552</v>
      </c>
      <c r="B13558" s="8" t="str">
        <f>HYPERLINK("https://twitter.com/KangDan65112920","@KangDan65112920")</f>
        <v>@KangDan65112920</v>
      </c>
      <c r="C13558" s="8" t="s">
        <v>5409</v>
      </c>
      <c r="D13558" s="8">
        <v>15</v>
      </c>
      <c r="E13558" s="8">
        <v>0</v>
      </c>
      <c r="F13558" s="8">
        <v>64</v>
      </c>
    </row>
    <row r="13559" spans="1:6" ht="12.75">
      <c r="A13559" s="8">
        <v>43898.708310185189</v>
      </c>
      <c r="B13559" s="8" t="str">
        <f>HYPERLINK("https://twitter.com/FAlfauzia","@FAlfauzia")</f>
        <v>@FAlfauzia</v>
      </c>
      <c r="C13559" s="8" t="s">
        <v>5086</v>
      </c>
      <c r="D13559" s="8">
        <v>27</v>
      </c>
      <c r="E13559" s="8">
        <v>0</v>
      </c>
      <c r="F13559" s="8">
        <v>168</v>
      </c>
    </row>
    <row r="13560" spans="1:6" ht="12.75">
      <c r="A13560" s="8">
        <v>43898.70820601852</v>
      </c>
      <c r="B13560" s="8" t="str">
        <f>HYPERLINK("https://twitter.com/aldinmgh","@aldinmgh")</f>
        <v>@aldinmgh</v>
      </c>
      <c r="C13560" s="8" t="s">
        <v>3265</v>
      </c>
      <c r="D13560" s="8">
        <v>364</v>
      </c>
      <c r="E13560" s="8">
        <v>0</v>
      </c>
      <c r="F13560" s="8">
        <v>891</v>
      </c>
    </row>
    <row r="13561" spans="1:6" ht="12.75">
      <c r="A13561" s="8">
        <v>43898.706770833334</v>
      </c>
      <c r="B13561" s="8" t="str">
        <f>HYPERLINK("https://twitter.com/MNCkoranSINDO","@MNCkoranSINDO")</f>
        <v>@MNCkoranSINDO</v>
      </c>
      <c r="C13561" s="8" t="s">
        <v>5418</v>
      </c>
      <c r="D13561" s="8">
        <v>0</v>
      </c>
      <c r="E13561" s="8">
        <v>0</v>
      </c>
      <c r="F13561" s="8">
        <v>61261</v>
      </c>
    </row>
    <row r="13562" spans="1:6" ht="12.75">
      <c r="A13562" s="8">
        <v>43898.705891203703</v>
      </c>
      <c r="B13562" s="8" t="str">
        <f>HYPERLINK("https://twitter.com/holy_mubaroq","@holy_mubaroq")</f>
        <v>@holy_mubaroq</v>
      </c>
      <c r="C13562" s="8" t="s">
        <v>3265</v>
      </c>
      <c r="D13562" s="8">
        <v>364</v>
      </c>
      <c r="E13562" s="8">
        <v>0</v>
      </c>
      <c r="F13562" s="8">
        <v>389</v>
      </c>
    </row>
    <row r="13563" spans="1:6" ht="12.75">
      <c r="A13563" s="8">
        <v>43898.705717592587</v>
      </c>
      <c r="B13563" s="8" t="str">
        <f>HYPERLINK("https://twitter.com/sammyfish13","@sammyfish13")</f>
        <v>@sammyfish13</v>
      </c>
      <c r="C13563" s="8" t="s">
        <v>5419</v>
      </c>
      <c r="D13563" s="8">
        <v>1</v>
      </c>
      <c r="E13563" s="8">
        <v>0</v>
      </c>
      <c r="F13563" s="8">
        <v>454</v>
      </c>
    </row>
    <row r="13564" spans="1:6" ht="12.75">
      <c r="A13564" s="8">
        <v>43898.705659722225</v>
      </c>
      <c r="B13564" s="8" t="str">
        <f>HYPERLINK("https://twitter.com/n4makuirfan","@n4makuirfan")</f>
        <v>@n4makuirfan</v>
      </c>
      <c r="C13564" s="8" t="s">
        <v>3265</v>
      </c>
      <c r="D13564" s="8">
        <v>364</v>
      </c>
      <c r="E13564" s="8">
        <v>0</v>
      </c>
      <c r="F13564" s="8">
        <v>70</v>
      </c>
    </row>
    <row r="13565" spans="1:6" ht="12.75">
      <c r="A13565" s="8">
        <v>43898.705243055556</v>
      </c>
      <c r="B13565" s="8" t="str">
        <f>HYPERLINK("https://twitter.com/kendisdolong1","@kendisdolong1")</f>
        <v>@kendisdolong1</v>
      </c>
      <c r="C13565" s="8" t="s">
        <v>5420</v>
      </c>
      <c r="D13565" s="8">
        <v>0</v>
      </c>
      <c r="E13565" s="8">
        <v>0</v>
      </c>
      <c r="F13565" s="8">
        <v>3224</v>
      </c>
    </row>
    <row r="13566" spans="1:6" ht="12.75">
      <c r="A13566" s="8">
        <v>43898.704837962963</v>
      </c>
      <c r="B13566" s="8" t="str">
        <f>HYPERLINK("https://twitter.com/MuhammadiyunGN","@MuhammadiyunGN")</f>
        <v>@MuhammadiyunGN</v>
      </c>
      <c r="C13566" s="8" t="s">
        <v>5421</v>
      </c>
      <c r="D13566" s="8">
        <v>0</v>
      </c>
      <c r="E13566" s="8">
        <v>0</v>
      </c>
      <c r="F13566" s="8">
        <v>89</v>
      </c>
    </row>
    <row r="13567" spans="1:6" ht="12.75">
      <c r="A13567" s="8">
        <v>43898.704270833332</v>
      </c>
      <c r="B13567" s="8" t="str">
        <f>HYPERLINK("https://twitter.com/LieYurika","@LieYurika")</f>
        <v>@LieYurika</v>
      </c>
      <c r="C13567" s="8" t="s">
        <v>5422</v>
      </c>
      <c r="D13567" s="8">
        <v>0</v>
      </c>
      <c r="E13567" s="8">
        <v>0</v>
      </c>
      <c r="F13567" s="8">
        <v>628</v>
      </c>
    </row>
    <row r="13568" spans="1:6" ht="12.75">
      <c r="A13568" s="8">
        <v>43898.704201388886</v>
      </c>
      <c r="B13568" s="8" t="str">
        <f>HYPERLINK("https://twitter.com/clarasiagian","@clarasiagian")</f>
        <v>@clarasiagian</v>
      </c>
      <c r="C13568" s="8" t="s">
        <v>5423</v>
      </c>
      <c r="D13568" s="8">
        <v>0</v>
      </c>
      <c r="E13568" s="8">
        <v>0</v>
      </c>
      <c r="F13568" s="8">
        <v>688</v>
      </c>
    </row>
    <row r="13569" spans="1:6" ht="12.75">
      <c r="A13569" s="8">
        <v>43898.703460648147</v>
      </c>
      <c r="B13569" s="8" t="str">
        <f>HYPERLINK("https://twitter.com/satidatuak2","@satidatuak2")</f>
        <v>@satidatuak2</v>
      </c>
      <c r="C13569" s="8" t="s">
        <v>5424</v>
      </c>
      <c r="D13569" s="8">
        <v>0</v>
      </c>
      <c r="E13569" s="8">
        <v>0</v>
      </c>
      <c r="F13569" s="8">
        <v>1340</v>
      </c>
    </row>
    <row r="13570" spans="1:6" ht="12.75">
      <c r="A13570" s="8">
        <v>43898.7033912037</v>
      </c>
      <c r="B13570" s="8" t="str">
        <f>HYPERLINK("https://twitter.com/RinjaniJB","@RinjaniJB")</f>
        <v>@RinjaniJB</v>
      </c>
      <c r="C13570" s="8" t="s">
        <v>5425</v>
      </c>
      <c r="D13570" s="8">
        <v>0</v>
      </c>
      <c r="E13570" s="8">
        <v>1</v>
      </c>
      <c r="F13570" s="8">
        <v>19263</v>
      </c>
    </row>
    <row r="13571" spans="1:6" ht="12.75">
      <c r="A13571" s="8">
        <v>43898.703067129631</v>
      </c>
      <c r="B13571" s="8" t="str">
        <f>HYPERLINK("https://twitter.com/iyaakubucin97","@iyaakubucin97")</f>
        <v>@iyaakubucin97</v>
      </c>
      <c r="C13571" s="8" t="s">
        <v>5086</v>
      </c>
      <c r="D13571" s="8">
        <v>27</v>
      </c>
      <c r="E13571" s="8">
        <v>0</v>
      </c>
      <c r="F13571" s="8">
        <v>376</v>
      </c>
    </row>
    <row r="13572" spans="1:6" ht="12.75">
      <c r="A13572" s="8">
        <v>43898.702060185184</v>
      </c>
      <c r="B13572" s="8" t="str">
        <f>HYPERLINK("https://twitter.com/tokiyorain","@tokiyorain")</f>
        <v>@tokiyorain</v>
      </c>
      <c r="C13572" s="8" t="s">
        <v>5409</v>
      </c>
      <c r="D13572" s="8">
        <v>15</v>
      </c>
      <c r="E13572" s="8">
        <v>0</v>
      </c>
      <c r="F13572" s="8">
        <v>138</v>
      </c>
    </row>
    <row r="13573" spans="1:6" ht="12.75">
      <c r="A13573" s="8">
        <v>43898.701828703706</v>
      </c>
      <c r="B13573" s="8" t="str">
        <f>HYPERLINK("https://twitter.com/KEZIAAM0UR","@KEZIAAM0UR")</f>
        <v>@KEZIAAM0UR</v>
      </c>
      <c r="C13573" s="8" t="s">
        <v>5426</v>
      </c>
      <c r="D13573" s="8">
        <v>0</v>
      </c>
      <c r="E13573" s="8">
        <v>0</v>
      </c>
      <c r="F13573" s="8">
        <v>99</v>
      </c>
    </row>
    <row r="13574" spans="1:6" ht="12.75">
      <c r="A13574" s="8">
        <v>43898.701782407406</v>
      </c>
      <c r="B13574" s="8" t="str">
        <f>HYPERLINK("https://twitter.com/Beritasatu","@Beritasatu")</f>
        <v>@Beritasatu</v>
      </c>
      <c r="C13574" s="8" t="s">
        <v>5427</v>
      </c>
      <c r="D13574" s="8">
        <v>1</v>
      </c>
      <c r="E13574" s="8">
        <v>1</v>
      </c>
      <c r="F13574" s="8">
        <v>618425</v>
      </c>
    </row>
    <row r="13575" spans="1:6" ht="12.75">
      <c r="A13575" s="8">
        <v>43898.701261574075</v>
      </c>
      <c r="B13575" s="8" t="str">
        <f>HYPERLINK("https://twitter.com/wni_jmsri","@wni_jmsri")</f>
        <v>@wni_jmsri</v>
      </c>
      <c r="C13575" s="8" t="s">
        <v>5428</v>
      </c>
      <c r="D13575" s="8">
        <v>1951</v>
      </c>
      <c r="E13575" s="8">
        <v>0</v>
      </c>
      <c r="F13575" s="8">
        <v>201</v>
      </c>
    </row>
    <row r="13576" spans="1:6" ht="12.75">
      <c r="A13576" s="8">
        <v>43898.701157407406</v>
      </c>
      <c r="B13576" s="8" t="str">
        <f>HYPERLINK("https://twitter.com/almafs","@almafs")</f>
        <v>@almafs</v>
      </c>
      <c r="C13576" s="8" t="s">
        <v>4548</v>
      </c>
      <c r="D13576" s="8">
        <v>3</v>
      </c>
      <c r="E13576" s="8">
        <v>0</v>
      </c>
      <c r="F13576" s="8">
        <v>1309</v>
      </c>
    </row>
    <row r="13577" spans="1:6" ht="12.75">
      <c r="A13577" s="8">
        <v>43898.700636574074</v>
      </c>
      <c r="B13577" s="8" t="str">
        <f>HYPERLINK("https://twitter.com/witowsb76","@witowsb76")</f>
        <v>@witowsb76</v>
      </c>
      <c r="C13577" s="8" t="s">
        <v>5429</v>
      </c>
      <c r="D13577" s="8">
        <v>1</v>
      </c>
      <c r="E13577" s="8">
        <v>0</v>
      </c>
      <c r="F13577" s="8">
        <v>40</v>
      </c>
    </row>
    <row r="13578" spans="1:6" ht="12.75">
      <c r="A13578" s="8">
        <v>43898.700277777782</v>
      </c>
      <c r="B13578" s="8" t="str">
        <f>HYPERLINK("https://twitter.com/user99716","@user99716")</f>
        <v>@user99716</v>
      </c>
      <c r="C13578" s="8" t="s">
        <v>5409</v>
      </c>
      <c r="D13578" s="8">
        <v>15</v>
      </c>
      <c r="E13578" s="8">
        <v>0</v>
      </c>
      <c r="F13578" s="8">
        <v>310</v>
      </c>
    </row>
    <row r="13579" spans="1:6" ht="12.75">
      <c r="A13579" s="8">
        <v>43898.7</v>
      </c>
      <c r="B13579" s="8" t="str">
        <f>HYPERLINK("https://twitter.com/AbdurachmanAl","@AbdurachmanAl")</f>
        <v>@AbdurachmanAl</v>
      </c>
      <c r="C13579" s="8" t="s">
        <v>5430</v>
      </c>
      <c r="D13579" s="8">
        <v>0</v>
      </c>
      <c r="E13579" s="8">
        <v>0</v>
      </c>
      <c r="F13579" s="8">
        <v>190</v>
      </c>
    </row>
    <row r="13580" spans="1:6" ht="12.75">
      <c r="A13580" s="8">
        <v>43898.699976851851</v>
      </c>
      <c r="B13580" s="8" t="str">
        <f>HYPERLINK("https://twitter.com/kiakio8","@kiakio8")</f>
        <v>@kiakio8</v>
      </c>
      <c r="C13580" s="8" t="s">
        <v>5431</v>
      </c>
      <c r="D13580" s="8">
        <v>0</v>
      </c>
      <c r="E13580" s="8">
        <v>0</v>
      </c>
      <c r="F13580" s="8">
        <v>75</v>
      </c>
    </row>
    <row r="13581" spans="1:6" ht="12.75">
      <c r="A13581" s="8">
        <v>43898.699907407412</v>
      </c>
      <c r="B13581" s="8" t="str">
        <f>HYPERLINK("https://twitter.com/new_miis0___","@new_miis0___")</f>
        <v>@new_miis0___</v>
      </c>
      <c r="C13581" s="8" t="s">
        <v>5086</v>
      </c>
      <c r="D13581" s="8">
        <v>27</v>
      </c>
      <c r="E13581" s="8">
        <v>0</v>
      </c>
      <c r="F13581" s="8">
        <v>350</v>
      </c>
    </row>
    <row r="13582" spans="1:6" ht="12.75">
      <c r="A13582" s="8">
        <v>43898.699861111112</v>
      </c>
      <c r="B13582" s="8" t="str">
        <f>HYPERLINK("https://twitter.com/MuhammadiyunGN","@MuhammadiyunGN")</f>
        <v>@MuhammadiyunGN</v>
      </c>
      <c r="C13582" s="8" t="s">
        <v>5432</v>
      </c>
      <c r="D13582" s="8">
        <v>0</v>
      </c>
      <c r="E13582" s="8">
        <v>0</v>
      </c>
      <c r="F13582" s="8">
        <v>89</v>
      </c>
    </row>
    <row r="13583" spans="1:6" ht="12.75">
      <c r="A13583" s="8">
        <v>43898.699849537035</v>
      </c>
      <c r="B13583" s="8" t="str">
        <f>HYPERLINK("https://twitter.com/fredy24w","@fredy24w")</f>
        <v>@fredy24w</v>
      </c>
      <c r="C13583" s="8" t="s">
        <v>5433</v>
      </c>
      <c r="D13583" s="8">
        <v>4</v>
      </c>
      <c r="E13583" s="8">
        <v>0</v>
      </c>
      <c r="F13583" s="8">
        <v>666</v>
      </c>
    </row>
    <row r="13584" spans="1:6" ht="12.75">
      <c r="A13584" s="8">
        <v>43898.699560185181</v>
      </c>
      <c r="B13584" s="8" t="str">
        <f>HYPERLINK("https://twitter.com/Si_Kalacakra","@Si_Kalacakra")</f>
        <v>@Si_Kalacakra</v>
      </c>
      <c r="C13584" s="8" t="s">
        <v>5434</v>
      </c>
      <c r="D13584" s="8">
        <v>0</v>
      </c>
      <c r="E13584" s="8">
        <v>1</v>
      </c>
      <c r="F13584" s="8">
        <v>1406</v>
      </c>
    </row>
    <row r="13585" spans="1:6" ht="12.75">
      <c r="A13585" s="8">
        <v>43898.699293981481</v>
      </c>
      <c r="B13585" s="8" t="str">
        <f>HYPERLINK("https://twitter.com/Abchenko_","@Abchenko_")</f>
        <v>@Abchenko_</v>
      </c>
      <c r="C13585" s="8" t="s">
        <v>3265</v>
      </c>
      <c r="D13585" s="8">
        <v>364</v>
      </c>
      <c r="E13585" s="8">
        <v>0</v>
      </c>
      <c r="F13585" s="8">
        <v>937</v>
      </c>
    </row>
    <row r="13586" spans="1:6" ht="12.75">
      <c r="A13586" s="8">
        <v>43898.699247685188</v>
      </c>
      <c r="B13586" s="8" t="str">
        <f>HYPERLINK("https://twitter.com/okezonenews","@okezonenews")</f>
        <v>@okezonenews</v>
      </c>
      <c r="C13586" s="8" t="s">
        <v>5435</v>
      </c>
      <c r="D13586" s="8">
        <v>1</v>
      </c>
      <c r="E13586" s="8">
        <v>1</v>
      </c>
      <c r="F13586" s="8">
        <v>1744020</v>
      </c>
    </row>
    <row r="13587" spans="1:6" ht="12.75">
      <c r="A13587" s="8">
        <v>43898.698587962965</v>
      </c>
      <c r="B13587" s="8" t="str">
        <f>HYPERLINK("https://twitter.com/Safiraamand4","@Safiraamand4")</f>
        <v>@Safiraamand4</v>
      </c>
      <c r="C13587" s="8" t="s">
        <v>5436</v>
      </c>
      <c r="D13587" s="8">
        <v>0</v>
      </c>
      <c r="E13587" s="8">
        <v>0</v>
      </c>
      <c r="F13587" s="8">
        <v>2235</v>
      </c>
    </row>
    <row r="13588" spans="1:6" ht="12.75">
      <c r="A13588" s="8">
        <v>43898.698460648149</v>
      </c>
      <c r="B13588" s="8" t="str">
        <f>HYPERLINK("https://twitter.com/MuhammadiyunGN","@MuhammadiyunGN")</f>
        <v>@MuhammadiyunGN</v>
      </c>
      <c r="C13588" s="8" t="s">
        <v>5437</v>
      </c>
      <c r="D13588" s="8">
        <v>0</v>
      </c>
      <c r="E13588" s="8">
        <v>0</v>
      </c>
      <c r="F13588" s="8">
        <v>89</v>
      </c>
    </row>
    <row r="13589" spans="1:6" ht="12.75">
      <c r="A13589" s="8">
        <v>43898.697962962964</v>
      </c>
      <c r="B13589" s="8" t="str">
        <f>HYPERLINK("https://twitter.com/KedaiPenaCom","@KedaiPenaCom")</f>
        <v>@KedaiPenaCom</v>
      </c>
      <c r="C13589" s="8" t="s">
        <v>5438</v>
      </c>
      <c r="D13589" s="8">
        <v>0</v>
      </c>
      <c r="E13589" s="8">
        <v>0</v>
      </c>
      <c r="F13589" s="8">
        <v>748</v>
      </c>
    </row>
    <row r="13590" spans="1:6" ht="12.75">
      <c r="A13590" s="8">
        <v>43898.697326388894</v>
      </c>
      <c r="B13590" s="8" t="str">
        <f>HYPERLINK("https://twitter.com/d289505260c942b","@d289505260c942b")</f>
        <v>@d289505260c942b</v>
      </c>
      <c r="C13590" s="8" t="s">
        <v>3265</v>
      </c>
      <c r="D13590" s="8">
        <v>364</v>
      </c>
      <c r="E13590" s="8">
        <v>0</v>
      </c>
      <c r="F13590" s="8">
        <v>21</v>
      </c>
    </row>
    <row r="13591" spans="1:6" ht="12.75">
      <c r="A13591" s="8">
        <v>43898.697256944448</v>
      </c>
      <c r="B13591" s="8" t="str">
        <f>HYPERLINK("https://twitter.com/Realitarakyat01","@Realitarakyat01")</f>
        <v>@Realitarakyat01</v>
      </c>
      <c r="C13591" s="8" t="s">
        <v>5439</v>
      </c>
      <c r="D13591" s="8">
        <v>0</v>
      </c>
      <c r="E13591" s="8">
        <v>0</v>
      </c>
      <c r="F13591" s="8">
        <v>129</v>
      </c>
    </row>
    <row r="13592" spans="1:6" ht="12.75">
      <c r="A13592" s="8">
        <v>43898.696145833332</v>
      </c>
      <c r="B13592" s="8" t="str">
        <f>HYPERLINK("https://twitter.com/SugiartoID","@SugiartoID")</f>
        <v>@SugiartoID</v>
      </c>
      <c r="C13592" s="8" t="s">
        <v>5440</v>
      </c>
      <c r="D13592" s="8">
        <v>4</v>
      </c>
      <c r="E13592" s="8">
        <v>0</v>
      </c>
      <c r="F13592" s="8">
        <v>257</v>
      </c>
    </row>
    <row r="13593" spans="1:6" ht="12.75">
      <c r="A13593" s="8">
        <v>43898.696030092593</v>
      </c>
      <c r="B13593" s="8" t="str">
        <f>HYPERLINK("https://twitter.com/Safiraamand4","@Safiraamand4")</f>
        <v>@Safiraamand4</v>
      </c>
      <c r="C13593" s="8" t="s">
        <v>5441</v>
      </c>
      <c r="D13593" s="8">
        <v>0</v>
      </c>
      <c r="E13593" s="8">
        <v>1</v>
      </c>
      <c r="F13593" s="8">
        <v>2235</v>
      </c>
    </row>
    <row r="13594" spans="1:6" ht="12.75">
      <c r="A13594" s="8">
        <v>43898.695659722223</v>
      </c>
      <c r="B13594" s="8" t="str">
        <f>HYPERLINK("https://twitter.com/PFTee","@PFTee")</f>
        <v>@PFTee</v>
      </c>
      <c r="C13594" s="8" t="s">
        <v>5442</v>
      </c>
      <c r="D13594" s="8">
        <v>0</v>
      </c>
      <c r="E13594" s="8">
        <v>0</v>
      </c>
      <c r="F13594" s="8">
        <v>1552</v>
      </c>
    </row>
    <row r="13595" spans="1:6" ht="12.75">
      <c r="A13595" s="8">
        <v>43898.695532407408</v>
      </c>
      <c r="B13595" s="8" t="str">
        <f>HYPERLINK("https://twitter.com/Safiraamand4","@Safiraamand4")</f>
        <v>@Safiraamand4</v>
      </c>
      <c r="C13595" s="8" t="s">
        <v>5443</v>
      </c>
      <c r="D13595" s="8">
        <v>0</v>
      </c>
      <c r="E13595" s="8">
        <v>1</v>
      </c>
      <c r="F13595" s="8">
        <v>2235</v>
      </c>
    </row>
    <row r="13596" spans="1:6" ht="12.75">
      <c r="A13596" s="8">
        <v>43898.695173611108</v>
      </c>
      <c r="B13596" s="8" t="str">
        <f>HYPERLINK("https://twitter.com/KedaiPenaCom","@KedaiPenaCom")</f>
        <v>@KedaiPenaCom</v>
      </c>
      <c r="C13596" s="8" t="s">
        <v>5444</v>
      </c>
      <c r="D13596" s="8">
        <v>0</v>
      </c>
      <c r="E13596" s="8">
        <v>0</v>
      </c>
      <c r="F13596" s="8">
        <v>748</v>
      </c>
    </row>
    <row r="13597" spans="1:6" ht="12.75">
      <c r="A13597" s="8">
        <v>43898.695138888885</v>
      </c>
      <c r="B13597" s="8" t="str">
        <f>HYPERLINK("https://twitter.com/sxnhaha","@sxnhaha")</f>
        <v>@sxnhaha</v>
      </c>
      <c r="C13597" s="8" t="s">
        <v>5445</v>
      </c>
      <c r="D13597" s="8">
        <v>0</v>
      </c>
      <c r="E13597" s="8">
        <v>0</v>
      </c>
      <c r="F13597" s="8">
        <v>308</v>
      </c>
    </row>
    <row r="13598" spans="1:6" ht="12.75">
      <c r="A13598" s="8">
        <v>43898.694664351853</v>
      </c>
      <c r="B13598" s="8" t="str">
        <f>HYPERLINK("https://twitter.com/orangestt","@orangestt")</f>
        <v>@orangestt</v>
      </c>
      <c r="C13598" s="8" t="s">
        <v>5409</v>
      </c>
      <c r="D13598" s="8">
        <v>15</v>
      </c>
      <c r="E13598" s="8">
        <v>0</v>
      </c>
      <c r="F13598" s="8">
        <v>173</v>
      </c>
    </row>
    <row r="13599" spans="1:6" ht="12.75">
      <c r="A13599" s="8">
        <v>43898.693055555559</v>
      </c>
      <c r="B13599" s="8" t="str">
        <f>HYPERLINK("https://twitter.com/sebutalpacino","@sebutalpacino")</f>
        <v>@sebutalpacino</v>
      </c>
      <c r="C13599" s="8" t="s">
        <v>5413</v>
      </c>
      <c r="D13599" s="8">
        <v>0</v>
      </c>
      <c r="E13599" s="8">
        <v>0</v>
      </c>
      <c r="F13599" s="8">
        <v>640</v>
      </c>
    </row>
    <row r="13600" spans="1:6" ht="12.75">
      <c r="A13600" s="8">
        <v>43898.69259259259</v>
      </c>
      <c r="B13600" s="8" t="str">
        <f>HYPERLINK("https://twitter.com/IamYogas","@IamYogas")</f>
        <v>@IamYogas</v>
      </c>
      <c r="C13600" s="8" t="s">
        <v>5080</v>
      </c>
      <c r="D13600" s="8">
        <v>169</v>
      </c>
      <c r="E13600" s="8">
        <v>0</v>
      </c>
      <c r="F13600" s="8">
        <v>269</v>
      </c>
    </row>
    <row r="13601" spans="1:6" ht="12.75">
      <c r="A13601" s="8">
        <v>43898.692071759258</v>
      </c>
      <c r="B13601" s="8" t="str">
        <f>HYPERLINK("https://twitter.com/devilauw80","@devilauw80")</f>
        <v>@devilauw80</v>
      </c>
      <c r="C13601" s="8" t="s">
        <v>5080</v>
      </c>
      <c r="D13601" s="8">
        <v>169</v>
      </c>
      <c r="E13601" s="8">
        <v>0</v>
      </c>
      <c r="F13601" s="8">
        <v>583</v>
      </c>
    </row>
    <row r="13602" spans="1:6" ht="12.75">
      <c r="A13602" s="8">
        <v>43898.691666666666</v>
      </c>
      <c r="B13602" s="8" t="str">
        <f>HYPERLINK("https://twitter.com/_kentangrebus","@_kentangrebus")</f>
        <v>@_kentangrebus</v>
      </c>
      <c r="C13602" s="8" t="s">
        <v>5413</v>
      </c>
      <c r="D13602" s="8">
        <v>0</v>
      </c>
      <c r="E13602" s="8">
        <v>0</v>
      </c>
      <c r="F13602" s="8">
        <v>42</v>
      </c>
    </row>
    <row r="13603" spans="1:6" ht="12.75">
      <c r="A13603" s="8">
        <v>43898.691076388888</v>
      </c>
      <c r="B13603" s="8" t="str">
        <f>HYPERLINK("https://twitter.com/jurnalpatrolin1","@jurnalpatrolin1")</f>
        <v>@jurnalpatrolin1</v>
      </c>
      <c r="C13603" s="8" t="s">
        <v>5446</v>
      </c>
      <c r="D13603" s="8">
        <v>0</v>
      </c>
      <c r="E13603" s="8">
        <v>0</v>
      </c>
      <c r="F13603" s="8">
        <v>56</v>
      </c>
    </row>
    <row r="13604" spans="1:6" ht="12.75">
      <c r="A13604" s="8">
        <v>43898.691064814819</v>
      </c>
      <c r="B13604" s="8" t="str">
        <f>HYPERLINK("https://twitter.com/KedaiPenaCom","@KedaiPenaCom")</f>
        <v>@KedaiPenaCom</v>
      </c>
      <c r="C13604" s="8" t="s">
        <v>5447</v>
      </c>
      <c r="D13604" s="8">
        <v>0</v>
      </c>
      <c r="E13604" s="8">
        <v>0</v>
      </c>
      <c r="F13604" s="8">
        <v>748</v>
      </c>
    </row>
    <row r="13605" spans="1:6" ht="12.75">
      <c r="A13605" s="8">
        <v>43898.691018518519</v>
      </c>
      <c r="B13605" s="8" t="str">
        <f>HYPERLINK("https://twitter.com/forddyce92","@forddyce92")</f>
        <v>@forddyce92</v>
      </c>
      <c r="C13605" s="8" t="s">
        <v>5448</v>
      </c>
      <c r="D13605" s="8">
        <v>0</v>
      </c>
      <c r="E13605" s="8">
        <v>0</v>
      </c>
      <c r="F13605" s="8">
        <v>27</v>
      </c>
    </row>
    <row r="13606" spans="1:6" ht="12.75">
      <c r="A13606" s="8">
        <v>43898.690706018519</v>
      </c>
      <c r="B13606" s="8" t="str">
        <f>HYPERLINK("https://twitter.com/imamwangkal","@imamwangkal")</f>
        <v>@imamwangkal</v>
      </c>
      <c r="C13606" s="8" t="s">
        <v>3265</v>
      </c>
      <c r="D13606" s="8">
        <v>364</v>
      </c>
      <c r="E13606" s="8">
        <v>0</v>
      </c>
      <c r="F13606" s="8">
        <v>31</v>
      </c>
    </row>
    <row r="13607" spans="1:6" ht="12.75">
      <c r="A13607" s="8">
        <v>43898.690613425926</v>
      </c>
      <c r="B13607" s="8" t="str">
        <f>HYPERLINK("https://twitter.com/RayAlpin","@RayAlpin")</f>
        <v>@RayAlpin</v>
      </c>
      <c r="C13607" s="8" t="s">
        <v>5168</v>
      </c>
      <c r="D13607" s="8">
        <v>2</v>
      </c>
      <c r="E13607" s="8">
        <v>0</v>
      </c>
      <c r="F13607" s="8">
        <v>440</v>
      </c>
    </row>
    <row r="13608" spans="1:6" ht="12.75">
      <c r="A13608" s="8">
        <v>43898.690185185187</v>
      </c>
      <c r="B13608" s="8" t="str">
        <f>HYPERLINK("https://twitter.com/lastyawati","@lastyawati")</f>
        <v>@lastyawati</v>
      </c>
      <c r="C13608" s="8" t="s">
        <v>5436</v>
      </c>
      <c r="D13608" s="8">
        <v>0</v>
      </c>
      <c r="E13608" s="8">
        <v>0</v>
      </c>
      <c r="F13608" s="8">
        <v>1337</v>
      </c>
    </row>
    <row r="13609" spans="1:6" ht="12.75">
      <c r="A13609" s="8">
        <v>43898.689120370371</v>
      </c>
      <c r="B13609" s="8" t="str">
        <f>HYPERLINK("https://twitter.com/pemudamijah12","@pemudamijah12")</f>
        <v>@pemudamijah12</v>
      </c>
      <c r="C13609" s="8" t="s">
        <v>5080</v>
      </c>
      <c r="D13609" s="8">
        <v>169</v>
      </c>
      <c r="E13609" s="8">
        <v>0</v>
      </c>
      <c r="F13609" s="8">
        <v>517</v>
      </c>
    </row>
    <row r="13610" spans="1:6" ht="12.75">
      <c r="A13610" s="8">
        <v>43898.689074074078</v>
      </c>
      <c r="B13610" s="8" t="str">
        <f>HYPERLINK("https://twitter.com/SaveIndonesia24","@SaveIndonesia24")</f>
        <v>@SaveIndonesia24</v>
      </c>
      <c r="C13610" s="8" t="s">
        <v>3265</v>
      </c>
      <c r="D13610" s="8">
        <v>364</v>
      </c>
      <c r="E13610" s="8">
        <v>0</v>
      </c>
      <c r="F13610" s="8">
        <v>318</v>
      </c>
    </row>
    <row r="13611" spans="1:6" ht="12.75">
      <c r="A13611" s="8">
        <v>43898.68885416667</v>
      </c>
      <c r="B13611" s="8" t="str">
        <f>HYPERLINK("https://twitter.com/KaracanEk","@KaracanEk")</f>
        <v>@KaracanEk</v>
      </c>
      <c r="C13611" s="8" t="s">
        <v>5449</v>
      </c>
      <c r="D13611" s="8">
        <v>0</v>
      </c>
      <c r="E13611" s="8">
        <v>0</v>
      </c>
      <c r="F13611" s="8">
        <v>129</v>
      </c>
    </row>
    <row r="13612" spans="1:6" ht="12.75">
      <c r="A13612" s="8">
        <v>43898.688587962963</v>
      </c>
      <c r="B13612" s="8" t="str">
        <f>HYPERLINK("https://twitter.com/tua_serdadu","@tua_serdadu")</f>
        <v>@tua_serdadu</v>
      </c>
      <c r="C13612" s="8" t="s">
        <v>5168</v>
      </c>
      <c r="D13612" s="8">
        <v>2</v>
      </c>
      <c r="E13612" s="8">
        <v>0</v>
      </c>
      <c r="F13612" s="8">
        <v>1252</v>
      </c>
    </row>
    <row r="13613" spans="1:6" ht="12.75">
      <c r="A13613" s="8">
        <v>43898.688194444447</v>
      </c>
      <c r="B13613" s="8" t="str">
        <f>HYPERLINK("https://twitter.com/fredy24w","@fredy24w")</f>
        <v>@fredy24w</v>
      </c>
      <c r="C13613" s="8" t="s">
        <v>5450</v>
      </c>
      <c r="D13613" s="8">
        <v>0</v>
      </c>
      <c r="E13613" s="8">
        <v>0</v>
      </c>
      <c r="F13613" s="8">
        <v>666</v>
      </c>
    </row>
    <row r="13614" spans="1:6" ht="12.75">
      <c r="A13614" s="8">
        <v>43898.687881944439</v>
      </c>
      <c r="B13614" s="8" t="str">
        <f>HYPERLINK("https://twitter.com/abufauzan1924","@abufauzan1924")</f>
        <v>@abufauzan1924</v>
      </c>
      <c r="C13614" s="8" t="s">
        <v>5451</v>
      </c>
      <c r="D13614" s="8">
        <v>0</v>
      </c>
      <c r="E13614" s="8">
        <v>0</v>
      </c>
      <c r="F13614" s="8">
        <v>3289</v>
      </c>
    </row>
    <row r="13615" spans="1:6" ht="12.75">
      <c r="A13615" s="8">
        <v>43898.6875</v>
      </c>
      <c r="B13615" s="8" t="str">
        <f>HYPERLINK("https://twitter.com/TCdharma","@TCdharma")</f>
        <v>@TCdharma</v>
      </c>
      <c r="C13615" s="8" t="s">
        <v>5452</v>
      </c>
      <c r="D13615" s="8">
        <v>2</v>
      </c>
      <c r="E13615" s="8">
        <v>3</v>
      </c>
      <c r="F13615" s="8">
        <v>4081</v>
      </c>
    </row>
    <row r="13616" spans="1:6" ht="12.75">
      <c r="A13616" s="8">
        <v>43898.687407407408</v>
      </c>
      <c r="B13616" s="8" t="str">
        <f>HYPERLINK("https://twitter.com/akangzaldysin","@akangzaldysin")</f>
        <v>@akangzaldysin</v>
      </c>
      <c r="C13616" s="8" t="s">
        <v>3265</v>
      </c>
      <c r="D13616" s="8">
        <v>364</v>
      </c>
      <c r="E13616" s="8">
        <v>0</v>
      </c>
      <c r="F13616" s="8">
        <v>93</v>
      </c>
    </row>
    <row r="13617" spans="1:6" ht="12.75">
      <c r="A13617" s="8">
        <v>43898.686319444445</v>
      </c>
      <c r="B13617" s="8" t="str">
        <f>HYPERLINK("https://twitter.com/1qbalsaputra","@1qbalsaputra")</f>
        <v>@1qbalsaputra</v>
      </c>
      <c r="C13617" s="8" t="s">
        <v>3265</v>
      </c>
      <c r="D13617" s="8">
        <v>364</v>
      </c>
      <c r="E13617" s="8">
        <v>0</v>
      </c>
      <c r="F13617" s="8">
        <v>257</v>
      </c>
    </row>
    <row r="13618" spans="1:6" ht="12.75">
      <c r="A13618" s="8">
        <v>43898.685393518521</v>
      </c>
      <c r="B13618" s="8" t="str">
        <f>HYPERLINK("https://twitter.com/wacana_18","@wacana_18")</f>
        <v>@wacana_18</v>
      </c>
      <c r="C13618" s="8" t="s">
        <v>5433</v>
      </c>
      <c r="D13618" s="8">
        <v>4</v>
      </c>
      <c r="E13618" s="8">
        <v>0</v>
      </c>
      <c r="F13618" s="8">
        <v>1014</v>
      </c>
    </row>
    <row r="13619" spans="1:6" ht="12.75">
      <c r="A13619" s="8">
        <v>43898.684583333335</v>
      </c>
      <c r="B13619" s="8" t="str">
        <f>HYPERLINK("https://twitter.com/hannaalawiyah2","@hannaalawiyah2")</f>
        <v>@hannaalawiyah2</v>
      </c>
      <c r="C13619" s="8" t="s">
        <v>3265</v>
      </c>
      <c r="D13619" s="8">
        <v>364</v>
      </c>
      <c r="E13619" s="8">
        <v>0</v>
      </c>
      <c r="F13619" s="8">
        <v>322</v>
      </c>
    </row>
    <row r="13620" spans="1:6" ht="12.75">
      <c r="A13620" s="8">
        <v>43898.683692129634</v>
      </c>
      <c r="B13620" s="8" t="str">
        <f>HYPERLINK("https://twitter.com/lastyawati","@lastyawati")</f>
        <v>@lastyawati</v>
      </c>
      <c r="C13620" s="8" t="s">
        <v>5441</v>
      </c>
      <c r="D13620" s="8">
        <v>0</v>
      </c>
      <c r="E13620" s="8">
        <v>0</v>
      </c>
      <c r="F13620" s="8">
        <v>1337</v>
      </c>
    </row>
    <row r="13621" spans="1:6" ht="12.75">
      <c r="A13621" s="8">
        <v>43898.683379629627</v>
      </c>
      <c r="B13621" s="8" t="str">
        <f>HYPERLINK("https://twitter.com/Asa_Mahsyar","@Asa_Mahsyar")</f>
        <v>@Asa_Mahsyar</v>
      </c>
      <c r="C13621" s="8" t="s">
        <v>3265</v>
      </c>
      <c r="D13621" s="8">
        <v>364</v>
      </c>
      <c r="E13621" s="8">
        <v>0</v>
      </c>
      <c r="F13621" s="8">
        <v>360</v>
      </c>
    </row>
    <row r="13622" spans="1:6" ht="12.75">
      <c r="A13622" s="8">
        <v>43898.682951388888</v>
      </c>
      <c r="B13622" s="8" t="str">
        <f>HYPERLINK("https://twitter.com/LKertiawan","@LKertiawan")</f>
        <v>@LKertiawan</v>
      </c>
      <c r="C13622" s="8" t="s">
        <v>3265</v>
      </c>
      <c r="D13622" s="8">
        <v>364</v>
      </c>
      <c r="E13622" s="8">
        <v>0</v>
      </c>
      <c r="F13622" s="8">
        <v>118</v>
      </c>
    </row>
    <row r="13623" spans="1:6" ht="12.75">
      <c r="A13623" s="8">
        <v>43898.682916666672</v>
      </c>
      <c r="B13623" s="8" t="str">
        <f>HYPERLINK("https://twitter.com/lastyawati","@lastyawati")</f>
        <v>@lastyawati</v>
      </c>
      <c r="C13623" s="8" t="s">
        <v>5443</v>
      </c>
      <c r="D13623" s="8">
        <v>0</v>
      </c>
      <c r="E13623" s="8">
        <v>0</v>
      </c>
      <c r="F13623" s="8">
        <v>1337</v>
      </c>
    </row>
    <row r="13624" spans="1:6" ht="12.75">
      <c r="A13624" s="8">
        <v>43898.682696759264</v>
      </c>
      <c r="B13624" s="8" t="str">
        <f>HYPERLINK("https://twitter.com/johhhnygudhel","@johhhnygudhel")</f>
        <v>@johhhnygudhel</v>
      </c>
      <c r="C13624" s="8" t="s">
        <v>3405</v>
      </c>
      <c r="D13624" s="8">
        <v>68</v>
      </c>
      <c r="E13624" s="8">
        <v>0</v>
      </c>
      <c r="F13624" s="8">
        <v>2755</v>
      </c>
    </row>
    <row r="13625" spans="1:6" ht="12.75">
      <c r="A13625" s="8">
        <v>43898.681770833333</v>
      </c>
      <c r="B13625" s="8" t="str">
        <f>HYPERLINK("https://twitter.com/jjsengui","@jjsengui")</f>
        <v>@jjsengui</v>
      </c>
      <c r="C13625" s="8" t="s">
        <v>4591</v>
      </c>
      <c r="D13625" s="8">
        <v>6</v>
      </c>
      <c r="E13625" s="8">
        <v>0</v>
      </c>
      <c r="F13625" s="8">
        <v>918</v>
      </c>
    </row>
    <row r="13626" spans="1:6" ht="12.75">
      <c r="A13626" s="8">
        <v>43898.681250000001</v>
      </c>
      <c r="B13626" s="8" t="str">
        <f>HYPERLINK("https://twitter.com/jeonnram","@jeonnram")</f>
        <v>@jeonnram</v>
      </c>
      <c r="C13626" s="8" t="s">
        <v>5453</v>
      </c>
      <c r="D13626" s="8">
        <v>0</v>
      </c>
      <c r="E13626" s="8">
        <v>0</v>
      </c>
      <c r="F13626" s="8">
        <v>81</v>
      </c>
    </row>
    <row r="13627" spans="1:6" ht="12.75">
      <c r="A13627" s="8">
        <v>43898.681134259255</v>
      </c>
      <c r="B13627" s="8" t="str">
        <f>HYPERLINK("https://twitter.com/rifqibayhaqi","@rifqibayhaqi")</f>
        <v>@rifqibayhaqi</v>
      </c>
      <c r="C13627" s="8" t="s">
        <v>5454</v>
      </c>
      <c r="D13627" s="8">
        <v>0</v>
      </c>
      <c r="E13627" s="8">
        <v>0</v>
      </c>
      <c r="F13627" s="8">
        <v>255</v>
      </c>
    </row>
    <row r="13628" spans="1:6" ht="12.75">
      <c r="A13628" s="8">
        <v>43898.680254629631</v>
      </c>
      <c r="B13628" s="8" t="str">
        <f>HYPERLINK("https://twitter.com/miftahunnurbah1","@miftahunnurbah1")</f>
        <v>@miftahunnurbah1</v>
      </c>
      <c r="C13628" s="8" t="s">
        <v>5455</v>
      </c>
      <c r="D13628" s="8">
        <v>0</v>
      </c>
      <c r="E13628" s="8">
        <v>1</v>
      </c>
      <c r="F13628" s="8">
        <v>84</v>
      </c>
    </row>
    <row r="13629" spans="1:6" ht="12.75">
      <c r="A13629" s="8">
        <v>43898.679861111115</v>
      </c>
      <c r="B13629" s="8" t="str">
        <f>HYPERLINK("https://twitter.com/silviarzkia","@silviarzkia")</f>
        <v>@silviarzkia</v>
      </c>
      <c r="C13629" s="8" t="s">
        <v>5413</v>
      </c>
      <c r="D13629" s="8">
        <v>0</v>
      </c>
      <c r="E13629" s="8">
        <v>0</v>
      </c>
      <c r="F13629" s="8">
        <v>135</v>
      </c>
    </row>
    <row r="13630" spans="1:6" ht="12.75">
      <c r="A13630" s="8">
        <v>43898.679386574076</v>
      </c>
      <c r="B13630" s="8" t="str">
        <f>HYPERLINK("https://twitter.com/AlRasyidS","@AlRasyidS")</f>
        <v>@AlRasyidS</v>
      </c>
      <c r="C13630" s="8" t="s">
        <v>5409</v>
      </c>
      <c r="D13630" s="8">
        <v>15</v>
      </c>
      <c r="E13630" s="8">
        <v>0</v>
      </c>
      <c r="F13630" s="8">
        <v>2795</v>
      </c>
    </row>
    <row r="13631" spans="1:6" ht="12.75">
      <c r="A13631" s="8">
        <v>43898.679386574076</v>
      </c>
      <c r="B13631" s="8" t="str">
        <f>HYPERLINK("https://twitter.com/ISIS_Balik_NO","@ISIS_Balik_NO")</f>
        <v>@ISIS_Balik_NO</v>
      </c>
      <c r="C13631" s="8" t="s">
        <v>5456</v>
      </c>
      <c r="D13631" s="8">
        <v>0</v>
      </c>
      <c r="E13631" s="8">
        <v>0</v>
      </c>
      <c r="F13631" s="8">
        <v>6174</v>
      </c>
    </row>
    <row r="13632" spans="1:6" ht="12.75">
      <c r="A13632" s="8">
        <v>43898.679039351853</v>
      </c>
      <c r="B13632" s="8" t="str">
        <f>HYPERLINK("https://twitter.com/KongReds","@KongReds")</f>
        <v>@KongReds</v>
      </c>
      <c r="C13632" s="8" t="s">
        <v>5080</v>
      </c>
      <c r="D13632" s="8">
        <v>169</v>
      </c>
      <c r="E13632" s="8">
        <v>0</v>
      </c>
      <c r="F13632" s="8">
        <v>1113</v>
      </c>
    </row>
    <row r="13633" spans="1:6" ht="12.75">
      <c r="A13633" s="8">
        <v>43898.673101851848</v>
      </c>
      <c r="B13633" s="8" t="str">
        <f>HYPERLINK("https://twitter.com/orangecovnty","@orangecovnty")</f>
        <v>@orangecovnty</v>
      </c>
      <c r="C13633" s="8" t="s">
        <v>5157</v>
      </c>
      <c r="D13633" s="8">
        <v>2</v>
      </c>
      <c r="E13633" s="8">
        <v>0</v>
      </c>
      <c r="F13633" s="8">
        <v>233</v>
      </c>
    </row>
    <row r="13634" spans="1:6" ht="12.75">
      <c r="A13634" s="8">
        <v>43898.672754629632</v>
      </c>
      <c r="B13634" s="8" t="str">
        <f>HYPERLINK("https://twitter.com/PradiptaArya4","@PradiptaArya4")</f>
        <v>@PradiptaArya4</v>
      </c>
      <c r="C13634" s="8" t="s">
        <v>5080</v>
      </c>
      <c r="D13634" s="8">
        <v>164</v>
      </c>
      <c r="E13634" s="8">
        <v>0</v>
      </c>
      <c r="F13634" s="8">
        <v>2552</v>
      </c>
    </row>
    <row r="13635" spans="1:6" ht="12.75">
      <c r="A13635" s="8">
        <v>43898.672696759255</v>
      </c>
      <c r="B13635" s="8" t="str">
        <f>HYPERLINK("https://twitter.com/Julieette99","@Julieette99")</f>
        <v>@Julieette99</v>
      </c>
      <c r="C13635" s="8" t="s">
        <v>5457</v>
      </c>
      <c r="D13635" s="8">
        <v>0</v>
      </c>
      <c r="E13635" s="8">
        <v>0</v>
      </c>
      <c r="F13635" s="8">
        <v>17</v>
      </c>
    </row>
    <row r="13636" spans="1:6" ht="12.75">
      <c r="A13636" s="8">
        <v>43898.672662037032</v>
      </c>
      <c r="B13636" s="8" t="str">
        <f>HYPERLINK("https://twitter.com/AmbedkarQuote","@AmbedkarQuote")</f>
        <v>@AmbedkarQuote</v>
      </c>
      <c r="C13636" s="8" t="s">
        <v>5458</v>
      </c>
      <c r="D13636" s="8">
        <v>10</v>
      </c>
      <c r="E13636" s="8">
        <v>0</v>
      </c>
      <c r="F13636" s="8">
        <v>3250</v>
      </c>
    </row>
    <row r="13637" spans="1:6" ht="12.75">
      <c r="A13637" s="8">
        <v>43898.672430555554</v>
      </c>
      <c r="B13637" s="8" t="str">
        <f>HYPERLINK("https://twitter.com/lovellynz","@lovellynz")</f>
        <v>@lovellynz</v>
      </c>
      <c r="C13637" s="8" t="s">
        <v>5086</v>
      </c>
      <c r="D13637" s="8">
        <v>21</v>
      </c>
      <c r="E13637" s="8">
        <v>0</v>
      </c>
      <c r="F13637" s="8">
        <v>20</v>
      </c>
    </row>
    <row r="13638" spans="1:6" ht="12.75">
      <c r="A13638" s="8">
        <v>43898.672314814816</v>
      </c>
      <c r="B13638" s="8" t="str">
        <f>HYPERLINK("https://twitter.com/Aqua_Fourteen","@Aqua_Fourteen")</f>
        <v>@Aqua_Fourteen</v>
      </c>
      <c r="C13638" s="8" t="s">
        <v>5080</v>
      </c>
      <c r="D13638" s="8">
        <v>164</v>
      </c>
      <c r="E13638" s="8">
        <v>0</v>
      </c>
      <c r="F13638" s="8">
        <v>139</v>
      </c>
    </row>
    <row r="13639" spans="1:6" ht="12.75">
      <c r="A13639" s="8">
        <v>43898.671932870369</v>
      </c>
      <c r="B13639" s="8" t="str">
        <f>HYPERLINK("https://twitter.com/sofinofianty3","@sofinofianty3")</f>
        <v>@sofinofianty3</v>
      </c>
      <c r="C13639" s="8" t="s">
        <v>5441</v>
      </c>
      <c r="D13639" s="8">
        <v>0</v>
      </c>
      <c r="E13639" s="8">
        <v>0</v>
      </c>
      <c r="F13639" s="8">
        <v>1093</v>
      </c>
    </row>
    <row r="13640" spans="1:6" ht="12.75">
      <c r="A13640" s="8">
        <v>43898.671643518523</v>
      </c>
      <c r="B13640" s="8" t="str">
        <f>HYPERLINK("https://twitter.com/Julieette99","@Julieette99")</f>
        <v>@Julieette99</v>
      </c>
      <c r="C13640" s="8" t="s">
        <v>5459</v>
      </c>
      <c r="D13640" s="8">
        <v>0</v>
      </c>
      <c r="E13640" s="8">
        <v>0</v>
      </c>
      <c r="F13640" s="8">
        <v>17</v>
      </c>
    </row>
    <row r="13641" spans="1:6" ht="12.75">
      <c r="A13641" s="8">
        <v>43898.671574074076</v>
      </c>
      <c r="B13641" s="8" t="str">
        <f>HYPERLINK("https://twitter.com/sofinofianty3","@sofinofianty3")</f>
        <v>@sofinofianty3</v>
      </c>
      <c r="C13641" s="8" t="s">
        <v>5443</v>
      </c>
      <c r="D13641" s="8">
        <v>0</v>
      </c>
      <c r="E13641" s="8">
        <v>0</v>
      </c>
      <c r="F13641" s="8">
        <v>1093</v>
      </c>
    </row>
    <row r="13642" spans="1:6" ht="12.75">
      <c r="A13642" s="8">
        <v>43898.671400462961</v>
      </c>
      <c r="B13642" s="8" t="str">
        <f>HYPERLINK("https://twitter.com/cemaragunung","@cemaragunung")</f>
        <v>@cemaragunung</v>
      </c>
      <c r="C13642" s="8" t="s">
        <v>5460</v>
      </c>
      <c r="D13642" s="8">
        <v>0</v>
      </c>
      <c r="E13642" s="8">
        <v>0</v>
      </c>
      <c r="F13642" s="8">
        <v>1689</v>
      </c>
    </row>
    <row r="13643" spans="1:6" ht="12.75">
      <c r="A13643" s="8">
        <v>43898.671168981484</v>
      </c>
      <c r="B13643" s="8" t="str">
        <f>HYPERLINK("https://twitter.com/tupainoona","@tupainoona")</f>
        <v>@tupainoona</v>
      </c>
      <c r="C13643" s="8" t="s">
        <v>5409</v>
      </c>
      <c r="D13643" s="8">
        <v>5</v>
      </c>
      <c r="E13643" s="8">
        <v>0</v>
      </c>
      <c r="F13643" s="8">
        <v>517</v>
      </c>
    </row>
    <row r="13644" spans="1:6" ht="12.75">
      <c r="A13644" s="8">
        <v>43898.67086805556</v>
      </c>
      <c r="B13644" s="8" t="str">
        <f>HYPERLINK("https://twitter.com/Groundsmasher_","@Groundsmasher_")</f>
        <v>@Groundsmasher_</v>
      </c>
      <c r="C13644" s="8" t="s">
        <v>5461</v>
      </c>
      <c r="D13644" s="8">
        <v>3</v>
      </c>
      <c r="E13644" s="8">
        <v>0</v>
      </c>
      <c r="F13644" s="8">
        <v>239</v>
      </c>
    </row>
    <row r="13645" spans="1:6" ht="12.75">
      <c r="A13645" s="8">
        <v>43898.670590277776</v>
      </c>
      <c r="B13645" s="8" t="str">
        <f>HYPERLINK("https://twitter.com/gianko_81","@gianko_81")</f>
        <v>@gianko_81</v>
      </c>
      <c r="C13645" s="8" t="s">
        <v>3907</v>
      </c>
      <c r="D13645" s="8">
        <v>4</v>
      </c>
      <c r="E13645" s="8">
        <v>0</v>
      </c>
      <c r="F13645" s="8">
        <v>174</v>
      </c>
    </row>
    <row r="13646" spans="1:6" ht="12.75">
      <c r="A13646" s="8">
        <v>43898.670497685191</v>
      </c>
      <c r="B13646" s="8" t="str">
        <f>HYPERLINK("https://twitter.com/ndaru_wardani","@ndaru_wardani")</f>
        <v>@ndaru_wardani</v>
      </c>
      <c r="C13646" s="8" t="s">
        <v>5157</v>
      </c>
      <c r="D13646" s="8">
        <v>2</v>
      </c>
      <c r="E13646" s="8">
        <v>0</v>
      </c>
      <c r="F13646" s="8">
        <v>306</v>
      </c>
    </row>
    <row r="13647" spans="1:6" ht="12.75">
      <c r="A13647" s="8">
        <v>43898.670462962968</v>
      </c>
      <c r="B13647" s="8" t="str">
        <f>HYPERLINK("https://twitter.com/_wni_","@_wni_")</f>
        <v>@_wni_</v>
      </c>
      <c r="C13647" s="8" t="s">
        <v>5462</v>
      </c>
      <c r="D13647" s="8">
        <v>20566</v>
      </c>
      <c r="E13647" s="8">
        <v>0</v>
      </c>
      <c r="F13647" s="8">
        <v>16</v>
      </c>
    </row>
    <row r="13648" spans="1:6" ht="12.75">
      <c r="A13648" s="8">
        <v>43898.670428240745</v>
      </c>
      <c r="B13648" s="8" t="str">
        <f>HYPERLINK("https://twitter.com/cnbcindonesia","@cnbcindonesia")</f>
        <v>@cnbcindonesia</v>
      </c>
      <c r="C13648" s="8" t="s">
        <v>5463</v>
      </c>
      <c r="D13648" s="8">
        <v>0</v>
      </c>
      <c r="E13648" s="8">
        <v>0</v>
      </c>
      <c r="F13648" s="8">
        <v>31599</v>
      </c>
    </row>
    <row r="13649" spans="1:6" ht="12.75">
      <c r="A13649" s="8">
        <v>43898.67</v>
      </c>
      <c r="B13649" s="8" t="str">
        <f>HYPERLINK("https://twitter.com/dayguano","@dayguano")</f>
        <v>@dayguano</v>
      </c>
      <c r="C13649" s="8" t="s">
        <v>5464</v>
      </c>
      <c r="D13649" s="8">
        <v>1</v>
      </c>
      <c r="E13649" s="8">
        <v>0</v>
      </c>
      <c r="F13649" s="8">
        <v>103</v>
      </c>
    </row>
    <row r="13650" spans="1:6" ht="12.75">
      <c r="A13650" s="8">
        <v>43898.66987268519</v>
      </c>
      <c r="B13650" s="8" t="str">
        <f>HYPERLINK("https://twitter.com/986topfm","@986topfm")</f>
        <v>@986topfm</v>
      </c>
      <c r="C13650" s="8" t="s">
        <v>5465</v>
      </c>
      <c r="D13650" s="8">
        <v>0</v>
      </c>
      <c r="E13650" s="8">
        <v>0</v>
      </c>
      <c r="F13650" s="8">
        <v>5669</v>
      </c>
    </row>
    <row r="13651" spans="1:6" ht="12.75">
      <c r="A13651" s="8">
        <v>43898.669664351852</v>
      </c>
      <c r="B13651" s="8" t="str">
        <f>HYPERLINK("https://twitter.com/Abdussa78534939","@Abdussa78534939")</f>
        <v>@Abdussa78534939</v>
      </c>
      <c r="C13651" s="8" t="s">
        <v>5080</v>
      </c>
      <c r="D13651" s="8">
        <v>164</v>
      </c>
      <c r="E13651" s="8">
        <v>0</v>
      </c>
      <c r="F13651" s="8">
        <v>149</v>
      </c>
    </row>
    <row r="13652" spans="1:6" ht="12.75">
      <c r="A13652" s="8">
        <v>43898.669502314813</v>
      </c>
      <c r="B13652" s="8" t="str">
        <f>HYPERLINK("https://twitter.com/_wni_","@_wni_")</f>
        <v>@_wni_</v>
      </c>
      <c r="C13652" s="8" t="s">
        <v>5466</v>
      </c>
      <c r="D13652" s="8">
        <v>767</v>
      </c>
      <c r="E13652" s="8">
        <v>0</v>
      </c>
      <c r="F13652" s="8">
        <v>16</v>
      </c>
    </row>
    <row r="13653" spans="1:6" ht="12.75">
      <c r="A13653" s="8">
        <v>43898.668749999997</v>
      </c>
      <c r="B13653" s="8" t="str">
        <f>HYPERLINK("https://twitter.com/MilaSalma","@MilaSalma")</f>
        <v>@MilaSalma</v>
      </c>
      <c r="C13653" s="8" t="s">
        <v>5467</v>
      </c>
      <c r="D13653" s="8">
        <v>0</v>
      </c>
      <c r="E13653" s="8">
        <v>0</v>
      </c>
      <c r="F13653" s="8">
        <v>7</v>
      </c>
    </row>
    <row r="13654" spans="1:6" ht="12.75">
      <c r="A13654" s="8">
        <v>43898.668541666666</v>
      </c>
      <c r="B13654" s="8" t="str">
        <f>HYPERLINK("https://twitter.com/ANDRIALAZIS","@ANDRIALAZIS")</f>
        <v>@ANDRIALAZIS</v>
      </c>
      <c r="C13654" s="8" t="s">
        <v>3265</v>
      </c>
      <c r="D13654" s="8">
        <v>342</v>
      </c>
      <c r="E13654" s="8">
        <v>0</v>
      </c>
      <c r="F13654" s="8">
        <v>185</v>
      </c>
    </row>
    <row r="13655" spans="1:6" ht="12.75">
      <c r="A13655" s="8">
        <v>43898.668425925927</v>
      </c>
      <c r="B13655" s="8" t="str">
        <f>HYPERLINK("https://twitter.com/updatedotid","@updatedotid")</f>
        <v>@updatedotid</v>
      </c>
      <c r="C13655" s="8" t="s">
        <v>5461</v>
      </c>
      <c r="D13655" s="8">
        <v>3</v>
      </c>
      <c r="E13655" s="8">
        <v>0</v>
      </c>
      <c r="F13655" s="8">
        <v>1619</v>
      </c>
    </row>
    <row r="13656" spans="1:6" ht="12.75">
      <c r="A13656" s="8">
        <v>43898.668414351851</v>
      </c>
      <c r="B13656" s="8" t="str">
        <f>HYPERLINK("https://twitter.com/johantanto","@johantanto")</f>
        <v>@johantanto</v>
      </c>
      <c r="C13656" s="8" t="s">
        <v>5468</v>
      </c>
      <c r="D13656" s="8">
        <v>3</v>
      </c>
      <c r="E13656" s="8">
        <v>0</v>
      </c>
      <c r="F13656" s="8">
        <v>242</v>
      </c>
    </row>
    <row r="13657" spans="1:6" ht="12.75">
      <c r="A13657" s="8">
        <v>43898.668414351851</v>
      </c>
      <c r="B13657" s="8" t="str">
        <f>HYPERLINK("https://twitter.com/sabhatansabiz","@sabhatansabiz")</f>
        <v>@sabhatansabiz</v>
      </c>
      <c r="C13657" s="8" t="s">
        <v>5461</v>
      </c>
      <c r="D13657" s="8">
        <v>3</v>
      </c>
      <c r="E13657" s="8">
        <v>0</v>
      </c>
      <c r="F13657" s="8">
        <v>1583</v>
      </c>
    </row>
    <row r="13658" spans="1:6" ht="12.75">
      <c r="A13658" s="8">
        <v>43898.668379629627</v>
      </c>
      <c r="B13658" s="8" t="str">
        <f>HYPERLINK("https://twitter.com/baysulist","@baysulist")</f>
        <v>@baysulist</v>
      </c>
      <c r="C13658" s="8" t="s">
        <v>5080</v>
      </c>
      <c r="D13658" s="8">
        <v>164</v>
      </c>
      <c r="E13658" s="8">
        <v>0</v>
      </c>
      <c r="F13658" s="8">
        <v>466</v>
      </c>
    </row>
    <row r="13659" spans="1:6" ht="12.75">
      <c r="A13659" s="8">
        <v>43898.668194444443</v>
      </c>
      <c r="B13659" s="8" t="str">
        <f>HYPERLINK("https://twitter.com/mdwidi14","@mdwidi14")</f>
        <v>@mdwidi14</v>
      </c>
      <c r="C13659" s="8" t="s">
        <v>5469</v>
      </c>
      <c r="D13659" s="8">
        <v>0</v>
      </c>
      <c r="E13659" s="8">
        <v>0</v>
      </c>
      <c r="F13659" s="8">
        <v>6</v>
      </c>
    </row>
    <row r="13660" spans="1:6" ht="12.75">
      <c r="A13660" s="8">
        <v>43898.668090277773</v>
      </c>
      <c r="B13660" s="8" t="str">
        <f>HYPERLINK("https://twitter.com/radar_malang","@radar_malang")</f>
        <v>@radar_malang</v>
      </c>
      <c r="C13660" s="8" t="s">
        <v>5470</v>
      </c>
      <c r="D13660" s="8">
        <v>3</v>
      </c>
      <c r="E13660" s="8">
        <v>0</v>
      </c>
      <c r="F13660" s="8">
        <v>108889</v>
      </c>
    </row>
    <row r="13661" spans="1:6" ht="12.75">
      <c r="A13661" s="8">
        <v>43898.667858796296</v>
      </c>
      <c r="B13661" s="8" t="str">
        <f>HYPERLINK("https://twitter.com/Zerosensei5","@Zerosensei5")</f>
        <v>@Zerosensei5</v>
      </c>
      <c r="C13661" s="8" t="s">
        <v>5471</v>
      </c>
      <c r="D13661" s="8">
        <v>0</v>
      </c>
      <c r="E13661" s="8">
        <v>0</v>
      </c>
      <c r="F13661" s="8">
        <v>0</v>
      </c>
    </row>
    <row r="13662" spans="1:6" ht="12.75">
      <c r="A13662" s="8">
        <v>43898.66741898148</v>
      </c>
      <c r="B13662" s="8" t="str">
        <f>HYPERLINK("https://twitter.com/gadisresidu_b3","@gadisresidu_b3")</f>
        <v>@gadisresidu_b3</v>
      </c>
      <c r="C13662" s="8" t="s">
        <v>5080</v>
      </c>
      <c r="D13662" s="8">
        <v>164</v>
      </c>
      <c r="E13662" s="8">
        <v>0</v>
      </c>
      <c r="F13662" s="8">
        <v>2252</v>
      </c>
    </row>
    <row r="13663" spans="1:6" ht="12.75">
      <c r="A13663" s="8">
        <v>43898.667361111111</v>
      </c>
      <c r="B13663" s="8" t="str">
        <f>HYPERLINK("https://twitter.com/Katherijuliani","@Katherijuliani")</f>
        <v>@Katherijuliani</v>
      </c>
      <c r="C13663" s="8" t="s">
        <v>5472</v>
      </c>
      <c r="D13663" s="8">
        <v>1</v>
      </c>
      <c r="E13663" s="8">
        <v>0</v>
      </c>
      <c r="F13663" s="8">
        <v>105</v>
      </c>
    </row>
    <row r="13664" spans="1:6" ht="12.75">
      <c r="A13664" s="8">
        <v>43898.667280092588</v>
      </c>
      <c r="B13664" s="8" t="str">
        <f>HYPERLINK("https://twitter.com/anggapmbdi","@anggapmbdi")</f>
        <v>@anggapmbdi</v>
      </c>
      <c r="C13664" s="8" t="s">
        <v>5328</v>
      </c>
      <c r="D13664" s="8">
        <v>2</v>
      </c>
      <c r="E13664" s="8">
        <v>0</v>
      </c>
      <c r="F13664" s="8">
        <v>60</v>
      </c>
    </row>
    <row r="13665" spans="1:6" ht="12.75">
      <c r="A13665" s="8">
        <v>43898.666990740741</v>
      </c>
      <c r="B13665" s="8" t="str">
        <f>HYPERLINK("https://twitter.com/LokadataID","@LokadataID")</f>
        <v>@LokadataID</v>
      </c>
      <c r="C13665" s="8" t="s">
        <v>5473</v>
      </c>
      <c r="D13665" s="8">
        <v>0</v>
      </c>
      <c r="E13665" s="8">
        <v>0</v>
      </c>
      <c r="F13665" s="8">
        <v>512819</v>
      </c>
    </row>
    <row r="13666" spans="1:6" ht="12.75">
      <c r="A13666" s="8">
        <v>43898.666956018518</v>
      </c>
      <c r="B13666" s="8" t="str">
        <f>HYPERLINK("https://twitter.com/AutoAdsJa","@AutoAdsJa")</f>
        <v>@AutoAdsJa</v>
      </c>
      <c r="C13666" s="8" t="s">
        <v>5474</v>
      </c>
      <c r="D13666" s="8">
        <v>0</v>
      </c>
      <c r="E13666" s="8">
        <v>0</v>
      </c>
      <c r="F13666" s="8">
        <v>544</v>
      </c>
    </row>
    <row r="13667" spans="1:6" ht="12.75">
      <c r="A13667" s="8">
        <v>43898.666909722218</v>
      </c>
      <c r="B13667" s="8" t="str">
        <f>HYPERLINK("https://twitter.com/jt_suryo","@jt_suryo")</f>
        <v>@jt_suryo</v>
      </c>
      <c r="C13667" s="8" t="s">
        <v>5080</v>
      </c>
      <c r="D13667" s="8">
        <v>164</v>
      </c>
      <c r="E13667" s="8">
        <v>0</v>
      </c>
      <c r="F13667" s="8">
        <v>724</v>
      </c>
    </row>
    <row r="13668" spans="1:6" ht="12.75">
      <c r="A13668" s="8">
        <v>43898.666678240741</v>
      </c>
      <c r="B13668" s="8" t="str">
        <f>HYPERLINK("https://twitter.com/korantempo","@korantempo")</f>
        <v>@korantempo</v>
      </c>
      <c r="C13668" s="8" t="s">
        <v>5475</v>
      </c>
      <c r="D13668" s="8">
        <v>2</v>
      </c>
      <c r="E13668" s="8">
        <v>0</v>
      </c>
      <c r="F13668" s="8">
        <v>1750731</v>
      </c>
    </row>
    <row r="13669" spans="1:6" ht="12.75">
      <c r="A13669" s="8">
        <v>43898.666574074072</v>
      </c>
      <c r="B13669" s="8" t="str">
        <f>HYPERLINK("https://twitter.com/RullyOedaya","@RullyOedaya")</f>
        <v>@RullyOedaya</v>
      </c>
      <c r="C13669" s="8" t="s">
        <v>5476</v>
      </c>
      <c r="D13669" s="8">
        <v>0</v>
      </c>
      <c r="E13669" s="8">
        <v>0</v>
      </c>
      <c r="F13669" s="8">
        <v>263</v>
      </c>
    </row>
    <row r="13670" spans="1:6" ht="12.75">
      <c r="A13670" s="8">
        <v>43898.666550925926</v>
      </c>
      <c r="B13670" s="8" t="str">
        <f>HYPERLINK("https://twitter.com/dayguano","@dayguano")</f>
        <v>@dayguano</v>
      </c>
      <c r="C13670" s="8" t="s">
        <v>5296</v>
      </c>
      <c r="D13670" s="8">
        <v>1</v>
      </c>
      <c r="E13670" s="8">
        <v>0</v>
      </c>
      <c r="F13670" s="8">
        <v>103</v>
      </c>
    </row>
    <row r="13671" spans="1:6" ht="12.75">
      <c r="A13671" s="8">
        <v>43898.66642361111</v>
      </c>
      <c r="B13671" s="8" t="str">
        <f>HYPERLINK("https://twitter.com/triwasono70","@triwasono70")</f>
        <v>@triwasono70</v>
      </c>
      <c r="C13671" s="8" t="s">
        <v>5477</v>
      </c>
      <c r="D13671" s="8">
        <v>0</v>
      </c>
      <c r="E13671" s="8">
        <v>0</v>
      </c>
      <c r="F13671" s="8">
        <v>5846</v>
      </c>
    </row>
    <row r="13672" spans="1:6" ht="12.75">
      <c r="A13672" s="8">
        <v>43898.666238425925</v>
      </c>
      <c r="B13672" s="8" t="str">
        <f>HYPERLINK("https://twitter.com/Danimas19","@Danimas19")</f>
        <v>@Danimas19</v>
      </c>
      <c r="C13672" s="8" t="s">
        <v>3213</v>
      </c>
      <c r="D13672" s="8">
        <v>338</v>
      </c>
      <c r="E13672" s="8">
        <v>0</v>
      </c>
      <c r="F13672" s="8">
        <v>113</v>
      </c>
    </row>
    <row r="13673" spans="1:6" ht="12.75">
      <c r="A13673" s="8">
        <v>43898.665810185186</v>
      </c>
      <c r="B13673" s="8" t="str">
        <f>HYPERLINK("https://twitter.com/LusiHQ","@LusiHQ")</f>
        <v>@LusiHQ</v>
      </c>
      <c r="C13673" s="8" t="s">
        <v>5080</v>
      </c>
      <c r="D13673" s="8">
        <v>164</v>
      </c>
      <c r="E13673" s="8">
        <v>0</v>
      </c>
      <c r="F13673" s="8">
        <v>17958</v>
      </c>
    </row>
    <row r="13674" spans="1:6" ht="12.75">
      <c r="A13674" s="8">
        <v>43898.665775462963</v>
      </c>
      <c r="B13674" s="8" t="str">
        <f>HYPERLINK("https://twitter.com/FerryM1","@FerryM1")</f>
        <v>@FerryM1</v>
      </c>
      <c r="C13674" s="8" t="s">
        <v>5468</v>
      </c>
      <c r="D13674" s="8">
        <v>3</v>
      </c>
      <c r="E13674" s="8">
        <v>0</v>
      </c>
      <c r="F13674" s="8">
        <v>2331</v>
      </c>
    </row>
    <row r="13675" spans="1:6" ht="12.75">
      <c r="A13675" s="8">
        <v>43898.66569444444</v>
      </c>
      <c r="B13675" s="8" t="str">
        <f>HYPERLINK("https://twitter.com/KBRI_Bangkok","@KBRI_Bangkok")</f>
        <v>@KBRI_Bangkok</v>
      </c>
      <c r="C13675" s="8" t="s">
        <v>5478</v>
      </c>
      <c r="D13675" s="8">
        <v>0</v>
      </c>
      <c r="E13675" s="8">
        <v>0</v>
      </c>
      <c r="F13675" s="8">
        <v>3933</v>
      </c>
    </row>
    <row r="13676" spans="1:6" ht="12.75">
      <c r="A13676" s="8">
        <v>43898.665532407409</v>
      </c>
      <c r="B13676" s="8" t="str">
        <f>HYPERLINK("https://twitter.com/lookatdust","@lookatdust")</f>
        <v>@lookatdust</v>
      </c>
      <c r="C13676" s="8" t="s">
        <v>3265</v>
      </c>
      <c r="D13676" s="8">
        <v>342</v>
      </c>
      <c r="E13676" s="8">
        <v>0</v>
      </c>
      <c r="F13676" s="8">
        <v>903</v>
      </c>
    </row>
    <row r="13677" spans="1:6" ht="12.75">
      <c r="A13677" s="8">
        <v>43898.665497685186</v>
      </c>
      <c r="B13677" s="8" t="str">
        <f>HYPERLINK("https://twitter.com/Enfianto","@Enfianto")</f>
        <v>@Enfianto</v>
      </c>
      <c r="C13677" s="8" t="s">
        <v>3265</v>
      </c>
      <c r="D13677" s="8">
        <v>342</v>
      </c>
      <c r="E13677" s="8">
        <v>0</v>
      </c>
      <c r="F13677" s="8">
        <v>1796</v>
      </c>
    </row>
    <row r="13678" spans="1:6" ht="12.75">
      <c r="A13678" s="8">
        <v>43898.665347222224</v>
      </c>
      <c r="B13678" s="8" t="str">
        <f>HYPERLINK("https://twitter.com/SelflessSoul_","@SelflessSoul_")</f>
        <v>@SelflessSoul_</v>
      </c>
      <c r="C13678" s="8" t="s">
        <v>5337</v>
      </c>
      <c r="D13678" s="8">
        <v>4</v>
      </c>
      <c r="E13678" s="8">
        <v>0</v>
      </c>
      <c r="F13678" s="8">
        <v>118</v>
      </c>
    </row>
    <row r="13679" spans="1:6" ht="12.75">
      <c r="A13679" s="8">
        <v>43898.665023148147</v>
      </c>
      <c r="B13679" s="8" t="str">
        <f>HYPERLINK("https://twitter.com/The_RealBan","@The_RealBan")</f>
        <v>@The_RealBan</v>
      </c>
      <c r="C13679" s="8" t="s">
        <v>5479</v>
      </c>
      <c r="D13679" s="8">
        <v>0</v>
      </c>
      <c r="E13679" s="8">
        <v>0</v>
      </c>
      <c r="F13679" s="8">
        <v>139</v>
      </c>
    </row>
    <row r="13680" spans="1:6" ht="12.75">
      <c r="A13680" s="8">
        <v>43898.664861111116</v>
      </c>
      <c r="B13680" s="8" t="str">
        <f>HYPERLINK("https://twitter.com/IndonesiainBern","@IndonesiainBern")</f>
        <v>@IndonesiainBern</v>
      </c>
      <c r="C13680" s="8" t="s">
        <v>1399</v>
      </c>
      <c r="D13680" s="8">
        <v>42</v>
      </c>
      <c r="E13680" s="8">
        <v>0</v>
      </c>
      <c r="F13680" s="8">
        <v>1826</v>
      </c>
    </row>
    <row r="13681" spans="1:6" ht="12.75">
      <c r="A13681" s="8">
        <v>43898.664525462962</v>
      </c>
      <c r="B13681" s="8" t="str">
        <f>HYPERLINK("https://twitter.com/thaib_solehudin","@thaib_solehudin")</f>
        <v>@thaib_solehudin</v>
      </c>
      <c r="C13681" s="8" t="s">
        <v>5480</v>
      </c>
      <c r="D13681" s="8">
        <v>0</v>
      </c>
      <c r="E13681" s="8">
        <v>0</v>
      </c>
      <c r="F13681" s="8">
        <v>8</v>
      </c>
    </row>
    <row r="13682" spans="1:6" ht="12.75">
      <c r="A13682" s="8">
        <v>43898.664305555554</v>
      </c>
      <c r="B13682" s="8" t="str">
        <f>HYPERLINK("https://twitter.com/Katherijuliani","@Katherijuliani")</f>
        <v>@Katherijuliani</v>
      </c>
      <c r="C13682" s="8" t="s">
        <v>5481</v>
      </c>
      <c r="D13682" s="8">
        <v>1</v>
      </c>
      <c r="E13682" s="8">
        <v>1</v>
      </c>
      <c r="F13682" s="8">
        <v>105</v>
      </c>
    </row>
    <row r="13683" spans="1:6" ht="12.75">
      <c r="A13683" s="8">
        <v>43898.664016203707</v>
      </c>
      <c r="B13683" s="8" t="str">
        <f>HYPERLINK("https://twitter.com/beingabhijeet95","@beingabhijeet95")</f>
        <v>@beingabhijeet95</v>
      </c>
      <c r="C13683" s="8" t="s">
        <v>5482</v>
      </c>
      <c r="D13683" s="8">
        <v>0</v>
      </c>
      <c r="E13683" s="8">
        <v>0</v>
      </c>
      <c r="F13683" s="8">
        <v>805</v>
      </c>
    </row>
    <row r="13684" spans="1:6" ht="12.75">
      <c r="A13684" s="8">
        <v>43898.66337962963</v>
      </c>
      <c r="B13684" s="8" t="str">
        <f>HYPERLINK("https://twitter.com/faizalassegaf","@faizalassegaf")</f>
        <v>@faizalassegaf</v>
      </c>
      <c r="C13684" s="8" t="s">
        <v>5483</v>
      </c>
      <c r="D13684" s="8">
        <v>1</v>
      </c>
      <c r="E13684" s="8">
        <v>5</v>
      </c>
      <c r="F13684" s="8">
        <v>52346</v>
      </c>
    </row>
    <row r="13685" spans="1:6" ht="12.75">
      <c r="A13685" s="8">
        <v>43898.662870370375</v>
      </c>
      <c r="B13685" s="8" t="str">
        <f>HYPERLINK("https://twitter.com/Bisniscom","@Bisniscom")</f>
        <v>@Bisniscom</v>
      </c>
      <c r="C13685" s="8" t="s">
        <v>5484</v>
      </c>
      <c r="D13685" s="8">
        <v>0</v>
      </c>
      <c r="E13685" s="8">
        <v>0</v>
      </c>
      <c r="F13685" s="8">
        <v>994262</v>
      </c>
    </row>
    <row r="13686" spans="1:6" ht="12.75">
      <c r="A13686" s="8">
        <v>43898.662858796291</v>
      </c>
      <c r="B13686" s="8" t="str">
        <f>HYPERLINK("https://twitter.com/Kabar24","@Kabar24")</f>
        <v>@Kabar24</v>
      </c>
      <c r="C13686" s="8" t="s">
        <v>5484</v>
      </c>
      <c r="D13686" s="8">
        <v>0</v>
      </c>
      <c r="E13686" s="8">
        <v>0</v>
      </c>
      <c r="F13686" s="8">
        <v>20214</v>
      </c>
    </row>
    <row r="13687" spans="1:6" ht="12.75">
      <c r="A13687" s="8">
        <v>43898.66206018519</v>
      </c>
      <c r="B13687" s="8" t="str">
        <f>HYPERLINK("https://twitter.com/AjahSanusi","@AjahSanusi")</f>
        <v>@AjahSanusi</v>
      </c>
      <c r="C13687" s="8" t="s">
        <v>5485</v>
      </c>
      <c r="D13687" s="8">
        <v>0</v>
      </c>
      <c r="E13687" s="8">
        <v>1</v>
      </c>
      <c r="F13687" s="8">
        <v>358</v>
      </c>
    </row>
    <row r="13688" spans="1:6" ht="12.75">
      <c r="A13688" s="8">
        <v>43898.661377314813</v>
      </c>
      <c r="B13688" s="8" t="str">
        <f>HYPERLINK("https://twitter.com/bpriady","@bpriady")</f>
        <v>@bpriady</v>
      </c>
      <c r="C13688" s="8" t="s">
        <v>5486</v>
      </c>
      <c r="D13688" s="8">
        <v>62</v>
      </c>
      <c r="E13688" s="8">
        <v>0</v>
      </c>
      <c r="F13688" s="8">
        <v>611</v>
      </c>
    </row>
    <row r="13689" spans="1:6" ht="12.75">
      <c r="A13689" s="8">
        <v>43898.661157407405</v>
      </c>
      <c r="B13689" s="8" t="str">
        <f>HYPERLINK("https://twitter.com/AyasSipenk","@AyasSipenk")</f>
        <v>@AyasSipenk</v>
      </c>
      <c r="C13689" s="8" t="s">
        <v>5080</v>
      </c>
      <c r="D13689" s="8">
        <v>164</v>
      </c>
      <c r="E13689" s="8">
        <v>0</v>
      </c>
      <c r="F13689" s="8">
        <v>1437</v>
      </c>
    </row>
    <row r="13690" spans="1:6" ht="12.75">
      <c r="A13690" s="8">
        <v>43898.661053240736</v>
      </c>
      <c r="B13690" s="8" t="str">
        <f>HYPERLINK("https://twitter.com/OneJenDirection","@OneJenDirection")</f>
        <v>@OneJenDirection</v>
      </c>
      <c r="C13690" s="8" t="s">
        <v>5487</v>
      </c>
      <c r="D13690" s="8">
        <v>0</v>
      </c>
      <c r="E13690" s="8">
        <v>0</v>
      </c>
      <c r="F13690" s="8">
        <v>14</v>
      </c>
    </row>
    <row r="13691" spans="1:6" ht="12.75">
      <c r="A13691" s="8">
        <v>43898.660868055551</v>
      </c>
      <c r="B13691" s="8" t="str">
        <f>HYPERLINK("https://twitter.com/DhimazAriya","@DhimazAriya")</f>
        <v>@DhimazAriya</v>
      </c>
      <c r="C13691" s="8" t="s">
        <v>4591</v>
      </c>
      <c r="D13691" s="8">
        <v>5</v>
      </c>
      <c r="E13691" s="8">
        <v>0</v>
      </c>
      <c r="F13691" s="8">
        <v>1733</v>
      </c>
    </row>
    <row r="13692" spans="1:6" ht="12.75">
      <c r="A13692" s="8">
        <v>43898.660752314812</v>
      </c>
      <c r="B13692" s="8" t="str">
        <f>HYPERLINK("https://twitter.com/Mulia07094480","@Mulia07094480")</f>
        <v>@Mulia07094480</v>
      </c>
      <c r="C13692" s="8" t="s">
        <v>5488</v>
      </c>
      <c r="D13692" s="8">
        <v>3</v>
      </c>
      <c r="E13692" s="8">
        <v>0</v>
      </c>
      <c r="F13692" s="8">
        <v>760</v>
      </c>
    </row>
    <row r="13693" spans="1:6" ht="12.75">
      <c r="A13693" s="8">
        <v>43898.660752314812</v>
      </c>
      <c r="B13693" s="8" t="str">
        <f>HYPERLINK("https://twitter.com/Uni_Melinda","@Uni_Melinda")</f>
        <v>@Uni_Melinda</v>
      </c>
      <c r="C13693" s="8" t="s">
        <v>1399</v>
      </c>
      <c r="D13693" s="8">
        <v>42</v>
      </c>
      <c r="E13693" s="8">
        <v>0</v>
      </c>
      <c r="F13693" s="8">
        <v>100</v>
      </c>
    </row>
    <row r="13694" spans="1:6" ht="12.75">
      <c r="A13694" s="8">
        <v>43898.660520833335</v>
      </c>
      <c r="B13694" s="8" t="str">
        <f>HYPERLINK("https://twitter.com/vianratulangi","@vianratulangi")</f>
        <v>@vianratulangi</v>
      </c>
      <c r="C13694" s="8" t="s">
        <v>4591</v>
      </c>
      <c r="D13694" s="8">
        <v>5</v>
      </c>
      <c r="E13694" s="8">
        <v>0</v>
      </c>
      <c r="F13694" s="8">
        <v>1577</v>
      </c>
    </row>
    <row r="13695" spans="1:6" ht="12.75">
      <c r="A13695" s="8">
        <v>43898.660081018519</v>
      </c>
      <c r="B13695" s="8" t="str">
        <f>HYPERLINK("https://twitter.com/cahya_orlando","@cahya_orlando")</f>
        <v>@cahya_orlando</v>
      </c>
      <c r="C13695" s="8" t="s">
        <v>3265</v>
      </c>
      <c r="D13695" s="8">
        <v>342</v>
      </c>
      <c r="E13695" s="8">
        <v>0</v>
      </c>
      <c r="F13695" s="8">
        <v>154</v>
      </c>
    </row>
    <row r="13696" spans="1:6" ht="12.75">
      <c r="A13696" s="8">
        <v>43898.659791666665</v>
      </c>
      <c r="B13696" s="8" t="str">
        <f>HYPERLINK("https://twitter.com/ruslanulla","@ruslanulla")</f>
        <v>@ruslanulla</v>
      </c>
      <c r="C13696" s="8" t="s">
        <v>4979</v>
      </c>
      <c r="D13696" s="8">
        <v>7</v>
      </c>
      <c r="E13696" s="8">
        <v>0</v>
      </c>
      <c r="F13696" s="8">
        <v>1083</v>
      </c>
    </row>
    <row r="13697" spans="1:6" ht="12.75">
      <c r="A13697" s="8">
        <v>43898.657743055555</v>
      </c>
      <c r="B13697" s="8" t="str">
        <f>HYPERLINK("https://twitter.com/KelikJoPas","@KelikJoPas")</f>
        <v>@KelikJoPas</v>
      </c>
      <c r="C13697" s="8" t="s">
        <v>3265</v>
      </c>
      <c r="D13697" s="8">
        <v>342</v>
      </c>
      <c r="E13697" s="8">
        <v>0</v>
      </c>
      <c r="F13697" s="8">
        <v>163</v>
      </c>
    </row>
    <row r="13698" spans="1:6" ht="12.75">
      <c r="A13698" s="8">
        <v>43898.65730324074</v>
      </c>
      <c r="B13698" s="8" t="str">
        <f>HYPERLINK("https://twitter.com/YudhAIkkyuU","@YudhAIkkyuU")</f>
        <v>@YudhAIkkyuU</v>
      </c>
      <c r="C13698" s="8" t="s">
        <v>5489</v>
      </c>
      <c r="D13698" s="8">
        <v>2</v>
      </c>
      <c r="E13698" s="8">
        <v>0</v>
      </c>
      <c r="F13698" s="8">
        <v>914</v>
      </c>
    </row>
    <row r="13699" spans="1:6" ht="12.75">
      <c r="A13699" s="8">
        <v>43898.656539351854</v>
      </c>
      <c r="B13699" s="8" t="str">
        <f>HYPERLINK("https://twitter.com/04_adisetiawan","@04_adisetiawan")</f>
        <v>@04_adisetiawan</v>
      </c>
      <c r="C13699" s="8" t="s">
        <v>5490</v>
      </c>
      <c r="D13699" s="8">
        <v>0</v>
      </c>
      <c r="E13699" s="8">
        <v>1</v>
      </c>
      <c r="F13699" s="8">
        <v>210</v>
      </c>
    </row>
    <row r="13700" spans="1:6" ht="12.75">
      <c r="A13700" s="8">
        <v>43898.655763888892</v>
      </c>
      <c r="B13700" s="8" t="str">
        <f>HYPERLINK("https://twitter.com/SpaceofBella","@SpaceofBella")</f>
        <v>@SpaceofBella</v>
      </c>
      <c r="C13700" s="8" t="s">
        <v>5491</v>
      </c>
      <c r="D13700" s="8">
        <v>0</v>
      </c>
      <c r="E13700" s="8">
        <v>0</v>
      </c>
      <c r="F13700" s="8">
        <v>119</v>
      </c>
    </row>
    <row r="13701" spans="1:6" ht="12.75">
      <c r="A13701" s="8">
        <v>43898.655763888892</v>
      </c>
      <c r="B13701" s="8" t="str">
        <f>HYPERLINK("https://twitter.com/HermanChow73","@HermanChow73")</f>
        <v>@HermanChow73</v>
      </c>
      <c r="C13701" s="8" t="s">
        <v>4591</v>
      </c>
      <c r="D13701" s="8">
        <v>5</v>
      </c>
      <c r="E13701" s="8">
        <v>0</v>
      </c>
      <c r="F13701" s="8">
        <v>3446</v>
      </c>
    </row>
    <row r="13702" spans="1:6" ht="12.75">
      <c r="A13702" s="8">
        <v>43898.655601851853</v>
      </c>
      <c r="B13702" s="8" t="str">
        <f>HYPERLINK("https://twitter.com/beraniadilhebat","@beraniadilhebat")</f>
        <v>@beraniadilhebat</v>
      </c>
      <c r="C13702" s="8" t="s">
        <v>3265</v>
      </c>
      <c r="D13702" s="8">
        <v>342</v>
      </c>
      <c r="E13702" s="8">
        <v>0</v>
      </c>
      <c r="F13702" s="8">
        <v>1303</v>
      </c>
    </row>
    <row r="13703" spans="1:6" ht="12.75">
      <c r="A13703" s="8">
        <v>43898.655347222222</v>
      </c>
      <c r="B13703" s="8" t="str">
        <f>HYPERLINK("https://twitter.com/TaufiqMarhaban","@TaufiqMarhaban")</f>
        <v>@TaufiqMarhaban</v>
      </c>
      <c r="C13703" s="8" t="s">
        <v>5492</v>
      </c>
      <c r="D13703" s="8">
        <v>0</v>
      </c>
      <c r="E13703" s="8">
        <v>0</v>
      </c>
      <c r="F13703" s="8">
        <v>1512</v>
      </c>
    </row>
    <row r="13704" spans="1:6" ht="12.75">
      <c r="A13704" s="8">
        <v>43898.655023148152</v>
      </c>
      <c r="B13704" s="8" t="str">
        <f>HYPERLINK("https://twitter.com/thesadblood","@thesadblood")</f>
        <v>@thesadblood</v>
      </c>
      <c r="C13704" s="8" t="s">
        <v>3192</v>
      </c>
      <c r="D13704" s="8">
        <v>56</v>
      </c>
      <c r="E13704" s="8">
        <v>0</v>
      </c>
      <c r="F13704" s="8">
        <v>568</v>
      </c>
    </row>
    <row r="13705" spans="1:6" ht="12.75">
      <c r="A13705" s="8">
        <v>43898.654733796298</v>
      </c>
      <c r="B13705" s="8" t="str">
        <f>HYPERLINK("https://twitter.com/HijrulAswad1","@HijrulAswad1")</f>
        <v>@HijrulAswad1</v>
      </c>
      <c r="C13705" s="8" t="s">
        <v>3467</v>
      </c>
      <c r="D13705" s="8">
        <v>198</v>
      </c>
      <c r="E13705" s="8">
        <v>0</v>
      </c>
      <c r="F13705" s="8">
        <v>46</v>
      </c>
    </row>
    <row r="13706" spans="1:6" ht="12.75">
      <c r="A13706" s="8">
        <v>43898.654502314814</v>
      </c>
      <c r="B13706" s="8" t="str">
        <f>HYPERLINK("https://twitter.com/combatchameIeon","@combatchameIeon")</f>
        <v>@combatchameIeon</v>
      </c>
      <c r="C13706" s="8" t="s">
        <v>5493</v>
      </c>
      <c r="D13706" s="8">
        <v>0</v>
      </c>
      <c r="E13706" s="8">
        <v>0</v>
      </c>
      <c r="F13706" s="8">
        <v>87</v>
      </c>
    </row>
    <row r="13707" spans="1:6" ht="12.75">
      <c r="A13707" s="8">
        <v>43898.654212962967</v>
      </c>
      <c r="B13707" s="8" t="str">
        <f>HYPERLINK("https://twitter.com/sukajalanterus","@sukajalanterus")</f>
        <v>@sukajalanterus</v>
      </c>
      <c r="C13707" s="8" t="s">
        <v>5494</v>
      </c>
      <c r="D13707" s="8">
        <v>6</v>
      </c>
      <c r="E13707" s="8">
        <v>0</v>
      </c>
      <c r="F13707" s="8">
        <v>315</v>
      </c>
    </row>
    <row r="13708" spans="1:6" ht="12.75">
      <c r="A13708" s="8">
        <v>43898.654178240744</v>
      </c>
      <c r="B13708" s="8" t="str">
        <f>HYPERLINK("https://twitter.com/all_arezkagana","@all_arezkagana")</f>
        <v>@all_arezkagana</v>
      </c>
      <c r="C13708" s="8" t="s">
        <v>5488</v>
      </c>
      <c r="D13708" s="8">
        <v>3</v>
      </c>
      <c r="E13708" s="8">
        <v>0</v>
      </c>
      <c r="F13708" s="8">
        <v>99</v>
      </c>
    </row>
    <row r="13709" spans="1:6" ht="12.75">
      <c r="A13709" s="8">
        <v>43898.653287037036</v>
      </c>
      <c r="B13709" s="8" t="str">
        <f>HYPERLINK("https://twitter.com/KBurger79","@KBurger79")</f>
        <v>@KBurger79</v>
      </c>
      <c r="C13709" s="8" t="s">
        <v>3265</v>
      </c>
      <c r="D13709" s="8">
        <v>342</v>
      </c>
      <c r="E13709" s="8">
        <v>0</v>
      </c>
      <c r="F13709" s="8">
        <v>713</v>
      </c>
    </row>
    <row r="13710" spans="1:6" ht="12.75">
      <c r="A13710" s="8">
        <v>43898.652974537035</v>
      </c>
      <c r="B13710" s="8" t="str">
        <f>HYPERLINK("https://twitter.com/mudha_satriya","@mudha_satriya")</f>
        <v>@mudha_satriya</v>
      </c>
      <c r="C13710" s="8" t="s">
        <v>5489</v>
      </c>
      <c r="D13710" s="8">
        <v>2</v>
      </c>
      <c r="E13710" s="8">
        <v>0</v>
      </c>
      <c r="F13710" s="8">
        <v>1886</v>
      </c>
    </row>
    <row r="13711" spans="1:6" ht="12.75">
      <c r="A13711" s="8">
        <v>43898.651620370365</v>
      </c>
      <c r="B13711" s="8" t="str">
        <f>HYPERLINK("https://twitter.com/cnbcindonesia","@cnbcindonesia")</f>
        <v>@cnbcindonesia</v>
      </c>
      <c r="C13711" s="8" t="s">
        <v>5495</v>
      </c>
      <c r="D13711" s="8">
        <v>3</v>
      </c>
      <c r="E13711" s="8">
        <v>1</v>
      </c>
      <c r="F13711" s="8">
        <v>31599</v>
      </c>
    </row>
    <row r="13712" spans="1:6" ht="12.75">
      <c r="A13712" s="8">
        <v>43898.651597222226</v>
      </c>
      <c r="B13712" s="8" t="str">
        <f>HYPERLINK("https://twitter.com/woozinism","@woozinism")</f>
        <v>@woozinism</v>
      </c>
      <c r="C13712" s="8" t="s">
        <v>5409</v>
      </c>
      <c r="D13712" s="8">
        <v>5</v>
      </c>
      <c r="E13712" s="8">
        <v>0</v>
      </c>
      <c r="F13712" s="8">
        <v>665</v>
      </c>
    </row>
    <row r="13713" spans="1:6" ht="12.75">
      <c r="A13713" s="8">
        <v>43898.651249999995</v>
      </c>
      <c r="B13713" s="8" t="str">
        <f>HYPERLINK("https://twitter.com/awanxbaia","@awanxbaia")</f>
        <v>@awanxbaia</v>
      </c>
      <c r="C13713" s="8" t="s">
        <v>5496</v>
      </c>
      <c r="D13713" s="8">
        <v>0</v>
      </c>
      <c r="E13713" s="8">
        <v>0</v>
      </c>
      <c r="F13713" s="8">
        <v>1036</v>
      </c>
    </row>
    <row r="13714" spans="1:6" ht="12.75">
      <c r="A13714" s="8">
        <v>43898.650960648149</v>
      </c>
      <c r="B13714" s="8" t="str">
        <f>HYPERLINK("https://twitter.com/benny_ibra","@benny_ibra")</f>
        <v>@benny_ibra</v>
      </c>
      <c r="C13714" s="8" t="s">
        <v>5086</v>
      </c>
      <c r="D13714" s="8">
        <v>21</v>
      </c>
      <c r="E13714" s="8">
        <v>0</v>
      </c>
      <c r="F13714" s="8">
        <v>1577</v>
      </c>
    </row>
    <row r="13715" spans="1:6" ht="12.75">
      <c r="A13715" s="8">
        <v>43898.650844907403</v>
      </c>
      <c r="B13715" s="8" t="str">
        <f>HYPERLINK("https://twitter.com/AdrisGaruda","@AdrisGaruda")</f>
        <v>@AdrisGaruda</v>
      </c>
      <c r="C13715" s="8" t="s">
        <v>3265</v>
      </c>
      <c r="D13715" s="8">
        <v>342</v>
      </c>
      <c r="E13715" s="8">
        <v>0</v>
      </c>
      <c r="F13715" s="8">
        <v>367</v>
      </c>
    </row>
    <row r="13716" spans="1:6" ht="12.75">
      <c r="A13716" s="8">
        <v>43898.650694444441</v>
      </c>
      <c r="B13716" s="8" t="str">
        <f>HYPERLINK("https://twitter.com/walktothemoon__","@walktothemoon__")</f>
        <v>@walktothemoon__</v>
      </c>
      <c r="C13716" s="8" t="s">
        <v>5409</v>
      </c>
      <c r="D13716" s="8">
        <v>5</v>
      </c>
      <c r="E13716" s="8">
        <v>0</v>
      </c>
      <c r="F13716" s="8">
        <v>1504</v>
      </c>
    </row>
    <row r="13717" spans="1:6" ht="12.75">
      <c r="A13717" s="8">
        <v>43898.650173611109</v>
      </c>
      <c r="B13717" s="8" t="str">
        <f>HYPERLINK("https://twitter.com/BeritaCOVID19","@BeritaCOVID19")</f>
        <v>@BeritaCOVID19</v>
      </c>
      <c r="C13717" s="8" t="s">
        <v>5497</v>
      </c>
      <c r="D13717" s="8">
        <v>5</v>
      </c>
      <c r="E13717" s="8">
        <v>13</v>
      </c>
      <c r="F13717" s="8">
        <v>19634</v>
      </c>
    </row>
    <row r="13718" spans="1:6" ht="12.75">
      <c r="A13718" s="8">
        <v>43898.64979166667</v>
      </c>
      <c r="B13718" s="8" t="str">
        <f>HYPERLINK("https://twitter.com/BatamPos","@BatamPos")</f>
        <v>@BatamPos</v>
      </c>
      <c r="C13718" s="8" t="s">
        <v>5498</v>
      </c>
      <c r="D13718" s="8">
        <v>0</v>
      </c>
      <c r="E13718" s="8">
        <v>0</v>
      </c>
      <c r="F13718" s="8">
        <v>67457</v>
      </c>
    </row>
    <row r="13719" spans="1:6" ht="12.75">
      <c r="A13719" s="8">
        <v>43898.64943287037</v>
      </c>
      <c r="B13719" s="8" t="str">
        <f>HYPERLINK("https://twitter.com/jawapos","@jawapos")</f>
        <v>@jawapos</v>
      </c>
      <c r="C13719" s="8" t="s">
        <v>5470</v>
      </c>
      <c r="D13719" s="8">
        <v>2</v>
      </c>
      <c r="E13719" s="8">
        <v>2</v>
      </c>
      <c r="F13719" s="8">
        <v>127729</v>
      </c>
    </row>
    <row r="13720" spans="1:6" ht="12.75">
      <c r="A13720" s="8">
        <v>43898.649085648147</v>
      </c>
      <c r="B13720" s="8" t="str">
        <f>HYPERLINK("https://twitter.com/evereeze","@evereeze")</f>
        <v>@evereeze</v>
      </c>
      <c r="C13720" s="8" t="s">
        <v>5494</v>
      </c>
      <c r="D13720" s="8">
        <v>6</v>
      </c>
      <c r="E13720" s="8">
        <v>0</v>
      </c>
      <c r="F13720" s="8">
        <v>319</v>
      </c>
    </row>
    <row r="13721" spans="1:6" ht="12.75">
      <c r="A13721" s="8">
        <v>43898.649016203708</v>
      </c>
      <c r="B13721" s="8" t="str">
        <f>HYPERLINK("https://twitter.com/cendananews","@cendananews")</f>
        <v>@cendananews</v>
      </c>
      <c r="C13721" s="8" t="s">
        <v>5499</v>
      </c>
      <c r="D13721" s="8">
        <v>0</v>
      </c>
      <c r="E13721" s="8">
        <v>0</v>
      </c>
      <c r="F13721" s="8">
        <v>4570</v>
      </c>
    </row>
    <row r="13722" spans="1:6" ht="12.75">
      <c r="A13722" s="8">
        <v>43898.648819444439</v>
      </c>
      <c r="B13722" s="8" t="str">
        <f>HYPERLINK("https://twitter.com/MAlexandriet","@MAlexandriet")</f>
        <v>@MAlexandriet</v>
      </c>
      <c r="C13722" s="8" t="s">
        <v>5080</v>
      </c>
      <c r="D13722" s="8">
        <v>164</v>
      </c>
      <c r="E13722" s="8">
        <v>0</v>
      </c>
      <c r="F13722" s="8">
        <v>208</v>
      </c>
    </row>
    <row r="13723" spans="1:6" ht="12.75">
      <c r="A13723" s="8">
        <v>43898.648009259261</v>
      </c>
      <c r="B13723" s="8" t="str">
        <f>HYPERLINK("https://twitter.com/cornelladonara","@cornelladonara")</f>
        <v>@cornelladonara</v>
      </c>
      <c r="C13723" s="8" t="s">
        <v>5156</v>
      </c>
      <c r="D13723" s="8">
        <v>7</v>
      </c>
      <c r="E13723" s="8">
        <v>0</v>
      </c>
      <c r="F13723" s="8">
        <v>1600</v>
      </c>
    </row>
    <row r="13724" spans="1:6" ht="12.75">
      <c r="A13724" s="8">
        <v>43898.646574074075</v>
      </c>
      <c r="B13724" s="8" t="str">
        <f>HYPERLINK("https://twitter.com/rizayudis","@rizayudis")</f>
        <v>@rizayudis</v>
      </c>
      <c r="C13724" s="8" t="s">
        <v>5500</v>
      </c>
      <c r="D13724" s="8">
        <v>0</v>
      </c>
      <c r="E13724" s="8">
        <v>0</v>
      </c>
      <c r="F13724" s="8">
        <v>34</v>
      </c>
    </row>
    <row r="13725" spans="1:6" ht="12.75">
      <c r="A13725" s="8">
        <v>43898.645671296297</v>
      </c>
      <c r="B13725" s="8" t="str">
        <f>HYPERLINK("https://twitter.com/Balistta","@Balistta")</f>
        <v>@Balistta</v>
      </c>
      <c r="C13725" s="8" t="s">
        <v>5501</v>
      </c>
      <c r="D13725" s="8">
        <v>0</v>
      </c>
      <c r="E13725" s="8">
        <v>0</v>
      </c>
      <c r="F13725" s="8">
        <v>265</v>
      </c>
    </row>
    <row r="13726" spans="1:6" ht="12.75">
      <c r="A13726" s="8">
        <v>43898.645567129628</v>
      </c>
      <c r="B13726" s="8" t="str">
        <f>HYPERLINK("https://twitter.com/Zackf77156873","@Zackf77156873")</f>
        <v>@Zackf77156873</v>
      </c>
      <c r="C13726" s="8" t="s">
        <v>4591</v>
      </c>
      <c r="D13726" s="8">
        <v>5</v>
      </c>
      <c r="E13726" s="8">
        <v>0</v>
      </c>
      <c r="F13726" s="8">
        <v>237</v>
      </c>
    </row>
    <row r="13727" spans="1:6" ht="12.75">
      <c r="A13727" s="8">
        <v>43898.64543981482</v>
      </c>
      <c r="B13727" s="8" t="str">
        <f>HYPERLINK("https://twitter.com/VaniaVaniaA","@VaniaVaniaA")</f>
        <v>@VaniaVaniaA</v>
      </c>
      <c r="C13727" s="8" t="s">
        <v>3132</v>
      </c>
      <c r="D13727" s="8">
        <v>139</v>
      </c>
      <c r="E13727" s="8">
        <v>0</v>
      </c>
      <c r="F13727" s="8">
        <v>1965</v>
      </c>
    </row>
    <row r="13728" spans="1:6" ht="12.75">
      <c r="A13728" s="8">
        <v>43898.645416666666</v>
      </c>
      <c r="B13728" s="8" t="str">
        <f>HYPERLINK("https://twitter.com/tereeeteret","@tereeeteret")</f>
        <v>@tereeeteret</v>
      </c>
      <c r="C13728" s="8" t="s">
        <v>5502</v>
      </c>
      <c r="D13728" s="8">
        <v>0</v>
      </c>
      <c r="E13728" s="8">
        <v>0</v>
      </c>
      <c r="F13728" s="8">
        <v>6</v>
      </c>
    </row>
    <row r="13729" spans="1:6" ht="12.75">
      <c r="A13729" s="8">
        <v>43898.645335648151</v>
      </c>
      <c r="B13729" s="8" t="str">
        <f>HYPERLINK("https://twitter.com/JhonPigai","@JhonPigai")</f>
        <v>@JhonPigai</v>
      </c>
      <c r="C13729" s="8" t="s">
        <v>5503</v>
      </c>
      <c r="D13729" s="8">
        <v>0</v>
      </c>
      <c r="E13729" s="8">
        <v>0</v>
      </c>
      <c r="F13729" s="8">
        <v>0</v>
      </c>
    </row>
    <row r="13730" spans="1:6" ht="12.75">
      <c r="A13730" s="8">
        <v>43898.645208333328</v>
      </c>
      <c r="B13730" s="8" t="str">
        <f>HYPERLINK("https://twitter.com/Ferry92754797","@Ferry92754797")</f>
        <v>@Ferry92754797</v>
      </c>
      <c r="C13730" s="8" t="s">
        <v>5080</v>
      </c>
      <c r="D13730" s="8">
        <v>164</v>
      </c>
      <c r="E13730" s="8">
        <v>0</v>
      </c>
      <c r="F13730" s="8">
        <v>98</v>
      </c>
    </row>
    <row r="13731" spans="1:6" ht="12.75">
      <c r="A13731" s="8">
        <v>43898.644363425927</v>
      </c>
      <c r="B13731" s="8" t="str">
        <f>HYPERLINK("https://twitter.com/Sofie50098378","@Sofie50098378")</f>
        <v>@Sofie50098378</v>
      </c>
      <c r="C13731" s="8" t="s">
        <v>5504</v>
      </c>
      <c r="D13731" s="8">
        <v>0</v>
      </c>
      <c r="E13731" s="8">
        <v>0</v>
      </c>
      <c r="F13731" s="8">
        <v>1120</v>
      </c>
    </row>
    <row r="13732" spans="1:6" ht="12.75">
      <c r="A13732" s="8">
        <v>43898.644317129627</v>
      </c>
      <c r="B13732" s="8" t="str">
        <f>HYPERLINK("https://twitter.com/Badu57216145","@Badu57216145")</f>
        <v>@Badu57216145</v>
      </c>
      <c r="C13732" s="8" t="s">
        <v>5080</v>
      </c>
      <c r="D13732" s="8">
        <v>164</v>
      </c>
      <c r="E13732" s="8">
        <v>0</v>
      </c>
      <c r="F13732" s="8">
        <v>2</v>
      </c>
    </row>
    <row r="13733" spans="1:6" ht="12.75">
      <c r="A13733" s="8">
        <v>43898.631319444445</v>
      </c>
      <c r="B13733" s="8" t="str">
        <f>HYPERLINK("https://twitter.com/lostcat666","@lostcat666")</f>
        <v>@lostcat666</v>
      </c>
      <c r="C13733" s="8" t="s">
        <v>5505</v>
      </c>
      <c r="D13733" s="8">
        <v>1</v>
      </c>
      <c r="E13733" s="8">
        <v>0</v>
      </c>
      <c r="F13733" s="8">
        <v>118</v>
      </c>
    </row>
    <row r="13734" spans="1:6" ht="12.75">
      <c r="A13734" s="8">
        <v>43898.631053240737</v>
      </c>
      <c r="B13734" s="8" t="str">
        <f>HYPERLINK("https://twitter.com/heri_purnama","@heri_purnama")</f>
        <v>@heri_purnama</v>
      </c>
      <c r="C13734" s="8" t="s">
        <v>5080</v>
      </c>
      <c r="D13734" s="8">
        <v>152</v>
      </c>
      <c r="E13734" s="8">
        <v>0</v>
      </c>
      <c r="F13734" s="8">
        <v>522</v>
      </c>
    </row>
    <row r="13735" spans="1:6" ht="12.75">
      <c r="A13735" s="8">
        <v>43898.630868055552</v>
      </c>
      <c r="B13735" s="8" t="str">
        <f>HYPERLINK("https://twitter.com/tua_serdadu","@tua_serdadu")</f>
        <v>@tua_serdadu</v>
      </c>
      <c r="C13735" s="8" t="s">
        <v>5506</v>
      </c>
      <c r="D13735" s="8">
        <v>5</v>
      </c>
      <c r="E13735" s="8">
        <v>0</v>
      </c>
      <c r="F13735" s="8">
        <v>1237</v>
      </c>
    </row>
    <row r="13736" spans="1:6" ht="12.75">
      <c r="A13736" s="8">
        <v>43898.630752314813</v>
      </c>
      <c r="B13736" s="8" t="str">
        <f>HYPERLINK("https://twitter.com/SoesantoPrayogi","@SoesantoPrayogi")</f>
        <v>@SoesantoPrayogi</v>
      </c>
      <c r="C13736" s="8" t="s">
        <v>5507</v>
      </c>
      <c r="D13736" s="8">
        <v>6</v>
      </c>
      <c r="E13736" s="8">
        <v>0</v>
      </c>
      <c r="F13736" s="8">
        <v>1271</v>
      </c>
    </row>
    <row r="13737" spans="1:6" ht="12.75">
      <c r="A13737" s="8">
        <v>43898.629699074074</v>
      </c>
      <c r="B13737" s="8" t="str">
        <f>HYPERLINK("https://twitter.com/Beritasatu","@Beritasatu")</f>
        <v>@Beritasatu</v>
      </c>
      <c r="C13737" s="8" t="s">
        <v>5508</v>
      </c>
      <c r="D13737" s="8">
        <v>1</v>
      </c>
      <c r="E13737" s="8">
        <v>0</v>
      </c>
      <c r="F13737" s="8">
        <v>618407</v>
      </c>
    </row>
    <row r="13738" spans="1:6" ht="12.75">
      <c r="A13738" s="8">
        <v>43898.629467592589</v>
      </c>
      <c r="B13738" s="8" t="str">
        <f t="shared" ref="B13738:B13739" si="207">HYPERLINK("https://twitter.com/wni_jmsri","@wni_jmsri")</f>
        <v>@wni_jmsri</v>
      </c>
      <c r="C13738" s="8" t="s">
        <v>5509</v>
      </c>
      <c r="D13738" s="8">
        <v>19</v>
      </c>
      <c r="E13738" s="8">
        <v>0</v>
      </c>
      <c r="F13738" s="8">
        <v>204</v>
      </c>
    </row>
    <row r="13739" spans="1:6" ht="12.75">
      <c r="A13739" s="8">
        <v>43898.62872685185</v>
      </c>
      <c r="B13739" s="8" t="str">
        <f t="shared" si="207"/>
        <v>@wni_jmsri</v>
      </c>
      <c r="C13739" s="8" t="s">
        <v>5510</v>
      </c>
      <c r="D13739" s="8">
        <v>30</v>
      </c>
      <c r="E13739" s="8">
        <v>0</v>
      </c>
      <c r="F13739" s="8">
        <v>204</v>
      </c>
    </row>
    <row r="13740" spans="1:6" ht="12.75">
      <c r="A13740" s="8">
        <v>43898.628703703704</v>
      </c>
      <c r="B13740" s="8" t="str">
        <f>HYPERLINK("https://twitter.com/adipalguna4","@adipalguna4")</f>
        <v>@adipalguna4</v>
      </c>
      <c r="C13740" s="8" t="s">
        <v>5511</v>
      </c>
      <c r="D13740" s="8">
        <v>18</v>
      </c>
      <c r="E13740" s="8">
        <v>0</v>
      </c>
      <c r="F13740" s="8">
        <v>232</v>
      </c>
    </row>
    <row r="13741" spans="1:6" ht="12.75">
      <c r="A13741" s="8">
        <v>43898.628668981481</v>
      </c>
      <c r="B13741" s="8" t="str">
        <f>HYPERLINK("https://twitter.com/wni_jmsri","@wni_jmsri")</f>
        <v>@wni_jmsri</v>
      </c>
      <c r="C13741" s="8" t="s">
        <v>5512</v>
      </c>
      <c r="D13741" s="8">
        <v>12</v>
      </c>
      <c r="E13741" s="8">
        <v>0</v>
      </c>
      <c r="F13741" s="8">
        <v>204</v>
      </c>
    </row>
    <row r="13742" spans="1:6" ht="12.75">
      <c r="A13742" s="8">
        <v>43898.628414351857</v>
      </c>
      <c r="B13742" s="8" t="str">
        <f>HYPERLINK("https://twitter.com/Yudistira671","@Yudistira671")</f>
        <v>@Yudistira671</v>
      </c>
      <c r="C13742" s="8" t="s">
        <v>5506</v>
      </c>
      <c r="D13742" s="8">
        <v>5</v>
      </c>
      <c r="E13742" s="8">
        <v>0</v>
      </c>
      <c r="F13742" s="8">
        <v>2190</v>
      </c>
    </row>
    <row r="13743" spans="1:6" ht="12.75">
      <c r="A13743" s="8">
        <v>43898.628379629634</v>
      </c>
      <c r="B13743" s="8" t="str">
        <f>HYPERLINK("https://twitter.com/andrenumbersix","@andrenumbersix")</f>
        <v>@andrenumbersix</v>
      </c>
      <c r="C13743" s="8" t="s">
        <v>5513</v>
      </c>
      <c r="D13743" s="8">
        <v>0</v>
      </c>
      <c r="E13743" s="8">
        <v>0</v>
      </c>
      <c r="F13743" s="8">
        <v>13</v>
      </c>
    </row>
    <row r="13744" spans="1:6" ht="12.75">
      <c r="A13744" s="8">
        <v>43898.627812499995</v>
      </c>
      <c r="B13744" s="8" t="str">
        <f>HYPERLINK("https://twitter.com/ISIS_Balik_NO","@ISIS_Balik_NO")</f>
        <v>@ISIS_Balik_NO</v>
      </c>
      <c r="C13744" s="8" t="s">
        <v>5514</v>
      </c>
      <c r="D13744" s="8">
        <v>0</v>
      </c>
      <c r="E13744" s="8">
        <v>0</v>
      </c>
      <c r="F13744" s="8">
        <v>6167</v>
      </c>
    </row>
    <row r="13745" spans="1:6" ht="12.75">
      <c r="A13745" s="8">
        <v>43898.627754629633</v>
      </c>
      <c r="B13745" s="8" t="str">
        <f>HYPERLINK("https://twitter.com/wni_jmsri","@wni_jmsri")</f>
        <v>@wni_jmsri</v>
      </c>
      <c r="C13745" s="8" t="s">
        <v>5515</v>
      </c>
      <c r="D13745" s="8">
        <v>28</v>
      </c>
      <c r="E13745" s="8">
        <v>0</v>
      </c>
      <c r="F13745" s="8">
        <v>204</v>
      </c>
    </row>
    <row r="13746" spans="1:6" ht="12.75">
      <c r="A13746" s="8">
        <v>43898.626261574071</v>
      </c>
      <c r="B13746" s="8" t="str">
        <f>HYPERLINK("https://twitter.com/ISIS_Balik_NO","@ISIS_Balik_NO")</f>
        <v>@ISIS_Balik_NO</v>
      </c>
      <c r="C13746" s="8" t="s">
        <v>5516</v>
      </c>
      <c r="D13746" s="8">
        <v>0</v>
      </c>
      <c r="E13746" s="8">
        <v>0</v>
      </c>
      <c r="F13746" s="8">
        <v>6167</v>
      </c>
    </row>
    <row r="13747" spans="1:6" ht="12.75">
      <c r="A13747" s="8">
        <v>43898.626076388886</v>
      </c>
      <c r="B13747" s="8" t="str">
        <f>HYPERLINK("https://twitter.com/covesiacom","@covesiacom")</f>
        <v>@covesiacom</v>
      </c>
      <c r="C13747" s="8" t="s">
        <v>5517</v>
      </c>
      <c r="D13747" s="8">
        <v>0</v>
      </c>
      <c r="E13747" s="8">
        <v>0</v>
      </c>
      <c r="F13747" s="8">
        <v>6173</v>
      </c>
    </row>
    <row r="13748" spans="1:6" ht="12.75">
      <c r="A13748" s="8">
        <v>43898.626064814816</v>
      </c>
      <c r="B13748" s="8" t="str">
        <f>HYPERLINK("https://twitter.com/Indonesianews15","@Indonesianews15")</f>
        <v>@Indonesianews15</v>
      </c>
      <c r="C13748" s="8" t="s">
        <v>5518</v>
      </c>
      <c r="D13748" s="8">
        <v>0</v>
      </c>
      <c r="E13748" s="8">
        <v>0</v>
      </c>
      <c r="F13748" s="8">
        <v>13017</v>
      </c>
    </row>
    <row r="13749" spans="1:6" ht="12.75">
      <c r="A13749" s="8">
        <v>43898.625972222224</v>
      </c>
      <c r="B13749" s="8" t="str">
        <f>HYPERLINK("https://twitter.com/covesiacom","@covesiacom")</f>
        <v>@covesiacom</v>
      </c>
      <c r="C13749" s="8" t="s">
        <v>5519</v>
      </c>
      <c r="D13749" s="8">
        <v>0</v>
      </c>
      <c r="E13749" s="8">
        <v>0</v>
      </c>
      <c r="F13749" s="8">
        <v>6173</v>
      </c>
    </row>
    <row r="13750" spans="1:6" ht="12.75">
      <c r="A13750" s="8">
        <v>43898.62498842593</v>
      </c>
      <c r="B13750" s="8" t="str">
        <f>HYPERLINK("https://twitter.com/katatodaycom","@katatodaycom")</f>
        <v>@katatodaycom</v>
      </c>
      <c r="C13750" s="8" t="s">
        <v>5520</v>
      </c>
      <c r="D13750" s="8">
        <v>0</v>
      </c>
      <c r="E13750" s="8">
        <v>0</v>
      </c>
      <c r="F13750" s="8">
        <v>1297</v>
      </c>
    </row>
    <row r="13751" spans="1:6" ht="12.75">
      <c r="A13751" s="8">
        <v>43898.624189814815</v>
      </c>
      <c r="B13751" s="8" t="str">
        <f t="shared" ref="B13751:B13754" si="208">HYPERLINK("https://twitter.com/sofia_sudarma","@sofia_sudarma")</f>
        <v>@sofia_sudarma</v>
      </c>
      <c r="C13751" s="8" t="s">
        <v>5521</v>
      </c>
      <c r="D13751" s="8">
        <v>1</v>
      </c>
      <c r="E13751" s="8">
        <v>0</v>
      </c>
      <c r="F13751" s="8">
        <v>862</v>
      </c>
    </row>
    <row r="13752" spans="1:6" ht="12.75">
      <c r="A13752" s="8">
        <v>43898.624155092592</v>
      </c>
      <c r="B13752" s="8" t="str">
        <f t="shared" si="208"/>
        <v>@sofia_sudarma</v>
      </c>
      <c r="C13752" s="8" t="s">
        <v>5522</v>
      </c>
      <c r="D13752" s="8">
        <v>19</v>
      </c>
      <c r="E13752" s="8">
        <v>0</v>
      </c>
      <c r="F13752" s="8">
        <v>862</v>
      </c>
    </row>
    <row r="13753" spans="1:6" ht="12.75">
      <c r="A13753" s="8">
        <v>43898.622523148151</v>
      </c>
      <c r="B13753" s="8" t="str">
        <f t="shared" si="208"/>
        <v>@sofia_sudarma</v>
      </c>
      <c r="C13753" s="8" t="s">
        <v>5523</v>
      </c>
      <c r="D13753" s="8">
        <v>6</v>
      </c>
      <c r="E13753" s="8">
        <v>0</v>
      </c>
      <c r="F13753" s="8">
        <v>862</v>
      </c>
    </row>
    <row r="13754" spans="1:6" ht="12.75">
      <c r="A13754" s="8">
        <v>43898.622349537036</v>
      </c>
      <c r="B13754" s="8" t="str">
        <f t="shared" si="208"/>
        <v>@sofia_sudarma</v>
      </c>
      <c r="C13754" s="8" t="s">
        <v>5524</v>
      </c>
      <c r="D13754" s="8">
        <v>5</v>
      </c>
      <c r="E13754" s="8">
        <v>0</v>
      </c>
      <c r="F13754" s="8">
        <v>862</v>
      </c>
    </row>
    <row r="13755" spans="1:6" ht="12.75">
      <c r="A13755" s="8">
        <v>43898.622175925921</v>
      </c>
      <c r="B13755" s="8" t="str">
        <f>HYPERLINK("https://twitter.com/salis_darma","@salis_darma")</f>
        <v>@salis_darma</v>
      </c>
      <c r="C13755" s="8" t="s">
        <v>5525</v>
      </c>
      <c r="D13755" s="8">
        <v>0</v>
      </c>
      <c r="E13755" s="8">
        <v>0</v>
      </c>
      <c r="F13755" s="8">
        <v>54</v>
      </c>
    </row>
    <row r="13756" spans="1:6" ht="12.75">
      <c r="A13756" s="8">
        <v>43898.621516203704</v>
      </c>
      <c r="B13756" s="8" t="str">
        <f>HYPERLINK("https://twitter.com/nettydwih","@nettydwih")</f>
        <v>@nettydwih</v>
      </c>
      <c r="C13756" s="8" t="s">
        <v>5440</v>
      </c>
      <c r="D13756" s="8">
        <v>2</v>
      </c>
      <c r="E13756" s="8">
        <v>0</v>
      </c>
      <c r="F13756" s="8">
        <v>359</v>
      </c>
    </row>
    <row r="13757" spans="1:6" ht="12.75">
      <c r="A13757" s="8">
        <v>43898.621458333335</v>
      </c>
      <c r="B13757" s="8" t="str">
        <f>HYPERLINK("https://twitter.com/lena_vilian","@lena_vilian")</f>
        <v>@lena_vilian</v>
      </c>
      <c r="C13757" s="8" t="s">
        <v>5526</v>
      </c>
      <c r="D13757" s="8">
        <v>0</v>
      </c>
      <c r="E13757" s="8">
        <v>0</v>
      </c>
      <c r="F13757" s="8">
        <v>158</v>
      </c>
    </row>
    <row r="13758" spans="1:6" ht="12.75">
      <c r="A13758" s="8">
        <v>43898.620949074073</v>
      </c>
      <c r="B13758" s="8" t="str">
        <f>HYPERLINK("https://twitter.com/antaranews","@antaranews")</f>
        <v>@antaranews</v>
      </c>
      <c r="C13758" s="8" t="s">
        <v>5527</v>
      </c>
      <c r="D13758" s="8">
        <v>0</v>
      </c>
      <c r="E13758" s="8">
        <v>0</v>
      </c>
      <c r="F13758" s="8">
        <v>1106926</v>
      </c>
    </row>
    <row r="13759" spans="1:6" ht="12.75">
      <c r="A13759" s="8">
        <v>43898.620266203703</v>
      </c>
      <c r="B13759" s="8" t="str">
        <f>HYPERLINK("https://twitter.com/evereeze","@evereeze")</f>
        <v>@evereeze</v>
      </c>
      <c r="C13759" s="8" t="s">
        <v>5528</v>
      </c>
      <c r="D13759" s="8">
        <v>4</v>
      </c>
      <c r="E13759" s="8">
        <v>0</v>
      </c>
      <c r="F13759" s="8">
        <v>317</v>
      </c>
    </row>
    <row r="13760" spans="1:6" ht="12.75">
      <c r="A13760" s="8">
        <v>43898.62023148148</v>
      </c>
      <c r="B13760" s="8" t="str">
        <f>HYPERLINK("https://twitter.com/reizamohammad","@reizamohammad")</f>
        <v>@reizamohammad</v>
      </c>
      <c r="C13760" s="8" t="s">
        <v>5529</v>
      </c>
      <c r="D13760" s="8">
        <v>2</v>
      </c>
      <c r="E13760" s="8">
        <v>0</v>
      </c>
      <c r="F13760" s="8">
        <v>205</v>
      </c>
    </row>
    <row r="13761" spans="1:6" ht="12.75">
      <c r="A13761" s="8">
        <v>43898.620219907403</v>
      </c>
      <c r="B13761" s="8" t="str">
        <f>HYPERLINK("https://twitter.com/Qonitah33570427","@Qonitah33570427")</f>
        <v>@Qonitah33570427</v>
      </c>
      <c r="C13761" s="8" t="s">
        <v>5530</v>
      </c>
      <c r="D13761" s="8">
        <v>0</v>
      </c>
      <c r="E13761" s="8">
        <v>0</v>
      </c>
      <c r="F13761" s="8">
        <v>7</v>
      </c>
    </row>
    <row r="13762" spans="1:6" ht="12.75">
      <c r="A13762" s="8">
        <v>43898.620208333334</v>
      </c>
      <c r="B13762" s="8" t="str">
        <f>HYPERLINK("https://twitter.com/CitraKamila14","@CitraKamila14")</f>
        <v>@CitraKamila14</v>
      </c>
      <c r="C13762" s="8" t="s">
        <v>5530</v>
      </c>
      <c r="D13762" s="8">
        <v>0</v>
      </c>
      <c r="E13762" s="8">
        <v>0</v>
      </c>
      <c r="F13762" s="8">
        <v>5</v>
      </c>
    </row>
    <row r="13763" spans="1:6" ht="12.75">
      <c r="A13763" s="8">
        <v>43898.619594907403</v>
      </c>
      <c r="B13763" s="8" t="str">
        <f>HYPERLINK("https://twitter.com/merisshintia01","@merisshintia01")</f>
        <v>@merisshintia01</v>
      </c>
      <c r="C13763" s="8" t="s">
        <v>5531</v>
      </c>
      <c r="D13763" s="8">
        <v>0</v>
      </c>
      <c r="E13763" s="8">
        <v>0</v>
      </c>
      <c r="F13763" s="8">
        <v>351</v>
      </c>
    </row>
    <row r="13764" spans="1:6" ht="12.75">
      <c r="A13764" s="8">
        <v>43898.619386574079</v>
      </c>
      <c r="B13764" s="8" t="str">
        <f>HYPERLINK("https://twitter.com/manyun_tgl","@manyun_tgl")</f>
        <v>@manyun_tgl</v>
      </c>
      <c r="C13764" s="8" t="s">
        <v>5532</v>
      </c>
      <c r="D13764" s="8">
        <v>0</v>
      </c>
      <c r="E13764" s="8">
        <v>0</v>
      </c>
      <c r="F13764" s="8">
        <v>14</v>
      </c>
    </row>
    <row r="13765" spans="1:6" ht="12.75">
      <c r="A13765" s="8">
        <v>43898.618692129632</v>
      </c>
      <c r="B13765" s="8" t="str">
        <f>HYPERLINK("https://twitter.com/BORNEONEWS","@BORNEONEWS")</f>
        <v>@BORNEONEWS</v>
      </c>
      <c r="C13765" s="8" t="s">
        <v>5533</v>
      </c>
      <c r="D13765" s="8">
        <v>0</v>
      </c>
      <c r="E13765" s="8">
        <v>0</v>
      </c>
      <c r="F13765" s="8">
        <v>6957</v>
      </c>
    </row>
    <row r="13766" spans="1:6" ht="12.75">
      <c r="A13766" s="8">
        <v>43898.61855324074</v>
      </c>
      <c r="B13766" s="8" t="str">
        <f>HYPERLINK("https://twitter.com/Pudjis2","@Pudjis2")</f>
        <v>@Pudjis2</v>
      </c>
      <c r="C13766" s="8" t="s">
        <v>5530</v>
      </c>
      <c r="D13766" s="8">
        <v>0</v>
      </c>
      <c r="E13766" s="8">
        <v>0</v>
      </c>
      <c r="F13766" s="8">
        <v>4</v>
      </c>
    </row>
    <row r="13767" spans="1:6" ht="12.75">
      <c r="A13767" s="8">
        <v>43898.618275462963</v>
      </c>
      <c r="B13767" s="8" t="str">
        <f>HYPERLINK("https://twitter.com/bonitakamala1","@bonitakamala1")</f>
        <v>@bonitakamala1</v>
      </c>
      <c r="C13767" s="8" t="s">
        <v>5530</v>
      </c>
      <c r="D13767" s="8">
        <v>0</v>
      </c>
      <c r="E13767" s="8">
        <v>0</v>
      </c>
      <c r="F13767" s="8">
        <v>4</v>
      </c>
    </row>
    <row r="13768" spans="1:6" ht="12.75">
      <c r="A13768" s="8">
        <v>43898.61824074074</v>
      </c>
      <c r="B13768" s="8" t="str">
        <f>HYPERLINK("https://twitter.com/mispanokto","@mispanokto")</f>
        <v>@mispanokto</v>
      </c>
      <c r="C13768" s="8" t="s">
        <v>1376</v>
      </c>
      <c r="D13768" s="8">
        <v>57</v>
      </c>
      <c r="E13768" s="8">
        <v>0</v>
      </c>
      <c r="F13768" s="8">
        <v>16</v>
      </c>
    </row>
    <row r="13769" spans="1:6" ht="12.75">
      <c r="A13769" s="8">
        <v>43898.617800925931</v>
      </c>
      <c r="B13769" s="8" t="str">
        <f>HYPERLINK("https://twitter.com/Bp_HasbiJunaedi","@Bp_HasbiJunaedi")</f>
        <v>@Bp_HasbiJunaedi</v>
      </c>
      <c r="C13769" s="8" t="s">
        <v>5494</v>
      </c>
      <c r="D13769" s="8">
        <v>4</v>
      </c>
      <c r="E13769" s="8">
        <v>0</v>
      </c>
      <c r="F13769" s="8">
        <v>12</v>
      </c>
    </row>
    <row r="13770" spans="1:6" ht="12.75">
      <c r="A13770" s="8">
        <v>43898.617465277777</v>
      </c>
      <c r="B13770" s="8" t="str">
        <f>HYPERLINK("https://twitter.com/febriantikaAS","@febriantikaAS")</f>
        <v>@febriantikaAS</v>
      </c>
      <c r="C13770" s="8" t="s">
        <v>5534</v>
      </c>
      <c r="D13770" s="8">
        <v>0</v>
      </c>
      <c r="E13770" s="8">
        <v>0</v>
      </c>
      <c r="F13770" s="8">
        <v>321</v>
      </c>
    </row>
    <row r="13771" spans="1:6" ht="12.75">
      <c r="A13771" s="8">
        <v>43898.617280092592</v>
      </c>
      <c r="B13771" s="8" t="str">
        <f>HYPERLINK("https://twitter.com/wushitxun","@wushitxun")</f>
        <v>@wushitxun</v>
      </c>
      <c r="C13771" s="8" t="s">
        <v>5086</v>
      </c>
      <c r="D13771" s="8">
        <v>19</v>
      </c>
      <c r="E13771" s="8">
        <v>0</v>
      </c>
      <c r="F13771" s="8">
        <v>1814</v>
      </c>
    </row>
    <row r="13772" spans="1:6" ht="12.75">
      <c r="A13772" s="8">
        <v>43898.617002314815</v>
      </c>
      <c r="B13772" s="8" t="str">
        <f>HYPERLINK("https://twitter.com/Dani86113065","@Dani86113065")</f>
        <v>@Dani86113065</v>
      </c>
      <c r="C13772" s="8" t="s">
        <v>4940</v>
      </c>
      <c r="D13772" s="8">
        <v>22</v>
      </c>
      <c r="E13772" s="8">
        <v>0</v>
      </c>
      <c r="F13772" s="8">
        <v>510</v>
      </c>
    </row>
    <row r="13773" spans="1:6" ht="12.75">
      <c r="A13773" s="8">
        <v>43898.616967592592</v>
      </c>
      <c r="B13773" s="8" t="str">
        <f>HYPERLINK("https://twitter.com/PanduSanjaya98","@PanduSanjaya98")</f>
        <v>@PanduSanjaya98</v>
      </c>
      <c r="C13773" s="8" t="s">
        <v>5530</v>
      </c>
      <c r="D13773" s="8">
        <v>0</v>
      </c>
      <c r="E13773" s="8">
        <v>0</v>
      </c>
      <c r="F13773" s="8">
        <v>3</v>
      </c>
    </row>
    <row r="13774" spans="1:6" ht="12.75">
      <c r="A13774" s="8">
        <v>43898.616967592592</v>
      </c>
      <c r="B13774" s="8" t="str">
        <f>HYPERLINK("https://twitter.com/DandungQ","@DandungQ")</f>
        <v>@DandungQ</v>
      </c>
      <c r="C13774" s="8" t="s">
        <v>3265</v>
      </c>
      <c r="D13774" s="8">
        <v>330</v>
      </c>
      <c r="E13774" s="8">
        <v>0</v>
      </c>
      <c r="F13774" s="8">
        <v>12</v>
      </c>
    </row>
    <row r="13775" spans="1:6" ht="12.75">
      <c r="A13775" s="8">
        <v>43898.616678240738</v>
      </c>
      <c r="B13775" s="8" t="str">
        <f>HYPERLINK("https://twitter.com/wignyogarjito","@wignyogarjito")</f>
        <v>@wignyogarjito</v>
      </c>
      <c r="C13775" s="8" t="s">
        <v>5535</v>
      </c>
      <c r="D13775" s="8">
        <v>0</v>
      </c>
      <c r="E13775" s="8">
        <v>0</v>
      </c>
      <c r="F13775" s="8">
        <v>132</v>
      </c>
    </row>
    <row r="13776" spans="1:6" ht="12.75">
      <c r="A13776" s="8">
        <v>43898.616354166668</v>
      </c>
      <c r="B13776" s="8" t="str">
        <f>HYPERLINK("https://twitter.com/jubidotcom","@jubidotcom")</f>
        <v>@jubidotcom</v>
      </c>
      <c r="C13776" s="8" t="s">
        <v>5536</v>
      </c>
      <c r="D13776" s="8">
        <v>0</v>
      </c>
      <c r="E13776" s="8">
        <v>0</v>
      </c>
      <c r="F13776" s="8">
        <v>14360</v>
      </c>
    </row>
    <row r="13777" spans="1:6" ht="12.75">
      <c r="A13777" s="8">
        <v>43898.616307870368</v>
      </c>
      <c r="B13777" s="8" t="str">
        <f>HYPERLINK("https://twitter.com/humarihidayat","@humarihidayat")</f>
        <v>@humarihidayat</v>
      </c>
      <c r="C13777" s="8" t="s">
        <v>5494</v>
      </c>
      <c r="D13777" s="8">
        <v>4</v>
      </c>
      <c r="E13777" s="8">
        <v>0</v>
      </c>
      <c r="F13777" s="8">
        <v>571</v>
      </c>
    </row>
    <row r="13778" spans="1:6" ht="12.75">
      <c r="A13778" s="8">
        <v>43898.616273148145</v>
      </c>
      <c r="B13778" s="8" t="str">
        <f>HYPERLINK("https://twitter.com/liranti","@liranti")</f>
        <v>@liranti</v>
      </c>
      <c r="C13778" s="8" t="s">
        <v>5494</v>
      </c>
      <c r="D13778" s="8">
        <v>4</v>
      </c>
      <c r="E13778" s="8">
        <v>0</v>
      </c>
      <c r="F13778" s="8">
        <v>531</v>
      </c>
    </row>
    <row r="13779" spans="1:6" ht="12.75">
      <c r="A13779" s="8">
        <v>43898.616122685184</v>
      </c>
      <c r="B13779" s="8" t="str">
        <f>HYPERLINK("https://twitter.com/KHERATSELAMANYA","@KHERATSELAMANYA")</f>
        <v>@KHERATSELAMANYA</v>
      </c>
      <c r="C13779" s="8" t="s">
        <v>3265</v>
      </c>
      <c r="D13779" s="8">
        <v>330</v>
      </c>
      <c r="E13779" s="8">
        <v>0</v>
      </c>
      <c r="F13779" s="8">
        <v>902</v>
      </c>
    </row>
    <row r="13780" spans="1:6" ht="12.75">
      <c r="A13780" s="8">
        <v>43898.615775462968</v>
      </c>
      <c r="B13780" s="8" t="str">
        <f>HYPERLINK("https://twitter.com/SMBS_rio","@SMBS_rio")</f>
        <v>@SMBS_rio</v>
      </c>
      <c r="C13780" s="8" t="s">
        <v>5494</v>
      </c>
      <c r="D13780" s="8">
        <v>4</v>
      </c>
      <c r="E13780" s="8">
        <v>0</v>
      </c>
      <c r="F13780" s="8">
        <v>2574</v>
      </c>
    </row>
    <row r="13781" spans="1:6" ht="12.75">
      <c r="A13781" s="8">
        <v>43898.615277777775</v>
      </c>
      <c r="B13781" s="8" t="str">
        <f>HYPERLINK("https://twitter.com/evereeze","@evereeze")</f>
        <v>@evereeze</v>
      </c>
      <c r="C13781" s="8" t="s">
        <v>5537</v>
      </c>
      <c r="D13781" s="8">
        <v>1</v>
      </c>
      <c r="E13781" s="8">
        <v>0</v>
      </c>
      <c r="F13781" s="8">
        <v>317</v>
      </c>
    </row>
    <row r="13782" spans="1:6" ht="12.75">
      <c r="A13782" s="8">
        <v>43898.615034722221</v>
      </c>
      <c r="B13782" s="8" t="str">
        <f>HYPERLINK("https://twitter.com/CoRumara","@CoRumara")</f>
        <v>@CoRumara</v>
      </c>
      <c r="C13782" s="8" t="s">
        <v>5538</v>
      </c>
      <c r="D13782" s="8">
        <v>0</v>
      </c>
      <c r="E13782" s="8">
        <v>0</v>
      </c>
      <c r="F13782" s="8">
        <v>1238</v>
      </c>
    </row>
    <row r="13783" spans="1:6" ht="12.75">
      <c r="A13783" s="8">
        <v>43898.614895833336</v>
      </c>
      <c r="B13783" s="8" t="str">
        <f>HYPERLINK("https://twitter.com/_freakend","@_freakend")</f>
        <v>@_freakend</v>
      </c>
      <c r="C13783" s="8" t="s">
        <v>4548</v>
      </c>
      <c r="D13783" s="8">
        <v>1</v>
      </c>
      <c r="E13783" s="8">
        <v>0</v>
      </c>
      <c r="F13783" s="8">
        <v>2345</v>
      </c>
    </row>
    <row r="13784" spans="1:6" ht="12.75">
      <c r="A13784" s="8">
        <v>43898.614386574074</v>
      </c>
      <c r="B13784" s="8" t="str">
        <f>HYPERLINK("https://twitter.com/RadioElshinta","@RadioElshinta")</f>
        <v>@RadioElshinta</v>
      </c>
      <c r="C13784" s="8" t="s">
        <v>5087</v>
      </c>
      <c r="D13784" s="8">
        <v>4</v>
      </c>
      <c r="E13784" s="8">
        <v>0</v>
      </c>
      <c r="F13784" s="8">
        <v>3637180</v>
      </c>
    </row>
    <row r="13785" spans="1:6" ht="12.75">
      <c r="A13785" s="8">
        <v>43898.614259259259</v>
      </c>
      <c r="B13785" s="8" t="str">
        <f>HYPERLINK("https://twitter.com/Eddzel1","@Eddzel1")</f>
        <v>@Eddzel1</v>
      </c>
      <c r="C13785" s="8" t="s">
        <v>5539</v>
      </c>
      <c r="D13785" s="8">
        <v>0</v>
      </c>
      <c r="E13785" s="8">
        <v>0</v>
      </c>
      <c r="F13785" s="8">
        <v>19</v>
      </c>
    </row>
    <row r="13786" spans="1:6" ht="12.75">
      <c r="A13786" s="8">
        <v>43898.613819444443</v>
      </c>
      <c r="B13786" s="8" t="str">
        <f>HYPERLINK("https://twitter.com/KJRIPENANG","@KJRIPENANG")</f>
        <v>@KJRIPENANG</v>
      </c>
      <c r="C13786" s="8" t="s">
        <v>5540</v>
      </c>
      <c r="D13786" s="8">
        <v>0</v>
      </c>
      <c r="E13786" s="8">
        <v>1</v>
      </c>
      <c r="F13786" s="8">
        <v>507</v>
      </c>
    </row>
    <row r="13787" spans="1:6" ht="12.75">
      <c r="A13787" s="8">
        <v>43898.613564814819</v>
      </c>
      <c r="B13787" s="8" t="str">
        <f>HYPERLINK("https://twitter.com/sulsel_satu","@sulsel_satu")</f>
        <v>@sulsel_satu</v>
      </c>
      <c r="C13787" s="8" t="s">
        <v>5541</v>
      </c>
      <c r="D13787" s="8">
        <v>0</v>
      </c>
      <c r="E13787" s="8">
        <v>0</v>
      </c>
      <c r="F13787" s="8">
        <v>734</v>
      </c>
    </row>
    <row r="13788" spans="1:6" ht="12.75">
      <c r="A13788" s="8">
        <v>43898.612569444449</v>
      </c>
      <c r="B13788" s="8" t="str">
        <f>HYPERLINK("https://twitter.com/Awanngg","@Awanngg")</f>
        <v>@Awanngg</v>
      </c>
      <c r="C13788" s="8" t="s">
        <v>5542</v>
      </c>
      <c r="D13788" s="8">
        <v>0</v>
      </c>
      <c r="E13788" s="8">
        <v>0</v>
      </c>
      <c r="F13788" s="8">
        <v>62</v>
      </c>
    </row>
    <row r="13789" spans="1:6" ht="12.75">
      <c r="A13789" s="8">
        <v>43898.610972222217</v>
      </c>
      <c r="B13789" s="8" t="str">
        <f>HYPERLINK("https://twitter.com/topinfo_id","@topinfo_id")</f>
        <v>@topinfo_id</v>
      </c>
      <c r="C13789" s="8" t="s">
        <v>5543</v>
      </c>
      <c r="D13789" s="8">
        <v>0</v>
      </c>
      <c r="E13789" s="8">
        <v>0</v>
      </c>
      <c r="F13789" s="8">
        <v>58</v>
      </c>
    </row>
    <row r="13790" spans="1:6" ht="12.75">
      <c r="A13790" s="8">
        <v>43898.610173611116</v>
      </c>
      <c r="B13790" s="8" t="str">
        <f>HYPERLINK("https://twitter.com/AzwrAnas","@AzwrAnas")</f>
        <v>@AzwrAnas</v>
      </c>
      <c r="C13790" s="8" t="s">
        <v>3265</v>
      </c>
      <c r="D13790" s="8">
        <v>330</v>
      </c>
      <c r="E13790" s="8">
        <v>0</v>
      </c>
      <c r="F13790" s="8">
        <v>152</v>
      </c>
    </row>
    <row r="13791" spans="1:6" ht="12.75">
      <c r="A13791" s="8">
        <v>43898.609768518523</v>
      </c>
      <c r="B13791" s="8" t="str">
        <f>HYPERLINK("https://twitter.com/NurulFtrni","@NurulFtrni")</f>
        <v>@NurulFtrni</v>
      </c>
      <c r="C13791" s="8" t="s">
        <v>5086</v>
      </c>
      <c r="D13791" s="8">
        <v>19</v>
      </c>
      <c r="E13791" s="8">
        <v>0</v>
      </c>
      <c r="F13791" s="8">
        <v>247</v>
      </c>
    </row>
    <row r="13792" spans="1:6" ht="12.75">
      <c r="A13792" s="8">
        <v>43898.6097337963</v>
      </c>
      <c r="B13792" s="8" t="str">
        <f>HYPERLINK("https://twitter.com/hasandanakum","@hasandanakum")</f>
        <v>@hasandanakum</v>
      </c>
      <c r="C13792" s="8" t="s">
        <v>3265</v>
      </c>
      <c r="D13792" s="8">
        <v>330</v>
      </c>
      <c r="E13792" s="8">
        <v>0</v>
      </c>
      <c r="F13792" s="8">
        <v>117</v>
      </c>
    </row>
    <row r="13793" spans="1:6" ht="12.75">
      <c r="A13793" s="8">
        <v>43898.609421296293</v>
      </c>
      <c r="B13793" s="8" t="str">
        <f>HYPERLINK("https://twitter.com/0ABDULLAH4","@0ABDULLAH4")</f>
        <v>@0ABDULLAH4</v>
      </c>
      <c r="C13793" s="8" t="s">
        <v>5337</v>
      </c>
      <c r="D13793" s="8">
        <v>3</v>
      </c>
      <c r="E13793" s="8">
        <v>0</v>
      </c>
      <c r="F13793" s="8">
        <v>91</v>
      </c>
    </row>
    <row r="13794" spans="1:6" ht="12.75">
      <c r="A13794" s="8">
        <v>43898.608715277776</v>
      </c>
      <c r="B13794" s="8" t="str">
        <f>HYPERLINK("https://twitter.com/mosoetrisno","@mosoetrisno")</f>
        <v>@mosoetrisno</v>
      </c>
      <c r="C13794" s="8" t="s">
        <v>3265</v>
      </c>
      <c r="D13794" s="8">
        <v>330</v>
      </c>
      <c r="E13794" s="8">
        <v>0</v>
      </c>
      <c r="F13794" s="8">
        <v>142</v>
      </c>
    </row>
    <row r="13795" spans="1:6" ht="12.75">
      <c r="A13795" s="8">
        <v>43898.60869212963</v>
      </c>
      <c r="B13795" s="8" t="str">
        <f>HYPERLINK("https://twitter.com/JSamsyul","@JSamsyul")</f>
        <v>@JSamsyul</v>
      </c>
      <c r="C13795" s="8" t="s">
        <v>5544</v>
      </c>
      <c r="D13795" s="8">
        <v>20</v>
      </c>
      <c r="E13795" s="8">
        <v>0</v>
      </c>
      <c r="F13795" s="8">
        <v>118</v>
      </c>
    </row>
    <row r="13796" spans="1:6" ht="12.75">
      <c r="A13796" s="8">
        <v>43898.607314814813</v>
      </c>
      <c r="B13796" s="8" t="str">
        <f>HYPERLINK("https://twitter.com/sjaerryblossom","@sjaerryblossom")</f>
        <v>@sjaerryblossom</v>
      </c>
      <c r="C13796" s="8" t="s">
        <v>5086</v>
      </c>
      <c r="D13796" s="8">
        <v>19</v>
      </c>
      <c r="E13796" s="8">
        <v>0</v>
      </c>
      <c r="F13796" s="8">
        <v>828</v>
      </c>
    </row>
    <row r="13797" spans="1:6" ht="12.75">
      <c r="A13797" s="8">
        <v>43898.60637731482</v>
      </c>
      <c r="B13797" s="8" t="str">
        <f>HYPERLINK("https://twitter.com/aLie_Kc","@aLie_Kc")</f>
        <v>@aLie_Kc</v>
      </c>
      <c r="C13797" s="8" t="s">
        <v>5545</v>
      </c>
      <c r="D13797" s="8">
        <v>0</v>
      </c>
      <c r="E13797" s="8">
        <v>0</v>
      </c>
      <c r="F13797" s="8">
        <v>49</v>
      </c>
    </row>
    <row r="13798" spans="1:6" ht="12.75">
      <c r="A13798" s="8">
        <v>43898.605844907404</v>
      </c>
      <c r="B13798" s="8" t="str">
        <f>HYPERLINK("https://twitter.com/kevin_sijabat","@kevin_sijabat")</f>
        <v>@kevin_sijabat</v>
      </c>
      <c r="C13798" s="8" t="s">
        <v>3192</v>
      </c>
      <c r="D13798" s="8">
        <v>55</v>
      </c>
      <c r="E13798" s="8">
        <v>0</v>
      </c>
      <c r="F13798" s="8">
        <v>400</v>
      </c>
    </row>
    <row r="13799" spans="1:6" ht="12.75">
      <c r="A13799" s="8">
        <v>43898.605787037042</v>
      </c>
      <c r="B13799" s="8" t="str">
        <f>HYPERLINK("https://twitter.com/ferry_adamhar","@ferry_adamhar")</f>
        <v>@ferry_adamhar</v>
      </c>
      <c r="C13799" s="8" t="s">
        <v>4162</v>
      </c>
      <c r="D13799" s="8">
        <v>114</v>
      </c>
      <c r="E13799" s="8">
        <v>0</v>
      </c>
      <c r="F13799" s="8">
        <v>10</v>
      </c>
    </row>
    <row r="13800" spans="1:6" ht="12.75">
      <c r="A13800" s="8">
        <v>43898.605740740742</v>
      </c>
      <c r="B13800" s="8" t="str">
        <f>HYPERLINK("https://twitter.com/serdadulimajari","@serdadulimajari")</f>
        <v>@serdadulimajari</v>
      </c>
      <c r="C13800" s="8" t="s">
        <v>3265</v>
      </c>
      <c r="D13800" s="8">
        <v>330</v>
      </c>
      <c r="E13800" s="8">
        <v>0</v>
      </c>
      <c r="F13800" s="8">
        <v>158</v>
      </c>
    </row>
    <row r="13801" spans="1:6" ht="12.75">
      <c r="A13801" s="8">
        <v>43898.605671296296</v>
      </c>
      <c r="B13801" s="8" t="str">
        <f>HYPERLINK("https://twitter.com/Qonitah33570427","@Qonitah33570427")</f>
        <v>@Qonitah33570427</v>
      </c>
      <c r="C13801" s="8" t="s">
        <v>5546</v>
      </c>
      <c r="D13801" s="8">
        <v>0</v>
      </c>
      <c r="E13801" s="8">
        <v>0</v>
      </c>
      <c r="F13801" s="8">
        <v>7</v>
      </c>
    </row>
    <row r="13802" spans="1:6" ht="12.75">
      <c r="A13802" s="8">
        <v>43898.605509259258</v>
      </c>
      <c r="B13802" s="8" t="str">
        <f>HYPERLINK("https://twitter.com/newscommentary1","@newscommentary1")</f>
        <v>@newscommentary1</v>
      </c>
      <c r="C13802" s="8" t="s">
        <v>5547</v>
      </c>
      <c r="D13802" s="8">
        <v>1</v>
      </c>
      <c r="E13802" s="8">
        <v>0</v>
      </c>
      <c r="F13802" s="8">
        <v>65</v>
      </c>
    </row>
    <row r="13803" spans="1:6" ht="12.75">
      <c r="A13803" s="8">
        <v>43898.60528935185</v>
      </c>
      <c r="B13803" s="8" t="str">
        <f>HYPERLINK("https://twitter.com/okezonenews","@okezonenews")</f>
        <v>@okezonenews</v>
      </c>
      <c r="C13803" s="8" t="s">
        <v>5548</v>
      </c>
      <c r="D13803" s="8">
        <v>1</v>
      </c>
      <c r="E13803" s="8">
        <v>0</v>
      </c>
      <c r="F13803" s="8">
        <v>1744039</v>
      </c>
    </row>
    <row r="13804" spans="1:6" ht="12.75">
      <c r="A13804" s="8">
        <v>43898.604791666672</v>
      </c>
      <c r="B13804" s="8" t="str">
        <f>HYPERLINK("https://twitter.com/cokhibuan","@cokhibuan")</f>
        <v>@cokhibuan</v>
      </c>
      <c r="C13804" s="8" t="s">
        <v>3265</v>
      </c>
      <c r="D13804" s="8">
        <v>330</v>
      </c>
      <c r="E13804" s="8">
        <v>0</v>
      </c>
      <c r="F13804" s="8">
        <v>46</v>
      </c>
    </row>
    <row r="13805" spans="1:6" ht="12.75">
      <c r="A13805" s="8">
        <v>43898.604537037041</v>
      </c>
      <c r="B13805" s="8" t="str">
        <f>HYPERLINK("https://twitter.com/BahanaRahayu2","@BahanaRahayu2")</f>
        <v>@BahanaRahayu2</v>
      </c>
      <c r="C13805" s="8" t="s">
        <v>5086</v>
      </c>
      <c r="D13805" s="8">
        <v>19</v>
      </c>
      <c r="E13805" s="8">
        <v>0</v>
      </c>
      <c r="F13805" s="8">
        <v>1216</v>
      </c>
    </row>
    <row r="13806" spans="1:6" ht="12.75">
      <c r="A13806" s="8">
        <v>43898.604513888888</v>
      </c>
      <c r="B13806" s="8" t="str">
        <f>HYPERLINK("https://twitter.com/hajinewsonline","@hajinewsonline")</f>
        <v>@hajinewsonline</v>
      </c>
      <c r="C13806" s="8" t="s">
        <v>5549</v>
      </c>
      <c r="D13806" s="8">
        <v>0</v>
      </c>
      <c r="E13806" s="8">
        <v>0</v>
      </c>
      <c r="F13806" s="8">
        <v>27</v>
      </c>
    </row>
    <row r="13807" spans="1:6" ht="12.75">
      <c r="A13807" s="8">
        <v>43898.604317129633</v>
      </c>
      <c r="B13807" s="8" t="str">
        <f>HYPERLINK("https://twitter.com/CitraKamila14","@CitraKamila14")</f>
        <v>@CitraKamila14</v>
      </c>
      <c r="C13807" s="8" t="s">
        <v>5546</v>
      </c>
      <c r="D13807" s="8">
        <v>0</v>
      </c>
      <c r="E13807" s="8">
        <v>0</v>
      </c>
      <c r="F13807" s="8">
        <v>5</v>
      </c>
    </row>
    <row r="13808" spans="1:6" ht="12.75">
      <c r="A13808" s="8">
        <v>43898.603807870371</v>
      </c>
      <c r="B13808" s="8" t="str">
        <f>HYPERLINK("https://twitter.com/Auztt","@Auztt")</f>
        <v>@Auztt</v>
      </c>
      <c r="C13808" s="8" t="s">
        <v>5550</v>
      </c>
      <c r="D13808" s="8">
        <v>0</v>
      </c>
      <c r="E13808" s="8">
        <v>0</v>
      </c>
      <c r="F13808" s="8">
        <v>100</v>
      </c>
    </row>
    <row r="13809" spans="1:6" ht="12.75">
      <c r="A13809" s="8">
        <v>43898.603715277779</v>
      </c>
      <c r="B13809" s="8" t="str">
        <f>HYPERLINK("https://twitter.com/syamsulhadi_ae","@syamsulhadi_ae")</f>
        <v>@syamsulhadi_ae</v>
      </c>
      <c r="C13809" s="8" t="s">
        <v>5486</v>
      </c>
      <c r="D13809" s="8">
        <v>61</v>
      </c>
      <c r="E13809" s="8">
        <v>0</v>
      </c>
      <c r="F13809" s="8">
        <v>253</v>
      </c>
    </row>
    <row r="13810" spans="1:6" ht="12.75">
      <c r="A13810" s="8">
        <v>43898.603113425925</v>
      </c>
      <c r="B13810" s="8" t="str">
        <f>HYPERLINK("https://twitter.com/rachelevalina","@rachelevalina")</f>
        <v>@rachelevalina</v>
      </c>
      <c r="C13810" s="8" t="s">
        <v>5086</v>
      </c>
      <c r="D13810" s="8">
        <v>19</v>
      </c>
      <c r="E13810" s="8">
        <v>0</v>
      </c>
      <c r="F13810" s="8">
        <v>1530</v>
      </c>
    </row>
    <row r="13811" spans="1:6" ht="12.75">
      <c r="A13811" s="8">
        <v>43898.602858796294</v>
      </c>
      <c r="B13811" s="8" t="str">
        <f>HYPERLINK("https://twitter.com/kbrimaputo","@kbrimaputo")</f>
        <v>@kbrimaputo</v>
      </c>
      <c r="C13811" s="8" t="s">
        <v>1399</v>
      </c>
      <c r="D13811" s="8">
        <v>40</v>
      </c>
      <c r="E13811" s="8">
        <v>0</v>
      </c>
      <c r="F13811" s="8">
        <v>326</v>
      </c>
    </row>
    <row r="13812" spans="1:6" ht="12.75">
      <c r="A13812" s="8">
        <v>43898.602754629625</v>
      </c>
      <c r="B13812" s="8" t="str">
        <f>HYPERLINK("https://twitter.com/Pudjis2","@Pudjis2")</f>
        <v>@Pudjis2</v>
      </c>
      <c r="C13812" s="8" t="s">
        <v>5546</v>
      </c>
      <c r="D13812" s="8">
        <v>0</v>
      </c>
      <c r="E13812" s="8">
        <v>0</v>
      </c>
      <c r="F13812" s="8">
        <v>4</v>
      </c>
    </row>
    <row r="13813" spans="1:6" ht="12.75">
      <c r="A13813" s="8">
        <v>43898.60255787037</v>
      </c>
      <c r="B13813" s="8" t="str">
        <f>HYPERLINK("https://twitter.com/bonitakamala1","@bonitakamala1")</f>
        <v>@bonitakamala1</v>
      </c>
      <c r="C13813" s="8" t="s">
        <v>5546</v>
      </c>
      <c r="D13813" s="8">
        <v>0</v>
      </c>
      <c r="E13813" s="8">
        <v>0</v>
      </c>
      <c r="F13813" s="8">
        <v>4</v>
      </c>
    </row>
    <row r="13814" spans="1:6" ht="12.75">
      <c r="A13814" s="8">
        <v>43898.602337962962</v>
      </c>
      <c r="B13814" s="8" t="str">
        <f>HYPERLINK("https://twitter.com/PanduSanjaya98","@PanduSanjaya98")</f>
        <v>@PanduSanjaya98</v>
      </c>
      <c r="C13814" s="8" t="s">
        <v>5546</v>
      </c>
      <c r="D13814" s="8">
        <v>0</v>
      </c>
      <c r="E13814" s="8">
        <v>0</v>
      </c>
      <c r="F13814" s="8">
        <v>3</v>
      </c>
    </row>
    <row r="13815" spans="1:6" ht="12.75">
      <c r="A13815" s="8">
        <v>43898.602233796293</v>
      </c>
      <c r="B13815" s="8" t="str">
        <f>HYPERLINK("https://twitter.com/kbrimaputo","@kbrimaputo")</f>
        <v>@kbrimaputo</v>
      </c>
      <c r="C13815" s="8" t="s">
        <v>5551</v>
      </c>
      <c r="D13815" s="8">
        <v>0</v>
      </c>
      <c r="E13815" s="8">
        <v>2</v>
      </c>
      <c r="F13815" s="8">
        <v>326</v>
      </c>
    </row>
    <row r="13816" spans="1:6" ht="12.75">
      <c r="A13816" s="8">
        <v>43898.602187500001</v>
      </c>
      <c r="B13816" s="8" t="str">
        <f>HYPERLINK("https://twitter.com/lixhtsout","@lixhtsout")</f>
        <v>@lixhtsout</v>
      </c>
      <c r="C13816" s="8" t="s">
        <v>5086</v>
      </c>
      <c r="D13816" s="8">
        <v>19</v>
      </c>
      <c r="E13816" s="8">
        <v>0</v>
      </c>
      <c r="F13816" s="8">
        <v>202</v>
      </c>
    </row>
    <row r="13817" spans="1:6" ht="12.75">
      <c r="A13817" s="8">
        <v>43898.600787037038</v>
      </c>
      <c r="B13817" s="8" t="str">
        <f>HYPERLINK("https://twitter.com/sumsel_update","@sumsel_update")</f>
        <v>@sumsel_update</v>
      </c>
      <c r="C13817" s="8" t="s">
        <v>5552</v>
      </c>
      <c r="D13817" s="8">
        <v>0</v>
      </c>
      <c r="E13817" s="8">
        <v>0</v>
      </c>
      <c r="F13817" s="8">
        <v>1024</v>
      </c>
    </row>
    <row r="13818" spans="1:6" ht="12.75">
      <c r="A13818" s="8">
        <v>43898.600729166668</v>
      </c>
      <c r="B13818" s="8" t="str">
        <f>HYPERLINK("https://twitter.com/prabu_yudistyra","@prabu_yudistyra")</f>
        <v>@prabu_yudistyra</v>
      </c>
      <c r="C13818" s="8" t="s">
        <v>5553</v>
      </c>
      <c r="D13818" s="8">
        <v>0</v>
      </c>
      <c r="E13818" s="8">
        <v>0</v>
      </c>
      <c r="F13818" s="8">
        <v>431</v>
      </c>
    </row>
    <row r="13819" spans="1:6" ht="12.75">
      <c r="A13819" s="8">
        <v>43898.600659722222</v>
      </c>
      <c r="B13819" s="8" t="str">
        <f>HYPERLINK("https://twitter.com/PenjajahJ","@PenjajahJ")</f>
        <v>@PenjajahJ</v>
      </c>
      <c r="C13819" s="8" t="s">
        <v>5554</v>
      </c>
      <c r="D13819" s="8">
        <v>0</v>
      </c>
      <c r="E13819" s="8">
        <v>0</v>
      </c>
      <c r="F13819" s="8">
        <v>1646</v>
      </c>
    </row>
    <row r="13820" spans="1:6" ht="12.75">
      <c r="A13820" s="8">
        <v>43898.600624999999</v>
      </c>
      <c r="B13820" s="8" t="str">
        <f>HYPERLINK("https://twitter.com/NaviriMag","@NaviriMag")</f>
        <v>@NaviriMag</v>
      </c>
      <c r="C13820" s="8" t="s">
        <v>5555</v>
      </c>
      <c r="D13820" s="8">
        <v>0</v>
      </c>
      <c r="E13820" s="8">
        <v>0</v>
      </c>
      <c r="F13820" s="8">
        <v>1354</v>
      </c>
    </row>
    <row r="13821" spans="1:6" ht="12.75">
      <c r="A13821" s="8">
        <v>43898.600277777776</v>
      </c>
      <c r="B13821" s="8" t="str">
        <f>HYPERLINK("https://twitter.com/rheza_isme","@rheza_isme")</f>
        <v>@rheza_isme</v>
      </c>
      <c r="C13821" s="8" t="s">
        <v>5556</v>
      </c>
      <c r="D13821" s="8">
        <v>4</v>
      </c>
      <c r="E13821" s="8">
        <v>0</v>
      </c>
      <c r="F13821" s="8">
        <v>105</v>
      </c>
    </row>
    <row r="13822" spans="1:6" ht="12.75">
      <c r="A13822" s="8">
        <v>43898.599259259259</v>
      </c>
      <c r="B13822" s="8" t="str">
        <f>HYPERLINK("https://twitter.com/tentangpurnama","@tentangpurnama")</f>
        <v>@tentangpurnama</v>
      </c>
      <c r="C13822" s="8" t="s">
        <v>5557</v>
      </c>
      <c r="D13822" s="8">
        <v>5</v>
      </c>
      <c r="E13822" s="8">
        <v>0</v>
      </c>
      <c r="F13822" s="8">
        <v>3</v>
      </c>
    </row>
    <row r="13823" spans="1:6" ht="12.75">
      <c r="A13823" s="8">
        <v>43898.599212962959</v>
      </c>
      <c r="B13823" s="8" t="str">
        <f>HYPERLINK("https://twitter.com/KJRI_Vancouver","@KJRI_Vancouver")</f>
        <v>@KJRI_Vancouver</v>
      </c>
      <c r="C13823" s="8" t="s">
        <v>1399</v>
      </c>
      <c r="D13823" s="8">
        <v>40</v>
      </c>
      <c r="E13823" s="8">
        <v>0</v>
      </c>
      <c r="F13823" s="8">
        <v>2370</v>
      </c>
    </row>
    <row r="13824" spans="1:6" ht="12.75">
      <c r="A13824" s="8">
        <v>43898.598530092597</v>
      </c>
      <c r="B13824" s="8" t="str">
        <f>HYPERLINK("https://twitter.com/eko_alaya","@eko_alaya")</f>
        <v>@eko_alaya</v>
      </c>
      <c r="C13824" s="8" t="s">
        <v>4818</v>
      </c>
      <c r="D13824" s="8">
        <v>306</v>
      </c>
      <c r="E13824" s="8">
        <v>0</v>
      </c>
      <c r="F13824" s="8">
        <v>822</v>
      </c>
    </row>
    <row r="13825" spans="1:6" ht="12.75">
      <c r="A13825" s="8">
        <v>43898.598182870366</v>
      </c>
      <c r="B13825" s="8" t="str">
        <f>HYPERLINK("https://twitter.com/iyekswiflet","@iyekswiflet")</f>
        <v>@iyekswiflet</v>
      </c>
      <c r="C13825" s="8" t="s">
        <v>5558</v>
      </c>
      <c r="D13825" s="8">
        <v>0</v>
      </c>
      <c r="E13825" s="8">
        <v>0</v>
      </c>
      <c r="F13825" s="8">
        <v>24</v>
      </c>
    </row>
    <row r="13826" spans="1:6" ht="12.75">
      <c r="A13826" s="8">
        <v>43898.597256944442</v>
      </c>
      <c r="B13826" s="8" t="str">
        <f>HYPERLINK("https://twitter.com/Soetikman1","@Soetikman1")</f>
        <v>@Soetikman1</v>
      </c>
      <c r="C13826" s="8" t="s">
        <v>5559</v>
      </c>
      <c r="D13826" s="8">
        <v>0</v>
      </c>
      <c r="E13826" s="8">
        <v>0</v>
      </c>
      <c r="F13826" s="8">
        <v>687</v>
      </c>
    </row>
    <row r="13827" spans="1:6" ht="12.75">
      <c r="A13827" s="8">
        <v>43898.596608796295</v>
      </c>
      <c r="B13827" s="8" t="str">
        <f>HYPERLINK("https://twitter.com/moprat02255","@moprat02255")</f>
        <v>@moprat02255</v>
      </c>
      <c r="C13827" s="8" t="s">
        <v>5086</v>
      </c>
      <c r="D13827" s="8">
        <v>19</v>
      </c>
      <c r="E13827" s="8">
        <v>0</v>
      </c>
      <c r="F13827" s="8">
        <v>2099</v>
      </c>
    </row>
    <row r="13828" spans="1:6" ht="12.75">
      <c r="A13828" s="8">
        <v>43898.596493055556</v>
      </c>
      <c r="B13828" s="8" t="str">
        <f>HYPERLINK("https://twitter.com/johhhnygudhel","@johhhnygudhel")</f>
        <v>@johhhnygudhel</v>
      </c>
      <c r="C13828" s="8" t="s">
        <v>5080</v>
      </c>
      <c r="D13828" s="8">
        <v>152</v>
      </c>
      <c r="E13828" s="8">
        <v>0</v>
      </c>
      <c r="F13828" s="8">
        <v>2749</v>
      </c>
    </row>
    <row r="13829" spans="1:6" ht="12.75">
      <c r="A13829" s="8">
        <v>43898.596053240741</v>
      </c>
      <c r="B13829" s="8" t="str">
        <f>HYPERLINK("https://twitter.com/TonsCrb","@TonsCrb")</f>
        <v>@TonsCrb</v>
      </c>
      <c r="C13829" s="8" t="s">
        <v>5080</v>
      </c>
      <c r="D13829" s="8">
        <v>152</v>
      </c>
      <c r="E13829" s="8">
        <v>0</v>
      </c>
      <c r="F13829" s="8">
        <v>6</v>
      </c>
    </row>
    <row r="13830" spans="1:6" ht="12.75">
      <c r="A13830" s="8">
        <v>43898.595613425925</v>
      </c>
      <c r="B13830" s="8" t="str">
        <f>HYPERLINK("https://twitter.com/jeonggukiesm","@jeonggukiesm")</f>
        <v>@jeonggukiesm</v>
      </c>
      <c r="C13830" s="8" t="s">
        <v>5560</v>
      </c>
      <c r="D13830" s="8">
        <v>0</v>
      </c>
      <c r="E13830" s="8">
        <v>0</v>
      </c>
      <c r="F13830" s="8">
        <v>84</v>
      </c>
    </row>
    <row r="13831" spans="1:6" ht="12.75">
      <c r="A13831" s="8">
        <v>43898.595520833333</v>
      </c>
      <c r="B13831" s="8" t="str">
        <f>HYPERLINK("https://twitter.com/SumberMedia","@SumberMedia")</f>
        <v>@SumberMedia</v>
      </c>
      <c r="C13831" s="8" t="s">
        <v>5561</v>
      </c>
      <c r="D13831" s="8">
        <v>0</v>
      </c>
      <c r="E13831" s="8">
        <v>0</v>
      </c>
      <c r="F13831" s="8">
        <v>152</v>
      </c>
    </row>
    <row r="13832" spans="1:6" ht="12.75">
      <c r="A13832" s="8">
        <v>43898.59547453704</v>
      </c>
      <c r="B13832" s="8" t="str">
        <f>HYPERLINK("https://twitter.com/tekonly19","@tekonly19")</f>
        <v>@tekonly19</v>
      </c>
      <c r="C13832" s="8" t="s">
        <v>3265</v>
      </c>
      <c r="D13832" s="8">
        <v>330</v>
      </c>
      <c r="E13832" s="8">
        <v>0</v>
      </c>
      <c r="F13832" s="8">
        <v>67</v>
      </c>
    </row>
    <row r="13833" spans="1:6" ht="12.75">
      <c r="A13833" s="8">
        <v>43898.590173611112</v>
      </c>
      <c r="B13833" s="8" t="str">
        <f>HYPERLINK("https://twitter.com/bvsann97","@bvsann97")</f>
        <v>@bvsann97</v>
      </c>
      <c r="C13833" s="8" t="s">
        <v>5086</v>
      </c>
      <c r="D13833" s="8">
        <v>8</v>
      </c>
      <c r="E13833" s="8">
        <v>0</v>
      </c>
      <c r="F13833" s="8">
        <v>456</v>
      </c>
    </row>
    <row r="13834" spans="1:6" ht="12.75">
      <c r="A13834" s="8">
        <v>43898.589953703704</v>
      </c>
      <c r="B13834" s="8" t="str">
        <f>HYPERLINK("https://twitter.com/tungauhidup","@tungauhidup")</f>
        <v>@tungauhidup</v>
      </c>
      <c r="C13834" s="8" t="s">
        <v>1399</v>
      </c>
      <c r="D13834" s="8">
        <v>38</v>
      </c>
      <c r="E13834" s="8">
        <v>0</v>
      </c>
      <c r="F13834" s="8">
        <v>86</v>
      </c>
    </row>
    <row r="13835" spans="1:6" ht="12.75">
      <c r="A13835" s="8">
        <v>43898.589872685188</v>
      </c>
      <c r="B13835" s="8" t="str">
        <f>HYPERLINK("https://twitter.com/LieYurika","@LieYurika")</f>
        <v>@LieYurika</v>
      </c>
      <c r="C13835" s="8" t="s">
        <v>5562</v>
      </c>
      <c r="D13835" s="8">
        <v>0</v>
      </c>
      <c r="E13835" s="8">
        <v>0</v>
      </c>
      <c r="F13835" s="8">
        <v>623</v>
      </c>
    </row>
    <row r="13836" spans="1:6" ht="12.75">
      <c r="A13836" s="8">
        <v>43898.589629629627</v>
      </c>
      <c r="B13836" s="8" t="str">
        <f>HYPERLINK("https://twitter.com/fathcreativeID","@fathcreativeID")</f>
        <v>@fathcreativeID</v>
      </c>
      <c r="C13836" s="8" t="s">
        <v>5563</v>
      </c>
      <c r="D13836" s="8">
        <v>0</v>
      </c>
      <c r="E13836" s="8">
        <v>0</v>
      </c>
      <c r="F13836" s="8">
        <v>24</v>
      </c>
    </row>
    <row r="13837" spans="1:6" ht="12.75">
      <c r="A13837" s="8">
        <v>43898.589456018519</v>
      </c>
      <c r="B13837" s="8" t="str">
        <f>HYPERLINK("https://twitter.com/AnakLeuweng","@AnakLeuweng")</f>
        <v>@AnakLeuweng</v>
      </c>
      <c r="C13837" s="8" t="s">
        <v>3265</v>
      </c>
      <c r="D13837" s="8">
        <v>319</v>
      </c>
      <c r="E13837" s="8">
        <v>0</v>
      </c>
      <c r="F13837" s="8">
        <v>568</v>
      </c>
    </row>
    <row r="13838" spans="1:6" ht="12.75">
      <c r="A13838" s="8">
        <v>43898.589409722219</v>
      </c>
      <c r="B13838" s="8" t="str">
        <f>HYPERLINK("https://twitter.com/Ruth_Djojoning","@Ruth_Djojoning")</f>
        <v>@Ruth_Djojoning</v>
      </c>
      <c r="C13838" s="8" t="s">
        <v>5564</v>
      </c>
      <c r="D13838" s="8">
        <v>3</v>
      </c>
      <c r="E13838" s="8">
        <v>0</v>
      </c>
      <c r="F13838" s="8">
        <v>2255</v>
      </c>
    </row>
    <row r="13839" spans="1:6" ht="12.75">
      <c r="A13839" s="8">
        <v>43898.589374999996</v>
      </c>
      <c r="B13839" s="8" t="str">
        <f>HYPERLINK("https://twitter.com/myrine_rin","@myrine_rin")</f>
        <v>@myrine_rin</v>
      </c>
      <c r="C13839" s="8" t="s">
        <v>4979</v>
      </c>
      <c r="D13839" s="8">
        <v>7</v>
      </c>
      <c r="E13839" s="8">
        <v>0</v>
      </c>
      <c r="F13839" s="8">
        <v>5</v>
      </c>
    </row>
    <row r="13840" spans="1:6" ht="12.75">
      <c r="A13840" s="8">
        <v>43898.589178240742</v>
      </c>
      <c r="B13840" s="8" t="str">
        <f t="shared" ref="B13840:B13841" si="209">HYPERLINK("https://twitter.com/Ruth_Djojoning","@Ruth_Djojoning")</f>
        <v>@Ruth_Djojoning</v>
      </c>
      <c r="C13840" s="8" t="s">
        <v>5565</v>
      </c>
      <c r="D13840" s="8">
        <v>1</v>
      </c>
      <c r="E13840" s="8">
        <v>0</v>
      </c>
      <c r="F13840" s="8">
        <v>2255</v>
      </c>
    </row>
    <row r="13841" spans="1:6" ht="12.75">
      <c r="A13841" s="8">
        <v>43898.588912037041</v>
      </c>
      <c r="B13841" s="8" t="str">
        <f t="shared" si="209"/>
        <v>@Ruth_Djojoning</v>
      </c>
      <c r="C13841" s="8" t="s">
        <v>4979</v>
      </c>
      <c r="D13841" s="8">
        <v>7</v>
      </c>
      <c r="E13841" s="8">
        <v>0</v>
      </c>
      <c r="F13841" s="8">
        <v>2255</v>
      </c>
    </row>
    <row r="13842" spans="1:6" ht="12.75">
      <c r="A13842" s="8">
        <v>43898.588831018518</v>
      </c>
      <c r="B13842" s="8" t="str">
        <f>HYPERLINK("https://twitter.com/FeriPurwo","@FeriPurwo")</f>
        <v>@FeriPurwo</v>
      </c>
      <c r="C13842" s="8" t="s">
        <v>5101</v>
      </c>
      <c r="D13842" s="8">
        <v>0</v>
      </c>
      <c r="E13842" s="8">
        <v>0</v>
      </c>
      <c r="F13842" s="8">
        <v>17198</v>
      </c>
    </row>
    <row r="13843" spans="1:6" ht="12.75">
      <c r="A13843" s="8">
        <v>43898.588819444441</v>
      </c>
      <c r="B13843" s="8" t="str">
        <f>HYPERLINK("https://twitter.com/wolfkiddo1","@wolfkiddo1")</f>
        <v>@wolfkiddo1</v>
      </c>
      <c r="C13843" s="8" t="s">
        <v>5086</v>
      </c>
      <c r="D13843" s="8">
        <v>8</v>
      </c>
      <c r="E13843" s="8">
        <v>0</v>
      </c>
      <c r="F13843" s="8">
        <v>11</v>
      </c>
    </row>
    <row r="13844" spans="1:6" ht="12.75">
      <c r="A13844" s="8">
        <v>43898.588576388887</v>
      </c>
      <c r="B13844" s="8" t="str">
        <f>HYPERLINK("https://twitter.com/FeriPurwo","@FeriPurwo")</f>
        <v>@FeriPurwo</v>
      </c>
      <c r="C13844" s="8" t="s">
        <v>5566</v>
      </c>
      <c r="D13844" s="8">
        <v>0</v>
      </c>
      <c r="E13844" s="8">
        <v>0</v>
      </c>
      <c r="F13844" s="8">
        <v>17198</v>
      </c>
    </row>
    <row r="13845" spans="1:6" ht="12.75">
      <c r="A13845" s="8">
        <v>43898.588379629626</v>
      </c>
      <c r="B13845" s="8" t="str">
        <f>HYPERLINK("https://twitter.com/rang_simabua","@rang_simabua")</f>
        <v>@rang_simabua</v>
      </c>
      <c r="C13845" s="8" t="s">
        <v>3265</v>
      </c>
      <c r="D13845" s="8">
        <v>319</v>
      </c>
      <c r="E13845" s="8">
        <v>0</v>
      </c>
      <c r="F13845" s="8">
        <v>8057</v>
      </c>
    </row>
    <row r="13846" spans="1:6" ht="12.75">
      <c r="A13846" s="8">
        <v>43898.588344907403</v>
      </c>
      <c r="B13846" s="8" t="str">
        <f>HYPERLINK("https://twitter.com/Lcieru","@Lcieru")</f>
        <v>@Lcieru</v>
      </c>
      <c r="C13846" s="8" t="s">
        <v>5567</v>
      </c>
      <c r="D13846" s="8">
        <v>3</v>
      </c>
      <c r="E13846" s="8">
        <v>0</v>
      </c>
      <c r="F13846" s="8">
        <v>392</v>
      </c>
    </row>
    <row r="13847" spans="1:6" ht="12.75">
      <c r="A13847" s="8">
        <v>43898.58829861111</v>
      </c>
      <c r="B13847" s="8" t="str">
        <f>HYPERLINK("https://twitter.com/mapleshashaa","@mapleshashaa")</f>
        <v>@mapleshashaa</v>
      </c>
      <c r="C13847" s="8" t="s">
        <v>5086</v>
      </c>
      <c r="D13847" s="8">
        <v>8</v>
      </c>
      <c r="E13847" s="8">
        <v>0</v>
      </c>
      <c r="F13847" s="8">
        <v>881</v>
      </c>
    </row>
    <row r="13848" spans="1:6" ht="12.75">
      <c r="A13848" s="8">
        <v>43898.587534722217</v>
      </c>
      <c r="B13848" s="8" t="str">
        <f>HYPERLINK("https://twitter.com/syamsulhadi_ae","@syamsulhadi_ae")</f>
        <v>@syamsulhadi_ae</v>
      </c>
      <c r="C13848" s="8" t="s">
        <v>5080</v>
      </c>
      <c r="D13848" s="8">
        <v>148</v>
      </c>
      <c r="E13848" s="8">
        <v>0</v>
      </c>
      <c r="F13848" s="8">
        <v>253</v>
      </c>
    </row>
    <row r="13849" spans="1:6" ht="12.75">
      <c r="A13849" s="8">
        <v>43898.587442129632</v>
      </c>
      <c r="B13849" s="8" t="str">
        <f>HYPERLINK("https://twitter.com/deardreamyy","@deardreamyy")</f>
        <v>@deardreamyy</v>
      </c>
      <c r="C13849" s="8" t="s">
        <v>5086</v>
      </c>
      <c r="D13849" s="8">
        <v>8</v>
      </c>
      <c r="E13849" s="8">
        <v>0</v>
      </c>
      <c r="F13849" s="8">
        <v>822</v>
      </c>
    </row>
    <row r="13850" spans="1:6" ht="12.75">
      <c r="A13850" s="8">
        <v>43898.587129629625</v>
      </c>
      <c r="B13850" s="8" t="str">
        <f>HYPERLINK("https://twitter.com/ivoyie","@ivoyie")</f>
        <v>@ivoyie</v>
      </c>
      <c r="C13850" s="8" t="s">
        <v>5086</v>
      </c>
      <c r="D13850" s="8">
        <v>8</v>
      </c>
      <c r="E13850" s="8">
        <v>0</v>
      </c>
      <c r="F13850" s="8">
        <v>111</v>
      </c>
    </row>
    <row r="13851" spans="1:6" ht="12.75">
      <c r="A13851" s="8">
        <v>43898.587060185186</v>
      </c>
      <c r="B13851" s="8" t="str">
        <f>HYPERLINK("https://twitter.com/marganishinta","@marganishinta")</f>
        <v>@marganishinta</v>
      </c>
      <c r="C13851" s="8" t="s">
        <v>5086</v>
      </c>
      <c r="D13851" s="8">
        <v>8</v>
      </c>
      <c r="E13851" s="8">
        <v>0</v>
      </c>
      <c r="F13851" s="8">
        <v>447</v>
      </c>
    </row>
    <row r="13852" spans="1:6" ht="12.75">
      <c r="A13852" s="8">
        <v>43898.586643518516</v>
      </c>
      <c r="B13852" s="8" t="str">
        <f>HYPERLINK("https://twitter.com/BeritaCOVID19","@BeritaCOVID19")</f>
        <v>@BeritaCOVID19</v>
      </c>
      <c r="C13852" s="8" t="s">
        <v>5568</v>
      </c>
      <c r="D13852" s="8">
        <v>8</v>
      </c>
      <c r="E13852" s="8">
        <v>10</v>
      </c>
      <c r="F13852" s="8">
        <v>19545</v>
      </c>
    </row>
    <row r="13853" spans="1:6" ht="12.75">
      <c r="A13853" s="8">
        <v>43898.586550925931</v>
      </c>
      <c r="B13853" s="8" t="str">
        <f>HYPERLINK("https://twitter.com/gilanGBU","@gilanGBU")</f>
        <v>@gilanGBU</v>
      </c>
      <c r="C13853" s="8" t="s">
        <v>3265</v>
      </c>
      <c r="D13853" s="8">
        <v>319</v>
      </c>
      <c r="E13853" s="8">
        <v>0</v>
      </c>
      <c r="F13853" s="8">
        <v>33</v>
      </c>
    </row>
    <row r="13854" spans="1:6" ht="12.75">
      <c r="A13854" s="8">
        <v>43898.586504629631</v>
      </c>
      <c r="B13854" s="8" t="str">
        <f>HYPERLINK("https://twitter.com/idntimes","@idntimes")</f>
        <v>@idntimes</v>
      </c>
      <c r="C13854" s="8" t="s">
        <v>5569</v>
      </c>
      <c r="D13854" s="8">
        <v>0</v>
      </c>
      <c r="E13854" s="8">
        <v>0</v>
      </c>
      <c r="F13854" s="8">
        <v>394236</v>
      </c>
    </row>
    <row r="13855" spans="1:6" ht="12.75">
      <c r="A13855" s="8">
        <v>43898.585138888884</v>
      </c>
      <c r="B13855" s="8" t="str">
        <f>HYPERLINK("https://twitter.com/RoihanIInjani","@RoihanIInjani")</f>
        <v>@RoihanIInjani</v>
      </c>
      <c r="C13855" s="8" t="s">
        <v>3265</v>
      </c>
      <c r="D13855" s="8">
        <v>319</v>
      </c>
      <c r="E13855" s="8">
        <v>0</v>
      </c>
      <c r="F13855" s="8">
        <v>404</v>
      </c>
    </row>
    <row r="13856" spans="1:6" ht="12.75">
      <c r="A13856" s="8">
        <v>43898.585081018522</v>
      </c>
      <c r="B13856" s="8" t="str">
        <f>HYPERLINK("https://twitter.com/BillTemporo","@BillTemporo")</f>
        <v>@BillTemporo</v>
      </c>
      <c r="C13856" s="8" t="s">
        <v>323</v>
      </c>
      <c r="D13856" s="8">
        <v>0</v>
      </c>
      <c r="E13856" s="8">
        <v>0</v>
      </c>
      <c r="F13856" s="8">
        <v>11</v>
      </c>
    </row>
    <row r="13857" spans="1:6" ht="12.75">
      <c r="A13857" s="8">
        <v>43898.584768518514</v>
      </c>
      <c r="B13857" s="8" t="str">
        <f>HYPERLINK("https://twitter.com/jefrizal_nazar","@jefrizal_nazar")</f>
        <v>@jefrizal_nazar</v>
      </c>
      <c r="C13857" s="8" t="s">
        <v>3265</v>
      </c>
      <c r="D13857" s="8">
        <v>319</v>
      </c>
      <c r="E13857" s="8">
        <v>0</v>
      </c>
      <c r="F13857" s="8">
        <v>258</v>
      </c>
    </row>
    <row r="13858" spans="1:6" ht="12.75">
      <c r="A13858" s="8">
        <v>43898.584745370375</v>
      </c>
      <c r="B13858" s="8" t="str">
        <f>HYPERLINK("https://twitter.com/kopigulamerah","@kopigulamerah")</f>
        <v>@kopigulamerah</v>
      </c>
      <c r="C13858" s="8" t="s">
        <v>5570</v>
      </c>
      <c r="D13858" s="8">
        <v>0</v>
      </c>
      <c r="E13858" s="8">
        <v>0</v>
      </c>
      <c r="F13858" s="8">
        <v>560</v>
      </c>
    </row>
    <row r="13859" spans="1:6" ht="12.75">
      <c r="A13859" s="8">
        <v>43898.584351851852</v>
      </c>
      <c r="B13859" s="8" t="str">
        <f>HYPERLINK("https://twitter.com/Supirangkot12","@Supirangkot12")</f>
        <v>@Supirangkot12</v>
      </c>
      <c r="C13859" s="8" t="s">
        <v>3265</v>
      </c>
      <c r="D13859" s="8">
        <v>319</v>
      </c>
      <c r="E13859" s="8">
        <v>0</v>
      </c>
      <c r="F13859" s="8">
        <v>56</v>
      </c>
    </row>
    <row r="13860" spans="1:6" ht="12.75">
      <c r="A13860" s="8">
        <v>43898.584328703699</v>
      </c>
      <c r="B13860" s="8" t="str">
        <f>HYPERLINK("https://twitter.com/MohanBh98434166","@MohanBh98434166")</f>
        <v>@MohanBh98434166</v>
      </c>
      <c r="C13860" s="8" t="s">
        <v>5571</v>
      </c>
      <c r="D13860" s="8">
        <v>0</v>
      </c>
      <c r="E13860" s="8">
        <v>0</v>
      </c>
      <c r="F13860" s="8">
        <v>36</v>
      </c>
    </row>
    <row r="13861" spans="1:6" ht="12.75">
      <c r="A13861" s="8">
        <v>43898.583645833336</v>
      </c>
      <c r="B13861" s="8" t="str">
        <f>HYPERLINK("https://twitter.com/Morningtyas","@Morningtyas")</f>
        <v>@Morningtyas</v>
      </c>
      <c r="C13861" s="8" t="s">
        <v>5572</v>
      </c>
      <c r="D13861" s="8">
        <v>0</v>
      </c>
      <c r="E13861" s="8">
        <v>0</v>
      </c>
      <c r="F13861" s="8">
        <v>30647</v>
      </c>
    </row>
    <row r="13862" spans="1:6" ht="12.75">
      <c r="A13862" s="8">
        <v>43898.583634259259</v>
      </c>
      <c r="B13862" s="8" t="str">
        <f>HYPERLINK("https://twitter.com/y_g_m_r_","@y_g_m_r_")</f>
        <v>@y_g_m_r_</v>
      </c>
      <c r="C13862" s="8" t="s">
        <v>3265</v>
      </c>
      <c r="D13862" s="8">
        <v>319</v>
      </c>
      <c r="E13862" s="8">
        <v>0</v>
      </c>
      <c r="F13862" s="8">
        <v>541</v>
      </c>
    </row>
    <row r="13863" spans="1:6" ht="12.75">
      <c r="A13863" s="8">
        <v>43898.583425925928</v>
      </c>
      <c r="B13863" s="8" t="str">
        <f>HYPERLINK("https://twitter.com/BQtong","@BQtong")</f>
        <v>@BQtong</v>
      </c>
      <c r="C13863" s="8" t="s">
        <v>3265</v>
      </c>
      <c r="D13863" s="8">
        <v>319</v>
      </c>
      <c r="E13863" s="8">
        <v>0</v>
      </c>
      <c r="F13863" s="8">
        <v>1309</v>
      </c>
    </row>
    <row r="13864" spans="1:6" ht="12.75">
      <c r="A13864" s="8">
        <v>43898.582523148143</v>
      </c>
      <c r="B13864" s="8" t="str">
        <f>HYPERLINK("https://twitter.com/Riad_deLead","@Riad_deLead")</f>
        <v>@Riad_deLead</v>
      </c>
      <c r="C13864" s="8" t="s">
        <v>5573</v>
      </c>
      <c r="D13864" s="8">
        <v>0</v>
      </c>
      <c r="E13864" s="8">
        <v>0</v>
      </c>
      <c r="F13864" s="8">
        <v>62</v>
      </c>
    </row>
    <row r="13865" spans="1:6" ht="12.75">
      <c r="A13865" s="8">
        <v>43898.582071759258</v>
      </c>
      <c r="B13865" s="8" t="str">
        <f>HYPERLINK("https://twitter.com/g0bell_78","@g0bell_78")</f>
        <v>@g0bell_78</v>
      </c>
      <c r="C13865" s="8" t="s">
        <v>5574</v>
      </c>
      <c r="D13865" s="8">
        <v>2</v>
      </c>
      <c r="E13865" s="8">
        <v>0</v>
      </c>
      <c r="F13865" s="8">
        <v>3097</v>
      </c>
    </row>
    <row r="13866" spans="1:6" ht="12.75">
      <c r="A13866" s="8">
        <v>43898.582002314812</v>
      </c>
      <c r="B13866" s="8" t="str">
        <f>HYPERLINK("https://twitter.com/penguasahati","@penguasahati")</f>
        <v>@penguasahati</v>
      </c>
      <c r="C13866" s="8" t="s">
        <v>5567</v>
      </c>
      <c r="D13866" s="8">
        <v>3</v>
      </c>
      <c r="E13866" s="8">
        <v>0</v>
      </c>
      <c r="F13866" s="8">
        <v>4687</v>
      </c>
    </row>
    <row r="13867" spans="1:6" ht="12.75">
      <c r="A13867" s="8">
        <v>43898.580891203703</v>
      </c>
      <c r="B13867" s="8" t="str">
        <f>HYPERLINK("https://twitter.com/BlackisBlackMSS","@BlackisBlackMSS")</f>
        <v>@BlackisBlackMSS</v>
      </c>
      <c r="C13867" s="8" t="s">
        <v>5575</v>
      </c>
      <c r="D13867" s="8">
        <v>0</v>
      </c>
      <c r="E13867" s="8">
        <v>0</v>
      </c>
      <c r="F13867" s="8">
        <v>4597</v>
      </c>
    </row>
    <row r="13868" spans="1:6" ht="12.75">
      <c r="A13868" s="8">
        <v>43898.580613425926</v>
      </c>
      <c r="B13868" s="8" t="str">
        <f>HYPERLINK("https://twitter.com/koecing_pasar","@koecing_pasar")</f>
        <v>@koecing_pasar</v>
      </c>
      <c r="C13868" s="8" t="s">
        <v>5576</v>
      </c>
      <c r="D13868" s="8">
        <v>0</v>
      </c>
      <c r="E13868" s="8">
        <v>0</v>
      </c>
      <c r="F13868" s="8">
        <v>1340</v>
      </c>
    </row>
    <row r="13869" spans="1:6" ht="12.75">
      <c r="A13869" s="8">
        <v>43898.580601851849</v>
      </c>
      <c r="B13869" s="8" t="str">
        <f>HYPERLINK("https://twitter.com/veroantikomunis","@veroantikomunis")</f>
        <v>@veroantikomunis</v>
      </c>
      <c r="C13869" s="8" t="s">
        <v>5577</v>
      </c>
      <c r="D13869" s="8">
        <v>0</v>
      </c>
      <c r="E13869" s="8">
        <v>0</v>
      </c>
      <c r="F13869" s="8">
        <v>25</v>
      </c>
    </row>
    <row r="13870" spans="1:6" ht="12.75">
      <c r="A13870" s="8">
        <v>43898.579618055555</v>
      </c>
      <c r="B13870" s="8" t="str">
        <f>HYPERLINK("https://twitter.com/DapurIbu1","@DapurIbu1")</f>
        <v>@DapurIbu1</v>
      </c>
      <c r="C13870" s="8" t="s">
        <v>5578</v>
      </c>
      <c r="D13870" s="8">
        <v>0</v>
      </c>
      <c r="E13870" s="8">
        <v>0</v>
      </c>
      <c r="F13870" s="8">
        <v>1130</v>
      </c>
    </row>
    <row r="13871" spans="1:6" ht="12.75">
      <c r="A13871" s="8">
        <v>43898.579282407409</v>
      </c>
      <c r="B13871" s="8" t="str">
        <f>HYPERLINK("https://twitter.com/kusumovina","@kusumovina")</f>
        <v>@kusumovina</v>
      </c>
      <c r="C13871" s="8" t="s">
        <v>3405</v>
      </c>
      <c r="D13871" s="8">
        <v>66</v>
      </c>
      <c r="E13871" s="8">
        <v>0</v>
      </c>
      <c r="F13871" s="8">
        <v>168</v>
      </c>
    </row>
    <row r="13872" spans="1:6" ht="12.75">
      <c r="A13872" s="8">
        <v>43898.578877314816</v>
      </c>
      <c r="B13872" s="8" t="str">
        <f>HYPERLINK("https://twitter.com/LianAndis","@LianAndis")</f>
        <v>@LianAndis</v>
      </c>
      <c r="C13872" s="8" t="s">
        <v>5486</v>
      </c>
      <c r="D13872" s="8">
        <v>59</v>
      </c>
      <c r="E13872" s="8">
        <v>0</v>
      </c>
      <c r="F13872" s="8">
        <v>83</v>
      </c>
    </row>
    <row r="13873" spans="1:6" ht="12.75">
      <c r="A13873" s="8">
        <v>43898.578784722224</v>
      </c>
      <c r="B13873" s="8" t="str">
        <f>HYPERLINK("https://twitter.com/santos62658028","@santos62658028")</f>
        <v>@santos62658028</v>
      </c>
      <c r="C13873" s="8" t="s">
        <v>5579</v>
      </c>
      <c r="D13873" s="8">
        <v>0</v>
      </c>
      <c r="E13873" s="8">
        <v>0</v>
      </c>
      <c r="F13873" s="8">
        <v>1637</v>
      </c>
    </row>
    <row r="13874" spans="1:6" ht="12.75">
      <c r="A13874" s="8">
        <v>43898.578078703707</v>
      </c>
      <c r="B13874" s="8" t="str">
        <f>HYPERLINK("https://twitter.com/FirdausHasyim","@FirdausHasyim")</f>
        <v>@FirdausHasyim</v>
      </c>
      <c r="C13874" s="8" t="s">
        <v>3265</v>
      </c>
      <c r="D13874" s="8">
        <v>319</v>
      </c>
      <c r="E13874" s="8">
        <v>0</v>
      </c>
      <c r="F13874" s="8">
        <v>129</v>
      </c>
    </row>
    <row r="13875" spans="1:6" ht="12.75">
      <c r="A13875" s="8">
        <v>43898.577789351853</v>
      </c>
      <c r="B13875" s="8" t="str">
        <f>HYPERLINK("https://twitter.com/rosavinda_","@rosavinda_")</f>
        <v>@rosavinda_</v>
      </c>
      <c r="C13875" s="8" t="s">
        <v>3265</v>
      </c>
      <c r="D13875" s="8">
        <v>319</v>
      </c>
      <c r="E13875" s="8">
        <v>0</v>
      </c>
      <c r="F13875" s="8">
        <v>90</v>
      </c>
    </row>
    <row r="13876" spans="1:6" ht="12.75">
      <c r="A13876" s="8">
        <v>43898.577777777777</v>
      </c>
      <c r="B13876" s="8" t="str">
        <f>HYPERLINK("https://twitter.com/kompascom","@kompascom")</f>
        <v>@kompascom</v>
      </c>
      <c r="C13876" s="8" t="s">
        <v>5580</v>
      </c>
      <c r="D13876" s="8">
        <v>3</v>
      </c>
      <c r="E13876" s="8">
        <v>13</v>
      </c>
      <c r="F13876" s="8">
        <v>7534676</v>
      </c>
    </row>
    <row r="13877" spans="1:6" ht="12.75">
      <c r="A13877" s="8">
        <v>43898.577557870369</v>
      </c>
      <c r="B13877" s="8" t="str">
        <f>HYPERLINK("https://twitter.com/aa_argun","@aa_argun")</f>
        <v>@aa_argun</v>
      </c>
      <c r="C13877" s="8" t="s">
        <v>5581</v>
      </c>
      <c r="D13877" s="8">
        <v>9</v>
      </c>
      <c r="E13877" s="8">
        <v>0</v>
      </c>
      <c r="F13877" s="8">
        <v>115</v>
      </c>
    </row>
    <row r="13878" spans="1:6" ht="12.75">
      <c r="A13878" s="8">
        <v>43898.577476851853</v>
      </c>
      <c r="B13878" s="8" t="str">
        <f>HYPERLINK("https://twitter.com/Albian1975","@Albian1975")</f>
        <v>@Albian1975</v>
      </c>
      <c r="C13878" s="8" t="s">
        <v>5217</v>
      </c>
      <c r="D13878" s="8">
        <v>7</v>
      </c>
      <c r="E13878" s="8">
        <v>0</v>
      </c>
      <c r="F13878" s="8">
        <v>103</v>
      </c>
    </row>
    <row r="13879" spans="1:6" ht="12.75">
      <c r="A13879" s="8">
        <v>43898.577384259261</v>
      </c>
      <c r="B13879" s="8" t="str">
        <f>HYPERLINK("https://twitter.com/ferry_adamhar","@ferry_adamhar")</f>
        <v>@ferry_adamhar</v>
      </c>
      <c r="C13879" s="8" t="s">
        <v>5582</v>
      </c>
      <c r="D13879" s="8">
        <v>1</v>
      </c>
      <c r="E13879" s="8">
        <v>0</v>
      </c>
      <c r="F13879" s="8">
        <v>10</v>
      </c>
    </row>
    <row r="13880" spans="1:6" ht="12.75">
      <c r="A13880" s="8">
        <v>43898.576180555552</v>
      </c>
      <c r="B13880" s="8" t="str">
        <f>HYPERLINK("https://twitter.com/Gilang79","@Gilang79")</f>
        <v>@Gilang79</v>
      </c>
      <c r="C13880" s="8" t="s">
        <v>5583</v>
      </c>
      <c r="D13880" s="8">
        <v>0</v>
      </c>
      <c r="E13880" s="8">
        <v>0</v>
      </c>
      <c r="F13880" s="8">
        <v>234</v>
      </c>
    </row>
    <row r="13881" spans="1:6" ht="12.75">
      <c r="A13881" s="8">
        <v>43898.575937500005</v>
      </c>
      <c r="B13881" s="8" t="str">
        <f>HYPERLINK("https://twitter.com/republikaonline","@republikaonline")</f>
        <v>@republikaonline</v>
      </c>
      <c r="C13881" s="8" t="s">
        <v>5584</v>
      </c>
      <c r="D13881" s="8">
        <v>1</v>
      </c>
      <c r="E13881" s="8">
        <v>4</v>
      </c>
      <c r="F13881" s="8">
        <v>1221806</v>
      </c>
    </row>
    <row r="13882" spans="1:6" ht="12.75">
      <c r="A13882" s="8">
        <v>43898.575902777782</v>
      </c>
      <c r="B13882" s="8" t="str">
        <f>HYPERLINK("https://twitter.com/nndnim","@nndnim")</f>
        <v>@nndnim</v>
      </c>
      <c r="C13882" s="8" t="s">
        <v>5440</v>
      </c>
      <c r="D13882" s="8">
        <v>1</v>
      </c>
      <c r="E13882" s="8">
        <v>0</v>
      </c>
      <c r="F13882" s="8">
        <v>2433</v>
      </c>
    </row>
    <row r="13883" spans="1:6" ht="12.75">
      <c r="A13883" s="8">
        <v>43898.57545138889</v>
      </c>
      <c r="B13883" s="8" t="str">
        <f>HYPERLINK("https://twitter.com/ferryirawanac","@ferryirawanac")</f>
        <v>@ferryirawanac</v>
      </c>
      <c r="C13883" s="8" t="s">
        <v>3265</v>
      </c>
      <c r="D13883" s="8">
        <v>319</v>
      </c>
      <c r="E13883" s="8">
        <v>0</v>
      </c>
      <c r="F13883" s="8">
        <v>186</v>
      </c>
    </row>
    <row r="13884" spans="1:6" ht="12.75">
      <c r="A13884" s="8">
        <v>43898.574837962966</v>
      </c>
      <c r="B13884" s="8" t="str">
        <f>HYPERLINK("https://twitter.com/e100ss","@e100ss")</f>
        <v>@e100ss</v>
      </c>
      <c r="C13884" s="8" t="s">
        <v>5585</v>
      </c>
      <c r="D13884" s="8">
        <v>1</v>
      </c>
      <c r="E13884" s="8">
        <v>4</v>
      </c>
      <c r="F13884" s="8">
        <v>781834</v>
      </c>
    </row>
    <row r="13885" spans="1:6" ht="12.75">
      <c r="A13885" s="8">
        <v>43898.57439814815</v>
      </c>
      <c r="B13885" s="8" t="str">
        <f>HYPERLINK("https://twitter.com/nanuths","@nanuths")</f>
        <v>@nanuths</v>
      </c>
      <c r="C13885" s="8" t="s">
        <v>5586</v>
      </c>
      <c r="D13885" s="8">
        <v>3</v>
      </c>
      <c r="E13885" s="8">
        <v>0</v>
      </c>
      <c r="F13885" s="8">
        <v>652</v>
      </c>
    </row>
    <row r="13886" spans="1:6" ht="12.75">
      <c r="A13886" s="8">
        <v>43898.574386574073</v>
      </c>
      <c r="B13886" s="8" t="str">
        <f>HYPERLINK("https://twitter.com/anuwRF","@anuwRF")</f>
        <v>@anuwRF</v>
      </c>
      <c r="C13886" s="8" t="s">
        <v>5587</v>
      </c>
      <c r="D13886" s="8">
        <v>3</v>
      </c>
      <c r="E13886" s="8">
        <v>0</v>
      </c>
      <c r="F13886" s="8">
        <v>581</v>
      </c>
    </row>
    <row r="13887" spans="1:6" ht="12.75">
      <c r="A13887" s="8">
        <v>43898.574282407411</v>
      </c>
      <c r="B13887" s="8" t="str">
        <f>HYPERLINK("https://twitter.com/tentarakeraton","@tentarakeraton")</f>
        <v>@tentarakeraton</v>
      </c>
      <c r="C13887" s="8" t="s">
        <v>5080</v>
      </c>
      <c r="D13887" s="8">
        <v>148</v>
      </c>
      <c r="E13887" s="8">
        <v>0</v>
      </c>
      <c r="F13887" s="8">
        <v>264</v>
      </c>
    </row>
    <row r="13888" spans="1:6" ht="12.75">
      <c r="A13888" s="8">
        <v>43898.573680555557</v>
      </c>
      <c r="B13888" s="8" t="str">
        <f>HYPERLINK("https://twitter.com/aktualofficial","@aktualofficial")</f>
        <v>@aktualofficial</v>
      </c>
      <c r="C13888" s="8" t="s">
        <v>5588</v>
      </c>
      <c r="D13888" s="8">
        <v>0</v>
      </c>
      <c r="E13888" s="8">
        <v>0</v>
      </c>
      <c r="F13888" s="8">
        <v>126</v>
      </c>
    </row>
    <row r="13889" spans="1:6" ht="12.75">
      <c r="A13889" s="8">
        <v>43898.573645833334</v>
      </c>
      <c r="B13889" s="8" t="str">
        <f>HYPERLINK("https://twitter.com/sulsel_satu","@sulsel_satu")</f>
        <v>@sulsel_satu</v>
      </c>
      <c r="C13889" s="8" t="s">
        <v>5589</v>
      </c>
      <c r="D13889" s="8">
        <v>0</v>
      </c>
      <c r="E13889" s="8">
        <v>0</v>
      </c>
      <c r="F13889" s="8">
        <v>734</v>
      </c>
    </row>
    <row r="13890" spans="1:6" ht="12.75">
      <c r="A13890" s="8">
        <v>43898.572939814811</v>
      </c>
      <c r="B13890" s="8" t="str">
        <f>HYPERLINK("https://twitter.com/terasid","@terasid")</f>
        <v>@terasid</v>
      </c>
      <c r="C13890" s="8" t="s">
        <v>5590</v>
      </c>
      <c r="D13890" s="8">
        <v>4</v>
      </c>
      <c r="E13890" s="8">
        <v>0</v>
      </c>
      <c r="F13890" s="8">
        <v>3185</v>
      </c>
    </row>
    <row r="13891" spans="1:6" ht="12.75">
      <c r="A13891" s="8">
        <v>43898.57267361111</v>
      </c>
      <c r="B13891" s="8" t="str">
        <f>HYPERLINK("https://twitter.com/Ray78F","@Ray78F")</f>
        <v>@Ray78F</v>
      </c>
      <c r="C13891" s="8" t="s">
        <v>3265</v>
      </c>
      <c r="D13891" s="8">
        <v>319</v>
      </c>
      <c r="E13891" s="8">
        <v>0</v>
      </c>
      <c r="F13891" s="8">
        <v>188</v>
      </c>
    </row>
    <row r="13892" spans="1:6" ht="12.75">
      <c r="A13892" s="8">
        <v>43898.572349537033</v>
      </c>
      <c r="B13892" s="8" t="str">
        <f>HYPERLINK("https://twitter.com/lkmnsp","@lkmnsp")</f>
        <v>@lkmnsp</v>
      </c>
      <c r="C13892" s="8" t="s">
        <v>5591</v>
      </c>
      <c r="D13892" s="8">
        <v>0</v>
      </c>
      <c r="E13892" s="8">
        <v>0</v>
      </c>
      <c r="F13892" s="8">
        <v>94</v>
      </c>
    </row>
    <row r="13893" spans="1:6" ht="12.75">
      <c r="A13893" s="8">
        <v>43898.571782407409</v>
      </c>
      <c r="B13893" s="8" t="str">
        <f>HYPERLINK("https://twitter.com/Richshow30","@Richshow30")</f>
        <v>@Richshow30</v>
      </c>
      <c r="C13893" s="8" t="s">
        <v>5592</v>
      </c>
      <c r="D13893" s="8">
        <v>4</v>
      </c>
      <c r="E13893" s="8">
        <v>0</v>
      </c>
      <c r="F13893" s="8">
        <v>6</v>
      </c>
    </row>
    <row r="13894" spans="1:6" ht="12.75">
      <c r="A13894" s="8">
        <v>43898.570613425924</v>
      </c>
      <c r="B13894" s="8" t="str">
        <f>HYPERLINK("https://twitter.com/william_ghozali","@william_ghozali")</f>
        <v>@william_ghozali</v>
      </c>
      <c r="C13894" s="8" t="s">
        <v>4940</v>
      </c>
      <c r="D13894" s="8">
        <v>20</v>
      </c>
      <c r="E13894" s="8">
        <v>0</v>
      </c>
      <c r="F13894" s="8">
        <v>88</v>
      </c>
    </row>
    <row r="13895" spans="1:6" ht="12.75">
      <c r="A13895" s="8">
        <v>43898.57032407407</v>
      </c>
      <c r="B13895" s="8" t="str">
        <f>HYPERLINK("https://twitter.com/zalfaharis","@zalfaharis")</f>
        <v>@zalfaharis</v>
      </c>
      <c r="C13895" s="8" t="s">
        <v>5537</v>
      </c>
      <c r="D13895" s="8">
        <v>4</v>
      </c>
      <c r="E13895" s="8">
        <v>0</v>
      </c>
      <c r="F13895" s="8">
        <v>588</v>
      </c>
    </row>
    <row r="13896" spans="1:6" ht="12.75">
      <c r="A13896" s="8">
        <v>43898.569756944446</v>
      </c>
      <c r="B13896" s="8" t="str">
        <f>HYPERLINK("https://twitter.com/abinkuncoro","@abinkuncoro")</f>
        <v>@abinkuncoro</v>
      </c>
      <c r="C13896" s="8" t="s">
        <v>1399</v>
      </c>
      <c r="D13896" s="8">
        <v>38</v>
      </c>
      <c r="E13896" s="8">
        <v>0</v>
      </c>
      <c r="F13896" s="8">
        <v>545</v>
      </c>
    </row>
    <row r="13897" spans="1:6" ht="12.75">
      <c r="A13897" s="8">
        <v>43898.569641203707</v>
      </c>
      <c r="B13897" s="8" t="str">
        <f>HYPERLINK("https://twitter.com/urjennz_","@urjennz_")</f>
        <v>@urjennz_</v>
      </c>
      <c r="C13897" s="8" t="s">
        <v>5593</v>
      </c>
      <c r="D13897" s="8">
        <v>2</v>
      </c>
      <c r="E13897" s="8">
        <v>0</v>
      </c>
      <c r="F13897" s="8">
        <v>1647</v>
      </c>
    </row>
    <row r="13898" spans="1:6" ht="12.75">
      <c r="A13898" s="8">
        <v>43898.569432870368</v>
      </c>
      <c r="B13898" s="8" t="str">
        <f>HYPERLINK("https://twitter.com/jwhsibarani","@jwhsibarani")</f>
        <v>@jwhsibarani</v>
      </c>
      <c r="C13898" s="8" t="s">
        <v>5594</v>
      </c>
      <c r="D13898" s="8">
        <v>0</v>
      </c>
      <c r="E13898" s="8">
        <v>0</v>
      </c>
      <c r="F13898" s="8">
        <v>89</v>
      </c>
    </row>
    <row r="13899" spans="1:6" ht="12.75">
      <c r="A13899" s="8">
        <v>43898.568530092598</v>
      </c>
      <c r="B13899" s="8" t="str">
        <f>HYPERLINK("https://twitter.com/herik3rn","@herik3rn")</f>
        <v>@herik3rn</v>
      </c>
      <c r="C13899" s="8" t="s">
        <v>5595</v>
      </c>
      <c r="D13899" s="8">
        <v>0</v>
      </c>
      <c r="E13899" s="8">
        <v>0</v>
      </c>
      <c r="F13899" s="8">
        <v>71</v>
      </c>
    </row>
    <row r="13900" spans="1:6" ht="12.75">
      <c r="A13900" s="8">
        <v>43898.568344907406</v>
      </c>
      <c r="B13900" s="8" t="str">
        <f>HYPERLINK("https://twitter.com/M_s_faisal","@M_s_faisal")</f>
        <v>@M_s_faisal</v>
      </c>
      <c r="C13900" s="8" t="s">
        <v>5596</v>
      </c>
      <c r="D13900" s="8">
        <v>0</v>
      </c>
      <c r="E13900" s="8">
        <v>0</v>
      </c>
      <c r="F13900" s="8">
        <v>34</v>
      </c>
    </row>
    <row r="13901" spans="1:6" ht="12.75">
      <c r="A13901" s="8">
        <v>43898.568194444444</v>
      </c>
      <c r="B13901" s="8" t="str">
        <f>HYPERLINK("https://twitter.com/kucingJepang","@kucingJepang")</f>
        <v>@kucingJepang</v>
      </c>
      <c r="C13901" s="8" t="s">
        <v>5488</v>
      </c>
      <c r="D13901" s="8">
        <v>1</v>
      </c>
      <c r="E13901" s="8">
        <v>0</v>
      </c>
      <c r="F13901" s="8">
        <v>126</v>
      </c>
    </row>
    <row r="13902" spans="1:6" ht="12.75">
      <c r="A13902" s="8">
        <v>43898.568078703705</v>
      </c>
      <c r="B13902" s="8" t="str">
        <f>HYPERLINK("https://twitter.com/nonemnolyf","@nonemnolyf")</f>
        <v>@nonemnolyf</v>
      </c>
      <c r="C13902" s="8" t="s">
        <v>5597</v>
      </c>
      <c r="D13902" s="8">
        <v>1</v>
      </c>
      <c r="E13902" s="8">
        <v>0</v>
      </c>
      <c r="F13902" s="8">
        <v>174</v>
      </c>
    </row>
    <row r="13903" spans="1:6" ht="12.75">
      <c r="A13903" s="8">
        <v>43898.56795138889</v>
      </c>
      <c r="B13903" s="8" t="str">
        <f>HYPERLINK("https://twitter.com/August20190430","@August20190430")</f>
        <v>@August20190430</v>
      </c>
      <c r="C13903" s="8" t="s">
        <v>5080</v>
      </c>
      <c r="D13903" s="8">
        <v>148</v>
      </c>
      <c r="E13903" s="8">
        <v>0</v>
      </c>
      <c r="F13903" s="8">
        <v>265</v>
      </c>
    </row>
    <row r="13904" spans="1:6" ht="12.75">
      <c r="A13904" s="8">
        <v>43898.567893518513</v>
      </c>
      <c r="B13904" s="8" t="str">
        <f>HYPERLINK("https://twitter.com/catchjimie","@catchjimie")</f>
        <v>@catchjimie</v>
      </c>
      <c r="C13904" s="8" t="s">
        <v>5593</v>
      </c>
      <c r="D13904" s="8">
        <v>2</v>
      </c>
      <c r="E13904" s="8">
        <v>0</v>
      </c>
      <c r="F13904" s="8">
        <v>887</v>
      </c>
    </row>
    <row r="13905" spans="1:6" ht="12.75">
      <c r="A13905" s="8">
        <v>43898.567083333328</v>
      </c>
      <c r="B13905" s="8" t="str">
        <f>HYPERLINK("https://twitter.com/Marmo011","@Marmo011")</f>
        <v>@Marmo011</v>
      </c>
      <c r="C13905" s="8" t="s">
        <v>5598</v>
      </c>
      <c r="D13905" s="8">
        <v>0</v>
      </c>
      <c r="E13905" s="8">
        <v>0</v>
      </c>
      <c r="F13905" s="8">
        <v>46</v>
      </c>
    </row>
    <row r="13906" spans="1:6" ht="12.75">
      <c r="A13906" s="8">
        <v>43898.566828703704</v>
      </c>
      <c r="B13906" s="8" t="str">
        <f>HYPERLINK("https://twitter.com/qennei","@qennei")</f>
        <v>@qennei</v>
      </c>
      <c r="C13906" s="8" t="s">
        <v>5599</v>
      </c>
      <c r="D13906" s="8">
        <v>2</v>
      </c>
      <c r="E13906" s="8">
        <v>0</v>
      </c>
      <c r="F13906" s="8">
        <v>19597</v>
      </c>
    </row>
    <row r="13907" spans="1:6" ht="12.75">
      <c r="A13907" s="8">
        <v>43898.566574074073</v>
      </c>
      <c r="B13907" s="8" t="str">
        <f>HYPERLINK("https://twitter.com/will7o20602","@will7o20602")</f>
        <v>@will7o20602</v>
      </c>
      <c r="C13907" s="8" t="s">
        <v>5600</v>
      </c>
      <c r="D13907" s="8">
        <v>0</v>
      </c>
      <c r="E13907" s="8">
        <v>0</v>
      </c>
      <c r="F13907" s="8">
        <v>132</v>
      </c>
    </row>
    <row r="13908" spans="1:6" ht="12.75">
      <c r="A13908" s="8">
        <v>43898.566053240742</v>
      </c>
      <c r="B13908" s="8" t="str">
        <f>HYPERLINK("https://twitter.com/August20190430","@August20190430")</f>
        <v>@August20190430</v>
      </c>
      <c r="C13908" s="8" t="s">
        <v>5601</v>
      </c>
      <c r="D13908" s="8">
        <v>0</v>
      </c>
      <c r="E13908" s="8">
        <v>0</v>
      </c>
      <c r="F13908" s="8">
        <v>265</v>
      </c>
    </row>
    <row r="13909" spans="1:6" ht="12.75">
      <c r="A13909" s="8">
        <v>43898.565648148149</v>
      </c>
      <c r="B13909" s="8" t="str">
        <f>HYPERLINK("https://twitter.com/Jery36083265","@Jery36083265")</f>
        <v>@Jery36083265</v>
      </c>
      <c r="C13909" s="8" t="s">
        <v>5602</v>
      </c>
      <c r="D13909" s="8">
        <v>1034</v>
      </c>
      <c r="E13909" s="8">
        <v>0</v>
      </c>
      <c r="F13909" s="8">
        <v>0</v>
      </c>
    </row>
    <row r="13910" spans="1:6" ht="12.75">
      <c r="A13910" s="8">
        <v>43898.565625000003</v>
      </c>
      <c r="B13910" s="8" t="str">
        <f>HYPERLINK("https://twitter.com/MTwiteeer","@MTwiteeer")</f>
        <v>@MTwiteeer</v>
      </c>
      <c r="C13910" s="8" t="s">
        <v>5603</v>
      </c>
      <c r="D13910" s="8">
        <v>2</v>
      </c>
      <c r="E13910" s="8">
        <v>0</v>
      </c>
      <c r="F13910" s="8">
        <v>4</v>
      </c>
    </row>
    <row r="13911" spans="1:6" ht="12.75">
      <c r="A13911" s="8">
        <v>43898.56523148148</v>
      </c>
      <c r="B13911" s="8" t="str">
        <f>HYPERLINK("https://twitter.com/gontornews","@gontornews")</f>
        <v>@gontornews</v>
      </c>
      <c r="C13911" s="8" t="s">
        <v>5604</v>
      </c>
      <c r="D13911" s="8">
        <v>0</v>
      </c>
      <c r="E13911" s="8">
        <v>1</v>
      </c>
      <c r="F13911" s="8">
        <v>4843</v>
      </c>
    </row>
    <row r="13912" spans="1:6" ht="12.75">
      <c r="A13912" s="8">
        <v>43898.564652777779</v>
      </c>
      <c r="B13912" s="8" t="str">
        <f>HYPERLINK("https://twitter.com/Dhinoe2","@Dhinoe2")</f>
        <v>@Dhinoe2</v>
      </c>
      <c r="C13912" s="8" t="s">
        <v>5605</v>
      </c>
      <c r="D13912" s="8">
        <v>0</v>
      </c>
      <c r="E13912" s="8">
        <v>1</v>
      </c>
      <c r="F13912" s="8">
        <v>297</v>
      </c>
    </row>
    <row r="13913" spans="1:6" ht="12.75">
      <c r="A13913" s="8">
        <v>43898.564444444448</v>
      </c>
      <c r="B13913" s="8" t="str">
        <f>HYPERLINK("https://twitter.com/abielcokopay","@abielcokopay")</f>
        <v>@abielcokopay</v>
      </c>
      <c r="C13913" s="8" t="s">
        <v>3265</v>
      </c>
      <c r="D13913" s="8">
        <v>319</v>
      </c>
      <c r="E13913" s="8">
        <v>0</v>
      </c>
      <c r="F13913" s="8">
        <v>78</v>
      </c>
    </row>
    <row r="13914" spans="1:6" ht="12.75">
      <c r="A13914" s="8">
        <v>43898.564189814817</v>
      </c>
      <c r="B13914" s="8" t="str">
        <f>HYPERLINK("https://twitter.com/BillTemporo","@BillTemporo")</f>
        <v>@BillTemporo</v>
      </c>
      <c r="C13914" s="8" t="s">
        <v>355</v>
      </c>
      <c r="D13914" s="8">
        <v>0</v>
      </c>
      <c r="E13914" s="8">
        <v>0</v>
      </c>
      <c r="F13914" s="8">
        <v>11</v>
      </c>
    </row>
    <row r="13915" spans="1:6" ht="12.75">
      <c r="A13915" s="8">
        <v>43898.563391203701</v>
      </c>
      <c r="B13915" s="8" t="str">
        <f>HYPERLINK("https://twitter.com/agama_nusantara","@agama_nusantara")</f>
        <v>@agama_nusantara</v>
      </c>
      <c r="C13915" s="8" t="s">
        <v>5606</v>
      </c>
      <c r="D13915" s="8">
        <v>1</v>
      </c>
      <c r="E13915" s="8">
        <v>0</v>
      </c>
      <c r="F13915" s="8">
        <v>7444</v>
      </c>
    </row>
    <row r="13916" spans="1:6" ht="12.75">
      <c r="A13916" s="8">
        <v>43898.563263888893</v>
      </c>
      <c r="B13916" s="8" t="str">
        <f>HYPERLINK("https://twitter.com/cendananews","@cendananews")</f>
        <v>@cendananews</v>
      </c>
      <c r="C13916" s="8" t="s">
        <v>5607</v>
      </c>
      <c r="D13916" s="8">
        <v>0</v>
      </c>
      <c r="E13916" s="8">
        <v>0</v>
      </c>
      <c r="F13916" s="8">
        <v>4571</v>
      </c>
    </row>
    <row r="13917" spans="1:6" ht="12.75">
      <c r="A13917" s="8">
        <v>43898.562523148154</v>
      </c>
      <c r="B13917" s="8" t="str">
        <f>HYPERLINK("https://twitter.com/deddyhariadi","@deddyhariadi")</f>
        <v>@deddyhariadi</v>
      </c>
      <c r="C13917" s="8" t="s">
        <v>5608</v>
      </c>
      <c r="D13917" s="8">
        <v>5</v>
      </c>
      <c r="E13917" s="8">
        <v>0</v>
      </c>
      <c r="F13917" s="8">
        <v>380</v>
      </c>
    </row>
    <row r="13918" spans="1:6" ht="12.75">
      <c r="A13918" s="8">
        <v>43898.562175925923</v>
      </c>
      <c r="B13918" s="8" t="str">
        <f>HYPERLINK("https://twitter.com/AskaraOfficial","@AskaraOfficial")</f>
        <v>@AskaraOfficial</v>
      </c>
      <c r="C13918" s="8" t="s">
        <v>5609</v>
      </c>
      <c r="D13918" s="8">
        <v>0</v>
      </c>
      <c r="E13918" s="8">
        <v>0</v>
      </c>
      <c r="F13918" s="8">
        <v>8</v>
      </c>
    </row>
    <row r="13919" spans="1:6" ht="12.75">
      <c r="A13919" s="8">
        <v>43898.561412037037</v>
      </c>
      <c r="B13919" s="8" t="str">
        <f>HYPERLINK("https://twitter.com/antarajatimcom","@antarajatimcom")</f>
        <v>@antarajatimcom</v>
      </c>
      <c r="C13919" s="8" t="s">
        <v>5610</v>
      </c>
      <c r="D13919" s="8">
        <v>0</v>
      </c>
      <c r="E13919" s="8">
        <v>0</v>
      </c>
      <c r="F13919" s="8">
        <v>852</v>
      </c>
    </row>
    <row r="13920" spans="1:6" ht="12.75">
      <c r="A13920" s="8">
        <v>43898.560995370368</v>
      </c>
      <c r="B13920" s="8" t="str">
        <f>HYPERLINK("https://twitter.com/Koran_Kaltara","@Koran_Kaltara")</f>
        <v>@Koran_Kaltara</v>
      </c>
      <c r="C13920" s="8" t="s">
        <v>5585</v>
      </c>
      <c r="D13920" s="8">
        <v>0</v>
      </c>
      <c r="E13920" s="8">
        <v>0</v>
      </c>
      <c r="F13920" s="8">
        <v>95</v>
      </c>
    </row>
    <row r="13921" spans="1:6" ht="12.75">
      <c r="A13921" s="8">
        <v>43898.560393518521</v>
      </c>
      <c r="B13921" s="8" t="str">
        <f>HYPERLINK("https://twitter.com/IndrakurnKurn","@IndrakurnKurn")</f>
        <v>@IndrakurnKurn</v>
      </c>
      <c r="C13921" s="8" t="s">
        <v>5080</v>
      </c>
      <c r="D13921" s="8">
        <v>148</v>
      </c>
      <c r="E13921" s="8">
        <v>0</v>
      </c>
      <c r="F13921" s="8">
        <v>344</v>
      </c>
    </row>
    <row r="13922" spans="1:6" ht="12.75">
      <c r="A13922" s="8">
        <v>43898.560289351852</v>
      </c>
      <c r="B13922" s="8" t="str">
        <f>HYPERLINK("https://twitter.com/KNRNIsntHere","@KNRNIsntHere")</f>
        <v>@KNRNIsntHere</v>
      </c>
      <c r="C13922" s="8" t="s">
        <v>5611</v>
      </c>
      <c r="D13922" s="8">
        <v>1</v>
      </c>
      <c r="E13922" s="8">
        <v>1</v>
      </c>
      <c r="F13922" s="8">
        <v>66</v>
      </c>
    </row>
    <row r="13923" spans="1:6" ht="12.75">
      <c r="A13923" s="8">
        <v>43898.559907407413</v>
      </c>
      <c r="B13923" s="8" t="str">
        <f>HYPERLINK("https://twitter.com/okezonenews","@okezonenews")</f>
        <v>@okezonenews</v>
      </c>
      <c r="C13923" s="8" t="s">
        <v>5612</v>
      </c>
      <c r="D13923" s="8">
        <v>1</v>
      </c>
      <c r="E13923" s="8">
        <v>2</v>
      </c>
      <c r="F13923" s="8">
        <v>1744054</v>
      </c>
    </row>
    <row r="13924" spans="1:6" ht="12.75">
      <c r="A13924" s="8">
        <v>43898.559895833328</v>
      </c>
      <c r="B13924" s="8" t="str">
        <f>HYPERLINK("https://twitter.com/sector1892","@sector1892")</f>
        <v>@sector1892</v>
      </c>
      <c r="C13924" s="8" t="s">
        <v>3265</v>
      </c>
      <c r="D13924" s="8">
        <v>319</v>
      </c>
      <c r="E13924" s="8">
        <v>0</v>
      </c>
      <c r="F13924" s="8">
        <v>182</v>
      </c>
    </row>
    <row r="13925" spans="1:6" ht="12.75">
      <c r="A13925" s="8">
        <v>43898.559074074074</v>
      </c>
      <c r="B13925" s="8" t="str">
        <f>HYPERLINK("https://twitter.com/abdulloh2015","@abdulloh2015")</f>
        <v>@abdulloh2015</v>
      </c>
      <c r="C13925" s="8" t="s">
        <v>859</v>
      </c>
      <c r="D13925" s="8">
        <v>0</v>
      </c>
      <c r="E13925" s="8">
        <v>0</v>
      </c>
      <c r="F13925" s="8">
        <v>61</v>
      </c>
    </row>
    <row r="13926" spans="1:6" ht="12.75">
      <c r="A13926" s="8">
        <v>43898.559050925927</v>
      </c>
      <c r="B13926" s="8" t="str">
        <f>HYPERLINK("https://twitter.com/kompascom","@kompascom")</f>
        <v>@kompascom</v>
      </c>
      <c r="C13926" s="8" t="s">
        <v>5613</v>
      </c>
      <c r="D13926" s="8">
        <v>1</v>
      </c>
      <c r="E13926" s="8">
        <v>12</v>
      </c>
      <c r="F13926" s="8">
        <v>7534676</v>
      </c>
    </row>
    <row r="13927" spans="1:6" ht="12.75">
      <c r="A13927" s="8">
        <v>43898.558946759258</v>
      </c>
      <c r="B13927" s="8" t="str">
        <f>HYPERLINK("https://twitter.com/wanherma","@wanherma")</f>
        <v>@wanherma</v>
      </c>
      <c r="C13927" s="8" t="s">
        <v>3265</v>
      </c>
      <c r="D13927" s="8">
        <v>319</v>
      </c>
      <c r="E13927" s="8">
        <v>0</v>
      </c>
      <c r="F13927" s="8">
        <v>201</v>
      </c>
    </row>
    <row r="13928" spans="1:6" ht="12.75">
      <c r="A13928" s="8">
        <v>43898.558587962965</v>
      </c>
      <c r="B13928" s="8" t="str">
        <f>HYPERLINK("https://twitter.com/awkarih","@awkarih")</f>
        <v>@awkarih</v>
      </c>
      <c r="C13928" s="8" t="s">
        <v>5614</v>
      </c>
      <c r="D13928" s="8">
        <v>0</v>
      </c>
      <c r="E13928" s="8">
        <v>0</v>
      </c>
      <c r="F13928" s="8">
        <v>712</v>
      </c>
    </row>
    <row r="13929" spans="1:6" ht="12.75">
      <c r="A13929" s="8">
        <v>43898.558425925927</v>
      </c>
      <c r="B13929" s="8" t="str">
        <f>HYPERLINK("https://twitter.com/RifandiGinting","@RifandiGinting")</f>
        <v>@RifandiGinting</v>
      </c>
      <c r="C13929" s="8" t="s">
        <v>5615</v>
      </c>
      <c r="D13929" s="8">
        <v>0</v>
      </c>
      <c r="E13929" s="8">
        <v>0</v>
      </c>
      <c r="F13929" s="8">
        <v>2046</v>
      </c>
    </row>
    <row r="13930" spans="1:6" ht="12.75">
      <c r="A13930" s="8">
        <v>43898.557766203703</v>
      </c>
      <c r="B13930" s="8" t="str">
        <f>HYPERLINK("https://twitter.com/jatengtodaycom","@jatengtodaycom")</f>
        <v>@jatengtodaycom</v>
      </c>
      <c r="C13930" s="8" t="s">
        <v>5616</v>
      </c>
      <c r="D13930" s="8">
        <v>0</v>
      </c>
      <c r="E13930" s="8">
        <v>0</v>
      </c>
      <c r="F13930" s="8">
        <v>77</v>
      </c>
    </row>
    <row r="13931" spans="1:6" ht="12.75">
      <c r="A13931" s="8">
        <v>43898.55768518518</v>
      </c>
      <c r="B13931" s="8" t="str">
        <f>HYPERLINK("https://twitter.com/ipel_767","@ipel_767")</f>
        <v>@ipel_767</v>
      </c>
      <c r="C13931" s="8" t="s">
        <v>3265</v>
      </c>
      <c r="D13931" s="8">
        <v>319</v>
      </c>
      <c r="E13931" s="8">
        <v>0</v>
      </c>
      <c r="F13931" s="8">
        <v>716</v>
      </c>
    </row>
    <row r="13932" spans="1:6" ht="12.75">
      <c r="A13932" s="8">
        <v>43898.557673611111</v>
      </c>
      <c r="B13932" s="8" t="str">
        <f>HYPERLINK("https://twitter.com/Muhajir011","@Muhajir011")</f>
        <v>@Muhajir011</v>
      </c>
      <c r="C13932" s="8" t="s">
        <v>3265</v>
      </c>
      <c r="D13932" s="8">
        <v>319</v>
      </c>
      <c r="E13932" s="8">
        <v>0</v>
      </c>
      <c r="F13932" s="8">
        <v>28</v>
      </c>
    </row>
    <row r="13933" spans="1:6" ht="12.75">
      <c r="A13933" s="8">
        <v>43898.548518518517</v>
      </c>
      <c r="B13933" s="8" t="str">
        <f>HYPERLINK("https://twitter.com/ieuroni","@ieuroni")</f>
        <v>@ieuroni</v>
      </c>
      <c r="C13933" s="8" t="s">
        <v>1399</v>
      </c>
      <c r="D13933" s="8">
        <v>31</v>
      </c>
      <c r="E13933" s="8">
        <v>0</v>
      </c>
      <c r="F13933" s="8">
        <v>432</v>
      </c>
    </row>
    <row r="13934" spans="1:6" ht="12.75">
      <c r="A13934" s="8">
        <v>43898.548252314809</v>
      </c>
      <c r="B13934" s="8" t="str">
        <f>HYPERLINK("https://twitter.com/LeLucky77","@LeLucky77")</f>
        <v>@LeLucky77</v>
      </c>
      <c r="C13934" s="8" t="s">
        <v>5617</v>
      </c>
      <c r="D13934" s="8">
        <v>0</v>
      </c>
      <c r="E13934" s="8">
        <v>0</v>
      </c>
      <c r="F13934" s="8">
        <v>49</v>
      </c>
    </row>
    <row r="13935" spans="1:6" ht="12.75">
      <c r="A13935" s="8">
        <v>43898.548055555555</v>
      </c>
      <c r="B13935" s="8" t="str">
        <f>HYPERLINK("https://twitter.com/JunizarT","@JunizarT")</f>
        <v>@JunizarT</v>
      </c>
      <c r="C13935" s="8" t="s">
        <v>3405</v>
      </c>
      <c r="D13935" s="8">
        <v>63</v>
      </c>
      <c r="E13935" s="8">
        <v>0</v>
      </c>
      <c r="F13935" s="8">
        <v>642</v>
      </c>
    </row>
    <row r="13936" spans="1:6" ht="12.75">
      <c r="A13936" s="8">
        <v>43898.54787037037</v>
      </c>
      <c r="B13936" s="8" t="str">
        <f>HYPERLINK("https://twitter.com/KDroneHunter","@KDroneHunter")</f>
        <v>@KDroneHunter</v>
      </c>
      <c r="C13936" s="8" t="s">
        <v>5618</v>
      </c>
      <c r="D13936" s="8">
        <v>0</v>
      </c>
      <c r="E13936" s="8">
        <v>0</v>
      </c>
      <c r="F13936" s="8">
        <v>147</v>
      </c>
    </row>
    <row r="13937" spans="1:6" ht="12.75">
      <c r="A13937" s="8">
        <v>43898.547719907408</v>
      </c>
      <c r="B13937" s="8" t="str">
        <f>HYPERLINK("https://twitter.com/auflomanndo67","@auflomanndo67")</f>
        <v>@auflomanndo67</v>
      </c>
      <c r="C13937" s="8" t="s">
        <v>5619</v>
      </c>
      <c r="D13937" s="8">
        <v>0</v>
      </c>
      <c r="E13937" s="8">
        <v>0</v>
      </c>
      <c r="F13937" s="8">
        <v>18</v>
      </c>
    </row>
    <row r="13938" spans="1:6" ht="12.75">
      <c r="A13938" s="8">
        <v>43898.547407407408</v>
      </c>
      <c r="B13938" s="8" t="str">
        <f>HYPERLINK("https://twitter.com/ruslan2331","@ruslan2331")</f>
        <v>@ruslan2331</v>
      </c>
      <c r="C13938" s="8" t="s">
        <v>5592</v>
      </c>
      <c r="D13938" s="8">
        <v>2</v>
      </c>
      <c r="E13938" s="8">
        <v>0</v>
      </c>
      <c r="F13938" s="8">
        <v>388</v>
      </c>
    </row>
    <row r="13939" spans="1:6" ht="12.75">
      <c r="A13939" s="8">
        <v>43898.547337962962</v>
      </c>
      <c r="B13939" s="8" t="str">
        <f>HYPERLINK("https://twitter.com/SusiroW","@SusiroW")</f>
        <v>@SusiroW</v>
      </c>
      <c r="C13939" s="8" t="s">
        <v>3265</v>
      </c>
      <c r="D13939" s="8">
        <v>294</v>
      </c>
      <c r="E13939" s="8">
        <v>0</v>
      </c>
      <c r="F13939" s="8">
        <v>244</v>
      </c>
    </row>
    <row r="13940" spans="1:6" ht="12.75">
      <c r="A13940" s="8">
        <v>43898.547256944439</v>
      </c>
      <c r="B13940" s="8" t="str">
        <f>HYPERLINK("https://twitter.com/Danimas19","@Danimas19")</f>
        <v>@Danimas19</v>
      </c>
      <c r="C13940" s="8" t="s">
        <v>5080</v>
      </c>
      <c r="D13940" s="8">
        <v>140</v>
      </c>
      <c r="E13940" s="8">
        <v>0</v>
      </c>
      <c r="F13940" s="8">
        <v>111</v>
      </c>
    </row>
    <row r="13941" spans="1:6" ht="12.75">
      <c r="A13941" s="8">
        <v>43898.547256944439</v>
      </c>
      <c r="B13941" s="8" t="str">
        <f>HYPERLINK("https://twitter.com/kendarinews","@kendarinews")</f>
        <v>@kendarinews</v>
      </c>
      <c r="C13941" s="8" t="s">
        <v>5620</v>
      </c>
      <c r="D13941" s="8">
        <v>0</v>
      </c>
      <c r="E13941" s="8">
        <v>0</v>
      </c>
      <c r="F13941" s="8">
        <v>5388</v>
      </c>
    </row>
    <row r="13942" spans="1:6" ht="12.75">
      <c r="A13942" s="8">
        <v>43898.5471875</v>
      </c>
      <c r="B13942" s="8" t="str">
        <f>HYPERLINK("https://twitter.com/istiyanti2409","@istiyanti2409")</f>
        <v>@istiyanti2409</v>
      </c>
      <c r="C13942" s="8" t="s">
        <v>5621</v>
      </c>
      <c r="D13942" s="8">
        <v>0</v>
      </c>
      <c r="E13942" s="8">
        <v>1</v>
      </c>
      <c r="F13942" s="8">
        <v>25</v>
      </c>
    </row>
    <row r="13943" spans="1:6" ht="12.75">
      <c r="A13943" s="8">
        <v>43898.546909722223</v>
      </c>
      <c r="B13943" s="8" t="str">
        <f>HYPERLINK("https://twitter.com/Muhamma65793485","@Muhamma65793485")</f>
        <v>@Muhamma65793485</v>
      </c>
      <c r="C13943" s="8" t="s">
        <v>3265</v>
      </c>
      <c r="D13943" s="8">
        <v>294</v>
      </c>
      <c r="E13943" s="8">
        <v>0</v>
      </c>
      <c r="F13943" s="8">
        <v>230</v>
      </c>
    </row>
    <row r="13944" spans="1:6" ht="12.75">
      <c r="A13944" s="8">
        <v>43898.546574074076</v>
      </c>
      <c r="B13944" s="8" t="str">
        <f>HYPERLINK("https://twitter.com/SuwandiSetyo","@SuwandiSetyo")</f>
        <v>@SuwandiSetyo</v>
      </c>
      <c r="C13944" s="8" t="s">
        <v>3743</v>
      </c>
      <c r="D13944" s="8">
        <v>710</v>
      </c>
      <c r="E13944" s="8">
        <v>0</v>
      </c>
      <c r="F13944" s="8">
        <v>49</v>
      </c>
    </row>
    <row r="13945" spans="1:6" ht="12.75">
      <c r="A13945" s="8">
        <v>43898.54650462963</v>
      </c>
      <c r="B13945" s="8" t="str">
        <f>HYPERLINK("https://twitter.com/chaisar_indra","@chaisar_indra")</f>
        <v>@chaisar_indra</v>
      </c>
      <c r="C13945" s="8" t="s">
        <v>3265</v>
      </c>
      <c r="D13945" s="8">
        <v>294</v>
      </c>
      <c r="E13945" s="8">
        <v>0</v>
      </c>
      <c r="F13945" s="8">
        <v>165</v>
      </c>
    </row>
    <row r="13946" spans="1:6" ht="12.75">
      <c r="A13946" s="8">
        <v>43898.546030092592</v>
      </c>
      <c r="B13946" s="8" t="str">
        <f>HYPERLINK("https://twitter.com/bucinblackpink","@bucinblackpink")</f>
        <v>@bucinblackpink</v>
      </c>
      <c r="C13946" s="8" t="s">
        <v>3265</v>
      </c>
      <c r="D13946" s="8">
        <v>294</v>
      </c>
      <c r="E13946" s="8">
        <v>0</v>
      </c>
      <c r="F13946" s="8">
        <v>260</v>
      </c>
    </row>
    <row r="13947" spans="1:6" ht="12.75">
      <c r="A13947" s="8">
        <v>43898.545127314814</v>
      </c>
      <c r="B13947" s="8" t="str">
        <f>HYPERLINK("https://twitter.com/faizalassegaf","@faizalassegaf")</f>
        <v>@faizalassegaf</v>
      </c>
      <c r="C13947" s="8" t="s">
        <v>5622</v>
      </c>
      <c r="D13947" s="8">
        <v>0</v>
      </c>
      <c r="E13947" s="8">
        <v>0</v>
      </c>
      <c r="F13947" s="8">
        <v>52360</v>
      </c>
    </row>
    <row r="13948" spans="1:6" ht="12.75">
      <c r="A13948" s="8">
        <v>43898.54482638889</v>
      </c>
      <c r="B13948" s="8" t="str">
        <f>HYPERLINK("https://twitter.com/IndoEthio","@IndoEthio")</f>
        <v>@IndoEthio</v>
      </c>
      <c r="C13948" s="8" t="s">
        <v>1399</v>
      </c>
      <c r="D13948" s="8">
        <v>31</v>
      </c>
      <c r="E13948" s="8">
        <v>0</v>
      </c>
      <c r="F13948" s="8">
        <v>3603</v>
      </c>
    </row>
    <row r="13949" spans="1:6" ht="12.75">
      <c r="A13949" s="8">
        <v>43898.544652777782</v>
      </c>
      <c r="B13949" s="8" t="str">
        <f>HYPERLINK("https://twitter.com/agoessp","@agoessp")</f>
        <v>@agoessp</v>
      </c>
      <c r="C13949" s="8" t="s">
        <v>5080</v>
      </c>
      <c r="D13949" s="8">
        <v>140</v>
      </c>
      <c r="E13949" s="8">
        <v>0</v>
      </c>
      <c r="F13949" s="8">
        <v>144</v>
      </c>
    </row>
    <row r="13950" spans="1:6" ht="12.75">
      <c r="A13950" s="8">
        <v>43898.544583333336</v>
      </c>
      <c r="B13950" s="8" t="str">
        <f>HYPERLINK("https://twitter.com/mega_yoora","@mega_yoora")</f>
        <v>@mega_yoora</v>
      </c>
      <c r="C13950" s="8" t="s">
        <v>5623</v>
      </c>
      <c r="D13950" s="8">
        <v>0</v>
      </c>
      <c r="E13950" s="8">
        <v>0</v>
      </c>
      <c r="F13950" s="8">
        <v>884</v>
      </c>
    </row>
    <row r="13951" spans="1:6" ht="12.75">
      <c r="A13951" s="8">
        <v>43898.544479166667</v>
      </c>
      <c r="B13951" s="8" t="str">
        <f>HYPERLINK("https://twitter.com/IndrakurnKurn","@IndrakurnKurn")</f>
        <v>@IndrakurnKurn</v>
      </c>
      <c r="C13951" s="8" t="s">
        <v>5624</v>
      </c>
      <c r="D13951" s="8">
        <v>549</v>
      </c>
      <c r="E13951" s="8">
        <v>0</v>
      </c>
      <c r="F13951" s="8">
        <v>344</v>
      </c>
    </row>
    <row r="13952" spans="1:6" ht="12.75">
      <c r="A13952" s="8">
        <v>43898.543946759259</v>
      </c>
      <c r="B13952" s="8" t="str">
        <f>HYPERLINK("https://twitter.com/nasyfahreza","@nasyfahreza")</f>
        <v>@nasyfahreza</v>
      </c>
      <c r="C13952" s="8" t="s">
        <v>5625</v>
      </c>
      <c r="D13952" s="8">
        <v>0</v>
      </c>
      <c r="E13952" s="8">
        <v>1</v>
      </c>
      <c r="F13952" s="8">
        <v>1078</v>
      </c>
    </row>
    <row r="13953" spans="1:6" ht="12.75">
      <c r="A13953" s="8">
        <v>43898.543726851851</v>
      </c>
      <c r="B13953" s="8" t="str">
        <f>HYPERLINK("https://twitter.com/dinoaviano","@dinoaviano")</f>
        <v>@dinoaviano</v>
      </c>
      <c r="C13953" s="8" t="s">
        <v>3265</v>
      </c>
      <c r="D13953" s="8">
        <v>294</v>
      </c>
      <c r="E13953" s="8">
        <v>0</v>
      </c>
      <c r="F13953" s="8">
        <v>698</v>
      </c>
    </row>
    <row r="13954" spans="1:6" ht="12.75">
      <c r="A13954" s="8">
        <v>43898.54351851852</v>
      </c>
      <c r="B13954" s="8" t="str">
        <f>HYPERLINK("https://twitter.com/BillTemporo","@BillTemporo")</f>
        <v>@BillTemporo</v>
      </c>
      <c r="C13954" s="8" t="s">
        <v>384</v>
      </c>
      <c r="D13954" s="8">
        <v>0</v>
      </c>
      <c r="E13954" s="8">
        <v>0</v>
      </c>
      <c r="F13954" s="8">
        <v>11</v>
      </c>
    </row>
    <row r="13955" spans="1:6" ht="12.75">
      <c r="A13955" s="8">
        <v>43898.54315972222</v>
      </c>
      <c r="B13955" s="8" t="str">
        <f>HYPERLINK("https://twitter.com/isis_mauri","@isis_mauri")</f>
        <v>@isis_mauri</v>
      </c>
      <c r="C13955" s="8" t="s">
        <v>5626</v>
      </c>
      <c r="D13955" s="8">
        <v>0</v>
      </c>
      <c r="E13955" s="8">
        <v>1</v>
      </c>
      <c r="F13955" s="8">
        <v>48</v>
      </c>
    </row>
    <row r="13956" spans="1:6" ht="12.75">
      <c r="A13956" s="8">
        <v>43898.542754629627</v>
      </c>
      <c r="B13956" s="8" t="str">
        <f>HYPERLINK("https://twitter.com/DrlRambe","@DrlRambe")</f>
        <v>@DrlRambe</v>
      </c>
      <c r="C13956" s="8" t="s">
        <v>5627</v>
      </c>
      <c r="D13956" s="8">
        <v>1</v>
      </c>
      <c r="E13956" s="8">
        <v>0</v>
      </c>
      <c r="F13956" s="8">
        <v>203</v>
      </c>
    </row>
    <row r="13957" spans="1:6" ht="12.75">
      <c r="A13957" s="8">
        <v>43898.542673611111</v>
      </c>
      <c r="B13957" s="8" t="str">
        <f>HYPERLINK("https://twitter.com/Bahaudinastari1","@Bahaudinastari1")</f>
        <v>@Bahaudinastari1</v>
      </c>
      <c r="C13957" s="8" t="s">
        <v>3265</v>
      </c>
      <c r="D13957" s="8">
        <v>294</v>
      </c>
      <c r="E13957" s="8">
        <v>0</v>
      </c>
      <c r="F13957" s="8">
        <v>240</v>
      </c>
    </row>
    <row r="13958" spans="1:6" ht="12.75">
      <c r="A13958" s="8">
        <v>43898.542303240742</v>
      </c>
      <c r="B13958" s="8" t="str">
        <f>HYPERLINK("https://twitter.com/jihaleee","@jihaleee")</f>
        <v>@jihaleee</v>
      </c>
      <c r="C13958" s="8" t="s">
        <v>3265</v>
      </c>
      <c r="D13958" s="8">
        <v>294</v>
      </c>
      <c r="E13958" s="8">
        <v>0</v>
      </c>
      <c r="F13958" s="8">
        <v>6</v>
      </c>
    </row>
    <row r="13959" spans="1:6" ht="12.75">
      <c r="A13959" s="8">
        <v>43898.542175925926</v>
      </c>
      <c r="B13959" s="8" t="str">
        <f>HYPERLINK("https://twitter.com/Xaver25761586","@Xaver25761586")</f>
        <v>@Xaver25761586</v>
      </c>
      <c r="C13959" s="8" t="s">
        <v>5080</v>
      </c>
      <c r="D13959" s="8">
        <v>140</v>
      </c>
      <c r="E13959" s="8">
        <v>0</v>
      </c>
      <c r="F13959" s="8">
        <v>610</v>
      </c>
    </row>
    <row r="13960" spans="1:6" ht="12.75">
      <c r="A13960" s="8">
        <v>43898.541666666672</v>
      </c>
      <c r="B13960" s="8" t="str">
        <f>HYPERLINK("https://twitter.com/Lintas_MNCTV","@Lintas_MNCTV")</f>
        <v>@Lintas_MNCTV</v>
      </c>
      <c r="C13960" s="8" t="s">
        <v>5628</v>
      </c>
      <c r="D13960" s="8">
        <v>0</v>
      </c>
      <c r="E13960" s="8">
        <v>0</v>
      </c>
      <c r="F13960" s="8">
        <v>35916</v>
      </c>
    </row>
    <row r="13961" spans="1:6" ht="12.75">
      <c r="A13961" s="8">
        <v>43898.541539351849</v>
      </c>
      <c r="B13961" s="8" t="str">
        <f>HYPERLINK("https://twitter.com/jojorivai","@jojorivai")</f>
        <v>@jojorivai</v>
      </c>
      <c r="C13961" s="8" t="s">
        <v>5629</v>
      </c>
      <c r="D13961" s="8">
        <v>0</v>
      </c>
      <c r="E13961" s="8">
        <v>1</v>
      </c>
      <c r="F13961" s="8">
        <v>10540</v>
      </c>
    </row>
    <row r="13962" spans="1:6" ht="12.75">
      <c r="A13962" s="8">
        <v>43898.54106481481</v>
      </c>
      <c r="B13962" s="8" t="str">
        <f>HYPERLINK("https://twitter.com/Indianandabori1","@Indianandabori1")</f>
        <v>@Indianandabori1</v>
      </c>
      <c r="C13962" s="8" t="s">
        <v>5630</v>
      </c>
      <c r="D13962" s="8">
        <v>0</v>
      </c>
      <c r="E13962" s="8">
        <v>0</v>
      </c>
      <c r="F13962" s="8">
        <v>2</v>
      </c>
    </row>
    <row r="13963" spans="1:6" ht="12.75">
      <c r="A13963" s="8">
        <v>43898.540902777779</v>
      </c>
      <c r="B13963" s="8" t="str">
        <f>HYPERLINK("https://twitter.com/Anananda81","@Anananda81")</f>
        <v>@Anananda81</v>
      </c>
      <c r="C13963" s="8" t="s">
        <v>3265</v>
      </c>
      <c r="D13963" s="8">
        <v>294</v>
      </c>
      <c r="E13963" s="8">
        <v>0</v>
      </c>
      <c r="F13963" s="8">
        <v>0</v>
      </c>
    </row>
    <row r="13964" spans="1:6" ht="12.75">
      <c r="A13964" s="8">
        <v>43898.540682870371</v>
      </c>
      <c r="B13964" s="8" t="str">
        <f>HYPERLINK("https://twitter.com/SriAyumi10","@SriAyumi10")</f>
        <v>@SriAyumi10</v>
      </c>
      <c r="C13964" s="8" t="s">
        <v>3265</v>
      </c>
      <c r="D13964" s="8">
        <v>294</v>
      </c>
      <c r="E13964" s="8">
        <v>0</v>
      </c>
      <c r="F13964" s="8">
        <v>11</v>
      </c>
    </row>
    <row r="13965" spans="1:6" ht="12.75">
      <c r="A13965" s="8">
        <v>43898.540648148148</v>
      </c>
      <c r="B13965" s="8" t="str">
        <f>HYPERLINK("https://twitter.com/myatharva","@myatharva")</f>
        <v>@myatharva</v>
      </c>
      <c r="C13965" s="8" t="s">
        <v>5564</v>
      </c>
      <c r="D13965" s="8">
        <v>2</v>
      </c>
      <c r="E13965" s="8">
        <v>0</v>
      </c>
      <c r="F13965" s="8">
        <v>4037</v>
      </c>
    </row>
    <row r="13966" spans="1:6" ht="12.75">
      <c r="A13966" s="8">
        <v>43898.540509259255</v>
      </c>
      <c r="B13966" s="8" t="str">
        <f>HYPERLINK("https://twitter.com/Saadi____","@Saadi____")</f>
        <v>@Saadi____</v>
      </c>
      <c r="C13966" s="8" t="s">
        <v>3265</v>
      </c>
      <c r="D13966" s="8">
        <v>294</v>
      </c>
      <c r="E13966" s="8">
        <v>0</v>
      </c>
      <c r="F13966" s="8">
        <v>170</v>
      </c>
    </row>
    <row r="13967" spans="1:6" ht="12.75">
      <c r="A13967" s="8">
        <v>43898.5393287037</v>
      </c>
      <c r="B13967" s="8" t="str">
        <f>HYPERLINK("https://twitter.com/IlfiSyabeh","@IlfiSyabeh")</f>
        <v>@IlfiSyabeh</v>
      </c>
      <c r="C13967" s="8" t="s">
        <v>1399</v>
      </c>
      <c r="D13967" s="8">
        <v>31</v>
      </c>
      <c r="E13967" s="8">
        <v>0</v>
      </c>
      <c r="F13967" s="8">
        <v>436</v>
      </c>
    </row>
    <row r="13968" spans="1:6" ht="12.75">
      <c r="A13968" s="8">
        <v>43898.538738425923</v>
      </c>
      <c r="B13968" s="8" t="str">
        <f>HYPERLINK("https://twitter.com/yasokamall1","@yasokamall1")</f>
        <v>@yasokamall1</v>
      </c>
      <c r="C13968" s="8" t="s">
        <v>5631</v>
      </c>
      <c r="D13968" s="8">
        <v>0</v>
      </c>
      <c r="E13968" s="8">
        <v>1</v>
      </c>
      <c r="F13968" s="8">
        <v>1975</v>
      </c>
    </row>
    <row r="13969" spans="1:6" ht="12.75">
      <c r="A13969" s="8">
        <v>43898.538726851853</v>
      </c>
      <c r="B13969" s="8" t="str">
        <f>HYPERLINK("https://twitter.com/AmstrongBiring","@AmstrongBiring")</f>
        <v>@AmstrongBiring</v>
      </c>
      <c r="C13969" s="8" t="s">
        <v>5592</v>
      </c>
      <c r="D13969" s="8">
        <v>2</v>
      </c>
      <c r="E13969" s="8">
        <v>0</v>
      </c>
      <c r="F13969" s="8">
        <v>1987</v>
      </c>
    </row>
    <row r="13970" spans="1:6" ht="12.75">
      <c r="A13970" s="8">
        <v>43898.538402777776</v>
      </c>
      <c r="B13970" s="8" t="str">
        <f>HYPERLINK("https://twitter.com/absimor","@absimor")</f>
        <v>@absimor</v>
      </c>
      <c r="C13970" s="8" t="s">
        <v>5632</v>
      </c>
      <c r="D13970" s="8">
        <v>0</v>
      </c>
      <c r="E13970" s="8">
        <v>0</v>
      </c>
      <c r="F13970" s="8">
        <v>1</v>
      </c>
    </row>
    <row r="13971" spans="1:6" ht="12.75">
      <c r="A13971" s="8">
        <v>43898.538229166668</v>
      </c>
      <c r="B13971" s="8" t="str">
        <f>HYPERLINK("https://twitter.com/KontanNews","@KontanNews")</f>
        <v>@KontanNews</v>
      </c>
      <c r="C13971" s="8" t="s">
        <v>5629</v>
      </c>
      <c r="D13971" s="8">
        <v>0</v>
      </c>
      <c r="E13971" s="8">
        <v>0</v>
      </c>
      <c r="F13971" s="8">
        <v>318338</v>
      </c>
    </row>
    <row r="13972" spans="1:6" ht="12.75">
      <c r="A13972" s="8">
        <v>43898.538229166668</v>
      </c>
      <c r="B13972" s="8" t="str">
        <f>HYPERLINK("https://twitter.com/tyhon9","@tyhon9")</f>
        <v>@tyhon9</v>
      </c>
      <c r="C13972" s="8" t="s">
        <v>5633</v>
      </c>
      <c r="D13972" s="8">
        <v>0</v>
      </c>
      <c r="E13972" s="8">
        <v>0</v>
      </c>
      <c r="F13972" s="8">
        <v>4775</v>
      </c>
    </row>
    <row r="13973" spans="1:6" ht="12.75">
      <c r="A13973" s="8">
        <v>43898.538020833337</v>
      </c>
      <c r="B13973" s="8" t="str">
        <f>HYPERLINK("https://twitter.com/RAISYAELBIX1","@RAISYAELBIX1")</f>
        <v>@RAISYAELBIX1</v>
      </c>
      <c r="C13973" s="8" t="s">
        <v>5634</v>
      </c>
      <c r="D13973" s="8">
        <v>1</v>
      </c>
      <c r="E13973" s="8">
        <v>0</v>
      </c>
      <c r="F13973" s="8">
        <v>6359</v>
      </c>
    </row>
    <row r="13974" spans="1:6" ht="12.75">
      <c r="A13974" s="8">
        <v>43898.537546296298</v>
      </c>
      <c r="B13974" s="8" t="str">
        <f>HYPERLINK("https://twitter.com/Heryhary4","@Heryhary4")</f>
        <v>@Heryhary4</v>
      </c>
      <c r="C13974" s="8" t="s">
        <v>3265</v>
      </c>
      <c r="D13974" s="8">
        <v>294</v>
      </c>
      <c r="E13974" s="8">
        <v>0</v>
      </c>
      <c r="F13974" s="8">
        <v>130</v>
      </c>
    </row>
    <row r="13975" spans="1:6" ht="12.75">
      <c r="A13975" s="8">
        <v>43898.537175925929</v>
      </c>
      <c r="B13975" s="8" t="str">
        <f>HYPERLINK("https://twitter.com/galamedianews","@galamedianews")</f>
        <v>@galamedianews</v>
      </c>
      <c r="C13975" s="8" t="s">
        <v>5635</v>
      </c>
      <c r="D13975" s="8">
        <v>0</v>
      </c>
      <c r="E13975" s="8">
        <v>0</v>
      </c>
      <c r="F13975" s="8">
        <v>13855</v>
      </c>
    </row>
    <row r="13976" spans="1:6" ht="12.75">
      <c r="A13976" s="8">
        <v>43898.536956018521</v>
      </c>
      <c r="B13976" s="8" t="str">
        <f>HYPERLINK("https://twitter.com/becak125cc","@becak125cc")</f>
        <v>@becak125cc</v>
      </c>
      <c r="C13976" s="8" t="s">
        <v>3405</v>
      </c>
      <c r="D13976" s="8">
        <v>63</v>
      </c>
      <c r="E13976" s="8">
        <v>0</v>
      </c>
      <c r="F13976" s="8">
        <v>564</v>
      </c>
    </row>
    <row r="13977" spans="1:6" ht="12.75">
      <c r="A13977" s="8">
        <v>43898.536412037036</v>
      </c>
      <c r="B13977" s="8" t="str">
        <f>HYPERLINK("https://twitter.com/liranti","@liranti")</f>
        <v>@liranti</v>
      </c>
      <c r="C13977" s="8" t="s">
        <v>5556</v>
      </c>
      <c r="D13977" s="8">
        <v>3</v>
      </c>
      <c r="E13977" s="8">
        <v>0</v>
      </c>
      <c r="F13977" s="8">
        <v>531</v>
      </c>
    </row>
    <row r="13978" spans="1:6" ht="12.75">
      <c r="A13978" s="8">
        <v>43898.535555555558</v>
      </c>
      <c r="B13978" s="8" t="str">
        <f>HYPERLINK("https://twitter.com/rizaln__","@rizaln__")</f>
        <v>@rizaln__</v>
      </c>
      <c r="C13978" s="8" t="s">
        <v>5636</v>
      </c>
      <c r="D13978" s="8">
        <v>0</v>
      </c>
      <c r="E13978" s="8">
        <v>0</v>
      </c>
      <c r="F13978" s="8">
        <v>7278</v>
      </c>
    </row>
    <row r="13979" spans="1:6" ht="12.75">
      <c r="A13979" s="8">
        <v>43898.53524305555</v>
      </c>
      <c r="B13979" s="8" t="str">
        <f>HYPERLINK("https://twitter.com/prayetnobos","@prayetnobos")</f>
        <v>@prayetnobos</v>
      </c>
      <c r="C13979" s="8" t="s">
        <v>3265</v>
      </c>
      <c r="D13979" s="8">
        <v>294</v>
      </c>
      <c r="E13979" s="8">
        <v>0</v>
      </c>
      <c r="F13979" s="8">
        <v>11</v>
      </c>
    </row>
    <row r="13980" spans="1:6" ht="12.75">
      <c r="A13980" s="8">
        <v>43898.535196759258</v>
      </c>
      <c r="B13980" s="8" t="str">
        <f>HYPERLINK("https://twitter.com/herik3rn","@herik3rn")</f>
        <v>@herik3rn</v>
      </c>
      <c r="C13980" s="8" t="s">
        <v>5637</v>
      </c>
      <c r="D13980" s="8">
        <v>0</v>
      </c>
      <c r="E13980" s="8">
        <v>0</v>
      </c>
      <c r="F13980" s="8">
        <v>71</v>
      </c>
    </row>
    <row r="13981" spans="1:6" ht="12.75">
      <c r="A13981" s="8">
        <v>43898.53502314815</v>
      </c>
      <c r="B13981" s="8" t="str">
        <f>HYPERLINK("https://twitter.com/CeriaSinom","@CeriaSinom")</f>
        <v>@CeriaSinom</v>
      </c>
      <c r="C13981" s="8" t="s">
        <v>5544</v>
      </c>
      <c r="D13981" s="8">
        <v>19</v>
      </c>
      <c r="E13981" s="8">
        <v>0</v>
      </c>
      <c r="F13981" s="8">
        <v>157</v>
      </c>
    </row>
    <row r="13982" spans="1:6" ht="12.75">
      <c r="A13982" s="8">
        <v>43898.535011574073</v>
      </c>
      <c r="B13982" s="8" t="str">
        <f>HYPERLINK("https://twitter.com/indonesiainist","@indonesiainist")</f>
        <v>@indonesiainist</v>
      </c>
      <c r="C13982" s="8" t="s">
        <v>1399</v>
      </c>
      <c r="D13982" s="8">
        <v>31</v>
      </c>
      <c r="E13982" s="8">
        <v>0</v>
      </c>
      <c r="F13982" s="8">
        <v>705</v>
      </c>
    </row>
    <row r="13983" spans="1:6" ht="12.75">
      <c r="A13983" s="8">
        <v>43898.534756944442</v>
      </c>
      <c r="B13983" s="8" t="str">
        <f>HYPERLINK("https://twitter.com/KompasTV","@KompasTV")</f>
        <v>@KompasTV</v>
      </c>
      <c r="C13983" s="8" t="s">
        <v>5638</v>
      </c>
      <c r="D13983" s="8">
        <v>2</v>
      </c>
      <c r="E13983" s="8">
        <v>6</v>
      </c>
      <c r="F13983" s="8">
        <v>2959000</v>
      </c>
    </row>
    <row r="13984" spans="1:6" ht="12.75">
      <c r="A13984" s="8">
        <v>43898.534409722226</v>
      </c>
      <c r="B13984" s="8" t="str">
        <f>HYPERLINK("https://twitter.com/pramana_irfan","@pramana_irfan")</f>
        <v>@pramana_irfan</v>
      </c>
      <c r="C13984" s="8" t="s">
        <v>5080</v>
      </c>
      <c r="D13984" s="8">
        <v>140</v>
      </c>
      <c r="E13984" s="8">
        <v>0</v>
      </c>
      <c r="F13984" s="8">
        <v>226</v>
      </c>
    </row>
    <row r="13985" spans="1:6" ht="12.75">
      <c r="A13985" s="8">
        <v>43898.534050925926</v>
      </c>
      <c r="B13985" s="8" t="str">
        <f>HYPERLINK("https://twitter.com/MimbaRakyat","@MimbaRakyat")</f>
        <v>@MimbaRakyat</v>
      </c>
      <c r="C13985" s="8" t="s">
        <v>5639</v>
      </c>
      <c r="D13985" s="8">
        <v>0</v>
      </c>
      <c r="E13985" s="8">
        <v>0</v>
      </c>
      <c r="F13985" s="8">
        <v>283</v>
      </c>
    </row>
    <row r="13986" spans="1:6" ht="12.75">
      <c r="A13986" s="8">
        <v>43898.533877314811</v>
      </c>
      <c r="B13986" s="8" t="str">
        <f>HYPERLINK("https://twitter.com/henkq_y","@henkq_y")</f>
        <v>@henkq_y</v>
      </c>
      <c r="C13986" s="8" t="s">
        <v>5640</v>
      </c>
      <c r="D13986" s="8">
        <v>0</v>
      </c>
      <c r="E13986" s="8">
        <v>0</v>
      </c>
      <c r="F13986" s="8">
        <v>252</v>
      </c>
    </row>
    <row r="13987" spans="1:6" ht="12.75">
      <c r="A13987" s="8">
        <v>43898.533645833333</v>
      </c>
      <c r="B13987" s="8" t="str">
        <f>HYPERLINK("https://twitter.com/yudhispramana","@yudhispramana")</f>
        <v>@yudhispramana</v>
      </c>
      <c r="C13987" s="8" t="s">
        <v>3265</v>
      </c>
      <c r="D13987" s="8">
        <v>294</v>
      </c>
      <c r="E13987" s="8">
        <v>0</v>
      </c>
      <c r="F13987" s="8">
        <v>82</v>
      </c>
    </row>
    <row r="13988" spans="1:6" ht="12.75">
      <c r="A13988" s="8">
        <v>43898.533379629633</v>
      </c>
      <c r="B13988" s="8" t="str">
        <f>HYPERLINK("https://twitter.com/JayaNasih","@JayaNasih")</f>
        <v>@JayaNasih</v>
      </c>
      <c r="C13988" s="8" t="s">
        <v>3265</v>
      </c>
      <c r="D13988" s="8">
        <v>294</v>
      </c>
      <c r="E13988" s="8">
        <v>0</v>
      </c>
      <c r="F13988" s="8">
        <v>207</v>
      </c>
    </row>
    <row r="13989" spans="1:6" ht="12.75">
      <c r="A13989" s="8">
        <v>43898.533263888894</v>
      </c>
      <c r="B13989" s="8" t="str">
        <f>HYPERLINK("https://twitter.com/FadilahPirli","@FadilahPirli")</f>
        <v>@FadilahPirli</v>
      </c>
      <c r="C13989" s="8" t="s">
        <v>3265</v>
      </c>
      <c r="D13989" s="8">
        <v>294</v>
      </c>
      <c r="E13989" s="8">
        <v>0</v>
      </c>
      <c r="F13989" s="8">
        <v>1689</v>
      </c>
    </row>
    <row r="13990" spans="1:6" ht="12.75">
      <c r="A13990" s="8">
        <v>43898.533078703702</v>
      </c>
      <c r="B13990" s="8" t="str">
        <f>HYPERLINK("https://twitter.com/oxide_0","@oxide_0")</f>
        <v>@oxide_0</v>
      </c>
      <c r="C13990" s="8" t="s">
        <v>5641</v>
      </c>
      <c r="D13990" s="8">
        <v>0</v>
      </c>
      <c r="E13990" s="8">
        <v>0</v>
      </c>
      <c r="F13990" s="8">
        <v>4</v>
      </c>
    </row>
    <row r="13991" spans="1:6" ht="12.75">
      <c r="A13991" s="8">
        <v>43898.532835648148</v>
      </c>
      <c r="B13991" s="8" t="str">
        <f>HYPERLINK("https://twitter.com/benzgabriel","@benzgabriel")</f>
        <v>@benzgabriel</v>
      </c>
      <c r="C13991" s="8" t="s">
        <v>5080</v>
      </c>
      <c r="D13991" s="8">
        <v>140</v>
      </c>
      <c r="E13991" s="8">
        <v>0</v>
      </c>
      <c r="F13991" s="8">
        <v>1070</v>
      </c>
    </row>
    <row r="13992" spans="1:6" ht="12.75">
      <c r="A13992" s="8">
        <v>43898.532812500001</v>
      </c>
      <c r="B13992" s="8" t="str">
        <f>HYPERLINK("https://twitter.com/rofiqma_mun","@rofiqma_mun")</f>
        <v>@rofiqma_mun</v>
      </c>
      <c r="C13992" s="8" t="s">
        <v>3405</v>
      </c>
      <c r="D13992" s="8">
        <v>63</v>
      </c>
      <c r="E13992" s="8">
        <v>0</v>
      </c>
      <c r="F13992" s="8">
        <v>1347</v>
      </c>
    </row>
    <row r="13993" spans="1:6" ht="12.75">
      <c r="A13993" s="8">
        <v>43898.53261574074</v>
      </c>
      <c r="B13993" s="8" t="str">
        <f>HYPERLINK("https://twitter.com/andyydepp","@andyydepp")</f>
        <v>@andyydepp</v>
      </c>
      <c r="C13993" s="8" t="s">
        <v>3265</v>
      </c>
      <c r="D13993" s="8">
        <v>294</v>
      </c>
      <c r="E13993" s="8">
        <v>0</v>
      </c>
      <c r="F13993" s="8">
        <v>272</v>
      </c>
    </row>
    <row r="13994" spans="1:6" ht="12.75">
      <c r="A13994" s="8">
        <v>43898.532465277778</v>
      </c>
      <c r="B13994" s="8" t="str">
        <f>HYPERLINK("https://twitter.com/Jubilate_7","@Jubilate_7")</f>
        <v>@Jubilate_7</v>
      </c>
      <c r="C13994" s="8" t="s">
        <v>5642</v>
      </c>
      <c r="D13994" s="8">
        <v>0</v>
      </c>
      <c r="E13994" s="8">
        <v>0</v>
      </c>
      <c r="F13994" s="8">
        <v>246</v>
      </c>
    </row>
    <row r="13995" spans="1:6" ht="12.75">
      <c r="A13995" s="8">
        <v>43898.532002314816</v>
      </c>
      <c r="B13995" s="8" t="str">
        <f>HYPERLINK("https://twitter.com/antaranews","@antaranews")</f>
        <v>@antaranews</v>
      </c>
      <c r="C13995" s="8" t="s">
        <v>5643</v>
      </c>
      <c r="D13995" s="8">
        <v>3</v>
      </c>
      <c r="E13995" s="8">
        <v>7</v>
      </c>
      <c r="F13995" s="8">
        <v>1106915</v>
      </c>
    </row>
    <row r="13996" spans="1:6" ht="12.75">
      <c r="A13996" s="8">
        <v>43898.53126157407</v>
      </c>
      <c r="B13996" s="8" t="str">
        <f>HYPERLINK("https://twitter.com/Broto__Seno","@Broto__Seno")</f>
        <v>@Broto__Seno</v>
      </c>
      <c r="C13996" s="8" t="s">
        <v>3405</v>
      </c>
      <c r="D13996" s="8">
        <v>63</v>
      </c>
      <c r="E13996" s="8">
        <v>0</v>
      </c>
      <c r="F13996" s="8">
        <v>3365</v>
      </c>
    </row>
    <row r="13997" spans="1:6" ht="12.75">
      <c r="A13997" s="8">
        <v>43898.531145833331</v>
      </c>
      <c r="B13997" s="8" t="str">
        <f>HYPERLINK("https://twitter.com/aingkasephehe","@aingkasephehe")</f>
        <v>@aingkasephehe</v>
      </c>
      <c r="C13997" s="8" t="s">
        <v>3265</v>
      </c>
      <c r="D13997" s="8">
        <v>294</v>
      </c>
      <c r="E13997" s="8">
        <v>0</v>
      </c>
      <c r="F13997" s="8">
        <v>64</v>
      </c>
    </row>
    <row r="13998" spans="1:6" ht="12.75">
      <c r="A13998" s="8">
        <v>43898.531145833331</v>
      </c>
      <c r="B13998" s="8" t="str">
        <f>HYPERLINK("https://twitter.com/Heruanandita","@Heruanandita")</f>
        <v>@Heruanandita</v>
      </c>
      <c r="C13998" s="8" t="s">
        <v>3265</v>
      </c>
      <c r="D13998" s="8">
        <v>294</v>
      </c>
      <c r="E13998" s="8">
        <v>0</v>
      </c>
      <c r="F13998" s="8">
        <v>16</v>
      </c>
    </row>
    <row r="13999" spans="1:6" ht="12.75">
      <c r="A13999" s="8">
        <v>43898.530925925923</v>
      </c>
      <c r="B13999" s="8" t="str">
        <f>HYPERLINK("https://twitter.com/Inisiatifnews","@Inisiatifnews")</f>
        <v>@Inisiatifnews</v>
      </c>
      <c r="C13999" s="8" t="s">
        <v>5644</v>
      </c>
      <c r="D13999" s="8">
        <v>0</v>
      </c>
      <c r="E13999" s="8">
        <v>0</v>
      </c>
      <c r="F13999" s="8">
        <v>61</v>
      </c>
    </row>
    <row r="14000" spans="1:6" ht="12.75">
      <c r="A14000" s="8">
        <v>43898.5308912037</v>
      </c>
      <c r="B14000" s="8" t="str">
        <f>HYPERLINK("https://twitter.com/ophunkdoank","@ophunkdoank")</f>
        <v>@ophunkdoank</v>
      </c>
      <c r="C14000" s="8" t="s">
        <v>5579</v>
      </c>
      <c r="D14000" s="8">
        <v>0</v>
      </c>
      <c r="E14000" s="8">
        <v>0</v>
      </c>
      <c r="F14000" s="8">
        <v>1433</v>
      </c>
    </row>
    <row r="14001" spans="1:6" ht="12.75">
      <c r="A14001" s="8">
        <v>43898.530347222222</v>
      </c>
      <c r="B14001" s="8" t="str">
        <f>HYPERLINK("https://twitter.com/medhy802","@medhy802")</f>
        <v>@medhy802</v>
      </c>
      <c r="C14001" s="8" t="s">
        <v>3265</v>
      </c>
      <c r="D14001" s="8">
        <v>294</v>
      </c>
      <c r="E14001" s="8">
        <v>0</v>
      </c>
      <c r="F14001" s="8">
        <v>5</v>
      </c>
    </row>
    <row r="14002" spans="1:6" ht="12.75">
      <c r="A14002" s="8">
        <v>43898.530127314814</v>
      </c>
      <c r="B14002" s="8" t="str">
        <f>HYPERLINK("https://twitter.com/p_irwant","@p_irwant")</f>
        <v>@p_irwant</v>
      </c>
      <c r="C14002" s="8" t="s">
        <v>4818</v>
      </c>
      <c r="D14002" s="8">
        <v>303</v>
      </c>
      <c r="E14002" s="8">
        <v>0</v>
      </c>
      <c r="F14002" s="8">
        <v>451</v>
      </c>
    </row>
    <row r="14003" spans="1:6" ht="12.75">
      <c r="A14003" s="8">
        <v>43898.529791666668</v>
      </c>
      <c r="B14003" s="8" t="str">
        <f>HYPERLINK("https://twitter.com/ratu_adil","@ratu_adil")</f>
        <v>@ratu_adil</v>
      </c>
      <c r="C14003" s="8" t="s">
        <v>4984</v>
      </c>
      <c r="D14003" s="8">
        <v>5</v>
      </c>
      <c r="E14003" s="8">
        <v>0</v>
      </c>
      <c r="F14003" s="8">
        <v>52828</v>
      </c>
    </row>
    <row r="14004" spans="1:6" ht="12.75">
      <c r="A14004" s="8">
        <v>43898.527870370366</v>
      </c>
      <c r="B14004" s="8" t="str">
        <f>HYPERLINK("https://twitter.com/paramith_ayu","@paramith_ayu")</f>
        <v>@paramith_ayu</v>
      </c>
      <c r="C14004" s="8" t="s">
        <v>5645</v>
      </c>
      <c r="D14004" s="8">
        <v>0</v>
      </c>
      <c r="E14004" s="8">
        <v>0</v>
      </c>
      <c r="F14004" s="8">
        <v>345</v>
      </c>
    </row>
    <row r="14005" spans="1:6" ht="12.75">
      <c r="A14005" s="8">
        <v>43898.527511574073</v>
      </c>
      <c r="B14005" s="8" t="str">
        <f>HYPERLINK("https://twitter.com/Arew17014775","@Arew17014775")</f>
        <v>@Arew17014775</v>
      </c>
      <c r="C14005" s="8" t="s">
        <v>3265</v>
      </c>
      <c r="D14005" s="8">
        <v>294</v>
      </c>
      <c r="E14005" s="8">
        <v>0</v>
      </c>
      <c r="F14005" s="8">
        <v>4</v>
      </c>
    </row>
    <row r="14006" spans="1:6" ht="12.75">
      <c r="A14006" s="8">
        <v>43898.527175925927</v>
      </c>
      <c r="B14006" s="8" t="str">
        <f>HYPERLINK("https://twitter.com/param_prasetyo","@param_prasetyo")</f>
        <v>@param_prasetyo</v>
      </c>
      <c r="C14006" s="8" t="s">
        <v>3192</v>
      </c>
      <c r="D14006" s="8">
        <v>50</v>
      </c>
      <c r="E14006" s="8">
        <v>0</v>
      </c>
      <c r="F14006" s="8">
        <v>274</v>
      </c>
    </row>
    <row r="14007" spans="1:6" ht="12.75">
      <c r="A14007" s="8">
        <v>43898.526932870373</v>
      </c>
      <c r="B14007" s="8" t="str">
        <f>HYPERLINK("https://twitter.com/Soetikman1","@Soetikman1")</f>
        <v>@Soetikman1</v>
      </c>
      <c r="C14007" s="8" t="s">
        <v>5646</v>
      </c>
      <c r="D14007" s="8">
        <v>1</v>
      </c>
      <c r="E14007" s="8">
        <v>3</v>
      </c>
      <c r="F14007" s="8">
        <v>686</v>
      </c>
    </row>
    <row r="14008" spans="1:6" ht="12.75">
      <c r="A14008" s="8">
        <v>43898.52611111111</v>
      </c>
      <c r="B14008" s="8" t="str">
        <f>HYPERLINK("https://twitter.com/Azp_airone","@Azp_airone")</f>
        <v>@Azp_airone</v>
      </c>
      <c r="C14008" s="8" t="s">
        <v>3743</v>
      </c>
      <c r="D14008" s="8">
        <v>710</v>
      </c>
      <c r="E14008" s="8">
        <v>0</v>
      </c>
      <c r="F14008" s="8">
        <v>531</v>
      </c>
    </row>
    <row r="14009" spans="1:6" ht="12.75">
      <c r="A14009" s="8">
        <v>43898.525763888887</v>
      </c>
      <c r="B14009" s="8" t="str">
        <f>HYPERLINK("https://twitter.com/mahendra_afriza","@mahendra_afriza")</f>
        <v>@mahendra_afriza</v>
      </c>
      <c r="C14009" s="8" t="s">
        <v>3265</v>
      </c>
      <c r="D14009" s="8">
        <v>294</v>
      </c>
      <c r="E14009" s="8">
        <v>0</v>
      </c>
      <c r="F14009" s="8">
        <v>17</v>
      </c>
    </row>
    <row r="14010" spans="1:6" ht="12.75">
      <c r="A14010" s="8">
        <v>43898.524837962963</v>
      </c>
      <c r="B14010" s="8" t="str">
        <f>HYPERLINK("https://twitter.com/aurafikri","@aurafikri")</f>
        <v>@aurafikri</v>
      </c>
      <c r="C14010" s="8" t="s">
        <v>3743</v>
      </c>
      <c r="D14010" s="8">
        <v>710</v>
      </c>
      <c r="E14010" s="8">
        <v>0</v>
      </c>
      <c r="F14010" s="8">
        <v>401</v>
      </c>
    </row>
    <row r="14011" spans="1:6" ht="12.75">
      <c r="A14011" s="8">
        <v>43898.524421296301</v>
      </c>
      <c r="B14011" s="8" t="str">
        <f>HYPERLINK("https://twitter.com/zonasultracom","@zonasultracom")</f>
        <v>@zonasultracom</v>
      </c>
      <c r="C14011" s="8" t="s">
        <v>5647</v>
      </c>
      <c r="D14011" s="8">
        <v>0</v>
      </c>
      <c r="E14011" s="8">
        <v>0</v>
      </c>
      <c r="F14011" s="8">
        <v>1579</v>
      </c>
    </row>
    <row r="14012" spans="1:6" ht="12.75">
      <c r="A14012" s="8">
        <v>43898.524259259255</v>
      </c>
      <c r="B14012" s="8" t="str">
        <f>HYPERLINK("https://twitter.com/skawngurah","@skawngurah")</f>
        <v>@skawngurah</v>
      </c>
      <c r="C14012" s="8" t="s">
        <v>3405</v>
      </c>
      <c r="D14012" s="8">
        <v>63</v>
      </c>
      <c r="E14012" s="8">
        <v>0</v>
      </c>
      <c r="F14012" s="8">
        <v>869</v>
      </c>
    </row>
    <row r="14013" spans="1:6" ht="12.75">
      <c r="A14013" s="8">
        <v>43898.524097222224</v>
      </c>
      <c r="B14013" s="8" t="str">
        <f>HYPERLINK("https://twitter.com/IsisOliv22","@IsisOliv22")</f>
        <v>@IsisOliv22</v>
      </c>
      <c r="C14013" s="8" t="s">
        <v>5648</v>
      </c>
      <c r="D14013" s="8">
        <v>1</v>
      </c>
      <c r="E14013" s="8">
        <v>0</v>
      </c>
      <c r="F14013" s="8">
        <v>3084</v>
      </c>
    </row>
    <row r="14014" spans="1:6" ht="12.75">
      <c r="A14014" s="8">
        <v>43898.522928240738</v>
      </c>
      <c r="B14014" s="8" t="str">
        <f>HYPERLINK("https://twitter.com/JoePalman","@JoePalman")</f>
        <v>@JoePalman</v>
      </c>
      <c r="C14014" s="8" t="s">
        <v>5649</v>
      </c>
      <c r="D14014" s="8">
        <v>0</v>
      </c>
      <c r="E14014" s="8">
        <v>0</v>
      </c>
      <c r="F14014" s="8">
        <v>729</v>
      </c>
    </row>
    <row r="14015" spans="1:6" ht="12.75">
      <c r="A14015" s="8">
        <v>43898.522905092592</v>
      </c>
      <c r="B14015" s="8" t="str">
        <f>HYPERLINK("https://twitter.com/EzzyKenzaki","@EzzyKenzaki")</f>
        <v>@EzzyKenzaki</v>
      </c>
      <c r="C14015" s="8" t="s">
        <v>3265</v>
      </c>
      <c r="D14015" s="8">
        <v>294</v>
      </c>
      <c r="E14015" s="8">
        <v>0</v>
      </c>
      <c r="F14015" s="8">
        <v>499</v>
      </c>
    </row>
    <row r="14016" spans="1:6" ht="12.75">
      <c r="A14016" s="8">
        <v>43898.522222222222</v>
      </c>
      <c r="B14016" s="8" t="str">
        <f>HYPERLINK("https://twitter.com/liputan6dotcom","@liputan6dotcom")</f>
        <v>@liputan6dotcom</v>
      </c>
      <c r="C14016" s="8" t="s">
        <v>5650</v>
      </c>
      <c r="D14016" s="8">
        <v>0</v>
      </c>
      <c r="E14016" s="8">
        <v>1</v>
      </c>
      <c r="F14016" s="8">
        <v>3637145</v>
      </c>
    </row>
    <row r="14017" spans="1:6" ht="12.75">
      <c r="A14017" s="8">
        <v>43898.522222222222</v>
      </c>
      <c r="B14017" s="8" t="str">
        <f>HYPERLINK("https://twitter.com/newsmerahputih","@newsmerahputih")</f>
        <v>@newsmerahputih</v>
      </c>
      <c r="C14017" s="8" t="s">
        <v>5651</v>
      </c>
      <c r="D14017" s="8">
        <v>0</v>
      </c>
      <c r="E14017" s="8">
        <v>0</v>
      </c>
      <c r="F14017" s="8">
        <v>8739</v>
      </c>
    </row>
    <row r="14018" spans="1:6" ht="12.75">
      <c r="A14018" s="8">
        <v>43898.521736111114</v>
      </c>
      <c r="B14018" s="8" t="str">
        <f>HYPERLINK("https://twitter.com/JoePalman","@JoePalman")</f>
        <v>@JoePalman</v>
      </c>
      <c r="C14018" s="8" t="s">
        <v>5652</v>
      </c>
      <c r="D14018" s="8">
        <v>0</v>
      </c>
      <c r="E14018" s="8">
        <v>0</v>
      </c>
      <c r="F14018" s="8">
        <v>729</v>
      </c>
    </row>
    <row r="14019" spans="1:6" ht="12.75">
      <c r="A14019" s="8">
        <v>43898.521689814814</v>
      </c>
      <c r="B14019" s="8" t="str">
        <f>HYPERLINK("https://twitter.com/Marshmellouww","@Marshmellouww")</f>
        <v>@Marshmellouww</v>
      </c>
      <c r="C14019" s="8" t="s">
        <v>5486</v>
      </c>
      <c r="D14019" s="8">
        <v>58</v>
      </c>
      <c r="E14019" s="8">
        <v>0</v>
      </c>
      <c r="F14019" s="8">
        <v>225</v>
      </c>
    </row>
    <row r="14020" spans="1:6" ht="12.75">
      <c r="A14020" s="8">
        <v>43898.521655092598</v>
      </c>
      <c r="B14020" s="8" t="str">
        <f>HYPERLINK("https://twitter.com/pirrdot","@pirrdot")</f>
        <v>@pirrdot</v>
      </c>
      <c r="C14020" s="8" t="s">
        <v>5653</v>
      </c>
      <c r="D14020" s="8">
        <v>0</v>
      </c>
      <c r="E14020" s="8">
        <v>0</v>
      </c>
      <c r="F14020" s="8">
        <v>914</v>
      </c>
    </row>
    <row r="14021" spans="1:6" ht="12.75">
      <c r="A14021" s="8">
        <v>43898.521400462967</v>
      </c>
      <c r="B14021" s="8" t="str">
        <f>HYPERLINK("https://twitter.com/Romanszio","@Romanszio")</f>
        <v>@Romanszio</v>
      </c>
      <c r="C14021" s="8" t="s">
        <v>3265</v>
      </c>
      <c r="D14021" s="8">
        <v>294</v>
      </c>
      <c r="E14021" s="8">
        <v>0</v>
      </c>
      <c r="F14021" s="8">
        <v>516</v>
      </c>
    </row>
    <row r="14022" spans="1:6" ht="12.75">
      <c r="A14022" s="8">
        <v>43898.520833333328</v>
      </c>
      <c r="B14022" s="8" t="str">
        <f>HYPERLINK("https://twitter.com/ElshintaTegal_","@ElshintaTegal_")</f>
        <v>@ElshintaTegal_</v>
      </c>
      <c r="C14022" s="8" t="s">
        <v>5654</v>
      </c>
      <c r="D14022" s="8">
        <v>0</v>
      </c>
      <c r="E14022" s="8">
        <v>0</v>
      </c>
      <c r="F14022" s="8">
        <v>42</v>
      </c>
    </row>
    <row r="14023" spans="1:6" ht="12.75">
      <c r="A14023" s="8">
        <v>43898.520671296297</v>
      </c>
      <c r="B14023" s="8" t="str">
        <f>HYPERLINK("https://twitter.com/MurBaud1per2in","@MurBaud1per2in")</f>
        <v>@MurBaud1per2in</v>
      </c>
      <c r="C14023" s="8" t="s">
        <v>5655</v>
      </c>
      <c r="D14023" s="8">
        <v>0</v>
      </c>
      <c r="E14023" s="8">
        <v>0</v>
      </c>
      <c r="F14023" s="8">
        <v>34</v>
      </c>
    </row>
    <row r="14024" spans="1:6" ht="12.75">
      <c r="A14024" s="8">
        <v>43898.52034722222</v>
      </c>
      <c r="B14024" s="8" t="str">
        <f>HYPERLINK("https://twitter.com/_kusno","@_kusno")</f>
        <v>@_kusno</v>
      </c>
      <c r="C14024" s="8" t="s">
        <v>3405</v>
      </c>
      <c r="D14024" s="8">
        <v>63</v>
      </c>
      <c r="E14024" s="8">
        <v>0</v>
      </c>
      <c r="F14024" s="8">
        <v>2335</v>
      </c>
    </row>
    <row r="14025" spans="1:6" ht="12.75">
      <c r="A14025" s="8">
        <v>43898.519791666666</v>
      </c>
      <c r="B14025" s="8" t="str">
        <f>HYPERLINK("https://twitter.com/ballambinlove","@ballambinlove")</f>
        <v>@ballambinlove</v>
      </c>
      <c r="C14025" s="8" t="s">
        <v>5586</v>
      </c>
      <c r="D14025" s="8">
        <v>1</v>
      </c>
      <c r="E14025" s="8">
        <v>0</v>
      </c>
      <c r="F14025" s="8">
        <v>1023</v>
      </c>
    </row>
    <row r="14026" spans="1:6" ht="12.75">
      <c r="A14026" s="8">
        <v>43898.519745370373</v>
      </c>
      <c r="B14026" s="8" t="str">
        <f>HYPERLINK("https://twitter.com/alana_rafa77","@alana_rafa77")</f>
        <v>@alana_rafa77</v>
      </c>
      <c r="C14026" s="8" t="s">
        <v>5656</v>
      </c>
      <c r="D14026" s="8">
        <v>1</v>
      </c>
      <c r="E14026" s="8">
        <v>0</v>
      </c>
      <c r="F14026" s="8">
        <v>1140</v>
      </c>
    </row>
    <row r="14027" spans="1:6" ht="12.75">
      <c r="A14027" s="8">
        <v>43898.519641203704</v>
      </c>
      <c r="B14027" s="8" t="str">
        <f>HYPERLINK("https://twitter.com/evandala20","@evandala20")</f>
        <v>@evandala20</v>
      </c>
      <c r="C14027" s="8" t="s">
        <v>3265</v>
      </c>
      <c r="D14027" s="8">
        <v>294</v>
      </c>
      <c r="E14027" s="8">
        <v>0</v>
      </c>
      <c r="F14027" s="8">
        <v>350</v>
      </c>
    </row>
    <row r="14028" spans="1:6" ht="12.75">
      <c r="A14028" s="8">
        <v>43898.519224537042</v>
      </c>
      <c r="B14028" s="8" t="str">
        <f>HYPERLINK("https://twitter.com/JurnalNews_ID","@JurnalNews_ID")</f>
        <v>@JurnalNews_ID</v>
      </c>
      <c r="C14028" s="8" t="s">
        <v>5657</v>
      </c>
      <c r="D14028" s="8">
        <v>0</v>
      </c>
      <c r="E14028" s="8">
        <v>0</v>
      </c>
      <c r="F14028" s="8">
        <v>735</v>
      </c>
    </row>
    <row r="14029" spans="1:6" ht="12.75">
      <c r="A14029" s="8">
        <v>43898.519062499996</v>
      </c>
      <c r="B14029" s="8" t="str">
        <f>HYPERLINK("https://twitter.com/keas1980","@keas1980")</f>
        <v>@keas1980</v>
      </c>
      <c r="C14029" s="8" t="s">
        <v>5080</v>
      </c>
      <c r="D14029" s="8">
        <v>140</v>
      </c>
      <c r="E14029" s="8">
        <v>0</v>
      </c>
      <c r="F14029" s="8">
        <v>86</v>
      </c>
    </row>
    <row r="14030" spans="1:6" ht="12.75">
      <c r="A14030" s="8">
        <v>43898.518900462965</v>
      </c>
      <c r="B14030" s="8" t="str">
        <f>HYPERLINK("https://twitter.com/LieDetectorID","@LieDetectorID")</f>
        <v>@LieDetectorID</v>
      </c>
      <c r="C14030" s="8" t="s">
        <v>5658</v>
      </c>
      <c r="D14030" s="8">
        <v>1</v>
      </c>
      <c r="E14030" s="8">
        <v>0</v>
      </c>
      <c r="F14030" s="8">
        <v>10383</v>
      </c>
    </row>
    <row r="14031" spans="1:6" ht="12.75">
      <c r="A14031" s="8">
        <v>43898.518900462965</v>
      </c>
      <c r="B14031" s="8" t="str">
        <f>HYPERLINK("https://twitter.com/tandanVradio","@tandanVradio")</f>
        <v>@tandanVradio</v>
      </c>
      <c r="C14031" s="8" t="s">
        <v>3405</v>
      </c>
      <c r="D14031" s="8">
        <v>63</v>
      </c>
      <c r="E14031" s="8">
        <v>0</v>
      </c>
      <c r="F14031" s="8">
        <v>2985</v>
      </c>
    </row>
    <row r="14032" spans="1:6" ht="12.75">
      <c r="A14032" s="8">
        <v>43898.518784722226</v>
      </c>
      <c r="B14032" s="8" t="str">
        <f>HYPERLINK("https://twitter.com/KompasTV","@KompasTV")</f>
        <v>@KompasTV</v>
      </c>
      <c r="C14032" s="8" t="s">
        <v>5659</v>
      </c>
      <c r="D14032" s="8">
        <v>1</v>
      </c>
      <c r="E14032" s="8">
        <v>4</v>
      </c>
      <c r="F14032" s="8">
        <v>2959000</v>
      </c>
    </row>
    <row r="14033" spans="1:6" ht="12.75">
      <c r="A14033" s="8">
        <v>43898.506412037037</v>
      </c>
      <c r="B14033" s="8" t="str">
        <f>HYPERLINK("https://twitter.com/mudha_satriya","@mudha_satriya")</f>
        <v>@mudha_satriya</v>
      </c>
      <c r="C14033" s="8" t="s">
        <v>5608</v>
      </c>
      <c r="D14033" s="8">
        <v>3</v>
      </c>
      <c r="E14033" s="8">
        <v>0</v>
      </c>
      <c r="F14033" s="8">
        <v>1886</v>
      </c>
    </row>
    <row r="14034" spans="1:6" ht="12.75">
      <c r="A14034" s="8">
        <v>43898.506284722222</v>
      </c>
      <c r="B14034" s="8" t="str">
        <f>HYPERLINK("https://twitter.com/agama_nusantara","@agama_nusantara")</f>
        <v>@agama_nusantara</v>
      </c>
      <c r="C14034" s="8" t="s">
        <v>5660</v>
      </c>
      <c r="D14034" s="8">
        <v>1</v>
      </c>
      <c r="E14034" s="8">
        <v>0</v>
      </c>
      <c r="F14034" s="8">
        <v>7443</v>
      </c>
    </row>
    <row r="14035" spans="1:6" ht="12.75">
      <c r="A14035" s="8">
        <v>43898.506261574075</v>
      </c>
      <c r="B14035" s="8" t="str">
        <f>HYPERLINK("https://twitter.com/Dreamcoid","@Dreamcoid")</f>
        <v>@Dreamcoid</v>
      </c>
      <c r="C14035" s="8" t="s">
        <v>5661</v>
      </c>
      <c r="D14035" s="8">
        <v>0</v>
      </c>
      <c r="E14035" s="8">
        <v>0</v>
      </c>
      <c r="F14035" s="8">
        <v>11584</v>
      </c>
    </row>
    <row r="14036" spans="1:6" ht="12.75">
      <c r="A14036" s="8">
        <v>43898.506041666667</v>
      </c>
      <c r="B14036" s="8" t="str">
        <f>HYPERLINK("https://twitter.com/Gunadi84380182","@Gunadi84380182")</f>
        <v>@Gunadi84380182</v>
      </c>
      <c r="C14036" s="8" t="s">
        <v>5662</v>
      </c>
      <c r="D14036" s="8">
        <v>33</v>
      </c>
      <c r="E14036" s="8">
        <v>0</v>
      </c>
      <c r="F14036" s="8">
        <v>76</v>
      </c>
    </row>
    <row r="14037" spans="1:6" ht="12.75">
      <c r="A14037" s="8">
        <v>43898.505798611106</v>
      </c>
      <c r="B14037" s="8" t="str">
        <f>HYPERLINK("https://twitter.com/ramon_rican","@ramon_rican")</f>
        <v>@ramon_rican</v>
      </c>
      <c r="C14037" s="8" t="s">
        <v>5663</v>
      </c>
      <c r="D14037" s="8">
        <v>0</v>
      </c>
      <c r="E14037" s="8">
        <v>0</v>
      </c>
      <c r="F14037" s="8">
        <v>40</v>
      </c>
    </row>
    <row r="14038" spans="1:6" ht="12.75">
      <c r="A14038" s="8">
        <v>43898.505682870367</v>
      </c>
      <c r="B14038" s="8" t="str">
        <f>HYPERLINK("https://twitter.com/patihq_patria","@patihq_patria")</f>
        <v>@patihq_patria</v>
      </c>
      <c r="C14038" s="8" t="s">
        <v>5664</v>
      </c>
      <c r="D14038" s="8">
        <v>0</v>
      </c>
      <c r="E14038" s="8">
        <v>0</v>
      </c>
      <c r="F14038" s="8">
        <v>3318</v>
      </c>
    </row>
    <row r="14039" spans="1:6" ht="12.75">
      <c r="A14039" s="8">
        <v>43898.505243055552</v>
      </c>
      <c r="B14039" s="8" t="str">
        <f>HYPERLINK("https://twitter.com/mudha_satriya","@mudha_satriya")</f>
        <v>@mudha_satriya</v>
      </c>
      <c r="C14039" s="8" t="s">
        <v>5334</v>
      </c>
      <c r="D14039" s="8">
        <v>3</v>
      </c>
      <c r="E14039" s="8">
        <v>0</v>
      </c>
      <c r="F14039" s="8">
        <v>1886</v>
      </c>
    </row>
    <row r="14040" spans="1:6" ht="12.75">
      <c r="A14040" s="8">
        <v>43898.504537037035</v>
      </c>
      <c r="B14040" s="8" t="str">
        <f>HYPERLINK("https://twitter.com/kumpulanPLG","@kumpulanPLG")</f>
        <v>@kumpulanPLG</v>
      </c>
      <c r="C14040" s="8" t="s">
        <v>5665</v>
      </c>
      <c r="D14040" s="8">
        <v>0</v>
      </c>
      <c r="E14040" s="8">
        <v>0</v>
      </c>
      <c r="F14040" s="8">
        <v>8279</v>
      </c>
    </row>
    <row r="14041" spans="1:6" ht="12.75">
      <c r="A14041" s="8">
        <v>43898.504502314812</v>
      </c>
      <c r="B14041" s="8" t="str">
        <f>HYPERLINK("https://twitter.com/lookslina","@lookslina")</f>
        <v>@lookslina</v>
      </c>
      <c r="C14041" s="8" t="s">
        <v>5666</v>
      </c>
      <c r="D14041" s="8">
        <v>1</v>
      </c>
      <c r="E14041" s="8">
        <v>1</v>
      </c>
      <c r="F14041" s="8">
        <v>534</v>
      </c>
    </row>
    <row r="14042" spans="1:6" ht="12.75">
      <c r="A14042" s="8">
        <v>43898.504479166666</v>
      </c>
      <c r="B14042" s="8" t="str">
        <f>HYPERLINK("https://twitter.com/publicanews","@publicanews")</f>
        <v>@publicanews</v>
      </c>
      <c r="C14042" s="8" t="s">
        <v>5667</v>
      </c>
      <c r="D14042" s="8">
        <v>0</v>
      </c>
      <c r="E14042" s="8">
        <v>0</v>
      </c>
      <c r="F14042" s="8">
        <v>156</v>
      </c>
    </row>
    <row r="14043" spans="1:6" ht="12.75">
      <c r="A14043" s="8">
        <v>43898.504270833335</v>
      </c>
      <c r="B14043" s="8" t="str">
        <f>HYPERLINK("https://twitter.com/imamhidayatt2","@imamhidayatt2")</f>
        <v>@imamhidayatt2</v>
      </c>
      <c r="C14043" s="8" t="s">
        <v>5080</v>
      </c>
      <c r="D14043" s="8">
        <v>132</v>
      </c>
      <c r="E14043" s="8">
        <v>0</v>
      </c>
      <c r="F14043" s="8">
        <v>1930</v>
      </c>
    </row>
    <row r="14044" spans="1:6" ht="12.75">
      <c r="A14044" s="8">
        <v>43898.503611111111</v>
      </c>
      <c r="B14044" s="8" t="str">
        <f>HYPERLINK("https://twitter.com/adhesaputra1928","@adhesaputra1928")</f>
        <v>@adhesaputra1928</v>
      </c>
      <c r="C14044" s="8" t="s">
        <v>3265</v>
      </c>
      <c r="D14044" s="8">
        <v>263</v>
      </c>
      <c r="E14044" s="8">
        <v>0</v>
      </c>
      <c r="F14044" s="8">
        <v>171</v>
      </c>
    </row>
    <row r="14045" spans="1:6" ht="12.75">
      <c r="A14045" s="8">
        <v>43898.503530092596</v>
      </c>
      <c r="B14045" s="8" t="str">
        <f>HYPERLINK("https://twitter.com/harzulaparfume","@harzulaparfume")</f>
        <v>@harzulaparfume</v>
      </c>
      <c r="C14045" s="8" t="s">
        <v>5333</v>
      </c>
      <c r="D14045" s="8">
        <v>2</v>
      </c>
      <c r="E14045" s="8">
        <v>0</v>
      </c>
      <c r="F14045" s="8">
        <v>129</v>
      </c>
    </row>
    <row r="14046" spans="1:6" ht="12.75">
      <c r="A14046" s="8">
        <v>43898.503472222219</v>
      </c>
      <c r="B14046" s="8" t="str">
        <f>HYPERLINK("https://twitter.com/terasid","@terasid")</f>
        <v>@terasid</v>
      </c>
      <c r="C14046" s="8" t="s">
        <v>5668</v>
      </c>
      <c r="D14046" s="8">
        <v>3</v>
      </c>
      <c r="E14046" s="8">
        <v>0</v>
      </c>
      <c r="F14046" s="8">
        <v>3184</v>
      </c>
    </row>
    <row r="14047" spans="1:6" ht="12.75">
      <c r="A14047" s="8">
        <v>43898.503182870365</v>
      </c>
      <c r="B14047" s="8" t="str">
        <f>HYPERLINK("https://twitter.com/heni46201049","@heni46201049")</f>
        <v>@heni46201049</v>
      </c>
      <c r="C14047" s="8" t="s">
        <v>5669</v>
      </c>
      <c r="D14047" s="8">
        <v>0</v>
      </c>
      <c r="E14047" s="8">
        <v>0</v>
      </c>
      <c r="F14047" s="8">
        <v>43</v>
      </c>
    </row>
    <row r="14048" spans="1:6" ht="12.75">
      <c r="A14048" s="8">
        <v>43898.503078703703</v>
      </c>
      <c r="B14048" s="8" t="str">
        <f>HYPERLINK("https://twitter.com/Masbotak9","@Masbotak9")</f>
        <v>@Masbotak9</v>
      </c>
      <c r="C14048" s="8" t="s">
        <v>5670</v>
      </c>
      <c r="D14048" s="8">
        <v>0</v>
      </c>
      <c r="E14048" s="8">
        <v>0</v>
      </c>
      <c r="F14048" s="8">
        <v>440</v>
      </c>
    </row>
    <row r="14049" spans="1:6" ht="12.75">
      <c r="A14049" s="8">
        <v>43898.502708333333</v>
      </c>
      <c r="B14049" s="8" t="str">
        <f>HYPERLINK("https://twitter.com/YohKurniawan","@YohKurniawan")</f>
        <v>@YohKurniawan</v>
      </c>
      <c r="C14049" s="8" t="s">
        <v>5671</v>
      </c>
      <c r="D14049" s="8">
        <v>0</v>
      </c>
      <c r="E14049" s="8">
        <v>0</v>
      </c>
      <c r="F14049" s="8">
        <v>122</v>
      </c>
    </row>
    <row r="14050" spans="1:6" ht="12.75">
      <c r="A14050" s="8">
        <v>43898.502418981487</v>
      </c>
      <c r="B14050" s="8" t="str">
        <f>HYPERLINK("https://twitter.com/jabarnewss","@jabarnewss")</f>
        <v>@jabarnewss</v>
      </c>
      <c r="C14050" s="8" t="s">
        <v>5672</v>
      </c>
      <c r="D14050" s="8">
        <v>0</v>
      </c>
      <c r="E14050" s="8">
        <v>0</v>
      </c>
      <c r="F14050" s="8">
        <v>1351</v>
      </c>
    </row>
    <row r="14051" spans="1:6" ht="12.75">
      <c r="A14051" s="8">
        <v>43898.502418981487</v>
      </c>
      <c r="B14051" s="8" t="str">
        <f>HYPERLINK("https://twitter.com/MRiokusumo","@MRiokusumo")</f>
        <v>@MRiokusumo</v>
      </c>
      <c r="C14051" s="8" t="s">
        <v>1399</v>
      </c>
      <c r="D14051" s="8">
        <v>25</v>
      </c>
      <c r="E14051" s="8">
        <v>0</v>
      </c>
      <c r="F14051" s="8">
        <v>149</v>
      </c>
    </row>
    <row r="14052" spans="1:6" ht="12.75">
      <c r="A14052" s="8">
        <v>43898.502060185187</v>
      </c>
      <c r="B14052" s="8" t="str">
        <f>HYPERLINK("https://twitter.com/dedeaurel","@dedeaurel")</f>
        <v>@dedeaurel</v>
      </c>
      <c r="C14052" s="8" t="s">
        <v>3265</v>
      </c>
      <c r="D14052" s="8">
        <v>263</v>
      </c>
      <c r="E14052" s="8">
        <v>0</v>
      </c>
      <c r="F14052" s="8">
        <v>110</v>
      </c>
    </row>
    <row r="14053" spans="1:6" ht="12.75">
      <c r="A14053" s="8">
        <v>43898.502060185187</v>
      </c>
      <c r="B14053" s="8" t="str">
        <f>HYPERLINK("https://twitter.com/SantaPradana","@SantaPradana")</f>
        <v>@SantaPradana</v>
      </c>
      <c r="C14053" s="8" t="s">
        <v>5673</v>
      </c>
      <c r="D14053" s="8">
        <v>3</v>
      </c>
      <c r="E14053" s="8">
        <v>0</v>
      </c>
      <c r="F14053" s="8">
        <v>497</v>
      </c>
    </row>
    <row r="14054" spans="1:6" ht="12.75">
      <c r="A14054" s="8">
        <v>43898.501898148148</v>
      </c>
      <c r="B14054" s="8" t="str">
        <f>HYPERLINK("https://twitter.com/Garaki7","@Garaki7")</f>
        <v>@Garaki7</v>
      </c>
      <c r="C14054" s="8" t="s">
        <v>3265</v>
      </c>
      <c r="D14054" s="8">
        <v>263</v>
      </c>
      <c r="E14054" s="8">
        <v>0</v>
      </c>
      <c r="F14054" s="8">
        <v>1</v>
      </c>
    </row>
    <row r="14055" spans="1:6" ht="12.75">
      <c r="A14055" s="8">
        <v>43898.501817129625</v>
      </c>
      <c r="B14055" s="8" t="str">
        <f>HYPERLINK("https://twitter.com/joswito","@joswito")</f>
        <v>@joswito</v>
      </c>
      <c r="C14055" s="8" t="s">
        <v>5674</v>
      </c>
      <c r="D14055" s="8">
        <v>0</v>
      </c>
      <c r="E14055" s="8">
        <v>0</v>
      </c>
      <c r="F14055" s="8">
        <v>1262</v>
      </c>
    </row>
    <row r="14056" spans="1:6" ht="12.75">
      <c r="A14056" s="8">
        <v>43898.500891203701</v>
      </c>
      <c r="B14056" s="8" t="str">
        <f>HYPERLINK("https://twitter.com/maskuri82299772","@maskuri82299772")</f>
        <v>@maskuri82299772</v>
      </c>
      <c r="C14056" s="8" t="s">
        <v>3265</v>
      </c>
      <c r="D14056" s="8">
        <v>263</v>
      </c>
      <c r="E14056" s="8">
        <v>0</v>
      </c>
      <c r="F14056" s="8">
        <v>2254</v>
      </c>
    </row>
    <row r="14057" spans="1:6" ht="12.75">
      <c r="A14057" s="8">
        <v>43898.500844907408</v>
      </c>
      <c r="B14057" s="8" t="str">
        <f>HYPERLINK("https://twitter.com/ivanazhar1","@ivanazhar1")</f>
        <v>@ivanazhar1</v>
      </c>
      <c r="C14057" s="8" t="s">
        <v>5675</v>
      </c>
      <c r="D14057" s="8">
        <v>0</v>
      </c>
      <c r="E14057" s="8">
        <v>1</v>
      </c>
      <c r="F14057" s="8">
        <v>702</v>
      </c>
    </row>
    <row r="14058" spans="1:6" ht="12.75">
      <c r="A14058" s="8">
        <v>43898.500289351854</v>
      </c>
      <c r="B14058" s="8" t="str">
        <f>HYPERLINK("https://twitter.com/in_muchlis","@in_muchlis")</f>
        <v>@in_muchlis</v>
      </c>
      <c r="C14058" s="8" t="s">
        <v>3265</v>
      </c>
      <c r="D14058" s="8">
        <v>263</v>
      </c>
      <c r="E14058" s="8">
        <v>0</v>
      </c>
      <c r="F14058" s="8">
        <v>264</v>
      </c>
    </row>
    <row r="14059" spans="1:6" ht="12.75">
      <c r="A14059" s="8">
        <v>43898.5002662037</v>
      </c>
      <c r="B14059" s="8" t="str">
        <f>HYPERLINK("https://twitter.com/rizahariati","@rizahariati")</f>
        <v>@rizahariati</v>
      </c>
      <c r="C14059" s="8" t="s">
        <v>5676</v>
      </c>
      <c r="D14059" s="8">
        <v>0</v>
      </c>
      <c r="E14059" s="8">
        <v>0</v>
      </c>
      <c r="F14059" s="8">
        <v>872</v>
      </c>
    </row>
    <row r="14060" spans="1:6" ht="12.75">
      <c r="A14060" s="8">
        <v>43898.500057870369</v>
      </c>
      <c r="B14060" s="8" t="str">
        <f>HYPERLINK("https://twitter.com/MNCNewsroom","@MNCNewsroom")</f>
        <v>@MNCNewsroom</v>
      </c>
      <c r="C14060" s="8" t="s">
        <v>5677</v>
      </c>
      <c r="D14060" s="8">
        <v>0</v>
      </c>
      <c r="E14060" s="8">
        <v>0</v>
      </c>
      <c r="F14060" s="8">
        <v>17586</v>
      </c>
    </row>
    <row r="14061" spans="1:6" ht="12.75">
      <c r="A14061" s="8">
        <v>43898.499976851846</v>
      </c>
      <c r="B14061" s="8" t="str">
        <f t="shared" ref="B14061:B14065" si="210">HYPERLINK("https://twitter.com/indahnuria","@indahnuria")</f>
        <v>@indahnuria</v>
      </c>
      <c r="C14061" s="8" t="s">
        <v>1399</v>
      </c>
      <c r="D14061" s="8">
        <v>25</v>
      </c>
      <c r="E14061" s="8">
        <v>0</v>
      </c>
      <c r="F14061" s="8">
        <v>3327</v>
      </c>
    </row>
    <row r="14062" spans="1:6" ht="12.75">
      <c r="A14062" s="8">
        <v>43898.499953703707</v>
      </c>
      <c r="B14062" s="8" t="str">
        <f t="shared" si="210"/>
        <v>@indahnuria</v>
      </c>
      <c r="C14062" s="8" t="s">
        <v>1376</v>
      </c>
      <c r="D14062" s="8">
        <v>56</v>
      </c>
      <c r="E14062" s="8">
        <v>0</v>
      </c>
      <c r="F14062" s="8">
        <v>3327</v>
      </c>
    </row>
    <row r="14063" spans="1:6" ht="12.75">
      <c r="A14063" s="8">
        <v>43898.499918981484</v>
      </c>
      <c r="B14063" s="8" t="str">
        <f t="shared" si="210"/>
        <v>@indahnuria</v>
      </c>
      <c r="C14063" s="8" t="s">
        <v>4162</v>
      </c>
      <c r="D14063" s="8">
        <v>113</v>
      </c>
      <c r="E14063" s="8">
        <v>0</v>
      </c>
      <c r="F14063" s="8">
        <v>3327</v>
      </c>
    </row>
    <row r="14064" spans="1:6" ht="12.75">
      <c r="A14064" s="8">
        <v>43898.49962962963</v>
      </c>
      <c r="B14064" s="8" t="str">
        <f t="shared" si="210"/>
        <v>@indahnuria</v>
      </c>
      <c r="C14064" s="8" t="s">
        <v>2116</v>
      </c>
      <c r="D14064" s="8">
        <v>72</v>
      </c>
      <c r="E14064" s="8">
        <v>0</v>
      </c>
      <c r="F14064" s="8">
        <v>3327</v>
      </c>
    </row>
    <row r="14065" spans="1:6" ht="12.75">
      <c r="A14065" s="8">
        <v>43898.499340277776</v>
      </c>
      <c r="B14065" s="8" t="str">
        <f t="shared" si="210"/>
        <v>@indahnuria</v>
      </c>
      <c r="C14065" s="8" t="s">
        <v>3132</v>
      </c>
      <c r="D14065" s="8">
        <v>135</v>
      </c>
      <c r="E14065" s="8">
        <v>0</v>
      </c>
      <c r="F14065" s="8">
        <v>3327</v>
      </c>
    </row>
    <row r="14066" spans="1:6" ht="12.75">
      <c r="A14066" s="8">
        <v>43898.498912037037</v>
      </c>
      <c r="B14066" s="8" t="str">
        <f>HYPERLINK("https://twitter.com/RahmansyahKbh","@RahmansyahKbh")</f>
        <v>@RahmansyahKbh</v>
      </c>
      <c r="C14066" s="8" t="s">
        <v>5678</v>
      </c>
      <c r="D14066" s="8">
        <v>2</v>
      </c>
      <c r="E14066" s="8">
        <v>0</v>
      </c>
      <c r="F14066" s="8">
        <v>19</v>
      </c>
    </row>
    <row r="14067" spans="1:6" ht="12.75">
      <c r="A14067" s="8">
        <v>43898.498692129629</v>
      </c>
      <c r="B14067" s="8" t="str">
        <f>HYPERLINK("https://twitter.com/pilianks_","@pilianks_")</f>
        <v>@pilianks_</v>
      </c>
      <c r="C14067" s="8" t="s">
        <v>3265</v>
      </c>
      <c r="D14067" s="8">
        <v>263</v>
      </c>
      <c r="E14067" s="8">
        <v>0</v>
      </c>
      <c r="F14067" s="8">
        <v>2</v>
      </c>
    </row>
    <row r="14068" spans="1:6" ht="12.75">
      <c r="A14068" s="8">
        <v>43898.498252314814</v>
      </c>
      <c r="B14068" s="8" t="str">
        <f>HYPERLINK("https://twitter.com/_matarx","@_matarx")</f>
        <v>@_matarx</v>
      </c>
      <c r="C14068" s="8" t="s">
        <v>5080</v>
      </c>
      <c r="D14068" s="8">
        <v>132</v>
      </c>
      <c r="E14068" s="8">
        <v>0</v>
      </c>
      <c r="F14068" s="8">
        <v>309</v>
      </c>
    </row>
    <row r="14069" spans="1:6" ht="12.75">
      <c r="A14069" s="8">
        <v>43898.497696759259</v>
      </c>
      <c r="B14069" s="8" t="str">
        <f>HYPERLINK("https://twitter.com/rudysarwa","@rudysarwa")</f>
        <v>@rudysarwa</v>
      </c>
      <c r="C14069" s="8" t="s">
        <v>5679</v>
      </c>
      <c r="D14069" s="8">
        <v>0</v>
      </c>
      <c r="E14069" s="8">
        <v>0</v>
      </c>
      <c r="F14069" s="8">
        <v>1401</v>
      </c>
    </row>
    <row r="14070" spans="1:6" ht="12.75">
      <c r="A14070" s="8">
        <v>43898.497511574074</v>
      </c>
      <c r="B14070" s="8" t="str">
        <f>HYPERLINK("https://twitter.com/AEPishere","@AEPishere")</f>
        <v>@AEPishere</v>
      </c>
      <c r="C14070" s="8" t="s">
        <v>5581</v>
      </c>
      <c r="D14070" s="8">
        <v>7</v>
      </c>
      <c r="E14070" s="8">
        <v>0</v>
      </c>
      <c r="F14070" s="8">
        <v>3010</v>
      </c>
    </row>
    <row r="14071" spans="1:6" ht="12.75">
      <c r="A14071" s="8">
        <v>43898.497337962966</v>
      </c>
      <c r="B14071" s="8" t="str">
        <f>HYPERLINK("https://twitter.com/cendananews","@cendananews")</f>
        <v>@cendananews</v>
      </c>
      <c r="C14071" s="8" t="s">
        <v>5680</v>
      </c>
      <c r="D14071" s="8">
        <v>0</v>
      </c>
      <c r="E14071" s="8">
        <v>0</v>
      </c>
      <c r="F14071" s="8">
        <v>4571</v>
      </c>
    </row>
    <row r="14072" spans="1:6" ht="12.75">
      <c r="A14072" s="8">
        <v>43898.496921296297</v>
      </c>
      <c r="B14072" s="8" t="str">
        <f>HYPERLINK("https://twitter.com/pegawaijahat","@pegawaijahat")</f>
        <v>@pegawaijahat</v>
      </c>
      <c r="C14072" s="8" t="s">
        <v>3265</v>
      </c>
      <c r="D14072" s="8">
        <v>263</v>
      </c>
      <c r="E14072" s="8">
        <v>0</v>
      </c>
      <c r="F14072" s="8">
        <v>1040</v>
      </c>
    </row>
    <row r="14073" spans="1:6" ht="12.75">
      <c r="A14073" s="8">
        <v>43898.496736111112</v>
      </c>
      <c r="B14073" s="8" t="str">
        <f>HYPERLINK("https://twitter.com/zaelaniez","@zaelaniez")</f>
        <v>@zaelaniez</v>
      </c>
      <c r="C14073" s="8" t="s">
        <v>3265</v>
      </c>
      <c r="D14073" s="8">
        <v>263</v>
      </c>
      <c r="E14073" s="8">
        <v>0</v>
      </c>
      <c r="F14073" s="8">
        <v>244</v>
      </c>
    </row>
    <row r="14074" spans="1:6" ht="12.75">
      <c r="A14074" s="8">
        <v>43898.496076388888</v>
      </c>
      <c r="B14074" s="8" t="str">
        <f>HYPERLINK("https://twitter.com/SitiSolicha15","@SitiSolicha15")</f>
        <v>@SitiSolicha15</v>
      </c>
      <c r="C14074" s="8" t="s">
        <v>5681</v>
      </c>
      <c r="D14074" s="8">
        <v>0</v>
      </c>
      <c r="E14074" s="8">
        <v>0</v>
      </c>
      <c r="F14074" s="8">
        <v>0</v>
      </c>
    </row>
    <row r="14075" spans="1:6" ht="12.75">
      <c r="A14075" s="8">
        <v>43898.495729166665</v>
      </c>
      <c r="B14075" s="8" t="str">
        <f>HYPERLINK("https://twitter.com/ranggaaryap","@ranggaaryap")</f>
        <v>@ranggaaryap</v>
      </c>
      <c r="C14075" s="8" t="s">
        <v>3192</v>
      </c>
      <c r="D14075" s="8">
        <v>45</v>
      </c>
      <c r="E14075" s="8">
        <v>0</v>
      </c>
      <c r="F14075" s="8">
        <v>301</v>
      </c>
    </row>
    <row r="14076" spans="1:6" ht="12.75">
      <c r="A14076" s="8">
        <v>43898.495451388888</v>
      </c>
      <c r="B14076" s="8" t="str">
        <f>HYPERLINK("https://twitter.com/BossRini","@BossRini")</f>
        <v>@BossRini</v>
      </c>
      <c r="C14076" s="8" t="s">
        <v>1399</v>
      </c>
      <c r="D14076" s="8">
        <v>25</v>
      </c>
      <c r="E14076" s="8">
        <v>0</v>
      </c>
      <c r="F14076" s="8">
        <v>552</v>
      </c>
    </row>
    <row r="14077" spans="1:6" ht="12.75">
      <c r="A14077" s="8">
        <v>43898.494930555556</v>
      </c>
      <c r="B14077" s="8" t="str">
        <f>HYPERLINK("https://twitter.com/AEPishere","@AEPishere")</f>
        <v>@AEPishere</v>
      </c>
      <c r="C14077" s="8" t="s">
        <v>5608</v>
      </c>
      <c r="D14077" s="8">
        <v>3</v>
      </c>
      <c r="E14077" s="8">
        <v>0</v>
      </c>
      <c r="F14077" s="8">
        <v>3010</v>
      </c>
    </row>
    <row r="14078" spans="1:6" ht="12.75">
      <c r="A14078" s="8">
        <v>43898.494756944448</v>
      </c>
      <c r="B14078" s="8" t="str">
        <f>HYPERLINK("https://twitter.com/btungka1997","@btungka1997")</f>
        <v>@btungka1997</v>
      </c>
      <c r="C14078" s="8" t="s">
        <v>5080</v>
      </c>
      <c r="D14078" s="8">
        <v>132</v>
      </c>
      <c r="E14078" s="8">
        <v>0</v>
      </c>
      <c r="F14078" s="8">
        <v>430</v>
      </c>
    </row>
    <row r="14079" spans="1:6" ht="12.75">
      <c r="A14079" s="8">
        <v>43898.494571759264</v>
      </c>
      <c r="B14079" s="8" t="str">
        <f>HYPERLINK("https://twitter.com/sunil43760475","@sunil43760475")</f>
        <v>@sunil43760475</v>
      </c>
      <c r="C14079" s="8" t="s">
        <v>5682</v>
      </c>
      <c r="D14079" s="8">
        <v>0</v>
      </c>
      <c r="E14079" s="8">
        <v>0</v>
      </c>
      <c r="F14079" s="8">
        <v>35</v>
      </c>
    </row>
    <row r="14080" spans="1:6" ht="12.75">
      <c r="A14080" s="8">
        <v>43898.49324074074</v>
      </c>
      <c r="B14080" s="8" t="str">
        <f>HYPERLINK("https://twitter.com/mamayuli","@mamayuli")</f>
        <v>@mamayuli</v>
      </c>
      <c r="C14080" s="8" t="s">
        <v>5683</v>
      </c>
      <c r="D14080" s="8">
        <v>4</v>
      </c>
      <c r="E14080" s="8">
        <v>0</v>
      </c>
      <c r="F14080" s="8">
        <v>907</v>
      </c>
    </row>
    <row r="14081" spans="1:6" ht="12.75">
      <c r="A14081" s="8">
        <v>43898.493148148147</v>
      </c>
      <c r="B14081" s="8" t="str">
        <f>HYPERLINK("https://twitter.com/alluression","@alluression")</f>
        <v>@alluression</v>
      </c>
      <c r="C14081" s="8" t="s">
        <v>5684</v>
      </c>
      <c r="D14081" s="8">
        <v>0</v>
      </c>
      <c r="E14081" s="8">
        <v>0</v>
      </c>
      <c r="F14081" s="8">
        <v>188</v>
      </c>
    </row>
    <row r="14082" spans="1:6" ht="12.75">
      <c r="A14082" s="8">
        <v>43898.492581018523</v>
      </c>
      <c r="B14082" s="8" t="str">
        <f>HYPERLINK("https://twitter.com/Basha0114","@Basha0114")</f>
        <v>@Basha0114</v>
      </c>
      <c r="C14082" s="8" t="s">
        <v>5685</v>
      </c>
      <c r="D14082" s="8">
        <v>0</v>
      </c>
      <c r="E14082" s="8">
        <v>1</v>
      </c>
      <c r="F14082" s="8">
        <v>645</v>
      </c>
    </row>
    <row r="14083" spans="1:6" ht="12.75">
      <c r="A14083" s="8">
        <v>43898.492407407408</v>
      </c>
      <c r="B14083" s="8" t="str">
        <f>HYPERLINK("https://twitter.com/AEPishere","@AEPishere")</f>
        <v>@AEPishere</v>
      </c>
      <c r="C14083" s="8" t="s">
        <v>5334</v>
      </c>
      <c r="D14083" s="8">
        <v>3</v>
      </c>
      <c r="E14083" s="8">
        <v>0</v>
      </c>
      <c r="F14083" s="8">
        <v>3010</v>
      </c>
    </row>
    <row r="14084" spans="1:6" ht="12.75">
      <c r="A14084" s="8">
        <v>43898.4918287037</v>
      </c>
      <c r="B14084" s="8" t="str">
        <f>HYPERLINK("https://twitter.com/RyoFahri","@RyoFahri")</f>
        <v>@RyoFahri</v>
      </c>
      <c r="C14084" s="8" t="s">
        <v>5686</v>
      </c>
      <c r="D14084" s="8">
        <v>0</v>
      </c>
      <c r="E14084" s="8">
        <v>0</v>
      </c>
      <c r="F14084" s="8">
        <v>183</v>
      </c>
    </row>
    <row r="14085" spans="1:6" ht="12.75">
      <c r="A14085" s="8">
        <v>43898.491446759261</v>
      </c>
      <c r="B14085" s="8" t="str">
        <f>HYPERLINK("https://twitter.com/antar_kabar","@antar_kabar")</f>
        <v>@antar_kabar</v>
      </c>
      <c r="C14085" s="8" t="s">
        <v>5687</v>
      </c>
      <c r="D14085" s="8">
        <v>0</v>
      </c>
      <c r="E14085" s="8">
        <v>0</v>
      </c>
      <c r="F14085" s="8">
        <v>1129</v>
      </c>
    </row>
    <row r="14086" spans="1:6" ht="12.75">
      <c r="A14086" s="8">
        <v>43898.491354166668</v>
      </c>
      <c r="B14086" s="8" t="str">
        <f>HYPERLINK("https://twitter.com/smndyr","@smndyr")</f>
        <v>@smndyr</v>
      </c>
      <c r="C14086" s="8" t="s">
        <v>5688</v>
      </c>
      <c r="D14086" s="8">
        <v>0</v>
      </c>
      <c r="E14086" s="8">
        <v>0</v>
      </c>
      <c r="F14086" s="8">
        <v>322</v>
      </c>
    </row>
    <row r="14087" spans="1:6" ht="12.75">
      <c r="A14087" s="8">
        <v>43898.491354166668</v>
      </c>
      <c r="B14087" s="8" t="str">
        <f>HYPERLINK("https://twitter.com/hasrat_magabe","@hasrat_magabe")</f>
        <v>@hasrat_magabe</v>
      </c>
      <c r="C14087" s="8" t="s">
        <v>3265</v>
      </c>
      <c r="D14087" s="8">
        <v>263</v>
      </c>
      <c r="E14087" s="8">
        <v>0</v>
      </c>
      <c r="F14087" s="8">
        <v>336</v>
      </c>
    </row>
    <row r="14088" spans="1:6" ht="12.75">
      <c r="A14088" s="8">
        <v>43898.49119212963</v>
      </c>
      <c r="B14088" s="8" t="str">
        <f>HYPERLINK("https://twitter.com/CaesarDcandra","@CaesarDcandra")</f>
        <v>@CaesarDcandra</v>
      </c>
      <c r="C14088" s="8" t="s">
        <v>3265</v>
      </c>
      <c r="D14088" s="8">
        <v>263</v>
      </c>
      <c r="E14088" s="8">
        <v>0</v>
      </c>
      <c r="F14088" s="8">
        <v>20</v>
      </c>
    </row>
    <row r="14089" spans="1:6" ht="12.75">
      <c r="A14089" s="8">
        <v>43898.49113425926</v>
      </c>
      <c r="B14089" s="8" t="str">
        <f>HYPERLINK("https://twitter.com/fadjroeL","@fadjroeL")</f>
        <v>@fadjroeL</v>
      </c>
      <c r="C14089" s="8" t="s">
        <v>5334</v>
      </c>
      <c r="D14089" s="8">
        <v>3</v>
      </c>
      <c r="E14089" s="8">
        <v>0</v>
      </c>
      <c r="F14089" s="8">
        <v>996934</v>
      </c>
    </row>
    <row r="14090" spans="1:6" ht="12.75">
      <c r="A14090" s="8">
        <v>43898.491064814814</v>
      </c>
      <c r="B14090" s="8" t="str">
        <f>HYPERLINK("https://twitter.com/icadakimasu","@icadakimasu")</f>
        <v>@icadakimasu</v>
      </c>
      <c r="C14090" s="8" t="s">
        <v>2962</v>
      </c>
      <c r="D14090" s="8">
        <v>5687</v>
      </c>
      <c r="E14090" s="8">
        <v>0</v>
      </c>
      <c r="F14090" s="8">
        <v>1120</v>
      </c>
    </row>
    <row r="14091" spans="1:6" ht="12.75">
      <c r="A14091" s="8">
        <v>43898.490671296298</v>
      </c>
      <c r="B14091" s="8" t="str">
        <f>HYPERLINK("https://twitter.com/AdnanDasuki99","@AdnanDasuki99")</f>
        <v>@AdnanDasuki99</v>
      </c>
      <c r="C14091" s="8" t="s">
        <v>5689</v>
      </c>
      <c r="D14091" s="8">
        <v>0</v>
      </c>
      <c r="E14091" s="8">
        <v>0</v>
      </c>
      <c r="F14091" s="8">
        <v>133</v>
      </c>
    </row>
    <row r="14092" spans="1:6" ht="12.75">
      <c r="A14092" s="8">
        <v>43898.490567129629</v>
      </c>
      <c r="B14092" s="8" t="str">
        <f>HYPERLINK("https://twitter.com/YohanesMariono","@YohanesMariono")</f>
        <v>@YohanesMariono</v>
      </c>
      <c r="C14092" s="8" t="s">
        <v>5690</v>
      </c>
      <c r="D14092" s="8">
        <v>0</v>
      </c>
      <c r="E14092" s="8">
        <v>1</v>
      </c>
      <c r="F14092" s="8">
        <v>1030</v>
      </c>
    </row>
    <row r="14093" spans="1:6" ht="12.75">
      <c r="A14093" s="8">
        <v>43898.490381944444</v>
      </c>
      <c r="B14093" s="8" t="str">
        <f>HYPERLINK("https://twitter.com/khasanahpramono","@khasanahpramono")</f>
        <v>@khasanahpramono</v>
      </c>
      <c r="C14093" s="8" t="s">
        <v>5691</v>
      </c>
      <c r="D14093" s="8">
        <v>0</v>
      </c>
      <c r="E14093" s="8">
        <v>0</v>
      </c>
      <c r="F14093" s="8">
        <v>199</v>
      </c>
    </row>
    <row r="14094" spans="1:6" ht="12.75">
      <c r="A14094" s="8">
        <v>43898.490358796298</v>
      </c>
      <c r="B14094" s="8" t="str">
        <f>HYPERLINK("https://twitter.com/mdwidi14","@mdwidi14")</f>
        <v>@mdwidi14</v>
      </c>
      <c r="C14094" s="8" t="s">
        <v>5692</v>
      </c>
      <c r="D14094" s="8">
        <v>0</v>
      </c>
      <c r="E14094" s="8">
        <v>0</v>
      </c>
      <c r="F14094" s="8">
        <v>6</v>
      </c>
    </row>
    <row r="14095" spans="1:6" ht="12.75">
      <c r="A14095" s="8">
        <v>43898.490243055552</v>
      </c>
      <c r="B14095" s="8" t="str">
        <f>HYPERLINK("https://twitter.com/_kosongggg","@_kosongggg")</f>
        <v>@_kosongggg</v>
      </c>
      <c r="C14095" s="8" t="s">
        <v>5693</v>
      </c>
      <c r="D14095" s="8">
        <v>0</v>
      </c>
      <c r="E14095" s="8">
        <v>0</v>
      </c>
      <c r="F14095" s="8">
        <v>534</v>
      </c>
    </row>
    <row r="14096" spans="1:6" ht="12.75">
      <c r="A14096" s="8">
        <v>43898.490115740744</v>
      </c>
      <c r="B14096" s="8" t="str">
        <f>HYPERLINK("https://twitter.com/AntoBatam5","@AntoBatam5")</f>
        <v>@AntoBatam5</v>
      </c>
      <c r="C14096" s="8" t="s">
        <v>5694</v>
      </c>
      <c r="D14096" s="8">
        <v>0</v>
      </c>
      <c r="E14096" s="8">
        <v>0</v>
      </c>
      <c r="F14096" s="8">
        <v>399</v>
      </c>
    </row>
    <row r="14097" spans="1:6" ht="12.75">
      <c r="A14097" s="8">
        <v>43898.49009259259</v>
      </c>
      <c r="B14097" s="8" t="str">
        <f>HYPERLINK("https://twitter.com/agama_nusantara","@agama_nusantara")</f>
        <v>@agama_nusantara</v>
      </c>
      <c r="C14097" s="8" t="s">
        <v>5695</v>
      </c>
      <c r="D14097" s="8">
        <v>1</v>
      </c>
      <c r="E14097" s="8">
        <v>0</v>
      </c>
      <c r="F14097" s="8">
        <v>7443</v>
      </c>
    </row>
    <row r="14098" spans="1:6" ht="12.75">
      <c r="A14098" s="8">
        <v>43898.489953703705</v>
      </c>
      <c r="B14098" s="8" t="str">
        <f>HYPERLINK("https://twitter.com/CeciliaSuwanda1","@CeciliaSuwanda1")</f>
        <v>@CeciliaSuwanda1</v>
      </c>
      <c r="C14098" s="8" t="s">
        <v>5696</v>
      </c>
      <c r="D14098" s="8">
        <v>1</v>
      </c>
      <c r="E14098" s="8">
        <v>1</v>
      </c>
      <c r="F14098" s="8">
        <v>5224</v>
      </c>
    </row>
    <row r="14099" spans="1:6" ht="12.75">
      <c r="A14099" s="8">
        <v>43898.488807870366</v>
      </c>
      <c r="B14099" s="8" t="str">
        <f>HYPERLINK("https://twitter.com/YohanesMariono","@YohanesMariono")</f>
        <v>@YohanesMariono</v>
      </c>
      <c r="C14099" s="8" t="s">
        <v>5697</v>
      </c>
      <c r="D14099" s="8">
        <v>1</v>
      </c>
      <c r="E14099" s="8">
        <v>0</v>
      </c>
      <c r="F14099" s="8">
        <v>1030</v>
      </c>
    </row>
    <row r="14100" spans="1:6" ht="12.75">
      <c r="A14100" s="8">
        <v>43898.488564814819</v>
      </c>
      <c r="B14100" s="8" t="str">
        <f>HYPERLINK("https://twitter.com/Haluan_","@Haluan_")</f>
        <v>@Haluan_</v>
      </c>
      <c r="C14100" s="8" t="s">
        <v>5698</v>
      </c>
      <c r="D14100" s="8">
        <v>0</v>
      </c>
      <c r="E14100" s="8">
        <v>0</v>
      </c>
      <c r="F14100" s="8">
        <v>1526</v>
      </c>
    </row>
    <row r="14101" spans="1:6" ht="12.75">
      <c r="A14101" s="8">
        <v>43898.488518518519</v>
      </c>
      <c r="B14101" s="8" t="str">
        <f t="shared" ref="B14101:B14102" si="211">HYPERLINK("https://twitter.com/sinyovandlahom","@sinyovandlahom")</f>
        <v>@sinyovandlahom</v>
      </c>
      <c r="C14101" s="8" t="s">
        <v>5699</v>
      </c>
      <c r="D14101" s="8">
        <v>2</v>
      </c>
      <c r="E14101" s="8">
        <v>0</v>
      </c>
      <c r="F14101" s="8">
        <v>1322</v>
      </c>
    </row>
    <row r="14102" spans="1:6" ht="12.75">
      <c r="A14102" s="8">
        <v>43898.488449074073</v>
      </c>
      <c r="B14102" s="8" t="str">
        <f t="shared" si="211"/>
        <v>@sinyovandlahom</v>
      </c>
      <c r="C14102" s="8" t="s">
        <v>5700</v>
      </c>
      <c r="D14102" s="8">
        <v>6</v>
      </c>
      <c r="E14102" s="8">
        <v>0</v>
      </c>
      <c r="F14102" s="8">
        <v>1322</v>
      </c>
    </row>
    <row r="14103" spans="1:6" ht="12.75">
      <c r="A14103" s="8">
        <v>43898.48841435185</v>
      </c>
      <c r="B14103" s="8" t="str">
        <f>HYPERLINK("https://twitter.com/IyeJauh","@IyeJauh")</f>
        <v>@IyeJauh</v>
      </c>
      <c r="C14103" s="8" t="s">
        <v>3265</v>
      </c>
      <c r="D14103" s="8">
        <v>263</v>
      </c>
      <c r="E14103" s="8">
        <v>0</v>
      </c>
      <c r="F14103" s="8">
        <v>4</v>
      </c>
    </row>
    <row r="14104" spans="1:6" ht="12.75">
      <c r="A14104" s="8">
        <v>43898.488379629634</v>
      </c>
      <c r="B14104" s="8" t="str">
        <f t="shared" ref="B14104:B14105" si="212">HYPERLINK("https://twitter.com/yono_twt1","@yono_twt1")</f>
        <v>@yono_twt1</v>
      </c>
      <c r="C14104" s="8" t="s">
        <v>5701</v>
      </c>
      <c r="D14104" s="8">
        <v>5</v>
      </c>
      <c r="E14104" s="8">
        <v>0</v>
      </c>
      <c r="F14104" s="8">
        <v>26</v>
      </c>
    </row>
    <row r="14105" spans="1:6" ht="12.75">
      <c r="A14105" s="8">
        <v>43898.488321759258</v>
      </c>
      <c r="B14105" s="8" t="str">
        <f t="shared" si="212"/>
        <v>@yono_twt1</v>
      </c>
      <c r="C14105" s="8" t="s">
        <v>5702</v>
      </c>
      <c r="D14105" s="8">
        <v>5</v>
      </c>
      <c r="E14105" s="8">
        <v>0</v>
      </c>
      <c r="F14105" s="8">
        <v>26</v>
      </c>
    </row>
    <row r="14106" spans="1:6" ht="12.75">
      <c r="A14106" s="8">
        <v>43898.488113425927</v>
      </c>
      <c r="B14106" s="8" t="str">
        <f>HYPERLINK("https://twitter.com/joeyjack04","@joeyjack04")</f>
        <v>@joeyjack04</v>
      </c>
      <c r="C14106" s="8" t="s">
        <v>5080</v>
      </c>
      <c r="D14106" s="8">
        <v>132</v>
      </c>
      <c r="E14106" s="8">
        <v>0</v>
      </c>
      <c r="F14106" s="8">
        <v>606</v>
      </c>
    </row>
    <row r="14107" spans="1:6" ht="12.75">
      <c r="A14107" s="8">
        <v>43898.487685185188</v>
      </c>
      <c r="B14107" s="8" t="str">
        <f>HYPERLINK("https://twitter.com/fadjroeL","@fadjroeL")</f>
        <v>@fadjroeL</v>
      </c>
      <c r="C14107" s="8" t="s">
        <v>5703</v>
      </c>
      <c r="D14107" s="8">
        <v>3</v>
      </c>
      <c r="E14107" s="8">
        <v>4</v>
      </c>
      <c r="F14107" s="8">
        <v>996934</v>
      </c>
    </row>
    <row r="14108" spans="1:6" ht="12.75">
      <c r="A14108" s="8">
        <v>43898.487523148149</v>
      </c>
      <c r="B14108" s="8" t="str">
        <f>HYPERLINK("https://twitter.com/LC01L","@LC01L")</f>
        <v>@LC01L</v>
      </c>
      <c r="C14108" s="8" t="s">
        <v>5080</v>
      </c>
      <c r="D14108" s="8">
        <v>132</v>
      </c>
      <c r="E14108" s="8">
        <v>0</v>
      </c>
      <c r="F14108" s="8">
        <v>248</v>
      </c>
    </row>
    <row r="14109" spans="1:6" ht="12.75">
      <c r="A14109" s="8">
        <v>43898.487071759257</v>
      </c>
      <c r="B14109" s="8" t="str">
        <f>HYPERLINK("https://twitter.com/avickassbila","@avickassbila")</f>
        <v>@avickassbila</v>
      </c>
      <c r="C14109" s="8" t="s">
        <v>3265</v>
      </c>
      <c r="D14109" s="8">
        <v>263</v>
      </c>
      <c r="E14109" s="8">
        <v>0</v>
      </c>
      <c r="F14109" s="8">
        <v>475</v>
      </c>
    </row>
    <row r="14110" spans="1:6" ht="12.75">
      <c r="A14110" s="8">
        <v>43898.486886574072</v>
      </c>
      <c r="B14110" s="8" t="str">
        <f>HYPERLINK("https://twitter.com/Rudatin7","@Rudatin7")</f>
        <v>@Rudatin7</v>
      </c>
      <c r="C14110" s="8" t="s">
        <v>5217</v>
      </c>
      <c r="D14110" s="8">
        <v>6</v>
      </c>
      <c r="E14110" s="8">
        <v>0</v>
      </c>
      <c r="F14110" s="8">
        <v>582</v>
      </c>
    </row>
    <row r="14111" spans="1:6" ht="12.75">
      <c r="A14111" s="8">
        <v>43898.486493055556</v>
      </c>
      <c r="B14111" s="8" t="str">
        <f>HYPERLINK("https://twitter.com/anggraenimita_","@anggraenimita_")</f>
        <v>@anggraenimita_</v>
      </c>
      <c r="C14111" s="8" t="s">
        <v>1399</v>
      </c>
      <c r="D14111" s="8">
        <v>25</v>
      </c>
      <c r="E14111" s="8">
        <v>0</v>
      </c>
      <c r="F14111" s="8">
        <v>275</v>
      </c>
    </row>
    <row r="14112" spans="1:6" ht="12.75">
      <c r="A14112" s="8">
        <v>43898.48636574074</v>
      </c>
      <c r="B14112" s="8" t="str">
        <f>HYPERLINK("https://twitter.com/rita_tj","@rita_tj")</f>
        <v>@rita_tj</v>
      </c>
      <c r="C14112" s="8" t="s">
        <v>5704</v>
      </c>
      <c r="D14112" s="8">
        <v>58</v>
      </c>
      <c r="E14112" s="8">
        <v>0</v>
      </c>
      <c r="F14112" s="8">
        <v>4723</v>
      </c>
    </row>
    <row r="14113" spans="1:6" ht="12.75">
      <c r="A14113" s="8">
        <v>43898.486076388886</v>
      </c>
      <c r="B14113" s="8" t="str">
        <f>HYPERLINK("https://twitter.com/alexespeare","@alexespeare")</f>
        <v>@alexespeare</v>
      </c>
      <c r="C14113" s="8" t="s">
        <v>5705</v>
      </c>
      <c r="D14113" s="8">
        <v>0</v>
      </c>
      <c r="E14113" s="8">
        <v>0</v>
      </c>
      <c r="F14113" s="8">
        <v>113</v>
      </c>
    </row>
    <row r="14114" spans="1:6" ht="12.75">
      <c r="A14114" s="8">
        <v>43898.48605324074</v>
      </c>
      <c r="B14114" s="8" t="str">
        <f>HYPERLINK("https://twitter.com/agoessp","@agoessp")</f>
        <v>@agoessp</v>
      </c>
      <c r="C14114" s="8" t="s">
        <v>3405</v>
      </c>
      <c r="D14114" s="8">
        <v>54</v>
      </c>
      <c r="E14114" s="8">
        <v>0</v>
      </c>
      <c r="F14114" s="8">
        <v>144</v>
      </c>
    </row>
    <row r="14115" spans="1:6" ht="12.75">
      <c r="A14115" s="8">
        <v>43898.485752314809</v>
      </c>
      <c r="B14115" s="8" t="str">
        <f>HYPERLINK("https://twitter.com/triwasono70","@triwasono70")</f>
        <v>@triwasono70</v>
      </c>
      <c r="C14115" s="8" t="s">
        <v>5706</v>
      </c>
      <c r="D14115" s="8">
        <v>0</v>
      </c>
      <c r="E14115" s="8">
        <v>0</v>
      </c>
      <c r="F14115" s="8">
        <v>5839</v>
      </c>
    </row>
    <row r="14116" spans="1:6" ht="12.75">
      <c r="A14116" s="8">
        <v>43898.485694444447</v>
      </c>
      <c r="B14116" s="8" t="str">
        <f>HYPERLINK("https://twitter.com/jokoselong","@jokoselong")</f>
        <v>@jokoselong</v>
      </c>
      <c r="C14116" s="8" t="s">
        <v>5683</v>
      </c>
      <c r="D14116" s="8">
        <v>4</v>
      </c>
      <c r="E14116" s="8">
        <v>0</v>
      </c>
      <c r="F14116" s="8">
        <v>1769</v>
      </c>
    </row>
    <row r="14117" spans="1:6" ht="12.75">
      <c r="A14117" s="8">
        <v>43898.485613425924</v>
      </c>
      <c r="B14117" s="8" t="str">
        <f>HYPERLINK("https://twitter.com/RRav8115663080","@RRav8115663080")</f>
        <v>@RRav8115663080</v>
      </c>
      <c r="C14117" s="8" t="s">
        <v>5458</v>
      </c>
      <c r="D14117" s="8">
        <v>9</v>
      </c>
      <c r="E14117" s="8">
        <v>0</v>
      </c>
      <c r="F14117" s="8">
        <v>324</v>
      </c>
    </row>
    <row r="14118" spans="1:6" ht="12.75">
      <c r="A14118" s="8">
        <v>43898.485312500001</v>
      </c>
      <c r="B14118" s="8" t="str">
        <f>HYPERLINK("https://twitter.com/rman46","@rman46")</f>
        <v>@rman46</v>
      </c>
      <c r="C14118" s="8" t="s">
        <v>5707</v>
      </c>
      <c r="D14118" s="8">
        <v>0</v>
      </c>
      <c r="E14118" s="8">
        <v>0</v>
      </c>
      <c r="F14118" s="8">
        <v>156</v>
      </c>
    </row>
    <row r="14119" spans="1:6" ht="12.75">
      <c r="A14119" s="8">
        <v>43898.485185185185</v>
      </c>
      <c r="B14119" s="8" t="str">
        <f>HYPERLINK("https://twitter.com/jenggo008","@jenggo008")</f>
        <v>@jenggo008</v>
      </c>
      <c r="C14119" s="8" t="s">
        <v>4940</v>
      </c>
      <c r="D14119" s="8">
        <v>19</v>
      </c>
      <c r="E14119" s="8">
        <v>0</v>
      </c>
      <c r="F14119" s="8">
        <v>537</v>
      </c>
    </row>
    <row r="14120" spans="1:6" ht="12.75">
      <c r="A14120" s="8">
        <v>43898.483958333338</v>
      </c>
      <c r="B14120" s="8" t="str">
        <f>HYPERLINK("https://twitter.com/Dreamcoid","@Dreamcoid")</f>
        <v>@Dreamcoid</v>
      </c>
      <c r="C14120" s="8" t="s">
        <v>5661</v>
      </c>
      <c r="D14120" s="8">
        <v>0</v>
      </c>
      <c r="E14120" s="8">
        <v>0</v>
      </c>
      <c r="F14120" s="8">
        <v>11584</v>
      </c>
    </row>
    <row r="14121" spans="1:6" ht="12.75">
      <c r="A14121" s="8">
        <v>43898.483159722222</v>
      </c>
      <c r="B14121" s="8" t="str">
        <f>HYPERLINK("https://twitter.com/SoniMsi07","@SoniMsi07")</f>
        <v>@SoniMsi07</v>
      </c>
      <c r="C14121" s="8" t="s">
        <v>3405</v>
      </c>
      <c r="D14121" s="8">
        <v>54</v>
      </c>
      <c r="E14121" s="8">
        <v>0</v>
      </c>
      <c r="F14121" s="8">
        <v>257</v>
      </c>
    </row>
    <row r="14122" spans="1:6" ht="12.75">
      <c r="A14122" s="8">
        <v>43898.482997685191</v>
      </c>
      <c r="B14122" s="8" t="str">
        <f>HYPERLINK("https://twitter.com/VIVAcoid","@VIVAcoid")</f>
        <v>@VIVAcoid</v>
      </c>
      <c r="C14122" s="8" t="s">
        <v>5683</v>
      </c>
      <c r="D14122" s="8">
        <v>4</v>
      </c>
      <c r="E14122" s="8">
        <v>0</v>
      </c>
      <c r="F14122" s="8">
        <v>4176059</v>
      </c>
    </row>
    <row r="14123" spans="1:6" ht="12.75">
      <c r="A14123" s="8">
        <v>43898.482766203699</v>
      </c>
      <c r="B14123" s="8" t="str">
        <f>HYPERLINK("https://twitter.com/mdwidi14","@mdwidi14")</f>
        <v>@mdwidi14</v>
      </c>
      <c r="C14123" s="8" t="s">
        <v>5708</v>
      </c>
      <c r="D14123" s="8">
        <v>0</v>
      </c>
      <c r="E14123" s="8">
        <v>0</v>
      </c>
      <c r="F14123" s="8">
        <v>6</v>
      </c>
    </row>
    <row r="14124" spans="1:6" ht="12.75">
      <c r="A14124" s="8">
        <v>43898.482662037037</v>
      </c>
      <c r="B14124" s="8" t="str">
        <f>HYPERLINK("https://twitter.com/vivanewscom","@vivanewscom")</f>
        <v>@vivanewscom</v>
      </c>
      <c r="C14124" s="8" t="s">
        <v>5709</v>
      </c>
      <c r="D14124" s="8">
        <v>4</v>
      </c>
      <c r="E14124" s="8">
        <v>2</v>
      </c>
      <c r="F14124" s="8">
        <v>4786</v>
      </c>
    </row>
    <row r="14125" spans="1:6" ht="12.75">
      <c r="A14125" s="8">
        <v>43898.482592592598</v>
      </c>
      <c r="B14125" s="8" t="str">
        <f>HYPERLINK("https://twitter.com/muktarlim","@muktarlim")</f>
        <v>@muktarlim</v>
      </c>
      <c r="C14125" s="8" t="s">
        <v>5710</v>
      </c>
      <c r="D14125" s="8">
        <v>0</v>
      </c>
      <c r="E14125" s="8">
        <v>0</v>
      </c>
      <c r="F14125" s="8">
        <v>2693</v>
      </c>
    </row>
    <row r="14126" spans="1:6" ht="12.75">
      <c r="A14126" s="8">
        <v>43898.482581018514</v>
      </c>
      <c r="B14126" s="8" t="str">
        <f>HYPERLINK("https://twitter.com/djonprasetyanto","@djonprasetyanto")</f>
        <v>@djonprasetyanto</v>
      </c>
      <c r="C14126" s="8" t="s">
        <v>5711</v>
      </c>
      <c r="D14126" s="8">
        <v>0</v>
      </c>
      <c r="E14126" s="8">
        <v>0</v>
      </c>
      <c r="F14126" s="8">
        <v>1173</v>
      </c>
    </row>
    <row r="14127" spans="1:6" ht="12.75">
      <c r="A14127" s="8">
        <v>43898.482499999998</v>
      </c>
      <c r="B14127" s="8" t="str">
        <f>HYPERLINK("https://twitter.com/DodikListiawan3","@DodikListiawan3")</f>
        <v>@DodikListiawan3</v>
      </c>
      <c r="C14127" s="8" t="s">
        <v>3265</v>
      </c>
      <c r="D14127" s="8">
        <v>263</v>
      </c>
      <c r="E14127" s="8">
        <v>0</v>
      </c>
      <c r="F14127" s="8">
        <v>7175</v>
      </c>
    </row>
    <row r="14128" spans="1:6" ht="12.75">
      <c r="A14128" s="8">
        <v>43898.482395833329</v>
      </c>
      <c r="B14128" s="8" t="str">
        <f>HYPERLINK("https://twitter.com/Reza_M67M","@Reza_M67M")</f>
        <v>@Reza_M67M</v>
      </c>
      <c r="C14128" s="8" t="s">
        <v>5673</v>
      </c>
      <c r="D14128" s="8">
        <v>3</v>
      </c>
      <c r="E14128" s="8">
        <v>0</v>
      </c>
      <c r="F14128" s="8">
        <v>561</v>
      </c>
    </row>
    <row r="14129" spans="1:6" ht="12.75">
      <c r="A14129" s="8">
        <v>43898.482395833329</v>
      </c>
      <c r="B14129" s="8" t="str">
        <f>HYPERLINK("https://twitter.com/ISIS_Balik_NO","@ISIS_Balik_NO")</f>
        <v>@ISIS_Balik_NO</v>
      </c>
      <c r="C14129" s="8" t="s">
        <v>5712</v>
      </c>
      <c r="D14129" s="8">
        <v>75</v>
      </c>
      <c r="E14129" s="8">
        <v>0</v>
      </c>
      <c r="F14129" s="8">
        <v>6157</v>
      </c>
    </row>
    <row r="14130" spans="1:6" ht="12.75">
      <c r="A14130" s="8">
        <v>43898.48232638889</v>
      </c>
      <c r="B14130" s="8" t="str">
        <f>HYPERLINK("https://twitter.com/serij_haryadi","@serij_haryadi")</f>
        <v>@serij_haryadi</v>
      </c>
      <c r="C14130" s="8" t="s">
        <v>3265</v>
      </c>
      <c r="D14130" s="8">
        <v>263</v>
      </c>
      <c r="E14130" s="8">
        <v>0</v>
      </c>
      <c r="F14130" s="8">
        <v>46</v>
      </c>
    </row>
    <row r="14131" spans="1:6" ht="12.75">
      <c r="A14131" s="8">
        <v>43898.481770833328</v>
      </c>
      <c r="B14131" s="8" t="str">
        <f>HYPERLINK("https://twitter.com/ryolandafit","@ryolandafit")</f>
        <v>@ryolandafit</v>
      </c>
      <c r="C14131" s="8" t="s">
        <v>5713</v>
      </c>
      <c r="D14131" s="8">
        <v>3</v>
      </c>
      <c r="E14131" s="8">
        <v>0</v>
      </c>
      <c r="F14131" s="8">
        <v>658</v>
      </c>
    </row>
    <row r="14132" spans="1:6" ht="12.75">
      <c r="A14132" s="8">
        <v>43898.48170138889</v>
      </c>
      <c r="B14132" s="8" t="str">
        <f>HYPERLINK("https://twitter.com/idahamnirzan","@idahamnirzan")</f>
        <v>@idahamnirzan</v>
      </c>
      <c r="C14132" s="8" t="s">
        <v>3265</v>
      </c>
      <c r="D14132" s="8">
        <v>263</v>
      </c>
      <c r="E14132" s="8">
        <v>0</v>
      </c>
      <c r="F14132" s="8">
        <v>149</v>
      </c>
    </row>
    <row r="14133" spans="1:6" ht="12.75">
      <c r="A14133" s="8">
        <v>43898.465092592596</v>
      </c>
      <c r="B14133" s="8" t="str">
        <f>HYPERLINK("https://twitter.com/GoTotheJek","@GoTotheJek")</f>
        <v>@GoTotheJek</v>
      </c>
      <c r="C14133" s="8" t="s">
        <v>5714</v>
      </c>
      <c r="D14133" s="8">
        <v>5</v>
      </c>
      <c r="E14133" s="8">
        <v>0</v>
      </c>
      <c r="F14133" s="8">
        <v>782</v>
      </c>
    </row>
    <row r="14134" spans="1:6" ht="12.75">
      <c r="A14134" s="8">
        <v>43898.465057870373</v>
      </c>
      <c r="B14134" s="8" t="str">
        <f>HYPERLINK("https://twitter.com/sofyannew1","@sofyannew1")</f>
        <v>@sofyannew1</v>
      </c>
      <c r="C14134" s="8" t="s">
        <v>3265</v>
      </c>
      <c r="D14134" s="8">
        <v>226</v>
      </c>
      <c r="E14134" s="8">
        <v>0</v>
      </c>
      <c r="F14134" s="8">
        <v>243</v>
      </c>
    </row>
    <row r="14135" spans="1:6" ht="12.75">
      <c r="A14135" s="8">
        <v>43898.464965277773</v>
      </c>
      <c r="B14135" s="8" t="str">
        <f>HYPERLINK("https://twitter.com/_flowerkty","@_flowerkty")</f>
        <v>@_flowerkty</v>
      </c>
      <c r="C14135" s="8" t="s">
        <v>5715</v>
      </c>
      <c r="D14135" s="8">
        <v>0</v>
      </c>
      <c r="E14135" s="8">
        <v>0</v>
      </c>
      <c r="F14135" s="8">
        <v>56</v>
      </c>
    </row>
    <row r="14136" spans="1:6" ht="12.75">
      <c r="A14136" s="8">
        <v>43898.464386574073</v>
      </c>
      <c r="B14136" s="8" t="str">
        <f>HYPERLINK("https://twitter.com/BasilSakti","@BasilSakti")</f>
        <v>@BasilSakti</v>
      </c>
      <c r="C14136" s="8" t="s">
        <v>4510</v>
      </c>
      <c r="D14136" s="8">
        <v>126</v>
      </c>
      <c r="E14136" s="8">
        <v>0</v>
      </c>
      <c r="F14136" s="8">
        <v>200</v>
      </c>
    </row>
    <row r="14137" spans="1:6" ht="12.75">
      <c r="A14137" s="8">
        <v>43898.46361111111</v>
      </c>
      <c r="B14137" s="8" t="str">
        <f>HYPERLINK("https://twitter.com/digtara2","@digtara2")</f>
        <v>@digtara2</v>
      </c>
      <c r="C14137" s="8" t="s">
        <v>5716</v>
      </c>
      <c r="D14137" s="8">
        <v>0</v>
      </c>
      <c r="E14137" s="8">
        <v>0</v>
      </c>
      <c r="F14137" s="8">
        <v>31</v>
      </c>
    </row>
    <row r="14138" spans="1:6" ht="12.75">
      <c r="A14138" s="8">
        <v>43898.463229166664</v>
      </c>
      <c r="B14138" s="8" t="str">
        <f>HYPERLINK("https://twitter.com/SINDOnews","@SINDOnews")</f>
        <v>@SINDOnews</v>
      </c>
      <c r="C14138" s="8" t="s">
        <v>5717</v>
      </c>
      <c r="D14138" s="8">
        <v>0</v>
      </c>
      <c r="E14138" s="8">
        <v>0</v>
      </c>
      <c r="F14138" s="8">
        <v>271683</v>
      </c>
    </row>
    <row r="14139" spans="1:6" ht="12.75">
      <c r="A14139" s="8">
        <v>43898.463078703702</v>
      </c>
      <c r="B14139" s="8" t="str">
        <f>HYPERLINK("https://twitter.com/Antara_Jabar","@Antara_Jabar")</f>
        <v>@Antara_Jabar</v>
      </c>
      <c r="C14139" s="8" t="s">
        <v>5718</v>
      </c>
      <c r="D14139" s="8">
        <v>0</v>
      </c>
      <c r="E14139" s="8">
        <v>0</v>
      </c>
      <c r="F14139" s="8">
        <v>1666</v>
      </c>
    </row>
    <row r="14140" spans="1:6" ht="12.75">
      <c r="A14140" s="8">
        <v>43898.462476851855</v>
      </c>
      <c r="B14140" s="8" t="str">
        <f>HYPERLINK("https://twitter.com/dadangsut_n","@dadangsut_n")</f>
        <v>@dadangsut_n</v>
      </c>
      <c r="C14140" s="8" t="s">
        <v>3265</v>
      </c>
      <c r="D14140" s="8">
        <v>226</v>
      </c>
      <c r="E14140" s="8">
        <v>0</v>
      </c>
      <c r="F14140" s="8">
        <v>10</v>
      </c>
    </row>
    <row r="14141" spans="1:6" ht="12.75">
      <c r="A14141" s="8">
        <v>43898.462349537032</v>
      </c>
      <c r="B14141" s="8" t="str">
        <f>HYPERLINK("https://twitter.com/eko_alaya","@eko_alaya")</f>
        <v>@eko_alaya</v>
      </c>
      <c r="C14141" s="8" t="s">
        <v>5719</v>
      </c>
      <c r="D14141" s="8">
        <v>2</v>
      </c>
      <c r="E14141" s="8">
        <v>0</v>
      </c>
      <c r="F14141" s="8">
        <v>822</v>
      </c>
    </row>
    <row r="14142" spans="1:6" ht="12.75">
      <c r="A14142" s="8">
        <v>43898.46230324074</v>
      </c>
      <c r="B14142" s="8" t="str">
        <f>HYPERLINK("https://twitter.com/dubie_tina","@dubie_tina")</f>
        <v>@dubie_tina</v>
      </c>
      <c r="C14142" s="8" t="s">
        <v>4940</v>
      </c>
      <c r="D14142" s="8">
        <v>16</v>
      </c>
      <c r="E14142" s="8">
        <v>0</v>
      </c>
      <c r="F14142" s="8">
        <v>1099</v>
      </c>
    </row>
    <row r="14143" spans="1:6" ht="12.75">
      <c r="A14143" s="8">
        <v>43898.461886574078</v>
      </c>
      <c r="B14143" s="8" t="str">
        <f>HYPERLINK("https://twitter.com/FitRadioBandung","@FitRadioBandung")</f>
        <v>@FitRadioBandung</v>
      </c>
      <c r="C14143" s="8" t="s">
        <v>5720</v>
      </c>
      <c r="D14143" s="8">
        <v>0</v>
      </c>
      <c r="E14143" s="8">
        <v>0</v>
      </c>
      <c r="F14143" s="8">
        <v>8685</v>
      </c>
    </row>
    <row r="14144" spans="1:6" ht="12.75">
      <c r="A14144" s="8">
        <v>43898.461458333331</v>
      </c>
      <c r="B14144" s="8" t="str">
        <f>HYPERLINK("https://twitter.com/mandaparamitha","@mandaparamitha")</f>
        <v>@mandaparamitha</v>
      </c>
      <c r="C14144" s="8" t="s">
        <v>3192</v>
      </c>
      <c r="D14144" s="8">
        <v>41</v>
      </c>
      <c r="E14144" s="8">
        <v>0</v>
      </c>
      <c r="F14144" s="8">
        <v>364</v>
      </c>
    </row>
    <row r="14145" spans="1:6" ht="12.75">
      <c r="A14145" s="8">
        <v>43898.460833333331</v>
      </c>
      <c r="B14145" s="8" t="str">
        <f>HYPERLINK("https://twitter.com/hajinewsonline","@hajinewsonline")</f>
        <v>@hajinewsonline</v>
      </c>
      <c r="C14145" s="8" t="s">
        <v>5721</v>
      </c>
      <c r="D14145" s="8">
        <v>0</v>
      </c>
      <c r="E14145" s="8">
        <v>0</v>
      </c>
      <c r="F14145" s="8">
        <v>27</v>
      </c>
    </row>
    <row r="14146" spans="1:6" ht="12.75">
      <c r="A14146" s="8">
        <v>43898.460555555561</v>
      </c>
      <c r="B14146" s="8" t="str">
        <f>HYPERLINK("https://twitter.com/Yfais","@Yfais")</f>
        <v>@Yfais</v>
      </c>
      <c r="C14146" s="8" t="s">
        <v>5486</v>
      </c>
      <c r="D14146" s="8">
        <v>57</v>
      </c>
      <c r="E14146" s="8">
        <v>0</v>
      </c>
      <c r="F14146" s="8">
        <v>619</v>
      </c>
    </row>
    <row r="14147" spans="1:6" ht="12.75">
      <c r="A14147" s="8">
        <v>43898.45988425926</v>
      </c>
      <c r="B14147" s="8" t="str">
        <f>HYPERLINK("https://twitter.com/MochAskar1","@MochAskar1")</f>
        <v>@MochAskar1</v>
      </c>
      <c r="C14147" s="8" t="s">
        <v>5722</v>
      </c>
      <c r="D14147" s="8">
        <v>1</v>
      </c>
      <c r="E14147" s="8">
        <v>0</v>
      </c>
      <c r="F14147" s="8">
        <v>30</v>
      </c>
    </row>
    <row r="14148" spans="1:6" ht="12.75">
      <c r="A14148" s="8">
        <v>43898.459837962961</v>
      </c>
      <c r="B14148" s="8" t="str">
        <f>HYPERLINK("https://twitter.com/Muhamma23821297","@Muhamma23821297")</f>
        <v>@Muhamma23821297</v>
      </c>
      <c r="C14148" s="8" t="s">
        <v>3265</v>
      </c>
      <c r="D14148" s="8">
        <v>226</v>
      </c>
      <c r="E14148" s="8">
        <v>0</v>
      </c>
      <c r="F14148" s="8">
        <v>3</v>
      </c>
    </row>
    <row r="14149" spans="1:6" ht="12.75">
      <c r="A14149" s="8">
        <v>43898.459826388891</v>
      </c>
      <c r="B14149" s="8" t="str">
        <f>HYPERLINK("https://twitter.com/cekmint_sabang","@cekmint_sabang")</f>
        <v>@cekmint_sabang</v>
      </c>
      <c r="C14149" s="8" t="s">
        <v>5723</v>
      </c>
      <c r="D14149" s="8">
        <v>0</v>
      </c>
      <c r="E14149" s="8">
        <v>0</v>
      </c>
      <c r="F14149" s="8">
        <v>321</v>
      </c>
    </row>
    <row r="14150" spans="1:6" ht="12.75">
      <c r="A14150" s="8">
        <v>43898.459826388891</v>
      </c>
      <c r="B14150" s="8" t="str">
        <f>HYPERLINK("https://twitter.com/Eryiskandar5","@Eryiskandar5")</f>
        <v>@Eryiskandar5</v>
      </c>
      <c r="C14150" s="8" t="s">
        <v>3265</v>
      </c>
      <c r="D14150" s="8">
        <v>226</v>
      </c>
      <c r="E14150" s="8">
        <v>0</v>
      </c>
      <c r="F14150" s="8">
        <v>77</v>
      </c>
    </row>
    <row r="14151" spans="1:6" ht="12.75">
      <c r="A14151" s="8">
        <v>43898.459699074076</v>
      </c>
      <c r="B14151" s="8" t="str">
        <f>HYPERLINK("https://twitter.com/cekmint_sabang","@cekmint_sabang")</f>
        <v>@cekmint_sabang</v>
      </c>
      <c r="C14151" s="8" t="s">
        <v>5678</v>
      </c>
      <c r="D14151" s="8">
        <v>1</v>
      </c>
      <c r="E14151" s="8">
        <v>0</v>
      </c>
      <c r="F14151" s="8">
        <v>321</v>
      </c>
    </row>
    <row r="14152" spans="1:6" ht="12.75">
      <c r="A14152" s="8">
        <v>43898.459432870368</v>
      </c>
      <c r="B14152" s="8" t="str">
        <f>HYPERLINK("https://twitter.com/AkmalRashid18","@AkmalRashid18")</f>
        <v>@AkmalRashid18</v>
      </c>
      <c r="C14152" s="8" t="s">
        <v>5724</v>
      </c>
      <c r="D14152" s="8">
        <v>2</v>
      </c>
      <c r="E14152" s="8">
        <v>0</v>
      </c>
      <c r="F14152" s="8">
        <v>10</v>
      </c>
    </row>
    <row r="14153" spans="1:6" ht="12.75">
      <c r="A14153" s="8">
        <v>43898.45925925926</v>
      </c>
      <c r="B14153" s="8" t="str">
        <f>HYPERLINK("https://twitter.com/GoTotheJek","@GoTotheJek")</f>
        <v>@GoTotheJek</v>
      </c>
      <c r="C14153" s="8" t="s">
        <v>3405</v>
      </c>
      <c r="D14153" s="8">
        <v>49</v>
      </c>
      <c r="E14153" s="8">
        <v>0</v>
      </c>
      <c r="F14153" s="8">
        <v>782</v>
      </c>
    </row>
    <row r="14154" spans="1:6" ht="12.75">
      <c r="A14154" s="8">
        <v>43898.459201388891</v>
      </c>
      <c r="B14154" s="8" t="str">
        <f>HYPERLINK("https://twitter.com/adventyas","@adventyas")</f>
        <v>@adventyas</v>
      </c>
      <c r="C14154" s="8" t="s">
        <v>5725</v>
      </c>
      <c r="D14154" s="8">
        <v>0</v>
      </c>
      <c r="E14154" s="8">
        <v>0</v>
      </c>
      <c r="F14154" s="8">
        <v>429</v>
      </c>
    </row>
    <row r="14155" spans="1:6" ht="12.75">
      <c r="A14155" s="8">
        <v>43898.459074074075</v>
      </c>
      <c r="B14155" s="8" t="str">
        <f>HYPERLINK("https://twitter.com/VIVAcoid","@VIVAcoid")</f>
        <v>@VIVAcoid</v>
      </c>
      <c r="C14155" s="8" t="s">
        <v>5719</v>
      </c>
      <c r="D14155" s="8">
        <v>2</v>
      </c>
      <c r="E14155" s="8">
        <v>0</v>
      </c>
      <c r="F14155" s="8">
        <v>4176058</v>
      </c>
    </row>
    <row r="14156" spans="1:6" ht="12.75">
      <c r="A14156" s="8">
        <v>43898.458750000005</v>
      </c>
      <c r="B14156" s="8" t="str">
        <f>HYPERLINK("https://twitter.com/pendawa9","@pendawa9")</f>
        <v>@pendawa9</v>
      </c>
      <c r="C14156" s="8" t="s">
        <v>4162</v>
      </c>
      <c r="D14156" s="8">
        <v>112</v>
      </c>
      <c r="E14156" s="8">
        <v>0</v>
      </c>
      <c r="F14156" s="8">
        <v>78</v>
      </c>
    </row>
    <row r="14157" spans="1:6" ht="12.75">
      <c r="A14157" s="8">
        <v>43898.458379629628</v>
      </c>
      <c r="B14157" s="8" t="str">
        <f>HYPERLINK("https://twitter.com/vivanewscom","@vivanewscom")</f>
        <v>@vivanewscom</v>
      </c>
      <c r="C14157" s="8" t="s">
        <v>5726</v>
      </c>
      <c r="D14157" s="8">
        <v>2</v>
      </c>
      <c r="E14157" s="8">
        <v>1</v>
      </c>
      <c r="F14157" s="8">
        <v>4784</v>
      </c>
    </row>
    <row r="14158" spans="1:6" ht="12.75">
      <c r="A14158" s="8">
        <v>43898.458368055552</v>
      </c>
      <c r="B14158" s="8" t="str">
        <f>HYPERLINK("https://twitter.com/KontanNews","@KontanNews")</f>
        <v>@KontanNews</v>
      </c>
      <c r="C14158" s="8" t="s">
        <v>5727</v>
      </c>
      <c r="D14158" s="8">
        <v>0</v>
      </c>
      <c r="E14158" s="8">
        <v>1</v>
      </c>
      <c r="F14158" s="8">
        <v>318334</v>
      </c>
    </row>
    <row r="14159" spans="1:6" ht="12.75">
      <c r="A14159" s="8">
        <v>43898.458310185189</v>
      </c>
      <c r="B14159" s="8" t="str">
        <f>HYPERLINK("https://twitter.com/wni_jmsri","@wni_jmsri")</f>
        <v>@wni_jmsri</v>
      </c>
      <c r="C14159" s="8" t="s">
        <v>5728</v>
      </c>
      <c r="D14159" s="8">
        <v>30</v>
      </c>
      <c r="E14159" s="8">
        <v>0</v>
      </c>
      <c r="F14159" s="8">
        <v>204</v>
      </c>
    </row>
    <row r="14160" spans="1:6" ht="12.75">
      <c r="A14160" s="8">
        <v>43898.458020833335</v>
      </c>
      <c r="B14160" s="8" t="str">
        <f>HYPERLINK("https://twitter.com/Candraasmara85","@Candraasmara85")</f>
        <v>@Candraasmara85</v>
      </c>
      <c r="C14160" s="8" t="s">
        <v>4940</v>
      </c>
      <c r="D14160" s="8">
        <v>16</v>
      </c>
      <c r="E14160" s="8">
        <v>0</v>
      </c>
      <c r="F14160" s="8">
        <v>10707</v>
      </c>
    </row>
    <row r="14161" spans="1:6" ht="12.75">
      <c r="A14161" s="8">
        <v>43898.457777777774</v>
      </c>
      <c r="B14161" s="8" t="str">
        <f>HYPERLINK("https://twitter.com/serambinews","@serambinews")</f>
        <v>@serambinews</v>
      </c>
      <c r="C14161" s="8" t="s">
        <v>5723</v>
      </c>
      <c r="D14161" s="8">
        <v>1</v>
      </c>
      <c r="E14161" s="8">
        <v>1</v>
      </c>
      <c r="F14161" s="8">
        <v>83852</v>
      </c>
    </row>
    <row r="14162" spans="1:6" ht="12.75">
      <c r="A14162" s="8">
        <v>43898.457442129627</v>
      </c>
      <c r="B14162" s="8" t="str">
        <f>HYPERLINK("https://twitter.com/chatimers","@chatimers")</f>
        <v>@chatimers</v>
      </c>
      <c r="C14162" s="8" t="s">
        <v>3192</v>
      </c>
      <c r="D14162" s="8">
        <v>41</v>
      </c>
      <c r="E14162" s="8">
        <v>0</v>
      </c>
      <c r="F14162" s="8">
        <v>606</v>
      </c>
    </row>
    <row r="14163" spans="1:6" ht="12.75">
      <c r="A14163" s="8">
        <v>43898.457025462965</v>
      </c>
      <c r="B14163" s="8" t="str">
        <f>HYPERLINK("https://twitter.com/NES40135128","@NES40135128")</f>
        <v>@NES40135128</v>
      </c>
      <c r="C14163" s="8" t="s">
        <v>5729</v>
      </c>
      <c r="D14163" s="8">
        <v>2</v>
      </c>
      <c r="E14163" s="8">
        <v>0</v>
      </c>
      <c r="F14163" s="8">
        <v>1179</v>
      </c>
    </row>
    <row r="14164" spans="1:6" ht="12.75">
      <c r="A14164" s="8">
        <v>43898.456724537042</v>
      </c>
      <c r="B14164" s="8" t="str">
        <f>HYPERLINK("https://twitter.com/AWChuz","@AWChuz")</f>
        <v>@AWChuz</v>
      </c>
      <c r="C14164" s="8" t="s">
        <v>5730</v>
      </c>
      <c r="D14164" s="8">
        <v>0</v>
      </c>
      <c r="E14164" s="8">
        <v>0</v>
      </c>
      <c r="F14164" s="8">
        <v>1272</v>
      </c>
    </row>
    <row r="14165" spans="1:6" ht="12.75">
      <c r="A14165" s="8">
        <v>43898.456446759257</v>
      </c>
      <c r="B14165" s="8" t="str">
        <f>HYPERLINK("https://twitter.com/Abdulbluet","@Abdulbluet")</f>
        <v>@Abdulbluet</v>
      </c>
      <c r="C14165" s="8" t="s">
        <v>3265</v>
      </c>
      <c r="D14165" s="8">
        <v>226</v>
      </c>
      <c r="E14165" s="8">
        <v>0</v>
      </c>
      <c r="F14165" s="8">
        <v>237</v>
      </c>
    </row>
    <row r="14166" spans="1:6" ht="12.75">
      <c r="A14166" s="8">
        <v>43898.456273148149</v>
      </c>
      <c r="B14166" s="8" t="str">
        <f>HYPERLINK("https://twitter.com/satsuyurami","@satsuyurami")</f>
        <v>@satsuyurami</v>
      </c>
      <c r="C14166" s="8" t="s">
        <v>3192</v>
      </c>
      <c r="D14166" s="8">
        <v>41</v>
      </c>
      <c r="E14166" s="8">
        <v>0</v>
      </c>
      <c r="F14166" s="8">
        <v>471</v>
      </c>
    </row>
    <row r="14167" spans="1:6" ht="12.75">
      <c r="A14167" s="8">
        <v>43898.455983796295</v>
      </c>
      <c r="B14167" s="8" t="str">
        <f>HYPERLINK("https://twitter.com/wni_jmsri","@wni_jmsri")</f>
        <v>@wni_jmsri</v>
      </c>
      <c r="C14167" s="8" t="s">
        <v>5731</v>
      </c>
      <c r="D14167" s="8">
        <v>13124</v>
      </c>
      <c r="E14167" s="8">
        <v>0</v>
      </c>
      <c r="F14167" s="8">
        <v>204</v>
      </c>
    </row>
    <row r="14168" spans="1:6" ht="12.75">
      <c r="A14168" s="8">
        <v>43898.455462962964</v>
      </c>
      <c r="B14168" s="8" t="str">
        <f>HYPERLINK("https://twitter.com/Bunyami33684290","@Bunyami33684290")</f>
        <v>@Bunyami33684290</v>
      </c>
      <c r="C14168" s="8" t="s">
        <v>5732</v>
      </c>
      <c r="D14168" s="8">
        <v>2198</v>
      </c>
      <c r="E14168" s="8">
        <v>0</v>
      </c>
      <c r="F14168" s="8">
        <v>1167</v>
      </c>
    </row>
    <row r="14169" spans="1:6" ht="12.75">
      <c r="A14169" s="8">
        <v>43898.455324074079</v>
      </c>
      <c r="B14169" s="8" t="str">
        <f>HYPERLINK("https://twitter.com/EdyGypsum","@EdyGypsum")</f>
        <v>@EdyGypsum</v>
      </c>
      <c r="C14169" s="8" t="s">
        <v>5733</v>
      </c>
      <c r="D14169" s="8">
        <v>0</v>
      </c>
      <c r="E14169" s="8">
        <v>0</v>
      </c>
      <c r="F14169" s="8">
        <v>3104</v>
      </c>
    </row>
    <row r="14170" spans="1:6" ht="12.75">
      <c r="A14170" s="8">
        <v>43898.455254629633</v>
      </c>
      <c r="B14170" s="8" t="str">
        <f>HYPERLINK("https://twitter.com/JurnalAsiaCom","@JurnalAsiaCom")</f>
        <v>@JurnalAsiaCom</v>
      </c>
      <c r="C14170" s="8" t="s">
        <v>5734</v>
      </c>
      <c r="D14170" s="8">
        <v>0</v>
      </c>
      <c r="E14170" s="8">
        <v>0</v>
      </c>
      <c r="F14170" s="8">
        <v>499</v>
      </c>
    </row>
    <row r="14171" spans="1:6" ht="12.75">
      <c r="A14171" s="8">
        <v>43898.454768518517</v>
      </c>
      <c r="B14171" s="8" t="str">
        <f>HYPERLINK("https://twitter.com/YolaEL_MINORI","@YolaEL_MINORI")</f>
        <v>@YolaEL_MINORI</v>
      </c>
      <c r="C14171" s="8" t="s">
        <v>5486</v>
      </c>
      <c r="D14171" s="8">
        <v>57</v>
      </c>
      <c r="E14171" s="8">
        <v>0</v>
      </c>
      <c r="F14171" s="8">
        <v>67</v>
      </c>
    </row>
    <row r="14172" spans="1:6" ht="12.75">
      <c r="A14172" s="8">
        <v>43898.454652777778</v>
      </c>
      <c r="B14172" s="8" t="str">
        <f>HYPERLINK("https://twitter.com/tsuchiyagin","@tsuchiyagin")</f>
        <v>@tsuchiyagin</v>
      </c>
      <c r="C14172" s="8" t="s">
        <v>3192</v>
      </c>
      <c r="D14172" s="8">
        <v>41</v>
      </c>
      <c r="E14172" s="8">
        <v>0</v>
      </c>
      <c r="F14172" s="8">
        <v>380</v>
      </c>
    </row>
    <row r="14173" spans="1:6" ht="12.75">
      <c r="A14173" s="8">
        <v>43898.454259259262</v>
      </c>
      <c r="B14173" s="8" t="str">
        <f>HYPERLINK("https://twitter.com/Fu74974303","@Fu74974303")</f>
        <v>@Fu74974303</v>
      </c>
      <c r="C14173" s="8" t="s">
        <v>3265</v>
      </c>
      <c r="D14173" s="8">
        <v>226</v>
      </c>
      <c r="E14173" s="8">
        <v>0</v>
      </c>
      <c r="F14173" s="8">
        <v>215</v>
      </c>
    </row>
    <row r="14174" spans="1:6" ht="12.75">
      <c r="A14174" s="8">
        <v>43898.453055555554</v>
      </c>
      <c r="B14174" s="8" t="str">
        <f>HYPERLINK("https://twitter.com/_auroraputri","@_auroraputri")</f>
        <v>@_auroraputri</v>
      </c>
      <c r="C14174" s="8" t="s">
        <v>3978</v>
      </c>
      <c r="D14174" s="8">
        <v>38</v>
      </c>
      <c r="E14174" s="8">
        <v>0</v>
      </c>
      <c r="F14174" s="8">
        <v>1105</v>
      </c>
    </row>
    <row r="14175" spans="1:6" ht="12.75">
      <c r="A14175" s="8">
        <v>43898.452974537038</v>
      </c>
      <c r="B14175" s="8" t="str">
        <f>HYPERLINK("https://twitter.com/idpenamini","@idpenamini")</f>
        <v>@idpenamini</v>
      </c>
      <c r="C14175" s="8" t="s">
        <v>5333</v>
      </c>
      <c r="D14175" s="8">
        <v>0</v>
      </c>
      <c r="E14175" s="8">
        <v>0</v>
      </c>
      <c r="F14175" s="8">
        <v>175</v>
      </c>
    </row>
    <row r="14176" spans="1:6" ht="12.75">
      <c r="A14176" s="8">
        <v>43898.452962962961</v>
      </c>
      <c r="B14176" s="8" t="str">
        <f>HYPERLINK("https://twitter.com/d3nd16","@d3nd16")</f>
        <v>@d3nd16</v>
      </c>
      <c r="C14176" s="8" t="s">
        <v>3265</v>
      </c>
      <c r="D14176" s="8">
        <v>226</v>
      </c>
      <c r="E14176" s="8">
        <v>0</v>
      </c>
      <c r="F14176" s="8">
        <v>41</v>
      </c>
    </row>
    <row r="14177" spans="1:6" ht="12.75">
      <c r="A14177" s="8">
        <v>43898.4528587963</v>
      </c>
      <c r="B14177" s="8" t="str">
        <f>HYPERLINK("https://twitter.com/aseprahmat4","@aseprahmat4")</f>
        <v>@aseprahmat4</v>
      </c>
      <c r="C14177" s="8" t="s">
        <v>3265</v>
      </c>
      <c r="D14177" s="8">
        <v>226</v>
      </c>
      <c r="E14177" s="8">
        <v>0</v>
      </c>
      <c r="F14177" s="8">
        <v>302</v>
      </c>
    </row>
    <row r="14178" spans="1:6" ht="12.75">
      <c r="A14178" s="8">
        <v>43898.452777777777</v>
      </c>
      <c r="B14178" s="8" t="str">
        <f>HYPERLINK("https://twitter.com/AremaNita__","@AremaNita__")</f>
        <v>@AremaNita__</v>
      </c>
      <c r="C14178" s="8" t="s">
        <v>5729</v>
      </c>
      <c r="D14178" s="8">
        <v>2</v>
      </c>
      <c r="E14178" s="8">
        <v>0</v>
      </c>
      <c r="F14178" s="8">
        <v>8424</v>
      </c>
    </row>
    <row r="14179" spans="1:6" ht="12.75">
      <c r="A14179" s="8">
        <v>43898.452499999999</v>
      </c>
      <c r="B14179" s="8" t="str">
        <f>HYPERLINK("https://twitter.com/qwertyqwerta2","@qwertyqwerta2")</f>
        <v>@qwertyqwerta2</v>
      </c>
      <c r="C14179" s="8" t="s">
        <v>5724</v>
      </c>
      <c r="D14179" s="8">
        <v>2</v>
      </c>
      <c r="E14179" s="8">
        <v>0</v>
      </c>
      <c r="F14179" s="8">
        <v>106</v>
      </c>
    </row>
    <row r="14180" spans="1:6" ht="12.75">
      <c r="A14180" s="8">
        <v>43898.452025462961</v>
      </c>
      <c r="B14180" s="8" t="str">
        <f>HYPERLINK("https://twitter.com/Gacong14","@Gacong14")</f>
        <v>@Gacong14</v>
      </c>
      <c r="C14180" s="8" t="s">
        <v>5735</v>
      </c>
      <c r="D14180" s="8">
        <v>0</v>
      </c>
      <c r="E14180" s="8">
        <v>1</v>
      </c>
      <c r="F14180" s="8">
        <v>1229</v>
      </c>
    </row>
    <row r="14181" spans="1:6" ht="12.75">
      <c r="A14181" s="8">
        <v>43898.45177083333</v>
      </c>
      <c r="B14181" s="8" t="str">
        <f>HYPERLINK("https://twitter.com/KATADATAcoid","@KATADATAcoid")</f>
        <v>@KATADATAcoid</v>
      </c>
      <c r="C14181" s="8" t="s">
        <v>5736</v>
      </c>
      <c r="D14181" s="8">
        <v>0</v>
      </c>
      <c r="E14181" s="8">
        <v>0</v>
      </c>
      <c r="F14181" s="8">
        <v>41982</v>
      </c>
    </row>
    <row r="14182" spans="1:6" ht="12.75">
      <c r="A14182" s="8">
        <v>43898.451631944445</v>
      </c>
      <c r="B14182" s="8" t="str">
        <f>HYPERLINK("https://twitter.com/rullyjoo27","@rullyjoo27")</f>
        <v>@rullyjoo27</v>
      </c>
      <c r="C14182" s="8" t="s">
        <v>5737</v>
      </c>
      <c r="D14182" s="8">
        <v>2</v>
      </c>
      <c r="E14182" s="8">
        <v>2</v>
      </c>
      <c r="F14182" s="8">
        <v>2203</v>
      </c>
    </row>
    <row r="14183" spans="1:6" ht="12.75">
      <c r="A14183" s="8">
        <v>43898.451539351852</v>
      </c>
      <c r="B14183" s="8" t="str">
        <f>HYPERLINK("https://twitter.com/ethereals19","@ethereals19")</f>
        <v>@ethereals19</v>
      </c>
      <c r="C14183" s="8" t="s">
        <v>5738</v>
      </c>
      <c r="D14183" s="8">
        <v>0</v>
      </c>
      <c r="E14183" s="8">
        <v>0</v>
      </c>
      <c r="F14183" s="8">
        <v>172</v>
      </c>
    </row>
    <row r="14184" spans="1:6" ht="12.75">
      <c r="A14184" s="8">
        <v>43898.451469907406</v>
      </c>
      <c r="B14184" s="8" t="str">
        <f>HYPERLINK("https://twitter.com/GusMendem1","@GusMendem1")</f>
        <v>@GusMendem1</v>
      </c>
      <c r="C14184" s="8" t="s">
        <v>5739</v>
      </c>
      <c r="D14184" s="8">
        <v>0</v>
      </c>
      <c r="E14184" s="8">
        <v>0</v>
      </c>
      <c r="F14184" s="8">
        <v>1049</v>
      </c>
    </row>
    <row r="14185" spans="1:6" ht="12.75">
      <c r="A14185" s="8">
        <v>43898.451319444444</v>
      </c>
      <c r="B14185" s="8" t="str">
        <f>HYPERLINK("https://twitter.com/apekbae1","@apekbae1")</f>
        <v>@apekbae1</v>
      </c>
      <c r="C14185" s="8" t="s">
        <v>3743</v>
      </c>
      <c r="D14185" s="8">
        <v>707</v>
      </c>
      <c r="E14185" s="8">
        <v>0</v>
      </c>
      <c r="F14185" s="8">
        <v>5</v>
      </c>
    </row>
    <row r="14186" spans="1:6" ht="12.75">
      <c r="A14186" s="8">
        <v>43898.450972222221</v>
      </c>
      <c r="B14186" s="8" t="str">
        <f>HYPERLINK("https://twitter.com/kamsidi_alex","@kamsidi_alex")</f>
        <v>@kamsidi_alex</v>
      </c>
      <c r="C14186" s="8" t="s">
        <v>3265</v>
      </c>
      <c r="D14186" s="8">
        <v>226</v>
      </c>
      <c r="E14186" s="8">
        <v>0</v>
      </c>
      <c r="F14186" s="8">
        <v>2457</v>
      </c>
    </row>
    <row r="14187" spans="1:6" ht="12.75">
      <c r="A14187" s="8">
        <v>43898.450798611113</v>
      </c>
      <c r="B14187" s="8" t="str">
        <f>HYPERLINK("https://twitter.com/dikadizka","@dikadizka")</f>
        <v>@dikadizka</v>
      </c>
      <c r="C14187" s="8" t="s">
        <v>3192</v>
      </c>
      <c r="D14187" s="8">
        <v>41</v>
      </c>
      <c r="E14187" s="8">
        <v>0</v>
      </c>
      <c r="F14187" s="8">
        <v>2013</v>
      </c>
    </row>
    <row r="14188" spans="1:6" ht="12.75">
      <c r="A14188" s="8">
        <v>43898.450601851851</v>
      </c>
      <c r="B14188" s="8" t="str">
        <f>HYPERLINK("https://twitter.com/RaHidMatOdang","@RaHidMatOdang")</f>
        <v>@RaHidMatOdang</v>
      </c>
      <c r="C14188" s="8" t="s">
        <v>3265</v>
      </c>
      <c r="D14188" s="8">
        <v>226</v>
      </c>
      <c r="E14188" s="8">
        <v>0</v>
      </c>
      <c r="F14188" s="8">
        <v>104</v>
      </c>
    </row>
    <row r="14189" spans="1:6" ht="12.75">
      <c r="A14189" s="8">
        <v>43898.450196759259</v>
      </c>
      <c r="B14189" s="8" t="str">
        <f>HYPERLINK("https://twitter.com/anantanurizki","@anantanurizki")</f>
        <v>@anantanurizki</v>
      </c>
      <c r="C14189" s="8" t="s">
        <v>3405</v>
      </c>
      <c r="D14189" s="8">
        <v>49</v>
      </c>
      <c r="E14189" s="8">
        <v>0</v>
      </c>
      <c r="F14189" s="8">
        <v>590</v>
      </c>
    </row>
    <row r="14190" spans="1:6" ht="12.75">
      <c r="A14190" s="8">
        <v>43898.449895833328</v>
      </c>
      <c r="B14190" s="8" t="str">
        <f>HYPERLINK("https://twitter.com/BwoJko","@BwoJko")</f>
        <v>@BwoJko</v>
      </c>
      <c r="C14190" s="8" t="s">
        <v>3405</v>
      </c>
      <c r="D14190" s="8">
        <v>49</v>
      </c>
      <c r="E14190" s="8">
        <v>0</v>
      </c>
      <c r="F14190" s="8">
        <v>1002</v>
      </c>
    </row>
    <row r="14191" spans="1:6" ht="12.75">
      <c r="A14191" s="8">
        <v>43898.449097222227</v>
      </c>
      <c r="B14191" s="8" t="str">
        <f>HYPERLINK("https://twitter.com/GGarue","@GGarue")</f>
        <v>@GGarue</v>
      </c>
      <c r="C14191" s="8" t="s">
        <v>5740</v>
      </c>
      <c r="D14191" s="8">
        <v>0</v>
      </c>
      <c r="E14191" s="8">
        <v>1</v>
      </c>
      <c r="F14191" s="8">
        <v>53</v>
      </c>
    </row>
    <row r="14192" spans="1:6" ht="12.75">
      <c r="A14192" s="8">
        <v>43898.447592592594</v>
      </c>
      <c r="B14192" s="8" t="str">
        <f>HYPERLINK("https://twitter.com/Bennyah1","@Bennyah1")</f>
        <v>@Bennyah1</v>
      </c>
      <c r="C14192" s="8" t="s">
        <v>3265</v>
      </c>
      <c r="D14192" s="8">
        <v>226</v>
      </c>
      <c r="E14192" s="8">
        <v>0</v>
      </c>
      <c r="F14192" s="8">
        <v>25</v>
      </c>
    </row>
    <row r="14193" spans="1:6" ht="12.75">
      <c r="A14193" s="8">
        <v>43898.446527777778</v>
      </c>
      <c r="B14193" s="8" t="str">
        <f>HYPERLINK("https://twitter.com/kusmansadik","@kusmansadik")</f>
        <v>@kusmansadik</v>
      </c>
      <c r="C14193" s="8" t="s">
        <v>5507</v>
      </c>
      <c r="D14193" s="8">
        <v>4</v>
      </c>
      <c r="E14193" s="8">
        <v>0</v>
      </c>
      <c r="F14193" s="8">
        <v>9986</v>
      </c>
    </row>
    <row r="14194" spans="1:6" ht="12.75">
      <c r="A14194" s="8">
        <v>43898.446388888886</v>
      </c>
      <c r="B14194" s="8" t="str">
        <f>HYPERLINK("https://twitter.com/rizal9973","@rizal9973")</f>
        <v>@rizal9973</v>
      </c>
      <c r="C14194" s="8" t="s">
        <v>3265</v>
      </c>
      <c r="D14194" s="8">
        <v>226</v>
      </c>
      <c r="E14194" s="8">
        <v>0</v>
      </c>
      <c r="F14194" s="8">
        <v>476</v>
      </c>
    </row>
    <row r="14195" spans="1:6" ht="12.75">
      <c r="A14195" s="8">
        <v>43898.446354166663</v>
      </c>
      <c r="B14195" s="8" t="str">
        <f>HYPERLINK("https://twitter.com/ngadimin","@ngadimin")</f>
        <v>@ngadimin</v>
      </c>
      <c r="C14195" s="8" t="s">
        <v>5741</v>
      </c>
      <c r="D14195" s="8">
        <v>0</v>
      </c>
      <c r="E14195" s="8">
        <v>0</v>
      </c>
      <c r="F14195" s="8">
        <v>459</v>
      </c>
    </row>
    <row r="14196" spans="1:6" ht="12.75">
      <c r="A14196" s="8">
        <v>43898.446331018524</v>
      </c>
      <c r="B14196" s="8" t="str">
        <f>HYPERLINK("https://twitter.com/bokohalal","@bokohalal")</f>
        <v>@bokohalal</v>
      </c>
      <c r="C14196" s="8" t="s">
        <v>5080</v>
      </c>
      <c r="D14196" s="8">
        <v>121</v>
      </c>
      <c r="E14196" s="8">
        <v>0</v>
      </c>
      <c r="F14196" s="8">
        <v>150</v>
      </c>
    </row>
    <row r="14197" spans="1:6" ht="12.75">
      <c r="A14197" s="8">
        <v>43898.446192129632</v>
      </c>
      <c r="B14197" s="8" t="str">
        <f>HYPERLINK("https://twitter.com/rullyjoo27","@rullyjoo27")</f>
        <v>@rullyjoo27</v>
      </c>
      <c r="C14197" s="8" t="s">
        <v>5742</v>
      </c>
      <c r="D14197" s="8">
        <v>0</v>
      </c>
      <c r="E14197" s="8">
        <v>0</v>
      </c>
      <c r="F14197" s="8">
        <v>2203</v>
      </c>
    </row>
    <row r="14198" spans="1:6" ht="12.75">
      <c r="A14198" s="8">
        <v>43898.44604166667</v>
      </c>
      <c r="B14198" s="8" t="str">
        <f>HYPERLINK("https://twitter.com/AremaNita__","@AremaNita__")</f>
        <v>@AremaNita__</v>
      </c>
      <c r="C14198" s="8" t="s">
        <v>5399</v>
      </c>
      <c r="D14198" s="8">
        <v>2</v>
      </c>
      <c r="E14198" s="8">
        <v>0</v>
      </c>
      <c r="F14198" s="8">
        <v>8424</v>
      </c>
    </row>
    <row r="14199" spans="1:6" ht="12.75">
      <c r="A14199" s="8">
        <v>43898.445601851854</v>
      </c>
      <c r="B14199" s="8" t="str">
        <f>HYPERLINK("https://twitter.com/massuneko77","@massuneko77")</f>
        <v>@massuneko77</v>
      </c>
      <c r="C14199" s="8" t="s">
        <v>3192</v>
      </c>
      <c r="D14199" s="8">
        <v>41</v>
      </c>
      <c r="E14199" s="8">
        <v>0</v>
      </c>
      <c r="F14199" s="8">
        <v>249</v>
      </c>
    </row>
    <row r="14200" spans="1:6" ht="12.75">
      <c r="A14200" s="8">
        <v>43898.445057870369</v>
      </c>
      <c r="B14200" s="8" t="str">
        <f>HYPERLINK("https://twitter.com/RahadianGagah","@RahadianGagah")</f>
        <v>@RahadianGagah</v>
      </c>
      <c r="C14200" s="8" t="s">
        <v>5743</v>
      </c>
      <c r="D14200" s="8">
        <v>0</v>
      </c>
      <c r="E14200" s="8">
        <v>0</v>
      </c>
      <c r="F14200" s="8">
        <v>4</v>
      </c>
    </row>
    <row r="14201" spans="1:6" ht="12.75">
      <c r="A14201" s="8">
        <v>43898.445011574076</v>
      </c>
      <c r="B14201" s="8" t="str">
        <f>HYPERLINK("https://twitter.com/BdyNusantara","@BdyNusantara")</f>
        <v>@BdyNusantara</v>
      </c>
      <c r="C14201" s="8" t="s">
        <v>5399</v>
      </c>
      <c r="D14201" s="8">
        <v>2</v>
      </c>
      <c r="E14201" s="8">
        <v>0</v>
      </c>
      <c r="F14201" s="8">
        <v>120</v>
      </c>
    </row>
    <row r="14202" spans="1:6" ht="12.75">
      <c r="A14202" s="8">
        <v>43898.444687499999</v>
      </c>
      <c r="B14202" s="8" t="str">
        <f>HYPERLINK("https://twitter.com/rullyjoo27","@rullyjoo27")</f>
        <v>@rullyjoo27</v>
      </c>
      <c r="C14202" s="8" t="s">
        <v>5744</v>
      </c>
      <c r="D14202" s="8">
        <v>2</v>
      </c>
      <c r="E14202" s="8">
        <v>2</v>
      </c>
      <c r="F14202" s="8">
        <v>2203</v>
      </c>
    </row>
    <row r="14203" spans="1:6" ht="12.75">
      <c r="A14203" s="8">
        <v>43898.444606481484</v>
      </c>
      <c r="B14203" s="8" t="str">
        <f>HYPERLINK("https://twitter.com/dubie_tina","@dubie_tina")</f>
        <v>@dubie_tina</v>
      </c>
      <c r="C14203" s="8" t="s">
        <v>5156</v>
      </c>
      <c r="D14203" s="8">
        <v>5</v>
      </c>
      <c r="E14203" s="8">
        <v>0</v>
      </c>
      <c r="F14203" s="8">
        <v>1099</v>
      </c>
    </row>
    <row r="14204" spans="1:6" ht="12.75">
      <c r="A14204" s="8">
        <v>43898.443935185191</v>
      </c>
      <c r="B14204" s="8" t="str">
        <f>HYPERLINK("https://twitter.com/frida_rahardjo","@frida_rahardjo")</f>
        <v>@frida_rahardjo</v>
      </c>
      <c r="C14204" s="8" t="s">
        <v>5217</v>
      </c>
      <c r="D14204" s="8">
        <v>5</v>
      </c>
      <c r="E14204" s="8">
        <v>0</v>
      </c>
      <c r="F14204" s="8">
        <v>1483</v>
      </c>
    </row>
    <row r="14205" spans="1:6" ht="12.75">
      <c r="A14205" s="8">
        <v>43898.443819444445</v>
      </c>
      <c r="B14205" s="8" t="str">
        <f>HYPERLINK("https://twitter.com/paddylives","@paddylives")</f>
        <v>@paddylives</v>
      </c>
      <c r="C14205" s="8" t="s">
        <v>5088</v>
      </c>
      <c r="D14205" s="8">
        <v>0</v>
      </c>
      <c r="E14205" s="8">
        <v>0</v>
      </c>
      <c r="F14205" s="8">
        <v>408</v>
      </c>
    </row>
    <row r="14206" spans="1:6" ht="12.75">
      <c r="A14206" s="8">
        <v>43898.443715277783</v>
      </c>
      <c r="B14206" s="8" t="str">
        <f>HYPERLINK("https://twitter.com/potemalate","@potemalate")</f>
        <v>@potemalate</v>
      </c>
      <c r="C14206" s="8" t="s">
        <v>5745</v>
      </c>
      <c r="D14206" s="8">
        <v>1</v>
      </c>
      <c r="E14206" s="8">
        <v>0</v>
      </c>
      <c r="F14206" s="8">
        <v>193</v>
      </c>
    </row>
    <row r="14207" spans="1:6" ht="12.75">
      <c r="A14207" s="8">
        <v>43898.443611111114</v>
      </c>
      <c r="B14207" s="8" t="str">
        <f>HYPERLINK("https://twitter.com/moza_unique","@moza_unique")</f>
        <v>@moza_unique</v>
      </c>
      <c r="C14207" s="8" t="s">
        <v>5746</v>
      </c>
      <c r="D14207" s="8">
        <v>0</v>
      </c>
      <c r="E14207" s="8">
        <v>1</v>
      </c>
      <c r="F14207" s="8">
        <v>245</v>
      </c>
    </row>
    <row r="14208" spans="1:6" ht="12.75">
      <c r="A14208" s="8">
        <v>43898.443553240737</v>
      </c>
      <c r="B14208" s="8" t="str">
        <f>HYPERLINK("https://twitter.com/Mursyidin88_KH","@Mursyidin88_KH")</f>
        <v>@Mursyidin88_KH</v>
      </c>
      <c r="C14208" s="8" t="s">
        <v>3265</v>
      </c>
      <c r="D14208" s="8">
        <v>226</v>
      </c>
      <c r="E14208" s="8">
        <v>0</v>
      </c>
      <c r="F14208" s="8">
        <v>47</v>
      </c>
    </row>
    <row r="14209" spans="1:6" ht="12.75">
      <c r="A14209" s="8">
        <v>43898.443171296298</v>
      </c>
      <c r="B14209" s="8" t="str">
        <f>HYPERLINK("https://twitter.com/waktufajar808","@waktufajar808")</f>
        <v>@waktufajar808</v>
      </c>
      <c r="C14209" s="8" t="s">
        <v>3265</v>
      </c>
      <c r="D14209" s="8">
        <v>226</v>
      </c>
      <c r="E14209" s="8">
        <v>0</v>
      </c>
      <c r="F14209" s="8">
        <v>629</v>
      </c>
    </row>
    <row r="14210" spans="1:6" ht="12.75">
      <c r="A14210" s="8">
        <v>43898.442997685182</v>
      </c>
      <c r="B14210" s="8" t="str">
        <f>HYPERLINK("https://twitter.com/gabrieladipr","@gabrieladipr")</f>
        <v>@gabrieladipr</v>
      </c>
      <c r="C14210" s="8" t="s">
        <v>3192</v>
      </c>
      <c r="D14210" s="8">
        <v>41</v>
      </c>
      <c r="E14210" s="8">
        <v>0</v>
      </c>
      <c r="F14210" s="8">
        <v>472</v>
      </c>
    </row>
    <row r="14211" spans="1:6" ht="12.75">
      <c r="A14211" s="8">
        <v>43898.442962962959</v>
      </c>
      <c r="B14211" s="8" t="str">
        <f>HYPERLINK("https://twitter.com/H1ns4","@H1ns4")</f>
        <v>@H1ns4</v>
      </c>
      <c r="C14211" s="8" t="s">
        <v>5080</v>
      </c>
      <c r="D14211" s="8">
        <v>121</v>
      </c>
      <c r="E14211" s="8">
        <v>0</v>
      </c>
      <c r="F14211" s="8">
        <v>953</v>
      </c>
    </row>
    <row r="14212" spans="1:6" ht="12.75">
      <c r="A14212" s="8">
        <v>43898.442881944444</v>
      </c>
      <c r="B14212" s="8" t="str">
        <f>HYPERLINK("https://twitter.com/Gacho09756840","@Gacho09756840")</f>
        <v>@Gacho09756840</v>
      </c>
      <c r="C14212" s="8" t="s">
        <v>3265</v>
      </c>
      <c r="D14212" s="8">
        <v>226</v>
      </c>
      <c r="E14212" s="8">
        <v>0</v>
      </c>
      <c r="F14212" s="8">
        <v>168</v>
      </c>
    </row>
    <row r="14213" spans="1:6" ht="12.75">
      <c r="A14213" s="8">
        <v>43898.442395833335</v>
      </c>
      <c r="B14213" s="8" t="str">
        <f>HYPERLINK("https://twitter.com/Taufan_40","@Taufan_40")</f>
        <v>@Taufan_40</v>
      </c>
      <c r="C14213" s="8" t="s">
        <v>3265</v>
      </c>
      <c r="D14213" s="8">
        <v>226</v>
      </c>
      <c r="E14213" s="8">
        <v>0</v>
      </c>
      <c r="F14213" s="8">
        <v>470</v>
      </c>
    </row>
    <row r="14214" spans="1:6" ht="12.75">
      <c r="A14214" s="8">
        <v>43898.441921296297</v>
      </c>
      <c r="B14214" s="8" t="str">
        <f>HYPERLINK("https://twitter.com/alfina_smile","@alfina_smile")</f>
        <v>@alfina_smile</v>
      </c>
      <c r="C14214" s="8" t="s">
        <v>3265</v>
      </c>
      <c r="D14214" s="8">
        <v>226</v>
      </c>
      <c r="E14214" s="8">
        <v>0</v>
      </c>
      <c r="F14214" s="8">
        <v>192</v>
      </c>
    </row>
    <row r="14215" spans="1:6" ht="12.75">
      <c r="A14215" s="8">
        <v>43898.441828703704</v>
      </c>
      <c r="B14215" s="8" t="str">
        <f>HYPERLINK("https://twitter.com/buana_himbar","@buana_himbar")</f>
        <v>@buana_himbar</v>
      </c>
      <c r="C14215" s="8" t="s">
        <v>3192</v>
      </c>
      <c r="D14215" s="8">
        <v>41</v>
      </c>
      <c r="E14215" s="8">
        <v>0</v>
      </c>
      <c r="F14215" s="8">
        <v>103</v>
      </c>
    </row>
    <row r="14216" spans="1:6" ht="12.75">
      <c r="A14216" s="8">
        <v>43898.441655092596</v>
      </c>
      <c r="B14216" s="8" t="str">
        <f>HYPERLINK("https://twitter.com/Susanto13895819","@Susanto13895819")</f>
        <v>@Susanto13895819</v>
      </c>
      <c r="C14216" s="8" t="s">
        <v>5747</v>
      </c>
      <c r="D14216" s="8">
        <v>7</v>
      </c>
      <c r="E14216" s="8">
        <v>0</v>
      </c>
      <c r="F14216" s="8">
        <v>693</v>
      </c>
    </row>
    <row r="14217" spans="1:6" ht="12.75">
      <c r="A14217" s="8">
        <v>43898.440995370373</v>
      </c>
      <c r="B14217" s="8" t="str">
        <f>HYPERLINK("https://twitter.com/NJunawar","@NJunawar")</f>
        <v>@NJunawar</v>
      </c>
      <c r="C14217" s="8" t="s">
        <v>3265</v>
      </c>
      <c r="D14217" s="8">
        <v>226</v>
      </c>
      <c r="E14217" s="8">
        <v>0</v>
      </c>
      <c r="F14217" s="8">
        <v>64</v>
      </c>
    </row>
    <row r="14218" spans="1:6" ht="12.75">
      <c r="A14218" s="8">
        <v>43898.44059027778</v>
      </c>
      <c r="B14218" s="8" t="str">
        <f>HYPERLINK("https://twitter.com/MariSan11513787","@MariSan11513787")</f>
        <v>@MariSan11513787</v>
      </c>
      <c r="C14218" s="8" t="s">
        <v>3265</v>
      </c>
      <c r="D14218" s="8">
        <v>226</v>
      </c>
      <c r="E14218" s="8">
        <v>0</v>
      </c>
      <c r="F14218" s="8">
        <v>105</v>
      </c>
    </row>
    <row r="14219" spans="1:6" ht="12.75">
      <c r="A14219" s="8">
        <v>43898.440555555557</v>
      </c>
      <c r="B14219" s="8" t="str">
        <f>HYPERLINK("https://twitter.com/Muksin23557236","@Muksin23557236")</f>
        <v>@Muksin23557236</v>
      </c>
      <c r="C14219" s="8" t="s">
        <v>3265</v>
      </c>
      <c r="D14219" s="8">
        <v>226</v>
      </c>
      <c r="E14219" s="8">
        <v>0</v>
      </c>
      <c r="F14219" s="8">
        <v>70</v>
      </c>
    </row>
    <row r="14220" spans="1:6" ht="12.75">
      <c r="A14220" s="8">
        <v>43898.440312499995</v>
      </c>
      <c r="B14220" s="8" t="str">
        <f>HYPERLINK("https://twitter.com/kompascom","@kompascom")</f>
        <v>@kompascom</v>
      </c>
      <c r="C14220" s="8" t="s">
        <v>5748</v>
      </c>
      <c r="D14220" s="8">
        <v>0</v>
      </c>
      <c r="E14220" s="8">
        <v>5</v>
      </c>
      <c r="F14220" s="8">
        <v>7534458</v>
      </c>
    </row>
    <row r="14221" spans="1:6" ht="12.75">
      <c r="A14221" s="8">
        <v>43898.439814814818</v>
      </c>
      <c r="B14221" s="8" t="str">
        <f>HYPERLINK("https://twitter.com/eggggsie","@eggggsie")</f>
        <v>@eggggsie</v>
      </c>
      <c r="C14221" s="8" t="s">
        <v>5507</v>
      </c>
      <c r="D14221" s="8">
        <v>4</v>
      </c>
      <c r="E14221" s="8">
        <v>0</v>
      </c>
      <c r="F14221" s="8">
        <v>10951</v>
      </c>
    </row>
    <row r="14222" spans="1:6" ht="12.75">
      <c r="A14222" s="8">
        <v>43898.439583333333</v>
      </c>
      <c r="B14222" s="8" t="str">
        <f>HYPERLINK("https://twitter.com/newsmerahputih","@newsmerahputih")</f>
        <v>@newsmerahputih</v>
      </c>
      <c r="C14222" s="8" t="s">
        <v>5749</v>
      </c>
      <c r="D14222" s="8">
        <v>0</v>
      </c>
      <c r="E14222" s="8">
        <v>0</v>
      </c>
      <c r="F14222" s="8">
        <v>8739</v>
      </c>
    </row>
    <row r="14223" spans="1:6" ht="12.75">
      <c r="A14223" s="8">
        <v>43898.439513888894</v>
      </c>
      <c r="B14223" s="8" t="str">
        <f>HYPERLINK("https://twitter.com/noorjogja","@noorjogja")</f>
        <v>@noorjogja</v>
      </c>
      <c r="C14223" s="8" t="s">
        <v>3265</v>
      </c>
      <c r="D14223" s="8">
        <v>226</v>
      </c>
      <c r="E14223" s="8">
        <v>0</v>
      </c>
      <c r="F14223" s="8">
        <v>852</v>
      </c>
    </row>
    <row r="14224" spans="1:6" ht="12.75">
      <c r="A14224" s="8">
        <v>43898.439293981486</v>
      </c>
      <c r="B14224" s="8" t="str">
        <f>HYPERLINK("https://twitter.com/tyhon9","@tyhon9")</f>
        <v>@tyhon9</v>
      </c>
      <c r="C14224" s="8" t="s">
        <v>5750</v>
      </c>
      <c r="D14224" s="8">
        <v>3</v>
      </c>
      <c r="E14224" s="8">
        <v>0</v>
      </c>
      <c r="F14224" s="8">
        <v>4774</v>
      </c>
    </row>
    <row r="14225" spans="1:6" ht="12.75">
      <c r="A14225" s="8">
        <v>43898.439085648148</v>
      </c>
      <c r="B14225" s="8" t="str">
        <f>HYPERLINK("https://twitter.com/the_cangklong","@the_cangklong")</f>
        <v>@the_cangklong</v>
      </c>
      <c r="C14225" s="8" t="s">
        <v>3265</v>
      </c>
      <c r="D14225" s="8">
        <v>226</v>
      </c>
      <c r="E14225" s="8">
        <v>0</v>
      </c>
      <c r="F14225" s="8">
        <v>1</v>
      </c>
    </row>
    <row r="14226" spans="1:6" ht="12.75">
      <c r="A14226" s="8">
        <v>43898.438981481479</v>
      </c>
      <c r="B14226" s="8" t="str">
        <f>HYPERLINK("https://twitter.com/majoindonew","@majoindonew")</f>
        <v>@majoindonew</v>
      </c>
      <c r="C14226" s="8" t="s">
        <v>3265</v>
      </c>
      <c r="D14226" s="8">
        <v>226</v>
      </c>
      <c r="E14226" s="8">
        <v>0</v>
      </c>
      <c r="F14226" s="8">
        <v>36</v>
      </c>
    </row>
    <row r="14227" spans="1:6" ht="12.75">
      <c r="A14227" s="8">
        <v>43898.438981481479</v>
      </c>
      <c r="B14227" s="8" t="str">
        <f>HYPERLINK("https://twitter.com/jokersantai","@jokersantai")</f>
        <v>@jokersantai</v>
      </c>
      <c r="C14227" s="8" t="s">
        <v>5750</v>
      </c>
      <c r="D14227" s="8">
        <v>3</v>
      </c>
      <c r="E14227" s="8">
        <v>0</v>
      </c>
      <c r="F14227" s="8">
        <v>1692</v>
      </c>
    </row>
    <row r="14228" spans="1:6" ht="12.75">
      <c r="A14228" s="8">
        <v>43898.438784722224</v>
      </c>
      <c r="B14228" s="8" t="str">
        <f>HYPERLINK("https://twitter.com/justjeee_","@justjeee_")</f>
        <v>@justjeee_</v>
      </c>
      <c r="C14228" s="8" t="s">
        <v>3265</v>
      </c>
      <c r="D14228" s="8">
        <v>226</v>
      </c>
      <c r="E14228" s="8">
        <v>0</v>
      </c>
      <c r="F14228" s="8">
        <v>1234</v>
      </c>
    </row>
    <row r="14229" spans="1:6" ht="12.75">
      <c r="A14229" s="8">
        <v>43898.438773148147</v>
      </c>
      <c r="B14229" s="8" t="str">
        <f>HYPERLINK("https://twitter.com/wni_jmsri","@wni_jmsri")</f>
        <v>@wni_jmsri</v>
      </c>
      <c r="C14229" s="8" t="s">
        <v>5751</v>
      </c>
      <c r="D14229" s="8">
        <v>106</v>
      </c>
      <c r="E14229" s="8">
        <v>0</v>
      </c>
      <c r="F14229" s="8">
        <v>204</v>
      </c>
    </row>
    <row r="14230" spans="1:6" ht="12.75">
      <c r="A14230" s="8">
        <v>43898.438773148147</v>
      </c>
      <c r="B14230" s="8" t="str">
        <f>HYPERLINK("https://twitter.com/Agus_Solikhin_D","@Agus_Solikhin_D")</f>
        <v>@Agus_Solikhin_D</v>
      </c>
      <c r="C14230" s="8" t="s">
        <v>3265</v>
      </c>
      <c r="D14230" s="8">
        <v>226</v>
      </c>
      <c r="E14230" s="8">
        <v>0</v>
      </c>
      <c r="F14230" s="8">
        <v>81</v>
      </c>
    </row>
    <row r="14231" spans="1:6" ht="12.75">
      <c r="A14231" s="8">
        <v>43898.438726851848</v>
      </c>
      <c r="B14231" s="8" t="str">
        <f>HYPERLINK("https://twitter.com/wni_jmsri","@wni_jmsri")</f>
        <v>@wni_jmsri</v>
      </c>
      <c r="C14231" s="8" t="s">
        <v>5752</v>
      </c>
      <c r="D14231" s="8">
        <v>10387</v>
      </c>
      <c r="E14231" s="8">
        <v>0</v>
      </c>
      <c r="F14231" s="8">
        <v>204</v>
      </c>
    </row>
    <row r="14232" spans="1:6" ht="12.75">
      <c r="A14232" s="8">
        <v>43898.438483796301</v>
      </c>
      <c r="B14232" s="8" t="str">
        <f>HYPERLINK("https://twitter.com/GetMoneynPower","@GetMoneynPower")</f>
        <v>@GetMoneynPower</v>
      </c>
      <c r="C14232" s="8" t="s">
        <v>5507</v>
      </c>
      <c r="D14232" s="8">
        <v>4</v>
      </c>
      <c r="E14232" s="8">
        <v>0</v>
      </c>
      <c r="F14232" s="8">
        <v>208</v>
      </c>
    </row>
    <row r="14233" spans="1:6" ht="12.75">
      <c r="A14233" s="8">
        <v>43898.423379629632</v>
      </c>
      <c r="B14233" s="8" t="str">
        <f>HYPERLINK("https://twitter.com/lookslina","@lookslina")</f>
        <v>@lookslina</v>
      </c>
      <c r="C14233" s="8" t="s">
        <v>5753</v>
      </c>
      <c r="D14233" s="8">
        <v>0</v>
      </c>
      <c r="E14233" s="8">
        <v>0</v>
      </c>
      <c r="F14233" s="8">
        <v>533</v>
      </c>
    </row>
    <row r="14234" spans="1:6" ht="12.75">
      <c r="A14234" s="8">
        <v>43898.423368055555</v>
      </c>
      <c r="B14234" s="8" t="str">
        <f>HYPERLINK("https://twitter.com/dabenone2","@dabenone2")</f>
        <v>@dabenone2</v>
      </c>
      <c r="C14234" s="8" t="s">
        <v>3192</v>
      </c>
      <c r="D14234" s="8">
        <v>15</v>
      </c>
      <c r="E14234" s="8">
        <v>0</v>
      </c>
      <c r="F14234" s="8">
        <v>79</v>
      </c>
    </row>
    <row r="14235" spans="1:6" ht="12.75">
      <c r="A14235" s="8">
        <v>43898.423101851848</v>
      </c>
      <c r="B14235" s="8" t="str">
        <f>HYPERLINK("https://twitter.com/rraj068","@rraj068")</f>
        <v>@rraj068</v>
      </c>
      <c r="C14235" s="8" t="s">
        <v>5754</v>
      </c>
      <c r="D14235" s="8">
        <v>0</v>
      </c>
      <c r="E14235" s="8">
        <v>0</v>
      </c>
      <c r="F14235" s="8">
        <v>1863</v>
      </c>
    </row>
    <row r="14236" spans="1:6" ht="12.75">
      <c r="A14236" s="8">
        <v>43898.422974537039</v>
      </c>
      <c r="B14236" s="8" t="str">
        <f>HYPERLINK("https://twitter.com/supplier_kacang","@supplier_kacang")</f>
        <v>@supplier_kacang</v>
      </c>
      <c r="C14236" s="8" t="s">
        <v>3978</v>
      </c>
      <c r="D14236" s="8">
        <v>36</v>
      </c>
      <c r="E14236" s="8">
        <v>0</v>
      </c>
      <c r="F14236" s="8">
        <v>39</v>
      </c>
    </row>
    <row r="14237" spans="1:6" ht="12.75">
      <c r="A14237" s="8">
        <v>43898.422939814816</v>
      </c>
      <c r="B14237" s="8" t="str">
        <f>HYPERLINK("https://twitter.com/Yeyen41020695","@Yeyen41020695")</f>
        <v>@Yeyen41020695</v>
      </c>
      <c r="C14237" s="8" t="s">
        <v>5755</v>
      </c>
      <c r="D14237" s="8">
        <v>0</v>
      </c>
      <c r="E14237" s="8">
        <v>0</v>
      </c>
      <c r="F14237" s="8">
        <v>1988</v>
      </c>
    </row>
    <row r="14238" spans="1:6" ht="12.75">
      <c r="A14238" s="8">
        <v>43898.422835648147</v>
      </c>
      <c r="B14238" s="8" t="str">
        <f>HYPERLINK("https://twitter.com/iNewsID","@iNewsID")</f>
        <v>@iNewsID</v>
      </c>
      <c r="C14238" s="8" t="s">
        <v>5756</v>
      </c>
      <c r="D14238" s="8">
        <v>0</v>
      </c>
      <c r="E14238" s="8">
        <v>0</v>
      </c>
      <c r="F14238" s="8">
        <v>1370</v>
      </c>
    </row>
    <row r="14239" spans="1:6" ht="12.75">
      <c r="A14239" s="8">
        <v>43898.42260416667</v>
      </c>
      <c r="B14239" s="8" t="str">
        <f>HYPERLINK("https://twitter.com/doyokijay","@doyokijay")</f>
        <v>@doyokijay</v>
      </c>
      <c r="C14239" s="8" t="s">
        <v>3405</v>
      </c>
      <c r="D14239" s="8">
        <v>44</v>
      </c>
      <c r="E14239" s="8">
        <v>0</v>
      </c>
      <c r="F14239" s="8">
        <v>324</v>
      </c>
    </row>
    <row r="14240" spans="1:6" ht="12.75">
      <c r="A14240" s="8">
        <v>43898.42255787037</v>
      </c>
      <c r="B14240" s="8" t="str">
        <f>HYPERLINK("https://twitter.com/afindahere","@afindahere")</f>
        <v>@afindahere</v>
      </c>
      <c r="C14240" s="8" t="s">
        <v>3192</v>
      </c>
      <c r="D14240" s="8">
        <v>15</v>
      </c>
      <c r="E14240" s="8">
        <v>0</v>
      </c>
      <c r="F14240" s="8">
        <v>60</v>
      </c>
    </row>
    <row r="14241" spans="1:6" ht="12.75">
      <c r="A14241" s="8">
        <v>43898.422129629631</v>
      </c>
      <c r="B14241" s="8" t="str">
        <f>HYPERLINK("https://twitter.com/NurHamidaah14","@NurHamidaah14")</f>
        <v>@NurHamidaah14</v>
      </c>
      <c r="C14241" s="8" t="s">
        <v>3265</v>
      </c>
      <c r="D14241" s="8">
        <v>185</v>
      </c>
      <c r="E14241" s="8">
        <v>0</v>
      </c>
      <c r="F14241" s="8">
        <v>275</v>
      </c>
    </row>
    <row r="14242" spans="1:6" ht="12.75">
      <c r="A14242" s="8">
        <v>43898.421932870369</v>
      </c>
      <c r="B14242" s="8" t="str">
        <f>HYPERLINK("https://twitter.com/GusMendem1","@GusMendem1")</f>
        <v>@GusMendem1</v>
      </c>
      <c r="C14242" s="8" t="s">
        <v>5757</v>
      </c>
      <c r="D14242" s="8">
        <v>0</v>
      </c>
      <c r="E14242" s="8">
        <v>0</v>
      </c>
      <c r="F14242" s="8">
        <v>1045</v>
      </c>
    </row>
    <row r="14243" spans="1:6" ht="12.75">
      <c r="A14243" s="8">
        <v>43898.421921296293</v>
      </c>
      <c r="B14243" s="8" t="str">
        <f>HYPERLINK("https://twitter.com/kompascom","@kompascom")</f>
        <v>@kompascom</v>
      </c>
      <c r="C14243" s="8" t="s">
        <v>5758</v>
      </c>
      <c r="D14243" s="8">
        <v>1</v>
      </c>
      <c r="E14243" s="8">
        <v>2</v>
      </c>
      <c r="F14243" s="8">
        <v>7534371</v>
      </c>
    </row>
    <row r="14244" spans="1:6" ht="12.75">
      <c r="A14244" s="8">
        <v>43898.421805555554</v>
      </c>
      <c r="B14244" s="8" t="str">
        <f>HYPERLINK("https://twitter.com/prabu_wa","@prabu_wa")</f>
        <v>@prabu_wa</v>
      </c>
      <c r="C14244" s="8" t="s">
        <v>3192</v>
      </c>
      <c r="D14244" s="8">
        <v>15</v>
      </c>
      <c r="E14244" s="8">
        <v>0</v>
      </c>
      <c r="F14244" s="8">
        <v>438</v>
      </c>
    </row>
    <row r="14245" spans="1:6" ht="12.75">
      <c r="A14245" s="8">
        <v>43898.421805555554</v>
      </c>
      <c r="B14245" s="8" t="str">
        <f>HYPERLINK("https://twitter.com/Fm98Sonora","@Fm98Sonora")</f>
        <v>@Fm98Sonora</v>
      </c>
      <c r="C14245" s="8" t="s">
        <v>5713</v>
      </c>
      <c r="D14245" s="8">
        <v>1</v>
      </c>
      <c r="E14245" s="8">
        <v>0</v>
      </c>
      <c r="F14245" s="8">
        <v>26</v>
      </c>
    </row>
    <row r="14246" spans="1:6" ht="12.75">
      <c r="A14246" s="8">
        <v>43898.421736111108</v>
      </c>
      <c r="B14246" s="8" t="str">
        <f>HYPERLINK("https://twitter.com/ririnags___","@ririnags___")</f>
        <v>@ririnags___</v>
      </c>
      <c r="C14246" s="8" t="s">
        <v>3192</v>
      </c>
      <c r="D14246" s="8">
        <v>15</v>
      </c>
      <c r="E14246" s="8">
        <v>0</v>
      </c>
      <c r="F14246" s="8">
        <v>659</v>
      </c>
    </row>
    <row r="14247" spans="1:6" ht="12.75">
      <c r="A14247" s="8">
        <v>43898.421736111108</v>
      </c>
      <c r="B14247" s="8" t="str">
        <f>HYPERLINK("https://twitter.com/ranggape_","@ranggape_")</f>
        <v>@ranggape_</v>
      </c>
      <c r="C14247" s="8" t="s">
        <v>5759</v>
      </c>
      <c r="D14247" s="8">
        <v>0</v>
      </c>
      <c r="E14247" s="8">
        <v>0</v>
      </c>
      <c r="F14247" s="8">
        <v>4823</v>
      </c>
    </row>
    <row r="14248" spans="1:6" ht="12.75">
      <c r="A14248" s="8">
        <v>43898.421631944446</v>
      </c>
      <c r="B14248" s="8" t="str">
        <f>HYPERLINK("https://twitter.com/Afganigan","@Afganigan")</f>
        <v>@Afganigan</v>
      </c>
      <c r="C14248" s="8" t="s">
        <v>3192</v>
      </c>
      <c r="D14248" s="8">
        <v>15</v>
      </c>
      <c r="E14248" s="8">
        <v>0</v>
      </c>
      <c r="F14248" s="8">
        <v>621</v>
      </c>
    </row>
    <row r="14249" spans="1:6" ht="12.75">
      <c r="A14249" s="8">
        <v>43898.421574074076</v>
      </c>
      <c r="B14249" s="8" t="str">
        <f>HYPERLINK("https://twitter.com/_nice69_","@_nice69_")</f>
        <v>@_nice69_</v>
      </c>
      <c r="C14249" s="8" t="s">
        <v>5760</v>
      </c>
      <c r="D14249" s="8">
        <v>1</v>
      </c>
      <c r="E14249" s="8">
        <v>0</v>
      </c>
      <c r="F14249" s="8">
        <v>116</v>
      </c>
    </row>
    <row r="14250" spans="1:6" ht="12.75">
      <c r="A14250" s="8">
        <v>43898.42150462963</v>
      </c>
      <c r="B14250" s="8" t="str">
        <f>HYPERLINK("https://twitter.com/validnewsco","@validnewsco")</f>
        <v>@validnewsco</v>
      </c>
      <c r="C14250" s="8" t="s">
        <v>5761</v>
      </c>
      <c r="D14250" s="8">
        <v>0</v>
      </c>
      <c r="E14250" s="8">
        <v>1</v>
      </c>
      <c r="F14250" s="8">
        <v>32537</v>
      </c>
    </row>
    <row r="14251" spans="1:6" ht="12.75">
      <c r="A14251" s="8">
        <v>43898.421446759261</v>
      </c>
      <c r="B14251" s="8" t="str">
        <f>HYPERLINK("https://twitter.com/safirasafifra","@safirasafifra")</f>
        <v>@safirasafifra</v>
      </c>
      <c r="C14251" s="8" t="s">
        <v>3265</v>
      </c>
      <c r="D14251" s="8">
        <v>185</v>
      </c>
      <c r="E14251" s="8">
        <v>0</v>
      </c>
      <c r="F14251" s="8">
        <v>38</v>
      </c>
    </row>
    <row r="14252" spans="1:6" ht="12.75">
      <c r="A14252" s="8">
        <v>43898.421400462961</v>
      </c>
      <c r="B14252" s="8" t="str">
        <f>HYPERLINK("https://twitter.com/life_happyk","@life_happyk")</f>
        <v>@life_happyk</v>
      </c>
      <c r="C14252" s="8" t="s">
        <v>3192</v>
      </c>
      <c r="D14252" s="8">
        <v>15</v>
      </c>
      <c r="E14252" s="8">
        <v>0</v>
      </c>
      <c r="F14252" s="8">
        <v>567</v>
      </c>
    </row>
    <row r="14253" spans="1:6" ht="12.75">
      <c r="A14253" s="8">
        <v>43898.421273148153</v>
      </c>
      <c r="B14253" s="8" t="str">
        <f>HYPERLINK("https://twitter.com/lookslina","@lookslina")</f>
        <v>@lookslina</v>
      </c>
      <c r="C14253" s="8" t="s">
        <v>5762</v>
      </c>
      <c r="D14253" s="8">
        <v>1</v>
      </c>
      <c r="E14253" s="8">
        <v>2</v>
      </c>
      <c r="F14253" s="8">
        <v>533</v>
      </c>
    </row>
    <row r="14254" spans="1:6" ht="12.75">
      <c r="A14254" s="8">
        <v>43898.421111111107</v>
      </c>
      <c r="B14254" s="8" t="str">
        <f>HYPERLINK("https://twitter.com/syzcho","@syzcho")</f>
        <v>@syzcho</v>
      </c>
      <c r="C14254" s="8" t="s">
        <v>3192</v>
      </c>
      <c r="D14254" s="8">
        <v>15</v>
      </c>
      <c r="E14254" s="8">
        <v>0</v>
      </c>
      <c r="F14254" s="8">
        <v>372</v>
      </c>
    </row>
    <row r="14255" spans="1:6" ht="12.75">
      <c r="A14255" s="8">
        <v>43898.421041666668</v>
      </c>
      <c r="B14255" s="8" t="str">
        <f>HYPERLINK("https://twitter.com/m_ariefsetiawn","@m_ariefsetiawn")</f>
        <v>@m_ariefsetiawn</v>
      </c>
      <c r="C14255" s="8" t="s">
        <v>5763</v>
      </c>
      <c r="D14255" s="8">
        <v>0</v>
      </c>
      <c r="E14255" s="8">
        <v>0</v>
      </c>
      <c r="F14255" s="8">
        <v>305</v>
      </c>
    </row>
    <row r="14256" spans="1:6" ht="12.75">
      <c r="A14256" s="8">
        <v>43898.421030092592</v>
      </c>
      <c r="B14256" s="8" t="str">
        <f>HYPERLINK("https://twitter.com/TitoJalu","@TitoJalu")</f>
        <v>@TitoJalu</v>
      </c>
      <c r="C14256" s="8" t="s">
        <v>3907</v>
      </c>
      <c r="D14256" s="8">
        <v>1</v>
      </c>
      <c r="E14256" s="8">
        <v>0</v>
      </c>
      <c r="F14256" s="8">
        <v>9047</v>
      </c>
    </row>
    <row r="14257" spans="1:6" ht="12.75">
      <c r="A14257" s="8">
        <v>43898.420891203699</v>
      </c>
      <c r="B14257" s="8" t="str">
        <f>HYPERLINK("https://twitter.com/KompasTV","@KompasTV")</f>
        <v>@KompasTV</v>
      </c>
      <c r="C14257" s="8" t="s">
        <v>5764</v>
      </c>
      <c r="D14257" s="8">
        <v>1</v>
      </c>
      <c r="E14257" s="8">
        <v>1</v>
      </c>
      <c r="F14257" s="8">
        <v>2958851</v>
      </c>
    </row>
    <row r="14258" spans="1:6" ht="12.75">
      <c r="A14258" s="8">
        <v>43898.420682870375</v>
      </c>
      <c r="B14258" s="8" t="str">
        <f>HYPERLINK("https://twitter.com/GusMendem1","@GusMendem1")</f>
        <v>@GusMendem1</v>
      </c>
      <c r="C14258" s="8" t="s">
        <v>5765</v>
      </c>
      <c r="D14258" s="8">
        <v>0</v>
      </c>
      <c r="E14258" s="8">
        <v>0</v>
      </c>
      <c r="F14258" s="8">
        <v>1045</v>
      </c>
    </row>
    <row r="14259" spans="1:6" ht="12.75">
      <c r="A14259" s="8">
        <v>43898.420543981483</v>
      </c>
      <c r="B14259" s="8" t="str">
        <f>HYPERLINK("https://twitter.com/silverwind","@silverwind")</f>
        <v>@silverwind</v>
      </c>
      <c r="C14259" s="8" t="s">
        <v>3192</v>
      </c>
      <c r="D14259" s="8">
        <v>15</v>
      </c>
      <c r="E14259" s="8">
        <v>0</v>
      </c>
      <c r="F14259" s="8">
        <v>1927</v>
      </c>
    </row>
    <row r="14260" spans="1:6" ht="12.75">
      <c r="A14260" s="8">
        <v>43898.420486111107</v>
      </c>
      <c r="B14260" s="8" t="str">
        <f>HYPERLINK("https://twitter.com/AminurasyidR","@AminurasyidR")</f>
        <v>@AminurasyidR</v>
      </c>
      <c r="C14260" s="8" t="s">
        <v>5766</v>
      </c>
      <c r="D14260" s="8">
        <v>0</v>
      </c>
      <c r="E14260" s="8">
        <v>1</v>
      </c>
      <c r="F14260" s="8">
        <v>770</v>
      </c>
    </row>
    <row r="14261" spans="1:6" ht="12.75">
      <c r="A14261" s="8">
        <v>43898.420416666668</v>
      </c>
      <c r="B14261" s="8" t="str">
        <f>HYPERLINK("https://twitter.com/inu_ratih1","@inu_ratih1")</f>
        <v>@inu_ratih1</v>
      </c>
      <c r="C14261" s="8" t="s">
        <v>3265</v>
      </c>
      <c r="D14261" s="8">
        <v>185</v>
      </c>
      <c r="E14261" s="8">
        <v>0</v>
      </c>
      <c r="F14261" s="8">
        <v>107</v>
      </c>
    </row>
    <row r="14262" spans="1:6" ht="12.75">
      <c r="A14262" s="8">
        <v>43898.42019675926</v>
      </c>
      <c r="B14262" s="8" t="str">
        <f>HYPERLINK("https://twitter.com/merdekadotcom","@merdekadotcom")</f>
        <v>@merdekadotcom</v>
      </c>
      <c r="C14262" s="8" t="s">
        <v>5487</v>
      </c>
      <c r="D14262" s="8">
        <v>0</v>
      </c>
      <c r="E14262" s="8">
        <v>0</v>
      </c>
      <c r="F14262" s="8">
        <v>231832</v>
      </c>
    </row>
    <row r="14263" spans="1:6" ht="12.75">
      <c r="A14263" s="8">
        <v>43898.42019675926</v>
      </c>
      <c r="B14263" s="8" t="str">
        <f>HYPERLINK("https://twitter.com/forddyce92","@forddyce92")</f>
        <v>@forddyce92</v>
      </c>
      <c r="C14263" s="8" t="s">
        <v>5767</v>
      </c>
      <c r="D14263" s="8">
        <v>0</v>
      </c>
      <c r="E14263" s="8">
        <v>0</v>
      </c>
      <c r="F14263" s="8">
        <v>27</v>
      </c>
    </row>
    <row r="14264" spans="1:6" ht="12.75">
      <c r="A14264" s="8">
        <v>43898.420034722221</v>
      </c>
      <c r="B14264" s="8" t="str">
        <f>HYPERLINK("https://twitter.com/m_ariefsetiawn","@m_ariefsetiawn")</f>
        <v>@m_ariefsetiawn</v>
      </c>
      <c r="C14264" s="8" t="s">
        <v>5768</v>
      </c>
      <c r="D14264" s="8">
        <v>0</v>
      </c>
      <c r="E14264" s="8">
        <v>0</v>
      </c>
      <c r="F14264" s="8">
        <v>305</v>
      </c>
    </row>
    <row r="14265" spans="1:6" ht="12.75">
      <c r="A14265" s="8">
        <v>43898.419930555552</v>
      </c>
      <c r="B14265" s="8" t="str">
        <f>HYPERLINK("https://twitter.com/ferizandra","@ferizandra")</f>
        <v>@ferizandra</v>
      </c>
      <c r="C14265" s="8" t="s">
        <v>5769</v>
      </c>
      <c r="D14265" s="8">
        <v>1</v>
      </c>
      <c r="E14265" s="8">
        <v>3</v>
      </c>
      <c r="F14265" s="8">
        <v>8150</v>
      </c>
    </row>
    <row r="14266" spans="1:6" ht="12.75">
      <c r="A14266" s="8">
        <v>43898.419918981483</v>
      </c>
      <c r="B14266" s="8" t="str">
        <f>HYPERLINK("https://twitter.com/meaniecas","@meaniecas")</f>
        <v>@meaniecas</v>
      </c>
      <c r="C14266" s="8" t="s">
        <v>3192</v>
      </c>
      <c r="D14266" s="8">
        <v>15</v>
      </c>
      <c r="E14266" s="8">
        <v>0</v>
      </c>
      <c r="F14266" s="8">
        <v>452</v>
      </c>
    </row>
    <row r="14267" spans="1:6" ht="12.75">
      <c r="A14267" s="8">
        <v>43898.419745370367</v>
      </c>
      <c r="B14267" s="8" t="str">
        <f>HYPERLINK("https://twitter.com/AremaNita__","@AremaNita__")</f>
        <v>@AremaNita__</v>
      </c>
      <c r="C14267" s="8" t="s">
        <v>5770</v>
      </c>
      <c r="D14267" s="8">
        <v>1</v>
      </c>
      <c r="E14267" s="8">
        <v>0</v>
      </c>
      <c r="F14267" s="8">
        <v>8423</v>
      </c>
    </row>
    <row r="14268" spans="1:6" ht="12.75">
      <c r="A14268" s="8">
        <v>43898.419629629629</v>
      </c>
      <c r="B14268" s="8" t="str">
        <f>HYPERLINK("https://twitter.com/ardan7779","@ardan7779")</f>
        <v>@ardan7779</v>
      </c>
      <c r="C14268" s="8" t="s">
        <v>5771</v>
      </c>
      <c r="D14268" s="8">
        <v>0</v>
      </c>
      <c r="E14268" s="8">
        <v>1</v>
      </c>
      <c r="F14268" s="8">
        <v>194</v>
      </c>
    </row>
    <row r="14269" spans="1:6" ht="12.75">
      <c r="A14269" s="8">
        <v>43898.419571759259</v>
      </c>
      <c r="B14269" s="8" t="str">
        <f>HYPERLINK("https://twitter.com/Ardie_Boi","@Ardie_Boi")</f>
        <v>@Ardie_Boi</v>
      </c>
      <c r="C14269" s="8" t="s">
        <v>5772</v>
      </c>
      <c r="D14269" s="8">
        <v>0</v>
      </c>
      <c r="E14269" s="8">
        <v>0</v>
      </c>
      <c r="F14269" s="8">
        <v>288</v>
      </c>
    </row>
    <row r="14270" spans="1:6" ht="12.75">
      <c r="A14270" s="8">
        <v>43898.419479166667</v>
      </c>
      <c r="B14270" s="8" t="str">
        <f>HYPERLINK("https://twitter.com/onsrgst","@onsrgst")</f>
        <v>@onsrgst</v>
      </c>
      <c r="C14270" s="8" t="s">
        <v>5773</v>
      </c>
      <c r="D14270" s="8">
        <v>1</v>
      </c>
      <c r="E14270" s="8">
        <v>2</v>
      </c>
      <c r="F14270" s="8">
        <v>107</v>
      </c>
    </row>
    <row r="14271" spans="1:6" ht="12.75">
      <c r="A14271" s="8">
        <v>43898.419456018513</v>
      </c>
      <c r="B14271" s="8" t="str">
        <f>HYPERLINK("https://twitter.com/LazymusPrime","@LazymusPrime")</f>
        <v>@LazymusPrime</v>
      </c>
      <c r="C14271" s="8" t="s">
        <v>5774</v>
      </c>
      <c r="D14271" s="8">
        <v>0</v>
      </c>
      <c r="E14271" s="8">
        <v>0</v>
      </c>
      <c r="F14271" s="8">
        <v>213</v>
      </c>
    </row>
    <row r="14272" spans="1:6" ht="12.75">
      <c r="A14272" s="8">
        <v>43898.419212962966</v>
      </c>
      <c r="B14272" s="8" t="str">
        <f>HYPERLINK("https://twitter.com/Sastroklengsre1","@Sastroklengsre1")</f>
        <v>@Sastroklengsre1</v>
      </c>
      <c r="C14272" s="8" t="s">
        <v>5775</v>
      </c>
      <c r="D14272" s="8">
        <v>2</v>
      </c>
      <c r="E14272" s="8">
        <v>0</v>
      </c>
      <c r="F14272" s="8">
        <v>3005</v>
      </c>
    </row>
    <row r="14273" spans="1:6" ht="12.75">
      <c r="A14273" s="8">
        <v>43898.41878472222</v>
      </c>
      <c r="B14273" s="8" t="str">
        <f>HYPERLINK("https://twitter.com/obsoletecptl","@obsoletecptl")</f>
        <v>@obsoletecptl</v>
      </c>
      <c r="C14273" s="8" t="s">
        <v>3192</v>
      </c>
      <c r="D14273" s="8">
        <v>15</v>
      </c>
      <c r="E14273" s="8">
        <v>0</v>
      </c>
      <c r="F14273" s="8">
        <v>79</v>
      </c>
    </row>
    <row r="14274" spans="1:6" ht="12.75">
      <c r="A14274" s="8">
        <v>43898.418726851851</v>
      </c>
      <c r="B14274" s="8" t="str">
        <f>HYPERLINK("https://twitter.com/meysone","@meysone")</f>
        <v>@meysone</v>
      </c>
      <c r="C14274" s="8" t="s">
        <v>3192</v>
      </c>
      <c r="D14274" s="8">
        <v>15</v>
      </c>
      <c r="E14274" s="8">
        <v>0</v>
      </c>
      <c r="F14274" s="8">
        <v>415</v>
      </c>
    </row>
    <row r="14275" spans="1:6" ht="12.75">
      <c r="A14275" s="8">
        <v>43898.418715277774</v>
      </c>
      <c r="B14275" s="8" t="str">
        <f>HYPERLINK("https://twitter.com/SCISTORE_M2M","@SCISTORE_M2M")</f>
        <v>@SCISTORE_M2M</v>
      </c>
      <c r="C14275" s="8" t="s">
        <v>5080</v>
      </c>
      <c r="D14275" s="8">
        <v>113</v>
      </c>
      <c r="E14275" s="8">
        <v>0</v>
      </c>
      <c r="F14275" s="8">
        <v>733</v>
      </c>
    </row>
    <row r="14276" spans="1:6" ht="12.75">
      <c r="A14276" s="8">
        <v>43898.418645833328</v>
      </c>
      <c r="B14276" s="8" t="str">
        <f>HYPERLINK("https://twitter.com/Shelspook","@Shelspook")</f>
        <v>@Shelspook</v>
      </c>
      <c r="C14276" s="8" t="s">
        <v>3192</v>
      </c>
      <c r="D14276" s="8">
        <v>15</v>
      </c>
      <c r="E14276" s="8">
        <v>0</v>
      </c>
      <c r="F14276" s="8">
        <v>702</v>
      </c>
    </row>
    <row r="14277" spans="1:6" ht="12.75">
      <c r="A14277" s="8">
        <v>43898.418622685189</v>
      </c>
      <c r="B14277" s="8" t="str">
        <f>HYPERLINK("https://twitter.com/KabarMiddleEast","@KabarMiddleEast")</f>
        <v>@KabarMiddleEast</v>
      </c>
      <c r="C14277" s="8" t="s">
        <v>5776</v>
      </c>
      <c r="D14277" s="8">
        <v>0</v>
      </c>
      <c r="E14277" s="8">
        <v>0</v>
      </c>
      <c r="F14277" s="8">
        <v>6452</v>
      </c>
    </row>
    <row r="14278" spans="1:6" ht="12.75">
      <c r="A14278" s="8">
        <v>43898.418460648143</v>
      </c>
      <c r="B14278" s="8" t="str">
        <f>HYPERLINK("https://twitter.com/SantiLim14","@SantiLim14")</f>
        <v>@SantiLim14</v>
      </c>
      <c r="C14278" s="8" t="s">
        <v>3405</v>
      </c>
      <c r="D14278" s="8">
        <v>44</v>
      </c>
      <c r="E14278" s="8">
        <v>0</v>
      </c>
      <c r="F14278" s="8">
        <v>4158</v>
      </c>
    </row>
    <row r="14279" spans="1:6" ht="12.75">
      <c r="A14279" s="8">
        <v>43898.418113425927</v>
      </c>
      <c r="B14279" s="8" t="str">
        <f>HYPERLINK("https://twitter.com/R4CHM4_2103","@R4CHM4_2103")</f>
        <v>@R4CHM4_2103</v>
      </c>
      <c r="C14279" s="8" t="s">
        <v>3743</v>
      </c>
      <c r="D14279" s="8">
        <v>706</v>
      </c>
      <c r="E14279" s="8">
        <v>0</v>
      </c>
      <c r="F14279" s="8">
        <v>785</v>
      </c>
    </row>
    <row r="14280" spans="1:6" ht="12.75">
      <c r="A14280" s="8">
        <v>43898.417997685188</v>
      </c>
      <c r="B14280" s="8" t="str">
        <f>HYPERLINK("https://twitter.com/kalong9669","@kalong9669")</f>
        <v>@kalong9669</v>
      </c>
      <c r="C14280" s="8" t="s">
        <v>5777</v>
      </c>
      <c r="D14280" s="8">
        <v>0</v>
      </c>
      <c r="E14280" s="8">
        <v>0</v>
      </c>
      <c r="F14280" s="8">
        <v>381</v>
      </c>
    </row>
    <row r="14281" spans="1:6" ht="12.75">
      <c r="A14281" s="8">
        <v>43898.417465277773</v>
      </c>
      <c r="B14281" s="8" t="str">
        <f>HYPERLINK("https://twitter.com/ArSunantoaris","@ArSunantoaris")</f>
        <v>@ArSunantoaris</v>
      </c>
      <c r="C14281" s="8" t="s">
        <v>5778</v>
      </c>
      <c r="D14281" s="8">
        <v>10</v>
      </c>
      <c r="E14281" s="8">
        <v>0</v>
      </c>
      <c r="F14281" s="8">
        <v>3793</v>
      </c>
    </row>
    <row r="14282" spans="1:6" ht="12.75">
      <c r="A14282" s="8">
        <v>43898.417141203703</v>
      </c>
      <c r="B14282" s="8" t="str">
        <f>HYPERLINK("https://twitter.com/liranti","@liranti")</f>
        <v>@liranti</v>
      </c>
      <c r="C14282" s="8" t="s">
        <v>3192</v>
      </c>
      <c r="D14282" s="8">
        <v>15</v>
      </c>
      <c r="E14282" s="8">
        <v>0</v>
      </c>
      <c r="F14282" s="8">
        <v>531</v>
      </c>
    </row>
    <row r="14283" spans="1:6" ht="12.75">
      <c r="A14283" s="8">
        <v>43898.416666666672</v>
      </c>
      <c r="B14283" s="8" t="str">
        <f>HYPERLINK("https://twitter.com/TirtoID","@TirtoID")</f>
        <v>@TirtoID</v>
      </c>
      <c r="C14283" s="8" t="s">
        <v>5779</v>
      </c>
      <c r="D14283" s="8">
        <v>15</v>
      </c>
      <c r="E14283" s="8">
        <v>32</v>
      </c>
      <c r="F14283" s="8">
        <v>495130</v>
      </c>
    </row>
    <row r="14284" spans="1:6" ht="12.75">
      <c r="A14284" s="8">
        <v>43898.416076388894</v>
      </c>
      <c r="B14284" s="8" t="str">
        <f>HYPERLINK("https://twitter.com/DennyLawyer6970","@DennyLawyer6970")</f>
        <v>@DennyLawyer6970</v>
      </c>
      <c r="C14284" s="8" t="s">
        <v>5780</v>
      </c>
      <c r="D14284" s="8">
        <v>3</v>
      </c>
      <c r="E14284" s="8">
        <v>0</v>
      </c>
      <c r="F14284" s="8">
        <v>1083</v>
      </c>
    </row>
    <row r="14285" spans="1:6" ht="12.75">
      <c r="A14285" s="8">
        <v>43898.415960648148</v>
      </c>
      <c r="B14285" s="8" t="str">
        <f>HYPERLINK("https://twitter.com/P_ysf","@P_ysf")</f>
        <v>@P_ysf</v>
      </c>
      <c r="C14285" s="8" t="s">
        <v>5781</v>
      </c>
      <c r="D14285" s="8">
        <v>0</v>
      </c>
      <c r="E14285" s="8">
        <v>0</v>
      </c>
      <c r="F14285" s="8">
        <v>508</v>
      </c>
    </row>
    <row r="14286" spans="1:6" ht="12.75">
      <c r="A14286" s="8">
        <v>43898.415752314817</v>
      </c>
      <c r="B14286" s="8" t="str">
        <f>HYPERLINK("https://twitter.com/RiriYuniarsih","@RiriYuniarsih")</f>
        <v>@RiriYuniarsih</v>
      </c>
      <c r="C14286" s="8" t="s">
        <v>3265</v>
      </c>
      <c r="D14286" s="8">
        <v>185</v>
      </c>
      <c r="E14286" s="8">
        <v>0</v>
      </c>
      <c r="F14286" s="8">
        <v>13</v>
      </c>
    </row>
    <row r="14287" spans="1:6" ht="12.75">
      <c r="A14287" s="8">
        <v>43898.415682870371</v>
      </c>
      <c r="B14287" s="8" t="str">
        <f>HYPERLINK("https://twitter.com/AremaNita__","@AremaNita__")</f>
        <v>@AremaNita__</v>
      </c>
      <c r="C14287" s="8" t="s">
        <v>5782</v>
      </c>
      <c r="D14287" s="8">
        <v>2</v>
      </c>
      <c r="E14287" s="8">
        <v>0</v>
      </c>
      <c r="F14287" s="8">
        <v>8423</v>
      </c>
    </row>
    <row r="14288" spans="1:6" ht="12.75">
      <c r="A14288" s="8">
        <v>43898.415659722217</v>
      </c>
      <c r="B14288" s="8" t="str">
        <f>HYPERLINK("https://twitter.com/sinau_politik","@sinau_politik")</f>
        <v>@sinau_politik</v>
      </c>
      <c r="C14288" s="8" t="s">
        <v>5783</v>
      </c>
      <c r="D14288" s="8">
        <v>0</v>
      </c>
      <c r="E14288" s="8">
        <v>0</v>
      </c>
      <c r="F14288" s="8">
        <v>8</v>
      </c>
    </row>
    <row r="14289" spans="1:6" ht="12.75">
      <c r="A14289" s="8">
        <v>43898.415567129632</v>
      </c>
      <c r="B14289" s="8" t="str">
        <f>HYPERLINK("https://twitter.com/rizahariati","@rizahariati")</f>
        <v>@rizahariati</v>
      </c>
      <c r="C14289" s="8" t="s">
        <v>5784</v>
      </c>
      <c r="D14289" s="8">
        <v>0</v>
      </c>
      <c r="E14289" s="8">
        <v>0</v>
      </c>
      <c r="F14289" s="8">
        <v>871</v>
      </c>
    </row>
    <row r="14290" spans="1:6" ht="12.75">
      <c r="A14290" s="8">
        <v>43898.415358796294</v>
      </c>
      <c r="B14290" s="8" t="str">
        <f>HYPERLINK("https://twitter.com/LovelySinaga79","@LovelySinaga79")</f>
        <v>@LovelySinaga79</v>
      </c>
      <c r="C14290" s="8" t="s">
        <v>5785</v>
      </c>
      <c r="D14290" s="8">
        <v>0</v>
      </c>
      <c r="E14290" s="8">
        <v>0</v>
      </c>
      <c r="F14290" s="8">
        <v>304</v>
      </c>
    </row>
    <row r="14291" spans="1:6" ht="12.75">
      <c r="A14291" s="8">
        <v>43898.414085648154</v>
      </c>
      <c r="B14291" s="8" t="str">
        <f>HYPERLINK("https://twitter.com/RyoFahri","@RyoFahri")</f>
        <v>@RyoFahri</v>
      </c>
      <c r="C14291" s="8" t="s">
        <v>5786</v>
      </c>
      <c r="D14291" s="8">
        <v>0</v>
      </c>
      <c r="E14291" s="8">
        <v>0</v>
      </c>
      <c r="F14291" s="8">
        <v>183</v>
      </c>
    </row>
    <row r="14292" spans="1:6" ht="12.75">
      <c r="A14292" s="8">
        <v>43898.414027777777</v>
      </c>
      <c r="B14292" s="8" t="str">
        <f>HYPERLINK("https://twitter.com/SanjaniSandi","@SanjaniSandi")</f>
        <v>@SanjaniSandi</v>
      </c>
      <c r="C14292" s="8" t="s">
        <v>5787</v>
      </c>
      <c r="D14292" s="8">
        <v>0</v>
      </c>
      <c r="E14292" s="8">
        <v>0</v>
      </c>
      <c r="F14292" s="8">
        <v>16</v>
      </c>
    </row>
    <row r="14293" spans="1:6" ht="12.75">
      <c r="A14293" s="8">
        <v>43898.413437499999</v>
      </c>
      <c r="B14293" s="8" t="str">
        <f>HYPERLINK("https://twitter.com/Masibnoe_ID","@Masibnoe_ID")</f>
        <v>@Masibnoe_ID</v>
      </c>
      <c r="C14293" s="8" t="s">
        <v>5644</v>
      </c>
      <c r="D14293" s="8">
        <v>0</v>
      </c>
      <c r="E14293" s="8">
        <v>0</v>
      </c>
      <c r="F14293" s="8">
        <v>66</v>
      </c>
    </row>
    <row r="14294" spans="1:6" ht="12.75">
      <c r="A14294" s="8">
        <v>43898.413321759261</v>
      </c>
      <c r="B14294" s="8" t="str">
        <f>HYPERLINK("https://twitter.com/grrrrrald","@grrrrrald")</f>
        <v>@grrrrrald</v>
      </c>
      <c r="C14294" s="8" t="s">
        <v>3978</v>
      </c>
      <c r="D14294" s="8">
        <v>36</v>
      </c>
      <c r="E14294" s="8">
        <v>0</v>
      </c>
      <c r="F14294" s="8">
        <v>632</v>
      </c>
    </row>
    <row r="14295" spans="1:6" ht="12.75">
      <c r="A14295" s="8">
        <v>43898.413148148145</v>
      </c>
      <c r="B14295" s="8" t="str">
        <f>HYPERLINK("https://twitter.com/Bentalakelam","@Bentalakelam")</f>
        <v>@Bentalakelam</v>
      </c>
      <c r="C14295" s="8" t="s">
        <v>5788</v>
      </c>
      <c r="D14295" s="8">
        <v>0</v>
      </c>
      <c r="E14295" s="8">
        <v>0</v>
      </c>
      <c r="F14295" s="8">
        <v>2495</v>
      </c>
    </row>
    <row r="14296" spans="1:6" ht="12.75">
      <c r="A14296" s="8">
        <v>43898.413032407407</v>
      </c>
      <c r="B14296" s="8" t="str">
        <f>HYPERLINK("https://twitter.com/ImeldaTheQueen","@ImeldaTheQueen")</f>
        <v>@ImeldaTheQueen</v>
      </c>
      <c r="C14296" s="8" t="s">
        <v>3213</v>
      </c>
      <c r="D14296" s="8">
        <v>337</v>
      </c>
      <c r="E14296" s="8">
        <v>0</v>
      </c>
      <c r="F14296" s="8">
        <v>389</v>
      </c>
    </row>
    <row r="14297" spans="1:6" ht="12.75">
      <c r="A14297" s="8">
        <v>43898.412291666667</v>
      </c>
      <c r="B14297" s="8" t="str">
        <f>HYPERLINK("https://twitter.com/BdyNusantara","@BdyNusantara")</f>
        <v>@BdyNusantara</v>
      </c>
      <c r="C14297" s="8" t="s">
        <v>5789</v>
      </c>
      <c r="D14297" s="8">
        <v>1</v>
      </c>
      <c r="E14297" s="8">
        <v>0</v>
      </c>
      <c r="F14297" s="8">
        <v>119</v>
      </c>
    </row>
    <row r="14298" spans="1:6" ht="12.75">
      <c r="A14298" s="8">
        <v>43898.412256944444</v>
      </c>
      <c r="B14298" s="8" t="str">
        <f>HYPERLINK("https://twitter.com/erawin","@erawin")</f>
        <v>@erawin</v>
      </c>
      <c r="C14298" s="8" t="s">
        <v>5790</v>
      </c>
      <c r="D14298" s="8">
        <v>3</v>
      </c>
      <c r="E14298" s="8">
        <v>0</v>
      </c>
      <c r="F14298" s="8">
        <v>856</v>
      </c>
    </row>
    <row r="14299" spans="1:6" ht="12.75">
      <c r="A14299" s="8">
        <v>43898.412187499998</v>
      </c>
      <c r="B14299" s="8" t="str">
        <f>HYPERLINK("https://twitter.com/BdyNusantara","@BdyNusantara")</f>
        <v>@BdyNusantara</v>
      </c>
      <c r="C14299" s="8" t="s">
        <v>5782</v>
      </c>
      <c r="D14299" s="8">
        <v>2</v>
      </c>
      <c r="E14299" s="8">
        <v>0</v>
      </c>
      <c r="F14299" s="8">
        <v>119</v>
      </c>
    </row>
    <row r="14300" spans="1:6" ht="12.75">
      <c r="A14300" s="8">
        <v>43898.412106481483</v>
      </c>
      <c r="B14300" s="8" t="str">
        <f>HYPERLINK("https://twitter.com/Abdulla39860063","@Abdulla39860063")</f>
        <v>@Abdulla39860063</v>
      </c>
      <c r="C14300" s="8" t="s">
        <v>5156</v>
      </c>
      <c r="D14300" s="8">
        <v>4</v>
      </c>
      <c r="E14300" s="8">
        <v>0</v>
      </c>
      <c r="F14300" s="8">
        <v>31</v>
      </c>
    </row>
    <row r="14301" spans="1:6" ht="12.75">
      <c r="A14301" s="8">
        <v>43898.412048611106</v>
      </c>
      <c r="B14301" s="8" t="str">
        <f>HYPERLINK("https://twitter.com/dimashub2","@dimashub2")</f>
        <v>@dimashub2</v>
      </c>
      <c r="C14301" s="8" t="s">
        <v>5791</v>
      </c>
      <c r="D14301" s="8">
        <v>0</v>
      </c>
      <c r="E14301" s="8">
        <v>0</v>
      </c>
      <c r="F14301" s="8">
        <v>1029</v>
      </c>
    </row>
    <row r="14302" spans="1:6" ht="12.75">
      <c r="A14302" s="8">
        <v>43898.411597222221</v>
      </c>
      <c r="B14302" s="8" t="str">
        <f>HYPERLINK("https://twitter.com/JabreakYudha","@JabreakYudha")</f>
        <v>@JabreakYudha</v>
      </c>
      <c r="C14302" s="8" t="s">
        <v>3265</v>
      </c>
      <c r="D14302" s="8">
        <v>185</v>
      </c>
      <c r="E14302" s="8">
        <v>0</v>
      </c>
      <c r="F14302" s="8">
        <v>1764</v>
      </c>
    </row>
    <row r="14303" spans="1:6" ht="12.75">
      <c r="A14303" s="8">
        <v>43898.41133101852</v>
      </c>
      <c r="B14303" s="8" t="str">
        <f>HYPERLINK("https://twitter.com/edwardyouth","@edwardyouth")</f>
        <v>@edwardyouth</v>
      </c>
      <c r="C14303" s="8" t="s">
        <v>5080</v>
      </c>
      <c r="D14303" s="8">
        <v>113</v>
      </c>
      <c r="E14303" s="8">
        <v>0</v>
      </c>
      <c r="F14303" s="8">
        <v>315</v>
      </c>
    </row>
    <row r="14304" spans="1:6" ht="12.75">
      <c r="A14304" s="8">
        <v>43898.41128472222</v>
      </c>
      <c r="B14304" s="8" t="str">
        <f>HYPERLINK("https://twitter.com/XFcFendi","@XFcFendi")</f>
        <v>@XFcFendi</v>
      </c>
      <c r="C14304" s="8" t="s">
        <v>5792</v>
      </c>
      <c r="D14304" s="8">
        <v>5</v>
      </c>
      <c r="E14304" s="8">
        <v>0</v>
      </c>
      <c r="F14304" s="8">
        <v>186</v>
      </c>
    </row>
    <row r="14305" spans="1:6" ht="12.75">
      <c r="A14305" s="8">
        <v>43898.41097222222</v>
      </c>
      <c r="B14305" s="8" t="str">
        <f>HYPERLINK("https://twitter.com/amyvoncroatia","@amyvoncroatia")</f>
        <v>@amyvoncroatia</v>
      </c>
      <c r="C14305" s="8" t="s">
        <v>5793</v>
      </c>
      <c r="D14305" s="8">
        <v>0</v>
      </c>
      <c r="E14305" s="8">
        <v>0</v>
      </c>
      <c r="F14305" s="8">
        <v>85</v>
      </c>
    </row>
    <row r="14306" spans="1:6" ht="12.75">
      <c r="A14306" s="8">
        <v>43898.410601851851</v>
      </c>
      <c r="B14306" s="8" t="str">
        <f>HYPERLINK("https://twitter.com/PenyairRadikal","@PenyairRadikal")</f>
        <v>@PenyairRadikal</v>
      </c>
      <c r="C14306" s="8" t="s">
        <v>3265</v>
      </c>
      <c r="D14306" s="8">
        <v>185</v>
      </c>
      <c r="E14306" s="8">
        <v>0</v>
      </c>
      <c r="F14306" s="8">
        <v>125</v>
      </c>
    </row>
    <row r="14307" spans="1:6" ht="12.75">
      <c r="A14307" s="8">
        <v>43898.410520833335</v>
      </c>
      <c r="B14307" s="8" t="str">
        <f>HYPERLINK("https://twitter.com/csyawoodz","@csyawoodz")</f>
        <v>@csyawoodz</v>
      </c>
      <c r="C14307" s="8" t="s">
        <v>5794</v>
      </c>
      <c r="D14307" s="8">
        <v>0</v>
      </c>
      <c r="E14307" s="8">
        <v>0</v>
      </c>
      <c r="F14307" s="8">
        <v>213</v>
      </c>
    </row>
    <row r="14308" spans="1:6" ht="12.75">
      <c r="A14308" s="8">
        <v>43898.410324074073</v>
      </c>
      <c r="B14308" s="8" t="str">
        <f>HYPERLINK("https://twitter.com/_nice69_","@_nice69_")</f>
        <v>@_nice69_</v>
      </c>
      <c r="C14308" s="8" t="s">
        <v>5795</v>
      </c>
      <c r="D14308" s="8">
        <v>2</v>
      </c>
      <c r="E14308" s="8">
        <v>2</v>
      </c>
      <c r="F14308" s="8">
        <v>116</v>
      </c>
    </row>
    <row r="14309" spans="1:6" ht="12.75">
      <c r="A14309" s="8">
        <v>43898.41006944445</v>
      </c>
      <c r="B14309" s="8" t="str">
        <f>HYPERLINK("https://twitter.com/LudiroMadu","@LudiroMadu")</f>
        <v>@LudiroMadu</v>
      </c>
      <c r="C14309" s="8" t="s">
        <v>1399</v>
      </c>
      <c r="D14309" s="8">
        <v>19</v>
      </c>
      <c r="E14309" s="8">
        <v>0</v>
      </c>
      <c r="F14309" s="8">
        <v>584</v>
      </c>
    </row>
    <row r="14310" spans="1:6" ht="12.75">
      <c r="A14310" s="8">
        <v>43898.409745370373</v>
      </c>
      <c r="B14310" s="8" t="str">
        <f>HYPERLINK("https://twitter.com/alineadotid","@alineadotid")</f>
        <v>@alineadotid</v>
      </c>
      <c r="C14310" s="8" t="s">
        <v>5796</v>
      </c>
      <c r="D14310" s="8">
        <v>0</v>
      </c>
      <c r="E14310" s="8">
        <v>0</v>
      </c>
      <c r="F14310" s="8">
        <v>611556</v>
      </c>
    </row>
    <row r="14311" spans="1:6" ht="12.75">
      <c r="A14311" s="8">
        <v>43898.409363425926</v>
      </c>
      <c r="B14311" s="8" t="str">
        <f>HYPERLINK("https://twitter.com/robiharyadi86","@robiharyadi86")</f>
        <v>@robiharyadi86</v>
      </c>
      <c r="C14311" s="8" t="s">
        <v>3265</v>
      </c>
      <c r="D14311" s="8">
        <v>185</v>
      </c>
      <c r="E14311" s="8">
        <v>0</v>
      </c>
      <c r="F14311" s="8">
        <v>113</v>
      </c>
    </row>
    <row r="14312" spans="1:6" ht="12.75">
      <c r="A14312" s="8">
        <v>43898.408437499995</v>
      </c>
      <c r="B14312" s="8" t="str">
        <f>HYPERLINK("https://twitter.com/Lucky_HS","@Lucky_HS")</f>
        <v>@Lucky_HS</v>
      </c>
      <c r="C14312" s="8" t="s">
        <v>5217</v>
      </c>
      <c r="D14312" s="8">
        <v>3</v>
      </c>
      <c r="E14312" s="8">
        <v>0</v>
      </c>
      <c r="F14312" s="8">
        <v>7157</v>
      </c>
    </row>
    <row r="14313" spans="1:6" ht="12.75">
      <c r="A14313" s="8">
        <v>43898.406377314815</v>
      </c>
      <c r="B14313" s="8" t="str">
        <f>HYPERLINK("https://twitter.com/adit_georgie","@adit_georgie")</f>
        <v>@adit_georgie</v>
      </c>
      <c r="C14313" s="8" t="s">
        <v>5080</v>
      </c>
      <c r="D14313" s="8">
        <v>113</v>
      </c>
      <c r="E14313" s="8">
        <v>0</v>
      </c>
      <c r="F14313" s="8">
        <v>549</v>
      </c>
    </row>
    <row r="14314" spans="1:6" ht="12.75">
      <c r="A14314" s="8">
        <v>43898.406180555554</v>
      </c>
      <c r="B14314" s="8" t="str">
        <f>HYPERLINK("https://twitter.com/MrIdiotID","@MrIdiotID")</f>
        <v>@MrIdiotID</v>
      </c>
      <c r="C14314" s="8" t="s">
        <v>5747</v>
      </c>
      <c r="D14314" s="8">
        <v>5</v>
      </c>
      <c r="E14314" s="8">
        <v>0</v>
      </c>
      <c r="F14314" s="8">
        <v>627</v>
      </c>
    </row>
    <row r="14315" spans="1:6" ht="12.75">
      <c r="A14315" s="8">
        <v>43898.406157407408</v>
      </c>
      <c r="B14315" s="8" t="str">
        <f>HYPERLINK("https://twitter.com/onsrgst","@onsrgst")</f>
        <v>@onsrgst</v>
      </c>
      <c r="C14315" s="8" t="s">
        <v>5797</v>
      </c>
      <c r="D14315" s="8">
        <v>1</v>
      </c>
      <c r="E14315" s="8">
        <v>3</v>
      </c>
      <c r="F14315" s="8">
        <v>107</v>
      </c>
    </row>
    <row r="14316" spans="1:6" ht="12.75">
      <c r="A14316" s="8">
        <v>43898.406111111108</v>
      </c>
      <c r="B14316" s="8" t="str">
        <f>HYPERLINK("https://twitter.com/BwoJko","@BwoJko")</f>
        <v>@BwoJko</v>
      </c>
      <c r="C14316" s="8" t="s">
        <v>5080</v>
      </c>
      <c r="D14316" s="8">
        <v>113</v>
      </c>
      <c r="E14316" s="8">
        <v>0</v>
      </c>
      <c r="F14316" s="8">
        <v>993</v>
      </c>
    </row>
    <row r="14317" spans="1:6" ht="12.75">
      <c r="A14317" s="8">
        <v>43898.405960648146</v>
      </c>
      <c r="B14317" s="8" t="str">
        <f>HYPERLINK("https://twitter.com/New_BUFFETT","@New_BUFFETT")</f>
        <v>@New_BUFFETT</v>
      </c>
      <c r="C14317" s="8" t="s">
        <v>5798</v>
      </c>
      <c r="D14317" s="8">
        <v>0</v>
      </c>
      <c r="E14317" s="8">
        <v>0</v>
      </c>
      <c r="F14317" s="8">
        <v>110</v>
      </c>
    </row>
    <row r="14318" spans="1:6" ht="12.75">
      <c r="A14318" s="8">
        <v>43898.405636574069</v>
      </c>
      <c r="B14318" s="8" t="str">
        <f>HYPERLINK("https://twitter.com/wendysa85396804","@wendysa85396804")</f>
        <v>@wendysa85396804</v>
      </c>
      <c r="C14318" s="8" t="s">
        <v>5792</v>
      </c>
      <c r="D14318" s="8">
        <v>5</v>
      </c>
      <c r="E14318" s="8">
        <v>0</v>
      </c>
      <c r="F14318" s="8">
        <v>440</v>
      </c>
    </row>
    <row r="14319" spans="1:6" ht="12.75">
      <c r="A14319" s="8">
        <v>43898.405601851853</v>
      </c>
      <c r="B14319" s="8" t="str">
        <f>HYPERLINK("https://twitter.com/LangitnyaCerah","@LangitnyaCerah")</f>
        <v>@LangitnyaCerah</v>
      </c>
      <c r="C14319" s="8" t="s">
        <v>5747</v>
      </c>
      <c r="D14319" s="8">
        <v>5</v>
      </c>
      <c r="E14319" s="8">
        <v>0</v>
      </c>
      <c r="F14319" s="8">
        <v>4481</v>
      </c>
    </row>
    <row r="14320" spans="1:6" ht="12.75">
      <c r="A14320" s="8">
        <v>43898.405358796299</v>
      </c>
      <c r="B14320" s="8" t="str">
        <f>HYPERLINK("https://twitter.com/jokoselong","@jokoselong")</f>
        <v>@jokoselong</v>
      </c>
      <c r="C14320" s="8" t="s">
        <v>5792</v>
      </c>
      <c r="D14320" s="8">
        <v>5</v>
      </c>
      <c r="E14320" s="8">
        <v>0</v>
      </c>
      <c r="F14320" s="8">
        <v>1769</v>
      </c>
    </row>
    <row r="14321" spans="1:6" ht="12.75">
      <c r="A14321" s="8">
        <v>43898.405034722222</v>
      </c>
      <c r="B14321" s="8" t="str">
        <f>HYPERLINK("https://twitter.com/comsenta","@comsenta")</f>
        <v>@comsenta</v>
      </c>
      <c r="C14321" s="8" t="s">
        <v>5799</v>
      </c>
      <c r="D14321" s="8">
        <v>7</v>
      </c>
      <c r="E14321" s="8">
        <v>0</v>
      </c>
      <c r="F14321" s="8">
        <v>605</v>
      </c>
    </row>
    <row r="14322" spans="1:6" ht="12.75">
      <c r="A14322" s="8">
        <v>43898.404872685191</v>
      </c>
      <c r="B14322" s="8" t="str">
        <f>HYPERLINK("https://twitter.com/1MenujuDamai","@1MenujuDamai")</f>
        <v>@1MenujuDamai</v>
      </c>
      <c r="C14322" s="8" t="s">
        <v>5092</v>
      </c>
      <c r="D14322" s="8">
        <v>2</v>
      </c>
      <c r="E14322" s="8">
        <v>0</v>
      </c>
      <c r="F14322" s="8">
        <v>2563</v>
      </c>
    </row>
    <row r="14323" spans="1:6" ht="12.75">
      <c r="A14323" s="8">
        <v>43898.404699074075</v>
      </c>
      <c r="B14323" s="8" t="str">
        <f>HYPERLINK("https://twitter.com/zhu_dave","@zhu_dave")</f>
        <v>@zhu_dave</v>
      </c>
      <c r="C14323" s="8" t="s">
        <v>5800</v>
      </c>
      <c r="D14323" s="8">
        <v>3</v>
      </c>
      <c r="E14323" s="8">
        <v>3</v>
      </c>
      <c r="F14323" s="8">
        <v>1589</v>
      </c>
    </row>
    <row r="14324" spans="1:6" ht="12.75">
      <c r="A14324" s="8">
        <v>43898.404699074075</v>
      </c>
      <c r="B14324" s="8" t="str">
        <f>HYPERLINK("https://twitter.com/sasboy86","@sasboy86")</f>
        <v>@sasboy86</v>
      </c>
      <c r="C14324" s="8" t="s">
        <v>3265</v>
      </c>
      <c r="D14324" s="8">
        <v>185</v>
      </c>
      <c r="E14324" s="8">
        <v>0</v>
      </c>
      <c r="F14324" s="8">
        <v>194</v>
      </c>
    </row>
    <row r="14325" spans="1:6" ht="12.75">
      <c r="A14325" s="8">
        <v>43898.404652777783</v>
      </c>
      <c r="B14325" s="8" t="str">
        <f t="shared" ref="B14325:B14326" si="213">HYPERLINK("https://twitter.com/bangdedds","@bangdedds")</f>
        <v>@bangdedds</v>
      </c>
      <c r="C14325" s="8" t="s">
        <v>5801</v>
      </c>
      <c r="D14325" s="8">
        <v>1</v>
      </c>
      <c r="E14325" s="8">
        <v>0</v>
      </c>
      <c r="F14325" s="8">
        <v>216</v>
      </c>
    </row>
    <row r="14326" spans="1:6" ht="12.75">
      <c r="A14326" s="8">
        <v>43898.40425925926</v>
      </c>
      <c r="B14326" s="8" t="str">
        <f t="shared" si="213"/>
        <v>@bangdedds</v>
      </c>
      <c r="C14326" s="8" t="s">
        <v>5802</v>
      </c>
      <c r="D14326" s="8">
        <v>4</v>
      </c>
      <c r="E14326" s="8">
        <v>0</v>
      </c>
      <c r="F14326" s="8">
        <v>216</v>
      </c>
    </row>
    <row r="14327" spans="1:6" ht="12.75">
      <c r="A14327" s="8">
        <v>43898.404085648144</v>
      </c>
      <c r="B14327" s="8" t="str">
        <f>HYPERLINK("https://twitter.com/CiciRusbandi","@CiciRusbandi")</f>
        <v>@CiciRusbandi</v>
      </c>
      <c r="C14327" s="8" t="s">
        <v>5803</v>
      </c>
      <c r="D14327" s="8">
        <v>174</v>
      </c>
      <c r="E14327" s="8">
        <v>0</v>
      </c>
      <c r="F14327" s="8">
        <v>350</v>
      </c>
    </row>
    <row r="14328" spans="1:6" ht="12.75">
      <c r="A14328" s="8">
        <v>43898.403831018513</v>
      </c>
      <c r="B14328" s="8" t="str">
        <f>HYPERLINK("https://twitter.com/TheArieAir","@TheArieAir")</f>
        <v>@TheArieAir</v>
      </c>
      <c r="C14328" s="8" t="s">
        <v>5747</v>
      </c>
      <c r="D14328" s="8">
        <v>5</v>
      </c>
      <c r="E14328" s="8">
        <v>0</v>
      </c>
      <c r="F14328" s="8">
        <v>88719</v>
      </c>
    </row>
    <row r="14329" spans="1:6" ht="12.75">
      <c r="A14329" s="8">
        <v>43898.403761574074</v>
      </c>
      <c r="B14329" s="8" t="str">
        <f>HYPERLINK("https://twitter.com/afrizal_izra","@afrizal_izra")</f>
        <v>@afrizal_izra</v>
      </c>
      <c r="C14329" s="8" t="s">
        <v>5747</v>
      </c>
      <c r="D14329" s="8">
        <v>5</v>
      </c>
      <c r="E14329" s="8">
        <v>0</v>
      </c>
      <c r="F14329" s="8">
        <v>1131</v>
      </c>
    </row>
    <row r="14330" spans="1:6" ht="12.75">
      <c r="A14330" s="8">
        <v>43898.403738425928</v>
      </c>
      <c r="B14330" s="8" t="str">
        <f>HYPERLINK("https://twitter.com/AgungSeetiawann","@AgungSeetiawann")</f>
        <v>@AgungSeetiawann</v>
      </c>
      <c r="C14330" s="8" t="s">
        <v>5747</v>
      </c>
      <c r="D14330" s="8">
        <v>5</v>
      </c>
      <c r="E14330" s="8">
        <v>0</v>
      </c>
      <c r="F14330" s="8">
        <v>3446</v>
      </c>
    </row>
    <row r="14331" spans="1:6" ht="12.75">
      <c r="A14331" s="8">
        <v>43898.403402777782</v>
      </c>
      <c r="B14331" s="8" t="str">
        <f>HYPERLINK("https://twitter.com/Yeyen41020695","@Yeyen41020695")</f>
        <v>@Yeyen41020695</v>
      </c>
      <c r="C14331" s="8" t="s">
        <v>5804</v>
      </c>
      <c r="D14331" s="8">
        <v>5</v>
      </c>
      <c r="E14331" s="8">
        <v>7</v>
      </c>
      <c r="F14331" s="8">
        <v>1988</v>
      </c>
    </row>
    <row r="14332" spans="1:6" ht="12.75">
      <c r="A14332" s="8">
        <v>43898.403287037036</v>
      </c>
      <c r="B14332" s="8" t="str">
        <f>HYPERLINK("https://twitter.com/SutrisnoYohanes","@SutrisnoYohanes")</f>
        <v>@SutrisnoYohanes</v>
      </c>
      <c r="C14332" s="8" t="s">
        <v>5805</v>
      </c>
      <c r="D14332" s="8">
        <v>1</v>
      </c>
      <c r="E14332" s="8">
        <v>0</v>
      </c>
      <c r="F14332" s="8">
        <v>4979</v>
      </c>
    </row>
    <row r="14333" spans="1:6" ht="12.75">
      <c r="A14333" s="8">
        <v>43898.381550925929</v>
      </c>
      <c r="B14333" s="8" t="str">
        <f>HYPERLINK("https://twitter.com/cintanabi4","@cintanabi4")</f>
        <v>@cintanabi4</v>
      </c>
      <c r="C14333" s="8" t="s">
        <v>5806</v>
      </c>
      <c r="D14333" s="8">
        <v>0</v>
      </c>
      <c r="E14333" s="8">
        <v>0</v>
      </c>
      <c r="F14333" s="8">
        <v>60</v>
      </c>
    </row>
    <row r="14334" spans="1:6" ht="12.75">
      <c r="A14334" s="8">
        <v>43898.381215277783</v>
      </c>
      <c r="B14334" s="8" t="str">
        <f>HYPERLINK("https://twitter.com/pk101991","@pk101991")</f>
        <v>@pk101991</v>
      </c>
      <c r="C14334" s="8" t="s">
        <v>5807</v>
      </c>
      <c r="D14334" s="8">
        <v>0</v>
      </c>
      <c r="E14334" s="8">
        <v>0</v>
      </c>
      <c r="F14334" s="8">
        <v>21</v>
      </c>
    </row>
    <row r="14335" spans="1:6" ht="12.75">
      <c r="A14335" s="8">
        <v>43898.380891203706</v>
      </c>
      <c r="B14335" s="8" t="str">
        <f>HYPERLINK("https://twitter.com/wni_jmsri","@wni_jmsri")</f>
        <v>@wni_jmsri</v>
      </c>
      <c r="C14335" s="8" t="s">
        <v>5808</v>
      </c>
      <c r="D14335" s="8">
        <v>4893</v>
      </c>
      <c r="E14335" s="8">
        <v>0</v>
      </c>
      <c r="F14335" s="8">
        <v>203</v>
      </c>
    </row>
    <row r="14336" spans="1:6" ht="12.75">
      <c r="A14336" s="8">
        <v>43898.380428240736</v>
      </c>
      <c r="B14336" s="8" t="str">
        <f>HYPERLINK("https://twitter.com/topinfo_id","@topinfo_id")</f>
        <v>@topinfo_id</v>
      </c>
      <c r="C14336" s="8" t="s">
        <v>5809</v>
      </c>
      <c r="D14336" s="8">
        <v>0</v>
      </c>
      <c r="E14336" s="8">
        <v>0</v>
      </c>
      <c r="F14336" s="8">
        <v>55</v>
      </c>
    </row>
    <row r="14337" spans="1:6" ht="12.75">
      <c r="A14337" s="8">
        <v>43898.380324074074</v>
      </c>
      <c r="B14337" s="8" t="str">
        <f>HYPERLINK("https://twitter.com/Isis_cardoso16","@Isis_cardoso16")</f>
        <v>@Isis_cardoso16</v>
      </c>
      <c r="C14337" s="8" t="s">
        <v>5810</v>
      </c>
      <c r="D14337" s="8">
        <v>1</v>
      </c>
      <c r="E14337" s="8">
        <v>0</v>
      </c>
      <c r="F14337" s="8">
        <v>825</v>
      </c>
    </row>
    <row r="14338" spans="1:6" ht="12.75">
      <c r="A14338" s="8">
        <v>43898.379710648151</v>
      </c>
      <c r="B14338" s="8" t="str">
        <f>HYPERLINK("https://twitter.com/TofaTofa_id","@TofaTofa_id")</f>
        <v>@TofaTofa_id</v>
      </c>
      <c r="C14338" s="8" t="s">
        <v>5811</v>
      </c>
      <c r="D14338" s="8">
        <v>0</v>
      </c>
      <c r="E14338" s="8">
        <v>1</v>
      </c>
      <c r="F14338" s="8">
        <v>15906</v>
      </c>
    </row>
    <row r="14339" spans="1:6" ht="12.75">
      <c r="A14339" s="8">
        <v>43898.379687499997</v>
      </c>
      <c r="B14339" s="8" t="str">
        <f>HYPERLINK("https://twitter.com/ronindrawan","@ronindrawan")</f>
        <v>@ronindrawan</v>
      </c>
      <c r="C14339" s="8" t="s">
        <v>5080</v>
      </c>
      <c r="D14339" s="8">
        <v>103</v>
      </c>
      <c r="E14339" s="8">
        <v>0</v>
      </c>
      <c r="F14339" s="8">
        <v>732</v>
      </c>
    </row>
    <row r="14340" spans="1:6" ht="12.75">
      <c r="A14340" s="8">
        <v>43898.37909722222</v>
      </c>
      <c r="B14340" s="8" t="str">
        <f>HYPERLINK("https://twitter.com/JagoServis","@JagoServis")</f>
        <v>@JagoServis</v>
      </c>
      <c r="C14340" s="8" t="s">
        <v>4510</v>
      </c>
      <c r="D14340" s="8">
        <v>125</v>
      </c>
      <c r="E14340" s="8">
        <v>0</v>
      </c>
      <c r="F14340" s="8">
        <v>21</v>
      </c>
    </row>
    <row r="14341" spans="1:6" ht="12.75">
      <c r="A14341" s="8">
        <v>43898.378784722227</v>
      </c>
      <c r="B14341" s="8" t="str">
        <f>HYPERLINK("https://twitter.com/wokayokay","@wokayokay")</f>
        <v>@wokayokay</v>
      </c>
      <c r="C14341" s="8" t="s">
        <v>3265</v>
      </c>
      <c r="D14341" s="8">
        <v>172</v>
      </c>
      <c r="E14341" s="8">
        <v>0</v>
      </c>
      <c r="F14341" s="8">
        <v>528</v>
      </c>
    </row>
    <row r="14342" spans="1:6" ht="12.75">
      <c r="A14342" s="8">
        <v>43898.37872685185</v>
      </c>
      <c r="B14342" s="8" t="str">
        <f>HYPERLINK("https://twitter.com/sudrajatasep17","@sudrajatasep17")</f>
        <v>@sudrajatasep17</v>
      </c>
      <c r="C14342" s="8" t="s">
        <v>5486</v>
      </c>
      <c r="D14342" s="8">
        <v>51</v>
      </c>
      <c r="E14342" s="8">
        <v>0</v>
      </c>
      <c r="F14342" s="8">
        <v>4320</v>
      </c>
    </row>
    <row r="14343" spans="1:6" ht="12.75">
      <c r="A14343" s="8">
        <v>43898.378668981481</v>
      </c>
      <c r="B14343" s="8" t="str">
        <f>HYPERLINK("https://twitter.com/akhnauf","@akhnauf")</f>
        <v>@akhnauf</v>
      </c>
      <c r="C14343" s="8" t="s">
        <v>1399</v>
      </c>
      <c r="D14343" s="8">
        <v>13</v>
      </c>
      <c r="E14343" s="8">
        <v>0</v>
      </c>
      <c r="F14343" s="8">
        <v>314</v>
      </c>
    </row>
    <row r="14344" spans="1:6" ht="12.75">
      <c r="A14344" s="8">
        <v>43898.378449074073</v>
      </c>
      <c r="B14344" s="8" t="str">
        <f>HYPERLINK("https://twitter.com/MardiantoMamay","@MardiantoMamay")</f>
        <v>@MardiantoMamay</v>
      </c>
      <c r="C14344" s="8" t="s">
        <v>3265</v>
      </c>
      <c r="D14344" s="8">
        <v>172</v>
      </c>
      <c r="E14344" s="8">
        <v>0</v>
      </c>
      <c r="F14344" s="8">
        <v>950</v>
      </c>
    </row>
    <row r="14345" spans="1:6" ht="12.75">
      <c r="A14345" s="8">
        <v>43898.378229166672</v>
      </c>
      <c r="B14345" s="8" t="str">
        <f>HYPERLINK("https://twitter.com/ordinacry","@ordinacry")</f>
        <v>@ordinacry</v>
      </c>
      <c r="C14345" s="8" t="s">
        <v>5812</v>
      </c>
      <c r="D14345" s="8">
        <v>2506</v>
      </c>
      <c r="E14345" s="8">
        <v>0</v>
      </c>
      <c r="F14345" s="8">
        <v>199</v>
      </c>
    </row>
    <row r="14346" spans="1:6" ht="12.75">
      <c r="A14346" s="8">
        <v>43898.377962962964</v>
      </c>
      <c r="B14346" s="8" t="str">
        <f>HYPERLINK("https://twitter.com/DVeresaa","@DVeresaa")</f>
        <v>@DVeresaa</v>
      </c>
      <c r="C14346" s="8" t="s">
        <v>5813</v>
      </c>
      <c r="D14346" s="8">
        <v>0</v>
      </c>
      <c r="E14346" s="8">
        <v>0</v>
      </c>
      <c r="F14346" s="8">
        <v>399</v>
      </c>
    </row>
    <row r="14347" spans="1:6" ht="12.75">
      <c r="A14347" s="8">
        <v>43898.377893518518</v>
      </c>
      <c r="B14347" s="8" t="str">
        <f>HYPERLINK("https://twitter.com/sniffinmuffin","@sniffinmuffin")</f>
        <v>@sniffinmuffin</v>
      </c>
      <c r="C14347" s="8" t="s">
        <v>5080</v>
      </c>
      <c r="D14347" s="8">
        <v>103</v>
      </c>
      <c r="E14347" s="8">
        <v>0</v>
      </c>
      <c r="F14347" s="8">
        <v>27</v>
      </c>
    </row>
    <row r="14348" spans="1:6" ht="12.75">
      <c r="A14348" s="8">
        <v>43898.377511574072</v>
      </c>
      <c r="B14348" s="8" t="str">
        <f>HYPERLINK("https://twitter.com/visitortwt1","@visitortwt1")</f>
        <v>@visitortwt1</v>
      </c>
      <c r="C14348" s="8" t="s">
        <v>5080</v>
      </c>
      <c r="D14348" s="8">
        <v>103</v>
      </c>
      <c r="E14348" s="8">
        <v>0</v>
      </c>
      <c r="F14348" s="8">
        <v>429</v>
      </c>
    </row>
    <row r="14349" spans="1:6" ht="12.75">
      <c r="A14349" s="8">
        <v>43898.376111111109</v>
      </c>
      <c r="B14349" s="8" t="str">
        <f>HYPERLINK("https://twitter.com/pk101991","@pk101991")</f>
        <v>@pk101991</v>
      </c>
      <c r="C14349" s="8" t="s">
        <v>5814</v>
      </c>
      <c r="D14349" s="8">
        <v>0</v>
      </c>
      <c r="E14349" s="8">
        <v>0</v>
      </c>
      <c r="F14349" s="8">
        <v>21</v>
      </c>
    </row>
    <row r="14350" spans="1:6" ht="12.75">
      <c r="A14350" s="8">
        <v>43898.375775462962</v>
      </c>
      <c r="B14350" s="8" t="str">
        <f>HYPERLINK("https://twitter.com/strawrey","@strawrey")</f>
        <v>@strawrey</v>
      </c>
      <c r="C14350" s="8" t="s">
        <v>1399</v>
      </c>
      <c r="D14350" s="8">
        <v>13</v>
      </c>
      <c r="E14350" s="8">
        <v>0</v>
      </c>
      <c r="F14350" s="8">
        <v>660</v>
      </c>
    </row>
    <row r="14351" spans="1:6" ht="12.75">
      <c r="A14351" s="8">
        <v>43898.37537037037</v>
      </c>
      <c r="B14351" s="8" t="str">
        <f>HYPERLINK("https://twitter.com/gatot30","@gatot30")</f>
        <v>@gatot30</v>
      </c>
      <c r="C14351" s="8" t="s">
        <v>3265</v>
      </c>
      <c r="D14351" s="8">
        <v>172</v>
      </c>
      <c r="E14351" s="8">
        <v>0</v>
      </c>
      <c r="F14351" s="8">
        <v>920</v>
      </c>
    </row>
    <row r="14352" spans="1:6" ht="12.75">
      <c r="A14352" s="8">
        <v>43898.375115740739</v>
      </c>
      <c r="B14352" s="8" t="str">
        <f>HYPERLINK("https://twitter.com/gorengankruncy","@gorengankruncy")</f>
        <v>@gorengankruncy</v>
      </c>
      <c r="C14352" s="8" t="s">
        <v>5815</v>
      </c>
      <c r="D14352" s="8">
        <v>0</v>
      </c>
      <c r="E14352" s="8">
        <v>1</v>
      </c>
      <c r="F14352" s="8">
        <v>1061</v>
      </c>
    </row>
    <row r="14353" spans="1:6" ht="12.75">
      <c r="A14353" s="8">
        <v>43898.375092592592</v>
      </c>
      <c r="B14353" s="8" t="str">
        <f>HYPERLINK("https://twitter.com/Mbakmjiyut","@Mbakmjiyut")</f>
        <v>@Mbakmjiyut</v>
      </c>
      <c r="C14353" s="8" t="s">
        <v>5341</v>
      </c>
      <c r="D14353" s="8">
        <v>5</v>
      </c>
      <c r="E14353" s="8">
        <v>0</v>
      </c>
      <c r="F14353" s="8">
        <v>2909</v>
      </c>
    </row>
    <row r="14354" spans="1:6" ht="12.75">
      <c r="A14354" s="8">
        <v>43898.374618055561</v>
      </c>
      <c r="B14354" s="8" t="str">
        <f>HYPERLINK("https://twitter.com/fadjroeL","@fadjroeL")</f>
        <v>@fadjroeL</v>
      </c>
      <c r="C14354" s="8" t="s">
        <v>3132</v>
      </c>
      <c r="D14354" s="8">
        <v>134</v>
      </c>
      <c r="E14354" s="8">
        <v>0</v>
      </c>
      <c r="F14354" s="8">
        <v>996928</v>
      </c>
    </row>
    <row r="14355" spans="1:6" ht="12.75">
      <c r="A14355" s="8">
        <v>43898.374108796299</v>
      </c>
      <c r="B14355" s="8" t="str">
        <f>HYPERLINK("https://twitter.com/wbintoro101209","@wbintoro101209")</f>
        <v>@wbintoro101209</v>
      </c>
      <c r="C14355" s="8" t="s">
        <v>5080</v>
      </c>
      <c r="D14355" s="8">
        <v>103</v>
      </c>
      <c r="E14355" s="8">
        <v>0</v>
      </c>
      <c r="F14355" s="8">
        <v>319</v>
      </c>
    </row>
    <row r="14356" spans="1:6" ht="12.75">
      <c r="A14356" s="8">
        <v>43898.373703703706</v>
      </c>
      <c r="B14356" s="8" t="str">
        <f>HYPERLINK("https://twitter.com/VGupta89887569","@VGupta89887569")</f>
        <v>@VGupta89887569</v>
      </c>
      <c r="C14356" s="8" t="s">
        <v>5337</v>
      </c>
      <c r="D14356" s="8">
        <v>0</v>
      </c>
      <c r="E14356" s="8">
        <v>0</v>
      </c>
      <c r="F14356" s="8">
        <v>35</v>
      </c>
    </row>
    <row r="14357" spans="1:6" ht="12.75">
      <c r="A14357" s="8">
        <v>43898.373587962968</v>
      </c>
      <c r="B14357" s="8" t="str">
        <f>HYPERLINK("https://twitter.com/Erwanto65753282","@Erwanto65753282")</f>
        <v>@Erwanto65753282</v>
      </c>
      <c r="C14357" s="8" t="s">
        <v>5816</v>
      </c>
      <c r="D14357" s="8">
        <v>3</v>
      </c>
      <c r="E14357" s="8">
        <v>0</v>
      </c>
      <c r="F14357" s="8">
        <v>381</v>
      </c>
    </row>
    <row r="14358" spans="1:6" ht="12.75">
      <c r="A14358" s="8">
        <v>43898.372962962967</v>
      </c>
      <c r="B14358" s="8" t="str">
        <f>HYPERLINK("https://twitter.com/ElTB12","@ElTB12")</f>
        <v>@ElTB12</v>
      </c>
      <c r="C14358" s="8" t="s">
        <v>5817</v>
      </c>
      <c r="D14358" s="8">
        <v>0</v>
      </c>
      <c r="E14358" s="8">
        <v>0</v>
      </c>
      <c r="F14358" s="8">
        <v>3</v>
      </c>
    </row>
    <row r="14359" spans="1:6" ht="12.75">
      <c r="A14359" s="8">
        <v>43898.372812500005</v>
      </c>
      <c r="B14359" s="8" t="str">
        <f>HYPERLINK("https://twitter.com/tkkdreams","@tkkdreams")</f>
        <v>@tkkdreams</v>
      </c>
      <c r="C14359" s="8" t="s">
        <v>5818</v>
      </c>
      <c r="D14359" s="8">
        <v>0</v>
      </c>
      <c r="E14359" s="8">
        <v>1</v>
      </c>
      <c r="F14359" s="8">
        <v>3340</v>
      </c>
    </row>
    <row r="14360" spans="1:6" ht="12.75">
      <c r="A14360" s="8">
        <v>43898.372685185182</v>
      </c>
      <c r="B14360" s="8" t="str">
        <f>HYPERLINK("https://twitter.com/AlQossam3","@AlQossam3")</f>
        <v>@AlQossam3</v>
      </c>
      <c r="C14360" s="8" t="s">
        <v>3265</v>
      </c>
      <c r="D14360" s="8">
        <v>172</v>
      </c>
      <c r="E14360" s="8">
        <v>0</v>
      </c>
      <c r="F14360" s="8">
        <v>2107</v>
      </c>
    </row>
    <row r="14361" spans="1:6" ht="12.75">
      <c r="A14361" s="8">
        <v>43898.372442129628</v>
      </c>
      <c r="B14361" s="8" t="str">
        <f>HYPERLINK("https://twitter.com/jtsumo","@jtsumo")</f>
        <v>@jtsumo</v>
      </c>
      <c r="C14361" s="8" t="s">
        <v>1399</v>
      </c>
      <c r="D14361" s="8">
        <v>13</v>
      </c>
      <c r="E14361" s="8">
        <v>0</v>
      </c>
      <c r="F14361" s="8">
        <v>39</v>
      </c>
    </row>
    <row r="14362" spans="1:6" ht="12.75">
      <c r="A14362" s="8">
        <v>43898.371759259258</v>
      </c>
      <c r="B14362" s="8" t="str">
        <f>HYPERLINK("https://twitter.com/Yuzri_Andrean","@Yuzri_Andrean")</f>
        <v>@Yuzri_Andrean</v>
      </c>
      <c r="C14362" s="8" t="s">
        <v>1376</v>
      </c>
      <c r="D14362" s="8">
        <v>55</v>
      </c>
      <c r="E14362" s="8">
        <v>0</v>
      </c>
      <c r="F14362" s="8">
        <v>738</v>
      </c>
    </row>
    <row r="14363" spans="1:6" ht="12.75">
      <c r="A14363" s="8">
        <v>43898.371238425927</v>
      </c>
      <c r="B14363" s="8" t="str">
        <f>HYPERLINK("https://twitter.com/Kanaan_Alam","@Kanaan_Alam")</f>
        <v>@Kanaan_Alam</v>
      </c>
      <c r="C14363" s="8" t="s">
        <v>3265</v>
      </c>
      <c r="D14363" s="8">
        <v>172</v>
      </c>
      <c r="E14363" s="8">
        <v>0</v>
      </c>
      <c r="F14363" s="8">
        <v>9</v>
      </c>
    </row>
    <row r="14364" spans="1:6" ht="12.75">
      <c r="A14364" s="8">
        <v>43898.370775462958</v>
      </c>
      <c r="B14364" s="8" t="str">
        <f>HYPERLINK("https://twitter.com/SugiMauk","@SugiMauk")</f>
        <v>@SugiMauk</v>
      </c>
      <c r="C14364" s="8" t="s">
        <v>5819</v>
      </c>
      <c r="D14364" s="8">
        <v>3</v>
      </c>
      <c r="E14364" s="8">
        <v>0</v>
      </c>
      <c r="F14364" s="8">
        <v>1563</v>
      </c>
    </row>
    <row r="14365" spans="1:6" ht="12.75">
      <c r="A14365" s="8">
        <v>43898.370428240742</v>
      </c>
      <c r="B14365" s="8" t="str">
        <f>HYPERLINK("https://twitter.com/PeaceRaiden","@PeaceRaiden")</f>
        <v>@PeaceRaiden</v>
      </c>
      <c r="C14365" s="8" t="s">
        <v>5820</v>
      </c>
      <c r="D14365" s="8">
        <v>0</v>
      </c>
      <c r="E14365" s="8">
        <v>0</v>
      </c>
      <c r="F14365" s="8">
        <v>40</v>
      </c>
    </row>
    <row r="14366" spans="1:6" ht="12.75">
      <c r="A14366" s="8">
        <v>43898.369837962964</v>
      </c>
      <c r="B14366" s="8" t="str">
        <f>HYPERLINK("https://twitter.com/4d_h1m","@4d_h1m")</f>
        <v>@4d_h1m</v>
      </c>
      <c r="C14366" s="8" t="s">
        <v>3265</v>
      </c>
      <c r="D14366" s="8">
        <v>172</v>
      </c>
      <c r="E14366" s="8">
        <v>0</v>
      </c>
      <c r="F14366" s="8">
        <v>2477</v>
      </c>
    </row>
    <row r="14367" spans="1:6" ht="12.75">
      <c r="A14367" s="8">
        <v>43898.369803240741</v>
      </c>
      <c r="B14367" s="8" t="str">
        <f>HYPERLINK("https://twitter.com/Wibosono_poetra","@Wibosono_poetra")</f>
        <v>@Wibosono_poetra</v>
      </c>
      <c r="C14367" s="8" t="s">
        <v>5790</v>
      </c>
      <c r="D14367" s="8">
        <v>1</v>
      </c>
      <c r="E14367" s="8">
        <v>0</v>
      </c>
      <c r="F14367" s="8">
        <v>1172</v>
      </c>
    </row>
    <row r="14368" spans="1:6" ht="12.75">
      <c r="A14368" s="8">
        <v>43898.369525462964</v>
      </c>
      <c r="B14368" s="8" t="str">
        <f>HYPERLINK("https://twitter.com/ubudcommunity","@ubudcommunity")</f>
        <v>@ubudcommunity</v>
      </c>
      <c r="C14368" s="8" t="s">
        <v>5821</v>
      </c>
      <c r="D14368" s="8">
        <v>0</v>
      </c>
      <c r="E14368" s="8">
        <v>0</v>
      </c>
      <c r="F14368" s="8">
        <v>1694</v>
      </c>
    </row>
    <row r="14369" spans="1:6" ht="12.75">
      <c r="A14369" s="8">
        <v>43898.369004629625</v>
      </c>
      <c r="B14369" s="8" t="str">
        <f>HYPERLINK("https://twitter.com/mondayinarabic","@mondayinarabic")</f>
        <v>@mondayinarabic</v>
      </c>
      <c r="C14369" s="8" t="s">
        <v>1399</v>
      </c>
      <c r="D14369" s="8">
        <v>13</v>
      </c>
      <c r="E14369" s="8">
        <v>0</v>
      </c>
      <c r="F14369" s="8">
        <v>174</v>
      </c>
    </row>
    <row r="14370" spans="1:6" ht="12.75">
      <c r="A14370" s="8">
        <v>43898.368761574078</v>
      </c>
      <c r="B14370" s="8" t="str">
        <f>HYPERLINK("https://twitter.com/hgberry","@hgberry")</f>
        <v>@hgberry</v>
      </c>
      <c r="C14370" s="8" t="s">
        <v>3405</v>
      </c>
      <c r="D14370" s="8">
        <v>35</v>
      </c>
      <c r="E14370" s="8">
        <v>0</v>
      </c>
      <c r="F14370" s="8">
        <v>1656</v>
      </c>
    </row>
    <row r="14371" spans="1:6" ht="12.75">
      <c r="A14371" s="8">
        <v>43898.368287037039</v>
      </c>
      <c r="B14371" s="8" t="str">
        <f>HYPERLINK("https://twitter.com/ybrin_","@ybrin_")</f>
        <v>@ybrin_</v>
      </c>
      <c r="C14371" s="8" t="s">
        <v>5822</v>
      </c>
      <c r="D14371" s="8">
        <v>0</v>
      </c>
      <c r="E14371" s="8">
        <v>0</v>
      </c>
      <c r="F14371" s="8">
        <v>100</v>
      </c>
    </row>
    <row r="14372" spans="1:6" ht="12.75">
      <c r="A14372" s="8">
        <v>43898.366944444446</v>
      </c>
      <c r="B14372" s="8" t="str">
        <f>HYPERLINK("https://twitter.com/HannafNurul","@HannafNurul")</f>
        <v>@HannafNurul</v>
      </c>
      <c r="C14372" s="8" t="s">
        <v>1399</v>
      </c>
      <c r="D14372" s="8">
        <v>13</v>
      </c>
      <c r="E14372" s="8">
        <v>0</v>
      </c>
      <c r="F14372" s="8">
        <v>217</v>
      </c>
    </row>
    <row r="14373" spans="1:6" ht="12.75">
      <c r="A14373" s="8">
        <v>43898.366678240738</v>
      </c>
      <c r="B14373" s="8" t="str">
        <f>HYPERLINK("https://twitter.com/wsratih","@wsratih")</f>
        <v>@wsratih</v>
      </c>
      <c r="C14373" s="8" t="s">
        <v>1399</v>
      </c>
      <c r="D14373" s="8">
        <v>13</v>
      </c>
      <c r="E14373" s="8">
        <v>0</v>
      </c>
      <c r="F14373" s="8">
        <v>273</v>
      </c>
    </row>
    <row r="14374" spans="1:6" ht="12.75">
      <c r="A14374" s="8">
        <v>43898.366678240738</v>
      </c>
      <c r="B14374" s="8" t="str">
        <f>HYPERLINK("https://twitter.com/Tea_TJEL0EP","@Tea_TJEL0EP")</f>
        <v>@Tea_TJEL0EP</v>
      </c>
      <c r="C14374" s="8" t="s">
        <v>5823</v>
      </c>
      <c r="D14374" s="8">
        <v>1</v>
      </c>
      <c r="E14374" s="8">
        <v>5</v>
      </c>
      <c r="F14374" s="8">
        <v>4716</v>
      </c>
    </row>
    <row r="14375" spans="1:6" ht="12.75">
      <c r="A14375" s="8">
        <v>43898.366377314815</v>
      </c>
      <c r="B14375" s="8" t="str">
        <f>HYPERLINK("https://twitter.com/tempemendoanGL","@tempemendoanGL")</f>
        <v>@tempemendoanGL</v>
      </c>
      <c r="C14375" s="8" t="s">
        <v>5824</v>
      </c>
      <c r="D14375" s="8">
        <v>0</v>
      </c>
      <c r="E14375" s="8">
        <v>1</v>
      </c>
      <c r="F14375" s="8">
        <v>21126</v>
      </c>
    </row>
    <row r="14376" spans="1:6" ht="12.75">
      <c r="A14376" s="8">
        <v>43898.366284722222</v>
      </c>
      <c r="B14376" s="8" t="str">
        <f>HYPERLINK("https://twitter.com/99garislucu","@99garislucu")</f>
        <v>@99garislucu</v>
      </c>
      <c r="C14376" s="8" t="s">
        <v>5825</v>
      </c>
      <c r="D14376" s="8">
        <v>1</v>
      </c>
      <c r="E14376" s="8">
        <v>0</v>
      </c>
      <c r="F14376" s="8">
        <v>1009</v>
      </c>
    </row>
    <row r="14377" spans="1:6" ht="12.75">
      <c r="A14377" s="8">
        <v>43898.366168981476</v>
      </c>
      <c r="B14377" s="8" t="str">
        <f>HYPERLINK("https://twitter.com/YKarsianto","@YKarsianto")</f>
        <v>@YKarsianto</v>
      </c>
      <c r="C14377" s="8" t="s">
        <v>4940</v>
      </c>
      <c r="D14377" s="8">
        <v>12</v>
      </c>
      <c r="E14377" s="8">
        <v>0</v>
      </c>
      <c r="F14377" s="8">
        <v>255</v>
      </c>
    </row>
    <row r="14378" spans="1:6" ht="12.75">
      <c r="A14378" s="8">
        <v>43898.365960648152</v>
      </c>
      <c r="B14378" s="8" t="str">
        <f>HYPERLINK("https://twitter.com/1MenujuDamai","@1MenujuDamai")</f>
        <v>@1MenujuDamai</v>
      </c>
      <c r="C14378" s="8" t="s">
        <v>5826</v>
      </c>
      <c r="D14378" s="8">
        <v>2</v>
      </c>
      <c r="E14378" s="8">
        <v>0</v>
      </c>
      <c r="F14378" s="8">
        <v>2563</v>
      </c>
    </row>
    <row r="14379" spans="1:6" ht="12.75">
      <c r="A14379" s="8">
        <v>43898.365856481483</v>
      </c>
      <c r="B14379" s="8" t="str">
        <f>HYPERLINK("https://twitter.com/YCH7168","@YCH7168")</f>
        <v>@YCH7168</v>
      </c>
      <c r="C14379" s="8" t="s">
        <v>4940</v>
      </c>
      <c r="D14379" s="8">
        <v>12</v>
      </c>
      <c r="E14379" s="8">
        <v>0</v>
      </c>
      <c r="F14379" s="8">
        <v>7613</v>
      </c>
    </row>
    <row r="14380" spans="1:6" ht="12.75">
      <c r="A14380" s="8">
        <v>43898.365474537037</v>
      </c>
      <c r="B14380" s="8" t="str">
        <f>HYPERLINK("https://twitter.com/CaeciliaImelda","@CaeciliaImelda")</f>
        <v>@CaeciliaImelda</v>
      </c>
      <c r="C14380" s="8" t="s">
        <v>5080</v>
      </c>
      <c r="D14380" s="8">
        <v>103</v>
      </c>
      <c r="E14380" s="8">
        <v>0</v>
      </c>
      <c r="F14380" s="8">
        <v>307</v>
      </c>
    </row>
    <row r="14381" spans="1:6" ht="12.75">
      <c r="A14381" s="8">
        <v>43898.364768518513</v>
      </c>
      <c r="B14381" s="8" t="str">
        <f t="shared" ref="B14381:B14382" si="214">HYPERLINK("https://twitter.com/SilalahiFabian","@SilalahiFabian")</f>
        <v>@SilalahiFabian</v>
      </c>
      <c r="C14381" s="8" t="s">
        <v>3405</v>
      </c>
      <c r="D14381" s="8">
        <v>35</v>
      </c>
      <c r="E14381" s="8">
        <v>0</v>
      </c>
      <c r="F14381" s="8">
        <v>176</v>
      </c>
    </row>
    <row r="14382" spans="1:6" ht="12.75">
      <c r="A14382" s="8">
        <v>43898.364699074074</v>
      </c>
      <c r="B14382" s="8" t="str">
        <f t="shared" si="214"/>
        <v>@SilalahiFabian</v>
      </c>
      <c r="C14382" s="8" t="s">
        <v>5486</v>
      </c>
      <c r="D14382" s="8">
        <v>51</v>
      </c>
      <c r="E14382" s="8">
        <v>0</v>
      </c>
      <c r="F14382" s="8">
        <v>176</v>
      </c>
    </row>
    <row r="14383" spans="1:6" ht="12.75">
      <c r="A14383" s="8">
        <v>43898.364652777775</v>
      </c>
      <c r="B14383" s="8" t="str">
        <f>HYPERLINK("https://twitter.com/Sunariyo86","@Sunariyo86")</f>
        <v>@Sunariyo86</v>
      </c>
      <c r="C14383" s="8" t="s">
        <v>5827</v>
      </c>
      <c r="D14383" s="8">
        <v>13</v>
      </c>
      <c r="E14383" s="8">
        <v>0</v>
      </c>
      <c r="F14383" s="8">
        <v>10</v>
      </c>
    </row>
    <row r="14384" spans="1:6" ht="12.75">
      <c r="A14384" s="8">
        <v>43898.36446759259</v>
      </c>
      <c r="B14384" s="8" t="str">
        <f>HYPERLINK("https://twitter.com/aleepaja","@aleepaja")</f>
        <v>@aleepaja</v>
      </c>
      <c r="C14384" s="8" t="s">
        <v>1399</v>
      </c>
      <c r="D14384" s="8">
        <v>13</v>
      </c>
      <c r="E14384" s="8">
        <v>0</v>
      </c>
      <c r="F14384" s="8">
        <v>2521</v>
      </c>
    </row>
    <row r="14385" spans="1:6" ht="12.75">
      <c r="A14385" s="8">
        <v>43898.364432870367</v>
      </c>
      <c r="B14385" s="8" t="str">
        <f>HYPERLINK("https://twitter.com/sosasonia","@sosasonia")</f>
        <v>@sosasonia</v>
      </c>
      <c r="C14385" s="8" t="s">
        <v>1399</v>
      </c>
      <c r="D14385" s="8">
        <v>13</v>
      </c>
      <c r="E14385" s="8">
        <v>0</v>
      </c>
      <c r="F14385" s="8">
        <v>809</v>
      </c>
    </row>
    <row r="14386" spans="1:6" ht="12.75">
      <c r="A14386" s="8">
        <v>43898.363437499997</v>
      </c>
      <c r="B14386" s="8" t="str">
        <f>HYPERLINK("https://twitter.com/RubyAhmad18","@RubyAhmad18")</f>
        <v>@RubyAhmad18</v>
      </c>
      <c r="C14386" s="8" t="s">
        <v>5828</v>
      </c>
      <c r="D14386" s="8">
        <v>0</v>
      </c>
      <c r="E14386" s="8">
        <v>1</v>
      </c>
      <c r="F14386" s="8">
        <v>1837</v>
      </c>
    </row>
    <row r="14387" spans="1:6" ht="12.75">
      <c r="A14387" s="8">
        <v>43898.362800925926</v>
      </c>
      <c r="B14387" s="8" t="str">
        <f>HYPERLINK("https://twitter.com/Kamto96126219","@Kamto96126219")</f>
        <v>@Kamto96126219</v>
      </c>
      <c r="C14387" s="8" t="s">
        <v>3265</v>
      </c>
      <c r="D14387" s="8">
        <v>172</v>
      </c>
      <c r="E14387" s="8">
        <v>0</v>
      </c>
      <c r="F14387" s="8">
        <v>510</v>
      </c>
    </row>
    <row r="14388" spans="1:6" ht="12.75">
      <c r="A14388" s="8">
        <v>43898.361967592587</v>
      </c>
      <c r="B14388" s="8" t="str">
        <f>HYPERLINK("https://twitter.com/VitoriaDiniz212","@VitoriaDiniz212")</f>
        <v>@VitoriaDiniz212</v>
      </c>
      <c r="C14388" s="8" t="s">
        <v>5829</v>
      </c>
      <c r="D14388" s="8">
        <v>1</v>
      </c>
      <c r="E14388" s="8">
        <v>0</v>
      </c>
      <c r="F14388" s="8">
        <v>668</v>
      </c>
    </row>
    <row r="14389" spans="1:6" ht="12.75">
      <c r="A14389" s="8">
        <v>43898.361550925925</v>
      </c>
      <c r="B14389" s="8" t="str">
        <f>HYPERLINK("https://twitter.com/inesnur","@inesnur")</f>
        <v>@inesnur</v>
      </c>
      <c r="C14389" s="8" t="s">
        <v>1399</v>
      </c>
      <c r="D14389" s="8">
        <v>13</v>
      </c>
      <c r="E14389" s="8">
        <v>0</v>
      </c>
      <c r="F14389" s="8">
        <v>1023</v>
      </c>
    </row>
    <row r="14390" spans="1:6" ht="12.75">
      <c r="A14390" s="8">
        <v>43898.361493055556</v>
      </c>
      <c r="B14390" s="8" t="str">
        <f>HYPERLINK("https://twitter.com/tempemendoanGL","@tempemendoanGL")</f>
        <v>@tempemendoanGL</v>
      </c>
      <c r="C14390" s="8" t="s">
        <v>5830</v>
      </c>
      <c r="D14390" s="8">
        <v>0</v>
      </c>
      <c r="E14390" s="8">
        <v>0</v>
      </c>
      <c r="F14390" s="8">
        <v>21126</v>
      </c>
    </row>
    <row r="14391" spans="1:6" ht="12.75">
      <c r="A14391" s="8">
        <v>43898.361157407402</v>
      </c>
      <c r="B14391" s="8" t="str">
        <f>HYPERLINK("https://twitter.com/hcscommando","@hcscommando")</f>
        <v>@hcscommando</v>
      </c>
      <c r="C14391" s="8" t="s">
        <v>4818</v>
      </c>
      <c r="D14391" s="8">
        <v>299</v>
      </c>
      <c r="E14391" s="8">
        <v>0</v>
      </c>
      <c r="F14391" s="8">
        <v>2212</v>
      </c>
    </row>
    <row r="14392" spans="1:6" ht="12.75">
      <c r="A14392" s="8">
        <v>43898.360752314809</v>
      </c>
      <c r="B14392" s="8" t="str">
        <f>HYPERLINK("https://twitter.com/iial","@iial")</f>
        <v>@iial</v>
      </c>
      <c r="C14392" s="8" t="s">
        <v>3265</v>
      </c>
      <c r="D14392" s="8">
        <v>172</v>
      </c>
      <c r="E14392" s="8">
        <v>0</v>
      </c>
      <c r="F14392" s="8">
        <v>203</v>
      </c>
    </row>
    <row r="14393" spans="1:6" ht="12.75">
      <c r="A14393" s="8">
        <v>43898.360752314809</v>
      </c>
      <c r="B14393" s="8" t="str">
        <f>HYPERLINK("https://twitter.com/scciaIist","@scciaIist")</f>
        <v>@scciaIist</v>
      </c>
      <c r="C14393" s="8" t="s">
        <v>1399</v>
      </c>
      <c r="D14393" s="8">
        <v>13</v>
      </c>
      <c r="E14393" s="8">
        <v>0</v>
      </c>
      <c r="F14393" s="8">
        <v>1095</v>
      </c>
    </row>
    <row r="14394" spans="1:6" ht="12.75">
      <c r="A14394" s="8">
        <v>43898.360532407409</v>
      </c>
      <c r="B14394" s="8" t="str">
        <f>HYPERLINK("https://twitter.com/gakmakannasi","@gakmakannasi")</f>
        <v>@gakmakannasi</v>
      </c>
      <c r="C14394" s="8" t="s">
        <v>1399</v>
      </c>
      <c r="D14394" s="8">
        <v>13</v>
      </c>
      <c r="E14394" s="8">
        <v>0</v>
      </c>
      <c r="F14394" s="8">
        <v>144</v>
      </c>
    </row>
    <row r="14395" spans="1:6" ht="12.75">
      <c r="A14395" s="8">
        <v>43898.36037037037</v>
      </c>
      <c r="B14395" s="8" t="str">
        <f>HYPERLINK("https://twitter.com/rinichan02","@rinichan02")</f>
        <v>@rinichan02</v>
      </c>
      <c r="C14395" s="8" t="s">
        <v>5831</v>
      </c>
      <c r="D14395" s="8">
        <v>1</v>
      </c>
      <c r="E14395" s="8">
        <v>2</v>
      </c>
      <c r="F14395" s="8">
        <v>2865</v>
      </c>
    </row>
    <row r="14396" spans="1:6" ht="12.75">
      <c r="A14396" s="8">
        <v>43898.360266203701</v>
      </c>
      <c r="B14396" s="8" t="str">
        <f>HYPERLINK("https://twitter.com/Kemlu_RI","@Kemlu_RI")</f>
        <v>@Kemlu_RI</v>
      </c>
      <c r="C14396" s="8" t="s">
        <v>5832</v>
      </c>
      <c r="D14396" s="8">
        <v>13</v>
      </c>
      <c r="E14396" s="8">
        <v>16</v>
      </c>
      <c r="F14396" s="8">
        <v>171098</v>
      </c>
    </row>
    <row r="14397" spans="1:6" ht="12.75">
      <c r="A14397" s="8">
        <v>43898.359351851846</v>
      </c>
      <c r="B14397" s="8" t="str">
        <f>HYPERLINK("https://twitter.com/KBRI_Kuwait","@KBRI_Kuwait")</f>
        <v>@KBRI_Kuwait</v>
      </c>
      <c r="C14397" s="8" t="s">
        <v>1376</v>
      </c>
      <c r="D14397" s="8">
        <v>55</v>
      </c>
      <c r="E14397" s="8">
        <v>0</v>
      </c>
      <c r="F14397" s="8">
        <v>2595</v>
      </c>
    </row>
    <row r="14398" spans="1:6" ht="12.75">
      <c r="A14398" s="8">
        <v>43898.358703703707</v>
      </c>
      <c r="B14398" s="8" t="str">
        <f>HYPERLINK("https://twitter.com/BasilSakti","@BasilSakti")</f>
        <v>@BasilSakti</v>
      </c>
      <c r="C14398" s="8" t="s">
        <v>5833</v>
      </c>
      <c r="D14398" s="8">
        <v>18</v>
      </c>
      <c r="E14398" s="8">
        <v>0</v>
      </c>
      <c r="F14398" s="8">
        <v>200</v>
      </c>
    </row>
    <row r="14399" spans="1:6" ht="12.75">
      <c r="A14399" s="8">
        <v>43898.358055555553</v>
      </c>
      <c r="B14399" s="8" t="str">
        <f>HYPERLINK("https://twitter.com/jumriadiat","@jumriadiat")</f>
        <v>@jumriadiat</v>
      </c>
      <c r="C14399" s="8" t="s">
        <v>5080</v>
      </c>
      <c r="D14399" s="8">
        <v>103</v>
      </c>
      <c r="E14399" s="8">
        <v>0</v>
      </c>
      <c r="F14399" s="8">
        <v>145</v>
      </c>
    </row>
    <row r="14400" spans="1:6" ht="12.75">
      <c r="A14400" s="8">
        <v>43898.357430555552</v>
      </c>
      <c r="B14400" s="8" t="str">
        <f>HYPERLINK("https://twitter.com/Baktinegeri01","@Baktinegeri01")</f>
        <v>@Baktinegeri01</v>
      </c>
      <c r="C14400" s="8" t="s">
        <v>5486</v>
      </c>
      <c r="D14400" s="8">
        <v>51</v>
      </c>
      <c r="E14400" s="8">
        <v>0</v>
      </c>
      <c r="F14400" s="8">
        <v>844</v>
      </c>
    </row>
    <row r="14401" spans="1:6" ht="12.75">
      <c r="A14401" s="8">
        <v>43898.357094907406</v>
      </c>
      <c r="B14401" s="8" t="str">
        <f>HYPERLINK("https://twitter.com/BSulistyoni","@BSulistyoni")</f>
        <v>@BSulistyoni</v>
      </c>
      <c r="C14401" s="8" t="s">
        <v>4836</v>
      </c>
      <c r="D14401" s="8">
        <v>5406</v>
      </c>
      <c r="E14401" s="8">
        <v>0</v>
      </c>
      <c r="F14401" s="8">
        <v>0</v>
      </c>
    </row>
    <row r="14402" spans="1:6" ht="12.75">
      <c r="A14402" s="8">
        <v>43898.356527777782</v>
      </c>
      <c r="B14402" s="8" t="str">
        <f>HYPERLINK("https://twitter.com/CrEdhie","@CrEdhie")</f>
        <v>@CrEdhie</v>
      </c>
      <c r="C14402" s="8" t="s">
        <v>3265</v>
      </c>
      <c r="D14402" s="8">
        <v>172</v>
      </c>
      <c r="E14402" s="8">
        <v>0</v>
      </c>
      <c r="F14402" s="8">
        <v>9</v>
      </c>
    </row>
    <row r="14403" spans="1:6" ht="12.75">
      <c r="A14403" s="8">
        <v>43898.35628472222</v>
      </c>
      <c r="B14403" s="8" t="str">
        <f>HYPERLINK("https://twitter.com/M70W71","@M70W71")</f>
        <v>@M70W71</v>
      </c>
      <c r="C14403" s="8" t="s">
        <v>5834</v>
      </c>
      <c r="D14403" s="8">
        <v>0</v>
      </c>
      <c r="E14403" s="8">
        <v>1</v>
      </c>
      <c r="F14403" s="8">
        <v>1881</v>
      </c>
    </row>
    <row r="14404" spans="1:6" ht="12.75">
      <c r="A14404" s="8">
        <v>43898.356249999997</v>
      </c>
      <c r="B14404" s="8" t="str">
        <f>HYPERLINK("https://twitter.com/UrubingDilah","@UrubingDilah")</f>
        <v>@UrubingDilah</v>
      </c>
      <c r="C14404" s="8" t="s">
        <v>5819</v>
      </c>
      <c r="D14404" s="8">
        <v>3</v>
      </c>
      <c r="E14404" s="8">
        <v>0</v>
      </c>
      <c r="F14404" s="8">
        <v>1378</v>
      </c>
    </row>
    <row r="14405" spans="1:6" ht="12.75">
      <c r="A14405" s="8">
        <v>43898.356215277774</v>
      </c>
      <c r="B14405" s="8" t="str">
        <f>HYPERLINK("https://twitter.com/LaingenLisa","@LaingenLisa")</f>
        <v>@LaingenLisa</v>
      </c>
      <c r="C14405" s="8" t="s">
        <v>3405</v>
      </c>
      <c r="D14405" s="8">
        <v>35</v>
      </c>
      <c r="E14405" s="8">
        <v>0</v>
      </c>
      <c r="F14405" s="8">
        <v>3632</v>
      </c>
    </row>
    <row r="14406" spans="1:6" ht="12.75">
      <c r="A14406" s="8">
        <v>43898.355405092589</v>
      </c>
      <c r="B14406" s="8" t="str">
        <f>HYPERLINK("https://twitter.com/ENEMYNDRD","@ENEMYNDRD")</f>
        <v>@ENEMYNDRD</v>
      </c>
      <c r="C14406" s="8" t="s">
        <v>3265</v>
      </c>
      <c r="D14406" s="8">
        <v>172</v>
      </c>
      <c r="E14406" s="8">
        <v>0</v>
      </c>
      <c r="F14406" s="8">
        <v>434</v>
      </c>
    </row>
    <row r="14407" spans="1:6" ht="12.75">
      <c r="A14407" s="8">
        <v>43898.354826388888</v>
      </c>
      <c r="B14407" s="8" t="str">
        <f>HYPERLINK("https://twitter.com/mmarleyt","@mmarleyt")</f>
        <v>@mmarleyt</v>
      </c>
      <c r="C14407" s="8" t="s">
        <v>5080</v>
      </c>
      <c r="D14407" s="8">
        <v>103</v>
      </c>
      <c r="E14407" s="8">
        <v>0</v>
      </c>
      <c r="F14407" s="8">
        <v>2189</v>
      </c>
    </row>
    <row r="14408" spans="1:6" ht="12.75">
      <c r="A14408" s="8">
        <v>43898.353831018518</v>
      </c>
      <c r="B14408" s="8" t="str">
        <f>HYPERLINK("https://twitter.com/kerendi_","@kerendi_")</f>
        <v>@kerendi_</v>
      </c>
      <c r="C14408" s="8" t="s">
        <v>5835</v>
      </c>
      <c r="D14408" s="8">
        <v>0</v>
      </c>
      <c r="E14408" s="8">
        <v>0</v>
      </c>
      <c r="F14408" s="8">
        <v>444</v>
      </c>
    </row>
    <row r="14409" spans="1:6" ht="12.75">
      <c r="A14409" s="8">
        <v>43898.35361111111</v>
      </c>
      <c r="B14409" s="8" t="str">
        <f>HYPERLINK("https://twitter.com/de_kvn2","@de_kvn2")</f>
        <v>@de_kvn2</v>
      </c>
      <c r="C14409" s="8" t="s">
        <v>5080</v>
      </c>
      <c r="D14409" s="8">
        <v>103</v>
      </c>
      <c r="E14409" s="8">
        <v>0</v>
      </c>
      <c r="F14409" s="8">
        <v>290</v>
      </c>
    </row>
    <row r="14410" spans="1:6" ht="12.75">
      <c r="A14410" s="8">
        <v>43898.352592592593</v>
      </c>
      <c r="B14410" s="8" t="str">
        <f>HYPERLINK("https://twitter.com/AkuImuts","@AkuImuts")</f>
        <v>@AkuImuts</v>
      </c>
      <c r="C14410" s="8" t="s">
        <v>5836</v>
      </c>
      <c r="D14410" s="8">
        <v>0</v>
      </c>
      <c r="E14410" s="8">
        <v>0</v>
      </c>
      <c r="F14410" s="8">
        <v>247</v>
      </c>
    </row>
    <row r="14411" spans="1:6" ht="12.75">
      <c r="A14411" s="8">
        <v>43898.352233796293</v>
      </c>
      <c r="B14411" s="8" t="str">
        <f>HYPERLINK("https://twitter.com/BlackisBlackMSS","@BlackisBlackMSS")</f>
        <v>@BlackisBlackMSS</v>
      </c>
      <c r="C14411" s="8" t="s">
        <v>5819</v>
      </c>
      <c r="D14411" s="8">
        <v>3</v>
      </c>
      <c r="E14411" s="8">
        <v>0</v>
      </c>
      <c r="F14411" s="8">
        <v>4596</v>
      </c>
    </row>
    <row r="14412" spans="1:6" ht="12.75">
      <c r="A14412" s="8">
        <v>43898.352164351847</v>
      </c>
      <c r="B14412" s="8" t="str">
        <f>HYPERLINK("https://twitter.com/Kaleng_Kurma","@Kaleng_Kurma")</f>
        <v>@Kaleng_Kurma</v>
      </c>
      <c r="C14412" s="8" t="s">
        <v>3743</v>
      </c>
      <c r="D14412" s="8">
        <v>705</v>
      </c>
      <c r="E14412" s="8">
        <v>0</v>
      </c>
      <c r="F14412" s="8">
        <v>227</v>
      </c>
    </row>
    <row r="14413" spans="1:6" ht="12.75">
      <c r="A14413" s="8">
        <v>43898.351898148147</v>
      </c>
      <c r="B14413" s="8" t="str">
        <f>HYPERLINK("https://twitter.com/ibnaby_","@ibnaby_")</f>
        <v>@ibnaby_</v>
      </c>
      <c r="C14413" s="8" t="s">
        <v>5837</v>
      </c>
      <c r="D14413" s="8">
        <v>0</v>
      </c>
      <c r="E14413" s="8">
        <v>0</v>
      </c>
      <c r="F14413" s="8">
        <v>321</v>
      </c>
    </row>
    <row r="14414" spans="1:6" ht="12.75">
      <c r="A14414" s="8">
        <v>43898.351319444446</v>
      </c>
      <c r="B14414" s="8" t="str">
        <f>HYPERLINK("https://twitter.com/Alferigno","@Alferigno")</f>
        <v>@Alferigno</v>
      </c>
      <c r="C14414" s="8" t="s">
        <v>3743</v>
      </c>
      <c r="D14414" s="8">
        <v>705</v>
      </c>
      <c r="E14414" s="8">
        <v>0</v>
      </c>
      <c r="F14414" s="8">
        <v>28</v>
      </c>
    </row>
    <row r="14415" spans="1:6" ht="12.75">
      <c r="A14415" s="8">
        <v>43898.350613425922</v>
      </c>
      <c r="B14415" s="8" t="str">
        <f>HYPERLINK("https://twitter.com/EWiyatno","@EWiyatno")</f>
        <v>@EWiyatno</v>
      </c>
      <c r="C14415" s="8" t="s">
        <v>3265</v>
      </c>
      <c r="D14415" s="8">
        <v>172</v>
      </c>
      <c r="E14415" s="8">
        <v>0</v>
      </c>
      <c r="F14415" s="8">
        <v>628</v>
      </c>
    </row>
    <row r="14416" spans="1:6" ht="12.75">
      <c r="A14416" s="8">
        <v>43898.350104166668</v>
      </c>
      <c r="B14416" s="8" t="str">
        <f>HYPERLINK("https://twitter.com/muispebrianto","@muispebrianto")</f>
        <v>@muispebrianto</v>
      </c>
      <c r="C14416" s="8" t="s">
        <v>5080</v>
      </c>
      <c r="D14416" s="8">
        <v>103</v>
      </c>
      <c r="E14416" s="8">
        <v>0</v>
      </c>
      <c r="F14416" s="8">
        <v>2809</v>
      </c>
    </row>
    <row r="14417" spans="1:6" ht="12.75">
      <c r="A14417" s="8">
        <v>43898.349953703699</v>
      </c>
      <c r="B14417" s="8" t="str">
        <f>HYPERLINK("https://twitter.com/LaingenLisa","@LaingenLisa")</f>
        <v>@LaingenLisa</v>
      </c>
      <c r="C14417" s="8" t="s">
        <v>5486</v>
      </c>
      <c r="D14417" s="8">
        <v>51</v>
      </c>
      <c r="E14417" s="8">
        <v>0</v>
      </c>
      <c r="F14417" s="8">
        <v>3632</v>
      </c>
    </row>
    <row r="14418" spans="1:6" ht="12.75">
      <c r="A14418" s="8">
        <v>43898.349606481483</v>
      </c>
      <c r="B14418" s="8" t="str">
        <f>HYPERLINK("https://twitter.com/Tandaseru_id","@Tandaseru_id")</f>
        <v>@Tandaseru_id</v>
      </c>
      <c r="C14418" s="8" t="s">
        <v>5838</v>
      </c>
      <c r="D14418" s="8">
        <v>0</v>
      </c>
      <c r="E14418" s="8">
        <v>0</v>
      </c>
      <c r="F14418" s="8">
        <v>535</v>
      </c>
    </row>
    <row r="14419" spans="1:6" ht="12.75">
      <c r="A14419" s="8">
        <v>43898.34920138889</v>
      </c>
      <c r="B14419" s="8" t="str">
        <f>HYPERLINK("https://twitter.com/MisbakhuddinSi6","@MisbakhuddinSi6")</f>
        <v>@MisbakhuddinSi6</v>
      </c>
      <c r="C14419" s="8" t="s">
        <v>5839</v>
      </c>
      <c r="D14419" s="8">
        <v>3</v>
      </c>
      <c r="E14419" s="8">
        <v>5</v>
      </c>
      <c r="F14419" s="8">
        <v>103</v>
      </c>
    </row>
    <row r="14420" spans="1:6" ht="12.75">
      <c r="A14420" s="8">
        <v>43898.348912037036</v>
      </c>
      <c r="B14420" s="8" t="str">
        <f>HYPERLINK("https://twitter.com/sakitotak3","@sakitotak3")</f>
        <v>@sakitotak3</v>
      </c>
      <c r="C14420" s="8" t="s">
        <v>5840</v>
      </c>
      <c r="D14420" s="8">
        <v>0</v>
      </c>
      <c r="E14420" s="8">
        <v>0</v>
      </c>
      <c r="F14420" s="8">
        <v>689</v>
      </c>
    </row>
    <row r="14421" spans="1:6" ht="12.75">
      <c r="A14421" s="8">
        <v>43898.348599537036</v>
      </c>
      <c r="B14421" s="8" t="str">
        <f>HYPERLINK("https://twitter.com/dee_jacobus","@dee_jacobus")</f>
        <v>@dee_jacobus</v>
      </c>
      <c r="C14421" s="8" t="s">
        <v>5486</v>
      </c>
      <c r="D14421" s="8">
        <v>51</v>
      </c>
      <c r="E14421" s="8">
        <v>0</v>
      </c>
      <c r="F14421" s="8">
        <v>1801</v>
      </c>
    </row>
    <row r="14422" spans="1:6" ht="12.75">
      <c r="A14422" s="8">
        <v>43898.348333333328</v>
      </c>
      <c r="B14422" s="8" t="str">
        <f>HYPERLINK("https://twitter.com/IndonesiaPion","@IndonesiaPion")</f>
        <v>@IndonesiaPion</v>
      </c>
      <c r="C14422" s="8" t="s">
        <v>5486</v>
      </c>
      <c r="D14422" s="8">
        <v>51</v>
      </c>
      <c r="E14422" s="8">
        <v>0</v>
      </c>
      <c r="F14422" s="8">
        <v>1531</v>
      </c>
    </row>
    <row r="14423" spans="1:6" ht="12.75">
      <c r="A14423" s="8">
        <v>43898.348009259258</v>
      </c>
      <c r="B14423" s="8" t="str">
        <f>HYPERLINK("https://twitter.com/marinarambe","@marinarambe")</f>
        <v>@marinarambe</v>
      </c>
      <c r="C14423" s="8" t="s">
        <v>3265</v>
      </c>
      <c r="D14423" s="8">
        <v>172</v>
      </c>
      <c r="E14423" s="8">
        <v>0</v>
      </c>
      <c r="F14423" s="8">
        <v>1351</v>
      </c>
    </row>
    <row r="14424" spans="1:6" ht="12.75">
      <c r="A14424" s="8">
        <v>43898.34778935185</v>
      </c>
      <c r="B14424" s="8" t="str">
        <f>HYPERLINK("https://twitter.com/Rambo25004053","@Rambo25004053")</f>
        <v>@Rambo25004053</v>
      </c>
      <c r="C14424" s="8" t="s">
        <v>5080</v>
      </c>
      <c r="D14424" s="8">
        <v>103</v>
      </c>
      <c r="E14424" s="8">
        <v>0</v>
      </c>
      <c r="F14424" s="8">
        <v>186</v>
      </c>
    </row>
    <row r="14425" spans="1:6" ht="12.75">
      <c r="A14425" s="8">
        <v>43898.347407407404</v>
      </c>
      <c r="B14425" s="8" t="str">
        <f>HYPERLINK("https://twitter.com/Erick_Lubis","@Erick_Lubis")</f>
        <v>@Erick_Lubis</v>
      </c>
      <c r="C14425" s="8" t="s">
        <v>3405</v>
      </c>
      <c r="D14425" s="8">
        <v>35</v>
      </c>
      <c r="E14425" s="8">
        <v>0</v>
      </c>
      <c r="F14425" s="8">
        <v>107</v>
      </c>
    </row>
    <row r="14426" spans="1:6" ht="12.75">
      <c r="A14426" s="8">
        <v>43898.346817129626</v>
      </c>
      <c r="B14426" s="8" t="str">
        <f>HYPERLINK("https://twitter.com/Faylasalle2","@Faylasalle2")</f>
        <v>@Faylasalle2</v>
      </c>
      <c r="C14426" s="8" t="s">
        <v>5841</v>
      </c>
      <c r="D14426" s="8">
        <v>3</v>
      </c>
      <c r="E14426" s="8">
        <v>0</v>
      </c>
      <c r="F14426" s="8">
        <v>545</v>
      </c>
    </row>
    <row r="14427" spans="1:6" ht="12.75">
      <c r="A14427" s="8">
        <v>43898.34652777778</v>
      </c>
      <c r="B14427" s="8" t="str">
        <f t="shared" ref="B14427:B14428" si="215">HYPERLINK("https://twitter.com/hidupnanindah","@hidupnanindah")</f>
        <v>@hidupnanindah</v>
      </c>
      <c r="C14427" s="8" t="s">
        <v>5842</v>
      </c>
      <c r="D14427" s="8">
        <v>1</v>
      </c>
      <c r="E14427" s="8">
        <v>0</v>
      </c>
      <c r="F14427" s="8">
        <v>14970</v>
      </c>
    </row>
    <row r="14428" spans="1:6" ht="12.75">
      <c r="A14428" s="8">
        <v>43898.34646990741</v>
      </c>
      <c r="B14428" s="8" t="str">
        <f t="shared" si="215"/>
        <v>@hidupnanindah</v>
      </c>
      <c r="C14428" s="8" t="s">
        <v>5843</v>
      </c>
      <c r="D14428" s="8">
        <v>0</v>
      </c>
      <c r="E14428" s="8">
        <v>0</v>
      </c>
      <c r="F14428" s="8">
        <v>14970</v>
      </c>
    </row>
    <row r="14429" spans="1:6" ht="12.75">
      <c r="A14429" s="8">
        <v>43898.346296296295</v>
      </c>
      <c r="B14429" s="8" t="str">
        <f>HYPERLINK("https://twitter.com/Tinta60446377","@Tinta60446377")</f>
        <v>@Tinta60446377</v>
      </c>
      <c r="C14429" s="8" t="s">
        <v>3265</v>
      </c>
      <c r="D14429" s="8">
        <v>172</v>
      </c>
      <c r="E14429" s="8">
        <v>0</v>
      </c>
      <c r="F14429" s="8">
        <v>118</v>
      </c>
    </row>
    <row r="14430" spans="1:6" ht="12.75">
      <c r="A14430" s="8">
        <v>43898.345868055556</v>
      </c>
      <c r="B14430" s="8" t="str">
        <f>HYPERLINK("https://twitter.com/zhu_dave","@zhu_dave")</f>
        <v>@zhu_dave</v>
      </c>
      <c r="C14430" s="8" t="s">
        <v>5080</v>
      </c>
      <c r="D14430" s="8">
        <v>103</v>
      </c>
      <c r="E14430" s="8">
        <v>0</v>
      </c>
      <c r="F14430" s="8">
        <v>1589</v>
      </c>
    </row>
    <row r="14431" spans="1:6" ht="12.75">
      <c r="A14431" s="8">
        <v>43898.345081018517</v>
      </c>
      <c r="B14431" s="8" t="str">
        <f>HYPERLINK("https://twitter.com/kopral_jon00","@kopral_jon00")</f>
        <v>@kopral_jon00</v>
      </c>
      <c r="C14431" s="8" t="s">
        <v>3265</v>
      </c>
      <c r="D14431" s="8">
        <v>172</v>
      </c>
      <c r="E14431" s="8">
        <v>0</v>
      </c>
      <c r="F14431" s="8">
        <v>824</v>
      </c>
    </row>
    <row r="14432" spans="1:6" ht="12.75">
      <c r="A14432" s="8">
        <v>43898.345069444447</v>
      </c>
      <c r="B14432" s="8" t="str">
        <f>HYPERLINK("https://twitter.com/Faylasalle2","@Faylasalle2")</f>
        <v>@Faylasalle2</v>
      </c>
      <c r="C14432" s="8" t="s">
        <v>5844</v>
      </c>
      <c r="D14432" s="8">
        <v>7</v>
      </c>
      <c r="E14432" s="8">
        <v>0</v>
      </c>
      <c r="F14432" s="8">
        <v>545</v>
      </c>
    </row>
    <row r="14433" spans="1:6" ht="12.75">
      <c r="A14433" s="8">
        <v>43898.339398148149</v>
      </c>
      <c r="B14433" s="8" t="str">
        <f>HYPERLINK("https://twitter.com/miqa0912","@miqa0912")</f>
        <v>@miqa0912</v>
      </c>
      <c r="C14433" s="8" t="s">
        <v>5845</v>
      </c>
      <c r="D14433" s="8">
        <v>0</v>
      </c>
      <c r="E14433" s="8">
        <v>0</v>
      </c>
      <c r="F14433" s="8">
        <v>966</v>
      </c>
    </row>
    <row r="14434" spans="1:6" ht="12.75">
      <c r="A14434" s="8">
        <v>43898.338344907403</v>
      </c>
      <c r="B14434" s="8" t="str">
        <f>HYPERLINK("https://twitter.com/SukmoYuwono","@SukmoYuwono")</f>
        <v>@SukmoYuwono</v>
      </c>
      <c r="C14434" s="8" t="s">
        <v>1376</v>
      </c>
      <c r="D14434" s="8">
        <v>53</v>
      </c>
      <c r="E14434" s="8">
        <v>0</v>
      </c>
      <c r="F14434" s="8">
        <v>233</v>
      </c>
    </row>
    <row r="14435" spans="1:6" ht="12.75">
      <c r="A14435" s="8">
        <v>43898.337129629625</v>
      </c>
      <c r="B14435" s="8" t="str">
        <f>HYPERLINK("https://twitter.com/antynara","@antynara")</f>
        <v>@antynara</v>
      </c>
      <c r="C14435" s="8" t="s">
        <v>5846</v>
      </c>
      <c r="D14435" s="8">
        <v>0</v>
      </c>
      <c r="E14435" s="8">
        <v>0</v>
      </c>
      <c r="F14435" s="8">
        <v>315</v>
      </c>
    </row>
    <row r="14436" spans="1:6" ht="12.75">
      <c r="A14436" s="8">
        <v>43898.337083333332</v>
      </c>
      <c r="B14436" s="8" t="str">
        <f>HYPERLINK("https://twitter.com/FaberArios","@FaberArios")</f>
        <v>@FaberArios</v>
      </c>
      <c r="C14436" s="8" t="s">
        <v>5704</v>
      </c>
      <c r="D14436" s="8">
        <v>56</v>
      </c>
      <c r="E14436" s="8">
        <v>0</v>
      </c>
      <c r="F14436" s="8">
        <v>111</v>
      </c>
    </row>
    <row r="14437" spans="1:6" ht="12.75">
      <c r="A14437" s="8">
        <v>43898.336608796293</v>
      </c>
      <c r="B14437" s="8" t="str">
        <f>HYPERLINK("https://twitter.com/LaskaPalembang","@LaskaPalembang")</f>
        <v>@LaskaPalembang</v>
      </c>
      <c r="C14437" s="8" t="s">
        <v>3265</v>
      </c>
      <c r="D14437" s="8">
        <v>153</v>
      </c>
      <c r="E14437" s="8">
        <v>0</v>
      </c>
      <c r="F14437" s="8">
        <v>315</v>
      </c>
    </row>
    <row r="14438" spans="1:6" ht="12.75">
      <c r="A14438" s="8">
        <v>43898.335011574076</v>
      </c>
      <c r="B14438" s="8" t="str">
        <f>HYPERLINK("https://twitter.com/aimulianto","@aimulianto")</f>
        <v>@aimulianto</v>
      </c>
      <c r="C14438" s="8" t="s">
        <v>5847</v>
      </c>
      <c r="D14438" s="8">
        <v>0</v>
      </c>
      <c r="E14438" s="8">
        <v>0</v>
      </c>
      <c r="F14438" s="8">
        <v>115</v>
      </c>
    </row>
    <row r="14439" spans="1:6" ht="12.75">
      <c r="A14439" s="8">
        <v>43898.33493055556</v>
      </c>
      <c r="B14439" s="8" t="str">
        <f>HYPERLINK("https://twitter.com/nosa_her","@nosa_her")</f>
        <v>@nosa_her</v>
      </c>
      <c r="C14439" s="8" t="s">
        <v>4940</v>
      </c>
      <c r="D14439" s="8">
        <v>9</v>
      </c>
      <c r="E14439" s="8">
        <v>0</v>
      </c>
      <c r="F14439" s="8">
        <v>586</v>
      </c>
    </row>
    <row r="14440" spans="1:6" ht="12.75">
      <c r="A14440" s="8">
        <v>43898.334189814814</v>
      </c>
      <c r="B14440" s="8" t="str">
        <f>HYPERLINK("https://twitter.com/kaery98","@kaery98")</f>
        <v>@kaery98</v>
      </c>
      <c r="C14440" s="8" t="s">
        <v>5848</v>
      </c>
      <c r="D14440" s="8">
        <v>0</v>
      </c>
      <c r="E14440" s="8">
        <v>0</v>
      </c>
      <c r="F14440" s="8">
        <v>268</v>
      </c>
    </row>
    <row r="14441" spans="1:6" ht="12.75">
      <c r="A14441" s="8">
        <v>43898.333611111113</v>
      </c>
      <c r="B14441" s="8" t="str">
        <f>HYPERLINK("https://twitter.com/pradjina","@pradjina")</f>
        <v>@pradjina</v>
      </c>
      <c r="C14441" s="8" t="s">
        <v>5849</v>
      </c>
      <c r="D14441" s="8">
        <v>0</v>
      </c>
      <c r="E14441" s="8">
        <v>0</v>
      </c>
      <c r="F14441" s="8">
        <v>29</v>
      </c>
    </row>
    <row r="14442" spans="1:6" ht="12.75">
      <c r="A14442" s="8">
        <v>43898.33326388889</v>
      </c>
      <c r="B14442" s="8" t="str">
        <f>HYPERLINK("https://twitter.com/Ahardi377","@Ahardi377")</f>
        <v>@Ahardi377</v>
      </c>
      <c r="C14442" s="8" t="s">
        <v>3265</v>
      </c>
      <c r="D14442" s="8">
        <v>153</v>
      </c>
      <c r="E14442" s="8">
        <v>0</v>
      </c>
      <c r="F14442" s="8">
        <v>16</v>
      </c>
    </row>
    <row r="14443" spans="1:6" ht="12.75">
      <c r="A14443" s="8">
        <v>43898.333252314813</v>
      </c>
      <c r="B14443" s="8" t="str">
        <f>HYPERLINK("https://twitter.com/drpriono","@drpriono")</f>
        <v>@drpriono</v>
      </c>
      <c r="C14443" s="8" t="s">
        <v>5850</v>
      </c>
      <c r="D14443" s="8">
        <v>0</v>
      </c>
      <c r="E14443" s="8">
        <v>0</v>
      </c>
      <c r="F14443" s="8">
        <v>517</v>
      </c>
    </row>
    <row r="14444" spans="1:6" ht="12.75">
      <c r="A14444" s="8">
        <v>43898.333113425921</v>
      </c>
      <c r="B14444" s="8" t="str">
        <f>HYPERLINK("https://twitter.com/ccpsugiono","@ccpsugiono")</f>
        <v>@ccpsugiono</v>
      </c>
      <c r="C14444" s="8" t="s">
        <v>5851</v>
      </c>
      <c r="D14444" s="8">
        <v>0</v>
      </c>
      <c r="E14444" s="8">
        <v>0</v>
      </c>
      <c r="F14444" s="8">
        <v>713</v>
      </c>
    </row>
    <row r="14445" spans="1:6" ht="12.75">
      <c r="A14445" s="8">
        <v>43898.332569444443</v>
      </c>
      <c r="B14445" s="8" t="str">
        <f>HYPERLINK("https://twitter.com/Av1Dlm","@Av1Dlm")</f>
        <v>@Av1Dlm</v>
      </c>
      <c r="C14445" s="8" t="s">
        <v>5852</v>
      </c>
      <c r="D14445" s="8">
        <v>16</v>
      </c>
      <c r="E14445" s="8">
        <v>0</v>
      </c>
      <c r="F14445" s="8">
        <v>321</v>
      </c>
    </row>
    <row r="14446" spans="1:6" ht="12.75">
      <c r="A14446" s="8">
        <v>43898.332488425927</v>
      </c>
      <c r="B14446" s="8" t="str">
        <f>HYPERLINK("https://twitter.com/7uiceWRLD","@7uiceWRLD")</f>
        <v>@7uiceWRLD</v>
      </c>
      <c r="C14446" s="8" t="s">
        <v>5853</v>
      </c>
      <c r="D14446" s="8">
        <v>0</v>
      </c>
      <c r="E14446" s="8">
        <v>0</v>
      </c>
      <c r="F14446" s="8">
        <v>1325</v>
      </c>
    </row>
    <row r="14447" spans="1:6" ht="12.75">
      <c r="A14447" s="8">
        <v>43898.331631944442</v>
      </c>
      <c r="B14447" s="8" t="str">
        <f>HYPERLINK("https://twitter.com/eldifaaa","@eldifaaa")</f>
        <v>@eldifaaa</v>
      </c>
      <c r="C14447" s="8" t="s">
        <v>4162</v>
      </c>
      <c r="D14447" s="8">
        <v>107</v>
      </c>
      <c r="E14447" s="8">
        <v>0</v>
      </c>
      <c r="F14447" s="8">
        <v>268</v>
      </c>
    </row>
    <row r="14448" spans="1:6" ht="12.75">
      <c r="A14448" s="8">
        <v>43898.331446759257</v>
      </c>
      <c r="B14448" s="8" t="str">
        <f>HYPERLINK("https://twitter.com/AlvaFila","@AlvaFila")</f>
        <v>@AlvaFila</v>
      </c>
      <c r="C14448" s="8" t="s">
        <v>3265</v>
      </c>
      <c r="D14448" s="8">
        <v>153</v>
      </c>
      <c r="E14448" s="8">
        <v>0</v>
      </c>
      <c r="F14448" s="8">
        <v>573</v>
      </c>
    </row>
    <row r="14449" spans="1:6" ht="12.75">
      <c r="A14449" s="8">
        <v>43898.330937499995</v>
      </c>
      <c r="B14449" s="8" t="str">
        <f>HYPERLINK("https://twitter.com/vita_AVP","@vita_AVP")</f>
        <v>@vita_AVP</v>
      </c>
      <c r="C14449" s="8" t="s">
        <v>5854</v>
      </c>
      <c r="D14449" s="8">
        <v>0</v>
      </c>
      <c r="E14449" s="8">
        <v>2</v>
      </c>
      <c r="F14449" s="8">
        <v>6441</v>
      </c>
    </row>
    <row r="14450" spans="1:6" ht="12.75">
      <c r="A14450" s="8">
        <v>43898.330081018517</v>
      </c>
      <c r="B14450" s="8" t="str">
        <f>HYPERLINK("https://twitter.com/bangastrajingga","@bangastrajingga")</f>
        <v>@bangastrajingga</v>
      </c>
      <c r="C14450" s="8" t="s">
        <v>3265</v>
      </c>
      <c r="D14450" s="8">
        <v>153</v>
      </c>
      <c r="E14450" s="8">
        <v>0</v>
      </c>
      <c r="F14450" s="8">
        <v>145</v>
      </c>
    </row>
    <row r="14451" spans="1:6" ht="12.75">
      <c r="A14451" s="8">
        <v>43898.329942129625</v>
      </c>
      <c r="B14451" s="8" t="str">
        <f>HYPERLINK("https://twitter.com/Masdjodi1","@Masdjodi1")</f>
        <v>@Masdjodi1</v>
      </c>
      <c r="C14451" s="8" t="s">
        <v>3265</v>
      </c>
      <c r="D14451" s="8">
        <v>153</v>
      </c>
      <c r="E14451" s="8">
        <v>0</v>
      </c>
      <c r="F14451" s="8">
        <v>747</v>
      </c>
    </row>
    <row r="14452" spans="1:6" ht="12.75">
      <c r="A14452" s="8">
        <v>43898.32949074074</v>
      </c>
      <c r="B14452" s="8" t="str">
        <f>HYPERLINK("https://twitter.com/TomTracker2","@TomTracker2")</f>
        <v>@TomTracker2</v>
      </c>
      <c r="C14452" s="8" t="s">
        <v>3405</v>
      </c>
      <c r="D14452" s="8">
        <v>26</v>
      </c>
      <c r="E14452" s="8">
        <v>0</v>
      </c>
      <c r="F14452" s="8">
        <v>2571</v>
      </c>
    </row>
    <row r="14453" spans="1:6" ht="12.75">
      <c r="A14453" s="8">
        <v>43898.32949074074</v>
      </c>
      <c r="B14453" s="8" t="str">
        <f>HYPERLINK("https://twitter.com/AgungWidrajat","@AgungWidrajat")</f>
        <v>@AgungWidrajat</v>
      </c>
      <c r="C14453" s="8" t="s">
        <v>3405</v>
      </c>
      <c r="D14453" s="8">
        <v>26</v>
      </c>
      <c r="E14453" s="8">
        <v>0</v>
      </c>
      <c r="F14453" s="8">
        <v>2312</v>
      </c>
    </row>
    <row r="14454" spans="1:6" ht="12.75">
      <c r="A14454" s="8">
        <v>43898.329166666663</v>
      </c>
      <c r="B14454" s="8" t="str">
        <f>HYPERLINK("https://twitter.com/ZainulA42038361","@ZainulA42038361")</f>
        <v>@ZainulA42038361</v>
      </c>
      <c r="C14454" s="8" t="s">
        <v>4510</v>
      </c>
      <c r="D14454" s="8">
        <v>124</v>
      </c>
      <c r="E14454" s="8">
        <v>0</v>
      </c>
      <c r="F14454" s="8">
        <v>293</v>
      </c>
    </row>
    <row r="14455" spans="1:6" ht="12.75">
      <c r="A14455" s="8">
        <v>43898.328969907408</v>
      </c>
      <c r="B14455" s="8" t="str">
        <f>HYPERLINK("https://twitter.com/andyanantomuh_","@andyanantomuh_")</f>
        <v>@andyanantomuh_</v>
      </c>
      <c r="C14455" s="8" t="s">
        <v>1376</v>
      </c>
      <c r="D14455" s="8">
        <v>53</v>
      </c>
      <c r="E14455" s="8">
        <v>0</v>
      </c>
      <c r="F14455" s="8">
        <v>80</v>
      </c>
    </row>
    <row r="14456" spans="1:6" ht="12.75">
      <c r="A14456" s="8">
        <v>43898.328321759254</v>
      </c>
      <c r="B14456" s="8" t="str">
        <f>HYPERLINK("https://twitter.com/Wiwikbudiawan","@Wiwikbudiawan")</f>
        <v>@Wiwikbudiawan</v>
      </c>
      <c r="C14456" s="8" t="s">
        <v>4162</v>
      </c>
      <c r="D14456" s="8">
        <v>107</v>
      </c>
      <c r="E14456" s="8">
        <v>0</v>
      </c>
      <c r="F14456" s="8">
        <v>291</v>
      </c>
    </row>
    <row r="14457" spans="1:6" ht="12.75">
      <c r="A14457" s="8">
        <v>43898.32748842593</v>
      </c>
      <c r="B14457" s="8" t="str">
        <f>HYPERLINK("https://twitter.com/KangAzzev","@KangAzzev")</f>
        <v>@KangAzzev</v>
      </c>
      <c r="C14457" s="8" t="s">
        <v>3405</v>
      </c>
      <c r="D14457" s="8">
        <v>26</v>
      </c>
      <c r="E14457" s="8">
        <v>0</v>
      </c>
      <c r="F14457" s="8">
        <v>767</v>
      </c>
    </row>
    <row r="14458" spans="1:6" ht="12.75">
      <c r="A14458" s="8">
        <v>43898.327083333337</v>
      </c>
      <c r="B14458" s="8" t="str">
        <f>HYPERLINK("https://twitter.com/ani_nyebar","@ani_nyebar")</f>
        <v>@ani_nyebar</v>
      </c>
      <c r="C14458" s="8" t="s">
        <v>5855</v>
      </c>
      <c r="D14458" s="8">
        <v>0</v>
      </c>
      <c r="E14458" s="8">
        <v>0</v>
      </c>
      <c r="F14458" s="8">
        <v>127</v>
      </c>
    </row>
    <row r="14459" spans="1:6" ht="12.75">
      <c r="A14459" s="8">
        <v>43898.326504629629</v>
      </c>
      <c r="B14459" s="8" t="str">
        <f>HYPERLINK("https://twitter.com/JannesHutajulu","@JannesHutajulu")</f>
        <v>@JannesHutajulu</v>
      </c>
      <c r="C14459" s="8" t="s">
        <v>5080</v>
      </c>
      <c r="D14459" s="8">
        <v>89</v>
      </c>
      <c r="E14459" s="8">
        <v>0</v>
      </c>
      <c r="F14459" s="8">
        <v>2436</v>
      </c>
    </row>
    <row r="14460" spans="1:6" ht="12.75">
      <c r="A14460" s="8">
        <v>43898.326458333337</v>
      </c>
      <c r="B14460" s="8" t="str">
        <f>HYPERLINK("https://twitter.com/budi_butos","@budi_butos")</f>
        <v>@budi_butos</v>
      </c>
      <c r="C14460" s="8" t="s">
        <v>3265</v>
      </c>
      <c r="D14460" s="8">
        <v>153</v>
      </c>
      <c r="E14460" s="8">
        <v>0</v>
      </c>
      <c r="F14460" s="8">
        <v>39</v>
      </c>
    </row>
    <row r="14461" spans="1:6" ht="12.75">
      <c r="A14461" s="8">
        <v>43898.326006944444</v>
      </c>
      <c r="B14461" s="8" t="str">
        <f>HYPERLINK("https://twitter.com/Kasihsayangkamu","@Kasihsayangkamu")</f>
        <v>@Kasihsayangkamu</v>
      </c>
      <c r="C14461" s="8" t="s">
        <v>3265</v>
      </c>
      <c r="D14461" s="8">
        <v>153</v>
      </c>
      <c r="E14461" s="8">
        <v>0</v>
      </c>
      <c r="F14461" s="8">
        <v>1</v>
      </c>
    </row>
    <row r="14462" spans="1:6" ht="12.75">
      <c r="A14462" s="8">
        <v>43898.325775462959</v>
      </c>
      <c r="B14462" s="8" t="str">
        <f>HYPERLINK("https://twitter.com/BentenkNKRI","@BentenkNKRI")</f>
        <v>@BentenkNKRI</v>
      </c>
      <c r="C14462" s="8" t="s">
        <v>5080</v>
      </c>
      <c r="D14462" s="8">
        <v>89</v>
      </c>
      <c r="E14462" s="8">
        <v>0</v>
      </c>
      <c r="F14462" s="8">
        <v>1383</v>
      </c>
    </row>
    <row r="14463" spans="1:6" ht="12.75">
      <c r="A14463" s="8">
        <v>43898.32545138889</v>
      </c>
      <c r="B14463" s="8" t="str">
        <f>HYPERLINK("https://twitter.com/kundalini001","@kundalini001")</f>
        <v>@kundalini001</v>
      </c>
      <c r="C14463" s="8" t="s">
        <v>3405</v>
      </c>
      <c r="D14463" s="8">
        <v>26</v>
      </c>
      <c r="E14463" s="8">
        <v>0</v>
      </c>
      <c r="F14463" s="8">
        <v>214</v>
      </c>
    </row>
    <row r="14464" spans="1:6" ht="12.75">
      <c r="A14464" s="8">
        <v>43898.325023148151</v>
      </c>
      <c r="B14464" s="8" t="str">
        <f>HYPERLINK("https://twitter.com/NovendraPutra4","@NovendraPutra4")</f>
        <v>@NovendraPutra4</v>
      </c>
      <c r="C14464" s="8" t="s">
        <v>3265</v>
      </c>
      <c r="D14464" s="8">
        <v>153</v>
      </c>
      <c r="E14464" s="8">
        <v>0</v>
      </c>
      <c r="F14464" s="8">
        <v>10</v>
      </c>
    </row>
    <row r="14465" spans="1:6" ht="12.75">
      <c r="A14465" s="8">
        <v>43898.324837962966</v>
      </c>
      <c r="B14465" s="8" t="str">
        <f>HYPERLINK("https://twitter.com/Awang_Azhari","@Awang_Azhari")</f>
        <v>@Awang_Azhari</v>
      </c>
      <c r="C14465" s="8" t="s">
        <v>5856</v>
      </c>
      <c r="D14465" s="8">
        <v>0</v>
      </c>
      <c r="E14465" s="8">
        <v>0</v>
      </c>
      <c r="F14465" s="8">
        <v>103</v>
      </c>
    </row>
    <row r="14466" spans="1:6" ht="12.75">
      <c r="A14466" s="8">
        <v>43898.323981481481</v>
      </c>
      <c r="B14466" s="8" t="str">
        <f>HYPERLINK("https://twitter.com/nosa_her","@nosa_her")</f>
        <v>@nosa_her</v>
      </c>
      <c r="C14466" s="8" t="s">
        <v>3405</v>
      </c>
      <c r="D14466" s="8">
        <v>26</v>
      </c>
      <c r="E14466" s="8">
        <v>0</v>
      </c>
      <c r="F14466" s="8">
        <v>586</v>
      </c>
    </row>
    <row r="14467" spans="1:6" ht="12.75">
      <c r="A14467" s="8">
        <v>43898.323761574073</v>
      </c>
      <c r="B14467" s="8" t="str">
        <f>HYPERLINK("https://twitter.com/sapulebu99","@sapulebu99")</f>
        <v>@sapulebu99</v>
      </c>
      <c r="C14467" s="8" t="s">
        <v>3265</v>
      </c>
      <c r="D14467" s="8">
        <v>153</v>
      </c>
      <c r="E14467" s="8">
        <v>0</v>
      </c>
      <c r="F14467" s="8">
        <v>325</v>
      </c>
    </row>
    <row r="14468" spans="1:6" ht="12.75">
      <c r="A14468" s="8">
        <v>43898.322615740741</v>
      </c>
      <c r="B14468" s="8" t="str">
        <f>HYPERLINK("https://twitter.com/badir03","@badir03")</f>
        <v>@badir03</v>
      </c>
      <c r="C14468" s="8" t="s">
        <v>3265</v>
      </c>
      <c r="D14468" s="8">
        <v>153</v>
      </c>
      <c r="E14468" s="8">
        <v>0</v>
      </c>
      <c r="F14468" s="8">
        <v>275</v>
      </c>
    </row>
    <row r="14469" spans="1:6" ht="12.75">
      <c r="A14469" s="8">
        <v>43898.322604166664</v>
      </c>
      <c r="B14469" s="8" t="str">
        <f>HYPERLINK("https://twitter.com/inggavalensi","@inggavalensi")</f>
        <v>@inggavalensi</v>
      </c>
      <c r="C14469" s="8" t="s">
        <v>3265</v>
      </c>
      <c r="D14469" s="8">
        <v>153</v>
      </c>
      <c r="E14469" s="8">
        <v>0</v>
      </c>
      <c r="F14469" s="8">
        <v>717</v>
      </c>
    </row>
    <row r="14470" spans="1:6" ht="12.75">
      <c r="A14470" s="8">
        <v>43898.322418981479</v>
      </c>
      <c r="B14470" s="8" t="str">
        <f>HYPERLINK("https://twitter.com/radixwp","@radixwp")</f>
        <v>@radixwp</v>
      </c>
      <c r="C14470" s="8" t="s">
        <v>5857</v>
      </c>
      <c r="D14470" s="8">
        <v>0</v>
      </c>
      <c r="E14470" s="8">
        <v>0</v>
      </c>
      <c r="F14470" s="8">
        <v>8</v>
      </c>
    </row>
    <row r="14471" spans="1:6" ht="12.75">
      <c r="A14471" s="8">
        <v>43898.32230324074</v>
      </c>
      <c r="B14471" s="8" t="str">
        <f>HYPERLINK("https://twitter.com/OficialNikko","@OficialNikko")</f>
        <v>@OficialNikko</v>
      </c>
      <c r="C14471" s="8" t="s">
        <v>3405</v>
      </c>
      <c r="D14471" s="8">
        <v>26</v>
      </c>
      <c r="E14471" s="8">
        <v>0</v>
      </c>
      <c r="F14471" s="8">
        <v>300</v>
      </c>
    </row>
    <row r="14472" spans="1:6" ht="12.75">
      <c r="A14472" s="8">
        <v>43898.32203703704</v>
      </c>
      <c r="B14472" s="8" t="str">
        <f>HYPERLINK("https://twitter.com/wni_jmsri","@wni_jmsri")</f>
        <v>@wni_jmsri</v>
      </c>
      <c r="C14472" s="8" t="s">
        <v>5858</v>
      </c>
      <c r="D14472" s="8">
        <v>21</v>
      </c>
      <c r="E14472" s="8">
        <v>0</v>
      </c>
      <c r="F14472" s="8">
        <v>203</v>
      </c>
    </row>
    <row r="14473" spans="1:6" ht="12.75">
      <c r="A14473" s="8">
        <v>43898.32131944444</v>
      </c>
      <c r="B14473" s="8" t="str">
        <f>HYPERLINK("https://twitter.com/Susanto21585883","@Susanto21585883")</f>
        <v>@Susanto21585883</v>
      </c>
      <c r="C14473" s="8" t="s">
        <v>3265</v>
      </c>
      <c r="D14473" s="8">
        <v>153</v>
      </c>
      <c r="E14473" s="8">
        <v>0</v>
      </c>
      <c r="F14473" s="8">
        <v>23</v>
      </c>
    </row>
    <row r="14474" spans="1:6" ht="12.75">
      <c r="A14474" s="8">
        <v>43898.321215277778</v>
      </c>
      <c r="B14474" s="8" t="str">
        <f>HYPERLINK("https://twitter.com/ade_r70","@ade_r70")</f>
        <v>@ade_r70</v>
      </c>
      <c r="C14474" s="8" t="s">
        <v>5080</v>
      </c>
      <c r="D14474" s="8">
        <v>89</v>
      </c>
      <c r="E14474" s="8">
        <v>0</v>
      </c>
      <c r="F14474" s="8">
        <v>559</v>
      </c>
    </row>
    <row r="14475" spans="1:6" ht="12.75">
      <c r="A14475" s="8">
        <v>43898.321087962962</v>
      </c>
      <c r="B14475" s="8" t="str">
        <f>HYPERLINK("https://twitter.com/ManokPokena","@ManokPokena")</f>
        <v>@ManokPokena</v>
      </c>
      <c r="C14475" s="8" t="s">
        <v>3405</v>
      </c>
      <c r="D14475" s="8">
        <v>26</v>
      </c>
      <c r="E14475" s="8">
        <v>0</v>
      </c>
      <c r="F14475" s="8">
        <v>408</v>
      </c>
    </row>
    <row r="14476" spans="1:6" ht="12.75">
      <c r="A14476" s="8">
        <v>43898.321064814816</v>
      </c>
      <c r="B14476" s="8" t="str">
        <f>HYPERLINK("https://twitter.com/Arif_Analyst","@Arif_Analyst")</f>
        <v>@Arif_Analyst</v>
      </c>
      <c r="C14476" s="8" t="s">
        <v>3265</v>
      </c>
      <c r="D14476" s="8">
        <v>153</v>
      </c>
      <c r="E14476" s="8">
        <v>0</v>
      </c>
      <c r="F14476" s="8">
        <v>198</v>
      </c>
    </row>
    <row r="14477" spans="1:6" ht="12.75">
      <c r="A14477" s="8">
        <v>43898.320833333331</v>
      </c>
      <c r="B14477" s="8" t="str">
        <f>HYPERLINK("https://twitter.com/KGiring","@KGiring")</f>
        <v>@KGiring</v>
      </c>
      <c r="C14477" s="8" t="s">
        <v>5859</v>
      </c>
      <c r="D14477" s="8">
        <v>0</v>
      </c>
      <c r="E14477" s="8">
        <v>0</v>
      </c>
      <c r="F14477" s="8">
        <v>3577</v>
      </c>
    </row>
    <row r="14478" spans="1:6" ht="12.75">
      <c r="A14478" s="8">
        <v>43898.320740740739</v>
      </c>
      <c r="B14478" s="8" t="str">
        <f>HYPERLINK("https://twitter.com/ESJHAN","@ESJHAN")</f>
        <v>@ESJHAN</v>
      </c>
      <c r="C14478" s="8" t="s">
        <v>5860</v>
      </c>
      <c r="D14478" s="8">
        <v>0</v>
      </c>
      <c r="E14478" s="8">
        <v>1</v>
      </c>
      <c r="F14478" s="8">
        <v>11</v>
      </c>
    </row>
    <row r="14479" spans="1:6" ht="12.75">
      <c r="A14479" s="8">
        <v>43898.320185185185</v>
      </c>
      <c r="B14479" s="8" t="str">
        <f>HYPERLINK("https://twitter.com/spyrogyra82","@spyrogyra82")</f>
        <v>@spyrogyra82</v>
      </c>
      <c r="C14479" s="8" t="s">
        <v>5080</v>
      </c>
      <c r="D14479" s="8">
        <v>89</v>
      </c>
      <c r="E14479" s="8">
        <v>0</v>
      </c>
      <c r="F14479" s="8">
        <v>590</v>
      </c>
    </row>
    <row r="14480" spans="1:6" ht="12.75">
      <c r="A14480" s="8">
        <v>43898.319895833338</v>
      </c>
      <c r="B14480" s="8" t="str">
        <f>HYPERLINK("https://twitter.com/AudreyChristabe","@AudreyChristabe")</f>
        <v>@AudreyChristabe</v>
      </c>
      <c r="C14480" s="8" t="s">
        <v>3405</v>
      </c>
      <c r="D14480" s="8">
        <v>26</v>
      </c>
      <c r="E14480" s="8">
        <v>0</v>
      </c>
      <c r="F14480" s="8">
        <v>210</v>
      </c>
    </row>
    <row r="14481" spans="1:6" ht="12.75">
      <c r="A14481" s="8">
        <v>43898.319849537038</v>
      </c>
      <c r="B14481" s="8" t="str">
        <f>HYPERLINK("https://twitter.com/imansalahin_put","@imansalahin_put")</f>
        <v>@imansalahin_put</v>
      </c>
      <c r="C14481" s="8" t="s">
        <v>3265</v>
      </c>
      <c r="D14481" s="8">
        <v>153</v>
      </c>
      <c r="E14481" s="8">
        <v>0</v>
      </c>
      <c r="F14481" s="8">
        <v>880</v>
      </c>
    </row>
    <row r="14482" spans="1:6" ht="12.75">
      <c r="A14482" s="8">
        <v>43898.319814814815</v>
      </c>
      <c r="B14482" s="8" t="str">
        <f>HYPERLINK("https://twitter.com/antynara","@antynara")</f>
        <v>@antynara</v>
      </c>
      <c r="C14482" s="8" t="s">
        <v>5861</v>
      </c>
      <c r="D14482" s="8">
        <v>0</v>
      </c>
      <c r="E14482" s="8">
        <v>0</v>
      </c>
      <c r="F14482" s="8">
        <v>315</v>
      </c>
    </row>
    <row r="14483" spans="1:6" ht="12.75">
      <c r="A14483" s="8">
        <v>43898.319178240738</v>
      </c>
      <c r="B14483" s="8" t="str">
        <f>HYPERLINK("https://twitter.com/yudi732002","@yudi732002")</f>
        <v>@yudi732002</v>
      </c>
      <c r="C14483" s="8" t="s">
        <v>3405</v>
      </c>
      <c r="D14483" s="8">
        <v>26</v>
      </c>
      <c r="E14483" s="8">
        <v>0</v>
      </c>
      <c r="F14483" s="8">
        <v>647</v>
      </c>
    </row>
    <row r="14484" spans="1:6" ht="12.75">
      <c r="A14484" s="8">
        <v>43898.318402777775</v>
      </c>
      <c r="B14484" s="8" t="str">
        <f>HYPERLINK("https://twitter.com/richosembiring","@richosembiring")</f>
        <v>@richosembiring</v>
      </c>
      <c r="C14484" s="8" t="s">
        <v>5862</v>
      </c>
      <c r="D14484" s="8">
        <v>0</v>
      </c>
      <c r="E14484" s="8">
        <v>0</v>
      </c>
      <c r="F14484" s="8">
        <v>141</v>
      </c>
    </row>
    <row r="14485" spans="1:6" ht="12.75">
      <c r="A14485" s="8">
        <v>43898.318391203706</v>
      </c>
      <c r="B14485" s="8" t="str">
        <f>HYPERLINK("https://twitter.com/chepdimyati","@chepdimyati")</f>
        <v>@chepdimyati</v>
      </c>
      <c r="C14485" s="8" t="s">
        <v>3265</v>
      </c>
      <c r="D14485" s="8">
        <v>153</v>
      </c>
      <c r="E14485" s="8">
        <v>0</v>
      </c>
      <c r="F14485" s="8">
        <v>72</v>
      </c>
    </row>
    <row r="14486" spans="1:6" ht="12.75">
      <c r="A14486" s="8">
        <v>43898.318171296298</v>
      </c>
      <c r="B14486" s="8" t="str">
        <f>HYPERLINK("https://twitter.com/radixwp","@radixwp")</f>
        <v>@radixwp</v>
      </c>
      <c r="C14486" s="8" t="s">
        <v>5863</v>
      </c>
      <c r="D14486" s="8">
        <v>0</v>
      </c>
      <c r="E14486" s="8">
        <v>0</v>
      </c>
      <c r="F14486" s="8">
        <v>8</v>
      </c>
    </row>
    <row r="14487" spans="1:6" ht="12.75">
      <c r="A14487" s="8">
        <v>43898.318101851852</v>
      </c>
      <c r="B14487" s="8" t="str">
        <f>HYPERLINK("https://twitter.com/SydSalesman","@SydSalesman")</f>
        <v>@SydSalesman</v>
      </c>
      <c r="C14487" s="8" t="s">
        <v>5864</v>
      </c>
      <c r="D14487" s="8">
        <v>0</v>
      </c>
      <c r="E14487" s="8">
        <v>0</v>
      </c>
      <c r="F14487" s="8">
        <v>6279</v>
      </c>
    </row>
    <row r="14488" spans="1:6" ht="12.75">
      <c r="A14488" s="8">
        <v>43898.317997685182</v>
      </c>
      <c r="B14488" s="8" t="str">
        <f>HYPERLINK("https://twitter.com/ESJHAN","@ESJHAN")</f>
        <v>@ESJHAN</v>
      </c>
      <c r="C14488" s="8" t="s">
        <v>5865</v>
      </c>
      <c r="D14488" s="8">
        <v>0</v>
      </c>
      <c r="E14488" s="8">
        <v>0</v>
      </c>
      <c r="F14488" s="8">
        <v>11</v>
      </c>
    </row>
    <row r="14489" spans="1:6" ht="12.75">
      <c r="A14489" s="8">
        <v>43898.31731481482</v>
      </c>
      <c r="B14489" s="8" t="str">
        <f>HYPERLINK("https://twitter.com/Endriyanson","@Endriyanson")</f>
        <v>@Endriyanson</v>
      </c>
      <c r="C14489" s="8" t="s">
        <v>5486</v>
      </c>
      <c r="D14489" s="8">
        <v>44</v>
      </c>
      <c r="E14489" s="8">
        <v>0</v>
      </c>
      <c r="F14489" s="8">
        <v>1439</v>
      </c>
    </row>
    <row r="14490" spans="1:6" ht="12.75">
      <c r="A14490" s="8">
        <v>43898.316793981481</v>
      </c>
      <c r="B14490" s="8" t="str">
        <f>HYPERLINK("https://twitter.com/Mazggg","@Mazggg")</f>
        <v>@Mazggg</v>
      </c>
      <c r="C14490" s="8" t="s">
        <v>5080</v>
      </c>
      <c r="D14490" s="8">
        <v>89</v>
      </c>
      <c r="E14490" s="8">
        <v>0</v>
      </c>
      <c r="F14490" s="8">
        <v>2002</v>
      </c>
    </row>
    <row r="14491" spans="1:6" ht="12.75">
      <c r="A14491" s="8">
        <v>43898.316782407404</v>
      </c>
      <c r="B14491" s="8" t="str">
        <f>HYPERLINK("https://twitter.com/Nindaryzm","@Nindaryzm")</f>
        <v>@Nindaryzm</v>
      </c>
      <c r="C14491" s="8" t="s">
        <v>3978</v>
      </c>
      <c r="D14491" s="8">
        <v>33</v>
      </c>
      <c r="E14491" s="8">
        <v>0</v>
      </c>
      <c r="F14491" s="8">
        <v>459</v>
      </c>
    </row>
    <row r="14492" spans="1:6" ht="12.75">
      <c r="A14492" s="8">
        <v>43898.315752314811</v>
      </c>
      <c r="B14492" s="8" t="str">
        <f>HYPERLINK("https://twitter.com/Bianchi_isis","@Bianchi_isis")</f>
        <v>@Bianchi_isis</v>
      </c>
      <c r="C14492" s="8" t="s">
        <v>5866</v>
      </c>
      <c r="D14492" s="8">
        <v>0</v>
      </c>
      <c r="E14492" s="8">
        <v>0</v>
      </c>
      <c r="F14492" s="8">
        <v>58</v>
      </c>
    </row>
    <row r="14493" spans="1:6" ht="12.75">
      <c r="A14493" s="8">
        <v>43898.315694444449</v>
      </c>
      <c r="B14493" s="8" t="str">
        <f>HYPERLINK("https://twitter.com/tokpitut","@tokpitut")</f>
        <v>@tokpitut</v>
      </c>
      <c r="C14493" s="8" t="s">
        <v>1078</v>
      </c>
      <c r="D14493" s="8">
        <v>702</v>
      </c>
      <c r="E14493" s="8">
        <v>0</v>
      </c>
      <c r="F14493" s="8">
        <v>834</v>
      </c>
    </row>
    <row r="14494" spans="1:6" ht="12.75">
      <c r="A14494" s="8">
        <v>43898.315694444449</v>
      </c>
      <c r="B14494" s="8" t="str">
        <f>HYPERLINK("https://twitter.com/Kelik_Es","@Kelik_Es")</f>
        <v>@Kelik_Es</v>
      </c>
      <c r="C14494" s="8" t="s">
        <v>5486</v>
      </c>
      <c r="D14494" s="8">
        <v>44</v>
      </c>
      <c r="E14494" s="8">
        <v>0</v>
      </c>
      <c r="F14494" s="8">
        <v>4490</v>
      </c>
    </row>
    <row r="14495" spans="1:6" ht="12.75">
      <c r="A14495" s="8">
        <v>43898.315648148149</v>
      </c>
      <c r="B14495" s="8" t="str">
        <f>HYPERLINK("https://twitter.com/ranggalawe727","@ranggalawe727")</f>
        <v>@ranggalawe727</v>
      </c>
      <c r="C14495" s="8" t="s">
        <v>3265</v>
      </c>
      <c r="D14495" s="8">
        <v>153</v>
      </c>
      <c r="E14495" s="8">
        <v>0</v>
      </c>
      <c r="F14495" s="8">
        <v>321</v>
      </c>
    </row>
    <row r="14496" spans="1:6" ht="12.75">
      <c r="A14496" s="8">
        <v>43898.315625000003</v>
      </c>
      <c r="B14496" s="8" t="str">
        <f>HYPERLINK("https://twitter.com/SydSalesman","@SydSalesman")</f>
        <v>@SydSalesman</v>
      </c>
      <c r="C14496" s="8" t="s">
        <v>5080</v>
      </c>
      <c r="D14496" s="8">
        <v>89</v>
      </c>
      <c r="E14496" s="8">
        <v>0</v>
      </c>
      <c r="F14496" s="8">
        <v>6279</v>
      </c>
    </row>
    <row r="14497" spans="1:6" ht="12.75">
      <c r="A14497" s="8">
        <v>43898.315300925926</v>
      </c>
      <c r="B14497" s="8" t="str">
        <f>HYPERLINK("https://twitter.com/bamyjawa","@bamyjawa")</f>
        <v>@bamyjawa</v>
      </c>
      <c r="C14497" s="8" t="s">
        <v>5867</v>
      </c>
      <c r="D14497" s="8">
        <v>0</v>
      </c>
      <c r="E14497" s="8">
        <v>0</v>
      </c>
      <c r="F14497" s="8">
        <v>446</v>
      </c>
    </row>
    <row r="14498" spans="1:6" ht="12.75">
      <c r="A14498" s="8">
        <v>43898.315266203703</v>
      </c>
      <c r="B14498" s="8" t="str">
        <f>HYPERLINK("https://twitter.com/RebekaMartins10","@RebekaMartins10")</f>
        <v>@RebekaMartins10</v>
      </c>
      <c r="C14498" s="8" t="s">
        <v>5868</v>
      </c>
      <c r="D14498" s="8">
        <v>0</v>
      </c>
      <c r="E14498" s="8">
        <v>1</v>
      </c>
      <c r="F14498" s="8">
        <v>159</v>
      </c>
    </row>
    <row r="14499" spans="1:6" ht="12.75">
      <c r="A14499" s="8">
        <v>43898.315208333333</v>
      </c>
      <c r="B14499" s="8" t="str">
        <f>HYPERLINK("https://twitter.com/DiumahM","@DiumahM")</f>
        <v>@DiumahM</v>
      </c>
      <c r="C14499" s="8" t="s">
        <v>5080</v>
      </c>
      <c r="D14499" s="8">
        <v>89</v>
      </c>
      <c r="E14499" s="8">
        <v>0</v>
      </c>
      <c r="F14499" s="8">
        <v>52</v>
      </c>
    </row>
    <row r="14500" spans="1:6" ht="12.75">
      <c r="A14500" s="8">
        <v>43898.314884259264</v>
      </c>
      <c r="B14500" s="8" t="str">
        <f>HYPERLINK("https://twitter.com/adameesh","@adameesh")</f>
        <v>@adameesh</v>
      </c>
      <c r="C14500" s="8" t="s">
        <v>3978</v>
      </c>
      <c r="D14500" s="8">
        <v>33</v>
      </c>
      <c r="E14500" s="8">
        <v>0</v>
      </c>
      <c r="F14500" s="8">
        <v>119</v>
      </c>
    </row>
    <row r="14501" spans="1:6" ht="12.75">
      <c r="A14501" s="8">
        <v>43898.314537037033</v>
      </c>
      <c r="B14501" s="8" t="str">
        <f>HYPERLINK("https://twitter.com/gitawuland","@gitawuland")</f>
        <v>@gitawuland</v>
      </c>
      <c r="C14501" s="8" t="s">
        <v>4162</v>
      </c>
      <c r="D14501" s="8">
        <v>107</v>
      </c>
      <c r="E14501" s="8">
        <v>0</v>
      </c>
      <c r="F14501" s="8">
        <v>217</v>
      </c>
    </row>
    <row r="14502" spans="1:6" ht="12.75">
      <c r="A14502" s="8">
        <v>43898.31449074074</v>
      </c>
      <c r="B14502" s="8" t="str">
        <f>HYPERLINK("https://twitter.com/sugianto102","@sugianto102")</f>
        <v>@sugianto102</v>
      </c>
      <c r="C14502" s="8" t="s">
        <v>3265</v>
      </c>
      <c r="D14502" s="8">
        <v>153</v>
      </c>
      <c r="E14502" s="8">
        <v>0</v>
      </c>
      <c r="F14502" s="8">
        <v>15</v>
      </c>
    </row>
    <row r="14503" spans="1:6" ht="12.75">
      <c r="A14503" s="8">
        <v>43898.314189814817</v>
      </c>
      <c r="B14503" s="8" t="str">
        <f>HYPERLINK("https://twitter.com/widy1892","@widy1892")</f>
        <v>@widy1892</v>
      </c>
      <c r="C14503" s="8" t="s">
        <v>3265</v>
      </c>
      <c r="D14503" s="8">
        <v>153</v>
      </c>
      <c r="E14503" s="8">
        <v>0</v>
      </c>
      <c r="F14503" s="8">
        <v>666</v>
      </c>
    </row>
    <row r="14504" spans="1:6" ht="12.75">
      <c r="A14504" s="8">
        <v>43898.314085648148</v>
      </c>
      <c r="B14504" s="8" t="str">
        <f>HYPERLINK("https://twitter.com/zakwannur","@zakwannur")</f>
        <v>@zakwannur</v>
      </c>
      <c r="C14504" s="8" t="s">
        <v>3978</v>
      </c>
      <c r="D14504" s="8">
        <v>33</v>
      </c>
      <c r="E14504" s="8">
        <v>0</v>
      </c>
      <c r="F14504" s="8">
        <v>3449</v>
      </c>
    </row>
    <row r="14505" spans="1:6" ht="12.75">
      <c r="A14505" s="8">
        <v>43898.313935185186</v>
      </c>
      <c r="B14505" s="8" t="str">
        <f>HYPERLINK("https://twitter.com/Moenthelicious","@Moenthelicious")</f>
        <v>@Moenthelicious</v>
      </c>
      <c r="C14505" s="8" t="s">
        <v>5869</v>
      </c>
      <c r="D14505" s="8">
        <v>0</v>
      </c>
      <c r="E14505" s="8">
        <v>0</v>
      </c>
      <c r="F14505" s="8">
        <v>4260</v>
      </c>
    </row>
    <row r="14506" spans="1:6" ht="12.75">
      <c r="A14506" s="8">
        <v>43898.313750000001</v>
      </c>
      <c r="B14506" s="8" t="str">
        <f>HYPERLINK("https://twitter.com/naruto31002259","@naruto31002259")</f>
        <v>@naruto31002259</v>
      </c>
      <c r="C14506" s="8" t="s">
        <v>3265</v>
      </c>
      <c r="D14506" s="8">
        <v>153</v>
      </c>
      <c r="E14506" s="8">
        <v>0</v>
      </c>
      <c r="F14506" s="8">
        <v>1749</v>
      </c>
    </row>
    <row r="14507" spans="1:6" ht="12.75">
      <c r="A14507" s="8">
        <v>43898.313576388886</v>
      </c>
      <c r="B14507" s="8" t="str">
        <f>HYPERLINK("https://twitter.com/AdiMawa22441862","@AdiMawa22441862")</f>
        <v>@AdiMawa22441862</v>
      </c>
      <c r="C14507" s="8" t="s">
        <v>5870</v>
      </c>
      <c r="D14507" s="8">
        <v>0</v>
      </c>
      <c r="E14507" s="8">
        <v>0</v>
      </c>
      <c r="F14507" s="8">
        <v>202</v>
      </c>
    </row>
    <row r="14508" spans="1:6" ht="12.75">
      <c r="A14508" s="8">
        <v>43898.313391203701</v>
      </c>
      <c r="B14508" s="8" t="str">
        <f>HYPERLINK("https://twitter.com/ESJHAN","@ESJHAN")</f>
        <v>@ESJHAN</v>
      </c>
      <c r="C14508" s="8" t="s">
        <v>5871</v>
      </c>
      <c r="D14508" s="8">
        <v>0</v>
      </c>
      <c r="E14508" s="8">
        <v>0</v>
      </c>
      <c r="F14508" s="8">
        <v>11</v>
      </c>
    </row>
    <row r="14509" spans="1:6" ht="12.75">
      <c r="A14509" s="8">
        <v>43898.313067129631</v>
      </c>
      <c r="B14509" s="8" t="str">
        <f>HYPERLINK("https://twitter.com/damario04","@damario04")</f>
        <v>@damario04</v>
      </c>
      <c r="C14509" s="8" t="s">
        <v>147</v>
      </c>
      <c r="D14509" s="8">
        <v>0</v>
      </c>
      <c r="E14509" s="8">
        <v>0</v>
      </c>
      <c r="F14509" s="8">
        <v>403</v>
      </c>
    </row>
    <row r="14510" spans="1:6" ht="12.75">
      <c r="A14510" s="8">
        <v>43898.312974537039</v>
      </c>
      <c r="B14510" s="8" t="str">
        <f>HYPERLINK("https://twitter.com/SantiErfina","@SantiErfina")</f>
        <v>@SantiErfina</v>
      </c>
      <c r="C14510" s="8" t="s">
        <v>3265</v>
      </c>
      <c r="D14510" s="8">
        <v>153</v>
      </c>
      <c r="E14510" s="8">
        <v>0</v>
      </c>
      <c r="F14510" s="8">
        <v>405</v>
      </c>
    </row>
    <row r="14511" spans="1:6" ht="12.75">
      <c r="A14511" s="8">
        <v>43898.3128125</v>
      </c>
      <c r="B14511" s="8" t="str">
        <f>HYPERLINK("https://twitter.com/mucht4r64","@mucht4r64")</f>
        <v>@mucht4r64</v>
      </c>
      <c r="C14511" s="8" t="s">
        <v>5080</v>
      </c>
      <c r="D14511" s="8">
        <v>89</v>
      </c>
      <c r="E14511" s="8">
        <v>0</v>
      </c>
      <c r="F14511" s="8">
        <v>114</v>
      </c>
    </row>
    <row r="14512" spans="1:6" ht="12.75">
      <c r="A14512" s="8">
        <v>43898.312523148154</v>
      </c>
      <c r="B14512" s="8" t="str">
        <f>HYPERLINK("https://twitter.com/angelmaximilan","@angelmaximilan")</f>
        <v>@angelmaximilan</v>
      </c>
      <c r="C14512" s="8" t="s">
        <v>3405</v>
      </c>
      <c r="D14512" s="8">
        <v>26</v>
      </c>
      <c r="E14512" s="8">
        <v>0</v>
      </c>
      <c r="F14512" s="8">
        <v>6489</v>
      </c>
    </row>
    <row r="14513" spans="1:6" ht="12.75">
      <c r="A14513" s="8">
        <v>43898.310416666667</v>
      </c>
      <c r="B14513" s="8" t="str">
        <f>HYPERLINK("https://twitter.com/Nkrikuindonesi8","@Nkrikuindonesi8")</f>
        <v>@Nkrikuindonesi8</v>
      </c>
      <c r="C14513" s="8" t="s">
        <v>5872</v>
      </c>
      <c r="D14513" s="8">
        <v>0</v>
      </c>
      <c r="E14513" s="8">
        <v>0</v>
      </c>
      <c r="F14513" s="8">
        <v>137</v>
      </c>
    </row>
    <row r="14514" spans="1:6" ht="12.75">
      <c r="A14514" s="8">
        <v>43898.308715277773</v>
      </c>
      <c r="B14514" s="8" t="str">
        <f>HYPERLINK("https://twitter.com/radixwp","@radixwp")</f>
        <v>@radixwp</v>
      </c>
      <c r="C14514" s="8" t="s">
        <v>5873</v>
      </c>
      <c r="D14514" s="8">
        <v>0</v>
      </c>
      <c r="E14514" s="8">
        <v>0</v>
      </c>
      <c r="F14514" s="8">
        <v>8</v>
      </c>
    </row>
    <row r="14515" spans="1:6" ht="12.75">
      <c r="A14515" s="8">
        <v>43898.308449074073</v>
      </c>
      <c r="B14515" s="8" t="str">
        <f>HYPERLINK("https://twitter.com/Donn05586621","@Donn05586621")</f>
        <v>@Donn05586621</v>
      </c>
      <c r="C14515" s="8" t="s">
        <v>5874</v>
      </c>
      <c r="D14515" s="8">
        <v>0</v>
      </c>
      <c r="E14515" s="8">
        <v>0</v>
      </c>
      <c r="F14515" s="8">
        <v>450</v>
      </c>
    </row>
    <row r="14516" spans="1:6" ht="12.75">
      <c r="A14516" s="8">
        <v>43898.307858796295</v>
      </c>
      <c r="B14516" s="8" t="str">
        <f>HYPERLINK("https://twitter.com/lambert_kota","@lambert_kota")</f>
        <v>@lambert_kota</v>
      </c>
      <c r="C14516" s="8" t="s">
        <v>5557</v>
      </c>
      <c r="D14516" s="8">
        <v>4</v>
      </c>
      <c r="E14516" s="8">
        <v>0</v>
      </c>
      <c r="F14516" s="8">
        <v>706</v>
      </c>
    </row>
    <row r="14517" spans="1:6" ht="12.75">
      <c r="A14517" s="8">
        <v>43898.307708333334</v>
      </c>
      <c r="B14517" s="8" t="str">
        <f>HYPERLINK("https://twitter.com/Melata_Dijalan","@Melata_Dijalan")</f>
        <v>@Melata_Dijalan</v>
      </c>
      <c r="C14517" s="8" t="s">
        <v>5875</v>
      </c>
      <c r="D14517" s="8">
        <v>1</v>
      </c>
      <c r="E14517" s="8">
        <v>0</v>
      </c>
      <c r="F14517" s="8">
        <v>175</v>
      </c>
    </row>
    <row r="14518" spans="1:6" ht="12.75">
      <c r="A14518" s="8">
        <v>43898.307442129633</v>
      </c>
      <c r="B14518" s="8" t="str">
        <f>HYPERLINK("https://twitter.com/wongmlaku","@wongmlaku")</f>
        <v>@wongmlaku</v>
      </c>
      <c r="C14518" s="8" t="s">
        <v>5557</v>
      </c>
      <c r="D14518" s="8">
        <v>4</v>
      </c>
      <c r="E14518" s="8">
        <v>0</v>
      </c>
      <c r="F14518" s="8">
        <v>6211</v>
      </c>
    </row>
    <row r="14519" spans="1:6" ht="12.75">
      <c r="A14519" s="8">
        <v>43898.306631944448</v>
      </c>
      <c r="B14519" s="8" t="str">
        <f>HYPERLINK("https://twitter.com/nawang_woelan","@nawang_woelan")</f>
        <v>@nawang_woelan</v>
      </c>
      <c r="C14519" s="8" t="s">
        <v>5876</v>
      </c>
      <c r="D14519" s="8">
        <v>2</v>
      </c>
      <c r="E14519" s="8">
        <v>0</v>
      </c>
      <c r="F14519" s="8">
        <v>103</v>
      </c>
    </row>
    <row r="14520" spans="1:6" ht="12.75">
      <c r="A14520" s="8">
        <v>43898.306423611109</v>
      </c>
      <c r="B14520" s="8" t="str">
        <f>HYPERLINK("https://twitter.com/raka4","@raka4")</f>
        <v>@raka4</v>
      </c>
      <c r="C14520" s="8" t="s">
        <v>3265</v>
      </c>
      <c r="D14520" s="8">
        <v>153</v>
      </c>
      <c r="E14520" s="8">
        <v>0</v>
      </c>
      <c r="F14520" s="8">
        <v>451</v>
      </c>
    </row>
    <row r="14521" spans="1:6" ht="12.75">
      <c r="A14521" s="8">
        <v>43898.306400462963</v>
      </c>
      <c r="B14521" s="8" t="str">
        <f>HYPERLINK("https://twitter.com/SugiMauk","@SugiMauk")</f>
        <v>@SugiMauk</v>
      </c>
      <c r="C14521" s="8" t="s">
        <v>5486</v>
      </c>
      <c r="D14521" s="8">
        <v>44</v>
      </c>
      <c r="E14521" s="8">
        <v>0</v>
      </c>
      <c r="F14521" s="8">
        <v>1563</v>
      </c>
    </row>
    <row r="14522" spans="1:6" ht="12.75">
      <c r="A14522" s="8">
        <v>43898.306307870371</v>
      </c>
      <c r="B14522" s="8" t="str">
        <f>HYPERLINK("https://twitter.com/charleparis","@charleparis")</f>
        <v>@charleparis</v>
      </c>
      <c r="C14522" s="8" t="s">
        <v>4760</v>
      </c>
      <c r="D14522" s="8">
        <v>3</v>
      </c>
      <c r="E14522" s="8">
        <v>0</v>
      </c>
      <c r="F14522" s="8">
        <v>313</v>
      </c>
    </row>
    <row r="14523" spans="1:6" ht="12.75">
      <c r="A14523" s="8">
        <v>43898.306134259255</v>
      </c>
      <c r="B14523" s="8" t="str">
        <f>HYPERLINK("https://twitter.com/MariawanDede","@MariawanDede")</f>
        <v>@MariawanDede</v>
      </c>
      <c r="C14523" s="8" t="s">
        <v>4510</v>
      </c>
      <c r="D14523" s="8">
        <v>124</v>
      </c>
      <c r="E14523" s="8">
        <v>0</v>
      </c>
      <c r="F14523" s="8">
        <v>1890</v>
      </c>
    </row>
    <row r="14524" spans="1:6" ht="12.75">
      <c r="A14524" s="8">
        <v>43898.30574074074</v>
      </c>
      <c r="B14524" s="8" t="str">
        <f>HYPERLINK("https://twitter.com/BangkitPribumi","@BangkitPribumi")</f>
        <v>@BangkitPribumi</v>
      </c>
      <c r="C14524" s="8" t="s">
        <v>3743</v>
      </c>
      <c r="D14524" s="8">
        <v>704</v>
      </c>
      <c r="E14524" s="8">
        <v>0</v>
      </c>
      <c r="F14524" s="8">
        <v>786</v>
      </c>
    </row>
    <row r="14525" spans="1:6" ht="12.75">
      <c r="A14525" s="8">
        <v>43898.305300925931</v>
      </c>
      <c r="B14525" s="8" t="str">
        <f>HYPERLINK("https://twitter.com/IshakSP2","@IshakSP2")</f>
        <v>@IshakSP2</v>
      </c>
      <c r="C14525" s="8" t="s">
        <v>3213</v>
      </c>
      <c r="D14525" s="8">
        <v>336</v>
      </c>
      <c r="E14525" s="8">
        <v>0</v>
      </c>
      <c r="F14525" s="8">
        <v>1279</v>
      </c>
    </row>
    <row r="14526" spans="1:6" ht="12.75">
      <c r="A14526" s="8">
        <v>43898.30505787037</v>
      </c>
      <c r="B14526" s="8" t="str">
        <f>HYPERLINK("https://twitter.com/topinfo_id","@topinfo_id")</f>
        <v>@topinfo_id</v>
      </c>
      <c r="C14526" s="8" t="s">
        <v>5076</v>
      </c>
      <c r="D14526" s="8">
        <v>0</v>
      </c>
      <c r="E14526" s="8">
        <v>0</v>
      </c>
      <c r="F14526" s="8">
        <v>54</v>
      </c>
    </row>
    <row r="14527" spans="1:6" ht="12.75">
      <c r="A14527" s="8">
        <v>43898.304988425924</v>
      </c>
      <c r="B14527" s="8" t="str">
        <f>HYPERLINK("https://twitter.com/isis_alvesk","@isis_alvesk")</f>
        <v>@isis_alvesk</v>
      </c>
      <c r="C14527" s="8" t="s">
        <v>5877</v>
      </c>
      <c r="D14527" s="8">
        <v>0</v>
      </c>
      <c r="E14527" s="8">
        <v>1</v>
      </c>
      <c r="F14527" s="8">
        <v>350</v>
      </c>
    </row>
    <row r="14528" spans="1:6" ht="12.75">
      <c r="A14528" s="8">
        <v>43898.303553240738</v>
      </c>
      <c r="B14528" s="8" t="str">
        <f>HYPERLINK("https://twitter.com/iwan_sikasep","@iwan_sikasep")</f>
        <v>@iwan_sikasep</v>
      </c>
      <c r="C14528" s="8" t="s">
        <v>5878</v>
      </c>
      <c r="D14528" s="8">
        <v>29</v>
      </c>
      <c r="E14528" s="8">
        <v>0</v>
      </c>
      <c r="F14528" s="8">
        <v>18</v>
      </c>
    </row>
    <row r="14529" spans="1:6" ht="12.75">
      <c r="A14529" s="8">
        <v>43898.303217592591</v>
      </c>
      <c r="B14529" s="8" t="str">
        <f>HYPERLINK("https://twitter.com/moshaimu","@moshaimu")</f>
        <v>@moshaimu</v>
      </c>
      <c r="C14529" s="8" t="s">
        <v>5879</v>
      </c>
      <c r="D14529" s="8">
        <v>8</v>
      </c>
      <c r="E14529" s="8">
        <v>0</v>
      </c>
      <c r="F14529" s="8">
        <v>100</v>
      </c>
    </row>
    <row r="14530" spans="1:6" ht="12.75">
      <c r="A14530" s="8">
        <v>43898.302314814813</v>
      </c>
      <c r="B14530" s="8" t="str">
        <f t="shared" ref="B14530:B14532" si="216">HYPERLINK("https://twitter.com/Intan_Ns","@Intan_Ns")</f>
        <v>@Intan_Ns</v>
      </c>
      <c r="C14530" s="8" t="s">
        <v>5880</v>
      </c>
      <c r="D14530" s="8">
        <v>0</v>
      </c>
      <c r="E14530" s="8">
        <v>0</v>
      </c>
      <c r="F14530" s="8">
        <v>270</v>
      </c>
    </row>
    <row r="14531" spans="1:6" ht="12.75">
      <c r="A14531" s="8">
        <v>43898.302164351851</v>
      </c>
      <c r="B14531" s="8" t="str">
        <f t="shared" si="216"/>
        <v>@Intan_Ns</v>
      </c>
      <c r="C14531" s="8" t="s">
        <v>5880</v>
      </c>
      <c r="D14531" s="8">
        <v>0</v>
      </c>
      <c r="E14531" s="8">
        <v>0</v>
      </c>
      <c r="F14531" s="8">
        <v>270</v>
      </c>
    </row>
    <row r="14532" spans="1:6" ht="12.75">
      <c r="A14532" s="8">
        <v>43898.30201388889</v>
      </c>
      <c r="B14532" s="8" t="str">
        <f t="shared" si="216"/>
        <v>@Intan_Ns</v>
      </c>
      <c r="C14532" s="8" t="s">
        <v>5880</v>
      </c>
      <c r="D14532" s="8">
        <v>0</v>
      </c>
      <c r="E14532" s="8">
        <v>0</v>
      </c>
      <c r="F14532" s="8">
        <v>270</v>
      </c>
    </row>
    <row r="14533" spans="1:6" ht="12.75">
      <c r="A14533" s="8">
        <v>43898.298182870371</v>
      </c>
      <c r="B14533" s="8" t="str">
        <f>HYPERLINK("https://twitter.com/AdiMawa22441862","@AdiMawa22441862")</f>
        <v>@AdiMawa22441862</v>
      </c>
      <c r="C14533" s="8" t="s">
        <v>5881</v>
      </c>
      <c r="D14533" s="8">
        <v>0</v>
      </c>
      <c r="E14533" s="8">
        <v>0</v>
      </c>
      <c r="F14533" s="8">
        <v>202</v>
      </c>
    </row>
    <row r="14534" spans="1:6" ht="12.75">
      <c r="A14534" s="8">
        <v>43898.298148148147</v>
      </c>
      <c r="B14534" s="8" t="str">
        <f>HYPERLINK("https://twitter.com/DesiWidijanto","@DesiWidijanto")</f>
        <v>@DesiWidijanto</v>
      </c>
      <c r="C14534" s="8" t="s">
        <v>3213</v>
      </c>
      <c r="D14534" s="8">
        <v>334</v>
      </c>
      <c r="E14534" s="8">
        <v>0</v>
      </c>
      <c r="F14534" s="8">
        <v>66</v>
      </c>
    </row>
    <row r="14535" spans="1:6" ht="12.75">
      <c r="A14535" s="8">
        <v>43898.29792824074</v>
      </c>
      <c r="B14535" s="8" t="str">
        <f>HYPERLINK("https://twitter.com/fasya_andita","@fasya_andita")</f>
        <v>@fasya_andita</v>
      </c>
      <c r="C14535" s="8" t="s">
        <v>3265</v>
      </c>
      <c r="D14535" s="8">
        <v>126</v>
      </c>
      <c r="E14535" s="8">
        <v>0</v>
      </c>
      <c r="F14535" s="8">
        <v>701</v>
      </c>
    </row>
    <row r="14536" spans="1:6" ht="12.75">
      <c r="A14536" s="8">
        <v>43898.29755787037</v>
      </c>
      <c r="B14536" s="8" t="str">
        <f>HYPERLINK("https://twitter.com/mudjib_trisatya","@mudjib_trisatya")</f>
        <v>@mudjib_trisatya</v>
      </c>
      <c r="C14536" s="8" t="s">
        <v>3265</v>
      </c>
      <c r="D14536" s="8">
        <v>126</v>
      </c>
      <c r="E14536" s="8">
        <v>0</v>
      </c>
      <c r="F14536" s="8">
        <v>2438</v>
      </c>
    </row>
    <row r="14537" spans="1:6" ht="12.75">
      <c r="A14537" s="8">
        <v>43898.296990740739</v>
      </c>
      <c r="B14537" s="8" t="str">
        <f>HYPERLINK("https://twitter.com/sopansantun55","@sopansantun55")</f>
        <v>@sopansantun55</v>
      </c>
      <c r="C14537" s="8" t="s">
        <v>3405</v>
      </c>
      <c r="D14537" s="8">
        <v>13</v>
      </c>
      <c r="E14537" s="8">
        <v>0</v>
      </c>
      <c r="F14537" s="8">
        <v>543</v>
      </c>
    </row>
    <row r="14538" spans="1:6" ht="12.75">
      <c r="A14538" s="8">
        <v>43898.296180555553</v>
      </c>
      <c r="B14538" s="8" t="str">
        <f>HYPERLINK("https://twitter.com/Berlin220","@Berlin220")</f>
        <v>@Berlin220</v>
      </c>
      <c r="C14538" s="8" t="s">
        <v>4510</v>
      </c>
      <c r="D14538" s="8">
        <v>122</v>
      </c>
      <c r="E14538" s="8">
        <v>0</v>
      </c>
      <c r="F14538" s="8">
        <v>1179</v>
      </c>
    </row>
    <row r="14539" spans="1:6" ht="12.75">
      <c r="A14539" s="8">
        <v>43898.296122685184</v>
      </c>
      <c r="B14539" s="8" t="str">
        <f>HYPERLINK("https://twitter.com/KailPancing","@KailPancing")</f>
        <v>@KailPancing</v>
      </c>
      <c r="C14539" s="8" t="s">
        <v>3405</v>
      </c>
      <c r="D14539" s="8">
        <v>13</v>
      </c>
      <c r="E14539" s="8">
        <v>0</v>
      </c>
      <c r="F14539" s="8">
        <v>1089</v>
      </c>
    </row>
    <row r="14540" spans="1:6" ht="12.75">
      <c r="A14540" s="8">
        <v>43898.295995370368</v>
      </c>
      <c r="B14540" s="8" t="str">
        <f>HYPERLINK("https://twitter.com/SajaNormal","@SajaNormal")</f>
        <v>@SajaNormal</v>
      </c>
      <c r="C14540" s="8" t="s">
        <v>5882</v>
      </c>
      <c r="D14540" s="8">
        <v>1</v>
      </c>
      <c r="E14540" s="8">
        <v>0</v>
      </c>
      <c r="F14540" s="8">
        <v>784</v>
      </c>
    </row>
    <row r="14541" spans="1:6" ht="12.75">
      <c r="A14541" s="8">
        <v>43898.295833333337</v>
      </c>
      <c r="B14541" s="8" t="str">
        <f>HYPERLINK("https://twitter.com/AyuRadhita1","@AyuRadhita1")</f>
        <v>@AyuRadhita1</v>
      </c>
      <c r="C14541" s="8" t="s">
        <v>5080</v>
      </c>
      <c r="D14541" s="8">
        <v>77</v>
      </c>
      <c r="E14541" s="8">
        <v>0</v>
      </c>
      <c r="F14541" s="8">
        <v>508</v>
      </c>
    </row>
    <row r="14542" spans="1:6" ht="12.75">
      <c r="A14542" s="8">
        <v>43898.295706018514</v>
      </c>
      <c r="B14542" s="8" t="str">
        <f>HYPERLINK("https://twitter.com/damario04","@damario04")</f>
        <v>@damario04</v>
      </c>
      <c r="C14542" s="8" t="s">
        <v>166</v>
      </c>
      <c r="D14542" s="8">
        <v>0</v>
      </c>
      <c r="E14542" s="8">
        <v>0</v>
      </c>
      <c r="F14542" s="8">
        <v>403</v>
      </c>
    </row>
    <row r="14543" spans="1:6" ht="12.75">
      <c r="A14543" s="8">
        <v>43898.295474537037</v>
      </c>
      <c r="B14543" s="8" t="str">
        <f>HYPERLINK("https://twitter.com/SahaIskandar","@SahaIskandar")</f>
        <v>@SahaIskandar</v>
      </c>
      <c r="C14543" s="8" t="s">
        <v>3265</v>
      </c>
      <c r="D14543" s="8">
        <v>126</v>
      </c>
      <c r="E14543" s="8">
        <v>0</v>
      </c>
      <c r="F14543" s="8">
        <v>65</v>
      </c>
    </row>
    <row r="14544" spans="1:6" ht="12.75">
      <c r="A14544" s="8">
        <v>43898.294837962967</v>
      </c>
      <c r="B14544" s="8" t="str">
        <f>HYPERLINK("https://twitter.com/imam_hariadi22","@imam_hariadi22")</f>
        <v>@imam_hariadi22</v>
      </c>
      <c r="C14544" s="8" t="s">
        <v>3265</v>
      </c>
      <c r="D14544" s="8">
        <v>126</v>
      </c>
      <c r="E14544" s="8">
        <v>0</v>
      </c>
      <c r="F14544" s="8">
        <v>353</v>
      </c>
    </row>
    <row r="14545" spans="1:6" ht="12.75">
      <c r="A14545" s="8">
        <v>43898.294722222221</v>
      </c>
      <c r="B14545" s="8" t="str">
        <f>HYPERLINK("https://twitter.com/ryolandafit","@ryolandafit")</f>
        <v>@ryolandafit</v>
      </c>
      <c r="C14545" s="8" t="s">
        <v>5883</v>
      </c>
      <c r="D14545" s="8">
        <v>1</v>
      </c>
      <c r="E14545" s="8">
        <v>0</v>
      </c>
      <c r="F14545" s="8">
        <v>658</v>
      </c>
    </row>
    <row r="14546" spans="1:6" ht="12.75">
      <c r="A14546" s="8">
        <v>43898.294641203705</v>
      </c>
      <c r="B14546" s="8" t="str">
        <f>HYPERLINK("https://twitter.com/NanTongga11","@NanTongga11")</f>
        <v>@NanTongga11</v>
      </c>
      <c r="C14546" s="8" t="s">
        <v>3265</v>
      </c>
      <c r="D14546" s="8">
        <v>126</v>
      </c>
      <c r="E14546" s="8">
        <v>0</v>
      </c>
      <c r="F14546" s="8">
        <v>235</v>
      </c>
    </row>
    <row r="14547" spans="1:6" ht="12.75">
      <c r="A14547" s="8">
        <v>43898.292905092589</v>
      </c>
      <c r="B14547" s="8" t="str">
        <f>HYPERLINK("https://twitter.com/jack_bidexs","@jack_bidexs")</f>
        <v>@jack_bidexs</v>
      </c>
      <c r="C14547" s="8" t="s">
        <v>3265</v>
      </c>
      <c r="D14547" s="8">
        <v>126</v>
      </c>
      <c r="E14547" s="8">
        <v>0</v>
      </c>
      <c r="F14547" s="8">
        <v>719</v>
      </c>
    </row>
    <row r="14548" spans="1:6" ht="12.75">
      <c r="A14548" s="8">
        <v>43898.292210648149</v>
      </c>
      <c r="B14548" s="8" t="str">
        <f>HYPERLINK("https://twitter.com/SabilaRosyad11","@SabilaRosyad11")</f>
        <v>@SabilaRosyad11</v>
      </c>
      <c r="C14548" s="8" t="s">
        <v>3265</v>
      </c>
      <c r="D14548" s="8">
        <v>126</v>
      </c>
      <c r="E14548" s="8">
        <v>0</v>
      </c>
      <c r="F14548" s="8">
        <v>26</v>
      </c>
    </row>
    <row r="14549" spans="1:6" ht="12.75">
      <c r="A14549" s="8">
        <v>43898.291689814811</v>
      </c>
      <c r="B14549" s="8" t="str">
        <f>HYPERLINK("https://twitter.com/_RahmatSetyawan","@_RahmatSetyawan")</f>
        <v>@_RahmatSetyawan</v>
      </c>
      <c r="C14549" s="8" t="s">
        <v>5884</v>
      </c>
      <c r="D14549" s="8">
        <v>0</v>
      </c>
      <c r="E14549" s="8">
        <v>0</v>
      </c>
      <c r="F14549" s="8">
        <v>423</v>
      </c>
    </row>
    <row r="14550" spans="1:6" ht="12.75">
      <c r="A14550" s="8">
        <v>43898.291446759264</v>
      </c>
      <c r="B14550" s="8" t="str">
        <f>HYPERLINK("https://twitter.com/Wahyu05806471","@Wahyu05806471")</f>
        <v>@Wahyu05806471</v>
      </c>
      <c r="C14550" s="8" t="s">
        <v>3405</v>
      </c>
      <c r="D14550" s="8">
        <v>13</v>
      </c>
      <c r="E14550" s="8">
        <v>0</v>
      </c>
      <c r="F14550" s="8">
        <v>895</v>
      </c>
    </row>
    <row r="14551" spans="1:6" ht="12.75">
      <c r="A14551" s="8">
        <v>43898.290335648147</v>
      </c>
      <c r="B14551" s="8" t="str">
        <f>HYPERLINK("https://twitter.com/dwiyanaDKM","@dwiyanaDKM")</f>
        <v>@dwiyanaDKM</v>
      </c>
      <c r="C14551" s="8" t="s">
        <v>5662</v>
      </c>
      <c r="D14551" s="8">
        <v>32</v>
      </c>
      <c r="E14551" s="8">
        <v>0</v>
      </c>
      <c r="F14551" s="8">
        <v>2832</v>
      </c>
    </row>
    <row r="14552" spans="1:6" ht="12.75">
      <c r="A14552" s="8">
        <v>43898.290312500001</v>
      </c>
      <c r="B14552" s="8" t="str">
        <f>HYPERLINK("https://twitter.com/Heri_aja","@Heri_aja")</f>
        <v>@Heri_aja</v>
      </c>
      <c r="C14552" s="8" t="s">
        <v>5080</v>
      </c>
      <c r="D14552" s="8">
        <v>77</v>
      </c>
      <c r="E14552" s="8">
        <v>0</v>
      </c>
      <c r="F14552" s="8">
        <v>2049</v>
      </c>
    </row>
    <row r="14553" spans="1:6" ht="12.75">
      <c r="A14553" s="8">
        <v>43898.289976851855</v>
      </c>
      <c r="B14553" s="8" t="str">
        <f>HYPERLINK("https://twitter.com/radixwp","@radixwp")</f>
        <v>@radixwp</v>
      </c>
      <c r="C14553" s="8" t="s">
        <v>5885</v>
      </c>
      <c r="D14553" s="8">
        <v>0</v>
      </c>
      <c r="E14553" s="8">
        <v>0</v>
      </c>
      <c r="F14553" s="8">
        <v>8</v>
      </c>
    </row>
    <row r="14554" spans="1:6" ht="12.75">
      <c r="A14554" s="8">
        <v>43898.289618055554</v>
      </c>
      <c r="B14554" s="8" t="str">
        <f>HYPERLINK("https://twitter.com/robert868686","@robert868686")</f>
        <v>@robert868686</v>
      </c>
      <c r="C14554" s="8" t="s">
        <v>5886</v>
      </c>
      <c r="D14554" s="8">
        <v>0</v>
      </c>
      <c r="E14554" s="8">
        <v>0</v>
      </c>
      <c r="F14554" s="8">
        <v>260</v>
      </c>
    </row>
    <row r="14555" spans="1:6" ht="12.75">
      <c r="A14555" s="8">
        <v>43898.289004629631</v>
      </c>
      <c r="B14555" s="8" t="str">
        <f>HYPERLINK("https://twitter.com/Jono_Fortunate","@Jono_Fortunate")</f>
        <v>@Jono_Fortunate</v>
      </c>
      <c r="C14555" s="8" t="s">
        <v>5080</v>
      </c>
      <c r="D14555" s="8">
        <v>77</v>
      </c>
      <c r="E14555" s="8">
        <v>0</v>
      </c>
      <c r="F14555" s="8">
        <v>686</v>
      </c>
    </row>
    <row r="14556" spans="1:6" ht="12.75">
      <c r="A14556" s="8">
        <v>43898.288912037038</v>
      </c>
      <c r="B14556" s="8" t="str">
        <f>HYPERLINK("https://twitter.com/555masteng","@555masteng")</f>
        <v>@555masteng</v>
      </c>
      <c r="C14556" s="8" t="s">
        <v>5080</v>
      </c>
      <c r="D14556" s="8">
        <v>77</v>
      </c>
      <c r="E14556" s="8">
        <v>0</v>
      </c>
      <c r="F14556" s="8">
        <v>5594</v>
      </c>
    </row>
    <row r="14557" spans="1:6" ht="12.75">
      <c r="A14557" s="8">
        <v>43898.288564814815</v>
      </c>
      <c r="B14557" s="8" t="str">
        <f>HYPERLINK("https://twitter.com/sinaga_fadhilah","@sinaga_fadhilah")</f>
        <v>@sinaga_fadhilah</v>
      </c>
      <c r="C14557" s="8" t="s">
        <v>593</v>
      </c>
      <c r="D14557" s="8">
        <v>491</v>
      </c>
      <c r="E14557" s="8">
        <v>0</v>
      </c>
      <c r="F14557" s="8">
        <v>13</v>
      </c>
    </row>
    <row r="14558" spans="1:6" ht="12.75">
      <c r="A14558" s="8">
        <v>43898.287951388891</v>
      </c>
      <c r="B14558" s="8" t="str">
        <f>HYPERLINK("https://twitter.com/triwul82","@triwul82")</f>
        <v>@triwul82</v>
      </c>
      <c r="C14558" s="8" t="s">
        <v>5887</v>
      </c>
      <c r="D14558" s="8">
        <v>0</v>
      </c>
      <c r="E14558" s="8">
        <v>2</v>
      </c>
      <c r="F14558" s="8">
        <v>29310</v>
      </c>
    </row>
    <row r="14559" spans="1:6" ht="12.75">
      <c r="A14559" s="8">
        <v>43898.287835648152</v>
      </c>
      <c r="B14559" s="8" t="str">
        <f>HYPERLINK("https://twitter.com/moesa_jp02","@moesa_jp02")</f>
        <v>@moesa_jp02</v>
      </c>
      <c r="C14559" s="8" t="s">
        <v>5888</v>
      </c>
      <c r="D14559" s="8">
        <v>0</v>
      </c>
      <c r="E14559" s="8">
        <v>1</v>
      </c>
      <c r="F14559" s="8">
        <v>1385</v>
      </c>
    </row>
    <row r="14560" spans="1:6" ht="12.75">
      <c r="A14560" s="8">
        <v>43898.287824074076</v>
      </c>
      <c r="B14560" s="8" t="str">
        <f>HYPERLINK("https://twitter.com/farid_mardhana","@farid_mardhana")</f>
        <v>@farid_mardhana</v>
      </c>
      <c r="C14560" s="8" t="s">
        <v>5889</v>
      </c>
      <c r="D14560" s="8">
        <v>3</v>
      </c>
      <c r="E14560" s="8">
        <v>0</v>
      </c>
      <c r="F14560" s="8">
        <v>58</v>
      </c>
    </row>
    <row r="14561" spans="1:6" ht="12.75">
      <c r="A14561" s="8">
        <v>43898.287604166668</v>
      </c>
      <c r="B14561" s="8" t="str">
        <f>HYPERLINK("https://twitter.com/DiDiDon_","@DiDiDon_")</f>
        <v>@DiDiDon_</v>
      </c>
      <c r="C14561" s="8" t="s">
        <v>3265</v>
      </c>
      <c r="D14561" s="8">
        <v>126</v>
      </c>
      <c r="E14561" s="8">
        <v>0</v>
      </c>
      <c r="F14561" s="8">
        <v>514</v>
      </c>
    </row>
    <row r="14562" spans="1:6" ht="12.75">
      <c r="A14562" s="8">
        <v>43898.287233796298</v>
      </c>
      <c r="B14562" s="8" t="str">
        <f>HYPERLINK("https://twitter.com/Alvin79651128","@Alvin79651128")</f>
        <v>@Alvin79651128</v>
      </c>
      <c r="C14562" s="8" t="s">
        <v>3265</v>
      </c>
      <c r="D14562" s="8">
        <v>126</v>
      </c>
      <c r="E14562" s="8">
        <v>0</v>
      </c>
      <c r="F14562" s="8">
        <v>25</v>
      </c>
    </row>
    <row r="14563" spans="1:6" ht="12.75">
      <c r="A14563" s="8">
        <v>43898.286574074074</v>
      </c>
      <c r="B14563" s="8" t="str">
        <f>HYPERLINK("https://twitter.com/KANIGORO_HeLL","@KANIGORO_HeLL")</f>
        <v>@KANIGORO_HeLL</v>
      </c>
      <c r="C14563" s="8" t="s">
        <v>5890</v>
      </c>
      <c r="D14563" s="8">
        <v>5</v>
      </c>
      <c r="E14563" s="8">
        <v>0</v>
      </c>
      <c r="F14563" s="8">
        <v>3430</v>
      </c>
    </row>
    <row r="14564" spans="1:6" ht="12.75">
      <c r="A14564" s="8">
        <v>43898.286354166667</v>
      </c>
      <c r="B14564" s="8" t="str">
        <f>HYPERLINK("https://twitter.com/MNanangSubkhan","@MNanangSubkhan")</f>
        <v>@MNanangSubkhan</v>
      </c>
      <c r="C14564" s="8" t="s">
        <v>4940</v>
      </c>
      <c r="D14564" s="8">
        <v>5</v>
      </c>
      <c r="E14564" s="8">
        <v>0</v>
      </c>
      <c r="F14564" s="8">
        <v>79</v>
      </c>
    </row>
    <row r="14565" spans="1:6" ht="12.75">
      <c r="A14565" s="8">
        <v>43898.286250000005</v>
      </c>
      <c r="B14565" s="8" t="str">
        <f>HYPERLINK("https://twitter.com/Wahyu64499282","@Wahyu64499282")</f>
        <v>@Wahyu64499282</v>
      </c>
      <c r="C14565" s="8" t="s">
        <v>5891</v>
      </c>
      <c r="D14565" s="8">
        <v>0</v>
      </c>
      <c r="E14565" s="8">
        <v>1</v>
      </c>
      <c r="F14565" s="8">
        <v>1</v>
      </c>
    </row>
    <row r="14566" spans="1:6" ht="12.75">
      <c r="A14566" s="8">
        <v>43898.285810185189</v>
      </c>
      <c r="B14566" s="8" t="str">
        <f>HYPERLINK("https://twitter.com/xieweijie","@xieweijie")</f>
        <v>@xieweijie</v>
      </c>
      <c r="C14566" s="8" t="s">
        <v>5704</v>
      </c>
      <c r="D14566" s="8">
        <v>55</v>
      </c>
      <c r="E14566" s="8">
        <v>0</v>
      </c>
      <c r="F14566" s="8">
        <v>120</v>
      </c>
    </row>
    <row r="14567" spans="1:6" ht="12.75">
      <c r="A14567" s="8">
        <v>43898.284687499996</v>
      </c>
      <c r="B14567" s="8" t="str">
        <f>HYPERLINK("https://twitter.com/AhlulQohwah","@AhlulQohwah")</f>
        <v>@AhlulQohwah</v>
      </c>
      <c r="C14567" s="8" t="s">
        <v>3405</v>
      </c>
      <c r="D14567" s="8">
        <v>13</v>
      </c>
      <c r="E14567" s="8">
        <v>0</v>
      </c>
      <c r="F14567" s="8">
        <v>10512</v>
      </c>
    </row>
    <row r="14568" spans="1:6" ht="12.75">
      <c r="A14568" s="8">
        <v>43898.284212962964</v>
      </c>
      <c r="B14568" s="8" t="str">
        <f>HYPERLINK("https://twitter.com/djlaw97","@djlaw97")</f>
        <v>@djlaw97</v>
      </c>
      <c r="C14568" s="8" t="s">
        <v>5103</v>
      </c>
      <c r="D14568" s="8">
        <v>195</v>
      </c>
      <c r="E14568" s="8">
        <v>0</v>
      </c>
      <c r="F14568" s="8">
        <v>325</v>
      </c>
    </row>
    <row r="14569" spans="1:6" ht="12.75">
      <c r="A14569" s="8">
        <v>43898.283912037034</v>
      </c>
      <c r="B14569" s="8" t="str">
        <f>HYPERLINK("https://twitter.com/raiyaroof","@raiyaroof")</f>
        <v>@raiyaroof</v>
      </c>
      <c r="C14569" s="8" t="s">
        <v>5892</v>
      </c>
      <c r="D14569" s="8">
        <v>0</v>
      </c>
      <c r="E14569" s="8">
        <v>0</v>
      </c>
      <c r="F14569" s="8">
        <v>268</v>
      </c>
    </row>
    <row r="14570" spans="1:6" ht="12.75">
      <c r="A14570" s="8">
        <v>43898.283750000002</v>
      </c>
      <c r="B14570" s="8" t="str">
        <f>HYPERLINK("https://twitter.com/RanupsProSandi","@RanupsProSandi")</f>
        <v>@RanupsProSandi</v>
      </c>
      <c r="C14570" s="8" t="s">
        <v>3265</v>
      </c>
      <c r="D14570" s="8">
        <v>126</v>
      </c>
      <c r="E14570" s="8">
        <v>0</v>
      </c>
      <c r="F14570" s="8">
        <v>29654</v>
      </c>
    </row>
    <row r="14571" spans="1:6" ht="12.75">
      <c r="A14571" s="8">
        <v>43898.282905092594</v>
      </c>
      <c r="B14571" s="8" t="str">
        <f>HYPERLINK("https://twitter.com/merahputih_id_","@merahputih_id_")</f>
        <v>@merahputih_id_</v>
      </c>
      <c r="C14571" s="8" t="s">
        <v>3049</v>
      </c>
      <c r="D14571" s="8">
        <v>0</v>
      </c>
      <c r="E14571" s="8">
        <v>0</v>
      </c>
      <c r="F14571" s="8">
        <v>75</v>
      </c>
    </row>
    <row r="14572" spans="1:6" ht="12.75">
      <c r="A14572" s="8">
        <v>43898.282835648148</v>
      </c>
      <c r="B14572" s="8" t="str">
        <f>HYPERLINK("https://twitter.com/RiyadiAtmodjo","@RiyadiAtmodjo")</f>
        <v>@RiyadiAtmodjo</v>
      </c>
      <c r="C14572" s="8" t="s">
        <v>5893</v>
      </c>
      <c r="D14572" s="8">
        <v>0</v>
      </c>
      <c r="E14572" s="8">
        <v>0</v>
      </c>
      <c r="F14572" s="8">
        <v>1111</v>
      </c>
    </row>
    <row r="14573" spans="1:6" ht="12.75">
      <c r="A14573" s="8">
        <v>43898.28261574074</v>
      </c>
      <c r="B14573" s="8" t="str">
        <f>HYPERLINK("https://twitter.com/hppurba","@hppurba")</f>
        <v>@hppurba</v>
      </c>
      <c r="C14573" s="8" t="s">
        <v>5894</v>
      </c>
      <c r="D14573" s="8">
        <v>0</v>
      </c>
      <c r="E14573" s="8">
        <v>0</v>
      </c>
      <c r="F14573" s="8">
        <v>49</v>
      </c>
    </row>
    <row r="14574" spans="1:6" ht="12.75">
      <c r="A14574" s="8">
        <v>43898.282025462962</v>
      </c>
      <c r="B14574" s="8" t="str">
        <f>HYPERLINK("https://twitter.com/KBRI_Bangkok","@KBRI_Bangkok")</f>
        <v>@KBRI_Bangkok</v>
      </c>
      <c r="C14574" s="8" t="s">
        <v>1376</v>
      </c>
      <c r="D14574" s="8">
        <v>50</v>
      </c>
      <c r="E14574" s="8">
        <v>0</v>
      </c>
      <c r="F14574" s="8">
        <v>3930</v>
      </c>
    </row>
    <row r="14575" spans="1:6" ht="12.75">
      <c r="A14575" s="8">
        <v>43898.281863425931</v>
      </c>
      <c r="B14575" s="8" t="str">
        <f>HYPERLINK("https://twitter.com/kellyrudi","@kellyrudi")</f>
        <v>@kellyrudi</v>
      </c>
      <c r="C14575" s="8" t="s">
        <v>3265</v>
      </c>
      <c r="D14575" s="8">
        <v>126</v>
      </c>
      <c r="E14575" s="8">
        <v>0</v>
      </c>
      <c r="F14575" s="8">
        <v>1397</v>
      </c>
    </row>
    <row r="14576" spans="1:6" ht="12.75">
      <c r="A14576" s="8">
        <v>43898.281319444446</v>
      </c>
      <c r="B14576" s="8" t="str">
        <f>HYPERLINK("https://twitter.com/antikadrun4ever","@antikadrun4ever")</f>
        <v>@antikadrun4ever</v>
      </c>
      <c r="C14576" s="8" t="s">
        <v>5895</v>
      </c>
      <c r="D14576" s="8">
        <v>0</v>
      </c>
      <c r="E14576" s="8">
        <v>0</v>
      </c>
      <c r="F14576" s="8">
        <v>1379</v>
      </c>
    </row>
    <row r="14577" spans="1:6" ht="12.75">
      <c r="A14577" s="8">
        <v>43898.280578703707</v>
      </c>
      <c r="B14577" s="8" t="str">
        <f>HYPERLINK("https://twitter.com/myules","@myules")</f>
        <v>@myules</v>
      </c>
      <c r="C14577" s="8" t="s">
        <v>5896</v>
      </c>
      <c r="D14577" s="8">
        <v>0</v>
      </c>
      <c r="E14577" s="8">
        <v>0</v>
      </c>
      <c r="F14577" s="8">
        <v>24</v>
      </c>
    </row>
    <row r="14578" spans="1:6" ht="12.75">
      <c r="A14578" s="8">
        <v>43898.280092592591</v>
      </c>
      <c r="B14578" s="8" t="str">
        <f>HYPERLINK("https://twitter.com/moesa_jp02","@moesa_jp02")</f>
        <v>@moesa_jp02</v>
      </c>
      <c r="C14578" s="8" t="s">
        <v>5897</v>
      </c>
      <c r="D14578" s="8">
        <v>0</v>
      </c>
      <c r="E14578" s="8">
        <v>1</v>
      </c>
      <c r="F14578" s="8">
        <v>1385</v>
      </c>
    </row>
    <row r="14579" spans="1:6" ht="12.75">
      <c r="A14579" s="8">
        <v>43898.27989583333</v>
      </c>
      <c r="B14579" s="8" t="str">
        <f>HYPERLINK("https://twitter.com/RakaKaton","@RakaKaton")</f>
        <v>@RakaKaton</v>
      </c>
      <c r="C14579" s="8" t="s">
        <v>1376</v>
      </c>
      <c r="D14579" s="8">
        <v>50</v>
      </c>
      <c r="E14579" s="8">
        <v>0</v>
      </c>
      <c r="F14579" s="8">
        <v>27</v>
      </c>
    </row>
    <row r="14580" spans="1:6" ht="12.75">
      <c r="A14580" s="8">
        <v>43898.27988425926</v>
      </c>
      <c r="B14580" s="8" t="str">
        <f>HYPERLINK("https://twitter.com/suaradotcom","@suaradotcom")</f>
        <v>@suaradotcom</v>
      </c>
      <c r="C14580" s="8" t="s">
        <v>5898</v>
      </c>
      <c r="D14580" s="8">
        <v>0</v>
      </c>
      <c r="E14580" s="8">
        <v>0</v>
      </c>
      <c r="F14580" s="8">
        <v>24380</v>
      </c>
    </row>
    <row r="14581" spans="1:6" ht="12.75">
      <c r="A14581" s="8">
        <v>43898.279745370368</v>
      </c>
      <c r="B14581" s="8" t="str">
        <f>HYPERLINK("https://twitter.com/mimiweeka","@mimiweeka")</f>
        <v>@mimiweeka</v>
      </c>
      <c r="C14581" s="8" t="s">
        <v>5899</v>
      </c>
      <c r="D14581" s="8">
        <v>18</v>
      </c>
      <c r="E14581" s="8">
        <v>0</v>
      </c>
      <c r="F14581" s="8">
        <v>457</v>
      </c>
    </row>
    <row r="14582" spans="1:6" ht="12.75">
      <c r="A14582" s="8">
        <v>43898.279537037037</v>
      </c>
      <c r="B14582" s="8" t="str">
        <f t="shared" ref="B14582:B14583" si="217">HYPERLINK("https://twitter.com/evereeze","@evereeze")</f>
        <v>@evereeze</v>
      </c>
      <c r="C14582" s="8" t="s">
        <v>5900</v>
      </c>
      <c r="D14582" s="8">
        <v>19</v>
      </c>
      <c r="E14582" s="8">
        <v>0</v>
      </c>
      <c r="F14582" s="8">
        <v>318</v>
      </c>
    </row>
    <row r="14583" spans="1:6" ht="12.75">
      <c r="A14583" s="8">
        <v>43898.279409722221</v>
      </c>
      <c r="B14583" s="8" t="str">
        <f t="shared" si="217"/>
        <v>@evereeze</v>
      </c>
      <c r="C14583" s="8" t="s">
        <v>5901</v>
      </c>
      <c r="D14583" s="8">
        <v>9</v>
      </c>
      <c r="E14583" s="8">
        <v>0</v>
      </c>
      <c r="F14583" s="8">
        <v>318</v>
      </c>
    </row>
    <row r="14584" spans="1:6" ht="12.75">
      <c r="A14584" s="8">
        <v>43898.279016203705</v>
      </c>
      <c r="B14584" s="8" t="str">
        <f>HYPERLINK("https://twitter.com/Vhievie11","@Vhievie11")</f>
        <v>@Vhievie11</v>
      </c>
      <c r="C14584" s="8" t="s">
        <v>5902</v>
      </c>
      <c r="D14584" s="8">
        <v>0</v>
      </c>
      <c r="E14584" s="8">
        <v>1</v>
      </c>
      <c r="F14584" s="8">
        <v>189</v>
      </c>
    </row>
    <row r="14585" spans="1:6" ht="12.75">
      <c r="A14585" s="8">
        <v>43898.278553240743</v>
      </c>
      <c r="B14585" s="8" t="str">
        <f>HYPERLINK("https://twitter.com/malan_kola","@malan_kola")</f>
        <v>@malan_kola</v>
      </c>
      <c r="C14585" s="8" t="s">
        <v>5903</v>
      </c>
      <c r="D14585" s="8">
        <v>1</v>
      </c>
      <c r="E14585" s="8">
        <v>0</v>
      </c>
      <c r="F14585" s="8">
        <v>1118</v>
      </c>
    </row>
    <row r="14586" spans="1:6" ht="12.75">
      <c r="A14586" s="8">
        <v>43898.27853009259</v>
      </c>
      <c r="B14586" s="8" t="str">
        <f>HYPERLINK("https://twitter.com/Anang_331","@Anang_331")</f>
        <v>@Anang_331</v>
      </c>
      <c r="C14586" s="8" t="s">
        <v>5904</v>
      </c>
      <c r="D14586" s="8">
        <v>0</v>
      </c>
      <c r="E14586" s="8">
        <v>0</v>
      </c>
      <c r="F14586" s="8">
        <v>1194</v>
      </c>
    </row>
    <row r="14587" spans="1:6" ht="12.75">
      <c r="A14587" s="8">
        <v>43898.277719907404</v>
      </c>
      <c r="B14587" s="8" t="str">
        <f>HYPERLINK("https://twitter.com/RezanHayon","@RezanHayon")</f>
        <v>@RezanHayon</v>
      </c>
      <c r="C14587" s="8" t="s">
        <v>5080</v>
      </c>
      <c r="D14587" s="8">
        <v>77</v>
      </c>
      <c r="E14587" s="8">
        <v>0</v>
      </c>
      <c r="F14587" s="8">
        <v>1205</v>
      </c>
    </row>
    <row r="14588" spans="1:6" ht="12.75">
      <c r="A14588" s="8">
        <v>43898.277650462958</v>
      </c>
      <c r="B14588" s="8" t="str">
        <f>HYPERLINK("https://twitter.com/AbolichdZ","@AbolichdZ")</f>
        <v>@AbolichdZ</v>
      </c>
      <c r="C14588" s="8" t="s">
        <v>3265</v>
      </c>
      <c r="D14588" s="8">
        <v>126</v>
      </c>
      <c r="E14588" s="8">
        <v>0</v>
      </c>
      <c r="F14588" s="8">
        <v>850</v>
      </c>
    </row>
    <row r="14589" spans="1:6" ht="12.75">
      <c r="A14589" s="8">
        <v>43898.277569444443</v>
      </c>
      <c r="B14589" s="8" t="str">
        <f>HYPERLINK("https://twitter.com/SukurWong","@SukurWong")</f>
        <v>@SukurWong</v>
      </c>
      <c r="C14589" s="8" t="s">
        <v>3265</v>
      </c>
      <c r="D14589" s="8">
        <v>126</v>
      </c>
      <c r="E14589" s="8">
        <v>0</v>
      </c>
      <c r="F14589" s="8">
        <v>196</v>
      </c>
    </row>
    <row r="14590" spans="1:6" ht="12.75">
      <c r="A14590" s="8">
        <v>43898.277488425927</v>
      </c>
      <c r="B14590" s="8" t="str">
        <f>HYPERLINK("https://twitter.com/ikutsiapa","@ikutsiapa")</f>
        <v>@ikutsiapa</v>
      </c>
      <c r="C14590" s="8" t="s">
        <v>3265</v>
      </c>
      <c r="D14590" s="8">
        <v>126</v>
      </c>
      <c r="E14590" s="8">
        <v>0</v>
      </c>
      <c r="F14590" s="8">
        <v>238</v>
      </c>
    </row>
    <row r="14591" spans="1:6" ht="12.75">
      <c r="A14591" s="8">
        <v>43898.276006944448</v>
      </c>
      <c r="B14591" s="8" t="str">
        <f>HYPERLINK("https://twitter.com/yudantoprks","@yudantoprks")</f>
        <v>@yudantoprks</v>
      </c>
      <c r="C14591" s="8" t="s">
        <v>5905</v>
      </c>
      <c r="D14591" s="8">
        <v>0</v>
      </c>
      <c r="E14591" s="8">
        <v>0</v>
      </c>
      <c r="F14591" s="8">
        <v>89</v>
      </c>
    </row>
    <row r="14592" spans="1:6" ht="12.75">
      <c r="A14592" s="8">
        <v>43898.275960648149</v>
      </c>
      <c r="B14592" s="8" t="str">
        <f>HYPERLINK("https://twitter.com/thriekomara","@thriekomara")</f>
        <v>@thriekomara</v>
      </c>
      <c r="C14592" s="8" t="s">
        <v>3265</v>
      </c>
      <c r="D14592" s="8">
        <v>126</v>
      </c>
      <c r="E14592" s="8">
        <v>0</v>
      </c>
      <c r="F14592" s="8">
        <v>139</v>
      </c>
    </row>
    <row r="14593" spans="1:6" ht="12.75">
      <c r="A14593" s="8">
        <v>43898.275335648148</v>
      </c>
      <c r="B14593" s="8" t="str">
        <f>HYPERLINK("https://twitter.com/yoshievelyn","@yoshievelyn")</f>
        <v>@yoshievelyn</v>
      </c>
      <c r="C14593" s="8" t="s">
        <v>5906</v>
      </c>
      <c r="D14593" s="8">
        <v>0</v>
      </c>
      <c r="E14593" s="8">
        <v>0</v>
      </c>
      <c r="F14593" s="8">
        <v>32</v>
      </c>
    </row>
    <row r="14594" spans="1:6" ht="12.75">
      <c r="A14594" s="8">
        <v>43898.274837962963</v>
      </c>
      <c r="B14594" s="8" t="str">
        <f>HYPERLINK("https://twitter.com/zakaria_satya_A","@zakaria_satya_A")</f>
        <v>@zakaria_satya_A</v>
      </c>
      <c r="C14594" s="8" t="s">
        <v>5907</v>
      </c>
      <c r="D14594" s="8">
        <v>0</v>
      </c>
      <c r="E14594" s="8">
        <v>0</v>
      </c>
      <c r="F14594" s="8">
        <v>672</v>
      </c>
    </row>
    <row r="14595" spans="1:6" ht="12.75">
      <c r="A14595" s="8">
        <v>43898.273692129631</v>
      </c>
      <c r="B14595" s="8" t="str">
        <f>HYPERLINK("https://twitter.com/DeinSugandi","@DeinSugandi")</f>
        <v>@DeinSugandi</v>
      </c>
      <c r="C14595" s="8" t="s">
        <v>3265</v>
      </c>
      <c r="D14595" s="8">
        <v>126</v>
      </c>
      <c r="E14595" s="8">
        <v>0</v>
      </c>
      <c r="F14595" s="8">
        <v>158</v>
      </c>
    </row>
    <row r="14596" spans="1:6" ht="12.75">
      <c r="A14596" s="8">
        <v>43898.273645833338</v>
      </c>
      <c r="B14596" s="8" t="str">
        <f>HYPERLINK("https://twitter.com/rere_milan","@rere_milan")</f>
        <v>@rere_milan</v>
      </c>
      <c r="C14596" s="8" t="s">
        <v>5341</v>
      </c>
      <c r="D14596" s="8">
        <v>3</v>
      </c>
      <c r="E14596" s="8">
        <v>0</v>
      </c>
      <c r="F14596" s="8">
        <v>403</v>
      </c>
    </row>
    <row r="14597" spans="1:6" ht="12.75">
      <c r="A14597" s="8">
        <v>43898.273298611108</v>
      </c>
      <c r="B14597" s="8" t="str">
        <f>HYPERLINK("https://twitter.com/Amalianovii","@Amalianovii")</f>
        <v>@Amalianovii</v>
      </c>
      <c r="C14597" s="8" t="s">
        <v>3978</v>
      </c>
      <c r="D14597" s="8">
        <v>28</v>
      </c>
      <c r="E14597" s="8">
        <v>0</v>
      </c>
      <c r="F14597" s="8">
        <v>324</v>
      </c>
    </row>
    <row r="14598" spans="1:6" ht="12.75">
      <c r="A14598" s="8">
        <v>43898.272881944446</v>
      </c>
      <c r="B14598" s="8" t="str">
        <f>HYPERLINK("https://twitter.com/Alberto58250658","@Alberto58250658")</f>
        <v>@Alberto58250658</v>
      </c>
      <c r="C14598" s="8" t="s">
        <v>5908</v>
      </c>
      <c r="D14598" s="8">
        <v>0</v>
      </c>
      <c r="E14598" s="8">
        <v>0</v>
      </c>
      <c r="F14598" s="8">
        <v>86</v>
      </c>
    </row>
    <row r="14599" spans="1:6" ht="12.75">
      <c r="A14599" s="8">
        <v>43898.272673611107</v>
      </c>
      <c r="B14599" s="8" t="str">
        <f>HYPERLINK("https://twitter.com/Hazeskw","@Hazeskw")</f>
        <v>@Hazeskw</v>
      </c>
      <c r="C14599" s="8" t="s">
        <v>5080</v>
      </c>
      <c r="D14599" s="8">
        <v>77</v>
      </c>
      <c r="E14599" s="8">
        <v>0</v>
      </c>
      <c r="F14599" s="8">
        <v>550</v>
      </c>
    </row>
    <row r="14600" spans="1:6" ht="12.75">
      <c r="A14600" s="8">
        <v>43898.272627314815</v>
      </c>
      <c r="B14600" s="8" t="str">
        <f>HYPERLINK("https://twitter.com/yusuf44211915","@yusuf44211915")</f>
        <v>@yusuf44211915</v>
      </c>
      <c r="C14600" s="8" t="s">
        <v>3265</v>
      </c>
      <c r="D14600" s="8">
        <v>126</v>
      </c>
      <c r="E14600" s="8">
        <v>0</v>
      </c>
      <c r="F14600" s="8">
        <v>36</v>
      </c>
    </row>
    <row r="14601" spans="1:6" ht="12.75">
      <c r="A14601" s="8">
        <v>43898.272106481483</v>
      </c>
      <c r="B14601" s="8" t="str">
        <f>HYPERLINK("https://twitter.com/BlackisBlackMSS","@BlackisBlackMSS")</f>
        <v>@BlackisBlackMSS</v>
      </c>
      <c r="C14601" s="8" t="s">
        <v>5909</v>
      </c>
      <c r="D14601" s="8">
        <v>0</v>
      </c>
      <c r="E14601" s="8">
        <v>0</v>
      </c>
      <c r="F14601" s="8">
        <v>4595</v>
      </c>
    </row>
    <row r="14602" spans="1:6" ht="12.75">
      <c r="A14602" s="8">
        <v>43898.271562499998</v>
      </c>
      <c r="B14602" s="8" t="str">
        <f>HYPERLINK("https://twitter.com/Qois_ahmed","@Qois_ahmed")</f>
        <v>@Qois_ahmed</v>
      </c>
      <c r="C14602" s="8" t="s">
        <v>5910</v>
      </c>
      <c r="D14602" s="8">
        <v>0</v>
      </c>
      <c r="E14602" s="8">
        <v>0</v>
      </c>
      <c r="F14602" s="8">
        <v>296</v>
      </c>
    </row>
    <row r="14603" spans="1:6" ht="12.75">
      <c r="A14603" s="8">
        <v>43898.270555555559</v>
      </c>
      <c r="B14603" s="8" t="str">
        <f>HYPERLINK("https://twitter.com/Nai_Hapsari","@Nai_Hapsari")</f>
        <v>@Nai_Hapsari</v>
      </c>
      <c r="C14603" s="8" t="s">
        <v>5544</v>
      </c>
      <c r="D14603" s="8">
        <v>17</v>
      </c>
      <c r="E14603" s="8">
        <v>0</v>
      </c>
      <c r="F14603" s="8">
        <v>97</v>
      </c>
    </row>
    <row r="14604" spans="1:6" ht="12.75">
      <c r="A14604" s="8">
        <v>43898.270266203705</v>
      </c>
      <c r="B14604" s="8" t="str">
        <f>HYPERLINK("https://twitter.com/PurworOjek","@PurworOjek")</f>
        <v>@PurworOjek</v>
      </c>
      <c r="C14604" s="8" t="s">
        <v>5911</v>
      </c>
      <c r="D14604" s="8">
        <v>1</v>
      </c>
      <c r="E14604" s="8">
        <v>0</v>
      </c>
      <c r="F14604" s="8">
        <v>861</v>
      </c>
    </row>
    <row r="14605" spans="1:6" ht="12.75">
      <c r="A14605" s="8">
        <v>43898.269803240742</v>
      </c>
      <c r="B14605" s="8" t="str">
        <f>HYPERLINK("https://twitter.com/BlackisBlackMSS","@BlackisBlackMSS")</f>
        <v>@BlackisBlackMSS</v>
      </c>
      <c r="C14605" s="8" t="s">
        <v>3213</v>
      </c>
      <c r="D14605" s="8">
        <v>334</v>
      </c>
      <c r="E14605" s="8">
        <v>0</v>
      </c>
      <c r="F14605" s="8">
        <v>4595</v>
      </c>
    </row>
    <row r="14606" spans="1:6" ht="12.75">
      <c r="A14606" s="8">
        <v>43898.269594907411</v>
      </c>
      <c r="B14606" s="8" t="str">
        <f>HYPERLINK("https://twitter.com/mascepp","@mascepp")</f>
        <v>@mascepp</v>
      </c>
      <c r="C14606" s="8" t="s">
        <v>5912</v>
      </c>
      <c r="D14606" s="8">
        <v>0</v>
      </c>
      <c r="E14606" s="8">
        <v>0</v>
      </c>
      <c r="F14606" s="8">
        <v>890</v>
      </c>
    </row>
    <row r="14607" spans="1:6" ht="12.75">
      <c r="A14607" s="8">
        <v>43898.267870370371</v>
      </c>
      <c r="B14607" s="8" t="str">
        <f>HYPERLINK("https://twitter.com/Boeluxs1","@Boeluxs1")</f>
        <v>@Boeluxs1</v>
      </c>
      <c r="C14607" s="8" t="s">
        <v>3213</v>
      </c>
      <c r="D14607" s="8">
        <v>334</v>
      </c>
      <c r="E14607" s="8">
        <v>0</v>
      </c>
      <c r="F14607" s="8">
        <v>187</v>
      </c>
    </row>
    <row r="14608" spans="1:6" ht="12.75">
      <c r="A14608" s="8">
        <v>43898.267592592594</v>
      </c>
      <c r="B14608" s="8" t="str">
        <f>HYPERLINK("https://twitter.com/capkucing","@capkucing")</f>
        <v>@capkucing</v>
      </c>
      <c r="C14608" s="8" t="s">
        <v>3405</v>
      </c>
      <c r="D14608" s="8">
        <v>13</v>
      </c>
      <c r="E14608" s="8">
        <v>0</v>
      </c>
      <c r="F14608" s="8">
        <v>189</v>
      </c>
    </row>
    <row r="14609" spans="1:6" ht="12.75">
      <c r="A14609" s="8">
        <v>43898.267245370371</v>
      </c>
      <c r="B14609" s="8" t="str">
        <f>HYPERLINK("https://twitter.com/ndmendez13","@ndmendez13")</f>
        <v>@ndmendez13</v>
      </c>
      <c r="C14609" s="8" t="s">
        <v>3265</v>
      </c>
      <c r="D14609" s="8">
        <v>126</v>
      </c>
      <c r="E14609" s="8">
        <v>0</v>
      </c>
      <c r="F14609" s="8">
        <v>354</v>
      </c>
    </row>
    <row r="14610" spans="1:6" ht="12.75">
      <c r="A14610" s="8">
        <v>43898.267245370371</v>
      </c>
      <c r="B14610" s="8" t="str">
        <f>HYPERLINK("https://twitter.com/ajayjhasat","@ajayjhasat")</f>
        <v>@ajayjhasat</v>
      </c>
      <c r="C14610" s="8" t="s">
        <v>5913</v>
      </c>
      <c r="D14610" s="8">
        <v>0</v>
      </c>
      <c r="E14610" s="8">
        <v>0</v>
      </c>
      <c r="F14610" s="8">
        <v>7</v>
      </c>
    </row>
    <row r="14611" spans="1:6" ht="12.75">
      <c r="A14611" s="8">
        <v>43898.266805555555</v>
      </c>
      <c r="B14611" s="8" t="str">
        <f>HYPERLINK("https://twitter.com/dinisatashya","@dinisatashya")</f>
        <v>@dinisatashya</v>
      </c>
      <c r="C14611" s="8" t="s">
        <v>5080</v>
      </c>
      <c r="D14611" s="8">
        <v>77</v>
      </c>
      <c r="E14611" s="8">
        <v>0</v>
      </c>
      <c r="F14611" s="8">
        <v>692</v>
      </c>
    </row>
    <row r="14612" spans="1:6" ht="12.75">
      <c r="A14612" s="8">
        <v>43898.266446759255</v>
      </c>
      <c r="B14612" s="8" t="str">
        <f>HYPERLINK("https://twitter.com/MariadinyNia","@MariadinyNia")</f>
        <v>@MariadinyNia</v>
      </c>
      <c r="C14612" s="8" t="s">
        <v>5914</v>
      </c>
      <c r="D14612" s="8">
        <v>11</v>
      </c>
      <c r="E14612" s="8">
        <v>0</v>
      </c>
      <c r="F14612" s="8">
        <v>912</v>
      </c>
    </row>
    <row r="14613" spans="1:6" ht="12.75">
      <c r="A14613" s="8">
        <v>43898.266134259262</v>
      </c>
      <c r="B14613" s="8" t="str">
        <f>HYPERLINK("https://twitter.com/SadeBimantara","@SadeBimantara")</f>
        <v>@SadeBimantara</v>
      </c>
      <c r="C14613" s="8" t="s">
        <v>4760</v>
      </c>
      <c r="D14613" s="8">
        <v>2</v>
      </c>
      <c r="E14613" s="8">
        <v>0</v>
      </c>
      <c r="F14613" s="8">
        <v>1511</v>
      </c>
    </row>
    <row r="14614" spans="1:6" ht="12.75">
      <c r="A14614" s="8">
        <v>43898.2659375</v>
      </c>
      <c r="B14614" s="8" t="str">
        <f>HYPERLINK("https://twitter.com/KHartama","@KHartama")</f>
        <v>@KHartama</v>
      </c>
      <c r="C14614" s="8" t="s">
        <v>3265</v>
      </c>
      <c r="D14614" s="8">
        <v>126</v>
      </c>
      <c r="E14614" s="8">
        <v>0</v>
      </c>
      <c r="F14614" s="8">
        <v>427</v>
      </c>
    </row>
    <row r="14615" spans="1:6" ht="12.75">
      <c r="A14615" s="8">
        <v>43898.265671296293</v>
      </c>
      <c r="B14615" s="8" t="str">
        <f>HYPERLINK("https://twitter.com/Trico_Saputro","@Trico_Saputro")</f>
        <v>@Trico_Saputro</v>
      </c>
      <c r="C14615" s="8" t="s">
        <v>3265</v>
      </c>
      <c r="D14615" s="8">
        <v>126</v>
      </c>
      <c r="E14615" s="8">
        <v>0</v>
      </c>
      <c r="F14615" s="8">
        <v>486</v>
      </c>
    </row>
    <row r="14616" spans="1:6" ht="12.75">
      <c r="A14616" s="8">
        <v>43898.265324074076</v>
      </c>
      <c r="B14616" s="8" t="str">
        <f>HYPERLINK("https://twitter.com/KBRI_Brasilia","@KBRI_Brasilia")</f>
        <v>@KBRI_Brasilia</v>
      </c>
      <c r="C14616" s="8" t="s">
        <v>5915</v>
      </c>
      <c r="D14616" s="8">
        <v>0</v>
      </c>
      <c r="E14616" s="8">
        <v>0</v>
      </c>
      <c r="F14616" s="8">
        <v>949</v>
      </c>
    </row>
    <row r="14617" spans="1:6" ht="12.75">
      <c r="A14617" s="8">
        <v>43898.264930555553</v>
      </c>
      <c r="B14617" s="8" t="str">
        <f>HYPERLINK("https://twitter.com/asenkaldo","@asenkaldo")</f>
        <v>@asenkaldo</v>
      </c>
      <c r="C14617" s="8" t="s">
        <v>5916</v>
      </c>
      <c r="D14617" s="8">
        <v>0</v>
      </c>
      <c r="E14617" s="8">
        <v>0</v>
      </c>
      <c r="F14617" s="8">
        <v>26</v>
      </c>
    </row>
    <row r="14618" spans="1:6" ht="12.75">
      <c r="A14618" s="8">
        <v>43898.263229166667</v>
      </c>
      <c r="B14618" s="8" t="str">
        <f>HYPERLINK("https://twitter.com/kriisnadc","@kriisnadc")</f>
        <v>@kriisnadc</v>
      </c>
      <c r="C14618" s="8" t="s">
        <v>3265</v>
      </c>
      <c r="D14618" s="8">
        <v>126</v>
      </c>
      <c r="E14618" s="8">
        <v>0</v>
      </c>
      <c r="F14618" s="8">
        <v>770</v>
      </c>
    </row>
    <row r="14619" spans="1:6" ht="12.75">
      <c r="A14619" s="8">
        <v>43898.262997685189</v>
      </c>
      <c r="B14619" s="8" t="str">
        <f>HYPERLINK("https://twitter.com/masfach","@masfach")</f>
        <v>@masfach</v>
      </c>
      <c r="C14619" s="8" t="s">
        <v>3265</v>
      </c>
      <c r="D14619" s="8">
        <v>126</v>
      </c>
      <c r="E14619" s="8">
        <v>0</v>
      </c>
      <c r="F14619" s="8">
        <v>30</v>
      </c>
    </row>
    <row r="14620" spans="1:6" ht="12.75">
      <c r="A14620" s="8">
        <v>43898.262604166666</v>
      </c>
      <c r="B14620" s="8" t="str">
        <f>HYPERLINK("https://twitter.com/alfinamiruddin","@alfinamiruddin")</f>
        <v>@alfinamiruddin</v>
      </c>
      <c r="C14620" s="8" t="s">
        <v>3265</v>
      </c>
      <c r="D14620" s="8">
        <v>126</v>
      </c>
      <c r="E14620" s="8">
        <v>0</v>
      </c>
      <c r="F14620" s="8">
        <v>202</v>
      </c>
    </row>
    <row r="14621" spans="1:6" ht="12.75">
      <c r="A14621" s="8">
        <v>43898.261944444443</v>
      </c>
      <c r="B14621" s="8" t="str">
        <f>HYPERLINK("https://twitter.com/buluslg","@buluslg")</f>
        <v>@buluslg</v>
      </c>
      <c r="C14621" s="8" t="s">
        <v>5917</v>
      </c>
      <c r="D14621" s="8">
        <v>0</v>
      </c>
      <c r="E14621" s="8">
        <v>0</v>
      </c>
      <c r="F14621" s="8">
        <v>1099</v>
      </c>
    </row>
    <row r="14622" spans="1:6" ht="12.75">
      <c r="A14622" s="8">
        <v>43898.261608796296</v>
      </c>
      <c r="B14622" s="8" t="str">
        <f>HYPERLINK("https://twitter.com/ahmadyanto21","@ahmadyanto21")</f>
        <v>@ahmadyanto21</v>
      </c>
      <c r="C14622" s="8" t="s">
        <v>5918</v>
      </c>
      <c r="D14622" s="8">
        <v>10</v>
      </c>
      <c r="E14622" s="8">
        <v>0</v>
      </c>
      <c r="F14622" s="8">
        <v>164</v>
      </c>
    </row>
    <row r="14623" spans="1:6" ht="12.75">
      <c r="A14623" s="8">
        <v>43898.260439814811</v>
      </c>
      <c r="B14623" s="8" t="str">
        <f>HYPERLINK("https://twitter.com/Wihar18","@Wihar18")</f>
        <v>@Wihar18</v>
      </c>
      <c r="C14623" s="8" t="s">
        <v>5841</v>
      </c>
      <c r="D14623" s="8">
        <v>2</v>
      </c>
      <c r="E14623" s="8">
        <v>0</v>
      </c>
      <c r="F14623" s="8">
        <v>35</v>
      </c>
    </row>
    <row r="14624" spans="1:6" ht="12.75">
      <c r="A14624" s="8">
        <v>43898.260138888887</v>
      </c>
      <c r="B14624" s="8" t="str">
        <f>HYPERLINK("https://twitter.com/ResubunT","@ResubunT")</f>
        <v>@ResubunT</v>
      </c>
      <c r="C14624" s="8" t="s">
        <v>4940</v>
      </c>
      <c r="D14624" s="8">
        <v>5</v>
      </c>
      <c r="E14624" s="8">
        <v>0</v>
      </c>
      <c r="F14624" s="8">
        <v>2393</v>
      </c>
    </row>
    <row r="14625" spans="1:6" ht="12.75">
      <c r="A14625" s="8">
        <v>43898.260081018518</v>
      </c>
      <c r="B14625" s="8" t="str">
        <f>HYPERLINK("https://twitter.com/Aldiasman","@Aldiasman")</f>
        <v>@Aldiasman</v>
      </c>
      <c r="C14625" s="8" t="s">
        <v>5919</v>
      </c>
      <c r="D14625" s="8">
        <v>0</v>
      </c>
      <c r="E14625" s="8">
        <v>0</v>
      </c>
      <c r="F14625" s="8">
        <v>289</v>
      </c>
    </row>
    <row r="14626" spans="1:6" ht="12.75">
      <c r="A14626" s="8">
        <v>43898.259849537033</v>
      </c>
      <c r="B14626" s="8" t="str">
        <f t="shared" ref="B14626:B14628" si="218">HYPERLINK("https://twitter.com/ISIS_Balik_NO","@ISIS_Balik_NO")</f>
        <v>@ISIS_Balik_NO</v>
      </c>
      <c r="C14626" s="8" t="s">
        <v>5920</v>
      </c>
      <c r="D14626" s="8">
        <v>61</v>
      </c>
      <c r="E14626" s="8">
        <v>0</v>
      </c>
      <c r="F14626" s="8">
        <v>6156</v>
      </c>
    </row>
    <row r="14627" spans="1:6" ht="12.75">
      <c r="A14627" s="8">
        <v>43898.25849537037</v>
      </c>
      <c r="B14627" s="8" t="str">
        <f t="shared" si="218"/>
        <v>@ISIS_Balik_NO</v>
      </c>
      <c r="C14627" s="8" t="s">
        <v>5921</v>
      </c>
      <c r="D14627" s="8">
        <v>99</v>
      </c>
      <c r="E14627" s="8">
        <v>0</v>
      </c>
      <c r="F14627" s="8">
        <v>6156</v>
      </c>
    </row>
    <row r="14628" spans="1:6" ht="12.75">
      <c r="A14628" s="8">
        <v>43898.258379629631</v>
      </c>
      <c r="B14628" s="8" t="str">
        <f t="shared" si="218"/>
        <v>@ISIS_Balik_NO</v>
      </c>
      <c r="C14628" s="8" t="s">
        <v>5922</v>
      </c>
      <c r="D14628" s="8">
        <v>170</v>
      </c>
      <c r="E14628" s="8">
        <v>0</v>
      </c>
      <c r="F14628" s="8">
        <v>6156</v>
      </c>
    </row>
    <row r="14629" spans="1:6" ht="12.75">
      <c r="A14629" s="8">
        <v>43898.258356481485</v>
      </c>
      <c r="B14629" s="8" t="str">
        <f>HYPERLINK("https://twitter.com/Bingellfullo","@Bingellfullo")</f>
        <v>@Bingellfullo</v>
      </c>
      <c r="C14629" s="8" t="s">
        <v>5923</v>
      </c>
      <c r="D14629" s="8">
        <v>1</v>
      </c>
      <c r="E14629" s="8">
        <v>0</v>
      </c>
      <c r="F14629" s="8">
        <v>1249</v>
      </c>
    </row>
    <row r="14630" spans="1:6" ht="12.75">
      <c r="A14630" s="8">
        <v>43898.257951388892</v>
      </c>
      <c r="B14630" s="8" t="str">
        <f>HYPERLINK("https://twitter.com/ISIS_Balik_NO","@ISIS_Balik_NO")</f>
        <v>@ISIS_Balik_NO</v>
      </c>
      <c r="C14630" s="8" t="s">
        <v>5924</v>
      </c>
      <c r="D14630" s="8">
        <v>0</v>
      </c>
      <c r="E14630" s="8">
        <v>0</v>
      </c>
      <c r="F14630" s="8">
        <v>6156</v>
      </c>
    </row>
    <row r="14631" spans="1:6" ht="12.75">
      <c r="A14631" s="8">
        <v>43898.257847222223</v>
      </c>
      <c r="B14631" s="8" t="str">
        <f>HYPERLINK("https://twitter.com/IrwanBamz","@IrwanBamz")</f>
        <v>@IrwanBamz</v>
      </c>
      <c r="C14631" s="8" t="s">
        <v>5925</v>
      </c>
      <c r="D14631" s="8">
        <v>0</v>
      </c>
      <c r="E14631" s="8">
        <v>0</v>
      </c>
      <c r="F14631" s="8">
        <v>1</v>
      </c>
    </row>
    <row r="14632" spans="1:6" ht="12.75">
      <c r="A14632" s="8">
        <v>43898.257557870369</v>
      </c>
      <c r="B14632" s="8" t="str">
        <f>HYPERLINK("https://twitter.com/AuwalDauda17","@AuwalDauda17")</f>
        <v>@AuwalDauda17</v>
      </c>
      <c r="C14632" s="8" t="s">
        <v>5926</v>
      </c>
      <c r="D14632" s="8">
        <v>1</v>
      </c>
      <c r="E14632" s="8">
        <v>2</v>
      </c>
      <c r="F14632" s="8">
        <v>34</v>
      </c>
    </row>
    <row r="14633" spans="1:6" ht="12.75">
      <c r="A14633" s="8">
        <v>43898.25680555556</v>
      </c>
      <c r="B14633" s="8" t="str">
        <f>HYPERLINK("https://twitter.com/DjokoRetnadi","@DjokoRetnadi")</f>
        <v>@DjokoRetnadi</v>
      </c>
      <c r="C14633" s="8" t="s">
        <v>4818</v>
      </c>
      <c r="D14633" s="8">
        <v>297</v>
      </c>
      <c r="E14633" s="8">
        <v>0</v>
      </c>
      <c r="F14633" s="8">
        <v>32</v>
      </c>
    </row>
    <row r="14634" spans="1:6" ht="12.75">
      <c r="A14634" s="8">
        <v>43898.256388888884</v>
      </c>
      <c r="B14634" s="8" t="str">
        <f>HYPERLINK("https://twitter.com/A121_2lanx","@A121_2lanx")</f>
        <v>@A121_2lanx</v>
      </c>
      <c r="C14634" s="8" t="s">
        <v>5080</v>
      </c>
      <c r="D14634" s="8">
        <v>70</v>
      </c>
      <c r="E14634" s="8">
        <v>0</v>
      </c>
      <c r="F14634" s="8">
        <v>142</v>
      </c>
    </row>
    <row r="14635" spans="1:6" ht="12.75">
      <c r="A14635" s="8">
        <v>43898.254479166666</v>
      </c>
      <c r="B14635" s="8" t="str">
        <f>HYPERLINK("https://twitter.com/BudiRahadian5","@BudiRahadian5")</f>
        <v>@BudiRahadian5</v>
      </c>
      <c r="C14635" s="8" t="s">
        <v>5927</v>
      </c>
      <c r="D14635" s="8">
        <v>0</v>
      </c>
      <c r="E14635" s="8">
        <v>1</v>
      </c>
      <c r="F14635" s="8">
        <v>1334</v>
      </c>
    </row>
    <row r="14636" spans="1:6" ht="12.75">
      <c r="A14636" s="8">
        <v>43898.254363425927</v>
      </c>
      <c r="B14636" s="8" t="str">
        <f>HYPERLINK("https://twitter.com/isis_galle","@isis_galle")</f>
        <v>@isis_galle</v>
      </c>
      <c r="C14636" s="8" t="s">
        <v>5928</v>
      </c>
      <c r="D14636" s="8">
        <v>0</v>
      </c>
      <c r="E14636" s="8">
        <v>0</v>
      </c>
      <c r="F14636" s="8">
        <v>543</v>
      </c>
    </row>
    <row r="14637" spans="1:6" ht="12.75">
      <c r="A14637" s="8">
        <v>43898.253379629634</v>
      </c>
      <c r="B14637" s="8" t="str">
        <f>HYPERLINK("https://twitter.com/filiusmandin","@filiusmandin")</f>
        <v>@filiusmandin</v>
      </c>
      <c r="C14637" s="8" t="s">
        <v>5929</v>
      </c>
      <c r="D14637" s="8">
        <v>8</v>
      </c>
      <c r="E14637" s="8">
        <v>0</v>
      </c>
      <c r="F14637" s="8">
        <v>143</v>
      </c>
    </row>
    <row r="14638" spans="1:6" ht="12.75">
      <c r="A14638" s="8">
        <v>43898.252627314811</v>
      </c>
      <c r="B14638" s="8" t="str">
        <f>HYPERLINK("https://twitter.com/drkohar","@drkohar")</f>
        <v>@drkohar</v>
      </c>
      <c r="C14638" s="8" t="s">
        <v>3265</v>
      </c>
      <c r="D14638" s="8">
        <v>97</v>
      </c>
      <c r="E14638" s="8">
        <v>0</v>
      </c>
      <c r="F14638" s="8">
        <v>230</v>
      </c>
    </row>
    <row r="14639" spans="1:6" ht="12.75">
      <c r="A14639" s="8">
        <v>43898.251666666663</v>
      </c>
      <c r="B14639" s="8" t="str">
        <f>HYPERLINK("https://twitter.com/Udinkladoko","@Udinkladoko")</f>
        <v>@Udinkladoko</v>
      </c>
      <c r="C14639" s="8" t="s">
        <v>3265</v>
      </c>
      <c r="D14639" s="8">
        <v>97</v>
      </c>
      <c r="E14639" s="8">
        <v>0</v>
      </c>
      <c r="F14639" s="8">
        <v>127</v>
      </c>
    </row>
    <row r="14640" spans="1:6" ht="12.75">
      <c r="A14640" s="8">
        <v>43898.250300925924</v>
      </c>
      <c r="B14640" s="8" t="str">
        <f>HYPERLINK("https://twitter.com/NurAli7981","@NurAli7981")</f>
        <v>@NurAli7981</v>
      </c>
      <c r="C14640" s="8" t="s">
        <v>3265</v>
      </c>
      <c r="D14640" s="8">
        <v>97</v>
      </c>
      <c r="E14640" s="8">
        <v>0</v>
      </c>
      <c r="F14640" s="8">
        <v>357</v>
      </c>
    </row>
    <row r="14641" spans="1:6" ht="12.75">
      <c r="A14641" s="8">
        <v>43898.25</v>
      </c>
      <c r="B14641" s="8" t="str">
        <f>HYPERLINK("https://twitter.com/OfficialiNewsTV","@OfficialiNewsTV")</f>
        <v>@OfficialiNewsTV</v>
      </c>
      <c r="C14641" s="8" t="s">
        <v>5930</v>
      </c>
      <c r="D14641" s="8">
        <v>0</v>
      </c>
      <c r="E14641" s="8">
        <v>0</v>
      </c>
      <c r="F14641" s="8">
        <v>96624</v>
      </c>
    </row>
    <row r="14642" spans="1:6" ht="12.75">
      <c r="A14642" s="8">
        <v>43898.249826388885</v>
      </c>
      <c r="B14642" s="8" t="str">
        <f>HYPERLINK("https://twitter.com/harihariono1","@harihariono1")</f>
        <v>@harihariono1</v>
      </c>
      <c r="C14642" s="8" t="s">
        <v>3405</v>
      </c>
      <c r="D14642" s="8">
        <v>6</v>
      </c>
      <c r="E14642" s="8">
        <v>0</v>
      </c>
      <c r="F14642" s="8">
        <v>9491</v>
      </c>
    </row>
    <row r="14643" spans="1:6" ht="12.75">
      <c r="A14643" s="8">
        <v>43898.249710648146</v>
      </c>
      <c r="B14643" s="8" t="str">
        <f>HYPERLINK("https://twitter.com/ryan_eza","@ryan_eza")</f>
        <v>@ryan_eza</v>
      </c>
      <c r="C14643" s="8" t="s">
        <v>3265</v>
      </c>
      <c r="D14643" s="8">
        <v>97</v>
      </c>
      <c r="E14643" s="8">
        <v>0</v>
      </c>
      <c r="F14643" s="8">
        <v>222</v>
      </c>
    </row>
    <row r="14644" spans="1:6" ht="12.75">
      <c r="A14644" s="8">
        <v>43898.249131944445</v>
      </c>
      <c r="B14644" s="8" t="str">
        <f>HYPERLINK("https://twitter.com/A1sySum4r","@A1sySum4r")</f>
        <v>@A1sySum4r</v>
      </c>
      <c r="C14644" s="8" t="s">
        <v>3265</v>
      </c>
      <c r="D14644" s="8">
        <v>97</v>
      </c>
      <c r="E14644" s="8">
        <v>0</v>
      </c>
      <c r="F14644" s="8">
        <v>1174</v>
      </c>
    </row>
    <row r="14645" spans="1:6" ht="12.75">
      <c r="A14645" s="8">
        <v>43898.248865740738</v>
      </c>
      <c r="B14645" s="8" t="str">
        <f>HYPERLINK("https://twitter.com/yantoeri09","@yantoeri09")</f>
        <v>@yantoeri09</v>
      </c>
      <c r="C14645" s="8" t="s">
        <v>5931</v>
      </c>
      <c r="D14645" s="8">
        <v>0</v>
      </c>
      <c r="E14645" s="8">
        <v>0</v>
      </c>
      <c r="F14645" s="8">
        <v>11</v>
      </c>
    </row>
    <row r="14646" spans="1:6" ht="12.75">
      <c r="A14646" s="8">
        <v>43898.248761574076</v>
      </c>
      <c r="B14646" s="8" t="str">
        <f>HYPERLINK("https://twitter.com/sasaisgrull","@sasaisgrull")</f>
        <v>@sasaisgrull</v>
      </c>
      <c r="C14646" s="8" t="s">
        <v>2941</v>
      </c>
      <c r="D14646" s="8">
        <v>1096</v>
      </c>
      <c r="E14646" s="8">
        <v>0</v>
      </c>
      <c r="F14646" s="8">
        <v>14</v>
      </c>
    </row>
    <row r="14647" spans="1:6" ht="12.75">
      <c r="A14647" s="8">
        <v>43898.248530092591</v>
      </c>
      <c r="B14647" s="8" t="str">
        <f>HYPERLINK("https://twitter.com/MaskuMasku1","@MaskuMasku1")</f>
        <v>@MaskuMasku1</v>
      </c>
      <c r="C14647" s="8" t="s">
        <v>3265</v>
      </c>
      <c r="D14647" s="8">
        <v>97</v>
      </c>
      <c r="E14647" s="8">
        <v>0</v>
      </c>
      <c r="F14647" s="8">
        <v>3572</v>
      </c>
    </row>
    <row r="14648" spans="1:6" ht="12.75">
      <c r="A14648" s="8">
        <v>43898.248483796298</v>
      </c>
      <c r="B14648" s="8" t="str">
        <f>HYPERLINK("https://twitter.com/inong911","@inong911")</f>
        <v>@inong911</v>
      </c>
      <c r="C14648" s="8" t="s">
        <v>5932</v>
      </c>
      <c r="D14648" s="8">
        <v>0</v>
      </c>
      <c r="E14648" s="8">
        <v>0</v>
      </c>
      <c r="F14648" s="8">
        <v>488</v>
      </c>
    </row>
    <row r="14649" spans="1:6" ht="12.75">
      <c r="A14649" s="8">
        <v>43898.247962962967</v>
      </c>
      <c r="B14649" s="8" t="str">
        <f>HYPERLINK("https://twitter.com/PandjiUdara","@PandjiUdara")</f>
        <v>@PandjiUdara</v>
      </c>
      <c r="C14649" s="8" t="s">
        <v>3743</v>
      </c>
      <c r="D14649" s="8">
        <v>703</v>
      </c>
      <c r="E14649" s="8">
        <v>0</v>
      </c>
      <c r="F14649" s="8">
        <v>103</v>
      </c>
    </row>
    <row r="14650" spans="1:6" ht="12.75">
      <c r="A14650" s="8">
        <v>43898.247592592597</v>
      </c>
      <c r="B14650" s="8" t="str">
        <f>HYPERLINK("https://twitter.com/KBRITokyo","@KBRITokyo")</f>
        <v>@KBRITokyo</v>
      </c>
      <c r="C14650" s="8" t="s">
        <v>4162</v>
      </c>
      <c r="D14650" s="8">
        <v>102</v>
      </c>
      <c r="E14650" s="8">
        <v>0</v>
      </c>
      <c r="F14650" s="8">
        <v>19118</v>
      </c>
    </row>
    <row r="14651" spans="1:6" ht="12.75">
      <c r="A14651" s="8">
        <v>43898.247025462959</v>
      </c>
      <c r="B14651" s="8" t="str">
        <f>HYPERLINK("https://twitter.com/Riodavy","@Riodavy")</f>
        <v>@Riodavy</v>
      </c>
      <c r="C14651" s="8" t="s">
        <v>3405</v>
      </c>
      <c r="D14651" s="8">
        <v>6</v>
      </c>
      <c r="E14651" s="8">
        <v>0</v>
      </c>
      <c r="F14651" s="8">
        <v>174</v>
      </c>
    </row>
    <row r="14652" spans="1:6" ht="12.75">
      <c r="A14652" s="8">
        <v>43898.246631944443</v>
      </c>
      <c r="B14652" s="8" t="str">
        <f>HYPERLINK("https://twitter.com/abespawnie","@abespawnie")</f>
        <v>@abespawnie</v>
      </c>
      <c r="C14652" s="8" t="s">
        <v>5080</v>
      </c>
      <c r="D14652" s="8">
        <v>70</v>
      </c>
      <c r="E14652" s="8">
        <v>0</v>
      </c>
      <c r="F14652" s="8">
        <v>306</v>
      </c>
    </row>
    <row r="14653" spans="1:6" ht="12.75">
      <c r="A14653" s="8">
        <v>43898.246111111112</v>
      </c>
      <c r="B14653" s="8" t="str">
        <f>HYPERLINK("https://twitter.com/chittpbabw","@chittpbabw")</f>
        <v>@chittpbabw</v>
      </c>
      <c r="C14653" s="8" t="s">
        <v>5933</v>
      </c>
      <c r="D14653" s="8">
        <v>0</v>
      </c>
      <c r="E14653" s="8">
        <v>0</v>
      </c>
      <c r="F14653" s="8">
        <v>856</v>
      </c>
    </row>
    <row r="14654" spans="1:6" ht="12.75">
      <c r="A14654" s="8">
        <v>43898.245428240742</v>
      </c>
      <c r="B14654" s="8" t="str">
        <f>HYPERLINK("https://twitter.com/Baracuda1818","@Baracuda1818")</f>
        <v>@Baracuda1818</v>
      </c>
      <c r="C14654" s="8" t="s">
        <v>4940</v>
      </c>
      <c r="D14654" s="8">
        <v>3</v>
      </c>
      <c r="E14654" s="8">
        <v>0</v>
      </c>
      <c r="F14654" s="8">
        <v>7786</v>
      </c>
    </row>
    <row r="14655" spans="1:6" ht="12.75">
      <c r="A14655" s="8">
        <v>43898.244675925926</v>
      </c>
      <c r="B14655" s="8" t="str">
        <f>HYPERLINK("https://twitter.com/PurworOjek","@PurworOjek")</f>
        <v>@PurworOjek</v>
      </c>
      <c r="C14655" s="8" t="s">
        <v>5934</v>
      </c>
      <c r="D14655" s="8">
        <v>19</v>
      </c>
      <c r="E14655" s="8">
        <v>0</v>
      </c>
      <c r="F14655" s="8">
        <v>862</v>
      </c>
    </row>
    <row r="14656" spans="1:6" ht="12.75">
      <c r="A14656" s="8">
        <v>43898.244606481487</v>
      </c>
      <c r="B14656" s="8" t="str">
        <f>HYPERLINK("https://twitter.com/koecing_hutan","@koecing_hutan")</f>
        <v>@koecing_hutan</v>
      </c>
      <c r="C14656" s="8" t="s">
        <v>3405</v>
      </c>
      <c r="D14656" s="8">
        <v>6</v>
      </c>
      <c r="E14656" s="8">
        <v>0</v>
      </c>
      <c r="F14656" s="8">
        <v>315</v>
      </c>
    </row>
    <row r="14657" spans="1:6" ht="12.75">
      <c r="A14657" s="8">
        <v>43898.242754629631</v>
      </c>
      <c r="B14657" s="8" t="str">
        <f>HYPERLINK("https://twitter.com/AkhmadR69358210","@AkhmadR69358210")</f>
        <v>@AkhmadR69358210</v>
      </c>
      <c r="C14657" s="8" t="s">
        <v>3743</v>
      </c>
      <c r="D14657" s="8">
        <v>703</v>
      </c>
      <c r="E14657" s="8">
        <v>0</v>
      </c>
      <c r="F14657" s="8">
        <v>656</v>
      </c>
    </row>
    <row r="14658" spans="1:6" ht="12.75">
      <c r="A14658" s="8">
        <v>43898.242442129631</v>
      </c>
      <c r="B14658" s="8" t="str">
        <f>HYPERLINK("https://twitter.com/rudhizalfa","@rudhizalfa")</f>
        <v>@rudhizalfa</v>
      </c>
      <c r="C14658" s="8" t="s">
        <v>3265</v>
      </c>
      <c r="D14658" s="8">
        <v>97</v>
      </c>
      <c r="E14658" s="8">
        <v>0</v>
      </c>
      <c r="F14658" s="8">
        <v>670</v>
      </c>
    </row>
    <row r="14659" spans="1:6" ht="12.75">
      <c r="A14659" s="8">
        <v>43898.242210648154</v>
      </c>
      <c r="B14659" s="8" t="str">
        <f>HYPERLINK("https://twitter.com/_mary_turnbull_","@_mary_turnbull_")</f>
        <v>@_mary_turnbull_</v>
      </c>
      <c r="C14659" s="8" t="s">
        <v>5935</v>
      </c>
      <c r="D14659" s="8">
        <v>426</v>
      </c>
      <c r="E14659" s="8">
        <v>0</v>
      </c>
      <c r="F14659" s="8">
        <v>935</v>
      </c>
    </row>
    <row r="14660" spans="1:6" ht="12.75">
      <c r="A14660" s="8">
        <v>43898.24155092593</v>
      </c>
      <c r="B14660" s="8" t="str">
        <f>HYPERLINK("https://twitter.com/DavidRuslie8","@DavidRuslie8")</f>
        <v>@DavidRuslie8</v>
      </c>
      <c r="C14660" s="8" t="s">
        <v>4940</v>
      </c>
      <c r="D14660" s="8">
        <v>3</v>
      </c>
      <c r="E14660" s="8">
        <v>0</v>
      </c>
      <c r="F14660" s="8">
        <v>946</v>
      </c>
    </row>
    <row r="14661" spans="1:6" ht="12.75">
      <c r="A14661" s="8">
        <v>43898.241539351853</v>
      </c>
      <c r="B14661" s="8" t="str">
        <f>HYPERLINK("https://twitter.com/ISIS_Balik_NO","@ISIS_Balik_NO")</f>
        <v>@ISIS_Balik_NO</v>
      </c>
      <c r="C14661" s="8" t="s">
        <v>5936</v>
      </c>
      <c r="D14661" s="8">
        <v>132</v>
      </c>
      <c r="E14661" s="8">
        <v>0</v>
      </c>
      <c r="F14661" s="8">
        <v>6155</v>
      </c>
    </row>
    <row r="14662" spans="1:6" ht="12.75">
      <c r="A14662" s="8">
        <v>43898.24150462963</v>
      </c>
      <c r="B14662" s="8" t="str">
        <f>HYPERLINK("https://twitter.com/JokoTar03424399","@JokoTar03424399")</f>
        <v>@JokoTar03424399</v>
      </c>
      <c r="C14662" s="8" t="s">
        <v>5080</v>
      </c>
      <c r="D14662" s="8">
        <v>70</v>
      </c>
      <c r="E14662" s="8">
        <v>0</v>
      </c>
      <c r="F14662" s="8">
        <v>334</v>
      </c>
    </row>
    <row r="14663" spans="1:6" ht="12.75">
      <c r="A14663" s="8">
        <v>43898.241249999999</v>
      </c>
      <c r="B14663" s="8" t="str">
        <f t="shared" ref="B14663:B14664" si="219">HYPERLINK("https://twitter.com/ISIS_Balik_NO","@ISIS_Balik_NO")</f>
        <v>@ISIS_Balik_NO</v>
      </c>
      <c r="C14663" s="8" t="s">
        <v>5937</v>
      </c>
      <c r="D14663" s="8">
        <v>0</v>
      </c>
      <c r="E14663" s="8">
        <v>0</v>
      </c>
      <c r="F14663" s="8">
        <v>6155</v>
      </c>
    </row>
    <row r="14664" spans="1:6" ht="12.75">
      <c r="A14664" s="8">
        <v>43898.240868055553</v>
      </c>
      <c r="B14664" s="8" t="str">
        <f t="shared" si="219"/>
        <v>@ISIS_Balik_NO</v>
      </c>
      <c r="C14664" s="8" t="s">
        <v>5938</v>
      </c>
      <c r="D14664" s="8">
        <v>90</v>
      </c>
      <c r="E14664" s="8">
        <v>0</v>
      </c>
      <c r="F14664" s="8">
        <v>6155</v>
      </c>
    </row>
    <row r="14665" spans="1:6" ht="12.75">
      <c r="A14665" s="8">
        <v>43898.238449074073</v>
      </c>
      <c r="B14665" s="8" t="str">
        <f>HYPERLINK("https://twitter.com/ahmagun13","@ahmagun13")</f>
        <v>@ahmagun13</v>
      </c>
      <c r="C14665" s="8" t="s">
        <v>3265</v>
      </c>
      <c r="D14665" s="8">
        <v>97</v>
      </c>
      <c r="E14665" s="8">
        <v>0</v>
      </c>
      <c r="F14665" s="8">
        <v>367</v>
      </c>
    </row>
    <row r="14666" spans="1:6" ht="12.75">
      <c r="A14666" s="8">
        <v>43898.23841435185</v>
      </c>
      <c r="B14666" s="8" t="str">
        <f>HYPERLINK("https://twitter.com/ashari_syahid","@ashari_syahid")</f>
        <v>@ashari_syahid</v>
      </c>
      <c r="C14666" s="8" t="s">
        <v>3265</v>
      </c>
      <c r="D14666" s="8">
        <v>97</v>
      </c>
      <c r="E14666" s="8">
        <v>0</v>
      </c>
      <c r="F14666" s="8">
        <v>330</v>
      </c>
    </row>
    <row r="14667" spans="1:6" ht="12.75">
      <c r="A14667" s="8">
        <v>43898.236967592587</v>
      </c>
      <c r="B14667" s="8" t="str">
        <f>HYPERLINK("https://twitter.com/ISIS_Balik_NO","@ISIS_Balik_NO")</f>
        <v>@ISIS_Balik_NO</v>
      </c>
      <c r="C14667" s="8" t="s">
        <v>5939</v>
      </c>
      <c r="D14667" s="8">
        <v>0</v>
      </c>
      <c r="E14667" s="8">
        <v>0</v>
      </c>
      <c r="F14667" s="8">
        <v>6155</v>
      </c>
    </row>
    <row r="14668" spans="1:6" ht="12.75">
      <c r="A14668" s="8">
        <v>43898.236562499995</v>
      </c>
      <c r="B14668" s="8" t="str">
        <f>HYPERLINK("https://twitter.com/SabdhoAdi","@SabdhoAdi")</f>
        <v>@SabdhoAdi</v>
      </c>
      <c r="C14668" s="8" t="s">
        <v>3265</v>
      </c>
      <c r="D14668" s="8">
        <v>97</v>
      </c>
      <c r="E14668" s="8">
        <v>0</v>
      </c>
      <c r="F14668" s="8">
        <v>0</v>
      </c>
    </row>
    <row r="14669" spans="1:6" ht="12.75">
      <c r="A14669" s="8">
        <v>43898.236319444448</v>
      </c>
      <c r="B14669" s="8" t="str">
        <f>HYPERLINK("https://twitter.com/iamakashbatra","@iamakashbatra")</f>
        <v>@iamakashbatra</v>
      </c>
      <c r="C14669" s="8" t="s">
        <v>5940</v>
      </c>
      <c r="D14669" s="8">
        <v>0</v>
      </c>
      <c r="E14669" s="8">
        <v>1</v>
      </c>
      <c r="F14669" s="8">
        <v>33</v>
      </c>
    </row>
    <row r="14670" spans="1:6" ht="12.75">
      <c r="A14670" s="8">
        <v>43898.236168981486</v>
      </c>
      <c r="B14670" s="8" t="str">
        <f>HYPERLINK("https://twitter.com/ISIS_Balik_NO","@ISIS_Balik_NO")</f>
        <v>@ISIS_Balik_NO</v>
      </c>
      <c r="C14670" s="8" t="s">
        <v>5941</v>
      </c>
      <c r="D14670" s="8">
        <v>0</v>
      </c>
      <c r="E14670" s="8">
        <v>1</v>
      </c>
      <c r="F14670" s="8">
        <v>6155</v>
      </c>
    </row>
    <row r="14671" spans="1:6" ht="12.75">
      <c r="A14671" s="8">
        <v>43898.235625000001</v>
      </c>
      <c r="B14671" s="8" t="str">
        <f>HYPERLINK("https://twitter.com/cangcingiss","@cangcingiss")</f>
        <v>@cangcingiss</v>
      </c>
      <c r="C14671" s="8" t="s">
        <v>5486</v>
      </c>
      <c r="D14671" s="8">
        <v>38</v>
      </c>
      <c r="E14671" s="8">
        <v>0</v>
      </c>
      <c r="F14671" s="8">
        <v>263</v>
      </c>
    </row>
    <row r="14672" spans="1:6" ht="12.75">
      <c r="A14672" s="8">
        <v>43898.234317129631</v>
      </c>
      <c r="B14672" s="8" t="str">
        <f>HYPERLINK("https://twitter.com/ISIS_Balik_NO","@ISIS_Balik_NO")</f>
        <v>@ISIS_Balik_NO</v>
      </c>
      <c r="C14672" s="8" t="s">
        <v>5942</v>
      </c>
      <c r="D14672" s="8">
        <v>0</v>
      </c>
      <c r="E14672" s="8">
        <v>0</v>
      </c>
      <c r="F14672" s="8">
        <v>6155</v>
      </c>
    </row>
    <row r="14673" spans="1:6" ht="12.75">
      <c r="A14673" s="8">
        <v>43898.233877314815</v>
      </c>
      <c r="B14673" s="8" t="str">
        <f>HYPERLINK("https://twitter.com/Firman1898","@Firman1898")</f>
        <v>@Firman1898</v>
      </c>
      <c r="C14673" s="8" t="s">
        <v>5943</v>
      </c>
      <c r="D14673" s="8">
        <v>4</v>
      </c>
      <c r="E14673" s="8">
        <v>0</v>
      </c>
      <c r="F14673" s="8">
        <v>1034</v>
      </c>
    </row>
    <row r="14674" spans="1:6" ht="12.75">
      <c r="A14674" s="8">
        <v>43898.233217592591</v>
      </c>
      <c r="B14674" s="8" t="str">
        <f>HYPERLINK("https://twitter.com/wan_jakh","@wan_jakh")</f>
        <v>@wan_jakh</v>
      </c>
      <c r="C14674" s="8" t="s">
        <v>3265</v>
      </c>
      <c r="D14674" s="8">
        <v>97</v>
      </c>
      <c r="E14674" s="8">
        <v>0</v>
      </c>
      <c r="F14674" s="8">
        <v>5199</v>
      </c>
    </row>
    <row r="14675" spans="1:6" ht="12.75">
      <c r="A14675" s="8">
        <v>43898.233032407406</v>
      </c>
      <c r="B14675" s="8" t="str">
        <f>HYPERLINK("https://twitter.com/jellyfiiz","@jellyfiiz")</f>
        <v>@jellyfiiz</v>
      </c>
      <c r="C14675" s="8" t="s">
        <v>3978</v>
      </c>
      <c r="D14675" s="8">
        <v>27</v>
      </c>
      <c r="E14675" s="8">
        <v>0</v>
      </c>
      <c r="F14675" s="8">
        <v>127</v>
      </c>
    </row>
    <row r="14676" spans="1:6" ht="12.75">
      <c r="A14676" s="8">
        <v>43898.232685185183</v>
      </c>
      <c r="B14676" s="8" t="str">
        <f>HYPERLINK("https://twitter.com/DediTeulih2016","@DediTeulih2016")</f>
        <v>@DediTeulih2016</v>
      </c>
      <c r="C14676" s="8" t="s">
        <v>5944</v>
      </c>
      <c r="D14676" s="8">
        <v>13</v>
      </c>
      <c r="E14676" s="8">
        <v>0</v>
      </c>
      <c r="F14676" s="8">
        <v>1896</v>
      </c>
    </row>
    <row r="14677" spans="1:6" ht="12.75">
      <c r="A14677" s="8">
        <v>43898.232638888891</v>
      </c>
      <c r="B14677" s="8" t="str">
        <f>HYPERLINK("https://twitter.com/ISIS_Balik_NO","@ISIS_Balik_NO")</f>
        <v>@ISIS_Balik_NO</v>
      </c>
      <c r="C14677" s="8" t="s">
        <v>5945</v>
      </c>
      <c r="D14677" s="8">
        <v>0</v>
      </c>
      <c r="E14677" s="8">
        <v>1</v>
      </c>
      <c r="F14677" s="8">
        <v>6155</v>
      </c>
    </row>
    <row r="14678" spans="1:6" ht="12.75">
      <c r="A14678" s="8">
        <v>43898.232465277775</v>
      </c>
      <c r="B14678" s="8" t="str">
        <f>HYPERLINK("https://twitter.com/Bronzy71016353","@Bronzy71016353")</f>
        <v>@Bronzy71016353</v>
      </c>
      <c r="C14678" s="8" t="s">
        <v>3265</v>
      </c>
      <c r="D14678" s="8">
        <v>97</v>
      </c>
      <c r="E14678" s="8">
        <v>0</v>
      </c>
      <c r="F14678" s="8">
        <v>0</v>
      </c>
    </row>
    <row r="14679" spans="1:6" ht="12.75">
      <c r="A14679" s="8">
        <v>43898.231342592597</v>
      </c>
      <c r="B14679" s="8" t="str">
        <f>HYPERLINK("https://twitter.com/yogied","@yogied")</f>
        <v>@yogied</v>
      </c>
      <c r="C14679" s="8" t="s">
        <v>3265</v>
      </c>
      <c r="D14679" s="8">
        <v>97</v>
      </c>
      <c r="E14679" s="8">
        <v>0</v>
      </c>
      <c r="F14679" s="8">
        <v>475</v>
      </c>
    </row>
    <row r="14680" spans="1:6" ht="12.75">
      <c r="A14680" s="8">
        <v>43898.230706018519</v>
      </c>
      <c r="B14680" s="8" t="str">
        <f>HYPERLINK("https://twitter.com/Enfianto","@Enfianto")</f>
        <v>@Enfianto</v>
      </c>
      <c r="C14680" s="8" t="s">
        <v>5943</v>
      </c>
      <c r="D14680" s="8">
        <v>4</v>
      </c>
      <c r="E14680" s="8">
        <v>0</v>
      </c>
      <c r="F14680" s="8">
        <v>1796</v>
      </c>
    </row>
    <row r="14681" spans="1:6" ht="12.75">
      <c r="A14681" s="8">
        <v>43898.229178240741</v>
      </c>
      <c r="B14681" s="8" t="str">
        <f>HYPERLINK("https://twitter.com/adisatya","@adisatya")</f>
        <v>@adisatya</v>
      </c>
      <c r="C14681" s="8" t="s">
        <v>5946</v>
      </c>
      <c r="D14681" s="8">
        <v>0</v>
      </c>
      <c r="E14681" s="8">
        <v>1</v>
      </c>
      <c r="F14681" s="8">
        <v>1251</v>
      </c>
    </row>
    <row r="14682" spans="1:6" ht="12.75">
      <c r="A14682" s="8">
        <v>43898.227071759262</v>
      </c>
      <c r="B14682" s="8" t="str">
        <f>HYPERLINK("https://twitter.com/Brunowicaksono","@Brunowicaksono")</f>
        <v>@Brunowicaksono</v>
      </c>
      <c r="C14682" s="8" t="s">
        <v>3405</v>
      </c>
      <c r="D14682" s="8">
        <v>6</v>
      </c>
      <c r="E14682" s="8">
        <v>0</v>
      </c>
      <c r="F14682" s="8">
        <v>1778</v>
      </c>
    </row>
    <row r="14683" spans="1:6" ht="12.75">
      <c r="A14683" s="8">
        <v>43898.226111111115</v>
      </c>
      <c r="B14683" s="8" t="str">
        <f>HYPERLINK("https://twitter.com/AdrianPILI1409","@AdrianPILI1409")</f>
        <v>@AdrianPILI1409</v>
      </c>
      <c r="C14683" s="8" t="s">
        <v>5080</v>
      </c>
      <c r="D14683" s="8">
        <v>70</v>
      </c>
      <c r="E14683" s="8">
        <v>0</v>
      </c>
      <c r="F14683" s="8">
        <v>59</v>
      </c>
    </row>
    <row r="14684" spans="1:6" ht="12.75">
      <c r="A14684" s="8">
        <v>43898.225868055553</v>
      </c>
      <c r="B14684" s="8" t="str">
        <f>HYPERLINK("https://twitter.com/ArdyTeam26","@ArdyTeam26")</f>
        <v>@ArdyTeam26</v>
      </c>
      <c r="C14684" s="8" t="s">
        <v>3265</v>
      </c>
      <c r="D14684" s="8">
        <v>97</v>
      </c>
      <c r="E14684" s="8">
        <v>0</v>
      </c>
      <c r="F14684" s="8">
        <v>0</v>
      </c>
    </row>
    <row r="14685" spans="1:6" ht="12.75">
      <c r="A14685" s="8">
        <v>43898.225844907407</v>
      </c>
      <c r="B14685" s="8" t="str">
        <f>HYPERLINK("https://twitter.com/DjanChoek","@DjanChoek")</f>
        <v>@DjanChoek</v>
      </c>
      <c r="C14685" s="8" t="s">
        <v>5947</v>
      </c>
      <c r="D14685" s="8">
        <v>6</v>
      </c>
      <c r="E14685" s="8">
        <v>18</v>
      </c>
      <c r="F14685" s="8">
        <v>25028</v>
      </c>
    </row>
    <row r="14686" spans="1:6" ht="12.75">
      <c r="A14686" s="8">
        <v>43898.225671296299</v>
      </c>
      <c r="B14686" s="8" t="str">
        <f>HYPERLINK("https://twitter.com/Albertsantoso7","@Albertsantoso7")</f>
        <v>@Albertsantoso7</v>
      </c>
      <c r="C14686" s="8" t="s">
        <v>4510</v>
      </c>
      <c r="D14686" s="8">
        <v>121</v>
      </c>
      <c r="E14686" s="8">
        <v>0</v>
      </c>
      <c r="F14686" s="8">
        <v>61</v>
      </c>
    </row>
    <row r="14687" spans="1:6" ht="12.75">
      <c r="A14687" s="8">
        <v>43898.22519675926</v>
      </c>
      <c r="B14687" s="8" t="str">
        <f>HYPERLINK("https://twitter.com/KurKurKurniadi","@KurKurKurniadi")</f>
        <v>@KurKurKurniadi</v>
      </c>
      <c r="C14687" s="8" t="s">
        <v>5080</v>
      </c>
      <c r="D14687" s="8">
        <v>70</v>
      </c>
      <c r="E14687" s="8">
        <v>0</v>
      </c>
      <c r="F14687" s="8">
        <v>115</v>
      </c>
    </row>
    <row r="14688" spans="1:6" ht="12.75">
      <c r="A14688" s="8">
        <v>43898.224826388891</v>
      </c>
      <c r="B14688" s="8" t="str">
        <f>HYPERLINK("https://twitter.com/DjanChoek","@DjanChoek")</f>
        <v>@DjanChoek</v>
      </c>
      <c r="C14688" s="8" t="s">
        <v>5948</v>
      </c>
      <c r="D14688" s="8">
        <v>0</v>
      </c>
      <c r="E14688" s="8">
        <v>0</v>
      </c>
      <c r="F14688" s="8">
        <v>25028</v>
      </c>
    </row>
    <row r="14689" spans="1:6" ht="12.75">
      <c r="A14689" s="8">
        <v>43898.223692129628</v>
      </c>
      <c r="B14689" s="8" t="str">
        <f>HYPERLINK("https://twitter.com/Satsuke13","@Satsuke13")</f>
        <v>@Satsuke13</v>
      </c>
      <c r="C14689" s="8" t="s">
        <v>3265</v>
      </c>
      <c r="D14689" s="8">
        <v>97</v>
      </c>
      <c r="E14689" s="8">
        <v>0</v>
      </c>
      <c r="F14689" s="8">
        <v>166</v>
      </c>
    </row>
    <row r="14690" spans="1:6" ht="12.75">
      <c r="A14690" s="8">
        <v>43898.222557870366</v>
      </c>
      <c r="B14690" s="8" t="str">
        <f>HYPERLINK("https://twitter.com/ISIS_Balik_NO","@ISIS_Balik_NO")</f>
        <v>@ISIS_Balik_NO</v>
      </c>
      <c r="C14690" s="8" t="s">
        <v>5949</v>
      </c>
      <c r="D14690" s="8">
        <v>0</v>
      </c>
      <c r="E14690" s="8">
        <v>0</v>
      </c>
      <c r="F14690" s="8">
        <v>6155</v>
      </c>
    </row>
    <row r="14691" spans="1:6" ht="12.75">
      <c r="A14691" s="8">
        <v>43898.221712962964</v>
      </c>
      <c r="B14691" s="8" t="str">
        <f>HYPERLINK("https://twitter.com/RockstationI","@RockstationI")</f>
        <v>@RockstationI</v>
      </c>
      <c r="C14691" s="8" t="s">
        <v>3265</v>
      </c>
      <c r="D14691" s="8">
        <v>97</v>
      </c>
      <c r="E14691" s="8">
        <v>0</v>
      </c>
      <c r="F14691" s="8">
        <v>28</v>
      </c>
    </row>
    <row r="14692" spans="1:6" ht="12.75">
      <c r="A14692" s="8">
        <v>43898.221539351856</v>
      </c>
      <c r="B14692" s="8" t="str">
        <f>HYPERLINK("https://twitter.com/huzprince90","@huzprince90")</f>
        <v>@huzprince90</v>
      </c>
      <c r="C14692" s="8" t="s">
        <v>3265</v>
      </c>
      <c r="D14692" s="8">
        <v>97</v>
      </c>
      <c r="E14692" s="8">
        <v>0</v>
      </c>
      <c r="F14692" s="8">
        <v>441</v>
      </c>
    </row>
    <row r="14693" spans="1:6" ht="12.75">
      <c r="A14693" s="8">
        <v>43898.221377314811</v>
      </c>
      <c r="B14693" s="8" t="str">
        <f>HYPERLINK("https://twitter.com/ISIS_Balik_NO","@ISIS_Balik_NO")</f>
        <v>@ISIS_Balik_NO</v>
      </c>
      <c r="C14693" s="8" t="s">
        <v>5950</v>
      </c>
      <c r="D14693" s="8">
        <v>0</v>
      </c>
      <c r="E14693" s="8">
        <v>0</v>
      </c>
      <c r="F14693" s="8">
        <v>6155</v>
      </c>
    </row>
    <row r="14694" spans="1:6" ht="12.75">
      <c r="A14694" s="8">
        <v>43898.221273148149</v>
      </c>
      <c r="B14694" s="8" t="str">
        <f>HYPERLINK("https://twitter.com/Paijo73712077","@Paijo73712077")</f>
        <v>@Paijo73712077</v>
      </c>
      <c r="C14694" s="8" t="s">
        <v>3265</v>
      </c>
      <c r="D14694" s="8">
        <v>97</v>
      </c>
      <c r="E14694" s="8">
        <v>0</v>
      </c>
      <c r="F14694" s="8">
        <v>56</v>
      </c>
    </row>
    <row r="14695" spans="1:6" ht="12.75">
      <c r="A14695" s="8">
        <v>43898.221261574072</v>
      </c>
      <c r="B14695" s="8" t="str">
        <f>HYPERLINK("https://twitter.com/FathurAZF2","@FathurAZF2")</f>
        <v>@FathurAZF2</v>
      </c>
      <c r="C14695" s="8" t="s">
        <v>3265</v>
      </c>
      <c r="D14695" s="8">
        <v>97</v>
      </c>
      <c r="E14695" s="8">
        <v>0</v>
      </c>
      <c r="F14695" s="8">
        <v>193</v>
      </c>
    </row>
    <row r="14696" spans="1:6" ht="12.75">
      <c r="A14696" s="8">
        <v>43898.221006944441</v>
      </c>
      <c r="B14696" s="8" t="str">
        <f>HYPERLINK("https://twitter.com/KJRI_Guangzhou","@KJRI_Guangzhou")</f>
        <v>@KJRI_Guangzhou</v>
      </c>
      <c r="C14696" s="8" t="s">
        <v>5889</v>
      </c>
      <c r="D14696" s="8">
        <v>2</v>
      </c>
      <c r="E14696" s="8">
        <v>0</v>
      </c>
      <c r="F14696" s="8">
        <v>657</v>
      </c>
    </row>
    <row r="14697" spans="1:6" ht="12.75">
      <c r="A14697" s="8">
        <v>43898.220625000002</v>
      </c>
      <c r="B14697" s="8" t="str">
        <f>HYPERLINK("https://twitter.com/ISIS_Balik_NO","@ISIS_Balik_NO")</f>
        <v>@ISIS_Balik_NO</v>
      </c>
      <c r="C14697" s="8" t="s">
        <v>5951</v>
      </c>
      <c r="D14697" s="8">
        <v>0</v>
      </c>
      <c r="E14697" s="8">
        <v>0</v>
      </c>
      <c r="F14697" s="8">
        <v>6155</v>
      </c>
    </row>
    <row r="14698" spans="1:6" ht="12.75">
      <c r="A14698" s="8">
        <v>43898.220509259263</v>
      </c>
      <c r="B14698" s="8" t="str">
        <f>HYPERLINK("https://twitter.com/WongWonogiri02","@WongWonogiri02")</f>
        <v>@WongWonogiri02</v>
      </c>
      <c r="C14698" s="8" t="s">
        <v>3265</v>
      </c>
      <c r="D14698" s="8">
        <v>97</v>
      </c>
      <c r="E14698" s="8">
        <v>0</v>
      </c>
      <c r="F14698" s="8">
        <v>437</v>
      </c>
    </row>
    <row r="14699" spans="1:6" ht="12.75">
      <c r="A14699" s="8">
        <v>43898.219444444447</v>
      </c>
      <c r="B14699" s="8" t="str">
        <f>HYPERLINK("https://twitter.com/ISIS_Balik_NO","@ISIS_Balik_NO")</f>
        <v>@ISIS_Balik_NO</v>
      </c>
      <c r="C14699" s="8" t="s">
        <v>5952</v>
      </c>
      <c r="D14699" s="8">
        <v>0</v>
      </c>
      <c r="E14699" s="8">
        <v>0</v>
      </c>
      <c r="F14699" s="8">
        <v>6155</v>
      </c>
    </row>
    <row r="14700" spans="1:6" ht="12.75">
      <c r="A14700" s="8">
        <v>43898.218657407408</v>
      </c>
      <c r="B14700" s="8" t="str">
        <f>HYPERLINK("https://twitter.com/Maznga_jmikel","@Maznga_jmikel")</f>
        <v>@Maznga_jmikel</v>
      </c>
      <c r="C14700" s="8" t="s">
        <v>4940</v>
      </c>
      <c r="D14700" s="8">
        <v>3</v>
      </c>
      <c r="E14700" s="8">
        <v>0</v>
      </c>
      <c r="F14700" s="8">
        <v>870</v>
      </c>
    </row>
    <row r="14701" spans="1:6" ht="12.75">
      <c r="A14701" s="8">
        <v>43898.218263888892</v>
      </c>
      <c r="B14701" s="8" t="str">
        <f>HYPERLINK("https://twitter.com/sintapratiwi123","@sintapratiwi123")</f>
        <v>@sintapratiwi123</v>
      </c>
      <c r="C14701" s="8" t="s">
        <v>5953</v>
      </c>
      <c r="D14701" s="8">
        <v>0</v>
      </c>
      <c r="E14701" s="8">
        <v>0</v>
      </c>
      <c r="F14701" s="8">
        <v>55</v>
      </c>
    </row>
    <row r="14702" spans="1:6" ht="12.75">
      <c r="A14702" s="8">
        <v>43898.218124999999</v>
      </c>
      <c r="B14702" s="8" t="str">
        <f>HYPERLINK("https://twitter.com/ngonlain","@ngonlain")</f>
        <v>@ngonlain</v>
      </c>
      <c r="C14702" s="8" t="s">
        <v>5954</v>
      </c>
      <c r="D14702" s="8">
        <v>3</v>
      </c>
      <c r="E14702" s="8">
        <v>0</v>
      </c>
      <c r="F14702" s="8">
        <v>2640</v>
      </c>
    </row>
    <row r="14703" spans="1:6" ht="12.75">
      <c r="A14703" s="8">
        <v>43898.215185185181</v>
      </c>
      <c r="B14703" s="8" t="str">
        <f>HYPERLINK("https://twitter.com/ariopmbd","@ariopmbd")</f>
        <v>@ariopmbd</v>
      </c>
      <c r="C14703" s="8" t="s">
        <v>3213</v>
      </c>
      <c r="D14703" s="8">
        <v>331</v>
      </c>
      <c r="E14703" s="8">
        <v>0</v>
      </c>
      <c r="F14703" s="8">
        <v>224</v>
      </c>
    </row>
    <row r="14704" spans="1:6" ht="12.75">
      <c r="A14704" s="8">
        <v>43898.214444444442</v>
      </c>
      <c r="B14704" s="8" t="str">
        <f>HYPERLINK("https://twitter.com/PrakarsaWilly","@PrakarsaWilly")</f>
        <v>@PrakarsaWilly</v>
      </c>
      <c r="C14704" s="8" t="s">
        <v>5080</v>
      </c>
      <c r="D14704" s="8">
        <v>65</v>
      </c>
      <c r="E14704" s="8">
        <v>0</v>
      </c>
      <c r="F14704" s="8">
        <v>205</v>
      </c>
    </row>
    <row r="14705" spans="1:6" ht="12.75">
      <c r="A14705" s="8">
        <v>43898.210706018523</v>
      </c>
      <c r="B14705" s="8" t="str">
        <f>HYPERLINK("https://twitter.com/ISIS_Balik_NO","@ISIS_Balik_NO")</f>
        <v>@ISIS_Balik_NO</v>
      </c>
      <c r="C14705" s="8" t="s">
        <v>5955</v>
      </c>
      <c r="D14705" s="8">
        <v>152</v>
      </c>
      <c r="E14705" s="8">
        <v>0</v>
      </c>
      <c r="F14705" s="8">
        <v>6154</v>
      </c>
    </row>
    <row r="14706" spans="1:6" ht="12.75">
      <c r="A14706" s="8">
        <v>43898.209814814814</v>
      </c>
      <c r="B14706" s="8" t="str">
        <f>HYPERLINK("https://twitter.com/sundakeras212","@sundakeras212")</f>
        <v>@sundakeras212</v>
      </c>
      <c r="C14706" s="8" t="s">
        <v>3265</v>
      </c>
      <c r="D14706" s="8">
        <v>75</v>
      </c>
      <c r="E14706" s="8">
        <v>0</v>
      </c>
      <c r="F14706" s="8">
        <v>177</v>
      </c>
    </row>
    <row r="14707" spans="1:6" ht="12.75">
      <c r="A14707" s="8">
        <v>43898.207916666666</v>
      </c>
      <c r="B14707" s="8" t="str">
        <f>HYPERLINK("https://twitter.com/ISIS_Balik_NO","@ISIS_Balik_NO")</f>
        <v>@ISIS_Balik_NO</v>
      </c>
      <c r="C14707" s="8" t="s">
        <v>5956</v>
      </c>
      <c r="D14707" s="8">
        <v>1727</v>
      </c>
      <c r="E14707" s="8">
        <v>0</v>
      </c>
      <c r="F14707" s="8">
        <v>6154</v>
      </c>
    </row>
    <row r="14708" spans="1:6" ht="12.75">
      <c r="A14708" s="8">
        <v>43898.207789351851</v>
      </c>
      <c r="B14708" s="8" t="str">
        <f>HYPERLINK("https://twitter.com/BennyAzwar7","@BennyAzwar7")</f>
        <v>@BennyAzwar7</v>
      </c>
      <c r="C14708" s="8" t="s">
        <v>5957</v>
      </c>
      <c r="D14708" s="8">
        <v>0</v>
      </c>
      <c r="E14708" s="8">
        <v>0</v>
      </c>
      <c r="F14708" s="8">
        <v>0</v>
      </c>
    </row>
    <row r="14709" spans="1:6" ht="12.75">
      <c r="A14709" s="8">
        <v>43898.206539351857</v>
      </c>
      <c r="B14709" s="8" t="str">
        <f>HYPERLINK("https://twitter.com/Waone781","@Waone781")</f>
        <v>@Waone781</v>
      </c>
      <c r="C14709" s="8" t="s">
        <v>3265</v>
      </c>
      <c r="D14709" s="8">
        <v>75</v>
      </c>
      <c r="E14709" s="8">
        <v>0</v>
      </c>
      <c r="F14709" s="8">
        <v>48</v>
      </c>
    </row>
    <row r="14710" spans="1:6" ht="12.75">
      <c r="A14710" s="8">
        <v>43898.206261574072</v>
      </c>
      <c r="B14710" s="8" t="str">
        <f>HYPERLINK("https://twitter.com/houstonKJRI","@houstonKJRI")</f>
        <v>@houstonKJRI</v>
      </c>
      <c r="C14710" s="8" t="s">
        <v>5958</v>
      </c>
      <c r="D14710" s="8">
        <v>0</v>
      </c>
      <c r="E14710" s="8">
        <v>0</v>
      </c>
      <c r="F14710" s="8">
        <v>513</v>
      </c>
    </row>
    <row r="14711" spans="1:6" ht="12.75">
      <c r="A14711" s="8">
        <v>43898.205462962964</v>
      </c>
      <c r="B14711" s="8" t="str">
        <f>HYPERLINK("https://twitter.com/cangcingiss","@cangcingiss")</f>
        <v>@cangcingiss</v>
      </c>
      <c r="C14711" s="8" t="s">
        <v>5704</v>
      </c>
      <c r="D14711" s="8">
        <v>53</v>
      </c>
      <c r="E14711" s="8">
        <v>0</v>
      </c>
      <c r="F14711" s="8">
        <v>263</v>
      </c>
    </row>
    <row r="14712" spans="1:6" ht="12.75">
      <c r="A14712" s="8">
        <v>43898.204560185186</v>
      </c>
      <c r="B14712" s="8" t="str">
        <f>HYPERLINK("https://twitter.com/noejktm","@noejktm")</f>
        <v>@noejktm</v>
      </c>
      <c r="C14712" s="8" t="s">
        <v>5959</v>
      </c>
      <c r="D14712" s="8">
        <v>0</v>
      </c>
      <c r="E14712" s="8">
        <v>0</v>
      </c>
      <c r="F14712" s="8">
        <v>11</v>
      </c>
    </row>
    <row r="14713" spans="1:6" ht="12.75">
      <c r="A14713" s="8">
        <v>43898.203900462962</v>
      </c>
      <c r="B14713" s="8" t="str">
        <f>HYPERLINK("https://twitter.com/SalmaBrecht","@SalmaBrecht")</f>
        <v>@SalmaBrecht</v>
      </c>
      <c r="C14713" s="8" t="s">
        <v>5960</v>
      </c>
      <c r="D14713" s="8">
        <v>0</v>
      </c>
      <c r="E14713" s="8">
        <v>1</v>
      </c>
      <c r="F14713" s="8">
        <v>13741</v>
      </c>
    </row>
    <row r="14714" spans="1:6" ht="12.75">
      <c r="A14714" s="8">
        <v>43898.203865740739</v>
      </c>
      <c r="B14714" s="8" t="str">
        <f>HYPERLINK("https://twitter.com/tinybee83","@tinybee83")</f>
        <v>@tinybee83</v>
      </c>
      <c r="C14714" s="8" t="s">
        <v>4818</v>
      </c>
      <c r="D14714" s="8">
        <v>296</v>
      </c>
      <c r="E14714" s="8">
        <v>0</v>
      </c>
      <c r="F14714" s="8">
        <v>162</v>
      </c>
    </row>
    <row r="14715" spans="1:6" ht="12.75">
      <c r="A14715" s="8">
        <v>43898.202314814815</v>
      </c>
      <c r="B14715" s="8" t="str">
        <f>HYPERLINK("https://twitter.com/D4tuk_T4mburin","@D4tuk_T4mburin")</f>
        <v>@D4tuk_T4mburin</v>
      </c>
      <c r="C14715" s="8" t="s">
        <v>3265</v>
      </c>
      <c r="D14715" s="8">
        <v>75</v>
      </c>
      <c r="E14715" s="8">
        <v>0</v>
      </c>
      <c r="F14715" s="8">
        <v>73763</v>
      </c>
    </row>
    <row r="14716" spans="1:6" ht="12.75">
      <c r="A14716" s="8">
        <v>43898.202048611114</v>
      </c>
      <c r="B14716" s="8" t="str">
        <f>HYPERLINK("https://twitter.com/ithaku09","@ithaku09")</f>
        <v>@ithaku09</v>
      </c>
      <c r="C14716" s="8" t="s">
        <v>3213</v>
      </c>
      <c r="D14716" s="8">
        <v>331</v>
      </c>
      <c r="E14716" s="8">
        <v>0</v>
      </c>
      <c r="F14716" s="8">
        <v>169</v>
      </c>
    </row>
    <row r="14717" spans="1:6" ht="12.75">
      <c r="A14717" s="8">
        <v>43898.19976851852</v>
      </c>
      <c r="B14717" s="8" t="str">
        <f>HYPERLINK("https://twitter.com/pakBuena","@pakBuena")</f>
        <v>@pakBuena</v>
      </c>
      <c r="C14717" s="8" t="s">
        <v>5961</v>
      </c>
      <c r="D14717" s="8">
        <v>0</v>
      </c>
      <c r="E14717" s="8">
        <v>0</v>
      </c>
      <c r="F14717" s="8">
        <v>434</v>
      </c>
    </row>
    <row r="14718" spans="1:6" ht="12.75">
      <c r="A14718" s="8">
        <v>43898.199074074073</v>
      </c>
      <c r="B14718" s="8" t="str">
        <f>HYPERLINK("https://twitter.com/Mzuluuu","@Mzuluuu")</f>
        <v>@Mzuluuu</v>
      </c>
      <c r="C14718" s="8" t="s">
        <v>5962</v>
      </c>
      <c r="D14718" s="8">
        <v>0</v>
      </c>
      <c r="E14718" s="8">
        <v>0</v>
      </c>
      <c r="F14718" s="8">
        <v>3337</v>
      </c>
    </row>
    <row r="14719" spans="1:6" ht="12.75">
      <c r="A14719" s="8">
        <v>43898.198067129633</v>
      </c>
      <c r="B14719" s="8" t="str">
        <f>HYPERLINK("https://twitter.com/jeonwwww","@jeonwwww")</f>
        <v>@jeonwwww</v>
      </c>
      <c r="C14719" s="8" t="s">
        <v>5963</v>
      </c>
      <c r="D14719" s="8">
        <v>0</v>
      </c>
      <c r="E14719" s="8">
        <v>0</v>
      </c>
      <c r="F14719" s="8">
        <v>14</v>
      </c>
    </row>
    <row r="14720" spans="1:6" ht="12.75">
      <c r="A14720" s="8">
        <v>43898.196145833332</v>
      </c>
      <c r="B14720" s="8" t="str">
        <f>HYPERLINK("https://twitter.com/BIGGIESHOWW","@BIGGIESHOWW")</f>
        <v>@BIGGIESHOWW</v>
      </c>
      <c r="C14720" s="8" t="s">
        <v>5964</v>
      </c>
      <c r="D14720" s="8">
        <v>1</v>
      </c>
      <c r="E14720" s="8">
        <v>0</v>
      </c>
      <c r="F14720" s="8">
        <v>10992</v>
      </c>
    </row>
    <row r="14721" spans="1:6" ht="12.75">
      <c r="A14721" s="8">
        <v>43898.195625</v>
      </c>
      <c r="B14721" s="8" t="str">
        <f>HYPERLINK("https://twitter.com/udapilliang","@udapilliang")</f>
        <v>@udapilliang</v>
      </c>
      <c r="C14721" s="8" t="s">
        <v>5603</v>
      </c>
      <c r="D14721" s="8">
        <v>1</v>
      </c>
      <c r="E14721" s="8">
        <v>0</v>
      </c>
      <c r="F14721" s="8">
        <v>551</v>
      </c>
    </row>
    <row r="14722" spans="1:6" ht="12.75">
      <c r="A14722" s="8">
        <v>43898.194837962961</v>
      </c>
      <c r="B14722" s="8" t="str">
        <f>HYPERLINK("https://twitter.com/becak125cc","@becak125cc")</f>
        <v>@becak125cc</v>
      </c>
      <c r="C14722" s="8" t="s">
        <v>5486</v>
      </c>
      <c r="D14722" s="8">
        <v>37</v>
      </c>
      <c r="E14722" s="8">
        <v>0</v>
      </c>
      <c r="F14722" s="8">
        <v>564</v>
      </c>
    </row>
    <row r="14723" spans="1:6" ht="12.75">
      <c r="A14723" s="8">
        <v>43898.194560185184</v>
      </c>
      <c r="B14723" s="8" t="str">
        <f>HYPERLINK("https://twitter.com/FatimaRapany","@FatimaRapany")</f>
        <v>@FatimaRapany</v>
      </c>
      <c r="C14723" s="8" t="s">
        <v>5965</v>
      </c>
      <c r="D14723" s="8">
        <v>1</v>
      </c>
      <c r="E14723" s="8">
        <v>1</v>
      </c>
      <c r="F14723" s="8">
        <v>211</v>
      </c>
    </row>
    <row r="14724" spans="1:6" ht="12.75">
      <c r="A14724" s="8">
        <v>43898.192708333328</v>
      </c>
      <c r="B14724" s="8" t="str">
        <f>HYPERLINK("https://twitter.com/indonesia_sk","@indonesia_sk")</f>
        <v>@indonesia_sk</v>
      </c>
      <c r="C14724" s="8" t="s">
        <v>1376</v>
      </c>
      <c r="D14724" s="8">
        <v>46</v>
      </c>
      <c r="E14724" s="8">
        <v>0</v>
      </c>
      <c r="F14724" s="8">
        <v>1064</v>
      </c>
    </row>
    <row r="14725" spans="1:6" ht="12.75">
      <c r="A14725" s="8">
        <v>43898.192407407405</v>
      </c>
      <c r="B14725" s="8" t="str">
        <f>HYPERLINK("https://twitter.com/TerrorIV","@TerrorIV")</f>
        <v>@TerrorIV</v>
      </c>
      <c r="C14725" s="8" t="s">
        <v>5966</v>
      </c>
      <c r="D14725" s="8">
        <v>0</v>
      </c>
      <c r="E14725" s="8">
        <v>0</v>
      </c>
      <c r="F14725" s="8">
        <v>549</v>
      </c>
    </row>
    <row r="14726" spans="1:6" ht="12.75">
      <c r="A14726" s="8">
        <v>43898.185173611113</v>
      </c>
      <c r="B14726" s="8" t="str">
        <f>HYPERLINK("https://twitter.com/etty_markim","@etty_markim")</f>
        <v>@etty_markim</v>
      </c>
      <c r="C14726" s="8" t="s">
        <v>3265</v>
      </c>
      <c r="D14726" s="8">
        <v>75</v>
      </c>
      <c r="E14726" s="8">
        <v>0</v>
      </c>
      <c r="F14726" s="8">
        <v>1249</v>
      </c>
    </row>
    <row r="14727" spans="1:6" ht="12.75">
      <c r="A14727" s="8">
        <v>43898.184814814813</v>
      </c>
      <c r="B14727" s="8" t="str">
        <f>HYPERLINK("https://twitter.com/err_dha","@err_dha")</f>
        <v>@err_dha</v>
      </c>
      <c r="C14727" s="8" t="s">
        <v>5967</v>
      </c>
      <c r="D14727" s="8">
        <v>0</v>
      </c>
      <c r="E14727" s="8">
        <v>0</v>
      </c>
      <c r="F14727" s="8">
        <v>335</v>
      </c>
    </row>
    <row r="14728" spans="1:6" ht="12.75">
      <c r="A14728" s="8">
        <v>43898.184270833328</v>
      </c>
      <c r="B14728" s="8" t="str">
        <f>HYPERLINK("https://twitter.com/w26weizman","@w26weizman")</f>
        <v>@w26weizman</v>
      </c>
      <c r="C14728" s="8" t="s">
        <v>5704</v>
      </c>
      <c r="D14728" s="8">
        <v>53</v>
      </c>
      <c r="E14728" s="8">
        <v>0</v>
      </c>
      <c r="F14728" s="8">
        <v>224</v>
      </c>
    </row>
    <row r="14729" spans="1:6" ht="12.75">
      <c r="A14729" s="8">
        <v>43898.184085648143</v>
      </c>
      <c r="B14729" s="8" t="str">
        <f>HYPERLINK("https://twitter.com/GATRA_News","@GATRA_News")</f>
        <v>@GATRA_News</v>
      </c>
      <c r="C14729" s="8" t="s">
        <v>5968</v>
      </c>
      <c r="D14729" s="8">
        <v>0</v>
      </c>
      <c r="E14729" s="8">
        <v>0</v>
      </c>
      <c r="F14729" s="8">
        <v>23177</v>
      </c>
    </row>
    <row r="14730" spans="1:6" ht="12.75">
      <c r="A14730" s="8">
        <v>43898.181840277779</v>
      </c>
      <c r="B14730" s="8" t="str">
        <f>HYPERLINK("https://twitter.com/xylans","@xylans")</f>
        <v>@xylans</v>
      </c>
      <c r="C14730" s="8" t="s">
        <v>5969</v>
      </c>
      <c r="D14730" s="8">
        <v>0</v>
      </c>
      <c r="E14730" s="8">
        <v>0</v>
      </c>
      <c r="F14730" s="8">
        <v>569</v>
      </c>
    </row>
    <row r="14731" spans="1:6" ht="12.75">
      <c r="A14731" s="8">
        <v>43898.180949074071</v>
      </c>
      <c r="B14731" s="8" t="str">
        <f>HYPERLINK("https://twitter.com/dhianprass","@dhianprass")</f>
        <v>@dhianprass</v>
      </c>
      <c r="C14731" s="8" t="s">
        <v>4818</v>
      </c>
      <c r="D14731" s="8">
        <v>296</v>
      </c>
      <c r="E14731" s="8">
        <v>0</v>
      </c>
      <c r="F14731" s="8">
        <v>1351</v>
      </c>
    </row>
    <row r="14732" spans="1:6" ht="12.75">
      <c r="A14732" s="8">
        <v>43898.180104166662</v>
      </c>
      <c r="B14732" s="8" t="str">
        <f>HYPERLINK("https://twitter.com/Breakingnieuws1","@Breakingnieuws1")</f>
        <v>@Breakingnieuws1</v>
      </c>
      <c r="C14732" s="8" t="s">
        <v>5970</v>
      </c>
      <c r="D14732" s="8">
        <v>0</v>
      </c>
      <c r="E14732" s="8">
        <v>1</v>
      </c>
      <c r="F14732" s="8">
        <v>3182</v>
      </c>
    </row>
    <row r="14733" spans="1:6" ht="12.75">
      <c r="A14733" s="8">
        <v>43898.177569444444</v>
      </c>
      <c r="B14733" s="8" t="str">
        <f>HYPERLINK("https://twitter.com/FanstNasution","@FanstNasution")</f>
        <v>@FanstNasution</v>
      </c>
      <c r="C14733" s="8" t="s">
        <v>3265</v>
      </c>
      <c r="D14733" s="8">
        <v>75</v>
      </c>
      <c r="E14733" s="8">
        <v>0</v>
      </c>
      <c r="F14733" s="8">
        <v>58</v>
      </c>
    </row>
    <row r="14734" spans="1:6" ht="12.75">
      <c r="A14734" s="8">
        <v>43898.176678240736</v>
      </c>
      <c r="B14734" s="8" t="str">
        <f>HYPERLINK("https://twitter.com/Andreas2186","@Andreas2186")</f>
        <v>@Andreas2186</v>
      </c>
      <c r="C14734" s="8" t="s">
        <v>5080</v>
      </c>
      <c r="D14734" s="8">
        <v>65</v>
      </c>
      <c r="E14734" s="8">
        <v>0</v>
      </c>
      <c r="F14734" s="8">
        <v>77</v>
      </c>
    </row>
    <row r="14735" spans="1:6" ht="12.75">
      <c r="A14735" s="8">
        <v>43898.173692129625</v>
      </c>
      <c r="B14735" s="8" t="str">
        <f>HYPERLINK("https://twitter.com/hendraputrasiag","@hendraputrasiag")</f>
        <v>@hendraputrasiag</v>
      </c>
      <c r="C14735" s="8" t="s">
        <v>5080</v>
      </c>
      <c r="D14735" s="8">
        <v>65</v>
      </c>
      <c r="E14735" s="8">
        <v>0</v>
      </c>
      <c r="F14735" s="8">
        <v>184</v>
      </c>
    </row>
    <row r="14736" spans="1:6" ht="12.75">
      <c r="A14736" s="8">
        <v>43898.172118055554</v>
      </c>
      <c r="B14736" s="8" t="str">
        <f>HYPERLINK("https://twitter.com/FibonacciNature","@FibonacciNature")</f>
        <v>@FibonacciNature</v>
      </c>
      <c r="C14736" s="8" t="s">
        <v>5935</v>
      </c>
      <c r="D14736" s="8">
        <v>425</v>
      </c>
      <c r="E14736" s="8">
        <v>0</v>
      </c>
      <c r="F14736" s="8">
        <v>10604</v>
      </c>
    </row>
    <row r="14737" spans="1:6" ht="12.75">
      <c r="A14737" s="8">
        <v>43898.170729166668</v>
      </c>
      <c r="B14737" s="8" t="str">
        <f>HYPERLINK("https://twitter.com/AnthonySigalin1","@AnthonySigalin1")</f>
        <v>@AnthonySigalin1</v>
      </c>
      <c r="C14737" s="8" t="s">
        <v>5971</v>
      </c>
      <c r="D14737" s="8">
        <v>0</v>
      </c>
      <c r="E14737" s="8">
        <v>1</v>
      </c>
      <c r="F14737" s="8">
        <v>302</v>
      </c>
    </row>
    <row r="14738" spans="1:6" ht="12.75">
      <c r="A14738" s="8">
        <v>43898.170138888891</v>
      </c>
      <c r="B14738" s="8" t="str">
        <f>HYPERLINK("https://twitter.com/terasid","@terasid")</f>
        <v>@terasid</v>
      </c>
      <c r="C14738" s="8" t="s">
        <v>5972</v>
      </c>
      <c r="D14738" s="8">
        <v>3</v>
      </c>
      <c r="E14738" s="8">
        <v>0</v>
      </c>
      <c r="F14738" s="8">
        <v>3181</v>
      </c>
    </row>
    <row r="14739" spans="1:6" ht="12.75">
      <c r="A14739" s="8">
        <v>43898.170034722221</v>
      </c>
      <c r="B14739" s="8" t="str">
        <f>HYPERLINK("https://twitter.com/baakiakk","@baakiakk")</f>
        <v>@baakiakk</v>
      </c>
      <c r="C14739" s="8" t="s">
        <v>3978</v>
      </c>
      <c r="D14739" s="8">
        <v>25</v>
      </c>
      <c r="E14739" s="8">
        <v>0</v>
      </c>
      <c r="F14739" s="8">
        <v>2742</v>
      </c>
    </row>
    <row r="14740" spans="1:6" ht="12.75">
      <c r="A14740" s="8">
        <v>43898.16951388889</v>
      </c>
      <c r="B14740" s="8" t="str">
        <f>HYPERLINK("https://twitter.com/Riad_deLead","@Riad_deLead")</f>
        <v>@Riad_deLead</v>
      </c>
      <c r="C14740" s="8" t="s">
        <v>5973</v>
      </c>
      <c r="D14740" s="8">
        <v>0</v>
      </c>
      <c r="E14740" s="8">
        <v>0</v>
      </c>
      <c r="F14740" s="8">
        <v>62</v>
      </c>
    </row>
    <row r="14741" spans="1:6" ht="12.75">
      <c r="A14741" s="8">
        <v>43898.168935185182</v>
      </c>
      <c r="B14741" s="8" t="str">
        <f>HYPERLINK("https://twitter.com/derydevil","@derydevil")</f>
        <v>@derydevil</v>
      </c>
      <c r="C14741" s="8" t="s">
        <v>4818</v>
      </c>
      <c r="D14741" s="8">
        <v>294</v>
      </c>
      <c r="E14741" s="8">
        <v>0</v>
      </c>
      <c r="F14741" s="8">
        <v>103</v>
      </c>
    </row>
    <row r="14742" spans="1:6" ht="12.75">
      <c r="A14742" s="8">
        <v>43898.168807870374</v>
      </c>
      <c r="B14742" s="8" t="str">
        <f>HYPERLINK("https://twitter.com/Chi61949438","@Chi61949438")</f>
        <v>@Chi61949438</v>
      </c>
      <c r="C14742" s="8" t="s">
        <v>5935</v>
      </c>
      <c r="D14742" s="8">
        <v>425</v>
      </c>
      <c r="E14742" s="8">
        <v>0</v>
      </c>
      <c r="F14742" s="8">
        <v>841</v>
      </c>
    </row>
    <row r="14743" spans="1:6" ht="12.75">
      <c r="A14743" s="8">
        <v>43898.166712962964</v>
      </c>
      <c r="B14743" s="8" t="str">
        <f>HYPERLINK("https://twitter.com/PaulSmith061059","@PaulSmith061059")</f>
        <v>@PaulSmith061059</v>
      </c>
      <c r="C14743" s="8" t="s">
        <v>5935</v>
      </c>
      <c r="D14743" s="8">
        <v>425</v>
      </c>
      <c r="E14743" s="8">
        <v>0</v>
      </c>
      <c r="F14743" s="8">
        <v>1278</v>
      </c>
    </row>
    <row r="14744" spans="1:6" ht="12.75">
      <c r="A14744" s="8">
        <v>43898.166261574079</v>
      </c>
      <c r="B14744" s="8" t="str">
        <f>HYPERLINK("https://twitter.com/DeniseDoris59","@DeniseDoris59")</f>
        <v>@DeniseDoris59</v>
      </c>
      <c r="C14744" s="8" t="s">
        <v>5935</v>
      </c>
      <c r="D14744" s="8">
        <v>425</v>
      </c>
      <c r="E14744" s="8">
        <v>0</v>
      </c>
      <c r="F14744" s="8">
        <v>5704</v>
      </c>
    </row>
    <row r="14745" spans="1:6" ht="12.75">
      <c r="A14745" s="8">
        <v>43898.165868055556</v>
      </c>
      <c r="B14745" s="8" t="str">
        <f>HYPERLINK("https://twitter.com/abdulla41734805","@abdulla41734805")</f>
        <v>@abdulla41734805</v>
      </c>
      <c r="C14745" s="8" t="s">
        <v>5974</v>
      </c>
      <c r="D14745" s="8">
        <v>0</v>
      </c>
      <c r="E14745" s="8">
        <v>0</v>
      </c>
      <c r="F14745" s="8">
        <v>20</v>
      </c>
    </row>
    <row r="14746" spans="1:6" ht="12.75">
      <c r="A14746" s="8">
        <v>43898.163981481484</v>
      </c>
      <c r="B14746" s="8" t="str">
        <f>HYPERLINK("https://twitter.com/sundaruu","@sundaruu")</f>
        <v>@sundaruu</v>
      </c>
      <c r="C14746" s="8" t="s">
        <v>3132</v>
      </c>
      <c r="D14746" s="8">
        <v>133</v>
      </c>
      <c r="E14746" s="8">
        <v>0</v>
      </c>
      <c r="F14746" s="8">
        <v>108</v>
      </c>
    </row>
    <row r="14747" spans="1:6" ht="12.75">
      <c r="A14747" s="8">
        <v>43898.163680555561</v>
      </c>
      <c r="B14747" s="8" t="str">
        <f>HYPERLINK("https://twitter.com/Andreas2186","@Andreas2186")</f>
        <v>@Andreas2186</v>
      </c>
      <c r="C14747" s="8" t="s">
        <v>5704</v>
      </c>
      <c r="D14747" s="8">
        <v>50</v>
      </c>
      <c r="E14747" s="8">
        <v>0</v>
      </c>
      <c r="F14747" s="8">
        <v>77</v>
      </c>
    </row>
    <row r="14748" spans="1:6" ht="12.75">
      <c r="A14748" s="8">
        <v>43898.163449074069</v>
      </c>
      <c r="B14748" s="8" t="str">
        <f t="shared" ref="B14748:B14752" si="220">HYPERLINK("https://twitter.com/ryolandafit","@ryolandafit")</f>
        <v>@ryolandafit</v>
      </c>
      <c r="C14748" s="8" t="s">
        <v>5975</v>
      </c>
      <c r="D14748" s="8">
        <v>1</v>
      </c>
      <c r="E14748" s="8">
        <v>0</v>
      </c>
      <c r="F14748" s="8">
        <v>658</v>
      </c>
    </row>
    <row r="14749" spans="1:6" ht="12.75">
      <c r="A14749" s="8">
        <v>43898.163217592592</v>
      </c>
      <c r="B14749" s="8" t="str">
        <f t="shared" si="220"/>
        <v>@ryolandafit</v>
      </c>
      <c r="C14749" s="8" t="s">
        <v>5976</v>
      </c>
      <c r="D14749" s="8">
        <v>1</v>
      </c>
      <c r="E14749" s="8">
        <v>0</v>
      </c>
      <c r="F14749" s="8">
        <v>658</v>
      </c>
    </row>
    <row r="14750" spans="1:6" ht="12.75">
      <c r="A14750" s="8">
        <v>43898.163171296299</v>
      </c>
      <c r="B14750" s="8" t="str">
        <f t="shared" si="220"/>
        <v>@ryolandafit</v>
      </c>
      <c r="C14750" s="8" t="s">
        <v>5977</v>
      </c>
      <c r="D14750" s="8">
        <v>1</v>
      </c>
      <c r="E14750" s="8">
        <v>0</v>
      </c>
      <c r="F14750" s="8">
        <v>658</v>
      </c>
    </row>
    <row r="14751" spans="1:6" ht="12.75">
      <c r="A14751" s="8">
        <v>43898.161030092597</v>
      </c>
      <c r="B14751" s="8" t="str">
        <f t="shared" si="220"/>
        <v>@ryolandafit</v>
      </c>
      <c r="C14751" s="8" t="s">
        <v>5978</v>
      </c>
      <c r="D14751" s="8">
        <v>5</v>
      </c>
      <c r="E14751" s="8">
        <v>0</v>
      </c>
      <c r="F14751" s="8">
        <v>658</v>
      </c>
    </row>
    <row r="14752" spans="1:6" ht="12.75">
      <c r="A14752" s="8">
        <v>43898.159166666665</v>
      </c>
      <c r="B14752" s="8" t="str">
        <f t="shared" si="220"/>
        <v>@ryolandafit</v>
      </c>
      <c r="C14752" s="8" t="s">
        <v>5979</v>
      </c>
      <c r="D14752" s="8">
        <v>1</v>
      </c>
      <c r="E14752" s="8">
        <v>0</v>
      </c>
      <c r="F14752" s="8">
        <v>658</v>
      </c>
    </row>
    <row r="14753" spans="1:6" ht="12.75">
      <c r="A14753" s="8">
        <v>43898.153969907406</v>
      </c>
      <c r="B14753" s="8" t="str">
        <f>HYPERLINK("https://twitter.com/LIPUTAN_INDO","@LIPUTAN_INDO")</f>
        <v>@LIPUTAN_INDO</v>
      </c>
      <c r="C14753" s="8" t="s">
        <v>5980</v>
      </c>
      <c r="D14753" s="8">
        <v>0</v>
      </c>
      <c r="E14753" s="8">
        <v>0</v>
      </c>
      <c r="F14753" s="8">
        <v>771</v>
      </c>
    </row>
    <row r="14754" spans="1:6" ht="12.75">
      <c r="A14754" s="8">
        <v>43898.149641203709</v>
      </c>
      <c r="B14754" s="8" t="str">
        <f>HYPERLINK("https://twitter.com/SgMarthin","@SgMarthin")</f>
        <v>@SgMarthin</v>
      </c>
      <c r="C14754" s="8" t="s">
        <v>5486</v>
      </c>
      <c r="D14754" s="8">
        <v>36</v>
      </c>
      <c r="E14754" s="8">
        <v>0</v>
      </c>
      <c r="F14754" s="8">
        <v>642</v>
      </c>
    </row>
    <row r="14755" spans="1:6" ht="12.75">
      <c r="A14755" s="8">
        <v>43898.144699074073</v>
      </c>
      <c r="B14755" s="8" t="str">
        <f>HYPERLINK("https://twitter.com/Lindo_News","@Lindo_News")</f>
        <v>@Lindo_News</v>
      </c>
      <c r="C14755" s="8" t="s">
        <v>5981</v>
      </c>
      <c r="D14755" s="8">
        <v>0</v>
      </c>
      <c r="E14755" s="8">
        <v>0</v>
      </c>
      <c r="F14755" s="8">
        <v>201</v>
      </c>
    </row>
    <row r="14756" spans="1:6" ht="12.75">
      <c r="A14756" s="8">
        <v>43898.143587962964</v>
      </c>
      <c r="B14756" s="8" t="str">
        <f>HYPERLINK("https://twitter.com/neen4noor","@neen4noor")</f>
        <v>@neen4noor</v>
      </c>
      <c r="C14756" s="8" t="s">
        <v>5080</v>
      </c>
      <c r="D14756" s="8">
        <v>62</v>
      </c>
      <c r="E14756" s="8">
        <v>0</v>
      </c>
      <c r="F14756" s="8">
        <v>896</v>
      </c>
    </row>
    <row r="14757" spans="1:6" ht="12.75">
      <c r="A14757" s="8">
        <v>43898.141122685185</v>
      </c>
      <c r="B14757" s="8" t="str">
        <f>HYPERLINK("https://twitter.com/rommy_analyst","@rommy_analyst")</f>
        <v>@rommy_analyst</v>
      </c>
      <c r="C14757" s="8" t="s">
        <v>3743</v>
      </c>
      <c r="D14757" s="8">
        <v>700</v>
      </c>
      <c r="E14757" s="8">
        <v>0</v>
      </c>
      <c r="F14757" s="8">
        <v>101</v>
      </c>
    </row>
    <row r="14758" spans="1:6" ht="12.75">
      <c r="A14758" s="8">
        <v>43898.1409375</v>
      </c>
      <c r="B14758" s="8" t="str">
        <f>HYPERLINK("https://twitter.com/niluhdevia","@niluhdevia")</f>
        <v>@niluhdevia</v>
      </c>
      <c r="C14758" s="8" t="s">
        <v>5506</v>
      </c>
      <c r="D14758" s="8">
        <v>2</v>
      </c>
      <c r="E14758" s="8">
        <v>0</v>
      </c>
      <c r="F14758" s="8">
        <v>1064</v>
      </c>
    </row>
    <row r="14759" spans="1:6" ht="12.75">
      <c r="A14759" s="8">
        <v>43898.140868055554</v>
      </c>
      <c r="B14759" s="8" t="str">
        <f>HYPERLINK("https://twitter.com/feelingblesses","@feelingblesses")</f>
        <v>@feelingblesses</v>
      </c>
      <c r="C14759" s="8" t="s">
        <v>3743</v>
      </c>
      <c r="D14759" s="8">
        <v>700</v>
      </c>
      <c r="E14759" s="8">
        <v>0</v>
      </c>
      <c r="F14759" s="8">
        <v>2</v>
      </c>
    </row>
    <row r="14760" spans="1:6" ht="12.75">
      <c r="A14760" s="8">
        <v>43898.139479166668</v>
      </c>
      <c r="B14760" s="8" t="str">
        <f>HYPERLINK("https://twitter.com/masdanang","@masdanang")</f>
        <v>@masdanang</v>
      </c>
      <c r="C14760" s="8" t="s">
        <v>4760</v>
      </c>
      <c r="D14760" s="8">
        <v>1</v>
      </c>
      <c r="E14760" s="8">
        <v>0</v>
      </c>
      <c r="F14760" s="8">
        <v>425</v>
      </c>
    </row>
    <row r="14761" spans="1:6" ht="12.75">
      <c r="A14761" s="8">
        <v>43898.136620370366</v>
      </c>
      <c r="B14761" s="8" t="str">
        <f>HYPERLINK("https://twitter.com/hilariouswibi","@hilariouswibi")</f>
        <v>@hilariouswibi</v>
      </c>
      <c r="C14761" s="8" t="s">
        <v>5080</v>
      </c>
      <c r="D14761" s="8">
        <v>62</v>
      </c>
      <c r="E14761" s="8">
        <v>0</v>
      </c>
      <c r="F14761" s="8">
        <v>184</v>
      </c>
    </row>
    <row r="14762" spans="1:6" ht="12.75">
      <c r="A14762" s="8">
        <v>43898.134236111116</v>
      </c>
      <c r="B14762" s="8" t="str">
        <f>HYPERLINK("https://twitter.com/tpsumantri","@tpsumantri")</f>
        <v>@tpsumantri</v>
      </c>
      <c r="C14762" s="8" t="s">
        <v>5982</v>
      </c>
      <c r="D14762" s="8">
        <v>0</v>
      </c>
      <c r="E14762" s="8">
        <v>0</v>
      </c>
      <c r="F14762" s="8">
        <v>3</v>
      </c>
    </row>
    <row r="14763" spans="1:6" ht="12.75">
      <c r="A14763" s="8">
        <v>43898.129004629634</v>
      </c>
      <c r="B14763" s="8" t="str">
        <f>HYPERLINK("https://twitter.com/bangRoyTob","@bangRoyTob")</f>
        <v>@bangRoyTob</v>
      </c>
      <c r="C14763" s="8" t="s">
        <v>5080</v>
      </c>
      <c r="D14763" s="8">
        <v>60</v>
      </c>
      <c r="E14763" s="8">
        <v>0</v>
      </c>
      <c r="F14763" s="8">
        <v>556</v>
      </c>
    </row>
    <row r="14764" spans="1:6" ht="12.75">
      <c r="A14764" s="8">
        <v>43898.126782407402</v>
      </c>
      <c r="B14764" s="8" t="str">
        <f>HYPERLINK("https://twitter.com/abumfs","@abumfs")</f>
        <v>@abumfs</v>
      </c>
      <c r="C14764" s="8" t="s">
        <v>3743</v>
      </c>
      <c r="D14764" s="8">
        <v>698</v>
      </c>
      <c r="E14764" s="8">
        <v>0</v>
      </c>
      <c r="F14764" s="8">
        <v>65</v>
      </c>
    </row>
    <row r="14765" spans="1:6" ht="12.75">
      <c r="A14765" s="8">
        <v>43898.126423611116</v>
      </c>
      <c r="B14765" s="8" t="str">
        <f t="shared" ref="B14765:B14766" si="221">HYPERLINK("https://twitter.com/GWlostinnewyork","@GWlostinnewyork")</f>
        <v>@GWlostinnewyork</v>
      </c>
      <c r="C14765" s="8" t="s">
        <v>4162</v>
      </c>
      <c r="D14765" s="8">
        <v>101</v>
      </c>
      <c r="E14765" s="8">
        <v>0</v>
      </c>
      <c r="F14765" s="8">
        <v>198</v>
      </c>
    </row>
    <row r="14766" spans="1:6" ht="12.75">
      <c r="A14766" s="8">
        <v>43898.124942129631</v>
      </c>
      <c r="B14766" s="8" t="str">
        <f t="shared" si="221"/>
        <v>@GWlostinnewyork</v>
      </c>
      <c r="C14766" s="8" t="s">
        <v>3132</v>
      </c>
      <c r="D14766" s="8">
        <v>132</v>
      </c>
      <c r="E14766" s="8">
        <v>0</v>
      </c>
      <c r="F14766" s="8">
        <v>198</v>
      </c>
    </row>
    <row r="14767" spans="1:6" ht="12.75">
      <c r="A14767" s="8">
        <v>43898.122175925921</v>
      </c>
      <c r="B14767" s="8" t="str">
        <f>HYPERLINK("https://twitter.com/becak125cc","@becak125cc")</f>
        <v>@becak125cc</v>
      </c>
      <c r="C14767" s="8" t="s">
        <v>5080</v>
      </c>
      <c r="D14767" s="8">
        <v>60</v>
      </c>
      <c r="E14767" s="8">
        <v>0</v>
      </c>
      <c r="F14767" s="8">
        <v>563</v>
      </c>
    </row>
    <row r="14768" spans="1:6" ht="12.75">
      <c r="A14768" s="8">
        <v>43898.119942129633</v>
      </c>
      <c r="B14768" s="8" t="str">
        <f>HYPERLINK("https://twitter.com/Siscaaryf","@Siscaaryf")</f>
        <v>@Siscaaryf</v>
      </c>
      <c r="C14768" s="8" t="s">
        <v>5889</v>
      </c>
      <c r="D14768" s="8">
        <v>1</v>
      </c>
      <c r="E14768" s="8">
        <v>0</v>
      </c>
      <c r="F14768" s="8">
        <v>1052</v>
      </c>
    </row>
    <row r="14769" spans="1:6" ht="12.75">
      <c r="A14769" s="8">
        <v>43898.118321759262</v>
      </c>
      <c r="B14769" s="8" t="str">
        <f>HYPERLINK("https://twitter.com/iepouel","@iepouel")</f>
        <v>@iepouel</v>
      </c>
      <c r="C14769" s="8" t="s">
        <v>3743</v>
      </c>
      <c r="D14769" s="8">
        <v>698</v>
      </c>
      <c r="E14769" s="8">
        <v>0</v>
      </c>
      <c r="F14769" s="8">
        <v>226</v>
      </c>
    </row>
    <row r="14770" spans="1:6" ht="12.75">
      <c r="A14770" s="8">
        <v>43898.112175925926</v>
      </c>
      <c r="B14770" s="8" t="str">
        <f>HYPERLINK("https://twitter.com/INAinLebanon","@INAinLebanon")</f>
        <v>@INAinLebanon</v>
      </c>
      <c r="C14770" s="8" t="s">
        <v>4162</v>
      </c>
      <c r="D14770" s="8">
        <v>101</v>
      </c>
      <c r="E14770" s="8">
        <v>0</v>
      </c>
      <c r="F14770" s="8">
        <v>76</v>
      </c>
    </row>
    <row r="14771" spans="1:6" ht="12.75">
      <c r="A14771" s="8">
        <v>43898.110254629632</v>
      </c>
      <c r="B14771" s="8" t="str">
        <f>HYPERLINK("https://twitter.com/KBRI__Roma","@KBRI__Roma")</f>
        <v>@KBRI__Roma</v>
      </c>
      <c r="C14771" s="8" t="s">
        <v>5983</v>
      </c>
      <c r="D14771" s="8">
        <v>0</v>
      </c>
      <c r="E14771" s="8">
        <v>0</v>
      </c>
      <c r="F14771" s="8">
        <v>1070</v>
      </c>
    </row>
    <row r="14772" spans="1:6" ht="12.75">
      <c r="A14772" s="8">
        <v>43898.109409722223</v>
      </c>
      <c r="B14772" s="8" t="str">
        <f>HYPERLINK("https://twitter.com/MYEmbTheHague","@MYEmbTheHague")</f>
        <v>@MYEmbTheHague</v>
      </c>
      <c r="C14772" s="8" t="s">
        <v>4000</v>
      </c>
      <c r="D14772" s="8">
        <v>38</v>
      </c>
      <c r="E14772" s="8">
        <v>0</v>
      </c>
      <c r="F14772" s="8">
        <v>157</v>
      </c>
    </row>
    <row r="14773" spans="1:6" ht="12.75">
      <c r="A14773" s="8">
        <v>43898.108923611115</v>
      </c>
      <c r="B14773" s="8" t="str">
        <f>HYPERLINK("https://twitter.com/errangga7","@errangga7")</f>
        <v>@errangga7</v>
      </c>
      <c r="C14773" s="8" t="s">
        <v>5984</v>
      </c>
      <c r="D14773" s="8">
        <v>0</v>
      </c>
      <c r="E14773" s="8">
        <v>0</v>
      </c>
      <c r="F14773" s="8">
        <v>30</v>
      </c>
    </row>
    <row r="14774" spans="1:6" ht="12.75">
      <c r="A14774" s="8">
        <v>43898.105717592596</v>
      </c>
      <c r="B14774" s="8" t="str">
        <f>HYPERLINK("https://twitter.com/hanjenif","@hanjenif")</f>
        <v>@hanjenif</v>
      </c>
      <c r="C14774" s="8" t="s">
        <v>4818</v>
      </c>
      <c r="D14774" s="8">
        <v>293</v>
      </c>
      <c r="E14774" s="8">
        <v>0</v>
      </c>
      <c r="F14774" s="8">
        <v>4454</v>
      </c>
    </row>
    <row r="14775" spans="1:6" ht="12.75">
      <c r="A14775" s="8">
        <v>43898.104212962964</v>
      </c>
      <c r="B14775" s="8" t="str">
        <f>HYPERLINK("https://twitter.com/Taryn165","@Taryn165")</f>
        <v>@Taryn165</v>
      </c>
      <c r="C14775" s="8" t="s">
        <v>5844</v>
      </c>
      <c r="D14775" s="8">
        <v>7</v>
      </c>
      <c r="E14775" s="8">
        <v>0</v>
      </c>
      <c r="F14775" s="8">
        <v>827</v>
      </c>
    </row>
    <row r="14776" spans="1:6" ht="12.75">
      <c r="A14776" s="8">
        <v>43898.103368055556</v>
      </c>
      <c r="B14776" s="8" t="str">
        <f>HYPERLINK("https://twitter.com/HendyWijya","@HendyWijya")</f>
        <v>@HendyWijya</v>
      </c>
      <c r="C14776" s="8" t="s">
        <v>3978</v>
      </c>
      <c r="D14776" s="8">
        <v>24</v>
      </c>
      <c r="E14776" s="8">
        <v>0</v>
      </c>
      <c r="F14776" s="8">
        <v>355</v>
      </c>
    </row>
    <row r="14777" spans="1:6" ht="12.75">
      <c r="A14777" s="8">
        <v>43898.100254629629</v>
      </c>
      <c r="B14777" s="8" t="str">
        <f>HYPERLINK("https://twitter.com/hanidhas","@hanidhas")</f>
        <v>@hanidhas</v>
      </c>
      <c r="C14777" s="8" t="s">
        <v>5985</v>
      </c>
      <c r="D14777" s="8">
        <v>0</v>
      </c>
      <c r="E14777" s="8">
        <v>0</v>
      </c>
      <c r="F14777" s="8">
        <v>1225</v>
      </c>
    </row>
    <row r="14778" spans="1:6" ht="12.75">
      <c r="A14778" s="8">
        <v>43898.100046296298</v>
      </c>
      <c r="B14778" s="8" t="str">
        <f>HYPERLINK("https://twitter.com/harihariono1","@harihariono1")</f>
        <v>@harihariono1</v>
      </c>
      <c r="C14778" s="8" t="s">
        <v>5486</v>
      </c>
      <c r="D14778" s="8">
        <v>35</v>
      </c>
      <c r="E14778" s="8">
        <v>0</v>
      </c>
      <c r="F14778" s="8">
        <v>9490</v>
      </c>
    </row>
    <row r="14779" spans="1:6" ht="12.75">
      <c r="A14779" s="8">
        <v>43898.099768518514</v>
      </c>
      <c r="B14779" s="8" t="str">
        <f>HYPERLINK("https://twitter.com/GfPlat","@GfPlat")</f>
        <v>@GfPlat</v>
      </c>
      <c r="C14779" s="8" t="s">
        <v>5080</v>
      </c>
      <c r="D14779" s="8">
        <v>60</v>
      </c>
      <c r="E14779" s="8">
        <v>0</v>
      </c>
      <c r="F14779" s="8">
        <v>3218</v>
      </c>
    </row>
    <row r="14780" spans="1:6" ht="12.75">
      <c r="A14780" s="8">
        <v>43898.098483796297</v>
      </c>
      <c r="B14780" s="8" t="str">
        <f>HYPERLINK("https://twitter.com/kbrisingapura","@kbrisingapura")</f>
        <v>@kbrisingapura</v>
      </c>
      <c r="C14780" s="8" t="s">
        <v>5986</v>
      </c>
      <c r="D14780" s="8">
        <v>0</v>
      </c>
      <c r="E14780" s="8">
        <v>0</v>
      </c>
      <c r="F14780" s="8">
        <v>4637</v>
      </c>
    </row>
    <row r="14781" spans="1:6" ht="12.75">
      <c r="A14781" s="8">
        <v>43898.097268518519</v>
      </c>
      <c r="B14781" s="8" t="str">
        <f>HYPERLINK("https://twitter.com/Sigromilir01","@Sigromilir01")</f>
        <v>@Sigromilir01</v>
      </c>
      <c r="C14781" s="8" t="s">
        <v>5987</v>
      </c>
      <c r="D14781" s="8">
        <v>0</v>
      </c>
      <c r="E14781" s="8">
        <v>0</v>
      </c>
      <c r="F14781" s="8">
        <v>32</v>
      </c>
    </row>
    <row r="14782" spans="1:6" ht="12.75">
      <c r="A14782" s="8">
        <v>43898.097037037034</v>
      </c>
      <c r="B14782" s="8" t="str">
        <f>HYPERLINK("https://twitter.com/kbrisingapura","@kbrisingapura")</f>
        <v>@kbrisingapura</v>
      </c>
      <c r="C14782" s="8" t="s">
        <v>5988</v>
      </c>
      <c r="D14782" s="8">
        <v>1</v>
      </c>
      <c r="E14782" s="8">
        <v>0</v>
      </c>
      <c r="F14782" s="8">
        <v>4637</v>
      </c>
    </row>
    <row r="14783" spans="1:6" ht="12.75">
      <c r="A14783" s="8">
        <v>43898.096967592588</v>
      </c>
      <c r="B14783" s="8" t="str">
        <f>HYPERLINK("https://twitter.com/TSpartan99","@TSpartan99")</f>
        <v>@TSpartan99</v>
      </c>
      <c r="C14783" s="8" t="s">
        <v>5989</v>
      </c>
      <c r="D14783" s="8">
        <v>0</v>
      </c>
      <c r="E14783" s="8">
        <v>0</v>
      </c>
      <c r="F14783" s="8">
        <v>876</v>
      </c>
    </row>
    <row r="14784" spans="1:6" ht="12.75">
      <c r="A14784" s="8">
        <v>43898.096805555557</v>
      </c>
      <c r="B14784" s="8" t="str">
        <f>HYPERLINK("https://twitter.com/artursimaolemo1","@artursimaolemo1")</f>
        <v>@artursimaolemo1</v>
      </c>
      <c r="C14784" s="8" t="s">
        <v>5990</v>
      </c>
      <c r="D14784" s="8">
        <v>0</v>
      </c>
      <c r="E14784" s="8">
        <v>0</v>
      </c>
      <c r="F14784" s="8">
        <v>352</v>
      </c>
    </row>
    <row r="14785" spans="1:6" ht="12.75">
      <c r="A14785" s="8">
        <v>43898.092824074076</v>
      </c>
      <c r="B14785" s="8" t="str">
        <f>HYPERLINK("https://twitter.com/catatankakihati","@catatankakihati")</f>
        <v>@catatankakihati</v>
      </c>
      <c r="C14785" s="8" t="s">
        <v>5486</v>
      </c>
      <c r="D14785" s="8">
        <v>35</v>
      </c>
      <c r="E14785" s="8">
        <v>0</v>
      </c>
      <c r="F14785" s="8">
        <v>3925</v>
      </c>
    </row>
    <row r="14786" spans="1:6" ht="12.75">
      <c r="A14786" s="8">
        <v>43898.092129629629</v>
      </c>
      <c r="B14786" s="8" t="str">
        <f>HYPERLINK("https://twitter.com/ShettySurendra","@ShettySurendra")</f>
        <v>@ShettySurendra</v>
      </c>
      <c r="C14786" s="8" t="s">
        <v>5991</v>
      </c>
      <c r="D14786" s="8">
        <v>0</v>
      </c>
      <c r="E14786" s="8">
        <v>0</v>
      </c>
      <c r="F14786" s="8">
        <v>526</v>
      </c>
    </row>
    <row r="14787" spans="1:6" ht="12.75">
      <c r="A14787" s="8">
        <v>43898.090671296297</v>
      </c>
      <c r="B14787" s="8" t="str">
        <f>HYPERLINK("https://twitter.com/tehcemplung","@tehcemplung")</f>
        <v>@tehcemplung</v>
      </c>
      <c r="C14787" s="8" t="s">
        <v>5884</v>
      </c>
      <c r="D14787" s="8">
        <v>0</v>
      </c>
      <c r="E14787" s="8">
        <v>0</v>
      </c>
      <c r="F14787" s="8">
        <v>5524</v>
      </c>
    </row>
    <row r="14788" spans="1:6" ht="12.75">
      <c r="A14788" s="8">
        <v>43898.088495370372</v>
      </c>
      <c r="B14788" s="8" t="str">
        <f>HYPERLINK("https://twitter.com/hans_tbn","@hans_tbn")</f>
        <v>@hans_tbn</v>
      </c>
      <c r="C14788" s="8" t="s">
        <v>4818</v>
      </c>
      <c r="D14788" s="8">
        <v>292</v>
      </c>
      <c r="E14788" s="8">
        <v>0</v>
      </c>
      <c r="F14788" s="8">
        <v>642</v>
      </c>
    </row>
    <row r="14789" spans="1:6" ht="12.75">
      <c r="A14789" s="8">
        <v>43898.085983796293</v>
      </c>
      <c r="B14789" s="8" t="str">
        <f>HYPERLINK("https://twitter.com/setansarap","@setansarap")</f>
        <v>@setansarap</v>
      </c>
      <c r="C14789" s="8" t="s">
        <v>3743</v>
      </c>
      <c r="D14789" s="8">
        <v>696</v>
      </c>
      <c r="E14789" s="8">
        <v>0</v>
      </c>
      <c r="F14789" s="8">
        <v>255</v>
      </c>
    </row>
    <row r="14790" spans="1:6" ht="12.75">
      <c r="A14790" s="8">
        <v>43898.085474537038</v>
      </c>
      <c r="B14790" s="8" t="str">
        <f>HYPERLINK("https://twitter.com/AgungWidrajat","@AgungWidrajat")</f>
        <v>@AgungWidrajat</v>
      </c>
      <c r="C14790" s="8" t="s">
        <v>5080</v>
      </c>
      <c r="D14790" s="8">
        <v>57</v>
      </c>
      <c r="E14790" s="8">
        <v>0</v>
      </c>
      <c r="F14790" s="8">
        <v>2311</v>
      </c>
    </row>
    <row r="14791" spans="1:6" ht="12.75">
      <c r="A14791" s="8">
        <v>43898.083344907413</v>
      </c>
      <c r="B14791" s="8" t="str">
        <f>HYPERLINK("https://twitter.com/NaAlia13","@NaAlia13")</f>
        <v>@NaAlia13</v>
      </c>
      <c r="C14791" s="8" t="s">
        <v>5992</v>
      </c>
      <c r="D14791" s="8">
        <v>0</v>
      </c>
      <c r="E14791" s="8">
        <v>0</v>
      </c>
      <c r="F14791" s="8">
        <v>1257</v>
      </c>
    </row>
    <row r="14792" spans="1:6" ht="12.75">
      <c r="A14792" s="8">
        <v>43898.080439814818</v>
      </c>
      <c r="B14792" s="8" t="str">
        <f>HYPERLINK("https://twitter.com/MurtadhaOne1","@MurtadhaOne1")</f>
        <v>@MurtadhaOne1</v>
      </c>
      <c r="C14792" s="8" t="s">
        <v>5993</v>
      </c>
      <c r="D14792" s="8">
        <v>0</v>
      </c>
      <c r="E14792" s="8">
        <v>0</v>
      </c>
      <c r="F14792" s="8">
        <v>6073</v>
      </c>
    </row>
    <row r="14793" spans="1:6" ht="12.75">
      <c r="A14793" s="8">
        <v>43898.080381944441</v>
      </c>
      <c r="B14793" s="8" t="str">
        <f>HYPERLINK("https://twitter.com/Sandeep71121431","@Sandeep71121431")</f>
        <v>@Sandeep71121431</v>
      </c>
      <c r="C14793" s="8" t="s">
        <v>5994</v>
      </c>
      <c r="D14793" s="8">
        <v>0</v>
      </c>
      <c r="E14793" s="8">
        <v>0</v>
      </c>
      <c r="F14793" s="8">
        <v>267</v>
      </c>
    </row>
    <row r="14794" spans="1:6" ht="12.75">
      <c r="A14794" s="8">
        <v>43898.079004629632</v>
      </c>
      <c r="B14794" s="8" t="str">
        <f>HYPERLINK("https://twitter.com/abdulla41734805","@abdulla41734805")</f>
        <v>@abdulla41734805</v>
      </c>
      <c r="C14794" s="8" t="s">
        <v>5995</v>
      </c>
      <c r="D14794" s="8">
        <v>0</v>
      </c>
      <c r="E14794" s="8">
        <v>0</v>
      </c>
      <c r="F14794" s="8">
        <v>20</v>
      </c>
    </row>
    <row r="14795" spans="1:6" ht="12.75">
      <c r="A14795" s="8">
        <v>43898.073958333334</v>
      </c>
      <c r="B14795" s="8" t="str">
        <f>HYPERLINK("https://twitter.com/NaAlia13","@NaAlia13")</f>
        <v>@NaAlia13</v>
      </c>
      <c r="C14795" s="8" t="s">
        <v>5996</v>
      </c>
      <c r="D14795" s="8">
        <v>0</v>
      </c>
      <c r="E14795" s="8">
        <v>0</v>
      </c>
      <c r="F14795" s="8">
        <v>1257</v>
      </c>
    </row>
    <row r="14796" spans="1:6" ht="12.75">
      <c r="A14796" s="8">
        <v>43898.072592592594</v>
      </c>
      <c r="B14796" s="8" t="str">
        <f>HYPERLINK("https://twitter.com/saifulteladan","@saifulteladan")</f>
        <v>@saifulteladan</v>
      </c>
      <c r="C14796" s="8" t="s">
        <v>5997</v>
      </c>
      <c r="D14796" s="8">
        <v>0</v>
      </c>
      <c r="E14796" s="8">
        <v>0</v>
      </c>
      <c r="F14796" s="8">
        <v>333</v>
      </c>
    </row>
    <row r="14797" spans="1:6" ht="12.75">
      <c r="A14797" s="8">
        <v>43898.071203703701</v>
      </c>
      <c r="B14797" s="8" t="str">
        <f>HYPERLINK("https://twitter.com/Winsontrotz1","@Winsontrotz1")</f>
        <v>@Winsontrotz1</v>
      </c>
      <c r="C14797" s="8" t="s">
        <v>4510</v>
      </c>
      <c r="D14797" s="8">
        <v>120</v>
      </c>
      <c r="E14797" s="8">
        <v>0</v>
      </c>
      <c r="F14797" s="8">
        <v>2650</v>
      </c>
    </row>
    <row r="14798" spans="1:6" ht="12.75">
      <c r="A14798" s="8">
        <v>43898.07032407407</v>
      </c>
      <c r="B14798" s="8" t="str">
        <f>HYPERLINK("https://twitter.com/Saputra00051017","@Saputra00051017")</f>
        <v>@Saputra00051017</v>
      </c>
      <c r="C14798" s="8" t="s">
        <v>5998</v>
      </c>
      <c r="D14798" s="8">
        <v>0</v>
      </c>
      <c r="E14798" s="8">
        <v>0</v>
      </c>
      <c r="F14798" s="8">
        <v>0</v>
      </c>
    </row>
    <row r="14799" spans="1:6" ht="12.75">
      <c r="A14799" s="8">
        <v>43898.065069444448</v>
      </c>
      <c r="B14799" s="8" t="str">
        <f>HYPERLINK("https://twitter.com/BR3K3L3_NY454R","@BR3K3L3_NY454R")</f>
        <v>@BR3K3L3_NY454R</v>
      </c>
      <c r="C14799" s="8" t="s">
        <v>5080</v>
      </c>
      <c r="D14799" s="8">
        <v>57</v>
      </c>
      <c r="E14799" s="8">
        <v>0</v>
      </c>
      <c r="F14799" s="8">
        <v>1158</v>
      </c>
    </row>
    <row r="14800" spans="1:6" ht="12.75">
      <c r="A14800" s="8">
        <v>43898.059016203704</v>
      </c>
      <c r="B14800" s="8" t="str">
        <f>HYPERLINK("https://twitter.com/eL_fairytale","@eL_fairytale")</f>
        <v>@eL_fairytale</v>
      </c>
      <c r="C14800" s="8" t="s">
        <v>5080</v>
      </c>
      <c r="D14800" s="8">
        <v>57</v>
      </c>
      <c r="E14800" s="8">
        <v>0</v>
      </c>
      <c r="F14800" s="8">
        <v>35</v>
      </c>
    </row>
    <row r="14801" spans="1:6" ht="12.75">
      <c r="A14801" s="8">
        <v>43898.058981481481</v>
      </c>
      <c r="B14801" s="8" t="str">
        <f>HYPERLINK("https://twitter.com/vidit_sanghvi","@vidit_sanghvi")</f>
        <v>@vidit_sanghvi</v>
      </c>
      <c r="C14801" s="8" t="s">
        <v>5999</v>
      </c>
      <c r="D14801" s="8">
        <v>0</v>
      </c>
      <c r="E14801" s="8">
        <v>0</v>
      </c>
      <c r="F14801" s="8">
        <v>36</v>
      </c>
    </row>
    <row r="14802" spans="1:6" ht="12.75">
      <c r="A14802" s="8">
        <v>43898.057951388888</v>
      </c>
      <c r="B14802" s="8" t="str">
        <f>HYPERLINK("https://twitter.com/PraztPrazt","@PraztPrazt")</f>
        <v>@PraztPrazt</v>
      </c>
      <c r="C14802" s="8" t="s">
        <v>6000</v>
      </c>
      <c r="D14802" s="8">
        <v>0</v>
      </c>
      <c r="E14802" s="8">
        <v>0</v>
      </c>
      <c r="F14802" s="8">
        <v>44</v>
      </c>
    </row>
    <row r="14803" spans="1:6" ht="12.75">
      <c r="A14803" s="8">
        <v>43898.057256944448</v>
      </c>
      <c r="B14803" s="8" t="str">
        <f>HYPERLINK("https://twitter.com/Cornell0","@Cornell0")</f>
        <v>@Cornell0</v>
      </c>
      <c r="C14803" s="8" t="s">
        <v>5954</v>
      </c>
      <c r="D14803" s="8">
        <v>2</v>
      </c>
      <c r="E14803" s="8">
        <v>0</v>
      </c>
      <c r="F14803" s="8">
        <v>86</v>
      </c>
    </row>
    <row r="14804" spans="1:6" ht="12.75">
      <c r="A14804" s="8">
        <v>43898.057222222225</v>
      </c>
      <c r="B14804" s="8" t="str">
        <f>HYPERLINK("https://twitter.com/JimbonJimmy","@JimbonJimmy")</f>
        <v>@JimbonJimmy</v>
      </c>
      <c r="C14804" s="8" t="s">
        <v>4175</v>
      </c>
      <c r="D14804" s="8">
        <v>20</v>
      </c>
      <c r="E14804" s="8">
        <v>0</v>
      </c>
      <c r="F14804" s="8">
        <v>46</v>
      </c>
    </row>
    <row r="14805" spans="1:6" ht="12.75">
      <c r="A14805" s="8">
        <v>43898.056944444441</v>
      </c>
      <c r="B14805" s="8" t="str">
        <f>HYPERLINK("https://twitter.com/ErikRian10","@ErikRian10")</f>
        <v>@ErikRian10</v>
      </c>
      <c r="C14805" s="8" t="s">
        <v>5080</v>
      </c>
      <c r="D14805" s="8">
        <v>57</v>
      </c>
      <c r="E14805" s="8">
        <v>0</v>
      </c>
      <c r="F14805" s="8">
        <v>899</v>
      </c>
    </row>
    <row r="14806" spans="1:6" ht="12.75">
      <c r="A14806" s="8">
        <v>43898.054733796293</v>
      </c>
      <c r="B14806" s="8" t="str">
        <f>HYPERLINK("https://twitter.com/SaatTobat","@SaatTobat")</f>
        <v>@SaatTobat</v>
      </c>
      <c r="C14806" s="8" t="s">
        <v>6001</v>
      </c>
      <c r="D14806" s="8">
        <v>14</v>
      </c>
      <c r="E14806" s="8">
        <v>0</v>
      </c>
      <c r="F14806" s="8">
        <v>1533</v>
      </c>
    </row>
    <row r="14807" spans="1:6" ht="12.75">
      <c r="A14807" s="8">
        <v>43898.052268518513</v>
      </c>
      <c r="B14807" s="8" t="str">
        <f>HYPERLINK("https://twitter.com/masilut","@masilut")</f>
        <v>@masilut</v>
      </c>
      <c r="C14807" s="8" t="s">
        <v>6002</v>
      </c>
      <c r="D14807" s="8">
        <v>21</v>
      </c>
      <c r="E14807" s="8">
        <v>0</v>
      </c>
      <c r="F14807" s="8">
        <v>8</v>
      </c>
    </row>
    <row r="14808" spans="1:6" ht="12.75">
      <c r="A14808" s="8">
        <v>43898.052268518513</v>
      </c>
      <c r="B14808" s="8" t="str">
        <f>HYPERLINK("https://twitter.com/harsya_mursyid","@harsya_mursyid")</f>
        <v>@harsya_mursyid</v>
      </c>
      <c r="C14808" s="8" t="s">
        <v>3265</v>
      </c>
      <c r="D14808" s="8">
        <v>67</v>
      </c>
      <c r="E14808" s="8">
        <v>0</v>
      </c>
      <c r="F14808" s="8">
        <v>314</v>
      </c>
    </row>
    <row r="14809" spans="1:6" ht="12.75">
      <c r="A14809" s="8">
        <v>43898.051562499997</v>
      </c>
      <c r="B14809" s="8" t="str">
        <f>HYPERLINK("https://twitter.com/M_Zain_Zakaria","@M_Zain_Zakaria")</f>
        <v>@M_Zain_Zakaria</v>
      </c>
      <c r="C14809" s="8" t="s">
        <v>3265</v>
      </c>
      <c r="D14809" s="8">
        <v>67</v>
      </c>
      <c r="E14809" s="8">
        <v>0</v>
      </c>
      <c r="F14809" s="8">
        <v>95</v>
      </c>
    </row>
    <row r="14810" spans="1:6" ht="12.75">
      <c r="A14810" s="8">
        <v>43898.051250000004</v>
      </c>
      <c r="B14810" s="8" t="str">
        <f>HYPERLINK("https://twitter.com/alientapir","@alientapir")</f>
        <v>@alientapir</v>
      </c>
      <c r="C14810" s="8" t="s">
        <v>3978</v>
      </c>
      <c r="D14810" s="8">
        <v>23</v>
      </c>
      <c r="E14810" s="8">
        <v>0</v>
      </c>
      <c r="F14810" s="8">
        <v>610</v>
      </c>
    </row>
    <row r="14811" spans="1:6" ht="12.75">
      <c r="A14811" s="8">
        <v>43898.05</v>
      </c>
      <c r="B14811" s="8" t="str">
        <f>HYPERLINK("https://twitter.com/PraztPrazt","@PraztPrazt")</f>
        <v>@PraztPrazt</v>
      </c>
      <c r="C14811" s="8" t="s">
        <v>6003</v>
      </c>
      <c r="D14811" s="8">
        <v>0</v>
      </c>
      <c r="E14811" s="8">
        <v>0</v>
      </c>
      <c r="F14811" s="8">
        <v>44</v>
      </c>
    </row>
    <row r="14812" spans="1:6" ht="12.75">
      <c r="A14812" s="8">
        <v>43898.049814814818</v>
      </c>
      <c r="B14812" s="8" t="str">
        <f>HYPERLINK("https://twitter.com/hamaro_id","@hamaro_id")</f>
        <v>@hamaro_id</v>
      </c>
      <c r="C14812" s="8" t="s">
        <v>5080</v>
      </c>
      <c r="D14812" s="8">
        <v>57</v>
      </c>
      <c r="E14812" s="8">
        <v>0</v>
      </c>
      <c r="F14812" s="8">
        <v>1686</v>
      </c>
    </row>
    <row r="14813" spans="1:6" ht="12.75">
      <c r="A14813" s="8">
        <v>43898.048657407402</v>
      </c>
      <c r="B14813" s="8" t="str">
        <f>HYPERLINK("https://twitter.com/GATRA_News","@GATRA_News")</f>
        <v>@GATRA_News</v>
      </c>
      <c r="C14813" s="8" t="s">
        <v>6004</v>
      </c>
      <c r="D14813" s="8">
        <v>0</v>
      </c>
      <c r="E14813" s="8">
        <v>1</v>
      </c>
      <c r="F14813" s="8">
        <v>23176</v>
      </c>
    </row>
    <row r="14814" spans="1:6" ht="12.75">
      <c r="A14814" s="8">
        <v>43898.048333333332</v>
      </c>
      <c r="B14814" s="8" t="str">
        <f>HYPERLINK("https://twitter.com/Andreas_AdyM","@Andreas_AdyM")</f>
        <v>@Andreas_AdyM</v>
      </c>
      <c r="C14814" s="8" t="s">
        <v>4818</v>
      </c>
      <c r="D14814" s="8">
        <v>291</v>
      </c>
      <c r="E14814" s="8">
        <v>0</v>
      </c>
      <c r="F14814" s="8">
        <v>1546</v>
      </c>
    </row>
    <row r="14815" spans="1:6" ht="12.75">
      <c r="A14815" s="8">
        <v>43898.04755787037</v>
      </c>
      <c r="B14815" s="8" t="str">
        <f>HYPERLINK("https://twitter.com/dilarang_sambat","@dilarang_sambat")</f>
        <v>@dilarang_sambat</v>
      </c>
      <c r="C14815" s="8" t="s">
        <v>6005</v>
      </c>
      <c r="D14815" s="8">
        <v>0</v>
      </c>
      <c r="E14815" s="8">
        <v>0</v>
      </c>
      <c r="F14815" s="8">
        <v>316</v>
      </c>
    </row>
    <row r="14816" spans="1:6" ht="12.75">
      <c r="A14816" s="8">
        <v>43898.046805555554</v>
      </c>
      <c r="B14816" s="8" t="str">
        <f>HYPERLINK("https://twitter.com/soffel84103944","@soffel84103944")</f>
        <v>@soffel84103944</v>
      </c>
      <c r="C14816" s="8" t="s">
        <v>5080</v>
      </c>
      <c r="D14816" s="8">
        <v>50</v>
      </c>
      <c r="E14816" s="8">
        <v>0</v>
      </c>
      <c r="F14816" s="8">
        <v>629</v>
      </c>
    </row>
    <row r="14817" spans="1:6" ht="12.75">
      <c r="A14817" s="8">
        <v>43898.045844907407</v>
      </c>
      <c r="B14817" s="8" t="str">
        <f>HYPERLINK("https://twitter.com/cecile2771","@cecile2771")</f>
        <v>@cecile2771</v>
      </c>
      <c r="C14817" s="8" t="s">
        <v>4818</v>
      </c>
      <c r="D14817" s="8">
        <v>291</v>
      </c>
      <c r="E14817" s="8">
        <v>0</v>
      </c>
      <c r="F14817" s="8">
        <v>2027</v>
      </c>
    </row>
    <row r="14818" spans="1:6" ht="12.75">
      <c r="A14818" s="8">
        <v>43898.04383101852</v>
      </c>
      <c r="B14818" s="8" t="str">
        <f>HYPERLINK("https://twitter.com/DenTrihadiant","@DenTrihadiant")</f>
        <v>@DenTrihadiant</v>
      </c>
      <c r="C14818" s="8" t="s">
        <v>6006</v>
      </c>
      <c r="D14818" s="8">
        <v>0</v>
      </c>
      <c r="E14818" s="8">
        <v>0</v>
      </c>
      <c r="F14818" s="8">
        <v>23</v>
      </c>
    </row>
    <row r="14819" spans="1:6" ht="12.75">
      <c r="A14819" s="8">
        <v>43898.043333333335</v>
      </c>
      <c r="B14819" s="8" t="str">
        <f>HYPERLINK("https://twitter.com/fattynorm","@fattynorm")</f>
        <v>@fattynorm</v>
      </c>
      <c r="C14819" s="8" t="s">
        <v>4162</v>
      </c>
      <c r="D14819" s="8">
        <v>99</v>
      </c>
      <c r="E14819" s="8">
        <v>0</v>
      </c>
      <c r="F14819" s="8">
        <v>420</v>
      </c>
    </row>
    <row r="14820" spans="1:6" ht="12.75">
      <c r="A14820" s="8">
        <v>43898.043067129634</v>
      </c>
      <c r="B14820" s="8" t="str">
        <f>HYPERLINK("https://twitter.com/mudha_satriya","@mudha_satriya")</f>
        <v>@mudha_satriya</v>
      </c>
      <c r="C14820" s="8" t="s">
        <v>5978</v>
      </c>
      <c r="D14820" s="8">
        <v>4</v>
      </c>
      <c r="E14820" s="8">
        <v>0</v>
      </c>
      <c r="F14820" s="8">
        <v>1886</v>
      </c>
    </row>
    <row r="14821" spans="1:6" ht="12.75">
      <c r="A14821" s="8">
        <v>43898.041817129633</v>
      </c>
      <c r="B14821" s="8" t="str">
        <f>HYPERLINK("https://twitter.com/DamarhudaIdelle","@DamarhudaIdelle")</f>
        <v>@DamarhudaIdelle</v>
      </c>
      <c r="C14821" s="8" t="s">
        <v>3265</v>
      </c>
      <c r="D14821" s="8">
        <v>65</v>
      </c>
      <c r="E14821" s="8">
        <v>0</v>
      </c>
      <c r="F14821" s="8">
        <v>119</v>
      </c>
    </row>
    <row r="14822" spans="1:6" ht="12.75">
      <c r="A14822" s="8">
        <v>43898.041666666672</v>
      </c>
      <c r="B14822" s="8" t="str">
        <f>HYPERLINK("https://twitter.com/Lintas_MNCTV","@Lintas_MNCTV")</f>
        <v>@Lintas_MNCTV</v>
      </c>
      <c r="C14822" s="8" t="s">
        <v>5677</v>
      </c>
      <c r="D14822" s="8">
        <v>0</v>
      </c>
      <c r="E14822" s="8">
        <v>0</v>
      </c>
      <c r="F14822" s="8">
        <v>35918</v>
      </c>
    </row>
    <row r="14823" spans="1:6" ht="12.75">
      <c r="A14823" s="8">
        <v>43898.041666666672</v>
      </c>
      <c r="B14823" s="8" t="str">
        <f>HYPERLINK("https://twitter.com/OfficialiNewsTV","@OfficialiNewsTV")</f>
        <v>@OfficialiNewsTV</v>
      </c>
      <c r="C14823" s="8" t="s">
        <v>5677</v>
      </c>
      <c r="D14823" s="8">
        <v>0</v>
      </c>
      <c r="E14823" s="8">
        <v>0</v>
      </c>
      <c r="F14823" s="8">
        <v>96620</v>
      </c>
    </row>
    <row r="14824" spans="1:6" ht="12.75">
      <c r="A14824" s="8">
        <v>43898.041631944448</v>
      </c>
      <c r="B14824" s="8" t="str">
        <f>HYPERLINK("https://twitter.com/sukabumiazam","@sukabumiazam")</f>
        <v>@sukabumiazam</v>
      </c>
      <c r="C14824" s="8" t="s">
        <v>3265</v>
      </c>
      <c r="D14824" s="8">
        <v>65</v>
      </c>
      <c r="E14824" s="8">
        <v>0</v>
      </c>
      <c r="F14824" s="8">
        <v>453</v>
      </c>
    </row>
    <row r="14825" spans="1:6" ht="12.75">
      <c r="A14825" s="8">
        <v>43898.041076388894</v>
      </c>
      <c r="B14825" s="8" t="str">
        <f>HYPERLINK("https://twitter.com/fujadinar","@fujadinar")</f>
        <v>@fujadinar</v>
      </c>
      <c r="C14825" s="8" t="s">
        <v>3265</v>
      </c>
      <c r="D14825" s="8">
        <v>65</v>
      </c>
      <c r="E14825" s="8">
        <v>0</v>
      </c>
      <c r="F14825" s="8">
        <v>71</v>
      </c>
    </row>
    <row r="14826" spans="1:6" ht="12.75">
      <c r="A14826" s="8">
        <v>43898.041030092594</v>
      </c>
      <c r="B14826" s="8" t="str">
        <f>HYPERLINK("https://twitter.com/Mulia07094480","@Mulia07094480")</f>
        <v>@Mulia07094480</v>
      </c>
      <c r="C14826" s="8" t="s">
        <v>6007</v>
      </c>
      <c r="D14826" s="8">
        <v>1</v>
      </c>
      <c r="E14826" s="8">
        <v>0</v>
      </c>
      <c r="F14826" s="8">
        <v>760</v>
      </c>
    </row>
    <row r="14827" spans="1:6" ht="12.75">
      <c r="A14827" s="8">
        <v>43898.040601851855</v>
      </c>
      <c r="B14827" s="8" t="str">
        <f>HYPERLINK("https://twitter.com/andimukti__w","@andimukti__w")</f>
        <v>@andimukti__w</v>
      </c>
      <c r="C14827" s="8" t="s">
        <v>6008</v>
      </c>
      <c r="D14827" s="8">
        <v>0</v>
      </c>
      <c r="E14827" s="8">
        <v>0</v>
      </c>
      <c r="F14827" s="8">
        <v>85</v>
      </c>
    </row>
    <row r="14828" spans="1:6" ht="12.75">
      <c r="A14828" s="8">
        <v>43898.039363425924</v>
      </c>
      <c r="B14828" s="8" t="str">
        <f>HYPERLINK("https://twitter.com/AnakLolina","@AnakLolina")</f>
        <v>@AnakLolina</v>
      </c>
      <c r="C14828" s="8" t="s">
        <v>5080</v>
      </c>
      <c r="D14828" s="8">
        <v>50</v>
      </c>
      <c r="E14828" s="8">
        <v>0</v>
      </c>
      <c r="F14828" s="8">
        <v>15229</v>
      </c>
    </row>
    <row r="14829" spans="1:6" ht="12.75">
      <c r="A14829" s="8">
        <v>43898.038865740746</v>
      </c>
      <c r="B14829" s="8" t="str">
        <f>HYPERLINK("https://twitter.com/QuayamKhan","@QuayamKhan")</f>
        <v>@QuayamKhan</v>
      </c>
      <c r="C14829" s="8" t="s">
        <v>6009</v>
      </c>
      <c r="D14829" s="8">
        <v>0</v>
      </c>
      <c r="E14829" s="8">
        <v>0</v>
      </c>
      <c r="F14829" s="8">
        <v>150</v>
      </c>
    </row>
    <row r="14830" spans="1:6" ht="12.75">
      <c r="A14830" s="8">
        <v>43898.038854166662</v>
      </c>
      <c r="B14830" s="8" t="str">
        <f>HYPERLINK("https://twitter.com/kamlesh15640573","@kamlesh15640573")</f>
        <v>@kamlesh15640573</v>
      </c>
      <c r="C14830" s="8" t="s">
        <v>6010</v>
      </c>
      <c r="D14830" s="8">
        <v>0</v>
      </c>
      <c r="E14830" s="8">
        <v>0</v>
      </c>
      <c r="F14830" s="8">
        <v>6</v>
      </c>
    </row>
    <row r="14831" spans="1:6" ht="12.75">
      <c r="A14831" s="8">
        <v>43898.038784722223</v>
      </c>
      <c r="B14831" s="8" t="str">
        <f>HYPERLINK("https://twitter.com/dubie_tina","@dubie_tina")</f>
        <v>@dubie_tina</v>
      </c>
      <c r="C14831" s="8" t="s">
        <v>5080</v>
      </c>
      <c r="D14831" s="8">
        <v>50</v>
      </c>
      <c r="E14831" s="8">
        <v>0</v>
      </c>
      <c r="F14831" s="8">
        <v>1098</v>
      </c>
    </row>
    <row r="14832" spans="1:6" ht="12.75">
      <c r="A14832" s="8">
        <v>43898.038032407407</v>
      </c>
      <c r="B14832" s="8" t="str">
        <f>HYPERLINK("https://twitter.com/ManaluTheodorus","@ManaluTheodorus")</f>
        <v>@ManaluTheodorus</v>
      </c>
      <c r="C14832" s="8" t="s">
        <v>6011</v>
      </c>
      <c r="D14832" s="8">
        <v>1</v>
      </c>
      <c r="E14832" s="8">
        <v>0</v>
      </c>
      <c r="F14832" s="8">
        <v>57</v>
      </c>
    </row>
    <row r="14833" spans="1:6" ht="12.75">
      <c r="A14833" s="8">
        <v>43898.037581018521</v>
      </c>
      <c r="B14833" s="8" t="str">
        <f>HYPERLINK("https://twitter.com/wideeeeewi","@wideeeeewi")</f>
        <v>@wideeeeewi</v>
      </c>
      <c r="C14833" s="8" t="s">
        <v>5978</v>
      </c>
      <c r="D14833" s="8">
        <v>4</v>
      </c>
      <c r="E14833" s="8">
        <v>0</v>
      </c>
      <c r="F14833" s="8">
        <v>13</v>
      </c>
    </row>
    <row r="14834" spans="1:6" ht="12.75">
      <c r="A14834" s="8">
        <v>43898.037442129629</v>
      </c>
      <c r="B14834" s="8" t="str">
        <f>HYPERLINK("https://twitter.com/AlHijaz46792964","@AlHijaz46792964")</f>
        <v>@AlHijaz46792964</v>
      </c>
      <c r="C14834" s="8" t="s">
        <v>3743</v>
      </c>
      <c r="D14834" s="8">
        <v>695</v>
      </c>
      <c r="E14834" s="8">
        <v>0</v>
      </c>
      <c r="F14834" s="8">
        <v>325</v>
      </c>
    </row>
    <row r="14835" spans="1:6" ht="12.75">
      <c r="A14835" s="8">
        <v>43898.037256944444</v>
      </c>
      <c r="B14835" s="8" t="str">
        <f>HYPERLINK("https://twitter.com/akubabi_","@akubabi_")</f>
        <v>@akubabi_</v>
      </c>
      <c r="C14835" s="8" t="s">
        <v>6012</v>
      </c>
      <c r="D14835" s="8">
        <v>2</v>
      </c>
      <c r="E14835" s="8">
        <v>0</v>
      </c>
      <c r="F14835" s="8">
        <v>3</v>
      </c>
    </row>
    <row r="14836" spans="1:6" ht="12.75">
      <c r="A14836" s="8">
        <v>43898.036145833335</v>
      </c>
      <c r="B14836" s="8" t="str">
        <f>HYPERLINK("https://twitter.com/SaatTobat","@SaatTobat")</f>
        <v>@SaatTobat</v>
      </c>
      <c r="C14836" s="8" t="s">
        <v>5080</v>
      </c>
      <c r="D14836" s="8">
        <v>50</v>
      </c>
      <c r="E14836" s="8">
        <v>0</v>
      </c>
      <c r="F14836" s="8">
        <v>1531</v>
      </c>
    </row>
    <row r="14837" spans="1:6" ht="12.75">
      <c r="A14837" s="8">
        <v>43898.035891203705</v>
      </c>
      <c r="B14837" s="8" t="str">
        <f>HYPERLINK("https://twitter.com/Untung52643485","@Untung52643485")</f>
        <v>@Untung52643485</v>
      </c>
      <c r="C14837" s="8" t="s">
        <v>4510</v>
      </c>
      <c r="D14837" s="8">
        <v>119</v>
      </c>
      <c r="E14837" s="8">
        <v>0</v>
      </c>
      <c r="F14837" s="8">
        <v>77</v>
      </c>
    </row>
    <row r="14838" spans="1:6" ht="12.75">
      <c r="A14838" s="8">
        <v>43898.034803240742</v>
      </c>
      <c r="B14838" s="8" t="str">
        <f>HYPERLINK("https://twitter.com/Ramadhanm81","@Ramadhanm81")</f>
        <v>@Ramadhanm81</v>
      </c>
      <c r="C14838" s="8" t="s">
        <v>6013</v>
      </c>
      <c r="D14838" s="8">
        <v>0</v>
      </c>
      <c r="E14838" s="8">
        <v>0</v>
      </c>
      <c r="F14838" s="8">
        <v>76</v>
      </c>
    </row>
    <row r="14839" spans="1:6" ht="12.75">
      <c r="A14839" s="8">
        <v>43898.034791666665</v>
      </c>
      <c r="B14839" s="8" t="str">
        <f>HYPERLINK("https://twitter.com/UrubingDilah","@UrubingDilah")</f>
        <v>@UrubingDilah</v>
      </c>
      <c r="C14839" s="8" t="s">
        <v>5486</v>
      </c>
      <c r="D14839" s="8">
        <v>33</v>
      </c>
      <c r="E14839" s="8">
        <v>0</v>
      </c>
      <c r="F14839" s="8">
        <v>1376</v>
      </c>
    </row>
    <row r="14840" spans="1:6" ht="12.75">
      <c r="A14840" s="8">
        <v>43898.034004629633</v>
      </c>
      <c r="B14840" s="8" t="str">
        <f>HYPERLINK("https://twitter.com/DatuakAtuk","@DatuakAtuk")</f>
        <v>@DatuakAtuk</v>
      </c>
      <c r="C14840" s="8" t="s">
        <v>4818</v>
      </c>
      <c r="D14840" s="8">
        <v>291</v>
      </c>
      <c r="E14840" s="8">
        <v>0</v>
      </c>
      <c r="F14840" s="8">
        <v>729</v>
      </c>
    </row>
    <row r="14841" spans="1:6" ht="12.75">
      <c r="A14841" s="8">
        <v>43898.03261574074</v>
      </c>
      <c r="B14841" s="8" t="str">
        <f>HYPERLINK("https://twitter.com/Zhongren15","@Zhongren15")</f>
        <v>@Zhongren15</v>
      </c>
      <c r="C14841" s="8" t="s">
        <v>5080</v>
      </c>
      <c r="D14841" s="8">
        <v>50</v>
      </c>
      <c r="E14841" s="8">
        <v>0</v>
      </c>
      <c r="F14841" s="8">
        <v>321</v>
      </c>
    </row>
    <row r="14842" spans="1:6" ht="12.75">
      <c r="A14842" s="8">
        <v>43898.030960648146</v>
      </c>
      <c r="B14842" s="8" t="str">
        <f>HYPERLINK("https://twitter.com/nawantityastuti","@nawantityastuti")</f>
        <v>@nawantityastuti</v>
      </c>
      <c r="C14842" s="8" t="s">
        <v>6014</v>
      </c>
      <c r="D14842" s="8">
        <v>0</v>
      </c>
      <c r="E14842" s="8">
        <v>0</v>
      </c>
      <c r="F14842" s="8">
        <v>393</v>
      </c>
    </row>
    <row r="14843" spans="1:6" ht="12.75">
      <c r="A14843" s="8">
        <v>43898.030752314815</v>
      </c>
      <c r="B14843" s="8" t="str">
        <f>HYPERLINK("https://twitter.com/asep_rita","@asep_rita")</f>
        <v>@asep_rita</v>
      </c>
      <c r="C14843" s="8" t="s">
        <v>5341</v>
      </c>
      <c r="D14843" s="8">
        <v>2</v>
      </c>
      <c r="E14843" s="8">
        <v>0</v>
      </c>
      <c r="F14843" s="8">
        <v>1869</v>
      </c>
    </row>
    <row r="14844" spans="1:6" ht="12.75">
      <c r="A14844" s="8">
        <v>43898.030046296291</v>
      </c>
      <c r="B14844" s="8" t="str">
        <f>HYPERLINK("https://twitter.com/bangwitman","@bangwitman")</f>
        <v>@bangwitman</v>
      </c>
      <c r="C14844" s="8" t="s">
        <v>6015</v>
      </c>
      <c r="D14844" s="8">
        <v>0</v>
      </c>
      <c r="E14844" s="8">
        <v>0</v>
      </c>
      <c r="F14844" s="8">
        <v>112</v>
      </c>
    </row>
    <row r="14845" spans="1:6" ht="12.75">
      <c r="A14845" s="8">
        <v>43898.02621527778</v>
      </c>
      <c r="B14845" s="8" t="str">
        <f>HYPERLINK("https://twitter.com/amerbalti","@amerbalti")</f>
        <v>@amerbalti</v>
      </c>
      <c r="C14845" s="8" t="s">
        <v>6016</v>
      </c>
      <c r="D14845" s="8">
        <v>0</v>
      </c>
      <c r="E14845" s="8">
        <v>0</v>
      </c>
      <c r="F14845" s="8">
        <v>874</v>
      </c>
    </row>
    <row r="14846" spans="1:6" ht="12.75">
      <c r="A14846" s="8">
        <v>43898.025995370372</v>
      </c>
      <c r="B14846" s="8" t="str">
        <f>HYPERLINK("https://twitter.com/DavidGosal4","@DavidGosal4")</f>
        <v>@DavidGosal4</v>
      </c>
      <c r="C14846" s="8" t="s">
        <v>6017</v>
      </c>
      <c r="D14846" s="8">
        <v>1</v>
      </c>
      <c r="E14846" s="8">
        <v>1</v>
      </c>
      <c r="F14846" s="8">
        <v>6</v>
      </c>
    </row>
    <row r="14847" spans="1:6" ht="12.75">
      <c r="A14847" s="8">
        <v>43898.02375</v>
      </c>
      <c r="B14847" s="8" t="str">
        <f>HYPERLINK("https://twitter.com/evereeze","@evereeze")</f>
        <v>@evereeze</v>
      </c>
      <c r="C14847" s="8" t="s">
        <v>5978</v>
      </c>
      <c r="D14847" s="8">
        <v>4</v>
      </c>
      <c r="E14847" s="8">
        <v>0</v>
      </c>
      <c r="F14847" s="8">
        <v>315</v>
      </c>
    </row>
    <row r="14848" spans="1:6" ht="12.75">
      <c r="A14848" s="8">
        <v>43898.023194444446</v>
      </c>
      <c r="B14848" s="8" t="str">
        <f>HYPERLINK("https://twitter.com/adriangunawan45","@adriangunawan45")</f>
        <v>@adriangunawan45</v>
      </c>
      <c r="C14848" s="8" t="s">
        <v>4818</v>
      </c>
      <c r="D14848" s="8">
        <v>291</v>
      </c>
      <c r="E14848" s="8">
        <v>0</v>
      </c>
      <c r="F14848" s="8">
        <v>86</v>
      </c>
    </row>
    <row r="14849" spans="1:6" ht="12.75">
      <c r="A14849" s="8">
        <v>43898.022986111115</v>
      </c>
      <c r="B14849" s="8" t="str">
        <f>HYPERLINK("https://twitter.com/mawardinurullah","@mawardinurullah")</f>
        <v>@mawardinurullah</v>
      </c>
      <c r="C14849" s="8" t="s">
        <v>3265</v>
      </c>
      <c r="D14849" s="8">
        <v>65</v>
      </c>
      <c r="E14849" s="8">
        <v>0</v>
      </c>
      <c r="F14849" s="8">
        <v>439</v>
      </c>
    </row>
    <row r="14850" spans="1:6" ht="12.75">
      <c r="A14850" s="8">
        <v>43898.022650462968</v>
      </c>
      <c r="B14850" s="8" t="str">
        <f>HYPERLINK("https://twitter.com/edhodoll","@edhodoll")</f>
        <v>@edhodoll</v>
      </c>
      <c r="C14850" s="8" t="s">
        <v>4175</v>
      </c>
      <c r="D14850" s="8">
        <v>19</v>
      </c>
      <c r="E14850" s="8">
        <v>0</v>
      </c>
      <c r="F14850" s="8">
        <v>817</v>
      </c>
    </row>
    <row r="14851" spans="1:6" ht="12.75">
      <c r="A14851" s="8">
        <v>43898.022638888884</v>
      </c>
      <c r="B14851" s="8" t="str">
        <f>HYPERLINK("https://twitter.com/nanuths","@nanuths")</f>
        <v>@nanuths</v>
      </c>
      <c r="C14851" s="8" t="s">
        <v>5833</v>
      </c>
      <c r="D14851" s="8">
        <v>17</v>
      </c>
      <c r="E14851" s="8">
        <v>0</v>
      </c>
      <c r="F14851" s="8">
        <v>651</v>
      </c>
    </row>
    <row r="14852" spans="1:6" ht="12.75">
      <c r="A14852" s="8">
        <v>43898.022615740745</v>
      </c>
      <c r="B14852" s="8" t="str">
        <f>HYPERLINK("https://twitter.com/bagusdarma","@bagusdarma")</f>
        <v>@bagusdarma</v>
      </c>
      <c r="C14852" s="8" t="s">
        <v>2199</v>
      </c>
      <c r="D14852" s="8">
        <v>9099</v>
      </c>
      <c r="E14852" s="8">
        <v>0</v>
      </c>
      <c r="F14852" s="8">
        <v>435</v>
      </c>
    </row>
    <row r="14853" spans="1:6" ht="12.75">
      <c r="A14853" s="8">
        <v>43898.021990740745</v>
      </c>
      <c r="B14853" s="8" t="str">
        <f>HYPERLINK("https://twitter.com/Gegegr14","@Gegegr14")</f>
        <v>@Gegegr14</v>
      </c>
      <c r="C14853" s="8" t="s">
        <v>2199</v>
      </c>
      <c r="D14853" s="8">
        <v>9099</v>
      </c>
      <c r="E14853" s="8">
        <v>0</v>
      </c>
      <c r="F14853" s="8">
        <v>0</v>
      </c>
    </row>
    <row r="14854" spans="1:6" ht="12.75">
      <c r="A14854" s="8">
        <v>43898.021018518513</v>
      </c>
      <c r="B14854" s="8" t="str">
        <f>HYPERLINK("https://twitter.com/gontornews","@gontornews")</f>
        <v>@gontornews</v>
      </c>
      <c r="C14854" s="8" t="s">
        <v>6018</v>
      </c>
      <c r="D14854" s="8">
        <v>0</v>
      </c>
      <c r="E14854" s="8">
        <v>0</v>
      </c>
      <c r="F14854" s="8">
        <v>4843</v>
      </c>
    </row>
    <row r="14855" spans="1:6" ht="12.75">
      <c r="A14855" s="8">
        <v>43898.02043981482</v>
      </c>
      <c r="B14855" s="8" t="str">
        <f>HYPERLINK("https://twitter.com/rifky120412","@rifky120412")</f>
        <v>@rifky120412</v>
      </c>
      <c r="C14855" s="8" t="s">
        <v>3743</v>
      </c>
      <c r="D14855" s="8">
        <v>695</v>
      </c>
      <c r="E14855" s="8">
        <v>0</v>
      </c>
      <c r="F14855" s="8">
        <v>289</v>
      </c>
    </row>
    <row r="14856" spans="1:6" ht="12.75">
      <c r="A14856" s="8">
        <v>43898.020405092597</v>
      </c>
      <c r="B14856" s="8" t="str">
        <f>HYPERLINK("https://twitter.com/SaputraBerman","@SaputraBerman")</f>
        <v>@SaputraBerman</v>
      </c>
      <c r="C14856" s="8" t="s">
        <v>5080</v>
      </c>
      <c r="D14856" s="8">
        <v>50</v>
      </c>
      <c r="E14856" s="8">
        <v>0</v>
      </c>
      <c r="F14856" s="8">
        <v>106</v>
      </c>
    </row>
    <row r="14857" spans="1:6" ht="12.75">
      <c r="A14857" s="8">
        <v>43898.01971064815</v>
      </c>
      <c r="B14857" s="8" t="str">
        <f>HYPERLINK("https://twitter.com/bangagoeng96","@bangagoeng96")</f>
        <v>@bangagoeng96</v>
      </c>
      <c r="C14857" s="8" t="s">
        <v>3265</v>
      </c>
      <c r="D14857" s="8">
        <v>65</v>
      </c>
      <c r="E14857" s="8">
        <v>0</v>
      </c>
      <c r="F14857" s="8">
        <v>5005</v>
      </c>
    </row>
    <row r="14858" spans="1:6" ht="12.75">
      <c r="A14858" s="8">
        <v>43898.019652777773</v>
      </c>
      <c r="B14858" s="8" t="str">
        <f>HYPERLINK("https://twitter.com/SydSalesman","@SydSalesman")</f>
        <v>@SydSalesman</v>
      </c>
      <c r="C14858" s="8" t="s">
        <v>5544</v>
      </c>
      <c r="D14858" s="8">
        <v>16</v>
      </c>
      <c r="E14858" s="8">
        <v>0</v>
      </c>
      <c r="F14858" s="8">
        <v>6279</v>
      </c>
    </row>
    <row r="14859" spans="1:6" ht="12.75">
      <c r="A14859" s="8">
        <v>43898.018194444448</v>
      </c>
      <c r="B14859" s="8" t="str">
        <f>HYPERLINK("https://twitter.com/alzakha","@alzakha")</f>
        <v>@alzakha</v>
      </c>
      <c r="C14859" s="8" t="s">
        <v>3265</v>
      </c>
      <c r="D14859" s="8">
        <v>65</v>
      </c>
      <c r="E14859" s="8">
        <v>0</v>
      </c>
      <c r="F14859" s="8">
        <v>492</v>
      </c>
    </row>
    <row r="14860" spans="1:6" ht="12.75">
      <c r="A14860" s="8">
        <v>43898.017025462963</v>
      </c>
      <c r="B14860" s="8" t="str">
        <f>HYPERLINK("https://twitter.com/Bamin_Achmad","@Bamin_Achmad")</f>
        <v>@Bamin_Achmad</v>
      </c>
      <c r="C14860" s="8" t="s">
        <v>5714</v>
      </c>
      <c r="D14860" s="8">
        <v>4</v>
      </c>
      <c r="E14860" s="8">
        <v>0</v>
      </c>
      <c r="F14860" s="8">
        <v>2867</v>
      </c>
    </row>
    <row r="14861" spans="1:6" ht="12.75">
      <c r="A14861" s="8">
        <v>43898.015671296293</v>
      </c>
      <c r="B14861" s="8" t="str">
        <f>HYPERLINK("https://twitter.com/DavidGosal4","@DavidGosal4")</f>
        <v>@DavidGosal4</v>
      </c>
      <c r="C14861" s="8" t="s">
        <v>6019</v>
      </c>
      <c r="D14861" s="8">
        <v>0</v>
      </c>
      <c r="E14861" s="8">
        <v>0</v>
      </c>
      <c r="F14861" s="8">
        <v>6</v>
      </c>
    </row>
    <row r="14862" spans="1:6" ht="12.75">
      <c r="A14862" s="8">
        <v>43898.015532407408</v>
      </c>
      <c r="B14862" s="8" t="str">
        <f>HYPERLINK("https://twitter.com/nanuths","@nanuths")</f>
        <v>@nanuths</v>
      </c>
      <c r="C14862" s="8" t="s">
        <v>5978</v>
      </c>
      <c r="D14862" s="8">
        <v>4</v>
      </c>
      <c r="E14862" s="8">
        <v>0</v>
      </c>
      <c r="F14862" s="8">
        <v>651</v>
      </c>
    </row>
    <row r="14863" spans="1:6" ht="12.75">
      <c r="A14863" s="8">
        <v>43898.015405092592</v>
      </c>
      <c r="B14863" s="8" t="str">
        <f>HYPERLINK("https://twitter.com/doyokijay","@doyokijay")</f>
        <v>@doyokijay</v>
      </c>
      <c r="C14863" s="8" t="s">
        <v>5486</v>
      </c>
      <c r="D14863" s="8">
        <v>33</v>
      </c>
      <c r="E14863" s="8">
        <v>0</v>
      </c>
      <c r="F14863" s="8">
        <v>322</v>
      </c>
    </row>
    <row r="14864" spans="1:6" ht="12.75">
      <c r="A14864" s="8">
        <v>43898.014282407406</v>
      </c>
      <c r="B14864" s="8" t="str">
        <f>HYPERLINK("https://twitter.com/KompasTV","@KompasTV")</f>
        <v>@KompasTV</v>
      </c>
      <c r="C14864" s="8" t="s">
        <v>6020</v>
      </c>
      <c r="D14864" s="8">
        <v>4</v>
      </c>
      <c r="E14864" s="8">
        <v>4</v>
      </c>
      <c r="F14864" s="8">
        <v>2958668</v>
      </c>
    </row>
    <row r="14865" spans="1:6" ht="12.75">
      <c r="A14865" s="8">
        <v>43898.01284722222</v>
      </c>
      <c r="B14865" s="8" t="str">
        <f>HYPERLINK("https://twitter.com/Eko_toh","@Eko_toh")</f>
        <v>@Eko_toh</v>
      </c>
      <c r="C14865" s="8" t="s">
        <v>5714</v>
      </c>
      <c r="D14865" s="8">
        <v>4</v>
      </c>
      <c r="E14865" s="8">
        <v>0</v>
      </c>
      <c r="F14865" s="8">
        <v>4711</v>
      </c>
    </row>
    <row r="14866" spans="1:6" ht="12.75">
      <c r="A14866" s="8">
        <v>43898.011053240742</v>
      </c>
      <c r="B14866" s="8" t="str">
        <f>HYPERLINK("https://twitter.com/Zahrah40291660","@Zahrah40291660")</f>
        <v>@Zahrah40291660</v>
      </c>
      <c r="C14866" s="8" t="s">
        <v>3265</v>
      </c>
      <c r="D14866" s="8">
        <v>65</v>
      </c>
      <c r="E14866" s="8">
        <v>0</v>
      </c>
      <c r="F14866" s="8">
        <v>1668</v>
      </c>
    </row>
    <row r="14867" spans="1:6" ht="12.75">
      <c r="A14867" s="8">
        <v>43898.009756944448</v>
      </c>
      <c r="B14867" s="8" t="str">
        <f>HYPERLINK("https://twitter.com/PulauTidungTrav","@PulauTidungTrav")</f>
        <v>@PulauTidungTrav</v>
      </c>
      <c r="C14867" s="8" t="s">
        <v>6021</v>
      </c>
      <c r="D14867" s="8">
        <v>0</v>
      </c>
      <c r="E14867" s="8">
        <v>0</v>
      </c>
      <c r="F14867" s="8">
        <v>112</v>
      </c>
    </row>
    <row r="14868" spans="1:6" ht="12.75">
      <c r="A14868" s="8">
        <v>43898.009224537032</v>
      </c>
      <c r="B14868" s="8" t="str">
        <f>HYPERLINK("https://twitter.com/svvimingfool","@svvimingfool")</f>
        <v>@svvimingfool</v>
      </c>
      <c r="C14868" s="8" t="s">
        <v>6022</v>
      </c>
      <c r="D14868" s="8">
        <v>0</v>
      </c>
      <c r="E14868" s="8">
        <v>0</v>
      </c>
      <c r="F14868" s="8">
        <v>1616</v>
      </c>
    </row>
    <row r="14869" spans="1:6" ht="12.75">
      <c r="A14869" s="8">
        <v>43898.009074074071</v>
      </c>
      <c r="B14869" s="8" t="str">
        <f>HYPERLINK("https://twitter.com/KurniawanRicho","@KurniawanRicho")</f>
        <v>@KurniawanRicho</v>
      </c>
      <c r="C14869" s="8" t="s">
        <v>4510</v>
      </c>
      <c r="D14869" s="8">
        <v>119</v>
      </c>
      <c r="E14869" s="8">
        <v>0</v>
      </c>
      <c r="F14869" s="8">
        <v>580</v>
      </c>
    </row>
    <row r="14870" spans="1:6" ht="12.75">
      <c r="A14870" s="8">
        <v>43898.009062500001</v>
      </c>
      <c r="B14870" s="8" t="str">
        <f>HYPERLINK("https://twitter.com/Danimas19","@Danimas19")</f>
        <v>@Danimas19</v>
      </c>
      <c r="C14870" s="8" t="s">
        <v>5486</v>
      </c>
      <c r="D14870" s="8">
        <v>33</v>
      </c>
      <c r="E14870" s="8">
        <v>0</v>
      </c>
      <c r="F14870" s="8">
        <v>108</v>
      </c>
    </row>
    <row r="14871" spans="1:6" ht="12.75">
      <c r="A14871" s="8">
        <v>43898.008703703701</v>
      </c>
      <c r="B14871" s="8" t="str">
        <f>HYPERLINK("https://twitter.com/SydSalesman","@SydSalesman")</f>
        <v>@SydSalesman</v>
      </c>
      <c r="C14871" s="8" t="s">
        <v>5564</v>
      </c>
      <c r="D14871" s="8">
        <v>1</v>
      </c>
      <c r="E14871" s="8">
        <v>0</v>
      </c>
      <c r="F14871" s="8">
        <v>6279</v>
      </c>
    </row>
    <row r="14872" spans="1:6" ht="12.75">
      <c r="A14872" s="8">
        <v>43898.008553240739</v>
      </c>
      <c r="B14872" s="8" t="str">
        <f>HYPERLINK("https://twitter.com/SagaSantorini","@SagaSantorini")</f>
        <v>@SagaSantorini</v>
      </c>
      <c r="C14872" s="8" t="s">
        <v>4818</v>
      </c>
      <c r="D14872" s="8">
        <v>291</v>
      </c>
      <c r="E14872" s="8">
        <v>0</v>
      </c>
      <c r="F14872" s="8">
        <v>43</v>
      </c>
    </row>
    <row r="14873" spans="1:6" ht="12.75">
      <c r="A14873" s="8">
        <v>43898.007534722223</v>
      </c>
      <c r="B14873" s="8" t="str">
        <f t="shared" ref="B14873:B14874" si="222">HYPERLINK("https://twitter.com/helmyyahya","@helmyyahya")</f>
        <v>@helmyyahya</v>
      </c>
      <c r="C14873" s="8" t="s">
        <v>5900</v>
      </c>
      <c r="D14873" s="8">
        <v>18</v>
      </c>
      <c r="E14873" s="8">
        <v>0</v>
      </c>
      <c r="F14873" s="8">
        <v>117919</v>
      </c>
    </row>
    <row r="14874" spans="1:6" ht="12.75">
      <c r="A14874" s="8">
        <v>43898.007476851853</v>
      </c>
      <c r="B14874" s="8" t="str">
        <f t="shared" si="222"/>
        <v>@helmyyahya</v>
      </c>
      <c r="C14874" s="8" t="s">
        <v>5901</v>
      </c>
      <c r="D14874" s="8">
        <v>8</v>
      </c>
      <c r="E14874" s="8">
        <v>0</v>
      </c>
      <c r="F14874" s="8">
        <v>117919</v>
      </c>
    </row>
    <row r="14875" spans="1:6" ht="12.75">
      <c r="A14875" s="8">
        <v>43898.00744212963</v>
      </c>
      <c r="B14875" s="8" t="str">
        <f>HYPERLINK("https://twitter.com/gratisongkir_","@gratisongkir_")</f>
        <v>@gratisongkir_</v>
      </c>
      <c r="C14875" s="8" t="s">
        <v>3978</v>
      </c>
      <c r="D14875" s="8">
        <v>22</v>
      </c>
      <c r="E14875" s="8">
        <v>0</v>
      </c>
      <c r="F14875" s="8">
        <v>441</v>
      </c>
    </row>
    <row r="14876" spans="1:6" ht="12.75">
      <c r="A14876" s="8">
        <v>43898.005601851852</v>
      </c>
      <c r="B14876" s="8" t="str">
        <f>HYPERLINK("https://twitter.com/MohMans45469273","@MohMans45469273")</f>
        <v>@MohMans45469273</v>
      </c>
      <c r="C14876" s="8" t="s">
        <v>3265</v>
      </c>
      <c r="D14876" s="8">
        <v>57</v>
      </c>
      <c r="E14876" s="8">
        <v>0</v>
      </c>
      <c r="F14876" s="8">
        <v>767</v>
      </c>
    </row>
    <row r="14877" spans="1:6" ht="12.75">
      <c r="A14877" s="8">
        <v>43898.005497685182</v>
      </c>
      <c r="B14877" s="8" t="str">
        <f>HYPERLINK("https://twitter.com/de_iKONIC","@de_iKONIC")</f>
        <v>@de_iKONIC</v>
      </c>
      <c r="C14877" s="8" t="s">
        <v>6023</v>
      </c>
      <c r="D14877" s="8">
        <v>0</v>
      </c>
      <c r="E14877" s="8">
        <v>0</v>
      </c>
      <c r="F14877" s="8">
        <v>215</v>
      </c>
    </row>
    <row r="14878" spans="1:6" ht="12.75">
      <c r="A14878" s="8">
        <v>43898.005289351851</v>
      </c>
      <c r="B14878" s="8" t="str">
        <f>HYPERLINK("https://twitter.com/Deathforces","@Deathforces")</f>
        <v>@Deathforces</v>
      </c>
      <c r="C14878" s="8" t="s">
        <v>6024</v>
      </c>
      <c r="D14878" s="8">
        <v>0</v>
      </c>
      <c r="E14878" s="8">
        <v>0</v>
      </c>
      <c r="F14878" s="8">
        <v>1182</v>
      </c>
    </row>
    <row r="14879" spans="1:6" ht="12.75">
      <c r="A14879" s="8">
        <v>43898.005115740743</v>
      </c>
      <c r="B14879" s="8" t="str">
        <f>HYPERLINK("https://twitter.com/AgungWidrajat","@AgungWidrajat")</f>
        <v>@AgungWidrajat</v>
      </c>
      <c r="C14879" s="8" t="s">
        <v>6025</v>
      </c>
      <c r="D14879" s="8">
        <v>0</v>
      </c>
      <c r="E14879" s="8">
        <v>0</v>
      </c>
      <c r="F14879" s="8">
        <v>2311</v>
      </c>
    </row>
    <row r="14880" spans="1:6" ht="12.75">
      <c r="A14880" s="8">
        <v>43898.003900462965</v>
      </c>
      <c r="B14880" s="8" t="str">
        <f>HYPERLINK("https://twitter.com/veraagustian_","@veraagustian_")</f>
        <v>@veraagustian_</v>
      </c>
      <c r="C14880" s="8" t="s">
        <v>6026</v>
      </c>
      <c r="D14880" s="8">
        <v>10</v>
      </c>
      <c r="E14880" s="8">
        <v>0</v>
      </c>
      <c r="F14880" s="8">
        <v>3299</v>
      </c>
    </row>
    <row r="14881" spans="1:6" ht="12.75">
      <c r="A14881" s="8">
        <v>43898.003900462965</v>
      </c>
      <c r="B14881" s="8" t="str">
        <f>HYPERLINK("https://twitter.com/Danimas19","@Danimas19")</f>
        <v>@Danimas19</v>
      </c>
      <c r="C14881" s="8" t="s">
        <v>5714</v>
      </c>
      <c r="D14881" s="8">
        <v>2</v>
      </c>
      <c r="E14881" s="8">
        <v>0</v>
      </c>
      <c r="F14881" s="8">
        <v>108</v>
      </c>
    </row>
    <row r="14882" spans="1:6" ht="12.75">
      <c r="A14882" s="8">
        <v>43898.003680555557</v>
      </c>
      <c r="B14882" s="8" t="str">
        <f>HYPERLINK("https://twitter.com/qeren10","@qeren10")</f>
        <v>@qeren10</v>
      </c>
      <c r="C14882" s="8" t="s">
        <v>5080</v>
      </c>
      <c r="D14882" s="8">
        <v>44</v>
      </c>
      <c r="E14882" s="8">
        <v>0</v>
      </c>
      <c r="F14882" s="8">
        <v>41</v>
      </c>
    </row>
    <row r="14883" spans="1:6" ht="12.75">
      <c r="A14883" s="8">
        <v>43898.003680555557</v>
      </c>
      <c r="B14883" s="8" t="str">
        <f>HYPERLINK("https://twitter.com/Skahcahrien","@Skahcahrien")</f>
        <v>@Skahcahrien</v>
      </c>
      <c r="C14883" s="8" t="s">
        <v>6027</v>
      </c>
      <c r="D14883" s="8">
        <v>0</v>
      </c>
      <c r="E14883" s="8">
        <v>0</v>
      </c>
      <c r="F14883" s="8">
        <v>172</v>
      </c>
    </row>
    <row r="14884" spans="1:6" ht="12.75">
      <c r="A14884" s="8">
        <v>43898.003460648149</v>
      </c>
      <c r="B14884" s="8" t="str">
        <f>HYPERLINK("https://twitter.com/SriSudharmo","@SriSudharmo")</f>
        <v>@SriSudharmo</v>
      </c>
      <c r="C14884" s="8" t="s">
        <v>6028</v>
      </c>
      <c r="D14884" s="8">
        <v>0</v>
      </c>
      <c r="E14884" s="8">
        <v>0</v>
      </c>
      <c r="F14884" s="8">
        <v>2</v>
      </c>
    </row>
    <row r="14885" spans="1:6" ht="12.75">
      <c r="A14885" s="8">
        <v>43898.003344907411</v>
      </c>
      <c r="B14885" s="8" t="str">
        <f>HYPERLINK("https://twitter.com/pherasim","@pherasim")</f>
        <v>@pherasim</v>
      </c>
      <c r="C14885" s="8" t="s">
        <v>6029</v>
      </c>
      <c r="D14885" s="8">
        <v>29</v>
      </c>
      <c r="E14885" s="8">
        <v>0</v>
      </c>
      <c r="F14885" s="8">
        <v>262</v>
      </c>
    </row>
    <row r="14886" spans="1:6" ht="12.75">
      <c r="A14886" s="8">
        <v>43898.002685185187</v>
      </c>
      <c r="B14886" s="8" t="str">
        <f>HYPERLINK("https://twitter.com/Ichi_No_Kamae","@Ichi_No_Kamae")</f>
        <v>@Ichi_No_Kamae</v>
      </c>
      <c r="C14886" s="8" t="s">
        <v>4818</v>
      </c>
      <c r="D14886" s="8">
        <v>286</v>
      </c>
      <c r="E14886" s="8">
        <v>0</v>
      </c>
      <c r="F14886" s="8">
        <v>517</v>
      </c>
    </row>
    <row r="14887" spans="1:6" ht="12.75">
      <c r="A14887" s="8">
        <v>43898.001655092594</v>
      </c>
      <c r="B14887" s="8" t="str">
        <f>HYPERLINK("https://twitter.com/BillTemporo","@BillTemporo")</f>
        <v>@BillTemporo</v>
      </c>
      <c r="C14887" s="8" t="s">
        <v>323</v>
      </c>
      <c r="D14887" s="8">
        <v>0</v>
      </c>
      <c r="E14887" s="8">
        <v>0</v>
      </c>
      <c r="F14887" s="8">
        <v>11</v>
      </c>
    </row>
    <row r="14888" spans="1:6" ht="12.75">
      <c r="A14888" s="8">
        <v>43898.000879629632</v>
      </c>
      <c r="B14888" s="8" t="str">
        <f>HYPERLINK("https://twitter.com/dityapramanta","@dityapramanta")</f>
        <v>@dityapramanta</v>
      </c>
      <c r="C14888" s="8" t="s">
        <v>3978</v>
      </c>
      <c r="D14888" s="8">
        <v>21</v>
      </c>
      <c r="E14888" s="8">
        <v>0</v>
      </c>
      <c r="F14888" s="8">
        <v>47</v>
      </c>
    </row>
    <row r="14889" spans="1:6" ht="12.75">
      <c r="A14889" s="8">
        <v>43898</v>
      </c>
      <c r="B14889" s="8" t="str">
        <f>HYPERLINK("https://twitter.com/OfficialiNewsTV","@OfficialiNewsTV")</f>
        <v>@OfficialiNewsTV</v>
      </c>
      <c r="C14889" s="8" t="s">
        <v>6030</v>
      </c>
      <c r="D14889" s="8">
        <v>0</v>
      </c>
      <c r="E14889" s="8">
        <v>0</v>
      </c>
      <c r="F14889" s="8">
        <v>96619</v>
      </c>
    </row>
    <row r="14890" spans="1:6" ht="12.75">
      <c r="A14890" s="8">
        <v>43897.999386574069</v>
      </c>
      <c r="B14890" s="8" t="str">
        <f>HYPERLINK("https://twitter.com/sikamprets","@sikamprets")</f>
        <v>@sikamprets</v>
      </c>
      <c r="C14890" s="8" t="s">
        <v>6031</v>
      </c>
      <c r="D14890" s="8">
        <v>0</v>
      </c>
      <c r="E14890" s="8">
        <v>0</v>
      </c>
      <c r="F14890" s="8">
        <v>53</v>
      </c>
    </row>
    <row r="14891" spans="1:6" ht="12.75">
      <c r="A14891" s="8">
        <v>43897.998148148152</v>
      </c>
      <c r="B14891" s="8" t="str">
        <f>HYPERLINK("https://twitter.com/budhartono","@budhartono")</f>
        <v>@budhartono</v>
      </c>
      <c r="C14891" s="8" t="s">
        <v>5080</v>
      </c>
      <c r="D14891" s="8">
        <v>44</v>
      </c>
      <c r="E14891" s="8">
        <v>0</v>
      </c>
      <c r="F14891" s="8">
        <v>550</v>
      </c>
    </row>
    <row r="14892" spans="1:6" ht="12.75">
      <c r="A14892" s="8">
        <v>43897.998124999998</v>
      </c>
      <c r="B14892" s="8" t="str">
        <f>HYPERLINK("https://twitter.com/Ayah_Nahl","@Ayah_Nahl")</f>
        <v>@Ayah_Nahl</v>
      </c>
      <c r="C14892" s="8" t="s">
        <v>5486</v>
      </c>
      <c r="D14892" s="8">
        <v>30</v>
      </c>
      <c r="E14892" s="8">
        <v>0</v>
      </c>
      <c r="F14892" s="8">
        <v>1664</v>
      </c>
    </row>
    <row r="14893" spans="1:6" ht="12.75">
      <c r="A14893" s="8">
        <v>43897.997916666667</v>
      </c>
      <c r="B14893" s="8" t="str">
        <f>HYPERLINK("https://twitter.com/cakrabirawa186","@cakrabirawa186")</f>
        <v>@cakrabirawa186</v>
      </c>
      <c r="C14893" s="8" t="s">
        <v>5778</v>
      </c>
      <c r="D14893" s="8">
        <v>9</v>
      </c>
      <c r="E14893" s="8">
        <v>0</v>
      </c>
      <c r="F14893" s="8">
        <v>1043</v>
      </c>
    </row>
    <row r="14894" spans="1:6" ht="12.75">
      <c r="A14894" s="8">
        <v>43897.997256944444</v>
      </c>
      <c r="B14894" s="8" t="str">
        <f>HYPERLINK("https://twitter.com/Bless1ndONEsia","@Bless1ndONEsia")</f>
        <v>@Bless1ndONEsia</v>
      </c>
      <c r="C14894" s="8" t="s">
        <v>3213</v>
      </c>
      <c r="D14894" s="8">
        <v>329</v>
      </c>
      <c r="E14894" s="8">
        <v>0</v>
      </c>
      <c r="F14894" s="8">
        <v>1938</v>
      </c>
    </row>
    <row r="14895" spans="1:6" ht="12.75">
      <c r="A14895" s="8">
        <v>43897.995856481481</v>
      </c>
      <c r="B14895" s="8" t="str">
        <f>HYPERLINK("https://twitter.com/KBhimasena","@KBhimasena")</f>
        <v>@KBhimasena</v>
      </c>
      <c r="C14895" s="8" t="s">
        <v>422</v>
      </c>
      <c r="D14895" s="8">
        <v>1613</v>
      </c>
      <c r="E14895" s="8">
        <v>0</v>
      </c>
      <c r="F14895" s="8">
        <v>14</v>
      </c>
    </row>
    <row r="14896" spans="1:6" ht="12.75">
      <c r="A14896" s="8">
        <v>43897.994537037041</v>
      </c>
      <c r="B14896" s="8" t="str">
        <f>HYPERLINK("https://twitter.com/paimo65","@paimo65")</f>
        <v>@paimo65</v>
      </c>
      <c r="C14896" s="8" t="s">
        <v>5778</v>
      </c>
      <c r="D14896" s="8">
        <v>9</v>
      </c>
      <c r="E14896" s="8">
        <v>0</v>
      </c>
      <c r="F14896" s="8">
        <v>496</v>
      </c>
    </row>
    <row r="14897" spans="1:6" ht="12.75">
      <c r="A14897" s="8">
        <v>43897.994270833333</v>
      </c>
      <c r="B14897" s="8" t="str">
        <f>HYPERLINK("https://twitter.com/indra13969604","@indra13969604")</f>
        <v>@indra13969604</v>
      </c>
      <c r="C14897" s="8" t="s">
        <v>3743</v>
      </c>
      <c r="D14897" s="8">
        <v>693</v>
      </c>
      <c r="E14897" s="8">
        <v>0</v>
      </c>
      <c r="F14897" s="8">
        <v>14</v>
      </c>
    </row>
    <row r="14898" spans="1:6" ht="12.75">
      <c r="A14898" s="8">
        <v>43897.99418981481</v>
      </c>
      <c r="B14898" s="8" t="str">
        <f>HYPERLINK("https://twitter.com/pamungkas82","@pamungkas82")</f>
        <v>@pamungkas82</v>
      </c>
      <c r="C14898" s="8" t="s">
        <v>3265</v>
      </c>
      <c r="D14898" s="8">
        <v>57</v>
      </c>
      <c r="E14898" s="8">
        <v>0</v>
      </c>
      <c r="F14898" s="8">
        <v>1248</v>
      </c>
    </row>
    <row r="14899" spans="1:6" ht="12.75">
      <c r="A14899" s="8">
        <v>43897.994120370371</v>
      </c>
      <c r="B14899" s="8" t="str">
        <f>HYPERLINK("https://twitter.com/Andikapulung","@Andikapulung")</f>
        <v>@Andikapulung</v>
      </c>
      <c r="C14899" s="8" t="s">
        <v>6032</v>
      </c>
      <c r="D14899" s="8">
        <v>0</v>
      </c>
      <c r="E14899" s="8">
        <v>0</v>
      </c>
      <c r="F14899" s="8">
        <v>817</v>
      </c>
    </row>
    <row r="14900" spans="1:6" ht="12.75">
      <c r="A14900" s="8">
        <v>43897.993750000001</v>
      </c>
      <c r="B14900" s="8" t="str">
        <f>HYPERLINK("https://twitter.com/SNA110_","@SNA110_")</f>
        <v>@SNA110_</v>
      </c>
      <c r="C14900" s="8" t="s">
        <v>6033</v>
      </c>
      <c r="D14900" s="8">
        <v>4</v>
      </c>
      <c r="E14900" s="8">
        <v>0</v>
      </c>
      <c r="F14900" s="8">
        <v>755</v>
      </c>
    </row>
    <row r="14901" spans="1:6" ht="12.75">
      <c r="A14901" s="8">
        <v>43897.993414351848</v>
      </c>
      <c r="B14901" s="8" t="str">
        <f t="shared" ref="B14901:B14902" si="223">HYPERLINK("https://twitter.com/KBRIBaghdad","@KBRIBaghdad")</f>
        <v>@KBRIBaghdad</v>
      </c>
      <c r="C14901" s="8" t="s">
        <v>2116</v>
      </c>
      <c r="D14901" s="8">
        <v>71</v>
      </c>
      <c r="E14901" s="8">
        <v>0</v>
      </c>
      <c r="F14901" s="8">
        <v>484</v>
      </c>
    </row>
    <row r="14902" spans="1:6" ht="12.75">
      <c r="A14902" s="8">
        <v>43897.992893518516</v>
      </c>
      <c r="B14902" s="8" t="str">
        <f t="shared" si="223"/>
        <v>@KBRIBaghdad</v>
      </c>
      <c r="C14902" s="8" t="s">
        <v>1376</v>
      </c>
      <c r="D14902" s="8">
        <v>45</v>
      </c>
      <c r="E14902" s="8">
        <v>0</v>
      </c>
      <c r="F14902" s="8">
        <v>484</v>
      </c>
    </row>
    <row r="14903" spans="1:6" ht="12.75">
      <c r="A14903" s="8">
        <v>43897.992754629631</v>
      </c>
      <c r="B14903" s="8" t="str">
        <f>HYPERLINK("https://twitter.com/adhirodriguez","@adhirodriguez")</f>
        <v>@adhirodriguez</v>
      </c>
      <c r="C14903" s="8" t="s">
        <v>4818</v>
      </c>
      <c r="D14903" s="8">
        <v>286</v>
      </c>
      <c r="E14903" s="8">
        <v>0</v>
      </c>
      <c r="F14903" s="8">
        <v>311</v>
      </c>
    </row>
    <row r="14904" spans="1:6" ht="12.75">
      <c r="A14904" s="8">
        <v>43897.992685185185</v>
      </c>
      <c r="B14904" s="8" t="str">
        <f>HYPERLINK("https://twitter.com/UwuNayy_","@UwuNayy_")</f>
        <v>@UwuNayy_</v>
      </c>
      <c r="C14904" s="8" t="s">
        <v>6034</v>
      </c>
      <c r="D14904" s="8">
        <v>0</v>
      </c>
      <c r="E14904" s="8">
        <v>1</v>
      </c>
      <c r="F14904" s="8">
        <v>1970</v>
      </c>
    </row>
    <row r="14905" spans="1:6" ht="12.75">
      <c r="A14905" s="8">
        <v>43897.992291666669</v>
      </c>
      <c r="B14905" s="8" t="str">
        <f>HYPERLINK("https://twitter.com/Shellahibono","@Shellahibono")</f>
        <v>@Shellahibono</v>
      </c>
      <c r="C14905" s="8" t="s">
        <v>4818</v>
      </c>
      <c r="D14905" s="8">
        <v>286</v>
      </c>
      <c r="E14905" s="8">
        <v>0</v>
      </c>
      <c r="F14905" s="8">
        <v>77</v>
      </c>
    </row>
    <row r="14906" spans="1:6" ht="12.75">
      <c r="A14906" s="8">
        <v>43897.991875</v>
      </c>
      <c r="B14906" s="8" t="str">
        <f>HYPERLINK("https://twitter.com/SemboyanR","@SemboyanR")</f>
        <v>@SemboyanR</v>
      </c>
      <c r="C14906" s="8" t="s">
        <v>3265</v>
      </c>
      <c r="D14906" s="8">
        <v>57</v>
      </c>
      <c r="E14906" s="8">
        <v>0</v>
      </c>
      <c r="F14906" s="8">
        <v>1309</v>
      </c>
    </row>
    <row r="14907" spans="1:6" ht="12.75">
      <c r="A14907" s="8">
        <v>43897.991562499999</v>
      </c>
      <c r="B14907" s="8" t="str">
        <f>HYPERLINK("https://twitter.com/mohzaenalarif13","@mohzaenalarif13")</f>
        <v>@mohzaenalarif13</v>
      </c>
      <c r="C14907" s="8" t="s">
        <v>4818</v>
      </c>
      <c r="D14907" s="8">
        <v>286</v>
      </c>
      <c r="E14907" s="8">
        <v>0</v>
      </c>
      <c r="F14907" s="8">
        <v>13</v>
      </c>
    </row>
    <row r="14908" spans="1:6" ht="12.75">
      <c r="A14908" s="8">
        <v>43897.99150462963</v>
      </c>
      <c r="B14908" s="8" t="str">
        <f>HYPERLINK("https://twitter.com/KBRIPanamaCity","@KBRIPanamaCity")</f>
        <v>@KBRIPanamaCity</v>
      </c>
      <c r="C14908" s="8" t="s">
        <v>4162</v>
      </c>
      <c r="D14908" s="8">
        <v>98</v>
      </c>
      <c r="E14908" s="8">
        <v>0</v>
      </c>
      <c r="F14908" s="8">
        <v>1292</v>
      </c>
    </row>
    <row r="14909" spans="1:6" ht="12.75">
      <c r="A14909" s="8">
        <v>43897.989675925928</v>
      </c>
      <c r="B14909" s="8" t="str">
        <f t="shared" ref="B14909:B14910" si="224">HYPERLINK("https://twitter.com/Rudyp1000","@Rudyp1000")</f>
        <v>@Rudyp1000</v>
      </c>
      <c r="C14909" s="8" t="s">
        <v>5486</v>
      </c>
      <c r="D14909" s="8">
        <v>30</v>
      </c>
      <c r="E14909" s="8">
        <v>0</v>
      </c>
      <c r="F14909" s="8">
        <v>166</v>
      </c>
    </row>
    <row r="14910" spans="1:6" ht="12.75">
      <c r="A14910" s="8">
        <v>43897.98945601852</v>
      </c>
      <c r="B14910" s="8" t="str">
        <f t="shared" si="224"/>
        <v>@Rudyp1000</v>
      </c>
      <c r="C14910" s="8" t="s">
        <v>5704</v>
      </c>
      <c r="D14910" s="8">
        <v>48</v>
      </c>
      <c r="E14910" s="8">
        <v>0</v>
      </c>
      <c r="F14910" s="8">
        <v>166</v>
      </c>
    </row>
    <row r="14911" spans="1:6" ht="12.75">
      <c r="A14911" s="8">
        <v>43897.988113425927</v>
      </c>
      <c r="B14911" s="8" t="str">
        <f>HYPERLINK("https://twitter.com/patheticsadboy","@patheticsadboy")</f>
        <v>@patheticsadboy</v>
      </c>
      <c r="C14911" s="8" t="s">
        <v>2199</v>
      </c>
      <c r="D14911" s="8">
        <v>9097</v>
      </c>
      <c r="E14911" s="8">
        <v>0</v>
      </c>
      <c r="F14911" s="8">
        <v>5</v>
      </c>
    </row>
    <row r="14912" spans="1:6" ht="12.75">
      <c r="A14912" s="8">
        <v>43897.988055555557</v>
      </c>
      <c r="B14912" s="8" t="str">
        <f>HYPERLINK("https://twitter.com/05panji2","@05panji2")</f>
        <v>@05panji2</v>
      </c>
      <c r="C14912" s="8" t="s">
        <v>6035</v>
      </c>
      <c r="D14912" s="8">
        <v>0</v>
      </c>
      <c r="E14912" s="8">
        <v>0</v>
      </c>
      <c r="F14912" s="8">
        <v>436</v>
      </c>
    </row>
    <row r="14913" spans="1:6" ht="12.75">
      <c r="A14913" s="8">
        <v>43897.987604166672</v>
      </c>
      <c r="B14913" s="8" t="str">
        <f>HYPERLINK("https://twitter.com/enjiluv","@enjiluv")</f>
        <v>@enjiluv</v>
      </c>
      <c r="C14913" s="8" t="s">
        <v>6036</v>
      </c>
      <c r="D14913" s="8">
        <v>0</v>
      </c>
      <c r="E14913" s="8">
        <v>0</v>
      </c>
      <c r="F14913" s="8">
        <v>540</v>
      </c>
    </row>
    <row r="14914" spans="1:6" ht="12.75">
      <c r="A14914" s="8">
        <v>43897.987442129626</v>
      </c>
      <c r="B14914" s="8" t="str">
        <f>HYPERLINK("https://twitter.com/SemaneiD","@SemaneiD")</f>
        <v>@SemaneiD</v>
      </c>
      <c r="C14914" s="8" t="s">
        <v>3265</v>
      </c>
      <c r="D14914" s="8">
        <v>57</v>
      </c>
      <c r="E14914" s="8">
        <v>0</v>
      </c>
      <c r="F14914" s="8">
        <v>522</v>
      </c>
    </row>
    <row r="14915" spans="1:6" ht="12.75">
      <c r="A14915" s="8">
        <v>43897.986932870372</v>
      </c>
      <c r="B14915" s="8" t="str">
        <f>HYPERLINK("https://twitter.com/SilitongaEfraim","@SilitongaEfraim")</f>
        <v>@SilitongaEfraim</v>
      </c>
      <c r="C14915" s="8" t="s">
        <v>4510</v>
      </c>
      <c r="D14915" s="8">
        <v>116</v>
      </c>
      <c r="E14915" s="8">
        <v>0</v>
      </c>
      <c r="F14915" s="8">
        <v>2105</v>
      </c>
    </row>
    <row r="14916" spans="1:6" ht="12.75">
      <c r="A14916" s="8">
        <v>43897.986562499995</v>
      </c>
      <c r="B14916" s="8" t="str">
        <f>HYPERLINK("https://twitter.com/24Bryant08","@24Bryant08")</f>
        <v>@24Bryant08</v>
      </c>
      <c r="C14916" s="8" t="s">
        <v>1376</v>
      </c>
      <c r="D14916" s="8">
        <v>45</v>
      </c>
      <c r="E14916" s="8">
        <v>0</v>
      </c>
      <c r="F14916" s="8">
        <v>560</v>
      </c>
    </row>
    <row r="14917" spans="1:6" ht="12.75">
      <c r="A14917" s="8">
        <v>43897.9840162037</v>
      </c>
      <c r="B14917" s="8" t="str">
        <f>HYPERLINK("https://twitter.com/Jojo_Entis","@Jojo_Entis")</f>
        <v>@Jojo_Entis</v>
      </c>
      <c r="C14917" s="8" t="s">
        <v>5080</v>
      </c>
      <c r="D14917" s="8">
        <v>44</v>
      </c>
      <c r="E14917" s="8">
        <v>0</v>
      </c>
      <c r="F14917" s="8">
        <v>130</v>
      </c>
    </row>
    <row r="14918" spans="1:6" ht="12.75">
      <c r="A14918" s="8">
        <v>43897.983680555553</v>
      </c>
      <c r="B14918" s="8" t="str">
        <f>HYPERLINK("https://twitter.com/sanguan0709","@sanguan0709")</f>
        <v>@sanguan0709</v>
      </c>
      <c r="C14918" s="8" t="s">
        <v>3743</v>
      </c>
      <c r="D14918" s="8">
        <v>693</v>
      </c>
      <c r="E14918" s="8">
        <v>0</v>
      </c>
      <c r="F14918" s="8">
        <v>943</v>
      </c>
    </row>
    <row r="14919" spans="1:6" ht="12.75">
      <c r="A14919" s="8">
        <v>43897.983217592591</v>
      </c>
      <c r="B14919" s="8" t="str">
        <f>HYPERLINK("https://twitter.com/juliatywahab","@juliatywahab")</f>
        <v>@juliatywahab</v>
      </c>
      <c r="C14919" s="8" t="s">
        <v>3213</v>
      </c>
      <c r="D14919" s="8">
        <v>329</v>
      </c>
      <c r="E14919" s="8">
        <v>0</v>
      </c>
      <c r="F14919" s="8">
        <v>758</v>
      </c>
    </row>
    <row r="14920" spans="1:6" ht="12.75">
      <c r="A14920" s="8">
        <v>43897.983194444445</v>
      </c>
      <c r="B14920" s="8" t="str">
        <f>HYPERLINK("https://twitter.com/langitb9393","@langitb9393")</f>
        <v>@langitb9393</v>
      </c>
      <c r="C14920" s="8" t="s">
        <v>3265</v>
      </c>
      <c r="D14920" s="8">
        <v>57</v>
      </c>
      <c r="E14920" s="8">
        <v>0</v>
      </c>
      <c r="F14920" s="8">
        <v>401</v>
      </c>
    </row>
    <row r="14921" spans="1:6" ht="12.75">
      <c r="A14921" s="8">
        <v>43897.983078703706</v>
      </c>
      <c r="B14921" s="8" t="str">
        <f>HYPERLINK("https://twitter.com/YoshuaHtglng","@YoshuaHtglng")</f>
        <v>@YoshuaHtglng</v>
      </c>
      <c r="C14921" s="8" t="s">
        <v>5080</v>
      </c>
      <c r="D14921" s="8">
        <v>44</v>
      </c>
      <c r="E14921" s="8">
        <v>0</v>
      </c>
      <c r="F14921" s="8">
        <v>331</v>
      </c>
    </row>
    <row r="14922" spans="1:6" ht="12.75">
      <c r="A14922" s="8">
        <v>43897.982986111107</v>
      </c>
      <c r="B14922" s="8" t="str">
        <f>HYPERLINK("https://twitter.com/Mr692142","@Mr692142")</f>
        <v>@Mr692142</v>
      </c>
      <c r="C14922" s="8" t="s">
        <v>5080</v>
      </c>
      <c r="D14922" s="8">
        <v>44</v>
      </c>
      <c r="E14922" s="8">
        <v>0</v>
      </c>
      <c r="F14922" s="8">
        <v>42</v>
      </c>
    </row>
    <row r="14923" spans="1:6" ht="12.75">
      <c r="A14923" s="8">
        <v>43897.982835648145</v>
      </c>
      <c r="B14923" s="8" t="str">
        <f>HYPERLINK("https://twitter.com/putrimoly","@putrimoly")</f>
        <v>@putrimoly</v>
      </c>
      <c r="C14923" s="8" t="s">
        <v>6012</v>
      </c>
      <c r="D14923" s="8">
        <v>1</v>
      </c>
      <c r="E14923" s="8">
        <v>0</v>
      </c>
      <c r="F14923" s="8">
        <v>133</v>
      </c>
    </row>
    <row r="14924" spans="1:6" ht="12.75">
      <c r="A14924" s="8">
        <v>43897.982719907406</v>
      </c>
      <c r="B14924" s="8" t="str">
        <f>HYPERLINK("https://twitter.com/Firdaus_wsb","@Firdaus_wsb")</f>
        <v>@Firdaus_wsb</v>
      </c>
      <c r="C14924" s="8" t="s">
        <v>4818</v>
      </c>
      <c r="D14924" s="8">
        <v>286</v>
      </c>
      <c r="E14924" s="8">
        <v>0</v>
      </c>
      <c r="F14924" s="8">
        <v>321</v>
      </c>
    </row>
    <row r="14925" spans="1:6" ht="12.75">
      <c r="A14925" s="8">
        <v>43897.982418981483</v>
      </c>
      <c r="B14925" s="8" t="str">
        <f>HYPERLINK("https://twitter.com/UrubingDilah","@UrubingDilah")</f>
        <v>@UrubingDilah</v>
      </c>
      <c r="C14925" s="8" t="s">
        <v>5704</v>
      </c>
      <c r="D14925" s="8">
        <v>48</v>
      </c>
      <c r="E14925" s="8">
        <v>0</v>
      </c>
      <c r="F14925" s="8">
        <v>1377</v>
      </c>
    </row>
    <row r="14926" spans="1:6" ht="12.75">
      <c r="A14926" s="8">
        <v>43897.98164351852</v>
      </c>
      <c r="B14926" s="8" t="str">
        <f>HYPERLINK("https://twitter.com/tommyjunaedi","@tommyjunaedi")</f>
        <v>@tommyjunaedi</v>
      </c>
      <c r="C14926" s="8" t="s">
        <v>5080</v>
      </c>
      <c r="D14926" s="8">
        <v>44</v>
      </c>
      <c r="E14926" s="8">
        <v>0</v>
      </c>
      <c r="F14926" s="8">
        <v>286</v>
      </c>
    </row>
    <row r="14927" spans="1:6" ht="12.75">
      <c r="A14927" s="8">
        <v>43897.981400462959</v>
      </c>
      <c r="B14927" s="8" t="str">
        <f>HYPERLINK("https://twitter.com/ssuryoseptono","@ssuryoseptono")</f>
        <v>@ssuryoseptono</v>
      </c>
      <c r="C14927" s="8" t="s">
        <v>5714</v>
      </c>
      <c r="D14927" s="8">
        <v>2</v>
      </c>
      <c r="E14927" s="8">
        <v>0</v>
      </c>
      <c r="F14927" s="8">
        <v>1403</v>
      </c>
    </row>
    <row r="14928" spans="1:6" ht="12.75">
      <c r="A14928" s="8">
        <v>43897.981307870374</v>
      </c>
      <c r="B14928" s="8" t="str">
        <f>HYPERLINK("https://twitter.com/SutrisnoYohanes","@SutrisnoYohanes")</f>
        <v>@SutrisnoYohanes</v>
      </c>
      <c r="C14928" s="8" t="s">
        <v>5080</v>
      </c>
      <c r="D14928" s="8">
        <v>44</v>
      </c>
      <c r="E14928" s="8">
        <v>0</v>
      </c>
      <c r="F14928" s="8">
        <v>4969</v>
      </c>
    </row>
    <row r="14929" spans="1:6" ht="12.75">
      <c r="A14929" s="8">
        <v>43897.980995370366</v>
      </c>
      <c r="B14929" s="8" t="str">
        <f>HYPERLINK("https://twitter.com/Putra_Sangihe","@Putra_Sangihe")</f>
        <v>@Putra_Sangihe</v>
      </c>
      <c r="C14929" s="8" t="s">
        <v>6037</v>
      </c>
      <c r="D14929" s="8">
        <v>2</v>
      </c>
      <c r="E14929" s="8">
        <v>1</v>
      </c>
      <c r="F14929" s="8">
        <v>2382</v>
      </c>
    </row>
    <row r="14930" spans="1:6" ht="12.75">
      <c r="A14930" s="8">
        <v>43897.980810185181</v>
      </c>
      <c r="B14930" s="8" t="str">
        <f>HYPERLINK("https://twitter.com/BillTemporo","@BillTemporo")</f>
        <v>@BillTemporo</v>
      </c>
      <c r="C14930" s="8" t="s">
        <v>355</v>
      </c>
      <c r="D14930" s="8">
        <v>0</v>
      </c>
      <c r="E14930" s="8">
        <v>0</v>
      </c>
      <c r="F14930" s="8">
        <v>11</v>
      </c>
    </row>
    <row r="14931" spans="1:6" ht="12.75">
      <c r="A14931" s="8">
        <v>43897.980636574073</v>
      </c>
      <c r="B14931" s="8" t="str">
        <f>HYPERLINK("https://twitter.com/ReiMiechi99","@ReiMiechi99")</f>
        <v>@ReiMiechi99</v>
      </c>
      <c r="C14931" s="8" t="s">
        <v>6038</v>
      </c>
      <c r="D14931" s="8">
        <v>0</v>
      </c>
      <c r="E14931" s="8">
        <v>1</v>
      </c>
      <c r="F14931" s="8">
        <v>76</v>
      </c>
    </row>
    <row r="14932" spans="1:6" ht="12.75">
      <c r="A14932" s="8">
        <v>43897.980578703704</v>
      </c>
      <c r="B14932" s="8" t="str">
        <f>HYPERLINK("https://twitter.com/nadiaprd98","@nadiaprd98")</f>
        <v>@nadiaprd98</v>
      </c>
      <c r="C14932" s="8" t="s">
        <v>3978</v>
      </c>
      <c r="D14932" s="8">
        <v>21</v>
      </c>
      <c r="E14932" s="8">
        <v>0</v>
      </c>
      <c r="F14932" s="8">
        <v>307</v>
      </c>
    </row>
    <row r="14933" spans="1:6" ht="12.75">
      <c r="A14933" s="8">
        <v>43897.980474537035</v>
      </c>
      <c r="B14933" s="8" t="str">
        <f>HYPERLINK("https://twitter.com/dwiastnured","@dwiastnured")</f>
        <v>@dwiastnured</v>
      </c>
      <c r="C14933" s="8" t="s">
        <v>6039</v>
      </c>
      <c r="D14933" s="8">
        <v>4</v>
      </c>
      <c r="E14933" s="8">
        <v>0</v>
      </c>
      <c r="F14933" s="8">
        <v>34</v>
      </c>
    </row>
    <row r="14934" spans="1:6" ht="12.75">
      <c r="A14934" s="8">
        <v>43897.980231481481</v>
      </c>
      <c r="B14934" s="8" t="str">
        <f>HYPERLINK("https://twitter.com/Info_Tidung","@Info_Tidung")</f>
        <v>@Info_Tidung</v>
      </c>
      <c r="C14934" s="8" t="s">
        <v>6040</v>
      </c>
      <c r="D14934" s="8">
        <v>0</v>
      </c>
      <c r="E14934" s="8">
        <v>0</v>
      </c>
      <c r="F14934" s="8">
        <v>126</v>
      </c>
    </row>
    <row r="14935" spans="1:6" ht="12.75">
      <c r="A14935" s="8">
        <v>43897.979479166665</v>
      </c>
      <c r="B14935" s="8" t="str">
        <f>HYPERLINK("https://twitter.com/sirodjudin01","@sirodjudin01")</f>
        <v>@sirodjudin01</v>
      </c>
      <c r="C14935" s="8" t="s">
        <v>5080</v>
      </c>
      <c r="D14935" s="8">
        <v>44</v>
      </c>
      <c r="E14935" s="8">
        <v>0</v>
      </c>
      <c r="F14935" s="8">
        <v>8355</v>
      </c>
    </row>
    <row r="14936" spans="1:6" ht="12.75">
      <c r="A14936" s="8">
        <v>43897.978854166664</v>
      </c>
      <c r="B14936" s="8" t="str">
        <f>HYPERLINK("https://twitter.com/swandywidjaja06","@swandywidjaja06")</f>
        <v>@swandywidjaja06</v>
      </c>
      <c r="C14936" s="8" t="s">
        <v>5486</v>
      </c>
      <c r="D14936" s="8">
        <v>30</v>
      </c>
      <c r="E14936" s="8">
        <v>0</v>
      </c>
      <c r="F14936" s="8">
        <v>256</v>
      </c>
    </row>
    <row r="14937" spans="1:6" ht="12.75">
      <c r="A14937" s="8">
        <v>43897.978715277779</v>
      </c>
      <c r="B14937" s="8" t="str">
        <f>HYPERLINK("https://twitter.com/joyoisworo","@joyoisworo")</f>
        <v>@joyoisworo</v>
      </c>
      <c r="C14937" s="8" t="s">
        <v>6041</v>
      </c>
      <c r="D14937" s="8">
        <v>0</v>
      </c>
      <c r="E14937" s="8">
        <v>0</v>
      </c>
      <c r="F14937" s="8">
        <v>359</v>
      </c>
    </row>
    <row r="14938" spans="1:6" ht="12.75">
      <c r="A14938" s="8">
        <v>43897.978692129633</v>
      </c>
      <c r="B14938" s="8" t="str">
        <f>HYPERLINK("https://twitter.com/gulamaniezz","@gulamaniezz")</f>
        <v>@gulamaniezz</v>
      </c>
      <c r="C14938" s="8" t="s">
        <v>1986</v>
      </c>
      <c r="D14938" s="8">
        <v>878</v>
      </c>
      <c r="E14938" s="8">
        <v>0</v>
      </c>
      <c r="F14938" s="8">
        <v>274</v>
      </c>
    </row>
    <row r="14939" spans="1:6" ht="12.75">
      <c r="A14939" s="8">
        <v>43897.978622685187</v>
      </c>
      <c r="B14939" s="8" t="str">
        <f>HYPERLINK("https://twitter.com/evanprbs","@evanprbs")</f>
        <v>@evanprbs</v>
      </c>
      <c r="C14939" s="8" t="s">
        <v>3213</v>
      </c>
      <c r="D14939" s="8">
        <v>329</v>
      </c>
      <c r="E14939" s="8">
        <v>0</v>
      </c>
      <c r="F14939" s="8">
        <v>56</v>
      </c>
    </row>
    <row r="14940" spans="1:6" ht="12.75">
      <c r="A14940" s="8">
        <v>43897.978599537033</v>
      </c>
      <c r="B14940" s="8" t="str">
        <f>HYPERLINK("https://twitter.com/sirodjudin01","@sirodjudin01")</f>
        <v>@sirodjudin01</v>
      </c>
      <c r="C14940" s="8" t="s">
        <v>5778</v>
      </c>
      <c r="D14940" s="8">
        <v>9</v>
      </c>
      <c r="E14940" s="8">
        <v>0</v>
      </c>
      <c r="F14940" s="8">
        <v>8355</v>
      </c>
    </row>
    <row r="14941" spans="1:6" ht="12.75">
      <c r="A14941" s="8">
        <v>43897.978541666671</v>
      </c>
      <c r="B14941" s="8" t="str">
        <f>HYPERLINK("https://twitter.com/miftah_abdi","@miftah_abdi")</f>
        <v>@miftah_abdi</v>
      </c>
      <c r="C14941" s="8" t="s">
        <v>6042</v>
      </c>
      <c r="D14941" s="8">
        <v>1</v>
      </c>
      <c r="E14941" s="8">
        <v>6</v>
      </c>
      <c r="F14941" s="8">
        <v>122</v>
      </c>
    </row>
    <row r="14942" spans="1:6" ht="12.75">
      <c r="A14942" s="8">
        <v>43897.977997685186</v>
      </c>
      <c r="B14942" s="8" t="str">
        <f>HYPERLINK("https://twitter.com/UrubingDilah","@UrubingDilah")</f>
        <v>@UrubingDilah</v>
      </c>
      <c r="C14942" s="8" t="s">
        <v>5778</v>
      </c>
      <c r="D14942" s="8">
        <v>9</v>
      </c>
      <c r="E14942" s="8">
        <v>0</v>
      </c>
      <c r="F14942" s="8">
        <v>1377</v>
      </c>
    </row>
    <row r="14943" spans="1:6" ht="12.75">
      <c r="A14943" s="8">
        <v>43897.977962962963</v>
      </c>
      <c r="B14943" s="8" t="str">
        <f>HYPERLINK("https://twitter.com/RAdinu_","@RAdinu_")</f>
        <v>@RAdinu_</v>
      </c>
      <c r="C14943" s="8" t="s">
        <v>593</v>
      </c>
      <c r="D14943" s="8">
        <v>490</v>
      </c>
      <c r="E14943" s="8">
        <v>0</v>
      </c>
      <c r="F14943" s="8">
        <v>59</v>
      </c>
    </row>
    <row r="14944" spans="1:6" ht="12.75">
      <c r="A14944" s="8">
        <v>43897.977696759262</v>
      </c>
      <c r="B14944" s="8" t="str">
        <f>HYPERLINK("https://twitter.com/andi_lalaa","@andi_lalaa")</f>
        <v>@andi_lalaa</v>
      </c>
      <c r="C14944" s="8" t="s">
        <v>3265</v>
      </c>
      <c r="D14944" s="8">
        <v>57</v>
      </c>
      <c r="E14944" s="8">
        <v>0</v>
      </c>
      <c r="F14944" s="8">
        <v>907</v>
      </c>
    </row>
    <row r="14945" spans="1:6" ht="12.75">
      <c r="A14945" s="8">
        <v>43897.977164351847</v>
      </c>
      <c r="B14945" s="8" t="str">
        <f>HYPERLINK("https://twitter.com/MahinFatavit","@MahinFatavit")</f>
        <v>@MahinFatavit</v>
      </c>
      <c r="C14945" s="8" t="s">
        <v>5486</v>
      </c>
      <c r="D14945" s="8">
        <v>30</v>
      </c>
      <c r="E14945" s="8">
        <v>0</v>
      </c>
      <c r="F14945" s="8">
        <v>6059</v>
      </c>
    </row>
    <row r="14946" spans="1:6" ht="12.75">
      <c r="A14946" s="8">
        <v>43897.976990740739</v>
      </c>
      <c r="B14946" s="8" t="str">
        <f>HYPERLINK("https://twitter.com/KienAnd_","@KienAnd_")</f>
        <v>@KienAnd_</v>
      </c>
      <c r="C14946" s="8" t="s">
        <v>6043</v>
      </c>
      <c r="D14946" s="8">
        <v>0</v>
      </c>
      <c r="E14946" s="8">
        <v>0</v>
      </c>
      <c r="F14946" s="8">
        <v>13680</v>
      </c>
    </row>
    <row r="14947" spans="1:6" ht="12.75">
      <c r="A14947" s="8">
        <v>43897.976446759261</v>
      </c>
      <c r="B14947" s="8" t="str">
        <f>HYPERLINK("https://twitter.com/eizanfolks","@eizanfolks")</f>
        <v>@eizanfolks</v>
      </c>
      <c r="C14947" s="8" t="s">
        <v>5778</v>
      </c>
      <c r="D14947" s="8">
        <v>9</v>
      </c>
      <c r="E14947" s="8">
        <v>0</v>
      </c>
      <c r="F14947" s="8">
        <v>8922</v>
      </c>
    </row>
    <row r="14948" spans="1:6" ht="12.75">
      <c r="A14948" s="8">
        <v>43897.976030092592</v>
      </c>
      <c r="B14948" s="8" t="str">
        <f>HYPERLINK("https://twitter.com/NES40135128","@NES40135128")</f>
        <v>@NES40135128</v>
      </c>
      <c r="C14948" s="8" t="s">
        <v>5080</v>
      </c>
      <c r="D14948" s="8">
        <v>44</v>
      </c>
      <c r="E14948" s="8">
        <v>0</v>
      </c>
      <c r="F14948" s="8">
        <v>1169</v>
      </c>
    </row>
    <row r="14949" spans="1:6" ht="12.75">
      <c r="A14949" s="8">
        <v>43897.975370370375</v>
      </c>
      <c r="B14949" s="8" t="str">
        <f>HYPERLINK("https://twitter.com/FaqihWahyudin","@FaqihWahyudin")</f>
        <v>@FaqihWahyudin</v>
      </c>
      <c r="C14949" s="8" t="s">
        <v>3265</v>
      </c>
      <c r="D14949" s="8">
        <v>57</v>
      </c>
      <c r="E14949" s="8">
        <v>0</v>
      </c>
      <c r="F14949" s="8">
        <v>62</v>
      </c>
    </row>
    <row r="14950" spans="1:6" ht="12.75">
      <c r="A14950" s="8">
        <v>43897.975312499999</v>
      </c>
      <c r="B14950" s="8" t="str">
        <f>HYPERLINK("https://twitter.com/Djanoer_Koening","@Djanoer_Koening")</f>
        <v>@Djanoer_Koening</v>
      </c>
      <c r="C14950" s="8" t="s">
        <v>6044</v>
      </c>
      <c r="D14950" s="8">
        <v>0</v>
      </c>
      <c r="E14950" s="8">
        <v>0</v>
      </c>
      <c r="F14950" s="8">
        <v>43</v>
      </c>
    </row>
    <row r="14951" spans="1:6" ht="12.75">
      <c r="A14951" s="8">
        <v>43897.974733796298</v>
      </c>
      <c r="B14951" s="8" t="str">
        <f>HYPERLINK("https://twitter.com/Ben_smj","@Ben_smj")</f>
        <v>@Ben_smj</v>
      </c>
      <c r="C14951" s="8" t="s">
        <v>3213</v>
      </c>
      <c r="D14951" s="8">
        <v>329</v>
      </c>
      <c r="E14951" s="8">
        <v>0</v>
      </c>
      <c r="F14951" s="8">
        <v>104</v>
      </c>
    </row>
    <row r="14952" spans="1:6" ht="12.75">
      <c r="A14952" s="8">
        <v>43897.974710648152</v>
      </c>
      <c r="B14952" s="8" t="str">
        <f>HYPERLINK("https://twitter.com/jjsengui","@jjsengui")</f>
        <v>@jjsengui</v>
      </c>
      <c r="C14952" s="8" t="s">
        <v>5778</v>
      </c>
      <c r="D14952" s="8">
        <v>9</v>
      </c>
      <c r="E14952" s="8">
        <v>0</v>
      </c>
      <c r="F14952" s="8">
        <v>920</v>
      </c>
    </row>
    <row r="14953" spans="1:6" ht="12.75">
      <c r="A14953" s="8">
        <v>43897.974351851852</v>
      </c>
      <c r="B14953" s="8" t="str">
        <f>HYPERLINK("https://twitter.com/cakrabirawa186","@cakrabirawa186")</f>
        <v>@cakrabirawa186</v>
      </c>
      <c r="C14953" s="8" t="s">
        <v>6045</v>
      </c>
      <c r="D14953" s="8">
        <v>0</v>
      </c>
      <c r="E14953" s="8">
        <v>0</v>
      </c>
      <c r="F14953" s="8">
        <v>1043</v>
      </c>
    </row>
    <row r="14954" spans="1:6" ht="12.75">
      <c r="A14954" s="8">
        <v>43897.974085648151</v>
      </c>
      <c r="B14954" s="8" t="str">
        <f>HYPERLINK("https://twitter.com/Rutengpos","@Rutengpos")</f>
        <v>@Rutengpos</v>
      </c>
      <c r="C14954" s="8" t="s">
        <v>6046</v>
      </c>
      <c r="D14954" s="8">
        <v>0</v>
      </c>
      <c r="E14954" s="8">
        <v>0</v>
      </c>
      <c r="F14954" s="8">
        <v>1239</v>
      </c>
    </row>
    <row r="14955" spans="1:6" ht="12.75">
      <c r="A14955" s="8">
        <v>43897.973449074074</v>
      </c>
      <c r="B14955" s="8" t="str">
        <f>HYPERLINK("https://twitter.com/Cogan_4Gh1","@Cogan_4Gh1")</f>
        <v>@Cogan_4Gh1</v>
      </c>
      <c r="C14955" s="8" t="s">
        <v>3265</v>
      </c>
      <c r="D14955" s="8">
        <v>57</v>
      </c>
      <c r="E14955" s="8">
        <v>0</v>
      </c>
      <c r="F14955" s="8">
        <v>275</v>
      </c>
    </row>
    <row r="14956" spans="1:6" ht="12.75">
      <c r="A14956" s="8">
        <v>43897.972650462965</v>
      </c>
      <c r="B14956" s="8" t="str">
        <f>HYPERLINK("https://twitter.com/TeraAbbu1","@TeraAbbu1")</f>
        <v>@TeraAbbu1</v>
      </c>
      <c r="C14956" s="8" t="s">
        <v>6047</v>
      </c>
      <c r="D14956" s="8">
        <v>0</v>
      </c>
      <c r="E14956" s="8">
        <v>1</v>
      </c>
      <c r="F14956" s="8">
        <v>5</v>
      </c>
    </row>
    <row r="14957" spans="1:6" ht="12.75">
      <c r="A14957" s="8">
        <v>43897.972152777773</v>
      </c>
      <c r="B14957" s="8" t="str">
        <f>HYPERLINK("https://twitter.com/Alfurqon291989","@Alfurqon291989")</f>
        <v>@Alfurqon291989</v>
      </c>
      <c r="C14957" s="8" t="s">
        <v>3265</v>
      </c>
      <c r="D14957" s="8">
        <v>57</v>
      </c>
      <c r="E14957" s="8">
        <v>0</v>
      </c>
      <c r="F14957" s="8">
        <v>349</v>
      </c>
    </row>
    <row r="14958" spans="1:6" ht="12.75">
      <c r="A14958" s="8">
        <v>43897.971585648149</v>
      </c>
      <c r="B14958" s="8" t="str">
        <f>HYPERLINK("https://twitter.com/djonnier","@djonnier")</f>
        <v>@djonnier</v>
      </c>
      <c r="C14958" s="8" t="s">
        <v>5080</v>
      </c>
      <c r="D14958" s="8">
        <v>44</v>
      </c>
      <c r="E14958" s="8">
        <v>0</v>
      </c>
      <c r="F14958" s="8">
        <v>200</v>
      </c>
    </row>
    <row r="14959" spans="1:6" ht="12.75">
      <c r="A14959" s="8">
        <v>43897.97142361111</v>
      </c>
      <c r="B14959" s="8" t="str">
        <f>HYPERLINK("https://twitter.com/_ongshimi_","@_ongshimi_")</f>
        <v>@_ongshimi_</v>
      </c>
      <c r="C14959" s="8" t="s">
        <v>6048</v>
      </c>
      <c r="D14959" s="8">
        <v>0</v>
      </c>
      <c r="E14959" s="8">
        <v>0</v>
      </c>
      <c r="F14959" s="8">
        <v>228</v>
      </c>
    </row>
    <row r="14960" spans="1:6" ht="12.75">
      <c r="A14960" s="8">
        <v>43897.971342592587</v>
      </c>
      <c r="B14960" s="8" t="str">
        <f>HYPERLINK("https://twitter.com/aryobm_mufc","@aryobm_mufc")</f>
        <v>@aryobm_mufc</v>
      </c>
      <c r="C14960" s="8" t="s">
        <v>3265</v>
      </c>
      <c r="D14960" s="8">
        <v>57</v>
      </c>
      <c r="E14960" s="8">
        <v>0</v>
      </c>
      <c r="F14960" s="8">
        <v>208</v>
      </c>
    </row>
    <row r="14961" spans="1:6" ht="12.75">
      <c r="A14961" s="8">
        <v>43897.971273148149</v>
      </c>
      <c r="B14961" s="8" t="str">
        <f>HYPERLINK("https://twitter.com/adi_pra92","@adi_pra92")</f>
        <v>@adi_pra92</v>
      </c>
      <c r="C14961" s="8" t="s">
        <v>5486</v>
      </c>
      <c r="D14961" s="8">
        <v>30</v>
      </c>
      <c r="E14961" s="8">
        <v>0</v>
      </c>
      <c r="F14961" s="8">
        <v>5532</v>
      </c>
    </row>
    <row r="14962" spans="1:6" ht="12.75">
      <c r="A14962" s="8">
        <v>43897.969259259262</v>
      </c>
      <c r="B14962" s="8" t="str">
        <f>HYPERLINK("https://twitter.com/Steve_WoZ","@Steve_WoZ")</f>
        <v>@Steve_WoZ</v>
      </c>
      <c r="C14962" s="8" t="s">
        <v>5934</v>
      </c>
      <c r="D14962" s="8">
        <v>18</v>
      </c>
      <c r="E14962" s="8">
        <v>0</v>
      </c>
      <c r="F14962" s="8">
        <v>229</v>
      </c>
    </row>
    <row r="14963" spans="1:6" ht="12.75">
      <c r="A14963" s="8">
        <v>43897.969247685185</v>
      </c>
      <c r="B14963" s="8" t="str">
        <f>HYPERLINK("https://twitter.com/budi_ritonga","@budi_ritonga")</f>
        <v>@budi_ritonga</v>
      </c>
      <c r="C14963" s="8" t="s">
        <v>6049</v>
      </c>
      <c r="D14963" s="8">
        <v>0</v>
      </c>
      <c r="E14963" s="8">
        <v>0</v>
      </c>
      <c r="F14963" s="8">
        <v>9</v>
      </c>
    </row>
    <row r="14964" spans="1:6" ht="12.75">
      <c r="A14964" s="8">
        <v>43897.968206018515</v>
      </c>
      <c r="B14964" s="8" t="str">
        <f>HYPERLINK("https://twitter.com/ayidmazlan_","@ayidmazlan_")</f>
        <v>@ayidmazlan_</v>
      </c>
      <c r="C14964" s="8" t="s">
        <v>6050</v>
      </c>
      <c r="D14964" s="8">
        <v>0</v>
      </c>
      <c r="E14964" s="8">
        <v>0</v>
      </c>
      <c r="F14964" s="8">
        <v>4262</v>
      </c>
    </row>
    <row r="14965" spans="1:6" ht="12.75">
      <c r="A14965" s="8">
        <v>43897.966550925921</v>
      </c>
      <c r="B14965" s="8" t="str">
        <f>HYPERLINK("https://twitter.com/masovics","@masovics")</f>
        <v>@masovics</v>
      </c>
      <c r="C14965" s="8" t="s">
        <v>3743</v>
      </c>
      <c r="D14965" s="8">
        <v>693</v>
      </c>
      <c r="E14965" s="8">
        <v>0</v>
      </c>
      <c r="F14965" s="8">
        <v>877</v>
      </c>
    </row>
    <row r="14966" spans="1:6" ht="12.75">
      <c r="A14966" s="8">
        <v>43897.966377314813</v>
      </c>
      <c r="B14966" s="8" t="str">
        <f>HYPERLINK("https://twitter.com/dimasrahmat9","@dimasrahmat9")</f>
        <v>@dimasrahmat9</v>
      </c>
      <c r="C14966" s="8" t="s">
        <v>5080</v>
      </c>
      <c r="D14966" s="8">
        <v>44</v>
      </c>
      <c r="E14966" s="8">
        <v>0</v>
      </c>
      <c r="F14966" s="8">
        <v>417</v>
      </c>
    </row>
    <row r="14967" spans="1:6" ht="12.75">
      <c r="A14967" s="8">
        <v>43897.96607638889</v>
      </c>
      <c r="B14967" s="8" t="str">
        <f>HYPERLINK("https://twitter.com/SosialisRI","@SosialisRI")</f>
        <v>@SosialisRI</v>
      </c>
      <c r="C14967" s="8" t="s">
        <v>6051</v>
      </c>
      <c r="D14967" s="8">
        <v>0</v>
      </c>
      <c r="E14967" s="8">
        <v>0</v>
      </c>
      <c r="F14967" s="8">
        <v>56</v>
      </c>
    </row>
    <row r="14968" spans="1:6" ht="12.75">
      <c r="A14968" s="8">
        <v>43897.966064814813</v>
      </c>
      <c r="B14968" s="8" t="str">
        <f>HYPERLINK("https://twitter.com/n42if","@n42if")</f>
        <v>@n42if</v>
      </c>
      <c r="C14968" s="8" t="s">
        <v>3265</v>
      </c>
      <c r="D14968" s="8">
        <v>57</v>
      </c>
      <c r="E14968" s="8">
        <v>0</v>
      </c>
      <c r="F14968" s="8">
        <v>501</v>
      </c>
    </row>
    <row r="14969" spans="1:6" ht="12.75">
      <c r="A14969" s="8">
        <v>43897.965844907405</v>
      </c>
      <c r="B14969" s="8" t="str">
        <f>HYPERLINK("https://twitter.com/hermioneseven","@hermioneseven")</f>
        <v>@hermioneseven</v>
      </c>
      <c r="C14969" s="8" t="s">
        <v>6052</v>
      </c>
      <c r="D14969" s="8">
        <v>0</v>
      </c>
      <c r="E14969" s="8">
        <v>0</v>
      </c>
      <c r="F14969" s="8">
        <v>1538</v>
      </c>
    </row>
    <row r="14970" spans="1:6" ht="12.75">
      <c r="A14970" s="8">
        <v>43897.965127314819</v>
      </c>
      <c r="B14970" s="8" t="str">
        <f>HYPERLINK("https://twitter.com/Tulang_Godang","@Tulang_Godang")</f>
        <v>@Tulang_Godang</v>
      </c>
      <c r="C14970" s="8" t="s">
        <v>5544</v>
      </c>
      <c r="D14970" s="8">
        <v>15</v>
      </c>
      <c r="E14970" s="8">
        <v>0</v>
      </c>
      <c r="F14970" s="8">
        <v>577</v>
      </c>
    </row>
    <row r="14971" spans="1:6" ht="12.75">
      <c r="A14971" s="8">
        <v>43897.964490740742</v>
      </c>
      <c r="B14971" s="8" t="str">
        <f>HYPERLINK("https://twitter.com/KafirPemula","@KafirPemula")</f>
        <v>@KafirPemula</v>
      </c>
      <c r="C14971" s="8" t="s">
        <v>4175</v>
      </c>
      <c r="D14971" s="8">
        <v>18</v>
      </c>
      <c r="E14971" s="8">
        <v>0</v>
      </c>
      <c r="F14971" s="8">
        <v>144</v>
      </c>
    </row>
    <row r="14972" spans="1:6" ht="12.75">
      <c r="A14972" s="8">
        <v>43897.963958333334</v>
      </c>
      <c r="B14972" s="8" t="str">
        <f>HYPERLINK("https://twitter.com/softestnuna","@softestnuna")</f>
        <v>@softestnuna</v>
      </c>
      <c r="C14972" s="8" t="s">
        <v>6053</v>
      </c>
      <c r="D14972" s="8">
        <v>0</v>
      </c>
      <c r="E14972" s="8">
        <v>0</v>
      </c>
      <c r="F14972" s="8">
        <v>366</v>
      </c>
    </row>
    <row r="14973" spans="1:6" ht="12.75">
      <c r="A14973" s="8">
        <v>43897.963090277779</v>
      </c>
      <c r="B14973" s="8" t="str">
        <f>HYPERLINK("https://twitter.com/PUTMGGLA","@PUTMGGLA")</f>
        <v>@PUTMGGLA</v>
      </c>
      <c r="C14973" s="8" t="s">
        <v>4162</v>
      </c>
      <c r="D14973" s="8">
        <v>97</v>
      </c>
      <c r="E14973" s="8">
        <v>0</v>
      </c>
      <c r="F14973" s="8">
        <v>208</v>
      </c>
    </row>
    <row r="14974" spans="1:6" ht="12.75">
      <c r="A14974" s="8">
        <v>43897.962592592594</v>
      </c>
      <c r="B14974" s="8" t="str">
        <f>HYPERLINK("https://twitter.com/hrlexzo","@hrlexzo")</f>
        <v>@hrlexzo</v>
      </c>
      <c r="C14974" s="8" t="s">
        <v>6054</v>
      </c>
      <c r="D14974" s="8">
        <v>0</v>
      </c>
      <c r="E14974" s="8">
        <v>0</v>
      </c>
      <c r="F14974" s="8">
        <v>1435</v>
      </c>
    </row>
    <row r="14975" spans="1:6" ht="12.75">
      <c r="A14975" s="8">
        <v>43897.962071759262</v>
      </c>
      <c r="B14975" s="8" t="str">
        <f>HYPERLINK("https://twitter.com/silvereclare","@silvereclare")</f>
        <v>@silvereclare</v>
      </c>
      <c r="C14975" s="8" t="s">
        <v>6055</v>
      </c>
      <c r="D14975" s="8">
        <v>0</v>
      </c>
      <c r="E14975" s="8">
        <v>0</v>
      </c>
      <c r="F14975" s="8">
        <v>638</v>
      </c>
    </row>
    <row r="14976" spans="1:6" ht="12.75">
      <c r="A14976" s="8">
        <v>43897.96193287037</v>
      </c>
      <c r="B14976" s="8" t="str">
        <f>HYPERLINK("https://twitter.com/harewa13","@harewa13")</f>
        <v>@harewa13</v>
      </c>
      <c r="C14976" s="8" t="s">
        <v>6056</v>
      </c>
      <c r="D14976" s="8">
        <v>0</v>
      </c>
      <c r="E14976" s="8">
        <v>0</v>
      </c>
      <c r="F14976" s="8">
        <v>48</v>
      </c>
    </row>
    <row r="14977" spans="1:6" ht="12.75">
      <c r="A14977" s="8">
        <v>43897.961782407408</v>
      </c>
      <c r="B14977" s="8" t="str">
        <f>HYPERLINK("https://twitter.com/VergusoEstalo","@VergusoEstalo")</f>
        <v>@VergusoEstalo</v>
      </c>
      <c r="C14977" s="8" t="s">
        <v>6057</v>
      </c>
      <c r="D14977" s="8">
        <v>0</v>
      </c>
      <c r="E14977" s="8">
        <v>0</v>
      </c>
      <c r="F14977" s="8">
        <v>7</v>
      </c>
    </row>
    <row r="14978" spans="1:6" ht="12.75">
      <c r="A14978" s="8">
        <v>43897.961759259255</v>
      </c>
      <c r="B14978" s="8" t="str">
        <f>HYPERLINK("https://twitter.com/sayahanyazakie","@sayahanyazakie")</f>
        <v>@sayahanyazakie</v>
      </c>
      <c r="C14978" s="8" t="s">
        <v>3978</v>
      </c>
      <c r="D14978" s="8">
        <v>19</v>
      </c>
      <c r="E14978" s="8">
        <v>0</v>
      </c>
      <c r="F14978" s="8">
        <v>456</v>
      </c>
    </row>
    <row r="14979" spans="1:6" ht="12.75">
      <c r="A14979" s="8">
        <v>43897.961655092593</v>
      </c>
      <c r="B14979" s="8" t="str">
        <f>HYPERLINK("https://twitter.com/F412Fi","@F412Fi")</f>
        <v>@F412Fi</v>
      </c>
      <c r="C14979" s="8" t="s">
        <v>3265</v>
      </c>
      <c r="D14979" s="8">
        <v>43</v>
      </c>
      <c r="E14979" s="8">
        <v>0</v>
      </c>
      <c r="F14979" s="8">
        <v>936</v>
      </c>
    </row>
    <row r="14980" spans="1:6" ht="12.75">
      <c r="A14980" s="8">
        <v>43897.96157407407</v>
      </c>
      <c r="B14980" s="8" t="str">
        <f>HYPERLINK("https://twitter.com/captainjunho","@captainjunho")</f>
        <v>@captainjunho</v>
      </c>
      <c r="C14980" s="8" t="s">
        <v>6058</v>
      </c>
      <c r="D14980" s="8">
        <v>0</v>
      </c>
      <c r="E14980" s="8">
        <v>0</v>
      </c>
      <c r="F14980" s="8">
        <v>176</v>
      </c>
    </row>
    <row r="14981" spans="1:6" ht="12.75">
      <c r="A14981" s="8">
        <v>43897.961030092592</v>
      </c>
      <c r="B14981" s="8" t="str">
        <f>HYPERLINK("https://twitter.com/akubacod","@akubacod")</f>
        <v>@akubacod</v>
      </c>
      <c r="C14981" s="8" t="s">
        <v>6059</v>
      </c>
      <c r="D14981" s="8">
        <v>0</v>
      </c>
      <c r="E14981" s="8">
        <v>0</v>
      </c>
      <c r="F14981" s="8">
        <v>1225</v>
      </c>
    </row>
    <row r="14982" spans="1:6" ht="12.75">
      <c r="A14982" s="8">
        <v>43897.960381944446</v>
      </c>
      <c r="B14982" s="8" t="str">
        <f>HYPERLINK("https://twitter.com/netizen_now","@netizen_now")</f>
        <v>@netizen_now</v>
      </c>
      <c r="C14982" s="8" t="s">
        <v>6060</v>
      </c>
      <c r="D14982" s="8">
        <v>0</v>
      </c>
      <c r="E14982" s="8">
        <v>0</v>
      </c>
      <c r="F14982" s="8">
        <v>55</v>
      </c>
    </row>
    <row r="14983" spans="1:6" ht="12.75">
      <c r="A14983" s="8">
        <v>43897.959976851853</v>
      </c>
      <c r="B14983" s="8" t="str">
        <f>HYPERLINK("https://twitter.com/BillTemporo","@BillTemporo")</f>
        <v>@BillTemporo</v>
      </c>
      <c r="C14983" s="8" t="s">
        <v>384</v>
      </c>
      <c r="D14983" s="8">
        <v>0</v>
      </c>
      <c r="E14983" s="8">
        <v>0</v>
      </c>
      <c r="F14983" s="8">
        <v>11</v>
      </c>
    </row>
    <row r="14984" spans="1:6" ht="12.75">
      <c r="A14984" s="8">
        <v>43897.958958333329</v>
      </c>
      <c r="B14984" s="8" t="str">
        <f>HYPERLINK("https://twitter.com/MasfarGazali","@MasfarGazali")</f>
        <v>@MasfarGazali</v>
      </c>
      <c r="C14984" s="8" t="s">
        <v>3265</v>
      </c>
      <c r="D14984" s="8">
        <v>43</v>
      </c>
      <c r="E14984" s="8">
        <v>0</v>
      </c>
      <c r="F14984" s="8">
        <v>1996</v>
      </c>
    </row>
    <row r="14985" spans="1:6" ht="12.75">
      <c r="A14985" s="8">
        <v>43897.95884259259</v>
      </c>
      <c r="B14985" s="8" t="str">
        <f>HYPERLINK("https://twitter.com/arjuno_ireng01","@arjuno_ireng01")</f>
        <v>@arjuno_ireng01</v>
      </c>
      <c r="C14985" s="8" t="s">
        <v>5486</v>
      </c>
      <c r="D14985" s="8">
        <v>25</v>
      </c>
      <c r="E14985" s="8">
        <v>0</v>
      </c>
      <c r="F14985" s="8">
        <v>11193</v>
      </c>
    </row>
    <row r="14986" spans="1:6" ht="12.75">
      <c r="A14986" s="8">
        <v>43897.958333333328</v>
      </c>
      <c r="B14986" s="8" t="str">
        <f>HYPERLINK("https://twitter.com/GTVID_News","@GTVID_News")</f>
        <v>@GTVID_News</v>
      </c>
      <c r="C14986" s="8" t="s">
        <v>6061</v>
      </c>
      <c r="D14986" s="8">
        <v>0</v>
      </c>
      <c r="E14986" s="8">
        <v>0</v>
      </c>
      <c r="F14986" s="8">
        <v>10816</v>
      </c>
    </row>
    <row r="14987" spans="1:6" ht="12.75">
      <c r="A14987" s="8">
        <v>43897.958333333328</v>
      </c>
      <c r="B14987" s="8" t="str">
        <f>HYPERLINK("https://twitter.com/Lintas_MNCTV","@Lintas_MNCTV")</f>
        <v>@Lintas_MNCTV</v>
      </c>
      <c r="C14987" s="8" t="s">
        <v>6030</v>
      </c>
      <c r="D14987" s="8">
        <v>0</v>
      </c>
      <c r="E14987" s="8">
        <v>0</v>
      </c>
      <c r="F14987" s="8">
        <v>35919</v>
      </c>
    </row>
    <row r="14988" spans="1:6" ht="12.75">
      <c r="A14988" s="8">
        <v>43897.958090277782</v>
      </c>
      <c r="B14988" s="8" t="str">
        <f>HYPERLINK("https://twitter.com/kejenoan","@kejenoan")</f>
        <v>@kejenoan</v>
      </c>
      <c r="C14988" s="8" t="s">
        <v>6062</v>
      </c>
      <c r="D14988" s="8">
        <v>0</v>
      </c>
      <c r="E14988" s="8">
        <v>0</v>
      </c>
      <c r="F14988" s="8">
        <v>726</v>
      </c>
    </row>
    <row r="14989" spans="1:6" ht="12.75">
      <c r="A14989" s="8">
        <v>43897.957997685182</v>
      </c>
      <c r="B14989" s="8" t="str">
        <f>HYPERLINK("https://twitter.com/FMabdala","@FMabdala")</f>
        <v>@FMabdala</v>
      </c>
      <c r="C14989" s="8" t="s">
        <v>5841</v>
      </c>
      <c r="D14989" s="8">
        <v>2</v>
      </c>
      <c r="E14989" s="8">
        <v>0</v>
      </c>
      <c r="F14989" s="8">
        <v>6</v>
      </c>
    </row>
    <row r="14990" spans="1:6" ht="12.75">
      <c r="A14990" s="8">
        <v>43897.957858796297</v>
      </c>
      <c r="B14990" s="8" t="str">
        <f>HYPERLINK("https://twitter.com/anatakesuma","@anatakesuma")</f>
        <v>@anatakesuma</v>
      </c>
      <c r="C14990" s="8" t="s">
        <v>3265</v>
      </c>
      <c r="D14990" s="8">
        <v>43</v>
      </c>
      <c r="E14990" s="8">
        <v>0</v>
      </c>
      <c r="F14990" s="8">
        <v>103</v>
      </c>
    </row>
    <row r="14991" spans="1:6" ht="12.75">
      <c r="A14991" s="8">
        <v>43897.957442129627</v>
      </c>
      <c r="B14991" s="8" t="str">
        <f>HYPERLINK("https://twitter.com/DedyNad_id","@DedyNad_id")</f>
        <v>@DedyNad_id</v>
      </c>
      <c r="C14991" s="8" t="s">
        <v>5879</v>
      </c>
      <c r="D14991" s="8">
        <v>7</v>
      </c>
      <c r="E14991" s="8">
        <v>0</v>
      </c>
      <c r="F14991" s="8">
        <v>4117</v>
      </c>
    </row>
    <row r="14992" spans="1:6" ht="12.75">
      <c r="A14992" s="8">
        <v>43897.95711805555</v>
      </c>
      <c r="B14992" s="8" t="str">
        <f>HYPERLINK("https://twitter.com/agunghariyant0","@agunghariyant0")</f>
        <v>@agunghariyant0</v>
      </c>
      <c r="C14992" s="8" t="s">
        <v>6063</v>
      </c>
      <c r="D14992" s="8">
        <v>0</v>
      </c>
      <c r="E14992" s="8">
        <v>0</v>
      </c>
      <c r="F14992" s="8">
        <v>6</v>
      </c>
    </row>
    <row r="14993" spans="1:6" ht="12.75">
      <c r="A14993" s="8">
        <v>43897.957071759258</v>
      </c>
      <c r="B14993" s="8" t="str">
        <f>HYPERLINK("https://twitter.com/RadioElshinta","@RadioElshinta")</f>
        <v>@RadioElshinta</v>
      </c>
      <c r="C14993" s="8" t="s">
        <v>6064</v>
      </c>
      <c r="D14993" s="8">
        <v>0</v>
      </c>
      <c r="E14993" s="8">
        <v>1</v>
      </c>
      <c r="F14993" s="8">
        <v>3637100</v>
      </c>
    </row>
    <row r="14994" spans="1:6" ht="12.75">
      <c r="A14994" s="8">
        <v>43897.957025462965</v>
      </c>
      <c r="B14994" s="8" t="str">
        <f>HYPERLINK("https://twitter.com/FMabdala","@FMabdala")</f>
        <v>@FMabdala</v>
      </c>
      <c r="C14994" s="8" t="s">
        <v>5844</v>
      </c>
      <c r="D14994" s="8">
        <v>6</v>
      </c>
      <c r="E14994" s="8">
        <v>0</v>
      </c>
      <c r="F14994" s="8">
        <v>6</v>
      </c>
    </row>
    <row r="14995" spans="1:6" ht="12.75">
      <c r="A14995" s="8">
        <v>43897.956956018519</v>
      </c>
      <c r="B14995" s="8" t="str">
        <f>HYPERLINK("https://twitter.com/zazaputih","@zazaputih")</f>
        <v>@zazaputih</v>
      </c>
      <c r="C14995" s="8" t="s">
        <v>5544</v>
      </c>
      <c r="D14995" s="8">
        <v>15</v>
      </c>
      <c r="E14995" s="8">
        <v>0</v>
      </c>
      <c r="F14995" s="8">
        <v>54</v>
      </c>
    </row>
    <row r="14996" spans="1:6" ht="12.75">
      <c r="A14996" s="8">
        <v>43897.956863425927</v>
      </c>
      <c r="B14996" s="8" t="str">
        <f>HYPERLINK("https://twitter.com/UtomoFreddy","@UtomoFreddy")</f>
        <v>@UtomoFreddy</v>
      </c>
      <c r="C14996" s="8" t="s">
        <v>3978</v>
      </c>
      <c r="D14996" s="8">
        <v>19</v>
      </c>
      <c r="E14996" s="8">
        <v>0</v>
      </c>
      <c r="F14996" s="8">
        <v>111</v>
      </c>
    </row>
    <row r="14997" spans="1:6" ht="12.75">
      <c r="A14997" s="8">
        <v>43897.956689814819</v>
      </c>
      <c r="B14997" s="8" t="str">
        <f>HYPERLINK("https://twitter.com/ansyori_riduan","@ansyori_riduan")</f>
        <v>@ansyori_riduan</v>
      </c>
      <c r="C14997" s="8" t="s">
        <v>6065</v>
      </c>
      <c r="D14997" s="8">
        <v>0</v>
      </c>
      <c r="E14997" s="8">
        <v>0</v>
      </c>
      <c r="F14997" s="8">
        <v>111</v>
      </c>
    </row>
    <row r="14998" spans="1:6" ht="12.75">
      <c r="A14998" s="8">
        <v>43897.956180555557</v>
      </c>
      <c r="B14998" s="8" t="str">
        <f>HYPERLINK("https://twitter.com/kenapasih_zal","@kenapasih_zal")</f>
        <v>@kenapasih_zal</v>
      </c>
      <c r="C14998" s="8" t="s">
        <v>6066</v>
      </c>
      <c r="D14998" s="8">
        <v>0</v>
      </c>
      <c r="E14998" s="8">
        <v>0</v>
      </c>
      <c r="F14998" s="8">
        <v>15</v>
      </c>
    </row>
    <row r="14999" spans="1:6" ht="12.75">
      <c r="A14999" s="8">
        <v>43897.955937499995</v>
      </c>
      <c r="B14999" s="8" t="str">
        <f>HYPERLINK("https://twitter.com/moamerasumitro","@moamerasumitro")</f>
        <v>@moamerasumitro</v>
      </c>
      <c r="C14999" s="8" t="s">
        <v>4162</v>
      </c>
      <c r="D14999" s="8">
        <v>97</v>
      </c>
      <c r="E14999" s="8">
        <v>0</v>
      </c>
      <c r="F14999" s="8">
        <v>43</v>
      </c>
    </row>
    <row r="15000" spans="1:6" ht="12.75">
      <c r="A15000" s="8">
        <v>43897.955069444448</v>
      </c>
      <c r="B15000" s="8" t="str">
        <f>HYPERLINK("https://twitter.com/WajahPribumi__","@WajahPribumi__")</f>
        <v>@WajahPribumi__</v>
      </c>
      <c r="C15000" s="8" t="s">
        <v>5080</v>
      </c>
      <c r="D15000" s="8">
        <v>33</v>
      </c>
      <c r="E15000" s="8">
        <v>0</v>
      </c>
      <c r="F15000" s="8">
        <v>3565</v>
      </c>
    </row>
    <row r="15001" spans="1:6" ht="12.75">
      <c r="A15001" s="8">
        <v>43897.954791666663</v>
      </c>
      <c r="B15001" s="8" t="str">
        <f>HYPERLINK("https://twitter.com/rawkbastard","@rawkbastard")</f>
        <v>@rawkbastard</v>
      </c>
      <c r="C15001" s="8" t="s">
        <v>5080</v>
      </c>
      <c r="D15001" s="8">
        <v>33</v>
      </c>
      <c r="E15001" s="8">
        <v>0</v>
      </c>
      <c r="F15001" s="8">
        <v>242</v>
      </c>
    </row>
    <row r="15002" spans="1:6" ht="12.75">
      <c r="A15002" s="8">
        <v>43897.954456018517</v>
      </c>
      <c r="B15002" s="8" t="str">
        <f>HYPERLINK("https://twitter.com/stiawan1979","@stiawan1979")</f>
        <v>@stiawan1979</v>
      </c>
      <c r="C15002" s="8" t="s">
        <v>3743</v>
      </c>
      <c r="D15002" s="8">
        <v>690</v>
      </c>
      <c r="E15002" s="8">
        <v>0</v>
      </c>
      <c r="F15002" s="8">
        <v>85</v>
      </c>
    </row>
    <row r="15003" spans="1:6" ht="12.75">
      <c r="A15003" s="8">
        <v>43897.954062500001</v>
      </c>
      <c r="B15003" s="8" t="str">
        <f>HYPERLINK("https://twitter.com/SlametSt75","@SlametSt75")</f>
        <v>@SlametSt75</v>
      </c>
      <c r="C15003" s="8" t="s">
        <v>3265</v>
      </c>
      <c r="D15003" s="8">
        <v>43</v>
      </c>
      <c r="E15003" s="8">
        <v>0</v>
      </c>
      <c r="F15003" s="8">
        <v>46</v>
      </c>
    </row>
    <row r="15004" spans="1:6" ht="12.75">
      <c r="A15004" s="8">
        <v>43897.953715277778</v>
      </c>
      <c r="B15004" s="8" t="str">
        <f>HYPERLINK("https://twitter.com/tirtanahl","@tirtanahl")</f>
        <v>@tirtanahl</v>
      </c>
      <c r="C15004" s="8" t="s">
        <v>3265</v>
      </c>
      <c r="D15004" s="8">
        <v>43</v>
      </c>
      <c r="E15004" s="8">
        <v>0</v>
      </c>
      <c r="F15004" s="8">
        <v>1475</v>
      </c>
    </row>
    <row r="15005" spans="1:6" ht="12.75">
      <c r="A15005" s="8">
        <v>43897.953229166669</v>
      </c>
      <c r="B15005" s="8" t="str">
        <f>HYPERLINK("https://twitter.com/Rafyrabany","@Rafyrabany")</f>
        <v>@Rafyrabany</v>
      </c>
      <c r="C15005" s="8" t="s">
        <v>6067</v>
      </c>
      <c r="D15005" s="8">
        <v>0</v>
      </c>
      <c r="E15005" s="8">
        <v>0</v>
      </c>
      <c r="F15005" s="8">
        <v>1018</v>
      </c>
    </row>
    <row r="15006" spans="1:6" ht="12.75">
      <c r="A15006" s="8">
        <v>43897.952476851853</v>
      </c>
      <c r="B15006" s="8" t="str">
        <f>HYPERLINK("https://twitter.com/fifilalavina","@fifilalavina")</f>
        <v>@fifilalavina</v>
      </c>
      <c r="C15006" s="8" t="s">
        <v>5080</v>
      </c>
      <c r="D15006" s="8">
        <v>33</v>
      </c>
      <c r="E15006" s="8">
        <v>0</v>
      </c>
      <c r="F15006" s="8">
        <v>131</v>
      </c>
    </row>
    <row r="15007" spans="1:6" ht="12.75">
      <c r="A15007" s="8">
        <v>43897.951886574076</v>
      </c>
      <c r="B15007" s="8" t="str">
        <f>HYPERLINK("https://twitter.com/G_Ray__","@G_Ray__")</f>
        <v>@G_Ray__</v>
      </c>
      <c r="C15007" s="8" t="s">
        <v>6068</v>
      </c>
      <c r="D15007" s="8">
        <v>0</v>
      </c>
      <c r="E15007" s="8">
        <v>0</v>
      </c>
      <c r="F15007" s="8">
        <v>29</v>
      </c>
    </row>
    <row r="15008" spans="1:6" ht="12.75">
      <c r="A15008" s="8">
        <v>43897.951620370368</v>
      </c>
      <c r="B15008" s="8" t="str">
        <f>HYPERLINK("https://twitter.com/Wawanda","@Wawanda")</f>
        <v>@Wawanda</v>
      </c>
      <c r="C15008" s="8" t="s">
        <v>6069</v>
      </c>
      <c r="D15008" s="8">
        <v>0</v>
      </c>
      <c r="E15008" s="8">
        <v>0</v>
      </c>
      <c r="F15008" s="8">
        <v>361</v>
      </c>
    </row>
    <row r="15009" spans="1:6" ht="12.75">
      <c r="A15009" s="8">
        <v>43897.951539351852</v>
      </c>
      <c r="B15009" s="8" t="str">
        <f>HYPERLINK("https://twitter.com/titanrahadian","@titanrahadian")</f>
        <v>@titanrahadian</v>
      </c>
      <c r="C15009" s="8" t="s">
        <v>3265</v>
      </c>
      <c r="D15009" s="8">
        <v>43</v>
      </c>
      <c r="E15009" s="8">
        <v>0</v>
      </c>
      <c r="F15009" s="8">
        <v>1178</v>
      </c>
    </row>
    <row r="15010" spans="1:6" ht="12.75">
      <c r="A15010" s="8">
        <v>43897.95149305556</v>
      </c>
      <c r="B15010" s="8" t="str">
        <f>HYPERLINK("https://twitter.com/aryobm_mufc","@aryobm_mufc")</f>
        <v>@aryobm_mufc</v>
      </c>
      <c r="C15010" s="8" t="s">
        <v>3743</v>
      </c>
      <c r="D15010" s="8">
        <v>690</v>
      </c>
      <c r="E15010" s="8">
        <v>0</v>
      </c>
      <c r="F15010" s="8">
        <v>208</v>
      </c>
    </row>
    <row r="15011" spans="1:6" ht="12.75">
      <c r="A15011" s="8">
        <v>43897.950868055559</v>
      </c>
      <c r="B15011" s="8" t="str">
        <f t="shared" ref="B15011:B15012" si="225">HYPERLINK("https://twitter.com/SigitWtj","@SigitWtj")</f>
        <v>@SigitWtj</v>
      </c>
      <c r="C15011" s="8" t="s">
        <v>1376</v>
      </c>
      <c r="D15011" s="8">
        <v>42</v>
      </c>
      <c r="E15011" s="8">
        <v>0</v>
      </c>
      <c r="F15011" s="8">
        <v>1641</v>
      </c>
    </row>
    <row r="15012" spans="1:6" ht="12.75">
      <c r="A15012" s="8">
        <v>43897.950486111113</v>
      </c>
      <c r="B15012" s="8" t="str">
        <f t="shared" si="225"/>
        <v>@SigitWtj</v>
      </c>
      <c r="C15012" s="8" t="s">
        <v>4162</v>
      </c>
      <c r="D15012" s="8">
        <v>97</v>
      </c>
      <c r="E15012" s="8">
        <v>0</v>
      </c>
      <c r="F15012" s="8">
        <v>1641</v>
      </c>
    </row>
    <row r="15013" spans="1:6" ht="12.75">
      <c r="A15013" s="8">
        <v>43897.950381944444</v>
      </c>
      <c r="B15013" s="8" t="str">
        <f>HYPERLINK("https://twitter.com/abdulla41734805","@abdulla41734805")</f>
        <v>@abdulla41734805</v>
      </c>
      <c r="C15013" s="8" t="s">
        <v>6070</v>
      </c>
      <c r="D15013" s="8">
        <v>0</v>
      </c>
      <c r="E15013" s="8">
        <v>0</v>
      </c>
      <c r="F15013" s="8">
        <v>20</v>
      </c>
    </row>
    <row r="15014" spans="1:6" ht="12.75">
      <c r="A15014" s="8">
        <v>43897.949340277773</v>
      </c>
      <c r="B15014" s="8" t="str">
        <f>HYPERLINK("https://twitter.com/Tatisekowati1","@Tatisekowati1")</f>
        <v>@Tatisekowati1</v>
      </c>
      <c r="C15014" s="8" t="s">
        <v>6071</v>
      </c>
      <c r="D15014" s="8">
        <v>0</v>
      </c>
      <c r="E15014" s="8">
        <v>0</v>
      </c>
      <c r="F15014" s="8">
        <v>175</v>
      </c>
    </row>
    <row r="15015" spans="1:6" ht="12.75">
      <c r="A15015" s="8">
        <v>43897.948819444442</v>
      </c>
      <c r="B15015" s="8" t="str">
        <f>HYPERLINK("https://twitter.com/FernianHaeHaean","@FernianHaeHaean")</f>
        <v>@FernianHaeHaean</v>
      </c>
      <c r="C15015" s="8" t="s">
        <v>6072</v>
      </c>
      <c r="D15015" s="8">
        <v>0</v>
      </c>
      <c r="E15015" s="8">
        <v>0</v>
      </c>
      <c r="F15015" s="8">
        <v>265</v>
      </c>
    </row>
    <row r="15016" spans="1:6" ht="12.75">
      <c r="A15016" s="8">
        <v>43897.948506944449</v>
      </c>
      <c r="B15016" s="8" t="str">
        <f>HYPERLINK("https://twitter.com/siBudakAngon","@siBudakAngon")</f>
        <v>@siBudakAngon</v>
      </c>
      <c r="C15016" s="8" t="s">
        <v>5080</v>
      </c>
      <c r="D15016" s="8">
        <v>33</v>
      </c>
      <c r="E15016" s="8">
        <v>0</v>
      </c>
      <c r="F15016" s="8">
        <v>182</v>
      </c>
    </row>
    <row r="15017" spans="1:6" ht="12.75">
      <c r="A15017" s="8">
        <v>43897.948217592595</v>
      </c>
      <c r="B15017" s="8" t="str">
        <f>HYPERLINK("https://twitter.com/Sarahhsya_","@Sarahhsya_")</f>
        <v>@Sarahhsya_</v>
      </c>
      <c r="C15017" s="8" t="s">
        <v>3978</v>
      </c>
      <c r="D15017" s="8">
        <v>19</v>
      </c>
      <c r="E15017" s="8">
        <v>0</v>
      </c>
      <c r="F15017" s="8">
        <v>210</v>
      </c>
    </row>
    <row r="15018" spans="1:6" ht="12.75">
      <c r="A15018" s="8">
        <v>43897.947824074072</v>
      </c>
      <c r="B15018" s="8" t="str">
        <f>HYPERLINK("https://twitter.com/KakekHalal","@KakekHalal")</f>
        <v>@KakekHalal</v>
      </c>
      <c r="C15018" s="8" t="s">
        <v>5080</v>
      </c>
      <c r="D15018" s="8">
        <v>33</v>
      </c>
      <c r="E15018" s="8">
        <v>0</v>
      </c>
      <c r="F15018" s="8">
        <v>23462</v>
      </c>
    </row>
    <row r="15019" spans="1:6" ht="12.75">
      <c r="A15019" s="8">
        <v>43897.947627314818</v>
      </c>
      <c r="B15019" s="8" t="str">
        <f>HYPERLINK("https://twitter.com/umydumdum","@umydumdum")</f>
        <v>@umydumdum</v>
      </c>
      <c r="C15019" s="8" t="s">
        <v>3978</v>
      </c>
      <c r="D15019" s="8">
        <v>19</v>
      </c>
      <c r="E15019" s="8">
        <v>0</v>
      </c>
      <c r="F15019" s="8">
        <v>453</v>
      </c>
    </row>
    <row r="15020" spans="1:6" ht="12.75">
      <c r="A15020" s="8">
        <v>43897.947118055556</v>
      </c>
      <c r="B15020" s="8" t="str">
        <f>HYPERLINK("https://twitter.com/hapeproperti","@hapeproperti")</f>
        <v>@hapeproperti</v>
      </c>
      <c r="C15020" s="8" t="s">
        <v>5080</v>
      </c>
      <c r="D15020" s="8">
        <v>33</v>
      </c>
      <c r="E15020" s="8">
        <v>0</v>
      </c>
      <c r="F15020" s="8">
        <v>1623</v>
      </c>
    </row>
    <row r="15021" spans="1:6" ht="12.75">
      <c r="A15021" s="8">
        <v>43897.946782407409</v>
      </c>
      <c r="B15021" s="8" t="str">
        <f>HYPERLINK("https://twitter.com/evereeze","@evereeze")</f>
        <v>@evereeze</v>
      </c>
      <c r="C15021" s="8" t="s">
        <v>4235</v>
      </c>
      <c r="D15021" s="8">
        <v>1678</v>
      </c>
      <c r="E15021" s="8">
        <v>0</v>
      </c>
      <c r="F15021" s="8">
        <v>312</v>
      </c>
    </row>
    <row r="15022" spans="1:6" ht="12.75">
      <c r="A15022" s="8">
        <v>43897.946712962963</v>
      </c>
      <c r="B15022" s="8" t="str">
        <f>HYPERLINK("https://twitter.com/flyfluffy","@flyfluffy")</f>
        <v>@flyfluffy</v>
      </c>
      <c r="C15022" s="8" t="s">
        <v>3978</v>
      </c>
      <c r="D15022" s="8">
        <v>19</v>
      </c>
      <c r="E15022" s="8">
        <v>0</v>
      </c>
      <c r="F15022" s="8">
        <v>568</v>
      </c>
    </row>
    <row r="15023" spans="1:6" ht="12.75">
      <c r="A15023" s="8">
        <v>43897.946412037039</v>
      </c>
      <c r="B15023" s="8" t="str">
        <f>HYPERLINK("https://twitter.com/MetroTVToday","@MetroTVToday")</f>
        <v>@MetroTVToday</v>
      </c>
      <c r="C15023" s="8" t="s">
        <v>5118</v>
      </c>
      <c r="D15023" s="8">
        <v>1</v>
      </c>
      <c r="E15023" s="8">
        <v>0</v>
      </c>
      <c r="F15023" s="8">
        <v>97707</v>
      </c>
    </row>
    <row r="15024" spans="1:6" ht="12.75">
      <c r="A15024" s="8">
        <v>43897.946400462963</v>
      </c>
      <c r="B15024" s="8" t="str">
        <f>HYPERLINK("https://twitter.com/ekopriyobondowo","@ekopriyobondowo")</f>
        <v>@ekopriyobondowo</v>
      </c>
      <c r="C15024" s="8" t="s">
        <v>6073</v>
      </c>
      <c r="D15024" s="8">
        <v>0</v>
      </c>
      <c r="E15024" s="8">
        <v>0</v>
      </c>
      <c r="F15024" s="8">
        <v>31</v>
      </c>
    </row>
    <row r="15025" spans="1:6" ht="12.75">
      <c r="A15025" s="8">
        <v>43897.945729166662</v>
      </c>
      <c r="B15025" s="8" t="str">
        <f>HYPERLINK("https://twitter.com/TsamaraDKI","@TsamaraDKI")</f>
        <v>@TsamaraDKI</v>
      </c>
      <c r="C15025" s="8" t="s">
        <v>3978</v>
      </c>
      <c r="D15025" s="8">
        <v>19</v>
      </c>
      <c r="E15025" s="8">
        <v>0</v>
      </c>
      <c r="F15025" s="8">
        <v>266832</v>
      </c>
    </row>
    <row r="15026" spans="1:6" ht="12.75">
      <c r="A15026" s="8">
        <v>43897.945625</v>
      </c>
      <c r="B15026" s="8" t="str">
        <f>HYPERLINK("https://twitter.com/OpsiMetroTV","@OpsiMetroTV")</f>
        <v>@OpsiMetroTV</v>
      </c>
      <c r="C15026" s="8" t="s">
        <v>6074</v>
      </c>
      <c r="D15026" s="8">
        <v>1</v>
      </c>
      <c r="E15026" s="8">
        <v>2</v>
      </c>
      <c r="F15026" s="8">
        <v>15503</v>
      </c>
    </row>
    <row r="15027" spans="1:6" ht="12.75">
      <c r="A15027" s="8">
        <v>43897.94532407407</v>
      </c>
      <c r="B15027" s="8" t="str">
        <f>HYPERLINK("https://twitter.com/iveliatamara","@iveliatamara")</f>
        <v>@iveliatamara</v>
      </c>
      <c r="C15027" s="8" t="s">
        <v>6075</v>
      </c>
      <c r="D15027" s="8">
        <v>0</v>
      </c>
      <c r="E15027" s="8">
        <v>0</v>
      </c>
      <c r="F15027" s="8">
        <v>1764</v>
      </c>
    </row>
    <row r="15028" spans="1:6" ht="12.75">
      <c r="A15028" s="8">
        <v>43897.944988425923</v>
      </c>
      <c r="B15028" s="8" t="str">
        <f>HYPERLINK("https://twitter.com/kuehpelangi","@kuehpelangi")</f>
        <v>@kuehpelangi</v>
      </c>
      <c r="C15028" s="8" t="s">
        <v>4818</v>
      </c>
      <c r="D15028" s="8">
        <v>280</v>
      </c>
      <c r="E15028" s="8">
        <v>0</v>
      </c>
      <c r="F15028" s="8">
        <v>4</v>
      </c>
    </row>
    <row r="15029" spans="1:6" ht="12.75">
      <c r="A15029" s="8">
        <v>43897.944849537038</v>
      </c>
      <c r="B15029" s="8" t="str">
        <f>HYPERLINK("https://twitter.com/iNewsID","@iNewsID")</f>
        <v>@iNewsID</v>
      </c>
      <c r="C15029" s="8" t="s">
        <v>6076</v>
      </c>
      <c r="D15029" s="8">
        <v>0</v>
      </c>
      <c r="E15029" s="8">
        <v>0</v>
      </c>
      <c r="F15029" s="8">
        <v>1369</v>
      </c>
    </row>
    <row r="15030" spans="1:6" ht="12.75">
      <c r="A15030" s="8">
        <v>43897.94425925926</v>
      </c>
      <c r="B15030" s="8" t="str">
        <f>HYPERLINK("https://twitter.com/nana040461","@nana040461")</f>
        <v>@nana040461</v>
      </c>
      <c r="C15030" s="8" t="s">
        <v>3265</v>
      </c>
      <c r="D15030" s="8">
        <v>43</v>
      </c>
      <c r="E15030" s="8">
        <v>0</v>
      </c>
      <c r="F15030" s="8">
        <v>1910</v>
      </c>
    </row>
    <row r="15031" spans="1:6" ht="12.75">
      <c r="A15031" s="8">
        <v>43897.943275462967</v>
      </c>
      <c r="B15031" s="8" t="str">
        <f>HYPERLINK("https://twitter.com/jaibhar20458182","@jaibhar20458182")</f>
        <v>@jaibhar20458182</v>
      </c>
      <c r="C15031" s="8" t="s">
        <v>6077</v>
      </c>
      <c r="D15031" s="8">
        <v>0</v>
      </c>
      <c r="E15031" s="8">
        <v>1</v>
      </c>
      <c r="F15031" s="8">
        <v>67</v>
      </c>
    </row>
    <row r="15032" spans="1:6" ht="12.75">
      <c r="A15032" s="8">
        <v>43897.943229166667</v>
      </c>
      <c r="B15032" s="8" t="str">
        <f>HYPERLINK("https://twitter.com/AwanParutang","@AwanParutang")</f>
        <v>@AwanParutang</v>
      </c>
      <c r="C15032" s="8" t="s">
        <v>5080</v>
      </c>
      <c r="D15032" s="8">
        <v>33</v>
      </c>
      <c r="E15032" s="8">
        <v>0</v>
      </c>
      <c r="F15032" s="8">
        <v>313</v>
      </c>
    </row>
    <row r="15033" spans="1:6" ht="12.75">
      <c r="A15033" s="8">
        <v>43897.943055555559</v>
      </c>
      <c r="B15033" s="8" t="str">
        <f>HYPERLINK("https://twitter.com/AdeWiwiko","@AdeWiwiko")</f>
        <v>@AdeWiwiko</v>
      </c>
      <c r="C15033" s="8" t="s">
        <v>6078</v>
      </c>
      <c r="D15033" s="8">
        <v>0</v>
      </c>
      <c r="E15033" s="8">
        <v>0</v>
      </c>
      <c r="F15033" s="8">
        <v>345</v>
      </c>
    </row>
    <row r="15034" spans="1:6" ht="12.75">
      <c r="A15034" s="8">
        <v>43897.942349537036</v>
      </c>
      <c r="B15034" s="8" t="str">
        <f>HYPERLINK("https://twitter.com/arusbawah11","@arusbawah11")</f>
        <v>@arusbawah11</v>
      </c>
      <c r="C15034" s="8" t="s">
        <v>5486</v>
      </c>
      <c r="D15034" s="8">
        <v>25</v>
      </c>
      <c r="E15034" s="8">
        <v>0</v>
      </c>
      <c r="F15034" s="8">
        <v>57</v>
      </c>
    </row>
    <row r="15035" spans="1:6" ht="12.75">
      <c r="A15035" s="8">
        <v>43897.941504629634</v>
      </c>
      <c r="B15035" s="8" t="str">
        <f>HYPERLINK("https://twitter.com/hyovyeon","@hyovyeon")</f>
        <v>@hyovyeon</v>
      </c>
      <c r="C15035" s="8" t="s">
        <v>6079</v>
      </c>
      <c r="D15035" s="8">
        <v>0</v>
      </c>
      <c r="E15035" s="8">
        <v>0</v>
      </c>
      <c r="F15035" s="8">
        <v>461</v>
      </c>
    </row>
    <row r="15036" spans="1:6" ht="12.75">
      <c r="A15036" s="8">
        <v>43897.941504629634</v>
      </c>
      <c r="B15036" s="8" t="str">
        <f>HYPERLINK("https://twitter.com/DavidGentana","@DavidGentana")</f>
        <v>@DavidGentana</v>
      </c>
      <c r="C15036" s="8" t="s">
        <v>5080</v>
      </c>
      <c r="D15036" s="8">
        <v>33</v>
      </c>
      <c r="E15036" s="8">
        <v>0</v>
      </c>
      <c r="F15036" s="8">
        <v>162</v>
      </c>
    </row>
    <row r="15037" spans="1:6" ht="12.75">
      <c r="A15037" s="8">
        <v>43897.94122685185</v>
      </c>
      <c r="B15037" s="8" t="str">
        <f>HYPERLINK("https://twitter.com/UtomoFreddy","@UtomoFreddy")</f>
        <v>@UtomoFreddy</v>
      </c>
      <c r="C15037" s="8" t="s">
        <v>5080</v>
      </c>
      <c r="D15037" s="8">
        <v>33</v>
      </c>
      <c r="E15037" s="8">
        <v>0</v>
      </c>
      <c r="F15037" s="8">
        <v>111</v>
      </c>
    </row>
    <row r="15038" spans="1:6" ht="12.75">
      <c r="A15038" s="8">
        <v>43897.940995370373</v>
      </c>
      <c r="B15038" s="8" t="str">
        <f>HYPERLINK("https://twitter.com/maswuranto","@maswuranto")</f>
        <v>@maswuranto</v>
      </c>
      <c r="C15038" s="8" t="s">
        <v>5080</v>
      </c>
      <c r="D15038" s="8">
        <v>33</v>
      </c>
      <c r="E15038" s="8">
        <v>0</v>
      </c>
      <c r="F15038" s="8">
        <v>161</v>
      </c>
    </row>
    <row r="15039" spans="1:6" ht="12.75">
      <c r="A15039" s="8">
        <v>43897.940891203703</v>
      </c>
      <c r="B15039" s="8" t="str">
        <f>HYPERLINK("https://twitter.com/B_walwal_B","@B_walwal_B")</f>
        <v>@B_walwal_B</v>
      </c>
      <c r="C15039" s="8" t="s">
        <v>5080</v>
      </c>
      <c r="D15039" s="8">
        <v>33</v>
      </c>
      <c r="E15039" s="8">
        <v>0</v>
      </c>
      <c r="F15039" s="8">
        <v>6326</v>
      </c>
    </row>
    <row r="15040" spans="1:6" ht="12.75">
      <c r="A15040" s="8">
        <v>43897.940706018519</v>
      </c>
      <c r="B15040" s="8" t="str">
        <f>HYPERLINK("https://twitter.com/fifilalavina","@fifilalavina")</f>
        <v>@fifilalavina</v>
      </c>
      <c r="C15040" s="8" t="s">
        <v>4979</v>
      </c>
      <c r="D15040" s="8">
        <v>4</v>
      </c>
      <c r="E15040" s="8">
        <v>0</v>
      </c>
      <c r="F15040" s="8">
        <v>131</v>
      </c>
    </row>
    <row r="15041" spans="1:6" ht="12.75">
      <c r="A15041" s="8">
        <v>43897.940439814818</v>
      </c>
      <c r="B15041" s="8" t="str">
        <f>HYPERLINK("https://twitter.com/AisSyariif","@AisSyariif")</f>
        <v>@AisSyariif</v>
      </c>
      <c r="C15041" s="8" t="s">
        <v>5080</v>
      </c>
      <c r="D15041" s="8">
        <v>33</v>
      </c>
      <c r="E15041" s="8">
        <v>0</v>
      </c>
      <c r="F15041" s="8">
        <v>875</v>
      </c>
    </row>
    <row r="15042" spans="1:6" ht="12.75">
      <c r="A15042" s="8">
        <v>43897.940312499995</v>
      </c>
      <c r="B15042" s="8" t="str">
        <f>HYPERLINK("https://twitter.com/KompasTV","@KompasTV")</f>
        <v>@KompasTV</v>
      </c>
      <c r="C15042" s="8" t="s">
        <v>6080</v>
      </c>
      <c r="D15042" s="8">
        <v>0</v>
      </c>
      <c r="E15042" s="8">
        <v>3</v>
      </c>
      <c r="F15042" s="8">
        <v>2958608</v>
      </c>
    </row>
    <row r="15043" spans="1:6" ht="12.75">
      <c r="A15043" s="8">
        <v>43897.93917824074</v>
      </c>
      <c r="B15043" s="8" t="str">
        <f>HYPERLINK("https://twitter.com/wni_jmsri","@wni_jmsri")</f>
        <v>@wni_jmsri</v>
      </c>
      <c r="C15043" s="8" t="s">
        <v>6081</v>
      </c>
      <c r="D15043" s="8">
        <v>0</v>
      </c>
      <c r="E15043" s="8">
        <v>0</v>
      </c>
      <c r="F15043" s="8">
        <v>202</v>
      </c>
    </row>
    <row r="15044" spans="1:6" ht="12.75">
      <c r="A15044" s="8">
        <v>43897.938958333332</v>
      </c>
      <c r="B15044" s="8" t="str">
        <f>HYPERLINK("https://twitter.com/Napen21","@Napen21")</f>
        <v>@Napen21</v>
      </c>
      <c r="C15044" s="8" t="s">
        <v>5080</v>
      </c>
      <c r="D15044" s="8">
        <v>33</v>
      </c>
      <c r="E15044" s="8">
        <v>0</v>
      </c>
      <c r="F15044" s="8">
        <v>2356</v>
      </c>
    </row>
    <row r="15045" spans="1:6" ht="12.75">
      <c r="A15045" s="8">
        <v>43897.938900462963</v>
      </c>
      <c r="B15045" s="8" t="str">
        <f>HYPERLINK("https://twitter.com/frnandddo","@frnandddo")</f>
        <v>@frnandddo</v>
      </c>
      <c r="C15045" s="8" t="s">
        <v>6082</v>
      </c>
      <c r="D15045" s="8">
        <v>0</v>
      </c>
      <c r="E15045" s="8">
        <v>0</v>
      </c>
      <c r="F15045" s="8">
        <v>606</v>
      </c>
    </row>
    <row r="15046" spans="1:6" ht="12.75">
      <c r="A15046" s="8">
        <v>43897.938715277778</v>
      </c>
      <c r="B15046" s="8" t="str">
        <f>HYPERLINK("https://twitter.com/Shaline2ee","@Shaline2ee")</f>
        <v>@Shaline2ee</v>
      </c>
      <c r="C15046" s="8" t="s">
        <v>6083</v>
      </c>
      <c r="D15046" s="8">
        <v>0</v>
      </c>
      <c r="E15046" s="8">
        <v>0</v>
      </c>
      <c r="F15046" s="8">
        <v>2217</v>
      </c>
    </row>
    <row r="15047" spans="1:6" ht="12.75">
      <c r="A15047" s="8">
        <v>43897.938472222224</v>
      </c>
      <c r="B15047" s="8" t="str">
        <f>HYPERLINK("https://twitter.com/Jaiiawijaya","@Jaiiawijaya")</f>
        <v>@Jaiiawijaya</v>
      </c>
      <c r="C15047" s="8" t="s">
        <v>3265</v>
      </c>
      <c r="D15047" s="8">
        <v>43</v>
      </c>
      <c r="E15047" s="8">
        <v>0</v>
      </c>
      <c r="F15047" s="8">
        <v>1687</v>
      </c>
    </row>
    <row r="15048" spans="1:6" ht="12.75">
      <c r="A15048" s="8">
        <v>43897.938379629632</v>
      </c>
      <c r="B15048" s="8" t="str">
        <f>HYPERLINK("https://twitter.com/axrcturus","@axrcturus")</f>
        <v>@axrcturus</v>
      </c>
      <c r="C15048" s="8" t="s">
        <v>6084</v>
      </c>
      <c r="D15048" s="8">
        <v>0</v>
      </c>
      <c r="E15048" s="8">
        <v>0</v>
      </c>
      <c r="F15048" s="8">
        <v>142</v>
      </c>
    </row>
    <row r="15049" spans="1:6" ht="12.75">
      <c r="A15049" s="8">
        <v>43897.938368055555</v>
      </c>
      <c r="B15049" s="8" t="str">
        <f>HYPERLINK("https://twitter.com/wni_jmsri","@wni_jmsri")</f>
        <v>@wni_jmsri</v>
      </c>
      <c r="C15049" s="8" t="s">
        <v>6085</v>
      </c>
      <c r="D15049" s="8">
        <v>31</v>
      </c>
      <c r="E15049" s="8">
        <v>0</v>
      </c>
      <c r="F15049" s="8">
        <v>202</v>
      </c>
    </row>
    <row r="15050" spans="1:6" ht="12.75">
      <c r="A15050" s="8">
        <v>43897.93818287037</v>
      </c>
      <c r="B15050" s="8" t="str">
        <f>HYPERLINK("https://twitter.com/gembira683101","@gembira683101")</f>
        <v>@gembira683101</v>
      </c>
      <c r="C15050" s="8" t="s">
        <v>5080</v>
      </c>
      <c r="D15050" s="8">
        <v>33</v>
      </c>
      <c r="E15050" s="8">
        <v>0</v>
      </c>
      <c r="F15050" s="8">
        <v>257</v>
      </c>
    </row>
    <row r="15051" spans="1:6" ht="12.75">
      <c r="A15051" s="8">
        <v>43897.937905092593</v>
      </c>
      <c r="B15051" s="8" t="str">
        <f>HYPERLINK("https://twitter.com/gadisresidu_b3","@gadisresidu_b3")</f>
        <v>@gadisresidu_b3</v>
      </c>
      <c r="C15051" s="8" t="s">
        <v>6086</v>
      </c>
      <c r="D15051" s="8">
        <v>0</v>
      </c>
      <c r="E15051" s="8">
        <v>1</v>
      </c>
      <c r="F15051" s="8">
        <v>2248</v>
      </c>
    </row>
    <row r="15052" spans="1:6" ht="12.75">
      <c r="A15052" s="8">
        <v>43897.937824074077</v>
      </c>
      <c r="B15052" s="8" t="str">
        <f>HYPERLINK("https://twitter.com/KaishaStorm","@KaishaStorm")</f>
        <v>@KaishaStorm</v>
      </c>
      <c r="C15052" s="8" t="s">
        <v>3265</v>
      </c>
      <c r="D15052" s="8">
        <v>43</v>
      </c>
      <c r="E15052" s="8">
        <v>0</v>
      </c>
      <c r="F15052" s="8">
        <v>108</v>
      </c>
    </row>
    <row r="15053" spans="1:6" ht="12.75">
      <c r="A15053" s="8">
        <v>43897.937673611115</v>
      </c>
      <c r="B15053" s="8" t="str">
        <f>HYPERLINK("https://twitter.com/Jhonson44870169","@Jhonson44870169")</f>
        <v>@Jhonson44870169</v>
      </c>
      <c r="C15053" s="8" t="s">
        <v>5080</v>
      </c>
      <c r="D15053" s="8">
        <v>33</v>
      </c>
      <c r="E15053" s="8">
        <v>0</v>
      </c>
      <c r="F15053" s="8">
        <v>64</v>
      </c>
    </row>
    <row r="15054" spans="1:6" ht="12.75">
      <c r="A15054" s="8">
        <v>43897.937546296293</v>
      </c>
      <c r="B15054" s="8" t="str">
        <f>HYPERLINK("https://twitter.com/Noerzam0190","@Noerzam0190")</f>
        <v>@Noerzam0190</v>
      </c>
      <c r="C15054" s="8" t="s">
        <v>6087</v>
      </c>
      <c r="D15054" s="8">
        <v>0</v>
      </c>
      <c r="E15054" s="8">
        <v>0</v>
      </c>
      <c r="F15054" s="8">
        <v>1697</v>
      </c>
    </row>
    <row r="15055" spans="1:6" ht="12.75">
      <c r="A15055" s="8">
        <v>43897.936932870369</v>
      </c>
      <c r="B15055" s="8" t="str">
        <f>HYPERLINK("https://twitter.com/Aluna_Safitri","@Aluna_Safitri")</f>
        <v>@Aluna_Safitri</v>
      </c>
      <c r="C15055" s="8" t="s">
        <v>5080</v>
      </c>
      <c r="D15055" s="8">
        <v>33</v>
      </c>
      <c r="E15055" s="8">
        <v>0</v>
      </c>
      <c r="F15055" s="8">
        <v>305</v>
      </c>
    </row>
    <row r="15056" spans="1:6" ht="12.75">
      <c r="A15056" s="8">
        <v>43897.936793981484</v>
      </c>
      <c r="B15056" s="8" t="str">
        <f>HYPERLINK("https://twitter.com/suryani081089","@suryani081089")</f>
        <v>@suryani081089</v>
      </c>
      <c r="C15056" s="8" t="s">
        <v>5080</v>
      </c>
      <c r="D15056" s="8">
        <v>33</v>
      </c>
      <c r="E15056" s="8">
        <v>0</v>
      </c>
      <c r="F15056" s="8">
        <v>37</v>
      </c>
    </row>
    <row r="15057" spans="1:6" ht="12.75">
      <c r="A15057" s="8">
        <v>43897.936354166668</v>
      </c>
      <c r="B15057" s="8" t="str">
        <f>HYPERLINK("https://twitter.com/Akoe1008","@Akoe1008")</f>
        <v>@Akoe1008</v>
      </c>
      <c r="C15057" s="8" t="s">
        <v>3265</v>
      </c>
      <c r="D15057" s="8">
        <v>43</v>
      </c>
      <c r="E15057" s="8">
        <v>0</v>
      </c>
      <c r="F15057" s="8">
        <v>1216</v>
      </c>
    </row>
    <row r="15058" spans="1:6" ht="12.75">
      <c r="A15058" s="8">
        <v>43897.935474537036</v>
      </c>
      <c r="B15058" s="8" t="str">
        <f>HYPERLINK("https://twitter.com/gadisresidu_b3","@gadisresidu_b3")</f>
        <v>@gadisresidu_b3</v>
      </c>
      <c r="C15058" s="8" t="s">
        <v>6088</v>
      </c>
      <c r="D15058" s="8">
        <v>0</v>
      </c>
      <c r="E15058" s="8">
        <v>0</v>
      </c>
      <c r="F15058" s="8">
        <v>2248</v>
      </c>
    </row>
    <row r="15059" spans="1:6" ht="12.75">
      <c r="A15059" s="8">
        <v>43897.935208333336</v>
      </c>
      <c r="B15059" s="8" t="str">
        <f>HYPERLINK("https://twitter.com/sindoe","@sindoe")</f>
        <v>@sindoe</v>
      </c>
      <c r="C15059" s="8" t="s">
        <v>5080</v>
      </c>
      <c r="D15059" s="8">
        <v>33</v>
      </c>
      <c r="E15059" s="8">
        <v>0</v>
      </c>
      <c r="F15059" s="8">
        <v>151</v>
      </c>
    </row>
    <row r="15060" spans="1:6" ht="12.75">
      <c r="A15060" s="8">
        <v>43897.934918981482</v>
      </c>
      <c r="B15060" s="8" t="str">
        <f>HYPERLINK("https://twitter.com/gadisresidu_b3","@gadisresidu_b3")</f>
        <v>@gadisresidu_b3</v>
      </c>
      <c r="C15060" s="8" t="s">
        <v>6089</v>
      </c>
      <c r="D15060" s="8">
        <v>0</v>
      </c>
      <c r="E15060" s="8">
        <v>0</v>
      </c>
      <c r="F15060" s="8">
        <v>2248</v>
      </c>
    </row>
    <row r="15061" spans="1:6" ht="12.75">
      <c r="A15061" s="8">
        <v>43897.934606481482</v>
      </c>
      <c r="B15061" s="8" t="str">
        <f>HYPERLINK("https://twitter.com/almalmunawara94","@almalmunawara94")</f>
        <v>@almalmunawara94</v>
      </c>
      <c r="C15061" s="8" t="s">
        <v>6090</v>
      </c>
      <c r="D15061" s="8">
        <v>0</v>
      </c>
      <c r="E15061" s="8">
        <v>0</v>
      </c>
      <c r="F15061" s="8">
        <v>2</v>
      </c>
    </row>
    <row r="15062" spans="1:6" ht="12.75">
      <c r="A15062" s="8">
        <v>43897.934467592597</v>
      </c>
      <c r="B15062" s="8" t="str">
        <f>HYPERLINK("https://twitter.com/Fransaquet","@Fransaquet")</f>
        <v>@Fransaquet</v>
      </c>
      <c r="C15062" s="8" t="s">
        <v>5080</v>
      </c>
      <c r="D15062" s="8">
        <v>33</v>
      </c>
      <c r="E15062" s="8">
        <v>0</v>
      </c>
      <c r="F15062" s="8">
        <v>13</v>
      </c>
    </row>
    <row r="15063" spans="1:6" ht="12.75">
      <c r="A15063" s="8">
        <v>43897.934305555551</v>
      </c>
      <c r="B15063" s="8" t="str">
        <f>HYPERLINK("https://twitter.com/gadisresidu_b3","@gadisresidu_b3")</f>
        <v>@gadisresidu_b3</v>
      </c>
      <c r="C15063" s="8" t="s">
        <v>6091</v>
      </c>
      <c r="D15063" s="8">
        <v>0</v>
      </c>
      <c r="E15063" s="8">
        <v>0</v>
      </c>
      <c r="F15063" s="8">
        <v>2248</v>
      </c>
    </row>
    <row r="15064" spans="1:6" ht="12.75">
      <c r="A15064" s="8">
        <v>43897.93414351852</v>
      </c>
      <c r="B15064" s="8" t="str">
        <f>HYPERLINK("https://twitter.com/AndiSuraja","@AndiSuraja")</f>
        <v>@AndiSuraja</v>
      </c>
      <c r="C15064" s="8" t="s">
        <v>1986</v>
      </c>
      <c r="D15064" s="8">
        <v>877</v>
      </c>
      <c r="E15064" s="8">
        <v>0</v>
      </c>
      <c r="F15064" s="8">
        <v>4892</v>
      </c>
    </row>
    <row r="15065" spans="1:6" ht="12.75">
      <c r="A15065" s="8">
        <v>43897.933900462958</v>
      </c>
      <c r="B15065" s="8" t="str">
        <f>HYPERLINK("https://twitter.com/SagaSantorini","@SagaSantorini")</f>
        <v>@SagaSantorini</v>
      </c>
      <c r="C15065" s="8" t="s">
        <v>5080</v>
      </c>
      <c r="D15065" s="8">
        <v>33</v>
      </c>
      <c r="E15065" s="8">
        <v>0</v>
      </c>
      <c r="F15065" s="8">
        <v>43</v>
      </c>
    </row>
    <row r="15066" spans="1:6" ht="12.75">
      <c r="A15066" s="8">
        <v>43897.93378472222</v>
      </c>
      <c r="B15066" s="8" t="str">
        <f>HYPERLINK("https://twitter.com/tasya_4black","@tasya_4black")</f>
        <v>@tasya_4black</v>
      </c>
      <c r="C15066" s="8" t="s">
        <v>5080</v>
      </c>
      <c r="D15066" s="8">
        <v>33</v>
      </c>
      <c r="E15066" s="8">
        <v>0</v>
      </c>
      <c r="F15066" s="8">
        <v>98</v>
      </c>
    </row>
    <row r="15067" spans="1:6" ht="12.75">
      <c r="A15067" s="8">
        <v>43897.93368055555</v>
      </c>
      <c r="B15067" s="8" t="str">
        <f>HYPERLINK("https://twitter.com/GoldenrulesJong","@GoldenrulesJong")</f>
        <v>@GoldenrulesJong</v>
      </c>
      <c r="C15067" s="8" t="s">
        <v>5544</v>
      </c>
      <c r="D15067" s="8">
        <v>15</v>
      </c>
      <c r="E15067" s="8">
        <v>0</v>
      </c>
      <c r="F15067" s="8">
        <v>247</v>
      </c>
    </row>
    <row r="15068" spans="1:6" ht="12.75">
      <c r="A15068" s="8">
        <v>43897.933194444442</v>
      </c>
      <c r="B15068" s="8" t="str">
        <f>HYPERLINK("https://twitter.com/Realitarakyat01","@Realitarakyat01")</f>
        <v>@Realitarakyat01</v>
      </c>
      <c r="C15068" s="8" t="s">
        <v>6092</v>
      </c>
      <c r="D15068" s="8">
        <v>0</v>
      </c>
      <c r="E15068" s="8">
        <v>0</v>
      </c>
      <c r="F15068" s="8">
        <v>129</v>
      </c>
    </row>
    <row r="15069" spans="1:6" ht="12.75">
      <c r="A15069" s="8">
        <v>43897.932974537034</v>
      </c>
      <c r="B15069" s="8" t="str">
        <f>HYPERLINK("https://twitter.com/rnelancholie","@rnelancholie")</f>
        <v>@rnelancholie</v>
      </c>
      <c r="C15069" s="8" t="s">
        <v>6093</v>
      </c>
      <c r="D15069" s="8">
        <v>0</v>
      </c>
      <c r="E15069" s="8">
        <v>0</v>
      </c>
      <c r="F15069" s="8">
        <v>229</v>
      </c>
    </row>
    <row r="15070" spans="1:6" ht="12.75">
      <c r="A15070" s="8">
        <v>43897.92324074074</v>
      </c>
      <c r="B15070" s="8" t="str">
        <f>HYPERLINK("https://twitter.com/Neril23","@Neril23")</f>
        <v>@Neril23</v>
      </c>
      <c r="C15070" s="8" t="s">
        <v>3265</v>
      </c>
      <c r="D15070" s="8">
        <v>29</v>
      </c>
      <c r="E15070" s="8">
        <v>0</v>
      </c>
      <c r="F15070" s="8">
        <v>188</v>
      </c>
    </row>
    <row r="15071" spans="1:6" ht="12.75">
      <c r="A15071" s="8">
        <v>43897.922951388886</v>
      </c>
      <c r="B15071" s="8" t="str">
        <f>HYPERLINK("https://twitter.com/_wni_","@_wni_")</f>
        <v>@_wni_</v>
      </c>
      <c r="C15071" s="8" t="s">
        <v>6094</v>
      </c>
      <c r="D15071" s="8">
        <v>1631</v>
      </c>
      <c r="E15071" s="8">
        <v>0</v>
      </c>
      <c r="F15071" s="8">
        <v>16</v>
      </c>
    </row>
    <row r="15072" spans="1:6" ht="12.75">
      <c r="A15072" s="8">
        <v>43897.922465277778</v>
      </c>
      <c r="B15072" s="8" t="str">
        <f>HYPERLINK("https://twitter.com/jinniusgurl","@jinniusgurl")</f>
        <v>@jinniusgurl</v>
      </c>
      <c r="C15072" s="8" t="s">
        <v>6095</v>
      </c>
      <c r="D15072" s="8">
        <v>0</v>
      </c>
      <c r="E15072" s="8">
        <v>0</v>
      </c>
      <c r="F15072" s="8">
        <v>774</v>
      </c>
    </row>
    <row r="15073" spans="1:6" ht="12.75">
      <c r="A15073" s="8">
        <v>43897.921828703707</v>
      </c>
      <c r="B15073" s="8" t="str">
        <f>HYPERLINK("https://twitter.com/Rhoceng1","@Rhoceng1")</f>
        <v>@Rhoceng1</v>
      </c>
      <c r="C15073" s="8" t="s">
        <v>4818</v>
      </c>
      <c r="D15073" s="8">
        <v>277</v>
      </c>
      <c r="E15073" s="8">
        <v>0</v>
      </c>
      <c r="F15073" s="8">
        <v>73</v>
      </c>
    </row>
    <row r="15074" spans="1:6" ht="12.75">
      <c r="A15074" s="8">
        <v>43897.919074074074</v>
      </c>
      <c r="B15074" s="8" t="str">
        <f>HYPERLINK("https://twitter.com/AdvokatlK","@AdvokatlK")</f>
        <v>@AdvokatlK</v>
      </c>
      <c r="C15074" s="8" t="s">
        <v>3265</v>
      </c>
      <c r="D15074" s="8">
        <v>29</v>
      </c>
      <c r="E15074" s="8">
        <v>0</v>
      </c>
      <c r="F15074" s="8">
        <v>6925</v>
      </c>
    </row>
    <row r="15075" spans="1:6" ht="12.75">
      <c r="A15075" s="8">
        <v>43897.918946759259</v>
      </c>
      <c r="B15075" s="8" t="str">
        <f>HYPERLINK("https://twitter.com/ichadoni","@ichadoni")</f>
        <v>@ichadoni</v>
      </c>
      <c r="C15075" s="8" t="s">
        <v>6096</v>
      </c>
      <c r="D15075" s="8">
        <v>2</v>
      </c>
      <c r="E15075" s="8">
        <v>0</v>
      </c>
      <c r="F15075" s="8">
        <v>607</v>
      </c>
    </row>
    <row r="15076" spans="1:6" ht="12.75">
      <c r="A15076" s="8">
        <v>43897.918819444443</v>
      </c>
      <c r="B15076" s="8" t="str">
        <f>HYPERLINK("https://twitter.com/AlvaroDeBazan2","@AlvaroDeBazan2")</f>
        <v>@AlvaroDeBazan2</v>
      </c>
      <c r="C15076" s="8" t="s">
        <v>6097</v>
      </c>
      <c r="D15076" s="8">
        <v>3</v>
      </c>
      <c r="E15076" s="8">
        <v>0</v>
      </c>
      <c r="F15076" s="8">
        <v>274</v>
      </c>
    </row>
    <row r="15077" spans="1:6" ht="12.75">
      <c r="A15077" s="8">
        <v>43897.918599537035</v>
      </c>
      <c r="B15077" s="8" t="str">
        <f>HYPERLINK("https://twitter.com/BudiatnoGomarus","@BudiatnoGomarus")</f>
        <v>@BudiatnoGomarus</v>
      </c>
      <c r="C15077" s="8" t="s">
        <v>6098</v>
      </c>
      <c r="D15077" s="8">
        <v>0</v>
      </c>
      <c r="E15077" s="8">
        <v>2</v>
      </c>
      <c r="F15077" s="8">
        <v>3651</v>
      </c>
    </row>
    <row r="15078" spans="1:6" ht="12.75">
      <c r="A15078" s="8">
        <v>43897.918298611112</v>
      </c>
      <c r="B15078" s="8" t="str">
        <f>HYPERLINK("https://twitter.com/KBRI_Pretoria","@KBRI_Pretoria")</f>
        <v>@KBRI_Pretoria</v>
      </c>
      <c r="C15078" s="8" t="s">
        <v>4162</v>
      </c>
      <c r="D15078" s="8">
        <v>92</v>
      </c>
      <c r="E15078" s="8">
        <v>0</v>
      </c>
      <c r="F15078" s="8">
        <v>841</v>
      </c>
    </row>
    <row r="15079" spans="1:6" ht="12.75">
      <c r="A15079" s="8">
        <v>43897.917743055557</v>
      </c>
      <c r="B15079" s="8" t="str">
        <f>HYPERLINK("https://twitter.com/_fireshare","@_fireshare")</f>
        <v>@_fireshare</v>
      </c>
      <c r="C15079" s="8" t="s">
        <v>6099</v>
      </c>
      <c r="D15079" s="8">
        <v>0</v>
      </c>
      <c r="E15079" s="8">
        <v>0</v>
      </c>
      <c r="F15079" s="8">
        <v>529</v>
      </c>
    </row>
    <row r="15080" spans="1:6" ht="12.75">
      <c r="A15080" s="8">
        <v>43897.917453703703</v>
      </c>
      <c r="B15080" s="8" t="str">
        <f>HYPERLINK("https://twitter.com/q17makinghuman1","@q17makinghuman1")</f>
        <v>@q17makinghuman1</v>
      </c>
      <c r="C15080" s="8" t="s">
        <v>6100</v>
      </c>
      <c r="D15080" s="8">
        <v>0</v>
      </c>
      <c r="E15080" s="8">
        <v>0</v>
      </c>
      <c r="F15080" s="8">
        <v>152</v>
      </c>
    </row>
    <row r="15081" spans="1:6" ht="12.75">
      <c r="A15081" s="8">
        <v>43897.917210648149</v>
      </c>
      <c r="B15081" s="8" t="str">
        <f>HYPERLINK("https://twitter.com/gresnewsdotcom","@gresnewsdotcom")</f>
        <v>@gresnewsdotcom</v>
      </c>
      <c r="C15081" s="8" t="s">
        <v>6101</v>
      </c>
      <c r="D15081" s="8">
        <v>0</v>
      </c>
      <c r="E15081" s="8">
        <v>0</v>
      </c>
      <c r="F15081" s="8">
        <v>16776</v>
      </c>
    </row>
    <row r="15082" spans="1:6" ht="12.75">
      <c r="A15082" s="8">
        <v>43897.916562500002</v>
      </c>
      <c r="B15082" s="8" t="str">
        <f>HYPERLINK("https://twitter.com/Salim_Semm","@Salim_Semm")</f>
        <v>@Salim_Semm</v>
      </c>
      <c r="C15082" s="8" t="s">
        <v>6102</v>
      </c>
      <c r="D15082" s="8">
        <v>0</v>
      </c>
      <c r="E15082" s="8">
        <v>0</v>
      </c>
      <c r="F15082" s="8">
        <v>2162</v>
      </c>
    </row>
    <row r="15083" spans="1:6" ht="12.75">
      <c r="A15083" s="8">
        <v>43897.916030092594</v>
      </c>
      <c r="B15083" s="8" t="str">
        <f>HYPERLINK("https://twitter.com/sonyferryYK","@sonyferryYK")</f>
        <v>@sonyferryYK</v>
      </c>
      <c r="C15083" s="8" t="s">
        <v>6103</v>
      </c>
      <c r="D15083" s="8">
        <v>0</v>
      </c>
      <c r="E15083" s="8">
        <v>0</v>
      </c>
      <c r="F15083" s="8">
        <v>387</v>
      </c>
    </row>
    <row r="15084" spans="1:6" ht="12.75">
      <c r="A15084" s="8">
        <v>43897.915092592593</v>
      </c>
      <c r="B15084" s="8" t="str">
        <f>HYPERLINK("https://twitter.com/RirisRespati3","@RirisRespati3")</f>
        <v>@RirisRespati3</v>
      </c>
      <c r="C15084" s="8" t="s">
        <v>6104</v>
      </c>
      <c r="D15084" s="8">
        <v>0</v>
      </c>
      <c r="E15084" s="8">
        <v>0</v>
      </c>
      <c r="F15084" s="8">
        <v>39</v>
      </c>
    </row>
    <row r="15085" spans="1:6" ht="12.75">
      <c r="A15085" s="8">
        <v>43897.914143518516</v>
      </c>
      <c r="B15085" s="8" t="str">
        <f>HYPERLINK("https://twitter.com/gregdewanto","@gregdewanto")</f>
        <v>@gregdewanto</v>
      </c>
      <c r="C15085" s="8" t="s">
        <v>6105</v>
      </c>
      <c r="D15085" s="8">
        <v>4</v>
      </c>
      <c r="E15085" s="8">
        <v>0</v>
      </c>
      <c r="F15085" s="8">
        <v>293</v>
      </c>
    </row>
    <row r="15086" spans="1:6" ht="12.75">
      <c r="A15086" s="8">
        <v>43897.914039351846</v>
      </c>
      <c r="B15086" s="8" t="str">
        <f>HYPERLINK("https://twitter.com/tukanganggur","@tukanganggur")</f>
        <v>@tukanganggur</v>
      </c>
      <c r="C15086" s="8" t="s">
        <v>6106</v>
      </c>
      <c r="D15086" s="8">
        <v>0</v>
      </c>
      <c r="E15086" s="8">
        <v>0</v>
      </c>
      <c r="F15086" s="8">
        <v>145</v>
      </c>
    </row>
    <row r="15087" spans="1:6" ht="12.75">
      <c r="A15087" s="8">
        <v>43897.912453703699</v>
      </c>
      <c r="B15087" s="8" t="str">
        <f>HYPERLINK("https://twitter.com/Hendrasugandi","@Hendrasugandi")</f>
        <v>@Hendrasugandi</v>
      </c>
      <c r="C15087" s="8" t="s">
        <v>6107</v>
      </c>
      <c r="D15087" s="8">
        <v>0</v>
      </c>
      <c r="E15087" s="8">
        <v>0</v>
      </c>
      <c r="F15087" s="8">
        <v>368</v>
      </c>
    </row>
    <row r="15088" spans="1:6" ht="12.75">
      <c r="A15088" s="8">
        <v>43897.911076388889</v>
      </c>
      <c r="B15088" s="8" t="str">
        <f>HYPERLINK("https://twitter.com/JhondoexlxG","@JhondoexlxG")</f>
        <v>@JhondoexlxG</v>
      </c>
      <c r="C15088" s="8" t="s">
        <v>3265</v>
      </c>
      <c r="D15088" s="8">
        <v>29</v>
      </c>
      <c r="E15088" s="8">
        <v>0</v>
      </c>
      <c r="F15088" s="8">
        <v>525</v>
      </c>
    </row>
    <row r="15089" spans="1:6" ht="12.75">
      <c r="A15089" s="8">
        <v>43897.910740740743</v>
      </c>
      <c r="B15089" s="8" t="str">
        <f>HYPERLINK("https://twitter.com/krnaurora","@krnaurora")</f>
        <v>@krnaurora</v>
      </c>
      <c r="C15089" s="8" t="s">
        <v>6108</v>
      </c>
      <c r="D15089" s="8">
        <v>0</v>
      </c>
      <c r="E15089" s="8">
        <v>0</v>
      </c>
      <c r="F15089" s="8">
        <v>901</v>
      </c>
    </row>
    <row r="15090" spans="1:6" ht="12.75">
      <c r="A15090" s="8">
        <v>43897.909814814819</v>
      </c>
      <c r="B15090" s="8" t="str">
        <f>HYPERLINK("https://twitter.com/_wni_","@_wni_")</f>
        <v>@_wni_</v>
      </c>
      <c r="C15090" s="8" t="s">
        <v>6109</v>
      </c>
      <c r="D15090" s="8">
        <v>14927</v>
      </c>
      <c r="E15090" s="8">
        <v>0</v>
      </c>
      <c r="F15090" s="8">
        <v>16</v>
      </c>
    </row>
    <row r="15091" spans="1:6" ht="12.75">
      <c r="A15091" s="8">
        <v>43897.909618055557</v>
      </c>
      <c r="B15091" s="8" t="str">
        <f>HYPERLINK("https://twitter.com/ssuryoseptono","@ssuryoseptono")</f>
        <v>@ssuryoseptono</v>
      </c>
      <c r="C15091" s="8" t="s">
        <v>3213</v>
      </c>
      <c r="D15091" s="8">
        <v>323</v>
      </c>
      <c r="E15091" s="8">
        <v>0</v>
      </c>
      <c r="F15091" s="8">
        <v>1403</v>
      </c>
    </row>
    <row r="15092" spans="1:6" ht="12.75">
      <c r="A15092" s="8">
        <v>43897.909502314811</v>
      </c>
      <c r="B15092" s="8" t="str">
        <f>HYPERLINK("https://twitter.com/erdian_n","@erdian_n")</f>
        <v>@erdian_n</v>
      </c>
      <c r="C15092" s="8" t="s">
        <v>3265</v>
      </c>
      <c r="D15092" s="8">
        <v>29</v>
      </c>
      <c r="E15092" s="8">
        <v>0</v>
      </c>
      <c r="F15092" s="8">
        <v>742</v>
      </c>
    </row>
    <row r="15093" spans="1:6" ht="12.75">
      <c r="A15093" s="8">
        <v>43897.909421296295</v>
      </c>
      <c r="B15093" s="8" t="str">
        <f>HYPERLINK("https://twitter.com/Budihar21525608","@Budihar21525608")</f>
        <v>@Budihar21525608</v>
      </c>
      <c r="C15093" s="8" t="s">
        <v>6110</v>
      </c>
      <c r="D15093" s="8">
        <v>1</v>
      </c>
      <c r="E15093" s="8">
        <v>0</v>
      </c>
      <c r="F15093" s="8">
        <v>6313</v>
      </c>
    </row>
    <row r="15094" spans="1:6" ht="12.75">
      <c r="A15094" s="8">
        <v>43897.909282407403</v>
      </c>
      <c r="B15094" s="8" t="str">
        <f>HYPERLINK("https://twitter.com/IrwanBastian15","@IrwanBastian15")</f>
        <v>@IrwanBastian15</v>
      </c>
      <c r="C15094" s="8" t="s">
        <v>3265</v>
      </c>
      <c r="D15094" s="8">
        <v>29</v>
      </c>
      <c r="E15094" s="8">
        <v>0</v>
      </c>
      <c r="F15094" s="8">
        <v>923</v>
      </c>
    </row>
    <row r="15095" spans="1:6" ht="12.75">
      <c r="A15095" s="8">
        <v>43897.908726851849</v>
      </c>
      <c r="B15095" s="8" t="str">
        <f>HYPERLINK("https://twitter.com/linalintanajib","@linalintanajib")</f>
        <v>@linalintanajib</v>
      </c>
      <c r="C15095" s="8" t="s">
        <v>6111</v>
      </c>
      <c r="D15095" s="8">
        <v>0</v>
      </c>
      <c r="E15095" s="8">
        <v>0</v>
      </c>
      <c r="F15095" s="8">
        <v>18</v>
      </c>
    </row>
    <row r="15096" spans="1:6" ht="12.75">
      <c r="A15096" s="8">
        <v>43897.908391203702</v>
      </c>
      <c r="B15096" s="8" t="str">
        <f>HYPERLINK("https://twitter.com/AsepSuwarno77","@AsepSuwarno77")</f>
        <v>@AsepSuwarno77</v>
      </c>
      <c r="C15096" s="8" t="s">
        <v>5914</v>
      </c>
      <c r="D15096" s="8">
        <v>9</v>
      </c>
      <c r="E15096" s="8">
        <v>0</v>
      </c>
      <c r="F15096" s="8">
        <v>5745</v>
      </c>
    </row>
    <row r="15097" spans="1:6" ht="12.75">
      <c r="A15097" s="8">
        <v>43897.90825231481</v>
      </c>
      <c r="B15097" s="8" t="str">
        <f>HYPERLINK("https://twitter.com/GnpfBullshit212","@GnpfBullshit212")</f>
        <v>@GnpfBullshit212</v>
      </c>
      <c r="C15097" s="8" t="s">
        <v>5544</v>
      </c>
      <c r="D15097" s="8">
        <v>11</v>
      </c>
      <c r="E15097" s="8">
        <v>0</v>
      </c>
      <c r="F15097" s="8">
        <v>1024</v>
      </c>
    </row>
    <row r="15098" spans="1:6" ht="12.75">
      <c r="A15098" s="8">
        <v>43897.907870370371</v>
      </c>
      <c r="B15098" s="8" t="str">
        <f>HYPERLINK("https://twitter.com/aby_manyu1709","@aby_manyu1709")</f>
        <v>@aby_manyu1709</v>
      </c>
      <c r="C15098" s="8" t="s">
        <v>4818</v>
      </c>
      <c r="D15098" s="8">
        <v>277</v>
      </c>
      <c r="E15098" s="8">
        <v>0</v>
      </c>
      <c r="F15098" s="8">
        <v>298</v>
      </c>
    </row>
    <row r="15099" spans="1:6" ht="12.75">
      <c r="A15099" s="8">
        <v>43897.907812500001</v>
      </c>
      <c r="B15099" s="8" t="str">
        <f>HYPERLINK("https://twitter.com/danieldnl91","@danieldnl91")</f>
        <v>@danieldnl91</v>
      </c>
      <c r="C15099" s="8" t="s">
        <v>5704</v>
      </c>
      <c r="D15099" s="8">
        <v>46</v>
      </c>
      <c r="E15099" s="8">
        <v>0</v>
      </c>
      <c r="F15099" s="8">
        <v>559</v>
      </c>
    </row>
    <row r="15100" spans="1:6" ht="12.75">
      <c r="A15100" s="8">
        <v>43897.907662037032</v>
      </c>
      <c r="B15100" s="8" t="str">
        <f>HYPERLINK("https://twitter.com/SShani0000","@SShani0000")</f>
        <v>@SShani0000</v>
      </c>
      <c r="C15100" s="8" t="s">
        <v>6112</v>
      </c>
      <c r="D15100" s="8">
        <v>0</v>
      </c>
      <c r="E15100" s="8">
        <v>1</v>
      </c>
      <c r="F15100" s="8">
        <v>7</v>
      </c>
    </row>
    <row r="15101" spans="1:6" ht="12.75">
      <c r="A15101" s="8">
        <v>43897.906747685185</v>
      </c>
      <c r="B15101" s="8" t="str">
        <f>HYPERLINK("https://twitter.com/ronirustamadji","@ronirustamadji")</f>
        <v>@ronirustamadji</v>
      </c>
      <c r="C15101" s="8" t="s">
        <v>6113</v>
      </c>
      <c r="D15101" s="8">
        <v>19</v>
      </c>
      <c r="E15101" s="8">
        <v>0</v>
      </c>
      <c r="F15101" s="8">
        <v>3356</v>
      </c>
    </row>
    <row r="15102" spans="1:6" ht="12.75">
      <c r="A15102" s="8">
        <v>43897.906631944439</v>
      </c>
      <c r="B15102" s="8" t="str">
        <f>HYPERLINK("https://twitter.com/idntimes","@idntimes")</f>
        <v>@idntimes</v>
      </c>
      <c r="C15102" s="8" t="s">
        <v>6114</v>
      </c>
      <c r="D15102" s="8">
        <v>0</v>
      </c>
      <c r="E15102" s="8">
        <v>0</v>
      </c>
      <c r="F15102" s="8">
        <v>394191</v>
      </c>
    </row>
    <row r="15103" spans="1:6" ht="12.75">
      <c r="A15103" s="8">
        <v>43897.90662037037</v>
      </c>
      <c r="B15103" s="8" t="str">
        <f>HYPERLINK("https://twitter.com/AtikahZahidah_","@AtikahZahidah_")</f>
        <v>@AtikahZahidah_</v>
      </c>
      <c r="C15103" s="8" t="s">
        <v>5544</v>
      </c>
      <c r="D15103" s="8">
        <v>11</v>
      </c>
      <c r="E15103" s="8">
        <v>0</v>
      </c>
      <c r="F15103" s="8">
        <v>3353</v>
      </c>
    </row>
    <row r="15104" spans="1:6" ht="12.75">
      <c r="A15104" s="8">
        <v>43897.906168981484</v>
      </c>
      <c r="B15104" s="8" t="str">
        <f>HYPERLINK("https://twitter.com/muji_haryaka","@muji_haryaka")</f>
        <v>@muji_haryaka</v>
      </c>
      <c r="C15104" s="8" t="s">
        <v>6115</v>
      </c>
      <c r="D15104" s="8">
        <v>0</v>
      </c>
      <c r="E15104" s="8">
        <v>0</v>
      </c>
      <c r="F15104" s="8">
        <v>1144</v>
      </c>
    </row>
    <row r="15105" spans="1:6" ht="12.75">
      <c r="A15105" s="8">
        <v>43897.906041666662</v>
      </c>
      <c r="B15105" s="8" t="str">
        <f>HYPERLINK("https://twitter.com/NilaKencana8","@NilaKencana8")</f>
        <v>@NilaKencana8</v>
      </c>
      <c r="C15105" s="8" t="s">
        <v>6116</v>
      </c>
      <c r="D15105" s="8">
        <v>0</v>
      </c>
      <c r="E15105" s="8">
        <v>1</v>
      </c>
      <c r="F15105" s="8">
        <v>4799</v>
      </c>
    </row>
    <row r="15106" spans="1:6" ht="12.75">
      <c r="A15106" s="8">
        <v>43897.905775462961</v>
      </c>
      <c r="B15106" s="8" t="str">
        <f>HYPERLINK("https://twitter.com/andreaswulando2","@andreaswulando2")</f>
        <v>@andreaswulando2</v>
      </c>
      <c r="C15106" s="8" t="s">
        <v>3213</v>
      </c>
      <c r="D15106" s="8">
        <v>323</v>
      </c>
      <c r="E15106" s="8">
        <v>0</v>
      </c>
      <c r="F15106" s="8">
        <v>823</v>
      </c>
    </row>
    <row r="15107" spans="1:6" ht="12.75">
      <c r="A15107" s="8">
        <v>43897.905717592592</v>
      </c>
      <c r="B15107" s="8" t="str">
        <f>HYPERLINK("https://twitter.com/3_devout","@3_devout")</f>
        <v>@3_devout</v>
      </c>
      <c r="C15107" s="8" t="s">
        <v>6039</v>
      </c>
      <c r="D15107" s="8">
        <v>3</v>
      </c>
      <c r="E15107" s="8">
        <v>0</v>
      </c>
      <c r="F15107" s="8">
        <v>1071</v>
      </c>
    </row>
    <row r="15108" spans="1:6" ht="12.75">
      <c r="A15108" s="8">
        <v>43897.90489583333</v>
      </c>
      <c r="B15108" s="8" t="str">
        <f>HYPERLINK("https://twitter.com/aderahendra1","@aderahendra1")</f>
        <v>@aderahendra1</v>
      </c>
      <c r="C15108" s="8" t="s">
        <v>4979</v>
      </c>
      <c r="D15108" s="8">
        <v>3</v>
      </c>
      <c r="E15108" s="8">
        <v>0</v>
      </c>
      <c r="F15108" s="8">
        <v>467</v>
      </c>
    </row>
    <row r="15109" spans="1:6" ht="12.75">
      <c r="A15109" s="8">
        <v>43897.904780092591</v>
      </c>
      <c r="B15109" s="8" t="str">
        <f>HYPERLINK("https://twitter.com/Tutup_Teko","@Tutup_Teko")</f>
        <v>@Tutup_Teko</v>
      </c>
      <c r="C15109" s="8" t="s">
        <v>5544</v>
      </c>
      <c r="D15109" s="8">
        <v>11</v>
      </c>
      <c r="E15109" s="8">
        <v>0</v>
      </c>
      <c r="F15109" s="8">
        <v>1297</v>
      </c>
    </row>
    <row r="15110" spans="1:6" ht="12.75">
      <c r="A15110" s="8">
        <v>43897.904293981483</v>
      </c>
      <c r="B15110" s="8" t="str">
        <f>HYPERLINK("https://twitter.com/dubie_tina","@dubie_tina")</f>
        <v>@dubie_tina</v>
      </c>
      <c r="C15110" s="8" t="s">
        <v>6117</v>
      </c>
      <c r="D15110" s="8">
        <v>1</v>
      </c>
      <c r="E15110" s="8">
        <v>0</v>
      </c>
      <c r="F15110" s="8">
        <v>1099</v>
      </c>
    </row>
    <row r="15111" spans="1:6" ht="12.75">
      <c r="A15111" s="8">
        <v>43897.904282407406</v>
      </c>
      <c r="B15111" s="8" t="str">
        <f>HYPERLINK("https://twitter.com/frida_rahardjo","@frida_rahardjo")</f>
        <v>@frida_rahardjo</v>
      </c>
      <c r="C15111" s="8" t="s">
        <v>5544</v>
      </c>
      <c r="D15111" s="8">
        <v>11</v>
      </c>
      <c r="E15111" s="8">
        <v>0</v>
      </c>
      <c r="F15111" s="8">
        <v>1483</v>
      </c>
    </row>
    <row r="15112" spans="1:6" ht="12.75">
      <c r="A15112" s="8">
        <v>43897.903715277775</v>
      </c>
      <c r="B15112" s="8" t="str">
        <f>HYPERLINK("https://twitter.com/dubie_tina","@dubie_tina")</f>
        <v>@dubie_tina</v>
      </c>
      <c r="C15112" s="8" t="s">
        <v>6118</v>
      </c>
      <c r="D15112" s="8">
        <v>1</v>
      </c>
      <c r="E15112" s="8">
        <v>0</v>
      </c>
      <c r="F15112" s="8">
        <v>1099</v>
      </c>
    </row>
    <row r="15113" spans="1:6" ht="12.75">
      <c r="A15113" s="8">
        <v>43897.901608796295</v>
      </c>
      <c r="B15113" s="8" t="str">
        <f>HYPERLINK("https://twitter.com/rafifa_kayla","@rafifa_kayla")</f>
        <v>@rafifa_kayla</v>
      </c>
      <c r="C15113" s="8" t="s">
        <v>5544</v>
      </c>
      <c r="D15113" s="8">
        <v>11</v>
      </c>
      <c r="E15113" s="8">
        <v>0</v>
      </c>
      <c r="F15113" s="8">
        <v>953</v>
      </c>
    </row>
    <row r="15114" spans="1:6" ht="12.75">
      <c r="A15114" s="8">
        <v>43897.901099537034</v>
      </c>
      <c r="B15114" s="8" t="str">
        <f>HYPERLINK("https://twitter.com/Bentalakelam","@Bentalakelam")</f>
        <v>@Bentalakelam</v>
      </c>
      <c r="C15114" s="8" t="s">
        <v>6119</v>
      </c>
      <c r="D15114" s="8">
        <v>1</v>
      </c>
      <c r="E15114" s="8">
        <v>3</v>
      </c>
      <c r="F15114" s="8">
        <v>2480</v>
      </c>
    </row>
    <row r="15115" spans="1:6" ht="12.75">
      <c r="A15115" s="8">
        <v>43897.900266203702</v>
      </c>
      <c r="B15115" s="8" t="str">
        <f>HYPERLINK("https://twitter.com/Steve_WoZ","@Steve_WoZ")</f>
        <v>@Steve_WoZ</v>
      </c>
      <c r="C15115" s="8" t="s">
        <v>3213</v>
      </c>
      <c r="D15115" s="8">
        <v>323</v>
      </c>
      <c r="E15115" s="8">
        <v>0</v>
      </c>
      <c r="F15115" s="8">
        <v>228</v>
      </c>
    </row>
    <row r="15116" spans="1:6" ht="12.75">
      <c r="A15116" s="8">
        <v>43897.90006944444</v>
      </c>
      <c r="B15116" s="8" t="str">
        <f>HYPERLINK("https://twitter.com/eki_rizki_rizki","@eki_rizki_rizki")</f>
        <v>@eki_rizki_rizki</v>
      </c>
      <c r="C15116" s="8" t="s">
        <v>6120</v>
      </c>
      <c r="D15116" s="8">
        <v>9</v>
      </c>
      <c r="E15116" s="8">
        <v>0</v>
      </c>
      <c r="F15116" s="8">
        <v>419</v>
      </c>
    </row>
    <row r="15117" spans="1:6" ht="12.75">
      <c r="A15117" s="8">
        <v>43897.9</v>
      </c>
      <c r="B15117" s="8" t="str">
        <f>HYPERLINK("https://twitter.com/baduuut","@baduuut")</f>
        <v>@baduuut</v>
      </c>
      <c r="C15117" s="8" t="s">
        <v>6121</v>
      </c>
      <c r="D15117" s="8">
        <v>0</v>
      </c>
      <c r="E15117" s="8">
        <v>0</v>
      </c>
      <c r="F15117" s="8">
        <v>244</v>
      </c>
    </row>
    <row r="15118" spans="1:6" ht="12.75">
      <c r="A15118" s="8">
        <v>43897.899768518517</v>
      </c>
      <c r="B15118" s="8" t="str">
        <f>HYPERLINK("https://twitter.com/Lovina_ZS","@Lovina_ZS")</f>
        <v>@Lovina_ZS</v>
      </c>
      <c r="C15118" s="8" t="s">
        <v>6039</v>
      </c>
      <c r="D15118" s="8">
        <v>3</v>
      </c>
      <c r="E15118" s="8">
        <v>0</v>
      </c>
      <c r="F15118" s="8">
        <v>1468</v>
      </c>
    </row>
    <row r="15119" spans="1:6" ht="12.75">
      <c r="A15119" s="8">
        <v>43897.898611111115</v>
      </c>
      <c r="B15119" s="8" t="str">
        <f>HYPERLINK("https://twitter.com/Anak_Kodokkkk","@Anak_Kodokkkk")</f>
        <v>@Anak_Kodokkkk</v>
      </c>
      <c r="C15119" s="8" t="s">
        <v>6122</v>
      </c>
      <c r="D15119" s="8">
        <v>0</v>
      </c>
      <c r="E15119" s="8">
        <v>0</v>
      </c>
      <c r="F15119" s="8">
        <v>32</v>
      </c>
    </row>
    <row r="15120" spans="1:6" ht="12.75">
      <c r="A15120" s="8">
        <v>43897.898182870369</v>
      </c>
      <c r="B15120" s="8" t="str">
        <f>HYPERLINK("https://twitter.com/dajjaltamvan","@dajjaltamvan")</f>
        <v>@dajjaltamvan</v>
      </c>
      <c r="C15120" s="8" t="s">
        <v>6123</v>
      </c>
      <c r="D15120" s="8">
        <v>2</v>
      </c>
      <c r="E15120" s="8">
        <v>0</v>
      </c>
      <c r="F15120" s="8">
        <v>148</v>
      </c>
    </row>
    <row r="15121" spans="1:6" ht="12.75">
      <c r="A15121" s="8">
        <v>43897.898009259261</v>
      </c>
      <c r="B15121" s="8" t="str">
        <f>HYPERLINK("https://twitter.com/Lovina_ZS","@Lovina_ZS")</f>
        <v>@Lovina_ZS</v>
      </c>
      <c r="C15121" s="8" t="s">
        <v>4979</v>
      </c>
      <c r="D15121" s="8">
        <v>3</v>
      </c>
      <c r="E15121" s="8">
        <v>0</v>
      </c>
      <c r="F15121" s="8">
        <v>1468</v>
      </c>
    </row>
    <row r="15122" spans="1:6" ht="12.75">
      <c r="A15122" s="8">
        <v>43897.896909722222</v>
      </c>
      <c r="B15122" s="8" t="str">
        <f>HYPERLINK("https://twitter.com/Union16257258","@Union16257258")</f>
        <v>@Union16257258</v>
      </c>
      <c r="C15122" s="8" t="s">
        <v>6124</v>
      </c>
      <c r="D15122" s="8">
        <v>0</v>
      </c>
      <c r="E15122" s="8">
        <v>1</v>
      </c>
      <c r="F15122" s="8">
        <v>60</v>
      </c>
    </row>
    <row r="15123" spans="1:6" ht="12.75">
      <c r="A15123" s="8">
        <v>43897.896168981482</v>
      </c>
      <c r="B15123" s="8" t="str">
        <f>HYPERLINK("https://twitter.com/si3positif","@si3positif")</f>
        <v>@si3positif</v>
      </c>
      <c r="C15123" s="8" t="s">
        <v>3265</v>
      </c>
      <c r="D15123" s="8">
        <v>29</v>
      </c>
      <c r="E15123" s="8">
        <v>0</v>
      </c>
      <c r="F15123" s="8">
        <v>164</v>
      </c>
    </row>
    <row r="15124" spans="1:6" ht="12.75">
      <c r="A15124" s="8">
        <v>43897.895740740743</v>
      </c>
      <c r="B15124" s="8" t="str">
        <f>HYPERLINK("https://twitter.com/akangilyaas","@akangilyaas")</f>
        <v>@akangilyaas</v>
      </c>
      <c r="C15124" s="8" t="s">
        <v>5544</v>
      </c>
      <c r="D15124" s="8">
        <v>11</v>
      </c>
      <c r="E15124" s="8">
        <v>0</v>
      </c>
      <c r="F15124" s="8">
        <v>1527</v>
      </c>
    </row>
    <row r="15125" spans="1:6" ht="12.75">
      <c r="A15125" s="8">
        <v>43897.895416666666</v>
      </c>
      <c r="B15125" s="8" t="str">
        <f>HYPERLINK("https://twitter.com/MichaelHarto77","@MichaelHarto77")</f>
        <v>@MichaelHarto77</v>
      </c>
      <c r="C15125" s="8" t="s">
        <v>5544</v>
      </c>
      <c r="D15125" s="8">
        <v>11</v>
      </c>
      <c r="E15125" s="8">
        <v>0</v>
      </c>
      <c r="F15125" s="8">
        <v>4835</v>
      </c>
    </row>
    <row r="15126" spans="1:6" ht="12.75">
      <c r="A15126" s="8">
        <v>43897.895370370374</v>
      </c>
      <c r="B15126" s="8" t="str">
        <f>HYPERLINK("https://twitter.com/DanangPremadi","@DanangPremadi")</f>
        <v>@DanangPremadi</v>
      </c>
      <c r="C15126" s="8" t="s">
        <v>6125</v>
      </c>
      <c r="D15126" s="8">
        <v>0</v>
      </c>
      <c r="E15126" s="8">
        <v>0</v>
      </c>
      <c r="F15126" s="8">
        <v>163</v>
      </c>
    </row>
    <row r="15127" spans="1:6" ht="12.75">
      <c r="A15127" s="8">
        <v>43897.895254629635</v>
      </c>
      <c r="B15127" s="8" t="str">
        <f>HYPERLINK("https://twitter.com/AcceptMeLord","@AcceptMeLord")</f>
        <v>@AcceptMeLord</v>
      </c>
      <c r="C15127" s="8" t="s">
        <v>6123</v>
      </c>
      <c r="D15127" s="8">
        <v>2</v>
      </c>
      <c r="E15127" s="8">
        <v>0</v>
      </c>
      <c r="F15127" s="8">
        <v>325</v>
      </c>
    </row>
    <row r="15128" spans="1:6" ht="12.75">
      <c r="A15128" s="8">
        <v>43897.894768518519</v>
      </c>
      <c r="B15128" s="8" t="str">
        <f>HYPERLINK("https://twitter.com/ssuryoseptono","@ssuryoseptono")</f>
        <v>@ssuryoseptono</v>
      </c>
      <c r="C15128" s="8" t="s">
        <v>4818</v>
      </c>
      <c r="D15128" s="8">
        <v>277</v>
      </c>
      <c r="E15128" s="8">
        <v>0</v>
      </c>
      <c r="F15128" s="8">
        <v>1403</v>
      </c>
    </row>
    <row r="15129" spans="1:6" ht="12.75">
      <c r="A15129" s="8">
        <v>43897.89472222222</v>
      </c>
      <c r="B15129" s="8" t="str">
        <f>HYPERLINK("https://twitter.com/GrandLight88","@GrandLight88")</f>
        <v>@GrandLight88</v>
      </c>
      <c r="C15129" s="8" t="s">
        <v>5544</v>
      </c>
      <c r="D15129" s="8">
        <v>11</v>
      </c>
      <c r="E15129" s="8">
        <v>0</v>
      </c>
      <c r="F15129" s="8">
        <v>5</v>
      </c>
    </row>
    <row r="15130" spans="1:6" ht="12.75">
      <c r="A15130" s="8">
        <v>43897.89444444445</v>
      </c>
      <c r="B15130" s="8" t="str">
        <f>HYPERLINK("https://twitter.com/healthyliveID","@healthyliveID")</f>
        <v>@healthyliveID</v>
      </c>
      <c r="C15130" s="8" t="s">
        <v>6126</v>
      </c>
      <c r="D15130" s="8">
        <v>0</v>
      </c>
      <c r="E15130" s="8">
        <v>0</v>
      </c>
      <c r="F15130" s="8">
        <v>45125</v>
      </c>
    </row>
    <row r="15131" spans="1:6" ht="12.75">
      <c r="A15131" s="8">
        <v>43897.894097222219</v>
      </c>
      <c r="B15131" s="8" t="str">
        <f>HYPERLINK("https://twitter.com/mockthistweet","@mockthistweet")</f>
        <v>@mockthistweet</v>
      </c>
      <c r="C15131" s="8" t="s">
        <v>6127</v>
      </c>
      <c r="D15131" s="8">
        <v>0</v>
      </c>
      <c r="E15131" s="8">
        <v>0</v>
      </c>
      <c r="F15131" s="8">
        <v>22716</v>
      </c>
    </row>
    <row r="15132" spans="1:6" ht="12.75">
      <c r="A15132" s="8">
        <v>43897.893425925926</v>
      </c>
      <c r="B15132" s="8" t="str">
        <f>HYPERLINK("https://twitter.com/JannesHutajulu","@JannesHutajulu")</f>
        <v>@JannesHutajulu</v>
      </c>
      <c r="C15132" s="8" t="s">
        <v>5544</v>
      </c>
      <c r="D15132" s="8">
        <v>11</v>
      </c>
      <c r="E15132" s="8">
        <v>0</v>
      </c>
      <c r="F15132" s="8">
        <v>2432</v>
      </c>
    </row>
    <row r="15133" spans="1:6" ht="12.75">
      <c r="A15133" s="8">
        <v>43897.893194444448</v>
      </c>
      <c r="B15133" s="8" t="str">
        <f>HYPERLINK("https://twitter.com/salshira","@salshira")</f>
        <v>@salshira</v>
      </c>
      <c r="C15133" s="8" t="s">
        <v>3743</v>
      </c>
      <c r="D15133" s="8">
        <v>688</v>
      </c>
      <c r="E15133" s="8">
        <v>0</v>
      </c>
      <c r="F15133" s="8">
        <v>428</v>
      </c>
    </row>
    <row r="15134" spans="1:6" ht="12.75">
      <c r="A15134" s="8">
        <v>43897.893043981487</v>
      </c>
      <c r="B15134" s="8" t="str">
        <f>HYPERLINK("https://twitter.com/zhevridwan","@zhevridwan")</f>
        <v>@zhevridwan</v>
      </c>
      <c r="C15134" s="8" t="s">
        <v>3265</v>
      </c>
      <c r="D15134" s="8">
        <v>29</v>
      </c>
      <c r="E15134" s="8">
        <v>0</v>
      </c>
      <c r="F15134" s="8">
        <v>1084</v>
      </c>
    </row>
    <row r="15135" spans="1:6" ht="12.75">
      <c r="A15135" s="8">
        <v>43897.891944444447</v>
      </c>
      <c r="B15135" s="8" t="str">
        <f>HYPERLINK("https://twitter.com/JokoSut57812674","@JokoSut57812674")</f>
        <v>@JokoSut57812674</v>
      </c>
      <c r="C15135" s="8" t="s">
        <v>5544</v>
      </c>
      <c r="D15135" s="8">
        <v>11</v>
      </c>
      <c r="E15135" s="8">
        <v>0</v>
      </c>
      <c r="F15135" s="8">
        <v>152</v>
      </c>
    </row>
    <row r="15136" spans="1:6" ht="12.75">
      <c r="A15136" s="8">
        <v>43897.891932870371</v>
      </c>
      <c r="B15136" s="8" t="str">
        <f>HYPERLINK("https://twitter.com/gelatik31","@gelatik31")</f>
        <v>@gelatik31</v>
      </c>
      <c r="C15136" s="8" t="s">
        <v>6128</v>
      </c>
      <c r="D15136" s="8">
        <v>43</v>
      </c>
      <c r="E15136" s="8">
        <v>0</v>
      </c>
      <c r="F15136" s="8">
        <v>319</v>
      </c>
    </row>
    <row r="15137" spans="1:6" ht="12.75">
      <c r="A15137" s="8">
        <v>43897.891840277778</v>
      </c>
      <c r="B15137" s="8" t="str">
        <f>HYPERLINK("https://twitter.com/yonsas888","@yonsas888")</f>
        <v>@yonsas888</v>
      </c>
      <c r="C15137" s="8" t="s">
        <v>6129</v>
      </c>
      <c r="D15137" s="8">
        <v>0</v>
      </c>
      <c r="E15137" s="8">
        <v>1</v>
      </c>
      <c r="F15137" s="8">
        <v>1257</v>
      </c>
    </row>
    <row r="15138" spans="1:6" ht="12.75">
      <c r="A15138" s="8">
        <v>43897.891666666663</v>
      </c>
      <c r="B15138" s="8" t="str">
        <f>HYPERLINK("https://twitter.com/De_rezha","@De_rezha")</f>
        <v>@De_rezha</v>
      </c>
      <c r="C15138" s="8" t="s">
        <v>6130</v>
      </c>
      <c r="D15138" s="8">
        <v>3</v>
      </c>
      <c r="E15138" s="8">
        <v>0</v>
      </c>
      <c r="F15138" s="8">
        <v>265</v>
      </c>
    </row>
    <row r="15139" spans="1:6" ht="12.75">
      <c r="A15139" s="8">
        <v>43897.891574074078</v>
      </c>
      <c r="B15139" s="8" t="str">
        <f>HYPERLINK("https://twitter.com/interisti2001","@interisti2001")</f>
        <v>@interisti2001</v>
      </c>
      <c r="C15139" s="8" t="s">
        <v>6131</v>
      </c>
      <c r="D15139" s="8">
        <v>0</v>
      </c>
      <c r="E15139" s="8">
        <v>0</v>
      </c>
      <c r="F15139" s="8">
        <v>86</v>
      </c>
    </row>
    <row r="15140" spans="1:6" ht="12.75">
      <c r="A15140" s="8">
        <v>43897.891331018516</v>
      </c>
      <c r="B15140" s="8" t="str">
        <f>HYPERLINK("https://twitter.com/2019jkwsaja","@2019jkwsaja")</f>
        <v>@2019jkwsaja</v>
      </c>
      <c r="C15140" s="8" t="s">
        <v>6132</v>
      </c>
      <c r="D15140" s="8">
        <v>35</v>
      </c>
      <c r="E15140" s="8">
        <v>0</v>
      </c>
      <c r="F15140" s="8">
        <v>2602</v>
      </c>
    </row>
    <row r="15141" spans="1:6" ht="12.75">
      <c r="A15141" s="8">
        <v>43897.891145833331</v>
      </c>
      <c r="B15141" s="8" t="str">
        <f>HYPERLINK("https://twitter.com/kekekapriana","@kekekapriana")</f>
        <v>@kekekapriana</v>
      </c>
      <c r="C15141" s="8" t="s">
        <v>4162</v>
      </c>
      <c r="D15141" s="8">
        <v>92</v>
      </c>
      <c r="E15141" s="8">
        <v>0</v>
      </c>
      <c r="F15141" s="8">
        <v>1601</v>
      </c>
    </row>
    <row r="15142" spans="1:6" ht="12.75">
      <c r="A15142" s="8">
        <v>43897.890451388885</v>
      </c>
      <c r="B15142" s="8" t="str">
        <f>HYPERLINK("https://twitter.com/piyuanker12","@piyuanker12")</f>
        <v>@piyuanker12</v>
      </c>
      <c r="C15142" s="8" t="s">
        <v>6133</v>
      </c>
      <c r="D15142" s="8">
        <v>2</v>
      </c>
      <c r="E15142" s="8">
        <v>0</v>
      </c>
      <c r="F15142" s="8">
        <v>3751</v>
      </c>
    </row>
    <row r="15143" spans="1:6" ht="12.75">
      <c r="A15143" s="8">
        <v>43897.890393518523</v>
      </c>
      <c r="B15143" s="8" t="str">
        <f>HYPERLINK("https://twitter.com/becak125cc","@becak125cc")</f>
        <v>@becak125cc</v>
      </c>
      <c r="C15143" s="8" t="s">
        <v>5511</v>
      </c>
      <c r="D15143" s="8">
        <v>17</v>
      </c>
      <c r="E15143" s="8">
        <v>0</v>
      </c>
      <c r="F15143" s="8">
        <v>563</v>
      </c>
    </row>
    <row r="15144" spans="1:6" ht="12.75">
      <c r="A15144" s="8">
        <v>43897.890046296292</v>
      </c>
      <c r="B15144" s="8" t="str">
        <f>HYPERLINK("https://twitter.com/2019jkwsaja","@2019jkwsaja")</f>
        <v>@2019jkwsaja</v>
      </c>
      <c r="C15144" s="8" t="s">
        <v>4510</v>
      </c>
      <c r="D15144" s="8">
        <v>114</v>
      </c>
      <c r="E15144" s="8">
        <v>0</v>
      </c>
      <c r="F15144" s="8">
        <v>2602</v>
      </c>
    </row>
    <row r="15145" spans="1:6" ht="12.75">
      <c r="A15145" s="8">
        <v>43897.890034722222</v>
      </c>
      <c r="B15145" s="8" t="str">
        <f>HYPERLINK("https://twitter.com/SatyaJogja_","@SatyaJogja_")</f>
        <v>@SatyaJogja_</v>
      </c>
      <c r="C15145" s="8" t="s">
        <v>5544</v>
      </c>
      <c r="D15145" s="8">
        <v>11</v>
      </c>
      <c r="E15145" s="8">
        <v>0</v>
      </c>
      <c r="F15145" s="8">
        <v>5326</v>
      </c>
    </row>
    <row r="15146" spans="1:6" ht="12.75">
      <c r="A15146" s="8">
        <v>43897.89</v>
      </c>
      <c r="B15146" s="8" t="str">
        <f>HYPERLINK("https://twitter.com/wilmAn_A","@wilmAn_A")</f>
        <v>@wilmAn_A</v>
      </c>
      <c r="C15146" s="8" t="s">
        <v>6026</v>
      </c>
      <c r="D15146" s="8">
        <v>9</v>
      </c>
      <c r="E15146" s="8">
        <v>0</v>
      </c>
      <c r="F15146" s="8">
        <v>841</v>
      </c>
    </row>
    <row r="15147" spans="1:6" ht="12.75">
      <c r="A15147" s="8">
        <v>43897.889849537038</v>
      </c>
      <c r="B15147" s="8" t="str">
        <f>HYPERLINK("https://twitter.com/Eyung28","@Eyung28")</f>
        <v>@Eyung28</v>
      </c>
      <c r="C15147" s="8" t="s">
        <v>3265</v>
      </c>
      <c r="D15147" s="8">
        <v>29</v>
      </c>
      <c r="E15147" s="8">
        <v>0</v>
      </c>
      <c r="F15147" s="8">
        <v>34</v>
      </c>
    </row>
    <row r="15148" spans="1:6" ht="12.75">
      <c r="A15148" s="8">
        <v>43897.889143518521</v>
      </c>
      <c r="B15148" s="8" t="str">
        <f>HYPERLINK("https://twitter.com/Mpok_Hanum","@Mpok_Hanum")</f>
        <v>@Mpok_Hanum</v>
      </c>
      <c r="C15148" s="8" t="s">
        <v>6134</v>
      </c>
      <c r="D15148" s="8">
        <v>0</v>
      </c>
      <c r="E15148" s="8">
        <v>0</v>
      </c>
      <c r="F15148" s="8">
        <v>583</v>
      </c>
    </row>
    <row r="15149" spans="1:6" ht="12.75">
      <c r="A15149" s="8">
        <v>43897.888981481483</v>
      </c>
      <c r="B15149" s="8" t="str">
        <f>HYPERLINK("https://twitter.com/AEPishere","@AEPishere")</f>
        <v>@AEPishere</v>
      </c>
      <c r="C15149" s="8" t="s">
        <v>1376</v>
      </c>
      <c r="D15149" s="8">
        <v>41</v>
      </c>
      <c r="E15149" s="8">
        <v>0</v>
      </c>
      <c r="F15149" s="8">
        <v>3009</v>
      </c>
    </row>
    <row r="15150" spans="1:6" ht="12.75">
      <c r="A15150" s="8">
        <v>43897.888877314814</v>
      </c>
      <c r="B15150" s="8" t="str">
        <f>HYPERLINK("https://twitter.com/elHurryKoRn","@elHurryKoRn")</f>
        <v>@elHurryKoRn</v>
      </c>
      <c r="C15150" s="8" t="s">
        <v>6135</v>
      </c>
      <c r="D15150" s="8">
        <v>11</v>
      </c>
      <c r="E15150" s="8">
        <v>19</v>
      </c>
      <c r="F15150" s="8">
        <v>19532</v>
      </c>
    </row>
    <row r="15151" spans="1:6" ht="12.75">
      <c r="A15151" s="8">
        <v>43897.888402777782</v>
      </c>
      <c r="B15151" s="8" t="str">
        <f>HYPERLINK("https://twitter.com/vkasiran","@vkasiran")</f>
        <v>@vkasiran</v>
      </c>
      <c r="C15151" s="8" t="s">
        <v>4162</v>
      </c>
      <c r="D15151" s="8">
        <v>92</v>
      </c>
      <c r="E15151" s="8">
        <v>0</v>
      </c>
      <c r="F15151" s="8">
        <v>721</v>
      </c>
    </row>
    <row r="15152" spans="1:6" ht="12.75">
      <c r="A15152" s="8">
        <v>43897.888356481482</v>
      </c>
      <c r="B15152" s="8" t="str">
        <f>HYPERLINK("https://twitter.com/JannesHutajulu","@JannesHutajulu")</f>
        <v>@JannesHutajulu</v>
      </c>
      <c r="C15152" s="8" t="s">
        <v>5574</v>
      </c>
      <c r="D15152" s="8">
        <v>1</v>
      </c>
      <c r="E15152" s="8">
        <v>0</v>
      </c>
      <c r="F15152" s="8">
        <v>2432</v>
      </c>
    </row>
    <row r="15153" spans="1:6" ht="12.75">
      <c r="A15153" s="8">
        <v>43897.888159722221</v>
      </c>
      <c r="B15153" s="8" t="str">
        <f t="shared" ref="B15153:B15155" si="226">HYPERLINK("https://twitter.com/KBRI_Khartoum","@KBRI_Khartoum")</f>
        <v>@KBRI_Khartoum</v>
      </c>
      <c r="C15153" s="8" t="s">
        <v>6136</v>
      </c>
      <c r="D15153" s="8">
        <v>0</v>
      </c>
      <c r="E15153" s="8">
        <v>0</v>
      </c>
      <c r="F15153" s="8">
        <v>631</v>
      </c>
    </row>
    <row r="15154" spans="1:6" ht="12.75">
      <c r="A15154" s="8">
        <v>43897.888136574074</v>
      </c>
      <c r="B15154" s="8" t="str">
        <f t="shared" si="226"/>
        <v>@KBRI_Khartoum</v>
      </c>
      <c r="C15154" s="8" t="s">
        <v>6137</v>
      </c>
      <c r="D15154" s="8">
        <v>0</v>
      </c>
      <c r="E15154" s="8">
        <v>0</v>
      </c>
      <c r="F15154" s="8">
        <v>631</v>
      </c>
    </row>
    <row r="15155" spans="1:6" ht="12.75">
      <c r="A15155" s="8">
        <v>43897.888101851851</v>
      </c>
      <c r="B15155" s="8" t="str">
        <f t="shared" si="226"/>
        <v>@KBRI_Khartoum</v>
      </c>
      <c r="C15155" s="8" t="s">
        <v>6138</v>
      </c>
      <c r="D15155" s="8">
        <v>0</v>
      </c>
      <c r="E15155" s="8">
        <v>1</v>
      </c>
      <c r="F15155" s="8">
        <v>631</v>
      </c>
    </row>
    <row r="15156" spans="1:6" ht="12.75">
      <c r="A15156" s="8">
        <v>43897.887233796297</v>
      </c>
      <c r="B15156" s="8" t="str">
        <f>HYPERLINK("https://twitter.com/piyuanker12","@piyuanker12")</f>
        <v>@piyuanker12</v>
      </c>
      <c r="C15156" s="8" t="s">
        <v>6139</v>
      </c>
      <c r="D15156" s="8">
        <v>1</v>
      </c>
      <c r="E15156" s="8">
        <v>0</v>
      </c>
      <c r="F15156" s="8">
        <v>3751</v>
      </c>
    </row>
    <row r="15157" spans="1:6" ht="12.75">
      <c r="A15157" s="8">
        <v>43897.885254629626</v>
      </c>
      <c r="B15157" s="8" t="str">
        <f>HYPERLINK("https://twitter.com/Bentalakelam","@Bentalakelam")</f>
        <v>@Bentalakelam</v>
      </c>
      <c r="C15157" s="8" t="s">
        <v>6140</v>
      </c>
      <c r="D15157" s="8">
        <v>1</v>
      </c>
      <c r="E15157" s="8">
        <v>1</v>
      </c>
      <c r="F15157" s="8">
        <v>2480</v>
      </c>
    </row>
    <row r="15158" spans="1:6" ht="12.75">
      <c r="A15158" s="8">
        <v>43897.884884259256</v>
      </c>
      <c r="B15158" s="8" t="str">
        <f>HYPERLINK("https://twitter.com/Robby555920","@Robby555920")</f>
        <v>@Robby555920</v>
      </c>
      <c r="C15158" s="8" t="s">
        <v>4818</v>
      </c>
      <c r="D15158" s="8">
        <v>277</v>
      </c>
      <c r="E15158" s="8">
        <v>0</v>
      </c>
      <c r="F15158" s="8">
        <v>3060</v>
      </c>
    </row>
    <row r="15159" spans="1:6" ht="12.75">
      <c r="A15159" s="8">
        <v>43897.884710648148</v>
      </c>
      <c r="B15159" s="8" t="str">
        <f>HYPERLINK("https://twitter.com/Bentalakelam","@Bentalakelam")</f>
        <v>@Bentalakelam</v>
      </c>
      <c r="C15159" s="8" t="s">
        <v>6141</v>
      </c>
      <c r="D15159" s="8">
        <v>0</v>
      </c>
      <c r="E15159" s="8">
        <v>1</v>
      </c>
      <c r="F15159" s="8">
        <v>2480</v>
      </c>
    </row>
    <row r="15160" spans="1:6" ht="12.75">
      <c r="A15160" s="8">
        <v>43897.884652777779</v>
      </c>
      <c r="B15160" s="8" t="str">
        <f>HYPERLINK("https://twitter.com/TwitBeritaBaik","@TwitBeritaBaik")</f>
        <v>@TwitBeritaBaik</v>
      </c>
      <c r="C15160" s="8" t="s">
        <v>6142</v>
      </c>
      <c r="D15160" s="8">
        <v>0</v>
      </c>
      <c r="E15160" s="8">
        <v>0</v>
      </c>
      <c r="F15160" s="8">
        <v>85</v>
      </c>
    </row>
    <row r="15161" spans="1:6" ht="12.75">
      <c r="A15161" s="8">
        <v>43897.884189814809</v>
      </c>
      <c r="B15161" s="8" t="str">
        <f>HYPERLINK("https://twitter.com/PrincessMary84","@PrincessMary84")</f>
        <v>@PrincessMary84</v>
      </c>
      <c r="C15161" s="8" t="s">
        <v>6143</v>
      </c>
      <c r="D15161" s="8">
        <v>0</v>
      </c>
      <c r="E15161" s="8">
        <v>0</v>
      </c>
      <c r="F15161" s="8">
        <v>1</v>
      </c>
    </row>
    <row r="15162" spans="1:6" ht="12.75">
      <c r="A15162" s="8">
        <v>43897.884108796294</v>
      </c>
      <c r="B15162" s="8" t="str">
        <f>HYPERLINK("https://twitter.com/VijayKu73819673","@VijayKu73819673")</f>
        <v>@VijayKu73819673</v>
      </c>
      <c r="C15162" s="8" t="s">
        <v>6144</v>
      </c>
      <c r="D15162" s="8">
        <v>0</v>
      </c>
      <c r="E15162" s="8">
        <v>0</v>
      </c>
      <c r="F15162" s="8">
        <v>4</v>
      </c>
    </row>
    <row r="15163" spans="1:6" ht="12.75">
      <c r="A15163" s="8">
        <v>43897.883993055555</v>
      </c>
      <c r="B15163" s="8" t="str">
        <f>HYPERLINK("https://twitter.com/DamnLoveNKRI","@DamnLoveNKRI")</f>
        <v>@DamnLoveNKRI</v>
      </c>
      <c r="C15163" s="8" t="s">
        <v>6145</v>
      </c>
      <c r="D15163" s="8">
        <v>1</v>
      </c>
      <c r="E15163" s="8">
        <v>0</v>
      </c>
      <c r="F15163" s="8">
        <v>722</v>
      </c>
    </row>
    <row r="15164" spans="1:6" ht="12.75">
      <c r="A15164" s="8">
        <v>43897.883668981478</v>
      </c>
      <c r="B15164" s="8" t="str">
        <f>HYPERLINK("https://twitter.com/kholiq486","@kholiq486")</f>
        <v>@kholiq486</v>
      </c>
      <c r="C15164" s="8" t="s">
        <v>3743</v>
      </c>
      <c r="D15164" s="8">
        <v>688</v>
      </c>
      <c r="E15164" s="8">
        <v>0</v>
      </c>
      <c r="F15164" s="8">
        <v>395</v>
      </c>
    </row>
    <row r="15165" spans="1:6" ht="12.75">
      <c r="A15165" s="8">
        <v>43897.883564814816</v>
      </c>
      <c r="B15165" s="8" t="str">
        <f>HYPERLINK("https://twitter.com/yayokjember","@yayokjember")</f>
        <v>@yayokjember</v>
      </c>
      <c r="C15165" s="8" t="s">
        <v>3213</v>
      </c>
      <c r="D15165" s="8">
        <v>323</v>
      </c>
      <c r="E15165" s="8">
        <v>0</v>
      </c>
      <c r="F15165" s="8">
        <v>156</v>
      </c>
    </row>
    <row r="15166" spans="1:6" ht="12.75">
      <c r="A15166" s="8">
        <v>43897.883090277777</v>
      </c>
      <c r="B15166" s="8" t="str">
        <f>HYPERLINK("https://twitter.com/suaraislamID","@suaraislamID")</f>
        <v>@suaraislamID</v>
      </c>
      <c r="C15166" s="8" t="s">
        <v>6146</v>
      </c>
      <c r="D15166" s="8">
        <v>0</v>
      </c>
      <c r="E15166" s="8">
        <v>0</v>
      </c>
      <c r="F15166" s="8">
        <v>48</v>
      </c>
    </row>
    <row r="15167" spans="1:6" ht="12.75">
      <c r="A15167" s="8">
        <v>43897.882997685185</v>
      </c>
      <c r="B15167" s="8" t="str">
        <f>HYPERLINK("https://twitter.com/yourpaww","@yourpaww")</f>
        <v>@yourpaww</v>
      </c>
      <c r="C15167" s="8" t="s">
        <v>6147</v>
      </c>
      <c r="D15167" s="8">
        <v>1</v>
      </c>
      <c r="E15167" s="8">
        <v>0</v>
      </c>
      <c r="F15167" s="8">
        <v>1394</v>
      </c>
    </row>
    <row r="15168" spans="1:6" ht="12.75">
      <c r="A15168" s="8">
        <v>43897.882916666669</v>
      </c>
      <c r="B15168" s="8" t="str">
        <f>HYPERLINK("https://twitter.com/AmaliaGhzn","@AmaliaGhzn")</f>
        <v>@AmaliaGhzn</v>
      </c>
      <c r="C15168" s="8" t="s">
        <v>4162</v>
      </c>
      <c r="D15168" s="8">
        <v>92</v>
      </c>
      <c r="E15168" s="8">
        <v>0</v>
      </c>
      <c r="F15168" s="8">
        <v>91</v>
      </c>
    </row>
    <row r="15169" spans="1:6" ht="12.75">
      <c r="A15169" s="8">
        <v>43897.882696759261</v>
      </c>
      <c r="B15169" s="8" t="str">
        <f>HYPERLINK("https://twitter.com/Ir_ouktav","@Ir_ouktav")</f>
        <v>@Ir_ouktav</v>
      </c>
      <c r="C15169" s="8" t="s">
        <v>5324</v>
      </c>
      <c r="D15169" s="8">
        <v>9</v>
      </c>
      <c r="E15169" s="8">
        <v>0</v>
      </c>
      <c r="F15169" s="8">
        <v>23</v>
      </c>
    </row>
    <row r="15170" spans="1:6" ht="12.75">
      <c r="A15170" s="8">
        <v>43897.880057870367</v>
      </c>
      <c r="B15170" s="8" t="str">
        <f>HYPERLINK("https://twitter.com/SalamYa62539158","@SalamYa62539158")</f>
        <v>@SalamYa62539158</v>
      </c>
      <c r="C15170" s="8" t="s">
        <v>6033</v>
      </c>
      <c r="D15170" s="8">
        <v>3</v>
      </c>
      <c r="E15170" s="8">
        <v>0</v>
      </c>
      <c r="F15170" s="8">
        <v>4</v>
      </c>
    </row>
    <row r="15171" spans="1:6" ht="12.75">
      <c r="A15171" s="8">
        <v>43897.879571759258</v>
      </c>
      <c r="B15171" s="8" t="str">
        <f>HYPERLINK("https://twitter.com/PrincessMary84","@PrincessMary84")</f>
        <v>@PrincessMary84</v>
      </c>
      <c r="C15171" s="8" t="s">
        <v>6148</v>
      </c>
      <c r="D15171" s="8">
        <v>0</v>
      </c>
      <c r="E15171" s="8">
        <v>0</v>
      </c>
      <c r="F15171" s="8">
        <v>1</v>
      </c>
    </row>
    <row r="15172" spans="1:6" ht="12.75">
      <c r="A15172" s="8">
        <v>43897.878136574072</v>
      </c>
      <c r="B15172" s="8" t="str">
        <f>HYPERLINK("https://twitter.com/Realitarakyat01","@Realitarakyat01")</f>
        <v>@Realitarakyat01</v>
      </c>
      <c r="C15172" s="8" t="s">
        <v>6149</v>
      </c>
      <c r="D15172" s="8">
        <v>0</v>
      </c>
      <c r="E15172" s="8">
        <v>0</v>
      </c>
      <c r="F15172" s="8">
        <v>129</v>
      </c>
    </row>
    <row r="15173" spans="1:6" ht="12.75">
      <c r="A15173" s="8">
        <v>43897.877337962964</v>
      </c>
      <c r="B15173" s="8" t="str">
        <f>HYPERLINK("https://twitter.com/iwan2701","@iwan2701")</f>
        <v>@iwan2701</v>
      </c>
      <c r="C15173" s="8" t="s">
        <v>4510</v>
      </c>
      <c r="D15173" s="8">
        <v>113</v>
      </c>
      <c r="E15173" s="8">
        <v>0</v>
      </c>
      <c r="F15173" s="8">
        <v>253</v>
      </c>
    </row>
    <row r="15174" spans="1:6" ht="12.75">
      <c r="A15174" s="8">
        <v>43897.876759259263</v>
      </c>
      <c r="B15174" s="8" t="str">
        <f>HYPERLINK("https://twitter.com/ISandakila","@ISandakila")</f>
        <v>@ISandakila</v>
      </c>
      <c r="C15174" s="8" t="s">
        <v>1376</v>
      </c>
      <c r="D15174" s="8">
        <v>40</v>
      </c>
      <c r="E15174" s="8">
        <v>0</v>
      </c>
      <c r="F15174" s="8">
        <v>2</v>
      </c>
    </row>
    <row r="15175" spans="1:6" ht="12.75">
      <c r="A15175" s="8">
        <v>43897.876666666663</v>
      </c>
      <c r="B15175" s="8" t="str">
        <f>HYPERLINK("https://twitter.com/MaaKi_Aankh","@MaaKi_Aankh")</f>
        <v>@MaaKi_Aankh</v>
      </c>
      <c r="C15175" s="8" t="s">
        <v>6150</v>
      </c>
      <c r="D15175" s="8">
        <v>0</v>
      </c>
      <c r="E15175" s="8">
        <v>0</v>
      </c>
      <c r="F15175" s="8">
        <v>936</v>
      </c>
    </row>
    <row r="15176" spans="1:6" ht="12.75">
      <c r="A15176" s="8">
        <v>43897.876655092594</v>
      </c>
      <c r="B15176" s="8" t="str">
        <f>HYPERLINK("https://twitter.com/jazzy867","@jazzy867")</f>
        <v>@jazzy867</v>
      </c>
      <c r="C15176" s="8" t="s">
        <v>6151</v>
      </c>
      <c r="D15176" s="8">
        <v>0</v>
      </c>
      <c r="E15176" s="8">
        <v>0</v>
      </c>
      <c r="F15176" s="8">
        <v>92</v>
      </c>
    </row>
    <row r="15177" spans="1:6" ht="12.75">
      <c r="A15177" s="8">
        <v>43897.876585648148</v>
      </c>
      <c r="B15177" s="8" t="str">
        <f>HYPERLINK("https://twitter.com/j_alinurdin","@j_alinurdin")</f>
        <v>@j_alinurdin</v>
      </c>
      <c r="C15177" s="8" t="s">
        <v>6152</v>
      </c>
      <c r="D15177" s="8">
        <v>0</v>
      </c>
      <c r="E15177" s="8">
        <v>0</v>
      </c>
      <c r="F15177" s="8">
        <v>591</v>
      </c>
    </row>
    <row r="15178" spans="1:6" ht="12.75">
      <c r="A15178" s="8">
        <v>43897.875567129631</v>
      </c>
      <c r="B15178" s="8" t="str">
        <f>HYPERLINK("https://twitter.com/kiyudgirl","@kiyudgirl")</f>
        <v>@kiyudgirl</v>
      </c>
      <c r="C15178" s="8" t="s">
        <v>6153</v>
      </c>
      <c r="D15178" s="8">
        <v>0</v>
      </c>
      <c r="E15178" s="8">
        <v>0</v>
      </c>
      <c r="F15178" s="8">
        <v>1936</v>
      </c>
    </row>
    <row r="15179" spans="1:6" ht="12.75">
      <c r="A15179" s="8">
        <v>43897.875567129631</v>
      </c>
      <c r="B15179" s="8" t="str">
        <f>HYPERLINK("https://twitter.com/idntimes","@idntimes")</f>
        <v>@idntimes</v>
      </c>
      <c r="C15179" s="8" t="s">
        <v>6154</v>
      </c>
      <c r="D15179" s="8">
        <v>0</v>
      </c>
      <c r="E15179" s="8">
        <v>0</v>
      </c>
      <c r="F15179" s="8">
        <v>394184</v>
      </c>
    </row>
    <row r="15180" spans="1:6" ht="12.75">
      <c r="A15180" s="8">
        <v>43897.875162037039</v>
      </c>
      <c r="B15180" s="8" t="str">
        <f>HYPERLINK("https://twitter.com/MubssirSayyed","@MubssirSayyed")</f>
        <v>@MubssirSayyed</v>
      </c>
      <c r="C15180" s="8" t="s">
        <v>6155</v>
      </c>
      <c r="D15180" s="8">
        <v>0</v>
      </c>
      <c r="E15180" s="8">
        <v>0</v>
      </c>
      <c r="F15180" s="8">
        <v>7</v>
      </c>
    </row>
    <row r="15181" spans="1:6" ht="12.75">
      <c r="A15181" s="8">
        <v>43897.874108796299</v>
      </c>
      <c r="B15181" s="8" t="str">
        <f>HYPERLINK("https://twitter.com/Tersirat1","@Tersirat1")</f>
        <v>@Tersirat1</v>
      </c>
      <c r="C15181" s="8" t="s">
        <v>6156</v>
      </c>
      <c r="D15181" s="8">
        <v>0</v>
      </c>
      <c r="E15181" s="8">
        <v>0</v>
      </c>
      <c r="F15181" s="8">
        <v>33</v>
      </c>
    </row>
    <row r="15182" spans="1:6" ht="12.75">
      <c r="A15182" s="8">
        <v>43897.873391203699</v>
      </c>
      <c r="B15182" s="8" t="str">
        <f>HYPERLINK("https://twitter.com/wiwidwicaksana","@wiwidwicaksana")</f>
        <v>@wiwidwicaksana</v>
      </c>
      <c r="C15182" s="8" t="s">
        <v>4979</v>
      </c>
      <c r="D15182" s="8">
        <v>1</v>
      </c>
      <c r="E15182" s="8">
        <v>0</v>
      </c>
      <c r="F15182" s="8">
        <v>1327</v>
      </c>
    </row>
    <row r="15183" spans="1:6" ht="12.75">
      <c r="A15183" s="8">
        <v>43897.873333333337</v>
      </c>
      <c r="B15183" s="8" t="str">
        <f t="shared" ref="B15183:B15184" si="227">HYPERLINK("https://twitter.com/lapregiwati","@lapregiwati")</f>
        <v>@lapregiwati</v>
      </c>
      <c r="C15183" s="8" t="s">
        <v>6157</v>
      </c>
      <c r="D15183" s="8">
        <v>2</v>
      </c>
      <c r="E15183" s="8">
        <v>0</v>
      </c>
      <c r="F15183" s="8">
        <v>1972</v>
      </c>
    </row>
    <row r="15184" spans="1:6" ht="12.75">
      <c r="A15184" s="8">
        <v>43897.87299768519</v>
      </c>
      <c r="B15184" s="8" t="str">
        <f t="shared" si="227"/>
        <v>@lapregiwati</v>
      </c>
      <c r="C15184" s="8" t="s">
        <v>4048</v>
      </c>
      <c r="D15184" s="8">
        <v>3</v>
      </c>
      <c r="E15184" s="8">
        <v>0</v>
      </c>
      <c r="F15184" s="8">
        <v>1972</v>
      </c>
    </row>
    <row r="15185" spans="1:6" ht="12.75">
      <c r="A15185" s="8">
        <v>43897.872303240743</v>
      </c>
      <c r="B15185" s="8" t="str">
        <f>HYPERLINK("https://twitter.com/pongkyagung","@pongkyagung")</f>
        <v>@pongkyagung</v>
      </c>
      <c r="C15185" s="8" t="s">
        <v>5486</v>
      </c>
      <c r="D15185" s="8">
        <v>23</v>
      </c>
      <c r="E15185" s="8">
        <v>0</v>
      </c>
      <c r="F15185" s="8">
        <v>439</v>
      </c>
    </row>
    <row r="15186" spans="1:6" ht="12.75">
      <c r="A15186" s="8">
        <v>43897.872071759259</v>
      </c>
      <c r="B15186" s="8" t="str">
        <f>HYPERLINK("https://twitter.com/andi_saja","@andi_saja")</f>
        <v>@andi_saja</v>
      </c>
      <c r="C15186" s="8" t="s">
        <v>5778</v>
      </c>
      <c r="D15186" s="8">
        <v>1</v>
      </c>
      <c r="E15186" s="8">
        <v>0</v>
      </c>
      <c r="F15186" s="8">
        <v>1901</v>
      </c>
    </row>
    <row r="15187" spans="1:6" ht="12.75">
      <c r="A15187" s="8">
        <v>43897.871990740736</v>
      </c>
      <c r="B15187" s="8" t="str">
        <f>HYPERLINK("https://twitter.com/JokoSut57812674","@JokoSut57812674")</f>
        <v>@JokoSut57812674</v>
      </c>
      <c r="C15187" s="8" t="s">
        <v>4818</v>
      </c>
      <c r="D15187" s="8">
        <v>273</v>
      </c>
      <c r="E15187" s="8">
        <v>0</v>
      </c>
      <c r="F15187" s="8">
        <v>151</v>
      </c>
    </row>
    <row r="15188" spans="1:6" ht="12.75">
      <c r="A15188" s="8">
        <v>43897.871770833328</v>
      </c>
      <c r="B15188" s="8" t="str">
        <f>HYPERLINK("https://twitter.com/pongkyagung","@pongkyagung")</f>
        <v>@pongkyagung</v>
      </c>
      <c r="C15188" s="8" t="s">
        <v>5899</v>
      </c>
      <c r="D15188" s="8">
        <v>16</v>
      </c>
      <c r="E15188" s="8">
        <v>0</v>
      </c>
      <c r="F15188" s="8">
        <v>439</v>
      </c>
    </row>
    <row r="15189" spans="1:6" ht="12.75">
      <c r="A15189" s="8">
        <v>43897.870740740742</v>
      </c>
      <c r="B15189" s="8" t="str">
        <f>HYPERLINK("https://twitter.com/AfifaSofyan","@AfifaSofyan")</f>
        <v>@AfifaSofyan</v>
      </c>
      <c r="C15189" s="8" t="s">
        <v>3743</v>
      </c>
      <c r="D15189" s="8">
        <v>684</v>
      </c>
      <c r="E15189" s="8">
        <v>0</v>
      </c>
      <c r="F15189" s="8">
        <v>1</v>
      </c>
    </row>
    <row r="15190" spans="1:6" ht="12.75">
      <c r="A15190" s="8">
        <v>43897.870474537034</v>
      </c>
      <c r="B15190" s="8" t="str">
        <f>HYPERLINK("https://twitter.com/adekanisa_","@adekanisa_")</f>
        <v>@adekanisa_</v>
      </c>
      <c r="C15190" s="8" t="s">
        <v>3265</v>
      </c>
      <c r="D15190" s="8">
        <v>20</v>
      </c>
      <c r="E15190" s="8">
        <v>0</v>
      </c>
      <c r="F15190" s="8">
        <v>458</v>
      </c>
    </row>
    <row r="15191" spans="1:6" ht="12.75">
      <c r="A15191" s="8">
        <v>43897.870416666672</v>
      </c>
      <c r="B15191" s="8" t="str">
        <f>HYPERLINK("https://twitter.com/SutrisnoYohanes","@SutrisnoYohanes")</f>
        <v>@SutrisnoYohanes</v>
      </c>
      <c r="C15191" s="8" t="s">
        <v>6158</v>
      </c>
      <c r="D15191" s="8">
        <v>1</v>
      </c>
      <c r="E15191" s="8">
        <v>1</v>
      </c>
      <c r="F15191" s="8">
        <v>4963</v>
      </c>
    </row>
    <row r="15192" spans="1:6" ht="12.75">
      <c r="A15192" s="8">
        <v>43897.870092592595</v>
      </c>
      <c r="B15192" s="8" t="str">
        <f>HYPERLINK("https://twitter.com/s41d4h","@s41d4h")</f>
        <v>@s41d4h</v>
      </c>
      <c r="C15192" s="8" t="s">
        <v>6159</v>
      </c>
      <c r="D15192" s="8">
        <v>3</v>
      </c>
      <c r="E15192" s="8">
        <v>0</v>
      </c>
      <c r="F15192" s="8">
        <v>62</v>
      </c>
    </row>
    <row r="15193" spans="1:6" ht="12.75">
      <c r="A15193" s="8">
        <v>43897.86954861111</v>
      </c>
      <c r="B15193" s="8" t="str">
        <f>HYPERLINK("https://twitter.com/MobZack","@MobZack")</f>
        <v>@MobZack</v>
      </c>
      <c r="C15193" s="8" t="s">
        <v>3265</v>
      </c>
      <c r="D15193" s="8">
        <v>20</v>
      </c>
      <c r="E15193" s="8">
        <v>0</v>
      </c>
      <c r="F15193" s="8">
        <v>232</v>
      </c>
    </row>
    <row r="15194" spans="1:6" ht="12.75">
      <c r="A15194" s="8">
        <v>43897.869421296295</v>
      </c>
      <c r="B15194" s="8" t="str">
        <f>HYPERLINK("https://twitter.com/wijaya_karenina","@wijaya_karenina")</f>
        <v>@wijaya_karenina</v>
      </c>
      <c r="C15194" s="8" t="s">
        <v>4510</v>
      </c>
      <c r="D15194" s="8">
        <v>113</v>
      </c>
      <c r="E15194" s="8">
        <v>0</v>
      </c>
      <c r="F15194" s="8">
        <v>520</v>
      </c>
    </row>
    <row r="15195" spans="1:6" ht="12.75">
      <c r="A15195" s="8">
        <v>43897.869305555556</v>
      </c>
      <c r="B15195" s="8" t="str">
        <f>HYPERLINK("https://twitter.com/prytnma","@prytnma")</f>
        <v>@prytnma</v>
      </c>
      <c r="C15195" s="8" t="s">
        <v>3213</v>
      </c>
      <c r="D15195" s="8">
        <v>319</v>
      </c>
      <c r="E15195" s="8">
        <v>0</v>
      </c>
      <c r="F15195" s="8">
        <v>413</v>
      </c>
    </row>
    <row r="15196" spans="1:6" ht="12.75">
      <c r="A15196" s="8">
        <v>43897.869293981479</v>
      </c>
      <c r="B15196" s="8" t="str">
        <f>HYPERLINK("https://twitter.com/JayaKatwang15","@JayaKatwang15")</f>
        <v>@JayaKatwang15</v>
      </c>
      <c r="C15196" s="8" t="s">
        <v>6160</v>
      </c>
      <c r="D15196" s="8">
        <v>0</v>
      </c>
      <c r="E15196" s="8">
        <v>0</v>
      </c>
      <c r="F15196" s="8">
        <v>19</v>
      </c>
    </row>
    <row r="15197" spans="1:6" ht="12.75">
      <c r="A15197" s="8">
        <v>43897.869247685187</v>
      </c>
      <c r="B15197" s="8" t="str">
        <f>HYPERLINK("https://twitter.com/dyanekaputri1","@dyanekaputri1")</f>
        <v>@dyanekaputri1</v>
      </c>
      <c r="C15197" s="8" t="s">
        <v>6161</v>
      </c>
      <c r="D15197" s="8">
        <v>0</v>
      </c>
      <c r="E15197" s="8">
        <v>0</v>
      </c>
      <c r="F15197" s="8">
        <v>1562</v>
      </c>
    </row>
    <row r="15198" spans="1:6" ht="12.75">
      <c r="A15198" s="8">
        <v>43897.869201388894</v>
      </c>
      <c r="B15198" s="8" t="str">
        <f>HYPERLINK("https://twitter.com/chingcirivietz","@chingcirivietz")</f>
        <v>@chingcirivietz</v>
      </c>
      <c r="C15198" s="8" t="s">
        <v>6162</v>
      </c>
      <c r="D15198" s="8">
        <v>0</v>
      </c>
      <c r="E15198" s="8">
        <v>0</v>
      </c>
      <c r="F15198" s="8">
        <v>102</v>
      </c>
    </row>
    <row r="15199" spans="1:6" ht="12.75">
      <c r="A15199" s="8">
        <v>43897.869155092594</v>
      </c>
      <c r="B15199" s="8" t="str">
        <f t="shared" ref="B15199:B15201" si="228">HYPERLINK("https://twitter.com/JayaKatwang15","@JayaKatwang15")</f>
        <v>@JayaKatwang15</v>
      </c>
      <c r="C15199" s="8" t="s">
        <v>6160</v>
      </c>
      <c r="D15199" s="8">
        <v>0</v>
      </c>
      <c r="E15199" s="8">
        <v>0</v>
      </c>
      <c r="F15199" s="8">
        <v>19</v>
      </c>
    </row>
    <row r="15200" spans="1:6" ht="12.75">
      <c r="A15200" s="8">
        <v>43897.868807870371</v>
      </c>
      <c r="B15200" s="8" t="str">
        <f t="shared" si="228"/>
        <v>@JayaKatwang15</v>
      </c>
      <c r="C15200" s="8" t="s">
        <v>6160</v>
      </c>
      <c r="D15200" s="8">
        <v>0</v>
      </c>
      <c r="E15200" s="8">
        <v>0</v>
      </c>
      <c r="F15200" s="8">
        <v>19</v>
      </c>
    </row>
    <row r="15201" spans="1:6" ht="12.75">
      <c r="A15201" s="8">
        <v>43897.868587962963</v>
      </c>
      <c r="B15201" s="8" t="str">
        <f t="shared" si="228"/>
        <v>@JayaKatwang15</v>
      </c>
      <c r="C15201" s="8" t="s">
        <v>6163</v>
      </c>
      <c r="D15201" s="8">
        <v>0</v>
      </c>
      <c r="E15201" s="8">
        <v>0</v>
      </c>
      <c r="F15201" s="8">
        <v>19</v>
      </c>
    </row>
    <row r="15202" spans="1:6" ht="12.75">
      <c r="A15202" s="8">
        <v>43897.868460648147</v>
      </c>
      <c r="B15202" s="8" t="str">
        <f>HYPERLINK("https://twitter.com/LaRose78992426","@LaRose78992426")</f>
        <v>@LaRose78992426</v>
      </c>
      <c r="C15202" s="8" t="s">
        <v>3213</v>
      </c>
      <c r="D15202" s="8">
        <v>319</v>
      </c>
      <c r="E15202" s="8">
        <v>0</v>
      </c>
      <c r="F15202" s="8">
        <v>278</v>
      </c>
    </row>
    <row r="15203" spans="1:6" ht="12.75">
      <c r="A15203" s="8">
        <v>43897.868078703701</v>
      </c>
      <c r="B15203" s="8" t="str">
        <f>HYPERLINK("https://twitter.com/agnes_tika","@agnes_tika")</f>
        <v>@agnes_tika</v>
      </c>
      <c r="C15203" s="8" t="s">
        <v>5704</v>
      </c>
      <c r="D15203" s="8">
        <v>45</v>
      </c>
      <c r="E15203" s="8">
        <v>0</v>
      </c>
      <c r="F15203" s="8">
        <v>404</v>
      </c>
    </row>
    <row r="15204" spans="1:6" ht="12.75">
      <c r="A15204" s="8">
        <v>43897.867800925931</v>
      </c>
      <c r="B15204" s="8" t="str">
        <f>HYPERLINK("https://twitter.com/KangJokerr","@KangJokerr")</f>
        <v>@KangJokerr</v>
      </c>
      <c r="C15204" s="8" t="s">
        <v>6164</v>
      </c>
      <c r="D15204" s="8">
        <v>0</v>
      </c>
      <c r="E15204" s="8">
        <v>0</v>
      </c>
      <c r="F15204" s="8">
        <v>64</v>
      </c>
    </row>
    <row r="15205" spans="1:6" ht="12.75">
      <c r="A15205" s="8">
        <v>43897.867627314816</v>
      </c>
      <c r="B15205" s="8" t="str">
        <f>HYPERLINK("https://twitter.com/BonoMbah","@BonoMbah")</f>
        <v>@BonoMbah</v>
      </c>
      <c r="C15205" s="8" t="s">
        <v>5557</v>
      </c>
      <c r="D15205" s="8">
        <v>1</v>
      </c>
      <c r="E15205" s="8">
        <v>0</v>
      </c>
      <c r="F15205" s="8">
        <v>70</v>
      </c>
    </row>
    <row r="15206" spans="1:6" ht="12.75">
      <c r="A15206" s="8">
        <v>43897.866956018523</v>
      </c>
      <c r="B15206" s="8" t="str">
        <f>HYPERLINK("https://twitter.com/DcEliana","@DcEliana")</f>
        <v>@DcEliana</v>
      </c>
      <c r="C15206" s="8" t="s">
        <v>6113</v>
      </c>
      <c r="D15206" s="8">
        <v>18</v>
      </c>
      <c r="E15206" s="8">
        <v>0</v>
      </c>
      <c r="F15206" s="8">
        <v>155</v>
      </c>
    </row>
    <row r="15207" spans="1:6" ht="12.75">
      <c r="A15207" s="8">
        <v>43897.866168981476</v>
      </c>
      <c r="B15207" s="8" t="str">
        <f>HYPERLINK("https://twitter.com/ranioktaviani92","@ranioktaviani92")</f>
        <v>@ranioktaviani92</v>
      </c>
      <c r="C15207" s="8" t="s">
        <v>1325</v>
      </c>
      <c r="D15207" s="8">
        <v>0</v>
      </c>
      <c r="E15207" s="8">
        <v>0</v>
      </c>
      <c r="F15207" s="8">
        <v>24</v>
      </c>
    </row>
    <row r="15208" spans="1:6" ht="12.75">
      <c r="A15208" s="8">
        <v>43897.866076388891</v>
      </c>
      <c r="B15208" s="8" t="str">
        <f>HYPERLINK("https://twitter.com/kevyetunelma","@kevyetunelma")</f>
        <v>@kevyetunelma</v>
      </c>
      <c r="C15208" s="8" t="s">
        <v>6165</v>
      </c>
      <c r="D15208" s="8">
        <v>0</v>
      </c>
      <c r="E15208" s="8">
        <v>0</v>
      </c>
      <c r="F15208" s="8">
        <v>412</v>
      </c>
    </row>
    <row r="15209" spans="1:6" ht="12.75">
      <c r="A15209" s="8">
        <v>43897.865995370375</v>
      </c>
      <c r="B15209" s="8" t="str">
        <f>HYPERLINK("https://twitter.com/RizqhieSayid","@RizqhieSayid")</f>
        <v>@RizqhieSayid</v>
      </c>
      <c r="C15209" s="8" t="s">
        <v>3743</v>
      </c>
      <c r="D15209" s="8">
        <v>684</v>
      </c>
      <c r="E15209" s="8">
        <v>0</v>
      </c>
      <c r="F15209" s="8">
        <v>125</v>
      </c>
    </row>
    <row r="15210" spans="1:6" ht="12.75">
      <c r="A15210" s="8">
        <v>43897.865127314813</v>
      </c>
      <c r="B15210" s="8" t="str">
        <f>HYPERLINK("https://twitter.com/massyomay","@massyomay")</f>
        <v>@massyomay</v>
      </c>
      <c r="C15210" s="8" t="s">
        <v>6166</v>
      </c>
      <c r="D15210" s="8">
        <v>0</v>
      </c>
      <c r="E15210" s="8">
        <v>0</v>
      </c>
      <c r="F15210" s="8">
        <v>1347</v>
      </c>
    </row>
    <row r="15211" spans="1:6" ht="12.75">
      <c r="A15211" s="8">
        <v>43897.864861111113</v>
      </c>
      <c r="B15211" s="8" t="str">
        <f>HYPERLINK("https://twitter.com/brentvalencia6","@brentvalencia6")</f>
        <v>@brentvalencia6</v>
      </c>
      <c r="C15211" s="8" t="s">
        <v>6167</v>
      </c>
      <c r="D15211" s="8">
        <v>0</v>
      </c>
      <c r="E15211" s="8">
        <v>0</v>
      </c>
      <c r="F15211" s="8">
        <v>90</v>
      </c>
    </row>
    <row r="15212" spans="1:6" ht="12.75">
      <c r="A15212" s="8">
        <v>43897.863402777773</v>
      </c>
      <c r="B15212" s="8" t="str">
        <f>HYPERLINK("https://twitter.com/MeyKarunia","@MeyKarunia")</f>
        <v>@MeyKarunia</v>
      </c>
      <c r="C15212" s="8" t="s">
        <v>6168</v>
      </c>
      <c r="D15212" s="8">
        <v>0</v>
      </c>
      <c r="E15212" s="8">
        <v>2</v>
      </c>
      <c r="F15212" s="8">
        <v>798</v>
      </c>
    </row>
    <row r="15213" spans="1:6" ht="12.75">
      <c r="A15213" s="8">
        <v>43897.862835648149</v>
      </c>
      <c r="B15213" s="8" t="str">
        <f>HYPERLINK("https://twitter.com/djoko1987s","@djoko1987s")</f>
        <v>@djoko1987s</v>
      </c>
      <c r="C15213" s="8" t="s">
        <v>6169</v>
      </c>
      <c r="D15213" s="8">
        <v>2</v>
      </c>
      <c r="E15213" s="8">
        <v>0</v>
      </c>
      <c r="F15213" s="8">
        <v>1913</v>
      </c>
    </row>
    <row r="15214" spans="1:6" ht="12.75">
      <c r="A15214" s="8">
        <v>43897.862581018519</v>
      </c>
      <c r="B15214" s="8" t="str">
        <f>HYPERLINK("https://twitter.com/mikirdoeloe","@mikirdoeloe")</f>
        <v>@mikirdoeloe</v>
      </c>
      <c r="C15214" s="8" t="s">
        <v>6170</v>
      </c>
      <c r="D15214" s="8">
        <v>0</v>
      </c>
      <c r="E15214" s="8">
        <v>0</v>
      </c>
      <c r="F15214" s="8">
        <v>37</v>
      </c>
    </row>
    <row r="15215" spans="1:6" ht="12.75">
      <c r="A15215" s="8">
        <v>43897.862222222218</v>
      </c>
      <c r="B15215" s="8" t="str">
        <f>HYPERLINK("https://twitter.com/wiriantowidjaya","@wiriantowidjaya")</f>
        <v>@wiriantowidjaya</v>
      </c>
      <c r="C15215" s="8" t="s">
        <v>6169</v>
      </c>
      <c r="D15215" s="8">
        <v>2</v>
      </c>
      <c r="E15215" s="8">
        <v>0</v>
      </c>
      <c r="F15215" s="8">
        <v>1560</v>
      </c>
    </row>
    <row r="15216" spans="1:6" ht="12.75">
      <c r="A15216" s="8">
        <v>43897.862164351856</v>
      </c>
      <c r="B15216" s="8" t="str">
        <f>HYPERLINK("https://twitter.com/mirachairr","@mirachairr")</f>
        <v>@mirachairr</v>
      </c>
      <c r="C15216" s="8" t="s">
        <v>6171</v>
      </c>
      <c r="D15216" s="8">
        <v>0</v>
      </c>
      <c r="E15216" s="8">
        <v>0</v>
      </c>
      <c r="F15216" s="8">
        <v>509</v>
      </c>
    </row>
    <row r="15217" spans="1:6" ht="12.75">
      <c r="A15217" s="8">
        <v>43897.861759259264</v>
      </c>
      <c r="B15217" s="8" t="str">
        <f>HYPERLINK("https://twitter.com/ikandoyii","@ikandoyii")</f>
        <v>@ikandoyii</v>
      </c>
      <c r="C15217" s="8" t="s">
        <v>6172</v>
      </c>
      <c r="D15217" s="8">
        <v>0</v>
      </c>
      <c r="E15217" s="8">
        <v>0</v>
      </c>
      <c r="F15217" s="8">
        <v>1383</v>
      </c>
    </row>
    <row r="15218" spans="1:6" ht="12.75">
      <c r="A15218" s="8">
        <v>43897.861643518518</v>
      </c>
      <c r="B15218" s="8" t="str">
        <f>HYPERLINK("https://twitter.com/tjahtngina","@tjahtngina")</f>
        <v>@tjahtngina</v>
      </c>
      <c r="C15218" s="8" t="s">
        <v>5704</v>
      </c>
      <c r="D15218" s="8">
        <v>45</v>
      </c>
      <c r="E15218" s="8">
        <v>0</v>
      </c>
      <c r="F15218" s="8">
        <v>368</v>
      </c>
    </row>
    <row r="15219" spans="1:6" ht="12.75">
      <c r="A15219" s="8">
        <v>43897.861157407402</v>
      </c>
      <c r="B15219" s="8" t="str">
        <f>HYPERLINK("https://twitter.com/GATRA_News","@GATRA_News")</f>
        <v>@GATRA_News</v>
      </c>
      <c r="C15219" s="8" t="s">
        <v>6173</v>
      </c>
      <c r="D15219" s="8">
        <v>0</v>
      </c>
      <c r="E15219" s="8">
        <v>0</v>
      </c>
      <c r="F15219" s="8">
        <v>23180</v>
      </c>
    </row>
    <row r="15220" spans="1:6" ht="12.75">
      <c r="A15220" s="8">
        <v>43897.861145833333</v>
      </c>
      <c r="B15220" s="8" t="str">
        <f>HYPERLINK("https://twitter.com/merdekadotcom","@merdekadotcom")</f>
        <v>@merdekadotcom</v>
      </c>
      <c r="C15220" s="8" t="s">
        <v>6032</v>
      </c>
      <c r="D15220" s="8">
        <v>0</v>
      </c>
      <c r="E15220" s="8">
        <v>3</v>
      </c>
      <c r="F15220" s="8">
        <v>231801</v>
      </c>
    </row>
    <row r="15221" spans="1:6" ht="12.75">
      <c r="A15221" s="8">
        <v>43897.860081018516</v>
      </c>
      <c r="B15221" s="8" t="str">
        <f>HYPERLINK("https://twitter.com/IndonesiaInSto","@IndonesiaInSto")</f>
        <v>@IndonesiaInSto</v>
      </c>
      <c r="C15221" s="8" t="s">
        <v>1376</v>
      </c>
      <c r="D15221" s="8">
        <v>40</v>
      </c>
      <c r="E15221" s="8">
        <v>0</v>
      </c>
      <c r="F15221" s="8">
        <v>1246</v>
      </c>
    </row>
    <row r="15222" spans="1:6" ht="12.75">
      <c r="A15222" s="8">
        <v>43897.8590625</v>
      </c>
      <c r="B15222" s="8" t="str">
        <f>HYPERLINK("https://twitter.com/SutrisnoYohanes","@SutrisnoYohanes")</f>
        <v>@SutrisnoYohanes</v>
      </c>
      <c r="C15222" s="8" t="s">
        <v>6174</v>
      </c>
      <c r="D15222" s="8">
        <v>1</v>
      </c>
      <c r="E15222" s="8">
        <v>3</v>
      </c>
      <c r="F15222" s="8">
        <v>4963</v>
      </c>
    </row>
    <row r="15223" spans="1:6" ht="12.75">
      <c r="A15223" s="8">
        <v>43897.858495370368</v>
      </c>
      <c r="B15223" s="8" t="str">
        <f>HYPERLINK("https://twitter.com/sirajapadoha","@sirajapadoha")</f>
        <v>@sirajapadoha</v>
      </c>
      <c r="C15223" s="8" t="s">
        <v>6175</v>
      </c>
      <c r="D15223" s="8">
        <v>0</v>
      </c>
      <c r="E15223" s="8">
        <v>0</v>
      </c>
      <c r="F15223" s="8">
        <v>2491</v>
      </c>
    </row>
    <row r="15224" spans="1:6" ht="12.75">
      <c r="A15224" s="8">
        <v>43897.858449074076</v>
      </c>
      <c r="B15224" s="8" t="str">
        <f>HYPERLINK("https://twitter.com/FransLS","@FransLS")</f>
        <v>@FransLS</v>
      </c>
      <c r="C15224" s="8" t="s">
        <v>4818</v>
      </c>
      <c r="D15224" s="8">
        <v>273</v>
      </c>
      <c r="E15224" s="8">
        <v>0</v>
      </c>
      <c r="F15224" s="8">
        <v>200</v>
      </c>
    </row>
    <row r="15225" spans="1:6" ht="12.75">
      <c r="A15225" s="8">
        <v>43897.857685185183</v>
      </c>
      <c r="B15225" s="8" t="str">
        <f>HYPERLINK("https://twitter.com/GATRA_News","@GATRA_News")</f>
        <v>@GATRA_News</v>
      </c>
      <c r="C15225" s="8" t="s">
        <v>6176</v>
      </c>
      <c r="D15225" s="8">
        <v>0</v>
      </c>
      <c r="E15225" s="8">
        <v>0</v>
      </c>
      <c r="F15225" s="8">
        <v>23180</v>
      </c>
    </row>
    <row r="15226" spans="1:6" ht="12.75">
      <c r="A15226" s="8">
        <v>43897.856562500005</v>
      </c>
      <c r="B15226" s="8" t="str">
        <f>HYPERLINK("https://twitter.com/coupssxx","@coupssxx")</f>
        <v>@coupssxx</v>
      </c>
      <c r="C15226" s="8" t="s">
        <v>6177</v>
      </c>
      <c r="D15226" s="8">
        <v>0</v>
      </c>
      <c r="E15226" s="8">
        <v>0</v>
      </c>
      <c r="F15226" s="8">
        <v>424</v>
      </c>
    </row>
    <row r="15227" spans="1:6" ht="12.75">
      <c r="A15227" s="8">
        <v>43897.856145833328</v>
      </c>
      <c r="B15227" s="8" t="str">
        <f>HYPERLINK("https://twitter.com/anisanirwana4","@anisanirwana4")</f>
        <v>@anisanirwana4</v>
      </c>
      <c r="C15227" s="8" t="s">
        <v>6113</v>
      </c>
      <c r="D15227" s="8">
        <v>18</v>
      </c>
      <c r="E15227" s="8">
        <v>0</v>
      </c>
      <c r="F15227" s="8">
        <v>107</v>
      </c>
    </row>
    <row r="15228" spans="1:6" ht="12.75">
      <c r="A15228" s="8">
        <v>43897.856122685189</v>
      </c>
      <c r="B15228" s="8" t="str">
        <f>HYPERLINK("https://twitter.com/syahdic016","@syahdic016")</f>
        <v>@syahdic016</v>
      </c>
      <c r="C15228" s="8" t="s">
        <v>4818</v>
      </c>
      <c r="D15228" s="8">
        <v>273</v>
      </c>
      <c r="E15228" s="8">
        <v>0</v>
      </c>
      <c r="F15228" s="8">
        <v>7220</v>
      </c>
    </row>
    <row r="15229" spans="1:6" ht="12.75">
      <c r="A15229" s="8">
        <v>43897.855787037042</v>
      </c>
      <c r="B15229" s="8" t="str">
        <f>HYPERLINK("https://twitter.com/wijaya_karenina","@wijaya_karenina")</f>
        <v>@wijaya_karenina</v>
      </c>
      <c r="C15229" s="8" t="s">
        <v>5704</v>
      </c>
      <c r="D15229" s="8">
        <v>45</v>
      </c>
      <c r="E15229" s="8">
        <v>0</v>
      </c>
      <c r="F15229" s="8">
        <v>520</v>
      </c>
    </row>
    <row r="15230" spans="1:6" ht="12.75">
      <c r="A15230" s="8">
        <v>43897.855393518519</v>
      </c>
      <c r="B15230" s="8" t="str">
        <f>HYPERLINK("https://twitter.com/KangmasIdo","@KangmasIdo")</f>
        <v>@KangmasIdo</v>
      </c>
      <c r="C15230" s="8" t="s">
        <v>5704</v>
      </c>
      <c r="D15230" s="8">
        <v>45</v>
      </c>
      <c r="E15230" s="8">
        <v>0</v>
      </c>
      <c r="F15230" s="8">
        <v>1196</v>
      </c>
    </row>
    <row r="15231" spans="1:6" ht="12.75">
      <c r="A15231" s="8">
        <v>43897.855300925927</v>
      </c>
      <c r="B15231" s="8" t="str">
        <f>HYPERLINK("https://twitter.com/novitafajaaar","@novitafajaaar")</f>
        <v>@novitafajaaar</v>
      </c>
      <c r="C15231" s="8" t="s">
        <v>6178</v>
      </c>
      <c r="D15231" s="8">
        <v>0</v>
      </c>
      <c r="E15231" s="8">
        <v>0</v>
      </c>
      <c r="F15231" s="8">
        <v>432</v>
      </c>
    </row>
    <row r="15232" spans="1:6" ht="12.75">
      <c r="A15232" s="8">
        <v>43897.855092592596</v>
      </c>
      <c r="B15232" s="8" t="str">
        <f>HYPERLINK("https://twitter.com/Bentalakelam","@Bentalakelam")</f>
        <v>@Bentalakelam</v>
      </c>
      <c r="C15232" s="8" t="s">
        <v>6179</v>
      </c>
      <c r="D15232" s="8">
        <v>0</v>
      </c>
      <c r="E15232" s="8">
        <v>1</v>
      </c>
      <c r="F15232" s="8">
        <v>2479</v>
      </c>
    </row>
    <row r="15233" spans="1:6" ht="12.75">
      <c r="A15233" s="8">
        <v>43897.854965277773</v>
      </c>
      <c r="B15233" s="8" t="str">
        <f>HYPERLINK("https://twitter.com/Detektif_Ngibul","@Detektif_Ngibul")</f>
        <v>@Detektif_Ngibul</v>
      </c>
      <c r="C15233" s="8" t="s">
        <v>6180</v>
      </c>
      <c r="D15233" s="8">
        <v>1</v>
      </c>
      <c r="E15233" s="8">
        <v>0</v>
      </c>
      <c r="F15233" s="8">
        <v>1705</v>
      </c>
    </row>
    <row r="15234" spans="1:6" ht="12.75">
      <c r="A15234" s="8">
        <v>43897.854583333334</v>
      </c>
      <c r="B15234" s="8" t="str">
        <f>HYPERLINK("https://twitter.com/_wni_","@_wni_")</f>
        <v>@_wni_</v>
      </c>
      <c r="C15234" s="8" t="s">
        <v>6181</v>
      </c>
      <c r="D15234" s="8">
        <v>1</v>
      </c>
      <c r="E15234" s="8">
        <v>0</v>
      </c>
      <c r="F15234" s="8">
        <v>16</v>
      </c>
    </row>
    <row r="15235" spans="1:6" ht="12.75">
      <c r="A15235" s="8">
        <v>43897.85361111111</v>
      </c>
      <c r="B15235" s="8" t="str">
        <f>HYPERLINK("https://twitter.com/Leel310","@Leel310")</f>
        <v>@Leel310</v>
      </c>
      <c r="C15235" s="8" t="s">
        <v>6182</v>
      </c>
      <c r="D15235" s="8">
        <v>0</v>
      </c>
      <c r="E15235" s="8">
        <v>0</v>
      </c>
      <c r="F15235" s="8">
        <v>3</v>
      </c>
    </row>
    <row r="15236" spans="1:6" ht="12.75">
      <c r="A15236" s="8">
        <v>43897.853495370371</v>
      </c>
      <c r="B15236" s="8" t="str">
        <f>HYPERLINK("https://twitter.com/billy4riez","@billy4riez")</f>
        <v>@billy4riez</v>
      </c>
      <c r="C15236" s="8" t="s">
        <v>6133</v>
      </c>
      <c r="D15236" s="8">
        <v>1</v>
      </c>
      <c r="E15236" s="8">
        <v>0</v>
      </c>
      <c r="F15236" s="8">
        <v>8067</v>
      </c>
    </row>
    <row r="15237" spans="1:6" ht="12.75">
      <c r="A15237" s="8">
        <v>43897.853090277778</v>
      </c>
      <c r="B15237" s="8" t="str">
        <f>HYPERLINK("https://twitter.com/Kwekwek19","@Kwekwek19")</f>
        <v>@Kwekwek19</v>
      </c>
      <c r="C15237" s="8" t="s">
        <v>3743</v>
      </c>
      <c r="D15237" s="8">
        <v>684</v>
      </c>
      <c r="E15237" s="8">
        <v>0</v>
      </c>
      <c r="F15237" s="8">
        <v>23</v>
      </c>
    </row>
    <row r="15238" spans="1:6" ht="12.75">
      <c r="A15238" s="8">
        <v>43897.852835648147</v>
      </c>
      <c r="B15238" s="8" t="str">
        <f>HYPERLINK("https://twitter.com/_wni_","@_wni_")</f>
        <v>@_wni_</v>
      </c>
      <c r="C15238" s="8" t="s">
        <v>6183</v>
      </c>
      <c r="D15238" s="8">
        <v>0</v>
      </c>
      <c r="E15238" s="8">
        <v>0</v>
      </c>
      <c r="F15238" s="8">
        <v>16</v>
      </c>
    </row>
    <row r="15239" spans="1:6" ht="12.75">
      <c r="A15239" s="8">
        <v>43897.851851851854</v>
      </c>
      <c r="B15239" s="8" t="str">
        <f>HYPERLINK("https://twitter.com/parangsana","@parangsana")</f>
        <v>@parangsana</v>
      </c>
      <c r="C15239" s="8" t="s">
        <v>5833</v>
      </c>
      <c r="D15239" s="8">
        <v>16</v>
      </c>
      <c r="E15239" s="8">
        <v>0</v>
      </c>
      <c r="F15239" s="8">
        <v>117</v>
      </c>
    </row>
    <row r="15240" spans="1:6" ht="12.75">
      <c r="A15240" s="8">
        <v>43897.851817129631</v>
      </c>
      <c r="B15240" s="8" t="str">
        <f>HYPERLINK("https://twitter.com/_wni_","@_wni_")</f>
        <v>@_wni_</v>
      </c>
      <c r="C15240" s="8" t="s">
        <v>6184</v>
      </c>
      <c r="D15240" s="8">
        <v>0</v>
      </c>
      <c r="E15240" s="8">
        <v>0</v>
      </c>
      <c r="F15240" s="8">
        <v>16</v>
      </c>
    </row>
    <row r="15241" spans="1:6" ht="12.75">
      <c r="A15241" s="8">
        <v>43897.851134259261</v>
      </c>
      <c r="B15241" s="8" t="str">
        <f>HYPERLINK("https://twitter.com/DamnLoveNKRI","@DamnLoveNKRI")</f>
        <v>@DamnLoveNKRI</v>
      </c>
      <c r="C15241" s="8" t="s">
        <v>6185</v>
      </c>
      <c r="D15241" s="8">
        <v>0</v>
      </c>
      <c r="E15241" s="8">
        <v>1</v>
      </c>
      <c r="F15241" s="8">
        <v>720</v>
      </c>
    </row>
    <row r="15242" spans="1:6" ht="12.75">
      <c r="A15242" s="8">
        <v>43897.851041666669</v>
      </c>
      <c r="B15242" s="8" t="str">
        <f>HYPERLINK("https://twitter.com/Mataya16641870","@Mataya16641870")</f>
        <v>@Mataya16641870</v>
      </c>
      <c r="C15242" s="8" t="s">
        <v>3743</v>
      </c>
      <c r="D15242" s="8">
        <v>684</v>
      </c>
      <c r="E15242" s="8">
        <v>0</v>
      </c>
      <c r="F15242" s="8">
        <v>373</v>
      </c>
    </row>
    <row r="15243" spans="1:6" ht="12.75">
      <c r="A15243" s="8">
        <v>43897.850613425922</v>
      </c>
      <c r="B15243" s="8" t="str">
        <f>HYPERLINK("https://twitter.com/oshnanaaa","@oshnanaaa")</f>
        <v>@oshnanaaa</v>
      </c>
      <c r="C15243" s="8" t="s">
        <v>6186</v>
      </c>
      <c r="D15243" s="8">
        <v>0</v>
      </c>
      <c r="E15243" s="8">
        <v>0</v>
      </c>
      <c r="F15243" s="8">
        <v>556</v>
      </c>
    </row>
    <row r="15244" spans="1:6" ht="12.75">
      <c r="A15244" s="8">
        <v>43897.849085648151</v>
      </c>
      <c r="B15244" s="8" t="str">
        <f>HYPERLINK("https://twitter.com/Widyo81940574","@Widyo81940574")</f>
        <v>@Widyo81940574</v>
      </c>
      <c r="C15244" s="8" t="s">
        <v>6130</v>
      </c>
      <c r="D15244" s="8">
        <v>2</v>
      </c>
      <c r="E15244" s="8">
        <v>0</v>
      </c>
      <c r="F15244" s="8">
        <v>130</v>
      </c>
    </row>
    <row r="15245" spans="1:6" ht="12.75">
      <c r="A15245" s="8">
        <v>43897.849085648151</v>
      </c>
      <c r="B15245" s="8" t="str">
        <f>HYPERLINK("https://twitter.com/SyarifAlkadrie3","@SyarifAlkadrie3")</f>
        <v>@SyarifAlkadrie3</v>
      </c>
      <c r="C15245" s="8" t="s">
        <v>3265</v>
      </c>
      <c r="D15245" s="8">
        <v>20</v>
      </c>
      <c r="E15245" s="8">
        <v>0</v>
      </c>
      <c r="F15245" s="8">
        <v>953</v>
      </c>
    </row>
    <row r="15246" spans="1:6" ht="12.75">
      <c r="A15246" s="8">
        <v>43897.848668981482</v>
      </c>
      <c r="B15246" s="8" t="str">
        <f>HYPERLINK("https://twitter.com/Nenisweety1","@Nenisweety1")</f>
        <v>@Nenisweety1</v>
      </c>
      <c r="C15246" s="8" t="s">
        <v>3743</v>
      </c>
      <c r="D15246" s="8">
        <v>684</v>
      </c>
      <c r="E15246" s="8">
        <v>0</v>
      </c>
      <c r="F15246" s="8">
        <v>252</v>
      </c>
    </row>
    <row r="15247" spans="1:6" ht="12.75">
      <c r="A15247" s="8">
        <v>43897.84856481482</v>
      </c>
      <c r="B15247" s="8" t="str">
        <f>HYPERLINK("https://twitter.com/AnakLolina","@AnakLolina")</f>
        <v>@AnakLolina</v>
      </c>
      <c r="C15247" s="8" t="s">
        <v>5486</v>
      </c>
      <c r="D15247" s="8">
        <v>23</v>
      </c>
      <c r="E15247" s="8">
        <v>0</v>
      </c>
      <c r="F15247" s="8">
        <v>15221</v>
      </c>
    </row>
    <row r="15248" spans="1:6" ht="12.75">
      <c r="A15248" s="8">
        <v>43897.848344907412</v>
      </c>
      <c r="B15248" s="8" t="str">
        <f>HYPERLINK("https://twitter.com/andi_saja","@andi_saja")</f>
        <v>@andi_saja</v>
      </c>
      <c r="C15248" s="8" t="s">
        <v>4510</v>
      </c>
      <c r="D15248" s="8">
        <v>113</v>
      </c>
      <c r="E15248" s="8">
        <v>0</v>
      </c>
      <c r="F15248" s="8">
        <v>1901</v>
      </c>
    </row>
    <row r="15249" spans="1:6" ht="12.75">
      <c r="A15249" s="8">
        <v>43897.847766203704</v>
      </c>
      <c r="B15249" s="8" t="str">
        <f>HYPERLINK("https://twitter.com/nanininaninna","@nanininaninna")</f>
        <v>@nanininaninna</v>
      </c>
      <c r="C15249" s="8" t="s">
        <v>5704</v>
      </c>
      <c r="D15249" s="8">
        <v>45</v>
      </c>
      <c r="E15249" s="8">
        <v>0</v>
      </c>
      <c r="F15249" s="8">
        <v>2745</v>
      </c>
    </row>
    <row r="15250" spans="1:6" ht="12.75">
      <c r="A15250" s="8">
        <v>43897.847685185188</v>
      </c>
      <c r="B15250" s="8" t="str">
        <f>HYPERLINK("https://twitter.com/ika7MRC","@ika7MRC")</f>
        <v>@ika7MRC</v>
      </c>
      <c r="C15250" s="8" t="s">
        <v>4510</v>
      </c>
      <c r="D15250" s="8">
        <v>113</v>
      </c>
      <c r="E15250" s="8">
        <v>0</v>
      </c>
      <c r="F15250" s="8">
        <v>1338</v>
      </c>
    </row>
    <row r="15251" spans="1:6" ht="12.75">
      <c r="A15251" s="8">
        <v>43897.847604166665</v>
      </c>
      <c r="B15251" s="8" t="str">
        <f>HYPERLINK("https://twitter.com/6u57104","@6u57104")</f>
        <v>@6u57104</v>
      </c>
      <c r="C15251" s="8" t="s">
        <v>3743</v>
      </c>
      <c r="D15251" s="8">
        <v>684</v>
      </c>
      <c r="E15251" s="8">
        <v>0</v>
      </c>
      <c r="F15251" s="8">
        <v>83</v>
      </c>
    </row>
    <row r="15252" spans="1:6" ht="12.75">
      <c r="A15252" s="8">
        <v>43897.847384259258</v>
      </c>
      <c r="B15252" s="8" t="str">
        <f>HYPERLINK("https://twitter.com/Ilyasdipur","@Ilyasdipur")</f>
        <v>@Ilyasdipur</v>
      </c>
      <c r="C15252" s="8" t="s">
        <v>5704</v>
      </c>
      <c r="D15252" s="8">
        <v>45</v>
      </c>
      <c r="E15252" s="8">
        <v>0</v>
      </c>
      <c r="F15252" s="8">
        <v>104</v>
      </c>
    </row>
    <row r="15253" spans="1:6" ht="12.75">
      <c r="A15253" s="8">
        <v>43897.847337962958</v>
      </c>
      <c r="B15253" s="8" t="str">
        <f>HYPERLINK("https://twitter.com/Syahsribm","@Syahsribm")</f>
        <v>@Syahsribm</v>
      </c>
      <c r="C15253" s="8" t="s">
        <v>3265</v>
      </c>
      <c r="D15253" s="8">
        <v>20</v>
      </c>
      <c r="E15253" s="8">
        <v>0</v>
      </c>
      <c r="F15253" s="8">
        <v>756</v>
      </c>
    </row>
    <row r="15254" spans="1:6" ht="12.75">
      <c r="A15254" s="8">
        <v>43897.847326388888</v>
      </c>
      <c r="B15254" s="8" t="str">
        <f>HYPERLINK("https://twitter.com/JantoLatief3","@JantoLatief3")</f>
        <v>@JantoLatief3</v>
      </c>
      <c r="C15254" s="8" t="s">
        <v>5918</v>
      </c>
      <c r="D15254" s="8">
        <v>9</v>
      </c>
      <c r="E15254" s="8">
        <v>0</v>
      </c>
      <c r="F15254" s="8">
        <v>1656</v>
      </c>
    </row>
    <row r="15255" spans="1:6" ht="12.75">
      <c r="A15255" s="8">
        <v>43897.847303240742</v>
      </c>
      <c r="B15255" s="8" t="str">
        <f>HYPERLINK("https://twitter.com/sartono_k","@sartono_k")</f>
        <v>@sartono_k</v>
      </c>
      <c r="C15255" s="8" t="s">
        <v>3265</v>
      </c>
      <c r="D15255" s="8">
        <v>20</v>
      </c>
      <c r="E15255" s="8">
        <v>0</v>
      </c>
      <c r="F15255" s="8">
        <v>43</v>
      </c>
    </row>
    <row r="15256" spans="1:6" ht="12.75">
      <c r="A15256" s="8">
        <v>43897.847118055557</v>
      </c>
      <c r="B15256" s="8" t="str">
        <f t="shared" ref="B15256:B15257" si="229">HYPERLINK("https://twitter.com/idntimes","@idntimes")</f>
        <v>@idntimes</v>
      </c>
      <c r="C15256" s="8" t="s">
        <v>6187</v>
      </c>
      <c r="D15256" s="8">
        <v>0</v>
      </c>
      <c r="E15256" s="8">
        <v>1</v>
      </c>
      <c r="F15256" s="8">
        <v>394184</v>
      </c>
    </row>
    <row r="15257" spans="1:6" ht="12.75">
      <c r="A15257" s="8">
        <v>43897.846770833334</v>
      </c>
      <c r="B15257" s="8" t="str">
        <f t="shared" si="229"/>
        <v>@idntimes</v>
      </c>
      <c r="C15257" s="8" t="s">
        <v>6188</v>
      </c>
      <c r="D15257" s="8">
        <v>0</v>
      </c>
      <c r="E15257" s="8">
        <v>2</v>
      </c>
      <c r="F15257" s="8">
        <v>394184</v>
      </c>
    </row>
    <row r="15258" spans="1:6" ht="12.75">
      <c r="A15258" s="8">
        <v>43897.845729166671</v>
      </c>
      <c r="B15258" s="8" t="str">
        <f>HYPERLINK("https://twitter.com/iNewsID","@iNewsID")</f>
        <v>@iNewsID</v>
      </c>
      <c r="C15258" s="8" t="s">
        <v>6189</v>
      </c>
      <c r="D15258" s="8">
        <v>0</v>
      </c>
      <c r="E15258" s="8">
        <v>0</v>
      </c>
      <c r="F15258" s="8">
        <v>1369</v>
      </c>
    </row>
    <row r="15259" spans="1:6" ht="12.75">
      <c r="A15259" s="8">
        <v>43897.845509259263</v>
      </c>
      <c r="B15259" s="8" t="str">
        <f>HYPERLINK("https://twitter.com/merdekadotcom","@merdekadotcom")</f>
        <v>@merdekadotcom</v>
      </c>
      <c r="C15259" s="8" t="s">
        <v>6190</v>
      </c>
      <c r="D15259" s="8">
        <v>1</v>
      </c>
      <c r="E15259" s="8">
        <v>0</v>
      </c>
      <c r="F15259" s="8">
        <v>231801</v>
      </c>
    </row>
    <row r="15260" spans="1:6" ht="12.75">
      <c r="A15260" s="8">
        <v>43897.845347222217</v>
      </c>
      <c r="B15260" s="8" t="str">
        <f>HYPERLINK("https://twitter.com/sirajapadoha","@sirajapadoha")</f>
        <v>@sirajapadoha</v>
      </c>
      <c r="C15260" s="8" t="s">
        <v>6191</v>
      </c>
      <c r="D15260" s="8">
        <v>1</v>
      </c>
      <c r="E15260" s="8">
        <v>0</v>
      </c>
      <c r="F15260" s="8">
        <v>2491</v>
      </c>
    </row>
    <row r="15261" spans="1:6" ht="12.75">
      <c r="A15261" s="8">
        <v>43897.845324074078</v>
      </c>
      <c r="B15261" s="8" t="str">
        <f>HYPERLINK("https://twitter.com/ociirosiana","@ociirosiana")</f>
        <v>@ociirosiana</v>
      </c>
      <c r="C15261" s="8" t="s">
        <v>1376</v>
      </c>
      <c r="D15261" s="8">
        <v>40</v>
      </c>
      <c r="E15261" s="8">
        <v>0</v>
      </c>
      <c r="F15261" s="8">
        <v>434</v>
      </c>
    </row>
    <row r="15262" spans="1:6" ht="12.75">
      <c r="A15262" s="8">
        <v>43897.845208333332</v>
      </c>
      <c r="B15262" s="8" t="str">
        <f>HYPERLINK("https://twitter.com/PengintaiR","@PengintaiR")</f>
        <v>@PengintaiR</v>
      </c>
      <c r="C15262" s="8" t="s">
        <v>4818</v>
      </c>
      <c r="D15262" s="8">
        <v>273</v>
      </c>
      <c r="E15262" s="8">
        <v>0</v>
      </c>
      <c r="F15262" s="8">
        <v>85</v>
      </c>
    </row>
    <row r="15263" spans="1:6" ht="12.75">
      <c r="A15263" s="8">
        <v>43897.845023148147</v>
      </c>
      <c r="B15263" s="8" t="str">
        <f>HYPERLINK("https://twitter.com/AbahDigul","@AbahDigul")</f>
        <v>@AbahDigul</v>
      </c>
      <c r="C15263" s="8" t="s">
        <v>6192</v>
      </c>
      <c r="D15263" s="8">
        <v>1</v>
      </c>
      <c r="E15263" s="8">
        <v>0</v>
      </c>
      <c r="F15263" s="8">
        <v>190</v>
      </c>
    </row>
    <row r="15264" spans="1:6" ht="12.75">
      <c r="A15264" s="8">
        <v>43897.844537037032</v>
      </c>
      <c r="B15264" s="8" t="str">
        <f>HYPERLINK("https://twitter.com/YolaEL_MINORI","@YolaEL_MINORI")</f>
        <v>@YolaEL_MINORI</v>
      </c>
      <c r="C15264" s="8" t="s">
        <v>6193</v>
      </c>
      <c r="D15264" s="8">
        <v>5</v>
      </c>
      <c r="E15264" s="8">
        <v>0</v>
      </c>
      <c r="F15264" s="8">
        <v>66</v>
      </c>
    </row>
    <row r="15265" spans="1:6" ht="12.75">
      <c r="A15265" s="8">
        <v>43897.844317129631</v>
      </c>
      <c r="B15265" s="8" t="str">
        <f>HYPERLINK("https://twitter.com/wibikuffal","@wibikuffal")</f>
        <v>@wibikuffal</v>
      </c>
      <c r="C15265" s="8" t="s">
        <v>6194</v>
      </c>
      <c r="D15265" s="8">
        <v>0</v>
      </c>
      <c r="E15265" s="8">
        <v>0</v>
      </c>
      <c r="F15265" s="8">
        <v>177</v>
      </c>
    </row>
    <row r="15266" spans="1:6" ht="12.75">
      <c r="A15266" s="8">
        <v>43897.844166666662</v>
      </c>
      <c r="B15266" s="8" t="str">
        <f>HYPERLINK("https://twitter.com/IrwanNugroho","@IrwanNugroho")</f>
        <v>@IrwanNugroho</v>
      </c>
      <c r="C15266" s="8" t="s">
        <v>6195</v>
      </c>
      <c r="D15266" s="8">
        <v>1</v>
      </c>
      <c r="E15266" s="8">
        <v>0</v>
      </c>
      <c r="F15266" s="8">
        <v>100</v>
      </c>
    </row>
    <row r="15267" spans="1:6" ht="12.75">
      <c r="A15267" s="8">
        <v>43897.843784722223</v>
      </c>
      <c r="B15267" s="8" t="str">
        <f>HYPERLINK("https://twitter.com/iNewsID","@iNewsID")</f>
        <v>@iNewsID</v>
      </c>
      <c r="C15267" s="8" t="s">
        <v>6196</v>
      </c>
      <c r="D15267" s="8">
        <v>0</v>
      </c>
      <c r="E15267" s="8">
        <v>0</v>
      </c>
      <c r="F15267" s="8">
        <v>1369</v>
      </c>
    </row>
    <row r="15268" spans="1:6" ht="12.75">
      <c r="A15268" s="8">
        <v>43897.843368055561</v>
      </c>
      <c r="B15268" s="8" t="str">
        <f>HYPERLINK("https://twitter.com/flovrie","@flovrie")</f>
        <v>@flovrie</v>
      </c>
      <c r="C15268" s="8" t="s">
        <v>3213</v>
      </c>
      <c r="D15268" s="8">
        <v>319</v>
      </c>
      <c r="E15268" s="8">
        <v>0</v>
      </c>
      <c r="F15268" s="8">
        <v>144</v>
      </c>
    </row>
    <row r="15269" spans="1:6" ht="12.75">
      <c r="A15269" s="8">
        <v>43897.843344907407</v>
      </c>
      <c r="B15269" s="8" t="str">
        <f>HYPERLINK("https://twitter.com/kerjacerdas","@kerjacerdas")</f>
        <v>@kerjacerdas</v>
      </c>
      <c r="C15269" s="8" t="s">
        <v>6197</v>
      </c>
      <c r="D15269" s="8">
        <v>3</v>
      </c>
      <c r="E15269" s="8">
        <v>0</v>
      </c>
      <c r="F15269" s="8">
        <v>839</v>
      </c>
    </row>
    <row r="15270" spans="1:6" ht="12.75">
      <c r="A15270" s="8">
        <v>43897.839328703703</v>
      </c>
      <c r="B15270" s="8" t="str">
        <f>HYPERLINK("https://twitter.com/wni_jmsri","@wni_jmsri")</f>
        <v>@wni_jmsri</v>
      </c>
      <c r="C15270" s="8" t="s">
        <v>6198</v>
      </c>
      <c r="D15270" s="8">
        <v>1237</v>
      </c>
      <c r="E15270" s="8">
        <v>0</v>
      </c>
      <c r="F15270" s="8">
        <v>202</v>
      </c>
    </row>
    <row r="15271" spans="1:6" ht="12.75">
      <c r="A15271" s="8">
        <v>43897.839062500003</v>
      </c>
      <c r="B15271" s="8" t="str">
        <f>HYPERLINK("https://twitter.com/MZubir_ID","@MZubir_ID")</f>
        <v>@MZubir_ID</v>
      </c>
      <c r="C15271" s="8" t="s">
        <v>6199</v>
      </c>
      <c r="D15271" s="8">
        <v>0</v>
      </c>
      <c r="E15271" s="8">
        <v>0</v>
      </c>
      <c r="F15271" s="8">
        <v>5858</v>
      </c>
    </row>
    <row r="15272" spans="1:6" ht="12.75">
      <c r="A15272" s="8">
        <v>43897.838587962964</v>
      </c>
      <c r="B15272" s="8" t="str">
        <f>HYPERLINK("https://twitter.com/id_aksi","@id_aksi")</f>
        <v>@id_aksi</v>
      </c>
      <c r="C15272" s="8" t="s">
        <v>6200</v>
      </c>
      <c r="D15272" s="8">
        <v>0</v>
      </c>
      <c r="E15272" s="8">
        <v>0</v>
      </c>
      <c r="F15272" s="8">
        <v>79</v>
      </c>
    </row>
    <row r="15273" spans="1:6" ht="12.75">
      <c r="A15273" s="8">
        <v>43897.838124999995</v>
      </c>
      <c r="B15273" s="8" t="str">
        <f>HYPERLINK("https://twitter.com/pratamadan_","@pratamadan_")</f>
        <v>@pratamadan_</v>
      </c>
      <c r="C15273" s="8" t="s">
        <v>6201</v>
      </c>
      <c r="D15273" s="8">
        <v>2</v>
      </c>
      <c r="E15273" s="8">
        <v>0</v>
      </c>
      <c r="F15273" s="8">
        <v>202</v>
      </c>
    </row>
    <row r="15274" spans="1:6" ht="12.75">
      <c r="A15274" s="8">
        <v>43897.836840277778</v>
      </c>
      <c r="B15274" s="8" t="str">
        <f>HYPERLINK("https://twitter.com/forddyce92","@forddyce92")</f>
        <v>@forddyce92</v>
      </c>
      <c r="C15274" s="8" t="s">
        <v>6202</v>
      </c>
      <c r="D15274" s="8">
        <v>0</v>
      </c>
      <c r="E15274" s="8">
        <v>0</v>
      </c>
      <c r="F15274" s="8">
        <v>27</v>
      </c>
    </row>
    <row r="15275" spans="1:6" ht="12.75">
      <c r="A15275" s="8">
        <v>43897.836793981478</v>
      </c>
      <c r="B15275" s="8" t="str">
        <f>HYPERLINK("https://twitter.com/IswadiJambi","@IswadiJambi")</f>
        <v>@IswadiJambi</v>
      </c>
      <c r="C15275" s="8" t="s">
        <v>3265</v>
      </c>
      <c r="D15275" s="8">
        <v>14</v>
      </c>
      <c r="E15275" s="8">
        <v>0</v>
      </c>
      <c r="F15275" s="8">
        <v>204</v>
      </c>
    </row>
    <row r="15276" spans="1:6" ht="12.75">
      <c r="A15276" s="8">
        <v>43897.836770833332</v>
      </c>
      <c r="B15276" s="8" t="str">
        <f>HYPERLINK("https://twitter.com/kampoengasri","@kampoengasri")</f>
        <v>@kampoengasri</v>
      </c>
      <c r="C15276" s="8" t="s">
        <v>5704</v>
      </c>
      <c r="D15276" s="8">
        <v>39</v>
      </c>
      <c r="E15276" s="8">
        <v>0</v>
      </c>
      <c r="F15276" s="8">
        <v>128</v>
      </c>
    </row>
    <row r="15277" spans="1:6" ht="12.75">
      <c r="A15277" s="8">
        <v>43897.836435185185</v>
      </c>
      <c r="B15277" s="8" t="str">
        <f>HYPERLINK("https://twitter.com/hidayatunacom","@hidayatunacom")</f>
        <v>@hidayatunacom</v>
      </c>
      <c r="C15277" s="8" t="s">
        <v>6203</v>
      </c>
      <c r="D15277" s="8">
        <v>0</v>
      </c>
      <c r="E15277" s="8">
        <v>0</v>
      </c>
      <c r="F15277" s="8">
        <v>458</v>
      </c>
    </row>
    <row r="15278" spans="1:6" ht="12.75">
      <c r="A15278" s="8">
        <v>43897.836423611108</v>
      </c>
      <c r="B15278" s="8" t="str">
        <f>HYPERLINK("https://twitter.com/akbarperlengka1","@akbarperlengka1")</f>
        <v>@akbarperlengka1</v>
      </c>
      <c r="C15278" s="8" t="s">
        <v>5878</v>
      </c>
      <c r="D15278" s="8">
        <v>28</v>
      </c>
      <c r="E15278" s="8">
        <v>0</v>
      </c>
      <c r="F15278" s="8">
        <v>13</v>
      </c>
    </row>
    <row r="15279" spans="1:6" ht="12.75">
      <c r="A15279" s="8">
        <v>43897.835462962961</v>
      </c>
      <c r="B15279" s="8" t="str">
        <f>HYPERLINK("https://twitter.com/Muslih34753397","@Muslih34753397")</f>
        <v>@Muslih34753397</v>
      </c>
      <c r="C15279" s="8" t="s">
        <v>5486</v>
      </c>
      <c r="D15279" s="8">
        <v>20</v>
      </c>
      <c r="E15279" s="8">
        <v>0</v>
      </c>
      <c r="F15279" s="8">
        <v>368</v>
      </c>
    </row>
    <row r="15280" spans="1:6" ht="12.75">
      <c r="A15280" s="8">
        <v>43897.833738425921</v>
      </c>
      <c r="B15280" s="8" t="str">
        <f>HYPERLINK("https://twitter.com/Darul64687344","@Darul64687344")</f>
        <v>@Darul64687344</v>
      </c>
      <c r="C15280" s="8" t="s">
        <v>3743</v>
      </c>
      <c r="D15280" s="8">
        <v>676</v>
      </c>
      <c r="E15280" s="8">
        <v>0</v>
      </c>
      <c r="F15280" s="8">
        <v>142</v>
      </c>
    </row>
    <row r="15281" spans="1:6" ht="12.75">
      <c r="A15281" s="8">
        <v>43897.833368055552</v>
      </c>
      <c r="B15281" s="8" t="str">
        <f>HYPERLINK("https://twitter.com/sanuri118","@sanuri118")</f>
        <v>@sanuri118</v>
      </c>
      <c r="C15281" s="8" t="s">
        <v>6204</v>
      </c>
      <c r="D15281" s="8">
        <v>0</v>
      </c>
      <c r="E15281" s="8">
        <v>0</v>
      </c>
      <c r="F15281" s="8">
        <v>1763</v>
      </c>
    </row>
    <row r="15282" spans="1:6" ht="12.75">
      <c r="A15282" s="8">
        <v>43897.833182870367</v>
      </c>
      <c r="B15282" s="8" t="str">
        <f>HYPERLINK("https://twitter.com/Hengkyasm","@Hengkyasm")</f>
        <v>@Hengkyasm</v>
      </c>
      <c r="C15282" s="8" t="s">
        <v>6205</v>
      </c>
      <c r="D15282" s="8">
        <v>0</v>
      </c>
      <c r="E15282" s="8">
        <v>0</v>
      </c>
      <c r="F15282" s="8">
        <v>10</v>
      </c>
    </row>
    <row r="15283" spans="1:6" ht="12.75">
      <c r="A15283" s="8">
        <v>43897.832291666666</v>
      </c>
      <c r="B15283" s="8" t="str">
        <f>HYPERLINK("https://twitter.com/daulatrakyat18","@daulatrakyat18")</f>
        <v>@daulatrakyat18</v>
      </c>
      <c r="C15283" s="8" t="s">
        <v>6206</v>
      </c>
      <c r="D15283" s="8">
        <v>0</v>
      </c>
      <c r="E15283" s="8">
        <v>0</v>
      </c>
      <c r="F15283" s="8">
        <v>93</v>
      </c>
    </row>
    <row r="15284" spans="1:6" ht="12.75">
      <c r="A15284" s="8">
        <v>43897.832245370373</v>
      </c>
      <c r="B15284" s="8" t="str">
        <f>HYPERLINK("https://twitter.com/Indro76491247","@Indro76491247")</f>
        <v>@Indro76491247</v>
      </c>
      <c r="C15284" s="8" t="s">
        <v>6207</v>
      </c>
      <c r="D15284" s="8">
        <v>1</v>
      </c>
      <c r="E15284" s="8">
        <v>0</v>
      </c>
      <c r="F15284" s="8">
        <v>80</v>
      </c>
    </row>
    <row r="15285" spans="1:6" ht="12.75">
      <c r="A15285" s="8">
        <v>43897.83222222222</v>
      </c>
      <c r="B15285" s="8" t="str">
        <f>HYPERLINK("https://twitter.com/Nomor155360515","@Nomor155360515")</f>
        <v>@Nomor155360515</v>
      </c>
      <c r="C15285" s="8" t="s">
        <v>6208</v>
      </c>
      <c r="D15285" s="8">
        <v>0</v>
      </c>
      <c r="E15285" s="8">
        <v>0</v>
      </c>
      <c r="F15285" s="8">
        <v>46</v>
      </c>
    </row>
    <row r="15286" spans="1:6" ht="12.75">
      <c r="A15286" s="8">
        <v>43897.83189814815</v>
      </c>
      <c r="B15286" s="8" t="str">
        <f>HYPERLINK("https://twitter.com/ekopriyobondowo","@ekopriyobondowo")</f>
        <v>@ekopriyobondowo</v>
      </c>
      <c r="C15286" s="8" t="s">
        <v>5704</v>
      </c>
      <c r="D15286" s="8">
        <v>39</v>
      </c>
      <c r="E15286" s="8">
        <v>0</v>
      </c>
      <c r="F15286" s="8">
        <v>31</v>
      </c>
    </row>
    <row r="15287" spans="1:6" ht="12.75">
      <c r="A15287" s="8">
        <v>43897.831828703704</v>
      </c>
      <c r="B15287" s="8" t="str">
        <f>HYPERLINK("https://twitter.com/RajBahujan","@RajBahujan")</f>
        <v>@RajBahujan</v>
      </c>
      <c r="C15287" s="8" t="s">
        <v>5458</v>
      </c>
      <c r="D15287" s="8">
        <v>7</v>
      </c>
      <c r="E15287" s="8">
        <v>0</v>
      </c>
      <c r="F15287" s="8">
        <v>321</v>
      </c>
    </row>
    <row r="15288" spans="1:6" ht="12.75">
      <c r="A15288" s="8">
        <v>43897.831817129627</v>
      </c>
      <c r="B15288" s="8" t="str">
        <f>HYPERLINK("https://twitter.com/santidewi888","@santidewi888")</f>
        <v>@santidewi888</v>
      </c>
      <c r="C15288" s="8" t="s">
        <v>6209</v>
      </c>
      <c r="D15288" s="8">
        <v>0</v>
      </c>
      <c r="E15288" s="8">
        <v>0</v>
      </c>
      <c r="F15288" s="8">
        <v>723</v>
      </c>
    </row>
    <row r="15289" spans="1:6" ht="12.75">
      <c r="A15289" s="8">
        <v>43897.831458333334</v>
      </c>
      <c r="B15289" s="8" t="str">
        <f>HYPERLINK("https://twitter.com/1989sbangtan","@1989sbangtan")</f>
        <v>@1989sbangtan</v>
      </c>
      <c r="C15289" s="8" t="s">
        <v>4162</v>
      </c>
      <c r="D15289" s="8">
        <v>89</v>
      </c>
      <c r="E15289" s="8">
        <v>0</v>
      </c>
      <c r="F15289" s="8">
        <v>103</v>
      </c>
    </row>
    <row r="15290" spans="1:6" ht="12.75">
      <c r="A15290" s="8">
        <v>43897.830509259264</v>
      </c>
      <c r="B15290" s="8" t="str">
        <f>HYPERLINK("https://twitter.com/jst4Him_sinurat","@jst4Him_sinurat")</f>
        <v>@jst4Him_sinurat</v>
      </c>
      <c r="C15290" s="8" t="s">
        <v>5704</v>
      </c>
      <c r="D15290" s="8">
        <v>39</v>
      </c>
      <c r="E15290" s="8">
        <v>0</v>
      </c>
      <c r="F15290" s="8">
        <v>60</v>
      </c>
    </row>
    <row r="15291" spans="1:6" ht="12.75">
      <c r="A15291" s="8">
        <v>43897.829733796301</v>
      </c>
      <c r="B15291" s="8" t="str">
        <f>HYPERLINK("https://twitter.com/YusufNusantara1","@YusufNusantara1")</f>
        <v>@YusufNusantara1</v>
      </c>
      <c r="C15291" s="8" t="s">
        <v>6193</v>
      </c>
      <c r="D15291" s="8">
        <v>3</v>
      </c>
      <c r="E15291" s="8">
        <v>0</v>
      </c>
      <c r="F15291" s="8">
        <v>783</v>
      </c>
    </row>
    <row r="15292" spans="1:6" ht="12.75">
      <c r="A15292" s="8">
        <v>43897.828900462962</v>
      </c>
      <c r="B15292" s="8" t="str">
        <f>HYPERLINK("https://twitter.com/panembahansepuh","@panembahansepuh")</f>
        <v>@panembahansepuh</v>
      </c>
      <c r="C15292" s="8" t="s">
        <v>3743</v>
      </c>
      <c r="D15292" s="8">
        <v>676</v>
      </c>
      <c r="E15292" s="8">
        <v>0</v>
      </c>
      <c r="F15292" s="8">
        <v>372</v>
      </c>
    </row>
    <row r="15293" spans="1:6" ht="12.75">
      <c r="A15293" s="8">
        <v>43897.828587962962</v>
      </c>
      <c r="B15293" s="8" t="str">
        <f>HYPERLINK("https://twitter.com/MajidAl62510772","@MajidAl62510772")</f>
        <v>@MajidAl62510772</v>
      </c>
      <c r="C15293" s="8" t="s">
        <v>6210</v>
      </c>
      <c r="D15293" s="8">
        <v>0</v>
      </c>
      <c r="E15293" s="8">
        <v>0</v>
      </c>
      <c r="F15293" s="8">
        <v>166</v>
      </c>
    </row>
    <row r="15294" spans="1:6" ht="12.75">
      <c r="A15294" s="8">
        <v>43897.82849537037</v>
      </c>
      <c r="B15294" s="8" t="str">
        <f>HYPERLINK("https://twitter.com/KonsulWahyu","@KonsulWahyu")</f>
        <v>@KonsulWahyu</v>
      </c>
      <c r="C15294" s="8" t="s">
        <v>6211</v>
      </c>
      <c r="D15294" s="8">
        <v>0</v>
      </c>
      <c r="E15294" s="8">
        <v>0</v>
      </c>
      <c r="F15294" s="8">
        <v>101</v>
      </c>
    </row>
    <row r="15295" spans="1:6" ht="12.75">
      <c r="A15295" s="8">
        <v>43897.82775462963</v>
      </c>
      <c r="B15295" s="8" t="str">
        <f>HYPERLINK("https://twitter.com/ang3lyogini","@ang3lyogini")</f>
        <v>@ang3lyogini</v>
      </c>
      <c r="C15295" s="8" t="s">
        <v>3213</v>
      </c>
      <c r="D15295" s="8">
        <v>314</v>
      </c>
      <c r="E15295" s="8">
        <v>0</v>
      </c>
      <c r="F15295" s="8">
        <v>94</v>
      </c>
    </row>
    <row r="15296" spans="1:6" ht="12.75">
      <c r="A15296" s="8">
        <v>43897.825682870374</v>
      </c>
      <c r="B15296" s="8" t="str">
        <f>HYPERLINK("https://twitter.com/HendarwatiH","@HendarwatiH")</f>
        <v>@HendarwatiH</v>
      </c>
      <c r="C15296" s="8" t="s">
        <v>6039</v>
      </c>
      <c r="D15296" s="8">
        <v>1</v>
      </c>
      <c r="E15296" s="8">
        <v>0</v>
      </c>
      <c r="F15296" s="8">
        <v>2200</v>
      </c>
    </row>
    <row r="15297" spans="1:6" ht="12.75">
      <c r="A15297" s="8">
        <v>43897.825381944444</v>
      </c>
      <c r="B15297" s="8" t="str">
        <f>HYPERLINK("https://twitter.com/SydSalesman","@SydSalesman")</f>
        <v>@SydSalesman</v>
      </c>
      <c r="C15297" s="8" t="s">
        <v>6113</v>
      </c>
      <c r="D15297" s="8">
        <v>16</v>
      </c>
      <c r="E15297" s="8">
        <v>0</v>
      </c>
      <c r="F15297" s="8">
        <v>6279</v>
      </c>
    </row>
    <row r="15298" spans="1:6" ht="12.75">
      <c r="A15298" s="8">
        <v>43897.825312500005</v>
      </c>
      <c r="B15298" s="8" t="str">
        <f>HYPERLINK("https://twitter.com/IGANSulastrini","@IGANSulastrini")</f>
        <v>@IGANSulastrini</v>
      </c>
      <c r="C15298" s="8" t="s">
        <v>6193</v>
      </c>
      <c r="D15298" s="8">
        <v>3</v>
      </c>
      <c r="E15298" s="8">
        <v>0</v>
      </c>
      <c r="F15298" s="8">
        <v>3495</v>
      </c>
    </row>
    <row r="15299" spans="1:6" ht="12.75">
      <c r="A15299" s="8">
        <v>43897.824953703705</v>
      </c>
      <c r="B15299" s="8" t="str">
        <f>HYPERLINK("https://twitter.com/robiharyadi86","@robiharyadi86")</f>
        <v>@robiharyadi86</v>
      </c>
      <c r="C15299" s="8" t="s">
        <v>3743</v>
      </c>
      <c r="D15299" s="8">
        <v>676</v>
      </c>
      <c r="E15299" s="8">
        <v>0</v>
      </c>
      <c r="F15299" s="8">
        <v>110</v>
      </c>
    </row>
    <row r="15300" spans="1:6" ht="12.75">
      <c r="A15300" s="8">
        <v>43897.822916666672</v>
      </c>
      <c r="B15300" s="8" t="str">
        <f>HYPERLINK("https://twitter.com/mediaindonesia","@mediaindonesia")</f>
        <v>@mediaindonesia</v>
      </c>
      <c r="C15300" s="8" t="s">
        <v>6212</v>
      </c>
      <c r="D15300" s="8">
        <v>3</v>
      </c>
      <c r="E15300" s="8">
        <v>7</v>
      </c>
      <c r="F15300" s="8">
        <v>1420572</v>
      </c>
    </row>
    <row r="15301" spans="1:6" ht="12.75">
      <c r="A15301" s="8">
        <v>43897.822743055556</v>
      </c>
      <c r="B15301" s="8" t="str">
        <f>HYPERLINK("https://twitter.com/N_Kuslan","@N_Kuslan")</f>
        <v>@N_Kuslan</v>
      </c>
      <c r="C15301" s="8" t="s">
        <v>4510</v>
      </c>
      <c r="D15301" s="8">
        <v>106</v>
      </c>
      <c r="E15301" s="8">
        <v>0</v>
      </c>
      <c r="F15301" s="8">
        <v>160</v>
      </c>
    </row>
    <row r="15302" spans="1:6" ht="12.75">
      <c r="A15302" s="8">
        <v>43897.821828703702</v>
      </c>
      <c r="B15302" s="8" t="str">
        <f>HYPERLINK("https://twitter.com/Salman_afarisi","@Salman_afarisi")</f>
        <v>@Salman_afarisi</v>
      </c>
      <c r="C15302" s="8" t="s">
        <v>6026</v>
      </c>
      <c r="D15302" s="8">
        <v>7</v>
      </c>
      <c r="E15302" s="8">
        <v>0</v>
      </c>
      <c r="F15302" s="8">
        <v>832</v>
      </c>
    </row>
    <row r="15303" spans="1:6" ht="12.75">
      <c r="A15303" s="8">
        <v>43897.820960648147</v>
      </c>
      <c r="B15303" s="8" t="str">
        <f>HYPERLINK("https://twitter.com/ryolandafit","@ryolandafit")</f>
        <v>@ryolandafit</v>
      </c>
      <c r="C15303" s="8" t="s">
        <v>6130</v>
      </c>
      <c r="D15303" s="8">
        <v>1</v>
      </c>
      <c r="E15303" s="8">
        <v>0</v>
      </c>
      <c r="F15303" s="8">
        <v>658</v>
      </c>
    </row>
    <row r="15304" spans="1:6" ht="12.75">
      <c r="A15304" s="8">
        <v>43897.820763888885</v>
      </c>
      <c r="B15304" s="8" t="str">
        <f>HYPERLINK("https://twitter.com/jtsumo","@jtsumo")</f>
        <v>@jtsumo</v>
      </c>
      <c r="C15304" s="8" t="s">
        <v>1376</v>
      </c>
      <c r="D15304" s="8">
        <v>35</v>
      </c>
      <c r="E15304" s="8">
        <v>0</v>
      </c>
      <c r="F15304" s="8">
        <v>38</v>
      </c>
    </row>
    <row r="15305" spans="1:6" ht="12.75">
      <c r="A15305" s="8">
        <v>43897.820636574077</v>
      </c>
      <c r="B15305" s="8" t="str">
        <f>HYPERLINK("https://twitter.com/kagakngerokok","@kagakngerokok")</f>
        <v>@kagakngerokok</v>
      </c>
      <c r="C15305" s="8" t="s">
        <v>6026</v>
      </c>
      <c r="D15305" s="8">
        <v>7</v>
      </c>
      <c r="E15305" s="8">
        <v>0</v>
      </c>
      <c r="F15305" s="8">
        <v>64</v>
      </c>
    </row>
    <row r="15306" spans="1:6" ht="12.75">
      <c r="A15306" s="8">
        <v>43897.8205787037</v>
      </c>
      <c r="B15306" s="8" t="str">
        <f>HYPERLINK("https://twitter.com/johhhnygudhel","@johhhnygudhel")</f>
        <v>@johhhnygudhel</v>
      </c>
      <c r="C15306" s="8" t="s">
        <v>6026</v>
      </c>
      <c r="D15306" s="8">
        <v>7</v>
      </c>
      <c r="E15306" s="8">
        <v>0</v>
      </c>
      <c r="F15306" s="8">
        <v>2708</v>
      </c>
    </row>
    <row r="15307" spans="1:6" ht="12.75">
      <c r="A15307" s="8">
        <v>43897.820254629631</v>
      </c>
      <c r="B15307" s="8" t="str">
        <f>HYPERLINK("https://twitter.com/RivaldiZakie","@RivaldiZakie")</f>
        <v>@RivaldiZakie</v>
      </c>
      <c r="C15307" s="8" t="s">
        <v>1376</v>
      </c>
      <c r="D15307" s="8">
        <v>35</v>
      </c>
      <c r="E15307" s="8">
        <v>0</v>
      </c>
      <c r="F15307" s="8">
        <v>16</v>
      </c>
    </row>
    <row r="15308" spans="1:6" ht="12.75">
      <c r="A15308" s="8">
        <v>43897.820162037038</v>
      </c>
      <c r="B15308" s="8" t="str">
        <f>HYPERLINK("https://twitter.com/_Sjam","@_Sjam")</f>
        <v>@_Sjam</v>
      </c>
      <c r="C15308" s="8" t="s">
        <v>6213</v>
      </c>
      <c r="D15308" s="8">
        <v>0</v>
      </c>
      <c r="E15308" s="8">
        <v>0</v>
      </c>
      <c r="F15308" s="8">
        <v>696</v>
      </c>
    </row>
    <row r="15309" spans="1:6" ht="12.75">
      <c r="A15309" s="8">
        <v>43897.820115740746</v>
      </c>
      <c r="B15309" s="8" t="str">
        <f>HYPERLINK("https://twitter.com/utamanewscom","@utamanewscom")</f>
        <v>@utamanewscom</v>
      </c>
      <c r="C15309" s="8" t="s">
        <v>6214</v>
      </c>
      <c r="D15309" s="8">
        <v>0</v>
      </c>
      <c r="E15309" s="8">
        <v>0</v>
      </c>
      <c r="F15309" s="8">
        <v>961</v>
      </c>
    </row>
    <row r="15310" spans="1:6" ht="12.75">
      <c r="A15310" s="8">
        <v>43897.820023148146</v>
      </c>
      <c r="B15310" s="8" t="str">
        <f>HYPERLINK("https://twitter.com/Brewok60447739","@Brewok60447739")</f>
        <v>@Brewok60447739</v>
      </c>
      <c r="C15310" s="8" t="s">
        <v>6215</v>
      </c>
      <c r="D15310" s="8">
        <v>0</v>
      </c>
      <c r="E15310" s="8">
        <v>0</v>
      </c>
      <c r="F15310" s="8">
        <v>6</v>
      </c>
    </row>
    <row r="15311" spans="1:6" ht="12.75">
      <c r="A15311" s="8">
        <v>43897.819780092592</v>
      </c>
      <c r="B15311" s="8" t="str">
        <f>HYPERLINK("https://twitter.com/Nehahapsah","@Nehahapsah")</f>
        <v>@Nehahapsah</v>
      </c>
      <c r="C15311" s="8" t="s">
        <v>3213</v>
      </c>
      <c r="D15311" s="8">
        <v>314</v>
      </c>
      <c r="E15311" s="8">
        <v>0</v>
      </c>
      <c r="F15311" s="8">
        <v>961</v>
      </c>
    </row>
    <row r="15312" spans="1:6" ht="12.75">
      <c r="A15312" s="8">
        <v>43897.818831018521</v>
      </c>
      <c r="B15312" s="8" t="str">
        <f>HYPERLINK("https://twitter.com/tasya_4black","@tasya_4black")</f>
        <v>@tasya_4black</v>
      </c>
      <c r="C15312" s="8" t="s">
        <v>4818</v>
      </c>
      <c r="D15312" s="8">
        <v>267</v>
      </c>
      <c r="E15312" s="8">
        <v>0</v>
      </c>
      <c r="F15312" s="8">
        <v>97</v>
      </c>
    </row>
    <row r="15313" spans="1:6" ht="12.75">
      <c r="A15313" s="8">
        <v>43897.818796296298</v>
      </c>
      <c r="B15313" s="8" t="str">
        <f>HYPERLINK("https://twitter.com/jokoselong","@jokoselong")</f>
        <v>@jokoselong</v>
      </c>
      <c r="C15313" s="8" t="s">
        <v>4175</v>
      </c>
      <c r="D15313" s="8">
        <v>15</v>
      </c>
      <c r="E15313" s="8">
        <v>0</v>
      </c>
      <c r="F15313" s="8">
        <v>1768</v>
      </c>
    </row>
    <row r="15314" spans="1:6" ht="12.75">
      <c r="A15314" s="8">
        <v>43897.818645833337</v>
      </c>
      <c r="B15314" s="8" t="str">
        <f>HYPERLINK("https://twitter.com/IGANSulastrini","@IGANSulastrini")</f>
        <v>@IGANSulastrini</v>
      </c>
      <c r="C15314" s="8" t="s">
        <v>6026</v>
      </c>
      <c r="D15314" s="8">
        <v>7</v>
      </c>
      <c r="E15314" s="8">
        <v>0</v>
      </c>
      <c r="F15314" s="8">
        <v>3495</v>
      </c>
    </row>
    <row r="15315" spans="1:6" ht="12.75">
      <c r="A15315" s="8">
        <v>43897.816979166666</v>
      </c>
      <c r="B15315" s="8" t="str">
        <f>HYPERLINK("https://twitter.com/alva_roe_lee_","@alva_roe_lee_")</f>
        <v>@alva_roe_lee_</v>
      </c>
      <c r="C15315" s="8" t="s">
        <v>6113</v>
      </c>
      <c r="D15315" s="8">
        <v>16</v>
      </c>
      <c r="E15315" s="8">
        <v>0</v>
      </c>
      <c r="F15315" s="8">
        <v>3604</v>
      </c>
    </row>
    <row r="15316" spans="1:6" ht="12.75">
      <c r="A15316" s="8">
        <v>43897.816921296297</v>
      </c>
      <c r="B15316" s="8" t="str">
        <f>HYPERLINK("https://twitter.com/wni_jmsri","@wni_jmsri")</f>
        <v>@wni_jmsri</v>
      </c>
      <c r="C15316" s="8" t="s">
        <v>6216</v>
      </c>
      <c r="D15316" s="8">
        <v>447</v>
      </c>
      <c r="E15316" s="8">
        <v>0</v>
      </c>
      <c r="F15316" s="8">
        <v>202</v>
      </c>
    </row>
    <row r="15317" spans="1:6" ht="12.75">
      <c r="A15317" s="8">
        <v>43897.816180555557</v>
      </c>
      <c r="B15317" s="8" t="str">
        <f>HYPERLINK("https://twitter.com/Danimas19","@Danimas19")</f>
        <v>@Danimas19</v>
      </c>
      <c r="C15317" s="8" t="s">
        <v>6120</v>
      </c>
      <c r="D15317" s="8">
        <v>8</v>
      </c>
      <c r="E15317" s="8">
        <v>0</v>
      </c>
      <c r="F15317" s="8">
        <v>107</v>
      </c>
    </row>
    <row r="15318" spans="1:6" ht="12.75">
      <c r="A15318" s="8">
        <v>43897.815925925926</v>
      </c>
      <c r="B15318" s="8" t="str">
        <f>HYPERLINK("https://twitter.com/tasya_4black","@tasya_4black")</f>
        <v>@tasya_4black</v>
      </c>
      <c r="C15318" s="8" t="s">
        <v>6026</v>
      </c>
      <c r="D15318" s="8">
        <v>7</v>
      </c>
      <c r="E15318" s="8">
        <v>0</v>
      </c>
      <c r="F15318" s="8">
        <v>97</v>
      </c>
    </row>
    <row r="15319" spans="1:6" ht="12.75">
      <c r="A15319" s="8">
        <v>43897.815798611111</v>
      </c>
      <c r="B15319" s="8" t="str">
        <f>HYPERLINK("https://twitter.com/wisanggeni_084","@wisanggeni_084")</f>
        <v>@wisanggeni_084</v>
      </c>
      <c r="C15319" s="8" t="s">
        <v>6026</v>
      </c>
      <c r="D15319" s="8">
        <v>7</v>
      </c>
      <c r="E15319" s="8">
        <v>0</v>
      </c>
      <c r="F15319" s="8">
        <v>17732</v>
      </c>
    </row>
    <row r="15320" spans="1:6" ht="12.75">
      <c r="A15320" s="8">
        <v>43897.81517361111</v>
      </c>
      <c r="B15320" s="8" t="str">
        <f>HYPERLINK("https://twitter.com/johhhnygudhel","@johhhnygudhel")</f>
        <v>@johhhnygudhel</v>
      </c>
      <c r="C15320" s="8" t="s">
        <v>5486</v>
      </c>
      <c r="D15320" s="8">
        <v>20</v>
      </c>
      <c r="E15320" s="8">
        <v>0</v>
      </c>
      <c r="F15320" s="8">
        <v>2708</v>
      </c>
    </row>
    <row r="15321" spans="1:6" ht="12.75">
      <c r="A15321" s="8">
        <v>43897.815069444448</v>
      </c>
      <c r="B15321" s="8" t="str">
        <f>HYPERLINK("https://twitter.com/MHandyNew","@MHandyNew")</f>
        <v>@MHandyNew</v>
      </c>
      <c r="C15321" s="8" t="s">
        <v>6217</v>
      </c>
      <c r="D15321" s="8">
        <v>0</v>
      </c>
      <c r="E15321" s="8">
        <v>1</v>
      </c>
      <c r="F15321" s="8">
        <v>3325</v>
      </c>
    </row>
    <row r="15322" spans="1:6" ht="12.75">
      <c r="A15322" s="8">
        <v>43897.814363425925</v>
      </c>
      <c r="B15322" s="8" t="str">
        <f>HYPERLINK("https://twitter.com/vic_nugraha","@vic_nugraha")</f>
        <v>@vic_nugraha</v>
      </c>
      <c r="C15322" s="8" t="s">
        <v>6218</v>
      </c>
      <c r="D15322" s="8">
        <v>0</v>
      </c>
      <c r="E15322" s="8">
        <v>0</v>
      </c>
      <c r="F15322" s="8">
        <v>367</v>
      </c>
    </row>
    <row r="15323" spans="1:6" ht="12.75">
      <c r="A15323" s="8">
        <v>43897.813877314809</v>
      </c>
      <c r="B15323" s="8" t="str">
        <f>HYPERLINK("https://twitter.com/bawaslu_jateng","@bawaslu_jateng")</f>
        <v>@bawaslu_jateng</v>
      </c>
      <c r="C15323" s="8" t="s">
        <v>6219</v>
      </c>
      <c r="D15323" s="8">
        <v>5</v>
      </c>
      <c r="E15323" s="8">
        <v>0</v>
      </c>
      <c r="F15323" s="8">
        <v>3607</v>
      </c>
    </row>
    <row r="15324" spans="1:6" ht="12.75">
      <c r="A15324" s="8">
        <v>43897.81385416667</v>
      </c>
      <c r="B15324" s="8" t="str">
        <f>HYPERLINK("https://twitter.com/AnnaHally_","@AnnaHally_")</f>
        <v>@AnnaHally_</v>
      </c>
      <c r="C15324" s="8" t="s">
        <v>6197</v>
      </c>
      <c r="D15324" s="8">
        <v>2</v>
      </c>
      <c r="E15324" s="8">
        <v>0</v>
      </c>
      <c r="F15324" s="8">
        <v>7312</v>
      </c>
    </row>
    <row r="15325" spans="1:6" ht="12.75">
      <c r="A15325" s="8">
        <v>43897.813206018516</v>
      </c>
      <c r="B15325" s="8" t="str">
        <f>HYPERLINK("https://twitter.com/jihan_hiromachi","@jihan_hiromachi")</f>
        <v>@jihan_hiromachi</v>
      </c>
      <c r="C15325" s="8" t="s">
        <v>4162</v>
      </c>
      <c r="D15325" s="8">
        <v>89</v>
      </c>
      <c r="E15325" s="8">
        <v>0</v>
      </c>
      <c r="F15325" s="8">
        <v>201</v>
      </c>
    </row>
    <row r="15326" spans="1:6" ht="12.75">
      <c r="A15326" s="8">
        <v>43897.812604166669</v>
      </c>
      <c r="B15326" s="8" t="str">
        <f>HYPERLINK("https://twitter.com/My_LoveNebe","@My_LoveNebe")</f>
        <v>@My_LoveNebe</v>
      </c>
      <c r="C15326" s="8" t="s">
        <v>4510</v>
      </c>
      <c r="D15326" s="8">
        <v>106</v>
      </c>
      <c r="E15326" s="8">
        <v>0</v>
      </c>
      <c r="F15326" s="8">
        <v>18212</v>
      </c>
    </row>
    <row r="15327" spans="1:6" ht="12.75">
      <c r="A15327" s="8">
        <v>43897.8125</v>
      </c>
      <c r="B15327" s="8" t="str">
        <f>HYPERLINK("https://twitter.com/tvOneNews","@tvOneNews")</f>
        <v>@tvOneNews</v>
      </c>
      <c r="C15327" s="8" t="s">
        <v>6220</v>
      </c>
      <c r="D15327" s="8">
        <v>1</v>
      </c>
      <c r="E15327" s="8">
        <v>7</v>
      </c>
      <c r="F15327" s="8">
        <v>8730284</v>
      </c>
    </row>
    <row r="15328" spans="1:6" ht="12.75">
      <c r="A15328" s="8">
        <v>43897.8125</v>
      </c>
      <c r="B15328" s="8" t="str">
        <f>HYPERLINK("https://twitter.com/mediaindonesia","@mediaindonesia")</f>
        <v>@mediaindonesia</v>
      </c>
      <c r="C15328" s="8" t="s">
        <v>6221</v>
      </c>
      <c r="D15328" s="8">
        <v>7</v>
      </c>
      <c r="E15328" s="8">
        <v>12</v>
      </c>
      <c r="F15328" s="8">
        <v>1420572</v>
      </c>
    </row>
    <row r="15329" spans="1:6" ht="12.75">
      <c r="A15329" s="8">
        <v>43897.811597222222</v>
      </c>
      <c r="B15329" s="8" t="str">
        <f>HYPERLINK("https://twitter.com/vera_MB4R","@vera_MB4R")</f>
        <v>@vera_MB4R</v>
      </c>
      <c r="C15329" s="8" t="s">
        <v>6222</v>
      </c>
      <c r="D15329" s="8">
        <v>42</v>
      </c>
      <c r="E15329" s="8">
        <v>0</v>
      </c>
      <c r="F15329" s="8">
        <v>766</v>
      </c>
    </row>
    <row r="15330" spans="1:6" ht="12.75">
      <c r="A15330" s="8">
        <v>43897.811550925922</v>
      </c>
      <c r="B15330" s="8" t="str">
        <f>HYPERLINK("https://twitter.com/jihan_hiromachi","@jihan_hiromachi")</f>
        <v>@jihan_hiromachi</v>
      </c>
      <c r="C15330" s="8" t="s">
        <v>1376</v>
      </c>
      <c r="D15330" s="8">
        <v>35</v>
      </c>
      <c r="E15330" s="8">
        <v>0</v>
      </c>
      <c r="F15330" s="8">
        <v>201</v>
      </c>
    </row>
    <row r="15331" spans="1:6" ht="12.75">
      <c r="A15331" s="8">
        <v>43897.811550925922</v>
      </c>
      <c r="B15331" s="8" t="str">
        <f>HYPERLINK("https://twitter.com/Alfian54449262","@Alfian54449262")</f>
        <v>@Alfian54449262</v>
      </c>
      <c r="C15331" s="8" t="s">
        <v>5486</v>
      </c>
      <c r="D15331" s="8">
        <v>20</v>
      </c>
      <c r="E15331" s="8">
        <v>0</v>
      </c>
      <c r="F15331" s="8">
        <v>152</v>
      </c>
    </row>
    <row r="15332" spans="1:6" ht="12.75">
      <c r="A15332" s="8">
        <v>43897.810162037036</v>
      </c>
      <c r="B15332" s="8" t="str">
        <f>HYPERLINK("https://twitter.com/GantarKasalo","@GantarKasalo")</f>
        <v>@GantarKasalo</v>
      </c>
      <c r="C15332" s="8" t="s">
        <v>6223</v>
      </c>
      <c r="D15332" s="8">
        <v>0</v>
      </c>
      <c r="E15332" s="8">
        <v>1</v>
      </c>
      <c r="F15332" s="8">
        <v>41</v>
      </c>
    </row>
    <row r="15333" spans="1:6" ht="12.75">
      <c r="A15333" s="8">
        <v>43897.810127314813</v>
      </c>
      <c r="B15333" s="8" t="str">
        <f>HYPERLINK("https://twitter.com/abdulla41734805","@abdulla41734805")</f>
        <v>@abdulla41734805</v>
      </c>
      <c r="C15333" s="8" t="s">
        <v>6224</v>
      </c>
      <c r="D15333" s="8">
        <v>0</v>
      </c>
      <c r="E15333" s="8">
        <v>0</v>
      </c>
      <c r="F15333" s="8">
        <v>20</v>
      </c>
    </row>
    <row r="15334" spans="1:6" ht="12.75">
      <c r="A15334" s="8">
        <v>43897.810092592597</v>
      </c>
      <c r="B15334" s="8" t="str">
        <f>HYPERLINK("https://twitter.com/agama_nusantara","@agama_nusantara")</f>
        <v>@agama_nusantara</v>
      </c>
      <c r="C15334" s="8" t="s">
        <v>6225</v>
      </c>
      <c r="D15334" s="8">
        <v>1</v>
      </c>
      <c r="E15334" s="8">
        <v>0</v>
      </c>
      <c r="F15334" s="8">
        <v>7431</v>
      </c>
    </row>
    <row r="15335" spans="1:6" ht="12.75">
      <c r="A15335" s="8">
        <v>43897.809282407412</v>
      </c>
      <c r="B15335" s="8" t="str">
        <f>HYPERLINK("https://twitter.com/ardhiaza","@ardhiaza")</f>
        <v>@ardhiaza</v>
      </c>
      <c r="C15335" s="8" t="s">
        <v>2116</v>
      </c>
      <c r="D15335" s="8">
        <v>70</v>
      </c>
      <c r="E15335" s="8">
        <v>0</v>
      </c>
      <c r="F15335" s="8">
        <v>15</v>
      </c>
    </row>
    <row r="15336" spans="1:6" ht="12.75">
      <c r="A15336" s="8">
        <v>43897.808090277773</v>
      </c>
      <c r="B15336" s="8" t="str">
        <f>HYPERLINK("https://twitter.com/times_idn","@times_idn")</f>
        <v>@times_idn</v>
      </c>
      <c r="C15336" s="8" t="s">
        <v>6226</v>
      </c>
      <c r="D15336" s="8">
        <v>0</v>
      </c>
      <c r="E15336" s="8">
        <v>0</v>
      </c>
      <c r="F15336" s="8">
        <v>795</v>
      </c>
    </row>
    <row r="15337" spans="1:6" ht="12.75">
      <c r="A15337" s="8">
        <v>43897.807627314818</v>
      </c>
      <c r="B15337" s="8" t="str">
        <f t="shared" ref="B15337:B15339" si="230">HYPERLINK("https://twitter.com/himahi_unas","@himahi_unas")</f>
        <v>@himahi_unas</v>
      </c>
      <c r="C15337" s="8" t="s">
        <v>6227</v>
      </c>
      <c r="D15337" s="8">
        <v>0</v>
      </c>
      <c r="E15337" s="8">
        <v>0</v>
      </c>
      <c r="F15337" s="8">
        <v>795</v>
      </c>
    </row>
    <row r="15338" spans="1:6" ht="12.75">
      <c r="A15338" s="8">
        <v>43897.807615740741</v>
      </c>
      <c r="B15338" s="8" t="str">
        <f t="shared" si="230"/>
        <v>@himahi_unas</v>
      </c>
      <c r="C15338" s="8" t="s">
        <v>6228</v>
      </c>
      <c r="D15338" s="8">
        <v>0</v>
      </c>
      <c r="E15338" s="8">
        <v>0</v>
      </c>
      <c r="F15338" s="8">
        <v>795</v>
      </c>
    </row>
    <row r="15339" spans="1:6" ht="12.75">
      <c r="A15339" s="8">
        <v>43897.807476851856</v>
      </c>
      <c r="B15339" s="8" t="str">
        <f t="shared" si="230"/>
        <v>@himahi_unas</v>
      </c>
      <c r="C15339" s="8" t="s">
        <v>6229</v>
      </c>
      <c r="D15339" s="8">
        <v>0</v>
      </c>
      <c r="E15339" s="8">
        <v>0</v>
      </c>
      <c r="F15339" s="8">
        <v>795</v>
      </c>
    </row>
    <row r="15340" spans="1:6" ht="12.75">
      <c r="A15340" s="8">
        <v>43897.807141203702</v>
      </c>
      <c r="B15340" s="8" t="str">
        <f>HYPERLINK("https://twitter.com/1_devout","@1_devout")</f>
        <v>@1_devout</v>
      </c>
      <c r="C15340" s="8" t="s">
        <v>6230</v>
      </c>
      <c r="D15340" s="8">
        <v>1</v>
      </c>
      <c r="E15340" s="8">
        <v>3</v>
      </c>
      <c r="F15340" s="8">
        <v>51</v>
      </c>
    </row>
    <row r="15341" spans="1:6" ht="12.75">
      <c r="A15341" s="8">
        <v>43897.80668981481</v>
      </c>
      <c r="B15341" s="8" t="str">
        <f>HYPERLINK("https://twitter.com/Siti93638295","@Siti93638295")</f>
        <v>@Siti93638295</v>
      </c>
      <c r="C15341" s="8" t="s">
        <v>3743</v>
      </c>
      <c r="D15341" s="8">
        <v>676</v>
      </c>
      <c r="E15341" s="8">
        <v>0</v>
      </c>
      <c r="F15341" s="8">
        <v>80</v>
      </c>
    </row>
    <row r="15342" spans="1:6" ht="12.75">
      <c r="A15342" s="8">
        <v>43897.806493055556</v>
      </c>
      <c r="B15342" s="8" t="str">
        <f>HYPERLINK("https://twitter.com/isis_eve","@isis_eve")</f>
        <v>@isis_eve</v>
      </c>
      <c r="C15342" s="8" t="s">
        <v>6231</v>
      </c>
      <c r="D15342" s="8">
        <v>143</v>
      </c>
      <c r="E15342" s="8">
        <v>0</v>
      </c>
      <c r="F15342" s="8">
        <v>217</v>
      </c>
    </row>
    <row r="15343" spans="1:6" ht="12.75">
      <c r="A15343" s="8">
        <v>43897.80604166667</v>
      </c>
      <c r="B15343" s="8" t="str">
        <f>HYPERLINK("https://twitter.com/yoshievelyn","@yoshievelyn")</f>
        <v>@yoshievelyn</v>
      </c>
      <c r="C15343" s="8" t="s">
        <v>1376</v>
      </c>
      <c r="D15343" s="8">
        <v>35</v>
      </c>
      <c r="E15343" s="8">
        <v>0</v>
      </c>
      <c r="F15343" s="8">
        <v>32</v>
      </c>
    </row>
    <row r="15344" spans="1:6" ht="12.75">
      <c r="A15344" s="8">
        <v>43897.805428240739</v>
      </c>
      <c r="B15344" s="8" t="str">
        <f>HYPERLINK("https://twitter.com/Andry59257298","@Andry59257298")</f>
        <v>@Andry59257298</v>
      </c>
      <c r="C15344" s="8" t="s">
        <v>6232</v>
      </c>
      <c r="D15344" s="8">
        <v>0</v>
      </c>
      <c r="E15344" s="8">
        <v>0</v>
      </c>
      <c r="F15344" s="8">
        <v>1</v>
      </c>
    </row>
    <row r="15345" spans="1:6" ht="12.75">
      <c r="A15345" s="8">
        <v>43897.805266203708</v>
      </c>
      <c r="B15345" s="8" t="str">
        <f>HYPERLINK("https://twitter.com/eko2471","@eko2471")</f>
        <v>@eko2471</v>
      </c>
      <c r="C15345" s="8" t="s">
        <v>6233</v>
      </c>
      <c r="D15345" s="8">
        <v>1</v>
      </c>
      <c r="E15345" s="8">
        <v>2</v>
      </c>
      <c r="F15345" s="8">
        <v>1211</v>
      </c>
    </row>
    <row r="15346" spans="1:6" ht="12.75">
      <c r="A15346" s="8">
        <v>43897.8049537037</v>
      </c>
      <c r="B15346" s="8" t="str">
        <f>HYPERLINK("https://twitter.com/4aSunlight","@4aSunlight")</f>
        <v>@4aSunlight</v>
      </c>
      <c r="C15346" s="8" t="s">
        <v>4818</v>
      </c>
      <c r="D15346" s="8">
        <v>267</v>
      </c>
      <c r="E15346" s="8">
        <v>0</v>
      </c>
      <c r="F15346" s="8">
        <v>430</v>
      </c>
    </row>
    <row r="15347" spans="1:6" ht="12.75">
      <c r="A15347" s="8">
        <v>43897.804548611108</v>
      </c>
      <c r="B15347" s="8" t="str">
        <f t="shared" ref="B15347:B15348" si="231">HYPERLINK("https://twitter.com/HendraLaurensi_","@HendraLaurensi_")</f>
        <v>@HendraLaurensi_</v>
      </c>
      <c r="C15347" s="8" t="s">
        <v>6234</v>
      </c>
      <c r="D15347" s="8">
        <v>3</v>
      </c>
      <c r="E15347" s="8">
        <v>0</v>
      </c>
      <c r="F15347" s="8">
        <v>2590</v>
      </c>
    </row>
    <row r="15348" spans="1:6" ht="12.75">
      <c r="A15348" s="8">
        <v>43897.804513888885</v>
      </c>
      <c r="B15348" s="8" t="str">
        <f t="shared" si="231"/>
        <v>@HendraLaurensi_</v>
      </c>
      <c r="C15348" s="8" t="s">
        <v>6113</v>
      </c>
      <c r="D15348" s="8">
        <v>16</v>
      </c>
      <c r="E15348" s="8">
        <v>0</v>
      </c>
      <c r="F15348" s="8">
        <v>2590</v>
      </c>
    </row>
    <row r="15349" spans="1:6" ht="12.75">
      <c r="A15349" s="8">
        <v>43897.804270833338</v>
      </c>
      <c r="B15349" s="8" t="str">
        <f>HYPERLINK("https://twitter.com/chung_awl","@chung_awl")</f>
        <v>@chung_awl</v>
      </c>
      <c r="C15349" s="8" t="s">
        <v>4510</v>
      </c>
      <c r="D15349" s="8">
        <v>106</v>
      </c>
      <c r="E15349" s="8">
        <v>0</v>
      </c>
      <c r="F15349" s="8">
        <v>2675</v>
      </c>
    </row>
    <row r="15350" spans="1:6" ht="12.75">
      <c r="A15350" s="8">
        <v>43897.804085648153</v>
      </c>
      <c r="B15350" s="8" t="str">
        <f>HYPERLINK("https://twitter.com/Blegodesign","@Blegodesign")</f>
        <v>@Blegodesign</v>
      </c>
      <c r="C15350" s="8" t="s">
        <v>6235</v>
      </c>
      <c r="D15350" s="8">
        <v>2</v>
      </c>
      <c r="E15350" s="8">
        <v>0</v>
      </c>
      <c r="F15350" s="8">
        <v>489</v>
      </c>
    </row>
    <row r="15351" spans="1:6" ht="12.75">
      <c r="A15351" s="8">
        <v>43897.802083333328</v>
      </c>
      <c r="B15351" s="8" t="str">
        <f>HYPERLINK("https://twitter.com/k305328330","@k305328330")</f>
        <v>@k305328330</v>
      </c>
      <c r="C15351" s="8" t="s">
        <v>5324</v>
      </c>
      <c r="D15351" s="8">
        <v>8</v>
      </c>
      <c r="E15351" s="8">
        <v>0</v>
      </c>
      <c r="F15351" s="8">
        <v>922</v>
      </c>
    </row>
    <row r="15352" spans="1:6" ht="12.75">
      <c r="A15352" s="8">
        <v>43897.80196759259</v>
      </c>
      <c r="B15352" s="8" t="str">
        <f>HYPERLINK("https://twitter.com/oceMand","@oceMand")</f>
        <v>@oceMand</v>
      </c>
      <c r="C15352" s="8" t="s">
        <v>4818</v>
      </c>
      <c r="D15352" s="8">
        <v>267</v>
      </c>
      <c r="E15352" s="8">
        <v>0</v>
      </c>
      <c r="F15352" s="8">
        <v>117</v>
      </c>
    </row>
    <row r="15353" spans="1:6" ht="12.75">
      <c r="A15353" s="8">
        <v>43897.801412037035</v>
      </c>
      <c r="B15353" s="8" t="str">
        <f>HYPERLINK("https://twitter.com/merdekadotcom","@merdekadotcom")</f>
        <v>@merdekadotcom</v>
      </c>
      <c r="C15353" s="8" t="s">
        <v>6236</v>
      </c>
      <c r="D15353" s="8">
        <v>0</v>
      </c>
      <c r="E15353" s="8">
        <v>1</v>
      </c>
      <c r="F15353" s="8">
        <v>231793</v>
      </c>
    </row>
    <row r="15354" spans="1:6" ht="12.75">
      <c r="A15354" s="8">
        <v>43897.801400462966</v>
      </c>
      <c r="B15354" s="8" t="str">
        <f>HYPERLINK("https://twitter.com/bobby_paribowo","@bobby_paribowo")</f>
        <v>@bobby_paribowo</v>
      </c>
      <c r="C15354" s="8" t="s">
        <v>6237</v>
      </c>
      <c r="D15354" s="8">
        <v>2</v>
      </c>
      <c r="E15354" s="8">
        <v>0</v>
      </c>
      <c r="F15354" s="8">
        <v>62</v>
      </c>
    </row>
    <row r="15355" spans="1:6" ht="12.75">
      <c r="A15355" s="8">
        <v>43897.801261574074</v>
      </c>
      <c r="B15355" s="8" t="str">
        <f>HYPERLINK("https://twitter.com/andesrim","@andesrim")</f>
        <v>@andesrim</v>
      </c>
      <c r="C15355" s="8" t="s">
        <v>6238</v>
      </c>
      <c r="D15355" s="8">
        <v>0</v>
      </c>
      <c r="E15355" s="8">
        <v>0</v>
      </c>
      <c r="F15355" s="8">
        <v>1206</v>
      </c>
    </row>
    <row r="15356" spans="1:6" ht="12.75">
      <c r="A15356" s="8">
        <v>43897.800821759258</v>
      </c>
      <c r="B15356" s="8" t="str">
        <f>HYPERLINK("https://twitter.com/Dnugroho11","@Dnugroho11")</f>
        <v>@Dnugroho11</v>
      </c>
      <c r="C15356" s="8" t="s">
        <v>5486</v>
      </c>
      <c r="D15356" s="8">
        <v>20</v>
      </c>
      <c r="E15356" s="8">
        <v>0</v>
      </c>
      <c r="F15356" s="8">
        <v>756</v>
      </c>
    </row>
    <row r="15357" spans="1:6" ht="12.75">
      <c r="A15357" s="8">
        <v>43897.800289351857</v>
      </c>
      <c r="B15357" s="8" t="str">
        <f>HYPERLINK("https://twitter.com/sitikomariah11","@sitikomariah11")</f>
        <v>@sitikomariah11</v>
      </c>
      <c r="C15357" s="8" t="s">
        <v>5103</v>
      </c>
      <c r="D15357" s="8">
        <v>193</v>
      </c>
      <c r="E15357" s="8">
        <v>0</v>
      </c>
      <c r="F15357" s="8">
        <v>287</v>
      </c>
    </row>
    <row r="15358" spans="1:6" ht="12.75">
      <c r="A15358" s="8">
        <v>43897.800023148149</v>
      </c>
      <c r="B15358" s="8" t="str">
        <f>HYPERLINK("https://twitter.com/haidarleon","@haidarleon")</f>
        <v>@haidarleon</v>
      </c>
      <c r="C15358" s="8" t="s">
        <v>4510</v>
      </c>
      <c r="D15358" s="8">
        <v>106</v>
      </c>
      <c r="E15358" s="8">
        <v>0</v>
      </c>
      <c r="F15358" s="8">
        <v>472</v>
      </c>
    </row>
    <row r="15359" spans="1:6" ht="12.75">
      <c r="A15359" s="8">
        <v>43897.799513888887</v>
      </c>
      <c r="B15359" s="8" t="str">
        <f>HYPERLINK("https://twitter.com/HaryantoYanuar","@HaryantoYanuar")</f>
        <v>@HaryantoYanuar</v>
      </c>
      <c r="C15359" s="8" t="s">
        <v>6239</v>
      </c>
      <c r="D15359" s="8">
        <v>0</v>
      </c>
      <c r="E15359" s="8">
        <v>0</v>
      </c>
      <c r="F15359" s="8">
        <v>315</v>
      </c>
    </row>
    <row r="15360" spans="1:6" ht="12.75">
      <c r="A15360" s="8">
        <v>43897.799328703702</v>
      </c>
      <c r="B15360" s="8" t="str">
        <f>HYPERLINK("https://twitter.com/DavinRulli","@DavinRulli")</f>
        <v>@DavinRulli</v>
      </c>
      <c r="C15360" s="8" t="s">
        <v>5704</v>
      </c>
      <c r="D15360" s="8">
        <v>39</v>
      </c>
      <c r="E15360" s="8">
        <v>0</v>
      </c>
      <c r="F15360" s="8">
        <v>199</v>
      </c>
    </row>
    <row r="15361" spans="1:6" ht="12.75">
      <c r="A15361" s="8">
        <v>43897.79896990741</v>
      </c>
      <c r="B15361" s="8" t="str">
        <f>HYPERLINK("https://twitter.com/NebulaAntiKadru","@NebulaAntiKadru")</f>
        <v>@NebulaAntiKadru</v>
      </c>
      <c r="C15361" s="8" t="s">
        <v>6240</v>
      </c>
      <c r="D15361" s="8">
        <v>0</v>
      </c>
      <c r="E15361" s="8">
        <v>0</v>
      </c>
      <c r="F15361" s="8">
        <v>1091</v>
      </c>
    </row>
    <row r="15362" spans="1:6" ht="12.75">
      <c r="A15362" s="8">
        <v>43897.798680555556</v>
      </c>
      <c r="B15362" s="8" t="str">
        <f>HYPERLINK("https://twitter.com/abdulla41734805","@abdulla41734805")</f>
        <v>@abdulla41734805</v>
      </c>
      <c r="C15362" s="8" t="s">
        <v>6241</v>
      </c>
      <c r="D15362" s="8">
        <v>0</v>
      </c>
      <c r="E15362" s="8">
        <v>0</v>
      </c>
      <c r="F15362" s="8">
        <v>20</v>
      </c>
    </row>
    <row r="15363" spans="1:6" ht="12.75">
      <c r="A15363" s="8">
        <v>43897.798611111109</v>
      </c>
      <c r="B15363" s="8" t="str">
        <f>HYPERLINK("https://twitter.com/PaijoAryanto__","@PaijoAryanto__")</f>
        <v>@PaijoAryanto__</v>
      </c>
      <c r="C15363" s="8" t="s">
        <v>6242</v>
      </c>
      <c r="D15363" s="8">
        <v>0</v>
      </c>
      <c r="E15363" s="8">
        <v>1</v>
      </c>
      <c r="F15363" s="8">
        <v>749</v>
      </c>
    </row>
    <row r="15364" spans="1:6" ht="12.75">
      <c r="A15364" s="8">
        <v>43897.798564814817</v>
      </c>
      <c r="B15364" s="8" t="str">
        <f>HYPERLINK("https://twitter.com/RingoBrodgar","@RingoBrodgar")</f>
        <v>@RingoBrodgar</v>
      </c>
      <c r="C15364" s="8" t="s">
        <v>6243</v>
      </c>
      <c r="D15364" s="8">
        <v>0</v>
      </c>
      <c r="E15364" s="8">
        <v>0</v>
      </c>
      <c r="F15364" s="8">
        <v>43</v>
      </c>
    </row>
    <row r="15365" spans="1:6" ht="12.75">
      <c r="A15365" s="8">
        <v>43897.79855324074</v>
      </c>
      <c r="B15365" s="8" t="str">
        <f>HYPERLINK("https://twitter.com/mustangidahumi1","@mustangidahumi1")</f>
        <v>@mustangidahumi1</v>
      </c>
      <c r="C15365" s="8" t="s">
        <v>3743</v>
      </c>
      <c r="D15365" s="8">
        <v>676</v>
      </c>
      <c r="E15365" s="8">
        <v>0</v>
      </c>
      <c r="F15365" s="8">
        <v>178</v>
      </c>
    </row>
    <row r="15366" spans="1:6" ht="12.75">
      <c r="A15366" s="8">
        <v>43897.798275462963</v>
      </c>
      <c r="B15366" s="8" t="str">
        <f>HYPERLINK("https://twitter.com/rick_ajagh","@rick_ajagh")</f>
        <v>@rick_ajagh</v>
      </c>
      <c r="C15366" s="8" t="s">
        <v>6244</v>
      </c>
      <c r="D15366" s="8">
        <v>0</v>
      </c>
      <c r="E15366" s="8">
        <v>0</v>
      </c>
      <c r="F15366" s="8">
        <v>127</v>
      </c>
    </row>
    <row r="15367" spans="1:6" ht="12.75">
      <c r="A15367" s="8">
        <v>43897.797916666663</v>
      </c>
      <c r="B15367" s="8" t="str">
        <f>HYPERLINK("https://twitter.com/IndoEthio","@IndoEthio")</f>
        <v>@IndoEthio</v>
      </c>
      <c r="C15367" s="8" t="s">
        <v>1376</v>
      </c>
      <c r="D15367" s="8">
        <v>30</v>
      </c>
      <c r="E15367" s="8">
        <v>0</v>
      </c>
      <c r="F15367" s="8">
        <v>3605</v>
      </c>
    </row>
    <row r="15368" spans="1:6" ht="12.75">
      <c r="A15368" s="8">
        <v>43897.796967592592</v>
      </c>
      <c r="B15368" s="8" t="str">
        <f>HYPERLINK("https://twitter.com/ryolandafit","@ryolandafit")</f>
        <v>@ryolandafit</v>
      </c>
      <c r="C15368" s="8" t="s">
        <v>6237</v>
      </c>
      <c r="D15368" s="8">
        <v>1</v>
      </c>
      <c r="E15368" s="8">
        <v>0</v>
      </c>
      <c r="F15368" s="8">
        <v>658</v>
      </c>
    </row>
    <row r="15369" spans="1:6" ht="12.75">
      <c r="A15369" s="8">
        <v>43897.796122685184</v>
      </c>
      <c r="B15369" s="8" t="str">
        <f>HYPERLINK("https://twitter.com/gusnur212","@gusnur212")</f>
        <v>@gusnur212</v>
      </c>
      <c r="C15369" s="8" t="s">
        <v>4510</v>
      </c>
      <c r="D15369" s="8">
        <v>102</v>
      </c>
      <c r="E15369" s="8">
        <v>0</v>
      </c>
      <c r="F15369" s="8">
        <v>619</v>
      </c>
    </row>
    <row r="15370" spans="1:6" ht="12.75">
      <c r="A15370" s="8">
        <v>43897.795497685191</v>
      </c>
      <c r="B15370" s="8" t="str">
        <f>HYPERLINK("https://twitter.com/AlbertusDakhi","@AlbertusDakhi")</f>
        <v>@AlbertusDakhi</v>
      </c>
      <c r="C15370" s="8" t="s">
        <v>5486</v>
      </c>
      <c r="D15370" s="8">
        <v>12</v>
      </c>
      <c r="E15370" s="8">
        <v>0</v>
      </c>
      <c r="F15370" s="8">
        <v>3444</v>
      </c>
    </row>
    <row r="15371" spans="1:6" ht="12.75">
      <c r="A15371" s="8">
        <v>43897.794722222221</v>
      </c>
      <c r="B15371" s="8" t="str">
        <f>HYPERLINK("https://twitter.com/Doni_Pasgo","@Doni_Pasgo")</f>
        <v>@Doni_Pasgo</v>
      </c>
      <c r="C15371" s="8" t="s">
        <v>3743</v>
      </c>
      <c r="D15371" s="8">
        <v>670</v>
      </c>
      <c r="E15371" s="8">
        <v>0</v>
      </c>
      <c r="F15371" s="8">
        <v>74</v>
      </c>
    </row>
    <row r="15372" spans="1:6" ht="12.75">
      <c r="A15372" s="8">
        <v>43897.793657407412</v>
      </c>
      <c r="B15372" s="8" t="str">
        <f>HYPERLINK("https://twitter.com/Sargede_gold","@Sargede_gold")</f>
        <v>@Sargede_gold</v>
      </c>
      <c r="C15372" s="8" t="s">
        <v>5486</v>
      </c>
      <c r="D15372" s="8">
        <v>12</v>
      </c>
      <c r="E15372" s="8">
        <v>0</v>
      </c>
      <c r="F15372" s="8">
        <v>594</v>
      </c>
    </row>
    <row r="15373" spans="1:6" ht="12.75">
      <c r="A15373" s="8">
        <v>43897.793576388889</v>
      </c>
      <c r="B15373" s="8" t="str">
        <f>HYPERLINK("https://twitter.com/novrizalism","@novrizalism")</f>
        <v>@novrizalism</v>
      </c>
      <c r="C15373" s="8" t="s">
        <v>1376</v>
      </c>
      <c r="D15373" s="8">
        <v>30</v>
      </c>
      <c r="E15373" s="8">
        <v>0</v>
      </c>
      <c r="F15373" s="8">
        <v>402</v>
      </c>
    </row>
    <row r="15374" spans="1:6" ht="12.75">
      <c r="A15374" s="8">
        <v>43897.792569444442</v>
      </c>
      <c r="B15374" s="8" t="str">
        <f>HYPERLINK("https://twitter.com/Priymail","@Priymail")</f>
        <v>@Priymail</v>
      </c>
      <c r="C15374" s="8" t="s">
        <v>6245</v>
      </c>
      <c r="D15374" s="8">
        <v>8</v>
      </c>
      <c r="E15374" s="8">
        <v>0</v>
      </c>
      <c r="F15374" s="8">
        <v>1469</v>
      </c>
    </row>
    <row r="15375" spans="1:6" ht="12.75">
      <c r="A15375" s="8">
        <v>43897.792511574073</v>
      </c>
      <c r="B15375" s="8" t="str">
        <f>HYPERLINK("https://twitter.com/wni_jmsri","@wni_jmsri")</f>
        <v>@wni_jmsri</v>
      </c>
      <c r="C15375" s="8" t="s">
        <v>6246</v>
      </c>
      <c r="D15375" s="8">
        <v>7048</v>
      </c>
      <c r="E15375" s="8">
        <v>0</v>
      </c>
      <c r="F15375" s="8">
        <v>201</v>
      </c>
    </row>
    <row r="15376" spans="1:6" ht="12.75">
      <c r="A15376" s="8">
        <v>43897.792013888888</v>
      </c>
      <c r="B15376" s="8" t="str">
        <f>HYPERLINK("https://twitter.com/Priymail","@Priymail")</f>
        <v>@Priymail</v>
      </c>
      <c r="C15376" s="8" t="s">
        <v>6132</v>
      </c>
      <c r="D15376" s="8">
        <v>34</v>
      </c>
      <c r="E15376" s="8">
        <v>0</v>
      </c>
      <c r="F15376" s="8">
        <v>1469</v>
      </c>
    </row>
    <row r="15377" spans="1:6" ht="12.75">
      <c r="A15377" s="8">
        <v>43897.791956018518</v>
      </c>
      <c r="B15377" s="8" t="str">
        <f>HYPERLINK("https://twitter.com/windawnd","@windawnd")</f>
        <v>@windawnd</v>
      </c>
      <c r="C15377" s="8" t="s">
        <v>3132</v>
      </c>
      <c r="D15377" s="8">
        <v>131</v>
      </c>
      <c r="E15377" s="8">
        <v>0</v>
      </c>
      <c r="F15377" s="8">
        <v>286</v>
      </c>
    </row>
    <row r="15378" spans="1:6" ht="12.75">
      <c r="A15378" s="8">
        <v>43897.79178240741</v>
      </c>
      <c r="B15378" s="8" t="str">
        <f>HYPERLINK("https://twitter.com/translatorbali","@translatorbali")</f>
        <v>@translatorbali</v>
      </c>
      <c r="C15378" s="8" t="s">
        <v>1376</v>
      </c>
      <c r="D15378" s="8">
        <v>30</v>
      </c>
      <c r="E15378" s="8">
        <v>0</v>
      </c>
      <c r="F15378" s="8">
        <v>3878</v>
      </c>
    </row>
    <row r="15379" spans="1:6" ht="12.75">
      <c r="A15379" s="8">
        <v>43897.79178240741</v>
      </c>
      <c r="B15379" s="8" t="str">
        <f>HYPERLINK("https://twitter.com/LaurensioAbram","@LaurensioAbram")</f>
        <v>@LaurensioAbram</v>
      </c>
      <c r="C15379" s="8" t="s">
        <v>5486</v>
      </c>
      <c r="D15379" s="8">
        <v>12</v>
      </c>
      <c r="E15379" s="8">
        <v>0</v>
      </c>
      <c r="F15379" s="8">
        <v>305</v>
      </c>
    </row>
    <row r="15380" spans="1:6" ht="12.75">
      <c r="A15380" s="8">
        <v>43897.791666666672</v>
      </c>
      <c r="B15380" s="8" t="str">
        <f>HYPERLINK("https://twitter.com/mediaindonesia","@mediaindonesia")</f>
        <v>@mediaindonesia</v>
      </c>
      <c r="C15380" s="8" t="s">
        <v>6247</v>
      </c>
      <c r="D15380" s="8">
        <v>0</v>
      </c>
      <c r="E15380" s="8">
        <v>0</v>
      </c>
      <c r="F15380" s="8">
        <v>1420558</v>
      </c>
    </row>
    <row r="15381" spans="1:6" ht="12.75">
      <c r="A15381" s="8">
        <v>43897.791620370372</v>
      </c>
      <c r="B15381" s="8" t="str">
        <f>HYPERLINK("https://twitter.com/wni_jmsri","@wni_jmsri")</f>
        <v>@wni_jmsri</v>
      </c>
      <c r="C15381" s="8" t="s">
        <v>6248</v>
      </c>
      <c r="D15381" s="8">
        <v>564</v>
      </c>
      <c r="E15381" s="8">
        <v>0</v>
      </c>
      <c r="F15381" s="8">
        <v>201</v>
      </c>
    </row>
    <row r="15382" spans="1:6" ht="12.75">
      <c r="A15382" s="8">
        <v>43897.790717592594</v>
      </c>
      <c r="B15382" s="8" t="str">
        <f>HYPERLINK("https://twitter.com/joriz_ariz","@joriz_ariz")</f>
        <v>@joriz_ariz</v>
      </c>
      <c r="C15382" s="8" t="s">
        <v>6249</v>
      </c>
      <c r="D15382" s="8">
        <v>0</v>
      </c>
      <c r="E15382" s="8">
        <v>0</v>
      </c>
      <c r="F15382" s="8">
        <v>78</v>
      </c>
    </row>
    <row r="15383" spans="1:6" ht="12.75">
      <c r="A15383" s="8">
        <v>43897.790532407409</v>
      </c>
      <c r="B15383" s="8" t="str">
        <f>HYPERLINK("https://twitter.com/KompasTV_Mks","@KompasTV_Mks")</f>
        <v>@KompasTV_Mks</v>
      </c>
      <c r="C15383" s="8" t="s">
        <v>6250</v>
      </c>
      <c r="D15383" s="8">
        <v>3</v>
      </c>
      <c r="E15383" s="8">
        <v>0</v>
      </c>
      <c r="F15383" s="8">
        <v>28784</v>
      </c>
    </row>
    <row r="15384" spans="1:6" ht="12.75">
      <c r="A15384" s="8">
        <v>43897.790127314816</v>
      </c>
      <c r="B15384" s="8" t="str">
        <f>HYPERLINK("https://twitter.com/e100ss","@e100ss")</f>
        <v>@e100ss</v>
      </c>
      <c r="C15384" s="8" t="s">
        <v>6251</v>
      </c>
      <c r="D15384" s="8">
        <v>0</v>
      </c>
      <c r="E15384" s="8">
        <v>0</v>
      </c>
      <c r="F15384" s="8">
        <v>781759</v>
      </c>
    </row>
    <row r="15385" spans="1:6" ht="12.75">
      <c r="A15385" s="8">
        <v>43897.790081018524</v>
      </c>
      <c r="B15385" s="8" t="str">
        <f>HYPERLINK("https://twitter.com/Priymail","@Priymail")</f>
        <v>@Priymail</v>
      </c>
      <c r="C15385" s="8" t="s">
        <v>6252</v>
      </c>
      <c r="D15385" s="8">
        <v>42</v>
      </c>
      <c r="E15385" s="8">
        <v>0</v>
      </c>
      <c r="F15385" s="8">
        <v>1469</v>
      </c>
    </row>
    <row r="15386" spans="1:6" ht="12.75">
      <c r="A15386" s="8">
        <v>43897.789837962962</v>
      </c>
      <c r="B15386" s="8" t="str">
        <f>HYPERLINK("https://twitter.com/QR036","@QR036")</f>
        <v>@QR036</v>
      </c>
      <c r="C15386" s="8" t="s">
        <v>5486</v>
      </c>
      <c r="D15386" s="8">
        <v>12</v>
      </c>
      <c r="E15386" s="8">
        <v>0</v>
      </c>
      <c r="F15386" s="8">
        <v>2691</v>
      </c>
    </row>
    <row r="15387" spans="1:6" ht="12.75">
      <c r="A15387" s="8">
        <v>43897.789108796293</v>
      </c>
      <c r="B15387" s="8" t="str">
        <f>HYPERLINK("https://twitter.com/faridafarichah","@faridafarichah")</f>
        <v>@faridafarichah</v>
      </c>
      <c r="C15387" s="8" t="s">
        <v>6253</v>
      </c>
      <c r="D15387" s="8">
        <v>0</v>
      </c>
      <c r="E15387" s="8">
        <v>0</v>
      </c>
      <c r="F15387" s="8">
        <v>3655</v>
      </c>
    </row>
    <row r="15388" spans="1:6" ht="12.75">
      <c r="A15388" s="8">
        <v>43897.788761574076</v>
      </c>
      <c r="B15388" s="8" t="str">
        <f>HYPERLINK("https://twitter.com/Priymail","@Priymail")</f>
        <v>@Priymail</v>
      </c>
      <c r="C15388" s="8" t="s">
        <v>4510</v>
      </c>
      <c r="D15388" s="8">
        <v>102</v>
      </c>
      <c r="E15388" s="8">
        <v>0</v>
      </c>
      <c r="F15388" s="8">
        <v>1469</v>
      </c>
    </row>
    <row r="15389" spans="1:6" ht="12.75">
      <c r="A15389" s="8">
        <v>43897.788715277777</v>
      </c>
      <c r="B15389" s="8" t="str">
        <f>HYPERLINK("https://twitter.com/Budihar21525608","@Budihar21525608")</f>
        <v>@Budihar21525608</v>
      </c>
      <c r="C15389" s="8" t="s">
        <v>6254</v>
      </c>
      <c r="D15389" s="8">
        <v>0</v>
      </c>
      <c r="E15389" s="8">
        <v>0</v>
      </c>
      <c r="F15389" s="8">
        <v>6327</v>
      </c>
    </row>
    <row r="15390" spans="1:6" ht="12.75">
      <c r="A15390" s="8">
        <v>43897.78806712963</v>
      </c>
      <c r="B15390" s="8" t="str">
        <f>HYPERLINK("https://twitter.com/suara1hati","@suara1hati")</f>
        <v>@suara1hati</v>
      </c>
      <c r="C15390" s="8" t="s">
        <v>3743</v>
      </c>
      <c r="D15390" s="8">
        <v>670</v>
      </c>
      <c r="E15390" s="8">
        <v>0</v>
      </c>
      <c r="F15390" s="8">
        <v>1424</v>
      </c>
    </row>
    <row r="15391" spans="1:6" ht="12.75">
      <c r="A15391" s="8">
        <v>43897.787233796298</v>
      </c>
      <c r="B15391" s="8" t="str">
        <f>HYPERLINK("https://twitter.com/rafiani1997","@rafiani1997")</f>
        <v>@rafiani1997</v>
      </c>
      <c r="C15391" s="8" t="s">
        <v>6255</v>
      </c>
      <c r="D15391" s="8">
        <v>1</v>
      </c>
      <c r="E15391" s="8">
        <v>0</v>
      </c>
      <c r="F15391" s="8">
        <v>142</v>
      </c>
    </row>
    <row r="15392" spans="1:6" ht="12.75">
      <c r="A15392" s="8">
        <v>43897.787187499998</v>
      </c>
      <c r="B15392" s="8" t="str">
        <f>HYPERLINK("https://twitter.com/mediapontianak","@mediapontianak")</f>
        <v>@mediapontianak</v>
      </c>
      <c r="C15392" s="8" t="s">
        <v>6256</v>
      </c>
      <c r="D15392" s="8">
        <v>0</v>
      </c>
      <c r="E15392" s="8">
        <v>0</v>
      </c>
      <c r="F15392" s="8">
        <v>271</v>
      </c>
    </row>
    <row r="15393" spans="1:6" ht="12.75">
      <c r="A15393" s="8">
        <v>43897.78633101852</v>
      </c>
      <c r="B15393" s="8" t="str">
        <f>HYPERLINK("https://twitter.com/yuyun_yuchan","@yuyun_yuchan")</f>
        <v>@yuyun_yuchan</v>
      </c>
      <c r="C15393" s="8" t="s">
        <v>4510</v>
      </c>
      <c r="D15393" s="8">
        <v>102</v>
      </c>
      <c r="E15393" s="8">
        <v>0</v>
      </c>
      <c r="F15393" s="8">
        <v>246</v>
      </c>
    </row>
    <row r="15394" spans="1:6" ht="12.75">
      <c r="A15394" s="8">
        <v>43897.786273148144</v>
      </c>
      <c r="B15394" s="8" t="str">
        <f>HYPERLINK("https://twitter.com/riaudetilcom","@riaudetilcom")</f>
        <v>@riaudetilcom</v>
      </c>
      <c r="C15394" s="8" t="s">
        <v>6257</v>
      </c>
      <c r="D15394" s="8">
        <v>0</v>
      </c>
      <c r="E15394" s="8">
        <v>0</v>
      </c>
      <c r="F15394" s="8">
        <v>133</v>
      </c>
    </row>
    <row r="15395" spans="1:6" ht="12.75">
      <c r="A15395" s="8">
        <v>43897.785960648151</v>
      </c>
      <c r="B15395" s="8" t="str">
        <f>HYPERLINK("https://twitter.com/ISIS_Balik_NO","@ISIS_Balik_NO")</f>
        <v>@ISIS_Balik_NO</v>
      </c>
      <c r="C15395" s="8" t="s">
        <v>6258</v>
      </c>
      <c r="D15395" s="8">
        <v>3134</v>
      </c>
      <c r="E15395" s="8">
        <v>0</v>
      </c>
      <c r="F15395" s="8">
        <v>6141</v>
      </c>
    </row>
    <row r="15396" spans="1:6" ht="12.75">
      <c r="A15396" s="8">
        <v>43897.785925925928</v>
      </c>
      <c r="B15396" s="8" t="str">
        <f>HYPERLINK("https://twitter.com/iNewsID","@iNewsID")</f>
        <v>@iNewsID</v>
      </c>
      <c r="C15396" s="8" t="s">
        <v>6259</v>
      </c>
      <c r="D15396" s="8">
        <v>0</v>
      </c>
      <c r="E15396" s="8">
        <v>0</v>
      </c>
      <c r="F15396" s="8">
        <v>1367</v>
      </c>
    </row>
    <row r="15397" spans="1:6" ht="12.75">
      <c r="A15397" s="8">
        <v>43897.78570601852</v>
      </c>
      <c r="B15397" s="8" t="str">
        <f>HYPERLINK("https://twitter.com/Abdulro73118652","@Abdulro73118652")</f>
        <v>@Abdulro73118652</v>
      </c>
      <c r="C15397" s="8" t="s">
        <v>3743</v>
      </c>
      <c r="D15397" s="8">
        <v>670</v>
      </c>
      <c r="E15397" s="8">
        <v>0</v>
      </c>
      <c r="F15397" s="8">
        <v>143</v>
      </c>
    </row>
    <row r="15398" spans="1:6" ht="12.75">
      <c r="A15398" s="8">
        <v>43897.785625000004</v>
      </c>
      <c r="B15398" s="8" t="str">
        <f>HYPERLINK("https://twitter.com/anjares90","@anjares90")</f>
        <v>@anjares90</v>
      </c>
      <c r="C15398" s="8" t="s">
        <v>5914</v>
      </c>
      <c r="D15398" s="8">
        <v>8</v>
      </c>
      <c r="E15398" s="8">
        <v>0</v>
      </c>
      <c r="F15398" s="8">
        <v>671</v>
      </c>
    </row>
    <row r="15399" spans="1:6" ht="12.75">
      <c r="A15399" s="8">
        <v>43897.785578703704</v>
      </c>
      <c r="B15399" s="8" t="str">
        <f>HYPERLINK("https://twitter.com/Hermawanluo","@Hermawanluo")</f>
        <v>@Hermawanluo</v>
      </c>
      <c r="C15399" s="8" t="s">
        <v>6260</v>
      </c>
      <c r="D15399" s="8">
        <v>0</v>
      </c>
      <c r="E15399" s="8">
        <v>0</v>
      </c>
      <c r="F15399" s="8">
        <v>52</v>
      </c>
    </row>
    <row r="15400" spans="1:6" ht="12.75">
      <c r="A15400" s="8">
        <v>43897.785486111112</v>
      </c>
      <c r="B15400" s="8" t="str">
        <f>HYPERLINK("https://twitter.com/HPeridia","@HPeridia")</f>
        <v>@HPeridia</v>
      </c>
      <c r="C15400" s="8" t="s">
        <v>4818</v>
      </c>
      <c r="D15400" s="8">
        <v>264</v>
      </c>
      <c r="E15400" s="8">
        <v>0</v>
      </c>
      <c r="F15400" s="8">
        <v>668</v>
      </c>
    </row>
    <row r="15401" spans="1:6" ht="12.75">
      <c r="A15401" s="8">
        <v>43897.785196759258</v>
      </c>
      <c r="B15401" s="8" t="str">
        <f t="shared" ref="B15401:B15402" si="232">HYPERLINK("https://twitter.com/ISIS_Balik_NO","@ISIS_Balik_NO")</f>
        <v>@ISIS_Balik_NO</v>
      </c>
      <c r="C15401" s="8" t="s">
        <v>6261</v>
      </c>
      <c r="D15401" s="8">
        <v>27</v>
      </c>
      <c r="E15401" s="8">
        <v>0</v>
      </c>
      <c r="F15401" s="8">
        <v>6141</v>
      </c>
    </row>
    <row r="15402" spans="1:6" ht="12.75">
      <c r="A15402" s="8">
        <v>43897.784895833334</v>
      </c>
      <c r="B15402" s="8" t="str">
        <f t="shared" si="232"/>
        <v>@ISIS_Balik_NO</v>
      </c>
      <c r="C15402" s="8" t="s">
        <v>6262</v>
      </c>
      <c r="D15402" s="8">
        <v>2</v>
      </c>
      <c r="E15402" s="8">
        <v>0</v>
      </c>
      <c r="F15402" s="8">
        <v>6141</v>
      </c>
    </row>
    <row r="15403" spans="1:6" ht="12.75">
      <c r="A15403" s="8">
        <v>43897.784513888888</v>
      </c>
      <c r="B15403" s="8" t="str">
        <f>HYPERLINK("https://twitter.com/bang_bar0n","@bang_bar0n")</f>
        <v>@bang_bar0n</v>
      </c>
      <c r="C15403" s="8" t="s">
        <v>6263</v>
      </c>
      <c r="D15403" s="8">
        <v>0</v>
      </c>
      <c r="E15403" s="8">
        <v>0</v>
      </c>
      <c r="F15403" s="8">
        <v>2436</v>
      </c>
    </row>
    <row r="15404" spans="1:6" ht="12.75">
      <c r="A15404" s="8">
        <v>43897.784444444449</v>
      </c>
      <c r="B15404" s="8" t="str">
        <f>HYPERLINK("https://twitter.com/AlfaOmega0110","@AlfaOmega0110")</f>
        <v>@AlfaOmega0110</v>
      </c>
      <c r="C15404" s="8" t="s">
        <v>6264</v>
      </c>
      <c r="D15404" s="8">
        <v>0</v>
      </c>
      <c r="E15404" s="8">
        <v>0</v>
      </c>
      <c r="F15404" s="8">
        <v>1334</v>
      </c>
    </row>
    <row r="15405" spans="1:6" ht="12.75">
      <c r="A15405" s="8">
        <v>43897.784375000003</v>
      </c>
      <c r="B15405" s="8" t="str">
        <f>HYPERLINK("https://twitter.com/eddannz","@eddannz")</f>
        <v>@eddannz</v>
      </c>
      <c r="C15405" s="8" t="s">
        <v>2962</v>
      </c>
      <c r="D15405" s="8">
        <v>5685</v>
      </c>
      <c r="E15405" s="8">
        <v>0</v>
      </c>
      <c r="F15405" s="8">
        <v>22</v>
      </c>
    </row>
    <row r="15406" spans="1:6" ht="12.75">
      <c r="A15406" s="8">
        <v>43897.783761574072</v>
      </c>
      <c r="B15406" s="8" t="str">
        <f>HYPERLINK("https://twitter.com/JohnAhmadSarjon","@JohnAhmadSarjon")</f>
        <v>@JohnAhmadSarjon</v>
      </c>
      <c r="C15406" s="8" t="s">
        <v>3743</v>
      </c>
      <c r="D15406" s="8">
        <v>670</v>
      </c>
      <c r="E15406" s="8">
        <v>0</v>
      </c>
      <c r="F15406" s="8">
        <v>279</v>
      </c>
    </row>
    <row r="15407" spans="1:6" ht="12.75">
      <c r="A15407" s="8">
        <v>43897.783530092594</v>
      </c>
      <c r="B15407" s="8" t="str">
        <f>HYPERLINK("https://twitter.com/Josskrapu212","@Josskrapu212")</f>
        <v>@Josskrapu212</v>
      </c>
      <c r="C15407" s="8" t="s">
        <v>3743</v>
      </c>
      <c r="D15407" s="8">
        <v>670</v>
      </c>
      <c r="E15407" s="8">
        <v>0</v>
      </c>
      <c r="F15407" s="8">
        <v>16</v>
      </c>
    </row>
    <row r="15408" spans="1:6" ht="12.75">
      <c r="A15408" s="8">
        <v>43897.783206018517</v>
      </c>
      <c r="B15408" s="8" t="str">
        <f>HYPERLINK("https://twitter.com/ErtiSumiati","@ErtiSumiati")</f>
        <v>@ErtiSumiati</v>
      </c>
      <c r="C15408" s="8" t="s">
        <v>4510</v>
      </c>
      <c r="D15408" s="8">
        <v>102</v>
      </c>
      <c r="E15408" s="8">
        <v>0</v>
      </c>
      <c r="F15408" s="8">
        <v>0</v>
      </c>
    </row>
    <row r="15409" spans="1:6" ht="12.75">
      <c r="A15409" s="8">
        <v>43897.783078703702</v>
      </c>
      <c r="B15409" s="8" t="str">
        <f>HYPERLINK("https://twitter.com/dr_ando1","@dr_ando1")</f>
        <v>@dr_ando1</v>
      </c>
      <c r="C15409" s="8" t="s">
        <v>5844</v>
      </c>
      <c r="D15409" s="8">
        <v>5</v>
      </c>
      <c r="E15409" s="8">
        <v>0</v>
      </c>
      <c r="F15409" s="8">
        <v>282</v>
      </c>
    </row>
    <row r="15410" spans="1:6" ht="12.75">
      <c r="A15410" s="8">
        <v>43897.782546296294</v>
      </c>
      <c r="B15410" s="8" t="str">
        <f t="shared" ref="B15410:B15411" si="233">HYPERLINK("https://twitter.com/ISIS_Balik_NO","@ISIS_Balik_NO")</f>
        <v>@ISIS_Balik_NO</v>
      </c>
      <c r="C15410" s="8" t="s">
        <v>6265</v>
      </c>
      <c r="D15410" s="8">
        <v>33</v>
      </c>
      <c r="E15410" s="8">
        <v>0</v>
      </c>
      <c r="F15410" s="8">
        <v>6141</v>
      </c>
    </row>
    <row r="15411" spans="1:6" ht="12.75">
      <c r="A15411" s="8">
        <v>43897.782037037032</v>
      </c>
      <c r="B15411" s="8" t="str">
        <f t="shared" si="233"/>
        <v>@ISIS_Balik_NO</v>
      </c>
      <c r="C15411" s="8" t="s">
        <v>6266</v>
      </c>
      <c r="D15411" s="8">
        <v>0</v>
      </c>
      <c r="E15411" s="8">
        <v>1</v>
      </c>
      <c r="F15411" s="8">
        <v>6141</v>
      </c>
    </row>
    <row r="15412" spans="1:6" ht="12.75">
      <c r="A15412" s="8">
        <v>43897.781041666662</v>
      </c>
      <c r="B15412" s="8" t="str">
        <f>HYPERLINK("https://twitter.com/ryolandafit","@ryolandafit")</f>
        <v>@ryolandafit</v>
      </c>
      <c r="C15412" s="8" t="s">
        <v>6250</v>
      </c>
      <c r="D15412" s="8">
        <v>3</v>
      </c>
      <c r="E15412" s="8">
        <v>0</v>
      </c>
      <c r="F15412" s="8">
        <v>658</v>
      </c>
    </row>
    <row r="15413" spans="1:6" ht="12.75">
      <c r="A15413" s="8">
        <v>43897.780995370369</v>
      </c>
      <c r="B15413" s="8" t="str">
        <f>HYPERLINK("https://twitter.com/ISIS_Balik_NO","@ISIS_Balik_NO")</f>
        <v>@ISIS_Balik_NO</v>
      </c>
      <c r="C15413" s="8" t="s">
        <v>6267</v>
      </c>
      <c r="D15413" s="8">
        <v>5</v>
      </c>
      <c r="E15413" s="8">
        <v>0</v>
      </c>
      <c r="F15413" s="8">
        <v>6141</v>
      </c>
    </row>
    <row r="15414" spans="1:6" ht="12.75">
      <c r="A15414" s="8">
        <v>43897.7809837963</v>
      </c>
      <c r="B15414" s="8" t="str">
        <f>HYPERLINK("https://twitter.com/imsamisam","@imsamisam")</f>
        <v>@imsamisam</v>
      </c>
      <c r="C15414" s="8" t="s">
        <v>6268</v>
      </c>
      <c r="D15414" s="8">
        <v>12</v>
      </c>
      <c r="E15414" s="8">
        <v>0</v>
      </c>
      <c r="F15414" s="8">
        <v>627</v>
      </c>
    </row>
    <row r="15415" spans="1:6" ht="12.75">
      <c r="A15415" s="8">
        <v>43897.780150462961</v>
      </c>
      <c r="B15415" s="8" t="str">
        <f>HYPERLINK("https://twitter.com/ISIS_Balik_NO","@ISIS_Balik_NO")</f>
        <v>@ISIS_Balik_NO</v>
      </c>
      <c r="C15415" s="8" t="s">
        <v>6269</v>
      </c>
      <c r="D15415" s="8">
        <v>100</v>
      </c>
      <c r="E15415" s="8">
        <v>0</v>
      </c>
      <c r="F15415" s="8">
        <v>6141</v>
      </c>
    </row>
    <row r="15416" spans="1:6" ht="12.75">
      <c r="A15416" s="8">
        <v>43897.779918981483</v>
      </c>
      <c r="B15416" s="8" t="str">
        <f>HYPERLINK("https://twitter.com/KompasTV","@KompasTV")</f>
        <v>@KompasTV</v>
      </c>
      <c r="C15416" s="8" t="s">
        <v>6270</v>
      </c>
      <c r="D15416" s="8">
        <v>1</v>
      </c>
      <c r="E15416" s="8">
        <v>6</v>
      </c>
      <c r="F15416" s="8">
        <v>2958440</v>
      </c>
    </row>
    <row r="15417" spans="1:6" ht="12.75">
      <c r="A15417" s="8">
        <v>43897.779467592598</v>
      </c>
      <c r="B15417" s="8" t="str">
        <f>HYPERLINK("https://twitter.com/agungsw272","@agungsw272")</f>
        <v>@agungsw272</v>
      </c>
      <c r="C15417" s="8" t="s">
        <v>6271</v>
      </c>
      <c r="D15417" s="8">
        <v>0</v>
      </c>
      <c r="E15417" s="8">
        <v>0</v>
      </c>
      <c r="F15417" s="8">
        <v>25</v>
      </c>
    </row>
    <row r="15418" spans="1:6" ht="12.75">
      <c r="A15418" s="8">
        <v>43897.779456018514</v>
      </c>
      <c r="B15418" s="8" t="str">
        <f>HYPERLINK("https://twitter.com/HendarwatiH","@HendarwatiH")</f>
        <v>@HendarwatiH</v>
      </c>
      <c r="C15418" s="8" t="s">
        <v>5914</v>
      </c>
      <c r="D15418" s="8">
        <v>8</v>
      </c>
      <c r="E15418" s="8">
        <v>0</v>
      </c>
      <c r="F15418" s="8">
        <v>2196</v>
      </c>
    </row>
    <row r="15419" spans="1:6" ht="12.75">
      <c r="A15419" s="8">
        <v>43897.779432870375</v>
      </c>
      <c r="B15419" s="8" t="str">
        <f>HYPERLINK("https://twitter.com/ISIS_Balik_NO","@ISIS_Balik_NO")</f>
        <v>@ISIS_Balik_NO</v>
      </c>
      <c r="C15419" s="8" t="s">
        <v>6272</v>
      </c>
      <c r="D15419" s="8">
        <v>0</v>
      </c>
      <c r="E15419" s="8">
        <v>1</v>
      </c>
      <c r="F15419" s="8">
        <v>6141</v>
      </c>
    </row>
    <row r="15420" spans="1:6" ht="12.75">
      <c r="A15420" s="8">
        <v>43897.778958333336</v>
      </c>
      <c r="B15420" s="8" t="str">
        <f>HYPERLINK("https://twitter.com/emastok","@emastok")</f>
        <v>@emastok</v>
      </c>
      <c r="C15420" s="8" t="s">
        <v>5934</v>
      </c>
      <c r="D15420" s="8">
        <v>16</v>
      </c>
      <c r="E15420" s="8">
        <v>0</v>
      </c>
      <c r="F15420" s="8">
        <v>1849</v>
      </c>
    </row>
    <row r="15421" spans="1:6" ht="12.75">
      <c r="A15421" s="8">
        <v>43897.778946759259</v>
      </c>
      <c r="B15421" s="8" t="str">
        <f>HYPERLINK("https://twitter.com/dedyvanblaz","@dedyvanblaz")</f>
        <v>@dedyvanblaz</v>
      </c>
      <c r="C15421" s="8" t="s">
        <v>3743</v>
      </c>
      <c r="D15421" s="8">
        <v>670</v>
      </c>
      <c r="E15421" s="8">
        <v>0</v>
      </c>
      <c r="F15421" s="8">
        <v>380</v>
      </c>
    </row>
    <row r="15422" spans="1:6" ht="12.75">
      <c r="A15422" s="8">
        <v>43897.778923611113</v>
      </c>
      <c r="B15422" s="8" t="str">
        <f>HYPERLINK("https://twitter.com/wni_jmsri","@wni_jmsri")</f>
        <v>@wni_jmsri</v>
      </c>
      <c r="C15422" s="8" t="s">
        <v>6273</v>
      </c>
      <c r="D15422" s="8">
        <v>59</v>
      </c>
      <c r="E15422" s="8">
        <v>0</v>
      </c>
      <c r="F15422" s="8">
        <v>201</v>
      </c>
    </row>
    <row r="15423" spans="1:6" ht="12.75">
      <c r="A15423" s="8">
        <v>43897.778761574074</v>
      </c>
      <c r="B15423" s="8" t="str">
        <f>HYPERLINK("https://twitter.com/ISIS_Balik_NO","@ISIS_Balik_NO")</f>
        <v>@ISIS_Balik_NO</v>
      </c>
      <c r="C15423" s="8" t="s">
        <v>6274</v>
      </c>
      <c r="D15423" s="8">
        <v>0</v>
      </c>
      <c r="E15423" s="8">
        <v>0</v>
      </c>
      <c r="F15423" s="8">
        <v>6141</v>
      </c>
    </row>
    <row r="15424" spans="1:6" ht="12.75">
      <c r="A15424" s="8">
        <v>43897.778379629628</v>
      </c>
      <c r="B15424" s="8" t="str">
        <f>HYPERLINK("https://twitter.com/JoburgBianco","@JoburgBianco")</f>
        <v>@JoburgBianco</v>
      </c>
      <c r="C15424" s="8" t="s">
        <v>6235</v>
      </c>
      <c r="D15424" s="8">
        <v>1</v>
      </c>
      <c r="E15424" s="8">
        <v>0</v>
      </c>
      <c r="F15424" s="8">
        <v>333</v>
      </c>
    </row>
    <row r="15425" spans="1:6" ht="12.75">
      <c r="A15425" s="8">
        <v>43897.77825231482</v>
      </c>
      <c r="B15425" s="8" t="str">
        <f>HYPERLINK("https://twitter.com/ISIS_Balik_NO","@ISIS_Balik_NO")</f>
        <v>@ISIS_Balik_NO</v>
      </c>
      <c r="C15425" s="8" t="s">
        <v>6275</v>
      </c>
      <c r="D15425" s="8">
        <v>75</v>
      </c>
      <c r="E15425" s="8">
        <v>0</v>
      </c>
      <c r="F15425" s="8">
        <v>6141</v>
      </c>
    </row>
    <row r="15426" spans="1:6" ht="12.75">
      <c r="A15426" s="8">
        <v>43897.778148148151</v>
      </c>
      <c r="B15426" s="8" t="str">
        <f>HYPERLINK("https://twitter.com/nengrustika_dr","@nengrustika_dr")</f>
        <v>@nengrustika_dr</v>
      </c>
      <c r="C15426" s="8" t="s">
        <v>6252</v>
      </c>
      <c r="D15426" s="8">
        <v>42</v>
      </c>
      <c r="E15426" s="8">
        <v>0</v>
      </c>
      <c r="F15426" s="8">
        <v>39</v>
      </c>
    </row>
    <row r="15427" spans="1:6" ht="12.75">
      <c r="A15427" s="8">
        <v>43897.778101851851</v>
      </c>
      <c r="B15427" s="8" t="str">
        <f>HYPERLINK("https://twitter.com/ArwinYakub","@ArwinYakub")</f>
        <v>@ArwinYakub</v>
      </c>
      <c r="C15427" s="8" t="s">
        <v>3743</v>
      </c>
      <c r="D15427" s="8">
        <v>670</v>
      </c>
      <c r="E15427" s="8">
        <v>0</v>
      </c>
      <c r="F15427" s="8">
        <v>6</v>
      </c>
    </row>
    <row r="15428" spans="1:6" ht="12.75">
      <c r="A15428" s="8">
        <v>43897.777905092589</v>
      </c>
      <c r="B15428" s="8" t="str">
        <f>HYPERLINK("https://twitter.com/dehadaud","@dehadaud")</f>
        <v>@dehadaud</v>
      </c>
      <c r="C15428" s="8" t="s">
        <v>6276</v>
      </c>
      <c r="D15428" s="8">
        <v>0</v>
      </c>
      <c r="E15428" s="8">
        <v>0</v>
      </c>
      <c r="F15428" s="8">
        <v>4435</v>
      </c>
    </row>
    <row r="15429" spans="1:6" ht="12.75">
      <c r="A15429" s="8">
        <v>43897.777789351851</v>
      </c>
      <c r="B15429" s="8" t="str">
        <f>HYPERLINK("https://twitter.com/kurlard","@kurlard")</f>
        <v>@kurlard</v>
      </c>
      <c r="C15429" s="8" t="s">
        <v>6277</v>
      </c>
      <c r="D15429" s="8">
        <v>0</v>
      </c>
      <c r="E15429" s="8">
        <v>0</v>
      </c>
      <c r="F15429" s="8">
        <v>2</v>
      </c>
    </row>
    <row r="15430" spans="1:6" ht="12.75">
      <c r="A15430" s="8">
        <v>43897.777349537035</v>
      </c>
      <c r="B15430" s="8" t="str">
        <f t="shared" ref="B15430:B15431" si="234">HYPERLINK("https://twitter.com/ISIS_Balik_NO","@ISIS_Balik_NO")</f>
        <v>@ISIS_Balik_NO</v>
      </c>
      <c r="C15430" s="8" t="s">
        <v>6278</v>
      </c>
      <c r="D15430" s="8">
        <v>0</v>
      </c>
      <c r="E15430" s="8">
        <v>0</v>
      </c>
      <c r="F15430" s="8">
        <v>6141</v>
      </c>
    </row>
    <row r="15431" spans="1:6" ht="12.75">
      <c r="A15431" s="8">
        <v>43897.776724537034</v>
      </c>
      <c r="B15431" s="8" t="str">
        <f t="shared" si="234"/>
        <v>@ISIS_Balik_NO</v>
      </c>
      <c r="C15431" s="8" t="s">
        <v>6279</v>
      </c>
      <c r="D15431" s="8">
        <v>8</v>
      </c>
      <c r="E15431" s="8">
        <v>0</v>
      </c>
      <c r="F15431" s="8">
        <v>6141</v>
      </c>
    </row>
    <row r="15432" spans="1:6" ht="12.75">
      <c r="A15432" s="8">
        <v>43897.776678240742</v>
      </c>
      <c r="B15432" s="8" t="str">
        <f>HYPERLINK("https://twitter.com/KopiKardus","@KopiKardus")</f>
        <v>@KopiKardus</v>
      </c>
      <c r="C15432" s="8" t="s">
        <v>5918</v>
      </c>
      <c r="D15432" s="8">
        <v>7</v>
      </c>
      <c r="E15432" s="8">
        <v>0</v>
      </c>
      <c r="F15432" s="8">
        <v>1274</v>
      </c>
    </row>
    <row r="15433" spans="1:6" ht="12.75">
      <c r="A15433" s="8">
        <v>43897.776655092588</v>
      </c>
      <c r="B15433" s="8" t="str">
        <f>HYPERLINK("https://twitter.com/Heru71011564","@Heru71011564")</f>
        <v>@Heru71011564</v>
      </c>
      <c r="C15433" s="8" t="s">
        <v>3743</v>
      </c>
      <c r="D15433" s="8">
        <v>670</v>
      </c>
      <c r="E15433" s="8">
        <v>0</v>
      </c>
      <c r="F15433" s="8">
        <v>32</v>
      </c>
    </row>
    <row r="15434" spans="1:6" ht="12.75">
      <c r="A15434" s="8">
        <v>43897.776400462964</v>
      </c>
      <c r="B15434" s="8" t="str">
        <f>HYPERLINK("https://twitter.com/AttariqRK","@AttariqRK")</f>
        <v>@AttariqRK</v>
      </c>
      <c r="C15434" s="8" t="s">
        <v>5918</v>
      </c>
      <c r="D15434" s="8">
        <v>7</v>
      </c>
      <c r="E15434" s="8">
        <v>0</v>
      </c>
      <c r="F15434" s="8">
        <v>1332</v>
      </c>
    </row>
    <row r="15435" spans="1:6" ht="12.75">
      <c r="A15435" s="8">
        <v>43897.77616898148</v>
      </c>
      <c r="B15435" s="8" t="str">
        <f>HYPERLINK("https://twitter.com/Soerattar","@Soerattar")</f>
        <v>@Soerattar</v>
      </c>
      <c r="C15435" s="8" t="s">
        <v>5918</v>
      </c>
      <c r="D15435" s="8">
        <v>7</v>
      </c>
      <c r="E15435" s="8">
        <v>0</v>
      </c>
      <c r="F15435" s="8">
        <v>1173</v>
      </c>
    </row>
    <row r="15436" spans="1:6" ht="12.75">
      <c r="A15436" s="8">
        <v>43897.775972222225</v>
      </c>
      <c r="B15436" s="8" t="str">
        <f>HYPERLINK("https://twitter.com/Aydanfit","@Aydanfit")</f>
        <v>@Aydanfit</v>
      </c>
      <c r="C15436" s="8" t="s">
        <v>5918</v>
      </c>
      <c r="D15436" s="8">
        <v>7</v>
      </c>
      <c r="E15436" s="8">
        <v>0</v>
      </c>
      <c r="F15436" s="8">
        <v>1252</v>
      </c>
    </row>
    <row r="15437" spans="1:6" ht="12.75">
      <c r="A15437" s="8">
        <v>43897.775787037041</v>
      </c>
      <c r="B15437" s="8" t="str">
        <f>HYPERLINK("https://twitter.com/MusuhThanos","@MusuhThanos")</f>
        <v>@MusuhThanos</v>
      </c>
      <c r="C15437" s="8" t="s">
        <v>5918</v>
      </c>
      <c r="D15437" s="8">
        <v>7</v>
      </c>
      <c r="E15437" s="8">
        <v>0</v>
      </c>
      <c r="F15437" s="8">
        <v>1137</v>
      </c>
    </row>
    <row r="15438" spans="1:6" ht="12.75">
      <c r="A15438" s="8">
        <v>43897.775567129633</v>
      </c>
      <c r="B15438" s="8" t="str">
        <f>HYPERLINK("https://twitter.com/Tuguikan","@Tuguikan")</f>
        <v>@Tuguikan</v>
      </c>
      <c r="C15438" s="8" t="s">
        <v>5918</v>
      </c>
      <c r="D15438" s="8">
        <v>7</v>
      </c>
      <c r="E15438" s="8">
        <v>0</v>
      </c>
      <c r="F15438" s="8">
        <v>1067</v>
      </c>
    </row>
    <row r="15439" spans="1:6" ht="12.75">
      <c r="A15439" s="8">
        <v>43897.775254629625</v>
      </c>
      <c r="B15439" s="8" t="str">
        <f>HYPERLINK("https://twitter.com/7int4Putih","@7int4Putih")</f>
        <v>@7int4Putih</v>
      </c>
      <c r="C15439" s="8" t="s">
        <v>6245</v>
      </c>
      <c r="D15439" s="8">
        <v>8</v>
      </c>
      <c r="E15439" s="8">
        <v>0</v>
      </c>
      <c r="F15439" s="8">
        <v>1220</v>
      </c>
    </row>
    <row r="15440" spans="1:6" ht="12.75">
      <c r="A15440" s="8">
        <v>43897.775000000001</v>
      </c>
      <c r="B15440" s="8" t="str">
        <f>HYPERLINK("https://twitter.com/pesanbijakk","@pesanbijakk")</f>
        <v>@pesanbijakk</v>
      </c>
      <c r="C15440" s="8" t="s">
        <v>6280</v>
      </c>
      <c r="D15440" s="8">
        <v>0</v>
      </c>
      <c r="E15440" s="8">
        <v>0</v>
      </c>
      <c r="F15440" s="8">
        <v>94079</v>
      </c>
    </row>
    <row r="15441" spans="1:6" ht="12.75">
      <c r="A15441" s="8">
        <v>43897.774872685186</v>
      </c>
      <c r="B15441" s="8" t="str">
        <f>HYPERLINK("https://twitter.com/GalihDwiKurnia4","@GalihDwiKurnia4")</f>
        <v>@GalihDwiKurnia4</v>
      </c>
      <c r="C15441" s="8" t="s">
        <v>6281</v>
      </c>
      <c r="D15441" s="8">
        <v>0</v>
      </c>
      <c r="E15441" s="8">
        <v>1</v>
      </c>
      <c r="F15441" s="8">
        <v>92</v>
      </c>
    </row>
    <row r="15442" spans="1:6" ht="12.75">
      <c r="A15442" s="8">
        <v>43897.774618055555</v>
      </c>
      <c r="B15442" s="8" t="str">
        <f t="shared" ref="B15442:B15444" si="235">HYPERLINK("https://twitter.com/ISIS_Balik_NO","@ISIS_Balik_NO")</f>
        <v>@ISIS_Balik_NO</v>
      </c>
      <c r="C15442" s="8" t="s">
        <v>6282</v>
      </c>
      <c r="D15442" s="8">
        <v>29</v>
      </c>
      <c r="E15442" s="8">
        <v>0</v>
      </c>
      <c r="F15442" s="8">
        <v>6141</v>
      </c>
    </row>
    <row r="15443" spans="1:6" ht="12.75">
      <c r="A15443" s="8">
        <v>43897.774259259255</v>
      </c>
      <c r="B15443" s="8" t="str">
        <f t="shared" si="235"/>
        <v>@ISIS_Balik_NO</v>
      </c>
      <c r="C15443" s="8" t="s">
        <v>6283</v>
      </c>
      <c r="D15443" s="8">
        <v>0</v>
      </c>
      <c r="E15443" s="8">
        <v>2</v>
      </c>
      <c r="F15443" s="8">
        <v>6141</v>
      </c>
    </row>
    <row r="15444" spans="1:6" ht="12.75">
      <c r="A15444" s="8">
        <v>43897.774039351847</v>
      </c>
      <c r="B15444" s="8" t="str">
        <f t="shared" si="235"/>
        <v>@ISIS_Balik_NO</v>
      </c>
      <c r="C15444" s="8" t="s">
        <v>6284</v>
      </c>
      <c r="D15444" s="8">
        <v>201</v>
      </c>
      <c r="E15444" s="8">
        <v>0</v>
      </c>
      <c r="F15444" s="8">
        <v>6141</v>
      </c>
    </row>
    <row r="15445" spans="1:6" ht="12.75">
      <c r="A15445" s="8">
        <v>43897.773888888885</v>
      </c>
      <c r="B15445" s="8" t="str">
        <f>HYPERLINK("https://twitter.com/Novrdx1","@Novrdx1")</f>
        <v>@Novrdx1</v>
      </c>
      <c r="C15445" s="8" t="s">
        <v>6285</v>
      </c>
      <c r="D15445" s="8">
        <v>0</v>
      </c>
      <c r="E15445" s="8">
        <v>1</v>
      </c>
      <c r="F15445" s="8">
        <v>83</v>
      </c>
    </row>
    <row r="15446" spans="1:6" ht="12.75">
      <c r="A15446" s="8">
        <v>43897.773773148147</v>
      </c>
      <c r="B15446" s="8" t="str">
        <f>HYPERLINK("https://twitter.com/Darmalik3","@Darmalik3")</f>
        <v>@Darmalik3</v>
      </c>
      <c r="C15446" s="8" t="s">
        <v>4818</v>
      </c>
      <c r="D15446" s="8">
        <v>264</v>
      </c>
      <c r="E15446" s="8">
        <v>0</v>
      </c>
      <c r="F15446" s="8">
        <v>1731</v>
      </c>
    </row>
    <row r="15447" spans="1:6" ht="12.75">
      <c r="A15447" s="8">
        <v>43897.773611111115</v>
      </c>
      <c r="B15447" s="8" t="str">
        <f>HYPERLINK("https://twitter.com/IndonesiainBern","@IndonesiainBern")</f>
        <v>@IndonesiainBern</v>
      </c>
      <c r="C15447" s="8" t="s">
        <v>4162</v>
      </c>
      <c r="D15447" s="8">
        <v>87</v>
      </c>
      <c r="E15447" s="8">
        <v>0</v>
      </c>
      <c r="F15447" s="8">
        <v>1825</v>
      </c>
    </row>
    <row r="15448" spans="1:6" ht="12.75">
      <c r="A15448" s="8">
        <v>43897.773599537039</v>
      </c>
      <c r="B15448" s="8" t="str">
        <f>HYPERLINK("https://twitter.com/OriginalMepa12","@OriginalMepa12")</f>
        <v>@OriginalMepa12</v>
      </c>
      <c r="C15448" s="8" t="s">
        <v>4175</v>
      </c>
      <c r="D15448" s="8">
        <v>14</v>
      </c>
      <c r="E15448" s="8">
        <v>0</v>
      </c>
      <c r="F15448" s="8">
        <v>135</v>
      </c>
    </row>
    <row r="15449" spans="1:6" ht="12.75">
      <c r="A15449" s="8">
        <v>43897.773483796293</v>
      </c>
      <c r="B15449" s="8" t="str">
        <f>HYPERLINK("https://twitter.com/Duta_Matahari","@Duta_Matahari")</f>
        <v>@Duta_Matahari</v>
      </c>
      <c r="C15449" s="8" t="s">
        <v>4510</v>
      </c>
      <c r="D15449" s="8">
        <v>102</v>
      </c>
      <c r="E15449" s="8">
        <v>0</v>
      </c>
      <c r="F15449" s="8">
        <v>360</v>
      </c>
    </row>
    <row r="15450" spans="1:6" ht="12.75">
      <c r="A15450" s="8">
        <v>43897.773136574076</v>
      </c>
      <c r="B15450" s="8" t="str">
        <f>HYPERLINK("https://twitter.com/ISIS_Balik_NO","@ISIS_Balik_NO")</f>
        <v>@ISIS_Balik_NO</v>
      </c>
      <c r="C15450" s="8" t="s">
        <v>6286</v>
      </c>
      <c r="D15450" s="8">
        <v>0</v>
      </c>
      <c r="E15450" s="8">
        <v>1</v>
      </c>
      <c r="F15450" s="8">
        <v>6141</v>
      </c>
    </row>
    <row r="15451" spans="1:6" ht="12.75">
      <c r="A15451" s="8">
        <v>43897.772905092592</v>
      </c>
      <c r="B15451" s="8" t="str">
        <f>HYPERLINK("https://twitter.com/NFijriani","@NFijriani")</f>
        <v>@NFijriani</v>
      </c>
      <c r="C15451" s="8" t="s">
        <v>6287</v>
      </c>
      <c r="D15451" s="8">
        <v>0</v>
      </c>
      <c r="E15451" s="8">
        <v>0</v>
      </c>
      <c r="F15451" s="8">
        <v>0</v>
      </c>
    </row>
    <row r="15452" spans="1:6" ht="12.75">
      <c r="A15452" s="8">
        <v>43897.772465277776</v>
      </c>
      <c r="B15452" s="8" t="str">
        <f>HYPERLINK("https://twitter.com/Hanifah933","@Hanifah933")</f>
        <v>@Hanifah933</v>
      </c>
      <c r="C15452" s="8" t="s">
        <v>6288</v>
      </c>
      <c r="D15452" s="8">
        <v>1</v>
      </c>
      <c r="E15452" s="8">
        <v>0</v>
      </c>
      <c r="F15452" s="8">
        <v>7229</v>
      </c>
    </row>
    <row r="15453" spans="1:6" ht="12.75">
      <c r="A15453" s="8">
        <v>43897.771909722222</v>
      </c>
      <c r="B15453" s="8" t="str">
        <f>HYPERLINK("https://twitter.com/sendysuwanto","@sendysuwanto")</f>
        <v>@sendysuwanto</v>
      </c>
      <c r="C15453" s="8" t="s">
        <v>4510</v>
      </c>
      <c r="D15453" s="8">
        <v>102</v>
      </c>
      <c r="E15453" s="8">
        <v>0</v>
      </c>
      <c r="F15453" s="8">
        <v>1021</v>
      </c>
    </row>
    <row r="15454" spans="1:6" ht="12.75">
      <c r="A15454" s="8">
        <v>43897.771527777775</v>
      </c>
      <c r="B15454" s="8" t="str">
        <f>HYPERLINK("https://twitter.com/MataMataPolitik","@MataMataPolitik")</f>
        <v>@MataMataPolitik</v>
      </c>
      <c r="C15454" s="8" t="s">
        <v>6289</v>
      </c>
      <c r="D15454" s="8">
        <v>0</v>
      </c>
      <c r="E15454" s="8">
        <v>0</v>
      </c>
      <c r="F15454" s="8">
        <v>3901</v>
      </c>
    </row>
    <row r="15455" spans="1:6" ht="12.75">
      <c r="A15455" s="8">
        <v>43897.771226851852</v>
      </c>
      <c r="B15455" s="8" t="str">
        <f>HYPERLINK("https://twitter.com/ujjwalsarkate","@ujjwalsarkate")</f>
        <v>@ujjwalsarkate</v>
      </c>
      <c r="C15455" s="8" t="s">
        <v>5458</v>
      </c>
      <c r="D15455" s="8">
        <v>6</v>
      </c>
      <c r="E15455" s="8">
        <v>0</v>
      </c>
      <c r="F15455" s="8">
        <v>152</v>
      </c>
    </row>
    <row r="15456" spans="1:6" ht="12.75">
      <c r="A15456" s="8">
        <v>43897.770810185189</v>
      </c>
      <c r="B15456" s="8" t="str">
        <f>HYPERLINK("https://twitter.com/Abuaima62424332","@Abuaima62424332")</f>
        <v>@Abuaima62424332</v>
      </c>
      <c r="C15456" s="8" t="s">
        <v>6290</v>
      </c>
      <c r="D15456" s="8">
        <v>0</v>
      </c>
      <c r="E15456" s="8">
        <v>0</v>
      </c>
      <c r="F15456" s="8">
        <v>107</v>
      </c>
    </row>
    <row r="15457" spans="1:6" ht="12.75">
      <c r="A15457" s="8">
        <v>43897.770509259259</v>
      </c>
      <c r="B15457" s="8" t="str">
        <f>HYPERLINK("https://twitter.com/ISIS_Balik_NO","@ISIS_Balik_NO")</f>
        <v>@ISIS_Balik_NO</v>
      </c>
      <c r="C15457" s="8" t="s">
        <v>6291</v>
      </c>
      <c r="D15457" s="8">
        <v>0</v>
      </c>
      <c r="E15457" s="8">
        <v>0</v>
      </c>
      <c r="F15457" s="8">
        <v>6141</v>
      </c>
    </row>
    <row r="15458" spans="1:6" ht="12.75">
      <c r="A15458" s="8">
        <v>43897.770416666666</v>
      </c>
      <c r="B15458" s="8" t="str">
        <f>HYPERLINK("https://twitter.com/ekoesnadi","@ekoesnadi")</f>
        <v>@ekoesnadi</v>
      </c>
      <c r="C15458" s="8" t="s">
        <v>5918</v>
      </c>
      <c r="D15458" s="8">
        <v>7</v>
      </c>
      <c r="E15458" s="8">
        <v>0</v>
      </c>
      <c r="F15458" s="8">
        <v>1147</v>
      </c>
    </row>
    <row r="15459" spans="1:6" ht="12.75">
      <c r="A15459" s="8">
        <v>43897.770300925928</v>
      </c>
      <c r="B15459" s="8" t="str">
        <f>HYPERLINK("https://twitter.com/Black_lleviant","@Black_lleviant")</f>
        <v>@Black_lleviant</v>
      </c>
      <c r="C15459" s="8" t="s">
        <v>6252</v>
      </c>
      <c r="D15459" s="8">
        <v>42</v>
      </c>
      <c r="E15459" s="8">
        <v>0</v>
      </c>
      <c r="F15459" s="8">
        <v>6780</v>
      </c>
    </row>
    <row r="15460" spans="1:6" ht="12.75">
      <c r="A15460" s="8">
        <v>43897.769918981481</v>
      </c>
      <c r="B15460" s="8" t="str">
        <f>HYPERLINK("https://twitter.com/ekoesnadi","@ekoesnadi")</f>
        <v>@ekoesnadi</v>
      </c>
      <c r="C15460" s="8" t="s">
        <v>6292</v>
      </c>
      <c r="D15460" s="8">
        <v>7</v>
      </c>
      <c r="E15460" s="8">
        <v>6</v>
      </c>
      <c r="F15460" s="8">
        <v>1147</v>
      </c>
    </row>
    <row r="15461" spans="1:6" ht="12.75">
      <c r="A15461" s="8">
        <v>43897.768518518518</v>
      </c>
      <c r="B15461" s="8" t="str">
        <f>HYPERLINK("https://twitter.com/Jojo_Entis","@Jojo_Entis")</f>
        <v>@Jojo_Entis</v>
      </c>
      <c r="C15461" s="8" t="s">
        <v>5914</v>
      </c>
      <c r="D15461" s="8">
        <v>8</v>
      </c>
      <c r="E15461" s="8">
        <v>0</v>
      </c>
      <c r="F15461" s="8">
        <v>129</v>
      </c>
    </row>
    <row r="15462" spans="1:6" ht="12.75">
      <c r="A15462" s="8">
        <v>43897.767129629632</v>
      </c>
      <c r="B15462" s="8" t="str">
        <f>HYPERLINK("https://twitter.com/Ronggolawe02","@Ronggolawe02")</f>
        <v>@Ronggolawe02</v>
      </c>
      <c r="C15462" s="8" t="s">
        <v>4510</v>
      </c>
      <c r="D15462" s="8">
        <v>102</v>
      </c>
      <c r="E15462" s="8">
        <v>0</v>
      </c>
      <c r="F15462" s="8">
        <v>5553</v>
      </c>
    </row>
    <row r="15463" spans="1:6" ht="12.75">
      <c r="A15463" s="8">
        <v>43897.766099537039</v>
      </c>
      <c r="B15463" s="8" t="str">
        <f>HYPERLINK("https://twitter.com/HendarwatiH","@HendarwatiH")</f>
        <v>@HendarwatiH</v>
      </c>
      <c r="C15463" s="8" t="s">
        <v>3213</v>
      </c>
      <c r="D15463" s="8">
        <v>311</v>
      </c>
      <c r="E15463" s="8">
        <v>0</v>
      </c>
      <c r="F15463" s="8">
        <v>2196</v>
      </c>
    </row>
    <row r="15464" spans="1:6" ht="12.75">
      <c r="A15464" s="8">
        <v>43897.766006944439</v>
      </c>
      <c r="B15464" s="8" t="str">
        <f>HYPERLINK("https://twitter.com/tanyasimi","@tanyasimi")</f>
        <v>@tanyasimi</v>
      </c>
      <c r="C15464" s="8" t="s">
        <v>6293</v>
      </c>
      <c r="D15464" s="8">
        <v>0</v>
      </c>
      <c r="E15464" s="8">
        <v>0</v>
      </c>
      <c r="F15464" s="8">
        <v>4487</v>
      </c>
    </row>
    <row r="15465" spans="1:6" ht="12.75">
      <c r="A15465" s="8">
        <v>43897.765844907408</v>
      </c>
      <c r="B15465" s="8" t="str">
        <f>HYPERLINK("https://twitter.com/invt12","@invt12")</f>
        <v>@invt12</v>
      </c>
      <c r="C15465" s="8" t="s">
        <v>6294</v>
      </c>
      <c r="D15465" s="8">
        <v>0</v>
      </c>
      <c r="E15465" s="8">
        <v>0</v>
      </c>
      <c r="F15465" s="8">
        <v>6</v>
      </c>
    </row>
    <row r="15466" spans="1:6" ht="12.75">
      <c r="A15466" s="8">
        <v>43897.75680555556</v>
      </c>
      <c r="B15466" s="8" t="str">
        <f>HYPERLINK("https://twitter.com/ferry_adamhar","@ferry_adamhar")</f>
        <v>@ferry_adamhar</v>
      </c>
      <c r="C15466" s="8" t="s">
        <v>6295</v>
      </c>
      <c r="D15466" s="8">
        <v>3</v>
      </c>
      <c r="E15466" s="8">
        <v>0</v>
      </c>
      <c r="F15466" s="8">
        <v>10</v>
      </c>
    </row>
    <row r="15467" spans="1:6" ht="12.75">
      <c r="A15467" s="8">
        <v>43897.75644675926</v>
      </c>
      <c r="B15467" s="8" t="str">
        <f>HYPERLINK("https://twitter.com/Indro76491247","@Indro76491247")</f>
        <v>@Indro76491247</v>
      </c>
      <c r="C15467" s="8" t="s">
        <v>6026</v>
      </c>
      <c r="D15467" s="8">
        <v>5</v>
      </c>
      <c r="E15467" s="8">
        <v>0</v>
      </c>
      <c r="F15467" s="8">
        <v>80</v>
      </c>
    </row>
    <row r="15468" spans="1:6" ht="12.75">
      <c r="A15468" s="8">
        <v>43897.756226851852</v>
      </c>
      <c r="B15468" s="8" t="str">
        <f>HYPERLINK("https://twitter.com/mega_ern","@mega_ern")</f>
        <v>@mega_ern</v>
      </c>
      <c r="C15468" s="8" t="s">
        <v>1376</v>
      </c>
      <c r="D15468" s="8">
        <v>21</v>
      </c>
      <c r="E15468" s="8">
        <v>0</v>
      </c>
      <c r="F15468" s="8">
        <v>393</v>
      </c>
    </row>
    <row r="15469" spans="1:6" ht="12.75">
      <c r="A15469" s="8">
        <v>43897.756168981483</v>
      </c>
      <c r="B15469" s="8" t="str">
        <f>HYPERLINK("https://twitter.com/mumbai_kjri","@mumbai_kjri")</f>
        <v>@mumbai_kjri</v>
      </c>
      <c r="C15469" s="8" t="s">
        <v>1376</v>
      </c>
      <c r="D15469" s="8">
        <v>21</v>
      </c>
      <c r="E15469" s="8">
        <v>0</v>
      </c>
      <c r="F15469" s="8">
        <v>298</v>
      </c>
    </row>
    <row r="15470" spans="1:6" ht="12.75">
      <c r="A15470" s="8">
        <v>43897.75576388889</v>
      </c>
      <c r="B15470" s="8" t="str">
        <f>HYPERLINK("https://twitter.com/randualit","@randualit")</f>
        <v>@randualit</v>
      </c>
      <c r="C15470" s="8" t="s">
        <v>6296</v>
      </c>
      <c r="D15470" s="8">
        <v>0</v>
      </c>
      <c r="E15470" s="8">
        <v>0</v>
      </c>
      <c r="F15470" s="8">
        <v>7539</v>
      </c>
    </row>
    <row r="15471" spans="1:6" ht="12.75">
      <c r="A15471" s="8">
        <v>43897.755706018521</v>
      </c>
      <c r="B15471" s="8" t="str">
        <f>HYPERLINK("https://twitter.com/eriswijaya0511","@eriswijaya0511")</f>
        <v>@eriswijaya0511</v>
      </c>
      <c r="C15471" s="8" t="s">
        <v>3265</v>
      </c>
      <c r="D15471" s="8">
        <v>13</v>
      </c>
      <c r="E15471" s="8">
        <v>0</v>
      </c>
      <c r="F15471" s="8">
        <v>1235</v>
      </c>
    </row>
    <row r="15472" spans="1:6" ht="12.75">
      <c r="A15472" s="8">
        <v>43897.755694444444</v>
      </c>
      <c r="B15472" s="8" t="str">
        <f>HYPERLINK("https://twitter.com/TurnBackWahabi","@TurnBackWahabi")</f>
        <v>@TurnBackWahabi</v>
      </c>
      <c r="C15472" s="8" t="s">
        <v>4818</v>
      </c>
      <c r="D15472" s="8">
        <v>262</v>
      </c>
      <c r="E15472" s="8">
        <v>0</v>
      </c>
      <c r="F15472" s="8">
        <v>389</v>
      </c>
    </row>
    <row r="15473" spans="1:6" ht="12.75">
      <c r="A15473" s="8">
        <v>43897.755625000005</v>
      </c>
      <c r="B15473" s="8" t="str">
        <f>HYPERLINK("https://twitter.com/rasyaad40748901","@rasyaad40748901")</f>
        <v>@rasyaad40748901</v>
      </c>
      <c r="C15473" s="8" t="s">
        <v>6297</v>
      </c>
      <c r="D15473" s="8">
        <v>7</v>
      </c>
      <c r="E15473" s="8">
        <v>0</v>
      </c>
      <c r="F15473" s="8">
        <v>1</v>
      </c>
    </row>
    <row r="15474" spans="1:6" ht="12.75">
      <c r="A15474" s="8">
        <v>43897.755543981482</v>
      </c>
      <c r="B15474" s="8" t="str">
        <f>HYPERLINK("https://twitter.com/TurnBackWahabi","@TurnBackWahabi")</f>
        <v>@TurnBackWahabi</v>
      </c>
      <c r="C15474" s="8" t="s">
        <v>3213</v>
      </c>
      <c r="D15474" s="8">
        <v>310</v>
      </c>
      <c r="E15474" s="8">
        <v>0</v>
      </c>
      <c r="F15474" s="8">
        <v>389</v>
      </c>
    </row>
    <row r="15475" spans="1:6" ht="12.75">
      <c r="A15475" s="8">
        <v>43897.754872685182</v>
      </c>
      <c r="B15475" s="8" t="str">
        <f>HYPERLINK("https://twitter.com/BonoMbah","@BonoMbah")</f>
        <v>@BonoMbah</v>
      </c>
      <c r="C15475" s="8" t="s">
        <v>6298</v>
      </c>
      <c r="D15475" s="8">
        <v>0</v>
      </c>
      <c r="E15475" s="8">
        <v>0</v>
      </c>
      <c r="F15475" s="8">
        <v>55</v>
      </c>
    </row>
    <row r="15476" spans="1:6" ht="12.75">
      <c r="A15476" s="8">
        <v>43897.754328703704</v>
      </c>
      <c r="B15476" s="8" t="str">
        <f>HYPERLINK("https://twitter.com/Semar_2","@Semar_2")</f>
        <v>@Semar_2</v>
      </c>
      <c r="C15476" s="8" t="s">
        <v>5324</v>
      </c>
      <c r="D15476" s="8">
        <v>4</v>
      </c>
      <c r="E15476" s="8">
        <v>0</v>
      </c>
      <c r="F15476" s="8">
        <v>230</v>
      </c>
    </row>
    <row r="15477" spans="1:6" ht="12.75">
      <c r="A15477" s="8">
        <v>43897.754027777773</v>
      </c>
      <c r="B15477" s="8" t="str">
        <f>HYPERLINK("https://twitter.com/ildivialorossi","@ildivialorossi")</f>
        <v>@ildivialorossi</v>
      </c>
      <c r="C15477" s="8" t="s">
        <v>6197</v>
      </c>
      <c r="D15477" s="8">
        <v>1</v>
      </c>
      <c r="E15477" s="8">
        <v>0</v>
      </c>
      <c r="F15477" s="8">
        <v>345</v>
      </c>
    </row>
    <row r="15478" spans="1:6" ht="12.75">
      <c r="A15478" s="8">
        <v>43897.753900462965</v>
      </c>
      <c r="B15478" s="8" t="str">
        <f>HYPERLINK("https://twitter.com/wni_jmsri","@wni_jmsri")</f>
        <v>@wni_jmsri</v>
      </c>
      <c r="C15478" s="8" t="s">
        <v>6299</v>
      </c>
      <c r="D15478" s="8">
        <v>106</v>
      </c>
      <c r="E15478" s="8">
        <v>0</v>
      </c>
      <c r="F15478" s="8">
        <v>201</v>
      </c>
    </row>
    <row r="15479" spans="1:6" ht="12.75">
      <c r="A15479" s="8">
        <v>43897.753449074073</v>
      </c>
      <c r="B15479" s="8" t="str">
        <f>HYPERLINK("https://twitter.com/madeferry","@madeferry")</f>
        <v>@madeferry</v>
      </c>
      <c r="C15479" s="8" t="s">
        <v>6300</v>
      </c>
      <c r="D15479" s="8">
        <v>2</v>
      </c>
      <c r="E15479" s="8">
        <v>0</v>
      </c>
      <c r="F15479" s="8">
        <v>121</v>
      </c>
    </row>
    <row r="15480" spans="1:6" ht="12.75">
      <c r="A15480" s="8">
        <v>43897.753310185188</v>
      </c>
      <c r="B15480" s="8" t="str">
        <f>HYPERLINK("https://twitter.com/NileshG45199368","@NileshG45199368")</f>
        <v>@NileshG45199368</v>
      </c>
      <c r="C15480" s="8" t="s">
        <v>5458</v>
      </c>
      <c r="D15480" s="8">
        <v>5</v>
      </c>
      <c r="E15480" s="8">
        <v>0</v>
      </c>
      <c r="F15480" s="8">
        <v>1428</v>
      </c>
    </row>
    <row r="15481" spans="1:6" ht="12.75">
      <c r="A15481" s="8">
        <v>43897.75304398148</v>
      </c>
      <c r="B15481" s="8" t="str">
        <f>HYPERLINK("https://twitter.com/Jco38680434","@Jco38680434")</f>
        <v>@Jco38680434</v>
      </c>
      <c r="C15481" s="8" t="s">
        <v>6301</v>
      </c>
      <c r="D15481" s="8">
        <v>0</v>
      </c>
      <c r="E15481" s="8">
        <v>0</v>
      </c>
      <c r="F15481" s="8">
        <v>0</v>
      </c>
    </row>
    <row r="15482" spans="1:6" ht="12.75">
      <c r="A15482" s="8">
        <v>43897.752650462964</v>
      </c>
      <c r="B15482" s="8" t="str">
        <f>HYPERLINK("https://twitter.com/kbrimaputo","@kbrimaputo")</f>
        <v>@kbrimaputo</v>
      </c>
      <c r="C15482" s="8" t="s">
        <v>6302</v>
      </c>
      <c r="D15482" s="8">
        <v>0</v>
      </c>
      <c r="E15482" s="8">
        <v>1</v>
      </c>
      <c r="F15482" s="8">
        <v>326</v>
      </c>
    </row>
    <row r="15483" spans="1:6" ht="12.75">
      <c r="A15483" s="8">
        <v>43897.752349537041</v>
      </c>
      <c r="B15483" s="8" t="str">
        <f>HYPERLINK("https://twitter.com/yoga_fixy","@yoga_fixy")</f>
        <v>@yoga_fixy</v>
      </c>
      <c r="C15483" s="8" t="s">
        <v>5934</v>
      </c>
      <c r="D15483" s="8">
        <v>14</v>
      </c>
      <c r="E15483" s="8">
        <v>0</v>
      </c>
      <c r="F15483" s="8">
        <v>481</v>
      </c>
    </row>
    <row r="15484" spans="1:6" ht="12.75">
      <c r="A15484" s="8">
        <v>43897.752164351856</v>
      </c>
      <c r="B15484" s="8" t="str">
        <f>HYPERLINK("https://twitter.com/strawrey","@strawrey")</f>
        <v>@strawrey</v>
      </c>
      <c r="C15484" s="8" t="s">
        <v>1376</v>
      </c>
      <c r="D15484" s="8">
        <v>21</v>
      </c>
      <c r="E15484" s="8">
        <v>0</v>
      </c>
      <c r="F15484" s="8">
        <v>659</v>
      </c>
    </row>
    <row r="15485" spans="1:6" ht="12.75">
      <c r="A15485" s="8">
        <v>43897.752152777779</v>
      </c>
      <c r="B15485" s="8" t="str">
        <f>HYPERLINK("https://twitter.com/sdupare300","@sdupare300")</f>
        <v>@sdupare300</v>
      </c>
      <c r="C15485" s="8" t="s">
        <v>5458</v>
      </c>
      <c r="D15485" s="8">
        <v>5</v>
      </c>
      <c r="E15485" s="8">
        <v>0</v>
      </c>
      <c r="F15485" s="8">
        <v>369</v>
      </c>
    </row>
    <row r="15486" spans="1:6" ht="12.75">
      <c r="A15486" s="8">
        <v>43897.752129629633</v>
      </c>
      <c r="B15486" s="8" t="str">
        <f>HYPERLINK("https://twitter.com/apt_for","@apt_for")</f>
        <v>@apt_for</v>
      </c>
      <c r="C15486" s="8" t="s">
        <v>6303</v>
      </c>
      <c r="D15486" s="8">
        <v>0</v>
      </c>
      <c r="E15486" s="8">
        <v>0</v>
      </c>
      <c r="F15486" s="8">
        <v>8</v>
      </c>
    </row>
    <row r="15487" spans="1:6" ht="12.75">
      <c r="A15487" s="8">
        <v>43897.751863425925</v>
      </c>
      <c r="B15487" s="8" t="str">
        <f>HYPERLINK("https://twitter.com/fulkmoon","@fulkmoon")</f>
        <v>@fulkmoon</v>
      </c>
      <c r="C15487" s="8" t="s">
        <v>3265</v>
      </c>
      <c r="D15487" s="8">
        <v>13</v>
      </c>
      <c r="E15487" s="8">
        <v>0</v>
      </c>
      <c r="F15487" s="8">
        <v>350</v>
      </c>
    </row>
    <row r="15488" spans="1:6" ht="12.75">
      <c r="A15488" s="8">
        <v>43897.751550925925</v>
      </c>
      <c r="B15488" s="8" t="str">
        <f>HYPERLINK("https://twitter.com/cherisshaf","@cherisshaf")</f>
        <v>@cherisshaf</v>
      </c>
      <c r="C15488" s="8" t="s">
        <v>5324</v>
      </c>
      <c r="D15488" s="8">
        <v>4</v>
      </c>
      <c r="E15488" s="8">
        <v>0</v>
      </c>
      <c r="F15488" s="8">
        <v>928</v>
      </c>
    </row>
    <row r="15489" spans="1:6" ht="12.75">
      <c r="A15489" s="8">
        <v>43897.751446759255</v>
      </c>
      <c r="B15489" s="8" t="str">
        <f>HYPERLINK("https://twitter.com/Juan37711","@Juan37711")</f>
        <v>@Juan37711</v>
      </c>
      <c r="C15489" s="8" t="s">
        <v>6250</v>
      </c>
      <c r="D15489" s="8">
        <v>1</v>
      </c>
      <c r="E15489" s="8">
        <v>0</v>
      </c>
      <c r="F15489" s="8">
        <v>980</v>
      </c>
    </row>
    <row r="15490" spans="1:6" ht="12.75">
      <c r="A15490" s="8">
        <v>43897.750694444447</v>
      </c>
      <c r="B15490" s="8" t="str">
        <f>HYPERLINK("https://twitter.com/Dewie34292319","@Dewie34292319")</f>
        <v>@Dewie34292319</v>
      </c>
      <c r="C15490" s="8" t="s">
        <v>5879</v>
      </c>
      <c r="D15490" s="8">
        <v>5</v>
      </c>
      <c r="E15490" s="8">
        <v>0</v>
      </c>
      <c r="F15490" s="8">
        <v>1835</v>
      </c>
    </row>
    <row r="15491" spans="1:6" ht="12.75">
      <c r="A15491" s="8">
        <v>43897.750416666662</v>
      </c>
      <c r="B15491" s="8" t="str">
        <f>HYPERLINK("https://twitter.com/ZeeFhana","@ZeeFhana")</f>
        <v>@ZeeFhana</v>
      </c>
      <c r="C15491" s="8" t="s">
        <v>6304</v>
      </c>
      <c r="D15491" s="8">
        <v>0</v>
      </c>
      <c r="E15491" s="8">
        <v>0</v>
      </c>
      <c r="F15491" s="8">
        <v>0</v>
      </c>
    </row>
    <row r="15492" spans="1:6" ht="12.75">
      <c r="A15492" s="8">
        <v>43897.750243055554</v>
      </c>
      <c r="B15492" s="8" t="str">
        <f>HYPERLINK("https://twitter.com/kridarwin","@kridarwin")</f>
        <v>@kridarwin</v>
      </c>
      <c r="C15492" s="8" t="s">
        <v>1376</v>
      </c>
      <c r="D15492" s="8">
        <v>21</v>
      </c>
      <c r="E15492" s="8">
        <v>0</v>
      </c>
      <c r="F15492" s="8">
        <v>3654</v>
      </c>
    </row>
    <row r="15493" spans="1:6" ht="12.75">
      <c r="A15493" s="8">
        <v>43897.75</v>
      </c>
      <c r="B15493" s="8" t="str">
        <f>HYPERLINK("https://twitter.com/cafebiru88","@cafebiru88")</f>
        <v>@cafebiru88</v>
      </c>
      <c r="C15493" s="8" t="s">
        <v>6305</v>
      </c>
      <c r="D15493" s="8">
        <v>0</v>
      </c>
      <c r="E15493" s="8">
        <v>0</v>
      </c>
      <c r="F15493" s="8">
        <v>18025</v>
      </c>
    </row>
    <row r="15494" spans="1:6" ht="12.75">
      <c r="A15494" s="8">
        <v>43897.749976851846</v>
      </c>
      <c r="B15494" s="8" t="str">
        <f>HYPERLINK("https://twitter.com/innovesian","@innovesian")</f>
        <v>@innovesian</v>
      </c>
      <c r="C15494" s="8" t="s">
        <v>5324</v>
      </c>
      <c r="D15494" s="8">
        <v>4</v>
      </c>
      <c r="E15494" s="8">
        <v>0</v>
      </c>
      <c r="F15494" s="8">
        <v>32163</v>
      </c>
    </row>
    <row r="15495" spans="1:6" ht="12.75">
      <c r="A15495" s="8">
        <v>43897.749768518523</v>
      </c>
      <c r="B15495" s="8" t="str">
        <f>HYPERLINK("https://twitter.com/akuluthfi","@akuluthfi")</f>
        <v>@akuluthfi</v>
      </c>
      <c r="C15495" s="8" t="s">
        <v>5324</v>
      </c>
      <c r="D15495" s="8">
        <v>4</v>
      </c>
      <c r="E15495" s="8">
        <v>0</v>
      </c>
      <c r="F15495" s="8">
        <v>2126</v>
      </c>
    </row>
    <row r="15496" spans="1:6" ht="12.75">
      <c r="A15496" s="8">
        <v>43897.74962962963</v>
      </c>
      <c r="B15496" s="8" t="str">
        <f>HYPERLINK("https://twitter.com/rulldarwis","@rulldarwis")</f>
        <v>@rulldarwis</v>
      </c>
      <c r="C15496" s="8" t="s">
        <v>6306</v>
      </c>
      <c r="D15496" s="8">
        <v>0</v>
      </c>
      <c r="E15496" s="8">
        <v>0</v>
      </c>
      <c r="F15496" s="8">
        <v>373</v>
      </c>
    </row>
    <row r="15497" spans="1:6" ht="12.75">
      <c r="A15497" s="8">
        <v>43897.749571759261</v>
      </c>
      <c r="B15497" s="8" t="str">
        <f>HYPERLINK("https://twitter.com/KompasTV","@KompasTV")</f>
        <v>@KompasTV</v>
      </c>
      <c r="C15497" s="8" t="s">
        <v>6307</v>
      </c>
      <c r="D15497" s="8">
        <v>1</v>
      </c>
      <c r="E15497" s="8">
        <v>4</v>
      </c>
      <c r="F15497" s="8">
        <v>2958380</v>
      </c>
    </row>
    <row r="15498" spans="1:6" ht="12.75">
      <c r="A15498" s="8">
        <v>43897.749305555553</v>
      </c>
      <c r="B15498" s="8" t="str">
        <f>HYPERLINK("https://twitter.com/kompascom","@kompascom")</f>
        <v>@kompascom</v>
      </c>
      <c r="C15498" s="8" t="s">
        <v>6308</v>
      </c>
      <c r="D15498" s="8">
        <v>4</v>
      </c>
      <c r="E15498" s="8">
        <v>8</v>
      </c>
      <c r="F15498" s="8">
        <v>7533364</v>
      </c>
    </row>
    <row r="15499" spans="1:6" ht="12.75">
      <c r="A15499" s="8">
        <v>43897.748877314814</v>
      </c>
      <c r="B15499" s="8" t="str">
        <f>HYPERLINK("https://twitter.com/AyundhaDewi2","@AyundhaDewi2")</f>
        <v>@AyundhaDewi2</v>
      </c>
      <c r="C15499" s="8" t="s">
        <v>6309</v>
      </c>
      <c r="D15499" s="8">
        <v>0</v>
      </c>
      <c r="E15499" s="8">
        <v>0</v>
      </c>
      <c r="F15499" s="8">
        <v>19</v>
      </c>
    </row>
    <row r="15500" spans="1:6" ht="12.75">
      <c r="A15500" s="8">
        <v>43897.748171296298</v>
      </c>
      <c r="B15500" s="8" t="str">
        <f>HYPERLINK("https://twitter.com/ArSunantoaris","@ArSunantoaris")</f>
        <v>@ArSunantoaris</v>
      </c>
      <c r="C15500" s="8" t="s">
        <v>5341</v>
      </c>
      <c r="D15500" s="8">
        <v>1</v>
      </c>
      <c r="E15500" s="8">
        <v>0</v>
      </c>
      <c r="F15500" s="8">
        <v>3791</v>
      </c>
    </row>
    <row r="15501" spans="1:6" ht="12.75">
      <c r="A15501" s="8">
        <v>43897.748032407406</v>
      </c>
      <c r="B15501" s="8" t="str">
        <f>HYPERLINK("https://twitter.com/Novirana1","@Novirana1")</f>
        <v>@Novirana1</v>
      </c>
      <c r="C15501" s="8" t="s">
        <v>5522</v>
      </c>
      <c r="D15501" s="8">
        <v>17</v>
      </c>
      <c r="E15501" s="8">
        <v>0</v>
      </c>
      <c r="F15501" s="8">
        <v>602</v>
      </c>
    </row>
    <row r="15502" spans="1:6" ht="12.75">
      <c r="A15502" s="8">
        <v>43897.747939814813</v>
      </c>
      <c r="B15502" s="8" t="str">
        <f>HYPERLINK("https://twitter.com/widarto72094379","@widarto72094379")</f>
        <v>@widarto72094379</v>
      </c>
      <c r="C15502" s="8" t="s">
        <v>6310</v>
      </c>
      <c r="D15502" s="8">
        <v>1</v>
      </c>
      <c r="E15502" s="8">
        <v>3</v>
      </c>
      <c r="F15502" s="8">
        <v>524</v>
      </c>
    </row>
    <row r="15503" spans="1:6" ht="12.75">
      <c r="A15503" s="8">
        <v>43897.747245370367</v>
      </c>
      <c r="B15503" s="8" t="str">
        <f>HYPERLINK("https://twitter.com/nkadlit","@nkadlit")</f>
        <v>@nkadlit</v>
      </c>
      <c r="C15503" s="8" t="s">
        <v>1376</v>
      </c>
      <c r="D15503" s="8">
        <v>21</v>
      </c>
      <c r="E15503" s="8">
        <v>0</v>
      </c>
      <c r="F15503" s="8">
        <v>127</v>
      </c>
    </row>
    <row r="15504" spans="1:6" ht="12.75">
      <c r="A15504" s="8">
        <v>43897.747071759259</v>
      </c>
      <c r="B15504" s="8" t="str">
        <f>HYPERLINK("https://twitter.com/10F01C0","@10F01C0")</f>
        <v>@10F01C0</v>
      </c>
      <c r="C15504" s="8" t="s">
        <v>1376</v>
      </c>
      <c r="D15504" s="8">
        <v>21</v>
      </c>
      <c r="E15504" s="8">
        <v>0</v>
      </c>
      <c r="F15504" s="8">
        <v>6</v>
      </c>
    </row>
    <row r="15505" spans="1:6" ht="12.75">
      <c r="A15505" s="8">
        <v>43897.746539351851</v>
      </c>
      <c r="B15505" s="8" t="str">
        <f>HYPERLINK("https://twitter.com/arian70","@arian70")</f>
        <v>@arian70</v>
      </c>
      <c r="C15505" s="8" t="s">
        <v>4175</v>
      </c>
      <c r="D15505" s="8">
        <v>13</v>
      </c>
      <c r="E15505" s="8">
        <v>0</v>
      </c>
      <c r="F15505" s="8">
        <v>72</v>
      </c>
    </row>
    <row r="15506" spans="1:6" ht="12.75">
      <c r="A15506" s="8">
        <v>43897.74628472222</v>
      </c>
      <c r="B15506" s="8" t="str">
        <f>HYPERLINK("https://twitter.com/riaudetilcom","@riaudetilcom")</f>
        <v>@riaudetilcom</v>
      </c>
      <c r="C15506" s="8" t="s">
        <v>6311</v>
      </c>
      <c r="D15506" s="8">
        <v>0</v>
      </c>
      <c r="E15506" s="8">
        <v>0</v>
      </c>
      <c r="F15506" s="8">
        <v>133</v>
      </c>
    </row>
    <row r="15507" spans="1:6" ht="12.75">
      <c r="A15507" s="8">
        <v>43897.745648148149</v>
      </c>
      <c r="B15507" s="8" t="str">
        <f>HYPERLINK("https://twitter.com/wahyuriatri","@wahyuriatri")</f>
        <v>@wahyuriatri</v>
      </c>
      <c r="C15507" s="8" t="s">
        <v>1376</v>
      </c>
      <c r="D15507" s="8">
        <v>21</v>
      </c>
      <c r="E15507" s="8">
        <v>0</v>
      </c>
      <c r="F15507" s="8">
        <v>418</v>
      </c>
    </row>
    <row r="15508" spans="1:6" ht="12.75">
      <c r="A15508" s="8">
        <v>43897.745636574073</v>
      </c>
      <c r="B15508" s="8" t="str">
        <f>HYPERLINK("https://twitter.com/liezmecom","@liezmecom")</f>
        <v>@liezmecom</v>
      </c>
      <c r="C15508" s="8" t="s">
        <v>1376</v>
      </c>
      <c r="D15508" s="8">
        <v>21</v>
      </c>
      <c r="E15508" s="8">
        <v>0</v>
      </c>
      <c r="F15508" s="8">
        <v>177</v>
      </c>
    </row>
    <row r="15509" spans="1:6" ht="12.75">
      <c r="A15509" s="8">
        <v>43897.745624999996</v>
      </c>
      <c r="B15509" s="8" t="str">
        <f>HYPERLINK("https://twitter.com/yudsus","@yudsus")</f>
        <v>@yudsus</v>
      </c>
      <c r="C15509" s="8" t="s">
        <v>4162</v>
      </c>
      <c r="D15509" s="8">
        <v>85</v>
      </c>
      <c r="E15509" s="8">
        <v>0</v>
      </c>
      <c r="F15509" s="8">
        <v>1263</v>
      </c>
    </row>
    <row r="15510" spans="1:6" ht="12.75">
      <c r="A15510" s="8">
        <v>43897.74554398148</v>
      </c>
      <c r="B15510" s="8" t="str">
        <f>HYPERLINK("https://twitter.com/rinichan02","@rinichan02")</f>
        <v>@rinichan02</v>
      </c>
      <c r="C15510" s="8" t="s">
        <v>1376</v>
      </c>
      <c r="D15510" s="8">
        <v>21</v>
      </c>
      <c r="E15510" s="8">
        <v>0</v>
      </c>
      <c r="F15510" s="8">
        <v>2859</v>
      </c>
    </row>
    <row r="15511" spans="1:6" ht="12.75">
      <c r="A15511" s="8">
        <v>43897.745520833334</v>
      </c>
      <c r="B15511" s="8" t="str">
        <f>HYPERLINK("https://twitter.com/bhillaalif","@bhillaalif")</f>
        <v>@bhillaalif</v>
      </c>
      <c r="C15511" s="8" t="s">
        <v>1376</v>
      </c>
      <c r="D15511" s="8">
        <v>21</v>
      </c>
      <c r="E15511" s="8">
        <v>0</v>
      </c>
      <c r="F15511" s="8">
        <v>369</v>
      </c>
    </row>
    <row r="15512" spans="1:6" ht="12.75">
      <c r="A15512" s="8">
        <v>43897.745393518519</v>
      </c>
      <c r="B15512" s="8" t="str">
        <f>HYPERLINK("https://twitter.com/Stellaakkp","@Stellaakkp")</f>
        <v>@Stellaakkp</v>
      </c>
      <c r="C15512" s="8" t="s">
        <v>1376</v>
      </c>
      <c r="D15512" s="8">
        <v>21</v>
      </c>
      <c r="E15512" s="8">
        <v>0</v>
      </c>
      <c r="F15512" s="8">
        <v>559</v>
      </c>
    </row>
    <row r="15513" spans="1:6" ht="12.75">
      <c r="A15513" s="8">
        <v>43897.745266203703</v>
      </c>
      <c r="B15513" s="8" t="str">
        <f>HYPERLINK("https://twitter.com/masjo2111","@masjo2111")</f>
        <v>@masjo2111</v>
      </c>
      <c r="C15513" s="8" t="s">
        <v>6312</v>
      </c>
      <c r="D15513" s="8">
        <v>0</v>
      </c>
      <c r="E15513" s="8">
        <v>0</v>
      </c>
      <c r="F15513" s="8">
        <v>154</v>
      </c>
    </row>
    <row r="15514" spans="1:6" ht="12.75">
      <c r="A15514" s="8">
        <v>43897.745243055557</v>
      </c>
      <c r="B15514" s="8" t="str">
        <f>HYPERLINK("https://twitter.com/satria_wibawa","@satria_wibawa")</f>
        <v>@satria_wibawa</v>
      </c>
      <c r="C15514" s="8" t="s">
        <v>6313</v>
      </c>
      <c r="D15514" s="8">
        <v>1</v>
      </c>
      <c r="E15514" s="8">
        <v>3</v>
      </c>
      <c r="F15514" s="8">
        <v>3712</v>
      </c>
    </row>
    <row r="15515" spans="1:6" ht="12.75">
      <c r="A15515" s="8">
        <v>43897.744837962964</v>
      </c>
      <c r="B15515" s="8" t="str">
        <f>HYPERLINK("https://twitter.com/tattock","@tattock")</f>
        <v>@tattock</v>
      </c>
      <c r="C15515" s="8" t="s">
        <v>1376</v>
      </c>
      <c r="D15515" s="8">
        <v>21</v>
      </c>
      <c r="E15515" s="8">
        <v>0</v>
      </c>
      <c r="F15515" s="8">
        <v>1155</v>
      </c>
    </row>
    <row r="15516" spans="1:6" ht="12.75">
      <c r="A15516" s="8">
        <v>43897.74391203704</v>
      </c>
      <c r="B15516" s="8" t="str">
        <f>HYPERLINK("https://twitter.com/SoniMsi07","@SoniMsi07")</f>
        <v>@SoniMsi07</v>
      </c>
      <c r="C15516" s="8" t="s">
        <v>4510</v>
      </c>
      <c r="D15516" s="8">
        <v>94</v>
      </c>
      <c r="E15516" s="8">
        <v>0</v>
      </c>
      <c r="F15516" s="8">
        <v>255</v>
      </c>
    </row>
    <row r="15517" spans="1:6" ht="12.75">
      <c r="A15517" s="8">
        <v>43897.743761574078</v>
      </c>
      <c r="B15517" s="8" t="str">
        <f>HYPERLINK("https://twitter.com/Dzmshari","@Dzmshari")</f>
        <v>@Dzmshari</v>
      </c>
      <c r="C15517" s="8" t="s">
        <v>3265</v>
      </c>
      <c r="D15517" s="8">
        <v>13</v>
      </c>
      <c r="E15517" s="8">
        <v>0</v>
      </c>
      <c r="F15517" s="8">
        <v>76</v>
      </c>
    </row>
    <row r="15518" spans="1:6" ht="12.75">
      <c r="A15518" s="8">
        <v>43897.743726851855</v>
      </c>
      <c r="B15518" s="8" t="str">
        <f>HYPERLINK("https://twitter.com/parkbekuni","@parkbekuni")</f>
        <v>@parkbekuni</v>
      </c>
      <c r="C15518" s="8" t="s">
        <v>4162</v>
      </c>
      <c r="D15518" s="8">
        <v>85</v>
      </c>
      <c r="E15518" s="8">
        <v>0</v>
      </c>
      <c r="F15518" s="8">
        <v>1689</v>
      </c>
    </row>
    <row r="15519" spans="1:6" ht="12.75">
      <c r="A15519" s="8">
        <v>43897.743692129632</v>
      </c>
      <c r="B15519" s="8" t="str">
        <f>HYPERLINK("https://twitter.com/mawaddahaziz99","@mawaddahaziz99")</f>
        <v>@mawaddahaziz99</v>
      </c>
      <c r="C15519" s="8" t="s">
        <v>1376</v>
      </c>
      <c r="D15519" s="8">
        <v>21</v>
      </c>
      <c r="E15519" s="8">
        <v>0</v>
      </c>
      <c r="F15519" s="8">
        <v>20</v>
      </c>
    </row>
    <row r="15520" spans="1:6" ht="12.75">
      <c r="A15520" s="8">
        <v>43897.743530092594</v>
      </c>
      <c r="B15520" s="8" t="str">
        <f>HYPERLINK("https://twitter.com/1101OI","@1101OI")</f>
        <v>@1101OI</v>
      </c>
      <c r="C15520" s="8" t="s">
        <v>1376</v>
      </c>
      <c r="D15520" s="8">
        <v>21</v>
      </c>
      <c r="E15520" s="8">
        <v>0</v>
      </c>
      <c r="F15520" s="8">
        <v>110</v>
      </c>
    </row>
    <row r="15521" spans="1:6" ht="12.75">
      <c r="A15521" s="8">
        <v>43897.743530092594</v>
      </c>
      <c r="B15521" s="8" t="str">
        <f>HYPERLINK("https://twitter.com/Realitarakyat01","@Realitarakyat01")</f>
        <v>@Realitarakyat01</v>
      </c>
      <c r="C15521" s="8" t="s">
        <v>6314</v>
      </c>
      <c r="D15521" s="8">
        <v>0</v>
      </c>
      <c r="E15521" s="8">
        <v>0</v>
      </c>
      <c r="F15521" s="8">
        <v>129</v>
      </c>
    </row>
    <row r="15522" spans="1:6" ht="12.75">
      <c r="A15522" s="8">
        <v>43897.743495370371</v>
      </c>
      <c r="B15522" s="8" t="str">
        <f>HYPERLINK("https://twitter.com/hazpohan","@hazpohan")</f>
        <v>@hazpohan</v>
      </c>
      <c r="C15522" s="8" t="s">
        <v>5522</v>
      </c>
      <c r="D15522" s="8">
        <v>17</v>
      </c>
      <c r="E15522" s="8">
        <v>0</v>
      </c>
      <c r="F15522" s="8">
        <v>13847</v>
      </c>
    </row>
    <row r="15523" spans="1:6" ht="12.75">
      <c r="A15523" s="8">
        <v>43897.743449074071</v>
      </c>
      <c r="B15523" s="8" t="str">
        <f>HYPERLINK("https://twitter.com/parkbekuni","@parkbekuni")</f>
        <v>@parkbekuni</v>
      </c>
      <c r="C15523" s="8" t="s">
        <v>2116</v>
      </c>
      <c r="D15523" s="8">
        <v>68</v>
      </c>
      <c r="E15523" s="8">
        <v>0</v>
      </c>
      <c r="F15523" s="8">
        <v>1689</v>
      </c>
    </row>
    <row r="15524" spans="1:6" ht="12.75">
      <c r="A15524" s="8">
        <v>43897.743402777778</v>
      </c>
      <c r="B15524" s="8" t="str">
        <f>HYPERLINK("https://twitter.com/alvd26","@alvd26")</f>
        <v>@alvd26</v>
      </c>
      <c r="C15524" s="8" t="s">
        <v>6315</v>
      </c>
      <c r="D15524" s="8">
        <v>175</v>
      </c>
      <c r="E15524" s="8">
        <v>0</v>
      </c>
      <c r="F15524" s="8">
        <v>1590</v>
      </c>
    </row>
    <row r="15525" spans="1:6" ht="12.75">
      <c r="A15525" s="8">
        <v>43897.743263888886</v>
      </c>
      <c r="B15525" s="8" t="str">
        <f>HYPERLINK("https://twitter.com/NitaSellya","@NitaSellya")</f>
        <v>@NitaSellya</v>
      </c>
      <c r="C15525" s="8" t="s">
        <v>1376</v>
      </c>
      <c r="D15525" s="8">
        <v>21</v>
      </c>
      <c r="E15525" s="8">
        <v>0</v>
      </c>
      <c r="F15525" s="8">
        <v>45294</v>
      </c>
    </row>
    <row r="15526" spans="1:6" ht="12.75">
      <c r="A15526" s="8">
        <v>43897.743125000001</v>
      </c>
      <c r="B15526" s="8" t="str">
        <f>HYPERLINK("https://twitter.com/gotargareyens","@gotargareyens")</f>
        <v>@gotargareyens</v>
      </c>
      <c r="C15526" s="8" t="s">
        <v>1376</v>
      </c>
      <c r="D15526" s="8">
        <v>21</v>
      </c>
      <c r="E15526" s="8">
        <v>0</v>
      </c>
      <c r="F15526" s="8">
        <v>529</v>
      </c>
    </row>
    <row r="15527" spans="1:6" ht="12.75">
      <c r="A15527" s="8">
        <v>43897.743090277778</v>
      </c>
      <c r="B15527" s="8" t="str">
        <f>HYPERLINK("https://twitter.com/Han_raha","@Han_raha")</f>
        <v>@Han_raha</v>
      </c>
      <c r="C15527" s="8" t="s">
        <v>1376</v>
      </c>
      <c r="D15527" s="8">
        <v>21</v>
      </c>
      <c r="E15527" s="8">
        <v>0</v>
      </c>
      <c r="F15527" s="8">
        <v>500</v>
      </c>
    </row>
    <row r="15528" spans="1:6" ht="12.75">
      <c r="A15528" s="8">
        <v>43897.74287037037</v>
      </c>
      <c r="B15528" s="8" t="str">
        <f>HYPERLINK("https://twitter.com/BoyMantouw","@BoyMantouw")</f>
        <v>@BoyMantouw</v>
      </c>
      <c r="C15528" s="8" t="s">
        <v>1376</v>
      </c>
      <c r="D15528" s="8">
        <v>21</v>
      </c>
      <c r="E15528" s="8">
        <v>0</v>
      </c>
      <c r="F15528" s="8">
        <v>668</v>
      </c>
    </row>
    <row r="15529" spans="1:6" ht="12.75">
      <c r="A15529" s="8">
        <v>43897.742800925931</v>
      </c>
      <c r="B15529" s="8" t="str">
        <f t="shared" ref="B15529:B15530" si="236">HYPERLINK("https://twitter.com/IdEmbassy_Seoul","@IdEmbassy_Seoul")</f>
        <v>@IdEmbassy_Seoul</v>
      </c>
      <c r="C15529" s="8" t="s">
        <v>1376</v>
      </c>
      <c r="D15529" s="8">
        <v>21</v>
      </c>
      <c r="E15529" s="8">
        <v>0</v>
      </c>
      <c r="F15529" s="8">
        <v>3886</v>
      </c>
    </row>
    <row r="15530" spans="1:6" ht="12.75">
      <c r="A15530" s="8">
        <v>43897.742777777778</v>
      </c>
      <c r="B15530" s="8" t="str">
        <f t="shared" si="236"/>
        <v>@IdEmbassy_Seoul</v>
      </c>
      <c r="C15530" s="8" t="s">
        <v>4162</v>
      </c>
      <c r="D15530" s="8">
        <v>85</v>
      </c>
      <c r="E15530" s="8">
        <v>0</v>
      </c>
      <c r="F15530" s="8">
        <v>3886</v>
      </c>
    </row>
    <row r="15531" spans="1:6" ht="12.75">
      <c r="A15531" s="8">
        <v>43897.742766203708</v>
      </c>
      <c r="B15531" s="8" t="str">
        <f>HYPERLINK("https://twitter.com/julieaza","@julieaza")</f>
        <v>@julieaza</v>
      </c>
      <c r="C15531" s="8" t="s">
        <v>4818</v>
      </c>
      <c r="D15531" s="8">
        <v>262</v>
      </c>
      <c r="E15531" s="8">
        <v>0</v>
      </c>
      <c r="F15531" s="8">
        <v>64</v>
      </c>
    </row>
    <row r="15532" spans="1:6" ht="12.75">
      <c r="A15532" s="8">
        <v>43897.742743055554</v>
      </c>
      <c r="B15532" s="8" t="str">
        <f>HYPERLINK("https://twitter.com/juliskecap","@juliskecap")</f>
        <v>@juliskecap</v>
      </c>
      <c r="C15532" s="8" t="s">
        <v>1376</v>
      </c>
      <c r="D15532" s="8">
        <v>21</v>
      </c>
      <c r="E15532" s="8">
        <v>0</v>
      </c>
      <c r="F15532" s="8">
        <v>542</v>
      </c>
    </row>
    <row r="15533" spans="1:6" ht="12.75">
      <c r="A15533" s="8">
        <v>43897.742731481485</v>
      </c>
      <c r="B15533" s="8" t="str">
        <f>HYPERLINK("https://twitter.com/IdEmbassy_Seoul","@IdEmbassy_Seoul")</f>
        <v>@IdEmbassy_Seoul</v>
      </c>
      <c r="C15533" s="8" t="s">
        <v>2116</v>
      </c>
      <c r="D15533" s="8">
        <v>68</v>
      </c>
      <c r="E15533" s="8">
        <v>0</v>
      </c>
      <c r="F15533" s="8">
        <v>3886</v>
      </c>
    </row>
    <row r="15534" spans="1:6" ht="12.75">
      <c r="A15534" s="8">
        <v>43897.742696759262</v>
      </c>
      <c r="B15534" s="8" t="str">
        <f>HYPERLINK("https://twitter.com/bukanahlisurgaa","@bukanahlisurgaa")</f>
        <v>@bukanahlisurgaa</v>
      </c>
      <c r="C15534" s="8" t="s">
        <v>1376</v>
      </c>
      <c r="D15534" s="8">
        <v>21</v>
      </c>
      <c r="E15534" s="8">
        <v>0</v>
      </c>
      <c r="F15534" s="8">
        <v>49</v>
      </c>
    </row>
    <row r="15535" spans="1:6" ht="12.75">
      <c r="A15535" s="8">
        <v>43897.742615740739</v>
      </c>
      <c r="B15535" s="8" t="str">
        <f>HYPERLINK("https://twitter.com/sulistjogja","@sulistjogja")</f>
        <v>@sulistjogja</v>
      </c>
      <c r="C15535" s="8" t="s">
        <v>6316</v>
      </c>
      <c r="D15535" s="8">
        <v>1</v>
      </c>
      <c r="E15535" s="8">
        <v>0</v>
      </c>
      <c r="F15535" s="8">
        <v>361</v>
      </c>
    </row>
    <row r="15536" spans="1:6" ht="12.75">
      <c r="A15536" s="8">
        <v>43897.742442129631</v>
      </c>
      <c r="B15536" s="8" t="str">
        <f>HYPERLINK("https://twitter.com/Kemlu_RI","@Kemlu_RI")</f>
        <v>@Kemlu_RI</v>
      </c>
      <c r="C15536" s="8" t="s">
        <v>6317</v>
      </c>
      <c r="D15536" s="8">
        <v>21</v>
      </c>
      <c r="E15536" s="8">
        <v>17</v>
      </c>
      <c r="F15536" s="8">
        <v>171048</v>
      </c>
    </row>
    <row r="15537" spans="1:6" ht="12.75">
      <c r="A15537" s="8">
        <v>43897.741423611107</v>
      </c>
      <c r="B15537" s="8" t="str">
        <f>HYPERLINK("https://twitter.com/HPeridia","@HPeridia")</f>
        <v>@HPeridia</v>
      </c>
      <c r="C15537" s="8" t="s">
        <v>4510</v>
      </c>
      <c r="D15537" s="8">
        <v>94</v>
      </c>
      <c r="E15537" s="8">
        <v>0</v>
      </c>
      <c r="F15537" s="8">
        <v>668</v>
      </c>
    </row>
    <row r="15538" spans="1:6" ht="12.75">
      <c r="A15538" s="8">
        <v>43897.741400462968</v>
      </c>
      <c r="B15538" s="8" t="str">
        <f>HYPERLINK("https://twitter.com/ditagar","@ditagar")</f>
        <v>@ditagar</v>
      </c>
      <c r="C15538" s="8" t="s">
        <v>6318</v>
      </c>
      <c r="D15538" s="8">
        <v>1</v>
      </c>
      <c r="E15538" s="8">
        <v>1</v>
      </c>
      <c r="F15538" s="8">
        <v>109</v>
      </c>
    </row>
    <row r="15539" spans="1:6" ht="12.75">
      <c r="A15539" s="8">
        <v>43897.740891203706</v>
      </c>
      <c r="B15539" s="8" t="str">
        <f>HYPERLINK("https://twitter.com/Mohammad3954587","@Mohammad3954587")</f>
        <v>@Mohammad3954587</v>
      </c>
      <c r="C15539" s="8" t="s">
        <v>6319</v>
      </c>
      <c r="D15539" s="8">
        <v>0</v>
      </c>
      <c r="E15539" s="8">
        <v>0</v>
      </c>
      <c r="F15539" s="8">
        <v>26</v>
      </c>
    </row>
    <row r="15540" spans="1:6" ht="12.75">
      <c r="A15540" s="8">
        <v>43897.740659722222</v>
      </c>
      <c r="B15540" s="8" t="str">
        <f>HYPERLINK("https://twitter.com/margaretaputr13","@margaretaputr13")</f>
        <v>@margaretaputr13</v>
      </c>
      <c r="C15540" s="8" t="s">
        <v>6320</v>
      </c>
      <c r="D15540" s="8">
        <v>3</v>
      </c>
      <c r="E15540" s="8">
        <v>0</v>
      </c>
      <c r="F15540" s="8">
        <v>416</v>
      </c>
    </row>
    <row r="15541" spans="1:6" ht="12.75">
      <c r="A15541" s="8">
        <v>43897.740393518514</v>
      </c>
      <c r="B15541" s="8" t="str">
        <f>HYPERLINK("https://twitter.com/genostlly","@genostlly")</f>
        <v>@genostlly</v>
      </c>
      <c r="C15541" s="8" t="s">
        <v>5879</v>
      </c>
      <c r="D15541" s="8">
        <v>5</v>
      </c>
      <c r="E15541" s="8">
        <v>0</v>
      </c>
      <c r="F15541" s="8">
        <v>726</v>
      </c>
    </row>
    <row r="15542" spans="1:6" ht="12.75">
      <c r="A15542" s="8">
        <v>43897.740335648152</v>
      </c>
      <c r="B15542" s="8" t="str">
        <f>HYPERLINK("https://twitter.com/RobertinoJoseph","@RobertinoJoseph")</f>
        <v>@RobertinoJoseph</v>
      </c>
      <c r="C15542" s="8" t="s">
        <v>6321</v>
      </c>
      <c r="D15542" s="8">
        <v>0</v>
      </c>
      <c r="E15542" s="8">
        <v>0</v>
      </c>
      <c r="F15542" s="8">
        <v>87</v>
      </c>
    </row>
    <row r="15543" spans="1:6" ht="12.75">
      <c r="A15543" s="8">
        <v>43897.740312499998</v>
      </c>
      <c r="B15543" s="8" t="str">
        <f>HYPERLINK("https://twitter.com/kompascom","@kompascom")</f>
        <v>@kompascom</v>
      </c>
      <c r="C15543" s="8" t="s">
        <v>6322</v>
      </c>
      <c r="D15543" s="8">
        <v>1</v>
      </c>
      <c r="E15543" s="8">
        <v>5</v>
      </c>
      <c r="F15543" s="8">
        <v>7533364</v>
      </c>
    </row>
    <row r="15544" spans="1:6" ht="12.75">
      <c r="A15544" s="8">
        <v>43897.740289351852</v>
      </c>
      <c r="B15544" s="8" t="str">
        <f>HYPERLINK("https://twitter.com/LanageJagat9","@LanageJagat9")</f>
        <v>@LanageJagat9</v>
      </c>
      <c r="C15544" s="8" t="s">
        <v>6323</v>
      </c>
      <c r="D15544" s="8">
        <v>0</v>
      </c>
      <c r="E15544" s="8">
        <v>0</v>
      </c>
      <c r="F15544" s="8">
        <v>6</v>
      </c>
    </row>
    <row r="15545" spans="1:6" ht="12.75">
      <c r="A15545" s="8">
        <v>43897.740208333329</v>
      </c>
      <c r="B15545" s="8" t="str">
        <f>HYPERLINK("https://twitter.com/agama_nusantara","@agama_nusantara")</f>
        <v>@agama_nusantara</v>
      </c>
      <c r="C15545" s="8" t="s">
        <v>6324</v>
      </c>
      <c r="D15545" s="8">
        <v>2</v>
      </c>
      <c r="E15545" s="8">
        <v>0</v>
      </c>
      <c r="F15545" s="8">
        <v>7428</v>
      </c>
    </row>
    <row r="15546" spans="1:6" ht="12.75">
      <c r="A15546" s="8">
        <v>43897.740127314813</v>
      </c>
      <c r="B15546" s="8" t="str">
        <f>HYPERLINK("https://twitter.com/Xaver25761586","@Xaver25761586")</f>
        <v>@Xaver25761586</v>
      </c>
      <c r="C15546" s="8" t="s">
        <v>3213</v>
      </c>
      <c r="D15546" s="8">
        <v>310</v>
      </c>
      <c r="E15546" s="8">
        <v>0</v>
      </c>
      <c r="F15546" s="8">
        <v>602</v>
      </c>
    </row>
    <row r="15547" spans="1:6" ht="12.75">
      <c r="A15547" s="8">
        <v>43897.739861111113</v>
      </c>
      <c r="B15547" s="8" t="str">
        <f>HYPERLINK("https://twitter.com/anggihawawi","@anggihawawi")</f>
        <v>@anggihawawi</v>
      </c>
      <c r="C15547" s="8" t="s">
        <v>6252</v>
      </c>
      <c r="D15547" s="8">
        <v>39</v>
      </c>
      <c r="E15547" s="8">
        <v>0</v>
      </c>
      <c r="F15547" s="8">
        <v>18</v>
      </c>
    </row>
    <row r="15548" spans="1:6" ht="12.75">
      <c r="A15548" s="8">
        <v>43897.739803240736</v>
      </c>
      <c r="B15548" s="8" t="str">
        <f>HYPERLINK("https://twitter.com/jojoerfan","@jojoerfan")</f>
        <v>@jojoerfan</v>
      </c>
      <c r="C15548" s="8" t="s">
        <v>3743</v>
      </c>
      <c r="D15548" s="8">
        <v>656</v>
      </c>
      <c r="E15548" s="8">
        <v>0</v>
      </c>
      <c r="F15548" s="8">
        <v>782</v>
      </c>
    </row>
    <row r="15549" spans="1:6" ht="12.75">
      <c r="A15549" s="8">
        <v>43897.739398148144</v>
      </c>
      <c r="B15549" s="8" t="str">
        <f>HYPERLINK("https://twitter.com/kukluxcats","@kukluxcats")</f>
        <v>@kukluxcats</v>
      </c>
      <c r="C15549" s="8" t="s">
        <v>6325</v>
      </c>
      <c r="D15549" s="8">
        <v>7</v>
      </c>
      <c r="E15549" s="8">
        <v>0</v>
      </c>
      <c r="F15549" s="8">
        <v>123</v>
      </c>
    </row>
    <row r="15550" spans="1:6" ht="12.75">
      <c r="A15550" s="8">
        <v>43897.739363425921</v>
      </c>
      <c r="B15550" s="8" t="str">
        <f>HYPERLINK("https://twitter.com/theSOWONG","@theSOWONG")</f>
        <v>@theSOWONG</v>
      </c>
      <c r="C15550" s="8" t="s">
        <v>3213</v>
      </c>
      <c r="D15550" s="8">
        <v>310</v>
      </c>
      <c r="E15550" s="8">
        <v>0</v>
      </c>
      <c r="F15550" s="8">
        <v>528</v>
      </c>
    </row>
    <row r="15551" spans="1:6" ht="12.75">
      <c r="A15551" s="8">
        <v>43897.739351851851</v>
      </c>
      <c r="B15551" s="8" t="str">
        <f>HYPERLINK("https://twitter.com/hanirusinta3","@hanirusinta3")</f>
        <v>@hanirusinta3</v>
      </c>
      <c r="C15551" s="8" t="s">
        <v>6326</v>
      </c>
      <c r="D15551" s="8">
        <v>0</v>
      </c>
      <c r="E15551" s="8">
        <v>0</v>
      </c>
      <c r="F15551" s="8">
        <v>32</v>
      </c>
    </row>
    <row r="15552" spans="1:6" ht="12.75">
      <c r="A15552" s="8">
        <v>43897.739293981482</v>
      </c>
      <c r="B15552" s="8" t="str">
        <f>HYPERLINK("https://twitter.com/badikrfai","@badikrfai")</f>
        <v>@badikrfai</v>
      </c>
      <c r="C15552" s="8" t="s">
        <v>6327</v>
      </c>
      <c r="D15552" s="8">
        <v>0</v>
      </c>
      <c r="E15552" s="8">
        <v>0</v>
      </c>
      <c r="F15552" s="8">
        <v>365</v>
      </c>
    </row>
    <row r="15553" spans="1:6" ht="12.75">
      <c r="A15553" s="8">
        <v>43897.738946759258</v>
      </c>
      <c r="B15553" s="8" t="str">
        <f>HYPERLINK("https://twitter.com/NgakanSuyasa","@NgakanSuyasa")</f>
        <v>@NgakanSuyasa</v>
      </c>
      <c r="C15553" s="8" t="s">
        <v>6328</v>
      </c>
      <c r="D15553" s="8">
        <v>0</v>
      </c>
      <c r="E15553" s="8">
        <v>0</v>
      </c>
      <c r="F15553" s="8">
        <v>47</v>
      </c>
    </row>
    <row r="15554" spans="1:6" ht="12.75">
      <c r="A15554" s="8">
        <v>43897.738842592589</v>
      </c>
      <c r="B15554" s="8" t="str">
        <f>HYPERLINK("https://twitter.com/topinfo_id","@topinfo_id")</f>
        <v>@topinfo_id</v>
      </c>
      <c r="C15554" s="8" t="s">
        <v>6329</v>
      </c>
      <c r="D15554" s="8">
        <v>0</v>
      </c>
      <c r="E15554" s="8">
        <v>0</v>
      </c>
      <c r="F15554" s="8">
        <v>53</v>
      </c>
    </row>
    <row r="15555" spans="1:6" ht="12.75">
      <c r="A15555" s="8">
        <v>43897.738252314812</v>
      </c>
      <c r="B15555" s="8" t="str">
        <f>HYPERLINK("https://twitter.com/Sumarwoto18","@Sumarwoto18")</f>
        <v>@Sumarwoto18</v>
      </c>
      <c r="C15555" s="8" t="s">
        <v>6315</v>
      </c>
      <c r="D15555" s="8">
        <v>175</v>
      </c>
      <c r="E15555" s="8">
        <v>0</v>
      </c>
      <c r="F15555" s="8">
        <v>1338</v>
      </c>
    </row>
    <row r="15556" spans="1:6" ht="12.75">
      <c r="A15556" s="8">
        <v>43897.737581018519</v>
      </c>
      <c r="B15556" s="8" t="str">
        <f>HYPERLINK("https://twitter.com/Ramrata04989837","@Ramrata04989837")</f>
        <v>@Ramrata04989837</v>
      </c>
      <c r="C15556" s="8" t="s">
        <v>5458</v>
      </c>
      <c r="D15556" s="8">
        <v>5</v>
      </c>
      <c r="E15556" s="8">
        <v>0</v>
      </c>
      <c r="F15556" s="8">
        <v>480</v>
      </c>
    </row>
    <row r="15557" spans="1:6" ht="12.75">
      <c r="A15557" s="8">
        <v>43897.737523148149</v>
      </c>
      <c r="B15557" s="8" t="str">
        <f>HYPERLINK("https://twitter.com/merdekadotcom","@merdekadotcom")</f>
        <v>@merdekadotcom</v>
      </c>
      <c r="C15557" s="8" t="s">
        <v>6330</v>
      </c>
      <c r="D15557" s="8">
        <v>0</v>
      </c>
      <c r="E15557" s="8">
        <v>0</v>
      </c>
      <c r="F15557" s="8">
        <v>231782</v>
      </c>
    </row>
    <row r="15558" spans="1:6" ht="12.75">
      <c r="A15558" s="8">
        <v>43897.737222222218</v>
      </c>
      <c r="B15558" s="8" t="str">
        <f>HYPERLINK("https://twitter.com/kustiana_best","@kustiana_best")</f>
        <v>@kustiana_best</v>
      </c>
      <c r="C15558" s="8" t="s">
        <v>3743</v>
      </c>
      <c r="D15558" s="8">
        <v>656</v>
      </c>
      <c r="E15558" s="8">
        <v>0</v>
      </c>
      <c r="F15558" s="8">
        <v>124</v>
      </c>
    </row>
    <row r="15559" spans="1:6" ht="12.75">
      <c r="A15559" s="8">
        <v>43897.73709490741</v>
      </c>
      <c r="B15559" s="8" t="str">
        <f>HYPERLINK("https://twitter.com/Cahyono71917056","@Cahyono71917056")</f>
        <v>@Cahyono71917056</v>
      </c>
      <c r="C15559" s="8" t="s">
        <v>6331</v>
      </c>
      <c r="D15559" s="8">
        <v>0</v>
      </c>
      <c r="E15559" s="8">
        <v>0</v>
      </c>
      <c r="F15559" s="8">
        <v>151</v>
      </c>
    </row>
    <row r="15560" spans="1:6" ht="12.75">
      <c r="A15560" s="8">
        <v>43897.736215277779</v>
      </c>
      <c r="B15560" s="8" t="str">
        <f>HYPERLINK("https://twitter.com/dteleer","@dteleer")</f>
        <v>@dteleer</v>
      </c>
      <c r="C15560" s="8" t="s">
        <v>3213</v>
      </c>
      <c r="D15560" s="8">
        <v>310</v>
      </c>
      <c r="E15560" s="8">
        <v>0</v>
      </c>
      <c r="F15560" s="8">
        <v>3828</v>
      </c>
    </row>
    <row r="15561" spans="1:6" ht="12.75">
      <c r="A15561" s="8">
        <v>43897.73609953704</v>
      </c>
      <c r="B15561" s="8" t="str">
        <f>HYPERLINK("https://twitter.com/AremaNita__","@AremaNita__")</f>
        <v>@AremaNita__</v>
      </c>
      <c r="C15561" s="8" t="s">
        <v>5934</v>
      </c>
      <c r="D15561" s="8">
        <v>14</v>
      </c>
      <c r="E15561" s="8">
        <v>0</v>
      </c>
      <c r="F15561" s="8">
        <v>8412</v>
      </c>
    </row>
    <row r="15562" spans="1:6" ht="12.75">
      <c r="A15562" s="8">
        <v>43897.735138888893</v>
      </c>
      <c r="B15562" s="8" t="str">
        <f>HYPERLINK("https://twitter.com/ed_tirta","@ed_tirta")</f>
        <v>@ed_tirta</v>
      </c>
      <c r="C15562" s="8" t="s">
        <v>6332</v>
      </c>
      <c r="D15562" s="8">
        <v>0</v>
      </c>
      <c r="E15562" s="8">
        <v>0</v>
      </c>
      <c r="F15562" s="8">
        <v>1145</v>
      </c>
    </row>
    <row r="15563" spans="1:6" ht="12.75">
      <c r="A15563" s="8">
        <v>43897.735034722224</v>
      </c>
      <c r="B15563" s="8" t="str">
        <f>HYPERLINK("https://twitter.com/sanchez_gunners","@sanchez_gunners")</f>
        <v>@sanchez_gunners</v>
      </c>
      <c r="C15563" s="8" t="s">
        <v>6333</v>
      </c>
      <c r="D15563" s="8">
        <v>0</v>
      </c>
      <c r="E15563" s="8">
        <v>0</v>
      </c>
      <c r="F15563" s="8">
        <v>36</v>
      </c>
    </row>
    <row r="15564" spans="1:6" ht="12.75">
      <c r="A15564" s="8">
        <v>43897.7340625</v>
      </c>
      <c r="B15564" s="8" t="str">
        <f>HYPERLINK("https://twitter.com/dwirama89009610","@dwirama89009610")</f>
        <v>@dwirama89009610</v>
      </c>
      <c r="C15564" s="8" t="s">
        <v>6320</v>
      </c>
      <c r="D15564" s="8">
        <v>3</v>
      </c>
      <c r="E15564" s="8">
        <v>0</v>
      </c>
      <c r="F15564" s="8">
        <v>240</v>
      </c>
    </row>
    <row r="15565" spans="1:6" ht="12.75">
      <c r="A15565" s="8">
        <v>43897.734027777777</v>
      </c>
      <c r="B15565" s="8" t="str">
        <f>HYPERLINK("https://twitter.com/MyselfViraj","@MyselfViraj")</f>
        <v>@MyselfViraj</v>
      </c>
      <c r="C15565" s="8" t="s">
        <v>5458</v>
      </c>
      <c r="D15565" s="8">
        <v>5</v>
      </c>
      <c r="E15565" s="8">
        <v>0</v>
      </c>
      <c r="F15565" s="8">
        <v>5065</v>
      </c>
    </row>
    <row r="15566" spans="1:6" ht="12.75">
      <c r="A15566" s="8">
        <v>43897.714386574073</v>
      </c>
      <c r="B15566" s="8" t="str">
        <f>HYPERLINK("https://twitter.com/ZAEffendy","@ZAEffendy")</f>
        <v>@ZAEffendy</v>
      </c>
      <c r="C15566" s="8" t="s">
        <v>6334</v>
      </c>
      <c r="D15566" s="8">
        <v>0</v>
      </c>
      <c r="E15566" s="8">
        <v>0</v>
      </c>
      <c r="F15566" s="8">
        <v>60204</v>
      </c>
    </row>
    <row r="15567" spans="1:6" ht="12.75">
      <c r="A15567" s="8">
        <v>43897.714386574073</v>
      </c>
      <c r="B15567" s="8" t="str">
        <f>HYPERLINK("https://twitter.com/jwhsibarani","@jwhsibarani")</f>
        <v>@jwhsibarani</v>
      </c>
      <c r="C15567" s="8" t="s">
        <v>6132</v>
      </c>
      <c r="D15567" s="8">
        <v>33</v>
      </c>
      <c r="E15567" s="8">
        <v>0</v>
      </c>
      <c r="F15567" s="8">
        <v>90</v>
      </c>
    </row>
    <row r="15568" spans="1:6" ht="12.75">
      <c r="A15568" s="8">
        <v>43897.714259259257</v>
      </c>
      <c r="B15568" s="8" t="str">
        <f t="shared" ref="B15568:B15569" si="237">HYPERLINK("https://twitter.com/AlifCena","@AlifCena")</f>
        <v>@AlifCena</v>
      </c>
      <c r="C15568" s="8" t="s">
        <v>1435</v>
      </c>
      <c r="D15568" s="8">
        <v>833</v>
      </c>
      <c r="E15568" s="8">
        <v>0</v>
      </c>
      <c r="F15568" s="8">
        <v>275</v>
      </c>
    </row>
    <row r="15569" spans="1:6" ht="12.75">
      <c r="A15569" s="8">
        <v>43897.713784722218</v>
      </c>
      <c r="B15569" s="8" t="str">
        <f t="shared" si="237"/>
        <v>@AlifCena</v>
      </c>
      <c r="C15569" s="8" t="s">
        <v>26</v>
      </c>
      <c r="D15569" s="8">
        <v>185</v>
      </c>
      <c r="E15569" s="8">
        <v>0</v>
      </c>
      <c r="F15569" s="8">
        <v>275</v>
      </c>
    </row>
    <row r="15570" spans="1:6" ht="12.75">
      <c r="A15570" s="8">
        <v>43897.713749999995</v>
      </c>
      <c r="B15570" s="8" t="str">
        <f>HYPERLINK("https://twitter.com/dedisetiawan30","@dedisetiawan30")</f>
        <v>@dedisetiawan30</v>
      </c>
      <c r="C15570" s="8" t="s">
        <v>5704</v>
      </c>
      <c r="D15570" s="8">
        <v>30</v>
      </c>
      <c r="E15570" s="8">
        <v>0</v>
      </c>
      <c r="F15570" s="8">
        <v>342</v>
      </c>
    </row>
    <row r="15571" spans="1:6" ht="12.75">
      <c r="A15571" s="8">
        <v>43897.713738425926</v>
      </c>
      <c r="B15571" s="8" t="str">
        <f>HYPERLINK("https://twitter.com/AlifCena","@AlifCena")</f>
        <v>@AlifCena</v>
      </c>
      <c r="C15571" s="8" t="s">
        <v>4785</v>
      </c>
      <c r="D15571" s="8">
        <v>501</v>
      </c>
      <c r="E15571" s="8">
        <v>0</v>
      </c>
      <c r="F15571" s="8">
        <v>275</v>
      </c>
    </row>
    <row r="15572" spans="1:6" ht="12.75">
      <c r="A15572" s="8">
        <v>43897.713101851856</v>
      </c>
      <c r="B15572" s="8" t="str">
        <f>HYPERLINK("https://twitter.com/WahyuHdytie","@WahyuHdytie")</f>
        <v>@WahyuHdytie</v>
      </c>
      <c r="C15572" s="8" t="s">
        <v>3743</v>
      </c>
      <c r="D15572" s="8">
        <v>648</v>
      </c>
      <c r="E15572" s="8">
        <v>0</v>
      </c>
      <c r="F15572" s="8">
        <v>751</v>
      </c>
    </row>
    <row r="15573" spans="1:6" ht="12.75">
      <c r="A15573" s="8">
        <v>43897.712534722217</v>
      </c>
      <c r="B15573" s="8" t="str">
        <f>HYPERLINK("https://twitter.com/bonihargens_","@bonihargens_")</f>
        <v>@bonihargens_</v>
      </c>
      <c r="C15573" s="8" t="s">
        <v>6335</v>
      </c>
      <c r="D15573" s="8">
        <v>0</v>
      </c>
      <c r="E15573" s="8">
        <v>0</v>
      </c>
      <c r="F15573" s="8">
        <v>18955</v>
      </c>
    </row>
    <row r="15574" spans="1:6" ht="12.75">
      <c r="A15574" s="8">
        <v>43897.712349537032</v>
      </c>
      <c r="B15574" s="8" t="str">
        <f>HYPERLINK("https://twitter.com/Antara_Jabar","@Antara_Jabar")</f>
        <v>@Antara_Jabar</v>
      </c>
      <c r="C15574" s="8" t="s">
        <v>6336</v>
      </c>
      <c r="D15574" s="8">
        <v>0</v>
      </c>
      <c r="E15574" s="8">
        <v>0</v>
      </c>
      <c r="F15574" s="8">
        <v>1663</v>
      </c>
    </row>
    <row r="15575" spans="1:6" ht="12.75">
      <c r="A15575" s="8">
        <v>43897.712187500001</v>
      </c>
      <c r="B15575" s="8" t="str">
        <f>HYPERLINK("https://twitter.com/andri_atnugroho","@andri_atnugroho")</f>
        <v>@andri_atnugroho</v>
      </c>
      <c r="C15575" s="8" t="s">
        <v>6337</v>
      </c>
      <c r="D15575" s="8">
        <v>0</v>
      </c>
      <c r="E15575" s="8">
        <v>0</v>
      </c>
      <c r="F15575" s="8">
        <v>154</v>
      </c>
    </row>
    <row r="15576" spans="1:6" ht="12.75">
      <c r="A15576" s="8">
        <v>43897.711631944447</v>
      </c>
      <c r="B15576" s="8" t="str">
        <f>HYPERLINK("https://twitter.com/Suroso60592134","@Suroso60592134")</f>
        <v>@Suroso60592134</v>
      </c>
      <c r="C15576" s="8" t="s">
        <v>3265</v>
      </c>
      <c r="D15576" s="8">
        <v>8</v>
      </c>
      <c r="E15576" s="8">
        <v>0</v>
      </c>
      <c r="F15576" s="8">
        <v>284</v>
      </c>
    </row>
    <row r="15577" spans="1:6" ht="12.75">
      <c r="A15577" s="8">
        <v>43897.711562500001</v>
      </c>
      <c r="B15577" s="8" t="str">
        <f>HYPERLINK("https://twitter.com/stelivena","@stelivena")</f>
        <v>@stelivena</v>
      </c>
      <c r="C15577" s="8" t="s">
        <v>6338</v>
      </c>
      <c r="D15577" s="8">
        <v>0</v>
      </c>
      <c r="E15577" s="8">
        <v>0</v>
      </c>
      <c r="F15577" s="8">
        <v>2</v>
      </c>
    </row>
    <row r="15578" spans="1:6" ht="12.75">
      <c r="A15578" s="8">
        <v>43897.711423611108</v>
      </c>
      <c r="B15578" s="8" t="str">
        <f>HYPERLINK("https://twitter.com/HarySetya","@HarySetya")</f>
        <v>@HarySetya</v>
      </c>
      <c r="C15578" s="8" t="s">
        <v>6339</v>
      </c>
      <c r="D15578" s="8">
        <v>0</v>
      </c>
      <c r="E15578" s="8">
        <v>0</v>
      </c>
      <c r="F15578" s="8">
        <v>187</v>
      </c>
    </row>
    <row r="15579" spans="1:6" ht="12.75">
      <c r="A15579" s="8">
        <v>43897.710532407407</v>
      </c>
      <c r="B15579" s="8" t="str">
        <f>HYPERLINK("https://twitter.com/Spider__matriX","@Spider__matriX")</f>
        <v>@Spider__matriX</v>
      </c>
      <c r="C15579" s="8" t="s">
        <v>5486</v>
      </c>
      <c r="D15579" s="8">
        <v>8</v>
      </c>
      <c r="E15579" s="8">
        <v>0</v>
      </c>
      <c r="F15579" s="8">
        <v>5016</v>
      </c>
    </row>
    <row r="15580" spans="1:6" ht="12.75">
      <c r="A15580" s="8">
        <v>43897.70988425926</v>
      </c>
      <c r="B15580" s="8" t="str">
        <f>HYPERLINK("https://twitter.com/kawananraja","@kawananraja")</f>
        <v>@kawananraja</v>
      </c>
      <c r="C15580" s="8" t="s">
        <v>6340</v>
      </c>
      <c r="D15580" s="8">
        <v>0</v>
      </c>
      <c r="E15580" s="8">
        <v>0</v>
      </c>
      <c r="F15580" s="8">
        <v>6195</v>
      </c>
    </row>
    <row r="15581" spans="1:6" ht="12.75">
      <c r="A15581" s="8">
        <v>43897.709409722222</v>
      </c>
      <c r="B15581" s="8" t="str">
        <f>HYPERLINK("https://twitter.com/Harian_Jogja","@Harian_Jogja")</f>
        <v>@Harian_Jogja</v>
      </c>
      <c r="C15581" s="8" t="s">
        <v>6341</v>
      </c>
      <c r="D15581" s="8">
        <v>0</v>
      </c>
      <c r="E15581" s="8">
        <v>0</v>
      </c>
      <c r="F15581" s="8">
        <v>155759</v>
      </c>
    </row>
    <row r="15582" spans="1:6" ht="12.75">
      <c r="A15582" s="8">
        <v>43897.709189814814</v>
      </c>
      <c r="B15582" s="8" t="str">
        <f>HYPERLINK("https://twitter.com/BangImam","@BangImam")</f>
        <v>@BangImam</v>
      </c>
      <c r="C15582" s="8" t="s">
        <v>5833</v>
      </c>
      <c r="D15582" s="8">
        <v>12</v>
      </c>
      <c r="E15582" s="8">
        <v>0</v>
      </c>
      <c r="F15582" s="8">
        <v>1190</v>
      </c>
    </row>
    <row r="15583" spans="1:6" ht="12.75">
      <c r="A15583" s="8">
        <v>43897.708993055552</v>
      </c>
      <c r="B15583" s="8" t="str">
        <f>HYPERLINK("https://twitter.com/DhimazAriya","@DhimazAriya")</f>
        <v>@DhimazAriya</v>
      </c>
      <c r="C15583" s="8" t="s">
        <v>5799</v>
      </c>
      <c r="D15583" s="8">
        <v>4</v>
      </c>
      <c r="E15583" s="8">
        <v>0</v>
      </c>
      <c r="F15583" s="8">
        <v>1725</v>
      </c>
    </row>
    <row r="15584" spans="1:6" ht="12.75">
      <c r="A15584" s="8">
        <v>43897.708657407406</v>
      </c>
      <c r="B15584" s="8" t="str">
        <f>HYPERLINK("https://twitter.com/ipungkurnia","@ipungkurnia")</f>
        <v>@ipungkurnia</v>
      </c>
      <c r="C15584" s="8" t="s">
        <v>3213</v>
      </c>
      <c r="D15584" s="8">
        <v>303</v>
      </c>
      <c r="E15584" s="8">
        <v>0</v>
      </c>
      <c r="F15584" s="8">
        <v>102</v>
      </c>
    </row>
    <row r="15585" spans="1:6" ht="12.75">
      <c r="A15585" s="8">
        <v>43897.708518518513</v>
      </c>
      <c r="B15585" s="8" t="str">
        <f>HYPERLINK("https://twitter.com/NanaKirana_","@NanaKirana_")</f>
        <v>@NanaKirana_</v>
      </c>
      <c r="C15585" s="8" t="s">
        <v>6342</v>
      </c>
      <c r="D15585" s="8">
        <v>0</v>
      </c>
      <c r="E15585" s="8">
        <v>0</v>
      </c>
      <c r="F15585" s="8">
        <v>254</v>
      </c>
    </row>
    <row r="15586" spans="1:6" ht="12.75">
      <c r="A15586" s="8">
        <v>43897.708472222221</v>
      </c>
      <c r="B15586" s="8" t="str">
        <f>HYPERLINK("https://twitter.com/Albertsantoso7","@Albertsantoso7")</f>
        <v>@Albertsantoso7</v>
      </c>
      <c r="C15586" s="8" t="s">
        <v>5103</v>
      </c>
      <c r="D15586" s="8">
        <v>191</v>
      </c>
      <c r="E15586" s="8">
        <v>0</v>
      </c>
      <c r="F15586" s="8">
        <v>63</v>
      </c>
    </row>
    <row r="15587" spans="1:6" ht="12.75">
      <c r="A15587" s="8">
        <v>43897.708067129628</v>
      </c>
      <c r="B15587" s="8" t="str">
        <f>HYPERLINK("https://twitter.com/manishahire","@manishahire")</f>
        <v>@manishahire</v>
      </c>
      <c r="C15587" s="8" t="s">
        <v>5458</v>
      </c>
      <c r="D15587" s="8">
        <v>1</v>
      </c>
      <c r="E15587" s="8">
        <v>0</v>
      </c>
      <c r="F15587" s="8">
        <v>485</v>
      </c>
    </row>
    <row r="15588" spans="1:6" ht="12.75">
      <c r="A15588" s="8">
        <v>43897.706527777773</v>
      </c>
      <c r="B15588" s="8" t="str">
        <f>HYPERLINK("https://twitter.com/AliObeng","@AliObeng")</f>
        <v>@AliObeng</v>
      </c>
      <c r="C15588" s="8" t="s">
        <v>5486</v>
      </c>
      <c r="D15588" s="8">
        <v>8</v>
      </c>
      <c r="E15588" s="8">
        <v>0</v>
      </c>
      <c r="F15588" s="8">
        <v>3860</v>
      </c>
    </row>
    <row r="15589" spans="1:6" ht="12.75">
      <c r="A15589" s="8">
        <v>43897.706516203703</v>
      </c>
      <c r="B15589" s="8" t="str">
        <f>HYPERLINK("https://twitter.com/ISIS_Balik_NO","@ISIS_Balik_NO")</f>
        <v>@ISIS_Balik_NO</v>
      </c>
      <c r="C15589" s="8" t="s">
        <v>6343</v>
      </c>
      <c r="D15589" s="8">
        <v>0</v>
      </c>
      <c r="E15589" s="8">
        <v>1</v>
      </c>
      <c r="F15589" s="8">
        <v>6127</v>
      </c>
    </row>
    <row r="15590" spans="1:6" ht="12.75">
      <c r="A15590" s="8">
        <v>43897.706365740742</v>
      </c>
      <c r="B15590" s="8" t="str">
        <f>HYPERLINK("https://twitter.com/halilintar8","@halilintar8")</f>
        <v>@halilintar8</v>
      </c>
      <c r="C15590" s="8" t="s">
        <v>5833</v>
      </c>
      <c r="D15590" s="8">
        <v>12</v>
      </c>
      <c r="E15590" s="8">
        <v>0</v>
      </c>
      <c r="F15590" s="8">
        <v>121</v>
      </c>
    </row>
    <row r="15591" spans="1:6" ht="12.75">
      <c r="A15591" s="8">
        <v>43897.706111111111</v>
      </c>
      <c r="B15591" s="8" t="str">
        <f>HYPERLINK("https://twitter.com/JohanGlorious","@JohanGlorious")</f>
        <v>@JohanGlorious</v>
      </c>
      <c r="C15591" s="8" t="s">
        <v>6344</v>
      </c>
      <c r="D15591" s="8">
        <v>0</v>
      </c>
      <c r="E15591" s="8">
        <v>0</v>
      </c>
      <c r="F15591" s="8">
        <v>3194</v>
      </c>
    </row>
    <row r="15592" spans="1:6" ht="12.75">
      <c r="A15592" s="8">
        <v>43897.705995370372</v>
      </c>
      <c r="B15592" s="8" t="str">
        <f>HYPERLINK("https://twitter.com/cakrabirawa186","@cakrabirawa186")</f>
        <v>@cakrabirawa186</v>
      </c>
      <c r="C15592" s="8" t="s">
        <v>6345</v>
      </c>
      <c r="D15592" s="8">
        <v>0</v>
      </c>
      <c r="E15592" s="8">
        <v>0</v>
      </c>
      <c r="F15592" s="8">
        <v>1038</v>
      </c>
    </row>
    <row r="15593" spans="1:6" ht="12.75">
      <c r="A15593" s="8">
        <v>43897.705532407403</v>
      </c>
      <c r="B15593" s="8" t="str">
        <f>HYPERLINK("https://twitter.com/aukankapaul","@aukankapaul")</f>
        <v>@aukankapaul</v>
      </c>
      <c r="C15593" s="8" t="s">
        <v>5704</v>
      </c>
      <c r="D15593" s="8">
        <v>30</v>
      </c>
      <c r="E15593" s="8">
        <v>0</v>
      </c>
      <c r="F15593" s="8">
        <v>189</v>
      </c>
    </row>
    <row r="15594" spans="1:6" ht="12.75">
      <c r="A15594" s="8">
        <v>43897.705370370371</v>
      </c>
      <c r="B15594" s="8" t="str">
        <f>HYPERLINK("https://twitter.com/ISIS_Balik_NO","@ISIS_Balik_NO")</f>
        <v>@ISIS_Balik_NO</v>
      </c>
      <c r="C15594" s="8" t="s">
        <v>6346</v>
      </c>
      <c r="D15594" s="8">
        <v>7</v>
      </c>
      <c r="E15594" s="8">
        <v>0</v>
      </c>
      <c r="F15594" s="8">
        <v>6127</v>
      </c>
    </row>
    <row r="15595" spans="1:6" ht="12.75">
      <c r="A15595" s="8">
        <v>43897.705335648148</v>
      </c>
      <c r="B15595" s="8" t="str">
        <f>HYPERLINK("https://twitter.com/ba_ger91","@ba_ger91")</f>
        <v>@ba_ger91</v>
      </c>
      <c r="C15595" s="8" t="s">
        <v>6347</v>
      </c>
      <c r="D15595" s="8">
        <v>0</v>
      </c>
      <c r="E15595" s="8">
        <v>1</v>
      </c>
      <c r="F15595" s="8">
        <v>1910</v>
      </c>
    </row>
    <row r="15596" spans="1:6" ht="12.75">
      <c r="A15596" s="8">
        <v>43897.70517361111</v>
      </c>
      <c r="B15596" s="8" t="str">
        <f>HYPERLINK("https://twitter.com/medcom_id","@medcom_id")</f>
        <v>@medcom_id</v>
      </c>
      <c r="C15596" s="8" t="s">
        <v>6348</v>
      </c>
      <c r="D15596" s="8">
        <v>0</v>
      </c>
      <c r="E15596" s="8">
        <v>0</v>
      </c>
      <c r="F15596" s="8">
        <v>18511</v>
      </c>
    </row>
    <row r="15597" spans="1:6" ht="12.75">
      <c r="A15597" s="8">
        <v>43897.705162037033</v>
      </c>
      <c r="B15597" s="8" t="str">
        <f t="shared" ref="B15597:B15598" si="238">HYPERLINK("https://twitter.com/ISIS_Balik_NO","@ISIS_Balik_NO")</f>
        <v>@ISIS_Balik_NO</v>
      </c>
      <c r="C15597" s="8" t="s">
        <v>6349</v>
      </c>
      <c r="D15597" s="8">
        <v>222</v>
      </c>
      <c r="E15597" s="8">
        <v>0</v>
      </c>
      <c r="F15597" s="8">
        <v>6127</v>
      </c>
    </row>
    <row r="15598" spans="1:6" ht="12.75">
      <c r="A15598" s="8">
        <v>43897.705011574071</v>
      </c>
      <c r="B15598" s="8" t="str">
        <f t="shared" si="238"/>
        <v>@ISIS_Balik_NO</v>
      </c>
      <c r="C15598" s="8" t="s">
        <v>6350</v>
      </c>
      <c r="D15598" s="8">
        <v>0</v>
      </c>
      <c r="E15598" s="8">
        <v>0</v>
      </c>
      <c r="F15598" s="8">
        <v>6127</v>
      </c>
    </row>
    <row r="15599" spans="1:6" ht="12.75">
      <c r="A15599" s="8">
        <v>43897.704861111109</v>
      </c>
      <c r="B15599" s="8" t="str">
        <f>HYPERLINK("https://twitter.com/hidupnanindah","@hidupnanindah")</f>
        <v>@hidupnanindah</v>
      </c>
      <c r="C15599" s="8" t="s">
        <v>6351</v>
      </c>
      <c r="D15599" s="8">
        <v>0</v>
      </c>
      <c r="E15599" s="8">
        <v>1</v>
      </c>
      <c r="F15599" s="8">
        <v>14973</v>
      </c>
    </row>
    <row r="15600" spans="1:6" ht="12.75">
      <c r="A15600" s="8">
        <v>43897.704733796301</v>
      </c>
      <c r="B15600" s="8" t="str">
        <f>HYPERLINK("https://twitter.com/jhony_yap","@jhony_yap")</f>
        <v>@jhony_yap</v>
      </c>
      <c r="C15600" s="8" t="s">
        <v>6352</v>
      </c>
      <c r="D15600" s="8">
        <v>1</v>
      </c>
      <c r="E15600" s="8">
        <v>0</v>
      </c>
      <c r="F15600" s="8">
        <v>151</v>
      </c>
    </row>
    <row r="15601" spans="1:6" ht="12.75">
      <c r="A15601" s="8">
        <v>43897.704548611116</v>
      </c>
      <c r="B15601" s="8" t="str">
        <f>HYPERLINK("https://twitter.com/Adon32279227","@Adon32279227")</f>
        <v>@Adon32279227</v>
      </c>
      <c r="C15601" s="8" t="s">
        <v>6353</v>
      </c>
      <c r="D15601" s="8">
        <v>0</v>
      </c>
      <c r="E15601" s="8">
        <v>0</v>
      </c>
      <c r="F15601" s="8">
        <v>235</v>
      </c>
    </row>
    <row r="15602" spans="1:6" ht="12.75">
      <c r="A15602" s="8">
        <v>43897.704456018517</v>
      </c>
      <c r="B15602" s="8" t="str">
        <f>HYPERLINK("https://twitter.com/ISIS_Balik_NO","@ISIS_Balik_NO")</f>
        <v>@ISIS_Balik_NO</v>
      </c>
      <c r="C15602" s="8" t="s">
        <v>6354</v>
      </c>
      <c r="D15602" s="8">
        <v>0</v>
      </c>
      <c r="E15602" s="8">
        <v>0</v>
      </c>
      <c r="F15602" s="8">
        <v>6127</v>
      </c>
    </row>
    <row r="15603" spans="1:6" ht="12.75">
      <c r="A15603" s="8">
        <v>43897.704074074078</v>
      </c>
      <c r="B15603" s="8" t="str">
        <f>HYPERLINK("https://twitter.com/ImBodhisattva","@ImBodhisattva")</f>
        <v>@ImBodhisattva</v>
      </c>
      <c r="C15603" s="8" t="s">
        <v>6355</v>
      </c>
      <c r="D15603" s="8">
        <v>1</v>
      </c>
      <c r="E15603" s="8">
        <v>2</v>
      </c>
      <c r="F15603" s="8">
        <v>481</v>
      </c>
    </row>
    <row r="15604" spans="1:6" ht="12.75">
      <c r="A15604" s="8">
        <v>43897.703796296293</v>
      </c>
      <c r="B15604" s="8" t="str">
        <f>HYPERLINK("https://twitter.com/ISIS_Balik_NO","@ISIS_Balik_NO")</f>
        <v>@ISIS_Balik_NO</v>
      </c>
      <c r="C15604" s="8" t="s">
        <v>6356</v>
      </c>
      <c r="D15604" s="8">
        <v>0</v>
      </c>
      <c r="E15604" s="8">
        <v>0</v>
      </c>
      <c r="F15604" s="8">
        <v>6127</v>
      </c>
    </row>
    <row r="15605" spans="1:6" ht="12.75">
      <c r="A15605" s="8">
        <v>43897.703692129631</v>
      </c>
      <c r="B15605" s="8" t="str">
        <f>HYPERLINK("https://twitter.com/simanjuntak_eni","@simanjuntak_eni")</f>
        <v>@simanjuntak_eni</v>
      </c>
      <c r="C15605" s="8" t="s">
        <v>6357</v>
      </c>
      <c r="D15605" s="8">
        <v>0</v>
      </c>
      <c r="E15605" s="8">
        <v>0</v>
      </c>
      <c r="F15605" s="8">
        <v>3</v>
      </c>
    </row>
    <row r="15606" spans="1:6" ht="12.75">
      <c r="A15606" s="8">
        <v>43897.7034837963</v>
      </c>
      <c r="B15606" s="8" t="str">
        <f>HYPERLINK("https://twitter.com/jerry_gemini","@jerry_gemini")</f>
        <v>@jerry_gemini</v>
      </c>
      <c r="C15606" s="8" t="s">
        <v>6358</v>
      </c>
      <c r="D15606" s="8">
        <v>0</v>
      </c>
      <c r="E15606" s="8">
        <v>0</v>
      </c>
      <c r="F15606" s="8">
        <v>2201</v>
      </c>
    </row>
    <row r="15607" spans="1:6" ht="12.75">
      <c r="A15607" s="8">
        <v>43897.7034837963</v>
      </c>
      <c r="B15607" s="8" t="str">
        <f>HYPERLINK("https://twitter.com/piyuanker12","@piyuanker12")</f>
        <v>@piyuanker12</v>
      </c>
      <c r="C15607" s="8" t="s">
        <v>6359</v>
      </c>
      <c r="D15607" s="8">
        <v>2</v>
      </c>
      <c r="E15607" s="8">
        <v>0</v>
      </c>
      <c r="F15607" s="8">
        <v>3751</v>
      </c>
    </row>
    <row r="15608" spans="1:6" ht="12.75">
      <c r="A15608" s="8">
        <v>43897.703101851846</v>
      </c>
      <c r="B15608" s="8" t="str">
        <f>HYPERLINK("https://twitter.com/PieterHartje","@PieterHartje")</f>
        <v>@PieterHartje</v>
      </c>
      <c r="C15608" s="8" t="s">
        <v>6360</v>
      </c>
      <c r="D15608" s="8">
        <v>1</v>
      </c>
      <c r="E15608" s="8">
        <v>0</v>
      </c>
      <c r="F15608" s="8">
        <v>242</v>
      </c>
    </row>
    <row r="15609" spans="1:6" ht="12.75">
      <c r="A15609" s="8">
        <v>43897.703043981484</v>
      </c>
      <c r="B15609" s="8" t="str">
        <f t="shared" ref="B15609:B15610" si="239">HYPERLINK("https://twitter.com/piyuanker12","@piyuanker12")</f>
        <v>@piyuanker12</v>
      </c>
      <c r="C15609" s="8" t="s">
        <v>6361</v>
      </c>
      <c r="D15609" s="8">
        <v>1</v>
      </c>
      <c r="E15609" s="8">
        <v>0</v>
      </c>
      <c r="F15609" s="8">
        <v>3751</v>
      </c>
    </row>
    <row r="15610" spans="1:6" ht="12.75">
      <c r="A15610" s="8">
        <v>43897.702615740738</v>
      </c>
      <c r="B15610" s="8" t="str">
        <f t="shared" si="239"/>
        <v>@piyuanker12</v>
      </c>
      <c r="C15610" s="8" t="s">
        <v>6362</v>
      </c>
      <c r="D15610" s="8">
        <v>4</v>
      </c>
      <c r="E15610" s="8">
        <v>0</v>
      </c>
      <c r="F15610" s="8">
        <v>3751</v>
      </c>
    </row>
    <row r="15611" spans="1:6" ht="12.75">
      <c r="A15611" s="8">
        <v>43897.702581018515</v>
      </c>
      <c r="B15611" s="8" t="str">
        <f>HYPERLINK("https://twitter.com/BahasaHati6","@BahasaHati6")</f>
        <v>@BahasaHati6</v>
      </c>
      <c r="C15611" s="8" t="s">
        <v>6363</v>
      </c>
      <c r="D15611" s="8">
        <v>0</v>
      </c>
      <c r="E15611" s="8">
        <v>0</v>
      </c>
      <c r="F15611" s="8">
        <v>3643</v>
      </c>
    </row>
    <row r="15612" spans="1:6" ht="12.75">
      <c r="A15612" s="8">
        <v>43897.702534722222</v>
      </c>
      <c r="B15612" s="8" t="str">
        <f>HYPERLINK("https://twitter.com/devimanda5","@devimanda5")</f>
        <v>@devimanda5</v>
      </c>
      <c r="C15612" s="8" t="s">
        <v>6132</v>
      </c>
      <c r="D15612" s="8">
        <v>33</v>
      </c>
      <c r="E15612" s="8">
        <v>0</v>
      </c>
      <c r="F15612" s="8">
        <v>164</v>
      </c>
    </row>
    <row r="15613" spans="1:6" ht="12.75">
      <c r="A15613" s="8">
        <v>43897.702523148153</v>
      </c>
      <c r="B15613" s="8" t="str">
        <f>HYPERLINK("https://twitter.com/ISIS_Balik_NO","@ISIS_Balik_NO")</f>
        <v>@ISIS_Balik_NO</v>
      </c>
      <c r="C15613" s="8" t="s">
        <v>6364</v>
      </c>
      <c r="D15613" s="8">
        <v>64</v>
      </c>
      <c r="E15613" s="8">
        <v>0</v>
      </c>
      <c r="F15613" s="8">
        <v>6127</v>
      </c>
    </row>
    <row r="15614" spans="1:6" ht="12.75">
      <c r="A15614" s="8">
        <v>43897.702511574069</v>
      </c>
      <c r="B15614" s="8" t="str">
        <f>HYPERLINK("https://twitter.com/devimanda5","@devimanda5")</f>
        <v>@devimanda5</v>
      </c>
      <c r="C15614" s="8" t="s">
        <v>6252</v>
      </c>
      <c r="D15614" s="8">
        <v>38</v>
      </c>
      <c r="E15614" s="8">
        <v>0</v>
      </c>
      <c r="F15614" s="8">
        <v>164</v>
      </c>
    </row>
    <row r="15615" spans="1:6" ht="12.75">
      <c r="A15615" s="8">
        <v>43897.702349537038</v>
      </c>
      <c r="B15615" s="8" t="str">
        <f>HYPERLINK("https://twitter.com/doprico","@doprico")</f>
        <v>@doprico</v>
      </c>
      <c r="C15615" s="8" t="s">
        <v>5799</v>
      </c>
      <c r="D15615" s="8">
        <v>4</v>
      </c>
      <c r="E15615" s="8">
        <v>0</v>
      </c>
      <c r="F15615" s="8">
        <v>328</v>
      </c>
    </row>
    <row r="15616" spans="1:6" ht="12.75">
      <c r="A15616" s="8">
        <v>43897.702326388884</v>
      </c>
      <c r="B15616" s="8" t="str">
        <f>HYPERLINK("https://twitter.com/devimanda5","@devimanda5")</f>
        <v>@devimanda5</v>
      </c>
      <c r="C15616" s="8" t="s">
        <v>6245</v>
      </c>
      <c r="D15616" s="8">
        <v>6</v>
      </c>
      <c r="E15616" s="8">
        <v>0</v>
      </c>
      <c r="F15616" s="8">
        <v>164</v>
      </c>
    </row>
    <row r="15617" spans="1:6" ht="12.75">
      <c r="A15617" s="8">
        <v>43897.702152777776</v>
      </c>
      <c r="B15617" s="8" t="str">
        <f>HYPERLINK("https://twitter.com/piyuanker12","@piyuanker12")</f>
        <v>@piyuanker12</v>
      </c>
      <c r="C15617" s="8" t="s">
        <v>6365</v>
      </c>
      <c r="D15617" s="8">
        <v>1</v>
      </c>
      <c r="E15617" s="8">
        <v>0</v>
      </c>
      <c r="F15617" s="8">
        <v>3751</v>
      </c>
    </row>
    <row r="15618" spans="1:6" ht="12.75">
      <c r="A15618" s="8">
        <v>43897.701979166668</v>
      </c>
      <c r="B15618" s="8" t="str">
        <f>HYPERLINK("https://twitter.com/ceknricekcom_id","@ceknricekcom_id")</f>
        <v>@ceknricekcom_id</v>
      </c>
      <c r="C15618" s="8" t="s">
        <v>6366</v>
      </c>
      <c r="D15618" s="8">
        <v>0</v>
      </c>
      <c r="E15618" s="8">
        <v>0</v>
      </c>
      <c r="F15618" s="8">
        <v>29571</v>
      </c>
    </row>
    <row r="15619" spans="1:6" ht="12.75">
      <c r="A15619" s="8">
        <v>43897.701956018514</v>
      </c>
      <c r="B15619" s="8" t="str">
        <f>HYPERLINK("https://twitter.com/Yd_Arielz","@Yd_Arielz")</f>
        <v>@Yd_Arielz</v>
      </c>
      <c r="C15619" s="8" t="s">
        <v>4510</v>
      </c>
      <c r="D15619" s="8">
        <v>89</v>
      </c>
      <c r="E15619" s="8">
        <v>0</v>
      </c>
      <c r="F15619" s="8">
        <v>465</v>
      </c>
    </row>
    <row r="15620" spans="1:6" ht="12.75">
      <c r="A15620" s="8">
        <v>43897.70144675926</v>
      </c>
      <c r="B15620" s="8" t="str">
        <f>HYPERLINK("https://twitter.com/eddy_qassam","@eddy_qassam")</f>
        <v>@eddy_qassam</v>
      </c>
      <c r="C15620" s="8" t="s">
        <v>3265</v>
      </c>
      <c r="D15620" s="8">
        <v>8</v>
      </c>
      <c r="E15620" s="8">
        <v>0</v>
      </c>
      <c r="F15620" s="8">
        <v>44</v>
      </c>
    </row>
    <row r="15621" spans="1:6" ht="12.75">
      <c r="A15621" s="8">
        <v>43897.701435185183</v>
      </c>
      <c r="B15621" s="8" t="str">
        <f>HYPERLINK("https://twitter.com/GATRA_News","@GATRA_News")</f>
        <v>@GATRA_News</v>
      </c>
      <c r="C15621" s="8" t="s">
        <v>6367</v>
      </c>
      <c r="D15621" s="8">
        <v>0</v>
      </c>
      <c r="E15621" s="8">
        <v>0</v>
      </c>
      <c r="F15621" s="8">
        <v>23177</v>
      </c>
    </row>
    <row r="15622" spans="1:6" ht="12.75">
      <c r="A15622" s="8">
        <v>43897.701365740737</v>
      </c>
      <c r="B15622" s="8" t="str">
        <f>HYPERLINK("https://twitter.com/aulia2199","@aulia2199")</f>
        <v>@aulia2199</v>
      </c>
      <c r="C15622" s="8" t="s">
        <v>5103</v>
      </c>
      <c r="D15622" s="8">
        <v>191</v>
      </c>
      <c r="E15622" s="8">
        <v>0</v>
      </c>
      <c r="F15622" s="8">
        <v>127</v>
      </c>
    </row>
    <row r="15623" spans="1:6" ht="12.75">
      <c r="A15623" s="8">
        <v>43897.701203703706</v>
      </c>
      <c r="B15623" s="8" t="str">
        <f>HYPERLINK("https://twitter.com/LaingenLisa","@LaingenLisa")</f>
        <v>@LaingenLisa</v>
      </c>
      <c r="C15623" s="8" t="s">
        <v>6132</v>
      </c>
      <c r="D15623" s="8">
        <v>33</v>
      </c>
      <c r="E15623" s="8">
        <v>0</v>
      </c>
      <c r="F15623" s="8">
        <v>3642</v>
      </c>
    </row>
    <row r="15624" spans="1:6" ht="12.75">
      <c r="A15624" s="8">
        <v>43897.701087962967</v>
      </c>
      <c r="B15624" s="8" t="str">
        <f>HYPERLINK("https://twitter.com/dwirama89009610","@dwirama89009610")</f>
        <v>@dwirama89009610</v>
      </c>
      <c r="C15624" s="8" t="s">
        <v>4510</v>
      </c>
      <c r="D15624" s="8">
        <v>89</v>
      </c>
      <c r="E15624" s="8">
        <v>0</v>
      </c>
      <c r="F15624" s="8">
        <v>238</v>
      </c>
    </row>
    <row r="15625" spans="1:6" ht="12.75">
      <c r="A15625" s="8">
        <v>43897.70076388889</v>
      </c>
      <c r="B15625" s="8" t="str">
        <f>HYPERLINK("https://twitter.com/BahasaHati6","@BahasaHati6")</f>
        <v>@BahasaHati6</v>
      </c>
      <c r="C15625" s="8" t="s">
        <v>5486</v>
      </c>
      <c r="D15625" s="8">
        <v>8</v>
      </c>
      <c r="E15625" s="8">
        <v>0</v>
      </c>
      <c r="F15625" s="8">
        <v>3643</v>
      </c>
    </row>
    <row r="15626" spans="1:6" ht="12.75">
      <c r="A15626" s="8">
        <v>43897.700752314813</v>
      </c>
      <c r="B15626" s="8" t="str">
        <f>HYPERLINK("https://twitter.com/nafriliani9","@nafriliani9")</f>
        <v>@nafriliani9</v>
      </c>
      <c r="C15626" s="8" t="s">
        <v>5833</v>
      </c>
      <c r="D15626" s="8">
        <v>12</v>
      </c>
      <c r="E15626" s="8">
        <v>0</v>
      </c>
      <c r="F15626" s="8">
        <v>247</v>
      </c>
    </row>
    <row r="15627" spans="1:6" ht="12.75">
      <c r="A15627" s="8">
        <v>43897.700590277775</v>
      </c>
      <c r="B15627" s="8" t="str">
        <f>HYPERLINK("https://twitter.com/piyuanker12","@piyuanker12")</f>
        <v>@piyuanker12</v>
      </c>
      <c r="C15627" s="8" t="s">
        <v>6120</v>
      </c>
      <c r="D15627" s="8">
        <v>7</v>
      </c>
      <c r="E15627" s="8">
        <v>0</v>
      </c>
      <c r="F15627" s="8">
        <v>3751</v>
      </c>
    </row>
    <row r="15628" spans="1:6" ht="12.75">
      <c r="A15628" s="8">
        <v>43897.70040509259</v>
      </c>
      <c r="B15628" s="8" t="str">
        <f>HYPERLINK("https://twitter.com/kawalnkri_","@kawalnkri_")</f>
        <v>@kawalnkri_</v>
      </c>
      <c r="C15628" s="8" t="s">
        <v>6368</v>
      </c>
      <c r="D15628" s="8">
        <v>1</v>
      </c>
      <c r="E15628" s="8">
        <v>2</v>
      </c>
      <c r="F15628" s="8">
        <v>95</v>
      </c>
    </row>
    <row r="15629" spans="1:6" ht="12.75">
      <c r="A15629" s="8">
        <v>43897.700011574074</v>
      </c>
      <c r="B15629" s="8" t="str">
        <f t="shared" ref="B15629:B15630" si="240">HYPERLINK("https://twitter.com/dwirama89009610","@dwirama89009610")</f>
        <v>@dwirama89009610</v>
      </c>
      <c r="C15629" s="8" t="s">
        <v>6132</v>
      </c>
      <c r="D15629" s="8">
        <v>33</v>
      </c>
      <c r="E15629" s="8">
        <v>0</v>
      </c>
      <c r="F15629" s="8">
        <v>238</v>
      </c>
    </row>
    <row r="15630" spans="1:6" ht="12.75">
      <c r="A15630" s="8">
        <v>43897.7</v>
      </c>
      <c r="B15630" s="8" t="str">
        <f t="shared" si="240"/>
        <v>@dwirama89009610</v>
      </c>
      <c r="C15630" s="8" t="s">
        <v>6252</v>
      </c>
      <c r="D15630" s="8">
        <v>38</v>
      </c>
      <c r="E15630" s="8">
        <v>0</v>
      </c>
      <c r="F15630" s="8">
        <v>238</v>
      </c>
    </row>
    <row r="15631" spans="1:6" ht="12.75">
      <c r="A15631" s="8">
        <v>43897.699814814812</v>
      </c>
      <c r="B15631" s="8" t="str">
        <f>HYPERLINK("https://twitter.com/LaingenLisa","@LaingenLisa")</f>
        <v>@LaingenLisa</v>
      </c>
      <c r="C15631" s="8" t="s">
        <v>5833</v>
      </c>
      <c r="D15631" s="8">
        <v>12</v>
      </c>
      <c r="E15631" s="8">
        <v>0</v>
      </c>
      <c r="F15631" s="8">
        <v>3642</v>
      </c>
    </row>
    <row r="15632" spans="1:6" ht="12.75">
      <c r="A15632" s="8">
        <v>43897.699733796297</v>
      </c>
      <c r="B15632" s="8" t="str">
        <f>HYPERLINK("https://twitter.com/dwirama89009610","@dwirama89009610")</f>
        <v>@dwirama89009610</v>
      </c>
      <c r="C15632" s="8" t="s">
        <v>6245</v>
      </c>
      <c r="D15632" s="8">
        <v>6</v>
      </c>
      <c r="E15632" s="8">
        <v>0</v>
      </c>
      <c r="F15632" s="8">
        <v>238</v>
      </c>
    </row>
    <row r="15633" spans="1:6" ht="12.75">
      <c r="A15633" s="8">
        <v>43897.699293981481</v>
      </c>
      <c r="B15633" s="8" t="str">
        <f>HYPERLINK("https://twitter.com/joersvip","@joersvip")</f>
        <v>@joersvip</v>
      </c>
      <c r="C15633" s="8" t="s">
        <v>5833</v>
      </c>
      <c r="D15633" s="8">
        <v>12</v>
      </c>
      <c r="E15633" s="8">
        <v>0</v>
      </c>
      <c r="F15633" s="8">
        <v>1</v>
      </c>
    </row>
    <row r="15634" spans="1:6" ht="12.75">
      <c r="A15634" s="8">
        <v>43897.699004629627</v>
      </c>
      <c r="B15634" s="8" t="str">
        <f>HYPERLINK("https://twitter.com/aldofrizi4","@aldofrizi4")</f>
        <v>@aldofrizi4</v>
      </c>
      <c r="C15634" s="8" t="s">
        <v>4818</v>
      </c>
      <c r="D15634" s="8">
        <v>257</v>
      </c>
      <c r="E15634" s="8">
        <v>0</v>
      </c>
      <c r="F15634" s="8">
        <v>20</v>
      </c>
    </row>
    <row r="15635" spans="1:6" ht="12.75">
      <c r="A15635" s="8">
        <v>43897.698831018519</v>
      </c>
      <c r="B15635" s="8" t="str">
        <f>HYPERLINK("https://twitter.com/visitortwt1","@visitortwt1")</f>
        <v>@visitortwt1</v>
      </c>
      <c r="C15635" s="8" t="s">
        <v>4510</v>
      </c>
      <c r="D15635" s="8">
        <v>89</v>
      </c>
      <c r="E15635" s="8">
        <v>0</v>
      </c>
      <c r="F15635" s="8">
        <v>430</v>
      </c>
    </row>
    <row r="15636" spans="1:6" ht="12.75">
      <c r="A15636" s="8">
        <v>43897.698807870373</v>
      </c>
      <c r="B15636" s="8" t="str">
        <f>HYPERLINK("https://twitter.com/jwhsibarani","@jwhsibarani")</f>
        <v>@jwhsibarani</v>
      </c>
      <c r="C15636" s="8" t="s">
        <v>4510</v>
      </c>
      <c r="D15636" s="8">
        <v>89</v>
      </c>
      <c r="E15636" s="8">
        <v>0</v>
      </c>
      <c r="F15636" s="8">
        <v>90</v>
      </c>
    </row>
    <row r="15637" spans="1:6" ht="12.75">
      <c r="A15637" s="8">
        <v>43897.698541666672</v>
      </c>
      <c r="B15637" s="8" t="str">
        <f>HYPERLINK("https://twitter.com/tuqul","@tuqul")</f>
        <v>@tuqul</v>
      </c>
      <c r="C15637" s="8" t="s">
        <v>6369</v>
      </c>
      <c r="D15637" s="8">
        <v>1</v>
      </c>
      <c r="E15637" s="8">
        <v>0</v>
      </c>
      <c r="F15637" s="8">
        <v>269</v>
      </c>
    </row>
    <row r="15638" spans="1:6" ht="12.75">
      <c r="A15638" s="8">
        <v>43897.698483796295</v>
      </c>
      <c r="B15638" s="8" t="str">
        <f>HYPERLINK("https://twitter.com/rizfaldo","@rizfaldo")</f>
        <v>@rizfaldo</v>
      </c>
      <c r="C15638" s="8" t="s">
        <v>6120</v>
      </c>
      <c r="D15638" s="8">
        <v>7</v>
      </c>
      <c r="E15638" s="8">
        <v>0</v>
      </c>
      <c r="F15638" s="8">
        <v>263</v>
      </c>
    </row>
    <row r="15639" spans="1:6" ht="12.75">
      <c r="A15639" s="8">
        <v>43897.698472222226</v>
      </c>
      <c r="B15639" s="8" t="str">
        <f>HYPERLINK("https://twitter.com/nocta16okt","@nocta16okt")</f>
        <v>@nocta16okt</v>
      </c>
      <c r="C15639" s="8" t="s">
        <v>6370</v>
      </c>
      <c r="D15639" s="8">
        <v>0</v>
      </c>
      <c r="E15639" s="8">
        <v>0</v>
      </c>
      <c r="F15639" s="8">
        <v>0</v>
      </c>
    </row>
    <row r="15640" spans="1:6" ht="12.75">
      <c r="A15640" s="8">
        <v>43897.69840277778</v>
      </c>
      <c r="B15640" s="8" t="str">
        <f>HYPERLINK("https://twitter.com/K3muning_1","@K3muning_1")</f>
        <v>@K3muning_1</v>
      </c>
      <c r="C15640" s="8" t="s">
        <v>6113</v>
      </c>
      <c r="D15640" s="8">
        <v>13</v>
      </c>
      <c r="E15640" s="8">
        <v>0</v>
      </c>
      <c r="F15640" s="8">
        <v>2406</v>
      </c>
    </row>
    <row r="15641" spans="1:6" ht="12.75">
      <c r="A15641" s="8">
        <v>43897.698206018518</v>
      </c>
      <c r="B15641" s="8" t="str">
        <f>HYPERLINK("https://twitter.com/mukiyo_nggombal","@mukiyo_nggombal")</f>
        <v>@mukiyo_nggombal</v>
      </c>
      <c r="C15641" s="8" t="s">
        <v>5799</v>
      </c>
      <c r="D15641" s="8">
        <v>4</v>
      </c>
      <c r="E15641" s="8">
        <v>0</v>
      </c>
      <c r="F15641" s="8">
        <v>1509</v>
      </c>
    </row>
    <row r="15642" spans="1:6" ht="12.75">
      <c r="A15642" s="8">
        <v>43897.698020833333</v>
      </c>
      <c r="B15642" s="8" t="str">
        <f>HYPERLINK("https://twitter.com/kbriabudhabi","@kbriabudhabi")</f>
        <v>@kbriabudhabi</v>
      </c>
      <c r="C15642" s="8" t="s">
        <v>4162</v>
      </c>
      <c r="D15642" s="8">
        <v>82</v>
      </c>
      <c r="E15642" s="8">
        <v>0</v>
      </c>
      <c r="F15642" s="8">
        <v>1653</v>
      </c>
    </row>
    <row r="15643" spans="1:6" ht="12.75">
      <c r="A15643" s="8">
        <v>43897.697835648149</v>
      </c>
      <c r="B15643" s="8" t="str">
        <f>HYPERLINK("https://twitter.com/K3muning_1","@K3muning_1")</f>
        <v>@K3muning_1</v>
      </c>
      <c r="C15643" s="8" t="s">
        <v>5486</v>
      </c>
      <c r="D15643" s="8">
        <v>8</v>
      </c>
      <c r="E15643" s="8">
        <v>0</v>
      </c>
      <c r="F15643" s="8">
        <v>2406</v>
      </c>
    </row>
    <row r="15644" spans="1:6" ht="12.75">
      <c r="A15644" s="8">
        <v>43897.697812500002</v>
      </c>
      <c r="B15644" s="8" t="str">
        <f>HYPERLINK("https://twitter.com/Rahmadkurnia161","@Rahmadkurnia161")</f>
        <v>@Rahmadkurnia161</v>
      </c>
      <c r="C15644" s="8" t="s">
        <v>5833</v>
      </c>
      <c r="D15644" s="8">
        <v>12</v>
      </c>
      <c r="E15644" s="8">
        <v>0</v>
      </c>
      <c r="F15644" s="8">
        <v>20</v>
      </c>
    </row>
    <row r="15645" spans="1:6" ht="12.75">
      <c r="A15645" s="8">
        <v>43897.697754629626</v>
      </c>
      <c r="B15645" s="8" t="str">
        <f>HYPERLINK("https://twitter.com/Hermawanluo","@Hermawanluo")</f>
        <v>@Hermawanluo</v>
      </c>
      <c r="C15645" s="8" t="s">
        <v>6371</v>
      </c>
      <c r="D15645" s="8">
        <v>0</v>
      </c>
      <c r="E15645" s="8">
        <v>1</v>
      </c>
      <c r="F15645" s="8">
        <v>52</v>
      </c>
    </row>
    <row r="15646" spans="1:6" ht="12.75">
      <c r="A15646" s="8">
        <v>43897.697685185187</v>
      </c>
      <c r="B15646" s="8" t="str">
        <f>HYPERLINK("https://twitter.com/AlvaroDeBazan2","@AlvaroDeBazan2")</f>
        <v>@AlvaroDeBazan2</v>
      </c>
      <c r="C15646" s="8" t="s">
        <v>5833</v>
      </c>
      <c r="D15646" s="8">
        <v>12</v>
      </c>
      <c r="E15646" s="8">
        <v>0</v>
      </c>
      <c r="F15646" s="8">
        <v>273</v>
      </c>
    </row>
    <row r="15647" spans="1:6" ht="12.75">
      <c r="A15647" s="8">
        <v>43897.697430555556</v>
      </c>
      <c r="B15647" s="8" t="str">
        <f>HYPERLINK("https://twitter.com/hamaro_id","@hamaro_id")</f>
        <v>@hamaro_id</v>
      </c>
      <c r="C15647" s="8" t="s">
        <v>5799</v>
      </c>
      <c r="D15647" s="8">
        <v>4</v>
      </c>
      <c r="E15647" s="8">
        <v>0</v>
      </c>
      <c r="F15647" s="8">
        <v>1691</v>
      </c>
    </row>
    <row r="15648" spans="1:6" ht="12.75">
      <c r="A15648" s="8">
        <v>43897.69736111111</v>
      </c>
      <c r="B15648" s="8" t="str">
        <f>HYPERLINK("https://twitter.com/Basha0114","@Basha0114")</f>
        <v>@Basha0114</v>
      </c>
      <c r="C15648" s="8" t="s">
        <v>5833</v>
      </c>
      <c r="D15648" s="8">
        <v>12</v>
      </c>
      <c r="E15648" s="8">
        <v>0</v>
      </c>
      <c r="F15648" s="8">
        <v>644</v>
      </c>
    </row>
    <row r="15649" spans="1:6" ht="12.75">
      <c r="A15649" s="8">
        <v>43897.697326388894</v>
      </c>
      <c r="B15649" s="8" t="str">
        <f>HYPERLINK("https://twitter.com/PHNCX","@PHNCX")</f>
        <v>@PHNCX</v>
      </c>
      <c r="C15649" s="8" t="s">
        <v>5833</v>
      </c>
      <c r="D15649" s="8">
        <v>12</v>
      </c>
      <c r="E15649" s="8">
        <v>0</v>
      </c>
      <c r="F15649" s="8">
        <v>417</v>
      </c>
    </row>
    <row r="15650" spans="1:6" ht="12.75">
      <c r="A15650" s="8">
        <v>43897.697256944448</v>
      </c>
      <c r="B15650" s="8" t="str">
        <f>HYPERLINK("https://twitter.com/OliviaCath1540","@OliviaCath1540")</f>
        <v>@OliviaCath1540</v>
      </c>
      <c r="C15650" s="8" t="s">
        <v>5704</v>
      </c>
      <c r="D15650" s="8">
        <v>30</v>
      </c>
      <c r="E15650" s="8">
        <v>0</v>
      </c>
      <c r="F15650" s="8">
        <v>1260</v>
      </c>
    </row>
    <row r="15651" spans="1:6" ht="12.75">
      <c r="A15651" s="8">
        <v>43897.697141203702</v>
      </c>
      <c r="B15651" s="8" t="str">
        <f>HYPERLINK("https://twitter.com/prytnma","@prytnma")</f>
        <v>@prytnma</v>
      </c>
      <c r="C15651" s="8" t="s">
        <v>4510</v>
      </c>
      <c r="D15651" s="8">
        <v>89</v>
      </c>
      <c r="E15651" s="8">
        <v>0</v>
      </c>
      <c r="F15651" s="8">
        <v>414</v>
      </c>
    </row>
    <row r="15652" spans="1:6" ht="12.75">
      <c r="A15652" s="8">
        <v>43897.696851851855</v>
      </c>
      <c r="B15652" s="8" t="str">
        <f>HYPERLINK("https://twitter.com/C_AjiMahameru52","@C_AjiMahameru52")</f>
        <v>@C_AjiMahameru52</v>
      </c>
      <c r="C15652" s="8" t="s">
        <v>5833</v>
      </c>
      <c r="D15652" s="8">
        <v>12</v>
      </c>
      <c r="E15652" s="8">
        <v>0</v>
      </c>
      <c r="F15652" s="8">
        <v>3199</v>
      </c>
    </row>
    <row r="15653" spans="1:6" ht="12.75">
      <c r="A15653" s="8">
        <v>43897.696747685186</v>
      </c>
      <c r="B15653" s="8" t="str">
        <f>HYPERLINK("https://twitter.com/piyuanker12","@piyuanker12")</f>
        <v>@piyuanker12</v>
      </c>
      <c r="C15653" s="8" t="s">
        <v>6372</v>
      </c>
      <c r="D15653" s="8">
        <v>1</v>
      </c>
      <c r="E15653" s="8">
        <v>0</v>
      </c>
      <c r="F15653" s="8">
        <v>3751</v>
      </c>
    </row>
    <row r="15654" spans="1:6" ht="12.75">
      <c r="A15654" s="8">
        <v>43897.696712962963</v>
      </c>
      <c r="B15654" s="8" t="str">
        <f>HYPERLINK("https://twitter.com/ryolandafit","@ryolandafit")</f>
        <v>@ryolandafit</v>
      </c>
      <c r="C15654" s="8" t="s">
        <v>6373</v>
      </c>
      <c r="D15654" s="8">
        <v>3</v>
      </c>
      <c r="E15654" s="8">
        <v>0</v>
      </c>
      <c r="F15654" s="8">
        <v>658</v>
      </c>
    </row>
    <row r="15655" spans="1:6" ht="12.75">
      <c r="A15655" s="8">
        <v>43897.696608796294</v>
      </c>
      <c r="B15655" s="8" t="str">
        <f>HYPERLINK("https://twitter.com/hans_rifky","@hans_rifky")</f>
        <v>@hans_rifky</v>
      </c>
      <c r="C15655" s="8" t="s">
        <v>4510</v>
      </c>
      <c r="D15655" s="8">
        <v>89</v>
      </c>
      <c r="E15655" s="8">
        <v>0</v>
      </c>
      <c r="F15655" s="8">
        <v>709</v>
      </c>
    </row>
    <row r="15656" spans="1:6" ht="12.75">
      <c r="A15656" s="8">
        <v>43897.696203703701</v>
      </c>
      <c r="B15656" s="8" t="str">
        <f>HYPERLINK("https://twitter.com/suaradotcom","@suaradotcom")</f>
        <v>@suaradotcom</v>
      </c>
      <c r="C15656" s="8" t="s">
        <v>6374</v>
      </c>
      <c r="D15656" s="8">
        <v>0</v>
      </c>
      <c r="E15656" s="8">
        <v>0</v>
      </c>
      <c r="F15656" s="8">
        <v>24368</v>
      </c>
    </row>
    <row r="15657" spans="1:6" ht="12.75">
      <c r="A15657" s="8">
        <v>43897.695844907408</v>
      </c>
      <c r="B15657" s="8" t="str">
        <f>HYPERLINK("https://twitter.com/catatankakihati","@catatankakihati")</f>
        <v>@catatankakihati</v>
      </c>
      <c r="C15657" s="8" t="s">
        <v>6113</v>
      </c>
      <c r="D15657" s="8">
        <v>13</v>
      </c>
      <c r="E15657" s="8">
        <v>0</v>
      </c>
      <c r="F15657" s="8">
        <v>3908</v>
      </c>
    </row>
    <row r="15658" spans="1:6" ht="12.75">
      <c r="A15658" s="8">
        <v>43897.695798611108</v>
      </c>
      <c r="B15658" s="8" t="str">
        <f>HYPERLINK("https://twitter.com/MrsRachelIn","@MrsRachelIn")</f>
        <v>@MrsRachelIn</v>
      </c>
      <c r="C15658" s="8" t="s">
        <v>6375</v>
      </c>
      <c r="D15658" s="8">
        <v>4</v>
      </c>
      <c r="E15658" s="8">
        <v>6</v>
      </c>
      <c r="F15658" s="8">
        <v>3488</v>
      </c>
    </row>
    <row r="15659" spans="1:6" ht="12.75">
      <c r="A15659" s="8">
        <v>43897.695694444439</v>
      </c>
      <c r="B15659" s="8" t="str">
        <f>HYPERLINK("https://twitter.com/Puspen_TNI","@Puspen_TNI")</f>
        <v>@Puspen_TNI</v>
      </c>
      <c r="C15659" s="8" t="s">
        <v>6376</v>
      </c>
      <c r="D15659" s="8">
        <v>12</v>
      </c>
      <c r="E15659" s="8">
        <v>26</v>
      </c>
      <c r="F15659" s="8">
        <v>307625</v>
      </c>
    </row>
    <row r="15660" spans="1:6" ht="12.75">
      <c r="A15660" s="8">
        <v>43897.695613425924</v>
      </c>
      <c r="B15660" s="8" t="str">
        <f>HYPERLINK("https://twitter.com/ThenBagoess","@ThenBagoess")</f>
        <v>@ThenBagoess</v>
      </c>
      <c r="C15660" s="8" t="s">
        <v>6377</v>
      </c>
      <c r="D15660" s="8">
        <v>0</v>
      </c>
      <c r="E15660" s="8">
        <v>0</v>
      </c>
      <c r="F15660" s="8">
        <v>6667</v>
      </c>
    </row>
    <row r="15661" spans="1:6" ht="12.75">
      <c r="A15661" s="8">
        <v>43897.695138888885</v>
      </c>
      <c r="B15661" s="8" t="str">
        <f>HYPERLINK("https://twitter.com/mEiZARo","@mEiZARo")</f>
        <v>@mEiZARo</v>
      </c>
      <c r="C15661" s="8" t="s">
        <v>6378</v>
      </c>
      <c r="D15661" s="8">
        <v>0</v>
      </c>
      <c r="E15661" s="8">
        <v>0</v>
      </c>
      <c r="F15661" s="8">
        <v>850</v>
      </c>
    </row>
    <row r="15662" spans="1:6" ht="12.75">
      <c r="A15662" s="8">
        <v>43897.694988425923</v>
      </c>
      <c r="B15662" s="8" t="str">
        <f>HYPERLINK("https://twitter.com/Jurubicarajkw","@Jurubicarajkw")</f>
        <v>@Jurubicarajkw</v>
      </c>
      <c r="C15662" s="8" t="s">
        <v>6379</v>
      </c>
      <c r="D15662" s="8">
        <v>0</v>
      </c>
      <c r="E15662" s="8">
        <v>0</v>
      </c>
      <c r="F15662" s="8">
        <v>727</v>
      </c>
    </row>
    <row r="15663" spans="1:6" ht="12.75">
      <c r="A15663" s="8">
        <v>43897.69494212963</v>
      </c>
      <c r="B15663" s="8" t="str">
        <f>HYPERLINK("https://twitter.com/OffieSander","@OffieSander")</f>
        <v>@OffieSander</v>
      </c>
      <c r="C15663" s="8" t="s">
        <v>3213</v>
      </c>
      <c r="D15663" s="8">
        <v>303</v>
      </c>
      <c r="E15663" s="8">
        <v>0</v>
      </c>
      <c r="F15663" s="8">
        <v>589</v>
      </c>
    </row>
    <row r="15664" spans="1:6" ht="12.75">
      <c r="A15664" s="8">
        <v>43897.694745370369</v>
      </c>
      <c r="B15664" s="8" t="str">
        <f>HYPERLINK("https://twitter.com/arif_adinegoro","@arif_adinegoro")</f>
        <v>@arif_adinegoro</v>
      </c>
      <c r="C15664" s="8" t="s">
        <v>6373</v>
      </c>
      <c r="D15664" s="8">
        <v>3</v>
      </c>
      <c r="E15664" s="8">
        <v>0</v>
      </c>
      <c r="F15664" s="8">
        <v>1401</v>
      </c>
    </row>
    <row r="15665" spans="1:6" ht="12.75">
      <c r="A15665" s="8">
        <v>43897.694490740745</v>
      </c>
      <c r="B15665" s="8" t="str">
        <f>HYPERLINK("https://twitter.com/GATRA_News","@GATRA_News")</f>
        <v>@GATRA_News</v>
      </c>
      <c r="C15665" s="8" t="s">
        <v>6380</v>
      </c>
      <c r="D15665" s="8">
        <v>0</v>
      </c>
      <c r="E15665" s="8">
        <v>0</v>
      </c>
      <c r="F15665" s="8">
        <v>23177</v>
      </c>
    </row>
    <row r="15666" spans="1:6" ht="12.75">
      <c r="A15666" s="8">
        <v>43897.673298611116</v>
      </c>
      <c r="B15666" s="8" t="str">
        <f>HYPERLINK("https://twitter.com/kompascom","@kompascom")</f>
        <v>@kompascom</v>
      </c>
      <c r="C15666" s="8" t="s">
        <v>6381</v>
      </c>
      <c r="D15666" s="8">
        <v>0</v>
      </c>
      <c r="E15666" s="8">
        <v>0</v>
      </c>
      <c r="F15666" s="8">
        <v>7533230</v>
      </c>
    </row>
    <row r="15667" spans="1:6" ht="12.75">
      <c r="A15667" s="8">
        <v>43897.673287037032</v>
      </c>
      <c r="B15667" s="8" t="str">
        <f>HYPERLINK("https://twitter.com/edysunt","@edysunt")</f>
        <v>@edysunt</v>
      </c>
      <c r="C15667" s="8" t="s">
        <v>6256</v>
      </c>
      <c r="D15667" s="8">
        <v>0</v>
      </c>
      <c r="E15667" s="8">
        <v>0</v>
      </c>
      <c r="F15667" s="8">
        <v>52</v>
      </c>
    </row>
    <row r="15668" spans="1:6" ht="12.75">
      <c r="A15668" s="8">
        <v>43897.672638888893</v>
      </c>
      <c r="B15668" s="8" t="str">
        <f>HYPERLINK("https://twitter.com/RinjaniJB","@RinjaniJB")</f>
        <v>@RinjaniJB</v>
      </c>
      <c r="C15668" s="8" t="s">
        <v>6382</v>
      </c>
      <c r="D15668" s="8">
        <v>0</v>
      </c>
      <c r="E15668" s="8">
        <v>0</v>
      </c>
      <c r="F15668" s="8">
        <v>19260</v>
      </c>
    </row>
    <row r="15669" spans="1:6" ht="12.75">
      <c r="A15669" s="8">
        <v>43897.672175925924</v>
      </c>
      <c r="B15669" s="8" t="str">
        <f>HYPERLINK("https://twitter.com/KATADATAcoid","@KATADATAcoid")</f>
        <v>@KATADATAcoid</v>
      </c>
      <c r="C15669" s="8" t="s">
        <v>6383</v>
      </c>
      <c r="D15669" s="8">
        <v>0</v>
      </c>
      <c r="E15669" s="8">
        <v>1</v>
      </c>
      <c r="F15669" s="8">
        <v>41967</v>
      </c>
    </row>
    <row r="15670" spans="1:6" ht="12.75">
      <c r="A15670" s="8">
        <v>43897.671817129631</v>
      </c>
      <c r="B15670" s="8" t="str">
        <f>HYPERLINK("https://twitter.com/mbahCokro77","@mbahCokro77")</f>
        <v>@mbahCokro77</v>
      </c>
      <c r="C15670" s="8" t="s">
        <v>6384</v>
      </c>
      <c r="D15670" s="8">
        <v>0</v>
      </c>
      <c r="E15670" s="8">
        <v>2</v>
      </c>
      <c r="F15670" s="8">
        <v>6811</v>
      </c>
    </row>
    <row r="15671" spans="1:6" ht="12.75">
      <c r="A15671" s="8">
        <v>43897.671712962961</v>
      </c>
      <c r="B15671" s="8" t="str">
        <f>HYPERLINK("https://twitter.com/nurel_effah","@nurel_effah")</f>
        <v>@nurel_effah</v>
      </c>
      <c r="C15671" s="8" t="s">
        <v>2116</v>
      </c>
      <c r="D15671" s="8">
        <v>66</v>
      </c>
      <c r="E15671" s="8">
        <v>0</v>
      </c>
      <c r="F15671" s="8">
        <v>3597</v>
      </c>
    </row>
    <row r="15672" spans="1:6" ht="12.75">
      <c r="A15672" s="8">
        <v>43897.670034722221</v>
      </c>
      <c r="B15672" s="8" t="str">
        <f>HYPERLINK("https://twitter.com/antarajatimcom","@antarajatimcom")</f>
        <v>@antarajatimcom</v>
      </c>
      <c r="C15672" s="8" t="s">
        <v>6385</v>
      </c>
      <c r="D15672" s="8">
        <v>0</v>
      </c>
      <c r="E15672" s="8">
        <v>0</v>
      </c>
      <c r="F15672" s="8">
        <v>851</v>
      </c>
    </row>
    <row r="15673" spans="1:6" ht="12.75">
      <c r="A15673" s="8">
        <v>43897.66982638889</v>
      </c>
      <c r="B15673" s="8" t="str">
        <f>HYPERLINK("https://twitter.com/iNewsID","@iNewsID")</f>
        <v>@iNewsID</v>
      </c>
      <c r="C15673" s="8" t="s">
        <v>6386</v>
      </c>
      <c r="D15673" s="8">
        <v>0</v>
      </c>
      <c r="E15673" s="8">
        <v>0</v>
      </c>
      <c r="F15673" s="8">
        <v>1368</v>
      </c>
    </row>
    <row r="15674" spans="1:6" ht="12.75">
      <c r="A15674" s="8">
        <v>43897.669618055559</v>
      </c>
      <c r="B15674" s="8" t="str">
        <f>HYPERLINK("https://twitter.com/_____Tobat","@_____Tobat")</f>
        <v>@_____Tobat</v>
      </c>
      <c r="C15674" s="8" t="s">
        <v>5704</v>
      </c>
      <c r="D15674" s="8">
        <v>27</v>
      </c>
      <c r="E15674" s="8">
        <v>0</v>
      </c>
      <c r="F15674" s="8">
        <v>2454</v>
      </c>
    </row>
    <row r="15675" spans="1:6" ht="12.75">
      <c r="A15675" s="8">
        <v>43897.668773148151</v>
      </c>
      <c r="B15675" s="8" t="str">
        <f>HYPERLINK("https://twitter.com/himura89517038","@himura89517038")</f>
        <v>@himura89517038</v>
      </c>
      <c r="C15675" s="8" t="s">
        <v>3743</v>
      </c>
      <c r="D15675" s="8">
        <v>637</v>
      </c>
      <c r="E15675" s="8">
        <v>0</v>
      </c>
      <c r="F15675" s="8">
        <v>1698</v>
      </c>
    </row>
    <row r="15676" spans="1:6" ht="12.75">
      <c r="A15676" s="8">
        <v>43897.668587962966</v>
      </c>
      <c r="B15676" s="8" t="str">
        <f>HYPERLINK("https://twitter.com/Wahkacau_","@Wahkacau_")</f>
        <v>@Wahkacau_</v>
      </c>
      <c r="C15676" s="8" t="s">
        <v>1078</v>
      </c>
      <c r="D15676" s="8">
        <v>699</v>
      </c>
      <c r="E15676" s="8">
        <v>0</v>
      </c>
      <c r="F15676" s="8">
        <v>46</v>
      </c>
    </row>
    <row r="15677" spans="1:6" ht="12.75">
      <c r="A15677" s="8">
        <v>43897.668391203704</v>
      </c>
      <c r="B15677" s="8" t="str">
        <f>HYPERLINK("https://twitter.com/Brunowicaksono","@Brunowicaksono")</f>
        <v>@Brunowicaksono</v>
      </c>
      <c r="C15677" s="8" t="s">
        <v>4510</v>
      </c>
      <c r="D15677" s="8">
        <v>77</v>
      </c>
      <c r="E15677" s="8">
        <v>0</v>
      </c>
      <c r="F15677" s="8">
        <v>1780</v>
      </c>
    </row>
    <row r="15678" spans="1:6" ht="12.75">
      <c r="A15678" s="8">
        <v>43897.668368055558</v>
      </c>
      <c r="B15678" s="8" t="str">
        <f>HYPERLINK("https://twitter.com/mbahCokro77","@mbahCokro77")</f>
        <v>@mbahCokro77</v>
      </c>
      <c r="C15678" s="8" t="s">
        <v>6387</v>
      </c>
      <c r="D15678" s="8">
        <v>0</v>
      </c>
      <c r="E15678" s="8">
        <v>1</v>
      </c>
      <c r="F15678" s="8">
        <v>6811</v>
      </c>
    </row>
    <row r="15679" spans="1:6" ht="12.75">
      <c r="A15679" s="8">
        <v>43897.667951388888</v>
      </c>
      <c r="B15679" s="8" t="str">
        <f>HYPERLINK("https://twitter.com/karamelati","@karamelati")</f>
        <v>@karamelati</v>
      </c>
      <c r="C15679" s="8" t="s">
        <v>4510</v>
      </c>
      <c r="D15679" s="8">
        <v>77</v>
      </c>
      <c r="E15679" s="8">
        <v>0</v>
      </c>
      <c r="F15679" s="8">
        <v>87</v>
      </c>
    </row>
    <row r="15680" spans="1:6" ht="12.75">
      <c r="A15680" s="8">
        <v>43897.667615740742</v>
      </c>
      <c r="B15680" s="8" t="str">
        <f>HYPERLINK("https://twitter.com/ivooxid","@ivooxid")</f>
        <v>@ivooxid</v>
      </c>
      <c r="C15680" s="8" t="s">
        <v>6388</v>
      </c>
      <c r="D15680" s="8">
        <v>0</v>
      </c>
      <c r="E15680" s="8">
        <v>0</v>
      </c>
      <c r="F15680" s="8">
        <v>1441</v>
      </c>
    </row>
    <row r="15681" spans="1:6" ht="12.75">
      <c r="A15681" s="8">
        <v>43897.667256944449</v>
      </c>
      <c r="B15681" s="8" t="str">
        <f>HYPERLINK("https://twitter.com/diroshi3770","@diroshi3770")</f>
        <v>@diroshi3770</v>
      </c>
      <c r="C15681" s="8" t="s">
        <v>6389</v>
      </c>
      <c r="D15681" s="8">
        <v>5</v>
      </c>
      <c r="E15681" s="8">
        <v>0</v>
      </c>
      <c r="F15681" s="8">
        <v>1199</v>
      </c>
    </row>
    <row r="15682" spans="1:6" ht="12.75">
      <c r="A15682" s="8">
        <v>43897.666932870372</v>
      </c>
      <c r="B15682" s="8" t="str">
        <f>HYPERLINK("https://twitter.com/HaniahHanamichi","@HaniahHanamichi")</f>
        <v>@HaniahHanamichi</v>
      </c>
      <c r="C15682" s="8" t="s">
        <v>4162</v>
      </c>
      <c r="D15682" s="8">
        <v>75</v>
      </c>
      <c r="E15682" s="8">
        <v>0</v>
      </c>
      <c r="F15682" s="8">
        <v>2327</v>
      </c>
    </row>
    <row r="15683" spans="1:6" ht="12.75">
      <c r="A15683" s="8">
        <v>43897.666238425925</v>
      </c>
      <c r="B15683" s="8" t="str">
        <f>HYPERLINK("https://twitter.com/sunnynites2","@sunnynites2")</f>
        <v>@sunnynites2</v>
      </c>
      <c r="C15683" s="8" t="s">
        <v>6390</v>
      </c>
      <c r="D15683" s="8">
        <v>0</v>
      </c>
      <c r="E15683" s="8">
        <v>0</v>
      </c>
      <c r="F15683" s="8">
        <v>158</v>
      </c>
    </row>
    <row r="15684" spans="1:6" ht="12.75">
      <c r="A15684" s="8">
        <v>43897.665891203702</v>
      </c>
      <c r="B15684" s="8" t="str">
        <f>HYPERLINK("https://twitter.com/SafiraLandi","@SafiraLandi")</f>
        <v>@SafiraLandi</v>
      </c>
      <c r="C15684" s="8" t="s">
        <v>4175</v>
      </c>
      <c r="D15684" s="8">
        <v>12</v>
      </c>
      <c r="E15684" s="8">
        <v>0</v>
      </c>
      <c r="F15684" s="8">
        <v>39</v>
      </c>
    </row>
    <row r="15685" spans="1:6" ht="12.75">
      <c r="A15685" s="8">
        <v>43897.665590277778</v>
      </c>
      <c r="B15685" s="8" t="str">
        <f>HYPERLINK("https://twitter.com/HaniahHanamichi","@HaniahHanamichi")</f>
        <v>@HaniahHanamichi</v>
      </c>
      <c r="C15685" s="8" t="s">
        <v>2116</v>
      </c>
      <c r="D15685" s="8">
        <v>66</v>
      </c>
      <c r="E15685" s="8">
        <v>0</v>
      </c>
      <c r="F15685" s="8">
        <v>2327</v>
      </c>
    </row>
    <row r="15686" spans="1:6" ht="12.75">
      <c r="A15686" s="8">
        <v>43897.665358796294</v>
      </c>
      <c r="B15686" s="8" t="str">
        <f>HYPERLINK("https://twitter.com/AndryAndreas9","@AndryAndreas9")</f>
        <v>@AndryAndreas9</v>
      </c>
      <c r="C15686" s="8" t="s">
        <v>6391</v>
      </c>
      <c r="D15686" s="8">
        <v>0</v>
      </c>
      <c r="E15686" s="8">
        <v>0</v>
      </c>
      <c r="F15686" s="8">
        <v>4</v>
      </c>
    </row>
    <row r="15687" spans="1:6" ht="12.75">
      <c r="A15687" s="8">
        <v>43897.664027777777</v>
      </c>
      <c r="B15687" s="8" t="str">
        <f>HYPERLINK("https://twitter.com/IbrahimAlMadan8","@IbrahimAlMadan8")</f>
        <v>@IbrahimAlMadan8</v>
      </c>
      <c r="C15687" s="8" t="s">
        <v>3743</v>
      </c>
      <c r="D15687" s="8">
        <v>637</v>
      </c>
      <c r="E15687" s="8">
        <v>0</v>
      </c>
      <c r="F15687" s="8">
        <v>222</v>
      </c>
    </row>
    <row r="15688" spans="1:6" ht="12.75">
      <c r="A15688" s="8">
        <v>43897.663344907407</v>
      </c>
      <c r="B15688" s="8" t="str">
        <f>HYPERLINK("https://twitter.com/Brunowicaksono","@Brunowicaksono")</f>
        <v>@Brunowicaksono</v>
      </c>
      <c r="C15688" s="8" t="s">
        <v>6389</v>
      </c>
      <c r="D15688" s="8">
        <v>5</v>
      </c>
      <c r="E15688" s="8">
        <v>0</v>
      </c>
      <c r="F15688" s="8">
        <v>1780</v>
      </c>
    </row>
    <row r="15689" spans="1:6" ht="12.75">
      <c r="A15689" s="8">
        <v>43897.663298611107</v>
      </c>
      <c r="B15689" s="8" t="str">
        <f>HYPERLINK("https://twitter.com/stanleylazio","@stanleylazio")</f>
        <v>@stanleylazio</v>
      </c>
      <c r="C15689" s="8" t="s">
        <v>6392</v>
      </c>
      <c r="D15689" s="8">
        <v>0</v>
      </c>
      <c r="E15689" s="8">
        <v>0</v>
      </c>
      <c r="F15689" s="8">
        <v>159</v>
      </c>
    </row>
    <row r="15690" spans="1:6" ht="12.75">
      <c r="A15690" s="8">
        <v>43897.663032407407</v>
      </c>
      <c r="B15690" s="8" t="str">
        <f>HYPERLINK("https://twitter.com/nanuths","@nanuths")</f>
        <v>@nanuths</v>
      </c>
      <c r="C15690" s="8" t="s">
        <v>4510</v>
      </c>
      <c r="D15690" s="8">
        <v>77</v>
      </c>
      <c r="E15690" s="8">
        <v>0</v>
      </c>
      <c r="F15690" s="8">
        <v>654</v>
      </c>
    </row>
    <row r="15691" spans="1:6" ht="12.75">
      <c r="A15691" s="8">
        <v>43897.662893518514</v>
      </c>
      <c r="B15691" s="8" t="str">
        <f>HYPERLINK("https://twitter.com/purnomo_jati1","@purnomo_jati1")</f>
        <v>@purnomo_jati1</v>
      </c>
      <c r="C15691" s="8" t="s">
        <v>5511</v>
      </c>
      <c r="D15691" s="8">
        <v>15</v>
      </c>
      <c r="E15691" s="8">
        <v>0</v>
      </c>
      <c r="F15691" s="8">
        <v>338</v>
      </c>
    </row>
    <row r="15692" spans="1:6" ht="12.75">
      <c r="A15692" s="8">
        <v>43897.662766203706</v>
      </c>
      <c r="B15692" s="8" t="str">
        <f>HYPERLINK("https://twitter.com/jogjacoret","@jogjacoret")</f>
        <v>@jogjacoret</v>
      </c>
      <c r="C15692" s="8" t="s">
        <v>6393</v>
      </c>
      <c r="D15692" s="8">
        <v>0</v>
      </c>
      <c r="E15692" s="8">
        <v>0</v>
      </c>
      <c r="F15692" s="8">
        <v>1291</v>
      </c>
    </row>
    <row r="15693" spans="1:6" ht="12.75">
      <c r="A15693" s="8">
        <v>43897.662719907406</v>
      </c>
      <c r="B15693" s="8" t="str">
        <f>HYPERLINK("https://twitter.com/purnomo_jati1","@purnomo_jati1")</f>
        <v>@purnomo_jati1</v>
      </c>
      <c r="C15693" s="8" t="s">
        <v>4818</v>
      </c>
      <c r="D15693" s="8">
        <v>254</v>
      </c>
      <c r="E15693" s="8">
        <v>0</v>
      </c>
      <c r="F15693" s="8">
        <v>338</v>
      </c>
    </row>
    <row r="15694" spans="1:6" ht="12.75">
      <c r="A15694" s="8">
        <v>43897.66270833333</v>
      </c>
      <c r="B15694" s="8" t="str">
        <f>HYPERLINK("https://twitter.com/jogjacoret","@jogjacoret")</f>
        <v>@jogjacoret</v>
      </c>
      <c r="C15694" s="8" t="s">
        <v>6394</v>
      </c>
      <c r="D15694" s="8">
        <v>0</v>
      </c>
      <c r="E15694" s="8">
        <v>0</v>
      </c>
      <c r="F15694" s="8">
        <v>1291</v>
      </c>
    </row>
    <row r="15695" spans="1:6" ht="12.75">
      <c r="A15695" s="8">
        <v>43897.662650462968</v>
      </c>
      <c r="B15695" s="8" t="str">
        <f>HYPERLINK("https://twitter.com/Morknight1","@Morknight1")</f>
        <v>@Morknight1</v>
      </c>
      <c r="C15695" s="8" t="s">
        <v>3743</v>
      </c>
      <c r="D15695" s="8">
        <v>637</v>
      </c>
      <c r="E15695" s="8">
        <v>0</v>
      </c>
      <c r="F15695" s="8">
        <v>473</v>
      </c>
    </row>
    <row r="15696" spans="1:6" ht="12.75">
      <c r="A15696" s="8">
        <v>43897.661932870367</v>
      </c>
      <c r="B15696" s="8" t="str">
        <f>HYPERLINK("https://twitter.com/WSuparmo","@WSuparmo")</f>
        <v>@WSuparmo</v>
      </c>
      <c r="C15696" s="8" t="s">
        <v>6395</v>
      </c>
      <c r="D15696" s="8">
        <v>0</v>
      </c>
      <c r="E15696" s="8">
        <v>0</v>
      </c>
      <c r="F15696" s="8">
        <v>50</v>
      </c>
    </row>
    <row r="15697" spans="1:6" ht="12.75">
      <c r="A15697" s="8">
        <v>43897.661886574075</v>
      </c>
      <c r="B15697" s="8" t="str">
        <f>HYPERLINK("https://twitter.com/inu_ratih1","@inu_ratih1")</f>
        <v>@inu_ratih1</v>
      </c>
      <c r="C15697" s="8" t="s">
        <v>3743</v>
      </c>
      <c r="D15697" s="8">
        <v>637</v>
      </c>
      <c r="E15697" s="8">
        <v>0</v>
      </c>
      <c r="F15697" s="8">
        <v>106</v>
      </c>
    </row>
    <row r="15698" spans="1:6" ht="12.75">
      <c r="A15698" s="8">
        <v>43897.66170138889</v>
      </c>
      <c r="B15698" s="8" t="str">
        <f>HYPERLINK("https://twitter.com/dteleer","@dteleer")</f>
        <v>@dteleer</v>
      </c>
      <c r="C15698" s="8" t="s">
        <v>4510</v>
      </c>
      <c r="D15698" s="8">
        <v>77</v>
      </c>
      <c r="E15698" s="8">
        <v>0</v>
      </c>
      <c r="F15698" s="8">
        <v>3819</v>
      </c>
    </row>
    <row r="15699" spans="1:6" ht="12.75">
      <c r="A15699" s="8">
        <v>43897.661608796298</v>
      </c>
      <c r="B15699" s="8" t="str">
        <f>HYPERLINK("https://twitter.com/Q_oposan","@Q_oposan")</f>
        <v>@Q_oposan</v>
      </c>
      <c r="C15699" s="8" t="s">
        <v>3743</v>
      </c>
      <c r="D15699" s="8">
        <v>637</v>
      </c>
      <c r="E15699" s="8">
        <v>0</v>
      </c>
      <c r="F15699" s="8">
        <v>1287</v>
      </c>
    </row>
    <row r="15700" spans="1:6" ht="12.75">
      <c r="A15700" s="8">
        <v>43897.661250000005</v>
      </c>
      <c r="B15700" s="8" t="str">
        <f>HYPERLINK("https://twitter.com/MrSmith99712917","@MrSmith99712917")</f>
        <v>@MrSmith99712917</v>
      </c>
      <c r="C15700" s="8" t="s">
        <v>6396</v>
      </c>
      <c r="D15700" s="8">
        <v>0</v>
      </c>
      <c r="E15700" s="8">
        <v>0</v>
      </c>
      <c r="F15700" s="8">
        <v>35</v>
      </c>
    </row>
    <row r="15701" spans="1:6" ht="12.75">
      <c r="A15701" s="8">
        <v>43897.66101851852</v>
      </c>
      <c r="B15701" s="8" t="str">
        <f>HYPERLINK("https://twitter.com/KrmaisBoomerang","@KrmaisBoomerang")</f>
        <v>@KrmaisBoomerang</v>
      </c>
      <c r="C15701" s="8" t="s">
        <v>6397</v>
      </c>
      <c r="D15701" s="8">
        <v>0</v>
      </c>
      <c r="E15701" s="8">
        <v>2</v>
      </c>
      <c r="F15701" s="8">
        <v>942</v>
      </c>
    </row>
    <row r="15702" spans="1:6" ht="12.75">
      <c r="A15702" s="8">
        <v>43897.660833333328</v>
      </c>
      <c r="B15702" s="8" t="str">
        <f>HYPERLINK("https://twitter.com/pheonlights","@pheonlights")</f>
        <v>@pheonlights</v>
      </c>
      <c r="C15702" s="8" t="s">
        <v>6398</v>
      </c>
      <c r="D15702" s="8">
        <v>0</v>
      </c>
      <c r="E15702" s="8">
        <v>0</v>
      </c>
      <c r="F15702" s="8">
        <v>1015</v>
      </c>
    </row>
    <row r="15703" spans="1:6" ht="12.75">
      <c r="A15703" s="8">
        <v>43897.660798611112</v>
      </c>
      <c r="B15703" s="8" t="str">
        <f>HYPERLINK("https://twitter.com/KompasTV","@KompasTV")</f>
        <v>@KompasTV</v>
      </c>
      <c r="C15703" s="8" t="s">
        <v>6399</v>
      </c>
      <c r="D15703" s="8">
        <v>0</v>
      </c>
      <c r="E15703" s="8">
        <v>4</v>
      </c>
      <c r="F15703" s="8">
        <v>2958336</v>
      </c>
    </row>
    <row r="15704" spans="1:6" ht="12.75">
      <c r="A15704" s="8">
        <v>43897.660462962958</v>
      </c>
      <c r="B15704" s="8" t="str">
        <f>HYPERLINK("https://twitter.com/JanggutMbah","@JanggutMbah")</f>
        <v>@JanggutMbah</v>
      </c>
      <c r="C15704" s="8" t="s">
        <v>4162</v>
      </c>
      <c r="D15704" s="8">
        <v>75</v>
      </c>
      <c r="E15704" s="8">
        <v>0</v>
      </c>
      <c r="F15704" s="8">
        <v>2385</v>
      </c>
    </row>
    <row r="15705" spans="1:6" ht="12.75">
      <c r="A15705" s="8">
        <v>43897.660312499997</v>
      </c>
      <c r="B15705" s="8" t="str">
        <f>HYPERLINK("https://twitter.com/topinfo_id","@topinfo_id")</f>
        <v>@topinfo_id</v>
      </c>
      <c r="C15705" s="8" t="s">
        <v>6400</v>
      </c>
      <c r="D15705" s="8">
        <v>0</v>
      </c>
      <c r="E15705" s="8">
        <v>0</v>
      </c>
      <c r="F15705" s="8">
        <v>52</v>
      </c>
    </row>
    <row r="15706" spans="1:6" ht="12.75">
      <c r="A15706" s="8">
        <v>43897.660300925927</v>
      </c>
      <c r="B15706" s="8" t="str">
        <f>HYPERLINK("https://twitter.com/Alrumy5","@Alrumy5")</f>
        <v>@Alrumy5</v>
      </c>
      <c r="C15706" s="8" t="s">
        <v>6132</v>
      </c>
      <c r="D15706" s="8">
        <v>26</v>
      </c>
      <c r="E15706" s="8">
        <v>0</v>
      </c>
      <c r="F15706" s="8">
        <v>180</v>
      </c>
    </row>
    <row r="15707" spans="1:6" ht="12.75">
      <c r="A15707" s="8">
        <v>43897.659409722226</v>
      </c>
      <c r="B15707" s="8" t="str">
        <f>HYPERLINK("https://twitter.com/pikiran_rakyat","@pikiran_rakyat")</f>
        <v>@pikiran_rakyat</v>
      </c>
      <c r="C15707" s="8" t="s">
        <v>6401</v>
      </c>
      <c r="D15707" s="8">
        <v>0</v>
      </c>
      <c r="E15707" s="8">
        <v>0</v>
      </c>
      <c r="F15707" s="8">
        <v>413311</v>
      </c>
    </row>
    <row r="15708" spans="1:6" ht="12.75">
      <c r="A15708" s="8">
        <v>43897.659328703703</v>
      </c>
      <c r="B15708" s="8" t="str">
        <f>HYPERLINK("https://twitter.com/JanggutMbah","@JanggutMbah")</f>
        <v>@JanggutMbah</v>
      </c>
      <c r="C15708" s="8" t="s">
        <v>2116</v>
      </c>
      <c r="D15708" s="8">
        <v>66</v>
      </c>
      <c r="E15708" s="8">
        <v>0</v>
      </c>
      <c r="F15708" s="8">
        <v>2385</v>
      </c>
    </row>
    <row r="15709" spans="1:6" ht="12.75">
      <c r="A15709" s="8">
        <v>43897.658518518518</v>
      </c>
      <c r="B15709" s="8" t="str">
        <f>HYPERLINK("https://twitter.com/veraagustian_","@veraagustian_")</f>
        <v>@veraagustian_</v>
      </c>
      <c r="C15709" s="8" t="s">
        <v>6389</v>
      </c>
      <c r="D15709" s="8">
        <v>5</v>
      </c>
      <c r="E15709" s="8">
        <v>0</v>
      </c>
      <c r="F15709" s="8">
        <v>3288</v>
      </c>
    </row>
    <row r="15710" spans="1:6" ht="12.75">
      <c r="A15710" s="8">
        <v>43897.65825231481</v>
      </c>
      <c r="B15710" s="8" t="str">
        <f>HYPERLINK("https://twitter.com/AmandaYolandin1","@AmandaYolandin1")</f>
        <v>@AmandaYolandin1</v>
      </c>
      <c r="C15710" s="8" t="s">
        <v>4510</v>
      </c>
      <c r="D15710" s="8">
        <v>77</v>
      </c>
      <c r="E15710" s="8">
        <v>0</v>
      </c>
      <c r="F15710" s="8">
        <v>1196</v>
      </c>
    </row>
    <row r="15711" spans="1:6" ht="12.75">
      <c r="A15711" s="8">
        <v>43897.658194444448</v>
      </c>
      <c r="B15711" s="8" t="str">
        <f>HYPERLINK("https://twitter.com/saktindra85","@saktindra85")</f>
        <v>@saktindra85</v>
      </c>
      <c r="C15711" s="8" t="s">
        <v>6252</v>
      </c>
      <c r="D15711" s="8">
        <v>33</v>
      </c>
      <c r="E15711" s="8">
        <v>0</v>
      </c>
      <c r="F15711" s="8">
        <v>458</v>
      </c>
    </row>
    <row r="15712" spans="1:6" ht="12.75">
      <c r="A15712" s="8">
        <v>43897.657800925925</v>
      </c>
      <c r="B15712" s="8" t="str">
        <f>HYPERLINK("https://twitter.com/dwikyenggar","@dwikyenggar")</f>
        <v>@dwikyenggar</v>
      </c>
      <c r="C15712" s="8" t="s">
        <v>6389</v>
      </c>
      <c r="D15712" s="8">
        <v>5</v>
      </c>
      <c r="E15712" s="8">
        <v>0</v>
      </c>
      <c r="F15712" s="8">
        <v>583</v>
      </c>
    </row>
    <row r="15713" spans="1:6" ht="12.75">
      <c r="A15713" s="8">
        <v>43897.657719907409</v>
      </c>
      <c r="B15713" s="8" t="str">
        <f>HYPERLINK("https://twitter.com/wiriantowidjaya","@wiriantowidjaya")</f>
        <v>@wiriantowidjaya</v>
      </c>
      <c r="C15713" s="8" t="s">
        <v>4510</v>
      </c>
      <c r="D15713" s="8">
        <v>77</v>
      </c>
      <c r="E15713" s="8">
        <v>0</v>
      </c>
      <c r="F15713" s="8">
        <v>1562</v>
      </c>
    </row>
    <row r="15714" spans="1:6" ht="12.75">
      <c r="A15714" s="8">
        <v>43897.657326388886</v>
      </c>
      <c r="B15714" s="8" t="str">
        <f>HYPERLINK("https://twitter.com/merdekadotcom","@merdekadotcom")</f>
        <v>@merdekadotcom</v>
      </c>
      <c r="C15714" s="8" t="s">
        <v>6402</v>
      </c>
      <c r="D15714" s="8">
        <v>5</v>
      </c>
      <c r="E15714" s="8">
        <v>5</v>
      </c>
      <c r="F15714" s="8">
        <v>231782</v>
      </c>
    </row>
    <row r="15715" spans="1:6" ht="12.75">
      <c r="A15715" s="8">
        <v>43897.657152777778</v>
      </c>
      <c r="B15715" s="8" t="str">
        <f>HYPERLINK("https://twitter.com/Jubilate_7","@Jubilate_7")</f>
        <v>@Jubilate_7</v>
      </c>
      <c r="C15715" s="8" t="s">
        <v>6403</v>
      </c>
      <c r="D15715" s="8">
        <v>0</v>
      </c>
      <c r="E15715" s="8">
        <v>0</v>
      </c>
      <c r="F15715" s="8">
        <v>247</v>
      </c>
    </row>
    <row r="15716" spans="1:6" ht="12.75">
      <c r="A15716" s="8">
        <v>43897.656793981485</v>
      </c>
      <c r="B15716" s="8" t="str">
        <f>HYPERLINK("https://twitter.com/_duys","@_duys")</f>
        <v>@_duys</v>
      </c>
      <c r="C15716" s="8" t="s">
        <v>6404</v>
      </c>
      <c r="D15716" s="8">
        <v>0</v>
      </c>
      <c r="E15716" s="8">
        <v>0</v>
      </c>
      <c r="F15716" s="8">
        <v>681</v>
      </c>
    </row>
    <row r="15717" spans="1:6" ht="12.75">
      <c r="A15717" s="8">
        <v>43897.656655092593</v>
      </c>
      <c r="B15717" s="8" t="str">
        <f>HYPERLINK("https://twitter.com/moiarch","@moiarch")</f>
        <v>@moiarch</v>
      </c>
      <c r="C15717" s="8" t="s">
        <v>4162</v>
      </c>
      <c r="D15717" s="8">
        <v>75</v>
      </c>
      <c r="E15717" s="8">
        <v>0</v>
      </c>
      <c r="F15717" s="8">
        <v>103</v>
      </c>
    </row>
    <row r="15718" spans="1:6" ht="12.75">
      <c r="A15718" s="8">
        <v>43897.65662037037</v>
      </c>
      <c r="B15718" s="8" t="str">
        <f>HYPERLINK("https://twitter.com/VIVAcoid","@VIVAcoid")</f>
        <v>@VIVAcoid</v>
      </c>
      <c r="C15718" s="8" t="s">
        <v>6405</v>
      </c>
      <c r="D15718" s="8">
        <v>1</v>
      </c>
      <c r="E15718" s="8">
        <v>0</v>
      </c>
      <c r="F15718" s="8">
        <v>4175887</v>
      </c>
    </row>
    <row r="15719" spans="1:6" ht="12.75">
      <c r="A15719" s="8">
        <v>43897.656284722223</v>
      </c>
      <c r="B15719" s="8" t="str">
        <f>HYPERLINK("https://twitter.com/vivanewscom","@vivanewscom")</f>
        <v>@vivanewscom</v>
      </c>
      <c r="C15719" s="8" t="s">
        <v>6406</v>
      </c>
      <c r="D15719" s="8">
        <v>1</v>
      </c>
      <c r="E15719" s="8">
        <v>0</v>
      </c>
      <c r="F15719" s="8">
        <v>4768</v>
      </c>
    </row>
    <row r="15720" spans="1:6" ht="12.75">
      <c r="A15720" s="8">
        <v>43897.656226851846</v>
      </c>
      <c r="B15720" s="8" t="str">
        <f>HYPERLINK("https://twitter.com/NayYanick","@NayYanick")</f>
        <v>@NayYanick</v>
      </c>
      <c r="C15720" s="8" t="s">
        <v>4510</v>
      </c>
      <c r="D15720" s="8">
        <v>77</v>
      </c>
      <c r="E15720" s="8">
        <v>0</v>
      </c>
      <c r="F15720" s="8">
        <v>202</v>
      </c>
    </row>
    <row r="15721" spans="1:6" ht="12.75">
      <c r="A15721" s="8">
        <v>43897.6558912037</v>
      </c>
      <c r="B15721" s="8" t="str">
        <f>HYPERLINK("https://twitter.com/haro_arnold","@haro_arnold")</f>
        <v>@haro_arnold</v>
      </c>
      <c r="C15721" s="8" t="s">
        <v>6132</v>
      </c>
      <c r="D15721" s="8">
        <v>26</v>
      </c>
      <c r="E15721" s="8">
        <v>0</v>
      </c>
      <c r="F15721" s="8">
        <v>4795</v>
      </c>
    </row>
    <row r="15722" spans="1:6" ht="12.75">
      <c r="A15722" s="8">
        <v>43897.655497685184</v>
      </c>
      <c r="B15722" s="8" t="str">
        <f>HYPERLINK("https://twitter.com/iisombong","@iisombong")</f>
        <v>@iisombong</v>
      </c>
      <c r="C15722" s="8" t="s">
        <v>4510</v>
      </c>
      <c r="D15722" s="8">
        <v>77</v>
      </c>
      <c r="E15722" s="8">
        <v>0</v>
      </c>
      <c r="F15722" s="8">
        <v>623</v>
      </c>
    </row>
    <row r="15723" spans="1:6" ht="12.75">
      <c r="A15723" s="8">
        <v>43897.654710648145</v>
      </c>
      <c r="B15723" s="8" t="str">
        <f>HYPERLINK("https://twitter.com/QQ_dst","@QQ_dst")</f>
        <v>@QQ_dst</v>
      </c>
      <c r="C15723" s="8" t="s">
        <v>6407</v>
      </c>
      <c r="D15723" s="8">
        <v>13</v>
      </c>
      <c r="E15723" s="8">
        <v>0</v>
      </c>
      <c r="F15723" s="8">
        <v>101</v>
      </c>
    </row>
    <row r="15724" spans="1:6" ht="12.75">
      <c r="A15724" s="8">
        <v>43897.654583333337</v>
      </c>
      <c r="B15724" s="8" t="str">
        <f>HYPERLINK("https://twitter.com/ttobing","@ttobing")</f>
        <v>@ttobing</v>
      </c>
      <c r="C15724" s="8" t="s">
        <v>4510</v>
      </c>
      <c r="D15724" s="8">
        <v>77</v>
      </c>
      <c r="E15724" s="8">
        <v>0</v>
      </c>
      <c r="F15724" s="8">
        <v>3000</v>
      </c>
    </row>
    <row r="15725" spans="1:6" ht="12.75">
      <c r="A15725" s="8">
        <v>43897.653865740736</v>
      </c>
      <c r="B15725" s="8" t="str">
        <f>HYPERLINK("https://twitter.com/okezonenews","@okezonenews")</f>
        <v>@okezonenews</v>
      </c>
      <c r="C15725" s="8" t="s">
        <v>6408</v>
      </c>
      <c r="D15725" s="8">
        <v>0</v>
      </c>
      <c r="E15725" s="8">
        <v>1</v>
      </c>
      <c r="F15725" s="8">
        <v>1744079</v>
      </c>
    </row>
    <row r="15726" spans="1:6" ht="12.75">
      <c r="A15726" s="8">
        <v>43897.653391203705</v>
      </c>
      <c r="B15726" s="8" t="str">
        <f>HYPERLINK("https://twitter.com/Nana_Rosaa_","@Nana_Rosaa_")</f>
        <v>@Nana_Rosaa_</v>
      </c>
      <c r="C15726" s="8" t="s">
        <v>4510</v>
      </c>
      <c r="D15726" s="8">
        <v>77</v>
      </c>
      <c r="E15726" s="8">
        <v>0</v>
      </c>
      <c r="F15726" s="8">
        <v>9743</v>
      </c>
    </row>
    <row r="15727" spans="1:6" ht="12.75">
      <c r="A15727" s="8">
        <v>43897.653356481482</v>
      </c>
      <c r="B15727" s="8" t="str">
        <f>HYPERLINK("https://twitter.com/AliDavala99","@AliDavala99")</f>
        <v>@AliDavala99</v>
      </c>
      <c r="C15727" s="8" t="s">
        <v>6128</v>
      </c>
      <c r="D15727" s="8">
        <v>40</v>
      </c>
      <c r="E15727" s="8">
        <v>0</v>
      </c>
      <c r="F15727" s="8">
        <v>84</v>
      </c>
    </row>
    <row r="15728" spans="1:6" ht="12.75">
      <c r="A15728" s="8">
        <v>43897.653275462959</v>
      </c>
      <c r="B15728" s="8" t="str">
        <f>HYPERLINK("https://twitter.com/jokowi_maning","@jokowi_maning")</f>
        <v>@jokowi_maning</v>
      </c>
      <c r="C15728" s="8" t="s">
        <v>6409</v>
      </c>
      <c r="D15728" s="8">
        <v>0</v>
      </c>
      <c r="E15728" s="8">
        <v>0</v>
      </c>
      <c r="F15728" s="8">
        <v>182</v>
      </c>
    </row>
    <row r="15729" spans="1:6" ht="12.75">
      <c r="A15729" s="8">
        <v>43897.653171296297</v>
      </c>
      <c r="B15729" s="8" t="str">
        <f>HYPERLINK("https://twitter.com/KEZIAAM0UR","@KEZIAAM0UR")</f>
        <v>@KEZIAAM0UR</v>
      </c>
      <c r="C15729" s="8" t="s">
        <v>6410</v>
      </c>
      <c r="D15729" s="8">
        <v>0</v>
      </c>
      <c r="E15729" s="8">
        <v>0</v>
      </c>
      <c r="F15729" s="8">
        <v>99</v>
      </c>
    </row>
    <row r="15730" spans="1:6" ht="12.75">
      <c r="A15730" s="8">
        <v>43897.652986111112</v>
      </c>
      <c r="B15730" s="8" t="str">
        <f>HYPERLINK("https://twitter.com/Broto__Seno","@Broto__Seno")</f>
        <v>@Broto__Seno</v>
      </c>
      <c r="C15730" s="8" t="s">
        <v>6411</v>
      </c>
      <c r="D15730" s="8">
        <v>0</v>
      </c>
      <c r="E15730" s="8">
        <v>0</v>
      </c>
      <c r="F15730" s="8">
        <v>3365</v>
      </c>
    </row>
    <row r="15731" spans="1:6" ht="12.75">
      <c r="A15731" s="8">
        <v>43897.652615740742</v>
      </c>
      <c r="B15731" s="8" t="str">
        <f>HYPERLINK("https://twitter.com/KAPTinfo","@KAPTinfo")</f>
        <v>@KAPTinfo</v>
      </c>
      <c r="C15731" s="8" t="s">
        <v>6412</v>
      </c>
      <c r="D15731" s="8">
        <v>0</v>
      </c>
      <c r="E15731" s="8">
        <v>0</v>
      </c>
      <c r="F15731" s="8">
        <v>501</v>
      </c>
    </row>
    <row r="15732" spans="1:6" ht="12.75">
      <c r="A15732" s="8">
        <v>43897.65253472222</v>
      </c>
      <c r="B15732" s="8" t="str">
        <f>HYPERLINK("https://twitter.com/intel_spam","@intel_spam")</f>
        <v>@intel_spam</v>
      </c>
      <c r="C15732" s="8" t="s">
        <v>6413</v>
      </c>
      <c r="D15732" s="8">
        <v>2</v>
      </c>
      <c r="E15732" s="8">
        <v>0</v>
      </c>
      <c r="F15732" s="8">
        <v>54</v>
      </c>
    </row>
    <row r="15733" spans="1:6" ht="12.75">
      <c r="A15733" s="8">
        <v>43897.652511574073</v>
      </c>
      <c r="B15733" s="8" t="str">
        <f>HYPERLINK("https://twitter.com/KAPTinfo","@KAPTinfo")</f>
        <v>@KAPTinfo</v>
      </c>
      <c r="C15733" s="8" t="s">
        <v>6413</v>
      </c>
      <c r="D15733" s="8">
        <v>2</v>
      </c>
      <c r="E15733" s="8">
        <v>0</v>
      </c>
      <c r="F15733" s="8">
        <v>501</v>
      </c>
    </row>
    <row r="15734" spans="1:6" ht="12.75">
      <c r="A15734" s="8">
        <v>43897.651805555557</v>
      </c>
      <c r="B15734" s="8" t="str">
        <f>HYPERLINK("https://twitter.com/Robiah252","@Robiah252")</f>
        <v>@Robiah252</v>
      </c>
      <c r="C15734" s="8" t="s">
        <v>4510</v>
      </c>
      <c r="D15734" s="8">
        <v>77</v>
      </c>
      <c r="E15734" s="8">
        <v>0</v>
      </c>
      <c r="F15734" s="8">
        <v>0</v>
      </c>
    </row>
    <row r="15735" spans="1:6" ht="12.75">
      <c r="A15735" s="8">
        <v>43897.651203703703</v>
      </c>
      <c r="B15735" s="8" t="str">
        <f>HYPERLINK("https://twitter.com/chickenoodle_94","@chickenoodle_94")</f>
        <v>@chickenoodle_94</v>
      </c>
      <c r="C15735" s="8" t="s">
        <v>6414</v>
      </c>
      <c r="D15735" s="8">
        <v>0</v>
      </c>
      <c r="E15735" s="8">
        <v>0</v>
      </c>
      <c r="F15735" s="8">
        <v>259</v>
      </c>
    </row>
    <row r="15736" spans="1:6" ht="12.75">
      <c r="A15736" s="8">
        <v>43897.650949074072</v>
      </c>
      <c r="B15736" s="8" t="str">
        <f>HYPERLINK("https://twitter.com/Noegraha_AB","@Noegraha_AB")</f>
        <v>@Noegraha_AB</v>
      </c>
      <c r="C15736" s="8" t="s">
        <v>4510</v>
      </c>
      <c r="D15736" s="8">
        <v>77</v>
      </c>
      <c r="E15736" s="8">
        <v>0</v>
      </c>
      <c r="F15736" s="8">
        <v>4917</v>
      </c>
    </row>
    <row r="15737" spans="1:6" ht="12.75">
      <c r="A15737" s="8">
        <v>43897.650370370371</v>
      </c>
      <c r="B15737" s="8" t="str">
        <f>HYPERLINK("https://twitter.com/Vijayku50742205","@Vijayku50742205")</f>
        <v>@Vijayku50742205</v>
      </c>
      <c r="C15737" s="8" t="s">
        <v>3743</v>
      </c>
      <c r="D15737" s="8">
        <v>637</v>
      </c>
      <c r="E15737" s="8">
        <v>0</v>
      </c>
      <c r="F15737" s="8">
        <v>234</v>
      </c>
    </row>
    <row r="15738" spans="1:6" ht="12.75">
      <c r="A15738" s="8">
        <v>43897.649884259255</v>
      </c>
      <c r="B15738" s="8" t="str">
        <f>HYPERLINK("https://twitter.com/wuasyu","@wuasyu")</f>
        <v>@wuasyu</v>
      </c>
      <c r="C15738" s="8" t="s">
        <v>5841</v>
      </c>
      <c r="D15738" s="8">
        <v>1</v>
      </c>
      <c r="E15738" s="8">
        <v>0</v>
      </c>
      <c r="F15738" s="8">
        <v>332</v>
      </c>
    </row>
    <row r="15739" spans="1:6" ht="12.75">
      <c r="A15739" s="8">
        <v>43897.649699074071</v>
      </c>
      <c r="B15739" s="8" t="str">
        <f>HYPERLINK("https://twitter.com/wow_keren","@wow_keren")</f>
        <v>@wow_keren</v>
      </c>
      <c r="C15739" s="8" t="s">
        <v>6415</v>
      </c>
      <c r="D15739" s="8">
        <v>0</v>
      </c>
      <c r="E15739" s="8">
        <v>0</v>
      </c>
      <c r="F15739" s="8">
        <v>32032</v>
      </c>
    </row>
    <row r="15740" spans="1:6" ht="12.75">
      <c r="A15740" s="8">
        <v>43897.649328703701</v>
      </c>
      <c r="B15740" s="8" t="str">
        <f>HYPERLINK("https://twitter.com/wuasyu","@wuasyu")</f>
        <v>@wuasyu</v>
      </c>
      <c r="C15740" s="8" t="s">
        <v>5844</v>
      </c>
      <c r="D15740" s="8">
        <v>3</v>
      </c>
      <c r="E15740" s="8">
        <v>0</v>
      </c>
      <c r="F15740" s="8">
        <v>332</v>
      </c>
    </row>
    <row r="15741" spans="1:6" ht="12.75">
      <c r="A15741" s="8">
        <v>43897.647615740745</v>
      </c>
      <c r="B15741" s="8" t="str">
        <f>HYPERLINK("https://twitter.com/Natharin__","@Natharin__")</f>
        <v>@Natharin__</v>
      </c>
      <c r="C15741" s="8" t="s">
        <v>6252</v>
      </c>
      <c r="D15741" s="8">
        <v>33</v>
      </c>
      <c r="E15741" s="8">
        <v>0</v>
      </c>
      <c r="F15741" s="8">
        <v>2115</v>
      </c>
    </row>
    <row r="15742" spans="1:6" ht="12.75">
      <c r="A15742" s="8">
        <v>43897.647291666668</v>
      </c>
      <c r="B15742" s="8" t="str">
        <f>HYPERLINK("https://twitter.com/agussutardiyono","@agussutardiyono")</f>
        <v>@agussutardiyono</v>
      </c>
      <c r="C15742" s="8" t="s">
        <v>6416</v>
      </c>
      <c r="D15742" s="8">
        <v>0</v>
      </c>
      <c r="E15742" s="8">
        <v>0</v>
      </c>
      <c r="F15742" s="8">
        <v>34</v>
      </c>
    </row>
    <row r="15743" spans="1:6" ht="12.75">
      <c r="A15743" s="8">
        <v>43897.647129629629</v>
      </c>
      <c r="B15743" s="8" t="str">
        <f>HYPERLINK("https://twitter.com/7int4Putih","@7int4Putih")</f>
        <v>@7int4Putih</v>
      </c>
      <c r="C15743" s="8" t="s">
        <v>6132</v>
      </c>
      <c r="D15743" s="8">
        <v>26</v>
      </c>
      <c r="E15743" s="8">
        <v>0</v>
      </c>
      <c r="F15743" s="8">
        <v>1217</v>
      </c>
    </row>
    <row r="15744" spans="1:6" ht="12.75">
      <c r="A15744" s="8">
        <v>43897.64707175926</v>
      </c>
      <c r="B15744" s="8" t="str">
        <f>HYPERLINK("https://twitter.com/barengarkananta","@barengarkananta")</f>
        <v>@barengarkananta</v>
      </c>
      <c r="C15744" s="8" t="s">
        <v>3743</v>
      </c>
      <c r="D15744" s="8">
        <v>637</v>
      </c>
      <c r="E15744" s="8">
        <v>0</v>
      </c>
      <c r="F15744" s="8">
        <v>1674</v>
      </c>
    </row>
    <row r="15745" spans="1:6" ht="12.75">
      <c r="A15745" s="8">
        <v>43897.646944444445</v>
      </c>
      <c r="B15745" s="8" t="str">
        <f>HYPERLINK("https://twitter.com/Subagyo67808988","@Subagyo67808988")</f>
        <v>@Subagyo67808988</v>
      </c>
      <c r="C15745" s="8" t="s">
        <v>6417</v>
      </c>
      <c r="D15745" s="8">
        <v>0</v>
      </c>
      <c r="E15745" s="8">
        <v>0</v>
      </c>
      <c r="F15745" s="8">
        <v>2</v>
      </c>
    </row>
    <row r="15746" spans="1:6" ht="12.75">
      <c r="A15746" s="8">
        <v>43897.646840277783</v>
      </c>
      <c r="B15746" s="8" t="str">
        <f>HYPERLINK("https://twitter.com/DRadjikin","@DRadjikin")</f>
        <v>@DRadjikin</v>
      </c>
      <c r="C15746" s="8" t="s">
        <v>6418</v>
      </c>
      <c r="D15746" s="8">
        <v>2</v>
      </c>
      <c r="E15746" s="8">
        <v>0</v>
      </c>
      <c r="F15746" s="8">
        <v>260</v>
      </c>
    </row>
    <row r="15747" spans="1:6" ht="12.75">
      <c r="A15747" s="8">
        <v>43897.64671296296</v>
      </c>
      <c r="B15747" s="8" t="str">
        <f>HYPERLINK("https://twitter.com/Apriil68","@Apriil68")</f>
        <v>@Apriil68</v>
      </c>
      <c r="C15747" s="8" t="s">
        <v>6132</v>
      </c>
      <c r="D15747" s="8">
        <v>26</v>
      </c>
      <c r="E15747" s="8">
        <v>0</v>
      </c>
      <c r="F15747" s="8">
        <v>3200</v>
      </c>
    </row>
    <row r="15748" spans="1:6" ht="12.75">
      <c r="A15748" s="8">
        <v>43897.646203703705</v>
      </c>
      <c r="B15748" s="8" t="str">
        <f>HYPERLINK("https://twitter.com/rinnamryn","@rinnamryn")</f>
        <v>@rinnamryn</v>
      </c>
      <c r="C15748" s="8" t="s">
        <v>6201</v>
      </c>
      <c r="D15748" s="8">
        <v>1</v>
      </c>
      <c r="E15748" s="8">
        <v>0</v>
      </c>
      <c r="F15748" s="8">
        <v>362</v>
      </c>
    </row>
    <row r="15749" spans="1:6" ht="12.75">
      <c r="A15749" s="8">
        <v>43897.645983796298</v>
      </c>
      <c r="B15749" s="8" t="str">
        <f>HYPERLINK("https://twitter.com/YayukWa01806028","@YayukWa01806028")</f>
        <v>@YayukWa01806028</v>
      </c>
      <c r="C15749" s="8" t="s">
        <v>6132</v>
      </c>
      <c r="D15749" s="8">
        <v>26</v>
      </c>
      <c r="E15749" s="8">
        <v>0</v>
      </c>
      <c r="F15749" s="8">
        <v>1102</v>
      </c>
    </row>
    <row r="15750" spans="1:6" ht="12.75">
      <c r="A15750" s="8">
        <v>43897.645902777775</v>
      </c>
      <c r="B15750" s="8" t="str">
        <f>HYPERLINK("https://twitter.com/pekoochu","@pekoochu")</f>
        <v>@pekoochu</v>
      </c>
      <c r="C15750" s="8" t="s">
        <v>6419</v>
      </c>
      <c r="D15750" s="8">
        <v>4</v>
      </c>
      <c r="E15750" s="8">
        <v>0</v>
      </c>
      <c r="F15750" s="8">
        <v>493</v>
      </c>
    </row>
    <row r="15751" spans="1:6" ht="12.75">
      <c r="A15751" s="8">
        <v>43897.645833333328</v>
      </c>
      <c r="B15751" s="8" t="str">
        <f>HYPERLINK("https://twitter.com/pesanbijakk","@pesanbijakk")</f>
        <v>@pesanbijakk</v>
      </c>
      <c r="C15751" s="8" t="s">
        <v>6420</v>
      </c>
      <c r="D15751" s="8">
        <v>0</v>
      </c>
      <c r="E15751" s="8">
        <v>0</v>
      </c>
      <c r="F15751" s="8">
        <v>94080</v>
      </c>
    </row>
    <row r="15752" spans="1:6" ht="12.75">
      <c r="A15752" s="8">
        <v>43897.64539351852</v>
      </c>
      <c r="B15752" s="8" t="str">
        <f>HYPERLINK("https://twitter.com/halluismine","@halluismine")</f>
        <v>@halluismine</v>
      </c>
      <c r="C15752" s="8" t="s">
        <v>6421</v>
      </c>
      <c r="D15752" s="8">
        <v>0</v>
      </c>
      <c r="E15752" s="8">
        <v>0</v>
      </c>
      <c r="F15752" s="8">
        <v>2658</v>
      </c>
    </row>
    <row r="15753" spans="1:6" ht="12.75">
      <c r="A15753" s="8">
        <v>43897.645381944443</v>
      </c>
      <c r="B15753" s="8" t="str">
        <f>HYPERLINK("https://twitter.com/10F01C0","@10F01C0")</f>
        <v>@10F01C0</v>
      </c>
      <c r="C15753" s="8" t="s">
        <v>4162</v>
      </c>
      <c r="D15753" s="8">
        <v>75</v>
      </c>
      <c r="E15753" s="8">
        <v>0</v>
      </c>
      <c r="F15753" s="8">
        <v>6</v>
      </c>
    </row>
    <row r="15754" spans="1:6" ht="12.75">
      <c r="A15754" s="8">
        <v>43897.645127314812</v>
      </c>
      <c r="B15754" s="8" t="str">
        <f>HYPERLINK("https://twitter.com/mitaekook_","@mitaekook_")</f>
        <v>@mitaekook_</v>
      </c>
      <c r="C15754" s="8" t="s">
        <v>6422</v>
      </c>
      <c r="D15754" s="8">
        <v>0</v>
      </c>
      <c r="E15754" s="8">
        <v>0</v>
      </c>
      <c r="F15754" s="8">
        <v>4922</v>
      </c>
    </row>
    <row r="15755" spans="1:6" ht="12.75">
      <c r="A15755" s="8">
        <v>43897.644745370373</v>
      </c>
      <c r="B15755" s="8" t="str">
        <f>HYPERLINK("https://twitter.com/pujangga1123","@pujangga1123")</f>
        <v>@pujangga1123</v>
      </c>
      <c r="C15755" s="8" t="s">
        <v>4510</v>
      </c>
      <c r="D15755" s="8">
        <v>77</v>
      </c>
      <c r="E15755" s="8">
        <v>0</v>
      </c>
      <c r="F15755" s="8">
        <v>13210</v>
      </c>
    </row>
    <row r="15756" spans="1:6" ht="12.75">
      <c r="A15756" s="8">
        <v>43897.64439814815</v>
      </c>
      <c r="B15756" s="8" t="str">
        <f>HYPERLINK("https://twitter.com/ricowahyudi","@ricowahyudi")</f>
        <v>@ricowahyudi</v>
      </c>
      <c r="C15756" s="8" t="s">
        <v>3743</v>
      </c>
      <c r="D15756" s="8">
        <v>637</v>
      </c>
      <c r="E15756" s="8">
        <v>0</v>
      </c>
      <c r="F15756" s="8">
        <v>975</v>
      </c>
    </row>
    <row r="15757" spans="1:6" ht="12.75">
      <c r="A15757" s="8">
        <v>43897.643379629633</v>
      </c>
      <c r="B15757" s="8" t="str">
        <f>HYPERLINK("https://twitter.com/wni_jmsri","@wni_jmsri")</f>
        <v>@wni_jmsri</v>
      </c>
      <c r="C15757" s="8" t="s">
        <v>6423</v>
      </c>
      <c r="D15757" s="8">
        <v>3180</v>
      </c>
      <c r="E15757" s="8">
        <v>0</v>
      </c>
      <c r="F15757" s="8">
        <v>201</v>
      </c>
    </row>
    <row r="15758" spans="1:6" ht="12.75">
      <c r="A15758" s="8">
        <v>43897.642500000002</v>
      </c>
      <c r="B15758" s="8" t="str">
        <f>HYPERLINK("https://twitter.com/Beritadotnews","@Beritadotnews")</f>
        <v>@Beritadotnews</v>
      </c>
      <c r="C15758" s="8" t="s">
        <v>6424</v>
      </c>
      <c r="D15758" s="8">
        <v>0</v>
      </c>
      <c r="E15758" s="8">
        <v>0</v>
      </c>
      <c r="F15758" s="8">
        <v>40</v>
      </c>
    </row>
    <row r="15759" spans="1:6" ht="12.75">
      <c r="A15759" s="8">
        <v>43897.642465277779</v>
      </c>
      <c r="B15759" s="8" t="str">
        <f>HYPERLINK("https://twitter.com/ariothejock","@ariothejock")</f>
        <v>@ariothejock</v>
      </c>
      <c r="C15759" s="8" t="s">
        <v>4818</v>
      </c>
      <c r="D15759" s="8">
        <v>254</v>
      </c>
      <c r="E15759" s="8">
        <v>0</v>
      </c>
      <c r="F15759" s="8">
        <v>275</v>
      </c>
    </row>
    <row r="15760" spans="1:6" ht="12.75">
      <c r="A15760" s="8">
        <v>43897.642453703702</v>
      </c>
      <c r="B15760" s="8" t="str">
        <f>HYPERLINK("https://twitter.com/elox_bgt","@elox_bgt")</f>
        <v>@elox_bgt</v>
      </c>
      <c r="C15760" s="8" t="s">
        <v>4818</v>
      </c>
      <c r="D15760" s="8">
        <v>254</v>
      </c>
      <c r="E15760" s="8">
        <v>0</v>
      </c>
      <c r="F15760" s="8">
        <v>143</v>
      </c>
    </row>
    <row r="15761" spans="1:6" ht="12.75">
      <c r="A15761" s="8">
        <v>43897.641712962963</v>
      </c>
      <c r="B15761" s="8" t="str">
        <f>HYPERLINK("https://twitter.com/Galuhramadhania","@Galuhramadhania")</f>
        <v>@Galuhramadhania</v>
      </c>
      <c r="C15761" s="8" t="s">
        <v>4162</v>
      </c>
      <c r="D15761" s="8">
        <v>75</v>
      </c>
      <c r="E15761" s="8">
        <v>0</v>
      </c>
      <c r="F15761" s="8">
        <v>1962</v>
      </c>
    </row>
    <row r="15762" spans="1:6" ht="12.75">
      <c r="A15762" s="8">
        <v>43897.64162037037</v>
      </c>
      <c r="B15762" s="8" t="str">
        <f>HYPERLINK("https://twitter.com/CrEdhie","@CrEdhie")</f>
        <v>@CrEdhie</v>
      </c>
      <c r="C15762" s="8" t="s">
        <v>3743</v>
      </c>
      <c r="D15762" s="8">
        <v>637</v>
      </c>
      <c r="E15762" s="8">
        <v>0</v>
      </c>
      <c r="F15762" s="8">
        <v>8</v>
      </c>
    </row>
    <row r="15763" spans="1:6" ht="12.75">
      <c r="A15763" s="8">
        <v>43897.641446759255</v>
      </c>
      <c r="B15763" s="8" t="str">
        <f>HYPERLINK("https://twitter.com/wni_jmsri","@wni_jmsri")</f>
        <v>@wni_jmsri</v>
      </c>
      <c r="C15763" s="8" t="s">
        <v>6425</v>
      </c>
      <c r="D15763" s="8">
        <v>19109</v>
      </c>
      <c r="E15763" s="8">
        <v>0</v>
      </c>
      <c r="F15763" s="8">
        <v>201</v>
      </c>
    </row>
    <row r="15764" spans="1:6" ht="12.75">
      <c r="A15764" s="8">
        <v>43897.641192129631</v>
      </c>
      <c r="B15764" s="8" t="str">
        <f>HYPERLINK("https://twitter.com/HR_jangkrik","@HR_jangkrik")</f>
        <v>@HR_jangkrik</v>
      </c>
      <c r="C15764" s="8" t="s">
        <v>4510</v>
      </c>
      <c r="D15764" s="8">
        <v>77</v>
      </c>
      <c r="E15764" s="8">
        <v>0</v>
      </c>
      <c r="F15764" s="8">
        <v>209</v>
      </c>
    </row>
    <row r="15765" spans="1:6" ht="12.75">
      <c r="A15765" s="8">
        <v>43897.641111111108</v>
      </c>
      <c r="B15765" s="8" t="str">
        <f>HYPERLINK("https://twitter.com/ocheisoche","@ocheisoche")</f>
        <v>@ocheisoche</v>
      </c>
      <c r="C15765" s="8" t="s">
        <v>6426</v>
      </c>
      <c r="D15765" s="8">
        <v>0</v>
      </c>
      <c r="E15765" s="8">
        <v>0</v>
      </c>
      <c r="F15765" s="8">
        <v>67</v>
      </c>
    </row>
    <row r="15766" spans="1:6" ht="12.75">
      <c r="A15766" s="8">
        <v>43897.631620370375</v>
      </c>
      <c r="B15766" s="8" t="str">
        <f>HYPERLINK("https://twitter.com/samhudibae","@samhudibae")</f>
        <v>@samhudibae</v>
      </c>
      <c r="C15766" s="8" t="s">
        <v>6132</v>
      </c>
      <c r="D15766" s="8">
        <v>17</v>
      </c>
      <c r="E15766" s="8">
        <v>0</v>
      </c>
      <c r="F15766" s="8">
        <v>3824</v>
      </c>
    </row>
    <row r="15767" spans="1:6" ht="12.75">
      <c r="A15767" s="8">
        <v>43897.631284722222</v>
      </c>
      <c r="B15767" s="8" t="str">
        <f>HYPERLINK("https://twitter.com/jawapos","@jawapos")</f>
        <v>@jawapos</v>
      </c>
      <c r="C15767" s="8" t="s">
        <v>6427</v>
      </c>
      <c r="D15767" s="8">
        <v>0</v>
      </c>
      <c r="E15767" s="8">
        <v>0</v>
      </c>
      <c r="F15767" s="8">
        <v>127307</v>
      </c>
    </row>
    <row r="15768" spans="1:6" ht="12.75">
      <c r="A15768" s="8">
        <v>43897.630960648152</v>
      </c>
      <c r="B15768" s="8" t="str">
        <f>HYPERLINK("https://twitter.com/Melki82471708","@Melki82471708")</f>
        <v>@Melki82471708</v>
      </c>
      <c r="C15768" s="8" t="s">
        <v>4175</v>
      </c>
      <c r="D15768" s="8">
        <v>11</v>
      </c>
      <c r="E15768" s="8">
        <v>0</v>
      </c>
      <c r="F15768" s="8">
        <v>67</v>
      </c>
    </row>
    <row r="15769" spans="1:6" ht="12.75">
      <c r="A15769" s="8">
        <v>43897.630324074074</v>
      </c>
      <c r="B15769" s="8" t="str">
        <f>HYPERLINK("https://twitter.com/Apriil68","@Apriil68")</f>
        <v>@Apriil68</v>
      </c>
      <c r="C15769" s="8" t="s">
        <v>4510</v>
      </c>
      <c r="D15769" s="8">
        <v>59</v>
      </c>
      <c r="E15769" s="8">
        <v>0</v>
      </c>
      <c r="F15769" s="8">
        <v>3200</v>
      </c>
    </row>
    <row r="15770" spans="1:6" ht="12.75">
      <c r="A15770" s="8">
        <v>43897.630057870367</v>
      </c>
      <c r="B15770" s="8" t="str">
        <f>HYPERLINK("https://twitter.com/bhargavarocks15","@bhargavarocks15")</f>
        <v>@bhargavarocks15</v>
      </c>
      <c r="C15770" s="8" t="s">
        <v>6428</v>
      </c>
      <c r="D15770" s="8">
        <v>0</v>
      </c>
      <c r="E15770" s="8">
        <v>0</v>
      </c>
      <c r="F15770" s="8">
        <v>8</v>
      </c>
    </row>
    <row r="15771" spans="1:6" ht="12.75">
      <c r="A15771" s="8">
        <v>43897.63003472222</v>
      </c>
      <c r="B15771" s="8" t="str">
        <f>HYPERLINK("https://twitter.com/IbhamJ","@IbhamJ")</f>
        <v>@IbhamJ</v>
      </c>
      <c r="C15771" s="8" t="s">
        <v>3743</v>
      </c>
      <c r="D15771" s="8">
        <v>626</v>
      </c>
      <c r="E15771" s="8">
        <v>0</v>
      </c>
      <c r="F15771" s="8">
        <v>781</v>
      </c>
    </row>
    <row r="15772" spans="1:6" ht="12.75">
      <c r="A15772" s="8">
        <v>43897.629930555559</v>
      </c>
      <c r="B15772" s="8" t="str">
        <f>HYPERLINK("https://twitter.com/VanDenBray1","@VanDenBray1")</f>
        <v>@VanDenBray1</v>
      </c>
      <c r="C15772" s="8" t="s">
        <v>6429</v>
      </c>
      <c r="D15772" s="8">
        <v>0</v>
      </c>
      <c r="E15772" s="8">
        <v>0</v>
      </c>
      <c r="F15772" s="8">
        <v>508</v>
      </c>
    </row>
    <row r="15773" spans="1:6" ht="12.75">
      <c r="A15773" s="8">
        <v>43897.62976851852</v>
      </c>
      <c r="B15773" s="8" t="str">
        <f>HYPERLINK("https://twitter.com/JokowiAmin","@JokowiAmin")</f>
        <v>@JokowiAmin</v>
      </c>
      <c r="C15773" s="8" t="s">
        <v>3213</v>
      </c>
      <c r="D15773" s="8">
        <v>299</v>
      </c>
      <c r="E15773" s="8">
        <v>0</v>
      </c>
      <c r="F15773" s="8">
        <v>318</v>
      </c>
    </row>
    <row r="15774" spans="1:6" ht="12.75">
      <c r="A15774" s="8">
        <v>43897.629687499997</v>
      </c>
      <c r="B15774" s="8" t="str">
        <f>HYPERLINK("https://twitter.com/PradiptaArya4","@PradiptaArya4")</f>
        <v>@PradiptaArya4</v>
      </c>
      <c r="C15774" s="8" t="s">
        <v>4510</v>
      </c>
      <c r="D15774" s="8">
        <v>59</v>
      </c>
      <c r="E15774" s="8">
        <v>0</v>
      </c>
      <c r="F15774" s="8">
        <v>2550</v>
      </c>
    </row>
    <row r="15775" spans="1:6" ht="12.75">
      <c r="A15775" s="8">
        <v>43897.628182870365</v>
      </c>
      <c r="B15775" s="8" t="str">
        <f>HYPERLINK("https://twitter.com/JuaraRonny","@JuaraRonny")</f>
        <v>@JuaraRonny</v>
      </c>
      <c r="C15775" s="8" t="s">
        <v>3743</v>
      </c>
      <c r="D15775" s="8">
        <v>626</v>
      </c>
      <c r="E15775" s="8">
        <v>0</v>
      </c>
      <c r="F15775" s="8">
        <v>30</v>
      </c>
    </row>
    <row r="15776" spans="1:6" ht="12.75">
      <c r="A15776" s="8">
        <v>43897.628148148149</v>
      </c>
      <c r="B15776" s="8" t="str">
        <f>HYPERLINK("https://twitter.com/wiedwongkenthir","@wiedwongkenthir")</f>
        <v>@wiedwongkenthir</v>
      </c>
      <c r="C15776" s="8" t="s">
        <v>5103</v>
      </c>
      <c r="D15776" s="8">
        <v>189</v>
      </c>
      <c r="E15776" s="8">
        <v>0</v>
      </c>
      <c r="F15776" s="8">
        <v>1148</v>
      </c>
    </row>
    <row r="15777" spans="1:6" ht="12.75">
      <c r="A15777" s="8">
        <v>43897.627662037034</v>
      </c>
      <c r="B15777" s="8" t="str">
        <f>HYPERLINK("https://twitter.com/a9ustiono","@a9ustiono")</f>
        <v>@a9ustiono</v>
      </c>
      <c r="C15777" s="8" t="s">
        <v>6132</v>
      </c>
      <c r="D15777" s="8">
        <v>17</v>
      </c>
      <c r="E15777" s="8">
        <v>0</v>
      </c>
      <c r="F15777" s="8">
        <v>1945</v>
      </c>
    </row>
    <row r="15778" spans="1:6" ht="12.75">
      <c r="A15778" s="8">
        <v>43897.626932870371</v>
      </c>
      <c r="B15778" s="8" t="str">
        <f>HYPERLINK("https://twitter.com/JumardiDaeng","@JumardiDaeng")</f>
        <v>@JumardiDaeng</v>
      </c>
      <c r="C15778" s="8" t="s">
        <v>6430</v>
      </c>
      <c r="D15778" s="8">
        <v>0</v>
      </c>
      <c r="E15778" s="8">
        <v>0</v>
      </c>
      <c r="F15778" s="8">
        <v>51</v>
      </c>
    </row>
    <row r="15779" spans="1:6" ht="12.75">
      <c r="A15779" s="8">
        <v>43897.626898148148</v>
      </c>
      <c r="B15779" s="8" t="str">
        <f>HYPERLINK("https://twitter.com/yp_narendra","@yp_narendra")</f>
        <v>@yp_narendra</v>
      </c>
      <c r="C15779" s="8" t="s">
        <v>3213</v>
      </c>
      <c r="D15779" s="8">
        <v>299</v>
      </c>
      <c r="E15779" s="8">
        <v>0</v>
      </c>
      <c r="F15779" s="8">
        <v>227</v>
      </c>
    </row>
    <row r="15780" spans="1:6" ht="12.75">
      <c r="A15780" s="8">
        <v>43897.625891203701</v>
      </c>
      <c r="B15780" s="8" t="str">
        <f>HYPERLINK("https://twitter.com/gemilang06","@gemilang06")</f>
        <v>@gemilang06</v>
      </c>
      <c r="C15780" s="8" t="s">
        <v>6132</v>
      </c>
      <c r="D15780" s="8">
        <v>17</v>
      </c>
      <c r="E15780" s="8">
        <v>0</v>
      </c>
      <c r="F15780" s="8">
        <v>1729</v>
      </c>
    </row>
    <row r="15781" spans="1:6" ht="12.75">
      <c r="A15781" s="8">
        <v>43897.625150462962</v>
      </c>
      <c r="B15781" s="8" t="str">
        <f>HYPERLINK("https://twitter.com/alex_hunter146","@alex_hunter146")</f>
        <v>@alex_hunter146</v>
      </c>
      <c r="C15781" s="8" t="s">
        <v>6431</v>
      </c>
      <c r="D15781" s="8">
        <v>0</v>
      </c>
      <c r="E15781" s="8">
        <v>0</v>
      </c>
      <c r="F15781" s="8">
        <v>1521</v>
      </c>
    </row>
    <row r="15782" spans="1:6" ht="12.75">
      <c r="A15782" s="8">
        <v>43897.624884259261</v>
      </c>
      <c r="B15782" s="8" t="str">
        <f>HYPERLINK("https://twitter.com/aryopramudito2","@aryopramudito2")</f>
        <v>@aryopramudito2</v>
      </c>
      <c r="C15782" s="8" t="s">
        <v>5704</v>
      </c>
      <c r="D15782" s="8">
        <v>25</v>
      </c>
      <c r="E15782" s="8">
        <v>0</v>
      </c>
      <c r="F15782" s="8">
        <v>209</v>
      </c>
    </row>
    <row r="15783" spans="1:6" ht="12.75">
      <c r="A15783" s="8">
        <v>43897.624745370369</v>
      </c>
      <c r="B15783" s="8" t="str">
        <f>HYPERLINK("https://twitter.com/minerva_zain","@minerva_zain")</f>
        <v>@minerva_zain</v>
      </c>
      <c r="C15783" s="8" t="s">
        <v>6407</v>
      </c>
      <c r="D15783" s="8">
        <v>9</v>
      </c>
      <c r="E15783" s="8">
        <v>0</v>
      </c>
      <c r="F15783" s="8">
        <v>69</v>
      </c>
    </row>
    <row r="15784" spans="1:6" ht="12.75">
      <c r="A15784" s="8">
        <v>43897.624571759261</v>
      </c>
      <c r="B15784" s="8" t="str">
        <f>HYPERLINK("https://twitter.com/informasi971","@informasi971")</f>
        <v>@informasi971</v>
      </c>
      <c r="C15784" s="8" t="s">
        <v>6432</v>
      </c>
      <c r="D15784" s="8">
        <v>0</v>
      </c>
      <c r="E15784" s="8">
        <v>0</v>
      </c>
      <c r="F15784" s="8">
        <v>1</v>
      </c>
    </row>
    <row r="15785" spans="1:6" ht="12.75">
      <c r="A15785" s="8">
        <v>43897.623287037037</v>
      </c>
      <c r="B15785" s="8" t="str">
        <f>HYPERLINK("https://twitter.com/AnakLolina","@AnakLolina")</f>
        <v>@AnakLolina</v>
      </c>
      <c r="C15785" s="8" t="s">
        <v>6132</v>
      </c>
      <c r="D15785" s="8">
        <v>17</v>
      </c>
      <c r="E15785" s="8">
        <v>0</v>
      </c>
      <c r="F15785" s="8">
        <v>15213</v>
      </c>
    </row>
    <row r="15786" spans="1:6" ht="12.75">
      <c r="A15786" s="8">
        <v>43897.623148148152</v>
      </c>
      <c r="B15786" s="8" t="str">
        <f>HYPERLINK("https://twitter.com/Spider__matriX","@Spider__matriX")</f>
        <v>@Spider__matriX</v>
      </c>
      <c r="C15786" s="8" t="s">
        <v>6113</v>
      </c>
      <c r="D15786" s="8">
        <v>11</v>
      </c>
      <c r="E15786" s="8">
        <v>0</v>
      </c>
      <c r="F15786" s="8">
        <v>5017</v>
      </c>
    </row>
    <row r="15787" spans="1:6" ht="12.75">
      <c r="A15787" s="8">
        <v>43897.622523148151</v>
      </c>
      <c r="B15787" s="8" t="str">
        <f>HYPERLINK("https://twitter.com/Toni19402930","@Toni19402930")</f>
        <v>@Toni19402930</v>
      </c>
      <c r="C15787" s="8" t="s">
        <v>4510</v>
      </c>
      <c r="D15787" s="8">
        <v>59</v>
      </c>
      <c r="E15787" s="8">
        <v>0</v>
      </c>
      <c r="F15787" s="8">
        <v>5</v>
      </c>
    </row>
    <row r="15788" spans="1:6" ht="12.75">
      <c r="A15788" s="8">
        <v>43897.622453703705</v>
      </c>
      <c r="B15788" s="8" t="str">
        <f>HYPERLINK("https://twitter.com/Indonesiathano2","@Indonesiathano2")</f>
        <v>@Indonesiathano2</v>
      </c>
      <c r="C15788" s="8" t="s">
        <v>6432</v>
      </c>
      <c r="D15788" s="8">
        <v>0</v>
      </c>
      <c r="E15788" s="8">
        <v>0</v>
      </c>
      <c r="F15788" s="8">
        <v>1</v>
      </c>
    </row>
    <row r="15789" spans="1:6" ht="12.75">
      <c r="A15789" s="8">
        <v>43897.621736111112</v>
      </c>
      <c r="B15789" s="8" t="str">
        <f>HYPERLINK("https://twitter.com/marinarambe","@marinarambe")</f>
        <v>@marinarambe</v>
      </c>
      <c r="C15789" s="8" t="s">
        <v>6433</v>
      </c>
      <c r="D15789" s="8">
        <v>0</v>
      </c>
      <c r="E15789" s="8">
        <v>0</v>
      </c>
      <c r="F15789" s="8">
        <v>1352</v>
      </c>
    </row>
    <row r="15790" spans="1:6" ht="12.75">
      <c r="A15790" s="8">
        <v>43897.621550925927</v>
      </c>
      <c r="B15790" s="8" t="str">
        <f>HYPERLINK("https://twitter.com/VIVAcoid","@VIVAcoid")</f>
        <v>@VIVAcoid</v>
      </c>
      <c r="C15790" s="8" t="s">
        <v>6434</v>
      </c>
      <c r="D15790" s="8">
        <v>2</v>
      </c>
      <c r="E15790" s="8">
        <v>0</v>
      </c>
      <c r="F15790" s="8">
        <v>4175875</v>
      </c>
    </row>
    <row r="15791" spans="1:6" ht="12.75">
      <c r="A15791" s="8">
        <v>43897.621412037042</v>
      </c>
      <c r="B15791" s="8" t="str">
        <f>HYPERLINK("https://twitter.com/isis_eve","@isis_eve")</f>
        <v>@isis_eve</v>
      </c>
      <c r="C15791" s="8" t="s">
        <v>6435</v>
      </c>
      <c r="D15791" s="8">
        <v>459</v>
      </c>
      <c r="E15791" s="8">
        <v>0</v>
      </c>
      <c r="F15791" s="8">
        <v>217</v>
      </c>
    </row>
    <row r="15792" spans="1:6" ht="12.75">
      <c r="A15792" s="8">
        <v>43897.62128472222</v>
      </c>
      <c r="B15792" s="8" t="str">
        <f>HYPERLINK("https://twitter.com/AnakLolina","@AnakLolina")</f>
        <v>@AnakLolina</v>
      </c>
      <c r="C15792" s="8" t="s">
        <v>6252</v>
      </c>
      <c r="D15792" s="8">
        <v>30</v>
      </c>
      <c r="E15792" s="8">
        <v>0</v>
      </c>
      <c r="F15792" s="8">
        <v>15213</v>
      </c>
    </row>
    <row r="15793" spans="1:6" ht="12.75">
      <c r="A15793" s="8">
        <v>43897.621238425927</v>
      </c>
      <c r="B15793" s="8" t="str">
        <f>HYPERLINK("https://twitter.com/HWitomo","@HWitomo")</f>
        <v>@HWitomo</v>
      </c>
      <c r="C15793" s="8" t="s">
        <v>4162</v>
      </c>
      <c r="D15793" s="8">
        <v>70</v>
      </c>
      <c r="E15793" s="8">
        <v>0</v>
      </c>
      <c r="F15793" s="8">
        <v>0</v>
      </c>
    </row>
    <row r="15794" spans="1:6" ht="12.75">
      <c r="A15794" s="8">
        <v>43897.621203703704</v>
      </c>
      <c r="B15794" s="8" t="str">
        <f>HYPERLINK("https://twitter.com/vivanewscom","@vivanewscom")</f>
        <v>@vivanewscom</v>
      </c>
      <c r="C15794" s="8" t="s">
        <v>6436</v>
      </c>
      <c r="D15794" s="8">
        <v>2</v>
      </c>
      <c r="E15794" s="8">
        <v>2</v>
      </c>
      <c r="F15794" s="8">
        <v>4764</v>
      </c>
    </row>
    <row r="15795" spans="1:6" ht="12.75">
      <c r="A15795" s="8">
        <v>43897.621157407411</v>
      </c>
      <c r="B15795" s="8" t="str">
        <f>HYPERLINK("https://twitter.com/MrsRachelIn","@MrsRachelIn")</f>
        <v>@MrsRachelIn</v>
      </c>
      <c r="C15795" s="8" t="s">
        <v>6437</v>
      </c>
      <c r="D15795" s="8">
        <v>0</v>
      </c>
      <c r="E15795" s="8">
        <v>0</v>
      </c>
      <c r="F15795" s="8">
        <v>3488</v>
      </c>
    </row>
    <row r="15796" spans="1:6" ht="12.75">
      <c r="A15796" s="8">
        <v>43897.620983796296</v>
      </c>
      <c r="B15796" s="8" t="str">
        <f>HYPERLINK("https://twitter.com/davidsimbolon78","@davidsimbolon78")</f>
        <v>@davidsimbolon78</v>
      </c>
      <c r="C15796" s="8" t="s">
        <v>6407</v>
      </c>
      <c r="D15796" s="8">
        <v>9</v>
      </c>
      <c r="E15796" s="8">
        <v>0</v>
      </c>
      <c r="F15796" s="8">
        <v>152</v>
      </c>
    </row>
    <row r="15797" spans="1:6" ht="12.75">
      <c r="A15797" s="8">
        <v>43897.620671296296</v>
      </c>
      <c r="B15797" s="8" t="str">
        <f>HYPERLINK("https://twitter.com/DavinaKeana1","@DavinaKeana1")</f>
        <v>@DavinaKeana1</v>
      </c>
      <c r="C15797" s="8" t="s">
        <v>6438</v>
      </c>
      <c r="D15797" s="8">
        <v>0</v>
      </c>
      <c r="E15797" s="8">
        <v>0</v>
      </c>
      <c r="F15797" s="8">
        <v>38</v>
      </c>
    </row>
    <row r="15798" spans="1:6" ht="12.75">
      <c r="A15798" s="8">
        <v>43897.620428240742</v>
      </c>
      <c r="B15798" s="8" t="str">
        <f>HYPERLINK("https://twitter.com/ayuwinangun","@ayuwinangun")</f>
        <v>@ayuwinangun</v>
      </c>
      <c r="C15798" s="8" t="s">
        <v>6439</v>
      </c>
      <c r="D15798" s="8">
        <v>7</v>
      </c>
      <c r="E15798" s="8">
        <v>0</v>
      </c>
      <c r="F15798" s="8">
        <v>427</v>
      </c>
    </row>
    <row r="15799" spans="1:6" ht="12.75">
      <c r="A15799" s="8">
        <v>43897.61990740741</v>
      </c>
      <c r="B15799" s="8" t="str">
        <f>HYPERLINK("https://twitter.com/tama_anwar","@tama_anwar")</f>
        <v>@tama_anwar</v>
      </c>
      <c r="C15799" s="8" t="s">
        <v>4510</v>
      </c>
      <c r="D15799" s="8">
        <v>59</v>
      </c>
      <c r="E15799" s="8">
        <v>0</v>
      </c>
      <c r="F15799" s="8">
        <v>76</v>
      </c>
    </row>
    <row r="15800" spans="1:6" ht="12.75">
      <c r="A15800" s="8">
        <v>43897.619259259256</v>
      </c>
      <c r="B15800" s="8" t="str">
        <f>HYPERLINK("https://twitter.com/Petasan2024","@Petasan2024")</f>
        <v>@Petasan2024</v>
      </c>
      <c r="C15800" s="8" t="s">
        <v>6407</v>
      </c>
      <c r="D15800" s="8">
        <v>9</v>
      </c>
      <c r="E15800" s="8">
        <v>0</v>
      </c>
      <c r="F15800" s="8">
        <v>150</v>
      </c>
    </row>
    <row r="15801" spans="1:6" ht="12.75">
      <c r="A15801" s="8">
        <v>43897.619143518517</v>
      </c>
      <c r="B15801" s="8" t="str">
        <f>HYPERLINK("https://twitter.com/yazid_fadhlan","@yazid_fadhlan")</f>
        <v>@yazid_fadhlan</v>
      </c>
      <c r="C15801" s="8" t="s">
        <v>6440</v>
      </c>
      <c r="D15801" s="8">
        <v>0</v>
      </c>
      <c r="E15801" s="8">
        <v>0</v>
      </c>
      <c r="F15801" s="8">
        <v>638</v>
      </c>
    </row>
    <row r="15802" spans="1:6" ht="12.75">
      <c r="A15802" s="8">
        <v>43897.619143518517</v>
      </c>
      <c r="B15802" s="8" t="str">
        <f>HYPERLINK("https://twitter.com/okezonenews","@okezonenews")</f>
        <v>@okezonenews</v>
      </c>
      <c r="C15802" s="8" t="s">
        <v>6441</v>
      </c>
      <c r="D15802" s="8">
        <v>0</v>
      </c>
      <c r="E15802" s="8">
        <v>2</v>
      </c>
      <c r="F15802" s="8">
        <v>1744084</v>
      </c>
    </row>
    <row r="15803" spans="1:6" ht="12.75">
      <c r="A15803" s="8">
        <v>43897.619062500002</v>
      </c>
      <c r="B15803" s="8" t="str">
        <f>HYPERLINK("https://twitter.com/YugoJokoLelono6","@YugoJokoLelono6")</f>
        <v>@YugoJokoLelono6</v>
      </c>
      <c r="C15803" s="8" t="s">
        <v>6442</v>
      </c>
      <c r="D15803" s="8">
        <v>0</v>
      </c>
      <c r="E15803" s="8">
        <v>0</v>
      </c>
      <c r="F15803" s="8">
        <v>2</v>
      </c>
    </row>
    <row r="15804" spans="1:6" ht="12.75">
      <c r="A15804" s="8">
        <v>43897.61855324074</v>
      </c>
      <c r="B15804" s="8" t="str">
        <f>HYPERLINK("https://twitter.com/KEZIAAM0UR","@KEZIAAM0UR")</f>
        <v>@KEZIAAM0UR</v>
      </c>
      <c r="C15804" s="8" t="s">
        <v>6443</v>
      </c>
      <c r="D15804" s="8">
        <v>0</v>
      </c>
      <c r="E15804" s="8">
        <v>0</v>
      </c>
      <c r="F15804" s="8">
        <v>99</v>
      </c>
    </row>
    <row r="15805" spans="1:6" ht="12.75">
      <c r="A15805" s="8">
        <v>43897.61787037037</v>
      </c>
      <c r="B15805" s="8" t="str">
        <f>HYPERLINK("https://twitter.com/AgusBlo73","@AgusBlo73")</f>
        <v>@AgusBlo73</v>
      </c>
      <c r="C15805" s="8" t="s">
        <v>6444</v>
      </c>
      <c r="D15805" s="8">
        <v>0</v>
      </c>
      <c r="E15805" s="8">
        <v>0</v>
      </c>
      <c r="F15805" s="8">
        <v>12</v>
      </c>
    </row>
    <row r="15806" spans="1:6" ht="12.75">
      <c r="A15806" s="8">
        <v>43897.617743055554</v>
      </c>
      <c r="B15806" s="8" t="str">
        <f>HYPERLINK("https://twitter.com/Nurmajuliant","@Nurmajuliant")</f>
        <v>@Nurmajuliant</v>
      </c>
      <c r="C15806" s="8" t="s">
        <v>6445</v>
      </c>
      <c r="D15806" s="8">
        <v>0</v>
      </c>
      <c r="E15806" s="8">
        <v>0</v>
      </c>
      <c r="F15806" s="8">
        <v>75</v>
      </c>
    </row>
    <row r="15807" spans="1:6" ht="12.75">
      <c r="A15807" s="8">
        <v>43897.617685185185</v>
      </c>
      <c r="B15807" s="8" t="str">
        <f>HYPERLINK("https://twitter.com/Derri_dayen","@Derri_dayen")</f>
        <v>@Derri_dayen</v>
      </c>
      <c r="C15807" s="8" t="s">
        <v>6128</v>
      </c>
      <c r="D15807" s="8">
        <v>39</v>
      </c>
      <c r="E15807" s="8">
        <v>0</v>
      </c>
      <c r="F15807" s="8">
        <v>672</v>
      </c>
    </row>
    <row r="15808" spans="1:6" ht="12.75">
      <c r="A15808" s="8">
        <v>43897.617511574077</v>
      </c>
      <c r="B15808" s="8" t="str">
        <f>HYPERLINK("https://twitter.com/Dansky77","@Dansky77")</f>
        <v>@Dansky77</v>
      </c>
      <c r="C15808" s="8" t="s">
        <v>6446</v>
      </c>
      <c r="D15808" s="8">
        <v>0</v>
      </c>
      <c r="E15808" s="8">
        <v>0</v>
      </c>
      <c r="F15808" s="8">
        <v>239</v>
      </c>
    </row>
    <row r="15809" spans="1:6" ht="12.75">
      <c r="A15809" s="8">
        <v>43897.617395833338</v>
      </c>
      <c r="B15809" s="8" t="str">
        <f>HYPERLINK("https://twitter.com/tempodotco","@tempodotco")</f>
        <v>@tempodotco</v>
      </c>
      <c r="C15809" s="8" t="s">
        <v>6447</v>
      </c>
      <c r="D15809" s="8">
        <v>0</v>
      </c>
      <c r="E15809" s="8">
        <v>1</v>
      </c>
      <c r="F15809" s="8">
        <v>1713346</v>
      </c>
    </row>
    <row r="15810" spans="1:6" ht="12.75">
      <c r="A15810" s="8">
        <v>43897.616643518515</v>
      </c>
      <c r="B15810" s="8" t="str">
        <f>HYPERLINK("https://twitter.com/adeteriyanaa","@adeteriyanaa")</f>
        <v>@adeteriyanaa</v>
      </c>
      <c r="C15810" s="8" t="s">
        <v>4510</v>
      </c>
      <c r="D15810" s="8">
        <v>59</v>
      </c>
      <c r="E15810" s="8">
        <v>0</v>
      </c>
      <c r="F15810" s="8">
        <v>1472</v>
      </c>
    </row>
    <row r="15811" spans="1:6" ht="12.75">
      <c r="A15811" s="8">
        <v>43897.616643518515</v>
      </c>
      <c r="B15811" s="8" t="str">
        <f>HYPERLINK("https://twitter.com/aoi_usagi79","@aoi_usagi79")</f>
        <v>@aoi_usagi79</v>
      </c>
      <c r="C15811" s="8" t="s">
        <v>6407</v>
      </c>
      <c r="D15811" s="8">
        <v>9</v>
      </c>
      <c r="E15811" s="8">
        <v>0</v>
      </c>
      <c r="F15811" s="8">
        <v>369</v>
      </c>
    </row>
    <row r="15812" spans="1:6" ht="12.75">
      <c r="A15812" s="8">
        <v>43897.616562499999</v>
      </c>
      <c r="B15812" s="8" t="str">
        <f>HYPERLINK("https://twitter.com/Aldiriiz","@Aldiriiz")</f>
        <v>@Aldiriiz</v>
      </c>
      <c r="C15812" s="8" t="s">
        <v>6448</v>
      </c>
      <c r="D15812" s="8">
        <v>3</v>
      </c>
      <c r="E15812" s="8">
        <v>0</v>
      </c>
      <c r="F15812" s="8">
        <v>443</v>
      </c>
    </row>
    <row r="15813" spans="1:6" ht="12.75">
      <c r="A15813" s="8">
        <v>43897.616435185184</v>
      </c>
      <c r="B15813" s="8" t="str">
        <f>HYPERLINK("https://twitter.com/Antara_Kalteng","@Antara_Kalteng")</f>
        <v>@Antara_Kalteng</v>
      </c>
      <c r="C15813" s="8" t="s">
        <v>6449</v>
      </c>
      <c r="D15813" s="8">
        <v>0</v>
      </c>
      <c r="E15813" s="8">
        <v>0</v>
      </c>
      <c r="F15813" s="8">
        <v>4668</v>
      </c>
    </row>
    <row r="15814" spans="1:6" ht="12.75">
      <c r="A15814" s="8">
        <v>43897.616226851853</v>
      </c>
      <c r="B15814" s="8" t="str">
        <f>HYPERLINK("https://twitter.com/mampetbanged","@mampetbanged")</f>
        <v>@mampetbanged</v>
      </c>
      <c r="C15814" s="8" t="s">
        <v>4510</v>
      </c>
      <c r="D15814" s="8">
        <v>59</v>
      </c>
      <c r="E15814" s="8">
        <v>0</v>
      </c>
      <c r="F15814" s="8">
        <v>2259</v>
      </c>
    </row>
    <row r="15815" spans="1:6" ht="12.75">
      <c r="A15815" s="8">
        <v>43897.616145833337</v>
      </c>
      <c r="B15815" s="8" t="str">
        <f>HYPERLINK("https://twitter.com/kiesahid","@kiesahid")</f>
        <v>@kiesahid</v>
      </c>
      <c r="C15815" s="8" t="s">
        <v>6450</v>
      </c>
      <c r="D15815" s="8">
        <v>1</v>
      </c>
      <c r="E15815" s="8">
        <v>0</v>
      </c>
      <c r="F15815" s="8">
        <v>239</v>
      </c>
    </row>
    <row r="15816" spans="1:6" ht="12.75">
      <c r="A15816" s="8">
        <v>43897.616064814814</v>
      </c>
      <c r="B15816" s="8" t="str">
        <f>HYPERLINK("https://twitter.com/Tina_Widia","@Tina_Widia")</f>
        <v>@Tina_Widia</v>
      </c>
      <c r="C15816" s="8" t="s">
        <v>6407</v>
      </c>
      <c r="D15816" s="8">
        <v>9</v>
      </c>
      <c r="E15816" s="8">
        <v>0</v>
      </c>
      <c r="F15816" s="8">
        <v>146</v>
      </c>
    </row>
    <row r="15817" spans="1:6" ht="12.75">
      <c r="A15817" s="8">
        <v>43897.616053240738</v>
      </c>
      <c r="B15817" s="8" t="str">
        <f>HYPERLINK("https://twitter.com/VaniaCiprut","@VaniaCiprut")</f>
        <v>@VaniaCiprut</v>
      </c>
      <c r="C15817" s="8" t="s">
        <v>4510</v>
      </c>
      <c r="D15817" s="8">
        <v>59</v>
      </c>
      <c r="E15817" s="8">
        <v>0</v>
      </c>
      <c r="F15817" s="8">
        <v>5543</v>
      </c>
    </row>
    <row r="15818" spans="1:6" ht="12.75">
      <c r="A15818" s="8">
        <v>43897.616030092591</v>
      </c>
      <c r="B15818" s="8" t="str">
        <f>HYPERLINK("https://twitter.com/MZubir_ID","@MZubir_ID")</f>
        <v>@MZubir_ID</v>
      </c>
      <c r="C15818" s="8" t="s">
        <v>6451</v>
      </c>
      <c r="D15818" s="8">
        <v>0</v>
      </c>
      <c r="E15818" s="8">
        <v>0</v>
      </c>
      <c r="F15818" s="8">
        <v>5859</v>
      </c>
    </row>
    <row r="15819" spans="1:6" ht="12.75">
      <c r="A15819" s="8">
        <v>43897.614895833336</v>
      </c>
      <c r="B15819" s="8" t="str">
        <f>HYPERLINK("https://twitter.com/medcom_id","@medcom_id")</f>
        <v>@medcom_id</v>
      </c>
      <c r="C15819" s="8" t="s">
        <v>6452</v>
      </c>
      <c r="D15819" s="8">
        <v>0</v>
      </c>
      <c r="E15819" s="8">
        <v>0</v>
      </c>
      <c r="F15819" s="8">
        <v>18514</v>
      </c>
    </row>
    <row r="15820" spans="1:6" ht="12.75">
      <c r="A15820" s="8">
        <v>43897.614768518513</v>
      </c>
      <c r="B15820" s="8" t="str">
        <f t="shared" ref="B15820:B15821" si="241">HYPERLINK("https://twitter.com/larasatidewi__","@larasatidewi__")</f>
        <v>@larasatidewi__</v>
      </c>
      <c r="C15820" s="8" t="s">
        <v>6448</v>
      </c>
      <c r="D15820" s="8">
        <v>3</v>
      </c>
      <c r="E15820" s="8">
        <v>0</v>
      </c>
      <c r="F15820" s="8">
        <v>496</v>
      </c>
    </row>
    <row r="15821" spans="1:6" ht="12.75">
      <c r="A15821" s="8">
        <v>43897.614664351851</v>
      </c>
      <c r="B15821" s="8" t="str">
        <f t="shared" si="241"/>
        <v>@larasatidewi__</v>
      </c>
      <c r="C15821" s="8" t="s">
        <v>6407</v>
      </c>
      <c r="D15821" s="8">
        <v>9</v>
      </c>
      <c r="E15821" s="8">
        <v>0</v>
      </c>
      <c r="F15821" s="8">
        <v>496</v>
      </c>
    </row>
    <row r="15822" spans="1:6" ht="12.75">
      <c r="A15822" s="8">
        <v>43897.614259259259</v>
      </c>
      <c r="B15822" s="8" t="str">
        <f t="shared" ref="B15822:B15823" si="242">HYPERLINK("https://twitter.com/kompascom","@kompascom")</f>
        <v>@kompascom</v>
      </c>
      <c r="C15822" s="8" t="s">
        <v>6453</v>
      </c>
      <c r="D15822" s="8">
        <v>9</v>
      </c>
      <c r="E15822" s="8">
        <v>22</v>
      </c>
      <c r="F15822" s="8">
        <v>7533179</v>
      </c>
    </row>
    <row r="15823" spans="1:6" ht="12.75">
      <c r="A15823" s="8">
        <v>43897.614247685182</v>
      </c>
      <c r="B15823" s="8" t="str">
        <f t="shared" si="242"/>
        <v>@kompascom</v>
      </c>
      <c r="C15823" s="8" t="s">
        <v>6454</v>
      </c>
      <c r="D15823" s="8">
        <v>3</v>
      </c>
      <c r="E15823" s="8">
        <v>6</v>
      </c>
      <c r="F15823" s="8">
        <v>7533179</v>
      </c>
    </row>
    <row r="15824" spans="1:6" ht="12.75">
      <c r="A15824" s="8">
        <v>43897.61414351852</v>
      </c>
      <c r="B15824" s="8" t="str">
        <f>HYPERLINK("https://twitter.com/AndaYan80522984","@AndaYan80522984")</f>
        <v>@AndaYan80522984</v>
      </c>
      <c r="C15824" s="8" t="s">
        <v>3743</v>
      </c>
      <c r="D15824" s="8">
        <v>626</v>
      </c>
      <c r="E15824" s="8">
        <v>0</v>
      </c>
      <c r="F15824" s="8">
        <v>51</v>
      </c>
    </row>
    <row r="15825" spans="1:6" ht="12.75">
      <c r="A15825" s="8">
        <v>43897.614039351851</v>
      </c>
      <c r="B15825" s="8" t="str">
        <f>HYPERLINK("https://twitter.com/M_s_faisal","@M_s_faisal")</f>
        <v>@M_s_faisal</v>
      </c>
      <c r="C15825" s="8" t="s">
        <v>6455</v>
      </c>
      <c r="D15825" s="8">
        <v>0</v>
      </c>
      <c r="E15825" s="8">
        <v>0</v>
      </c>
      <c r="F15825" s="8">
        <v>34</v>
      </c>
    </row>
    <row r="15826" spans="1:6" ht="12.75">
      <c r="A15826" s="8">
        <v>43897.61383101852</v>
      </c>
      <c r="B15826" s="8" t="str">
        <f>HYPERLINK("https://twitter.com/AnakLolina","@AnakLolina")</f>
        <v>@AnakLolina</v>
      </c>
      <c r="C15826" s="8" t="s">
        <v>6113</v>
      </c>
      <c r="D15826" s="8">
        <v>11</v>
      </c>
      <c r="E15826" s="8">
        <v>0</v>
      </c>
      <c r="F15826" s="8">
        <v>15213</v>
      </c>
    </row>
    <row r="15827" spans="1:6" ht="12.75">
      <c r="A15827" s="8">
        <v>43897.613009259258</v>
      </c>
      <c r="B15827" s="8" t="str">
        <f>HYPERLINK("https://twitter.com/Sha_cha16","@Sha_cha16")</f>
        <v>@Sha_cha16</v>
      </c>
      <c r="C15827" s="8" t="s">
        <v>6456</v>
      </c>
      <c r="D15827" s="8">
        <v>2</v>
      </c>
      <c r="E15827" s="8">
        <v>0</v>
      </c>
      <c r="F15827" s="8">
        <v>2</v>
      </c>
    </row>
    <row r="15828" spans="1:6" ht="12.75">
      <c r="A15828" s="8">
        <v>43897.612719907411</v>
      </c>
      <c r="B15828" s="8" t="str">
        <f>HYPERLINK("https://twitter.com/7int4Putih","@7int4Putih")</f>
        <v>@7int4Putih</v>
      </c>
      <c r="C15828" s="8" t="s">
        <v>6252</v>
      </c>
      <c r="D15828" s="8">
        <v>30</v>
      </c>
      <c r="E15828" s="8">
        <v>0</v>
      </c>
      <c r="F15828" s="8">
        <v>1214</v>
      </c>
    </row>
    <row r="15829" spans="1:6" ht="12.75">
      <c r="A15829" s="8">
        <v>43897.612500000003</v>
      </c>
      <c r="B15829" s="8" t="str">
        <f>HYPERLINK("https://twitter.com/Nadila_ID","@Nadila_ID")</f>
        <v>@Nadila_ID</v>
      </c>
      <c r="C15829" s="8" t="s">
        <v>6457</v>
      </c>
      <c r="D15829" s="8">
        <v>0</v>
      </c>
      <c r="E15829" s="8">
        <v>0</v>
      </c>
      <c r="F15829" s="8">
        <v>7168</v>
      </c>
    </row>
    <row r="15830" spans="1:6" ht="12.75">
      <c r="A15830" s="8">
        <v>43897.611967592587</v>
      </c>
      <c r="B15830" s="8" t="str">
        <f>HYPERLINK("https://twitter.com/7int4Putih","@7int4Putih")</f>
        <v>@7int4Putih</v>
      </c>
      <c r="C15830" s="8" t="s">
        <v>4510</v>
      </c>
      <c r="D15830" s="8">
        <v>59</v>
      </c>
      <c r="E15830" s="8">
        <v>0</v>
      </c>
      <c r="F15830" s="8">
        <v>1214</v>
      </c>
    </row>
    <row r="15831" spans="1:6" ht="12.75">
      <c r="A15831" s="8">
        <v>43897.611192129625</v>
      </c>
      <c r="B15831" s="8" t="str">
        <f>HYPERLINK("https://twitter.com/atidalvina","@atidalvina")</f>
        <v>@atidalvina</v>
      </c>
      <c r="C15831" s="8" t="s">
        <v>2272</v>
      </c>
      <c r="D15831" s="8">
        <v>1030</v>
      </c>
      <c r="E15831" s="8">
        <v>0</v>
      </c>
      <c r="F15831" s="8">
        <v>599</v>
      </c>
    </row>
    <row r="15832" spans="1:6" ht="12.75">
      <c r="A15832" s="8">
        <v>43897.610671296294</v>
      </c>
      <c r="B15832" s="8" t="str">
        <f>HYPERLINK("https://twitter.com/dimitrijafarov","@dimitrijafarov")</f>
        <v>@dimitrijafarov</v>
      </c>
      <c r="C15832" s="8" t="s">
        <v>6458</v>
      </c>
      <c r="D15832" s="8">
        <v>0</v>
      </c>
      <c r="E15832" s="8">
        <v>0</v>
      </c>
      <c r="F15832" s="8">
        <v>2</v>
      </c>
    </row>
    <row r="15833" spans="1:6" ht="12.75">
      <c r="A15833" s="8">
        <v>43897.610115740739</v>
      </c>
      <c r="B15833" s="8" t="str">
        <f>HYPERLINK("https://twitter.com/Rifkyakbar","@Rifkyakbar")</f>
        <v>@Rifkyakbar</v>
      </c>
      <c r="C15833" s="8" t="s">
        <v>4162</v>
      </c>
      <c r="D15833" s="8">
        <v>70</v>
      </c>
      <c r="E15833" s="8">
        <v>0</v>
      </c>
      <c r="F15833" s="8">
        <v>672</v>
      </c>
    </row>
    <row r="15834" spans="1:6" ht="12.75">
      <c r="A15834" s="8">
        <v>43897.609849537039</v>
      </c>
      <c r="B15834" s="8" t="str">
        <f>HYPERLINK("https://twitter.com/AndyRachmianto","@AndyRachmianto")</f>
        <v>@AndyRachmianto</v>
      </c>
      <c r="C15834" s="8" t="s">
        <v>6459</v>
      </c>
      <c r="D15834" s="8">
        <v>1</v>
      </c>
      <c r="E15834" s="8">
        <v>0</v>
      </c>
      <c r="F15834" s="8">
        <v>352</v>
      </c>
    </row>
    <row r="15835" spans="1:6" ht="12.75">
      <c r="A15835" s="8">
        <v>43897.609791666662</v>
      </c>
      <c r="B15835" s="8" t="str">
        <f>HYPERLINK("https://twitter.com/zita_graunge","@zita_graunge")</f>
        <v>@zita_graunge</v>
      </c>
      <c r="C15835" s="8" t="s">
        <v>6460</v>
      </c>
      <c r="D15835" s="8">
        <v>0</v>
      </c>
      <c r="E15835" s="8">
        <v>1</v>
      </c>
      <c r="F15835" s="8">
        <v>1230</v>
      </c>
    </row>
    <row r="15836" spans="1:6" ht="12.75">
      <c r="A15836" s="8">
        <v>43897.609398148154</v>
      </c>
      <c r="B15836" s="8" t="str">
        <f>HYPERLINK("https://twitter.com/ruangobrol_id","@ruangobrol_id")</f>
        <v>@ruangobrol_id</v>
      </c>
      <c r="C15836" s="8" t="s">
        <v>6461</v>
      </c>
      <c r="D15836" s="8">
        <v>1</v>
      </c>
      <c r="E15836" s="8">
        <v>0</v>
      </c>
      <c r="F15836" s="8">
        <v>165</v>
      </c>
    </row>
    <row r="15837" spans="1:6" ht="12.75">
      <c r="A15837" s="8">
        <v>43897.609155092592</v>
      </c>
      <c r="B15837" s="8" t="str">
        <f>HYPERLINK("https://twitter.com/GUSBENSOK","@GUSBENSOK")</f>
        <v>@GUSBENSOK</v>
      </c>
      <c r="C15837" s="8" t="s">
        <v>3265</v>
      </c>
      <c r="D15837" s="8">
        <v>5</v>
      </c>
      <c r="E15837" s="8">
        <v>0</v>
      </c>
      <c r="F15837" s="8">
        <v>2065</v>
      </c>
    </row>
    <row r="15838" spans="1:6" ht="12.75">
      <c r="A15838" s="8">
        <v>43897.608043981483</v>
      </c>
      <c r="B15838" s="8" t="str">
        <f>HYPERLINK("https://twitter.com/hamaro_id","@hamaro_id")</f>
        <v>@hamaro_id</v>
      </c>
      <c r="C15838" s="8" t="s">
        <v>6132</v>
      </c>
      <c r="D15838" s="8">
        <v>17</v>
      </c>
      <c r="E15838" s="8">
        <v>0</v>
      </c>
      <c r="F15838" s="8">
        <v>1692</v>
      </c>
    </row>
    <row r="15839" spans="1:6" ht="12.75">
      <c r="A15839" s="8">
        <v>43897.607592592598</v>
      </c>
      <c r="B15839" s="8" t="str">
        <f>HYPERLINK("https://twitter.com/KeceCebong226","@KeceCebong226")</f>
        <v>@KeceCebong226</v>
      </c>
      <c r="C15839" s="8" t="s">
        <v>6462</v>
      </c>
      <c r="D15839" s="8">
        <v>1</v>
      </c>
      <c r="E15839" s="8">
        <v>0</v>
      </c>
      <c r="F15839" s="8">
        <v>3621</v>
      </c>
    </row>
    <row r="15840" spans="1:6" ht="12.75">
      <c r="A15840" s="8">
        <v>43897.606828703705</v>
      </c>
      <c r="B15840" s="8" t="str">
        <f>HYPERLINK("https://twitter.com/babiair40036q","@babiair40036q")</f>
        <v>@babiair40036q</v>
      </c>
      <c r="C15840" s="8" t="s">
        <v>6463</v>
      </c>
      <c r="D15840" s="8">
        <v>0</v>
      </c>
      <c r="E15840" s="8">
        <v>0</v>
      </c>
      <c r="F15840" s="8">
        <v>16</v>
      </c>
    </row>
    <row r="15841" spans="1:6" ht="12.75">
      <c r="A15841" s="8">
        <v>43897.606736111113</v>
      </c>
      <c r="B15841" s="8" t="str">
        <f>HYPERLINK("https://twitter.com/sapporo_jack","@sapporo_jack")</f>
        <v>@sapporo_jack</v>
      </c>
      <c r="C15841" s="8" t="s">
        <v>6464</v>
      </c>
      <c r="D15841" s="8">
        <v>0</v>
      </c>
      <c r="E15841" s="8">
        <v>0</v>
      </c>
      <c r="F15841" s="8">
        <v>86</v>
      </c>
    </row>
    <row r="15842" spans="1:6" ht="12.75">
      <c r="A15842" s="8">
        <v>43897.606724537036</v>
      </c>
      <c r="B15842" s="8" t="str">
        <f>HYPERLINK("https://twitter.com/KadrunHunter99","@KadrunHunter99")</f>
        <v>@KadrunHunter99</v>
      </c>
      <c r="C15842" s="8" t="s">
        <v>6465</v>
      </c>
      <c r="D15842" s="8">
        <v>1</v>
      </c>
      <c r="E15842" s="8">
        <v>0</v>
      </c>
      <c r="F15842" s="8">
        <v>4188</v>
      </c>
    </row>
    <row r="15843" spans="1:6" ht="12.75">
      <c r="A15843" s="8">
        <v>43897.606608796297</v>
      </c>
      <c r="B15843" s="8" t="str">
        <f>HYPERLINK("https://twitter.com/VIVAcoid","@VIVAcoid")</f>
        <v>@VIVAcoid</v>
      </c>
      <c r="C15843" s="8" t="s">
        <v>6466</v>
      </c>
      <c r="D15843" s="8">
        <v>1</v>
      </c>
      <c r="E15843" s="8">
        <v>0</v>
      </c>
      <c r="F15843" s="8">
        <v>4175875</v>
      </c>
    </row>
    <row r="15844" spans="1:6" ht="12.75">
      <c r="A15844" s="8">
        <v>43897.606388888889</v>
      </c>
      <c r="B15844" s="8" t="str">
        <f>HYPERLINK("https://twitter.com/dyobralkyung","@dyobralkyung")</f>
        <v>@dyobralkyung</v>
      </c>
      <c r="C15844" s="8" t="s">
        <v>6439</v>
      </c>
      <c r="D15844" s="8">
        <v>7</v>
      </c>
      <c r="E15844" s="8">
        <v>0</v>
      </c>
      <c r="F15844" s="8">
        <v>520</v>
      </c>
    </row>
    <row r="15845" spans="1:6" ht="12.75">
      <c r="A15845" s="8">
        <v>43897.606354166666</v>
      </c>
      <c r="B15845" s="8" t="str">
        <f>HYPERLINK("https://twitter.com/KaimanaPoem","@KaimanaPoem")</f>
        <v>@KaimanaPoem</v>
      </c>
      <c r="C15845" s="8" t="s">
        <v>6467</v>
      </c>
      <c r="D15845" s="8">
        <v>0</v>
      </c>
      <c r="E15845" s="8">
        <v>3</v>
      </c>
      <c r="F15845" s="8">
        <v>1315</v>
      </c>
    </row>
    <row r="15846" spans="1:6" ht="12.75">
      <c r="A15846" s="8">
        <v>43897.606342592597</v>
      </c>
      <c r="B15846" s="8" t="str">
        <f>HYPERLINK("https://twitter.com/deathbyluck13th","@deathbyluck13th")</f>
        <v>@deathbyluck13th</v>
      </c>
      <c r="C15846" s="8" t="s">
        <v>3213</v>
      </c>
      <c r="D15846" s="8">
        <v>299</v>
      </c>
      <c r="E15846" s="8">
        <v>0</v>
      </c>
      <c r="F15846" s="8">
        <v>417</v>
      </c>
    </row>
    <row r="15847" spans="1:6" ht="12.75">
      <c r="A15847" s="8">
        <v>43897.60628472222</v>
      </c>
      <c r="B15847" s="8" t="str">
        <f>HYPERLINK("https://twitter.com/TukangUlo","@TukangUlo")</f>
        <v>@TukangUlo</v>
      </c>
      <c r="C15847" s="8" t="s">
        <v>6468</v>
      </c>
      <c r="D15847" s="8">
        <v>0</v>
      </c>
      <c r="E15847" s="8">
        <v>0</v>
      </c>
      <c r="F15847" s="8">
        <v>1256</v>
      </c>
    </row>
    <row r="15848" spans="1:6" ht="12.75">
      <c r="A15848" s="8">
        <v>43897.606273148151</v>
      </c>
      <c r="B15848" s="8" t="str">
        <f>HYPERLINK("https://twitter.com/vivanewscom","@vivanewscom")</f>
        <v>@vivanewscom</v>
      </c>
      <c r="C15848" s="8" t="s">
        <v>6469</v>
      </c>
      <c r="D15848" s="8">
        <v>1</v>
      </c>
      <c r="E15848" s="8">
        <v>3</v>
      </c>
      <c r="F15848" s="8">
        <v>4764</v>
      </c>
    </row>
    <row r="15849" spans="1:6" ht="12.75">
      <c r="A15849" s="8">
        <v>43897.606041666666</v>
      </c>
      <c r="B15849" s="8" t="str">
        <f>HYPERLINK("https://twitter.com/lintangpe97","@lintangpe97")</f>
        <v>@lintangpe97</v>
      </c>
      <c r="C15849" s="8" t="s">
        <v>4162</v>
      </c>
      <c r="D15849" s="8">
        <v>70</v>
      </c>
      <c r="E15849" s="8">
        <v>0</v>
      </c>
      <c r="F15849" s="8">
        <v>168</v>
      </c>
    </row>
    <row r="15850" spans="1:6" ht="12.75">
      <c r="A15850" s="8">
        <v>43897.605902777781</v>
      </c>
      <c r="B15850" s="8" t="str">
        <f>HYPERLINK("https://twitter.com/ko_papua","@ko_papua")</f>
        <v>@ko_papua</v>
      </c>
      <c r="C15850" s="8" t="s">
        <v>6432</v>
      </c>
      <c r="D15850" s="8">
        <v>1</v>
      </c>
      <c r="E15850" s="8">
        <v>1</v>
      </c>
      <c r="F15850" s="8">
        <v>30</v>
      </c>
    </row>
    <row r="15851" spans="1:6" ht="12.75">
      <c r="A15851" s="8">
        <v>43897.605578703704</v>
      </c>
      <c r="B15851" s="8" t="str">
        <f>HYPERLINK("https://twitter.com/Mala75735095","@Mala75735095")</f>
        <v>@Mala75735095</v>
      </c>
      <c r="C15851" s="8" t="s">
        <v>5899</v>
      </c>
      <c r="D15851" s="8">
        <v>13</v>
      </c>
      <c r="E15851" s="8">
        <v>0</v>
      </c>
      <c r="F15851" s="8">
        <v>149</v>
      </c>
    </row>
    <row r="15852" spans="1:6" ht="12.75">
      <c r="A15852" s="8">
        <v>43897.60555555555</v>
      </c>
      <c r="B15852" s="8" t="str">
        <f>HYPERLINK("https://twitter.com/MufiAde","@MufiAde")</f>
        <v>@MufiAde</v>
      </c>
      <c r="C15852" s="8" t="s">
        <v>6470</v>
      </c>
      <c r="D15852" s="8">
        <v>3</v>
      </c>
      <c r="E15852" s="8">
        <v>0</v>
      </c>
      <c r="F15852" s="8">
        <v>316</v>
      </c>
    </row>
    <row r="15853" spans="1:6" ht="12.75">
      <c r="A15853" s="8">
        <v>43897.604641203703</v>
      </c>
      <c r="B15853" s="8" t="str">
        <f>HYPERLINK("https://twitter.com/republikaonline","@republikaonline")</f>
        <v>@republikaonline</v>
      </c>
      <c r="C15853" s="8" t="s">
        <v>6471</v>
      </c>
      <c r="D15853" s="8">
        <v>0</v>
      </c>
      <c r="E15853" s="8">
        <v>4</v>
      </c>
      <c r="F15853" s="8">
        <v>1221139</v>
      </c>
    </row>
    <row r="15854" spans="1:6" ht="12.75">
      <c r="A15854" s="8">
        <v>43897.603912037041</v>
      </c>
      <c r="B15854" s="8" t="str">
        <f>HYPERLINK("https://twitter.com/arafatlive","@arafatlive")</f>
        <v>@arafatlive</v>
      </c>
      <c r="C15854" s="8" t="s">
        <v>6472</v>
      </c>
      <c r="D15854" s="8">
        <v>0</v>
      </c>
      <c r="E15854" s="8">
        <v>0</v>
      </c>
      <c r="F15854" s="8">
        <v>67</v>
      </c>
    </row>
    <row r="15855" spans="1:6" ht="12.75">
      <c r="A15855" s="8">
        <v>43897.603263888886</v>
      </c>
      <c r="B15855" s="8" t="str">
        <f>HYPERLINK("https://twitter.com/gglowing_","@gglowing_")</f>
        <v>@gglowing_</v>
      </c>
      <c r="C15855" s="8" t="s">
        <v>6473</v>
      </c>
      <c r="D15855" s="8">
        <v>0</v>
      </c>
      <c r="E15855" s="8">
        <v>0</v>
      </c>
      <c r="F15855" s="8">
        <v>247</v>
      </c>
    </row>
    <row r="15856" spans="1:6" ht="12.75">
      <c r="A15856" s="8">
        <v>43897.603032407409</v>
      </c>
      <c r="B15856" s="8" t="str">
        <f>HYPERLINK("https://twitter.com/wsnadj","@wsnadj")</f>
        <v>@wsnadj</v>
      </c>
      <c r="C15856" s="8" t="s">
        <v>6300</v>
      </c>
      <c r="D15856" s="8">
        <v>1</v>
      </c>
      <c r="E15856" s="8">
        <v>0</v>
      </c>
      <c r="F15856" s="8">
        <v>352</v>
      </c>
    </row>
    <row r="15857" spans="1:6" ht="12.75">
      <c r="A15857" s="8">
        <v>43897.602164351847</v>
      </c>
      <c r="B15857" s="8" t="str">
        <f>HYPERLINK("https://twitter.com/khansajohn","@khansajohn")</f>
        <v>@khansajohn</v>
      </c>
      <c r="C15857" s="8" t="s">
        <v>3213</v>
      </c>
      <c r="D15857" s="8">
        <v>299</v>
      </c>
      <c r="E15857" s="8">
        <v>0</v>
      </c>
      <c r="F15857" s="8">
        <v>157</v>
      </c>
    </row>
    <row r="15858" spans="1:6" ht="12.75">
      <c r="A15858" s="8">
        <v>43897.602013888885</v>
      </c>
      <c r="B15858" s="8" t="str">
        <f>HYPERLINK("https://twitter.com/mediaindonesia","@mediaindonesia")</f>
        <v>@mediaindonesia</v>
      </c>
      <c r="C15858" s="8" t="s">
        <v>6474</v>
      </c>
      <c r="D15858" s="8">
        <v>1</v>
      </c>
      <c r="E15858" s="8">
        <v>0</v>
      </c>
      <c r="F15858" s="8">
        <v>1420539</v>
      </c>
    </row>
    <row r="15859" spans="1:6" ht="12.75">
      <c r="A15859" s="8">
        <v>43897.601168981477</v>
      </c>
      <c r="B15859" s="8" t="str">
        <f>HYPERLINK("https://twitter.com/yoris_ab","@yoris_ab")</f>
        <v>@yoris_ab</v>
      </c>
      <c r="C15859" s="8" t="s">
        <v>6475</v>
      </c>
      <c r="D15859" s="8">
        <v>4</v>
      </c>
      <c r="E15859" s="8">
        <v>0</v>
      </c>
      <c r="F15859" s="8">
        <v>1699</v>
      </c>
    </row>
    <row r="15860" spans="1:6" ht="12.75">
      <c r="A15860" s="8">
        <v>43897.601145833338</v>
      </c>
      <c r="B15860" s="8" t="str">
        <f>HYPERLINK("https://twitter.com/evereeze","@evereeze")</f>
        <v>@evereeze</v>
      </c>
      <c r="C15860" s="8" t="s">
        <v>6128</v>
      </c>
      <c r="D15860" s="8">
        <v>39</v>
      </c>
      <c r="E15860" s="8">
        <v>0</v>
      </c>
      <c r="F15860" s="8">
        <v>313</v>
      </c>
    </row>
    <row r="15861" spans="1:6" ht="12.75">
      <c r="A15861" s="8">
        <v>43897.601134259261</v>
      </c>
      <c r="B15861" s="8" t="str">
        <f>HYPERLINK("https://twitter.com/Galih_Akek","@Galih_Akek")</f>
        <v>@Galih_Akek</v>
      </c>
      <c r="C15861" s="8" t="s">
        <v>6132</v>
      </c>
      <c r="D15861" s="8">
        <v>17</v>
      </c>
      <c r="E15861" s="8">
        <v>0</v>
      </c>
      <c r="F15861" s="8">
        <v>5422</v>
      </c>
    </row>
    <row r="15862" spans="1:6" ht="12.75">
      <c r="A15862" s="8">
        <v>43897.600636574076</v>
      </c>
      <c r="B15862" s="8" t="str">
        <f>HYPERLINK("https://twitter.com/Safira02590934","@Safira02590934")</f>
        <v>@Safira02590934</v>
      </c>
      <c r="C15862" s="8" t="s">
        <v>6432</v>
      </c>
      <c r="D15862" s="8">
        <v>0</v>
      </c>
      <c r="E15862" s="8">
        <v>0</v>
      </c>
      <c r="F15862" s="8">
        <v>69</v>
      </c>
    </row>
    <row r="15863" spans="1:6" ht="12.75">
      <c r="A15863" s="8">
        <v>43897.600520833337</v>
      </c>
      <c r="B15863" s="8" t="str">
        <f>HYPERLINK("https://twitter.com/Nnyzhuxin1","@Nnyzhuxin1")</f>
        <v>@Nnyzhuxin1</v>
      </c>
      <c r="C15863" s="8" t="s">
        <v>4510</v>
      </c>
      <c r="D15863" s="8">
        <v>59</v>
      </c>
      <c r="E15863" s="8">
        <v>0</v>
      </c>
      <c r="F15863" s="8">
        <v>1420</v>
      </c>
    </row>
    <row r="15864" spans="1:6" ht="12.75">
      <c r="A15864" s="8">
        <v>43897.600405092591</v>
      </c>
      <c r="B15864" s="8" t="str">
        <f>HYPERLINK("https://twitter.com/RatilaRonald","@RatilaRonald")</f>
        <v>@RatilaRonald</v>
      </c>
      <c r="C15864" s="8" t="s">
        <v>6476</v>
      </c>
      <c r="D15864" s="8">
        <v>0</v>
      </c>
      <c r="E15864" s="8">
        <v>0</v>
      </c>
      <c r="F15864" s="8">
        <v>0</v>
      </c>
    </row>
    <row r="15865" spans="1:6" ht="12.75">
      <c r="A15865" s="8">
        <v>43897.600115740745</v>
      </c>
      <c r="B15865" s="8" t="str">
        <f>HYPERLINK("https://twitter.com/Shinosuke888","@Shinosuke888")</f>
        <v>@Shinosuke888</v>
      </c>
      <c r="C15865" s="8" t="s">
        <v>6477</v>
      </c>
      <c r="D15865" s="8">
        <v>2</v>
      </c>
      <c r="E15865" s="8">
        <v>0</v>
      </c>
      <c r="F15865" s="8">
        <v>56</v>
      </c>
    </row>
    <row r="15866" spans="1:6" ht="12.75">
      <c r="A15866" s="8">
        <v>43897.589884259258</v>
      </c>
      <c r="B15866" s="8" t="str">
        <f>HYPERLINK("https://twitter.com/tua_serdadu","@tua_serdadu")</f>
        <v>@tua_serdadu</v>
      </c>
      <c r="C15866" s="8" t="s">
        <v>6132</v>
      </c>
      <c r="D15866" s="8">
        <v>5</v>
      </c>
      <c r="E15866" s="8">
        <v>0</v>
      </c>
      <c r="F15866" s="8">
        <v>1176</v>
      </c>
    </row>
    <row r="15867" spans="1:6" ht="12.75">
      <c r="A15867" s="8">
        <v>43897.58975694445</v>
      </c>
      <c r="B15867" s="8" t="str">
        <f>HYPERLINK("https://twitter.com/JikwaSinta07","@JikwaSinta07")</f>
        <v>@JikwaSinta07</v>
      </c>
      <c r="C15867" s="8" t="s">
        <v>6432</v>
      </c>
      <c r="D15867" s="8">
        <v>0</v>
      </c>
      <c r="E15867" s="8">
        <v>0</v>
      </c>
      <c r="F15867" s="8">
        <v>621</v>
      </c>
    </row>
    <row r="15868" spans="1:6" ht="12.75">
      <c r="A15868" s="8">
        <v>43897.589502314819</v>
      </c>
      <c r="B15868" s="8" t="str">
        <f>HYPERLINK("https://twitter.com/mfthlhuda","@mfthlhuda")</f>
        <v>@mfthlhuda</v>
      </c>
      <c r="C15868" s="8" t="s">
        <v>5103</v>
      </c>
      <c r="D15868" s="8">
        <v>188</v>
      </c>
      <c r="E15868" s="8">
        <v>0</v>
      </c>
      <c r="F15868" s="8">
        <v>292</v>
      </c>
    </row>
    <row r="15869" spans="1:6" ht="12.75">
      <c r="A15869" s="8">
        <v>43897.589155092588</v>
      </c>
      <c r="B15869" s="8" t="str">
        <f>HYPERLINK("https://twitter.com/sunfloweryelloe","@sunfloweryelloe")</f>
        <v>@sunfloweryelloe</v>
      </c>
      <c r="C15869" s="8" t="s">
        <v>2272</v>
      </c>
      <c r="D15869" s="8">
        <v>1029</v>
      </c>
      <c r="E15869" s="8">
        <v>0</v>
      </c>
      <c r="F15869" s="8">
        <v>2471</v>
      </c>
    </row>
    <row r="15870" spans="1:6" ht="12.75">
      <c r="A15870" s="8">
        <v>43897.588969907403</v>
      </c>
      <c r="B15870" s="8" t="str">
        <f>HYPERLINK("https://twitter.com/AriestaRiico","@AriestaRiico")</f>
        <v>@AriestaRiico</v>
      </c>
      <c r="C15870" s="8" t="s">
        <v>6252</v>
      </c>
      <c r="D15870" s="8">
        <v>23</v>
      </c>
      <c r="E15870" s="8">
        <v>0</v>
      </c>
      <c r="F15870" s="8">
        <v>7901</v>
      </c>
    </row>
    <row r="15871" spans="1:6" ht="12.75">
      <c r="A15871" s="8">
        <v>43897.588831018518</v>
      </c>
      <c r="B15871" s="8" t="str">
        <f>HYPERLINK("https://twitter.com/aden_widjaja","@aden_widjaja")</f>
        <v>@aden_widjaja</v>
      </c>
      <c r="C15871" s="8" t="s">
        <v>6478</v>
      </c>
      <c r="D15871" s="8">
        <v>1</v>
      </c>
      <c r="E15871" s="8">
        <v>0</v>
      </c>
      <c r="F15871" s="8">
        <v>46</v>
      </c>
    </row>
    <row r="15872" spans="1:6" ht="12.75">
      <c r="A15872" s="8">
        <v>43897.588773148149</v>
      </c>
      <c r="B15872" s="8" t="str">
        <f>HYPERLINK("https://twitter.com/Bangzul__88","@Bangzul__88")</f>
        <v>@Bangzul__88</v>
      </c>
      <c r="C15872" s="8" t="s">
        <v>6132</v>
      </c>
      <c r="D15872" s="8">
        <v>5</v>
      </c>
      <c r="E15872" s="8">
        <v>0</v>
      </c>
      <c r="F15872" s="8">
        <v>6534</v>
      </c>
    </row>
    <row r="15873" spans="1:6" ht="12.75">
      <c r="A15873" s="8">
        <v>43897.58829861111</v>
      </c>
      <c r="B15873" s="8" t="str">
        <f>HYPERLINK("https://twitter.com/Quartor3","@Quartor3")</f>
        <v>@Quartor3</v>
      </c>
      <c r="C15873" s="8" t="s">
        <v>6252</v>
      </c>
      <c r="D15873" s="8">
        <v>23</v>
      </c>
      <c r="E15873" s="8">
        <v>0</v>
      </c>
      <c r="F15873" s="8">
        <v>1158</v>
      </c>
    </row>
    <row r="15874" spans="1:6" ht="12.75">
      <c r="A15874" s="8">
        <v>43897.588067129633</v>
      </c>
      <c r="B15874" s="8" t="str">
        <f>HYPERLINK("https://twitter.com/hemaviton99","@hemaviton99")</f>
        <v>@hemaviton99</v>
      </c>
      <c r="C15874" s="8" t="s">
        <v>6132</v>
      </c>
      <c r="D15874" s="8">
        <v>5</v>
      </c>
      <c r="E15874" s="8">
        <v>0</v>
      </c>
      <c r="F15874" s="8">
        <v>5728</v>
      </c>
    </row>
    <row r="15875" spans="1:6" ht="12.75">
      <c r="A15875" s="8">
        <v>43897.587893518517</v>
      </c>
      <c r="B15875" s="8" t="str">
        <f>HYPERLINK("https://twitter.com/Quartor3","@Quartor3")</f>
        <v>@Quartor3</v>
      </c>
      <c r="C15875" s="8" t="s">
        <v>4510</v>
      </c>
      <c r="D15875" s="8">
        <v>42</v>
      </c>
      <c r="E15875" s="8">
        <v>0</v>
      </c>
      <c r="F15875" s="8">
        <v>1158</v>
      </c>
    </row>
    <row r="15876" spans="1:6" ht="12.75">
      <c r="A15876" s="8">
        <v>43897.58756944444</v>
      </c>
      <c r="B15876" s="8" t="str">
        <f>HYPERLINK("https://twitter.com/bakarricaicha1","@bakarricaicha1")</f>
        <v>@bakarricaicha1</v>
      </c>
      <c r="C15876" s="8" t="s">
        <v>6132</v>
      </c>
      <c r="D15876" s="8">
        <v>5</v>
      </c>
      <c r="E15876" s="8">
        <v>0</v>
      </c>
      <c r="F15876" s="8">
        <v>2177</v>
      </c>
    </row>
    <row r="15877" spans="1:6" ht="12.75">
      <c r="A15877" s="8">
        <v>43897.587546296301</v>
      </c>
      <c r="B15877" s="8" t="str">
        <f>HYPERLINK("https://twitter.com/ibnuRosyidi4","@ibnuRosyidi4")</f>
        <v>@ibnuRosyidi4</v>
      </c>
      <c r="C15877" s="8" t="s">
        <v>4510</v>
      </c>
      <c r="D15877" s="8">
        <v>42</v>
      </c>
      <c r="E15877" s="8">
        <v>0</v>
      </c>
      <c r="F15877" s="8">
        <v>49</v>
      </c>
    </row>
    <row r="15878" spans="1:6" ht="12.75">
      <c r="A15878" s="8">
        <v>43897.587453703702</v>
      </c>
      <c r="B15878" s="8" t="str">
        <f>HYPERLINK("https://twitter.com/1bozorgtaraz10","@1bozorgtaraz10")</f>
        <v>@1bozorgtaraz10</v>
      </c>
      <c r="C15878" s="8" t="s">
        <v>6479</v>
      </c>
      <c r="D15878" s="8">
        <v>0</v>
      </c>
      <c r="E15878" s="8">
        <v>0</v>
      </c>
      <c r="F15878" s="8">
        <v>117</v>
      </c>
    </row>
    <row r="15879" spans="1:6" ht="12.75">
      <c r="A15879" s="8">
        <v>43897.587407407409</v>
      </c>
      <c r="B15879" s="8" t="str">
        <f>HYPERLINK("https://twitter.com/AriestaRiico","@AriestaRiico")</f>
        <v>@AriestaRiico</v>
      </c>
      <c r="C15879" s="8" t="s">
        <v>4510</v>
      </c>
      <c r="D15879" s="8">
        <v>42</v>
      </c>
      <c r="E15879" s="8">
        <v>0</v>
      </c>
      <c r="F15879" s="8">
        <v>7901</v>
      </c>
    </row>
    <row r="15880" spans="1:6" ht="12.75">
      <c r="A15880" s="8">
        <v>43897.586770833332</v>
      </c>
      <c r="B15880" s="8" t="str">
        <f>HYPERLINK("https://twitter.com/AbdulQa40393925","@AbdulQa40393925")</f>
        <v>@AbdulQa40393925</v>
      </c>
      <c r="C15880" s="8" t="s">
        <v>3743</v>
      </c>
      <c r="D15880" s="8">
        <v>620</v>
      </c>
      <c r="E15880" s="8">
        <v>0</v>
      </c>
      <c r="F15880" s="8">
        <v>10</v>
      </c>
    </row>
    <row r="15881" spans="1:6" ht="12.75">
      <c r="A15881" s="8">
        <v>43897.586481481485</v>
      </c>
      <c r="B15881" s="8" t="str">
        <f>HYPERLINK("https://twitter.com/jurnalpatrolin1","@jurnalpatrolin1")</f>
        <v>@jurnalpatrolin1</v>
      </c>
      <c r="C15881" s="8" t="s">
        <v>6480</v>
      </c>
      <c r="D15881" s="8">
        <v>0</v>
      </c>
      <c r="E15881" s="8">
        <v>0</v>
      </c>
      <c r="F15881" s="8">
        <v>55</v>
      </c>
    </row>
    <row r="15882" spans="1:6" ht="12.75">
      <c r="A15882" s="8">
        <v>43897.585729166662</v>
      </c>
      <c r="B15882" s="8" t="str">
        <f>HYPERLINK("https://twitter.com/MartinusUropma1","@MartinusUropma1")</f>
        <v>@MartinusUropma1</v>
      </c>
      <c r="C15882" s="8" t="s">
        <v>6481</v>
      </c>
      <c r="D15882" s="8">
        <v>1</v>
      </c>
      <c r="E15882" s="8">
        <v>0</v>
      </c>
      <c r="F15882" s="8">
        <v>65</v>
      </c>
    </row>
    <row r="15883" spans="1:6" ht="12.75">
      <c r="A15883" s="8">
        <v>43897.5856712963</v>
      </c>
      <c r="B15883" s="8" t="str">
        <f>HYPERLINK("https://twitter.com/TanjungSyahril","@TanjungSyahril")</f>
        <v>@TanjungSyahril</v>
      </c>
      <c r="C15883" s="8" t="s">
        <v>5844</v>
      </c>
      <c r="D15883" s="8">
        <v>2</v>
      </c>
      <c r="E15883" s="8">
        <v>0</v>
      </c>
      <c r="F15883" s="8">
        <v>2177</v>
      </c>
    </row>
    <row r="15884" spans="1:6" ht="12.75">
      <c r="A15884" s="8">
        <v>43897.585428240738</v>
      </c>
      <c r="B15884" s="8" t="str">
        <f>HYPERLINK("https://twitter.com/xxoxoxjinyoung","@xxoxoxjinyoung")</f>
        <v>@xxoxoxjinyoung</v>
      </c>
      <c r="C15884" s="8" t="s">
        <v>6482</v>
      </c>
      <c r="D15884" s="8">
        <v>0</v>
      </c>
      <c r="E15884" s="8">
        <v>0</v>
      </c>
      <c r="F15884" s="8">
        <v>6</v>
      </c>
    </row>
    <row r="15885" spans="1:6" ht="12.75">
      <c r="A15885" s="8">
        <v>43897.585289351853</v>
      </c>
      <c r="B15885" s="8" t="str">
        <f>HYPERLINK("https://twitter.com/budidinamo1","@budidinamo1")</f>
        <v>@budidinamo1</v>
      </c>
      <c r="C15885" s="8" t="s">
        <v>6252</v>
      </c>
      <c r="D15885" s="8">
        <v>23</v>
      </c>
      <c r="E15885" s="8">
        <v>0</v>
      </c>
      <c r="F15885" s="8">
        <v>1</v>
      </c>
    </row>
    <row r="15886" spans="1:6" ht="12.75">
      <c r="A15886" s="8">
        <v>43897.585162037038</v>
      </c>
      <c r="B15886" s="8" t="str">
        <f>HYPERLINK("https://twitter.com/MartinusUropma1","@MartinusUropma1")</f>
        <v>@MartinusUropma1</v>
      </c>
      <c r="C15886" s="8" t="s">
        <v>6432</v>
      </c>
      <c r="D15886" s="8">
        <v>1</v>
      </c>
      <c r="E15886" s="8">
        <v>1</v>
      </c>
      <c r="F15886" s="8">
        <v>65</v>
      </c>
    </row>
    <row r="15887" spans="1:6" ht="12.75">
      <c r="A15887" s="8">
        <v>43897.585081018522</v>
      </c>
      <c r="B15887" s="8" t="str">
        <f>HYPERLINK("https://twitter.com/alkahawe","@alkahawe")</f>
        <v>@alkahawe</v>
      </c>
      <c r="C15887" s="8" t="s">
        <v>5522</v>
      </c>
      <c r="D15887" s="8">
        <v>14</v>
      </c>
      <c r="E15887" s="8">
        <v>0</v>
      </c>
      <c r="F15887" s="8">
        <v>3</v>
      </c>
    </row>
    <row r="15888" spans="1:6" ht="12.75">
      <c r="A15888" s="8">
        <v>43897.585057870368</v>
      </c>
      <c r="B15888" s="8" t="str">
        <f>HYPERLINK("https://twitter.com/PRIHONGGO","@PRIHONGGO")</f>
        <v>@PRIHONGGO</v>
      </c>
      <c r="C15888" s="8" t="s">
        <v>6483</v>
      </c>
      <c r="D15888" s="8">
        <v>0</v>
      </c>
      <c r="E15888" s="8">
        <v>0</v>
      </c>
      <c r="F15888" s="8">
        <v>1014</v>
      </c>
    </row>
    <row r="15889" spans="1:6" ht="12.75">
      <c r="A15889" s="8">
        <v>43897.584340277783</v>
      </c>
      <c r="B15889" s="8" t="str">
        <f>HYPERLINK("https://twitter.com/AriestaRiico","@AriestaRiico")</f>
        <v>@AriestaRiico</v>
      </c>
      <c r="C15889" s="8" t="s">
        <v>6132</v>
      </c>
      <c r="D15889" s="8">
        <v>5</v>
      </c>
      <c r="E15889" s="8">
        <v>0</v>
      </c>
      <c r="F15889" s="8">
        <v>7901</v>
      </c>
    </row>
    <row r="15890" spans="1:6" ht="12.75">
      <c r="A15890" s="8">
        <v>43897.584201388891</v>
      </c>
      <c r="B15890" s="8" t="str">
        <f>HYPERLINK("https://twitter.com/PRIHONGGO","@PRIHONGGO")</f>
        <v>@PRIHONGGO</v>
      </c>
      <c r="C15890" s="8" t="s">
        <v>4818</v>
      </c>
      <c r="D15890" s="8">
        <v>250</v>
      </c>
      <c r="E15890" s="8">
        <v>0</v>
      </c>
      <c r="F15890" s="8">
        <v>1014</v>
      </c>
    </row>
    <row r="15891" spans="1:6" ht="12.75">
      <c r="A15891" s="8">
        <v>43897.583541666667</v>
      </c>
      <c r="B15891" s="8" t="str">
        <f>HYPERLINK("https://twitter.com/nadrayanti","@nadrayanti")</f>
        <v>@nadrayanti</v>
      </c>
      <c r="C15891" s="8" t="s">
        <v>3743</v>
      </c>
      <c r="D15891" s="8">
        <v>620</v>
      </c>
      <c r="E15891" s="8">
        <v>0</v>
      </c>
      <c r="F15891" s="8">
        <v>42</v>
      </c>
    </row>
    <row r="15892" spans="1:6" ht="12.75">
      <c r="A15892" s="8">
        <v>43897.583449074074</v>
      </c>
      <c r="B15892" s="8" t="str">
        <f>HYPERLINK("https://twitter.com/zazaputih","@zazaputih")</f>
        <v>@zazaputih</v>
      </c>
      <c r="C15892" s="8" t="s">
        <v>4818</v>
      </c>
      <c r="D15892" s="8">
        <v>250</v>
      </c>
      <c r="E15892" s="8">
        <v>0</v>
      </c>
      <c r="F15892" s="8">
        <v>54</v>
      </c>
    </row>
    <row r="15893" spans="1:6" ht="12.75">
      <c r="A15893" s="8">
        <v>43897.583333333328</v>
      </c>
      <c r="B15893" s="8" t="str">
        <f>HYPERLINK("https://twitter.com/SiJombloKreatif","@SiJombloKreatif")</f>
        <v>@SiJombloKreatif</v>
      </c>
      <c r="C15893" s="8" t="s">
        <v>6484</v>
      </c>
      <c r="D15893" s="8">
        <v>0</v>
      </c>
      <c r="E15893" s="8">
        <v>0</v>
      </c>
      <c r="F15893" s="8">
        <v>120977</v>
      </c>
    </row>
    <row r="15894" spans="1:6" ht="12.75">
      <c r="A15894" s="8">
        <v>43897.583333333328</v>
      </c>
      <c r="B15894" s="8" t="str">
        <f>HYPERLINK("https://twitter.com/risrisus","@risrisus")</f>
        <v>@risrisus</v>
      </c>
      <c r="C15894" s="8" t="s">
        <v>6485</v>
      </c>
      <c r="D15894" s="8">
        <v>0</v>
      </c>
      <c r="E15894" s="8">
        <v>0</v>
      </c>
      <c r="F15894" s="8">
        <v>98</v>
      </c>
    </row>
    <row r="15895" spans="1:6" ht="12.75">
      <c r="A15895" s="8">
        <v>43897.583333333328</v>
      </c>
      <c r="B15895" s="8" t="str">
        <f>HYPERLINK("https://twitter.com/kbrimanama","@kbrimanama")</f>
        <v>@kbrimanama</v>
      </c>
      <c r="C15895" s="8" t="s">
        <v>4162</v>
      </c>
      <c r="D15895" s="8">
        <v>66</v>
      </c>
      <c r="E15895" s="8">
        <v>0</v>
      </c>
      <c r="F15895" s="8">
        <v>1432</v>
      </c>
    </row>
    <row r="15896" spans="1:6" ht="12.75">
      <c r="A15896" s="8">
        <v>43897.583171296297</v>
      </c>
      <c r="B15896" s="8" t="str">
        <f>HYPERLINK("https://twitter.com/KJRIShanghai","@KJRIShanghai")</f>
        <v>@KJRIShanghai</v>
      </c>
      <c r="C15896" s="8" t="s">
        <v>4162</v>
      </c>
      <c r="D15896" s="8">
        <v>66</v>
      </c>
      <c r="E15896" s="8">
        <v>0</v>
      </c>
      <c r="F15896" s="8">
        <v>646</v>
      </c>
    </row>
    <row r="15897" spans="1:6" ht="12.75">
      <c r="A15897" s="8">
        <v>43897.582650462966</v>
      </c>
      <c r="B15897" s="8" t="str">
        <f>HYPERLINK("https://twitter.com/trihatmoyuli","@trihatmoyuli")</f>
        <v>@trihatmoyuli</v>
      </c>
      <c r="C15897" s="8" t="s">
        <v>3743</v>
      </c>
      <c r="D15897" s="8">
        <v>620</v>
      </c>
      <c r="E15897" s="8">
        <v>0</v>
      </c>
      <c r="F15897" s="8">
        <v>1</v>
      </c>
    </row>
    <row r="15898" spans="1:6" ht="12.75">
      <c r="A15898" s="8">
        <v>43897.582025462965</v>
      </c>
      <c r="B15898" s="8" t="str">
        <f>HYPERLINK("https://twitter.com/MystiQ_R","@MystiQ_R")</f>
        <v>@MystiQ_R</v>
      </c>
      <c r="C15898" s="8" t="s">
        <v>3743</v>
      </c>
      <c r="D15898" s="8">
        <v>620</v>
      </c>
      <c r="E15898" s="8">
        <v>0</v>
      </c>
      <c r="F15898" s="8">
        <v>55</v>
      </c>
    </row>
    <row r="15899" spans="1:6" ht="12.75">
      <c r="A15899" s="8">
        <v>43897.581932870366</v>
      </c>
      <c r="B15899" s="8" t="str">
        <f>HYPERLINK("https://twitter.com/Alfian54449262","@Alfian54449262")</f>
        <v>@Alfian54449262</v>
      </c>
      <c r="C15899" s="8" t="s">
        <v>5704</v>
      </c>
      <c r="D15899" s="8">
        <v>25</v>
      </c>
      <c r="E15899" s="8">
        <v>0</v>
      </c>
      <c r="F15899" s="8">
        <v>150</v>
      </c>
    </row>
    <row r="15900" spans="1:6" ht="12.75">
      <c r="A15900" s="8">
        <v>43897.581643518519</v>
      </c>
      <c r="B15900" s="8" t="str">
        <f>HYPERLINK("https://twitter.com/KBRI_Bangkok","@KBRI_Bangkok")</f>
        <v>@KBRI_Bangkok</v>
      </c>
      <c r="C15900" s="8" t="s">
        <v>4162</v>
      </c>
      <c r="D15900" s="8">
        <v>66</v>
      </c>
      <c r="E15900" s="8">
        <v>0</v>
      </c>
      <c r="F15900" s="8">
        <v>3930</v>
      </c>
    </row>
    <row r="15901" spans="1:6" ht="12.75">
      <c r="A15901" s="8">
        <v>43897.581319444449</v>
      </c>
      <c r="B15901" s="8" t="str">
        <f>HYPERLINK("https://twitter.com/Apriil68","@Apriil68")</f>
        <v>@Apriil68</v>
      </c>
      <c r="C15901" s="8" t="s">
        <v>6486</v>
      </c>
      <c r="D15901" s="8">
        <v>5</v>
      </c>
      <c r="E15901" s="8">
        <v>6</v>
      </c>
      <c r="F15901" s="8">
        <v>3199</v>
      </c>
    </row>
    <row r="15902" spans="1:6" ht="12.75">
      <c r="A15902" s="8">
        <v>43897.581192129626</v>
      </c>
      <c r="B15902" s="8" t="str">
        <f>HYPERLINK("https://twitter.com/BatikRiwa","@BatikRiwa")</f>
        <v>@BatikRiwa</v>
      </c>
      <c r="C15902" s="8" t="s">
        <v>4510</v>
      </c>
      <c r="D15902" s="8">
        <v>42</v>
      </c>
      <c r="E15902" s="8">
        <v>0</v>
      </c>
      <c r="F15902" s="8">
        <v>1380</v>
      </c>
    </row>
    <row r="15903" spans="1:6" ht="12.75">
      <c r="A15903" s="8">
        <v>43897.580335648148</v>
      </c>
      <c r="B15903" s="8" t="str">
        <f>HYPERLINK("https://twitter.com/Nantaariii","@Nantaariii")</f>
        <v>@Nantaariii</v>
      </c>
      <c r="C15903" s="8" t="s">
        <v>4510</v>
      </c>
      <c r="D15903" s="8">
        <v>42</v>
      </c>
      <c r="E15903" s="8">
        <v>0</v>
      </c>
      <c r="F15903" s="8">
        <v>8062</v>
      </c>
    </row>
    <row r="15904" spans="1:6" ht="12.75">
      <c r="A15904" s="8">
        <v>43897.580335648148</v>
      </c>
      <c r="B15904" s="8" t="str">
        <f>HYPERLINK("https://twitter.com/PRIHONGGO","@PRIHONGGO")</f>
        <v>@PRIHONGGO</v>
      </c>
      <c r="C15904" s="8" t="s">
        <v>6487</v>
      </c>
      <c r="D15904" s="8">
        <v>0</v>
      </c>
      <c r="E15904" s="8">
        <v>0</v>
      </c>
      <c r="F15904" s="8">
        <v>1014</v>
      </c>
    </row>
    <row r="15905" spans="1:6" ht="12.75">
      <c r="A15905" s="8">
        <v>43897.580243055556</v>
      </c>
      <c r="B15905" s="8" t="str">
        <f>HYPERLINK("https://twitter.com/AgusSup39011241","@AgusSup39011241")</f>
        <v>@AgusSup39011241</v>
      </c>
      <c r="C15905" s="8" t="s">
        <v>4510</v>
      </c>
      <c r="D15905" s="8">
        <v>42</v>
      </c>
      <c r="E15905" s="8">
        <v>0</v>
      </c>
      <c r="F15905" s="8">
        <v>10478</v>
      </c>
    </row>
    <row r="15906" spans="1:6" ht="12.75">
      <c r="A15906" s="8">
        <v>43897.58021990741</v>
      </c>
      <c r="B15906" s="8" t="str">
        <f>HYPERLINK("https://twitter.com/wahyu_djanti88","@wahyu_djanti88")</f>
        <v>@wahyu_djanti88</v>
      </c>
      <c r="C15906" s="8" t="s">
        <v>6488</v>
      </c>
      <c r="D15906" s="8">
        <v>0</v>
      </c>
      <c r="E15906" s="8">
        <v>0</v>
      </c>
      <c r="F15906" s="8">
        <v>1145</v>
      </c>
    </row>
    <row r="15907" spans="1:6" ht="12.75">
      <c r="A15907" s="8">
        <v>43897.57984953704</v>
      </c>
      <c r="B15907" s="8" t="str">
        <f>HYPERLINK("https://twitter.com/AnakAmerika","@AnakAmerika")</f>
        <v>@AnakAmerika</v>
      </c>
      <c r="C15907" s="8" t="s">
        <v>4510</v>
      </c>
      <c r="D15907" s="8">
        <v>42</v>
      </c>
      <c r="E15907" s="8">
        <v>0</v>
      </c>
      <c r="F15907" s="8">
        <v>49</v>
      </c>
    </row>
    <row r="15908" spans="1:6" ht="12.75">
      <c r="A15908" s="8">
        <v>43897.579699074078</v>
      </c>
      <c r="B15908" s="8" t="str">
        <f>HYPERLINK("https://twitter.com/IswantoBagaskar","@IswantoBagaskar")</f>
        <v>@IswantoBagaskar</v>
      </c>
      <c r="C15908" s="8" t="s">
        <v>4510</v>
      </c>
      <c r="D15908" s="8">
        <v>42</v>
      </c>
      <c r="E15908" s="8">
        <v>0</v>
      </c>
      <c r="F15908" s="8">
        <v>4129</v>
      </c>
    </row>
    <row r="15909" spans="1:6" ht="12.75">
      <c r="A15909" s="8">
        <v>43897.579560185186</v>
      </c>
      <c r="B15909" s="8" t="str">
        <f>HYPERLINK("https://twitter.com/hary717","@hary717")</f>
        <v>@hary717</v>
      </c>
      <c r="C15909" s="8" t="s">
        <v>5844</v>
      </c>
      <c r="D15909" s="8">
        <v>2</v>
      </c>
      <c r="E15909" s="8">
        <v>0</v>
      </c>
      <c r="F15909" s="8">
        <v>2488</v>
      </c>
    </row>
    <row r="15910" spans="1:6" ht="12.75">
      <c r="A15910" s="8">
        <v>43897.579502314809</v>
      </c>
      <c r="B15910" s="8" t="str">
        <f>HYPERLINK("https://twitter.com/KurniawanRicho","@KurniawanRicho")</f>
        <v>@KurniawanRicho</v>
      </c>
      <c r="C15910" s="8" t="s">
        <v>5103</v>
      </c>
      <c r="D15910" s="8">
        <v>188</v>
      </c>
      <c r="E15910" s="8">
        <v>0</v>
      </c>
      <c r="F15910" s="8">
        <v>580</v>
      </c>
    </row>
    <row r="15911" spans="1:6" ht="12.75">
      <c r="A15911" s="8">
        <v>43897.579502314809</v>
      </c>
      <c r="B15911" s="8" t="str">
        <f>HYPERLINK("https://twitter.com/pubinform","@pubinform")</f>
        <v>@pubinform</v>
      </c>
      <c r="C15911" s="8" t="s">
        <v>6489</v>
      </c>
      <c r="D15911" s="8">
        <v>0</v>
      </c>
      <c r="E15911" s="8">
        <v>0</v>
      </c>
      <c r="F15911" s="8">
        <v>382</v>
      </c>
    </row>
    <row r="15912" spans="1:6" ht="12.75">
      <c r="A15912" s="8">
        <v>43897.57949074074</v>
      </c>
      <c r="B15912" s="8" t="str">
        <f>HYPERLINK("https://twitter.com/syahroeladjah","@syahroeladjah")</f>
        <v>@syahroeladjah</v>
      </c>
      <c r="C15912" s="8" t="s">
        <v>3743</v>
      </c>
      <c r="D15912" s="8">
        <v>620</v>
      </c>
      <c r="E15912" s="8">
        <v>0</v>
      </c>
      <c r="F15912" s="8">
        <v>1337</v>
      </c>
    </row>
    <row r="15913" spans="1:6" ht="12.75">
      <c r="A15913" s="8">
        <v>43897.579212962963</v>
      </c>
      <c r="B15913" s="8" t="str">
        <f>HYPERLINK("https://twitter.com/Yan_Harahap","@Yan_Harahap")</f>
        <v>@Yan_Harahap</v>
      </c>
      <c r="C15913" s="8" t="s">
        <v>6490</v>
      </c>
      <c r="D15913" s="8">
        <v>250</v>
      </c>
      <c r="E15913" s="8">
        <v>0</v>
      </c>
      <c r="F15913" s="8">
        <v>35</v>
      </c>
    </row>
    <row r="15914" spans="1:6" ht="12.75">
      <c r="A15914" s="8">
        <v>43897.577650462961</v>
      </c>
      <c r="B15914" s="8" t="str">
        <f>HYPERLINK("https://twitter.com/ccpsugiono","@ccpsugiono")</f>
        <v>@ccpsugiono</v>
      </c>
      <c r="C15914" s="8" t="s">
        <v>4510</v>
      </c>
      <c r="D15914" s="8">
        <v>42</v>
      </c>
      <c r="E15914" s="8">
        <v>0</v>
      </c>
      <c r="F15914" s="8">
        <v>709</v>
      </c>
    </row>
    <row r="15915" spans="1:6" ht="12.75">
      <c r="A15915" s="8">
        <v>43897.577546296292</v>
      </c>
      <c r="B15915" s="8" t="str">
        <f>HYPERLINK("https://twitter.com/easymanlife1976","@easymanlife1976")</f>
        <v>@easymanlife1976</v>
      </c>
      <c r="C15915" s="8" t="s">
        <v>6491</v>
      </c>
      <c r="D15915" s="8">
        <v>0</v>
      </c>
      <c r="E15915" s="8">
        <v>0</v>
      </c>
      <c r="F15915" s="8">
        <v>1</v>
      </c>
    </row>
    <row r="15916" spans="1:6" ht="12.75">
      <c r="A15916" s="8">
        <v>43897.577418981484</v>
      </c>
      <c r="B15916" s="8" t="str">
        <f>HYPERLINK("https://twitter.com/mathiolla","@mathiolla")</f>
        <v>@mathiolla</v>
      </c>
      <c r="C15916" s="8" t="s">
        <v>6492</v>
      </c>
      <c r="D15916" s="8">
        <v>0</v>
      </c>
      <c r="E15916" s="8">
        <v>0</v>
      </c>
      <c r="F15916" s="8">
        <v>536</v>
      </c>
    </row>
    <row r="15917" spans="1:6" ht="12.75">
      <c r="A15917" s="8">
        <v>43897.577361111107</v>
      </c>
      <c r="B15917" s="8" t="str">
        <f>HYPERLINK("https://twitter.com/ErindaSofi","@ErindaSofi")</f>
        <v>@ErindaSofi</v>
      </c>
      <c r="C15917" s="8" t="s">
        <v>6252</v>
      </c>
      <c r="D15917" s="8">
        <v>23</v>
      </c>
      <c r="E15917" s="8">
        <v>0</v>
      </c>
      <c r="F15917" s="8">
        <v>6215</v>
      </c>
    </row>
    <row r="15918" spans="1:6" ht="12.75">
      <c r="A15918" s="8">
        <v>43897.577175925922</v>
      </c>
      <c r="B15918" s="8" t="str">
        <f>HYPERLINK("https://twitter.com/Realitarakyat01","@Realitarakyat01")</f>
        <v>@Realitarakyat01</v>
      </c>
      <c r="C15918" s="8" t="s">
        <v>6493</v>
      </c>
      <c r="D15918" s="8">
        <v>0</v>
      </c>
      <c r="E15918" s="8">
        <v>0</v>
      </c>
      <c r="F15918" s="8">
        <v>129</v>
      </c>
    </row>
    <row r="15919" spans="1:6" ht="12.75">
      <c r="A15919" s="8">
        <v>43897.57712962963</v>
      </c>
      <c r="B15919" s="8" t="str">
        <f>HYPERLINK("https://twitter.com/ACStyles30","@ACStyles30")</f>
        <v>@ACStyles30</v>
      </c>
      <c r="C15919" s="8" t="s">
        <v>6494</v>
      </c>
      <c r="D15919" s="8">
        <v>0</v>
      </c>
      <c r="E15919" s="8">
        <v>0</v>
      </c>
      <c r="F15919" s="8">
        <v>665</v>
      </c>
    </row>
    <row r="15920" spans="1:6" ht="12.75">
      <c r="A15920" s="8">
        <v>43897.577037037037</v>
      </c>
      <c r="B15920" s="8" t="str">
        <f>HYPERLINK("https://twitter.com/soedrajad_eko","@soedrajad_eko")</f>
        <v>@soedrajad_eko</v>
      </c>
      <c r="C15920" s="8" t="s">
        <v>3743</v>
      </c>
      <c r="D15920" s="8">
        <v>620</v>
      </c>
      <c r="E15920" s="8">
        <v>0</v>
      </c>
      <c r="F15920" s="8">
        <v>5</v>
      </c>
    </row>
    <row r="15921" spans="1:6" ht="12.75">
      <c r="A15921" s="8">
        <v>43897.57675925926</v>
      </c>
      <c r="B15921" s="8" t="str">
        <f>HYPERLINK("https://twitter.com/absimor","@absimor")</f>
        <v>@absimor</v>
      </c>
      <c r="C15921" s="8" t="s">
        <v>6495</v>
      </c>
      <c r="D15921" s="8">
        <v>0</v>
      </c>
      <c r="E15921" s="8">
        <v>0</v>
      </c>
      <c r="F15921" s="8">
        <v>1</v>
      </c>
    </row>
    <row r="15922" spans="1:6" ht="12.75">
      <c r="A15922" s="8">
        <v>43897.576435185183</v>
      </c>
      <c r="B15922" s="8" t="str">
        <f>HYPERLINK("https://twitter.com/nurhaya80911108","@nurhaya80911108")</f>
        <v>@nurhaya80911108</v>
      </c>
      <c r="C15922" s="8" t="s">
        <v>3743</v>
      </c>
      <c r="D15922" s="8">
        <v>620</v>
      </c>
      <c r="E15922" s="8">
        <v>0</v>
      </c>
      <c r="F15922" s="8">
        <v>68</v>
      </c>
    </row>
    <row r="15923" spans="1:6" ht="12.75">
      <c r="A15923" s="8">
        <v>43897.576342592598</v>
      </c>
      <c r="B15923" s="8" t="str">
        <f>HYPERLINK("https://twitter.com/gembira683101","@gembira683101")</f>
        <v>@gembira683101</v>
      </c>
      <c r="C15923" s="8" t="s">
        <v>4510</v>
      </c>
      <c r="D15923" s="8">
        <v>42</v>
      </c>
      <c r="E15923" s="8">
        <v>0</v>
      </c>
      <c r="F15923" s="8">
        <v>256</v>
      </c>
    </row>
    <row r="15924" spans="1:6" ht="12.75">
      <c r="A15924" s="8">
        <v>43897.576145833329</v>
      </c>
      <c r="B15924" s="8" t="str">
        <f>HYPERLINK("https://twitter.com/Pletok9","@Pletok9")</f>
        <v>@Pletok9</v>
      </c>
      <c r="C15924" s="8" t="s">
        <v>4818</v>
      </c>
      <c r="D15924" s="8">
        <v>250</v>
      </c>
      <c r="E15924" s="8">
        <v>0</v>
      </c>
      <c r="F15924" s="8">
        <v>178</v>
      </c>
    </row>
    <row r="15925" spans="1:6" ht="12.75">
      <c r="A15925" s="8">
        <v>43897.575821759259</v>
      </c>
      <c r="B15925" s="8" t="str">
        <f>HYPERLINK("https://twitter.com/jansportijo","@jansportijo")</f>
        <v>@jansportijo</v>
      </c>
      <c r="C15925" s="8" t="s">
        <v>6496</v>
      </c>
      <c r="D15925" s="8">
        <v>0</v>
      </c>
      <c r="E15925" s="8">
        <v>0</v>
      </c>
      <c r="F15925" s="8">
        <v>634</v>
      </c>
    </row>
    <row r="15926" spans="1:6" ht="12.75">
      <c r="A15926" s="8">
        <v>43897.575497685189</v>
      </c>
      <c r="B15926" s="8" t="str">
        <f>HYPERLINK("https://twitter.com/VHZ_Tarigan","@VHZ_Tarigan")</f>
        <v>@VHZ_Tarigan</v>
      </c>
      <c r="C15926" s="8" t="s">
        <v>6497</v>
      </c>
      <c r="D15926" s="8">
        <v>0</v>
      </c>
      <c r="E15926" s="8">
        <v>0</v>
      </c>
      <c r="F15926" s="8">
        <v>28</v>
      </c>
    </row>
    <row r="15927" spans="1:6" ht="12.75">
      <c r="A15927" s="8">
        <v>43897.574687500004</v>
      </c>
      <c r="B15927" s="8" t="str">
        <f>HYPERLINK("https://twitter.com/Gudang_Survivor","@Gudang_Survivor")</f>
        <v>@Gudang_Survivor</v>
      </c>
      <c r="C15927" s="8" t="s">
        <v>5704</v>
      </c>
      <c r="D15927" s="8">
        <v>25</v>
      </c>
      <c r="E15927" s="8">
        <v>0</v>
      </c>
      <c r="F15927" s="8">
        <v>236</v>
      </c>
    </row>
    <row r="15928" spans="1:6" ht="12.75">
      <c r="A15928" s="8">
        <v>43897.574641203704</v>
      </c>
      <c r="B15928" s="8" t="str">
        <f>HYPERLINK("https://twitter.com/AsalBerkata","@AsalBerkata")</f>
        <v>@AsalBerkata</v>
      </c>
      <c r="C15928" s="8" t="s">
        <v>6498</v>
      </c>
      <c r="D15928" s="8">
        <v>0</v>
      </c>
      <c r="E15928" s="8">
        <v>1</v>
      </c>
      <c r="F15928" s="8">
        <v>242</v>
      </c>
    </row>
    <row r="15929" spans="1:6" ht="12.75">
      <c r="A15929" s="8">
        <v>43897.57440972222</v>
      </c>
      <c r="B15929" s="8" t="str">
        <f>HYPERLINK("https://twitter.com/KBRI_Bangkok","@KBRI_Bangkok")</f>
        <v>@KBRI_Bangkok</v>
      </c>
      <c r="C15929" s="8" t="s">
        <v>6499</v>
      </c>
      <c r="D15929" s="8">
        <v>0</v>
      </c>
      <c r="E15929" s="8">
        <v>0</v>
      </c>
      <c r="F15929" s="8">
        <v>3930</v>
      </c>
    </row>
    <row r="15930" spans="1:6" ht="12.75">
      <c r="A15930" s="8">
        <v>43897.574062500003</v>
      </c>
      <c r="B15930" s="8" t="str">
        <f>HYPERLINK("https://twitter.com/RakyatSumut_","@RakyatSumut_")</f>
        <v>@RakyatSumut_</v>
      </c>
      <c r="C15930" s="8" t="s">
        <v>6500</v>
      </c>
      <c r="D15930" s="8">
        <v>0</v>
      </c>
      <c r="E15930" s="8">
        <v>0</v>
      </c>
      <c r="F15930" s="8">
        <v>54</v>
      </c>
    </row>
    <row r="15931" spans="1:6" ht="12.75">
      <c r="A15931" s="8">
        <v>43897.573888888888</v>
      </c>
      <c r="B15931" s="8" t="str">
        <f>HYPERLINK("https://twitter.com/casteanoz","@casteanoz")</f>
        <v>@casteanoz</v>
      </c>
      <c r="C15931" s="8" t="s">
        <v>4818</v>
      </c>
      <c r="D15931" s="8">
        <v>250</v>
      </c>
      <c r="E15931" s="8">
        <v>0</v>
      </c>
      <c r="F15931" s="8">
        <v>276</v>
      </c>
    </row>
    <row r="15932" spans="1:6" ht="12.75">
      <c r="A15932" s="8">
        <v>43897.573541666672</v>
      </c>
      <c r="B15932" s="8" t="str">
        <f>HYPERLINK("https://twitter.com/afifahnaseer","@afifahnaseer")</f>
        <v>@afifahnaseer</v>
      </c>
      <c r="C15932" s="8" t="s">
        <v>3213</v>
      </c>
      <c r="D15932" s="8">
        <v>287</v>
      </c>
      <c r="E15932" s="8">
        <v>0</v>
      </c>
      <c r="F15932" s="8">
        <v>173</v>
      </c>
    </row>
    <row r="15933" spans="1:6" ht="12.75">
      <c r="A15933" s="8">
        <v>43897.573368055557</v>
      </c>
      <c r="B15933" s="8" t="str">
        <f>HYPERLINK("https://twitter.com/EdiManik6","@EdiManik6")</f>
        <v>@EdiManik6</v>
      </c>
      <c r="C15933" s="8" t="s">
        <v>3743</v>
      </c>
      <c r="D15933" s="8">
        <v>620</v>
      </c>
      <c r="E15933" s="8">
        <v>0</v>
      </c>
      <c r="F15933" s="8">
        <v>704</v>
      </c>
    </row>
    <row r="15934" spans="1:6" ht="12.75">
      <c r="A15934" s="8">
        <v>43897.573252314818</v>
      </c>
      <c r="B15934" s="8" t="str">
        <f>HYPERLINK("https://twitter.com/medcom_id","@medcom_id")</f>
        <v>@medcom_id</v>
      </c>
      <c r="C15934" s="8" t="s">
        <v>6501</v>
      </c>
      <c r="D15934" s="8">
        <v>0</v>
      </c>
      <c r="E15934" s="8">
        <v>0</v>
      </c>
      <c r="F15934" s="8">
        <v>18518</v>
      </c>
    </row>
    <row r="15935" spans="1:6" ht="12.75">
      <c r="A15935" s="8">
        <v>43897.573078703703</v>
      </c>
      <c r="B15935" s="8" t="str">
        <f>HYPERLINK("https://twitter.com/Cicha_2","@Cicha_2")</f>
        <v>@Cicha_2</v>
      </c>
      <c r="C15935" s="8" t="s">
        <v>4510</v>
      </c>
      <c r="D15935" s="8">
        <v>42</v>
      </c>
      <c r="E15935" s="8">
        <v>0</v>
      </c>
      <c r="F15935" s="8">
        <v>1186</v>
      </c>
    </row>
    <row r="15936" spans="1:6" ht="12.75">
      <c r="A15936" s="8">
        <v>43897.572928240741</v>
      </c>
      <c r="B15936" s="8" t="str">
        <f>HYPERLINK("https://twitter.com/terasid","@terasid")</f>
        <v>@terasid</v>
      </c>
      <c r="C15936" s="8" t="s">
        <v>4415</v>
      </c>
      <c r="D15936" s="8">
        <v>4</v>
      </c>
      <c r="E15936" s="8">
        <v>0</v>
      </c>
      <c r="F15936" s="8">
        <v>3176</v>
      </c>
    </row>
    <row r="15937" spans="1:6" ht="12.75">
      <c r="A15937" s="8">
        <v>43897.572928240741</v>
      </c>
      <c r="B15937" s="8" t="str">
        <f>HYPERLINK("https://twitter.com/ayah_risang","@ayah_risang")</f>
        <v>@ayah_risang</v>
      </c>
      <c r="C15937" s="8" t="s">
        <v>4510</v>
      </c>
      <c r="D15937" s="8">
        <v>42</v>
      </c>
      <c r="E15937" s="8">
        <v>0</v>
      </c>
      <c r="F15937" s="8">
        <v>1150</v>
      </c>
    </row>
    <row r="15938" spans="1:6" ht="12.75">
      <c r="A15938" s="8">
        <v>43897.572743055556</v>
      </c>
      <c r="B15938" s="8" t="str">
        <f>HYPERLINK("https://twitter.com/mustikari","@mustikari")</f>
        <v>@mustikari</v>
      </c>
      <c r="C15938" s="8" t="s">
        <v>3213</v>
      </c>
      <c r="D15938" s="8">
        <v>287</v>
      </c>
      <c r="E15938" s="8">
        <v>0</v>
      </c>
      <c r="F15938" s="8">
        <v>587</v>
      </c>
    </row>
    <row r="15939" spans="1:6" ht="12.75">
      <c r="A15939" s="8">
        <v>43897.572638888887</v>
      </c>
      <c r="B15939" s="8" t="str">
        <f>HYPERLINK("https://twitter.com/bhadrikawirya","@bhadrikawirya")</f>
        <v>@bhadrikawirya</v>
      </c>
      <c r="C15939" s="8" t="s">
        <v>6502</v>
      </c>
      <c r="D15939" s="8">
        <v>0</v>
      </c>
      <c r="E15939" s="8">
        <v>0</v>
      </c>
      <c r="F15939" s="8">
        <v>165</v>
      </c>
    </row>
    <row r="15940" spans="1:6" ht="12.75">
      <c r="A15940" s="8">
        <v>43897.572384259256</v>
      </c>
      <c r="B15940" s="8" t="str">
        <f>HYPERLINK("https://twitter.com/kartikahari13","@kartikahari13")</f>
        <v>@kartikahari13</v>
      </c>
      <c r="C15940" s="8" t="s">
        <v>6503</v>
      </c>
      <c r="D15940" s="8">
        <v>1</v>
      </c>
      <c r="E15940" s="8">
        <v>0</v>
      </c>
      <c r="F15940" s="8">
        <v>1416</v>
      </c>
    </row>
    <row r="15941" spans="1:6" ht="12.75">
      <c r="A15941" s="8">
        <v>43897.571770833332</v>
      </c>
      <c r="B15941" s="8" t="str">
        <f>HYPERLINK("https://twitter.com/BatikRiwa","@BatikRiwa")</f>
        <v>@BatikRiwa</v>
      </c>
      <c r="C15941" s="8" t="s">
        <v>5899</v>
      </c>
      <c r="D15941" s="8">
        <v>12</v>
      </c>
      <c r="E15941" s="8">
        <v>0</v>
      </c>
      <c r="F15941" s="8">
        <v>1380</v>
      </c>
    </row>
    <row r="15942" spans="1:6" ht="12.75">
      <c r="A15942" s="8">
        <v>43897.571388888886</v>
      </c>
      <c r="B15942" s="8" t="str">
        <f>HYPERLINK("https://twitter.com/wangdendo","@wangdendo")</f>
        <v>@wangdendo</v>
      </c>
      <c r="C15942" s="8" t="s">
        <v>6504</v>
      </c>
      <c r="D15942" s="8">
        <v>0</v>
      </c>
      <c r="E15942" s="8">
        <v>0</v>
      </c>
      <c r="F15942" s="8">
        <v>502</v>
      </c>
    </row>
    <row r="15943" spans="1:6" ht="12.75">
      <c r="A15943" s="8">
        <v>43897.571296296301</v>
      </c>
      <c r="B15943" s="8" t="str">
        <f>HYPERLINK("https://twitter.com/republikaonline","@republikaonline")</f>
        <v>@republikaonline</v>
      </c>
      <c r="C15943" s="8" t="s">
        <v>6505</v>
      </c>
      <c r="D15943" s="8">
        <v>1</v>
      </c>
      <c r="E15943" s="8">
        <v>2</v>
      </c>
      <c r="F15943" s="8">
        <v>1221111</v>
      </c>
    </row>
    <row r="15944" spans="1:6" ht="12.75">
      <c r="A15944" s="8">
        <v>43897.570810185185</v>
      </c>
      <c r="B15944" s="8" t="str">
        <f>HYPERLINK("https://twitter.com/Apriil68","@Apriil68")</f>
        <v>@Apriil68</v>
      </c>
      <c r="C15944" s="8" t="s">
        <v>6252</v>
      </c>
      <c r="D15944" s="8">
        <v>23</v>
      </c>
      <c r="E15944" s="8">
        <v>0</v>
      </c>
      <c r="F15944" s="8">
        <v>3199</v>
      </c>
    </row>
    <row r="15945" spans="1:6" ht="12.75">
      <c r="A15945" s="8">
        <v>43897.570601851854</v>
      </c>
      <c r="B15945" s="8" t="str">
        <f>HYPERLINK("https://twitter.com/dee_Walix999","@dee_Walix999")</f>
        <v>@dee_Walix999</v>
      </c>
      <c r="C15945" s="8" t="s">
        <v>4510</v>
      </c>
      <c r="D15945" s="8">
        <v>42</v>
      </c>
      <c r="E15945" s="8">
        <v>0</v>
      </c>
      <c r="F15945" s="8">
        <v>959</v>
      </c>
    </row>
    <row r="15946" spans="1:6" ht="12.75">
      <c r="A15946" s="8">
        <v>43897.570567129631</v>
      </c>
      <c r="B15946" s="8" t="str">
        <f>HYPERLINK("https://twitter.com/basrakh","@basrakh")</f>
        <v>@basrakh</v>
      </c>
      <c r="C15946" s="8" t="s">
        <v>6506</v>
      </c>
      <c r="D15946" s="8">
        <v>0</v>
      </c>
      <c r="E15946" s="8">
        <v>0</v>
      </c>
      <c r="F15946" s="8">
        <v>264</v>
      </c>
    </row>
    <row r="15947" spans="1:6" ht="12.75">
      <c r="A15947" s="8">
        <v>43897.570243055554</v>
      </c>
      <c r="B15947" s="8" t="str">
        <f>HYPERLINK("https://twitter.com/elinndeee","@elinndeee")</f>
        <v>@elinndeee</v>
      </c>
      <c r="C15947" s="8" t="s">
        <v>6507</v>
      </c>
      <c r="D15947" s="8">
        <v>0</v>
      </c>
      <c r="E15947" s="8">
        <v>0</v>
      </c>
      <c r="F15947" s="8">
        <v>47</v>
      </c>
    </row>
    <row r="15948" spans="1:6" ht="12.75">
      <c r="A15948" s="8">
        <v>43897.569861111115</v>
      </c>
      <c r="B15948" s="8" t="str">
        <f>HYPERLINK("https://twitter.com/okezonenews","@okezonenews")</f>
        <v>@okezonenews</v>
      </c>
      <c r="C15948" s="8" t="s">
        <v>6508</v>
      </c>
      <c r="D15948" s="8">
        <v>0</v>
      </c>
      <c r="E15948" s="8">
        <v>1</v>
      </c>
      <c r="F15948" s="8">
        <v>1744081</v>
      </c>
    </row>
    <row r="15949" spans="1:6" ht="12.75">
      <c r="A15949" s="8">
        <v>43897.569351851853</v>
      </c>
      <c r="B15949" s="8" t="str">
        <f>HYPERLINK("https://twitter.com/JagoanMelon","@JagoanMelon")</f>
        <v>@JagoanMelon</v>
      </c>
      <c r="C15949" s="8" t="s">
        <v>6252</v>
      </c>
      <c r="D15949" s="8">
        <v>23</v>
      </c>
      <c r="E15949" s="8">
        <v>0</v>
      </c>
      <c r="F15949" s="8">
        <v>1217</v>
      </c>
    </row>
    <row r="15950" spans="1:6" ht="12.75">
      <c r="A15950" s="8">
        <v>43897.56930555556</v>
      </c>
      <c r="B15950" s="8" t="str">
        <f>HYPERLINK("https://twitter.com/tioharimurtie","@tioharimurtie")</f>
        <v>@tioharimurtie</v>
      </c>
      <c r="C15950" s="8" t="s">
        <v>6509</v>
      </c>
      <c r="D15950" s="8">
        <v>0</v>
      </c>
      <c r="E15950" s="8">
        <v>0</v>
      </c>
      <c r="F15950" s="8">
        <v>3626</v>
      </c>
    </row>
    <row r="15951" spans="1:6" ht="12.75">
      <c r="A15951" s="8">
        <v>43897.569236111114</v>
      </c>
      <c r="B15951" s="8" t="str">
        <f>HYPERLINK("https://twitter.com/avia_noer","@avia_noer")</f>
        <v>@avia_noer</v>
      </c>
      <c r="C15951" s="8" t="s">
        <v>4510</v>
      </c>
      <c r="D15951" s="8">
        <v>42</v>
      </c>
      <c r="E15951" s="8">
        <v>0</v>
      </c>
      <c r="F15951" s="8">
        <v>572</v>
      </c>
    </row>
    <row r="15952" spans="1:6" ht="12.75">
      <c r="A15952" s="8">
        <v>43897.569131944445</v>
      </c>
      <c r="B15952" s="8" t="str">
        <f>HYPERLINK("https://twitter.com/_winnerss","@_winnerss")</f>
        <v>@_winnerss</v>
      </c>
      <c r="C15952" s="8" t="s">
        <v>6510</v>
      </c>
      <c r="D15952" s="8">
        <v>0</v>
      </c>
      <c r="E15952" s="8">
        <v>0</v>
      </c>
      <c r="F15952" s="8">
        <v>1633</v>
      </c>
    </row>
    <row r="15953" spans="1:6" ht="12.75">
      <c r="A15953" s="8">
        <v>43897.568807870368</v>
      </c>
      <c r="B15953" s="8" t="str">
        <f>HYPERLINK("https://twitter.com/RoisMJ","@RoisMJ")</f>
        <v>@RoisMJ</v>
      </c>
      <c r="C15953" s="8" t="s">
        <v>4818</v>
      </c>
      <c r="D15953" s="8">
        <v>250</v>
      </c>
      <c r="E15953" s="8">
        <v>0</v>
      </c>
      <c r="F15953" s="8">
        <v>265</v>
      </c>
    </row>
    <row r="15954" spans="1:6" ht="12.75">
      <c r="A15954" s="8">
        <v>43897.568541666667</v>
      </c>
      <c r="B15954" s="8" t="str">
        <f>HYPERLINK("https://twitter.com/KelianBanjar_GK","@KelianBanjar_GK")</f>
        <v>@KelianBanjar_GK</v>
      </c>
      <c r="C15954" s="8" t="s">
        <v>4510</v>
      </c>
      <c r="D15954" s="8">
        <v>42</v>
      </c>
      <c r="E15954" s="8">
        <v>0</v>
      </c>
      <c r="F15954" s="8">
        <v>8869</v>
      </c>
    </row>
    <row r="15955" spans="1:6" ht="12.75">
      <c r="A15955" s="8">
        <v>43897.568379629629</v>
      </c>
      <c r="B15955" s="8" t="str">
        <f>HYPERLINK("https://twitter.com/sitisisterceria","@sitisisterceria")</f>
        <v>@sitisisterceria</v>
      </c>
      <c r="C15955" s="8" t="s">
        <v>6511</v>
      </c>
      <c r="D15955" s="8">
        <v>0</v>
      </c>
      <c r="E15955" s="8">
        <v>1</v>
      </c>
      <c r="F15955" s="8">
        <v>4981</v>
      </c>
    </row>
    <row r="15956" spans="1:6" ht="12.75">
      <c r="A15956" s="8">
        <v>43897.568229166667</v>
      </c>
      <c r="B15956" s="8" t="str">
        <f>HYPERLINK("https://twitter.com/budidinamo1","@budidinamo1")</f>
        <v>@budidinamo1</v>
      </c>
      <c r="C15956" s="8" t="s">
        <v>4510</v>
      </c>
      <c r="D15956" s="8">
        <v>42</v>
      </c>
      <c r="E15956" s="8">
        <v>0</v>
      </c>
      <c r="F15956" s="8">
        <v>1</v>
      </c>
    </row>
    <row r="15957" spans="1:6" ht="12.75">
      <c r="A15957" s="8">
        <v>43897.568009259259</v>
      </c>
      <c r="B15957" s="8" t="str">
        <f>HYPERLINK("https://twitter.com/bubblechicu","@bubblechicu")</f>
        <v>@bubblechicu</v>
      </c>
      <c r="C15957" s="8" t="s">
        <v>6512</v>
      </c>
      <c r="D15957" s="8">
        <v>0</v>
      </c>
      <c r="E15957" s="8">
        <v>0</v>
      </c>
      <c r="F15957" s="8">
        <v>10</v>
      </c>
    </row>
    <row r="15958" spans="1:6" ht="12.75">
      <c r="A15958" s="8">
        <v>43897.567569444444</v>
      </c>
      <c r="B15958" s="8" t="str">
        <f>HYPERLINK("https://twitter.com/rahiiimm_abdul","@rahiiimm_abdul")</f>
        <v>@rahiiimm_abdul</v>
      </c>
      <c r="C15958" s="8" t="s">
        <v>6513</v>
      </c>
      <c r="D15958" s="8">
        <v>0</v>
      </c>
      <c r="E15958" s="8">
        <v>0</v>
      </c>
      <c r="F15958" s="8">
        <v>7</v>
      </c>
    </row>
    <row r="15959" spans="1:6" ht="12.75">
      <c r="A15959" s="8">
        <v>43897.567476851851</v>
      </c>
      <c r="B15959" s="8" t="str">
        <f>HYPERLINK("https://twitter.com/K_Muslim_UNRAM","@K_Muslim_UNRAM")</f>
        <v>@K_Muslim_UNRAM</v>
      </c>
      <c r="C15959" s="8" t="s">
        <v>6514</v>
      </c>
      <c r="D15959" s="8">
        <v>0</v>
      </c>
      <c r="E15959" s="8">
        <v>0</v>
      </c>
      <c r="F15959" s="8">
        <v>1461</v>
      </c>
    </row>
    <row r="15960" spans="1:6" ht="12.75">
      <c r="A15960" s="8">
        <v>43897.567233796297</v>
      </c>
      <c r="B15960" s="8" t="str">
        <f>HYPERLINK("https://twitter.com/dajjaltamvan","@dajjaltamvan")</f>
        <v>@dajjaltamvan</v>
      </c>
      <c r="C15960" s="8" t="s">
        <v>4818</v>
      </c>
      <c r="D15960" s="8">
        <v>250</v>
      </c>
      <c r="E15960" s="8">
        <v>0</v>
      </c>
      <c r="F15960" s="8">
        <v>148</v>
      </c>
    </row>
    <row r="15961" spans="1:6" ht="12.75">
      <c r="A15961" s="8">
        <v>43897.566921296297</v>
      </c>
      <c r="B15961" s="8" t="str">
        <f>HYPERLINK("https://twitter.com/upikq22","@upikq22")</f>
        <v>@upikq22</v>
      </c>
      <c r="C15961" s="8" t="s">
        <v>6515</v>
      </c>
      <c r="D15961" s="8">
        <v>0</v>
      </c>
      <c r="E15961" s="8">
        <v>0</v>
      </c>
      <c r="F15961" s="8">
        <v>1112</v>
      </c>
    </row>
    <row r="15962" spans="1:6" ht="12.75">
      <c r="A15962" s="8">
        <v>43897.566620370373</v>
      </c>
      <c r="B15962" s="8" t="str">
        <f t="shared" ref="B15962:B15963" si="243">HYPERLINK("https://twitter.com/razzmon_","@razzmon_")</f>
        <v>@razzmon_</v>
      </c>
      <c r="C15962" s="8" t="s">
        <v>6234</v>
      </c>
      <c r="D15962" s="8">
        <v>1</v>
      </c>
      <c r="E15962" s="8">
        <v>0</v>
      </c>
      <c r="F15962" s="8">
        <v>7045</v>
      </c>
    </row>
    <row r="15963" spans="1:6" ht="12.75">
      <c r="A15963" s="8">
        <v>43897.56659722222</v>
      </c>
      <c r="B15963" s="8" t="str">
        <f t="shared" si="243"/>
        <v>@razzmon_</v>
      </c>
      <c r="C15963" s="8" t="s">
        <v>6113</v>
      </c>
      <c r="D15963" s="8">
        <v>8</v>
      </c>
      <c r="E15963" s="8">
        <v>0</v>
      </c>
      <c r="F15963" s="8">
        <v>7045</v>
      </c>
    </row>
    <row r="15964" spans="1:6" ht="12.75">
      <c r="A15964" s="8">
        <v>43897.566481481481</v>
      </c>
      <c r="B15964" s="8" t="str">
        <f>HYPERLINK("https://twitter.com/gemilang06","@gemilang06")</f>
        <v>@gemilang06</v>
      </c>
      <c r="C15964" s="8" t="s">
        <v>4510</v>
      </c>
      <c r="D15964" s="8">
        <v>42</v>
      </c>
      <c r="E15964" s="8">
        <v>0</v>
      </c>
      <c r="F15964" s="8">
        <v>1724</v>
      </c>
    </row>
    <row r="15965" spans="1:6" ht="12.75">
      <c r="A15965" s="8">
        <v>43897.566331018519</v>
      </c>
      <c r="B15965" s="8" t="str">
        <f>HYPERLINK("https://twitter.com/tioharimurtie","@tioharimurtie")</f>
        <v>@tioharimurtie</v>
      </c>
      <c r="C15965" s="8" t="s">
        <v>4510</v>
      </c>
      <c r="D15965" s="8">
        <v>42</v>
      </c>
      <c r="E15965" s="8">
        <v>0</v>
      </c>
      <c r="F15965" s="8">
        <v>3626</v>
      </c>
    </row>
    <row r="15966" spans="1:6" ht="12.75">
      <c r="A15966" s="8">
        <v>43897.548425925925</v>
      </c>
      <c r="B15966" s="8" t="str">
        <f>HYPERLINK("https://twitter.com/ridwan2474","@ridwan2474")</f>
        <v>@ridwan2474</v>
      </c>
      <c r="C15966" s="8" t="s">
        <v>6516</v>
      </c>
      <c r="D15966" s="8">
        <v>0</v>
      </c>
      <c r="E15966" s="8">
        <v>0</v>
      </c>
      <c r="F15966" s="8">
        <v>100</v>
      </c>
    </row>
    <row r="15967" spans="1:6" ht="12.75">
      <c r="A15967" s="8">
        <v>43897.548287037032</v>
      </c>
      <c r="B15967" s="8" t="str">
        <f>HYPERLINK("https://twitter.com/JKDaulay","@JKDaulay")</f>
        <v>@JKDaulay</v>
      </c>
      <c r="C15967" s="8" t="s">
        <v>6252</v>
      </c>
      <c r="D15967" s="8">
        <v>11</v>
      </c>
      <c r="E15967" s="8">
        <v>0</v>
      </c>
      <c r="F15967" s="8">
        <v>2827</v>
      </c>
    </row>
    <row r="15968" spans="1:6" ht="12.75">
      <c r="A15968" s="8">
        <v>43897.546689814815</v>
      </c>
      <c r="B15968" s="8" t="str">
        <f>HYPERLINK("https://twitter.com/edikadina02","@edikadina02")</f>
        <v>@edikadina02</v>
      </c>
      <c r="C15968" s="8" t="s">
        <v>6252</v>
      </c>
      <c r="D15968" s="8">
        <v>11</v>
      </c>
      <c r="E15968" s="8">
        <v>0</v>
      </c>
      <c r="F15968" s="8">
        <v>2148</v>
      </c>
    </row>
    <row r="15969" spans="1:6" ht="12.75">
      <c r="A15969" s="8">
        <v>43897.5465162037</v>
      </c>
      <c r="B15969" s="8" t="str">
        <f>HYPERLINK("https://twitter.com/faizalassegaf","@faizalassegaf")</f>
        <v>@faizalassegaf</v>
      </c>
      <c r="C15969" s="8" t="s">
        <v>6517</v>
      </c>
      <c r="D15969" s="8">
        <v>1</v>
      </c>
      <c r="E15969" s="8">
        <v>1</v>
      </c>
      <c r="F15969" s="8">
        <v>52478</v>
      </c>
    </row>
    <row r="15970" spans="1:6" ht="12.75">
      <c r="A15970" s="8">
        <v>43897.546168981484</v>
      </c>
      <c r="B15970" s="8" t="str">
        <f>HYPERLINK("https://twitter.com/FadliUlath","@FadliUlath")</f>
        <v>@FadliUlath</v>
      </c>
      <c r="C15970" s="8" t="s">
        <v>6518</v>
      </c>
      <c r="D15970" s="8">
        <v>0</v>
      </c>
      <c r="E15970" s="8">
        <v>0</v>
      </c>
      <c r="F15970" s="8">
        <v>1</v>
      </c>
    </row>
    <row r="15971" spans="1:6" ht="12.75">
      <c r="A15971" s="8">
        <v>43897.546111111107</v>
      </c>
      <c r="B15971" s="8" t="str">
        <f>HYPERLINK("https://twitter.com/fitria_oliv","@fitria_oliv")</f>
        <v>@fitria_oliv</v>
      </c>
      <c r="C15971" s="8" t="s">
        <v>6519</v>
      </c>
      <c r="D15971" s="8">
        <v>1</v>
      </c>
      <c r="E15971" s="8">
        <v>0</v>
      </c>
      <c r="F15971" s="8">
        <v>13</v>
      </c>
    </row>
    <row r="15972" spans="1:6" ht="12.75">
      <c r="A15972" s="8">
        <v>43897.546030092592</v>
      </c>
      <c r="B15972" s="8" t="str">
        <f>HYPERLINK("https://twitter.com/republikaonline","@republikaonline")</f>
        <v>@republikaonline</v>
      </c>
      <c r="C15972" s="8" t="s">
        <v>6520</v>
      </c>
      <c r="D15972" s="8">
        <v>0</v>
      </c>
      <c r="E15972" s="8">
        <v>1</v>
      </c>
      <c r="F15972" s="8">
        <v>1221081</v>
      </c>
    </row>
    <row r="15973" spans="1:6" ht="12.75">
      <c r="A15973" s="8">
        <v>43897.544502314813</v>
      </c>
      <c r="B15973" s="8" t="str">
        <f>HYPERLINK("https://twitter.com/pour71","@pour71")</f>
        <v>@pour71</v>
      </c>
      <c r="C15973" s="8" t="s">
        <v>5103</v>
      </c>
      <c r="D15973" s="8">
        <v>185</v>
      </c>
      <c r="E15973" s="8">
        <v>0</v>
      </c>
      <c r="F15973" s="8">
        <v>410</v>
      </c>
    </row>
    <row r="15974" spans="1:6" ht="12.75">
      <c r="A15974" s="8">
        <v>43897.544236111113</v>
      </c>
      <c r="B15974" s="8" t="str">
        <f>HYPERLINK("https://twitter.com/zaidzikrijantan","@zaidzikrijantan")</f>
        <v>@zaidzikrijantan</v>
      </c>
      <c r="C15974" s="8" t="s">
        <v>4004</v>
      </c>
      <c r="D15974" s="8">
        <v>8</v>
      </c>
      <c r="E15974" s="8">
        <v>0</v>
      </c>
      <c r="F15974" s="8">
        <v>1212</v>
      </c>
    </row>
    <row r="15975" spans="1:6" ht="12.75">
      <c r="A15975" s="8">
        <v>43897.544085648144</v>
      </c>
      <c r="B15975" s="8" t="str">
        <f>HYPERLINK("https://twitter.com/samhudibae","@samhudibae")</f>
        <v>@samhudibae</v>
      </c>
      <c r="C15975" s="8" t="s">
        <v>6252</v>
      </c>
      <c r="D15975" s="8">
        <v>11</v>
      </c>
      <c r="E15975" s="8">
        <v>0</v>
      </c>
      <c r="F15975" s="8">
        <v>3821</v>
      </c>
    </row>
    <row r="15976" spans="1:6" ht="12.75">
      <c r="A15976" s="8">
        <v>43897.543854166666</v>
      </c>
      <c r="B15976" s="8" t="str">
        <f>HYPERLINK("https://twitter.com/haro_arnold","@haro_arnold")</f>
        <v>@haro_arnold</v>
      </c>
      <c r="C15976" s="8" t="s">
        <v>6252</v>
      </c>
      <c r="D15976" s="8">
        <v>11</v>
      </c>
      <c r="E15976" s="8">
        <v>0</v>
      </c>
      <c r="F15976" s="8">
        <v>4795</v>
      </c>
    </row>
    <row r="15977" spans="1:6" ht="12.75">
      <c r="A15977" s="8">
        <v>43897.543217592596</v>
      </c>
      <c r="B15977" s="8" t="str">
        <f>HYPERLINK("https://twitter.com/maxxxmotion","@maxxxmotion")</f>
        <v>@maxxxmotion</v>
      </c>
      <c r="C15977" s="8" t="s">
        <v>6521</v>
      </c>
      <c r="D15977" s="8">
        <v>0</v>
      </c>
      <c r="E15977" s="8">
        <v>0</v>
      </c>
      <c r="F15977" s="8">
        <v>439</v>
      </c>
    </row>
    <row r="15978" spans="1:6" ht="12.75">
      <c r="A15978" s="8">
        <v>43897.543194444443</v>
      </c>
      <c r="B15978" s="8" t="str">
        <f>HYPERLINK("https://twitter.com/ucheguevara","@ucheguevara")</f>
        <v>@ucheguevara</v>
      </c>
      <c r="C15978" s="8" t="s">
        <v>3743</v>
      </c>
      <c r="D15978" s="8">
        <v>608</v>
      </c>
      <c r="E15978" s="8">
        <v>0</v>
      </c>
      <c r="F15978" s="8">
        <v>334</v>
      </c>
    </row>
    <row r="15979" spans="1:6" ht="12.75">
      <c r="A15979" s="8">
        <v>43897.543020833335</v>
      </c>
      <c r="B15979" s="8" t="str">
        <f>HYPERLINK("https://twitter.com/_FWZ_","@_FWZ_")</f>
        <v>@_FWZ_</v>
      </c>
      <c r="C15979" s="8" t="s">
        <v>3743</v>
      </c>
      <c r="D15979" s="8">
        <v>608</v>
      </c>
      <c r="E15979" s="8">
        <v>0</v>
      </c>
      <c r="F15979" s="8">
        <v>307</v>
      </c>
    </row>
    <row r="15980" spans="1:6" ht="12.75">
      <c r="A15980" s="8">
        <v>43897.54277777778</v>
      </c>
      <c r="B15980" s="8" t="str">
        <f>HYPERLINK("https://twitter.com/sobatsekut","@sobatsekut")</f>
        <v>@sobatsekut</v>
      </c>
      <c r="C15980" s="8" t="s">
        <v>6522</v>
      </c>
      <c r="D15980" s="8">
        <v>1</v>
      </c>
      <c r="E15980" s="8">
        <v>0</v>
      </c>
      <c r="F15980" s="8">
        <v>332</v>
      </c>
    </row>
    <row r="15981" spans="1:6" ht="12.75">
      <c r="A15981" s="8">
        <v>43897.542222222226</v>
      </c>
      <c r="B15981" s="8" t="str">
        <f>HYPERLINK("https://twitter.com/FoerQoen","@FoerQoen")</f>
        <v>@FoerQoen</v>
      </c>
      <c r="C15981" s="8" t="s">
        <v>4818</v>
      </c>
      <c r="D15981" s="8">
        <v>240</v>
      </c>
      <c r="E15981" s="8">
        <v>0</v>
      </c>
      <c r="F15981" s="8">
        <v>3228</v>
      </c>
    </row>
    <row r="15982" spans="1:6" ht="12.75">
      <c r="A15982" s="8">
        <v>43897.542141203703</v>
      </c>
      <c r="B15982" s="8" t="str">
        <f>HYPERLINK("https://twitter.com/AqidaJamal","@AqidaJamal")</f>
        <v>@AqidaJamal</v>
      </c>
      <c r="C15982" s="8" t="s">
        <v>4175</v>
      </c>
      <c r="D15982" s="8">
        <v>8</v>
      </c>
      <c r="E15982" s="8">
        <v>0</v>
      </c>
      <c r="F15982" s="8">
        <v>368</v>
      </c>
    </row>
    <row r="15983" spans="1:6" ht="12.75">
      <c r="A15983" s="8">
        <v>43897.541770833333</v>
      </c>
      <c r="B15983" s="8" t="str">
        <f>HYPERLINK("https://twitter.com/04_adisetiawan","@04_adisetiawan")</f>
        <v>@04_adisetiawan</v>
      </c>
      <c r="C15983" s="8" t="s">
        <v>5887</v>
      </c>
      <c r="D15983" s="8">
        <v>0</v>
      </c>
      <c r="E15983" s="8">
        <v>0</v>
      </c>
      <c r="F15983" s="8">
        <v>207</v>
      </c>
    </row>
    <row r="15984" spans="1:6" ht="12.75">
      <c r="A15984" s="8">
        <v>43897.541574074072</v>
      </c>
      <c r="B15984" s="8" t="str">
        <f>HYPERLINK("https://twitter.com/bimakusumaa","@bimakusumaa")</f>
        <v>@bimakusumaa</v>
      </c>
      <c r="C15984" s="8" t="s">
        <v>5103</v>
      </c>
      <c r="D15984" s="8">
        <v>185</v>
      </c>
      <c r="E15984" s="8">
        <v>0</v>
      </c>
      <c r="F15984" s="8">
        <v>316</v>
      </c>
    </row>
    <row r="15985" spans="1:6" ht="12.75">
      <c r="A15985" s="8">
        <v>43897.540196759262</v>
      </c>
      <c r="B15985" s="8" t="str">
        <f>HYPERLINK("https://twitter.com/sugisu15","@sugisu15")</f>
        <v>@sugisu15</v>
      </c>
      <c r="C15985" s="8" t="s">
        <v>6523</v>
      </c>
      <c r="D15985" s="8">
        <v>0</v>
      </c>
      <c r="E15985" s="8">
        <v>0</v>
      </c>
      <c r="F15985" s="8">
        <v>144</v>
      </c>
    </row>
    <row r="15986" spans="1:6" ht="12.75">
      <c r="A15986" s="8">
        <v>43897.540185185186</v>
      </c>
      <c r="B15986" s="8" t="str">
        <f>HYPERLINK("https://twitter.com/Panderaja13","@Panderaja13")</f>
        <v>@Panderaja13</v>
      </c>
      <c r="C15986" s="8" t="s">
        <v>6524</v>
      </c>
      <c r="D15986" s="8">
        <v>0</v>
      </c>
      <c r="E15986" s="8">
        <v>0</v>
      </c>
      <c r="F15986" s="8">
        <v>564</v>
      </c>
    </row>
    <row r="15987" spans="1:6" ht="12.75">
      <c r="A15987" s="8">
        <v>43897.539965277778</v>
      </c>
      <c r="B15987" s="8" t="str">
        <f>HYPERLINK("https://twitter.com/NkriIlove","@NkriIlove")</f>
        <v>@NkriIlove</v>
      </c>
      <c r="C15987" s="8" t="s">
        <v>6252</v>
      </c>
      <c r="D15987" s="8">
        <v>11</v>
      </c>
      <c r="E15987" s="8">
        <v>0</v>
      </c>
      <c r="F15987" s="8">
        <v>566</v>
      </c>
    </row>
    <row r="15988" spans="1:6" ht="12.75">
      <c r="A15988" s="8">
        <v>43897.53979166667</v>
      </c>
      <c r="B15988" s="8" t="str">
        <f>HYPERLINK("https://twitter.com/KadrunHunter99","@KadrunHunter99")</f>
        <v>@KadrunHunter99</v>
      </c>
      <c r="C15988" s="8" t="s">
        <v>6252</v>
      </c>
      <c r="D15988" s="8">
        <v>11</v>
      </c>
      <c r="E15988" s="8">
        <v>0</v>
      </c>
      <c r="F15988" s="8">
        <v>4180</v>
      </c>
    </row>
    <row r="15989" spans="1:6" ht="12.75">
      <c r="A15989" s="8">
        <v>43897.53943287037</v>
      </c>
      <c r="B15989" s="8" t="str">
        <f>HYPERLINK("https://twitter.com/Spider__matriX","@Spider__matriX")</f>
        <v>@Spider__matriX</v>
      </c>
      <c r="C15989" s="8" t="s">
        <v>6252</v>
      </c>
      <c r="D15989" s="8">
        <v>11</v>
      </c>
      <c r="E15989" s="8">
        <v>0</v>
      </c>
      <c r="F15989" s="8">
        <v>5017</v>
      </c>
    </row>
    <row r="15990" spans="1:6" ht="12.75">
      <c r="A15990" s="8">
        <v>43897.539097222223</v>
      </c>
      <c r="B15990" s="8" t="str">
        <f>HYPERLINK("https://twitter.com/batamtoday","@batamtoday")</f>
        <v>@batamtoday</v>
      </c>
      <c r="C15990" s="8" t="s">
        <v>6525</v>
      </c>
      <c r="D15990" s="8">
        <v>0</v>
      </c>
      <c r="E15990" s="8">
        <v>0</v>
      </c>
      <c r="F15990" s="8">
        <v>27242</v>
      </c>
    </row>
    <row r="15991" spans="1:6" ht="12.75">
      <c r="A15991" s="8">
        <v>43897.538564814815</v>
      </c>
      <c r="B15991" s="8" t="str">
        <f>HYPERLINK("https://twitter.com/tempodotco","@tempodotco")</f>
        <v>@tempodotco</v>
      </c>
      <c r="C15991" s="8" t="s">
        <v>6526</v>
      </c>
      <c r="D15991" s="8">
        <v>0</v>
      </c>
      <c r="E15991" s="8">
        <v>4</v>
      </c>
      <c r="F15991" s="8">
        <v>1713347</v>
      </c>
    </row>
    <row r="15992" spans="1:6" ht="12.75">
      <c r="A15992" s="8">
        <v>43897.538541666669</v>
      </c>
      <c r="B15992" s="8" t="str">
        <f>HYPERLINK("https://twitter.com/agilajimassurya","@agilajimassurya")</f>
        <v>@agilajimassurya</v>
      </c>
      <c r="C15992" s="8" t="s">
        <v>6527</v>
      </c>
      <c r="D15992" s="8">
        <v>0</v>
      </c>
      <c r="E15992" s="8">
        <v>0</v>
      </c>
      <c r="F15992" s="8">
        <v>448</v>
      </c>
    </row>
    <row r="15993" spans="1:6" ht="12.75">
      <c r="A15993" s="8">
        <v>43897.538518518515</v>
      </c>
      <c r="B15993" s="8" t="str">
        <f>HYPERLINK("https://twitter.com/AbuGhaGha","@AbuGhaGha")</f>
        <v>@AbuGhaGha</v>
      </c>
      <c r="C15993" s="8" t="s">
        <v>3743</v>
      </c>
      <c r="D15993" s="8">
        <v>608</v>
      </c>
      <c r="E15993" s="8">
        <v>0</v>
      </c>
      <c r="F15993" s="8">
        <v>502</v>
      </c>
    </row>
    <row r="15994" spans="1:6" ht="12.75">
      <c r="A15994" s="8">
        <v>43897.538159722222</v>
      </c>
      <c r="B15994" s="8" t="str">
        <f>HYPERLINK("https://twitter.com/RizmaWidiono","@RizmaWidiono")</f>
        <v>@RizmaWidiono</v>
      </c>
      <c r="C15994" s="8" t="s">
        <v>6252</v>
      </c>
      <c r="D15994" s="8">
        <v>11</v>
      </c>
      <c r="E15994" s="8">
        <v>0</v>
      </c>
      <c r="F15994" s="8">
        <v>65500</v>
      </c>
    </row>
    <row r="15995" spans="1:6" ht="12.75">
      <c r="A15995" s="8">
        <v>43897.537499999999</v>
      </c>
      <c r="B15995" s="8" t="str">
        <f>HYPERLINK("https://twitter.com/HRMalik12","@HRMalik12")</f>
        <v>@HRMalik12</v>
      </c>
      <c r="C15995" s="8" t="s">
        <v>6528</v>
      </c>
      <c r="D15995" s="8">
        <v>0</v>
      </c>
      <c r="E15995" s="8">
        <v>0</v>
      </c>
      <c r="F15995" s="8">
        <v>300</v>
      </c>
    </row>
    <row r="15996" spans="1:6" ht="12.75">
      <c r="A15996" s="8">
        <v>43897.537499999999</v>
      </c>
      <c r="B15996" s="8" t="str">
        <f>HYPERLINK("https://twitter.com/baitagroup13","@baitagroup13")</f>
        <v>@baitagroup13</v>
      </c>
      <c r="C15996" s="8" t="s">
        <v>6529</v>
      </c>
      <c r="D15996" s="8">
        <v>0</v>
      </c>
      <c r="E15996" s="8">
        <v>0</v>
      </c>
      <c r="F15996" s="8">
        <v>0</v>
      </c>
    </row>
    <row r="15997" spans="1:6" ht="12.75">
      <c r="A15997" s="8">
        <v>43897.537361111114</v>
      </c>
      <c r="B15997" s="8" t="str">
        <f>HYPERLINK("https://twitter.com/AlvaroDeBazan2","@AlvaroDeBazan2")</f>
        <v>@AlvaroDeBazan2</v>
      </c>
      <c r="C15997" s="8" t="s">
        <v>6530</v>
      </c>
      <c r="D15997" s="8">
        <v>3</v>
      </c>
      <c r="E15997" s="8">
        <v>0</v>
      </c>
      <c r="F15997" s="8">
        <v>273</v>
      </c>
    </row>
    <row r="15998" spans="1:6" ht="12.75">
      <c r="A15998" s="8">
        <v>43897.53706018519</v>
      </c>
      <c r="B15998" s="8" t="str">
        <f>HYPERLINK("https://twitter.com/indroprayitno39","@indroprayitno39")</f>
        <v>@indroprayitno39</v>
      </c>
      <c r="C15998" s="8" t="s">
        <v>3213</v>
      </c>
      <c r="D15998" s="8">
        <v>281</v>
      </c>
      <c r="E15998" s="8">
        <v>0</v>
      </c>
      <c r="F15998" s="8">
        <v>160</v>
      </c>
    </row>
    <row r="15999" spans="1:6" ht="12.75">
      <c r="A15999" s="8">
        <v>43897.536689814813</v>
      </c>
      <c r="B15999" s="8" t="str">
        <f>HYPERLINK("https://twitter.com/ryolandafit","@ryolandafit")</f>
        <v>@ryolandafit</v>
      </c>
      <c r="C15999" s="8" t="s">
        <v>6530</v>
      </c>
      <c r="D15999" s="8">
        <v>3</v>
      </c>
      <c r="E15999" s="8">
        <v>0</v>
      </c>
      <c r="F15999" s="8">
        <v>658</v>
      </c>
    </row>
    <row r="16000" spans="1:6" ht="12.75">
      <c r="A16000" s="8">
        <v>43897.536400462966</v>
      </c>
      <c r="B16000" s="8" t="str">
        <f>HYPERLINK("https://twitter.com/dwiyanaDKM","@dwiyanaDKM")</f>
        <v>@dwiyanaDKM</v>
      </c>
      <c r="C16000" s="8" t="s">
        <v>6252</v>
      </c>
      <c r="D16000" s="8">
        <v>11</v>
      </c>
      <c r="E16000" s="8">
        <v>0</v>
      </c>
      <c r="F16000" s="8">
        <v>2758</v>
      </c>
    </row>
    <row r="16001" spans="1:6" ht="12.75">
      <c r="A16001" s="8">
        <v>43897.536006944443</v>
      </c>
      <c r="B16001" s="8" t="str">
        <f>HYPERLINK("https://twitter.com/BiLLRaY2019","@BiLLRaY2019")</f>
        <v>@BiLLRaY2019</v>
      </c>
      <c r="C16001" s="8" t="s">
        <v>6252</v>
      </c>
      <c r="D16001" s="8">
        <v>11</v>
      </c>
      <c r="E16001" s="8">
        <v>0</v>
      </c>
      <c r="F16001" s="8">
        <v>11028</v>
      </c>
    </row>
    <row r="16002" spans="1:6" ht="12.75">
      <c r="A16002" s="8">
        <v>43897.535474537042</v>
      </c>
      <c r="B16002" s="8" t="str">
        <f>HYPERLINK("https://twitter.com/Bil_lubis","@Bil_lubis")</f>
        <v>@Bil_lubis</v>
      </c>
      <c r="C16002" s="8" t="s">
        <v>6531</v>
      </c>
      <c r="D16002" s="8">
        <v>0</v>
      </c>
      <c r="E16002" s="8">
        <v>1</v>
      </c>
      <c r="F16002" s="8">
        <v>1050</v>
      </c>
    </row>
    <row r="16003" spans="1:6" ht="12.75">
      <c r="A16003" s="8">
        <v>43897.535324074073</v>
      </c>
      <c r="B16003" s="8" t="str">
        <f>HYPERLINK("https://twitter.com/PrabuAvo","@PrabuAvo")</f>
        <v>@PrabuAvo</v>
      </c>
      <c r="C16003" s="8" t="s">
        <v>4818</v>
      </c>
      <c r="D16003" s="8">
        <v>240</v>
      </c>
      <c r="E16003" s="8">
        <v>0</v>
      </c>
      <c r="F16003" s="8">
        <v>26</v>
      </c>
    </row>
    <row r="16004" spans="1:6" ht="12.75">
      <c r="A16004" s="8">
        <v>43897.534409722226</v>
      </c>
      <c r="B16004" s="8" t="str">
        <f>HYPERLINK("https://twitter.com/AriestaRiico","@AriestaRiico")</f>
        <v>@AriestaRiico</v>
      </c>
      <c r="C16004" s="8" t="s">
        <v>6532</v>
      </c>
      <c r="D16004" s="8">
        <v>11</v>
      </c>
      <c r="E16004" s="8">
        <v>20</v>
      </c>
      <c r="F16004" s="8">
        <v>7900</v>
      </c>
    </row>
    <row r="16005" spans="1:6" ht="12.75">
      <c r="A16005" s="8">
        <v>43897.534398148149</v>
      </c>
      <c r="B16005" s="8" t="str">
        <f>HYPERLINK("https://twitter.com/KompasTV","@KompasTV")</f>
        <v>@KompasTV</v>
      </c>
      <c r="C16005" s="8" t="s">
        <v>6533</v>
      </c>
      <c r="D16005" s="8">
        <v>3</v>
      </c>
      <c r="E16005" s="8">
        <v>6</v>
      </c>
      <c r="F16005" s="8">
        <v>2958218</v>
      </c>
    </row>
    <row r="16006" spans="1:6" ht="12.75">
      <c r="A16006" s="8">
        <v>43897.533287037033</v>
      </c>
      <c r="B16006" s="8" t="str">
        <f>HYPERLINK("https://twitter.com/maulicious14","@maulicious14")</f>
        <v>@maulicious14</v>
      </c>
      <c r="C16006" s="8" t="s">
        <v>6534</v>
      </c>
      <c r="D16006" s="8">
        <v>2</v>
      </c>
      <c r="E16006" s="8">
        <v>0</v>
      </c>
      <c r="F16006" s="8">
        <v>90</v>
      </c>
    </row>
    <row r="16007" spans="1:6" ht="12.75">
      <c r="A16007" s="8">
        <v>43897.53297453704</v>
      </c>
      <c r="B16007" s="8" t="str">
        <f>HYPERLINK("https://twitter.com/antaramakassar","@antaramakassar")</f>
        <v>@antaramakassar</v>
      </c>
      <c r="C16007" s="8" t="s">
        <v>6535</v>
      </c>
      <c r="D16007" s="8">
        <v>0</v>
      </c>
      <c r="E16007" s="8">
        <v>0</v>
      </c>
      <c r="F16007" s="8">
        <v>2642</v>
      </c>
    </row>
    <row r="16008" spans="1:6" ht="12.75">
      <c r="A16008" s="8">
        <v>43897.532754629632</v>
      </c>
      <c r="B16008" s="8" t="str">
        <f>HYPERLINK("https://twitter.com/cnkxhlm","@cnkxhlm")</f>
        <v>@cnkxhlm</v>
      </c>
      <c r="C16008" s="8" t="s">
        <v>6536</v>
      </c>
      <c r="D16008" s="8">
        <v>1</v>
      </c>
      <c r="E16008" s="8">
        <v>0</v>
      </c>
      <c r="F16008" s="8">
        <v>610</v>
      </c>
    </row>
    <row r="16009" spans="1:6" ht="12.75">
      <c r="A16009" s="8">
        <v>43897.532650462963</v>
      </c>
      <c r="B16009" s="8" t="str">
        <f>HYPERLINK("https://twitter.com/LampuPerubahan","@LampuPerubahan")</f>
        <v>@LampuPerubahan</v>
      </c>
      <c r="C16009" s="8" t="s">
        <v>3743</v>
      </c>
      <c r="D16009" s="8">
        <v>608</v>
      </c>
      <c r="E16009" s="8">
        <v>0</v>
      </c>
      <c r="F16009" s="8">
        <v>83</v>
      </c>
    </row>
    <row r="16010" spans="1:6" ht="12.75">
      <c r="A16010" s="8">
        <v>43897.532268518524</v>
      </c>
      <c r="B16010" s="8" t="str">
        <f>HYPERLINK("https://twitter.com/kang_bacot","@kang_bacot")</f>
        <v>@kang_bacot</v>
      </c>
      <c r="C16010" s="8" t="s">
        <v>6537</v>
      </c>
      <c r="D16010" s="8">
        <v>0</v>
      </c>
      <c r="E16010" s="8">
        <v>1</v>
      </c>
      <c r="F16010" s="8">
        <v>7347</v>
      </c>
    </row>
    <row r="16011" spans="1:6" ht="12.75">
      <c r="A16011" s="8">
        <v>43897.532118055555</v>
      </c>
      <c r="B16011" s="8" t="str">
        <f>HYPERLINK("https://twitter.com/kicap_maneh824","@kicap_maneh824")</f>
        <v>@kicap_maneh824</v>
      </c>
      <c r="C16011" s="8" t="s">
        <v>6538</v>
      </c>
      <c r="D16011" s="8">
        <v>0</v>
      </c>
      <c r="E16011" s="8">
        <v>0</v>
      </c>
      <c r="F16011" s="8">
        <v>917</v>
      </c>
    </row>
    <row r="16012" spans="1:6" ht="12.75">
      <c r="A16012" s="8">
        <v>43897.53197916667</v>
      </c>
      <c r="B16012" s="8" t="str">
        <f>HYPERLINK("https://twitter.com/sitaamelia2","@sitaamelia2")</f>
        <v>@sitaamelia2</v>
      </c>
      <c r="C16012" s="8" t="s">
        <v>4162</v>
      </c>
      <c r="D16012" s="8">
        <v>59</v>
      </c>
      <c r="E16012" s="8">
        <v>0</v>
      </c>
      <c r="F16012" s="8">
        <v>397</v>
      </c>
    </row>
    <row r="16013" spans="1:6" ht="12.75">
      <c r="A16013" s="8">
        <v>43897.531643518523</v>
      </c>
      <c r="B16013" s="8" t="str">
        <f>HYPERLINK("https://twitter.com/wni_jmsri","@wni_jmsri")</f>
        <v>@wni_jmsri</v>
      </c>
      <c r="C16013" s="8" t="s">
        <v>6539</v>
      </c>
      <c r="D16013" s="8">
        <v>3</v>
      </c>
      <c r="E16013" s="8">
        <v>0</v>
      </c>
      <c r="F16013" s="8">
        <v>201</v>
      </c>
    </row>
    <row r="16014" spans="1:6" ht="12.75">
      <c r="A16014" s="8">
        <v>43897.531296296293</v>
      </c>
      <c r="B16014" s="8" t="str">
        <f>HYPERLINK("https://twitter.com/GATRA_News","@GATRA_News")</f>
        <v>@GATRA_News</v>
      </c>
      <c r="C16014" s="8" t="s">
        <v>6540</v>
      </c>
      <c r="D16014" s="8">
        <v>0</v>
      </c>
      <c r="E16014" s="8">
        <v>0</v>
      </c>
      <c r="F16014" s="8">
        <v>23179</v>
      </c>
    </row>
    <row r="16015" spans="1:6" ht="12.75">
      <c r="A16015" s="8">
        <v>43897.531099537038</v>
      </c>
      <c r="B16015" s="8" t="str">
        <f>HYPERLINK("https://twitter.com/KJRI_Vancouver","@KJRI_Vancouver")</f>
        <v>@KJRI_Vancouver</v>
      </c>
      <c r="C16015" s="8" t="s">
        <v>4162</v>
      </c>
      <c r="D16015" s="8">
        <v>59</v>
      </c>
      <c r="E16015" s="8">
        <v>0</v>
      </c>
      <c r="F16015" s="8">
        <v>2369</v>
      </c>
    </row>
    <row r="16016" spans="1:6" ht="12.75">
      <c r="A16016" s="8">
        <v>43897.5309375</v>
      </c>
      <c r="B16016" s="8" t="str">
        <f>HYPERLINK("https://twitter.com/Detektif_Ngibul","@Detektif_Ngibul")</f>
        <v>@Detektif_Ngibul</v>
      </c>
      <c r="C16016" s="8" t="s">
        <v>6541</v>
      </c>
      <c r="D16016" s="8">
        <v>1</v>
      </c>
      <c r="E16016" s="8">
        <v>0</v>
      </c>
      <c r="F16016" s="8">
        <v>1690</v>
      </c>
    </row>
    <row r="16017" spans="1:6" ht="12.75">
      <c r="A16017" s="8">
        <v>43897.530925925923</v>
      </c>
      <c r="B16017" s="8" t="str">
        <f>HYPERLINK("https://twitter.com/danangzu","@danangzu")</f>
        <v>@danangzu</v>
      </c>
      <c r="C16017" s="8" t="s">
        <v>3743</v>
      </c>
      <c r="D16017" s="8">
        <v>608</v>
      </c>
      <c r="E16017" s="8">
        <v>0</v>
      </c>
      <c r="F16017" s="8">
        <v>127</v>
      </c>
    </row>
    <row r="16018" spans="1:6" ht="12.75">
      <c r="A16018" s="8">
        <v>43897.530624999999</v>
      </c>
      <c r="B16018" s="8" t="str">
        <f t="shared" ref="B16018:B16019" si="244">HYPERLINK("https://twitter.com/PrabuAvo","@PrabuAvo")</f>
        <v>@PrabuAvo</v>
      </c>
      <c r="C16018" s="8" t="s">
        <v>6475</v>
      </c>
      <c r="D16018" s="8">
        <v>3</v>
      </c>
      <c r="E16018" s="8">
        <v>0</v>
      </c>
      <c r="F16018" s="8">
        <v>26</v>
      </c>
    </row>
    <row r="16019" spans="1:6" ht="12.75">
      <c r="A16019" s="8">
        <v>43897.530312499999</v>
      </c>
      <c r="B16019" s="8" t="str">
        <f t="shared" si="244"/>
        <v>@PrabuAvo</v>
      </c>
      <c r="C16019" s="8" t="s">
        <v>5944</v>
      </c>
      <c r="D16019" s="8">
        <v>12</v>
      </c>
      <c r="E16019" s="8">
        <v>0</v>
      </c>
      <c r="F16019" s="8">
        <v>26</v>
      </c>
    </row>
    <row r="16020" spans="1:6" ht="12.75">
      <c r="A16020" s="8">
        <v>43897.530289351853</v>
      </c>
      <c r="B16020" s="8" t="str">
        <f>HYPERLINK("https://twitter.com/Faizah91179600","@Faizah91179600")</f>
        <v>@Faizah91179600</v>
      </c>
      <c r="C16020" s="8" t="s">
        <v>6542</v>
      </c>
      <c r="D16020" s="8">
        <v>230</v>
      </c>
      <c r="E16020" s="8">
        <v>0</v>
      </c>
      <c r="F16020" s="8">
        <v>20</v>
      </c>
    </row>
    <row r="16021" spans="1:6" ht="12.75">
      <c r="A16021" s="8">
        <v>43897.530057870375</v>
      </c>
      <c r="B16021" s="8" t="str">
        <f>HYPERLINK("https://twitter.com/ZimanPargaD","@ZimanPargaD")</f>
        <v>@ZimanPargaD</v>
      </c>
      <c r="C16021" s="8" t="s">
        <v>6543</v>
      </c>
      <c r="D16021" s="8">
        <v>0</v>
      </c>
      <c r="E16021" s="8">
        <v>0</v>
      </c>
      <c r="F16021" s="8">
        <v>11</v>
      </c>
    </row>
    <row r="16022" spans="1:6" ht="12.75">
      <c r="A16022" s="8">
        <v>43897.529976851853</v>
      </c>
      <c r="B16022" s="8" t="str">
        <f>HYPERLINK("https://twitter.com/Qiyas_2285","@Qiyas_2285")</f>
        <v>@Qiyas_2285</v>
      </c>
      <c r="C16022" s="8" t="s">
        <v>3743</v>
      </c>
      <c r="D16022" s="8">
        <v>608</v>
      </c>
      <c r="E16022" s="8">
        <v>0</v>
      </c>
      <c r="F16022" s="8">
        <v>55</v>
      </c>
    </row>
    <row r="16023" spans="1:6" ht="12.75">
      <c r="A16023" s="8">
        <v>43897.529733796298</v>
      </c>
      <c r="B16023" s="8" t="str">
        <f>HYPERLINK("https://twitter.com/pakpuhharry","@pakpuhharry")</f>
        <v>@pakpuhharry</v>
      </c>
      <c r="C16023" s="8" t="s">
        <v>5103</v>
      </c>
      <c r="D16023" s="8">
        <v>185</v>
      </c>
      <c r="E16023" s="8">
        <v>0</v>
      </c>
      <c r="F16023" s="8">
        <v>720</v>
      </c>
    </row>
    <row r="16024" spans="1:6" ht="12.75">
      <c r="A16024" s="8">
        <v>43897.52961805556</v>
      </c>
      <c r="B16024" s="8" t="str">
        <f>HYPERLINK("https://twitter.com/Si_Kalacakra","@Si_Kalacakra")</f>
        <v>@Si_Kalacakra</v>
      </c>
      <c r="C16024" s="8" t="s">
        <v>6544</v>
      </c>
      <c r="D16024" s="8">
        <v>0</v>
      </c>
      <c r="E16024" s="8">
        <v>2</v>
      </c>
      <c r="F16024" s="8">
        <v>1369</v>
      </c>
    </row>
    <row r="16025" spans="1:6" ht="12.75">
      <c r="A16025" s="8">
        <v>43897.529409722221</v>
      </c>
      <c r="B16025" s="8" t="str">
        <f>HYPERLINK("https://twitter.com/ariyandi32","@ariyandi32")</f>
        <v>@ariyandi32</v>
      </c>
      <c r="C16025" s="8" t="s">
        <v>6545</v>
      </c>
      <c r="D16025" s="8">
        <v>0</v>
      </c>
      <c r="E16025" s="8">
        <v>0</v>
      </c>
      <c r="F16025" s="8">
        <v>698</v>
      </c>
    </row>
    <row r="16026" spans="1:6" ht="12.75">
      <c r="A16026" s="8">
        <v>43897.52924768519</v>
      </c>
      <c r="B16026" s="8" t="str">
        <f>HYPERLINK("https://twitter.com/YaaDumas","@YaaDumas")</f>
        <v>@YaaDumas</v>
      </c>
      <c r="C16026" s="8" t="s">
        <v>3743</v>
      </c>
      <c r="D16026" s="8">
        <v>608</v>
      </c>
      <c r="E16026" s="8">
        <v>0</v>
      </c>
      <c r="F16026" s="8">
        <v>37</v>
      </c>
    </row>
    <row r="16027" spans="1:6" ht="12.75">
      <c r="A16027" s="8">
        <v>43897.529189814813</v>
      </c>
      <c r="B16027" s="8" t="str">
        <f>HYPERLINK("https://twitter.com/RyanBakkaru","@RyanBakkaru")</f>
        <v>@RyanBakkaru</v>
      </c>
      <c r="C16027" s="8" t="s">
        <v>6534</v>
      </c>
      <c r="D16027" s="8">
        <v>2</v>
      </c>
      <c r="E16027" s="8">
        <v>0</v>
      </c>
      <c r="F16027" s="8">
        <v>37</v>
      </c>
    </row>
    <row r="16028" spans="1:6" ht="12.75">
      <c r="A16028" s="8">
        <v>43897.529120370367</v>
      </c>
      <c r="B16028" s="8" t="str">
        <f>HYPERLINK("https://twitter.com/wni_jmsri","@wni_jmsri")</f>
        <v>@wni_jmsri</v>
      </c>
      <c r="C16028" s="8" t="s">
        <v>6546</v>
      </c>
      <c r="D16028" s="8">
        <v>331</v>
      </c>
      <c r="E16028" s="8">
        <v>0</v>
      </c>
      <c r="F16028" s="8">
        <v>201</v>
      </c>
    </row>
    <row r="16029" spans="1:6" ht="12.75">
      <c r="A16029" s="8">
        <v>43897.529085648144</v>
      </c>
      <c r="B16029" s="8" t="str">
        <f>HYPERLINK("https://twitter.com/kjrihkg","@kjrihkg")</f>
        <v>@kjrihkg</v>
      </c>
      <c r="C16029" s="8" t="s">
        <v>4162</v>
      </c>
      <c r="D16029" s="8">
        <v>59</v>
      </c>
      <c r="E16029" s="8">
        <v>0</v>
      </c>
      <c r="F16029" s="8">
        <v>350</v>
      </c>
    </row>
    <row r="16030" spans="1:6" ht="12.75">
      <c r="A16030" s="8">
        <v>43897.528483796297</v>
      </c>
      <c r="B16030" s="8" t="str">
        <f>HYPERLINK("https://twitter.com/Elliesh9","@Elliesh9")</f>
        <v>@Elliesh9</v>
      </c>
      <c r="C16030" s="8" t="s">
        <v>6547</v>
      </c>
      <c r="D16030" s="8">
        <v>0</v>
      </c>
      <c r="E16030" s="8">
        <v>0</v>
      </c>
      <c r="F16030" s="8">
        <v>214</v>
      </c>
    </row>
    <row r="16031" spans="1:6" ht="12.75">
      <c r="A16031" s="8">
        <v>43897.528067129635</v>
      </c>
      <c r="B16031" s="8" t="str">
        <f>HYPERLINK("https://twitter.com/visitortwt1","@visitortwt1")</f>
        <v>@visitortwt1</v>
      </c>
      <c r="C16031" s="8" t="s">
        <v>6548</v>
      </c>
      <c r="D16031" s="8">
        <v>1</v>
      </c>
      <c r="E16031" s="8">
        <v>0</v>
      </c>
      <c r="F16031" s="8">
        <v>429</v>
      </c>
    </row>
    <row r="16032" spans="1:6" ht="12.75">
      <c r="A16032" s="8">
        <v>43897.527997685189</v>
      </c>
      <c r="B16032" s="8" t="str">
        <f>HYPERLINK("https://twitter.com/bajulcilik","@bajulcilik")</f>
        <v>@bajulcilik</v>
      </c>
      <c r="C16032" s="8" t="s">
        <v>4818</v>
      </c>
      <c r="D16032" s="8">
        <v>240</v>
      </c>
      <c r="E16032" s="8">
        <v>0</v>
      </c>
      <c r="F16032" s="8">
        <v>140</v>
      </c>
    </row>
    <row r="16033" spans="1:6" ht="12.75">
      <c r="A16033" s="8">
        <v>43897.527847222227</v>
      </c>
      <c r="B16033" s="8" t="str">
        <f>HYPERLINK("https://twitter.com/Warrior764","@Warrior764")</f>
        <v>@Warrior764</v>
      </c>
      <c r="C16033" s="8" t="s">
        <v>6549</v>
      </c>
      <c r="D16033" s="8">
        <v>0</v>
      </c>
      <c r="E16033" s="8">
        <v>0</v>
      </c>
      <c r="F16033" s="8">
        <v>2522</v>
      </c>
    </row>
    <row r="16034" spans="1:6" ht="12.75">
      <c r="A16034" s="8">
        <v>43897.527499999997</v>
      </c>
      <c r="B16034" s="8" t="str">
        <f>HYPERLINK("https://twitter.com/PakDheGondrong","@PakDheGondrong")</f>
        <v>@PakDheGondrong</v>
      </c>
      <c r="C16034" s="8" t="s">
        <v>6550</v>
      </c>
      <c r="D16034" s="8">
        <v>2</v>
      </c>
      <c r="E16034" s="8">
        <v>4</v>
      </c>
      <c r="F16034" s="8">
        <v>609</v>
      </c>
    </row>
    <row r="16035" spans="1:6" ht="12.75">
      <c r="A16035" s="8">
        <v>43897.526817129634</v>
      </c>
      <c r="B16035" s="8" t="str">
        <f>HYPERLINK("https://twitter.com/AfrozAl95588556","@AfrozAl95588556")</f>
        <v>@AfrozAl95588556</v>
      </c>
      <c r="C16035" s="8" t="s">
        <v>6551</v>
      </c>
      <c r="D16035" s="8">
        <v>0</v>
      </c>
      <c r="E16035" s="8">
        <v>0</v>
      </c>
      <c r="F16035" s="8">
        <v>100</v>
      </c>
    </row>
    <row r="16036" spans="1:6" ht="12.75">
      <c r="A16036" s="8">
        <v>43897.526550925926</v>
      </c>
      <c r="B16036" s="8" t="str">
        <f>HYPERLINK("https://twitter.com/Faizah91179600","@Faizah91179600")</f>
        <v>@Faizah91179600</v>
      </c>
      <c r="C16036" s="8" t="s">
        <v>6552</v>
      </c>
      <c r="D16036" s="8">
        <v>5</v>
      </c>
      <c r="E16036" s="8">
        <v>0</v>
      </c>
      <c r="F16036" s="8">
        <v>20</v>
      </c>
    </row>
    <row r="16037" spans="1:6" ht="12.75">
      <c r="A16037" s="8">
        <v>43897.526331018518</v>
      </c>
      <c r="B16037" s="8" t="str">
        <f>HYPERLINK("https://twitter.com/kalong9669","@kalong9669")</f>
        <v>@kalong9669</v>
      </c>
      <c r="C16037" s="8" t="s">
        <v>6553</v>
      </c>
      <c r="D16037" s="8">
        <v>0</v>
      </c>
      <c r="E16037" s="8">
        <v>0</v>
      </c>
      <c r="F16037" s="8">
        <v>381</v>
      </c>
    </row>
    <row r="16038" spans="1:6" ht="12.75">
      <c r="A16038" s="8">
        <v>43897.526319444441</v>
      </c>
      <c r="B16038" s="8" t="str">
        <f>HYPERLINK("https://twitter.com/motherofstar1","@motherofstar1")</f>
        <v>@motherofstar1</v>
      </c>
      <c r="C16038" s="8" t="s">
        <v>6554</v>
      </c>
      <c r="D16038" s="8">
        <v>0</v>
      </c>
      <c r="E16038" s="8">
        <v>1</v>
      </c>
      <c r="F16038" s="8">
        <v>1066</v>
      </c>
    </row>
    <row r="16039" spans="1:6" ht="12.75">
      <c r="A16039" s="8">
        <v>43897.526145833333</v>
      </c>
      <c r="B16039" s="8" t="str">
        <f>HYPERLINK("https://twitter.com/mamanukan13","@mamanukan13")</f>
        <v>@mamanukan13</v>
      </c>
      <c r="C16039" s="8" t="s">
        <v>6555</v>
      </c>
      <c r="D16039" s="8">
        <v>0</v>
      </c>
      <c r="E16039" s="8">
        <v>0</v>
      </c>
      <c r="F16039" s="8">
        <v>241</v>
      </c>
    </row>
    <row r="16040" spans="1:6" ht="12.75">
      <c r="A16040" s="8">
        <v>43897.525949074072</v>
      </c>
      <c r="B16040" s="8" t="str">
        <f>HYPERLINK("https://twitter.com/SlametSt75","@SlametSt75")</f>
        <v>@SlametSt75</v>
      </c>
      <c r="C16040" s="8" t="s">
        <v>3743</v>
      </c>
      <c r="D16040" s="8">
        <v>608</v>
      </c>
      <c r="E16040" s="8">
        <v>0</v>
      </c>
      <c r="F16040" s="8">
        <v>47</v>
      </c>
    </row>
    <row r="16041" spans="1:6" ht="12.75">
      <c r="A16041" s="8">
        <v>43897.525196759263</v>
      </c>
      <c r="B16041" s="8" t="str">
        <f>HYPERLINK("https://twitter.com/Lidan04864520","@Lidan04864520")</f>
        <v>@Lidan04864520</v>
      </c>
      <c r="C16041" s="8" t="s">
        <v>3743</v>
      </c>
      <c r="D16041" s="8">
        <v>608</v>
      </c>
      <c r="E16041" s="8">
        <v>0</v>
      </c>
      <c r="F16041" s="8">
        <v>5</v>
      </c>
    </row>
    <row r="16042" spans="1:6" ht="12.75">
      <c r="A16042" s="8">
        <v>43897.525150462963</v>
      </c>
      <c r="B16042" s="8" t="str">
        <f>HYPERLINK("https://twitter.com/samhudibae","@samhudibae")</f>
        <v>@samhudibae</v>
      </c>
      <c r="C16042" s="8" t="s">
        <v>6556</v>
      </c>
      <c r="D16042" s="8">
        <v>1</v>
      </c>
      <c r="E16042" s="8">
        <v>0</v>
      </c>
      <c r="F16042" s="8">
        <v>3821</v>
      </c>
    </row>
    <row r="16043" spans="1:6" ht="12.75">
      <c r="A16043" s="8">
        <v>43897.524895833332</v>
      </c>
      <c r="B16043" s="8" t="str">
        <f>HYPERLINK("https://twitter.com/aphietsan","@aphietsan")</f>
        <v>@aphietsan</v>
      </c>
      <c r="C16043" s="8" t="s">
        <v>6557</v>
      </c>
      <c r="D16043" s="8">
        <v>0</v>
      </c>
      <c r="E16043" s="8">
        <v>0</v>
      </c>
      <c r="F16043" s="8">
        <v>301</v>
      </c>
    </row>
    <row r="16044" spans="1:6" ht="12.75">
      <c r="A16044" s="8">
        <v>43897.524826388893</v>
      </c>
      <c r="B16044" s="8" t="str">
        <f>HYPERLINK("https://twitter.com/todakiah","@todakiah")</f>
        <v>@todakiah</v>
      </c>
      <c r="C16044" s="8" t="s">
        <v>6558</v>
      </c>
      <c r="D16044" s="8">
        <v>0</v>
      </c>
      <c r="E16044" s="8">
        <v>0</v>
      </c>
      <c r="F16044" s="8">
        <v>257</v>
      </c>
    </row>
    <row r="16045" spans="1:6" ht="12.75">
      <c r="A16045" s="8">
        <v>43897.524652777778</v>
      </c>
      <c r="B16045" s="8" t="str">
        <f>HYPERLINK("https://twitter.com/KangHendro2","@KangHendro2")</f>
        <v>@KangHendro2</v>
      </c>
      <c r="C16045" s="8" t="s">
        <v>6559</v>
      </c>
      <c r="D16045" s="8">
        <v>0</v>
      </c>
      <c r="E16045" s="8">
        <v>1</v>
      </c>
      <c r="F16045" s="8">
        <v>1241</v>
      </c>
    </row>
    <row r="16046" spans="1:6" ht="12.75">
      <c r="A16046" s="8">
        <v>43897.524293981478</v>
      </c>
      <c r="B16046" s="8" t="str">
        <f>HYPERLINK("https://twitter.com/Soetikman1","@Soetikman1")</f>
        <v>@Soetikman1</v>
      </c>
      <c r="C16046" s="8" t="s">
        <v>6560</v>
      </c>
      <c r="D16046" s="8">
        <v>0</v>
      </c>
      <c r="E16046" s="8">
        <v>1</v>
      </c>
      <c r="F16046" s="8">
        <v>585</v>
      </c>
    </row>
    <row r="16047" spans="1:6" ht="12.75">
      <c r="A16047" s="8">
        <v>43897.524189814816</v>
      </c>
      <c r="B16047" s="8" t="str">
        <f>HYPERLINK("https://twitter.com/Markowijaya","@Markowijaya")</f>
        <v>@Markowijaya</v>
      </c>
      <c r="C16047" s="8" t="s">
        <v>3213</v>
      </c>
      <c r="D16047" s="8">
        <v>281</v>
      </c>
      <c r="E16047" s="8">
        <v>0</v>
      </c>
      <c r="F16047" s="8">
        <v>69</v>
      </c>
    </row>
    <row r="16048" spans="1:6" ht="12.75">
      <c r="A16048" s="8">
        <v>43897.523854166662</v>
      </c>
      <c r="B16048" s="8" t="str">
        <f>HYPERLINK("https://twitter.com/Ari53027749","@Ari53027749")</f>
        <v>@Ari53027749</v>
      </c>
      <c r="C16048" s="8" t="s">
        <v>3743</v>
      </c>
      <c r="D16048" s="8">
        <v>608</v>
      </c>
      <c r="E16048" s="8">
        <v>0</v>
      </c>
      <c r="F16048" s="8">
        <v>5</v>
      </c>
    </row>
    <row r="16049" spans="1:6" ht="12.75">
      <c r="A16049" s="8">
        <v>43897.523356481484</v>
      </c>
      <c r="B16049" s="8" t="str">
        <f>HYPERLINK("https://twitter.com/jv_mel0","@jv_mel0")</f>
        <v>@jv_mel0</v>
      </c>
      <c r="C16049" s="8" t="s">
        <v>6561</v>
      </c>
      <c r="D16049" s="8">
        <v>0</v>
      </c>
      <c r="E16049" s="8">
        <v>0</v>
      </c>
      <c r="F16049" s="8">
        <v>221</v>
      </c>
    </row>
    <row r="16050" spans="1:6" ht="12.75">
      <c r="A16050" s="8">
        <v>43897.522256944445</v>
      </c>
      <c r="B16050" s="8" t="str">
        <f>HYPERLINK("https://twitter.com/APilih02","@APilih02")</f>
        <v>@APilih02</v>
      </c>
      <c r="C16050" s="8" t="s">
        <v>6128</v>
      </c>
      <c r="D16050" s="8">
        <v>37</v>
      </c>
      <c r="E16050" s="8">
        <v>0</v>
      </c>
      <c r="F16050" s="8">
        <v>196</v>
      </c>
    </row>
    <row r="16051" spans="1:6" ht="12.75">
      <c r="A16051" s="8">
        <v>43897.522129629629</v>
      </c>
      <c r="B16051" s="8" t="str">
        <f>HYPERLINK("https://twitter.com/bayusw16","@bayusw16")</f>
        <v>@bayusw16</v>
      </c>
      <c r="C16051" s="8" t="s">
        <v>4162</v>
      </c>
      <c r="D16051" s="8">
        <v>59</v>
      </c>
      <c r="E16051" s="8">
        <v>0</v>
      </c>
      <c r="F16051" s="8">
        <v>757</v>
      </c>
    </row>
    <row r="16052" spans="1:6" ht="12.75">
      <c r="A16052" s="8">
        <v>43897.521782407406</v>
      </c>
      <c r="B16052" s="8" t="str">
        <f>HYPERLINK("https://twitter.com/asy12aaf","@asy12aaf")</f>
        <v>@asy12aaf</v>
      </c>
      <c r="C16052" s="8" t="s">
        <v>3743</v>
      </c>
      <c r="D16052" s="8">
        <v>608</v>
      </c>
      <c r="E16052" s="8">
        <v>0</v>
      </c>
      <c r="F16052" s="8">
        <v>1220</v>
      </c>
    </row>
    <row r="16053" spans="1:6" ht="12.75">
      <c r="A16053" s="8">
        <v>43897.521701388891</v>
      </c>
      <c r="B16053" s="8" t="str">
        <f>HYPERLINK("https://twitter.com/yunaasshin","@yunaasshin")</f>
        <v>@yunaasshin</v>
      </c>
      <c r="C16053" s="8" t="s">
        <v>6562</v>
      </c>
      <c r="D16053" s="8">
        <v>0</v>
      </c>
      <c r="E16053" s="8">
        <v>1</v>
      </c>
      <c r="F16053" s="8">
        <v>149</v>
      </c>
    </row>
    <row r="16054" spans="1:6" ht="12.75">
      <c r="A16054" s="8">
        <v>43897.521562499998</v>
      </c>
      <c r="B16054" s="8" t="str">
        <f>HYPERLINK("https://twitter.com/KangAzzev","@KangAzzev")</f>
        <v>@KangAzzev</v>
      </c>
      <c r="C16054" s="8" t="s">
        <v>3213</v>
      </c>
      <c r="D16054" s="8">
        <v>281</v>
      </c>
      <c r="E16054" s="8">
        <v>0</v>
      </c>
      <c r="F16054" s="8">
        <v>767</v>
      </c>
    </row>
    <row r="16055" spans="1:6" ht="12.75">
      <c r="A16055" s="8">
        <v>43897.520868055552</v>
      </c>
      <c r="B16055" s="8" t="str">
        <f>HYPERLINK("https://twitter.com/Kedaiwebco","@Kedaiwebco")</f>
        <v>@Kedaiwebco</v>
      </c>
      <c r="C16055" s="8" t="s">
        <v>6563</v>
      </c>
      <c r="D16055" s="8">
        <v>0</v>
      </c>
      <c r="E16055" s="8">
        <v>0</v>
      </c>
      <c r="F16055" s="8">
        <v>27</v>
      </c>
    </row>
    <row r="16056" spans="1:6" ht="12.75">
      <c r="A16056" s="8">
        <v>43897.520856481482</v>
      </c>
      <c r="B16056" s="8" t="str">
        <f>HYPERLINK("https://twitter.com/IvanEnrico","@IvanEnrico")</f>
        <v>@IvanEnrico</v>
      </c>
      <c r="C16056" s="8" t="s">
        <v>5103</v>
      </c>
      <c r="D16056" s="8">
        <v>185</v>
      </c>
      <c r="E16056" s="8">
        <v>0</v>
      </c>
      <c r="F16056" s="8">
        <v>1042</v>
      </c>
    </row>
    <row r="16057" spans="1:6" ht="12.75">
      <c r="A16057" s="8">
        <v>43897.52071759259</v>
      </c>
      <c r="B16057" s="8" t="str">
        <f>HYPERLINK("https://twitter.com/ella87latifah","@ella87latifah")</f>
        <v>@ella87latifah</v>
      </c>
      <c r="C16057" s="8" t="s">
        <v>6564</v>
      </c>
      <c r="D16057" s="8">
        <v>0</v>
      </c>
      <c r="E16057" s="8">
        <v>0</v>
      </c>
      <c r="F16057" s="8">
        <v>2422</v>
      </c>
    </row>
    <row r="16058" spans="1:6" ht="12.75">
      <c r="A16058" s="8">
        <v>43897.52065972222</v>
      </c>
      <c r="B16058" s="8" t="str">
        <f>HYPERLINK("https://twitter.com/wennvar1","@wennvar1")</f>
        <v>@wennvar1</v>
      </c>
      <c r="C16058" s="8" t="s">
        <v>3213</v>
      </c>
      <c r="D16058" s="8">
        <v>281</v>
      </c>
      <c r="E16058" s="8">
        <v>0</v>
      </c>
      <c r="F16058" s="8">
        <v>2392</v>
      </c>
    </row>
    <row r="16059" spans="1:6" ht="12.75">
      <c r="A16059" s="8">
        <v>43897.519872685181</v>
      </c>
      <c r="B16059" s="8" t="str">
        <f>HYPERLINK("https://twitter.com/shi__wie","@shi__wie")</f>
        <v>@shi__wie</v>
      </c>
      <c r="C16059" s="8" t="s">
        <v>6565</v>
      </c>
      <c r="D16059" s="8">
        <v>0</v>
      </c>
      <c r="E16059" s="8">
        <v>0</v>
      </c>
      <c r="F16059" s="8">
        <v>347</v>
      </c>
    </row>
    <row r="16060" spans="1:6" ht="12.75">
      <c r="A16060" s="8">
        <v>43897.519699074073</v>
      </c>
      <c r="B16060" s="8" t="str">
        <f>HYPERLINK("https://twitter.com/WartawanPensiun","@WartawanPensiun")</f>
        <v>@WartawanPensiun</v>
      </c>
      <c r="C16060" s="8" t="s">
        <v>6566</v>
      </c>
      <c r="D16060" s="8">
        <v>1</v>
      </c>
      <c r="E16060" s="8">
        <v>2</v>
      </c>
      <c r="F16060" s="8">
        <v>7214</v>
      </c>
    </row>
    <row r="16061" spans="1:6" ht="12.75">
      <c r="A16061" s="8">
        <v>43897.519386574073</v>
      </c>
      <c r="B16061" s="8" t="str">
        <f>HYPERLINK("https://twitter.com/zamrud02","@zamrud02")</f>
        <v>@zamrud02</v>
      </c>
      <c r="C16061" s="8" t="s">
        <v>3743</v>
      </c>
      <c r="D16061" s="8">
        <v>608</v>
      </c>
      <c r="E16061" s="8">
        <v>0</v>
      </c>
      <c r="F16061" s="8">
        <v>185</v>
      </c>
    </row>
    <row r="16062" spans="1:6" ht="12.75">
      <c r="A16062" s="8">
        <v>43897.519259259258</v>
      </c>
      <c r="B16062" s="8" t="str">
        <f>HYPERLINK("https://twitter.com/Bernard_Sims","@Bernard_Sims")</f>
        <v>@Bernard_Sims</v>
      </c>
      <c r="C16062" s="8" t="s">
        <v>6567</v>
      </c>
      <c r="D16062" s="8">
        <v>0</v>
      </c>
      <c r="E16062" s="8">
        <v>1</v>
      </c>
      <c r="F16062" s="8">
        <v>1365</v>
      </c>
    </row>
    <row r="16063" spans="1:6" ht="12.75">
      <c r="A16063" s="8">
        <v>43897.518969907411</v>
      </c>
      <c r="B16063" s="8" t="str">
        <f t="shared" ref="B16063:B16064" si="245">HYPERLINK("https://twitter.com/inahmei01","@inahmei01")</f>
        <v>@inahmei01</v>
      </c>
      <c r="C16063" s="8" t="s">
        <v>5523</v>
      </c>
      <c r="D16063" s="8">
        <v>5</v>
      </c>
      <c r="E16063" s="8">
        <v>0</v>
      </c>
      <c r="F16063" s="8">
        <v>225</v>
      </c>
    </row>
    <row r="16064" spans="1:6" ht="12.75">
      <c r="A16064" s="8">
        <v>43897.518865740742</v>
      </c>
      <c r="B16064" s="8" t="str">
        <f t="shared" si="245"/>
        <v>@inahmei01</v>
      </c>
      <c r="C16064" s="8" t="s">
        <v>5524</v>
      </c>
      <c r="D16064" s="8">
        <v>4</v>
      </c>
      <c r="E16064" s="8">
        <v>0</v>
      </c>
      <c r="F16064" s="8">
        <v>225</v>
      </c>
    </row>
    <row r="16065" spans="1:6" ht="12.75">
      <c r="A16065" s="8">
        <v>43897.518865740742</v>
      </c>
      <c r="B16065" s="8" t="str">
        <f>HYPERLINK("https://twitter.com/Ht_gurgur16","@Ht_gurgur16")</f>
        <v>@Ht_gurgur16</v>
      </c>
      <c r="C16065" s="8" t="s">
        <v>6568</v>
      </c>
      <c r="D16065" s="8">
        <v>3</v>
      </c>
      <c r="E16065" s="8">
        <v>0</v>
      </c>
      <c r="F16065" s="8">
        <v>2710</v>
      </c>
    </row>
    <row r="16066" spans="1:6" ht="12.75">
      <c r="A16066" s="8">
        <v>43897.506631944445</v>
      </c>
      <c r="B16066" s="8" t="str">
        <f>HYPERLINK("https://twitter.com/kompascom","@kompascom")</f>
        <v>@kompascom</v>
      </c>
      <c r="C16066" s="8" t="s">
        <v>6569</v>
      </c>
      <c r="D16066" s="8">
        <v>0</v>
      </c>
      <c r="E16066" s="8">
        <v>0</v>
      </c>
      <c r="F16066" s="8">
        <v>7532967</v>
      </c>
    </row>
    <row r="16067" spans="1:6" ht="12.75">
      <c r="A16067" s="8">
        <v>43897.505995370375</v>
      </c>
      <c r="B16067" s="8" t="str">
        <f>HYPERLINK("https://twitter.com/bellarfdaa","@bellarfdaa")</f>
        <v>@bellarfdaa</v>
      </c>
      <c r="C16067" s="8" t="s">
        <v>6570</v>
      </c>
      <c r="D16067" s="8">
        <v>0</v>
      </c>
      <c r="E16067" s="8">
        <v>0</v>
      </c>
      <c r="F16067" s="8">
        <v>320</v>
      </c>
    </row>
    <row r="16068" spans="1:6" ht="12.75">
      <c r="A16068" s="8">
        <v>43897.505775462967</v>
      </c>
      <c r="B16068" s="8" t="str">
        <f>HYPERLINK("https://twitter.com/shiaLebaou","@shiaLebaou")</f>
        <v>@shiaLebaou</v>
      </c>
      <c r="C16068" s="8" t="s">
        <v>6571</v>
      </c>
      <c r="D16068" s="8">
        <v>0</v>
      </c>
      <c r="E16068" s="8">
        <v>0</v>
      </c>
      <c r="F16068" s="8">
        <v>1511</v>
      </c>
    </row>
    <row r="16069" spans="1:6" ht="12.75">
      <c r="A16069" s="8">
        <v>43897.505578703705</v>
      </c>
      <c r="B16069" s="8" t="str">
        <f>HYPERLINK("https://twitter.com/HadeYoen","@HadeYoen")</f>
        <v>@HadeYoen</v>
      </c>
      <c r="C16069" s="8" t="s">
        <v>5944</v>
      </c>
      <c r="D16069" s="8">
        <v>11</v>
      </c>
      <c r="E16069" s="8">
        <v>0</v>
      </c>
      <c r="F16069" s="8">
        <v>5</v>
      </c>
    </row>
    <row r="16070" spans="1:6" ht="12.75">
      <c r="A16070" s="8">
        <v>43897.505416666667</v>
      </c>
      <c r="B16070" s="8" t="str">
        <f t="shared" ref="B16070:B16071" si="246">HYPERLINK("https://twitter.com/ResaleLot","@ResaleLot")</f>
        <v>@ResaleLot</v>
      </c>
      <c r="C16070" s="8" t="s">
        <v>6572</v>
      </c>
      <c r="D16070" s="8">
        <v>0</v>
      </c>
      <c r="E16070" s="8">
        <v>0</v>
      </c>
      <c r="F16070" s="8">
        <v>727</v>
      </c>
    </row>
    <row r="16071" spans="1:6" ht="12.75">
      <c r="A16071" s="8">
        <v>43897.50513888889</v>
      </c>
      <c r="B16071" s="8" t="str">
        <f t="shared" si="246"/>
        <v>@ResaleLot</v>
      </c>
      <c r="C16071" s="8" t="s">
        <v>6573</v>
      </c>
      <c r="D16071" s="8">
        <v>0</v>
      </c>
      <c r="E16071" s="8">
        <v>0</v>
      </c>
      <c r="F16071" s="8">
        <v>727</v>
      </c>
    </row>
    <row r="16072" spans="1:6" ht="12.75">
      <c r="A16072" s="8">
        <v>43897.505104166667</v>
      </c>
      <c r="B16072" s="8" t="str">
        <f>HYPERLINK("https://twitter.com/MorisaHarahap","@MorisaHarahap")</f>
        <v>@MorisaHarahap</v>
      </c>
      <c r="C16072" s="8" t="s">
        <v>6574</v>
      </c>
      <c r="D16072" s="8">
        <v>0</v>
      </c>
      <c r="E16072" s="8">
        <v>0</v>
      </c>
      <c r="F16072" s="8">
        <v>790</v>
      </c>
    </row>
    <row r="16073" spans="1:6" ht="12.75">
      <c r="A16073" s="8">
        <v>43897.504976851851</v>
      </c>
      <c r="B16073" s="8" t="str">
        <f>HYPERLINK("https://twitter.com/naqsya77","@naqsya77")</f>
        <v>@naqsya77</v>
      </c>
      <c r="C16073" s="8" t="s">
        <v>5704</v>
      </c>
      <c r="D16073" s="8">
        <v>17</v>
      </c>
      <c r="E16073" s="8">
        <v>0</v>
      </c>
      <c r="F16073" s="8">
        <v>4469</v>
      </c>
    </row>
    <row r="16074" spans="1:6" ht="12.75">
      <c r="A16074" s="8">
        <v>43897.504247685181</v>
      </c>
      <c r="B16074" s="8" t="str">
        <f>HYPERLINK("https://twitter.com/RizkyTokki","@RizkyTokki")</f>
        <v>@RizkyTokki</v>
      </c>
      <c r="C16074" s="8" t="s">
        <v>5522</v>
      </c>
      <c r="D16074" s="8">
        <v>10</v>
      </c>
      <c r="E16074" s="8">
        <v>0</v>
      </c>
      <c r="F16074" s="8">
        <v>648</v>
      </c>
    </row>
    <row r="16075" spans="1:6" ht="12.75">
      <c r="A16075" s="8">
        <v>43897.503946759258</v>
      </c>
      <c r="B16075" s="8" t="str">
        <f>HYPERLINK("https://twitter.com/publicanews","@publicanews")</f>
        <v>@publicanews</v>
      </c>
      <c r="C16075" s="8" t="s">
        <v>2578</v>
      </c>
      <c r="D16075" s="8">
        <v>0</v>
      </c>
      <c r="E16075" s="8">
        <v>0</v>
      </c>
      <c r="F16075" s="8">
        <v>156</v>
      </c>
    </row>
    <row r="16076" spans="1:6" ht="12.75">
      <c r="A16076" s="8">
        <v>43897.503333333334</v>
      </c>
      <c r="B16076" s="8" t="str">
        <f>HYPERLINK("https://twitter.com/melekpolitikcom","@melekpolitikcom")</f>
        <v>@melekpolitikcom</v>
      </c>
      <c r="C16076" s="8" t="s">
        <v>5887</v>
      </c>
      <c r="D16076" s="8">
        <v>0</v>
      </c>
      <c r="E16076" s="8">
        <v>0</v>
      </c>
      <c r="F16076" s="8">
        <v>4494</v>
      </c>
    </row>
    <row r="16077" spans="1:6" ht="12.75">
      <c r="A16077" s="8">
        <v>43897.503275462965</v>
      </c>
      <c r="B16077" s="8" t="str">
        <f>HYPERLINK("https://twitter.com/rom5d3p4r1","@rom5d3p4r1")</f>
        <v>@rom5d3p4r1</v>
      </c>
      <c r="C16077" s="8" t="s">
        <v>5704</v>
      </c>
      <c r="D16077" s="8">
        <v>17</v>
      </c>
      <c r="E16077" s="8">
        <v>0</v>
      </c>
      <c r="F16077" s="8">
        <v>842</v>
      </c>
    </row>
    <row r="16078" spans="1:6" ht="12.75">
      <c r="A16078" s="8">
        <v>43897.503240740742</v>
      </c>
      <c r="B16078" s="8" t="str">
        <f>HYPERLINK("https://twitter.com/InayahRasyid","@InayahRasyid")</f>
        <v>@InayahRasyid</v>
      </c>
      <c r="C16078" s="8" t="s">
        <v>6575</v>
      </c>
      <c r="D16078" s="8">
        <v>0</v>
      </c>
      <c r="E16078" s="8">
        <v>1</v>
      </c>
      <c r="F16078" s="8">
        <v>1641</v>
      </c>
    </row>
    <row r="16079" spans="1:6" ht="12.75">
      <c r="A16079" s="8">
        <v>43897.503101851849</v>
      </c>
      <c r="B16079" s="8" t="str">
        <f>HYPERLINK("https://twitter.com/AksesorisN","@AksesorisN")</f>
        <v>@AksesorisN</v>
      </c>
      <c r="C16079" s="8" t="s">
        <v>6128</v>
      </c>
      <c r="D16079" s="8">
        <v>36</v>
      </c>
      <c r="E16079" s="8">
        <v>0</v>
      </c>
      <c r="F16079" s="8">
        <v>716</v>
      </c>
    </row>
    <row r="16080" spans="1:6" ht="12.75">
      <c r="A16080" s="8">
        <v>43897.502685185187</v>
      </c>
      <c r="B16080" s="8" t="str">
        <f>HYPERLINK("https://twitter.com/SydSalesman","@SydSalesman")</f>
        <v>@SydSalesman</v>
      </c>
      <c r="C16080" s="8" t="s">
        <v>4818</v>
      </c>
      <c r="D16080" s="8">
        <v>237</v>
      </c>
      <c r="E16080" s="8">
        <v>0</v>
      </c>
      <c r="F16080" s="8">
        <v>6280</v>
      </c>
    </row>
    <row r="16081" spans="1:6" ht="12.75">
      <c r="A16081" s="8">
        <v>43897.502407407403</v>
      </c>
      <c r="B16081" s="8" t="str">
        <f>HYPERLINK("https://twitter.com/bjmnewscom","@bjmnewscom")</f>
        <v>@bjmnewscom</v>
      </c>
      <c r="C16081" s="8" t="s">
        <v>6576</v>
      </c>
      <c r="D16081" s="8">
        <v>0</v>
      </c>
      <c r="E16081" s="8">
        <v>0</v>
      </c>
      <c r="F16081" s="8">
        <v>840</v>
      </c>
    </row>
    <row r="16082" spans="1:6" ht="12.75">
      <c r="A16082" s="8">
        <v>43897.502372685187</v>
      </c>
      <c r="B16082" s="8" t="str">
        <f>HYPERLINK("https://twitter.com/retakealife","@retakealife")</f>
        <v>@retakealife</v>
      </c>
      <c r="C16082" s="8" t="s">
        <v>5522</v>
      </c>
      <c r="D16082" s="8">
        <v>10</v>
      </c>
      <c r="E16082" s="8">
        <v>0</v>
      </c>
      <c r="F16082" s="8">
        <v>984</v>
      </c>
    </row>
    <row r="16083" spans="1:6" ht="12.75">
      <c r="A16083" s="8">
        <v>43897.500497685185</v>
      </c>
      <c r="B16083" s="8" t="str">
        <f>HYPERLINK("https://twitter.com/mispanokto","@mispanokto")</f>
        <v>@mispanokto</v>
      </c>
      <c r="C16083" s="8" t="s">
        <v>2116</v>
      </c>
      <c r="D16083" s="8">
        <v>62</v>
      </c>
      <c r="E16083" s="8">
        <v>0</v>
      </c>
      <c r="F16083" s="8">
        <v>16</v>
      </c>
    </row>
    <row r="16084" spans="1:6" ht="12.75">
      <c r="A16084" s="8">
        <v>43897.500335648147</v>
      </c>
      <c r="B16084" s="8" t="str">
        <f>HYPERLINK("https://twitter.com/riansaputro_","@riansaputro_")</f>
        <v>@riansaputro_</v>
      </c>
      <c r="C16084" s="8" t="s">
        <v>6577</v>
      </c>
      <c r="D16084" s="8">
        <v>0</v>
      </c>
      <c r="E16084" s="8">
        <v>0</v>
      </c>
      <c r="F16084" s="8">
        <v>386</v>
      </c>
    </row>
    <row r="16085" spans="1:6" ht="12.75">
      <c r="A16085" s="8">
        <v>43897.500081018516</v>
      </c>
      <c r="B16085" s="8" t="str">
        <f>HYPERLINK("https://twitter.com/hilariouswibi","@hilariouswibi")</f>
        <v>@hilariouswibi</v>
      </c>
      <c r="C16085" s="8" t="s">
        <v>5704</v>
      </c>
      <c r="D16085" s="8">
        <v>17</v>
      </c>
      <c r="E16085" s="8">
        <v>0</v>
      </c>
      <c r="F16085" s="8">
        <v>184</v>
      </c>
    </row>
    <row r="16086" spans="1:6" ht="12.75">
      <c r="A16086" s="8">
        <v>43897.49998842593</v>
      </c>
      <c r="B16086" s="8" t="str">
        <f>HYPERLINK("https://twitter.com/eizanfolks","@eizanfolks")</f>
        <v>@eizanfolks</v>
      </c>
      <c r="C16086" s="8" t="s">
        <v>5506</v>
      </c>
      <c r="D16086" s="8">
        <v>1</v>
      </c>
      <c r="E16086" s="8">
        <v>0</v>
      </c>
      <c r="F16086" s="8">
        <v>8947</v>
      </c>
    </row>
    <row r="16087" spans="1:6" ht="12.75">
      <c r="A16087" s="8">
        <v>43897.499016203699</v>
      </c>
      <c r="B16087" s="8" t="str">
        <f>HYPERLINK("https://twitter.com/adenium61","@adenium61")</f>
        <v>@adenium61</v>
      </c>
      <c r="C16087" s="8" t="s">
        <v>2199</v>
      </c>
      <c r="D16087" s="8">
        <v>9102</v>
      </c>
      <c r="E16087" s="8">
        <v>0</v>
      </c>
      <c r="F16087" s="8">
        <v>577</v>
      </c>
    </row>
    <row r="16088" spans="1:6" ht="12.75">
      <c r="A16088" s="8">
        <v>43897.498437499999</v>
      </c>
      <c r="B16088" s="8" t="str">
        <f>HYPERLINK("https://twitter.com/kakfarras","@kakfarras")</f>
        <v>@kakfarras</v>
      </c>
      <c r="C16088" s="8" t="s">
        <v>5522</v>
      </c>
      <c r="D16088" s="8">
        <v>10</v>
      </c>
      <c r="E16088" s="8">
        <v>0</v>
      </c>
      <c r="F16088" s="8">
        <v>3043</v>
      </c>
    </row>
    <row r="16089" spans="1:6" ht="12.75">
      <c r="A16089" s="8">
        <v>43897.497233796297</v>
      </c>
      <c r="B16089" s="8" t="str">
        <f>HYPERLINK("https://twitter.com/hileudauun","@hileudauun")</f>
        <v>@hileudauun</v>
      </c>
      <c r="C16089" s="8" t="s">
        <v>6578</v>
      </c>
      <c r="D16089" s="8">
        <v>2</v>
      </c>
      <c r="E16089" s="8">
        <v>0</v>
      </c>
      <c r="F16089" s="8">
        <v>1612</v>
      </c>
    </row>
    <row r="16090" spans="1:6" ht="12.75">
      <c r="A16090" s="8">
        <v>43897.497094907405</v>
      </c>
      <c r="B16090" s="8" t="str">
        <f>HYPERLINK("https://twitter.com/idpenamini","@idpenamini")</f>
        <v>@idpenamini</v>
      </c>
      <c r="C16090" s="8" t="s">
        <v>6579</v>
      </c>
      <c r="D16090" s="8">
        <v>0</v>
      </c>
      <c r="E16090" s="8">
        <v>0</v>
      </c>
      <c r="F16090" s="8">
        <v>173</v>
      </c>
    </row>
    <row r="16091" spans="1:6" ht="12.75">
      <c r="A16091" s="8">
        <v>43897.496932870374</v>
      </c>
      <c r="B16091" s="8" t="str">
        <f>HYPERLINK("https://twitter.com/CrownBluePrince","@CrownBluePrince")</f>
        <v>@CrownBluePrince</v>
      </c>
      <c r="C16091" s="8" t="s">
        <v>6580</v>
      </c>
      <c r="D16091" s="8">
        <v>0</v>
      </c>
      <c r="E16091" s="8">
        <v>0</v>
      </c>
      <c r="F16091" s="8">
        <v>7</v>
      </c>
    </row>
    <row r="16092" spans="1:6" ht="12.75">
      <c r="A16092" s="8">
        <v>43897.49690972222</v>
      </c>
      <c r="B16092" s="8" t="str">
        <f>HYPERLINK("https://twitter.com/KadrunHunter99","@KadrunHunter99")</f>
        <v>@KadrunHunter99</v>
      </c>
      <c r="C16092" s="8" t="s">
        <v>6245</v>
      </c>
      <c r="D16092" s="8">
        <v>1</v>
      </c>
      <c r="E16092" s="8">
        <v>0</v>
      </c>
      <c r="F16092" s="8">
        <v>4180</v>
      </c>
    </row>
    <row r="16093" spans="1:6" ht="12.75">
      <c r="A16093" s="8">
        <v>43897.496631944443</v>
      </c>
      <c r="B16093" s="8" t="str">
        <f>HYPERLINK("https://twitter.com/shellaangelina9","@shellaangelina9")</f>
        <v>@shellaangelina9</v>
      </c>
      <c r="C16093" s="8" t="s">
        <v>6581</v>
      </c>
      <c r="D16093" s="8">
        <v>0</v>
      </c>
      <c r="E16093" s="8">
        <v>0</v>
      </c>
      <c r="F16093" s="8">
        <v>47</v>
      </c>
    </row>
    <row r="16094" spans="1:6" ht="12.75">
      <c r="A16094" s="8">
        <v>43897.495023148149</v>
      </c>
      <c r="B16094" s="8" t="str">
        <f>HYPERLINK("https://twitter.com/Beritasatu","@Beritasatu")</f>
        <v>@Beritasatu</v>
      </c>
      <c r="C16094" s="8" t="s">
        <v>6582</v>
      </c>
      <c r="D16094" s="8">
        <v>0</v>
      </c>
      <c r="E16094" s="8">
        <v>3</v>
      </c>
      <c r="F16094" s="8">
        <v>618241</v>
      </c>
    </row>
    <row r="16095" spans="1:6" ht="12.75">
      <c r="A16095" s="8">
        <v>43897.494490740741</v>
      </c>
      <c r="B16095" s="8" t="str">
        <f>HYPERLINK("https://twitter.com/bmsonyw","@bmsonyw")</f>
        <v>@bmsonyw</v>
      </c>
      <c r="C16095" s="8" t="s">
        <v>2116</v>
      </c>
      <c r="D16095" s="8">
        <v>62</v>
      </c>
      <c r="E16095" s="8">
        <v>0</v>
      </c>
      <c r="F16095" s="8">
        <v>287</v>
      </c>
    </row>
    <row r="16096" spans="1:6" ht="12.75">
      <c r="A16096" s="8">
        <v>43897.494490740741</v>
      </c>
      <c r="B16096" s="8" t="str">
        <f>HYPERLINK("https://twitter.com/MetroIslam","@MetroIslam")</f>
        <v>@MetroIslam</v>
      </c>
      <c r="C16096" s="8" t="s">
        <v>6583</v>
      </c>
      <c r="D16096" s="8">
        <v>0</v>
      </c>
      <c r="E16096" s="8">
        <v>0</v>
      </c>
      <c r="F16096" s="8">
        <v>930</v>
      </c>
    </row>
    <row r="16097" spans="1:6" ht="12.75">
      <c r="A16097" s="8">
        <v>43897.494097222225</v>
      </c>
      <c r="B16097" s="8" t="str">
        <f>HYPERLINK("https://twitter.com/AmdDeden","@AmdDeden")</f>
        <v>@AmdDeden</v>
      </c>
      <c r="C16097" s="8" t="s">
        <v>3743</v>
      </c>
      <c r="D16097" s="8">
        <v>591</v>
      </c>
      <c r="E16097" s="8">
        <v>0</v>
      </c>
      <c r="F16097" s="8">
        <v>179</v>
      </c>
    </row>
    <row r="16098" spans="1:6" ht="12.75">
      <c r="A16098" s="8">
        <v>43897.493611111116</v>
      </c>
      <c r="B16098" s="8" t="str">
        <f>HYPERLINK("https://twitter.com/okezonenews","@okezonenews")</f>
        <v>@okezonenews</v>
      </c>
      <c r="C16098" s="8" t="s">
        <v>6584</v>
      </c>
      <c r="D16098" s="8">
        <v>0</v>
      </c>
      <c r="E16098" s="8">
        <v>0</v>
      </c>
      <c r="F16098" s="8">
        <v>1744082</v>
      </c>
    </row>
    <row r="16099" spans="1:6" ht="12.75">
      <c r="A16099" s="8">
        <v>43897.49355324074</v>
      </c>
      <c r="B16099" s="8" t="str">
        <f>HYPERLINK("https://twitter.com/KEZIAAM0UR","@KEZIAAM0UR")</f>
        <v>@KEZIAAM0UR</v>
      </c>
      <c r="C16099" s="8" t="s">
        <v>6585</v>
      </c>
      <c r="D16099" s="8">
        <v>0</v>
      </c>
      <c r="E16099" s="8">
        <v>0</v>
      </c>
      <c r="F16099" s="8">
        <v>99</v>
      </c>
    </row>
    <row r="16100" spans="1:6" ht="12.75">
      <c r="A16100" s="8">
        <v>43897.49324074074</v>
      </c>
      <c r="B16100" s="8" t="str">
        <f>HYPERLINK("https://twitter.com/EsTehPa04392779","@EsTehPa04392779")</f>
        <v>@EsTehPa04392779</v>
      </c>
      <c r="C16100" s="8" t="s">
        <v>6586</v>
      </c>
      <c r="D16100" s="8">
        <v>0</v>
      </c>
      <c r="E16100" s="8">
        <v>0</v>
      </c>
      <c r="F16100" s="8">
        <v>78</v>
      </c>
    </row>
    <row r="16101" spans="1:6" ht="12.75">
      <c r="A16101" s="8">
        <v>43897.492777777778</v>
      </c>
      <c r="B16101" s="8" t="str">
        <f>HYPERLINK("https://twitter.com/Yfais","@Yfais")</f>
        <v>@Yfais</v>
      </c>
      <c r="C16101" s="8" t="s">
        <v>3132</v>
      </c>
      <c r="D16101" s="8">
        <v>130</v>
      </c>
      <c r="E16101" s="8">
        <v>0</v>
      </c>
      <c r="F16101" s="8">
        <v>619</v>
      </c>
    </row>
    <row r="16102" spans="1:6" ht="12.75">
      <c r="A16102" s="8">
        <v>43897.492476851854</v>
      </c>
      <c r="B16102" s="8" t="str">
        <f>HYPERLINK("https://twitter.com/Gilang_Mahesa","@Gilang_Mahesa")</f>
        <v>@Gilang_Mahesa</v>
      </c>
      <c r="C16102" s="8" t="s">
        <v>6578</v>
      </c>
      <c r="D16102" s="8">
        <v>2</v>
      </c>
      <c r="E16102" s="8">
        <v>0</v>
      </c>
      <c r="F16102" s="8">
        <v>16969</v>
      </c>
    </row>
    <row r="16103" spans="1:6" ht="12.75">
      <c r="A16103" s="8">
        <v>43897.492337962962</v>
      </c>
      <c r="B16103" s="8" t="str">
        <f>HYPERLINK("https://twitter.com/novriyandii","@novriyandii")</f>
        <v>@novriyandii</v>
      </c>
      <c r="C16103" s="8" t="s">
        <v>5103</v>
      </c>
      <c r="D16103" s="8">
        <v>180</v>
      </c>
      <c r="E16103" s="8">
        <v>0</v>
      </c>
      <c r="F16103" s="8">
        <v>52</v>
      </c>
    </row>
    <row r="16104" spans="1:6" ht="12.75">
      <c r="A16104" s="8">
        <v>43897.492326388892</v>
      </c>
      <c r="B16104" s="8" t="str">
        <f>HYPERLINK("https://twitter.com/ridwanfan","@ridwanfan")</f>
        <v>@ridwanfan</v>
      </c>
      <c r="C16104" s="8" t="s">
        <v>3743</v>
      </c>
      <c r="D16104" s="8">
        <v>591</v>
      </c>
      <c r="E16104" s="8">
        <v>0</v>
      </c>
      <c r="F16104" s="8">
        <v>1262</v>
      </c>
    </row>
    <row r="16105" spans="1:6" ht="12.75">
      <c r="A16105" s="8">
        <v>43897.492210648154</v>
      </c>
      <c r="B16105" s="8" t="str">
        <f>HYPERLINK("https://twitter.com/jabarsaberhoaks","@jabarsaberhoaks")</f>
        <v>@jabarsaberhoaks</v>
      </c>
      <c r="C16105" s="8" t="s">
        <v>6587</v>
      </c>
      <c r="D16105" s="8">
        <v>2</v>
      </c>
      <c r="E16105" s="8">
        <v>2</v>
      </c>
      <c r="F16105" s="8">
        <v>2756</v>
      </c>
    </row>
    <row r="16106" spans="1:6" ht="12.75">
      <c r="A16106" s="8">
        <v>43897.491249999999</v>
      </c>
      <c r="B16106" s="8" t="str">
        <f>HYPERLINK("https://twitter.com/LkAgungS","@LkAgungS")</f>
        <v>@LkAgungS</v>
      </c>
      <c r="C16106" s="8" t="s">
        <v>3743</v>
      </c>
      <c r="D16106" s="8">
        <v>591</v>
      </c>
      <c r="E16106" s="8">
        <v>0</v>
      </c>
      <c r="F16106" s="8">
        <v>17</v>
      </c>
    </row>
    <row r="16107" spans="1:6" ht="12.75">
      <c r="A16107" s="8">
        <v>43897.491030092591</v>
      </c>
      <c r="B16107" s="8" t="str">
        <f>HYPERLINK("https://twitter.com/miftahul72","@miftahul72")</f>
        <v>@miftahul72</v>
      </c>
      <c r="C16107" s="8" t="s">
        <v>3743</v>
      </c>
      <c r="D16107" s="8">
        <v>591</v>
      </c>
      <c r="E16107" s="8">
        <v>0</v>
      </c>
      <c r="F16107" s="8">
        <v>49</v>
      </c>
    </row>
    <row r="16108" spans="1:6" ht="12.75">
      <c r="A16108" s="8">
        <v>43897.490960648152</v>
      </c>
      <c r="B16108" s="8" t="str">
        <f>HYPERLINK("https://twitter.com/Riswan6945299","@Riswan6945299")</f>
        <v>@Riswan6945299</v>
      </c>
      <c r="C16108" s="8" t="s">
        <v>4818</v>
      </c>
      <c r="D16108" s="8">
        <v>237</v>
      </c>
      <c r="E16108" s="8">
        <v>0</v>
      </c>
      <c r="F16108" s="8">
        <v>150</v>
      </c>
    </row>
    <row r="16109" spans="1:6" ht="12.75">
      <c r="A16109" s="8">
        <v>43897.490682870368</v>
      </c>
      <c r="B16109" s="8" t="str">
        <f>HYPERLINK("https://twitter.com/aubertvin1","@aubertvin1")</f>
        <v>@aubertvin1</v>
      </c>
      <c r="C16109" s="8" t="s">
        <v>6588</v>
      </c>
      <c r="D16109" s="8">
        <v>0</v>
      </c>
      <c r="E16109" s="8">
        <v>0</v>
      </c>
      <c r="F16109" s="8">
        <v>1443</v>
      </c>
    </row>
    <row r="16110" spans="1:6" ht="12.75">
      <c r="A16110" s="8">
        <v>43897.490648148145</v>
      </c>
      <c r="B16110" s="8" t="str">
        <f>HYPERLINK("https://twitter.com/HerwinaFitriani","@HerwinaFitriani")</f>
        <v>@HerwinaFitriani</v>
      </c>
      <c r="C16110" s="8" t="s">
        <v>2116</v>
      </c>
      <c r="D16110" s="8">
        <v>62</v>
      </c>
      <c r="E16110" s="8">
        <v>0</v>
      </c>
      <c r="F16110" s="8">
        <v>78</v>
      </c>
    </row>
    <row r="16111" spans="1:6" ht="12.75">
      <c r="A16111" s="8">
        <v>43897.490219907406</v>
      </c>
      <c r="B16111" s="8" t="str">
        <f>HYPERLINK("https://twitter.com/ccciiinnnddd777","@ccciiinnnddd777")</f>
        <v>@ccciiinnnddd777</v>
      </c>
      <c r="C16111" s="8" t="s">
        <v>6589</v>
      </c>
      <c r="D16111" s="8">
        <v>0</v>
      </c>
      <c r="E16111" s="8">
        <v>0</v>
      </c>
      <c r="F16111" s="8">
        <v>60</v>
      </c>
    </row>
    <row r="16112" spans="1:6" ht="12.75">
      <c r="A16112" s="8">
        <v>43897.489687499998</v>
      </c>
      <c r="B16112" s="8" t="str">
        <f>HYPERLINK("https://twitter.com/aji__x__saka","@aji__x__saka")</f>
        <v>@aji__x__saka</v>
      </c>
      <c r="C16112" s="8" t="s">
        <v>3213</v>
      </c>
      <c r="D16112" s="8">
        <v>276</v>
      </c>
      <c r="E16112" s="8">
        <v>0</v>
      </c>
      <c r="F16112" s="8">
        <v>348</v>
      </c>
    </row>
    <row r="16113" spans="1:6" ht="12.75">
      <c r="A16113" s="8">
        <v>43897.489479166667</v>
      </c>
      <c r="B16113" s="8" t="str">
        <f>HYPERLINK("https://twitter.com/batman_kawe","@batman_kawe")</f>
        <v>@batman_kawe</v>
      </c>
      <c r="C16113" s="8" t="s">
        <v>3213</v>
      </c>
      <c r="D16113" s="8">
        <v>276</v>
      </c>
      <c r="E16113" s="8">
        <v>0</v>
      </c>
      <c r="F16113" s="8">
        <v>1176</v>
      </c>
    </row>
    <row r="16114" spans="1:6" ht="12.75">
      <c r="A16114" s="8">
        <v>43897.489131944443</v>
      </c>
      <c r="B16114" s="8" t="str">
        <f>HYPERLINK("https://twitter.com/alialhabsyi19","@alialhabsyi19")</f>
        <v>@alialhabsyi19</v>
      </c>
      <c r="C16114" s="8" t="s">
        <v>6590</v>
      </c>
      <c r="D16114" s="8">
        <v>0</v>
      </c>
      <c r="E16114" s="8">
        <v>0</v>
      </c>
      <c r="F16114" s="8">
        <v>30</v>
      </c>
    </row>
    <row r="16115" spans="1:6" ht="12.75">
      <c r="A16115" s="8">
        <v>43897.488888888889</v>
      </c>
      <c r="B16115" s="8" t="str">
        <f>HYPERLINK("https://twitter.com/f_purwatmo","@f_purwatmo")</f>
        <v>@f_purwatmo</v>
      </c>
      <c r="C16115" s="8" t="s">
        <v>3213</v>
      </c>
      <c r="D16115" s="8">
        <v>276</v>
      </c>
      <c r="E16115" s="8">
        <v>0</v>
      </c>
      <c r="F16115" s="8">
        <v>475</v>
      </c>
    </row>
    <row r="16116" spans="1:6" ht="12.75">
      <c r="A16116" s="8">
        <v>43897.488298611112</v>
      </c>
      <c r="B16116" s="8" t="str">
        <f>HYPERLINK("https://twitter.com/Abdoel1924","@Abdoel1924")</f>
        <v>@Abdoel1924</v>
      </c>
      <c r="C16116" s="8" t="s">
        <v>3743</v>
      </c>
      <c r="D16116" s="8">
        <v>591</v>
      </c>
      <c r="E16116" s="8">
        <v>0</v>
      </c>
      <c r="F16116" s="8">
        <v>26</v>
      </c>
    </row>
    <row r="16117" spans="1:6" ht="12.75">
      <c r="A16117" s="8">
        <v>43897.488252314812</v>
      </c>
      <c r="B16117" s="8" t="str">
        <f>HYPERLINK("https://twitter.com/LUTFIETEA","@LUTFIETEA")</f>
        <v>@LUTFIETEA</v>
      </c>
      <c r="C16117" s="8" t="s">
        <v>3743</v>
      </c>
      <c r="D16117" s="8">
        <v>591</v>
      </c>
      <c r="E16117" s="8">
        <v>0</v>
      </c>
      <c r="F16117" s="8">
        <v>471</v>
      </c>
    </row>
    <row r="16118" spans="1:6" ht="12.75">
      <c r="A16118" s="8">
        <v>43897.48819444445</v>
      </c>
      <c r="B16118" s="8" t="str">
        <f>HYPERLINK("https://twitter.com/yohanbalado","@yohanbalado")</f>
        <v>@yohanbalado</v>
      </c>
      <c r="C16118" s="8" t="s">
        <v>6591</v>
      </c>
      <c r="D16118" s="8">
        <v>0</v>
      </c>
      <c r="E16118" s="8">
        <v>1</v>
      </c>
      <c r="F16118" s="8">
        <v>840</v>
      </c>
    </row>
    <row r="16119" spans="1:6" ht="12.75">
      <c r="A16119" s="8">
        <v>43897.488043981481</v>
      </c>
      <c r="B16119" s="8" t="str">
        <f>HYPERLINK("https://twitter.com/QuotePejabat","@QuotePejabat")</f>
        <v>@QuotePejabat</v>
      </c>
      <c r="C16119" s="8" t="s">
        <v>6592</v>
      </c>
      <c r="D16119" s="8">
        <v>0</v>
      </c>
      <c r="E16119" s="8">
        <v>0</v>
      </c>
      <c r="F16119" s="8">
        <v>92</v>
      </c>
    </row>
    <row r="16120" spans="1:6" ht="12.75">
      <c r="A16120" s="8">
        <v>43897.487800925926</v>
      </c>
      <c r="B16120" s="8" t="str">
        <f>HYPERLINK("https://twitter.com/peterdian","@peterdian")</f>
        <v>@peterdian</v>
      </c>
      <c r="C16120" s="8" t="s">
        <v>5944</v>
      </c>
      <c r="D16120" s="8">
        <v>11</v>
      </c>
      <c r="E16120" s="8">
        <v>0</v>
      </c>
      <c r="F16120" s="8">
        <v>21</v>
      </c>
    </row>
    <row r="16121" spans="1:6" ht="12.75">
      <c r="A16121" s="8">
        <v>43897.486608796295</v>
      </c>
      <c r="B16121" s="8" t="str">
        <f>HYPERLINK("https://twitter.com/Hirr1453","@Hirr1453")</f>
        <v>@Hirr1453</v>
      </c>
      <c r="C16121" s="8" t="s">
        <v>3743</v>
      </c>
      <c r="D16121" s="8">
        <v>591</v>
      </c>
      <c r="E16121" s="8">
        <v>0</v>
      </c>
      <c r="F16121" s="8">
        <v>113</v>
      </c>
    </row>
    <row r="16122" spans="1:6" ht="12.75">
      <c r="A16122" s="8">
        <v>43897.485937500001</v>
      </c>
      <c r="B16122" s="8" t="str">
        <f t="shared" ref="B16122:B16123" si="247">HYPERLINK("https://twitter.com/yudhapati88","@yudhapati88")</f>
        <v>@yudhapati88</v>
      </c>
      <c r="C16122" s="8" t="s">
        <v>6593</v>
      </c>
      <c r="D16122" s="8">
        <v>2</v>
      </c>
      <c r="E16122" s="8">
        <v>0</v>
      </c>
      <c r="F16122" s="8">
        <v>3469</v>
      </c>
    </row>
    <row r="16123" spans="1:6" ht="12.75">
      <c r="A16123" s="8">
        <v>43897.485648148147</v>
      </c>
      <c r="B16123" s="8" t="str">
        <f t="shared" si="247"/>
        <v>@yudhapati88</v>
      </c>
      <c r="C16123" s="8" t="s">
        <v>6594</v>
      </c>
      <c r="D16123" s="8">
        <v>1</v>
      </c>
      <c r="E16123" s="8">
        <v>0</v>
      </c>
      <c r="F16123" s="8">
        <v>3469</v>
      </c>
    </row>
    <row r="16124" spans="1:6" ht="12.75">
      <c r="A16124" s="8">
        <v>43897.485208333332</v>
      </c>
      <c r="B16124" s="8" t="str">
        <f>HYPERLINK("https://twitter.com/KowSape","@KowSape")</f>
        <v>@KowSape</v>
      </c>
      <c r="C16124" s="8" t="s">
        <v>6595</v>
      </c>
      <c r="D16124" s="8">
        <v>0</v>
      </c>
      <c r="E16124" s="8">
        <v>0</v>
      </c>
      <c r="F16124" s="8">
        <v>635</v>
      </c>
    </row>
    <row r="16125" spans="1:6" ht="12.75">
      <c r="A16125" s="8">
        <v>43897.485115740739</v>
      </c>
      <c r="B16125" s="8" t="str">
        <f>HYPERLINK("https://twitter.com/wahyusaputro77","@wahyusaputro77")</f>
        <v>@wahyusaputro77</v>
      </c>
      <c r="C16125" s="8" t="s">
        <v>5704</v>
      </c>
      <c r="D16125" s="8">
        <v>17</v>
      </c>
      <c r="E16125" s="8">
        <v>0</v>
      </c>
      <c r="F16125" s="8">
        <v>94</v>
      </c>
    </row>
    <row r="16126" spans="1:6" ht="12.75">
      <c r="A16126" s="8">
        <v>43897.48505787037</v>
      </c>
      <c r="B16126" s="8" t="str">
        <f>HYPERLINK("https://twitter.com/AnggunLasmi","@AnggunLasmi")</f>
        <v>@AnggunLasmi</v>
      </c>
      <c r="C16126" s="8" t="s">
        <v>6596</v>
      </c>
      <c r="D16126" s="8">
        <v>0</v>
      </c>
      <c r="E16126" s="8">
        <v>0</v>
      </c>
      <c r="F16126" s="8">
        <v>1</v>
      </c>
    </row>
    <row r="16127" spans="1:6" ht="12.75">
      <c r="A16127" s="8">
        <v>43897.484976851847</v>
      </c>
      <c r="B16127" s="8" t="str">
        <f>HYPERLINK("https://twitter.com/n4dini","@n4dini")</f>
        <v>@n4dini</v>
      </c>
      <c r="C16127" s="8" t="s">
        <v>3743</v>
      </c>
      <c r="D16127" s="8">
        <v>591</v>
      </c>
      <c r="E16127" s="8">
        <v>0</v>
      </c>
      <c r="F16127" s="8">
        <v>88</v>
      </c>
    </row>
    <row r="16128" spans="1:6" ht="12.75">
      <c r="A16128" s="8">
        <v>43897.484895833331</v>
      </c>
      <c r="B16128" s="8" t="str">
        <f>HYPERLINK("https://twitter.com/Detektif_Ngibul","@Detektif_Ngibul")</f>
        <v>@Detektif_Ngibul</v>
      </c>
      <c r="C16128" s="8" t="s">
        <v>4818</v>
      </c>
      <c r="D16128" s="8">
        <v>237</v>
      </c>
      <c r="E16128" s="8">
        <v>0</v>
      </c>
      <c r="F16128" s="8">
        <v>1688</v>
      </c>
    </row>
    <row r="16129" spans="1:6" ht="12.75">
      <c r="A16129" s="8">
        <v>43897.48474537037</v>
      </c>
      <c r="B16129" s="8" t="str">
        <f>HYPERLINK("https://twitter.com/pikiran_rakyat","@pikiran_rakyat")</f>
        <v>@pikiran_rakyat</v>
      </c>
      <c r="C16129" s="8" t="s">
        <v>6597</v>
      </c>
      <c r="D16129" s="8">
        <v>0</v>
      </c>
      <c r="E16129" s="8">
        <v>0</v>
      </c>
      <c r="F16129" s="8">
        <v>413296</v>
      </c>
    </row>
    <row r="16130" spans="1:6" ht="12.75">
      <c r="A16130" s="8">
        <v>43897.484467592592</v>
      </c>
      <c r="B16130" s="8" t="str">
        <f>HYPERLINK("https://twitter.com/redaksidetail","@redaksidetail")</f>
        <v>@redaksidetail</v>
      </c>
      <c r="C16130" s="8" t="s">
        <v>6598</v>
      </c>
      <c r="D16130" s="8">
        <v>0</v>
      </c>
      <c r="E16130" s="8">
        <v>0</v>
      </c>
      <c r="F16130" s="8">
        <v>7</v>
      </c>
    </row>
    <row r="16131" spans="1:6" ht="12.75">
      <c r="A16131" s="8">
        <v>43897.484456018516</v>
      </c>
      <c r="B16131" s="8" t="str">
        <f>HYPERLINK("https://twitter.com/wasis_515WS","@wasis_515WS")</f>
        <v>@wasis_515WS</v>
      </c>
      <c r="C16131" s="8" t="s">
        <v>4818</v>
      </c>
      <c r="D16131" s="8">
        <v>237</v>
      </c>
      <c r="E16131" s="8">
        <v>0</v>
      </c>
      <c r="F16131" s="8">
        <v>206</v>
      </c>
    </row>
    <row r="16132" spans="1:6" ht="12.75">
      <c r="A16132" s="8">
        <v>43897.484085648146</v>
      </c>
      <c r="B16132" s="8" t="str">
        <f>HYPERLINK("https://twitter.com/AnggunLasmi","@AnggunLasmi")</f>
        <v>@AnggunLasmi</v>
      </c>
      <c r="C16132" s="8" t="s">
        <v>6596</v>
      </c>
      <c r="D16132" s="8">
        <v>0</v>
      </c>
      <c r="E16132" s="8">
        <v>0</v>
      </c>
      <c r="F16132" s="8">
        <v>1</v>
      </c>
    </row>
    <row r="16133" spans="1:6" ht="12.75">
      <c r="A16133" s="8">
        <v>43897.483287037037</v>
      </c>
      <c r="B16133" s="8" t="str">
        <f>HYPERLINK("https://twitter.com/dayat16731","@dayat16731")</f>
        <v>@dayat16731</v>
      </c>
      <c r="C16133" s="8" t="s">
        <v>3743</v>
      </c>
      <c r="D16133" s="8">
        <v>591</v>
      </c>
      <c r="E16133" s="8">
        <v>0</v>
      </c>
      <c r="F16133" s="8">
        <v>32</v>
      </c>
    </row>
    <row r="16134" spans="1:6" ht="12.75">
      <c r="A16134" s="8">
        <v>43897.483067129629</v>
      </c>
      <c r="B16134" s="8" t="str">
        <f>HYPERLINK("https://twitter.com/SayaBerto","@SayaBerto")</f>
        <v>@SayaBerto</v>
      </c>
      <c r="C16134" s="8" t="s">
        <v>1078</v>
      </c>
      <c r="D16134" s="8">
        <v>698</v>
      </c>
      <c r="E16134" s="8">
        <v>0</v>
      </c>
      <c r="F16134" s="8">
        <v>284</v>
      </c>
    </row>
    <row r="16135" spans="1:6" ht="12.75">
      <c r="A16135" s="8">
        <v>43897.482581018514</v>
      </c>
      <c r="B16135" s="8" t="str">
        <f>HYPERLINK("https://twitter.com/NgembarS","@NgembarS")</f>
        <v>@NgembarS</v>
      </c>
      <c r="C16135" s="8" t="s">
        <v>6599</v>
      </c>
      <c r="D16135" s="8">
        <v>0</v>
      </c>
      <c r="E16135" s="8">
        <v>0</v>
      </c>
      <c r="F16135" s="8">
        <v>583</v>
      </c>
    </row>
    <row r="16136" spans="1:6" ht="12.75">
      <c r="A16136" s="8">
        <v>43897.482395833329</v>
      </c>
      <c r="B16136" s="8" t="str">
        <f>HYPERLINK("https://twitter.com/dajjaltamvan","@dajjaltamvan")</f>
        <v>@dajjaltamvan</v>
      </c>
      <c r="C16136" s="8" t="s">
        <v>3213</v>
      </c>
      <c r="D16136" s="8">
        <v>276</v>
      </c>
      <c r="E16136" s="8">
        <v>0</v>
      </c>
      <c r="F16136" s="8">
        <v>148</v>
      </c>
    </row>
    <row r="16137" spans="1:6" ht="12.75">
      <c r="A16137" s="8">
        <v>43897.482199074075</v>
      </c>
      <c r="B16137" s="8" t="str">
        <f>HYPERLINK("https://twitter.com/ZilviaVia2","@ZilviaVia2")</f>
        <v>@ZilviaVia2</v>
      </c>
      <c r="C16137" s="8" t="s">
        <v>6600</v>
      </c>
      <c r="D16137" s="8">
        <v>0</v>
      </c>
      <c r="E16137" s="8">
        <v>0</v>
      </c>
      <c r="F16137" s="8">
        <v>27</v>
      </c>
    </row>
    <row r="16138" spans="1:6" ht="12.75">
      <c r="A16138" s="8">
        <v>43897.481944444444</v>
      </c>
      <c r="B16138" s="8" t="str">
        <f>HYPERLINK("https://twitter.com/popkalcer","@popkalcer")</f>
        <v>@popkalcer</v>
      </c>
      <c r="C16138" s="8" t="s">
        <v>6601</v>
      </c>
      <c r="D16138" s="8">
        <v>0</v>
      </c>
      <c r="E16138" s="8">
        <v>0</v>
      </c>
      <c r="F16138" s="8">
        <v>436</v>
      </c>
    </row>
    <row r="16139" spans="1:6" ht="12.75">
      <c r="A16139" s="8">
        <v>43897.481909722221</v>
      </c>
      <c r="B16139" s="8" t="str">
        <f>HYPERLINK("https://twitter.com/AdnanDasuki99","@AdnanDasuki99")</f>
        <v>@AdnanDasuki99</v>
      </c>
      <c r="C16139" s="8" t="s">
        <v>6602</v>
      </c>
      <c r="D16139" s="8">
        <v>0</v>
      </c>
      <c r="E16139" s="8">
        <v>0</v>
      </c>
      <c r="F16139" s="8">
        <v>133</v>
      </c>
    </row>
    <row r="16140" spans="1:6" ht="12.75">
      <c r="A16140" s="8">
        <v>43897.481886574074</v>
      </c>
      <c r="B16140" s="8" t="str">
        <f>HYPERLINK("https://twitter.com/Bob_Bee28","@Bob_Bee28")</f>
        <v>@Bob_Bee28</v>
      </c>
      <c r="C16140" s="8" t="s">
        <v>4818</v>
      </c>
      <c r="D16140" s="8">
        <v>237</v>
      </c>
      <c r="E16140" s="8">
        <v>0</v>
      </c>
      <c r="F16140" s="8">
        <v>58</v>
      </c>
    </row>
    <row r="16141" spans="1:6" ht="12.75">
      <c r="A16141" s="8">
        <v>43897.481863425928</v>
      </c>
      <c r="B16141" s="8" t="str">
        <f>HYPERLINK("https://twitter.com/andrewplykn","@andrewplykn")</f>
        <v>@andrewplykn</v>
      </c>
      <c r="C16141" s="8" t="s">
        <v>4162</v>
      </c>
      <c r="D16141" s="8">
        <v>51</v>
      </c>
      <c r="E16141" s="8">
        <v>0</v>
      </c>
      <c r="F16141" s="8">
        <v>35</v>
      </c>
    </row>
    <row r="16142" spans="1:6" ht="12.75">
      <c r="A16142" s="8">
        <v>43897.481574074074</v>
      </c>
      <c r="B16142" s="8" t="str">
        <f>HYPERLINK("https://twitter.com/SaaQibKhan11","@SaaQibKhan11")</f>
        <v>@SaaQibKhan11</v>
      </c>
      <c r="C16142" s="8" t="s">
        <v>6603</v>
      </c>
      <c r="D16142" s="8">
        <v>0</v>
      </c>
      <c r="E16142" s="8">
        <v>0</v>
      </c>
      <c r="F16142" s="8">
        <v>2</v>
      </c>
    </row>
    <row r="16143" spans="1:6" ht="12.75">
      <c r="A16143" s="8">
        <v>43897.480474537035</v>
      </c>
      <c r="B16143" s="8" t="str">
        <f>HYPERLINK("https://twitter.com/AgustinaYurisa","@AgustinaYurisa")</f>
        <v>@AgustinaYurisa</v>
      </c>
      <c r="C16143" s="8" t="s">
        <v>6604</v>
      </c>
      <c r="D16143" s="8">
        <v>2</v>
      </c>
      <c r="E16143" s="8">
        <v>0</v>
      </c>
      <c r="F16143" s="8">
        <v>832</v>
      </c>
    </row>
    <row r="16144" spans="1:6" ht="12.75">
      <c r="A16144" s="8">
        <v>43897.48033564815</v>
      </c>
      <c r="B16144" s="8" t="str">
        <f>HYPERLINK("https://twitter.com/rahmadiheru88","@rahmadiheru88")</f>
        <v>@rahmadiheru88</v>
      </c>
      <c r="C16144" s="8" t="s">
        <v>6605</v>
      </c>
      <c r="D16144" s="8">
        <v>1</v>
      </c>
      <c r="E16144" s="8">
        <v>0</v>
      </c>
      <c r="F16144" s="8">
        <v>214</v>
      </c>
    </row>
    <row r="16145" spans="1:6" ht="12.75">
      <c r="A16145" s="8">
        <v>43897.480138888888</v>
      </c>
      <c r="B16145" s="8" t="str">
        <f>HYPERLINK("https://twitter.com/fakihesa","@fakihesa")</f>
        <v>@fakihesa</v>
      </c>
      <c r="C16145" s="8" t="s">
        <v>5522</v>
      </c>
      <c r="D16145" s="8">
        <v>10</v>
      </c>
      <c r="E16145" s="8">
        <v>0</v>
      </c>
      <c r="F16145" s="8">
        <v>261</v>
      </c>
    </row>
    <row r="16146" spans="1:6" ht="12.75">
      <c r="A16146" s="8">
        <v>43897.479733796295</v>
      </c>
      <c r="B16146" s="8" t="str">
        <f>HYPERLINK("https://twitter.com/bmsonyw","@bmsonyw")</f>
        <v>@bmsonyw</v>
      </c>
      <c r="C16146" s="8" t="s">
        <v>5522</v>
      </c>
      <c r="D16146" s="8">
        <v>10</v>
      </c>
      <c r="E16146" s="8">
        <v>0</v>
      </c>
      <c r="F16146" s="8">
        <v>287</v>
      </c>
    </row>
    <row r="16147" spans="1:6" ht="12.75">
      <c r="A16147" s="8">
        <v>43897.47956018518</v>
      </c>
      <c r="B16147" s="8" t="str">
        <f>HYPERLINK("https://twitter.com/YolaEL_MINORI","@YolaEL_MINORI")</f>
        <v>@YolaEL_MINORI</v>
      </c>
      <c r="C16147" s="8" t="s">
        <v>6606</v>
      </c>
      <c r="D16147" s="8">
        <v>2</v>
      </c>
      <c r="E16147" s="8">
        <v>0</v>
      </c>
      <c r="F16147" s="8">
        <v>64</v>
      </c>
    </row>
    <row r="16148" spans="1:6" ht="12.75">
      <c r="A16148" s="8">
        <v>43897.478622685187</v>
      </c>
      <c r="B16148" s="8" t="str">
        <f>HYPERLINK("https://twitter.com/fahrifathan99","@fahrifathan99")</f>
        <v>@fahrifathan99</v>
      </c>
      <c r="C16148" s="8" t="s">
        <v>6607</v>
      </c>
      <c r="D16148" s="8">
        <v>0</v>
      </c>
      <c r="E16148" s="8">
        <v>2</v>
      </c>
      <c r="F16148" s="8">
        <v>16632</v>
      </c>
    </row>
    <row r="16149" spans="1:6" ht="12.75">
      <c r="A16149" s="8">
        <v>43897.478067129632</v>
      </c>
      <c r="B16149" s="8" t="str">
        <f>HYPERLINK("https://twitter.com/gayatriveda","@gayatriveda")</f>
        <v>@gayatriveda</v>
      </c>
      <c r="C16149" s="8" t="s">
        <v>6608</v>
      </c>
      <c r="D16149" s="8">
        <v>1</v>
      </c>
      <c r="E16149" s="8">
        <v>0</v>
      </c>
      <c r="F16149" s="8">
        <v>1820</v>
      </c>
    </row>
    <row r="16150" spans="1:6" ht="12.75">
      <c r="A16150" s="8">
        <v>43897.477812500001</v>
      </c>
      <c r="B16150" s="8" t="str">
        <f>HYPERLINK("https://twitter.com/Lukman88755658","@Lukman88755658")</f>
        <v>@Lukman88755658</v>
      </c>
      <c r="C16150" s="8" t="s">
        <v>4948</v>
      </c>
      <c r="D16150" s="8">
        <v>100</v>
      </c>
      <c r="E16150" s="8">
        <v>0</v>
      </c>
      <c r="F16150" s="8">
        <v>421</v>
      </c>
    </row>
    <row r="16151" spans="1:6" ht="12.75">
      <c r="A16151" s="8">
        <v>43897.477488425924</v>
      </c>
      <c r="B16151" s="8" t="str">
        <f>HYPERLINK("https://twitter.com/DjaritoSadewo","@DjaritoSadewo")</f>
        <v>@DjaritoSadewo</v>
      </c>
      <c r="C16151" s="8" t="s">
        <v>6609</v>
      </c>
      <c r="D16151" s="8">
        <v>0</v>
      </c>
      <c r="E16151" s="8">
        <v>0</v>
      </c>
      <c r="F16151" s="8">
        <v>1386</v>
      </c>
    </row>
    <row r="16152" spans="1:6" ht="12.75">
      <c r="A16152" s="8">
        <v>43897.477442129632</v>
      </c>
      <c r="B16152" s="8" t="str">
        <f t="shared" ref="B16152:B16153" si="248">HYPERLINK("https://twitter.com/Hanifah933","@Hanifah933")</f>
        <v>@Hanifah933</v>
      </c>
      <c r="C16152" s="8" t="s">
        <v>6610</v>
      </c>
      <c r="D16152" s="8">
        <v>1</v>
      </c>
      <c r="E16152" s="8">
        <v>0</v>
      </c>
      <c r="F16152" s="8">
        <v>7226</v>
      </c>
    </row>
    <row r="16153" spans="1:6" ht="12.75">
      <c r="A16153" s="8">
        <v>43897.47729166667</v>
      </c>
      <c r="B16153" s="8" t="str">
        <f t="shared" si="248"/>
        <v>@Hanifah933</v>
      </c>
      <c r="C16153" s="8" t="s">
        <v>6611</v>
      </c>
      <c r="D16153" s="8">
        <v>1</v>
      </c>
      <c r="E16153" s="8">
        <v>0</v>
      </c>
      <c r="F16153" s="8">
        <v>7226</v>
      </c>
    </row>
    <row r="16154" spans="1:6" ht="12.75">
      <c r="A16154" s="8">
        <v>43897.477268518516</v>
      </c>
      <c r="B16154" s="8" t="str">
        <f>HYPERLINK("https://twitter.com/DNegriku","@DNegriku")</f>
        <v>@DNegriku</v>
      </c>
      <c r="C16154" s="8" t="s">
        <v>3743</v>
      </c>
      <c r="D16154" s="8">
        <v>591</v>
      </c>
      <c r="E16154" s="8">
        <v>0</v>
      </c>
      <c r="F16154" s="8">
        <v>93</v>
      </c>
    </row>
    <row r="16155" spans="1:6" ht="12.75">
      <c r="A16155" s="8">
        <v>43897.476689814815</v>
      </c>
      <c r="B16155" s="8" t="str">
        <f>HYPERLINK("https://twitter.com/RereElvansyahO2","@RereElvansyahO2")</f>
        <v>@RereElvansyahO2</v>
      </c>
      <c r="C16155" s="8" t="s">
        <v>3743</v>
      </c>
      <c r="D16155" s="8">
        <v>591</v>
      </c>
      <c r="E16155" s="8">
        <v>0</v>
      </c>
      <c r="F16155" s="8">
        <v>41</v>
      </c>
    </row>
    <row r="16156" spans="1:6" ht="12.75">
      <c r="A16156" s="8">
        <v>43897.476678240739</v>
      </c>
      <c r="B16156" s="8" t="str">
        <f>HYPERLINK("https://twitter.com/Iostpolaris","@Iostpolaris")</f>
        <v>@Iostpolaris</v>
      </c>
      <c r="C16156" s="8" t="s">
        <v>4162</v>
      </c>
      <c r="D16156" s="8">
        <v>51</v>
      </c>
      <c r="E16156" s="8">
        <v>0</v>
      </c>
      <c r="F16156" s="8">
        <v>1530</v>
      </c>
    </row>
    <row r="16157" spans="1:6" ht="12.75">
      <c r="A16157" s="8">
        <v>43897.476493055554</v>
      </c>
      <c r="B16157" s="8" t="str">
        <f>HYPERLINK("https://twitter.com/achooiingum","@achooiingum")</f>
        <v>@achooiingum</v>
      </c>
      <c r="C16157" s="8" t="s">
        <v>6612</v>
      </c>
      <c r="D16157" s="8">
        <v>0</v>
      </c>
      <c r="E16157" s="8">
        <v>0</v>
      </c>
      <c r="F16157" s="8">
        <v>637</v>
      </c>
    </row>
    <row r="16158" spans="1:6" ht="12.75">
      <c r="A16158" s="8">
        <v>43897.475659722222</v>
      </c>
      <c r="B16158" s="8" t="str">
        <f>HYPERLINK("https://twitter.com/sosasonia","@sosasonia")</f>
        <v>@sosasonia</v>
      </c>
      <c r="C16158" s="8" t="s">
        <v>4162</v>
      </c>
      <c r="D16158" s="8">
        <v>51</v>
      </c>
      <c r="E16158" s="8">
        <v>0</v>
      </c>
      <c r="F16158" s="8">
        <v>809</v>
      </c>
    </row>
    <row r="16159" spans="1:6" ht="12.75">
      <c r="A16159" s="8">
        <v>43897.475543981476</v>
      </c>
      <c r="B16159" s="8" t="str">
        <f>HYPERLINK("https://twitter.com/HeryAgustiawan","@HeryAgustiawan")</f>
        <v>@HeryAgustiawan</v>
      </c>
      <c r="C16159" s="8" t="s">
        <v>6613</v>
      </c>
      <c r="D16159" s="8">
        <v>0</v>
      </c>
      <c r="E16159" s="8">
        <v>0</v>
      </c>
      <c r="F16159" s="8">
        <v>3</v>
      </c>
    </row>
    <row r="16160" spans="1:6" ht="12.75">
      <c r="A16160" s="8">
        <v>43897.475185185191</v>
      </c>
      <c r="B16160" s="8" t="str">
        <f>HYPERLINK("https://twitter.com/KBRIMexicoCity","@KBRIMexicoCity")</f>
        <v>@KBRIMexicoCity</v>
      </c>
      <c r="C16160" s="8" t="s">
        <v>4162</v>
      </c>
      <c r="D16160" s="8">
        <v>51</v>
      </c>
      <c r="E16160" s="8">
        <v>0</v>
      </c>
      <c r="F16160" s="8">
        <v>1329</v>
      </c>
    </row>
    <row r="16161" spans="1:6" ht="12.75">
      <c r="A16161" s="8">
        <v>43897.475069444445</v>
      </c>
      <c r="B16161" s="8" t="str">
        <f>HYPERLINK("https://twitter.com/Yuniwat14549414","@Yuniwat14549414")</f>
        <v>@Yuniwat14549414</v>
      </c>
      <c r="C16161" s="8" t="s">
        <v>6614</v>
      </c>
      <c r="D16161" s="8">
        <v>1</v>
      </c>
      <c r="E16161" s="8">
        <v>1</v>
      </c>
      <c r="F16161" s="8">
        <v>4</v>
      </c>
    </row>
    <row r="16162" spans="1:6" ht="12.75">
      <c r="A16162" s="8">
        <v>43897.475011574075</v>
      </c>
      <c r="B16162" s="8" t="str">
        <f>HYPERLINK("https://twitter.com/Xelin74030832","@Xelin74030832")</f>
        <v>@Xelin74030832</v>
      </c>
      <c r="C16162" s="8" t="s">
        <v>6614</v>
      </c>
      <c r="D16162" s="8">
        <v>0</v>
      </c>
      <c r="E16162" s="8">
        <v>1</v>
      </c>
      <c r="F16162" s="8">
        <v>10</v>
      </c>
    </row>
    <row r="16163" spans="1:6" ht="12.75">
      <c r="A16163" s="8">
        <v>43897.475011574075</v>
      </c>
      <c r="B16163" s="8" t="str">
        <f>HYPERLINK("https://twitter.com/LudiroMadu","@LudiroMadu")</f>
        <v>@LudiroMadu</v>
      </c>
      <c r="C16163" s="8" t="s">
        <v>4162</v>
      </c>
      <c r="D16163" s="8">
        <v>51</v>
      </c>
      <c r="E16163" s="8">
        <v>0</v>
      </c>
      <c r="F16163" s="8">
        <v>585</v>
      </c>
    </row>
    <row r="16164" spans="1:6" ht="12.75">
      <c r="A16164" s="8">
        <v>43897.473912037036</v>
      </c>
      <c r="B16164" s="8" t="str">
        <f>HYPERLINK("https://twitter.com/nita_nilik","@nita_nilik")</f>
        <v>@nita_nilik</v>
      </c>
      <c r="C16164" s="8" t="s">
        <v>6615</v>
      </c>
      <c r="D16164" s="8">
        <v>0</v>
      </c>
      <c r="E16164" s="8">
        <v>0</v>
      </c>
      <c r="F16164" s="8">
        <v>192</v>
      </c>
    </row>
    <row r="16165" spans="1:6" ht="12.75">
      <c r="A16165" s="8">
        <v>43897.473726851851</v>
      </c>
      <c r="B16165" s="8" t="str">
        <f>HYPERLINK("https://twitter.com/jammy_shiba","@jammy_shiba")</f>
        <v>@jammy_shiba</v>
      </c>
      <c r="C16165" s="8" t="s">
        <v>6616</v>
      </c>
      <c r="D16165" s="8">
        <v>1</v>
      </c>
      <c r="E16165" s="8">
        <v>0</v>
      </c>
      <c r="F16165" s="8">
        <v>132</v>
      </c>
    </row>
    <row r="16166" spans="1:6" ht="12.75">
      <c r="A16166" s="8">
        <v>43897.465104166666</v>
      </c>
      <c r="B16166" s="8" t="str">
        <f>HYPERLINK("https://twitter.com/aldelaregi","@aldelaregi")</f>
        <v>@aldelaregi</v>
      </c>
      <c r="C16166" s="8" t="s">
        <v>5522</v>
      </c>
      <c r="D16166" s="8">
        <v>5</v>
      </c>
      <c r="E16166" s="8">
        <v>0</v>
      </c>
      <c r="F16166" s="8">
        <v>1751</v>
      </c>
    </row>
    <row r="16167" spans="1:6" ht="12.75">
      <c r="A16167" s="8">
        <v>43897.464618055557</v>
      </c>
      <c r="B16167" s="8" t="str">
        <f>HYPERLINK("https://twitter.com/Hermawa04408791","@Hermawa04408791")</f>
        <v>@Hermawa04408791</v>
      </c>
      <c r="C16167" s="8" t="s">
        <v>3743</v>
      </c>
      <c r="D16167" s="8">
        <v>573</v>
      </c>
      <c r="E16167" s="8">
        <v>0</v>
      </c>
      <c r="F16167" s="8">
        <v>26</v>
      </c>
    </row>
    <row r="16168" spans="1:6" ht="12.75">
      <c r="A16168" s="8">
        <v>43897.464618055557</v>
      </c>
      <c r="B16168" s="8" t="str">
        <f>HYPERLINK("https://twitter.com/Luliany73","@Luliany73")</f>
        <v>@Luliany73</v>
      </c>
      <c r="C16168" s="8" t="s">
        <v>3213</v>
      </c>
      <c r="D16168" s="8">
        <v>269</v>
      </c>
      <c r="E16168" s="8">
        <v>0</v>
      </c>
      <c r="F16168" s="8">
        <v>532</v>
      </c>
    </row>
    <row r="16169" spans="1:6" ht="12.75">
      <c r="A16169" s="8">
        <v>43897.464062500003</v>
      </c>
      <c r="B16169" s="8" t="str">
        <f>HYPERLINK("https://twitter.com/sandradikana","@sandradikana")</f>
        <v>@sandradikana</v>
      </c>
      <c r="C16169" s="8" t="s">
        <v>6617</v>
      </c>
      <c r="D16169" s="8">
        <v>0</v>
      </c>
      <c r="E16169" s="8">
        <v>0</v>
      </c>
      <c r="F16169" s="8">
        <v>94</v>
      </c>
    </row>
    <row r="16170" spans="1:6" ht="12.75">
      <c r="A16170" s="8">
        <v>43897.46193287037</v>
      </c>
      <c r="B16170" s="8" t="str">
        <f>HYPERLINK("https://twitter.com/gema234","@gema234")</f>
        <v>@gema234</v>
      </c>
      <c r="C16170" s="8" t="s">
        <v>3743</v>
      </c>
      <c r="D16170" s="8">
        <v>573</v>
      </c>
      <c r="E16170" s="8">
        <v>0</v>
      </c>
      <c r="F16170" s="8">
        <v>983</v>
      </c>
    </row>
    <row r="16171" spans="1:6" ht="12.75">
      <c r="A16171" s="8">
        <v>43897.461875000001</v>
      </c>
      <c r="B16171" s="8" t="str">
        <f>HYPERLINK("https://twitter.com/yudhisthiraroy","@yudhisthiraroy")</f>
        <v>@yudhisthiraroy</v>
      </c>
      <c r="C16171" s="8" t="s">
        <v>3743</v>
      </c>
      <c r="D16171" s="8">
        <v>573</v>
      </c>
      <c r="E16171" s="8">
        <v>0</v>
      </c>
      <c r="F16171" s="8">
        <v>343</v>
      </c>
    </row>
    <row r="16172" spans="1:6" ht="12.75">
      <c r="A16172" s="8">
        <v>43897.461782407408</v>
      </c>
      <c r="B16172" s="8" t="str">
        <f>HYPERLINK("https://twitter.com/dabenone2","@dabenone2")</f>
        <v>@dabenone2</v>
      </c>
      <c r="C16172" s="8" t="s">
        <v>6618</v>
      </c>
      <c r="D16172" s="8">
        <v>1</v>
      </c>
      <c r="E16172" s="8">
        <v>0</v>
      </c>
      <c r="F16172" s="8">
        <v>79</v>
      </c>
    </row>
    <row r="16173" spans="1:6" ht="12.75">
      <c r="A16173" s="8">
        <v>43897.461261574077</v>
      </c>
      <c r="B16173" s="8" t="str">
        <f>HYPERLINK("https://twitter.com/karolvslvangga","@karolvslvangga")</f>
        <v>@karolvslvangga</v>
      </c>
      <c r="C16173" s="8" t="s">
        <v>5704</v>
      </c>
      <c r="D16173" s="8">
        <v>11</v>
      </c>
      <c r="E16173" s="8">
        <v>0</v>
      </c>
      <c r="F16173" s="8">
        <v>237</v>
      </c>
    </row>
    <row r="16174" spans="1:6" ht="12.75">
      <c r="A16174" s="8">
        <v>43897.460659722223</v>
      </c>
      <c r="B16174" s="8" t="str">
        <f>HYPERLINK("https://twitter.com/antaranews","@antaranews")</f>
        <v>@antaranews</v>
      </c>
      <c r="C16174" s="8" t="s">
        <v>6619</v>
      </c>
      <c r="D16174" s="8">
        <v>1</v>
      </c>
      <c r="E16174" s="8">
        <v>0</v>
      </c>
      <c r="F16174" s="8">
        <v>1106788</v>
      </c>
    </row>
    <row r="16175" spans="1:6" ht="12.75">
      <c r="A16175" s="8">
        <v>43897.460543981477</v>
      </c>
      <c r="B16175" s="8" t="str">
        <f>HYPERLINK("https://twitter.com/Yfais","@Yfais")</f>
        <v>@Yfais</v>
      </c>
      <c r="C16175" s="8" t="s">
        <v>4162</v>
      </c>
      <c r="D16175" s="8">
        <v>43</v>
      </c>
      <c r="E16175" s="8">
        <v>0</v>
      </c>
      <c r="F16175" s="8">
        <v>619</v>
      </c>
    </row>
    <row r="16176" spans="1:6" ht="12.75">
      <c r="A16176" s="8">
        <v>43897.460138888884</v>
      </c>
      <c r="B16176" s="8" t="str">
        <f>HYPERLINK("https://twitter.com/DickyHutaurukk","@DickyHutaurukk")</f>
        <v>@DickyHutaurukk</v>
      </c>
      <c r="C16176" s="8" t="s">
        <v>5704</v>
      </c>
      <c r="D16176" s="8">
        <v>11</v>
      </c>
      <c r="E16176" s="8">
        <v>0</v>
      </c>
      <c r="F16176" s="8">
        <v>330</v>
      </c>
    </row>
    <row r="16177" spans="1:6" ht="12.75">
      <c r="A16177" s="8">
        <v>43897.45993055556</v>
      </c>
      <c r="B16177" s="8" t="str">
        <f>HYPERLINK("https://twitter.com/bjf_revival","@bjf_revival")</f>
        <v>@bjf_revival</v>
      </c>
      <c r="C16177" s="8" t="s">
        <v>3743</v>
      </c>
      <c r="D16177" s="8">
        <v>573</v>
      </c>
      <c r="E16177" s="8">
        <v>0</v>
      </c>
      <c r="F16177" s="8">
        <v>743</v>
      </c>
    </row>
    <row r="16178" spans="1:6" ht="12.75">
      <c r="A16178" s="8">
        <v>43897.459768518514</v>
      </c>
      <c r="B16178" s="8" t="str">
        <f>HYPERLINK("https://twitter.com/SegafMustofa","@SegafMustofa")</f>
        <v>@SegafMustofa</v>
      </c>
      <c r="C16178" s="8" t="s">
        <v>3743</v>
      </c>
      <c r="D16178" s="8">
        <v>573</v>
      </c>
      <c r="E16178" s="8">
        <v>0</v>
      </c>
      <c r="F16178" s="8">
        <v>135</v>
      </c>
    </row>
    <row r="16179" spans="1:6" ht="12.75">
      <c r="A16179" s="8">
        <v>43897.459363425922</v>
      </c>
      <c r="B16179" s="8" t="str">
        <f>HYPERLINK("https://twitter.com/embungunung","@embungunung")</f>
        <v>@embungunung</v>
      </c>
      <c r="C16179" s="8" t="s">
        <v>3213</v>
      </c>
      <c r="D16179" s="8">
        <v>269</v>
      </c>
      <c r="E16179" s="8">
        <v>0</v>
      </c>
      <c r="F16179" s="8">
        <v>889</v>
      </c>
    </row>
    <row r="16180" spans="1:6" ht="12.75">
      <c r="A16180" s="8">
        <v>43897.459247685183</v>
      </c>
      <c r="B16180" s="8" t="str">
        <f>HYPERLINK("https://twitter.com/solotrustcom","@solotrustcom")</f>
        <v>@solotrustcom</v>
      </c>
      <c r="C16180" s="8" t="s">
        <v>6620</v>
      </c>
      <c r="D16180" s="8">
        <v>0</v>
      </c>
      <c r="E16180" s="8">
        <v>0</v>
      </c>
      <c r="F16180" s="8">
        <v>130</v>
      </c>
    </row>
    <row r="16181" spans="1:6" ht="12.75">
      <c r="A16181" s="8">
        <v>43897.459131944444</v>
      </c>
      <c r="B16181" s="8" t="str">
        <f>HYPERLINK("https://twitter.com/translatorbali","@translatorbali")</f>
        <v>@translatorbali</v>
      </c>
      <c r="C16181" s="8" t="s">
        <v>5522</v>
      </c>
      <c r="D16181" s="8">
        <v>5</v>
      </c>
      <c r="E16181" s="8">
        <v>0</v>
      </c>
      <c r="F16181" s="8">
        <v>3879</v>
      </c>
    </row>
    <row r="16182" spans="1:6" ht="12.75">
      <c r="A16182" s="8">
        <v>43897.458854166667</v>
      </c>
      <c r="B16182" s="8" t="str">
        <f>HYPERLINK("https://twitter.com/Wilson_P535","@Wilson_P535")</f>
        <v>@Wilson_P535</v>
      </c>
      <c r="C16182" s="8" t="s">
        <v>6621</v>
      </c>
      <c r="D16182" s="8">
        <v>0</v>
      </c>
      <c r="E16182" s="8">
        <v>0</v>
      </c>
      <c r="F16182" s="8">
        <v>71</v>
      </c>
    </row>
    <row r="16183" spans="1:6" ht="12.75">
      <c r="A16183" s="8">
        <v>43897.458692129629</v>
      </c>
      <c r="B16183" s="8" t="str">
        <f>HYPERLINK("https://twitter.com/arhcaf15","@arhcaf15")</f>
        <v>@arhcaf15</v>
      </c>
      <c r="C16183" s="8" t="s">
        <v>3743</v>
      </c>
      <c r="D16183" s="8">
        <v>573</v>
      </c>
      <c r="E16183" s="8">
        <v>0</v>
      </c>
      <c r="F16183" s="8">
        <v>120</v>
      </c>
    </row>
    <row r="16184" spans="1:6" ht="12.75">
      <c r="A16184" s="8">
        <v>43897.457615740743</v>
      </c>
      <c r="B16184" s="8" t="str">
        <f>HYPERLINK("https://twitter.com/ozil_bdg","@ozil_bdg")</f>
        <v>@ozil_bdg</v>
      </c>
      <c r="C16184" s="8" t="s">
        <v>3743</v>
      </c>
      <c r="D16184" s="8">
        <v>573</v>
      </c>
      <c r="E16184" s="8">
        <v>0</v>
      </c>
      <c r="F16184" s="8">
        <v>1835</v>
      </c>
    </row>
    <row r="16185" spans="1:6" ht="12.75">
      <c r="A16185" s="8">
        <v>43897.457465277781</v>
      </c>
      <c r="B16185" s="8" t="str">
        <f>HYPERLINK("https://twitter.com/HakimGarisLurus","@HakimGarisLurus")</f>
        <v>@HakimGarisLurus</v>
      </c>
      <c r="C16185" s="8" t="s">
        <v>4818</v>
      </c>
      <c r="D16185" s="8">
        <v>223</v>
      </c>
      <c r="E16185" s="8">
        <v>0</v>
      </c>
      <c r="F16185" s="8">
        <v>1459</v>
      </c>
    </row>
    <row r="16186" spans="1:6" ht="12.75">
      <c r="A16186" s="8">
        <v>43897.456724537042</v>
      </c>
      <c r="B16186" s="8" t="str">
        <f>HYPERLINK("https://twitter.com/LastMalas","@LastMalas")</f>
        <v>@LastMalas</v>
      </c>
      <c r="C16186" s="8" t="s">
        <v>6622</v>
      </c>
      <c r="D16186" s="8">
        <v>0</v>
      </c>
      <c r="E16186" s="8">
        <v>0</v>
      </c>
      <c r="F16186" s="8">
        <v>88</v>
      </c>
    </row>
    <row r="16187" spans="1:6" ht="12.75">
      <c r="A16187" s="8">
        <v>43897.456493055557</v>
      </c>
      <c r="B16187" s="8" t="str">
        <f>HYPERLINK("https://twitter.com/MRJANGAR","@MRJANGAR")</f>
        <v>@MRJANGAR</v>
      </c>
      <c r="C16187" s="8" t="s">
        <v>6623</v>
      </c>
      <c r="D16187" s="8">
        <v>0</v>
      </c>
      <c r="E16187" s="8">
        <v>0</v>
      </c>
      <c r="F16187" s="8">
        <v>2405</v>
      </c>
    </row>
    <row r="16188" spans="1:6" ht="12.75">
      <c r="A16188" s="8">
        <v>43897.456377314811</v>
      </c>
      <c r="B16188" s="8" t="str">
        <f>HYPERLINK("https://twitter.com/foxpenguin2312","@foxpenguin2312")</f>
        <v>@foxpenguin2312</v>
      </c>
      <c r="C16188" s="8" t="s">
        <v>6624</v>
      </c>
      <c r="D16188" s="8">
        <v>0</v>
      </c>
      <c r="E16188" s="8">
        <v>0</v>
      </c>
      <c r="F16188" s="8">
        <v>38</v>
      </c>
    </row>
    <row r="16189" spans="1:6" ht="12.75">
      <c r="A16189" s="8">
        <v>43897.456273148149</v>
      </c>
      <c r="B16189" s="8" t="str">
        <f>HYPERLINK("https://twitter.com/MUHAMMA31480689","@MUHAMMA31480689")</f>
        <v>@MUHAMMA31480689</v>
      </c>
      <c r="C16189" s="8" t="s">
        <v>6625</v>
      </c>
      <c r="D16189" s="8">
        <v>9</v>
      </c>
      <c r="E16189" s="8">
        <v>0</v>
      </c>
      <c r="F16189" s="8">
        <v>103</v>
      </c>
    </row>
    <row r="16190" spans="1:6" ht="12.75">
      <c r="A16190" s="8">
        <v>43897.456145833334</v>
      </c>
      <c r="B16190" s="8" t="str">
        <f>HYPERLINK("https://twitter.com/maria181166","@maria181166")</f>
        <v>@maria181166</v>
      </c>
      <c r="C16190" s="8" t="s">
        <v>5944</v>
      </c>
      <c r="D16190" s="8">
        <v>9</v>
      </c>
      <c r="E16190" s="8">
        <v>0</v>
      </c>
      <c r="F16190" s="8">
        <v>196</v>
      </c>
    </row>
    <row r="16191" spans="1:6" ht="12.75">
      <c r="A16191" s="8">
        <v>43897.455949074079</v>
      </c>
      <c r="B16191" s="8" t="str">
        <f>HYPERLINK("https://twitter.com/swlndr","@swlndr")</f>
        <v>@swlndr</v>
      </c>
      <c r="C16191" s="8" t="s">
        <v>5522</v>
      </c>
      <c r="D16191" s="8">
        <v>5</v>
      </c>
      <c r="E16191" s="8">
        <v>0</v>
      </c>
      <c r="F16191" s="8">
        <v>1291</v>
      </c>
    </row>
    <row r="16192" spans="1:6" ht="12.75">
      <c r="A16192" s="8">
        <v>43897.454652777778</v>
      </c>
      <c r="B16192" s="8" t="str">
        <f>HYPERLINK("https://twitter.com/EKSLUSIVISME","@EKSLUSIVISME")</f>
        <v>@EKSLUSIVISME</v>
      </c>
      <c r="C16192" s="8" t="s">
        <v>6626</v>
      </c>
      <c r="D16192" s="8">
        <v>0</v>
      </c>
      <c r="E16192" s="8">
        <v>0</v>
      </c>
      <c r="F16192" s="8">
        <v>136</v>
      </c>
    </row>
    <row r="16193" spans="1:6" ht="12.75">
      <c r="A16193" s="8">
        <v>43897.453645833331</v>
      </c>
      <c r="B16193" s="8" t="str">
        <f>HYPERLINK("https://twitter.com/sigapwi1","@sigapwi1")</f>
        <v>@sigapwi1</v>
      </c>
      <c r="C16193" s="8" t="s">
        <v>6128</v>
      </c>
      <c r="D16193" s="8">
        <v>35</v>
      </c>
      <c r="E16193" s="8">
        <v>0</v>
      </c>
      <c r="F16193" s="8">
        <v>34</v>
      </c>
    </row>
    <row r="16194" spans="1:6" ht="12.75">
      <c r="A16194" s="8">
        <v>43897.453518518523</v>
      </c>
      <c r="B16194" s="8" t="str">
        <f>HYPERLINK("https://twitter.com/aditadyt","@aditadyt")</f>
        <v>@aditadyt</v>
      </c>
      <c r="C16194" s="8" t="s">
        <v>6627</v>
      </c>
      <c r="D16194" s="8">
        <v>0</v>
      </c>
      <c r="E16194" s="8">
        <v>0</v>
      </c>
      <c r="F16194" s="8">
        <v>1036</v>
      </c>
    </row>
    <row r="16195" spans="1:6" ht="12.75">
      <c r="A16195" s="8">
        <v>43897.453356481477</v>
      </c>
      <c r="B16195" s="8" t="str">
        <f>HYPERLINK("https://twitter.com/LastMalas","@LastMalas")</f>
        <v>@LastMalas</v>
      </c>
      <c r="C16195" s="8" t="s">
        <v>6628</v>
      </c>
      <c r="D16195" s="8">
        <v>0</v>
      </c>
      <c r="E16195" s="8">
        <v>0</v>
      </c>
      <c r="F16195" s="8">
        <v>88</v>
      </c>
    </row>
    <row r="16196" spans="1:6" ht="12.75">
      <c r="A16196" s="8">
        <v>43897.453217592592</v>
      </c>
      <c r="B16196" s="8" t="str">
        <f>HYPERLINK("https://twitter.com/exactlyserious","@exactlyserious")</f>
        <v>@exactlyserious</v>
      </c>
      <c r="C16196" s="8" t="s">
        <v>6629</v>
      </c>
      <c r="D16196" s="8">
        <v>0</v>
      </c>
      <c r="E16196" s="8">
        <v>0</v>
      </c>
      <c r="F16196" s="8">
        <v>7</v>
      </c>
    </row>
    <row r="16197" spans="1:6" ht="12.75">
      <c r="A16197" s="8">
        <v>43897.453206018516</v>
      </c>
      <c r="B16197" s="8" t="str">
        <f>HYPERLINK("https://twitter.com/Lima_ratusan","@Lima_ratusan")</f>
        <v>@Lima_ratusan</v>
      </c>
      <c r="C16197" s="8" t="s">
        <v>4162</v>
      </c>
      <c r="D16197" s="8">
        <v>43</v>
      </c>
      <c r="E16197" s="8">
        <v>0</v>
      </c>
      <c r="F16197" s="8">
        <v>515</v>
      </c>
    </row>
    <row r="16198" spans="1:6" ht="12.75">
      <c r="A16198" s="8">
        <v>43897.452696759261</v>
      </c>
      <c r="B16198" s="8" t="str">
        <f>HYPERLINK("https://twitter.com/arya_7980","@arya_7980")</f>
        <v>@arya_7980</v>
      </c>
      <c r="C16198" s="8" t="s">
        <v>3743</v>
      </c>
      <c r="D16198" s="8">
        <v>573</v>
      </c>
      <c r="E16198" s="8">
        <v>0</v>
      </c>
      <c r="F16198" s="8">
        <v>49</v>
      </c>
    </row>
    <row r="16199" spans="1:6" ht="12.75">
      <c r="A16199" s="8">
        <v>43897.452453703707</v>
      </c>
      <c r="B16199" s="8" t="str">
        <f>HYPERLINK("https://twitter.com/kogasma","@kogasma")</f>
        <v>@kogasma</v>
      </c>
      <c r="C16199" s="8" t="s">
        <v>6630</v>
      </c>
      <c r="D16199" s="8">
        <v>21</v>
      </c>
      <c r="E16199" s="8">
        <v>0</v>
      </c>
      <c r="F16199" s="8">
        <v>1025</v>
      </c>
    </row>
    <row r="16200" spans="1:6" ht="12.75">
      <c r="A16200" s="8">
        <v>43897.452152777776</v>
      </c>
      <c r="B16200" s="8" t="str">
        <f>HYPERLINK("https://twitter.com/_wni_","@_wni_")</f>
        <v>@_wni_</v>
      </c>
      <c r="C16200" s="8" t="s">
        <v>6631</v>
      </c>
      <c r="D16200" s="8">
        <v>234</v>
      </c>
      <c r="E16200" s="8">
        <v>0</v>
      </c>
      <c r="F16200" s="8">
        <v>16</v>
      </c>
    </row>
    <row r="16201" spans="1:6" ht="12.75">
      <c r="A16201" s="8">
        <v>43897.451238425929</v>
      </c>
      <c r="B16201" s="8" t="str">
        <f>HYPERLINK("https://twitter.com/IdEmbassy_Seoul","@IdEmbassy_Seoul")</f>
        <v>@IdEmbassy_Seoul</v>
      </c>
      <c r="C16201" s="8" t="s">
        <v>6632</v>
      </c>
      <c r="D16201" s="8">
        <v>5</v>
      </c>
      <c r="E16201" s="8">
        <v>2</v>
      </c>
      <c r="F16201" s="8">
        <v>3884</v>
      </c>
    </row>
    <row r="16202" spans="1:6" ht="12.75">
      <c r="A16202" s="8">
        <v>43897.451018518521</v>
      </c>
      <c r="B16202" s="8" t="str">
        <f>HYPERLINK("https://twitter.com/faisalramdani23","@faisalramdani23")</f>
        <v>@faisalramdani23</v>
      </c>
      <c r="C16202" s="8" t="s">
        <v>6633</v>
      </c>
      <c r="D16202" s="8">
        <v>2</v>
      </c>
      <c r="E16202" s="8">
        <v>0</v>
      </c>
      <c r="F16202" s="8">
        <v>449</v>
      </c>
    </row>
    <row r="16203" spans="1:6" ht="12.75">
      <c r="A16203" s="8">
        <v>43897.450520833328</v>
      </c>
      <c r="B16203" s="8" t="str">
        <f>HYPERLINK("https://twitter.com/anggaprisap","@anggaprisap")</f>
        <v>@anggaprisap</v>
      </c>
      <c r="C16203" s="8" t="s">
        <v>3743</v>
      </c>
      <c r="D16203" s="8">
        <v>573</v>
      </c>
      <c r="E16203" s="8">
        <v>0</v>
      </c>
      <c r="F16203" s="8">
        <v>399</v>
      </c>
    </row>
    <row r="16204" spans="1:6" ht="12.75">
      <c r="A16204" s="8">
        <v>43897.450231481482</v>
      </c>
      <c r="B16204" s="8" t="str">
        <f>HYPERLINK("https://twitter.com/annisaputric","@annisaputric")</f>
        <v>@annisaputric</v>
      </c>
      <c r="C16204" s="8" t="s">
        <v>4162</v>
      </c>
      <c r="D16204" s="8">
        <v>43</v>
      </c>
      <c r="E16204" s="8">
        <v>0</v>
      </c>
      <c r="F16204" s="8">
        <v>704</v>
      </c>
    </row>
    <row r="16205" spans="1:6" ht="12.75">
      <c r="A16205" s="8">
        <v>43897.450173611112</v>
      </c>
      <c r="B16205" s="8" t="str">
        <f>HYPERLINK("https://twitter.com/EdiManik6","@EdiManik6")</f>
        <v>@EdiManik6</v>
      </c>
      <c r="C16205" s="8" t="s">
        <v>6634</v>
      </c>
      <c r="D16205" s="8">
        <v>7</v>
      </c>
      <c r="E16205" s="8">
        <v>0</v>
      </c>
      <c r="F16205" s="8">
        <v>704</v>
      </c>
    </row>
    <row r="16206" spans="1:6" ht="12.75">
      <c r="A16206" s="8">
        <v>43897.449803240743</v>
      </c>
      <c r="B16206" s="8" t="str">
        <f>HYPERLINK("https://twitter.com/selviaemanuella","@selviaemanuella")</f>
        <v>@selviaemanuella</v>
      </c>
      <c r="C16206" s="8" t="s">
        <v>4162</v>
      </c>
      <c r="D16206" s="8">
        <v>43</v>
      </c>
      <c r="E16206" s="8">
        <v>0</v>
      </c>
      <c r="F16206" s="8">
        <v>447</v>
      </c>
    </row>
    <row r="16207" spans="1:6" ht="12.75">
      <c r="A16207" s="8">
        <v>43897.44976851852</v>
      </c>
      <c r="B16207" s="8" t="str">
        <f>HYPERLINK("https://twitter.com/TweetOrRetweets","@TweetOrRetweets")</f>
        <v>@TweetOrRetweets</v>
      </c>
      <c r="C16207" s="8" t="s">
        <v>3213</v>
      </c>
      <c r="D16207" s="8">
        <v>269</v>
      </c>
      <c r="E16207" s="8">
        <v>0</v>
      </c>
      <c r="F16207" s="8">
        <v>113</v>
      </c>
    </row>
    <row r="16208" spans="1:6" ht="12.75">
      <c r="A16208" s="8">
        <v>43897.449236111112</v>
      </c>
      <c r="B16208" s="8" t="str">
        <f>HYPERLINK("https://twitter.com/mediaindonesia","@mediaindonesia")</f>
        <v>@mediaindonesia</v>
      </c>
      <c r="C16208" s="8" t="s">
        <v>6635</v>
      </c>
      <c r="D16208" s="8">
        <v>0</v>
      </c>
      <c r="E16208" s="8">
        <v>0</v>
      </c>
      <c r="F16208" s="8">
        <v>1420513</v>
      </c>
    </row>
    <row r="16209" spans="1:6" ht="12.75">
      <c r="A16209" s="8">
        <v>43897.448530092588</v>
      </c>
      <c r="B16209" s="8" t="str">
        <f>HYPERLINK("https://twitter.com/TodayOrAfter","@TodayOrAfter")</f>
        <v>@TodayOrAfter</v>
      </c>
      <c r="C16209" s="8" t="s">
        <v>4162</v>
      </c>
      <c r="D16209" s="8">
        <v>43</v>
      </c>
      <c r="E16209" s="8">
        <v>0</v>
      </c>
      <c r="F16209" s="8">
        <v>135</v>
      </c>
    </row>
    <row r="16210" spans="1:6" ht="12.75">
      <c r="A16210" s="8">
        <v>43897.447685185187</v>
      </c>
      <c r="B16210" s="8" t="str">
        <f>HYPERLINK("https://twitter.com/Antara_Jabar","@Antara_Jabar")</f>
        <v>@Antara_Jabar</v>
      </c>
      <c r="C16210" s="8" t="s">
        <v>5718</v>
      </c>
      <c r="D16210" s="8">
        <v>0</v>
      </c>
      <c r="E16210" s="8">
        <v>0</v>
      </c>
      <c r="F16210" s="8">
        <v>1663</v>
      </c>
    </row>
    <row r="16211" spans="1:6" ht="12.75">
      <c r="A16211" s="8">
        <v>43897.447534722218</v>
      </c>
      <c r="B16211" s="8" t="str">
        <f>HYPERLINK("https://twitter.com/kafara666","@kafara666")</f>
        <v>@kafara666</v>
      </c>
      <c r="C16211" s="8" t="s">
        <v>6636</v>
      </c>
      <c r="D16211" s="8">
        <v>24</v>
      </c>
      <c r="E16211" s="8">
        <v>0</v>
      </c>
      <c r="F16211" s="8">
        <v>79</v>
      </c>
    </row>
    <row r="16212" spans="1:6" ht="12.75">
      <c r="A16212" s="8">
        <v>43897.447395833333</v>
      </c>
      <c r="B16212" s="8" t="str">
        <f>HYPERLINK("https://twitter.com/strawrey","@strawrey")</f>
        <v>@strawrey</v>
      </c>
      <c r="C16212" s="8" t="s">
        <v>4162</v>
      </c>
      <c r="D16212" s="8">
        <v>43</v>
      </c>
      <c r="E16212" s="8">
        <v>0</v>
      </c>
      <c r="F16212" s="8">
        <v>659</v>
      </c>
    </row>
    <row r="16213" spans="1:6" ht="12.75">
      <c r="A16213" s="8">
        <v>43897.446747685186</v>
      </c>
      <c r="B16213" s="8" t="str">
        <f>HYPERLINK("https://twitter.com/Indianandabori1","@Indianandabori1")</f>
        <v>@Indianandabori1</v>
      </c>
      <c r="C16213" s="8" t="s">
        <v>6637</v>
      </c>
      <c r="D16213" s="8">
        <v>0</v>
      </c>
      <c r="E16213" s="8">
        <v>0</v>
      </c>
      <c r="F16213" s="8">
        <v>2</v>
      </c>
    </row>
    <row r="16214" spans="1:6" ht="12.75">
      <c r="A16214" s="8">
        <v>43897.446747685186</v>
      </c>
      <c r="B16214" s="8" t="str">
        <f>HYPERLINK("https://twitter.com/raininginviolet","@raininginviolet")</f>
        <v>@raininginviolet</v>
      </c>
      <c r="C16214" s="8" t="s">
        <v>4162</v>
      </c>
      <c r="D16214" s="8">
        <v>43</v>
      </c>
      <c r="E16214" s="8">
        <v>0</v>
      </c>
      <c r="F16214" s="8">
        <v>210</v>
      </c>
    </row>
    <row r="16215" spans="1:6" ht="12.75">
      <c r="A16215" s="8">
        <v>43897.446504629625</v>
      </c>
      <c r="B16215" s="8" t="str">
        <f>HYPERLINK("https://twitter.com/tiarasanders07","@tiarasanders07")</f>
        <v>@tiarasanders07</v>
      </c>
      <c r="C16215" s="8" t="s">
        <v>4162</v>
      </c>
      <c r="D16215" s="8">
        <v>43</v>
      </c>
      <c r="E16215" s="8">
        <v>0</v>
      </c>
      <c r="F16215" s="8">
        <v>186</v>
      </c>
    </row>
    <row r="16216" spans="1:6" ht="12.75">
      <c r="A16216" s="8">
        <v>43897.446377314816</v>
      </c>
      <c r="B16216" s="8" t="str">
        <f>HYPERLINK("https://twitter.com/HariMulyawan50","@HariMulyawan50")</f>
        <v>@HariMulyawan50</v>
      </c>
      <c r="C16216" s="8" t="s">
        <v>4818</v>
      </c>
      <c r="D16216" s="8">
        <v>223</v>
      </c>
      <c r="E16216" s="8">
        <v>0</v>
      </c>
      <c r="F16216" s="8">
        <v>69</v>
      </c>
    </row>
    <row r="16217" spans="1:6" ht="12.75">
      <c r="A16217" s="8">
        <v>43897.446250000001</v>
      </c>
      <c r="B16217" s="8" t="str">
        <f>HYPERLINK("https://twitter.com/bukanicha_","@bukanicha_")</f>
        <v>@bukanicha_</v>
      </c>
      <c r="C16217" s="8" t="s">
        <v>3978</v>
      </c>
      <c r="D16217" s="8">
        <v>10</v>
      </c>
      <c r="E16217" s="8">
        <v>0</v>
      </c>
      <c r="F16217" s="8">
        <v>110</v>
      </c>
    </row>
    <row r="16218" spans="1:6" ht="12.75">
      <c r="A16218" s="8">
        <v>43897.445983796293</v>
      </c>
      <c r="B16218" s="8" t="str">
        <f>HYPERLINK("https://twitter.com/RivaldiZakie","@RivaldiZakie")</f>
        <v>@RivaldiZakie</v>
      </c>
      <c r="C16218" s="8" t="s">
        <v>4162</v>
      </c>
      <c r="D16218" s="8">
        <v>43</v>
      </c>
      <c r="E16218" s="8">
        <v>0</v>
      </c>
      <c r="F16218" s="8">
        <v>16</v>
      </c>
    </row>
    <row r="16219" spans="1:6" ht="12.75">
      <c r="A16219" s="8">
        <v>43897.445775462962</v>
      </c>
      <c r="B16219" s="8" t="str">
        <f>HYPERLINK("https://twitter.com/sweetztrash","@sweetztrash")</f>
        <v>@sweetztrash</v>
      </c>
      <c r="C16219" s="8" t="s">
        <v>4162</v>
      </c>
      <c r="D16219" s="8">
        <v>43</v>
      </c>
      <c r="E16219" s="8">
        <v>0</v>
      </c>
      <c r="F16219" s="8">
        <v>165</v>
      </c>
    </row>
    <row r="16220" spans="1:6" ht="12.75">
      <c r="A16220" s="8">
        <v>43897.445451388892</v>
      </c>
      <c r="B16220" s="8" t="str">
        <f>HYPERLINK("https://twitter.com/jack_bidexs","@jack_bidexs")</f>
        <v>@jack_bidexs</v>
      </c>
      <c r="C16220" s="8" t="s">
        <v>3743</v>
      </c>
      <c r="D16220" s="8">
        <v>573</v>
      </c>
      <c r="E16220" s="8">
        <v>0</v>
      </c>
      <c r="F16220" s="8">
        <v>721</v>
      </c>
    </row>
    <row r="16221" spans="1:6" ht="12.75">
      <c r="A16221" s="8">
        <v>43897.445092592592</v>
      </c>
      <c r="B16221" s="8" t="str">
        <f>HYPERLINK("https://twitter.com/Jackjackaljugja","@Jackjackaljugja")</f>
        <v>@Jackjackaljugja</v>
      </c>
      <c r="C16221" s="8" t="s">
        <v>3743</v>
      </c>
      <c r="D16221" s="8">
        <v>573</v>
      </c>
      <c r="E16221" s="8">
        <v>0</v>
      </c>
      <c r="F16221" s="8">
        <v>625</v>
      </c>
    </row>
    <row r="16222" spans="1:6" ht="12.75">
      <c r="A16222" s="8">
        <v>43897.444930555561</v>
      </c>
      <c r="B16222" s="8" t="str">
        <f>HYPERLINK("https://twitter.com/rinamabastan","@rinamabastan")</f>
        <v>@rinamabastan</v>
      </c>
      <c r="C16222" s="8" t="s">
        <v>6638</v>
      </c>
      <c r="D16222" s="8">
        <v>80</v>
      </c>
      <c r="E16222" s="8">
        <v>0</v>
      </c>
      <c r="F16222" s="8">
        <v>24</v>
      </c>
    </row>
    <row r="16223" spans="1:6" ht="12.75">
      <c r="A16223" s="8">
        <v>43897.444803240738</v>
      </c>
      <c r="B16223" s="8" t="str">
        <f>HYPERLINK("https://twitter.com/programmer_tua","@programmer_tua")</f>
        <v>@programmer_tua</v>
      </c>
      <c r="C16223" s="8" t="s">
        <v>5704</v>
      </c>
      <c r="D16223" s="8">
        <v>11</v>
      </c>
      <c r="E16223" s="8">
        <v>0</v>
      </c>
      <c r="F16223" s="8">
        <v>3406</v>
      </c>
    </row>
    <row r="16224" spans="1:6" ht="12.75">
      <c r="A16224" s="8">
        <v>43897.444780092592</v>
      </c>
      <c r="B16224" s="8" t="str">
        <f>HYPERLINK("https://twitter.com/Indianandabori1","@Indianandabori1")</f>
        <v>@Indianandabori1</v>
      </c>
      <c r="C16224" s="8" t="s">
        <v>6639</v>
      </c>
      <c r="D16224" s="8">
        <v>0</v>
      </c>
      <c r="E16224" s="8">
        <v>0</v>
      </c>
      <c r="F16224" s="8">
        <v>2</v>
      </c>
    </row>
    <row r="16225" spans="1:6" ht="12.75">
      <c r="A16225" s="8">
        <v>43897.444641203707</v>
      </c>
      <c r="B16225" s="8" t="str">
        <f>HYPERLINK("https://twitter.com/antaranews","@antaranews")</f>
        <v>@antaranews</v>
      </c>
      <c r="C16225" s="8" t="s">
        <v>6640</v>
      </c>
      <c r="D16225" s="8">
        <v>2</v>
      </c>
      <c r="E16225" s="8">
        <v>2</v>
      </c>
      <c r="F16225" s="8">
        <v>1106788</v>
      </c>
    </row>
    <row r="16226" spans="1:6" ht="12.75">
      <c r="A16226" s="8">
        <v>43897.44462962963</v>
      </c>
      <c r="B16226" s="8" t="str">
        <f>HYPERLINK("https://twitter.com/enfpjustfine","@enfpjustfine")</f>
        <v>@enfpjustfine</v>
      </c>
      <c r="C16226" s="8" t="s">
        <v>4162</v>
      </c>
      <c r="D16226" s="8">
        <v>43</v>
      </c>
      <c r="E16226" s="8">
        <v>0</v>
      </c>
      <c r="F16226" s="8">
        <v>143</v>
      </c>
    </row>
    <row r="16227" spans="1:6" ht="12.75">
      <c r="A16227" s="8">
        <v>43897.444236111114</v>
      </c>
      <c r="B16227" s="8" t="str">
        <f>HYPERLINK("https://twitter.com/kentangfries","@kentangfries")</f>
        <v>@kentangfries</v>
      </c>
      <c r="C16227" s="8" t="s">
        <v>4162</v>
      </c>
      <c r="D16227" s="8">
        <v>43</v>
      </c>
      <c r="E16227" s="8">
        <v>0</v>
      </c>
      <c r="F16227" s="8">
        <v>417</v>
      </c>
    </row>
    <row r="16228" spans="1:6" ht="12.75">
      <c r="A16228" s="8">
        <v>43897.444212962961</v>
      </c>
      <c r="B16228" s="8" t="str">
        <f>HYPERLINK("https://twitter.com/GraceKalangit","@GraceKalangit")</f>
        <v>@GraceKalangit</v>
      </c>
      <c r="C16228" s="8" t="s">
        <v>4162</v>
      </c>
      <c r="D16228" s="8">
        <v>43</v>
      </c>
      <c r="E16228" s="8">
        <v>0</v>
      </c>
      <c r="F16228" s="8">
        <v>273</v>
      </c>
    </row>
    <row r="16229" spans="1:6" ht="12.75">
      <c r="A16229" s="8">
        <v>43897.443981481483</v>
      </c>
      <c r="B16229" s="8" t="str">
        <f>HYPERLINK("https://twitter.com/KJRIPENANG","@KJRIPENANG")</f>
        <v>@KJRIPENANG</v>
      </c>
      <c r="C16229" s="8" t="s">
        <v>4162</v>
      </c>
      <c r="D16229" s="8">
        <v>43</v>
      </c>
      <c r="E16229" s="8">
        <v>0</v>
      </c>
      <c r="F16229" s="8">
        <v>505</v>
      </c>
    </row>
    <row r="16230" spans="1:6" ht="12.75">
      <c r="A16230" s="8">
        <v>43897.443900462968</v>
      </c>
      <c r="B16230" s="8" t="str">
        <f>HYPERLINK("https://twitter.com/Brismonnight","@Brismonnight")</f>
        <v>@Brismonnight</v>
      </c>
      <c r="C16230" s="8" t="s">
        <v>4162</v>
      </c>
      <c r="D16230" s="8">
        <v>43</v>
      </c>
      <c r="E16230" s="8">
        <v>0</v>
      </c>
      <c r="F16230" s="8">
        <v>32</v>
      </c>
    </row>
    <row r="16231" spans="1:6" ht="12.75">
      <c r="A16231" s="8">
        <v>43897.443472222221</v>
      </c>
      <c r="B16231" s="8" t="str">
        <f>HYPERLINK("https://twitter.com/sihooltobing","@sihooltobing")</f>
        <v>@sihooltobing</v>
      </c>
      <c r="C16231" s="8" t="s">
        <v>4162</v>
      </c>
      <c r="D16231" s="8">
        <v>43</v>
      </c>
      <c r="E16231" s="8">
        <v>0</v>
      </c>
      <c r="F16231" s="8">
        <v>200</v>
      </c>
    </row>
    <row r="16232" spans="1:6" ht="12.75">
      <c r="A16232" s="8">
        <v>43897.443078703705</v>
      </c>
      <c r="B16232" s="8" t="str">
        <f>HYPERLINK("https://twitter.com/cendananews","@cendananews")</f>
        <v>@cendananews</v>
      </c>
      <c r="C16232" s="8" t="s">
        <v>6641</v>
      </c>
      <c r="D16232" s="8">
        <v>0</v>
      </c>
      <c r="E16232" s="8">
        <v>0</v>
      </c>
      <c r="F16232" s="8">
        <v>4565</v>
      </c>
    </row>
    <row r="16233" spans="1:6" ht="12.75">
      <c r="A16233" s="8">
        <v>43897.442997685182</v>
      </c>
      <c r="B16233" s="8" t="str">
        <f>HYPERLINK("https://twitter.com/edwinmogi","@edwinmogi")</f>
        <v>@edwinmogi</v>
      </c>
      <c r="C16233" s="8" t="s">
        <v>5899</v>
      </c>
      <c r="D16233" s="8">
        <v>8</v>
      </c>
      <c r="E16233" s="8">
        <v>0</v>
      </c>
      <c r="F16233" s="8">
        <v>393</v>
      </c>
    </row>
    <row r="16234" spans="1:6" ht="12.75">
      <c r="A16234" s="8">
        <v>43897.442812499998</v>
      </c>
      <c r="B16234" s="8" t="str">
        <f>HYPERLINK("https://twitter.com/lagaragas","@lagaragas")</f>
        <v>@lagaragas</v>
      </c>
      <c r="C16234" s="8" t="s">
        <v>4162</v>
      </c>
      <c r="D16234" s="8">
        <v>43</v>
      </c>
      <c r="E16234" s="8">
        <v>0</v>
      </c>
      <c r="F16234" s="8">
        <v>573</v>
      </c>
    </row>
    <row r="16235" spans="1:6" ht="12.75">
      <c r="A16235" s="8">
        <v>43897.442719907413</v>
      </c>
      <c r="B16235" s="8" t="str">
        <f>HYPERLINK("https://twitter.com/alfinaerian","@alfinaerian")</f>
        <v>@alfinaerian</v>
      </c>
      <c r="C16235" s="8" t="s">
        <v>5103</v>
      </c>
      <c r="D16235" s="8">
        <v>179</v>
      </c>
      <c r="E16235" s="8">
        <v>0</v>
      </c>
      <c r="F16235" s="8">
        <v>350</v>
      </c>
    </row>
    <row r="16236" spans="1:6" ht="12.75">
      <c r="A16236" s="8">
        <v>43897.442430555559</v>
      </c>
      <c r="B16236" s="8" t="str">
        <f>HYPERLINK("https://twitter.com/wrabyapta","@wrabyapta")</f>
        <v>@wrabyapta</v>
      </c>
      <c r="C16236" s="8" t="s">
        <v>4162</v>
      </c>
      <c r="D16236" s="8">
        <v>43</v>
      </c>
      <c r="E16236" s="8">
        <v>0</v>
      </c>
      <c r="F16236" s="8">
        <v>206</v>
      </c>
    </row>
    <row r="16237" spans="1:6" ht="12.75">
      <c r="A16237" s="8">
        <v>43897.442372685182</v>
      </c>
      <c r="B16237" s="8" t="str">
        <f>HYPERLINK("https://twitter.com/Yuzri_Andrean","@Yuzri_Andrean")</f>
        <v>@Yuzri_Andrean</v>
      </c>
      <c r="C16237" s="8" t="s">
        <v>4162</v>
      </c>
      <c r="D16237" s="8">
        <v>43</v>
      </c>
      <c r="E16237" s="8">
        <v>0</v>
      </c>
      <c r="F16237" s="8">
        <v>738</v>
      </c>
    </row>
    <row r="16238" spans="1:6" ht="12.75">
      <c r="A16238" s="8">
        <v>43897.442152777774</v>
      </c>
      <c r="B16238" s="8" t="str">
        <f>HYPERLINK("https://twitter.com/Indianandabori1","@Indianandabori1")</f>
        <v>@Indianandabori1</v>
      </c>
      <c r="C16238" s="8" t="s">
        <v>6642</v>
      </c>
      <c r="D16238" s="8">
        <v>0</v>
      </c>
      <c r="E16238" s="8">
        <v>0</v>
      </c>
      <c r="F16238" s="8">
        <v>2</v>
      </c>
    </row>
    <row r="16239" spans="1:6" ht="12.75">
      <c r="A16239" s="8">
        <v>43897.441875000004</v>
      </c>
      <c r="B16239" s="8" t="str">
        <f>HYPERLINK("https://twitter.com/bloekoetoeq","@bloekoetoeq")</f>
        <v>@bloekoetoeq</v>
      </c>
      <c r="C16239" s="8" t="s">
        <v>3743</v>
      </c>
      <c r="D16239" s="8">
        <v>573</v>
      </c>
      <c r="E16239" s="8">
        <v>0</v>
      </c>
      <c r="F16239" s="8">
        <v>492</v>
      </c>
    </row>
    <row r="16240" spans="1:6" ht="12.75">
      <c r="A16240" s="8">
        <v>43897.441759259258</v>
      </c>
      <c r="B16240" s="8" t="str">
        <f>HYPERLINK("https://twitter.com/rid_mayar","@rid_mayar")</f>
        <v>@rid_mayar</v>
      </c>
      <c r="C16240" s="8" t="s">
        <v>6643</v>
      </c>
      <c r="D16240" s="8">
        <v>0</v>
      </c>
      <c r="E16240" s="8">
        <v>1</v>
      </c>
      <c r="F16240" s="8">
        <v>1845</v>
      </c>
    </row>
    <row r="16241" spans="1:6" ht="12.75">
      <c r="A16241" s="8">
        <v>43897.44159722222</v>
      </c>
      <c r="B16241" s="8" t="str">
        <f>HYPERLINK("https://twitter.com/ylchaniago","@ylchaniago")</f>
        <v>@ylchaniago</v>
      </c>
      <c r="C16241" s="8" t="s">
        <v>6644</v>
      </c>
      <c r="D16241" s="8">
        <v>0</v>
      </c>
      <c r="E16241" s="8">
        <v>3</v>
      </c>
      <c r="F16241" s="8">
        <v>5310</v>
      </c>
    </row>
    <row r="16242" spans="1:6" ht="12.75">
      <c r="A16242" s="8">
        <v>43897.44159722222</v>
      </c>
      <c r="B16242" s="8" t="str">
        <f>HYPERLINK("https://twitter.com/_d__harahap6O7O","@_d__harahap6O7O")</f>
        <v>@_d__harahap6O7O</v>
      </c>
      <c r="C16242" s="8" t="s">
        <v>4162</v>
      </c>
      <c r="D16242" s="8">
        <v>43</v>
      </c>
      <c r="E16242" s="8">
        <v>0</v>
      </c>
      <c r="F16242" s="8">
        <v>3439</v>
      </c>
    </row>
    <row r="16243" spans="1:6" ht="12.75">
      <c r="A16243" s="8">
        <v>43897.44158564815</v>
      </c>
      <c r="B16243" s="8" t="str">
        <f>HYPERLINK("https://twitter.com/DiasporaXxi","@DiasporaXxi")</f>
        <v>@DiasporaXxi</v>
      </c>
      <c r="C16243" s="8" t="s">
        <v>3743</v>
      </c>
      <c r="D16243" s="8">
        <v>573</v>
      </c>
      <c r="E16243" s="8">
        <v>0</v>
      </c>
      <c r="F16243" s="8">
        <v>48</v>
      </c>
    </row>
    <row r="16244" spans="1:6" ht="12.75">
      <c r="A16244" s="8">
        <v>43897.441562499997</v>
      </c>
      <c r="B16244" s="8" t="str">
        <f>HYPERLINK("https://twitter.com/dizaardini","@dizaardini")</f>
        <v>@dizaardini</v>
      </c>
      <c r="C16244" s="8" t="s">
        <v>4162</v>
      </c>
      <c r="D16244" s="8">
        <v>43</v>
      </c>
      <c r="E16244" s="8">
        <v>0</v>
      </c>
      <c r="F16244" s="8">
        <v>336</v>
      </c>
    </row>
    <row r="16245" spans="1:6" ht="12.75">
      <c r="A16245" s="8">
        <v>43897.44149305555</v>
      </c>
      <c r="B16245" s="8" t="str">
        <f>HYPERLINK("https://twitter.com/scciaIist","@scciaIist")</f>
        <v>@scciaIist</v>
      </c>
      <c r="C16245" s="8" t="s">
        <v>4162</v>
      </c>
      <c r="D16245" s="8">
        <v>43</v>
      </c>
      <c r="E16245" s="8">
        <v>0</v>
      </c>
      <c r="F16245" s="8">
        <v>1095</v>
      </c>
    </row>
    <row r="16246" spans="1:6" ht="12.75">
      <c r="A16246" s="8">
        <v>43897.441435185188</v>
      </c>
      <c r="B16246" s="8" t="str">
        <f>HYPERLINK("https://twitter.com/kimseuu","@kimseuu")</f>
        <v>@kimseuu</v>
      </c>
      <c r="C16246" s="8" t="s">
        <v>4162</v>
      </c>
      <c r="D16246" s="8">
        <v>43</v>
      </c>
      <c r="E16246" s="8">
        <v>0</v>
      </c>
      <c r="F16246" s="8">
        <v>379</v>
      </c>
    </row>
    <row r="16247" spans="1:6" ht="12.75">
      <c r="A16247" s="8">
        <v>43897.441388888888</v>
      </c>
      <c r="B16247" s="8" t="str">
        <f>HYPERLINK("https://twitter.com/KBRI_Islamabad","@KBRI_Islamabad")</f>
        <v>@KBRI_Islamabad</v>
      </c>
      <c r="C16247" s="8" t="s">
        <v>2116</v>
      </c>
      <c r="D16247" s="8">
        <v>59</v>
      </c>
      <c r="E16247" s="8">
        <v>0</v>
      </c>
      <c r="F16247" s="8">
        <v>850</v>
      </c>
    </row>
    <row r="16248" spans="1:6" ht="12.75">
      <c r="A16248" s="8">
        <v>43897.441377314812</v>
      </c>
      <c r="B16248" s="8" t="str">
        <f>HYPERLINK("https://twitter.com/stelivena","@stelivena")</f>
        <v>@stelivena</v>
      </c>
      <c r="C16248" s="8" t="s">
        <v>6645</v>
      </c>
      <c r="D16248" s="8">
        <v>0</v>
      </c>
      <c r="E16248" s="8">
        <v>1</v>
      </c>
      <c r="F16248" s="8">
        <v>2</v>
      </c>
    </row>
    <row r="16249" spans="1:6" ht="12.75">
      <c r="A16249" s="8">
        <v>43897.44131944445</v>
      </c>
      <c r="B16249" s="8" t="str">
        <f>HYPERLINK("https://twitter.com/altomaresky","@altomaresky")</f>
        <v>@altomaresky</v>
      </c>
      <c r="C16249" s="8" t="s">
        <v>4162</v>
      </c>
      <c r="D16249" s="8">
        <v>43</v>
      </c>
      <c r="E16249" s="8">
        <v>0</v>
      </c>
      <c r="F16249" s="8">
        <v>615</v>
      </c>
    </row>
    <row r="16250" spans="1:6" ht="12.75">
      <c r="A16250" s="8">
        <v>43897.44122685185</v>
      </c>
      <c r="B16250" s="8" t="str">
        <f>HYPERLINK("https://twitter.com/uribosseu","@uribosseu")</f>
        <v>@uribosseu</v>
      </c>
      <c r="C16250" s="8" t="s">
        <v>4162</v>
      </c>
      <c r="D16250" s="8">
        <v>43</v>
      </c>
      <c r="E16250" s="8">
        <v>0</v>
      </c>
      <c r="F16250" s="8">
        <v>13</v>
      </c>
    </row>
    <row r="16251" spans="1:6" ht="12.75">
      <c r="A16251" s="8">
        <v>43897.441018518519</v>
      </c>
      <c r="B16251" s="8" t="str">
        <f>HYPERLINK("https://twitter.com/KBRI_Islamabad","@KBRI_Islamabad")</f>
        <v>@KBRI_Islamabad</v>
      </c>
      <c r="C16251" s="8" t="s">
        <v>4162</v>
      </c>
      <c r="D16251" s="8">
        <v>43</v>
      </c>
      <c r="E16251" s="8">
        <v>0</v>
      </c>
      <c r="F16251" s="8">
        <v>850</v>
      </c>
    </row>
    <row r="16252" spans="1:6" ht="12.75">
      <c r="A16252" s="8">
        <v>43897.440891203703</v>
      </c>
      <c r="B16252" s="8" t="str">
        <f>HYPERLINK("https://twitter.com/JubirPresidenRI","@JubirPresidenRI")</f>
        <v>@JubirPresidenRI</v>
      </c>
      <c r="C16252" s="8" t="s">
        <v>4162</v>
      </c>
      <c r="D16252" s="8">
        <v>43</v>
      </c>
      <c r="E16252" s="8">
        <v>0</v>
      </c>
      <c r="F16252" s="8">
        <v>615</v>
      </c>
    </row>
    <row r="16253" spans="1:6" ht="12.75">
      <c r="A16253" s="8">
        <v>43897.440752314811</v>
      </c>
      <c r="B16253" s="8" t="str">
        <f>HYPERLINK("https://twitter.com/iinmemey","@iinmemey")</f>
        <v>@iinmemey</v>
      </c>
      <c r="C16253" s="8" t="s">
        <v>6646</v>
      </c>
      <c r="D16253" s="8">
        <v>0</v>
      </c>
      <c r="E16253" s="8">
        <v>0</v>
      </c>
      <c r="F16253" s="8">
        <v>740</v>
      </c>
    </row>
    <row r="16254" spans="1:6" ht="12.75">
      <c r="A16254" s="8">
        <v>43897.440347222218</v>
      </c>
      <c r="B16254" s="8" t="str">
        <f>HYPERLINK("https://twitter.com/Kemlu_RI","@Kemlu_RI")</f>
        <v>@Kemlu_RI</v>
      </c>
      <c r="C16254" s="8" t="s">
        <v>6647</v>
      </c>
      <c r="D16254" s="8">
        <v>43</v>
      </c>
      <c r="E16254" s="8">
        <v>33</v>
      </c>
      <c r="F16254" s="8">
        <v>171031</v>
      </c>
    </row>
    <row r="16255" spans="1:6" ht="12.75">
      <c r="A16255" s="8">
        <v>43897.439583333333</v>
      </c>
      <c r="B16255" s="8" t="str">
        <f>HYPERLINK("https://twitter.com/akiniaki","@akiniaki")</f>
        <v>@akiniaki</v>
      </c>
      <c r="C16255" s="8" t="s">
        <v>3213</v>
      </c>
      <c r="D16255" s="8">
        <v>269</v>
      </c>
      <c r="E16255" s="8">
        <v>0</v>
      </c>
      <c r="F16255" s="8">
        <v>2344</v>
      </c>
    </row>
    <row r="16256" spans="1:6" ht="12.75">
      <c r="A16256" s="8">
        <v>43897.43886574074</v>
      </c>
      <c r="B16256" s="8" t="str">
        <f>HYPERLINK("https://twitter.com/partikeI","@partikeI")</f>
        <v>@partikeI</v>
      </c>
      <c r="C16256" s="8" t="s">
        <v>6648</v>
      </c>
      <c r="D16256" s="8">
        <v>0</v>
      </c>
      <c r="E16256" s="8">
        <v>0</v>
      </c>
      <c r="F16256" s="8">
        <v>170</v>
      </c>
    </row>
    <row r="16257" spans="1:6" ht="12.75">
      <c r="A16257" s="8">
        <v>43897.438738425924</v>
      </c>
      <c r="B16257" s="8" t="str">
        <f>HYPERLINK("https://twitter.com/FikriElkamali","@FikriElkamali")</f>
        <v>@FikriElkamali</v>
      </c>
      <c r="C16257" s="8" t="s">
        <v>6002</v>
      </c>
      <c r="D16257" s="8">
        <v>19</v>
      </c>
      <c r="E16257" s="8">
        <v>0</v>
      </c>
      <c r="F16257" s="8">
        <v>243</v>
      </c>
    </row>
    <row r="16258" spans="1:6" ht="12.75">
      <c r="A16258" s="8">
        <v>43897.438460648147</v>
      </c>
      <c r="B16258" s="8" t="str">
        <f>HYPERLINK("https://twitter.com/agsariii","@agsariii")</f>
        <v>@agsariii</v>
      </c>
      <c r="C16258" s="8" t="s">
        <v>6649</v>
      </c>
      <c r="D16258" s="8">
        <v>0</v>
      </c>
      <c r="E16258" s="8">
        <v>0</v>
      </c>
      <c r="F16258" s="8">
        <v>8</v>
      </c>
    </row>
    <row r="16259" spans="1:6" ht="12.75">
      <c r="A16259" s="8">
        <v>43897.43813657407</v>
      </c>
      <c r="B16259" s="8" t="str">
        <f>HYPERLINK("https://twitter.com/_thure","@_thure")</f>
        <v>@_thure</v>
      </c>
      <c r="C16259" s="8" t="s">
        <v>6650</v>
      </c>
      <c r="D16259" s="8">
        <v>0</v>
      </c>
      <c r="E16259" s="8">
        <v>0</v>
      </c>
      <c r="F16259" s="8">
        <v>471</v>
      </c>
    </row>
    <row r="16260" spans="1:6" ht="12.75">
      <c r="A16260" s="8">
        <v>43897.436851851853</v>
      </c>
      <c r="B16260" s="8" t="str">
        <f>HYPERLINK("https://twitter.com/hanyaSheehan","@hanyaSheehan")</f>
        <v>@hanyaSheehan</v>
      </c>
      <c r="C16260" s="8" t="s">
        <v>6651</v>
      </c>
      <c r="D16260" s="8">
        <v>0</v>
      </c>
      <c r="E16260" s="8">
        <v>0</v>
      </c>
      <c r="F16260" s="8">
        <v>1128</v>
      </c>
    </row>
    <row r="16261" spans="1:6" ht="12.75">
      <c r="A16261" s="8">
        <v>43897.436377314814</v>
      </c>
      <c r="B16261" s="8" t="str">
        <f>HYPERLINK("https://twitter.com/Bermartabat3","@Bermartabat3")</f>
        <v>@Bermartabat3</v>
      </c>
      <c r="C16261" s="8" t="s">
        <v>3743</v>
      </c>
      <c r="D16261" s="8">
        <v>573</v>
      </c>
      <c r="E16261" s="8">
        <v>0</v>
      </c>
      <c r="F16261" s="8">
        <v>224</v>
      </c>
    </row>
    <row r="16262" spans="1:6" ht="12.75">
      <c r="A16262" s="8">
        <v>43897.436099537037</v>
      </c>
      <c r="B16262" s="8" t="str">
        <f>HYPERLINK("https://twitter.com/laras_aw","@laras_aw")</f>
        <v>@laras_aw</v>
      </c>
      <c r="C16262" s="8" t="s">
        <v>6652</v>
      </c>
      <c r="D16262" s="8">
        <v>0</v>
      </c>
      <c r="E16262" s="8">
        <v>0</v>
      </c>
      <c r="F16262" s="8">
        <v>566</v>
      </c>
    </row>
    <row r="16263" spans="1:6" ht="12.75">
      <c r="A16263" s="8">
        <v>43897.435046296298</v>
      </c>
      <c r="B16263" s="8" t="str">
        <f>HYPERLINK("https://twitter.com/Apodax","@Apodax")</f>
        <v>@Apodax</v>
      </c>
      <c r="C16263" s="8" t="s">
        <v>4818</v>
      </c>
      <c r="D16263" s="8">
        <v>223</v>
      </c>
      <c r="E16263" s="8">
        <v>0</v>
      </c>
      <c r="F16263" s="8">
        <v>104</v>
      </c>
    </row>
    <row r="16264" spans="1:6" ht="12.75">
      <c r="A16264" s="8">
        <v>43897.434918981482</v>
      </c>
      <c r="B16264" s="8" t="str">
        <f>HYPERLINK("https://twitter.com/KecebongGembul","@KecebongGembul")</f>
        <v>@KecebongGembul</v>
      </c>
      <c r="C16264" s="8" t="s">
        <v>5103</v>
      </c>
      <c r="D16264" s="8">
        <v>179</v>
      </c>
      <c r="E16264" s="8">
        <v>0</v>
      </c>
      <c r="F16264" s="8">
        <v>512</v>
      </c>
    </row>
    <row r="16265" spans="1:6" ht="12.75">
      <c r="A16265" s="8">
        <v>43897.434594907405</v>
      </c>
      <c r="B16265" s="8" t="str">
        <f>HYPERLINK("https://twitter.com/mank_acuh","@mank_acuh")</f>
        <v>@mank_acuh</v>
      </c>
      <c r="C16265" s="8" t="s">
        <v>4175</v>
      </c>
      <c r="D16265" s="8">
        <v>5</v>
      </c>
      <c r="E16265" s="8">
        <v>0</v>
      </c>
      <c r="F16265" s="8">
        <v>57</v>
      </c>
    </row>
    <row r="16266" spans="1:6" ht="12.75">
      <c r="A16266" s="8">
        <v>43897.423483796301</v>
      </c>
      <c r="B16266" s="8" t="str">
        <f>HYPERLINK("https://twitter.com/IswandiMS1","@IswandiMS1")</f>
        <v>@IswandiMS1</v>
      </c>
      <c r="C16266" s="8" t="s">
        <v>3213</v>
      </c>
      <c r="D16266" s="8">
        <v>264</v>
      </c>
      <c r="E16266" s="8">
        <v>0</v>
      </c>
      <c r="F16266" s="8">
        <v>345</v>
      </c>
    </row>
    <row r="16267" spans="1:6" ht="12.75">
      <c r="A16267" s="8">
        <v>43897.42322916667</v>
      </c>
      <c r="B16267" s="8" t="str">
        <f>HYPERLINK("https://twitter.com/tsantosa844","@tsantosa844")</f>
        <v>@tsantosa844</v>
      </c>
      <c r="C16267" s="8" t="s">
        <v>4818</v>
      </c>
      <c r="D16267" s="8">
        <v>216</v>
      </c>
      <c r="E16267" s="8">
        <v>0</v>
      </c>
      <c r="F16267" s="8">
        <v>870</v>
      </c>
    </row>
    <row r="16268" spans="1:6" ht="12.75">
      <c r="A16268" s="8">
        <v>43897.42287037037</v>
      </c>
      <c r="B16268" s="8" t="str">
        <f>HYPERLINK("https://twitter.com/Rahadia81202583","@Rahadia81202583")</f>
        <v>@Rahadia81202583</v>
      </c>
      <c r="C16268" s="8" t="s">
        <v>4818</v>
      </c>
      <c r="D16268" s="8">
        <v>216</v>
      </c>
      <c r="E16268" s="8">
        <v>0</v>
      </c>
      <c r="F16268" s="8">
        <v>7</v>
      </c>
    </row>
    <row r="16269" spans="1:6" ht="12.75">
      <c r="A16269" s="8">
        <v>43897.42251157407</v>
      </c>
      <c r="B16269" s="8" t="str">
        <f>HYPERLINK("https://twitter.com/alyayaal","@alyayaal")</f>
        <v>@alyayaal</v>
      </c>
      <c r="C16269" s="8" t="s">
        <v>2962</v>
      </c>
      <c r="D16269" s="8">
        <v>5687</v>
      </c>
      <c r="E16269" s="8">
        <v>0</v>
      </c>
      <c r="F16269" s="8">
        <v>239</v>
      </c>
    </row>
    <row r="16270" spans="1:6" ht="12.75">
      <c r="A16270" s="8">
        <v>43897.42224537037</v>
      </c>
      <c r="B16270" s="8" t="str">
        <f>HYPERLINK("https://twitter.com/alvinyudistira","@alvinyudistira")</f>
        <v>@alvinyudistira</v>
      </c>
      <c r="C16270" s="8" t="s">
        <v>3743</v>
      </c>
      <c r="D16270" s="8">
        <v>545</v>
      </c>
      <c r="E16270" s="8">
        <v>0</v>
      </c>
      <c r="F16270" s="8">
        <v>12098</v>
      </c>
    </row>
    <row r="16271" spans="1:6" ht="12.75">
      <c r="A16271" s="8">
        <v>43897.4221875</v>
      </c>
      <c r="B16271" s="8" t="str">
        <f>HYPERLINK("https://twitter.com/AhmadSy68236498","@AhmadSy68236498")</f>
        <v>@AhmadSy68236498</v>
      </c>
      <c r="C16271" s="8" t="s">
        <v>3743</v>
      </c>
      <c r="D16271" s="8">
        <v>545</v>
      </c>
      <c r="E16271" s="8">
        <v>0</v>
      </c>
      <c r="F16271" s="8">
        <v>61</v>
      </c>
    </row>
    <row r="16272" spans="1:6" ht="12.75">
      <c r="A16272" s="8">
        <v>43897.422083333338</v>
      </c>
      <c r="B16272" s="8" t="str">
        <f>HYPERLINK("https://twitter.com/One2020Al","@One2020Al")</f>
        <v>@One2020Al</v>
      </c>
      <c r="C16272" s="8" t="s">
        <v>3743</v>
      </c>
      <c r="D16272" s="8">
        <v>545</v>
      </c>
      <c r="E16272" s="8">
        <v>0</v>
      </c>
      <c r="F16272" s="8">
        <v>38</v>
      </c>
    </row>
    <row r="16273" spans="1:6" ht="12.75">
      <c r="A16273" s="8">
        <v>43897.421631944446</v>
      </c>
      <c r="B16273" s="8" t="str">
        <f>HYPERLINK("https://twitter.com/shiningineast","@shiningineast")</f>
        <v>@shiningineast</v>
      </c>
      <c r="C16273" s="8" t="s">
        <v>3213</v>
      </c>
      <c r="D16273" s="8">
        <v>264</v>
      </c>
      <c r="E16273" s="8">
        <v>0</v>
      </c>
      <c r="F16273" s="8">
        <v>1044</v>
      </c>
    </row>
    <row r="16274" spans="1:6" ht="12.75">
      <c r="A16274" s="8">
        <v>43897.421574074076</v>
      </c>
      <c r="B16274" s="8" t="str">
        <f>HYPERLINK("https://twitter.com/addictsdua","@addictsdua")</f>
        <v>@addictsdua</v>
      </c>
      <c r="C16274" s="8" t="s">
        <v>6653</v>
      </c>
      <c r="D16274" s="8">
        <v>1</v>
      </c>
      <c r="E16274" s="8">
        <v>0</v>
      </c>
      <c r="F16274" s="8">
        <v>317</v>
      </c>
    </row>
    <row r="16275" spans="1:6" ht="12.75">
      <c r="A16275" s="8">
        <v>43897.421550925923</v>
      </c>
      <c r="B16275" s="8" t="str">
        <f>HYPERLINK("https://twitter.com/rezonvarian1","@rezonvarian1")</f>
        <v>@rezonvarian1</v>
      </c>
      <c r="C16275" s="8" t="s">
        <v>6654</v>
      </c>
      <c r="D16275" s="8">
        <v>0</v>
      </c>
      <c r="E16275" s="8">
        <v>0</v>
      </c>
      <c r="F16275" s="8">
        <v>0</v>
      </c>
    </row>
    <row r="16276" spans="1:6" ht="12.75">
      <c r="A16276" s="8">
        <v>43897.421458333338</v>
      </c>
      <c r="B16276" s="8" t="str">
        <f>HYPERLINK("https://twitter.com/ikobem77","@ikobem77")</f>
        <v>@ikobem77</v>
      </c>
      <c r="C16276" s="8" t="s">
        <v>3213</v>
      </c>
      <c r="D16276" s="8">
        <v>264</v>
      </c>
      <c r="E16276" s="8">
        <v>0</v>
      </c>
      <c r="F16276" s="8">
        <v>1768</v>
      </c>
    </row>
    <row r="16277" spans="1:6" ht="12.75">
      <c r="A16277" s="8">
        <v>43897.420671296291</v>
      </c>
      <c r="B16277" s="8" t="str">
        <f>HYPERLINK("https://twitter.com/_odetosink","@_odetosink")</f>
        <v>@_odetosink</v>
      </c>
      <c r="C16277" s="8" t="s">
        <v>6655</v>
      </c>
      <c r="D16277" s="8">
        <v>1</v>
      </c>
      <c r="E16277" s="8">
        <v>2</v>
      </c>
      <c r="F16277" s="8">
        <v>1338</v>
      </c>
    </row>
    <row r="16278" spans="1:6" ht="12.75">
      <c r="A16278" s="8">
        <v>43897.420231481483</v>
      </c>
      <c r="B16278" s="8" t="str">
        <f>HYPERLINK("https://twitter.com/AOBBY71","@AOBBY71")</f>
        <v>@AOBBY71</v>
      </c>
      <c r="C16278" s="8" t="s">
        <v>6656</v>
      </c>
      <c r="D16278" s="8">
        <v>259</v>
      </c>
      <c r="E16278" s="8">
        <v>0</v>
      </c>
      <c r="F16278" s="8">
        <v>44</v>
      </c>
    </row>
    <row r="16279" spans="1:6" ht="12.75">
      <c r="A16279" s="8">
        <v>43897.419502314813</v>
      </c>
      <c r="B16279" s="8" t="str">
        <f>HYPERLINK("https://twitter.com/Ruu69598488","@Ruu69598488")</f>
        <v>@Ruu69598488</v>
      </c>
      <c r="C16279" s="8" t="s">
        <v>3213</v>
      </c>
      <c r="D16279" s="8">
        <v>264</v>
      </c>
      <c r="E16279" s="8">
        <v>0</v>
      </c>
      <c r="F16279" s="8">
        <v>387</v>
      </c>
    </row>
    <row r="16280" spans="1:6" ht="12.75">
      <c r="A16280" s="8">
        <v>43897.419444444444</v>
      </c>
      <c r="B16280" s="8" t="str">
        <f>HYPERLINK("https://twitter.com/stefstefdr","@stefstefdr")</f>
        <v>@stefstefdr</v>
      </c>
      <c r="C16280" s="8" t="s">
        <v>3213</v>
      </c>
      <c r="D16280" s="8">
        <v>264</v>
      </c>
      <c r="E16280" s="8">
        <v>0</v>
      </c>
      <c r="F16280" s="8">
        <v>371</v>
      </c>
    </row>
    <row r="16281" spans="1:6" ht="12.75">
      <c r="A16281" s="8">
        <v>43897.419212962966</v>
      </c>
      <c r="B16281" s="8" t="str">
        <f>HYPERLINK("https://twitter.com/ebest07","@ebest07")</f>
        <v>@ebest07</v>
      </c>
      <c r="C16281" s="8" t="s">
        <v>3743</v>
      </c>
      <c r="D16281" s="8">
        <v>545</v>
      </c>
      <c r="E16281" s="8">
        <v>0</v>
      </c>
      <c r="F16281" s="8">
        <v>146</v>
      </c>
    </row>
    <row r="16282" spans="1:6" ht="12.75">
      <c r="A16282" s="8">
        <v>43897.418703703705</v>
      </c>
      <c r="B16282" s="8" t="str">
        <f>HYPERLINK("https://twitter.com/BillTemporo","@BillTemporo")</f>
        <v>@BillTemporo</v>
      </c>
      <c r="C16282" s="8" t="s">
        <v>323</v>
      </c>
      <c r="D16282" s="8">
        <v>0</v>
      </c>
      <c r="E16282" s="8">
        <v>0</v>
      </c>
      <c r="F16282" s="8">
        <v>11</v>
      </c>
    </row>
    <row r="16283" spans="1:6" ht="12.75">
      <c r="A16283" s="8">
        <v>43897.417962962965</v>
      </c>
      <c r="B16283" s="8" t="str">
        <f>HYPERLINK("https://twitter.com/kaitulistiwa","@kaitulistiwa")</f>
        <v>@kaitulistiwa</v>
      </c>
      <c r="C16283" s="8" t="s">
        <v>6657</v>
      </c>
      <c r="D16283" s="8">
        <v>1</v>
      </c>
      <c r="E16283" s="8">
        <v>0</v>
      </c>
      <c r="F16283" s="8">
        <v>120</v>
      </c>
    </row>
    <row r="16284" spans="1:6" ht="12.75">
      <c r="A16284" s="8">
        <v>43897.416435185187</v>
      </c>
      <c r="B16284" s="8" t="str">
        <f>HYPERLINK("https://twitter.com/agoessp","@agoessp")</f>
        <v>@agoessp</v>
      </c>
      <c r="C16284" s="8" t="s">
        <v>4818</v>
      </c>
      <c r="D16284" s="8">
        <v>216</v>
      </c>
      <c r="E16284" s="8">
        <v>0</v>
      </c>
      <c r="F16284" s="8">
        <v>143</v>
      </c>
    </row>
    <row r="16285" spans="1:6" ht="12.75">
      <c r="A16285" s="8">
        <v>43897.416249999995</v>
      </c>
      <c r="B16285" s="8" t="str">
        <f>HYPERLINK("https://twitter.com/denyspam","@denyspam")</f>
        <v>@denyspam</v>
      </c>
      <c r="C16285" s="8" t="s">
        <v>6658</v>
      </c>
      <c r="D16285" s="8">
        <v>0</v>
      </c>
      <c r="E16285" s="8">
        <v>1</v>
      </c>
      <c r="F16285" s="8">
        <v>202</v>
      </c>
    </row>
    <row r="16286" spans="1:6" ht="12.75">
      <c r="A16286" s="8">
        <v>43897.416238425925</v>
      </c>
      <c r="B16286" s="8" t="str">
        <f>HYPERLINK("https://twitter.com/sujudiasta","@sujudiasta")</f>
        <v>@sujudiasta</v>
      </c>
      <c r="C16286" s="8" t="s">
        <v>6659</v>
      </c>
      <c r="D16286" s="8">
        <v>0</v>
      </c>
      <c r="E16286" s="8">
        <v>0</v>
      </c>
      <c r="F16286" s="8">
        <v>22</v>
      </c>
    </row>
    <row r="16287" spans="1:6" ht="12.75">
      <c r="A16287" s="8">
        <v>43897.41574074074</v>
      </c>
      <c r="B16287" s="8" t="str">
        <f>HYPERLINK("https://twitter.com/djoy_ok","@djoy_ok")</f>
        <v>@djoy_ok</v>
      </c>
      <c r="C16287" s="8" t="s">
        <v>3743</v>
      </c>
      <c r="D16287" s="8">
        <v>545</v>
      </c>
      <c r="E16287" s="8">
        <v>0</v>
      </c>
      <c r="F16287" s="8">
        <v>14</v>
      </c>
    </row>
    <row r="16288" spans="1:6" ht="12.75">
      <c r="A16288" s="8">
        <v>43897.415613425925</v>
      </c>
      <c r="B16288" s="8" t="str">
        <f>HYPERLINK("https://twitter.com/Rafaacomenta","@Rafaacomenta")</f>
        <v>@Rafaacomenta</v>
      </c>
      <c r="C16288" s="8" t="s">
        <v>6660</v>
      </c>
      <c r="D16288" s="8">
        <v>0</v>
      </c>
      <c r="E16288" s="8">
        <v>0</v>
      </c>
      <c r="F16288" s="8">
        <v>2644</v>
      </c>
    </row>
    <row r="16289" spans="1:6" ht="12.75">
      <c r="A16289" s="8">
        <v>43897.415104166663</v>
      </c>
      <c r="B16289" s="8" t="str">
        <f>HYPERLINK("https://twitter.com/ahmadsusena","@ahmadsusena")</f>
        <v>@ahmadsusena</v>
      </c>
      <c r="C16289" s="8" t="s">
        <v>3743</v>
      </c>
      <c r="D16289" s="8">
        <v>545</v>
      </c>
      <c r="E16289" s="8">
        <v>0</v>
      </c>
      <c r="F16289" s="8">
        <v>137</v>
      </c>
    </row>
    <row r="16290" spans="1:6" ht="12.75">
      <c r="A16290" s="8">
        <v>43897.414479166662</v>
      </c>
      <c r="B16290" s="8" t="str">
        <f>HYPERLINK("https://twitter.com/CS_Ramdhani","@CS_Ramdhani")</f>
        <v>@CS_Ramdhani</v>
      </c>
      <c r="C16290" s="8" t="s">
        <v>4818</v>
      </c>
      <c r="D16290" s="8">
        <v>216</v>
      </c>
      <c r="E16290" s="8">
        <v>0</v>
      </c>
      <c r="F16290" s="8">
        <v>363</v>
      </c>
    </row>
    <row r="16291" spans="1:6" ht="12.75">
      <c r="A16291" s="8">
        <v>43897.413530092592</v>
      </c>
      <c r="B16291" s="8" t="str">
        <f>HYPERLINK("https://twitter.com/Mario_Deo","@Mario_Deo")</f>
        <v>@Mario_Deo</v>
      </c>
      <c r="C16291" s="8" t="s">
        <v>5704</v>
      </c>
      <c r="D16291" s="8">
        <v>5</v>
      </c>
      <c r="E16291" s="8">
        <v>0</v>
      </c>
      <c r="F16291" s="8">
        <v>211</v>
      </c>
    </row>
    <row r="16292" spans="1:6" ht="12.75">
      <c r="A16292" s="8">
        <v>43897.41333333333</v>
      </c>
      <c r="B16292" s="8" t="str">
        <f>HYPERLINK("https://twitter.com/cadarmerah","@cadarmerah")</f>
        <v>@cadarmerah</v>
      </c>
      <c r="C16292" s="8" t="s">
        <v>6661</v>
      </c>
      <c r="D16292" s="8">
        <v>223</v>
      </c>
      <c r="E16292" s="8">
        <v>0</v>
      </c>
      <c r="F16292" s="8">
        <v>5663</v>
      </c>
    </row>
    <row r="16293" spans="1:6" ht="12.75">
      <c r="A16293" s="8">
        <v>43897.412766203706</v>
      </c>
      <c r="B16293" s="8" t="str">
        <f>HYPERLINK("https://twitter.com/anandaargh","@anandaargh")</f>
        <v>@anandaargh</v>
      </c>
      <c r="C16293" s="8" t="s">
        <v>1318</v>
      </c>
      <c r="D16293" s="8">
        <v>23224</v>
      </c>
      <c r="E16293" s="8">
        <v>0</v>
      </c>
      <c r="F16293" s="8">
        <v>807</v>
      </c>
    </row>
    <row r="16294" spans="1:6" ht="12.75">
      <c r="A16294" s="8">
        <v>43897.412615740745</v>
      </c>
      <c r="B16294" s="8" t="str">
        <f>HYPERLINK("https://twitter.com/krishjogja","@krishjogja")</f>
        <v>@krishjogja</v>
      </c>
      <c r="C16294" s="8" t="s">
        <v>5934</v>
      </c>
      <c r="D16294" s="8">
        <v>12</v>
      </c>
      <c r="E16294" s="8">
        <v>0</v>
      </c>
      <c r="F16294" s="8">
        <v>320</v>
      </c>
    </row>
    <row r="16295" spans="1:6" ht="12.75">
      <c r="A16295" s="8">
        <v>43897.412499999999</v>
      </c>
      <c r="B16295" s="8" t="str">
        <f>HYPERLINK("https://twitter.com/chsbarack95","@chsbarack95")</f>
        <v>@chsbarack95</v>
      </c>
      <c r="C16295" s="8" t="s">
        <v>6662</v>
      </c>
      <c r="D16295" s="8">
        <v>0</v>
      </c>
      <c r="E16295" s="8">
        <v>1</v>
      </c>
      <c r="F16295" s="8">
        <v>102</v>
      </c>
    </row>
    <row r="16296" spans="1:6" ht="12.75">
      <c r="A16296" s="8">
        <v>43897.412395833337</v>
      </c>
      <c r="B16296" s="8" t="str">
        <f>HYPERLINK("https://twitter.com/Yasinhm6","@Yasinhm6")</f>
        <v>@Yasinhm6</v>
      </c>
      <c r="C16296" s="8" t="s">
        <v>4948</v>
      </c>
      <c r="D16296" s="8">
        <v>98</v>
      </c>
      <c r="E16296" s="8">
        <v>0</v>
      </c>
      <c r="F16296" s="8">
        <v>428</v>
      </c>
    </row>
    <row r="16297" spans="1:6" ht="12.75">
      <c r="A16297" s="8">
        <v>43897.412002314813</v>
      </c>
      <c r="B16297" s="8" t="str">
        <f>HYPERLINK("https://twitter.com/bmbgst","@bmbgst")</f>
        <v>@bmbgst</v>
      </c>
      <c r="C16297" s="8" t="s">
        <v>3743</v>
      </c>
      <c r="D16297" s="8">
        <v>545</v>
      </c>
      <c r="E16297" s="8">
        <v>0</v>
      </c>
      <c r="F16297" s="8">
        <v>599</v>
      </c>
    </row>
    <row r="16298" spans="1:6" ht="12.75">
      <c r="A16298" s="8">
        <v>43897.411296296297</v>
      </c>
      <c r="B16298" s="8" t="str">
        <f>HYPERLINK("https://twitter.com/TwitSibijak","@TwitSibijak")</f>
        <v>@TwitSibijak</v>
      </c>
      <c r="C16298" s="8" t="s">
        <v>6663</v>
      </c>
      <c r="D16298" s="8">
        <v>0</v>
      </c>
      <c r="E16298" s="8">
        <v>1</v>
      </c>
      <c r="F16298" s="8">
        <v>3236</v>
      </c>
    </row>
    <row r="16299" spans="1:6" ht="12.75">
      <c r="A16299" s="8">
        <v>43897.411145833335</v>
      </c>
      <c r="B16299" s="8" t="str">
        <f>HYPERLINK("https://twitter.com/Fas_sya","@Fas_sya")</f>
        <v>@Fas_sya</v>
      </c>
      <c r="C16299" s="8" t="s">
        <v>6664</v>
      </c>
      <c r="D16299" s="8">
        <v>0</v>
      </c>
      <c r="E16299" s="8">
        <v>0</v>
      </c>
      <c r="F16299" s="8">
        <v>247</v>
      </c>
    </row>
    <row r="16300" spans="1:6" ht="12.75">
      <c r="A16300" s="8">
        <v>43897.41106481482</v>
      </c>
      <c r="B16300" s="8" t="str">
        <f>HYPERLINK("https://twitter.com/ArifSaepul5","@ArifSaepul5")</f>
        <v>@ArifSaepul5</v>
      </c>
      <c r="C16300" s="8" t="s">
        <v>3743</v>
      </c>
      <c r="D16300" s="8">
        <v>545</v>
      </c>
      <c r="E16300" s="8">
        <v>0</v>
      </c>
      <c r="F16300" s="8">
        <v>23</v>
      </c>
    </row>
    <row r="16301" spans="1:6" ht="12.75">
      <c r="A16301" s="8">
        <v>43897.410752314812</v>
      </c>
      <c r="B16301" s="8" t="str">
        <f>HYPERLINK("https://twitter.com/Zhongren15","@Zhongren15")</f>
        <v>@Zhongren15</v>
      </c>
      <c r="C16301" s="8" t="s">
        <v>5103</v>
      </c>
      <c r="D16301" s="8">
        <v>175</v>
      </c>
      <c r="E16301" s="8">
        <v>0</v>
      </c>
      <c r="F16301" s="8">
        <v>259</v>
      </c>
    </row>
    <row r="16302" spans="1:6" ht="12.75">
      <c r="A16302" s="8">
        <v>43897.410451388889</v>
      </c>
      <c r="B16302" s="8" t="str">
        <f>HYPERLINK("https://twitter.com/AhmadBasheera","@AhmadBasheera")</f>
        <v>@AhmadBasheera</v>
      </c>
      <c r="C16302" s="8" t="s">
        <v>6665</v>
      </c>
      <c r="D16302" s="8">
        <v>0</v>
      </c>
      <c r="E16302" s="8">
        <v>0</v>
      </c>
      <c r="F16302" s="8">
        <v>2</v>
      </c>
    </row>
    <row r="16303" spans="1:6" ht="12.75">
      <c r="A16303" s="8">
        <v>43897.409560185188</v>
      </c>
      <c r="B16303" s="8" t="str">
        <f>HYPERLINK("https://twitter.com/sikecilmarmut","@sikecilmarmut")</f>
        <v>@sikecilmarmut</v>
      </c>
      <c r="C16303" s="8" t="s">
        <v>6666</v>
      </c>
      <c r="D16303" s="8">
        <v>25</v>
      </c>
      <c r="E16303" s="8">
        <v>0</v>
      </c>
      <c r="F16303" s="8">
        <v>2270</v>
      </c>
    </row>
    <row r="16304" spans="1:6" ht="12.75">
      <c r="A16304" s="8">
        <v>43897.409212962964</v>
      </c>
      <c r="B16304" s="8" t="str">
        <f>HYPERLINK("https://twitter.com/jokbuss","@jokbuss")</f>
        <v>@jokbuss</v>
      </c>
      <c r="C16304" s="8" t="s">
        <v>6667</v>
      </c>
      <c r="D16304" s="8">
        <v>0</v>
      </c>
      <c r="E16304" s="8">
        <v>0</v>
      </c>
      <c r="F16304" s="8">
        <v>49</v>
      </c>
    </row>
    <row r="16305" spans="1:6" ht="12.75">
      <c r="A16305" s="8">
        <v>43897.409120370372</v>
      </c>
      <c r="B16305" s="8" t="str">
        <f>HYPERLINK("https://twitter.com/wbintoro101209","@wbintoro101209")</f>
        <v>@wbintoro101209</v>
      </c>
      <c r="C16305" s="8" t="s">
        <v>6668</v>
      </c>
      <c r="D16305" s="8">
        <v>0</v>
      </c>
      <c r="E16305" s="8">
        <v>0</v>
      </c>
      <c r="F16305" s="8">
        <v>316</v>
      </c>
    </row>
    <row r="16306" spans="1:6" ht="12.75">
      <c r="A16306" s="8">
        <v>43897.408287037033</v>
      </c>
      <c r="B16306" s="8" t="str">
        <f>HYPERLINK("https://twitter.com/NasrizqiMaulana","@NasrizqiMaulana")</f>
        <v>@NasrizqiMaulana</v>
      </c>
      <c r="C16306" s="8" t="s">
        <v>6669</v>
      </c>
      <c r="D16306" s="8">
        <v>2</v>
      </c>
      <c r="E16306" s="8">
        <v>0</v>
      </c>
      <c r="F16306" s="8">
        <v>88</v>
      </c>
    </row>
    <row r="16307" spans="1:6" ht="12.75">
      <c r="A16307" s="8">
        <v>43897.408009259263</v>
      </c>
      <c r="B16307" s="8" t="str">
        <f>HYPERLINK("https://twitter.com/odjat70","@odjat70")</f>
        <v>@odjat70</v>
      </c>
      <c r="C16307" s="8" t="s">
        <v>6670</v>
      </c>
      <c r="D16307" s="8">
        <v>0</v>
      </c>
      <c r="E16307" s="8">
        <v>0</v>
      </c>
      <c r="F16307" s="8">
        <v>80</v>
      </c>
    </row>
    <row r="16308" spans="1:6" ht="12.75">
      <c r="A16308" s="8">
        <v>43897.40797453704</v>
      </c>
      <c r="B16308" s="8" t="str">
        <f>HYPERLINK("https://twitter.com/isgoose","@isgoose")</f>
        <v>@isgoose</v>
      </c>
      <c r="C16308" s="8" t="s">
        <v>6671</v>
      </c>
      <c r="D16308" s="8">
        <v>0</v>
      </c>
      <c r="E16308" s="8">
        <v>0</v>
      </c>
      <c r="F16308" s="8">
        <v>0</v>
      </c>
    </row>
    <row r="16309" spans="1:6" ht="12.75">
      <c r="A16309" s="8">
        <v>43897.407592592594</v>
      </c>
      <c r="B16309" s="8" t="str">
        <f>HYPERLINK("https://twitter.com/tole_nyaku","@tole_nyaku")</f>
        <v>@tole_nyaku</v>
      </c>
      <c r="C16309" s="8" t="s">
        <v>5704</v>
      </c>
      <c r="D16309" s="8">
        <v>5</v>
      </c>
      <c r="E16309" s="8">
        <v>0</v>
      </c>
      <c r="F16309" s="8">
        <v>53</v>
      </c>
    </row>
    <row r="16310" spans="1:6" ht="12.75">
      <c r="A16310" s="8">
        <v>43897.407337962963</v>
      </c>
      <c r="B16310" s="8" t="str">
        <f>HYPERLINK("https://twitter.com/MahinFatavit","@MahinFatavit")</f>
        <v>@MahinFatavit</v>
      </c>
      <c r="C16310" s="8" t="s">
        <v>6661</v>
      </c>
      <c r="D16310" s="8">
        <v>223</v>
      </c>
      <c r="E16310" s="8">
        <v>0</v>
      </c>
      <c r="F16310" s="8">
        <v>6064</v>
      </c>
    </row>
    <row r="16311" spans="1:6" ht="12.75">
      <c r="A16311" s="8">
        <v>43897.407002314816</v>
      </c>
      <c r="B16311" s="8" t="str">
        <f>HYPERLINK("https://twitter.com/sikecilmarmut","@sikecilmarmut")</f>
        <v>@sikecilmarmut</v>
      </c>
      <c r="C16311" s="8" t="s">
        <v>3285</v>
      </c>
      <c r="D16311" s="8">
        <v>182</v>
      </c>
      <c r="E16311" s="8">
        <v>0</v>
      </c>
      <c r="F16311" s="8">
        <v>2270</v>
      </c>
    </row>
    <row r="16312" spans="1:6" ht="12.75">
      <c r="A16312" s="8">
        <v>43897.406759259262</v>
      </c>
      <c r="B16312" s="8" t="str">
        <f>HYPERLINK("https://twitter.com/Adyputrarajash3","@Adyputrarajash3")</f>
        <v>@Adyputrarajash3</v>
      </c>
      <c r="C16312" s="8" t="s">
        <v>3743</v>
      </c>
      <c r="D16312" s="8">
        <v>545</v>
      </c>
      <c r="E16312" s="8">
        <v>0</v>
      </c>
      <c r="F16312" s="8">
        <v>343</v>
      </c>
    </row>
    <row r="16313" spans="1:6" ht="12.75">
      <c r="A16313" s="8">
        <v>43897.406678240739</v>
      </c>
      <c r="B16313" s="8" t="str">
        <f>HYPERLINK("https://twitter.com/RetnoLidwina","@RetnoLidwina")</f>
        <v>@RetnoLidwina</v>
      </c>
      <c r="C16313" s="8" t="s">
        <v>5704</v>
      </c>
      <c r="D16313" s="8">
        <v>5</v>
      </c>
      <c r="E16313" s="8">
        <v>0</v>
      </c>
      <c r="F16313" s="8">
        <v>41</v>
      </c>
    </row>
    <row r="16314" spans="1:6" ht="12.75">
      <c r="A16314" s="8">
        <v>43897.406678240739</v>
      </c>
      <c r="B16314" s="8" t="str">
        <f>HYPERLINK("https://twitter.com/KicauSunyi","@KicauSunyi")</f>
        <v>@KicauSunyi</v>
      </c>
      <c r="C16314" s="8" t="s">
        <v>5934</v>
      </c>
      <c r="D16314" s="8">
        <v>12</v>
      </c>
      <c r="E16314" s="8">
        <v>0</v>
      </c>
      <c r="F16314" s="8">
        <v>3666</v>
      </c>
    </row>
    <row r="16315" spans="1:6" ht="12.75">
      <c r="A16315" s="8">
        <v>43897.406504629631</v>
      </c>
      <c r="B16315" s="8" t="str">
        <f>HYPERLINK("https://twitter.com/bung_dolly","@bung_dolly")</f>
        <v>@bung_dolly</v>
      </c>
      <c r="C16315" s="8" t="s">
        <v>6672</v>
      </c>
      <c r="D16315" s="8">
        <v>0</v>
      </c>
      <c r="E16315" s="8">
        <v>4</v>
      </c>
      <c r="F16315" s="8">
        <v>6774</v>
      </c>
    </row>
    <row r="16316" spans="1:6" ht="12.75">
      <c r="A16316" s="8">
        <v>43897.405497685184</v>
      </c>
      <c r="B16316" s="8" t="str">
        <f>HYPERLINK("https://twitter.com/UnyuBack","@UnyuBack")</f>
        <v>@UnyuBack</v>
      </c>
      <c r="C16316" s="8" t="s">
        <v>4818</v>
      </c>
      <c r="D16316" s="8">
        <v>216</v>
      </c>
      <c r="E16316" s="8">
        <v>0</v>
      </c>
      <c r="F16316" s="8">
        <v>970</v>
      </c>
    </row>
    <row r="16317" spans="1:6" ht="12.75">
      <c r="A16317" s="8">
        <v>43897.404594907406</v>
      </c>
      <c r="B16317" s="8" t="str">
        <f>HYPERLINK("https://twitter.com/lalaki_langit83","@lalaki_langit83")</f>
        <v>@lalaki_langit83</v>
      </c>
      <c r="C16317" s="8" t="s">
        <v>3743</v>
      </c>
      <c r="D16317" s="8">
        <v>545</v>
      </c>
      <c r="E16317" s="8">
        <v>0</v>
      </c>
      <c r="F16317" s="8">
        <v>473</v>
      </c>
    </row>
    <row r="16318" spans="1:6" ht="12.75">
      <c r="A16318" s="8">
        <v>43897.404340277775</v>
      </c>
      <c r="B16318" s="8" t="str">
        <f>HYPERLINK("https://twitter.com/dewi_darmawati","@dewi_darmawati")</f>
        <v>@dewi_darmawati</v>
      </c>
      <c r="C16318" s="8" t="s">
        <v>5704</v>
      </c>
      <c r="D16318" s="8">
        <v>5</v>
      </c>
      <c r="E16318" s="8">
        <v>0</v>
      </c>
      <c r="F16318" s="8">
        <v>4403</v>
      </c>
    </row>
    <row r="16319" spans="1:6" ht="12.75">
      <c r="A16319" s="8">
        <v>43897.404131944444</v>
      </c>
      <c r="B16319" s="8" t="str">
        <f>HYPERLINK("https://twitter.com/ice_mariati","@ice_mariati")</f>
        <v>@ice_mariati</v>
      </c>
      <c r="C16319" s="8" t="s">
        <v>4818</v>
      </c>
      <c r="D16319" s="8">
        <v>216</v>
      </c>
      <c r="E16319" s="8">
        <v>0</v>
      </c>
      <c r="F16319" s="8">
        <v>213</v>
      </c>
    </row>
    <row r="16320" spans="1:6" ht="12.75">
      <c r="A16320" s="8">
        <v>43897.403958333336</v>
      </c>
      <c r="B16320" s="8" t="str">
        <f>HYPERLINK("https://twitter.com/Hade_Grande","@Hade_Grande")</f>
        <v>@Hade_Grande</v>
      </c>
      <c r="C16320" s="8" t="s">
        <v>3743</v>
      </c>
      <c r="D16320" s="8">
        <v>545</v>
      </c>
      <c r="E16320" s="8">
        <v>0</v>
      </c>
      <c r="F16320" s="8">
        <v>527</v>
      </c>
    </row>
    <row r="16321" spans="1:6" ht="12.75">
      <c r="A16321" s="8">
        <v>43897.403831018513</v>
      </c>
      <c r="B16321" s="8" t="str">
        <f>HYPERLINK("https://twitter.com/Katolik_GK","@Katolik_GK")</f>
        <v>@Katolik_GK</v>
      </c>
      <c r="C16321" s="8" t="s">
        <v>6673</v>
      </c>
      <c r="D16321" s="8">
        <v>5</v>
      </c>
      <c r="E16321" s="8">
        <v>9</v>
      </c>
      <c r="F16321" s="8">
        <v>2698</v>
      </c>
    </row>
    <row r="16322" spans="1:6" ht="12.75">
      <c r="A16322" s="8">
        <v>43897.403587962966</v>
      </c>
      <c r="B16322" s="8" t="str">
        <f>HYPERLINK("https://twitter.com/Hin1818","@Hin1818")</f>
        <v>@Hin1818</v>
      </c>
      <c r="C16322" s="8" t="s">
        <v>4818</v>
      </c>
      <c r="D16322" s="8">
        <v>216</v>
      </c>
      <c r="E16322" s="8">
        <v>0</v>
      </c>
      <c r="F16322" s="8">
        <v>343</v>
      </c>
    </row>
    <row r="16323" spans="1:6" ht="12.75">
      <c r="A16323" s="8">
        <v>43897.403553240743</v>
      </c>
      <c r="B16323" s="8" t="str">
        <f>HYPERLINK("https://twitter.com/IswandiMS1","@IswandiMS1")</f>
        <v>@IswandiMS1</v>
      </c>
      <c r="C16323" s="8" t="s">
        <v>4818</v>
      </c>
      <c r="D16323" s="8">
        <v>216</v>
      </c>
      <c r="E16323" s="8">
        <v>0</v>
      </c>
      <c r="F16323" s="8">
        <v>345</v>
      </c>
    </row>
    <row r="16324" spans="1:6" ht="12.75">
      <c r="A16324" s="8">
        <v>43897.402546296296</v>
      </c>
      <c r="B16324" s="8" t="str">
        <f>HYPERLINK("https://twitter.com/Robin_Hood_411","@Robin_Hood_411")</f>
        <v>@Robin_Hood_411</v>
      </c>
      <c r="C16324" s="8" t="s">
        <v>3743</v>
      </c>
      <c r="D16324" s="8">
        <v>545</v>
      </c>
      <c r="E16324" s="8">
        <v>0</v>
      </c>
      <c r="F16324" s="8">
        <v>231</v>
      </c>
    </row>
    <row r="16325" spans="1:6" ht="12.75">
      <c r="A16325" s="8">
        <v>43897.401956018519</v>
      </c>
      <c r="B16325" s="8" t="str">
        <f>HYPERLINK("https://twitter.com/JanuaryFay16","@JanuaryFay16")</f>
        <v>@JanuaryFay16</v>
      </c>
      <c r="C16325" s="8" t="s">
        <v>6661</v>
      </c>
      <c r="D16325" s="8">
        <v>223</v>
      </c>
      <c r="E16325" s="8">
        <v>0</v>
      </c>
      <c r="F16325" s="8">
        <v>423</v>
      </c>
    </row>
    <row r="16326" spans="1:6" ht="12.75">
      <c r="A16326" s="8">
        <v>43897.401932870373</v>
      </c>
      <c r="B16326" s="8" t="str">
        <f>HYPERLINK("https://twitter.com/isgoose","@isgoose")</f>
        <v>@isgoose</v>
      </c>
      <c r="C16326" s="8" t="s">
        <v>6674</v>
      </c>
      <c r="D16326" s="8">
        <v>0</v>
      </c>
      <c r="E16326" s="8">
        <v>0</v>
      </c>
      <c r="F16326" s="8">
        <v>0</v>
      </c>
    </row>
    <row r="16327" spans="1:6" ht="12.75">
      <c r="A16327" s="8">
        <v>43897.401469907403</v>
      </c>
      <c r="B16327" s="8" t="str">
        <f>HYPERLINK("https://twitter.com/Yasinhm6","@Yasinhm6")</f>
        <v>@Yasinhm6</v>
      </c>
      <c r="C16327" s="8" t="s">
        <v>4818</v>
      </c>
      <c r="D16327" s="8">
        <v>216</v>
      </c>
      <c r="E16327" s="8">
        <v>0</v>
      </c>
      <c r="F16327" s="8">
        <v>428</v>
      </c>
    </row>
    <row r="16328" spans="1:6" ht="12.75">
      <c r="A16328" s="8">
        <v>43897.401180555556</v>
      </c>
      <c r="B16328" s="8" t="str">
        <f>HYPERLINK("https://twitter.com/FarelmaxL","@FarelmaxL")</f>
        <v>@FarelmaxL</v>
      </c>
      <c r="C16328" s="8" t="s">
        <v>6675</v>
      </c>
      <c r="D16328" s="8">
        <v>0</v>
      </c>
      <c r="E16328" s="8">
        <v>0</v>
      </c>
      <c r="F16328" s="8">
        <v>1425</v>
      </c>
    </row>
    <row r="16329" spans="1:6" ht="12.75">
      <c r="A16329" s="8">
        <v>43897.400543981479</v>
      </c>
      <c r="B16329" s="8" t="str">
        <f>HYPERLINK("https://twitter.com/PraztPrazt","@PraztPrazt")</f>
        <v>@PraztPrazt</v>
      </c>
      <c r="C16329" s="8" t="s">
        <v>6676</v>
      </c>
      <c r="D16329" s="8">
        <v>0</v>
      </c>
      <c r="E16329" s="8">
        <v>0</v>
      </c>
      <c r="F16329" s="8">
        <v>44</v>
      </c>
    </row>
    <row r="16330" spans="1:6" ht="12.75">
      <c r="A16330" s="8">
        <v>43897.40006944444</v>
      </c>
      <c r="B16330" s="8" t="str">
        <f>HYPERLINK("https://twitter.com/FarelmaxL","@FarelmaxL")</f>
        <v>@FarelmaxL</v>
      </c>
      <c r="C16330" s="8" t="s">
        <v>3213</v>
      </c>
      <c r="D16330" s="8">
        <v>264</v>
      </c>
      <c r="E16330" s="8">
        <v>0</v>
      </c>
      <c r="F16330" s="8">
        <v>1425</v>
      </c>
    </row>
    <row r="16331" spans="1:6" ht="12.75">
      <c r="A16331" s="8">
        <v>43897.400046296301</v>
      </c>
      <c r="B16331" s="8" t="str">
        <f>HYPERLINK("https://twitter.com/Wanc_15M4_69","@Wanc_15M4_69")</f>
        <v>@Wanc_15M4_69</v>
      </c>
      <c r="C16331" s="8" t="s">
        <v>6677</v>
      </c>
      <c r="D16331" s="8">
        <v>0</v>
      </c>
      <c r="E16331" s="8">
        <v>0</v>
      </c>
      <c r="F16331" s="8">
        <v>21</v>
      </c>
    </row>
    <row r="16332" spans="1:6" ht="12.75">
      <c r="A16332" s="8">
        <v>43897.400034722217</v>
      </c>
      <c r="B16332" s="8" t="str">
        <f>HYPERLINK("https://twitter.com/ronindrawan","@ronindrawan")</f>
        <v>@ronindrawan</v>
      </c>
      <c r="C16332" s="8" t="s">
        <v>3213</v>
      </c>
      <c r="D16332" s="8">
        <v>264</v>
      </c>
      <c r="E16332" s="8">
        <v>0</v>
      </c>
      <c r="F16332" s="8">
        <v>732</v>
      </c>
    </row>
    <row r="16333" spans="1:6" ht="12.75">
      <c r="A16333" s="8">
        <v>43897.398587962962</v>
      </c>
      <c r="B16333" s="8" t="str">
        <f>HYPERLINK("https://twitter.com/mbok_ndoro","@mbok_ndoro")</f>
        <v>@mbok_ndoro</v>
      </c>
      <c r="C16333" s="8" t="s">
        <v>6678</v>
      </c>
      <c r="D16333" s="8">
        <v>0</v>
      </c>
      <c r="E16333" s="8">
        <v>0</v>
      </c>
      <c r="F16333" s="8">
        <v>1111</v>
      </c>
    </row>
    <row r="16334" spans="1:6" ht="12.75">
      <c r="A16334" s="8">
        <v>43897.398564814815</v>
      </c>
      <c r="B16334" s="8" t="str">
        <f>HYPERLINK("https://twitter.com/germantantra","@germantantra")</f>
        <v>@germantantra</v>
      </c>
      <c r="C16334" s="8" t="s">
        <v>3213</v>
      </c>
      <c r="D16334" s="8">
        <v>264</v>
      </c>
      <c r="E16334" s="8">
        <v>0</v>
      </c>
      <c r="F16334" s="8">
        <v>159</v>
      </c>
    </row>
    <row r="16335" spans="1:6" ht="12.75">
      <c r="A16335" s="8">
        <v>43897.397916666669</v>
      </c>
      <c r="B16335" s="8" t="str">
        <f>HYPERLINK("https://twitter.com/ahmad_chm","@ahmad_chm")</f>
        <v>@ahmad_chm</v>
      </c>
      <c r="C16335" s="8" t="s">
        <v>3743</v>
      </c>
      <c r="D16335" s="8">
        <v>545</v>
      </c>
      <c r="E16335" s="8">
        <v>0</v>
      </c>
      <c r="F16335" s="8">
        <v>1917</v>
      </c>
    </row>
    <row r="16336" spans="1:6" ht="12.75">
      <c r="A16336" s="8">
        <v>43897.397511574076</v>
      </c>
      <c r="B16336" s="8" t="str">
        <f>HYPERLINK("https://twitter.com/BillTemporo","@BillTemporo")</f>
        <v>@BillTemporo</v>
      </c>
      <c r="C16336" s="8" t="s">
        <v>355</v>
      </c>
      <c r="D16336" s="8">
        <v>0</v>
      </c>
      <c r="E16336" s="8">
        <v>0</v>
      </c>
      <c r="F16336" s="8">
        <v>11</v>
      </c>
    </row>
    <row r="16337" spans="1:6" ht="12.75">
      <c r="A16337" s="8">
        <v>43897.397233796291</v>
      </c>
      <c r="B16337" s="8" t="str">
        <f>HYPERLINK("https://twitter.com/_monicapus","@_monicapus")</f>
        <v>@_monicapus</v>
      </c>
      <c r="C16337" s="8" t="s">
        <v>6419</v>
      </c>
      <c r="D16337" s="8">
        <v>3</v>
      </c>
      <c r="E16337" s="8">
        <v>0</v>
      </c>
      <c r="F16337" s="8">
        <v>14</v>
      </c>
    </row>
    <row r="16338" spans="1:6" ht="12.75">
      <c r="A16338" s="8">
        <v>43897.396898148145</v>
      </c>
      <c r="B16338" s="8" t="str">
        <f>HYPERLINK("https://twitter.com/AmadUten","@AmadUten")</f>
        <v>@AmadUten</v>
      </c>
      <c r="C16338" s="8" t="s">
        <v>3743</v>
      </c>
      <c r="D16338" s="8">
        <v>545</v>
      </c>
      <c r="E16338" s="8">
        <v>0</v>
      </c>
      <c r="F16338" s="8">
        <v>114</v>
      </c>
    </row>
    <row r="16339" spans="1:6" ht="12.75">
      <c r="A16339" s="8">
        <v>43897.396354166667</v>
      </c>
      <c r="B16339" s="8" t="str">
        <f>HYPERLINK("https://twitter.com/GatoLoc01284640","@GatoLoc01284640")</f>
        <v>@GatoLoc01284640</v>
      </c>
      <c r="C16339" s="8" t="s">
        <v>6679</v>
      </c>
      <c r="D16339" s="8">
        <v>0</v>
      </c>
      <c r="E16339" s="8">
        <v>0</v>
      </c>
      <c r="F16339" s="8">
        <v>0</v>
      </c>
    </row>
    <row r="16340" spans="1:6" ht="12.75">
      <c r="A16340" s="8">
        <v>43897.396053240736</v>
      </c>
      <c r="B16340" s="8" t="str">
        <f>HYPERLINK("https://twitter.com/bejocyber","@bejocyber")</f>
        <v>@bejocyber</v>
      </c>
      <c r="C16340" s="8" t="s">
        <v>6680</v>
      </c>
      <c r="D16340" s="8">
        <v>0</v>
      </c>
      <c r="E16340" s="8">
        <v>0</v>
      </c>
      <c r="F16340" s="8">
        <v>227</v>
      </c>
    </row>
    <row r="16341" spans="1:6" ht="12.75">
      <c r="A16341" s="8">
        <v>43897.395925925928</v>
      </c>
      <c r="B16341" s="8" t="str">
        <f>HYPERLINK("https://twitter.com/aryacokronegoro","@aryacokronegoro")</f>
        <v>@aryacokronegoro</v>
      </c>
      <c r="C16341" s="8" t="s">
        <v>6681</v>
      </c>
      <c r="D16341" s="8">
        <v>1</v>
      </c>
      <c r="E16341" s="8">
        <v>0</v>
      </c>
      <c r="F16341" s="8">
        <v>437</v>
      </c>
    </row>
    <row r="16342" spans="1:6" ht="12.75">
      <c r="A16342" s="8">
        <v>43897.395879629628</v>
      </c>
      <c r="B16342" s="8" t="str">
        <f>HYPERLINK("https://twitter.com/umi_zahraa","@umi_zahraa")</f>
        <v>@umi_zahraa</v>
      </c>
      <c r="C16342" s="8" t="s">
        <v>6682</v>
      </c>
      <c r="D16342" s="8">
        <v>1</v>
      </c>
      <c r="E16342" s="8">
        <v>4</v>
      </c>
      <c r="F16342" s="8">
        <v>633</v>
      </c>
    </row>
    <row r="16343" spans="1:6" ht="12.75">
      <c r="A16343" s="8">
        <v>43897.39539351852</v>
      </c>
      <c r="B16343" s="8" t="str">
        <f>HYPERLINK("https://twitter.com/Wanc_15M4_69","@Wanc_15M4_69")</f>
        <v>@Wanc_15M4_69</v>
      </c>
      <c r="C16343" s="8" t="s">
        <v>6683</v>
      </c>
      <c r="D16343" s="8">
        <v>0</v>
      </c>
      <c r="E16343" s="8">
        <v>0</v>
      </c>
      <c r="F16343" s="8">
        <v>21</v>
      </c>
    </row>
    <row r="16344" spans="1:6" ht="12.75">
      <c r="A16344" s="8">
        <v>43897.395138888889</v>
      </c>
      <c r="B16344" s="8" t="str">
        <f>HYPERLINK("https://twitter.com/chuentoi","@chuentoi")</f>
        <v>@chuentoi</v>
      </c>
      <c r="C16344" s="8" t="s">
        <v>6684</v>
      </c>
      <c r="D16344" s="8">
        <v>1</v>
      </c>
      <c r="E16344" s="8">
        <v>1</v>
      </c>
      <c r="F16344" s="8">
        <v>2</v>
      </c>
    </row>
    <row r="16345" spans="1:6" ht="12.75">
      <c r="A16345" s="8">
        <v>43897.394895833335</v>
      </c>
      <c r="B16345" s="8" t="str">
        <f>HYPERLINK("https://twitter.com/TwinRoyaLiwa","@TwinRoyaLiwa")</f>
        <v>@TwinRoyaLiwa</v>
      </c>
      <c r="C16345" s="8" t="s">
        <v>3743</v>
      </c>
      <c r="D16345" s="8">
        <v>545</v>
      </c>
      <c r="E16345" s="8">
        <v>0</v>
      </c>
      <c r="F16345" s="8">
        <v>384</v>
      </c>
    </row>
    <row r="16346" spans="1:6" ht="12.75">
      <c r="A16346" s="8">
        <v>43897.394560185188</v>
      </c>
      <c r="B16346" s="8" t="str">
        <f>HYPERLINK("https://twitter.com/anti_vir_corona","@anti_vir_corona")</f>
        <v>@anti_vir_corona</v>
      </c>
      <c r="C16346" s="8" t="s">
        <v>6685</v>
      </c>
      <c r="D16346" s="8">
        <v>0</v>
      </c>
      <c r="E16346" s="8">
        <v>0</v>
      </c>
      <c r="F16346" s="8">
        <v>279</v>
      </c>
    </row>
    <row r="16347" spans="1:6" ht="12.75">
      <c r="A16347" s="8">
        <v>43897.394548611112</v>
      </c>
      <c r="B16347" s="8" t="str">
        <f>HYPERLINK("https://twitter.com/beslar_franklin","@beslar_franklin")</f>
        <v>@beslar_franklin</v>
      </c>
      <c r="C16347" s="8" t="s">
        <v>6686</v>
      </c>
      <c r="D16347" s="8">
        <v>0</v>
      </c>
      <c r="E16347" s="8">
        <v>0</v>
      </c>
      <c r="F16347" s="8">
        <v>34</v>
      </c>
    </row>
    <row r="16348" spans="1:6" ht="12.75">
      <c r="A16348" s="8">
        <v>43897.393784722226</v>
      </c>
      <c r="B16348" s="8" t="str">
        <f>HYPERLINK("https://twitter.com/loekistraik","@loekistraik")</f>
        <v>@loekistraik</v>
      </c>
      <c r="C16348" s="8" t="s">
        <v>3213</v>
      </c>
      <c r="D16348" s="8">
        <v>264</v>
      </c>
      <c r="E16348" s="8">
        <v>0</v>
      </c>
      <c r="F16348" s="8">
        <v>269</v>
      </c>
    </row>
    <row r="16349" spans="1:6" ht="12.75">
      <c r="A16349" s="8">
        <v>43897.393252314811</v>
      </c>
      <c r="B16349" s="8" t="str">
        <f>HYPERLINK("https://twitter.com/Eryiskandar5","@Eryiskandar5")</f>
        <v>@Eryiskandar5</v>
      </c>
      <c r="C16349" s="8" t="s">
        <v>3743</v>
      </c>
      <c r="D16349" s="8">
        <v>545</v>
      </c>
      <c r="E16349" s="8">
        <v>0</v>
      </c>
      <c r="F16349" s="8">
        <v>77</v>
      </c>
    </row>
    <row r="16350" spans="1:6" ht="12.75">
      <c r="A16350" s="8">
        <v>43897.392881944441</v>
      </c>
      <c r="B16350" s="8" t="str">
        <f>HYPERLINK("https://twitter.com/curup_online","@curup_online")</f>
        <v>@curup_online</v>
      </c>
      <c r="C16350" s="8" t="s">
        <v>6687</v>
      </c>
      <c r="D16350" s="8">
        <v>1</v>
      </c>
      <c r="E16350" s="8">
        <v>0</v>
      </c>
      <c r="F16350" s="8">
        <v>4664</v>
      </c>
    </row>
    <row r="16351" spans="1:6" ht="12.75">
      <c r="A16351" s="8">
        <v>43897.392442129625</v>
      </c>
      <c r="B16351" s="8" t="str">
        <f>HYPERLINK("https://twitter.com/Julieette99","@Julieette99")</f>
        <v>@Julieette99</v>
      </c>
      <c r="C16351" s="8" t="s">
        <v>6688</v>
      </c>
      <c r="D16351" s="8">
        <v>0</v>
      </c>
      <c r="E16351" s="8">
        <v>1</v>
      </c>
      <c r="F16351" s="8">
        <v>17</v>
      </c>
    </row>
    <row r="16352" spans="1:6" ht="12.75">
      <c r="A16352" s="8">
        <v>43897.392384259263</v>
      </c>
      <c r="B16352" s="8" t="str">
        <f>HYPERLINK("https://twitter.com/katakinidotcom","@katakinidotcom")</f>
        <v>@katakinidotcom</v>
      </c>
      <c r="C16352" s="8" t="s">
        <v>6689</v>
      </c>
      <c r="D16352" s="8">
        <v>0</v>
      </c>
      <c r="E16352" s="8">
        <v>0</v>
      </c>
      <c r="F16352" s="8">
        <v>572</v>
      </c>
    </row>
    <row r="16353" spans="1:6" ht="12.75">
      <c r="A16353" s="8">
        <v>43897.391388888893</v>
      </c>
      <c r="B16353" s="8" t="str">
        <f>HYPERLINK("https://twitter.com/apokang","@apokang")</f>
        <v>@apokang</v>
      </c>
      <c r="C16353" s="8" t="s">
        <v>6690</v>
      </c>
      <c r="D16353" s="8">
        <v>9</v>
      </c>
      <c r="E16353" s="8">
        <v>0</v>
      </c>
      <c r="F16353" s="8">
        <v>985</v>
      </c>
    </row>
    <row r="16354" spans="1:6" ht="12.75">
      <c r="A16354" s="8">
        <v>43897.391365740739</v>
      </c>
      <c r="B16354" s="8" t="str">
        <f>HYPERLINK("https://twitter.com/Darmalik3","@Darmalik3")</f>
        <v>@Darmalik3</v>
      </c>
      <c r="C16354" s="8" t="s">
        <v>6691</v>
      </c>
      <c r="D16354" s="8">
        <v>3</v>
      </c>
      <c r="E16354" s="8">
        <v>0</v>
      </c>
      <c r="F16354" s="8">
        <v>1731</v>
      </c>
    </row>
    <row r="16355" spans="1:6" ht="12.75">
      <c r="A16355" s="8">
        <v>43897.391006944439</v>
      </c>
      <c r="B16355" s="8" t="str">
        <f>HYPERLINK("https://twitter.com/vie_kusuma","@vie_kusuma")</f>
        <v>@vie_kusuma</v>
      </c>
      <c r="C16355" s="8" t="s">
        <v>6692</v>
      </c>
      <c r="D16355" s="8">
        <v>0</v>
      </c>
      <c r="E16355" s="8">
        <v>1</v>
      </c>
      <c r="F16355" s="8">
        <v>1647</v>
      </c>
    </row>
    <row r="16356" spans="1:6" ht="12.75">
      <c r="A16356" s="8">
        <v>43897.390462962961</v>
      </c>
      <c r="B16356" s="8" t="str">
        <f>HYPERLINK("https://twitter.com/VineAde","@VineAde")</f>
        <v>@VineAde</v>
      </c>
      <c r="C16356" s="8" t="s">
        <v>6693</v>
      </c>
      <c r="D16356" s="8">
        <v>0</v>
      </c>
      <c r="E16356" s="8">
        <v>0</v>
      </c>
      <c r="F16356" s="8">
        <v>2806</v>
      </c>
    </row>
    <row r="16357" spans="1:6" ht="12.75">
      <c r="A16357" s="8">
        <v>43897.39025462963</v>
      </c>
      <c r="B16357" s="8" t="str">
        <f>HYPERLINK("https://twitter.com/MyBagaspati","@MyBagaspati")</f>
        <v>@MyBagaspati</v>
      </c>
      <c r="C16357" s="8" t="s">
        <v>6694</v>
      </c>
      <c r="D16357" s="8">
        <v>0</v>
      </c>
      <c r="E16357" s="8">
        <v>1</v>
      </c>
      <c r="F16357" s="8">
        <v>2289</v>
      </c>
    </row>
    <row r="16358" spans="1:6" ht="12.75">
      <c r="A16358" s="8">
        <v>43897.390150462961</v>
      </c>
      <c r="B16358" s="8" t="str">
        <f>HYPERLINK("https://twitter.com/Semar_2","@Semar_2")</f>
        <v>@Semar_2</v>
      </c>
      <c r="C16358" s="8" t="s">
        <v>6695</v>
      </c>
      <c r="D16358" s="8">
        <v>1</v>
      </c>
      <c r="E16358" s="8">
        <v>0</v>
      </c>
      <c r="F16358" s="8">
        <v>224</v>
      </c>
    </row>
    <row r="16359" spans="1:6" ht="12.75">
      <c r="A16359" s="8">
        <v>43897.390057870369</v>
      </c>
      <c r="B16359" s="8" t="str">
        <f>HYPERLINK("https://twitter.com/HarbanganH","@HarbanganH")</f>
        <v>@HarbanganH</v>
      </c>
      <c r="C16359" s="8" t="s">
        <v>3213</v>
      </c>
      <c r="D16359" s="8">
        <v>264</v>
      </c>
      <c r="E16359" s="8">
        <v>0</v>
      </c>
      <c r="F16359" s="8">
        <v>80</v>
      </c>
    </row>
    <row r="16360" spans="1:6" ht="12.75">
      <c r="A16360" s="8">
        <v>43897.389664351853</v>
      </c>
      <c r="B16360" s="8" t="str">
        <f>HYPERLINK("https://twitter.com/YudaAriyanto9","@YudaAriyanto9")</f>
        <v>@YudaAriyanto9</v>
      </c>
      <c r="C16360" s="8" t="s">
        <v>4818</v>
      </c>
      <c r="D16360" s="8">
        <v>216</v>
      </c>
      <c r="E16360" s="8">
        <v>0</v>
      </c>
      <c r="F16360" s="8">
        <v>47</v>
      </c>
    </row>
    <row r="16361" spans="1:6" ht="12.75">
      <c r="A16361" s="8">
        <v>43897.389328703706</v>
      </c>
      <c r="B16361" s="8" t="str">
        <f>HYPERLINK("https://twitter.com/0m_Sugeng","@0m_Sugeng")</f>
        <v>@0m_Sugeng</v>
      </c>
      <c r="C16361" s="8" t="s">
        <v>3743</v>
      </c>
      <c r="D16361" s="8">
        <v>545</v>
      </c>
      <c r="E16361" s="8">
        <v>0</v>
      </c>
      <c r="F16361" s="8">
        <v>68</v>
      </c>
    </row>
    <row r="16362" spans="1:6" ht="12.75">
      <c r="A16362" s="8">
        <v>43897.388969907406</v>
      </c>
      <c r="B16362" s="8" t="str">
        <f>HYPERLINK("https://twitter.com/ce_uneh","@ce_uneh")</f>
        <v>@ce_uneh</v>
      </c>
      <c r="C16362" s="8" t="s">
        <v>3743</v>
      </c>
      <c r="D16362" s="8">
        <v>545</v>
      </c>
      <c r="E16362" s="8">
        <v>0</v>
      </c>
      <c r="F16362" s="8">
        <v>300</v>
      </c>
    </row>
    <row r="16363" spans="1:6" ht="12.75">
      <c r="A16363" s="8">
        <v>43897.388865740737</v>
      </c>
      <c r="B16363" s="8" t="str">
        <f>HYPERLINK("https://twitter.com/hgberry","@hgberry")</f>
        <v>@hgberry</v>
      </c>
      <c r="C16363" s="8" t="s">
        <v>4818</v>
      </c>
      <c r="D16363" s="8">
        <v>216</v>
      </c>
      <c r="E16363" s="8">
        <v>0</v>
      </c>
      <c r="F16363" s="8">
        <v>1657</v>
      </c>
    </row>
    <row r="16364" spans="1:6" ht="12.75">
      <c r="A16364" s="8">
        <v>43897.388113425928</v>
      </c>
      <c r="B16364" s="8" t="str">
        <f>HYPERLINK("https://twitter.com/isis_artusi","@isis_artusi")</f>
        <v>@isis_artusi</v>
      </c>
      <c r="C16364" s="8" t="s">
        <v>6696</v>
      </c>
      <c r="D16364" s="8">
        <v>0</v>
      </c>
      <c r="E16364" s="8">
        <v>1</v>
      </c>
      <c r="F16364" s="8">
        <v>923</v>
      </c>
    </row>
    <row r="16365" spans="1:6" ht="12.75">
      <c r="A16365" s="8">
        <v>43897.38789351852</v>
      </c>
      <c r="B16365" s="8" t="str">
        <f>HYPERLINK("https://twitter.com/albucacrvg","@albucacrvg")</f>
        <v>@albucacrvg</v>
      </c>
      <c r="C16365" s="8" t="s">
        <v>6697</v>
      </c>
      <c r="D16365" s="8">
        <v>0</v>
      </c>
      <c r="E16365" s="8">
        <v>0</v>
      </c>
      <c r="F16365" s="8">
        <v>813</v>
      </c>
    </row>
    <row r="16366" spans="1:6" ht="12.75">
      <c r="A16366" s="8">
        <v>43897.381620370375</v>
      </c>
      <c r="B16366" s="8" t="str">
        <f>HYPERLINK("https://twitter.com/rawkbastard","@rawkbastard")</f>
        <v>@rawkbastard</v>
      </c>
      <c r="C16366" s="8" t="s">
        <v>4818</v>
      </c>
      <c r="D16366" s="8">
        <v>203</v>
      </c>
      <c r="E16366" s="8">
        <v>0</v>
      </c>
      <c r="F16366" s="8">
        <v>240</v>
      </c>
    </row>
    <row r="16367" spans="1:6" ht="12.75">
      <c r="A16367" s="8">
        <v>43897.381608796291</v>
      </c>
      <c r="B16367" s="8" t="str">
        <f>HYPERLINK("https://twitter.com/kaban_ben","@kaban_ben")</f>
        <v>@kaban_ben</v>
      </c>
      <c r="C16367" s="8" t="s">
        <v>6698</v>
      </c>
      <c r="D16367" s="8">
        <v>0</v>
      </c>
      <c r="E16367" s="8">
        <v>0</v>
      </c>
      <c r="F16367" s="8">
        <v>71</v>
      </c>
    </row>
    <row r="16368" spans="1:6" ht="12.75">
      <c r="A16368" s="8">
        <v>43897.381053240737</v>
      </c>
      <c r="B16368" s="8" t="str">
        <f>HYPERLINK("https://twitter.com/0m_Senang","@0m_Senang")</f>
        <v>@0m_Senang</v>
      </c>
      <c r="C16368" s="8" t="s">
        <v>6699</v>
      </c>
      <c r="D16368" s="8">
        <v>0</v>
      </c>
      <c r="E16368" s="8">
        <v>0</v>
      </c>
      <c r="F16368" s="8">
        <v>94</v>
      </c>
    </row>
    <row r="16369" spans="1:6" ht="12.75">
      <c r="A16369" s="8">
        <v>43897.380868055552</v>
      </c>
      <c r="B16369" s="8" t="str">
        <f>HYPERLINK("https://twitter.com/Rererefaldi","@Rererefaldi")</f>
        <v>@Rererefaldi</v>
      </c>
      <c r="C16369" s="8" t="s">
        <v>5103</v>
      </c>
      <c r="D16369" s="8">
        <v>174</v>
      </c>
      <c r="E16369" s="8">
        <v>0</v>
      </c>
      <c r="F16369" s="8">
        <v>174</v>
      </c>
    </row>
    <row r="16370" spans="1:6" ht="12.75">
      <c r="A16370" s="8">
        <v>43897.380335648151</v>
      </c>
      <c r="B16370" s="8" t="str">
        <f>HYPERLINK("https://twitter.com/Abah_aljahily","@Abah_aljahily")</f>
        <v>@Abah_aljahily</v>
      </c>
      <c r="C16370" s="8" t="s">
        <v>3743</v>
      </c>
      <c r="D16370" s="8">
        <v>523</v>
      </c>
      <c r="E16370" s="8">
        <v>0</v>
      </c>
      <c r="F16370" s="8">
        <v>104</v>
      </c>
    </row>
    <row r="16371" spans="1:6" ht="12.75">
      <c r="A16371" s="8">
        <v>43897.380162037036</v>
      </c>
      <c r="B16371" s="8" t="str">
        <f>HYPERLINK("https://twitter.com/choleakim","@choleakim")</f>
        <v>@choleakim</v>
      </c>
      <c r="C16371" s="8" t="s">
        <v>6700</v>
      </c>
      <c r="D16371" s="8">
        <v>0</v>
      </c>
      <c r="E16371" s="8">
        <v>0</v>
      </c>
      <c r="F16371" s="8">
        <v>425</v>
      </c>
    </row>
    <row r="16372" spans="1:6" ht="12.75">
      <c r="A16372" s="8">
        <v>43897.379907407405</v>
      </c>
      <c r="B16372" s="8" t="str">
        <f>HYPERLINK("https://twitter.com/shinto__ID","@shinto__ID")</f>
        <v>@shinto__ID</v>
      </c>
      <c r="C16372" s="8" t="s">
        <v>3213</v>
      </c>
      <c r="D16372" s="8">
        <v>246</v>
      </c>
      <c r="E16372" s="8">
        <v>0</v>
      </c>
      <c r="F16372" s="8">
        <v>213</v>
      </c>
    </row>
    <row r="16373" spans="1:6" ht="12.75">
      <c r="A16373" s="8">
        <v>43897.379849537036</v>
      </c>
      <c r="B16373" s="8" t="str">
        <f>HYPERLINK("https://twitter.com/04_adisetiawan","@04_adisetiawan")</f>
        <v>@04_adisetiawan</v>
      </c>
      <c r="C16373" s="8" t="s">
        <v>6701</v>
      </c>
      <c r="D16373" s="8">
        <v>0</v>
      </c>
      <c r="E16373" s="8">
        <v>0</v>
      </c>
      <c r="F16373" s="8">
        <v>208</v>
      </c>
    </row>
    <row r="16374" spans="1:6" ht="12.75">
      <c r="A16374" s="8">
        <v>43897.379837962959</v>
      </c>
      <c r="B16374" s="8" t="str">
        <f>HYPERLINK("https://twitter.com/GerySpto","@GerySpto")</f>
        <v>@GerySpto</v>
      </c>
      <c r="C16374" s="8" t="s">
        <v>6702</v>
      </c>
      <c r="D16374" s="8">
        <v>0</v>
      </c>
      <c r="E16374" s="8">
        <v>0</v>
      </c>
      <c r="F16374" s="8">
        <v>544</v>
      </c>
    </row>
    <row r="16375" spans="1:6" ht="12.75">
      <c r="A16375" s="8">
        <v>43897.379803240736</v>
      </c>
      <c r="B16375" s="8" t="str">
        <f>HYPERLINK("https://twitter.com/reyharlan","@reyharlan")</f>
        <v>@reyharlan</v>
      </c>
      <c r="C16375" s="8" t="s">
        <v>3743</v>
      </c>
      <c r="D16375" s="8">
        <v>523</v>
      </c>
      <c r="E16375" s="8">
        <v>0</v>
      </c>
      <c r="F16375" s="8">
        <v>585</v>
      </c>
    </row>
    <row r="16376" spans="1:6" ht="12.75">
      <c r="A16376" s="8">
        <v>43897.379780092597</v>
      </c>
      <c r="B16376" s="8" t="str">
        <f>HYPERLINK("https://twitter.com/hendra235","@hendra235")</f>
        <v>@hendra235</v>
      </c>
      <c r="C16376" s="8" t="s">
        <v>4818</v>
      </c>
      <c r="D16376" s="8">
        <v>203</v>
      </c>
      <c r="E16376" s="8">
        <v>0</v>
      </c>
      <c r="F16376" s="8">
        <v>293</v>
      </c>
    </row>
    <row r="16377" spans="1:6" ht="12.75">
      <c r="A16377" s="8">
        <v>43897.379409722227</v>
      </c>
      <c r="B16377" s="8" t="str">
        <f>HYPERLINK("https://twitter.com/JSamsyul","@JSamsyul")</f>
        <v>@JSamsyul</v>
      </c>
      <c r="C16377" s="8" t="s">
        <v>3213</v>
      </c>
      <c r="D16377" s="8">
        <v>246</v>
      </c>
      <c r="E16377" s="8">
        <v>0</v>
      </c>
      <c r="F16377" s="8">
        <v>116</v>
      </c>
    </row>
    <row r="16378" spans="1:6" ht="12.75">
      <c r="A16378" s="8">
        <v>43897.379293981481</v>
      </c>
      <c r="B16378" s="8" t="str">
        <f>HYPERLINK("https://twitter.com/Satrio1969","@Satrio1969")</f>
        <v>@Satrio1969</v>
      </c>
      <c r="C16378" s="8" t="s">
        <v>3213</v>
      </c>
      <c r="D16378" s="8">
        <v>246</v>
      </c>
      <c r="E16378" s="8">
        <v>0</v>
      </c>
      <c r="F16378" s="8">
        <v>716</v>
      </c>
    </row>
    <row r="16379" spans="1:6" ht="12.75">
      <c r="A16379" s="8">
        <v>43897.378460648149</v>
      </c>
      <c r="B16379" s="8" t="str">
        <f>HYPERLINK("https://twitter.com/RamanaBudak2","@RamanaBudak2")</f>
        <v>@RamanaBudak2</v>
      </c>
      <c r="C16379" s="8" t="s">
        <v>6439</v>
      </c>
      <c r="D16379" s="8">
        <v>4</v>
      </c>
      <c r="E16379" s="8">
        <v>0</v>
      </c>
      <c r="F16379" s="8">
        <v>106</v>
      </c>
    </row>
    <row r="16380" spans="1:6" ht="12.75">
      <c r="A16380" s="8">
        <v>43897.377638888887</v>
      </c>
      <c r="B16380" s="8" t="str">
        <f>HYPERLINK("https://twitter.com/IdEmbassy_Seoul","@IdEmbassy_Seoul")</f>
        <v>@IdEmbassy_Seoul</v>
      </c>
      <c r="C16380" s="8" t="s">
        <v>6703</v>
      </c>
      <c r="D16380" s="8">
        <v>0</v>
      </c>
      <c r="E16380" s="8">
        <v>0</v>
      </c>
      <c r="F16380" s="8">
        <v>3884</v>
      </c>
    </row>
    <row r="16381" spans="1:6" ht="12.75">
      <c r="A16381" s="8">
        <v>43897.377615740741</v>
      </c>
      <c r="B16381" s="8" t="str">
        <f>HYPERLINK("https://twitter.com/setostabillo","@setostabillo")</f>
        <v>@setostabillo</v>
      </c>
      <c r="C16381" s="8" t="s">
        <v>3743</v>
      </c>
      <c r="D16381" s="8">
        <v>523</v>
      </c>
      <c r="E16381" s="8">
        <v>0</v>
      </c>
      <c r="F16381" s="8">
        <v>273</v>
      </c>
    </row>
    <row r="16382" spans="1:6" ht="12.75">
      <c r="A16382" s="8">
        <v>43897.377500000002</v>
      </c>
      <c r="B16382" s="8" t="str">
        <f>HYPERLINK("https://twitter.com/IdEmbassy_Seoul","@IdEmbassy_Seoul")</f>
        <v>@IdEmbassy_Seoul</v>
      </c>
      <c r="C16382" s="8" t="s">
        <v>6704</v>
      </c>
      <c r="D16382" s="8">
        <v>0</v>
      </c>
      <c r="E16382" s="8">
        <v>0</v>
      </c>
      <c r="F16382" s="8">
        <v>3884</v>
      </c>
    </row>
    <row r="16383" spans="1:6" ht="12.75">
      <c r="A16383" s="8">
        <v>43897.377118055556</v>
      </c>
      <c r="B16383" s="8" t="str">
        <f>HYPERLINK("https://twitter.com/caksoled","@caksoled")</f>
        <v>@caksoled</v>
      </c>
      <c r="C16383" s="8" t="s">
        <v>4818</v>
      </c>
      <c r="D16383" s="8">
        <v>203</v>
      </c>
      <c r="E16383" s="8">
        <v>0</v>
      </c>
      <c r="F16383" s="8">
        <v>23</v>
      </c>
    </row>
    <row r="16384" spans="1:6" ht="12.75">
      <c r="A16384" s="8">
        <v>43897.377106481479</v>
      </c>
      <c r="B16384" s="8" t="str">
        <f>HYPERLINK("https://twitter.com/panjianom102","@panjianom102")</f>
        <v>@panjianom102</v>
      </c>
      <c r="C16384" s="8" t="s">
        <v>4818</v>
      </c>
      <c r="D16384" s="8">
        <v>203</v>
      </c>
      <c r="E16384" s="8">
        <v>0</v>
      </c>
      <c r="F16384" s="8">
        <v>1372</v>
      </c>
    </row>
    <row r="16385" spans="1:6" ht="12.75">
      <c r="A16385" s="8">
        <v>43897.376701388886</v>
      </c>
      <c r="B16385" s="8" t="str">
        <f>HYPERLINK("https://twitter.com/BillTemporo","@BillTemporo")</f>
        <v>@BillTemporo</v>
      </c>
      <c r="C16385" s="8" t="s">
        <v>384</v>
      </c>
      <c r="D16385" s="8">
        <v>0</v>
      </c>
      <c r="E16385" s="8">
        <v>0</v>
      </c>
      <c r="F16385" s="8">
        <v>11</v>
      </c>
    </row>
    <row r="16386" spans="1:6" ht="12.75">
      <c r="A16386" s="8">
        <v>43897.376574074078</v>
      </c>
      <c r="B16386" s="8" t="str">
        <f>HYPERLINK("https://twitter.com/marc_suhendra","@marc_suhendra")</f>
        <v>@marc_suhendra</v>
      </c>
      <c r="C16386" s="8" t="s">
        <v>3213</v>
      </c>
      <c r="D16386" s="8">
        <v>246</v>
      </c>
      <c r="E16386" s="8">
        <v>0</v>
      </c>
      <c r="F16386" s="8">
        <v>3138</v>
      </c>
    </row>
    <row r="16387" spans="1:6" ht="12.75">
      <c r="A16387" s="8">
        <v>43897.376516203702</v>
      </c>
      <c r="B16387" s="8" t="str">
        <f>HYPERLINK("https://twitter.com/Salomogus","@Salomogus")</f>
        <v>@Salomogus</v>
      </c>
      <c r="C16387" s="8" t="s">
        <v>6705</v>
      </c>
      <c r="D16387" s="8">
        <v>0</v>
      </c>
      <c r="E16387" s="8">
        <v>0</v>
      </c>
      <c r="F16387" s="8">
        <v>51</v>
      </c>
    </row>
    <row r="16388" spans="1:6" ht="12.75">
      <c r="A16388" s="8">
        <v>43897.37635416667</v>
      </c>
      <c r="B16388" s="8" t="str">
        <f>HYPERLINK("https://twitter.com/Zra_Ngenge","@Zra_Ngenge")</f>
        <v>@Zra_Ngenge</v>
      </c>
      <c r="C16388" s="8" t="s">
        <v>3743</v>
      </c>
      <c r="D16388" s="8">
        <v>523</v>
      </c>
      <c r="E16388" s="8">
        <v>0</v>
      </c>
      <c r="F16388" s="8">
        <v>210</v>
      </c>
    </row>
    <row r="16389" spans="1:6" ht="12.75">
      <c r="A16389" s="8">
        <v>43897.376250000001</v>
      </c>
      <c r="B16389" s="8" t="str">
        <f>HYPERLINK("https://twitter.com/Thedhan11","@Thedhan11")</f>
        <v>@Thedhan11</v>
      </c>
      <c r="C16389" s="8" t="s">
        <v>6706</v>
      </c>
      <c r="D16389" s="8">
        <v>0</v>
      </c>
      <c r="E16389" s="8">
        <v>0</v>
      </c>
      <c r="F16389" s="8">
        <v>1920</v>
      </c>
    </row>
    <row r="16390" spans="1:6" ht="12.75">
      <c r="A16390" s="8">
        <v>43897.376145833332</v>
      </c>
      <c r="B16390" s="8" t="str">
        <f>HYPERLINK("https://twitter.com/willymfpro","@willymfpro")</f>
        <v>@willymfpro</v>
      </c>
      <c r="C16390" s="8" t="s">
        <v>3213</v>
      </c>
      <c r="D16390" s="8">
        <v>246</v>
      </c>
      <c r="E16390" s="8">
        <v>0</v>
      </c>
      <c r="F16390" s="8">
        <v>5021</v>
      </c>
    </row>
    <row r="16391" spans="1:6" ht="12.75">
      <c r="A16391" s="8">
        <v>43897.375243055554</v>
      </c>
      <c r="B16391" s="8" t="str">
        <f>HYPERLINK("https://twitter.com/LemanAkik","@LemanAkik")</f>
        <v>@LemanAkik</v>
      </c>
      <c r="C16391" s="8" t="s">
        <v>4818</v>
      </c>
      <c r="D16391" s="8">
        <v>203</v>
      </c>
      <c r="E16391" s="8">
        <v>0</v>
      </c>
      <c r="F16391" s="8">
        <v>17</v>
      </c>
    </row>
    <row r="16392" spans="1:6" ht="12.75">
      <c r="A16392" s="8">
        <v>43897.375057870369</v>
      </c>
      <c r="B16392" s="8" t="str">
        <f>HYPERLINK("https://twitter.com/Alvin067","@Alvin067")</f>
        <v>@Alvin067</v>
      </c>
      <c r="C16392" s="8" t="s">
        <v>3743</v>
      </c>
      <c r="D16392" s="8">
        <v>523</v>
      </c>
      <c r="E16392" s="8">
        <v>0</v>
      </c>
      <c r="F16392" s="8">
        <v>40</v>
      </c>
    </row>
    <row r="16393" spans="1:6" ht="12.75">
      <c r="A16393" s="8">
        <v>43897.374756944446</v>
      </c>
      <c r="B16393" s="8" t="str">
        <f>HYPERLINK("https://twitter.com/Ak16641107","@Ak16641107")</f>
        <v>@Ak16641107</v>
      </c>
      <c r="C16393" s="8" t="s">
        <v>3743</v>
      </c>
      <c r="D16393" s="8">
        <v>523</v>
      </c>
      <c r="E16393" s="8">
        <v>0</v>
      </c>
      <c r="F16393" s="8">
        <v>6</v>
      </c>
    </row>
    <row r="16394" spans="1:6" ht="12.75">
      <c r="A16394" s="8">
        <v>43897.374502314815</v>
      </c>
      <c r="B16394" s="8" t="str">
        <f>HYPERLINK("https://twitter.com/jst4Him_sinurat","@jst4Him_sinurat")</f>
        <v>@jst4Him_sinurat</v>
      </c>
      <c r="C16394" s="8" t="s">
        <v>4818</v>
      </c>
      <c r="D16394" s="8">
        <v>203</v>
      </c>
      <c r="E16394" s="8">
        <v>0</v>
      </c>
      <c r="F16394" s="8">
        <v>60</v>
      </c>
    </row>
    <row r="16395" spans="1:6" ht="12.75">
      <c r="A16395" s="8">
        <v>43897.373263888891</v>
      </c>
      <c r="B16395" s="8" t="str">
        <f>HYPERLINK("https://twitter.com/sugiono_69","@sugiono_69")</f>
        <v>@sugiono_69</v>
      </c>
      <c r="C16395" s="8" t="s">
        <v>4818</v>
      </c>
      <c r="D16395" s="8">
        <v>203</v>
      </c>
      <c r="E16395" s="8">
        <v>0</v>
      </c>
      <c r="F16395" s="8">
        <v>676</v>
      </c>
    </row>
    <row r="16396" spans="1:6" ht="12.75">
      <c r="A16396" s="8">
        <v>43897.372534722221</v>
      </c>
      <c r="B16396" s="8" t="str">
        <f>HYPERLINK("https://twitter.com/lambert_kota","@lambert_kota")</f>
        <v>@lambert_kota</v>
      </c>
      <c r="C16396" s="8" t="s">
        <v>4818</v>
      </c>
      <c r="D16396" s="8">
        <v>203</v>
      </c>
      <c r="E16396" s="8">
        <v>0</v>
      </c>
      <c r="F16396" s="8">
        <v>705</v>
      </c>
    </row>
    <row r="16397" spans="1:6" ht="12.75">
      <c r="A16397" s="8">
        <v>43897.371655092589</v>
      </c>
      <c r="B16397" s="8" t="str">
        <f>HYPERLINK("https://twitter.com/ronin_empire13","@ronin_empire13")</f>
        <v>@ronin_empire13</v>
      </c>
      <c r="C16397" s="8" t="s">
        <v>4175</v>
      </c>
      <c r="D16397" s="8">
        <v>2</v>
      </c>
      <c r="E16397" s="8">
        <v>0</v>
      </c>
      <c r="F16397" s="8">
        <v>82</v>
      </c>
    </row>
    <row r="16398" spans="1:6" ht="12.75">
      <c r="A16398" s="8">
        <v>43897.371307870373</v>
      </c>
      <c r="B16398" s="8" t="str">
        <f>HYPERLINK("https://twitter.com/nugrohorofil86","@nugrohorofil86")</f>
        <v>@nugrohorofil86</v>
      </c>
      <c r="C16398" s="8" t="s">
        <v>4818</v>
      </c>
      <c r="D16398" s="8">
        <v>203</v>
      </c>
      <c r="E16398" s="8">
        <v>0</v>
      </c>
      <c r="F16398" s="8">
        <v>74</v>
      </c>
    </row>
    <row r="16399" spans="1:6" ht="12.75">
      <c r="A16399" s="8">
        <v>43897.371296296296</v>
      </c>
      <c r="B16399" s="8" t="str">
        <f>HYPERLINK("https://twitter.com/ajimmonn","@ajimmonn")</f>
        <v>@ajimmonn</v>
      </c>
      <c r="C16399" s="8" t="s">
        <v>4004</v>
      </c>
      <c r="D16399" s="8">
        <v>7</v>
      </c>
      <c r="E16399" s="8">
        <v>0</v>
      </c>
      <c r="F16399" s="8">
        <v>560</v>
      </c>
    </row>
    <row r="16400" spans="1:6" ht="12.75">
      <c r="A16400" s="8">
        <v>43897.371111111112</v>
      </c>
      <c r="B16400" s="8" t="str">
        <f>HYPERLINK("https://twitter.com/majoindonew","@majoindonew")</f>
        <v>@majoindonew</v>
      </c>
      <c r="C16400" s="8" t="s">
        <v>6707</v>
      </c>
      <c r="D16400" s="8">
        <v>0</v>
      </c>
      <c r="E16400" s="8">
        <v>0</v>
      </c>
      <c r="F16400" s="8">
        <v>31</v>
      </c>
    </row>
    <row r="16401" spans="1:6" ht="12.75">
      <c r="A16401" s="8">
        <v>43897.370601851857</v>
      </c>
      <c r="B16401" s="8" t="str">
        <f>HYPERLINK("https://twitter.com/putrayangsalah","@putrayangsalah")</f>
        <v>@putrayangsalah</v>
      </c>
      <c r="C16401" s="8" t="s">
        <v>6439</v>
      </c>
      <c r="D16401" s="8">
        <v>4</v>
      </c>
      <c r="E16401" s="8">
        <v>0</v>
      </c>
      <c r="F16401" s="8">
        <v>295</v>
      </c>
    </row>
    <row r="16402" spans="1:6" ht="12.75">
      <c r="A16402" s="8">
        <v>43897.370104166665</v>
      </c>
      <c r="B16402" s="8" t="str">
        <f>HYPERLINK("https://twitter.com/Apodax","@Apodax")</f>
        <v>@Apodax</v>
      </c>
      <c r="C16402" s="8" t="s">
        <v>3213</v>
      </c>
      <c r="D16402" s="8">
        <v>246</v>
      </c>
      <c r="E16402" s="8">
        <v>0</v>
      </c>
      <c r="F16402" s="8">
        <v>104</v>
      </c>
    </row>
    <row r="16403" spans="1:6" ht="12.75">
      <c r="A16403" s="8">
        <v>43897.36990740741</v>
      </c>
      <c r="B16403" s="8" t="str">
        <f>HYPERLINK("https://twitter.com/kresnantowahyu","@kresnantowahyu")</f>
        <v>@kresnantowahyu</v>
      </c>
      <c r="C16403" s="8" t="s">
        <v>6708</v>
      </c>
      <c r="D16403" s="8">
        <v>48</v>
      </c>
      <c r="E16403" s="8">
        <v>0</v>
      </c>
      <c r="F16403" s="8">
        <v>144</v>
      </c>
    </row>
    <row r="16404" spans="1:6" ht="12.75">
      <c r="A16404" s="8">
        <v>43897.368946759263</v>
      </c>
      <c r="B16404" s="8" t="str">
        <f>HYPERLINK("https://twitter.com/NewsArrahmah","@NewsArrahmah")</f>
        <v>@NewsArrahmah</v>
      </c>
      <c r="C16404" s="8" t="s">
        <v>6709</v>
      </c>
      <c r="D16404" s="8">
        <v>0</v>
      </c>
      <c r="E16404" s="8">
        <v>0</v>
      </c>
      <c r="F16404" s="8">
        <v>473</v>
      </c>
    </row>
    <row r="16405" spans="1:6" ht="12.75">
      <c r="A16405" s="8">
        <v>43897.36854166667</v>
      </c>
      <c r="B16405" s="8" t="str">
        <f>HYPERLINK("https://twitter.com/andrenyiaphuat","@andrenyiaphuat")</f>
        <v>@andrenyiaphuat</v>
      </c>
      <c r="C16405" s="8" t="s">
        <v>6710</v>
      </c>
      <c r="D16405" s="8">
        <v>471</v>
      </c>
      <c r="E16405" s="8">
        <v>0</v>
      </c>
      <c r="F16405" s="8">
        <v>115</v>
      </c>
    </row>
    <row r="16406" spans="1:6" ht="12.75">
      <c r="A16406" s="8">
        <v>43897.368391203709</v>
      </c>
      <c r="B16406" s="8" t="str">
        <f>HYPERLINK("https://twitter.com/Satriadananjay7","@Satriadananjay7")</f>
        <v>@Satriadananjay7</v>
      </c>
      <c r="C16406" s="8" t="s">
        <v>6711</v>
      </c>
      <c r="D16406" s="8">
        <v>0</v>
      </c>
      <c r="E16406" s="8">
        <v>0</v>
      </c>
      <c r="F16406" s="8">
        <v>60</v>
      </c>
    </row>
    <row r="16407" spans="1:6" ht="12.75">
      <c r="A16407" s="8">
        <v>43897.368206018524</v>
      </c>
      <c r="B16407" s="8" t="str">
        <f>HYPERLINK("https://twitter.com/anantanurizki","@anantanurizki")</f>
        <v>@anantanurizki</v>
      </c>
      <c r="C16407" s="8" t="s">
        <v>4818</v>
      </c>
      <c r="D16407" s="8">
        <v>203</v>
      </c>
      <c r="E16407" s="8">
        <v>0</v>
      </c>
      <c r="F16407" s="8">
        <v>590</v>
      </c>
    </row>
    <row r="16408" spans="1:6" ht="12.75">
      <c r="A16408" s="8">
        <v>43897.368148148147</v>
      </c>
      <c r="B16408" s="8" t="str">
        <f>HYPERLINK("https://twitter.com/HaiRangerPink","@HaiRangerPink")</f>
        <v>@HaiRangerPink</v>
      </c>
      <c r="C16408" s="8" t="s">
        <v>3213</v>
      </c>
      <c r="D16408" s="8">
        <v>246</v>
      </c>
      <c r="E16408" s="8">
        <v>0</v>
      </c>
      <c r="F16408" s="8">
        <v>121</v>
      </c>
    </row>
    <row r="16409" spans="1:6" ht="12.75">
      <c r="A16409" s="8">
        <v>43897.367939814816</v>
      </c>
      <c r="B16409" s="8" t="str">
        <f>HYPERLINK("https://twitter.com/e_borokokok","@e_borokokok")</f>
        <v>@e_borokokok</v>
      </c>
      <c r="C16409" s="8" t="s">
        <v>6712</v>
      </c>
      <c r="D16409" s="8">
        <v>1</v>
      </c>
      <c r="E16409" s="8">
        <v>1</v>
      </c>
      <c r="F16409" s="8">
        <v>28</v>
      </c>
    </row>
    <row r="16410" spans="1:6" ht="12.75">
      <c r="A16410" s="8">
        <v>43897.367928240739</v>
      </c>
      <c r="B16410" s="8" t="str">
        <f>HYPERLINK("https://twitter.com/PRIEPRI2","@PRIEPRI2")</f>
        <v>@PRIEPRI2</v>
      </c>
      <c r="C16410" s="8" t="s">
        <v>3213</v>
      </c>
      <c r="D16410" s="8">
        <v>246</v>
      </c>
      <c r="E16410" s="8">
        <v>0</v>
      </c>
      <c r="F16410" s="8">
        <v>363</v>
      </c>
    </row>
    <row r="16411" spans="1:6" ht="12.75">
      <c r="A16411" s="8">
        <v>43897.367372685185</v>
      </c>
      <c r="B16411" s="8" t="str">
        <f>HYPERLINK("https://twitter.com/majoindonew","@majoindonew")</f>
        <v>@majoindonew</v>
      </c>
      <c r="C16411" s="8" t="s">
        <v>6713</v>
      </c>
      <c r="D16411" s="8">
        <v>0</v>
      </c>
      <c r="E16411" s="8">
        <v>0</v>
      </c>
      <c r="F16411" s="8">
        <v>31</v>
      </c>
    </row>
    <row r="16412" spans="1:6" ht="12.75">
      <c r="A16412" s="8">
        <v>43897.367025462961</v>
      </c>
      <c r="B16412" s="8" t="str">
        <f>HYPERLINK("https://twitter.com/KopBam","@KopBam")</f>
        <v>@KopBam</v>
      </c>
      <c r="C16412" s="8" t="s">
        <v>6714</v>
      </c>
      <c r="D16412" s="8">
        <v>0</v>
      </c>
      <c r="E16412" s="8">
        <v>0</v>
      </c>
      <c r="F16412" s="8">
        <v>538</v>
      </c>
    </row>
    <row r="16413" spans="1:6" ht="12.75">
      <c r="A16413" s="8">
        <v>43897.366863425923</v>
      </c>
      <c r="B16413" s="8" t="str">
        <f>HYPERLINK("https://twitter.com/yande","@yande")</f>
        <v>@yande</v>
      </c>
      <c r="C16413" s="8" t="s">
        <v>6715</v>
      </c>
      <c r="D16413" s="8">
        <v>0</v>
      </c>
      <c r="E16413" s="8">
        <v>0</v>
      </c>
      <c r="F16413" s="8">
        <v>116</v>
      </c>
    </row>
    <row r="16414" spans="1:6" ht="12.75">
      <c r="A16414" s="8">
        <v>43897.366574074069</v>
      </c>
      <c r="B16414" s="8" t="str">
        <f>HYPERLINK("https://twitter.com/Baby_Cindyyy","@Baby_Cindyyy")</f>
        <v>@Baby_Cindyyy</v>
      </c>
      <c r="C16414" s="8" t="s">
        <v>4818</v>
      </c>
      <c r="D16414" s="8">
        <v>203</v>
      </c>
      <c r="E16414" s="8">
        <v>0</v>
      </c>
      <c r="F16414" s="8">
        <v>3564</v>
      </c>
    </row>
    <row r="16415" spans="1:6" ht="12.75">
      <c r="A16415" s="8">
        <v>43897.366574074069</v>
      </c>
      <c r="B16415" s="8" t="str">
        <f>HYPERLINK("https://twitter.com/SilitongaEfraim","@SilitongaEfraim")</f>
        <v>@SilitongaEfraim</v>
      </c>
      <c r="C16415" s="8" t="s">
        <v>4818</v>
      </c>
      <c r="D16415" s="8">
        <v>203</v>
      </c>
      <c r="E16415" s="8">
        <v>0</v>
      </c>
      <c r="F16415" s="8">
        <v>2098</v>
      </c>
    </row>
    <row r="16416" spans="1:6" ht="12.75">
      <c r="A16416" s="8">
        <v>43897.366562499999</v>
      </c>
      <c r="B16416" s="8" t="str">
        <f>HYPERLINK("https://twitter.com/aliyya210","@aliyya210")</f>
        <v>@aliyya210</v>
      </c>
      <c r="C16416" s="8" t="s">
        <v>3743</v>
      </c>
      <c r="D16416" s="8">
        <v>523</v>
      </c>
      <c r="E16416" s="8">
        <v>0</v>
      </c>
      <c r="F16416" s="8">
        <v>95</v>
      </c>
    </row>
    <row r="16417" spans="1:6" ht="12.75">
      <c r="A16417" s="8">
        <v>43897.366446759261</v>
      </c>
      <c r="B16417" s="8" t="str">
        <f>HYPERLINK("https://twitter.com/safetravelkemlu","@safetravelkemlu")</f>
        <v>@safetravelkemlu</v>
      </c>
      <c r="C16417" s="8" t="s">
        <v>6716</v>
      </c>
      <c r="D16417" s="8">
        <v>0</v>
      </c>
      <c r="E16417" s="8">
        <v>1</v>
      </c>
      <c r="F16417" s="8">
        <v>776</v>
      </c>
    </row>
    <row r="16418" spans="1:6" ht="12.75">
      <c r="A16418" s="8">
        <v>43897.366412037038</v>
      </c>
      <c r="B16418" s="8" t="str">
        <f>HYPERLINK("https://twitter.com/DavidSachio","@DavidSachio")</f>
        <v>@DavidSachio</v>
      </c>
      <c r="C16418" s="8" t="s">
        <v>3213</v>
      </c>
      <c r="D16418" s="8">
        <v>246</v>
      </c>
      <c r="E16418" s="8">
        <v>0</v>
      </c>
      <c r="F16418" s="8">
        <v>1300</v>
      </c>
    </row>
    <row r="16419" spans="1:6" ht="12.75">
      <c r="A16419" s="8">
        <v>43897.366307870368</v>
      </c>
      <c r="B16419" s="8" t="str">
        <f>HYPERLINK("https://twitter.com/e_borokokok","@e_borokokok")</f>
        <v>@e_borokokok</v>
      </c>
      <c r="C16419" s="8" t="s">
        <v>6475</v>
      </c>
      <c r="D16419" s="8">
        <v>2</v>
      </c>
      <c r="E16419" s="8">
        <v>0</v>
      </c>
      <c r="F16419" s="8">
        <v>28</v>
      </c>
    </row>
    <row r="16420" spans="1:6" ht="12.75">
      <c r="A16420" s="8">
        <v>43897.365983796291</v>
      </c>
      <c r="B16420" s="8" t="str">
        <f>HYPERLINK("https://twitter.com/Wongjaw99685558","@Wongjaw99685558")</f>
        <v>@Wongjaw99685558</v>
      </c>
      <c r="C16420" s="8" t="s">
        <v>1986</v>
      </c>
      <c r="D16420" s="8">
        <v>874</v>
      </c>
      <c r="E16420" s="8">
        <v>0</v>
      </c>
      <c r="F16420" s="8">
        <v>3651</v>
      </c>
    </row>
    <row r="16421" spans="1:6" ht="12.75">
      <c r="A16421" s="8">
        <v>43897.36583333333</v>
      </c>
      <c r="B16421" s="8" t="str">
        <f>HYPERLINK("https://twitter.com/jangkarlaut54","@jangkarlaut54")</f>
        <v>@jangkarlaut54</v>
      </c>
      <c r="C16421" s="8" t="s">
        <v>6717</v>
      </c>
      <c r="D16421" s="8">
        <v>0</v>
      </c>
      <c r="E16421" s="8">
        <v>0</v>
      </c>
      <c r="F16421" s="8">
        <v>1523</v>
      </c>
    </row>
    <row r="16422" spans="1:6" ht="12.75">
      <c r="A16422" s="8">
        <v>43897.365381944444</v>
      </c>
      <c r="B16422" s="8" t="str">
        <f>HYPERLINK("https://twitter.com/Dhinoe2","@Dhinoe2")</f>
        <v>@Dhinoe2</v>
      </c>
      <c r="C16422" s="8" t="s">
        <v>6718</v>
      </c>
      <c r="D16422" s="8">
        <v>0</v>
      </c>
      <c r="E16422" s="8">
        <v>0</v>
      </c>
      <c r="F16422" s="8">
        <v>296</v>
      </c>
    </row>
    <row r="16423" spans="1:6" ht="12.75">
      <c r="A16423" s="8">
        <v>43897.364791666667</v>
      </c>
      <c r="B16423" s="8" t="str">
        <f>HYPERLINK("https://twitter.com/SilitongaEfraim","@SilitongaEfraim")</f>
        <v>@SilitongaEfraim</v>
      </c>
      <c r="C16423" s="8" t="s">
        <v>3213</v>
      </c>
      <c r="D16423" s="8">
        <v>246</v>
      </c>
      <c r="E16423" s="8">
        <v>0</v>
      </c>
      <c r="F16423" s="8">
        <v>2098</v>
      </c>
    </row>
    <row r="16424" spans="1:6" ht="12.75">
      <c r="A16424" s="8">
        <v>43897.364270833335</v>
      </c>
      <c r="B16424" s="8" t="str">
        <f>HYPERLINK("https://twitter.com/RFauzy5","@RFauzy5")</f>
        <v>@RFauzy5</v>
      </c>
      <c r="C16424" s="8" t="s">
        <v>6719</v>
      </c>
      <c r="D16424" s="8">
        <v>1</v>
      </c>
      <c r="E16424" s="8">
        <v>0</v>
      </c>
      <c r="F16424" s="8">
        <v>2557</v>
      </c>
    </row>
    <row r="16425" spans="1:6" ht="12.75">
      <c r="A16425" s="8">
        <v>43897.363750000004</v>
      </c>
      <c r="B16425" s="8" t="str">
        <f>HYPERLINK("https://twitter.com/Ariyant23310570","@Ariyant23310570")</f>
        <v>@Ariyant23310570</v>
      </c>
      <c r="C16425" s="8" t="s">
        <v>4818</v>
      </c>
      <c r="D16425" s="8">
        <v>203</v>
      </c>
      <c r="E16425" s="8">
        <v>0</v>
      </c>
      <c r="F16425" s="8">
        <v>684</v>
      </c>
    </row>
    <row r="16426" spans="1:6" ht="12.75">
      <c r="A16426" s="8">
        <v>43897.363668981481</v>
      </c>
      <c r="B16426" s="8" t="str">
        <f>HYPERLINK("https://twitter.com/bmatana1","@bmatana1")</f>
        <v>@bmatana1</v>
      </c>
      <c r="C16426" s="8" t="s">
        <v>3213</v>
      </c>
      <c r="D16426" s="8">
        <v>246</v>
      </c>
      <c r="E16426" s="8">
        <v>0</v>
      </c>
      <c r="F16426" s="8">
        <v>163</v>
      </c>
    </row>
    <row r="16427" spans="1:6" ht="12.75">
      <c r="A16427" s="8">
        <v>43897.363564814819</v>
      </c>
      <c r="B16427" s="8" t="str">
        <f>HYPERLINK("https://twitter.com/Adamsiapa","@Adamsiapa")</f>
        <v>@Adamsiapa</v>
      </c>
      <c r="C16427" s="8" t="s">
        <v>4175</v>
      </c>
      <c r="D16427" s="8">
        <v>2</v>
      </c>
      <c r="E16427" s="8">
        <v>0</v>
      </c>
      <c r="F16427" s="8">
        <v>419</v>
      </c>
    </row>
    <row r="16428" spans="1:6" ht="12.75">
      <c r="A16428" s="8">
        <v>43897.363171296296</v>
      </c>
      <c r="B16428" s="8" t="str">
        <f>HYPERLINK("https://twitter.com/Brunowicaksono","@Brunowicaksono")</f>
        <v>@Brunowicaksono</v>
      </c>
      <c r="C16428" s="8" t="s">
        <v>5103</v>
      </c>
      <c r="D16428" s="8">
        <v>174</v>
      </c>
      <c r="E16428" s="8">
        <v>0</v>
      </c>
      <c r="F16428" s="8">
        <v>1781</v>
      </c>
    </row>
    <row r="16429" spans="1:6" ht="12.75">
      <c r="A16429" s="8">
        <v>43897.362824074073</v>
      </c>
      <c r="B16429" s="8" t="str">
        <f>HYPERLINK("https://twitter.com/supri_prp","@supri_prp")</f>
        <v>@supri_prp</v>
      </c>
      <c r="C16429" s="8" t="s">
        <v>4818</v>
      </c>
      <c r="D16429" s="8">
        <v>203</v>
      </c>
      <c r="E16429" s="8">
        <v>0</v>
      </c>
      <c r="F16429" s="8">
        <v>462</v>
      </c>
    </row>
    <row r="16430" spans="1:6" ht="12.75">
      <c r="A16430" s="8">
        <v>43897.362812499996</v>
      </c>
      <c r="B16430" s="8" t="str">
        <f>HYPERLINK("https://twitter.com/NewsArrahmah","@NewsArrahmah")</f>
        <v>@NewsArrahmah</v>
      </c>
      <c r="C16430" s="8" t="s">
        <v>6720</v>
      </c>
      <c r="D16430" s="8">
        <v>0</v>
      </c>
      <c r="E16430" s="8">
        <v>0</v>
      </c>
      <c r="F16430" s="8">
        <v>473</v>
      </c>
    </row>
    <row r="16431" spans="1:6" ht="12.75">
      <c r="A16431" s="8">
        <v>43897.362615740742</v>
      </c>
      <c r="B16431" s="8" t="str">
        <f>HYPERLINK("https://twitter.com/SelamatBakumpa2","@SelamatBakumpa2")</f>
        <v>@SelamatBakumpa2</v>
      </c>
      <c r="C16431" s="8" t="s">
        <v>3743</v>
      </c>
      <c r="D16431" s="8">
        <v>523</v>
      </c>
      <c r="E16431" s="8">
        <v>0</v>
      </c>
      <c r="F16431" s="8">
        <v>158</v>
      </c>
    </row>
    <row r="16432" spans="1:6" ht="12.75">
      <c r="A16432" s="8">
        <v>43897.36210648148</v>
      </c>
      <c r="B16432" s="8" t="str">
        <f>HYPERLINK("https://twitter.com/Colcolblend","@Colcolblend")</f>
        <v>@Colcolblend</v>
      </c>
      <c r="C16432" s="8" t="s">
        <v>6721</v>
      </c>
      <c r="D16432" s="8">
        <v>0</v>
      </c>
      <c r="E16432" s="8">
        <v>0</v>
      </c>
      <c r="F16432" s="8">
        <v>2213</v>
      </c>
    </row>
    <row r="16433" spans="1:6" ht="12.75">
      <c r="A16433" s="8">
        <v>43897.362013888887</v>
      </c>
      <c r="B16433" s="8" t="str">
        <f>HYPERLINK("https://twitter.com/Doni29660055","@Doni29660055")</f>
        <v>@Doni29660055</v>
      </c>
      <c r="C16433" s="8" t="s">
        <v>1875</v>
      </c>
      <c r="D16433" s="8">
        <v>76</v>
      </c>
      <c r="E16433" s="8">
        <v>0</v>
      </c>
      <c r="F16433" s="8">
        <v>7</v>
      </c>
    </row>
    <row r="16434" spans="1:6" ht="12.75">
      <c r="A16434" s="8">
        <v>43897.362002314811</v>
      </c>
      <c r="B16434" s="8" t="str">
        <f>HYPERLINK("https://twitter.com/ivanly1927","@ivanly1927")</f>
        <v>@ivanly1927</v>
      </c>
      <c r="C16434" s="8" t="s">
        <v>4818</v>
      </c>
      <c r="D16434" s="8">
        <v>203</v>
      </c>
      <c r="E16434" s="8">
        <v>0</v>
      </c>
      <c r="F16434" s="8">
        <v>12</v>
      </c>
    </row>
    <row r="16435" spans="1:6" ht="12.75">
      <c r="A16435" s="8">
        <v>43897.361840277779</v>
      </c>
      <c r="B16435" s="8" t="str">
        <f>HYPERLINK("https://twitter.com/ahsanfauzi","@ahsanfauzi")</f>
        <v>@ahsanfauzi</v>
      </c>
      <c r="C16435" s="8" t="s">
        <v>3743</v>
      </c>
      <c r="D16435" s="8">
        <v>523</v>
      </c>
      <c r="E16435" s="8">
        <v>0</v>
      </c>
      <c r="F16435" s="8">
        <v>16</v>
      </c>
    </row>
    <row r="16436" spans="1:6" ht="12.75">
      <c r="A16436" s="8">
        <v>43897.361388888894</v>
      </c>
      <c r="B16436" s="8" t="str">
        <f>HYPERLINK("https://twitter.com/EiDadang","@EiDadang")</f>
        <v>@EiDadang</v>
      </c>
      <c r="C16436" s="8" t="s">
        <v>5103</v>
      </c>
      <c r="D16436" s="8">
        <v>174</v>
      </c>
      <c r="E16436" s="8">
        <v>0</v>
      </c>
      <c r="F16436" s="8">
        <v>4796</v>
      </c>
    </row>
    <row r="16437" spans="1:6" ht="12.75">
      <c r="A16437" s="8">
        <v>43897.361307870371</v>
      </c>
      <c r="B16437" s="8" t="str">
        <f>HYPERLINK("https://twitter.com/dawiguna","@dawiguna")</f>
        <v>@dawiguna</v>
      </c>
      <c r="C16437" s="8" t="s">
        <v>6722</v>
      </c>
      <c r="D16437" s="8">
        <v>0</v>
      </c>
      <c r="E16437" s="8">
        <v>0</v>
      </c>
      <c r="F16437" s="8">
        <v>1446</v>
      </c>
    </row>
    <row r="16438" spans="1:6" ht="12.75">
      <c r="A16438" s="8">
        <v>43897.361261574071</v>
      </c>
      <c r="B16438" s="8" t="str">
        <f>HYPERLINK("https://twitter.com/ArnoldBelau","@ArnoldBelau")</f>
        <v>@ArnoldBelau</v>
      </c>
      <c r="C16438" s="8" t="s">
        <v>6723</v>
      </c>
      <c r="D16438" s="8">
        <v>2</v>
      </c>
      <c r="E16438" s="8">
        <v>9</v>
      </c>
      <c r="F16438" s="8">
        <v>5689</v>
      </c>
    </row>
    <row r="16439" spans="1:6" ht="12.75">
      <c r="A16439" s="8">
        <v>43897.360868055555</v>
      </c>
      <c r="B16439" s="8" t="str">
        <f>HYPERLINK("https://twitter.com/joretni","@joretni")</f>
        <v>@joretni</v>
      </c>
      <c r="C16439" s="8" t="s">
        <v>6724</v>
      </c>
      <c r="D16439" s="8">
        <v>0</v>
      </c>
      <c r="E16439" s="8">
        <v>0</v>
      </c>
      <c r="F16439" s="8">
        <v>2716</v>
      </c>
    </row>
    <row r="16440" spans="1:6" ht="12.75">
      <c r="A16440" s="8">
        <v>43897.360659722224</v>
      </c>
      <c r="B16440" s="8" t="str">
        <f>HYPERLINK("https://twitter.com/adeartie","@adeartie")</f>
        <v>@adeartie</v>
      </c>
      <c r="C16440" s="8" t="s">
        <v>5899</v>
      </c>
      <c r="D16440" s="8">
        <v>7</v>
      </c>
      <c r="E16440" s="8">
        <v>0</v>
      </c>
      <c r="F16440" s="8">
        <v>101</v>
      </c>
    </row>
    <row r="16441" spans="1:6" ht="12.75">
      <c r="A16441" s="8">
        <v>43897.359618055554</v>
      </c>
      <c r="B16441" s="8" t="str">
        <f>HYPERLINK("https://twitter.com/benhard7","@benhard7")</f>
        <v>@benhard7</v>
      </c>
      <c r="C16441" s="8" t="s">
        <v>4818</v>
      </c>
      <c r="D16441" s="8">
        <v>203</v>
      </c>
      <c r="E16441" s="8">
        <v>0</v>
      </c>
      <c r="F16441" s="8">
        <v>1044</v>
      </c>
    </row>
    <row r="16442" spans="1:6" ht="12.75">
      <c r="A16442" s="8">
        <v>43897.359456018516</v>
      </c>
      <c r="B16442" s="8" t="str">
        <f>HYPERLINK("https://twitter.com/ElMicha_ID","@ElMicha_ID")</f>
        <v>@ElMicha_ID</v>
      </c>
      <c r="C16442" s="8" t="s">
        <v>6725</v>
      </c>
      <c r="D16442" s="8">
        <v>0</v>
      </c>
      <c r="E16442" s="8">
        <v>0</v>
      </c>
      <c r="F16442" s="8">
        <v>5837</v>
      </c>
    </row>
    <row r="16443" spans="1:6" ht="12.75">
      <c r="A16443" s="8">
        <v>43897.359050925923</v>
      </c>
      <c r="B16443" s="8" t="str">
        <f>HYPERLINK("https://twitter.com/KekeySRiana","@KekeySRiana")</f>
        <v>@KekeySRiana</v>
      </c>
      <c r="C16443" s="8" t="s">
        <v>3213</v>
      </c>
      <c r="D16443" s="8">
        <v>246</v>
      </c>
      <c r="E16443" s="8">
        <v>0</v>
      </c>
      <c r="F16443" s="8">
        <v>1078</v>
      </c>
    </row>
    <row r="16444" spans="1:6" ht="12.75">
      <c r="A16444" s="8">
        <v>43897.358935185184</v>
      </c>
      <c r="B16444" s="8" t="str">
        <f>HYPERLINK("https://twitter.com/HizbutTahrirGL","@HizbutTahrirGL")</f>
        <v>@HizbutTahrirGL</v>
      </c>
      <c r="C16444" s="8" t="s">
        <v>6726</v>
      </c>
      <c r="D16444" s="8">
        <v>0</v>
      </c>
      <c r="E16444" s="8">
        <v>0</v>
      </c>
      <c r="F16444" s="8">
        <v>15177</v>
      </c>
    </row>
    <row r="16445" spans="1:6" ht="12.75">
      <c r="A16445" s="8">
        <v>43897.358541666668</v>
      </c>
      <c r="B16445" s="8" t="str">
        <f>HYPERLINK("https://twitter.com/Alamsyart_","@Alamsyart_")</f>
        <v>@Alamsyart_</v>
      </c>
      <c r="C16445" s="8" t="s">
        <v>6727</v>
      </c>
      <c r="D16445" s="8">
        <v>0</v>
      </c>
      <c r="E16445" s="8">
        <v>0</v>
      </c>
      <c r="F16445" s="8">
        <v>56</v>
      </c>
    </row>
    <row r="16446" spans="1:6" ht="12.75">
      <c r="A16446" s="8">
        <v>43897.358217592591</v>
      </c>
      <c r="B16446" s="8" t="str">
        <f>HYPERLINK("https://twitter.com/antonius73","@antonius73")</f>
        <v>@antonius73</v>
      </c>
      <c r="C16446" s="8" t="s">
        <v>4818</v>
      </c>
      <c r="D16446" s="8">
        <v>203</v>
      </c>
      <c r="E16446" s="8">
        <v>0</v>
      </c>
      <c r="F16446" s="8">
        <v>117</v>
      </c>
    </row>
    <row r="16447" spans="1:6" ht="12.75">
      <c r="A16447" s="8">
        <v>43897.358078703706</v>
      </c>
      <c r="B16447" s="8" t="str">
        <f>HYPERLINK("https://twitter.com/mangapmingkem","@mangapmingkem")</f>
        <v>@mangapmingkem</v>
      </c>
      <c r="C16447" s="8" t="s">
        <v>3213</v>
      </c>
      <c r="D16447" s="8">
        <v>246</v>
      </c>
      <c r="E16447" s="8">
        <v>0</v>
      </c>
      <c r="F16447" s="8">
        <v>128</v>
      </c>
    </row>
    <row r="16448" spans="1:6" ht="12.75">
      <c r="A16448" s="8">
        <v>43897.358055555553</v>
      </c>
      <c r="B16448" s="8" t="str">
        <f>HYPERLINK("https://twitter.com/GeorgiusCahya","@GeorgiusCahya")</f>
        <v>@GeorgiusCahya</v>
      </c>
      <c r="C16448" s="8" t="s">
        <v>5103</v>
      </c>
      <c r="D16448" s="8">
        <v>174</v>
      </c>
      <c r="E16448" s="8">
        <v>0</v>
      </c>
      <c r="F16448" s="8">
        <v>87</v>
      </c>
    </row>
    <row r="16449" spans="1:6" ht="12.75">
      <c r="A16449" s="8">
        <v>43897.357951388884</v>
      </c>
      <c r="B16449" s="8" t="str">
        <f>HYPERLINK("https://twitter.com/DiumahM","@DiumahM")</f>
        <v>@DiumahM</v>
      </c>
      <c r="C16449" s="8" t="s">
        <v>3213</v>
      </c>
      <c r="D16449" s="8">
        <v>246</v>
      </c>
      <c r="E16449" s="8">
        <v>0</v>
      </c>
      <c r="F16449" s="8">
        <v>52</v>
      </c>
    </row>
    <row r="16450" spans="1:6" ht="12.75">
      <c r="A16450" s="8">
        <v>43897.357847222222</v>
      </c>
      <c r="B16450" s="8" t="str">
        <f t="shared" ref="B16450:B16453" si="249">HYPERLINK("https://twitter.com/ramalatief","@ramalatief")</f>
        <v>@ramalatief</v>
      </c>
      <c r="C16450" s="8" t="s">
        <v>6728</v>
      </c>
      <c r="D16450" s="8">
        <v>0</v>
      </c>
      <c r="E16450" s="8">
        <v>0</v>
      </c>
      <c r="F16450" s="8">
        <v>3</v>
      </c>
    </row>
    <row r="16451" spans="1:6" ht="12.75">
      <c r="A16451" s="8">
        <v>43897.357847222222</v>
      </c>
      <c r="B16451" s="8" t="str">
        <f t="shared" si="249"/>
        <v>@ramalatief</v>
      </c>
      <c r="C16451" s="8" t="s">
        <v>6729</v>
      </c>
      <c r="D16451" s="8">
        <v>0</v>
      </c>
      <c r="E16451" s="8">
        <v>0</v>
      </c>
      <c r="F16451" s="8">
        <v>3</v>
      </c>
    </row>
    <row r="16452" spans="1:6" ht="12.75">
      <c r="A16452" s="8">
        <v>43897.357835648145</v>
      </c>
      <c r="B16452" s="8" t="str">
        <f t="shared" si="249"/>
        <v>@ramalatief</v>
      </c>
      <c r="C16452" s="8" t="s">
        <v>6730</v>
      </c>
      <c r="D16452" s="8">
        <v>0</v>
      </c>
      <c r="E16452" s="8">
        <v>0</v>
      </c>
      <c r="F16452" s="8">
        <v>3</v>
      </c>
    </row>
    <row r="16453" spans="1:6" ht="12.75">
      <c r="A16453" s="8">
        <v>43897.357835648145</v>
      </c>
      <c r="B16453" s="8" t="str">
        <f t="shared" si="249"/>
        <v>@ramalatief</v>
      </c>
      <c r="C16453" s="8" t="s">
        <v>6731</v>
      </c>
      <c r="D16453" s="8">
        <v>0</v>
      </c>
      <c r="E16453" s="8">
        <v>0</v>
      </c>
      <c r="F16453" s="8">
        <v>3</v>
      </c>
    </row>
    <row r="16454" spans="1:6" ht="12.75">
      <c r="A16454" s="8">
        <v>43897.357627314814</v>
      </c>
      <c r="B16454" s="8" t="str">
        <f>HYPERLINK("https://twitter.com/avalo_isis","@avalo_isis")</f>
        <v>@avalo_isis</v>
      </c>
      <c r="C16454" s="8" t="s">
        <v>6732</v>
      </c>
      <c r="D16454" s="8">
        <v>305</v>
      </c>
      <c r="E16454" s="8">
        <v>0</v>
      </c>
      <c r="F16454" s="8">
        <v>22</v>
      </c>
    </row>
    <row r="16455" spans="1:6" ht="12.75">
      <c r="A16455" s="8">
        <v>43897.357523148152</v>
      </c>
      <c r="B16455" s="8" t="str">
        <f>HYPERLINK("https://twitter.com/lase_dhanil","@lase_dhanil")</f>
        <v>@lase_dhanil</v>
      </c>
      <c r="C16455" s="8" t="s">
        <v>6105</v>
      </c>
      <c r="D16455" s="8">
        <v>3</v>
      </c>
      <c r="E16455" s="8">
        <v>0</v>
      </c>
      <c r="F16455" s="8">
        <v>476</v>
      </c>
    </row>
    <row r="16456" spans="1:6" ht="12.75">
      <c r="A16456" s="8">
        <v>43897.356215277774</v>
      </c>
      <c r="B16456" s="8" t="str">
        <f>HYPERLINK("https://twitter.com/KangDan65112920","@KangDan65112920")</f>
        <v>@KangDan65112920</v>
      </c>
      <c r="C16456" s="8" t="s">
        <v>6097</v>
      </c>
      <c r="D16456" s="8">
        <v>2</v>
      </c>
      <c r="E16456" s="8">
        <v>0</v>
      </c>
      <c r="F16456" s="8">
        <v>64</v>
      </c>
    </row>
    <row r="16457" spans="1:6" ht="12.75">
      <c r="A16457" s="8">
        <v>43897.356157407412</v>
      </c>
      <c r="B16457" s="8" t="str">
        <f>HYPERLINK("https://twitter.com/chsbarack95","@chsbarack95")</f>
        <v>@chsbarack95</v>
      </c>
      <c r="C16457" s="8" t="s">
        <v>6733</v>
      </c>
      <c r="D16457" s="8">
        <v>0</v>
      </c>
      <c r="E16457" s="8">
        <v>0</v>
      </c>
      <c r="F16457" s="8">
        <v>102</v>
      </c>
    </row>
    <row r="16458" spans="1:6" ht="12.75">
      <c r="A16458" s="8">
        <v>43897.355891203704</v>
      </c>
      <c r="B16458" s="8" t="str">
        <f>HYPERLINK("https://twitter.com/ISIS_Balik_NO","@ISIS_Balik_NO")</f>
        <v>@ISIS_Balik_NO</v>
      </c>
      <c r="C16458" s="8" t="s">
        <v>6734</v>
      </c>
      <c r="D16458" s="8">
        <v>0</v>
      </c>
      <c r="E16458" s="8">
        <v>0</v>
      </c>
      <c r="F16458" s="8">
        <v>6134</v>
      </c>
    </row>
    <row r="16459" spans="1:6" ht="12.75">
      <c r="A16459" s="8">
        <v>43897.355775462958</v>
      </c>
      <c r="B16459" s="8" t="str">
        <f>HYPERLINK("https://twitter.com/ryolandafit","@ryolandafit")</f>
        <v>@ryolandafit</v>
      </c>
      <c r="C16459" s="8" t="s">
        <v>6735</v>
      </c>
      <c r="D16459" s="8">
        <v>8</v>
      </c>
      <c r="E16459" s="8">
        <v>0</v>
      </c>
      <c r="F16459" s="8">
        <v>657</v>
      </c>
    </row>
    <row r="16460" spans="1:6" ht="12.75">
      <c r="A16460" s="8">
        <v>43897.355694444443</v>
      </c>
      <c r="B16460" s="8" t="str">
        <f>HYPERLINK("https://twitter.com/iamblue01","@iamblue01")</f>
        <v>@iamblue01</v>
      </c>
      <c r="C16460" s="8" t="s">
        <v>3213</v>
      </c>
      <c r="D16460" s="8">
        <v>246</v>
      </c>
      <c r="E16460" s="8">
        <v>0</v>
      </c>
      <c r="F16460" s="8">
        <v>86</v>
      </c>
    </row>
    <row r="16461" spans="1:6" ht="12.75">
      <c r="A16461" s="8">
        <v>43897.355451388888</v>
      </c>
      <c r="B16461" s="8" t="str">
        <f>HYPERLINK("https://twitter.com/RsRs26767107","@RsRs26767107")</f>
        <v>@RsRs26767107</v>
      </c>
      <c r="C16461" s="8" t="s">
        <v>3213</v>
      </c>
      <c r="D16461" s="8">
        <v>246</v>
      </c>
      <c r="E16461" s="8">
        <v>0</v>
      </c>
      <c r="F16461" s="8">
        <v>29</v>
      </c>
    </row>
    <row r="16462" spans="1:6" ht="12.75">
      <c r="A16462" s="8">
        <v>43897.355370370366</v>
      </c>
      <c r="B16462" s="8" t="str">
        <f>HYPERLINK("https://twitter.com/ISIS_Balik_NO","@ISIS_Balik_NO")</f>
        <v>@ISIS_Balik_NO</v>
      </c>
      <c r="C16462" s="8" t="s">
        <v>6736</v>
      </c>
      <c r="D16462" s="8">
        <v>0</v>
      </c>
      <c r="E16462" s="8">
        <v>0</v>
      </c>
      <c r="F16462" s="8">
        <v>6134</v>
      </c>
    </row>
    <row r="16463" spans="1:6" ht="12.75">
      <c r="A16463" s="8">
        <v>43897.354895833334</v>
      </c>
      <c r="B16463" s="8" t="str">
        <f>HYPERLINK("https://twitter.com/kardusbox08","@kardusbox08")</f>
        <v>@kardusbox08</v>
      </c>
      <c r="C16463" s="8" t="s">
        <v>6737</v>
      </c>
      <c r="D16463" s="8">
        <v>1</v>
      </c>
      <c r="E16463" s="8">
        <v>0</v>
      </c>
      <c r="F16463" s="8">
        <v>1821</v>
      </c>
    </row>
    <row r="16464" spans="1:6" ht="12.75">
      <c r="A16464" s="8">
        <v>43897.354687500003</v>
      </c>
      <c r="B16464" s="8" t="str">
        <f>HYPERLINK("https://twitter.com/74N4H","@74N4H")</f>
        <v>@74N4H</v>
      </c>
      <c r="C16464" s="8" t="s">
        <v>6738</v>
      </c>
      <c r="D16464" s="8">
        <v>0</v>
      </c>
      <c r="E16464" s="8">
        <v>0</v>
      </c>
      <c r="F16464" s="8">
        <v>1486</v>
      </c>
    </row>
    <row r="16465" spans="1:6" ht="12.75">
      <c r="A16465" s="8">
        <v>43897.35456018518</v>
      </c>
      <c r="B16465" s="8" t="str">
        <f>HYPERLINK("https://twitter.com/KangDan65112920","@KangDan65112920")</f>
        <v>@KangDan65112920</v>
      </c>
      <c r="C16465" s="8" t="s">
        <v>6739</v>
      </c>
      <c r="D16465" s="8">
        <v>5</v>
      </c>
      <c r="E16465" s="8">
        <v>0</v>
      </c>
      <c r="F16465" s="8">
        <v>64</v>
      </c>
    </row>
    <row r="16466" spans="1:6" ht="12.75">
      <c r="A16466" s="8">
        <v>43897.339837962965</v>
      </c>
      <c r="B16466" s="8" t="str">
        <f>HYPERLINK("https://twitter.com/MGusas","@MGusas")</f>
        <v>@MGusas</v>
      </c>
      <c r="C16466" s="8" t="s">
        <v>3743</v>
      </c>
      <c r="D16466" s="8">
        <v>501</v>
      </c>
      <c r="E16466" s="8">
        <v>0</v>
      </c>
      <c r="F16466" s="8">
        <v>67</v>
      </c>
    </row>
    <row r="16467" spans="1:6" ht="12.75">
      <c r="A16467" s="8">
        <v>43897.338888888888</v>
      </c>
      <c r="B16467" s="8" t="str">
        <f>HYPERLINK("https://twitter.com/_wni_","@_wni_")</f>
        <v>@_wni_</v>
      </c>
      <c r="C16467" s="8" t="s">
        <v>6740</v>
      </c>
      <c r="D16467" s="8">
        <v>8555</v>
      </c>
      <c r="E16467" s="8">
        <v>0</v>
      </c>
      <c r="F16467" s="8">
        <v>15</v>
      </c>
    </row>
    <row r="16468" spans="1:6" ht="12.75">
      <c r="A16468" s="8">
        <v>43897.337337962963</v>
      </c>
      <c r="B16468" s="8" t="str">
        <f>HYPERLINK("https://twitter.com/Afin_za","@Afin_za")</f>
        <v>@Afin_za</v>
      </c>
      <c r="C16468" s="8" t="s">
        <v>299</v>
      </c>
      <c r="D16468" s="8">
        <v>4747</v>
      </c>
      <c r="E16468" s="8">
        <v>0</v>
      </c>
      <c r="F16468" s="8">
        <v>77</v>
      </c>
    </row>
    <row r="16469" spans="1:6" ht="12.75">
      <c r="A16469" s="8">
        <v>43897.336759259255</v>
      </c>
      <c r="B16469" s="8" t="str">
        <f>HYPERLINK("https://twitter.com/DcEliana","@DcEliana")</f>
        <v>@DcEliana</v>
      </c>
      <c r="C16469" s="8" t="s">
        <v>5899</v>
      </c>
      <c r="D16469" s="8">
        <v>4</v>
      </c>
      <c r="E16469" s="8">
        <v>0</v>
      </c>
      <c r="F16469" s="8">
        <v>156</v>
      </c>
    </row>
    <row r="16470" spans="1:6" ht="12.75">
      <c r="A16470" s="8">
        <v>43897.336481481485</v>
      </c>
      <c r="B16470" s="8" t="str">
        <f>HYPERLINK("https://twitter.com/rojakreza","@rojakreza")</f>
        <v>@rojakreza</v>
      </c>
      <c r="C16470" s="8" t="s">
        <v>3743</v>
      </c>
      <c r="D16470" s="8">
        <v>501</v>
      </c>
      <c r="E16470" s="8">
        <v>0</v>
      </c>
      <c r="F16470" s="8">
        <v>541</v>
      </c>
    </row>
    <row r="16471" spans="1:6" ht="12.75">
      <c r="A16471" s="8">
        <v>43897.336261574077</v>
      </c>
      <c r="B16471" s="8" t="str">
        <f>HYPERLINK("https://twitter.com/bawono_geo","@bawono_geo")</f>
        <v>@bawono_geo</v>
      </c>
      <c r="C16471" s="8" t="s">
        <v>3213</v>
      </c>
      <c r="D16471" s="8">
        <v>223</v>
      </c>
      <c r="E16471" s="8">
        <v>0</v>
      </c>
      <c r="F16471" s="8">
        <v>592</v>
      </c>
    </row>
    <row r="16472" spans="1:6" ht="12.75">
      <c r="A16472" s="8">
        <v>43897.336238425924</v>
      </c>
      <c r="B16472" s="8" t="str">
        <f>HYPERLINK("https://twitter.com/AnahLasiana","@AnahLasiana")</f>
        <v>@AnahLasiana</v>
      </c>
      <c r="C16472" s="8" t="s">
        <v>6741</v>
      </c>
      <c r="D16472" s="8">
        <v>6</v>
      </c>
      <c r="E16472" s="8">
        <v>0</v>
      </c>
      <c r="F16472" s="8">
        <v>183</v>
      </c>
    </row>
    <row r="16473" spans="1:6" ht="12.75">
      <c r="A16473" s="8">
        <v>43897.3355787037</v>
      </c>
      <c r="B16473" s="8" t="str">
        <f>HYPERLINK("https://twitter.com/edito_es","@edito_es")</f>
        <v>@edito_es</v>
      </c>
      <c r="C16473" s="8" t="s">
        <v>3743</v>
      </c>
      <c r="D16473" s="8">
        <v>501</v>
      </c>
      <c r="E16473" s="8">
        <v>0</v>
      </c>
      <c r="F16473" s="8">
        <v>1639</v>
      </c>
    </row>
    <row r="16474" spans="1:6" ht="12.75">
      <c r="A16474" s="8">
        <v>43897.335509259261</v>
      </c>
      <c r="B16474" s="8" t="str">
        <f>HYPERLINK("https://twitter.com/SobariSobar1","@SobariSobar1")</f>
        <v>@SobariSobar1</v>
      </c>
      <c r="C16474" s="8" t="s">
        <v>3743</v>
      </c>
      <c r="D16474" s="8">
        <v>501</v>
      </c>
      <c r="E16474" s="8">
        <v>0</v>
      </c>
      <c r="F16474" s="8">
        <v>464</v>
      </c>
    </row>
    <row r="16475" spans="1:6" ht="12.75">
      <c r="A16475" s="8">
        <v>43897.335115740745</v>
      </c>
      <c r="B16475" s="8" t="str">
        <f>HYPERLINK("https://twitter.com/ovanz521","@ovanz521")</f>
        <v>@ovanz521</v>
      </c>
      <c r="C16475" s="8" t="s">
        <v>4818</v>
      </c>
      <c r="D16475" s="8">
        <v>179</v>
      </c>
      <c r="E16475" s="8">
        <v>0</v>
      </c>
      <c r="F16475" s="8">
        <v>341</v>
      </c>
    </row>
    <row r="16476" spans="1:6" ht="12.75">
      <c r="A16476" s="8">
        <v>43897.334791666668</v>
      </c>
      <c r="B16476" s="8" t="str">
        <f>HYPERLINK("https://twitter.com/DcEliana","@DcEliana")</f>
        <v>@DcEliana</v>
      </c>
      <c r="C16476" s="8" t="s">
        <v>4818</v>
      </c>
      <c r="D16476" s="8">
        <v>179</v>
      </c>
      <c r="E16476" s="8">
        <v>0</v>
      </c>
      <c r="F16476" s="8">
        <v>156</v>
      </c>
    </row>
    <row r="16477" spans="1:6" ht="12.75">
      <c r="A16477" s="8">
        <v>43897.334594907406</v>
      </c>
      <c r="B16477" s="8" t="str">
        <f>HYPERLINK("https://twitter.com/WatchAsra","@WatchAsra")</f>
        <v>@WatchAsra</v>
      </c>
      <c r="C16477" s="8" t="s">
        <v>6742</v>
      </c>
      <c r="D16477" s="8">
        <v>1</v>
      </c>
      <c r="E16477" s="8">
        <v>0</v>
      </c>
      <c r="F16477" s="8">
        <v>347</v>
      </c>
    </row>
    <row r="16478" spans="1:6" ht="12.75">
      <c r="A16478" s="8">
        <v>43897.33394675926</v>
      </c>
      <c r="B16478" s="8" t="str">
        <f>HYPERLINK("https://twitter.com/sipooer","@sipooer")</f>
        <v>@sipooer</v>
      </c>
      <c r="C16478" s="8" t="s">
        <v>4818</v>
      </c>
      <c r="D16478" s="8">
        <v>179</v>
      </c>
      <c r="E16478" s="8">
        <v>0</v>
      </c>
      <c r="F16478" s="8">
        <v>156</v>
      </c>
    </row>
    <row r="16479" spans="1:6" ht="12.75">
      <c r="A16479" s="8">
        <v>43897.333912037036</v>
      </c>
      <c r="B16479" s="8" t="str">
        <f>HYPERLINK("https://twitter.com/Rizpey","@Rizpey")</f>
        <v>@Rizpey</v>
      </c>
      <c r="C16479" s="8" t="s">
        <v>6743</v>
      </c>
      <c r="D16479" s="8">
        <v>1</v>
      </c>
      <c r="E16479" s="8">
        <v>0</v>
      </c>
      <c r="F16479" s="8">
        <v>400</v>
      </c>
    </row>
    <row r="16480" spans="1:6" ht="12.75">
      <c r="A16480" s="8">
        <v>43897.333599537036</v>
      </c>
      <c r="B16480" s="8" t="str">
        <f>HYPERLINK("https://twitter.com/AdnanDasuki99","@AdnanDasuki99")</f>
        <v>@AdnanDasuki99</v>
      </c>
      <c r="C16480" s="8" t="s">
        <v>4818</v>
      </c>
      <c r="D16480" s="8">
        <v>179</v>
      </c>
      <c r="E16480" s="8">
        <v>0</v>
      </c>
      <c r="F16480" s="8">
        <v>133</v>
      </c>
    </row>
    <row r="16481" spans="1:6" ht="12.75">
      <c r="A16481" s="8">
        <v>43897.333310185189</v>
      </c>
      <c r="B16481" s="8" t="str">
        <f>HYPERLINK("https://twitter.com/Kamto96126219","@Kamto96126219")</f>
        <v>@Kamto96126219</v>
      </c>
      <c r="C16481" s="8" t="s">
        <v>3743</v>
      </c>
      <c r="D16481" s="8">
        <v>501</v>
      </c>
      <c r="E16481" s="8">
        <v>0</v>
      </c>
      <c r="F16481" s="8">
        <v>416</v>
      </c>
    </row>
    <row r="16482" spans="1:6" ht="12.75">
      <c r="A16482" s="8">
        <v>43897.332962962959</v>
      </c>
      <c r="B16482" s="8" t="str">
        <f>HYPERLINK("https://twitter.com/MonoKaritas","@MonoKaritas")</f>
        <v>@MonoKaritas</v>
      </c>
      <c r="C16482" s="8" t="s">
        <v>3213</v>
      </c>
      <c r="D16482" s="8">
        <v>223</v>
      </c>
      <c r="E16482" s="8">
        <v>0</v>
      </c>
      <c r="F16482" s="8">
        <v>418</v>
      </c>
    </row>
    <row r="16483" spans="1:6" ht="12.75">
      <c r="A16483" s="8">
        <v>43897.332951388889</v>
      </c>
      <c r="B16483" s="8" t="str">
        <f>HYPERLINK("https://twitter.com/o0lius0o","@o0lius0o")</f>
        <v>@o0lius0o</v>
      </c>
      <c r="C16483" s="8" t="s">
        <v>4818</v>
      </c>
      <c r="D16483" s="8">
        <v>179</v>
      </c>
      <c r="E16483" s="8">
        <v>0</v>
      </c>
      <c r="F16483" s="8">
        <v>2</v>
      </c>
    </row>
    <row r="16484" spans="1:6" ht="12.75">
      <c r="A16484" s="8">
        <v>43897.332800925928</v>
      </c>
      <c r="B16484" s="8" t="str">
        <f>HYPERLINK("https://twitter.com/RonaldRuntuwene","@RonaldRuntuwene")</f>
        <v>@RonaldRuntuwene</v>
      </c>
      <c r="C16484" s="8" t="s">
        <v>6744</v>
      </c>
      <c r="D16484" s="8">
        <v>0</v>
      </c>
      <c r="E16484" s="8">
        <v>0</v>
      </c>
      <c r="F16484" s="8">
        <v>107</v>
      </c>
    </row>
    <row r="16485" spans="1:6" ht="12.75">
      <c r="A16485" s="8">
        <v>43897.332557870366</v>
      </c>
      <c r="B16485" s="8" t="str">
        <f>HYPERLINK("https://twitter.com/Ardi22M","@Ardi22M")</f>
        <v>@Ardi22M</v>
      </c>
      <c r="C16485" s="8" t="s">
        <v>5103</v>
      </c>
      <c r="D16485" s="8">
        <v>169</v>
      </c>
      <c r="E16485" s="8">
        <v>0</v>
      </c>
      <c r="F16485" s="8">
        <v>636</v>
      </c>
    </row>
    <row r="16486" spans="1:6" ht="12.75">
      <c r="A16486" s="8">
        <v>43897.332013888888</v>
      </c>
      <c r="B16486" s="8" t="str">
        <f>HYPERLINK("https://twitter.com/wilshere1","@wilshere1")</f>
        <v>@wilshere1</v>
      </c>
      <c r="C16486" s="8" t="s">
        <v>5511</v>
      </c>
      <c r="D16486" s="8">
        <v>14</v>
      </c>
      <c r="E16486" s="8">
        <v>0</v>
      </c>
      <c r="F16486" s="8">
        <v>120</v>
      </c>
    </row>
    <row r="16487" spans="1:6" ht="12.75">
      <c r="A16487" s="8">
        <v>43897.331701388888</v>
      </c>
      <c r="B16487" s="8" t="str">
        <f>HYPERLINK("https://twitter.com/ARidwanP","@ARidwanP")</f>
        <v>@ARidwanP</v>
      </c>
      <c r="C16487" s="8" t="s">
        <v>3743</v>
      </c>
      <c r="D16487" s="8">
        <v>501</v>
      </c>
      <c r="E16487" s="8">
        <v>0</v>
      </c>
      <c r="F16487" s="8">
        <v>242</v>
      </c>
    </row>
    <row r="16488" spans="1:6" ht="12.75">
      <c r="A16488" s="8">
        <v>43897.331655092596</v>
      </c>
      <c r="B16488" s="8" t="str">
        <f>HYPERLINK("https://twitter.com/edwinaldrianto","@edwinaldrianto")</f>
        <v>@edwinaldrianto</v>
      </c>
      <c r="C16488" s="8" t="s">
        <v>6745</v>
      </c>
      <c r="D16488" s="8">
        <v>0</v>
      </c>
      <c r="E16488" s="8">
        <v>0</v>
      </c>
      <c r="F16488" s="8">
        <v>1225</v>
      </c>
    </row>
    <row r="16489" spans="1:6" ht="12.75">
      <c r="A16489" s="8">
        <v>43897.331435185188</v>
      </c>
      <c r="B16489" s="8" t="str">
        <f>HYPERLINK("https://twitter.com/anonapostate","@anonapostate")</f>
        <v>@anonapostate</v>
      </c>
      <c r="C16489" s="8" t="s">
        <v>3213</v>
      </c>
      <c r="D16489" s="8">
        <v>223</v>
      </c>
      <c r="E16489" s="8">
        <v>0</v>
      </c>
      <c r="F16489" s="8">
        <v>301</v>
      </c>
    </row>
    <row r="16490" spans="1:6" ht="12.75">
      <c r="A16490" s="8">
        <v>43897.330879629633</v>
      </c>
      <c r="B16490" s="8" t="str">
        <f>HYPERLINK("https://twitter.com/audreyzahra","@audreyzahra")</f>
        <v>@audreyzahra</v>
      </c>
      <c r="C16490" s="8" t="s">
        <v>6128</v>
      </c>
      <c r="D16490" s="8">
        <v>32</v>
      </c>
      <c r="E16490" s="8">
        <v>0</v>
      </c>
      <c r="F16490" s="8">
        <v>671</v>
      </c>
    </row>
    <row r="16491" spans="1:6" ht="12.75">
      <c r="A16491" s="8">
        <v>43897.33084490741</v>
      </c>
      <c r="B16491" s="8" t="str">
        <f>HYPERLINK("https://twitter.com/badriyahsiti170","@badriyahsiti170")</f>
        <v>@badriyahsiti170</v>
      </c>
      <c r="C16491" s="8" t="s">
        <v>5662</v>
      </c>
      <c r="D16491" s="8">
        <v>30</v>
      </c>
      <c r="E16491" s="8">
        <v>0</v>
      </c>
      <c r="F16491" s="8">
        <v>115</v>
      </c>
    </row>
    <row r="16492" spans="1:6" ht="12.75">
      <c r="A16492" s="8">
        <v>43897.330763888887</v>
      </c>
      <c r="B16492" s="8" t="str">
        <f>HYPERLINK("https://twitter.com/ras_af06","@ras_af06")</f>
        <v>@ras_af06</v>
      </c>
      <c r="C16492" s="8" t="s">
        <v>3213</v>
      </c>
      <c r="D16492" s="8">
        <v>223</v>
      </c>
      <c r="E16492" s="8">
        <v>0</v>
      </c>
      <c r="F16492" s="8">
        <v>142</v>
      </c>
    </row>
    <row r="16493" spans="1:6" ht="12.75">
      <c r="A16493" s="8">
        <v>43897.329502314809</v>
      </c>
      <c r="B16493" s="8" t="str">
        <f>HYPERLINK("https://twitter.com/wetfloorr","@wetfloorr")</f>
        <v>@wetfloorr</v>
      </c>
      <c r="C16493" s="8" t="s">
        <v>4818</v>
      </c>
      <c r="D16493" s="8">
        <v>179</v>
      </c>
      <c r="E16493" s="8">
        <v>0</v>
      </c>
      <c r="F16493" s="8">
        <v>510</v>
      </c>
    </row>
    <row r="16494" spans="1:6" ht="12.75">
      <c r="A16494" s="8">
        <v>43897.329444444447</v>
      </c>
      <c r="B16494" s="8" t="str">
        <f>HYPERLINK("https://twitter.com/Pseudo_silk","@Pseudo_silk")</f>
        <v>@Pseudo_silk</v>
      </c>
      <c r="C16494" s="8" t="s">
        <v>4818</v>
      </c>
      <c r="D16494" s="8">
        <v>179</v>
      </c>
      <c r="E16494" s="8">
        <v>0</v>
      </c>
      <c r="F16494" s="8">
        <v>1236</v>
      </c>
    </row>
    <row r="16495" spans="1:6" ht="12.75">
      <c r="A16495" s="8">
        <v>43897.328576388885</v>
      </c>
      <c r="B16495" s="8" t="str">
        <f>HYPERLINK("https://twitter.com/Moenthelicious","@Moenthelicious")</f>
        <v>@Moenthelicious</v>
      </c>
      <c r="C16495" s="8" t="s">
        <v>4818</v>
      </c>
      <c r="D16495" s="8">
        <v>179</v>
      </c>
      <c r="E16495" s="8">
        <v>0</v>
      </c>
      <c r="F16495" s="8">
        <v>4255</v>
      </c>
    </row>
    <row r="16496" spans="1:6" ht="12.75">
      <c r="A16496" s="8">
        <v>43897.327997685185</v>
      </c>
      <c r="B16496" s="8" t="str">
        <f>HYPERLINK("https://twitter.com/Asriokina","@Asriokina")</f>
        <v>@Asriokina</v>
      </c>
      <c r="C16496" s="8" t="s">
        <v>2116</v>
      </c>
      <c r="D16496" s="8">
        <v>57</v>
      </c>
      <c r="E16496" s="8">
        <v>0</v>
      </c>
      <c r="F16496" s="8">
        <v>330</v>
      </c>
    </row>
    <row r="16497" spans="1:6" ht="12.75">
      <c r="A16497" s="8">
        <v>43897.327962962961</v>
      </c>
      <c r="B16497" s="8" t="str">
        <f>HYPERLINK("https://twitter.com/firman2030","@firman2030")</f>
        <v>@firman2030</v>
      </c>
      <c r="C16497" s="8" t="s">
        <v>6746</v>
      </c>
      <c r="D16497" s="8">
        <v>0</v>
      </c>
      <c r="E16497" s="8">
        <v>0</v>
      </c>
      <c r="F16497" s="8">
        <v>448</v>
      </c>
    </row>
    <row r="16498" spans="1:6" ht="12.75">
      <c r="A16498" s="8">
        <v>43897.327800925923</v>
      </c>
      <c r="B16498" s="8" t="str">
        <f t="shared" ref="B16498:B16499" si="250">HYPERLINK("https://twitter.com/jjsengui","@jjsengui")</f>
        <v>@jjsengui</v>
      </c>
      <c r="C16498" s="8" t="s">
        <v>6747</v>
      </c>
      <c r="D16498" s="8">
        <v>1</v>
      </c>
      <c r="E16498" s="8">
        <v>0</v>
      </c>
      <c r="F16498" s="8">
        <v>918</v>
      </c>
    </row>
    <row r="16499" spans="1:6" ht="12.75">
      <c r="A16499" s="8">
        <v>43897.327719907407</v>
      </c>
      <c r="B16499" s="8" t="str">
        <f t="shared" si="250"/>
        <v>@jjsengui</v>
      </c>
      <c r="C16499" s="8" t="s">
        <v>3213</v>
      </c>
      <c r="D16499" s="8">
        <v>223</v>
      </c>
      <c r="E16499" s="8">
        <v>0</v>
      </c>
      <c r="F16499" s="8">
        <v>918</v>
      </c>
    </row>
    <row r="16500" spans="1:6" ht="12.75">
      <c r="A16500" s="8">
        <v>43897.327048611114</v>
      </c>
      <c r="B16500" s="8" t="str">
        <f>HYPERLINK("https://twitter.com/FaizaMardz","@FaizaMardz")</f>
        <v>@FaizaMardz</v>
      </c>
      <c r="C16500" s="8" t="s">
        <v>6748</v>
      </c>
      <c r="D16500" s="8">
        <v>0</v>
      </c>
      <c r="E16500" s="8">
        <v>0</v>
      </c>
      <c r="F16500" s="8">
        <v>2892</v>
      </c>
    </row>
    <row r="16501" spans="1:6" ht="12.75">
      <c r="A16501" s="8">
        <v>43897.326898148152</v>
      </c>
      <c r="B16501" s="8" t="str">
        <f>HYPERLINK("https://twitter.com/HiaDaniel","@HiaDaniel")</f>
        <v>@HiaDaniel</v>
      </c>
      <c r="C16501" s="8" t="s">
        <v>5899</v>
      </c>
      <c r="D16501" s="8">
        <v>4</v>
      </c>
      <c r="E16501" s="8">
        <v>0</v>
      </c>
      <c r="F16501" s="8">
        <v>1085</v>
      </c>
    </row>
    <row r="16502" spans="1:6" ht="12.75">
      <c r="A16502" s="8">
        <v>43897.326863425929</v>
      </c>
      <c r="B16502" s="8" t="str">
        <f>HYPERLINK("https://twitter.com/diroshi3770","@diroshi3770")</f>
        <v>@diroshi3770</v>
      </c>
      <c r="C16502" s="8" t="s">
        <v>5899</v>
      </c>
      <c r="D16502" s="8">
        <v>4</v>
      </c>
      <c r="E16502" s="8">
        <v>0</v>
      </c>
      <c r="F16502" s="8">
        <v>1197</v>
      </c>
    </row>
    <row r="16503" spans="1:6" ht="12.75">
      <c r="A16503" s="8">
        <v>43897.326793981483</v>
      </c>
      <c r="B16503" s="8" t="str">
        <f>HYPERLINK("https://twitter.com/HiaDaniel","@HiaDaniel")</f>
        <v>@HiaDaniel</v>
      </c>
      <c r="C16503" s="8" t="s">
        <v>6749</v>
      </c>
      <c r="D16503" s="8">
        <v>0</v>
      </c>
      <c r="E16503" s="8">
        <v>0</v>
      </c>
      <c r="F16503" s="8">
        <v>1085</v>
      </c>
    </row>
    <row r="16504" spans="1:6" ht="12.75">
      <c r="A16504" s="8">
        <v>43897.326539351852</v>
      </c>
      <c r="B16504" s="8" t="str">
        <f>HYPERLINK("https://twitter.com/niluhdevia","@niluhdevia")</f>
        <v>@niluhdevia</v>
      </c>
      <c r="C16504" s="8" t="s">
        <v>3213</v>
      </c>
      <c r="D16504" s="8">
        <v>223</v>
      </c>
      <c r="E16504" s="8">
        <v>0</v>
      </c>
      <c r="F16504" s="8">
        <v>1064</v>
      </c>
    </row>
    <row r="16505" spans="1:6" ht="12.75">
      <c r="A16505" s="8">
        <v>43897.325381944444</v>
      </c>
      <c r="B16505" s="8" t="str">
        <f>HYPERLINK("https://twitter.com/dewii_pelangi","@dewii_pelangi")</f>
        <v>@dewii_pelangi</v>
      </c>
      <c r="C16505" s="8" t="s">
        <v>3213</v>
      </c>
      <c r="D16505" s="8">
        <v>223</v>
      </c>
      <c r="E16505" s="8">
        <v>0</v>
      </c>
      <c r="F16505" s="8">
        <v>861</v>
      </c>
    </row>
    <row r="16506" spans="1:6" ht="12.75">
      <c r="A16506" s="8">
        <v>43897.325219907405</v>
      </c>
      <c r="B16506" s="8" t="str">
        <f>HYPERLINK("https://twitter.com/BUS_EKONOMI","@BUS_EKONOMI")</f>
        <v>@BUS_EKONOMI</v>
      </c>
      <c r="C16506" s="8" t="s">
        <v>5899</v>
      </c>
      <c r="D16506" s="8">
        <v>4</v>
      </c>
      <c r="E16506" s="8">
        <v>0</v>
      </c>
      <c r="F16506" s="8">
        <v>3844</v>
      </c>
    </row>
    <row r="16507" spans="1:6" ht="12.75">
      <c r="A16507" s="8">
        <v>43897.325162037036</v>
      </c>
      <c r="B16507" s="8" t="str">
        <f>HYPERLINK("https://twitter.com/I_Luv300","@I_Luv300")</f>
        <v>@I_Luv300</v>
      </c>
      <c r="C16507" s="8" t="s">
        <v>3743</v>
      </c>
      <c r="D16507" s="8">
        <v>501</v>
      </c>
      <c r="E16507" s="8">
        <v>0</v>
      </c>
      <c r="F16507" s="8">
        <v>97</v>
      </c>
    </row>
    <row r="16508" spans="1:6" ht="12.75">
      <c r="A16508" s="8">
        <v>43897.324803240743</v>
      </c>
      <c r="B16508" s="8" t="str">
        <f>HYPERLINK("https://twitter.com/Ihsan30346450","@Ihsan30346450")</f>
        <v>@Ihsan30346450</v>
      </c>
      <c r="C16508" s="8" t="s">
        <v>3743</v>
      </c>
      <c r="D16508" s="8">
        <v>501</v>
      </c>
      <c r="E16508" s="8">
        <v>0</v>
      </c>
      <c r="F16508" s="8">
        <v>10</v>
      </c>
    </row>
    <row r="16509" spans="1:6" ht="12.75">
      <c r="A16509" s="8">
        <v>43897.324594907404</v>
      </c>
      <c r="B16509" s="8" t="str">
        <f>HYPERLINK("https://twitter.com/ayishandari","@ayishandari")</f>
        <v>@ayishandari</v>
      </c>
      <c r="C16509" s="8" t="s">
        <v>6750</v>
      </c>
      <c r="D16509" s="8">
        <v>0</v>
      </c>
      <c r="E16509" s="8">
        <v>2</v>
      </c>
      <c r="F16509" s="8">
        <v>1416</v>
      </c>
    </row>
    <row r="16510" spans="1:6" ht="12.75">
      <c r="A16510" s="8">
        <v>43897.324467592596</v>
      </c>
      <c r="B16510" s="8" t="str">
        <f>HYPERLINK("https://twitter.com/elkrova","@elkrova")</f>
        <v>@elkrova</v>
      </c>
      <c r="C16510" s="8" t="s">
        <v>6751</v>
      </c>
      <c r="D16510" s="8">
        <v>4</v>
      </c>
      <c r="E16510" s="8">
        <v>8</v>
      </c>
      <c r="F16510" s="8">
        <v>10929</v>
      </c>
    </row>
    <row r="16511" spans="1:6" ht="12.75">
      <c r="A16511" s="8">
        <v>43897.324444444443</v>
      </c>
      <c r="B16511" s="8" t="str">
        <f>HYPERLINK("https://twitter.com/LWutwensa","@LWutwensa")</f>
        <v>@LWutwensa</v>
      </c>
      <c r="C16511" s="8" t="s">
        <v>6752</v>
      </c>
      <c r="D16511" s="8">
        <v>0</v>
      </c>
      <c r="E16511" s="8">
        <v>0</v>
      </c>
      <c r="F16511" s="8">
        <v>3</v>
      </c>
    </row>
    <row r="16512" spans="1:6" ht="12.75">
      <c r="A16512" s="8">
        <v>43897.323842592596</v>
      </c>
      <c r="B16512" s="8" t="str">
        <f>HYPERLINK("https://twitter.com/SiluitC","@SiluitC")</f>
        <v>@SiluitC</v>
      </c>
      <c r="C16512" s="8" t="s">
        <v>6753</v>
      </c>
      <c r="D16512" s="8">
        <v>1</v>
      </c>
      <c r="E16512" s="8">
        <v>0</v>
      </c>
      <c r="F16512" s="8">
        <v>625</v>
      </c>
    </row>
    <row r="16513" spans="1:6" ht="12.75">
      <c r="A16513" s="8">
        <v>43897.32335648148</v>
      </c>
      <c r="B16513" s="8" t="str">
        <f>HYPERLINK("https://twitter.com/Wayang67913537","@Wayang67913537")</f>
        <v>@Wayang67913537</v>
      </c>
      <c r="C16513" s="8" t="s">
        <v>3743</v>
      </c>
      <c r="D16513" s="8">
        <v>501</v>
      </c>
      <c r="E16513" s="8">
        <v>0</v>
      </c>
      <c r="F16513" s="8">
        <v>96</v>
      </c>
    </row>
    <row r="16514" spans="1:6" ht="12.75">
      <c r="A16514" s="8">
        <v>43897.323298611111</v>
      </c>
      <c r="B16514" s="8" t="str">
        <f>HYPERLINK("https://twitter.com/inatamb49","@inatamb49")</f>
        <v>@inatamb49</v>
      </c>
      <c r="C16514" s="8" t="s">
        <v>3213</v>
      </c>
      <c r="D16514" s="8">
        <v>223</v>
      </c>
      <c r="E16514" s="8">
        <v>0</v>
      </c>
      <c r="F16514" s="8">
        <v>588</v>
      </c>
    </row>
    <row r="16515" spans="1:6" ht="12.75">
      <c r="A16515" s="8">
        <v>43897.322615740741</v>
      </c>
      <c r="B16515" s="8" t="str">
        <f>HYPERLINK("https://twitter.com/fitrijaniMasrun","@fitrijaniMasrun")</f>
        <v>@fitrijaniMasrun</v>
      </c>
      <c r="C16515" s="8" t="s">
        <v>6634</v>
      </c>
      <c r="D16515" s="8">
        <v>5</v>
      </c>
      <c r="E16515" s="8">
        <v>0</v>
      </c>
      <c r="F16515" s="8">
        <v>105</v>
      </c>
    </row>
    <row r="16516" spans="1:6" ht="12.75">
      <c r="A16516" s="8">
        <v>43897.320717592593</v>
      </c>
      <c r="B16516" s="8" t="str">
        <f>HYPERLINK("https://twitter.com/Donald_LR","@Donald_LR")</f>
        <v>@Donald_LR</v>
      </c>
      <c r="C16516" s="8" t="s">
        <v>5103</v>
      </c>
      <c r="D16516" s="8">
        <v>169</v>
      </c>
      <c r="E16516" s="8">
        <v>0</v>
      </c>
      <c r="F16516" s="8">
        <v>318</v>
      </c>
    </row>
    <row r="16517" spans="1:6" ht="12.75">
      <c r="A16517" s="8">
        <v>43897.320590277777</v>
      </c>
      <c r="B16517" s="8" t="str">
        <f>HYPERLINK("https://twitter.com/w_angg37","@w_angg37")</f>
        <v>@w_angg37</v>
      </c>
      <c r="C16517" s="8" t="s">
        <v>6754</v>
      </c>
      <c r="D16517" s="8">
        <v>0</v>
      </c>
      <c r="E16517" s="8">
        <v>0</v>
      </c>
      <c r="F16517" s="8">
        <v>30</v>
      </c>
    </row>
    <row r="16518" spans="1:6" ht="12.75">
      <c r="A16518" s="8">
        <v>43897.320347222223</v>
      </c>
      <c r="B16518" s="8" t="str">
        <f>HYPERLINK("https://twitter.com/salima252","@salima252")</f>
        <v>@salima252</v>
      </c>
      <c r="C16518" s="8" t="s">
        <v>6755</v>
      </c>
      <c r="D16518" s="8">
        <v>0</v>
      </c>
      <c r="E16518" s="8">
        <v>2</v>
      </c>
      <c r="F16518" s="8">
        <v>3245</v>
      </c>
    </row>
    <row r="16519" spans="1:6" ht="12.75">
      <c r="A16519" s="8">
        <v>43897.319525462968</v>
      </c>
      <c r="B16519" s="8" t="str">
        <f>HYPERLINK("https://twitter.com/kardusbox08","@kardusbox08")</f>
        <v>@kardusbox08</v>
      </c>
      <c r="C16519" s="8" t="s">
        <v>6756</v>
      </c>
      <c r="D16519" s="8">
        <v>2</v>
      </c>
      <c r="E16519" s="8">
        <v>0</v>
      </c>
      <c r="F16519" s="8">
        <v>1819</v>
      </c>
    </row>
    <row r="16520" spans="1:6" ht="12.75">
      <c r="A16520" s="8">
        <v>43897.319456018522</v>
      </c>
      <c r="B16520" s="8" t="str">
        <f>HYPERLINK("https://twitter.com/MrsRachelIn","@MrsRachelIn")</f>
        <v>@MrsRachelIn</v>
      </c>
      <c r="C16520" s="8" t="s">
        <v>6757</v>
      </c>
      <c r="D16520" s="8">
        <v>0</v>
      </c>
      <c r="E16520" s="8">
        <v>1</v>
      </c>
      <c r="F16520" s="8">
        <v>3484</v>
      </c>
    </row>
    <row r="16521" spans="1:6" ht="12.75">
      <c r="A16521" s="8">
        <v>43897.319444444445</v>
      </c>
      <c r="B16521" s="8" t="str">
        <f>HYPERLINK("https://twitter.com/eko63691","@eko63691")</f>
        <v>@eko63691</v>
      </c>
      <c r="C16521" s="8" t="s">
        <v>6758</v>
      </c>
      <c r="D16521" s="8">
        <v>0</v>
      </c>
      <c r="E16521" s="8">
        <v>1</v>
      </c>
      <c r="F16521" s="8">
        <v>1723</v>
      </c>
    </row>
    <row r="16522" spans="1:6" ht="12.75">
      <c r="A16522" s="8">
        <v>43897.319039351853</v>
      </c>
      <c r="B16522" s="8" t="str">
        <f>HYPERLINK("https://twitter.com/yudhomareskha","@yudhomareskha")</f>
        <v>@yudhomareskha</v>
      </c>
      <c r="C16522" s="8" t="s">
        <v>6759</v>
      </c>
      <c r="D16522" s="8">
        <v>0</v>
      </c>
      <c r="E16522" s="8">
        <v>0</v>
      </c>
      <c r="F16522" s="8">
        <v>159</v>
      </c>
    </row>
    <row r="16523" spans="1:6" ht="12.75">
      <c r="A16523" s="8">
        <v>43897.31895833333</v>
      </c>
      <c r="B16523" s="8" t="str">
        <f>HYPERLINK("https://twitter.com/N_Wantoro","@N_Wantoro")</f>
        <v>@N_Wantoro</v>
      </c>
      <c r="C16523" s="8" t="s">
        <v>3743</v>
      </c>
      <c r="D16523" s="8">
        <v>501</v>
      </c>
      <c r="E16523" s="8">
        <v>0</v>
      </c>
      <c r="F16523" s="8">
        <v>502</v>
      </c>
    </row>
    <row r="16524" spans="1:6" ht="12.75">
      <c r="A16524" s="8">
        <v>43897.318819444445</v>
      </c>
      <c r="B16524" s="8" t="str">
        <f>HYPERLINK("https://twitter.com/marwanridwana10","@marwanridwana10")</f>
        <v>@marwanridwana10</v>
      </c>
      <c r="C16524" s="8" t="s">
        <v>3743</v>
      </c>
      <c r="D16524" s="8">
        <v>501</v>
      </c>
      <c r="E16524" s="8">
        <v>0</v>
      </c>
      <c r="F16524" s="8">
        <v>56</v>
      </c>
    </row>
    <row r="16525" spans="1:6" ht="12.75">
      <c r="A16525" s="8">
        <v>43897.317916666667</v>
      </c>
      <c r="B16525" s="8" t="str">
        <f>HYPERLINK("https://twitter.com/SugengTan","@SugengTan")</f>
        <v>@SugengTan</v>
      </c>
      <c r="C16525" s="8" t="s">
        <v>4818</v>
      </c>
      <c r="D16525" s="8">
        <v>179</v>
      </c>
      <c r="E16525" s="8">
        <v>0</v>
      </c>
      <c r="F16525" s="8">
        <v>156</v>
      </c>
    </row>
    <row r="16526" spans="1:6" ht="12.75">
      <c r="A16526" s="8">
        <v>43897.317175925928</v>
      </c>
      <c r="B16526" s="8" t="str">
        <f>HYPERLINK("https://twitter.com/faatmarazola","@faatmarazola")</f>
        <v>@faatmarazola</v>
      </c>
      <c r="C16526" s="8" t="s">
        <v>4818</v>
      </c>
      <c r="D16526" s="8">
        <v>179</v>
      </c>
      <c r="E16526" s="8">
        <v>0</v>
      </c>
      <c r="F16526" s="8">
        <v>145</v>
      </c>
    </row>
    <row r="16527" spans="1:6" ht="12.75">
      <c r="A16527" s="8">
        <v>43897.317118055551</v>
      </c>
      <c r="B16527" s="8" t="str">
        <f>HYPERLINK("https://twitter.com/Sondha_","@Sondha_")</f>
        <v>@Sondha_</v>
      </c>
      <c r="C16527" s="8" t="s">
        <v>6760</v>
      </c>
      <c r="D16527" s="8">
        <v>0</v>
      </c>
      <c r="E16527" s="8">
        <v>0</v>
      </c>
      <c r="F16527" s="8">
        <v>1227</v>
      </c>
    </row>
    <row r="16528" spans="1:6" ht="12.75">
      <c r="A16528" s="8">
        <v>43897.316018518519</v>
      </c>
      <c r="B16528" s="8" t="str">
        <f>HYPERLINK("https://twitter.com/arfestsgester","@arfestsgester")</f>
        <v>@arfestsgester</v>
      </c>
      <c r="C16528" s="8" t="s">
        <v>3743</v>
      </c>
      <c r="D16528" s="8">
        <v>501</v>
      </c>
      <c r="E16528" s="8">
        <v>0</v>
      </c>
      <c r="F16528" s="8">
        <v>385</v>
      </c>
    </row>
    <row r="16529" spans="1:6" ht="12.75">
      <c r="A16529" s="8">
        <v>43897.315451388888</v>
      </c>
      <c r="B16529" s="8" t="str">
        <f>HYPERLINK("https://twitter.com/Gogcomander","@Gogcomander")</f>
        <v>@Gogcomander</v>
      </c>
      <c r="C16529" s="8" t="s">
        <v>5103</v>
      </c>
      <c r="D16529" s="8">
        <v>169</v>
      </c>
      <c r="E16529" s="8">
        <v>0</v>
      </c>
      <c r="F16529" s="8">
        <v>297</v>
      </c>
    </row>
    <row r="16530" spans="1:6" ht="12.75">
      <c r="A16530" s="8">
        <v>43897.315254629633</v>
      </c>
      <c r="B16530" s="8" t="str">
        <f>HYPERLINK("https://twitter.com/SugengTan","@SugengTan")</f>
        <v>@SugengTan</v>
      </c>
      <c r="C16530" s="8" t="s">
        <v>3213</v>
      </c>
      <c r="D16530" s="8">
        <v>223</v>
      </c>
      <c r="E16530" s="8">
        <v>0</v>
      </c>
      <c r="F16530" s="8">
        <v>156</v>
      </c>
    </row>
    <row r="16531" spans="1:6" ht="12.75">
      <c r="A16531" s="8">
        <v>43897.315196759257</v>
      </c>
      <c r="B16531" s="8" t="str">
        <f>HYPERLINK("https://twitter.com/ASomiret","@ASomiret")</f>
        <v>@ASomiret</v>
      </c>
      <c r="C16531" s="8" t="s">
        <v>6756</v>
      </c>
      <c r="D16531" s="8">
        <v>2</v>
      </c>
      <c r="E16531" s="8">
        <v>0</v>
      </c>
      <c r="F16531" s="8">
        <v>371</v>
      </c>
    </row>
    <row r="16532" spans="1:6" ht="12.75">
      <c r="A16532" s="8">
        <v>43897.314837962964</v>
      </c>
      <c r="B16532" s="8" t="str">
        <f>HYPERLINK("https://twitter.com/orawati","@orawati")</f>
        <v>@orawati</v>
      </c>
      <c r="C16532" s="8" t="s">
        <v>3743</v>
      </c>
      <c r="D16532" s="8">
        <v>501</v>
      </c>
      <c r="E16532" s="8">
        <v>0</v>
      </c>
      <c r="F16532" s="8">
        <v>207</v>
      </c>
    </row>
    <row r="16533" spans="1:6" ht="12.75">
      <c r="A16533" s="8">
        <v>43897.313703703709</v>
      </c>
      <c r="B16533" s="8" t="str">
        <f>HYPERLINK("https://twitter.com/pers00n","@pers00n")</f>
        <v>@pers00n</v>
      </c>
      <c r="C16533" s="8" t="s">
        <v>6761</v>
      </c>
      <c r="D16533" s="8">
        <v>0</v>
      </c>
      <c r="E16533" s="8">
        <v>1</v>
      </c>
      <c r="F16533" s="8">
        <v>0</v>
      </c>
    </row>
    <row r="16534" spans="1:6" ht="12.75">
      <c r="A16534" s="8">
        <v>43897.313067129631</v>
      </c>
      <c r="B16534" s="8" t="str">
        <f>HYPERLINK("https://twitter.com/damario04","@damario04")</f>
        <v>@damario04</v>
      </c>
      <c r="C16534" s="8" t="s">
        <v>147</v>
      </c>
      <c r="D16534" s="8">
        <v>0</v>
      </c>
      <c r="E16534" s="8">
        <v>0</v>
      </c>
      <c r="F16534" s="8">
        <v>403</v>
      </c>
    </row>
    <row r="16535" spans="1:6" ht="12.75">
      <c r="A16535" s="8">
        <v>43897.312777777777</v>
      </c>
      <c r="B16535" s="8" t="str">
        <f>HYPERLINK("https://twitter.com/Moesthofa9","@Moesthofa9")</f>
        <v>@Moesthofa9</v>
      </c>
      <c r="C16535" s="8" t="s">
        <v>3743</v>
      </c>
      <c r="D16535" s="8">
        <v>501</v>
      </c>
      <c r="E16535" s="8">
        <v>0</v>
      </c>
      <c r="F16535" s="8">
        <v>198</v>
      </c>
    </row>
    <row r="16536" spans="1:6" ht="12.75">
      <c r="A16536" s="8">
        <v>43897.312719907408</v>
      </c>
      <c r="B16536" s="8" t="str">
        <f>HYPERLINK("https://twitter.com/BuruhRantau","@BuruhRantau")</f>
        <v>@BuruhRantau</v>
      </c>
      <c r="C16536" s="8" t="s">
        <v>6762</v>
      </c>
      <c r="D16536" s="8">
        <v>2</v>
      </c>
      <c r="E16536" s="8">
        <v>3</v>
      </c>
      <c r="F16536" s="8">
        <v>4200</v>
      </c>
    </row>
    <row r="16537" spans="1:6" ht="12.75">
      <c r="A16537" s="8">
        <v>43897.312685185185</v>
      </c>
      <c r="B16537" s="8" t="str">
        <f>HYPERLINK("https://twitter.com/djombang_satoe","@djombang_satoe")</f>
        <v>@djombang_satoe</v>
      </c>
      <c r="C16537" s="8" t="s">
        <v>4818</v>
      </c>
      <c r="D16537" s="8">
        <v>179</v>
      </c>
      <c r="E16537" s="8">
        <v>0</v>
      </c>
      <c r="F16537" s="8">
        <v>295</v>
      </c>
    </row>
    <row r="16538" spans="1:6" ht="12.75">
      <c r="A16538" s="8">
        <v>43897.312650462962</v>
      </c>
      <c r="B16538" s="8" t="str">
        <f>HYPERLINK("https://twitter.com/indragiri313","@indragiri313")</f>
        <v>@indragiri313</v>
      </c>
      <c r="C16538" s="8" t="s">
        <v>3743</v>
      </c>
      <c r="D16538" s="8">
        <v>501</v>
      </c>
      <c r="E16538" s="8">
        <v>0</v>
      </c>
      <c r="F16538" s="8">
        <v>1012</v>
      </c>
    </row>
    <row r="16539" spans="1:6" ht="12.75">
      <c r="A16539" s="8">
        <v>43897.3122337963</v>
      </c>
      <c r="B16539" s="8" t="str">
        <f>HYPERLINK("https://twitter.com/imunk","@imunk")</f>
        <v>@imunk</v>
      </c>
      <c r="C16539" s="8" t="s">
        <v>3743</v>
      </c>
      <c r="D16539" s="8">
        <v>501</v>
      </c>
      <c r="E16539" s="8">
        <v>0</v>
      </c>
      <c r="F16539" s="8">
        <v>47</v>
      </c>
    </row>
    <row r="16540" spans="1:6" ht="12.75">
      <c r="A16540" s="8">
        <v>43897.311909722222</v>
      </c>
      <c r="B16540" s="8" t="str">
        <f>HYPERLINK("https://twitter.com/Kent40365342","@Kent40365342")</f>
        <v>@Kent40365342</v>
      </c>
      <c r="C16540" s="8" t="s">
        <v>6763</v>
      </c>
      <c r="D16540" s="8">
        <v>0</v>
      </c>
      <c r="E16540" s="8">
        <v>0</v>
      </c>
      <c r="F16540" s="8">
        <v>21</v>
      </c>
    </row>
    <row r="16541" spans="1:6" ht="12.75">
      <c r="A16541" s="8">
        <v>43897.31050925926</v>
      </c>
      <c r="B16541" s="8" t="str">
        <f>HYPERLINK("https://twitter.com/audreyzahra","@audreyzahra")</f>
        <v>@audreyzahra</v>
      </c>
      <c r="C16541" s="8" t="s">
        <v>3743</v>
      </c>
      <c r="D16541" s="8">
        <v>501</v>
      </c>
      <c r="E16541" s="8">
        <v>0</v>
      </c>
      <c r="F16541" s="8">
        <v>671</v>
      </c>
    </row>
    <row r="16542" spans="1:6" ht="12.75">
      <c r="A16542" s="8">
        <v>43897.310381944444</v>
      </c>
      <c r="B16542" s="8" t="str">
        <f>HYPERLINK("https://twitter.com/paybuma6","@paybuma6")</f>
        <v>@paybuma6</v>
      </c>
      <c r="C16542" s="8" t="s">
        <v>3743</v>
      </c>
      <c r="D16542" s="8">
        <v>501</v>
      </c>
      <c r="E16542" s="8">
        <v>0</v>
      </c>
      <c r="F16542" s="8">
        <v>1315</v>
      </c>
    </row>
    <row r="16543" spans="1:6" ht="12.75">
      <c r="A16543" s="8">
        <v>43897.309803240743</v>
      </c>
      <c r="B16543" s="8" t="str">
        <f>HYPERLINK("https://twitter.com/Tanlychat","@Tanlychat")</f>
        <v>@Tanlychat</v>
      </c>
      <c r="C16543" s="8" t="s">
        <v>3213</v>
      </c>
      <c r="D16543" s="8">
        <v>223</v>
      </c>
      <c r="E16543" s="8">
        <v>0</v>
      </c>
      <c r="F16543" s="8">
        <v>99</v>
      </c>
    </row>
    <row r="16544" spans="1:6" ht="12.75">
      <c r="A16544" s="8">
        <v>43897.309687500005</v>
      </c>
      <c r="B16544" s="8" t="str">
        <f>HYPERLINK("https://twitter.com/leonardo_sw98","@leonardo_sw98")</f>
        <v>@leonardo_sw98</v>
      </c>
      <c r="C16544" s="8" t="s">
        <v>3213</v>
      </c>
      <c r="D16544" s="8">
        <v>223</v>
      </c>
      <c r="E16544" s="8">
        <v>0</v>
      </c>
      <c r="F16544" s="8">
        <v>51</v>
      </c>
    </row>
    <row r="16545" spans="1:6" ht="12.75">
      <c r="A16545" s="8">
        <v>43897.309062500004</v>
      </c>
      <c r="B16545" s="8" t="str">
        <f>HYPERLINK("https://twitter.com/PertiwiSi","@PertiwiSi")</f>
        <v>@PertiwiSi</v>
      </c>
      <c r="C16545" s="8" t="s">
        <v>4818</v>
      </c>
      <c r="D16545" s="8">
        <v>179</v>
      </c>
      <c r="E16545" s="8">
        <v>0</v>
      </c>
      <c r="F16545" s="8">
        <v>10</v>
      </c>
    </row>
    <row r="16546" spans="1:6" ht="12.75">
      <c r="A16546" s="8">
        <v>43897.308969907404</v>
      </c>
      <c r="B16546" s="8" t="str">
        <f>HYPERLINK("https://twitter.com/Kaleng_Kurma","@Kaleng_Kurma")</f>
        <v>@Kaleng_Kurma</v>
      </c>
      <c r="C16546" s="8" t="s">
        <v>6764</v>
      </c>
      <c r="D16546" s="8">
        <v>157</v>
      </c>
      <c r="E16546" s="8">
        <v>0</v>
      </c>
      <c r="F16546" s="8">
        <v>226</v>
      </c>
    </row>
    <row r="16547" spans="1:6" ht="12.75">
      <c r="A16547" s="8">
        <v>43897.308877314819</v>
      </c>
      <c r="B16547" s="8" t="str">
        <f>HYPERLINK("https://twitter.com/imamhalimfarhan","@imamhalimfarhan")</f>
        <v>@imamhalimfarhan</v>
      </c>
      <c r="C16547" s="8" t="s">
        <v>3743</v>
      </c>
      <c r="D16547" s="8">
        <v>501</v>
      </c>
      <c r="E16547" s="8">
        <v>0</v>
      </c>
      <c r="F16547" s="8">
        <v>91</v>
      </c>
    </row>
    <row r="16548" spans="1:6" ht="12.75">
      <c r="A16548" s="8">
        <v>43897.308796296296</v>
      </c>
      <c r="B16548" s="8" t="str">
        <f>HYPERLINK("https://twitter.com/Sastroklengsre1","@Sastroklengsre1")</f>
        <v>@Sastroklengsre1</v>
      </c>
      <c r="C16548" s="8" t="s">
        <v>4818</v>
      </c>
      <c r="D16548" s="8">
        <v>179</v>
      </c>
      <c r="E16548" s="8">
        <v>0</v>
      </c>
      <c r="F16548" s="8">
        <v>3002</v>
      </c>
    </row>
    <row r="16549" spans="1:6" ht="12.75">
      <c r="A16549" s="8">
        <v>43897.308634259258</v>
      </c>
      <c r="B16549" s="8" t="str">
        <f>HYPERLINK("https://twitter.com/wiriantowidjaya","@wiriantowidjaya")</f>
        <v>@wiriantowidjaya</v>
      </c>
      <c r="C16549" s="8" t="s">
        <v>3213</v>
      </c>
      <c r="D16549" s="8">
        <v>223</v>
      </c>
      <c r="E16549" s="8">
        <v>0</v>
      </c>
      <c r="F16549" s="8">
        <v>1558</v>
      </c>
    </row>
    <row r="16550" spans="1:6" ht="12.75">
      <c r="A16550" s="8">
        <v>43897.308344907404</v>
      </c>
      <c r="B16550" s="8" t="str">
        <f>HYPERLINK("https://twitter.com/BimoMangkulang1","@BimoMangkulang1")</f>
        <v>@BimoMangkulang1</v>
      </c>
      <c r="C16550" s="8" t="s">
        <v>4818</v>
      </c>
      <c r="D16550" s="8">
        <v>179</v>
      </c>
      <c r="E16550" s="8">
        <v>0</v>
      </c>
      <c r="F16550" s="8">
        <v>287</v>
      </c>
    </row>
    <row r="16551" spans="1:6" ht="12.75">
      <c r="A16551" s="8">
        <v>43897.307673611111</v>
      </c>
      <c r="B16551" s="8" t="str">
        <f>HYPERLINK("https://twitter.com/__dewilestari","@__dewilestari")</f>
        <v>@__dewilestari</v>
      </c>
      <c r="C16551" s="8" t="s">
        <v>3213</v>
      </c>
      <c r="D16551" s="8">
        <v>223</v>
      </c>
      <c r="E16551" s="8">
        <v>0</v>
      </c>
      <c r="F16551" s="8">
        <v>536</v>
      </c>
    </row>
    <row r="16552" spans="1:6" ht="12.75">
      <c r="A16552" s="8">
        <v>43897.307546296295</v>
      </c>
      <c r="B16552" s="8" t="str">
        <f t="shared" ref="B16552:B16556" si="251">HYPERLINK("https://twitter.com/AnggunLasmi","@AnggunLasmi")</f>
        <v>@AnggunLasmi</v>
      </c>
      <c r="C16552" s="8" t="s">
        <v>4467</v>
      </c>
      <c r="D16552" s="8">
        <v>0</v>
      </c>
      <c r="E16552" s="8">
        <v>0</v>
      </c>
      <c r="F16552" s="8">
        <v>1</v>
      </c>
    </row>
    <row r="16553" spans="1:6" ht="12.75">
      <c r="A16553" s="8">
        <v>43897.307534722218</v>
      </c>
      <c r="B16553" s="8" t="str">
        <f t="shared" si="251"/>
        <v>@AnggunLasmi</v>
      </c>
      <c r="C16553" s="8" t="s">
        <v>6765</v>
      </c>
      <c r="D16553" s="8">
        <v>0</v>
      </c>
      <c r="E16553" s="8">
        <v>0</v>
      </c>
      <c r="F16553" s="8">
        <v>1</v>
      </c>
    </row>
    <row r="16554" spans="1:6" ht="12.75">
      <c r="A16554" s="8">
        <v>43897.307534722218</v>
      </c>
      <c r="B16554" s="8" t="str">
        <f t="shared" si="251"/>
        <v>@AnggunLasmi</v>
      </c>
      <c r="C16554" s="8" t="s">
        <v>6766</v>
      </c>
      <c r="D16554" s="8">
        <v>0</v>
      </c>
      <c r="E16554" s="8">
        <v>0</v>
      </c>
      <c r="F16554" s="8">
        <v>1</v>
      </c>
    </row>
    <row r="16555" spans="1:6" ht="12.75">
      <c r="A16555" s="8">
        <v>43897.307523148149</v>
      </c>
      <c r="B16555" s="8" t="str">
        <f t="shared" si="251"/>
        <v>@AnggunLasmi</v>
      </c>
      <c r="C16555" s="8" t="s">
        <v>6767</v>
      </c>
      <c r="D16555" s="8">
        <v>0</v>
      </c>
      <c r="E16555" s="8">
        <v>0</v>
      </c>
      <c r="F16555" s="8">
        <v>1</v>
      </c>
    </row>
    <row r="16556" spans="1:6" ht="12.75">
      <c r="A16556" s="8">
        <v>43897.307523148149</v>
      </c>
      <c r="B16556" s="8" t="str">
        <f t="shared" si="251"/>
        <v>@AnggunLasmi</v>
      </c>
      <c r="C16556" s="8" t="s">
        <v>4472</v>
      </c>
      <c r="D16556" s="8">
        <v>0</v>
      </c>
      <c r="E16556" s="8">
        <v>0</v>
      </c>
      <c r="F16556" s="8">
        <v>1</v>
      </c>
    </row>
    <row r="16557" spans="1:6" ht="12.75">
      <c r="A16557" s="8">
        <v>43897.307384259257</v>
      </c>
      <c r="B16557" s="8" t="str">
        <f>HYPERLINK("https://twitter.com/BimoMangkulang1","@BimoMangkulang1")</f>
        <v>@BimoMangkulang1</v>
      </c>
      <c r="C16557" s="8" t="s">
        <v>3213</v>
      </c>
      <c r="D16557" s="8">
        <v>223</v>
      </c>
      <c r="E16557" s="8">
        <v>0</v>
      </c>
      <c r="F16557" s="8">
        <v>287</v>
      </c>
    </row>
    <row r="16558" spans="1:6" ht="12.75">
      <c r="A16558" s="8">
        <v>43897.305949074071</v>
      </c>
      <c r="B16558" s="8" t="str">
        <f>HYPERLINK("https://twitter.com/ryanxyz","@ryanxyz")</f>
        <v>@ryanxyz</v>
      </c>
      <c r="C16558" s="8" t="s">
        <v>4818</v>
      </c>
      <c r="D16558" s="8">
        <v>179</v>
      </c>
      <c r="E16558" s="8">
        <v>0</v>
      </c>
      <c r="F16558" s="8">
        <v>1221</v>
      </c>
    </row>
    <row r="16559" spans="1:6" ht="12.75">
      <c r="A16559" s="8">
        <v>43897.305555555555</v>
      </c>
      <c r="B16559" s="8" t="str">
        <f>HYPERLINK("https://twitter.com/BaskoroKata","@BaskoroKata")</f>
        <v>@BaskoroKata</v>
      </c>
      <c r="C16559" s="8" t="s">
        <v>6768</v>
      </c>
      <c r="D16559" s="8">
        <v>0</v>
      </c>
      <c r="E16559" s="8">
        <v>2</v>
      </c>
      <c r="F16559" s="8">
        <v>1601</v>
      </c>
    </row>
    <row r="16560" spans="1:6" ht="12.75">
      <c r="A16560" s="8">
        <v>43897.305138888885</v>
      </c>
      <c r="B16560" s="8" t="str">
        <f>HYPERLINK("https://twitter.com/SultanAgunk","@SultanAgunk")</f>
        <v>@SultanAgunk</v>
      </c>
      <c r="C16560" s="8" t="s">
        <v>3743</v>
      </c>
      <c r="D16560" s="8">
        <v>501</v>
      </c>
      <c r="E16560" s="8">
        <v>0</v>
      </c>
      <c r="F16560" s="8">
        <v>1423</v>
      </c>
    </row>
    <row r="16561" spans="1:6" ht="12.75">
      <c r="A16561" s="8">
        <v>43897.305092592593</v>
      </c>
      <c r="B16561" s="8" t="str">
        <f>HYPERLINK("https://twitter.com/iriantomallera","@iriantomallera")</f>
        <v>@iriantomallera</v>
      </c>
      <c r="C16561" s="8" t="s">
        <v>6769</v>
      </c>
      <c r="D16561" s="8">
        <v>7</v>
      </c>
      <c r="E16561" s="8">
        <v>0</v>
      </c>
      <c r="F16561" s="8">
        <v>582</v>
      </c>
    </row>
    <row r="16562" spans="1:6" ht="12.75">
      <c r="A16562" s="8">
        <v>43897.30400462963</v>
      </c>
      <c r="B16562" s="8" t="str">
        <f>HYPERLINK("https://twitter.com/niluhdevia","@niluhdevia")</f>
        <v>@niluhdevia</v>
      </c>
      <c r="C16562" s="8" t="s">
        <v>6769</v>
      </c>
      <c r="D16562" s="8">
        <v>7</v>
      </c>
      <c r="E16562" s="8">
        <v>0</v>
      </c>
      <c r="F16562" s="8">
        <v>1064</v>
      </c>
    </row>
    <row r="16563" spans="1:6" ht="12.75">
      <c r="A16563" s="8">
        <v>43897.303912037038</v>
      </c>
      <c r="B16563" s="8" t="str">
        <f>HYPERLINK("https://twitter.com/tarabaksos","@tarabaksos")</f>
        <v>@tarabaksos</v>
      </c>
      <c r="C16563" s="8" t="s">
        <v>6419</v>
      </c>
      <c r="D16563" s="8">
        <v>1</v>
      </c>
      <c r="E16563" s="8">
        <v>0</v>
      </c>
      <c r="F16563" s="8">
        <v>337</v>
      </c>
    </row>
    <row r="16564" spans="1:6" ht="12.75">
      <c r="A16564" s="8">
        <v>43897.303726851853</v>
      </c>
      <c r="B16564" s="8" t="str">
        <f>HYPERLINK("https://twitter.com/SayidRidho","@SayidRidho")</f>
        <v>@SayidRidho</v>
      </c>
      <c r="C16564" s="8" t="s">
        <v>4818</v>
      </c>
      <c r="D16564" s="8">
        <v>179</v>
      </c>
      <c r="E16564" s="8">
        <v>0</v>
      </c>
      <c r="F16564" s="8">
        <v>576</v>
      </c>
    </row>
    <row r="16565" spans="1:6" ht="12.75">
      <c r="A16565" s="8">
        <v>43897.303171296298</v>
      </c>
      <c r="B16565" s="8" t="str">
        <f>HYPERLINK("https://twitter.com/C_AjiMahameru52","@C_AjiMahameru52")</f>
        <v>@C_AjiMahameru52</v>
      </c>
      <c r="C16565" s="8" t="s">
        <v>6770</v>
      </c>
      <c r="D16565" s="8">
        <v>4</v>
      </c>
      <c r="E16565" s="8">
        <v>0</v>
      </c>
      <c r="F16565" s="8">
        <v>3199</v>
      </c>
    </row>
    <row r="16566" spans="1:6" ht="12.75">
      <c r="A16566" s="8">
        <v>43897.298182870371</v>
      </c>
      <c r="B16566" s="8" t="str">
        <f>HYPERLINK("https://twitter.com/KJRIMelbourne","@KJRIMelbourne")</f>
        <v>@KJRIMelbourne</v>
      </c>
      <c r="C16566" s="8" t="s">
        <v>6771</v>
      </c>
      <c r="D16566" s="8">
        <v>0</v>
      </c>
      <c r="E16566" s="8">
        <v>0</v>
      </c>
      <c r="F16566" s="8">
        <v>4243</v>
      </c>
    </row>
    <row r="16567" spans="1:6" ht="12.75">
      <c r="A16567" s="8">
        <v>43897.297974537039</v>
      </c>
      <c r="B16567" s="8" t="str">
        <f>HYPERLINK("https://twitter.com/Tq4ryl","@Tq4ryl")</f>
        <v>@Tq4ryl</v>
      </c>
      <c r="C16567" s="8" t="s">
        <v>3743</v>
      </c>
      <c r="D16567" s="8">
        <v>465</v>
      </c>
      <c r="E16567" s="8">
        <v>0</v>
      </c>
      <c r="F16567" s="8">
        <v>347</v>
      </c>
    </row>
    <row r="16568" spans="1:6" ht="12.75">
      <c r="A16568" s="8">
        <v>43897.296956018516</v>
      </c>
      <c r="B16568" s="8" t="str">
        <f>HYPERLINK("https://twitter.com/sitorus_faishal","@sitorus_faishal")</f>
        <v>@sitorus_faishal</v>
      </c>
      <c r="C16568" s="8" t="s">
        <v>3743</v>
      </c>
      <c r="D16568" s="8">
        <v>465</v>
      </c>
      <c r="E16568" s="8">
        <v>0</v>
      </c>
      <c r="F16568" s="8">
        <v>50</v>
      </c>
    </row>
    <row r="16569" spans="1:6" ht="12.75">
      <c r="A16569" s="8">
        <v>43897.296898148154</v>
      </c>
      <c r="B16569" s="8" t="str">
        <f>HYPERLINK("https://twitter.com/toranaga3000","@toranaga3000")</f>
        <v>@toranaga3000</v>
      </c>
      <c r="C16569" s="8" t="s">
        <v>6772</v>
      </c>
      <c r="D16569" s="8">
        <v>97</v>
      </c>
      <c r="E16569" s="8">
        <v>0</v>
      </c>
      <c r="F16569" s="8">
        <v>2431</v>
      </c>
    </row>
    <row r="16570" spans="1:6" ht="12.75">
      <c r="A16570" s="8">
        <v>43897.296817129631</v>
      </c>
      <c r="B16570" s="8" t="str">
        <f>HYPERLINK("https://twitter.com/FathurYugi","@FathurYugi")</f>
        <v>@FathurYugi</v>
      </c>
      <c r="C16570" s="8" t="s">
        <v>3743</v>
      </c>
      <c r="D16570" s="8">
        <v>465</v>
      </c>
      <c r="E16570" s="8">
        <v>0</v>
      </c>
      <c r="F16570" s="8">
        <v>182</v>
      </c>
    </row>
    <row r="16571" spans="1:6" ht="12.75">
      <c r="A16571" s="8">
        <v>43897.296793981484</v>
      </c>
      <c r="B16571" s="8" t="str">
        <f>HYPERLINK("https://twitter.com/tarogong78","@tarogong78")</f>
        <v>@tarogong78</v>
      </c>
      <c r="C16571" s="8" t="s">
        <v>3743</v>
      </c>
      <c r="D16571" s="8">
        <v>465</v>
      </c>
      <c r="E16571" s="8">
        <v>0</v>
      </c>
      <c r="F16571" s="8">
        <v>10</v>
      </c>
    </row>
    <row r="16572" spans="1:6" ht="12.75">
      <c r="A16572" s="8">
        <v>43897.296412037038</v>
      </c>
      <c r="B16572" s="8" t="str">
        <f>HYPERLINK("https://twitter.com/FathoniAlvy","@FathoniAlvy")</f>
        <v>@FathoniAlvy</v>
      </c>
      <c r="C16572" s="8" t="s">
        <v>3743</v>
      </c>
      <c r="D16572" s="8">
        <v>465</v>
      </c>
      <c r="E16572" s="8">
        <v>0</v>
      </c>
      <c r="F16572" s="8">
        <v>61</v>
      </c>
    </row>
    <row r="16573" spans="1:6" ht="12.75">
      <c r="A16573" s="8">
        <v>43897.296041666668</v>
      </c>
      <c r="B16573" s="8" t="str">
        <f>HYPERLINK("https://twitter.com/sitikomariah11","@sitikomariah11")</f>
        <v>@sitikomariah11</v>
      </c>
      <c r="C16573" s="8" t="s">
        <v>4948</v>
      </c>
      <c r="D16573" s="8">
        <v>97</v>
      </c>
      <c r="E16573" s="8">
        <v>0</v>
      </c>
      <c r="F16573" s="8">
        <v>287</v>
      </c>
    </row>
    <row r="16574" spans="1:6" ht="12.75">
      <c r="A16574" s="8">
        <v>43897.295706018514</v>
      </c>
      <c r="B16574" s="8" t="str">
        <f>HYPERLINK("https://twitter.com/damario04","@damario04")</f>
        <v>@damario04</v>
      </c>
      <c r="C16574" s="8" t="s">
        <v>166</v>
      </c>
      <c r="D16574" s="8">
        <v>0</v>
      </c>
      <c r="E16574" s="8">
        <v>0</v>
      </c>
      <c r="F16574" s="8">
        <v>403</v>
      </c>
    </row>
    <row r="16575" spans="1:6" ht="12.75">
      <c r="A16575" s="8">
        <v>43897.295671296291</v>
      </c>
      <c r="B16575" s="8" t="str">
        <f>HYPERLINK("https://twitter.com/widhi_hyang","@widhi_hyang")</f>
        <v>@widhi_hyang</v>
      </c>
      <c r="C16575" s="8" t="s">
        <v>4818</v>
      </c>
      <c r="D16575" s="8">
        <v>160</v>
      </c>
      <c r="E16575" s="8">
        <v>0</v>
      </c>
      <c r="F16575" s="8">
        <v>1</v>
      </c>
    </row>
    <row r="16576" spans="1:6" ht="12.75">
      <c r="A16576" s="8">
        <v>43897.294583333336</v>
      </c>
      <c r="B16576" s="8" t="str">
        <f>HYPERLINK("https://twitter.com/adhi_beka","@adhi_beka")</f>
        <v>@adhi_beka</v>
      </c>
      <c r="C16576" s="8" t="s">
        <v>6773</v>
      </c>
      <c r="D16576" s="8">
        <v>0</v>
      </c>
      <c r="E16576" s="8">
        <v>0</v>
      </c>
      <c r="F16576" s="8">
        <v>1802</v>
      </c>
    </row>
    <row r="16577" spans="1:6" ht="12.75">
      <c r="A16577" s="8">
        <v>43897.29383101852</v>
      </c>
      <c r="B16577" s="8" t="str">
        <f>HYPERLINK("https://twitter.com/sigit_santoso77","@sigit_santoso77")</f>
        <v>@sigit_santoso77</v>
      </c>
      <c r="C16577" s="8" t="s">
        <v>4818</v>
      </c>
      <c r="D16577" s="8">
        <v>160</v>
      </c>
      <c r="E16577" s="8">
        <v>0</v>
      </c>
      <c r="F16577" s="8">
        <v>17</v>
      </c>
    </row>
    <row r="16578" spans="1:6" ht="12.75">
      <c r="A16578" s="8">
        <v>43897.293819444443</v>
      </c>
      <c r="B16578" s="8" t="str">
        <f>HYPERLINK("https://twitter.com/Dee06644722","@Dee06644722")</f>
        <v>@Dee06644722</v>
      </c>
      <c r="C16578" s="8" t="s">
        <v>4818</v>
      </c>
      <c r="D16578" s="8">
        <v>160</v>
      </c>
      <c r="E16578" s="8">
        <v>0</v>
      </c>
      <c r="F16578" s="8">
        <v>255</v>
      </c>
    </row>
    <row r="16579" spans="1:6" ht="12.75">
      <c r="A16579" s="8">
        <v>43897.292847222227</v>
      </c>
      <c r="B16579" s="8" t="str">
        <f>HYPERLINK("https://twitter.com/saifaliebahri_","@saifaliebahri_")</f>
        <v>@saifaliebahri_</v>
      </c>
      <c r="C16579" s="8" t="s">
        <v>4818</v>
      </c>
      <c r="D16579" s="8">
        <v>160</v>
      </c>
      <c r="E16579" s="8">
        <v>0</v>
      </c>
      <c r="F16579" s="8">
        <v>1418</v>
      </c>
    </row>
    <row r="16580" spans="1:6" ht="12.75">
      <c r="A16580" s="8">
        <v>43897.292754629627</v>
      </c>
      <c r="B16580" s="8" t="str">
        <f>HYPERLINK("https://twitter.com/Jonison36596259","@Jonison36596259")</f>
        <v>@Jonison36596259</v>
      </c>
      <c r="C16580" s="8" t="s">
        <v>4818</v>
      </c>
      <c r="D16580" s="8">
        <v>160</v>
      </c>
      <c r="E16580" s="8">
        <v>0</v>
      </c>
      <c r="F16580" s="8">
        <v>94</v>
      </c>
    </row>
    <row r="16581" spans="1:6" ht="12.75">
      <c r="A16581" s="8">
        <v>43897.292650462958</v>
      </c>
      <c r="B16581" s="8" t="str">
        <f>HYPERLINK("https://twitter.com/ariemessi","@ariemessi")</f>
        <v>@ariemessi</v>
      </c>
      <c r="C16581" s="8" t="s">
        <v>4818</v>
      </c>
      <c r="D16581" s="8">
        <v>160</v>
      </c>
      <c r="E16581" s="8">
        <v>0</v>
      </c>
      <c r="F16581" s="8">
        <v>376</v>
      </c>
    </row>
    <row r="16582" spans="1:6" ht="12.75">
      <c r="A16582" s="8">
        <v>43897.292615740742</v>
      </c>
      <c r="B16582" s="8" t="str">
        <f>HYPERLINK("https://twitter.com/IzzuddinRosyadi","@IzzuddinRosyadi")</f>
        <v>@IzzuddinRosyadi</v>
      </c>
      <c r="C16582" s="8" t="s">
        <v>3743</v>
      </c>
      <c r="D16582" s="8">
        <v>465</v>
      </c>
      <c r="E16582" s="8">
        <v>0</v>
      </c>
      <c r="F16582" s="8">
        <v>139</v>
      </c>
    </row>
    <row r="16583" spans="1:6" ht="12.75">
      <c r="A16583" s="8">
        <v>43897.292511574073</v>
      </c>
      <c r="B16583" s="8" t="str">
        <f>HYPERLINK("https://twitter.com/elninn","@elninn")</f>
        <v>@elninn</v>
      </c>
      <c r="C16583" s="8" t="s">
        <v>3213</v>
      </c>
      <c r="D16583" s="8">
        <v>204</v>
      </c>
      <c r="E16583" s="8">
        <v>0</v>
      </c>
      <c r="F16583" s="8">
        <v>3774</v>
      </c>
    </row>
    <row r="16584" spans="1:6" ht="12.75">
      <c r="A16584" s="8">
        <v>43897.292245370365</v>
      </c>
      <c r="B16584" s="8" t="str">
        <f>HYPERLINK("https://twitter.com/usroh2014","@usroh2014")</f>
        <v>@usroh2014</v>
      </c>
      <c r="C16584" s="8" t="s">
        <v>6128</v>
      </c>
      <c r="D16584" s="8">
        <v>31</v>
      </c>
      <c r="E16584" s="8">
        <v>0</v>
      </c>
      <c r="F16584" s="8">
        <v>83</v>
      </c>
    </row>
    <row r="16585" spans="1:6" ht="12.75">
      <c r="A16585" s="8">
        <v>43897.292129629626</v>
      </c>
      <c r="B16585" s="8" t="str">
        <f>HYPERLINK("https://twitter.com/boocheen913","@boocheen913")</f>
        <v>@boocheen913</v>
      </c>
      <c r="C16585" s="8" t="s">
        <v>2962</v>
      </c>
      <c r="D16585" s="8">
        <v>5689</v>
      </c>
      <c r="E16585" s="8">
        <v>0</v>
      </c>
      <c r="F16585" s="8">
        <v>45</v>
      </c>
    </row>
    <row r="16586" spans="1:6" ht="12.75">
      <c r="A16586" s="8">
        <v>43897.290891203702</v>
      </c>
      <c r="B16586" s="8" t="str">
        <f>HYPERLINK("https://twitter.com/willysalmoon","@willysalmoon")</f>
        <v>@willysalmoon</v>
      </c>
      <c r="C16586" s="8" t="s">
        <v>4818</v>
      </c>
      <c r="D16586" s="8">
        <v>160</v>
      </c>
      <c r="E16586" s="8">
        <v>0</v>
      </c>
      <c r="F16586" s="8">
        <v>2437</v>
      </c>
    </row>
    <row r="16587" spans="1:6" ht="12.75">
      <c r="A16587" s="8">
        <v>43897.290648148148</v>
      </c>
      <c r="B16587" s="8" t="str">
        <f>HYPERLINK("https://twitter.com/tidung_woles","@tidung_woles")</f>
        <v>@tidung_woles</v>
      </c>
      <c r="C16587" s="8" t="s">
        <v>6774</v>
      </c>
      <c r="D16587" s="8">
        <v>0</v>
      </c>
      <c r="E16587" s="8">
        <v>0</v>
      </c>
      <c r="F16587" s="8">
        <v>513</v>
      </c>
    </row>
    <row r="16588" spans="1:6" ht="12.75">
      <c r="A16588" s="8">
        <v>43897.290231481486</v>
      </c>
      <c r="B16588" s="8" t="str">
        <f>HYPERLINK("https://twitter.com/Matromli17","@Matromli17")</f>
        <v>@Matromli17</v>
      </c>
      <c r="C16588" s="8" t="s">
        <v>4818</v>
      </c>
      <c r="D16588" s="8">
        <v>160</v>
      </c>
      <c r="E16588" s="8">
        <v>0</v>
      </c>
      <c r="F16588" s="8">
        <v>47</v>
      </c>
    </row>
    <row r="16589" spans="1:6" ht="12.75">
      <c r="A16589" s="8">
        <v>43897.290185185186</v>
      </c>
      <c r="B16589" s="8" t="str">
        <f>HYPERLINK("https://twitter.com/hazelozy","@hazelozy")</f>
        <v>@hazelozy</v>
      </c>
      <c r="C16589" s="8" t="s">
        <v>6775</v>
      </c>
      <c r="D16589" s="8">
        <v>0</v>
      </c>
      <c r="E16589" s="8">
        <v>0</v>
      </c>
      <c r="F16589" s="8">
        <v>3325</v>
      </c>
    </row>
    <row r="16590" spans="1:6" ht="12.75">
      <c r="A16590" s="8">
        <v>43897.289803240739</v>
      </c>
      <c r="B16590" s="8" t="str">
        <f>HYPERLINK("https://twitter.com/Tutiek27","@Tutiek27")</f>
        <v>@Tutiek27</v>
      </c>
      <c r="C16590" s="8" t="s">
        <v>3743</v>
      </c>
      <c r="D16590" s="8">
        <v>465</v>
      </c>
      <c r="E16590" s="8">
        <v>0</v>
      </c>
      <c r="F16590" s="8">
        <v>76</v>
      </c>
    </row>
    <row r="16591" spans="1:6" ht="12.75">
      <c r="A16591" s="8">
        <v>43897.289293981477</v>
      </c>
      <c r="B16591" s="8" t="str">
        <f>HYPERLINK("https://twitter.com/lord_sbt","@lord_sbt")</f>
        <v>@lord_sbt</v>
      </c>
      <c r="C16591" s="8" t="s">
        <v>4818</v>
      </c>
      <c r="D16591" s="8">
        <v>160</v>
      </c>
      <c r="E16591" s="8">
        <v>0</v>
      </c>
      <c r="F16591" s="8">
        <v>717</v>
      </c>
    </row>
    <row r="16592" spans="1:6" ht="12.75">
      <c r="A16592" s="8">
        <v>43897.288993055554</v>
      </c>
      <c r="B16592" s="8" t="str">
        <f>HYPERLINK("https://twitter.com/kucingmati13x","@kucingmati13x")</f>
        <v>@kucingmati13x</v>
      </c>
      <c r="C16592" s="8" t="s">
        <v>3743</v>
      </c>
      <c r="D16592" s="8">
        <v>465</v>
      </c>
      <c r="E16592" s="8">
        <v>0</v>
      </c>
      <c r="F16592" s="8">
        <v>3</v>
      </c>
    </row>
    <row r="16593" spans="1:6" ht="12.75">
      <c r="A16593" s="8">
        <v>43897.288738425923</v>
      </c>
      <c r="B16593" s="8" t="str">
        <f>HYPERLINK("https://twitter.com/BoengNana","@BoengNana")</f>
        <v>@BoengNana</v>
      </c>
      <c r="C16593" s="8" t="s">
        <v>3213</v>
      </c>
      <c r="D16593" s="8">
        <v>204</v>
      </c>
      <c r="E16593" s="8">
        <v>0</v>
      </c>
      <c r="F16593" s="8">
        <v>230</v>
      </c>
    </row>
    <row r="16594" spans="1:6" ht="12.75">
      <c r="A16594" s="8">
        <v>43897.288344907407</v>
      </c>
      <c r="B16594" s="8" t="str">
        <f>HYPERLINK("https://twitter.com/SaputraBerman","@SaputraBerman")</f>
        <v>@SaputraBerman</v>
      </c>
      <c r="C16594" s="8" t="s">
        <v>4818</v>
      </c>
      <c r="D16594" s="8">
        <v>160</v>
      </c>
      <c r="E16594" s="8">
        <v>0</v>
      </c>
      <c r="F16594" s="8">
        <v>91</v>
      </c>
    </row>
    <row r="16595" spans="1:6" ht="12.75">
      <c r="A16595" s="8">
        <v>43897.28769675926</v>
      </c>
      <c r="B16595" s="8" t="str">
        <f>HYPERLINK("https://twitter.com/ArtiHar","@ArtiHar")</f>
        <v>@ArtiHar</v>
      </c>
      <c r="C16595" s="8" t="s">
        <v>3213</v>
      </c>
      <c r="D16595" s="8">
        <v>204</v>
      </c>
      <c r="E16595" s="8">
        <v>0</v>
      </c>
      <c r="F16595" s="8">
        <v>623</v>
      </c>
    </row>
    <row r="16596" spans="1:6" ht="12.75">
      <c r="A16596" s="8">
        <v>43897.287164351852</v>
      </c>
      <c r="B16596" s="8" t="str">
        <f>HYPERLINK("https://twitter.com/willylukmana","@willylukmana")</f>
        <v>@willylukmana</v>
      </c>
      <c r="C16596" s="8" t="s">
        <v>5103</v>
      </c>
      <c r="D16596" s="8">
        <v>165</v>
      </c>
      <c r="E16596" s="8">
        <v>0</v>
      </c>
      <c r="F16596" s="8">
        <v>309</v>
      </c>
    </row>
    <row r="16597" spans="1:6" ht="12.75">
      <c r="A16597" s="8">
        <v>43897.286747685182</v>
      </c>
      <c r="B16597" s="8" t="str">
        <f>HYPERLINK("https://twitter.com/rentakada1","@rentakada1")</f>
        <v>@rentakada1</v>
      </c>
      <c r="C16597" s="8" t="s">
        <v>3743</v>
      </c>
      <c r="D16597" s="8">
        <v>465</v>
      </c>
      <c r="E16597" s="8">
        <v>0</v>
      </c>
      <c r="F16597" s="8">
        <v>385</v>
      </c>
    </row>
    <row r="16598" spans="1:6" ht="12.75">
      <c r="A16598" s="8">
        <v>43897.28670138889</v>
      </c>
      <c r="B16598" s="8" t="str">
        <f>HYPERLINK("https://twitter.com/OrangBiasaSkali","@OrangBiasaSkali")</f>
        <v>@OrangBiasaSkali</v>
      </c>
      <c r="C16598" s="8" t="s">
        <v>6776</v>
      </c>
      <c r="D16598" s="8">
        <v>0</v>
      </c>
      <c r="E16598" s="8">
        <v>0</v>
      </c>
      <c r="F16598" s="8">
        <v>1</v>
      </c>
    </row>
    <row r="16599" spans="1:6" ht="12.75">
      <c r="A16599" s="8">
        <v>43897.286597222221</v>
      </c>
      <c r="B16599" s="8" t="str">
        <f>HYPERLINK("https://twitter.com/AhmadMizlie","@AhmadMizlie")</f>
        <v>@AhmadMizlie</v>
      </c>
      <c r="C16599" s="8" t="s">
        <v>3743</v>
      </c>
      <c r="D16599" s="8">
        <v>465</v>
      </c>
      <c r="E16599" s="8">
        <v>0</v>
      </c>
      <c r="F16599" s="8">
        <v>61</v>
      </c>
    </row>
    <row r="16600" spans="1:6" ht="12.75">
      <c r="A16600" s="8">
        <v>43897.285914351851</v>
      </c>
      <c r="B16600" s="8" t="str">
        <f>HYPERLINK("https://twitter.com/Mahdi86288869","@Mahdi86288869")</f>
        <v>@Mahdi86288869</v>
      </c>
      <c r="C16600" s="8" t="s">
        <v>3743</v>
      </c>
      <c r="D16600" s="8">
        <v>465</v>
      </c>
      <c r="E16600" s="8">
        <v>0</v>
      </c>
      <c r="F16600" s="8">
        <v>3</v>
      </c>
    </row>
    <row r="16601" spans="1:6" ht="12.75">
      <c r="A16601" s="8">
        <v>43897.285856481481</v>
      </c>
      <c r="B16601" s="8" t="str">
        <f>HYPERLINK("https://twitter.com/achik_ezam","@achik_ezam")</f>
        <v>@achik_ezam</v>
      </c>
      <c r="C16601" s="8" t="s">
        <v>4004</v>
      </c>
      <c r="D16601" s="8">
        <v>6</v>
      </c>
      <c r="E16601" s="8">
        <v>0</v>
      </c>
      <c r="F16601" s="8">
        <v>2770</v>
      </c>
    </row>
    <row r="16602" spans="1:6" ht="12.75">
      <c r="A16602" s="8">
        <v>43897.285451388889</v>
      </c>
      <c r="B16602" s="8" t="str">
        <f>HYPERLINK("https://twitter.com/Haluan_","@Haluan_")</f>
        <v>@Haluan_</v>
      </c>
      <c r="C16602" s="8" t="s">
        <v>6777</v>
      </c>
      <c r="D16602" s="8">
        <v>0</v>
      </c>
      <c r="E16602" s="8">
        <v>0</v>
      </c>
      <c r="F16602" s="8">
        <v>1523</v>
      </c>
    </row>
    <row r="16603" spans="1:6" ht="12.75">
      <c r="A16603" s="8">
        <v>43897.284537037034</v>
      </c>
      <c r="B16603" s="8" t="str">
        <f>HYPERLINK("https://twitter.com/EULIS61893872","@EULIS61893872")</f>
        <v>@EULIS61893872</v>
      </c>
      <c r="C16603" s="8" t="s">
        <v>6778</v>
      </c>
      <c r="D16603" s="8">
        <v>18</v>
      </c>
      <c r="E16603" s="8">
        <v>0</v>
      </c>
      <c r="F16603" s="8">
        <v>394</v>
      </c>
    </row>
    <row r="16604" spans="1:6" ht="12.75">
      <c r="A16604" s="8">
        <v>43897.284537037034</v>
      </c>
      <c r="B16604" s="8" t="str">
        <f>HYPERLINK("https://twitter.com/lord_sbt","@lord_sbt")</f>
        <v>@lord_sbt</v>
      </c>
      <c r="C16604" s="8" t="s">
        <v>3213</v>
      </c>
      <c r="D16604" s="8">
        <v>204</v>
      </c>
      <c r="E16604" s="8">
        <v>0</v>
      </c>
      <c r="F16604" s="8">
        <v>717</v>
      </c>
    </row>
    <row r="16605" spans="1:6" ht="12.75">
      <c r="A16605" s="8">
        <v>43897.284490740742</v>
      </c>
      <c r="B16605" s="8" t="str">
        <f>HYPERLINK("https://twitter.com/DickyBoni","@DickyBoni")</f>
        <v>@DickyBoni</v>
      </c>
      <c r="C16605" s="8" t="s">
        <v>4818</v>
      </c>
      <c r="D16605" s="8">
        <v>160</v>
      </c>
      <c r="E16605" s="8">
        <v>0</v>
      </c>
      <c r="F16605" s="8">
        <v>172</v>
      </c>
    </row>
    <row r="16606" spans="1:6" ht="12.75">
      <c r="A16606" s="8">
        <v>43897.283680555556</v>
      </c>
      <c r="B16606" s="8" t="str">
        <f>HYPERLINK("https://twitter.com/tombakMatahar1","@tombakMatahar1")</f>
        <v>@tombakMatahar1</v>
      </c>
      <c r="C16606" s="8" t="s">
        <v>3743</v>
      </c>
      <c r="D16606" s="8">
        <v>465</v>
      </c>
      <c r="E16606" s="8">
        <v>0</v>
      </c>
      <c r="F16606" s="8">
        <v>154</v>
      </c>
    </row>
    <row r="16607" spans="1:6" ht="12.75">
      <c r="A16607" s="8">
        <v>43897.283287037033</v>
      </c>
      <c r="B16607" s="8" t="str">
        <f>HYPERLINK("https://twitter.com/LieDetectorID","@LieDetectorID")</f>
        <v>@LieDetectorID</v>
      </c>
      <c r="C16607" s="8" t="s">
        <v>4818</v>
      </c>
      <c r="D16607" s="8">
        <v>160</v>
      </c>
      <c r="E16607" s="8">
        <v>0</v>
      </c>
      <c r="F16607" s="8">
        <v>10382</v>
      </c>
    </row>
    <row r="16608" spans="1:6" ht="12.75">
      <c r="A16608" s="8">
        <v>43897.282708333332</v>
      </c>
      <c r="B16608" s="8" t="str">
        <f>HYPERLINK("https://twitter.com/dinisatashya","@dinisatashya")</f>
        <v>@dinisatashya</v>
      </c>
      <c r="C16608" s="8" t="s">
        <v>3213</v>
      </c>
      <c r="D16608" s="8">
        <v>204</v>
      </c>
      <c r="E16608" s="8">
        <v>0</v>
      </c>
      <c r="F16608" s="8">
        <v>693</v>
      </c>
    </row>
    <row r="16609" spans="1:6" ht="12.75">
      <c r="A16609" s="8">
        <v>43897.282500000001</v>
      </c>
      <c r="B16609" s="8" t="str">
        <f>HYPERLINK("https://twitter.com/eko_alaya","@eko_alaya")</f>
        <v>@eko_alaya</v>
      </c>
      <c r="C16609" s="8" t="s">
        <v>3213</v>
      </c>
      <c r="D16609" s="8">
        <v>204</v>
      </c>
      <c r="E16609" s="8">
        <v>0</v>
      </c>
      <c r="F16609" s="8">
        <v>817</v>
      </c>
    </row>
    <row r="16610" spans="1:6" ht="12.75">
      <c r="A16610" s="8">
        <v>43897.282349537039</v>
      </c>
      <c r="B16610" s="8" t="str">
        <f>HYPERLINK("https://twitter.com/kayu_bondol","@kayu_bondol")</f>
        <v>@kayu_bondol</v>
      </c>
      <c r="C16610" s="8" t="s">
        <v>6779</v>
      </c>
      <c r="D16610" s="8">
        <v>0</v>
      </c>
      <c r="E16610" s="8">
        <v>0</v>
      </c>
      <c r="F16610" s="8">
        <v>128</v>
      </c>
    </row>
    <row r="16611" spans="1:6" ht="12.75">
      <c r="A16611" s="8">
        <v>43897.282129629632</v>
      </c>
      <c r="B16611" s="8" t="str">
        <f>HYPERLINK("https://twitter.com/antosias_26","@antosias_26")</f>
        <v>@antosias_26</v>
      </c>
      <c r="C16611" s="8" t="s">
        <v>3743</v>
      </c>
      <c r="D16611" s="8">
        <v>465</v>
      </c>
      <c r="E16611" s="8">
        <v>0</v>
      </c>
      <c r="F16611" s="8">
        <v>117</v>
      </c>
    </row>
    <row r="16612" spans="1:6" ht="12.75">
      <c r="A16612" s="8">
        <v>43897.281759259262</v>
      </c>
      <c r="B16612" s="8" t="str">
        <f>HYPERLINK("https://twitter.com/el_saddamQ","@el_saddamQ")</f>
        <v>@el_saddamQ</v>
      </c>
      <c r="C16612" s="8" t="s">
        <v>4818</v>
      </c>
      <c r="D16612" s="8">
        <v>160</v>
      </c>
      <c r="E16612" s="8">
        <v>0</v>
      </c>
      <c r="F16612" s="8">
        <v>732</v>
      </c>
    </row>
    <row r="16613" spans="1:6" ht="12.75">
      <c r="A16613" s="8">
        <v>43897.281574074077</v>
      </c>
      <c r="B16613" s="8" t="str">
        <f>HYPERLINK("https://twitter.com/FelipeSwanstAU","@FelipeSwanstAU")</f>
        <v>@FelipeSwanstAU</v>
      </c>
      <c r="C16613" s="8" t="s">
        <v>3743</v>
      </c>
      <c r="D16613" s="8">
        <v>465</v>
      </c>
      <c r="E16613" s="8">
        <v>0</v>
      </c>
      <c r="F16613" s="8">
        <v>877</v>
      </c>
    </row>
    <row r="16614" spans="1:6" ht="12.75">
      <c r="A16614" s="8">
        <v>43897.280960648146</v>
      </c>
      <c r="B16614" s="8" t="str">
        <f>HYPERLINK("https://twitter.com/AKardafie","@AKardafie")</f>
        <v>@AKardafie</v>
      </c>
      <c r="C16614" s="8" t="s">
        <v>3743</v>
      </c>
      <c r="D16614" s="8">
        <v>465</v>
      </c>
      <c r="E16614" s="8">
        <v>0</v>
      </c>
      <c r="F16614" s="8">
        <v>82</v>
      </c>
    </row>
    <row r="16615" spans="1:6" ht="12.75">
      <c r="A16615" s="8">
        <v>43897.280057870375</v>
      </c>
      <c r="B16615" s="8" t="str">
        <f>HYPERLINK("https://twitter.com/Abimany38093530","@Abimany38093530")</f>
        <v>@Abimany38093530</v>
      </c>
      <c r="C16615" s="8" t="s">
        <v>6780</v>
      </c>
      <c r="D16615" s="8">
        <v>0</v>
      </c>
      <c r="E16615" s="8">
        <v>0</v>
      </c>
      <c r="F16615" s="8">
        <v>7</v>
      </c>
    </row>
    <row r="16616" spans="1:6" ht="12.75">
      <c r="A16616" s="8">
        <v>43897.279953703706</v>
      </c>
      <c r="B16616" s="8" t="str">
        <f>HYPERLINK("https://twitter.com/dheniema","@dheniema")</f>
        <v>@dheniema</v>
      </c>
      <c r="C16616" s="8" t="s">
        <v>3743</v>
      </c>
      <c r="D16616" s="8">
        <v>465</v>
      </c>
      <c r="E16616" s="8">
        <v>0</v>
      </c>
      <c r="F16616" s="8">
        <v>480</v>
      </c>
    </row>
    <row r="16617" spans="1:6" ht="12.75">
      <c r="A16617" s="8">
        <v>43897.279386574075</v>
      </c>
      <c r="B16617" s="8" t="str">
        <f>HYPERLINK("https://twitter.com/theold_nene","@theold_nene")</f>
        <v>@theold_nene</v>
      </c>
      <c r="C16617" s="8" t="s">
        <v>3213</v>
      </c>
      <c r="D16617" s="8">
        <v>204</v>
      </c>
      <c r="E16617" s="8">
        <v>0</v>
      </c>
      <c r="F16617" s="8">
        <v>174</v>
      </c>
    </row>
    <row r="16618" spans="1:6" ht="12.75">
      <c r="A16618" s="8">
        <v>43897.279270833329</v>
      </c>
      <c r="B16618" s="8" t="str">
        <f>HYPERLINK("https://twitter.com/roberthariyant3","@roberthariyant3")</f>
        <v>@roberthariyant3</v>
      </c>
      <c r="C16618" s="8" t="s">
        <v>6781</v>
      </c>
      <c r="D16618" s="8">
        <v>0</v>
      </c>
      <c r="E16618" s="8">
        <v>0</v>
      </c>
      <c r="F16618" s="8">
        <v>4</v>
      </c>
    </row>
    <row r="16619" spans="1:6" ht="12.75">
      <c r="A16619" s="8">
        <v>43897.278391203705</v>
      </c>
      <c r="B16619" s="8" t="str">
        <f>HYPERLINK("https://twitter.com/wni_jmsri","@wni_jmsri")</f>
        <v>@wni_jmsri</v>
      </c>
      <c r="C16619" s="8" t="s">
        <v>6782</v>
      </c>
      <c r="D16619" s="8">
        <v>607</v>
      </c>
      <c r="E16619" s="8">
        <v>0</v>
      </c>
      <c r="F16619" s="8">
        <v>200</v>
      </c>
    </row>
    <row r="16620" spans="1:6" ht="12.75">
      <c r="A16620" s="8">
        <v>43897.278356481482</v>
      </c>
      <c r="B16620" s="8" t="str">
        <f>HYPERLINK("https://twitter.com/Mbut_Ahh","@Mbut_Ahh")</f>
        <v>@Mbut_Ahh</v>
      </c>
      <c r="C16620" s="8" t="s">
        <v>4818</v>
      </c>
      <c r="D16620" s="8">
        <v>160</v>
      </c>
      <c r="E16620" s="8">
        <v>0</v>
      </c>
      <c r="F16620" s="8">
        <v>191</v>
      </c>
    </row>
    <row r="16621" spans="1:6" ht="12.75">
      <c r="A16621" s="8">
        <v>43897.276365740741</v>
      </c>
      <c r="B16621" s="8" t="str">
        <f>HYPERLINK("https://twitter.com/IwanNurwulan","@IwanNurwulan")</f>
        <v>@IwanNurwulan</v>
      </c>
      <c r="C16621" s="8" t="s">
        <v>3743</v>
      </c>
      <c r="D16621" s="8">
        <v>465</v>
      </c>
      <c r="E16621" s="8">
        <v>0</v>
      </c>
      <c r="F16621" s="8">
        <v>47</v>
      </c>
    </row>
    <row r="16622" spans="1:6" ht="12.75">
      <c r="A16622" s="8">
        <v>43897.275914351849</v>
      </c>
      <c r="B16622" s="8" t="str">
        <f>HYPERLINK("https://twitter.com/Hayik02","@Hayik02")</f>
        <v>@Hayik02</v>
      </c>
      <c r="C16622" s="8" t="s">
        <v>5103</v>
      </c>
      <c r="D16622" s="8">
        <v>165</v>
      </c>
      <c r="E16622" s="8">
        <v>0</v>
      </c>
      <c r="F16622" s="8">
        <v>273</v>
      </c>
    </row>
    <row r="16623" spans="1:6" ht="12.75">
      <c r="A16623" s="8">
        <v>43897.27543981481</v>
      </c>
      <c r="B16623" s="8" t="str">
        <f>HYPERLINK("https://twitter.com/supirman_murni","@supirman_murni")</f>
        <v>@supirman_murni</v>
      </c>
      <c r="C16623" s="8" t="s">
        <v>3743</v>
      </c>
      <c r="D16623" s="8">
        <v>465</v>
      </c>
      <c r="E16623" s="8">
        <v>0</v>
      </c>
      <c r="F16623" s="8">
        <v>73</v>
      </c>
    </row>
    <row r="16624" spans="1:6" ht="12.75">
      <c r="A16624" s="8">
        <v>43897.274780092594</v>
      </c>
      <c r="B16624" s="8" t="str">
        <f>HYPERLINK("https://twitter.com/abifaqrab","@abifaqrab")</f>
        <v>@abifaqrab</v>
      </c>
      <c r="C16624" s="8" t="s">
        <v>3743</v>
      </c>
      <c r="D16624" s="8">
        <v>465</v>
      </c>
      <c r="E16624" s="8">
        <v>0</v>
      </c>
      <c r="F16624" s="8">
        <v>778</v>
      </c>
    </row>
    <row r="16625" spans="1:6" ht="12.75">
      <c r="A16625" s="8">
        <v>43897.274641203709</v>
      </c>
      <c r="B16625" s="8" t="str">
        <f>HYPERLINK("https://twitter.com/shoghirudin","@shoghirudin")</f>
        <v>@shoghirudin</v>
      </c>
      <c r="C16625" s="8" t="s">
        <v>4818</v>
      </c>
      <c r="D16625" s="8">
        <v>160</v>
      </c>
      <c r="E16625" s="8">
        <v>0</v>
      </c>
      <c r="F16625" s="8">
        <v>46</v>
      </c>
    </row>
    <row r="16626" spans="1:6" ht="12.75">
      <c r="A16626" s="8">
        <v>43897.274571759262</v>
      </c>
      <c r="B16626" s="8" t="str">
        <f>HYPERLINK("https://twitter.com/flomaria02","@flomaria02")</f>
        <v>@flomaria02</v>
      </c>
      <c r="C16626" s="8" t="s">
        <v>3213</v>
      </c>
      <c r="D16626" s="8">
        <v>204</v>
      </c>
      <c r="E16626" s="8">
        <v>0</v>
      </c>
      <c r="F16626" s="8">
        <v>230</v>
      </c>
    </row>
    <row r="16627" spans="1:6" ht="12.75">
      <c r="A16627" s="8">
        <v>43897.274328703701</v>
      </c>
      <c r="B16627" s="8" t="str">
        <f>HYPERLINK("https://twitter.com/VIVAcoid","@VIVAcoid")</f>
        <v>@VIVAcoid</v>
      </c>
      <c r="C16627" s="8" t="s">
        <v>6769</v>
      </c>
      <c r="D16627" s="8">
        <v>3</v>
      </c>
      <c r="E16627" s="8">
        <v>0</v>
      </c>
      <c r="F16627" s="8">
        <v>4175817</v>
      </c>
    </row>
    <row r="16628" spans="1:6" ht="12.75">
      <c r="A16628" s="8">
        <v>43897.27407407407</v>
      </c>
      <c r="B16628" s="8" t="str">
        <f>HYPERLINK("https://twitter.com/Feryfeb29176932","@Feryfeb29176932")</f>
        <v>@Feryfeb29176932</v>
      </c>
      <c r="C16628" s="8" t="s">
        <v>3743</v>
      </c>
      <c r="D16628" s="8">
        <v>465</v>
      </c>
      <c r="E16628" s="8">
        <v>0</v>
      </c>
      <c r="F16628" s="8">
        <v>84</v>
      </c>
    </row>
    <row r="16629" spans="1:6" ht="12.75">
      <c r="A16629" s="8">
        <v>43897.273993055554</v>
      </c>
      <c r="B16629" s="8" t="str">
        <f>HYPERLINK("https://twitter.com/vivanewscom","@vivanewscom")</f>
        <v>@vivanewscom</v>
      </c>
      <c r="C16629" s="8" t="s">
        <v>6783</v>
      </c>
      <c r="D16629" s="8">
        <v>3</v>
      </c>
      <c r="E16629" s="8">
        <v>7</v>
      </c>
      <c r="F16629" s="8">
        <v>4753</v>
      </c>
    </row>
    <row r="16630" spans="1:6" ht="12.75">
      <c r="A16630" s="8">
        <v>43897.273668981477</v>
      </c>
      <c r="B16630" s="8" t="str">
        <f>HYPERLINK("https://twitter.com/JokoFighter01","@JokoFighter01")</f>
        <v>@JokoFighter01</v>
      </c>
      <c r="C16630" s="8" t="s">
        <v>3213</v>
      </c>
      <c r="D16630" s="8">
        <v>204</v>
      </c>
      <c r="E16630" s="8">
        <v>0</v>
      </c>
      <c r="F16630" s="8">
        <v>537</v>
      </c>
    </row>
    <row r="16631" spans="1:6" ht="12.75">
      <c r="A16631" s="8">
        <v>43897.273645833338</v>
      </c>
      <c r="B16631" s="8" t="str">
        <f>HYPERLINK("https://twitter.com/AgungWidrajat","@AgungWidrajat")</f>
        <v>@AgungWidrajat</v>
      </c>
      <c r="C16631" s="8" t="s">
        <v>3213</v>
      </c>
      <c r="D16631" s="8">
        <v>204</v>
      </c>
      <c r="E16631" s="8">
        <v>0</v>
      </c>
      <c r="F16631" s="8">
        <v>2312</v>
      </c>
    </row>
    <row r="16632" spans="1:6" ht="12.75">
      <c r="A16632" s="8">
        <v>43897.272476851853</v>
      </c>
      <c r="B16632" s="8" t="str">
        <f>HYPERLINK("https://twitter.com/caitlinlauretta","@caitlinlauretta")</f>
        <v>@caitlinlauretta</v>
      </c>
      <c r="C16632" s="8" t="s">
        <v>3213</v>
      </c>
      <c r="D16632" s="8">
        <v>204</v>
      </c>
      <c r="E16632" s="8">
        <v>0</v>
      </c>
      <c r="F16632" s="8">
        <v>621</v>
      </c>
    </row>
    <row r="16633" spans="1:6" ht="12.75">
      <c r="A16633" s="8">
        <v>43897.27134259259</v>
      </c>
      <c r="B16633" s="8" t="str">
        <f>HYPERLINK("https://twitter.com/ocean_lover__","@ocean_lover__")</f>
        <v>@ocean_lover__</v>
      </c>
      <c r="C16633" s="8" t="s">
        <v>4818</v>
      </c>
      <c r="D16633" s="8">
        <v>160</v>
      </c>
      <c r="E16633" s="8">
        <v>0</v>
      </c>
      <c r="F16633" s="8">
        <v>350</v>
      </c>
    </row>
    <row r="16634" spans="1:6" ht="12.75">
      <c r="A16634" s="8">
        <v>43897.271226851852</v>
      </c>
      <c r="B16634" s="8" t="str">
        <f>HYPERLINK("https://twitter.com/Frans_Priyo","@Frans_Priyo")</f>
        <v>@Frans_Priyo</v>
      </c>
      <c r="C16634" s="8" t="s">
        <v>6784</v>
      </c>
      <c r="D16634" s="8">
        <v>0</v>
      </c>
      <c r="E16634" s="8">
        <v>0</v>
      </c>
      <c r="F16634" s="8">
        <v>3571</v>
      </c>
    </row>
    <row r="16635" spans="1:6" ht="12.75">
      <c r="A16635" s="8">
        <v>43897.270914351851</v>
      </c>
      <c r="B16635" s="8" t="str">
        <f>HYPERLINK("https://twitter.com/SriNeng70160486","@SriNeng70160486")</f>
        <v>@SriNeng70160486</v>
      </c>
      <c r="C16635" s="8" t="s">
        <v>6785</v>
      </c>
      <c r="D16635" s="8">
        <v>1</v>
      </c>
      <c r="E16635" s="8">
        <v>0</v>
      </c>
      <c r="F16635" s="8">
        <v>568</v>
      </c>
    </row>
    <row r="16636" spans="1:6" ht="12.75">
      <c r="A16636" s="8">
        <v>43897.270856481482</v>
      </c>
      <c r="B16636" s="8" t="str">
        <f>HYPERLINK("https://twitter.com/PantunJ2P","@PantunJ2P")</f>
        <v>@PantunJ2P</v>
      </c>
      <c r="C16636" s="8" t="s">
        <v>4818</v>
      </c>
      <c r="D16636" s="8">
        <v>160</v>
      </c>
      <c r="E16636" s="8">
        <v>0</v>
      </c>
      <c r="F16636" s="8">
        <v>12962</v>
      </c>
    </row>
    <row r="16637" spans="1:6" ht="12.75">
      <c r="A16637" s="8">
        <v>43897.270821759259</v>
      </c>
      <c r="B16637" s="8" t="str">
        <f>HYPERLINK("https://twitter.com/toranaga3000","@toranaga3000")</f>
        <v>@toranaga3000</v>
      </c>
      <c r="C16637" s="8" t="s">
        <v>3743</v>
      </c>
      <c r="D16637" s="8">
        <v>465</v>
      </c>
      <c r="E16637" s="8">
        <v>0</v>
      </c>
      <c r="F16637" s="8">
        <v>2431</v>
      </c>
    </row>
    <row r="16638" spans="1:6" ht="12.75">
      <c r="A16638" s="8">
        <v>43897.270324074074</v>
      </c>
      <c r="B16638" s="8" t="str">
        <f>HYPERLINK("https://twitter.com/BambangSriyant9","@BambangSriyant9")</f>
        <v>@BambangSriyant9</v>
      </c>
      <c r="C16638" s="8" t="s">
        <v>5944</v>
      </c>
      <c r="D16638" s="8">
        <v>8</v>
      </c>
      <c r="E16638" s="8">
        <v>0</v>
      </c>
      <c r="F16638" s="8">
        <v>54</v>
      </c>
    </row>
    <row r="16639" spans="1:6" ht="12.75">
      <c r="A16639" s="8">
        <v>43897.270231481481</v>
      </c>
      <c r="B16639" s="8" t="str">
        <f>HYPERLINK("https://twitter.com/audityaaaaa","@audityaaaaa")</f>
        <v>@audityaaaaa</v>
      </c>
      <c r="C16639" s="8" t="s">
        <v>3213</v>
      </c>
      <c r="D16639" s="8">
        <v>204</v>
      </c>
      <c r="E16639" s="8">
        <v>0</v>
      </c>
      <c r="F16639" s="8">
        <v>104</v>
      </c>
    </row>
    <row r="16640" spans="1:6" ht="12.75">
      <c r="A16640" s="8">
        <v>43897.269745370373</v>
      </c>
      <c r="B16640" s="8" t="str">
        <f>HYPERLINK("https://twitter.com/SRusono","@SRusono")</f>
        <v>@SRusono</v>
      </c>
      <c r="C16640" s="8" t="s">
        <v>6786</v>
      </c>
      <c r="D16640" s="8">
        <v>0</v>
      </c>
      <c r="E16640" s="8">
        <v>0</v>
      </c>
      <c r="F16640" s="8">
        <v>3</v>
      </c>
    </row>
    <row r="16641" spans="1:6" ht="12.75">
      <c r="A16641" s="8">
        <v>43897.269594907411</v>
      </c>
      <c r="B16641" s="8" t="str">
        <f>HYPERLINK("https://twitter.com/Khong_Beng","@Khong_Beng")</f>
        <v>@Khong_Beng</v>
      </c>
      <c r="C16641" s="8" t="s">
        <v>6787</v>
      </c>
      <c r="D16641" s="8">
        <v>2</v>
      </c>
      <c r="E16641" s="8">
        <v>0</v>
      </c>
      <c r="F16641" s="8">
        <v>166</v>
      </c>
    </row>
    <row r="16642" spans="1:6" ht="12.75">
      <c r="A16642" s="8">
        <v>43897.268807870365</v>
      </c>
      <c r="B16642" s="8" t="str">
        <f>HYPERLINK("https://twitter.com/RMOLNetwork","@RMOLNetwork")</f>
        <v>@RMOLNetwork</v>
      </c>
      <c r="C16642" s="8" t="s">
        <v>6788</v>
      </c>
      <c r="D16642" s="8">
        <v>0</v>
      </c>
      <c r="E16642" s="8">
        <v>0</v>
      </c>
      <c r="F16642" s="8">
        <v>5466</v>
      </c>
    </row>
    <row r="16643" spans="1:6" ht="12.75">
      <c r="A16643" s="8">
        <v>43897.268553240741</v>
      </c>
      <c r="B16643" s="8" t="str">
        <f>HYPERLINK("https://twitter.com/isis_meurer","@isis_meurer")</f>
        <v>@isis_meurer</v>
      </c>
      <c r="C16643" s="8" t="s">
        <v>6789</v>
      </c>
      <c r="D16643" s="8">
        <v>0</v>
      </c>
      <c r="E16643" s="8">
        <v>1</v>
      </c>
      <c r="F16643" s="8">
        <v>709</v>
      </c>
    </row>
    <row r="16644" spans="1:6" ht="12.75">
      <c r="A16644" s="8">
        <v>43897.268368055556</v>
      </c>
      <c r="B16644" s="8" t="str">
        <f>HYPERLINK("https://twitter.com/HafsahHerlina","@HafsahHerlina")</f>
        <v>@HafsahHerlina</v>
      </c>
      <c r="C16644" s="8" t="s">
        <v>3743</v>
      </c>
      <c r="D16644" s="8">
        <v>465</v>
      </c>
      <c r="E16644" s="8">
        <v>0</v>
      </c>
      <c r="F16644" s="8">
        <v>14</v>
      </c>
    </row>
    <row r="16645" spans="1:6" ht="12.75">
      <c r="A16645" s="8">
        <v>43897.267476851848</v>
      </c>
      <c r="B16645" s="8" t="str">
        <f>HYPERLINK("https://twitter.com/rianku02","@rianku02")</f>
        <v>@rianku02</v>
      </c>
      <c r="C16645" s="8" t="s">
        <v>4818</v>
      </c>
      <c r="D16645" s="8">
        <v>160</v>
      </c>
      <c r="E16645" s="8">
        <v>0</v>
      </c>
      <c r="F16645" s="8">
        <v>271</v>
      </c>
    </row>
    <row r="16646" spans="1:6" ht="12.75">
      <c r="A16646" s="8">
        <v>43897.267291666663</v>
      </c>
      <c r="B16646" s="8" t="str">
        <f>HYPERLINK("https://twitter.com/BudTeguh","@BudTeguh")</f>
        <v>@BudTeguh</v>
      </c>
      <c r="C16646" s="8" t="s">
        <v>4818</v>
      </c>
      <c r="D16646" s="8">
        <v>160</v>
      </c>
      <c r="E16646" s="8">
        <v>0</v>
      </c>
      <c r="F16646" s="8">
        <v>530</v>
      </c>
    </row>
    <row r="16647" spans="1:6" ht="12.75">
      <c r="A16647" s="8">
        <v>43897.26725694444</v>
      </c>
      <c r="B16647" s="8" t="str">
        <f>HYPERLINK("https://twitter.com/fitrimallcom","@fitrimallcom")</f>
        <v>@fitrimallcom</v>
      </c>
      <c r="C16647" s="8" t="s">
        <v>3743</v>
      </c>
      <c r="D16647" s="8">
        <v>465</v>
      </c>
      <c r="E16647" s="8">
        <v>0</v>
      </c>
      <c r="F16647" s="8">
        <v>245</v>
      </c>
    </row>
    <row r="16648" spans="1:6" ht="12.75">
      <c r="A16648" s="8">
        <v>43897.267210648148</v>
      </c>
      <c r="B16648" s="8" t="str">
        <f>HYPERLINK("https://twitter.com/YudiY2E","@YudiY2E")</f>
        <v>@YudiY2E</v>
      </c>
      <c r="C16648" s="8" t="s">
        <v>3743</v>
      </c>
      <c r="D16648" s="8">
        <v>465</v>
      </c>
      <c r="E16648" s="8">
        <v>0</v>
      </c>
      <c r="F16648" s="8">
        <v>1162</v>
      </c>
    </row>
    <row r="16649" spans="1:6" ht="12.75">
      <c r="A16649" s="8">
        <v>43897.267210648148</v>
      </c>
      <c r="B16649" s="8" t="str">
        <f>HYPERLINK("https://twitter.com/masayaharuhi","@masayaharuhi")</f>
        <v>@masayaharuhi</v>
      </c>
      <c r="C16649" s="8" t="s">
        <v>3743</v>
      </c>
      <c r="D16649" s="8">
        <v>465</v>
      </c>
      <c r="E16649" s="8">
        <v>0</v>
      </c>
      <c r="F16649" s="8">
        <v>1000</v>
      </c>
    </row>
    <row r="16650" spans="1:6" ht="12.75">
      <c r="A16650" s="8">
        <v>43897.266550925924</v>
      </c>
      <c r="B16650" s="8" t="str">
        <f>HYPERLINK("https://twitter.com/RoroMenduttt","@RoroMenduttt")</f>
        <v>@RoroMenduttt</v>
      </c>
      <c r="C16650" s="8" t="s">
        <v>6790</v>
      </c>
      <c r="D16650" s="8">
        <v>0</v>
      </c>
      <c r="E16650" s="8">
        <v>0</v>
      </c>
      <c r="F16650" s="8">
        <v>4544</v>
      </c>
    </row>
    <row r="16651" spans="1:6" ht="12.75">
      <c r="A16651" s="8">
        <v>43897.266435185185</v>
      </c>
      <c r="B16651" s="8" t="str">
        <f>HYPERLINK("https://twitter.com/NdesoParjo","@NdesoParjo")</f>
        <v>@NdesoParjo</v>
      </c>
      <c r="C16651" s="8" t="s">
        <v>3743</v>
      </c>
      <c r="D16651" s="8">
        <v>465</v>
      </c>
      <c r="E16651" s="8">
        <v>0</v>
      </c>
      <c r="F16651" s="8">
        <v>126</v>
      </c>
    </row>
    <row r="16652" spans="1:6" ht="12.75">
      <c r="A16652" s="8">
        <v>43897.26630787037</v>
      </c>
      <c r="B16652" s="8" t="str">
        <f>HYPERLINK("https://twitter.com/Abhimjoky","@Abhimjoky")</f>
        <v>@Abhimjoky</v>
      </c>
      <c r="C16652" s="8" t="s">
        <v>4818</v>
      </c>
      <c r="D16652" s="8">
        <v>160</v>
      </c>
      <c r="E16652" s="8">
        <v>0</v>
      </c>
      <c r="F16652" s="8">
        <v>566</v>
      </c>
    </row>
    <row r="16653" spans="1:6" ht="12.75">
      <c r="A16653" s="8">
        <v>43897.26525462963</v>
      </c>
      <c r="B16653" s="8" t="str">
        <f>HYPERLINK("https://twitter.com/PSRawat33185162","@PSRawat33185162")</f>
        <v>@PSRawat33185162</v>
      </c>
      <c r="C16653" s="8" t="s">
        <v>6791</v>
      </c>
      <c r="D16653" s="8">
        <v>0</v>
      </c>
      <c r="E16653" s="8">
        <v>0</v>
      </c>
      <c r="F16653" s="8">
        <v>3</v>
      </c>
    </row>
    <row r="16654" spans="1:6" ht="12.75">
      <c r="A16654" s="8">
        <v>43897.26489583333</v>
      </c>
      <c r="B16654" s="8" t="str">
        <f>HYPERLINK("https://twitter.com/adilmer4","@adilmer4")</f>
        <v>@adilmer4</v>
      </c>
      <c r="C16654" s="8" t="s">
        <v>6792</v>
      </c>
      <c r="D16654" s="8">
        <v>1</v>
      </c>
      <c r="E16654" s="8">
        <v>0</v>
      </c>
      <c r="F16654" s="8">
        <v>1507</v>
      </c>
    </row>
    <row r="16655" spans="1:6" ht="12.75">
      <c r="A16655" s="8">
        <v>43897.26461805556</v>
      </c>
      <c r="B16655" s="8" t="str">
        <f>HYPERLINK("https://twitter.com/isla_illank","@isla_illank")</f>
        <v>@isla_illank</v>
      </c>
      <c r="C16655" s="8" t="s">
        <v>3743</v>
      </c>
      <c r="D16655" s="8">
        <v>465</v>
      </c>
      <c r="E16655" s="8">
        <v>0</v>
      </c>
      <c r="F16655" s="8">
        <v>121</v>
      </c>
    </row>
    <row r="16656" spans="1:6" ht="12.75">
      <c r="A16656" s="8">
        <v>43897.264386574076</v>
      </c>
      <c r="B16656" s="8" t="str">
        <f>HYPERLINK("https://twitter.com/UfronArifin","@UfronArifin")</f>
        <v>@UfronArifin</v>
      </c>
      <c r="C16656" s="8" t="s">
        <v>3743</v>
      </c>
      <c r="D16656" s="8">
        <v>465</v>
      </c>
      <c r="E16656" s="8">
        <v>0</v>
      </c>
      <c r="F16656" s="8">
        <v>229</v>
      </c>
    </row>
    <row r="16657" spans="1:6" ht="12.75">
      <c r="A16657" s="8">
        <v>43897.26427083333</v>
      </c>
      <c r="B16657" s="8" t="str">
        <f>HYPERLINK("https://twitter.com/sri_gunadi","@sri_gunadi")</f>
        <v>@sri_gunadi</v>
      </c>
      <c r="C16657" s="8" t="s">
        <v>3743</v>
      </c>
      <c r="D16657" s="8">
        <v>465</v>
      </c>
      <c r="E16657" s="8">
        <v>0</v>
      </c>
      <c r="F16657" s="8">
        <v>8</v>
      </c>
    </row>
    <row r="16658" spans="1:6" ht="12.75">
      <c r="A16658" s="8">
        <v>43897.263657407406</v>
      </c>
      <c r="B16658" s="8" t="str">
        <f>HYPERLINK("https://twitter.com/SuksmaM","@SuksmaM")</f>
        <v>@SuksmaM</v>
      </c>
      <c r="C16658" s="8" t="s">
        <v>6793</v>
      </c>
      <c r="D16658" s="8">
        <v>1</v>
      </c>
      <c r="E16658" s="8">
        <v>0</v>
      </c>
      <c r="F16658" s="8">
        <v>1743</v>
      </c>
    </row>
    <row r="16659" spans="1:6" ht="12.75">
      <c r="A16659" s="8">
        <v>43897.263506944444</v>
      </c>
      <c r="B16659" s="8" t="str">
        <f>HYPERLINK("https://twitter.com/Mbut_Ahh","@Mbut_Ahh")</f>
        <v>@Mbut_Ahh</v>
      </c>
      <c r="C16659" s="8" t="s">
        <v>6794</v>
      </c>
      <c r="D16659" s="8">
        <v>0</v>
      </c>
      <c r="E16659" s="8">
        <v>0</v>
      </c>
      <c r="F16659" s="8">
        <v>191</v>
      </c>
    </row>
    <row r="16660" spans="1:6" ht="12.75">
      <c r="A16660" s="8">
        <v>43897.262997685189</v>
      </c>
      <c r="B16660" s="8" t="str">
        <f>HYPERLINK("https://twitter.com/BaBaN_Elect","@BaBaN_Elect")</f>
        <v>@BaBaN_Elect</v>
      </c>
      <c r="C16660" s="8" t="s">
        <v>5944</v>
      </c>
      <c r="D16660" s="8">
        <v>8</v>
      </c>
      <c r="E16660" s="8">
        <v>0</v>
      </c>
      <c r="F16660" s="8">
        <v>7</v>
      </c>
    </row>
    <row r="16661" spans="1:6" ht="12.75">
      <c r="A16661" s="8">
        <v>43897.262870370367</v>
      </c>
      <c r="B16661" s="8" t="str">
        <f>HYPERLINK("https://twitter.com/gwdatanglagih","@gwdatanglagih")</f>
        <v>@gwdatanglagih</v>
      </c>
      <c r="C16661" s="8" t="s">
        <v>6795</v>
      </c>
      <c r="D16661" s="8">
        <v>0</v>
      </c>
      <c r="E16661" s="8">
        <v>0</v>
      </c>
      <c r="F16661" s="8">
        <v>499</v>
      </c>
    </row>
    <row r="16662" spans="1:6" ht="12.75">
      <c r="A16662" s="8">
        <v>43897.262650462959</v>
      </c>
      <c r="B16662" s="8" t="str">
        <f>HYPERLINK("https://twitter.com/Mulyana83791524","@Mulyana83791524")</f>
        <v>@Mulyana83791524</v>
      </c>
      <c r="C16662" s="8" t="s">
        <v>3743</v>
      </c>
      <c r="D16662" s="8">
        <v>465</v>
      </c>
      <c r="E16662" s="8">
        <v>0</v>
      </c>
      <c r="F16662" s="8">
        <v>745</v>
      </c>
    </row>
    <row r="16663" spans="1:6" ht="12.75">
      <c r="A16663" s="8">
        <v>43897.262546296297</v>
      </c>
      <c r="B16663" s="8" t="str">
        <f>HYPERLINK("https://twitter.com/shark9011","@shark9011")</f>
        <v>@shark9011</v>
      </c>
      <c r="C16663" s="8" t="s">
        <v>3213</v>
      </c>
      <c r="D16663" s="8">
        <v>204</v>
      </c>
      <c r="E16663" s="8">
        <v>0</v>
      </c>
      <c r="F16663" s="8">
        <v>40</v>
      </c>
    </row>
    <row r="16664" spans="1:6" ht="12.75">
      <c r="A16664" s="8">
        <v>43897.262361111112</v>
      </c>
      <c r="B16664" s="8" t="str">
        <f>HYPERLINK("https://twitter.com/AhmadAb66346292","@AhmadAb66346292")</f>
        <v>@AhmadAb66346292</v>
      </c>
      <c r="C16664" s="8" t="s">
        <v>3743</v>
      </c>
      <c r="D16664" s="8">
        <v>465</v>
      </c>
      <c r="E16664" s="8">
        <v>0</v>
      </c>
      <c r="F16664" s="8">
        <v>95</v>
      </c>
    </row>
    <row r="16665" spans="1:6" ht="12.75">
      <c r="A16665" s="8">
        <v>43897.262094907404</v>
      </c>
      <c r="B16665" s="8" t="str">
        <f>HYPERLINK("https://twitter.com/EndjahH","@EndjahH")</f>
        <v>@EndjahH</v>
      </c>
      <c r="C16665" s="8" t="s">
        <v>6796</v>
      </c>
      <c r="D16665" s="8">
        <v>1</v>
      </c>
      <c r="E16665" s="8">
        <v>4</v>
      </c>
      <c r="F16665" s="8">
        <v>11641</v>
      </c>
    </row>
    <row r="16666" spans="1:6" ht="12.75">
      <c r="A16666" s="8">
        <v>43897.256342592591</v>
      </c>
      <c r="B16666" s="8" t="str">
        <f>HYPERLINK("https://twitter.com/editya77","@editya77")</f>
        <v>@editya77</v>
      </c>
      <c r="C16666" s="8" t="s">
        <v>3213</v>
      </c>
      <c r="D16666" s="8">
        <v>186</v>
      </c>
      <c r="E16666" s="8">
        <v>0</v>
      </c>
      <c r="F16666" s="8">
        <v>860</v>
      </c>
    </row>
    <row r="16667" spans="1:6" ht="12.75">
      <c r="A16667" s="8">
        <v>43897.255173611113</v>
      </c>
      <c r="B16667" s="8" t="str">
        <f>HYPERLINK("https://twitter.com/_CHlS_","@_CHlS_")</f>
        <v>@_CHlS_</v>
      </c>
      <c r="C16667" s="8" t="s">
        <v>6778</v>
      </c>
      <c r="D16667" s="8">
        <v>16</v>
      </c>
      <c r="E16667" s="8">
        <v>0</v>
      </c>
      <c r="F16667" s="8">
        <v>2829</v>
      </c>
    </row>
    <row r="16668" spans="1:6" ht="12.75">
      <c r="A16668" s="8">
        <v>43897.254583333328</v>
      </c>
      <c r="B16668" s="8" t="str">
        <f>HYPERLINK("https://twitter.com/Dreinayon","@Dreinayon")</f>
        <v>@Dreinayon</v>
      </c>
      <c r="C16668" s="8" t="s">
        <v>3213</v>
      </c>
      <c r="D16668" s="8">
        <v>186</v>
      </c>
      <c r="E16668" s="8">
        <v>0</v>
      </c>
      <c r="F16668" s="8">
        <v>2549</v>
      </c>
    </row>
    <row r="16669" spans="1:6" ht="12.75">
      <c r="A16669" s="8">
        <v>43897.254444444443</v>
      </c>
      <c r="B16669" s="8" t="str">
        <f>HYPERLINK("https://twitter.com/FernandoMorrzie","@FernandoMorrzie")</f>
        <v>@FernandoMorrzie</v>
      </c>
      <c r="C16669" s="8" t="s">
        <v>3743</v>
      </c>
      <c r="D16669" s="8">
        <v>420</v>
      </c>
      <c r="E16669" s="8">
        <v>0</v>
      </c>
      <c r="F16669" s="8">
        <v>37</v>
      </c>
    </row>
    <row r="16670" spans="1:6" ht="12.75">
      <c r="A16670" s="8">
        <v>43897.254317129627</v>
      </c>
      <c r="B16670" s="8" t="str">
        <f>HYPERLINK("https://twitter.com/T14503NG","@T14503NG")</f>
        <v>@T14503NG</v>
      </c>
      <c r="C16670" s="8" t="s">
        <v>3213</v>
      </c>
      <c r="D16670" s="8">
        <v>186</v>
      </c>
      <c r="E16670" s="8">
        <v>0</v>
      </c>
      <c r="F16670" s="8">
        <v>849</v>
      </c>
    </row>
    <row r="16671" spans="1:6" ht="12.75">
      <c r="A16671" s="8">
        <v>43897.253842592589</v>
      </c>
      <c r="B16671" s="8" t="str">
        <f>HYPERLINK("https://twitter.com/Skywalk42624911","@Skywalk42624911")</f>
        <v>@Skywalk42624911</v>
      </c>
      <c r="C16671" s="8" t="s">
        <v>6797</v>
      </c>
      <c r="D16671" s="8">
        <v>0</v>
      </c>
      <c r="E16671" s="8">
        <v>0</v>
      </c>
      <c r="F16671" s="8">
        <v>0</v>
      </c>
    </row>
    <row r="16672" spans="1:6" ht="12.75">
      <c r="A16672" s="8">
        <v>43897.253391203703</v>
      </c>
      <c r="B16672" s="8" t="str">
        <f>HYPERLINK("https://twitter.com/hans_tbn","@hans_tbn")</f>
        <v>@hans_tbn</v>
      </c>
      <c r="C16672" s="8" t="s">
        <v>5103</v>
      </c>
      <c r="D16672" s="8">
        <v>162</v>
      </c>
      <c r="E16672" s="8">
        <v>0</v>
      </c>
      <c r="F16672" s="8">
        <v>514</v>
      </c>
    </row>
    <row r="16673" spans="1:6" ht="12.75">
      <c r="A16673" s="8">
        <v>43897.253101851849</v>
      </c>
      <c r="B16673" s="8" t="str">
        <f>HYPERLINK("https://twitter.com/abielcokopay","@abielcokopay")</f>
        <v>@abielcokopay</v>
      </c>
      <c r="C16673" s="8" t="s">
        <v>3743</v>
      </c>
      <c r="D16673" s="8">
        <v>420</v>
      </c>
      <c r="E16673" s="8">
        <v>0</v>
      </c>
      <c r="F16673" s="8">
        <v>77</v>
      </c>
    </row>
    <row r="16674" spans="1:6" ht="12.75">
      <c r="A16674" s="8">
        <v>43897.25299768518</v>
      </c>
      <c r="B16674" s="8" t="str">
        <f>HYPERLINK("https://twitter.com/wibowodwicahyo","@wibowodwicahyo")</f>
        <v>@wibowodwicahyo</v>
      </c>
      <c r="C16674" s="8" t="s">
        <v>2199</v>
      </c>
      <c r="D16674" s="8">
        <v>9101</v>
      </c>
      <c r="E16674" s="8">
        <v>0</v>
      </c>
      <c r="F16674" s="8">
        <v>552</v>
      </c>
    </row>
    <row r="16675" spans="1:6" ht="12.75">
      <c r="A16675" s="8">
        <v>43897.252511574072</v>
      </c>
      <c r="B16675" s="8" t="str">
        <f>HYPERLINK("https://twitter.com/AnakLolina","@AnakLolina")</f>
        <v>@AnakLolina</v>
      </c>
      <c r="C16675" s="8" t="s">
        <v>6798</v>
      </c>
      <c r="D16675" s="8">
        <v>1</v>
      </c>
      <c r="E16675" s="8">
        <v>0</v>
      </c>
      <c r="F16675" s="8">
        <v>15199</v>
      </c>
    </row>
    <row r="16676" spans="1:6" ht="12.75">
      <c r="A16676" s="8">
        <v>43897.252442129626</v>
      </c>
      <c r="B16676" s="8" t="str">
        <f>HYPERLINK("https://twitter.com/Ben67711714","@Ben67711714")</f>
        <v>@Ben67711714</v>
      </c>
      <c r="C16676" s="8" t="s">
        <v>6799</v>
      </c>
      <c r="D16676" s="8">
        <v>0</v>
      </c>
      <c r="E16676" s="8">
        <v>0</v>
      </c>
      <c r="F16676" s="8">
        <v>120</v>
      </c>
    </row>
    <row r="16677" spans="1:6" ht="12.75">
      <c r="A16677" s="8">
        <v>43897.252256944441</v>
      </c>
      <c r="B16677" s="8" t="str">
        <f>HYPERLINK("https://twitter.com/radinsadega","@radinsadega")</f>
        <v>@radinsadega</v>
      </c>
      <c r="C16677" s="8" t="s">
        <v>6800</v>
      </c>
      <c r="D16677" s="8">
        <v>0</v>
      </c>
      <c r="E16677" s="8">
        <v>0</v>
      </c>
      <c r="F16677" s="8">
        <v>43</v>
      </c>
    </row>
    <row r="16678" spans="1:6" ht="12.75">
      <c r="A16678" s="8">
        <v>43897.251944444448</v>
      </c>
      <c r="B16678" s="8" t="str">
        <f>HYPERLINK("https://twitter.com/amrudinnejad_","@amrudinnejad_")</f>
        <v>@amrudinnejad_</v>
      </c>
      <c r="C16678" s="8" t="s">
        <v>4818</v>
      </c>
      <c r="D16678" s="8">
        <v>135</v>
      </c>
      <c r="E16678" s="8">
        <v>0</v>
      </c>
      <c r="F16678" s="8">
        <v>8033</v>
      </c>
    </row>
    <row r="16679" spans="1:6" ht="12.75">
      <c r="A16679" s="8">
        <v>43897.251747685186</v>
      </c>
      <c r="B16679" s="8" t="str">
        <f>HYPERLINK("https://twitter.com/andi_saja","@andi_saja")</f>
        <v>@andi_saja</v>
      </c>
      <c r="C16679" s="8" t="s">
        <v>3213</v>
      </c>
      <c r="D16679" s="8">
        <v>186</v>
      </c>
      <c r="E16679" s="8">
        <v>0</v>
      </c>
      <c r="F16679" s="8">
        <v>1892</v>
      </c>
    </row>
    <row r="16680" spans="1:6" ht="12.75">
      <c r="A16680" s="8">
        <v>43897.251307870371</v>
      </c>
      <c r="B16680" s="8" t="str">
        <f>HYPERLINK("https://twitter.com/Khong_Beng","@Khong_Beng")</f>
        <v>@Khong_Beng</v>
      </c>
      <c r="C16680" s="8" t="s">
        <v>4818</v>
      </c>
      <c r="D16680" s="8">
        <v>135</v>
      </c>
      <c r="E16680" s="8">
        <v>0</v>
      </c>
      <c r="F16680" s="8">
        <v>166</v>
      </c>
    </row>
    <row r="16681" spans="1:6" ht="12.75">
      <c r="A16681" s="8">
        <v>43897.250567129631</v>
      </c>
      <c r="B16681" s="8" t="str">
        <f>HYPERLINK("https://twitter.com/Among79","@Among79")</f>
        <v>@Among79</v>
      </c>
      <c r="C16681" s="8" t="s">
        <v>4948</v>
      </c>
      <c r="D16681" s="8">
        <v>96</v>
      </c>
      <c r="E16681" s="8">
        <v>0</v>
      </c>
      <c r="F16681" s="8">
        <v>400</v>
      </c>
    </row>
    <row r="16682" spans="1:6" ht="12.75">
      <c r="A16682" s="8">
        <v>43897.25037037037</v>
      </c>
      <c r="B16682" s="8" t="str">
        <f>HYPERLINK("https://twitter.com/majutongmundur","@majutongmundur")</f>
        <v>@majutongmundur</v>
      </c>
      <c r="C16682" s="8" t="s">
        <v>3743</v>
      </c>
      <c r="D16682" s="8">
        <v>420</v>
      </c>
      <c r="E16682" s="8">
        <v>0</v>
      </c>
      <c r="F16682" s="8">
        <v>367</v>
      </c>
    </row>
    <row r="16683" spans="1:6" ht="12.75">
      <c r="A16683" s="8">
        <v>43897.250196759254</v>
      </c>
      <c r="B16683" s="8" t="str">
        <f>HYPERLINK("https://twitter.com/hildanuzulur","@hildanuzulur")</f>
        <v>@hildanuzulur</v>
      </c>
      <c r="C16683" s="8" t="s">
        <v>6801</v>
      </c>
      <c r="D16683" s="8">
        <v>0</v>
      </c>
      <c r="E16683" s="8">
        <v>0</v>
      </c>
      <c r="F16683" s="8">
        <v>70</v>
      </c>
    </row>
    <row r="16684" spans="1:6" ht="12.75">
      <c r="A16684" s="8">
        <v>43897.249872685185</v>
      </c>
      <c r="B16684" s="8" t="str">
        <f>HYPERLINK("https://twitter.com/Diana15519597","@Diana15519597")</f>
        <v>@Diana15519597</v>
      </c>
      <c r="C16684" s="8" t="s">
        <v>3743</v>
      </c>
      <c r="D16684" s="8">
        <v>420</v>
      </c>
      <c r="E16684" s="8">
        <v>0</v>
      </c>
      <c r="F16684" s="8">
        <v>114</v>
      </c>
    </row>
    <row r="16685" spans="1:6" ht="12.75">
      <c r="A16685" s="8">
        <v>43897.249780092592</v>
      </c>
      <c r="B16685" s="8" t="str">
        <f>HYPERLINK("https://twitter.com/DaniTrisdian1","@DaniTrisdian1")</f>
        <v>@DaniTrisdian1</v>
      </c>
      <c r="C16685" s="8" t="s">
        <v>3743</v>
      </c>
      <c r="D16685" s="8">
        <v>420</v>
      </c>
      <c r="E16685" s="8">
        <v>0</v>
      </c>
      <c r="F16685" s="8">
        <v>21</v>
      </c>
    </row>
    <row r="16686" spans="1:6" ht="12.75">
      <c r="A16686" s="8">
        <v>43897.249398148153</v>
      </c>
      <c r="B16686" s="8" t="str">
        <f>HYPERLINK("https://twitter.com/santos62658028","@santos62658028")</f>
        <v>@santos62658028</v>
      </c>
      <c r="C16686" s="8" t="s">
        <v>4818</v>
      </c>
      <c r="D16686" s="8">
        <v>135</v>
      </c>
      <c r="E16686" s="8">
        <v>0</v>
      </c>
      <c r="F16686" s="8">
        <v>1639</v>
      </c>
    </row>
    <row r="16687" spans="1:6" ht="12.75">
      <c r="A16687" s="8">
        <v>43897.24931712963</v>
      </c>
      <c r="B16687" s="8" t="str">
        <f>HYPERLINK("https://twitter.com/suwaji80626218","@suwaji80626218")</f>
        <v>@suwaji80626218</v>
      </c>
      <c r="C16687" s="8" t="s">
        <v>3743</v>
      </c>
      <c r="D16687" s="8">
        <v>420</v>
      </c>
      <c r="E16687" s="8">
        <v>0</v>
      </c>
      <c r="F16687" s="8">
        <v>3</v>
      </c>
    </row>
    <row r="16688" spans="1:6" ht="12.75">
      <c r="A16688" s="8">
        <v>43897.249085648145</v>
      </c>
      <c r="B16688" s="8" t="str">
        <f>HYPERLINK("https://twitter.com/widiart98163775","@widiart98163775")</f>
        <v>@widiart98163775</v>
      </c>
      <c r="C16688" s="8" t="s">
        <v>3743</v>
      </c>
      <c r="D16688" s="8">
        <v>420</v>
      </c>
      <c r="E16688" s="8">
        <v>0</v>
      </c>
      <c r="F16688" s="8">
        <v>32</v>
      </c>
    </row>
    <row r="16689" spans="1:6" ht="12.75">
      <c r="A16689" s="8">
        <v>43897.248819444445</v>
      </c>
      <c r="B16689" s="8" t="str">
        <f>HYPERLINK("https://twitter.com/Qshareina","@Qshareina")</f>
        <v>@Qshareina</v>
      </c>
      <c r="C16689" s="8" t="s">
        <v>6802</v>
      </c>
      <c r="D16689" s="8">
        <v>0</v>
      </c>
      <c r="E16689" s="8">
        <v>0</v>
      </c>
      <c r="F16689" s="8">
        <v>236</v>
      </c>
    </row>
    <row r="16690" spans="1:6" ht="12.75">
      <c r="A16690" s="8">
        <v>43897.24864583333</v>
      </c>
      <c r="B16690" s="8" t="str">
        <f>HYPERLINK("https://twitter.com/aderifkyhanif","@aderifkyhanif")</f>
        <v>@aderifkyhanif</v>
      </c>
      <c r="C16690" s="8" t="s">
        <v>3213</v>
      </c>
      <c r="D16690" s="8">
        <v>186</v>
      </c>
      <c r="E16690" s="8">
        <v>0</v>
      </c>
      <c r="F16690" s="8">
        <v>4097</v>
      </c>
    </row>
    <row r="16691" spans="1:6" ht="12.75">
      <c r="A16691" s="8">
        <v>43897.248472222222</v>
      </c>
      <c r="B16691" s="8" t="str">
        <f>HYPERLINK("https://twitter.com/r96sperstar","@r96sperstar")</f>
        <v>@r96sperstar</v>
      </c>
      <c r="C16691" s="8" t="s">
        <v>6803</v>
      </c>
      <c r="D16691" s="8">
        <v>2</v>
      </c>
      <c r="E16691" s="8">
        <v>0</v>
      </c>
      <c r="F16691" s="8">
        <v>477</v>
      </c>
    </row>
    <row r="16692" spans="1:6" ht="12.75">
      <c r="A16692" s="8">
        <v>43897.248229166667</v>
      </c>
      <c r="B16692" s="8" t="str">
        <f>HYPERLINK("https://twitter.com/pasukanfatahila","@pasukanfatahila")</f>
        <v>@pasukanfatahila</v>
      </c>
      <c r="C16692" s="8" t="s">
        <v>3743</v>
      </c>
      <c r="D16692" s="8">
        <v>420</v>
      </c>
      <c r="E16692" s="8">
        <v>0</v>
      </c>
      <c r="F16692" s="8">
        <v>574</v>
      </c>
    </row>
    <row r="16693" spans="1:6" ht="12.75">
      <c r="A16693" s="8">
        <v>43897.247916666667</v>
      </c>
      <c r="B16693" s="8" t="str">
        <f>HYPERLINK("https://twitter.com/NandoPananda","@NandoPananda")</f>
        <v>@NandoPananda</v>
      </c>
      <c r="C16693" s="8" t="s">
        <v>5103</v>
      </c>
      <c r="D16693" s="8">
        <v>162</v>
      </c>
      <c r="E16693" s="8">
        <v>0</v>
      </c>
      <c r="F16693" s="8">
        <v>283</v>
      </c>
    </row>
    <row r="16694" spans="1:6" ht="12.75">
      <c r="A16694" s="8">
        <v>43897.247754629629</v>
      </c>
      <c r="B16694" s="8" t="str">
        <f>HYPERLINK("https://twitter.com/Nadya96562589","@Nadya96562589")</f>
        <v>@Nadya96562589</v>
      </c>
      <c r="C16694" s="8" t="s">
        <v>3743</v>
      </c>
      <c r="D16694" s="8">
        <v>420</v>
      </c>
      <c r="E16694" s="8">
        <v>0</v>
      </c>
      <c r="F16694" s="8">
        <v>105</v>
      </c>
    </row>
    <row r="16695" spans="1:6" ht="12.75">
      <c r="A16695" s="8">
        <v>43897.247546296298</v>
      </c>
      <c r="B16695" s="8" t="str">
        <f>HYPERLINK("https://twitter.com/xieweijie","@xieweijie")</f>
        <v>@xieweijie</v>
      </c>
      <c r="C16695" s="8" t="s">
        <v>3213</v>
      </c>
      <c r="D16695" s="8">
        <v>186</v>
      </c>
      <c r="E16695" s="8">
        <v>0</v>
      </c>
      <c r="F16695" s="8">
        <v>120</v>
      </c>
    </row>
    <row r="16696" spans="1:6" ht="12.75">
      <c r="A16696" s="8">
        <v>43897.246516203704</v>
      </c>
      <c r="B16696" s="8" t="str">
        <f>HYPERLINK("https://twitter.com/21Lai21","@21Lai21")</f>
        <v>@21Lai21</v>
      </c>
      <c r="C16696" s="8" t="s">
        <v>3213</v>
      </c>
      <c r="D16696" s="8">
        <v>186</v>
      </c>
      <c r="E16696" s="8">
        <v>0</v>
      </c>
      <c r="F16696" s="8">
        <v>299</v>
      </c>
    </row>
    <row r="16697" spans="1:6" ht="12.75">
      <c r="A16697" s="8">
        <v>43897.246354166666</v>
      </c>
      <c r="B16697" s="8" t="str">
        <f>HYPERLINK("https://twitter.com/RnAxell","@RnAxell")</f>
        <v>@RnAxell</v>
      </c>
      <c r="C16697" s="8" t="s">
        <v>3743</v>
      </c>
      <c r="D16697" s="8">
        <v>420</v>
      </c>
      <c r="E16697" s="8">
        <v>0</v>
      </c>
      <c r="F16697" s="8">
        <v>306</v>
      </c>
    </row>
    <row r="16698" spans="1:6" ht="12.75">
      <c r="A16698" s="8">
        <v>43897.245775462958</v>
      </c>
      <c r="B16698" s="8" t="str">
        <f>HYPERLINK("https://twitter.com/poetree_isis","@poetree_isis")</f>
        <v>@poetree_isis</v>
      </c>
      <c r="C16698" s="8" t="s">
        <v>6804</v>
      </c>
      <c r="D16698" s="8">
        <v>0</v>
      </c>
      <c r="E16698" s="8">
        <v>0</v>
      </c>
      <c r="F16698" s="8">
        <v>489</v>
      </c>
    </row>
    <row r="16699" spans="1:6" ht="12.75">
      <c r="A16699" s="8">
        <v>43897.245243055557</v>
      </c>
      <c r="B16699" s="8" t="str">
        <f>HYPERLINK("https://twitter.com/Galagasee1","@Galagasee1")</f>
        <v>@Galagasee1</v>
      </c>
      <c r="C16699" s="8" t="s">
        <v>3743</v>
      </c>
      <c r="D16699" s="8">
        <v>420</v>
      </c>
      <c r="E16699" s="8">
        <v>0</v>
      </c>
      <c r="F16699" s="8">
        <v>31</v>
      </c>
    </row>
    <row r="16700" spans="1:6" ht="12.75">
      <c r="A16700" s="8">
        <v>43897.244108796294</v>
      </c>
      <c r="B16700" s="8" t="str">
        <f>HYPERLINK("https://twitter.com/RiMenujuMadani","@RiMenujuMadani")</f>
        <v>@RiMenujuMadani</v>
      </c>
      <c r="C16700" s="8" t="s">
        <v>3213</v>
      </c>
      <c r="D16700" s="8">
        <v>186</v>
      </c>
      <c r="E16700" s="8">
        <v>0</v>
      </c>
      <c r="F16700" s="8">
        <v>1325</v>
      </c>
    </row>
    <row r="16701" spans="1:6" ht="12.75">
      <c r="A16701" s="8">
        <v>43897.243379629625</v>
      </c>
      <c r="B16701" s="8" t="str">
        <f>HYPERLINK("https://twitter.com/EbbyUdang","@EbbyUdang")</f>
        <v>@EbbyUdang</v>
      </c>
      <c r="C16701" s="8" t="s">
        <v>6805</v>
      </c>
      <c r="D16701" s="8">
        <v>9</v>
      </c>
      <c r="E16701" s="8">
        <v>0</v>
      </c>
      <c r="F16701" s="8">
        <v>345</v>
      </c>
    </row>
    <row r="16702" spans="1:6" ht="12.75">
      <c r="A16702" s="8">
        <v>43897.243090277778</v>
      </c>
      <c r="B16702" s="8" t="str">
        <f>HYPERLINK("https://twitter.com/Aininoer12","@Aininoer12")</f>
        <v>@Aininoer12</v>
      </c>
      <c r="C16702" s="8" t="s">
        <v>2506</v>
      </c>
      <c r="D16702" s="8">
        <v>21</v>
      </c>
      <c r="E16702" s="8">
        <v>0</v>
      </c>
      <c r="F16702" s="8">
        <v>6453</v>
      </c>
    </row>
    <row r="16703" spans="1:6" ht="12.75">
      <c r="A16703" s="8">
        <v>43897.242928240739</v>
      </c>
      <c r="B16703" s="8" t="str">
        <f>HYPERLINK("https://twitter.com/lanunatuna","@lanunatuna")</f>
        <v>@lanunatuna</v>
      </c>
      <c r="C16703" s="8" t="s">
        <v>3743</v>
      </c>
      <c r="D16703" s="8">
        <v>420</v>
      </c>
      <c r="E16703" s="8">
        <v>0</v>
      </c>
      <c r="F16703" s="8">
        <v>2980</v>
      </c>
    </row>
    <row r="16704" spans="1:6" ht="12.75">
      <c r="A16704" s="8">
        <v>43897.241388888884</v>
      </c>
      <c r="B16704" s="8" t="str">
        <f>HYPERLINK("https://twitter.com/mudha_satriya","@mudha_satriya")</f>
        <v>@mudha_satriya</v>
      </c>
      <c r="C16704" s="8" t="s">
        <v>6735</v>
      </c>
      <c r="D16704" s="8">
        <v>7</v>
      </c>
      <c r="E16704" s="8">
        <v>0</v>
      </c>
      <c r="F16704" s="8">
        <v>1884</v>
      </c>
    </row>
    <row r="16705" spans="1:6" ht="12.75">
      <c r="A16705" s="8">
        <v>43897.239502314813</v>
      </c>
      <c r="B16705" s="8" t="str">
        <f>HYPERLINK("https://twitter.com/Rullygu08","@Rullygu08")</f>
        <v>@Rullygu08</v>
      </c>
      <c r="C16705" s="8" t="s">
        <v>6806</v>
      </c>
      <c r="D16705" s="8">
        <v>0</v>
      </c>
      <c r="E16705" s="8">
        <v>0</v>
      </c>
      <c r="F16705" s="8">
        <v>91</v>
      </c>
    </row>
    <row r="16706" spans="1:6" ht="12.75">
      <c r="A16706" s="8">
        <v>43897.238842592589</v>
      </c>
      <c r="B16706" s="8" t="str">
        <f>HYPERLINK("https://twitter.com/Abdul_Wack","@Abdul_Wack")</f>
        <v>@Abdul_Wack</v>
      </c>
      <c r="C16706" s="8" t="s">
        <v>4818</v>
      </c>
      <c r="D16706" s="8">
        <v>135</v>
      </c>
      <c r="E16706" s="8">
        <v>0</v>
      </c>
      <c r="F16706" s="8">
        <v>58</v>
      </c>
    </row>
    <row r="16707" spans="1:6" ht="12.75">
      <c r="A16707" s="8">
        <v>43897.238587962958</v>
      </c>
      <c r="B16707" s="8" t="str">
        <f>HYPERLINK("https://twitter.com/Dargomb81120150","@Dargomb81120150")</f>
        <v>@Dargomb81120150</v>
      </c>
      <c r="C16707" s="8" t="s">
        <v>3743</v>
      </c>
      <c r="D16707" s="8">
        <v>420</v>
      </c>
      <c r="E16707" s="8">
        <v>0</v>
      </c>
      <c r="F16707" s="8">
        <v>40</v>
      </c>
    </row>
    <row r="16708" spans="1:6" ht="12.75">
      <c r="A16708" s="8">
        <v>43897.237881944442</v>
      </c>
      <c r="B16708" s="8" t="str">
        <f>HYPERLINK("https://twitter.com/moeslim_choice","@moeslim_choice")</f>
        <v>@moeslim_choice</v>
      </c>
      <c r="C16708" s="8" t="s">
        <v>6807</v>
      </c>
      <c r="D16708" s="8">
        <v>0</v>
      </c>
      <c r="E16708" s="8">
        <v>0</v>
      </c>
      <c r="F16708" s="8">
        <v>133</v>
      </c>
    </row>
    <row r="16709" spans="1:6" ht="12.75">
      <c r="A16709" s="8">
        <v>43897.237870370373</v>
      </c>
      <c r="B16709" s="8" t="str">
        <f>HYPERLINK("https://twitter.com/Arbanat","@Arbanat")</f>
        <v>@Arbanat</v>
      </c>
      <c r="C16709" s="8" t="s">
        <v>3213</v>
      </c>
      <c r="D16709" s="8">
        <v>186</v>
      </c>
      <c r="E16709" s="8">
        <v>0</v>
      </c>
      <c r="F16709" s="8">
        <v>951</v>
      </c>
    </row>
    <row r="16710" spans="1:6" ht="12.75">
      <c r="A16710" s="8">
        <v>43897.237638888888</v>
      </c>
      <c r="B16710" s="8" t="str">
        <f>HYPERLINK("https://twitter.com/_nice69_","@_nice69_")</f>
        <v>@_nice69_</v>
      </c>
      <c r="C16710" s="8" t="s">
        <v>3213</v>
      </c>
      <c r="D16710" s="8">
        <v>186</v>
      </c>
      <c r="E16710" s="8">
        <v>0</v>
      </c>
      <c r="F16710" s="8">
        <v>108</v>
      </c>
    </row>
    <row r="16711" spans="1:6" ht="12.75">
      <c r="A16711" s="8">
        <v>43897.236967592587</v>
      </c>
      <c r="B16711" s="8" t="str">
        <f>HYPERLINK("https://twitter.com/Oyenk","@Oyenk")</f>
        <v>@Oyenk</v>
      </c>
      <c r="C16711" s="8" t="s">
        <v>4818</v>
      </c>
      <c r="D16711" s="8">
        <v>135</v>
      </c>
      <c r="E16711" s="8">
        <v>0</v>
      </c>
      <c r="F16711" s="8">
        <v>284</v>
      </c>
    </row>
    <row r="16712" spans="1:6" ht="12.75">
      <c r="A16712" s="8">
        <v>43897.236944444448</v>
      </c>
      <c r="B16712" s="8" t="str">
        <f>HYPERLINK("https://twitter.com/AyesRAYA","@AyesRAYA")</f>
        <v>@AyesRAYA</v>
      </c>
      <c r="C16712" s="8" t="s">
        <v>3743</v>
      </c>
      <c r="D16712" s="8">
        <v>420</v>
      </c>
      <c r="E16712" s="8">
        <v>0</v>
      </c>
      <c r="F16712" s="8">
        <v>132</v>
      </c>
    </row>
    <row r="16713" spans="1:6" ht="12.75">
      <c r="A16713" s="8">
        <v>43897.236840277779</v>
      </c>
      <c r="B16713" s="8" t="str">
        <f>HYPERLINK("https://twitter.com/Arul_Laros","@Arul_Laros")</f>
        <v>@Arul_Laros</v>
      </c>
      <c r="C16713" s="8" t="s">
        <v>6808</v>
      </c>
      <c r="D16713" s="8">
        <v>0</v>
      </c>
      <c r="E16713" s="8">
        <v>0</v>
      </c>
      <c r="F16713" s="8">
        <v>480</v>
      </c>
    </row>
    <row r="16714" spans="1:6" ht="12.75">
      <c r="A16714" s="8">
        <v>43897.236076388886</v>
      </c>
      <c r="B16714" s="8" t="str">
        <f>HYPERLINK("https://twitter.com/erlang_dimas","@erlang_dimas")</f>
        <v>@erlang_dimas</v>
      </c>
      <c r="C16714" s="8" t="s">
        <v>2116</v>
      </c>
      <c r="D16714" s="8">
        <v>55</v>
      </c>
      <c r="E16714" s="8">
        <v>0</v>
      </c>
      <c r="F16714" s="8">
        <v>47</v>
      </c>
    </row>
    <row r="16715" spans="1:6" ht="12.75">
      <c r="A16715" s="8">
        <v>43897.236041666663</v>
      </c>
      <c r="B16715" s="8" t="str">
        <f>HYPERLINK("https://twitter.com/rio_enrico","@rio_enrico")</f>
        <v>@rio_enrico</v>
      </c>
      <c r="C16715" s="8" t="s">
        <v>4818</v>
      </c>
      <c r="D16715" s="8">
        <v>135</v>
      </c>
      <c r="E16715" s="8">
        <v>0</v>
      </c>
      <c r="F16715" s="8">
        <v>209</v>
      </c>
    </row>
    <row r="16716" spans="1:6" ht="12.75">
      <c r="A16716" s="8">
        <v>43897.235983796301</v>
      </c>
      <c r="B16716" s="8" t="str">
        <f>HYPERLINK("https://twitter.com/nyah_hall","@nyah_hall")</f>
        <v>@nyah_hall</v>
      </c>
      <c r="C16716" s="8" t="s">
        <v>3743</v>
      </c>
      <c r="D16716" s="8">
        <v>420</v>
      </c>
      <c r="E16716" s="8">
        <v>0</v>
      </c>
      <c r="F16716" s="8">
        <v>1144</v>
      </c>
    </row>
    <row r="16717" spans="1:6" ht="12.75">
      <c r="A16717" s="8">
        <v>43897.234965277778</v>
      </c>
      <c r="B16717" s="8" t="str">
        <f>HYPERLINK("https://twitter.com/DalangJiwo","@DalangJiwo")</f>
        <v>@DalangJiwo</v>
      </c>
      <c r="C16717" s="8" t="s">
        <v>3213</v>
      </c>
      <c r="D16717" s="8">
        <v>186</v>
      </c>
      <c r="E16717" s="8">
        <v>0</v>
      </c>
      <c r="F16717" s="8">
        <v>226</v>
      </c>
    </row>
    <row r="16718" spans="1:6" ht="12.75">
      <c r="A16718" s="8">
        <v>43897.2340625</v>
      </c>
      <c r="B16718" s="8" t="str">
        <f>HYPERLINK("https://twitter.com/Sutikno083","@Sutikno083")</f>
        <v>@Sutikno083</v>
      </c>
      <c r="C16718" s="8" t="s">
        <v>3743</v>
      </c>
      <c r="D16718" s="8">
        <v>420</v>
      </c>
      <c r="E16718" s="8">
        <v>0</v>
      </c>
      <c r="F16718" s="8">
        <v>4</v>
      </c>
    </row>
    <row r="16719" spans="1:6" ht="12.75">
      <c r="A16719" s="8">
        <v>43897.233657407407</v>
      </c>
      <c r="B16719" s="8" t="str">
        <f>HYPERLINK("https://twitter.com/feerzylant","@feerzylant")</f>
        <v>@feerzylant</v>
      </c>
      <c r="C16719" s="8" t="s">
        <v>3743</v>
      </c>
      <c r="D16719" s="8">
        <v>420</v>
      </c>
      <c r="E16719" s="8">
        <v>0</v>
      </c>
      <c r="F16719" s="8">
        <v>459</v>
      </c>
    </row>
    <row r="16720" spans="1:6" ht="12.75">
      <c r="A16720" s="8">
        <v>43897.233090277776</v>
      </c>
      <c r="B16720" s="8" t="str">
        <f>HYPERLINK("https://twitter.com/isis_eb","@isis_eb")</f>
        <v>@isis_eb</v>
      </c>
      <c r="C16720" s="8" t="s">
        <v>6809</v>
      </c>
      <c r="D16720" s="8">
        <v>0</v>
      </c>
      <c r="E16720" s="8">
        <v>0</v>
      </c>
      <c r="F16720" s="8">
        <v>358</v>
      </c>
    </row>
    <row r="16721" spans="1:6" ht="12.75">
      <c r="A16721" s="8">
        <v>43897.232835648145</v>
      </c>
      <c r="B16721" s="8" t="str">
        <f>HYPERLINK("https://twitter.com/DavidRuslie8","@DavidRuslie8")</f>
        <v>@DavidRuslie8</v>
      </c>
      <c r="C16721" s="8" t="s">
        <v>3213</v>
      </c>
      <c r="D16721" s="8">
        <v>186</v>
      </c>
      <c r="E16721" s="8">
        <v>0</v>
      </c>
      <c r="F16721" s="8">
        <v>938</v>
      </c>
    </row>
    <row r="16722" spans="1:6" ht="12.75">
      <c r="A16722" s="8">
        <v>43897.232222222221</v>
      </c>
      <c r="B16722" s="8" t="str">
        <f>HYPERLINK("https://twitter.com/NingrumJameela","@NingrumJameela")</f>
        <v>@NingrumJameela</v>
      </c>
      <c r="C16722" s="8" t="s">
        <v>3743</v>
      </c>
      <c r="D16722" s="8">
        <v>420</v>
      </c>
      <c r="E16722" s="8">
        <v>0</v>
      </c>
      <c r="F16722" s="8">
        <v>4771</v>
      </c>
    </row>
    <row r="16723" spans="1:6" ht="12.75">
      <c r="A16723" s="8">
        <v>43897.232071759259</v>
      </c>
      <c r="B16723" s="8" t="str">
        <f>HYPERLINK("https://twitter.com/WawanAja2020","@WawanAja2020")</f>
        <v>@WawanAja2020</v>
      </c>
      <c r="C16723" s="8" t="s">
        <v>3743</v>
      </c>
      <c r="D16723" s="8">
        <v>420</v>
      </c>
      <c r="E16723" s="8">
        <v>0</v>
      </c>
      <c r="F16723" s="8">
        <v>14</v>
      </c>
    </row>
    <row r="16724" spans="1:6" ht="12.75">
      <c r="A16724" s="8">
        <v>43897.231423611112</v>
      </c>
      <c r="B16724" s="8" t="str">
        <f>HYPERLINK("https://twitter.com/frida_rahardjo","@frida_rahardjo")</f>
        <v>@frida_rahardjo</v>
      </c>
      <c r="C16724" s="8" t="s">
        <v>5944</v>
      </c>
      <c r="D16724" s="8">
        <v>6</v>
      </c>
      <c r="E16724" s="8">
        <v>0</v>
      </c>
      <c r="F16724" s="8">
        <v>1480</v>
      </c>
    </row>
    <row r="16725" spans="1:6" ht="12.75">
      <c r="A16725" s="8">
        <v>43897.231319444443</v>
      </c>
      <c r="B16725" s="8" t="str">
        <f>HYPERLINK("https://twitter.com/marissagunawan9","@marissagunawan9")</f>
        <v>@marissagunawan9</v>
      </c>
      <c r="C16725" s="8" t="s">
        <v>6810</v>
      </c>
      <c r="D16725" s="8">
        <v>0</v>
      </c>
      <c r="E16725" s="8">
        <v>0</v>
      </c>
      <c r="F16725" s="8">
        <v>466</v>
      </c>
    </row>
    <row r="16726" spans="1:6" ht="12.75">
      <c r="A16726" s="8">
        <v>43897.231168981481</v>
      </c>
      <c r="B16726" s="8" t="str">
        <f>HYPERLINK("https://twitter.com/syahrulahadi","@syahrulahadi")</f>
        <v>@syahrulahadi</v>
      </c>
      <c r="C16726" s="8" t="s">
        <v>3743</v>
      </c>
      <c r="D16726" s="8">
        <v>420</v>
      </c>
      <c r="E16726" s="8">
        <v>0</v>
      </c>
      <c r="F16726" s="8">
        <v>77</v>
      </c>
    </row>
    <row r="16727" spans="1:6" ht="12.75">
      <c r="A16727" s="8">
        <v>43897.230428240742</v>
      </c>
      <c r="B16727" s="8" t="str">
        <f>HYPERLINK("https://twitter.com/Phineesouw","@Phineesouw")</f>
        <v>@Phineesouw</v>
      </c>
      <c r="C16727" s="8" t="s">
        <v>3213</v>
      </c>
      <c r="D16727" s="8">
        <v>186</v>
      </c>
      <c r="E16727" s="8">
        <v>0</v>
      </c>
      <c r="F16727" s="8">
        <v>814</v>
      </c>
    </row>
    <row r="16728" spans="1:6" ht="12.75">
      <c r="A16728" s="8">
        <v>43897.230266203704</v>
      </c>
      <c r="B16728" s="8" t="str">
        <f>HYPERLINK("https://twitter.com/TediteaTedi","@TediteaTedi")</f>
        <v>@TediteaTedi</v>
      </c>
      <c r="C16728" s="8" t="s">
        <v>3743</v>
      </c>
      <c r="D16728" s="8">
        <v>420</v>
      </c>
      <c r="E16728" s="8">
        <v>0</v>
      </c>
      <c r="F16728" s="8">
        <v>70</v>
      </c>
    </row>
    <row r="16729" spans="1:6" ht="12.75">
      <c r="A16729" s="8">
        <v>43897.230034722219</v>
      </c>
      <c r="B16729" s="8" t="str">
        <f>HYPERLINK("https://twitter.com/tukanganalisa","@tukanganalisa")</f>
        <v>@tukanganalisa</v>
      </c>
      <c r="C16729" s="8" t="s">
        <v>3743</v>
      </c>
      <c r="D16729" s="8">
        <v>420</v>
      </c>
      <c r="E16729" s="8">
        <v>0</v>
      </c>
      <c r="F16729" s="8">
        <v>138</v>
      </c>
    </row>
    <row r="16730" spans="1:6" ht="12.75">
      <c r="A16730" s="8">
        <v>43897.229502314818</v>
      </c>
      <c r="B16730" s="8" t="str">
        <f>HYPERLINK("https://twitter.com/DedehKu95290849","@DedehKu95290849")</f>
        <v>@DedehKu95290849</v>
      </c>
      <c r="C16730" s="8" t="s">
        <v>3743</v>
      </c>
      <c r="D16730" s="8">
        <v>420</v>
      </c>
      <c r="E16730" s="8">
        <v>0</v>
      </c>
      <c r="F16730" s="8">
        <v>423</v>
      </c>
    </row>
    <row r="16731" spans="1:6" ht="12.75">
      <c r="A16731" s="8">
        <v>43897.228773148148</v>
      </c>
      <c r="B16731" s="8" t="str">
        <f>HYPERLINK("https://twitter.com/jinarsaskara","@jinarsaskara")</f>
        <v>@jinarsaskara</v>
      </c>
      <c r="C16731" s="8" t="s">
        <v>3213</v>
      </c>
      <c r="D16731" s="8">
        <v>186</v>
      </c>
      <c r="E16731" s="8">
        <v>0</v>
      </c>
      <c r="F16731" s="8">
        <v>2990</v>
      </c>
    </row>
    <row r="16732" spans="1:6" ht="12.75">
      <c r="A16732" s="8">
        <v>43897.2269212963</v>
      </c>
      <c r="B16732" s="8" t="str">
        <f>HYPERLINK("https://twitter.com/4f07b5140fa24b7","@4f07b5140fa24b7")</f>
        <v>@4f07b5140fa24b7</v>
      </c>
      <c r="C16732" s="8" t="s">
        <v>4818</v>
      </c>
      <c r="D16732" s="8">
        <v>135</v>
      </c>
      <c r="E16732" s="8">
        <v>0</v>
      </c>
      <c r="F16732" s="8">
        <v>3</v>
      </c>
    </row>
    <row r="16733" spans="1:6" ht="12.75">
      <c r="A16733" s="8">
        <v>43897.226851851854</v>
      </c>
      <c r="B16733" s="8" t="str">
        <f>HYPERLINK("https://twitter.com/AnthonySigalin1","@AnthonySigalin1")</f>
        <v>@AnthonySigalin1</v>
      </c>
      <c r="C16733" s="8" t="s">
        <v>4818</v>
      </c>
      <c r="D16733" s="8">
        <v>135</v>
      </c>
      <c r="E16733" s="8">
        <v>0</v>
      </c>
      <c r="F16733" s="8">
        <v>305</v>
      </c>
    </row>
    <row r="16734" spans="1:6" ht="12.75">
      <c r="A16734" s="8">
        <v>43897.226412037038</v>
      </c>
      <c r="B16734" s="8" t="str">
        <f>HYPERLINK("https://twitter.com/ranggapeni","@ranggapeni")</f>
        <v>@ranggapeni</v>
      </c>
      <c r="C16734" s="8" t="s">
        <v>3213</v>
      </c>
      <c r="D16734" s="8">
        <v>186</v>
      </c>
      <c r="E16734" s="8">
        <v>0</v>
      </c>
      <c r="F16734" s="8">
        <v>42</v>
      </c>
    </row>
    <row r="16735" spans="1:6" ht="12.75">
      <c r="A16735" s="8">
        <v>43897.226377314815</v>
      </c>
      <c r="B16735" s="8" t="str">
        <f>HYPERLINK("https://twitter.com/ArifRFauzi","@ArifRFauzi")</f>
        <v>@ArifRFauzi</v>
      </c>
      <c r="C16735" s="8" t="s">
        <v>3743</v>
      </c>
      <c r="D16735" s="8">
        <v>420</v>
      </c>
      <c r="E16735" s="8">
        <v>0</v>
      </c>
      <c r="F16735" s="8">
        <v>820</v>
      </c>
    </row>
    <row r="16736" spans="1:6" ht="12.75">
      <c r="A16736" s="8">
        <v>43897.226157407407</v>
      </c>
      <c r="B16736" s="8" t="str">
        <f>HYPERLINK("https://twitter.com/Yahya61367175","@Yahya61367175")</f>
        <v>@Yahya61367175</v>
      </c>
      <c r="C16736" s="8" t="s">
        <v>3743</v>
      </c>
      <c r="D16736" s="8">
        <v>420</v>
      </c>
      <c r="E16736" s="8">
        <v>0</v>
      </c>
      <c r="F16736" s="8">
        <v>79</v>
      </c>
    </row>
    <row r="16737" spans="1:6" ht="12.75">
      <c r="A16737" s="8">
        <v>43897.224722222221</v>
      </c>
      <c r="B16737" s="8" t="str">
        <f>HYPERLINK("https://twitter.com/AyuAlyah","@AyuAlyah")</f>
        <v>@AyuAlyah</v>
      </c>
      <c r="C16737" s="8" t="s">
        <v>3743</v>
      </c>
      <c r="D16737" s="8">
        <v>420</v>
      </c>
      <c r="E16737" s="8">
        <v>0</v>
      </c>
      <c r="F16737" s="8">
        <v>70</v>
      </c>
    </row>
    <row r="16738" spans="1:6" ht="12.75">
      <c r="A16738" s="8">
        <v>43897.224178240736</v>
      </c>
      <c r="B16738" s="8" t="str">
        <f>HYPERLINK("https://twitter.com/sidhanitea","@sidhanitea")</f>
        <v>@sidhanitea</v>
      </c>
      <c r="C16738" s="8" t="s">
        <v>4818</v>
      </c>
      <c r="D16738" s="8">
        <v>135</v>
      </c>
      <c r="E16738" s="8">
        <v>0</v>
      </c>
      <c r="F16738" s="8">
        <v>115</v>
      </c>
    </row>
    <row r="16739" spans="1:6" ht="12.75">
      <c r="A16739" s="8">
        <v>43897.223483796297</v>
      </c>
      <c r="B16739" s="8" t="str">
        <f>HYPERLINK("https://twitter.com/BiLLYKHAERUDIN","@BiLLYKHAERUDIN")</f>
        <v>@BiLLYKHAERUDIN</v>
      </c>
      <c r="C16739" s="8" t="s">
        <v>6811</v>
      </c>
      <c r="D16739" s="8">
        <v>3</v>
      </c>
      <c r="E16739" s="8">
        <v>0</v>
      </c>
      <c r="F16739" s="8">
        <v>51849</v>
      </c>
    </row>
    <row r="16740" spans="1:6" ht="12.75">
      <c r="A16740" s="8">
        <v>43897.223368055551</v>
      </c>
      <c r="B16740" s="8" t="str">
        <f>HYPERLINK("https://twitter.com/benicahyof","@benicahyof")</f>
        <v>@benicahyof</v>
      </c>
      <c r="C16740" s="8" t="s">
        <v>3743</v>
      </c>
      <c r="D16740" s="8">
        <v>420</v>
      </c>
      <c r="E16740" s="8">
        <v>0</v>
      </c>
      <c r="F16740" s="8">
        <v>187</v>
      </c>
    </row>
    <row r="16741" spans="1:6" ht="12.75">
      <c r="A16741" s="8">
        <v>43897.22210648148</v>
      </c>
      <c r="B16741" s="8" t="str">
        <f>HYPERLINK("https://twitter.com/nscpunk1","@nscpunk1")</f>
        <v>@nscpunk1</v>
      </c>
      <c r="C16741" s="8" t="s">
        <v>3743</v>
      </c>
      <c r="D16741" s="8">
        <v>420</v>
      </c>
      <c r="E16741" s="8">
        <v>0</v>
      </c>
      <c r="F16741" s="8">
        <v>105</v>
      </c>
    </row>
    <row r="16742" spans="1:6" ht="12.75">
      <c r="A16742" s="8">
        <v>43897.221990740742</v>
      </c>
      <c r="B16742" s="8" t="str">
        <f>HYPERLINK("https://twitter.com/memetabidin","@memetabidin")</f>
        <v>@memetabidin</v>
      </c>
      <c r="C16742" s="8" t="s">
        <v>3743</v>
      </c>
      <c r="D16742" s="8">
        <v>420</v>
      </c>
      <c r="E16742" s="8">
        <v>0</v>
      </c>
      <c r="F16742" s="8">
        <v>430</v>
      </c>
    </row>
    <row r="16743" spans="1:6" ht="12.75">
      <c r="A16743" s="8">
        <v>43897.221851851849</v>
      </c>
      <c r="B16743" s="8" t="str">
        <f>HYPERLINK("https://twitter.com/amarilis_ayu","@amarilis_ayu")</f>
        <v>@amarilis_ayu</v>
      </c>
      <c r="C16743" s="8" t="s">
        <v>6810</v>
      </c>
      <c r="D16743" s="8">
        <v>0</v>
      </c>
      <c r="E16743" s="8">
        <v>0</v>
      </c>
      <c r="F16743" s="8">
        <v>1371</v>
      </c>
    </row>
    <row r="16744" spans="1:6" ht="12.75">
      <c r="A16744" s="8">
        <v>43897.221284722225</v>
      </c>
      <c r="B16744" s="8" t="str">
        <f>HYPERLINK("https://twitter.com/tja_ams2","@tja_ams2")</f>
        <v>@tja_ams2</v>
      </c>
      <c r="C16744" s="8" t="s">
        <v>3743</v>
      </c>
      <c r="D16744" s="8">
        <v>420</v>
      </c>
      <c r="E16744" s="8">
        <v>0</v>
      </c>
      <c r="F16744" s="8">
        <v>722</v>
      </c>
    </row>
    <row r="16745" spans="1:6" ht="12.75">
      <c r="A16745" s="8">
        <v>43897.220879629633</v>
      </c>
      <c r="B16745" s="8" t="str">
        <f>HYPERLINK("https://twitter.com/Ngehi_Lawu","@Ngehi_Lawu")</f>
        <v>@Ngehi_Lawu</v>
      </c>
      <c r="C16745" s="8" t="s">
        <v>3743</v>
      </c>
      <c r="D16745" s="8">
        <v>420</v>
      </c>
      <c r="E16745" s="8">
        <v>0</v>
      </c>
      <c r="F16745" s="8">
        <v>5026</v>
      </c>
    </row>
    <row r="16746" spans="1:6" ht="12.75">
      <c r="A16746" s="8">
        <v>43897.220289351855</v>
      </c>
      <c r="B16746" s="8" t="str">
        <f>HYPERLINK("https://twitter.com/kawuladusun","@kawuladusun")</f>
        <v>@kawuladusun</v>
      </c>
      <c r="C16746" s="8" t="s">
        <v>3213</v>
      </c>
      <c r="D16746" s="8">
        <v>186</v>
      </c>
      <c r="E16746" s="8">
        <v>0</v>
      </c>
      <c r="F16746" s="8">
        <v>399</v>
      </c>
    </row>
    <row r="16747" spans="1:6" ht="12.75">
      <c r="A16747" s="8">
        <v>43897.220289351855</v>
      </c>
      <c r="B16747" s="8" t="str">
        <f>HYPERLINK("https://twitter.com/Sideblo","@Sideblo")</f>
        <v>@Sideblo</v>
      </c>
      <c r="C16747" s="8" t="s">
        <v>4818</v>
      </c>
      <c r="D16747" s="8">
        <v>135</v>
      </c>
      <c r="E16747" s="8">
        <v>0</v>
      </c>
      <c r="F16747" s="8">
        <v>834</v>
      </c>
    </row>
    <row r="16748" spans="1:6" ht="12.75">
      <c r="A16748" s="8">
        <v>43897.219131944439</v>
      </c>
      <c r="B16748" s="8" t="str">
        <f>HYPERLINK("https://twitter.com/hariantoagus","@hariantoagus")</f>
        <v>@hariantoagus</v>
      </c>
      <c r="C16748" s="8" t="s">
        <v>3743</v>
      </c>
      <c r="D16748" s="8">
        <v>420</v>
      </c>
      <c r="E16748" s="8">
        <v>0</v>
      </c>
      <c r="F16748" s="8">
        <v>256</v>
      </c>
    </row>
    <row r="16749" spans="1:6" ht="12.75">
      <c r="A16749" s="8">
        <v>43897.21912037037</v>
      </c>
      <c r="B16749" s="8" t="str">
        <f>HYPERLINK("https://twitter.com/Ngehi_Lawu","@Ngehi_Lawu")</f>
        <v>@Ngehi_Lawu</v>
      </c>
      <c r="C16749" s="8" t="s">
        <v>6128</v>
      </c>
      <c r="D16749" s="8">
        <v>29</v>
      </c>
      <c r="E16749" s="8">
        <v>0</v>
      </c>
      <c r="F16749" s="8">
        <v>5026</v>
      </c>
    </row>
    <row r="16750" spans="1:6" ht="12.75">
      <c r="A16750" s="8">
        <v>43897.217106481483</v>
      </c>
      <c r="B16750" s="8" t="str">
        <f>HYPERLINK("https://twitter.com/CandraRachmad","@CandraRachmad")</f>
        <v>@CandraRachmad</v>
      </c>
      <c r="C16750" s="8" t="s">
        <v>3743</v>
      </c>
      <c r="D16750" s="8">
        <v>420</v>
      </c>
      <c r="E16750" s="8">
        <v>0</v>
      </c>
      <c r="F16750" s="8">
        <v>164</v>
      </c>
    </row>
    <row r="16751" spans="1:6" ht="12.75">
      <c r="A16751" s="8">
        <v>43897.216550925921</v>
      </c>
      <c r="B16751" s="8" t="str">
        <f>HYPERLINK("https://twitter.com/arifin_alif","@arifin_alif")</f>
        <v>@arifin_alif</v>
      </c>
      <c r="C16751" s="8" t="s">
        <v>3743</v>
      </c>
      <c r="D16751" s="8">
        <v>420</v>
      </c>
      <c r="E16751" s="8">
        <v>0</v>
      </c>
      <c r="F16751" s="8">
        <v>885</v>
      </c>
    </row>
    <row r="16752" spans="1:6" ht="12.75">
      <c r="A16752" s="8">
        <v>43897.216307870374</v>
      </c>
      <c r="B16752" s="8" t="str">
        <f>HYPERLINK("https://twitter.com/GunadiWM","@GunadiWM")</f>
        <v>@GunadiWM</v>
      </c>
      <c r="C16752" s="8" t="s">
        <v>3743</v>
      </c>
      <c r="D16752" s="8">
        <v>420</v>
      </c>
      <c r="E16752" s="8">
        <v>0</v>
      </c>
      <c r="F16752" s="8">
        <v>119</v>
      </c>
    </row>
    <row r="16753" spans="1:6" ht="12.75">
      <c r="A16753" s="8">
        <v>43897.214826388888</v>
      </c>
      <c r="B16753" s="8" t="str">
        <f>HYPERLINK("https://twitter.com/Stonemarcogmai1","@Stonemarcogmai1")</f>
        <v>@Stonemarcogmai1</v>
      </c>
      <c r="C16753" s="8" t="s">
        <v>6812</v>
      </c>
      <c r="D16753" s="8">
        <v>0</v>
      </c>
      <c r="E16753" s="8">
        <v>0</v>
      </c>
      <c r="F16753" s="8">
        <v>0</v>
      </c>
    </row>
    <row r="16754" spans="1:6" ht="12.75">
      <c r="A16754" s="8">
        <v>43897.214745370366</v>
      </c>
      <c r="B16754" s="8" t="str">
        <f>HYPERLINK("https://twitter.com/bidang_arie","@bidang_arie")</f>
        <v>@bidang_arie</v>
      </c>
      <c r="C16754" s="8" t="s">
        <v>4818</v>
      </c>
      <c r="D16754" s="8">
        <v>124</v>
      </c>
      <c r="E16754" s="8">
        <v>0</v>
      </c>
      <c r="F16754" s="8">
        <v>15</v>
      </c>
    </row>
    <row r="16755" spans="1:6" ht="12.75">
      <c r="A16755" s="8">
        <v>43897.213680555556</v>
      </c>
      <c r="B16755" s="8" t="str">
        <f>HYPERLINK("https://twitter.com/wisanggeni_084","@wisanggeni_084")</f>
        <v>@wisanggeni_084</v>
      </c>
      <c r="C16755" s="8" t="s">
        <v>6813</v>
      </c>
      <c r="D16755" s="8">
        <v>0</v>
      </c>
      <c r="E16755" s="8">
        <v>1</v>
      </c>
      <c r="F16755" s="8">
        <v>17684</v>
      </c>
    </row>
    <row r="16756" spans="1:6" ht="12.75">
      <c r="A16756" s="8">
        <v>43897.213680555556</v>
      </c>
      <c r="B16756" s="8" t="str">
        <f>HYPERLINK("https://twitter.com/AbidinsyahI","@AbidinsyahI")</f>
        <v>@AbidinsyahI</v>
      </c>
      <c r="C16756" s="8" t="s">
        <v>3743</v>
      </c>
      <c r="D16756" s="8">
        <v>379</v>
      </c>
      <c r="E16756" s="8">
        <v>0</v>
      </c>
      <c r="F16756" s="8">
        <v>2231</v>
      </c>
    </row>
    <row r="16757" spans="1:6" ht="12.75">
      <c r="A16757" s="8">
        <v>43897.211643518516</v>
      </c>
      <c r="B16757" s="8" t="str">
        <f>HYPERLINK("https://twitter.com/anton61093127","@anton61093127")</f>
        <v>@anton61093127</v>
      </c>
      <c r="C16757" s="8" t="s">
        <v>4818</v>
      </c>
      <c r="D16757" s="8">
        <v>124</v>
      </c>
      <c r="E16757" s="8">
        <v>0</v>
      </c>
      <c r="F16757" s="8">
        <v>16</v>
      </c>
    </row>
    <row r="16758" spans="1:6" ht="12.75">
      <c r="A16758" s="8">
        <v>43897.210474537038</v>
      </c>
      <c r="B16758" s="8" t="str">
        <f>HYPERLINK("https://twitter.com/bennydjuwanda","@bennydjuwanda")</f>
        <v>@bennydjuwanda</v>
      </c>
      <c r="C16758" s="8" t="s">
        <v>5954</v>
      </c>
      <c r="D16758" s="8">
        <v>1</v>
      </c>
      <c r="E16758" s="8">
        <v>0</v>
      </c>
      <c r="F16758" s="8">
        <v>316</v>
      </c>
    </row>
    <row r="16759" spans="1:6" ht="12.75">
      <c r="A16759" s="8">
        <v>43897.21020833333</v>
      </c>
      <c r="B16759" s="8" t="str">
        <f>HYPERLINK("https://twitter.com/Mfitannaja7","@Mfitannaja7")</f>
        <v>@Mfitannaja7</v>
      </c>
      <c r="C16759" s="8" t="s">
        <v>6814</v>
      </c>
      <c r="D16759" s="8">
        <v>0</v>
      </c>
      <c r="E16759" s="8">
        <v>0</v>
      </c>
      <c r="F16759" s="8">
        <v>33</v>
      </c>
    </row>
    <row r="16760" spans="1:6" ht="12.75">
      <c r="A16760" s="8">
        <v>43897.209560185191</v>
      </c>
      <c r="B16760" s="8" t="str">
        <f>HYPERLINK("https://twitter.com/HiroshiKemal","@HiroshiKemal")</f>
        <v>@HiroshiKemal</v>
      </c>
      <c r="C16760" s="8" t="s">
        <v>3743</v>
      </c>
      <c r="D16760" s="8">
        <v>379</v>
      </c>
      <c r="E16760" s="8">
        <v>0</v>
      </c>
      <c r="F16760" s="8">
        <v>6</v>
      </c>
    </row>
    <row r="16761" spans="1:6" ht="12.75">
      <c r="A16761" s="8">
        <v>43897.209074074075</v>
      </c>
      <c r="B16761" s="8" t="str">
        <f>HYPERLINK("https://twitter.com/aditya_njr","@aditya_njr")</f>
        <v>@aditya_njr</v>
      </c>
      <c r="C16761" s="8" t="s">
        <v>3743</v>
      </c>
      <c r="D16761" s="8">
        <v>379</v>
      </c>
      <c r="E16761" s="8">
        <v>0</v>
      </c>
      <c r="F16761" s="8">
        <v>242</v>
      </c>
    </row>
    <row r="16762" spans="1:6" ht="12.75">
      <c r="A16762" s="8">
        <v>43897.208344907413</v>
      </c>
      <c r="B16762" s="8" t="str">
        <f>HYPERLINK("https://twitter.com/worobotto","@worobotto")</f>
        <v>@worobotto</v>
      </c>
      <c r="C16762" s="8" t="s">
        <v>3743</v>
      </c>
      <c r="D16762" s="8">
        <v>379</v>
      </c>
      <c r="E16762" s="8">
        <v>0</v>
      </c>
      <c r="F16762" s="8">
        <v>74</v>
      </c>
    </row>
    <row r="16763" spans="1:6" ht="12.75">
      <c r="A16763" s="8">
        <v>43897.206307870365</v>
      </c>
      <c r="B16763" s="8" t="str">
        <f>HYPERLINK("https://twitter.com/adekc_river","@adekc_river")</f>
        <v>@adekc_river</v>
      </c>
      <c r="C16763" s="8" t="s">
        <v>3213</v>
      </c>
      <c r="D16763" s="8">
        <v>163</v>
      </c>
      <c r="E16763" s="8">
        <v>0</v>
      </c>
      <c r="F16763" s="8">
        <v>143</v>
      </c>
    </row>
    <row r="16764" spans="1:6" ht="12.75">
      <c r="A16764" s="8">
        <v>43897.205995370372</v>
      </c>
      <c r="B16764" s="8" t="str">
        <f>HYPERLINK("https://twitter.com/soffel84103944","@soffel84103944")</f>
        <v>@soffel84103944</v>
      </c>
      <c r="C16764" s="8" t="s">
        <v>4818</v>
      </c>
      <c r="D16764" s="8">
        <v>124</v>
      </c>
      <c r="E16764" s="8">
        <v>0</v>
      </c>
      <c r="F16764" s="8">
        <v>625</v>
      </c>
    </row>
    <row r="16765" spans="1:6" ht="12.75">
      <c r="A16765" s="8">
        <v>43897.205960648149</v>
      </c>
      <c r="B16765" s="8" t="str">
        <f>HYPERLINK("https://twitter.com/___CILOR_Q7R","@___CILOR_Q7R")</f>
        <v>@___CILOR_Q7R</v>
      </c>
      <c r="C16765" s="8" t="s">
        <v>3213</v>
      </c>
      <c r="D16765" s="8">
        <v>163</v>
      </c>
      <c r="E16765" s="8">
        <v>0</v>
      </c>
      <c r="F16765" s="8">
        <v>2346</v>
      </c>
    </row>
    <row r="16766" spans="1:6" ht="12.75">
      <c r="A16766" s="8">
        <v>43897.20579861111</v>
      </c>
      <c r="B16766" s="8" t="str">
        <f>HYPERLINK("https://twitter.com/_therma_","@_therma_")</f>
        <v>@_therma_</v>
      </c>
      <c r="C16766" s="8" t="s">
        <v>6778</v>
      </c>
      <c r="D16766" s="8">
        <v>15</v>
      </c>
      <c r="E16766" s="8">
        <v>0</v>
      </c>
      <c r="F16766" s="8">
        <v>4535</v>
      </c>
    </row>
    <row r="16767" spans="1:6" ht="12.75">
      <c r="A16767" s="8">
        <v>43897.205717592587</v>
      </c>
      <c r="B16767" s="8" t="str">
        <f>HYPERLINK("https://twitter.com/dhofie_ok","@dhofie_ok")</f>
        <v>@dhofie_ok</v>
      </c>
      <c r="C16767" s="8" t="s">
        <v>3743</v>
      </c>
      <c r="D16767" s="8">
        <v>379</v>
      </c>
      <c r="E16767" s="8">
        <v>0</v>
      </c>
      <c r="F16767" s="8">
        <v>649</v>
      </c>
    </row>
    <row r="16768" spans="1:6" ht="12.75">
      <c r="A16768" s="8">
        <v>43897.205659722225</v>
      </c>
      <c r="B16768" s="8" t="str">
        <f>HYPERLINK("https://twitter.com/JuandaFGultom","@JuandaFGultom")</f>
        <v>@JuandaFGultom</v>
      </c>
      <c r="C16768" s="8" t="s">
        <v>3213</v>
      </c>
      <c r="D16768" s="8">
        <v>163</v>
      </c>
      <c r="E16768" s="8">
        <v>0</v>
      </c>
      <c r="F16768" s="8">
        <v>62</v>
      </c>
    </row>
    <row r="16769" spans="1:6" ht="12.75">
      <c r="A16769" s="8">
        <v>43897.204895833333</v>
      </c>
      <c r="B16769" s="8" t="str">
        <f>HYPERLINK("https://twitter.com/radjadilaut1","@radjadilaut1")</f>
        <v>@radjadilaut1</v>
      </c>
      <c r="C16769" s="8" t="s">
        <v>6128</v>
      </c>
      <c r="D16769" s="8">
        <v>27</v>
      </c>
      <c r="E16769" s="8">
        <v>0</v>
      </c>
      <c r="F16769" s="8">
        <v>720</v>
      </c>
    </row>
    <row r="16770" spans="1:6" ht="12.75">
      <c r="A16770" s="8">
        <v>43897.203750000001</v>
      </c>
      <c r="B16770" s="8" t="str">
        <f>HYPERLINK("https://twitter.com/OficialNikko","@OficialNikko")</f>
        <v>@OficialNikko</v>
      </c>
      <c r="C16770" s="8" t="s">
        <v>3213</v>
      </c>
      <c r="D16770" s="8">
        <v>163</v>
      </c>
      <c r="E16770" s="8">
        <v>0</v>
      </c>
      <c r="F16770" s="8">
        <v>299</v>
      </c>
    </row>
    <row r="16771" spans="1:6" ht="12.75">
      <c r="A16771" s="8">
        <v>43897.202916666662</v>
      </c>
      <c r="B16771" s="8" t="str">
        <f>HYPERLINK("https://twitter.com/koransulindo","@koransulindo")</f>
        <v>@koransulindo</v>
      </c>
      <c r="C16771" s="8" t="s">
        <v>6815</v>
      </c>
      <c r="D16771" s="8">
        <v>0</v>
      </c>
      <c r="E16771" s="8">
        <v>0</v>
      </c>
      <c r="F16771" s="8">
        <v>80</v>
      </c>
    </row>
    <row r="16772" spans="1:6" ht="12.75">
      <c r="A16772" s="8">
        <v>43897.202418981484</v>
      </c>
      <c r="B16772" s="8" t="str">
        <f>HYPERLINK("https://twitter.com/_wni_","@_wni_")</f>
        <v>@_wni_</v>
      </c>
      <c r="C16772" s="8" t="s">
        <v>6816</v>
      </c>
      <c r="D16772" s="8">
        <v>0</v>
      </c>
      <c r="E16772" s="8">
        <v>0</v>
      </c>
      <c r="F16772" s="8">
        <v>15</v>
      </c>
    </row>
    <row r="16773" spans="1:6" ht="12.75">
      <c r="A16773" s="8">
        <v>43897.201932870375</v>
      </c>
      <c r="B16773" s="8" t="str">
        <f>HYPERLINK("https://twitter.com/soffel84103944","@soffel84103944")</f>
        <v>@soffel84103944</v>
      </c>
      <c r="C16773" s="8" t="s">
        <v>4948</v>
      </c>
      <c r="D16773" s="8">
        <v>95</v>
      </c>
      <c r="E16773" s="8">
        <v>0</v>
      </c>
      <c r="F16773" s="8">
        <v>625</v>
      </c>
    </row>
    <row r="16774" spans="1:6" ht="12.75">
      <c r="A16774" s="8">
        <v>43897.200011574074</v>
      </c>
      <c r="B16774" s="8" t="str">
        <f>HYPERLINK("https://twitter.com/priyadi_adi","@priyadi_adi")</f>
        <v>@priyadi_adi</v>
      </c>
      <c r="C16774" s="8" t="s">
        <v>3743</v>
      </c>
      <c r="D16774" s="8">
        <v>379</v>
      </c>
      <c r="E16774" s="8">
        <v>0</v>
      </c>
      <c r="F16774" s="8">
        <v>66</v>
      </c>
    </row>
    <row r="16775" spans="1:6" ht="12.75">
      <c r="A16775" s="8">
        <v>43897.199872685189</v>
      </c>
      <c r="B16775" s="8" t="str">
        <f>HYPERLINK("https://twitter.com/soffel84103944","@soffel84103944")</f>
        <v>@soffel84103944</v>
      </c>
      <c r="C16775" s="8" t="s">
        <v>3213</v>
      </c>
      <c r="D16775" s="8">
        <v>163</v>
      </c>
      <c r="E16775" s="8">
        <v>0</v>
      </c>
      <c r="F16775" s="8">
        <v>625</v>
      </c>
    </row>
    <row r="16776" spans="1:6" ht="12.75">
      <c r="A16776" s="8">
        <v>43897.199502314819</v>
      </c>
      <c r="B16776" s="8" t="str">
        <f>HYPERLINK("https://twitter.com/Zeedman3","@Zeedman3")</f>
        <v>@Zeedman3</v>
      </c>
      <c r="C16776" s="8" t="s">
        <v>3743</v>
      </c>
      <c r="D16776" s="8">
        <v>379</v>
      </c>
      <c r="E16776" s="8">
        <v>0</v>
      </c>
      <c r="F16776" s="8">
        <v>24</v>
      </c>
    </row>
    <row r="16777" spans="1:6" ht="12.75">
      <c r="A16777" s="8">
        <v>43897.198645833334</v>
      </c>
      <c r="B16777" s="8" t="str">
        <f>HYPERLINK("https://twitter.com/CumiCue","@CumiCue")</f>
        <v>@CumiCue</v>
      </c>
      <c r="C16777" s="8" t="s">
        <v>5944</v>
      </c>
      <c r="D16777" s="8">
        <v>5</v>
      </c>
      <c r="E16777" s="8">
        <v>0</v>
      </c>
      <c r="F16777" s="8">
        <v>4475</v>
      </c>
    </row>
    <row r="16778" spans="1:6" ht="12.75">
      <c r="A16778" s="8">
        <v>43897.198460648149</v>
      </c>
      <c r="B16778" s="8" t="str">
        <f>HYPERLINK("https://twitter.com/AinaQueen5","@AinaQueen5")</f>
        <v>@AinaQueen5</v>
      </c>
      <c r="C16778" s="8" t="s">
        <v>6817</v>
      </c>
      <c r="D16778" s="8">
        <v>0</v>
      </c>
      <c r="E16778" s="8">
        <v>2</v>
      </c>
      <c r="F16778" s="8">
        <v>2391</v>
      </c>
    </row>
    <row r="16779" spans="1:6" ht="12.75">
      <c r="A16779" s="8">
        <v>43897.19840277778</v>
      </c>
      <c r="B16779" s="8" t="str">
        <f>HYPERLINK("https://twitter.com/lilanooraini1","@lilanooraini1")</f>
        <v>@lilanooraini1</v>
      </c>
      <c r="C16779" s="8" t="s">
        <v>3743</v>
      </c>
      <c r="D16779" s="8">
        <v>379</v>
      </c>
      <c r="E16779" s="8">
        <v>0</v>
      </c>
      <c r="F16779" s="8">
        <v>64</v>
      </c>
    </row>
    <row r="16780" spans="1:6" ht="12.75">
      <c r="A16780" s="8">
        <v>43897.198229166665</v>
      </c>
      <c r="B16780" s="8" t="str">
        <f>HYPERLINK("https://twitter.com/CumiCue","@CumiCue")</f>
        <v>@CumiCue</v>
      </c>
      <c r="C16780" s="8" t="s">
        <v>6475</v>
      </c>
      <c r="D16780" s="8">
        <v>1</v>
      </c>
      <c r="E16780" s="8">
        <v>0</v>
      </c>
      <c r="F16780" s="8">
        <v>4475</v>
      </c>
    </row>
    <row r="16781" spans="1:6" ht="12.75">
      <c r="A16781" s="8">
        <v>43897.19809027778</v>
      </c>
      <c r="B16781" s="8" t="str">
        <f>HYPERLINK("https://twitter.com/arman_effendi","@arman_effendi")</f>
        <v>@arman_effendi</v>
      </c>
      <c r="C16781" s="8" t="s">
        <v>3743</v>
      </c>
      <c r="D16781" s="8">
        <v>379</v>
      </c>
      <c r="E16781" s="8">
        <v>0</v>
      </c>
      <c r="F16781" s="8">
        <v>1037</v>
      </c>
    </row>
    <row r="16782" spans="1:6" ht="12.75">
      <c r="A16782" s="8">
        <v>43897.19804398148</v>
      </c>
      <c r="B16782" s="8" t="str">
        <f>HYPERLINK("https://twitter.com/J_Aryoko","@J_Aryoko")</f>
        <v>@J_Aryoko</v>
      </c>
      <c r="C16782" s="8" t="s">
        <v>3213</v>
      </c>
      <c r="D16782" s="8">
        <v>163</v>
      </c>
      <c r="E16782" s="8">
        <v>0</v>
      </c>
      <c r="F16782" s="8">
        <v>1416</v>
      </c>
    </row>
    <row r="16783" spans="1:6" ht="12.75">
      <c r="A16783" s="8">
        <v>43897.197349537033</v>
      </c>
      <c r="B16783" s="8" t="str">
        <f>HYPERLINK("https://twitter.com/9eab7f6c3b3d485","@9eab7f6c3b3d485")</f>
        <v>@9eab7f6c3b3d485</v>
      </c>
      <c r="C16783" s="8" t="s">
        <v>3743</v>
      </c>
      <c r="D16783" s="8">
        <v>379</v>
      </c>
      <c r="E16783" s="8">
        <v>0</v>
      </c>
      <c r="F16783" s="8">
        <v>425</v>
      </c>
    </row>
    <row r="16784" spans="1:6" ht="12.75">
      <c r="A16784" s="8">
        <v>43897.19594907407</v>
      </c>
      <c r="B16784" s="8" t="str">
        <f>HYPERLINK("https://twitter.com/achzam_prabu","@achzam_prabu")</f>
        <v>@achzam_prabu</v>
      </c>
      <c r="C16784" s="8" t="s">
        <v>3213</v>
      </c>
      <c r="D16784" s="8">
        <v>163</v>
      </c>
      <c r="E16784" s="8">
        <v>0</v>
      </c>
      <c r="F16784" s="8">
        <v>4897</v>
      </c>
    </row>
    <row r="16785" spans="1:6" ht="12.75">
      <c r="A16785" s="8">
        <v>43897.195474537039</v>
      </c>
      <c r="B16785" s="8" t="str">
        <f>HYPERLINK("https://twitter.com/GRUNGE_GO","@GRUNGE_GO")</f>
        <v>@GRUNGE_GO</v>
      </c>
      <c r="C16785" s="8" t="s">
        <v>3743</v>
      </c>
      <c r="D16785" s="8">
        <v>379</v>
      </c>
      <c r="E16785" s="8">
        <v>0</v>
      </c>
      <c r="F16785" s="8">
        <v>2609</v>
      </c>
    </row>
    <row r="16786" spans="1:6" ht="12.75">
      <c r="A16786" s="8">
        <v>43897.195416666669</v>
      </c>
      <c r="B16786" s="8" t="str">
        <f>HYPERLINK("https://twitter.com/beliindomie","@beliindomie")</f>
        <v>@beliindomie</v>
      </c>
      <c r="C16786" s="8" t="s">
        <v>6818</v>
      </c>
      <c r="D16786" s="8">
        <v>20</v>
      </c>
      <c r="E16786" s="8">
        <v>0</v>
      </c>
      <c r="F16786" s="8">
        <v>83</v>
      </c>
    </row>
    <row r="16787" spans="1:6" ht="12.75">
      <c r="A16787" s="8">
        <v>43897.195393518516</v>
      </c>
      <c r="B16787" s="8" t="str">
        <f>HYPERLINK("https://twitter.com/mamanukan13","@mamanukan13")</f>
        <v>@mamanukan13</v>
      </c>
      <c r="C16787" s="8" t="s">
        <v>6819</v>
      </c>
      <c r="D16787" s="8">
        <v>0</v>
      </c>
      <c r="E16787" s="8">
        <v>0</v>
      </c>
      <c r="F16787" s="8">
        <v>241</v>
      </c>
    </row>
    <row r="16788" spans="1:6" ht="12.75">
      <c r="A16788" s="8">
        <v>43897.195335648154</v>
      </c>
      <c r="B16788" s="8" t="str">
        <f>HYPERLINK("https://twitter.com/LailyShey","@LailyShey")</f>
        <v>@LailyShey</v>
      </c>
      <c r="C16788" s="8" t="s">
        <v>3743</v>
      </c>
      <c r="D16788" s="8">
        <v>379</v>
      </c>
      <c r="E16788" s="8">
        <v>0</v>
      </c>
      <c r="F16788" s="8">
        <v>800</v>
      </c>
    </row>
    <row r="16789" spans="1:6" ht="12.75">
      <c r="A16789" s="8">
        <v>43897.194351851853</v>
      </c>
      <c r="B16789" s="8" t="str">
        <f>HYPERLINK("https://twitter.com/hotweedbionic","@hotweedbionic")</f>
        <v>@hotweedbionic</v>
      </c>
      <c r="C16789" s="8" t="s">
        <v>3213</v>
      </c>
      <c r="D16789" s="8">
        <v>163</v>
      </c>
      <c r="E16789" s="8">
        <v>0</v>
      </c>
      <c r="F16789" s="8">
        <v>127</v>
      </c>
    </row>
    <row r="16790" spans="1:6" ht="12.75">
      <c r="A16790" s="8">
        <v>43897.19394675926</v>
      </c>
      <c r="B16790" s="8" t="str">
        <f>HYPERLINK("https://twitter.com/cocomarasabessy","@cocomarasabessy")</f>
        <v>@cocomarasabessy</v>
      </c>
      <c r="C16790" s="8" t="s">
        <v>3743</v>
      </c>
      <c r="D16790" s="8">
        <v>379</v>
      </c>
      <c r="E16790" s="8">
        <v>0</v>
      </c>
      <c r="F16790" s="8">
        <v>176</v>
      </c>
    </row>
    <row r="16791" spans="1:6" ht="12.75">
      <c r="A16791" s="8">
        <v>43897.193738425922</v>
      </c>
      <c r="B16791" s="8" t="str">
        <f>HYPERLINK("https://twitter.com/sudrajatasep17","@sudrajatasep17")</f>
        <v>@sudrajatasep17</v>
      </c>
      <c r="C16791" s="8" t="s">
        <v>6820</v>
      </c>
      <c r="D16791" s="8">
        <v>1</v>
      </c>
      <c r="E16791" s="8">
        <v>0</v>
      </c>
      <c r="F16791" s="8">
        <v>4309</v>
      </c>
    </row>
    <row r="16792" spans="1:6" ht="12.75">
      <c r="A16792" s="8">
        <v>43897.193229166667</v>
      </c>
      <c r="B16792" s="8" t="str">
        <f t="shared" ref="B16792:B16793" si="252">HYPERLINK("https://twitter.com/ngonlain","@ngonlain")</f>
        <v>@ngonlain</v>
      </c>
      <c r="C16792" s="8" t="s">
        <v>6821</v>
      </c>
      <c r="D16792" s="8">
        <v>0</v>
      </c>
      <c r="E16792" s="8">
        <v>1</v>
      </c>
      <c r="F16792" s="8">
        <v>2641</v>
      </c>
    </row>
    <row r="16793" spans="1:6" ht="12.75">
      <c r="A16793" s="8">
        <v>43897.193078703705</v>
      </c>
      <c r="B16793" s="8" t="str">
        <f t="shared" si="252"/>
        <v>@ngonlain</v>
      </c>
      <c r="C16793" s="8" t="s">
        <v>6822</v>
      </c>
      <c r="D16793" s="8">
        <v>1</v>
      </c>
      <c r="E16793" s="8">
        <v>1</v>
      </c>
      <c r="F16793" s="8">
        <v>2641</v>
      </c>
    </row>
    <row r="16794" spans="1:6" ht="12.75">
      <c r="A16794" s="8">
        <v>43897.192986111113</v>
      </c>
      <c r="B16794" s="8" t="str">
        <f>HYPERLINK("https://twitter.com/sir_usil","@sir_usil")</f>
        <v>@sir_usil</v>
      </c>
      <c r="C16794" s="8" t="s">
        <v>4818</v>
      </c>
      <c r="D16794" s="8">
        <v>124</v>
      </c>
      <c r="E16794" s="8">
        <v>0</v>
      </c>
      <c r="F16794" s="8">
        <v>230</v>
      </c>
    </row>
    <row r="16795" spans="1:6" ht="12.75">
      <c r="A16795" s="8">
        <v>43897.192118055551</v>
      </c>
      <c r="B16795" s="8" t="str">
        <f>HYPERLINK("https://twitter.com/imronAyahnaila","@imronAyahnaila")</f>
        <v>@imronAyahnaila</v>
      </c>
      <c r="C16795" s="8" t="s">
        <v>3743</v>
      </c>
      <c r="D16795" s="8">
        <v>379</v>
      </c>
      <c r="E16795" s="8">
        <v>0</v>
      </c>
      <c r="F16795" s="8">
        <v>186</v>
      </c>
    </row>
    <row r="16796" spans="1:6" ht="12.75">
      <c r="A16796" s="8">
        <v>43897.191712962958</v>
      </c>
      <c r="B16796" s="8" t="str">
        <f>HYPERLINK("https://twitter.com/muslimahmazaya","@muslimahmazaya")</f>
        <v>@muslimahmazaya</v>
      </c>
      <c r="C16796" s="8" t="s">
        <v>3743</v>
      </c>
      <c r="D16796" s="8">
        <v>379</v>
      </c>
      <c r="E16796" s="8">
        <v>0</v>
      </c>
      <c r="F16796" s="8">
        <v>266</v>
      </c>
    </row>
    <row r="16797" spans="1:6" ht="12.75">
      <c r="A16797" s="8">
        <v>43897.191608796296</v>
      </c>
      <c r="B16797" s="8" t="str">
        <f>HYPERLINK("https://twitter.com/alaufa","@alaufa")</f>
        <v>@alaufa</v>
      </c>
      <c r="C16797" s="8" t="s">
        <v>3743</v>
      </c>
      <c r="D16797" s="8">
        <v>379</v>
      </c>
      <c r="E16797" s="8">
        <v>0</v>
      </c>
      <c r="F16797" s="8">
        <v>186</v>
      </c>
    </row>
    <row r="16798" spans="1:6" ht="12.75">
      <c r="A16798" s="8">
        <v>43897.191261574073</v>
      </c>
      <c r="B16798" s="8" t="str">
        <f>HYPERLINK("https://twitter.com/polocorner","@polocorner")</f>
        <v>@polocorner</v>
      </c>
      <c r="C16798" s="8" t="s">
        <v>4818</v>
      </c>
      <c r="D16798" s="8">
        <v>124</v>
      </c>
      <c r="E16798" s="8">
        <v>0</v>
      </c>
      <c r="F16798" s="8">
        <v>1647</v>
      </c>
    </row>
    <row r="16799" spans="1:6" ht="12.75">
      <c r="A16799" s="8">
        <v>43897.190115740741</v>
      </c>
      <c r="B16799" s="8" t="str">
        <f>HYPERLINK("https://twitter.com/manzwam","@manzwam")</f>
        <v>@manzwam</v>
      </c>
      <c r="C16799" s="8" t="s">
        <v>6803</v>
      </c>
      <c r="D16799" s="8">
        <v>1</v>
      </c>
      <c r="E16799" s="8">
        <v>0</v>
      </c>
      <c r="F16799" s="8">
        <v>703</v>
      </c>
    </row>
    <row r="16800" spans="1:6" ht="12.75">
      <c r="A16800" s="8">
        <v>43897.189976851849</v>
      </c>
      <c r="B16800" s="8" t="str">
        <f>HYPERLINK("https://twitter.com/johan_woda","@johan_woda")</f>
        <v>@johan_woda</v>
      </c>
      <c r="C16800" s="8" t="s">
        <v>3213</v>
      </c>
      <c r="D16800" s="8">
        <v>163</v>
      </c>
      <c r="E16800" s="8">
        <v>0</v>
      </c>
      <c r="F16800" s="8">
        <v>430</v>
      </c>
    </row>
    <row r="16801" spans="1:6" ht="12.75">
      <c r="A16801" s="8">
        <v>43897.188993055555</v>
      </c>
      <c r="B16801" s="8" t="str">
        <f>HYPERLINK("https://twitter.com/fadla","@fadla")</f>
        <v>@fadla</v>
      </c>
      <c r="C16801" s="8" t="s">
        <v>3743</v>
      </c>
      <c r="D16801" s="8">
        <v>379</v>
      </c>
      <c r="E16801" s="8">
        <v>0</v>
      </c>
      <c r="F16801" s="8">
        <v>194</v>
      </c>
    </row>
    <row r="16802" spans="1:6" ht="12.75">
      <c r="A16802" s="8">
        <v>43897.188194444447</v>
      </c>
      <c r="B16802" s="8" t="str">
        <f>HYPERLINK("https://twitter.com/azis_nudin","@azis_nudin")</f>
        <v>@azis_nudin</v>
      </c>
      <c r="C16802" s="8" t="s">
        <v>3743</v>
      </c>
      <c r="D16802" s="8">
        <v>379</v>
      </c>
      <c r="E16802" s="8">
        <v>0</v>
      </c>
      <c r="F16802" s="8">
        <v>35</v>
      </c>
    </row>
    <row r="16803" spans="1:6" ht="12.75">
      <c r="A16803" s="8">
        <v>43897.188009259262</v>
      </c>
      <c r="B16803" s="8" t="str">
        <f>HYPERLINK("https://twitter.com/noe_santara","@noe_santara")</f>
        <v>@noe_santara</v>
      </c>
      <c r="C16803" s="8" t="s">
        <v>3213</v>
      </c>
      <c r="D16803" s="8">
        <v>163</v>
      </c>
      <c r="E16803" s="8">
        <v>0</v>
      </c>
      <c r="F16803" s="8">
        <v>1873</v>
      </c>
    </row>
    <row r="16804" spans="1:6" ht="12.75">
      <c r="A16804" s="8">
        <v>43897.187708333338</v>
      </c>
      <c r="B16804" s="8" t="str">
        <f>HYPERLINK("https://twitter.com/tonichan157","@tonichan157")</f>
        <v>@tonichan157</v>
      </c>
      <c r="C16804" s="8" t="s">
        <v>3743</v>
      </c>
      <c r="D16804" s="8">
        <v>379</v>
      </c>
      <c r="E16804" s="8">
        <v>0</v>
      </c>
      <c r="F16804" s="8">
        <v>954</v>
      </c>
    </row>
    <row r="16805" spans="1:6" ht="12.75">
      <c r="A16805" s="8">
        <v>43897.187662037039</v>
      </c>
      <c r="B16805" s="8" t="str">
        <f>HYPERLINK("https://twitter.com/___CIMOL_Q7R","@___CIMOL_Q7R")</f>
        <v>@___CIMOL_Q7R</v>
      </c>
      <c r="C16805" s="8" t="s">
        <v>6823</v>
      </c>
      <c r="D16805" s="8">
        <v>1</v>
      </c>
      <c r="E16805" s="8">
        <v>6</v>
      </c>
      <c r="F16805" s="8">
        <v>8631</v>
      </c>
    </row>
    <row r="16806" spans="1:6" ht="12.75">
      <c r="A16806" s="8">
        <v>43897.187291666662</v>
      </c>
      <c r="B16806" s="8" t="str">
        <f>HYPERLINK("https://twitter.com/indonesia_sk","@indonesia_sk")</f>
        <v>@indonesia_sk</v>
      </c>
      <c r="C16806" s="8" t="s">
        <v>2116</v>
      </c>
      <c r="D16806" s="8">
        <v>54</v>
      </c>
      <c r="E16806" s="8">
        <v>0</v>
      </c>
      <c r="F16806" s="8">
        <v>1064</v>
      </c>
    </row>
    <row r="16807" spans="1:6" ht="12.75">
      <c r="A16807" s="8">
        <v>43897.186898148153</v>
      </c>
      <c r="B16807" s="8" t="str">
        <f>HYPERLINK("https://twitter.com/_wni_","@_wni_")</f>
        <v>@_wni_</v>
      </c>
      <c r="C16807" s="8" t="s">
        <v>6824</v>
      </c>
      <c r="D16807" s="8">
        <v>0</v>
      </c>
      <c r="E16807" s="8">
        <v>0</v>
      </c>
      <c r="F16807" s="8">
        <v>15</v>
      </c>
    </row>
    <row r="16808" spans="1:6" ht="12.75">
      <c r="A16808" s="8">
        <v>43897.186874999999</v>
      </c>
      <c r="B16808" s="8" t="str">
        <f>HYPERLINK("https://twitter.com/AcmMubdi","@AcmMubdi")</f>
        <v>@AcmMubdi</v>
      </c>
      <c r="C16808" s="8" t="s">
        <v>4818</v>
      </c>
      <c r="D16808" s="8">
        <v>124</v>
      </c>
      <c r="E16808" s="8">
        <v>0</v>
      </c>
      <c r="F16808" s="8">
        <v>84</v>
      </c>
    </row>
    <row r="16809" spans="1:6" ht="12.75">
      <c r="A16809" s="8">
        <v>43897.18613425926</v>
      </c>
      <c r="B16809" s="8" t="str">
        <f>HYPERLINK("https://twitter.com/_wni_","@_wni_")</f>
        <v>@_wni_</v>
      </c>
      <c r="C16809" s="8" t="s">
        <v>6825</v>
      </c>
      <c r="D16809" s="8">
        <v>0</v>
      </c>
      <c r="E16809" s="8">
        <v>0</v>
      </c>
      <c r="F16809" s="8">
        <v>15</v>
      </c>
    </row>
    <row r="16810" spans="1:6" ht="12.75">
      <c r="A16810" s="8">
        <v>43897.184571759259</v>
      </c>
      <c r="B16810" s="8" t="str">
        <f>HYPERLINK("https://twitter.com/RepublikTweep","@RepublikTweep")</f>
        <v>@RepublikTweep</v>
      </c>
      <c r="C16810" s="8" t="s">
        <v>6826</v>
      </c>
      <c r="D16810" s="8">
        <v>7</v>
      </c>
      <c r="E16810" s="8">
        <v>0</v>
      </c>
      <c r="F16810" s="8">
        <v>27637</v>
      </c>
    </row>
    <row r="16811" spans="1:6" ht="12.75">
      <c r="A16811" s="8">
        <v>43897.184004629627</v>
      </c>
      <c r="B16811" s="8" t="str">
        <f>HYPERLINK("https://twitter.com/LailyShey","@LailyShey")</f>
        <v>@LailyShey</v>
      </c>
      <c r="C16811" s="8" t="s">
        <v>6827</v>
      </c>
      <c r="D16811" s="8">
        <v>51</v>
      </c>
      <c r="E16811" s="8">
        <v>0</v>
      </c>
      <c r="F16811" s="8">
        <v>800</v>
      </c>
    </row>
    <row r="16812" spans="1:6" ht="12.75">
      <c r="A16812" s="8">
        <v>43897.182905092588</v>
      </c>
      <c r="B16812" s="8" t="str">
        <f>HYPERLINK("https://twitter.com/nidahidayah8","@nidahidayah8")</f>
        <v>@nidahidayah8</v>
      </c>
      <c r="C16812" s="8" t="s">
        <v>3743</v>
      </c>
      <c r="D16812" s="8">
        <v>379</v>
      </c>
      <c r="E16812" s="8">
        <v>0</v>
      </c>
      <c r="F16812" s="8">
        <v>11</v>
      </c>
    </row>
    <row r="16813" spans="1:6" ht="12.75">
      <c r="A16813" s="8">
        <v>43897.182326388887</v>
      </c>
      <c r="B16813" s="8" t="str">
        <f>HYPERLINK("https://twitter.com/ceritasex168","@ceritasex168")</f>
        <v>@ceritasex168</v>
      </c>
      <c r="C16813" s="8" t="s">
        <v>6828</v>
      </c>
      <c r="D16813" s="8">
        <v>0</v>
      </c>
      <c r="E16813" s="8">
        <v>0</v>
      </c>
      <c r="F16813" s="8">
        <v>183</v>
      </c>
    </row>
    <row r="16814" spans="1:6" ht="12.75">
      <c r="A16814" s="8">
        <v>43897.180208333331</v>
      </c>
      <c r="B16814" s="8" t="str">
        <f>HYPERLINK("https://twitter.com/zulfadlirusli","@zulfadlirusli")</f>
        <v>@zulfadlirusli</v>
      </c>
      <c r="C16814" s="8" t="s">
        <v>6829</v>
      </c>
      <c r="D16814" s="8">
        <v>0</v>
      </c>
      <c r="E16814" s="8">
        <v>0</v>
      </c>
      <c r="F16814" s="8">
        <v>7</v>
      </c>
    </row>
    <row r="16815" spans="1:6" ht="12.75">
      <c r="A16815" s="8">
        <v>43897.180162037039</v>
      </c>
      <c r="B16815" s="8" t="str">
        <f>HYPERLINK("https://twitter.com/fandi_2102","@fandi_2102")</f>
        <v>@fandi_2102</v>
      </c>
      <c r="C16815" s="8" t="s">
        <v>6830</v>
      </c>
      <c r="D16815" s="8">
        <v>0</v>
      </c>
      <c r="E16815" s="8">
        <v>0</v>
      </c>
      <c r="F16815" s="8">
        <v>177</v>
      </c>
    </row>
    <row r="16816" spans="1:6" ht="12.75">
      <c r="A16816" s="8">
        <v>43897.1799537037</v>
      </c>
      <c r="B16816" s="8" t="str">
        <f>HYPERLINK("https://twitter.com/narkosun","@narkosun")</f>
        <v>@narkosun</v>
      </c>
      <c r="C16816" s="8" t="s">
        <v>4818</v>
      </c>
      <c r="D16816" s="8">
        <v>124</v>
      </c>
      <c r="E16816" s="8">
        <v>0</v>
      </c>
      <c r="F16816" s="8">
        <v>31254</v>
      </c>
    </row>
    <row r="16817" spans="1:6" ht="12.75">
      <c r="A16817" s="8">
        <v>43897.178437499999</v>
      </c>
      <c r="B16817" s="8" t="str">
        <f>HYPERLINK("https://twitter.com/solowae1","@solowae1")</f>
        <v>@solowae1</v>
      </c>
      <c r="C16817" s="8" t="s">
        <v>6831</v>
      </c>
      <c r="D16817" s="8">
        <v>0</v>
      </c>
      <c r="E16817" s="8">
        <v>0</v>
      </c>
      <c r="F16817" s="8">
        <v>18921</v>
      </c>
    </row>
    <row r="16818" spans="1:6" ht="12.75">
      <c r="A16818" s="8">
        <v>43897.17695601852</v>
      </c>
      <c r="B16818" s="8" t="str">
        <f>HYPERLINK("https://twitter.com/Amin8M","@Amin8M")</f>
        <v>@Amin8M</v>
      </c>
      <c r="C16818" s="8" t="s">
        <v>4818</v>
      </c>
      <c r="D16818" s="8">
        <v>124</v>
      </c>
      <c r="E16818" s="8">
        <v>0</v>
      </c>
      <c r="F16818" s="8">
        <v>56</v>
      </c>
    </row>
    <row r="16819" spans="1:6" ht="12.75">
      <c r="A16819" s="8">
        <v>43897.175671296296</v>
      </c>
      <c r="B16819" s="8" t="str">
        <f t="shared" ref="B16819:B16820" si="253">HYPERLINK("https://twitter.com/Edipurw61113168","@Edipurw61113168")</f>
        <v>@Edipurw61113168</v>
      </c>
      <c r="C16819" s="8" t="s">
        <v>6128</v>
      </c>
      <c r="D16819" s="8">
        <v>27</v>
      </c>
      <c r="E16819" s="8">
        <v>0</v>
      </c>
      <c r="F16819" s="8">
        <v>1302</v>
      </c>
    </row>
    <row r="16820" spans="1:6" ht="12.75">
      <c r="A16820" s="8">
        <v>43897.175011574072</v>
      </c>
      <c r="B16820" s="8" t="str">
        <f t="shared" si="253"/>
        <v>@Edipurw61113168</v>
      </c>
      <c r="C16820" s="8" t="s">
        <v>6778</v>
      </c>
      <c r="D16820" s="8">
        <v>15</v>
      </c>
      <c r="E16820" s="8">
        <v>0</v>
      </c>
      <c r="F16820" s="8">
        <v>1302</v>
      </c>
    </row>
    <row r="16821" spans="1:6" ht="12.75">
      <c r="A16821" s="8">
        <v>43897.174699074079</v>
      </c>
      <c r="B16821" s="8" t="str">
        <f>HYPERLINK("https://twitter.com/theresia_citra","@theresia_citra")</f>
        <v>@theresia_citra</v>
      </c>
      <c r="C16821" s="8" t="s">
        <v>6735</v>
      </c>
      <c r="D16821" s="8">
        <v>6</v>
      </c>
      <c r="E16821" s="8">
        <v>0</v>
      </c>
      <c r="F16821" s="8">
        <v>491</v>
      </c>
    </row>
    <row r="16822" spans="1:6" ht="12.75">
      <c r="A16822" s="8">
        <v>43897.17188657407</v>
      </c>
      <c r="B16822" s="8" t="str">
        <f>HYPERLINK("https://twitter.com/Panji_killua","@Panji_killua")</f>
        <v>@Panji_killua</v>
      </c>
      <c r="C16822" s="8" t="s">
        <v>3743</v>
      </c>
      <c r="D16822" s="8">
        <v>355</v>
      </c>
      <c r="E16822" s="8">
        <v>0</v>
      </c>
      <c r="F16822" s="8">
        <v>342</v>
      </c>
    </row>
    <row r="16823" spans="1:6" ht="12.75">
      <c r="A16823" s="8">
        <v>43897.171724537038</v>
      </c>
      <c r="B16823" s="8" t="str">
        <f>HYPERLINK("https://twitter.com/terataikecil","@terataikecil")</f>
        <v>@terataikecil</v>
      </c>
      <c r="C16823" s="8" t="s">
        <v>6832</v>
      </c>
      <c r="D16823" s="8">
        <v>1064</v>
      </c>
      <c r="E16823" s="8">
        <v>0</v>
      </c>
      <c r="F16823" s="8">
        <v>175</v>
      </c>
    </row>
    <row r="16824" spans="1:6" ht="12.75">
      <c r="A16824" s="8">
        <v>43897.16805555555</v>
      </c>
      <c r="B16824" s="8" t="str">
        <f>HYPERLINK("https://twitter.com/Nadila_ID","@Nadila_ID")</f>
        <v>@Nadila_ID</v>
      </c>
      <c r="C16824" s="8" t="s">
        <v>6833</v>
      </c>
      <c r="D16824" s="8">
        <v>0</v>
      </c>
      <c r="E16824" s="8">
        <v>0</v>
      </c>
      <c r="F16824" s="8">
        <v>7165</v>
      </c>
    </row>
    <row r="16825" spans="1:6" ht="12.75">
      <c r="A16825" s="8">
        <v>43897.166666666672</v>
      </c>
      <c r="B16825" s="8" t="str">
        <f>HYPERLINK("https://twitter.com/OfficialiNewsTV","@OfficialiNewsTV")</f>
        <v>@OfficialiNewsTV</v>
      </c>
      <c r="C16825" s="8" t="s">
        <v>6834</v>
      </c>
      <c r="D16825" s="8">
        <v>0</v>
      </c>
      <c r="E16825" s="8">
        <v>0</v>
      </c>
      <c r="F16825" s="8">
        <v>96598</v>
      </c>
    </row>
    <row r="16826" spans="1:6" ht="12.75">
      <c r="A16826" s="8">
        <v>43897.166249999995</v>
      </c>
      <c r="B16826" s="8" t="str">
        <f>HYPERLINK("https://twitter.com/elan_gusma","@elan_gusma")</f>
        <v>@elan_gusma</v>
      </c>
      <c r="C16826" s="8" t="s">
        <v>6128</v>
      </c>
      <c r="D16826" s="8">
        <v>24</v>
      </c>
      <c r="E16826" s="8">
        <v>0</v>
      </c>
      <c r="F16826" s="8">
        <v>3915</v>
      </c>
    </row>
    <row r="16827" spans="1:6" ht="12.75">
      <c r="A16827" s="8">
        <v>43897.16569444444</v>
      </c>
      <c r="B16827" s="8" t="str">
        <f>HYPERLINK("https://twitter.com/hadijah2007","@hadijah2007")</f>
        <v>@hadijah2007</v>
      </c>
      <c r="C16827" s="8" t="s">
        <v>6128</v>
      </c>
      <c r="D16827" s="8">
        <v>24</v>
      </c>
      <c r="E16827" s="8">
        <v>0</v>
      </c>
      <c r="F16827" s="8">
        <v>2283</v>
      </c>
    </row>
    <row r="16828" spans="1:6" ht="12.75">
      <c r="A16828" s="8">
        <v>43897.16541666667</v>
      </c>
      <c r="B16828" s="8" t="str">
        <f>HYPERLINK("https://twitter.com/elan_gusma","@elan_gusma")</f>
        <v>@elan_gusma</v>
      </c>
      <c r="C16828" s="8" t="s">
        <v>6778</v>
      </c>
      <c r="D16828" s="8">
        <v>13</v>
      </c>
      <c r="E16828" s="8">
        <v>0</v>
      </c>
      <c r="F16828" s="8">
        <v>3915</v>
      </c>
    </row>
    <row r="16829" spans="1:6" ht="12.75">
      <c r="A16829" s="8">
        <v>43897.16479166667</v>
      </c>
      <c r="B16829" s="8" t="str">
        <f>HYPERLINK("https://twitter.com/fachri_kh","@fachri_kh")</f>
        <v>@fachri_kh</v>
      </c>
      <c r="C16829" s="8" t="s">
        <v>6778</v>
      </c>
      <c r="D16829" s="8">
        <v>13</v>
      </c>
      <c r="E16829" s="8">
        <v>0</v>
      </c>
      <c r="F16829" s="8">
        <v>4164</v>
      </c>
    </row>
    <row r="16830" spans="1:6" ht="12.75">
      <c r="A16830" s="8">
        <v>43897.164444444439</v>
      </c>
      <c r="B16830" s="8" t="str">
        <f>HYPERLINK("https://twitter.com/_wni_","@_wni_")</f>
        <v>@_wni_</v>
      </c>
      <c r="C16830" s="8" t="s">
        <v>6835</v>
      </c>
      <c r="D16830" s="8">
        <v>0</v>
      </c>
      <c r="E16830" s="8">
        <v>0</v>
      </c>
      <c r="F16830" s="8">
        <v>15</v>
      </c>
    </row>
    <row r="16831" spans="1:6" ht="12.75">
      <c r="A16831" s="8">
        <v>43897.164201388892</v>
      </c>
      <c r="B16831" s="8" t="str">
        <f>HYPERLINK("https://twitter.com/Alilodeon","@Alilodeon")</f>
        <v>@Alilodeon</v>
      </c>
      <c r="C16831" s="8" t="s">
        <v>6735</v>
      </c>
      <c r="D16831" s="8">
        <v>5</v>
      </c>
      <c r="E16831" s="8">
        <v>0</v>
      </c>
      <c r="F16831" s="8">
        <v>151</v>
      </c>
    </row>
    <row r="16832" spans="1:6" ht="12.75">
      <c r="A16832" s="8">
        <v>43897.163668981477</v>
      </c>
      <c r="B16832" s="8" t="str">
        <f>HYPERLINK("https://twitter.com/AnglingBagus","@AnglingBagus")</f>
        <v>@AnglingBagus</v>
      </c>
      <c r="C16832" s="8" t="s">
        <v>6836</v>
      </c>
      <c r="D16832" s="8">
        <v>641</v>
      </c>
      <c r="E16832" s="8">
        <v>0</v>
      </c>
      <c r="F16832" s="8">
        <v>177</v>
      </c>
    </row>
    <row r="16833" spans="1:6" ht="12.75">
      <c r="A16833" s="8">
        <v>43897.16333333333</v>
      </c>
      <c r="B16833" s="8" t="str">
        <f>HYPERLINK("https://twitter.com/AriefSyam16","@AriefSyam16")</f>
        <v>@AriefSyam16</v>
      </c>
      <c r="C16833" s="8" t="s">
        <v>3743</v>
      </c>
      <c r="D16833" s="8">
        <v>355</v>
      </c>
      <c r="E16833" s="8">
        <v>0</v>
      </c>
      <c r="F16833" s="8">
        <v>241</v>
      </c>
    </row>
    <row r="16834" spans="1:6" ht="12.75">
      <c r="A16834" s="8">
        <v>43897.162175925929</v>
      </c>
      <c r="B16834" s="8" t="str">
        <f>HYPERLINK("https://twitter.com/Rizky0220421439","@Rizky0220421439")</f>
        <v>@Rizky0220421439</v>
      </c>
      <c r="C16834" s="8" t="s">
        <v>4818</v>
      </c>
      <c r="D16834" s="8">
        <v>113</v>
      </c>
      <c r="E16834" s="8">
        <v>0</v>
      </c>
      <c r="F16834" s="8">
        <v>1637</v>
      </c>
    </row>
    <row r="16835" spans="1:6" ht="12.75">
      <c r="A16835" s="8">
        <v>43897.160983796297</v>
      </c>
      <c r="B16835" s="8" t="str">
        <f>HYPERLINK("https://twitter.com/dida2525","@dida2525")</f>
        <v>@dida2525</v>
      </c>
      <c r="C16835" s="8" t="s">
        <v>3743</v>
      </c>
      <c r="D16835" s="8">
        <v>355</v>
      </c>
      <c r="E16835" s="8">
        <v>0</v>
      </c>
      <c r="F16835" s="8">
        <v>1063</v>
      </c>
    </row>
    <row r="16836" spans="1:6" ht="12.75">
      <c r="A16836" s="8">
        <v>43897.15902777778</v>
      </c>
      <c r="B16836" s="8" t="str">
        <f>HYPERLINK("https://twitter.com/gunoto7","@gunoto7")</f>
        <v>@gunoto7</v>
      </c>
      <c r="C16836" s="8" t="s">
        <v>5103</v>
      </c>
      <c r="D16836" s="8">
        <v>160</v>
      </c>
      <c r="E16836" s="8">
        <v>0</v>
      </c>
      <c r="F16836" s="8">
        <v>2789</v>
      </c>
    </row>
    <row r="16837" spans="1:6" ht="12.75">
      <c r="A16837" s="8">
        <v>43897.158692129626</v>
      </c>
      <c r="B16837" s="8" t="str">
        <f>HYPERLINK("https://twitter.com/akunrecehndeso","@akunrecehndeso")</f>
        <v>@akunrecehndeso</v>
      </c>
      <c r="C16837" s="8" t="s">
        <v>3743</v>
      </c>
      <c r="D16837" s="8">
        <v>355</v>
      </c>
      <c r="E16837" s="8">
        <v>0</v>
      </c>
      <c r="F16837" s="8">
        <v>1102</v>
      </c>
    </row>
    <row r="16838" spans="1:6" ht="12.75">
      <c r="A16838" s="8">
        <v>43897.158576388887</v>
      </c>
      <c r="B16838" s="8" t="str">
        <f>HYPERLINK("https://twitter.com/GigihTusa","@GigihTusa")</f>
        <v>@GigihTusa</v>
      </c>
      <c r="C16838" s="8" t="s">
        <v>3743</v>
      </c>
      <c r="D16838" s="8">
        <v>355</v>
      </c>
      <c r="E16838" s="8">
        <v>0</v>
      </c>
      <c r="F16838" s="8">
        <v>31</v>
      </c>
    </row>
    <row r="16839" spans="1:6" ht="12.75">
      <c r="A16839" s="8">
        <v>43897.158090277779</v>
      </c>
      <c r="B16839" s="8" t="str">
        <f>HYPERLINK("https://twitter.com/diana_harianti","@diana_harianti")</f>
        <v>@diana_harianti</v>
      </c>
      <c r="C16839" s="8" t="s">
        <v>3213</v>
      </c>
      <c r="D16839" s="8">
        <v>153</v>
      </c>
      <c r="E16839" s="8">
        <v>0</v>
      </c>
      <c r="F16839" s="8">
        <v>1282</v>
      </c>
    </row>
    <row r="16840" spans="1:6" ht="12.75">
      <c r="A16840" s="8">
        <v>43897.156770833331</v>
      </c>
      <c r="B16840" s="8" t="str">
        <f>HYPERLINK("https://twitter.com/HasanIs49797402","@HasanIs49797402")</f>
        <v>@HasanIs49797402</v>
      </c>
      <c r="C16840" s="8" t="s">
        <v>3743</v>
      </c>
      <c r="D16840" s="8">
        <v>355</v>
      </c>
      <c r="E16840" s="8">
        <v>0</v>
      </c>
      <c r="F16840" s="8">
        <v>7</v>
      </c>
    </row>
    <row r="16841" spans="1:6" ht="12.75">
      <c r="A16841" s="8">
        <v>43897.156585648147</v>
      </c>
      <c r="B16841" s="8" t="str">
        <f>HYPERLINK("https://twitter.com/Salman_alfarIsl","@Salman_alfarIsl")</f>
        <v>@Salman_alfarIsl</v>
      </c>
      <c r="C16841" s="8" t="s">
        <v>3743</v>
      </c>
      <c r="D16841" s="8">
        <v>355</v>
      </c>
      <c r="E16841" s="8">
        <v>0</v>
      </c>
      <c r="F16841" s="8">
        <v>135</v>
      </c>
    </row>
    <row r="16842" spans="1:6" ht="12.75">
      <c r="A16842" s="8">
        <v>43897.1558912037</v>
      </c>
      <c r="B16842" s="8" t="str">
        <f>HYPERLINK("https://twitter.com/AndryDouble","@AndryDouble")</f>
        <v>@AndryDouble</v>
      </c>
      <c r="C16842" s="8" t="s">
        <v>3743</v>
      </c>
      <c r="D16842" s="8">
        <v>355</v>
      </c>
      <c r="E16842" s="8">
        <v>0</v>
      </c>
      <c r="F16842" s="8">
        <v>7</v>
      </c>
    </row>
    <row r="16843" spans="1:6" ht="12.75">
      <c r="A16843" s="8">
        <v>43897.155173611114</v>
      </c>
      <c r="B16843" s="8" t="str">
        <f>HYPERLINK("https://twitter.com/_wni_","@_wni_")</f>
        <v>@_wni_</v>
      </c>
      <c r="C16843" s="8" t="s">
        <v>6837</v>
      </c>
      <c r="D16843" s="8">
        <v>0</v>
      </c>
      <c r="E16843" s="8">
        <v>0</v>
      </c>
      <c r="F16843" s="8">
        <v>15</v>
      </c>
    </row>
    <row r="16844" spans="1:6" ht="12.75">
      <c r="A16844" s="8">
        <v>43897.154664351852</v>
      </c>
      <c r="B16844" s="8" t="str">
        <f>HYPERLINK("https://twitter.com/film_egy","@film_egy")</f>
        <v>@film_egy</v>
      </c>
      <c r="C16844" s="8" t="s">
        <v>3743</v>
      </c>
      <c r="D16844" s="8">
        <v>355</v>
      </c>
      <c r="E16844" s="8">
        <v>0</v>
      </c>
      <c r="F16844" s="8">
        <v>8</v>
      </c>
    </row>
    <row r="16845" spans="1:6" ht="12.75">
      <c r="A16845" s="8">
        <v>43897.154641203699</v>
      </c>
      <c r="B16845" s="8" t="str">
        <f>HYPERLINK("https://twitter.com/wibi2519","@wibi2519")</f>
        <v>@wibi2519</v>
      </c>
      <c r="C16845" s="8" t="s">
        <v>6838</v>
      </c>
      <c r="D16845" s="8">
        <v>0</v>
      </c>
      <c r="E16845" s="8">
        <v>0</v>
      </c>
      <c r="F16845" s="8">
        <v>828</v>
      </c>
    </row>
    <row r="16846" spans="1:6" ht="12.75">
      <c r="A16846" s="8">
        <v>43897.154212962967</v>
      </c>
      <c r="B16846" s="8" t="str">
        <f>HYPERLINK("https://twitter.com/Hecthor_CM","@Hecthor_CM")</f>
        <v>@Hecthor_CM</v>
      </c>
      <c r="C16846" s="8" t="s">
        <v>6839</v>
      </c>
      <c r="D16846" s="8">
        <v>0</v>
      </c>
      <c r="E16846" s="8">
        <v>0</v>
      </c>
      <c r="F16846" s="8">
        <v>137</v>
      </c>
    </row>
    <row r="16847" spans="1:6" ht="12.75">
      <c r="A16847" s="8">
        <v>43897.154027777782</v>
      </c>
      <c r="B16847" s="8" t="str">
        <f>HYPERLINK("https://twitter.com/KicauSunyi","@KicauSunyi")</f>
        <v>@KicauSunyi</v>
      </c>
      <c r="C16847" s="8" t="s">
        <v>6840</v>
      </c>
      <c r="D16847" s="8">
        <v>3</v>
      </c>
      <c r="E16847" s="8">
        <v>0</v>
      </c>
      <c r="F16847" s="8">
        <v>3666</v>
      </c>
    </row>
    <row r="16848" spans="1:6" ht="12.75">
      <c r="A16848" s="8">
        <v>43897.153391203705</v>
      </c>
      <c r="B16848" s="8" t="str">
        <f>HYPERLINK("https://twitter.com/AChamplads","@AChamplads")</f>
        <v>@AChamplads</v>
      </c>
      <c r="C16848" s="8" t="s">
        <v>3743</v>
      </c>
      <c r="D16848" s="8">
        <v>355</v>
      </c>
      <c r="E16848" s="8">
        <v>0</v>
      </c>
      <c r="F16848" s="8">
        <v>40</v>
      </c>
    </row>
    <row r="16849" spans="1:6" ht="12.75">
      <c r="A16849" s="8">
        <v>43897.152905092589</v>
      </c>
      <c r="B16849" s="8" t="str">
        <f>HYPERLINK("https://twitter.com/_Epelan","@_Epelan")</f>
        <v>@_Epelan</v>
      </c>
      <c r="C16849" s="8" t="s">
        <v>5103</v>
      </c>
      <c r="D16849" s="8">
        <v>160</v>
      </c>
      <c r="E16849" s="8">
        <v>0</v>
      </c>
      <c r="F16849" s="8">
        <v>497</v>
      </c>
    </row>
    <row r="16850" spans="1:6" ht="12.75">
      <c r="A16850" s="8">
        <v>43897.152280092589</v>
      </c>
      <c r="B16850" s="8" t="str">
        <f>HYPERLINK("https://twitter.com/AnnashrMaulana","@AnnashrMaulana")</f>
        <v>@AnnashrMaulana</v>
      </c>
      <c r="C16850" s="8" t="s">
        <v>3743</v>
      </c>
      <c r="D16850" s="8">
        <v>355</v>
      </c>
      <c r="E16850" s="8">
        <v>0</v>
      </c>
      <c r="F16850" s="8">
        <v>361</v>
      </c>
    </row>
    <row r="16851" spans="1:6" ht="12.75">
      <c r="A16851" s="8">
        <v>43897.151458333334</v>
      </c>
      <c r="B16851" s="8" t="str">
        <f>HYPERLINK("https://twitter.com/AgustineEmy","@AgustineEmy")</f>
        <v>@AgustineEmy</v>
      </c>
      <c r="C16851" s="8" t="s">
        <v>3213</v>
      </c>
      <c r="D16851" s="8">
        <v>153</v>
      </c>
      <c r="E16851" s="8">
        <v>0</v>
      </c>
      <c r="F16851" s="8">
        <v>4240</v>
      </c>
    </row>
    <row r="16852" spans="1:6" ht="12.75">
      <c r="A16852" s="8">
        <v>43897.150914351849</v>
      </c>
      <c r="B16852" s="8" t="str">
        <f t="shared" ref="B16852:B16853" si="254">HYPERLINK("https://twitter.com/agama_nusantara","@agama_nusantara")</f>
        <v>@agama_nusantara</v>
      </c>
      <c r="C16852" s="8" t="s">
        <v>4818</v>
      </c>
      <c r="D16852" s="8">
        <v>113</v>
      </c>
      <c r="E16852" s="8">
        <v>0</v>
      </c>
      <c r="F16852" s="8">
        <v>7425</v>
      </c>
    </row>
    <row r="16853" spans="1:6" ht="12.75">
      <c r="A16853" s="8">
        <v>43897.15048611111</v>
      </c>
      <c r="B16853" s="8" t="str">
        <f t="shared" si="254"/>
        <v>@agama_nusantara</v>
      </c>
      <c r="C16853" s="8" t="s">
        <v>3213</v>
      </c>
      <c r="D16853" s="8">
        <v>153</v>
      </c>
      <c r="E16853" s="8">
        <v>0</v>
      </c>
      <c r="F16853" s="8">
        <v>7425</v>
      </c>
    </row>
    <row r="16854" spans="1:6" ht="12.75">
      <c r="A16854" s="8">
        <v>43897.149351851855</v>
      </c>
      <c r="B16854" s="8" t="str">
        <f>HYPERLINK("https://twitter.com/HarianKalteng","@HarianKalteng")</f>
        <v>@HarianKalteng</v>
      </c>
      <c r="C16854" s="8" t="s">
        <v>6841</v>
      </c>
      <c r="D16854" s="8">
        <v>0</v>
      </c>
      <c r="E16854" s="8">
        <v>0</v>
      </c>
      <c r="F16854" s="8">
        <v>431</v>
      </c>
    </row>
    <row r="16855" spans="1:6" ht="12.75">
      <c r="A16855" s="8">
        <v>43897.148645833338</v>
      </c>
      <c r="B16855" s="8" t="str">
        <f>HYPERLINK("https://twitter.com/Mpok_Hanum","@Mpok_Hanum")</f>
        <v>@Mpok_Hanum</v>
      </c>
      <c r="C16855" s="8" t="s">
        <v>5511</v>
      </c>
      <c r="D16855" s="8">
        <v>12</v>
      </c>
      <c r="E16855" s="8">
        <v>0</v>
      </c>
      <c r="F16855" s="8">
        <v>583</v>
      </c>
    </row>
    <row r="16856" spans="1:6" ht="12.75">
      <c r="A16856" s="8">
        <v>43897.148495370369</v>
      </c>
      <c r="B16856" s="8" t="str">
        <f>HYPERLINK("https://twitter.com/cahya_orlando","@cahya_orlando")</f>
        <v>@cahya_orlando</v>
      </c>
      <c r="C16856" s="8" t="s">
        <v>3743</v>
      </c>
      <c r="D16856" s="8">
        <v>355</v>
      </c>
      <c r="E16856" s="8">
        <v>0</v>
      </c>
      <c r="F16856" s="8">
        <v>154</v>
      </c>
    </row>
    <row r="16857" spans="1:6" ht="12.75">
      <c r="A16857" s="8">
        <v>43897.147916666669</v>
      </c>
      <c r="B16857" s="8" t="str">
        <f>HYPERLINK("https://twitter.com/ItsMyRealQuotes","@ItsMyRealQuotes")</f>
        <v>@ItsMyRealQuotes</v>
      </c>
      <c r="C16857" s="8" t="s">
        <v>6842</v>
      </c>
      <c r="D16857" s="8">
        <v>0</v>
      </c>
      <c r="E16857" s="8">
        <v>0</v>
      </c>
      <c r="F16857" s="8">
        <v>183810</v>
      </c>
    </row>
    <row r="16858" spans="1:6" ht="12.75">
      <c r="A16858" s="8">
        <v>43897.144652777773</v>
      </c>
      <c r="B16858" s="8" t="str">
        <f>HYPERLINK("https://twitter.com/gunoto7","@gunoto7")</f>
        <v>@gunoto7</v>
      </c>
      <c r="C16858" s="8" t="s">
        <v>6105</v>
      </c>
      <c r="D16858" s="8">
        <v>1</v>
      </c>
      <c r="E16858" s="8">
        <v>0</v>
      </c>
      <c r="F16858" s="8">
        <v>2789</v>
      </c>
    </row>
    <row r="16859" spans="1:6" ht="12.75">
      <c r="A16859" s="8">
        <v>43897.143692129626</v>
      </c>
      <c r="B16859" s="8" t="str">
        <f>HYPERLINK("https://twitter.com/Maulida42410037","@Maulida42410037")</f>
        <v>@Maulida42410037</v>
      </c>
      <c r="C16859" s="8" t="s">
        <v>4818</v>
      </c>
      <c r="D16859" s="8">
        <v>113</v>
      </c>
      <c r="E16859" s="8">
        <v>0</v>
      </c>
      <c r="F16859" s="8">
        <v>61</v>
      </c>
    </row>
    <row r="16860" spans="1:6" ht="12.75">
      <c r="A16860" s="8">
        <v>43897.142708333333</v>
      </c>
      <c r="B16860" s="8" t="str">
        <f>HYPERLINK("https://twitter.com/Liputan_Hukum","@Liputan_Hukum")</f>
        <v>@Liputan_Hukum</v>
      </c>
      <c r="C16860" s="8" t="s">
        <v>3743</v>
      </c>
      <c r="D16860" s="8">
        <v>355</v>
      </c>
      <c r="E16860" s="8">
        <v>0</v>
      </c>
      <c r="F16860" s="8">
        <v>1118</v>
      </c>
    </row>
    <row r="16861" spans="1:6" ht="12.75">
      <c r="A16861" s="8">
        <v>43897.142604166671</v>
      </c>
      <c r="B16861" s="8" t="str">
        <f>HYPERLINK("https://twitter.com/ndoetch","@ndoetch")</f>
        <v>@ndoetch</v>
      </c>
      <c r="C16861" s="8" t="s">
        <v>4818</v>
      </c>
      <c r="D16861" s="8">
        <v>113</v>
      </c>
      <c r="E16861" s="8">
        <v>0</v>
      </c>
      <c r="F16861" s="8">
        <v>1312</v>
      </c>
    </row>
    <row r="16862" spans="1:6" ht="12.75">
      <c r="A16862" s="8">
        <v>43897.142291666663</v>
      </c>
      <c r="B16862" s="8" t="str">
        <f>HYPERLINK("https://twitter.com/dhe_enoily","@dhe_enoily")</f>
        <v>@dhe_enoily</v>
      </c>
      <c r="C16862" s="8" t="s">
        <v>6843</v>
      </c>
      <c r="D16862" s="8">
        <v>1</v>
      </c>
      <c r="E16862" s="8">
        <v>3</v>
      </c>
      <c r="F16862" s="8">
        <v>3142</v>
      </c>
    </row>
    <row r="16863" spans="1:6" ht="12.75">
      <c r="A16863" s="8">
        <v>43897.13925925926</v>
      </c>
      <c r="B16863" s="8" t="str">
        <f>HYPERLINK("https://twitter.com/RifckyAL","@RifckyAL")</f>
        <v>@RifckyAL</v>
      </c>
      <c r="C16863" s="8" t="s">
        <v>4818</v>
      </c>
      <c r="D16863" s="8">
        <v>113</v>
      </c>
      <c r="E16863" s="8">
        <v>0</v>
      </c>
      <c r="F16863" s="8">
        <v>784</v>
      </c>
    </row>
    <row r="16864" spans="1:6" ht="12.75">
      <c r="A16864" s="8">
        <v>43897.138564814813</v>
      </c>
      <c r="B16864" s="8" t="str">
        <f>HYPERLINK("https://twitter.com/BR3K3L3_NY454R","@BR3K3L3_NY454R")</f>
        <v>@BR3K3L3_NY454R</v>
      </c>
      <c r="C16864" s="8" t="s">
        <v>3213</v>
      </c>
      <c r="D16864" s="8">
        <v>153</v>
      </c>
      <c r="E16864" s="8">
        <v>0</v>
      </c>
      <c r="F16864" s="8">
        <v>1172</v>
      </c>
    </row>
    <row r="16865" spans="1:6" ht="12.75">
      <c r="A16865" s="8">
        <v>43897.137696759259</v>
      </c>
      <c r="B16865" s="8" t="str">
        <f>HYPERLINK("https://twitter.com/Zahyu78","@Zahyu78")</f>
        <v>@Zahyu78</v>
      </c>
      <c r="C16865" s="8" t="s">
        <v>3743</v>
      </c>
      <c r="D16865" s="8">
        <v>355</v>
      </c>
      <c r="E16865" s="8">
        <v>0</v>
      </c>
      <c r="F16865" s="8">
        <v>151</v>
      </c>
    </row>
    <row r="16866" spans="1:6" ht="12.75">
      <c r="A16866" s="8">
        <v>43897.137650462959</v>
      </c>
      <c r="B16866" s="8" t="str">
        <f>HYPERLINK("https://twitter.com/mbaadnin","@mbaadnin")</f>
        <v>@mbaadnin</v>
      </c>
      <c r="C16866" s="8" t="s">
        <v>6844</v>
      </c>
      <c r="D16866" s="8">
        <v>0</v>
      </c>
      <c r="E16866" s="8">
        <v>0</v>
      </c>
      <c r="F16866" s="8">
        <v>484</v>
      </c>
    </row>
    <row r="16867" spans="1:6" ht="12.75">
      <c r="A16867" s="8">
        <v>43897.136423611111</v>
      </c>
      <c r="B16867" s="8" t="str">
        <f>HYPERLINK("https://twitter.com/ardian_bn","@ardian_bn")</f>
        <v>@ardian_bn</v>
      </c>
      <c r="C16867" s="8" t="s">
        <v>2116</v>
      </c>
      <c r="D16867" s="8">
        <v>53</v>
      </c>
      <c r="E16867" s="8">
        <v>0</v>
      </c>
      <c r="F16867" s="8">
        <v>324</v>
      </c>
    </row>
    <row r="16868" spans="1:6" ht="12.75">
      <c r="A16868" s="8">
        <v>43897.135775462964</v>
      </c>
      <c r="B16868" s="8" t="str">
        <f>HYPERLINK("https://twitter.com/jozal1511","@jozal1511")</f>
        <v>@jozal1511</v>
      </c>
      <c r="C16868" s="8" t="s">
        <v>3743</v>
      </c>
      <c r="D16868" s="8">
        <v>355</v>
      </c>
      <c r="E16868" s="8">
        <v>0</v>
      </c>
      <c r="F16868" s="8">
        <v>312</v>
      </c>
    </row>
    <row r="16869" spans="1:6" ht="12.75">
      <c r="A16869" s="8">
        <v>43897.13548611111</v>
      </c>
      <c r="B16869" s="8" t="str">
        <f>HYPERLINK("https://twitter.com/DarmaDa89934536","@DarmaDa89934536")</f>
        <v>@DarmaDa89934536</v>
      </c>
      <c r="C16869" s="8" t="s">
        <v>3743</v>
      </c>
      <c r="D16869" s="8">
        <v>355</v>
      </c>
      <c r="E16869" s="8">
        <v>0</v>
      </c>
      <c r="F16869" s="8">
        <v>318</v>
      </c>
    </row>
    <row r="16870" spans="1:6" ht="12.75">
      <c r="A16870" s="8">
        <v>43897.134120370371</v>
      </c>
      <c r="B16870" s="8" t="str">
        <f>HYPERLINK("https://twitter.com/senasurya53","@senasurya53")</f>
        <v>@senasurya53</v>
      </c>
      <c r="C16870" s="8" t="s">
        <v>6845</v>
      </c>
      <c r="D16870" s="8">
        <v>0</v>
      </c>
      <c r="E16870" s="8">
        <v>0</v>
      </c>
      <c r="F16870" s="8">
        <v>509</v>
      </c>
    </row>
    <row r="16871" spans="1:6" ht="12.75">
      <c r="A16871" s="8">
        <v>43897.131550925929</v>
      </c>
      <c r="B16871" s="8" t="str">
        <f>HYPERLINK("https://twitter.com/irastirawan","@irastirawan")</f>
        <v>@irastirawan</v>
      </c>
      <c r="C16871" s="8" t="s">
        <v>3743</v>
      </c>
      <c r="D16871" s="8">
        <v>335</v>
      </c>
      <c r="E16871" s="8">
        <v>0</v>
      </c>
      <c r="F16871" s="8">
        <v>14</v>
      </c>
    </row>
    <row r="16872" spans="1:6" ht="12.75">
      <c r="A16872" s="8">
        <v>43897.131342592591</v>
      </c>
      <c r="B16872" s="8" t="str">
        <f>HYPERLINK("https://twitter.com/kbridenhaag","@kbridenhaag")</f>
        <v>@kbridenhaag</v>
      </c>
      <c r="C16872" s="8" t="s">
        <v>6846</v>
      </c>
      <c r="D16872" s="8">
        <v>0</v>
      </c>
      <c r="E16872" s="8">
        <v>0</v>
      </c>
      <c r="F16872" s="8">
        <v>6057</v>
      </c>
    </row>
    <row r="16873" spans="1:6" ht="12.75">
      <c r="A16873" s="8">
        <v>43897.131249999999</v>
      </c>
      <c r="B16873" s="8" t="str">
        <f>HYPERLINK("https://twitter.com/FatiinS_L","@FatiinS_L")</f>
        <v>@FatiinS_L</v>
      </c>
      <c r="C16873" s="8" t="s">
        <v>6847</v>
      </c>
      <c r="D16873" s="8">
        <v>0</v>
      </c>
      <c r="E16873" s="8">
        <v>0</v>
      </c>
      <c r="F16873" s="8">
        <v>16421</v>
      </c>
    </row>
    <row r="16874" spans="1:6" ht="12.75">
      <c r="A16874" s="8">
        <v>43897.130115740743</v>
      </c>
      <c r="B16874" s="8" t="str">
        <f>HYPERLINK("https://twitter.com/adnanfaris4","@adnanfaris4")</f>
        <v>@adnanfaris4</v>
      </c>
      <c r="C16874" s="8" t="s">
        <v>6848</v>
      </c>
      <c r="D16874" s="8">
        <v>0</v>
      </c>
      <c r="E16874" s="8">
        <v>2</v>
      </c>
      <c r="F16874" s="8">
        <v>98</v>
      </c>
    </row>
    <row r="16875" spans="1:6" ht="12.75">
      <c r="A16875" s="8">
        <v>43897.126388888893</v>
      </c>
      <c r="B16875" s="8" t="str">
        <f>HYPERLINK("https://twitter.com/Nadila_ID","@Nadila_ID")</f>
        <v>@Nadila_ID</v>
      </c>
      <c r="C16875" s="8" t="s">
        <v>6849</v>
      </c>
      <c r="D16875" s="8">
        <v>0</v>
      </c>
      <c r="E16875" s="8">
        <v>0</v>
      </c>
      <c r="F16875" s="8">
        <v>7165</v>
      </c>
    </row>
    <row r="16876" spans="1:6" ht="12.75">
      <c r="A16876" s="8">
        <v>43897.125081018516</v>
      </c>
      <c r="B16876" s="8" t="str">
        <f>HYPERLINK("https://twitter.com/77Wrnorthland__","@77Wrnorthland__")</f>
        <v>@77Wrnorthland__</v>
      </c>
      <c r="C16876" s="8" t="s">
        <v>6735</v>
      </c>
      <c r="D16876" s="8">
        <v>3</v>
      </c>
      <c r="E16876" s="8">
        <v>0</v>
      </c>
      <c r="F16876" s="8">
        <v>794</v>
      </c>
    </row>
    <row r="16877" spans="1:6" ht="12.75">
      <c r="A16877" s="8">
        <v>43897.124756944446</v>
      </c>
      <c r="B16877" s="8" t="str">
        <f>HYPERLINK("https://twitter.com/isis_andrade4","@isis_andrade4")</f>
        <v>@isis_andrade4</v>
      </c>
      <c r="C16877" s="8" t="s">
        <v>6850</v>
      </c>
      <c r="D16877" s="8">
        <v>1912</v>
      </c>
      <c r="E16877" s="8">
        <v>0</v>
      </c>
      <c r="F16877" s="8">
        <v>533</v>
      </c>
    </row>
    <row r="16878" spans="1:6" ht="12.75">
      <c r="A16878" s="8">
        <v>43897.124699074076</v>
      </c>
      <c r="B16878" s="8" t="str">
        <f>HYPERLINK("https://twitter.com/dionMomongan","@dionMomongan")</f>
        <v>@dionMomongan</v>
      </c>
      <c r="C16878" s="8" t="s">
        <v>5103</v>
      </c>
      <c r="D16878" s="8">
        <v>158</v>
      </c>
      <c r="E16878" s="8">
        <v>0</v>
      </c>
      <c r="F16878" s="8">
        <v>5085</v>
      </c>
    </row>
    <row r="16879" spans="1:6" ht="12.75">
      <c r="A16879" s="8">
        <v>43897.123379629629</v>
      </c>
      <c r="B16879" s="8" t="str">
        <f>HYPERLINK("https://twitter.com/wongsolo0904","@wongsolo0904")</f>
        <v>@wongsolo0904</v>
      </c>
      <c r="C16879" s="8" t="s">
        <v>3743</v>
      </c>
      <c r="D16879" s="8">
        <v>335</v>
      </c>
      <c r="E16879" s="8">
        <v>0</v>
      </c>
      <c r="F16879" s="8">
        <v>3231</v>
      </c>
    </row>
    <row r="16880" spans="1:6" ht="12.75">
      <c r="A16880" s="8">
        <v>43897.123078703706</v>
      </c>
      <c r="B16880" s="8" t="str">
        <f>HYPERLINK("https://twitter.com/AdeCand65866045","@AdeCand65866045")</f>
        <v>@AdeCand65866045</v>
      </c>
      <c r="C16880" s="8" t="s">
        <v>3743</v>
      </c>
      <c r="D16880" s="8">
        <v>335</v>
      </c>
      <c r="E16880" s="8">
        <v>0</v>
      </c>
      <c r="F16880" s="8">
        <v>159</v>
      </c>
    </row>
    <row r="16881" spans="1:6" ht="12.75">
      <c r="A16881" s="8">
        <v>43897.123067129629</v>
      </c>
      <c r="B16881" s="8" t="str">
        <f>HYPERLINK("https://twitter.com/AhmadSuaib77","@AhmadSuaib77")</f>
        <v>@AhmadSuaib77</v>
      </c>
      <c r="C16881" s="8" t="s">
        <v>3743</v>
      </c>
      <c r="D16881" s="8">
        <v>335</v>
      </c>
      <c r="E16881" s="8">
        <v>0</v>
      </c>
      <c r="F16881" s="8">
        <v>677</v>
      </c>
    </row>
    <row r="16882" spans="1:6" ht="12.75">
      <c r="A16882" s="8">
        <v>43897.122615740736</v>
      </c>
      <c r="B16882" s="8" t="str">
        <f>HYPERLINK("https://twitter.com/KBRI_Brasilia","@KBRI_Brasilia")</f>
        <v>@KBRI_Brasilia</v>
      </c>
      <c r="C16882" s="8" t="s">
        <v>6851</v>
      </c>
      <c r="D16882" s="8">
        <v>0</v>
      </c>
      <c r="E16882" s="8">
        <v>0</v>
      </c>
      <c r="F16882" s="8">
        <v>949</v>
      </c>
    </row>
    <row r="16883" spans="1:6" ht="12.75">
      <c r="A16883" s="8">
        <v>43897.121331018519</v>
      </c>
      <c r="B16883" s="8" t="str">
        <f>HYPERLINK("https://twitter.com/Hasbab7","@Hasbab7")</f>
        <v>@Hasbab7</v>
      </c>
      <c r="C16883" s="8" t="s">
        <v>3743</v>
      </c>
      <c r="D16883" s="8">
        <v>335</v>
      </c>
      <c r="E16883" s="8">
        <v>0</v>
      </c>
      <c r="F16883" s="8">
        <v>34</v>
      </c>
    </row>
    <row r="16884" spans="1:6" ht="12.75">
      <c r="A16884" s="8">
        <v>43897.121145833335</v>
      </c>
      <c r="B16884" s="8" t="str">
        <f>HYPERLINK("https://twitter.com/andrenumbersix","@andrenumbersix")</f>
        <v>@andrenumbersix</v>
      </c>
      <c r="C16884" s="8" t="s">
        <v>6852</v>
      </c>
      <c r="D16884" s="8">
        <v>0</v>
      </c>
      <c r="E16884" s="8">
        <v>0</v>
      </c>
      <c r="F16884" s="8">
        <v>13</v>
      </c>
    </row>
    <row r="16885" spans="1:6" ht="12.75">
      <c r="A16885" s="8">
        <v>43897.120648148149</v>
      </c>
      <c r="B16885" s="8" t="str">
        <f>HYPERLINK("https://twitter.com/awan137","@awan137")</f>
        <v>@awan137</v>
      </c>
      <c r="C16885" s="8" t="s">
        <v>4818</v>
      </c>
      <c r="D16885" s="8">
        <v>107</v>
      </c>
      <c r="E16885" s="8">
        <v>0</v>
      </c>
      <c r="F16885" s="8">
        <v>313</v>
      </c>
    </row>
    <row r="16886" spans="1:6" ht="12.75">
      <c r="A16886" s="8">
        <v>43897.120138888888</v>
      </c>
      <c r="B16886" s="8" t="str">
        <f>HYPERLINK("https://twitter.com/healthyliveID","@healthyliveID")</f>
        <v>@healthyliveID</v>
      </c>
      <c r="C16886" s="8" t="s">
        <v>6853</v>
      </c>
      <c r="D16886" s="8">
        <v>0</v>
      </c>
      <c r="E16886" s="8">
        <v>0</v>
      </c>
      <c r="F16886" s="8">
        <v>45120</v>
      </c>
    </row>
    <row r="16887" spans="1:6" ht="12.75">
      <c r="A16887" s="8">
        <v>43897.119999999995</v>
      </c>
      <c r="B16887" s="8" t="str">
        <f>HYPERLINK("https://twitter.com/phewsophie","@phewsophie")</f>
        <v>@phewsophie</v>
      </c>
      <c r="C16887" s="8" t="s">
        <v>6854</v>
      </c>
      <c r="D16887" s="8">
        <v>0</v>
      </c>
      <c r="E16887" s="8">
        <v>0</v>
      </c>
      <c r="F16887" s="8">
        <v>102</v>
      </c>
    </row>
    <row r="16888" spans="1:6" ht="12.75">
      <c r="A16888" s="8">
        <v>43897.119409722218</v>
      </c>
      <c r="B16888" s="8" t="str">
        <f>HYPERLINK("https://twitter.com/BenZah6","@BenZah6")</f>
        <v>@BenZah6</v>
      </c>
      <c r="C16888" s="8" t="s">
        <v>3743</v>
      </c>
      <c r="D16888" s="8">
        <v>335</v>
      </c>
      <c r="E16888" s="8">
        <v>0</v>
      </c>
      <c r="F16888" s="8">
        <v>59</v>
      </c>
    </row>
    <row r="16889" spans="1:6" ht="12.75">
      <c r="A16889" s="8">
        <v>43897.119328703702</v>
      </c>
      <c r="B16889" s="8" t="str">
        <f>HYPERLINK("https://twitter.com/donsnomanstream","@donsnomanstream")</f>
        <v>@donsnomanstream</v>
      </c>
      <c r="C16889" s="8" t="s">
        <v>3743</v>
      </c>
      <c r="D16889" s="8">
        <v>335</v>
      </c>
      <c r="E16889" s="8">
        <v>0</v>
      </c>
      <c r="F16889" s="8">
        <v>110</v>
      </c>
    </row>
    <row r="16890" spans="1:6" ht="12.75">
      <c r="A16890" s="8">
        <v>43897.119212962964</v>
      </c>
      <c r="B16890" s="8" t="str">
        <f>HYPERLINK("https://twitter.com/KBRI_Brasilia","@KBRI_Brasilia")</f>
        <v>@KBRI_Brasilia</v>
      </c>
      <c r="C16890" s="8" t="s">
        <v>6855</v>
      </c>
      <c r="D16890" s="8">
        <v>0</v>
      </c>
      <c r="E16890" s="8">
        <v>0</v>
      </c>
      <c r="F16890" s="8">
        <v>949</v>
      </c>
    </row>
    <row r="16891" spans="1:6" ht="12.75">
      <c r="A16891" s="8">
        <v>43897.118460648147</v>
      </c>
      <c r="B16891" s="8" t="str">
        <f>HYPERLINK("https://twitter.com/isis_macedo10","@isis_macedo10")</f>
        <v>@isis_macedo10</v>
      </c>
      <c r="C16891" s="8" t="s">
        <v>6856</v>
      </c>
      <c r="D16891" s="8">
        <v>0</v>
      </c>
      <c r="E16891" s="8">
        <v>0</v>
      </c>
      <c r="F16891" s="8">
        <v>5326</v>
      </c>
    </row>
    <row r="16892" spans="1:6" ht="12.75">
      <c r="A16892" s="8">
        <v>43897.117129629631</v>
      </c>
      <c r="B16892" s="8" t="str">
        <f>HYPERLINK("https://twitter.com/SamsulArifin000","@SamsulArifin000")</f>
        <v>@SamsulArifin000</v>
      </c>
      <c r="C16892" s="8" t="s">
        <v>3743</v>
      </c>
      <c r="D16892" s="8">
        <v>335</v>
      </c>
      <c r="E16892" s="8">
        <v>0</v>
      </c>
      <c r="F16892" s="8">
        <v>108</v>
      </c>
    </row>
    <row r="16893" spans="1:6" ht="12.75">
      <c r="A16893" s="8">
        <v>43897.116956018523</v>
      </c>
      <c r="B16893" s="8" t="str">
        <f>HYPERLINK("https://twitter.com/gunoto7","@gunoto7")</f>
        <v>@gunoto7</v>
      </c>
      <c r="C16893" s="8" t="s">
        <v>5944</v>
      </c>
      <c r="D16893" s="8">
        <v>4</v>
      </c>
      <c r="E16893" s="8">
        <v>0</v>
      </c>
      <c r="F16893" s="8">
        <v>2787</v>
      </c>
    </row>
    <row r="16894" spans="1:6" ht="12.75">
      <c r="A16894" s="8">
        <v>43897.116747685184</v>
      </c>
      <c r="B16894" s="8" t="str">
        <f>HYPERLINK("https://twitter.com/Hayik02","@Hayik02")</f>
        <v>@Hayik02</v>
      </c>
      <c r="C16894" s="8" t="s">
        <v>3213</v>
      </c>
      <c r="D16894" s="8">
        <v>148</v>
      </c>
      <c r="E16894" s="8">
        <v>0</v>
      </c>
      <c r="F16894" s="8">
        <v>273</v>
      </c>
    </row>
    <row r="16895" spans="1:6" ht="12.75">
      <c r="A16895" s="8">
        <v>43897.115729166668</v>
      </c>
      <c r="B16895" s="8" t="str">
        <f>HYPERLINK("https://twitter.com/FernianHaeHaean","@FernianHaeHaean")</f>
        <v>@FernianHaeHaean</v>
      </c>
      <c r="C16895" s="8" t="s">
        <v>3743</v>
      </c>
      <c r="D16895" s="8">
        <v>335</v>
      </c>
      <c r="E16895" s="8">
        <v>0</v>
      </c>
      <c r="F16895" s="8">
        <v>265</v>
      </c>
    </row>
    <row r="16896" spans="1:6" ht="12.75">
      <c r="A16896" s="8">
        <v>43897.115381944444</v>
      </c>
      <c r="B16896" s="8" t="str">
        <f>HYPERLINK("https://twitter.com/gunoto7","@gunoto7")</f>
        <v>@gunoto7</v>
      </c>
      <c r="C16896" s="8" t="s">
        <v>6787</v>
      </c>
      <c r="D16896" s="8">
        <v>1</v>
      </c>
      <c r="E16896" s="8">
        <v>0</v>
      </c>
      <c r="F16896" s="8">
        <v>2787</v>
      </c>
    </row>
    <row r="16897" spans="1:6" ht="12.75">
      <c r="A16897" s="8">
        <v>43897.11409722222</v>
      </c>
      <c r="B16897" s="8" t="str">
        <f>HYPERLINK("https://twitter.com/awan137","@awan137")</f>
        <v>@awan137</v>
      </c>
      <c r="C16897" s="8" t="s">
        <v>6857</v>
      </c>
      <c r="D16897" s="8">
        <v>0</v>
      </c>
      <c r="E16897" s="8">
        <v>0</v>
      </c>
      <c r="F16897" s="8">
        <v>313</v>
      </c>
    </row>
    <row r="16898" spans="1:6" ht="12.75">
      <c r="A16898" s="8">
        <v>43897.113634259258</v>
      </c>
      <c r="B16898" s="8" t="str">
        <f>HYPERLINK("https://twitter.com/udafedro","@udafedro")</f>
        <v>@udafedro</v>
      </c>
      <c r="C16898" s="8" t="s">
        <v>6858</v>
      </c>
      <c r="D16898" s="8">
        <v>0</v>
      </c>
      <c r="E16898" s="8">
        <v>0</v>
      </c>
      <c r="F16898" s="8">
        <v>426</v>
      </c>
    </row>
    <row r="16899" spans="1:6" ht="12.75">
      <c r="A16899" s="8">
        <v>43897.113032407404</v>
      </c>
      <c r="B16899" s="8" t="str">
        <f>HYPERLINK("https://twitter.com/dieforpeace_","@dieforpeace_")</f>
        <v>@dieforpeace_</v>
      </c>
      <c r="C16899" s="8" t="s">
        <v>3213</v>
      </c>
      <c r="D16899" s="8">
        <v>148</v>
      </c>
      <c r="E16899" s="8">
        <v>0</v>
      </c>
      <c r="F16899" s="8">
        <v>47</v>
      </c>
    </row>
    <row r="16900" spans="1:6" ht="12.75">
      <c r="A16900" s="8">
        <v>43897.111574074079</v>
      </c>
      <c r="B16900" s="8" t="str">
        <f>HYPERLINK("https://twitter.com/VoxPopuliID","@VoxPopuliID")</f>
        <v>@VoxPopuliID</v>
      </c>
      <c r="C16900" s="8" t="s">
        <v>3080</v>
      </c>
      <c r="D16900" s="8">
        <v>0</v>
      </c>
      <c r="E16900" s="8">
        <v>0</v>
      </c>
      <c r="F16900" s="8">
        <v>727</v>
      </c>
    </row>
    <row r="16901" spans="1:6" ht="12.75">
      <c r="A16901" s="8">
        <v>43897.111527777779</v>
      </c>
      <c r="B16901" s="8" t="str">
        <f>HYPERLINK("https://twitter.com/SebastianBara4","@SebastianBara4")</f>
        <v>@SebastianBara4</v>
      </c>
      <c r="C16901" s="8" t="s">
        <v>3080</v>
      </c>
      <c r="D16901" s="8">
        <v>0</v>
      </c>
      <c r="E16901" s="8">
        <v>0</v>
      </c>
      <c r="F16901" s="8">
        <v>1</v>
      </c>
    </row>
    <row r="16902" spans="1:6" ht="12.75">
      <c r="A16902" s="8">
        <v>43897.11146990741</v>
      </c>
      <c r="B16902" s="8" t="str">
        <f>HYPERLINK("https://twitter.com/spirit_1945","@spirit_1945")</f>
        <v>@spirit_1945</v>
      </c>
      <c r="C16902" s="8" t="s">
        <v>3080</v>
      </c>
      <c r="D16902" s="8">
        <v>0</v>
      </c>
      <c r="E16902" s="8">
        <v>0</v>
      </c>
      <c r="F16902" s="8">
        <v>121</v>
      </c>
    </row>
    <row r="16903" spans="1:6" ht="12.75">
      <c r="A16903" s="8">
        <v>43897.111435185187</v>
      </c>
      <c r="B16903" s="8" t="str">
        <f>HYPERLINK("https://twitter.com/kurakuraninjaid","@kurakuraninjaid")</f>
        <v>@kurakuraninjaid</v>
      </c>
      <c r="C16903" s="8" t="s">
        <v>3080</v>
      </c>
      <c r="D16903" s="8">
        <v>0</v>
      </c>
      <c r="E16903" s="8">
        <v>0</v>
      </c>
      <c r="F16903" s="8">
        <v>308</v>
      </c>
    </row>
    <row r="16904" spans="1:6" ht="12.75">
      <c r="A16904" s="8">
        <v>43897.11136574074</v>
      </c>
      <c r="B16904" s="8" t="str">
        <f>HYPERLINK("https://twitter.com/cikyber","@cikyber")</f>
        <v>@cikyber</v>
      </c>
      <c r="C16904" s="8" t="s">
        <v>3080</v>
      </c>
      <c r="D16904" s="8">
        <v>0</v>
      </c>
      <c r="E16904" s="8">
        <v>0</v>
      </c>
      <c r="F16904" s="8">
        <v>292</v>
      </c>
    </row>
    <row r="16905" spans="1:6" ht="12.75">
      <c r="A16905" s="8">
        <v>43897.111319444448</v>
      </c>
      <c r="B16905" s="8" t="str">
        <f>HYPERLINK("https://twitter.com/AbdullahMujeed","@AbdullahMujeed")</f>
        <v>@AbdullahMujeed</v>
      </c>
      <c r="C16905" s="8" t="s">
        <v>3080</v>
      </c>
      <c r="D16905" s="8">
        <v>0</v>
      </c>
      <c r="E16905" s="8">
        <v>0</v>
      </c>
      <c r="F16905" s="8">
        <v>3</v>
      </c>
    </row>
    <row r="16906" spans="1:6" ht="12.75">
      <c r="A16906" s="8">
        <v>43897.111273148148</v>
      </c>
      <c r="B16906" s="8" t="str">
        <f>HYPERLINK("https://twitter.com/bensutasoma","@bensutasoma")</f>
        <v>@bensutasoma</v>
      </c>
      <c r="C16906" s="8" t="s">
        <v>3080</v>
      </c>
      <c r="D16906" s="8">
        <v>0</v>
      </c>
      <c r="E16906" s="8">
        <v>0</v>
      </c>
      <c r="F16906" s="8">
        <v>1</v>
      </c>
    </row>
    <row r="16907" spans="1:6" ht="12.75">
      <c r="A16907" s="8">
        <v>43897.110914351855</v>
      </c>
      <c r="B16907" s="8" t="str">
        <f>HYPERLINK("https://twitter.com/simpulmati","@simpulmati")</f>
        <v>@simpulmati</v>
      </c>
      <c r="C16907" s="8" t="s">
        <v>3743</v>
      </c>
      <c r="D16907" s="8">
        <v>335</v>
      </c>
      <c r="E16907" s="8">
        <v>0</v>
      </c>
      <c r="F16907" s="8">
        <v>252</v>
      </c>
    </row>
    <row r="16908" spans="1:6" ht="12.75">
      <c r="A16908" s="8">
        <v>43897.110671296294</v>
      </c>
      <c r="B16908" s="8" t="str">
        <f>HYPERLINK("https://twitter.com/Derri_dayen","@Derri_dayen")</f>
        <v>@Derri_dayen</v>
      </c>
      <c r="C16908" s="8" t="s">
        <v>3743</v>
      </c>
      <c r="D16908" s="8">
        <v>335</v>
      </c>
      <c r="E16908" s="8">
        <v>0</v>
      </c>
      <c r="F16908" s="8">
        <v>674</v>
      </c>
    </row>
    <row r="16909" spans="1:6" ht="12.75">
      <c r="A16909" s="8">
        <v>43897.1096412037</v>
      </c>
      <c r="B16909" s="8" t="str">
        <f>HYPERLINK("https://twitter.com/garisdepannkri","@garisdepannkri")</f>
        <v>@garisdepannkri</v>
      </c>
      <c r="C16909" s="8" t="s">
        <v>3080</v>
      </c>
      <c r="D16909" s="8">
        <v>0</v>
      </c>
      <c r="E16909" s="8">
        <v>0</v>
      </c>
      <c r="F16909" s="8">
        <v>7</v>
      </c>
    </row>
    <row r="16910" spans="1:6" ht="12.75">
      <c r="A16910" s="8">
        <v>43897.109525462962</v>
      </c>
      <c r="B16910" s="8" t="str">
        <f>HYPERLINK("https://twitter.com/JakartaStar","@JakartaStar")</f>
        <v>@JakartaStar</v>
      </c>
      <c r="C16910" s="8" t="s">
        <v>3213</v>
      </c>
      <c r="D16910" s="8">
        <v>148</v>
      </c>
      <c r="E16910" s="8">
        <v>0</v>
      </c>
      <c r="F16910" s="8">
        <v>5714</v>
      </c>
    </row>
    <row r="16911" spans="1:6" ht="12.75">
      <c r="A16911" s="8">
        <v>43897.108877314815</v>
      </c>
      <c r="B16911" s="8" t="str">
        <f>HYPERLINK("https://twitter.com/mincounslibels","@mincounslibels")</f>
        <v>@mincounslibels</v>
      </c>
      <c r="C16911" s="8" t="s">
        <v>3132</v>
      </c>
      <c r="D16911" s="8">
        <v>128</v>
      </c>
      <c r="E16911" s="8">
        <v>0</v>
      </c>
      <c r="F16911" s="8">
        <v>79</v>
      </c>
    </row>
    <row r="16912" spans="1:6" ht="12.75">
      <c r="A16912" s="8">
        <v>43897.105196759258</v>
      </c>
      <c r="B16912" s="8" t="str">
        <f>HYPERLINK("https://twitter.com/nazi_8303","@nazi_8303")</f>
        <v>@nazi_8303</v>
      </c>
      <c r="C16912" s="8" t="s">
        <v>3743</v>
      </c>
      <c r="D16912" s="8">
        <v>335</v>
      </c>
      <c r="E16912" s="8">
        <v>0</v>
      </c>
      <c r="F16912" s="8">
        <v>14</v>
      </c>
    </row>
    <row r="16913" spans="1:6" ht="12.75">
      <c r="A16913" s="8">
        <v>43897.105115740742</v>
      </c>
      <c r="B16913" s="8" t="str">
        <f>HYPERLINK("https://twitter.com/WPujiantara","@WPujiantara")</f>
        <v>@WPujiantara</v>
      </c>
      <c r="C16913" s="8" t="s">
        <v>6735</v>
      </c>
      <c r="D16913" s="8">
        <v>3</v>
      </c>
      <c r="E16913" s="8">
        <v>0</v>
      </c>
      <c r="F16913" s="8">
        <v>230</v>
      </c>
    </row>
    <row r="16914" spans="1:6" ht="12.75">
      <c r="A16914" s="8">
        <v>43897.102372685185</v>
      </c>
      <c r="B16914" s="8" t="str">
        <f>HYPERLINK("https://twitter.com/YoyokSubandriy3","@YoyokSubandriy3")</f>
        <v>@YoyokSubandriy3</v>
      </c>
      <c r="C16914" s="8" t="s">
        <v>6859</v>
      </c>
      <c r="D16914" s="8">
        <v>2</v>
      </c>
      <c r="E16914" s="8">
        <v>0</v>
      </c>
      <c r="F16914" s="8">
        <v>1394</v>
      </c>
    </row>
    <row r="16915" spans="1:6" ht="12.75">
      <c r="A16915" s="8">
        <v>43897.1019212963</v>
      </c>
      <c r="B16915" s="8" t="str">
        <f>HYPERLINK("https://twitter.com/kbriwina","@kbriwina")</f>
        <v>@kbriwina</v>
      </c>
      <c r="C16915" s="8" t="s">
        <v>3132</v>
      </c>
      <c r="D16915" s="8">
        <v>128</v>
      </c>
      <c r="E16915" s="8">
        <v>0</v>
      </c>
      <c r="F16915" s="8">
        <v>1931</v>
      </c>
    </row>
    <row r="16916" spans="1:6" ht="12.75">
      <c r="A16916" s="8">
        <v>43897.100451388891</v>
      </c>
      <c r="B16916" s="8" t="str">
        <f>HYPERLINK("https://twitter.com/Khoirul57980744","@Khoirul57980744")</f>
        <v>@Khoirul57980744</v>
      </c>
      <c r="C16916" s="8" t="s">
        <v>6735</v>
      </c>
      <c r="D16916" s="8">
        <v>3</v>
      </c>
      <c r="E16916" s="8">
        <v>0</v>
      </c>
      <c r="F16916" s="8">
        <v>8</v>
      </c>
    </row>
    <row r="16917" spans="1:6" ht="12.75">
      <c r="A16917" s="8">
        <v>43897.100393518514</v>
      </c>
      <c r="B16917" s="8" t="str">
        <f>HYPERLINK("https://twitter.com/58d7169a88a84cf","@58d7169a88a84cf")</f>
        <v>@58d7169a88a84cf</v>
      </c>
      <c r="C16917" s="8" t="s">
        <v>3743</v>
      </c>
      <c r="D16917" s="8">
        <v>335</v>
      </c>
      <c r="E16917" s="8">
        <v>0</v>
      </c>
      <c r="F16917" s="8">
        <v>93</v>
      </c>
    </row>
    <row r="16918" spans="1:6" ht="12.75">
      <c r="A16918" s="8">
        <v>43897.100057870368</v>
      </c>
      <c r="B16918" s="8" t="str">
        <f>HYPERLINK("https://twitter.com/darip860","@darip860")</f>
        <v>@darip860</v>
      </c>
      <c r="C16918" s="8" t="s">
        <v>3213</v>
      </c>
      <c r="D16918" s="8">
        <v>148</v>
      </c>
      <c r="E16918" s="8">
        <v>0</v>
      </c>
      <c r="F16918" s="8">
        <v>247</v>
      </c>
    </row>
    <row r="16919" spans="1:6" ht="12.75">
      <c r="A16919" s="8">
        <v>43897.099849537037</v>
      </c>
      <c r="B16919" s="8" t="str">
        <f>HYPERLINK("https://twitter.com/Tiara_jkt","@Tiara_jkt")</f>
        <v>@Tiara_jkt</v>
      </c>
      <c r="C16919" s="8" t="s">
        <v>5103</v>
      </c>
      <c r="D16919" s="8">
        <v>158</v>
      </c>
      <c r="E16919" s="8">
        <v>0</v>
      </c>
      <c r="F16919" s="8">
        <v>1316</v>
      </c>
    </row>
    <row r="16920" spans="1:6" ht="12.75">
      <c r="A16920" s="8">
        <v>43897.099780092598</v>
      </c>
      <c r="B16920" s="8" t="str">
        <f>HYPERLINK("https://twitter.com/prytnma","@prytnma")</f>
        <v>@prytnma</v>
      </c>
      <c r="C16920" s="8" t="s">
        <v>4818</v>
      </c>
      <c r="D16920" s="8">
        <v>107</v>
      </c>
      <c r="E16920" s="8">
        <v>0</v>
      </c>
      <c r="F16920" s="8">
        <v>414</v>
      </c>
    </row>
    <row r="16921" spans="1:6" ht="12.75">
      <c r="A16921" s="8">
        <v>43897.099652777775</v>
      </c>
      <c r="B16921" s="8" t="str">
        <f>HYPERLINK("https://twitter.com/DonFlamingo_","@DonFlamingo_")</f>
        <v>@DonFlamingo_</v>
      </c>
      <c r="C16921" s="8" t="s">
        <v>3743</v>
      </c>
      <c r="D16921" s="8">
        <v>335</v>
      </c>
      <c r="E16921" s="8">
        <v>0</v>
      </c>
      <c r="F16921" s="8">
        <v>145</v>
      </c>
    </row>
    <row r="16922" spans="1:6" ht="12.75">
      <c r="A16922" s="8">
        <v>43897.099363425921</v>
      </c>
      <c r="B16922" s="8" t="str">
        <f>HYPERLINK("https://twitter.com/JayaLoders","@JayaLoders")</f>
        <v>@JayaLoders</v>
      </c>
      <c r="C16922" s="8" t="s">
        <v>3743</v>
      </c>
      <c r="D16922" s="8">
        <v>335</v>
      </c>
      <c r="E16922" s="8">
        <v>0</v>
      </c>
      <c r="F16922" s="8">
        <v>1105</v>
      </c>
    </row>
    <row r="16923" spans="1:6" ht="12.75">
      <c r="A16923" s="8">
        <v>43897.098611111112</v>
      </c>
      <c r="B16923" s="8" t="str">
        <f>HYPERLINK("https://twitter.com/intidarisari","@intidarisari")</f>
        <v>@intidarisari</v>
      </c>
      <c r="C16923" s="8" t="s">
        <v>5103</v>
      </c>
      <c r="D16923" s="8">
        <v>158</v>
      </c>
      <c r="E16923" s="8">
        <v>0</v>
      </c>
      <c r="F16923" s="8">
        <v>1195</v>
      </c>
    </row>
    <row r="16924" spans="1:6" ht="12.75">
      <c r="A16924" s="8">
        <v>43897.098460648151</v>
      </c>
      <c r="B16924" s="8" t="str">
        <f>HYPERLINK("https://twitter.com/pakBuena","@pakBuena")</f>
        <v>@pakBuena</v>
      </c>
      <c r="C16924" s="8" t="s">
        <v>3213</v>
      </c>
      <c r="D16924" s="8">
        <v>148</v>
      </c>
      <c r="E16924" s="8">
        <v>0</v>
      </c>
      <c r="F16924" s="8">
        <v>433</v>
      </c>
    </row>
    <row r="16925" spans="1:6" ht="12.75">
      <c r="A16925" s="8">
        <v>43897.098171296297</v>
      </c>
      <c r="B16925" s="8" t="str">
        <f>HYPERLINK("https://twitter.com/stephmst","@stephmst")</f>
        <v>@stephmst</v>
      </c>
      <c r="C16925" s="8" t="s">
        <v>4818</v>
      </c>
      <c r="D16925" s="8">
        <v>107</v>
      </c>
      <c r="E16925" s="8">
        <v>0</v>
      </c>
      <c r="F16925" s="8">
        <v>4468</v>
      </c>
    </row>
    <row r="16926" spans="1:6" ht="12.75">
      <c r="A16926" s="8">
        <v>43897.098055555558</v>
      </c>
      <c r="B16926" s="8" t="str">
        <f>HYPERLINK("https://twitter.com/saul_we","@saul_we")</f>
        <v>@saul_we</v>
      </c>
      <c r="C16926" s="8" t="s">
        <v>3213</v>
      </c>
      <c r="D16926" s="8">
        <v>148</v>
      </c>
      <c r="E16926" s="8">
        <v>0</v>
      </c>
      <c r="F16926" s="8">
        <v>1018</v>
      </c>
    </row>
    <row r="16927" spans="1:6" ht="12.75">
      <c r="A16927" s="8">
        <v>43897.097997685181</v>
      </c>
      <c r="B16927" s="8" t="str">
        <f>HYPERLINK("https://twitter.com/agus_mn12","@agus_mn12")</f>
        <v>@agus_mn12</v>
      </c>
      <c r="C16927" s="8" t="s">
        <v>3213</v>
      </c>
      <c r="D16927" s="8">
        <v>148</v>
      </c>
      <c r="E16927" s="8">
        <v>0</v>
      </c>
      <c r="F16927" s="8">
        <v>566</v>
      </c>
    </row>
    <row r="16928" spans="1:6" ht="12.75">
      <c r="A16928" s="8">
        <v>43897.09752314815</v>
      </c>
      <c r="B16928" s="8" t="str">
        <f>HYPERLINK("https://twitter.com/BenZah6","@BenZah6")</f>
        <v>@BenZah6</v>
      </c>
      <c r="C16928" s="8" t="s">
        <v>6860</v>
      </c>
      <c r="D16928" s="8">
        <v>1</v>
      </c>
      <c r="E16928" s="8">
        <v>0</v>
      </c>
      <c r="F16928" s="8">
        <v>59</v>
      </c>
    </row>
    <row r="16929" spans="1:6" ht="12.75">
      <c r="A16929" s="8">
        <v>43897.097337962958</v>
      </c>
      <c r="B16929" s="8" t="str">
        <f>HYPERLINK("https://twitter.com/MATJALI_MATJALI","@MATJALI_MATJALI")</f>
        <v>@MATJALI_MATJALI</v>
      </c>
      <c r="C16929" s="8" t="s">
        <v>3743</v>
      </c>
      <c r="D16929" s="8">
        <v>335</v>
      </c>
      <c r="E16929" s="8">
        <v>0</v>
      </c>
      <c r="F16929" s="8">
        <v>36</v>
      </c>
    </row>
    <row r="16930" spans="1:6" ht="12.75">
      <c r="A16930" s="8">
        <v>43897.097025462965</v>
      </c>
      <c r="B16930" s="8" t="str">
        <f>HYPERLINK("https://twitter.com/FireBirdFeniks","@FireBirdFeniks")</f>
        <v>@FireBirdFeniks</v>
      </c>
      <c r="C16930" s="8" t="s">
        <v>4818</v>
      </c>
      <c r="D16930" s="8">
        <v>107</v>
      </c>
      <c r="E16930" s="8">
        <v>0</v>
      </c>
      <c r="F16930" s="8">
        <v>1759</v>
      </c>
    </row>
    <row r="16931" spans="1:6" ht="12.75">
      <c r="A16931" s="8">
        <v>43897.096782407403</v>
      </c>
      <c r="B16931" s="8" t="str">
        <f>HYPERLINK("https://twitter.com/jenggo008","@jenggo008")</f>
        <v>@jenggo008</v>
      </c>
      <c r="C16931" s="8" t="s">
        <v>3213</v>
      </c>
      <c r="D16931" s="8">
        <v>148</v>
      </c>
      <c r="E16931" s="8">
        <v>0</v>
      </c>
      <c r="F16931" s="8">
        <v>535</v>
      </c>
    </row>
    <row r="16932" spans="1:6" ht="12.75">
      <c r="A16932" s="8">
        <v>43897.094849537039</v>
      </c>
      <c r="B16932" s="8" t="str">
        <f>HYPERLINK("https://twitter.com/KompasTV","@KompasTV")</f>
        <v>@KompasTV</v>
      </c>
      <c r="C16932" s="8" t="s">
        <v>6861</v>
      </c>
      <c r="D16932" s="8">
        <v>3</v>
      </c>
      <c r="E16932" s="8">
        <v>6</v>
      </c>
      <c r="F16932" s="8">
        <v>2957928</v>
      </c>
    </row>
    <row r="16933" spans="1:6" ht="12.75">
      <c r="A16933" s="8">
        <v>43897.093460648146</v>
      </c>
      <c r="B16933" s="8" t="str">
        <f>HYPERLINK("https://twitter.com/roysahadoen","@roysahadoen")</f>
        <v>@roysahadoen</v>
      </c>
      <c r="C16933" s="8" t="s">
        <v>3213</v>
      </c>
      <c r="D16933" s="8">
        <v>148</v>
      </c>
      <c r="E16933" s="8">
        <v>0</v>
      </c>
      <c r="F16933" s="8">
        <v>356</v>
      </c>
    </row>
    <row r="16934" spans="1:6" ht="12.75">
      <c r="A16934" s="8">
        <v>43897.092916666668</v>
      </c>
      <c r="B16934" s="8" t="str">
        <f>HYPERLINK("https://twitter.com/decky_joise","@decky_joise")</f>
        <v>@decky_joise</v>
      </c>
      <c r="C16934" s="8" t="s">
        <v>4818</v>
      </c>
      <c r="D16934" s="8">
        <v>107</v>
      </c>
      <c r="E16934" s="8">
        <v>0</v>
      </c>
      <c r="F16934" s="8">
        <v>785</v>
      </c>
    </row>
    <row r="16935" spans="1:6" ht="12.75">
      <c r="A16935" s="8">
        <v>43897.092210648145</v>
      </c>
      <c r="B16935" s="8" t="str">
        <f>HYPERLINK("https://twitter.com/dhammaratano","@dhammaratano")</f>
        <v>@dhammaratano</v>
      </c>
      <c r="C16935" s="8" t="s">
        <v>4818</v>
      </c>
      <c r="D16935" s="8">
        <v>107</v>
      </c>
      <c r="E16935" s="8">
        <v>0</v>
      </c>
      <c r="F16935" s="8">
        <v>665</v>
      </c>
    </row>
    <row r="16936" spans="1:6" ht="12.75">
      <c r="A16936" s="8">
        <v>43897.092048611114</v>
      </c>
      <c r="B16936" s="8" t="str">
        <f>HYPERLINK("https://twitter.com/SaputraBerman","@SaputraBerman")</f>
        <v>@SaputraBerman</v>
      </c>
      <c r="C16936" s="8" t="s">
        <v>5934</v>
      </c>
      <c r="D16936" s="8">
        <v>7</v>
      </c>
      <c r="E16936" s="8">
        <v>0</v>
      </c>
      <c r="F16936" s="8">
        <v>91</v>
      </c>
    </row>
    <row r="16937" spans="1:6" ht="12.75">
      <c r="A16937" s="8">
        <v>43897.091620370367</v>
      </c>
      <c r="B16937" s="8" t="str">
        <f>HYPERLINK("https://twitter.com/Jokers55326645","@Jokers55326645")</f>
        <v>@Jokers55326645</v>
      </c>
      <c r="C16937" s="8" t="s">
        <v>6862</v>
      </c>
      <c r="D16937" s="8">
        <v>161</v>
      </c>
      <c r="E16937" s="8">
        <v>0</v>
      </c>
      <c r="F16937" s="8">
        <v>0</v>
      </c>
    </row>
    <row r="16938" spans="1:6" ht="12.75">
      <c r="A16938" s="8">
        <v>43897.091574074075</v>
      </c>
      <c r="B16938" s="8" t="str">
        <f>HYPERLINK("https://twitter.com/Ozie96036369","@Ozie96036369")</f>
        <v>@Ozie96036369</v>
      </c>
      <c r="C16938" s="8" t="s">
        <v>3743</v>
      </c>
      <c r="D16938" s="8">
        <v>335</v>
      </c>
      <c r="E16938" s="8">
        <v>0</v>
      </c>
      <c r="F16938" s="8">
        <v>99</v>
      </c>
    </row>
    <row r="16939" spans="1:6" ht="12.75">
      <c r="A16939" s="8">
        <v>43897.091215277775</v>
      </c>
      <c r="B16939" s="8" t="str">
        <f>HYPERLINK("https://twitter.com/fachryni","@fachryni")</f>
        <v>@fachryni</v>
      </c>
      <c r="C16939" s="8" t="s">
        <v>3978</v>
      </c>
      <c r="D16939" s="8">
        <v>9</v>
      </c>
      <c r="E16939" s="8">
        <v>0</v>
      </c>
      <c r="F16939" s="8">
        <v>446</v>
      </c>
    </row>
    <row r="16940" spans="1:6" ht="12.75">
      <c r="A16940" s="8">
        <v>43897.090358796297</v>
      </c>
      <c r="B16940" s="8" t="str">
        <f>HYPERLINK("https://twitter.com/petrelalminanga","@petrelalminanga")</f>
        <v>@petrelalminanga</v>
      </c>
      <c r="C16940" s="8" t="s">
        <v>3743</v>
      </c>
      <c r="D16940" s="8">
        <v>335</v>
      </c>
      <c r="E16940" s="8">
        <v>0</v>
      </c>
      <c r="F16940" s="8">
        <v>327</v>
      </c>
    </row>
    <row r="16941" spans="1:6" ht="12.75">
      <c r="A16941" s="8">
        <v>43897.089525462958</v>
      </c>
      <c r="B16941" s="8" t="str">
        <f>HYPERLINK("https://twitter.com/S_Jhanahh","@S_Jhanahh")</f>
        <v>@S_Jhanahh</v>
      </c>
      <c r="C16941" s="8" t="s">
        <v>6863</v>
      </c>
      <c r="D16941" s="8">
        <v>355</v>
      </c>
      <c r="E16941" s="8">
        <v>0</v>
      </c>
      <c r="F16941" s="8">
        <v>391</v>
      </c>
    </row>
    <row r="16942" spans="1:6" ht="12.75">
      <c r="A16942" s="8">
        <v>43897.089374999996</v>
      </c>
      <c r="B16942" s="8" t="str">
        <f>HYPERLINK("https://twitter.com/X_SamURay63","@X_SamURay63")</f>
        <v>@X_SamURay63</v>
      </c>
      <c r="C16942" s="8" t="s">
        <v>6772</v>
      </c>
      <c r="D16942" s="8">
        <v>95</v>
      </c>
      <c r="E16942" s="8">
        <v>0</v>
      </c>
      <c r="F16942" s="8">
        <v>3912</v>
      </c>
    </row>
    <row r="16943" spans="1:6" ht="12.75">
      <c r="A16943" s="8">
        <v>43897.089328703703</v>
      </c>
      <c r="B16943" s="8" t="str">
        <f>HYPERLINK("https://twitter.com/S_Jhanahh","@S_Jhanahh")</f>
        <v>@S_Jhanahh</v>
      </c>
      <c r="C16943" s="8" t="s">
        <v>6864</v>
      </c>
      <c r="D16943" s="8">
        <v>262</v>
      </c>
      <c r="E16943" s="8">
        <v>0</v>
      </c>
      <c r="F16943" s="8">
        <v>391</v>
      </c>
    </row>
    <row r="16944" spans="1:6" ht="12.75">
      <c r="A16944" s="8">
        <v>43897.088958333334</v>
      </c>
      <c r="B16944" s="8" t="str">
        <f>HYPERLINK("https://twitter.com/Gulai_puyu","@Gulai_puyu")</f>
        <v>@Gulai_puyu</v>
      </c>
      <c r="C16944" s="8" t="s">
        <v>3213</v>
      </c>
      <c r="D16944" s="8">
        <v>137</v>
      </c>
      <c r="E16944" s="8">
        <v>0</v>
      </c>
      <c r="F16944" s="8">
        <v>460</v>
      </c>
    </row>
    <row r="16945" spans="1:6" ht="12.75">
      <c r="A16945" s="8">
        <v>43897.088888888888</v>
      </c>
      <c r="B16945" s="8" t="str">
        <f>HYPERLINK("https://twitter.com/FatiinS_L","@FatiinS_L")</f>
        <v>@FatiinS_L</v>
      </c>
      <c r="C16945" s="8" t="s">
        <v>6865</v>
      </c>
      <c r="D16945" s="8">
        <v>0</v>
      </c>
      <c r="E16945" s="8">
        <v>0</v>
      </c>
      <c r="F16945" s="8">
        <v>16421</v>
      </c>
    </row>
    <row r="16946" spans="1:6" ht="12.75">
      <c r="A16946" s="8">
        <v>43897.088819444441</v>
      </c>
      <c r="B16946" s="8" t="str">
        <f>HYPERLINK("https://twitter.com/dir1ku","@dir1ku")</f>
        <v>@dir1ku</v>
      </c>
      <c r="C16946" s="8" t="s">
        <v>5103</v>
      </c>
      <c r="D16946" s="8">
        <v>155</v>
      </c>
      <c r="E16946" s="8">
        <v>0</v>
      </c>
      <c r="F16946" s="8">
        <v>1660</v>
      </c>
    </row>
    <row r="16947" spans="1:6" ht="12.75">
      <c r="A16947" s="8">
        <v>43897.087962962964</v>
      </c>
      <c r="B16947" s="8" t="str">
        <f>HYPERLINK("https://twitter.com/giring_perak","@giring_perak")</f>
        <v>@giring_perak</v>
      </c>
      <c r="C16947" s="8" t="s">
        <v>3743</v>
      </c>
      <c r="D16947" s="8">
        <v>317</v>
      </c>
      <c r="E16947" s="8">
        <v>0</v>
      </c>
      <c r="F16947" s="8">
        <v>4</v>
      </c>
    </row>
    <row r="16948" spans="1:6" ht="12.75">
      <c r="A16948" s="8">
        <v>43897.085162037038</v>
      </c>
      <c r="B16948" s="8" t="str">
        <f>HYPERLINK("https://twitter.com/papaspoppinpeny","@papaspoppinpeny")</f>
        <v>@papaspoppinpeny</v>
      </c>
      <c r="C16948" s="8" t="s">
        <v>6866</v>
      </c>
      <c r="D16948" s="8">
        <v>0</v>
      </c>
      <c r="E16948" s="8">
        <v>0</v>
      </c>
      <c r="F16948" s="8">
        <v>233</v>
      </c>
    </row>
    <row r="16949" spans="1:6" ht="12.75">
      <c r="A16949" s="8">
        <v>43897.085162037038</v>
      </c>
      <c r="B16949" s="8" t="str">
        <f>HYPERLINK("https://twitter.com/y_g_m_r_","@y_g_m_r_")</f>
        <v>@y_g_m_r_</v>
      </c>
      <c r="C16949" s="8" t="s">
        <v>3743</v>
      </c>
      <c r="D16949" s="8">
        <v>317</v>
      </c>
      <c r="E16949" s="8">
        <v>0</v>
      </c>
      <c r="F16949" s="8">
        <v>540</v>
      </c>
    </row>
    <row r="16950" spans="1:6" ht="12.75">
      <c r="A16950" s="8">
        <v>43897.084722222222</v>
      </c>
      <c r="B16950" s="8" t="str">
        <f>HYPERLINK("https://twitter.com/Nadila_ID","@Nadila_ID")</f>
        <v>@Nadila_ID</v>
      </c>
      <c r="C16950" s="8" t="s">
        <v>6867</v>
      </c>
      <c r="D16950" s="8">
        <v>0</v>
      </c>
      <c r="E16950" s="8">
        <v>0</v>
      </c>
      <c r="F16950" s="8">
        <v>7165</v>
      </c>
    </row>
    <row r="16951" spans="1:6" ht="12.75">
      <c r="A16951" s="8">
        <v>43897.084421296298</v>
      </c>
      <c r="B16951" s="8" t="str">
        <f>HYPERLINK("https://twitter.com/Diablo_Akara","@Diablo_Akara")</f>
        <v>@Diablo_Akara</v>
      </c>
      <c r="C16951" s="8" t="s">
        <v>6868</v>
      </c>
      <c r="D16951" s="8">
        <v>3</v>
      </c>
      <c r="E16951" s="8">
        <v>0</v>
      </c>
      <c r="F16951" s="8">
        <v>266</v>
      </c>
    </row>
    <row r="16952" spans="1:6" ht="12.75">
      <c r="A16952" s="8">
        <v>43897.084178240737</v>
      </c>
      <c r="B16952" s="8" t="str">
        <f>HYPERLINK("https://twitter.com/gigiliyar","@gigiliyar")</f>
        <v>@gigiliyar</v>
      </c>
      <c r="C16952" s="8" t="s">
        <v>4818</v>
      </c>
      <c r="D16952" s="8">
        <v>100</v>
      </c>
      <c r="E16952" s="8">
        <v>0</v>
      </c>
      <c r="F16952" s="8">
        <v>15</v>
      </c>
    </row>
    <row r="16953" spans="1:6" ht="12.75">
      <c r="A16953" s="8">
        <v>43897.084016203706</v>
      </c>
      <c r="B16953" s="8" t="str">
        <f>HYPERLINK("https://twitter.com/kbrisofia","@kbrisofia")</f>
        <v>@kbrisofia</v>
      </c>
      <c r="C16953" s="8" t="s">
        <v>2116</v>
      </c>
      <c r="D16953" s="8">
        <v>51</v>
      </c>
      <c r="E16953" s="8">
        <v>0</v>
      </c>
      <c r="F16953" s="8">
        <v>331</v>
      </c>
    </row>
    <row r="16954" spans="1:6" ht="12.75">
      <c r="A16954" s="8">
        <v>43897.082743055551</v>
      </c>
      <c r="B16954" s="8" t="str">
        <f>HYPERLINK("https://twitter.com/decky_joise","@decky_joise")</f>
        <v>@decky_joise</v>
      </c>
      <c r="C16954" s="8" t="s">
        <v>3213</v>
      </c>
      <c r="D16954" s="8">
        <v>137</v>
      </c>
      <c r="E16954" s="8">
        <v>0</v>
      </c>
      <c r="F16954" s="8">
        <v>785</v>
      </c>
    </row>
    <row r="16955" spans="1:6" ht="12.75">
      <c r="A16955" s="8">
        <v>43897.082303240742</v>
      </c>
      <c r="B16955" s="8" t="str">
        <f>HYPERLINK("https://twitter.com/RichelleEdita","@RichelleEdita")</f>
        <v>@RichelleEdita</v>
      </c>
      <c r="C16955" s="8" t="s">
        <v>4818</v>
      </c>
      <c r="D16955" s="8">
        <v>100</v>
      </c>
      <c r="E16955" s="8">
        <v>0</v>
      </c>
      <c r="F16955" s="8">
        <v>852</v>
      </c>
    </row>
    <row r="16956" spans="1:6" ht="12.75">
      <c r="A16956" s="8">
        <v>43897.082037037035</v>
      </c>
      <c r="B16956" s="8" t="str">
        <f>HYPERLINK("https://twitter.com/andialmeera","@andialmeera")</f>
        <v>@andialmeera</v>
      </c>
      <c r="C16956" s="8" t="s">
        <v>3743</v>
      </c>
      <c r="D16956" s="8">
        <v>317</v>
      </c>
      <c r="E16956" s="8">
        <v>0</v>
      </c>
      <c r="F16956" s="8">
        <v>18</v>
      </c>
    </row>
    <row r="16957" spans="1:6" ht="12.75">
      <c r="A16957" s="8">
        <v>43897.08194444445</v>
      </c>
      <c r="B16957" s="8" t="str">
        <f>HYPERLINK("https://twitter.com/rqlabigail","@rqlabigail")</f>
        <v>@rqlabigail</v>
      </c>
      <c r="C16957" s="8" t="s">
        <v>6869</v>
      </c>
      <c r="D16957" s="8">
        <v>0</v>
      </c>
      <c r="E16957" s="8">
        <v>0</v>
      </c>
      <c r="F16957" s="8">
        <v>5</v>
      </c>
    </row>
    <row r="16958" spans="1:6" ht="12.75">
      <c r="A16958" s="8">
        <v>43897.08194444445</v>
      </c>
      <c r="B16958" s="8" t="str">
        <f>HYPERLINK("https://twitter.com/1_devout","@1_devout")</f>
        <v>@1_devout</v>
      </c>
      <c r="C16958" s="8" t="s">
        <v>3213</v>
      </c>
      <c r="D16958" s="8">
        <v>137</v>
      </c>
      <c r="E16958" s="8">
        <v>0</v>
      </c>
      <c r="F16958" s="8">
        <v>49</v>
      </c>
    </row>
    <row r="16959" spans="1:6" ht="12.75">
      <c r="A16959" s="8">
        <v>43897.081770833334</v>
      </c>
      <c r="B16959" s="8" t="str">
        <f>HYPERLINK("https://twitter.com/Andri74451479","@Andri74451479")</f>
        <v>@Andri74451479</v>
      </c>
      <c r="C16959" s="8" t="s">
        <v>3743</v>
      </c>
      <c r="D16959" s="8">
        <v>317</v>
      </c>
      <c r="E16959" s="8">
        <v>0</v>
      </c>
      <c r="F16959" s="8">
        <v>8</v>
      </c>
    </row>
    <row r="16960" spans="1:6" ht="12.75">
      <c r="A16960" s="8">
        <v>43897.081655092596</v>
      </c>
      <c r="B16960" s="8" t="str">
        <f>HYPERLINK("https://twitter.com/opp_happ73","@opp_happ73")</f>
        <v>@opp_happ73</v>
      </c>
      <c r="C16960" s="8" t="s">
        <v>3743</v>
      </c>
      <c r="D16960" s="8">
        <v>317</v>
      </c>
      <c r="E16960" s="8">
        <v>0</v>
      </c>
      <c r="F16960" s="8">
        <v>396</v>
      </c>
    </row>
    <row r="16961" spans="1:6" ht="12.75">
      <c r="A16961" s="8">
        <v>43897.080254629633</v>
      </c>
      <c r="B16961" s="8" t="str">
        <f>HYPERLINK("https://twitter.com/alimaksum4","@alimaksum4")</f>
        <v>@alimaksum4</v>
      </c>
      <c r="C16961" s="8" t="s">
        <v>6870</v>
      </c>
      <c r="D16961" s="8">
        <v>0</v>
      </c>
      <c r="E16961" s="8">
        <v>0</v>
      </c>
      <c r="F16961" s="8">
        <v>794</v>
      </c>
    </row>
    <row r="16962" spans="1:6" ht="12.75">
      <c r="A16962" s="8">
        <v>43897.079571759255</v>
      </c>
      <c r="B16962" s="8" t="str">
        <f>HYPERLINK("https://twitter.com/DKingkonk","@DKingkonk")</f>
        <v>@DKingkonk</v>
      </c>
      <c r="C16962" s="8" t="s">
        <v>4818</v>
      </c>
      <c r="D16962" s="8">
        <v>100</v>
      </c>
      <c r="E16962" s="8">
        <v>0</v>
      </c>
      <c r="F16962" s="8">
        <v>145</v>
      </c>
    </row>
    <row r="16963" spans="1:6" ht="12.75">
      <c r="A16963" s="8">
        <v>43897.078472222223</v>
      </c>
      <c r="B16963" s="8" t="str">
        <f>HYPERLINK("https://twitter.com/healthyliveID","@healthyliveID")</f>
        <v>@healthyliveID</v>
      </c>
      <c r="C16963" s="8" t="s">
        <v>6871</v>
      </c>
      <c r="D16963" s="8">
        <v>0</v>
      </c>
      <c r="E16963" s="8">
        <v>0</v>
      </c>
      <c r="F16963" s="8">
        <v>45120</v>
      </c>
    </row>
    <row r="16964" spans="1:6" ht="12.75">
      <c r="A16964" s="8">
        <v>43897.078043981484</v>
      </c>
      <c r="B16964" s="8" t="str">
        <f>HYPERLINK("https://twitter.com/JagoTrace","@JagoTrace")</f>
        <v>@JagoTrace</v>
      </c>
      <c r="C16964" s="8" t="s">
        <v>1078</v>
      </c>
      <c r="D16964" s="8">
        <v>698</v>
      </c>
      <c r="E16964" s="8">
        <v>0</v>
      </c>
      <c r="F16964" s="8">
        <v>135</v>
      </c>
    </row>
    <row r="16965" spans="1:6" ht="12.75">
      <c r="A16965" s="8">
        <v>43897.077916666662</v>
      </c>
      <c r="B16965" s="8" t="str">
        <f>HYPERLINK("https://twitter.com/RichelleEdita","@RichelleEdita")</f>
        <v>@RichelleEdita</v>
      </c>
      <c r="C16965" s="8" t="s">
        <v>3213</v>
      </c>
      <c r="D16965" s="8">
        <v>137</v>
      </c>
      <c r="E16965" s="8">
        <v>0</v>
      </c>
      <c r="F16965" s="8">
        <v>852</v>
      </c>
    </row>
    <row r="16966" spans="1:6" ht="12.75">
      <c r="A16966" s="8">
        <v>43897.075787037036</v>
      </c>
      <c r="B16966" s="8" t="str">
        <f>HYPERLINK("https://twitter.com/jaimellow","@jaimellow")</f>
        <v>@jaimellow</v>
      </c>
      <c r="C16966" s="8" t="s">
        <v>5103</v>
      </c>
      <c r="D16966" s="8">
        <v>155</v>
      </c>
      <c r="E16966" s="8">
        <v>0</v>
      </c>
      <c r="F16966" s="8">
        <v>529</v>
      </c>
    </row>
    <row r="16967" spans="1:6" ht="12.75">
      <c r="A16967" s="8">
        <v>43897.075671296298</v>
      </c>
      <c r="B16967" s="8" t="str">
        <f>HYPERLINK("https://twitter.com/kicepkicep","@kicepkicep")</f>
        <v>@kicepkicep</v>
      </c>
      <c r="C16967" s="8" t="s">
        <v>3743</v>
      </c>
      <c r="D16967" s="8">
        <v>317</v>
      </c>
      <c r="E16967" s="8">
        <v>0</v>
      </c>
      <c r="F16967" s="8">
        <v>1258</v>
      </c>
    </row>
    <row r="16968" spans="1:6" ht="12.75">
      <c r="A16968" s="8">
        <v>43897.073611111111</v>
      </c>
      <c r="B16968" s="8" t="str">
        <f>HYPERLINK("https://twitter.com/mincounslibels","@mincounslibels")</f>
        <v>@mincounslibels</v>
      </c>
      <c r="C16968" s="8" t="s">
        <v>2116</v>
      </c>
      <c r="D16968" s="8">
        <v>51</v>
      </c>
      <c r="E16968" s="8">
        <v>0</v>
      </c>
      <c r="F16968" s="8">
        <v>79</v>
      </c>
    </row>
    <row r="16969" spans="1:6" ht="12.75">
      <c r="A16969" s="8">
        <v>43897.073391203703</v>
      </c>
      <c r="B16969" s="8" t="str">
        <f>HYPERLINK("https://twitter.com/sandmanindo","@sandmanindo")</f>
        <v>@sandmanindo</v>
      </c>
      <c r="C16969" s="8" t="s">
        <v>6811</v>
      </c>
      <c r="D16969" s="8">
        <v>2</v>
      </c>
      <c r="E16969" s="8">
        <v>0</v>
      </c>
      <c r="F16969" s="8">
        <v>400</v>
      </c>
    </row>
    <row r="16970" spans="1:6" ht="12.75">
      <c r="A16970" s="8">
        <v>43897.072824074072</v>
      </c>
      <c r="B16970" s="8" t="str">
        <f>HYPERLINK("https://twitter.com/Novv57556191","@Novv57556191")</f>
        <v>@Novv57556191</v>
      </c>
      <c r="C16970" s="8" t="s">
        <v>3743</v>
      </c>
      <c r="D16970" s="8">
        <v>317</v>
      </c>
      <c r="E16970" s="8">
        <v>0</v>
      </c>
      <c r="F16970" s="8">
        <v>277</v>
      </c>
    </row>
    <row r="16971" spans="1:6" ht="12.75">
      <c r="A16971" s="8">
        <v>43897.072604166664</v>
      </c>
      <c r="B16971" s="8" t="str">
        <f>HYPERLINK("https://twitter.com/10_Setiaji","@10_Setiaji")</f>
        <v>@10_Setiaji</v>
      </c>
      <c r="C16971" s="8" t="s">
        <v>3743</v>
      </c>
      <c r="D16971" s="8">
        <v>317</v>
      </c>
      <c r="E16971" s="8">
        <v>0</v>
      </c>
      <c r="F16971" s="8">
        <v>109</v>
      </c>
    </row>
    <row r="16972" spans="1:6" ht="12.75">
      <c r="A16972" s="8">
        <v>43897.071516203709</v>
      </c>
      <c r="B16972" s="8" t="str">
        <f>HYPERLINK("https://twitter.com/fitria_oliv","@fitria_oliv")</f>
        <v>@fitria_oliv</v>
      </c>
      <c r="C16972" s="8" t="s">
        <v>6872</v>
      </c>
      <c r="D16972" s="8">
        <v>0</v>
      </c>
      <c r="E16972" s="8">
        <v>0</v>
      </c>
      <c r="F16972" s="8">
        <v>10</v>
      </c>
    </row>
    <row r="16973" spans="1:6" ht="12.75">
      <c r="A16973" s="8">
        <v>43897.070717592593</v>
      </c>
      <c r="B16973" s="8" t="str">
        <f>HYPERLINK("https://twitter.com/INA_NKRI","@INA_NKRI")</f>
        <v>@INA_NKRI</v>
      </c>
      <c r="C16973" s="8" t="s">
        <v>4818</v>
      </c>
      <c r="D16973" s="8">
        <v>100</v>
      </c>
      <c r="E16973" s="8">
        <v>0</v>
      </c>
      <c r="F16973" s="8">
        <v>290</v>
      </c>
    </row>
    <row r="16974" spans="1:6" ht="12.75">
      <c r="A16974" s="8">
        <v>43897.069861111115</v>
      </c>
      <c r="B16974" s="8" t="str">
        <f>HYPERLINK("https://twitter.com/JPanggih","@JPanggih")</f>
        <v>@JPanggih</v>
      </c>
      <c r="C16974" s="8" t="s">
        <v>3213</v>
      </c>
      <c r="D16974" s="8">
        <v>137</v>
      </c>
      <c r="E16974" s="8">
        <v>0</v>
      </c>
      <c r="F16974" s="8">
        <v>404</v>
      </c>
    </row>
    <row r="16975" spans="1:6" ht="12.75">
      <c r="A16975" s="8">
        <v>43897.069212962961</v>
      </c>
      <c r="B16975" s="8" t="str">
        <f>HYPERLINK("https://twitter.com/Nuke_Fit","@Nuke_Fit")</f>
        <v>@Nuke_Fit</v>
      </c>
      <c r="C16975" s="8" t="s">
        <v>4818</v>
      </c>
      <c r="D16975" s="8">
        <v>100</v>
      </c>
      <c r="E16975" s="8">
        <v>0</v>
      </c>
      <c r="F16975" s="8">
        <v>410</v>
      </c>
    </row>
    <row r="16976" spans="1:6" ht="12.75">
      <c r="A16976" s="8">
        <v>43897.068067129629</v>
      </c>
      <c r="B16976" s="8" t="str">
        <f>HYPERLINK("https://twitter.com/sevie_kurnia","@sevie_kurnia")</f>
        <v>@sevie_kurnia</v>
      </c>
      <c r="C16976" s="8" t="s">
        <v>3743</v>
      </c>
      <c r="D16976" s="8">
        <v>317</v>
      </c>
      <c r="E16976" s="8">
        <v>0</v>
      </c>
      <c r="F16976" s="8">
        <v>97</v>
      </c>
    </row>
    <row r="16977" spans="1:6" ht="12.75">
      <c r="A16977" s="8">
        <v>43897.067824074074</v>
      </c>
      <c r="B16977" s="8" t="str">
        <f>HYPERLINK("https://twitter.com/krs94731723","@krs94731723")</f>
        <v>@krs94731723</v>
      </c>
      <c r="C16977" s="8" t="s">
        <v>3743</v>
      </c>
      <c r="D16977" s="8">
        <v>317</v>
      </c>
      <c r="E16977" s="8">
        <v>0</v>
      </c>
      <c r="F16977" s="8">
        <v>18</v>
      </c>
    </row>
    <row r="16978" spans="1:6" ht="12.75">
      <c r="A16978" s="8">
        <v>43897.067187499997</v>
      </c>
      <c r="B16978" s="8" t="str">
        <f>HYPERLINK("https://twitter.com/Qolybri_8216","@Qolybri_8216")</f>
        <v>@Qolybri_8216</v>
      </c>
      <c r="C16978" s="8" t="s">
        <v>6873</v>
      </c>
      <c r="D16978" s="8">
        <v>5</v>
      </c>
      <c r="E16978" s="8">
        <v>0</v>
      </c>
      <c r="F16978" s="8">
        <v>2110</v>
      </c>
    </row>
    <row r="16979" spans="1:6" ht="12.75">
      <c r="A16979" s="8">
        <v>43897.065104166672</v>
      </c>
      <c r="B16979" s="8" t="str">
        <f>HYPERLINK("https://twitter.com/ronin35093758","@ronin35093758")</f>
        <v>@ronin35093758</v>
      </c>
      <c r="C16979" s="8" t="s">
        <v>3743</v>
      </c>
      <c r="D16979" s="8">
        <v>317</v>
      </c>
      <c r="E16979" s="8">
        <v>0</v>
      </c>
      <c r="F16979" s="8">
        <v>29</v>
      </c>
    </row>
    <row r="16980" spans="1:6" ht="12.75">
      <c r="A16980" s="8">
        <v>43897.065104166672</v>
      </c>
      <c r="B16980" s="8" t="str">
        <f>HYPERLINK("https://twitter.com/KiN9_James","@KiN9_James")</f>
        <v>@KiN9_James</v>
      </c>
      <c r="C16980" s="8" t="s">
        <v>3213</v>
      </c>
      <c r="D16980" s="8">
        <v>137</v>
      </c>
      <c r="E16980" s="8">
        <v>0</v>
      </c>
      <c r="F16980" s="8">
        <v>363</v>
      </c>
    </row>
    <row r="16981" spans="1:6" ht="12.75">
      <c r="A16981" s="8">
        <v>43897.064583333333</v>
      </c>
      <c r="B16981" s="8" t="str">
        <f>HYPERLINK("https://twitter.com/ItsMyRealQuotes","@ItsMyRealQuotes")</f>
        <v>@ItsMyRealQuotes</v>
      </c>
      <c r="C16981" s="8" t="s">
        <v>6874</v>
      </c>
      <c r="D16981" s="8">
        <v>0</v>
      </c>
      <c r="E16981" s="8">
        <v>0</v>
      </c>
      <c r="F16981" s="8">
        <v>183805</v>
      </c>
    </row>
    <row r="16982" spans="1:6" ht="12.75">
      <c r="A16982" s="8">
        <v>43897.064143518517</v>
      </c>
      <c r="B16982" s="8" t="str">
        <f>HYPERLINK("https://twitter.com/Hayattulloh17","@Hayattulloh17")</f>
        <v>@Hayattulloh17</v>
      </c>
      <c r="C16982" s="8" t="s">
        <v>4818</v>
      </c>
      <c r="D16982" s="8">
        <v>100</v>
      </c>
      <c r="E16982" s="8">
        <v>0</v>
      </c>
      <c r="F16982" s="8">
        <v>132</v>
      </c>
    </row>
    <row r="16983" spans="1:6" ht="12.75">
      <c r="A16983" s="8">
        <v>43897.063275462962</v>
      </c>
      <c r="B16983" s="8" t="str">
        <f>HYPERLINK("https://twitter.com/Eman65740153","@Eman65740153")</f>
        <v>@Eman65740153</v>
      </c>
      <c r="C16983" s="8" t="s">
        <v>3743</v>
      </c>
      <c r="D16983" s="8">
        <v>317</v>
      </c>
      <c r="E16983" s="8">
        <v>0</v>
      </c>
      <c r="F16983" s="8">
        <v>46</v>
      </c>
    </row>
    <row r="16984" spans="1:6" ht="12.75">
      <c r="A16984" s="8">
        <v>43897.063101851847</v>
      </c>
      <c r="B16984" s="8" t="str">
        <f>HYPERLINK("https://twitter.com/DarkagesA","@DarkagesA")</f>
        <v>@DarkagesA</v>
      </c>
      <c r="C16984" s="8" t="s">
        <v>6875</v>
      </c>
      <c r="D16984" s="8">
        <v>0</v>
      </c>
      <c r="E16984" s="8">
        <v>0</v>
      </c>
      <c r="F16984" s="8">
        <v>66</v>
      </c>
    </row>
    <row r="16985" spans="1:6" ht="12.75">
      <c r="A16985" s="8">
        <v>43897.062662037039</v>
      </c>
      <c r="B16985" s="8" t="str">
        <f>HYPERLINK("https://twitter.com/muhammadsyamir","@muhammadsyamir")</f>
        <v>@muhammadsyamir</v>
      </c>
      <c r="C16985" s="8" t="s">
        <v>3743</v>
      </c>
      <c r="D16985" s="8">
        <v>317</v>
      </c>
      <c r="E16985" s="8">
        <v>0</v>
      </c>
      <c r="F16985" s="8">
        <v>808</v>
      </c>
    </row>
    <row r="16986" spans="1:6" ht="12.75">
      <c r="A16986" s="8">
        <v>43897.062407407408</v>
      </c>
      <c r="B16986" s="8" t="str">
        <f>HYPERLINK("https://twitter.com/PRIHONGGO","@PRIHONGGO")</f>
        <v>@PRIHONGGO</v>
      </c>
      <c r="C16986" s="8" t="s">
        <v>1986</v>
      </c>
      <c r="D16986" s="8">
        <v>873</v>
      </c>
      <c r="E16986" s="8">
        <v>0</v>
      </c>
      <c r="F16986" s="8">
        <v>1014</v>
      </c>
    </row>
    <row r="16987" spans="1:6" ht="12.75">
      <c r="A16987" s="8">
        <v>43897.0621875</v>
      </c>
      <c r="B16987" s="8" t="str">
        <f>HYPERLINK("https://twitter.com/Laxyyta","@Laxyyta")</f>
        <v>@Laxyyta</v>
      </c>
      <c r="C16987" s="8" t="s">
        <v>4818</v>
      </c>
      <c r="D16987" s="8">
        <v>100</v>
      </c>
      <c r="E16987" s="8">
        <v>0</v>
      </c>
      <c r="F16987" s="8">
        <v>139</v>
      </c>
    </row>
    <row r="16988" spans="1:6" ht="12.75">
      <c r="A16988" s="8">
        <v>43897.06186342593</v>
      </c>
      <c r="B16988" s="8" t="str">
        <f>HYPERLINK("https://twitter.com/itafatihatun","@itafatihatun")</f>
        <v>@itafatihatun</v>
      </c>
      <c r="C16988" s="8" t="s">
        <v>3743</v>
      </c>
      <c r="D16988" s="8">
        <v>317</v>
      </c>
      <c r="E16988" s="8">
        <v>0</v>
      </c>
      <c r="F16988" s="8">
        <v>38</v>
      </c>
    </row>
    <row r="16989" spans="1:6" ht="12.75">
      <c r="A16989" s="8">
        <v>43897.061828703707</v>
      </c>
      <c r="B16989" s="8" t="str">
        <f>HYPERLINK("https://twitter.com/LinJArms","@LinJArms")</f>
        <v>@LinJArms</v>
      </c>
      <c r="C16989" s="8" t="s">
        <v>3743</v>
      </c>
      <c r="D16989" s="8">
        <v>317</v>
      </c>
      <c r="E16989" s="8">
        <v>0</v>
      </c>
      <c r="F16989" s="8">
        <v>5</v>
      </c>
    </row>
    <row r="16990" spans="1:6" ht="12.75">
      <c r="A16990" s="8">
        <v>43897.061724537038</v>
      </c>
      <c r="B16990" s="8" t="str">
        <f>HYPERLINK("https://twitter.com/Atiq_Tam","@Atiq_Tam")</f>
        <v>@Atiq_Tam</v>
      </c>
      <c r="C16990" s="8" t="s">
        <v>6710</v>
      </c>
      <c r="D16990" s="8">
        <v>470</v>
      </c>
      <c r="E16990" s="8">
        <v>0</v>
      </c>
      <c r="F16990" s="8">
        <v>1791</v>
      </c>
    </row>
    <row r="16991" spans="1:6" ht="12.75">
      <c r="A16991" s="8">
        <v>43897.061516203699</v>
      </c>
      <c r="B16991" s="8" t="str">
        <f>HYPERLINK("https://twitter.com/XanderLocoMom","@XanderLocoMom")</f>
        <v>@XanderLocoMom</v>
      </c>
      <c r="C16991" s="8" t="s">
        <v>3213</v>
      </c>
      <c r="D16991" s="8">
        <v>137</v>
      </c>
      <c r="E16991" s="8">
        <v>0</v>
      </c>
      <c r="F16991" s="8">
        <v>1201</v>
      </c>
    </row>
    <row r="16992" spans="1:6" ht="12.75">
      <c r="A16992" s="8">
        <v>43897.061249999999</v>
      </c>
      <c r="B16992" s="8" t="str">
        <f>HYPERLINK("https://twitter.com/faried58022486","@faried58022486")</f>
        <v>@faried58022486</v>
      </c>
      <c r="C16992" s="8" t="s">
        <v>3743</v>
      </c>
      <c r="D16992" s="8">
        <v>317</v>
      </c>
      <c r="E16992" s="8">
        <v>0</v>
      </c>
      <c r="F16992" s="8">
        <v>1328</v>
      </c>
    </row>
    <row r="16993" spans="1:6" ht="12.75">
      <c r="A16993" s="8">
        <v>43897.059814814813</v>
      </c>
      <c r="B16993" s="8" t="str">
        <f>HYPERLINK("https://twitter.com/IamYogas","@IamYogas")</f>
        <v>@IamYogas</v>
      </c>
      <c r="C16993" s="8" t="s">
        <v>3213</v>
      </c>
      <c r="D16993" s="8">
        <v>137</v>
      </c>
      <c r="E16993" s="8">
        <v>0</v>
      </c>
      <c r="F16993" s="8">
        <v>269</v>
      </c>
    </row>
    <row r="16994" spans="1:6" ht="12.75">
      <c r="A16994" s="8">
        <v>43897.059745370367</v>
      </c>
      <c r="B16994" s="8" t="str">
        <f>HYPERLINK("https://twitter.com/R_SangPenulis","@R_SangPenulis")</f>
        <v>@R_SangPenulis</v>
      </c>
      <c r="C16994" s="8" t="s">
        <v>6876</v>
      </c>
      <c r="D16994" s="8">
        <v>0</v>
      </c>
      <c r="E16994" s="8">
        <v>0</v>
      </c>
      <c r="F16994" s="8">
        <v>212</v>
      </c>
    </row>
    <row r="16995" spans="1:6" ht="12.75">
      <c r="A16995" s="8">
        <v>43897.058900462958</v>
      </c>
      <c r="B16995" s="8" t="str">
        <f>HYPERLINK("https://twitter.com/KBRIColombo","@KBRIColombo")</f>
        <v>@KBRIColombo</v>
      </c>
      <c r="C16995" s="8" t="s">
        <v>2116</v>
      </c>
      <c r="D16995" s="8">
        <v>51</v>
      </c>
      <c r="E16995" s="8">
        <v>0</v>
      </c>
      <c r="F16995" s="8">
        <v>744</v>
      </c>
    </row>
    <row r="16996" spans="1:6" ht="12.75">
      <c r="A16996" s="8">
        <v>43897.058657407411</v>
      </c>
      <c r="B16996" s="8" t="str">
        <f>HYPERLINK("https://twitter.com/nguantukan","@nguantukan")</f>
        <v>@nguantukan</v>
      </c>
      <c r="C16996" s="8" t="s">
        <v>6877</v>
      </c>
      <c r="D16996" s="8">
        <v>0</v>
      </c>
      <c r="E16996" s="8">
        <v>0</v>
      </c>
      <c r="F16996" s="8">
        <v>393</v>
      </c>
    </row>
    <row r="16997" spans="1:6" ht="12.75">
      <c r="A16997" s="8">
        <v>43897.058356481481</v>
      </c>
      <c r="B16997" s="8" t="str">
        <f>HYPERLINK("https://twitter.com/isis_macedo10","@isis_macedo10")</f>
        <v>@isis_macedo10</v>
      </c>
      <c r="C16997" s="8" t="s">
        <v>6878</v>
      </c>
      <c r="D16997" s="8">
        <v>0</v>
      </c>
      <c r="E16997" s="8">
        <v>0</v>
      </c>
      <c r="F16997" s="8">
        <v>5327</v>
      </c>
    </row>
    <row r="16998" spans="1:6" ht="12.75">
      <c r="A16998" s="8">
        <v>43897.057476851856</v>
      </c>
      <c r="B16998" s="8" t="str">
        <f>HYPERLINK("https://twitter.com/itzhdezd_","@itzhdezd_")</f>
        <v>@itzhdezd_</v>
      </c>
      <c r="C16998" s="8" t="s">
        <v>6879</v>
      </c>
      <c r="D16998" s="8">
        <v>1</v>
      </c>
      <c r="E16998" s="8">
        <v>0</v>
      </c>
      <c r="F16998" s="8">
        <v>296</v>
      </c>
    </row>
    <row r="16999" spans="1:6" ht="12.75">
      <c r="A16999" s="8">
        <v>43897.055138888885</v>
      </c>
      <c r="B16999" s="8" t="str">
        <f t="shared" ref="B16999:B17000" si="255">HYPERLINK("https://twitter.com/MJagustiar","@MJagustiar")</f>
        <v>@MJagustiar</v>
      </c>
      <c r="C16999" s="8" t="s">
        <v>6880</v>
      </c>
      <c r="D16999" s="8">
        <v>99</v>
      </c>
      <c r="E16999" s="8">
        <v>0</v>
      </c>
      <c r="F16999" s="8">
        <v>306</v>
      </c>
    </row>
    <row r="17000" spans="1:6" ht="12.75">
      <c r="A17000" s="8">
        <v>43897.0549537037</v>
      </c>
      <c r="B17000" s="8" t="str">
        <f t="shared" si="255"/>
        <v>@MJagustiar</v>
      </c>
      <c r="C17000" s="8" t="s">
        <v>4477</v>
      </c>
      <c r="D17000" s="8">
        <v>1247</v>
      </c>
      <c r="E17000" s="8">
        <v>0</v>
      </c>
      <c r="F17000" s="8">
        <v>306</v>
      </c>
    </row>
    <row r="17001" spans="1:6" ht="12.75">
      <c r="A17001" s="8">
        <v>43897.054085648153</v>
      </c>
      <c r="B17001" s="8" t="str">
        <f>HYPERLINK("https://twitter.com/DIRA_0302","@DIRA_0302")</f>
        <v>@DIRA_0302</v>
      </c>
      <c r="C17001" s="8" t="s">
        <v>3213</v>
      </c>
      <c r="D17001" s="8">
        <v>137</v>
      </c>
      <c r="E17001" s="8">
        <v>0</v>
      </c>
      <c r="F17001" s="8">
        <v>819</v>
      </c>
    </row>
    <row r="17002" spans="1:6" ht="12.75">
      <c r="A17002" s="8">
        <v>43897.053217592591</v>
      </c>
      <c r="B17002" s="8" t="str">
        <f>HYPERLINK("https://twitter.com/ISIS_Balik_NO","@ISIS_Balik_NO")</f>
        <v>@ISIS_Balik_NO</v>
      </c>
      <c r="C17002" s="8" t="s">
        <v>6881</v>
      </c>
      <c r="D17002" s="8">
        <v>0</v>
      </c>
      <c r="E17002" s="8">
        <v>0</v>
      </c>
      <c r="F17002" s="8">
        <v>6133</v>
      </c>
    </row>
    <row r="17003" spans="1:6" ht="12.75">
      <c r="A17003" s="8">
        <v>43897.053148148145</v>
      </c>
      <c r="B17003" s="8" t="str">
        <f>HYPERLINK("https://twitter.com/rayansahel1","@rayansahel1")</f>
        <v>@rayansahel1</v>
      </c>
      <c r="C17003" s="8" t="s">
        <v>3743</v>
      </c>
      <c r="D17003" s="8">
        <v>317</v>
      </c>
      <c r="E17003" s="8">
        <v>0</v>
      </c>
      <c r="F17003" s="8">
        <v>136</v>
      </c>
    </row>
    <row r="17004" spans="1:6" ht="12.75">
      <c r="A17004" s="8">
        <v>43897.052280092597</v>
      </c>
      <c r="B17004" s="8" t="str">
        <f>HYPERLINK("https://twitter.com/WSuparmo","@WSuparmo")</f>
        <v>@WSuparmo</v>
      </c>
      <c r="C17004" s="8" t="s">
        <v>6882</v>
      </c>
      <c r="D17004" s="8">
        <v>0</v>
      </c>
      <c r="E17004" s="8">
        <v>0</v>
      </c>
      <c r="F17004" s="8">
        <v>50</v>
      </c>
    </row>
    <row r="17005" spans="1:6" ht="12.75">
      <c r="A17005" s="8">
        <v>43897.051921296297</v>
      </c>
      <c r="B17005" s="8" t="str">
        <f>HYPERLINK("https://twitter.com/ilham_nofrizal","@ilham_nofrizal")</f>
        <v>@ilham_nofrizal</v>
      </c>
      <c r="C17005" s="8" t="s">
        <v>4818</v>
      </c>
      <c r="D17005" s="8">
        <v>100</v>
      </c>
      <c r="E17005" s="8">
        <v>0</v>
      </c>
      <c r="F17005" s="8">
        <v>909</v>
      </c>
    </row>
    <row r="17006" spans="1:6" ht="12.75">
      <c r="A17006" s="8">
        <v>43897.051666666666</v>
      </c>
      <c r="B17006" s="8" t="str">
        <f>HYPERLINK("https://twitter.com/SuramaduJingga","@SuramaduJingga")</f>
        <v>@SuramaduJingga</v>
      </c>
      <c r="C17006" s="8" t="s">
        <v>3743</v>
      </c>
      <c r="D17006" s="8">
        <v>317</v>
      </c>
      <c r="E17006" s="8">
        <v>0</v>
      </c>
      <c r="F17006" s="8">
        <v>659</v>
      </c>
    </row>
    <row r="17007" spans="1:6" ht="12.75">
      <c r="A17007" s="8">
        <v>43897.051018518519</v>
      </c>
      <c r="B17007" s="8" t="str">
        <f>HYPERLINK("https://twitter.com/Jaya_Ind","@Jaya_Ind")</f>
        <v>@Jaya_Ind</v>
      </c>
      <c r="C17007" s="8" t="s">
        <v>6883</v>
      </c>
      <c r="D17007" s="8">
        <v>63</v>
      </c>
      <c r="E17007" s="8">
        <v>0</v>
      </c>
      <c r="F17007" s="8">
        <v>2946</v>
      </c>
    </row>
    <row r="17008" spans="1:6" ht="12.75">
      <c r="A17008" s="8">
        <v>43897.050844907411</v>
      </c>
      <c r="B17008" s="8" t="str">
        <f>HYPERLINK("https://twitter.com/AhlulQohwah","@AhlulQohwah")</f>
        <v>@AhlulQohwah</v>
      </c>
      <c r="C17008" s="8" t="s">
        <v>4818</v>
      </c>
      <c r="D17008" s="8">
        <v>100</v>
      </c>
      <c r="E17008" s="8">
        <v>0</v>
      </c>
      <c r="F17008" s="8">
        <v>10507</v>
      </c>
    </row>
    <row r="17009" spans="1:6" ht="12.75">
      <c r="A17009" s="8">
        <v>43897.050335648149</v>
      </c>
      <c r="B17009" s="8" t="str">
        <f>HYPERLINK("https://twitter.com/aristemtahi","@aristemtahi")</f>
        <v>@aristemtahi</v>
      </c>
      <c r="C17009" s="8" t="s">
        <v>6884</v>
      </c>
      <c r="D17009" s="8">
        <v>1</v>
      </c>
      <c r="E17009" s="8">
        <v>1</v>
      </c>
      <c r="F17009" s="8">
        <v>1203</v>
      </c>
    </row>
    <row r="17010" spans="1:6" ht="12.75">
      <c r="A17010" s="8">
        <v>43897.04886574074</v>
      </c>
      <c r="B17010" s="8" t="str">
        <f>HYPERLINK("https://twitter.com/Chan22Faisal","@Chan22Faisal")</f>
        <v>@Chan22Faisal</v>
      </c>
      <c r="C17010" s="8" t="s">
        <v>3743</v>
      </c>
      <c r="D17010" s="8">
        <v>317</v>
      </c>
      <c r="E17010" s="8">
        <v>0</v>
      </c>
      <c r="F17010" s="8">
        <v>288</v>
      </c>
    </row>
    <row r="17011" spans="1:6" ht="12.75">
      <c r="A17011" s="8">
        <v>43897.048657407402</v>
      </c>
      <c r="B17011" s="8" t="str">
        <f>HYPERLINK("https://twitter.com/Asby08516456","@Asby08516456")</f>
        <v>@Asby08516456</v>
      </c>
      <c r="C17011" s="8" t="s">
        <v>6885</v>
      </c>
      <c r="D17011" s="8">
        <v>0</v>
      </c>
      <c r="E17011" s="8">
        <v>0</v>
      </c>
      <c r="F17011" s="8">
        <v>5</v>
      </c>
    </row>
    <row r="17012" spans="1:6" ht="12.75">
      <c r="A17012" s="8">
        <v>43897.04850694444</v>
      </c>
      <c r="B17012" s="8" t="str">
        <f>HYPERLINK("https://twitter.com/isis_maynara","@isis_maynara")</f>
        <v>@isis_maynara</v>
      </c>
      <c r="C17012" s="8" t="s">
        <v>6886</v>
      </c>
      <c r="D17012" s="8">
        <v>17097</v>
      </c>
      <c r="E17012" s="8">
        <v>0</v>
      </c>
      <c r="F17012" s="8">
        <v>9</v>
      </c>
    </row>
    <row r="17013" spans="1:6" ht="12.75">
      <c r="A17013" s="8">
        <v>43897.048090277778</v>
      </c>
      <c r="B17013" s="8" t="str">
        <f>HYPERLINK("https://twitter.com/Zulfitrayadi2","@Zulfitrayadi2")</f>
        <v>@Zulfitrayadi2</v>
      </c>
      <c r="C17013" s="8" t="s">
        <v>3743</v>
      </c>
      <c r="D17013" s="8">
        <v>291</v>
      </c>
      <c r="E17013" s="8">
        <v>0</v>
      </c>
      <c r="F17013" s="8">
        <v>3932</v>
      </c>
    </row>
    <row r="17014" spans="1:6" ht="12.75">
      <c r="A17014" s="8">
        <v>43897.047777777778</v>
      </c>
      <c r="B17014" s="8" t="str">
        <f>HYPERLINK("https://twitter.com/Eman65740153","@Eman65740153")</f>
        <v>@Eman65740153</v>
      </c>
      <c r="C17014" s="8" t="s">
        <v>6128</v>
      </c>
      <c r="D17014" s="8">
        <v>21</v>
      </c>
      <c r="E17014" s="8">
        <v>0</v>
      </c>
      <c r="F17014" s="8">
        <v>44</v>
      </c>
    </row>
    <row r="17015" spans="1:6" ht="12.75">
      <c r="A17015" s="8">
        <v>43897.047025462962</v>
      </c>
      <c r="B17015" s="8" t="str">
        <f>HYPERLINK("https://twitter.com/Japs187","@Japs187")</f>
        <v>@Japs187</v>
      </c>
      <c r="C17015" s="8" t="s">
        <v>3213</v>
      </c>
      <c r="D17015" s="8">
        <v>127</v>
      </c>
      <c r="E17015" s="8">
        <v>0</v>
      </c>
      <c r="F17015" s="8">
        <v>727</v>
      </c>
    </row>
    <row r="17016" spans="1:6" ht="12.75">
      <c r="A17016" s="8">
        <v>43897.046620370369</v>
      </c>
      <c r="B17016" s="8" t="str">
        <f>HYPERLINK("https://twitter.com/izzuddin_0505","@izzuddin_0505")</f>
        <v>@izzuddin_0505</v>
      </c>
      <c r="C17016" s="8" t="s">
        <v>3743</v>
      </c>
      <c r="D17016" s="8">
        <v>291</v>
      </c>
      <c r="E17016" s="8">
        <v>0</v>
      </c>
      <c r="F17016" s="8">
        <v>21</v>
      </c>
    </row>
    <row r="17017" spans="1:6" ht="12.75">
      <c r="A17017" s="8">
        <v>43897.046319444446</v>
      </c>
      <c r="B17017" s="8" t="str">
        <f>HYPERLINK("https://twitter.com/harsohananto","@harsohananto")</f>
        <v>@harsohananto</v>
      </c>
      <c r="C17017" s="8" t="s">
        <v>3743</v>
      </c>
      <c r="D17017" s="8">
        <v>291</v>
      </c>
      <c r="E17017" s="8">
        <v>0</v>
      </c>
      <c r="F17017" s="8">
        <v>641</v>
      </c>
    </row>
    <row r="17018" spans="1:6" ht="12.75">
      <c r="A17018" s="8">
        <v>43897.046203703707</v>
      </c>
      <c r="B17018" s="8" t="str">
        <f>HYPERLINK("https://twitter.com/tetsu0724d","@tetsu0724d")</f>
        <v>@tetsu0724d</v>
      </c>
      <c r="C17018" s="8" t="s">
        <v>6887</v>
      </c>
      <c r="D17018" s="8">
        <v>18</v>
      </c>
      <c r="E17018" s="8">
        <v>0</v>
      </c>
      <c r="F17018" s="8">
        <v>0</v>
      </c>
    </row>
    <row r="17019" spans="1:6" ht="12.75">
      <c r="A17019" s="8">
        <v>43897.046087962968</v>
      </c>
      <c r="B17019" s="8" t="str">
        <f>HYPERLINK("https://twitter.com/Velope16","@Velope16")</f>
        <v>@Velope16</v>
      </c>
      <c r="C17019" s="8" t="s">
        <v>3743</v>
      </c>
      <c r="D17019" s="8">
        <v>291</v>
      </c>
      <c r="E17019" s="8">
        <v>0</v>
      </c>
      <c r="F17019" s="8">
        <v>276</v>
      </c>
    </row>
    <row r="17020" spans="1:6" ht="12.75">
      <c r="A17020" s="8">
        <v>43897.045833333337</v>
      </c>
      <c r="B17020" s="8" t="str">
        <f>HYPERLINK("https://twitter.com/tetsu0724d","@tetsu0724d")</f>
        <v>@tetsu0724d</v>
      </c>
      <c r="C17020" s="8" t="s">
        <v>6888</v>
      </c>
      <c r="D17020" s="8">
        <v>30</v>
      </c>
      <c r="E17020" s="8">
        <v>0</v>
      </c>
      <c r="F17020" s="8">
        <v>0</v>
      </c>
    </row>
    <row r="17021" spans="1:6" ht="12.75">
      <c r="A17021" s="8">
        <v>43897.044016203705</v>
      </c>
      <c r="B17021" s="8" t="str">
        <f>HYPERLINK("https://twitter.com/dapitdong","@dapitdong")</f>
        <v>@dapitdong</v>
      </c>
      <c r="C17021" s="8" t="s">
        <v>3743</v>
      </c>
      <c r="D17021" s="8">
        <v>291</v>
      </c>
      <c r="E17021" s="8">
        <v>0</v>
      </c>
      <c r="F17021" s="8">
        <v>25747</v>
      </c>
    </row>
    <row r="17022" spans="1:6" ht="12.75">
      <c r="A17022" s="8">
        <v>43897.04305555555</v>
      </c>
      <c r="B17022" s="8" t="str">
        <f>HYPERLINK("https://twitter.com/Nadila_ID","@Nadila_ID")</f>
        <v>@Nadila_ID</v>
      </c>
      <c r="C17022" s="8" t="s">
        <v>6889</v>
      </c>
      <c r="D17022" s="8">
        <v>0</v>
      </c>
      <c r="E17022" s="8">
        <v>0</v>
      </c>
      <c r="F17022" s="8">
        <v>7165</v>
      </c>
    </row>
    <row r="17023" spans="1:6" ht="12.75">
      <c r="A17023" s="8">
        <v>43897.04283564815</v>
      </c>
      <c r="B17023" s="8" t="str">
        <f>HYPERLINK("https://twitter.com/ari_ro88","@ari_ro88")</f>
        <v>@ari_ro88</v>
      </c>
      <c r="C17023" s="8" t="s">
        <v>6890</v>
      </c>
      <c r="D17023" s="8">
        <v>2</v>
      </c>
      <c r="E17023" s="8">
        <v>0</v>
      </c>
      <c r="F17023" s="8">
        <v>62</v>
      </c>
    </row>
    <row r="17024" spans="1:6" ht="12.75">
      <c r="A17024" s="8">
        <v>43897.04173611111</v>
      </c>
      <c r="B17024" s="8" t="str">
        <f>HYPERLINK("https://twitter.com/Dodol_Gesenk","@Dodol_Gesenk")</f>
        <v>@Dodol_Gesenk</v>
      </c>
      <c r="C17024" s="8" t="s">
        <v>4818</v>
      </c>
      <c r="D17024" s="8">
        <v>89</v>
      </c>
      <c r="E17024" s="8">
        <v>0</v>
      </c>
      <c r="F17024" s="8">
        <v>35</v>
      </c>
    </row>
    <row r="17025" spans="1:6" ht="12.75">
      <c r="A17025" s="8">
        <v>43897.041342592594</v>
      </c>
      <c r="B17025" s="8" t="str">
        <f t="shared" ref="B17025:B17026" si="256">HYPERLINK("https://twitter.com/becak125cc","@becak125cc")</f>
        <v>@becak125cc</v>
      </c>
      <c r="C17025" s="8" t="s">
        <v>5103</v>
      </c>
      <c r="D17025" s="8">
        <v>152</v>
      </c>
      <c r="E17025" s="8">
        <v>0</v>
      </c>
      <c r="F17025" s="8">
        <v>558</v>
      </c>
    </row>
    <row r="17026" spans="1:6" ht="12.75">
      <c r="A17026" s="8">
        <v>43897.041296296295</v>
      </c>
      <c r="B17026" s="8" t="str">
        <f t="shared" si="256"/>
        <v>@becak125cc</v>
      </c>
      <c r="C17026" s="8" t="s">
        <v>3213</v>
      </c>
      <c r="D17026" s="8">
        <v>127</v>
      </c>
      <c r="E17026" s="8">
        <v>0</v>
      </c>
      <c r="F17026" s="8">
        <v>558</v>
      </c>
    </row>
    <row r="17027" spans="1:6" ht="12.75">
      <c r="A17027" s="8">
        <v>43897.041226851856</v>
      </c>
      <c r="B17027" s="8" t="str">
        <f>HYPERLINK("https://twitter.com/Robot861","@Robot861")</f>
        <v>@Robot861</v>
      </c>
      <c r="C17027" s="8" t="s">
        <v>3743</v>
      </c>
      <c r="D17027" s="8">
        <v>291</v>
      </c>
      <c r="E17027" s="8">
        <v>0</v>
      </c>
      <c r="F17027" s="8">
        <v>27</v>
      </c>
    </row>
    <row r="17028" spans="1:6" ht="12.75">
      <c r="A17028" s="8">
        <v>43897.04115740741</v>
      </c>
      <c r="B17028" s="8" t="str">
        <f>HYPERLINK("https://twitter.com/harihariono1","@harihariono1")</f>
        <v>@harihariono1</v>
      </c>
      <c r="C17028" s="8" t="s">
        <v>3213</v>
      </c>
      <c r="D17028" s="8">
        <v>127</v>
      </c>
      <c r="E17028" s="8">
        <v>0</v>
      </c>
      <c r="F17028" s="8">
        <v>9494</v>
      </c>
    </row>
    <row r="17029" spans="1:6" ht="12.75">
      <c r="A17029" s="8">
        <v>43897.040324074071</v>
      </c>
      <c r="B17029" s="8" t="str">
        <f>HYPERLINK("https://twitter.com/Adamdar21591740","@Adamdar21591740")</f>
        <v>@Adamdar21591740</v>
      </c>
      <c r="C17029" s="8" t="s">
        <v>3743</v>
      </c>
      <c r="D17029" s="8">
        <v>291</v>
      </c>
      <c r="E17029" s="8">
        <v>0</v>
      </c>
      <c r="F17029" s="8">
        <v>139</v>
      </c>
    </row>
    <row r="17030" spans="1:6" ht="12.75">
      <c r="A17030" s="8">
        <v>43897.040277777778</v>
      </c>
      <c r="B17030" s="8" t="str">
        <f>HYPERLINK("https://twitter.com/rqlabigail","@rqlabigail")</f>
        <v>@rqlabigail</v>
      </c>
      <c r="C17030" s="8" t="s">
        <v>6891</v>
      </c>
      <c r="D17030" s="8">
        <v>0</v>
      </c>
      <c r="E17030" s="8">
        <v>0</v>
      </c>
      <c r="F17030" s="8">
        <v>5</v>
      </c>
    </row>
    <row r="17031" spans="1:6" ht="12.75">
      <c r="A17031" s="8">
        <v>43897.040150462963</v>
      </c>
      <c r="B17031" s="8" t="str">
        <f>HYPERLINK("https://twitter.com/news_benz","@news_benz")</f>
        <v>@news_benz</v>
      </c>
      <c r="C17031" s="8" t="s">
        <v>3743</v>
      </c>
      <c r="D17031" s="8">
        <v>291</v>
      </c>
      <c r="E17031" s="8">
        <v>0</v>
      </c>
      <c r="F17031" s="8">
        <v>741</v>
      </c>
    </row>
    <row r="17032" spans="1:6" ht="12.75">
      <c r="A17032" s="8">
        <v>43897.04005787037</v>
      </c>
      <c r="B17032" s="8" t="str">
        <f>HYPERLINK("https://twitter.com/bahadur_gilani","@bahadur_gilani")</f>
        <v>@bahadur_gilani</v>
      </c>
      <c r="C17032" s="8" t="s">
        <v>6892</v>
      </c>
      <c r="D17032" s="8">
        <v>1</v>
      </c>
      <c r="E17032" s="8">
        <v>0</v>
      </c>
      <c r="F17032" s="8">
        <v>222</v>
      </c>
    </row>
    <row r="17033" spans="1:6" ht="12.75">
      <c r="A17033" s="8">
        <v>43897.040034722224</v>
      </c>
      <c r="B17033" s="8" t="str">
        <f>HYPERLINK("https://twitter.com/becak125cc","@becak125cc")</f>
        <v>@becak125cc</v>
      </c>
      <c r="C17033" s="8" t="s">
        <v>4818</v>
      </c>
      <c r="D17033" s="8">
        <v>89</v>
      </c>
      <c r="E17033" s="8">
        <v>0</v>
      </c>
      <c r="F17033" s="8">
        <v>558</v>
      </c>
    </row>
    <row r="17034" spans="1:6" ht="12.75">
      <c r="A17034" s="8">
        <v>43897.039548611108</v>
      </c>
      <c r="B17034" s="8" t="str">
        <f>HYPERLINK("https://twitter.com/viskaya","@viskaya")</f>
        <v>@viskaya</v>
      </c>
      <c r="C17034" s="8" t="s">
        <v>3743</v>
      </c>
      <c r="D17034" s="8">
        <v>291</v>
      </c>
      <c r="E17034" s="8">
        <v>0</v>
      </c>
      <c r="F17034" s="8">
        <v>789</v>
      </c>
    </row>
    <row r="17035" spans="1:6" ht="12.75">
      <c r="A17035" s="8">
        <v>43897.039525462962</v>
      </c>
      <c r="B17035" s="8" t="str">
        <f>HYPERLINK("https://twitter.com/MasSugi49538181","@MasSugi49538181")</f>
        <v>@MasSugi49538181</v>
      </c>
      <c r="C17035" s="8" t="s">
        <v>3743</v>
      </c>
      <c r="D17035" s="8">
        <v>291</v>
      </c>
      <c r="E17035" s="8">
        <v>0</v>
      </c>
      <c r="F17035" s="8">
        <v>259</v>
      </c>
    </row>
    <row r="17036" spans="1:6" ht="12.75">
      <c r="A17036" s="8">
        <v>43897.039375</v>
      </c>
      <c r="B17036" s="8" t="str">
        <f>HYPERLINK("https://twitter.com/AlfaOmega0110","@AlfaOmega0110")</f>
        <v>@AlfaOmega0110</v>
      </c>
      <c r="C17036" s="8" t="s">
        <v>6893</v>
      </c>
      <c r="D17036" s="8">
        <v>0</v>
      </c>
      <c r="E17036" s="8">
        <v>1</v>
      </c>
      <c r="F17036" s="8">
        <v>1324</v>
      </c>
    </row>
    <row r="17037" spans="1:6" ht="12.75">
      <c r="A17037" s="8">
        <v>43897.039097222223</v>
      </c>
      <c r="B17037" s="8" t="str">
        <f>HYPERLINK("https://twitter.com/Bobby4574676035","@Bobby4574676035")</f>
        <v>@Bobby4574676035</v>
      </c>
      <c r="C17037" s="8" t="s">
        <v>3743</v>
      </c>
      <c r="D17037" s="8">
        <v>291</v>
      </c>
      <c r="E17037" s="8">
        <v>0</v>
      </c>
      <c r="F17037" s="8">
        <v>216</v>
      </c>
    </row>
    <row r="17038" spans="1:6" ht="12.75">
      <c r="A17038" s="8">
        <v>43897.03907407407</v>
      </c>
      <c r="B17038" s="8" t="str">
        <f t="shared" ref="B17038:B17039" si="257">HYPERLINK("https://twitter.com/tim5ima","@tim5ima")</f>
        <v>@tim5ima</v>
      </c>
      <c r="C17038" s="8" t="s">
        <v>4818</v>
      </c>
      <c r="D17038" s="8">
        <v>89</v>
      </c>
      <c r="E17038" s="8">
        <v>0</v>
      </c>
      <c r="F17038" s="8">
        <v>68</v>
      </c>
    </row>
    <row r="17039" spans="1:6" ht="12.75">
      <c r="A17039" s="8">
        <v>43897.038657407407</v>
      </c>
      <c r="B17039" s="8" t="str">
        <f t="shared" si="257"/>
        <v>@tim5ima</v>
      </c>
      <c r="C17039" s="8" t="s">
        <v>3213</v>
      </c>
      <c r="D17039" s="8">
        <v>127</v>
      </c>
      <c r="E17039" s="8">
        <v>0</v>
      </c>
      <c r="F17039" s="8">
        <v>68</v>
      </c>
    </row>
    <row r="17040" spans="1:6" ht="12.75">
      <c r="A17040" s="8">
        <v>43897.038495370369</v>
      </c>
      <c r="B17040" s="8" t="str">
        <f>HYPERLINK("https://twitter.com/BangRusli8","@BangRusli8")</f>
        <v>@BangRusli8</v>
      </c>
      <c r="C17040" s="8" t="s">
        <v>3743</v>
      </c>
      <c r="D17040" s="8">
        <v>291</v>
      </c>
      <c r="E17040" s="8">
        <v>0</v>
      </c>
      <c r="F17040" s="8">
        <v>3</v>
      </c>
    </row>
    <row r="17041" spans="1:6" ht="12.75">
      <c r="A17041" s="8">
        <v>43897.038171296299</v>
      </c>
      <c r="B17041" s="8" t="str">
        <f>HYPERLINK("https://twitter.com/Indopolitika","@Indopolitika")</f>
        <v>@Indopolitika</v>
      </c>
      <c r="C17041" s="8" t="s">
        <v>6894</v>
      </c>
      <c r="D17041" s="8">
        <v>0</v>
      </c>
      <c r="E17041" s="8">
        <v>0</v>
      </c>
      <c r="F17041" s="8">
        <v>10590</v>
      </c>
    </row>
    <row r="17042" spans="1:6" ht="12.75">
      <c r="A17042" s="8">
        <v>43897.038078703699</v>
      </c>
      <c r="B17042" s="8" t="str">
        <f>HYPERLINK("https://twitter.com/LautRasa","@LautRasa")</f>
        <v>@LautRasa</v>
      </c>
      <c r="C17042" s="8" t="s">
        <v>3743</v>
      </c>
      <c r="D17042" s="8">
        <v>291</v>
      </c>
      <c r="E17042" s="8">
        <v>0</v>
      </c>
      <c r="F17042" s="8">
        <v>1</v>
      </c>
    </row>
    <row r="17043" spans="1:6" ht="12.75">
      <c r="A17043" s="8">
        <v>43897.03806712963</v>
      </c>
      <c r="B17043" s="8" t="str">
        <f>HYPERLINK("https://twitter.com/Indopolitika","@Indopolitika")</f>
        <v>@Indopolitika</v>
      </c>
      <c r="C17043" s="8" t="s">
        <v>6895</v>
      </c>
      <c r="D17043" s="8">
        <v>0</v>
      </c>
      <c r="E17043" s="8">
        <v>0</v>
      </c>
      <c r="F17043" s="8">
        <v>10590</v>
      </c>
    </row>
    <row r="17044" spans="1:6" ht="12.75">
      <c r="A17044" s="8">
        <v>43897.038020833337</v>
      </c>
      <c r="B17044" s="8" t="str">
        <f>HYPERLINK("https://twitter.com/Helmi67711233","@Helmi67711233")</f>
        <v>@Helmi67711233</v>
      </c>
      <c r="C17044" s="8" t="s">
        <v>3743</v>
      </c>
      <c r="D17044" s="8">
        <v>291</v>
      </c>
      <c r="E17044" s="8">
        <v>0</v>
      </c>
      <c r="F17044" s="8">
        <v>292</v>
      </c>
    </row>
    <row r="17045" spans="1:6" ht="12.75">
      <c r="A17045" s="8">
        <v>43897.036736111113</v>
      </c>
      <c r="B17045" s="8" t="str">
        <f>HYPERLINK("https://twitter.com/AgungWidrajat","@AgungWidrajat")</f>
        <v>@AgungWidrajat</v>
      </c>
      <c r="C17045" s="8" t="s">
        <v>6896</v>
      </c>
      <c r="D17045" s="8">
        <v>2</v>
      </c>
      <c r="E17045" s="8">
        <v>0</v>
      </c>
      <c r="F17045" s="8">
        <v>2312</v>
      </c>
    </row>
    <row r="17046" spans="1:6" ht="12.75">
      <c r="A17046" s="8">
        <v>43897.036678240736</v>
      </c>
      <c r="B17046" s="8" t="str">
        <f>HYPERLINK("https://twitter.com/Detektif_Ngibul","@Detektif_Ngibul")</f>
        <v>@Detektif_Ngibul</v>
      </c>
      <c r="C17046" s="8" t="s">
        <v>6897</v>
      </c>
      <c r="D17046" s="8">
        <v>2</v>
      </c>
      <c r="E17046" s="8">
        <v>0</v>
      </c>
      <c r="F17046" s="8">
        <v>1636</v>
      </c>
    </row>
    <row r="17047" spans="1:6" ht="12.75">
      <c r="A17047" s="8">
        <v>43897.036400462966</v>
      </c>
      <c r="B17047" s="8" t="str">
        <f>HYPERLINK("https://twitter.com/rico_drc","@rico_drc")</f>
        <v>@rico_drc</v>
      </c>
      <c r="C17047" s="8" t="s">
        <v>3213</v>
      </c>
      <c r="D17047" s="8">
        <v>127</v>
      </c>
      <c r="E17047" s="8">
        <v>0</v>
      </c>
      <c r="F17047" s="8">
        <v>70</v>
      </c>
    </row>
    <row r="17048" spans="1:6" ht="12.75">
      <c r="A17048" s="8">
        <v>43897.035648148143</v>
      </c>
      <c r="B17048" s="8" t="str">
        <f>HYPERLINK("https://twitter.com/SilalahiFabian","@SilalahiFabian")</f>
        <v>@SilalahiFabian</v>
      </c>
      <c r="C17048" s="8" t="s">
        <v>3213</v>
      </c>
      <c r="D17048" s="8">
        <v>127</v>
      </c>
      <c r="E17048" s="8">
        <v>0</v>
      </c>
      <c r="F17048" s="8">
        <v>173</v>
      </c>
    </row>
    <row r="17049" spans="1:6" ht="12.75">
      <c r="A17049" s="8">
        <v>43897.035543981481</v>
      </c>
      <c r="B17049" s="8" t="str">
        <f>HYPERLINK("https://twitter.com/duuldul","@duuldul")</f>
        <v>@duuldul</v>
      </c>
      <c r="C17049" s="8" t="s">
        <v>3743</v>
      </c>
      <c r="D17049" s="8">
        <v>291</v>
      </c>
      <c r="E17049" s="8">
        <v>0</v>
      </c>
      <c r="F17049" s="8">
        <v>17</v>
      </c>
    </row>
    <row r="17050" spans="1:6" ht="12.75">
      <c r="A17050" s="8">
        <v>43897.035300925927</v>
      </c>
      <c r="B17050" s="8" t="str">
        <f>HYPERLINK("https://twitter.com/SilalahiFabian","@SilalahiFabian")</f>
        <v>@SilalahiFabian</v>
      </c>
      <c r="C17050" s="8" t="s">
        <v>4818</v>
      </c>
      <c r="D17050" s="8">
        <v>89</v>
      </c>
      <c r="E17050" s="8">
        <v>0</v>
      </c>
      <c r="F17050" s="8">
        <v>173</v>
      </c>
    </row>
    <row r="17051" spans="1:6" ht="12.75">
      <c r="A17051" s="8">
        <v>43897.034594907411</v>
      </c>
      <c r="B17051" s="8" t="str">
        <f>HYPERLINK("https://twitter.com/daraaadil709","@daraaadil709")</f>
        <v>@daraaadil709</v>
      </c>
      <c r="C17051" s="8" t="s">
        <v>6898</v>
      </c>
      <c r="D17051" s="8">
        <v>0</v>
      </c>
      <c r="E17051" s="8">
        <v>1</v>
      </c>
      <c r="F17051" s="8">
        <v>107</v>
      </c>
    </row>
    <row r="17052" spans="1:6" ht="12.75">
      <c r="A17052" s="8">
        <v>43897.034525462965</v>
      </c>
      <c r="B17052" s="8" t="str">
        <f>HYPERLINK("https://twitter.com/toniole_","@toniole_")</f>
        <v>@toniole_</v>
      </c>
      <c r="C17052" s="8" t="s">
        <v>5103</v>
      </c>
      <c r="D17052" s="8">
        <v>152</v>
      </c>
      <c r="E17052" s="8">
        <v>0</v>
      </c>
      <c r="F17052" s="8">
        <v>89</v>
      </c>
    </row>
    <row r="17053" spans="1:6" ht="12.75">
      <c r="A17053" s="8">
        <v>43897.034270833334</v>
      </c>
      <c r="B17053" s="8" t="str">
        <f>HYPERLINK("https://twitter.com/minaja16","@minaja16")</f>
        <v>@minaja16</v>
      </c>
      <c r="C17053" s="8" t="s">
        <v>3743</v>
      </c>
      <c r="D17053" s="8">
        <v>291</v>
      </c>
      <c r="E17053" s="8">
        <v>0</v>
      </c>
      <c r="F17053" s="8">
        <v>135</v>
      </c>
    </row>
    <row r="17054" spans="1:6" ht="12.75">
      <c r="A17054" s="8">
        <v>43897.033900462964</v>
      </c>
      <c r="B17054" s="8" t="str">
        <f>HYPERLINK("https://twitter.com/RudyTank","@RudyTank")</f>
        <v>@RudyTank</v>
      </c>
      <c r="C17054" s="8" t="s">
        <v>3213</v>
      </c>
      <c r="D17054" s="8">
        <v>127</v>
      </c>
      <c r="E17054" s="8">
        <v>0</v>
      </c>
      <c r="F17054" s="8">
        <v>1103</v>
      </c>
    </row>
    <row r="17055" spans="1:6" ht="12.75">
      <c r="A17055" s="8">
        <v>43897.033738425926</v>
      </c>
      <c r="B17055" s="8" t="str">
        <f>HYPERLINK("https://twitter.com/FarisAlias07","@FarisAlias07")</f>
        <v>@FarisAlias07</v>
      </c>
      <c r="C17055" s="8" t="s">
        <v>4004</v>
      </c>
      <c r="D17055" s="8">
        <v>3</v>
      </c>
      <c r="E17055" s="8">
        <v>0</v>
      </c>
      <c r="F17055" s="8">
        <v>143</v>
      </c>
    </row>
    <row r="17056" spans="1:6" ht="12.75">
      <c r="A17056" s="8">
        <v>43897.033182870371</v>
      </c>
      <c r="B17056" s="8" t="str">
        <f>HYPERLINK("https://twitter.com/Ibhe_Deel","@Ibhe_Deel")</f>
        <v>@Ibhe_Deel</v>
      </c>
      <c r="C17056" s="8" t="s">
        <v>3743</v>
      </c>
      <c r="D17056" s="8">
        <v>291</v>
      </c>
      <c r="E17056" s="8">
        <v>0</v>
      </c>
      <c r="F17056" s="8">
        <v>1453</v>
      </c>
    </row>
    <row r="17057" spans="1:6" ht="12.75">
      <c r="A17057" s="8">
        <v>43897.033032407402</v>
      </c>
      <c r="B17057" s="8" t="str">
        <f>HYPERLINK("https://twitter.com/ChannelIngusan","@ChannelIngusan")</f>
        <v>@ChannelIngusan</v>
      </c>
      <c r="C17057" s="8" t="s">
        <v>6899</v>
      </c>
      <c r="D17057" s="8">
        <v>0</v>
      </c>
      <c r="E17057" s="8">
        <v>0</v>
      </c>
      <c r="F17057" s="8">
        <v>933</v>
      </c>
    </row>
    <row r="17058" spans="1:6" ht="12.75">
      <c r="A17058" s="8">
        <v>43897.03230324074</v>
      </c>
      <c r="B17058" s="8" t="str">
        <f>HYPERLINK("https://twitter.com/Donie248","@Donie248")</f>
        <v>@Donie248</v>
      </c>
      <c r="C17058" s="8" t="s">
        <v>6897</v>
      </c>
      <c r="D17058" s="8">
        <v>2</v>
      </c>
      <c r="E17058" s="8">
        <v>0</v>
      </c>
      <c r="F17058" s="8">
        <v>344</v>
      </c>
    </row>
    <row r="17059" spans="1:6" ht="12.75">
      <c r="A17059" s="8">
        <v>43897.032118055555</v>
      </c>
      <c r="B17059" s="8" t="str">
        <f>HYPERLINK("https://twitter.com/eff_kambey","@eff_kambey")</f>
        <v>@eff_kambey</v>
      </c>
      <c r="C17059" s="8" t="s">
        <v>4818</v>
      </c>
      <c r="D17059" s="8">
        <v>89</v>
      </c>
      <c r="E17059" s="8">
        <v>0</v>
      </c>
      <c r="F17059" s="8">
        <v>1935</v>
      </c>
    </row>
    <row r="17060" spans="1:6" ht="12.75">
      <c r="A17060" s="8">
        <v>43897.032094907408</v>
      </c>
      <c r="B17060" s="8" t="str">
        <f>HYPERLINK("https://twitter.com/bahrifull","@bahrifull")</f>
        <v>@bahrifull</v>
      </c>
      <c r="C17060" s="8" t="s">
        <v>3213</v>
      </c>
      <c r="D17060" s="8">
        <v>127</v>
      </c>
      <c r="E17060" s="8">
        <v>0</v>
      </c>
      <c r="F17060" s="8">
        <v>682</v>
      </c>
    </row>
    <row r="17061" spans="1:6" ht="12.75">
      <c r="A17061" s="8">
        <v>43897.03056712963</v>
      </c>
      <c r="B17061" s="8" t="str">
        <f>HYPERLINK("https://twitter.com/khulevii","@khulevii")</f>
        <v>@khulevii</v>
      </c>
      <c r="C17061" s="8" t="s">
        <v>3743</v>
      </c>
      <c r="D17061" s="8">
        <v>291</v>
      </c>
      <c r="E17061" s="8">
        <v>0</v>
      </c>
      <c r="F17061" s="8">
        <v>233</v>
      </c>
    </row>
    <row r="17062" spans="1:6" ht="12.75">
      <c r="A17062" s="8">
        <v>43897.030555555553</v>
      </c>
      <c r="B17062" s="8" t="str">
        <f>HYPERLINK("https://twitter.com/selfieituindah","@selfieituindah")</f>
        <v>@selfieituindah</v>
      </c>
      <c r="C17062" s="8" t="s">
        <v>6900</v>
      </c>
      <c r="D17062" s="8">
        <v>0</v>
      </c>
      <c r="E17062" s="8">
        <v>0</v>
      </c>
      <c r="F17062" s="8">
        <v>21361</v>
      </c>
    </row>
    <row r="17063" spans="1:6" ht="12.75">
      <c r="A17063" s="8">
        <v>43897.030405092592</v>
      </c>
      <c r="B17063" s="8" t="str">
        <f>HYPERLINK("https://twitter.com/kbriamman","@kbriamman")</f>
        <v>@kbriamman</v>
      </c>
      <c r="C17063" s="8" t="s">
        <v>6901</v>
      </c>
      <c r="D17063" s="8">
        <v>0</v>
      </c>
      <c r="E17063" s="8">
        <v>0</v>
      </c>
      <c r="F17063" s="8">
        <v>1244</v>
      </c>
    </row>
    <row r="17064" spans="1:6" ht="12.75">
      <c r="A17064" s="8">
        <v>43897.030370370368</v>
      </c>
      <c r="B17064" s="8" t="str">
        <f>HYPERLINK("https://twitter.com/FaisalZaini0411","@FaisalZaini0411")</f>
        <v>@FaisalZaini0411</v>
      </c>
      <c r="C17064" s="8" t="s">
        <v>3743</v>
      </c>
      <c r="D17064" s="8">
        <v>291</v>
      </c>
      <c r="E17064" s="8">
        <v>0</v>
      </c>
      <c r="F17064" s="8">
        <v>2620</v>
      </c>
    </row>
    <row r="17065" spans="1:6" ht="12.75">
      <c r="A17065" s="8">
        <v>43897.030289351853</v>
      </c>
      <c r="B17065" s="8" t="str">
        <f>HYPERLINK("https://twitter.com/AlfaOmega0110","@AlfaOmega0110")</f>
        <v>@AlfaOmega0110</v>
      </c>
      <c r="C17065" s="8" t="s">
        <v>6902</v>
      </c>
      <c r="D17065" s="8">
        <v>2</v>
      </c>
      <c r="E17065" s="8">
        <v>2</v>
      </c>
      <c r="F17065" s="8">
        <v>1324</v>
      </c>
    </row>
    <row r="17066" spans="1:6" ht="12.75">
      <c r="A17066" s="8">
        <v>43897.030011574076</v>
      </c>
      <c r="B17066" s="8" t="str">
        <f>HYPERLINK("https://twitter.com/Bewolf_new","@Bewolf_new")</f>
        <v>@Bewolf_new</v>
      </c>
      <c r="C17066" s="8" t="s">
        <v>3743</v>
      </c>
      <c r="D17066" s="8">
        <v>291</v>
      </c>
      <c r="E17066" s="8">
        <v>0</v>
      </c>
      <c r="F17066" s="8">
        <v>252</v>
      </c>
    </row>
    <row r="17067" spans="1:6" ht="12.75">
      <c r="A17067" s="8">
        <v>43897.02961805556</v>
      </c>
      <c r="B17067" s="8" t="str">
        <f>HYPERLINK("https://twitter.com/SanaJabeen_21","@SanaJabeen_21")</f>
        <v>@SanaJabeen_21</v>
      </c>
      <c r="C17067" s="8" t="s">
        <v>6903</v>
      </c>
      <c r="D17067" s="8">
        <v>1</v>
      </c>
      <c r="E17067" s="8">
        <v>1</v>
      </c>
      <c r="F17067" s="8">
        <v>1108</v>
      </c>
    </row>
    <row r="17068" spans="1:6" ht="12.75">
      <c r="A17068" s="8">
        <v>43897.028240740736</v>
      </c>
      <c r="B17068" s="8" t="str">
        <f>HYPERLINK("https://twitter.com/11brantakan","@11brantakan")</f>
        <v>@11brantakan</v>
      </c>
      <c r="C17068" s="8" t="s">
        <v>3743</v>
      </c>
      <c r="D17068" s="8">
        <v>291</v>
      </c>
      <c r="E17068" s="8">
        <v>0</v>
      </c>
      <c r="F17068" s="8">
        <v>379</v>
      </c>
    </row>
    <row r="17069" spans="1:6" ht="12.75">
      <c r="A17069" s="8">
        <v>43897.028090277774</v>
      </c>
      <c r="B17069" s="8" t="str">
        <f>HYPERLINK("https://twitter.com/Hendriksrtn","@Hendriksrtn")</f>
        <v>@Hendriksrtn</v>
      </c>
      <c r="C17069" s="8" t="s">
        <v>3213</v>
      </c>
      <c r="D17069" s="8">
        <v>127</v>
      </c>
      <c r="E17069" s="8">
        <v>0</v>
      </c>
      <c r="F17069" s="8">
        <v>449</v>
      </c>
    </row>
    <row r="17070" spans="1:6" ht="12.75">
      <c r="A17070" s="8">
        <v>43897.027442129634</v>
      </c>
      <c r="B17070" s="8" t="str">
        <f>HYPERLINK("https://twitter.com/Koran_Kaltara","@Koran_Kaltara")</f>
        <v>@Koran_Kaltara</v>
      </c>
      <c r="C17070" s="8" t="s">
        <v>6904</v>
      </c>
      <c r="D17070" s="8">
        <v>0</v>
      </c>
      <c r="E17070" s="8">
        <v>0</v>
      </c>
      <c r="F17070" s="8">
        <v>95</v>
      </c>
    </row>
    <row r="17071" spans="1:6" ht="12.75">
      <c r="A17071" s="8">
        <v>43897.026817129634</v>
      </c>
      <c r="B17071" s="8" t="str">
        <f>HYPERLINK("https://twitter.com/andrew_weist","@andrew_weist")</f>
        <v>@andrew_weist</v>
      </c>
      <c r="C17071" s="8" t="s">
        <v>3213</v>
      </c>
      <c r="D17071" s="8">
        <v>127</v>
      </c>
      <c r="E17071" s="8">
        <v>0</v>
      </c>
      <c r="F17071" s="8">
        <v>13847</v>
      </c>
    </row>
    <row r="17072" spans="1:6" ht="12.75">
      <c r="A17072" s="8">
        <v>43897.026249999995</v>
      </c>
      <c r="B17072" s="8" t="str">
        <f>HYPERLINK("https://twitter.com/andrenumbersix","@andrenumbersix")</f>
        <v>@andrenumbersix</v>
      </c>
      <c r="C17072" s="8" t="s">
        <v>6905</v>
      </c>
      <c r="D17072" s="8">
        <v>0</v>
      </c>
      <c r="E17072" s="8">
        <v>0</v>
      </c>
      <c r="F17072" s="8">
        <v>13</v>
      </c>
    </row>
    <row r="17073" spans="1:6" ht="12.75">
      <c r="A17073" s="8">
        <v>43897.026099537034</v>
      </c>
      <c r="B17073" s="8" t="str">
        <f>HYPERLINK("https://twitter.com/Santridusun1","@Santridusun1")</f>
        <v>@Santridusun1</v>
      </c>
      <c r="C17073" s="8" t="s">
        <v>3213</v>
      </c>
      <c r="D17073" s="8">
        <v>127</v>
      </c>
      <c r="E17073" s="8">
        <v>0</v>
      </c>
      <c r="F17073" s="8">
        <v>1281</v>
      </c>
    </row>
    <row r="17074" spans="1:6" ht="12.75">
      <c r="A17074" s="8">
        <v>43897.026018518518</v>
      </c>
      <c r="B17074" s="8" t="str">
        <f>HYPERLINK("https://twitter.com/Gaziel_94","@Gaziel_94")</f>
        <v>@Gaziel_94</v>
      </c>
      <c r="C17074" s="8" t="s">
        <v>5103</v>
      </c>
      <c r="D17074" s="8">
        <v>152</v>
      </c>
      <c r="E17074" s="8">
        <v>0</v>
      </c>
      <c r="F17074" s="8">
        <v>407</v>
      </c>
    </row>
    <row r="17075" spans="1:6" ht="12.75">
      <c r="A17075" s="8">
        <v>43897.024675925924</v>
      </c>
      <c r="B17075" s="8" t="str">
        <f>HYPERLINK("https://twitter.com/ZamriNoer","@ZamriNoer")</f>
        <v>@ZamriNoer</v>
      </c>
      <c r="C17075" s="8" t="s">
        <v>3743</v>
      </c>
      <c r="D17075" s="8">
        <v>291</v>
      </c>
      <c r="E17075" s="8">
        <v>0</v>
      </c>
      <c r="F17075" s="8">
        <v>71</v>
      </c>
    </row>
    <row r="17076" spans="1:6" ht="12.75">
      <c r="A17076" s="8">
        <v>43897.023506944446</v>
      </c>
      <c r="B17076" s="8" t="str">
        <f>HYPERLINK("https://twitter.com/wbudi2003","@wbudi2003")</f>
        <v>@wbudi2003</v>
      </c>
      <c r="C17076" s="8" t="s">
        <v>2116</v>
      </c>
      <c r="D17076" s="8">
        <v>47</v>
      </c>
      <c r="E17076" s="8">
        <v>0</v>
      </c>
      <c r="F17076" s="8">
        <v>50</v>
      </c>
    </row>
    <row r="17077" spans="1:6" ht="12.75">
      <c r="A17077" s="8">
        <v>43897.02342592593</v>
      </c>
      <c r="B17077" s="8" t="str">
        <f>HYPERLINK("https://twitter.com/anthrlyfe","@anthrlyfe")</f>
        <v>@anthrlyfe</v>
      </c>
      <c r="C17077" s="8" t="s">
        <v>6906</v>
      </c>
      <c r="D17077" s="8">
        <v>0</v>
      </c>
      <c r="E17077" s="8">
        <v>0</v>
      </c>
      <c r="F17077" s="8">
        <v>57</v>
      </c>
    </row>
    <row r="17078" spans="1:6" ht="12.75">
      <c r="A17078" s="8">
        <v>43897.023391203707</v>
      </c>
      <c r="B17078" s="8" t="str">
        <f>HYPERLINK("https://twitter.com/trenggong","@trenggong")</f>
        <v>@trenggong</v>
      </c>
      <c r="C17078" s="8" t="s">
        <v>4818</v>
      </c>
      <c r="D17078" s="8">
        <v>89</v>
      </c>
      <c r="E17078" s="8">
        <v>0</v>
      </c>
      <c r="F17078" s="8">
        <v>589</v>
      </c>
    </row>
    <row r="17079" spans="1:6" ht="12.75">
      <c r="A17079" s="8">
        <v>43897.022881944446</v>
      </c>
      <c r="B17079" s="8" t="str">
        <f>HYPERLINK("https://twitter.com/akbarabow","@akbarabow")</f>
        <v>@akbarabow</v>
      </c>
      <c r="C17079" s="8" t="s">
        <v>5103</v>
      </c>
      <c r="D17079" s="8">
        <v>152</v>
      </c>
      <c r="E17079" s="8">
        <v>0</v>
      </c>
      <c r="F17079" s="8">
        <v>463</v>
      </c>
    </row>
    <row r="17080" spans="1:6" ht="12.75">
      <c r="A17080" s="8">
        <v>43897.022349537037</v>
      </c>
      <c r="B17080" s="8" t="str">
        <f>HYPERLINK("https://twitter.com/FerdinanNangin","@FerdinanNangin")</f>
        <v>@FerdinanNangin</v>
      </c>
      <c r="C17080" s="8" t="s">
        <v>6907</v>
      </c>
      <c r="D17080" s="8">
        <v>0</v>
      </c>
      <c r="E17080" s="8">
        <v>0</v>
      </c>
      <c r="F17080" s="8">
        <v>736</v>
      </c>
    </row>
    <row r="17081" spans="1:6" ht="12.75">
      <c r="A17081" s="8">
        <v>43897.022303240738</v>
      </c>
      <c r="B17081" s="8" t="str">
        <f>HYPERLINK("https://twitter.com/AmstrongBiring","@AmstrongBiring")</f>
        <v>@AmstrongBiring</v>
      </c>
      <c r="C17081" s="8" t="s">
        <v>6863</v>
      </c>
      <c r="D17081" s="8">
        <v>354</v>
      </c>
      <c r="E17081" s="8">
        <v>0</v>
      </c>
      <c r="F17081" s="8">
        <v>1989</v>
      </c>
    </row>
    <row r="17082" spans="1:6" ht="12.75">
      <c r="A17082" s="8">
        <v>43897.022222222222</v>
      </c>
      <c r="B17082" s="8" t="str">
        <f>HYPERLINK("https://twitter.com/ItsMyRealQuotes","@ItsMyRealQuotes")</f>
        <v>@ItsMyRealQuotes</v>
      </c>
      <c r="C17082" s="8" t="s">
        <v>6908</v>
      </c>
      <c r="D17082" s="8">
        <v>0</v>
      </c>
      <c r="E17082" s="8">
        <v>0</v>
      </c>
      <c r="F17082" s="8">
        <v>183800</v>
      </c>
    </row>
    <row r="17083" spans="1:6" ht="12.75">
      <c r="A17083" s="8">
        <v>43897.021932870368</v>
      </c>
      <c r="B17083" s="8" t="str">
        <f>HYPERLINK("https://twitter.com/AmstrongBiring","@AmstrongBiring")</f>
        <v>@AmstrongBiring</v>
      </c>
      <c r="C17083" s="8" t="s">
        <v>6864</v>
      </c>
      <c r="D17083" s="8">
        <v>261</v>
      </c>
      <c r="E17083" s="8">
        <v>0</v>
      </c>
      <c r="F17083" s="8">
        <v>1989</v>
      </c>
    </row>
    <row r="17084" spans="1:6" ht="12.75">
      <c r="A17084" s="8">
        <v>43897.021840277783</v>
      </c>
      <c r="B17084" s="8" t="str">
        <f>HYPERLINK("https://twitter.com/mayak1990","@mayak1990")</f>
        <v>@mayak1990</v>
      </c>
      <c r="C17084" s="8" t="s">
        <v>3743</v>
      </c>
      <c r="D17084" s="8">
        <v>291</v>
      </c>
      <c r="E17084" s="8">
        <v>0</v>
      </c>
      <c r="F17084" s="8">
        <v>610</v>
      </c>
    </row>
    <row r="17085" spans="1:6" ht="12.75">
      <c r="A17085" s="8">
        <v>43897.020381944443</v>
      </c>
      <c r="B17085" s="8" t="str">
        <f>HYPERLINK("https://twitter.com/AnakLolina","@AnakLolina")</f>
        <v>@AnakLolina</v>
      </c>
      <c r="C17085" s="8" t="s">
        <v>6909</v>
      </c>
      <c r="D17085" s="8">
        <v>0</v>
      </c>
      <c r="E17085" s="8">
        <v>1</v>
      </c>
      <c r="F17085" s="8">
        <v>15197</v>
      </c>
    </row>
    <row r="17086" spans="1:6" ht="12.75">
      <c r="A17086" s="8">
        <v>43897.020219907412</v>
      </c>
      <c r="B17086" s="8" t="str">
        <f>HYPERLINK("https://twitter.com/KBRIPraha","@KBRIPraha")</f>
        <v>@KBRIPraha</v>
      </c>
      <c r="C17086" s="8" t="s">
        <v>2116</v>
      </c>
      <c r="D17086" s="8">
        <v>47</v>
      </c>
      <c r="E17086" s="8">
        <v>0</v>
      </c>
      <c r="F17086" s="8">
        <v>691</v>
      </c>
    </row>
    <row r="17087" spans="1:6" ht="12.75">
      <c r="A17087" s="8">
        <v>43897.020196759258</v>
      </c>
      <c r="B17087" s="8" t="str">
        <f>HYPERLINK("https://twitter.com/WahhabiCC","@WahhabiCC")</f>
        <v>@WahhabiCC</v>
      </c>
      <c r="C17087" s="8" t="s">
        <v>4818</v>
      </c>
      <c r="D17087" s="8">
        <v>89</v>
      </c>
      <c r="E17087" s="8">
        <v>0</v>
      </c>
      <c r="F17087" s="8">
        <v>17363</v>
      </c>
    </row>
    <row r="17088" spans="1:6" ht="12.75">
      <c r="A17088" s="8">
        <v>43897.019768518519</v>
      </c>
      <c r="B17088" s="8" t="str">
        <f>HYPERLINK("https://twitter.com/deelissasurre","@deelissasurre")</f>
        <v>@deelissasurre</v>
      </c>
      <c r="C17088" s="8" t="s">
        <v>6910</v>
      </c>
      <c r="D17088" s="8">
        <v>0</v>
      </c>
      <c r="E17088" s="8">
        <v>1</v>
      </c>
      <c r="F17088" s="8">
        <v>133</v>
      </c>
    </row>
    <row r="17089" spans="1:6" ht="12.75">
      <c r="A17089" s="8">
        <v>43897.019375000003</v>
      </c>
      <c r="B17089" s="8" t="str">
        <f>HYPERLINK("https://twitter.com/bukuberbagi100","@bukuberbagi100")</f>
        <v>@bukuberbagi100</v>
      </c>
      <c r="C17089" s="8" t="s">
        <v>3743</v>
      </c>
      <c r="D17089" s="8">
        <v>291</v>
      </c>
      <c r="E17089" s="8">
        <v>0</v>
      </c>
      <c r="F17089" s="8">
        <v>133</v>
      </c>
    </row>
    <row r="17090" spans="1:6" ht="12.75">
      <c r="A17090" s="8">
        <v>43897.018946759257</v>
      </c>
      <c r="B17090" s="8" t="str">
        <f>HYPERLINK("https://twitter.com/Irma22872229","@Irma22872229")</f>
        <v>@Irma22872229</v>
      </c>
      <c r="C17090" s="8" t="s">
        <v>6911</v>
      </c>
      <c r="D17090" s="8">
        <v>0</v>
      </c>
      <c r="E17090" s="8">
        <v>1</v>
      </c>
      <c r="F17090" s="8">
        <v>316</v>
      </c>
    </row>
    <row r="17091" spans="1:6" ht="12.75">
      <c r="A17091" s="8">
        <v>43897.018437499995</v>
      </c>
      <c r="B17091" s="8" t="str">
        <f>HYPERLINK("https://twitter.com/justalk12ver4","@justalk12ver4")</f>
        <v>@justalk12ver4</v>
      </c>
      <c r="C17091" s="8" t="s">
        <v>6912</v>
      </c>
      <c r="D17091" s="8">
        <v>0</v>
      </c>
      <c r="E17091" s="8">
        <v>0</v>
      </c>
      <c r="F17091" s="8">
        <v>110</v>
      </c>
    </row>
    <row r="17092" spans="1:6" ht="12.75">
      <c r="A17092" s="8">
        <v>43897.01840277778</v>
      </c>
      <c r="B17092" s="8" t="str">
        <f>HYPERLINK("https://twitter.com/RizalValen76","@RizalValen76")</f>
        <v>@RizalValen76</v>
      </c>
      <c r="C17092" s="8" t="s">
        <v>6913</v>
      </c>
      <c r="D17092" s="8">
        <v>0</v>
      </c>
      <c r="E17092" s="8">
        <v>2</v>
      </c>
      <c r="F17092" s="8">
        <v>510</v>
      </c>
    </row>
    <row r="17093" spans="1:6" ht="12.75">
      <c r="A17093" s="8">
        <v>43897.017951388887</v>
      </c>
      <c r="B17093" s="8" t="str">
        <f>HYPERLINK("https://twitter.com/maknamasa","@maknamasa")</f>
        <v>@maknamasa</v>
      </c>
      <c r="C17093" s="8" t="s">
        <v>6914</v>
      </c>
      <c r="D17093" s="8">
        <v>0</v>
      </c>
      <c r="E17093" s="8">
        <v>0</v>
      </c>
      <c r="F17093" s="8">
        <v>110</v>
      </c>
    </row>
    <row r="17094" spans="1:6" ht="12.75">
      <c r="A17094" s="8">
        <v>43897.017766203702</v>
      </c>
      <c r="B17094" s="8" t="str">
        <f>HYPERLINK("https://twitter.com/ISIS_Balik_NO","@ISIS_Balik_NO")</f>
        <v>@ISIS_Balik_NO</v>
      </c>
      <c r="C17094" s="8" t="s">
        <v>4818</v>
      </c>
      <c r="D17094" s="8">
        <v>89</v>
      </c>
      <c r="E17094" s="8">
        <v>0</v>
      </c>
      <c r="F17094" s="8">
        <v>6132</v>
      </c>
    </row>
    <row r="17095" spans="1:6" ht="12.75">
      <c r="A17095" s="8">
        <v>43897.01761574074</v>
      </c>
      <c r="B17095" s="8" t="str">
        <f>HYPERLINK("https://twitter.com/isis_macedo10","@isis_macedo10")</f>
        <v>@isis_macedo10</v>
      </c>
      <c r="C17095" s="8" t="s">
        <v>6915</v>
      </c>
      <c r="D17095" s="8">
        <v>0</v>
      </c>
      <c r="E17095" s="8">
        <v>0</v>
      </c>
      <c r="F17095" s="8">
        <v>5324</v>
      </c>
    </row>
    <row r="17096" spans="1:6" ht="12.75">
      <c r="A17096" s="8">
        <v>43897.016643518524</v>
      </c>
      <c r="B17096" s="8" t="str">
        <f>HYPERLINK("https://twitter.com/MahinFatavit","@MahinFatavit")</f>
        <v>@MahinFatavit</v>
      </c>
      <c r="C17096" s="8" t="s">
        <v>6916</v>
      </c>
      <c r="D17096" s="8">
        <v>8</v>
      </c>
      <c r="E17096" s="8">
        <v>0</v>
      </c>
      <c r="F17096" s="8">
        <v>6066</v>
      </c>
    </row>
    <row r="17097" spans="1:6" ht="12.75">
      <c r="A17097" s="8">
        <v>43897.0159837963</v>
      </c>
      <c r="B17097" s="8" t="str">
        <f>HYPERLINK("https://twitter.com/KJRI_Vancouver","@KJRI_Vancouver")</f>
        <v>@KJRI_Vancouver</v>
      </c>
      <c r="C17097" s="8" t="s">
        <v>2116</v>
      </c>
      <c r="D17097" s="8">
        <v>47</v>
      </c>
      <c r="E17097" s="8">
        <v>0</v>
      </c>
      <c r="F17097" s="8">
        <v>2369</v>
      </c>
    </row>
    <row r="17098" spans="1:6" ht="12.75">
      <c r="A17098" s="8">
        <v>43897.015775462962</v>
      </c>
      <c r="B17098" s="8" t="str">
        <f>HYPERLINK("https://twitter.com/Abrata73647759","@Abrata73647759")</f>
        <v>@Abrata73647759</v>
      </c>
      <c r="C17098" s="8" t="s">
        <v>5944</v>
      </c>
      <c r="D17098" s="8">
        <v>3</v>
      </c>
      <c r="E17098" s="8">
        <v>0</v>
      </c>
      <c r="F17098" s="8">
        <v>68</v>
      </c>
    </row>
    <row r="17099" spans="1:6" ht="12.75">
      <c r="A17099" s="8">
        <v>43897.015659722223</v>
      </c>
      <c r="B17099" s="8" t="str">
        <f>HYPERLINK("https://twitter.com/ISIS_Balik_NO","@ISIS_Balik_NO")</f>
        <v>@ISIS_Balik_NO</v>
      </c>
      <c r="C17099" s="8" t="s">
        <v>6917</v>
      </c>
      <c r="D17099" s="8">
        <v>0</v>
      </c>
      <c r="E17099" s="8">
        <v>1</v>
      </c>
      <c r="F17099" s="8">
        <v>6132</v>
      </c>
    </row>
    <row r="17100" spans="1:6" ht="12.75">
      <c r="A17100" s="8">
        <v>43897.015219907407</v>
      </c>
      <c r="B17100" s="8" t="str">
        <f>HYPERLINK("https://twitter.com/Ndewp1","@Ndewp1")</f>
        <v>@Ndewp1</v>
      </c>
      <c r="C17100" s="8" t="s">
        <v>3743</v>
      </c>
      <c r="D17100" s="8">
        <v>291</v>
      </c>
      <c r="E17100" s="8">
        <v>0</v>
      </c>
      <c r="F17100" s="8">
        <v>9</v>
      </c>
    </row>
    <row r="17101" spans="1:6" ht="12.75">
      <c r="A17101" s="8">
        <v>43897.015138888892</v>
      </c>
      <c r="B17101" s="8" t="str">
        <f>HYPERLINK("https://twitter.com/MasKam84849012","@MasKam84849012")</f>
        <v>@MasKam84849012</v>
      </c>
      <c r="C17101" s="8" t="s">
        <v>3743</v>
      </c>
      <c r="D17101" s="8">
        <v>291</v>
      </c>
      <c r="E17101" s="8">
        <v>0</v>
      </c>
      <c r="F17101" s="8">
        <v>5</v>
      </c>
    </row>
    <row r="17102" spans="1:6" ht="12.75">
      <c r="A17102" s="8">
        <v>43897.01498842593</v>
      </c>
      <c r="B17102" s="8" t="str">
        <f>HYPERLINK("https://twitter.com/Piping028","@Piping028")</f>
        <v>@Piping028</v>
      </c>
      <c r="C17102" s="8" t="s">
        <v>4818</v>
      </c>
      <c r="D17102" s="8">
        <v>89</v>
      </c>
      <c r="E17102" s="8">
        <v>0</v>
      </c>
      <c r="F17102" s="8">
        <v>8</v>
      </c>
    </row>
    <row r="17103" spans="1:6" ht="12.75">
      <c r="A17103" s="8">
        <v>43897.014317129629</v>
      </c>
      <c r="B17103" s="8" t="str">
        <f>HYPERLINK("https://twitter.com/Hamzah_Baudin","@Hamzah_Baudin")</f>
        <v>@Hamzah_Baudin</v>
      </c>
      <c r="C17103" s="8" t="s">
        <v>6916</v>
      </c>
      <c r="D17103" s="8">
        <v>8</v>
      </c>
      <c r="E17103" s="8">
        <v>0</v>
      </c>
      <c r="F17103" s="8">
        <v>3107</v>
      </c>
    </row>
    <row r="17104" spans="1:6" ht="12.75">
      <c r="A17104" s="8">
        <v>43897.01394675926</v>
      </c>
      <c r="B17104" s="8" t="str">
        <f>HYPERLINK("https://twitter.com/B31019","@B31019")</f>
        <v>@B31019</v>
      </c>
      <c r="C17104" s="8" t="s">
        <v>3743</v>
      </c>
      <c r="D17104" s="8">
        <v>291</v>
      </c>
      <c r="E17104" s="8">
        <v>0</v>
      </c>
      <c r="F17104" s="8">
        <v>12</v>
      </c>
    </row>
    <row r="17105" spans="1:6" ht="12.75">
      <c r="A17105" s="8">
        <v>43897.013611111106</v>
      </c>
      <c r="B17105" s="8" t="str">
        <f>HYPERLINK("https://twitter.com/ISIS_Balik_NO","@ISIS_Balik_NO")</f>
        <v>@ISIS_Balik_NO</v>
      </c>
      <c r="C17105" s="8" t="s">
        <v>6918</v>
      </c>
      <c r="D17105" s="8">
        <v>112</v>
      </c>
      <c r="E17105" s="8">
        <v>0</v>
      </c>
      <c r="F17105" s="8">
        <v>6132</v>
      </c>
    </row>
    <row r="17106" spans="1:6" ht="12.75">
      <c r="A17106" s="8">
        <v>43897.013553240744</v>
      </c>
      <c r="B17106" s="8" t="str">
        <f>HYPERLINK("https://twitter.com/matajalanraya","@matajalanraya")</f>
        <v>@matajalanraya</v>
      </c>
      <c r="C17106" s="8" t="s">
        <v>3743</v>
      </c>
      <c r="D17106" s="8">
        <v>291</v>
      </c>
      <c r="E17106" s="8">
        <v>0</v>
      </c>
      <c r="F17106" s="8">
        <v>527</v>
      </c>
    </row>
    <row r="17107" spans="1:6" ht="12.75">
      <c r="A17107" s="8">
        <v>43897.013148148151</v>
      </c>
      <c r="B17107" s="8" t="str">
        <f>HYPERLINK("https://twitter.com/diyaresta","@diyaresta")</f>
        <v>@diyaresta</v>
      </c>
      <c r="C17107" s="8" t="s">
        <v>3743</v>
      </c>
      <c r="D17107" s="8">
        <v>291</v>
      </c>
      <c r="E17107" s="8">
        <v>0</v>
      </c>
      <c r="F17107" s="8">
        <v>1138</v>
      </c>
    </row>
    <row r="17108" spans="1:6" ht="12.75">
      <c r="A17108" s="8">
        <v>43897.012372685189</v>
      </c>
      <c r="B17108" s="8" t="str">
        <f>HYPERLINK("https://twitter.com/AllSamnun","@AllSamnun")</f>
        <v>@AllSamnun</v>
      </c>
      <c r="C17108" s="8" t="s">
        <v>3743</v>
      </c>
      <c r="D17108" s="8">
        <v>291</v>
      </c>
      <c r="E17108" s="8">
        <v>0</v>
      </c>
      <c r="F17108" s="8">
        <v>869</v>
      </c>
    </row>
    <row r="17109" spans="1:6" ht="12.75">
      <c r="A17109" s="8">
        <v>43897.011793981481</v>
      </c>
      <c r="B17109" s="8" t="str">
        <f>HYPERLINK("https://twitter.com/FaizaMardz","@FaizaMardz")</f>
        <v>@FaizaMardz</v>
      </c>
      <c r="C17109" s="8" t="s">
        <v>6919</v>
      </c>
      <c r="D17109" s="8">
        <v>0</v>
      </c>
      <c r="E17109" s="8">
        <v>0</v>
      </c>
      <c r="F17109" s="8">
        <v>2890</v>
      </c>
    </row>
    <row r="17110" spans="1:6" ht="12.75">
      <c r="A17110" s="8">
        <v>43897.011099537034</v>
      </c>
      <c r="B17110" s="8" t="str">
        <f>HYPERLINK("https://twitter.com/ariyfebri1","@ariyfebri1")</f>
        <v>@ariyfebri1</v>
      </c>
      <c r="C17110" s="8" t="s">
        <v>6920</v>
      </c>
      <c r="D17110" s="8">
        <v>0</v>
      </c>
      <c r="E17110" s="8">
        <v>0</v>
      </c>
      <c r="F17110" s="8">
        <v>1135</v>
      </c>
    </row>
    <row r="17111" spans="1:6" ht="12.75">
      <c r="A17111" s="8">
        <v>43897.010219907403</v>
      </c>
      <c r="B17111" s="8" t="str">
        <f>HYPERLINK("https://twitter.com/fyethoughts","@fyethoughts")</f>
        <v>@fyethoughts</v>
      </c>
      <c r="C17111" s="8" t="s">
        <v>6921</v>
      </c>
      <c r="D17111" s="8">
        <v>0</v>
      </c>
      <c r="E17111" s="8">
        <v>0</v>
      </c>
      <c r="F17111" s="8">
        <v>254</v>
      </c>
    </row>
    <row r="17112" spans="1:6" ht="12.75">
      <c r="A17112" s="8">
        <v>43897.006736111114</v>
      </c>
      <c r="B17112" s="8" t="str">
        <f>HYPERLINK("https://twitter.com/RezaMrc786","@RezaMrc786")</f>
        <v>@RezaMrc786</v>
      </c>
      <c r="C17112" s="8" t="s">
        <v>6772</v>
      </c>
      <c r="D17112" s="8">
        <v>95</v>
      </c>
      <c r="E17112" s="8">
        <v>0</v>
      </c>
      <c r="F17112" s="8">
        <v>325</v>
      </c>
    </row>
    <row r="17113" spans="1:6" ht="12.75">
      <c r="A17113" s="8">
        <v>43897.006400462968</v>
      </c>
      <c r="B17113" s="8" t="str">
        <f>HYPERLINK("https://twitter.com/_wni_","@_wni_")</f>
        <v>@_wni_</v>
      </c>
      <c r="C17113" s="8" t="s">
        <v>6922</v>
      </c>
      <c r="D17113" s="8">
        <v>0</v>
      </c>
      <c r="E17113" s="8">
        <v>0</v>
      </c>
      <c r="F17113" s="8">
        <v>16</v>
      </c>
    </row>
    <row r="17114" spans="1:6" ht="12.75">
      <c r="A17114" s="8">
        <v>43897.00581018519</v>
      </c>
      <c r="B17114" s="8" t="str">
        <f>HYPERLINK("https://twitter.com/agung_faysm","@agung_faysm")</f>
        <v>@agung_faysm</v>
      </c>
      <c r="C17114" s="8" t="s">
        <v>3743</v>
      </c>
      <c r="D17114" s="8">
        <v>254</v>
      </c>
      <c r="E17114" s="8">
        <v>0</v>
      </c>
      <c r="F17114" s="8">
        <v>2498</v>
      </c>
    </row>
    <row r="17115" spans="1:6" ht="12.75">
      <c r="A17115" s="8">
        <v>43897.005740740744</v>
      </c>
      <c r="B17115" s="8" t="str">
        <f>HYPERLINK("https://twitter.com/idiantoijen","@idiantoijen")</f>
        <v>@idiantoijen</v>
      </c>
      <c r="C17115" s="8" t="s">
        <v>6923</v>
      </c>
      <c r="D17115" s="8">
        <v>0</v>
      </c>
      <c r="E17115" s="8">
        <v>0</v>
      </c>
      <c r="F17115" s="8">
        <v>40</v>
      </c>
    </row>
    <row r="17116" spans="1:6" ht="12.75">
      <c r="A17116" s="8">
        <v>43897.005555555559</v>
      </c>
      <c r="B17116" s="8" t="str">
        <f>HYPERLINK("https://twitter.com/FatiinS_L","@FatiinS_L")</f>
        <v>@FatiinS_L</v>
      </c>
      <c r="C17116" s="8" t="s">
        <v>6924</v>
      </c>
      <c r="D17116" s="8">
        <v>0</v>
      </c>
      <c r="E17116" s="8">
        <v>0</v>
      </c>
      <c r="F17116" s="8">
        <v>16421</v>
      </c>
    </row>
    <row r="17117" spans="1:6" ht="12.75">
      <c r="A17117" s="8">
        <v>43897.005312499998</v>
      </c>
      <c r="B17117" s="8" t="str">
        <f>HYPERLINK("https://twitter.com/anggerenggar","@anggerenggar")</f>
        <v>@anggerenggar</v>
      </c>
      <c r="C17117" s="8" t="s">
        <v>3743</v>
      </c>
      <c r="D17117" s="8">
        <v>254</v>
      </c>
      <c r="E17117" s="8">
        <v>0</v>
      </c>
      <c r="F17117" s="8">
        <v>65</v>
      </c>
    </row>
    <row r="17118" spans="1:6" ht="12.75">
      <c r="A17118" s="8">
        <v>43897.005023148144</v>
      </c>
      <c r="B17118" s="8" t="str">
        <f>HYPERLINK("https://twitter.com/Subadri20917452","@Subadri20917452")</f>
        <v>@Subadri20917452</v>
      </c>
      <c r="C17118" s="8" t="s">
        <v>6925</v>
      </c>
      <c r="D17118" s="8">
        <v>0</v>
      </c>
      <c r="E17118" s="8">
        <v>0</v>
      </c>
      <c r="F17118" s="8">
        <v>810</v>
      </c>
    </row>
    <row r="17119" spans="1:6" ht="12.75">
      <c r="A17119" s="8">
        <v>43897.004375000004</v>
      </c>
      <c r="B17119" s="8" t="str">
        <f>HYPERLINK("https://twitter.com/_wni_","@_wni_")</f>
        <v>@_wni_</v>
      </c>
      <c r="C17119" s="8" t="s">
        <v>6926</v>
      </c>
      <c r="D17119" s="8">
        <v>6653</v>
      </c>
      <c r="E17119" s="8">
        <v>0</v>
      </c>
      <c r="F17119" s="8">
        <v>16</v>
      </c>
    </row>
    <row r="17120" spans="1:6" ht="12.75">
      <c r="A17120" s="8">
        <v>43897.004224537042</v>
      </c>
      <c r="B17120" s="8" t="str">
        <f>HYPERLINK("https://twitter.com/Mz_Berlian","@Mz_Berlian")</f>
        <v>@Mz_Berlian</v>
      </c>
      <c r="C17120" s="8" t="s">
        <v>3743</v>
      </c>
      <c r="D17120" s="8">
        <v>254</v>
      </c>
      <c r="E17120" s="8">
        <v>0</v>
      </c>
      <c r="F17120" s="8">
        <v>2293</v>
      </c>
    </row>
    <row r="17121" spans="1:6" ht="12.75">
      <c r="A17121" s="8">
        <v>43897.003495370373</v>
      </c>
      <c r="B17121" s="8" t="str">
        <f>HYPERLINK("https://twitter.com/A12ia_zero","@A12ia_zero")</f>
        <v>@A12ia_zero</v>
      </c>
      <c r="C17121" s="8" t="s">
        <v>3743</v>
      </c>
      <c r="D17121" s="8">
        <v>254</v>
      </c>
      <c r="E17121" s="8">
        <v>0</v>
      </c>
      <c r="F17121" s="8">
        <v>11</v>
      </c>
    </row>
    <row r="17122" spans="1:6" ht="12.75">
      <c r="A17122" s="8">
        <v>43897.00335648148</v>
      </c>
      <c r="B17122" s="8" t="str">
        <f>HYPERLINK("https://twitter.com/KunReza","@KunReza")</f>
        <v>@KunReza</v>
      </c>
      <c r="C17122" s="8" t="s">
        <v>3743</v>
      </c>
      <c r="D17122" s="8">
        <v>254</v>
      </c>
      <c r="E17122" s="8">
        <v>0</v>
      </c>
      <c r="F17122" s="8">
        <v>179</v>
      </c>
    </row>
    <row r="17123" spans="1:6" ht="12.75">
      <c r="A17123" s="8">
        <v>43897.002893518518</v>
      </c>
      <c r="B17123" s="8" t="str">
        <f>HYPERLINK("https://twitter.com/jr_kw19","@jr_kw19")</f>
        <v>@jr_kw19</v>
      </c>
      <c r="C17123" s="8" t="s">
        <v>4818</v>
      </c>
      <c r="D17123" s="8">
        <v>75</v>
      </c>
      <c r="E17123" s="8">
        <v>0</v>
      </c>
      <c r="F17123" s="8">
        <v>41424</v>
      </c>
    </row>
    <row r="17124" spans="1:6" ht="12.75">
      <c r="A17124" s="8">
        <v>43897.002696759257</v>
      </c>
      <c r="B17124" s="8" t="str">
        <f>HYPERLINK("https://twitter.com/05panji2","@05panji2")</f>
        <v>@05panji2</v>
      </c>
      <c r="C17124" s="8" t="s">
        <v>4818</v>
      </c>
      <c r="D17124" s="8">
        <v>75</v>
      </c>
      <c r="E17124" s="8">
        <v>0</v>
      </c>
      <c r="F17124" s="8">
        <v>438</v>
      </c>
    </row>
    <row r="17125" spans="1:6" ht="12.75">
      <c r="A17125" s="8">
        <v>43897.002453703702</v>
      </c>
      <c r="B17125" s="8" t="str">
        <f>HYPERLINK("https://twitter.com/nius77","@nius77")</f>
        <v>@nius77</v>
      </c>
      <c r="C17125" s="8" t="s">
        <v>4818</v>
      </c>
      <c r="D17125" s="8">
        <v>75</v>
      </c>
      <c r="E17125" s="8">
        <v>0</v>
      </c>
      <c r="F17125" s="8">
        <v>3379</v>
      </c>
    </row>
    <row r="17126" spans="1:6" ht="12.75">
      <c r="A17126" s="8">
        <v>43897.002187499995</v>
      </c>
      <c r="B17126" s="8" t="str">
        <f>HYPERLINK("https://twitter.com/misscasiolrmy","@misscasiolrmy")</f>
        <v>@misscasiolrmy</v>
      </c>
      <c r="C17126" s="8" t="s">
        <v>4004</v>
      </c>
      <c r="D17126" s="8">
        <v>1</v>
      </c>
      <c r="E17126" s="8">
        <v>0</v>
      </c>
      <c r="F17126" s="8">
        <v>869</v>
      </c>
    </row>
    <row r="17127" spans="1:6" ht="12.75">
      <c r="A17127" s="8">
        <v>43897.002141203702</v>
      </c>
      <c r="B17127" s="8" t="str">
        <f>HYPERLINK("https://twitter.com/Kang_Djawir","@Kang_Djawir")</f>
        <v>@Kang_Djawir</v>
      </c>
      <c r="C17127" s="8" t="s">
        <v>3743</v>
      </c>
      <c r="D17127" s="8">
        <v>254</v>
      </c>
      <c r="E17127" s="8">
        <v>0</v>
      </c>
      <c r="F17127" s="8">
        <v>934</v>
      </c>
    </row>
    <row r="17128" spans="1:6" ht="12.75">
      <c r="A17128" s="8">
        <v>43897.001030092593</v>
      </c>
      <c r="B17128" s="8" t="str">
        <f>HYPERLINK("https://twitter.com/msipang08","@msipang08")</f>
        <v>@msipang08</v>
      </c>
      <c r="C17128" s="8" t="s">
        <v>3743</v>
      </c>
      <c r="D17128" s="8">
        <v>254</v>
      </c>
      <c r="E17128" s="8">
        <v>0</v>
      </c>
      <c r="F17128" s="8">
        <v>155</v>
      </c>
    </row>
    <row r="17129" spans="1:6" ht="12.75">
      <c r="A17129" s="8">
        <v>43897.000937500001</v>
      </c>
      <c r="B17129" s="8" t="str">
        <f>HYPERLINK("https://twitter.com/_wni_","@_wni_")</f>
        <v>@_wni_</v>
      </c>
      <c r="C17129" s="8" t="s">
        <v>6927</v>
      </c>
      <c r="D17129" s="8">
        <v>0</v>
      </c>
      <c r="E17129" s="8">
        <v>0</v>
      </c>
      <c r="F17129" s="8">
        <v>16</v>
      </c>
    </row>
    <row r="17130" spans="1:6" ht="12.75">
      <c r="A17130" s="8">
        <v>43897.00063657407</v>
      </c>
      <c r="B17130" s="8" t="str">
        <f>HYPERLINK("https://twitter.com/AnakKolong___","@AnakKolong___")</f>
        <v>@AnakKolong___</v>
      </c>
      <c r="C17130" s="8" t="s">
        <v>6928</v>
      </c>
      <c r="D17130" s="8">
        <v>1</v>
      </c>
      <c r="E17130" s="8">
        <v>0</v>
      </c>
      <c r="F17130" s="8">
        <v>7946</v>
      </c>
    </row>
    <row r="17131" spans="1:6" ht="12.75">
      <c r="A17131" s="8">
        <v>43897.000543981485</v>
      </c>
      <c r="B17131" s="8" t="str">
        <f>HYPERLINK("https://twitter.com/bangtoyib002","@bangtoyib002")</f>
        <v>@bangtoyib002</v>
      </c>
      <c r="C17131" s="8" t="s">
        <v>3743</v>
      </c>
      <c r="D17131" s="8">
        <v>254</v>
      </c>
      <c r="E17131" s="8">
        <v>0</v>
      </c>
      <c r="F17131" s="8">
        <v>835</v>
      </c>
    </row>
    <row r="17132" spans="1:6" ht="12.75">
      <c r="A17132" s="8">
        <v>43896.999930555554</v>
      </c>
      <c r="B17132" s="8" t="str">
        <f>HYPERLINK("https://twitter.com/_wni_","@_wni_")</f>
        <v>@_wni_</v>
      </c>
      <c r="C17132" s="8" t="s">
        <v>6929</v>
      </c>
      <c r="D17132" s="8">
        <v>0</v>
      </c>
      <c r="E17132" s="8">
        <v>0</v>
      </c>
      <c r="F17132" s="8">
        <v>16</v>
      </c>
    </row>
    <row r="17133" spans="1:6" ht="12.75">
      <c r="A17133" s="8">
        <v>43896.998726851853</v>
      </c>
      <c r="B17133" s="8" t="str">
        <f>HYPERLINK("https://twitter.com/Bamin_Achmad","@Bamin_Achmad")</f>
        <v>@Bamin_Achmad</v>
      </c>
      <c r="C17133" s="8" t="s">
        <v>5103</v>
      </c>
      <c r="D17133" s="8">
        <v>147</v>
      </c>
      <c r="E17133" s="8">
        <v>0</v>
      </c>
      <c r="F17133" s="8">
        <v>2872</v>
      </c>
    </row>
    <row r="17134" spans="1:6" ht="12.75">
      <c r="A17134" s="8">
        <v>43896.998703703706</v>
      </c>
      <c r="B17134" s="8" t="str">
        <f>HYPERLINK("https://twitter.com/Delta_tofu","@Delta_tofu")</f>
        <v>@Delta_tofu</v>
      </c>
      <c r="C17134" s="8" t="s">
        <v>6128</v>
      </c>
      <c r="D17134" s="8">
        <v>20</v>
      </c>
      <c r="E17134" s="8">
        <v>0</v>
      </c>
      <c r="F17134" s="8">
        <v>603</v>
      </c>
    </row>
    <row r="17135" spans="1:6" ht="12.75">
      <c r="A17135" s="8">
        <v>43896.998611111107</v>
      </c>
      <c r="B17135" s="8" t="str">
        <f>HYPERLINK("https://twitter.com/rqlabigail","@rqlabigail")</f>
        <v>@rqlabigail</v>
      </c>
      <c r="C17135" s="8" t="s">
        <v>6930</v>
      </c>
      <c r="D17135" s="8">
        <v>0</v>
      </c>
      <c r="E17135" s="8">
        <v>0</v>
      </c>
      <c r="F17135" s="8">
        <v>5</v>
      </c>
    </row>
    <row r="17136" spans="1:6" ht="12.75">
      <c r="A17136" s="8">
        <v>43896.998437499999</v>
      </c>
      <c r="B17136" s="8" t="str">
        <f>HYPERLINK("https://twitter.com/akmalmursid1","@akmalmursid1")</f>
        <v>@akmalmursid1</v>
      </c>
      <c r="C17136" s="8" t="s">
        <v>3213</v>
      </c>
      <c r="D17136" s="8">
        <v>112</v>
      </c>
      <c r="E17136" s="8">
        <v>0</v>
      </c>
      <c r="F17136" s="8">
        <v>82</v>
      </c>
    </row>
    <row r="17137" spans="1:6" ht="12.75">
      <c r="A17137" s="8">
        <v>43896.998287037037</v>
      </c>
      <c r="B17137" s="8" t="str">
        <f>HYPERLINK("https://twitter.com/Bennytakengon","@Bennytakengon")</f>
        <v>@Bennytakengon</v>
      </c>
      <c r="C17137" s="8" t="s">
        <v>6931</v>
      </c>
      <c r="D17137" s="8">
        <v>0</v>
      </c>
      <c r="E17137" s="8">
        <v>0</v>
      </c>
      <c r="F17137" s="8">
        <v>240</v>
      </c>
    </row>
    <row r="17138" spans="1:6" ht="12.75">
      <c r="A17138" s="8">
        <v>43896.998206018514</v>
      </c>
      <c r="B17138" s="8" t="str">
        <f>HYPERLINK("https://twitter.com/Cakdoel26938427","@Cakdoel26938427")</f>
        <v>@Cakdoel26938427</v>
      </c>
      <c r="C17138" s="8" t="s">
        <v>3743</v>
      </c>
      <c r="D17138" s="8">
        <v>254</v>
      </c>
      <c r="E17138" s="8">
        <v>0</v>
      </c>
      <c r="F17138" s="8">
        <v>5</v>
      </c>
    </row>
    <row r="17139" spans="1:6" ht="12.75">
      <c r="A17139" s="8">
        <v>43896.998182870375</v>
      </c>
      <c r="B17139" s="8" t="str">
        <f>HYPERLINK("https://twitter.com/threadreaderapp","@threadreaderapp")</f>
        <v>@threadreaderapp</v>
      </c>
      <c r="C17139" s="8" t="s">
        <v>6932</v>
      </c>
      <c r="D17139" s="8">
        <v>0</v>
      </c>
      <c r="E17139" s="8">
        <v>0</v>
      </c>
      <c r="F17139" s="8">
        <v>257975</v>
      </c>
    </row>
    <row r="17140" spans="1:6" ht="12.75">
      <c r="A17140" s="8">
        <v>43896.99732638889</v>
      </c>
      <c r="B17140" s="8" t="str">
        <f>HYPERLINK("https://twitter.com/OANTIMOR6","@OANTIMOR6")</f>
        <v>@OANTIMOR6</v>
      </c>
      <c r="C17140" s="8" t="s">
        <v>6933</v>
      </c>
      <c r="D17140" s="8">
        <v>0</v>
      </c>
      <c r="E17140" s="8">
        <v>0</v>
      </c>
      <c r="F17140" s="8">
        <v>41</v>
      </c>
    </row>
    <row r="17141" spans="1:6" ht="12.75">
      <c r="A17141" s="8">
        <v>43896.99690972222</v>
      </c>
      <c r="B17141" s="8" t="str">
        <f>HYPERLINK("https://twitter.com/Masbotak9","@Masbotak9")</f>
        <v>@Masbotak9</v>
      </c>
      <c r="C17141" s="8" t="s">
        <v>6934</v>
      </c>
      <c r="D17141" s="8">
        <v>1</v>
      </c>
      <c r="E17141" s="8">
        <v>1</v>
      </c>
      <c r="F17141" s="8">
        <v>439</v>
      </c>
    </row>
    <row r="17142" spans="1:6" ht="12.75">
      <c r="A17142" s="8">
        <v>43896.996736111112</v>
      </c>
      <c r="B17142" s="8" t="str">
        <f>HYPERLINK("https://twitter.com/Guse43935882","@Guse43935882")</f>
        <v>@Guse43935882</v>
      </c>
      <c r="C17142" s="8" t="s">
        <v>6128</v>
      </c>
      <c r="D17142" s="8">
        <v>20</v>
      </c>
      <c r="E17142" s="8">
        <v>0</v>
      </c>
      <c r="F17142" s="8">
        <v>13</v>
      </c>
    </row>
    <row r="17143" spans="1:6" ht="12.75">
      <c r="A17143" s="8">
        <v>43896.996608796297</v>
      </c>
      <c r="B17143" s="8" t="str">
        <f>HYPERLINK("https://twitter.com/ztw868992","@ztw868992")</f>
        <v>@ztw868992</v>
      </c>
      <c r="C17143" s="8" t="s">
        <v>5103</v>
      </c>
      <c r="D17143" s="8">
        <v>147</v>
      </c>
      <c r="E17143" s="8">
        <v>0</v>
      </c>
      <c r="F17143" s="8">
        <v>3773</v>
      </c>
    </row>
    <row r="17144" spans="1:6" ht="12.75">
      <c r="A17144" s="8">
        <v>43896.996145833335</v>
      </c>
      <c r="B17144" s="8" t="str">
        <f>HYPERLINK("https://twitter.com/Rooster78B","@Rooster78B")</f>
        <v>@Rooster78B</v>
      </c>
      <c r="C17144" s="8" t="s">
        <v>3743</v>
      </c>
      <c r="D17144" s="8">
        <v>254</v>
      </c>
      <c r="E17144" s="8">
        <v>0</v>
      </c>
      <c r="F17144" s="8">
        <v>1622</v>
      </c>
    </row>
    <row r="17145" spans="1:6" ht="12.75">
      <c r="A17145" s="8">
        <v>43896.996018518519</v>
      </c>
      <c r="B17145" s="8" t="str">
        <f>HYPERLINK("https://twitter.com/pipin_puri","@pipin_puri")</f>
        <v>@pipin_puri</v>
      </c>
      <c r="C17145" s="8" t="s">
        <v>5103</v>
      </c>
      <c r="D17145" s="8">
        <v>147</v>
      </c>
      <c r="E17145" s="8">
        <v>0</v>
      </c>
      <c r="F17145" s="8">
        <v>601</v>
      </c>
    </row>
    <row r="17146" spans="1:6" ht="12.75">
      <c r="A17146" s="8">
        <v>43896.995219907403</v>
      </c>
      <c r="B17146" s="8" t="str">
        <f>HYPERLINK("https://twitter.com/coolshah12345","@coolshah12345")</f>
        <v>@coolshah12345</v>
      </c>
      <c r="C17146" s="8" t="s">
        <v>6935</v>
      </c>
      <c r="D17146" s="8">
        <v>0</v>
      </c>
      <c r="E17146" s="8">
        <v>0</v>
      </c>
      <c r="F17146" s="8">
        <v>115</v>
      </c>
    </row>
    <row r="17147" spans="1:6" ht="12.75">
      <c r="A17147" s="8">
        <v>43896.994780092587</v>
      </c>
      <c r="B17147" s="8" t="str">
        <f>HYPERLINK("https://twitter.com/Muhamadhatta_s","@Muhamadhatta_s")</f>
        <v>@Muhamadhatta_s</v>
      </c>
      <c r="C17147" s="8" t="s">
        <v>6936</v>
      </c>
      <c r="D17147" s="8">
        <v>0</v>
      </c>
      <c r="E17147" s="8">
        <v>0</v>
      </c>
      <c r="F17147" s="8">
        <v>49</v>
      </c>
    </row>
    <row r="17148" spans="1:6" ht="12.75">
      <c r="A17148" s="8">
        <v>43896.994733796295</v>
      </c>
      <c r="B17148" s="8" t="str">
        <f>HYPERLINK("https://twitter.com/pipin_puri","@pipin_puri")</f>
        <v>@pipin_puri</v>
      </c>
      <c r="C17148" s="8" t="s">
        <v>4818</v>
      </c>
      <c r="D17148" s="8">
        <v>75</v>
      </c>
      <c r="E17148" s="8">
        <v>0</v>
      </c>
      <c r="F17148" s="8">
        <v>601</v>
      </c>
    </row>
    <row r="17149" spans="1:6" ht="12.75">
      <c r="A17149" s="8">
        <v>43896.994351851856</v>
      </c>
      <c r="B17149" s="8" t="str">
        <f>HYPERLINK("https://twitter.com/BebasVisaID","@BebasVisaID")</f>
        <v>@BebasVisaID</v>
      </c>
      <c r="C17149" s="8" t="s">
        <v>6811</v>
      </c>
      <c r="D17149" s="8">
        <v>1</v>
      </c>
      <c r="E17149" s="8">
        <v>0</v>
      </c>
      <c r="F17149" s="8">
        <v>7929</v>
      </c>
    </row>
    <row r="17150" spans="1:6" ht="12.75">
      <c r="A17150" s="8">
        <v>43896.99423611111</v>
      </c>
      <c r="B17150" s="8" t="str">
        <f>HYPERLINK("https://twitter.com/ucis_Asroni","@ucis_Asroni")</f>
        <v>@ucis_Asroni</v>
      </c>
      <c r="C17150" s="8" t="s">
        <v>3743</v>
      </c>
      <c r="D17150" s="8">
        <v>254</v>
      </c>
      <c r="E17150" s="8">
        <v>0</v>
      </c>
      <c r="F17150" s="8">
        <v>123</v>
      </c>
    </row>
    <row r="17151" spans="1:6" ht="12.75">
      <c r="A17151" s="8">
        <v>43896.993449074071</v>
      </c>
      <c r="B17151" s="8" t="str">
        <f>HYPERLINK("https://twitter.com/Susanto13895819","@Susanto13895819")</f>
        <v>@Susanto13895819</v>
      </c>
      <c r="C17151" s="8" t="s">
        <v>4818</v>
      </c>
      <c r="D17151" s="8">
        <v>75</v>
      </c>
      <c r="E17151" s="8">
        <v>0</v>
      </c>
      <c r="F17151" s="8">
        <v>667</v>
      </c>
    </row>
    <row r="17152" spans="1:6" ht="12.75">
      <c r="A17152" s="8">
        <v>43896.99282407407</v>
      </c>
      <c r="B17152" s="8" t="str">
        <f>HYPERLINK("https://twitter.com/gowestmor","@gowestmor")</f>
        <v>@gowestmor</v>
      </c>
      <c r="C17152" s="8" t="s">
        <v>4818</v>
      </c>
      <c r="D17152" s="8">
        <v>75</v>
      </c>
      <c r="E17152" s="8">
        <v>0</v>
      </c>
      <c r="F17152" s="8">
        <v>1586</v>
      </c>
    </row>
    <row r="17153" spans="1:6" ht="12.75">
      <c r="A17153" s="8">
        <v>43896.992615740739</v>
      </c>
      <c r="B17153" s="8" t="str">
        <f>HYPERLINK("https://twitter.com/SirSanndy","@SirSanndy")</f>
        <v>@SirSanndy</v>
      </c>
      <c r="C17153" s="8" t="s">
        <v>6873</v>
      </c>
      <c r="D17153" s="8">
        <v>4</v>
      </c>
      <c r="E17153" s="8">
        <v>0</v>
      </c>
      <c r="F17153" s="8">
        <v>609</v>
      </c>
    </row>
    <row r="17154" spans="1:6" ht="12.75">
      <c r="A17154" s="8">
        <v>43896.992534722223</v>
      </c>
      <c r="B17154" s="8" t="str">
        <f>HYPERLINK("https://twitter.com/A_Syaifudin67","@A_Syaifudin67")</f>
        <v>@A_Syaifudin67</v>
      </c>
      <c r="C17154" s="8" t="s">
        <v>6937</v>
      </c>
      <c r="D17154" s="8">
        <v>3</v>
      </c>
      <c r="E17154" s="8">
        <v>0</v>
      </c>
      <c r="F17154" s="8">
        <v>117</v>
      </c>
    </row>
    <row r="17155" spans="1:6" ht="12.75">
      <c r="A17155" s="8">
        <v>43896.99217592593</v>
      </c>
      <c r="B17155" s="8" t="str">
        <f>HYPERLINK("https://twitter.com/powerkeel","@powerkeel")</f>
        <v>@powerkeel</v>
      </c>
      <c r="C17155" s="8" t="s">
        <v>6938</v>
      </c>
      <c r="D17155" s="8">
        <v>0</v>
      </c>
      <c r="E17155" s="8">
        <v>0</v>
      </c>
      <c r="F17155" s="8">
        <v>3</v>
      </c>
    </row>
    <row r="17156" spans="1:6" ht="12.75">
      <c r="A17156" s="8">
        <v>43896.991886574076</v>
      </c>
      <c r="B17156" s="8" t="str">
        <f>HYPERLINK("https://twitter.com/AndiIrwandi19","@AndiIrwandi19")</f>
        <v>@AndiIrwandi19</v>
      </c>
      <c r="C17156" s="8" t="s">
        <v>3743</v>
      </c>
      <c r="D17156" s="8">
        <v>254</v>
      </c>
      <c r="E17156" s="8">
        <v>0</v>
      </c>
      <c r="F17156" s="8">
        <v>9</v>
      </c>
    </row>
    <row r="17157" spans="1:6" ht="12.75">
      <c r="A17157" s="8">
        <v>43896.991770833338</v>
      </c>
      <c r="B17157" s="8" t="str">
        <f>HYPERLINK("https://twitter.com/LathifHakim","@LathifHakim")</f>
        <v>@LathifHakim</v>
      </c>
      <c r="C17157" s="8" t="s">
        <v>3743</v>
      </c>
      <c r="D17157" s="8">
        <v>254</v>
      </c>
      <c r="E17157" s="8">
        <v>0</v>
      </c>
      <c r="F17157" s="8">
        <v>1</v>
      </c>
    </row>
    <row r="17158" spans="1:6" ht="12.75">
      <c r="A17158" s="8">
        <v>43896.990925925929</v>
      </c>
      <c r="B17158" s="8" t="str">
        <f>HYPERLINK("https://twitter.com/BerlandGroup","@BerlandGroup")</f>
        <v>@BerlandGroup</v>
      </c>
      <c r="C17158" s="8" t="s">
        <v>4818</v>
      </c>
      <c r="D17158" s="8">
        <v>75</v>
      </c>
      <c r="E17158" s="8">
        <v>0</v>
      </c>
      <c r="F17158" s="8">
        <v>797</v>
      </c>
    </row>
    <row r="17159" spans="1:6" ht="12.75">
      <c r="A17159" s="8">
        <v>43896.990891203706</v>
      </c>
      <c r="B17159" s="8" t="str">
        <f>HYPERLINK("https://twitter.com/WongCerbon18","@WongCerbon18")</f>
        <v>@WongCerbon18</v>
      </c>
      <c r="C17159" s="8" t="s">
        <v>3743</v>
      </c>
      <c r="D17159" s="8">
        <v>254</v>
      </c>
      <c r="E17159" s="8">
        <v>0</v>
      </c>
      <c r="F17159" s="8">
        <v>52</v>
      </c>
    </row>
    <row r="17160" spans="1:6" ht="12.75">
      <c r="A17160" s="8">
        <v>43896.989571759259</v>
      </c>
      <c r="B17160" s="8" t="str">
        <f>HYPERLINK("https://twitter.com/pahlevi_rezaa","@pahlevi_rezaa")</f>
        <v>@pahlevi_rezaa</v>
      </c>
      <c r="C17160" s="8" t="s">
        <v>3743</v>
      </c>
      <c r="D17160" s="8">
        <v>254</v>
      </c>
      <c r="E17160" s="8">
        <v>0</v>
      </c>
      <c r="F17160" s="8">
        <v>88</v>
      </c>
    </row>
    <row r="17161" spans="1:6" ht="12.75">
      <c r="A17161" s="8">
        <v>43896.989305555559</v>
      </c>
      <c r="B17161" s="8" t="str">
        <f>HYPERLINK("https://twitter.com/albertusaditya","@albertusaditya")</f>
        <v>@albertusaditya</v>
      </c>
      <c r="C17161" s="8" t="s">
        <v>3213</v>
      </c>
      <c r="D17161" s="8">
        <v>112</v>
      </c>
      <c r="E17161" s="8">
        <v>0</v>
      </c>
      <c r="F17161" s="8">
        <v>212</v>
      </c>
    </row>
    <row r="17162" spans="1:6" ht="12.75">
      <c r="A17162" s="8">
        <v>43896.988877314812</v>
      </c>
      <c r="B17162" s="8" t="str">
        <f>HYPERLINK("https://twitter.com/J3ffry_","@J3ffry_")</f>
        <v>@J3ffry_</v>
      </c>
      <c r="C17162" s="8" t="s">
        <v>3213</v>
      </c>
      <c r="D17162" s="8">
        <v>112</v>
      </c>
      <c r="E17162" s="8">
        <v>0</v>
      </c>
      <c r="F17162" s="8">
        <v>999</v>
      </c>
    </row>
    <row r="17163" spans="1:6" ht="12.75">
      <c r="A17163" s="8">
        <v>43896.988854166666</v>
      </c>
      <c r="B17163" s="8" t="str">
        <f>HYPERLINK("https://twitter.com/MTorvald","@MTorvald")</f>
        <v>@MTorvald</v>
      </c>
      <c r="C17163" s="8" t="s">
        <v>3743</v>
      </c>
      <c r="D17163" s="8">
        <v>254</v>
      </c>
      <c r="E17163" s="8">
        <v>0</v>
      </c>
      <c r="F17163" s="8">
        <v>1561</v>
      </c>
    </row>
    <row r="17164" spans="1:6" ht="12.75">
      <c r="A17164" s="8">
        <v>43896.988761574074</v>
      </c>
      <c r="B17164" s="8" t="str">
        <f>HYPERLINK("https://twitter.com/8ab2cad1a73d4fe","@8ab2cad1a73d4fe")</f>
        <v>@8ab2cad1a73d4fe</v>
      </c>
      <c r="C17164" s="8" t="s">
        <v>3743</v>
      </c>
      <c r="D17164" s="8">
        <v>254</v>
      </c>
      <c r="E17164" s="8">
        <v>0</v>
      </c>
      <c r="F17164" s="8">
        <v>468</v>
      </c>
    </row>
    <row r="17165" spans="1:6" ht="12.75">
      <c r="A17165" s="8">
        <v>43896.988761574074</v>
      </c>
      <c r="B17165" s="8" t="str">
        <f>HYPERLINK("https://twitter.com/RBagas_Hapsoro","@RBagas_Hapsoro")</f>
        <v>@RBagas_Hapsoro</v>
      </c>
      <c r="C17165" s="8" t="s">
        <v>2116</v>
      </c>
      <c r="D17165" s="8">
        <v>44</v>
      </c>
      <c r="E17165" s="8">
        <v>0</v>
      </c>
      <c r="F17165" s="8">
        <v>58</v>
      </c>
    </row>
    <row r="17166" spans="1:6" ht="12.75">
      <c r="A17166" s="8">
        <v>43896.988229166665</v>
      </c>
      <c r="B17166" s="8" t="str">
        <f>HYPERLINK("https://twitter.com/shodikanbinnurh","@shodikanbinnurh")</f>
        <v>@shodikanbinnurh</v>
      </c>
      <c r="C17166" s="8" t="s">
        <v>3743</v>
      </c>
      <c r="D17166" s="8">
        <v>254</v>
      </c>
      <c r="E17166" s="8">
        <v>0</v>
      </c>
      <c r="F17166" s="8">
        <v>107</v>
      </c>
    </row>
    <row r="17167" spans="1:6" ht="12.75">
      <c r="A17167" s="8">
        <v>43896.988182870366</v>
      </c>
      <c r="B17167" s="8" t="str">
        <f>HYPERLINK("https://twitter.com/ellise3107","@ellise3107")</f>
        <v>@ellise3107</v>
      </c>
      <c r="C17167" s="8" t="s">
        <v>3213</v>
      </c>
      <c r="D17167" s="8">
        <v>112</v>
      </c>
      <c r="E17167" s="8">
        <v>0</v>
      </c>
      <c r="F17167" s="8">
        <v>131</v>
      </c>
    </row>
    <row r="17168" spans="1:6" ht="12.75">
      <c r="A17168" s="8">
        <v>43896.987743055557</v>
      </c>
      <c r="B17168" s="8" t="str">
        <f>HYPERLINK("https://twitter.com/Delta_tofu","@Delta_tofu")</f>
        <v>@Delta_tofu</v>
      </c>
      <c r="C17168" s="8" t="s">
        <v>3743</v>
      </c>
      <c r="D17168" s="8">
        <v>254</v>
      </c>
      <c r="E17168" s="8">
        <v>0</v>
      </c>
      <c r="F17168" s="8">
        <v>603</v>
      </c>
    </row>
    <row r="17169" spans="1:6" ht="12.75">
      <c r="A17169" s="8">
        <v>43896.987604166672</v>
      </c>
      <c r="B17169" s="8" t="str">
        <f>HYPERLINK("https://twitter.com/akhnauf","@akhnauf")</f>
        <v>@akhnauf</v>
      </c>
      <c r="C17169" s="8" t="s">
        <v>2116</v>
      </c>
      <c r="D17169" s="8">
        <v>44</v>
      </c>
      <c r="E17169" s="8">
        <v>0</v>
      </c>
      <c r="F17169" s="8">
        <v>314</v>
      </c>
    </row>
    <row r="17170" spans="1:6" ht="12.75">
      <c r="A17170" s="8">
        <v>43896.987199074079</v>
      </c>
      <c r="B17170" s="8" t="str">
        <f>HYPERLINK("https://twitter.com/lukisaepul","@lukisaepul")</f>
        <v>@lukisaepul</v>
      </c>
      <c r="C17170" s="8" t="s">
        <v>3213</v>
      </c>
      <c r="D17170" s="8">
        <v>112</v>
      </c>
      <c r="E17170" s="8">
        <v>0</v>
      </c>
      <c r="F17170" s="8">
        <v>791</v>
      </c>
    </row>
    <row r="17171" spans="1:6" ht="12.75">
      <c r="A17171" s="8">
        <v>43896.986817129626</v>
      </c>
      <c r="B17171" s="8" t="str">
        <f>HYPERLINK("https://twitter.com/Troeff1","@Troeff1")</f>
        <v>@Troeff1</v>
      </c>
      <c r="C17171" s="8" t="s">
        <v>3743</v>
      </c>
      <c r="D17171" s="8">
        <v>254</v>
      </c>
      <c r="E17171" s="8">
        <v>0</v>
      </c>
      <c r="F17171" s="8">
        <v>20</v>
      </c>
    </row>
    <row r="17172" spans="1:6" ht="12.75">
      <c r="A17172" s="8">
        <v>43896.986724537041</v>
      </c>
      <c r="B17172" s="8" t="str">
        <f>HYPERLINK("https://twitter.com/FerryM1","@FerryM1")</f>
        <v>@FerryM1</v>
      </c>
      <c r="C17172" s="8" t="s">
        <v>4818</v>
      </c>
      <c r="D17172" s="8">
        <v>75</v>
      </c>
      <c r="E17172" s="8">
        <v>0</v>
      </c>
      <c r="F17172" s="8">
        <v>2324</v>
      </c>
    </row>
    <row r="17173" spans="1:6" ht="12.75">
      <c r="A17173" s="8">
        <v>43896.986550925925</v>
      </c>
      <c r="B17173" s="8" t="str">
        <f>HYPERLINK("https://twitter.com/Kevin74779901","@Kevin74779901")</f>
        <v>@Kevin74779901</v>
      </c>
      <c r="C17173" s="8" t="s">
        <v>6939</v>
      </c>
      <c r="D17173" s="8">
        <v>4485</v>
      </c>
      <c r="E17173" s="8">
        <v>0</v>
      </c>
      <c r="F17173" s="8">
        <v>10</v>
      </c>
    </row>
    <row r="17174" spans="1:6" ht="12.75">
      <c r="A17174" s="8">
        <v>43896.98646990741</v>
      </c>
      <c r="B17174" s="8" t="str">
        <f>HYPERLINK("https://twitter.com/WanaGirie","@WanaGirie")</f>
        <v>@WanaGirie</v>
      </c>
      <c r="C17174" s="8" t="s">
        <v>4818</v>
      </c>
      <c r="D17174" s="8">
        <v>75</v>
      </c>
      <c r="E17174" s="8">
        <v>0</v>
      </c>
      <c r="F17174" s="8">
        <v>296</v>
      </c>
    </row>
    <row r="17175" spans="1:6" ht="12.75">
      <c r="A17175" s="8">
        <v>43896.986284722225</v>
      </c>
      <c r="B17175" s="8" t="str">
        <f>HYPERLINK("https://twitter.com/ErvineKiddies","@ErvineKiddies")</f>
        <v>@ErvineKiddies</v>
      </c>
      <c r="C17175" s="8" t="s">
        <v>6940</v>
      </c>
      <c r="D17175" s="8">
        <v>1</v>
      </c>
      <c r="E17175" s="8">
        <v>0</v>
      </c>
      <c r="F17175" s="8">
        <v>863</v>
      </c>
    </row>
    <row r="17176" spans="1:6" ht="12.75">
      <c r="A17176" s="8">
        <v>43896.986250000002</v>
      </c>
      <c r="B17176" s="8" t="str">
        <f>HYPERLINK("https://twitter.com/blantonk_24","@blantonk_24")</f>
        <v>@blantonk_24</v>
      </c>
      <c r="C17176" s="8" t="s">
        <v>6873</v>
      </c>
      <c r="D17176" s="8">
        <v>4</v>
      </c>
      <c r="E17176" s="8">
        <v>0</v>
      </c>
      <c r="F17176" s="8">
        <v>185</v>
      </c>
    </row>
    <row r="17177" spans="1:6" ht="12.75">
      <c r="A17177" s="8">
        <v>43896.986168981486</v>
      </c>
      <c r="B17177" s="8" t="str">
        <f>HYPERLINK("https://twitter.com/_wni_","@_wni_")</f>
        <v>@_wni_</v>
      </c>
      <c r="C17177" s="8" t="s">
        <v>6941</v>
      </c>
      <c r="D17177" s="8">
        <v>0</v>
      </c>
      <c r="E17177" s="8">
        <v>0</v>
      </c>
      <c r="F17177" s="8">
        <v>16</v>
      </c>
    </row>
    <row r="17178" spans="1:6" ht="12.75">
      <c r="A17178" s="8">
        <v>43896.986111111109</v>
      </c>
      <c r="B17178" s="8" t="str">
        <f>HYPERLINK("https://twitter.com/RyanMauladani","@RyanMauladani")</f>
        <v>@RyanMauladani</v>
      </c>
      <c r="C17178" s="8" t="s">
        <v>6873</v>
      </c>
      <c r="D17178" s="8">
        <v>4</v>
      </c>
      <c r="E17178" s="8">
        <v>0</v>
      </c>
      <c r="F17178" s="8">
        <v>307</v>
      </c>
    </row>
    <row r="17179" spans="1:6" ht="12.75">
      <c r="A17179" s="8">
        <v>43896.986041666663</v>
      </c>
      <c r="B17179" s="8" t="str">
        <f>HYPERLINK("https://twitter.com/_wni_","@_wni_")</f>
        <v>@_wni_</v>
      </c>
      <c r="C17179" s="8" t="s">
        <v>6942</v>
      </c>
      <c r="D17179" s="8">
        <v>0</v>
      </c>
      <c r="E17179" s="8">
        <v>0</v>
      </c>
      <c r="F17179" s="8">
        <v>16</v>
      </c>
    </row>
    <row r="17180" spans="1:6" ht="12.75">
      <c r="A17180" s="8">
        <v>43896.985960648148</v>
      </c>
      <c r="B17180" s="8" t="str">
        <f>HYPERLINK("https://twitter.com/doyokijay","@doyokijay")</f>
        <v>@doyokijay</v>
      </c>
      <c r="C17180" s="8" t="s">
        <v>3213</v>
      </c>
      <c r="D17180" s="8">
        <v>112</v>
      </c>
      <c r="E17180" s="8">
        <v>0</v>
      </c>
      <c r="F17180" s="8">
        <v>322</v>
      </c>
    </row>
    <row r="17181" spans="1:6" ht="12.75">
      <c r="A17181" s="8">
        <v>43896.985289351855</v>
      </c>
      <c r="B17181" s="8" t="str">
        <f>HYPERLINK("https://twitter.com/AdiMawa22441862","@AdiMawa22441862")</f>
        <v>@AdiMawa22441862</v>
      </c>
      <c r="C17181" s="8" t="s">
        <v>6943</v>
      </c>
      <c r="D17181" s="8">
        <v>1</v>
      </c>
      <c r="E17181" s="8">
        <v>2</v>
      </c>
      <c r="F17181" s="8">
        <v>195</v>
      </c>
    </row>
    <row r="17182" spans="1:6" ht="12.75">
      <c r="A17182" s="8">
        <v>43896.984571759254</v>
      </c>
      <c r="B17182" s="8" t="str">
        <f>HYPERLINK("https://twitter.com/cl0udyssey","@cl0udyssey")</f>
        <v>@cl0udyssey</v>
      </c>
      <c r="C17182" s="8" t="s">
        <v>6944</v>
      </c>
      <c r="D17182" s="8">
        <v>0</v>
      </c>
      <c r="E17182" s="8">
        <v>0</v>
      </c>
      <c r="F17182" s="8">
        <v>310</v>
      </c>
    </row>
    <row r="17183" spans="1:6" ht="12.75">
      <c r="A17183" s="8">
        <v>43896.983993055561</v>
      </c>
      <c r="B17183" s="8" t="str">
        <f>HYPERLINK("https://twitter.com/MTauhid56071672","@MTauhid56071672")</f>
        <v>@MTauhid56071672</v>
      </c>
      <c r="C17183" s="8" t="s">
        <v>3743</v>
      </c>
      <c r="D17183" s="8">
        <v>254</v>
      </c>
      <c r="E17183" s="8">
        <v>0</v>
      </c>
      <c r="F17183" s="8">
        <v>27</v>
      </c>
    </row>
    <row r="17184" spans="1:6" ht="12.75">
      <c r="A17184" s="8">
        <v>43896.983946759261</v>
      </c>
      <c r="B17184" s="8" t="str">
        <f>HYPERLINK("https://twitter.com/ridwanyangitu","@ridwanyangitu")</f>
        <v>@ridwanyangitu</v>
      </c>
      <c r="C17184" s="8" t="s">
        <v>3743</v>
      </c>
      <c r="D17184" s="8">
        <v>254</v>
      </c>
      <c r="E17184" s="8">
        <v>0</v>
      </c>
      <c r="F17184" s="8">
        <v>462</v>
      </c>
    </row>
    <row r="17185" spans="1:6" ht="12.75">
      <c r="A17185" s="8">
        <v>43896.983472222222</v>
      </c>
      <c r="B17185" s="8" t="str">
        <f>HYPERLINK("https://twitter.com/Syambari","@Syambari")</f>
        <v>@Syambari</v>
      </c>
      <c r="C17185" s="8" t="s">
        <v>3743</v>
      </c>
      <c r="D17185" s="8">
        <v>254</v>
      </c>
      <c r="E17185" s="8">
        <v>0</v>
      </c>
      <c r="F17185" s="8">
        <v>1827</v>
      </c>
    </row>
    <row r="17186" spans="1:6" ht="12.75">
      <c r="A17186" s="8">
        <v>43896.983252314814</v>
      </c>
      <c r="B17186" s="8" t="str">
        <f>HYPERLINK("https://twitter.com/iNewsID","@iNewsID")</f>
        <v>@iNewsID</v>
      </c>
      <c r="C17186" s="8" t="s">
        <v>6945</v>
      </c>
      <c r="D17186" s="8">
        <v>0</v>
      </c>
      <c r="E17186" s="8">
        <v>0</v>
      </c>
      <c r="F17186" s="8">
        <v>1366</v>
      </c>
    </row>
    <row r="17187" spans="1:6" ht="12.75">
      <c r="A17187" s="8">
        <v>43896.982893518521</v>
      </c>
      <c r="B17187" s="8" t="str">
        <f>HYPERLINK("https://twitter.com/AlFatih68231928","@AlFatih68231928")</f>
        <v>@AlFatih68231928</v>
      </c>
      <c r="C17187" s="8" t="s">
        <v>3743</v>
      </c>
      <c r="D17187" s="8">
        <v>254</v>
      </c>
      <c r="E17187" s="8">
        <v>0</v>
      </c>
      <c r="F17187" s="8">
        <v>1056</v>
      </c>
    </row>
    <row r="17188" spans="1:6" ht="12.75">
      <c r="A17188" s="8">
        <v>43896.982418981483</v>
      </c>
      <c r="B17188" s="8" t="str">
        <f>HYPERLINK("https://twitter.com/JantoLatief3","@JantoLatief3")</f>
        <v>@JantoLatief3</v>
      </c>
      <c r="C17188" s="8" t="s">
        <v>5103</v>
      </c>
      <c r="D17188" s="8">
        <v>147</v>
      </c>
      <c r="E17188" s="8">
        <v>0</v>
      </c>
      <c r="F17188" s="8">
        <v>1657</v>
      </c>
    </row>
    <row r="17189" spans="1:6" ht="12.75">
      <c r="A17189" s="8">
        <v>43896.982175925921</v>
      </c>
      <c r="B17189" s="8" t="str">
        <f>HYPERLINK("https://twitter.com/InfidelsJerome","@InfidelsJerome")</f>
        <v>@InfidelsJerome</v>
      </c>
      <c r="C17189" s="8" t="s">
        <v>6946</v>
      </c>
      <c r="D17189" s="8">
        <v>0</v>
      </c>
      <c r="E17189" s="8">
        <v>0</v>
      </c>
      <c r="F17189" s="8">
        <v>173</v>
      </c>
    </row>
    <row r="17190" spans="1:6" ht="12.75">
      <c r="A17190" s="8">
        <v>43896.982129629629</v>
      </c>
      <c r="B17190" s="8" t="str">
        <f>HYPERLINK("https://twitter.com/levistrokes","@levistrokes")</f>
        <v>@levistrokes</v>
      </c>
      <c r="C17190" s="8" t="s">
        <v>3743</v>
      </c>
      <c r="D17190" s="8">
        <v>254</v>
      </c>
      <c r="E17190" s="8">
        <v>0</v>
      </c>
      <c r="F17190" s="8">
        <v>353</v>
      </c>
    </row>
    <row r="17191" spans="1:6" ht="12.75">
      <c r="A17191" s="8">
        <v>43896.982060185182</v>
      </c>
      <c r="B17191" s="8" t="str">
        <f>HYPERLINK("https://twitter.com/Lasupu_0472","@Lasupu_0472")</f>
        <v>@Lasupu_0472</v>
      </c>
      <c r="C17191" s="8" t="s">
        <v>3743</v>
      </c>
      <c r="D17191" s="8">
        <v>254</v>
      </c>
      <c r="E17191" s="8">
        <v>0</v>
      </c>
      <c r="F17191" s="8">
        <v>202</v>
      </c>
    </row>
    <row r="17192" spans="1:6" ht="12.75">
      <c r="A17192" s="8">
        <v>43896.981736111113</v>
      </c>
      <c r="B17192" s="8" t="str">
        <f>HYPERLINK("https://twitter.com/abadi_oy","@abadi_oy")</f>
        <v>@abadi_oy</v>
      </c>
      <c r="C17192" s="8" t="s">
        <v>3213</v>
      </c>
      <c r="D17192" s="8">
        <v>112</v>
      </c>
      <c r="E17192" s="8">
        <v>0</v>
      </c>
      <c r="F17192" s="8">
        <v>693</v>
      </c>
    </row>
    <row r="17193" spans="1:6" ht="12.75">
      <c r="A17193" s="8">
        <v>43896.981620370367</v>
      </c>
      <c r="B17193" s="8" t="str">
        <f>HYPERLINK("https://twitter.com/Erick_Lubis","@Erick_Lubis")</f>
        <v>@Erick_Lubis</v>
      </c>
      <c r="C17193" s="8" t="s">
        <v>3213</v>
      </c>
      <c r="D17193" s="8">
        <v>112</v>
      </c>
      <c r="E17193" s="8">
        <v>0</v>
      </c>
      <c r="F17193" s="8">
        <v>108</v>
      </c>
    </row>
    <row r="17194" spans="1:6" ht="12.75">
      <c r="A17194" s="8">
        <v>43896.980775462958</v>
      </c>
      <c r="B17194" s="8" t="str">
        <f>HYPERLINK("https://twitter.com/Pakdedy2","@Pakdedy2")</f>
        <v>@Pakdedy2</v>
      </c>
      <c r="C17194" s="8" t="s">
        <v>5662</v>
      </c>
      <c r="D17194" s="8">
        <v>29</v>
      </c>
      <c r="E17194" s="8">
        <v>0</v>
      </c>
      <c r="F17194" s="8">
        <v>277</v>
      </c>
    </row>
    <row r="17195" spans="1:6" ht="12.75">
      <c r="A17195" s="8">
        <v>43896.980717592596</v>
      </c>
      <c r="B17195" s="8" t="str">
        <f>HYPERLINK("https://twitter.com/MuraiRimbo","@MuraiRimbo")</f>
        <v>@MuraiRimbo</v>
      </c>
      <c r="C17195" s="8" t="s">
        <v>4818</v>
      </c>
      <c r="D17195" s="8">
        <v>75</v>
      </c>
      <c r="E17195" s="8">
        <v>0</v>
      </c>
      <c r="F17195" s="8">
        <v>1768</v>
      </c>
    </row>
    <row r="17196" spans="1:6" ht="12.75">
      <c r="A17196" s="8">
        <v>43896.980624999997</v>
      </c>
      <c r="B17196" s="8" t="str">
        <f>HYPERLINK("https://twitter.com/gunatthaphanda","@gunatthaphanda")</f>
        <v>@gunatthaphanda</v>
      </c>
      <c r="C17196" s="8" t="s">
        <v>6947</v>
      </c>
      <c r="D17196" s="8">
        <v>0</v>
      </c>
      <c r="E17196" s="8">
        <v>0</v>
      </c>
      <c r="F17196" s="8">
        <v>584</v>
      </c>
    </row>
    <row r="17197" spans="1:6" ht="12.75">
      <c r="A17197" s="8">
        <v>43896.980451388888</v>
      </c>
      <c r="B17197" s="8" t="str">
        <f>HYPERLINK("https://twitter.com/resyad_alby","@resyad_alby")</f>
        <v>@resyad_alby</v>
      </c>
      <c r="C17197" s="8" t="s">
        <v>3743</v>
      </c>
      <c r="D17197" s="8">
        <v>254</v>
      </c>
      <c r="E17197" s="8">
        <v>0</v>
      </c>
      <c r="F17197" s="8">
        <v>148</v>
      </c>
    </row>
    <row r="17198" spans="1:6" ht="12.75">
      <c r="A17198" s="8">
        <v>43896.980416666665</v>
      </c>
      <c r="B17198" s="8" t="str">
        <f>HYPERLINK("https://twitter.com/doyokijay","@doyokijay")</f>
        <v>@doyokijay</v>
      </c>
      <c r="C17198" s="8" t="s">
        <v>5103</v>
      </c>
      <c r="D17198" s="8">
        <v>147</v>
      </c>
      <c r="E17198" s="8">
        <v>0</v>
      </c>
      <c r="F17198" s="8">
        <v>322</v>
      </c>
    </row>
    <row r="17199" spans="1:6" ht="12.75">
      <c r="A17199" s="8">
        <v>43896.979687500003</v>
      </c>
      <c r="B17199" s="8" t="str">
        <f>HYPERLINK("https://twitter.com/EkaKirana19","@EkaKirana19")</f>
        <v>@EkaKirana19</v>
      </c>
      <c r="C17199" s="8" t="s">
        <v>6948</v>
      </c>
      <c r="D17199" s="8">
        <v>0</v>
      </c>
      <c r="E17199" s="8">
        <v>0</v>
      </c>
      <c r="F17199" s="8">
        <v>236</v>
      </c>
    </row>
    <row r="17200" spans="1:6" ht="12.75">
      <c r="A17200" s="8">
        <v>43896.979363425926</v>
      </c>
      <c r="B17200" s="8" t="str">
        <f>HYPERLINK("https://twitter.com/arsaanay","@arsaanay")</f>
        <v>@arsaanay</v>
      </c>
      <c r="C17200" s="8" t="s">
        <v>5103</v>
      </c>
      <c r="D17200" s="8">
        <v>147</v>
      </c>
      <c r="E17200" s="8">
        <v>0</v>
      </c>
      <c r="F17200" s="8">
        <v>802</v>
      </c>
    </row>
    <row r="17201" spans="1:6" ht="12.75">
      <c r="A17201" s="8">
        <v>43896.979363425926</v>
      </c>
      <c r="B17201" s="8" t="str">
        <f>HYPERLINK("https://twitter.com/ricosiswandi","@ricosiswandi")</f>
        <v>@ricosiswandi</v>
      </c>
      <c r="C17201" s="8" t="s">
        <v>3213</v>
      </c>
      <c r="D17201" s="8">
        <v>112</v>
      </c>
      <c r="E17201" s="8">
        <v>0</v>
      </c>
      <c r="F17201" s="8">
        <v>2534</v>
      </c>
    </row>
    <row r="17202" spans="1:6" ht="12.75">
      <c r="A17202" s="8">
        <v>43896.979097222225</v>
      </c>
      <c r="B17202" s="8" t="str">
        <f>HYPERLINK("https://twitter.com/adhityaaaaaIP","@adhityaaaaaIP")</f>
        <v>@adhityaaaaaIP</v>
      </c>
      <c r="C17202" s="8" t="s">
        <v>6949</v>
      </c>
      <c r="D17202" s="8">
        <v>0</v>
      </c>
      <c r="E17202" s="8">
        <v>2</v>
      </c>
      <c r="F17202" s="8">
        <v>326</v>
      </c>
    </row>
    <row r="17203" spans="1:6" ht="12.75">
      <c r="A17203" s="8">
        <v>43896.978935185187</v>
      </c>
      <c r="B17203" s="8" t="str">
        <f>HYPERLINK("https://twitter.com/BloklimaAnwar","@BloklimaAnwar")</f>
        <v>@BloklimaAnwar</v>
      </c>
      <c r="C17203" s="8" t="s">
        <v>3743</v>
      </c>
      <c r="D17203" s="8">
        <v>254</v>
      </c>
      <c r="E17203" s="8">
        <v>0</v>
      </c>
      <c r="F17203" s="8">
        <v>433</v>
      </c>
    </row>
    <row r="17204" spans="1:6" ht="12.75">
      <c r="A17204" s="8">
        <v>43896.978668981479</v>
      </c>
      <c r="B17204" s="8" t="str">
        <f>HYPERLINK("https://twitter.com/adi_fys","@adi_fys")</f>
        <v>@adi_fys</v>
      </c>
      <c r="C17204" s="8" t="s">
        <v>6568</v>
      </c>
      <c r="D17204" s="8">
        <v>1</v>
      </c>
      <c r="E17204" s="8">
        <v>0</v>
      </c>
      <c r="F17204" s="8">
        <v>60</v>
      </c>
    </row>
    <row r="17205" spans="1:6" ht="12.75">
      <c r="A17205" s="8">
        <v>43896.978321759263</v>
      </c>
      <c r="B17205" s="8" t="str">
        <f>HYPERLINK("https://twitter.com/choirulu7","@choirulu7")</f>
        <v>@choirulu7</v>
      </c>
      <c r="C17205" s="8" t="s">
        <v>3743</v>
      </c>
      <c r="D17205" s="8">
        <v>254</v>
      </c>
      <c r="E17205" s="8">
        <v>0</v>
      </c>
      <c r="F17205" s="8">
        <v>73</v>
      </c>
    </row>
    <row r="17206" spans="1:6" ht="12.75">
      <c r="A17206" s="8">
        <v>43896.978136574078</v>
      </c>
      <c r="B17206" s="8" t="str">
        <f>HYPERLINK("https://twitter.com/hari_prapcoyo","@hari_prapcoyo")</f>
        <v>@hari_prapcoyo</v>
      </c>
      <c r="C17206" s="8" t="s">
        <v>3743</v>
      </c>
      <c r="D17206" s="8">
        <v>254</v>
      </c>
      <c r="E17206" s="8">
        <v>0</v>
      </c>
      <c r="F17206" s="8">
        <v>469</v>
      </c>
    </row>
    <row r="17207" spans="1:6" ht="12.75">
      <c r="A17207" s="8">
        <v>43896.978090277778</v>
      </c>
      <c r="B17207" s="8" t="str">
        <f>HYPERLINK("https://twitter.com/TyasZain","@TyasZain")</f>
        <v>@TyasZain</v>
      </c>
      <c r="C17207" s="8" t="s">
        <v>6950</v>
      </c>
      <c r="D17207" s="8">
        <v>0</v>
      </c>
      <c r="E17207" s="8">
        <v>2</v>
      </c>
      <c r="F17207" s="8">
        <v>2193</v>
      </c>
    </row>
    <row r="17208" spans="1:6" ht="12.75">
      <c r="A17208" s="8">
        <v>43896.977847222224</v>
      </c>
      <c r="B17208" s="8" t="str">
        <f>HYPERLINK("https://twitter.com/_wni_","@_wni_")</f>
        <v>@_wni_</v>
      </c>
      <c r="C17208" s="8" t="s">
        <v>6951</v>
      </c>
      <c r="D17208" s="8">
        <v>0</v>
      </c>
      <c r="E17208" s="8">
        <v>0</v>
      </c>
      <c r="F17208" s="8">
        <v>16</v>
      </c>
    </row>
    <row r="17209" spans="1:6" ht="12.75">
      <c r="A17209" s="8">
        <v>43896.977754629625</v>
      </c>
      <c r="B17209" s="8" t="str">
        <f>HYPERLINK("https://twitter.com/RakyatB72107070","@RakyatB72107070")</f>
        <v>@RakyatB72107070</v>
      </c>
      <c r="C17209" s="8" t="s">
        <v>3743</v>
      </c>
      <c r="D17209" s="8">
        <v>254</v>
      </c>
      <c r="E17209" s="8">
        <v>0</v>
      </c>
      <c r="F17209" s="8">
        <v>349</v>
      </c>
    </row>
    <row r="17210" spans="1:6" ht="12.75">
      <c r="A17210" s="8">
        <v>43896.964895833335</v>
      </c>
      <c r="B17210" s="8" t="str">
        <f>HYPERLINK("https://twitter.com/urraincoat","@urraincoat")</f>
        <v>@urraincoat</v>
      </c>
      <c r="C17210" s="8" t="s">
        <v>3213</v>
      </c>
      <c r="D17210" s="8">
        <v>85</v>
      </c>
      <c r="E17210" s="8">
        <v>0</v>
      </c>
      <c r="F17210" s="8">
        <v>365</v>
      </c>
    </row>
    <row r="17211" spans="1:6" ht="12.75">
      <c r="A17211" s="8">
        <v>43896.964421296296</v>
      </c>
      <c r="B17211" s="8" t="str">
        <f>HYPERLINK("https://twitter.com/AbiAlisagaf","@AbiAlisagaf")</f>
        <v>@AbiAlisagaf</v>
      </c>
      <c r="C17211" s="8" t="s">
        <v>5511</v>
      </c>
      <c r="D17211" s="8">
        <v>7</v>
      </c>
      <c r="E17211" s="8">
        <v>0</v>
      </c>
      <c r="F17211" s="8">
        <v>47</v>
      </c>
    </row>
    <row r="17212" spans="1:6" ht="12.75">
      <c r="A17212" s="8">
        <v>43896.964062500003</v>
      </c>
      <c r="B17212" s="8" t="str">
        <f>HYPERLINK("https://twitter.com/Setyawa85075459","@Setyawa85075459")</f>
        <v>@Setyawa85075459</v>
      </c>
      <c r="C17212" s="8" t="s">
        <v>3743</v>
      </c>
      <c r="D17212" s="8">
        <v>194</v>
      </c>
      <c r="E17212" s="8">
        <v>0</v>
      </c>
      <c r="F17212" s="8">
        <v>33</v>
      </c>
    </row>
    <row r="17213" spans="1:6" ht="12.75">
      <c r="A17213" s="8">
        <v>43896.964039351849</v>
      </c>
      <c r="B17213" s="8" t="str">
        <f>HYPERLINK("https://twitter.com/raurusan_id","@raurusan_id")</f>
        <v>@raurusan_id</v>
      </c>
      <c r="C17213" s="8" t="s">
        <v>3743</v>
      </c>
      <c r="D17213" s="8">
        <v>194</v>
      </c>
      <c r="E17213" s="8">
        <v>0</v>
      </c>
      <c r="F17213" s="8">
        <v>12</v>
      </c>
    </row>
    <row r="17214" spans="1:6" ht="12.75">
      <c r="A17214" s="8">
        <v>43896.962650462963</v>
      </c>
      <c r="B17214" s="8" t="str">
        <f>HYPERLINK("https://twitter.com/aphietsan","@aphietsan")</f>
        <v>@aphietsan</v>
      </c>
      <c r="C17214" s="8" t="s">
        <v>6952</v>
      </c>
      <c r="D17214" s="8">
        <v>0</v>
      </c>
      <c r="E17214" s="8">
        <v>0</v>
      </c>
      <c r="F17214" s="8">
        <v>301</v>
      </c>
    </row>
    <row r="17215" spans="1:6" ht="12.75">
      <c r="A17215" s="8">
        <v>43896.962442129632</v>
      </c>
      <c r="B17215" s="8" t="str">
        <f>HYPERLINK("https://twitter.com/befikar02455","@befikar02455")</f>
        <v>@befikar02455</v>
      </c>
      <c r="C17215" s="8" t="s">
        <v>6953</v>
      </c>
      <c r="D17215" s="8">
        <v>2</v>
      </c>
      <c r="E17215" s="8">
        <v>0</v>
      </c>
      <c r="F17215" s="8">
        <v>27</v>
      </c>
    </row>
    <row r="17216" spans="1:6" ht="12.75">
      <c r="A17216" s="8">
        <v>43896.962199074071</v>
      </c>
      <c r="B17216" s="8" t="str">
        <f>HYPERLINK("https://twitter.com/imjamebond","@imjamebond")</f>
        <v>@imjamebond</v>
      </c>
      <c r="C17216" s="8" t="s">
        <v>6953</v>
      </c>
      <c r="D17216" s="8">
        <v>2</v>
      </c>
      <c r="E17216" s="8">
        <v>0</v>
      </c>
      <c r="F17216" s="8">
        <v>1015</v>
      </c>
    </row>
    <row r="17217" spans="1:6" ht="12.75">
      <c r="A17217" s="8">
        <v>43896.961875000001</v>
      </c>
      <c r="B17217" s="8" t="str">
        <f>HYPERLINK("https://twitter.com/moesa_jp02","@moesa_jp02")</f>
        <v>@moesa_jp02</v>
      </c>
      <c r="C17217" s="8" t="s">
        <v>6954</v>
      </c>
      <c r="D17217" s="8">
        <v>0</v>
      </c>
      <c r="E17217" s="8">
        <v>0</v>
      </c>
      <c r="F17217" s="8">
        <v>1386</v>
      </c>
    </row>
    <row r="17218" spans="1:6" ht="12.75">
      <c r="A17218" s="8">
        <v>43896.961736111116</v>
      </c>
      <c r="B17218" s="8" t="str">
        <f>HYPERLINK("https://twitter.com/atika_nur62","@atika_nur62")</f>
        <v>@atika_nur62</v>
      </c>
      <c r="C17218" s="8" t="s">
        <v>3743</v>
      </c>
      <c r="D17218" s="8">
        <v>194</v>
      </c>
      <c r="E17218" s="8">
        <v>0</v>
      </c>
      <c r="F17218" s="8">
        <v>5</v>
      </c>
    </row>
    <row r="17219" spans="1:6" ht="12.75">
      <c r="A17219" s="8">
        <v>43896.961712962962</v>
      </c>
      <c r="B17219" s="8" t="str">
        <f>HYPERLINK("https://twitter.com/pawangrayap","@pawangrayap")</f>
        <v>@pawangrayap</v>
      </c>
      <c r="C17219" s="8" t="s">
        <v>6955</v>
      </c>
      <c r="D17219" s="8">
        <v>0</v>
      </c>
      <c r="E17219" s="8">
        <v>0</v>
      </c>
      <c r="F17219" s="8">
        <v>129</v>
      </c>
    </row>
    <row r="17220" spans="1:6" ht="12.75">
      <c r="A17220" s="8">
        <v>43896.961388888885</v>
      </c>
      <c r="B17220" s="8" t="str">
        <f>HYPERLINK("https://twitter.com/DagelaneD","@DagelaneD")</f>
        <v>@DagelaneD</v>
      </c>
      <c r="C17220" s="8" t="s">
        <v>6956</v>
      </c>
      <c r="D17220" s="8">
        <v>0</v>
      </c>
      <c r="E17220" s="8">
        <v>0</v>
      </c>
      <c r="F17220" s="8">
        <v>1285</v>
      </c>
    </row>
    <row r="17221" spans="1:6" ht="12.75">
      <c r="A17221" s="8">
        <v>43896.961192129631</v>
      </c>
      <c r="B17221" s="8" t="str">
        <f>HYPERLINK("https://twitter.com/ManusiaIkanDeni","@ManusiaIkanDeni")</f>
        <v>@ManusiaIkanDeni</v>
      </c>
      <c r="C17221" s="8" t="s">
        <v>3743</v>
      </c>
      <c r="D17221" s="8">
        <v>194</v>
      </c>
      <c r="E17221" s="8">
        <v>0</v>
      </c>
      <c r="F17221" s="8">
        <v>546</v>
      </c>
    </row>
    <row r="17222" spans="1:6" ht="12.75">
      <c r="A17222" s="8">
        <v>43896.961099537039</v>
      </c>
      <c r="B17222" s="8" t="str">
        <f>HYPERLINK("https://twitter.com/mbakpiaAnget","@mbakpiaAnget")</f>
        <v>@mbakpiaAnget</v>
      </c>
      <c r="C17222" s="8" t="s">
        <v>4948</v>
      </c>
      <c r="D17222" s="8">
        <v>89</v>
      </c>
      <c r="E17222" s="8">
        <v>0</v>
      </c>
      <c r="F17222" s="8">
        <v>63</v>
      </c>
    </row>
    <row r="17223" spans="1:6" ht="12.75">
      <c r="A17223" s="8">
        <v>43896.960775462961</v>
      </c>
      <c r="B17223" s="8" t="str">
        <f>HYPERLINK("https://twitter.com/SobdarBaloch_","@SobdarBaloch_")</f>
        <v>@SobdarBaloch_</v>
      </c>
      <c r="C17223" s="8" t="s">
        <v>6957</v>
      </c>
      <c r="D17223" s="8">
        <v>2</v>
      </c>
      <c r="E17223" s="8">
        <v>2</v>
      </c>
      <c r="F17223" s="8">
        <v>2623</v>
      </c>
    </row>
    <row r="17224" spans="1:6" ht="12.75">
      <c r="A17224" s="8">
        <v>43896.960706018523</v>
      </c>
      <c r="B17224" s="8" t="str">
        <f>HYPERLINK("https://twitter.com/svargadrinks","@svargadrinks")</f>
        <v>@svargadrinks</v>
      </c>
      <c r="C17224" s="8" t="s">
        <v>4818</v>
      </c>
      <c r="D17224" s="8">
        <v>53</v>
      </c>
      <c r="E17224" s="8">
        <v>0</v>
      </c>
      <c r="F17224" s="8">
        <v>31</v>
      </c>
    </row>
    <row r="17225" spans="1:6" ht="12.75">
      <c r="A17225" s="8">
        <v>43896.960648148146</v>
      </c>
      <c r="B17225" s="8" t="str">
        <f>HYPERLINK("https://twitter.com/numberGD","@numberGD")</f>
        <v>@numberGD</v>
      </c>
      <c r="C17225" s="8" t="s">
        <v>6958</v>
      </c>
      <c r="D17225" s="8">
        <v>0</v>
      </c>
      <c r="E17225" s="8">
        <v>0</v>
      </c>
      <c r="F17225" s="8">
        <v>374</v>
      </c>
    </row>
    <row r="17226" spans="1:6" ht="12.75">
      <c r="A17226" s="8">
        <v>43896.960636574076</v>
      </c>
      <c r="B17226" s="8" t="str">
        <f>HYPERLINK("https://twitter.com/_akbarmusa","@_akbarmusa")</f>
        <v>@_akbarmusa</v>
      </c>
      <c r="C17226" s="8" t="s">
        <v>3743</v>
      </c>
      <c r="D17226" s="8">
        <v>194</v>
      </c>
      <c r="E17226" s="8">
        <v>0</v>
      </c>
      <c r="F17226" s="8">
        <v>1243</v>
      </c>
    </row>
    <row r="17227" spans="1:6" ht="12.75">
      <c r="A17227" s="8">
        <v>43896.960011574076</v>
      </c>
      <c r="B17227" s="8" t="str">
        <f>HYPERLINK("https://twitter.com/ewinkz","@ewinkz")</f>
        <v>@ewinkz</v>
      </c>
      <c r="C17227" s="8" t="s">
        <v>3743</v>
      </c>
      <c r="D17227" s="8">
        <v>194</v>
      </c>
      <c r="E17227" s="8">
        <v>0</v>
      </c>
      <c r="F17227" s="8">
        <v>1422</v>
      </c>
    </row>
    <row r="17228" spans="1:6" ht="12.75">
      <c r="A17228" s="8">
        <v>43896.959999999999</v>
      </c>
      <c r="B17228" s="8" t="str">
        <f>HYPERLINK("https://twitter.com/dubie_tina","@dubie_tina")</f>
        <v>@dubie_tina</v>
      </c>
      <c r="C17228" s="8" t="s">
        <v>6883</v>
      </c>
      <c r="D17228" s="8">
        <v>62</v>
      </c>
      <c r="E17228" s="8">
        <v>0</v>
      </c>
      <c r="F17228" s="8">
        <v>1092</v>
      </c>
    </row>
    <row r="17229" spans="1:6" ht="12.75">
      <c r="A17229" s="8">
        <v>43896.959988425922</v>
      </c>
      <c r="B17229" s="8" t="str">
        <f>HYPERLINK("https://twitter.com/kabardotnews","@kabardotnews")</f>
        <v>@kabardotnews</v>
      </c>
      <c r="C17229" s="8" t="s">
        <v>6959</v>
      </c>
      <c r="D17229" s="8">
        <v>0</v>
      </c>
      <c r="E17229" s="8">
        <v>0</v>
      </c>
      <c r="F17229" s="8">
        <v>543</v>
      </c>
    </row>
    <row r="17230" spans="1:6" ht="12.75">
      <c r="A17230" s="8">
        <v>43896.959976851853</v>
      </c>
      <c r="B17230" s="8" t="str">
        <f>HYPERLINK("https://twitter.com/realprincetotty","@realprincetotty")</f>
        <v>@realprincetotty</v>
      </c>
      <c r="C17230" s="8" t="s">
        <v>3213</v>
      </c>
      <c r="D17230" s="8">
        <v>85</v>
      </c>
      <c r="E17230" s="8">
        <v>0</v>
      </c>
      <c r="F17230" s="8">
        <v>743</v>
      </c>
    </row>
    <row r="17231" spans="1:6" ht="12.75">
      <c r="A17231" s="8">
        <v>43896.959513888884</v>
      </c>
      <c r="B17231" s="8" t="str">
        <f>HYPERLINK("https://twitter.com/RMondrokumoro","@RMondrokumoro")</f>
        <v>@RMondrokumoro</v>
      </c>
      <c r="C17231" s="8" t="s">
        <v>6960</v>
      </c>
      <c r="D17231" s="8">
        <v>0</v>
      </c>
      <c r="E17231" s="8">
        <v>0</v>
      </c>
      <c r="F17231" s="8">
        <v>28</v>
      </c>
    </row>
    <row r="17232" spans="1:6" ht="12.75">
      <c r="A17232" s="8">
        <v>43896.959328703699</v>
      </c>
      <c r="B17232" s="8" t="str">
        <f>HYPERLINK("https://twitter.com/raf1ndra","@raf1ndra")</f>
        <v>@raf1ndra</v>
      </c>
      <c r="C17232" s="8" t="s">
        <v>6961</v>
      </c>
      <c r="D17232" s="8">
        <v>0</v>
      </c>
      <c r="E17232" s="8">
        <v>0</v>
      </c>
      <c r="F17232" s="8">
        <v>16</v>
      </c>
    </row>
    <row r="17233" spans="1:6" ht="12.75">
      <c r="A17233" s="8">
        <v>43896.95894675926</v>
      </c>
      <c r="B17233" s="8" t="str">
        <f>HYPERLINK("https://twitter.com/mwildhan","@mwildhan")</f>
        <v>@mwildhan</v>
      </c>
      <c r="C17233" s="8" t="s">
        <v>3743</v>
      </c>
      <c r="D17233" s="8">
        <v>194</v>
      </c>
      <c r="E17233" s="8">
        <v>0</v>
      </c>
      <c r="F17233" s="8">
        <v>733</v>
      </c>
    </row>
    <row r="17234" spans="1:6" ht="12.75">
      <c r="A17234" s="8">
        <v>43896.958819444444</v>
      </c>
      <c r="B17234" s="8" t="str">
        <f>HYPERLINK("https://twitter.com/_herdiansyahsdp","@_herdiansyahsdp")</f>
        <v>@_herdiansyahsdp</v>
      </c>
      <c r="C17234" s="8" t="s">
        <v>5103</v>
      </c>
      <c r="D17234" s="8">
        <v>134</v>
      </c>
      <c r="E17234" s="8">
        <v>0</v>
      </c>
      <c r="F17234" s="8">
        <v>54</v>
      </c>
    </row>
    <row r="17235" spans="1:6" ht="12.75">
      <c r="A17235" s="8">
        <v>43896.958715277782</v>
      </c>
      <c r="B17235" s="8" t="str">
        <f>HYPERLINK("https://twitter.com/mhd_sunardi94","@mhd_sunardi94")</f>
        <v>@mhd_sunardi94</v>
      </c>
      <c r="C17235" s="8" t="s">
        <v>6962</v>
      </c>
      <c r="D17235" s="8">
        <v>3</v>
      </c>
      <c r="E17235" s="8">
        <v>0</v>
      </c>
      <c r="F17235" s="8">
        <v>341</v>
      </c>
    </row>
    <row r="17236" spans="1:6" ht="12.75">
      <c r="A17236" s="8">
        <v>43896.958495370374</v>
      </c>
      <c r="B17236" s="8" t="str">
        <f>HYPERLINK("https://twitter.com/AL_Makstar","@AL_Makstar")</f>
        <v>@AL_Makstar</v>
      </c>
      <c r="C17236" s="8" t="s">
        <v>3743</v>
      </c>
      <c r="D17236" s="8">
        <v>194</v>
      </c>
      <c r="E17236" s="8">
        <v>0</v>
      </c>
      <c r="F17236" s="8">
        <v>83</v>
      </c>
    </row>
    <row r="17237" spans="1:6" ht="12.75">
      <c r="A17237" s="8">
        <v>43896.958449074074</v>
      </c>
      <c r="B17237" s="8" t="str">
        <f>HYPERLINK("https://twitter.com/ridwan68907331","@ridwan68907331")</f>
        <v>@ridwan68907331</v>
      </c>
      <c r="C17237" s="8" t="s">
        <v>3743</v>
      </c>
      <c r="D17237" s="8">
        <v>194</v>
      </c>
      <c r="E17237" s="8">
        <v>0</v>
      </c>
      <c r="F17237" s="8">
        <v>12</v>
      </c>
    </row>
    <row r="17238" spans="1:6" ht="12.75">
      <c r="A17238" s="8">
        <v>43896.958252314813</v>
      </c>
      <c r="B17238" s="8" t="str">
        <f>HYPERLINK("https://twitter.com/realprincetotty","@realprincetotty")</f>
        <v>@realprincetotty</v>
      </c>
      <c r="C17238" s="8" t="s">
        <v>5511</v>
      </c>
      <c r="D17238" s="8">
        <v>7</v>
      </c>
      <c r="E17238" s="8">
        <v>0</v>
      </c>
      <c r="F17238" s="8">
        <v>743</v>
      </c>
    </row>
    <row r="17239" spans="1:6" ht="12.75">
      <c r="A17239" s="8">
        <v>43896.958240740743</v>
      </c>
      <c r="B17239" s="8" t="str">
        <f>HYPERLINK("https://twitter.com/NNkri2020","@NNkri2020")</f>
        <v>@NNkri2020</v>
      </c>
      <c r="C17239" s="8" t="s">
        <v>4948</v>
      </c>
      <c r="D17239" s="8">
        <v>89</v>
      </c>
      <c r="E17239" s="8">
        <v>0</v>
      </c>
      <c r="F17239" s="8">
        <v>8</v>
      </c>
    </row>
    <row r="17240" spans="1:6" ht="12.75">
      <c r="A17240" s="8">
        <v>43896.958182870367</v>
      </c>
      <c r="B17240" s="8" t="str">
        <f>HYPERLINK("https://twitter.com/realprincetotty","@realprincetotty")</f>
        <v>@realprincetotty</v>
      </c>
      <c r="C17240" s="8" t="s">
        <v>4818</v>
      </c>
      <c r="D17240" s="8">
        <v>53</v>
      </c>
      <c r="E17240" s="8">
        <v>0</v>
      </c>
      <c r="F17240" s="8">
        <v>743</v>
      </c>
    </row>
    <row r="17241" spans="1:6" ht="12.75">
      <c r="A17241" s="8">
        <v>43896.958090277782</v>
      </c>
      <c r="B17241" s="8" t="str">
        <f>HYPERLINK("https://twitter.com/rehtayunani","@rehtayunani")</f>
        <v>@rehtayunani</v>
      </c>
      <c r="C17241" s="8" t="s">
        <v>3978</v>
      </c>
      <c r="D17241" s="8">
        <v>8</v>
      </c>
      <c r="E17241" s="8">
        <v>0</v>
      </c>
      <c r="F17241" s="8">
        <v>3533</v>
      </c>
    </row>
    <row r="17242" spans="1:6" ht="12.75">
      <c r="A17242" s="8">
        <v>43896.957731481481</v>
      </c>
      <c r="B17242" s="8" t="str">
        <f>HYPERLINK("https://twitter.com/Kusanto8","@Kusanto8")</f>
        <v>@Kusanto8</v>
      </c>
      <c r="C17242" s="8" t="s">
        <v>3743</v>
      </c>
      <c r="D17242" s="8">
        <v>194</v>
      </c>
      <c r="E17242" s="8">
        <v>0</v>
      </c>
      <c r="F17242" s="8">
        <v>62</v>
      </c>
    </row>
    <row r="17243" spans="1:6" ht="12.75">
      <c r="A17243" s="8">
        <v>43896.957604166666</v>
      </c>
      <c r="B17243" s="8" t="str">
        <f>HYPERLINK("https://twitter.com/TermosTremor","@TermosTremor")</f>
        <v>@TermosTremor</v>
      </c>
      <c r="C17243" s="8" t="s">
        <v>5103</v>
      </c>
      <c r="D17243" s="8">
        <v>134</v>
      </c>
      <c r="E17243" s="8">
        <v>0</v>
      </c>
      <c r="F17243" s="8">
        <v>266</v>
      </c>
    </row>
    <row r="17244" spans="1:6" ht="12.75">
      <c r="A17244" s="8">
        <v>43896.957303240742</v>
      </c>
      <c r="B17244" s="8" t="str">
        <f>HYPERLINK("https://twitter.com/moesa_jp02","@moesa_jp02")</f>
        <v>@moesa_jp02</v>
      </c>
      <c r="C17244" s="8" t="s">
        <v>6963</v>
      </c>
      <c r="D17244" s="8">
        <v>0</v>
      </c>
      <c r="E17244" s="8">
        <v>0</v>
      </c>
      <c r="F17244" s="8">
        <v>1386</v>
      </c>
    </row>
    <row r="17245" spans="1:6" ht="12.75">
      <c r="A17245" s="8">
        <v>43896.957280092596</v>
      </c>
      <c r="B17245" s="8" t="str">
        <f>HYPERLINK("https://twitter.com/ind14coy","@ind14coy")</f>
        <v>@ind14coy</v>
      </c>
      <c r="C17245" s="8" t="s">
        <v>4948</v>
      </c>
      <c r="D17245" s="8">
        <v>89</v>
      </c>
      <c r="E17245" s="8">
        <v>0</v>
      </c>
      <c r="F17245" s="8">
        <v>39</v>
      </c>
    </row>
    <row r="17246" spans="1:6" ht="12.75">
      <c r="A17246" s="8">
        <v>43896.95711805555</v>
      </c>
      <c r="B17246" s="8" t="str">
        <f>HYPERLINK("https://twitter.com/AdyaAverroes","@AdyaAverroes")</f>
        <v>@AdyaAverroes</v>
      </c>
      <c r="C17246" s="8" t="s">
        <v>3743</v>
      </c>
      <c r="D17246" s="8">
        <v>194</v>
      </c>
      <c r="E17246" s="8">
        <v>0</v>
      </c>
      <c r="F17246" s="8">
        <v>170</v>
      </c>
    </row>
    <row r="17247" spans="1:6" ht="12.75">
      <c r="A17247" s="8">
        <v>43896.957060185188</v>
      </c>
      <c r="B17247" s="8" t="str">
        <f>HYPERLINK("https://twitter.com/OffieSander","@OffieSander")</f>
        <v>@OffieSander</v>
      </c>
      <c r="C17247" s="8" t="s">
        <v>4818</v>
      </c>
      <c r="D17247" s="8">
        <v>53</v>
      </c>
      <c r="E17247" s="8">
        <v>0</v>
      </c>
      <c r="F17247" s="8">
        <v>587</v>
      </c>
    </row>
    <row r="17248" spans="1:6" ht="12.75">
      <c r="A17248" s="8">
        <v>43896.956886574073</v>
      </c>
      <c r="B17248" s="8" t="str">
        <f>HYPERLINK("https://twitter.com/adhelia_amanda","@adhelia_amanda")</f>
        <v>@adhelia_amanda</v>
      </c>
      <c r="C17248" s="8" t="s">
        <v>2962</v>
      </c>
      <c r="D17248" s="8">
        <v>5688</v>
      </c>
      <c r="E17248" s="8">
        <v>0</v>
      </c>
      <c r="F17248" s="8">
        <v>45</v>
      </c>
    </row>
    <row r="17249" spans="1:6" ht="12.75">
      <c r="A17249" s="8">
        <v>43896.956747685181</v>
      </c>
      <c r="B17249" s="8" t="str">
        <f>HYPERLINK("https://twitter.com/JBhukkar","@JBhukkar")</f>
        <v>@JBhukkar</v>
      </c>
      <c r="C17249" s="8" t="s">
        <v>3743</v>
      </c>
      <c r="D17249" s="8">
        <v>194</v>
      </c>
      <c r="E17249" s="8">
        <v>0</v>
      </c>
      <c r="F17249" s="8">
        <v>23</v>
      </c>
    </row>
    <row r="17250" spans="1:6" ht="12.75">
      <c r="A17250" s="8">
        <v>43896.956701388888</v>
      </c>
      <c r="B17250" s="8" t="str">
        <f>HYPERLINK("https://twitter.com/1_devout","@1_devout")</f>
        <v>@1_devout</v>
      </c>
      <c r="C17250" s="8" t="s">
        <v>5934</v>
      </c>
      <c r="D17250" s="8">
        <v>5</v>
      </c>
      <c r="E17250" s="8">
        <v>0</v>
      </c>
      <c r="F17250" s="8">
        <v>49</v>
      </c>
    </row>
    <row r="17251" spans="1:6" ht="12.75">
      <c r="A17251" s="8">
        <v>43896.956631944442</v>
      </c>
      <c r="B17251" s="8" t="str">
        <f>HYPERLINK("https://twitter.com/fatal_morga","@fatal_morga")</f>
        <v>@fatal_morga</v>
      </c>
      <c r="C17251" s="8" t="s">
        <v>6964</v>
      </c>
      <c r="D17251" s="8">
        <v>0</v>
      </c>
      <c r="E17251" s="8">
        <v>1</v>
      </c>
      <c r="F17251" s="8">
        <v>3543</v>
      </c>
    </row>
    <row r="17252" spans="1:6" ht="12.75">
      <c r="A17252" s="8">
        <v>43896.956469907411</v>
      </c>
      <c r="B17252" s="8" t="str">
        <f>HYPERLINK("https://twitter.com/JSuhendarTea1","@JSuhendarTea1")</f>
        <v>@JSuhendarTea1</v>
      </c>
      <c r="C17252" s="8" t="s">
        <v>3743</v>
      </c>
      <c r="D17252" s="8">
        <v>194</v>
      </c>
      <c r="E17252" s="8">
        <v>0</v>
      </c>
      <c r="F17252" s="8">
        <v>167</v>
      </c>
    </row>
    <row r="17253" spans="1:6" ht="12.75">
      <c r="A17253" s="8">
        <v>43896.956342592588</v>
      </c>
      <c r="B17253" s="8" t="str">
        <f>HYPERLINK("https://twitter.com/MaulanaYana6","@MaulanaYana6")</f>
        <v>@MaulanaYana6</v>
      </c>
      <c r="C17253" s="8" t="s">
        <v>3743</v>
      </c>
      <c r="D17253" s="8">
        <v>194</v>
      </c>
      <c r="E17253" s="8">
        <v>0</v>
      </c>
      <c r="F17253" s="8">
        <v>325</v>
      </c>
    </row>
    <row r="17254" spans="1:6" ht="12.75">
      <c r="A17254" s="8">
        <v>43896.956284722226</v>
      </c>
      <c r="B17254" s="8" t="str">
        <f>HYPERLINK("https://twitter.com/HaHaHaBerak","@HaHaHaBerak")</f>
        <v>@HaHaHaBerak</v>
      </c>
      <c r="C17254" s="8" t="s">
        <v>5103</v>
      </c>
      <c r="D17254" s="8">
        <v>134</v>
      </c>
      <c r="E17254" s="8">
        <v>0</v>
      </c>
      <c r="F17254" s="8">
        <v>237</v>
      </c>
    </row>
    <row r="17255" spans="1:6" ht="12.75">
      <c r="A17255" s="8">
        <v>43896.955787037034</v>
      </c>
      <c r="B17255" s="8" t="str">
        <f>HYPERLINK("https://twitter.com/BruNet_tes","@BruNet_tes")</f>
        <v>@BruNet_tes</v>
      </c>
      <c r="C17255" s="8" t="s">
        <v>3743</v>
      </c>
      <c r="D17255" s="8">
        <v>194</v>
      </c>
      <c r="E17255" s="8">
        <v>0</v>
      </c>
      <c r="F17255" s="8">
        <v>420</v>
      </c>
    </row>
    <row r="17256" spans="1:6" ht="12.75">
      <c r="A17256" s="8">
        <v>43896.955740740741</v>
      </c>
      <c r="B17256" s="8" t="str">
        <f>HYPERLINK("https://twitter.com/genefer_maikel","@genefer_maikel")</f>
        <v>@genefer_maikel</v>
      </c>
      <c r="C17256" s="8" t="s">
        <v>6965</v>
      </c>
      <c r="D17256" s="8">
        <v>0</v>
      </c>
      <c r="E17256" s="8">
        <v>1</v>
      </c>
      <c r="F17256" s="8">
        <v>5539</v>
      </c>
    </row>
    <row r="17257" spans="1:6" ht="12.75">
      <c r="A17257" s="8">
        <v>43896.955497685187</v>
      </c>
      <c r="B17257" s="8" t="str">
        <f>HYPERLINK("https://twitter.com/Indianandabori1","@Indianandabori1")</f>
        <v>@Indianandabori1</v>
      </c>
      <c r="C17257" s="8" t="s">
        <v>6966</v>
      </c>
      <c r="D17257" s="8">
        <v>0</v>
      </c>
      <c r="E17257" s="8">
        <v>0</v>
      </c>
      <c r="F17257" s="8">
        <v>2</v>
      </c>
    </row>
    <row r="17258" spans="1:6" ht="12.75">
      <c r="A17258" s="8">
        <v>43896.955150462964</v>
      </c>
      <c r="B17258" s="8" t="str">
        <f>HYPERLINK("https://twitter.com/jst4Him_sinurat","@jst4Him_sinurat")</f>
        <v>@jst4Him_sinurat</v>
      </c>
      <c r="C17258" s="8" t="s">
        <v>6967</v>
      </c>
      <c r="D17258" s="8">
        <v>0</v>
      </c>
      <c r="E17258" s="8">
        <v>0</v>
      </c>
      <c r="F17258" s="8">
        <v>59</v>
      </c>
    </row>
    <row r="17259" spans="1:6" ht="12.75">
      <c r="A17259" s="8">
        <v>43896.95511574074</v>
      </c>
      <c r="B17259" s="8" t="str">
        <f>HYPERLINK("https://twitter.com/Hamzah_Baudin","@Hamzah_Baudin")</f>
        <v>@Hamzah_Baudin</v>
      </c>
      <c r="C17259" s="8" t="s">
        <v>6883</v>
      </c>
      <c r="D17259" s="8">
        <v>62</v>
      </c>
      <c r="E17259" s="8">
        <v>0</v>
      </c>
      <c r="F17259" s="8">
        <v>3105</v>
      </c>
    </row>
    <row r="17260" spans="1:6" ht="12.75">
      <c r="A17260" s="8">
        <v>43896.954872685186</v>
      </c>
      <c r="B17260" s="8" t="str">
        <f>HYPERLINK("https://twitter.com/mbakpiaAnget","@mbakpiaAnget")</f>
        <v>@mbakpiaAnget</v>
      </c>
      <c r="C17260" s="8" t="s">
        <v>4818</v>
      </c>
      <c r="D17260" s="8">
        <v>53</v>
      </c>
      <c r="E17260" s="8">
        <v>0</v>
      </c>
      <c r="F17260" s="8">
        <v>63</v>
      </c>
    </row>
    <row r="17261" spans="1:6" ht="12.75">
      <c r="A17261" s="8">
        <v>43896.95484953704</v>
      </c>
      <c r="B17261" s="8" t="str">
        <f>HYPERLINK("https://twitter.com/Tiara_jkt","@Tiara_jkt")</f>
        <v>@Tiara_jkt</v>
      </c>
      <c r="C17261" s="8" t="s">
        <v>3213</v>
      </c>
      <c r="D17261" s="8">
        <v>85</v>
      </c>
      <c r="E17261" s="8">
        <v>0</v>
      </c>
      <c r="F17261" s="8">
        <v>1316</v>
      </c>
    </row>
    <row r="17262" spans="1:6" ht="12.75">
      <c r="A17262" s="8">
        <v>43896.954675925925</v>
      </c>
      <c r="B17262" s="8" t="str">
        <f>HYPERLINK("https://twitter.com/jumadisakir","@jumadisakir")</f>
        <v>@jumadisakir</v>
      </c>
      <c r="C17262" s="8" t="s">
        <v>6968</v>
      </c>
      <c r="D17262" s="8">
        <v>20</v>
      </c>
      <c r="E17262" s="8">
        <v>0</v>
      </c>
      <c r="F17262" s="8">
        <v>933</v>
      </c>
    </row>
    <row r="17263" spans="1:6" ht="12.75">
      <c r="A17263" s="8">
        <v>43896.954594907409</v>
      </c>
      <c r="B17263" s="8" t="str">
        <f>HYPERLINK("https://twitter.com/rahmadiheru88","@rahmadiheru88")</f>
        <v>@rahmadiheru88</v>
      </c>
      <c r="C17263" s="8" t="s">
        <v>6969</v>
      </c>
      <c r="D17263" s="8">
        <v>0</v>
      </c>
      <c r="E17263" s="8">
        <v>0</v>
      </c>
      <c r="F17263" s="8">
        <v>213</v>
      </c>
    </row>
    <row r="17264" spans="1:6" ht="12.75">
      <c r="A17264" s="8">
        <v>43896.954583333332</v>
      </c>
      <c r="B17264" s="8" t="str">
        <f>HYPERLINK("https://twitter.com/sopansantun55","@sopansantun55")</f>
        <v>@sopansantun55</v>
      </c>
      <c r="C17264" s="8" t="s">
        <v>6970</v>
      </c>
      <c r="D17264" s="8">
        <v>0</v>
      </c>
      <c r="E17264" s="8">
        <v>0</v>
      </c>
      <c r="F17264" s="8">
        <v>547</v>
      </c>
    </row>
    <row r="17265" spans="1:6" ht="12.75">
      <c r="A17265" s="8">
        <v>43896.954212962963</v>
      </c>
      <c r="B17265" s="8" t="str">
        <f>HYPERLINK("https://twitter.com/Syhbyla","@Syhbyla")</f>
        <v>@Syhbyla</v>
      </c>
      <c r="C17265" s="8" t="s">
        <v>6971</v>
      </c>
      <c r="D17265" s="8">
        <v>243</v>
      </c>
      <c r="E17265" s="8">
        <v>0</v>
      </c>
      <c r="F17265" s="8">
        <v>64</v>
      </c>
    </row>
    <row r="17266" spans="1:6" ht="12.75">
      <c r="A17266" s="8">
        <v>43896.953692129631</v>
      </c>
      <c r="B17266" s="8" t="str">
        <f>HYPERLINK("https://twitter.com/YogaAdrianyoga6","@YogaAdrianyoga6")</f>
        <v>@YogaAdrianyoga6</v>
      </c>
      <c r="C17266" s="8" t="s">
        <v>4818</v>
      </c>
      <c r="D17266" s="8">
        <v>53</v>
      </c>
      <c r="E17266" s="8">
        <v>0</v>
      </c>
      <c r="F17266" s="8">
        <v>800</v>
      </c>
    </row>
    <row r="17267" spans="1:6" ht="12.75">
      <c r="A17267" s="8">
        <v>43896.953692129631</v>
      </c>
      <c r="B17267" s="8" t="str">
        <f>HYPERLINK("https://twitter.com/sasongko_aji","@sasongko_aji")</f>
        <v>@sasongko_aji</v>
      </c>
      <c r="C17267" s="8" t="s">
        <v>4818</v>
      </c>
      <c r="D17267" s="8">
        <v>53</v>
      </c>
      <c r="E17267" s="8">
        <v>0</v>
      </c>
      <c r="F17267" s="8">
        <v>178</v>
      </c>
    </row>
    <row r="17268" spans="1:6" ht="12.75">
      <c r="A17268" s="8">
        <v>43896.9534837963</v>
      </c>
      <c r="B17268" s="8" t="str">
        <f>HYPERLINK("https://twitter.com/azkafebriawan","@azkafebriawan")</f>
        <v>@azkafebriawan</v>
      </c>
      <c r="C17268" s="8" t="s">
        <v>3743</v>
      </c>
      <c r="D17268" s="8">
        <v>194</v>
      </c>
      <c r="E17268" s="8">
        <v>0</v>
      </c>
      <c r="F17268" s="8">
        <v>134</v>
      </c>
    </row>
    <row r="17269" spans="1:6" ht="12.75">
      <c r="A17269" s="8">
        <v>43896.953356481477</v>
      </c>
      <c r="B17269" s="8" t="str">
        <f>HYPERLINK("https://twitter.com/Ato04139675","@Ato04139675")</f>
        <v>@Ato04139675</v>
      </c>
      <c r="C17269" s="8" t="s">
        <v>3743</v>
      </c>
      <c r="D17269" s="8">
        <v>194</v>
      </c>
      <c r="E17269" s="8">
        <v>0</v>
      </c>
      <c r="F17269" s="8">
        <v>632</v>
      </c>
    </row>
    <row r="17270" spans="1:6" ht="12.75">
      <c r="A17270" s="8">
        <v>43896.953125</v>
      </c>
      <c r="B17270" s="8" t="str">
        <f>HYPERLINK("https://twitter.com/PengusahaRasa","@PengusahaRasa")</f>
        <v>@PengusahaRasa</v>
      </c>
      <c r="C17270" s="8" t="s">
        <v>3743</v>
      </c>
      <c r="D17270" s="8">
        <v>194</v>
      </c>
      <c r="E17270" s="8">
        <v>0</v>
      </c>
      <c r="F17270" s="8">
        <v>3048</v>
      </c>
    </row>
    <row r="17271" spans="1:6" ht="12.75">
      <c r="A17271" s="8">
        <v>43896.952673611115</v>
      </c>
      <c r="B17271" s="8" t="str">
        <f>HYPERLINK("https://twitter.com/urip_murup","@urip_murup")</f>
        <v>@urip_murup</v>
      </c>
      <c r="C17271" s="8" t="s">
        <v>3213</v>
      </c>
      <c r="D17271" s="8">
        <v>85</v>
      </c>
      <c r="E17271" s="8">
        <v>0</v>
      </c>
      <c r="F17271" s="8">
        <v>237</v>
      </c>
    </row>
    <row r="17272" spans="1:6" ht="12.75">
      <c r="A17272" s="8">
        <v>43896.952187499999</v>
      </c>
      <c r="B17272" s="8" t="str">
        <f>HYPERLINK("https://twitter.com/priyo197352","@priyo197352")</f>
        <v>@priyo197352</v>
      </c>
      <c r="C17272" s="8" t="s">
        <v>3743</v>
      </c>
      <c r="D17272" s="8">
        <v>194</v>
      </c>
      <c r="E17272" s="8">
        <v>0</v>
      </c>
      <c r="F17272" s="8">
        <v>204</v>
      </c>
    </row>
    <row r="17273" spans="1:6" ht="12.75">
      <c r="A17273" s="8">
        <v>43896.952083333337</v>
      </c>
      <c r="B17273" s="8" t="str">
        <f>HYPERLINK("https://twitter.com/teh_tariq","@teh_tariq")</f>
        <v>@teh_tariq</v>
      </c>
      <c r="C17273" s="8" t="s">
        <v>6972</v>
      </c>
      <c r="D17273" s="8">
        <v>0</v>
      </c>
      <c r="E17273" s="8">
        <v>0</v>
      </c>
      <c r="F17273" s="8">
        <v>6800</v>
      </c>
    </row>
    <row r="17274" spans="1:6" ht="12.75">
      <c r="A17274" s="8">
        <v>43896.951307870375</v>
      </c>
      <c r="B17274" s="8" t="str">
        <f>HYPERLINK("https://twitter.com/awiiiis","@awiiiis")</f>
        <v>@awiiiis</v>
      </c>
      <c r="C17274" s="8" t="s">
        <v>3978</v>
      </c>
      <c r="D17274" s="8">
        <v>8</v>
      </c>
      <c r="E17274" s="8">
        <v>0</v>
      </c>
      <c r="F17274" s="8">
        <v>348</v>
      </c>
    </row>
    <row r="17275" spans="1:6" ht="12.75">
      <c r="A17275" s="8">
        <v>43896.951099537036</v>
      </c>
      <c r="B17275" s="8" t="str">
        <f>HYPERLINK("https://twitter.com/Masdjodi1","@Masdjodi1")</f>
        <v>@Masdjodi1</v>
      </c>
      <c r="C17275" s="8" t="s">
        <v>3743</v>
      </c>
      <c r="D17275" s="8">
        <v>194</v>
      </c>
      <c r="E17275" s="8">
        <v>0</v>
      </c>
      <c r="F17275" s="8">
        <v>734</v>
      </c>
    </row>
    <row r="17276" spans="1:6" ht="12.75">
      <c r="A17276" s="8">
        <v>43896.95103009259</v>
      </c>
      <c r="B17276" s="8" t="str">
        <f>HYPERLINK("https://twitter.com/kbrisingapura","@kbrisingapura")</f>
        <v>@kbrisingapura</v>
      </c>
      <c r="C17276" s="8" t="s">
        <v>3132</v>
      </c>
      <c r="D17276" s="8">
        <v>126</v>
      </c>
      <c r="E17276" s="8">
        <v>0</v>
      </c>
      <c r="F17276" s="8">
        <v>4635</v>
      </c>
    </row>
    <row r="17277" spans="1:6" ht="12.75">
      <c r="A17277" s="8">
        <v>43896.950821759259</v>
      </c>
      <c r="B17277" s="8" t="str">
        <f>HYPERLINK("https://twitter.com/anisaahna","@anisaahna")</f>
        <v>@anisaahna</v>
      </c>
      <c r="C17277" s="8" t="s">
        <v>6973</v>
      </c>
      <c r="D17277" s="8">
        <v>0</v>
      </c>
      <c r="E17277" s="8">
        <v>0</v>
      </c>
      <c r="F17277" s="8">
        <v>582</v>
      </c>
    </row>
    <row r="17278" spans="1:6" ht="12.75">
      <c r="A17278" s="8">
        <v>43896.950694444444</v>
      </c>
      <c r="B17278" s="8" t="str">
        <f>HYPERLINK("https://twitter.com/kardusnumpuk","@kardusnumpuk")</f>
        <v>@kardusnumpuk</v>
      </c>
      <c r="C17278" s="8" t="s">
        <v>3743</v>
      </c>
      <c r="D17278" s="8">
        <v>194</v>
      </c>
      <c r="E17278" s="8">
        <v>0</v>
      </c>
      <c r="F17278" s="8">
        <v>102</v>
      </c>
    </row>
    <row r="17279" spans="1:6" ht="12.75">
      <c r="A17279" s="8">
        <v>43896.950648148151</v>
      </c>
      <c r="B17279" s="8" t="str">
        <f>HYPERLINK("https://twitter.com/kbrisingapura","@kbrisingapura")</f>
        <v>@kbrisingapura</v>
      </c>
      <c r="C17279" s="8" t="s">
        <v>2116</v>
      </c>
      <c r="D17279" s="8">
        <v>40</v>
      </c>
      <c r="E17279" s="8">
        <v>0</v>
      </c>
      <c r="F17279" s="8">
        <v>4635</v>
      </c>
    </row>
    <row r="17280" spans="1:6" ht="12.75">
      <c r="A17280" s="8">
        <v>43896.950578703705</v>
      </c>
      <c r="B17280" s="8" t="str">
        <f>HYPERLINK("https://twitter.com/SyemaNur","@SyemaNur")</f>
        <v>@SyemaNur</v>
      </c>
      <c r="C17280" s="8" t="s">
        <v>3743</v>
      </c>
      <c r="D17280" s="8">
        <v>194</v>
      </c>
      <c r="E17280" s="8">
        <v>0</v>
      </c>
      <c r="F17280" s="8">
        <v>56</v>
      </c>
    </row>
    <row r="17281" spans="1:6" ht="12.75">
      <c r="A17281" s="8">
        <v>43896.950532407413</v>
      </c>
      <c r="B17281" s="8" t="str">
        <f>HYPERLINK("https://twitter.com/mockthistweet","@mockthistweet")</f>
        <v>@mockthistweet</v>
      </c>
      <c r="C17281" s="8" t="s">
        <v>6974</v>
      </c>
      <c r="D17281" s="8">
        <v>0</v>
      </c>
      <c r="E17281" s="8">
        <v>2</v>
      </c>
      <c r="F17281" s="8">
        <v>22567</v>
      </c>
    </row>
    <row r="17282" spans="1:6" ht="12.75">
      <c r="A17282" s="8">
        <v>43896.95045138889</v>
      </c>
      <c r="B17282" s="8" t="str">
        <f>HYPERLINK("https://twitter.com/bayuwijayant0","@bayuwijayant0")</f>
        <v>@bayuwijayant0</v>
      </c>
      <c r="C17282" s="8" t="s">
        <v>5103</v>
      </c>
      <c r="D17282" s="8">
        <v>134</v>
      </c>
      <c r="E17282" s="8">
        <v>0</v>
      </c>
      <c r="F17282" s="8">
        <v>1143</v>
      </c>
    </row>
    <row r="17283" spans="1:6" ht="12.75">
      <c r="A17283" s="8">
        <v>43896.95034722222</v>
      </c>
      <c r="B17283" s="8" t="str">
        <f>HYPERLINK("https://twitter.com/Shaquazalfa","@Shaquazalfa")</f>
        <v>@Shaquazalfa</v>
      </c>
      <c r="C17283" s="8" t="s">
        <v>6975</v>
      </c>
      <c r="D17283" s="8">
        <v>0</v>
      </c>
      <c r="E17283" s="8">
        <v>0</v>
      </c>
      <c r="F17283" s="8">
        <v>76</v>
      </c>
    </row>
    <row r="17284" spans="1:6" ht="12.75">
      <c r="A17284" s="8">
        <v>43896.950115740736</v>
      </c>
      <c r="B17284" s="8" t="str">
        <f>HYPERLINK("https://twitter.com/tukangkejo","@tukangkejo")</f>
        <v>@tukangkejo</v>
      </c>
      <c r="C17284" s="8" t="s">
        <v>3213</v>
      </c>
      <c r="D17284" s="8">
        <v>85</v>
      </c>
      <c r="E17284" s="8">
        <v>0</v>
      </c>
      <c r="F17284" s="8">
        <v>2251</v>
      </c>
    </row>
    <row r="17285" spans="1:6" ht="12.75">
      <c r="A17285" s="8">
        <v>43896.949733796297</v>
      </c>
      <c r="B17285" s="8" t="str">
        <f>HYPERLINK("https://twitter.com/brahmanie","@brahmanie")</f>
        <v>@brahmanie</v>
      </c>
      <c r="C17285" s="8" t="s">
        <v>6976</v>
      </c>
      <c r="D17285" s="8">
        <v>0</v>
      </c>
      <c r="E17285" s="8">
        <v>0</v>
      </c>
      <c r="F17285" s="8">
        <v>129</v>
      </c>
    </row>
    <row r="17286" spans="1:6" ht="12.75">
      <c r="A17286" s="8">
        <v>43896.949456018519</v>
      </c>
      <c r="B17286" s="8" t="str">
        <f>HYPERLINK("https://twitter.com/RiniSyafriani8","@RiniSyafriani8")</f>
        <v>@RiniSyafriani8</v>
      </c>
      <c r="C17286" s="8" t="s">
        <v>3743</v>
      </c>
      <c r="D17286" s="8">
        <v>194</v>
      </c>
      <c r="E17286" s="8">
        <v>0</v>
      </c>
      <c r="F17286" s="8">
        <v>39</v>
      </c>
    </row>
    <row r="17287" spans="1:6" ht="12.75">
      <c r="A17287" s="8">
        <v>43896.949189814812</v>
      </c>
      <c r="B17287" s="8" t="str">
        <f>HYPERLINK("https://twitter.com/imamyahya200780","@imamyahya200780")</f>
        <v>@imamyahya200780</v>
      </c>
      <c r="C17287" s="8" t="s">
        <v>3213</v>
      </c>
      <c r="D17287" s="8">
        <v>85</v>
      </c>
      <c r="E17287" s="8">
        <v>0</v>
      </c>
      <c r="F17287" s="8">
        <v>424</v>
      </c>
    </row>
    <row r="17288" spans="1:6" ht="12.75">
      <c r="A17288" s="8">
        <v>43896.949097222227</v>
      </c>
      <c r="B17288" s="8" t="str">
        <f>HYPERLINK("https://twitter.com/Susanto21585883","@Susanto21585883")</f>
        <v>@Susanto21585883</v>
      </c>
      <c r="C17288" s="8" t="s">
        <v>3743</v>
      </c>
      <c r="D17288" s="8">
        <v>194</v>
      </c>
      <c r="E17288" s="8">
        <v>0</v>
      </c>
      <c r="F17288" s="8">
        <v>23</v>
      </c>
    </row>
    <row r="17289" spans="1:6" ht="12.75">
      <c r="A17289" s="8">
        <v>43896.948449074072</v>
      </c>
      <c r="B17289" s="8" t="str">
        <f>HYPERLINK("https://twitter.com/Khozin01812087","@Khozin01812087")</f>
        <v>@Khozin01812087</v>
      </c>
      <c r="C17289" s="8" t="s">
        <v>3743</v>
      </c>
      <c r="D17289" s="8">
        <v>194</v>
      </c>
      <c r="E17289" s="8">
        <v>0</v>
      </c>
      <c r="F17289" s="8">
        <v>15</v>
      </c>
    </row>
    <row r="17290" spans="1:6" ht="12.75">
      <c r="A17290" s="8">
        <v>43896.948321759264</v>
      </c>
      <c r="B17290" s="8" t="str">
        <f>HYPERLINK("https://twitter.com/AliDavala99","@AliDavala99")</f>
        <v>@AliDavala99</v>
      </c>
      <c r="C17290" s="8" t="s">
        <v>3743</v>
      </c>
      <c r="D17290" s="8">
        <v>194</v>
      </c>
      <c r="E17290" s="8">
        <v>0</v>
      </c>
      <c r="F17290" s="8">
        <v>85</v>
      </c>
    </row>
    <row r="17291" spans="1:6" ht="12.75">
      <c r="A17291" s="8">
        <v>43896.948206018518</v>
      </c>
      <c r="B17291" s="8" t="str">
        <f>HYPERLINK("https://twitter.com/agoes88","@agoes88")</f>
        <v>@agoes88</v>
      </c>
      <c r="C17291" s="8" t="s">
        <v>3743</v>
      </c>
      <c r="D17291" s="8">
        <v>194</v>
      </c>
      <c r="E17291" s="8">
        <v>0</v>
      </c>
      <c r="F17291" s="8">
        <v>52</v>
      </c>
    </row>
    <row r="17292" spans="1:6" ht="12.75">
      <c r="A17292" s="8">
        <v>43896.94804398148</v>
      </c>
      <c r="B17292" s="8" t="str">
        <f>HYPERLINK("https://twitter.com/Detektif_Ngibul","@Detektif_Ngibul")</f>
        <v>@Detektif_Ngibul</v>
      </c>
      <c r="C17292" s="8" t="s">
        <v>6977</v>
      </c>
      <c r="D17292" s="8">
        <v>1</v>
      </c>
      <c r="E17292" s="8">
        <v>0</v>
      </c>
      <c r="F17292" s="8">
        <v>1622</v>
      </c>
    </row>
    <row r="17293" spans="1:6" ht="12.75">
      <c r="A17293" s="8">
        <v>43896.947881944448</v>
      </c>
      <c r="B17293" s="8" t="str">
        <f>HYPERLINK("https://twitter.com/fath_attaqi","@fath_attaqi")</f>
        <v>@fath_attaqi</v>
      </c>
      <c r="C17293" s="8" t="s">
        <v>3213</v>
      </c>
      <c r="D17293" s="8">
        <v>85</v>
      </c>
      <c r="E17293" s="8">
        <v>0</v>
      </c>
      <c r="F17293" s="8">
        <v>1503</v>
      </c>
    </row>
    <row r="17294" spans="1:6" ht="12.75">
      <c r="A17294" s="8">
        <v>43896.947708333333</v>
      </c>
      <c r="B17294" s="8" t="str">
        <f>HYPERLINK("https://twitter.com/SammyWakatobi","@SammyWakatobi")</f>
        <v>@SammyWakatobi</v>
      </c>
      <c r="C17294" s="8" t="s">
        <v>6978</v>
      </c>
      <c r="D17294" s="8">
        <v>1</v>
      </c>
      <c r="E17294" s="8">
        <v>0</v>
      </c>
      <c r="F17294" s="8">
        <v>254</v>
      </c>
    </row>
    <row r="17295" spans="1:6" ht="12.75">
      <c r="A17295" s="8">
        <v>43896.947523148148</v>
      </c>
      <c r="B17295" s="8" t="str">
        <f>HYPERLINK("https://twitter.com/iblisygsoleh","@iblisygsoleh")</f>
        <v>@iblisygsoleh</v>
      </c>
      <c r="C17295" s="8" t="s">
        <v>6979</v>
      </c>
      <c r="D17295" s="8">
        <v>0</v>
      </c>
      <c r="E17295" s="8">
        <v>0</v>
      </c>
      <c r="F17295" s="8">
        <v>2914</v>
      </c>
    </row>
    <row r="17296" spans="1:6" ht="12.75">
      <c r="A17296" s="8">
        <v>43896.94740740741</v>
      </c>
      <c r="B17296" s="8" t="str">
        <f>HYPERLINK("https://twitter.com/PenyairRadikal","@PenyairRadikal")</f>
        <v>@PenyairRadikal</v>
      </c>
      <c r="C17296" s="8" t="s">
        <v>3743</v>
      </c>
      <c r="D17296" s="8">
        <v>194</v>
      </c>
      <c r="E17296" s="8">
        <v>0</v>
      </c>
      <c r="F17296" s="8">
        <v>126</v>
      </c>
    </row>
    <row r="17297" spans="1:6" ht="12.75">
      <c r="A17297" s="8">
        <v>43896.947291666671</v>
      </c>
      <c r="B17297" s="8" t="str">
        <f>HYPERLINK("https://twitter.com/APriatno9","@APriatno9")</f>
        <v>@APriatno9</v>
      </c>
      <c r="C17297" s="8" t="s">
        <v>3743</v>
      </c>
      <c r="D17297" s="8">
        <v>194</v>
      </c>
      <c r="E17297" s="8">
        <v>0</v>
      </c>
      <c r="F17297" s="8">
        <v>504</v>
      </c>
    </row>
    <row r="17298" spans="1:6" ht="12.75">
      <c r="A17298" s="8">
        <v>43896.947199074071</v>
      </c>
      <c r="B17298" s="8" t="str">
        <f>HYPERLINK("https://twitter.com/Jelantik5","@Jelantik5")</f>
        <v>@Jelantik5</v>
      </c>
      <c r="C17298" s="8" t="s">
        <v>6840</v>
      </c>
      <c r="D17298" s="8">
        <v>2</v>
      </c>
      <c r="E17298" s="8">
        <v>0</v>
      </c>
      <c r="F17298" s="8">
        <v>6526</v>
      </c>
    </row>
    <row r="17299" spans="1:6" ht="12.75">
      <c r="A17299" s="8">
        <v>43896.947152777779</v>
      </c>
      <c r="B17299" s="8" t="str">
        <f>HYPERLINK("https://twitter.com/syarifudinachm2","@syarifudinachm2")</f>
        <v>@syarifudinachm2</v>
      </c>
      <c r="C17299" s="8" t="s">
        <v>3743</v>
      </c>
      <c r="D17299" s="8">
        <v>194</v>
      </c>
      <c r="E17299" s="8">
        <v>0</v>
      </c>
      <c r="F17299" s="8">
        <v>450</v>
      </c>
    </row>
    <row r="17300" spans="1:6" ht="12.75">
      <c r="A17300" s="8">
        <v>43896.947048611109</v>
      </c>
      <c r="B17300" s="8" t="str">
        <f>HYPERLINK("https://twitter.com/Parhan24124547","@Parhan24124547")</f>
        <v>@Parhan24124547</v>
      </c>
      <c r="C17300" s="8" t="s">
        <v>3743</v>
      </c>
      <c r="D17300" s="8">
        <v>194</v>
      </c>
      <c r="E17300" s="8">
        <v>0</v>
      </c>
      <c r="F17300" s="8">
        <v>3</v>
      </c>
    </row>
    <row r="17301" spans="1:6" ht="12.75">
      <c r="A17301" s="8">
        <v>43896.94694444444</v>
      </c>
      <c r="B17301" s="8" t="str">
        <f>HYPERLINK("https://twitter.com/Rahayu_68","@Rahayu_68")</f>
        <v>@Rahayu_68</v>
      </c>
      <c r="C17301" s="8" t="s">
        <v>3743</v>
      </c>
      <c r="D17301" s="8">
        <v>194</v>
      </c>
      <c r="E17301" s="8">
        <v>0</v>
      </c>
      <c r="F17301" s="8">
        <v>76</v>
      </c>
    </row>
    <row r="17302" spans="1:6" ht="12.75">
      <c r="A17302" s="8">
        <v>43896.946655092594</v>
      </c>
      <c r="B17302" s="8" t="str">
        <f>HYPERLINK("https://twitter.com/xatya_ak","@xatya_ak")</f>
        <v>@xatya_ak</v>
      </c>
      <c r="C17302" s="8" t="s">
        <v>5511</v>
      </c>
      <c r="D17302" s="8">
        <v>7</v>
      </c>
      <c r="E17302" s="8">
        <v>0</v>
      </c>
      <c r="F17302" s="8">
        <v>524</v>
      </c>
    </row>
    <row r="17303" spans="1:6" ht="12.75">
      <c r="A17303" s="8">
        <v>43896.946643518517</v>
      </c>
      <c r="B17303" s="8" t="str">
        <f>HYPERLINK("https://twitter.com/hanjuang45","@hanjuang45")</f>
        <v>@hanjuang45</v>
      </c>
      <c r="C17303" s="8" t="s">
        <v>3743</v>
      </c>
      <c r="D17303" s="8">
        <v>194</v>
      </c>
      <c r="E17303" s="8">
        <v>0</v>
      </c>
      <c r="F17303" s="8">
        <v>230</v>
      </c>
    </row>
    <row r="17304" spans="1:6" ht="12.75">
      <c r="A17304" s="8">
        <v>43896.946261574078</v>
      </c>
      <c r="B17304" s="8" t="str">
        <f>HYPERLINK("https://twitter.com/msaid_didu","@msaid_didu")</f>
        <v>@msaid_didu</v>
      </c>
      <c r="C17304" s="8" t="s">
        <v>3743</v>
      </c>
      <c r="D17304" s="8">
        <v>194</v>
      </c>
      <c r="E17304" s="8">
        <v>0</v>
      </c>
      <c r="F17304" s="8">
        <v>238272</v>
      </c>
    </row>
    <row r="17305" spans="1:6" ht="12.75">
      <c r="A17305" s="8">
        <v>43896.946064814816</v>
      </c>
      <c r="B17305" s="8" t="str">
        <f>HYPERLINK("https://twitter.com/fath_attaqi","@fath_attaqi")</f>
        <v>@fath_attaqi</v>
      </c>
      <c r="C17305" s="8" t="s">
        <v>4818</v>
      </c>
      <c r="D17305" s="8">
        <v>53</v>
      </c>
      <c r="E17305" s="8">
        <v>0</v>
      </c>
      <c r="F17305" s="8">
        <v>1503</v>
      </c>
    </row>
    <row r="17306" spans="1:6" ht="12.75">
      <c r="A17306" s="8">
        <v>43896.946030092593</v>
      </c>
      <c r="B17306" s="8" t="str">
        <f>HYPERLINK("https://twitter.com/JevryKenthir","@JevryKenthir")</f>
        <v>@JevryKenthir</v>
      </c>
      <c r="C17306" s="8" t="s">
        <v>5103</v>
      </c>
      <c r="D17306" s="8">
        <v>134</v>
      </c>
      <c r="E17306" s="8">
        <v>0</v>
      </c>
      <c r="F17306" s="8">
        <v>237</v>
      </c>
    </row>
    <row r="17307" spans="1:6" ht="12.75">
      <c r="A17307" s="8">
        <v>43896.945879629631</v>
      </c>
      <c r="B17307" s="8" t="str">
        <f>HYPERLINK("https://twitter.com/rang_simabua","@rang_simabua")</f>
        <v>@rang_simabua</v>
      </c>
      <c r="C17307" s="8" t="s">
        <v>3743</v>
      </c>
      <c r="D17307" s="8">
        <v>194</v>
      </c>
      <c r="E17307" s="8">
        <v>0</v>
      </c>
      <c r="F17307" s="8">
        <v>8036</v>
      </c>
    </row>
    <row r="17308" spans="1:6" ht="12.75">
      <c r="A17308" s="8">
        <v>43896.945590277777</v>
      </c>
      <c r="B17308" s="8" t="str">
        <f>HYPERLINK("https://twitter.com/CepoexR","@CepoexR")</f>
        <v>@CepoexR</v>
      </c>
      <c r="C17308" s="8" t="s">
        <v>3743</v>
      </c>
      <c r="D17308" s="8">
        <v>194</v>
      </c>
      <c r="E17308" s="8">
        <v>0</v>
      </c>
      <c r="F17308" s="8">
        <v>1554</v>
      </c>
    </row>
    <row r="17309" spans="1:6" ht="12.75">
      <c r="A17309" s="8">
        <v>43896.94532407407</v>
      </c>
      <c r="B17309" s="8" t="str">
        <f>HYPERLINK("https://twitter.com/ZheeOmega","@ZheeOmega")</f>
        <v>@ZheeOmega</v>
      </c>
      <c r="C17309" s="8" t="s">
        <v>4818</v>
      </c>
      <c r="D17309" s="8">
        <v>53</v>
      </c>
      <c r="E17309" s="8">
        <v>0</v>
      </c>
      <c r="F17309" s="8">
        <v>17743</v>
      </c>
    </row>
    <row r="17310" spans="1:6" ht="12.75">
      <c r="A17310" s="8">
        <v>43896.922384259262</v>
      </c>
      <c r="B17310" s="8" t="str">
        <f>HYPERLINK("https://twitter.com/okto86","@okto86")</f>
        <v>@okto86</v>
      </c>
      <c r="C17310" s="8" t="s">
        <v>2199</v>
      </c>
      <c r="D17310" s="8">
        <v>9101</v>
      </c>
      <c r="E17310" s="8">
        <v>0</v>
      </c>
      <c r="F17310" s="8">
        <v>203</v>
      </c>
    </row>
    <row r="17311" spans="1:6" ht="12.75">
      <c r="A17311" s="8">
        <v>43896.922361111108</v>
      </c>
      <c r="B17311" s="8" t="str">
        <f>HYPERLINK("https://twitter.com/MasfarGazali","@MasfarGazali")</f>
        <v>@MasfarGazali</v>
      </c>
      <c r="C17311" s="8" t="s">
        <v>6980</v>
      </c>
      <c r="D17311" s="8">
        <v>3</v>
      </c>
      <c r="E17311" s="8">
        <v>0</v>
      </c>
      <c r="F17311" s="8">
        <v>1993</v>
      </c>
    </row>
    <row r="17312" spans="1:6" ht="12.75">
      <c r="A17312" s="8">
        <v>43896.921898148154</v>
      </c>
      <c r="B17312" s="8" t="str">
        <f>HYPERLINK("https://twitter.com/istiqlal_pm","@istiqlal_pm")</f>
        <v>@istiqlal_pm</v>
      </c>
      <c r="C17312" s="8" t="s">
        <v>6981</v>
      </c>
      <c r="D17312" s="8">
        <v>1</v>
      </c>
      <c r="E17312" s="8">
        <v>0</v>
      </c>
      <c r="F17312" s="8">
        <v>29</v>
      </c>
    </row>
    <row r="17313" spans="1:6" ht="12.75">
      <c r="A17313" s="8">
        <v>43896.921851851846</v>
      </c>
      <c r="B17313" s="8" t="str">
        <f>HYPERLINK("https://twitter.com/genostlly","@genostlly")</f>
        <v>@genostlly</v>
      </c>
      <c r="C17313" s="8" t="s">
        <v>3213</v>
      </c>
      <c r="D17313" s="8">
        <v>59</v>
      </c>
      <c r="E17313" s="8">
        <v>0</v>
      </c>
      <c r="F17313" s="8">
        <v>723</v>
      </c>
    </row>
    <row r="17314" spans="1:6" ht="12.75">
      <c r="A17314" s="8">
        <v>43896.921689814815</v>
      </c>
      <c r="B17314" s="8" t="str">
        <f>HYPERLINK("https://twitter.com/Gemacan70Back","@Gemacan70Back")</f>
        <v>@Gemacan70Back</v>
      </c>
      <c r="C17314" s="8" t="s">
        <v>6982</v>
      </c>
      <c r="D17314" s="8">
        <v>5</v>
      </c>
      <c r="E17314" s="8">
        <v>0</v>
      </c>
      <c r="F17314" s="8">
        <v>9499</v>
      </c>
    </row>
    <row r="17315" spans="1:6" ht="12.75">
      <c r="A17315" s="8">
        <v>43896.921481481477</v>
      </c>
      <c r="B17315" s="8" t="str">
        <f>HYPERLINK("https://twitter.com/mrs_geebae","@mrs_geebae")</f>
        <v>@mrs_geebae</v>
      </c>
      <c r="C17315" s="8" t="s">
        <v>6634</v>
      </c>
      <c r="D17315" s="8">
        <v>4</v>
      </c>
      <c r="E17315" s="8">
        <v>0</v>
      </c>
      <c r="F17315" s="8">
        <v>0</v>
      </c>
    </row>
    <row r="17316" spans="1:6" ht="12.75">
      <c r="A17316" s="8">
        <v>43896.920972222222</v>
      </c>
      <c r="B17316" s="8" t="str">
        <f>HYPERLINK("https://twitter.com/ISIS_Balik_NO","@ISIS_Balik_NO")</f>
        <v>@ISIS_Balik_NO</v>
      </c>
      <c r="C17316" s="8" t="s">
        <v>6983</v>
      </c>
      <c r="D17316" s="8">
        <v>947</v>
      </c>
      <c r="E17316" s="8">
        <v>0</v>
      </c>
      <c r="F17316" s="8">
        <v>6133</v>
      </c>
    </row>
    <row r="17317" spans="1:6" ht="12.75">
      <c r="A17317" s="8">
        <v>43896.920844907407</v>
      </c>
      <c r="B17317" s="8" t="str">
        <f>HYPERLINK("https://twitter.com/PluffyLove","@PluffyLove")</f>
        <v>@PluffyLove</v>
      </c>
      <c r="C17317" s="8" t="s">
        <v>6984</v>
      </c>
      <c r="D17317" s="8">
        <v>0</v>
      </c>
      <c r="E17317" s="8">
        <v>0</v>
      </c>
      <c r="F17317" s="8">
        <v>207</v>
      </c>
    </row>
    <row r="17318" spans="1:6" ht="12.75">
      <c r="A17318" s="8">
        <v>43896.920532407406</v>
      </c>
      <c r="B17318" s="8" t="str">
        <f>HYPERLINK("https://twitter.com/iim666","@iim666")</f>
        <v>@iim666</v>
      </c>
      <c r="C17318" s="8" t="s">
        <v>6980</v>
      </c>
      <c r="D17318" s="8">
        <v>3</v>
      </c>
      <c r="E17318" s="8">
        <v>0</v>
      </c>
      <c r="F17318" s="8">
        <v>318</v>
      </c>
    </row>
    <row r="17319" spans="1:6" ht="12.75">
      <c r="A17319" s="8">
        <v>43896.920462962968</v>
      </c>
      <c r="B17319" s="8" t="str">
        <f>HYPERLINK("https://twitter.com/adin00leee","@adin00leee")</f>
        <v>@adin00leee</v>
      </c>
      <c r="C17319" s="8" t="s">
        <v>6985</v>
      </c>
      <c r="D17319" s="8">
        <v>0</v>
      </c>
      <c r="E17319" s="8">
        <v>0</v>
      </c>
      <c r="F17319" s="8">
        <v>1010</v>
      </c>
    </row>
    <row r="17320" spans="1:6" ht="12.75">
      <c r="A17320" s="8">
        <v>43896.920312499999</v>
      </c>
      <c r="B17320" s="8" t="str">
        <f>HYPERLINK("https://twitter.com/ibshdn_","@ibshdn_")</f>
        <v>@ibshdn_</v>
      </c>
      <c r="C17320" s="8" t="s">
        <v>6980</v>
      </c>
      <c r="D17320" s="8">
        <v>3</v>
      </c>
      <c r="E17320" s="8">
        <v>0</v>
      </c>
      <c r="F17320" s="8">
        <v>149</v>
      </c>
    </row>
    <row r="17321" spans="1:6" ht="12.75">
      <c r="A17321" s="8">
        <v>43896.920289351852</v>
      </c>
      <c r="B17321" s="8" t="str">
        <f>HYPERLINK("https://twitter.com/tebumutiara72","@tebumutiara72")</f>
        <v>@tebumutiara72</v>
      </c>
      <c r="C17321" s="8" t="s">
        <v>3213</v>
      </c>
      <c r="D17321" s="8">
        <v>59</v>
      </c>
      <c r="E17321" s="8">
        <v>0</v>
      </c>
      <c r="F17321" s="8">
        <v>842</v>
      </c>
    </row>
    <row r="17322" spans="1:6" ht="12.75">
      <c r="A17322" s="8">
        <v>43896.920231481483</v>
      </c>
      <c r="B17322" s="8" t="str">
        <f>HYPERLINK("https://twitter.com/poncokarso","@poncokarso")</f>
        <v>@poncokarso</v>
      </c>
      <c r="C17322" s="8" t="s">
        <v>6986</v>
      </c>
      <c r="D17322" s="8">
        <v>34</v>
      </c>
      <c r="E17322" s="8">
        <v>0</v>
      </c>
      <c r="F17322" s="8">
        <v>1126</v>
      </c>
    </row>
    <row r="17323" spans="1:6" ht="12.75">
      <c r="A17323" s="8">
        <v>43896.919791666667</v>
      </c>
      <c r="B17323" s="8" t="str">
        <f>HYPERLINK("https://twitter.com/Kaleng_Kurma","@Kaleng_Kurma")</f>
        <v>@Kaleng_Kurma</v>
      </c>
      <c r="C17323" s="8" t="s">
        <v>6128</v>
      </c>
      <c r="D17323" s="8">
        <v>14</v>
      </c>
      <c r="E17323" s="8">
        <v>0</v>
      </c>
      <c r="F17323" s="8">
        <v>227</v>
      </c>
    </row>
    <row r="17324" spans="1:6" ht="12.75">
      <c r="A17324" s="8">
        <v>43896.919432870374</v>
      </c>
      <c r="B17324" s="8" t="str">
        <f>HYPERLINK("https://twitter.com/republikaonline","@republikaonline")</f>
        <v>@republikaonline</v>
      </c>
      <c r="C17324" s="8" t="s">
        <v>6987</v>
      </c>
      <c r="D17324" s="8">
        <v>3</v>
      </c>
      <c r="E17324" s="8">
        <v>3</v>
      </c>
      <c r="F17324" s="8">
        <v>1220707</v>
      </c>
    </row>
    <row r="17325" spans="1:6" ht="12.75">
      <c r="A17325" s="8">
        <v>43896.919062500005</v>
      </c>
      <c r="B17325" s="8" t="str">
        <f>HYPERLINK("https://twitter.com/herlambang_tan","@herlambang_tan")</f>
        <v>@herlambang_tan</v>
      </c>
      <c r="C17325" s="8" t="s">
        <v>5934</v>
      </c>
      <c r="D17325" s="8">
        <v>1</v>
      </c>
      <c r="E17325" s="8">
        <v>0</v>
      </c>
      <c r="F17325" s="8">
        <v>2532</v>
      </c>
    </row>
    <row r="17326" spans="1:6" ht="12.75">
      <c r="A17326" s="8">
        <v>43896.918761574074</v>
      </c>
      <c r="B17326" s="8" t="str">
        <f>HYPERLINK("https://twitter.com/MahinFatavit","@MahinFatavit")</f>
        <v>@MahinFatavit</v>
      </c>
      <c r="C17326" s="8" t="s">
        <v>6986</v>
      </c>
      <c r="D17326" s="8">
        <v>34</v>
      </c>
      <c r="E17326" s="8">
        <v>0</v>
      </c>
      <c r="F17326" s="8">
        <v>6067</v>
      </c>
    </row>
    <row r="17327" spans="1:6" ht="12.75">
      <c r="A17327" s="8">
        <v>43896.918414351851</v>
      </c>
      <c r="B17327" s="8" t="str">
        <f>HYPERLINK("https://twitter.com/herlambang_tan","@herlambang_tan")</f>
        <v>@herlambang_tan</v>
      </c>
      <c r="C17327" s="8" t="s">
        <v>6988</v>
      </c>
      <c r="D17327" s="8">
        <v>0</v>
      </c>
      <c r="E17327" s="8">
        <v>0</v>
      </c>
      <c r="F17327" s="8">
        <v>2532</v>
      </c>
    </row>
    <row r="17328" spans="1:6" ht="12.75">
      <c r="A17328" s="8">
        <v>43896.918414351851</v>
      </c>
      <c r="B17328" s="8" t="str">
        <f>HYPERLINK("https://twitter.com/ISIS_Balik_NO","@ISIS_Balik_NO")</f>
        <v>@ISIS_Balik_NO</v>
      </c>
      <c r="C17328" s="8" t="s">
        <v>6989</v>
      </c>
      <c r="D17328" s="8">
        <v>0</v>
      </c>
      <c r="E17328" s="8">
        <v>0</v>
      </c>
      <c r="F17328" s="8">
        <v>6133</v>
      </c>
    </row>
    <row r="17329" spans="1:6" ht="12.75">
      <c r="A17329" s="8">
        <v>43896.918113425927</v>
      </c>
      <c r="B17329" s="8" t="str">
        <f>HYPERLINK("https://twitter.com/ditoganteng2011","@ditoganteng2011")</f>
        <v>@ditoganteng2011</v>
      </c>
      <c r="C17329" s="8" t="s">
        <v>3743</v>
      </c>
      <c r="D17329" s="8">
        <v>132</v>
      </c>
      <c r="E17329" s="8">
        <v>0</v>
      </c>
      <c r="F17329" s="8">
        <v>2410</v>
      </c>
    </row>
    <row r="17330" spans="1:6" ht="12.75">
      <c r="A17330" s="8">
        <v>43896.917858796296</v>
      </c>
      <c r="B17330" s="8" t="str">
        <f>HYPERLINK("https://twitter.com/ISIS_Balik_NO","@ISIS_Balik_NO")</f>
        <v>@ISIS_Balik_NO</v>
      </c>
      <c r="C17330" s="8" t="s">
        <v>6990</v>
      </c>
      <c r="D17330" s="8">
        <v>93</v>
      </c>
      <c r="E17330" s="8">
        <v>0</v>
      </c>
      <c r="F17330" s="8">
        <v>6133</v>
      </c>
    </row>
    <row r="17331" spans="1:6" ht="12.75">
      <c r="A17331" s="8">
        <v>43896.917303240742</v>
      </c>
      <c r="B17331" s="8" t="str">
        <f>HYPERLINK("https://twitter.com/Sadat72367895","@Sadat72367895")</f>
        <v>@Sadat72367895</v>
      </c>
      <c r="C17331" s="8" t="s">
        <v>3743</v>
      </c>
      <c r="D17331" s="8">
        <v>132</v>
      </c>
      <c r="E17331" s="8">
        <v>0</v>
      </c>
      <c r="F17331" s="8">
        <v>280</v>
      </c>
    </row>
    <row r="17332" spans="1:6" ht="12.75">
      <c r="A17332" s="8">
        <v>43896.917037037041</v>
      </c>
      <c r="B17332" s="8" t="str">
        <f>HYPERLINK("https://twitter.com/Fatakhuroji2","@Fatakhuroji2")</f>
        <v>@Fatakhuroji2</v>
      </c>
      <c r="C17332" s="8" t="s">
        <v>3743</v>
      </c>
      <c r="D17332" s="8">
        <v>132</v>
      </c>
      <c r="E17332" s="8">
        <v>0</v>
      </c>
      <c r="F17332" s="8">
        <v>54</v>
      </c>
    </row>
    <row r="17333" spans="1:6" ht="12.75">
      <c r="A17333" s="8">
        <v>43896.916979166665</v>
      </c>
      <c r="B17333" s="8" t="str">
        <f>HYPERLINK("https://twitter.com/jenk_kelinn","@jenk_kelinn")</f>
        <v>@jenk_kelinn</v>
      </c>
      <c r="C17333" s="8" t="s">
        <v>6991</v>
      </c>
      <c r="D17333" s="8">
        <v>0</v>
      </c>
      <c r="E17333" s="8">
        <v>0</v>
      </c>
      <c r="F17333" s="8">
        <v>8314</v>
      </c>
    </row>
    <row r="17334" spans="1:6" ht="12.75">
      <c r="A17334" s="8">
        <v>43896.916944444441</v>
      </c>
      <c r="B17334" s="8" t="str">
        <f>HYPERLINK("https://twitter.com/asfan_iliadi","@asfan_iliadi")</f>
        <v>@asfan_iliadi</v>
      </c>
      <c r="C17334" s="8" t="s">
        <v>3743</v>
      </c>
      <c r="D17334" s="8">
        <v>132</v>
      </c>
      <c r="E17334" s="8">
        <v>0</v>
      </c>
      <c r="F17334" s="8">
        <v>1294</v>
      </c>
    </row>
    <row r="17335" spans="1:6" ht="12.75">
      <c r="A17335" s="8">
        <v>43896.916493055556</v>
      </c>
      <c r="B17335" s="8" t="str">
        <f>HYPERLINK("https://twitter.com/athet13261689","@athet13261689")</f>
        <v>@athet13261689</v>
      </c>
      <c r="C17335" s="8" t="s">
        <v>3213</v>
      </c>
      <c r="D17335" s="8">
        <v>59</v>
      </c>
      <c r="E17335" s="8">
        <v>0</v>
      </c>
      <c r="F17335" s="8">
        <v>43</v>
      </c>
    </row>
    <row r="17336" spans="1:6" ht="12.75">
      <c r="A17336" s="8">
        <v>43896.916388888887</v>
      </c>
      <c r="B17336" s="8" t="str">
        <f>HYPERLINK("https://twitter.com/HRMalik12","@HRMalik12")</f>
        <v>@HRMalik12</v>
      </c>
      <c r="C17336" s="8" t="s">
        <v>3213</v>
      </c>
      <c r="D17336" s="8">
        <v>59</v>
      </c>
      <c r="E17336" s="8">
        <v>0</v>
      </c>
      <c r="F17336" s="8">
        <v>286</v>
      </c>
    </row>
    <row r="17337" spans="1:6" ht="12.75">
      <c r="A17337" s="8">
        <v>43896.916354166664</v>
      </c>
      <c r="B17337" s="8" t="str">
        <f>HYPERLINK("https://twitter.com/she_isis","@she_isis")</f>
        <v>@she_isis</v>
      </c>
      <c r="C17337" s="8" t="s">
        <v>6992</v>
      </c>
      <c r="D17337" s="8">
        <v>11</v>
      </c>
      <c r="E17337" s="8">
        <v>0</v>
      </c>
      <c r="F17337" s="8">
        <v>173</v>
      </c>
    </row>
    <row r="17338" spans="1:6" ht="12.75">
      <c r="A17338" s="8">
        <v>43896.916284722218</v>
      </c>
      <c r="B17338" s="8" t="str">
        <f>HYPERLINK("https://twitter.com/GoTotheJek","@GoTotheJek")</f>
        <v>@GoTotheJek</v>
      </c>
      <c r="C17338" s="8" t="s">
        <v>4818</v>
      </c>
      <c r="D17338" s="8">
        <v>27</v>
      </c>
      <c r="E17338" s="8">
        <v>0</v>
      </c>
      <c r="F17338" s="8">
        <v>783</v>
      </c>
    </row>
    <row r="17339" spans="1:6" ht="12.75">
      <c r="A17339" s="8">
        <v>43896.916134259256</v>
      </c>
      <c r="B17339" s="8" t="str">
        <f>HYPERLINK("https://twitter.com/she_isis","@she_isis")</f>
        <v>@she_isis</v>
      </c>
      <c r="C17339" s="8" t="s">
        <v>6993</v>
      </c>
      <c r="D17339" s="8">
        <v>41</v>
      </c>
      <c r="E17339" s="8">
        <v>0</v>
      </c>
      <c r="F17339" s="8">
        <v>173</v>
      </c>
    </row>
    <row r="17340" spans="1:6" ht="12.75">
      <c r="A17340" s="8">
        <v>43896.916122685187</v>
      </c>
      <c r="B17340" s="8" t="str">
        <f>HYPERLINK("https://twitter.com/GoTotheJek","@GoTotheJek")</f>
        <v>@GoTotheJek</v>
      </c>
      <c r="C17340" s="8" t="s">
        <v>6994</v>
      </c>
      <c r="D17340" s="8">
        <v>2</v>
      </c>
      <c r="E17340" s="8">
        <v>0</v>
      </c>
      <c r="F17340" s="8">
        <v>783</v>
      </c>
    </row>
    <row r="17341" spans="1:6" ht="12.75">
      <c r="A17341" s="8">
        <v>43896.916087962964</v>
      </c>
      <c r="B17341" s="8" t="str">
        <f>HYPERLINK("https://twitter.com/astariaks","@astariaks")</f>
        <v>@astariaks</v>
      </c>
      <c r="C17341" s="8" t="s">
        <v>6995</v>
      </c>
      <c r="D17341" s="8">
        <v>0</v>
      </c>
      <c r="E17341" s="8">
        <v>0</v>
      </c>
      <c r="F17341" s="8">
        <v>809</v>
      </c>
    </row>
    <row r="17342" spans="1:6" ht="12.75">
      <c r="A17342" s="8">
        <v>43896.915543981479</v>
      </c>
      <c r="B17342" s="8" t="str">
        <f>HYPERLINK("https://twitter.com/HentiUsaha","@HentiUsaha")</f>
        <v>@HentiUsaha</v>
      </c>
      <c r="C17342" s="8" t="s">
        <v>3743</v>
      </c>
      <c r="D17342" s="8">
        <v>132</v>
      </c>
      <c r="E17342" s="8">
        <v>0</v>
      </c>
      <c r="F17342" s="8">
        <v>77</v>
      </c>
    </row>
    <row r="17343" spans="1:6" ht="12.75">
      <c r="A17343" s="8">
        <v>43896.914942129632</v>
      </c>
      <c r="B17343" s="8" t="str">
        <f>HYPERLINK("https://twitter.com/somat_amoral","@somat_amoral")</f>
        <v>@somat_amoral</v>
      </c>
      <c r="C17343" s="8" t="s">
        <v>6996</v>
      </c>
      <c r="D17343" s="8">
        <v>0</v>
      </c>
      <c r="E17343" s="8">
        <v>1</v>
      </c>
      <c r="F17343" s="8">
        <v>2596</v>
      </c>
    </row>
    <row r="17344" spans="1:6" ht="12.75">
      <c r="A17344" s="8">
        <v>43896.914837962962</v>
      </c>
      <c r="B17344" s="8" t="str">
        <f>HYPERLINK("https://twitter.com/tani_suara","@tani_suara")</f>
        <v>@tani_suara</v>
      </c>
      <c r="C17344" s="8" t="s">
        <v>6997</v>
      </c>
      <c r="D17344" s="8">
        <v>0</v>
      </c>
      <c r="E17344" s="8">
        <v>0</v>
      </c>
      <c r="F17344" s="8">
        <v>75</v>
      </c>
    </row>
    <row r="17345" spans="1:6" ht="12.75">
      <c r="A17345" s="8">
        <v>43896.913877314815</v>
      </c>
      <c r="B17345" s="8" t="str">
        <f>HYPERLINK("https://twitter.com/badaxp","@badaxp")</f>
        <v>@badaxp</v>
      </c>
      <c r="C17345" s="8" t="s">
        <v>6998</v>
      </c>
      <c r="D17345" s="8">
        <v>4</v>
      </c>
      <c r="E17345" s="8">
        <v>0</v>
      </c>
      <c r="F17345" s="8">
        <v>250</v>
      </c>
    </row>
    <row r="17346" spans="1:6" ht="12.75">
      <c r="A17346" s="8">
        <v>43896.913842592592</v>
      </c>
      <c r="B17346" s="8" t="str">
        <f>HYPERLINK("https://twitter.com/nemosyus","@nemosyus")</f>
        <v>@nemosyus</v>
      </c>
      <c r="C17346" s="8" t="s">
        <v>6999</v>
      </c>
      <c r="D17346" s="8">
        <v>1</v>
      </c>
      <c r="E17346" s="8">
        <v>2</v>
      </c>
      <c r="F17346" s="8">
        <v>536</v>
      </c>
    </row>
    <row r="17347" spans="1:6" ht="12.75">
      <c r="A17347" s="8">
        <v>43896.913622685184</v>
      </c>
      <c r="B17347" s="8" t="str">
        <f>HYPERLINK("https://twitter.com/SriNeng70160486","@SriNeng70160486")</f>
        <v>@SriNeng70160486</v>
      </c>
      <c r="C17347" s="8" t="s">
        <v>3743</v>
      </c>
      <c r="D17347" s="8">
        <v>132</v>
      </c>
      <c r="E17347" s="8">
        <v>0</v>
      </c>
      <c r="F17347" s="8">
        <v>568</v>
      </c>
    </row>
    <row r="17348" spans="1:6" ht="12.75">
      <c r="A17348" s="8">
        <v>43896.912893518514</v>
      </c>
      <c r="B17348" s="8" t="str">
        <f>HYPERLINK("https://twitter.com/Budihar21525608","@Budihar21525608")</f>
        <v>@Budihar21525608</v>
      </c>
      <c r="C17348" s="8" t="s">
        <v>3213</v>
      </c>
      <c r="D17348" s="8">
        <v>59</v>
      </c>
      <c r="E17348" s="8">
        <v>0</v>
      </c>
      <c r="F17348" s="8">
        <v>6315</v>
      </c>
    </row>
    <row r="17349" spans="1:6" ht="12.75">
      <c r="A17349" s="8">
        <v>43896.912662037037</v>
      </c>
      <c r="B17349" s="8" t="str">
        <f>HYPERLINK("https://twitter.com/cadarmerah","@cadarmerah")</f>
        <v>@cadarmerah</v>
      </c>
      <c r="C17349" s="8" t="s">
        <v>5103</v>
      </c>
      <c r="D17349" s="8">
        <v>125</v>
      </c>
      <c r="E17349" s="8">
        <v>0</v>
      </c>
      <c r="F17349" s="8">
        <v>5663</v>
      </c>
    </row>
    <row r="17350" spans="1:6" ht="12.75">
      <c r="A17350" s="8">
        <v>43896.912569444445</v>
      </c>
      <c r="B17350" s="8" t="str">
        <f>HYPERLINK("https://twitter.com/IndonesiaRamah1","@IndonesiaRamah1")</f>
        <v>@IndonesiaRamah1</v>
      </c>
      <c r="C17350" s="8" t="s">
        <v>7000</v>
      </c>
      <c r="D17350" s="8">
        <v>1</v>
      </c>
      <c r="E17350" s="8">
        <v>0</v>
      </c>
      <c r="F17350" s="8">
        <v>0</v>
      </c>
    </row>
    <row r="17351" spans="1:6" ht="12.75">
      <c r="A17351" s="8">
        <v>43896.912453703699</v>
      </c>
      <c r="B17351" s="8" t="str">
        <f>HYPERLINK("https://twitter.com/alh_koentjoro","@alh_koentjoro")</f>
        <v>@alh_koentjoro</v>
      </c>
      <c r="C17351" s="8" t="s">
        <v>7001</v>
      </c>
      <c r="D17351" s="8">
        <v>0</v>
      </c>
      <c r="E17351" s="8">
        <v>0</v>
      </c>
      <c r="F17351" s="8">
        <v>1752</v>
      </c>
    </row>
    <row r="17352" spans="1:6" ht="12.75">
      <c r="A17352" s="8">
        <v>43896.911909722221</v>
      </c>
      <c r="B17352" s="8" t="str">
        <f>HYPERLINK("https://twitter.com/nusa1233","@nusa1233")</f>
        <v>@nusa1233</v>
      </c>
      <c r="C17352" s="8" t="s">
        <v>3743</v>
      </c>
      <c r="D17352" s="8">
        <v>132</v>
      </c>
      <c r="E17352" s="8">
        <v>0</v>
      </c>
      <c r="F17352" s="8">
        <v>282</v>
      </c>
    </row>
    <row r="17353" spans="1:6" ht="12.75">
      <c r="A17353" s="8">
        <v>43896.911724537036</v>
      </c>
      <c r="B17353" s="8" t="str">
        <f>HYPERLINK("https://twitter.com/syukron641","@syukron641")</f>
        <v>@syukron641</v>
      </c>
      <c r="C17353" s="8" t="s">
        <v>4818</v>
      </c>
      <c r="D17353" s="8">
        <v>27</v>
      </c>
      <c r="E17353" s="8">
        <v>0</v>
      </c>
      <c r="F17353" s="8">
        <v>16</v>
      </c>
    </row>
    <row r="17354" spans="1:6" ht="12.75">
      <c r="A17354" s="8">
        <v>43896.91133101852</v>
      </c>
      <c r="B17354" s="8" t="str">
        <f>HYPERLINK("https://twitter.com/IndonesiaRamah1","@IndonesiaRamah1")</f>
        <v>@IndonesiaRamah1</v>
      </c>
      <c r="C17354" s="8" t="s">
        <v>7002</v>
      </c>
      <c r="D17354" s="8">
        <v>1</v>
      </c>
      <c r="E17354" s="8">
        <v>1</v>
      </c>
      <c r="F17354" s="8">
        <v>0</v>
      </c>
    </row>
    <row r="17355" spans="1:6" ht="12.75">
      <c r="A17355" s="8">
        <v>43896.911099537036</v>
      </c>
      <c r="B17355" s="8" t="str">
        <f>HYPERLINK("https://twitter.com/wni_jmsri","@wni_jmsri")</f>
        <v>@wni_jmsri</v>
      </c>
      <c r="C17355" s="8" t="s">
        <v>7003</v>
      </c>
      <c r="D17355" s="8">
        <v>472</v>
      </c>
      <c r="E17355" s="8">
        <v>0</v>
      </c>
      <c r="F17355" s="8">
        <v>201</v>
      </c>
    </row>
    <row r="17356" spans="1:6" ht="12.75">
      <c r="A17356" s="8">
        <v>43896.91106481482</v>
      </c>
      <c r="B17356" s="8" t="str">
        <f>HYPERLINK("https://twitter.com/isis_janelle","@isis_janelle")</f>
        <v>@isis_janelle</v>
      </c>
      <c r="C17356" s="8" t="s">
        <v>7004</v>
      </c>
      <c r="D17356" s="8">
        <v>0</v>
      </c>
      <c r="E17356" s="8">
        <v>0</v>
      </c>
      <c r="F17356" s="8">
        <v>76</v>
      </c>
    </row>
    <row r="17357" spans="1:6" ht="12.75">
      <c r="A17357" s="8">
        <v>43896.911030092597</v>
      </c>
      <c r="B17357" s="8" t="str">
        <f>HYPERLINK("https://twitter.com/thomas7suherman","@thomas7suherman")</f>
        <v>@thomas7suherman</v>
      </c>
      <c r="C17357" s="8" t="s">
        <v>4948</v>
      </c>
      <c r="D17357" s="8">
        <v>83</v>
      </c>
      <c r="E17357" s="8">
        <v>0</v>
      </c>
      <c r="F17357" s="8">
        <v>2020</v>
      </c>
    </row>
    <row r="17358" spans="1:6" ht="12.75">
      <c r="A17358" s="8">
        <v>43896.910740740743</v>
      </c>
      <c r="B17358" s="8" t="str">
        <f>HYPERLINK("https://twitter.com/CahayaBaktiGraf","@CahayaBaktiGraf")</f>
        <v>@CahayaBaktiGraf</v>
      </c>
      <c r="C17358" s="8" t="s">
        <v>7005</v>
      </c>
      <c r="D17358" s="8">
        <v>0</v>
      </c>
      <c r="E17358" s="8">
        <v>0</v>
      </c>
      <c r="F17358" s="8">
        <v>1026</v>
      </c>
    </row>
    <row r="17359" spans="1:6" ht="12.75">
      <c r="A17359" s="8">
        <v>43896.909594907411</v>
      </c>
      <c r="B17359" s="8" t="str">
        <f>HYPERLINK("https://twitter.com/hendrihasibua10","@hendrihasibua10")</f>
        <v>@hendrihasibua10</v>
      </c>
      <c r="C17359" s="8" t="s">
        <v>3743</v>
      </c>
      <c r="D17359" s="8">
        <v>132</v>
      </c>
      <c r="E17359" s="8">
        <v>0</v>
      </c>
      <c r="F17359" s="8">
        <v>777</v>
      </c>
    </row>
    <row r="17360" spans="1:6" ht="12.75">
      <c r="A17360" s="8">
        <v>43896.90861111111</v>
      </c>
      <c r="B17360" s="8" t="str">
        <f>HYPERLINK("https://twitter.com/gusadhie1","@gusadhie1")</f>
        <v>@gusadhie1</v>
      </c>
      <c r="C17360" s="8" t="s">
        <v>3743</v>
      </c>
      <c r="D17360" s="8">
        <v>132</v>
      </c>
      <c r="E17360" s="8">
        <v>0</v>
      </c>
      <c r="F17360" s="8">
        <v>77</v>
      </c>
    </row>
    <row r="17361" spans="1:6" ht="12.75">
      <c r="A17361" s="8">
        <v>43896.908321759256</v>
      </c>
      <c r="B17361" s="8" t="str">
        <f>HYPERLINK("https://twitter.com/printer_dr","@printer_dr")</f>
        <v>@printer_dr</v>
      </c>
      <c r="C17361" s="8" t="s">
        <v>3743</v>
      </c>
      <c r="D17361" s="8">
        <v>132</v>
      </c>
      <c r="E17361" s="8">
        <v>0</v>
      </c>
      <c r="F17361" s="8">
        <v>2033</v>
      </c>
    </row>
    <row r="17362" spans="1:6" ht="12.75">
      <c r="A17362" s="8">
        <v>43896.908194444448</v>
      </c>
      <c r="B17362" s="8" t="str">
        <f>HYPERLINK("https://twitter.com/Nasution_eD","@Nasution_eD")</f>
        <v>@Nasution_eD</v>
      </c>
      <c r="C17362" s="8" t="s">
        <v>3743</v>
      </c>
      <c r="D17362" s="8">
        <v>132</v>
      </c>
      <c r="E17362" s="8">
        <v>0</v>
      </c>
      <c r="F17362" s="8">
        <v>4644</v>
      </c>
    </row>
    <row r="17363" spans="1:6" ht="12.75">
      <c r="A17363" s="8">
        <v>43896.907847222217</v>
      </c>
      <c r="B17363" s="8" t="str">
        <f>HYPERLINK("https://twitter.com/Among79","@Among79")</f>
        <v>@Among79</v>
      </c>
      <c r="C17363" s="8" t="s">
        <v>4818</v>
      </c>
      <c r="D17363" s="8">
        <v>27</v>
      </c>
      <c r="E17363" s="8">
        <v>0</v>
      </c>
      <c r="F17363" s="8">
        <v>400</v>
      </c>
    </row>
    <row r="17364" spans="1:6" ht="12.75">
      <c r="A17364" s="8">
        <v>43896.907685185186</v>
      </c>
      <c r="B17364" s="8" t="str">
        <f>HYPERLINK("https://twitter.com/ztw868992","@ztw868992")</f>
        <v>@ztw868992</v>
      </c>
      <c r="C17364" s="8" t="s">
        <v>6770</v>
      </c>
      <c r="D17364" s="8">
        <v>2</v>
      </c>
      <c r="E17364" s="8">
        <v>0</v>
      </c>
      <c r="F17364" s="8">
        <v>3768</v>
      </c>
    </row>
    <row r="17365" spans="1:6" ht="12.75">
      <c r="A17365" s="8">
        <v>43896.907638888893</v>
      </c>
      <c r="B17365" s="8" t="str">
        <f>HYPERLINK("https://twitter.com/anantanurizki","@anantanurizki")</f>
        <v>@anantanurizki</v>
      </c>
      <c r="C17365" s="8" t="s">
        <v>4948</v>
      </c>
      <c r="D17365" s="8">
        <v>83</v>
      </c>
      <c r="E17365" s="8">
        <v>0</v>
      </c>
      <c r="F17365" s="8">
        <v>591</v>
      </c>
    </row>
    <row r="17366" spans="1:6" ht="12.75">
      <c r="A17366" s="8">
        <v>43896.907395833332</v>
      </c>
      <c r="B17366" s="8" t="str">
        <f>HYPERLINK("https://twitter.com/YUSKAPITYAJI","@YUSKAPITYAJI")</f>
        <v>@YUSKAPITYAJI</v>
      </c>
      <c r="C17366" s="8" t="s">
        <v>6998</v>
      </c>
      <c r="D17366" s="8">
        <v>4</v>
      </c>
      <c r="E17366" s="8">
        <v>0</v>
      </c>
      <c r="F17366" s="8">
        <v>796</v>
      </c>
    </row>
    <row r="17367" spans="1:6" ht="12.75">
      <c r="A17367" s="8">
        <v>43896.906631944439</v>
      </c>
      <c r="B17367" s="8" t="str">
        <f>HYPERLINK("https://twitter.com/thomas7suherman","@thomas7suherman")</f>
        <v>@thomas7suherman</v>
      </c>
      <c r="C17367" s="8" t="s">
        <v>4818</v>
      </c>
      <c r="D17367" s="8">
        <v>27</v>
      </c>
      <c r="E17367" s="8">
        <v>0</v>
      </c>
      <c r="F17367" s="8">
        <v>2020</v>
      </c>
    </row>
    <row r="17368" spans="1:6" ht="12.75">
      <c r="A17368" s="8">
        <v>43896.906111111108</v>
      </c>
      <c r="B17368" s="8" t="str">
        <f>HYPERLINK("https://twitter.com/dvmaya_","@dvmaya_")</f>
        <v>@dvmaya_</v>
      </c>
      <c r="C17368" s="8" t="s">
        <v>7006</v>
      </c>
      <c r="D17368" s="8">
        <v>0</v>
      </c>
      <c r="E17368" s="8">
        <v>0</v>
      </c>
      <c r="F17368" s="8">
        <v>27</v>
      </c>
    </row>
    <row r="17369" spans="1:6" ht="12.75">
      <c r="A17369" s="8">
        <v>43896.906099537038</v>
      </c>
      <c r="B17369" s="8" t="str">
        <f>HYPERLINK("https://twitter.com/suradiparlan5","@suradiparlan5")</f>
        <v>@suradiparlan5</v>
      </c>
      <c r="C17369" s="8" t="s">
        <v>3213</v>
      </c>
      <c r="D17369" s="8">
        <v>59</v>
      </c>
      <c r="E17369" s="8">
        <v>0</v>
      </c>
      <c r="F17369" s="8">
        <v>1383</v>
      </c>
    </row>
    <row r="17370" spans="1:6" ht="12.75">
      <c r="A17370" s="8">
        <v>43896.905335648145</v>
      </c>
      <c r="B17370" s="8" t="str">
        <f>HYPERLINK("https://twitter.com/awan137","@awan137")</f>
        <v>@awan137</v>
      </c>
      <c r="C17370" s="8" t="s">
        <v>6916</v>
      </c>
      <c r="D17370" s="8">
        <v>6</v>
      </c>
      <c r="E17370" s="8">
        <v>0</v>
      </c>
      <c r="F17370" s="8">
        <v>312</v>
      </c>
    </row>
    <row r="17371" spans="1:6" ht="12.75">
      <c r="A17371" s="8">
        <v>43896.905046296291</v>
      </c>
      <c r="B17371" s="8" t="str">
        <f>HYPERLINK("https://twitter.com/GibranRamadhan_","@GibranRamadhan_")</f>
        <v>@GibranRamadhan_</v>
      </c>
      <c r="C17371" s="8" t="s">
        <v>5103</v>
      </c>
      <c r="D17371" s="8">
        <v>125</v>
      </c>
      <c r="E17371" s="8">
        <v>0</v>
      </c>
      <c r="F17371" s="8">
        <v>219</v>
      </c>
    </row>
    <row r="17372" spans="1:6" ht="12.75">
      <c r="A17372" s="8">
        <v>43896.904988425929</v>
      </c>
      <c r="B17372" s="8" t="str">
        <f>HYPERLINK("https://twitter.com/mamihanafi","@mamihanafi")</f>
        <v>@mamihanafi</v>
      </c>
      <c r="C17372" s="8" t="s">
        <v>3213</v>
      </c>
      <c r="D17372" s="8">
        <v>59</v>
      </c>
      <c r="E17372" s="8">
        <v>0</v>
      </c>
      <c r="F17372" s="8">
        <v>1974</v>
      </c>
    </row>
    <row r="17373" spans="1:6" ht="12.75">
      <c r="A17373" s="8">
        <v>43896.904583333337</v>
      </c>
      <c r="B17373" s="8" t="str">
        <f>HYPERLINK("https://twitter.com/RajudinSimamora","@RajudinSimamora")</f>
        <v>@RajudinSimamora</v>
      </c>
      <c r="C17373" s="8" t="s">
        <v>7007</v>
      </c>
      <c r="D17373" s="8">
        <v>0</v>
      </c>
      <c r="E17373" s="8">
        <v>0</v>
      </c>
      <c r="F17373" s="8">
        <v>456</v>
      </c>
    </row>
    <row r="17374" spans="1:6" ht="12.75">
      <c r="A17374" s="8">
        <v>43896.903634259259</v>
      </c>
      <c r="B17374" s="8" t="str">
        <f>HYPERLINK("https://twitter.com/farizlvthfi","@farizlvthfi")</f>
        <v>@farizlvthfi</v>
      </c>
      <c r="C17374" s="8" t="s">
        <v>4818</v>
      </c>
      <c r="D17374" s="8">
        <v>27</v>
      </c>
      <c r="E17374" s="8">
        <v>0</v>
      </c>
      <c r="F17374" s="8">
        <v>387</v>
      </c>
    </row>
    <row r="17375" spans="1:6" ht="12.75">
      <c r="A17375" s="8">
        <v>43896.903587962966</v>
      </c>
      <c r="B17375" s="8" t="str">
        <f>HYPERLINK("https://twitter.com/stevansixciokre","@stevansixciokre")</f>
        <v>@stevansixciokre</v>
      </c>
      <c r="C17375" s="8" t="s">
        <v>3743</v>
      </c>
      <c r="D17375" s="8">
        <v>132</v>
      </c>
      <c r="E17375" s="8">
        <v>0</v>
      </c>
      <c r="F17375" s="8">
        <v>376</v>
      </c>
    </row>
    <row r="17376" spans="1:6" ht="12.75">
      <c r="A17376" s="8">
        <v>43896.903449074074</v>
      </c>
      <c r="B17376" s="8" t="str">
        <f>HYPERLINK("https://twitter.com/_dimashp","@_dimashp")</f>
        <v>@_dimashp</v>
      </c>
      <c r="C17376" s="8" t="s">
        <v>6998</v>
      </c>
      <c r="D17376" s="8">
        <v>4</v>
      </c>
      <c r="E17376" s="8">
        <v>0</v>
      </c>
      <c r="F17376" s="8">
        <v>121</v>
      </c>
    </row>
    <row r="17377" spans="1:6" ht="12.75">
      <c r="A17377" s="8">
        <v>43896.903113425928</v>
      </c>
      <c r="B17377" s="8" t="str">
        <f>HYPERLINK("https://twitter.com/diroshi3770","@diroshi3770")</f>
        <v>@diroshi3770</v>
      </c>
      <c r="C17377" s="8" t="s">
        <v>3213</v>
      </c>
      <c r="D17377" s="8">
        <v>59</v>
      </c>
      <c r="E17377" s="8">
        <v>0</v>
      </c>
      <c r="F17377" s="8">
        <v>1194</v>
      </c>
    </row>
    <row r="17378" spans="1:6" ht="12.75">
      <c r="A17378" s="8">
        <v>43896.90289351852</v>
      </c>
      <c r="B17378" s="8" t="str">
        <f>HYPERLINK("https://twitter.com/ihsan_aw","@ihsan_aw")</f>
        <v>@ihsan_aw</v>
      </c>
      <c r="C17378" s="8" t="s">
        <v>7008</v>
      </c>
      <c r="D17378" s="8">
        <v>0</v>
      </c>
      <c r="E17378" s="8">
        <v>0</v>
      </c>
      <c r="F17378" s="8">
        <v>213</v>
      </c>
    </row>
    <row r="17379" spans="1:6" ht="12.75">
      <c r="A17379" s="8">
        <v>43896.902870370366</v>
      </c>
      <c r="B17379" s="8" t="str">
        <f>HYPERLINK("https://twitter.com/PutriOcto","@PutriOcto")</f>
        <v>@PutriOcto</v>
      </c>
      <c r="C17379" s="8" t="s">
        <v>3743</v>
      </c>
      <c r="D17379" s="8">
        <v>132</v>
      </c>
      <c r="E17379" s="8">
        <v>0</v>
      </c>
      <c r="F17379" s="8">
        <v>387</v>
      </c>
    </row>
    <row r="17380" spans="1:6" ht="12.75">
      <c r="A17380" s="8">
        <v>43896.902777777781</v>
      </c>
      <c r="B17380" s="8" t="str">
        <f>HYPERLINK("https://twitter.com/mediaindonesia","@mediaindonesia")</f>
        <v>@mediaindonesia</v>
      </c>
      <c r="C17380" s="8" t="s">
        <v>7009</v>
      </c>
      <c r="D17380" s="8">
        <v>4</v>
      </c>
      <c r="E17380" s="8">
        <v>6</v>
      </c>
      <c r="F17380" s="8">
        <v>1420483</v>
      </c>
    </row>
    <row r="17381" spans="1:6" ht="12.75">
      <c r="A17381" s="8">
        <v>43896.902442129634</v>
      </c>
      <c r="B17381" s="8" t="str">
        <f>HYPERLINK("https://twitter.com/harahaps_hrp","@harahaps_hrp")</f>
        <v>@harahaps_hrp</v>
      </c>
      <c r="C17381" s="8" t="s">
        <v>7010</v>
      </c>
      <c r="D17381" s="8">
        <v>0</v>
      </c>
      <c r="E17381" s="8">
        <v>0</v>
      </c>
      <c r="F17381" s="8">
        <v>1507</v>
      </c>
    </row>
    <row r="17382" spans="1:6" ht="12.75">
      <c r="A17382" s="8">
        <v>43896.902314814812</v>
      </c>
      <c r="B17382" s="8" t="str">
        <f>HYPERLINK("https://twitter.com/Irenecutemom","@Irenecutemom")</f>
        <v>@Irenecutemom</v>
      </c>
      <c r="C17382" s="8" t="s">
        <v>3213</v>
      </c>
      <c r="D17382" s="8">
        <v>59</v>
      </c>
      <c r="E17382" s="8">
        <v>0</v>
      </c>
      <c r="F17382" s="8">
        <v>15203</v>
      </c>
    </row>
    <row r="17383" spans="1:6" ht="12.75">
      <c r="A17383" s="8">
        <v>43896.902199074073</v>
      </c>
      <c r="B17383" s="8" t="str">
        <f>HYPERLINK("https://twitter.com/4rdn4n","@4rdn4n")</f>
        <v>@4rdn4n</v>
      </c>
      <c r="C17383" s="8" t="s">
        <v>1318</v>
      </c>
      <c r="D17383" s="8">
        <v>23226</v>
      </c>
      <c r="E17383" s="8">
        <v>0</v>
      </c>
      <c r="F17383" s="8">
        <v>550</v>
      </c>
    </row>
    <row r="17384" spans="1:6" ht="12.75">
      <c r="A17384" s="8">
        <v>43896.902025462958</v>
      </c>
      <c r="B17384" s="8" t="str">
        <f>HYPERLINK("https://twitter.com/Sunanda47292750","@Sunanda47292750")</f>
        <v>@Sunanda47292750</v>
      </c>
      <c r="C17384" s="8" t="s">
        <v>3743</v>
      </c>
      <c r="D17384" s="8">
        <v>132</v>
      </c>
      <c r="E17384" s="8">
        <v>0</v>
      </c>
      <c r="F17384" s="8">
        <v>975</v>
      </c>
    </row>
    <row r="17385" spans="1:6" ht="12.75">
      <c r="A17385" s="8">
        <v>43896.901944444442</v>
      </c>
      <c r="B17385" s="8" t="str">
        <f>HYPERLINK("https://twitter.com/Shellahibono","@Shellahibono")</f>
        <v>@Shellahibono</v>
      </c>
      <c r="C17385" s="8" t="s">
        <v>4948</v>
      </c>
      <c r="D17385" s="8">
        <v>83</v>
      </c>
      <c r="E17385" s="8">
        <v>0</v>
      </c>
      <c r="F17385" s="8">
        <v>79</v>
      </c>
    </row>
    <row r="17386" spans="1:6" ht="12.75">
      <c r="A17386" s="8">
        <v>43896.901724537034</v>
      </c>
      <c r="B17386" s="8" t="str">
        <f>HYPERLINK("https://twitter.com/frida_rahardjo","@frida_rahardjo")</f>
        <v>@frida_rahardjo</v>
      </c>
      <c r="C17386" s="8" t="s">
        <v>7011</v>
      </c>
      <c r="D17386" s="8">
        <v>2</v>
      </c>
      <c r="E17386" s="8">
        <v>0</v>
      </c>
      <c r="F17386" s="8">
        <v>1480</v>
      </c>
    </row>
    <row r="17387" spans="1:6" ht="12.75">
      <c r="A17387" s="8">
        <v>43896.901620370365</v>
      </c>
      <c r="B17387" s="8" t="str">
        <f>HYPERLINK("https://twitter.com/djatoyz","@djatoyz")</f>
        <v>@djatoyz</v>
      </c>
      <c r="C17387" s="8" t="s">
        <v>5103</v>
      </c>
      <c r="D17387" s="8">
        <v>125</v>
      </c>
      <c r="E17387" s="8">
        <v>0</v>
      </c>
      <c r="F17387" s="8">
        <v>251</v>
      </c>
    </row>
    <row r="17388" spans="1:6" ht="12.75">
      <c r="A17388" s="8">
        <v>43896.900787037041</v>
      </c>
      <c r="B17388" s="8" t="str">
        <f>HYPERLINK("https://twitter.com/Detektif_Ngibul","@Detektif_Ngibul")</f>
        <v>@Detektif_Ngibul</v>
      </c>
      <c r="C17388" s="8" t="s">
        <v>7011</v>
      </c>
      <c r="D17388" s="8">
        <v>2</v>
      </c>
      <c r="E17388" s="8">
        <v>0</v>
      </c>
      <c r="F17388" s="8">
        <v>1612</v>
      </c>
    </row>
    <row r="17389" spans="1:6" ht="12.75">
      <c r="A17389" s="8">
        <v>43896.900578703702</v>
      </c>
      <c r="B17389" s="8" t="str">
        <f>HYPERLINK("https://twitter.com/Wolverine_Nemo","@Wolverine_Nemo")</f>
        <v>@Wolverine_Nemo</v>
      </c>
      <c r="C17389" s="8" t="s">
        <v>4818</v>
      </c>
      <c r="D17389" s="8">
        <v>27</v>
      </c>
      <c r="E17389" s="8">
        <v>0</v>
      </c>
      <c r="F17389" s="8">
        <v>1182</v>
      </c>
    </row>
    <row r="17390" spans="1:6" ht="12.75">
      <c r="A17390" s="8">
        <v>43896.900381944448</v>
      </c>
      <c r="B17390" s="8" t="str">
        <f>HYPERLINK("https://twitter.com/TnEQUIL","@TnEQUIL")</f>
        <v>@TnEQUIL</v>
      </c>
      <c r="C17390" s="8" t="s">
        <v>7012</v>
      </c>
      <c r="D17390" s="8">
        <v>0</v>
      </c>
      <c r="E17390" s="8">
        <v>2</v>
      </c>
      <c r="F17390" s="8">
        <v>1158</v>
      </c>
    </row>
    <row r="17391" spans="1:6" ht="12.75">
      <c r="A17391" s="8">
        <v>43896.900289351848</v>
      </c>
      <c r="B17391" s="8" t="str">
        <f>HYPERLINK("https://twitter.com/Michael79820241","@Michael79820241")</f>
        <v>@Michael79820241</v>
      </c>
      <c r="C17391" s="8" t="s">
        <v>5103</v>
      </c>
      <c r="D17391" s="8">
        <v>125</v>
      </c>
      <c r="E17391" s="8">
        <v>0</v>
      </c>
      <c r="F17391" s="8">
        <v>111</v>
      </c>
    </row>
    <row r="17392" spans="1:6" ht="12.75">
      <c r="A17392" s="8">
        <v>43896.900138888886</v>
      </c>
      <c r="B17392" s="8" t="str">
        <f>HYPERLINK("https://twitter.com/AWChuz","@AWChuz")</f>
        <v>@AWChuz</v>
      </c>
      <c r="C17392" s="8" t="s">
        <v>7013</v>
      </c>
      <c r="D17392" s="8">
        <v>2</v>
      </c>
      <c r="E17392" s="8">
        <v>1</v>
      </c>
      <c r="F17392" s="8">
        <v>1272</v>
      </c>
    </row>
    <row r="17393" spans="1:6" ht="12.75">
      <c r="A17393" s="8">
        <v>43896.899942129632</v>
      </c>
      <c r="B17393" s="8" t="str">
        <f>HYPERLINK("https://twitter.com/bimapranantaa","@bimapranantaa")</f>
        <v>@bimapranantaa</v>
      </c>
      <c r="C17393" s="8" t="s">
        <v>3213</v>
      </c>
      <c r="D17393" s="8">
        <v>59</v>
      </c>
      <c r="E17393" s="8">
        <v>0</v>
      </c>
      <c r="F17393" s="8">
        <v>3158</v>
      </c>
    </row>
    <row r="17394" spans="1:6" ht="12.75">
      <c r="A17394" s="8">
        <v>43896.899571759262</v>
      </c>
      <c r="B17394" s="8" t="str">
        <f>HYPERLINK("https://twitter.com/Wahyou31710741","@Wahyou31710741")</f>
        <v>@Wahyou31710741</v>
      </c>
      <c r="C17394" s="8" t="s">
        <v>4818</v>
      </c>
      <c r="D17394" s="8">
        <v>27</v>
      </c>
      <c r="E17394" s="8">
        <v>0</v>
      </c>
      <c r="F17394" s="8">
        <v>175</v>
      </c>
    </row>
    <row r="17395" spans="1:6" ht="12.75">
      <c r="A17395" s="8">
        <v>43896.899560185186</v>
      </c>
      <c r="B17395" s="8" t="str">
        <f>HYPERLINK("https://twitter.com/rifak_arzerro","@rifak_arzerro")</f>
        <v>@rifak_arzerro</v>
      </c>
      <c r="C17395" s="8" t="s">
        <v>3213</v>
      </c>
      <c r="D17395" s="8">
        <v>59</v>
      </c>
      <c r="E17395" s="8">
        <v>0</v>
      </c>
      <c r="F17395" s="8">
        <v>653</v>
      </c>
    </row>
    <row r="17396" spans="1:6" ht="12.75">
      <c r="A17396" s="8">
        <v>43896.899317129632</v>
      </c>
      <c r="B17396" s="8" t="str">
        <f>HYPERLINK("https://twitter.com/vianratulangi","@vianratulangi")</f>
        <v>@vianratulangi</v>
      </c>
      <c r="C17396" s="8" t="s">
        <v>3213</v>
      </c>
      <c r="D17396" s="8">
        <v>59</v>
      </c>
      <c r="E17396" s="8">
        <v>0</v>
      </c>
      <c r="F17396" s="8">
        <v>1573</v>
      </c>
    </row>
    <row r="17397" spans="1:6" ht="12.75">
      <c r="A17397" s="8">
        <v>43896.898981481485</v>
      </c>
      <c r="B17397" s="8" t="str">
        <f>HYPERLINK("https://twitter.com/NinoGitar","@NinoGitar")</f>
        <v>@NinoGitar</v>
      </c>
      <c r="C17397" s="8" t="s">
        <v>3743</v>
      </c>
      <c r="D17397" s="8">
        <v>132</v>
      </c>
      <c r="E17397" s="8">
        <v>0</v>
      </c>
      <c r="F17397" s="8">
        <v>115</v>
      </c>
    </row>
    <row r="17398" spans="1:6" ht="12.75">
      <c r="A17398" s="8">
        <v>43896.898981481485</v>
      </c>
      <c r="B17398" s="8" t="str">
        <f>HYPERLINK("https://twitter.com/olencieile","@olencieile")</f>
        <v>@olencieile</v>
      </c>
      <c r="C17398" s="8" t="s">
        <v>4948</v>
      </c>
      <c r="D17398" s="8">
        <v>83</v>
      </c>
      <c r="E17398" s="8">
        <v>0</v>
      </c>
      <c r="F17398" s="8">
        <v>2977</v>
      </c>
    </row>
    <row r="17399" spans="1:6" ht="12.75">
      <c r="A17399" s="8">
        <v>43896.898935185185</v>
      </c>
      <c r="B17399" s="8" t="str">
        <f>HYPERLINK("https://twitter.com/KekeySRiana","@KekeySRiana")</f>
        <v>@KekeySRiana</v>
      </c>
      <c r="C17399" s="8" t="s">
        <v>4818</v>
      </c>
      <c r="D17399" s="8">
        <v>27</v>
      </c>
      <c r="E17399" s="8">
        <v>0</v>
      </c>
      <c r="F17399" s="8">
        <v>1076</v>
      </c>
    </row>
    <row r="17400" spans="1:6" ht="12.75">
      <c r="A17400" s="8">
        <v>43896.898564814815</v>
      </c>
      <c r="B17400" s="8" t="str">
        <f>HYPERLINK("https://twitter.com/echaasmawi","@echaasmawi")</f>
        <v>@echaasmawi</v>
      </c>
      <c r="C17400" s="8" t="s">
        <v>3743</v>
      </c>
      <c r="D17400" s="8">
        <v>132</v>
      </c>
      <c r="E17400" s="8">
        <v>0</v>
      </c>
      <c r="F17400" s="8">
        <v>1459</v>
      </c>
    </row>
    <row r="17401" spans="1:6" ht="12.75">
      <c r="A17401" s="8">
        <v>43896.898506944446</v>
      </c>
      <c r="B17401" s="8" t="str">
        <f>HYPERLINK("https://twitter.com/Detektif_Ngibul","@Detektif_Ngibul")</f>
        <v>@Detektif_Ngibul</v>
      </c>
      <c r="C17401" s="8" t="s">
        <v>6994</v>
      </c>
      <c r="D17401" s="8">
        <v>2</v>
      </c>
      <c r="E17401" s="8">
        <v>0</v>
      </c>
      <c r="F17401" s="8">
        <v>1612</v>
      </c>
    </row>
    <row r="17402" spans="1:6" ht="12.75">
      <c r="A17402" s="8">
        <v>43896.898333333331</v>
      </c>
      <c r="B17402" s="8" t="str">
        <f>HYPERLINK("https://twitter.com/edukasico","@edukasico")</f>
        <v>@edukasico</v>
      </c>
      <c r="C17402" s="8" t="s">
        <v>7014</v>
      </c>
      <c r="D17402" s="8">
        <v>0</v>
      </c>
      <c r="E17402" s="8">
        <v>0</v>
      </c>
      <c r="F17402" s="8">
        <v>3</v>
      </c>
    </row>
    <row r="17403" spans="1:6" ht="12.75">
      <c r="A17403" s="8">
        <v>43896.898263888885</v>
      </c>
      <c r="B17403" s="8" t="str">
        <f>HYPERLINK("https://twitter.com/4rdn4n","@4rdn4n")</f>
        <v>@4rdn4n</v>
      </c>
      <c r="C17403" s="8" t="s">
        <v>7015</v>
      </c>
      <c r="D17403" s="8">
        <v>1908</v>
      </c>
      <c r="E17403" s="8">
        <v>0</v>
      </c>
      <c r="F17403" s="8">
        <v>550</v>
      </c>
    </row>
    <row r="17404" spans="1:6" ht="12.75">
      <c r="A17404" s="8">
        <v>43896.898148148146</v>
      </c>
      <c r="B17404" s="8" t="str">
        <f>HYPERLINK("https://twitter.com/CandraRachmad","@CandraRachmad")</f>
        <v>@CandraRachmad</v>
      </c>
      <c r="C17404" s="8" t="s">
        <v>6128</v>
      </c>
      <c r="D17404" s="8">
        <v>14</v>
      </c>
      <c r="E17404" s="8">
        <v>0</v>
      </c>
      <c r="F17404" s="8">
        <v>164</v>
      </c>
    </row>
    <row r="17405" spans="1:6" ht="12.75">
      <c r="A17405" s="8">
        <v>43896.897685185184</v>
      </c>
      <c r="B17405" s="8" t="str">
        <f>HYPERLINK("https://twitter.com/AlfaAlfarizy1","@AlfaAlfarizy1")</f>
        <v>@AlfaAlfarizy1</v>
      </c>
      <c r="C17405" s="8" t="s">
        <v>3213</v>
      </c>
      <c r="D17405" s="8">
        <v>59</v>
      </c>
      <c r="E17405" s="8">
        <v>0</v>
      </c>
      <c r="F17405" s="8">
        <v>627</v>
      </c>
    </row>
    <row r="17406" spans="1:6" ht="12.75">
      <c r="A17406" s="8">
        <v>43896.897291666668</v>
      </c>
      <c r="B17406" s="8" t="str">
        <f>HYPERLINK("https://twitter.com/AgungWidrajat","@AgungWidrajat")</f>
        <v>@AgungWidrajat</v>
      </c>
      <c r="C17406" s="8" t="s">
        <v>5103</v>
      </c>
      <c r="D17406" s="8">
        <v>125</v>
      </c>
      <c r="E17406" s="8">
        <v>0</v>
      </c>
      <c r="F17406" s="8">
        <v>2312</v>
      </c>
    </row>
    <row r="17407" spans="1:6" ht="12.75">
      <c r="A17407" s="8">
        <v>43896.897048611107</v>
      </c>
      <c r="B17407" s="8" t="str">
        <f>HYPERLINK("https://twitter.com/Michael79820241","@Michael79820241")</f>
        <v>@Michael79820241</v>
      </c>
      <c r="C17407" s="8" t="s">
        <v>3213</v>
      </c>
      <c r="D17407" s="8">
        <v>59</v>
      </c>
      <c r="E17407" s="8">
        <v>0</v>
      </c>
      <c r="F17407" s="8">
        <v>111</v>
      </c>
    </row>
    <row r="17408" spans="1:6" ht="12.75">
      <c r="A17408" s="8">
        <v>43896.89675925926</v>
      </c>
      <c r="B17408" s="8" t="str">
        <f>HYPERLINK("https://twitter.com/ProJustisiaNews","@ProJustisiaNews")</f>
        <v>@ProJustisiaNews</v>
      </c>
      <c r="C17408" s="8" t="s">
        <v>7016</v>
      </c>
      <c r="D17408" s="8">
        <v>0</v>
      </c>
      <c r="E17408" s="8">
        <v>0</v>
      </c>
      <c r="F17408" s="8">
        <v>36</v>
      </c>
    </row>
    <row r="17409" spans="1:6" ht="12.75">
      <c r="A17409" s="8">
        <v>43896.881828703699</v>
      </c>
      <c r="B17409" s="8" t="str">
        <f>HYPERLINK("https://twitter.com/ChantiqPutriAyu","@ChantiqPutriAyu")</f>
        <v>@ChantiqPutriAyu</v>
      </c>
      <c r="C17409" s="8" t="s">
        <v>3213</v>
      </c>
      <c r="D17409" s="8">
        <v>21</v>
      </c>
      <c r="E17409" s="8">
        <v>0</v>
      </c>
      <c r="F17409" s="8">
        <v>542</v>
      </c>
    </row>
    <row r="17410" spans="1:6" ht="12.75">
      <c r="A17410" s="8">
        <v>43896.881701388891</v>
      </c>
      <c r="B17410" s="8" t="str">
        <f>HYPERLINK("https://twitter.com/rullyjoo27","@rullyjoo27")</f>
        <v>@rullyjoo27</v>
      </c>
      <c r="C17410" s="8" t="s">
        <v>3213</v>
      </c>
      <c r="D17410" s="8">
        <v>21</v>
      </c>
      <c r="E17410" s="8">
        <v>0</v>
      </c>
      <c r="F17410" s="8">
        <v>2191</v>
      </c>
    </row>
    <row r="17411" spans="1:6" ht="12.75">
      <c r="A17411" s="8">
        <v>43896.881539351853</v>
      </c>
      <c r="B17411" s="8" t="str">
        <f>HYPERLINK("https://twitter.com/hendrihasibua10","@hendrihasibua10")</f>
        <v>@hendrihasibua10</v>
      </c>
      <c r="C17411" s="8" t="s">
        <v>6128</v>
      </c>
      <c r="D17411" s="8">
        <v>11</v>
      </c>
      <c r="E17411" s="8">
        <v>0</v>
      </c>
      <c r="F17411" s="8">
        <v>777</v>
      </c>
    </row>
    <row r="17412" spans="1:6" ht="12.75">
      <c r="A17412" s="8">
        <v>43896.88145833333</v>
      </c>
      <c r="B17412" s="8" t="str">
        <f>HYPERLINK("https://twitter.com/agaykhan1","@agaykhan1")</f>
        <v>@agaykhan1</v>
      </c>
      <c r="C17412" s="8" t="s">
        <v>3743</v>
      </c>
      <c r="D17412" s="8">
        <v>100</v>
      </c>
      <c r="E17412" s="8">
        <v>0</v>
      </c>
      <c r="F17412" s="8">
        <v>10</v>
      </c>
    </row>
    <row r="17413" spans="1:6" ht="12.75">
      <c r="A17413" s="8">
        <v>43896.881319444445</v>
      </c>
      <c r="B17413" s="8" t="str">
        <f>HYPERLINK("https://twitter.com/Isis_Silvaa","@Isis_Silvaa")</f>
        <v>@Isis_Silvaa</v>
      </c>
      <c r="C17413" s="8" t="s">
        <v>7017</v>
      </c>
      <c r="D17413" s="8">
        <v>998</v>
      </c>
      <c r="E17413" s="8">
        <v>0</v>
      </c>
      <c r="F17413" s="8">
        <v>286</v>
      </c>
    </row>
    <row r="17414" spans="1:6" ht="12.75">
      <c r="A17414" s="8">
        <v>43896.881203703699</v>
      </c>
      <c r="B17414" s="8" t="str">
        <f>HYPERLINK("https://twitter.com/iNewsID","@iNewsID")</f>
        <v>@iNewsID</v>
      </c>
      <c r="C17414" s="8" t="s">
        <v>7018</v>
      </c>
      <c r="D17414" s="8">
        <v>0</v>
      </c>
      <c r="E17414" s="8">
        <v>0</v>
      </c>
      <c r="F17414" s="8">
        <v>1367</v>
      </c>
    </row>
    <row r="17415" spans="1:6" ht="12.75">
      <c r="A17415" s="8">
        <v>43896.881192129629</v>
      </c>
      <c r="B17415" s="8" t="str">
        <f>HYPERLINK("https://twitter.com/katiktubin","@katiktubin")</f>
        <v>@katiktubin</v>
      </c>
      <c r="C17415" s="8" t="s">
        <v>6772</v>
      </c>
      <c r="D17415" s="8">
        <v>85</v>
      </c>
      <c r="E17415" s="8">
        <v>0</v>
      </c>
      <c r="F17415" s="8">
        <v>265</v>
      </c>
    </row>
    <row r="17416" spans="1:6" ht="12.75">
      <c r="A17416" s="8">
        <v>43896.880648148144</v>
      </c>
      <c r="B17416" s="8" t="str">
        <f>HYPERLINK("https://twitter.com/BadjaNuswantara","@BadjaNuswantara")</f>
        <v>@BadjaNuswantara</v>
      </c>
      <c r="C17416" s="8" t="s">
        <v>5103</v>
      </c>
      <c r="D17416" s="8">
        <v>107</v>
      </c>
      <c r="E17416" s="8">
        <v>0</v>
      </c>
      <c r="F17416" s="8">
        <v>43926</v>
      </c>
    </row>
    <row r="17417" spans="1:6" ht="12.75">
      <c r="A17417" s="8">
        <v>43896.880567129629</v>
      </c>
      <c r="B17417" s="8" t="str">
        <f>HYPERLINK("https://twitter.com/bobyirawan54","@bobyirawan54")</f>
        <v>@bobyirawan54</v>
      </c>
      <c r="C17417" s="8" t="s">
        <v>4948</v>
      </c>
      <c r="D17417" s="8">
        <v>79</v>
      </c>
      <c r="E17417" s="8">
        <v>0</v>
      </c>
      <c r="F17417" s="8">
        <v>525</v>
      </c>
    </row>
    <row r="17418" spans="1:6" ht="12.75">
      <c r="A17418" s="8">
        <v>43896.880462962959</v>
      </c>
      <c r="B17418" s="8" t="str">
        <f>HYPERLINK("https://twitter.com/iNewsID","@iNewsID")</f>
        <v>@iNewsID</v>
      </c>
      <c r="C17418" s="8" t="s">
        <v>7019</v>
      </c>
      <c r="D17418" s="8">
        <v>0</v>
      </c>
      <c r="E17418" s="8">
        <v>0</v>
      </c>
      <c r="F17418" s="8">
        <v>1367</v>
      </c>
    </row>
    <row r="17419" spans="1:6" ht="12.75">
      <c r="A17419" s="8">
        <v>43896.88009259259</v>
      </c>
      <c r="B17419" s="8" t="str">
        <f>HYPERLINK("https://twitter.com/Mif_huda1003","@Mif_huda1003")</f>
        <v>@Mif_huda1003</v>
      </c>
      <c r="C17419" s="8" t="s">
        <v>7020</v>
      </c>
      <c r="D17419" s="8">
        <v>0</v>
      </c>
      <c r="E17419" s="8">
        <v>0</v>
      </c>
      <c r="F17419" s="8">
        <v>215</v>
      </c>
    </row>
    <row r="17420" spans="1:6" ht="12.75">
      <c r="A17420" s="8">
        <v>43896.880057870367</v>
      </c>
      <c r="B17420" s="8" t="str">
        <f>HYPERLINK("https://twitter.com/AdityaRahayu76","@AdityaRahayu76")</f>
        <v>@AdityaRahayu76</v>
      </c>
      <c r="C17420" s="8" t="s">
        <v>3213</v>
      </c>
      <c r="D17420" s="8">
        <v>21</v>
      </c>
      <c r="E17420" s="8">
        <v>0</v>
      </c>
      <c r="F17420" s="8">
        <v>838</v>
      </c>
    </row>
    <row r="17421" spans="1:6" ht="12.75">
      <c r="A17421" s="8">
        <v>43896.880011574074</v>
      </c>
      <c r="B17421" s="8" t="str">
        <f>HYPERLINK("https://twitter.com/MrsAmron23","@MrsAmron23")</f>
        <v>@MrsAmron23</v>
      </c>
      <c r="C17421" s="8" t="s">
        <v>3213</v>
      </c>
      <c r="D17421" s="8">
        <v>21</v>
      </c>
      <c r="E17421" s="8">
        <v>0</v>
      </c>
      <c r="F17421" s="8">
        <v>840</v>
      </c>
    </row>
    <row r="17422" spans="1:6" ht="12.75">
      <c r="A17422" s="8">
        <v>43896.879965277782</v>
      </c>
      <c r="B17422" s="8" t="str">
        <f>HYPERLINK("https://twitter.com/abcd2878","@abcd2878")</f>
        <v>@abcd2878</v>
      </c>
      <c r="C17422" s="8" t="s">
        <v>6772</v>
      </c>
      <c r="D17422" s="8">
        <v>85</v>
      </c>
      <c r="E17422" s="8">
        <v>0</v>
      </c>
      <c r="F17422" s="8">
        <v>133</v>
      </c>
    </row>
    <row r="17423" spans="1:6" ht="12.75">
      <c r="A17423" s="8">
        <v>43896.879907407405</v>
      </c>
      <c r="B17423" s="8" t="str">
        <f>HYPERLINK("https://twitter.com/kompascom","@kompascom")</f>
        <v>@kompascom</v>
      </c>
      <c r="C17423" s="8" t="s">
        <v>7021</v>
      </c>
      <c r="D17423" s="8">
        <v>1</v>
      </c>
      <c r="E17423" s="8">
        <v>0</v>
      </c>
      <c r="F17423" s="8">
        <v>7531986</v>
      </c>
    </row>
    <row r="17424" spans="1:6" ht="12.75">
      <c r="A17424" s="8">
        <v>43896.879780092597</v>
      </c>
      <c r="B17424" s="8" t="str">
        <f>HYPERLINK("https://twitter.com/SemutMerah007","@SemutMerah007")</f>
        <v>@SemutMerah007</v>
      </c>
      <c r="C17424" s="8" t="s">
        <v>3213</v>
      </c>
      <c r="D17424" s="8">
        <v>21</v>
      </c>
      <c r="E17424" s="8">
        <v>0</v>
      </c>
      <c r="F17424" s="8">
        <v>277</v>
      </c>
    </row>
    <row r="17425" spans="1:6" ht="12.75">
      <c r="A17425" s="8">
        <v>43896.879652777774</v>
      </c>
      <c r="B17425" s="8" t="str">
        <f>HYPERLINK("https://twitter.com/AliObeng","@AliObeng")</f>
        <v>@AliObeng</v>
      </c>
      <c r="C17425" s="8" t="s">
        <v>3213</v>
      </c>
      <c r="D17425" s="8">
        <v>21</v>
      </c>
      <c r="E17425" s="8">
        <v>0</v>
      </c>
      <c r="F17425" s="8">
        <v>3846</v>
      </c>
    </row>
    <row r="17426" spans="1:6" ht="12.75">
      <c r="A17426" s="8">
        <v>43896.879525462966</v>
      </c>
      <c r="B17426" s="8" t="str">
        <f>HYPERLINK("https://twitter.com/hardwind21","@hardwind21")</f>
        <v>@hardwind21</v>
      </c>
      <c r="C17426" s="8" t="s">
        <v>7022</v>
      </c>
      <c r="D17426" s="8">
        <v>0</v>
      </c>
      <c r="E17426" s="8">
        <v>0</v>
      </c>
      <c r="F17426" s="8">
        <v>393</v>
      </c>
    </row>
    <row r="17427" spans="1:6" ht="12.75">
      <c r="A17427" s="8">
        <v>43896.879328703704</v>
      </c>
      <c r="B17427" s="8" t="str">
        <f>HYPERLINK("https://twitter.com/ru8ymarch","@ru8ymarch")</f>
        <v>@ru8ymarch</v>
      </c>
      <c r="C17427" s="8" t="s">
        <v>7023</v>
      </c>
      <c r="D17427" s="8">
        <v>0</v>
      </c>
      <c r="E17427" s="8">
        <v>0</v>
      </c>
      <c r="F17427" s="8">
        <v>0</v>
      </c>
    </row>
    <row r="17428" spans="1:6" ht="12.75">
      <c r="A17428" s="8">
        <v>43896.879212962958</v>
      </c>
      <c r="B17428" s="8" t="str">
        <f>HYPERLINK("https://twitter.com/kompasiana","@kompasiana")</f>
        <v>@kompasiana</v>
      </c>
      <c r="C17428" s="8" t="s">
        <v>7024</v>
      </c>
      <c r="D17428" s="8">
        <v>1</v>
      </c>
      <c r="E17428" s="8">
        <v>1</v>
      </c>
      <c r="F17428" s="8">
        <v>932780</v>
      </c>
    </row>
    <row r="17429" spans="1:6" ht="12.75">
      <c r="A17429" s="8">
        <v>43896.879143518519</v>
      </c>
      <c r="B17429" s="8" t="str">
        <f>HYPERLINK("https://twitter.com/RRajho","@RRajho")</f>
        <v>@RRajho</v>
      </c>
      <c r="C17429" s="8" t="s">
        <v>5103</v>
      </c>
      <c r="D17429" s="8">
        <v>107</v>
      </c>
      <c r="E17429" s="8">
        <v>0</v>
      </c>
      <c r="F17429" s="8">
        <v>168</v>
      </c>
    </row>
    <row r="17430" spans="1:6" ht="12.75">
      <c r="A17430" s="8">
        <v>43896.87877314815</v>
      </c>
      <c r="B17430" s="8" t="str">
        <f>HYPERLINK("https://twitter.com/BadjaNuswantara","@BadjaNuswantara")</f>
        <v>@BadjaNuswantara</v>
      </c>
      <c r="C17430" s="8" t="s">
        <v>3213</v>
      </c>
      <c r="D17430" s="8">
        <v>21</v>
      </c>
      <c r="E17430" s="8">
        <v>0</v>
      </c>
      <c r="F17430" s="8">
        <v>43926</v>
      </c>
    </row>
    <row r="17431" spans="1:6" ht="12.75">
      <c r="A17431" s="8">
        <v>43896.878460648149</v>
      </c>
      <c r="B17431" s="8" t="str">
        <f>HYPERLINK("https://twitter.com/BiangKe95719280","@BiangKe95719280")</f>
        <v>@BiangKe95719280</v>
      </c>
      <c r="C17431" s="8" t="s">
        <v>7025</v>
      </c>
      <c r="D17431" s="8">
        <v>0</v>
      </c>
      <c r="E17431" s="8">
        <v>0</v>
      </c>
      <c r="F17431" s="8">
        <v>67</v>
      </c>
    </row>
    <row r="17432" spans="1:6" ht="12.75">
      <c r="A17432" s="8">
        <v>43896.878055555557</v>
      </c>
      <c r="B17432" s="8" t="str">
        <f>HYPERLINK("https://twitter.com/Harzelan1","@Harzelan1")</f>
        <v>@Harzelan1</v>
      </c>
      <c r="C17432" s="8" t="s">
        <v>6690</v>
      </c>
      <c r="D17432" s="8">
        <v>8</v>
      </c>
      <c r="E17432" s="8">
        <v>0</v>
      </c>
      <c r="F17432" s="8">
        <v>101</v>
      </c>
    </row>
    <row r="17433" spans="1:6" ht="12.75">
      <c r="A17433" s="8">
        <v>43896.877303240741</v>
      </c>
      <c r="B17433" s="8" t="str">
        <f>HYPERLINK("https://twitter.com/SigitWtj","@SigitWtj")</f>
        <v>@SigitWtj</v>
      </c>
      <c r="C17433" s="8" t="s">
        <v>2116</v>
      </c>
      <c r="D17433" s="8">
        <v>38</v>
      </c>
      <c r="E17433" s="8">
        <v>0</v>
      </c>
      <c r="F17433" s="8">
        <v>1641</v>
      </c>
    </row>
    <row r="17434" spans="1:6" ht="12.75">
      <c r="A17434" s="8">
        <v>43896.876377314809</v>
      </c>
      <c r="B17434" s="8" t="str">
        <f>HYPERLINK("https://twitter.com/wni_jmsri","@wni_jmsri")</f>
        <v>@wni_jmsri</v>
      </c>
      <c r="C17434" s="8" t="s">
        <v>7026</v>
      </c>
      <c r="D17434" s="8">
        <v>1067</v>
      </c>
      <c r="E17434" s="8">
        <v>0</v>
      </c>
      <c r="F17434" s="8">
        <v>201</v>
      </c>
    </row>
    <row r="17435" spans="1:6" ht="12.75">
      <c r="A17435" s="8">
        <v>43896.876041666663</v>
      </c>
      <c r="B17435" s="8" t="str">
        <f>HYPERLINK("https://twitter.com/akhmadj76","@akhmadj76")</f>
        <v>@akhmadj76</v>
      </c>
      <c r="C17435" s="8" t="s">
        <v>3743</v>
      </c>
      <c r="D17435" s="8">
        <v>100</v>
      </c>
      <c r="E17435" s="8">
        <v>0</v>
      </c>
      <c r="F17435" s="8">
        <v>139</v>
      </c>
    </row>
    <row r="17436" spans="1:6" ht="12.75">
      <c r="A17436" s="8">
        <v>43896.87600694444</v>
      </c>
      <c r="B17436" s="8" t="str">
        <f>HYPERLINK("https://twitter.com/Indra98800969","@Indra98800969")</f>
        <v>@Indra98800969</v>
      </c>
      <c r="C17436" s="8" t="s">
        <v>3743</v>
      </c>
      <c r="D17436" s="8">
        <v>100</v>
      </c>
      <c r="E17436" s="8">
        <v>0</v>
      </c>
      <c r="F17436" s="8">
        <v>177</v>
      </c>
    </row>
    <row r="17437" spans="1:6" ht="12.75">
      <c r="A17437" s="8">
        <v>43896.875925925924</v>
      </c>
      <c r="B17437" s="8" t="str">
        <f>HYPERLINK("https://twitter.com/wni_jmsri","@wni_jmsri")</f>
        <v>@wni_jmsri</v>
      </c>
      <c r="C17437" s="8" t="s">
        <v>7027</v>
      </c>
      <c r="D17437" s="8">
        <v>566</v>
      </c>
      <c r="E17437" s="8">
        <v>0</v>
      </c>
      <c r="F17437" s="8">
        <v>201</v>
      </c>
    </row>
    <row r="17438" spans="1:6" ht="12.75">
      <c r="A17438" s="8">
        <v>43896.875891203701</v>
      </c>
      <c r="B17438" s="8" t="str">
        <f>HYPERLINK("https://twitter.com/Krbalai","@Krbalai")</f>
        <v>@Krbalai</v>
      </c>
      <c r="C17438" s="8" t="s">
        <v>6625</v>
      </c>
      <c r="D17438" s="8">
        <v>8</v>
      </c>
      <c r="E17438" s="8">
        <v>0</v>
      </c>
      <c r="F17438" s="8">
        <v>736</v>
      </c>
    </row>
    <row r="17439" spans="1:6" ht="12.75">
      <c r="A17439" s="8">
        <v>43896.875763888893</v>
      </c>
      <c r="B17439" s="8" t="str">
        <f>HYPERLINK("https://twitter.com/IstyadiI","@IstyadiI")</f>
        <v>@IstyadiI</v>
      </c>
      <c r="C17439" s="8" t="s">
        <v>3743</v>
      </c>
      <c r="D17439" s="8">
        <v>100</v>
      </c>
      <c r="E17439" s="8">
        <v>0</v>
      </c>
      <c r="F17439" s="8">
        <v>705</v>
      </c>
    </row>
    <row r="17440" spans="1:6" ht="12.75">
      <c r="A17440" s="8">
        <v>43896.875752314816</v>
      </c>
      <c r="B17440" s="8" t="str">
        <f>HYPERLINK("https://twitter.com/ennyelf2","@ennyelf2")</f>
        <v>@ennyelf2</v>
      </c>
      <c r="C17440" s="8" t="s">
        <v>3743</v>
      </c>
      <c r="D17440" s="8">
        <v>100</v>
      </c>
      <c r="E17440" s="8">
        <v>0</v>
      </c>
      <c r="F17440" s="8">
        <v>396</v>
      </c>
    </row>
    <row r="17441" spans="1:6" ht="12.75">
      <c r="A17441" s="8">
        <v>43896.875023148154</v>
      </c>
      <c r="B17441" s="8" t="str">
        <f>HYPERLINK("https://twitter.com/jasusanto","@jasusanto")</f>
        <v>@jasusanto</v>
      </c>
      <c r="C17441" s="8" t="s">
        <v>3743</v>
      </c>
      <c r="D17441" s="8">
        <v>100</v>
      </c>
      <c r="E17441" s="8">
        <v>0</v>
      </c>
      <c r="F17441" s="8">
        <v>345</v>
      </c>
    </row>
    <row r="17442" spans="1:6" ht="12.75">
      <c r="A17442" s="8">
        <v>43896.874976851846</v>
      </c>
      <c r="B17442" s="8" t="str">
        <f>HYPERLINK("https://twitter.com/lutvianaU_","@lutvianaU_")</f>
        <v>@lutvianaU_</v>
      </c>
      <c r="C17442" s="8" t="s">
        <v>7028</v>
      </c>
      <c r="D17442" s="8">
        <v>0</v>
      </c>
      <c r="E17442" s="8">
        <v>0</v>
      </c>
      <c r="F17442" s="8">
        <v>315</v>
      </c>
    </row>
    <row r="17443" spans="1:6" ht="12.75">
      <c r="A17443" s="8">
        <v>43896.874444444446</v>
      </c>
      <c r="B17443" s="8" t="str">
        <f>HYPERLINK("https://twitter.com/DamnLoveNKRI","@DamnLoveNKRI")</f>
        <v>@DamnLoveNKRI</v>
      </c>
      <c r="C17443" s="8" t="s">
        <v>3213</v>
      </c>
      <c r="D17443" s="8">
        <v>21</v>
      </c>
      <c r="E17443" s="8">
        <v>0</v>
      </c>
      <c r="F17443" s="8">
        <v>717</v>
      </c>
    </row>
    <row r="17444" spans="1:6" ht="12.75">
      <c r="A17444" s="8">
        <v>43896.874340277776</v>
      </c>
      <c r="B17444" s="8" t="str">
        <f>HYPERLINK("https://twitter.com/AryantiTs","@AryantiTs")</f>
        <v>@AryantiTs</v>
      </c>
      <c r="C17444" s="8" t="s">
        <v>3743</v>
      </c>
      <c r="D17444" s="8">
        <v>100</v>
      </c>
      <c r="E17444" s="8">
        <v>0</v>
      </c>
      <c r="F17444" s="8">
        <v>298</v>
      </c>
    </row>
    <row r="17445" spans="1:6" ht="12.75">
      <c r="A17445" s="8">
        <v>43896.873807870375</v>
      </c>
      <c r="B17445" s="8" t="str">
        <f>HYPERLINK("https://twitter.com/bangRoyTob","@bangRoyTob")</f>
        <v>@bangRoyTob</v>
      </c>
      <c r="C17445" s="8" t="s">
        <v>3213</v>
      </c>
      <c r="D17445" s="8">
        <v>21</v>
      </c>
      <c r="E17445" s="8">
        <v>0</v>
      </c>
      <c r="F17445" s="8">
        <v>527</v>
      </c>
    </row>
    <row r="17446" spans="1:6" ht="12.75">
      <c r="A17446" s="8">
        <v>43896.873587962968</v>
      </c>
      <c r="B17446" s="8" t="str">
        <f>HYPERLINK("https://twitter.com/ISIS__TheQueen","@ISIS__TheQueen")</f>
        <v>@ISIS__TheQueen</v>
      </c>
      <c r="C17446" s="8" t="s">
        <v>7029</v>
      </c>
      <c r="D17446" s="8">
        <v>19490</v>
      </c>
      <c r="E17446" s="8">
        <v>0</v>
      </c>
      <c r="F17446" s="8">
        <v>3033</v>
      </c>
    </row>
    <row r="17447" spans="1:6" ht="12.75">
      <c r="A17447" s="8">
        <v>43896.873090277775</v>
      </c>
      <c r="B17447" s="8" t="str">
        <f>HYPERLINK("https://twitter.com/Novrdx1","@Novrdx1")</f>
        <v>@Novrdx1</v>
      </c>
      <c r="C17447" s="8" t="s">
        <v>7030</v>
      </c>
      <c r="D17447" s="8">
        <v>0</v>
      </c>
      <c r="E17447" s="8">
        <v>0</v>
      </c>
      <c r="F17447" s="8">
        <v>71</v>
      </c>
    </row>
    <row r="17448" spans="1:6" ht="12.75">
      <c r="A17448" s="8">
        <v>43896.873043981483</v>
      </c>
      <c r="B17448" s="8" t="str">
        <f>HYPERLINK("https://twitter.com/mayafarrell21","@mayafarrell21")</f>
        <v>@mayafarrell21</v>
      </c>
      <c r="C17448" s="8" t="s">
        <v>3743</v>
      </c>
      <c r="D17448" s="8">
        <v>100</v>
      </c>
      <c r="E17448" s="8">
        <v>0</v>
      </c>
      <c r="F17448" s="8">
        <v>958</v>
      </c>
    </row>
    <row r="17449" spans="1:6" ht="12.75">
      <c r="A17449" s="8">
        <v>43896.872754629629</v>
      </c>
      <c r="B17449" s="8" t="str">
        <f>HYPERLINK("https://twitter.com/nusa1233","@nusa1233")</f>
        <v>@nusa1233</v>
      </c>
      <c r="C17449" s="8" t="s">
        <v>6128</v>
      </c>
      <c r="D17449" s="8">
        <v>11</v>
      </c>
      <c r="E17449" s="8">
        <v>0</v>
      </c>
      <c r="F17449" s="8">
        <v>282</v>
      </c>
    </row>
    <row r="17450" spans="1:6" ht="12.75">
      <c r="A17450" s="8">
        <v>43896.872581018513</v>
      </c>
      <c r="B17450" s="8" t="str">
        <f>HYPERLINK("https://twitter.com/ErindaSofi","@ErindaSofi")</f>
        <v>@ErindaSofi</v>
      </c>
      <c r="C17450" s="8" t="s">
        <v>7031</v>
      </c>
      <c r="D17450" s="8">
        <v>1</v>
      </c>
      <c r="E17450" s="8">
        <v>0</v>
      </c>
      <c r="F17450" s="8">
        <v>6207</v>
      </c>
    </row>
    <row r="17451" spans="1:6" ht="12.75">
      <c r="A17451" s="8">
        <v>43896.872314814813</v>
      </c>
      <c r="B17451" s="8" t="str">
        <f>HYPERLINK("https://twitter.com/mugiya_wardhany","@mugiya_wardhany")</f>
        <v>@mugiya_wardhany</v>
      </c>
      <c r="C17451" s="8" t="s">
        <v>3743</v>
      </c>
      <c r="D17451" s="8">
        <v>100</v>
      </c>
      <c r="E17451" s="8">
        <v>0</v>
      </c>
      <c r="F17451" s="8">
        <v>1691</v>
      </c>
    </row>
    <row r="17452" spans="1:6" ht="12.75">
      <c r="A17452" s="8">
        <v>43896.872199074074</v>
      </c>
      <c r="B17452" s="8" t="str">
        <f>HYPERLINK("https://twitter.com/regina2898","@regina2898")</f>
        <v>@regina2898</v>
      </c>
      <c r="C17452" s="8" t="s">
        <v>2199</v>
      </c>
      <c r="D17452" s="8">
        <v>9100</v>
      </c>
      <c r="E17452" s="8">
        <v>0</v>
      </c>
      <c r="F17452" s="8">
        <v>306</v>
      </c>
    </row>
    <row r="17453" spans="1:6" ht="12.75">
      <c r="A17453" s="8">
        <v>43896.871990740736</v>
      </c>
      <c r="B17453" s="8" t="str">
        <f>HYPERLINK("https://twitter.com/RezaMFahmi","@RezaMFahmi")</f>
        <v>@RezaMFahmi</v>
      </c>
      <c r="C17453" s="8" t="s">
        <v>7032</v>
      </c>
      <c r="D17453" s="8">
        <v>4</v>
      </c>
      <c r="E17453" s="8">
        <v>0</v>
      </c>
      <c r="F17453" s="8">
        <v>207</v>
      </c>
    </row>
    <row r="17454" spans="1:6" ht="12.75">
      <c r="A17454" s="8">
        <v>43896.871979166666</v>
      </c>
      <c r="B17454" s="8" t="str">
        <f>HYPERLINK("https://twitter.com/SaatTobat","@SaatTobat")</f>
        <v>@SaatTobat</v>
      </c>
      <c r="C17454" s="8" t="s">
        <v>5103</v>
      </c>
      <c r="D17454" s="8">
        <v>107</v>
      </c>
      <c r="E17454" s="8">
        <v>0</v>
      </c>
      <c r="F17454" s="8">
        <v>1509</v>
      </c>
    </row>
    <row r="17455" spans="1:6" ht="12.75">
      <c r="A17455" s="8">
        <v>43896.871527777781</v>
      </c>
      <c r="B17455" s="8" t="str">
        <f>HYPERLINK("https://twitter.com/Baktinegeri01","@Baktinegeri01")</f>
        <v>@Baktinegeri01</v>
      </c>
      <c r="C17455" s="8" t="s">
        <v>5662</v>
      </c>
      <c r="D17455" s="8">
        <v>26</v>
      </c>
      <c r="E17455" s="8">
        <v>0</v>
      </c>
      <c r="F17455" s="8">
        <v>844</v>
      </c>
    </row>
    <row r="17456" spans="1:6" ht="12.75">
      <c r="A17456" s="8">
        <v>43896.871504629627</v>
      </c>
      <c r="B17456" s="8" t="str">
        <f>HYPERLINK("https://twitter.com/Jefrikelana7","@Jefrikelana7")</f>
        <v>@Jefrikelana7</v>
      </c>
      <c r="C17456" s="8" t="s">
        <v>3743</v>
      </c>
      <c r="D17456" s="8">
        <v>100</v>
      </c>
      <c r="E17456" s="8">
        <v>0</v>
      </c>
      <c r="F17456" s="8">
        <v>62</v>
      </c>
    </row>
    <row r="17457" spans="1:6" ht="12.75">
      <c r="A17457" s="8">
        <v>43896.871493055558</v>
      </c>
      <c r="B17457" s="8" t="str">
        <f>HYPERLINK("https://twitter.com/RezaMrc786","@RezaMrc786")</f>
        <v>@RezaMrc786</v>
      </c>
      <c r="C17457" s="8" t="s">
        <v>3743</v>
      </c>
      <c r="D17457" s="8">
        <v>100</v>
      </c>
      <c r="E17457" s="8">
        <v>0</v>
      </c>
      <c r="F17457" s="8">
        <v>325</v>
      </c>
    </row>
    <row r="17458" spans="1:6" ht="12.75">
      <c r="A17458" s="8">
        <v>43896.871446759258</v>
      </c>
      <c r="B17458" s="8" t="str">
        <f>HYPERLINK("https://twitter.com/DetaqDenny","@DetaqDenny")</f>
        <v>@DetaqDenny</v>
      </c>
      <c r="C17458" s="8" t="s">
        <v>6691</v>
      </c>
      <c r="D17458" s="8">
        <v>1</v>
      </c>
      <c r="E17458" s="8">
        <v>0</v>
      </c>
      <c r="F17458" s="8">
        <v>615</v>
      </c>
    </row>
    <row r="17459" spans="1:6" ht="12.75">
      <c r="A17459" s="8">
        <v>43896.871203703704</v>
      </c>
      <c r="B17459" s="8" t="str">
        <f>HYPERLINK("https://twitter.com/Tano_Maske","@Tano_Maske")</f>
        <v>@Tano_Maske</v>
      </c>
      <c r="C17459" s="8" t="s">
        <v>7033</v>
      </c>
      <c r="D17459" s="8">
        <v>0</v>
      </c>
      <c r="E17459" s="8">
        <v>0</v>
      </c>
      <c r="F17459" s="8">
        <v>36</v>
      </c>
    </row>
    <row r="17460" spans="1:6" ht="12.75">
      <c r="A17460" s="8">
        <v>43896.871157407411</v>
      </c>
      <c r="B17460" s="8" t="str">
        <f>HYPERLINK("https://twitter.com/Semar_2","@Semar_2")</f>
        <v>@Semar_2</v>
      </c>
      <c r="C17460" s="8" t="s">
        <v>7034</v>
      </c>
      <c r="D17460" s="8">
        <v>158</v>
      </c>
      <c r="E17460" s="8">
        <v>0</v>
      </c>
      <c r="F17460" s="8">
        <v>223</v>
      </c>
    </row>
    <row r="17461" spans="1:6" ht="12.75">
      <c r="A17461" s="8">
        <v>43896.871099537035</v>
      </c>
      <c r="B17461" s="8" t="str">
        <f>HYPERLINK("https://twitter.com/AndyGar95650906","@AndyGar95650906")</f>
        <v>@AndyGar95650906</v>
      </c>
      <c r="C17461" s="8" t="s">
        <v>3743</v>
      </c>
      <c r="D17461" s="8">
        <v>100</v>
      </c>
      <c r="E17461" s="8">
        <v>0</v>
      </c>
      <c r="F17461" s="8">
        <v>24</v>
      </c>
    </row>
    <row r="17462" spans="1:6" ht="12.75">
      <c r="A17462" s="8">
        <v>43896.871053240742</v>
      </c>
      <c r="B17462" s="8" t="str">
        <f>HYPERLINK("https://twitter.com/Baktinegeri01","@Baktinegeri01")</f>
        <v>@Baktinegeri01</v>
      </c>
      <c r="C17462" s="8" t="s">
        <v>5103</v>
      </c>
      <c r="D17462" s="8">
        <v>107</v>
      </c>
      <c r="E17462" s="8">
        <v>0</v>
      </c>
      <c r="F17462" s="8">
        <v>844</v>
      </c>
    </row>
    <row r="17463" spans="1:6" ht="12.75">
      <c r="A17463" s="8">
        <v>43896.87096064815</v>
      </c>
      <c r="B17463" s="8" t="str">
        <f>HYPERLINK("https://twitter.com/coklatpanasku","@coklatpanasku")</f>
        <v>@coklatpanasku</v>
      </c>
      <c r="C17463" s="8" t="s">
        <v>3978</v>
      </c>
      <c r="D17463" s="8">
        <v>1</v>
      </c>
      <c r="E17463" s="8">
        <v>0</v>
      </c>
      <c r="F17463" s="8">
        <v>85</v>
      </c>
    </row>
    <row r="17464" spans="1:6" ht="12.75">
      <c r="A17464" s="8">
        <v>43896.870752314819</v>
      </c>
      <c r="B17464" s="8" t="str">
        <f>HYPERLINK("https://twitter.com/gemaboar","@gemaboar")</f>
        <v>@gemaboar</v>
      </c>
      <c r="C17464" s="8" t="s">
        <v>3743</v>
      </c>
      <c r="D17464" s="8">
        <v>100</v>
      </c>
      <c r="E17464" s="8">
        <v>0</v>
      </c>
      <c r="F17464" s="8">
        <v>98</v>
      </c>
    </row>
    <row r="17465" spans="1:6" ht="12.75">
      <c r="A17465" s="8">
        <v>43896.870092592595</v>
      </c>
      <c r="B17465" s="8" t="str">
        <f>HYPERLINK("https://twitter.com/NyiGiri","@NyiGiri")</f>
        <v>@NyiGiri</v>
      </c>
      <c r="C17465" s="8" t="s">
        <v>3213</v>
      </c>
      <c r="D17465" s="8">
        <v>21</v>
      </c>
      <c r="E17465" s="8">
        <v>0</v>
      </c>
      <c r="F17465" s="8">
        <v>4728</v>
      </c>
    </row>
    <row r="17466" spans="1:6" ht="12.75">
      <c r="A17466" s="8">
        <v>43896.869733796295</v>
      </c>
      <c r="B17466" s="8" t="str">
        <f>HYPERLINK("https://twitter.com/banyilaaa","@banyilaaa")</f>
        <v>@banyilaaa</v>
      </c>
      <c r="C17466" s="8" t="s">
        <v>5103</v>
      </c>
      <c r="D17466" s="8">
        <v>107</v>
      </c>
      <c r="E17466" s="8">
        <v>0</v>
      </c>
      <c r="F17466" s="8">
        <v>117</v>
      </c>
    </row>
    <row r="17467" spans="1:6" ht="12.75">
      <c r="A17467" s="8">
        <v>43896.869456018518</v>
      </c>
      <c r="B17467" s="8" t="str">
        <f>HYPERLINK("https://twitter.com/melfera","@melfera")</f>
        <v>@melfera</v>
      </c>
      <c r="C17467" s="8" t="s">
        <v>5103</v>
      </c>
      <c r="D17467" s="8">
        <v>107</v>
      </c>
      <c r="E17467" s="8">
        <v>0</v>
      </c>
      <c r="F17467" s="8">
        <v>696</v>
      </c>
    </row>
    <row r="17468" spans="1:6" ht="12.75">
      <c r="A17468" s="8">
        <v>43896.869444444441</v>
      </c>
      <c r="B17468" s="8" t="str">
        <f>HYPERLINK("https://twitter.com/Lookman14727021","@Lookman14727021")</f>
        <v>@Lookman14727021</v>
      </c>
      <c r="C17468" s="8" t="s">
        <v>3743</v>
      </c>
      <c r="D17468" s="8">
        <v>100</v>
      </c>
      <c r="E17468" s="8">
        <v>0</v>
      </c>
      <c r="F17468" s="8">
        <v>17</v>
      </c>
    </row>
    <row r="17469" spans="1:6" ht="12.75">
      <c r="A17469" s="8">
        <v>43896.86928240741</v>
      </c>
      <c r="B17469" s="8" t="str">
        <f>HYPERLINK("https://twitter.com/ferry_adamhar","@ferry_adamhar")</f>
        <v>@ferry_adamhar</v>
      </c>
      <c r="C17469" s="8" t="s">
        <v>3132</v>
      </c>
      <c r="D17469" s="8">
        <v>124</v>
      </c>
      <c r="E17469" s="8">
        <v>0</v>
      </c>
      <c r="F17469" s="8">
        <v>10</v>
      </c>
    </row>
    <row r="17470" spans="1:6" ht="12.75">
      <c r="A17470" s="8">
        <v>43896.869143518517</v>
      </c>
      <c r="B17470" s="8" t="str">
        <f>HYPERLINK("https://twitter.com/kangsan34876264","@kangsan34876264")</f>
        <v>@kangsan34876264</v>
      </c>
      <c r="C17470" s="8" t="s">
        <v>3743</v>
      </c>
      <c r="D17470" s="8">
        <v>100</v>
      </c>
      <c r="E17470" s="8">
        <v>0</v>
      </c>
      <c r="F17470" s="8">
        <v>176</v>
      </c>
    </row>
    <row r="17471" spans="1:6" ht="12.75">
      <c r="A17471" s="8">
        <v>43896.868159722224</v>
      </c>
      <c r="B17471" s="8" t="str">
        <f>HYPERLINK("https://twitter.com/visitortwt1","@visitortwt1")</f>
        <v>@visitortwt1</v>
      </c>
      <c r="C17471" s="8" t="s">
        <v>3213</v>
      </c>
      <c r="D17471" s="8">
        <v>21</v>
      </c>
      <c r="E17471" s="8">
        <v>0</v>
      </c>
      <c r="F17471" s="8">
        <v>421</v>
      </c>
    </row>
    <row r="17472" spans="1:6" ht="12.75">
      <c r="A17472" s="8">
        <v>43896.867222222223</v>
      </c>
      <c r="B17472" s="8" t="str">
        <f>HYPERLINK("https://twitter.com/Susanto13895819","@Susanto13895819")</f>
        <v>@Susanto13895819</v>
      </c>
      <c r="C17472" s="8" t="s">
        <v>5103</v>
      </c>
      <c r="D17472" s="8">
        <v>107</v>
      </c>
      <c r="E17472" s="8">
        <v>0</v>
      </c>
      <c r="F17472" s="8">
        <v>664</v>
      </c>
    </row>
    <row r="17473" spans="1:6" ht="12.75">
      <c r="A17473" s="8">
        <v>43896.867106481484</v>
      </c>
      <c r="B17473" s="8" t="str">
        <f>HYPERLINK("https://twitter.com/itansyahrial","@itansyahrial")</f>
        <v>@itansyahrial</v>
      </c>
      <c r="C17473" s="8" t="s">
        <v>3743</v>
      </c>
      <c r="D17473" s="8">
        <v>100</v>
      </c>
      <c r="E17473" s="8">
        <v>0</v>
      </c>
      <c r="F17473" s="8">
        <v>559</v>
      </c>
    </row>
    <row r="17474" spans="1:6" ht="12.75">
      <c r="A17474" s="8">
        <v>43896.866979166662</v>
      </c>
      <c r="B17474" s="8" t="str">
        <f>HYPERLINK("https://twitter.com/91416372kL_Bg33","@91416372kL_Bg33")</f>
        <v>@91416372kL_Bg33</v>
      </c>
      <c r="C17474" s="8" t="s">
        <v>3743</v>
      </c>
      <c r="D17474" s="8">
        <v>100</v>
      </c>
      <c r="E17474" s="8">
        <v>0</v>
      </c>
      <c r="F17474" s="8">
        <v>7224</v>
      </c>
    </row>
    <row r="17475" spans="1:6" ht="12.75">
      <c r="A17475" s="8">
        <v>43896.866678240738</v>
      </c>
      <c r="B17475" s="8" t="str">
        <f>HYPERLINK("https://twitter.com/dewi_darmawati","@dewi_darmawati")</f>
        <v>@dewi_darmawati</v>
      </c>
      <c r="C17475" s="8" t="s">
        <v>3213</v>
      </c>
      <c r="D17475" s="8">
        <v>21</v>
      </c>
      <c r="E17475" s="8">
        <v>0</v>
      </c>
      <c r="F17475" s="8">
        <v>4398</v>
      </c>
    </row>
    <row r="17476" spans="1:6" ht="12.75">
      <c r="A17476" s="8">
        <v>43896.866423611107</v>
      </c>
      <c r="B17476" s="8" t="str">
        <f>HYPERLINK("https://twitter.com/katiktubin","@katiktubin")</f>
        <v>@katiktubin</v>
      </c>
      <c r="C17476" s="8" t="s">
        <v>3743</v>
      </c>
      <c r="D17476" s="8">
        <v>100</v>
      </c>
      <c r="E17476" s="8">
        <v>0</v>
      </c>
      <c r="F17476" s="8">
        <v>265</v>
      </c>
    </row>
    <row r="17477" spans="1:6" ht="12.75">
      <c r="A17477" s="8">
        <v>43896.865914351853</v>
      </c>
      <c r="B17477" s="8" t="str">
        <f>HYPERLINK("https://twitter.com/SaatTobat","@SaatTobat")</f>
        <v>@SaatTobat</v>
      </c>
      <c r="C17477" s="8" t="s">
        <v>3213</v>
      </c>
      <c r="D17477" s="8">
        <v>21</v>
      </c>
      <c r="E17477" s="8">
        <v>0</v>
      </c>
      <c r="F17477" s="8">
        <v>1509</v>
      </c>
    </row>
    <row r="17478" spans="1:6" ht="12.75">
      <c r="A17478" s="8">
        <v>43896.865011574075</v>
      </c>
      <c r="B17478" s="8" t="str">
        <f>HYPERLINK("https://twitter.com/mdkoir","@mdkoir")</f>
        <v>@mdkoir</v>
      </c>
      <c r="C17478" s="8" t="s">
        <v>6128</v>
      </c>
      <c r="D17478" s="8">
        <v>11</v>
      </c>
      <c r="E17478" s="8">
        <v>0</v>
      </c>
      <c r="F17478" s="8">
        <v>525</v>
      </c>
    </row>
    <row r="17479" spans="1:6" ht="12.75">
      <c r="A17479" s="8">
        <v>43896.863888888889</v>
      </c>
      <c r="B17479" s="8" t="str">
        <f>HYPERLINK("https://twitter.com/Fighter_Father","@Fighter_Father")</f>
        <v>@Fighter_Father</v>
      </c>
      <c r="C17479" s="8" t="s">
        <v>3743</v>
      </c>
      <c r="D17479" s="8">
        <v>100</v>
      </c>
      <c r="E17479" s="8">
        <v>0</v>
      </c>
      <c r="F17479" s="8">
        <v>381</v>
      </c>
    </row>
    <row r="17480" spans="1:6" ht="12.75">
      <c r="A17480" s="8">
        <v>43896.863877314812</v>
      </c>
      <c r="B17480" s="8" t="str">
        <f>HYPERLINK("https://twitter.com/4nd103125330","@4nd103125330")</f>
        <v>@4nd103125330</v>
      </c>
      <c r="C17480" s="8" t="s">
        <v>3743</v>
      </c>
      <c r="D17480" s="8">
        <v>100</v>
      </c>
      <c r="E17480" s="8">
        <v>0</v>
      </c>
      <c r="F17480" s="8">
        <v>1785</v>
      </c>
    </row>
    <row r="17481" spans="1:6" ht="12.75">
      <c r="A17481" s="8">
        <v>43896.863657407404</v>
      </c>
      <c r="B17481" s="8" t="str">
        <f>HYPERLINK("https://twitter.com/Antoksd7","@Antoksd7")</f>
        <v>@Antoksd7</v>
      </c>
      <c r="C17481" s="8" t="s">
        <v>3743</v>
      </c>
      <c r="D17481" s="8">
        <v>100</v>
      </c>
      <c r="E17481" s="8">
        <v>0</v>
      </c>
      <c r="F17481" s="8">
        <v>394</v>
      </c>
    </row>
    <row r="17482" spans="1:6" ht="12.75">
      <c r="A17482" s="8">
        <v>43896.86336805555</v>
      </c>
      <c r="B17482" s="8" t="str">
        <f>HYPERLINK("https://twitter.com/De_rezha","@De_rezha")</f>
        <v>@De_rezha</v>
      </c>
      <c r="C17482" s="8" t="s">
        <v>7035</v>
      </c>
      <c r="D17482" s="8">
        <v>5</v>
      </c>
      <c r="E17482" s="8">
        <v>0</v>
      </c>
      <c r="F17482" s="8">
        <v>264</v>
      </c>
    </row>
    <row r="17483" spans="1:6" ht="12.75">
      <c r="A17483" s="8">
        <v>43896.863125000003</v>
      </c>
      <c r="B17483" s="8" t="str">
        <f>HYPERLINK("https://twitter.com/4nd103125330","@4nd103125330")</f>
        <v>@4nd103125330</v>
      </c>
      <c r="C17483" s="8" t="s">
        <v>7036</v>
      </c>
      <c r="D17483" s="8">
        <v>3</v>
      </c>
      <c r="E17483" s="8">
        <v>0</v>
      </c>
      <c r="F17483" s="8">
        <v>1785</v>
      </c>
    </row>
    <row r="17484" spans="1:6" ht="12.75">
      <c r="A17484" s="8">
        <v>43896.862997685181</v>
      </c>
      <c r="B17484" s="8" t="str">
        <f>HYPERLINK("https://twitter.com/Spider__matriX","@Spider__matriX")</f>
        <v>@Spider__matriX</v>
      </c>
      <c r="C17484" s="8" t="s">
        <v>3213</v>
      </c>
      <c r="D17484" s="8">
        <v>21</v>
      </c>
      <c r="E17484" s="8">
        <v>0</v>
      </c>
      <c r="F17484" s="8">
        <v>6</v>
      </c>
    </row>
    <row r="17485" spans="1:6" ht="12.75">
      <c r="A17485" s="8">
        <v>43896.862905092596</v>
      </c>
      <c r="B17485" s="8" t="str">
        <f>HYPERLINK("https://twitter.com/muhlisinImron","@muhlisinImron")</f>
        <v>@muhlisinImron</v>
      </c>
      <c r="C17485" s="8" t="s">
        <v>3743</v>
      </c>
      <c r="D17485" s="8">
        <v>100</v>
      </c>
      <c r="E17485" s="8">
        <v>0</v>
      </c>
      <c r="F17485" s="8">
        <v>160</v>
      </c>
    </row>
    <row r="17486" spans="1:6" ht="12.75">
      <c r="A17486" s="8">
        <v>43896.862696759257</v>
      </c>
      <c r="B17486" s="8" t="str">
        <f>HYPERLINK("https://twitter.com/Toke_Phak","@Toke_Phak")</f>
        <v>@Toke_Phak</v>
      </c>
      <c r="C17486" s="8" t="s">
        <v>3743</v>
      </c>
      <c r="D17486" s="8">
        <v>100</v>
      </c>
      <c r="E17486" s="8">
        <v>0</v>
      </c>
      <c r="F17486" s="8">
        <v>1279</v>
      </c>
    </row>
    <row r="17487" spans="1:6" ht="12.75">
      <c r="A17487" s="8">
        <v>43896.862604166672</v>
      </c>
      <c r="B17487" s="8" t="str">
        <f>HYPERLINK("https://twitter.com/TheoChandra10","@TheoChandra10")</f>
        <v>@TheoChandra10</v>
      </c>
      <c r="C17487" s="8" t="s">
        <v>4948</v>
      </c>
      <c r="D17487" s="8">
        <v>79</v>
      </c>
      <c r="E17487" s="8">
        <v>0</v>
      </c>
      <c r="F17487" s="8">
        <v>58</v>
      </c>
    </row>
    <row r="17488" spans="1:6" ht="12.75">
      <c r="A17488" s="8">
        <v>43896.862083333333</v>
      </c>
      <c r="B17488" s="8" t="str">
        <f>HYPERLINK("https://twitter.com/Predator_Matrix","@Predator_Matrix")</f>
        <v>@Predator_Matrix</v>
      </c>
      <c r="C17488" s="8" t="s">
        <v>7037</v>
      </c>
      <c r="D17488" s="8">
        <v>21</v>
      </c>
      <c r="E17488" s="8">
        <v>35</v>
      </c>
      <c r="F17488" s="8">
        <v>435</v>
      </c>
    </row>
    <row r="17489" spans="1:6" ht="12.75">
      <c r="A17489" s="8">
        <v>43896.861990740741</v>
      </c>
      <c r="B17489" s="8" t="str">
        <f>HYPERLINK("https://twitter.com/guilermelandim","@guilermelandim")</f>
        <v>@guilermelandim</v>
      </c>
      <c r="C17489" s="8" t="s">
        <v>7038</v>
      </c>
      <c r="D17489" s="8">
        <v>0</v>
      </c>
      <c r="E17489" s="8">
        <v>0</v>
      </c>
      <c r="F17489" s="8">
        <v>140</v>
      </c>
    </row>
    <row r="17490" spans="1:6" ht="12.75">
      <c r="A17490" s="8">
        <v>43896.861828703702</v>
      </c>
      <c r="B17490" s="8" t="str">
        <f>HYPERLINK("https://twitter.com/resonansi_","@resonansi_")</f>
        <v>@resonansi_</v>
      </c>
      <c r="C17490" s="8" t="s">
        <v>7039</v>
      </c>
      <c r="D17490" s="8">
        <v>0</v>
      </c>
      <c r="E17490" s="8">
        <v>0</v>
      </c>
      <c r="F17490" s="8">
        <v>78</v>
      </c>
    </row>
    <row r="17491" spans="1:6" ht="12.75">
      <c r="A17491" s="8">
        <v>43896.861562499995</v>
      </c>
      <c r="B17491" s="8" t="str">
        <f>HYPERLINK("https://twitter.com/Derri_dayen","@Derri_dayen")</f>
        <v>@Derri_dayen</v>
      </c>
      <c r="C17491" s="8" t="s">
        <v>6772</v>
      </c>
      <c r="D17491" s="8">
        <v>85</v>
      </c>
      <c r="E17491" s="8">
        <v>0</v>
      </c>
      <c r="F17491" s="8">
        <v>674</v>
      </c>
    </row>
    <row r="17492" spans="1:6" ht="12.75">
      <c r="A17492" s="8">
        <v>43896.861180555556</v>
      </c>
      <c r="B17492" s="8" t="str">
        <f>HYPERLINK("https://twitter.com/IbnuSholh","@IbnuSholh")</f>
        <v>@IbnuSholh</v>
      </c>
      <c r="C17492" s="8" t="s">
        <v>3743</v>
      </c>
      <c r="D17492" s="8">
        <v>100</v>
      </c>
      <c r="E17492" s="8">
        <v>0</v>
      </c>
      <c r="F17492" s="8">
        <v>2624</v>
      </c>
    </row>
    <row r="17493" spans="1:6" ht="12.75">
      <c r="A17493" s="8">
        <v>43896.860914351855</v>
      </c>
      <c r="B17493" s="8" t="str">
        <f>HYPERLINK("https://twitter.com/esarkosh","@esarkosh")</f>
        <v>@esarkosh</v>
      </c>
      <c r="C17493" s="8" t="s">
        <v>3743</v>
      </c>
      <c r="D17493" s="8">
        <v>100</v>
      </c>
      <c r="E17493" s="8">
        <v>0</v>
      </c>
      <c r="F17493" s="8">
        <v>262</v>
      </c>
    </row>
    <row r="17494" spans="1:6" ht="12.75">
      <c r="A17494" s="8">
        <v>43896.860648148147</v>
      </c>
      <c r="B17494" s="8" t="str">
        <f>HYPERLINK("https://twitter.com/Danillalalasa","@Danillalalasa")</f>
        <v>@Danillalalasa</v>
      </c>
      <c r="C17494" s="8" t="s">
        <v>4948</v>
      </c>
      <c r="D17494" s="8">
        <v>79</v>
      </c>
      <c r="E17494" s="8">
        <v>0</v>
      </c>
      <c r="F17494" s="8">
        <v>323</v>
      </c>
    </row>
    <row r="17495" spans="1:6" ht="12.75">
      <c r="A17495" s="8">
        <v>43896.860578703709</v>
      </c>
      <c r="B17495" s="8" t="str">
        <f>HYPERLINK("https://twitter.com/RintoSiswanto2","@RintoSiswanto2")</f>
        <v>@RintoSiswanto2</v>
      </c>
      <c r="C17495" s="8" t="s">
        <v>3743</v>
      </c>
      <c r="D17495" s="8">
        <v>100</v>
      </c>
      <c r="E17495" s="8">
        <v>0</v>
      </c>
      <c r="F17495" s="8">
        <v>443</v>
      </c>
    </row>
    <row r="17496" spans="1:6" ht="12.75">
      <c r="A17496" s="8">
        <v>43896.859930555554</v>
      </c>
      <c r="B17496" s="8" t="str">
        <f>HYPERLINK("https://twitter.com/wokayokay","@wokayokay")</f>
        <v>@wokayokay</v>
      </c>
      <c r="C17496" s="8" t="s">
        <v>5523</v>
      </c>
      <c r="D17496" s="8">
        <v>4</v>
      </c>
      <c r="E17496" s="8">
        <v>0</v>
      </c>
      <c r="F17496" s="8">
        <v>529</v>
      </c>
    </row>
    <row r="17497" spans="1:6" ht="12.75">
      <c r="A17497" s="8">
        <v>43896.859652777777</v>
      </c>
      <c r="B17497" s="8" t="str">
        <f>HYPERLINK("https://twitter.com/Yunitamaulindas","@Yunitamaulindas")</f>
        <v>@Yunitamaulindas</v>
      </c>
      <c r="C17497" s="8" t="s">
        <v>5103</v>
      </c>
      <c r="D17497" s="8">
        <v>107</v>
      </c>
      <c r="E17497" s="8">
        <v>0</v>
      </c>
      <c r="F17497" s="8">
        <v>569</v>
      </c>
    </row>
    <row r="17498" spans="1:6" ht="12.75">
      <c r="A17498" s="8">
        <v>43896.859560185185</v>
      </c>
      <c r="B17498" s="8" t="str">
        <f>HYPERLINK("https://twitter.com/wokayokay","@wokayokay")</f>
        <v>@wokayokay</v>
      </c>
      <c r="C17498" s="8" t="s">
        <v>5524</v>
      </c>
      <c r="D17498" s="8">
        <v>3</v>
      </c>
      <c r="E17498" s="8">
        <v>0</v>
      </c>
      <c r="F17498" s="8">
        <v>529</v>
      </c>
    </row>
    <row r="17499" spans="1:6" ht="12.75">
      <c r="A17499" s="8">
        <v>43896.859502314815</v>
      </c>
      <c r="B17499" s="8" t="str">
        <f>HYPERLINK("https://twitter.com/mdkoir","@mdkoir")</f>
        <v>@mdkoir</v>
      </c>
      <c r="C17499" s="8" t="s">
        <v>3743</v>
      </c>
      <c r="D17499" s="8">
        <v>100</v>
      </c>
      <c r="E17499" s="8">
        <v>0</v>
      </c>
      <c r="F17499" s="8">
        <v>525</v>
      </c>
    </row>
    <row r="17500" spans="1:6" ht="12.75">
      <c r="A17500" s="8">
        <v>43896.859479166669</v>
      </c>
      <c r="B17500" s="8" t="str">
        <f>HYPERLINK("https://twitter.com/Indeks_Berita","@Indeks_Berita")</f>
        <v>@Indeks_Berita</v>
      </c>
      <c r="C17500" s="8" t="s">
        <v>7040</v>
      </c>
      <c r="D17500" s="8">
        <v>0</v>
      </c>
      <c r="E17500" s="8">
        <v>0</v>
      </c>
      <c r="F17500" s="8">
        <v>261</v>
      </c>
    </row>
    <row r="17501" spans="1:6" ht="12.75">
      <c r="A17501" s="8">
        <v>43896.859456018516</v>
      </c>
      <c r="B17501" s="8" t="str">
        <f>HYPERLINK("https://twitter.com/absimor","@absimor")</f>
        <v>@absimor</v>
      </c>
      <c r="C17501" s="8" t="s">
        <v>7041</v>
      </c>
      <c r="D17501" s="8">
        <v>0</v>
      </c>
      <c r="E17501" s="8">
        <v>0</v>
      </c>
      <c r="F17501" s="8">
        <v>1</v>
      </c>
    </row>
    <row r="17502" spans="1:6" ht="12.75">
      <c r="A17502" s="8">
        <v>43896.858981481477</v>
      </c>
      <c r="B17502" s="8" t="str">
        <f>HYPERLINK("https://twitter.com/__anomali__","@__anomali__")</f>
        <v>@__anomali__</v>
      </c>
      <c r="C17502" s="8" t="s">
        <v>5103</v>
      </c>
      <c r="D17502" s="8">
        <v>107</v>
      </c>
      <c r="E17502" s="8">
        <v>0</v>
      </c>
      <c r="F17502" s="8">
        <v>2494</v>
      </c>
    </row>
    <row r="17503" spans="1:6" ht="12.75">
      <c r="A17503" s="8">
        <v>43896.858807870369</v>
      </c>
      <c r="B17503" s="8" t="str">
        <f>HYPERLINK("https://twitter.com/Zadakidi","@Zadakidi")</f>
        <v>@Zadakidi</v>
      </c>
      <c r="C17503" s="8" t="s">
        <v>7042</v>
      </c>
      <c r="D17503" s="8">
        <v>1</v>
      </c>
      <c r="E17503" s="8">
        <v>5</v>
      </c>
      <c r="F17503" s="8">
        <v>347</v>
      </c>
    </row>
    <row r="17504" spans="1:6" ht="12.75">
      <c r="A17504" s="8">
        <v>43896.858784722222</v>
      </c>
      <c r="B17504" s="8" t="str">
        <f>HYPERLINK("https://twitter.com/opshield","@opshield")</f>
        <v>@opshield</v>
      </c>
      <c r="C17504" s="8" t="s">
        <v>7043</v>
      </c>
      <c r="D17504" s="8">
        <v>3</v>
      </c>
      <c r="E17504" s="8">
        <v>0</v>
      </c>
      <c r="F17504" s="8">
        <v>230</v>
      </c>
    </row>
    <row r="17505" spans="1:6" ht="12.75">
      <c r="A17505" s="8">
        <v>43896.85802083333</v>
      </c>
      <c r="B17505" s="8" t="str">
        <f>HYPERLINK("https://twitter.com/raihan_misdiana","@raihan_misdiana")</f>
        <v>@raihan_misdiana</v>
      </c>
      <c r="C17505" s="8" t="s">
        <v>6772</v>
      </c>
      <c r="D17505" s="8">
        <v>85</v>
      </c>
      <c r="E17505" s="8">
        <v>0</v>
      </c>
      <c r="F17505" s="8">
        <v>230</v>
      </c>
    </row>
    <row r="17506" spans="1:6" ht="12.75">
      <c r="A17506" s="8">
        <v>43896.856944444444</v>
      </c>
      <c r="B17506" s="8" t="str">
        <f>HYPERLINK("https://twitter.com/bunk_sh","@bunk_sh")</f>
        <v>@bunk_sh</v>
      </c>
      <c r="C17506" s="8" t="s">
        <v>7044</v>
      </c>
      <c r="D17506" s="8">
        <v>1</v>
      </c>
      <c r="E17506" s="8">
        <v>0</v>
      </c>
      <c r="F17506" s="8">
        <v>773</v>
      </c>
    </row>
    <row r="17507" spans="1:6" ht="12.75">
      <c r="A17507" s="8">
        <v>43896.856759259259</v>
      </c>
      <c r="B17507" s="8" t="str">
        <f>HYPERLINK("https://twitter.com/Faylasalle2","@Faylasalle2")</f>
        <v>@Faylasalle2</v>
      </c>
      <c r="C17507" s="8" t="s">
        <v>3743</v>
      </c>
      <c r="D17507" s="8">
        <v>100</v>
      </c>
      <c r="E17507" s="8">
        <v>0</v>
      </c>
      <c r="F17507" s="8">
        <v>539</v>
      </c>
    </row>
    <row r="17508" spans="1:6" ht="12.75">
      <c r="A17508" s="8">
        <v>43896.856319444443</v>
      </c>
      <c r="B17508" s="8" t="str">
        <f>HYPERLINK("https://twitter.com/rinigrace","@rinigrace")</f>
        <v>@rinigrace</v>
      </c>
      <c r="C17508" s="8" t="s">
        <v>7045</v>
      </c>
      <c r="D17508" s="8">
        <v>1</v>
      </c>
      <c r="E17508" s="8">
        <v>0</v>
      </c>
      <c r="F17508" s="8">
        <v>568</v>
      </c>
    </row>
    <row r="17509" spans="1:6" ht="12.75">
      <c r="A17509" s="8">
        <v>43896.84003472222</v>
      </c>
      <c r="B17509" s="8" t="str">
        <f>HYPERLINK("https://twitter.com/Budi1409Bs","@Budi1409Bs")</f>
        <v>@Budi1409Bs</v>
      </c>
      <c r="C17509" s="8" t="s">
        <v>3743</v>
      </c>
      <c r="D17509" s="8">
        <v>48</v>
      </c>
      <c r="E17509" s="8">
        <v>0</v>
      </c>
      <c r="F17509" s="8">
        <v>657</v>
      </c>
    </row>
    <row r="17510" spans="1:6" ht="12.75">
      <c r="A17510" s="8">
        <v>43896.839768518519</v>
      </c>
      <c r="B17510" s="8" t="str">
        <f>HYPERLINK("https://twitter.com/0v4lt1n3_","@0v4lt1n3_")</f>
        <v>@0v4lt1n3_</v>
      </c>
      <c r="C17510" s="8" t="s">
        <v>6772</v>
      </c>
      <c r="D17510" s="8">
        <v>76</v>
      </c>
      <c r="E17510" s="8">
        <v>0</v>
      </c>
      <c r="F17510" s="8">
        <v>1906</v>
      </c>
    </row>
    <row r="17511" spans="1:6" ht="12.75">
      <c r="A17511" s="8">
        <v>43896.839166666672</v>
      </c>
      <c r="B17511" s="8" t="str">
        <f t="shared" ref="B17511:B17513" si="258">HYPERLINK("https://twitter.com/SiJombloKreatif","@SiJombloKreatif")</f>
        <v>@SiJombloKreatif</v>
      </c>
      <c r="C17511" s="8" t="s">
        <v>7046</v>
      </c>
      <c r="D17511" s="8">
        <v>6</v>
      </c>
      <c r="E17511" s="8">
        <v>0</v>
      </c>
      <c r="F17511" s="8">
        <v>120946</v>
      </c>
    </row>
    <row r="17512" spans="1:6" ht="12.75">
      <c r="A17512" s="8">
        <v>43896.839143518519</v>
      </c>
      <c r="B17512" s="8" t="str">
        <f t="shared" si="258"/>
        <v>@SiJombloKreatif</v>
      </c>
      <c r="C17512" s="8" t="s">
        <v>7047</v>
      </c>
      <c r="D17512" s="8">
        <v>6</v>
      </c>
      <c r="E17512" s="8">
        <v>0</v>
      </c>
      <c r="F17512" s="8">
        <v>120946</v>
      </c>
    </row>
    <row r="17513" spans="1:6" ht="12.75">
      <c r="A17513" s="8">
        <v>43896.839039351849</v>
      </c>
      <c r="B17513" s="8" t="str">
        <f t="shared" si="258"/>
        <v>@SiJombloKreatif</v>
      </c>
      <c r="C17513" s="8" t="s">
        <v>7048</v>
      </c>
      <c r="D17513" s="8">
        <v>0</v>
      </c>
      <c r="E17513" s="8">
        <v>0</v>
      </c>
      <c r="F17513" s="8">
        <v>120946</v>
      </c>
    </row>
    <row r="17514" spans="1:6" ht="12.75">
      <c r="A17514" s="8">
        <v>43896.838506944448</v>
      </c>
      <c r="B17514" s="8" t="str">
        <f>HYPERLINK("https://twitter.com/Temulaw71417452","@Temulaw71417452")</f>
        <v>@Temulaw71417452</v>
      </c>
      <c r="C17514" s="8" t="s">
        <v>3743</v>
      </c>
      <c r="D17514" s="8">
        <v>48</v>
      </c>
      <c r="E17514" s="8">
        <v>0</v>
      </c>
      <c r="F17514" s="8">
        <v>68</v>
      </c>
    </row>
    <row r="17515" spans="1:6" ht="12.75">
      <c r="A17515" s="8">
        <v>43896.838483796295</v>
      </c>
      <c r="B17515" s="8" t="str">
        <f>HYPERLINK("https://twitter.com/yoggigunawan","@yoggigunawan")</f>
        <v>@yoggigunawan</v>
      </c>
      <c r="C17515" s="8" t="s">
        <v>5103</v>
      </c>
      <c r="D17515" s="8">
        <v>85</v>
      </c>
      <c r="E17515" s="8">
        <v>0</v>
      </c>
      <c r="F17515" s="8">
        <v>465</v>
      </c>
    </row>
    <row r="17516" spans="1:6" ht="12.75">
      <c r="A17516" s="8">
        <v>43896.838472222225</v>
      </c>
      <c r="B17516" s="8" t="str">
        <f>HYPERLINK("https://twitter.com/08Rasul","@08Rasul")</f>
        <v>@08Rasul</v>
      </c>
      <c r="C17516" s="8" t="s">
        <v>6128</v>
      </c>
      <c r="D17516" s="8">
        <v>7</v>
      </c>
      <c r="E17516" s="8">
        <v>0</v>
      </c>
      <c r="F17516" s="8">
        <v>427</v>
      </c>
    </row>
    <row r="17517" spans="1:6" ht="12.75">
      <c r="A17517" s="8">
        <v>43896.838113425925</v>
      </c>
      <c r="B17517" s="8" t="str">
        <f>HYPERLINK("https://twitter.com/astropopz","@astropopz")</f>
        <v>@astropopz</v>
      </c>
      <c r="C17517" s="8" t="s">
        <v>7049</v>
      </c>
      <c r="D17517" s="8">
        <v>0</v>
      </c>
      <c r="E17517" s="8">
        <v>0</v>
      </c>
      <c r="F17517" s="8">
        <v>2603</v>
      </c>
    </row>
    <row r="17518" spans="1:6" ht="12.75">
      <c r="A17518" s="8">
        <v>43896.838009259256</v>
      </c>
      <c r="B17518" s="8" t="str">
        <f>HYPERLINK("https://twitter.com/she_isis","@she_isis")</f>
        <v>@she_isis</v>
      </c>
      <c r="C17518" s="8" t="s">
        <v>7050</v>
      </c>
      <c r="D17518" s="8">
        <v>565</v>
      </c>
      <c r="E17518" s="8">
        <v>0</v>
      </c>
      <c r="F17518" s="8">
        <v>173</v>
      </c>
    </row>
    <row r="17519" spans="1:6" ht="12.75">
      <c r="A17519" s="8">
        <v>43896.837777777779</v>
      </c>
      <c r="B17519" s="8" t="str">
        <f>HYPERLINK("https://twitter.com/ReksadipaSAN","@ReksadipaSAN")</f>
        <v>@ReksadipaSAN</v>
      </c>
      <c r="C17519" s="8" t="s">
        <v>3743</v>
      </c>
      <c r="D17519" s="8">
        <v>48</v>
      </c>
      <c r="E17519" s="8">
        <v>0</v>
      </c>
      <c r="F17519" s="8">
        <v>124</v>
      </c>
    </row>
    <row r="17520" spans="1:6" ht="12.75">
      <c r="A17520" s="8">
        <v>43896.837673611109</v>
      </c>
      <c r="B17520" s="8" t="str">
        <f>HYPERLINK("https://twitter.com/robert868686","@robert868686")</f>
        <v>@robert868686</v>
      </c>
      <c r="C17520" s="8" t="s">
        <v>7051</v>
      </c>
      <c r="D17520" s="8">
        <v>0</v>
      </c>
      <c r="E17520" s="8">
        <v>0</v>
      </c>
      <c r="F17520" s="8">
        <v>256</v>
      </c>
    </row>
    <row r="17521" spans="1:6" ht="12.75">
      <c r="A17521" s="8">
        <v>43896.837129629625</v>
      </c>
      <c r="B17521" s="8" t="str">
        <f>HYPERLINK("https://twitter.com/erizal7360","@erizal7360")</f>
        <v>@erizal7360</v>
      </c>
      <c r="C17521" s="8" t="s">
        <v>6128</v>
      </c>
      <c r="D17521" s="8">
        <v>7</v>
      </c>
      <c r="E17521" s="8">
        <v>0</v>
      </c>
      <c r="F17521" s="8">
        <v>2556</v>
      </c>
    </row>
    <row r="17522" spans="1:6" ht="12.75">
      <c r="A17522" s="8">
        <v>43896.837048611109</v>
      </c>
      <c r="B17522" s="8" t="str">
        <f>HYPERLINK("https://twitter.com/Claudy2002Grace","@Claudy2002Grace")</f>
        <v>@Claudy2002Grace</v>
      </c>
      <c r="C17522" s="8" t="s">
        <v>6636</v>
      </c>
      <c r="D17522" s="8">
        <v>18</v>
      </c>
      <c r="E17522" s="8">
        <v>0</v>
      </c>
      <c r="F17522" s="8">
        <v>39</v>
      </c>
    </row>
    <row r="17523" spans="1:6" ht="12.75">
      <c r="A17523" s="8">
        <v>43896.836354166662</v>
      </c>
      <c r="B17523" s="8" t="str">
        <f>HYPERLINK("https://twitter.com/zishan00966959","@zishan00966959")</f>
        <v>@zishan00966959</v>
      </c>
      <c r="C17523" s="8" t="s">
        <v>6625</v>
      </c>
      <c r="D17523" s="8">
        <v>7</v>
      </c>
      <c r="E17523" s="8">
        <v>0</v>
      </c>
      <c r="F17523" s="8">
        <v>211</v>
      </c>
    </row>
    <row r="17524" spans="1:6" ht="12.75">
      <c r="A17524" s="8">
        <v>43896.836192129631</v>
      </c>
      <c r="B17524" s="8" t="str">
        <f>HYPERLINK("https://twitter.com/Maz_Paimin","@Maz_Paimin")</f>
        <v>@Maz_Paimin</v>
      </c>
      <c r="C17524" s="8" t="s">
        <v>3743</v>
      </c>
      <c r="D17524" s="8">
        <v>48</v>
      </c>
      <c r="E17524" s="8">
        <v>0</v>
      </c>
      <c r="F17524" s="8">
        <v>829</v>
      </c>
    </row>
    <row r="17525" spans="1:6" ht="12.75">
      <c r="A17525" s="8">
        <v>43896.835740740746</v>
      </c>
      <c r="B17525" s="8" t="str">
        <f>HYPERLINK("https://twitter.com/yandaffa2","@yandaffa2")</f>
        <v>@yandaffa2</v>
      </c>
      <c r="C17525" s="8" t="s">
        <v>7052</v>
      </c>
      <c r="D17525" s="8">
        <v>0</v>
      </c>
      <c r="E17525" s="8">
        <v>0</v>
      </c>
      <c r="F17525" s="8">
        <v>43</v>
      </c>
    </row>
    <row r="17526" spans="1:6" ht="12.75">
      <c r="A17526" s="8">
        <v>43896.8356712963</v>
      </c>
      <c r="B17526" s="8" t="str">
        <f>HYPERLINK("https://twitter.com/republikaonline","@republikaonline")</f>
        <v>@republikaonline</v>
      </c>
      <c r="C17526" s="8" t="s">
        <v>7053</v>
      </c>
      <c r="D17526" s="8">
        <v>0</v>
      </c>
      <c r="E17526" s="8">
        <v>2</v>
      </c>
      <c r="F17526" s="8">
        <v>1220624</v>
      </c>
    </row>
    <row r="17527" spans="1:6" ht="12.75">
      <c r="A17527" s="8">
        <v>43896.835486111115</v>
      </c>
      <c r="B17527" s="8" t="str">
        <f>HYPERLINK("https://twitter.com/gilang_galuh","@gilang_galuh")</f>
        <v>@gilang_galuh</v>
      </c>
      <c r="C17527" s="8" t="s">
        <v>3743</v>
      </c>
      <c r="D17527" s="8">
        <v>48</v>
      </c>
      <c r="E17527" s="8">
        <v>0</v>
      </c>
      <c r="F17527" s="8">
        <v>256</v>
      </c>
    </row>
    <row r="17528" spans="1:6" ht="12.75">
      <c r="A17528" s="8">
        <v>43896.835150462968</v>
      </c>
      <c r="B17528" s="8" t="str">
        <f>HYPERLINK("https://twitter.com/BillTemporo","@BillTemporo")</f>
        <v>@BillTemporo</v>
      </c>
      <c r="C17528" s="8" t="s">
        <v>323</v>
      </c>
      <c r="D17528" s="8">
        <v>0</v>
      </c>
      <c r="E17528" s="8">
        <v>0</v>
      </c>
      <c r="F17528" s="8">
        <v>11</v>
      </c>
    </row>
    <row r="17529" spans="1:6" ht="12.75">
      <c r="A17529" s="8">
        <v>43896.83494212963</v>
      </c>
      <c r="B17529" s="8" t="str">
        <f>HYPERLINK("https://twitter.com/JacksQuevara","@JacksQuevara")</f>
        <v>@JacksQuevara</v>
      </c>
      <c r="C17529" s="8" t="s">
        <v>3743</v>
      </c>
      <c r="D17529" s="8">
        <v>48</v>
      </c>
      <c r="E17529" s="8">
        <v>0</v>
      </c>
      <c r="F17529" s="8">
        <v>1172</v>
      </c>
    </row>
    <row r="17530" spans="1:6" ht="12.75">
      <c r="A17530" s="8">
        <v>43896.834826388891</v>
      </c>
      <c r="B17530" s="8" t="str">
        <f>HYPERLINK("https://twitter.com/indragiri313","@indragiri313")</f>
        <v>@indragiri313</v>
      </c>
      <c r="C17530" s="8" t="s">
        <v>6128</v>
      </c>
      <c r="D17530" s="8">
        <v>7</v>
      </c>
      <c r="E17530" s="8">
        <v>0</v>
      </c>
      <c r="F17530" s="8">
        <v>1013</v>
      </c>
    </row>
    <row r="17531" spans="1:6" ht="12.75">
      <c r="A17531" s="8">
        <v>43896.834374999999</v>
      </c>
      <c r="B17531" s="8" t="str">
        <f>HYPERLINK("https://twitter.com/Banjarsultanate","@Banjarsultanate")</f>
        <v>@Banjarsultanate</v>
      </c>
      <c r="C17531" s="8" t="s">
        <v>2116</v>
      </c>
      <c r="D17531" s="8">
        <v>37</v>
      </c>
      <c r="E17531" s="8">
        <v>0</v>
      </c>
      <c r="F17531" s="8">
        <v>11</v>
      </c>
    </row>
    <row r="17532" spans="1:6" ht="12.75">
      <c r="A17532" s="8">
        <v>43896.834293981483</v>
      </c>
      <c r="B17532" s="8" t="str">
        <f>HYPERLINK("https://twitter.com/165NLM","@165NLM")</f>
        <v>@165NLM</v>
      </c>
      <c r="C17532" s="8" t="s">
        <v>3743</v>
      </c>
      <c r="D17532" s="8">
        <v>48</v>
      </c>
      <c r="E17532" s="8">
        <v>0</v>
      </c>
      <c r="F17532" s="8">
        <v>1539</v>
      </c>
    </row>
    <row r="17533" spans="1:6" ht="12.75">
      <c r="A17533" s="8">
        <v>43896.833854166667</v>
      </c>
      <c r="B17533" s="8" t="str">
        <f>HYPERLINK("https://twitter.com/AgusAwe","@AgusAwe")</f>
        <v>@AgusAwe</v>
      </c>
      <c r="C17533" s="8" t="s">
        <v>7054</v>
      </c>
      <c r="D17533" s="8">
        <v>0</v>
      </c>
      <c r="E17533" s="8">
        <v>0</v>
      </c>
      <c r="F17533" s="8">
        <v>2001</v>
      </c>
    </row>
    <row r="17534" spans="1:6" ht="12.75">
      <c r="A17534" s="8">
        <v>43896.833738425921</v>
      </c>
      <c r="B17534" s="8" t="str">
        <f>HYPERLINK("https://twitter.com/Rayendjahar","@Rayendjahar")</f>
        <v>@Rayendjahar</v>
      </c>
      <c r="C17534" s="8" t="s">
        <v>3132</v>
      </c>
      <c r="D17534" s="8">
        <v>123</v>
      </c>
      <c r="E17534" s="8">
        <v>0</v>
      </c>
      <c r="F17534" s="8">
        <v>71</v>
      </c>
    </row>
    <row r="17535" spans="1:6" ht="12.75">
      <c r="A17535" s="8">
        <v>43896.833622685182</v>
      </c>
      <c r="B17535" s="8" t="str">
        <f>HYPERLINK("https://twitter.com/gilapersija","@gilapersija")</f>
        <v>@gilapersija</v>
      </c>
      <c r="C17535" s="8" t="s">
        <v>6325</v>
      </c>
      <c r="D17535" s="8">
        <v>5</v>
      </c>
      <c r="E17535" s="8">
        <v>0</v>
      </c>
      <c r="F17535" s="8">
        <v>1075</v>
      </c>
    </row>
    <row r="17536" spans="1:6" ht="12.75">
      <c r="A17536" s="8">
        <v>43896.833437499998</v>
      </c>
      <c r="B17536" s="8" t="str">
        <f>HYPERLINK("https://twitter.com/yani58989427","@yani58989427")</f>
        <v>@yani58989427</v>
      </c>
      <c r="C17536" s="8" t="s">
        <v>3743</v>
      </c>
      <c r="D17536" s="8">
        <v>48</v>
      </c>
      <c r="E17536" s="8">
        <v>0</v>
      </c>
      <c r="F17536" s="8">
        <v>62</v>
      </c>
    </row>
    <row r="17537" spans="1:6" ht="12.75">
      <c r="A17537" s="8">
        <v>43896.833414351851</v>
      </c>
      <c r="B17537" s="8" t="str">
        <f>HYPERLINK("https://twitter.com/suka011","@suka011")</f>
        <v>@suka011</v>
      </c>
      <c r="C17537" s="8" t="s">
        <v>7055</v>
      </c>
      <c r="D17537" s="8">
        <v>0</v>
      </c>
      <c r="E17537" s="8">
        <v>0</v>
      </c>
      <c r="F17537" s="8">
        <v>2227</v>
      </c>
    </row>
    <row r="17538" spans="1:6" ht="12.75">
      <c r="A17538" s="8">
        <v>43896.833414351851</v>
      </c>
      <c r="B17538" s="8" t="str">
        <f>HYPERLINK("https://twitter.com/israrhussain","@israrhussain")</f>
        <v>@israrhussain</v>
      </c>
      <c r="C17538" s="8" t="s">
        <v>6625</v>
      </c>
      <c r="D17538" s="8">
        <v>7</v>
      </c>
      <c r="E17538" s="8">
        <v>0</v>
      </c>
      <c r="F17538" s="8">
        <v>144</v>
      </c>
    </row>
    <row r="17539" spans="1:6" ht="12.75">
      <c r="A17539" s="8">
        <v>43896.833333333328</v>
      </c>
      <c r="B17539" s="8" t="str">
        <f>HYPERLINK("https://twitter.com/Lintas_MNCTV","@Lintas_MNCTV")</f>
        <v>@Lintas_MNCTV</v>
      </c>
      <c r="C17539" s="8" t="s">
        <v>7056</v>
      </c>
      <c r="D17539" s="8">
        <v>0</v>
      </c>
      <c r="E17539" s="8">
        <v>0</v>
      </c>
      <c r="F17539" s="8">
        <v>35920</v>
      </c>
    </row>
    <row r="17540" spans="1:6" ht="12.75">
      <c r="A17540" s="8">
        <v>43896.833020833335</v>
      </c>
      <c r="B17540" s="8" t="str">
        <f>HYPERLINK("https://twitter.com/MuktiTeungku","@MuktiTeungku")</f>
        <v>@MuktiTeungku</v>
      </c>
      <c r="C17540" s="8" t="s">
        <v>3743</v>
      </c>
      <c r="D17540" s="8">
        <v>48</v>
      </c>
      <c r="E17540" s="8">
        <v>0</v>
      </c>
      <c r="F17540" s="8">
        <v>680</v>
      </c>
    </row>
    <row r="17541" spans="1:6" ht="12.75">
      <c r="A17541" s="8">
        <v>43896.832453703704</v>
      </c>
      <c r="B17541" s="8" t="str">
        <f>HYPERLINK("https://twitter.com/msfarih","@msfarih")</f>
        <v>@msfarih</v>
      </c>
      <c r="C17541" s="8" t="s">
        <v>7057</v>
      </c>
      <c r="D17541" s="8">
        <v>0</v>
      </c>
      <c r="E17541" s="8">
        <v>0</v>
      </c>
      <c r="F17541" s="8">
        <v>749</v>
      </c>
    </row>
    <row r="17542" spans="1:6" ht="12.75">
      <c r="A17542" s="8">
        <v>43896.832268518519</v>
      </c>
      <c r="B17542" s="8" t="str">
        <f>HYPERLINK("https://twitter.com/zenoldgonzalez","@zenoldgonzalez")</f>
        <v>@zenoldgonzalez</v>
      </c>
      <c r="C17542" s="8" t="s">
        <v>3743</v>
      </c>
      <c r="D17542" s="8">
        <v>48</v>
      </c>
      <c r="E17542" s="8">
        <v>0</v>
      </c>
      <c r="F17542" s="8">
        <v>2012</v>
      </c>
    </row>
    <row r="17543" spans="1:6" ht="12.75">
      <c r="A17543" s="8">
        <v>43896.831666666665</v>
      </c>
      <c r="B17543" s="8" t="str">
        <f>HYPERLINK("https://twitter.com/fatkur_isti","@fatkur_isti")</f>
        <v>@fatkur_isti</v>
      </c>
      <c r="C17543" s="8" t="s">
        <v>6772</v>
      </c>
      <c r="D17543" s="8">
        <v>76</v>
      </c>
      <c r="E17543" s="8">
        <v>0</v>
      </c>
      <c r="F17543" s="8">
        <v>2148</v>
      </c>
    </row>
    <row r="17544" spans="1:6" ht="12.75">
      <c r="A17544" s="8">
        <v>43896.831666666665</v>
      </c>
      <c r="B17544" s="8" t="str">
        <f>HYPERLINK("https://twitter.com/Danimas19","@Danimas19")</f>
        <v>@Danimas19</v>
      </c>
      <c r="C17544" s="8" t="s">
        <v>4948</v>
      </c>
      <c r="D17544" s="8">
        <v>71</v>
      </c>
      <c r="E17544" s="8">
        <v>0</v>
      </c>
      <c r="F17544" s="8">
        <v>96</v>
      </c>
    </row>
    <row r="17545" spans="1:6" ht="12.75">
      <c r="A17545" s="8">
        <v>43896.831608796296</v>
      </c>
      <c r="B17545" s="8" t="str">
        <f>HYPERLINK("https://twitter.com/AnitaPaud57","@AnitaPaud57")</f>
        <v>@AnitaPaud57</v>
      </c>
      <c r="C17545" s="8" t="s">
        <v>3743</v>
      </c>
      <c r="D17545" s="8">
        <v>48</v>
      </c>
      <c r="E17545" s="8">
        <v>0</v>
      </c>
      <c r="F17545" s="8">
        <v>373</v>
      </c>
    </row>
    <row r="17546" spans="1:6" ht="12.75">
      <c r="A17546" s="8">
        <v>43896.831608796296</v>
      </c>
      <c r="B17546" s="8" t="str">
        <f>HYPERLINK("https://twitter.com/i_Pras","@i_Pras")</f>
        <v>@i_Pras</v>
      </c>
      <c r="C17546" s="8" t="s">
        <v>7058</v>
      </c>
      <c r="D17546" s="8">
        <v>15</v>
      </c>
      <c r="E17546" s="8">
        <v>0</v>
      </c>
      <c r="F17546" s="8">
        <v>1056</v>
      </c>
    </row>
    <row r="17547" spans="1:6" ht="12.75">
      <c r="A17547" s="8">
        <v>43896.83112268518</v>
      </c>
      <c r="B17547" s="8" t="str">
        <f>HYPERLINK("https://twitter.com/EULIS61893872","@EULIS61893872")</f>
        <v>@EULIS61893872</v>
      </c>
      <c r="C17547" s="8" t="s">
        <v>6772</v>
      </c>
      <c r="D17547" s="8">
        <v>76</v>
      </c>
      <c r="E17547" s="8">
        <v>0</v>
      </c>
      <c r="F17547" s="8">
        <v>389</v>
      </c>
    </row>
    <row r="17548" spans="1:6" ht="12.75">
      <c r="A17548" s="8">
        <v>43896.831030092595</v>
      </c>
      <c r="B17548" s="8" t="str">
        <f>HYPERLINK("https://twitter.com/LuqmanAtif","@LuqmanAtif")</f>
        <v>@LuqmanAtif</v>
      </c>
      <c r="C17548" s="8" t="s">
        <v>7059</v>
      </c>
      <c r="D17548" s="8">
        <v>0</v>
      </c>
      <c r="E17548" s="8">
        <v>0</v>
      </c>
      <c r="F17548" s="8">
        <v>837</v>
      </c>
    </row>
    <row r="17549" spans="1:6" ht="12.75">
      <c r="A17549" s="8">
        <v>43896.830347222218</v>
      </c>
      <c r="B17549" s="8" t="str">
        <f>HYPERLINK("https://twitter.com/ryolandafit","@ryolandafit")</f>
        <v>@ryolandafit</v>
      </c>
      <c r="C17549" s="8" t="s">
        <v>7060</v>
      </c>
      <c r="D17549" s="8">
        <v>2</v>
      </c>
      <c r="E17549" s="8">
        <v>0</v>
      </c>
      <c r="F17549" s="8">
        <v>656</v>
      </c>
    </row>
    <row r="17550" spans="1:6" ht="12.75">
      <c r="A17550" s="8">
        <v>43896.829907407402</v>
      </c>
      <c r="B17550" s="8" t="str">
        <f>HYPERLINK("https://twitter.com/Datu58964959","@Datu58964959")</f>
        <v>@Datu58964959</v>
      </c>
      <c r="C17550" s="8" t="s">
        <v>7061</v>
      </c>
      <c r="D17550" s="8">
        <v>0</v>
      </c>
      <c r="E17550" s="8">
        <v>0</v>
      </c>
      <c r="F17550" s="8">
        <v>55</v>
      </c>
    </row>
    <row r="17551" spans="1:6" ht="12.75">
      <c r="A17551" s="8">
        <v>43896.829502314809</v>
      </c>
      <c r="B17551" s="8" t="str">
        <f>HYPERLINK("https://twitter.com/Bayubanyubiru_","@Bayubanyubiru_")</f>
        <v>@Bayubanyubiru_</v>
      </c>
      <c r="C17551" s="8" t="s">
        <v>6772</v>
      </c>
      <c r="D17551" s="8">
        <v>76</v>
      </c>
      <c r="E17551" s="8">
        <v>0</v>
      </c>
      <c r="F17551" s="8">
        <v>187</v>
      </c>
    </row>
    <row r="17552" spans="1:6" ht="12.75">
      <c r="A17552" s="8">
        <v>43896.829224537039</v>
      </c>
      <c r="B17552" s="8" t="str">
        <f>HYPERLINK("https://twitter.com/not_kirei","@not_kirei")</f>
        <v>@not_kirei</v>
      </c>
      <c r="C17552" s="8" t="s">
        <v>7062</v>
      </c>
      <c r="D17552" s="8">
        <v>0</v>
      </c>
      <c r="E17552" s="8">
        <v>0</v>
      </c>
      <c r="F17552" s="8">
        <v>3240</v>
      </c>
    </row>
    <row r="17553" spans="1:6" ht="12.75">
      <c r="A17553" s="8">
        <v>43896.828587962962</v>
      </c>
      <c r="B17553" s="8" t="str">
        <f>HYPERLINK("https://twitter.com/VidyaSingh666","@VidyaSingh666")</f>
        <v>@VidyaSingh666</v>
      </c>
      <c r="C17553" s="8" t="s">
        <v>7063</v>
      </c>
      <c r="D17553" s="8">
        <v>0</v>
      </c>
      <c r="E17553" s="8">
        <v>0</v>
      </c>
      <c r="F17553" s="8">
        <v>1</v>
      </c>
    </row>
    <row r="17554" spans="1:6" ht="12.75">
      <c r="A17554" s="8">
        <v>43896.828379629631</v>
      </c>
      <c r="B17554" s="8" t="str">
        <f>HYPERLINK("https://twitter.com/Suardi11415527","@Suardi11415527")</f>
        <v>@Suardi11415527</v>
      </c>
      <c r="C17554" s="8" t="s">
        <v>7064</v>
      </c>
      <c r="D17554" s="8">
        <v>0</v>
      </c>
      <c r="E17554" s="8">
        <v>1</v>
      </c>
      <c r="F17554" s="8">
        <v>31</v>
      </c>
    </row>
    <row r="17555" spans="1:6" ht="12.75">
      <c r="A17555" s="8">
        <v>43896.827592592592</v>
      </c>
      <c r="B17555" s="8" t="str">
        <f>HYPERLINK("https://twitter.com/a4_Udis","@a4_Udis")</f>
        <v>@a4_Udis</v>
      </c>
      <c r="C17555" s="8" t="s">
        <v>3743</v>
      </c>
      <c r="D17555" s="8">
        <v>48</v>
      </c>
      <c r="E17555" s="8">
        <v>0</v>
      </c>
      <c r="F17555" s="8">
        <v>4119</v>
      </c>
    </row>
    <row r="17556" spans="1:6" ht="12.75">
      <c r="A17556" s="8">
        <v>43896.827083333337</v>
      </c>
      <c r="B17556" s="8" t="str">
        <f>HYPERLINK("https://twitter.com/safxsky","@safxsky")</f>
        <v>@safxsky</v>
      </c>
      <c r="C17556" s="8" t="s">
        <v>6937</v>
      </c>
      <c r="D17556" s="8">
        <v>1</v>
      </c>
      <c r="E17556" s="8">
        <v>0</v>
      </c>
      <c r="F17556" s="8">
        <v>109</v>
      </c>
    </row>
    <row r="17557" spans="1:6" ht="12.75">
      <c r="A17557" s="8">
        <v>43896.826388888891</v>
      </c>
      <c r="B17557" s="8" t="str">
        <f>HYPERLINK("https://twitter.com/mediaindonesia","@mediaindonesia")</f>
        <v>@mediaindonesia</v>
      </c>
      <c r="C17557" s="8" t="s">
        <v>7065</v>
      </c>
      <c r="D17557" s="8">
        <v>0</v>
      </c>
      <c r="E17557" s="8">
        <v>3</v>
      </c>
      <c r="F17557" s="8">
        <v>1420464</v>
      </c>
    </row>
    <row r="17558" spans="1:6" ht="12.75">
      <c r="A17558" s="8">
        <v>43896.826238425929</v>
      </c>
      <c r="B17558" s="8" t="str">
        <f>HYPERLINK("https://twitter.com/GateJannah","@GateJannah")</f>
        <v>@GateJannah</v>
      </c>
      <c r="C17558" s="8" t="s">
        <v>3743</v>
      </c>
      <c r="D17558" s="8">
        <v>48</v>
      </c>
      <c r="E17558" s="8">
        <v>0</v>
      </c>
      <c r="F17558" s="8">
        <v>938</v>
      </c>
    </row>
    <row r="17559" spans="1:6" ht="12.75">
      <c r="A17559" s="8">
        <v>43896.826180555552</v>
      </c>
      <c r="B17559" s="8" t="str">
        <f>HYPERLINK("https://twitter.com/rinigrace","@rinigrace")</f>
        <v>@rinigrace</v>
      </c>
      <c r="C17559" s="8" t="s">
        <v>7066</v>
      </c>
      <c r="D17559" s="8">
        <v>0</v>
      </c>
      <c r="E17559" s="8">
        <v>0</v>
      </c>
      <c r="F17559" s="8">
        <v>568</v>
      </c>
    </row>
    <row r="17560" spans="1:6" ht="12.75">
      <c r="A17560" s="8">
        <v>43896.825879629629</v>
      </c>
      <c r="B17560" s="8" t="str">
        <f>HYPERLINK("https://twitter.com/pa_hits","@pa_hits")</f>
        <v>@pa_hits</v>
      </c>
      <c r="C17560" s="8" t="s">
        <v>3743</v>
      </c>
      <c r="D17560" s="8">
        <v>48</v>
      </c>
      <c r="E17560" s="8">
        <v>0</v>
      </c>
      <c r="F17560" s="8">
        <v>431</v>
      </c>
    </row>
    <row r="17561" spans="1:6" ht="12.75">
      <c r="A17561" s="8">
        <v>43896.825787037036</v>
      </c>
      <c r="B17561" s="8" t="str">
        <f>HYPERLINK("https://twitter.com/FelipeSwanstAU","@FelipeSwanstAU")</f>
        <v>@FelipeSwanstAU</v>
      </c>
      <c r="C17561" s="8" t="s">
        <v>6778</v>
      </c>
      <c r="D17561" s="8">
        <v>8</v>
      </c>
      <c r="E17561" s="8">
        <v>0</v>
      </c>
      <c r="F17561" s="8">
        <v>877</v>
      </c>
    </row>
    <row r="17562" spans="1:6" ht="12.75">
      <c r="A17562" s="8">
        <v>43896.825787037036</v>
      </c>
      <c r="B17562" s="8" t="str">
        <f>HYPERLINK("https://twitter.com/MMargani5","@MMargani5")</f>
        <v>@MMargani5</v>
      </c>
      <c r="C17562" s="8" t="s">
        <v>3743</v>
      </c>
      <c r="D17562" s="8">
        <v>48</v>
      </c>
      <c r="E17562" s="8">
        <v>0</v>
      </c>
      <c r="F17562" s="8">
        <v>5724</v>
      </c>
    </row>
    <row r="17563" spans="1:6" ht="12.75">
      <c r="A17563" s="8">
        <v>43896.825729166667</v>
      </c>
      <c r="B17563" s="8" t="str">
        <f>HYPERLINK("https://twitter.com/TangselTerbaru","@TangselTerbaru")</f>
        <v>@TangselTerbaru</v>
      </c>
      <c r="C17563" s="8" t="s">
        <v>7067</v>
      </c>
      <c r="D17563" s="8">
        <v>0</v>
      </c>
      <c r="E17563" s="8">
        <v>0</v>
      </c>
      <c r="F17563" s="8">
        <v>1431</v>
      </c>
    </row>
    <row r="17564" spans="1:6" ht="12.75">
      <c r="A17564" s="8">
        <v>43896.825219907405</v>
      </c>
      <c r="B17564" s="8" t="str">
        <f>HYPERLINK("https://twitter.com/jkthbear","@jkthbear")</f>
        <v>@jkthbear</v>
      </c>
      <c r="C17564" s="8" t="s">
        <v>7068</v>
      </c>
      <c r="D17564" s="8">
        <v>0</v>
      </c>
      <c r="E17564" s="8">
        <v>0</v>
      </c>
      <c r="F17564" s="8">
        <v>2668</v>
      </c>
    </row>
    <row r="17565" spans="1:6" ht="12.75">
      <c r="A17565" s="8">
        <v>43896.825069444443</v>
      </c>
      <c r="B17565" s="8" t="str">
        <f>HYPERLINK("https://twitter.com/ryolandafit","@ryolandafit")</f>
        <v>@ryolandafit</v>
      </c>
      <c r="C17565" s="8" t="s">
        <v>7069</v>
      </c>
      <c r="D17565" s="8">
        <v>1</v>
      </c>
      <c r="E17565" s="8">
        <v>0</v>
      </c>
      <c r="F17565" s="8">
        <v>656</v>
      </c>
    </row>
    <row r="17566" spans="1:6" ht="12.75">
      <c r="A17566" s="8">
        <v>43896.824988425928</v>
      </c>
      <c r="B17566" s="8" t="str">
        <f>HYPERLINK("https://twitter.com/Rikithea1604","@Rikithea1604")</f>
        <v>@Rikithea1604</v>
      </c>
      <c r="C17566" s="8" t="s">
        <v>4948</v>
      </c>
      <c r="D17566" s="8">
        <v>71</v>
      </c>
      <c r="E17566" s="8">
        <v>0</v>
      </c>
      <c r="F17566" s="8">
        <v>104</v>
      </c>
    </row>
    <row r="17567" spans="1:6" ht="12.75">
      <c r="A17567" s="8">
        <v>43896.824872685189</v>
      </c>
      <c r="B17567" s="8" t="str">
        <f>HYPERLINK("https://twitter.com/reno_2","@reno_2")</f>
        <v>@reno_2</v>
      </c>
      <c r="C17567" s="8" t="s">
        <v>3743</v>
      </c>
      <c r="D17567" s="8">
        <v>48</v>
      </c>
      <c r="E17567" s="8">
        <v>0</v>
      </c>
      <c r="F17567" s="8">
        <v>3772</v>
      </c>
    </row>
    <row r="17568" spans="1:6" ht="12.75">
      <c r="A17568" s="8">
        <v>43896.824687500004</v>
      </c>
      <c r="B17568" s="8" t="str">
        <f>HYPERLINK("https://twitter.com/MeongEmpus","@MeongEmpus")</f>
        <v>@MeongEmpus</v>
      </c>
      <c r="C17568" s="8" t="s">
        <v>3743</v>
      </c>
      <c r="D17568" s="8">
        <v>48</v>
      </c>
      <c r="E17568" s="8">
        <v>0</v>
      </c>
      <c r="F17568" s="8">
        <v>607</v>
      </c>
    </row>
    <row r="17569" spans="1:6" ht="12.75">
      <c r="A17569" s="8">
        <v>43896.824675925927</v>
      </c>
      <c r="B17569" s="8" t="str">
        <f>HYPERLINK("https://twitter.com/becak125cc","@becak125cc")</f>
        <v>@becak125cc</v>
      </c>
      <c r="C17569" s="8" t="s">
        <v>4948</v>
      </c>
      <c r="D17569" s="8">
        <v>71</v>
      </c>
      <c r="E17569" s="8">
        <v>0</v>
      </c>
      <c r="F17569" s="8">
        <v>558</v>
      </c>
    </row>
    <row r="17570" spans="1:6" ht="12.75">
      <c r="A17570" s="8">
        <v>43896.824652777781</v>
      </c>
      <c r="B17570" s="8" t="str">
        <f>HYPERLINK("https://twitter.com/KasandraCintaMu","@KasandraCintaMu")</f>
        <v>@KasandraCintaMu</v>
      </c>
      <c r="C17570" s="8" t="s">
        <v>6128</v>
      </c>
      <c r="D17570" s="8">
        <v>7</v>
      </c>
      <c r="E17570" s="8">
        <v>0</v>
      </c>
      <c r="F17570" s="8">
        <v>189</v>
      </c>
    </row>
    <row r="17571" spans="1:6" ht="12.75">
      <c r="A17571" s="8">
        <v>43896.824525462958</v>
      </c>
      <c r="B17571" s="8" t="str">
        <f>HYPERLINK("https://twitter.com/ryolandafit","@ryolandafit")</f>
        <v>@ryolandafit</v>
      </c>
      <c r="C17571" s="8" t="s">
        <v>7035</v>
      </c>
      <c r="D17571" s="8">
        <v>4</v>
      </c>
      <c r="E17571" s="8">
        <v>0</v>
      </c>
      <c r="F17571" s="8">
        <v>656</v>
      </c>
    </row>
    <row r="17572" spans="1:6" ht="12.75">
      <c r="A17572" s="8">
        <v>43896.824097222227</v>
      </c>
      <c r="B17572" s="8" t="str">
        <f>HYPERLINK("https://twitter.com/Inlander21","@Inlander21")</f>
        <v>@Inlander21</v>
      </c>
      <c r="C17572" s="8" t="s">
        <v>3743</v>
      </c>
      <c r="D17572" s="8">
        <v>48</v>
      </c>
      <c r="E17572" s="8">
        <v>0</v>
      </c>
      <c r="F17572" s="8">
        <v>689</v>
      </c>
    </row>
    <row r="17573" spans="1:6" ht="12.75">
      <c r="A17573" s="8">
        <v>43896.823946759258</v>
      </c>
      <c r="B17573" s="8" t="str">
        <f>HYPERLINK("https://twitter.com/kunamoz","@kunamoz")</f>
        <v>@kunamoz</v>
      </c>
      <c r="C17573" s="8" t="s">
        <v>1078</v>
      </c>
      <c r="D17573" s="8">
        <v>692</v>
      </c>
      <c r="E17573" s="8">
        <v>0</v>
      </c>
      <c r="F17573" s="8">
        <v>105</v>
      </c>
    </row>
    <row r="17574" spans="1:6" ht="12.75">
      <c r="A17574" s="8">
        <v>43896.823854166665</v>
      </c>
      <c r="B17574" s="8" t="str">
        <f>HYPERLINK("https://twitter.com/MXHOSEOKLEE","@MXHOSEOKLEE")</f>
        <v>@MXHOSEOKLEE</v>
      </c>
      <c r="C17574" s="8" t="s">
        <v>7070</v>
      </c>
      <c r="D17574" s="8">
        <v>0</v>
      </c>
      <c r="E17574" s="8">
        <v>0</v>
      </c>
      <c r="F17574" s="8">
        <v>133</v>
      </c>
    </row>
    <row r="17575" spans="1:6" ht="12.75">
      <c r="A17575" s="8">
        <v>43896.823749999996</v>
      </c>
      <c r="B17575" s="8" t="str">
        <f>HYPERLINK("https://twitter.com/AtinSurbakti4","@AtinSurbakti4")</f>
        <v>@AtinSurbakti4</v>
      </c>
      <c r="C17575" s="8" t="s">
        <v>6636</v>
      </c>
      <c r="D17575" s="8">
        <v>18</v>
      </c>
      <c r="E17575" s="8">
        <v>0</v>
      </c>
      <c r="F17575" s="8">
        <v>310</v>
      </c>
    </row>
    <row r="17576" spans="1:6" ht="12.75">
      <c r="A17576" s="8">
        <v>43896.823680555557</v>
      </c>
      <c r="B17576" s="8" t="str">
        <f>HYPERLINK("https://twitter.com/MXHOSEOKLEE","@MXHOSEOKLEE")</f>
        <v>@MXHOSEOKLEE</v>
      </c>
      <c r="C17576" s="8" t="s">
        <v>7071</v>
      </c>
      <c r="D17576" s="8">
        <v>0</v>
      </c>
      <c r="E17576" s="8">
        <v>0</v>
      </c>
      <c r="F17576" s="8">
        <v>133</v>
      </c>
    </row>
    <row r="17577" spans="1:6" ht="12.75">
      <c r="A17577" s="8">
        <v>43896.823657407411</v>
      </c>
      <c r="B17577" s="8" t="str">
        <f>HYPERLINK("https://twitter.com/aktualofficial","@aktualofficial")</f>
        <v>@aktualofficial</v>
      </c>
      <c r="C17577" s="8" t="s">
        <v>7072</v>
      </c>
      <c r="D17577" s="8">
        <v>0</v>
      </c>
      <c r="E17577" s="8">
        <v>0</v>
      </c>
      <c r="F17577" s="8">
        <v>131</v>
      </c>
    </row>
    <row r="17578" spans="1:6" ht="12.75">
      <c r="A17578" s="8">
        <v>43896.823495370365</v>
      </c>
      <c r="B17578" s="8" t="str">
        <f>HYPERLINK("https://twitter.com/yookihyunt","@yookihyunt")</f>
        <v>@yookihyunt</v>
      </c>
      <c r="C17578" s="8" t="s">
        <v>7073</v>
      </c>
      <c r="D17578" s="8">
        <v>0</v>
      </c>
      <c r="E17578" s="8">
        <v>0</v>
      </c>
      <c r="F17578" s="8">
        <v>268</v>
      </c>
    </row>
    <row r="17579" spans="1:6" ht="12.75">
      <c r="A17579" s="8">
        <v>43896.823206018518</v>
      </c>
      <c r="B17579" s="8" t="str">
        <f>HYPERLINK("https://twitter.com/MXHOSEOKLEE","@MXHOSEOKLEE")</f>
        <v>@MXHOSEOKLEE</v>
      </c>
      <c r="C17579" s="8" t="s">
        <v>7074</v>
      </c>
      <c r="D17579" s="8">
        <v>0</v>
      </c>
      <c r="E17579" s="8">
        <v>0</v>
      </c>
      <c r="F17579" s="8">
        <v>133</v>
      </c>
    </row>
    <row r="17580" spans="1:6" ht="12.75">
      <c r="A17580" s="8">
        <v>43896.822442129633</v>
      </c>
      <c r="B17580" s="8" t="str">
        <f>HYPERLINK("https://twitter.com/Eddianto1","@Eddianto1")</f>
        <v>@Eddianto1</v>
      </c>
      <c r="C17580" s="8" t="s">
        <v>4948</v>
      </c>
      <c r="D17580" s="8">
        <v>71</v>
      </c>
      <c r="E17580" s="8">
        <v>0</v>
      </c>
      <c r="F17580" s="8">
        <v>372</v>
      </c>
    </row>
    <row r="17581" spans="1:6" ht="12.75">
      <c r="A17581" s="8">
        <v>43896.822175925925</v>
      </c>
      <c r="B17581" s="8" t="str">
        <f>HYPERLINK("https://twitter.com/red1n1earth","@red1n1earth")</f>
        <v>@red1n1earth</v>
      </c>
      <c r="C17581" s="8" t="s">
        <v>5662</v>
      </c>
      <c r="D17581" s="8">
        <v>24</v>
      </c>
      <c r="E17581" s="8">
        <v>0</v>
      </c>
      <c r="F17581" s="8">
        <v>1736</v>
      </c>
    </row>
    <row r="17582" spans="1:6" ht="12.75">
      <c r="A17582" s="8">
        <v>43896.821932870371</v>
      </c>
      <c r="B17582" s="8" t="str">
        <f>HYPERLINK("https://twitter.com/not_kirei","@not_kirei")</f>
        <v>@not_kirei</v>
      </c>
      <c r="C17582" s="8" t="s">
        <v>7075</v>
      </c>
      <c r="D17582" s="8">
        <v>0</v>
      </c>
      <c r="E17582" s="8">
        <v>0</v>
      </c>
      <c r="F17582" s="8">
        <v>3240</v>
      </c>
    </row>
    <row r="17583" spans="1:6" ht="12.75">
      <c r="A17583" s="8">
        <v>43896.821203703701</v>
      </c>
      <c r="B17583" s="8" t="str">
        <f>HYPERLINK("https://twitter.com/Skaikru44054108","@Skaikru44054108")</f>
        <v>@Skaikru44054108</v>
      </c>
      <c r="C17583" s="8" t="s">
        <v>7076</v>
      </c>
      <c r="D17583" s="8">
        <v>0</v>
      </c>
      <c r="E17583" s="8">
        <v>0</v>
      </c>
      <c r="F17583" s="8">
        <v>0</v>
      </c>
    </row>
    <row r="17584" spans="1:6" ht="12.75">
      <c r="A17584" s="8">
        <v>43896.821180555555</v>
      </c>
      <c r="B17584" s="8" t="str">
        <f>HYPERLINK("https://twitter.com/HaidarA80066600","@HaidarA80066600")</f>
        <v>@HaidarA80066600</v>
      </c>
      <c r="C17584" s="8" t="s">
        <v>7077</v>
      </c>
      <c r="D17584" s="8">
        <v>0</v>
      </c>
      <c r="E17584" s="8">
        <v>0</v>
      </c>
      <c r="F17584" s="8">
        <v>1</v>
      </c>
    </row>
    <row r="17585" spans="1:6" ht="12.75">
      <c r="A17585" s="8">
        <v>43896.821145833332</v>
      </c>
      <c r="B17585" s="8" t="str">
        <f>HYPERLINK("https://twitter.com/elsasrii","@elsasrii")</f>
        <v>@elsasrii</v>
      </c>
      <c r="C17585" s="8" t="s">
        <v>5103</v>
      </c>
      <c r="D17585" s="8">
        <v>85</v>
      </c>
      <c r="E17585" s="8">
        <v>0</v>
      </c>
      <c r="F17585" s="8">
        <v>633</v>
      </c>
    </row>
    <row r="17586" spans="1:6" ht="12.75">
      <c r="A17586" s="8">
        <v>43896.821076388893</v>
      </c>
      <c r="B17586" s="8" t="str">
        <f>HYPERLINK("https://twitter.com/imanion_","@imanion_")</f>
        <v>@imanion_</v>
      </c>
      <c r="C17586" s="8" t="s">
        <v>3743</v>
      </c>
      <c r="D17586" s="8">
        <v>48</v>
      </c>
      <c r="E17586" s="8">
        <v>0</v>
      </c>
      <c r="F17586" s="8">
        <v>569</v>
      </c>
    </row>
    <row r="17587" spans="1:6" ht="12.75">
      <c r="A17587" s="8">
        <v>43896.82104166667</v>
      </c>
      <c r="B17587" s="8" t="str">
        <f>HYPERLINK("https://twitter.com/vocketfcID","@vocketfcID")</f>
        <v>@vocketfcID</v>
      </c>
      <c r="C17587" s="8" t="s">
        <v>7078</v>
      </c>
      <c r="D17587" s="8">
        <v>0</v>
      </c>
      <c r="E17587" s="8">
        <v>0</v>
      </c>
      <c r="F17587" s="8">
        <v>5249</v>
      </c>
    </row>
    <row r="17588" spans="1:6" ht="12.75">
      <c r="A17588" s="8">
        <v>43896.82099537037</v>
      </c>
      <c r="B17588" s="8" t="str">
        <f>HYPERLINK("https://twitter.com/semvakmerah","@semvakmerah")</f>
        <v>@semvakmerah</v>
      </c>
      <c r="C17588" s="8" t="s">
        <v>7079</v>
      </c>
      <c r="D17588" s="8">
        <v>1</v>
      </c>
      <c r="E17588" s="8">
        <v>0</v>
      </c>
      <c r="F17588" s="8">
        <v>264</v>
      </c>
    </row>
    <row r="17589" spans="1:6" ht="12.75">
      <c r="A17589" s="8">
        <v>43896.820590277777</v>
      </c>
      <c r="B17589" s="8" t="str">
        <f>HYPERLINK("https://twitter.com/RichoKusuma3","@RichoKusuma3")</f>
        <v>@RichoKusuma3</v>
      </c>
      <c r="C17589" s="8" t="s">
        <v>3743</v>
      </c>
      <c r="D17589" s="8">
        <v>48</v>
      </c>
      <c r="E17589" s="8">
        <v>0</v>
      </c>
      <c r="F17589" s="8">
        <v>279</v>
      </c>
    </row>
    <row r="17590" spans="1:6" ht="12.75">
      <c r="A17590" s="8">
        <v>43896.820358796293</v>
      </c>
      <c r="B17590" s="8" t="str">
        <f>HYPERLINK("https://twitter.com/Ridhasyaa","@Ridhasyaa")</f>
        <v>@Ridhasyaa</v>
      </c>
      <c r="C17590" s="8" t="s">
        <v>7080</v>
      </c>
      <c r="D17590" s="8">
        <v>0</v>
      </c>
      <c r="E17590" s="8">
        <v>0</v>
      </c>
      <c r="F17590" s="8">
        <v>857</v>
      </c>
    </row>
    <row r="17591" spans="1:6" ht="12.75">
      <c r="A17591" s="8">
        <v>43896.820081018523</v>
      </c>
      <c r="B17591" s="8" t="str">
        <f>HYPERLINK("https://twitter.com/AliSinggih1","@AliSinggih1")</f>
        <v>@AliSinggih1</v>
      </c>
      <c r="C17591" s="8" t="s">
        <v>3743</v>
      </c>
      <c r="D17591" s="8">
        <v>48</v>
      </c>
      <c r="E17591" s="8">
        <v>0</v>
      </c>
      <c r="F17591" s="8">
        <v>2975</v>
      </c>
    </row>
    <row r="17592" spans="1:6" ht="12.75">
      <c r="A17592" s="8">
        <v>43896.819768518515</v>
      </c>
      <c r="B17592" s="8" t="str">
        <f>HYPERLINK("https://twitter.com/SuronoArif2","@SuronoArif2")</f>
        <v>@SuronoArif2</v>
      </c>
      <c r="C17592" s="8" t="s">
        <v>3743</v>
      </c>
      <c r="D17592" s="8">
        <v>48</v>
      </c>
      <c r="E17592" s="8">
        <v>0</v>
      </c>
      <c r="F17592" s="8">
        <v>1241</v>
      </c>
    </row>
    <row r="17593" spans="1:6" ht="12.75">
      <c r="A17593" s="8">
        <v>43896.819456018522</v>
      </c>
      <c r="B17593" s="8" t="str">
        <f>HYPERLINK("https://twitter.com/Dimas10434720","@Dimas10434720")</f>
        <v>@Dimas10434720</v>
      </c>
      <c r="C17593" s="8" t="s">
        <v>7081</v>
      </c>
      <c r="D17593" s="8">
        <v>1</v>
      </c>
      <c r="E17593" s="8">
        <v>0</v>
      </c>
      <c r="F17593" s="8">
        <v>24</v>
      </c>
    </row>
    <row r="17594" spans="1:6" ht="12.75">
      <c r="A17594" s="8">
        <v>43896.819201388891</v>
      </c>
      <c r="B17594" s="8" t="str">
        <f>HYPERLINK("https://twitter.com/dwiastnured","@dwiastnured")</f>
        <v>@dwiastnured</v>
      </c>
      <c r="C17594" s="8" t="s">
        <v>4948</v>
      </c>
      <c r="D17594" s="8">
        <v>71</v>
      </c>
      <c r="E17594" s="8">
        <v>0</v>
      </c>
      <c r="F17594" s="8">
        <v>34</v>
      </c>
    </row>
    <row r="17595" spans="1:6" ht="12.75">
      <c r="A17595" s="8">
        <v>43896.819189814814</v>
      </c>
      <c r="B17595" s="8" t="str">
        <f>HYPERLINK("https://twitter.com/Rikithea1604","@Rikithea1604")</f>
        <v>@Rikithea1604</v>
      </c>
      <c r="C17595" s="8" t="s">
        <v>5662</v>
      </c>
      <c r="D17595" s="8">
        <v>24</v>
      </c>
      <c r="E17595" s="8">
        <v>0</v>
      </c>
      <c r="F17595" s="8">
        <v>104</v>
      </c>
    </row>
    <row r="17596" spans="1:6" ht="12.75">
      <c r="A17596" s="8">
        <v>43896.818541666667</v>
      </c>
      <c r="B17596" s="8" t="str">
        <f>HYPERLINK("https://twitter.com/butomo26","@butomo26")</f>
        <v>@butomo26</v>
      </c>
      <c r="C17596" s="8" t="s">
        <v>7082</v>
      </c>
      <c r="D17596" s="8">
        <v>0</v>
      </c>
      <c r="E17596" s="8">
        <v>0</v>
      </c>
      <c r="F17596" s="8">
        <v>24</v>
      </c>
    </row>
    <row r="17597" spans="1:6" ht="12.75">
      <c r="A17597" s="8">
        <v>43896.818425925929</v>
      </c>
      <c r="B17597" s="8" t="str">
        <f>HYPERLINK("https://twitter.com/aboutbdgcom","@aboutbdgcom")</f>
        <v>@aboutbdgcom</v>
      </c>
      <c r="C17597" s="8" t="s">
        <v>7083</v>
      </c>
      <c r="D17597" s="8">
        <v>0</v>
      </c>
      <c r="E17597" s="8">
        <v>0</v>
      </c>
      <c r="F17597" s="8">
        <v>47756</v>
      </c>
    </row>
    <row r="17598" spans="1:6" ht="12.75">
      <c r="A17598" s="8">
        <v>43896.818391203706</v>
      </c>
      <c r="B17598" s="8" t="str">
        <f>HYPERLINK("https://twitter.com/Dukun081","@Dukun081")</f>
        <v>@Dukun081</v>
      </c>
      <c r="C17598" s="8" t="s">
        <v>3743</v>
      </c>
      <c r="D17598" s="8">
        <v>48</v>
      </c>
      <c r="E17598" s="8">
        <v>0</v>
      </c>
      <c r="F17598" s="8">
        <v>987</v>
      </c>
    </row>
    <row r="17599" spans="1:6" ht="12.75">
      <c r="A17599" s="8">
        <v>43896.818206018521</v>
      </c>
      <c r="B17599" s="8" t="str">
        <f>HYPERLINK("https://twitter.com/waldo_girijati","@waldo_girijati")</f>
        <v>@waldo_girijati</v>
      </c>
      <c r="C17599" s="8" t="s">
        <v>7084</v>
      </c>
      <c r="D17599" s="8">
        <v>0</v>
      </c>
      <c r="E17599" s="8">
        <v>0</v>
      </c>
      <c r="F17599" s="8">
        <v>673</v>
      </c>
    </row>
    <row r="17600" spans="1:6" ht="12.75">
      <c r="A17600" s="8">
        <v>43896.818136574075</v>
      </c>
      <c r="B17600" s="8" t="str">
        <f>HYPERLINK("https://twitter.com/hemaviton99","@hemaviton99")</f>
        <v>@hemaviton99</v>
      </c>
      <c r="C17600" s="8" t="s">
        <v>4948</v>
      </c>
      <c r="D17600" s="8">
        <v>71</v>
      </c>
      <c r="E17600" s="8">
        <v>0</v>
      </c>
      <c r="F17600" s="8">
        <v>5663</v>
      </c>
    </row>
    <row r="17601" spans="1:6" ht="12.75">
      <c r="A17601" s="8">
        <v>43896.817997685182</v>
      </c>
      <c r="B17601" s="8" t="str">
        <f>HYPERLINK("https://twitter.com/Pletok9","@Pletok9")</f>
        <v>@Pletok9</v>
      </c>
      <c r="C17601" s="8" t="s">
        <v>4948</v>
      </c>
      <c r="D17601" s="8">
        <v>71</v>
      </c>
      <c r="E17601" s="8">
        <v>0</v>
      </c>
      <c r="F17601" s="8">
        <v>178</v>
      </c>
    </row>
    <row r="17602" spans="1:6" ht="12.75">
      <c r="A17602" s="8">
        <v>43896.817962962959</v>
      </c>
      <c r="B17602" s="8" t="str">
        <f>HYPERLINK("https://twitter.com/adora_202","@adora_202")</f>
        <v>@adora_202</v>
      </c>
      <c r="C17602" s="8" t="s">
        <v>3132</v>
      </c>
      <c r="D17602" s="8">
        <v>123</v>
      </c>
      <c r="E17602" s="8">
        <v>0</v>
      </c>
      <c r="F17602" s="8">
        <v>174</v>
      </c>
    </row>
    <row r="17603" spans="1:6" ht="12.75">
      <c r="A17603" s="8">
        <v>43896.81795138889</v>
      </c>
      <c r="B17603" s="8" t="str">
        <f>HYPERLINK("https://twitter.com/Qolybri_8216","@Qolybri_8216")</f>
        <v>@Qolybri_8216</v>
      </c>
      <c r="C17603" s="8" t="s">
        <v>3743</v>
      </c>
      <c r="D17603" s="8">
        <v>48</v>
      </c>
      <c r="E17603" s="8">
        <v>0</v>
      </c>
      <c r="F17603" s="8">
        <v>2107</v>
      </c>
    </row>
    <row r="17604" spans="1:6" ht="12.75">
      <c r="A17604" s="8">
        <v>43896.817939814813</v>
      </c>
      <c r="B17604" s="8" t="str">
        <f>HYPERLINK("https://twitter.com/pujangga1123","@pujangga1123")</f>
        <v>@pujangga1123</v>
      </c>
      <c r="C17604" s="8" t="s">
        <v>6636</v>
      </c>
      <c r="D17604" s="8">
        <v>18</v>
      </c>
      <c r="E17604" s="8">
        <v>0</v>
      </c>
      <c r="F17604" s="8">
        <v>13216</v>
      </c>
    </row>
    <row r="17605" spans="1:6" ht="12.75">
      <c r="A17605" s="8">
        <v>43896.817835648151</v>
      </c>
      <c r="B17605" s="8" t="str">
        <f>HYPERLINK("https://twitter.com/_Henz14","@_Henz14")</f>
        <v>@_Henz14</v>
      </c>
      <c r="C17605" s="8" t="s">
        <v>7085</v>
      </c>
      <c r="D17605" s="8">
        <v>1</v>
      </c>
      <c r="E17605" s="8">
        <v>0</v>
      </c>
      <c r="F17605" s="8">
        <v>471</v>
      </c>
    </row>
    <row r="17606" spans="1:6" ht="12.75">
      <c r="A17606" s="8">
        <v>43896.817766203705</v>
      </c>
      <c r="B17606" s="8" t="str">
        <f>HYPERLINK("https://twitter.com/not_kirei","@not_kirei")</f>
        <v>@not_kirei</v>
      </c>
      <c r="C17606" s="8" t="s">
        <v>7086</v>
      </c>
      <c r="D17606" s="8">
        <v>0</v>
      </c>
      <c r="E17606" s="8">
        <v>0</v>
      </c>
      <c r="F17606" s="8">
        <v>3240</v>
      </c>
    </row>
    <row r="17607" spans="1:6" ht="12.75">
      <c r="A17607" s="8">
        <v>43896.817673611113</v>
      </c>
      <c r="B17607" s="8" t="str">
        <f>HYPERLINK("https://twitter.com/ISandakila","@ISandakila")</f>
        <v>@ISandakila</v>
      </c>
      <c r="C17607" s="8" t="s">
        <v>7087</v>
      </c>
      <c r="D17607" s="8">
        <v>3</v>
      </c>
      <c r="E17607" s="8">
        <v>0</v>
      </c>
      <c r="F17607" s="8">
        <v>2</v>
      </c>
    </row>
    <row r="17608" spans="1:6" ht="12.75">
      <c r="A17608" s="8">
        <v>43896.817523148144</v>
      </c>
      <c r="B17608" s="8" t="str">
        <f>HYPERLINK("https://twitter.com/toonee11","@toonee11")</f>
        <v>@toonee11</v>
      </c>
      <c r="C17608" s="8" t="s">
        <v>3743</v>
      </c>
      <c r="D17608" s="8">
        <v>48</v>
      </c>
      <c r="E17608" s="8">
        <v>0</v>
      </c>
      <c r="F17608" s="8">
        <v>1443</v>
      </c>
    </row>
    <row r="17609" spans="1:6" ht="12.75">
      <c r="A17609" s="8">
        <v>43896.798125000001</v>
      </c>
      <c r="B17609" s="8" t="str">
        <f>HYPERLINK("https://twitter.com/dendiPS","@dendiPS")</f>
        <v>@dendiPS</v>
      </c>
      <c r="C17609" s="8" t="s">
        <v>5103</v>
      </c>
      <c r="D17609" s="8">
        <v>72</v>
      </c>
      <c r="E17609" s="8">
        <v>0</v>
      </c>
      <c r="F17609" s="8">
        <v>514</v>
      </c>
    </row>
    <row r="17610" spans="1:6" ht="12.75">
      <c r="A17610" s="8">
        <v>43896.797847222224</v>
      </c>
      <c r="B17610" s="8" t="str">
        <f>HYPERLINK("https://twitter.com/awicaksono","@awicaksono")</f>
        <v>@awicaksono</v>
      </c>
      <c r="C17610" s="8" t="s">
        <v>3132</v>
      </c>
      <c r="D17610" s="8">
        <v>120</v>
      </c>
      <c r="E17610" s="8">
        <v>0</v>
      </c>
      <c r="F17610" s="8">
        <v>620</v>
      </c>
    </row>
    <row r="17611" spans="1:6" ht="12.75">
      <c r="A17611" s="8">
        <v>43896.797847222224</v>
      </c>
      <c r="B17611" s="8" t="str">
        <f>HYPERLINK("https://twitter.com/chairulachir","@chairulachir")</f>
        <v>@chairulachir</v>
      </c>
      <c r="C17611" s="8" t="s">
        <v>6636</v>
      </c>
      <c r="D17611" s="8">
        <v>13</v>
      </c>
      <c r="E17611" s="8">
        <v>0</v>
      </c>
      <c r="F17611" s="8">
        <v>2936</v>
      </c>
    </row>
    <row r="17612" spans="1:6" ht="12.75">
      <c r="A17612" s="8">
        <v>43896.797685185185</v>
      </c>
      <c r="B17612" s="8" t="str">
        <f>HYPERLINK("https://twitter.com/ngurahsaka","@ngurahsaka")</f>
        <v>@ngurahsaka</v>
      </c>
      <c r="C17612" s="8" t="s">
        <v>5103</v>
      </c>
      <c r="D17612" s="8">
        <v>72</v>
      </c>
      <c r="E17612" s="8">
        <v>0</v>
      </c>
      <c r="F17612" s="8">
        <v>1943</v>
      </c>
    </row>
    <row r="17613" spans="1:6" ht="12.75">
      <c r="A17613" s="8">
        <v>43896.797453703708</v>
      </c>
      <c r="B17613" s="8" t="str">
        <f>HYPERLINK("https://twitter.com/Mak786110","@Mak786110")</f>
        <v>@Mak786110</v>
      </c>
      <c r="C17613" s="8" t="s">
        <v>6625</v>
      </c>
      <c r="D17613" s="8">
        <v>5</v>
      </c>
      <c r="E17613" s="8">
        <v>0</v>
      </c>
      <c r="F17613" s="8">
        <v>646</v>
      </c>
    </row>
    <row r="17614" spans="1:6" ht="12.75">
      <c r="A17614" s="8">
        <v>43896.797442129631</v>
      </c>
      <c r="B17614" s="8" t="str">
        <f>HYPERLINK("https://twitter.com/MaksimusRamses","@MaksimusRamses")</f>
        <v>@MaksimusRamses</v>
      </c>
      <c r="C17614" s="8" t="s">
        <v>7088</v>
      </c>
      <c r="D17614" s="8">
        <v>0</v>
      </c>
      <c r="E17614" s="8">
        <v>0</v>
      </c>
      <c r="F17614" s="8">
        <v>243</v>
      </c>
    </row>
    <row r="17615" spans="1:6" ht="12.75">
      <c r="A17615" s="8">
        <v>43896.797361111108</v>
      </c>
      <c r="B17615" s="8" t="str">
        <f>HYPERLINK("https://twitter.com/piyuanker12","@piyuanker12")</f>
        <v>@piyuanker12</v>
      </c>
      <c r="C17615" s="8" t="s">
        <v>7035</v>
      </c>
      <c r="D17615" s="8">
        <v>2</v>
      </c>
      <c r="E17615" s="8">
        <v>0</v>
      </c>
      <c r="F17615" s="8">
        <v>3751</v>
      </c>
    </row>
    <row r="17616" spans="1:6" ht="12.75">
      <c r="A17616" s="8">
        <v>43896.796793981484</v>
      </c>
      <c r="B17616" s="8" t="str">
        <f>HYPERLINK("https://twitter.com/hp_astoro","@hp_astoro")</f>
        <v>@hp_astoro</v>
      </c>
      <c r="C17616" s="8" t="s">
        <v>5103</v>
      </c>
      <c r="D17616" s="8">
        <v>72</v>
      </c>
      <c r="E17616" s="8">
        <v>0</v>
      </c>
      <c r="F17616" s="8">
        <v>642</v>
      </c>
    </row>
    <row r="17617" spans="1:6" ht="12.75">
      <c r="A17617" s="8">
        <v>43896.796689814815</v>
      </c>
      <c r="B17617" s="8" t="str">
        <f>HYPERLINK("https://twitter.com/yupato","@yupato")</f>
        <v>@yupato</v>
      </c>
      <c r="C17617" s="8" t="s">
        <v>7089</v>
      </c>
      <c r="D17617" s="8">
        <v>0</v>
      </c>
      <c r="E17617" s="8">
        <v>0</v>
      </c>
      <c r="F17617" s="8">
        <v>697</v>
      </c>
    </row>
    <row r="17618" spans="1:6" ht="12.75">
      <c r="A17618" s="8">
        <v>43896.796643518523</v>
      </c>
      <c r="B17618" s="8" t="str">
        <f>HYPERLINK("https://twitter.com/KBRI_Athena","@KBRI_Athena")</f>
        <v>@KBRI_Athena</v>
      </c>
      <c r="C17618" s="8" t="s">
        <v>7090</v>
      </c>
      <c r="D17618" s="8">
        <v>0</v>
      </c>
      <c r="E17618" s="8">
        <v>0</v>
      </c>
      <c r="F17618" s="8">
        <v>1234</v>
      </c>
    </row>
    <row r="17619" spans="1:6" ht="12.75">
      <c r="A17619" s="8">
        <v>43896.7965625</v>
      </c>
      <c r="B17619" s="8" t="str">
        <f>HYPERLINK("https://twitter.com/ronyarfansyah","@ronyarfansyah")</f>
        <v>@ronyarfansyah</v>
      </c>
      <c r="C17619" s="8" t="s">
        <v>5103</v>
      </c>
      <c r="D17619" s="8">
        <v>72</v>
      </c>
      <c r="E17619" s="8">
        <v>0</v>
      </c>
      <c r="F17619" s="8">
        <v>277</v>
      </c>
    </row>
    <row r="17620" spans="1:6" ht="12.75">
      <c r="A17620" s="8">
        <v>43896.79586805556</v>
      </c>
      <c r="B17620" s="8" t="str">
        <f>HYPERLINK("https://twitter.com/P3nj3l4j4h_id","@P3nj3l4j4h_id")</f>
        <v>@P3nj3l4j4h_id</v>
      </c>
      <c r="C17620" s="8" t="s">
        <v>4948</v>
      </c>
      <c r="D17620" s="8">
        <v>58</v>
      </c>
      <c r="E17620" s="8">
        <v>0</v>
      </c>
      <c r="F17620" s="8">
        <v>16531</v>
      </c>
    </row>
    <row r="17621" spans="1:6" ht="12.75">
      <c r="A17621" s="8">
        <v>43896.795277777783</v>
      </c>
      <c r="B17621" s="8" t="str">
        <f>HYPERLINK("https://twitter.com/AbdurachmanAl","@AbdurachmanAl")</f>
        <v>@AbdurachmanAl</v>
      </c>
      <c r="C17621" s="8" t="s">
        <v>7091</v>
      </c>
      <c r="D17621" s="8">
        <v>0</v>
      </c>
      <c r="E17621" s="8">
        <v>0</v>
      </c>
      <c r="F17621" s="8">
        <v>184</v>
      </c>
    </row>
    <row r="17622" spans="1:6" ht="12.75">
      <c r="A17622" s="8">
        <v>43896.795254629629</v>
      </c>
      <c r="B17622" s="8" t="str">
        <f>HYPERLINK("https://twitter.com/RivaldiZakie","@RivaldiZakie")</f>
        <v>@RivaldiZakie</v>
      </c>
      <c r="C17622" s="8" t="s">
        <v>2116</v>
      </c>
      <c r="D17622" s="8">
        <v>31</v>
      </c>
      <c r="E17622" s="8">
        <v>0</v>
      </c>
      <c r="F17622" s="8">
        <v>16</v>
      </c>
    </row>
    <row r="17623" spans="1:6" ht="12.75">
      <c r="A17623" s="8">
        <v>43896.795208333337</v>
      </c>
      <c r="B17623" s="8" t="str">
        <f>HYPERLINK("https://twitter.com/manadopost_id","@manadopost_id")</f>
        <v>@manadopost_id</v>
      </c>
      <c r="C17623" s="8" t="s">
        <v>7092</v>
      </c>
      <c r="D17623" s="8">
        <v>0</v>
      </c>
      <c r="E17623" s="8">
        <v>0</v>
      </c>
      <c r="F17623" s="8">
        <v>956</v>
      </c>
    </row>
    <row r="17624" spans="1:6" ht="12.75">
      <c r="A17624" s="8">
        <v>43896.794502314813</v>
      </c>
      <c r="B17624" s="8" t="str">
        <f>HYPERLINK("https://twitter.com/andreawan_","@andreawan_")</f>
        <v>@andreawan_</v>
      </c>
      <c r="C17624" s="8" t="s">
        <v>4948</v>
      </c>
      <c r="D17624" s="8">
        <v>58</v>
      </c>
      <c r="E17624" s="8">
        <v>0</v>
      </c>
      <c r="F17624" s="8">
        <v>86</v>
      </c>
    </row>
    <row r="17625" spans="1:6" ht="12.75">
      <c r="A17625" s="8">
        <v>43896.794479166667</v>
      </c>
      <c r="B17625" s="8" t="str">
        <f>HYPERLINK("https://twitter.com/KompasTV","@KompasTV")</f>
        <v>@KompasTV</v>
      </c>
      <c r="C17625" s="8" t="s">
        <v>7093</v>
      </c>
      <c r="D17625" s="8">
        <v>1</v>
      </c>
      <c r="E17625" s="8">
        <v>1</v>
      </c>
      <c r="F17625" s="8">
        <v>2957652</v>
      </c>
    </row>
    <row r="17626" spans="1:6" ht="12.75">
      <c r="A17626" s="8">
        <v>43896.794178240743</v>
      </c>
      <c r="B17626" s="8" t="str">
        <f>HYPERLINK("https://twitter.com/leksono_duto","@leksono_duto")</f>
        <v>@leksono_duto</v>
      </c>
      <c r="C17626" s="8" t="s">
        <v>7035</v>
      </c>
      <c r="D17626" s="8">
        <v>2</v>
      </c>
      <c r="E17626" s="8">
        <v>0</v>
      </c>
      <c r="F17626" s="8">
        <v>34</v>
      </c>
    </row>
    <row r="17627" spans="1:6" ht="12.75">
      <c r="A17627" s="8">
        <v>43896.794016203705</v>
      </c>
      <c r="B17627" s="8" t="str">
        <f>HYPERLINK("https://twitter.com/hp_astoro","@hp_astoro")</f>
        <v>@hp_astoro</v>
      </c>
      <c r="C17627" s="8" t="s">
        <v>4948</v>
      </c>
      <c r="D17627" s="8">
        <v>58</v>
      </c>
      <c r="E17627" s="8">
        <v>0</v>
      </c>
      <c r="F17627" s="8">
        <v>642</v>
      </c>
    </row>
    <row r="17628" spans="1:6" ht="12.75">
      <c r="A17628" s="8">
        <v>43896.793657407412</v>
      </c>
      <c r="B17628" s="8" t="str">
        <f>HYPERLINK("https://twitter.com/jengsri_ss","@jengsri_ss")</f>
        <v>@jengsri_ss</v>
      </c>
      <c r="C17628" s="8" t="s">
        <v>5103</v>
      </c>
      <c r="D17628" s="8">
        <v>72</v>
      </c>
      <c r="E17628" s="8">
        <v>0</v>
      </c>
      <c r="F17628" s="8">
        <v>357</v>
      </c>
    </row>
    <row r="17629" spans="1:6" ht="12.75">
      <c r="A17629" s="8">
        <v>43896.793553240743</v>
      </c>
      <c r="B17629" s="8" t="str">
        <f>HYPERLINK("https://twitter.com/adadajat","@adadajat")</f>
        <v>@adadajat</v>
      </c>
      <c r="C17629" s="8" t="s">
        <v>5103</v>
      </c>
      <c r="D17629" s="8">
        <v>72</v>
      </c>
      <c r="E17629" s="8">
        <v>0</v>
      </c>
      <c r="F17629" s="8">
        <v>275</v>
      </c>
    </row>
    <row r="17630" spans="1:6" ht="12.75">
      <c r="A17630" s="8">
        <v>43896.793483796297</v>
      </c>
      <c r="B17630" s="8" t="str">
        <f>HYPERLINK("https://twitter.com/BillTemporo","@BillTemporo")</f>
        <v>@BillTemporo</v>
      </c>
      <c r="C17630" s="8" t="s">
        <v>384</v>
      </c>
      <c r="D17630" s="8">
        <v>0</v>
      </c>
      <c r="E17630" s="8">
        <v>0</v>
      </c>
      <c r="F17630" s="8">
        <v>11</v>
      </c>
    </row>
    <row r="17631" spans="1:6" ht="12.75">
      <c r="A17631" s="8">
        <v>43896.793240740742</v>
      </c>
      <c r="B17631" s="8" t="str">
        <f>HYPERLINK("https://twitter.com/artyfact77","@artyfact77")</f>
        <v>@artyfact77</v>
      </c>
      <c r="C17631" s="8" t="s">
        <v>6625</v>
      </c>
      <c r="D17631" s="8">
        <v>5</v>
      </c>
      <c r="E17631" s="8">
        <v>0</v>
      </c>
      <c r="F17631" s="8">
        <v>42</v>
      </c>
    </row>
    <row r="17632" spans="1:6" ht="12.75">
      <c r="A17632" s="8">
        <v>43896.791990740741</v>
      </c>
      <c r="B17632" s="8" t="str">
        <f>HYPERLINK("https://twitter.com/Vasternorland21","@Vasternorland21")</f>
        <v>@Vasternorland21</v>
      </c>
      <c r="C17632" s="8" t="s">
        <v>7094</v>
      </c>
      <c r="D17632" s="8">
        <v>1</v>
      </c>
      <c r="E17632" s="8">
        <v>0</v>
      </c>
      <c r="F17632" s="8">
        <v>1191</v>
      </c>
    </row>
    <row r="17633" spans="1:6" ht="12.75">
      <c r="A17633" s="8">
        <v>43896.791666666672</v>
      </c>
      <c r="B17633" s="8" t="str">
        <f>HYPERLINK("https://twitter.com/OfficialiNewsTV","@OfficialiNewsTV")</f>
        <v>@OfficialiNewsTV</v>
      </c>
      <c r="C17633" s="8" t="s">
        <v>7095</v>
      </c>
      <c r="D17633" s="8">
        <v>2</v>
      </c>
      <c r="E17633" s="8">
        <v>0</v>
      </c>
      <c r="F17633" s="8">
        <v>96592</v>
      </c>
    </row>
    <row r="17634" spans="1:6" ht="12.75">
      <c r="A17634" s="8">
        <v>43896.79106481481</v>
      </c>
      <c r="B17634" s="8" t="str">
        <f>HYPERLINK("https://twitter.com/Vasternorland21","@Vasternorland21")</f>
        <v>@Vasternorland21</v>
      </c>
      <c r="C17634" s="8" t="s">
        <v>7096</v>
      </c>
      <c r="D17634" s="8">
        <v>3</v>
      </c>
      <c r="E17634" s="8">
        <v>0</v>
      </c>
      <c r="F17634" s="8">
        <v>1191</v>
      </c>
    </row>
    <row r="17635" spans="1:6" ht="12.75">
      <c r="A17635" s="8">
        <v>43896.790995370371</v>
      </c>
      <c r="B17635" s="8" t="str">
        <f>HYPERLINK("https://twitter.com/kjrihkg","@kjrihkg")</f>
        <v>@kjrihkg</v>
      </c>
      <c r="C17635" s="8" t="s">
        <v>2116</v>
      </c>
      <c r="D17635" s="8">
        <v>31</v>
      </c>
      <c r="E17635" s="8">
        <v>0</v>
      </c>
      <c r="F17635" s="8">
        <v>348</v>
      </c>
    </row>
    <row r="17636" spans="1:6" ht="12.75">
      <c r="A17636" s="8">
        <v>43896.790914351848</v>
      </c>
      <c r="B17636" s="8" t="str">
        <f>HYPERLINK("https://twitter.com/17karatan","@17karatan")</f>
        <v>@17karatan</v>
      </c>
      <c r="C17636" s="8" t="s">
        <v>2116</v>
      </c>
      <c r="D17636" s="8">
        <v>31</v>
      </c>
      <c r="E17636" s="8">
        <v>0</v>
      </c>
      <c r="F17636" s="8">
        <v>218</v>
      </c>
    </row>
    <row r="17637" spans="1:6" ht="12.75">
      <c r="A17637" s="8">
        <v>43896.790752314817</v>
      </c>
      <c r="B17637" s="8" t="str">
        <f>HYPERLINK("https://twitter.com/Erick_Lubis","@Erick_Lubis")</f>
        <v>@Erick_Lubis</v>
      </c>
      <c r="C17637" s="8" t="s">
        <v>4948</v>
      </c>
      <c r="D17637" s="8">
        <v>58</v>
      </c>
      <c r="E17637" s="8">
        <v>0</v>
      </c>
      <c r="F17637" s="8">
        <v>108</v>
      </c>
    </row>
    <row r="17638" spans="1:6" ht="12.75">
      <c r="A17638" s="8">
        <v>43896.790509259255</v>
      </c>
      <c r="B17638" s="8" t="str">
        <f>HYPERLINK("https://twitter.com/yani58989427","@yani58989427")</f>
        <v>@yani58989427</v>
      </c>
      <c r="C17638" s="8" t="s">
        <v>7097</v>
      </c>
      <c r="D17638" s="8">
        <v>5</v>
      </c>
      <c r="E17638" s="8">
        <v>0</v>
      </c>
      <c r="F17638" s="8">
        <v>63</v>
      </c>
    </row>
    <row r="17639" spans="1:6" ht="12.75">
      <c r="A17639" s="8">
        <v>43896.790138888886</v>
      </c>
      <c r="B17639" s="8" t="str">
        <f>HYPERLINK("https://twitter.com/Rusmanov7","@Rusmanov7")</f>
        <v>@Rusmanov7</v>
      </c>
      <c r="C17639" s="8" t="s">
        <v>7098</v>
      </c>
      <c r="D17639" s="8">
        <v>0</v>
      </c>
      <c r="E17639" s="8">
        <v>0</v>
      </c>
      <c r="F17639" s="8">
        <v>1</v>
      </c>
    </row>
    <row r="17640" spans="1:6" ht="12.75">
      <c r="A17640" s="8">
        <v>43896.789178240739</v>
      </c>
      <c r="B17640" s="8" t="str">
        <f>HYPERLINK("https://twitter.com/miniewoodzeu","@miniewoodzeu")</f>
        <v>@miniewoodzeu</v>
      </c>
      <c r="C17640" s="8" t="s">
        <v>3132</v>
      </c>
      <c r="D17640" s="8">
        <v>120</v>
      </c>
      <c r="E17640" s="8">
        <v>0</v>
      </c>
      <c r="F17640" s="8">
        <v>261</v>
      </c>
    </row>
    <row r="17641" spans="1:6" ht="12.75">
      <c r="A17641" s="8">
        <v>43896.788240740745</v>
      </c>
      <c r="B17641" s="8" t="str">
        <f>HYPERLINK("https://twitter.com/Hangyul_Sinna","@Hangyul_Sinna")</f>
        <v>@Hangyul_Sinna</v>
      </c>
      <c r="C17641" s="8" t="s">
        <v>3132</v>
      </c>
      <c r="D17641" s="8">
        <v>120</v>
      </c>
      <c r="E17641" s="8">
        <v>0</v>
      </c>
      <c r="F17641" s="8">
        <v>8672</v>
      </c>
    </row>
    <row r="17642" spans="1:6" ht="12.75">
      <c r="A17642" s="8">
        <v>43896.788043981476</v>
      </c>
      <c r="B17642" s="8" t="str">
        <f>HYPERLINK("https://twitter.com/GKawi369","@GKawi369")</f>
        <v>@GKawi369</v>
      </c>
      <c r="C17642" s="8" t="s">
        <v>4948</v>
      </c>
      <c r="D17642" s="8">
        <v>58</v>
      </c>
      <c r="E17642" s="8">
        <v>0</v>
      </c>
      <c r="F17642" s="8">
        <v>995</v>
      </c>
    </row>
    <row r="17643" spans="1:6" ht="12.75">
      <c r="A17643" s="8">
        <v>43896.787800925929</v>
      </c>
      <c r="B17643" s="8" t="str">
        <f>HYPERLINK("https://twitter.com/heygina_","@heygina_")</f>
        <v>@heygina_</v>
      </c>
      <c r="C17643" s="8" t="s">
        <v>5103</v>
      </c>
      <c r="D17643" s="8">
        <v>72</v>
      </c>
      <c r="E17643" s="8">
        <v>0</v>
      </c>
      <c r="F17643" s="8">
        <v>260</v>
      </c>
    </row>
    <row r="17644" spans="1:6" ht="12.75">
      <c r="A17644" s="8">
        <v>43896.787800925929</v>
      </c>
      <c r="B17644" s="8" t="str">
        <f>HYPERLINK("https://twitter.com/sulthankrw","@sulthankrw")</f>
        <v>@sulthankrw</v>
      </c>
      <c r="C17644" s="8" t="s">
        <v>5662</v>
      </c>
      <c r="D17644" s="8">
        <v>19</v>
      </c>
      <c r="E17644" s="8">
        <v>0</v>
      </c>
      <c r="F17644" s="8">
        <v>536</v>
      </c>
    </row>
    <row r="17645" spans="1:6" ht="12.75">
      <c r="A17645" s="8">
        <v>43896.787638888884</v>
      </c>
      <c r="B17645" s="8" t="str">
        <f>HYPERLINK("https://twitter.com/HarryDwiSaputra","@HarryDwiSaputra")</f>
        <v>@HarryDwiSaputra</v>
      </c>
      <c r="C17645" s="8" t="s">
        <v>7099</v>
      </c>
      <c r="D17645" s="8">
        <v>4</v>
      </c>
      <c r="E17645" s="8">
        <v>0</v>
      </c>
      <c r="F17645" s="8">
        <v>92</v>
      </c>
    </row>
    <row r="17646" spans="1:6" ht="12.75">
      <c r="A17646" s="8">
        <v>43896.787326388891</v>
      </c>
      <c r="B17646" s="8" t="str">
        <f>HYPERLINK("https://twitter.com/BonarSimanjunt7","@BonarSimanjunt7")</f>
        <v>@BonarSimanjunt7</v>
      </c>
      <c r="C17646" s="8" t="s">
        <v>7100</v>
      </c>
      <c r="D17646" s="8">
        <v>0</v>
      </c>
      <c r="E17646" s="8">
        <v>1</v>
      </c>
      <c r="F17646" s="8">
        <v>1</v>
      </c>
    </row>
    <row r="17647" spans="1:6" ht="12.75">
      <c r="A17647" s="8">
        <v>43896.787129629629</v>
      </c>
      <c r="B17647" s="8" t="str">
        <f>HYPERLINK("https://twitter.com/kusumovina","@kusumovina")</f>
        <v>@kusumovina</v>
      </c>
      <c r="C17647" s="8" t="s">
        <v>5103</v>
      </c>
      <c r="D17647" s="8">
        <v>72</v>
      </c>
      <c r="E17647" s="8">
        <v>0</v>
      </c>
      <c r="F17647" s="8">
        <v>168</v>
      </c>
    </row>
    <row r="17648" spans="1:6" ht="12.75">
      <c r="A17648" s="8">
        <v>43896.786851851852</v>
      </c>
      <c r="B17648" s="8" t="str">
        <f>HYPERLINK("https://twitter.com/Devintale","@Devintale")</f>
        <v>@Devintale</v>
      </c>
      <c r="C17648" s="8" t="s">
        <v>7101</v>
      </c>
      <c r="D17648" s="8">
        <v>27</v>
      </c>
      <c r="E17648" s="8">
        <v>0</v>
      </c>
      <c r="F17648" s="8">
        <v>351</v>
      </c>
    </row>
    <row r="17649" spans="1:6" ht="12.75">
      <c r="A17649" s="8">
        <v>43896.786747685182</v>
      </c>
      <c r="B17649" s="8" t="str">
        <f>HYPERLINK("https://twitter.com/SilitongaEfraim","@SilitongaEfraim")</f>
        <v>@SilitongaEfraim</v>
      </c>
      <c r="C17649" s="8" t="s">
        <v>4948</v>
      </c>
      <c r="D17649" s="8">
        <v>58</v>
      </c>
      <c r="E17649" s="8">
        <v>0</v>
      </c>
      <c r="F17649" s="8">
        <v>2091</v>
      </c>
    </row>
    <row r="17650" spans="1:6" ht="12.75">
      <c r="A17650" s="8">
        <v>43896.786250000005</v>
      </c>
      <c r="B17650" s="8" t="str">
        <f>HYPERLINK("https://twitter.com/andrewplykn","@andrewplykn")</f>
        <v>@andrewplykn</v>
      </c>
      <c r="C17650" s="8" t="s">
        <v>2116</v>
      </c>
      <c r="D17650" s="8">
        <v>31</v>
      </c>
      <c r="E17650" s="8">
        <v>0</v>
      </c>
      <c r="F17650" s="8">
        <v>35</v>
      </c>
    </row>
    <row r="17651" spans="1:6" ht="12.75">
      <c r="A17651" s="8">
        <v>43896.783668981487</v>
      </c>
      <c r="B17651" s="8" t="str">
        <f>HYPERLINK("https://twitter.com/arif_rsaleh","@arif_rsaleh")</f>
        <v>@arif_rsaleh</v>
      </c>
      <c r="C17651" s="8" t="s">
        <v>7099</v>
      </c>
      <c r="D17651" s="8">
        <v>4</v>
      </c>
      <c r="E17651" s="8">
        <v>0</v>
      </c>
      <c r="F17651" s="8">
        <v>129</v>
      </c>
    </row>
    <row r="17652" spans="1:6" ht="12.75">
      <c r="A17652" s="8">
        <v>43896.783379629633</v>
      </c>
      <c r="B17652" s="8" t="str">
        <f>HYPERLINK("https://twitter.com/ariefsandjaja","@ariefsandjaja")</f>
        <v>@ariefsandjaja</v>
      </c>
      <c r="C17652" s="8" t="s">
        <v>7102</v>
      </c>
      <c r="D17652" s="8">
        <v>0</v>
      </c>
      <c r="E17652" s="8">
        <v>1</v>
      </c>
      <c r="F17652" s="8">
        <v>289</v>
      </c>
    </row>
    <row r="17653" spans="1:6" ht="12.75">
      <c r="A17653" s="8">
        <v>43896.783356481479</v>
      </c>
      <c r="B17653" s="8" t="str">
        <f>HYPERLINK("https://twitter.com/ignatiuslo","@ignatiuslo")</f>
        <v>@ignatiuslo</v>
      </c>
      <c r="C17653" s="8" t="s">
        <v>7103</v>
      </c>
      <c r="D17653" s="8">
        <v>0</v>
      </c>
      <c r="E17653" s="8">
        <v>3</v>
      </c>
      <c r="F17653" s="8">
        <v>39</v>
      </c>
    </row>
    <row r="17654" spans="1:6" ht="12.75">
      <c r="A17654" s="8">
        <v>43896.783217592594</v>
      </c>
      <c r="B17654" s="8" t="str">
        <f>HYPERLINK("https://twitter.com/waldo_girijati","@waldo_girijati")</f>
        <v>@waldo_girijati</v>
      </c>
      <c r="C17654" s="8" t="s">
        <v>7104</v>
      </c>
      <c r="D17654" s="8">
        <v>0</v>
      </c>
      <c r="E17654" s="8">
        <v>0</v>
      </c>
      <c r="F17654" s="8">
        <v>673</v>
      </c>
    </row>
    <row r="17655" spans="1:6" ht="12.75">
      <c r="A17655" s="8">
        <v>43896.782962962963</v>
      </c>
      <c r="B17655" s="8" t="str">
        <f>HYPERLINK("https://twitter.com/_rizdika","@_rizdika")</f>
        <v>@_rizdika</v>
      </c>
      <c r="C17655" s="8" t="s">
        <v>5103</v>
      </c>
      <c r="D17655" s="8">
        <v>72</v>
      </c>
      <c r="E17655" s="8">
        <v>0</v>
      </c>
      <c r="F17655" s="8">
        <v>276</v>
      </c>
    </row>
    <row r="17656" spans="1:6" ht="12.75">
      <c r="A17656" s="8">
        <v>43896.782916666663</v>
      </c>
      <c r="B17656" s="8" t="str">
        <f>HYPERLINK("https://twitter.com/wni_jmsri","@wni_jmsri")</f>
        <v>@wni_jmsri</v>
      </c>
      <c r="C17656" s="8" t="s">
        <v>7105</v>
      </c>
      <c r="D17656" s="8">
        <v>5676</v>
      </c>
      <c r="E17656" s="8">
        <v>0</v>
      </c>
      <c r="F17656" s="8">
        <v>201</v>
      </c>
    </row>
    <row r="17657" spans="1:6" ht="12.75">
      <c r="A17657" s="8">
        <v>43896.782731481479</v>
      </c>
      <c r="B17657" s="8" t="str">
        <f>HYPERLINK("https://twitter.com/bffb300aff02425","@bffb300aff02425")</f>
        <v>@bffb300aff02425</v>
      </c>
      <c r="C17657" s="8" t="s">
        <v>5103</v>
      </c>
      <c r="D17657" s="8">
        <v>72</v>
      </c>
      <c r="E17657" s="8">
        <v>0</v>
      </c>
      <c r="F17657" s="8">
        <v>520</v>
      </c>
    </row>
    <row r="17658" spans="1:6" ht="12.75">
      <c r="A17658" s="8">
        <v>43896.782708333332</v>
      </c>
      <c r="B17658" s="8" t="str">
        <f>HYPERLINK("https://twitter.com/MeAgriannie","@MeAgriannie")</f>
        <v>@MeAgriannie</v>
      </c>
      <c r="C17658" s="8" t="s">
        <v>7106</v>
      </c>
      <c r="D17658" s="8">
        <v>1</v>
      </c>
      <c r="E17658" s="8">
        <v>0</v>
      </c>
      <c r="F17658" s="8">
        <v>113</v>
      </c>
    </row>
    <row r="17659" spans="1:6" ht="12.75">
      <c r="A17659" s="8">
        <v>43896.782013888893</v>
      </c>
      <c r="B17659" s="8" t="str">
        <f>HYPERLINK("https://twitter.com/eno_saudjana","@eno_saudjana")</f>
        <v>@eno_saudjana</v>
      </c>
      <c r="C17659" s="8" t="s">
        <v>7107</v>
      </c>
      <c r="D17659" s="8">
        <v>0</v>
      </c>
      <c r="E17659" s="8">
        <v>1</v>
      </c>
      <c r="F17659" s="8">
        <v>181</v>
      </c>
    </row>
    <row r="17660" spans="1:6" ht="12.75">
      <c r="A17660" s="8">
        <v>43896.78193287037</v>
      </c>
      <c r="B17660" s="8" t="str">
        <f>HYPERLINK("https://twitter.com/Ayuwidi24_","@Ayuwidi24_")</f>
        <v>@Ayuwidi24_</v>
      </c>
      <c r="C17660" s="8" t="s">
        <v>7108</v>
      </c>
      <c r="D17660" s="8">
        <v>50</v>
      </c>
      <c r="E17660" s="8">
        <v>0</v>
      </c>
      <c r="F17660" s="8">
        <v>94</v>
      </c>
    </row>
    <row r="17661" spans="1:6" ht="12.75">
      <c r="A17661" s="8">
        <v>43896.781527777777</v>
      </c>
      <c r="B17661" s="8" t="str">
        <f>HYPERLINK("https://twitter.com/Natawr","@Natawr")</f>
        <v>@Natawr</v>
      </c>
      <c r="C17661" s="8" t="s">
        <v>5103</v>
      </c>
      <c r="D17661" s="8">
        <v>72</v>
      </c>
      <c r="E17661" s="8">
        <v>0</v>
      </c>
      <c r="F17661" s="8">
        <v>396</v>
      </c>
    </row>
    <row r="17662" spans="1:6" ht="12.75">
      <c r="A17662" s="8">
        <v>43896.781469907408</v>
      </c>
      <c r="B17662" s="8" t="str">
        <f>HYPERLINK("https://twitter.com/maklumatID","@maklumatID")</f>
        <v>@maklumatID</v>
      </c>
      <c r="C17662" s="8" t="s">
        <v>7109</v>
      </c>
      <c r="D17662" s="8">
        <v>0</v>
      </c>
      <c r="E17662" s="8">
        <v>0</v>
      </c>
      <c r="F17662" s="8">
        <v>78</v>
      </c>
    </row>
    <row r="17663" spans="1:6" ht="12.75">
      <c r="A17663" s="8">
        <v>43896.780729166669</v>
      </c>
      <c r="B17663" s="8" t="str">
        <f>HYPERLINK("https://twitter.com/TurnBackWahabi","@TurnBackWahabi")</f>
        <v>@TurnBackWahabi</v>
      </c>
      <c r="C17663" s="8" t="s">
        <v>4948</v>
      </c>
      <c r="D17663" s="8">
        <v>58</v>
      </c>
      <c r="E17663" s="8">
        <v>0</v>
      </c>
      <c r="F17663" s="8">
        <v>389</v>
      </c>
    </row>
    <row r="17664" spans="1:6" ht="12.75">
      <c r="A17664" s="8">
        <v>43896.780416666668</v>
      </c>
      <c r="B17664" s="8" t="str">
        <f>HYPERLINK("https://twitter.com/MataJiwa6","@MataJiwa6")</f>
        <v>@MataJiwa6</v>
      </c>
      <c r="C17664" s="8" t="s">
        <v>5103</v>
      </c>
      <c r="D17664" s="8">
        <v>72</v>
      </c>
      <c r="E17664" s="8">
        <v>0</v>
      </c>
      <c r="F17664" s="8">
        <v>279</v>
      </c>
    </row>
    <row r="17665" spans="1:6" ht="12.75">
      <c r="A17665" s="8">
        <v>43896.780069444445</v>
      </c>
      <c r="B17665" s="8" t="str">
        <f>HYPERLINK("https://twitter.com/abebgs","@abebgs")</f>
        <v>@abebgs</v>
      </c>
      <c r="C17665" s="8" t="s">
        <v>5103</v>
      </c>
      <c r="D17665" s="8">
        <v>72</v>
      </c>
      <c r="E17665" s="8">
        <v>0</v>
      </c>
      <c r="F17665" s="8">
        <v>181</v>
      </c>
    </row>
    <row r="17666" spans="1:6" ht="12.75">
      <c r="A17666" s="8">
        <v>43896.77989583333</v>
      </c>
      <c r="B17666" s="8" t="str">
        <f>HYPERLINK("https://twitter.com/agungcfc","@agungcfc")</f>
        <v>@agungcfc</v>
      </c>
      <c r="C17666" s="8" t="s">
        <v>7110</v>
      </c>
      <c r="D17666" s="8">
        <v>324</v>
      </c>
      <c r="E17666" s="8">
        <v>0</v>
      </c>
      <c r="F17666" s="8">
        <v>265</v>
      </c>
    </row>
    <row r="17667" spans="1:6" ht="12.75">
      <c r="A17667" s="8">
        <v>43896.778993055559</v>
      </c>
      <c r="B17667" s="8" t="str">
        <f>HYPERLINK("https://twitter.com/nafiesmara","@nafiesmara")</f>
        <v>@nafiesmara</v>
      </c>
      <c r="C17667" s="8" t="s">
        <v>7111</v>
      </c>
      <c r="D17667" s="8">
        <v>1</v>
      </c>
      <c r="E17667" s="8">
        <v>0</v>
      </c>
      <c r="F17667" s="8">
        <v>328</v>
      </c>
    </row>
    <row r="17668" spans="1:6" ht="12.75">
      <c r="A17668" s="8">
        <v>43896.778946759259</v>
      </c>
      <c r="B17668" s="8" t="str">
        <f>HYPERLINK("https://twitter.com/aryazavi","@aryazavi")</f>
        <v>@aryazavi</v>
      </c>
      <c r="C17668" s="8" t="s">
        <v>4948</v>
      </c>
      <c r="D17668" s="8">
        <v>58</v>
      </c>
      <c r="E17668" s="8">
        <v>0</v>
      </c>
      <c r="F17668" s="8">
        <v>125</v>
      </c>
    </row>
    <row r="17669" spans="1:6" ht="12.75">
      <c r="A17669" s="8">
        <v>43896.77853009259</v>
      </c>
      <c r="B17669" s="8" t="str">
        <f>HYPERLINK("https://twitter.com/Ridhasyaa","@Ridhasyaa")</f>
        <v>@Ridhasyaa</v>
      </c>
      <c r="C17669" s="8" t="s">
        <v>7112</v>
      </c>
      <c r="D17669" s="8">
        <v>0</v>
      </c>
      <c r="E17669" s="8">
        <v>0</v>
      </c>
      <c r="F17669" s="8">
        <v>857</v>
      </c>
    </row>
    <row r="17670" spans="1:6" ht="12.75">
      <c r="A17670" s="8">
        <v>43896.778414351851</v>
      </c>
      <c r="B17670" s="8" t="str">
        <f>HYPERLINK("https://twitter.com/Andi60264157","@Andi60264157")</f>
        <v>@Andi60264157</v>
      </c>
      <c r="C17670" s="8" t="s">
        <v>7113</v>
      </c>
      <c r="D17670" s="8">
        <v>0</v>
      </c>
      <c r="E17670" s="8">
        <v>0</v>
      </c>
      <c r="F17670" s="8">
        <v>117</v>
      </c>
    </row>
    <row r="17671" spans="1:6" ht="12.75">
      <c r="A17671" s="8">
        <v>43896.77820601852</v>
      </c>
      <c r="B17671" s="8" t="str">
        <f>HYPERLINK("https://twitter.com/Akimwkwkwk","@Akimwkwkwk")</f>
        <v>@Akimwkwkwk</v>
      </c>
      <c r="C17671" s="8" t="s">
        <v>5103</v>
      </c>
      <c r="D17671" s="8">
        <v>72</v>
      </c>
      <c r="E17671" s="8">
        <v>0</v>
      </c>
      <c r="F17671" s="8">
        <v>298</v>
      </c>
    </row>
    <row r="17672" spans="1:6" ht="12.75">
      <c r="A17672" s="8">
        <v>43896.778055555551</v>
      </c>
      <c r="B17672" s="8" t="str">
        <f>HYPERLINK("https://twitter.com/danielht2009","@danielht2009")</f>
        <v>@danielht2009</v>
      </c>
      <c r="C17672" s="8" t="s">
        <v>7114</v>
      </c>
      <c r="D17672" s="8">
        <v>0</v>
      </c>
      <c r="E17672" s="8">
        <v>0</v>
      </c>
      <c r="F17672" s="8">
        <v>1457</v>
      </c>
    </row>
    <row r="17673" spans="1:6" ht="12.75">
      <c r="A17673" s="8">
        <v>43896.777847222227</v>
      </c>
      <c r="B17673" s="8" t="str">
        <f>HYPERLINK("https://twitter.com/jajaejaaa","@jajaejaaa")</f>
        <v>@jajaejaaa</v>
      </c>
      <c r="C17673" s="8" t="s">
        <v>5103</v>
      </c>
      <c r="D17673" s="8">
        <v>72</v>
      </c>
      <c r="E17673" s="8">
        <v>0</v>
      </c>
      <c r="F17673" s="8">
        <v>390</v>
      </c>
    </row>
    <row r="17674" spans="1:6" ht="12.75">
      <c r="A17674" s="8">
        <v>43896.777835648143</v>
      </c>
      <c r="B17674" s="8" t="str">
        <f>HYPERLINK("https://twitter.com/FaktaNew5","@FaktaNew5")</f>
        <v>@FaktaNew5</v>
      </c>
      <c r="C17674" s="8" t="s">
        <v>7115</v>
      </c>
      <c r="D17674" s="8">
        <v>0</v>
      </c>
      <c r="E17674" s="8">
        <v>0</v>
      </c>
      <c r="F17674" s="8">
        <v>177</v>
      </c>
    </row>
    <row r="17675" spans="1:6" ht="12.75">
      <c r="A17675" s="8">
        <v>43896.777812500004</v>
      </c>
      <c r="B17675" s="8" t="str">
        <f>HYPERLINK("https://twitter.com/StruggleFight20","@StruggleFight20")</f>
        <v>@StruggleFight20</v>
      </c>
      <c r="C17675" s="8" t="s">
        <v>7099</v>
      </c>
      <c r="D17675" s="8">
        <v>4</v>
      </c>
      <c r="E17675" s="8">
        <v>0</v>
      </c>
      <c r="F17675" s="8">
        <v>156</v>
      </c>
    </row>
    <row r="17676" spans="1:6" ht="12.75">
      <c r="A17676" s="8">
        <v>43896.777361111112</v>
      </c>
      <c r="B17676" s="8" t="str">
        <f>HYPERLINK("https://twitter.com/alfionex","@alfionex")</f>
        <v>@alfionex</v>
      </c>
      <c r="C17676" s="8" t="s">
        <v>4948</v>
      </c>
      <c r="D17676" s="8">
        <v>58</v>
      </c>
      <c r="E17676" s="8">
        <v>0</v>
      </c>
      <c r="F17676" s="8">
        <v>2590</v>
      </c>
    </row>
    <row r="17677" spans="1:6" ht="12.75">
      <c r="A17677" s="8">
        <v>43896.77715277778</v>
      </c>
      <c r="B17677" s="8" t="str">
        <f>HYPERLINK("https://twitter.com/TopKarir","@TopKarir")</f>
        <v>@TopKarir</v>
      </c>
      <c r="C17677" s="8" t="s">
        <v>7116</v>
      </c>
      <c r="D17677" s="8">
        <v>0</v>
      </c>
      <c r="E17677" s="8">
        <v>0</v>
      </c>
      <c r="F17677" s="8">
        <v>2983</v>
      </c>
    </row>
    <row r="17678" spans="1:6" ht="12.75">
      <c r="A17678" s="8">
        <v>43896.776747685188</v>
      </c>
      <c r="B17678" s="8" t="str">
        <f>HYPERLINK("https://twitter.com/SSandra57","@SSandra57")</f>
        <v>@SSandra57</v>
      </c>
      <c r="C17678" s="8" t="s">
        <v>7117</v>
      </c>
      <c r="D17678" s="8">
        <v>29</v>
      </c>
      <c r="E17678" s="8">
        <v>0</v>
      </c>
      <c r="F17678" s="8">
        <v>89</v>
      </c>
    </row>
    <row r="17679" spans="1:6" ht="12.75">
      <c r="A17679" s="8">
        <v>43896.776608796295</v>
      </c>
      <c r="B17679" s="8" t="str">
        <f>HYPERLINK("https://twitter.com/umardhan","@umardhan")</f>
        <v>@umardhan</v>
      </c>
      <c r="C17679" s="8" t="s">
        <v>4948</v>
      </c>
      <c r="D17679" s="8">
        <v>58</v>
      </c>
      <c r="E17679" s="8">
        <v>0</v>
      </c>
      <c r="F17679" s="8">
        <v>816</v>
      </c>
    </row>
    <row r="17680" spans="1:6" ht="12.75">
      <c r="A17680" s="8">
        <v>43896.776377314818</v>
      </c>
      <c r="B17680" s="8" t="str">
        <f>HYPERLINK("https://twitter.com/Antara_Kalteng","@Antara_Kalteng")</f>
        <v>@Antara_Kalteng</v>
      </c>
      <c r="C17680" s="8" t="s">
        <v>6841</v>
      </c>
      <c r="D17680" s="8">
        <v>0</v>
      </c>
      <c r="E17680" s="8">
        <v>0</v>
      </c>
      <c r="F17680" s="8">
        <v>4665</v>
      </c>
    </row>
    <row r="17681" spans="1:6" ht="12.75">
      <c r="A17681" s="8">
        <v>43896.775868055556</v>
      </c>
      <c r="B17681" s="8" t="str">
        <f>HYPERLINK("https://twitter.com/murcana","@murcana")</f>
        <v>@murcana</v>
      </c>
      <c r="C17681" s="8" t="s">
        <v>7118</v>
      </c>
      <c r="D17681" s="8">
        <v>0</v>
      </c>
      <c r="E17681" s="8">
        <v>0</v>
      </c>
      <c r="F17681" s="8">
        <v>42</v>
      </c>
    </row>
    <row r="17682" spans="1:6" ht="12.75">
      <c r="A17682" s="8">
        <v>43896.775775462964</v>
      </c>
      <c r="B17682" s="8" t="str">
        <f>HYPERLINK("https://twitter.com/jr_kw19","@jr_kw19")</f>
        <v>@jr_kw19</v>
      </c>
      <c r="C17682" s="8" t="s">
        <v>4948</v>
      </c>
      <c r="D17682" s="8">
        <v>58</v>
      </c>
      <c r="E17682" s="8">
        <v>0</v>
      </c>
      <c r="F17682" s="8">
        <v>41435</v>
      </c>
    </row>
    <row r="17683" spans="1:6" ht="12.75">
      <c r="A17683" s="8">
        <v>43896.77506944444</v>
      </c>
      <c r="B17683" s="8" t="str">
        <f>HYPERLINK("https://twitter.com/PRFMnews","@PRFMnews")</f>
        <v>@PRFMnews</v>
      </c>
      <c r="C17683" s="8" t="s">
        <v>7119</v>
      </c>
      <c r="D17683" s="8">
        <v>4</v>
      </c>
      <c r="E17683" s="8">
        <v>1</v>
      </c>
      <c r="F17683" s="8">
        <v>244006</v>
      </c>
    </row>
    <row r="17684" spans="1:6" ht="12.75">
      <c r="A17684" s="8">
        <v>43896.775023148148</v>
      </c>
      <c r="B17684" s="8" t="str">
        <f>HYPERLINK("https://twitter.com/katakinidotcom","@katakinidotcom")</f>
        <v>@katakinidotcom</v>
      </c>
      <c r="C17684" s="8" t="s">
        <v>7120</v>
      </c>
      <c r="D17684" s="8">
        <v>0</v>
      </c>
      <c r="E17684" s="8">
        <v>0</v>
      </c>
      <c r="F17684" s="8">
        <v>572</v>
      </c>
    </row>
    <row r="17685" spans="1:6" ht="12.75">
      <c r="A17685" s="8">
        <v>43896.774722222224</v>
      </c>
      <c r="B17685" s="8" t="str">
        <f>HYPERLINK("https://twitter.com/BudiatnoGomarus","@BudiatnoGomarus")</f>
        <v>@BudiatnoGomarus</v>
      </c>
      <c r="C17685" s="8" t="s">
        <v>7121</v>
      </c>
      <c r="D17685" s="8">
        <v>0</v>
      </c>
      <c r="E17685" s="8">
        <v>0</v>
      </c>
      <c r="F17685" s="8">
        <v>3645</v>
      </c>
    </row>
    <row r="17686" spans="1:6" ht="12.75">
      <c r="A17686" s="8">
        <v>43896.774328703701</v>
      </c>
      <c r="B17686" s="8" t="str">
        <f>HYPERLINK("https://twitter.com/Wayang67913537","@Wayang67913537")</f>
        <v>@Wayang67913537</v>
      </c>
      <c r="C17686" s="8" t="s">
        <v>6772</v>
      </c>
      <c r="D17686" s="8">
        <v>68</v>
      </c>
      <c r="E17686" s="8">
        <v>0</v>
      </c>
      <c r="F17686" s="8">
        <v>93</v>
      </c>
    </row>
    <row r="17687" spans="1:6" ht="12.75">
      <c r="A17687" s="8">
        <v>43896.773761574077</v>
      </c>
      <c r="B17687" s="8" t="str">
        <f>HYPERLINK("https://twitter.com/cehend","@cehend")</f>
        <v>@cehend</v>
      </c>
      <c r="C17687" s="8" t="s">
        <v>5103</v>
      </c>
      <c r="D17687" s="8">
        <v>72</v>
      </c>
      <c r="E17687" s="8">
        <v>0</v>
      </c>
      <c r="F17687" s="8">
        <v>243</v>
      </c>
    </row>
    <row r="17688" spans="1:6" ht="12.75">
      <c r="A17688" s="8">
        <v>43896.773229166662</v>
      </c>
      <c r="B17688" s="8" t="str">
        <f>HYPERLINK("https://twitter.com/KBRI_Bangkok","@KBRI_Bangkok")</f>
        <v>@KBRI_Bangkok</v>
      </c>
      <c r="C17688" s="8" t="s">
        <v>7122</v>
      </c>
      <c r="D17688" s="8">
        <v>0</v>
      </c>
      <c r="E17688" s="8">
        <v>0</v>
      </c>
      <c r="F17688" s="8">
        <v>3928</v>
      </c>
    </row>
    <row r="17689" spans="1:6" ht="12.75">
      <c r="A17689" s="8">
        <v>43896.772673611107</v>
      </c>
      <c r="B17689" s="8" t="str">
        <f>HYPERLINK("https://twitter.com/JLpurple28","@JLpurple28")</f>
        <v>@JLpurple28</v>
      </c>
      <c r="C17689" s="8" t="s">
        <v>7123</v>
      </c>
      <c r="D17689" s="8">
        <v>9</v>
      </c>
      <c r="E17689" s="8">
        <v>0</v>
      </c>
      <c r="F17689" s="8">
        <v>297</v>
      </c>
    </row>
    <row r="17690" spans="1:6" ht="12.75">
      <c r="A17690" s="8">
        <v>43896.772094907406</v>
      </c>
      <c r="B17690" s="8" t="str">
        <f>HYPERLINK("https://twitter.com/malikkaleem66","@malikkaleem66")</f>
        <v>@malikkaleem66</v>
      </c>
      <c r="C17690" s="8" t="s">
        <v>6625</v>
      </c>
      <c r="D17690" s="8">
        <v>5</v>
      </c>
      <c r="E17690" s="8">
        <v>0</v>
      </c>
      <c r="F17690" s="8">
        <v>201</v>
      </c>
    </row>
    <row r="17691" spans="1:6" ht="12.75">
      <c r="A17691" s="8">
        <v>43896.771377314813</v>
      </c>
      <c r="B17691" s="8" t="str">
        <f>HYPERLINK("https://twitter.com/CNNIDdaily","@CNNIDdaily")</f>
        <v>@CNNIDdaily</v>
      </c>
      <c r="C17691" s="8" t="s">
        <v>7124</v>
      </c>
      <c r="D17691" s="8">
        <v>1</v>
      </c>
      <c r="E17691" s="8">
        <v>2</v>
      </c>
      <c r="F17691" s="8">
        <v>122224</v>
      </c>
    </row>
    <row r="17692" spans="1:6" ht="12.75">
      <c r="A17692" s="8">
        <v>43896.771284722221</v>
      </c>
      <c r="B17692" s="8" t="str">
        <f>HYPERLINK("https://twitter.com/selebmania","@selebmania")</f>
        <v>@selebmania</v>
      </c>
      <c r="C17692" s="8" t="s">
        <v>7125</v>
      </c>
      <c r="D17692" s="8">
        <v>0</v>
      </c>
      <c r="E17692" s="8">
        <v>1</v>
      </c>
      <c r="F17692" s="8">
        <v>4958</v>
      </c>
    </row>
    <row r="17693" spans="1:6" ht="12.75">
      <c r="A17693" s="8">
        <v>43896.771226851852</v>
      </c>
      <c r="B17693" s="8" t="str">
        <f>HYPERLINK("https://twitter.com/ruangobrol_id","@ruangobrol_id")</f>
        <v>@ruangobrol_id</v>
      </c>
      <c r="C17693" s="8" t="s">
        <v>7126</v>
      </c>
      <c r="D17693" s="8">
        <v>0</v>
      </c>
      <c r="E17693" s="8">
        <v>1</v>
      </c>
      <c r="F17693" s="8">
        <v>164</v>
      </c>
    </row>
    <row r="17694" spans="1:6" ht="12.75">
      <c r="A17694" s="8">
        <v>43896.771215277782</v>
      </c>
      <c r="B17694" s="8" t="str">
        <f>HYPERLINK("https://twitter.com/Ali_haider0","@Ali_haider0")</f>
        <v>@Ali_haider0</v>
      </c>
      <c r="C17694" s="8" t="s">
        <v>6625</v>
      </c>
      <c r="D17694" s="8">
        <v>5</v>
      </c>
      <c r="E17694" s="8">
        <v>0</v>
      </c>
      <c r="F17694" s="8">
        <v>243</v>
      </c>
    </row>
    <row r="17695" spans="1:6" ht="12.75">
      <c r="A17695" s="8">
        <v>43896.771099537036</v>
      </c>
      <c r="B17695" s="8" t="str">
        <f>HYPERLINK("https://twitter.com/mark_on14june","@mark_on14june")</f>
        <v>@mark_on14june</v>
      </c>
      <c r="C17695" s="8" t="s">
        <v>5103</v>
      </c>
      <c r="D17695" s="8">
        <v>72</v>
      </c>
      <c r="E17695" s="8">
        <v>0</v>
      </c>
      <c r="F17695" s="8">
        <v>540</v>
      </c>
    </row>
    <row r="17696" spans="1:6" ht="12.75">
      <c r="A17696" s="8">
        <v>43896.769583333335</v>
      </c>
      <c r="B17696" s="8" t="str">
        <f>HYPERLINK("https://twitter.com/JJaeyumixx","@JJaeyumixx")</f>
        <v>@JJaeyumixx</v>
      </c>
      <c r="C17696" s="8" t="s">
        <v>7123</v>
      </c>
      <c r="D17696" s="8">
        <v>9</v>
      </c>
      <c r="E17696" s="8">
        <v>0</v>
      </c>
      <c r="F17696" s="8">
        <v>162</v>
      </c>
    </row>
    <row r="17697" spans="1:6" ht="12.75">
      <c r="A17697" s="8">
        <v>43896.76939814815</v>
      </c>
      <c r="B17697" s="8" t="str">
        <f>HYPERLINK("https://twitter.com/ElaDangu","@ElaDangu")</f>
        <v>@ElaDangu</v>
      </c>
      <c r="C17697" s="8" t="s">
        <v>7127</v>
      </c>
      <c r="D17697" s="8">
        <v>1888</v>
      </c>
      <c r="E17697" s="8">
        <v>0</v>
      </c>
      <c r="F17697" s="8">
        <v>0</v>
      </c>
    </row>
    <row r="17698" spans="1:6" ht="12.75">
      <c r="A17698" s="8">
        <v>43896.769131944442</v>
      </c>
      <c r="B17698" s="8" t="str">
        <f>HYPERLINK("https://twitter.com/Claudy2002Grace","@Claudy2002Grace")</f>
        <v>@Claudy2002Grace</v>
      </c>
      <c r="C17698" s="8" t="s">
        <v>5662</v>
      </c>
      <c r="D17698" s="8">
        <v>19</v>
      </c>
      <c r="E17698" s="8">
        <v>0</v>
      </c>
      <c r="F17698" s="8">
        <v>40</v>
      </c>
    </row>
    <row r="17699" spans="1:6" ht="12.75">
      <c r="A17699" s="8">
        <v>43896.769027777773</v>
      </c>
      <c r="B17699" s="8" t="str">
        <f>HYPERLINK("https://twitter.com/IndonesiaInPL","@IndonesiaInPL")</f>
        <v>@IndonesiaInPL</v>
      </c>
      <c r="C17699" s="8" t="s">
        <v>2116</v>
      </c>
      <c r="D17699" s="8">
        <v>31</v>
      </c>
      <c r="E17699" s="8">
        <v>0</v>
      </c>
      <c r="F17699" s="8">
        <v>1400</v>
      </c>
    </row>
    <row r="17700" spans="1:6" ht="12.75">
      <c r="A17700" s="8">
        <v>43896.768912037034</v>
      </c>
      <c r="B17700" s="8" t="str">
        <f>HYPERLINK("https://twitter.com/Musyafa__","@Musyafa__")</f>
        <v>@Musyafa__</v>
      </c>
      <c r="C17700" s="8" t="s">
        <v>5103</v>
      </c>
      <c r="D17700" s="8">
        <v>72</v>
      </c>
      <c r="E17700" s="8">
        <v>0</v>
      </c>
      <c r="F17700" s="8">
        <v>680</v>
      </c>
    </row>
    <row r="17701" spans="1:6" ht="12.75">
      <c r="A17701" s="8">
        <v>43896.768854166672</v>
      </c>
      <c r="B17701" s="8" t="str">
        <f>HYPERLINK("https://twitter.com/Sisenandobudy","@Sisenandobudy")</f>
        <v>@Sisenandobudy</v>
      </c>
      <c r="C17701" s="8" t="s">
        <v>5103</v>
      </c>
      <c r="D17701" s="8">
        <v>72</v>
      </c>
      <c r="E17701" s="8">
        <v>0</v>
      </c>
      <c r="F17701" s="8">
        <v>236</v>
      </c>
    </row>
    <row r="17702" spans="1:6" ht="12.75">
      <c r="A17702" s="8">
        <v>43896.768449074079</v>
      </c>
      <c r="B17702" s="8" t="str">
        <f>HYPERLINK("https://twitter.com/DetikNTT","@DetikNTT")</f>
        <v>@DetikNTT</v>
      </c>
      <c r="C17702" s="8" t="s">
        <v>7128</v>
      </c>
      <c r="D17702" s="8">
        <v>0</v>
      </c>
      <c r="E17702" s="8">
        <v>0</v>
      </c>
      <c r="F17702" s="8">
        <v>1</v>
      </c>
    </row>
    <row r="17703" spans="1:6" ht="12.75">
      <c r="A17703" s="8">
        <v>43896.768148148149</v>
      </c>
      <c r="B17703" s="8" t="str">
        <f>HYPERLINK("https://twitter.com/translatorbali","@translatorbali")</f>
        <v>@translatorbali</v>
      </c>
      <c r="C17703" s="8" t="s">
        <v>2116</v>
      </c>
      <c r="D17703" s="8">
        <v>31</v>
      </c>
      <c r="E17703" s="8">
        <v>0</v>
      </c>
      <c r="F17703" s="8">
        <v>3880</v>
      </c>
    </row>
    <row r="17704" spans="1:6" ht="12.75">
      <c r="A17704" s="8">
        <v>43896.767662037033</v>
      </c>
      <c r="B17704" s="8" t="str">
        <f>HYPERLINK("https://twitter.com/Beritadotnews","@Beritadotnews")</f>
        <v>@Beritadotnews</v>
      </c>
      <c r="C17704" s="8" t="s">
        <v>7129</v>
      </c>
      <c r="D17704" s="8">
        <v>0</v>
      </c>
      <c r="E17704" s="8">
        <v>0</v>
      </c>
      <c r="F17704" s="8">
        <v>40</v>
      </c>
    </row>
    <row r="17705" spans="1:6" ht="12.75">
      <c r="A17705" s="8">
        <v>43896.767557870371</v>
      </c>
      <c r="B17705" s="8" t="str">
        <f>HYPERLINK("https://twitter.com/Onta_buluk","@Onta_buluk")</f>
        <v>@Onta_buluk</v>
      </c>
      <c r="C17705" s="8" t="s">
        <v>7130</v>
      </c>
      <c r="D17705" s="8">
        <v>0</v>
      </c>
      <c r="E17705" s="8">
        <v>1</v>
      </c>
      <c r="F17705" s="8">
        <v>3645</v>
      </c>
    </row>
    <row r="17706" spans="1:6" ht="12.75">
      <c r="A17706" s="8">
        <v>43896.767500000002</v>
      </c>
      <c r="B17706" s="8" t="str">
        <f>HYPERLINK("https://twitter.com/sradeep_d","@sradeep_d")</f>
        <v>@sradeep_d</v>
      </c>
      <c r="C17706" s="8" t="s">
        <v>7131</v>
      </c>
      <c r="D17706" s="8">
        <v>0</v>
      </c>
      <c r="E17706" s="8">
        <v>0</v>
      </c>
      <c r="F17706" s="8">
        <v>616</v>
      </c>
    </row>
    <row r="17707" spans="1:6" ht="12.75">
      <c r="A17707" s="8">
        <v>43896.766932870371</v>
      </c>
      <c r="B17707" s="8" t="str">
        <f>HYPERLINK("https://twitter.com/BlackisBlackMSS","@BlackisBlackMSS")</f>
        <v>@BlackisBlackMSS</v>
      </c>
      <c r="C17707" s="8" t="s">
        <v>5103</v>
      </c>
      <c r="D17707" s="8">
        <v>72</v>
      </c>
      <c r="E17707" s="8">
        <v>0</v>
      </c>
      <c r="F17707" s="8">
        <v>4591</v>
      </c>
    </row>
    <row r="17708" spans="1:6" ht="12.75">
      <c r="A17708" s="8">
        <v>43896.756631944445</v>
      </c>
      <c r="B17708" s="8" t="str">
        <f>HYPERLINK("https://twitter.com/infojatinangor","@infojatinangor")</f>
        <v>@infojatinangor</v>
      </c>
      <c r="C17708" s="8" t="s">
        <v>7132</v>
      </c>
      <c r="D17708" s="8">
        <v>0</v>
      </c>
      <c r="E17708" s="8">
        <v>0</v>
      </c>
      <c r="F17708" s="8">
        <v>17048</v>
      </c>
    </row>
    <row r="17709" spans="1:6" ht="12.75">
      <c r="A17709" s="8">
        <v>43896.756504629629</v>
      </c>
      <c r="B17709" s="8" t="str">
        <f>HYPERLINK("https://twitter.com/AhmadiReno1","@AhmadiReno1")</f>
        <v>@AhmadiReno1</v>
      </c>
      <c r="C17709" s="8" t="s">
        <v>7133</v>
      </c>
      <c r="D17709" s="8">
        <v>0</v>
      </c>
      <c r="E17709" s="8">
        <v>0</v>
      </c>
      <c r="F17709" s="8">
        <v>94</v>
      </c>
    </row>
    <row r="17710" spans="1:6" ht="12.75">
      <c r="A17710" s="8">
        <v>43896.75581018519</v>
      </c>
      <c r="B17710" s="8" t="str">
        <f>HYPERLINK("https://twitter.com/OeripKoe","@OeripKoe")</f>
        <v>@OeripKoe</v>
      </c>
      <c r="C17710" s="8" t="s">
        <v>7134</v>
      </c>
      <c r="D17710" s="8">
        <v>0</v>
      </c>
      <c r="E17710" s="8">
        <v>0</v>
      </c>
      <c r="F17710" s="8">
        <v>1589</v>
      </c>
    </row>
    <row r="17711" spans="1:6" ht="12.75">
      <c r="A17711" s="8">
        <v>43896.755625000005</v>
      </c>
      <c r="B17711" s="8" t="str">
        <f>HYPERLINK("https://twitter.com/Sisilliatyas","@Sisilliatyas")</f>
        <v>@Sisilliatyas</v>
      </c>
      <c r="C17711" s="8" t="s">
        <v>5103</v>
      </c>
      <c r="D17711" s="8">
        <v>32</v>
      </c>
      <c r="E17711" s="8">
        <v>0</v>
      </c>
      <c r="F17711" s="8">
        <v>807</v>
      </c>
    </row>
    <row r="17712" spans="1:6" ht="12.75">
      <c r="A17712" s="8">
        <v>43896.755567129629</v>
      </c>
      <c r="B17712" s="8" t="str">
        <f>HYPERLINK("https://twitter.com/_endarwan","@_endarwan")</f>
        <v>@_endarwan</v>
      </c>
      <c r="C17712" s="8" t="s">
        <v>5103</v>
      </c>
      <c r="D17712" s="8">
        <v>32</v>
      </c>
      <c r="E17712" s="8">
        <v>0</v>
      </c>
      <c r="F17712" s="8">
        <v>140</v>
      </c>
    </row>
    <row r="17713" spans="1:6" ht="12.75">
      <c r="A17713" s="8">
        <v>43896.755347222221</v>
      </c>
      <c r="B17713" s="8" t="str">
        <f>HYPERLINK("https://twitter.com/DODDI_F","@DODDI_F")</f>
        <v>@DODDI_F</v>
      </c>
      <c r="C17713" s="8" t="s">
        <v>7135</v>
      </c>
      <c r="D17713" s="8">
        <v>0</v>
      </c>
      <c r="E17713" s="8">
        <v>0</v>
      </c>
      <c r="F17713" s="8">
        <v>2566</v>
      </c>
    </row>
    <row r="17714" spans="1:6" ht="12.75">
      <c r="A17714" s="8">
        <v>43896.755219907413</v>
      </c>
      <c r="B17714" s="8" t="str">
        <f>HYPERLINK("https://twitter.com/barengarkananta","@barengarkananta")</f>
        <v>@barengarkananta</v>
      </c>
      <c r="C17714" s="8" t="s">
        <v>7136</v>
      </c>
      <c r="D17714" s="8">
        <v>18</v>
      </c>
      <c r="E17714" s="8">
        <v>0</v>
      </c>
      <c r="F17714" s="8">
        <v>1675</v>
      </c>
    </row>
    <row r="17715" spans="1:6" ht="12.75">
      <c r="A17715" s="8">
        <v>43896.75481481482</v>
      </c>
      <c r="B17715" s="8" t="str">
        <f>HYPERLINK("https://twitter.com/nairhcaf_","@nairhcaf_")</f>
        <v>@nairhcaf_</v>
      </c>
      <c r="C17715" s="8" t="s">
        <v>7137</v>
      </c>
      <c r="D17715" s="8">
        <v>0</v>
      </c>
      <c r="E17715" s="8">
        <v>0</v>
      </c>
      <c r="F17715" s="8">
        <v>4</v>
      </c>
    </row>
    <row r="17716" spans="1:6" ht="12.75">
      <c r="A17716" s="8">
        <v>43896.754780092597</v>
      </c>
      <c r="B17716" s="8" t="str">
        <f>HYPERLINK("https://twitter.com/dadanmarthian","@dadanmarthian")</f>
        <v>@dadanmarthian</v>
      </c>
      <c r="C17716" s="8" t="s">
        <v>593</v>
      </c>
      <c r="D17716" s="8">
        <v>489</v>
      </c>
      <c r="E17716" s="8">
        <v>0</v>
      </c>
      <c r="F17716" s="8">
        <v>1090</v>
      </c>
    </row>
    <row r="17717" spans="1:6" ht="12.75">
      <c r="A17717" s="8">
        <v>43896.754745370374</v>
      </c>
      <c r="B17717" s="8" t="str">
        <f>HYPERLINK("https://twitter.com/widyavirgiana","@widyavirgiana")</f>
        <v>@widyavirgiana</v>
      </c>
      <c r="C17717" s="8" t="s">
        <v>5103</v>
      </c>
      <c r="D17717" s="8">
        <v>32</v>
      </c>
      <c r="E17717" s="8">
        <v>0</v>
      </c>
      <c r="F17717" s="8">
        <v>1022</v>
      </c>
    </row>
    <row r="17718" spans="1:6" ht="12.75">
      <c r="A17718" s="8">
        <v>43896.754259259258</v>
      </c>
      <c r="B17718" s="8" t="str">
        <f>HYPERLINK("https://twitter.com/ISIS_Balik_NO","@ISIS_Balik_NO")</f>
        <v>@ISIS_Balik_NO</v>
      </c>
      <c r="C17718" s="8" t="s">
        <v>7138</v>
      </c>
      <c r="D17718" s="8">
        <v>0</v>
      </c>
      <c r="E17718" s="8">
        <v>0</v>
      </c>
      <c r="F17718" s="8">
        <v>6130</v>
      </c>
    </row>
    <row r="17719" spans="1:6" ht="12.75">
      <c r="A17719" s="8">
        <v>43896.753923611112</v>
      </c>
      <c r="B17719" s="8" t="str">
        <f>HYPERLINK("https://twitter.com/KurioID","@KurioID")</f>
        <v>@KurioID</v>
      </c>
      <c r="C17719" s="8" t="s">
        <v>7139</v>
      </c>
      <c r="D17719" s="8">
        <v>0</v>
      </c>
      <c r="E17719" s="8">
        <v>0</v>
      </c>
      <c r="F17719" s="8">
        <v>7994</v>
      </c>
    </row>
    <row r="17720" spans="1:6" ht="12.75">
      <c r="A17720" s="8">
        <v>43896.753668981481</v>
      </c>
      <c r="B17720" s="8" t="str">
        <f>HYPERLINK("https://twitter.com/mamaciaaa","@mamaciaaa")</f>
        <v>@mamaciaaa</v>
      </c>
      <c r="C17720" s="8" t="s">
        <v>5103</v>
      </c>
      <c r="D17720" s="8">
        <v>32</v>
      </c>
      <c r="E17720" s="8">
        <v>0</v>
      </c>
      <c r="F17720" s="8">
        <v>20010</v>
      </c>
    </row>
    <row r="17721" spans="1:6" ht="12.75">
      <c r="A17721" s="8">
        <v>43896.753009259264</v>
      </c>
      <c r="B17721" s="8" t="str">
        <f>HYPERLINK("https://twitter.com/Kikimay_19","@Kikimay_19")</f>
        <v>@Kikimay_19</v>
      </c>
      <c r="C17721" s="8" t="s">
        <v>7117</v>
      </c>
      <c r="D17721" s="8">
        <v>25</v>
      </c>
      <c r="E17721" s="8">
        <v>0</v>
      </c>
      <c r="F17721" s="8">
        <v>225</v>
      </c>
    </row>
    <row r="17722" spans="1:6" ht="12.75">
      <c r="A17722" s="8">
        <v>43896.752928240741</v>
      </c>
      <c r="B17722" s="8" t="str">
        <f>HYPERLINK("https://twitter.com/1979_khairul","@1979_khairul")</f>
        <v>@1979_khairul</v>
      </c>
      <c r="C17722" s="8" t="s">
        <v>7140</v>
      </c>
      <c r="D17722" s="8">
        <v>0</v>
      </c>
      <c r="E17722" s="8">
        <v>0</v>
      </c>
      <c r="F17722" s="8">
        <v>3391</v>
      </c>
    </row>
    <row r="17723" spans="1:6" ht="12.75">
      <c r="A17723" s="8">
        <v>43896.752546296295</v>
      </c>
      <c r="B17723" s="8" t="str">
        <f>HYPERLINK("https://twitter.com/Qshareina","@Qshareina")</f>
        <v>@Qshareina</v>
      </c>
      <c r="C17723" s="8" t="s">
        <v>7141</v>
      </c>
      <c r="D17723" s="8">
        <v>0</v>
      </c>
      <c r="E17723" s="8">
        <v>0</v>
      </c>
      <c r="F17723" s="8">
        <v>237</v>
      </c>
    </row>
    <row r="17724" spans="1:6" ht="12.75">
      <c r="A17724" s="8">
        <v>43896.752129629633</v>
      </c>
      <c r="B17724" s="8" t="str">
        <f>HYPERLINK("https://twitter.com/Khan41800879","@Khan41800879")</f>
        <v>@Khan41800879</v>
      </c>
      <c r="C17724" s="8" t="s">
        <v>7142</v>
      </c>
      <c r="D17724" s="8">
        <v>0</v>
      </c>
      <c r="E17724" s="8">
        <v>0</v>
      </c>
      <c r="F17724" s="8">
        <v>115</v>
      </c>
    </row>
    <row r="17725" spans="1:6" ht="12.75">
      <c r="A17725" s="8">
        <v>43896.751909722225</v>
      </c>
      <c r="B17725" s="8" t="str">
        <f>HYPERLINK("https://twitter.com/Albert_nw","@Albert_nw")</f>
        <v>@Albert_nw</v>
      </c>
      <c r="C17725" s="8" t="s">
        <v>5103</v>
      </c>
      <c r="D17725" s="8">
        <v>32</v>
      </c>
      <c r="E17725" s="8">
        <v>0</v>
      </c>
      <c r="F17725" s="8">
        <v>344</v>
      </c>
    </row>
    <row r="17726" spans="1:6" ht="12.75">
      <c r="A17726" s="8">
        <v>43896.751666666663</v>
      </c>
      <c r="B17726" s="8" t="str">
        <f>HYPERLINK("https://twitter.com/zkdfexo","@zkdfexo")</f>
        <v>@zkdfexo</v>
      </c>
      <c r="C17726" s="8" t="s">
        <v>7143</v>
      </c>
      <c r="D17726" s="8">
        <v>0</v>
      </c>
      <c r="E17726" s="8">
        <v>0</v>
      </c>
      <c r="F17726" s="8">
        <v>243</v>
      </c>
    </row>
    <row r="17727" spans="1:6" ht="12.75">
      <c r="A17727" s="8">
        <v>43896.751516203702</v>
      </c>
      <c r="B17727" s="8" t="str">
        <f>HYPERLINK("https://twitter.com/xhygrksx","@xhygrksx")</f>
        <v>@xhygrksx</v>
      </c>
      <c r="C17727" s="8" t="s">
        <v>5103</v>
      </c>
      <c r="D17727" s="8">
        <v>32</v>
      </c>
      <c r="E17727" s="8">
        <v>0</v>
      </c>
      <c r="F17727" s="8">
        <v>200</v>
      </c>
    </row>
    <row r="17728" spans="1:6" ht="12.75">
      <c r="A17728" s="8">
        <v>43896.751435185186</v>
      </c>
      <c r="B17728" s="8" t="str">
        <f>HYPERLINK("https://twitter.com/KompasTV","@KompasTV")</f>
        <v>@KompasTV</v>
      </c>
      <c r="C17728" s="8" t="s">
        <v>7132</v>
      </c>
      <c r="D17728" s="8">
        <v>1</v>
      </c>
      <c r="E17728" s="8">
        <v>1</v>
      </c>
      <c r="F17728" s="8">
        <v>2957594</v>
      </c>
    </row>
    <row r="17729" spans="1:6" ht="12.75">
      <c r="A17729" s="8">
        <v>43896.751412037032</v>
      </c>
      <c r="B17729" s="8" t="str">
        <f>HYPERLINK("https://twitter.com/pikiran_rakyat","@pikiran_rakyat")</f>
        <v>@pikiran_rakyat</v>
      </c>
      <c r="C17729" s="8" t="s">
        <v>7144</v>
      </c>
      <c r="D17729" s="8">
        <v>0</v>
      </c>
      <c r="E17729" s="8">
        <v>1</v>
      </c>
      <c r="F17729" s="8">
        <v>413282</v>
      </c>
    </row>
    <row r="17730" spans="1:6" ht="12.75">
      <c r="A17730" s="8">
        <v>43896.75136574074</v>
      </c>
      <c r="B17730" s="8" t="str">
        <f>HYPERLINK("https://twitter.com/sunflowey_","@sunflowey_")</f>
        <v>@sunflowey_</v>
      </c>
      <c r="C17730" s="8" t="s">
        <v>5103</v>
      </c>
      <c r="D17730" s="8">
        <v>32</v>
      </c>
      <c r="E17730" s="8">
        <v>0</v>
      </c>
      <c r="F17730" s="8">
        <v>62</v>
      </c>
    </row>
    <row r="17731" spans="1:6" ht="12.75">
      <c r="A17731" s="8">
        <v>43896.751030092593</v>
      </c>
      <c r="B17731" s="8" t="str">
        <f>HYPERLINK("https://twitter.com/iamgorgeouss_","@iamgorgeouss_")</f>
        <v>@iamgorgeouss_</v>
      </c>
      <c r="C17731" s="8" t="s">
        <v>7145</v>
      </c>
      <c r="D17731" s="8">
        <v>0</v>
      </c>
      <c r="E17731" s="8">
        <v>1</v>
      </c>
      <c r="F17731" s="8">
        <v>1390</v>
      </c>
    </row>
    <row r="17732" spans="1:6" ht="12.75">
      <c r="A17732" s="8">
        <v>43896.750983796301</v>
      </c>
      <c r="B17732" s="8" t="str">
        <f>HYPERLINK("https://twitter.com/rifqiloc","@rifqiloc")</f>
        <v>@rifqiloc</v>
      </c>
      <c r="C17732" s="8" t="s">
        <v>5103</v>
      </c>
      <c r="D17732" s="8">
        <v>32</v>
      </c>
      <c r="E17732" s="8">
        <v>0</v>
      </c>
      <c r="F17732" s="8">
        <v>253</v>
      </c>
    </row>
    <row r="17733" spans="1:6" ht="12.75">
      <c r="A17733" s="8">
        <v>43896.750925925924</v>
      </c>
      <c r="B17733" s="8" t="str">
        <f>HYPERLINK("https://twitter.com/ISIS_Balik_NO","@ISIS_Balik_NO")</f>
        <v>@ISIS_Balik_NO</v>
      </c>
      <c r="C17733" s="8" t="s">
        <v>7146</v>
      </c>
      <c r="D17733" s="8">
        <v>245</v>
      </c>
      <c r="E17733" s="8">
        <v>0</v>
      </c>
      <c r="F17733" s="8">
        <v>6130</v>
      </c>
    </row>
    <row r="17734" spans="1:6" ht="12.75">
      <c r="A17734" s="8">
        <v>43896.750509259262</v>
      </c>
      <c r="B17734" s="8" t="str">
        <f>HYPERLINK("https://twitter.com/pangeranroyy23","@pangeranroyy23")</f>
        <v>@pangeranroyy23</v>
      </c>
      <c r="C17734" s="8" t="s">
        <v>7147</v>
      </c>
      <c r="D17734" s="8">
        <v>0</v>
      </c>
      <c r="E17734" s="8">
        <v>0</v>
      </c>
      <c r="F17734" s="8">
        <v>19</v>
      </c>
    </row>
    <row r="17735" spans="1:6" ht="12.75">
      <c r="A17735" s="8">
        <v>43896.750034722223</v>
      </c>
      <c r="B17735" s="8" t="str">
        <f>HYPERLINK("https://twitter.com/Koran_Kaltara","@Koran_Kaltara")</f>
        <v>@Koran_Kaltara</v>
      </c>
      <c r="C17735" s="8" t="s">
        <v>7148</v>
      </c>
      <c r="D17735" s="8">
        <v>0</v>
      </c>
      <c r="E17735" s="8">
        <v>0</v>
      </c>
      <c r="F17735" s="8">
        <v>95</v>
      </c>
    </row>
    <row r="17736" spans="1:6" ht="12.75">
      <c r="A17736" s="8">
        <v>43896.749907407408</v>
      </c>
      <c r="B17736" s="8" t="str">
        <f>HYPERLINK("https://twitter.com/arawiwid","@arawiwid")</f>
        <v>@arawiwid</v>
      </c>
      <c r="C17736" s="8" t="s">
        <v>5103</v>
      </c>
      <c r="D17736" s="8">
        <v>32</v>
      </c>
      <c r="E17736" s="8">
        <v>0</v>
      </c>
      <c r="F17736" s="8">
        <v>1014</v>
      </c>
    </row>
    <row r="17737" spans="1:6" ht="12.75">
      <c r="A17737" s="8">
        <v>43896.749895833331</v>
      </c>
      <c r="B17737" s="8" t="str">
        <f>HYPERLINK("https://twitter.com/ridhatobing","@ridhatobing")</f>
        <v>@ridhatobing</v>
      </c>
      <c r="C17737" s="8" t="s">
        <v>2116</v>
      </c>
      <c r="D17737" s="8">
        <v>20</v>
      </c>
      <c r="E17737" s="8">
        <v>0</v>
      </c>
      <c r="F17737" s="8">
        <v>441</v>
      </c>
    </row>
    <row r="17738" spans="1:6" ht="12.75">
      <c r="A17738" s="8">
        <v>43896.749722222223</v>
      </c>
      <c r="B17738" s="8" t="str">
        <f>HYPERLINK("https://twitter.com/cigarxet","@cigarxet")</f>
        <v>@cigarxet</v>
      </c>
      <c r="C17738" s="8" t="s">
        <v>7149</v>
      </c>
      <c r="D17738" s="8">
        <v>355</v>
      </c>
      <c r="E17738" s="8">
        <v>0</v>
      </c>
      <c r="F17738" s="8">
        <v>1999</v>
      </c>
    </row>
    <row r="17739" spans="1:6" ht="12.75">
      <c r="A17739" s="8">
        <v>43896.7496412037</v>
      </c>
      <c r="B17739" s="8" t="str">
        <f>HYPERLINK("https://twitter.com/graindiew","@graindiew")</f>
        <v>@graindiew</v>
      </c>
      <c r="C17739" s="8" t="s">
        <v>5103</v>
      </c>
      <c r="D17739" s="8">
        <v>32</v>
      </c>
      <c r="E17739" s="8">
        <v>0</v>
      </c>
      <c r="F17739" s="8">
        <v>78</v>
      </c>
    </row>
    <row r="17740" spans="1:6" ht="12.75">
      <c r="A17740" s="8">
        <v>43896.749409722222</v>
      </c>
      <c r="B17740" s="8" t="str">
        <f>HYPERLINK("https://twitter.com/Afiyandii","@Afiyandii")</f>
        <v>@Afiyandii</v>
      </c>
      <c r="C17740" s="8" t="s">
        <v>5103</v>
      </c>
      <c r="D17740" s="8">
        <v>32</v>
      </c>
      <c r="E17740" s="8">
        <v>0</v>
      </c>
      <c r="F17740" s="8">
        <v>197</v>
      </c>
    </row>
    <row r="17741" spans="1:6" ht="12.75">
      <c r="A17741" s="8">
        <v>43896.749305555553</v>
      </c>
      <c r="B17741" s="8" t="str">
        <f>HYPERLINK("https://twitter.com/lagihamill","@lagihamill")</f>
        <v>@lagihamill</v>
      </c>
      <c r="C17741" s="8" t="s">
        <v>5103</v>
      </c>
      <c r="D17741" s="8">
        <v>32</v>
      </c>
      <c r="E17741" s="8">
        <v>0</v>
      </c>
      <c r="F17741" s="8">
        <v>295</v>
      </c>
    </row>
    <row r="17742" spans="1:6" ht="12.75">
      <c r="A17742" s="8">
        <v>43896.749259259261</v>
      </c>
      <c r="B17742" s="8" t="str">
        <f>HYPERLINK("https://twitter.com/Isyekomariani","@Isyekomariani")</f>
        <v>@Isyekomariani</v>
      </c>
      <c r="C17742" s="8" t="s">
        <v>5103</v>
      </c>
      <c r="D17742" s="8">
        <v>32</v>
      </c>
      <c r="E17742" s="8">
        <v>0</v>
      </c>
      <c r="F17742" s="8">
        <v>59</v>
      </c>
    </row>
    <row r="17743" spans="1:6" ht="12.75">
      <c r="A17743" s="8">
        <v>43896.749259259261</v>
      </c>
      <c r="B17743" s="8" t="str">
        <f>HYPERLINK("https://twitter.com/iNewsID","@iNewsID")</f>
        <v>@iNewsID</v>
      </c>
      <c r="C17743" s="8" t="s">
        <v>7150</v>
      </c>
      <c r="D17743" s="8">
        <v>0</v>
      </c>
      <c r="E17743" s="8">
        <v>0</v>
      </c>
      <c r="F17743" s="8">
        <v>1364</v>
      </c>
    </row>
    <row r="17744" spans="1:6" ht="12.75">
      <c r="A17744" s="8">
        <v>43896.748923611114</v>
      </c>
      <c r="B17744" s="8" t="str">
        <f>HYPERLINK("https://twitter.com/WanAdli_","@WanAdli_")</f>
        <v>@WanAdli_</v>
      </c>
      <c r="C17744" s="8" t="s">
        <v>6690</v>
      </c>
      <c r="D17744" s="8">
        <v>6</v>
      </c>
      <c r="E17744" s="8">
        <v>0</v>
      </c>
      <c r="F17744" s="8">
        <v>3186</v>
      </c>
    </row>
    <row r="17745" spans="1:6" ht="12.75">
      <c r="A17745" s="8">
        <v>43896.748726851853</v>
      </c>
      <c r="B17745" s="8" t="str">
        <f>HYPERLINK("https://twitter.com/fadeloser","@fadeloser")</f>
        <v>@fadeloser</v>
      </c>
      <c r="C17745" s="8" t="s">
        <v>2116</v>
      </c>
      <c r="D17745" s="8">
        <v>20</v>
      </c>
      <c r="E17745" s="8">
        <v>0</v>
      </c>
      <c r="F17745" s="8">
        <v>705</v>
      </c>
    </row>
    <row r="17746" spans="1:6" ht="12.75">
      <c r="A17746" s="8">
        <v>43896.748715277776</v>
      </c>
      <c r="B17746" s="8" t="str">
        <f>HYPERLINK("https://twitter.com/ISIS_Balik_NO","@ISIS_Balik_NO")</f>
        <v>@ISIS_Balik_NO</v>
      </c>
      <c r="C17746" s="8" t="s">
        <v>7151</v>
      </c>
      <c r="D17746" s="8">
        <v>0</v>
      </c>
      <c r="E17746" s="8">
        <v>0</v>
      </c>
      <c r="F17746" s="8">
        <v>6130</v>
      </c>
    </row>
    <row r="17747" spans="1:6" ht="12.75">
      <c r="A17747" s="8">
        <v>43896.74863425926</v>
      </c>
      <c r="B17747" s="8" t="str">
        <f>HYPERLINK("https://twitter.com/IndonesiainBern","@IndonesiainBern")</f>
        <v>@IndonesiainBern</v>
      </c>
      <c r="C17747" s="8" t="s">
        <v>2116</v>
      </c>
      <c r="D17747" s="8">
        <v>20</v>
      </c>
      <c r="E17747" s="8">
        <v>0</v>
      </c>
      <c r="F17747" s="8">
        <v>1823</v>
      </c>
    </row>
    <row r="17748" spans="1:6" ht="12.75">
      <c r="A17748" s="8">
        <v>43896.748402777783</v>
      </c>
      <c r="B17748" s="8" t="str">
        <f>HYPERLINK("https://twitter.com/agnwns","@agnwns")</f>
        <v>@agnwns</v>
      </c>
      <c r="C17748" s="8" t="s">
        <v>7152</v>
      </c>
      <c r="D17748" s="8">
        <v>4</v>
      </c>
      <c r="E17748" s="8">
        <v>0</v>
      </c>
      <c r="F17748" s="8">
        <v>440</v>
      </c>
    </row>
    <row r="17749" spans="1:6" ht="12.75">
      <c r="A17749" s="8">
        <v>43896.748252314814</v>
      </c>
      <c r="B17749" s="8" t="str">
        <f>HYPERLINK("https://twitter.com/syfaski","@syfaski")</f>
        <v>@syfaski</v>
      </c>
      <c r="C17749" s="8" t="s">
        <v>5103</v>
      </c>
      <c r="D17749" s="8">
        <v>32</v>
      </c>
      <c r="E17749" s="8">
        <v>0</v>
      </c>
      <c r="F17749" s="8">
        <v>969</v>
      </c>
    </row>
    <row r="17750" spans="1:6" ht="12.75">
      <c r="A17750" s="8">
        <v>43896.748229166667</v>
      </c>
      <c r="B17750" s="8" t="str">
        <f>HYPERLINK("https://twitter.com/Antara_Jabar","@Antara_Jabar")</f>
        <v>@Antara_Jabar</v>
      </c>
      <c r="C17750" s="8" t="s">
        <v>7153</v>
      </c>
      <c r="D17750" s="8">
        <v>0</v>
      </c>
      <c r="E17750" s="8">
        <v>0</v>
      </c>
      <c r="F17750" s="8">
        <v>1662</v>
      </c>
    </row>
    <row r="17751" spans="1:6" ht="12.75">
      <c r="A17751" s="8">
        <v>43896.747430555552</v>
      </c>
      <c r="B17751" s="8" t="str">
        <f>HYPERLINK("https://twitter.com/ninanino06","@ninanino06")</f>
        <v>@ninanino06</v>
      </c>
      <c r="C17751" s="8" t="s">
        <v>5103</v>
      </c>
      <c r="D17751" s="8">
        <v>32</v>
      </c>
      <c r="E17751" s="8">
        <v>0</v>
      </c>
      <c r="F17751" s="8">
        <v>403</v>
      </c>
    </row>
    <row r="17752" spans="1:6" ht="12.75">
      <c r="A17752" s="8">
        <v>43896.747407407413</v>
      </c>
      <c r="B17752" s="8" t="str">
        <f>HYPERLINK("https://twitter.com/halulalang","@halulalang")</f>
        <v>@halulalang</v>
      </c>
      <c r="C17752" s="8" t="s">
        <v>5103</v>
      </c>
      <c r="D17752" s="8">
        <v>32</v>
      </c>
      <c r="E17752" s="8">
        <v>0</v>
      </c>
      <c r="F17752" s="8">
        <v>554</v>
      </c>
    </row>
    <row r="17753" spans="1:6" ht="12.75">
      <c r="A17753" s="8">
        <v>43896.747384259259</v>
      </c>
      <c r="B17753" s="8" t="str">
        <f>HYPERLINK("https://twitter.com/erwinn_budi","@erwinn_budi")</f>
        <v>@erwinn_budi</v>
      </c>
      <c r="C17753" s="8" t="s">
        <v>2116</v>
      </c>
      <c r="D17753" s="8">
        <v>20</v>
      </c>
      <c r="E17753" s="8">
        <v>0</v>
      </c>
      <c r="F17753" s="8">
        <v>156</v>
      </c>
    </row>
    <row r="17754" spans="1:6" ht="12.75">
      <c r="A17754" s="8">
        <v>43896.747349537036</v>
      </c>
      <c r="B17754" s="8" t="str">
        <f>HYPERLINK("https://twitter.com/ISIS_Balik_NO","@ISIS_Balik_NO")</f>
        <v>@ISIS_Balik_NO</v>
      </c>
      <c r="C17754" s="8" t="s">
        <v>7154</v>
      </c>
      <c r="D17754" s="8">
        <v>0</v>
      </c>
      <c r="E17754" s="8">
        <v>0</v>
      </c>
      <c r="F17754" s="8">
        <v>6130</v>
      </c>
    </row>
    <row r="17755" spans="1:6" ht="12.75">
      <c r="A17755" s="8">
        <v>43896.746990740736</v>
      </c>
      <c r="B17755" s="8" t="str">
        <f>HYPERLINK("https://twitter.com/Qolybri_8216","@Qolybri_8216")</f>
        <v>@Qolybri_8216</v>
      </c>
      <c r="C17755" s="8" t="s">
        <v>6772</v>
      </c>
      <c r="D17755" s="8">
        <v>62</v>
      </c>
      <c r="E17755" s="8">
        <v>0</v>
      </c>
      <c r="F17755" s="8">
        <v>2107</v>
      </c>
    </row>
    <row r="17756" spans="1:6" ht="12.75">
      <c r="A17756" s="8">
        <v>43896.746886574074</v>
      </c>
      <c r="B17756" s="8" t="str">
        <f>HYPERLINK("https://twitter.com/HamTurnerr","@HamTurnerr")</f>
        <v>@HamTurnerr</v>
      </c>
      <c r="C17756" s="8" t="s">
        <v>5103</v>
      </c>
      <c r="D17756" s="8">
        <v>32</v>
      </c>
      <c r="E17756" s="8">
        <v>0</v>
      </c>
      <c r="F17756" s="8">
        <v>845</v>
      </c>
    </row>
    <row r="17757" spans="1:6" ht="12.75">
      <c r="A17757" s="8">
        <v>43896.74664351852</v>
      </c>
      <c r="B17757" s="8" t="str">
        <f>HYPERLINK("https://twitter.com/endro1908","@endro1908")</f>
        <v>@endro1908</v>
      </c>
      <c r="C17757" s="8" t="s">
        <v>7155</v>
      </c>
      <c r="D17757" s="8">
        <v>0</v>
      </c>
      <c r="E17757" s="8">
        <v>0</v>
      </c>
      <c r="F17757" s="8">
        <v>69</v>
      </c>
    </row>
    <row r="17758" spans="1:6" ht="12.75">
      <c r="A17758" s="8">
        <v>43896.74664351852</v>
      </c>
      <c r="B17758" s="8" t="str">
        <f>HYPERLINK("https://twitter.com/antaranewsntb","@antaranewsntb")</f>
        <v>@antaranewsntb</v>
      </c>
      <c r="C17758" s="8" t="s">
        <v>7156</v>
      </c>
      <c r="D17758" s="8">
        <v>0</v>
      </c>
      <c r="E17758" s="8">
        <v>0</v>
      </c>
      <c r="F17758" s="8">
        <v>6</v>
      </c>
    </row>
    <row r="17759" spans="1:6" ht="12.75">
      <c r="A17759" s="8">
        <v>43896.746574074074</v>
      </c>
      <c r="B17759" s="8" t="str">
        <f>HYPERLINK("https://twitter.com/PenikmatSubsidi","@PenikmatSubsidi")</f>
        <v>@PenikmatSubsidi</v>
      </c>
      <c r="C17759" s="8" t="s">
        <v>5103</v>
      </c>
      <c r="D17759" s="8">
        <v>32</v>
      </c>
      <c r="E17759" s="8">
        <v>0</v>
      </c>
      <c r="F17759" s="8">
        <v>128</v>
      </c>
    </row>
    <row r="17760" spans="1:6" ht="12.75">
      <c r="A17760" s="8">
        <v>43896.746516203704</v>
      </c>
      <c r="B17760" s="8" t="str">
        <f>HYPERLINK("https://twitter.com/janissidestory","@janissidestory")</f>
        <v>@janissidestory</v>
      </c>
      <c r="C17760" s="8" t="s">
        <v>7157</v>
      </c>
      <c r="D17760" s="8">
        <v>0</v>
      </c>
      <c r="E17760" s="8">
        <v>0</v>
      </c>
      <c r="F17760" s="8">
        <v>62</v>
      </c>
    </row>
    <row r="17761" spans="1:6" ht="12.75">
      <c r="A17761" s="8">
        <v>43896.746469907404</v>
      </c>
      <c r="B17761" s="8" t="str">
        <f>HYPERLINK("https://twitter.com/kodexaddy_","@kodexaddy_")</f>
        <v>@kodexaddy_</v>
      </c>
      <c r="C17761" s="8" t="s">
        <v>7117</v>
      </c>
      <c r="D17761" s="8">
        <v>25</v>
      </c>
      <c r="E17761" s="8">
        <v>0</v>
      </c>
      <c r="F17761" s="8">
        <v>3781</v>
      </c>
    </row>
    <row r="17762" spans="1:6" ht="12.75">
      <c r="A17762" s="8">
        <v>43896.746296296296</v>
      </c>
      <c r="B17762" s="8" t="str">
        <f>HYPERLINK("https://twitter.com/ISIS_Balik_NO","@ISIS_Balik_NO")</f>
        <v>@ISIS_Balik_NO</v>
      </c>
      <c r="C17762" s="8" t="s">
        <v>7158</v>
      </c>
      <c r="D17762" s="8">
        <v>0</v>
      </c>
      <c r="E17762" s="8">
        <v>0</v>
      </c>
      <c r="F17762" s="8">
        <v>6130</v>
      </c>
    </row>
    <row r="17763" spans="1:6" ht="12.75">
      <c r="A17763" s="8">
        <v>43896.746215277773</v>
      </c>
      <c r="B17763" s="8" t="str">
        <f>HYPERLINK("https://twitter.com/imsamyss","@imsamyss")</f>
        <v>@imsamyss</v>
      </c>
      <c r="C17763" s="8" t="s">
        <v>5103</v>
      </c>
      <c r="D17763" s="8">
        <v>32</v>
      </c>
      <c r="E17763" s="8">
        <v>0</v>
      </c>
      <c r="F17763" s="8">
        <v>13</v>
      </c>
    </row>
    <row r="17764" spans="1:6" ht="12.75">
      <c r="A17764" s="8">
        <v>43896.746134259258</v>
      </c>
      <c r="B17764" s="8" t="str">
        <f>HYPERLINK("https://twitter.com/ardidwisapta","@ardidwisapta")</f>
        <v>@ardidwisapta</v>
      </c>
      <c r="C17764" s="8" t="s">
        <v>7117</v>
      </c>
      <c r="D17764" s="8">
        <v>25</v>
      </c>
      <c r="E17764" s="8">
        <v>0</v>
      </c>
      <c r="F17764" s="8">
        <v>292</v>
      </c>
    </row>
    <row r="17765" spans="1:6" ht="12.75">
      <c r="A17765" s="8">
        <v>43896.74596064815</v>
      </c>
      <c r="B17765" s="8" t="str">
        <f>HYPERLINK("https://twitter.com/asw_official","@asw_official")</f>
        <v>@asw_official</v>
      </c>
      <c r="C17765" s="8" t="s">
        <v>5103</v>
      </c>
      <c r="D17765" s="8">
        <v>32</v>
      </c>
      <c r="E17765" s="8">
        <v>0</v>
      </c>
      <c r="F17765" s="8">
        <v>1286</v>
      </c>
    </row>
    <row r="17766" spans="1:6" ht="12.75">
      <c r="A17766" s="8">
        <v>43896.745949074073</v>
      </c>
      <c r="B17766" s="8" t="str">
        <f>HYPERLINK("https://twitter.com/agusepur","@agusepur")</f>
        <v>@agusepur</v>
      </c>
      <c r="C17766" s="8" t="s">
        <v>7152</v>
      </c>
      <c r="D17766" s="8">
        <v>4</v>
      </c>
      <c r="E17766" s="8">
        <v>0</v>
      </c>
      <c r="F17766" s="8">
        <v>505</v>
      </c>
    </row>
    <row r="17767" spans="1:6" ht="12.75">
      <c r="A17767" s="8">
        <v>43896.745821759258</v>
      </c>
      <c r="B17767" s="8" t="str">
        <f>HYPERLINK("https://twitter.com/wni_jmsri","@wni_jmsri")</f>
        <v>@wni_jmsri</v>
      </c>
      <c r="C17767" s="8" t="s">
        <v>7159</v>
      </c>
      <c r="D17767" s="8">
        <v>9919</v>
      </c>
      <c r="E17767" s="8">
        <v>0</v>
      </c>
      <c r="F17767" s="8">
        <v>201</v>
      </c>
    </row>
    <row r="17768" spans="1:6" ht="12.75">
      <c r="A17768" s="8">
        <v>43896.745706018519</v>
      </c>
      <c r="B17768" s="8" t="str">
        <f>HYPERLINK("https://twitter.com/asundamai","@asundamai")</f>
        <v>@asundamai</v>
      </c>
      <c r="C17768" s="8" t="s">
        <v>7160</v>
      </c>
      <c r="D17768" s="8">
        <v>0</v>
      </c>
      <c r="E17768" s="8">
        <v>0</v>
      </c>
      <c r="F17768" s="8">
        <v>1922</v>
      </c>
    </row>
    <row r="17769" spans="1:6" ht="12.75">
      <c r="A17769" s="8">
        <v>43896.745636574073</v>
      </c>
      <c r="B17769" s="8" t="str">
        <f>HYPERLINK("https://twitter.com/rahmatwiras","@rahmatwiras")</f>
        <v>@rahmatwiras</v>
      </c>
      <c r="C17769" s="8" t="s">
        <v>5103</v>
      </c>
      <c r="D17769" s="8">
        <v>32</v>
      </c>
      <c r="E17769" s="8">
        <v>0</v>
      </c>
      <c r="F17769" s="8">
        <v>303</v>
      </c>
    </row>
    <row r="17770" spans="1:6" ht="12.75">
      <c r="A17770" s="8">
        <v>43896.745601851857</v>
      </c>
      <c r="B17770" s="8" t="str">
        <f>HYPERLINK("https://twitter.com/susintrash","@susintrash")</f>
        <v>@susintrash</v>
      </c>
      <c r="C17770" s="8" t="s">
        <v>7161</v>
      </c>
      <c r="D17770" s="8">
        <v>0</v>
      </c>
      <c r="E17770" s="8">
        <v>0</v>
      </c>
      <c r="F17770" s="8">
        <v>1642</v>
      </c>
    </row>
    <row r="17771" spans="1:6" ht="12.75">
      <c r="A17771" s="8">
        <v>43896.74523148148</v>
      </c>
      <c r="B17771" s="8" t="str">
        <f>HYPERLINK("https://twitter.com/addinaf","@addinaf")</f>
        <v>@addinaf</v>
      </c>
      <c r="C17771" s="8" t="s">
        <v>2116</v>
      </c>
      <c r="D17771" s="8">
        <v>20</v>
      </c>
      <c r="E17771" s="8">
        <v>0</v>
      </c>
      <c r="F17771" s="8">
        <v>841</v>
      </c>
    </row>
    <row r="17772" spans="1:6" ht="12.75">
      <c r="A17772" s="8">
        <v>43896.745196759264</v>
      </c>
      <c r="B17772" s="8" t="str">
        <f>HYPERLINK("https://twitter.com/Haluan_","@Haluan_")</f>
        <v>@Haluan_</v>
      </c>
      <c r="C17772" s="8" t="s">
        <v>7162</v>
      </c>
      <c r="D17772" s="8">
        <v>0</v>
      </c>
      <c r="E17772" s="8">
        <v>0</v>
      </c>
      <c r="F17772" s="8">
        <v>1523</v>
      </c>
    </row>
    <row r="17773" spans="1:6" ht="12.75">
      <c r="A17773" s="8">
        <v>43896.74518518518</v>
      </c>
      <c r="B17773" s="8" t="str">
        <f>HYPERLINK("https://twitter.com/asundamai","@asundamai")</f>
        <v>@asundamai</v>
      </c>
      <c r="C17773" s="8" t="s">
        <v>5103</v>
      </c>
      <c r="D17773" s="8">
        <v>32</v>
      </c>
      <c r="E17773" s="8">
        <v>0</v>
      </c>
      <c r="F17773" s="8">
        <v>1922</v>
      </c>
    </row>
    <row r="17774" spans="1:6" ht="12.75">
      <c r="A17774" s="8">
        <v>43896.745162037041</v>
      </c>
      <c r="B17774" s="8" t="str">
        <f>HYPERLINK("https://twitter.com/diana_tyaz","@diana_tyaz")</f>
        <v>@diana_tyaz</v>
      </c>
      <c r="C17774" s="8" t="s">
        <v>5103</v>
      </c>
      <c r="D17774" s="8">
        <v>32</v>
      </c>
      <c r="E17774" s="8">
        <v>0</v>
      </c>
      <c r="F17774" s="8">
        <v>67</v>
      </c>
    </row>
    <row r="17775" spans="1:6" ht="12.75">
      <c r="A17775" s="8">
        <v>43896.745162037041</v>
      </c>
      <c r="B17775" s="8" t="str">
        <f>HYPERLINK("https://twitter.com/Dulkenyot14","@Dulkenyot14")</f>
        <v>@Dulkenyot14</v>
      </c>
      <c r="C17775" s="8" t="s">
        <v>7163</v>
      </c>
      <c r="D17775" s="8">
        <v>0</v>
      </c>
      <c r="E17775" s="8">
        <v>1</v>
      </c>
      <c r="F17775" s="8">
        <v>867</v>
      </c>
    </row>
    <row r="17776" spans="1:6" ht="12.75">
      <c r="A17776" s="8">
        <v>43896.745138888888</v>
      </c>
      <c r="B17776" s="8" t="str">
        <f>HYPERLINK("https://twitter.com/iam_dioo","@iam_dioo")</f>
        <v>@iam_dioo</v>
      </c>
      <c r="C17776" s="8" t="s">
        <v>7164</v>
      </c>
      <c r="D17776" s="8">
        <v>0</v>
      </c>
      <c r="E17776" s="8">
        <v>0</v>
      </c>
      <c r="F17776" s="8">
        <v>314</v>
      </c>
    </row>
    <row r="17777" spans="1:6" ht="12.75">
      <c r="A17777" s="8">
        <v>43896.744837962964</v>
      </c>
      <c r="B17777" s="8" t="str">
        <f>HYPERLINK("https://twitter.com/Luciferouz","@Luciferouz")</f>
        <v>@Luciferouz</v>
      </c>
      <c r="C17777" s="8" t="s">
        <v>5103</v>
      </c>
      <c r="D17777" s="8">
        <v>32</v>
      </c>
      <c r="E17777" s="8">
        <v>0</v>
      </c>
      <c r="F17777" s="8">
        <v>252</v>
      </c>
    </row>
    <row r="17778" spans="1:6" ht="12.75">
      <c r="A17778" s="8">
        <v>43896.744722222225</v>
      </c>
      <c r="B17778" s="8" t="str">
        <f>HYPERLINK("https://twitter.com/Randu_Terrace","@Randu_Terrace")</f>
        <v>@Randu_Terrace</v>
      </c>
      <c r="C17778" s="8" t="s">
        <v>5103</v>
      </c>
      <c r="D17778" s="8">
        <v>32</v>
      </c>
      <c r="E17778" s="8">
        <v>0</v>
      </c>
      <c r="F17778" s="8">
        <v>72</v>
      </c>
    </row>
    <row r="17779" spans="1:6" ht="12.75">
      <c r="A17779" s="8">
        <v>43896.744444444441</v>
      </c>
      <c r="B17779" s="8" t="str">
        <f>HYPERLINK("https://twitter.com/hilmanmunawar","@hilmanmunawar")</f>
        <v>@hilmanmunawar</v>
      </c>
      <c r="C17779" s="8" t="s">
        <v>5103</v>
      </c>
      <c r="D17779" s="8">
        <v>32</v>
      </c>
      <c r="E17779" s="8">
        <v>0</v>
      </c>
      <c r="F17779" s="8">
        <v>188</v>
      </c>
    </row>
    <row r="17780" spans="1:6" ht="12.75">
      <c r="A17780" s="8">
        <v>43896.744120370371</v>
      </c>
      <c r="B17780" s="8" t="str">
        <f>HYPERLINK("https://twitter.com/ISIS_Balik_NO","@ISIS_Balik_NO")</f>
        <v>@ISIS_Balik_NO</v>
      </c>
      <c r="C17780" s="8" t="s">
        <v>7165</v>
      </c>
      <c r="D17780" s="8">
        <v>19</v>
      </c>
      <c r="E17780" s="8">
        <v>0</v>
      </c>
      <c r="F17780" s="8">
        <v>6130</v>
      </c>
    </row>
    <row r="17781" spans="1:6" ht="12.75">
      <c r="A17781" s="8">
        <v>43896.744016203702</v>
      </c>
      <c r="B17781" s="8" t="str">
        <f>HYPERLINK("https://twitter.com/abdghnyy","@abdghnyy")</f>
        <v>@abdghnyy</v>
      </c>
      <c r="C17781" s="8" t="s">
        <v>5103</v>
      </c>
      <c r="D17781" s="8">
        <v>32</v>
      </c>
      <c r="E17781" s="8">
        <v>0</v>
      </c>
      <c r="F17781" s="8">
        <v>388</v>
      </c>
    </row>
    <row r="17782" spans="1:6" ht="12.75">
      <c r="A17782" s="8">
        <v>43896.743993055556</v>
      </c>
      <c r="B17782" s="8" t="str">
        <f>HYPERLINK("https://twitter.com/wni_jmsri","@wni_jmsri")</f>
        <v>@wni_jmsri</v>
      </c>
      <c r="C17782" s="8" t="s">
        <v>7166</v>
      </c>
      <c r="D17782" s="8">
        <v>4806</v>
      </c>
      <c r="E17782" s="8">
        <v>0</v>
      </c>
      <c r="F17782" s="8">
        <v>201</v>
      </c>
    </row>
    <row r="17783" spans="1:6" ht="12.75">
      <c r="A17783" s="8">
        <v>43896.743842592594</v>
      </c>
      <c r="B17783" s="8" t="str">
        <f>HYPERLINK("https://twitter.com/CherryRnld","@CherryRnld")</f>
        <v>@CherryRnld</v>
      </c>
      <c r="C17783" s="8" t="s">
        <v>5103</v>
      </c>
      <c r="D17783" s="8">
        <v>32</v>
      </c>
      <c r="E17783" s="8">
        <v>0</v>
      </c>
      <c r="F17783" s="8">
        <v>645</v>
      </c>
    </row>
    <row r="17784" spans="1:6" ht="12.75">
      <c r="A17784" s="8">
        <v>43896.743564814809</v>
      </c>
      <c r="B17784" s="8" t="str">
        <f t="shared" ref="B17784:B17785" si="259">HYPERLINK("https://twitter.com/ISIS_Balik_NO","@ISIS_Balik_NO")</f>
        <v>@ISIS_Balik_NO</v>
      </c>
      <c r="C17784" s="8" t="s">
        <v>7167</v>
      </c>
      <c r="D17784" s="8">
        <v>67</v>
      </c>
      <c r="E17784" s="8">
        <v>0</v>
      </c>
      <c r="F17784" s="8">
        <v>6130</v>
      </c>
    </row>
    <row r="17785" spans="1:6" ht="12.75">
      <c r="A17785" s="8">
        <v>43896.743379629625</v>
      </c>
      <c r="B17785" s="8" t="str">
        <f t="shared" si="259"/>
        <v>@ISIS_Balik_NO</v>
      </c>
      <c r="C17785" s="8" t="s">
        <v>7168</v>
      </c>
      <c r="D17785" s="8">
        <v>19</v>
      </c>
      <c r="E17785" s="8">
        <v>0</v>
      </c>
      <c r="F17785" s="8">
        <v>6130</v>
      </c>
    </row>
    <row r="17786" spans="1:6" ht="12.75">
      <c r="A17786" s="8">
        <v>43896.743101851855</v>
      </c>
      <c r="B17786" s="8" t="str">
        <f>HYPERLINK("https://twitter.com/Darmalik3","@Darmalik3")</f>
        <v>@Darmalik3</v>
      </c>
      <c r="C17786" s="8" t="s">
        <v>7169</v>
      </c>
      <c r="D17786" s="8">
        <v>1</v>
      </c>
      <c r="E17786" s="8">
        <v>0</v>
      </c>
      <c r="F17786" s="8">
        <v>1732</v>
      </c>
    </row>
    <row r="17787" spans="1:6" ht="12.75">
      <c r="A17787" s="8">
        <v>43896.742905092593</v>
      </c>
      <c r="B17787" s="8" t="str">
        <f>HYPERLINK("https://twitter.com/negativisme","@negativisme")</f>
        <v>@negativisme</v>
      </c>
      <c r="C17787" s="8" t="s">
        <v>7170</v>
      </c>
      <c r="D17787" s="8">
        <v>32</v>
      </c>
      <c r="E17787" s="8">
        <v>25</v>
      </c>
      <c r="F17787" s="8">
        <v>157651</v>
      </c>
    </row>
    <row r="17788" spans="1:6" ht="12.75">
      <c r="A17788" s="8">
        <v>43896.742754629631</v>
      </c>
      <c r="B17788" s="8" t="str">
        <f>HYPERLINK("https://twitter.com/erviinms","@erviinms")</f>
        <v>@erviinms</v>
      </c>
      <c r="C17788" s="8" t="s">
        <v>2116</v>
      </c>
      <c r="D17788" s="8">
        <v>20</v>
      </c>
      <c r="E17788" s="8">
        <v>0</v>
      </c>
      <c r="F17788" s="8">
        <v>975</v>
      </c>
    </row>
    <row r="17789" spans="1:6" ht="12.75">
      <c r="A17789" s="8">
        <v>43896.742627314816</v>
      </c>
      <c r="B17789" s="8" t="str">
        <f>HYPERLINK("https://twitter.com/itsmeu","@itsmeu")</f>
        <v>@itsmeu</v>
      </c>
      <c r="C17789" s="8" t="s">
        <v>7171</v>
      </c>
      <c r="D17789" s="8">
        <v>0</v>
      </c>
      <c r="E17789" s="8">
        <v>0</v>
      </c>
      <c r="F17789" s="8">
        <v>740</v>
      </c>
    </row>
    <row r="17790" spans="1:6" ht="12.75">
      <c r="A17790" s="8">
        <v>43896.742615740739</v>
      </c>
      <c r="B17790" s="8" t="str">
        <f>HYPERLINK("https://twitter.com/ISIS_Balik_NO","@ISIS_Balik_NO")</f>
        <v>@ISIS_Balik_NO</v>
      </c>
      <c r="C17790" s="8" t="s">
        <v>7172</v>
      </c>
      <c r="D17790" s="8">
        <v>12</v>
      </c>
      <c r="E17790" s="8">
        <v>0</v>
      </c>
      <c r="F17790" s="8">
        <v>6130</v>
      </c>
    </row>
    <row r="17791" spans="1:6" ht="12.75">
      <c r="A17791" s="8">
        <v>43896.742592592593</v>
      </c>
      <c r="B17791" s="8" t="str">
        <f>HYPERLINK("https://twitter.com/HarryDwiSaputra","@HarryDwiSaputra")</f>
        <v>@HarryDwiSaputra</v>
      </c>
      <c r="C17791" s="8" t="s">
        <v>7152</v>
      </c>
      <c r="D17791" s="8">
        <v>4</v>
      </c>
      <c r="E17791" s="8">
        <v>0</v>
      </c>
      <c r="F17791" s="8">
        <v>92</v>
      </c>
    </row>
    <row r="17792" spans="1:6" ht="12.75">
      <c r="A17792" s="8">
        <v>43896.742361111115</v>
      </c>
      <c r="B17792" s="8" t="str">
        <f>HYPERLINK("https://twitter.com/ISIS_Balik_NO","@ISIS_Balik_NO")</f>
        <v>@ISIS_Balik_NO</v>
      </c>
      <c r="C17792" s="8" t="s">
        <v>7173</v>
      </c>
      <c r="D17792" s="8">
        <v>89</v>
      </c>
      <c r="E17792" s="8">
        <v>0</v>
      </c>
      <c r="F17792" s="8">
        <v>6130</v>
      </c>
    </row>
    <row r="17793" spans="1:6" ht="12.75">
      <c r="A17793" s="8">
        <v>43896.742083333331</v>
      </c>
      <c r="B17793" s="8" t="str">
        <f>HYPERLINK("https://twitter.com/fazafaiz","@fazafaiz")</f>
        <v>@fazafaiz</v>
      </c>
      <c r="C17793" s="8" t="s">
        <v>7174</v>
      </c>
      <c r="D17793" s="8">
        <v>0</v>
      </c>
      <c r="E17793" s="8">
        <v>0</v>
      </c>
      <c r="F17793" s="8">
        <v>346</v>
      </c>
    </row>
    <row r="17794" spans="1:6" ht="12.75">
      <c r="A17794" s="8">
        <v>43896.741759259261</v>
      </c>
      <c r="B17794" s="8" t="str">
        <f>HYPERLINK("https://twitter.com/banglintas","@banglintas")</f>
        <v>@banglintas</v>
      </c>
      <c r="C17794" s="8" t="s">
        <v>7175</v>
      </c>
      <c r="D17794" s="8">
        <v>0</v>
      </c>
      <c r="E17794" s="8">
        <v>0</v>
      </c>
      <c r="F17794" s="8">
        <v>56</v>
      </c>
    </row>
    <row r="17795" spans="1:6" ht="12.75">
      <c r="A17795" s="8">
        <v>43896.741689814815</v>
      </c>
      <c r="B17795" s="8" t="str">
        <f>HYPERLINK("https://twitter.com/Pwsari__","@Pwsari__")</f>
        <v>@Pwsari__</v>
      </c>
      <c r="C17795" s="8" t="s">
        <v>2116</v>
      </c>
      <c r="D17795" s="8">
        <v>20</v>
      </c>
      <c r="E17795" s="8">
        <v>0</v>
      </c>
      <c r="F17795" s="8">
        <v>186</v>
      </c>
    </row>
    <row r="17796" spans="1:6" ht="12.75">
      <c r="A17796" s="8">
        <v>43896.741400462968</v>
      </c>
      <c r="B17796" s="8" t="str">
        <f>HYPERLINK("https://twitter.com/AriebelleP","@AriebelleP")</f>
        <v>@AriebelleP</v>
      </c>
      <c r="C17796" s="8" t="s">
        <v>2116</v>
      </c>
      <c r="D17796" s="8">
        <v>20</v>
      </c>
      <c r="E17796" s="8">
        <v>0</v>
      </c>
      <c r="F17796" s="8">
        <v>4391</v>
      </c>
    </row>
    <row r="17797" spans="1:6" ht="12.75">
      <c r="A17797" s="8">
        <v>43896.740983796291</v>
      </c>
      <c r="B17797" s="8" t="str">
        <f>HYPERLINK("https://twitter.com/echeeen","@echeeen")</f>
        <v>@echeeen</v>
      </c>
      <c r="C17797" s="8" t="s">
        <v>2116</v>
      </c>
      <c r="D17797" s="8">
        <v>20</v>
      </c>
      <c r="E17797" s="8">
        <v>0</v>
      </c>
      <c r="F17797" s="8">
        <v>385</v>
      </c>
    </row>
    <row r="17798" spans="1:6" ht="12.75">
      <c r="A17798" s="8">
        <v>43896.740624999999</v>
      </c>
      <c r="B17798" s="8" t="str">
        <f>HYPERLINK("https://twitter.com/Antara_Jabar","@Antara_Jabar")</f>
        <v>@Antara_Jabar</v>
      </c>
      <c r="C17798" s="8" t="s">
        <v>7176</v>
      </c>
      <c r="D17798" s="8">
        <v>0</v>
      </c>
      <c r="E17798" s="8">
        <v>0</v>
      </c>
      <c r="F17798" s="8">
        <v>1662</v>
      </c>
    </row>
    <row r="17799" spans="1:6" ht="12.75">
      <c r="A17799" s="8">
        <v>43896.740150462967</v>
      </c>
      <c r="B17799" s="8" t="str">
        <f>HYPERLINK("https://twitter.com/Iemonunnie","@Iemonunnie")</f>
        <v>@Iemonunnie</v>
      </c>
      <c r="C17799" s="8" t="s">
        <v>2116</v>
      </c>
      <c r="D17799" s="8">
        <v>20</v>
      </c>
      <c r="E17799" s="8">
        <v>0</v>
      </c>
      <c r="F17799" s="8">
        <v>137</v>
      </c>
    </row>
    <row r="17800" spans="1:6" ht="12.75">
      <c r="A17800" s="8">
        <v>43896.739942129629</v>
      </c>
      <c r="B17800" s="8" t="str">
        <f>HYPERLINK("https://twitter.com/kitaorangbaik","@kitaorangbaik")</f>
        <v>@kitaorangbaik</v>
      </c>
      <c r="C17800" s="8" t="s">
        <v>7177</v>
      </c>
      <c r="D17800" s="8">
        <v>1</v>
      </c>
      <c r="E17800" s="8">
        <v>1</v>
      </c>
      <c r="F17800" s="8">
        <v>1740</v>
      </c>
    </row>
    <row r="17801" spans="1:6" ht="12.75">
      <c r="A17801" s="8">
        <v>43896.739837962959</v>
      </c>
      <c r="B17801" s="8" t="str">
        <f>HYPERLINK("https://twitter.com/wndynabila","@wndynabila")</f>
        <v>@wndynabila</v>
      </c>
      <c r="C17801" s="8" t="s">
        <v>2116</v>
      </c>
      <c r="D17801" s="8">
        <v>20</v>
      </c>
      <c r="E17801" s="8">
        <v>0</v>
      </c>
      <c r="F17801" s="8">
        <v>380</v>
      </c>
    </row>
    <row r="17802" spans="1:6" ht="12.75">
      <c r="A17802" s="8">
        <v>43896.739618055552</v>
      </c>
      <c r="B17802" s="8" t="str">
        <f>HYPERLINK("https://twitter.com/di_anayu47","@di_anayu47")</f>
        <v>@di_anayu47</v>
      </c>
      <c r="C17802" s="8" t="s">
        <v>2116</v>
      </c>
      <c r="D17802" s="8">
        <v>20</v>
      </c>
      <c r="E17802" s="8">
        <v>0</v>
      </c>
      <c r="F17802" s="8">
        <v>21</v>
      </c>
    </row>
    <row r="17803" spans="1:6" ht="12.75">
      <c r="A17803" s="8">
        <v>43896.739444444444</v>
      </c>
      <c r="B17803" s="8" t="str">
        <f>HYPERLINK("https://twitter.com/SonoraFM92","@SonoraFM92")</f>
        <v>@SonoraFM92</v>
      </c>
      <c r="C17803" s="8" t="s">
        <v>7178</v>
      </c>
      <c r="D17803" s="8">
        <v>0</v>
      </c>
      <c r="E17803" s="8">
        <v>0</v>
      </c>
      <c r="F17803" s="8">
        <v>293495</v>
      </c>
    </row>
    <row r="17804" spans="1:6" ht="12.75">
      <c r="A17804" s="8">
        <v>43896.739432870367</v>
      </c>
      <c r="B17804" s="8" t="str">
        <f>HYPERLINK("https://twitter.com/dewahelga","@dewahelga")</f>
        <v>@dewahelga</v>
      </c>
      <c r="C17804" s="8" t="s">
        <v>7032</v>
      </c>
      <c r="D17804" s="8">
        <v>3</v>
      </c>
      <c r="E17804" s="8">
        <v>0</v>
      </c>
      <c r="F17804" s="8">
        <v>1149</v>
      </c>
    </row>
    <row r="17805" spans="1:6" ht="12.75">
      <c r="A17805" s="8">
        <v>43896.739293981482</v>
      </c>
      <c r="B17805" s="8" t="str">
        <f>HYPERLINK("https://twitter.com/pruwatan","@pruwatan")</f>
        <v>@pruwatan</v>
      </c>
      <c r="C17805" s="8" t="s">
        <v>7179</v>
      </c>
      <c r="D17805" s="8">
        <v>0</v>
      </c>
      <c r="E17805" s="8">
        <v>0</v>
      </c>
      <c r="F17805" s="8">
        <v>1088</v>
      </c>
    </row>
    <row r="17806" spans="1:6" ht="12.75">
      <c r="A17806" s="8">
        <v>43896.73914351852</v>
      </c>
      <c r="B17806" s="8" t="str">
        <f>HYPERLINK("https://twitter.com/miapikxy","@miapikxy")</f>
        <v>@miapikxy</v>
      </c>
      <c r="C17806" s="8" t="s">
        <v>2116</v>
      </c>
      <c r="D17806" s="8">
        <v>20</v>
      </c>
      <c r="E17806" s="8">
        <v>0</v>
      </c>
      <c r="F17806" s="8">
        <v>270</v>
      </c>
    </row>
    <row r="17807" spans="1:6" ht="12.75">
      <c r="A17807" s="8">
        <v>43896.738935185189</v>
      </c>
      <c r="B17807" s="8" t="str">
        <f>HYPERLINK("https://twitter.com/4ndikris","@4ndikris")</f>
        <v>@4ndikris</v>
      </c>
      <c r="C17807" s="8" t="s">
        <v>7097</v>
      </c>
      <c r="D17807" s="8">
        <v>4</v>
      </c>
      <c r="E17807" s="8">
        <v>0</v>
      </c>
      <c r="F17807" s="8">
        <v>465</v>
      </c>
    </row>
    <row r="17808" spans="1:6" ht="12.75">
      <c r="A17808" s="8">
        <v>43896.507233796292</v>
      </c>
      <c r="B17808" s="8" t="str">
        <f>HYPERLINK("https://twitter.com/Joker_SantuyLho","@Joker_SantuyLho")</f>
        <v>@Joker_SantuyLho</v>
      </c>
      <c r="C17808" s="8" t="s">
        <v>2506</v>
      </c>
      <c r="D17808" s="8">
        <v>19</v>
      </c>
      <c r="E17808" s="8">
        <v>0</v>
      </c>
      <c r="F17808" s="8">
        <v>1352</v>
      </c>
    </row>
    <row r="17809" spans="1:6" ht="12.75">
      <c r="A17809" s="8">
        <v>43896.506840277776</v>
      </c>
      <c r="B17809" s="8" t="str">
        <f>HYPERLINK("https://twitter.com/wni_jmsri","@wni_jmsri")</f>
        <v>@wni_jmsri</v>
      </c>
      <c r="C17809" s="8" t="s">
        <v>7180</v>
      </c>
      <c r="D17809" s="8">
        <v>1241</v>
      </c>
      <c r="E17809" s="8">
        <v>0</v>
      </c>
      <c r="F17809" s="8">
        <v>200</v>
      </c>
    </row>
    <row r="17810" spans="1:6" ht="12.75">
      <c r="A17810" s="8">
        <v>43896.506053240737</v>
      </c>
      <c r="B17810" s="8" t="str">
        <f>HYPERLINK("https://twitter.com/TaliUdeng","@TaliUdeng")</f>
        <v>@TaliUdeng</v>
      </c>
      <c r="C17810" s="8" t="s">
        <v>7181</v>
      </c>
      <c r="D17810" s="8">
        <v>0</v>
      </c>
      <c r="E17810" s="8">
        <v>0</v>
      </c>
      <c r="F17810" s="8">
        <v>12318</v>
      </c>
    </row>
    <row r="17811" spans="1:6" ht="12.75">
      <c r="A17811" s="8">
        <v>43896.505868055552</v>
      </c>
      <c r="B17811" s="8" t="str">
        <f>HYPERLINK("https://twitter.com/nukyagie","@nukyagie")</f>
        <v>@nukyagie</v>
      </c>
      <c r="C17811" s="8" t="s">
        <v>7182</v>
      </c>
      <c r="D17811" s="8">
        <v>0</v>
      </c>
      <c r="E17811" s="8">
        <v>0</v>
      </c>
      <c r="F17811" s="8">
        <v>436</v>
      </c>
    </row>
    <row r="17812" spans="1:6" ht="12.75">
      <c r="A17812" s="8">
        <v>43896.504965277782</v>
      </c>
      <c r="B17812" s="8" t="str">
        <f>HYPERLINK("https://twitter.com/leoandalusialeo","@leoandalusialeo")</f>
        <v>@leoandalusialeo</v>
      </c>
      <c r="C17812" s="8" t="s">
        <v>4948</v>
      </c>
      <c r="D17812" s="8">
        <v>38</v>
      </c>
      <c r="E17812" s="8">
        <v>0</v>
      </c>
      <c r="F17812" s="8">
        <v>474</v>
      </c>
    </row>
    <row r="17813" spans="1:6" ht="12.75">
      <c r="A17813" s="8">
        <v>43896.504907407405</v>
      </c>
      <c r="B17813" s="8" t="str">
        <f>HYPERLINK("https://twitter.com/wni_jmsri","@wni_jmsri")</f>
        <v>@wni_jmsri</v>
      </c>
      <c r="C17813" s="8" t="s">
        <v>7183</v>
      </c>
      <c r="D17813" s="8">
        <v>20554</v>
      </c>
      <c r="E17813" s="8">
        <v>0</v>
      </c>
      <c r="F17813" s="8">
        <v>200</v>
      </c>
    </row>
    <row r="17814" spans="1:6" ht="12.75">
      <c r="A17814" s="8">
        <v>43896.502268518518</v>
      </c>
      <c r="B17814" s="8" t="str">
        <f>HYPERLINK("https://twitter.com/MustanginAli3","@MustanginAli3")</f>
        <v>@MustanginAli3</v>
      </c>
      <c r="C17814" s="8" t="s">
        <v>7184</v>
      </c>
      <c r="D17814" s="8">
        <v>0</v>
      </c>
      <c r="E17814" s="8">
        <v>0</v>
      </c>
      <c r="F17814" s="8">
        <v>3</v>
      </c>
    </row>
    <row r="17815" spans="1:6" ht="12.75">
      <c r="A17815" s="8">
        <v>43896.502256944441</v>
      </c>
      <c r="B17815" s="8" t="str">
        <f>HYPERLINK("https://twitter.com/aselisnack","@aselisnack")</f>
        <v>@aselisnack</v>
      </c>
      <c r="C17815" s="8" t="s">
        <v>7185</v>
      </c>
      <c r="D17815" s="8">
        <v>0</v>
      </c>
      <c r="E17815" s="8">
        <v>0</v>
      </c>
      <c r="F17815" s="8">
        <v>1520</v>
      </c>
    </row>
    <row r="17816" spans="1:6" ht="12.75">
      <c r="A17816" s="8">
        <v>43896.501250000001</v>
      </c>
      <c r="B17816" s="8" t="str">
        <f>HYPERLINK("https://twitter.com/wni_jmsri","@wni_jmsri")</f>
        <v>@wni_jmsri</v>
      </c>
      <c r="C17816" s="8" t="s">
        <v>7186</v>
      </c>
      <c r="D17816" s="8">
        <v>12139</v>
      </c>
      <c r="E17816" s="8">
        <v>0</v>
      </c>
      <c r="F17816" s="8">
        <v>200</v>
      </c>
    </row>
    <row r="17817" spans="1:6" ht="12.75">
      <c r="A17817" s="8">
        <v>43896.500381944439</v>
      </c>
      <c r="B17817" s="8" t="str">
        <f>HYPERLINK("https://twitter.com/fleureeest","@fleureeest")</f>
        <v>@fleureeest</v>
      </c>
      <c r="C17817" s="8" t="s">
        <v>7187</v>
      </c>
      <c r="D17817" s="8">
        <v>0</v>
      </c>
      <c r="E17817" s="8">
        <v>0</v>
      </c>
      <c r="F17817" s="8">
        <v>4482</v>
      </c>
    </row>
    <row r="17818" spans="1:6" ht="12.75">
      <c r="A17818" s="8">
        <v>43896.498877314814</v>
      </c>
      <c r="B17818" s="8" t="str">
        <f>HYPERLINK("https://twitter.com/monakasandwich","@monakasandwich")</f>
        <v>@monakasandwich</v>
      </c>
      <c r="C17818" s="8" t="s">
        <v>7188</v>
      </c>
      <c r="D17818" s="8">
        <v>0</v>
      </c>
      <c r="E17818" s="8">
        <v>0</v>
      </c>
      <c r="F17818" s="8">
        <v>74</v>
      </c>
    </row>
    <row r="17819" spans="1:6" ht="12.75">
      <c r="A17819" s="8">
        <v>43896.496840277774</v>
      </c>
      <c r="B17819" s="8" t="str">
        <f>HYPERLINK("https://twitter.com/desmonebenezer2","@desmonebenezer2")</f>
        <v>@desmonebenezer2</v>
      </c>
      <c r="C17819" s="8" t="s">
        <v>7189</v>
      </c>
      <c r="D17819" s="8">
        <v>62</v>
      </c>
      <c r="E17819" s="8">
        <v>0</v>
      </c>
      <c r="F17819" s="8">
        <v>112</v>
      </c>
    </row>
    <row r="17820" spans="1:6" ht="12.75">
      <c r="A17820" s="8">
        <v>43896.496770833328</v>
      </c>
      <c r="B17820" s="8" t="str">
        <f>HYPERLINK("https://twitter.com/daviani_sendy","@daviani_sendy")</f>
        <v>@daviani_sendy</v>
      </c>
      <c r="C17820" s="8" t="s">
        <v>7190</v>
      </c>
      <c r="D17820" s="8">
        <v>0</v>
      </c>
      <c r="E17820" s="8">
        <v>0</v>
      </c>
      <c r="F17820" s="8">
        <v>4</v>
      </c>
    </row>
    <row r="17821" spans="1:6" ht="12.75">
      <c r="A17821" s="8">
        <v>43896.495717592596</v>
      </c>
      <c r="B17821" s="8" t="str">
        <f>HYPERLINK("https://twitter.com/Hegie_bae","@Hegie_bae")</f>
        <v>@Hegie_bae</v>
      </c>
      <c r="C17821" s="8" t="s">
        <v>6636</v>
      </c>
      <c r="D17821" s="8">
        <v>8</v>
      </c>
      <c r="E17821" s="8">
        <v>0</v>
      </c>
      <c r="F17821" s="8">
        <v>403</v>
      </c>
    </row>
    <row r="17822" spans="1:6" ht="12.75">
      <c r="A17822" s="8">
        <v>43896.495324074072</v>
      </c>
      <c r="B17822" s="8" t="str">
        <f>HYPERLINK("https://twitter.com/KTabahawa","@KTabahawa")</f>
        <v>@KTabahawa</v>
      </c>
      <c r="C17822" s="8" t="s">
        <v>6002</v>
      </c>
      <c r="D17822" s="8">
        <v>10</v>
      </c>
      <c r="E17822" s="8">
        <v>0</v>
      </c>
      <c r="F17822" s="8">
        <v>981</v>
      </c>
    </row>
    <row r="17823" spans="1:6" ht="12.75">
      <c r="A17823" s="8">
        <v>43896.494629629626</v>
      </c>
      <c r="B17823" s="8" t="str">
        <f>HYPERLINK("https://twitter.com/uulalaland","@uulalaland")</f>
        <v>@uulalaland</v>
      </c>
      <c r="C17823" s="8" t="s">
        <v>7191</v>
      </c>
      <c r="D17823" s="8">
        <v>0</v>
      </c>
      <c r="E17823" s="8">
        <v>0</v>
      </c>
      <c r="F17823" s="8">
        <v>4149</v>
      </c>
    </row>
    <row r="17824" spans="1:6" ht="12.75">
      <c r="A17824" s="8">
        <v>43896.494594907403</v>
      </c>
      <c r="B17824" s="8" t="str">
        <f>HYPERLINK("https://twitter.com/Batu_Karang69","@Batu_Karang69")</f>
        <v>@Batu_Karang69</v>
      </c>
      <c r="C17824" s="8" t="s">
        <v>6636</v>
      </c>
      <c r="D17824" s="8">
        <v>8</v>
      </c>
      <c r="E17824" s="8">
        <v>0</v>
      </c>
      <c r="F17824" s="8">
        <v>197</v>
      </c>
    </row>
    <row r="17825" spans="1:6" ht="12.75">
      <c r="A17825" s="8">
        <v>43896.494490740741</v>
      </c>
      <c r="B17825" s="8" t="str">
        <f>HYPERLINK("https://twitter.com/arian70","@arian70")</f>
        <v>@arian70</v>
      </c>
      <c r="C17825" s="8" t="s">
        <v>7192</v>
      </c>
      <c r="D17825" s="8">
        <v>4</v>
      </c>
      <c r="E17825" s="8">
        <v>0</v>
      </c>
      <c r="F17825" s="8">
        <v>72</v>
      </c>
    </row>
    <row r="17826" spans="1:6" ht="12.75">
      <c r="A17826" s="8">
        <v>43896.494456018518</v>
      </c>
      <c r="B17826" s="8" t="str">
        <f>HYPERLINK("https://twitter.com/INAinChicago","@INAinChicago")</f>
        <v>@INAinChicago</v>
      </c>
      <c r="C17826" s="8" t="s">
        <v>7193</v>
      </c>
      <c r="D17826" s="8">
        <v>0</v>
      </c>
      <c r="E17826" s="8">
        <v>0</v>
      </c>
      <c r="F17826" s="8">
        <v>999</v>
      </c>
    </row>
    <row r="17827" spans="1:6" ht="12.75">
      <c r="A17827" s="8">
        <v>43896.494444444441</v>
      </c>
      <c r="B17827" s="8" t="str">
        <f>HYPERLINK("https://twitter.com/KBawaslu","@KBawaslu")</f>
        <v>@KBawaslu</v>
      </c>
      <c r="C17827" s="8" t="s">
        <v>6219</v>
      </c>
      <c r="D17827" s="8">
        <v>2</v>
      </c>
      <c r="E17827" s="8">
        <v>0</v>
      </c>
      <c r="F17827" s="8">
        <v>2</v>
      </c>
    </row>
    <row r="17828" spans="1:6" ht="12.75">
      <c r="A17828" s="8">
        <v>43896.49381944444</v>
      </c>
      <c r="B17828" s="8" t="str">
        <f>HYPERLINK("https://twitter.com/sikecilmarmut","@sikecilmarmut")</f>
        <v>@sikecilmarmut</v>
      </c>
      <c r="C17828" s="8" t="s">
        <v>7194</v>
      </c>
      <c r="D17828" s="8">
        <v>43</v>
      </c>
      <c r="E17828" s="8">
        <v>0</v>
      </c>
      <c r="F17828" s="8">
        <v>2265</v>
      </c>
    </row>
    <row r="17829" spans="1:6" ht="12.75">
      <c r="A17829" s="8">
        <v>43896.493437500001</v>
      </c>
      <c r="B17829" s="8" t="str">
        <f>HYPERLINK("https://twitter.com/Ferdyan_SN","@Ferdyan_SN")</f>
        <v>@Ferdyan_SN</v>
      </c>
      <c r="C17829" s="8" t="s">
        <v>7195</v>
      </c>
      <c r="D17829" s="8">
        <v>0</v>
      </c>
      <c r="E17829" s="8">
        <v>0</v>
      </c>
      <c r="F17829" s="8">
        <v>279</v>
      </c>
    </row>
    <row r="17830" spans="1:6" ht="12.75">
      <c r="A17830" s="8">
        <v>43896.493159722224</v>
      </c>
      <c r="B17830" s="8" t="str">
        <f>HYPERLINK("https://twitter.com/TurnBackWahabi","@TurnBackWahabi")</f>
        <v>@TurnBackWahabi</v>
      </c>
      <c r="C17830" s="8" t="s">
        <v>6002</v>
      </c>
      <c r="D17830" s="8">
        <v>10</v>
      </c>
      <c r="E17830" s="8">
        <v>0</v>
      </c>
      <c r="F17830" s="8">
        <v>389</v>
      </c>
    </row>
    <row r="17831" spans="1:6" ht="12.75">
      <c r="A17831" s="8">
        <v>43896.493113425924</v>
      </c>
      <c r="B17831" s="8" t="str">
        <f>HYPERLINK("https://twitter.com/SindirDgnSarkas","@SindirDgnSarkas")</f>
        <v>@SindirDgnSarkas</v>
      </c>
      <c r="C17831" s="8" t="s">
        <v>7196</v>
      </c>
      <c r="D17831" s="8">
        <v>0</v>
      </c>
      <c r="E17831" s="8">
        <v>0</v>
      </c>
      <c r="F17831" s="8">
        <v>1529</v>
      </c>
    </row>
    <row r="17832" spans="1:6" ht="12.75">
      <c r="A17832" s="8">
        <v>43896.493055555555</v>
      </c>
      <c r="B17832" s="8" t="str">
        <f>HYPERLINK("https://twitter.com/sikecilmarmut","@sikecilmarmut")</f>
        <v>@sikecilmarmut</v>
      </c>
      <c r="C17832" s="8" t="s">
        <v>7197</v>
      </c>
      <c r="D17832" s="8">
        <v>97</v>
      </c>
      <c r="E17832" s="8">
        <v>0</v>
      </c>
      <c r="F17832" s="8">
        <v>2265</v>
      </c>
    </row>
    <row r="17833" spans="1:6" ht="12.75">
      <c r="A17833" s="8">
        <v>43896.493055555555</v>
      </c>
      <c r="B17833" s="8" t="str">
        <f>HYPERLINK("https://twitter.com/naufalpry","@naufalpry")</f>
        <v>@naufalpry</v>
      </c>
      <c r="C17833" s="8" t="s">
        <v>7198</v>
      </c>
      <c r="D17833" s="8">
        <v>2</v>
      </c>
      <c r="E17833" s="8">
        <v>0</v>
      </c>
      <c r="F17833" s="8">
        <v>304</v>
      </c>
    </row>
    <row r="17834" spans="1:6" ht="12.75">
      <c r="A17834" s="8">
        <v>43896.492650462962</v>
      </c>
      <c r="B17834" s="8" t="str">
        <f>HYPERLINK("https://twitter.com/hi_maluku","@hi_maluku")</f>
        <v>@hi_maluku</v>
      </c>
      <c r="C17834" s="8" t="s">
        <v>7199</v>
      </c>
      <c r="D17834" s="8">
        <v>0</v>
      </c>
      <c r="E17834" s="8">
        <v>0</v>
      </c>
      <c r="F17834" s="8">
        <v>6</v>
      </c>
    </row>
    <row r="17835" spans="1:6" ht="12.75">
      <c r="A17835" s="8">
        <v>43896.491111111114</v>
      </c>
      <c r="B17835" s="8" t="str">
        <f>HYPERLINK("https://twitter.com/camabafebugm","@camabafebugm")</f>
        <v>@camabafebugm</v>
      </c>
      <c r="C17835" s="8" t="s">
        <v>7200</v>
      </c>
      <c r="D17835" s="8">
        <v>0</v>
      </c>
      <c r="E17835" s="8">
        <v>0</v>
      </c>
      <c r="F17835" s="8">
        <v>3439</v>
      </c>
    </row>
    <row r="17836" spans="1:6" ht="12.75">
      <c r="A17836" s="8">
        <v>43896.490914351853</v>
      </c>
      <c r="B17836" s="8" t="str">
        <f>HYPERLINK("https://twitter.com/bobbyrppurba","@bobbyrppurba")</f>
        <v>@bobbyrppurba</v>
      </c>
      <c r="C17836" s="8" t="s">
        <v>6634</v>
      </c>
      <c r="D17836" s="8">
        <v>3</v>
      </c>
      <c r="E17836" s="8">
        <v>0</v>
      </c>
      <c r="F17836" s="8">
        <v>877</v>
      </c>
    </row>
    <row r="17837" spans="1:6" ht="12.75">
      <c r="A17837" s="8">
        <v>43896.490879629629</v>
      </c>
      <c r="B17837" s="8" t="str">
        <f>HYPERLINK("https://twitter.com/kjridubai","@kjridubai")</f>
        <v>@kjridubai</v>
      </c>
      <c r="C17837" s="8" t="s">
        <v>3132</v>
      </c>
      <c r="D17837" s="8">
        <v>114</v>
      </c>
      <c r="E17837" s="8">
        <v>0</v>
      </c>
      <c r="F17837" s="8">
        <v>1521</v>
      </c>
    </row>
    <row r="17838" spans="1:6" ht="12.75">
      <c r="A17838" s="8">
        <v>43896.489988425921</v>
      </c>
      <c r="B17838" s="8" t="str">
        <f>HYPERLINK("https://twitter.com/justbadrun07","@justbadrun07")</f>
        <v>@justbadrun07</v>
      </c>
      <c r="C17838" s="8" t="s">
        <v>7198</v>
      </c>
      <c r="D17838" s="8">
        <v>2</v>
      </c>
      <c r="E17838" s="8">
        <v>0</v>
      </c>
      <c r="F17838" s="8">
        <v>368</v>
      </c>
    </row>
    <row r="17839" spans="1:6" ht="12.75">
      <c r="A17839" s="8">
        <v>43896.489560185189</v>
      </c>
      <c r="B17839" s="8" t="str">
        <f>HYPERLINK("https://twitter.com/sintasdotco","@sintasdotco")</f>
        <v>@sintasdotco</v>
      </c>
      <c r="C17839" s="8" t="s">
        <v>7201</v>
      </c>
      <c r="D17839" s="8">
        <v>2</v>
      </c>
      <c r="E17839" s="8">
        <v>0</v>
      </c>
      <c r="F17839" s="8">
        <v>1</v>
      </c>
    </row>
    <row r="17840" spans="1:6" ht="12.75">
      <c r="A17840" s="8">
        <v>43896.489120370374</v>
      </c>
      <c r="B17840" s="8" t="str">
        <f>HYPERLINK("https://twitter.com/PolitikToday","@PolitikToday")</f>
        <v>@PolitikToday</v>
      </c>
      <c r="C17840" s="8" t="s">
        <v>7202</v>
      </c>
      <c r="D17840" s="8">
        <v>0</v>
      </c>
      <c r="E17840" s="8">
        <v>1</v>
      </c>
      <c r="F17840" s="8">
        <v>7150</v>
      </c>
    </row>
    <row r="17841" spans="1:6" ht="12.75">
      <c r="A17841" s="8">
        <v>43896.488969907412</v>
      </c>
      <c r="B17841" s="8" t="str">
        <f>HYPERLINK("https://twitter.com/lanhudiee","@lanhudiee")</f>
        <v>@lanhudiee</v>
      </c>
      <c r="C17841" s="8" t="s">
        <v>2506</v>
      </c>
      <c r="D17841" s="8">
        <v>19</v>
      </c>
      <c r="E17841" s="8">
        <v>0</v>
      </c>
      <c r="F17841" s="8">
        <v>558</v>
      </c>
    </row>
    <row r="17842" spans="1:6" ht="12.75">
      <c r="A17842" s="8">
        <v>43896.488587962958</v>
      </c>
      <c r="B17842" s="8" t="str">
        <f>HYPERLINK("https://twitter.com/Rifky040","@Rifky040")</f>
        <v>@Rifky040</v>
      </c>
      <c r="C17842" s="8" t="s">
        <v>7203</v>
      </c>
      <c r="D17842" s="8">
        <v>0</v>
      </c>
      <c r="E17842" s="8">
        <v>0</v>
      </c>
      <c r="F17842" s="8">
        <v>29</v>
      </c>
    </row>
    <row r="17843" spans="1:6" ht="12.75">
      <c r="A17843" s="8">
        <v>43896.48841435185</v>
      </c>
      <c r="B17843" s="8" t="str">
        <f>HYPERLINK("https://twitter.com/PrijaRabbani_","@PrijaRabbani_")</f>
        <v>@PrijaRabbani_</v>
      </c>
      <c r="C17843" s="8" t="s">
        <v>7204</v>
      </c>
      <c r="D17843" s="8">
        <v>0</v>
      </c>
      <c r="E17843" s="8">
        <v>0</v>
      </c>
      <c r="F17843" s="8">
        <v>692</v>
      </c>
    </row>
    <row r="17844" spans="1:6" ht="12.75">
      <c r="A17844" s="8">
        <v>43896.488206018519</v>
      </c>
      <c r="B17844" s="8" t="str">
        <f>HYPERLINK("https://twitter.com/Alie_Fahnoor","@Alie_Fahnoor")</f>
        <v>@Alie_Fahnoor</v>
      </c>
      <c r="C17844" s="8" t="s">
        <v>5943</v>
      </c>
      <c r="D17844" s="8">
        <v>1</v>
      </c>
      <c r="E17844" s="8">
        <v>0</v>
      </c>
      <c r="F17844" s="8">
        <v>461</v>
      </c>
    </row>
    <row r="17845" spans="1:6" ht="12.75">
      <c r="A17845" s="8">
        <v>43896.487870370373</v>
      </c>
      <c r="B17845" s="8" t="str">
        <f>HYPERLINK("https://twitter.com/yusron_dc","@yusron_dc")</f>
        <v>@yusron_dc</v>
      </c>
      <c r="C17845" s="8" t="s">
        <v>3132</v>
      </c>
      <c r="D17845" s="8">
        <v>114</v>
      </c>
      <c r="E17845" s="8">
        <v>0</v>
      </c>
      <c r="F17845" s="8">
        <v>957</v>
      </c>
    </row>
    <row r="17846" spans="1:6" ht="12.75">
      <c r="A17846" s="8">
        <v>43896.486759259264</v>
      </c>
      <c r="B17846" s="8" t="str">
        <f>HYPERLINK("https://twitter.com/awaHeriwaE","@awaHeriwaE")</f>
        <v>@awaHeriwaE</v>
      </c>
      <c r="C17846" s="8" t="s">
        <v>7205</v>
      </c>
      <c r="D17846" s="8">
        <v>0</v>
      </c>
      <c r="E17846" s="8">
        <v>0</v>
      </c>
      <c r="F17846" s="8">
        <v>56</v>
      </c>
    </row>
    <row r="17847" spans="1:6" ht="12.75">
      <c r="A17847" s="8">
        <v>43896.485613425924</v>
      </c>
      <c r="B17847" s="8" t="str">
        <f>HYPERLINK("https://twitter.com/fans_ayanami","@fans_ayanami")</f>
        <v>@fans_ayanami</v>
      </c>
      <c r="C17847" s="8" t="s">
        <v>7136</v>
      </c>
      <c r="D17847" s="8">
        <v>16</v>
      </c>
      <c r="E17847" s="8">
        <v>0</v>
      </c>
      <c r="F17847" s="8">
        <v>463</v>
      </c>
    </row>
    <row r="17848" spans="1:6" ht="12.75">
      <c r="A17848" s="8">
        <v>43896.485601851848</v>
      </c>
      <c r="B17848" s="8" t="str">
        <f>HYPERLINK("https://twitter.com/dedikus10","@dedikus10")</f>
        <v>@dedikus10</v>
      </c>
      <c r="C17848" s="8" t="s">
        <v>7206</v>
      </c>
      <c r="D17848" s="8">
        <v>0</v>
      </c>
      <c r="E17848" s="8">
        <v>0</v>
      </c>
      <c r="F17848" s="8">
        <v>22</v>
      </c>
    </row>
    <row r="17849" spans="1:6" ht="12.75">
      <c r="A17849" s="8">
        <v>43896.48505787037</v>
      </c>
      <c r="B17849" s="8" t="str">
        <f>HYPERLINK("https://twitter.com/BR3K3L3_NY454R","@BR3K3L3_NY454R")</f>
        <v>@BR3K3L3_NY454R</v>
      </c>
      <c r="C17849" s="8" t="s">
        <v>7207</v>
      </c>
      <c r="D17849" s="8">
        <v>0</v>
      </c>
      <c r="E17849" s="8">
        <v>2</v>
      </c>
      <c r="F17849" s="8">
        <v>1169</v>
      </c>
    </row>
    <row r="17850" spans="1:6" ht="12.75">
      <c r="A17850" s="8">
        <v>43896.48228009259</v>
      </c>
      <c r="B17850" s="8" t="str">
        <f>HYPERLINK("https://twitter.com/oldman68982827","@oldman68982827")</f>
        <v>@oldman68982827</v>
      </c>
      <c r="C17850" s="8" t="s">
        <v>7208</v>
      </c>
      <c r="D17850" s="8">
        <v>0</v>
      </c>
      <c r="E17850" s="8">
        <v>0</v>
      </c>
      <c r="F17850" s="8">
        <v>1</v>
      </c>
    </row>
    <row r="17851" spans="1:6" ht="12.75">
      <c r="A17851" s="8">
        <v>43896.482106481482</v>
      </c>
      <c r="B17851" s="8" t="str">
        <f>HYPERLINK("https://twitter.com/bhanwar_dadhich","@bhanwar_dadhich")</f>
        <v>@bhanwar_dadhich</v>
      </c>
      <c r="C17851" s="8" t="s">
        <v>7209</v>
      </c>
      <c r="D17851" s="8">
        <v>1</v>
      </c>
      <c r="E17851" s="8">
        <v>0</v>
      </c>
      <c r="F17851" s="8">
        <v>1857</v>
      </c>
    </row>
    <row r="17852" spans="1:6" ht="12.75">
      <c r="A17852" s="8">
        <v>43896.482071759259</v>
      </c>
      <c r="B17852" s="8" t="str">
        <f>HYPERLINK("https://twitter.com/vidz120299","@vidz120299")</f>
        <v>@vidz120299</v>
      </c>
      <c r="C17852" s="8" t="s">
        <v>6002</v>
      </c>
      <c r="D17852" s="8">
        <v>10</v>
      </c>
      <c r="E17852" s="8">
        <v>0</v>
      </c>
      <c r="F17852" s="8">
        <v>74</v>
      </c>
    </row>
    <row r="17853" spans="1:6" ht="12.75">
      <c r="A17853" s="8">
        <v>43896.481631944444</v>
      </c>
      <c r="B17853" s="8" t="str">
        <f>HYPERLINK("https://twitter.com/1nserttranstv","@1nserttranstv")</f>
        <v>@1nserttranstv</v>
      </c>
      <c r="C17853" s="8" t="s">
        <v>7210</v>
      </c>
      <c r="D17853" s="8">
        <v>0</v>
      </c>
      <c r="E17853" s="8">
        <v>1</v>
      </c>
      <c r="F17853" s="8">
        <v>883703</v>
      </c>
    </row>
    <row r="17854" spans="1:6" ht="12.75">
      <c r="A17854" s="8">
        <v>43896.480578703704</v>
      </c>
      <c r="B17854" s="8" t="str">
        <f>HYPERLINK("https://twitter.com/fuulllan","@fuulllan")</f>
        <v>@fuulllan</v>
      </c>
      <c r="C17854" s="8" t="s">
        <v>7087</v>
      </c>
      <c r="D17854" s="8">
        <v>2</v>
      </c>
      <c r="E17854" s="8">
        <v>0</v>
      </c>
      <c r="F17854" s="8">
        <v>145</v>
      </c>
    </row>
    <row r="17855" spans="1:6" ht="12.75">
      <c r="A17855" s="8">
        <v>43896.479537037041</v>
      </c>
      <c r="B17855" s="8" t="str">
        <f>HYPERLINK("https://twitter.com/m_zawi","@m_zawi")</f>
        <v>@m_zawi</v>
      </c>
      <c r="C17855" s="8" t="s">
        <v>7211</v>
      </c>
      <c r="D17855" s="8">
        <v>0</v>
      </c>
      <c r="E17855" s="8">
        <v>0</v>
      </c>
      <c r="F17855" s="8">
        <v>2</v>
      </c>
    </row>
    <row r="17856" spans="1:6" ht="12.75">
      <c r="A17856" s="8">
        <v>43896.479456018518</v>
      </c>
      <c r="B17856" s="8" t="str">
        <f>HYPERLINK("https://twitter.com/oldman68982827","@oldman68982827")</f>
        <v>@oldman68982827</v>
      </c>
      <c r="C17856" s="8" t="s">
        <v>7212</v>
      </c>
      <c r="D17856" s="8">
        <v>0</v>
      </c>
      <c r="E17856" s="8">
        <v>0</v>
      </c>
      <c r="F17856" s="8">
        <v>1</v>
      </c>
    </row>
    <row r="17857" spans="1:6" ht="12.75">
      <c r="A17857" s="8">
        <v>43896.47755787037</v>
      </c>
      <c r="B17857" s="8" t="str">
        <f>HYPERLINK("https://twitter.com/SyairRevolusi","@SyairRevolusi")</f>
        <v>@SyairRevolusi</v>
      </c>
      <c r="C17857" s="8" t="s">
        <v>4984</v>
      </c>
      <c r="D17857" s="8">
        <v>4</v>
      </c>
      <c r="E17857" s="8">
        <v>0</v>
      </c>
      <c r="F17857" s="8">
        <v>1141</v>
      </c>
    </row>
    <row r="17858" spans="1:6" ht="12.75">
      <c r="A17858" s="8">
        <v>43896.475787037038</v>
      </c>
      <c r="B17858" s="8" t="str">
        <f>HYPERLINK("https://twitter.com/ayoberjuanggg","@ayoberjuanggg")</f>
        <v>@ayoberjuanggg</v>
      </c>
      <c r="C17858" s="8" t="s">
        <v>7213</v>
      </c>
      <c r="D17858" s="8">
        <v>0</v>
      </c>
      <c r="E17858" s="8">
        <v>0</v>
      </c>
      <c r="F17858" s="8">
        <v>1228</v>
      </c>
    </row>
    <row r="17859" spans="1:6" ht="12.75">
      <c r="A17859" s="8">
        <v>43896.475717592592</v>
      </c>
      <c r="B17859" s="8" t="str">
        <f>HYPERLINK("https://twitter.com/krsumsel","@krsumsel")</f>
        <v>@krsumsel</v>
      </c>
      <c r="C17859" s="8" t="s">
        <v>7214</v>
      </c>
      <c r="D17859" s="8">
        <v>0</v>
      </c>
      <c r="E17859" s="8">
        <v>0</v>
      </c>
      <c r="F17859" s="8">
        <v>230</v>
      </c>
    </row>
    <row r="17860" spans="1:6" ht="12.75">
      <c r="A17860" s="8">
        <v>43896.475648148145</v>
      </c>
      <c r="B17860" s="8" t="str">
        <f>HYPERLINK("https://twitter.com/SinghTvitter","@SinghTvitter")</f>
        <v>@SinghTvitter</v>
      </c>
      <c r="C17860" s="8" t="s">
        <v>7215</v>
      </c>
      <c r="D17860" s="8">
        <v>1</v>
      </c>
      <c r="E17860" s="8">
        <v>2</v>
      </c>
      <c r="F17860" s="8">
        <v>1198</v>
      </c>
    </row>
    <row r="17861" spans="1:6" ht="12.75">
      <c r="A17861" s="8">
        <v>43896.475624999999</v>
      </c>
      <c r="B17861" s="8" t="str">
        <f>HYPERLINK("https://twitter.com/mozad_zaenal","@mozad_zaenal")</f>
        <v>@mozad_zaenal</v>
      </c>
      <c r="C17861" s="8" t="s">
        <v>5662</v>
      </c>
      <c r="D17861" s="8">
        <v>7</v>
      </c>
      <c r="E17861" s="8">
        <v>0</v>
      </c>
      <c r="F17861" s="8">
        <v>179</v>
      </c>
    </row>
    <row r="17862" spans="1:6" ht="12.75">
      <c r="A17862" s="8">
        <v>43896.474722222221</v>
      </c>
      <c r="B17862" s="8" t="str">
        <f>HYPERLINK("https://twitter.com/Danank902","@Danank902")</f>
        <v>@Danank902</v>
      </c>
      <c r="C17862" s="8" t="s">
        <v>6634</v>
      </c>
      <c r="D17862" s="8">
        <v>3</v>
      </c>
      <c r="E17862" s="8">
        <v>0</v>
      </c>
      <c r="F17862" s="8">
        <v>514</v>
      </c>
    </row>
    <row r="17863" spans="1:6" ht="12.75">
      <c r="A17863" s="8">
        <v>43896.474398148144</v>
      </c>
      <c r="B17863" s="8" t="str">
        <f>HYPERLINK("https://twitter.com/camabafebugm","@camabafebugm")</f>
        <v>@camabafebugm</v>
      </c>
      <c r="C17863" s="8" t="s">
        <v>7216</v>
      </c>
      <c r="D17863" s="8">
        <v>0</v>
      </c>
      <c r="E17863" s="8">
        <v>0</v>
      </c>
      <c r="F17863" s="8">
        <v>3439</v>
      </c>
    </row>
    <row r="17864" spans="1:6" ht="12.75">
      <c r="A17864" s="8">
        <v>43896.474108796298</v>
      </c>
      <c r="B17864" s="8" t="str">
        <f>HYPERLINK("https://twitter.com/wow_keren","@wow_keren")</f>
        <v>@wow_keren</v>
      </c>
      <c r="C17864" s="8" t="s">
        <v>7217</v>
      </c>
      <c r="D17864" s="8">
        <v>0</v>
      </c>
      <c r="E17864" s="8">
        <v>0</v>
      </c>
      <c r="F17864" s="8">
        <v>32032</v>
      </c>
    </row>
    <row r="17865" spans="1:6" ht="12.75">
      <c r="A17865" s="8">
        <v>43896.47388888889</v>
      </c>
      <c r="B17865" s="8" t="str">
        <f>HYPERLINK("https://twitter.com/ailumulia","@ailumulia")</f>
        <v>@ailumulia</v>
      </c>
      <c r="C17865" s="8" t="s">
        <v>7218</v>
      </c>
      <c r="D17865" s="8">
        <v>0</v>
      </c>
      <c r="E17865" s="8">
        <v>0</v>
      </c>
      <c r="F17865" s="8">
        <v>609</v>
      </c>
    </row>
    <row r="17866" spans="1:6" ht="12.75">
      <c r="A17866" s="8">
        <v>43896.473229166666</v>
      </c>
      <c r="B17866" s="8" t="str">
        <f>HYPERLINK("https://twitter.com/gondrong373c","@gondrong373c")</f>
        <v>@gondrong373c</v>
      </c>
      <c r="C17866" s="8" t="s">
        <v>5662</v>
      </c>
      <c r="D17866" s="8">
        <v>7</v>
      </c>
      <c r="E17866" s="8">
        <v>0</v>
      </c>
      <c r="F17866" s="8">
        <v>60</v>
      </c>
    </row>
    <row r="17867" spans="1:6" ht="12.75">
      <c r="A17867" s="8">
        <v>43896.472592592589</v>
      </c>
      <c r="B17867" s="8" t="str">
        <f>HYPERLINK("https://twitter.com/BEMFILKOMUB","@BEMFILKOMUB")</f>
        <v>@BEMFILKOMUB</v>
      </c>
      <c r="C17867" s="8" t="s">
        <v>7219</v>
      </c>
      <c r="D17867" s="8">
        <v>0</v>
      </c>
      <c r="E17867" s="8">
        <v>0</v>
      </c>
      <c r="F17867" s="8">
        <v>3435</v>
      </c>
    </row>
    <row r="17868" spans="1:6" ht="12.75">
      <c r="A17868" s="8">
        <v>43896.471770833334</v>
      </c>
      <c r="B17868" s="8" t="str">
        <f t="shared" ref="B17868:B17869" si="260">HYPERLINK("https://twitter.com/camabafebugm","@camabafebugm")</f>
        <v>@camabafebugm</v>
      </c>
      <c r="C17868" s="8" t="s">
        <v>7220</v>
      </c>
      <c r="D17868" s="8">
        <v>0</v>
      </c>
      <c r="E17868" s="8">
        <v>0</v>
      </c>
      <c r="F17868" s="8">
        <v>3439</v>
      </c>
    </row>
    <row r="17869" spans="1:6" ht="12.75">
      <c r="A17869" s="8">
        <v>43896.471307870372</v>
      </c>
      <c r="B17869" s="8" t="str">
        <f t="shared" si="260"/>
        <v>@camabafebugm</v>
      </c>
      <c r="C17869" s="8" t="s">
        <v>7221</v>
      </c>
      <c r="D17869" s="8">
        <v>0</v>
      </c>
      <c r="E17869" s="8">
        <v>0</v>
      </c>
      <c r="F17869" s="8">
        <v>3439</v>
      </c>
    </row>
    <row r="17870" spans="1:6" ht="12.75">
      <c r="A17870" s="8">
        <v>43896.47074074074</v>
      </c>
      <c r="B17870" s="8" t="str">
        <f>HYPERLINK("https://twitter.com/paimo65","@paimo65")</f>
        <v>@paimo65</v>
      </c>
      <c r="C17870" s="8" t="s">
        <v>7222</v>
      </c>
      <c r="D17870" s="8">
        <v>2</v>
      </c>
      <c r="E17870" s="8">
        <v>0</v>
      </c>
      <c r="F17870" s="8">
        <v>473</v>
      </c>
    </row>
    <row r="17871" spans="1:6" ht="12.75">
      <c r="A17871" s="8">
        <v>43896.470694444448</v>
      </c>
      <c r="B17871" s="8" t="str">
        <f>HYPERLINK("https://twitter.com/evereeze","@evereeze")</f>
        <v>@evereeze</v>
      </c>
      <c r="C17871" s="8" t="s">
        <v>7192</v>
      </c>
      <c r="D17871" s="8">
        <v>4</v>
      </c>
      <c r="E17871" s="8">
        <v>0</v>
      </c>
      <c r="F17871" s="8">
        <v>306</v>
      </c>
    </row>
    <row r="17872" spans="1:6" ht="12.75">
      <c r="A17872" s="8">
        <v>43896.470636574071</v>
      </c>
      <c r="B17872" s="8" t="str">
        <f>HYPERLINK("https://twitter.com/InayahRasyid","@InayahRasyid")</f>
        <v>@InayahRasyid</v>
      </c>
      <c r="C17872" s="8" t="s">
        <v>7223</v>
      </c>
      <c r="D17872" s="8">
        <v>1</v>
      </c>
      <c r="E17872" s="8">
        <v>4</v>
      </c>
      <c r="F17872" s="8">
        <v>1624</v>
      </c>
    </row>
    <row r="17873" spans="1:6" ht="12.75">
      <c r="A17873" s="8">
        <v>43896.470138888893</v>
      </c>
      <c r="B17873" s="8" t="str">
        <f>HYPERLINK("https://twitter.com/camabafebugm","@camabafebugm")</f>
        <v>@camabafebugm</v>
      </c>
      <c r="C17873" s="8" t="s">
        <v>7224</v>
      </c>
      <c r="D17873" s="8">
        <v>0</v>
      </c>
      <c r="E17873" s="8">
        <v>0</v>
      </c>
      <c r="F17873" s="8">
        <v>3439</v>
      </c>
    </row>
    <row r="17874" spans="1:6" ht="12.75">
      <c r="A17874" s="8">
        <v>43896.468414351853</v>
      </c>
      <c r="B17874" s="8" t="str">
        <f>HYPERLINK("https://twitter.com/HaloBCA","@HaloBCA")</f>
        <v>@HaloBCA</v>
      </c>
      <c r="C17874" s="8" t="s">
        <v>7225</v>
      </c>
      <c r="D17874" s="8">
        <v>0</v>
      </c>
      <c r="E17874" s="8">
        <v>0</v>
      </c>
      <c r="F17874" s="8">
        <v>232982</v>
      </c>
    </row>
    <row r="17875" spans="1:6" ht="12.75">
      <c r="A17875" s="8">
        <v>43896.467569444445</v>
      </c>
      <c r="B17875" s="8" t="str">
        <f>HYPERLINK("https://twitter.com/MFeriIrawan","@MFeriIrawan")</f>
        <v>@MFeriIrawan</v>
      </c>
      <c r="C17875" s="8" t="s">
        <v>2962</v>
      </c>
      <c r="D17875" s="8">
        <v>5686</v>
      </c>
      <c r="E17875" s="8">
        <v>0</v>
      </c>
      <c r="F17875" s="8">
        <v>115</v>
      </c>
    </row>
    <row r="17876" spans="1:6" ht="12.75">
      <c r="A17876" s="8">
        <v>43896.467430555553</v>
      </c>
      <c r="B17876" s="8" t="str">
        <f>HYPERLINK("https://twitter.com/ISIS_Balik_NO","@ISIS_Balik_NO")</f>
        <v>@ISIS_Balik_NO</v>
      </c>
      <c r="C17876" s="8" t="s">
        <v>7226</v>
      </c>
      <c r="D17876" s="8">
        <v>0</v>
      </c>
      <c r="E17876" s="8">
        <v>1</v>
      </c>
      <c r="F17876" s="8">
        <v>6127</v>
      </c>
    </row>
    <row r="17877" spans="1:6" ht="12.75">
      <c r="A17877" s="8">
        <v>43896.467094907406</v>
      </c>
      <c r="B17877" s="8" t="str">
        <f>HYPERLINK("https://twitter.com/erwin_purnawan","@erwin_purnawan")</f>
        <v>@erwin_purnawan</v>
      </c>
      <c r="C17877" s="8" t="s">
        <v>3132</v>
      </c>
      <c r="D17877" s="8">
        <v>114</v>
      </c>
      <c r="E17877" s="8">
        <v>0</v>
      </c>
      <c r="F17877" s="8">
        <v>1980</v>
      </c>
    </row>
    <row r="17878" spans="1:6" ht="12.75">
      <c r="A17878" s="8">
        <v>43896.465370370366</v>
      </c>
      <c r="B17878" s="8" t="str">
        <f>HYPERLINK("https://twitter.com/oom_haris","@oom_haris")</f>
        <v>@oom_haris</v>
      </c>
      <c r="C17878" s="8" t="s">
        <v>7227</v>
      </c>
      <c r="D17878" s="8">
        <v>159</v>
      </c>
      <c r="E17878" s="8">
        <v>0</v>
      </c>
      <c r="F17878" s="8">
        <v>831</v>
      </c>
    </row>
    <row r="17879" spans="1:6" ht="12.75">
      <c r="A17879" s="8">
        <v>43896.465231481481</v>
      </c>
      <c r="B17879" s="8" t="str">
        <f>HYPERLINK("https://twitter.com/camabafebugm","@camabafebugm")</f>
        <v>@camabafebugm</v>
      </c>
      <c r="C17879" s="8" t="s">
        <v>7228</v>
      </c>
      <c r="D17879" s="8">
        <v>0</v>
      </c>
      <c r="E17879" s="8">
        <v>0</v>
      </c>
      <c r="F17879" s="8">
        <v>3439</v>
      </c>
    </row>
    <row r="17880" spans="1:6" ht="12.75">
      <c r="A17880" s="8">
        <v>43896.464953703704</v>
      </c>
      <c r="B17880" s="8" t="str">
        <f>HYPERLINK("https://twitter.com/alvianchoi","@alvianchoi")</f>
        <v>@alvianchoi</v>
      </c>
      <c r="C17880" s="8" t="s">
        <v>7229</v>
      </c>
      <c r="D17880" s="8">
        <v>0</v>
      </c>
      <c r="E17880" s="8">
        <v>0</v>
      </c>
      <c r="F17880" s="8">
        <v>10</v>
      </c>
    </row>
    <row r="17881" spans="1:6" ht="12.75">
      <c r="A17881" s="8">
        <v>43896.464849537035</v>
      </c>
      <c r="B17881" s="8" t="str">
        <f>HYPERLINK("https://twitter.com/_wni_","@_wni_")</f>
        <v>@_wni_</v>
      </c>
      <c r="C17881" s="8" t="s">
        <v>7230</v>
      </c>
      <c r="D17881" s="8">
        <v>0</v>
      </c>
      <c r="E17881" s="8">
        <v>0</v>
      </c>
      <c r="F17881" s="8">
        <v>15</v>
      </c>
    </row>
    <row r="17882" spans="1:6" ht="12.75">
      <c r="A17882" s="8">
        <v>43896.46475694445</v>
      </c>
      <c r="B17882" s="8" t="str">
        <f>HYPERLINK("https://twitter.com/ruhulmaani","@ruhulmaani")</f>
        <v>@ruhulmaani</v>
      </c>
      <c r="C17882" s="8" t="s">
        <v>7231</v>
      </c>
      <c r="D17882" s="8">
        <v>0</v>
      </c>
      <c r="E17882" s="8">
        <v>0</v>
      </c>
      <c r="F17882" s="8">
        <v>2960</v>
      </c>
    </row>
    <row r="17883" spans="1:6" ht="12.75">
      <c r="A17883" s="8">
        <v>43896.46466435185</v>
      </c>
      <c r="B17883" s="8" t="str">
        <f>HYPERLINK("https://twitter.com/Chusnul__Ch","@Chusnul__Ch")</f>
        <v>@Chusnul__Ch</v>
      </c>
      <c r="C17883" s="8" t="s">
        <v>7222</v>
      </c>
      <c r="D17883" s="8">
        <v>1</v>
      </c>
      <c r="E17883" s="8">
        <v>0</v>
      </c>
      <c r="F17883" s="8">
        <v>65256</v>
      </c>
    </row>
    <row r="17884" spans="1:6" ht="12.75">
      <c r="A17884" s="8">
        <v>43896.464189814811</v>
      </c>
      <c r="B17884" s="8" t="str">
        <f>HYPERLINK("https://twitter.com/9arudaMuda","@9arudaMuda")</f>
        <v>@9arudaMuda</v>
      </c>
      <c r="C17884" s="8" t="s">
        <v>6634</v>
      </c>
      <c r="D17884" s="8">
        <v>1</v>
      </c>
      <c r="E17884" s="8">
        <v>0</v>
      </c>
      <c r="F17884" s="8">
        <v>2524</v>
      </c>
    </row>
    <row r="17885" spans="1:6" ht="12.75">
      <c r="A17885" s="8">
        <v>43896.463993055557</v>
      </c>
      <c r="B17885" s="8" t="str">
        <f>HYPERLINK("https://twitter.com/Abizar64","@Abizar64")</f>
        <v>@Abizar64</v>
      </c>
      <c r="C17885" s="8" t="s">
        <v>6710</v>
      </c>
      <c r="D17885" s="8">
        <v>469</v>
      </c>
      <c r="E17885" s="8">
        <v>0</v>
      </c>
      <c r="F17885" s="8">
        <v>705</v>
      </c>
    </row>
    <row r="17886" spans="1:6" ht="12.75">
      <c r="A17886" s="8">
        <v>43896.462430555555</v>
      </c>
      <c r="B17886" s="8" t="str">
        <f>HYPERLINK("https://twitter.com/elysithaG9","@elysithaG9")</f>
        <v>@elysithaG9</v>
      </c>
      <c r="C17886" s="8" t="s">
        <v>5662</v>
      </c>
      <c r="D17886" s="8">
        <v>5</v>
      </c>
      <c r="E17886" s="8">
        <v>0</v>
      </c>
      <c r="F17886" s="8">
        <v>229</v>
      </c>
    </row>
    <row r="17887" spans="1:6" ht="12.75">
      <c r="A17887" s="8">
        <v>43896.462013888886</v>
      </c>
      <c r="B17887" s="8" t="str">
        <f>HYPERLINK("https://twitter.com/mohd_syawal17","@mohd_syawal17")</f>
        <v>@mohd_syawal17</v>
      </c>
      <c r="C17887" s="8" t="s">
        <v>3285</v>
      </c>
      <c r="D17887" s="8">
        <v>177</v>
      </c>
      <c r="E17887" s="8">
        <v>0</v>
      </c>
      <c r="F17887" s="8">
        <v>4147</v>
      </c>
    </row>
    <row r="17888" spans="1:6" ht="12.75">
      <c r="A17888" s="8">
        <v>43896.461817129632</v>
      </c>
      <c r="B17888" s="8" t="str">
        <f>HYPERLINK("https://twitter.com/Cak_Hariy","@Cak_Hariy")</f>
        <v>@Cak_Hariy</v>
      </c>
      <c r="C17888" s="8" t="s">
        <v>7232</v>
      </c>
      <c r="D17888" s="8">
        <v>1</v>
      </c>
      <c r="E17888" s="8">
        <v>0</v>
      </c>
      <c r="F17888" s="8">
        <v>5347</v>
      </c>
    </row>
    <row r="17889" spans="1:6" ht="12.75">
      <c r="A17889" s="8">
        <v>43896.460798611108</v>
      </c>
      <c r="B17889" s="8" t="str">
        <f>HYPERLINK("https://twitter.com/De_rezha","@De_rezha")</f>
        <v>@De_rezha</v>
      </c>
      <c r="C17889" s="8" t="s">
        <v>7233</v>
      </c>
      <c r="D17889" s="8">
        <v>2</v>
      </c>
      <c r="E17889" s="8">
        <v>0</v>
      </c>
      <c r="F17889" s="8">
        <v>262</v>
      </c>
    </row>
    <row r="17890" spans="1:6" ht="12.75">
      <c r="A17890" s="8">
        <v>43896.460543981477</v>
      </c>
      <c r="B17890" s="8" t="str">
        <f>HYPERLINK("https://twitter.com/citoel1972","@citoel1972")</f>
        <v>@citoel1972</v>
      </c>
      <c r="C17890" s="8" t="s">
        <v>5662</v>
      </c>
      <c r="D17890" s="8">
        <v>5</v>
      </c>
      <c r="E17890" s="8">
        <v>0</v>
      </c>
      <c r="F17890" s="8">
        <v>133</v>
      </c>
    </row>
    <row r="17891" spans="1:6" ht="12.75">
      <c r="A17891" s="8">
        <v>43896.459687499999</v>
      </c>
      <c r="B17891" s="8" t="str">
        <f>HYPERLINK("https://twitter.com/bintdhE","@bintdhE")</f>
        <v>@bintdhE</v>
      </c>
      <c r="C17891" s="8" t="s">
        <v>5662</v>
      </c>
      <c r="D17891" s="8">
        <v>5</v>
      </c>
      <c r="E17891" s="8">
        <v>0</v>
      </c>
      <c r="F17891" s="8">
        <v>3398</v>
      </c>
    </row>
    <row r="17892" spans="1:6" ht="12.75">
      <c r="A17892" s="8">
        <v>43896.459525462968</v>
      </c>
      <c r="B17892" s="8" t="str">
        <f>HYPERLINK("https://twitter.com/AkbarDandhy","@AkbarDandhy")</f>
        <v>@AkbarDandhy</v>
      </c>
      <c r="C17892" s="8" t="s">
        <v>7233</v>
      </c>
      <c r="D17892" s="8">
        <v>2</v>
      </c>
      <c r="E17892" s="8">
        <v>0</v>
      </c>
      <c r="F17892" s="8">
        <v>5</v>
      </c>
    </row>
    <row r="17893" spans="1:6" ht="12.75">
      <c r="A17893" s="8">
        <v>43896.459247685183</v>
      </c>
      <c r="B17893" s="8" t="str">
        <f>HYPERLINK("https://twitter.com/Juninnnn_Jr","@Juninnnn_Jr")</f>
        <v>@Juninnnn_Jr</v>
      </c>
      <c r="C17893" s="8" t="s">
        <v>7234</v>
      </c>
      <c r="D17893" s="8">
        <v>0</v>
      </c>
      <c r="E17893" s="8">
        <v>0</v>
      </c>
      <c r="F17893" s="8">
        <v>608</v>
      </c>
    </row>
    <row r="17894" spans="1:6" ht="12.75">
      <c r="A17894" s="8">
        <v>43896.459201388891</v>
      </c>
      <c r="B17894" s="8" t="str">
        <f>HYPERLINK("https://twitter.com/naqsya77","@naqsya77")</f>
        <v>@naqsya77</v>
      </c>
      <c r="C17894" s="8" t="s">
        <v>5662</v>
      </c>
      <c r="D17894" s="8">
        <v>5</v>
      </c>
      <c r="E17894" s="8">
        <v>0</v>
      </c>
      <c r="F17894" s="8">
        <v>4431</v>
      </c>
    </row>
    <row r="17895" spans="1:6" ht="12.75">
      <c r="A17895" s="8">
        <v>43896.458275462966</v>
      </c>
      <c r="B17895" s="8" t="str">
        <f>HYPERLINK("https://twitter.com/CNNIDdaily","@CNNIDdaily")</f>
        <v>@CNNIDdaily</v>
      </c>
      <c r="C17895" s="8" t="s">
        <v>7235</v>
      </c>
      <c r="D17895" s="8">
        <v>2</v>
      </c>
      <c r="E17895" s="8">
        <v>4</v>
      </c>
      <c r="F17895" s="8">
        <v>122153</v>
      </c>
    </row>
    <row r="17896" spans="1:6" ht="12.75">
      <c r="A17896" s="8">
        <v>43896.45821759259</v>
      </c>
      <c r="B17896" s="8" t="str">
        <f>HYPERLINK("https://twitter.com/tribunnews","@tribunnews")</f>
        <v>@tribunnews</v>
      </c>
      <c r="C17896" s="8" t="s">
        <v>7236</v>
      </c>
      <c r="D17896" s="8">
        <v>0</v>
      </c>
      <c r="E17896" s="8">
        <v>1</v>
      </c>
      <c r="F17896" s="8">
        <v>889764</v>
      </c>
    </row>
    <row r="17897" spans="1:6" ht="12.75">
      <c r="A17897" s="8">
        <v>43896.458101851851</v>
      </c>
      <c r="B17897" s="8" t="str">
        <f>HYPERLINK("https://twitter.com/suryaandreas71","@suryaandreas71")</f>
        <v>@suryaandreas71</v>
      </c>
      <c r="C17897" s="8" t="s">
        <v>7237</v>
      </c>
      <c r="D17897" s="8">
        <v>1</v>
      </c>
      <c r="E17897" s="8">
        <v>0</v>
      </c>
      <c r="F17897" s="8">
        <v>38</v>
      </c>
    </row>
    <row r="17898" spans="1:6" ht="12.75">
      <c r="A17898" s="8">
        <v>43896.457928240736</v>
      </c>
      <c r="B17898" s="8" t="str">
        <f>HYPERLINK("https://twitter.com/Bwords2","@Bwords2")</f>
        <v>@Bwords2</v>
      </c>
      <c r="C17898" s="8" t="s">
        <v>7238</v>
      </c>
      <c r="D17898" s="8">
        <v>0</v>
      </c>
      <c r="E17898" s="8">
        <v>0</v>
      </c>
      <c r="F17898" s="8">
        <v>27</v>
      </c>
    </row>
    <row r="17899" spans="1:6" ht="12.75">
      <c r="A17899" s="8">
        <v>43896.457881944443</v>
      </c>
      <c r="B17899" s="8" t="str">
        <f>HYPERLINK("https://twitter.com/corona_karma","@corona_karma")</f>
        <v>@corona_karma</v>
      </c>
      <c r="C17899" s="8" t="s">
        <v>7239</v>
      </c>
      <c r="D17899" s="8">
        <v>2</v>
      </c>
      <c r="E17899" s="8">
        <v>0</v>
      </c>
      <c r="F17899" s="8">
        <v>726</v>
      </c>
    </row>
    <row r="17900" spans="1:6" ht="12.75">
      <c r="A17900" s="8">
        <v>43896.457465277781</v>
      </c>
      <c r="B17900" s="8" t="str">
        <f>HYPERLINK("https://twitter.com/irfaUlwan","@irfaUlwan")</f>
        <v>@irfaUlwan</v>
      </c>
      <c r="C17900" s="8" t="s">
        <v>7240</v>
      </c>
      <c r="D17900" s="8">
        <v>2</v>
      </c>
      <c r="E17900" s="8">
        <v>0</v>
      </c>
      <c r="F17900" s="8">
        <v>1074</v>
      </c>
    </row>
    <row r="17901" spans="1:6" ht="12.75">
      <c r="A17901" s="8">
        <v>43896.45689814815</v>
      </c>
      <c r="B17901" s="8" t="str">
        <f>HYPERLINK("https://twitter.com/tempodotco","@tempodotco")</f>
        <v>@tempodotco</v>
      </c>
      <c r="C17901" s="8" t="s">
        <v>7241</v>
      </c>
      <c r="D17901" s="8">
        <v>0</v>
      </c>
      <c r="E17901" s="8">
        <v>1</v>
      </c>
      <c r="F17901" s="8">
        <v>1713466</v>
      </c>
    </row>
    <row r="17902" spans="1:6" ht="12.75">
      <c r="A17902" s="8">
        <v>43896.456770833334</v>
      </c>
      <c r="B17902" s="8" t="str">
        <f>HYPERLINK("https://twitter.com/eisiregar","@eisiregar")</f>
        <v>@eisiregar</v>
      </c>
      <c r="C17902" s="8" t="s">
        <v>7242</v>
      </c>
      <c r="D17902" s="8">
        <v>104</v>
      </c>
      <c r="E17902" s="8">
        <v>0</v>
      </c>
      <c r="F17902" s="8">
        <v>167</v>
      </c>
    </row>
    <row r="17903" spans="1:6" ht="12.75">
      <c r="A17903" s="8">
        <v>43896.456747685181</v>
      </c>
      <c r="B17903" s="8" t="str">
        <f>HYPERLINK("https://twitter.com/SpearOperator","@SpearOperator")</f>
        <v>@SpearOperator</v>
      </c>
      <c r="C17903" s="8" t="s">
        <v>7243</v>
      </c>
      <c r="D17903" s="8">
        <v>137</v>
      </c>
      <c r="E17903" s="8">
        <v>0</v>
      </c>
      <c r="F17903" s="8">
        <v>101</v>
      </c>
    </row>
    <row r="17904" spans="1:6" ht="12.75">
      <c r="A17904" s="8">
        <v>43896.456192129626</v>
      </c>
      <c r="B17904" s="8" t="str">
        <f>HYPERLINK("https://twitter.com/corona_karma","@corona_karma")</f>
        <v>@corona_karma</v>
      </c>
      <c r="C17904" s="8" t="s">
        <v>7244</v>
      </c>
      <c r="D17904" s="8">
        <v>44</v>
      </c>
      <c r="E17904" s="8">
        <v>0</v>
      </c>
      <c r="F17904" s="8">
        <v>726</v>
      </c>
    </row>
    <row r="17905" spans="1:6" ht="12.75">
      <c r="A17905" s="8">
        <v>43896.45584490741</v>
      </c>
      <c r="B17905" s="8" t="str">
        <f>HYPERLINK("https://twitter.com/endeeste","@endeeste")</f>
        <v>@endeeste</v>
      </c>
      <c r="C17905" s="8" t="s">
        <v>7245</v>
      </c>
      <c r="D17905" s="8">
        <v>99</v>
      </c>
      <c r="E17905" s="8">
        <v>0</v>
      </c>
      <c r="F17905" s="8">
        <v>232</v>
      </c>
    </row>
    <row r="17906" spans="1:6" ht="12.75">
      <c r="A17906" s="8">
        <v>43896.455601851849</v>
      </c>
      <c r="B17906" s="8" t="str">
        <f>HYPERLINK("https://twitter.com/ircham_syah","@ircham_syah")</f>
        <v>@ircham_syah</v>
      </c>
      <c r="C17906" s="8" t="s">
        <v>7197</v>
      </c>
      <c r="D17906" s="8">
        <v>96</v>
      </c>
      <c r="E17906" s="8">
        <v>0</v>
      </c>
      <c r="F17906" s="8">
        <v>469</v>
      </c>
    </row>
    <row r="17907" spans="1:6" ht="12.75">
      <c r="A17907" s="8">
        <v>43896.454386574071</v>
      </c>
      <c r="B17907" s="8" t="str">
        <f>HYPERLINK("https://twitter.com/mardisahendra","@mardisahendra")</f>
        <v>@mardisahendra</v>
      </c>
      <c r="C17907" s="8" t="s">
        <v>7246</v>
      </c>
      <c r="D17907" s="8">
        <v>0</v>
      </c>
      <c r="E17907" s="8">
        <v>0</v>
      </c>
      <c r="F17907" s="8">
        <v>348</v>
      </c>
    </row>
    <row r="17908" spans="1:6" ht="12.75">
      <c r="A17908" s="8">
        <v>43896.45385416667</v>
      </c>
      <c r="B17908" s="8" t="str">
        <f>HYPERLINK("https://twitter.com/Angel_dies234","@Angel_dies234")</f>
        <v>@Angel_dies234</v>
      </c>
      <c r="C17908" s="8" t="s">
        <v>7247</v>
      </c>
      <c r="D17908" s="8">
        <v>0</v>
      </c>
      <c r="E17908" s="8">
        <v>0</v>
      </c>
      <c r="F17908" s="8">
        <v>19</v>
      </c>
    </row>
    <row r="17909" spans="1:6" ht="12.75">
      <c r="A17909" s="8">
        <v>43896.453090277777</v>
      </c>
      <c r="B17909" s="8" t="str">
        <f>HYPERLINK("https://twitter.com/SilitongaEfraim","@SilitongaEfraim")</f>
        <v>@SilitongaEfraim</v>
      </c>
      <c r="C17909" s="8" t="s">
        <v>5662</v>
      </c>
      <c r="D17909" s="8">
        <v>5</v>
      </c>
      <c r="E17909" s="8">
        <v>0</v>
      </c>
      <c r="F17909" s="8">
        <v>2092</v>
      </c>
    </row>
    <row r="17910" spans="1:6" ht="12.75">
      <c r="A17910" s="8">
        <v>43896.451828703706</v>
      </c>
      <c r="B17910" s="8" t="str">
        <f>HYPERLINK("https://twitter.com/iblisygsoleh","@iblisygsoleh")</f>
        <v>@iblisygsoleh</v>
      </c>
      <c r="C17910" s="8" t="s">
        <v>7248</v>
      </c>
      <c r="D17910" s="8">
        <v>0</v>
      </c>
      <c r="E17910" s="8">
        <v>0</v>
      </c>
      <c r="F17910" s="8">
        <v>2913</v>
      </c>
    </row>
    <row r="17911" spans="1:6" ht="12.75">
      <c r="A17911" s="8">
        <v>43896.451238425929</v>
      </c>
      <c r="B17911" s="8" t="str">
        <f>HYPERLINK("https://twitter.com/lena_vilian","@lena_vilian")</f>
        <v>@lena_vilian</v>
      </c>
      <c r="C17911" s="8" t="s">
        <v>7249</v>
      </c>
      <c r="D17911" s="8">
        <v>0</v>
      </c>
      <c r="E17911" s="8">
        <v>0</v>
      </c>
      <c r="F17911" s="8">
        <v>158</v>
      </c>
    </row>
    <row r="17912" spans="1:6" ht="12.75">
      <c r="A17912" s="8">
        <v>43896.450960648144</v>
      </c>
      <c r="B17912" s="8" t="str">
        <f>HYPERLINK("https://twitter.com/arian70","@arian70")</f>
        <v>@arian70</v>
      </c>
      <c r="C17912" s="8" t="s">
        <v>4984</v>
      </c>
      <c r="D17912" s="8">
        <v>3</v>
      </c>
      <c r="E17912" s="8">
        <v>0</v>
      </c>
      <c r="F17912" s="8">
        <v>71</v>
      </c>
    </row>
    <row r="17913" spans="1:6" ht="12.75">
      <c r="A17913" s="8">
        <v>43896.450567129628</v>
      </c>
      <c r="B17913" s="8" t="str">
        <f>HYPERLINK("https://twitter.com/xxuntitled2007","@xxuntitled2007")</f>
        <v>@xxuntitled2007</v>
      </c>
      <c r="C17913" s="8" t="s">
        <v>7250</v>
      </c>
      <c r="D17913" s="8">
        <v>0</v>
      </c>
      <c r="E17913" s="8">
        <v>0</v>
      </c>
      <c r="F17913" s="8">
        <v>602</v>
      </c>
    </row>
    <row r="17914" spans="1:6" ht="12.75">
      <c r="A17914" s="8">
        <v>43896.450462962966</v>
      </c>
      <c r="B17914" s="8" t="str">
        <f>HYPERLINK("https://twitter.com/RezaRavasia","@RezaRavasia")</f>
        <v>@RezaRavasia</v>
      </c>
      <c r="C17914" s="8" t="s">
        <v>7251</v>
      </c>
      <c r="D17914" s="8">
        <v>0</v>
      </c>
      <c r="E17914" s="8">
        <v>0</v>
      </c>
      <c r="F17914" s="8">
        <v>102</v>
      </c>
    </row>
    <row r="17915" spans="1:6" ht="12.75">
      <c r="A17915" s="8">
        <v>43896.45045138889</v>
      </c>
      <c r="B17915" s="8" t="str">
        <f>HYPERLINK("https://twitter.com/Paulus_willy","@Paulus_willy")</f>
        <v>@Paulus_willy</v>
      </c>
      <c r="C17915" s="8" t="s">
        <v>6636</v>
      </c>
      <c r="D17915" s="8">
        <v>5</v>
      </c>
      <c r="E17915" s="8">
        <v>0</v>
      </c>
      <c r="F17915" s="8">
        <v>1994</v>
      </c>
    </row>
    <row r="17916" spans="1:6" ht="12.75">
      <c r="A17916" s="8">
        <v>43896.45034722222</v>
      </c>
      <c r="B17916" s="8" t="str">
        <f>HYPERLINK("https://twitter.com/Puipuray1","@Puipuray1")</f>
        <v>@Puipuray1</v>
      </c>
      <c r="C17916" s="8" t="s">
        <v>1318</v>
      </c>
      <c r="D17916" s="8">
        <v>23225</v>
      </c>
      <c r="E17916" s="8">
        <v>0</v>
      </c>
      <c r="F17916" s="8">
        <v>23</v>
      </c>
    </row>
    <row r="17917" spans="1:6" ht="12.75">
      <c r="A17917" s="8">
        <v>43896.448379629626</v>
      </c>
      <c r="B17917" s="8" t="str">
        <f>HYPERLINK("https://twitter.com/ruangobrol_id","@ruangobrol_id")</f>
        <v>@ruangobrol_id</v>
      </c>
      <c r="C17917" s="8" t="s">
        <v>7252</v>
      </c>
      <c r="D17917" s="8">
        <v>0</v>
      </c>
      <c r="E17917" s="8">
        <v>0</v>
      </c>
      <c r="F17917" s="8">
        <v>164</v>
      </c>
    </row>
    <row r="17918" spans="1:6" ht="12.75">
      <c r="A17918" s="8">
        <v>43896.44809027778</v>
      </c>
      <c r="B17918" s="8" t="str">
        <f>HYPERLINK("https://twitter.com/_wni_","@_wni_")</f>
        <v>@_wni_</v>
      </c>
      <c r="C17918" s="8" t="s">
        <v>7253</v>
      </c>
      <c r="D17918" s="8">
        <v>0</v>
      </c>
      <c r="E17918" s="8">
        <v>0</v>
      </c>
      <c r="F17918" s="8">
        <v>15</v>
      </c>
    </row>
    <row r="17919" spans="1:6" ht="12.75">
      <c r="A17919" s="8">
        <v>43896.447870370372</v>
      </c>
      <c r="B17919" s="8" t="str">
        <f>HYPERLINK("https://twitter.com/RezaRavasia","@RezaRavasia")</f>
        <v>@RezaRavasia</v>
      </c>
      <c r="C17919" s="8" t="s">
        <v>7254</v>
      </c>
      <c r="D17919" s="8">
        <v>28</v>
      </c>
      <c r="E17919" s="8">
        <v>0</v>
      </c>
      <c r="F17919" s="8">
        <v>102</v>
      </c>
    </row>
    <row r="17920" spans="1:6" ht="12.75">
      <c r="A17920" s="8">
        <v>43896.447164351848</v>
      </c>
      <c r="B17920" s="8" t="str">
        <f>HYPERLINK("https://twitter.com/DetikNewsDotID","@DetikNewsDotID")</f>
        <v>@DetikNewsDotID</v>
      </c>
      <c r="C17920" s="8" t="s">
        <v>7255</v>
      </c>
      <c r="D17920" s="8">
        <v>0</v>
      </c>
      <c r="E17920" s="8">
        <v>0</v>
      </c>
      <c r="F17920" s="8">
        <v>78</v>
      </c>
    </row>
    <row r="17921" spans="1:6" ht="12.75">
      <c r="A17921" s="8">
        <v>43896.447118055556</v>
      </c>
      <c r="B17921" s="8" t="str">
        <f>HYPERLINK("https://twitter.com/pakde_gatot","@pakde_gatot")</f>
        <v>@pakde_gatot</v>
      </c>
      <c r="C17921" s="8" t="s">
        <v>4948</v>
      </c>
      <c r="D17921" s="8">
        <v>37</v>
      </c>
      <c r="E17921" s="8">
        <v>0</v>
      </c>
      <c r="F17921" s="8">
        <v>62</v>
      </c>
    </row>
    <row r="17922" spans="1:6" ht="12.75">
      <c r="A17922" s="8">
        <v>43896.447083333333</v>
      </c>
      <c r="B17922" s="8" t="str">
        <f>HYPERLINK("https://twitter.com/AryaKRIDA","@AryaKRIDA")</f>
        <v>@AryaKRIDA</v>
      </c>
      <c r="C17922" s="8" t="s">
        <v>923</v>
      </c>
      <c r="D17922" s="8">
        <v>0</v>
      </c>
      <c r="E17922" s="8">
        <v>0</v>
      </c>
      <c r="F17922" s="8">
        <v>9945</v>
      </c>
    </row>
    <row r="17923" spans="1:6" ht="12.75">
      <c r="A17923" s="8">
        <v>43896.446956018517</v>
      </c>
      <c r="B17923" s="8" t="str">
        <f>HYPERLINK("https://twitter.com/adeartie","@adeartie")</f>
        <v>@adeartie</v>
      </c>
      <c r="C17923" s="8" t="s">
        <v>7189</v>
      </c>
      <c r="D17923" s="8">
        <v>61</v>
      </c>
      <c r="E17923" s="8">
        <v>0</v>
      </c>
      <c r="F17923" s="8">
        <v>101</v>
      </c>
    </row>
    <row r="17924" spans="1:6" ht="12.75">
      <c r="A17924" s="8">
        <v>43896.446342592593</v>
      </c>
      <c r="B17924" s="8" t="str">
        <f>HYPERLINK("https://twitter.com/My_LoveNebe","@My_LoveNebe")</f>
        <v>@My_LoveNebe</v>
      </c>
      <c r="C17924" s="8" t="s">
        <v>7256</v>
      </c>
      <c r="D17924" s="8">
        <v>5</v>
      </c>
      <c r="E17924" s="8">
        <v>5</v>
      </c>
      <c r="F17924" s="8">
        <v>18189</v>
      </c>
    </row>
    <row r="17925" spans="1:6" ht="12.75">
      <c r="A17925" s="8">
        <v>43896.446087962962</v>
      </c>
      <c r="B17925" s="8" t="str">
        <f>HYPERLINK("https://twitter.com/dina88_","@dina88_")</f>
        <v>@dina88_</v>
      </c>
      <c r="C17925" s="8" t="s">
        <v>4836</v>
      </c>
      <c r="D17925" s="8">
        <v>5414</v>
      </c>
      <c r="E17925" s="8">
        <v>0</v>
      </c>
      <c r="F17925" s="8">
        <v>771</v>
      </c>
    </row>
    <row r="17926" spans="1:6" ht="12.75">
      <c r="A17926" s="8">
        <v>43896.445694444439</v>
      </c>
      <c r="B17926" s="8" t="str">
        <f>HYPERLINK("https://twitter.com/ratu_adil","@ratu_adil")</f>
        <v>@ratu_adil</v>
      </c>
      <c r="C17926" s="8" t="s">
        <v>4984</v>
      </c>
      <c r="D17926" s="8">
        <v>3</v>
      </c>
      <c r="E17926" s="8">
        <v>0</v>
      </c>
      <c r="F17926" s="8">
        <v>52845</v>
      </c>
    </row>
    <row r="17927" spans="1:6" ht="12.75">
      <c r="A17927" s="8">
        <v>43896.444525462968</v>
      </c>
      <c r="B17927" s="8" t="str">
        <f>HYPERLINK("https://twitter.com/umay_patria","@umay_patria")</f>
        <v>@umay_patria</v>
      </c>
      <c r="C17927" s="8" t="s">
        <v>7257</v>
      </c>
      <c r="D17927" s="8">
        <v>13</v>
      </c>
      <c r="E17927" s="8">
        <v>0</v>
      </c>
      <c r="F17927" s="8">
        <v>1156</v>
      </c>
    </row>
    <row r="17928" spans="1:6" ht="12.75">
      <c r="A17928" s="8">
        <v>43896.444016203706</v>
      </c>
      <c r="B17928" s="8" t="str">
        <f>HYPERLINK("https://twitter.com/Aestheticriah","@Aestheticriah")</f>
        <v>@Aestheticriah</v>
      </c>
      <c r="C17928" s="8" t="s">
        <v>7258</v>
      </c>
      <c r="D17928" s="8">
        <v>0</v>
      </c>
      <c r="E17928" s="8">
        <v>0</v>
      </c>
      <c r="F17928" s="8">
        <v>232</v>
      </c>
    </row>
    <row r="17929" spans="1:6" ht="12.75">
      <c r="A17929" s="8">
        <v>43896.443819444445</v>
      </c>
      <c r="B17929" s="8" t="str">
        <f t="shared" ref="B17929:B17930" si="261">HYPERLINK("https://twitter.com/Detektif_Ngibul","@Detektif_Ngibul")</f>
        <v>@Detektif_Ngibul</v>
      </c>
      <c r="C17929" s="8" t="s">
        <v>4948</v>
      </c>
      <c r="D17929" s="8">
        <v>37</v>
      </c>
      <c r="E17929" s="8">
        <v>0</v>
      </c>
      <c r="F17929" s="8">
        <v>1597</v>
      </c>
    </row>
    <row r="17930" spans="1:6" ht="12.75">
      <c r="A17930" s="8">
        <v>43896.443344907406</v>
      </c>
      <c r="B17930" s="8" t="str">
        <f t="shared" si="261"/>
        <v>@Detektif_Ngibul</v>
      </c>
      <c r="C17930" s="8" t="s">
        <v>7259</v>
      </c>
      <c r="D17930" s="8">
        <v>1</v>
      </c>
      <c r="E17930" s="8">
        <v>0</v>
      </c>
      <c r="F17930" s="8">
        <v>1597</v>
      </c>
    </row>
    <row r="17931" spans="1:6" ht="12.75">
      <c r="A17931" s="8">
        <v>43896.44321759259</v>
      </c>
      <c r="B17931" s="8" t="str">
        <f>HYPERLINK("https://twitter.com/naveedmushtaq23","@naveedmushtaq23")</f>
        <v>@naveedmushtaq23</v>
      </c>
      <c r="C17931" s="8" t="s">
        <v>7260</v>
      </c>
      <c r="D17931" s="8">
        <v>0</v>
      </c>
      <c r="E17931" s="8">
        <v>0</v>
      </c>
      <c r="F17931" s="8">
        <v>72</v>
      </c>
    </row>
    <row r="17932" spans="1:6" ht="12.75">
      <c r="A17932" s="8">
        <v>43896.443090277782</v>
      </c>
      <c r="B17932" s="8" t="str">
        <f>HYPERLINK("https://twitter.com/Musa_Almawadi","@Musa_Almawadi")</f>
        <v>@Musa_Almawadi</v>
      </c>
      <c r="C17932" s="8" t="s">
        <v>6002</v>
      </c>
      <c r="D17932" s="8">
        <v>7</v>
      </c>
      <c r="E17932" s="8">
        <v>0</v>
      </c>
      <c r="F17932" s="8">
        <v>374</v>
      </c>
    </row>
    <row r="17933" spans="1:6" ht="12.75">
      <c r="A17933" s="8">
        <v>43896.440740740742</v>
      </c>
      <c r="B17933" s="8" t="str">
        <f>HYPERLINK("https://twitter.com/UtomoFreddy","@UtomoFreddy")</f>
        <v>@UtomoFreddy</v>
      </c>
      <c r="C17933" s="8" t="s">
        <v>7245</v>
      </c>
      <c r="D17933" s="8">
        <v>99</v>
      </c>
      <c r="E17933" s="8">
        <v>0</v>
      </c>
      <c r="F17933" s="8">
        <v>110</v>
      </c>
    </row>
    <row r="17934" spans="1:6" ht="12.75">
      <c r="A17934" s="8">
        <v>43896.440671296295</v>
      </c>
      <c r="B17934" s="8" t="str">
        <f>HYPERLINK("https://twitter.com/awaljayasiahaan","@awaljayasiahaan")</f>
        <v>@awaljayasiahaan</v>
      </c>
      <c r="C17934" s="8" t="s">
        <v>7261</v>
      </c>
      <c r="D17934" s="8">
        <v>0</v>
      </c>
      <c r="E17934" s="8">
        <v>0</v>
      </c>
      <c r="F17934" s="8">
        <v>1</v>
      </c>
    </row>
    <row r="17935" spans="1:6" ht="12.75">
      <c r="A17935" s="8">
        <v>43896.440243055556</v>
      </c>
      <c r="B17935" s="8" t="str">
        <f>HYPERLINK("https://twitter.com/DenBeisBeis1","@DenBeisBeis1")</f>
        <v>@DenBeisBeis1</v>
      </c>
      <c r="C17935" s="8" t="s">
        <v>7262</v>
      </c>
      <c r="D17935" s="8">
        <v>276</v>
      </c>
      <c r="E17935" s="8">
        <v>0</v>
      </c>
      <c r="F17935" s="8">
        <v>753</v>
      </c>
    </row>
    <row r="17936" spans="1:6" ht="12.75">
      <c r="A17936" s="8">
        <v>43896.438657407409</v>
      </c>
      <c r="B17936" s="8" t="str">
        <f>HYPERLINK("https://twitter.com/Rajisapotra","@Rajisapotra")</f>
        <v>@Rajisapotra</v>
      </c>
      <c r="C17936" s="8" t="s">
        <v>7263</v>
      </c>
      <c r="D17936" s="8">
        <v>6</v>
      </c>
      <c r="E17936" s="8">
        <v>0</v>
      </c>
      <c r="F17936" s="8">
        <v>501</v>
      </c>
    </row>
    <row r="17937" spans="1:6" ht="12.75">
      <c r="A17937" s="8">
        <v>43896.43855324074</v>
      </c>
      <c r="B17937" s="8" t="str">
        <f>HYPERLINK("https://twitter.com/siway99","@siway99")</f>
        <v>@siway99</v>
      </c>
      <c r="C17937" s="8" t="s">
        <v>7264</v>
      </c>
      <c r="D17937" s="8">
        <v>0</v>
      </c>
      <c r="E17937" s="8">
        <v>0</v>
      </c>
      <c r="F17937" s="8">
        <v>213</v>
      </c>
    </row>
    <row r="17938" spans="1:6" ht="12.75">
      <c r="A17938" s="8">
        <v>43896.437939814816</v>
      </c>
      <c r="B17938" s="8" t="str">
        <f>HYPERLINK("https://twitter.com/BonoMbah","@BonoMbah")</f>
        <v>@BonoMbah</v>
      </c>
      <c r="C17938" s="8" t="s">
        <v>5156</v>
      </c>
      <c r="D17938" s="8">
        <v>1</v>
      </c>
      <c r="E17938" s="8">
        <v>0</v>
      </c>
      <c r="F17938" s="8">
        <v>0</v>
      </c>
    </row>
    <row r="17939" spans="1:6" ht="12.75">
      <c r="A17939" s="8">
        <v>43896.4378587963</v>
      </c>
      <c r="B17939" s="8" t="str">
        <f>HYPERLINK("https://twitter.com/AyummaTanaka","@AyummaTanaka")</f>
        <v>@AyummaTanaka</v>
      </c>
      <c r="C17939" s="8" t="s">
        <v>7265</v>
      </c>
      <c r="D17939" s="8">
        <v>0</v>
      </c>
      <c r="E17939" s="8">
        <v>0</v>
      </c>
      <c r="F17939" s="8">
        <v>1097</v>
      </c>
    </row>
    <row r="17940" spans="1:6" ht="12.75">
      <c r="A17940" s="8">
        <v>43896.436782407407</v>
      </c>
      <c r="B17940" s="8" t="str">
        <f>HYPERLINK("https://twitter.com/Devindwisus","@Devindwisus")</f>
        <v>@Devindwisus</v>
      </c>
      <c r="C17940" s="8" t="s">
        <v>7266</v>
      </c>
      <c r="D17940" s="8">
        <v>0</v>
      </c>
      <c r="E17940" s="8">
        <v>0</v>
      </c>
      <c r="F17940" s="8">
        <v>384</v>
      </c>
    </row>
    <row r="17941" spans="1:6" ht="12.75">
      <c r="A17941" s="8">
        <v>43896.436597222222</v>
      </c>
      <c r="B17941" s="8" t="str">
        <f>HYPERLINK("https://twitter.com/DayatPkpu","@DayatPkpu")</f>
        <v>@DayatPkpu</v>
      </c>
      <c r="C17941" s="8" t="s">
        <v>7267</v>
      </c>
      <c r="D17941" s="8">
        <v>1</v>
      </c>
      <c r="E17941" s="8">
        <v>0</v>
      </c>
      <c r="F17941" s="8">
        <v>3</v>
      </c>
    </row>
    <row r="17942" spans="1:6" ht="12.75">
      <c r="A17942" s="8">
        <v>43896.436215277776</v>
      </c>
      <c r="B17942" s="8" t="str">
        <f>HYPERLINK("https://twitter.com/Kopi_laut","@Kopi_laut")</f>
        <v>@Kopi_laut</v>
      </c>
      <c r="C17942" s="8" t="s">
        <v>4984</v>
      </c>
      <c r="D17942" s="8">
        <v>3</v>
      </c>
      <c r="E17942" s="8">
        <v>0</v>
      </c>
      <c r="F17942" s="8">
        <v>1831</v>
      </c>
    </row>
    <row r="17943" spans="1:6" ht="12.75">
      <c r="A17943" s="8">
        <v>43896.436064814814</v>
      </c>
      <c r="B17943" s="8" t="str">
        <f>HYPERLINK("https://twitter.com/eka_harijanto","@eka_harijanto")</f>
        <v>@eka_harijanto</v>
      </c>
      <c r="C17943" s="8" t="s">
        <v>7268</v>
      </c>
      <c r="D17943" s="8">
        <v>0</v>
      </c>
      <c r="E17943" s="8">
        <v>0</v>
      </c>
      <c r="F17943" s="8">
        <v>2576</v>
      </c>
    </row>
    <row r="17944" spans="1:6" ht="12.75">
      <c r="A17944" s="8">
        <v>43896.435763888891</v>
      </c>
      <c r="B17944" s="8" t="str">
        <f t="shared" ref="B17944:B17945" si="262">HYPERLINK("https://twitter.com/aldyan_Sunartho","@aldyan_Sunartho")</f>
        <v>@aldyan_Sunartho</v>
      </c>
      <c r="C17944" s="8" t="s">
        <v>7269</v>
      </c>
      <c r="D17944" s="8">
        <v>9</v>
      </c>
      <c r="E17944" s="8">
        <v>0</v>
      </c>
      <c r="F17944" s="8">
        <v>279</v>
      </c>
    </row>
    <row r="17945" spans="1:6" ht="12.75">
      <c r="A17945" s="8">
        <v>43896.435682870375</v>
      </c>
      <c r="B17945" s="8" t="str">
        <f t="shared" si="262"/>
        <v>@aldyan_Sunartho</v>
      </c>
      <c r="C17945" s="8" t="s">
        <v>1078</v>
      </c>
      <c r="D17945" s="8">
        <v>680</v>
      </c>
      <c r="E17945" s="8">
        <v>0</v>
      </c>
      <c r="F17945" s="8">
        <v>279</v>
      </c>
    </row>
    <row r="17946" spans="1:6" ht="12.75">
      <c r="A17946" s="8">
        <v>43896.435601851852</v>
      </c>
      <c r="B17946" s="8" t="str">
        <f>HYPERLINK("https://twitter.com/weshley","@weshley")</f>
        <v>@weshley</v>
      </c>
      <c r="C17946" s="8" t="s">
        <v>7240</v>
      </c>
      <c r="D17946" s="8">
        <v>2</v>
      </c>
      <c r="E17946" s="8">
        <v>0</v>
      </c>
      <c r="F17946" s="8">
        <v>11536</v>
      </c>
    </row>
    <row r="17947" spans="1:6" ht="12.75">
      <c r="A17947" s="8">
        <v>43896.435104166667</v>
      </c>
      <c r="B17947" s="8" t="str">
        <f>HYPERLINK("https://twitter.com/kaskus","@kaskus")</f>
        <v>@kaskus</v>
      </c>
      <c r="C17947" s="8" t="s">
        <v>7270</v>
      </c>
      <c r="D17947" s="8">
        <v>2</v>
      </c>
      <c r="E17947" s="8">
        <v>7</v>
      </c>
      <c r="F17947" s="8">
        <v>2615096</v>
      </c>
    </row>
    <row r="17948" spans="1:6" ht="12.75">
      <c r="A17948" s="8">
        <v>43896.434189814812</v>
      </c>
      <c r="B17948" s="8" t="str">
        <f>HYPERLINK("https://twitter.com/domiegyu","@domiegyu")</f>
        <v>@domiegyu</v>
      </c>
      <c r="C17948" s="8" t="s">
        <v>7271</v>
      </c>
      <c r="D17948" s="8">
        <v>0</v>
      </c>
      <c r="E17948" s="8">
        <v>0</v>
      </c>
      <c r="F17948" s="8">
        <v>293</v>
      </c>
    </row>
    <row r="17949" spans="1:6" ht="12.75">
      <c r="A17949" s="8">
        <v>43896.434097222227</v>
      </c>
      <c r="B17949" s="8" t="str">
        <f>HYPERLINK("https://twitter.com/forddyce92","@forddyce92")</f>
        <v>@forddyce92</v>
      </c>
      <c r="C17949" s="8" t="s">
        <v>7272</v>
      </c>
      <c r="D17949" s="8">
        <v>0</v>
      </c>
      <c r="E17949" s="8">
        <v>0</v>
      </c>
      <c r="F17949" s="8">
        <v>27</v>
      </c>
    </row>
    <row r="17950" spans="1:6" ht="12.75">
      <c r="A17950" s="8">
        <v>43896.433819444443</v>
      </c>
      <c r="B17950" s="8" t="str">
        <f>HYPERLINK("https://twitter.com/aprilldeka","@aprilldeka")</f>
        <v>@aprilldeka</v>
      </c>
      <c r="C17950" s="8" t="s">
        <v>3132</v>
      </c>
      <c r="D17950" s="8">
        <v>110</v>
      </c>
      <c r="E17950" s="8">
        <v>0</v>
      </c>
      <c r="F17950" s="8">
        <v>248</v>
      </c>
    </row>
    <row r="17951" spans="1:6" ht="12.75">
      <c r="A17951" s="8">
        <v>43896.432581018518</v>
      </c>
      <c r="B17951" s="8" t="str">
        <f>HYPERLINK("https://twitter.com/emilo089","@emilo089")</f>
        <v>@emilo089</v>
      </c>
      <c r="C17951" s="8" t="s">
        <v>6002</v>
      </c>
      <c r="D17951" s="8">
        <v>7</v>
      </c>
      <c r="E17951" s="8">
        <v>0</v>
      </c>
      <c r="F17951" s="8">
        <v>186</v>
      </c>
    </row>
    <row r="17952" spans="1:6" ht="12.75">
      <c r="A17952" s="8">
        <v>43896.43204861111</v>
      </c>
      <c r="B17952" s="8" t="str">
        <f>HYPERLINK("https://twitter.com/desykj","@desykj")</f>
        <v>@desykj</v>
      </c>
      <c r="C17952" s="8" t="s">
        <v>1119</v>
      </c>
      <c r="D17952" s="8">
        <v>12231</v>
      </c>
      <c r="E17952" s="8">
        <v>0</v>
      </c>
      <c r="F17952" s="8">
        <v>34</v>
      </c>
    </row>
    <row r="17953" spans="1:6" ht="12.75">
      <c r="A17953" s="8">
        <v>43896.431979166664</v>
      </c>
      <c r="B17953" s="8" t="str">
        <f>HYPERLINK("https://twitter.com/0fcourseyoucan","@0fcourseyoucan")</f>
        <v>@0fcourseyoucan</v>
      </c>
      <c r="C17953" s="8" t="s">
        <v>7273</v>
      </c>
      <c r="D17953" s="8">
        <v>0</v>
      </c>
      <c r="E17953" s="8">
        <v>1</v>
      </c>
      <c r="F17953" s="8">
        <v>407</v>
      </c>
    </row>
    <row r="17954" spans="1:6" ht="12.75">
      <c r="A17954" s="8">
        <v>43896.431296296301</v>
      </c>
      <c r="B17954" s="8" t="str">
        <f>HYPERLINK("https://twitter.com/rizkimono_","@rizkimono_")</f>
        <v>@rizkimono_</v>
      </c>
      <c r="C17954" s="8" t="s">
        <v>7274</v>
      </c>
      <c r="D17954" s="8">
        <v>0</v>
      </c>
      <c r="E17954" s="8">
        <v>0</v>
      </c>
      <c r="F17954" s="8">
        <v>6310</v>
      </c>
    </row>
    <row r="17955" spans="1:6" ht="12.75">
      <c r="A17955" s="8">
        <v>43896.431273148148</v>
      </c>
      <c r="B17955" s="8" t="str">
        <f>HYPERLINK("https://twitter.com/pandusolusi","@pandusolusi")</f>
        <v>@pandusolusi</v>
      </c>
      <c r="C17955" s="8" t="s">
        <v>7275</v>
      </c>
      <c r="D17955" s="8">
        <v>0</v>
      </c>
      <c r="E17955" s="8">
        <v>0</v>
      </c>
      <c r="F17955" s="8">
        <v>180</v>
      </c>
    </row>
    <row r="17956" spans="1:6" ht="12.75">
      <c r="A17956" s="8">
        <v>43896.430960648147</v>
      </c>
      <c r="B17956" s="8" t="str">
        <f>HYPERLINK("https://twitter.com/Yuni59786114","@Yuni59786114")</f>
        <v>@Yuni59786114</v>
      </c>
      <c r="C17956" s="8" t="s">
        <v>7276</v>
      </c>
      <c r="D17956" s="8">
        <v>0</v>
      </c>
      <c r="E17956" s="8">
        <v>0</v>
      </c>
      <c r="F17956" s="8">
        <v>12</v>
      </c>
    </row>
    <row r="17957" spans="1:6" ht="12.75">
      <c r="A17957" s="8">
        <v>43896.430787037039</v>
      </c>
      <c r="B17957" s="8" t="str">
        <f>HYPERLINK("https://twitter.com/hum_initiative","@hum_initiative")</f>
        <v>@hum_initiative</v>
      </c>
      <c r="C17957" s="8" t="s">
        <v>7277</v>
      </c>
      <c r="D17957" s="8">
        <v>1</v>
      </c>
      <c r="E17957" s="8">
        <v>2</v>
      </c>
      <c r="F17957" s="8">
        <v>25623</v>
      </c>
    </row>
    <row r="17958" spans="1:6" ht="12.75">
      <c r="A17958" s="8">
        <v>43896.430625000001</v>
      </c>
      <c r="B17958" s="8" t="str">
        <f t="shared" ref="B17958:B17959" si="263">HYPERLINK("https://twitter.com/ananditopp","@ananditopp")</f>
        <v>@ananditopp</v>
      </c>
      <c r="C17958" s="8" t="s">
        <v>7278</v>
      </c>
      <c r="D17958" s="8">
        <v>0</v>
      </c>
      <c r="E17958" s="8">
        <v>0</v>
      </c>
      <c r="F17958" s="8">
        <v>12</v>
      </c>
    </row>
    <row r="17959" spans="1:6" ht="12.75">
      <c r="A17959" s="8">
        <v>43896.430625000001</v>
      </c>
      <c r="B17959" s="8" t="str">
        <f t="shared" si="263"/>
        <v>@ananditopp</v>
      </c>
      <c r="C17959" s="8" t="s">
        <v>7279</v>
      </c>
      <c r="D17959" s="8">
        <v>0</v>
      </c>
      <c r="E17959" s="8">
        <v>0</v>
      </c>
      <c r="F17959" s="8">
        <v>12</v>
      </c>
    </row>
    <row r="17960" spans="1:6" ht="12.75">
      <c r="A17960" s="8">
        <v>43896.429606481484</v>
      </c>
      <c r="B17960" s="8" t="str">
        <f>HYPERLINK("https://twitter.com/Bimasenna","@Bimasenna")</f>
        <v>@Bimasenna</v>
      </c>
      <c r="C17960" s="8" t="s">
        <v>7192</v>
      </c>
      <c r="D17960" s="8">
        <v>2</v>
      </c>
      <c r="E17960" s="8">
        <v>0</v>
      </c>
      <c r="F17960" s="8">
        <v>136</v>
      </c>
    </row>
    <row r="17961" spans="1:6" ht="12.75">
      <c r="A17961" s="8">
        <v>43896.42905092593</v>
      </c>
      <c r="B17961" s="8" t="str">
        <f>HYPERLINK("https://twitter.com/Doghood10","@Doghood10")</f>
        <v>@Doghood10</v>
      </c>
      <c r="C17961" s="8" t="s">
        <v>7280</v>
      </c>
      <c r="D17961" s="8">
        <v>0</v>
      </c>
      <c r="E17961" s="8">
        <v>0</v>
      </c>
      <c r="F17961" s="8">
        <v>5</v>
      </c>
    </row>
    <row r="17962" spans="1:6" ht="12.75">
      <c r="A17962" s="8">
        <v>43896.428020833337</v>
      </c>
      <c r="B17962" s="8" t="str">
        <f>HYPERLINK("https://twitter.com/LindungiJ","@LindungiJ")</f>
        <v>@LindungiJ</v>
      </c>
      <c r="C17962" s="8" t="s">
        <v>7281</v>
      </c>
      <c r="D17962" s="8">
        <v>6</v>
      </c>
      <c r="E17962" s="8">
        <v>0</v>
      </c>
      <c r="F17962" s="8">
        <v>0</v>
      </c>
    </row>
    <row r="17963" spans="1:6" ht="12.75">
      <c r="A17963" s="8">
        <v>43896.427557870367</v>
      </c>
      <c r="B17963" s="8" t="str">
        <f>HYPERLINK("https://twitter.com/tempodotco","@tempodotco")</f>
        <v>@tempodotco</v>
      </c>
      <c r="C17963" s="8" t="s">
        <v>7241</v>
      </c>
      <c r="D17963" s="8">
        <v>0</v>
      </c>
      <c r="E17963" s="8">
        <v>3</v>
      </c>
      <c r="F17963" s="8">
        <v>1713466</v>
      </c>
    </row>
    <row r="17964" spans="1:6" ht="12.75">
      <c r="A17964" s="8">
        <v>43896.427523148144</v>
      </c>
      <c r="B17964" s="8" t="str">
        <f>HYPERLINK("https://twitter.com/JustJulyo","@JustJulyo")</f>
        <v>@JustJulyo</v>
      </c>
      <c r="C17964" s="8" t="s">
        <v>4836</v>
      </c>
      <c r="D17964" s="8">
        <v>5414</v>
      </c>
      <c r="E17964" s="8">
        <v>0</v>
      </c>
      <c r="F17964" s="8">
        <v>14908</v>
      </c>
    </row>
    <row r="17965" spans="1:6" ht="12.75">
      <c r="A17965" s="8">
        <v>43896.427372685182</v>
      </c>
      <c r="B17965" s="8" t="str">
        <f>HYPERLINK("https://twitter.com/hasyimmah","@hasyimmah")</f>
        <v>@hasyimmah</v>
      </c>
      <c r="C17965" s="8" t="s">
        <v>7282</v>
      </c>
      <c r="D17965" s="8">
        <v>1</v>
      </c>
      <c r="E17965" s="8">
        <v>1</v>
      </c>
      <c r="F17965" s="8">
        <v>2038</v>
      </c>
    </row>
    <row r="17966" spans="1:6" ht="12.75">
      <c r="A17966" s="8">
        <v>43896.427164351851</v>
      </c>
      <c r="B17966" s="8" t="str">
        <f>HYPERLINK("https://twitter.com/KontanNews","@KontanNews")</f>
        <v>@KontanNews</v>
      </c>
      <c r="C17966" s="8" t="s">
        <v>7283</v>
      </c>
      <c r="D17966" s="8">
        <v>2</v>
      </c>
      <c r="E17966" s="8">
        <v>0</v>
      </c>
      <c r="F17966" s="8">
        <v>318214</v>
      </c>
    </row>
    <row r="17967" spans="1:6" ht="12.75">
      <c r="A17967" s="8">
        <v>43896.427164351851</v>
      </c>
      <c r="B17967" s="8" t="str">
        <f>HYPERLINK("https://twitter.com/BiaAndradeBR","@BiaAndradeBR")</f>
        <v>@BiaAndradeBR</v>
      </c>
      <c r="C17967" s="8" t="s">
        <v>7284</v>
      </c>
      <c r="D17967" s="8">
        <v>0</v>
      </c>
      <c r="E17967" s="8">
        <v>0</v>
      </c>
      <c r="F17967" s="8">
        <v>84</v>
      </c>
    </row>
    <row r="17968" spans="1:6" ht="12.75">
      <c r="A17968" s="8">
        <v>43896.423182870371</v>
      </c>
      <c r="B17968" s="8" t="str">
        <f>HYPERLINK("https://twitter.com/ellys_kerhi","@ellys_kerhi")</f>
        <v>@ellys_kerhi</v>
      </c>
      <c r="C17968" s="8" t="s">
        <v>7285</v>
      </c>
      <c r="D17968" s="8">
        <v>0</v>
      </c>
      <c r="E17968" s="8">
        <v>0</v>
      </c>
      <c r="F17968" s="8">
        <v>1165</v>
      </c>
    </row>
    <row r="17969" spans="1:6" ht="12.75">
      <c r="A17969" s="8">
        <v>43896.422650462962</v>
      </c>
      <c r="B17969" s="8" t="str">
        <f>HYPERLINK("https://twitter.com/DJSoemaskaro2","@DJSoemaskaro2")</f>
        <v>@DJSoemaskaro2</v>
      </c>
      <c r="C17969" s="8" t="s">
        <v>6002</v>
      </c>
      <c r="D17969" s="8">
        <v>5</v>
      </c>
      <c r="E17969" s="8">
        <v>0</v>
      </c>
      <c r="F17969" s="8">
        <v>158</v>
      </c>
    </row>
    <row r="17970" spans="1:6" ht="12.75">
      <c r="A17970" s="8">
        <v>43896.4221412037</v>
      </c>
      <c r="B17970" s="8" t="str">
        <f>HYPERLINK("https://twitter.com/CarolineAriesta","@CarolineAriesta")</f>
        <v>@CarolineAriesta</v>
      </c>
      <c r="C17970" s="8" t="s">
        <v>1078</v>
      </c>
      <c r="D17970" s="8">
        <v>678</v>
      </c>
      <c r="E17970" s="8">
        <v>0</v>
      </c>
      <c r="F17970" s="8">
        <v>139</v>
      </c>
    </row>
    <row r="17971" spans="1:6" ht="12.75">
      <c r="A17971" s="8">
        <v>43896.422025462962</v>
      </c>
      <c r="B17971" s="8" t="str">
        <f>HYPERLINK("https://twitter.com/ratu_adil","@ratu_adil")</f>
        <v>@ratu_adil</v>
      </c>
      <c r="C17971" s="8" t="s">
        <v>7286</v>
      </c>
      <c r="D17971" s="8">
        <v>0</v>
      </c>
      <c r="E17971" s="8">
        <v>0</v>
      </c>
      <c r="F17971" s="8">
        <v>52846</v>
      </c>
    </row>
    <row r="17972" spans="1:6" ht="12.75">
      <c r="A17972" s="8">
        <v>43896.4215625</v>
      </c>
      <c r="B17972" s="8" t="str">
        <f>HYPERLINK("https://twitter.com/iben_d","@iben_d")</f>
        <v>@iben_d</v>
      </c>
      <c r="C17972" s="8" t="s">
        <v>6002</v>
      </c>
      <c r="D17972" s="8">
        <v>5</v>
      </c>
      <c r="E17972" s="8">
        <v>0</v>
      </c>
      <c r="F17972" s="8">
        <v>110</v>
      </c>
    </row>
    <row r="17973" spans="1:6" ht="12.75">
      <c r="A17973" s="8">
        <v>43896.421550925923</v>
      </c>
      <c r="B17973" s="8" t="str">
        <f>HYPERLINK("https://twitter.com/pandusolusi","@pandusolusi")</f>
        <v>@pandusolusi</v>
      </c>
      <c r="C17973" s="8" t="s">
        <v>7287</v>
      </c>
      <c r="D17973" s="8">
        <v>0</v>
      </c>
      <c r="E17973" s="8">
        <v>0</v>
      </c>
      <c r="F17973" s="8">
        <v>180</v>
      </c>
    </row>
    <row r="17974" spans="1:6" ht="12.75">
      <c r="A17974" s="8">
        <v>43896.420752314814</v>
      </c>
      <c r="B17974" s="8" t="str">
        <f>HYPERLINK("https://twitter.com/Gunadi84380182","@Gunadi84380182")</f>
        <v>@Gunadi84380182</v>
      </c>
      <c r="C17974" s="8" t="s">
        <v>1078</v>
      </c>
      <c r="D17974" s="8">
        <v>678</v>
      </c>
      <c r="E17974" s="8">
        <v>0</v>
      </c>
      <c r="F17974" s="8">
        <v>76</v>
      </c>
    </row>
    <row r="17975" spans="1:6" ht="12.75">
      <c r="A17975" s="8">
        <v>43896.420138888891</v>
      </c>
      <c r="B17975" s="8" t="str">
        <f>HYPERLINK("https://twitter.com/TitikTerangNews","@TitikTerangNews")</f>
        <v>@TitikTerangNews</v>
      </c>
      <c r="C17975" s="8" t="s">
        <v>7288</v>
      </c>
      <c r="D17975" s="8">
        <v>0</v>
      </c>
      <c r="E17975" s="8">
        <v>0</v>
      </c>
      <c r="F17975" s="8">
        <v>132</v>
      </c>
    </row>
    <row r="17976" spans="1:6" ht="12.75">
      <c r="A17976" s="8">
        <v>43896.419837962967</v>
      </c>
      <c r="B17976" s="8" t="str">
        <f>HYPERLINK("https://twitter.com/cornelanggara","@cornelanggara")</f>
        <v>@cornelanggara</v>
      </c>
      <c r="C17976" s="8" t="s">
        <v>2962</v>
      </c>
      <c r="D17976" s="8">
        <v>5686</v>
      </c>
      <c r="E17976" s="8">
        <v>0</v>
      </c>
      <c r="F17976" s="8">
        <v>248</v>
      </c>
    </row>
    <row r="17977" spans="1:6" ht="12.75">
      <c r="A17977" s="8">
        <v>43896.419837962967</v>
      </c>
      <c r="B17977" s="8" t="str">
        <f>HYPERLINK("https://twitter.com/mnopqra","@mnopqra")</f>
        <v>@mnopqra</v>
      </c>
      <c r="C17977" s="8" t="s">
        <v>7289</v>
      </c>
      <c r="D17977" s="8">
        <v>0</v>
      </c>
      <c r="E17977" s="8">
        <v>0</v>
      </c>
      <c r="F17977" s="8">
        <v>157</v>
      </c>
    </row>
    <row r="17978" spans="1:6" ht="12.75">
      <c r="A17978" s="8">
        <v>43896.419710648144</v>
      </c>
      <c r="B17978" s="8" t="str">
        <f>HYPERLINK("https://twitter.com/jwhsibarani","@jwhsibarani")</f>
        <v>@jwhsibarani</v>
      </c>
      <c r="C17978" s="8" t="s">
        <v>1078</v>
      </c>
      <c r="D17978" s="8">
        <v>678</v>
      </c>
      <c r="E17978" s="8">
        <v>0</v>
      </c>
      <c r="F17978" s="8">
        <v>83</v>
      </c>
    </row>
    <row r="17979" spans="1:6" ht="12.75">
      <c r="A17979" s="8">
        <v>43896.419664351852</v>
      </c>
      <c r="B17979" s="8" t="str">
        <f>HYPERLINK("https://twitter.com/ruangobrol_id","@ruangobrol_id")</f>
        <v>@ruangobrol_id</v>
      </c>
      <c r="C17979" s="8" t="s">
        <v>7290</v>
      </c>
      <c r="D17979" s="8">
        <v>0</v>
      </c>
      <c r="E17979" s="8">
        <v>0</v>
      </c>
      <c r="F17979" s="8">
        <v>164</v>
      </c>
    </row>
    <row r="17980" spans="1:6" ht="12.75">
      <c r="A17980" s="8">
        <v>43896.418379629627</v>
      </c>
      <c r="B17980" s="8" t="str">
        <f>HYPERLINK("https://twitter.com/insomlight_RI","@insomlight_RI")</f>
        <v>@insomlight_RI</v>
      </c>
      <c r="C17980" s="8" t="s">
        <v>7291</v>
      </c>
      <c r="D17980" s="8">
        <v>0</v>
      </c>
      <c r="E17980" s="8">
        <v>0</v>
      </c>
      <c r="F17980" s="8">
        <v>121</v>
      </c>
    </row>
    <row r="17981" spans="1:6" ht="12.75">
      <c r="A17981" s="8">
        <v>43896.417650462958</v>
      </c>
      <c r="B17981" s="8" t="str">
        <f>HYPERLINK("https://twitter.com/Fm98Sonora","@Fm98Sonora")</f>
        <v>@Fm98Sonora</v>
      </c>
      <c r="C17981" s="8" t="s">
        <v>7292</v>
      </c>
      <c r="D17981" s="8">
        <v>1</v>
      </c>
      <c r="E17981" s="8">
        <v>0</v>
      </c>
      <c r="F17981" s="8">
        <v>25</v>
      </c>
    </row>
    <row r="17982" spans="1:6" ht="12.75">
      <c r="A17982" s="8">
        <v>43896.416828703703</v>
      </c>
      <c r="B17982" s="8" t="str">
        <f>HYPERLINK("https://twitter.com/alineadotid","@alineadotid")</f>
        <v>@alineadotid</v>
      </c>
      <c r="C17982" s="8" t="s">
        <v>7293</v>
      </c>
      <c r="D17982" s="8">
        <v>0</v>
      </c>
      <c r="E17982" s="8">
        <v>0</v>
      </c>
      <c r="F17982" s="8">
        <v>611612</v>
      </c>
    </row>
    <row r="17983" spans="1:6" ht="12.75">
      <c r="A17983" s="8">
        <v>43896.416666666672</v>
      </c>
      <c r="B17983" s="8" t="str">
        <f>HYPERLINK("https://twitter.com/GTVID_News","@GTVID_News")</f>
        <v>@GTVID_News</v>
      </c>
      <c r="C17983" s="8" t="s">
        <v>7294</v>
      </c>
      <c r="D17983" s="8">
        <v>0</v>
      </c>
      <c r="E17983" s="8">
        <v>0</v>
      </c>
      <c r="F17983" s="8">
        <v>10816</v>
      </c>
    </row>
    <row r="17984" spans="1:6" ht="12.75">
      <c r="A17984" s="8">
        <v>43896.415497685186</v>
      </c>
      <c r="B17984" s="8" t="str">
        <f>HYPERLINK("https://twitter.com/minocchiato","@minocchiato")</f>
        <v>@minocchiato</v>
      </c>
      <c r="C17984" s="8" t="s">
        <v>7295</v>
      </c>
      <c r="D17984" s="8">
        <v>0</v>
      </c>
      <c r="E17984" s="8">
        <v>0</v>
      </c>
      <c r="F17984" s="8">
        <v>622</v>
      </c>
    </row>
    <row r="17985" spans="1:6" ht="12.75">
      <c r="A17985" s="8">
        <v>43896.415451388893</v>
      </c>
      <c r="B17985" s="8" t="str">
        <f>HYPERLINK("https://twitter.com/NaimaMaheswari","@NaimaMaheswari")</f>
        <v>@NaimaMaheswari</v>
      </c>
      <c r="C17985" s="8" t="s">
        <v>7296</v>
      </c>
      <c r="D17985" s="8">
        <v>0</v>
      </c>
      <c r="E17985" s="8">
        <v>1</v>
      </c>
      <c r="F17985" s="8">
        <v>12598</v>
      </c>
    </row>
    <row r="17986" spans="1:6" ht="12.75">
      <c r="A17986" s="8">
        <v>43896.414375</v>
      </c>
      <c r="B17986" s="8" t="str">
        <f>HYPERLINK("https://twitter.com/ApriTorisa","@ApriTorisa")</f>
        <v>@ApriTorisa</v>
      </c>
      <c r="C17986" s="8" t="s">
        <v>5878</v>
      </c>
      <c r="D17986" s="8">
        <v>28</v>
      </c>
      <c r="E17986" s="8">
        <v>0</v>
      </c>
      <c r="F17986" s="8">
        <v>10</v>
      </c>
    </row>
    <row r="17987" spans="1:6" ht="12.75">
      <c r="A17987" s="8">
        <v>43896.41337962963</v>
      </c>
      <c r="B17987" s="8" t="str">
        <f>HYPERLINK("https://twitter.com/JulianiAndika","@JulianiAndika")</f>
        <v>@JulianiAndika</v>
      </c>
      <c r="C17987" s="8" t="s">
        <v>7297</v>
      </c>
      <c r="D17987" s="8">
        <v>0</v>
      </c>
      <c r="E17987" s="8">
        <v>0</v>
      </c>
      <c r="F17987" s="8">
        <v>431</v>
      </c>
    </row>
    <row r="17988" spans="1:6" ht="12.75">
      <c r="A17988" s="8">
        <v>43896.412662037037</v>
      </c>
      <c r="B17988" s="8" t="str">
        <f>HYPERLINK("https://twitter.com/MAliSubhan2","@MAliSubhan2")</f>
        <v>@MAliSubhan2</v>
      </c>
      <c r="C17988" s="8" t="s">
        <v>7108</v>
      </c>
      <c r="D17988" s="8">
        <v>45</v>
      </c>
      <c r="E17988" s="8">
        <v>0</v>
      </c>
      <c r="F17988" s="8">
        <v>1263</v>
      </c>
    </row>
    <row r="17989" spans="1:6" ht="12.75">
      <c r="A17989" s="8">
        <v>43896.411412037036</v>
      </c>
      <c r="B17989" s="8" t="str">
        <f>HYPERLINK("https://twitter.com/imigrasi_jakbar","@imigrasi_jakbar")</f>
        <v>@imigrasi_jakbar</v>
      </c>
      <c r="C17989" s="8" t="s">
        <v>7298</v>
      </c>
      <c r="D17989" s="8">
        <v>0</v>
      </c>
      <c r="E17989" s="8">
        <v>0</v>
      </c>
      <c r="F17989" s="8">
        <v>3271</v>
      </c>
    </row>
    <row r="17990" spans="1:6" ht="12.75">
      <c r="A17990" s="8">
        <v>43896.410625000004</v>
      </c>
      <c r="B17990" s="8" t="str">
        <f>HYPERLINK("https://twitter.com/Ipinmuach","@Ipinmuach")</f>
        <v>@Ipinmuach</v>
      </c>
      <c r="C17990" s="8" t="s">
        <v>7299</v>
      </c>
      <c r="D17990" s="8">
        <v>5</v>
      </c>
      <c r="E17990" s="8">
        <v>0</v>
      </c>
      <c r="F17990" s="8">
        <v>27</v>
      </c>
    </row>
    <row r="17991" spans="1:6" ht="12.75">
      <c r="A17991" s="8">
        <v>43896.409131944441</v>
      </c>
      <c r="B17991" s="8" t="str">
        <f>HYPERLINK("https://twitter.com/gus55177350","@gus55177350")</f>
        <v>@gus55177350</v>
      </c>
      <c r="C17991" s="8" t="s">
        <v>7300</v>
      </c>
      <c r="D17991" s="8">
        <v>0</v>
      </c>
      <c r="E17991" s="8">
        <v>0</v>
      </c>
      <c r="F17991" s="8">
        <v>48</v>
      </c>
    </row>
    <row r="17992" spans="1:6" ht="12.75">
      <c r="A17992" s="8">
        <v>43896.40896990741</v>
      </c>
      <c r="B17992" s="8" t="str">
        <f>HYPERLINK("https://twitter.com/mbakdaraayu","@mbakdaraayu")</f>
        <v>@mbakdaraayu</v>
      </c>
      <c r="C17992" s="8" t="s">
        <v>6636</v>
      </c>
      <c r="D17992" s="8">
        <v>4</v>
      </c>
      <c r="E17992" s="8">
        <v>0</v>
      </c>
      <c r="F17992" s="8">
        <v>505</v>
      </c>
    </row>
    <row r="17993" spans="1:6" ht="12.75">
      <c r="A17993" s="8">
        <v>43896.408935185187</v>
      </c>
      <c r="B17993" s="8" t="str">
        <f>HYPERLINK("https://twitter.com/wahhabicc_jabar","@wahhabicc_jabar")</f>
        <v>@wahhabicc_jabar</v>
      </c>
      <c r="C17993" s="8" t="s">
        <v>6002</v>
      </c>
      <c r="D17993" s="8">
        <v>5</v>
      </c>
      <c r="E17993" s="8">
        <v>0</v>
      </c>
      <c r="F17993" s="8">
        <v>30941</v>
      </c>
    </row>
    <row r="17994" spans="1:6" ht="12.75">
      <c r="A17994" s="8">
        <v>43896.404444444444</v>
      </c>
      <c r="B17994" s="8" t="str">
        <f>HYPERLINK("https://twitter.com/suprayitnoward1","@suprayitnoward1")</f>
        <v>@suprayitnoward1</v>
      </c>
      <c r="C17994" s="8" t="s">
        <v>7301</v>
      </c>
      <c r="D17994" s="8">
        <v>0</v>
      </c>
      <c r="E17994" s="8">
        <v>0</v>
      </c>
      <c r="F17994" s="8">
        <v>106</v>
      </c>
    </row>
    <row r="17995" spans="1:6" ht="12.75">
      <c r="A17995" s="8">
        <v>43896.402233796296</v>
      </c>
      <c r="B17995" s="8" t="str">
        <f>HYPERLINK("https://twitter.com/bbyaltr","@bbyaltr")</f>
        <v>@bbyaltr</v>
      </c>
      <c r="C17995" s="8" t="s">
        <v>7302</v>
      </c>
      <c r="D17995" s="8">
        <v>0</v>
      </c>
      <c r="E17995" s="8">
        <v>0</v>
      </c>
      <c r="F17995" s="8">
        <v>189</v>
      </c>
    </row>
    <row r="17996" spans="1:6" ht="12.75">
      <c r="A17996" s="8">
        <v>43896.400949074072</v>
      </c>
      <c r="B17996" s="8" t="str">
        <f>HYPERLINK("https://twitter.com/BintangAldifa","@BintangAldifa")</f>
        <v>@BintangAldifa</v>
      </c>
      <c r="C17996" s="8" t="s">
        <v>7303</v>
      </c>
      <c r="D17996" s="8">
        <v>0</v>
      </c>
      <c r="E17996" s="8">
        <v>0</v>
      </c>
      <c r="F17996" s="8">
        <v>213</v>
      </c>
    </row>
    <row r="17997" spans="1:6" ht="12.75">
      <c r="A17997" s="8">
        <v>43896.399837962963</v>
      </c>
      <c r="B17997" s="8" t="str">
        <f>HYPERLINK("https://twitter.com/mostradio1058fm","@mostradio1058fm")</f>
        <v>@mostradio1058fm</v>
      </c>
      <c r="C17997" s="8" t="s">
        <v>7304</v>
      </c>
      <c r="D17997" s="8">
        <v>0</v>
      </c>
      <c r="E17997" s="8">
        <v>1</v>
      </c>
      <c r="F17997" s="8">
        <v>75414</v>
      </c>
    </row>
    <row r="17998" spans="1:6" ht="12.75">
      <c r="A17998" s="8">
        <v>43896.39944444444</v>
      </c>
      <c r="B17998" s="8" t="str">
        <f>HYPERLINK("https://twitter.com/g_rama112","@g_rama112")</f>
        <v>@g_rama112</v>
      </c>
      <c r="C17998" s="8" t="s">
        <v>7305</v>
      </c>
      <c r="D17998" s="8">
        <v>0</v>
      </c>
      <c r="E17998" s="8">
        <v>0</v>
      </c>
      <c r="F17998" s="8">
        <v>89</v>
      </c>
    </row>
    <row r="17999" spans="1:6" ht="12.75">
      <c r="A17999" s="8">
        <v>43896.399201388893</v>
      </c>
      <c r="B17999" s="8" t="str">
        <f>HYPERLINK("https://twitter.com/fadlijoesandi","@fadlijoesandi")</f>
        <v>@fadlijoesandi</v>
      </c>
      <c r="C17999" s="8" t="s">
        <v>7306</v>
      </c>
      <c r="D17999" s="8">
        <v>0</v>
      </c>
      <c r="E17999" s="8">
        <v>0</v>
      </c>
      <c r="F17999" s="8">
        <v>195</v>
      </c>
    </row>
    <row r="18000" spans="1:6" ht="12.75">
      <c r="A18000" s="8">
        <v>43896.398969907408</v>
      </c>
      <c r="B18000" s="8" t="str">
        <f>HYPERLINK("https://twitter.com/azpalkthea","@azpalkthea")</f>
        <v>@azpalkthea</v>
      </c>
      <c r="C18000" s="8" t="s">
        <v>7108</v>
      </c>
      <c r="D18000" s="8">
        <v>45</v>
      </c>
      <c r="E18000" s="8">
        <v>0</v>
      </c>
      <c r="F18000" s="8">
        <v>2543</v>
      </c>
    </row>
    <row r="18001" spans="1:6" ht="12.75">
      <c r="A18001" s="8">
        <v>43896.3980787037</v>
      </c>
      <c r="B18001" s="8" t="str">
        <f>HYPERLINK("https://twitter.com/rikaribka79","@rikaribka79")</f>
        <v>@rikaribka79</v>
      </c>
      <c r="C18001" s="8" t="s">
        <v>7307</v>
      </c>
      <c r="D18001" s="8">
        <v>3</v>
      </c>
      <c r="E18001" s="8">
        <v>0</v>
      </c>
      <c r="F18001" s="8">
        <v>296</v>
      </c>
    </row>
    <row r="18002" spans="1:6" ht="12.75">
      <c r="A18002" s="8">
        <v>43896.396886574075</v>
      </c>
      <c r="B18002" s="8" t="str">
        <f>HYPERLINK("https://twitter.com/agoessp","@agoessp")</f>
        <v>@agoessp</v>
      </c>
      <c r="C18002" s="8" t="s">
        <v>4948</v>
      </c>
      <c r="D18002" s="8">
        <v>35</v>
      </c>
      <c r="E18002" s="8">
        <v>0</v>
      </c>
      <c r="F18002" s="8">
        <v>143</v>
      </c>
    </row>
    <row r="18003" spans="1:6" ht="12.75">
      <c r="A18003" s="8">
        <v>43896.396550925929</v>
      </c>
      <c r="B18003" s="8" t="str">
        <f>HYPERLINK("https://twitter.com/LC01L","@LC01L")</f>
        <v>@LC01L</v>
      </c>
      <c r="C18003" s="8" t="s">
        <v>7108</v>
      </c>
      <c r="D18003" s="8">
        <v>45</v>
      </c>
      <c r="E18003" s="8">
        <v>0</v>
      </c>
      <c r="F18003" s="8">
        <v>245</v>
      </c>
    </row>
    <row r="18004" spans="1:6" ht="12.75">
      <c r="A18004" s="8">
        <v>43896.394965277781</v>
      </c>
      <c r="B18004" s="8" t="str">
        <f>HYPERLINK("https://twitter.com/pikiran_rakyat","@pikiran_rakyat")</f>
        <v>@pikiran_rakyat</v>
      </c>
      <c r="C18004" s="8" t="s">
        <v>7308</v>
      </c>
      <c r="D18004" s="8">
        <v>0</v>
      </c>
      <c r="E18004" s="8">
        <v>2</v>
      </c>
      <c r="F18004" s="8">
        <v>413278</v>
      </c>
    </row>
    <row r="18005" spans="1:6" ht="12.75">
      <c r="A18005" s="8">
        <v>43896.394270833334</v>
      </c>
      <c r="B18005" s="8" t="str">
        <f>HYPERLINK("https://twitter.com/erickchuntandra","@erickchuntandra")</f>
        <v>@erickchuntandra</v>
      </c>
      <c r="C18005" s="8" t="s">
        <v>1343</v>
      </c>
      <c r="D18005" s="8">
        <v>16</v>
      </c>
      <c r="E18005" s="8">
        <v>0</v>
      </c>
      <c r="F18005" s="8">
        <v>0</v>
      </c>
    </row>
    <row r="18006" spans="1:6" ht="12.75">
      <c r="A18006" s="8">
        <v>43896.394143518519</v>
      </c>
      <c r="B18006" s="8" t="str">
        <f>HYPERLINK("https://twitter.com/_wni_","@_wni_")</f>
        <v>@_wni_</v>
      </c>
      <c r="C18006" s="8" t="s">
        <v>7309</v>
      </c>
      <c r="D18006" s="8">
        <v>0</v>
      </c>
      <c r="E18006" s="8">
        <v>0</v>
      </c>
      <c r="F18006" s="8">
        <v>15</v>
      </c>
    </row>
    <row r="18007" spans="1:6" ht="12.75">
      <c r="A18007" s="8">
        <v>43896.392881944441</v>
      </c>
      <c r="B18007" s="8" t="str">
        <f>HYPERLINK("https://twitter.com/kabarkhusus","@kabarkhusus")</f>
        <v>@kabarkhusus</v>
      </c>
      <c r="C18007" s="8" t="s">
        <v>7310</v>
      </c>
      <c r="D18007" s="8">
        <v>0</v>
      </c>
      <c r="E18007" s="8">
        <v>0</v>
      </c>
      <c r="F18007" s="8">
        <v>14097</v>
      </c>
    </row>
    <row r="18008" spans="1:6" ht="12.75">
      <c r="A18008" s="8">
        <v>43896.392777777779</v>
      </c>
      <c r="B18008" s="8" t="str">
        <f>HYPERLINK("https://twitter.com/adhabangkit","@adhabangkit")</f>
        <v>@adhabangkit</v>
      </c>
      <c r="C18008" s="8" t="s">
        <v>7311</v>
      </c>
      <c r="D18008" s="8">
        <v>0</v>
      </c>
      <c r="E18008" s="8">
        <v>0</v>
      </c>
      <c r="F18008" s="8">
        <v>496</v>
      </c>
    </row>
    <row r="18009" spans="1:6" ht="12.75">
      <c r="A18009" s="8">
        <v>43896.392708333333</v>
      </c>
      <c r="B18009" s="8" t="str">
        <f>HYPERLINK("https://twitter.com/KailPancing","@KailPancing")</f>
        <v>@KailPancing</v>
      </c>
      <c r="C18009" s="8" t="s">
        <v>7312</v>
      </c>
      <c r="D18009" s="8">
        <v>0</v>
      </c>
      <c r="E18009" s="8">
        <v>0</v>
      </c>
      <c r="F18009" s="8">
        <v>1085</v>
      </c>
    </row>
    <row r="18010" spans="1:6" ht="12.75">
      <c r="A18010" s="8">
        <v>43896.392592592594</v>
      </c>
      <c r="B18010" s="8" t="str">
        <f>HYPERLINK("https://twitter.com/yansugiana","@yansugiana")</f>
        <v>@yansugiana</v>
      </c>
      <c r="C18010" s="8" t="s">
        <v>7313</v>
      </c>
      <c r="D18010" s="8">
        <v>2</v>
      </c>
      <c r="E18010" s="8">
        <v>0</v>
      </c>
      <c r="F18010" s="8">
        <v>92</v>
      </c>
    </row>
    <row r="18011" spans="1:6" ht="12.75">
      <c r="A18011" s="8">
        <v>43896.392384259263</v>
      </c>
      <c r="B18011" s="8" t="str">
        <f t="shared" ref="B18011:B18012" si="264">HYPERLINK("https://twitter.com/_wni_","@_wni_")</f>
        <v>@_wni_</v>
      </c>
      <c r="C18011" s="8" t="s">
        <v>7314</v>
      </c>
      <c r="D18011" s="8">
        <v>868</v>
      </c>
      <c r="E18011" s="8">
        <v>0</v>
      </c>
      <c r="F18011" s="8">
        <v>15</v>
      </c>
    </row>
    <row r="18012" spans="1:6" ht="12.75">
      <c r="A18012" s="8">
        <v>43896.392118055555</v>
      </c>
      <c r="B18012" s="8" t="str">
        <f t="shared" si="264"/>
        <v>@_wni_</v>
      </c>
      <c r="C18012" s="8" t="s">
        <v>7315</v>
      </c>
      <c r="D18012" s="8">
        <v>0</v>
      </c>
      <c r="E18012" s="8">
        <v>0</v>
      </c>
      <c r="F18012" s="8">
        <v>15</v>
      </c>
    </row>
    <row r="18013" spans="1:6" ht="12.75">
      <c r="A18013" s="8">
        <v>43896.391701388886</v>
      </c>
      <c r="B18013" s="8" t="str">
        <f>HYPERLINK("https://twitter.com/Puteriswift_","@Puteriswift_")</f>
        <v>@Puteriswift_</v>
      </c>
      <c r="C18013" s="8" t="s">
        <v>7316</v>
      </c>
      <c r="D18013" s="8">
        <v>0</v>
      </c>
      <c r="E18013" s="8">
        <v>1</v>
      </c>
      <c r="F18013" s="8">
        <v>287</v>
      </c>
    </row>
    <row r="18014" spans="1:6" ht="12.75">
      <c r="A18014" s="8">
        <v>43896.391134259262</v>
      </c>
      <c r="B18014" s="8" t="str">
        <f>HYPERLINK("https://twitter.com/Dadodad59834626","@Dadodad59834626")</f>
        <v>@Dadodad59834626</v>
      </c>
      <c r="C18014" s="8" t="s">
        <v>7197</v>
      </c>
      <c r="D18014" s="8">
        <v>95</v>
      </c>
      <c r="E18014" s="8">
        <v>0</v>
      </c>
      <c r="F18014" s="8">
        <v>364</v>
      </c>
    </row>
    <row r="18015" spans="1:6" ht="12.75">
      <c r="A18015" s="8">
        <v>43896.390960648147</v>
      </c>
      <c r="B18015" s="8" t="str">
        <f>HYPERLINK("https://twitter.com/_wni_","@_wni_")</f>
        <v>@_wni_</v>
      </c>
      <c r="C18015" s="8" t="s">
        <v>7317</v>
      </c>
      <c r="D18015" s="8">
        <v>0</v>
      </c>
      <c r="E18015" s="8">
        <v>0</v>
      </c>
      <c r="F18015" s="8">
        <v>15</v>
      </c>
    </row>
    <row r="18016" spans="1:6" ht="12.75">
      <c r="A18016" s="8">
        <v>43896.390393518523</v>
      </c>
      <c r="B18016" s="8" t="str">
        <f>HYPERLINK("https://twitter.com/tribuntimur","@tribuntimur")</f>
        <v>@tribuntimur</v>
      </c>
      <c r="C18016" s="8" t="s">
        <v>7318</v>
      </c>
      <c r="D18016" s="8">
        <v>0</v>
      </c>
      <c r="E18016" s="8">
        <v>2</v>
      </c>
      <c r="F18016" s="8">
        <v>178089</v>
      </c>
    </row>
    <row r="18017" spans="1:6" ht="12.75">
      <c r="A18017" s="8">
        <v>43896.390162037038</v>
      </c>
      <c r="B18017" s="8" t="str">
        <f>HYPERLINK("https://twitter.com/Bennyboegiz","@Bennyboegiz")</f>
        <v>@Bennyboegiz</v>
      </c>
      <c r="C18017" s="8" t="s">
        <v>7108</v>
      </c>
      <c r="D18017" s="8">
        <v>45</v>
      </c>
      <c r="E18017" s="8">
        <v>0</v>
      </c>
      <c r="F18017" s="8">
        <v>1121</v>
      </c>
    </row>
    <row r="18018" spans="1:6" ht="12.75">
      <c r="A18018" s="8">
        <v>43896.389687499999</v>
      </c>
      <c r="B18018" s="8" t="str">
        <f>HYPERLINK("https://twitter.com/Puteriswift_","@Puteriswift_")</f>
        <v>@Puteriswift_</v>
      </c>
      <c r="C18018" s="8" t="s">
        <v>7319</v>
      </c>
      <c r="D18018" s="8">
        <v>0</v>
      </c>
      <c r="E18018" s="8">
        <v>1</v>
      </c>
      <c r="F18018" s="8">
        <v>287</v>
      </c>
    </row>
    <row r="18019" spans="1:6" ht="12.75">
      <c r="A18019" s="8">
        <v>43896.38925925926</v>
      </c>
      <c r="B18019" s="8" t="str">
        <f>HYPERLINK("https://twitter.com/TambengBagong","@TambengBagong")</f>
        <v>@TambengBagong</v>
      </c>
      <c r="C18019" s="8" t="s">
        <v>7320</v>
      </c>
      <c r="D18019" s="8">
        <v>7</v>
      </c>
      <c r="E18019" s="8">
        <v>0</v>
      </c>
      <c r="F18019" s="8">
        <v>634</v>
      </c>
    </row>
    <row r="18020" spans="1:6" ht="12.75">
      <c r="A18020" s="8">
        <v>43896.388101851851</v>
      </c>
      <c r="B18020" s="8" t="str">
        <f>HYPERLINK("https://twitter.com/kuncitrusss","@kuncitrusss")</f>
        <v>@kuncitrusss</v>
      </c>
      <c r="C18020" s="8" t="s">
        <v>7321</v>
      </c>
      <c r="D18020" s="8">
        <v>0</v>
      </c>
      <c r="E18020" s="8">
        <v>2</v>
      </c>
      <c r="F18020" s="8">
        <v>325</v>
      </c>
    </row>
    <row r="18021" spans="1:6" ht="12.75">
      <c r="A18021" s="8">
        <v>43896.387743055559</v>
      </c>
      <c r="B18021" s="8" t="str">
        <f>HYPERLINK("https://twitter.com/NickyRaysah","@NickyRaysah")</f>
        <v>@NickyRaysah</v>
      </c>
      <c r="C18021" s="8" t="s">
        <v>7322</v>
      </c>
      <c r="D18021" s="8">
        <v>0</v>
      </c>
      <c r="E18021" s="8">
        <v>0</v>
      </c>
      <c r="F18021" s="8">
        <v>1443</v>
      </c>
    </row>
    <row r="18022" spans="1:6" ht="12.75">
      <c r="A18022" s="8">
        <v>43896.387673611112</v>
      </c>
      <c r="B18022" s="8" t="str">
        <f>HYPERLINK("https://twitter.com/AliDavala99","@AliDavala99")</f>
        <v>@AliDavala99</v>
      </c>
      <c r="C18022" s="8" t="s">
        <v>2979</v>
      </c>
      <c r="D18022" s="8">
        <v>239</v>
      </c>
      <c r="E18022" s="8">
        <v>0</v>
      </c>
      <c r="F18022" s="8">
        <v>80</v>
      </c>
    </row>
    <row r="18023" spans="1:6" ht="12.75">
      <c r="A18023" s="8">
        <v>43896.38753472222</v>
      </c>
      <c r="B18023" s="8" t="str">
        <f>HYPERLINK("https://twitter.com/vinni_hidayani","@vinni_hidayani")</f>
        <v>@vinni_hidayani</v>
      </c>
      <c r="C18023" s="8" t="s">
        <v>7323</v>
      </c>
      <c r="D18023" s="8">
        <v>0</v>
      </c>
      <c r="E18023" s="8">
        <v>0</v>
      </c>
      <c r="F18023" s="8">
        <v>149</v>
      </c>
    </row>
    <row r="18024" spans="1:6" ht="12.75">
      <c r="A18024" s="8">
        <v>43896.385949074072</v>
      </c>
      <c r="B18024" s="8" t="str">
        <f>HYPERLINK("https://twitter.com/Puteriswift_","@Puteriswift_")</f>
        <v>@Puteriswift_</v>
      </c>
      <c r="C18024" s="8" t="s">
        <v>7324</v>
      </c>
      <c r="D18024" s="8">
        <v>0</v>
      </c>
      <c r="E18024" s="8">
        <v>1</v>
      </c>
      <c r="F18024" s="8">
        <v>287</v>
      </c>
    </row>
    <row r="18025" spans="1:6" ht="12.75">
      <c r="A18025" s="8">
        <v>43896.384791666671</v>
      </c>
      <c r="B18025" s="8" t="str">
        <f>HYPERLINK("https://twitter.com/RomitsuT","@RomitsuT")</f>
        <v>@RomitsuT</v>
      </c>
      <c r="C18025" s="8" t="s">
        <v>7325</v>
      </c>
      <c r="D18025" s="8">
        <v>1</v>
      </c>
      <c r="E18025" s="8">
        <v>2</v>
      </c>
      <c r="F18025" s="8">
        <v>8570</v>
      </c>
    </row>
    <row r="18026" spans="1:6" ht="12.75">
      <c r="A18026" s="8">
        <v>43896.38386574074</v>
      </c>
      <c r="B18026" s="8" t="str">
        <f>HYPERLINK("https://twitter.com/TeleringStore","@TeleringStore")</f>
        <v>@TeleringStore</v>
      </c>
      <c r="C18026" s="8" t="s">
        <v>7326</v>
      </c>
      <c r="D18026" s="8">
        <v>0</v>
      </c>
      <c r="E18026" s="8">
        <v>0</v>
      </c>
      <c r="F18026" s="8">
        <v>92</v>
      </c>
    </row>
    <row r="18027" spans="1:6" ht="12.75">
      <c r="A18027" s="8">
        <v>43896.383668981478</v>
      </c>
      <c r="B18027" s="8" t="str">
        <f>HYPERLINK("https://twitter.com/Umahe_","@Umahe_")</f>
        <v>@Umahe_</v>
      </c>
      <c r="C18027" s="8" t="s">
        <v>6002</v>
      </c>
      <c r="D18027" s="8">
        <v>5</v>
      </c>
      <c r="E18027" s="8">
        <v>0</v>
      </c>
      <c r="F18027" s="8">
        <v>331</v>
      </c>
    </row>
    <row r="18028" spans="1:6" ht="12.75">
      <c r="A18028" s="8">
        <v>43896.383159722223</v>
      </c>
      <c r="B18028" s="8" t="str">
        <f>HYPERLINK("https://twitter.com/chaelisung","@chaelisung")</f>
        <v>@chaelisung</v>
      </c>
      <c r="C18028" s="8" t="s">
        <v>7327</v>
      </c>
      <c r="D18028" s="8">
        <v>0</v>
      </c>
      <c r="E18028" s="8">
        <v>0</v>
      </c>
      <c r="F18028" s="8">
        <v>22</v>
      </c>
    </row>
    <row r="18029" spans="1:6" ht="12.75">
      <c r="A18029" s="8">
        <v>43896.382870370369</v>
      </c>
      <c r="B18029" s="8" t="str">
        <f>HYPERLINK("https://twitter.com/vandaINJFT","@vandaINJFT")</f>
        <v>@vandaINJFT</v>
      </c>
      <c r="C18029" s="8" t="s">
        <v>6002</v>
      </c>
      <c r="D18029" s="8">
        <v>5</v>
      </c>
      <c r="E18029" s="8">
        <v>0</v>
      </c>
      <c r="F18029" s="8">
        <v>196</v>
      </c>
    </row>
    <row r="18030" spans="1:6" ht="12.75">
      <c r="A18030" s="8">
        <v>43896.382662037038</v>
      </c>
      <c r="B18030" s="8" t="str">
        <f>HYPERLINK("https://twitter.com/imanhidayat1280","@imanhidayat1280")</f>
        <v>@imanhidayat1280</v>
      </c>
      <c r="C18030" s="8" t="s">
        <v>7189</v>
      </c>
      <c r="D18030" s="8">
        <v>60</v>
      </c>
      <c r="E18030" s="8">
        <v>0</v>
      </c>
      <c r="F18030" s="8">
        <v>655</v>
      </c>
    </row>
    <row r="18031" spans="1:6" ht="12.75">
      <c r="A18031" s="8">
        <v>43896.382048611107</v>
      </c>
      <c r="B18031" s="8" t="str">
        <f>HYPERLINK("https://twitter.com/bandungnews5","@bandungnews5")</f>
        <v>@bandungnews5</v>
      </c>
      <c r="C18031" s="8" t="s">
        <v>7328</v>
      </c>
      <c r="D18031" s="8">
        <v>0</v>
      </c>
      <c r="E18031" s="8">
        <v>0</v>
      </c>
      <c r="F18031" s="8">
        <v>115</v>
      </c>
    </row>
    <row r="18032" spans="1:6" ht="12.75">
      <c r="A18032" s="8">
        <v>43896.382048611107</v>
      </c>
      <c r="B18032" s="8" t="str">
        <f>HYPERLINK("https://twitter.com/semangkasegar","@semangkasegar")</f>
        <v>@semangkasegar</v>
      </c>
      <c r="C18032" s="8" t="s">
        <v>7329</v>
      </c>
      <c r="D18032" s="8">
        <v>12</v>
      </c>
      <c r="E18032" s="8">
        <v>0</v>
      </c>
      <c r="F18032" s="8">
        <v>3109</v>
      </c>
    </row>
    <row r="18033" spans="1:6" ht="12.75">
      <c r="A18033" s="8">
        <v>43896.380914351852</v>
      </c>
      <c r="B18033" s="8" t="str">
        <f>HYPERLINK("https://twitter.com/kuncitrusss","@kuncitrusss")</f>
        <v>@kuncitrusss</v>
      </c>
      <c r="C18033" s="8" t="s">
        <v>7330</v>
      </c>
      <c r="D18033" s="8">
        <v>0</v>
      </c>
      <c r="E18033" s="8">
        <v>0</v>
      </c>
      <c r="F18033" s="8">
        <v>324</v>
      </c>
    </row>
    <row r="18034" spans="1:6" ht="12.75">
      <c r="A18034" s="8">
        <v>43896.380833333329</v>
      </c>
      <c r="B18034" s="8" t="str">
        <f>HYPERLINK("https://twitter.com/lingswaransingh","@lingswaransingh")</f>
        <v>@lingswaransingh</v>
      </c>
      <c r="C18034" s="8" t="s">
        <v>7331</v>
      </c>
      <c r="D18034" s="8">
        <v>0</v>
      </c>
      <c r="E18034" s="8">
        <v>0</v>
      </c>
      <c r="F18034" s="8">
        <v>538</v>
      </c>
    </row>
    <row r="18035" spans="1:6" ht="12.75">
      <c r="A18035" s="8">
        <v>43896.38045138889</v>
      </c>
      <c r="B18035" s="8" t="str">
        <f>HYPERLINK("https://twitter.com/syiahgl","@syiahgl")</f>
        <v>@syiahgl</v>
      </c>
      <c r="C18035" s="8" t="s">
        <v>7332</v>
      </c>
      <c r="D18035" s="8">
        <v>0</v>
      </c>
      <c r="E18035" s="8">
        <v>0</v>
      </c>
      <c r="F18035" s="8">
        <v>18540</v>
      </c>
    </row>
    <row r="18036" spans="1:6" ht="12.75">
      <c r="A18036" s="8">
        <v>43896.380266203705</v>
      </c>
      <c r="B18036" s="8" t="str">
        <f>HYPERLINK("https://twitter.com/hgberry","@hgberry")</f>
        <v>@hgberry</v>
      </c>
      <c r="C18036" s="8" t="s">
        <v>2506</v>
      </c>
      <c r="D18036" s="8">
        <v>17</v>
      </c>
      <c r="E18036" s="8">
        <v>0</v>
      </c>
      <c r="F18036" s="8">
        <v>1653</v>
      </c>
    </row>
    <row r="18037" spans="1:6" ht="12.75">
      <c r="A18037" s="8">
        <v>43896.379050925927</v>
      </c>
      <c r="B18037" s="8" t="str">
        <f>HYPERLINK("https://twitter.com/ArtiHar","@ArtiHar")</f>
        <v>@ArtiHar</v>
      </c>
      <c r="C18037" s="8" t="s">
        <v>4948</v>
      </c>
      <c r="D18037" s="8">
        <v>34</v>
      </c>
      <c r="E18037" s="8">
        <v>0</v>
      </c>
      <c r="F18037" s="8">
        <v>621</v>
      </c>
    </row>
    <row r="18038" spans="1:6" ht="12.75">
      <c r="A18038" s="8">
        <v>43896.378668981481</v>
      </c>
      <c r="B18038" s="8" t="str">
        <f>HYPERLINK("https://twitter.com/fadlunrahman","@fadlunrahman")</f>
        <v>@fadlunrahman</v>
      </c>
      <c r="C18038" s="8" t="s">
        <v>7333</v>
      </c>
      <c r="D18038" s="8">
        <v>2</v>
      </c>
      <c r="E18038" s="8">
        <v>0</v>
      </c>
      <c r="F18038" s="8">
        <v>2458</v>
      </c>
    </row>
    <row r="18039" spans="1:6" ht="12.75">
      <c r="A18039" s="8">
        <v>43896.378506944442</v>
      </c>
      <c r="B18039" s="8" t="str">
        <f>HYPERLINK("https://twitter.com/ManaoFlorius","@ManaoFlorius")</f>
        <v>@ManaoFlorius</v>
      </c>
      <c r="C18039" s="8" t="s">
        <v>7058</v>
      </c>
      <c r="D18039" s="8">
        <v>10</v>
      </c>
      <c r="E18039" s="8">
        <v>0</v>
      </c>
      <c r="F18039" s="8">
        <v>177</v>
      </c>
    </row>
    <row r="18040" spans="1:6" ht="12.75">
      <c r="A18040" s="8">
        <v>43896.378449074073</v>
      </c>
      <c r="B18040" s="8" t="str">
        <f>HYPERLINK("https://twitter.com/the_geotimes","@the_geotimes")</f>
        <v>@the_geotimes</v>
      </c>
      <c r="C18040" s="8" t="s">
        <v>7334</v>
      </c>
      <c r="D18040" s="8">
        <v>0</v>
      </c>
      <c r="E18040" s="8">
        <v>0</v>
      </c>
      <c r="F18040" s="8">
        <v>49821</v>
      </c>
    </row>
    <row r="18041" spans="1:6" ht="12.75">
      <c r="A18041" s="8">
        <v>43896.377476851849</v>
      </c>
      <c r="B18041" s="8" t="str">
        <f>HYPERLINK("https://twitter.com/DowsonAmar","@DowsonAmar")</f>
        <v>@DowsonAmar</v>
      </c>
      <c r="C18041" s="8" t="s">
        <v>7335</v>
      </c>
      <c r="D18041" s="8">
        <v>0</v>
      </c>
      <c r="E18041" s="8">
        <v>0</v>
      </c>
      <c r="F18041" s="8">
        <v>0</v>
      </c>
    </row>
    <row r="18042" spans="1:6" ht="12.75">
      <c r="A18042" s="8">
        <v>43896.376342592594</v>
      </c>
      <c r="B18042" s="8" t="str">
        <f>HYPERLINK("https://twitter.com/Bentalakelam","@Bentalakelam")</f>
        <v>@Bentalakelam</v>
      </c>
      <c r="C18042" s="8" t="s">
        <v>7336</v>
      </c>
      <c r="D18042" s="8">
        <v>0</v>
      </c>
      <c r="E18042" s="8">
        <v>0</v>
      </c>
      <c r="F18042" s="8">
        <v>2445</v>
      </c>
    </row>
    <row r="18043" spans="1:6" ht="12.75">
      <c r="A18043" s="8">
        <v>43896.376134259262</v>
      </c>
      <c r="B18043" s="8" t="str">
        <f>HYPERLINK("https://twitter.com/neniyuniatti","@neniyuniatti")</f>
        <v>@neniyuniatti</v>
      </c>
      <c r="C18043" s="8" t="s">
        <v>1078</v>
      </c>
      <c r="D18043" s="8">
        <v>672</v>
      </c>
      <c r="E18043" s="8">
        <v>0</v>
      </c>
      <c r="F18043" s="8">
        <v>156</v>
      </c>
    </row>
    <row r="18044" spans="1:6" ht="12.75">
      <c r="A18044" s="8">
        <v>43896.375335648147</v>
      </c>
      <c r="B18044" s="8" t="str">
        <f>HYPERLINK("https://twitter.com/RockyBurung","@RockyBurung")</f>
        <v>@RockyBurung</v>
      </c>
      <c r="C18044" s="8" t="s">
        <v>7337</v>
      </c>
      <c r="D18044" s="8">
        <v>2</v>
      </c>
      <c r="E18044" s="8">
        <v>0</v>
      </c>
      <c r="F18044" s="8">
        <v>2297</v>
      </c>
    </row>
    <row r="18045" spans="1:6" ht="12.75">
      <c r="A18045" s="8">
        <v>43896.374930555554</v>
      </c>
      <c r="B18045" s="8" t="str">
        <f>HYPERLINK("https://twitter.com/abethcia","@abethcia")</f>
        <v>@abethcia</v>
      </c>
      <c r="C18045" s="8" t="s">
        <v>7338</v>
      </c>
      <c r="D18045" s="8">
        <v>0</v>
      </c>
      <c r="E18045" s="8">
        <v>0</v>
      </c>
      <c r="F18045" s="8">
        <v>719</v>
      </c>
    </row>
    <row r="18046" spans="1:6" ht="12.75">
      <c r="A18046" s="8">
        <v>43896.374050925922</v>
      </c>
      <c r="B18046" s="8" t="str">
        <f>HYPERLINK("https://twitter.com/abu_ayyub_18523","@abu_ayyub_18523")</f>
        <v>@abu_ayyub_18523</v>
      </c>
      <c r="C18046" s="8" t="s">
        <v>7339</v>
      </c>
      <c r="D18046" s="8">
        <v>0</v>
      </c>
      <c r="E18046" s="8">
        <v>0</v>
      </c>
      <c r="F18046" s="8">
        <v>63</v>
      </c>
    </row>
    <row r="18047" spans="1:6" ht="12.75">
      <c r="A18047" s="8">
        <v>43896.373842592591</v>
      </c>
      <c r="B18047" s="8" t="str">
        <f>HYPERLINK("https://twitter.com/jeka_pak","@jeka_pak")</f>
        <v>@jeka_pak</v>
      </c>
      <c r="C18047" s="8" t="s">
        <v>7340</v>
      </c>
      <c r="D18047" s="8">
        <v>0</v>
      </c>
      <c r="E18047" s="8">
        <v>0</v>
      </c>
      <c r="F18047" s="8">
        <v>0</v>
      </c>
    </row>
    <row r="18048" spans="1:6" ht="12.75">
      <c r="A18048" s="8">
        <v>43896.373576388884</v>
      </c>
      <c r="B18048" s="8" t="str">
        <f>HYPERLINK("https://twitter.com/ruangobrol_id","@ruangobrol_id")</f>
        <v>@ruangobrol_id</v>
      </c>
      <c r="C18048" s="8" t="s">
        <v>7341</v>
      </c>
      <c r="D18048" s="8">
        <v>0</v>
      </c>
      <c r="E18048" s="8">
        <v>0</v>
      </c>
      <c r="F18048" s="8">
        <v>164</v>
      </c>
    </row>
    <row r="18049" spans="1:6" ht="12.75">
      <c r="A18049" s="8">
        <v>43896.37127314815</v>
      </c>
      <c r="B18049" s="8" t="str">
        <f>HYPERLINK("https://twitter.com/fadelonyye","@fadelonyye")</f>
        <v>@fadelonyye</v>
      </c>
      <c r="C18049" s="8" t="s">
        <v>2962</v>
      </c>
      <c r="D18049" s="8">
        <v>5686</v>
      </c>
      <c r="E18049" s="8">
        <v>0</v>
      </c>
      <c r="F18049" s="8">
        <v>632</v>
      </c>
    </row>
    <row r="18050" spans="1:6" ht="12.75">
      <c r="A18050" s="8">
        <v>43896.371203703704</v>
      </c>
      <c r="B18050" s="8" t="str">
        <f>HYPERLINK("https://twitter.com/CrushHopeless1","@CrushHopeless1")</f>
        <v>@CrushHopeless1</v>
      </c>
      <c r="C18050" s="8" t="s">
        <v>7342</v>
      </c>
      <c r="D18050" s="8">
        <v>0</v>
      </c>
      <c r="E18050" s="8">
        <v>0</v>
      </c>
      <c r="F18050" s="8">
        <v>119</v>
      </c>
    </row>
    <row r="18051" spans="1:6" ht="12.75">
      <c r="A18051" s="8">
        <v>43896.37096064815</v>
      </c>
      <c r="B18051" s="8" t="str">
        <f>HYPERLINK("https://twitter.com/YogaAdrianyoga6","@YogaAdrianyoga6")</f>
        <v>@YogaAdrianyoga6</v>
      </c>
      <c r="C18051" s="8" t="s">
        <v>7245</v>
      </c>
      <c r="D18051" s="8">
        <v>97</v>
      </c>
      <c r="E18051" s="8">
        <v>0</v>
      </c>
      <c r="F18051" s="8">
        <v>797</v>
      </c>
    </row>
    <row r="18052" spans="1:6" ht="12.75">
      <c r="A18052" s="8">
        <v>43896.370798611111</v>
      </c>
      <c r="B18052" s="8" t="str">
        <f>HYPERLINK("https://twitter.com/hiuuterdampar","@hiuuterdampar")</f>
        <v>@hiuuterdampar</v>
      </c>
      <c r="C18052" s="8" t="s">
        <v>7343</v>
      </c>
      <c r="D18052" s="8">
        <v>0</v>
      </c>
      <c r="E18052" s="8">
        <v>0</v>
      </c>
      <c r="F18052" s="8">
        <v>293</v>
      </c>
    </row>
    <row r="18053" spans="1:6" ht="12.75">
      <c r="A18053" s="8">
        <v>43896.370208333334</v>
      </c>
      <c r="B18053" s="8" t="str">
        <f>HYPERLINK("https://twitter.com/Haluan_","@Haluan_")</f>
        <v>@Haluan_</v>
      </c>
      <c r="C18053" s="8" t="s">
        <v>7344</v>
      </c>
      <c r="D18053" s="8">
        <v>0</v>
      </c>
      <c r="E18053" s="8">
        <v>0</v>
      </c>
      <c r="F18053" s="8">
        <v>1521</v>
      </c>
    </row>
    <row r="18054" spans="1:6" ht="12.75">
      <c r="A18054" s="8">
        <v>43896.370162037041</v>
      </c>
      <c r="B18054" s="8" t="str">
        <f>HYPERLINK("https://twitter.com/finskk","@finskk")</f>
        <v>@finskk</v>
      </c>
      <c r="C18054" s="8" t="s">
        <v>2962</v>
      </c>
      <c r="D18054" s="8">
        <v>5686</v>
      </c>
      <c r="E18054" s="8">
        <v>0</v>
      </c>
      <c r="F18054" s="8">
        <v>84</v>
      </c>
    </row>
    <row r="18055" spans="1:6" ht="12.75">
      <c r="A18055" s="8">
        <v>43896.370150462964</v>
      </c>
      <c r="B18055" s="8" t="str">
        <f>HYPERLINK("https://twitter.com/jurnalpatrolin1","@jurnalpatrolin1")</f>
        <v>@jurnalpatrolin1</v>
      </c>
      <c r="C18055" s="8" t="s">
        <v>7345</v>
      </c>
      <c r="D18055" s="8">
        <v>0</v>
      </c>
      <c r="E18055" s="8">
        <v>0</v>
      </c>
      <c r="F18055" s="8">
        <v>55</v>
      </c>
    </row>
    <row r="18056" spans="1:6" ht="12.75">
      <c r="A18056" s="8">
        <v>43896.368009259255</v>
      </c>
      <c r="B18056" s="8" t="str">
        <f>HYPERLINK("https://twitter.com/Om_Sugik","@Om_Sugik")</f>
        <v>@Om_Sugik</v>
      </c>
      <c r="C18056" s="8" t="s">
        <v>7346</v>
      </c>
      <c r="D18056" s="8">
        <v>0</v>
      </c>
      <c r="E18056" s="8">
        <v>0</v>
      </c>
      <c r="F18056" s="8">
        <v>580</v>
      </c>
    </row>
    <row r="18057" spans="1:6" ht="12.75">
      <c r="A18057" s="8">
        <v>43896.366898148146</v>
      </c>
      <c r="B18057" s="8" t="str">
        <f>HYPERLINK("https://twitter.com/hgberry","@hgberry")</f>
        <v>@hgberry</v>
      </c>
      <c r="C18057" s="8" t="s">
        <v>7269</v>
      </c>
      <c r="D18057" s="8">
        <v>8</v>
      </c>
      <c r="E18057" s="8">
        <v>0</v>
      </c>
      <c r="F18057" s="8">
        <v>1653</v>
      </c>
    </row>
    <row r="18058" spans="1:6" ht="12.75">
      <c r="A18058" s="8">
        <v>43896.365995370375</v>
      </c>
      <c r="B18058" s="8" t="str">
        <f>HYPERLINK("https://twitter.com/PulauTidungTrav","@PulauTidungTrav")</f>
        <v>@PulauTidungTrav</v>
      </c>
      <c r="C18058" s="8" t="s">
        <v>7347</v>
      </c>
      <c r="D18058" s="8">
        <v>0</v>
      </c>
      <c r="E18058" s="8">
        <v>0</v>
      </c>
      <c r="F18058" s="8">
        <v>112</v>
      </c>
    </row>
    <row r="18059" spans="1:6" ht="12.75">
      <c r="A18059" s="8">
        <v>43896.365474537037</v>
      </c>
      <c r="B18059" s="8" t="str">
        <f>HYPERLINK("https://twitter.com/MarcellGb","@MarcellGb")</f>
        <v>@MarcellGb</v>
      </c>
      <c r="C18059" s="8" t="s">
        <v>7348</v>
      </c>
      <c r="D18059" s="8">
        <v>0</v>
      </c>
      <c r="E18059" s="8">
        <v>0</v>
      </c>
      <c r="F18059" s="8">
        <v>574</v>
      </c>
    </row>
    <row r="18060" spans="1:6" ht="12.75">
      <c r="A18060" s="8">
        <v>43896.364479166667</v>
      </c>
      <c r="B18060" s="8" t="str">
        <f>HYPERLINK("https://twitter.com/Safes51","@Safes51")</f>
        <v>@Safes51</v>
      </c>
      <c r="C18060" s="8" t="s">
        <v>4948</v>
      </c>
      <c r="D18060" s="8">
        <v>34</v>
      </c>
      <c r="E18060" s="8">
        <v>0</v>
      </c>
      <c r="F18060" s="8">
        <v>54</v>
      </c>
    </row>
    <row r="18061" spans="1:6" ht="12.75">
      <c r="A18061" s="8">
        <v>43896.363657407404</v>
      </c>
      <c r="B18061" s="8" t="str">
        <f>HYPERLINK("https://twitter.com/74_surono","@74_surono")</f>
        <v>@74_surono</v>
      </c>
      <c r="C18061" s="8" t="s">
        <v>7349</v>
      </c>
      <c r="D18061" s="8">
        <v>0</v>
      </c>
      <c r="E18061" s="8">
        <v>0</v>
      </c>
      <c r="F18061" s="8">
        <v>2</v>
      </c>
    </row>
    <row r="18062" spans="1:6" ht="12.75">
      <c r="A18062" s="8">
        <v>43896.363483796296</v>
      </c>
      <c r="B18062" s="8" t="str">
        <f>HYPERLINK("https://twitter.com/jheavenhome","@jheavenhome")</f>
        <v>@jheavenhome</v>
      </c>
      <c r="C18062" s="8" t="s">
        <v>7108</v>
      </c>
      <c r="D18062" s="8">
        <v>41</v>
      </c>
      <c r="E18062" s="8">
        <v>0</v>
      </c>
      <c r="F18062" s="8">
        <v>2811</v>
      </c>
    </row>
    <row r="18063" spans="1:6" ht="12.75">
      <c r="A18063" s="8">
        <v>43896.36341435185</v>
      </c>
      <c r="B18063" s="8" t="str">
        <f>HYPERLINK("https://twitter.com/achidachida_23","@achidachida_23")</f>
        <v>@achidachida_23</v>
      </c>
      <c r="C18063" s="8" t="s">
        <v>7350</v>
      </c>
      <c r="D18063" s="8">
        <v>0</v>
      </c>
      <c r="E18063" s="8">
        <v>0</v>
      </c>
      <c r="F18063" s="8">
        <v>136</v>
      </c>
    </row>
    <row r="18064" spans="1:6" ht="12.75">
      <c r="A18064" s="8">
        <v>43896.362222222218</v>
      </c>
      <c r="B18064" s="8" t="str">
        <f>HYPERLINK("https://twitter.com/rinigrace","@rinigrace")</f>
        <v>@rinigrace</v>
      </c>
      <c r="C18064" s="8" t="s">
        <v>7351</v>
      </c>
      <c r="D18064" s="8">
        <v>0</v>
      </c>
      <c r="E18064" s="8">
        <v>1</v>
      </c>
      <c r="F18064" s="8">
        <v>566</v>
      </c>
    </row>
    <row r="18065" spans="1:6" ht="12.75">
      <c r="A18065" s="8">
        <v>43896.361909722225</v>
      </c>
      <c r="B18065" s="8" t="str">
        <f>HYPERLINK("https://twitter.com/dabelyu97","@dabelyu97")</f>
        <v>@dabelyu97</v>
      </c>
      <c r="C18065" s="8" t="s">
        <v>7352</v>
      </c>
      <c r="D18065" s="8">
        <v>0</v>
      </c>
      <c r="E18065" s="8">
        <v>0</v>
      </c>
      <c r="F18065" s="8">
        <v>251</v>
      </c>
    </row>
    <row r="18066" spans="1:6" ht="12.75">
      <c r="A18066" s="8">
        <v>43896.361203703702</v>
      </c>
      <c r="B18066" s="8" t="str">
        <f>HYPERLINK("https://twitter.com/indra_moelyono","@indra_moelyono")</f>
        <v>@indra_moelyono</v>
      </c>
      <c r="C18066" s="8" t="s">
        <v>7353</v>
      </c>
      <c r="D18066" s="8">
        <v>0</v>
      </c>
      <c r="E18066" s="8">
        <v>0</v>
      </c>
      <c r="F18066" s="8">
        <v>1</v>
      </c>
    </row>
    <row r="18067" spans="1:6" ht="12.75">
      <c r="A18067" s="8">
        <v>43896.360960648148</v>
      </c>
      <c r="B18067" s="8" t="str">
        <f>HYPERLINK("https://twitter.com/ErindaSofi","@ErindaSofi")</f>
        <v>@ErindaSofi</v>
      </c>
      <c r="C18067" s="8" t="s">
        <v>7354</v>
      </c>
      <c r="D18067" s="8">
        <v>1</v>
      </c>
      <c r="E18067" s="8">
        <v>0</v>
      </c>
      <c r="F18067" s="8">
        <v>6207</v>
      </c>
    </row>
    <row r="18068" spans="1:6" ht="12.75">
      <c r="A18068" s="8">
        <v>43896.359988425931</v>
      </c>
      <c r="B18068" s="8" t="str">
        <f>HYPERLINK("https://twitter.com/kak_wew","@kak_wew")</f>
        <v>@kak_wew</v>
      </c>
      <c r="C18068" s="8" t="s">
        <v>7355</v>
      </c>
      <c r="D18068" s="8">
        <v>1</v>
      </c>
      <c r="E18068" s="8">
        <v>1</v>
      </c>
      <c r="F18068" s="8">
        <v>338</v>
      </c>
    </row>
    <row r="18069" spans="1:6" ht="12.75">
      <c r="A18069" s="8">
        <v>43896.359930555554</v>
      </c>
      <c r="B18069" s="8" t="str">
        <f>HYPERLINK("https://twitter.com/UrubingDilah","@UrubingDilah")</f>
        <v>@UrubingDilah</v>
      </c>
      <c r="C18069" s="8" t="s">
        <v>4948</v>
      </c>
      <c r="D18069" s="8">
        <v>34</v>
      </c>
      <c r="E18069" s="8">
        <v>0</v>
      </c>
      <c r="F18069" s="8">
        <v>1379</v>
      </c>
    </row>
    <row r="18070" spans="1:6" ht="12.75">
      <c r="A18070" s="8">
        <v>43896.359861111108</v>
      </c>
      <c r="B18070" s="8" t="str">
        <f>HYPERLINK("https://twitter.com/soloinfo_id","@soloinfo_id")</f>
        <v>@soloinfo_id</v>
      </c>
      <c r="C18070" s="8" t="s">
        <v>7356</v>
      </c>
      <c r="D18070" s="8">
        <v>0</v>
      </c>
      <c r="E18070" s="8">
        <v>0</v>
      </c>
      <c r="F18070" s="8">
        <v>399</v>
      </c>
    </row>
    <row r="18071" spans="1:6" ht="12.75">
      <c r="A18071" s="8">
        <v>43896.359675925924</v>
      </c>
      <c r="B18071" s="8" t="str">
        <f>HYPERLINK("https://twitter.com/jeka_pak","@jeka_pak")</f>
        <v>@jeka_pak</v>
      </c>
      <c r="C18071" s="8" t="s">
        <v>7357</v>
      </c>
      <c r="D18071" s="8">
        <v>0</v>
      </c>
      <c r="E18071" s="8">
        <v>2</v>
      </c>
      <c r="F18071" s="8">
        <v>0</v>
      </c>
    </row>
    <row r="18072" spans="1:6" ht="12.75">
      <c r="A18072" s="8">
        <v>43896.357442129629</v>
      </c>
      <c r="B18072" s="8" t="str">
        <f>HYPERLINK("https://twitter.com/gio03_ivan","@gio03_ivan")</f>
        <v>@gio03_ivan</v>
      </c>
      <c r="C18072" s="8" t="s">
        <v>7108</v>
      </c>
      <c r="D18072" s="8">
        <v>41</v>
      </c>
      <c r="E18072" s="8">
        <v>0</v>
      </c>
      <c r="F18072" s="8">
        <v>189</v>
      </c>
    </row>
    <row r="18073" spans="1:6" ht="12.75">
      <c r="A18073" s="8">
        <v>43896.357025462959</v>
      </c>
      <c r="B18073" s="8" t="str">
        <f>HYPERLINK("https://twitter.com/mozad_zaenal","@mozad_zaenal")</f>
        <v>@mozad_zaenal</v>
      </c>
      <c r="C18073" s="8" t="s">
        <v>4948</v>
      </c>
      <c r="D18073" s="8">
        <v>34</v>
      </c>
      <c r="E18073" s="8">
        <v>0</v>
      </c>
      <c r="F18073" s="8">
        <v>179</v>
      </c>
    </row>
    <row r="18074" spans="1:6" ht="12.75">
      <c r="A18074" s="8">
        <v>43896.356874999998</v>
      </c>
      <c r="B18074" s="8" t="str">
        <f>HYPERLINK("https://twitter.com/PertiwiSi","@PertiwiSi")</f>
        <v>@PertiwiSi</v>
      </c>
      <c r="C18074" s="8" t="s">
        <v>4948</v>
      </c>
      <c r="D18074" s="8">
        <v>34</v>
      </c>
      <c r="E18074" s="8">
        <v>0</v>
      </c>
      <c r="F18074" s="8">
        <v>9</v>
      </c>
    </row>
    <row r="18075" spans="1:6" ht="12.75">
      <c r="A18075" s="8">
        <v>43896.356423611112</v>
      </c>
      <c r="B18075" s="8" t="str">
        <f>HYPERLINK("https://twitter.com/alinejimmy","@alinejimmy")</f>
        <v>@alinejimmy</v>
      </c>
      <c r="C18075" s="8" t="s">
        <v>7358</v>
      </c>
      <c r="D18075" s="8">
        <v>0</v>
      </c>
      <c r="E18075" s="8">
        <v>0</v>
      </c>
      <c r="F18075" s="8">
        <v>262</v>
      </c>
    </row>
    <row r="18076" spans="1:6" ht="12.75">
      <c r="A18076" s="8">
        <v>43896.356412037036</v>
      </c>
      <c r="B18076" s="8" t="str">
        <f>HYPERLINK("https://twitter.com/Indramajid8","@Indramajid8")</f>
        <v>@Indramajid8</v>
      </c>
      <c r="C18076" s="8" t="s">
        <v>2979</v>
      </c>
      <c r="D18076" s="8">
        <v>238</v>
      </c>
      <c r="E18076" s="8">
        <v>0</v>
      </c>
      <c r="F18076" s="8">
        <v>2263</v>
      </c>
    </row>
    <row r="18077" spans="1:6" ht="12.75">
      <c r="A18077" s="8">
        <v>43896.355902777781</v>
      </c>
      <c r="B18077" s="8" t="str">
        <f>HYPERLINK("https://twitter.com/paquitacumadebu","@paquitacumadebu")</f>
        <v>@paquitacumadebu</v>
      </c>
      <c r="C18077" s="8" t="s">
        <v>7108</v>
      </c>
      <c r="D18077" s="8">
        <v>41</v>
      </c>
      <c r="E18077" s="8">
        <v>0</v>
      </c>
      <c r="F18077" s="8">
        <v>1748</v>
      </c>
    </row>
    <row r="18078" spans="1:6" ht="12.75">
      <c r="A18078" s="8">
        <v>43896.355891203704</v>
      </c>
      <c r="B18078" s="8" t="str">
        <f>HYPERLINK("https://twitter.com/jeka_pak","@jeka_pak")</f>
        <v>@jeka_pak</v>
      </c>
      <c r="C18078" s="8" t="s">
        <v>7359</v>
      </c>
      <c r="D18078" s="8">
        <v>0</v>
      </c>
      <c r="E18078" s="8">
        <v>0</v>
      </c>
      <c r="F18078" s="8">
        <v>0</v>
      </c>
    </row>
    <row r="18079" spans="1:6" ht="12.75">
      <c r="A18079" s="8">
        <v>43896.355347222227</v>
      </c>
      <c r="B18079" s="8" t="str">
        <f>HYPERLINK("https://twitter.com/DemplonMak","@DemplonMak")</f>
        <v>@DemplonMak</v>
      </c>
      <c r="C18079" s="8" t="s">
        <v>7108</v>
      </c>
      <c r="D18079" s="8">
        <v>41</v>
      </c>
      <c r="E18079" s="8">
        <v>0</v>
      </c>
      <c r="F18079" s="8">
        <v>3469</v>
      </c>
    </row>
    <row r="18080" spans="1:6" ht="12.75">
      <c r="A18080" s="8">
        <v>43896.354907407411</v>
      </c>
      <c r="B18080" s="8" t="str">
        <f>HYPERLINK("https://twitter.com/achidachida_23","@achidachida_23")</f>
        <v>@achidachida_23</v>
      </c>
      <c r="C18080" s="8" t="s">
        <v>7360</v>
      </c>
      <c r="D18080" s="8">
        <v>1</v>
      </c>
      <c r="E18080" s="8">
        <v>1</v>
      </c>
      <c r="F18080" s="8">
        <v>136</v>
      </c>
    </row>
    <row r="18081" spans="1:6" ht="12.75">
      <c r="A18081" s="8">
        <v>43896.354502314818</v>
      </c>
      <c r="B18081" s="8" t="str">
        <f>HYPERLINK("https://twitter.com/FayyadhAtsauri","@FayyadhAtsauri")</f>
        <v>@FayyadhAtsauri</v>
      </c>
      <c r="C18081" s="8" t="s">
        <v>7361</v>
      </c>
      <c r="D18081" s="8">
        <v>1</v>
      </c>
      <c r="E18081" s="8">
        <v>0</v>
      </c>
      <c r="F18081" s="8">
        <v>242</v>
      </c>
    </row>
    <row r="18082" spans="1:6" ht="12.75">
      <c r="A18082" s="8">
        <v>43896.354456018518</v>
      </c>
      <c r="B18082" s="8" t="str">
        <f>HYPERLINK("https://twitter.com/beten5","@beten5")</f>
        <v>@beten5</v>
      </c>
      <c r="C18082" s="8" t="s">
        <v>7362</v>
      </c>
      <c r="D18082" s="8">
        <v>16</v>
      </c>
      <c r="E18082" s="8">
        <v>0</v>
      </c>
      <c r="F18082" s="8">
        <v>6</v>
      </c>
    </row>
    <row r="18083" spans="1:6" ht="12.75">
      <c r="A18083" s="8">
        <v>43896.353784722218</v>
      </c>
      <c r="B18083" s="8" t="str">
        <f>HYPERLINK("https://twitter.com/Hendrasugandi","@Hendrasugandi")</f>
        <v>@Hendrasugandi</v>
      </c>
      <c r="C18083" s="8" t="s">
        <v>7363</v>
      </c>
      <c r="D18083" s="8">
        <v>0</v>
      </c>
      <c r="E18083" s="8">
        <v>1</v>
      </c>
      <c r="F18083" s="8">
        <v>367</v>
      </c>
    </row>
    <row r="18084" spans="1:6" ht="12.75">
      <c r="A18084" s="8">
        <v>43896.353749999995</v>
      </c>
      <c r="B18084" s="8" t="str">
        <f>HYPERLINK("https://twitter.com/_wni_","@_wni_")</f>
        <v>@_wni_</v>
      </c>
      <c r="C18084" s="8" t="s">
        <v>7364</v>
      </c>
      <c r="D18084" s="8">
        <v>0</v>
      </c>
      <c r="E18084" s="8">
        <v>0</v>
      </c>
      <c r="F18084" s="8">
        <v>15</v>
      </c>
    </row>
    <row r="18085" spans="1:6" ht="12.75">
      <c r="A18085" s="8">
        <v>43896.353530092594</v>
      </c>
      <c r="B18085" s="8" t="str">
        <f>HYPERLINK("https://twitter.com/ariedhitta","@ariedhitta")</f>
        <v>@ariedhitta</v>
      </c>
      <c r="C18085" s="8" t="s">
        <v>3132</v>
      </c>
      <c r="D18085" s="8">
        <v>108</v>
      </c>
      <c r="E18085" s="8">
        <v>0</v>
      </c>
      <c r="F18085" s="8">
        <v>12</v>
      </c>
    </row>
    <row r="18086" spans="1:6" ht="12.75">
      <c r="A18086" s="8">
        <v>43896.352847222224</v>
      </c>
      <c r="B18086" s="8" t="str">
        <f>HYPERLINK("https://twitter.com/hana_soraya","@hana_soraya")</f>
        <v>@hana_soraya</v>
      </c>
      <c r="C18086" s="8" t="s">
        <v>6862</v>
      </c>
      <c r="D18086" s="8">
        <v>159</v>
      </c>
      <c r="E18086" s="8">
        <v>0</v>
      </c>
      <c r="F18086" s="8">
        <v>427</v>
      </c>
    </row>
    <row r="18087" spans="1:6" ht="12.75">
      <c r="A18087" s="8">
        <v>43896.352581018524</v>
      </c>
      <c r="B18087" s="8" t="str">
        <f>HYPERLINK("https://twitter.com/bung_dolly","@bung_dolly")</f>
        <v>@bung_dolly</v>
      </c>
      <c r="C18087" s="8" t="s">
        <v>7108</v>
      </c>
      <c r="D18087" s="8">
        <v>41</v>
      </c>
      <c r="E18087" s="8">
        <v>0</v>
      </c>
      <c r="F18087" s="8">
        <v>6733</v>
      </c>
    </row>
    <row r="18088" spans="1:6" ht="12.75">
      <c r="A18088" s="8">
        <v>43896.352361111116</v>
      </c>
      <c r="B18088" s="8" t="str">
        <f>HYPERLINK("https://twitter.com/kairunicha","@kairunicha")</f>
        <v>@kairunicha</v>
      </c>
      <c r="C18088" s="8" t="s">
        <v>7365</v>
      </c>
      <c r="D18088" s="8">
        <v>0</v>
      </c>
      <c r="E18088" s="8">
        <v>0</v>
      </c>
      <c r="F18088" s="8">
        <v>311</v>
      </c>
    </row>
    <row r="18089" spans="1:6" ht="12.75">
      <c r="A18089" s="8">
        <v>43896.351412037038</v>
      </c>
      <c r="B18089" s="8" t="str">
        <f>HYPERLINK("https://twitter.com/ErindaSofi","@ErindaSofi")</f>
        <v>@ErindaSofi</v>
      </c>
      <c r="C18089" s="8" t="s">
        <v>7366</v>
      </c>
      <c r="D18089" s="8">
        <v>1</v>
      </c>
      <c r="E18089" s="8">
        <v>0</v>
      </c>
      <c r="F18089" s="8">
        <v>6207</v>
      </c>
    </row>
    <row r="18090" spans="1:6" ht="12.75">
      <c r="A18090" s="8">
        <v>43896.350752314815</v>
      </c>
      <c r="B18090" s="8" t="str">
        <f>HYPERLINK("https://twitter.com/skynamic","@skynamic")</f>
        <v>@skynamic</v>
      </c>
      <c r="C18090" s="8" t="s">
        <v>7367</v>
      </c>
      <c r="D18090" s="8">
        <v>0</v>
      </c>
      <c r="E18090" s="8">
        <v>0</v>
      </c>
      <c r="F18090" s="8">
        <v>498</v>
      </c>
    </row>
    <row r="18091" spans="1:6" ht="12.75">
      <c r="A18091" s="8">
        <v>43896.350046296298</v>
      </c>
      <c r="B18091" s="8" t="str">
        <f>HYPERLINK("https://twitter.com/nugrohorofil86","@nugrohorofil86")</f>
        <v>@nugrohorofil86</v>
      </c>
      <c r="C18091" s="8" t="s">
        <v>7245</v>
      </c>
      <c r="D18091" s="8">
        <v>97</v>
      </c>
      <c r="E18091" s="8">
        <v>0</v>
      </c>
      <c r="F18091" s="8">
        <v>74</v>
      </c>
    </row>
    <row r="18092" spans="1:6" ht="12.75">
      <c r="A18092" s="8">
        <v>43896.349178240736</v>
      </c>
      <c r="B18092" s="8" t="str">
        <f>HYPERLINK("https://twitter.com/skynamic","@skynamic")</f>
        <v>@skynamic</v>
      </c>
      <c r="C18092" s="8" t="s">
        <v>7368</v>
      </c>
      <c r="D18092" s="8">
        <v>0</v>
      </c>
      <c r="E18092" s="8">
        <v>0</v>
      </c>
      <c r="F18092" s="8">
        <v>498</v>
      </c>
    </row>
    <row r="18093" spans="1:6" ht="12.75">
      <c r="A18093" s="8">
        <v>43896.348657407405</v>
      </c>
      <c r="B18093" s="8" t="str">
        <f>HYPERLINK("https://twitter.com/MrErick68154088","@MrErick68154088")</f>
        <v>@MrErick68154088</v>
      </c>
      <c r="C18093" s="8" t="s">
        <v>7245</v>
      </c>
      <c r="D18093" s="8">
        <v>97</v>
      </c>
      <c r="E18093" s="8">
        <v>0</v>
      </c>
      <c r="F18093" s="8">
        <v>3</v>
      </c>
    </row>
    <row r="18094" spans="1:6" ht="12.75">
      <c r="A18094" s="8">
        <v>43896.348553240736</v>
      </c>
      <c r="B18094" s="8" t="str">
        <f>HYPERLINK("https://twitter.com/mimiweeka","@mimiweeka")</f>
        <v>@mimiweeka</v>
      </c>
      <c r="C18094" s="8" t="s">
        <v>7369</v>
      </c>
      <c r="D18094" s="8">
        <v>1</v>
      </c>
      <c r="E18094" s="8">
        <v>0</v>
      </c>
      <c r="F18094" s="8">
        <v>456</v>
      </c>
    </row>
    <row r="18095" spans="1:6" ht="12.75">
      <c r="A18095" s="8">
        <v>43896.348402777774</v>
      </c>
      <c r="B18095" s="8" t="str">
        <f>HYPERLINK("https://twitter.com/andi_saja","@andi_saja")</f>
        <v>@andi_saja</v>
      </c>
      <c r="C18095" s="8" t="s">
        <v>4948</v>
      </c>
      <c r="D18095" s="8">
        <v>34</v>
      </c>
      <c r="E18095" s="8">
        <v>0</v>
      </c>
      <c r="F18095" s="8">
        <v>1889</v>
      </c>
    </row>
    <row r="18096" spans="1:6" ht="12.75">
      <c r="A18096" s="8">
        <v>43896.347986111112</v>
      </c>
      <c r="B18096" s="8" t="str">
        <f>HYPERLINK("https://twitter.com/Puteriswift_","@Puteriswift_")</f>
        <v>@Puteriswift_</v>
      </c>
      <c r="C18096" s="8" t="s">
        <v>7370</v>
      </c>
      <c r="D18096" s="8">
        <v>0</v>
      </c>
      <c r="E18096" s="8">
        <v>1</v>
      </c>
      <c r="F18096" s="8">
        <v>287</v>
      </c>
    </row>
    <row r="18097" spans="1:6" ht="12.75">
      <c r="A18097" s="8">
        <v>43896.34778935185</v>
      </c>
      <c r="B18097" s="8" t="str">
        <f>HYPERLINK("https://twitter.com/mimiweeka","@mimiweeka")</f>
        <v>@mimiweeka</v>
      </c>
      <c r="C18097" s="8" t="s">
        <v>7371</v>
      </c>
      <c r="D18097" s="8">
        <v>1</v>
      </c>
      <c r="E18097" s="8">
        <v>0</v>
      </c>
      <c r="F18097" s="8">
        <v>456</v>
      </c>
    </row>
    <row r="18098" spans="1:6" ht="12.75">
      <c r="A18098" s="8">
        <v>43896.347233796296</v>
      </c>
      <c r="B18098" s="8" t="str">
        <f t="shared" ref="B18098:B18099" si="265">HYPERLINK("https://twitter.com/lukisaepul","@lukisaepul")</f>
        <v>@lukisaepul</v>
      </c>
      <c r="C18098" s="8" t="s">
        <v>5876</v>
      </c>
      <c r="D18098" s="8">
        <v>1</v>
      </c>
      <c r="E18098" s="8">
        <v>0</v>
      </c>
      <c r="F18098" s="8">
        <v>791</v>
      </c>
    </row>
    <row r="18099" spans="1:6" ht="12.75">
      <c r="A18099" s="8">
        <v>43896.346365740741</v>
      </c>
      <c r="B18099" s="8" t="str">
        <f t="shared" si="265"/>
        <v>@lukisaepul</v>
      </c>
      <c r="C18099" s="8" t="s">
        <v>7242</v>
      </c>
      <c r="D18099" s="8">
        <v>103</v>
      </c>
      <c r="E18099" s="8">
        <v>0</v>
      </c>
      <c r="F18099" s="8">
        <v>791</v>
      </c>
    </row>
    <row r="18100" spans="1:6" ht="12.75">
      <c r="A18100" s="8">
        <v>43896.345972222218</v>
      </c>
      <c r="B18100" s="8" t="str">
        <f>HYPERLINK("https://twitter.com/_wni_","@_wni_")</f>
        <v>@_wni_</v>
      </c>
      <c r="C18100" s="8" t="s">
        <v>7372</v>
      </c>
      <c r="D18100" s="8">
        <v>0</v>
      </c>
      <c r="E18100" s="8">
        <v>0</v>
      </c>
      <c r="F18100" s="8">
        <v>15</v>
      </c>
    </row>
    <row r="18101" spans="1:6" ht="12.75">
      <c r="A18101" s="8">
        <v>43896.345937499995</v>
      </c>
      <c r="B18101" s="8" t="str">
        <f>HYPERLINK("https://twitter.com/sunarko_suwito","@sunarko_suwito")</f>
        <v>@sunarko_suwito</v>
      </c>
      <c r="C18101" s="8" t="s">
        <v>7373</v>
      </c>
      <c r="D18101" s="8">
        <v>1</v>
      </c>
      <c r="E18101" s="8">
        <v>0</v>
      </c>
      <c r="F18101" s="8">
        <v>11</v>
      </c>
    </row>
    <row r="18102" spans="1:6" ht="12.75">
      <c r="A18102" s="8">
        <v>43896.345925925925</v>
      </c>
      <c r="B18102" s="8" t="str">
        <f>HYPERLINK("https://twitter.com/Foryourtips1","@Foryourtips1")</f>
        <v>@Foryourtips1</v>
      </c>
      <c r="C18102" s="8" t="s">
        <v>7374</v>
      </c>
      <c r="D18102" s="8">
        <v>0</v>
      </c>
      <c r="E18102" s="8">
        <v>0</v>
      </c>
      <c r="F18102" s="8">
        <v>1</v>
      </c>
    </row>
    <row r="18103" spans="1:6" ht="12.75">
      <c r="A18103" s="8">
        <v>43896.345891203702</v>
      </c>
      <c r="B18103" s="8" t="str">
        <f>HYPERLINK("https://twitter.com/sunarko_suwito","@sunarko_suwito")</f>
        <v>@sunarko_suwito</v>
      </c>
      <c r="C18103" s="8" t="s">
        <v>7375</v>
      </c>
      <c r="D18103" s="8">
        <v>1</v>
      </c>
      <c r="E18103" s="8">
        <v>0</v>
      </c>
      <c r="F18103" s="8">
        <v>11</v>
      </c>
    </row>
    <row r="18104" spans="1:6" ht="12.75">
      <c r="A18104" s="8">
        <v>43896.345543981486</v>
      </c>
      <c r="B18104" s="8" t="str">
        <f>HYPERLINK("https://twitter.com/abdi____","@abdi____")</f>
        <v>@abdi____</v>
      </c>
      <c r="C18104" s="8" t="s">
        <v>4948</v>
      </c>
      <c r="D18104" s="8">
        <v>34</v>
      </c>
      <c r="E18104" s="8">
        <v>0</v>
      </c>
      <c r="F18104" s="8">
        <v>318</v>
      </c>
    </row>
    <row r="18105" spans="1:6" ht="12.75">
      <c r="A18105" s="8">
        <v>43896.345509259263</v>
      </c>
      <c r="B18105" s="8" t="str">
        <f>HYPERLINK("https://twitter.com/huwietan","@huwietan")</f>
        <v>@huwietan</v>
      </c>
      <c r="C18105" s="8" t="s">
        <v>7376</v>
      </c>
      <c r="D18105" s="8">
        <v>0</v>
      </c>
      <c r="E18105" s="8">
        <v>2</v>
      </c>
      <c r="F18105" s="8">
        <v>174</v>
      </c>
    </row>
    <row r="18106" spans="1:6" ht="12.75">
      <c r="A18106" s="8">
        <v>43896.345439814817</v>
      </c>
      <c r="B18106" s="8" t="str">
        <f>HYPERLINK("https://twitter.com/UtomoFreddy","@UtomoFreddy")</f>
        <v>@UtomoFreddy</v>
      </c>
      <c r="C18106" s="8" t="s">
        <v>7377</v>
      </c>
      <c r="D18106" s="8">
        <v>6</v>
      </c>
      <c r="E18106" s="8">
        <v>0</v>
      </c>
      <c r="F18106" s="8">
        <v>108</v>
      </c>
    </row>
    <row r="18107" spans="1:6" ht="12.75">
      <c r="A18107" s="8">
        <v>43896.345347222217</v>
      </c>
      <c r="B18107" s="8" t="str">
        <f>HYPERLINK("https://twitter.com/_wni_","@_wni_")</f>
        <v>@_wni_</v>
      </c>
      <c r="C18107" s="8" t="s">
        <v>7378</v>
      </c>
      <c r="D18107" s="8">
        <v>4857</v>
      </c>
      <c r="E18107" s="8">
        <v>0</v>
      </c>
      <c r="F18107" s="8">
        <v>15</v>
      </c>
    </row>
    <row r="18108" spans="1:6" ht="12.75">
      <c r="A18108" s="8">
        <v>43896.344907407409</v>
      </c>
      <c r="B18108" s="8" t="str">
        <f>HYPERLINK("https://twitter.com/realprincetotty","@realprincetotty")</f>
        <v>@realprincetotty</v>
      </c>
      <c r="C18108" s="8" t="s">
        <v>7379</v>
      </c>
      <c r="D18108" s="8">
        <v>0</v>
      </c>
      <c r="E18108" s="8">
        <v>0</v>
      </c>
      <c r="F18108" s="8">
        <v>740</v>
      </c>
    </row>
    <row r="18109" spans="1:6" ht="12.75">
      <c r="A18109" s="8">
        <v>43896.344490740739</v>
      </c>
      <c r="B18109" s="8" t="str">
        <f>HYPERLINK("https://twitter.com/noe_santara","@noe_santara")</f>
        <v>@noe_santara</v>
      </c>
      <c r="C18109" s="8" t="s">
        <v>4948</v>
      </c>
      <c r="D18109" s="8">
        <v>34</v>
      </c>
      <c r="E18109" s="8">
        <v>0</v>
      </c>
      <c r="F18109" s="8">
        <v>1824</v>
      </c>
    </row>
    <row r="18110" spans="1:6" ht="12.75">
      <c r="A18110" s="8">
        <v>43896.344247685185</v>
      </c>
      <c r="B18110" s="8" t="str">
        <f>HYPERLINK("https://twitter.com/aratasaka","@aratasaka")</f>
        <v>@aratasaka</v>
      </c>
      <c r="C18110" s="8" t="s">
        <v>7380</v>
      </c>
      <c r="D18110" s="8">
        <v>0</v>
      </c>
      <c r="E18110" s="8">
        <v>0</v>
      </c>
      <c r="F18110" s="8">
        <v>761</v>
      </c>
    </row>
    <row r="18111" spans="1:6" ht="12.75">
      <c r="A18111" s="8">
        <v>43896.340011574073</v>
      </c>
      <c r="B18111" s="8" t="str">
        <f>HYPERLINK("https://twitter.com/arusbawah11","@arusbawah11")</f>
        <v>@arusbawah11</v>
      </c>
      <c r="C18111" s="8" t="s">
        <v>1078</v>
      </c>
      <c r="D18111" s="8">
        <v>670</v>
      </c>
      <c r="E18111" s="8">
        <v>0</v>
      </c>
      <c r="F18111" s="8">
        <v>55</v>
      </c>
    </row>
    <row r="18112" spans="1:6" ht="12.75">
      <c r="A18112" s="8">
        <v>43896.33975694445</v>
      </c>
      <c r="B18112" s="8" t="str">
        <f>HYPERLINK("https://twitter.com/ArzanHan","@ArzanHan")</f>
        <v>@ArzanHan</v>
      </c>
      <c r="C18112" s="8" t="s">
        <v>7381</v>
      </c>
      <c r="D18112" s="8">
        <v>0</v>
      </c>
      <c r="E18112" s="8">
        <v>0</v>
      </c>
      <c r="F18112" s="8">
        <v>337</v>
      </c>
    </row>
    <row r="18113" spans="1:6" ht="12.75">
      <c r="A18113" s="8">
        <v>43896.339675925927</v>
      </c>
      <c r="B18113" s="8" t="str">
        <f t="shared" ref="B18113:B18114" si="266">HYPERLINK("https://twitter.com/Rahwana060810","@Rahwana060810")</f>
        <v>@Rahwana060810</v>
      </c>
      <c r="C18113" s="8" t="s">
        <v>7382</v>
      </c>
      <c r="D18113" s="8">
        <v>2</v>
      </c>
      <c r="E18113" s="8">
        <v>0</v>
      </c>
      <c r="F18113" s="8">
        <v>2946</v>
      </c>
    </row>
    <row r="18114" spans="1:6" ht="12.75">
      <c r="A18114" s="8">
        <v>43896.339224537034</v>
      </c>
      <c r="B18114" s="8" t="str">
        <f t="shared" si="266"/>
        <v>@Rahwana060810</v>
      </c>
      <c r="C18114" s="8" t="s">
        <v>7337</v>
      </c>
      <c r="D18114" s="8">
        <v>1</v>
      </c>
      <c r="E18114" s="8">
        <v>0</v>
      </c>
      <c r="F18114" s="8">
        <v>2946</v>
      </c>
    </row>
    <row r="18115" spans="1:6" ht="12.75">
      <c r="A18115" s="8">
        <v>43896.338969907403</v>
      </c>
      <c r="B18115" s="8" t="str">
        <f>HYPERLINK("https://twitter.com/kendnett","@kendnett")</f>
        <v>@kendnett</v>
      </c>
      <c r="C18115" s="8" t="s">
        <v>1078</v>
      </c>
      <c r="D18115" s="8">
        <v>670</v>
      </c>
      <c r="E18115" s="8">
        <v>0</v>
      </c>
      <c r="F18115" s="8">
        <v>163</v>
      </c>
    </row>
    <row r="18116" spans="1:6" ht="12.75">
      <c r="A18116" s="8">
        <v>43896.338819444441</v>
      </c>
      <c r="B18116" s="8" t="str">
        <f>HYPERLINK("https://twitter.com/rendyiqbal8","@rendyiqbal8")</f>
        <v>@rendyiqbal8</v>
      </c>
      <c r="C18116" s="8" t="s">
        <v>1343</v>
      </c>
      <c r="D18116" s="8">
        <v>15</v>
      </c>
      <c r="E18116" s="8">
        <v>0</v>
      </c>
      <c r="F18116" s="8">
        <v>1</v>
      </c>
    </row>
    <row r="18117" spans="1:6" ht="12.75">
      <c r="A18117" s="8">
        <v>43896.33871527778</v>
      </c>
      <c r="B18117" s="8" t="str">
        <f>HYPERLINK("https://twitter.com/sendysuwanto","@sendysuwanto")</f>
        <v>@sendysuwanto</v>
      </c>
      <c r="C18117" s="8" t="s">
        <v>7189</v>
      </c>
      <c r="D18117" s="8">
        <v>59</v>
      </c>
      <c r="E18117" s="8">
        <v>0</v>
      </c>
      <c r="F18117" s="8">
        <v>1023</v>
      </c>
    </row>
    <row r="18118" spans="1:6" ht="12.75">
      <c r="A18118" s="8">
        <v>43896.336736111116</v>
      </c>
      <c r="B18118" s="8" t="str">
        <f>HYPERLINK("https://twitter.com/Ferysplace","@Ferysplace")</f>
        <v>@Ferysplace</v>
      </c>
      <c r="C18118" s="8" t="s">
        <v>7189</v>
      </c>
      <c r="D18118" s="8">
        <v>59</v>
      </c>
      <c r="E18118" s="8">
        <v>0</v>
      </c>
      <c r="F18118" s="8">
        <v>585</v>
      </c>
    </row>
    <row r="18119" spans="1:6" ht="12.75">
      <c r="A18119" s="8">
        <v>43896.336377314816</v>
      </c>
      <c r="B18119" s="8" t="str">
        <f>HYPERLINK("https://twitter.com/YossyHendry","@YossyHendry")</f>
        <v>@YossyHendry</v>
      </c>
      <c r="C18119" s="8" t="s">
        <v>7136</v>
      </c>
      <c r="D18119" s="8">
        <v>13</v>
      </c>
      <c r="E18119" s="8">
        <v>0</v>
      </c>
      <c r="F18119" s="8">
        <v>1219</v>
      </c>
    </row>
    <row r="18120" spans="1:6" ht="12.75">
      <c r="A18120" s="8">
        <v>43896.335590277777</v>
      </c>
      <c r="B18120" s="8" t="str">
        <f>HYPERLINK("https://twitter.com/afrizalasli","@afrizalasli")</f>
        <v>@afrizalasli</v>
      </c>
      <c r="C18120" s="8" t="s">
        <v>1078</v>
      </c>
      <c r="D18120" s="8">
        <v>670</v>
      </c>
      <c r="E18120" s="8">
        <v>0</v>
      </c>
      <c r="F18120" s="8">
        <v>182</v>
      </c>
    </row>
    <row r="18121" spans="1:6" ht="12.75">
      <c r="A18121" s="8">
        <v>43896.334479166668</v>
      </c>
      <c r="B18121" s="8" t="str">
        <f>HYPERLINK("https://twitter.com/SLambardy","@SLambardy")</f>
        <v>@SLambardy</v>
      </c>
      <c r="C18121" s="8" t="s">
        <v>7136</v>
      </c>
      <c r="D18121" s="8">
        <v>13</v>
      </c>
      <c r="E18121" s="8">
        <v>0</v>
      </c>
      <c r="F18121" s="8">
        <v>360</v>
      </c>
    </row>
    <row r="18122" spans="1:6" ht="12.75">
      <c r="A18122" s="8">
        <v>43896.334166666667</v>
      </c>
      <c r="B18122" s="8" t="str">
        <f>HYPERLINK("https://twitter.com/ElsyaTiara3","@ElsyaTiara3")</f>
        <v>@ElsyaTiara3</v>
      </c>
      <c r="C18122" s="8" t="s">
        <v>7383</v>
      </c>
      <c r="D18122" s="8">
        <v>0</v>
      </c>
      <c r="E18122" s="8">
        <v>0</v>
      </c>
      <c r="F18122" s="8">
        <v>60</v>
      </c>
    </row>
    <row r="18123" spans="1:6" ht="12.75">
      <c r="A18123" s="8">
        <v>43896.333009259259</v>
      </c>
      <c r="B18123" s="8" t="str">
        <f>HYPERLINK("https://twitter.com/benitoraa","@benitoraa")</f>
        <v>@benitoraa</v>
      </c>
      <c r="C18123" s="8" t="s">
        <v>7384</v>
      </c>
      <c r="D18123" s="8">
        <v>1</v>
      </c>
      <c r="E18123" s="8">
        <v>0</v>
      </c>
      <c r="F18123" s="8">
        <v>256</v>
      </c>
    </row>
    <row r="18124" spans="1:6" ht="12.75">
      <c r="A18124" s="8">
        <v>43896.332916666666</v>
      </c>
      <c r="B18124" s="8" t="str">
        <f>HYPERLINK("https://twitter.com/syarifptk","@syarifptk")</f>
        <v>@syarifptk</v>
      </c>
      <c r="C18124" s="8" t="s">
        <v>7136</v>
      </c>
      <c r="D18124" s="8">
        <v>13</v>
      </c>
      <c r="E18124" s="8">
        <v>0</v>
      </c>
      <c r="F18124" s="8">
        <v>1521</v>
      </c>
    </row>
    <row r="18125" spans="1:6" ht="12.75">
      <c r="A18125" s="8">
        <v>43896.33185185185</v>
      </c>
      <c r="B18125" s="8" t="str">
        <f>HYPERLINK("https://twitter.com/Dulkenyot14","@Dulkenyot14")</f>
        <v>@Dulkenyot14</v>
      </c>
      <c r="C18125" s="8" t="s">
        <v>7385</v>
      </c>
      <c r="D18125" s="8">
        <v>0</v>
      </c>
      <c r="E18125" s="8">
        <v>0</v>
      </c>
      <c r="F18125" s="8">
        <v>865</v>
      </c>
    </row>
    <row r="18126" spans="1:6" ht="12.75">
      <c r="A18126" s="8">
        <v>43896.331527777773</v>
      </c>
      <c r="B18126" s="8" t="str">
        <f>HYPERLINK("https://twitter.com/ArilGuci","@ArilGuci")</f>
        <v>@ArilGuci</v>
      </c>
      <c r="C18126" s="8" t="s">
        <v>7136</v>
      </c>
      <c r="D18126" s="8">
        <v>13</v>
      </c>
      <c r="E18126" s="8">
        <v>0</v>
      </c>
      <c r="F18126" s="8">
        <v>326</v>
      </c>
    </row>
    <row r="18127" spans="1:6" ht="12.75">
      <c r="A18127" s="8">
        <v>43896.330462962964</v>
      </c>
      <c r="B18127" s="8" t="str">
        <f>HYPERLINK("https://twitter.com/KhilafahKw","@KhilafahKw")</f>
        <v>@KhilafahKw</v>
      </c>
      <c r="C18127" s="8" t="s">
        <v>7386</v>
      </c>
      <c r="D18127" s="8">
        <v>0</v>
      </c>
      <c r="E18127" s="8">
        <v>0</v>
      </c>
      <c r="F18127" s="8">
        <v>1839</v>
      </c>
    </row>
    <row r="18128" spans="1:6" ht="12.75">
      <c r="A18128" s="8">
        <v>43896.330150462964</v>
      </c>
      <c r="B18128" s="8" t="str">
        <f>HYPERLINK("https://twitter.com/arihannah98","@arihannah98")</f>
        <v>@arihannah98</v>
      </c>
      <c r="C18128" s="8" t="s">
        <v>7387</v>
      </c>
      <c r="D18128" s="8">
        <v>0</v>
      </c>
      <c r="E18128" s="8">
        <v>0</v>
      </c>
      <c r="F18128" s="8">
        <v>41</v>
      </c>
    </row>
    <row r="18129" spans="1:6" ht="12.75">
      <c r="A18129" s="8">
        <v>43896.330069444448</v>
      </c>
      <c r="B18129" s="8" t="str">
        <f t="shared" ref="B18129:B18130" si="267">HYPERLINK("https://twitter.com/mimiweeka","@mimiweeka")</f>
        <v>@mimiweeka</v>
      </c>
      <c r="C18129" s="8" t="s">
        <v>7388</v>
      </c>
      <c r="D18129" s="8">
        <v>1</v>
      </c>
      <c r="E18129" s="8">
        <v>0</v>
      </c>
      <c r="F18129" s="8">
        <v>456</v>
      </c>
    </row>
    <row r="18130" spans="1:6" ht="12.75">
      <c r="A18130" s="8">
        <v>43896.33</v>
      </c>
      <c r="B18130" s="8" t="str">
        <f t="shared" si="267"/>
        <v>@mimiweeka</v>
      </c>
      <c r="C18130" s="8" t="s">
        <v>7389</v>
      </c>
      <c r="D18130" s="8">
        <v>1</v>
      </c>
      <c r="E18130" s="8">
        <v>0</v>
      </c>
      <c r="F18130" s="8">
        <v>456</v>
      </c>
    </row>
    <row r="18131" spans="1:6" ht="12.75">
      <c r="A18131" s="8">
        <v>43896.329861111109</v>
      </c>
      <c r="B18131" s="8" t="str">
        <f>HYPERLINK("https://twitter.com/terasid","@terasid")</f>
        <v>@terasid</v>
      </c>
      <c r="C18131" s="8" t="s">
        <v>5590</v>
      </c>
      <c r="D18131" s="8">
        <v>3</v>
      </c>
      <c r="E18131" s="8">
        <v>0</v>
      </c>
      <c r="F18131" s="8">
        <v>3157</v>
      </c>
    </row>
    <row r="18132" spans="1:6" ht="12.75">
      <c r="A18132" s="8">
        <v>43896.329768518517</v>
      </c>
      <c r="B18132" s="8" t="str">
        <f>HYPERLINK("https://twitter.com/adityaPSI","@adityaPSI")</f>
        <v>@adityaPSI</v>
      </c>
      <c r="C18132" s="8" t="s">
        <v>1078</v>
      </c>
      <c r="D18132" s="8">
        <v>670</v>
      </c>
      <c r="E18132" s="8">
        <v>0</v>
      </c>
      <c r="F18132" s="8">
        <v>1019</v>
      </c>
    </row>
    <row r="18133" spans="1:6" ht="12.75">
      <c r="A18133" s="8">
        <v>43896.32947916667</v>
      </c>
      <c r="B18133" s="8" t="str">
        <f>HYPERLINK("https://twitter.com/cahusen1","@cahusen1")</f>
        <v>@cahusen1</v>
      </c>
      <c r="C18133" s="8" t="s">
        <v>7136</v>
      </c>
      <c r="D18133" s="8">
        <v>13</v>
      </c>
      <c r="E18133" s="8">
        <v>0</v>
      </c>
      <c r="F18133" s="8">
        <v>921</v>
      </c>
    </row>
    <row r="18134" spans="1:6" ht="12.75">
      <c r="A18134" s="8">
        <v>43896.3284837963</v>
      </c>
      <c r="B18134" s="8" t="str">
        <f>HYPERLINK("https://twitter.com/MariSan11513787","@MariSan11513787")</f>
        <v>@MariSan11513787</v>
      </c>
      <c r="C18134" s="8" t="s">
        <v>7136</v>
      </c>
      <c r="D18134" s="8">
        <v>13</v>
      </c>
      <c r="E18134" s="8">
        <v>0</v>
      </c>
      <c r="F18134" s="8">
        <v>103</v>
      </c>
    </row>
    <row r="18135" spans="1:6" ht="12.75">
      <c r="A18135" s="8">
        <v>43896.327997685185</v>
      </c>
      <c r="B18135" s="8" t="str">
        <f>HYPERLINK("https://twitter.com/IsroyaniC","@IsroyaniC")</f>
        <v>@IsroyaniC</v>
      </c>
      <c r="C18135" s="8" t="s">
        <v>7390</v>
      </c>
      <c r="D18135" s="8">
        <v>0</v>
      </c>
      <c r="E18135" s="8">
        <v>0</v>
      </c>
      <c r="F18135" s="8">
        <v>191</v>
      </c>
    </row>
    <row r="18136" spans="1:6" ht="12.75">
      <c r="A18136" s="8">
        <v>43896.327835648146</v>
      </c>
      <c r="B18136" s="8" t="str">
        <f>HYPERLINK("https://twitter.com/antio888","@antio888")</f>
        <v>@antio888</v>
      </c>
      <c r="C18136" s="8" t="s">
        <v>7391</v>
      </c>
      <c r="D18136" s="8">
        <v>0</v>
      </c>
      <c r="E18136" s="8">
        <v>0</v>
      </c>
      <c r="F18136" s="8">
        <v>77</v>
      </c>
    </row>
    <row r="18137" spans="1:6" ht="12.75">
      <c r="A18137" s="8">
        <v>43896.327476851853</v>
      </c>
      <c r="B18137" s="8" t="str">
        <f>HYPERLINK("https://twitter.com/SyPram_Khan","@SyPram_Khan")</f>
        <v>@SyPram_Khan</v>
      </c>
      <c r="C18137" s="8" t="s">
        <v>7108</v>
      </c>
      <c r="D18137" s="8">
        <v>35</v>
      </c>
      <c r="E18137" s="8">
        <v>0</v>
      </c>
      <c r="F18137" s="8">
        <v>287</v>
      </c>
    </row>
    <row r="18138" spans="1:6" ht="12.75">
      <c r="A18138" s="8">
        <v>43896.326782407406</v>
      </c>
      <c r="B18138" s="8" t="str">
        <f>HYPERLINK("https://twitter.com/harakatuna","@harakatuna")</f>
        <v>@harakatuna</v>
      </c>
      <c r="C18138" s="8" t="s">
        <v>7392</v>
      </c>
      <c r="D18138" s="8">
        <v>0</v>
      </c>
      <c r="E18138" s="8">
        <v>0</v>
      </c>
      <c r="F18138" s="8">
        <v>419</v>
      </c>
    </row>
    <row r="18139" spans="1:6" ht="12.75">
      <c r="A18139" s="8">
        <v>43896.32512731482</v>
      </c>
      <c r="B18139" s="8" t="str">
        <f>HYPERLINK("https://twitter.com/ArbiMoeslim","@ArbiMoeslim")</f>
        <v>@ArbiMoeslim</v>
      </c>
      <c r="C18139" s="8" t="s">
        <v>7257</v>
      </c>
      <c r="D18139" s="8">
        <v>8</v>
      </c>
      <c r="E18139" s="8">
        <v>0</v>
      </c>
      <c r="F18139" s="8">
        <v>60</v>
      </c>
    </row>
    <row r="18140" spans="1:6" ht="12.75">
      <c r="A18140" s="8">
        <v>43896.325011574074</v>
      </c>
      <c r="B18140" s="8" t="str">
        <f>HYPERLINK("https://twitter.com/Nuke_Fit","@Nuke_Fit")</f>
        <v>@Nuke_Fit</v>
      </c>
      <c r="C18140" s="8" t="s">
        <v>7189</v>
      </c>
      <c r="D18140" s="8">
        <v>59</v>
      </c>
      <c r="E18140" s="8">
        <v>0</v>
      </c>
      <c r="F18140" s="8">
        <v>411</v>
      </c>
    </row>
    <row r="18141" spans="1:6" ht="12.75">
      <c r="A18141" s="8">
        <v>43896.323993055557</v>
      </c>
      <c r="B18141" s="8" t="str">
        <f>HYPERLINK("https://twitter.com/FaktaNew5","@FaktaNew5")</f>
        <v>@FaktaNew5</v>
      </c>
      <c r="C18141" s="8" t="s">
        <v>7393</v>
      </c>
      <c r="D18141" s="8">
        <v>0</v>
      </c>
      <c r="E18141" s="8">
        <v>0</v>
      </c>
      <c r="F18141" s="8">
        <v>177</v>
      </c>
    </row>
    <row r="18142" spans="1:6" ht="12.75">
      <c r="A18142" s="8">
        <v>43896.322708333333</v>
      </c>
      <c r="B18142" s="8" t="str">
        <f>HYPERLINK("https://twitter.com/AngkieYudistia","@AngkieYudistia")</f>
        <v>@AngkieYudistia</v>
      </c>
      <c r="C18142" s="8" t="s">
        <v>7394</v>
      </c>
      <c r="D18142" s="8">
        <v>0</v>
      </c>
      <c r="E18142" s="8">
        <v>0</v>
      </c>
      <c r="F18142" s="8">
        <v>25654</v>
      </c>
    </row>
    <row r="18143" spans="1:6" ht="12.75">
      <c r="A18143" s="8">
        <v>43896.321122685185</v>
      </c>
      <c r="B18143" s="8" t="str">
        <f>HYPERLINK("https://twitter.com/chandra_6813","@chandra_6813")</f>
        <v>@chandra_6813</v>
      </c>
      <c r="C18143" s="8" t="s">
        <v>7245</v>
      </c>
      <c r="D18143" s="8">
        <v>94</v>
      </c>
      <c r="E18143" s="8">
        <v>0</v>
      </c>
      <c r="F18143" s="8">
        <v>498</v>
      </c>
    </row>
    <row r="18144" spans="1:6" ht="12.75">
      <c r="A18144" s="8">
        <v>43896.318796296298</v>
      </c>
      <c r="B18144" s="8" t="str">
        <f>HYPERLINK("https://twitter.com/Mazggg","@Mazggg")</f>
        <v>@Mazggg</v>
      </c>
      <c r="C18144" s="8" t="s">
        <v>1078</v>
      </c>
      <c r="D18144" s="8">
        <v>670</v>
      </c>
      <c r="E18144" s="8">
        <v>0</v>
      </c>
      <c r="F18144" s="8">
        <v>1995</v>
      </c>
    </row>
    <row r="18145" spans="1:6" ht="12.75">
      <c r="A18145" s="8">
        <v>43896.318553240737</v>
      </c>
      <c r="B18145" s="8" t="str">
        <f>HYPERLINK("https://twitter.com/prasetycio","@prasetycio")</f>
        <v>@prasetycio</v>
      </c>
      <c r="C18145" s="8" t="s">
        <v>7257</v>
      </c>
      <c r="D18145" s="8">
        <v>8</v>
      </c>
      <c r="E18145" s="8">
        <v>0</v>
      </c>
      <c r="F18145" s="8">
        <v>363</v>
      </c>
    </row>
    <row r="18146" spans="1:6" ht="12.75">
      <c r="A18146" s="8">
        <v>43896.318460648152</v>
      </c>
      <c r="B18146" s="8" t="str">
        <f>HYPERLINK("https://twitter.com/Adhyatomo1","@Adhyatomo1")</f>
        <v>@Adhyatomo1</v>
      </c>
      <c r="C18146" s="8" t="s">
        <v>7136</v>
      </c>
      <c r="D18146" s="8">
        <v>13</v>
      </c>
      <c r="E18146" s="8">
        <v>0</v>
      </c>
      <c r="F18146" s="8">
        <v>299</v>
      </c>
    </row>
    <row r="18147" spans="1:6" ht="12.75">
      <c r="A18147" s="8">
        <v>43896.318206018521</v>
      </c>
      <c r="B18147" s="8" t="str">
        <f>HYPERLINK("https://twitter.com/antontanjaya15","@antontanjaya15")</f>
        <v>@antontanjaya15</v>
      </c>
      <c r="C18147" s="8" t="s">
        <v>7395</v>
      </c>
      <c r="D18147" s="8">
        <v>0</v>
      </c>
      <c r="E18147" s="8">
        <v>0</v>
      </c>
      <c r="F18147" s="8">
        <v>114</v>
      </c>
    </row>
    <row r="18148" spans="1:6" ht="12.75">
      <c r="A18148" s="8">
        <v>43896.317442129628</v>
      </c>
      <c r="B18148" s="8" t="str">
        <f>HYPERLINK("https://twitter.com/cia_abdul","@cia_abdul")</f>
        <v>@cia_abdul</v>
      </c>
      <c r="C18148" s="8" t="s">
        <v>7136</v>
      </c>
      <c r="D18148" s="8">
        <v>13</v>
      </c>
      <c r="E18148" s="8">
        <v>0</v>
      </c>
      <c r="F18148" s="8">
        <v>1465</v>
      </c>
    </row>
    <row r="18149" spans="1:6" ht="12.75">
      <c r="A18149" s="8">
        <v>43896.317106481481</v>
      </c>
      <c r="B18149" s="8" t="str">
        <f>HYPERLINK("https://twitter.com/juanpaDazRinc","@juanpaDazRinc")</f>
        <v>@juanpaDazRinc</v>
      </c>
      <c r="C18149" s="8" t="s">
        <v>7396</v>
      </c>
      <c r="D18149" s="8">
        <v>0</v>
      </c>
      <c r="E18149" s="8">
        <v>0</v>
      </c>
      <c r="F18149" s="8">
        <v>430</v>
      </c>
    </row>
    <row r="18150" spans="1:6" ht="12.75">
      <c r="A18150" s="8">
        <v>43896.316643518519</v>
      </c>
      <c r="B18150" s="8" t="str">
        <f>HYPERLINK("https://twitter.com/PaijoAryanto__","@PaijoAryanto__")</f>
        <v>@PaijoAryanto__</v>
      </c>
      <c r="C18150" s="8" t="s">
        <v>7397</v>
      </c>
      <c r="D18150" s="8">
        <v>0</v>
      </c>
      <c r="E18150" s="8">
        <v>0</v>
      </c>
      <c r="F18150" s="8">
        <v>748</v>
      </c>
    </row>
    <row r="18151" spans="1:6" ht="12.75">
      <c r="A18151" s="8">
        <v>43896.316400462965</v>
      </c>
      <c r="B18151" s="8" t="str">
        <f>HYPERLINK("https://twitter.com/AchmadyaniAy70","@AchmadyaniAy70")</f>
        <v>@AchmadyaniAy70</v>
      </c>
      <c r="C18151" s="8" t="s">
        <v>7136</v>
      </c>
      <c r="D18151" s="8">
        <v>13</v>
      </c>
      <c r="E18151" s="8">
        <v>0</v>
      </c>
      <c r="F18151" s="8">
        <v>4295</v>
      </c>
    </row>
    <row r="18152" spans="1:6" ht="12.75">
      <c r="A18152" s="8">
        <v>43896.315625000003</v>
      </c>
      <c r="B18152" s="8" t="str">
        <f>HYPERLINK("https://twitter.com/Kaleng_Kurma","@Kaleng_Kurma")</f>
        <v>@Kaleng_Kurma</v>
      </c>
      <c r="C18152" s="8" t="s">
        <v>7136</v>
      </c>
      <c r="D18152" s="8">
        <v>13</v>
      </c>
      <c r="E18152" s="8">
        <v>0</v>
      </c>
      <c r="F18152" s="8">
        <v>225</v>
      </c>
    </row>
    <row r="18153" spans="1:6" ht="12.75">
      <c r="A18153" s="8">
        <v>43896.314895833333</v>
      </c>
      <c r="B18153" s="8" t="str">
        <f>HYPERLINK("https://twitter.com/NinaKorohama","@NinaKorohama")</f>
        <v>@NinaKorohama</v>
      </c>
      <c r="C18153" s="8" t="s">
        <v>7398</v>
      </c>
      <c r="D18153" s="8">
        <v>0</v>
      </c>
      <c r="E18153" s="8">
        <v>0</v>
      </c>
      <c r="F18153" s="8">
        <v>39</v>
      </c>
    </row>
    <row r="18154" spans="1:6" ht="12.75">
      <c r="A18154" s="8">
        <v>43896.314513888894</v>
      </c>
      <c r="B18154" s="8" t="str">
        <f>HYPERLINK("https://twitter.com/musniumar","@musniumar")</f>
        <v>@musniumar</v>
      </c>
      <c r="C18154" s="8" t="s">
        <v>7399</v>
      </c>
      <c r="D18154" s="8">
        <v>13</v>
      </c>
      <c r="E18154" s="8">
        <v>47</v>
      </c>
      <c r="F18154" s="8">
        <v>70189</v>
      </c>
    </row>
    <row r="18155" spans="1:6" ht="12.75">
      <c r="A18155" s="8">
        <v>43896.313310185185</v>
      </c>
      <c r="B18155" s="8" t="str">
        <f>HYPERLINK("https://twitter.com/ZoneVenomWar","@ZoneVenomWar")</f>
        <v>@ZoneVenomWar</v>
      </c>
      <c r="C18155" s="8" t="s">
        <v>7400</v>
      </c>
      <c r="D18155" s="8">
        <v>1</v>
      </c>
      <c r="E18155" s="8">
        <v>0</v>
      </c>
      <c r="F18155" s="8">
        <v>1640</v>
      </c>
    </row>
    <row r="18156" spans="1:6" ht="12.75">
      <c r="A18156" s="8">
        <v>43896.313067129631</v>
      </c>
      <c r="B18156" s="8" t="str">
        <f>HYPERLINK("https://twitter.com/damario04","@damario04")</f>
        <v>@damario04</v>
      </c>
      <c r="C18156" s="8" t="s">
        <v>147</v>
      </c>
      <c r="D18156" s="8">
        <v>0</v>
      </c>
      <c r="E18156" s="8">
        <v>0</v>
      </c>
      <c r="F18156" s="8">
        <v>403</v>
      </c>
    </row>
    <row r="18157" spans="1:6" ht="12.75">
      <c r="A18157" s="8">
        <v>43896.313043981485</v>
      </c>
      <c r="B18157" s="8" t="str">
        <f>HYPERLINK("https://twitter.com/Wilson_P535","@Wilson_P535")</f>
        <v>@Wilson_P535</v>
      </c>
      <c r="C18157" s="8" t="s">
        <v>7401</v>
      </c>
      <c r="D18157" s="8">
        <v>0</v>
      </c>
      <c r="E18157" s="8">
        <v>1</v>
      </c>
      <c r="F18157" s="8">
        <v>62</v>
      </c>
    </row>
    <row r="18158" spans="1:6" ht="12.75">
      <c r="A18158" s="8">
        <v>43896.311967592592</v>
      </c>
      <c r="B18158" s="8" t="str">
        <f>HYPERLINK("https://twitter.com/Ev4marbun","@Ev4marbun")</f>
        <v>@Ev4marbun</v>
      </c>
      <c r="C18158" s="8" t="s">
        <v>4948</v>
      </c>
      <c r="D18158" s="8">
        <v>26</v>
      </c>
      <c r="E18158" s="8">
        <v>0</v>
      </c>
      <c r="F18158" s="8">
        <v>9</v>
      </c>
    </row>
    <row r="18159" spans="1:6" ht="12.75">
      <c r="A18159" s="8">
        <v>43896.31150462963</v>
      </c>
      <c r="B18159" s="8" t="str">
        <f>HYPERLINK("https://twitter.com/garanganpensiun","@garanganpensiun")</f>
        <v>@garanganpensiun</v>
      </c>
      <c r="C18159" s="8" t="s">
        <v>1343</v>
      </c>
      <c r="D18159" s="8">
        <v>15</v>
      </c>
      <c r="E18159" s="8">
        <v>0</v>
      </c>
      <c r="F18159" s="8">
        <v>33</v>
      </c>
    </row>
    <row r="18160" spans="1:6" ht="12.75">
      <c r="A18160" s="8">
        <v>43896.31113425926</v>
      </c>
      <c r="B18160" s="8" t="str">
        <f>HYPERLINK("https://twitter.com/mediaindonesia","@mediaindonesia")</f>
        <v>@mediaindonesia</v>
      </c>
      <c r="C18160" s="8" t="s">
        <v>7402</v>
      </c>
      <c r="D18160" s="8">
        <v>1</v>
      </c>
      <c r="E18160" s="8">
        <v>0</v>
      </c>
      <c r="F18160" s="8">
        <v>1420411</v>
      </c>
    </row>
    <row r="18161" spans="1:6" ht="12.75">
      <c r="A18161" s="8">
        <v>43896.310474537036</v>
      </c>
      <c r="B18161" s="8" t="str">
        <f>HYPERLINK("https://twitter.com/chuentoi","@chuentoi")</f>
        <v>@chuentoi</v>
      </c>
      <c r="C18161" s="8" t="s">
        <v>7403</v>
      </c>
      <c r="D18161" s="8">
        <v>0</v>
      </c>
      <c r="E18161" s="8">
        <v>0</v>
      </c>
      <c r="F18161" s="8">
        <v>2</v>
      </c>
    </row>
    <row r="18162" spans="1:6" ht="12.75">
      <c r="A18162" s="8">
        <v>43896.310254629629</v>
      </c>
      <c r="B18162" s="8" t="str">
        <f>HYPERLINK("https://twitter.com/lillyy_8","@lillyy_8")</f>
        <v>@lillyy_8</v>
      </c>
      <c r="C18162" s="8" t="s">
        <v>7404</v>
      </c>
      <c r="D18162" s="8">
        <v>0</v>
      </c>
      <c r="E18162" s="8">
        <v>0</v>
      </c>
      <c r="F18162" s="8">
        <v>236</v>
      </c>
    </row>
    <row r="18163" spans="1:6" ht="12.75">
      <c r="A18163" s="8">
        <v>43896.309953703705</v>
      </c>
      <c r="B18163" s="8" t="str">
        <f>HYPERLINK("https://twitter.com/WulandariRachm","@WulandariRachm")</f>
        <v>@WulandariRachm</v>
      </c>
      <c r="C18163" s="8" t="s">
        <v>7405</v>
      </c>
      <c r="D18163" s="8">
        <v>1387</v>
      </c>
      <c r="E18163" s="8">
        <v>0</v>
      </c>
      <c r="F18163" s="8">
        <v>850</v>
      </c>
    </row>
    <row r="18164" spans="1:6" ht="12.75">
      <c r="A18164" s="8">
        <v>43896.309652777782</v>
      </c>
      <c r="B18164" s="8" t="str">
        <f>HYPERLINK("https://twitter.com/UrubingDilah","@UrubingDilah")</f>
        <v>@UrubingDilah</v>
      </c>
      <c r="C18164" s="8" t="s">
        <v>7108</v>
      </c>
      <c r="D18164" s="8">
        <v>35</v>
      </c>
      <c r="E18164" s="8">
        <v>0</v>
      </c>
      <c r="F18164" s="8">
        <v>1379</v>
      </c>
    </row>
    <row r="18165" spans="1:6" ht="12.75">
      <c r="A18165" s="8">
        <v>43896.30850694445</v>
      </c>
      <c r="B18165" s="8" t="str">
        <f>HYPERLINK("https://twitter.com/ciara260494","@ciara260494")</f>
        <v>@ciara260494</v>
      </c>
      <c r="C18165" s="8" t="s">
        <v>7406</v>
      </c>
      <c r="D18165" s="8">
        <v>0</v>
      </c>
      <c r="E18165" s="8">
        <v>0</v>
      </c>
      <c r="F18165" s="8">
        <v>229</v>
      </c>
    </row>
    <row r="18166" spans="1:6" ht="12.75">
      <c r="A18166" s="8">
        <v>43896.307337962964</v>
      </c>
      <c r="B18166" s="8" t="str">
        <f>HYPERLINK("https://twitter.com/hapeproperti","@hapeproperti")</f>
        <v>@hapeproperti</v>
      </c>
      <c r="C18166" s="8" t="s">
        <v>7407</v>
      </c>
      <c r="D18166" s="8">
        <v>0</v>
      </c>
      <c r="E18166" s="8">
        <v>0</v>
      </c>
      <c r="F18166" s="8">
        <v>1622</v>
      </c>
    </row>
    <row r="18167" spans="1:6" ht="12.75">
      <c r="A18167" s="8">
        <v>43896.305671296301</v>
      </c>
      <c r="B18167" s="8" t="str">
        <f>HYPERLINK("https://twitter.com/New_BungaNita","@New_BungaNita")</f>
        <v>@New_BungaNita</v>
      </c>
      <c r="C18167" s="8" t="s">
        <v>6864</v>
      </c>
      <c r="D18167" s="8">
        <v>261</v>
      </c>
      <c r="E18167" s="8">
        <v>0</v>
      </c>
      <c r="F18167" s="8">
        <v>149</v>
      </c>
    </row>
    <row r="18168" spans="1:6" ht="12.75">
      <c r="A18168" s="8">
        <v>43896.305393518516</v>
      </c>
      <c r="B18168" s="8" t="str">
        <f>HYPERLINK("https://twitter.com/Raza81712136","@Raza81712136")</f>
        <v>@Raza81712136</v>
      </c>
      <c r="C18168" s="8" t="s">
        <v>5878</v>
      </c>
      <c r="D18168" s="8">
        <v>26</v>
      </c>
      <c r="E18168" s="8">
        <v>0</v>
      </c>
      <c r="F18168" s="8">
        <v>9</v>
      </c>
    </row>
    <row r="18169" spans="1:6" ht="12.75">
      <c r="A18169" s="8">
        <v>43896.305127314816</v>
      </c>
      <c r="B18169" s="8" t="str">
        <f>HYPERLINK("https://twitter.com/BudiatnoGomarus","@BudiatnoGomarus")</f>
        <v>@BudiatnoGomarus</v>
      </c>
      <c r="C18169" s="8" t="s">
        <v>7408</v>
      </c>
      <c r="D18169" s="8">
        <v>1</v>
      </c>
      <c r="E18169" s="8">
        <v>0</v>
      </c>
      <c r="F18169" s="8">
        <v>3646</v>
      </c>
    </row>
    <row r="18170" spans="1:6" ht="12.75">
      <c r="A18170" s="8">
        <v>43896.305127314816</v>
      </c>
      <c r="B18170" s="8" t="str">
        <f>HYPERLINK("https://twitter.com/hikmatsholeh","@hikmatsholeh")</f>
        <v>@hikmatsholeh</v>
      </c>
      <c r="C18170" s="8" t="s">
        <v>7245</v>
      </c>
      <c r="D18170" s="8">
        <v>94</v>
      </c>
      <c r="E18170" s="8">
        <v>0</v>
      </c>
      <c r="F18170" s="8">
        <v>1212</v>
      </c>
    </row>
    <row r="18171" spans="1:6" ht="12.75">
      <c r="A18171" s="8">
        <v>43896.30469907407</v>
      </c>
      <c r="B18171" s="8" t="str">
        <f>HYPERLINK("https://twitter.com/BudiatnoGomarus","@BudiatnoGomarus")</f>
        <v>@BudiatnoGomarus</v>
      </c>
      <c r="C18171" s="8" t="s">
        <v>7409</v>
      </c>
      <c r="D18171" s="8">
        <v>0</v>
      </c>
      <c r="E18171" s="8">
        <v>3</v>
      </c>
      <c r="F18171" s="8">
        <v>3646</v>
      </c>
    </row>
    <row r="18172" spans="1:6" ht="12.75">
      <c r="A18172" s="8">
        <v>43896.30467592593</v>
      </c>
      <c r="B18172" s="8" t="str">
        <f>HYPERLINK("https://twitter.com/Sontolo29062151","@Sontolo29062151")</f>
        <v>@Sontolo29062151</v>
      </c>
      <c r="C18172" s="8" t="s">
        <v>7410</v>
      </c>
      <c r="D18172" s="8">
        <v>0</v>
      </c>
      <c r="E18172" s="8">
        <v>0</v>
      </c>
      <c r="F18172" s="8">
        <v>18</v>
      </c>
    </row>
    <row r="18173" spans="1:6" ht="12.75">
      <c r="A18173" s="8">
        <v>43896.304560185185</v>
      </c>
      <c r="B18173" s="8" t="str">
        <f>HYPERLINK("https://twitter.com/lodo_bengo","@lodo_bengo")</f>
        <v>@lodo_bengo</v>
      </c>
      <c r="C18173" s="8" t="s">
        <v>7411</v>
      </c>
      <c r="D18173" s="8">
        <v>1</v>
      </c>
      <c r="E18173" s="8">
        <v>3</v>
      </c>
      <c r="F18173" s="8">
        <v>7</v>
      </c>
    </row>
    <row r="18174" spans="1:6" ht="12.75">
      <c r="A18174" s="8">
        <v>43896.304525462961</v>
      </c>
      <c r="B18174" s="8" t="str">
        <f>HYPERLINK("https://twitter.com/KurnadiD","@KurnadiD")</f>
        <v>@KurnadiD</v>
      </c>
      <c r="C18174" s="8" t="s">
        <v>7412</v>
      </c>
      <c r="D18174" s="8">
        <v>30</v>
      </c>
      <c r="E18174" s="8">
        <v>0</v>
      </c>
      <c r="F18174" s="8">
        <v>1139</v>
      </c>
    </row>
    <row r="18175" spans="1:6" ht="12.75">
      <c r="A18175" s="8">
        <v>43896.3043287037</v>
      </c>
      <c r="B18175" s="8" t="str">
        <f>HYPERLINK("https://twitter.com/MayafahaM","@MayafahaM")</f>
        <v>@MayafahaM</v>
      </c>
      <c r="C18175" s="8" t="s">
        <v>7413</v>
      </c>
      <c r="D18175" s="8">
        <v>0</v>
      </c>
      <c r="E18175" s="8">
        <v>0</v>
      </c>
      <c r="F18175" s="8">
        <v>6</v>
      </c>
    </row>
    <row r="18176" spans="1:6" ht="12.75">
      <c r="A18176" s="8">
        <v>43896.298067129625</v>
      </c>
      <c r="B18176" s="8" t="str">
        <f>HYPERLINK("https://twitter.com/ma_uL_1708","@ma_uL_1708")</f>
        <v>@ma_uL_1708</v>
      </c>
      <c r="C18176" s="8" t="s">
        <v>7257</v>
      </c>
      <c r="D18176" s="8">
        <v>3</v>
      </c>
      <c r="E18176" s="8">
        <v>0</v>
      </c>
      <c r="F18176" s="8">
        <v>159</v>
      </c>
    </row>
    <row r="18177" spans="1:6" ht="12.75">
      <c r="A18177" s="8">
        <v>43896.297569444447</v>
      </c>
      <c r="B18177" s="8" t="str">
        <f>HYPERLINK("https://twitter.com/erniS1909","@erniS1909")</f>
        <v>@erniS1909</v>
      </c>
      <c r="C18177" s="8" t="s">
        <v>7414</v>
      </c>
      <c r="D18177" s="8">
        <v>0</v>
      </c>
      <c r="E18177" s="8">
        <v>0</v>
      </c>
      <c r="F18177" s="8">
        <v>495</v>
      </c>
    </row>
    <row r="18178" spans="1:6" ht="12.75">
      <c r="A18178" s="8">
        <v>43896.297071759254</v>
      </c>
      <c r="B18178" s="8" t="str">
        <f>HYPERLINK("https://twitter.com/rasacarrebianut","@rasacarrebianut")</f>
        <v>@rasacarrebianut</v>
      </c>
      <c r="C18178" s="8" t="s">
        <v>3132</v>
      </c>
      <c r="D18178" s="8">
        <v>108</v>
      </c>
      <c r="E18178" s="8">
        <v>0</v>
      </c>
      <c r="F18178" s="8">
        <v>321</v>
      </c>
    </row>
    <row r="18179" spans="1:6" ht="12.75">
      <c r="A18179" s="8">
        <v>43896.2966087963</v>
      </c>
      <c r="B18179" s="8" t="str">
        <f>HYPERLINK("https://twitter.com/hayanaqu","@hayanaqu")</f>
        <v>@hayanaqu</v>
      </c>
      <c r="C18179" s="8" t="s">
        <v>7415</v>
      </c>
      <c r="D18179" s="8">
        <v>0</v>
      </c>
      <c r="E18179" s="8">
        <v>0</v>
      </c>
      <c r="F18179" s="8">
        <v>71</v>
      </c>
    </row>
    <row r="18180" spans="1:6" ht="12.75">
      <c r="A18180" s="8">
        <v>43896.296331018515</v>
      </c>
      <c r="B18180" s="8" t="str">
        <f>HYPERLINK("https://twitter.com/SonoraFM92","@SonoraFM92")</f>
        <v>@SonoraFM92</v>
      </c>
      <c r="C18180" s="8" t="s">
        <v>7416</v>
      </c>
      <c r="D18180" s="8">
        <v>0</v>
      </c>
      <c r="E18180" s="8">
        <v>0</v>
      </c>
      <c r="F18180" s="8">
        <v>293486</v>
      </c>
    </row>
    <row r="18181" spans="1:6" ht="12.75">
      <c r="A18181" s="8">
        <v>43896.296111111107</v>
      </c>
      <c r="B18181" s="8" t="str">
        <f>HYPERLINK("https://twitter.com/SuramaduJingga","@SuramaduJingga")</f>
        <v>@SuramaduJingga</v>
      </c>
      <c r="C18181" s="8" t="s">
        <v>7417</v>
      </c>
      <c r="D18181" s="8">
        <v>0</v>
      </c>
      <c r="E18181" s="8">
        <v>0</v>
      </c>
      <c r="F18181" s="8">
        <v>649</v>
      </c>
    </row>
    <row r="18182" spans="1:6" ht="12.75">
      <c r="A18182" s="8">
        <v>43896.295763888891</v>
      </c>
      <c r="B18182" s="8" t="str">
        <f>HYPERLINK("https://twitter.com/IlhamBaihaqi89","@IlhamBaihaqi89")</f>
        <v>@IlhamBaihaqi89</v>
      </c>
      <c r="C18182" s="8" t="s">
        <v>1343</v>
      </c>
      <c r="D18182" s="8">
        <v>13</v>
      </c>
      <c r="E18182" s="8">
        <v>0</v>
      </c>
      <c r="F18182" s="8">
        <v>399</v>
      </c>
    </row>
    <row r="18183" spans="1:6" ht="12.75">
      <c r="A18183" s="8">
        <v>43896.295694444445</v>
      </c>
      <c r="B18183" s="8" t="str">
        <f>HYPERLINK("https://twitter.com/damario04","@damario04")</f>
        <v>@damario04</v>
      </c>
      <c r="C18183" s="8" t="s">
        <v>166</v>
      </c>
      <c r="D18183" s="8">
        <v>0</v>
      </c>
      <c r="E18183" s="8">
        <v>0</v>
      </c>
      <c r="F18183" s="8">
        <v>403</v>
      </c>
    </row>
    <row r="18184" spans="1:6" ht="12.75">
      <c r="A18184" s="8">
        <v>43896.295046296298</v>
      </c>
      <c r="B18184" s="8" t="str">
        <f>HYPERLINK("https://twitter.com/Iyink7","@Iyink7")</f>
        <v>@Iyink7</v>
      </c>
      <c r="C18184" s="8" t="s">
        <v>4948</v>
      </c>
      <c r="D18184" s="8">
        <v>25</v>
      </c>
      <c r="E18184" s="8">
        <v>0</v>
      </c>
      <c r="F18184" s="8">
        <v>2440</v>
      </c>
    </row>
    <row r="18185" spans="1:6" ht="12.75">
      <c r="A18185" s="8">
        <v>43896.292858796296</v>
      </c>
      <c r="B18185" s="8" t="str">
        <f>HYPERLINK("https://twitter.com/ressa_ipul","@ressa_ipul")</f>
        <v>@ressa_ipul</v>
      </c>
      <c r="C18185" s="8" t="s">
        <v>7418</v>
      </c>
      <c r="D18185" s="8">
        <v>0</v>
      </c>
      <c r="E18185" s="8">
        <v>0</v>
      </c>
      <c r="F18185" s="8">
        <v>334</v>
      </c>
    </row>
    <row r="18186" spans="1:6" ht="12.75">
      <c r="A18186" s="8">
        <v>43896.292372685188</v>
      </c>
      <c r="B18186" s="8" t="str">
        <f>HYPERLINK("https://twitter.com/Leel310","@Leel310")</f>
        <v>@Leel310</v>
      </c>
      <c r="C18186" s="8" t="s">
        <v>7419</v>
      </c>
      <c r="D18186" s="8">
        <v>0</v>
      </c>
      <c r="E18186" s="8">
        <v>0</v>
      </c>
      <c r="F18186" s="8">
        <v>3</v>
      </c>
    </row>
    <row r="18187" spans="1:6" ht="12.75">
      <c r="A18187" s="8">
        <v>43896.291145833333</v>
      </c>
      <c r="B18187" s="8" t="str">
        <f>HYPERLINK("https://twitter.com/Paidjo_Gj","@Paidjo_Gj")</f>
        <v>@Paidjo_Gj</v>
      </c>
      <c r="C18187" s="8" t="s">
        <v>7420</v>
      </c>
      <c r="D18187" s="8">
        <v>0</v>
      </c>
      <c r="E18187" s="8">
        <v>0</v>
      </c>
      <c r="F18187" s="8">
        <v>94</v>
      </c>
    </row>
    <row r="18188" spans="1:6" ht="12.75">
      <c r="A18188" s="8">
        <v>43896.290810185186</v>
      </c>
      <c r="B18188" s="8" t="str">
        <f>HYPERLINK("https://twitter.com/Dharma_0ne","@Dharma_0ne")</f>
        <v>@Dharma_0ne</v>
      </c>
      <c r="C18188" s="8" t="s">
        <v>7281</v>
      </c>
      <c r="D18188" s="8">
        <v>6</v>
      </c>
      <c r="E18188" s="8">
        <v>0</v>
      </c>
      <c r="F18188" s="8">
        <v>4667</v>
      </c>
    </row>
    <row r="18189" spans="1:6" ht="12.75">
      <c r="A18189" s="8">
        <v>43896.290254629625</v>
      </c>
      <c r="B18189" s="8" t="str">
        <f>HYPERLINK("https://twitter.com/Isis_DGAF","@Isis_DGAF")</f>
        <v>@Isis_DGAF</v>
      </c>
      <c r="C18189" s="8" t="s">
        <v>7421</v>
      </c>
      <c r="D18189" s="8">
        <v>4912</v>
      </c>
      <c r="E18189" s="8">
        <v>0</v>
      </c>
      <c r="F18189" s="8">
        <v>932</v>
      </c>
    </row>
    <row r="18190" spans="1:6" ht="12.75">
      <c r="A18190" s="8">
        <v>43896.288634259261</v>
      </c>
      <c r="B18190" s="8" t="str">
        <f>HYPERLINK("https://twitter.com/anjares90","@anjares90")</f>
        <v>@anjares90</v>
      </c>
      <c r="C18190" s="8" t="s">
        <v>1078</v>
      </c>
      <c r="D18190" s="8">
        <v>664</v>
      </c>
      <c r="E18190" s="8">
        <v>0</v>
      </c>
      <c r="F18190" s="8">
        <v>675</v>
      </c>
    </row>
    <row r="18191" spans="1:6" ht="12.75">
      <c r="A18191" s="8">
        <v>43896.284918981481</v>
      </c>
      <c r="B18191" s="8" t="str">
        <f>HYPERLINK("https://twitter.com/SuluhSumatera","@SuluhSumatera")</f>
        <v>@SuluhSumatera</v>
      </c>
      <c r="C18191" s="8" t="s">
        <v>7422</v>
      </c>
      <c r="D18191" s="8">
        <v>0</v>
      </c>
      <c r="E18191" s="8">
        <v>0</v>
      </c>
      <c r="F18191" s="8">
        <v>542</v>
      </c>
    </row>
    <row r="18192" spans="1:6" ht="12.75">
      <c r="A18192" s="8">
        <v>43896.283773148149</v>
      </c>
      <c r="B18192" s="8" t="str">
        <f>HYPERLINK("https://twitter.com/pacifier8141","@pacifier8141")</f>
        <v>@pacifier8141</v>
      </c>
      <c r="C18192" s="8" t="s">
        <v>7423</v>
      </c>
      <c r="D18192" s="8">
        <v>16</v>
      </c>
      <c r="E18192" s="8">
        <v>0</v>
      </c>
      <c r="F18192" s="8">
        <v>141</v>
      </c>
    </row>
    <row r="18193" spans="1:6" ht="12.75">
      <c r="A18193" s="8">
        <v>43896.283368055556</v>
      </c>
      <c r="B18193" s="8" t="str">
        <f>HYPERLINK("https://twitter.com/gindoduri","@gindoduri")</f>
        <v>@gindoduri</v>
      </c>
      <c r="C18193" s="8" t="s">
        <v>7257</v>
      </c>
      <c r="D18193" s="8">
        <v>3</v>
      </c>
      <c r="E18193" s="8">
        <v>0</v>
      </c>
      <c r="F18193" s="8">
        <v>425</v>
      </c>
    </row>
    <row r="18194" spans="1:6" ht="12.75">
      <c r="A18194" s="8">
        <v>43896.283055555556</v>
      </c>
      <c r="B18194" s="8" t="str">
        <f>HYPERLINK("https://twitter.com/pamiipams","@pamiipams")</f>
        <v>@pamiipams</v>
      </c>
      <c r="C18194" s="8" t="s">
        <v>7424</v>
      </c>
      <c r="D18194" s="8">
        <v>0</v>
      </c>
      <c r="E18194" s="8">
        <v>0</v>
      </c>
      <c r="F18194" s="8">
        <v>367</v>
      </c>
    </row>
    <row r="18195" spans="1:6" ht="12.75">
      <c r="A18195" s="8">
        <v>43896.282314814816</v>
      </c>
      <c r="B18195" s="8" t="str">
        <f>HYPERLINK("https://twitter.com/DethanVic","@DethanVic")</f>
        <v>@DethanVic</v>
      </c>
      <c r="C18195" s="8" t="s">
        <v>7425</v>
      </c>
      <c r="D18195" s="8">
        <v>358</v>
      </c>
      <c r="E18195" s="8">
        <v>0</v>
      </c>
      <c r="F18195" s="8">
        <v>44</v>
      </c>
    </row>
    <row r="18196" spans="1:6" ht="12.75">
      <c r="A18196" s="8">
        <v>43896.282094907408</v>
      </c>
      <c r="B18196" s="8" t="str">
        <f>HYPERLINK("https://twitter.com/jojorivai","@jojorivai")</f>
        <v>@jojorivai</v>
      </c>
      <c r="C18196" s="8" t="s">
        <v>7426</v>
      </c>
      <c r="D18196" s="8">
        <v>0</v>
      </c>
      <c r="E18196" s="8">
        <v>1</v>
      </c>
      <c r="F18196" s="8">
        <v>10466</v>
      </c>
    </row>
    <row r="18197" spans="1:6" ht="12.75">
      <c r="A18197" s="8">
        <v>43896.281770833331</v>
      </c>
      <c r="B18197" s="8" t="str">
        <f>HYPERLINK("https://twitter.com/zullifkar_ab","@zullifkar_ab")</f>
        <v>@zullifkar_ab</v>
      </c>
      <c r="C18197" s="8" t="s">
        <v>7427</v>
      </c>
      <c r="D18197" s="8">
        <v>0</v>
      </c>
      <c r="E18197" s="8">
        <v>0</v>
      </c>
      <c r="F18197" s="8">
        <v>121</v>
      </c>
    </row>
    <row r="18198" spans="1:6" ht="12.75">
      <c r="A18198" s="8">
        <v>43896.281666666662</v>
      </c>
      <c r="B18198" s="8" t="str">
        <f>HYPERLINK("https://twitter.com/TuriminVanthat","@TuriminVanthat")</f>
        <v>@TuriminVanthat</v>
      </c>
      <c r="C18198" s="8" t="s">
        <v>7428</v>
      </c>
      <c r="D18198" s="8">
        <v>0</v>
      </c>
      <c r="E18198" s="8">
        <v>0</v>
      </c>
      <c r="F18198" s="8">
        <v>304</v>
      </c>
    </row>
    <row r="18199" spans="1:6" ht="12.75">
      <c r="A18199" s="8">
        <v>43896.280960648146</v>
      </c>
      <c r="B18199" s="8" t="str">
        <f>HYPERLINK("https://twitter.com/mariajulianaID","@mariajulianaID")</f>
        <v>@mariajulianaID</v>
      </c>
      <c r="C18199" s="8" t="s">
        <v>2199</v>
      </c>
      <c r="D18199" s="8">
        <v>9098</v>
      </c>
      <c r="E18199" s="8">
        <v>0</v>
      </c>
      <c r="F18199" s="8">
        <v>373</v>
      </c>
    </row>
    <row r="18200" spans="1:6" ht="12.75">
      <c r="A18200" s="8">
        <v>43896.280787037038</v>
      </c>
      <c r="B18200" s="8" t="str">
        <f>HYPERLINK("https://twitter.com/anisajayantii","@anisajayantii")</f>
        <v>@anisajayantii</v>
      </c>
      <c r="C18200" s="8" t="s">
        <v>7429</v>
      </c>
      <c r="D18200" s="8">
        <v>0</v>
      </c>
      <c r="E18200" s="8">
        <v>0</v>
      </c>
      <c r="F18200" s="8">
        <v>289</v>
      </c>
    </row>
    <row r="18201" spans="1:6" ht="12.75">
      <c r="A18201" s="8">
        <v>43896.279780092591</v>
      </c>
      <c r="B18201" s="8" t="str">
        <f>HYPERLINK("https://twitter.com/SigitWtj","@SigitWtj")</f>
        <v>@SigitWtj</v>
      </c>
      <c r="C18201" s="8" t="s">
        <v>7430</v>
      </c>
      <c r="D18201" s="8">
        <v>14</v>
      </c>
      <c r="E18201" s="8">
        <v>0</v>
      </c>
      <c r="F18201" s="8">
        <v>1638</v>
      </c>
    </row>
    <row r="18202" spans="1:6" ht="12.75">
      <c r="A18202" s="8">
        <v>43896.279675925922</v>
      </c>
      <c r="B18202" s="8" t="str">
        <f>HYPERLINK("https://twitter.com/dehap3","@dehap3")</f>
        <v>@dehap3</v>
      </c>
      <c r="C18202" s="8" t="s">
        <v>7431</v>
      </c>
      <c r="D18202" s="8">
        <v>0</v>
      </c>
      <c r="E18202" s="8">
        <v>0</v>
      </c>
      <c r="F18202" s="8">
        <v>328</v>
      </c>
    </row>
    <row r="18203" spans="1:6" ht="12.75">
      <c r="A18203" s="8">
        <v>43896.279629629629</v>
      </c>
      <c r="B18203" s="8" t="str">
        <f>HYPERLINK("https://twitter.com/setiawan1212","@setiawan1212")</f>
        <v>@setiawan1212</v>
      </c>
      <c r="C18203" s="8" t="s">
        <v>7245</v>
      </c>
      <c r="D18203" s="8">
        <v>90</v>
      </c>
      <c r="E18203" s="8">
        <v>0</v>
      </c>
      <c r="F18203" s="8">
        <v>383</v>
      </c>
    </row>
    <row r="18204" spans="1:6" ht="12.75">
      <c r="A18204" s="8">
        <v>43896.278032407412</v>
      </c>
      <c r="B18204" s="8" t="str">
        <f>HYPERLINK("https://twitter.com/FUCK_HOAX","@FUCK_HOAX")</f>
        <v>@FUCK_HOAX</v>
      </c>
      <c r="C18204" s="8" t="s">
        <v>4948</v>
      </c>
      <c r="D18204" s="8">
        <v>25</v>
      </c>
      <c r="E18204" s="8">
        <v>0</v>
      </c>
      <c r="F18204" s="8">
        <v>364</v>
      </c>
    </row>
    <row r="18205" spans="1:6" ht="12.75">
      <c r="A18205" s="8">
        <v>43896.277638888889</v>
      </c>
      <c r="B18205" s="8" t="str">
        <f>HYPERLINK("https://twitter.com/SigitWtj","@SigitWtj")</f>
        <v>@SigitWtj</v>
      </c>
      <c r="C18205" s="8" t="s">
        <v>3132</v>
      </c>
      <c r="D18205" s="8">
        <v>108</v>
      </c>
      <c r="E18205" s="8">
        <v>0</v>
      </c>
      <c r="F18205" s="8">
        <v>1638</v>
      </c>
    </row>
    <row r="18206" spans="1:6" ht="12.75">
      <c r="A18206" s="8">
        <v>43896.277418981481</v>
      </c>
      <c r="B18206" s="8" t="str">
        <f>HYPERLINK("https://twitter.com/Rdtulum","@Rdtulum")</f>
        <v>@Rdtulum</v>
      </c>
      <c r="C18206" s="8" t="s">
        <v>5878</v>
      </c>
      <c r="D18206" s="8">
        <v>25</v>
      </c>
      <c r="E18206" s="8">
        <v>0</v>
      </c>
      <c r="F18206" s="8">
        <v>107</v>
      </c>
    </row>
    <row r="18207" spans="1:6" ht="12.75">
      <c r="A18207" s="8">
        <v>43896.277303240742</v>
      </c>
      <c r="B18207" s="8" t="str">
        <f>HYPERLINK("https://twitter.com/upress2","@upress2")</f>
        <v>@upress2</v>
      </c>
      <c r="C18207" s="8" t="s">
        <v>7245</v>
      </c>
      <c r="D18207" s="8">
        <v>90</v>
      </c>
      <c r="E18207" s="8">
        <v>0</v>
      </c>
      <c r="F18207" s="8">
        <v>976</v>
      </c>
    </row>
    <row r="18208" spans="1:6" ht="12.75">
      <c r="A18208" s="8">
        <v>43896.276400462964</v>
      </c>
      <c r="B18208" s="8" t="str">
        <f>HYPERLINK("https://twitter.com/wartapoLitik","@wartapoLitik")</f>
        <v>@wartapoLitik</v>
      </c>
      <c r="C18208" s="8" t="s">
        <v>7432</v>
      </c>
      <c r="D18208" s="8">
        <v>3</v>
      </c>
      <c r="E18208" s="8">
        <v>2</v>
      </c>
      <c r="F18208" s="8">
        <v>74414</v>
      </c>
    </row>
    <row r="18209" spans="1:6" ht="12.75">
      <c r="A18209" s="8">
        <v>43896.276134259257</v>
      </c>
      <c r="B18209" s="8" t="str">
        <f>HYPERLINK("https://twitter.com/jjsengui","@jjsengui")</f>
        <v>@jjsengui</v>
      </c>
      <c r="C18209" s="8" t="s">
        <v>1078</v>
      </c>
      <c r="D18209" s="8">
        <v>664</v>
      </c>
      <c r="E18209" s="8">
        <v>0</v>
      </c>
      <c r="F18209" s="8">
        <v>904</v>
      </c>
    </row>
    <row r="18210" spans="1:6" ht="12.75">
      <c r="A18210" s="8">
        <v>43896.276099537034</v>
      </c>
      <c r="B18210" s="8" t="str">
        <f>HYPERLINK("https://twitter.com/andris44","@andris44")</f>
        <v>@andris44</v>
      </c>
      <c r="C18210" s="8" t="s">
        <v>7433</v>
      </c>
      <c r="D18210" s="8">
        <v>4</v>
      </c>
      <c r="E18210" s="8">
        <v>0</v>
      </c>
      <c r="F18210" s="8">
        <v>1384</v>
      </c>
    </row>
    <row r="18211" spans="1:6" ht="12.75">
      <c r="A18211" s="8">
        <v>43896.275590277779</v>
      </c>
      <c r="B18211" s="8" t="str">
        <f>HYPERLINK("https://twitter.com/DitEropa3_Kemlu","@DitEropa3_Kemlu")</f>
        <v>@DitEropa3_Kemlu</v>
      </c>
      <c r="C18211" s="8" t="s">
        <v>7087</v>
      </c>
      <c r="D18211" s="8">
        <v>1</v>
      </c>
      <c r="E18211" s="8">
        <v>0</v>
      </c>
      <c r="F18211" s="8">
        <v>1096</v>
      </c>
    </row>
    <row r="18212" spans="1:6" ht="12.75">
      <c r="A18212" s="8">
        <v>43896.274768518517</v>
      </c>
      <c r="B18212" s="8" t="str">
        <f>HYPERLINK("https://twitter.com/dim0716demak","@dim0716demak")</f>
        <v>@dim0716demak</v>
      </c>
      <c r="C18212" s="8" t="s">
        <v>7434</v>
      </c>
      <c r="D18212" s="8">
        <v>0</v>
      </c>
      <c r="E18212" s="8">
        <v>0</v>
      </c>
      <c r="F18212" s="8">
        <v>1212</v>
      </c>
    </row>
    <row r="18213" spans="1:6" ht="12.75">
      <c r="A18213" s="8">
        <v>43896.274618055555</v>
      </c>
      <c r="B18213" s="8" t="str">
        <f>HYPERLINK("https://twitter.com/medcom_id","@medcom_id")</f>
        <v>@medcom_id</v>
      </c>
      <c r="C18213" s="8" t="s">
        <v>7435</v>
      </c>
      <c r="D18213" s="8">
        <v>0</v>
      </c>
      <c r="E18213" s="8">
        <v>0</v>
      </c>
      <c r="F18213" s="8">
        <v>18502</v>
      </c>
    </row>
    <row r="18214" spans="1:6" ht="12.75">
      <c r="A18214" s="8">
        <v>43896.273275462961</v>
      </c>
      <c r="B18214" s="8" t="str">
        <f>HYPERLINK("https://twitter.com/dim0716demak","@dim0716demak")</f>
        <v>@dim0716demak</v>
      </c>
      <c r="C18214" s="8" t="s">
        <v>7436</v>
      </c>
      <c r="D18214" s="8">
        <v>0</v>
      </c>
      <c r="E18214" s="8">
        <v>0</v>
      </c>
      <c r="F18214" s="8">
        <v>1212</v>
      </c>
    </row>
    <row r="18215" spans="1:6" ht="12.75">
      <c r="A18215" s="8">
        <v>43896.272650462968</v>
      </c>
      <c r="B18215" s="8" t="str">
        <f>HYPERLINK("https://twitter.com/Nick_DAlf","@Nick_DAlf")</f>
        <v>@Nick_DAlf</v>
      </c>
      <c r="C18215" s="8" t="s">
        <v>7437</v>
      </c>
      <c r="D18215" s="8">
        <v>497</v>
      </c>
      <c r="E18215" s="8">
        <v>0</v>
      </c>
      <c r="F18215" s="8">
        <v>4027</v>
      </c>
    </row>
    <row r="18216" spans="1:6" ht="12.75">
      <c r="A18216" s="8">
        <v>43896.272210648152</v>
      </c>
      <c r="B18216" s="8" t="str">
        <f>HYPERLINK("https://twitter.com/BagalueSunab","@BagalueSunab")</f>
        <v>@BagalueSunab</v>
      </c>
      <c r="C18216" s="8" t="s">
        <v>7438</v>
      </c>
      <c r="D18216" s="8">
        <v>0</v>
      </c>
      <c r="E18216" s="8">
        <v>0</v>
      </c>
      <c r="F18216" s="8">
        <v>2589</v>
      </c>
    </row>
    <row r="18217" spans="1:6" ht="12.75">
      <c r="A18217" s="8">
        <v>43896.271296296298</v>
      </c>
      <c r="B18217" s="8" t="str">
        <f>HYPERLINK("https://twitter.com/EIGhaib","@EIGhaib")</f>
        <v>@EIGhaib</v>
      </c>
      <c r="C18217" s="8" t="s">
        <v>1078</v>
      </c>
      <c r="D18217" s="8">
        <v>664</v>
      </c>
      <c r="E18217" s="8">
        <v>0</v>
      </c>
      <c r="F18217" s="8">
        <v>976</v>
      </c>
    </row>
    <row r="18218" spans="1:6" ht="12.75">
      <c r="A18218" s="8">
        <v>43896.271250000005</v>
      </c>
      <c r="B18218" s="8" t="str">
        <f>HYPERLINK("https://twitter.com/Vie9942","@Vie9942")</f>
        <v>@Vie9942</v>
      </c>
      <c r="C18218" s="8" t="s">
        <v>7439</v>
      </c>
      <c r="D18218" s="8">
        <v>0</v>
      </c>
      <c r="E18218" s="8">
        <v>0</v>
      </c>
      <c r="F18218" s="8">
        <v>309</v>
      </c>
    </row>
    <row r="18219" spans="1:6" ht="12.75">
      <c r="A18219" s="8">
        <v>43896.271064814813</v>
      </c>
      <c r="B18219" s="8" t="str">
        <f>HYPERLINK("https://twitter.com/CairoKbri","@CairoKbri")</f>
        <v>@CairoKbri</v>
      </c>
      <c r="C18219" s="8" t="s">
        <v>7440</v>
      </c>
      <c r="D18219" s="8">
        <v>0</v>
      </c>
      <c r="E18219" s="8">
        <v>1</v>
      </c>
      <c r="F18219" s="8">
        <v>1274</v>
      </c>
    </row>
    <row r="18220" spans="1:6" ht="12.75">
      <c r="A18220" s="8">
        <v>43896.270937499998</v>
      </c>
      <c r="B18220" s="8" t="str">
        <f>HYPERLINK("https://twitter.com/SeeHandy","@SeeHandy")</f>
        <v>@SeeHandy</v>
      </c>
      <c r="C18220" s="8" t="s">
        <v>1078</v>
      </c>
      <c r="D18220" s="8">
        <v>664</v>
      </c>
      <c r="E18220" s="8">
        <v>0</v>
      </c>
      <c r="F18220" s="8">
        <v>862</v>
      </c>
    </row>
    <row r="18221" spans="1:6" ht="12.75">
      <c r="A18221" s="8">
        <v>43896.270578703705</v>
      </c>
      <c r="B18221" s="8" t="str">
        <f t="shared" ref="B18221:B18224" si="268">HYPERLINK("https://twitter.com/nandatslnk","@nandatslnk")</f>
        <v>@nandatslnk</v>
      </c>
      <c r="C18221" s="8" t="s">
        <v>7441</v>
      </c>
      <c r="D18221" s="8">
        <v>1</v>
      </c>
      <c r="E18221" s="8">
        <v>0</v>
      </c>
      <c r="F18221" s="8">
        <v>4</v>
      </c>
    </row>
    <row r="18222" spans="1:6" ht="12.75">
      <c r="A18222" s="8">
        <v>43896.270543981482</v>
      </c>
      <c r="B18222" s="8" t="str">
        <f t="shared" si="268"/>
        <v>@nandatslnk</v>
      </c>
      <c r="C18222" s="8" t="s">
        <v>7442</v>
      </c>
      <c r="D18222" s="8">
        <v>1</v>
      </c>
      <c r="E18222" s="8">
        <v>0</v>
      </c>
      <c r="F18222" s="8">
        <v>4</v>
      </c>
    </row>
    <row r="18223" spans="1:6" ht="12.75">
      <c r="A18223" s="8">
        <v>43896.270520833335</v>
      </c>
      <c r="B18223" s="8" t="str">
        <f t="shared" si="268"/>
        <v>@nandatslnk</v>
      </c>
      <c r="C18223" s="8" t="s">
        <v>7443</v>
      </c>
      <c r="D18223" s="8">
        <v>1</v>
      </c>
      <c r="E18223" s="8">
        <v>0</v>
      </c>
      <c r="F18223" s="8">
        <v>4</v>
      </c>
    </row>
    <row r="18224" spans="1:6" ht="12.75">
      <c r="A18224" s="8">
        <v>43896.270486111112</v>
      </c>
      <c r="B18224" s="8" t="str">
        <f t="shared" si="268"/>
        <v>@nandatslnk</v>
      </c>
      <c r="C18224" s="8" t="s">
        <v>7444</v>
      </c>
      <c r="D18224" s="8">
        <v>1</v>
      </c>
      <c r="E18224" s="8">
        <v>0</v>
      </c>
      <c r="F18224" s="8">
        <v>4</v>
      </c>
    </row>
    <row r="18225" spans="1:6" ht="12.75">
      <c r="A18225" s="8">
        <v>43896.270138888889</v>
      </c>
      <c r="B18225" s="8" t="str">
        <f>HYPERLINK("https://twitter.com/SiJombloKreatif","@SiJombloKreatif")</f>
        <v>@SiJombloKreatif</v>
      </c>
      <c r="C18225" s="8" t="s">
        <v>7445</v>
      </c>
      <c r="D18225" s="8">
        <v>1</v>
      </c>
      <c r="E18225" s="8">
        <v>0</v>
      </c>
      <c r="F18225" s="8">
        <v>120945</v>
      </c>
    </row>
    <row r="18226" spans="1:6" ht="12.75">
      <c r="A18226" s="8">
        <v>43896.27008101852</v>
      </c>
      <c r="B18226" s="8" t="str">
        <f>HYPERLINK("https://twitter.com/Kita_NkRi","@Kita_NkRi")</f>
        <v>@Kita_NkRi</v>
      </c>
      <c r="C18226" s="8" t="s">
        <v>7446</v>
      </c>
      <c r="D18226" s="8">
        <v>0</v>
      </c>
      <c r="E18226" s="8">
        <v>0</v>
      </c>
      <c r="F18226" s="8">
        <v>132</v>
      </c>
    </row>
    <row r="18227" spans="1:6" ht="12.75">
      <c r="A18227" s="8">
        <v>43896.269050925926</v>
      </c>
      <c r="B18227" s="8" t="str">
        <f>HYPERLINK("https://twitter.com/sir_usil","@sir_usil")</f>
        <v>@sir_usil</v>
      </c>
      <c r="C18227" s="8" t="s">
        <v>4948</v>
      </c>
      <c r="D18227" s="8">
        <v>25</v>
      </c>
      <c r="E18227" s="8">
        <v>0</v>
      </c>
      <c r="F18227" s="8">
        <v>228</v>
      </c>
    </row>
    <row r="18228" spans="1:6" ht="12.75">
      <c r="A18228" s="8">
        <v>43896.268263888887</v>
      </c>
      <c r="B18228" s="8" t="str">
        <f t="shared" ref="B18228:B18229" si="269">HYPERLINK("https://twitter.com/HRMalik12","@HRMalik12")</f>
        <v>@HRMalik12</v>
      </c>
      <c r="C18228" s="8" t="s">
        <v>1078</v>
      </c>
      <c r="D18228" s="8">
        <v>664</v>
      </c>
      <c r="E18228" s="8">
        <v>0</v>
      </c>
      <c r="F18228" s="8">
        <v>279</v>
      </c>
    </row>
    <row r="18229" spans="1:6" ht="12.75">
      <c r="A18229" s="8">
        <v>43896.268125000002</v>
      </c>
      <c r="B18229" s="8" t="str">
        <f t="shared" si="269"/>
        <v>@HRMalik12</v>
      </c>
      <c r="C18229" s="8" t="s">
        <v>7189</v>
      </c>
      <c r="D18229" s="8">
        <v>55</v>
      </c>
      <c r="E18229" s="8">
        <v>0</v>
      </c>
      <c r="F18229" s="8">
        <v>279</v>
      </c>
    </row>
    <row r="18230" spans="1:6" ht="12.75">
      <c r="A18230" s="8">
        <v>43896.268078703702</v>
      </c>
      <c r="B18230" s="8" t="str">
        <f>HYPERLINK("https://twitter.com/pinkygurllll","@pinkygurllll")</f>
        <v>@pinkygurllll</v>
      </c>
      <c r="C18230" s="8" t="s">
        <v>2962</v>
      </c>
      <c r="D18230" s="8">
        <v>5684</v>
      </c>
      <c r="E18230" s="8">
        <v>0</v>
      </c>
      <c r="F18230" s="8">
        <v>30</v>
      </c>
    </row>
    <row r="18231" spans="1:6" ht="12.75">
      <c r="A18231" s="8">
        <v>43896.267407407402</v>
      </c>
      <c r="B18231" s="8" t="str">
        <f>HYPERLINK("https://twitter.com/KontanNews","@KontanNews")</f>
        <v>@KontanNews</v>
      </c>
      <c r="C18231" s="8" t="s">
        <v>7447</v>
      </c>
      <c r="D18231" s="8">
        <v>0</v>
      </c>
      <c r="E18231" s="8">
        <v>1</v>
      </c>
      <c r="F18231" s="8">
        <v>318205</v>
      </c>
    </row>
    <row r="18232" spans="1:6" ht="12.75">
      <c r="A18232" s="8">
        <v>43896.267361111109</v>
      </c>
      <c r="B18232" s="8" t="str">
        <f>HYPERLINK("https://twitter.com/terasid","@terasid")</f>
        <v>@terasid</v>
      </c>
      <c r="C18232" s="8" t="s">
        <v>5668</v>
      </c>
      <c r="D18232" s="8">
        <v>3</v>
      </c>
      <c r="E18232" s="8">
        <v>0</v>
      </c>
      <c r="F18232" s="8">
        <v>3157</v>
      </c>
    </row>
    <row r="18233" spans="1:6" ht="12.75">
      <c r="A18233" s="8">
        <v>43896.267187500001</v>
      </c>
      <c r="B18233" s="8" t="str">
        <f>HYPERLINK("https://twitter.com/mewati0786","@mewati0786")</f>
        <v>@mewati0786</v>
      </c>
      <c r="C18233" s="8" t="s">
        <v>7448</v>
      </c>
      <c r="D18233" s="8">
        <v>0</v>
      </c>
      <c r="E18233" s="8">
        <v>0</v>
      </c>
      <c r="F18233" s="8">
        <v>136</v>
      </c>
    </row>
    <row r="18234" spans="1:6" ht="12.75">
      <c r="A18234" s="8">
        <v>43896.266400462962</v>
      </c>
      <c r="B18234" s="8" t="str">
        <f>HYPERLINK("https://twitter.com/APramono6","@APramono6")</f>
        <v>@APramono6</v>
      </c>
      <c r="C18234" s="8" t="s">
        <v>7449</v>
      </c>
      <c r="D18234" s="8">
        <v>0</v>
      </c>
      <c r="E18234" s="8">
        <v>0</v>
      </c>
      <c r="F18234" s="8">
        <v>18</v>
      </c>
    </row>
    <row r="18235" spans="1:6" ht="12.75">
      <c r="A18235" s="8">
        <v>43896.265960648147</v>
      </c>
      <c r="B18235" s="8" t="str">
        <f>HYPERLINK("https://twitter.com/__Ahmad_A1","@__Ahmad_A1")</f>
        <v>@__Ahmad_A1</v>
      </c>
      <c r="C18235" s="8" t="s">
        <v>7450</v>
      </c>
      <c r="D18235" s="8">
        <v>0</v>
      </c>
      <c r="E18235" s="8">
        <v>1</v>
      </c>
      <c r="F18235" s="8">
        <v>544</v>
      </c>
    </row>
    <row r="18236" spans="1:6" ht="12.75">
      <c r="A18236" s="8">
        <v>43896.265752314815</v>
      </c>
      <c r="B18236" s="8" t="str">
        <f>HYPERLINK("https://twitter.com/faktasixdunia","@faktasixdunia")</f>
        <v>@faktasixdunia</v>
      </c>
      <c r="C18236" s="8" t="s">
        <v>7451</v>
      </c>
      <c r="D18236" s="8">
        <v>0</v>
      </c>
      <c r="E18236" s="8">
        <v>0</v>
      </c>
      <c r="F18236" s="8">
        <v>1357</v>
      </c>
    </row>
    <row r="18237" spans="1:6" ht="12.75">
      <c r="A18237" s="8">
        <v>43896.265115740738</v>
      </c>
      <c r="B18237" s="8" t="str">
        <f>HYPERLINK("https://twitter.com/MadirodokSia","@MadirodokSia")</f>
        <v>@MadirodokSia</v>
      </c>
      <c r="C18237" s="8" t="s">
        <v>7214</v>
      </c>
      <c r="D18237" s="8">
        <v>0</v>
      </c>
      <c r="E18237" s="8">
        <v>0</v>
      </c>
      <c r="F18237" s="8">
        <v>164</v>
      </c>
    </row>
    <row r="18238" spans="1:6" ht="12.75">
      <c r="A18238" s="8">
        <v>43896.26498842593</v>
      </c>
      <c r="B18238" s="8" t="str">
        <f>HYPERLINK("https://twitter.com/InilahOnline","@InilahOnline")</f>
        <v>@InilahOnline</v>
      </c>
      <c r="C18238" s="8" t="s">
        <v>7214</v>
      </c>
      <c r="D18238" s="8">
        <v>0</v>
      </c>
      <c r="E18238" s="8">
        <v>0</v>
      </c>
      <c r="F18238" s="8">
        <v>80</v>
      </c>
    </row>
    <row r="18239" spans="1:6" ht="12.75">
      <c r="A18239" s="8">
        <v>43896.264791666668</v>
      </c>
      <c r="B18239" s="8" t="str">
        <f>HYPERLINK("https://twitter.com/ryolandafit","@ryolandafit")</f>
        <v>@ryolandafit</v>
      </c>
      <c r="C18239" s="8" t="s">
        <v>7452</v>
      </c>
      <c r="D18239" s="8">
        <v>2</v>
      </c>
      <c r="E18239" s="8">
        <v>0</v>
      </c>
      <c r="F18239" s="8">
        <v>655</v>
      </c>
    </row>
    <row r="18240" spans="1:6" ht="12.75">
      <c r="A18240" s="8">
        <v>43896.263229166667</v>
      </c>
      <c r="B18240" s="8" t="str">
        <f>HYPERLINK("https://twitter.com/pirenaningsih","@pirenaningsih")</f>
        <v>@pirenaningsih</v>
      </c>
      <c r="C18240" s="8" t="s">
        <v>7453</v>
      </c>
      <c r="D18240" s="8">
        <v>0</v>
      </c>
      <c r="E18240" s="8">
        <v>0</v>
      </c>
      <c r="F18240" s="8">
        <v>263</v>
      </c>
    </row>
    <row r="18241" spans="1:6" ht="12.75">
      <c r="A18241" s="8">
        <v>43896.262754629628</v>
      </c>
      <c r="B18241" s="8" t="str">
        <f>HYPERLINK("https://twitter.com/dianyabangRG","@dianyabangRG")</f>
        <v>@dianyabangRG</v>
      </c>
      <c r="C18241" s="8" t="s">
        <v>7454</v>
      </c>
      <c r="D18241" s="8">
        <v>0</v>
      </c>
      <c r="E18241" s="8">
        <v>1</v>
      </c>
      <c r="F18241" s="8">
        <v>27</v>
      </c>
    </row>
    <row r="18242" spans="1:6" ht="12.75">
      <c r="A18242" s="8">
        <v>43896.261076388888</v>
      </c>
      <c r="B18242" s="8" t="str">
        <f>HYPERLINK("https://twitter.com/callmeiyuth","@callmeiyuth")</f>
        <v>@callmeiyuth</v>
      </c>
      <c r="C18242" s="8" t="s">
        <v>2272</v>
      </c>
      <c r="D18242" s="8">
        <v>1029</v>
      </c>
      <c r="E18242" s="8">
        <v>0</v>
      </c>
      <c r="F18242" s="8">
        <v>138</v>
      </c>
    </row>
    <row r="18243" spans="1:6" ht="12.75">
      <c r="A18243" s="8">
        <v>43896.258993055555</v>
      </c>
      <c r="B18243" s="8" t="str">
        <f>HYPERLINK("https://twitter.com/isis_eb","@isis_eb")</f>
        <v>@isis_eb</v>
      </c>
      <c r="C18243" s="8" t="s">
        <v>7455</v>
      </c>
      <c r="D18243" s="8">
        <v>27</v>
      </c>
      <c r="E18243" s="8">
        <v>0</v>
      </c>
      <c r="F18243" s="8">
        <v>358</v>
      </c>
    </row>
    <row r="18244" spans="1:6" ht="12.75">
      <c r="A18244" s="8">
        <v>43896.258634259255</v>
      </c>
      <c r="B18244" s="8" t="str">
        <f>HYPERLINK("https://twitter.com/gilangputra1497","@gilangputra1497")</f>
        <v>@gilangputra1497</v>
      </c>
      <c r="C18244" s="8" t="s">
        <v>2199</v>
      </c>
      <c r="D18244" s="8">
        <v>9098</v>
      </c>
      <c r="E18244" s="8">
        <v>0</v>
      </c>
      <c r="F18244" s="8">
        <v>101</v>
      </c>
    </row>
    <row r="18245" spans="1:6" ht="12.75">
      <c r="A18245" s="8">
        <v>43896.258611111116</v>
      </c>
      <c r="B18245" s="8" t="str">
        <f>HYPERLINK("https://twitter.com/isis_eb","@isis_eb")</f>
        <v>@isis_eb</v>
      </c>
      <c r="C18245" s="8" t="s">
        <v>7456</v>
      </c>
      <c r="D18245" s="8">
        <v>8</v>
      </c>
      <c r="E18245" s="8">
        <v>0</v>
      </c>
      <c r="F18245" s="8">
        <v>358</v>
      </c>
    </row>
    <row r="18246" spans="1:6" ht="12.75">
      <c r="A18246" s="8">
        <v>43896.258553240739</v>
      </c>
      <c r="B18246" s="8" t="str">
        <f>HYPERLINK("https://twitter.com/tolak_hoax","@tolak_hoax")</f>
        <v>@tolak_hoax</v>
      </c>
      <c r="C18246" s="8" t="s">
        <v>7457</v>
      </c>
      <c r="D18246" s="8">
        <v>0</v>
      </c>
      <c r="E18246" s="8">
        <v>0</v>
      </c>
      <c r="F18246" s="8">
        <v>138</v>
      </c>
    </row>
    <row r="18247" spans="1:6" ht="12.75">
      <c r="A18247" s="8">
        <v>43896.257638888885</v>
      </c>
      <c r="B18247" s="8" t="str">
        <f>HYPERLINK("https://twitter.com/donny_sy","@donny_sy")</f>
        <v>@donny_sy</v>
      </c>
      <c r="C18247" s="8" t="s">
        <v>4948</v>
      </c>
      <c r="D18247" s="8">
        <v>25</v>
      </c>
      <c r="E18247" s="8">
        <v>0</v>
      </c>
      <c r="F18247" s="8">
        <v>238</v>
      </c>
    </row>
    <row r="18248" spans="1:6" ht="12.75">
      <c r="A18248" s="8">
        <v>43896.256956018522</v>
      </c>
      <c r="B18248" s="8" t="str">
        <f>HYPERLINK("https://twitter.com/carpediemwinnrz","@carpediemwinnrz")</f>
        <v>@carpediemwinnrz</v>
      </c>
      <c r="C18248" s="8" t="s">
        <v>7458</v>
      </c>
      <c r="D18248" s="8">
        <v>1</v>
      </c>
      <c r="E18248" s="8">
        <v>0</v>
      </c>
      <c r="F18248" s="8">
        <v>196</v>
      </c>
    </row>
    <row r="18249" spans="1:6" ht="12.75">
      <c r="A18249" s="8">
        <v>43896.256874999999</v>
      </c>
      <c r="B18249" s="8" t="str">
        <f>HYPERLINK("https://twitter.com/Melo_Sardinha","@Melo_Sardinha")</f>
        <v>@Melo_Sardinha</v>
      </c>
      <c r="C18249" s="8" t="s">
        <v>7459</v>
      </c>
      <c r="D18249" s="8">
        <v>0</v>
      </c>
      <c r="E18249" s="8">
        <v>1</v>
      </c>
      <c r="F18249" s="8">
        <v>708</v>
      </c>
    </row>
    <row r="18250" spans="1:6" ht="12.75">
      <c r="A18250" s="8">
        <v>43896.255949074075</v>
      </c>
      <c r="B18250" s="8" t="str">
        <f>HYPERLINK("https://twitter.com/MbahSemesta","@MbahSemesta")</f>
        <v>@MbahSemesta</v>
      </c>
      <c r="C18250" s="8" t="s">
        <v>7245</v>
      </c>
      <c r="D18250" s="8">
        <v>88</v>
      </c>
      <c r="E18250" s="8">
        <v>0</v>
      </c>
      <c r="F18250" s="8">
        <v>2068</v>
      </c>
    </row>
    <row r="18251" spans="1:6" ht="12.75">
      <c r="A18251" s="8">
        <v>43896.253020833334</v>
      </c>
      <c r="B18251" s="8" t="str">
        <f>HYPERLINK("https://twitter.com/akusudahselesai","@akusudahselesai")</f>
        <v>@akusudahselesai</v>
      </c>
      <c r="C18251" s="8" t="s">
        <v>7245</v>
      </c>
      <c r="D18251" s="8">
        <v>88</v>
      </c>
      <c r="E18251" s="8">
        <v>0</v>
      </c>
      <c r="F18251" s="8">
        <v>38</v>
      </c>
    </row>
    <row r="18252" spans="1:6" ht="12.75">
      <c r="A18252" s="8">
        <v>43896.252442129626</v>
      </c>
      <c r="B18252" s="8" t="str">
        <f t="shared" ref="B18252:B18253" si="270">HYPERLINK("https://twitter.com/gilangputra1497","@gilangputra1497")</f>
        <v>@gilangputra1497</v>
      </c>
      <c r="C18252" s="8" t="s">
        <v>7460</v>
      </c>
      <c r="D18252" s="8">
        <v>4</v>
      </c>
      <c r="E18252" s="8">
        <v>0</v>
      </c>
      <c r="F18252" s="8">
        <v>101</v>
      </c>
    </row>
    <row r="18253" spans="1:6" ht="12.75">
      <c r="A18253" s="8">
        <v>43896.252384259264</v>
      </c>
      <c r="B18253" s="8" t="str">
        <f t="shared" si="270"/>
        <v>@gilangputra1497</v>
      </c>
      <c r="C18253" s="8" t="s">
        <v>7461</v>
      </c>
      <c r="D18253" s="8">
        <v>80</v>
      </c>
      <c r="E18253" s="8">
        <v>0</v>
      </c>
      <c r="F18253" s="8">
        <v>101</v>
      </c>
    </row>
    <row r="18254" spans="1:6" ht="12.75">
      <c r="A18254" s="8">
        <v>43896.25204861111</v>
      </c>
      <c r="B18254" s="8" t="str">
        <f>HYPERLINK("https://twitter.com/andris44","@andris44")</f>
        <v>@andris44</v>
      </c>
      <c r="C18254" s="8" t="s">
        <v>7189</v>
      </c>
      <c r="D18254" s="8">
        <v>53</v>
      </c>
      <c r="E18254" s="8">
        <v>0</v>
      </c>
      <c r="F18254" s="8">
        <v>1384</v>
      </c>
    </row>
    <row r="18255" spans="1:6" ht="12.75">
      <c r="A18255" s="8">
        <v>43896.251828703702</v>
      </c>
      <c r="B18255" s="8" t="str">
        <f>HYPERLINK("https://twitter.com/BillTemporo","@BillTemporo")</f>
        <v>@BillTemporo</v>
      </c>
      <c r="C18255" s="8" t="s">
        <v>323</v>
      </c>
      <c r="D18255" s="8">
        <v>0</v>
      </c>
      <c r="E18255" s="8">
        <v>0</v>
      </c>
      <c r="F18255" s="8">
        <v>11</v>
      </c>
    </row>
    <row r="18256" spans="1:6" ht="12.75">
      <c r="A18256" s="8">
        <v>43896.250405092593</v>
      </c>
      <c r="B18256" s="8" t="str">
        <f>HYPERLINK("https://twitter.com/ISIS_Balik_NO","@ISIS_Balik_NO")</f>
        <v>@ISIS_Balik_NO</v>
      </c>
      <c r="C18256" s="8" t="s">
        <v>7462</v>
      </c>
      <c r="D18256" s="8">
        <v>0</v>
      </c>
      <c r="E18256" s="8">
        <v>0</v>
      </c>
      <c r="F18256" s="8">
        <v>6122</v>
      </c>
    </row>
    <row r="18257" spans="1:6" ht="12.75">
      <c r="A18257" s="8">
        <v>43896.250381944439</v>
      </c>
      <c r="B18257" s="8" t="str">
        <f>HYPERLINK("https://twitter.com/sandmanindo","@sandmanindo")</f>
        <v>@sandmanindo</v>
      </c>
      <c r="C18257" s="8" t="s">
        <v>7463</v>
      </c>
      <c r="D18257" s="8">
        <v>1</v>
      </c>
      <c r="E18257" s="8">
        <v>0</v>
      </c>
      <c r="F18257" s="8">
        <v>400</v>
      </c>
    </row>
    <row r="18258" spans="1:6" ht="12.75">
      <c r="A18258" s="8">
        <v>43896.250138888892</v>
      </c>
      <c r="B18258" s="8" t="str">
        <f>HYPERLINK("https://twitter.com/AutoAdsJa","@AutoAdsJa")</f>
        <v>@AutoAdsJa</v>
      </c>
      <c r="C18258" s="8" t="s">
        <v>5474</v>
      </c>
      <c r="D18258" s="8">
        <v>0</v>
      </c>
      <c r="E18258" s="8">
        <v>0</v>
      </c>
      <c r="F18258" s="8">
        <v>542</v>
      </c>
    </row>
    <row r="18259" spans="1:6" ht="12.75">
      <c r="A18259" s="8">
        <v>43896.249606481477</v>
      </c>
      <c r="B18259" s="8" t="str">
        <f>HYPERLINK("https://twitter.com/niluhdevia","@niluhdevia")</f>
        <v>@niluhdevia</v>
      </c>
      <c r="C18259" s="8" t="s">
        <v>1078</v>
      </c>
      <c r="D18259" s="8">
        <v>658</v>
      </c>
      <c r="E18259" s="8">
        <v>0</v>
      </c>
      <c r="F18259" s="8">
        <v>1061</v>
      </c>
    </row>
    <row r="18260" spans="1:6" ht="12.75">
      <c r="A18260" s="8">
        <v>43896.247303240743</v>
      </c>
      <c r="B18260" s="8" t="str">
        <f>HYPERLINK("https://twitter.com/catharanx","@catharanx")</f>
        <v>@catharanx</v>
      </c>
      <c r="C18260" s="8" t="s">
        <v>7464</v>
      </c>
      <c r="D18260" s="8">
        <v>0</v>
      </c>
      <c r="E18260" s="8">
        <v>0</v>
      </c>
      <c r="F18260" s="8">
        <v>149</v>
      </c>
    </row>
    <row r="18261" spans="1:6" ht="12.75">
      <c r="A18261" s="8">
        <v>43896.246851851851</v>
      </c>
      <c r="B18261" s="8" t="str">
        <f>HYPERLINK("https://twitter.com/Isis_Almighty","@Isis_Almighty")</f>
        <v>@Isis_Almighty</v>
      </c>
      <c r="C18261" s="8" t="s">
        <v>7029</v>
      </c>
      <c r="D18261" s="8">
        <v>6664</v>
      </c>
      <c r="E18261" s="8">
        <v>0</v>
      </c>
      <c r="F18261" s="8">
        <v>1394</v>
      </c>
    </row>
    <row r="18262" spans="1:6" ht="12.75">
      <c r="A18262" s="8">
        <v>43896.245856481481</v>
      </c>
      <c r="B18262" s="8" t="str">
        <f>HYPERLINK("https://twitter.com/muiz2202","@muiz2202")</f>
        <v>@muiz2202</v>
      </c>
      <c r="C18262" s="8" t="s">
        <v>7465</v>
      </c>
      <c r="D18262" s="8">
        <v>1</v>
      </c>
      <c r="E18262" s="8">
        <v>0</v>
      </c>
      <c r="F18262" s="8">
        <v>116</v>
      </c>
    </row>
    <row r="18263" spans="1:6" ht="12.75">
      <c r="A18263" s="8">
        <v>43896.245729166665</v>
      </c>
      <c r="B18263" s="8" t="str">
        <f>HYPERLINK("https://twitter.com/555masteng","@555masteng")</f>
        <v>@555masteng</v>
      </c>
      <c r="C18263" s="8" t="s">
        <v>7466</v>
      </c>
      <c r="D18263" s="8">
        <v>10</v>
      </c>
      <c r="E18263" s="8">
        <v>0</v>
      </c>
      <c r="F18263" s="8">
        <v>5600</v>
      </c>
    </row>
    <row r="18264" spans="1:6" ht="12.75">
      <c r="A18264" s="8">
        <v>43896.244780092587</v>
      </c>
      <c r="B18264" s="8" t="str">
        <f>HYPERLINK("https://twitter.com/coklatobleko","@coklatobleko")</f>
        <v>@coklatobleko</v>
      </c>
      <c r="C18264" s="8" t="s">
        <v>7467</v>
      </c>
      <c r="D18264" s="8">
        <v>0</v>
      </c>
      <c r="E18264" s="8">
        <v>0</v>
      </c>
      <c r="F18264" s="8">
        <v>73</v>
      </c>
    </row>
    <row r="18265" spans="1:6" ht="12.75">
      <c r="A18265" s="8">
        <v>43896.243379629625</v>
      </c>
      <c r="B18265" s="8" t="str">
        <f>HYPERLINK("https://twitter.com/Erpriko","@Erpriko")</f>
        <v>@Erpriko</v>
      </c>
      <c r="C18265" s="8" t="s">
        <v>7468</v>
      </c>
      <c r="D18265" s="8">
        <v>0</v>
      </c>
      <c r="E18265" s="8">
        <v>0</v>
      </c>
      <c r="F18265" s="8">
        <v>648</v>
      </c>
    </row>
    <row r="18266" spans="1:6" ht="12.75">
      <c r="A18266" s="8">
        <v>43896.242812500001</v>
      </c>
      <c r="B18266" s="8" t="str">
        <f>HYPERLINK("https://twitter.com/danngoblin","@danngoblin")</f>
        <v>@danngoblin</v>
      </c>
      <c r="C18266" s="8" t="s">
        <v>1343</v>
      </c>
      <c r="D18266" s="8">
        <v>12</v>
      </c>
      <c r="E18266" s="8">
        <v>0</v>
      </c>
      <c r="F18266" s="8">
        <v>48</v>
      </c>
    </row>
    <row r="18267" spans="1:6" ht="12.75">
      <c r="A18267" s="8">
        <v>43896.242337962962</v>
      </c>
      <c r="B18267" s="8" t="str">
        <f>HYPERLINK("https://twitter.com/Learnfx01","@Learnfx01")</f>
        <v>@Learnfx01</v>
      </c>
      <c r="C18267" s="8" t="s">
        <v>7245</v>
      </c>
      <c r="D18267" s="8">
        <v>88</v>
      </c>
      <c r="E18267" s="8">
        <v>0</v>
      </c>
      <c r="F18267" s="8">
        <v>2421</v>
      </c>
    </row>
    <row r="18268" spans="1:6" ht="12.75">
      <c r="A18268" s="8">
        <v>43896.242152777777</v>
      </c>
      <c r="B18268" s="8" t="str">
        <f>HYPERLINK("https://twitter.com/ncuyky_","@ncuyky_")</f>
        <v>@ncuyky_</v>
      </c>
      <c r="C18268" s="8" t="s">
        <v>7242</v>
      </c>
      <c r="D18268" s="8">
        <v>102</v>
      </c>
      <c r="E18268" s="8">
        <v>0</v>
      </c>
      <c r="F18268" s="8">
        <v>132</v>
      </c>
    </row>
    <row r="18269" spans="1:6" ht="12.75">
      <c r="A18269" s="8">
        <v>43896.24150462963</v>
      </c>
      <c r="B18269" s="8" t="str">
        <f>HYPERLINK("https://twitter.com/370Oke","@370Oke")</f>
        <v>@370Oke</v>
      </c>
      <c r="C18269" s="8" t="s">
        <v>7469</v>
      </c>
      <c r="D18269" s="8">
        <v>0</v>
      </c>
      <c r="E18269" s="8">
        <v>0</v>
      </c>
      <c r="F18269" s="8">
        <v>2</v>
      </c>
    </row>
    <row r="18270" spans="1:6" ht="12.75">
      <c r="A18270" s="8">
        <v>43896.241493055553</v>
      </c>
      <c r="B18270" s="8" t="str">
        <f>HYPERLINK("https://twitter.com/IcaEndah","@IcaEndah")</f>
        <v>@IcaEndah</v>
      </c>
      <c r="C18270" s="8" t="s">
        <v>7470</v>
      </c>
      <c r="D18270" s="8">
        <v>0</v>
      </c>
      <c r="E18270" s="8">
        <v>0</v>
      </c>
      <c r="F18270" s="8">
        <v>433</v>
      </c>
    </row>
    <row r="18271" spans="1:6" ht="12.75">
      <c r="A18271" s="8">
        <v>43896.240451388891</v>
      </c>
      <c r="B18271" s="8" t="str">
        <f>HYPERLINK("https://twitter.com/Evasarip","@Evasarip")</f>
        <v>@Evasarip</v>
      </c>
      <c r="C18271" s="8" t="s">
        <v>2506</v>
      </c>
      <c r="D18271" s="8">
        <v>15</v>
      </c>
      <c r="E18271" s="8">
        <v>0</v>
      </c>
      <c r="F18271" s="8">
        <v>208</v>
      </c>
    </row>
    <row r="18272" spans="1:6" ht="12.75">
      <c r="A18272" s="8">
        <v>43896.240416666667</v>
      </c>
      <c r="B18272" s="8" t="str">
        <f>HYPERLINK("https://twitter.com/kridarwin","@kridarwin")</f>
        <v>@kridarwin</v>
      </c>
      <c r="C18272" s="8" t="s">
        <v>3132</v>
      </c>
      <c r="D18272" s="8">
        <v>105</v>
      </c>
      <c r="E18272" s="8">
        <v>0</v>
      </c>
      <c r="F18272" s="8">
        <v>3652</v>
      </c>
    </row>
    <row r="18273" spans="1:6" ht="12.75">
      <c r="A18273" s="8">
        <v>43896.240324074075</v>
      </c>
      <c r="B18273" s="8" t="str">
        <f t="shared" ref="B18273:B18274" si="271">HYPERLINK("https://twitter.com/ani_nyebar","@ani_nyebar")</f>
        <v>@ani_nyebar</v>
      </c>
      <c r="C18273" s="8" t="s">
        <v>7471</v>
      </c>
      <c r="D18273" s="8">
        <v>0</v>
      </c>
      <c r="E18273" s="8">
        <v>0</v>
      </c>
      <c r="F18273" s="8">
        <v>125</v>
      </c>
    </row>
    <row r="18274" spans="1:6" ht="12.75">
      <c r="A18274" s="8">
        <v>43896.240312499998</v>
      </c>
      <c r="B18274" s="8" t="str">
        <f t="shared" si="271"/>
        <v>@ani_nyebar</v>
      </c>
      <c r="C18274" s="8" t="s">
        <v>7472</v>
      </c>
      <c r="D18274" s="8">
        <v>0</v>
      </c>
      <c r="E18274" s="8">
        <v>0</v>
      </c>
      <c r="F18274" s="8">
        <v>125</v>
      </c>
    </row>
    <row r="18275" spans="1:6" ht="12.75">
      <c r="A18275" s="8">
        <v>43896.239375000005</v>
      </c>
      <c r="B18275" s="8" t="str">
        <f>HYPERLINK("https://twitter.com/tommymarten","@tommymarten")</f>
        <v>@tommymarten</v>
      </c>
      <c r="C18275" s="8" t="s">
        <v>7473</v>
      </c>
      <c r="D18275" s="8">
        <v>385</v>
      </c>
      <c r="E18275" s="8">
        <v>0</v>
      </c>
      <c r="F18275" s="8">
        <v>185</v>
      </c>
    </row>
    <row r="18276" spans="1:6" ht="12.75">
      <c r="A18276" s="8">
        <v>43896.23841435185</v>
      </c>
      <c r="B18276" s="8" t="str">
        <f>HYPERLINK("https://twitter.com/AndyRachmianto","@AndyRachmianto")</f>
        <v>@AndyRachmianto</v>
      </c>
      <c r="C18276" s="8" t="s">
        <v>3132</v>
      </c>
      <c r="D18276" s="8">
        <v>105</v>
      </c>
      <c r="E18276" s="8">
        <v>0</v>
      </c>
      <c r="F18276" s="8">
        <v>350</v>
      </c>
    </row>
    <row r="18277" spans="1:6" ht="12.75">
      <c r="A18277" s="8">
        <v>43896.237916666665</v>
      </c>
      <c r="B18277" s="8" t="str">
        <f>HYPERLINK("https://twitter.com/tomitexas","@tomitexas")</f>
        <v>@tomitexas</v>
      </c>
      <c r="C18277" s="8" t="s">
        <v>7245</v>
      </c>
      <c r="D18277" s="8">
        <v>88</v>
      </c>
      <c r="E18277" s="8">
        <v>0</v>
      </c>
      <c r="F18277" s="8">
        <v>377</v>
      </c>
    </row>
    <row r="18278" spans="1:6" ht="12.75">
      <c r="A18278" s="8">
        <v>43896.236990740741</v>
      </c>
      <c r="B18278" s="8" t="str">
        <f>HYPERLINK("https://twitter.com/CakL1571","@CakL1571")</f>
        <v>@CakL1571</v>
      </c>
      <c r="C18278" s="8" t="s">
        <v>1078</v>
      </c>
      <c r="D18278" s="8">
        <v>658</v>
      </c>
      <c r="E18278" s="8">
        <v>0</v>
      </c>
      <c r="F18278" s="8">
        <v>76</v>
      </c>
    </row>
    <row r="18279" spans="1:6" ht="12.75">
      <c r="A18279" s="8">
        <v>43896.236064814817</v>
      </c>
      <c r="B18279" s="8" t="str">
        <f>HYPERLINK("https://twitter.com/hmzailanispog","@hmzailanispog")</f>
        <v>@hmzailanispog</v>
      </c>
      <c r="C18279" s="8" t="s">
        <v>7474</v>
      </c>
      <c r="D18279" s="8">
        <v>0</v>
      </c>
      <c r="E18279" s="8">
        <v>0</v>
      </c>
      <c r="F18279" s="8">
        <v>365</v>
      </c>
    </row>
    <row r="18280" spans="1:6" ht="12.75">
      <c r="A18280" s="8">
        <v>43896.235520833332</v>
      </c>
      <c r="B18280" s="8" t="str">
        <f>HYPERLINK("https://twitter.com/MudaReal","@MudaReal")</f>
        <v>@MudaReal</v>
      </c>
      <c r="C18280" s="8" t="s">
        <v>7475</v>
      </c>
      <c r="D18280" s="8">
        <v>0</v>
      </c>
      <c r="E18280" s="8">
        <v>0</v>
      </c>
      <c r="F18280" s="8">
        <v>9</v>
      </c>
    </row>
    <row r="18281" spans="1:6" ht="12.75">
      <c r="A18281" s="8">
        <v>43896.234548611115</v>
      </c>
      <c r="B18281" s="8" t="str">
        <f>HYPERLINK("https://twitter.com/KARDUSDURIAN","@KARDUSDURIAN")</f>
        <v>@KARDUSDURIAN</v>
      </c>
      <c r="C18281" s="8" t="s">
        <v>7476</v>
      </c>
      <c r="D18281" s="8">
        <v>0</v>
      </c>
      <c r="E18281" s="8">
        <v>0</v>
      </c>
      <c r="F18281" s="8">
        <v>203</v>
      </c>
    </row>
    <row r="18282" spans="1:6" ht="12.75">
      <c r="A18282" s="8">
        <v>43896.233483796299</v>
      </c>
      <c r="B18282" s="8" t="str">
        <f>HYPERLINK("https://twitter.com/Magersuu","@Magersuu")</f>
        <v>@Magersuu</v>
      </c>
      <c r="C18282" s="8" t="s">
        <v>4948</v>
      </c>
      <c r="D18282" s="8">
        <v>21</v>
      </c>
      <c r="E18282" s="8">
        <v>0</v>
      </c>
      <c r="F18282" s="8">
        <v>101</v>
      </c>
    </row>
    <row r="18283" spans="1:6" ht="12.75">
      <c r="A18283" s="8">
        <v>43896.23201388889</v>
      </c>
      <c r="B18283" s="8" t="str">
        <f>HYPERLINK("https://twitter.com/bayuwijayant0","@bayuwijayant0")</f>
        <v>@bayuwijayant0</v>
      </c>
      <c r="C18283" s="8" t="s">
        <v>1078</v>
      </c>
      <c r="D18283" s="8">
        <v>658</v>
      </c>
      <c r="E18283" s="8">
        <v>0</v>
      </c>
      <c r="F18283" s="8">
        <v>1143</v>
      </c>
    </row>
    <row r="18284" spans="1:6" ht="12.75">
      <c r="A18284" s="8">
        <v>43896.231678240743</v>
      </c>
      <c r="B18284" s="8" t="str">
        <f>HYPERLINK("https://twitter.com/EkaS45254216","@EkaS45254216")</f>
        <v>@EkaS45254216</v>
      </c>
      <c r="C18284" s="8" t="s">
        <v>7245</v>
      </c>
      <c r="D18284" s="8">
        <v>88</v>
      </c>
      <c r="E18284" s="8">
        <v>0</v>
      </c>
      <c r="F18284" s="8">
        <v>3</v>
      </c>
    </row>
    <row r="18285" spans="1:6" ht="12.75">
      <c r="A18285" s="8">
        <v>43896.230833333335</v>
      </c>
      <c r="B18285" s="8" t="str">
        <f>HYPERLINK("https://twitter.com/FashaKrui","@FashaKrui")</f>
        <v>@FashaKrui</v>
      </c>
      <c r="C18285" s="8" t="s">
        <v>7477</v>
      </c>
      <c r="D18285" s="8">
        <v>0</v>
      </c>
      <c r="E18285" s="8">
        <v>0</v>
      </c>
      <c r="F18285" s="8">
        <v>1</v>
      </c>
    </row>
    <row r="18286" spans="1:6" ht="12.75">
      <c r="A18286" s="8">
        <v>43896.230833333335</v>
      </c>
      <c r="B18286" s="8" t="str">
        <f>HYPERLINK("https://twitter.com/bennydjuwanda","@bennydjuwanda")</f>
        <v>@bennydjuwanda</v>
      </c>
      <c r="C18286" s="8" t="s">
        <v>7473</v>
      </c>
      <c r="D18286" s="8">
        <v>385</v>
      </c>
      <c r="E18286" s="8">
        <v>0</v>
      </c>
      <c r="F18286" s="8">
        <v>316</v>
      </c>
    </row>
    <row r="18287" spans="1:6" ht="12.75">
      <c r="A18287" s="8">
        <v>43896.230821759258</v>
      </c>
      <c r="B18287" s="8" t="str">
        <f>HYPERLINK("https://twitter.com/BillTemporo","@BillTemporo")</f>
        <v>@BillTemporo</v>
      </c>
      <c r="C18287" s="8" t="s">
        <v>355</v>
      </c>
      <c r="D18287" s="8">
        <v>0</v>
      </c>
      <c r="E18287" s="8">
        <v>0</v>
      </c>
      <c r="F18287" s="8">
        <v>11</v>
      </c>
    </row>
    <row r="18288" spans="1:6" ht="12.75">
      <c r="A18288" s="8">
        <v>43896.229467592595</v>
      </c>
      <c r="B18288" s="8" t="str">
        <f>HYPERLINK("https://twitter.com/officialliputan","@officialliputan")</f>
        <v>@officialliputan</v>
      </c>
      <c r="C18288" s="8" t="s">
        <v>7478</v>
      </c>
      <c r="D18288" s="8">
        <v>0</v>
      </c>
      <c r="E18288" s="8">
        <v>0</v>
      </c>
      <c r="F18288" s="8">
        <v>673</v>
      </c>
    </row>
    <row r="18289" spans="1:6" ht="12.75">
      <c r="A18289" s="8">
        <v>43896.219525462962</v>
      </c>
      <c r="B18289" s="8" t="str">
        <f>HYPERLINK("https://twitter.com/g4lihpurwo","@g4lihpurwo")</f>
        <v>@g4lihpurwo</v>
      </c>
      <c r="C18289" s="8" t="s">
        <v>7262</v>
      </c>
      <c r="D18289" s="8">
        <v>275</v>
      </c>
      <c r="E18289" s="8">
        <v>0</v>
      </c>
      <c r="F18289" s="8">
        <v>3176</v>
      </c>
    </row>
    <row r="18290" spans="1:6" ht="12.75">
      <c r="A18290" s="8">
        <v>43896.219178240739</v>
      </c>
      <c r="B18290" s="8" t="str">
        <f>HYPERLINK("https://twitter.com/pangerancagak","@pangerancagak")</f>
        <v>@pangerancagak</v>
      </c>
      <c r="C18290" s="8" t="s">
        <v>4948</v>
      </c>
      <c r="D18290" s="8">
        <v>21</v>
      </c>
      <c r="E18290" s="8">
        <v>0</v>
      </c>
      <c r="F18290" s="8">
        <v>110</v>
      </c>
    </row>
    <row r="18291" spans="1:6" ht="12.75">
      <c r="A18291" s="8">
        <v>43896.214942129634</v>
      </c>
      <c r="B18291" s="8" t="str">
        <f>HYPERLINK("https://twitter.com/beritalimacom","@beritalimacom")</f>
        <v>@beritalimacom</v>
      </c>
      <c r="C18291" s="8" t="s">
        <v>7479</v>
      </c>
      <c r="D18291" s="8">
        <v>0</v>
      </c>
      <c r="E18291" s="8">
        <v>0</v>
      </c>
      <c r="F18291" s="8">
        <v>1453</v>
      </c>
    </row>
    <row r="18292" spans="1:6" ht="12.75">
      <c r="A18292" s="8">
        <v>43896.211342592593</v>
      </c>
      <c r="B18292" s="8" t="str">
        <f>HYPERLINK("https://twitter.com/EkaPrat74998031","@EkaPrat74998031")</f>
        <v>@EkaPrat74998031</v>
      </c>
      <c r="C18292" s="8" t="s">
        <v>7480</v>
      </c>
      <c r="D18292" s="8">
        <v>0</v>
      </c>
      <c r="E18292" s="8">
        <v>0</v>
      </c>
      <c r="F18292" s="8">
        <v>0</v>
      </c>
    </row>
    <row r="18293" spans="1:6" ht="12.75">
      <c r="A18293" s="8">
        <v>43896.210497685184</v>
      </c>
      <c r="B18293" s="8" t="str">
        <f>HYPERLINK("https://twitter.com/mimiweeka","@mimiweeka")</f>
        <v>@mimiweeka</v>
      </c>
      <c r="C18293" s="8" t="s">
        <v>7481</v>
      </c>
      <c r="D18293" s="8">
        <v>2</v>
      </c>
      <c r="E18293" s="8">
        <v>0</v>
      </c>
      <c r="F18293" s="8">
        <v>456</v>
      </c>
    </row>
    <row r="18294" spans="1:6" ht="12.75">
      <c r="A18294" s="8">
        <v>43896.210138888884</v>
      </c>
      <c r="B18294" s="8" t="str">
        <f>HYPERLINK("https://twitter.com/BillTemporo","@BillTemporo")</f>
        <v>@BillTemporo</v>
      </c>
      <c r="C18294" s="8" t="s">
        <v>384</v>
      </c>
      <c r="D18294" s="8">
        <v>0</v>
      </c>
      <c r="E18294" s="8">
        <v>0</v>
      </c>
      <c r="F18294" s="8">
        <v>11</v>
      </c>
    </row>
    <row r="18295" spans="1:6" ht="12.75">
      <c r="A18295" s="8">
        <v>43896.208043981482</v>
      </c>
      <c r="B18295" s="8" t="str">
        <f>HYPERLINK("https://twitter.com/jahangir_mehta","@jahangir_mehta")</f>
        <v>@jahangir_mehta</v>
      </c>
      <c r="C18295" s="8" t="s">
        <v>7482</v>
      </c>
      <c r="D18295" s="8">
        <v>0</v>
      </c>
      <c r="E18295" s="8">
        <v>0</v>
      </c>
      <c r="F18295" s="8">
        <v>191</v>
      </c>
    </row>
    <row r="18296" spans="1:6" ht="12.75">
      <c r="A18296" s="8">
        <v>43896.207604166666</v>
      </c>
      <c r="B18296" s="8" t="str">
        <f>HYPERLINK("https://twitter.com/Tulang_Godang","@Tulang_Godang")</f>
        <v>@Tulang_Godang</v>
      </c>
      <c r="C18296" s="8" t="s">
        <v>4948</v>
      </c>
      <c r="D18296" s="8">
        <v>17</v>
      </c>
      <c r="E18296" s="8">
        <v>0</v>
      </c>
      <c r="F18296" s="8">
        <v>578</v>
      </c>
    </row>
    <row r="18297" spans="1:6" ht="12.75">
      <c r="A18297" s="8">
        <v>43896.205590277779</v>
      </c>
      <c r="B18297" s="8" t="str">
        <f>HYPERLINK("https://twitter.com/ariyandi32","@ariyandi32")</f>
        <v>@ariyandi32</v>
      </c>
      <c r="C18297" s="8" t="s">
        <v>7483</v>
      </c>
      <c r="D18297" s="8">
        <v>0</v>
      </c>
      <c r="E18297" s="8">
        <v>0</v>
      </c>
      <c r="F18297" s="8">
        <v>698</v>
      </c>
    </row>
    <row r="18298" spans="1:6" ht="12.75">
      <c r="A18298" s="8">
        <v>43896.204861111109</v>
      </c>
      <c r="B18298" s="8" t="str">
        <f>HYPERLINK("https://twitter.com/ItsMyRealQuotes","@ItsMyRealQuotes")</f>
        <v>@ItsMyRealQuotes</v>
      </c>
      <c r="C18298" s="8" t="s">
        <v>7484</v>
      </c>
      <c r="D18298" s="8">
        <v>0</v>
      </c>
      <c r="E18298" s="8">
        <v>0</v>
      </c>
      <c r="F18298" s="8">
        <v>183756</v>
      </c>
    </row>
    <row r="18299" spans="1:6" ht="12.75">
      <c r="A18299" s="8">
        <v>43896.202951388885</v>
      </c>
      <c r="B18299" s="8" t="str">
        <f>HYPERLINK("https://twitter.com/Jaysyku","@Jaysyku")</f>
        <v>@Jaysyku</v>
      </c>
      <c r="C18299" s="8" t="s">
        <v>7485</v>
      </c>
      <c r="D18299" s="8">
        <v>2</v>
      </c>
      <c r="E18299" s="8">
        <v>0</v>
      </c>
      <c r="F18299" s="8">
        <v>248</v>
      </c>
    </row>
    <row r="18300" spans="1:6" ht="12.75">
      <c r="A18300" s="8">
        <v>43896.201689814814</v>
      </c>
      <c r="B18300" s="8" t="str">
        <f>HYPERLINK("https://twitter.com/su7loo","@su7loo")</f>
        <v>@su7loo</v>
      </c>
      <c r="C18300" s="8" t="s">
        <v>7245</v>
      </c>
      <c r="D18300" s="8">
        <v>83</v>
      </c>
      <c r="E18300" s="8">
        <v>0</v>
      </c>
      <c r="F18300" s="8">
        <v>1197</v>
      </c>
    </row>
    <row r="18301" spans="1:6" ht="12.75">
      <c r="A18301" s="8">
        <v>43896.198576388888</v>
      </c>
      <c r="B18301" s="8" t="str">
        <f>HYPERLINK("https://twitter.com/bidang_arie","@bidang_arie")</f>
        <v>@bidang_arie</v>
      </c>
      <c r="C18301" s="8" t="s">
        <v>4948</v>
      </c>
      <c r="D18301" s="8">
        <v>17</v>
      </c>
      <c r="E18301" s="8">
        <v>0</v>
      </c>
      <c r="F18301" s="8">
        <v>15</v>
      </c>
    </row>
    <row r="18302" spans="1:6" ht="12.75">
      <c r="A18302" s="8">
        <v>43896.198518518519</v>
      </c>
      <c r="B18302" s="8" t="str">
        <f>HYPERLINK("https://twitter.com/RickRoy19709058","@RickRoy19709058")</f>
        <v>@RickRoy19709058</v>
      </c>
      <c r="C18302" s="8" t="s">
        <v>7486</v>
      </c>
      <c r="D18302" s="8">
        <v>0</v>
      </c>
      <c r="E18302" s="8">
        <v>0</v>
      </c>
      <c r="F18302" s="8">
        <v>42</v>
      </c>
    </row>
    <row r="18303" spans="1:6" ht="12.75">
      <c r="A18303" s="8">
        <v>43896.198287037041</v>
      </c>
      <c r="B18303" s="8" t="str">
        <f>HYPERLINK("https://twitter.com/VIVAcoid","@VIVAcoid")</f>
        <v>@VIVAcoid</v>
      </c>
      <c r="C18303" s="8" t="s">
        <v>7481</v>
      </c>
      <c r="D18303" s="8">
        <v>2</v>
      </c>
      <c r="E18303" s="8">
        <v>0</v>
      </c>
      <c r="F18303" s="8">
        <v>4175496</v>
      </c>
    </row>
    <row r="18304" spans="1:6" ht="12.75">
      <c r="A18304" s="8">
        <v>43896.19798611111</v>
      </c>
      <c r="B18304" s="8" t="str">
        <f>HYPERLINK("https://twitter.com/vivanewscom","@vivanewscom")</f>
        <v>@vivanewscom</v>
      </c>
      <c r="C18304" s="8" t="s">
        <v>7487</v>
      </c>
      <c r="D18304" s="8">
        <v>2</v>
      </c>
      <c r="E18304" s="8">
        <v>0</v>
      </c>
      <c r="F18304" s="8">
        <v>4727</v>
      </c>
    </row>
    <row r="18305" spans="1:6" ht="12.75">
      <c r="A18305" s="8">
        <v>43896.197916666672</v>
      </c>
      <c r="B18305" s="8" t="str">
        <f>HYPERLINK("https://twitter.com/rqlabigail","@rqlabigail")</f>
        <v>@rqlabigail</v>
      </c>
      <c r="C18305" s="8" t="s">
        <v>7488</v>
      </c>
      <c r="D18305" s="8">
        <v>0</v>
      </c>
      <c r="E18305" s="8">
        <v>0</v>
      </c>
      <c r="F18305" s="8">
        <v>5</v>
      </c>
    </row>
    <row r="18306" spans="1:6" ht="12.75">
      <c r="A18306" s="8">
        <v>43896.197187500002</v>
      </c>
      <c r="B18306" s="8" t="str">
        <f>HYPERLINK("https://twitter.com/DivaRadioqu","@DivaRadioqu")</f>
        <v>@DivaRadioqu</v>
      </c>
      <c r="C18306" s="8" t="s">
        <v>7489</v>
      </c>
      <c r="D18306" s="8">
        <v>0</v>
      </c>
      <c r="E18306" s="8">
        <v>0</v>
      </c>
      <c r="F18306" s="8">
        <v>256</v>
      </c>
    </row>
    <row r="18307" spans="1:6" ht="12.75">
      <c r="A18307" s="8">
        <v>43896.194502314815</v>
      </c>
      <c r="B18307" s="8" t="str">
        <f>HYPERLINK("https://twitter.com/JokoFighter01","@JokoFighter01")</f>
        <v>@JokoFighter01</v>
      </c>
      <c r="C18307" s="8" t="s">
        <v>4948</v>
      </c>
      <c r="D18307" s="8">
        <v>17</v>
      </c>
      <c r="E18307" s="8">
        <v>0</v>
      </c>
      <c r="F18307" s="8">
        <v>538</v>
      </c>
    </row>
    <row r="18308" spans="1:6" ht="12.75">
      <c r="A18308" s="8">
        <v>43896.194074074076</v>
      </c>
      <c r="B18308" s="8" t="str">
        <f>HYPERLINK("https://twitter.com/hanafie_luqman","@hanafie_luqman")</f>
        <v>@hanafie_luqman</v>
      </c>
      <c r="C18308" s="8" t="s">
        <v>5878</v>
      </c>
      <c r="D18308" s="8">
        <v>23</v>
      </c>
      <c r="E18308" s="8">
        <v>0</v>
      </c>
      <c r="F18308" s="8">
        <v>69</v>
      </c>
    </row>
    <row r="18309" spans="1:6" ht="12.75">
      <c r="A18309" s="8">
        <v>43896.19368055556</v>
      </c>
      <c r="B18309" s="8" t="str">
        <f>HYPERLINK("https://twitter.com/Mordechai1972","@Mordechai1972")</f>
        <v>@Mordechai1972</v>
      </c>
      <c r="C18309" s="8" t="s">
        <v>4948</v>
      </c>
      <c r="D18309" s="8">
        <v>17</v>
      </c>
      <c r="E18309" s="8">
        <v>0</v>
      </c>
      <c r="F18309" s="8">
        <v>58</v>
      </c>
    </row>
    <row r="18310" spans="1:6" ht="12.75">
      <c r="A18310" s="8">
        <v>43896.190972222219</v>
      </c>
      <c r="B18310" s="8" t="str">
        <f>HYPERLINK("https://twitter.com/FatiinS_L","@FatiinS_L")</f>
        <v>@FatiinS_L</v>
      </c>
      <c r="C18310" s="8" t="s">
        <v>7490</v>
      </c>
      <c r="D18310" s="8">
        <v>0</v>
      </c>
      <c r="E18310" s="8">
        <v>0</v>
      </c>
      <c r="F18310" s="8">
        <v>16421</v>
      </c>
    </row>
    <row r="18311" spans="1:6" ht="12.75">
      <c r="A18311" s="8">
        <v>43896.188275462962</v>
      </c>
      <c r="B18311" s="8" t="str">
        <f>HYPERLINK("https://twitter.com/iras_kv","@iras_kv")</f>
        <v>@iras_kv</v>
      </c>
      <c r="C18311" s="8" t="s">
        <v>7491</v>
      </c>
      <c r="D18311" s="8">
        <v>6</v>
      </c>
      <c r="E18311" s="8">
        <v>0</v>
      </c>
      <c r="F18311" s="8">
        <v>159</v>
      </c>
    </row>
    <row r="18312" spans="1:6" ht="12.75">
      <c r="A18312" s="8">
        <v>43896.184837962966</v>
      </c>
      <c r="B18312" s="8" t="str">
        <f>HYPERLINK("https://twitter.com/ermanpelangi","@ermanpelangi")</f>
        <v>@ermanpelangi</v>
      </c>
      <c r="C18312" s="8" t="s">
        <v>7281</v>
      </c>
      <c r="D18312" s="8">
        <v>5</v>
      </c>
      <c r="E18312" s="8">
        <v>0</v>
      </c>
      <c r="F18312" s="8">
        <v>1374</v>
      </c>
    </row>
    <row r="18313" spans="1:6" ht="12.75">
      <c r="A18313" s="8">
        <v>43896.182118055556</v>
      </c>
      <c r="B18313" s="8" t="str">
        <f>HYPERLINK("https://twitter.com/_virzazipora","@_virzazipora")</f>
        <v>@_virzazipora</v>
      </c>
      <c r="C18313" s="8" t="s">
        <v>1078</v>
      </c>
      <c r="D18313" s="8">
        <v>653</v>
      </c>
      <c r="E18313" s="8">
        <v>0</v>
      </c>
      <c r="F18313" s="8">
        <v>2206</v>
      </c>
    </row>
    <row r="18314" spans="1:6" ht="12.75">
      <c r="A18314" s="8">
        <v>43896.175833333335</v>
      </c>
      <c r="B18314" s="8" t="str">
        <f>HYPERLINK("https://twitter.com/an_Dika07","@an_Dika07")</f>
        <v>@an_Dika07</v>
      </c>
      <c r="C18314" s="8" t="s">
        <v>1078</v>
      </c>
      <c r="D18314" s="8">
        <v>653</v>
      </c>
      <c r="E18314" s="8">
        <v>0</v>
      </c>
      <c r="F18314" s="8">
        <v>944</v>
      </c>
    </row>
    <row r="18315" spans="1:6" ht="12.75">
      <c r="A18315" s="8">
        <v>43896.175451388888</v>
      </c>
      <c r="B18315" s="8" t="str">
        <f>HYPERLINK("https://twitter.com/Zackf77156873","@Zackf77156873")</f>
        <v>@Zackf77156873</v>
      </c>
      <c r="C18315" s="8" t="s">
        <v>7433</v>
      </c>
      <c r="D18315" s="8">
        <v>2</v>
      </c>
      <c r="E18315" s="8">
        <v>0</v>
      </c>
      <c r="F18315" s="8">
        <v>235</v>
      </c>
    </row>
    <row r="18316" spans="1:6" ht="12.75">
      <c r="A18316" s="8">
        <v>43896.17454861111</v>
      </c>
      <c r="B18316" s="8" t="str">
        <f>HYPERLINK("https://twitter.com/chocolohaaa","@chocolohaaa")</f>
        <v>@chocolohaaa</v>
      </c>
      <c r="C18316" s="8" t="s">
        <v>7492</v>
      </c>
      <c r="D18316" s="8">
        <v>0</v>
      </c>
      <c r="E18316" s="8">
        <v>0</v>
      </c>
      <c r="F18316" s="8">
        <v>5</v>
      </c>
    </row>
    <row r="18317" spans="1:6" ht="12.75">
      <c r="A18317" s="8">
        <v>43896.174016203702</v>
      </c>
      <c r="B18317" s="8" t="str">
        <f>HYPERLINK("https://twitter.com/AEkopurnomo","@AEkopurnomo")</f>
        <v>@AEkopurnomo</v>
      </c>
      <c r="C18317" s="8" t="s">
        <v>4948</v>
      </c>
      <c r="D18317" s="8">
        <v>17</v>
      </c>
      <c r="E18317" s="8">
        <v>0</v>
      </c>
      <c r="F18317" s="8">
        <v>540</v>
      </c>
    </row>
    <row r="18318" spans="1:6" ht="12.75">
      <c r="A18318" s="8">
        <v>43896.172222222223</v>
      </c>
      <c r="B18318" s="8" t="str">
        <f>HYPERLINK("https://twitter.com/healthyliveID","@healthyliveID")</f>
        <v>@healthyliveID</v>
      </c>
      <c r="C18318" s="8" t="s">
        <v>7493</v>
      </c>
      <c r="D18318" s="8">
        <v>0</v>
      </c>
      <c r="E18318" s="8">
        <v>0</v>
      </c>
      <c r="F18318" s="8">
        <v>45112</v>
      </c>
    </row>
    <row r="18319" spans="1:6" ht="12.75">
      <c r="A18319" s="8">
        <v>43896.171180555553</v>
      </c>
      <c r="B18319" s="8" t="str">
        <f>HYPERLINK("https://twitter.com/jjsengui","@jjsengui")</f>
        <v>@jjsengui</v>
      </c>
      <c r="C18319" s="8" t="s">
        <v>4948</v>
      </c>
      <c r="D18319" s="8">
        <v>12</v>
      </c>
      <c r="E18319" s="8">
        <v>0</v>
      </c>
      <c r="F18319" s="8">
        <v>902</v>
      </c>
    </row>
    <row r="18320" spans="1:6" ht="12.75">
      <c r="A18320" s="8">
        <v>43896.170011574075</v>
      </c>
      <c r="B18320" s="8" t="str">
        <f>HYPERLINK("https://twitter.com/eka_dini722","@eka_dini722")</f>
        <v>@eka_dini722</v>
      </c>
      <c r="C18320" s="8" t="s">
        <v>1078</v>
      </c>
      <c r="D18320" s="8">
        <v>651</v>
      </c>
      <c r="E18320" s="8">
        <v>0</v>
      </c>
      <c r="F18320" s="8">
        <v>2425</v>
      </c>
    </row>
    <row r="18321" spans="1:6" ht="12.75">
      <c r="A18321" s="8">
        <v>43896.169560185182</v>
      </c>
      <c r="B18321" s="8" t="str">
        <f>HYPERLINK("https://twitter.com/narkosun","@narkosun")</f>
        <v>@narkosun</v>
      </c>
      <c r="C18321" s="8" t="s">
        <v>4948</v>
      </c>
      <c r="D18321" s="8">
        <v>12</v>
      </c>
      <c r="E18321" s="8">
        <v>0</v>
      </c>
      <c r="F18321" s="8">
        <v>31233</v>
      </c>
    </row>
    <row r="18322" spans="1:6" ht="12.75">
      <c r="A18322" s="8">
        <v>43896.167511574073</v>
      </c>
      <c r="B18322" s="8" t="str">
        <f>HYPERLINK("https://twitter.com/DavidRuslie8","@DavidRuslie8")</f>
        <v>@DavidRuslie8</v>
      </c>
      <c r="C18322" s="8" t="s">
        <v>7491</v>
      </c>
      <c r="D18322" s="8">
        <v>5</v>
      </c>
      <c r="E18322" s="8">
        <v>0</v>
      </c>
      <c r="F18322" s="8">
        <v>937</v>
      </c>
    </row>
    <row r="18323" spans="1:6" ht="12.75">
      <c r="A18323" s="8">
        <v>43896.165300925924</v>
      </c>
      <c r="B18323" s="8" t="str">
        <f>HYPERLINK("https://twitter.com/Haluan_","@Haluan_")</f>
        <v>@Haluan_</v>
      </c>
      <c r="C18323" s="8" t="s">
        <v>7494</v>
      </c>
      <c r="D18323" s="8">
        <v>0</v>
      </c>
      <c r="E18323" s="8">
        <v>0</v>
      </c>
      <c r="F18323" s="8">
        <v>1519</v>
      </c>
    </row>
    <row r="18324" spans="1:6" ht="12.75">
      <c r="A18324" s="8">
        <v>43896.163194444445</v>
      </c>
      <c r="B18324" s="8" t="str">
        <f>HYPERLINK("https://twitter.com/ItsMyRealQuotes","@ItsMyRealQuotes")</f>
        <v>@ItsMyRealQuotes</v>
      </c>
      <c r="C18324" s="8" t="s">
        <v>7495</v>
      </c>
      <c r="D18324" s="8">
        <v>0</v>
      </c>
      <c r="E18324" s="8">
        <v>0</v>
      </c>
      <c r="F18324" s="8">
        <v>183756</v>
      </c>
    </row>
    <row r="18325" spans="1:6" ht="12.75">
      <c r="A18325" s="8">
        <v>43896.163113425922</v>
      </c>
      <c r="B18325" s="8" t="str">
        <f>HYPERLINK("https://twitter.com/pilotignews","@pilotignews")</f>
        <v>@pilotignews</v>
      </c>
      <c r="C18325" s="8" t="s">
        <v>7496</v>
      </c>
      <c r="D18325" s="8">
        <v>0</v>
      </c>
      <c r="E18325" s="8">
        <v>0</v>
      </c>
      <c r="F18325" s="8">
        <v>35</v>
      </c>
    </row>
    <row r="18326" spans="1:6" ht="12.75">
      <c r="A18326" s="8">
        <v>43896.161192129628</v>
      </c>
      <c r="B18326" s="8" t="str">
        <f>HYPERLINK("https://twitter.com/Mataka81760170","@Mataka81760170")</f>
        <v>@Mataka81760170</v>
      </c>
      <c r="C18326" s="8" t="s">
        <v>7497</v>
      </c>
      <c r="D18326" s="8">
        <v>2</v>
      </c>
      <c r="E18326" s="8">
        <v>0</v>
      </c>
      <c r="F18326" s="8">
        <v>3605</v>
      </c>
    </row>
    <row r="18327" spans="1:6" ht="12.75">
      <c r="A18327" s="8">
        <v>43896.15625</v>
      </c>
      <c r="B18327" s="8" t="str">
        <f>HYPERLINK("https://twitter.com/rqlabigail","@rqlabigail")</f>
        <v>@rqlabigail</v>
      </c>
      <c r="C18327" s="8" t="s">
        <v>7498</v>
      </c>
      <c r="D18327" s="8">
        <v>0</v>
      </c>
      <c r="E18327" s="8">
        <v>0</v>
      </c>
      <c r="F18327" s="8">
        <v>5</v>
      </c>
    </row>
    <row r="18328" spans="1:6" ht="12.75">
      <c r="A18328" s="8">
        <v>43896.155543981484</v>
      </c>
      <c r="B18328" s="8" t="str">
        <f>HYPERLINK("https://twitter.com/nertiqatja","@nertiqatja")</f>
        <v>@nertiqatja</v>
      </c>
      <c r="C18328" s="8" t="s">
        <v>7499</v>
      </c>
      <c r="D18328" s="8">
        <v>0</v>
      </c>
      <c r="E18328" s="8">
        <v>0</v>
      </c>
      <c r="F18328" s="8">
        <v>1106</v>
      </c>
    </row>
    <row r="18329" spans="1:6" ht="12.75">
      <c r="A18329" s="8">
        <v>43896.152569444443</v>
      </c>
      <c r="B18329" s="8" t="str">
        <f>HYPERLINK("https://twitter.com/IvanRT05","@IvanRT05")</f>
        <v>@IvanRT05</v>
      </c>
      <c r="C18329" s="8" t="s">
        <v>7500</v>
      </c>
      <c r="D18329" s="8">
        <v>0</v>
      </c>
      <c r="E18329" s="8">
        <v>0</v>
      </c>
      <c r="F18329" s="8">
        <v>657</v>
      </c>
    </row>
    <row r="18330" spans="1:6" ht="12.75">
      <c r="A18330" s="8">
        <v>43896.152106481481</v>
      </c>
      <c r="B18330" s="8" t="str">
        <f>HYPERLINK("https://twitter.com/haywhyla","@haywhyla")</f>
        <v>@haywhyla</v>
      </c>
      <c r="C18330" s="8" t="s">
        <v>7501</v>
      </c>
      <c r="D18330" s="8">
        <v>0</v>
      </c>
      <c r="E18330" s="8">
        <v>0</v>
      </c>
      <c r="F18330" s="8">
        <v>830</v>
      </c>
    </row>
    <row r="18331" spans="1:6" ht="12.75">
      <c r="A18331" s="8">
        <v>43896.144525462965</v>
      </c>
      <c r="B18331" s="8" t="str">
        <f>HYPERLINK("https://twitter.com/21Lai21","@21Lai21")</f>
        <v>@21Lai21</v>
      </c>
      <c r="C18331" s="8" t="s">
        <v>7189</v>
      </c>
      <c r="D18331" s="8">
        <v>52</v>
      </c>
      <c r="E18331" s="8">
        <v>0</v>
      </c>
      <c r="F18331" s="8">
        <v>298</v>
      </c>
    </row>
    <row r="18332" spans="1:6" ht="12.75">
      <c r="A18332" s="8">
        <v>43896.141458333332</v>
      </c>
      <c r="B18332" s="8" t="str">
        <f>HYPERLINK("https://twitter.com/ExhibitMx","@ExhibitMx")</f>
        <v>@ExhibitMx</v>
      </c>
      <c r="C18332" s="8" t="s">
        <v>7502</v>
      </c>
      <c r="D18332" s="8">
        <v>0</v>
      </c>
      <c r="E18332" s="8">
        <v>0</v>
      </c>
      <c r="F18332" s="8">
        <v>2981</v>
      </c>
    </row>
    <row r="18333" spans="1:6" ht="12.75">
      <c r="A18333" s="8">
        <v>43896.141400462962</v>
      </c>
      <c r="B18333" s="8" t="str">
        <f>HYPERLINK("https://twitter.com/dehadaud","@dehadaud")</f>
        <v>@dehadaud</v>
      </c>
      <c r="C18333" s="8" t="s">
        <v>7473</v>
      </c>
      <c r="D18333" s="8">
        <v>382</v>
      </c>
      <c r="E18333" s="8">
        <v>0</v>
      </c>
      <c r="F18333" s="8">
        <v>4413</v>
      </c>
    </row>
    <row r="18334" spans="1:6" ht="12.75">
      <c r="A18334" s="8">
        <v>43896.138888888891</v>
      </c>
      <c r="B18334" s="8" t="str">
        <f>HYPERLINK("https://twitter.com/selfieituindah","@selfieituindah")</f>
        <v>@selfieituindah</v>
      </c>
      <c r="C18334" s="8" t="s">
        <v>7503</v>
      </c>
      <c r="D18334" s="8">
        <v>0</v>
      </c>
      <c r="E18334" s="8">
        <v>0</v>
      </c>
      <c r="F18334" s="8">
        <v>21332</v>
      </c>
    </row>
    <row r="18335" spans="1:6" ht="12.75">
      <c r="A18335" s="8">
        <v>43896.137662037036</v>
      </c>
      <c r="B18335" s="8" t="str">
        <f>HYPERLINK("https://twitter.com/amaanup2","@amaanup2")</f>
        <v>@amaanup2</v>
      </c>
      <c r="C18335" s="8" t="s">
        <v>7504</v>
      </c>
      <c r="D18335" s="8">
        <v>0</v>
      </c>
      <c r="E18335" s="8">
        <v>0</v>
      </c>
      <c r="F18335" s="8">
        <v>9</v>
      </c>
    </row>
    <row r="18336" spans="1:6" ht="12.75">
      <c r="A18336" s="8">
        <v>43896.132905092592</v>
      </c>
      <c r="B18336" s="8" t="str">
        <f>HYPERLINK("https://twitter.com/swaggittariusz","@swaggittariusz")</f>
        <v>@swaggittariusz</v>
      </c>
      <c r="C18336" s="8" t="s">
        <v>7505</v>
      </c>
      <c r="D18336" s="8">
        <v>0</v>
      </c>
      <c r="E18336" s="8">
        <v>0</v>
      </c>
      <c r="F18336" s="8">
        <v>244</v>
      </c>
    </row>
    <row r="18337" spans="1:6" ht="12.75">
      <c r="A18337" s="8">
        <v>43896.130393518513</v>
      </c>
      <c r="B18337" s="8" t="str">
        <f>HYPERLINK("https://twitter.com/Ramlan89825796","@Ramlan89825796")</f>
        <v>@Ramlan89825796</v>
      </c>
      <c r="C18337" s="8" t="s">
        <v>3285</v>
      </c>
      <c r="D18337" s="8">
        <v>174</v>
      </c>
      <c r="E18337" s="8">
        <v>0</v>
      </c>
      <c r="F18337" s="8">
        <v>125</v>
      </c>
    </row>
    <row r="18338" spans="1:6" ht="12.75">
      <c r="A18338" s="8">
        <v>43896.12709490741</v>
      </c>
      <c r="B18338" s="8" t="str">
        <f>HYPERLINK("https://twitter.com/luu_crux","@luu_crux")</f>
        <v>@luu_crux</v>
      </c>
      <c r="C18338" s="8" t="s">
        <v>7506</v>
      </c>
      <c r="D18338" s="8">
        <v>0</v>
      </c>
      <c r="E18338" s="8">
        <v>0</v>
      </c>
      <c r="F18338" s="8">
        <v>671</v>
      </c>
    </row>
    <row r="18339" spans="1:6" ht="12.75">
      <c r="A18339" s="8">
        <v>43896.123599537037</v>
      </c>
      <c r="B18339" s="8" t="str">
        <f>HYPERLINK("https://twitter.com/sholeh_Bee","@sholeh_Bee")</f>
        <v>@sholeh_Bee</v>
      </c>
      <c r="C18339" s="8" t="s">
        <v>1078</v>
      </c>
      <c r="D18339" s="8">
        <v>649</v>
      </c>
      <c r="E18339" s="8">
        <v>0</v>
      </c>
      <c r="F18339" s="8">
        <v>719</v>
      </c>
    </row>
    <row r="18340" spans="1:6" ht="12.75">
      <c r="A18340" s="8">
        <v>43896.122511574074</v>
      </c>
      <c r="B18340" s="8" t="str">
        <f>HYPERLINK("https://twitter.com/Kabarsukadotcom","@Kabarsukadotcom")</f>
        <v>@Kabarsukadotcom</v>
      </c>
      <c r="C18340" s="8" t="s">
        <v>221</v>
      </c>
      <c r="D18340" s="8">
        <v>0</v>
      </c>
      <c r="E18340" s="8">
        <v>0</v>
      </c>
      <c r="F18340" s="8">
        <v>17</v>
      </c>
    </row>
    <row r="18341" spans="1:6" ht="12.75">
      <c r="A18341" s="8">
        <v>43896.120833333334</v>
      </c>
      <c r="B18341" s="8" t="str">
        <f>HYPERLINK("https://twitter.com/ItsMyRealQuotes","@ItsMyRealQuotes")</f>
        <v>@ItsMyRealQuotes</v>
      </c>
      <c r="C18341" s="8" t="s">
        <v>7507</v>
      </c>
      <c r="D18341" s="8">
        <v>0</v>
      </c>
      <c r="E18341" s="8">
        <v>0</v>
      </c>
      <c r="F18341" s="8">
        <v>183761</v>
      </c>
    </row>
    <row r="18342" spans="1:6" ht="12.75">
      <c r="A18342" s="8">
        <v>43896.116898148146</v>
      </c>
      <c r="B18342" s="8" t="str">
        <f>HYPERLINK("https://twitter.com/Mr692142","@Mr692142")</f>
        <v>@Mr692142</v>
      </c>
      <c r="C18342" s="8" t="s">
        <v>7473</v>
      </c>
      <c r="D18342" s="8">
        <v>381</v>
      </c>
      <c r="E18342" s="8">
        <v>0</v>
      </c>
      <c r="F18342" s="8">
        <v>36</v>
      </c>
    </row>
    <row r="18343" spans="1:6" ht="12.75">
      <c r="A18343" s="8">
        <v>43896.113888888889</v>
      </c>
      <c r="B18343" s="8" t="str">
        <f>HYPERLINK("https://twitter.com/rqlabigail","@rqlabigail")</f>
        <v>@rqlabigail</v>
      </c>
      <c r="C18343" s="8" t="s">
        <v>7508</v>
      </c>
      <c r="D18343" s="8">
        <v>0</v>
      </c>
      <c r="E18343" s="8">
        <v>0</v>
      </c>
      <c r="F18343" s="8">
        <v>5</v>
      </c>
    </row>
    <row r="18344" spans="1:6" ht="12.75">
      <c r="A18344" s="8">
        <v>43896.113391203704</v>
      </c>
      <c r="B18344" s="8" t="str">
        <f>HYPERLINK("https://twitter.com/yayansandra12","@yayansandra12")</f>
        <v>@yayansandra12</v>
      </c>
      <c r="C18344" s="8" t="s">
        <v>2506</v>
      </c>
      <c r="D18344" s="8">
        <v>14</v>
      </c>
      <c r="E18344" s="8">
        <v>0</v>
      </c>
      <c r="F18344" s="8">
        <v>3853</v>
      </c>
    </row>
    <row r="18345" spans="1:6" ht="12.75">
      <c r="A18345" s="8">
        <v>43896.111875000002</v>
      </c>
      <c r="B18345" s="8" t="str">
        <f>HYPERLINK("https://twitter.com/kelepon","@kelepon")</f>
        <v>@kelepon</v>
      </c>
      <c r="C18345" s="8" t="s">
        <v>7509</v>
      </c>
      <c r="D18345" s="8">
        <v>0</v>
      </c>
      <c r="E18345" s="8">
        <v>0</v>
      </c>
      <c r="F18345" s="8">
        <v>72</v>
      </c>
    </row>
    <row r="18346" spans="1:6" ht="12.75">
      <c r="A18346" s="8">
        <v>43896.111296296294</v>
      </c>
      <c r="B18346" s="8" t="str">
        <f>HYPERLINK("https://twitter.com/_wni_","@_wni_")</f>
        <v>@_wni_</v>
      </c>
      <c r="C18346" s="8" t="s">
        <v>7510</v>
      </c>
      <c r="D18346" s="8">
        <v>7832</v>
      </c>
      <c r="E18346" s="8">
        <v>0</v>
      </c>
      <c r="F18346" s="8">
        <v>15</v>
      </c>
    </row>
    <row r="18347" spans="1:6" ht="12.75">
      <c r="A18347" s="8">
        <v>43896.107638888891</v>
      </c>
      <c r="B18347" s="8" t="str">
        <f>HYPERLINK("https://twitter.com/FatiinS_L","@FatiinS_L")</f>
        <v>@FatiinS_L</v>
      </c>
      <c r="C18347" s="8" t="s">
        <v>7511</v>
      </c>
      <c r="D18347" s="8">
        <v>0</v>
      </c>
      <c r="E18347" s="8">
        <v>0</v>
      </c>
      <c r="F18347" s="8">
        <v>16421</v>
      </c>
    </row>
    <row r="18348" spans="1:6" ht="12.75">
      <c r="A18348" s="8">
        <v>43896.105312500003</v>
      </c>
      <c r="B18348" s="8" t="str">
        <f>HYPERLINK("https://twitter.com/mirhan_sandy","@mirhan_sandy")</f>
        <v>@mirhan_sandy</v>
      </c>
      <c r="C18348" s="8" t="s">
        <v>7512</v>
      </c>
      <c r="D18348" s="8">
        <v>0</v>
      </c>
      <c r="E18348" s="8">
        <v>0</v>
      </c>
      <c r="F18348" s="8">
        <v>19</v>
      </c>
    </row>
    <row r="18349" spans="1:6" ht="12.75">
      <c r="A18349" s="8">
        <v>43896.103993055556</v>
      </c>
      <c r="B18349" s="8" t="str">
        <f>HYPERLINK("https://twitter.com/UzmanSehit","@UzmanSehit")</f>
        <v>@UzmanSehit</v>
      </c>
      <c r="C18349" s="8" t="s">
        <v>7513</v>
      </c>
      <c r="D18349" s="8">
        <v>0</v>
      </c>
      <c r="E18349" s="8">
        <v>0</v>
      </c>
      <c r="F18349" s="8">
        <v>1</v>
      </c>
    </row>
    <row r="18350" spans="1:6" ht="12.75">
      <c r="A18350" s="8">
        <v>43896.103645833333</v>
      </c>
      <c r="B18350" s="8" t="str">
        <f>HYPERLINK("https://twitter.com/kjrifrankfurt","@kjrifrankfurt")</f>
        <v>@kjrifrankfurt</v>
      </c>
      <c r="C18350" s="8" t="s">
        <v>3132</v>
      </c>
      <c r="D18350" s="8">
        <v>103</v>
      </c>
      <c r="E18350" s="8">
        <v>0</v>
      </c>
      <c r="F18350" s="8">
        <v>302</v>
      </c>
    </row>
    <row r="18351" spans="1:6" ht="12.75">
      <c r="A18351" s="8">
        <v>43896.102129629631</v>
      </c>
      <c r="B18351" s="8" t="str">
        <f>HYPERLINK("https://twitter.com/lapen_mocca78","@lapen_mocca78")</f>
        <v>@lapen_mocca78</v>
      </c>
      <c r="C18351" s="8" t="s">
        <v>7514</v>
      </c>
      <c r="D18351" s="8">
        <v>0</v>
      </c>
      <c r="E18351" s="8">
        <v>0</v>
      </c>
      <c r="F18351" s="8">
        <v>167</v>
      </c>
    </row>
    <row r="18352" spans="1:6" ht="12.75">
      <c r="A18352" s="8">
        <v>43896.098356481481</v>
      </c>
      <c r="B18352" s="8" t="str">
        <f>HYPERLINK("https://twitter.com/KBRIAbuja","@KBRIAbuja")</f>
        <v>@KBRIAbuja</v>
      </c>
      <c r="C18352" s="8" t="s">
        <v>3132</v>
      </c>
      <c r="D18352" s="8">
        <v>103</v>
      </c>
      <c r="E18352" s="8">
        <v>0</v>
      </c>
      <c r="F18352" s="8">
        <v>767</v>
      </c>
    </row>
    <row r="18353" spans="1:6" ht="12.75">
      <c r="A18353" s="8">
        <v>43896.09652777778</v>
      </c>
      <c r="B18353" s="8" t="str">
        <f>HYPERLINK("https://twitter.com/selfieituindah","@selfieituindah")</f>
        <v>@selfieituindah</v>
      </c>
      <c r="C18353" s="8" t="s">
        <v>7515</v>
      </c>
      <c r="D18353" s="8">
        <v>0</v>
      </c>
      <c r="E18353" s="8">
        <v>0</v>
      </c>
      <c r="F18353" s="8">
        <v>21332</v>
      </c>
    </row>
    <row r="18354" spans="1:6" ht="12.75">
      <c r="A18354" s="8">
        <v>43896.09575231481</v>
      </c>
      <c r="B18354" s="8" t="str">
        <f>HYPERLINK("https://twitter.com/NannyAlexendry","@NannyAlexendry")</f>
        <v>@NannyAlexendry</v>
      </c>
      <c r="C18354" s="8" t="s">
        <v>7516</v>
      </c>
      <c r="D18354" s="8">
        <v>54</v>
      </c>
      <c r="E18354" s="8">
        <v>0</v>
      </c>
      <c r="F18354" s="8">
        <v>2979</v>
      </c>
    </row>
    <row r="18355" spans="1:6" ht="12.75">
      <c r="A18355" s="8">
        <v>43896.09375</v>
      </c>
      <c r="B18355" s="8" t="str">
        <f>HYPERLINK("https://twitter.com/XHSwahili","@XHSwahili")</f>
        <v>@XHSwahili</v>
      </c>
      <c r="C18355" s="8" t="s">
        <v>7517</v>
      </c>
      <c r="D18355" s="8">
        <v>0</v>
      </c>
      <c r="E18355" s="8">
        <v>0</v>
      </c>
      <c r="F18355" s="8">
        <v>9578</v>
      </c>
    </row>
    <row r="18356" spans="1:6" ht="12.75">
      <c r="A18356" s="8">
        <v>43896.093680555554</v>
      </c>
      <c r="B18356" s="8" t="str">
        <f>HYPERLINK("https://twitter.com/MtitiaBoltetsky","@MtitiaBoltetsky")</f>
        <v>@MtitiaBoltetsky</v>
      </c>
      <c r="C18356" s="8" t="s">
        <v>7518</v>
      </c>
      <c r="D18356" s="8">
        <v>1</v>
      </c>
      <c r="E18356" s="8">
        <v>0</v>
      </c>
      <c r="F18356" s="8">
        <v>1000</v>
      </c>
    </row>
    <row r="18357" spans="1:6" ht="12.75">
      <c r="A18357" s="8">
        <v>43896.092291666668</v>
      </c>
      <c r="B18357" s="8" t="str">
        <f>HYPERLINK("https://twitter.com/XanderBoy5","@XanderBoy5")</f>
        <v>@XanderBoy5</v>
      </c>
      <c r="C18357" s="8" t="s">
        <v>7096</v>
      </c>
      <c r="D18357" s="8">
        <v>2</v>
      </c>
      <c r="E18357" s="8">
        <v>0</v>
      </c>
      <c r="F18357" s="8">
        <v>0</v>
      </c>
    </row>
    <row r="18358" spans="1:6" ht="12.75">
      <c r="A18358" s="8">
        <v>43896.092245370368</v>
      </c>
      <c r="B18358" s="8" t="str">
        <f>HYPERLINK("https://twitter.com/benar_berita","@benar_berita")</f>
        <v>@benar_berita</v>
      </c>
      <c r="C18358" s="8" t="s">
        <v>7519</v>
      </c>
      <c r="D18358" s="8">
        <v>0</v>
      </c>
      <c r="E18358" s="8">
        <v>0</v>
      </c>
      <c r="F18358" s="8">
        <v>348</v>
      </c>
    </row>
    <row r="18359" spans="1:6" ht="12.75">
      <c r="A18359" s="8">
        <v>43896.091678240744</v>
      </c>
      <c r="B18359" s="8" t="str">
        <f>HYPERLINK("https://twitter.com/GusNadjib","@GusNadjib")</f>
        <v>@GusNadjib</v>
      </c>
      <c r="C18359" s="8" t="s">
        <v>7520</v>
      </c>
      <c r="D18359" s="8">
        <v>0</v>
      </c>
      <c r="E18359" s="8">
        <v>1</v>
      </c>
      <c r="F18359" s="8">
        <v>6989</v>
      </c>
    </row>
    <row r="18360" spans="1:6" ht="12.75">
      <c r="A18360" s="8">
        <v>43896.090914351851</v>
      </c>
      <c r="B18360" s="8" t="str">
        <f>HYPERLINK("https://twitter.com/muhtadi_ilham","@muhtadi_ilham")</f>
        <v>@muhtadi_ilham</v>
      </c>
      <c r="C18360" s="8" t="s">
        <v>7242</v>
      </c>
      <c r="D18360" s="8">
        <v>101</v>
      </c>
      <c r="E18360" s="8">
        <v>0</v>
      </c>
      <c r="F18360" s="8">
        <v>155</v>
      </c>
    </row>
    <row r="18361" spans="1:6" ht="12.75">
      <c r="A18361" s="8">
        <v>43896.090277777781</v>
      </c>
      <c r="B18361" s="8" t="str">
        <f>HYPERLINK("https://twitter.com/indonesiana","@indonesiana")</f>
        <v>@indonesiana</v>
      </c>
      <c r="C18361" s="8" t="s">
        <v>7521</v>
      </c>
      <c r="D18361" s="8">
        <v>0</v>
      </c>
      <c r="E18361" s="8">
        <v>0</v>
      </c>
      <c r="F18361" s="8">
        <v>49725</v>
      </c>
    </row>
    <row r="18362" spans="1:6" ht="12.75">
      <c r="A18362" s="8">
        <v>43896.090219907404</v>
      </c>
      <c r="B18362" s="8" t="str">
        <f>HYPERLINK("https://twitter.com/BR3K3L3_NY454R","@BR3K3L3_NY454R")</f>
        <v>@BR3K3L3_NY454R</v>
      </c>
      <c r="C18362" s="8" t="s">
        <v>1078</v>
      </c>
      <c r="D18362" s="8">
        <v>649</v>
      </c>
      <c r="E18362" s="8">
        <v>0</v>
      </c>
      <c r="F18362" s="8">
        <v>1165</v>
      </c>
    </row>
    <row r="18363" spans="1:6" ht="12.75">
      <c r="A18363" s="8">
        <v>43896.089062500003</v>
      </c>
      <c r="B18363" s="8" t="str">
        <f>HYPERLINK("https://twitter.com/YoyokSubandriy3","@YoyokSubandriy3")</f>
        <v>@YoyokSubandriy3</v>
      </c>
      <c r="C18363" s="8" t="s">
        <v>7522</v>
      </c>
      <c r="D18363" s="8">
        <v>1</v>
      </c>
      <c r="E18363" s="8">
        <v>0</v>
      </c>
      <c r="F18363" s="8">
        <v>1385</v>
      </c>
    </row>
    <row r="18364" spans="1:6" ht="12.75">
      <c r="A18364" s="8">
        <v>43896.088819444441</v>
      </c>
      <c r="B18364" s="8" t="str">
        <f>HYPERLINK("https://twitter.com/louisjulia220","@louisjulia220")</f>
        <v>@louisjulia220</v>
      </c>
      <c r="C18364" s="8" t="s">
        <v>7523</v>
      </c>
      <c r="D18364" s="8">
        <v>0</v>
      </c>
      <c r="E18364" s="8">
        <v>0</v>
      </c>
      <c r="F18364" s="8">
        <v>1643</v>
      </c>
    </row>
    <row r="18365" spans="1:6" ht="12.75">
      <c r="A18365" s="8">
        <v>43896.088749999995</v>
      </c>
      <c r="B18365" s="8" t="str">
        <f t="shared" ref="B18365:B18367" si="272">HYPERLINK("https://twitter.com/desty2_","@desty2_")</f>
        <v>@desty2_</v>
      </c>
      <c r="C18365" s="8" t="s">
        <v>7524</v>
      </c>
      <c r="D18365" s="8">
        <v>26</v>
      </c>
      <c r="E18365" s="8">
        <v>0</v>
      </c>
      <c r="F18365" s="8">
        <v>622</v>
      </c>
    </row>
    <row r="18366" spans="1:6" ht="12.75">
      <c r="A18366" s="8">
        <v>43896.088576388887</v>
      </c>
      <c r="B18366" s="8" t="str">
        <f t="shared" si="272"/>
        <v>@desty2_</v>
      </c>
      <c r="C18366" s="8" t="s">
        <v>7525</v>
      </c>
      <c r="D18366" s="8">
        <v>3</v>
      </c>
      <c r="E18366" s="8">
        <v>0</v>
      </c>
      <c r="F18366" s="8">
        <v>622</v>
      </c>
    </row>
    <row r="18367" spans="1:6" ht="12.75">
      <c r="A18367" s="8">
        <v>43896.088333333333</v>
      </c>
      <c r="B18367" s="8" t="str">
        <f t="shared" si="272"/>
        <v>@desty2_</v>
      </c>
      <c r="C18367" s="8" t="s">
        <v>6826</v>
      </c>
      <c r="D18367" s="8">
        <v>6</v>
      </c>
      <c r="E18367" s="8">
        <v>0</v>
      </c>
      <c r="F18367" s="8">
        <v>622</v>
      </c>
    </row>
    <row r="18368" spans="1:6" ht="12.75">
      <c r="A18368" s="8">
        <v>43896.088321759264</v>
      </c>
      <c r="B18368" s="8" t="str">
        <f>HYPERLINK("https://twitter.com/YuliaaLaylyRHI","@YuliaaLaylyRHI")</f>
        <v>@YuliaaLaylyRHI</v>
      </c>
      <c r="C18368" s="8" t="s">
        <v>7526</v>
      </c>
      <c r="D18368" s="8">
        <v>0</v>
      </c>
      <c r="E18368" s="8">
        <v>0</v>
      </c>
      <c r="F18368" s="8">
        <v>1993</v>
      </c>
    </row>
    <row r="18369" spans="1:6" ht="12.75">
      <c r="A18369" s="8">
        <v>43896.088194444441</v>
      </c>
      <c r="B18369" s="8" t="str">
        <f>HYPERLINK("https://twitter.com/healthyliveID","@healthyliveID")</f>
        <v>@healthyliveID</v>
      </c>
      <c r="C18369" s="8" t="s">
        <v>7527</v>
      </c>
      <c r="D18369" s="8">
        <v>0</v>
      </c>
      <c r="E18369" s="8">
        <v>0</v>
      </c>
      <c r="F18369" s="8">
        <v>45111</v>
      </c>
    </row>
    <row r="18370" spans="1:6" ht="12.75">
      <c r="A18370" s="8">
        <v>43896.088078703702</v>
      </c>
      <c r="B18370" s="8" t="str">
        <f>HYPERLINK("https://twitter.com/herdiman29","@herdiman29")</f>
        <v>@herdiman29</v>
      </c>
      <c r="C18370" s="8" t="s">
        <v>7528</v>
      </c>
      <c r="D18370" s="8">
        <v>2</v>
      </c>
      <c r="E18370" s="8">
        <v>0</v>
      </c>
      <c r="F18370" s="8">
        <v>983</v>
      </c>
    </row>
    <row r="18371" spans="1:6" ht="12.75">
      <c r="A18371" s="8">
        <v>43896.087962962964</v>
      </c>
      <c r="B18371" s="8" t="str">
        <f>HYPERLINK("https://twitter.com/desty2_","@desty2_")</f>
        <v>@desty2_</v>
      </c>
      <c r="C18371" s="8" t="s">
        <v>7362</v>
      </c>
      <c r="D18371" s="8">
        <v>15</v>
      </c>
      <c r="E18371" s="8">
        <v>0</v>
      </c>
      <c r="F18371" s="8">
        <v>622</v>
      </c>
    </row>
    <row r="18372" spans="1:6" ht="12.75">
      <c r="A18372" s="8">
        <v>43896.084525462968</v>
      </c>
      <c r="B18372" s="8" t="str">
        <f>HYPERLINK("https://twitter.com/YoyokSubandriy3","@YoyokSubandriy3")</f>
        <v>@YoyokSubandriy3</v>
      </c>
      <c r="C18372" s="8" t="s">
        <v>7529</v>
      </c>
      <c r="D18372" s="8">
        <v>1</v>
      </c>
      <c r="E18372" s="8">
        <v>0</v>
      </c>
      <c r="F18372" s="8">
        <v>1385</v>
      </c>
    </row>
    <row r="18373" spans="1:6" ht="12.75">
      <c r="A18373" s="8">
        <v>43896.084490740745</v>
      </c>
      <c r="B18373" s="8" t="str">
        <f>HYPERLINK("https://twitter.com/SLF_PHJ","@SLF_PHJ")</f>
        <v>@SLF_PHJ</v>
      </c>
      <c r="C18373" s="8" t="s">
        <v>7530</v>
      </c>
      <c r="D18373" s="8">
        <v>0</v>
      </c>
      <c r="E18373" s="8">
        <v>0</v>
      </c>
      <c r="F18373" s="8">
        <v>737</v>
      </c>
    </row>
    <row r="18374" spans="1:6" ht="12.75">
      <c r="A18374" s="8">
        <v>43896.083425925928</v>
      </c>
      <c r="B18374" s="8" t="str">
        <f>HYPERLINK("https://twitter.com/MitulpatelRxMBA","@MitulpatelRxMBA")</f>
        <v>@MitulpatelRxMBA</v>
      </c>
      <c r="C18374" s="8" t="s">
        <v>7531</v>
      </c>
      <c r="D18374" s="8">
        <v>0</v>
      </c>
      <c r="E18374" s="8">
        <v>0</v>
      </c>
      <c r="F18374" s="8">
        <v>52</v>
      </c>
    </row>
    <row r="18375" spans="1:6" ht="12.75">
      <c r="A18375" s="8">
        <v>43896.082002314812</v>
      </c>
      <c r="B18375" s="8" t="str">
        <f>HYPERLINK("https://twitter.com/herubadala","@herubadala")</f>
        <v>@herubadala</v>
      </c>
      <c r="C18375" s="8" t="s">
        <v>7242</v>
      </c>
      <c r="D18375" s="8">
        <v>100</v>
      </c>
      <c r="E18375" s="8">
        <v>0</v>
      </c>
      <c r="F18375" s="8">
        <v>531</v>
      </c>
    </row>
    <row r="18376" spans="1:6" ht="12.75">
      <c r="A18376" s="8">
        <v>43896.081678240742</v>
      </c>
      <c r="B18376" s="8" t="str">
        <f>HYPERLINK("https://twitter.com/humperdoo_","@humperdoo_")</f>
        <v>@humperdoo_</v>
      </c>
      <c r="C18376" s="8" t="s">
        <v>7532</v>
      </c>
      <c r="D18376" s="8">
        <v>0</v>
      </c>
      <c r="E18376" s="8">
        <v>0</v>
      </c>
      <c r="F18376" s="8">
        <v>28</v>
      </c>
    </row>
    <row r="18377" spans="1:6" ht="12.75">
      <c r="A18377" s="8">
        <v>43896.081527777773</v>
      </c>
      <c r="B18377" s="8" t="str">
        <f>HYPERLINK("https://twitter.com/AlainSchmidt4","@AlainSchmidt4")</f>
        <v>@AlainSchmidt4</v>
      </c>
      <c r="C18377" s="8" t="s">
        <v>6636</v>
      </c>
      <c r="D18377" s="8">
        <v>2</v>
      </c>
      <c r="E18377" s="8">
        <v>0</v>
      </c>
      <c r="F18377" s="8">
        <v>2264</v>
      </c>
    </row>
    <row r="18378" spans="1:6" ht="12.75">
      <c r="A18378" s="8">
        <v>43896.079930555556</v>
      </c>
      <c r="B18378" s="8" t="str">
        <f>HYPERLINK("https://twitter.com/tempodotco","@tempodotco")</f>
        <v>@tempodotco</v>
      </c>
      <c r="C18378" s="8" t="s">
        <v>7521</v>
      </c>
      <c r="D18378" s="8">
        <v>2</v>
      </c>
      <c r="E18378" s="8">
        <v>6</v>
      </c>
      <c r="F18378" s="8">
        <v>1713476</v>
      </c>
    </row>
    <row r="18379" spans="1:6" ht="12.75">
      <c r="A18379" s="8">
        <v>43896.079722222217</v>
      </c>
      <c r="B18379" s="8" t="str">
        <f>HYPERLINK("https://twitter.com/BR3K3L3_NY454R","@BR3K3L3_NY454R")</f>
        <v>@BR3K3L3_NY454R</v>
      </c>
      <c r="C18379" s="8" t="s">
        <v>6636</v>
      </c>
      <c r="D18379" s="8">
        <v>2</v>
      </c>
      <c r="E18379" s="8">
        <v>0</v>
      </c>
      <c r="F18379" s="8">
        <v>1165</v>
      </c>
    </row>
    <row r="18380" spans="1:6" ht="12.75">
      <c r="A18380" s="8">
        <v>43896.079467592594</v>
      </c>
      <c r="B18380" s="8" t="str">
        <f>HYPERLINK("https://twitter.com/GusNadjib","@GusNadjib")</f>
        <v>@GusNadjib</v>
      </c>
      <c r="C18380" s="8" t="s">
        <v>7533</v>
      </c>
      <c r="D18380" s="8">
        <v>1</v>
      </c>
      <c r="E18380" s="8">
        <v>2</v>
      </c>
      <c r="F18380" s="8">
        <v>6990</v>
      </c>
    </row>
    <row r="18381" spans="1:6" ht="12.75">
      <c r="A18381" s="8">
        <v>43896.079166666663</v>
      </c>
      <c r="B18381" s="8" t="str">
        <f>HYPERLINK("https://twitter.com/ItsMyRealQuotes","@ItsMyRealQuotes")</f>
        <v>@ItsMyRealQuotes</v>
      </c>
      <c r="C18381" s="8" t="s">
        <v>7534</v>
      </c>
      <c r="D18381" s="8">
        <v>0</v>
      </c>
      <c r="E18381" s="8">
        <v>0</v>
      </c>
      <c r="F18381" s="8">
        <v>183752</v>
      </c>
    </row>
    <row r="18382" spans="1:6" ht="12.75">
      <c r="A18382" s="8">
        <v>43896.078541666662</v>
      </c>
      <c r="B18382" s="8" t="str">
        <f>HYPERLINK("https://twitter.com/ErindaSofi","@ErindaSofi")</f>
        <v>@ErindaSofi</v>
      </c>
      <c r="C18382" s="8" t="s">
        <v>7535</v>
      </c>
      <c r="D18382" s="8">
        <v>2</v>
      </c>
      <c r="E18382" s="8">
        <v>6</v>
      </c>
      <c r="F18382" s="8">
        <v>6203</v>
      </c>
    </row>
    <row r="18383" spans="1:6" ht="12.75">
      <c r="A18383" s="8">
        <v>43896.077719907407</v>
      </c>
      <c r="B18383" s="8" t="str">
        <f t="shared" ref="B18383:B18385" si="273">HYPERLINK("https://twitter.com/_wni_","@_wni_")</f>
        <v>@_wni_</v>
      </c>
      <c r="C18383" s="8" t="s">
        <v>7536</v>
      </c>
      <c r="D18383" s="8">
        <v>312</v>
      </c>
      <c r="E18383" s="8">
        <v>0</v>
      </c>
      <c r="F18383" s="8">
        <v>14</v>
      </c>
    </row>
    <row r="18384" spans="1:6" ht="12.75">
      <c r="A18384" s="8">
        <v>43896.077222222222</v>
      </c>
      <c r="B18384" s="8" t="str">
        <f t="shared" si="273"/>
        <v>@_wni_</v>
      </c>
      <c r="C18384" s="8" t="s">
        <v>7537</v>
      </c>
      <c r="D18384" s="8">
        <v>11713</v>
      </c>
      <c r="E18384" s="8">
        <v>0</v>
      </c>
      <c r="F18384" s="8">
        <v>14</v>
      </c>
    </row>
    <row r="18385" spans="1:6" ht="12.75">
      <c r="A18385" s="8">
        <v>43896.077048611114</v>
      </c>
      <c r="B18385" s="8" t="str">
        <f t="shared" si="273"/>
        <v>@_wni_</v>
      </c>
      <c r="C18385" s="8" t="s">
        <v>7538</v>
      </c>
      <c r="D18385" s="8">
        <v>23646</v>
      </c>
      <c r="E18385" s="8">
        <v>0</v>
      </c>
      <c r="F18385" s="8">
        <v>14</v>
      </c>
    </row>
    <row r="18386" spans="1:6" ht="12.75">
      <c r="A18386" s="8">
        <v>43896.076111111106</v>
      </c>
      <c r="B18386" s="8" t="str">
        <f>HYPERLINK("https://twitter.com/Salim_Semm","@Salim_Semm")</f>
        <v>@Salim_Semm</v>
      </c>
      <c r="C18386" s="8" t="s">
        <v>1986</v>
      </c>
      <c r="D18386" s="8">
        <v>869</v>
      </c>
      <c r="E18386" s="8">
        <v>0</v>
      </c>
      <c r="F18386" s="8">
        <v>2153</v>
      </c>
    </row>
    <row r="18387" spans="1:6" ht="12.75">
      <c r="A18387" s="8">
        <v>43896.075115740736</v>
      </c>
      <c r="B18387" s="8" t="str">
        <f>HYPERLINK("https://twitter.com/ArSunantoaris","@ArSunantoaris")</f>
        <v>@ArSunantoaris</v>
      </c>
      <c r="C18387" s="8" t="s">
        <v>7539</v>
      </c>
      <c r="D18387" s="8">
        <v>0</v>
      </c>
      <c r="E18387" s="8">
        <v>0</v>
      </c>
      <c r="F18387" s="8">
        <v>3773</v>
      </c>
    </row>
    <row r="18388" spans="1:6" ht="12.75">
      <c r="A18388" s="8">
        <v>43896.072222222225</v>
      </c>
      <c r="B18388" s="8" t="str">
        <f>HYPERLINK("https://twitter.com/rqlabigail","@rqlabigail")</f>
        <v>@rqlabigail</v>
      </c>
      <c r="C18388" s="8" t="s">
        <v>7540</v>
      </c>
      <c r="D18388" s="8">
        <v>0</v>
      </c>
      <c r="E18388" s="8">
        <v>0</v>
      </c>
      <c r="F18388" s="8">
        <v>5</v>
      </c>
    </row>
    <row r="18389" spans="1:6" ht="12.75">
      <c r="A18389" s="8">
        <v>43896.070439814815</v>
      </c>
      <c r="B18389" s="8" t="str">
        <f t="shared" ref="B18389:B18390" si="274">HYPERLINK("https://twitter.com/_wni_","@_wni_")</f>
        <v>@_wni_</v>
      </c>
      <c r="C18389" s="8" t="s">
        <v>7541</v>
      </c>
      <c r="D18389" s="8">
        <v>0</v>
      </c>
      <c r="E18389" s="8">
        <v>0</v>
      </c>
      <c r="F18389" s="8">
        <v>14</v>
      </c>
    </row>
    <row r="18390" spans="1:6" ht="12.75">
      <c r="A18390" s="8">
        <v>43896.068935185191</v>
      </c>
      <c r="B18390" s="8" t="str">
        <f t="shared" si="274"/>
        <v>@_wni_</v>
      </c>
      <c r="C18390" s="8" t="s">
        <v>7542</v>
      </c>
      <c r="D18390" s="8">
        <v>578</v>
      </c>
      <c r="E18390" s="8">
        <v>0</v>
      </c>
      <c r="F18390" s="8">
        <v>14</v>
      </c>
    </row>
    <row r="18391" spans="1:6" ht="12.75">
      <c r="A18391" s="8">
        <v>43896.067500000005</v>
      </c>
      <c r="B18391" s="8" t="str">
        <f>HYPERLINK("https://twitter.com/MasBrow07687879","@MasBrow07687879")</f>
        <v>@MasBrow07687879</v>
      </c>
      <c r="C18391" s="8" t="s">
        <v>7189</v>
      </c>
      <c r="D18391" s="8">
        <v>51</v>
      </c>
      <c r="E18391" s="8">
        <v>0</v>
      </c>
      <c r="F18391" s="8">
        <v>6</v>
      </c>
    </row>
    <row r="18392" spans="1:6" ht="12.75">
      <c r="A18392" s="8">
        <v>43896.067337962959</v>
      </c>
      <c r="B18392" s="8" t="str">
        <f>HYPERLINK("https://twitter.com/shantan85514039","@shantan85514039")</f>
        <v>@shantan85514039</v>
      </c>
      <c r="C18392" s="8" t="s">
        <v>7543</v>
      </c>
      <c r="D18392" s="8">
        <v>0</v>
      </c>
      <c r="E18392" s="8">
        <v>0</v>
      </c>
      <c r="F18392" s="8">
        <v>210</v>
      </c>
    </row>
    <row r="18393" spans="1:6" ht="12.75">
      <c r="A18393" s="8">
        <v>43896.065972222219</v>
      </c>
      <c r="B18393" s="8" t="str">
        <f>HYPERLINK("https://twitter.com/FatiinS_L","@FatiinS_L")</f>
        <v>@FatiinS_L</v>
      </c>
      <c r="C18393" s="8" t="s">
        <v>7544</v>
      </c>
      <c r="D18393" s="8">
        <v>0</v>
      </c>
      <c r="E18393" s="8">
        <v>0</v>
      </c>
      <c r="F18393" s="8">
        <v>16421</v>
      </c>
    </row>
    <row r="18394" spans="1:6" ht="12.75">
      <c r="A18394" s="8">
        <v>43896.061944444446</v>
      </c>
      <c r="B18394" s="8" t="str">
        <f>HYPERLINK("https://twitter.com/rilackson","@rilackson")</f>
        <v>@rilackson</v>
      </c>
      <c r="C18394" s="8" t="s">
        <v>2199</v>
      </c>
      <c r="D18394" s="8">
        <v>9097</v>
      </c>
      <c r="E18394" s="8">
        <v>0</v>
      </c>
      <c r="F18394" s="8">
        <v>37</v>
      </c>
    </row>
    <row r="18395" spans="1:6" ht="12.75">
      <c r="A18395" s="8">
        <v>43896.060590277775</v>
      </c>
      <c r="B18395" s="8" t="str">
        <f>HYPERLINK("https://twitter.com/VredeAarde","@VredeAarde")</f>
        <v>@VredeAarde</v>
      </c>
      <c r="C18395" s="8" t="s">
        <v>7245</v>
      </c>
      <c r="D18395" s="8">
        <v>82</v>
      </c>
      <c r="E18395" s="8">
        <v>0</v>
      </c>
      <c r="F18395" s="8">
        <v>2200</v>
      </c>
    </row>
    <row r="18396" spans="1:6" ht="12.75">
      <c r="A18396" s="8">
        <v>43896.057546296295</v>
      </c>
      <c r="B18396" s="8" t="str">
        <f>HYPERLINK("https://twitter.com/dikuunnn","@dikuunnn")</f>
        <v>@dikuunnn</v>
      </c>
      <c r="C18396" s="8" t="s">
        <v>7545</v>
      </c>
      <c r="D18396" s="8">
        <v>0</v>
      </c>
      <c r="E18396" s="8">
        <v>0</v>
      </c>
      <c r="F18396" s="8">
        <v>306</v>
      </c>
    </row>
    <row r="18397" spans="1:6" ht="12.75">
      <c r="A18397" s="8">
        <v>43896.056562500002</v>
      </c>
      <c r="B18397" s="8" t="str">
        <f>HYPERLINK("https://twitter.com/ISIS_Balik_NO","@ISIS_Balik_NO")</f>
        <v>@ISIS_Balik_NO</v>
      </c>
      <c r="C18397" s="8" t="s">
        <v>7546</v>
      </c>
      <c r="D18397" s="8">
        <v>0</v>
      </c>
      <c r="E18397" s="8">
        <v>3</v>
      </c>
      <c r="F18397" s="8">
        <v>6122</v>
      </c>
    </row>
    <row r="18398" spans="1:6" ht="12.75">
      <c r="A18398" s="8">
        <v>43896.05636574074</v>
      </c>
      <c r="B18398" s="8" t="str">
        <f>HYPERLINK("https://twitter.com/indonesiainist","@indonesiainist")</f>
        <v>@indonesiainist</v>
      </c>
      <c r="C18398" s="8" t="s">
        <v>3132</v>
      </c>
      <c r="D18398" s="8">
        <v>101</v>
      </c>
      <c r="E18398" s="8">
        <v>0</v>
      </c>
      <c r="F18398" s="8">
        <v>704</v>
      </c>
    </row>
    <row r="18399" spans="1:6" ht="12.75">
      <c r="A18399" s="8">
        <v>43896.056203703702</v>
      </c>
      <c r="B18399" s="8" t="str">
        <f>HYPERLINK("https://twitter.com/imamsub1","@imamsub1")</f>
        <v>@imamsub1</v>
      </c>
      <c r="C18399" s="8" t="s">
        <v>7547</v>
      </c>
      <c r="D18399" s="8">
        <v>0</v>
      </c>
      <c r="E18399" s="8">
        <v>0</v>
      </c>
      <c r="F18399" s="8">
        <v>0</v>
      </c>
    </row>
    <row r="18400" spans="1:6" ht="12.75">
      <c r="A18400" s="8">
        <v>43896.056018518517</v>
      </c>
      <c r="B18400" s="8" t="str">
        <f>HYPERLINK("https://twitter.com/AriefAnarya","@AriefAnarya")</f>
        <v>@AriefAnarya</v>
      </c>
      <c r="C18400" s="8" t="s">
        <v>7245</v>
      </c>
      <c r="D18400" s="8">
        <v>82</v>
      </c>
      <c r="E18400" s="8">
        <v>0</v>
      </c>
      <c r="F18400" s="8">
        <v>2921</v>
      </c>
    </row>
    <row r="18401" spans="1:6" ht="12.75">
      <c r="A18401" s="8">
        <v>43896.055925925924</v>
      </c>
      <c r="B18401" s="8" t="str">
        <f>HYPERLINK("https://twitter.com/roysahadoen","@roysahadoen")</f>
        <v>@roysahadoen</v>
      </c>
      <c r="C18401" s="8" t="s">
        <v>7473</v>
      </c>
      <c r="D18401" s="8">
        <v>380</v>
      </c>
      <c r="E18401" s="8">
        <v>0</v>
      </c>
      <c r="F18401" s="8">
        <v>356</v>
      </c>
    </row>
    <row r="18402" spans="1:6" ht="12.75">
      <c r="A18402" s="8">
        <v>43896.055844907409</v>
      </c>
      <c r="B18402" s="8" t="str">
        <f>HYPERLINK("https://twitter.com/ISIS_Balik_NO","@ISIS_Balik_NO")</f>
        <v>@ISIS_Balik_NO</v>
      </c>
      <c r="C18402" s="8" t="s">
        <v>7548</v>
      </c>
      <c r="D18402" s="8">
        <v>0</v>
      </c>
      <c r="E18402" s="8">
        <v>0</v>
      </c>
      <c r="F18402" s="8">
        <v>6122</v>
      </c>
    </row>
    <row r="18403" spans="1:6" ht="12.75">
      <c r="A18403" s="8">
        <v>43896.055833333332</v>
      </c>
      <c r="B18403" s="8" t="str">
        <f>HYPERLINK("https://twitter.com/littlecullend","@littlecullend")</f>
        <v>@littlecullend</v>
      </c>
      <c r="C18403" s="8" t="s">
        <v>7549</v>
      </c>
      <c r="D18403" s="8">
        <v>0</v>
      </c>
      <c r="E18403" s="8">
        <v>0</v>
      </c>
      <c r="F18403" s="8">
        <v>477</v>
      </c>
    </row>
    <row r="18404" spans="1:6" ht="12.75">
      <c r="A18404" s="8">
        <v>43896.054861111115</v>
      </c>
      <c r="B18404" s="8" t="str">
        <f>HYPERLINK("https://twitter.com/Yansen94525630","@Yansen94525630")</f>
        <v>@Yansen94525630</v>
      </c>
      <c r="C18404" s="8" t="s">
        <v>7550</v>
      </c>
      <c r="D18404" s="8">
        <v>1</v>
      </c>
      <c r="E18404" s="8">
        <v>0</v>
      </c>
      <c r="F18404" s="8">
        <v>0</v>
      </c>
    </row>
    <row r="18405" spans="1:6" ht="12.75">
      <c r="A18405" s="8">
        <v>43896.052974537037</v>
      </c>
      <c r="B18405" s="8" t="str">
        <f>HYPERLINK("https://twitter.com/RChris_13","@RChris_13")</f>
        <v>@RChris_13</v>
      </c>
      <c r="C18405" s="8" t="s">
        <v>2199</v>
      </c>
      <c r="D18405" s="8">
        <v>9097</v>
      </c>
      <c r="E18405" s="8">
        <v>0</v>
      </c>
      <c r="F18405" s="8">
        <v>170</v>
      </c>
    </row>
    <row r="18406" spans="1:6" ht="12.75">
      <c r="A18406" s="8">
        <v>43896.052349537036</v>
      </c>
      <c r="B18406" s="8" t="str">
        <f>HYPERLINK("https://twitter.com/ibradhik","@ibradhik")</f>
        <v>@ibradhik</v>
      </c>
      <c r="C18406" s="8" t="s">
        <v>7473</v>
      </c>
      <c r="D18406" s="8">
        <v>380</v>
      </c>
      <c r="E18406" s="8">
        <v>0</v>
      </c>
      <c r="F18406" s="8">
        <v>222</v>
      </c>
    </row>
    <row r="18407" spans="1:6" ht="12.75">
      <c r="A18407" s="8">
        <v>43896.051423611112</v>
      </c>
      <c r="B18407" s="8" t="str">
        <f>HYPERLINK("https://twitter.com/ReiMiechi99","@ReiMiechi99")</f>
        <v>@ReiMiechi99</v>
      </c>
      <c r="C18407" s="8" t="s">
        <v>7551</v>
      </c>
      <c r="D18407" s="8">
        <v>0</v>
      </c>
      <c r="E18407" s="8">
        <v>0</v>
      </c>
      <c r="F18407" s="8">
        <v>76</v>
      </c>
    </row>
    <row r="18408" spans="1:6" ht="12.75">
      <c r="A18408" s="8">
        <v>43896.051192129627</v>
      </c>
      <c r="B18408" s="8" t="str">
        <f>HYPERLINK("https://twitter.com/Bamin_Achmad","@Bamin_Achmad")</f>
        <v>@Bamin_Achmad</v>
      </c>
      <c r="C18408" s="8" t="s">
        <v>1078</v>
      </c>
      <c r="D18408" s="8">
        <v>645</v>
      </c>
      <c r="E18408" s="8">
        <v>0</v>
      </c>
      <c r="F18408" s="8">
        <v>2862</v>
      </c>
    </row>
    <row r="18409" spans="1:6" ht="12.75">
      <c r="A18409" s="8">
        <v>43896.050798611112</v>
      </c>
      <c r="B18409" s="8" t="str">
        <f>HYPERLINK("https://twitter.com/pdanunagoro","@pdanunagoro")</f>
        <v>@pdanunagoro</v>
      </c>
      <c r="C18409" s="8" t="s">
        <v>7313</v>
      </c>
      <c r="D18409" s="8">
        <v>1</v>
      </c>
      <c r="E18409" s="8">
        <v>0</v>
      </c>
      <c r="F18409" s="8">
        <v>501</v>
      </c>
    </row>
    <row r="18410" spans="1:6" ht="12.75">
      <c r="A18410" s="8">
        <v>43896.05069444445</v>
      </c>
      <c r="B18410" s="8" t="str">
        <f>HYPERLINK("https://twitter.com/dhantyamaliamp","@dhantyamaliamp")</f>
        <v>@dhantyamaliamp</v>
      </c>
      <c r="C18410" s="8" t="s">
        <v>7552</v>
      </c>
      <c r="D18410" s="8">
        <v>2</v>
      </c>
      <c r="E18410" s="8">
        <v>0</v>
      </c>
      <c r="F18410" s="8">
        <v>817</v>
      </c>
    </row>
    <row r="18411" spans="1:6" ht="12.75">
      <c r="A18411" s="8">
        <v>43896.05060185185</v>
      </c>
      <c r="B18411" s="8" t="str">
        <f>HYPERLINK("https://twitter.com/ISIS_Balik_NO","@ISIS_Balik_NO")</f>
        <v>@ISIS_Balik_NO</v>
      </c>
      <c r="C18411" s="8" t="s">
        <v>7553</v>
      </c>
      <c r="D18411" s="8">
        <v>0</v>
      </c>
      <c r="E18411" s="8">
        <v>0</v>
      </c>
      <c r="F18411" s="8">
        <v>6122</v>
      </c>
    </row>
    <row r="18412" spans="1:6" ht="12.75">
      <c r="A18412" s="8">
        <v>43896.050555555557</v>
      </c>
      <c r="B18412" s="8" t="str">
        <f>HYPERLINK("https://twitter.com/isis_macedo10","@isis_macedo10")</f>
        <v>@isis_macedo10</v>
      </c>
      <c r="C18412" s="8" t="s">
        <v>7554</v>
      </c>
      <c r="D18412" s="8">
        <v>0</v>
      </c>
      <c r="E18412" s="8">
        <v>1</v>
      </c>
      <c r="F18412" s="8">
        <v>5317</v>
      </c>
    </row>
    <row r="18413" spans="1:6" ht="12.75">
      <c r="A18413" s="8">
        <v>43896.049062499995</v>
      </c>
      <c r="B18413" s="8" t="str">
        <f>HYPERLINK("https://twitter.com/safetravelkemlu","@safetravelkemlu")</f>
        <v>@safetravelkemlu</v>
      </c>
      <c r="C18413" s="8" t="s">
        <v>7552</v>
      </c>
      <c r="D18413" s="8">
        <v>2</v>
      </c>
      <c r="E18413" s="8">
        <v>0</v>
      </c>
      <c r="F18413" s="8">
        <v>770</v>
      </c>
    </row>
    <row r="18414" spans="1:6" ht="12.75">
      <c r="A18414" s="8">
        <v>43896.045428240745</v>
      </c>
      <c r="B18414" s="8" t="str">
        <f>HYPERLINK("https://twitter.com/ch_sabir","@ch_sabir")</f>
        <v>@ch_sabir</v>
      </c>
      <c r="C18414" s="8" t="s">
        <v>7555</v>
      </c>
      <c r="D18414" s="8">
        <v>0</v>
      </c>
      <c r="E18414" s="8">
        <v>0</v>
      </c>
      <c r="F18414" s="8">
        <v>3908</v>
      </c>
    </row>
    <row r="18415" spans="1:6" ht="12.75">
      <c r="A18415" s="8">
        <v>43896.044722222221</v>
      </c>
      <c r="B18415" s="8" t="str">
        <f>HYPERLINK("https://twitter.com/KBRI_Islamabad","@KBRI_Islamabad")</f>
        <v>@KBRI_Islamabad</v>
      </c>
      <c r="C18415" s="8" t="s">
        <v>7556</v>
      </c>
      <c r="D18415" s="8">
        <v>0</v>
      </c>
      <c r="E18415" s="8">
        <v>0</v>
      </c>
      <c r="F18415" s="8">
        <v>847</v>
      </c>
    </row>
    <row r="18416" spans="1:6" ht="12.75">
      <c r="A18416" s="8">
        <v>43896.043842592597</v>
      </c>
      <c r="B18416" s="8" t="str">
        <f>HYPERLINK("https://twitter.com/jaibhar20458182","@jaibhar20458182")</f>
        <v>@jaibhar20458182</v>
      </c>
      <c r="C18416" s="8" t="s">
        <v>7557</v>
      </c>
      <c r="D18416" s="8">
        <v>0</v>
      </c>
      <c r="E18416" s="8">
        <v>0</v>
      </c>
      <c r="F18416" s="8">
        <v>59</v>
      </c>
    </row>
    <row r="18417" spans="1:6" ht="12.75">
      <c r="A18417" s="8">
        <v>43896.041539351849</v>
      </c>
      <c r="B18417" s="8" t="str">
        <f>HYPERLINK("https://twitter.com/kbrimanama","@kbrimanama")</f>
        <v>@kbrimanama</v>
      </c>
      <c r="C18417" s="8" t="s">
        <v>7558</v>
      </c>
      <c r="D18417" s="8">
        <v>0</v>
      </c>
      <c r="E18417" s="8">
        <v>0</v>
      </c>
      <c r="F18417" s="8">
        <v>1430</v>
      </c>
    </row>
    <row r="18418" spans="1:6" ht="12.75">
      <c r="A18418" s="8">
        <v>43896.040810185186</v>
      </c>
      <c r="B18418" s="8" t="str">
        <f>HYPERLINK("https://twitter.com/Aren26944250","@Aren26944250")</f>
        <v>@Aren26944250</v>
      </c>
      <c r="C18418" s="8" t="s">
        <v>2979</v>
      </c>
      <c r="D18418" s="8">
        <v>236</v>
      </c>
      <c r="E18418" s="8">
        <v>0</v>
      </c>
      <c r="F18418" s="8">
        <v>128</v>
      </c>
    </row>
    <row r="18419" spans="1:6" ht="12.75">
      <c r="A18419" s="8">
        <v>43896.040381944447</v>
      </c>
      <c r="B18419" s="8" t="str">
        <f>HYPERLINK("https://twitter.com/xxxxaraw","@xxxxaraw")</f>
        <v>@xxxxaraw</v>
      </c>
      <c r="C18419" s="8" t="s">
        <v>7559</v>
      </c>
      <c r="D18419" s="8">
        <v>0</v>
      </c>
      <c r="E18419" s="8">
        <v>1</v>
      </c>
      <c r="F18419" s="8">
        <v>117</v>
      </c>
    </row>
    <row r="18420" spans="1:6" ht="12.75">
      <c r="A18420" s="8">
        <v>43896.038148148145</v>
      </c>
      <c r="B18420" s="8" t="str">
        <f>HYPERLINK("https://twitter.com/argatrisarmy","@argatrisarmy")</f>
        <v>@argatrisarmy</v>
      </c>
      <c r="C18420" s="8" t="s">
        <v>1078</v>
      </c>
      <c r="D18420" s="8">
        <v>641</v>
      </c>
      <c r="E18420" s="8">
        <v>0</v>
      </c>
      <c r="F18420" s="8">
        <v>145</v>
      </c>
    </row>
    <row r="18421" spans="1:6" ht="12.75">
      <c r="A18421" s="8">
        <v>43896.037997685184</v>
      </c>
      <c r="B18421" s="8" t="str">
        <f>HYPERLINK("https://twitter.com/Puspen_TNI","@Puspen_TNI")</f>
        <v>@Puspen_TNI</v>
      </c>
      <c r="C18421" s="8" t="s">
        <v>7560</v>
      </c>
      <c r="D18421" s="8">
        <v>0</v>
      </c>
      <c r="E18421" s="8">
        <v>10</v>
      </c>
      <c r="F18421" s="8">
        <v>307482</v>
      </c>
    </row>
    <row r="18422" spans="1:6" ht="12.75">
      <c r="A18422" s="8">
        <v>43896.035636574074</v>
      </c>
      <c r="B18422" s="8" t="str">
        <f>HYPERLINK("https://twitter.com/fandifhuh","@fandifhuh")</f>
        <v>@fandifhuh</v>
      </c>
      <c r="C18422" s="8" t="s">
        <v>7561</v>
      </c>
      <c r="D18422" s="8">
        <v>0</v>
      </c>
      <c r="E18422" s="8">
        <v>0</v>
      </c>
      <c r="F18422" s="8">
        <v>462</v>
      </c>
    </row>
    <row r="18423" spans="1:6" ht="12.75">
      <c r="A18423" s="8">
        <v>43896.035046296296</v>
      </c>
      <c r="B18423" s="8" t="str">
        <f>HYPERLINK("https://twitter.com/rizkadew","@rizkadew")</f>
        <v>@rizkadew</v>
      </c>
      <c r="C18423" s="8" t="s">
        <v>7562</v>
      </c>
      <c r="D18423" s="8">
        <v>0</v>
      </c>
      <c r="E18423" s="8">
        <v>0</v>
      </c>
      <c r="F18423" s="8">
        <v>246</v>
      </c>
    </row>
    <row r="18424" spans="1:6" ht="12.75">
      <c r="A18424" s="8">
        <v>43896.034074074079</v>
      </c>
      <c r="B18424" s="8" t="str">
        <f>HYPERLINK("https://twitter.com/Zulhaqie1","@Zulhaqie1")</f>
        <v>@Zulhaqie1</v>
      </c>
      <c r="C18424" s="8" t="s">
        <v>7563</v>
      </c>
      <c r="D18424" s="8">
        <v>0</v>
      </c>
      <c r="E18424" s="8">
        <v>0</v>
      </c>
      <c r="F18424" s="8">
        <v>12</v>
      </c>
    </row>
    <row r="18425" spans="1:6" ht="12.75">
      <c r="A18425" s="8">
        <v>43896.030752314815</v>
      </c>
      <c r="B18425" s="8" t="str">
        <f>HYPERLINK("https://twitter.com/YuliaaLaylyRHI","@YuliaaLaylyRHI")</f>
        <v>@YuliaaLaylyRHI</v>
      </c>
      <c r="C18425" s="8" t="s">
        <v>7564</v>
      </c>
      <c r="D18425" s="8">
        <v>0</v>
      </c>
      <c r="E18425" s="8">
        <v>0</v>
      </c>
      <c r="F18425" s="8">
        <v>1993</v>
      </c>
    </row>
    <row r="18426" spans="1:6" ht="12.75">
      <c r="A18426" s="8">
        <v>43896.029629629629</v>
      </c>
      <c r="B18426" s="8" t="str">
        <f>HYPERLINK("https://twitter.com/lapas_watampone","@lapas_watampone")</f>
        <v>@lapas_watampone</v>
      </c>
      <c r="C18426" s="8" t="s">
        <v>7565</v>
      </c>
      <c r="D18426" s="8">
        <v>0</v>
      </c>
      <c r="E18426" s="8">
        <v>0</v>
      </c>
      <c r="F18426" s="8">
        <v>769</v>
      </c>
    </row>
    <row r="18427" spans="1:6" ht="12.75">
      <c r="A18427" s="8">
        <v>43896.029282407406</v>
      </c>
      <c r="B18427" s="8" t="str">
        <f>HYPERLINK("https://twitter.com/100Edelweiss","@100Edelweiss")</f>
        <v>@100Edelweiss</v>
      </c>
      <c r="C18427" s="8" t="s">
        <v>2979</v>
      </c>
      <c r="D18427" s="8">
        <v>236</v>
      </c>
      <c r="E18427" s="8">
        <v>0</v>
      </c>
      <c r="F18427" s="8">
        <v>1091</v>
      </c>
    </row>
    <row r="18428" spans="1:6" ht="12.75">
      <c r="A18428" s="8">
        <v>43896.028113425928</v>
      </c>
      <c r="B18428" s="8" t="str">
        <f>HYPERLINK("https://twitter.com/imammustofa87","@imammustofa87")</f>
        <v>@imammustofa87</v>
      </c>
      <c r="C18428" s="8" t="s">
        <v>7262</v>
      </c>
      <c r="D18428" s="8">
        <v>274</v>
      </c>
      <c r="E18428" s="8">
        <v>0</v>
      </c>
      <c r="F18428" s="8">
        <v>1799</v>
      </c>
    </row>
    <row r="18429" spans="1:6" ht="12.75">
      <c r="A18429" s="8">
        <v>43896.027743055558</v>
      </c>
      <c r="B18429" s="8" t="str">
        <f>HYPERLINK("https://twitter.com/EaterMarkhor","@EaterMarkhor")</f>
        <v>@EaterMarkhor</v>
      </c>
      <c r="C18429" s="8" t="s">
        <v>7423</v>
      </c>
      <c r="D18429" s="8">
        <v>15</v>
      </c>
      <c r="E18429" s="8">
        <v>0</v>
      </c>
      <c r="F18429" s="8">
        <v>94</v>
      </c>
    </row>
    <row r="18430" spans="1:6" ht="12.75">
      <c r="A18430" s="8">
        <v>43896.027499999997</v>
      </c>
      <c r="B18430" s="8" t="str">
        <f>HYPERLINK("https://twitter.com/sudrajatasep17","@sudrajatasep17")</f>
        <v>@sudrajatasep17</v>
      </c>
      <c r="C18430" s="8" t="s">
        <v>7262</v>
      </c>
      <c r="D18430" s="8">
        <v>274</v>
      </c>
      <c r="E18430" s="8">
        <v>0</v>
      </c>
      <c r="F18430" s="8">
        <v>4306</v>
      </c>
    </row>
    <row r="18431" spans="1:6" ht="12.75">
      <c r="A18431" s="8">
        <v>43896.026932870373</v>
      </c>
      <c r="B18431" s="8" t="str">
        <f>HYPERLINK("https://twitter.com/KBRIPraha","@KBRIPraha")</f>
        <v>@KBRIPraha</v>
      </c>
      <c r="C18431" s="8" t="s">
        <v>3132</v>
      </c>
      <c r="D18431" s="8">
        <v>100</v>
      </c>
      <c r="E18431" s="8">
        <v>0</v>
      </c>
      <c r="F18431" s="8">
        <v>691</v>
      </c>
    </row>
    <row r="18432" spans="1:6" ht="12.75">
      <c r="A18432" s="8">
        <v>43896.023622685185</v>
      </c>
      <c r="B18432" s="8" t="str">
        <f>HYPERLINK("https://twitter.com/Zulhaqie1","@Zulhaqie1")</f>
        <v>@Zulhaqie1</v>
      </c>
      <c r="C18432" s="8" t="s">
        <v>7566</v>
      </c>
      <c r="D18432" s="8">
        <v>0</v>
      </c>
      <c r="E18432" s="8">
        <v>0</v>
      </c>
      <c r="F18432" s="8">
        <v>12</v>
      </c>
    </row>
    <row r="18433" spans="1:6" ht="12.75">
      <c r="A18433" s="8">
        <v>43896.021678240737</v>
      </c>
      <c r="B18433" s="8" t="str">
        <f>HYPERLINK("https://twitter.com/SgtWhyPrnm","@SgtWhyPrnm")</f>
        <v>@SgtWhyPrnm</v>
      </c>
      <c r="C18433" s="8" t="s">
        <v>1078</v>
      </c>
      <c r="D18433" s="8">
        <v>641</v>
      </c>
      <c r="E18433" s="8">
        <v>0</v>
      </c>
      <c r="F18433" s="8">
        <v>571</v>
      </c>
    </row>
    <row r="18434" spans="1:6" ht="12.75">
      <c r="A18434" s="8">
        <v>43896.019513888888</v>
      </c>
      <c r="B18434" s="8" t="str">
        <f>HYPERLINK("https://twitter.com/SagaSantorini","@SagaSantorini")</f>
        <v>@SagaSantorini</v>
      </c>
      <c r="C18434" s="8" t="s">
        <v>7245</v>
      </c>
      <c r="D18434" s="8">
        <v>78</v>
      </c>
      <c r="E18434" s="8">
        <v>0</v>
      </c>
      <c r="F18434" s="8">
        <v>43</v>
      </c>
    </row>
    <row r="18435" spans="1:6" ht="12.75">
      <c r="A18435" s="8">
        <v>43896.019212962958</v>
      </c>
      <c r="B18435" s="8" t="str">
        <f>HYPERLINK("https://twitter.com/kicepkicep","@kicepkicep")</f>
        <v>@kicepkicep</v>
      </c>
      <c r="C18435" s="8" t="s">
        <v>7567</v>
      </c>
      <c r="D18435" s="8">
        <v>9</v>
      </c>
      <c r="E18435" s="8">
        <v>0</v>
      </c>
      <c r="F18435" s="8">
        <v>1254</v>
      </c>
    </row>
    <row r="18436" spans="1:6" ht="12.75">
      <c r="A18436" s="8">
        <v>43896.018321759257</v>
      </c>
      <c r="B18436" s="8" t="str">
        <f>HYPERLINK("https://twitter.com/m_jugnu833","@m_jugnu833")</f>
        <v>@m_jugnu833</v>
      </c>
      <c r="C18436" s="8" t="s">
        <v>7423</v>
      </c>
      <c r="D18436" s="8">
        <v>15</v>
      </c>
      <c r="E18436" s="8">
        <v>0</v>
      </c>
      <c r="F18436" s="8">
        <v>100</v>
      </c>
    </row>
    <row r="18437" spans="1:6" ht="12.75">
      <c r="A18437" s="8">
        <v>43896.018171296295</v>
      </c>
      <c r="B18437" s="8" t="str">
        <f>HYPERLINK("https://twitter.com/shantan85514039","@shantan85514039")</f>
        <v>@shantan85514039</v>
      </c>
      <c r="C18437" s="8" t="s">
        <v>7568</v>
      </c>
      <c r="D18437" s="8">
        <v>0</v>
      </c>
      <c r="E18437" s="8">
        <v>0</v>
      </c>
      <c r="F18437" s="8">
        <v>210</v>
      </c>
    </row>
    <row r="18438" spans="1:6" ht="12.75">
      <c r="A18438" s="8">
        <v>43896.017638888894</v>
      </c>
      <c r="B18438" s="8" t="str">
        <f>HYPERLINK("https://twitter.com/BinteSyed786","@BinteSyed786")</f>
        <v>@BinteSyed786</v>
      </c>
      <c r="C18438" s="8" t="s">
        <v>7423</v>
      </c>
      <c r="D18438" s="8">
        <v>15</v>
      </c>
      <c r="E18438" s="8">
        <v>0</v>
      </c>
      <c r="F18438" s="8">
        <v>2232</v>
      </c>
    </row>
    <row r="18439" spans="1:6" ht="12.75">
      <c r="A18439" s="8">
        <v>43896.017395833333</v>
      </c>
      <c r="B18439" s="8" t="str">
        <f>HYPERLINK("https://twitter.com/tfq_firdaus","@tfq_firdaus")</f>
        <v>@tfq_firdaus</v>
      </c>
      <c r="C18439" s="8" t="s">
        <v>7569</v>
      </c>
      <c r="D18439" s="8">
        <v>4</v>
      </c>
      <c r="E18439" s="8">
        <v>0</v>
      </c>
      <c r="F18439" s="8">
        <v>1011</v>
      </c>
    </row>
    <row r="18440" spans="1:6" ht="12.75">
      <c r="A18440" s="8">
        <v>43896.014386574076</v>
      </c>
      <c r="B18440" s="8" t="str">
        <f>HYPERLINK("https://twitter.com/isis_eb","@isis_eb")</f>
        <v>@isis_eb</v>
      </c>
      <c r="C18440" s="8" t="s">
        <v>7421</v>
      </c>
      <c r="D18440" s="8">
        <v>323</v>
      </c>
      <c r="E18440" s="8">
        <v>0</v>
      </c>
      <c r="F18440" s="8">
        <v>358</v>
      </c>
    </row>
    <row r="18441" spans="1:6" ht="12.75">
      <c r="A18441" s="8">
        <v>43896.013425925921</v>
      </c>
      <c r="B18441" s="8" t="str">
        <f>HYPERLINK("https://twitter.com/not_kirei","@not_kirei")</f>
        <v>@not_kirei</v>
      </c>
      <c r="C18441" s="8" t="s">
        <v>7570</v>
      </c>
      <c r="D18441" s="8">
        <v>0</v>
      </c>
      <c r="E18441" s="8">
        <v>1</v>
      </c>
      <c r="F18441" s="8">
        <v>3226</v>
      </c>
    </row>
    <row r="18442" spans="1:6" ht="12.75">
      <c r="A18442" s="8">
        <v>43896.012291666666</v>
      </c>
      <c r="B18442" s="8" t="str">
        <f>HYPERLINK("https://twitter.com/datukpancilok","@datukpancilok")</f>
        <v>@datukpancilok</v>
      </c>
      <c r="C18442" s="8" t="s">
        <v>7571</v>
      </c>
      <c r="D18442" s="8">
        <v>0</v>
      </c>
      <c r="E18442" s="8">
        <v>1</v>
      </c>
      <c r="F18442" s="8">
        <v>1876</v>
      </c>
    </row>
    <row r="18443" spans="1:6" ht="12.75">
      <c r="A18443" s="8">
        <v>43896.012175925927</v>
      </c>
      <c r="B18443" s="8" t="str">
        <f>HYPERLINK("https://twitter.com/Angoezs1979","@Angoezs1979")</f>
        <v>@Angoezs1979</v>
      </c>
      <c r="C18443" s="8" t="s">
        <v>7572</v>
      </c>
      <c r="D18443" s="8">
        <v>0</v>
      </c>
      <c r="E18443" s="8">
        <v>0</v>
      </c>
      <c r="F18443" s="8">
        <v>30</v>
      </c>
    </row>
    <row r="18444" spans="1:6" ht="12.75">
      <c r="A18444" s="8">
        <v>43896.012048611112</v>
      </c>
      <c r="B18444" s="8" t="str">
        <f>HYPERLINK("https://twitter.com/A911official","@A911official")</f>
        <v>@A911official</v>
      </c>
      <c r="C18444" s="8" t="s">
        <v>7491</v>
      </c>
      <c r="D18444" s="8">
        <v>4</v>
      </c>
      <c r="E18444" s="8">
        <v>0</v>
      </c>
      <c r="F18444" s="8">
        <v>347</v>
      </c>
    </row>
    <row r="18445" spans="1:6" ht="12.75">
      <c r="A18445" s="8">
        <v>43896.010775462964</v>
      </c>
      <c r="B18445" s="8" t="str">
        <f>HYPERLINK("https://twitter.com/fitrianoor_hadi","@fitrianoor_hadi")</f>
        <v>@fitrianoor_hadi</v>
      </c>
      <c r="C18445" s="8" t="s">
        <v>7573</v>
      </c>
      <c r="D18445" s="8">
        <v>37</v>
      </c>
      <c r="E18445" s="8">
        <v>0</v>
      </c>
      <c r="F18445" s="8">
        <v>12</v>
      </c>
    </row>
    <row r="18446" spans="1:6" ht="12.75">
      <c r="A18446" s="8">
        <v>43896.010509259257</v>
      </c>
      <c r="B18446" s="8" t="str">
        <f>HYPERLINK("https://twitter.com/L3OF14N","@L3OF14N")</f>
        <v>@L3OF14N</v>
      </c>
      <c r="C18446" s="8" t="s">
        <v>3285</v>
      </c>
      <c r="D18446" s="8">
        <v>173</v>
      </c>
      <c r="E18446" s="8">
        <v>0</v>
      </c>
      <c r="F18446" s="8">
        <v>1333</v>
      </c>
    </row>
    <row r="18447" spans="1:6" ht="12.75">
      <c r="A18447" s="8">
        <v>43896.009236111116</v>
      </c>
      <c r="B18447" s="8" t="str">
        <f>HYPERLINK("https://twitter.com/AlphaGivangkara","@AlphaGivangkara")</f>
        <v>@AlphaGivangkara</v>
      </c>
      <c r="C18447" s="8" t="s">
        <v>7491</v>
      </c>
      <c r="D18447" s="8">
        <v>4</v>
      </c>
      <c r="E18447" s="8">
        <v>0</v>
      </c>
      <c r="F18447" s="8">
        <v>47</v>
      </c>
    </row>
    <row r="18448" spans="1:6" ht="12.75">
      <c r="A18448" s="8">
        <v>43896.008622685185</v>
      </c>
      <c r="B18448" s="8" t="str">
        <f>HYPERLINK("https://twitter.com/CakL1571","@CakL1571")</f>
        <v>@CakL1571</v>
      </c>
      <c r="C18448" s="8" t="s">
        <v>7245</v>
      </c>
      <c r="D18448" s="8">
        <v>78</v>
      </c>
      <c r="E18448" s="8">
        <v>0</v>
      </c>
      <c r="F18448" s="8">
        <v>76</v>
      </c>
    </row>
    <row r="18449" spans="1:6" ht="12.75">
      <c r="A18449" s="8">
        <v>43896.007650462961</v>
      </c>
      <c r="B18449" s="8" t="str">
        <f>HYPERLINK("https://twitter.com/umam_chaerul","@umam_chaerul")</f>
        <v>@umam_chaerul</v>
      </c>
      <c r="C18449" s="8" t="s">
        <v>7569</v>
      </c>
      <c r="D18449" s="8">
        <v>4</v>
      </c>
      <c r="E18449" s="8">
        <v>0</v>
      </c>
      <c r="F18449" s="8">
        <v>2890</v>
      </c>
    </row>
    <row r="18450" spans="1:6" ht="12.75">
      <c r="A18450" s="8">
        <v>43896.007233796292</v>
      </c>
      <c r="B18450" s="8" t="str">
        <f>HYPERLINK("https://twitter.com/acaaheee","@acaaheee")</f>
        <v>@acaaheee</v>
      </c>
      <c r="C18450" s="8" t="s">
        <v>7574</v>
      </c>
      <c r="D18450" s="8">
        <v>0</v>
      </c>
      <c r="E18450" s="8">
        <v>0</v>
      </c>
      <c r="F18450" s="8">
        <v>17</v>
      </c>
    </row>
    <row r="18451" spans="1:6" ht="12.75">
      <c r="A18451" s="8">
        <v>43896.006284722222</v>
      </c>
      <c r="B18451" s="8" t="str">
        <f>HYPERLINK("https://twitter.com/poa_karlsson","@poa_karlsson")</f>
        <v>@poa_karlsson</v>
      </c>
      <c r="C18451" s="8" t="s">
        <v>7575</v>
      </c>
      <c r="D18451" s="8">
        <v>67</v>
      </c>
      <c r="E18451" s="8">
        <v>0</v>
      </c>
      <c r="F18451" s="8">
        <v>2384</v>
      </c>
    </row>
    <row r="18452" spans="1:6" ht="12.75">
      <c r="A18452" s="8">
        <v>43896.006284722222</v>
      </c>
      <c r="B18452" s="8" t="str">
        <f>HYPERLINK("https://twitter.com/abethcia","@abethcia")</f>
        <v>@abethcia</v>
      </c>
      <c r="C18452" s="8" t="s">
        <v>7576</v>
      </c>
      <c r="D18452" s="8">
        <v>0</v>
      </c>
      <c r="E18452" s="8">
        <v>0</v>
      </c>
      <c r="F18452" s="8">
        <v>718</v>
      </c>
    </row>
    <row r="18453" spans="1:6" ht="12.75">
      <c r="A18453" s="8">
        <v>43896.005844907406</v>
      </c>
      <c r="B18453" s="8" t="str">
        <f>HYPERLINK("https://twitter.com/DiariesPolar","@DiariesPolar")</f>
        <v>@DiariesPolar</v>
      </c>
      <c r="C18453" s="8" t="s">
        <v>7575</v>
      </c>
      <c r="D18453" s="8">
        <v>67</v>
      </c>
      <c r="E18453" s="8">
        <v>0</v>
      </c>
      <c r="F18453" s="8">
        <v>4192</v>
      </c>
    </row>
    <row r="18454" spans="1:6" ht="12.75">
      <c r="A18454" s="8">
        <v>43896.005358796298</v>
      </c>
      <c r="B18454" s="8" t="str">
        <f>HYPERLINK("https://twitter.com/Katolik_GK","@Katolik_GK")</f>
        <v>@Katolik_GK</v>
      </c>
      <c r="C18454" s="8" t="s">
        <v>7577</v>
      </c>
      <c r="D18454" s="8">
        <v>0</v>
      </c>
      <c r="E18454" s="8">
        <v>0</v>
      </c>
      <c r="F18454" s="8">
        <v>2677</v>
      </c>
    </row>
    <row r="18455" spans="1:6" ht="12.75">
      <c r="A18455" s="8">
        <v>43896.00503472222</v>
      </c>
      <c r="B18455" s="8" t="str">
        <f>HYPERLINK("https://twitter.com/absyar_alif","@absyar_alif")</f>
        <v>@absyar_alif</v>
      </c>
      <c r="C18455" s="8" t="s">
        <v>7578</v>
      </c>
      <c r="D18455" s="8">
        <v>0</v>
      </c>
      <c r="E18455" s="8">
        <v>0</v>
      </c>
      <c r="F18455" s="8">
        <v>14</v>
      </c>
    </row>
    <row r="18456" spans="1:6" ht="12.75">
      <c r="A18456" s="8">
        <v>43896.004745370374</v>
      </c>
      <c r="B18456" s="8" t="str">
        <f>HYPERLINK("https://twitter.com/IndonesiaAnkara","@IndonesiaAnkara")</f>
        <v>@IndonesiaAnkara</v>
      </c>
      <c r="C18456" s="8" t="s">
        <v>7579</v>
      </c>
      <c r="D18456" s="8">
        <v>0</v>
      </c>
      <c r="E18456" s="8">
        <v>0</v>
      </c>
      <c r="F18456" s="8">
        <v>196</v>
      </c>
    </row>
    <row r="18457" spans="1:6" ht="12.75">
      <c r="A18457" s="8">
        <v>43896.004594907412</v>
      </c>
      <c r="B18457" s="8" t="str">
        <f>HYPERLINK("https://twitter.com/Budihar21525608","@Budihar21525608")</f>
        <v>@Budihar21525608</v>
      </c>
      <c r="C18457" s="8" t="s">
        <v>7580</v>
      </c>
      <c r="D18457" s="8">
        <v>4</v>
      </c>
      <c r="E18457" s="8">
        <v>0</v>
      </c>
      <c r="F18457" s="8">
        <v>6297</v>
      </c>
    </row>
    <row r="18458" spans="1:6" ht="12.75">
      <c r="A18458" s="8">
        <v>43896.004583333328</v>
      </c>
      <c r="B18458" s="8" t="str">
        <f>HYPERLINK("https://twitter.com/IndonesiaAnkara","@IndonesiaAnkara")</f>
        <v>@IndonesiaAnkara</v>
      </c>
      <c r="C18458" s="8" t="s">
        <v>3132</v>
      </c>
      <c r="D18458" s="8">
        <v>98</v>
      </c>
      <c r="E18458" s="8">
        <v>0</v>
      </c>
      <c r="F18458" s="8">
        <v>196</v>
      </c>
    </row>
    <row r="18459" spans="1:6" ht="12.75">
      <c r="A18459" s="8">
        <v>43896.004004629634</v>
      </c>
      <c r="B18459" s="8" t="str">
        <f>HYPERLINK("https://twitter.com/salmalmul","@salmalmul")</f>
        <v>@salmalmul</v>
      </c>
      <c r="C18459" s="8" t="s">
        <v>3132</v>
      </c>
      <c r="D18459" s="8">
        <v>98</v>
      </c>
      <c r="E18459" s="8">
        <v>0</v>
      </c>
      <c r="F18459" s="8">
        <v>65</v>
      </c>
    </row>
    <row r="18460" spans="1:6" ht="12.75">
      <c r="A18460" s="8">
        <v>43896.00372685185</v>
      </c>
      <c r="B18460" s="8" t="str">
        <f>HYPERLINK("https://twitter.com/zhafaripatriatn","@zhafaripatriatn")</f>
        <v>@zhafaripatriatn</v>
      </c>
      <c r="C18460" s="8" t="s">
        <v>7581</v>
      </c>
      <c r="D18460" s="8">
        <v>90</v>
      </c>
      <c r="E18460" s="8">
        <v>0</v>
      </c>
      <c r="F18460" s="8">
        <v>93</v>
      </c>
    </row>
    <row r="18461" spans="1:6" ht="12.75">
      <c r="A18461" s="8">
        <v>43896.003634259258</v>
      </c>
      <c r="B18461" s="8" t="str">
        <f>HYPERLINK("https://twitter.com/anggawjyagr_","@anggawjyagr_")</f>
        <v>@anggawjyagr_</v>
      </c>
      <c r="C18461" s="8" t="s">
        <v>1343</v>
      </c>
      <c r="D18461" s="8">
        <v>11</v>
      </c>
      <c r="E18461" s="8">
        <v>0</v>
      </c>
      <c r="F18461" s="8">
        <v>3</v>
      </c>
    </row>
    <row r="18462" spans="1:6" ht="12.75">
      <c r="A18462" s="8">
        <v>43896.003576388888</v>
      </c>
      <c r="B18462" s="8" t="str">
        <f>HYPERLINK("https://twitter.com/zhafaripatriatn","@zhafaripatriatn")</f>
        <v>@zhafaripatriatn</v>
      </c>
      <c r="C18462" s="8" t="s">
        <v>2995</v>
      </c>
      <c r="D18462" s="8">
        <v>216</v>
      </c>
      <c r="E18462" s="8">
        <v>0</v>
      </c>
      <c r="F18462" s="8">
        <v>93</v>
      </c>
    </row>
    <row r="18463" spans="1:6" ht="12.75">
      <c r="A18463" s="8">
        <v>43896.002372685187</v>
      </c>
      <c r="B18463" s="8" t="str">
        <f>HYPERLINK("https://twitter.com/The_Raza_Malik","@The_Raza_Malik")</f>
        <v>@The_Raza_Malik</v>
      </c>
      <c r="C18463" s="8" t="s">
        <v>7423</v>
      </c>
      <c r="D18463" s="8">
        <v>11</v>
      </c>
      <c r="E18463" s="8">
        <v>0</v>
      </c>
      <c r="F18463" s="8">
        <v>377</v>
      </c>
    </row>
    <row r="18464" spans="1:6" ht="12.75">
      <c r="A18464" s="8">
        <v>43896.001412037032</v>
      </c>
      <c r="B18464" s="8" t="str">
        <f>HYPERLINK("https://twitter.com/Praecursator007","@Praecursator007")</f>
        <v>@Praecursator007</v>
      </c>
      <c r="C18464" s="8" t="s">
        <v>7423</v>
      </c>
      <c r="D18464" s="8">
        <v>11</v>
      </c>
      <c r="E18464" s="8">
        <v>0</v>
      </c>
      <c r="F18464" s="8">
        <v>5937</v>
      </c>
    </row>
    <row r="18465" spans="1:6" ht="12.75">
      <c r="A18465" s="8">
        <v>43896.000578703708</v>
      </c>
      <c r="B18465" s="8" t="str">
        <f>HYPERLINK("https://twitter.com/Rita8213","@Rita8213")</f>
        <v>@Rita8213</v>
      </c>
      <c r="C18465" s="8" t="s">
        <v>7245</v>
      </c>
      <c r="D18465" s="8">
        <v>76</v>
      </c>
      <c r="E18465" s="8">
        <v>0</v>
      </c>
      <c r="F18465" s="8">
        <v>167</v>
      </c>
    </row>
    <row r="18466" spans="1:6" ht="12.75">
      <c r="A18466" s="8">
        <v>43896.000115740739</v>
      </c>
      <c r="B18466" s="8" t="str">
        <f>HYPERLINK("https://twitter.com/Zulhaqie1","@Zulhaqie1")</f>
        <v>@Zulhaqie1</v>
      </c>
      <c r="C18466" s="8" t="s">
        <v>7582</v>
      </c>
      <c r="D18466" s="8">
        <v>0</v>
      </c>
      <c r="E18466" s="8">
        <v>0</v>
      </c>
      <c r="F18466" s="8">
        <v>12</v>
      </c>
    </row>
    <row r="18467" spans="1:6" ht="12.75">
      <c r="A18467" s="8">
        <v>43895.999212962968</v>
      </c>
      <c r="B18467" s="8" t="str">
        <f>HYPERLINK("https://twitter.com/salimsalam99","@salimsalam99")</f>
        <v>@salimsalam99</v>
      </c>
      <c r="C18467" s="8" t="s">
        <v>1343</v>
      </c>
      <c r="D18467" s="8">
        <v>11</v>
      </c>
      <c r="E18467" s="8">
        <v>0</v>
      </c>
      <c r="F18467" s="8">
        <v>68</v>
      </c>
    </row>
    <row r="18468" spans="1:6" ht="12.75">
      <c r="A18468" s="8">
        <v>43895.998831018514</v>
      </c>
      <c r="B18468" s="8" t="str">
        <f>HYPERLINK("https://twitter.com/andris44","@andris44")</f>
        <v>@andris44</v>
      </c>
      <c r="C18468" s="8" t="s">
        <v>7580</v>
      </c>
      <c r="D18468" s="8">
        <v>4</v>
      </c>
      <c r="E18468" s="8">
        <v>0</v>
      </c>
      <c r="F18468" s="8">
        <v>1382</v>
      </c>
    </row>
    <row r="18469" spans="1:6" ht="12.75">
      <c r="A18469" s="8">
        <v>43895.998252314814</v>
      </c>
      <c r="B18469" s="8" t="str">
        <f>HYPERLINK("https://twitter.com/TOGOG49674234","@TOGOG49674234")</f>
        <v>@TOGOG49674234</v>
      </c>
      <c r="C18469" s="8" t="s">
        <v>2506</v>
      </c>
      <c r="D18469" s="8">
        <v>13</v>
      </c>
      <c r="E18469" s="8">
        <v>0</v>
      </c>
      <c r="F18469" s="8">
        <v>81</v>
      </c>
    </row>
    <row r="18470" spans="1:6" ht="12.75">
      <c r="A18470" s="8">
        <v>43895.997858796298</v>
      </c>
      <c r="B18470" s="8" t="str">
        <f>HYPERLINK("https://twitter.com/osinoise","@osinoise")</f>
        <v>@osinoise</v>
      </c>
      <c r="C18470" s="8" t="s">
        <v>7569</v>
      </c>
      <c r="D18470" s="8">
        <v>2</v>
      </c>
      <c r="E18470" s="8">
        <v>0</v>
      </c>
      <c r="F18470" s="8">
        <v>697</v>
      </c>
    </row>
    <row r="18471" spans="1:6" ht="12.75">
      <c r="A18471" s="8">
        <v>43895.997615740736</v>
      </c>
      <c r="B18471" s="8" t="str">
        <f>HYPERLINK("https://twitter.com/Khong_Beng","@Khong_Beng")</f>
        <v>@Khong_Beng</v>
      </c>
      <c r="C18471" s="8" t="s">
        <v>4948</v>
      </c>
      <c r="D18471" s="8">
        <v>9</v>
      </c>
      <c r="E18471" s="8">
        <v>0</v>
      </c>
      <c r="F18471" s="8">
        <v>165</v>
      </c>
    </row>
    <row r="18472" spans="1:6" ht="12.75">
      <c r="A18472" s="8">
        <v>43895.997488425928</v>
      </c>
      <c r="B18472" s="8" t="str">
        <f>HYPERLINK("https://twitter.com/echoPiR","@echoPiR")</f>
        <v>@echoPiR</v>
      </c>
      <c r="C18472" s="8" t="s">
        <v>7583</v>
      </c>
      <c r="D18472" s="8">
        <v>0</v>
      </c>
      <c r="E18472" s="8">
        <v>0</v>
      </c>
      <c r="F18472" s="8">
        <v>157</v>
      </c>
    </row>
    <row r="18473" spans="1:6" ht="12.75">
      <c r="A18473" s="8">
        <v>43895.99732638889</v>
      </c>
      <c r="B18473" s="8" t="str">
        <f>HYPERLINK("https://twitter.com/Rashad168","@Rashad168")</f>
        <v>@Rashad168</v>
      </c>
      <c r="C18473" s="8" t="s">
        <v>7281</v>
      </c>
      <c r="D18473" s="8">
        <v>4</v>
      </c>
      <c r="E18473" s="8">
        <v>0</v>
      </c>
      <c r="F18473" s="8">
        <v>441</v>
      </c>
    </row>
    <row r="18474" spans="1:6" ht="12.75">
      <c r="A18474" s="8">
        <v>43895.996886574074</v>
      </c>
      <c r="B18474" s="8" t="str">
        <f>HYPERLINK("https://twitter.com/germantantra","@germantantra")</f>
        <v>@germantantra</v>
      </c>
      <c r="C18474" s="8" t="s">
        <v>1078</v>
      </c>
      <c r="D18474" s="8">
        <v>636</v>
      </c>
      <c r="E18474" s="8">
        <v>0</v>
      </c>
      <c r="F18474" s="8">
        <v>154</v>
      </c>
    </row>
    <row r="18475" spans="1:6" ht="12.75">
      <c r="A18475" s="8">
        <v>43895.996261574073</v>
      </c>
      <c r="B18475" s="8" t="str">
        <f>HYPERLINK("https://twitter.com/umaleao","@umaleao")</f>
        <v>@umaleao</v>
      </c>
      <c r="C18475" s="8" t="s">
        <v>7569</v>
      </c>
      <c r="D18475" s="8">
        <v>2</v>
      </c>
      <c r="E18475" s="8">
        <v>0</v>
      </c>
      <c r="F18475" s="8">
        <v>26182</v>
      </c>
    </row>
    <row r="18476" spans="1:6" ht="12.75">
      <c r="A18476" s="8">
        <v>43895.994999999995</v>
      </c>
      <c r="B18476" s="8" t="str">
        <f>HYPERLINK("https://twitter.com/pipin_puri","@pipin_puri")</f>
        <v>@pipin_puri</v>
      </c>
      <c r="C18476" s="8" t="s">
        <v>7584</v>
      </c>
      <c r="D18476" s="8">
        <v>2</v>
      </c>
      <c r="E18476" s="8">
        <v>0</v>
      </c>
      <c r="F18476" s="8">
        <v>599</v>
      </c>
    </row>
    <row r="18477" spans="1:6" ht="12.75">
      <c r="A18477" s="8">
        <v>43895.994849537034</v>
      </c>
      <c r="B18477" s="8" t="str">
        <f>HYPERLINK("https://twitter.com/ngeTweetAja","@ngeTweetAja")</f>
        <v>@ngeTweetAja</v>
      </c>
      <c r="C18477" s="8" t="s">
        <v>7585</v>
      </c>
      <c r="D18477" s="8">
        <v>2</v>
      </c>
      <c r="E18477" s="8">
        <v>1</v>
      </c>
      <c r="F18477" s="8">
        <v>4333</v>
      </c>
    </row>
    <row r="18478" spans="1:6" ht="12.75">
      <c r="A18478" s="8">
        <v>43895.994756944448</v>
      </c>
      <c r="B18478" s="8" t="str">
        <f>HYPERLINK("https://twitter.com/ChowkidarKundu","@ChowkidarKundu")</f>
        <v>@ChowkidarKundu</v>
      </c>
      <c r="C18478" s="8" t="s">
        <v>7586</v>
      </c>
      <c r="D18478" s="8">
        <v>0</v>
      </c>
      <c r="E18478" s="8">
        <v>0</v>
      </c>
      <c r="F18478" s="8">
        <v>3</v>
      </c>
    </row>
    <row r="18479" spans="1:6" ht="12.75">
      <c r="A18479" s="8">
        <v>43895.994201388894</v>
      </c>
      <c r="B18479" s="8" t="str">
        <f>HYPERLINK("https://twitter.com/myturtlezen","@myturtlezen")</f>
        <v>@myturtlezen</v>
      </c>
      <c r="C18479" s="8" t="s">
        <v>7587</v>
      </c>
      <c r="D18479" s="8">
        <v>0</v>
      </c>
      <c r="E18479" s="8">
        <v>0</v>
      </c>
      <c r="F18479" s="8">
        <v>1144</v>
      </c>
    </row>
    <row r="18480" spans="1:6" ht="12.75">
      <c r="A18480" s="8">
        <v>43895.993750000001</v>
      </c>
      <c r="B18480" s="8" t="str">
        <f>HYPERLINK("https://twitter.com/Atikaali16","@Atikaali16")</f>
        <v>@Atikaali16</v>
      </c>
      <c r="C18480" s="8" t="s">
        <v>7423</v>
      </c>
      <c r="D18480" s="8">
        <v>11</v>
      </c>
      <c r="E18480" s="8">
        <v>0</v>
      </c>
      <c r="F18480" s="8">
        <v>3569</v>
      </c>
    </row>
    <row r="18481" spans="1:6" ht="12.75">
      <c r="A18481" s="8">
        <v>43895.993692129632</v>
      </c>
      <c r="B18481" s="8" t="str">
        <f>HYPERLINK("https://twitter.com/ponangpr","@ponangpr")</f>
        <v>@ponangpr</v>
      </c>
      <c r="C18481" s="8" t="s">
        <v>7588</v>
      </c>
      <c r="D18481" s="8">
        <v>0</v>
      </c>
      <c r="E18481" s="8">
        <v>0</v>
      </c>
      <c r="F18481" s="8">
        <v>18</v>
      </c>
    </row>
    <row r="18482" spans="1:6" ht="12.75">
      <c r="A18482" s="8">
        <v>43895.991516203707</v>
      </c>
      <c r="B18482" s="8" t="str">
        <f>HYPERLINK("https://twitter.com/paquitacumadebu","@paquitacumadebu")</f>
        <v>@paquitacumadebu</v>
      </c>
      <c r="C18482" s="8" t="s">
        <v>7589</v>
      </c>
      <c r="D18482" s="8">
        <v>3</v>
      </c>
      <c r="E18482" s="8">
        <v>0</v>
      </c>
      <c r="F18482" s="8">
        <v>1749</v>
      </c>
    </row>
    <row r="18483" spans="1:6" ht="12.75">
      <c r="A18483" s="8">
        <v>43895.99050925926</v>
      </c>
      <c r="B18483" s="8" t="str">
        <f>HYPERLINK("https://twitter.com/exelrockstar","@exelrockstar")</f>
        <v>@exelrockstar</v>
      </c>
      <c r="C18483" s="8" t="s">
        <v>7590</v>
      </c>
      <c r="D18483" s="8">
        <v>0</v>
      </c>
      <c r="E18483" s="8">
        <v>0</v>
      </c>
      <c r="F18483" s="8">
        <v>84</v>
      </c>
    </row>
    <row r="18484" spans="1:6" ht="12.75">
      <c r="A18484" s="8">
        <v>43895.989259259259</v>
      </c>
      <c r="B18484" s="8" t="str">
        <f>HYPERLINK("https://twitter.com/daryantomail","@daryantomail")</f>
        <v>@daryantomail</v>
      </c>
      <c r="C18484" s="8" t="s">
        <v>5732</v>
      </c>
      <c r="D18484" s="8">
        <v>2202</v>
      </c>
      <c r="E18484" s="8">
        <v>0</v>
      </c>
      <c r="F18484" s="8">
        <v>1633</v>
      </c>
    </row>
    <row r="18485" spans="1:6" ht="12.75">
      <c r="A18485" s="8">
        <v>43895.988715277781</v>
      </c>
      <c r="B18485" s="8" t="str">
        <f>HYPERLINK("https://twitter.com/jwhsibarani","@jwhsibarani")</f>
        <v>@jwhsibarani</v>
      </c>
      <c r="C18485" s="8" t="s">
        <v>7189</v>
      </c>
      <c r="D18485" s="8">
        <v>49</v>
      </c>
      <c r="E18485" s="8">
        <v>0</v>
      </c>
      <c r="F18485" s="8">
        <v>81</v>
      </c>
    </row>
    <row r="18486" spans="1:6" ht="12.75">
      <c r="A18486" s="8">
        <v>43895.988425925927</v>
      </c>
      <c r="B18486" s="8" t="str">
        <f>HYPERLINK("https://twitter.com/tatakangelas","@tatakangelas")</f>
        <v>@tatakangelas</v>
      </c>
      <c r="C18486" s="8" t="s">
        <v>7591</v>
      </c>
      <c r="D18486" s="8">
        <v>0</v>
      </c>
      <c r="E18486" s="8">
        <v>0</v>
      </c>
      <c r="F18486" s="8">
        <v>2319</v>
      </c>
    </row>
    <row r="18487" spans="1:6" ht="12.75">
      <c r="A18487" s="8">
        <v>43895.987534722226</v>
      </c>
      <c r="B18487" s="8" t="str">
        <f>HYPERLINK("https://twitter.com/L3OF14N","@L3OF14N")</f>
        <v>@L3OF14N</v>
      </c>
      <c r="C18487" s="8" t="s">
        <v>7242</v>
      </c>
      <c r="D18487" s="8">
        <v>99</v>
      </c>
      <c r="E18487" s="8">
        <v>0</v>
      </c>
      <c r="F18487" s="8">
        <v>1333</v>
      </c>
    </row>
    <row r="18488" spans="1:6" ht="12.75">
      <c r="A18488" s="8">
        <v>43895.98746527778</v>
      </c>
      <c r="B18488" s="8" t="str">
        <f t="shared" ref="B18488:B18489" si="275">HYPERLINK("https://twitter.com/2019jkwsaja","@2019jkwsaja")</f>
        <v>@2019jkwsaja</v>
      </c>
      <c r="C18488" s="8" t="s">
        <v>7584</v>
      </c>
      <c r="D18488" s="8">
        <v>2</v>
      </c>
      <c r="E18488" s="8">
        <v>0</v>
      </c>
      <c r="F18488" s="8">
        <v>2603</v>
      </c>
    </row>
    <row r="18489" spans="1:6" ht="12.75">
      <c r="A18489" s="8">
        <v>43895.987013888887</v>
      </c>
      <c r="B18489" s="8" t="str">
        <f t="shared" si="275"/>
        <v>@2019jkwsaja</v>
      </c>
      <c r="C18489" s="8" t="s">
        <v>7592</v>
      </c>
      <c r="D18489" s="8">
        <v>2</v>
      </c>
      <c r="E18489" s="8">
        <v>1</v>
      </c>
      <c r="F18489" s="8">
        <v>2603</v>
      </c>
    </row>
    <row r="18490" spans="1:6" ht="12.75">
      <c r="A18490" s="8">
        <v>43895.987002314811</v>
      </c>
      <c r="B18490" s="8" t="str">
        <f>HYPERLINK("https://twitter.com/vanidiana","@vanidiana")</f>
        <v>@vanidiana</v>
      </c>
      <c r="C18490" s="8" t="s">
        <v>7580</v>
      </c>
      <c r="D18490" s="8">
        <v>4</v>
      </c>
      <c r="E18490" s="8">
        <v>0</v>
      </c>
      <c r="F18490" s="8">
        <v>568</v>
      </c>
    </row>
    <row r="18491" spans="1:6" ht="12.75">
      <c r="A18491" s="8">
        <v>43895.986921296295</v>
      </c>
      <c r="B18491" s="8" t="str">
        <f>HYPERLINK("https://twitter.com/XPakjiang","@XPakjiang")</f>
        <v>@XPakjiang</v>
      </c>
      <c r="C18491" s="8" t="s">
        <v>7593</v>
      </c>
      <c r="D18491" s="8">
        <v>0</v>
      </c>
      <c r="E18491" s="8">
        <v>0</v>
      </c>
      <c r="F18491" s="8">
        <v>282</v>
      </c>
    </row>
    <row r="18492" spans="1:6" ht="12.75">
      <c r="A18492" s="8">
        <v>43895.98646990741</v>
      </c>
      <c r="B18492" s="8" t="str">
        <f>HYPERLINK("https://twitter.com/ManaluTheodorus","@ManaluTheodorus")</f>
        <v>@ManaluTheodorus</v>
      </c>
      <c r="C18492" s="8" t="s">
        <v>299</v>
      </c>
      <c r="D18492" s="8">
        <v>4748</v>
      </c>
      <c r="E18492" s="8">
        <v>0</v>
      </c>
      <c r="F18492" s="8">
        <v>51</v>
      </c>
    </row>
    <row r="18493" spans="1:6" ht="12.75">
      <c r="A18493" s="8">
        <v>43895.985960648148</v>
      </c>
      <c r="B18493" s="8" t="str">
        <f>HYPERLINK("https://twitter.com/kanal_inspirasi","@kanal_inspirasi")</f>
        <v>@kanal_inspirasi</v>
      </c>
      <c r="C18493" s="8" t="s">
        <v>7594</v>
      </c>
      <c r="D18493" s="8">
        <v>0</v>
      </c>
      <c r="E18493" s="8">
        <v>0</v>
      </c>
      <c r="F18493" s="8">
        <v>11</v>
      </c>
    </row>
    <row r="18494" spans="1:6" ht="12.75">
      <c r="A18494" s="8">
        <v>43895.985694444447</v>
      </c>
      <c r="B18494" s="8" t="str">
        <f>HYPERLINK("https://twitter.com/Blacksh55288774","@Blacksh55288774")</f>
        <v>@Blacksh55288774</v>
      </c>
      <c r="C18494" s="8" t="s">
        <v>1078</v>
      </c>
      <c r="D18494" s="8">
        <v>636</v>
      </c>
      <c r="E18494" s="8">
        <v>0</v>
      </c>
      <c r="F18494" s="8">
        <v>245</v>
      </c>
    </row>
    <row r="18495" spans="1:6" ht="12.75">
      <c r="A18495" s="8">
        <v>43895.984965277778</v>
      </c>
      <c r="B18495" s="8" t="str">
        <f>HYPERLINK("https://twitter.com/snjayajonggrang","@snjayajonggrang")</f>
        <v>@snjayajonggrang</v>
      </c>
      <c r="C18495" s="8" t="s">
        <v>7580</v>
      </c>
      <c r="D18495" s="8">
        <v>4</v>
      </c>
      <c r="E18495" s="8">
        <v>0</v>
      </c>
      <c r="F18495" s="8">
        <v>3883</v>
      </c>
    </row>
    <row r="18496" spans="1:6" ht="12.75">
      <c r="A18496" s="8">
        <v>43895.984085648146</v>
      </c>
      <c r="B18496" s="8" t="str">
        <f>HYPERLINK("https://twitter.com/GhazalQureshi4","@GhazalQureshi4")</f>
        <v>@GhazalQureshi4</v>
      </c>
      <c r="C18496" s="8" t="s">
        <v>7423</v>
      </c>
      <c r="D18496" s="8">
        <v>11</v>
      </c>
      <c r="E18496" s="8">
        <v>0</v>
      </c>
      <c r="F18496" s="8">
        <v>97</v>
      </c>
    </row>
    <row r="18497" spans="1:6" ht="12.75">
      <c r="A18497" s="8">
        <v>43895.983356481476</v>
      </c>
      <c r="B18497" s="8" t="str">
        <f>HYPERLINK("https://twitter.com/WartaSumatera","@WartaSumatera")</f>
        <v>@WartaSumatera</v>
      </c>
      <c r="C18497" s="8" t="s">
        <v>7595</v>
      </c>
      <c r="D18497" s="8">
        <v>0</v>
      </c>
      <c r="E18497" s="8">
        <v>0</v>
      </c>
      <c r="F18497" s="8">
        <v>638</v>
      </c>
    </row>
    <row r="18498" spans="1:6" ht="12.75">
      <c r="A18498" s="8">
        <v>43895.982557870375</v>
      </c>
      <c r="B18498" s="8" t="str">
        <f>HYPERLINK("https://twitter.com/ghulamelala","@ghulamelala")</f>
        <v>@ghulamelala</v>
      </c>
      <c r="C18498" s="8" t="s">
        <v>7423</v>
      </c>
      <c r="D18498" s="8">
        <v>11</v>
      </c>
      <c r="E18498" s="8">
        <v>0</v>
      </c>
      <c r="F18498" s="8">
        <v>362</v>
      </c>
    </row>
    <row r="18499" spans="1:6" ht="12.75">
      <c r="A18499" s="8">
        <v>43895.981782407413</v>
      </c>
      <c r="B18499" s="8" t="str">
        <f>HYPERLINK("https://twitter.com/_rnkrss","@_rnkrss")</f>
        <v>@_rnkrss</v>
      </c>
      <c r="C18499" s="8" t="s">
        <v>7596</v>
      </c>
      <c r="D18499" s="8">
        <v>0</v>
      </c>
      <c r="E18499" s="8">
        <v>0</v>
      </c>
      <c r="F18499" s="8">
        <v>84</v>
      </c>
    </row>
    <row r="18500" spans="1:6" ht="12.75">
      <c r="A18500" s="8">
        <v>43895.981724537036</v>
      </c>
      <c r="B18500" s="8" t="str">
        <f>HYPERLINK("https://twitter.com/SNaeem81","@SNaeem81")</f>
        <v>@SNaeem81</v>
      </c>
      <c r="C18500" s="8" t="s">
        <v>7423</v>
      </c>
      <c r="D18500" s="8">
        <v>11</v>
      </c>
      <c r="E18500" s="8">
        <v>0</v>
      </c>
      <c r="F18500" s="8">
        <v>1068</v>
      </c>
    </row>
    <row r="18501" spans="1:6" ht="12.75">
      <c r="A18501" s="8">
        <v>43895.981412037036</v>
      </c>
      <c r="B18501" s="8" t="str">
        <f>HYPERLINK("https://twitter.com/EdyMarlofvia","@EdyMarlofvia")</f>
        <v>@EdyMarlofvia</v>
      </c>
      <c r="C18501" s="8" t="s">
        <v>7189</v>
      </c>
      <c r="D18501" s="8">
        <v>49</v>
      </c>
      <c r="E18501" s="8">
        <v>0</v>
      </c>
      <c r="F18501" s="8">
        <v>488</v>
      </c>
    </row>
    <row r="18502" spans="1:6" ht="12.75">
      <c r="A18502" s="8">
        <v>43895.979976851857</v>
      </c>
      <c r="B18502" s="8" t="str">
        <f>HYPERLINK("https://twitter.com/Fitriansyahput9","@Fitriansyahput9")</f>
        <v>@Fitriansyahput9</v>
      </c>
      <c r="C18502" s="8" t="s">
        <v>7597</v>
      </c>
      <c r="D18502" s="8">
        <v>742</v>
      </c>
      <c r="E18502" s="8">
        <v>0</v>
      </c>
      <c r="F18502" s="8">
        <v>4</v>
      </c>
    </row>
    <row r="18503" spans="1:6" ht="12.75">
      <c r="A18503" s="8">
        <v>43895.979837962965</v>
      </c>
      <c r="B18503" s="8" t="str">
        <f>HYPERLINK("https://twitter.com/AremaNita__","@AremaNita__")</f>
        <v>@AremaNita__</v>
      </c>
      <c r="C18503" s="8" t="s">
        <v>7589</v>
      </c>
      <c r="D18503" s="8">
        <v>3</v>
      </c>
      <c r="E18503" s="8">
        <v>0</v>
      </c>
      <c r="F18503" s="8">
        <v>8394</v>
      </c>
    </row>
    <row r="18504" spans="1:6" ht="12.75">
      <c r="A18504" s="8">
        <v>43895.979537037041</v>
      </c>
      <c r="B18504" s="8" t="str">
        <f>HYPERLINK("https://twitter.com/wni_jmsri","@wni_jmsri")</f>
        <v>@wni_jmsri</v>
      </c>
      <c r="C18504" s="8" t="s">
        <v>7598</v>
      </c>
      <c r="D18504" s="8">
        <v>2575</v>
      </c>
      <c r="E18504" s="8">
        <v>0</v>
      </c>
      <c r="F18504" s="8">
        <v>201</v>
      </c>
    </row>
    <row r="18505" spans="1:6" ht="12.75">
      <c r="A18505" s="8">
        <v>43895.97929398148</v>
      </c>
      <c r="B18505" s="8" t="str">
        <f>HYPERLINK("https://twitter.com/endramawan","@endramawan")</f>
        <v>@endramawan</v>
      </c>
      <c r="C18505" s="8" t="s">
        <v>2199</v>
      </c>
      <c r="D18505" s="8">
        <v>9095</v>
      </c>
      <c r="E18505" s="8">
        <v>0</v>
      </c>
      <c r="F18505" s="8">
        <v>244</v>
      </c>
    </row>
    <row r="18506" spans="1:6" ht="12.75">
      <c r="A18506" s="8">
        <v>43895.978321759263</v>
      </c>
      <c r="B18506" s="8" t="str">
        <f>HYPERLINK("https://twitter.com/RosyadFazlur","@RosyadFazlur")</f>
        <v>@RosyadFazlur</v>
      </c>
      <c r="C18506" s="8" t="s">
        <v>7281</v>
      </c>
      <c r="D18506" s="8">
        <v>4</v>
      </c>
      <c r="E18506" s="8">
        <v>0</v>
      </c>
      <c r="F18506" s="8">
        <v>461</v>
      </c>
    </row>
    <row r="18507" spans="1:6" ht="12.75">
      <c r="A18507" s="8">
        <v>43895.978182870371</v>
      </c>
      <c r="B18507" s="8" t="str">
        <f>HYPERLINK("https://twitter.com/Jelantik5","@Jelantik5")</f>
        <v>@Jelantik5</v>
      </c>
      <c r="C18507" s="8" t="s">
        <v>7599</v>
      </c>
      <c r="D18507" s="8">
        <v>3</v>
      </c>
      <c r="E18507" s="8">
        <v>2</v>
      </c>
      <c r="F18507" s="8">
        <v>6507</v>
      </c>
    </row>
    <row r="18508" spans="1:6" ht="12.75">
      <c r="A18508" s="8">
        <v>43895.977627314816</v>
      </c>
      <c r="B18508" s="8" t="str">
        <f>HYPERLINK("https://twitter.com/sandmanindo","@sandmanindo")</f>
        <v>@sandmanindo</v>
      </c>
      <c r="C18508" s="8" t="s">
        <v>7600</v>
      </c>
      <c r="D18508" s="8">
        <v>1</v>
      </c>
      <c r="E18508" s="8">
        <v>0</v>
      </c>
      <c r="F18508" s="8">
        <v>400</v>
      </c>
    </row>
    <row r="18509" spans="1:6" ht="12.75">
      <c r="A18509" s="8">
        <v>43895.977118055554</v>
      </c>
      <c r="B18509" s="8" t="str">
        <f>HYPERLINK("https://twitter.com/CrinoEo","@CrinoEo")</f>
        <v>@CrinoEo</v>
      </c>
      <c r="C18509" s="8" t="s">
        <v>7601</v>
      </c>
      <c r="D18509" s="8">
        <v>0</v>
      </c>
      <c r="E18509" s="8">
        <v>0</v>
      </c>
      <c r="F18509" s="8">
        <v>8</v>
      </c>
    </row>
    <row r="18510" spans="1:6" ht="12.75">
      <c r="A18510" s="8">
        <v>43895.975648148145</v>
      </c>
      <c r="B18510" s="8" t="str">
        <f>HYPERLINK("https://twitter.com/madeamrita","@madeamrita")</f>
        <v>@madeamrita</v>
      </c>
      <c r="C18510" s="8" t="s">
        <v>7602</v>
      </c>
      <c r="D18510" s="8">
        <v>0</v>
      </c>
      <c r="E18510" s="8">
        <v>0</v>
      </c>
      <c r="F18510" s="8">
        <v>274</v>
      </c>
    </row>
    <row r="18511" spans="1:6" ht="12.75">
      <c r="A18511" s="8">
        <v>43895.975601851853</v>
      </c>
      <c r="B18511" s="8" t="str">
        <f>HYPERLINK("https://twitter.com/Syukron_munawar","@Syukron_munawar")</f>
        <v>@Syukron_munawar</v>
      </c>
      <c r="C18511" s="8" t="s">
        <v>7603</v>
      </c>
      <c r="D18511" s="8">
        <v>0</v>
      </c>
      <c r="E18511" s="8">
        <v>0</v>
      </c>
      <c r="F18511" s="8">
        <v>200</v>
      </c>
    </row>
    <row r="18512" spans="1:6" ht="12.75">
      <c r="A18512" s="8">
        <v>43895.97457175926</v>
      </c>
      <c r="B18512" s="8" t="str">
        <f>HYPERLINK("https://twitter.com/CivilSociety88","@CivilSociety88")</f>
        <v>@CivilSociety88</v>
      </c>
      <c r="C18512" s="8" t="s">
        <v>1078</v>
      </c>
      <c r="D18512" s="8">
        <v>636</v>
      </c>
      <c r="E18512" s="8">
        <v>0</v>
      </c>
      <c r="F18512" s="8">
        <v>70</v>
      </c>
    </row>
    <row r="18513" spans="1:6" ht="12.75">
      <c r="A18513" s="8">
        <v>43895.974270833336</v>
      </c>
      <c r="B18513" s="8" t="str">
        <f>HYPERLINK("https://twitter.com/SydSalesman","@SydSalesman")</f>
        <v>@SydSalesman</v>
      </c>
      <c r="C18513" s="8" t="s">
        <v>7189</v>
      </c>
      <c r="D18513" s="8">
        <v>49</v>
      </c>
      <c r="E18513" s="8">
        <v>0</v>
      </c>
      <c r="F18513" s="8">
        <v>6281</v>
      </c>
    </row>
    <row r="18514" spans="1:6" ht="12.75">
      <c r="A18514" s="8">
        <v>43895.974062499998</v>
      </c>
      <c r="B18514" s="8" t="str">
        <f>HYPERLINK("https://twitter.com/anjares90","@anjares90")</f>
        <v>@anjares90</v>
      </c>
      <c r="C18514" s="8" t="s">
        <v>7604</v>
      </c>
      <c r="D18514" s="8">
        <v>35</v>
      </c>
      <c r="E18514" s="8">
        <v>0</v>
      </c>
      <c r="F18514" s="8">
        <v>675</v>
      </c>
    </row>
    <row r="18515" spans="1:6" ht="12.75">
      <c r="A18515" s="8">
        <v>43895.973310185189</v>
      </c>
      <c r="B18515" s="8" t="str">
        <f>HYPERLINK("https://twitter.com/Tirex3111","@Tirex3111")</f>
        <v>@Tirex3111</v>
      </c>
      <c r="C18515" s="8" t="s">
        <v>7242</v>
      </c>
      <c r="D18515" s="8">
        <v>99</v>
      </c>
      <c r="E18515" s="8">
        <v>0</v>
      </c>
      <c r="F18515" s="8">
        <v>114</v>
      </c>
    </row>
    <row r="18516" spans="1:6" ht="12.75">
      <c r="A18516" s="8">
        <v>43895.973067129627</v>
      </c>
      <c r="B18516" s="8" t="str">
        <f>HYPERLINK("https://twitter.com/rachflowy","@rachflowy")</f>
        <v>@rachflowy</v>
      </c>
      <c r="C18516" s="8" t="s">
        <v>6710</v>
      </c>
      <c r="D18516" s="8">
        <v>468</v>
      </c>
      <c r="E18516" s="8">
        <v>0</v>
      </c>
      <c r="F18516" s="8">
        <v>55</v>
      </c>
    </row>
    <row r="18517" spans="1:6" ht="12.75">
      <c r="A18517" s="8">
        <v>43895.972800925927</v>
      </c>
      <c r="B18517" s="8" t="str">
        <f>HYPERLINK("https://twitter.com/davidmillit1","@davidmillit1")</f>
        <v>@davidmillit1</v>
      </c>
      <c r="C18517" s="8" t="s">
        <v>2979</v>
      </c>
      <c r="D18517" s="8">
        <v>234</v>
      </c>
      <c r="E18517" s="8">
        <v>0</v>
      </c>
      <c r="F18517" s="8">
        <v>45</v>
      </c>
    </row>
    <row r="18518" spans="1:6" ht="12.75">
      <c r="A18518" s="8">
        <v>43895.972291666665</v>
      </c>
      <c r="B18518" s="8" t="str">
        <f>HYPERLINK("https://twitter.com/Nier48909238","@Nier48909238")</f>
        <v>@Nier48909238</v>
      </c>
      <c r="C18518" s="8" t="s">
        <v>1078</v>
      </c>
      <c r="D18518" s="8">
        <v>636</v>
      </c>
      <c r="E18518" s="8">
        <v>0</v>
      </c>
      <c r="F18518" s="8">
        <v>150</v>
      </c>
    </row>
    <row r="18519" spans="1:6" ht="12.75">
      <c r="A18519" s="8">
        <v>43895.971157407403</v>
      </c>
      <c r="B18519" s="8" t="str">
        <f>HYPERLINK("https://twitter.com/74N4H","@74N4H")</f>
        <v>@74N4H</v>
      </c>
      <c r="C18519" s="8" t="s">
        <v>2506</v>
      </c>
      <c r="D18519" s="8">
        <v>13</v>
      </c>
      <c r="E18519" s="8">
        <v>0</v>
      </c>
      <c r="F18519" s="8">
        <v>1476</v>
      </c>
    </row>
    <row r="18520" spans="1:6" ht="12.75">
      <c r="A18520" s="8">
        <v>43895.970775462964</v>
      </c>
      <c r="B18520" s="8" t="str">
        <f>HYPERLINK("https://twitter.com/Kaleng_Kurma","@Kaleng_Kurma")</f>
        <v>@Kaleng_Kurma</v>
      </c>
      <c r="C18520" s="8" t="s">
        <v>7605</v>
      </c>
      <c r="D18520" s="8">
        <v>3</v>
      </c>
      <c r="E18520" s="8">
        <v>0</v>
      </c>
      <c r="F18520" s="8">
        <v>224</v>
      </c>
    </row>
    <row r="18521" spans="1:6" ht="12.75">
      <c r="A18521" s="8">
        <v>43895.970717592594</v>
      </c>
      <c r="B18521" s="8" t="str">
        <f>HYPERLINK("https://twitter.com/Tano_Maske","@Tano_Maske")</f>
        <v>@Tano_Maske</v>
      </c>
      <c r="C18521" s="8" t="s">
        <v>7606</v>
      </c>
      <c r="D18521" s="8">
        <v>0</v>
      </c>
      <c r="E18521" s="8">
        <v>0</v>
      </c>
      <c r="F18521" s="8">
        <v>37</v>
      </c>
    </row>
    <row r="18522" spans="1:6" ht="12.75">
      <c r="A18522" s="8">
        <v>43895.970451388886</v>
      </c>
      <c r="B18522" s="8" t="str">
        <f>HYPERLINK("https://twitter.com/dwiharyanto26","@dwiharyanto26")</f>
        <v>@dwiharyanto26</v>
      </c>
      <c r="C18522" s="8" t="s">
        <v>3049</v>
      </c>
      <c r="D18522" s="8">
        <v>0</v>
      </c>
      <c r="E18522" s="8">
        <v>0</v>
      </c>
      <c r="F18522" s="8">
        <v>12</v>
      </c>
    </row>
    <row r="18523" spans="1:6" ht="12.75">
      <c r="A18523" s="8">
        <v>43895.968946759254</v>
      </c>
      <c r="B18523" s="8" t="str">
        <f>HYPERLINK("https://twitter.com/FeverDoll","@FeverDoll")</f>
        <v>@FeverDoll</v>
      </c>
      <c r="C18523" s="8" t="s">
        <v>7423</v>
      </c>
      <c r="D18523" s="8">
        <v>11</v>
      </c>
      <c r="E18523" s="8">
        <v>0</v>
      </c>
      <c r="F18523" s="8">
        <v>532</v>
      </c>
    </row>
    <row r="18524" spans="1:6" ht="12.75">
      <c r="A18524" s="8">
        <v>43895.967499999999</v>
      </c>
      <c r="B18524" s="8" t="str">
        <f>HYPERLINK("https://twitter.com/Oki82375136","@Oki82375136")</f>
        <v>@Oki82375136</v>
      </c>
      <c r="C18524" s="8" t="s">
        <v>7607</v>
      </c>
      <c r="D18524" s="8">
        <v>6</v>
      </c>
      <c r="E18524" s="8">
        <v>0</v>
      </c>
      <c r="F18524" s="8">
        <v>8</v>
      </c>
    </row>
    <row r="18525" spans="1:6" ht="12.75">
      <c r="A18525" s="8">
        <v>43895.965439814812</v>
      </c>
      <c r="B18525" s="8" t="str">
        <f>HYPERLINK("https://twitter.com/subramanya18","@subramanya18")</f>
        <v>@subramanya18</v>
      </c>
      <c r="C18525" s="8" t="s">
        <v>7608</v>
      </c>
      <c r="D18525" s="8">
        <v>0</v>
      </c>
      <c r="E18525" s="8">
        <v>0</v>
      </c>
      <c r="F18525" s="8">
        <v>8</v>
      </c>
    </row>
    <row r="18526" spans="1:6" ht="12.75">
      <c r="A18526" s="8">
        <v>43895.965046296296</v>
      </c>
      <c r="B18526" s="8" t="str">
        <f>HYPERLINK("https://twitter.com/WiePind","@WiePind")</f>
        <v>@WiePind</v>
      </c>
      <c r="C18526" s="8" t="s">
        <v>7605</v>
      </c>
      <c r="D18526" s="8">
        <v>2</v>
      </c>
      <c r="E18526" s="8">
        <v>0</v>
      </c>
      <c r="F18526" s="8">
        <v>661</v>
      </c>
    </row>
    <row r="18527" spans="1:6" ht="12.75">
      <c r="A18527" s="8">
        <v>43895.964270833334</v>
      </c>
      <c r="B18527" s="8" t="str">
        <f>HYPERLINK("https://twitter.com/KotaPalembangKu","@KotaPalembangKu")</f>
        <v>@KotaPalembangKu</v>
      </c>
      <c r="C18527" s="8" t="s">
        <v>7609</v>
      </c>
      <c r="D18527" s="8">
        <v>0</v>
      </c>
      <c r="E18527" s="8">
        <v>0</v>
      </c>
      <c r="F18527" s="8">
        <v>333</v>
      </c>
    </row>
    <row r="18528" spans="1:6" ht="12.75">
      <c r="A18528" s="8">
        <v>43895.963564814811</v>
      </c>
      <c r="B18528" s="8" t="str">
        <f>HYPERLINK("https://twitter.com/kompascom","@kompascom")</f>
        <v>@kompascom</v>
      </c>
      <c r="C18528" s="8" t="s">
        <v>7605</v>
      </c>
      <c r="D18528" s="8">
        <v>2</v>
      </c>
      <c r="E18528" s="8">
        <v>0</v>
      </c>
      <c r="F18528" s="8">
        <v>7530422</v>
      </c>
    </row>
    <row r="18529" spans="1:6" ht="12.75">
      <c r="A18529" s="8">
        <v>43895.963275462964</v>
      </c>
      <c r="B18529" s="8" t="str">
        <f>HYPERLINK("https://twitter.com/kompasiana","@kompasiana")</f>
        <v>@kompasiana</v>
      </c>
      <c r="C18529" s="8" t="s">
        <v>7610</v>
      </c>
      <c r="D18529" s="8">
        <v>2</v>
      </c>
      <c r="E18529" s="8">
        <v>0</v>
      </c>
      <c r="F18529" s="8">
        <v>932559</v>
      </c>
    </row>
    <row r="18530" spans="1:6" ht="12.75">
      <c r="A18530" s="8">
        <v>43895.963136574079</v>
      </c>
      <c r="B18530" s="8" t="str">
        <f>HYPERLINK("https://twitter.com/k305328330","@k305328330")</f>
        <v>@k305328330</v>
      </c>
      <c r="C18530" s="8" t="s">
        <v>7611</v>
      </c>
      <c r="D18530" s="8">
        <v>0</v>
      </c>
      <c r="E18530" s="8">
        <v>0</v>
      </c>
      <c r="F18530" s="8">
        <v>920</v>
      </c>
    </row>
    <row r="18531" spans="1:6" ht="12.75">
      <c r="A18531" s="8">
        <v>43895.961736111116</v>
      </c>
      <c r="B18531" s="8" t="str">
        <f>HYPERLINK("https://twitter.com/maykrisna","@maykrisna")</f>
        <v>@maykrisna</v>
      </c>
      <c r="C18531" s="8" t="s">
        <v>1078</v>
      </c>
      <c r="D18531" s="8">
        <v>627</v>
      </c>
      <c r="E18531" s="8">
        <v>0</v>
      </c>
      <c r="F18531" s="8">
        <v>630</v>
      </c>
    </row>
    <row r="18532" spans="1:6" ht="12.75">
      <c r="A18532" s="8">
        <v>43895.961678240739</v>
      </c>
      <c r="B18532" s="8" t="str">
        <f>HYPERLINK("https://twitter.com/Jelantik5","@Jelantik5")</f>
        <v>@Jelantik5</v>
      </c>
      <c r="C18532" s="8" t="s">
        <v>7612</v>
      </c>
      <c r="D18532" s="8">
        <v>0</v>
      </c>
      <c r="E18532" s="8">
        <v>1</v>
      </c>
      <c r="F18532" s="8">
        <v>6502</v>
      </c>
    </row>
    <row r="18533" spans="1:6" ht="12.75">
      <c r="A18533" s="8">
        <v>43895.961678240739</v>
      </c>
      <c r="B18533" s="8" t="str">
        <f>HYPERLINK("https://twitter.com/Ramikumi1","@Ramikumi1")</f>
        <v>@Ramikumi1</v>
      </c>
      <c r="C18533" s="8" t="s">
        <v>7613</v>
      </c>
      <c r="D18533" s="8">
        <v>0</v>
      </c>
      <c r="E18533" s="8">
        <v>0</v>
      </c>
      <c r="F18533" s="8">
        <v>33</v>
      </c>
    </row>
    <row r="18534" spans="1:6" ht="12.75">
      <c r="A18534" s="8">
        <v>43895.961504629631</v>
      </c>
      <c r="B18534" s="8" t="str">
        <f>HYPERLINK("https://twitter.com/KompasTV","@KompasTV")</f>
        <v>@KompasTV</v>
      </c>
      <c r="C18534" s="8" t="s">
        <v>7614</v>
      </c>
      <c r="D18534" s="8">
        <v>0</v>
      </c>
      <c r="E18534" s="8">
        <v>1</v>
      </c>
      <c r="F18534" s="8">
        <v>2956955</v>
      </c>
    </row>
    <row r="18535" spans="1:6" ht="12.75">
      <c r="A18535" s="8">
        <v>43895.961435185185</v>
      </c>
      <c r="B18535" s="8" t="str">
        <f>HYPERLINK("https://twitter.com/urip_murup","@urip_murup")</f>
        <v>@urip_murup</v>
      </c>
      <c r="C18535" s="8" t="s">
        <v>7242</v>
      </c>
      <c r="D18535" s="8">
        <v>97</v>
      </c>
      <c r="E18535" s="8">
        <v>0</v>
      </c>
      <c r="F18535" s="8">
        <v>238</v>
      </c>
    </row>
    <row r="18536" spans="1:6" ht="12.75">
      <c r="A18536" s="8">
        <v>43895.960983796293</v>
      </c>
      <c r="B18536" s="8" t="str">
        <f>HYPERLINK("https://twitter.com/wahyura82080827","@wahyura82080827")</f>
        <v>@wahyura82080827</v>
      </c>
      <c r="C18536" s="8" t="s">
        <v>7245</v>
      </c>
      <c r="D18536" s="8">
        <v>75</v>
      </c>
      <c r="E18536" s="8">
        <v>0</v>
      </c>
      <c r="F18536" s="8">
        <v>14</v>
      </c>
    </row>
    <row r="18537" spans="1:6" ht="12.75">
      <c r="A18537" s="8">
        <v>43895.960717592592</v>
      </c>
      <c r="B18537" s="8" t="str">
        <f>HYPERLINK("https://twitter.com/iNewsID","@iNewsID")</f>
        <v>@iNewsID</v>
      </c>
      <c r="C18537" s="8" t="s">
        <v>7615</v>
      </c>
      <c r="D18537" s="8">
        <v>0</v>
      </c>
      <c r="E18537" s="8">
        <v>0</v>
      </c>
      <c r="F18537" s="8">
        <v>1362</v>
      </c>
    </row>
    <row r="18538" spans="1:6" ht="12.75">
      <c r="A18538" s="8">
        <v>43895.960069444445</v>
      </c>
      <c r="B18538" s="8" t="str">
        <f>HYPERLINK("https://twitter.com/Kaleng_Kurma","@Kaleng_Kurma")</f>
        <v>@Kaleng_Kurma</v>
      </c>
      <c r="C18538" s="8" t="s">
        <v>1078</v>
      </c>
      <c r="D18538" s="8">
        <v>627</v>
      </c>
      <c r="E18538" s="8">
        <v>0</v>
      </c>
      <c r="F18538" s="8">
        <v>224</v>
      </c>
    </row>
    <row r="18539" spans="1:6" ht="12.75">
      <c r="A18539" s="8">
        <v>43895.958495370374</v>
      </c>
      <c r="B18539" s="8" t="str">
        <f>HYPERLINK("https://twitter.com/fan__com","@fan__com")</f>
        <v>@fan__com</v>
      </c>
      <c r="C18539" s="8" t="s">
        <v>7616</v>
      </c>
      <c r="D18539" s="8">
        <v>0</v>
      </c>
      <c r="E18539" s="8">
        <v>0</v>
      </c>
      <c r="F18539" s="8">
        <v>742</v>
      </c>
    </row>
    <row r="18540" spans="1:6" ht="12.75">
      <c r="A18540" s="8">
        <v>43895.958252314813</v>
      </c>
      <c r="B18540" s="8" t="str">
        <f>HYPERLINK("https://twitter.com/maxaghie","@maxaghie")</f>
        <v>@maxaghie</v>
      </c>
      <c r="C18540" s="8" t="s">
        <v>7573</v>
      </c>
      <c r="D18540" s="8">
        <v>36</v>
      </c>
      <c r="E18540" s="8">
        <v>0</v>
      </c>
      <c r="F18540" s="8">
        <v>58</v>
      </c>
    </row>
    <row r="18541" spans="1:6" ht="12.75">
      <c r="A18541" s="8">
        <v>43895.958148148144</v>
      </c>
      <c r="B18541" s="8" t="str">
        <f>HYPERLINK("https://twitter.com/TheStreetMimbar","@TheStreetMimbar")</f>
        <v>@TheStreetMimbar</v>
      </c>
      <c r="C18541" s="8" t="s">
        <v>7617</v>
      </c>
      <c r="D18541" s="8">
        <v>0</v>
      </c>
      <c r="E18541" s="8">
        <v>0</v>
      </c>
      <c r="F18541" s="8">
        <v>12259</v>
      </c>
    </row>
    <row r="18542" spans="1:6" ht="12.75">
      <c r="A18542" s="8">
        <v>43895.956909722227</v>
      </c>
      <c r="B18542" s="8" t="str">
        <f>HYPERLINK("https://twitter.com/jinyoungiepuff","@jinyoungiepuff")</f>
        <v>@jinyoungiepuff</v>
      </c>
      <c r="C18542" s="8" t="s">
        <v>7618</v>
      </c>
      <c r="D18542" s="8">
        <v>0</v>
      </c>
      <c r="E18542" s="8">
        <v>1</v>
      </c>
      <c r="F18542" s="8">
        <v>168</v>
      </c>
    </row>
    <row r="18543" spans="1:6" ht="12.75">
      <c r="A18543" s="8">
        <v>43895.955868055556</v>
      </c>
      <c r="B18543" s="8" t="str">
        <f>HYPERLINK("https://twitter.com/elkurdopkk","@elkurdopkk")</f>
        <v>@elkurdopkk</v>
      </c>
      <c r="C18543" s="8" t="s">
        <v>7619</v>
      </c>
      <c r="D18543" s="8">
        <v>0</v>
      </c>
      <c r="E18543" s="8">
        <v>0</v>
      </c>
      <c r="F18543" s="8">
        <v>41</v>
      </c>
    </row>
    <row r="18544" spans="1:6" ht="12.75">
      <c r="A18544" s="8">
        <v>43895.955416666664</v>
      </c>
      <c r="B18544" s="8" t="str">
        <f>HYPERLINK("https://twitter.com/johnsbhat234","@johnsbhat234")</f>
        <v>@johnsbhat234</v>
      </c>
      <c r="C18544" s="8" t="s">
        <v>7516</v>
      </c>
      <c r="D18544" s="8">
        <v>52</v>
      </c>
      <c r="E18544" s="8">
        <v>0</v>
      </c>
      <c r="F18544" s="8">
        <v>2320</v>
      </c>
    </row>
    <row r="18545" spans="1:6" ht="12.75">
      <c r="A18545" s="8">
        <v>43895.953900462962</v>
      </c>
      <c r="B18545" s="8" t="str">
        <f>HYPERLINK("https://twitter.com/reviel08","@reviel08")</f>
        <v>@reviel08</v>
      </c>
      <c r="C18545" s="8" t="s">
        <v>685</v>
      </c>
      <c r="D18545" s="8">
        <v>193</v>
      </c>
      <c r="E18545" s="8">
        <v>0</v>
      </c>
      <c r="F18545" s="8">
        <v>739</v>
      </c>
    </row>
    <row r="18546" spans="1:6" ht="12.75">
      <c r="A18546" s="8">
        <v>43895.953472222223</v>
      </c>
      <c r="B18546" s="8" t="str">
        <f>HYPERLINK("https://twitter.com/PaitanJamaah","@PaitanJamaah")</f>
        <v>@PaitanJamaah</v>
      </c>
      <c r="C18546" s="8" t="s">
        <v>3285</v>
      </c>
      <c r="D18546" s="8">
        <v>172</v>
      </c>
      <c r="E18546" s="8">
        <v>0</v>
      </c>
      <c r="F18546" s="8">
        <v>1765</v>
      </c>
    </row>
    <row r="18547" spans="1:6" ht="12.75">
      <c r="A18547" s="8">
        <v>43895.953171296293</v>
      </c>
      <c r="B18547" s="8" t="str">
        <f>HYPERLINK("https://twitter.com/ACT_Sumsel","@ACT_Sumsel")</f>
        <v>@ACT_Sumsel</v>
      </c>
      <c r="C18547" s="8" t="s">
        <v>7620</v>
      </c>
      <c r="D18547" s="8">
        <v>0</v>
      </c>
      <c r="E18547" s="8">
        <v>0</v>
      </c>
      <c r="F18547" s="8">
        <v>69</v>
      </c>
    </row>
    <row r="18548" spans="1:6" ht="12.75">
      <c r="A18548" s="8">
        <v>43895.952326388884</v>
      </c>
      <c r="B18548" s="8" t="str">
        <f>HYPERLINK("https://twitter.com/darafadh","@darafadh")</f>
        <v>@darafadh</v>
      </c>
      <c r="C18548" s="8" t="s">
        <v>2199</v>
      </c>
      <c r="D18548" s="8">
        <v>9094</v>
      </c>
      <c r="E18548" s="8">
        <v>0</v>
      </c>
      <c r="F18548" s="8">
        <v>253</v>
      </c>
    </row>
    <row r="18549" spans="1:6" ht="12.75">
      <c r="A18549" s="8">
        <v>43895.95144675926</v>
      </c>
      <c r="B18549" s="8" t="str">
        <f>HYPERLINK("https://twitter.com/KompasTV","@KompasTV")</f>
        <v>@KompasTV</v>
      </c>
      <c r="C18549" s="8" t="s">
        <v>7621</v>
      </c>
      <c r="D18549" s="8">
        <v>0</v>
      </c>
      <c r="E18549" s="8">
        <v>3</v>
      </c>
      <c r="F18549" s="8">
        <v>2956955</v>
      </c>
    </row>
    <row r="18550" spans="1:6" ht="12.75">
      <c r="A18550" s="8">
        <v>43895.951435185183</v>
      </c>
      <c r="B18550" s="8" t="str">
        <f>HYPERLINK("https://twitter.com/Koarmada2SBY","@Koarmada2SBY")</f>
        <v>@Koarmada2SBY</v>
      </c>
      <c r="C18550" s="8" t="s">
        <v>7489</v>
      </c>
      <c r="D18550" s="8">
        <v>0</v>
      </c>
      <c r="E18550" s="8">
        <v>1</v>
      </c>
      <c r="F18550" s="8">
        <v>1856</v>
      </c>
    </row>
    <row r="18551" spans="1:6" ht="12.75">
      <c r="A18551" s="8">
        <v>43895.951412037037</v>
      </c>
      <c r="B18551" s="8" t="str">
        <f>HYPERLINK("https://twitter.com/marleenmars","@marleenmars")</f>
        <v>@marleenmars</v>
      </c>
      <c r="C18551" s="8" t="s">
        <v>5878</v>
      </c>
      <c r="D18551" s="8">
        <v>22</v>
      </c>
      <c r="E18551" s="8">
        <v>0</v>
      </c>
      <c r="F18551" s="8">
        <v>419</v>
      </c>
    </row>
    <row r="18552" spans="1:6" ht="12.75">
      <c r="A18552" s="8">
        <v>43895.950578703705</v>
      </c>
      <c r="B18552" s="8" t="str">
        <f>HYPERLINK("https://twitter.com/rhandarto","@rhandarto")</f>
        <v>@rhandarto</v>
      </c>
      <c r="C18552" s="8" t="s">
        <v>1078</v>
      </c>
      <c r="D18552" s="8">
        <v>627</v>
      </c>
      <c r="E18552" s="8">
        <v>0</v>
      </c>
      <c r="F18552" s="8">
        <v>419</v>
      </c>
    </row>
    <row r="18553" spans="1:6" ht="12.75">
      <c r="A18553" s="8">
        <v>43895.950428240743</v>
      </c>
      <c r="B18553" s="8" t="str">
        <f>HYPERLINK("https://twitter.com/YohanesPatty2","@YohanesPatty2")</f>
        <v>@YohanesPatty2</v>
      </c>
      <c r="C18553" s="8" t="s">
        <v>7622</v>
      </c>
      <c r="D18553" s="8">
        <v>0</v>
      </c>
      <c r="E18553" s="8">
        <v>0</v>
      </c>
      <c r="F18553" s="8">
        <v>5765</v>
      </c>
    </row>
    <row r="18554" spans="1:6" ht="12.75">
      <c r="A18554" s="8">
        <v>43895.949537037042</v>
      </c>
      <c r="B18554" s="8" t="str">
        <f>HYPERLINK("https://twitter.com/NurCahyo_404","@NurCahyo_404")</f>
        <v>@NurCahyo_404</v>
      </c>
      <c r="C18554" s="8" t="s">
        <v>3049</v>
      </c>
      <c r="D18554" s="8">
        <v>0</v>
      </c>
      <c r="E18554" s="8">
        <v>0</v>
      </c>
      <c r="F18554" s="8">
        <v>9</v>
      </c>
    </row>
    <row r="18555" spans="1:6" ht="12.75">
      <c r="A18555" s="8">
        <v>43895.948773148149</v>
      </c>
      <c r="B18555" s="8" t="str">
        <f>HYPERLINK("https://twitter.com/w26weizman","@w26weizman")</f>
        <v>@w26weizman</v>
      </c>
      <c r="C18555" s="8" t="s">
        <v>7058</v>
      </c>
      <c r="D18555" s="8">
        <v>9</v>
      </c>
      <c r="E18555" s="8">
        <v>0</v>
      </c>
      <c r="F18555" s="8">
        <v>224</v>
      </c>
    </row>
    <row r="18556" spans="1:6" ht="12.75">
      <c r="A18556" s="8">
        <v>43895.948368055557</v>
      </c>
      <c r="B18556" s="8" t="str">
        <f>HYPERLINK("https://twitter.com/kbrilima","@kbrilima")</f>
        <v>@kbrilima</v>
      </c>
      <c r="C18556" s="8" t="s">
        <v>3132</v>
      </c>
      <c r="D18556" s="8">
        <v>96</v>
      </c>
      <c r="E18556" s="8">
        <v>0</v>
      </c>
      <c r="F18556" s="8">
        <v>1324</v>
      </c>
    </row>
    <row r="18557" spans="1:6" ht="12.75">
      <c r="A18557" s="8">
        <v>43895.948136574079</v>
      </c>
      <c r="B18557" s="8" t="str">
        <f>HYPERLINK("https://twitter.com/KBRI_Pretoria","@KBRI_Pretoria")</f>
        <v>@KBRI_Pretoria</v>
      </c>
      <c r="C18557" s="8" t="s">
        <v>3132</v>
      </c>
      <c r="D18557" s="8">
        <v>96</v>
      </c>
      <c r="E18557" s="8">
        <v>0</v>
      </c>
      <c r="F18557" s="8">
        <v>842</v>
      </c>
    </row>
    <row r="18558" spans="1:6" ht="12.75">
      <c r="A18558" s="8">
        <v>43895.947881944448</v>
      </c>
      <c r="B18558" s="8" t="str">
        <f>HYPERLINK("https://twitter.com/hadifianwidjaja","@hadifianwidjaja")</f>
        <v>@hadifianwidjaja</v>
      </c>
      <c r="C18558" s="8" t="s">
        <v>7623</v>
      </c>
      <c r="D18558" s="8">
        <v>0</v>
      </c>
      <c r="E18558" s="8">
        <v>0</v>
      </c>
      <c r="F18558" s="8">
        <v>516</v>
      </c>
    </row>
    <row r="18559" spans="1:6" ht="12.75">
      <c r="A18559" s="8">
        <v>43895.946863425925</v>
      </c>
      <c r="B18559" s="8" t="str">
        <f>HYPERLINK("https://twitter.com/ManumpakM","@ManumpakM")</f>
        <v>@ManumpakM</v>
      </c>
      <c r="C18559" s="8" t="s">
        <v>685</v>
      </c>
      <c r="D18559" s="8">
        <v>193</v>
      </c>
      <c r="E18559" s="8">
        <v>0</v>
      </c>
      <c r="F18559" s="8">
        <v>11959</v>
      </c>
    </row>
    <row r="18560" spans="1:6" ht="12.75">
      <c r="A18560" s="8">
        <v>43895.945983796293</v>
      </c>
      <c r="B18560" s="8" t="str">
        <f>HYPERLINK("https://twitter.com/AbolicHD","@AbolicHD")</f>
        <v>@AbolicHD</v>
      </c>
      <c r="C18560" s="8" t="s">
        <v>7624</v>
      </c>
      <c r="D18560" s="8">
        <v>0</v>
      </c>
      <c r="E18560" s="8">
        <v>0</v>
      </c>
      <c r="F18560" s="8">
        <v>381</v>
      </c>
    </row>
    <row r="18561" spans="1:6" ht="12.75">
      <c r="A18561" s="8">
        <v>43895.945162037038</v>
      </c>
      <c r="B18561" s="8" t="str">
        <f>HYPERLINK("https://twitter.com/beuhqchod","@beuhqchod")</f>
        <v>@beuhqchod</v>
      </c>
      <c r="C18561" s="8" t="s">
        <v>1078</v>
      </c>
      <c r="D18561" s="8">
        <v>627</v>
      </c>
      <c r="E18561" s="8">
        <v>0</v>
      </c>
      <c r="F18561" s="8">
        <v>327</v>
      </c>
    </row>
    <row r="18562" spans="1:6" ht="12.75">
      <c r="A18562" s="8">
        <v>43895.945162037038</v>
      </c>
      <c r="B18562" s="8" t="str">
        <f>HYPERLINK("https://twitter.com/prahar_77","@prahar_77")</f>
        <v>@prahar_77</v>
      </c>
      <c r="C18562" s="8" t="s">
        <v>6710</v>
      </c>
      <c r="D18562" s="8">
        <v>467</v>
      </c>
      <c r="E18562" s="8">
        <v>0</v>
      </c>
      <c r="F18562" s="8">
        <v>1618</v>
      </c>
    </row>
    <row r="18563" spans="1:6" ht="12.75">
      <c r="A18563" s="8">
        <v>43895.944340277776</v>
      </c>
      <c r="B18563" s="8" t="str">
        <f>HYPERLINK("https://twitter.com/Leoherlambang12","@Leoherlambang12")</f>
        <v>@Leoherlambang12</v>
      </c>
      <c r="C18563" s="8" t="s">
        <v>6710</v>
      </c>
      <c r="D18563" s="8">
        <v>467</v>
      </c>
      <c r="E18563" s="8">
        <v>0</v>
      </c>
      <c r="F18563" s="8">
        <v>81</v>
      </c>
    </row>
    <row r="18564" spans="1:6" ht="12.75">
      <c r="A18564" s="8">
        <v>43895.944189814814</v>
      </c>
      <c r="B18564" s="8" t="str">
        <f>HYPERLINK("https://twitter.com/rinaayupanca","@rinaayupanca")</f>
        <v>@rinaayupanca</v>
      </c>
      <c r="C18564" s="8" t="s">
        <v>7281</v>
      </c>
      <c r="D18564" s="8">
        <v>2</v>
      </c>
      <c r="E18564" s="8">
        <v>0</v>
      </c>
      <c r="F18564" s="8">
        <v>596</v>
      </c>
    </row>
    <row r="18565" spans="1:6" ht="12.75">
      <c r="A18565" s="8">
        <v>43895.944178240738</v>
      </c>
      <c r="B18565" s="8" t="str">
        <f>HYPERLINK("https://twitter.com/SlametR72312235","@SlametR72312235")</f>
        <v>@SlametR72312235</v>
      </c>
      <c r="C18565" s="8" t="s">
        <v>1078</v>
      </c>
      <c r="D18565" s="8">
        <v>627</v>
      </c>
      <c r="E18565" s="8">
        <v>0</v>
      </c>
      <c r="F18565" s="8">
        <v>107</v>
      </c>
    </row>
    <row r="18566" spans="1:6" ht="12.75">
      <c r="A18566" s="8">
        <v>43895.944062499999</v>
      </c>
      <c r="B18566" s="8" t="str">
        <f>HYPERLINK("https://twitter.com/hadifianwidjaja","@hadifianwidjaja")</f>
        <v>@hadifianwidjaja</v>
      </c>
      <c r="C18566" s="8" t="s">
        <v>7625</v>
      </c>
      <c r="D18566" s="8">
        <v>0</v>
      </c>
      <c r="E18566" s="8">
        <v>0</v>
      </c>
      <c r="F18566" s="8">
        <v>516</v>
      </c>
    </row>
    <row r="18567" spans="1:6" ht="12.75">
      <c r="A18567" s="8">
        <v>43895.943842592591</v>
      </c>
      <c r="B18567" s="8" t="str">
        <f>HYPERLINK("https://twitter.com/f_purba","@f_purba")</f>
        <v>@f_purba</v>
      </c>
      <c r="C18567" s="8" t="s">
        <v>7058</v>
      </c>
      <c r="D18567" s="8">
        <v>9</v>
      </c>
      <c r="E18567" s="8">
        <v>0</v>
      </c>
      <c r="F18567" s="8">
        <v>1441</v>
      </c>
    </row>
    <row r="18568" spans="1:6" ht="12.75">
      <c r="A18568" s="8">
        <v>43895.943530092598</v>
      </c>
      <c r="B18568" s="8" t="str">
        <f>HYPERLINK("https://twitter.com/singgihk8","@singgihk8")</f>
        <v>@singgihk8</v>
      </c>
      <c r="C18568" s="8" t="s">
        <v>7189</v>
      </c>
      <c r="D18568" s="8">
        <v>46</v>
      </c>
      <c r="E18568" s="8">
        <v>0</v>
      </c>
      <c r="F18568" s="8">
        <v>1572</v>
      </c>
    </row>
    <row r="18569" spans="1:6" ht="12.75">
      <c r="A18569" s="8">
        <v>43895.943495370375</v>
      </c>
      <c r="B18569" s="8" t="str">
        <f>HYPERLINK("https://twitter.com/sauban_mirza","@sauban_mirza")</f>
        <v>@sauban_mirza</v>
      </c>
      <c r="C18569" s="8" t="s">
        <v>7626</v>
      </c>
      <c r="D18569" s="8">
        <v>0</v>
      </c>
      <c r="E18569" s="8">
        <v>0</v>
      </c>
      <c r="F18569" s="8">
        <v>33</v>
      </c>
    </row>
    <row r="18570" spans="1:6" ht="12.75">
      <c r="A18570" s="8">
        <v>43895.942361111112</v>
      </c>
      <c r="B18570" s="8" t="str">
        <f>HYPERLINK("https://twitter.com/DiwandaD","@DiwandaD")</f>
        <v>@DiwandaD</v>
      </c>
      <c r="C18570" s="8" t="s">
        <v>7627</v>
      </c>
      <c r="D18570" s="8">
        <v>0</v>
      </c>
      <c r="E18570" s="8">
        <v>0</v>
      </c>
      <c r="F18570" s="8">
        <v>39</v>
      </c>
    </row>
    <row r="18571" spans="1:6" ht="12.75">
      <c r="A18571" s="8">
        <v>43895.941550925927</v>
      </c>
      <c r="B18571" s="8" t="str">
        <f>HYPERLINK("https://twitter.com/AHKurnia","@AHKurnia")</f>
        <v>@AHKurnia</v>
      </c>
      <c r="C18571" s="8" t="s">
        <v>6710</v>
      </c>
      <c r="D18571" s="8">
        <v>467</v>
      </c>
      <c r="E18571" s="8">
        <v>0</v>
      </c>
      <c r="F18571" s="8">
        <v>605</v>
      </c>
    </row>
    <row r="18572" spans="1:6" ht="12.75">
      <c r="A18572" s="8">
        <v>43895.940578703703</v>
      </c>
      <c r="B18572" s="8" t="str">
        <f>HYPERLINK("https://twitter.com/AriefAnarya","@AriefAnarya")</f>
        <v>@AriefAnarya</v>
      </c>
      <c r="C18572" s="8" t="s">
        <v>6710</v>
      </c>
      <c r="D18572" s="8">
        <v>467</v>
      </c>
      <c r="E18572" s="8">
        <v>0</v>
      </c>
      <c r="F18572" s="8">
        <v>2920</v>
      </c>
    </row>
    <row r="18573" spans="1:6" ht="12.75">
      <c r="A18573" s="8">
        <v>43895.940567129626</v>
      </c>
      <c r="B18573" s="8" t="str">
        <f>HYPERLINK("https://twitter.com/Dindoo","@Dindoo")</f>
        <v>@Dindoo</v>
      </c>
      <c r="C18573" s="8" t="s">
        <v>1078</v>
      </c>
      <c r="D18573" s="8">
        <v>627</v>
      </c>
      <c r="E18573" s="8">
        <v>0</v>
      </c>
      <c r="F18573" s="8">
        <v>335</v>
      </c>
    </row>
    <row r="18574" spans="1:6" ht="12.75">
      <c r="A18574" s="8">
        <v>43895.940046296295</v>
      </c>
      <c r="B18574" s="8" t="str">
        <f>HYPERLINK("https://twitter.com/wni_jmsri","@wni_jmsri")</f>
        <v>@wni_jmsri</v>
      </c>
      <c r="C18574" s="8" t="s">
        <v>7628</v>
      </c>
      <c r="D18574" s="8">
        <v>11309</v>
      </c>
      <c r="E18574" s="8">
        <v>0</v>
      </c>
      <c r="F18574" s="8">
        <v>201</v>
      </c>
    </row>
    <row r="18575" spans="1:6" ht="12.75">
      <c r="A18575" s="8">
        <v>43895.93950231481</v>
      </c>
      <c r="B18575" s="8" t="str">
        <f>HYPERLINK("https://twitter.com/dickysubhan22","@dickysubhan22")</f>
        <v>@dickysubhan22</v>
      </c>
      <c r="C18575" s="8" t="s">
        <v>7629</v>
      </c>
      <c r="D18575" s="8">
        <v>0</v>
      </c>
      <c r="E18575" s="8">
        <v>0</v>
      </c>
      <c r="F18575" s="8">
        <v>101</v>
      </c>
    </row>
    <row r="18576" spans="1:6" ht="12.75">
      <c r="A18576" s="8">
        <v>43895.939432870371</v>
      </c>
      <c r="B18576" s="8" t="str">
        <f>HYPERLINK("https://twitter.com/wni_ori","@wni_ori")</f>
        <v>@wni_ori</v>
      </c>
      <c r="C18576" s="8" t="s">
        <v>7630</v>
      </c>
      <c r="D18576" s="8">
        <v>0</v>
      </c>
      <c r="E18576" s="8">
        <v>0</v>
      </c>
      <c r="F18576" s="8">
        <v>103</v>
      </c>
    </row>
    <row r="18577" spans="1:6" ht="12.75">
      <c r="A18577" s="8">
        <v>43895.939201388886</v>
      </c>
      <c r="B18577" s="8" t="str">
        <f>HYPERLINK("https://twitter.com/rizkaanurula","@rizkaanurula")</f>
        <v>@rizkaanurula</v>
      </c>
      <c r="C18577" s="8" t="s">
        <v>7631</v>
      </c>
      <c r="D18577" s="8">
        <v>2</v>
      </c>
      <c r="E18577" s="8">
        <v>0</v>
      </c>
      <c r="F18577" s="8">
        <v>915</v>
      </c>
    </row>
    <row r="18578" spans="1:6" ht="12.75">
      <c r="A18578" s="8">
        <v>43895.939143518517</v>
      </c>
      <c r="B18578" s="8" t="str">
        <f>HYPERLINK("https://twitter.com/hendrihasibua10","@hendrihasibua10")</f>
        <v>@hendrihasibua10</v>
      </c>
      <c r="C18578" s="8" t="s">
        <v>7573</v>
      </c>
      <c r="D18578" s="8">
        <v>36</v>
      </c>
      <c r="E18578" s="8">
        <v>0</v>
      </c>
      <c r="F18578" s="8">
        <v>774</v>
      </c>
    </row>
    <row r="18579" spans="1:6" ht="12.75">
      <c r="A18579" s="8">
        <v>43895.939097222217</v>
      </c>
      <c r="B18579" s="8" t="str">
        <f>HYPERLINK("https://twitter.com/nisadinan","@nisadinan")</f>
        <v>@nisadinan</v>
      </c>
      <c r="C18579" s="8" t="s">
        <v>7632</v>
      </c>
      <c r="D18579" s="8">
        <v>0</v>
      </c>
      <c r="E18579" s="8">
        <v>0</v>
      </c>
      <c r="F18579" s="8">
        <v>57</v>
      </c>
    </row>
    <row r="18580" spans="1:6" ht="12.75">
      <c r="A18580" s="8">
        <v>43895.939085648148</v>
      </c>
      <c r="B18580" s="8" t="str">
        <f>HYPERLINK("https://twitter.com/kang_kayu","@kang_kayu")</f>
        <v>@kang_kayu</v>
      </c>
      <c r="C18580" s="8" t="s">
        <v>6710</v>
      </c>
      <c r="D18580" s="8">
        <v>467</v>
      </c>
      <c r="E18580" s="8">
        <v>0</v>
      </c>
      <c r="F18580" s="8">
        <v>5562</v>
      </c>
    </row>
    <row r="18581" spans="1:6" ht="12.75">
      <c r="A18581" s="8">
        <v>43895.938599537039</v>
      </c>
      <c r="B18581" s="8" t="str">
        <f>HYPERLINK("https://twitter.com/aryacokronegoro","@aryacokronegoro")</f>
        <v>@aryacokronegoro</v>
      </c>
      <c r="C18581" s="8" t="s">
        <v>7633</v>
      </c>
      <c r="D18581" s="8">
        <v>0</v>
      </c>
      <c r="E18581" s="8">
        <v>0</v>
      </c>
      <c r="F18581" s="8">
        <v>437</v>
      </c>
    </row>
    <row r="18582" spans="1:6" ht="12.75">
      <c r="A18582" s="8">
        <v>43895.938460648147</v>
      </c>
      <c r="B18582" s="8" t="str">
        <f>HYPERLINK("https://twitter.com/Kabarsukadotcom","@Kabarsukadotcom")</f>
        <v>@Kabarsukadotcom</v>
      </c>
      <c r="C18582" s="8" t="s">
        <v>12</v>
      </c>
      <c r="D18582" s="8">
        <v>0</v>
      </c>
      <c r="E18582" s="8">
        <v>0</v>
      </c>
      <c r="F18582" s="8">
        <v>17</v>
      </c>
    </row>
    <row r="18583" spans="1:6" ht="12.75">
      <c r="A18583" s="8">
        <v>43895.938344907408</v>
      </c>
      <c r="B18583" s="8" t="str">
        <f>HYPERLINK("https://twitter.com/numb_ninetysix","@numb_ninetysix")</f>
        <v>@numb_ninetysix</v>
      </c>
      <c r="C18583" s="8" t="s">
        <v>1078</v>
      </c>
      <c r="D18583" s="8">
        <v>627</v>
      </c>
      <c r="E18583" s="8">
        <v>0</v>
      </c>
      <c r="F18583" s="8">
        <v>163</v>
      </c>
    </row>
    <row r="18584" spans="1:6" ht="12.75">
      <c r="A18584" s="8">
        <v>43895.938159722224</v>
      </c>
      <c r="B18584" s="8" t="str">
        <f>HYPERLINK("https://twitter.com/RadioElshinta","@RadioElshinta")</f>
        <v>@RadioElshinta</v>
      </c>
      <c r="C18584" s="8" t="s">
        <v>7634</v>
      </c>
      <c r="D18584" s="8">
        <v>0</v>
      </c>
      <c r="E18584" s="8">
        <v>0</v>
      </c>
      <c r="F18584" s="8">
        <v>3636873</v>
      </c>
    </row>
    <row r="18585" spans="1:6" ht="12.75">
      <c r="A18585" s="8">
        <v>43895.936747685184</v>
      </c>
      <c r="B18585" s="8" t="str">
        <f>HYPERLINK("https://twitter.com/yudi682","@yudi682")</f>
        <v>@yudi682</v>
      </c>
      <c r="C18585" s="8" t="s">
        <v>7635</v>
      </c>
      <c r="D18585" s="8">
        <v>0</v>
      </c>
      <c r="E18585" s="8">
        <v>0</v>
      </c>
      <c r="F18585" s="8">
        <v>253</v>
      </c>
    </row>
    <row r="18586" spans="1:6" ht="12.75">
      <c r="A18586" s="8">
        <v>43895.93650462963</v>
      </c>
      <c r="B18586" s="8" t="str">
        <f>HYPERLINK("https://twitter.com/AndinApriliyani","@AndinApriliyani")</f>
        <v>@AndinApriliyani</v>
      </c>
      <c r="C18586" s="8" t="s">
        <v>1427</v>
      </c>
      <c r="D18586" s="8">
        <v>1042</v>
      </c>
      <c r="E18586" s="8">
        <v>0</v>
      </c>
      <c r="F18586" s="8">
        <v>233</v>
      </c>
    </row>
    <row r="18587" spans="1:6" ht="12.75">
      <c r="A18587" s="8">
        <v>43895.936400462961</v>
      </c>
      <c r="B18587" s="8" t="str">
        <f>HYPERLINK("https://twitter.com/_raja_nath_","@_raja_nath_")</f>
        <v>@_raja_nath_</v>
      </c>
      <c r="C18587" s="8" t="s">
        <v>7636</v>
      </c>
      <c r="D18587" s="8">
        <v>0</v>
      </c>
      <c r="E18587" s="8">
        <v>0</v>
      </c>
      <c r="F18587" s="8">
        <v>105</v>
      </c>
    </row>
    <row r="18588" spans="1:6" ht="12.75">
      <c r="A18588" s="8">
        <v>43895.936273148152</v>
      </c>
      <c r="B18588" s="8" t="str">
        <f>HYPERLINK("https://twitter.com/Nichi_Vaganza","@Nichi_Vaganza")</f>
        <v>@Nichi_Vaganza</v>
      </c>
      <c r="C18588" s="8" t="s">
        <v>7573</v>
      </c>
      <c r="D18588" s="8">
        <v>36</v>
      </c>
      <c r="E18588" s="8">
        <v>0</v>
      </c>
      <c r="F18588" s="8">
        <v>2238</v>
      </c>
    </row>
    <row r="18589" spans="1:6" ht="12.75">
      <c r="A18589" s="8">
        <v>43895.935474537036</v>
      </c>
      <c r="B18589" s="8" t="str">
        <f>HYPERLINK("https://twitter.com/antar_kabar","@antar_kabar")</f>
        <v>@antar_kabar</v>
      </c>
      <c r="C18589" s="8" t="s">
        <v>7637</v>
      </c>
      <c r="D18589" s="8">
        <v>0</v>
      </c>
      <c r="E18589" s="8">
        <v>0</v>
      </c>
      <c r="F18589" s="8">
        <v>1129</v>
      </c>
    </row>
    <row r="18590" spans="1:6" ht="12.75">
      <c r="A18590" s="8">
        <v>43895.935219907406</v>
      </c>
      <c r="B18590" s="8" t="str">
        <f>HYPERLINK("https://twitter.com/RahmatAlfian09","@RahmatAlfian09")</f>
        <v>@RahmatAlfian09</v>
      </c>
      <c r="C18590" s="8" t="s">
        <v>7638</v>
      </c>
      <c r="D18590" s="8">
        <v>0</v>
      </c>
      <c r="E18590" s="8">
        <v>0</v>
      </c>
      <c r="F18590" s="8">
        <v>488</v>
      </c>
    </row>
    <row r="18591" spans="1:6" ht="12.75">
      <c r="A18591" s="8">
        <v>43895.934999999998</v>
      </c>
      <c r="B18591" s="8" t="str">
        <f>HYPERLINK("https://twitter.com/wanandyoso","@wanandyoso")</f>
        <v>@wanandyoso</v>
      </c>
      <c r="C18591" s="8" t="s">
        <v>7639</v>
      </c>
      <c r="D18591" s="8">
        <v>7</v>
      </c>
      <c r="E18591" s="8">
        <v>0</v>
      </c>
      <c r="F18591" s="8">
        <v>257</v>
      </c>
    </row>
    <row r="18592" spans="1:6" ht="12.75">
      <c r="A18592" s="8">
        <v>43895.934814814813</v>
      </c>
      <c r="B18592" s="8" t="str">
        <f>HYPERLINK("https://twitter.com/tioharimurtie","@tioharimurtie")</f>
        <v>@tioharimurtie</v>
      </c>
      <c r="C18592" s="8" t="s">
        <v>7189</v>
      </c>
      <c r="D18592" s="8">
        <v>46</v>
      </c>
      <c r="E18592" s="8">
        <v>0</v>
      </c>
      <c r="F18592" s="8">
        <v>3622</v>
      </c>
    </row>
    <row r="18593" spans="1:6" ht="12.75">
      <c r="A18593" s="8">
        <v>43895.934398148151</v>
      </c>
      <c r="B18593" s="8" t="str">
        <f>HYPERLINK("https://twitter.com/erikamelfa","@erikamelfa")</f>
        <v>@erikamelfa</v>
      </c>
      <c r="C18593" s="8" t="s">
        <v>6710</v>
      </c>
      <c r="D18593" s="8">
        <v>467</v>
      </c>
      <c r="E18593" s="8">
        <v>0</v>
      </c>
      <c r="F18593" s="8">
        <v>595</v>
      </c>
    </row>
    <row r="18594" spans="1:6" ht="12.75">
      <c r="A18594" s="8">
        <v>43895.934085648143</v>
      </c>
      <c r="B18594" s="8" t="str">
        <f>HYPERLINK("https://twitter.com/abdulloh2015","@abdulloh2015")</f>
        <v>@abdulloh2015</v>
      </c>
      <c r="C18594" s="8" t="s">
        <v>859</v>
      </c>
      <c r="D18594" s="8">
        <v>0</v>
      </c>
      <c r="E18594" s="8">
        <v>0</v>
      </c>
      <c r="F18594" s="8">
        <v>61</v>
      </c>
    </row>
    <row r="18595" spans="1:6" ht="12.75">
      <c r="A18595" s="8">
        <v>43895.933935185181</v>
      </c>
      <c r="B18595" s="8" t="str">
        <f>HYPERLINK("https://twitter.com/f24nk1","@f24nk1")</f>
        <v>@f24nk1</v>
      </c>
      <c r="C18595" s="8" t="s">
        <v>7058</v>
      </c>
      <c r="D18595" s="8">
        <v>9</v>
      </c>
      <c r="E18595" s="8">
        <v>0</v>
      </c>
      <c r="F18595" s="8">
        <v>1180</v>
      </c>
    </row>
    <row r="18596" spans="1:6" ht="12.75">
      <c r="A18596" s="8">
        <v>43895.93350694445</v>
      </c>
      <c r="B18596" s="8" t="str">
        <f>HYPERLINK("https://twitter.com/mx_rudy","@mx_rudy")</f>
        <v>@mx_rudy</v>
      </c>
      <c r="C18596" s="8" t="s">
        <v>7640</v>
      </c>
      <c r="D18596" s="8">
        <v>0</v>
      </c>
      <c r="E18596" s="8">
        <v>0</v>
      </c>
      <c r="F18596" s="8">
        <v>1219</v>
      </c>
    </row>
    <row r="18597" spans="1:6" ht="12.75">
      <c r="A18597" s="8">
        <v>43895.933298611111</v>
      </c>
      <c r="B18597" s="8" t="str">
        <f>HYPERLINK("https://twitter.com/superradioid","@superradioid")</f>
        <v>@superradioid</v>
      </c>
      <c r="C18597" s="8" t="s">
        <v>7641</v>
      </c>
      <c r="D18597" s="8">
        <v>0</v>
      </c>
      <c r="E18597" s="8">
        <v>0</v>
      </c>
      <c r="F18597" s="8">
        <v>63</v>
      </c>
    </row>
    <row r="18598" spans="1:6" ht="12.75">
      <c r="A18598" s="8">
        <v>43895.932986111111</v>
      </c>
      <c r="B18598" s="8" t="str">
        <f>HYPERLINK("https://twitter.com/Lord_Sakto","@Lord_Sakto")</f>
        <v>@Lord_Sakto</v>
      </c>
      <c r="C18598" s="8" t="s">
        <v>7642</v>
      </c>
      <c r="D18598" s="8">
        <v>2</v>
      </c>
      <c r="E18598" s="8">
        <v>0</v>
      </c>
      <c r="F18598" s="8">
        <v>2842</v>
      </c>
    </row>
    <row r="18599" spans="1:6" ht="12.75">
      <c r="A18599" s="8">
        <v>43895.932499999995</v>
      </c>
      <c r="B18599" s="8" t="str">
        <f>HYPERLINK("https://twitter.com/mijn_fiets","@mijn_fiets")</f>
        <v>@mijn_fiets</v>
      </c>
      <c r="C18599" s="8" t="s">
        <v>7643</v>
      </c>
      <c r="D18599" s="8">
        <v>20</v>
      </c>
      <c r="E18599" s="8">
        <v>0</v>
      </c>
      <c r="F18599" s="8">
        <v>462</v>
      </c>
    </row>
    <row r="18600" spans="1:6" ht="12.75">
      <c r="A18600" s="8">
        <v>43895.932199074072</v>
      </c>
      <c r="B18600" s="8" t="str">
        <f>HYPERLINK("https://twitter.com/Yfais","@Yfais")</f>
        <v>@Yfais</v>
      </c>
      <c r="C18600" s="8" t="s">
        <v>1078</v>
      </c>
      <c r="D18600" s="8">
        <v>627</v>
      </c>
      <c r="E18600" s="8">
        <v>0</v>
      </c>
      <c r="F18600" s="8">
        <v>620</v>
      </c>
    </row>
    <row r="18601" spans="1:6" ht="12.75">
      <c r="A18601" s="8">
        <v>43895.932118055556</v>
      </c>
      <c r="B18601" s="8" t="str">
        <f>HYPERLINK("https://twitter.com/GhazalaQureshi5","@GhazalaQureshi5")</f>
        <v>@GhazalaQureshi5</v>
      </c>
      <c r="C18601" s="8" t="s">
        <v>7423</v>
      </c>
      <c r="D18601" s="8">
        <v>4</v>
      </c>
      <c r="E18601" s="8">
        <v>0</v>
      </c>
      <c r="F18601" s="8">
        <v>6548</v>
      </c>
    </row>
    <row r="18602" spans="1:6" ht="12.75">
      <c r="A18602" s="8">
        <v>43895.932106481487</v>
      </c>
      <c r="B18602" s="8" t="str">
        <f>HYPERLINK("https://twitter.com/IndonesiaPion","@IndonesiaPion")</f>
        <v>@IndonesiaPion</v>
      </c>
      <c r="C18602" s="8" t="s">
        <v>1078</v>
      </c>
      <c r="D18602" s="8">
        <v>627</v>
      </c>
      <c r="E18602" s="8">
        <v>0</v>
      </c>
      <c r="F18602" s="8">
        <v>1522</v>
      </c>
    </row>
    <row r="18603" spans="1:6" ht="12.75">
      <c r="A18603" s="8">
        <v>43895.931805555556</v>
      </c>
      <c r="B18603" s="8" t="str">
        <f>HYPERLINK("https://twitter.com/kitsiangfreddy","@kitsiangfreddy")</f>
        <v>@kitsiangfreddy</v>
      </c>
      <c r="C18603" s="8" t="s">
        <v>7245</v>
      </c>
      <c r="D18603" s="8">
        <v>75</v>
      </c>
      <c r="E18603" s="8">
        <v>0</v>
      </c>
      <c r="F18603" s="8">
        <v>2075</v>
      </c>
    </row>
    <row r="18604" spans="1:6" ht="12.75">
      <c r="A18604" s="8">
        <v>43895.931643518517</v>
      </c>
      <c r="B18604" s="8" t="str">
        <f>HYPERLINK("https://twitter.com/ImNotAnxiety","@ImNotAnxiety")</f>
        <v>@ImNotAnxiety</v>
      </c>
      <c r="C18604" s="8" t="s">
        <v>1343</v>
      </c>
      <c r="D18604" s="8">
        <v>9</v>
      </c>
      <c r="E18604" s="8">
        <v>0</v>
      </c>
      <c r="F18604" s="8">
        <v>11</v>
      </c>
    </row>
    <row r="18605" spans="1:6" ht="12.75">
      <c r="A18605" s="8">
        <v>43895.931273148148</v>
      </c>
      <c r="B18605" s="8" t="str">
        <f>HYPERLINK("https://twitter.com/mury_eko","@mury_eko")</f>
        <v>@mury_eko</v>
      </c>
      <c r="C18605" s="8" t="s">
        <v>1078</v>
      </c>
      <c r="D18605" s="8">
        <v>627</v>
      </c>
      <c r="E18605" s="8">
        <v>0</v>
      </c>
      <c r="F18605" s="8">
        <v>1576</v>
      </c>
    </row>
    <row r="18606" spans="1:6" ht="12.75">
      <c r="A18606" s="8">
        <v>43895.931250000001</v>
      </c>
      <c r="B18606" s="8" t="str">
        <f>HYPERLINK("https://twitter.com/mohekoo21","@mohekoo21")</f>
        <v>@mohekoo21</v>
      </c>
      <c r="C18606" s="8" t="s">
        <v>7639</v>
      </c>
      <c r="D18606" s="8">
        <v>7</v>
      </c>
      <c r="E18606" s="8">
        <v>0</v>
      </c>
      <c r="F18606" s="8">
        <v>6471</v>
      </c>
    </row>
    <row r="18607" spans="1:6" ht="12.75">
      <c r="A18607" s="8">
        <v>43895.930636574078</v>
      </c>
      <c r="B18607" s="8" t="str">
        <f>HYPERLINK("https://twitter.com/liputan6dotcom","@liputan6dotcom")</f>
        <v>@liputan6dotcom</v>
      </c>
      <c r="C18607" s="8" t="s">
        <v>7644</v>
      </c>
      <c r="D18607" s="8">
        <v>0</v>
      </c>
      <c r="E18607" s="8">
        <v>2</v>
      </c>
      <c r="F18607" s="8">
        <v>3635530</v>
      </c>
    </row>
    <row r="18608" spans="1:6" ht="12.75">
      <c r="A18608" s="8">
        <v>43895.930347222224</v>
      </c>
      <c r="B18608" s="8" t="str">
        <f>HYPERLINK("https://twitter.com/wongFFwong","@wongFFwong")</f>
        <v>@wongFFwong</v>
      </c>
      <c r="C18608" s="8" t="s">
        <v>7452</v>
      </c>
      <c r="D18608" s="8">
        <v>1</v>
      </c>
      <c r="E18608" s="8">
        <v>0</v>
      </c>
      <c r="F18608" s="8">
        <v>167</v>
      </c>
    </row>
    <row r="18609" spans="1:6" ht="12.75">
      <c r="A18609" s="8">
        <v>43895.928819444445</v>
      </c>
      <c r="B18609" s="8" t="str">
        <f>HYPERLINK("https://twitter.com/PeciPecinta","@PeciPecinta")</f>
        <v>@PeciPecinta</v>
      </c>
      <c r="C18609" s="8" t="s">
        <v>3049</v>
      </c>
      <c r="D18609" s="8">
        <v>0</v>
      </c>
      <c r="E18609" s="8">
        <v>0</v>
      </c>
      <c r="F18609" s="8">
        <v>18</v>
      </c>
    </row>
    <row r="18610" spans="1:6" ht="12.75">
      <c r="A18610" s="8">
        <v>43895.928715277776</v>
      </c>
      <c r="B18610" s="8" t="str">
        <f>HYPERLINK("https://twitter.com/vinkachuu","@vinkachuu")</f>
        <v>@vinkachuu</v>
      </c>
      <c r="C18610" s="8" t="s">
        <v>3132</v>
      </c>
      <c r="D18610" s="8">
        <v>96</v>
      </c>
      <c r="E18610" s="8">
        <v>0</v>
      </c>
      <c r="F18610" s="8">
        <v>1464</v>
      </c>
    </row>
    <row r="18611" spans="1:6" ht="12.75">
      <c r="A18611" s="8">
        <v>43895.928506944445</v>
      </c>
      <c r="B18611" s="8" t="str">
        <f>HYPERLINK("https://twitter.com/davidherdianto_","@davidherdianto_")</f>
        <v>@davidherdianto_</v>
      </c>
      <c r="C18611" s="8" t="s">
        <v>7473</v>
      </c>
      <c r="D18611" s="8">
        <v>378</v>
      </c>
      <c r="E18611" s="8">
        <v>0</v>
      </c>
      <c r="F18611" s="8">
        <v>92</v>
      </c>
    </row>
    <row r="18612" spans="1:6" ht="12.75">
      <c r="A18612" s="8">
        <v>43895.928402777776</v>
      </c>
      <c r="B18612" s="8" t="str">
        <f>HYPERLINK("https://twitter.com/TheNextIronMan","@TheNextIronMan")</f>
        <v>@TheNextIronMan</v>
      </c>
      <c r="C18612" s="8" t="s">
        <v>1078</v>
      </c>
      <c r="D18612" s="8">
        <v>627</v>
      </c>
      <c r="E18612" s="8">
        <v>0</v>
      </c>
      <c r="F18612" s="8">
        <v>161</v>
      </c>
    </row>
    <row r="18613" spans="1:6" ht="12.75">
      <c r="A18613" s="8">
        <v>43895.927766203706</v>
      </c>
      <c r="B18613" s="8" t="str">
        <f>HYPERLINK("https://twitter.com/mauliniscence","@mauliniscence")</f>
        <v>@mauliniscence</v>
      </c>
      <c r="C18613" s="8" t="s">
        <v>7645</v>
      </c>
      <c r="D18613" s="8">
        <v>0</v>
      </c>
      <c r="E18613" s="8">
        <v>0</v>
      </c>
      <c r="F18613" s="8">
        <v>21</v>
      </c>
    </row>
    <row r="18614" spans="1:6" ht="12.75">
      <c r="A18614" s="8">
        <v>43895.927199074074</v>
      </c>
      <c r="B18614" s="8" t="str">
        <f>HYPERLINK("https://twitter.com/ryoheijota","@ryoheijota")</f>
        <v>@ryoheijota</v>
      </c>
      <c r="C18614" s="8" t="s">
        <v>7189</v>
      </c>
      <c r="D18614" s="8">
        <v>46</v>
      </c>
      <c r="E18614" s="8">
        <v>0</v>
      </c>
      <c r="F18614" s="8">
        <v>213</v>
      </c>
    </row>
    <row r="18615" spans="1:6" ht="12.75">
      <c r="A18615" s="8">
        <v>43895.927187499998</v>
      </c>
      <c r="B18615" s="8" t="str">
        <f>HYPERLINK("https://twitter.com/cannucanan","@cannucanan")</f>
        <v>@cannucanan</v>
      </c>
      <c r="C18615" s="8" t="s">
        <v>7646</v>
      </c>
      <c r="D18615" s="8">
        <v>17</v>
      </c>
      <c r="E18615" s="8">
        <v>0</v>
      </c>
      <c r="F18615" s="8">
        <v>1327</v>
      </c>
    </row>
    <row r="18616" spans="1:6" ht="12.75">
      <c r="A18616" s="8">
        <v>43895.92690972222</v>
      </c>
      <c r="B18616" s="8" t="str">
        <f>HYPERLINK("https://twitter.com/nemosyus","@nemosyus")</f>
        <v>@nemosyus</v>
      </c>
      <c r="C18616" s="8" t="s">
        <v>6710</v>
      </c>
      <c r="D18616" s="8">
        <v>467</v>
      </c>
      <c r="E18616" s="8">
        <v>0</v>
      </c>
      <c r="F18616" s="8">
        <v>537</v>
      </c>
    </row>
    <row r="18617" spans="1:6" ht="12.75">
      <c r="A18617" s="8">
        <v>43895.926261574074</v>
      </c>
      <c r="B18617" s="8" t="str">
        <f>HYPERLINK("https://twitter.com/euintseo","@euintseo")</f>
        <v>@euintseo</v>
      </c>
      <c r="C18617" s="8" t="s">
        <v>7647</v>
      </c>
      <c r="D18617" s="8">
        <v>0</v>
      </c>
      <c r="E18617" s="8">
        <v>0</v>
      </c>
      <c r="F18617" s="8">
        <v>411</v>
      </c>
    </row>
    <row r="18618" spans="1:6" ht="12.75">
      <c r="A18618" s="8">
        <v>43895.92586805555</v>
      </c>
      <c r="B18618" s="8" t="str">
        <f>HYPERLINK("https://twitter.com/BayuRiantoP","@BayuRiantoP")</f>
        <v>@BayuRiantoP</v>
      </c>
      <c r="C18618" s="8" t="s">
        <v>7639</v>
      </c>
      <c r="D18618" s="8">
        <v>7</v>
      </c>
      <c r="E18618" s="8">
        <v>0</v>
      </c>
      <c r="F18618" s="8">
        <v>182</v>
      </c>
    </row>
    <row r="18619" spans="1:6" ht="12.75">
      <c r="A18619" s="8">
        <v>43895.925520833334</v>
      </c>
      <c r="B18619" s="8" t="str">
        <f>HYPERLINK("https://twitter.com/jaehzuyn","@jaehzuyn")</f>
        <v>@jaehzuyn</v>
      </c>
      <c r="C18619" s="8" t="s">
        <v>7648</v>
      </c>
      <c r="D18619" s="8">
        <v>0</v>
      </c>
      <c r="E18619" s="8">
        <v>0</v>
      </c>
      <c r="F18619" s="8">
        <v>706</v>
      </c>
    </row>
    <row r="18620" spans="1:6" ht="12.75">
      <c r="A18620" s="8">
        <v>43895.92523148148</v>
      </c>
      <c r="B18620" s="8" t="str">
        <f>HYPERLINK("https://twitter.com/PFTee","@PFTee")</f>
        <v>@PFTee</v>
      </c>
      <c r="C18620" s="8" t="s">
        <v>6710</v>
      </c>
      <c r="D18620" s="8">
        <v>467</v>
      </c>
      <c r="E18620" s="8">
        <v>0</v>
      </c>
      <c r="F18620" s="8">
        <v>1552</v>
      </c>
    </row>
    <row r="18621" spans="1:6" ht="12.75">
      <c r="A18621" s="8">
        <v>43895.924942129626</v>
      </c>
      <c r="B18621" s="8" t="str">
        <f>HYPERLINK("https://twitter.com/descocoooo","@descocoooo")</f>
        <v>@descocoooo</v>
      </c>
      <c r="C18621" s="8" t="s">
        <v>7649</v>
      </c>
      <c r="D18621" s="8">
        <v>1</v>
      </c>
      <c r="E18621" s="8">
        <v>0</v>
      </c>
      <c r="F18621" s="8">
        <v>449</v>
      </c>
    </row>
    <row r="18622" spans="1:6" ht="12.75">
      <c r="A18622" s="8">
        <v>43895.924814814818</v>
      </c>
      <c r="B18622" s="8" t="str">
        <f>HYPERLINK("https://twitter.com/irfaUlwan","@irfaUlwan")</f>
        <v>@irfaUlwan</v>
      </c>
      <c r="C18622" s="8" t="s">
        <v>7650</v>
      </c>
      <c r="D18622" s="8">
        <v>0</v>
      </c>
      <c r="E18622" s="8">
        <v>0</v>
      </c>
      <c r="F18622" s="8">
        <v>1074</v>
      </c>
    </row>
    <row r="18623" spans="1:6" ht="12.75">
      <c r="A18623" s="8">
        <v>43895.924398148149</v>
      </c>
      <c r="B18623" s="8" t="str">
        <f>HYPERLINK("https://twitter.com/AzuztaWira","@AzuztaWira")</f>
        <v>@AzuztaWira</v>
      </c>
      <c r="C18623" s="8" t="s">
        <v>7639</v>
      </c>
      <c r="D18623" s="8">
        <v>7</v>
      </c>
      <c r="E18623" s="8">
        <v>0</v>
      </c>
      <c r="F18623" s="8">
        <v>261</v>
      </c>
    </row>
    <row r="18624" spans="1:6" ht="12.75">
      <c r="A18624" s="8">
        <v>43895.922268518523</v>
      </c>
      <c r="B18624" s="8" t="str">
        <f>HYPERLINK("https://twitter.com/rifqitsidqi","@rifqitsidqi")</f>
        <v>@rifqitsidqi</v>
      </c>
      <c r="C18624" s="8" t="s">
        <v>7651</v>
      </c>
      <c r="D18624" s="8">
        <v>23</v>
      </c>
      <c r="E18624" s="8">
        <v>0</v>
      </c>
      <c r="F18624" s="8">
        <v>911</v>
      </c>
    </row>
    <row r="18625" spans="1:6" ht="12.75">
      <c r="A18625" s="8">
        <v>43895.9221875</v>
      </c>
      <c r="B18625" s="8" t="str">
        <f>HYPERLINK("https://twitter.com/trullyme1","@trullyme1")</f>
        <v>@trullyme1</v>
      </c>
      <c r="C18625" s="8" t="s">
        <v>7652</v>
      </c>
      <c r="D18625" s="8">
        <v>0</v>
      </c>
      <c r="E18625" s="8">
        <v>0</v>
      </c>
      <c r="F18625" s="8">
        <v>1746</v>
      </c>
    </row>
    <row r="18626" spans="1:6" ht="12.75">
      <c r="A18626" s="8">
        <v>43895.922083333338</v>
      </c>
      <c r="B18626" s="8" t="str">
        <f>HYPERLINK("https://twitter.com/AmaroSobri","@AmaroSobri")</f>
        <v>@AmaroSobri</v>
      </c>
      <c r="C18626" s="8" t="s">
        <v>7639</v>
      </c>
      <c r="D18626" s="8">
        <v>3</v>
      </c>
      <c r="E18626" s="8">
        <v>0</v>
      </c>
      <c r="F18626" s="8">
        <v>1128</v>
      </c>
    </row>
    <row r="18627" spans="1:6" ht="12.75">
      <c r="A18627" s="8">
        <v>43895.921574074076</v>
      </c>
      <c r="B18627" s="8" t="str">
        <f>HYPERLINK("https://twitter.com/KBRISarajevo","@KBRISarajevo")</f>
        <v>@KBRISarajevo</v>
      </c>
      <c r="C18627" s="8" t="s">
        <v>7653</v>
      </c>
      <c r="D18627" s="8">
        <v>0</v>
      </c>
      <c r="E18627" s="8">
        <v>0</v>
      </c>
      <c r="F18627" s="8">
        <v>704</v>
      </c>
    </row>
    <row r="18628" spans="1:6" ht="12.75">
      <c r="A18628" s="8">
        <v>43895.921458333338</v>
      </c>
      <c r="B18628" s="8" t="str">
        <f>HYPERLINK("https://twitter.com/SamsulA44787617","@SamsulA44787617")</f>
        <v>@SamsulA44787617</v>
      </c>
      <c r="C18628" s="8" t="s">
        <v>2506</v>
      </c>
      <c r="D18628" s="8">
        <v>10</v>
      </c>
      <c r="E18628" s="8">
        <v>0</v>
      </c>
      <c r="F18628" s="8">
        <v>48</v>
      </c>
    </row>
    <row r="18629" spans="1:6" ht="12.75">
      <c r="A18629" s="8">
        <v>43895.921076388884</v>
      </c>
      <c r="B18629" s="8" t="str">
        <f>HYPERLINK("https://twitter.com/evinovin","@evinovin")</f>
        <v>@evinovin</v>
      </c>
      <c r="C18629" s="8" t="s">
        <v>7654</v>
      </c>
      <c r="D18629" s="8">
        <v>2</v>
      </c>
      <c r="E18629" s="8">
        <v>0</v>
      </c>
      <c r="F18629" s="8">
        <v>331</v>
      </c>
    </row>
    <row r="18630" spans="1:6" ht="12.75">
      <c r="A18630" s="8">
        <v>43895.920648148152</v>
      </c>
      <c r="B18630" s="8" t="str">
        <f>HYPERLINK("https://twitter.com/herlambang_tan","@herlambang_tan")</f>
        <v>@herlambang_tan</v>
      </c>
      <c r="C18630" s="8" t="s">
        <v>7269</v>
      </c>
      <c r="D18630" s="8">
        <v>7</v>
      </c>
      <c r="E18630" s="8">
        <v>0</v>
      </c>
      <c r="F18630" s="8">
        <v>2523</v>
      </c>
    </row>
    <row r="18631" spans="1:6" ht="12.75">
      <c r="A18631" s="8">
        <v>43895.920648148152</v>
      </c>
      <c r="B18631" s="8" t="str">
        <f>HYPERLINK("https://twitter.com/klovbalor","@klovbalor")</f>
        <v>@klovbalor</v>
      </c>
      <c r="C18631" s="8" t="s">
        <v>7639</v>
      </c>
      <c r="D18631" s="8">
        <v>3</v>
      </c>
      <c r="E18631" s="8">
        <v>0</v>
      </c>
      <c r="F18631" s="8">
        <v>4142</v>
      </c>
    </row>
    <row r="18632" spans="1:6" ht="12.75">
      <c r="A18632" s="8">
        <v>43895.920474537037</v>
      </c>
      <c r="B18632" s="8" t="str">
        <f>HYPERLINK("https://twitter.com/ariomazda","@ariomazda")</f>
        <v>@ariomazda</v>
      </c>
      <c r="C18632" s="8" t="s">
        <v>7655</v>
      </c>
      <c r="D18632" s="8">
        <v>0</v>
      </c>
      <c r="E18632" s="8">
        <v>1</v>
      </c>
      <c r="F18632" s="8">
        <v>7562</v>
      </c>
    </row>
    <row r="18633" spans="1:6" ht="12.75">
      <c r="A18633" s="8">
        <v>43895.920370370368</v>
      </c>
      <c r="B18633" s="8" t="str">
        <f>HYPERLINK("https://twitter.com/aprilldeka","@aprilldeka")</f>
        <v>@aprilldeka</v>
      </c>
      <c r="C18633" s="8" t="s">
        <v>6456</v>
      </c>
      <c r="D18633" s="8">
        <v>1</v>
      </c>
      <c r="E18633" s="8">
        <v>0</v>
      </c>
      <c r="F18633" s="8">
        <v>248</v>
      </c>
    </row>
    <row r="18634" spans="1:6" ht="12.75">
      <c r="A18634" s="8">
        <v>43895.920300925922</v>
      </c>
      <c r="B18634" s="8" t="str">
        <f>HYPERLINK("https://twitter.com/earlydays_","@earlydays_")</f>
        <v>@earlydays_</v>
      </c>
      <c r="C18634" s="8" t="s">
        <v>7639</v>
      </c>
      <c r="D18634" s="8">
        <v>3</v>
      </c>
      <c r="E18634" s="8">
        <v>0</v>
      </c>
      <c r="F18634" s="8">
        <v>545</v>
      </c>
    </row>
    <row r="18635" spans="1:6" ht="12.75">
      <c r="A18635" s="8">
        <v>43895.920185185183</v>
      </c>
      <c r="B18635" s="8" t="str">
        <f>HYPERLINK("https://twitter.com/KompasTV","@KompasTV")</f>
        <v>@KompasTV</v>
      </c>
      <c r="C18635" s="8" t="s">
        <v>7656</v>
      </c>
      <c r="D18635" s="8">
        <v>0</v>
      </c>
      <c r="E18635" s="8">
        <v>2</v>
      </c>
      <c r="F18635" s="8">
        <v>2956905</v>
      </c>
    </row>
    <row r="18636" spans="1:6" ht="12.75">
      <c r="A18636" s="8">
        <v>43895.91978009259</v>
      </c>
      <c r="B18636" s="8" t="str">
        <f>HYPERLINK("https://twitter.com/pacarmerah1897","@pacarmerah1897")</f>
        <v>@pacarmerah1897</v>
      </c>
      <c r="C18636" s="8" t="s">
        <v>5878</v>
      </c>
      <c r="D18636" s="8">
        <v>21</v>
      </c>
      <c r="E18636" s="8">
        <v>0</v>
      </c>
      <c r="F18636" s="8">
        <v>404</v>
      </c>
    </row>
    <row r="18637" spans="1:6" ht="12.75">
      <c r="A18637" s="8">
        <v>43895.91920138889</v>
      </c>
      <c r="B18637" s="8" t="str">
        <f>HYPERLINK("https://twitter.com/kbri_tehran","@kbri_tehran")</f>
        <v>@kbri_tehran</v>
      </c>
      <c r="C18637" s="8" t="s">
        <v>7657</v>
      </c>
      <c r="D18637" s="8">
        <v>1</v>
      </c>
      <c r="E18637" s="8">
        <v>0</v>
      </c>
      <c r="F18637" s="8">
        <v>1381</v>
      </c>
    </row>
    <row r="18638" spans="1:6" ht="12.75">
      <c r="A18638" s="8">
        <v>43895.91915509259</v>
      </c>
      <c r="B18638" s="8" t="str">
        <f>HYPERLINK("https://twitter.com/praz_2o3","@praz_2o3")</f>
        <v>@praz_2o3</v>
      </c>
      <c r="C18638" s="8" t="s">
        <v>7658</v>
      </c>
      <c r="D18638" s="8">
        <v>0</v>
      </c>
      <c r="E18638" s="8">
        <v>0</v>
      </c>
      <c r="F18638" s="8">
        <v>496</v>
      </c>
    </row>
    <row r="18639" spans="1:6" ht="12.75">
      <c r="A18639" s="8">
        <v>43895.919108796297</v>
      </c>
      <c r="B18639" s="8" t="str">
        <f>HYPERLINK("https://twitter.com/VIVAcoid","@VIVAcoid")</f>
        <v>@VIVAcoid</v>
      </c>
      <c r="C18639" s="8" t="s">
        <v>7659</v>
      </c>
      <c r="D18639" s="8">
        <v>1</v>
      </c>
      <c r="E18639" s="8">
        <v>0</v>
      </c>
      <c r="F18639" s="8">
        <v>4175462</v>
      </c>
    </row>
    <row r="18640" spans="1:6" ht="12.75">
      <c r="A18640" s="8">
        <v>43895.918923611112</v>
      </c>
      <c r="B18640" s="8" t="str">
        <f>HYPERLINK("https://twitter.com/duo_hh","@duo_hh")</f>
        <v>@duo_hh</v>
      </c>
      <c r="C18640" s="8" t="s">
        <v>7660</v>
      </c>
      <c r="D18640" s="8">
        <v>0</v>
      </c>
      <c r="E18640" s="8">
        <v>0</v>
      </c>
      <c r="F18640" s="8">
        <v>233</v>
      </c>
    </row>
    <row r="18641" spans="1:6" ht="12.75">
      <c r="A18641" s="8">
        <v>43895.918807870374</v>
      </c>
      <c r="B18641" s="8" t="str">
        <f>HYPERLINK("https://twitter.com/vivanewscom","@vivanewscom")</f>
        <v>@vivanewscom</v>
      </c>
      <c r="C18641" s="8" t="s">
        <v>7624</v>
      </c>
      <c r="D18641" s="8">
        <v>1</v>
      </c>
      <c r="E18641" s="8">
        <v>2</v>
      </c>
      <c r="F18641" s="8">
        <v>4723</v>
      </c>
    </row>
    <row r="18642" spans="1:6" ht="12.75">
      <c r="A18642" s="8">
        <v>43895.918576388889</v>
      </c>
      <c r="B18642" s="8" t="str">
        <f>HYPERLINK("https://twitter.com/Penjaga42470115","@Penjaga42470115")</f>
        <v>@Penjaga42470115</v>
      </c>
      <c r="C18642" s="8" t="s">
        <v>4948</v>
      </c>
      <c r="D18642" s="8">
        <v>8</v>
      </c>
      <c r="E18642" s="8">
        <v>0</v>
      </c>
      <c r="F18642" s="8">
        <v>73</v>
      </c>
    </row>
    <row r="18643" spans="1:6" ht="12.75">
      <c r="A18643" s="8">
        <v>43895.918414351851</v>
      </c>
      <c r="B18643" s="8" t="str">
        <f>HYPERLINK("https://twitter.com/UAsysa","@UAsysa")</f>
        <v>@UAsysa</v>
      </c>
      <c r="C18643" s="8" t="s">
        <v>7661</v>
      </c>
      <c r="D18643" s="8">
        <v>491</v>
      </c>
      <c r="E18643" s="8">
        <v>0</v>
      </c>
      <c r="F18643" s="8">
        <v>572</v>
      </c>
    </row>
    <row r="18644" spans="1:6" ht="12.75">
      <c r="A18644" s="8">
        <v>43895.918310185181</v>
      </c>
      <c r="B18644" s="8" t="str">
        <f>HYPERLINK("https://twitter.com/thinksmart97","@thinksmart97")</f>
        <v>@thinksmart97</v>
      </c>
      <c r="C18644" s="8" t="s">
        <v>1343</v>
      </c>
      <c r="D18644" s="8">
        <v>8</v>
      </c>
      <c r="E18644" s="8">
        <v>0</v>
      </c>
      <c r="F18644" s="8">
        <v>46</v>
      </c>
    </row>
    <row r="18645" spans="1:6" ht="12.75">
      <c r="A18645" s="8">
        <v>43895.91673611111</v>
      </c>
      <c r="B18645" s="8" t="str">
        <f>HYPERLINK("https://twitter.com/nyamaannnn","@nyamaannnn")</f>
        <v>@nyamaannnn</v>
      </c>
      <c r="C18645" s="8" t="s">
        <v>7662</v>
      </c>
      <c r="D18645" s="8">
        <v>0</v>
      </c>
      <c r="E18645" s="8">
        <v>0</v>
      </c>
      <c r="F18645" s="8">
        <v>54</v>
      </c>
    </row>
    <row r="18646" spans="1:6" ht="12.75">
      <c r="A18646" s="8">
        <v>43895.916678240741</v>
      </c>
      <c r="B18646" s="8" t="str">
        <f>HYPERLINK("https://twitter.com/Bolanet","@Bolanet")</f>
        <v>@Bolanet</v>
      </c>
      <c r="C18646" s="8" t="s">
        <v>7663</v>
      </c>
      <c r="D18646" s="8">
        <v>3</v>
      </c>
      <c r="E18646" s="8">
        <v>15</v>
      </c>
      <c r="F18646" s="8">
        <v>1445013</v>
      </c>
    </row>
    <row r="18647" spans="1:6" ht="12.75">
      <c r="A18647" s="8">
        <v>43895.916608796295</v>
      </c>
      <c r="B18647" s="8" t="str">
        <f>HYPERLINK("https://twitter.com/BebasVisaID","@BebasVisaID")</f>
        <v>@BebasVisaID</v>
      </c>
      <c r="C18647" s="8" t="s">
        <v>3132</v>
      </c>
      <c r="D18647" s="8">
        <v>93</v>
      </c>
      <c r="E18647" s="8">
        <v>0</v>
      </c>
      <c r="F18647" s="8">
        <v>7929</v>
      </c>
    </row>
    <row r="18648" spans="1:6" ht="12.75">
      <c r="A18648" s="8">
        <v>43895.916180555556</v>
      </c>
      <c r="B18648" s="8" t="str">
        <f>HYPERLINK("https://twitter.com/PradityaBeni","@PradityaBeni")</f>
        <v>@PradityaBeni</v>
      </c>
      <c r="C18648" s="8" t="s">
        <v>7664</v>
      </c>
      <c r="D18648" s="8">
        <v>116</v>
      </c>
      <c r="E18648" s="8">
        <v>0</v>
      </c>
      <c r="F18648" s="8">
        <v>1294</v>
      </c>
    </row>
    <row r="18649" spans="1:6" ht="12.75">
      <c r="A18649" s="8">
        <v>43895.91505787037</v>
      </c>
      <c r="B18649" s="8" t="str">
        <f>HYPERLINK("https://twitter.com/xiyulinglee","@xiyulinglee")</f>
        <v>@xiyulinglee</v>
      </c>
      <c r="C18649" s="8" t="s">
        <v>7665</v>
      </c>
      <c r="D18649" s="8">
        <v>0</v>
      </c>
      <c r="E18649" s="8">
        <v>0</v>
      </c>
      <c r="F18649" s="8">
        <v>247</v>
      </c>
    </row>
    <row r="18650" spans="1:6" ht="12.75">
      <c r="A18650" s="8">
        <v>43895.914849537032</v>
      </c>
      <c r="B18650" s="8" t="str">
        <f>HYPERLINK("https://twitter.com/Raja30602232","@Raja30602232")</f>
        <v>@Raja30602232</v>
      </c>
      <c r="C18650" s="8" t="s">
        <v>1078</v>
      </c>
      <c r="D18650" s="8">
        <v>612</v>
      </c>
      <c r="E18650" s="8">
        <v>0</v>
      </c>
      <c r="F18650" s="8">
        <v>510</v>
      </c>
    </row>
    <row r="18651" spans="1:6" ht="12.75">
      <c r="A18651" s="8">
        <v>43895.914768518516</v>
      </c>
      <c r="B18651" s="8" t="str">
        <f t="shared" ref="B18651:B18654" si="276">HYPERLINK("https://twitter.com/JubirPresidenRI","@JubirPresidenRI")</f>
        <v>@JubirPresidenRI</v>
      </c>
      <c r="C18651" s="8" t="s">
        <v>6826</v>
      </c>
      <c r="D18651" s="8">
        <v>5</v>
      </c>
      <c r="E18651" s="8">
        <v>0</v>
      </c>
      <c r="F18651" s="8">
        <v>602</v>
      </c>
    </row>
    <row r="18652" spans="1:6" ht="12.75">
      <c r="A18652" s="8">
        <v>43895.914710648147</v>
      </c>
      <c r="B18652" s="8" t="str">
        <f t="shared" si="276"/>
        <v>@JubirPresidenRI</v>
      </c>
      <c r="C18652" s="8" t="s">
        <v>7525</v>
      </c>
      <c r="D18652" s="8">
        <v>2</v>
      </c>
      <c r="E18652" s="8">
        <v>0</v>
      </c>
      <c r="F18652" s="8">
        <v>602</v>
      </c>
    </row>
    <row r="18653" spans="1:6" ht="12.75">
      <c r="A18653" s="8">
        <v>43895.914641203708</v>
      </c>
      <c r="B18653" s="8" t="str">
        <f t="shared" si="276"/>
        <v>@JubirPresidenRI</v>
      </c>
      <c r="C18653" s="8" t="s">
        <v>7524</v>
      </c>
      <c r="D18653" s="8">
        <v>25</v>
      </c>
      <c r="E18653" s="8">
        <v>0</v>
      </c>
      <c r="F18653" s="8">
        <v>602</v>
      </c>
    </row>
    <row r="18654" spans="1:6" ht="12.75">
      <c r="A18654" s="8">
        <v>43895.914525462962</v>
      </c>
      <c r="B18654" s="8" t="str">
        <f t="shared" si="276"/>
        <v>@JubirPresidenRI</v>
      </c>
      <c r="C18654" s="8" t="s">
        <v>7362</v>
      </c>
      <c r="D18654" s="8">
        <v>14</v>
      </c>
      <c r="E18654" s="8">
        <v>0</v>
      </c>
      <c r="F18654" s="8">
        <v>602</v>
      </c>
    </row>
    <row r="18655" spans="1:6" ht="12.75">
      <c r="A18655" s="8">
        <v>43895.913587962961</v>
      </c>
      <c r="B18655" s="8" t="str">
        <f>HYPERLINK("https://twitter.com/bekchoy","@bekchoy")</f>
        <v>@bekchoy</v>
      </c>
      <c r="C18655" s="8" t="s">
        <v>7245</v>
      </c>
      <c r="D18655" s="8">
        <v>73</v>
      </c>
      <c r="E18655" s="8">
        <v>0</v>
      </c>
      <c r="F18655" s="8">
        <v>140</v>
      </c>
    </row>
    <row r="18656" spans="1:6" ht="12.75">
      <c r="A18656" s="8">
        <v>43895.913402777776</v>
      </c>
      <c r="B18656" s="8" t="str">
        <f>HYPERLINK("https://twitter.com/sipooer","@sipooer")</f>
        <v>@sipooer</v>
      </c>
      <c r="C18656" s="8" t="s">
        <v>1078</v>
      </c>
      <c r="D18656" s="8">
        <v>612</v>
      </c>
      <c r="E18656" s="8">
        <v>0</v>
      </c>
      <c r="F18656" s="8">
        <v>154</v>
      </c>
    </row>
    <row r="18657" spans="1:6" ht="12.75">
      <c r="A18657" s="8">
        <v>43895.913078703699</v>
      </c>
      <c r="B18657" s="8" t="str">
        <f>HYPERLINK("https://twitter.com/stupidelite","@stupidelite")</f>
        <v>@stupidelite</v>
      </c>
      <c r="C18657" s="8" t="s">
        <v>7666</v>
      </c>
      <c r="D18657" s="8">
        <v>0</v>
      </c>
      <c r="E18657" s="8">
        <v>0</v>
      </c>
      <c r="F18657" s="8">
        <v>18</v>
      </c>
    </row>
    <row r="18658" spans="1:6" ht="12.75">
      <c r="A18658" s="8">
        <v>43895.912928240738</v>
      </c>
      <c r="B18658" s="8" t="str">
        <f>HYPERLINK("https://twitter.com/GhazalaQureshi0","@GhazalaQureshi0")</f>
        <v>@GhazalaQureshi0</v>
      </c>
      <c r="C18658" s="8" t="s">
        <v>7423</v>
      </c>
      <c r="D18658" s="8">
        <v>3</v>
      </c>
      <c r="E18658" s="8">
        <v>0</v>
      </c>
      <c r="F18658" s="8">
        <v>16</v>
      </c>
    </row>
    <row r="18659" spans="1:6" ht="12.75">
      <c r="A18659" s="8">
        <v>43895.912893518514</v>
      </c>
      <c r="B18659" s="8" t="str">
        <f>HYPERLINK("https://twitter.com/exelrockstar","@exelrockstar")</f>
        <v>@exelrockstar</v>
      </c>
      <c r="C18659" s="8" t="s">
        <v>7667</v>
      </c>
      <c r="D18659" s="8">
        <v>0</v>
      </c>
      <c r="E18659" s="8">
        <v>0</v>
      </c>
      <c r="F18659" s="8">
        <v>84</v>
      </c>
    </row>
    <row r="18660" spans="1:6" ht="12.75">
      <c r="A18660" s="8">
        <v>43895.91233796296</v>
      </c>
      <c r="B18660" s="8" t="str">
        <f>HYPERLINK("https://twitter.com/NOGOSASTRO","@NOGOSASTRO")</f>
        <v>@NOGOSASTRO</v>
      </c>
      <c r="C18660" s="8" t="s">
        <v>7189</v>
      </c>
      <c r="D18660" s="8">
        <v>41</v>
      </c>
      <c r="E18660" s="8">
        <v>0</v>
      </c>
      <c r="F18660" s="8">
        <v>368</v>
      </c>
    </row>
    <row r="18661" spans="1:6" ht="12.75">
      <c r="A18661" s="8">
        <v>43895.911238425921</v>
      </c>
      <c r="B18661" s="8" t="str">
        <f>HYPERLINK("https://twitter.com/MZubir_ID","@MZubir_ID")</f>
        <v>@MZubir_ID</v>
      </c>
      <c r="C18661" s="8" t="s">
        <v>7668</v>
      </c>
      <c r="D18661" s="8">
        <v>0</v>
      </c>
      <c r="E18661" s="8">
        <v>0</v>
      </c>
      <c r="F18661" s="8">
        <v>5863</v>
      </c>
    </row>
    <row r="18662" spans="1:6" ht="12.75">
      <c r="A18662" s="8">
        <v>43895.910891203705</v>
      </c>
      <c r="B18662" s="8" t="str">
        <f>HYPERLINK("https://twitter.com/B1503","@B1503")</f>
        <v>@B1503</v>
      </c>
      <c r="C18662" s="8" t="s">
        <v>6710</v>
      </c>
      <c r="D18662" s="8">
        <v>458</v>
      </c>
      <c r="E18662" s="8">
        <v>0</v>
      </c>
      <c r="F18662" s="8">
        <v>59</v>
      </c>
    </row>
    <row r="18663" spans="1:6" ht="12.75">
      <c r="A18663" s="8">
        <v>43895.910439814819</v>
      </c>
      <c r="B18663" s="8" t="str">
        <f>HYPERLINK("https://twitter.com/anthohar","@anthohar")</f>
        <v>@anthohar</v>
      </c>
      <c r="C18663" s="8" t="s">
        <v>7242</v>
      </c>
      <c r="D18663" s="8">
        <v>94</v>
      </c>
      <c r="E18663" s="8">
        <v>0</v>
      </c>
      <c r="F18663" s="8">
        <v>273</v>
      </c>
    </row>
    <row r="18664" spans="1:6" ht="12.75">
      <c r="A18664" s="8">
        <v>43895.91034722222</v>
      </c>
      <c r="B18664" s="8" t="str">
        <f>HYPERLINK("https://twitter.com/ISIS_Balik_NO","@ISIS_Balik_NO")</f>
        <v>@ISIS_Balik_NO</v>
      </c>
      <c r="C18664" s="8" t="s">
        <v>7669</v>
      </c>
      <c r="D18664" s="8">
        <v>164</v>
      </c>
      <c r="E18664" s="8">
        <v>0</v>
      </c>
      <c r="F18664" s="8">
        <v>6115</v>
      </c>
    </row>
    <row r="18665" spans="1:6" ht="12.75">
      <c r="A18665" s="8">
        <v>43895.910081018519</v>
      </c>
      <c r="B18665" s="8" t="str">
        <f>HYPERLINK("https://twitter.com/nashviville","@nashviville")</f>
        <v>@nashviville</v>
      </c>
      <c r="C18665" s="8" t="s">
        <v>7670</v>
      </c>
      <c r="D18665" s="8">
        <v>0</v>
      </c>
      <c r="E18665" s="8">
        <v>1</v>
      </c>
      <c r="F18665" s="8">
        <v>34</v>
      </c>
    </row>
    <row r="18666" spans="1:6" ht="12.75">
      <c r="A18666" s="8">
        <v>43895.910011574073</v>
      </c>
      <c r="B18666" s="8" t="str">
        <f>HYPERLINK("https://twitter.com/NandoMagnifico","@NandoMagnifico")</f>
        <v>@NandoMagnifico</v>
      </c>
      <c r="C18666" s="8" t="s">
        <v>1078</v>
      </c>
      <c r="D18666" s="8">
        <v>612</v>
      </c>
      <c r="E18666" s="8">
        <v>0</v>
      </c>
      <c r="F18666" s="8">
        <v>219</v>
      </c>
    </row>
    <row r="18667" spans="1:6" ht="12.75">
      <c r="A18667" s="8">
        <v>43895.909351851849</v>
      </c>
      <c r="B18667" s="8" t="str">
        <f>HYPERLINK("https://twitter.com/PFTee","@PFTee")</f>
        <v>@PFTee</v>
      </c>
      <c r="C18667" s="8" t="s">
        <v>7269</v>
      </c>
      <c r="D18667" s="8">
        <v>7</v>
      </c>
      <c r="E18667" s="8">
        <v>0</v>
      </c>
      <c r="F18667" s="8">
        <v>1552</v>
      </c>
    </row>
    <row r="18668" spans="1:6" ht="12.75">
      <c r="A18668" s="8">
        <v>43895.909143518518</v>
      </c>
      <c r="B18668" s="8" t="str">
        <f>HYPERLINK("https://twitter.com/AndikaSilaban3","@AndikaSilaban3")</f>
        <v>@AndikaSilaban3</v>
      </c>
      <c r="C18668" s="8" t="s">
        <v>7671</v>
      </c>
      <c r="D18668" s="8">
        <v>0</v>
      </c>
      <c r="E18668" s="8">
        <v>0</v>
      </c>
      <c r="F18668" s="8">
        <v>11</v>
      </c>
    </row>
    <row r="18669" spans="1:6" ht="12.75">
      <c r="A18669" s="8">
        <v>43895.909062499995</v>
      </c>
      <c r="B18669" s="8" t="str">
        <f>HYPERLINK("https://twitter.com/ISIS_Balik_NO","@ISIS_Balik_NO")</f>
        <v>@ISIS_Balik_NO</v>
      </c>
      <c r="C18669" s="8" t="s">
        <v>7672</v>
      </c>
      <c r="D18669" s="8">
        <v>0</v>
      </c>
      <c r="E18669" s="8">
        <v>0</v>
      </c>
      <c r="F18669" s="8">
        <v>6115</v>
      </c>
    </row>
    <row r="18670" spans="1:6" ht="12.75">
      <c r="A18670" s="8">
        <v>43895.908807870372</v>
      </c>
      <c r="B18670" s="8" t="str">
        <f>HYPERLINK("https://twitter.com/tegas_co","@tegas_co")</f>
        <v>@tegas_co</v>
      </c>
      <c r="C18670" s="8" t="s">
        <v>7673</v>
      </c>
      <c r="D18670" s="8">
        <v>0</v>
      </c>
      <c r="E18670" s="8">
        <v>0</v>
      </c>
      <c r="F18670" s="8">
        <v>736</v>
      </c>
    </row>
    <row r="18671" spans="1:6" ht="12.75">
      <c r="A18671" s="8">
        <v>43895.908402777779</v>
      </c>
      <c r="B18671" s="8" t="str">
        <f>HYPERLINK("https://twitter.com/ISIS_Balik_NO","@ISIS_Balik_NO")</f>
        <v>@ISIS_Balik_NO</v>
      </c>
      <c r="C18671" s="8" t="s">
        <v>7674</v>
      </c>
      <c r="D18671" s="8">
        <v>0</v>
      </c>
      <c r="E18671" s="8">
        <v>0</v>
      </c>
      <c r="F18671" s="8">
        <v>6115</v>
      </c>
    </row>
    <row r="18672" spans="1:6" ht="12.75">
      <c r="A18672" s="8">
        <v>43895.907858796301</v>
      </c>
      <c r="B18672" s="8" t="str">
        <f>HYPERLINK("https://twitter.com/LaulaChrismanto","@LaulaChrismanto")</f>
        <v>@LaulaChrismanto</v>
      </c>
      <c r="C18672" s="8" t="s">
        <v>7189</v>
      </c>
      <c r="D18672" s="8">
        <v>41</v>
      </c>
      <c r="E18672" s="8">
        <v>0</v>
      </c>
      <c r="F18672" s="8">
        <v>13</v>
      </c>
    </row>
    <row r="18673" spans="1:6" ht="12.75">
      <c r="A18673" s="8">
        <v>43895.907696759255</v>
      </c>
      <c r="B18673" s="8" t="str">
        <f>HYPERLINK("https://twitter.com/anandapaysal","@anandapaysal")</f>
        <v>@anandapaysal</v>
      </c>
      <c r="C18673" s="8" t="s">
        <v>1078</v>
      </c>
      <c r="D18673" s="8">
        <v>612</v>
      </c>
      <c r="E18673" s="8">
        <v>0</v>
      </c>
      <c r="F18673" s="8">
        <v>373</v>
      </c>
    </row>
    <row r="18674" spans="1:6" ht="12.75">
      <c r="A18674" s="8">
        <v>43895.906967592593</v>
      </c>
      <c r="B18674" s="8" t="str">
        <f>HYPERLINK("https://twitter.com/LogikaOnta","@LogikaOnta")</f>
        <v>@LogikaOnta</v>
      </c>
      <c r="C18674" s="8" t="s">
        <v>7675</v>
      </c>
      <c r="D18674" s="8">
        <v>2</v>
      </c>
      <c r="E18674" s="8">
        <v>0</v>
      </c>
      <c r="F18674" s="8">
        <v>321</v>
      </c>
    </row>
    <row r="18675" spans="1:6" ht="12.75">
      <c r="A18675" s="8">
        <v>43895.906157407408</v>
      </c>
      <c r="B18675" s="8" t="str">
        <f>HYPERLINK("https://twitter.com/dsurya_maulana","@dsurya_maulana")</f>
        <v>@dsurya_maulana</v>
      </c>
      <c r="C18675" s="8" t="s">
        <v>2506</v>
      </c>
      <c r="D18675" s="8">
        <v>10</v>
      </c>
      <c r="E18675" s="8">
        <v>0</v>
      </c>
      <c r="F18675" s="8">
        <v>150</v>
      </c>
    </row>
    <row r="18676" spans="1:6" ht="12.75">
      <c r="A18676" s="8">
        <v>43895.90556712963</v>
      </c>
      <c r="B18676" s="8" t="str">
        <f>HYPERLINK("https://twitter.com/ISIS_Balik_NO","@ISIS_Balik_NO")</f>
        <v>@ISIS_Balik_NO</v>
      </c>
      <c r="C18676" s="8" t="s">
        <v>7676</v>
      </c>
      <c r="D18676" s="8">
        <v>0</v>
      </c>
      <c r="E18676" s="8">
        <v>1</v>
      </c>
      <c r="F18676" s="8">
        <v>6115</v>
      </c>
    </row>
    <row r="18677" spans="1:6" ht="12.75">
      <c r="A18677" s="8">
        <v>43895.905439814815</v>
      </c>
      <c r="B18677" s="8" t="str">
        <f>HYPERLINK("https://twitter.com/LTH70166050","@LTH70166050")</f>
        <v>@LTH70166050</v>
      </c>
      <c r="C18677" s="8" t="s">
        <v>7245</v>
      </c>
      <c r="D18677" s="8">
        <v>73</v>
      </c>
      <c r="E18677" s="8">
        <v>0</v>
      </c>
      <c r="F18677" s="8">
        <v>54</v>
      </c>
    </row>
    <row r="18678" spans="1:6" ht="12.75">
      <c r="A18678" s="8">
        <v>43895.905185185184</v>
      </c>
      <c r="B18678" s="8" t="str">
        <f>HYPERLINK("https://twitter.com/BangHelmy","@BangHelmy")</f>
        <v>@BangHelmy</v>
      </c>
      <c r="C18678" s="8" t="s">
        <v>7281</v>
      </c>
      <c r="D18678" s="8">
        <v>1</v>
      </c>
      <c r="E18678" s="8">
        <v>0</v>
      </c>
      <c r="F18678" s="8">
        <v>302</v>
      </c>
    </row>
    <row r="18679" spans="1:6" ht="12.75">
      <c r="A18679" s="8">
        <v>43895.904606481483</v>
      </c>
      <c r="B18679" s="8" t="str">
        <f>HYPERLINK("https://twitter.com/arisadi22","@arisadi22")</f>
        <v>@arisadi22</v>
      </c>
      <c r="C18679" s="8" t="s">
        <v>1078</v>
      </c>
      <c r="D18679" s="8">
        <v>612</v>
      </c>
      <c r="E18679" s="8">
        <v>0</v>
      </c>
      <c r="F18679" s="8">
        <v>448</v>
      </c>
    </row>
    <row r="18680" spans="1:6" ht="12.75">
      <c r="A18680" s="8">
        <v>43895.904386574075</v>
      </c>
      <c r="B18680" s="8" t="str">
        <f>HYPERLINK("https://twitter.com/LukmanHarijanto","@LukmanHarijanto")</f>
        <v>@LukmanHarijanto</v>
      </c>
      <c r="C18680" s="8" t="s">
        <v>7677</v>
      </c>
      <c r="D18680" s="8">
        <v>0</v>
      </c>
      <c r="E18680" s="8">
        <v>0</v>
      </c>
      <c r="F18680" s="8">
        <v>958</v>
      </c>
    </row>
    <row r="18681" spans="1:6" ht="12.75">
      <c r="A18681" s="8">
        <v>43895.903275462959</v>
      </c>
      <c r="B18681" s="8" t="str">
        <f>HYPERLINK("https://twitter.com/ISIS_Balik_NO","@ISIS_Balik_NO")</f>
        <v>@ISIS_Balik_NO</v>
      </c>
      <c r="C18681" s="8" t="s">
        <v>7678</v>
      </c>
      <c r="D18681" s="8">
        <v>0</v>
      </c>
      <c r="E18681" s="8">
        <v>0</v>
      </c>
      <c r="F18681" s="8">
        <v>6115</v>
      </c>
    </row>
    <row r="18682" spans="1:6" ht="12.75">
      <c r="A18682" s="8">
        <v>43895.902916666666</v>
      </c>
      <c r="B18682" s="8" t="str">
        <f>HYPERLINK("https://twitter.com/Tomoditweeter","@Tomoditweeter")</f>
        <v>@Tomoditweeter</v>
      </c>
      <c r="C18682" s="8" t="s">
        <v>7679</v>
      </c>
      <c r="D18682" s="8">
        <v>1</v>
      </c>
      <c r="E18682" s="8">
        <v>0</v>
      </c>
      <c r="F18682" s="8">
        <v>176</v>
      </c>
    </row>
    <row r="18683" spans="1:6" ht="12.75">
      <c r="A18683" s="8">
        <v>43895.902754629627</v>
      </c>
      <c r="B18683" s="8" t="str">
        <f>HYPERLINK("https://twitter.com/xZhua","@xZhua")</f>
        <v>@xZhua</v>
      </c>
      <c r="C18683" s="8" t="s">
        <v>1078</v>
      </c>
      <c r="D18683" s="8">
        <v>612</v>
      </c>
      <c r="E18683" s="8">
        <v>0</v>
      </c>
      <c r="F18683" s="8">
        <v>84</v>
      </c>
    </row>
    <row r="18684" spans="1:6" ht="12.75">
      <c r="A18684" s="8">
        <v>43895.902685185181</v>
      </c>
      <c r="B18684" s="8" t="str">
        <f>HYPERLINK("https://twitter.com/ISIS_Balik_NO","@ISIS_Balik_NO")</f>
        <v>@ISIS_Balik_NO</v>
      </c>
      <c r="C18684" s="8" t="s">
        <v>7680</v>
      </c>
      <c r="D18684" s="8">
        <v>0</v>
      </c>
      <c r="E18684" s="8">
        <v>0</v>
      </c>
      <c r="F18684" s="8">
        <v>6115</v>
      </c>
    </row>
    <row r="18685" spans="1:6" ht="12.75">
      <c r="A18685" s="8">
        <v>43895.902453703704</v>
      </c>
      <c r="B18685" s="8" t="str">
        <f>HYPERLINK("https://twitter.com/bapakjo","@bapakjo")</f>
        <v>@bapakjo</v>
      </c>
      <c r="C18685" s="8" t="s">
        <v>1078</v>
      </c>
      <c r="D18685" s="8">
        <v>612</v>
      </c>
      <c r="E18685" s="8">
        <v>0</v>
      </c>
      <c r="F18685" s="8">
        <v>656</v>
      </c>
    </row>
    <row r="18686" spans="1:6" ht="12.75">
      <c r="A18686" s="8">
        <v>43895.902384259258</v>
      </c>
      <c r="B18686" s="8" t="str">
        <f>HYPERLINK("https://twitter.com/KM7869","@KM7869")</f>
        <v>@KM7869</v>
      </c>
      <c r="C18686" s="8" t="s">
        <v>7681</v>
      </c>
      <c r="D18686" s="8">
        <v>0</v>
      </c>
      <c r="E18686" s="8">
        <v>0</v>
      </c>
      <c r="F18686" s="8">
        <v>122</v>
      </c>
    </row>
    <row r="18687" spans="1:6" ht="12.75">
      <c r="A18687" s="8">
        <v>43895.902025462958</v>
      </c>
      <c r="B18687" s="8" t="str">
        <f>HYPERLINK("https://twitter.com/ISIS_Balik_NO","@ISIS_Balik_NO")</f>
        <v>@ISIS_Balik_NO</v>
      </c>
      <c r="C18687" s="8" t="s">
        <v>7682</v>
      </c>
      <c r="D18687" s="8">
        <v>71</v>
      </c>
      <c r="E18687" s="8">
        <v>0</v>
      </c>
      <c r="F18687" s="8">
        <v>6115</v>
      </c>
    </row>
    <row r="18688" spans="1:6" ht="12.75">
      <c r="A18688" s="8">
        <v>43895.901967592596</v>
      </c>
      <c r="B18688" s="8" t="str">
        <f>HYPERLINK("https://twitter.com/Kurniaw33757005","@Kurniaw33757005")</f>
        <v>@Kurniaw33757005</v>
      </c>
      <c r="C18688" s="8" t="s">
        <v>7683</v>
      </c>
      <c r="D18688" s="8">
        <v>0</v>
      </c>
      <c r="E18688" s="8">
        <v>0</v>
      </c>
      <c r="F18688" s="8">
        <v>0</v>
      </c>
    </row>
    <row r="18689" spans="1:6" ht="12.75">
      <c r="A18689" s="8">
        <v>43895.901898148149</v>
      </c>
      <c r="B18689" s="8" t="str">
        <f>HYPERLINK("https://twitter.com/ISIS_Balik_NO","@ISIS_Balik_NO")</f>
        <v>@ISIS_Balik_NO</v>
      </c>
      <c r="C18689" s="8" t="s">
        <v>7684</v>
      </c>
      <c r="D18689" s="8">
        <v>585</v>
      </c>
      <c r="E18689" s="8">
        <v>0</v>
      </c>
      <c r="F18689" s="8">
        <v>6115</v>
      </c>
    </row>
    <row r="18690" spans="1:6" ht="12.75">
      <c r="A18690" s="8">
        <v>43895.901886574073</v>
      </c>
      <c r="B18690" s="8" t="str">
        <f>HYPERLINK("https://twitter.com/e100ss","@e100ss")</f>
        <v>@e100ss</v>
      </c>
      <c r="C18690" s="8" t="s">
        <v>7685</v>
      </c>
      <c r="D18690" s="8">
        <v>0</v>
      </c>
      <c r="E18690" s="8">
        <v>0</v>
      </c>
      <c r="F18690" s="8">
        <v>781480</v>
      </c>
    </row>
    <row r="18691" spans="1:6" ht="12.75">
      <c r="A18691" s="8">
        <v>43895.901817129634</v>
      </c>
      <c r="B18691" s="8" t="str">
        <f>HYPERLINK("https://twitter.com/cantyxq","@cantyxq")</f>
        <v>@cantyxq</v>
      </c>
      <c r="C18691" s="8" t="s">
        <v>7686</v>
      </c>
      <c r="D18691" s="8">
        <v>981</v>
      </c>
      <c r="E18691" s="8">
        <v>0</v>
      </c>
      <c r="F18691" s="8">
        <v>349</v>
      </c>
    </row>
    <row r="18692" spans="1:6" ht="12.75">
      <c r="A18692" s="8">
        <v>43895.901608796295</v>
      </c>
      <c r="B18692" s="8" t="str">
        <f>HYPERLINK("https://twitter.com/riyadh_kbri","@riyadh_kbri")</f>
        <v>@riyadh_kbri</v>
      </c>
      <c r="C18692" s="8" t="s">
        <v>7687</v>
      </c>
      <c r="D18692" s="8">
        <v>1</v>
      </c>
      <c r="E18692" s="8">
        <v>1</v>
      </c>
      <c r="F18692" s="8">
        <v>2343</v>
      </c>
    </row>
    <row r="18693" spans="1:6" ht="12.75">
      <c r="A18693" s="8">
        <v>43895.901539351849</v>
      </c>
      <c r="B18693" s="8" t="str">
        <f>HYPERLINK("https://twitter.com/ISIS_Balik_NO","@ISIS_Balik_NO")</f>
        <v>@ISIS_Balik_NO</v>
      </c>
      <c r="C18693" s="8" t="s">
        <v>7688</v>
      </c>
      <c r="D18693" s="8">
        <v>0</v>
      </c>
      <c r="E18693" s="8">
        <v>0</v>
      </c>
      <c r="F18693" s="8">
        <v>6115</v>
      </c>
    </row>
    <row r="18694" spans="1:6" ht="12.75">
      <c r="A18694" s="8">
        <v>43895.901342592595</v>
      </c>
      <c r="B18694" s="8" t="str">
        <f>HYPERLINK("https://twitter.com/agama_nusantara","@agama_nusantara")</f>
        <v>@agama_nusantara</v>
      </c>
      <c r="C18694" s="8" t="s">
        <v>1078</v>
      </c>
      <c r="D18694" s="8">
        <v>612</v>
      </c>
      <c r="E18694" s="8">
        <v>0</v>
      </c>
      <c r="F18694" s="8">
        <v>7401</v>
      </c>
    </row>
    <row r="18695" spans="1:6" ht="12.75">
      <c r="A18695" s="8">
        <v>43895.901134259257</v>
      </c>
      <c r="B18695" s="8" t="str">
        <f>HYPERLINK("https://twitter.com/KBRI_Nairobi","@KBRI_Nairobi")</f>
        <v>@KBRI_Nairobi</v>
      </c>
      <c r="C18695" s="8" t="s">
        <v>3132</v>
      </c>
      <c r="D18695" s="8">
        <v>93</v>
      </c>
      <c r="E18695" s="8">
        <v>0</v>
      </c>
      <c r="F18695" s="8">
        <v>490</v>
      </c>
    </row>
    <row r="18696" spans="1:6" ht="12.75">
      <c r="A18696" s="8">
        <v>43895.90111111111</v>
      </c>
      <c r="B18696" s="8" t="str">
        <f>HYPERLINK("https://twitter.com/ragielanton","@ragielanton")</f>
        <v>@ragielanton</v>
      </c>
      <c r="C18696" s="8" t="s">
        <v>7689</v>
      </c>
      <c r="D18696" s="8">
        <v>2</v>
      </c>
      <c r="E18696" s="8">
        <v>0</v>
      </c>
      <c r="F18696" s="8">
        <v>300</v>
      </c>
    </row>
    <row r="18697" spans="1:6" ht="12.75">
      <c r="A18697" s="8">
        <v>43895.901087962964</v>
      </c>
      <c r="B18697" s="8" t="str">
        <f>HYPERLINK("https://twitter.com/ISIS_Balik_NO","@ISIS_Balik_NO")</f>
        <v>@ISIS_Balik_NO</v>
      </c>
      <c r="C18697" s="8" t="s">
        <v>7690</v>
      </c>
      <c r="D18697" s="8">
        <v>0</v>
      </c>
      <c r="E18697" s="8">
        <v>1</v>
      </c>
      <c r="F18697" s="8">
        <v>6115</v>
      </c>
    </row>
    <row r="18698" spans="1:6" ht="12.75">
      <c r="A18698" s="8">
        <v>43895.900775462964</v>
      </c>
      <c r="B18698" s="8" t="str">
        <f>HYPERLINK("https://twitter.com/Kurniaw33757005","@Kurniaw33757005")</f>
        <v>@Kurniaw33757005</v>
      </c>
      <c r="C18698" s="8" t="s">
        <v>7691</v>
      </c>
      <c r="D18698" s="8">
        <v>0</v>
      </c>
      <c r="E18698" s="8">
        <v>1</v>
      </c>
      <c r="F18698" s="8">
        <v>0</v>
      </c>
    </row>
    <row r="18699" spans="1:6" ht="12.75">
      <c r="A18699" s="8">
        <v>43895.900694444441</v>
      </c>
      <c r="B18699" s="8" t="str">
        <f>HYPERLINK("https://twitter.com/Hamotomo3","@Hamotomo3")</f>
        <v>@Hamotomo3</v>
      </c>
      <c r="C18699" s="8" t="s">
        <v>7692</v>
      </c>
      <c r="D18699" s="8">
        <v>13</v>
      </c>
      <c r="E18699" s="8">
        <v>0</v>
      </c>
      <c r="F18699" s="8">
        <v>0</v>
      </c>
    </row>
    <row r="18700" spans="1:6" ht="12.75">
      <c r="A18700" s="8">
        <v>43895.900231481486</v>
      </c>
      <c r="B18700" s="8" t="str">
        <f>HYPERLINK("https://twitter.com/Dawul_sukrii","@Dawul_sukrii")</f>
        <v>@Dawul_sukrii</v>
      </c>
      <c r="C18700" s="8" t="s">
        <v>1078</v>
      </c>
      <c r="D18700" s="8">
        <v>612</v>
      </c>
      <c r="E18700" s="8">
        <v>0</v>
      </c>
      <c r="F18700" s="8">
        <v>896</v>
      </c>
    </row>
    <row r="18701" spans="1:6" ht="12.75">
      <c r="A18701" s="8">
        <v>43895.900057870371</v>
      </c>
      <c r="B18701" s="8" t="str">
        <f>HYPERLINK("https://twitter.com/pongkyagung","@pongkyagung")</f>
        <v>@pongkyagung</v>
      </c>
      <c r="C18701" s="8" t="s">
        <v>1078</v>
      </c>
      <c r="D18701" s="8">
        <v>612</v>
      </c>
      <c r="E18701" s="8">
        <v>0</v>
      </c>
      <c r="F18701" s="8">
        <v>433</v>
      </c>
    </row>
    <row r="18702" spans="1:6" ht="12.75">
      <c r="A18702" s="8">
        <v>43895.899756944447</v>
      </c>
      <c r="B18702" s="8" t="str">
        <f>HYPERLINK("https://twitter.com/sarah_fatiha27","@sarah_fatiha27")</f>
        <v>@sarah_fatiha27</v>
      </c>
      <c r="C18702" s="8" t="s">
        <v>7693</v>
      </c>
      <c r="D18702" s="8">
        <v>0</v>
      </c>
      <c r="E18702" s="8">
        <v>0</v>
      </c>
      <c r="F18702" s="8">
        <v>123</v>
      </c>
    </row>
    <row r="18703" spans="1:6" ht="12.75">
      <c r="A18703" s="8">
        <v>43895.899016203708</v>
      </c>
      <c r="B18703" s="8" t="str">
        <f>HYPERLINK("https://twitter.com/ahmadnadzir46","@ahmadnadzir46")</f>
        <v>@ahmadnadzir46</v>
      </c>
      <c r="C18703" s="8" t="s">
        <v>7245</v>
      </c>
      <c r="D18703" s="8">
        <v>73</v>
      </c>
      <c r="E18703" s="8">
        <v>0</v>
      </c>
      <c r="F18703" s="8">
        <v>16</v>
      </c>
    </row>
    <row r="18704" spans="1:6" ht="12.75">
      <c r="A18704" s="8">
        <v>43895.898923611108</v>
      </c>
      <c r="B18704" s="8" t="str">
        <f t="shared" ref="B18704:B18705" si="277">HYPERLINK("https://twitter.com/de_kvn2","@de_kvn2")</f>
        <v>@de_kvn2</v>
      </c>
      <c r="C18704" s="8" t="s">
        <v>7245</v>
      </c>
      <c r="D18704" s="8">
        <v>73</v>
      </c>
      <c r="E18704" s="8">
        <v>0</v>
      </c>
      <c r="F18704" s="8">
        <v>290</v>
      </c>
    </row>
    <row r="18705" spans="1:6" ht="12.75">
      <c r="A18705" s="8">
        <v>43895.89875</v>
      </c>
      <c r="B18705" s="8" t="str">
        <f t="shared" si="277"/>
        <v>@de_kvn2</v>
      </c>
      <c r="C18705" s="8" t="s">
        <v>1078</v>
      </c>
      <c r="D18705" s="8">
        <v>612</v>
      </c>
      <c r="E18705" s="8">
        <v>0</v>
      </c>
      <c r="F18705" s="8">
        <v>290</v>
      </c>
    </row>
    <row r="18706" spans="1:6" ht="12.75">
      <c r="A18706" s="8">
        <v>43895.898518518516</v>
      </c>
      <c r="B18706" s="8" t="str">
        <f>HYPERLINK("https://twitter.com/TambengBagong","@TambengBagong")</f>
        <v>@TambengBagong</v>
      </c>
      <c r="C18706" s="8" t="s">
        <v>7242</v>
      </c>
      <c r="D18706" s="8">
        <v>94</v>
      </c>
      <c r="E18706" s="8">
        <v>0</v>
      </c>
      <c r="F18706" s="8">
        <v>606</v>
      </c>
    </row>
    <row r="18707" spans="1:6" ht="12.75">
      <c r="A18707" s="8">
        <v>43895.898506944446</v>
      </c>
      <c r="B18707" s="8" t="str">
        <f>HYPERLINK("https://twitter.com/witakristy","@witakristy")</f>
        <v>@witakristy</v>
      </c>
      <c r="C18707" s="8" t="s">
        <v>3132</v>
      </c>
      <c r="D18707" s="8">
        <v>93</v>
      </c>
      <c r="E18707" s="8">
        <v>0</v>
      </c>
      <c r="F18707" s="8">
        <v>206</v>
      </c>
    </row>
    <row r="18708" spans="1:6" ht="12.75">
      <c r="A18708" s="8">
        <v>43895.898391203707</v>
      </c>
      <c r="B18708" s="8" t="str">
        <f>HYPERLINK("https://twitter.com/m_ameen_","@m_ameen_")</f>
        <v>@m_ameen_</v>
      </c>
      <c r="C18708" s="8" t="s">
        <v>7694</v>
      </c>
      <c r="D18708" s="8">
        <v>0</v>
      </c>
      <c r="E18708" s="8">
        <v>0</v>
      </c>
      <c r="F18708" s="8">
        <v>18</v>
      </c>
    </row>
    <row r="18709" spans="1:6" ht="12.75">
      <c r="A18709" s="8">
        <v>43895.897858796292</v>
      </c>
      <c r="B18709" s="8" t="str">
        <f>HYPERLINK("https://twitter.com/dewi_2711","@dewi_2711")</f>
        <v>@dewi_2711</v>
      </c>
      <c r="C18709" s="8" t="s">
        <v>7695</v>
      </c>
      <c r="D18709" s="8">
        <v>0</v>
      </c>
      <c r="E18709" s="8">
        <v>1</v>
      </c>
      <c r="F18709" s="8">
        <v>101</v>
      </c>
    </row>
    <row r="18710" spans="1:6" ht="12.75">
      <c r="A18710" s="8">
        <v>43895.897685185184</v>
      </c>
      <c r="B18710" s="8" t="str">
        <f>HYPERLINK("https://twitter.com/tole_nyaku","@tole_nyaku")</f>
        <v>@tole_nyaku</v>
      </c>
      <c r="C18710" s="8" t="s">
        <v>7058</v>
      </c>
      <c r="D18710" s="8">
        <v>6</v>
      </c>
      <c r="E18710" s="8">
        <v>0</v>
      </c>
      <c r="F18710" s="8">
        <v>44</v>
      </c>
    </row>
    <row r="18711" spans="1:6" ht="12.75">
      <c r="A18711" s="8">
        <v>43895.896932870368</v>
      </c>
      <c r="B18711" s="8" t="str">
        <f t="shared" ref="B18711:B18712" si="278">HYPERLINK("https://twitter.com/Bauhaus0062","@Bauhaus0062")</f>
        <v>@Bauhaus0062</v>
      </c>
      <c r="C18711" s="8" t="s">
        <v>26</v>
      </c>
      <c r="D18711" s="8">
        <v>186</v>
      </c>
      <c r="E18711" s="8">
        <v>0</v>
      </c>
      <c r="F18711" s="8">
        <v>2</v>
      </c>
    </row>
    <row r="18712" spans="1:6" ht="12.75">
      <c r="A18712" s="8">
        <v>43895.896898148145</v>
      </c>
      <c r="B18712" s="8" t="str">
        <f t="shared" si="278"/>
        <v>@Bauhaus0062</v>
      </c>
      <c r="C18712" s="8" t="s">
        <v>4785</v>
      </c>
      <c r="D18712" s="8">
        <v>501</v>
      </c>
      <c r="E18712" s="8">
        <v>0</v>
      </c>
      <c r="F18712" s="8">
        <v>2</v>
      </c>
    </row>
    <row r="18713" spans="1:6" ht="12.75">
      <c r="A18713" s="8">
        <v>43895.896840277783</v>
      </c>
      <c r="B18713" s="8" t="str">
        <f>HYPERLINK("https://twitter.com/SuestySSitungk2","@SuestySSitungk2")</f>
        <v>@SuestySSitungk2</v>
      </c>
      <c r="C18713" s="8" t="s">
        <v>7696</v>
      </c>
      <c r="D18713" s="8">
        <v>0</v>
      </c>
      <c r="E18713" s="8">
        <v>0</v>
      </c>
      <c r="F18713" s="8">
        <v>95</v>
      </c>
    </row>
    <row r="18714" spans="1:6" ht="12.75">
      <c r="A18714" s="8">
        <v>43895.896261574075</v>
      </c>
      <c r="B18714" s="8" t="str">
        <f>HYPERLINK("https://twitter.com/Lisa_tjandra","@Lisa_tjandra")</f>
        <v>@Lisa_tjandra</v>
      </c>
      <c r="C18714" s="8" t="s">
        <v>7245</v>
      </c>
      <c r="D18714" s="8">
        <v>73</v>
      </c>
      <c r="E18714" s="8">
        <v>0</v>
      </c>
      <c r="F18714" s="8">
        <v>729</v>
      </c>
    </row>
    <row r="18715" spans="1:6" ht="12.75">
      <c r="A18715" s="8">
        <v>43895.896203703705</v>
      </c>
      <c r="B18715" s="8" t="str">
        <f>HYPERLINK("https://twitter.com/AyummaTanaka","@AyummaTanaka")</f>
        <v>@AyummaTanaka</v>
      </c>
      <c r="C18715" s="8" t="s">
        <v>7265</v>
      </c>
      <c r="D18715" s="8">
        <v>0</v>
      </c>
      <c r="E18715" s="8">
        <v>0</v>
      </c>
      <c r="F18715" s="8">
        <v>1097</v>
      </c>
    </row>
    <row r="18716" spans="1:6" ht="12.75">
      <c r="A18716" s="8">
        <v>43895.895810185189</v>
      </c>
      <c r="B18716" s="8" t="str">
        <f>HYPERLINK("https://twitter.com/anantanurizki","@anantanurizki")</f>
        <v>@anantanurizki</v>
      </c>
      <c r="C18716" s="8" t="s">
        <v>7697</v>
      </c>
      <c r="D18716" s="8">
        <v>0</v>
      </c>
      <c r="E18716" s="8">
        <v>0</v>
      </c>
      <c r="F18716" s="8">
        <v>592</v>
      </c>
    </row>
    <row r="18717" spans="1:6" ht="12.75">
      <c r="A18717" s="8">
        <v>43895.895289351851</v>
      </c>
      <c r="B18717" s="8" t="str">
        <f>HYPERLINK("https://twitter.com/HRMalik12","@HRMalik12")</f>
        <v>@HRMalik12</v>
      </c>
      <c r="C18717" s="8" t="s">
        <v>7242</v>
      </c>
      <c r="D18717" s="8">
        <v>94</v>
      </c>
      <c r="E18717" s="8">
        <v>0</v>
      </c>
      <c r="F18717" s="8">
        <v>275</v>
      </c>
    </row>
    <row r="18718" spans="1:6" ht="12.75">
      <c r="A18718" s="8">
        <v>43895.894895833335</v>
      </c>
      <c r="B18718" s="8" t="str">
        <f>HYPERLINK("https://twitter.com/muka_encok","@muka_encok")</f>
        <v>@muka_encok</v>
      </c>
      <c r="C18718" s="8" t="s">
        <v>7245</v>
      </c>
      <c r="D18718" s="8">
        <v>73</v>
      </c>
      <c r="E18718" s="8">
        <v>0</v>
      </c>
      <c r="F18718" s="8">
        <v>104</v>
      </c>
    </row>
    <row r="18719" spans="1:6" ht="12.75">
      <c r="A18719" s="8">
        <v>43895.894571759258</v>
      </c>
      <c r="B18719" s="8" t="str">
        <f>HYPERLINK("https://twitter.com/Metro_TV","@Metro_TV")</f>
        <v>@Metro_TV</v>
      </c>
      <c r="C18719" s="8" t="s">
        <v>7698</v>
      </c>
      <c r="D18719" s="8">
        <v>0</v>
      </c>
      <c r="E18719" s="8">
        <v>5</v>
      </c>
      <c r="F18719" s="8">
        <v>10517470</v>
      </c>
    </row>
    <row r="18720" spans="1:6" ht="12.75">
      <c r="A18720" s="8">
        <v>43895.894247685181</v>
      </c>
      <c r="B18720" s="8" t="str">
        <f>HYPERLINK("https://twitter.com/AnnaVLee","@AnnaVLee")</f>
        <v>@AnnaVLee</v>
      </c>
      <c r="C18720" s="8" t="s">
        <v>1078</v>
      </c>
      <c r="D18720" s="8">
        <v>612</v>
      </c>
      <c r="E18720" s="8">
        <v>0</v>
      </c>
      <c r="F18720" s="8">
        <v>179</v>
      </c>
    </row>
    <row r="18721" spans="1:6" ht="12.75">
      <c r="A18721" s="8">
        <v>43895.894178240742</v>
      </c>
      <c r="B18721" s="8" t="str">
        <f>HYPERLINK("https://twitter.com/Aldiansyah5279","@Aldiansyah5279")</f>
        <v>@Aldiansyah5279</v>
      </c>
      <c r="C18721" s="8" t="s">
        <v>1970</v>
      </c>
      <c r="D18721" s="8">
        <v>1350</v>
      </c>
      <c r="E18721" s="8">
        <v>0</v>
      </c>
      <c r="F18721" s="8">
        <v>18</v>
      </c>
    </row>
    <row r="18722" spans="1:6" ht="12.75">
      <c r="A18722" s="8">
        <v>43895.893032407403</v>
      </c>
      <c r="B18722" s="8" t="str">
        <f>HYPERLINK("https://twitter.com/RiriJreeng","@RiriJreeng")</f>
        <v>@RiriJreeng</v>
      </c>
      <c r="C18722" s="8" t="s">
        <v>7473</v>
      </c>
      <c r="D18722" s="8">
        <v>377</v>
      </c>
      <c r="E18722" s="8">
        <v>0</v>
      </c>
      <c r="F18722" s="8">
        <v>5876</v>
      </c>
    </row>
    <row r="18723" spans="1:6" ht="12.75">
      <c r="A18723" s="8">
        <v>43895.892430555556</v>
      </c>
      <c r="B18723" s="8" t="str">
        <f>HYPERLINK("https://twitter.com/widyo_onjeh","@widyo_onjeh")</f>
        <v>@widyo_onjeh</v>
      </c>
      <c r="C18723" s="8" t="s">
        <v>7699</v>
      </c>
      <c r="D18723" s="8">
        <v>1</v>
      </c>
      <c r="E18723" s="8">
        <v>0</v>
      </c>
      <c r="F18723" s="8">
        <v>271</v>
      </c>
    </row>
    <row r="18724" spans="1:6" ht="12.75">
      <c r="A18724" s="8">
        <v>43895.881481481483</v>
      </c>
      <c r="B18724" s="8" t="str">
        <f>HYPERLINK("https://twitter.com/gerenths","@gerenths")</f>
        <v>@gerenths</v>
      </c>
      <c r="C18724" s="8" t="s">
        <v>2199</v>
      </c>
      <c r="D18724" s="8">
        <v>9094</v>
      </c>
      <c r="E18724" s="8">
        <v>0</v>
      </c>
      <c r="F18724" s="8">
        <v>125</v>
      </c>
    </row>
    <row r="18725" spans="1:6" ht="12.75">
      <c r="A18725" s="8">
        <v>43895.881307870368</v>
      </c>
      <c r="B18725" s="8" t="str">
        <f>HYPERLINK("https://twitter.com/sulaimansyarif6","@sulaimansyarif6")</f>
        <v>@sulaimansyarif6</v>
      </c>
      <c r="C18725" s="8" t="s">
        <v>7700</v>
      </c>
      <c r="D18725" s="8">
        <v>47</v>
      </c>
      <c r="E18725" s="8">
        <v>0</v>
      </c>
      <c r="F18725" s="8">
        <v>95</v>
      </c>
    </row>
    <row r="18726" spans="1:6" ht="12.75">
      <c r="A18726" s="8">
        <v>43895.881122685183</v>
      </c>
      <c r="B18726" s="8" t="str">
        <f>HYPERLINK("https://twitter.com/MataNKRI","@MataNKRI")</f>
        <v>@MataNKRI</v>
      </c>
      <c r="C18726" s="8" t="s">
        <v>5900</v>
      </c>
      <c r="D18726" s="8">
        <v>17</v>
      </c>
      <c r="E18726" s="8">
        <v>0</v>
      </c>
      <c r="F18726" s="8">
        <v>342</v>
      </c>
    </row>
    <row r="18727" spans="1:6" ht="12.75">
      <c r="A18727" s="8">
        <v>43895.88081018519</v>
      </c>
      <c r="B18727" s="8" t="str">
        <f>HYPERLINK("https://twitter.com/AlfaOmega0110","@AlfaOmega0110")</f>
        <v>@AlfaOmega0110</v>
      </c>
      <c r="C18727" s="8" t="s">
        <v>7701</v>
      </c>
      <c r="D18727" s="8">
        <v>0</v>
      </c>
      <c r="E18727" s="8">
        <v>0</v>
      </c>
      <c r="F18727" s="8">
        <v>1318</v>
      </c>
    </row>
    <row r="18728" spans="1:6" ht="12.75">
      <c r="A18728" s="8">
        <v>43895.880659722221</v>
      </c>
      <c r="B18728" s="8" t="str">
        <f>HYPERLINK("https://twitter.com/SRusono","@SRusono")</f>
        <v>@SRusono</v>
      </c>
      <c r="C18728" s="8" t="s">
        <v>7702</v>
      </c>
      <c r="D18728" s="8">
        <v>0</v>
      </c>
      <c r="E18728" s="8">
        <v>0</v>
      </c>
      <c r="F18728" s="8">
        <v>0</v>
      </c>
    </row>
    <row r="18729" spans="1:6" ht="12.75">
      <c r="A18729" s="8">
        <v>43895.880613425921</v>
      </c>
      <c r="B18729" s="8" t="str">
        <f>HYPERLINK("https://twitter.com/wtf_antiketombe","@wtf_antiketombe")</f>
        <v>@wtf_antiketombe</v>
      </c>
      <c r="C18729" s="8" t="s">
        <v>1078</v>
      </c>
      <c r="D18729" s="8">
        <v>591</v>
      </c>
      <c r="E18729" s="8">
        <v>0</v>
      </c>
      <c r="F18729" s="8">
        <v>220</v>
      </c>
    </row>
    <row r="18730" spans="1:6" ht="12.75">
      <c r="A18730" s="8">
        <v>43895.88045138889</v>
      </c>
      <c r="B18730" s="8" t="str">
        <f>HYPERLINK("https://twitter.com/sulaimansyarif6","@sulaimansyarif6")</f>
        <v>@sulaimansyarif6</v>
      </c>
      <c r="C18730" s="8" t="s">
        <v>3132</v>
      </c>
      <c r="D18730" s="8">
        <v>90</v>
      </c>
      <c r="E18730" s="8">
        <v>0</v>
      </c>
      <c r="F18730" s="8">
        <v>95</v>
      </c>
    </row>
    <row r="18731" spans="1:6" ht="12.75">
      <c r="A18731" s="8">
        <v>43895.880127314813</v>
      </c>
      <c r="B18731" s="8" t="str">
        <f>HYPERLINK("https://twitter.com/Sky_marryland","@Sky_marryland")</f>
        <v>@Sky_marryland</v>
      </c>
      <c r="C18731" s="8" t="s">
        <v>7703</v>
      </c>
      <c r="D18731" s="8">
        <v>0</v>
      </c>
      <c r="E18731" s="8">
        <v>0</v>
      </c>
      <c r="F18731" s="8">
        <v>573</v>
      </c>
    </row>
    <row r="18732" spans="1:6" ht="12.75">
      <c r="A18732" s="8">
        <v>43895.880057870367</v>
      </c>
      <c r="B18732" s="8" t="str">
        <f>HYPERLINK("https://twitter.com/DavidGentana","@DavidGentana")</f>
        <v>@DavidGentana</v>
      </c>
      <c r="C18732" s="8" t="s">
        <v>7245</v>
      </c>
      <c r="D18732" s="8">
        <v>66</v>
      </c>
      <c r="E18732" s="8">
        <v>0</v>
      </c>
      <c r="F18732" s="8">
        <v>159</v>
      </c>
    </row>
    <row r="18733" spans="1:6" ht="12.75">
      <c r="A18733" s="8">
        <v>43895.880046296297</v>
      </c>
      <c r="B18733" s="8" t="str">
        <f>HYPERLINK("https://twitter.com/StefanoHarmoni","@StefanoHarmoni")</f>
        <v>@StefanoHarmoni</v>
      </c>
      <c r="C18733" s="8" t="s">
        <v>7058</v>
      </c>
      <c r="D18733" s="8">
        <v>2</v>
      </c>
      <c r="E18733" s="8">
        <v>0</v>
      </c>
      <c r="F18733" s="8">
        <v>208</v>
      </c>
    </row>
    <row r="18734" spans="1:6" ht="12.75">
      <c r="A18734" s="8">
        <v>43895.879918981482</v>
      </c>
      <c r="B18734" s="8" t="str">
        <f>HYPERLINK("https://twitter.com/MataNKRI","@MataNKRI")</f>
        <v>@MataNKRI</v>
      </c>
      <c r="C18734" s="8" t="s">
        <v>7704</v>
      </c>
      <c r="D18734" s="8">
        <v>296</v>
      </c>
      <c r="E18734" s="8">
        <v>0</v>
      </c>
      <c r="F18734" s="8">
        <v>342</v>
      </c>
    </row>
    <row r="18735" spans="1:6" ht="12.75">
      <c r="A18735" s="8">
        <v>43895.879398148143</v>
      </c>
      <c r="B18735" s="8" t="str">
        <f>HYPERLINK("https://twitter.com/AlfaOmega0110","@AlfaOmega0110")</f>
        <v>@AlfaOmega0110</v>
      </c>
      <c r="C18735" s="8" t="s">
        <v>7705</v>
      </c>
      <c r="D18735" s="8">
        <v>0</v>
      </c>
      <c r="E18735" s="8">
        <v>0</v>
      </c>
      <c r="F18735" s="8">
        <v>1318</v>
      </c>
    </row>
    <row r="18736" spans="1:6" ht="12.75">
      <c r="A18736" s="8">
        <v>43895.879375000004</v>
      </c>
      <c r="B18736" s="8" t="str">
        <f>HYPERLINK("https://twitter.com/Iuffy18","@Iuffy18")</f>
        <v>@Iuffy18</v>
      </c>
      <c r="C18736" s="8" t="s">
        <v>7706</v>
      </c>
      <c r="D18736" s="8">
        <v>0</v>
      </c>
      <c r="E18736" s="8">
        <v>0</v>
      </c>
      <c r="F18736" s="8">
        <v>87</v>
      </c>
    </row>
    <row r="18737" spans="1:6" ht="12.75">
      <c r="A18737" s="8">
        <v>43895.878900462965</v>
      </c>
      <c r="B18737" s="8" t="str">
        <f>HYPERLINK("https://twitter.com/miss_eunja","@miss_eunja")</f>
        <v>@miss_eunja</v>
      </c>
      <c r="C18737" s="8" t="s">
        <v>3132</v>
      </c>
      <c r="D18737" s="8">
        <v>90</v>
      </c>
      <c r="E18737" s="8">
        <v>0</v>
      </c>
      <c r="F18737" s="8">
        <v>343</v>
      </c>
    </row>
    <row r="18738" spans="1:6" ht="12.75">
      <c r="A18738" s="8">
        <v>43895.878865740742</v>
      </c>
      <c r="B18738" s="8" t="str">
        <f>HYPERLINK("https://twitter.com/rongs_rong","@rongs_rong")</f>
        <v>@rongs_rong</v>
      </c>
      <c r="C18738" s="8" t="s">
        <v>7058</v>
      </c>
      <c r="D18738" s="8">
        <v>2</v>
      </c>
      <c r="E18738" s="8">
        <v>0</v>
      </c>
      <c r="F18738" s="8">
        <v>3240</v>
      </c>
    </row>
    <row r="18739" spans="1:6" ht="12.75">
      <c r="A18739" s="8">
        <v>43895.878425925926</v>
      </c>
      <c r="B18739" s="8" t="str">
        <f>HYPERLINK("https://twitter.com/ryolandafit","@ryolandafit")</f>
        <v>@ryolandafit</v>
      </c>
      <c r="C18739" s="8" t="s">
        <v>7707</v>
      </c>
      <c r="D18739" s="8">
        <v>2</v>
      </c>
      <c r="E18739" s="8">
        <v>0</v>
      </c>
      <c r="F18739" s="8">
        <v>655</v>
      </c>
    </row>
    <row r="18740" spans="1:6" ht="12.75">
      <c r="A18740" s="8">
        <v>43895.878425925926</v>
      </c>
      <c r="B18740" s="8" t="str">
        <f>HYPERLINK("https://twitter.com/becak125cc","@becak125cc")</f>
        <v>@becak125cc</v>
      </c>
      <c r="C18740" s="8" t="s">
        <v>2506</v>
      </c>
      <c r="D18740" s="8">
        <v>8</v>
      </c>
      <c r="E18740" s="8">
        <v>0</v>
      </c>
      <c r="F18740" s="8">
        <v>551</v>
      </c>
    </row>
    <row r="18741" spans="1:6" ht="12.75">
      <c r="A18741" s="8">
        <v>43895.878020833334</v>
      </c>
      <c r="B18741" s="8" t="str">
        <f>HYPERLINK("https://twitter.com/ryolandafit","@ryolandafit")</f>
        <v>@ryolandafit</v>
      </c>
      <c r="C18741" s="8" t="s">
        <v>7299</v>
      </c>
      <c r="D18741" s="8">
        <v>4</v>
      </c>
      <c r="E18741" s="8">
        <v>0</v>
      </c>
      <c r="F18741" s="8">
        <v>655</v>
      </c>
    </row>
    <row r="18742" spans="1:6" ht="12.75">
      <c r="A18742" s="8">
        <v>43895.877500000002</v>
      </c>
      <c r="B18742" s="8" t="str">
        <f>HYPERLINK("https://twitter.com/imam_priyono","@imam_priyono")</f>
        <v>@imam_priyono</v>
      </c>
      <c r="C18742" s="8" t="s">
        <v>5878</v>
      </c>
      <c r="D18742" s="8">
        <v>20</v>
      </c>
      <c r="E18742" s="8">
        <v>0</v>
      </c>
      <c r="F18742" s="8">
        <v>923</v>
      </c>
    </row>
    <row r="18743" spans="1:6" ht="12.75">
      <c r="A18743" s="8">
        <v>43895.877500000002</v>
      </c>
      <c r="B18743" s="8" t="str">
        <f>HYPERLINK("https://twitter.com/_ermaaaa","@_ermaaaa")</f>
        <v>@_ermaaaa</v>
      </c>
      <c r="C18743" s="8" t="s">
        <v>7708</v>
      </c>
      <c r="D18743" s="8">
        <v>0</v>
      </c>
      <c r="E18743" s="8">
        <v>0</v>
      </c>
      <c r="F18743" s="8">
        <v>72</v>
      </c>
    </row>
    <row r="18744" spans="1:6" ht="12.75">
      <c r="A18744" s="8">
        <v>43895.877488425926</v>
      </c>
      <c r="B18744" s="8" t="str">
        <f>HYPERLINK("https://twitter.com/AlfaOmega0110","@AlfaOmega0110")</f>
        <v>@AlfaOmega0110</v>
      </c>
      <c r="C18744" s="8" t="s">
        <v>7709</v>
      </c>
      <c r="D18744" s="8">
        <v>0</v>
      </c>
      <c r="E18744" s="8">
        <v>0</v>
      </c>
      <c r="F18744" s="8">
        <v>1318</v>
      </c>
    </row>
    <row r="18745" spans="1:6" ht="12.75">
      <c r="A18745" s="8">
        <v>43895.877025462964</v>
      </c>
      <c r="B18745" s="8" t="str">
        <f>HYPERLINK("https://twitter.com/parasitlajang","@parasitlajang")</f>
        <v>@parasitlajang</v>
      </c>
      <c r="C18745" s="8" t="s">
        <v>7710</v>
      </c>
      <c r="D18745" s="8">
        <v>0</v>
      </c>
      <c r="E18745" s="8">
        <v>0</v>
      </c>
      <c r="F18745" s="8">
        <v>61</v>
      </c>
    </row>
    <row r="18746" spans="1:6" ht="12.75">
      <c r="A18746" s="8">
        <v>43895.87699074074</v>
      </c>
      <c r="B18746" s="8" t="str">
        <f>HYPERLINK("https://twitter.com/aji_dahlan","@aji_dahlan")</f>
        <v>@aji_dahlan</v>
      </c>
      <c r="C18746" s="8" t="s">
        <v>1078</v>
      </c>
      <c r="D18746" s="8">
        <v>591</v>
      </c>
      <c r="E18746" s="8">
        <v>0</v>
      </c>
      <c r="F18746" s="8">
        <v>53</v>
      </c>
    </row>
    <row r="18747" spans="1:6" ht="12.75">
      <c r="A18747" s="8">
        <v>43895.876909722225</v>
      </c>
      <c r="B18747" s="8" t="str">
        <f>HYPERLINK("https://twitter.com/eLnino_Ryuzaki","@eLnino_Ryuzaki")</f>
        <v>@eLnino_Ryuzaki</v>
      </c>
      <c r="C18747" s="8" t="s">
        <v>237</v>
      </c>
      <c r="D18747" s="8">
        <v>0</v>
      </c>
      <c r="E18747" s="8">
        <v>0</v>
      </c>
      <c r="F18747" s="8">
        <v>9137</v>
      </c>
    </row>
    <row r="18748" spans="1:6" ht="12.75">
      <c r="A18748" s="8">
        <v>43895.876597222217</v>
      </c>
      <c r="B18748" s="8" t="str">
        <f>HYPERLINK("https://twitter.com/BuruhBuku","@BuruhBuku")</f>
        <v>@BuruhBuku</v>
      </c>
      <c r="C18748" s="8" t="s">
        <v>7711</v>
      </c>
      <c r="D18748" s="8">
        <v>0</v>
      </c>
      <c r="E18748" s="8">
        <v>0</v>
      </c>
      <c r="F18748" s="8">
        <v>176</v>
      </c>
    </row>
    <row r="18749" spans="1:6" ht="12.75">
      <c r="A18749" s="8">
        <v>43895.876539351855</v>
      </c>
      <c r="B18749" s="8" t="str">
        <f>HYPERLINK("https://twitter.com/AremaNita__","@AremaNita__")</f>
        <v>@AremaNita__</v>
      </c>
      <c r="C18749" s="8" t="s">
        <v>7712</v>
      </c>
      <c r="D18749" s="8">
        <v>1</v>
      </c>
      <c r="E18749" s="8">
        <v>0</v>
      </c>
      <c r="F18749" s="8">
        <v>8390</v>
      </c>
    </row>
    <row r="18750" spans="1:6" ht="12.75">
      <c r="A18750" s="8">
        <v>43895.876423611116</v>
      </c>
      <c r="B18750" s="8" t="str">
        <f>HYPERLINK("https://twitter.com/fpi_sampah","@fpi_sampah")</f>
        <v>@fpi_sampah</v>
      </c>
      <c r="C18750" s="8" t="s">
        <v>7713</v>
      </c>
      <c r="D18750" s="8">
        <v>0</v>
      </c>
      <c r="E18750" s="8">
        <v>1</v>
      </c>
      <c r="F18750" s="8">
        <v>30</v>
      </c>
    </row>
    <row r="18751" spans="1:6" ht="12.75">
      <c r="A18751" s="8">
        <v>43895.876342592594</v>
      </c>
      <c r="B18751" s="8" t="str">
        <f>HYPERLINK("https://twitter.com/cacacollins","@cacacollins")</f>
        <v>@cacacollins</v>
      </c>
      <c r="C18751" s="8" t="s">
        <v>7714</v>
      </c>
      <c r="D18751" s="8">
        <v>0</v>
      </c>
      <c r="E18751" s="8">
        <v>0</v>
      </c>
      <c r="F18751" s="8">
        <v>240</v>
      </c>
    </row>
    <row r="18752" spans="1:6" ht="12.75">
      <c r="A18752" s="8">
        <v>43895.876111111109</v>
      </c>
      <c r="B18752" s="8" t="str">
        <f>HYPERLINK("https://twitter.com/RULLYHM10","@RULLYHM10")</f>
        <v>@RULLYHM10</v>
      </c>
      <c r="C18752" s="8" t="s">
        <v>1078</v>
      </c>
      <c r="D18752" s="8">
        <v>591</v>
      </c>
      <c r="E18752" s="8">
        <v>0</v>
      </c>
      <c r="F18752" s="8">
        <v>73</v>
      </c>
    </row>
    <row r="18753" spans="1:6" ht="12.75">
      <c r="A18753" s="8">
        <v>43895.87600694444</v>
      </c>
      <c r="B18753" s="8" t="str">
        <f>HYPERLINK("https://twitter.com/SobariSobar1","@SobariSobar1")</f>
        <v>@SobariSobar1</v>
      </c>
      <c r="C18753" s="8" t="s">
        <v>7715</v>
      </c>
      <c r="D18753" s="8">
        <v>115</v>
      </c>
      <c r="E18753" s="8">
        <v>0</v>
      </c>
      <c r="F18753" s="8">
        <v>465</v>
      </c>
    </row>
    <row r="18754" spans="1:6" ht="12.75">
      <c r="A18754" s="8">
        <v>43895.875833333332</v>
      </c>
      <c r="B18754" s="8" t="str">
        <f>HYPERLINK("https://twitter.com/Indianandabori1","@Indianandabori1")</f>
        <v>@Indianandabori1</v>
      </c>
      <c r="C18754" s="8" t="s">
        <v>7716</v>
      </c>
      <c r="D18754" s="8">
        <v>0</v>
      </c>
      <c r="E18754" s="8">
        <v>0</v>
      </c>
      <c r="F18754" s="8">
        <v>2</v>
      </c>
    </row>
    <row r="18755" spans="1:6" ht="12.75">
      <c r="A18755" s="8">
        <v>43895.875578703708</v>
      </c>
      <c r="B18755" s="8" t="str">
        <f>HYPERLINK("https://twitter.com/MochAskar1","@MochAskar1")</f>
        <v>@MochAskar1</v>
      </c>
      <c r="C18755" s="8" t="s">
        <v>2506</v>
      </c>
      <c r="D18755" s="8">
        <v>8</v>
      </c>
      <c r="E18755" s="8">
        <v>0</v>
      </c>
      <c r="F18755" s="8">
        <v>23</v>
      </c>
    </row>
    <row r="18756" spans="1:6" ht="12.75">
      <c r="A18756" s="8">
        <v>43895.875300925924</v>
      </c>
      <c r="B18756" s="8" t="str">
        <f>HYPERLINK("https://twitter.com/willysnpr","@willysnpr")</f>
        <v>@willysnpr</v>
      </c>
      <c r="C18756" s="8" t="s">
        <v>6818</v>
      </c>
      <c r="D18756" s="8">
        <v>17</v>
      </c>
      <c r="E18756" s="8">
        <v>0</v>
      </c>
      <c r="F18756" s="8">
        <v>761</v>
      </c>
    </row>
    <row r="18757" spans="1:6" ht="12.75">
      <c r="A18757" s="8">
        <v>43895.875277777777</v>
      </c>
      <c r="B18757" s="8" t="str">
        <f>HYPERLINK("https://twitter.com/AutoAdsJa","@AutoAdsJa")</f>
        <v>@AutoAdsJa</v>
      </c>
      <c r="C18757" s="8" t="s">
        <v>7717</v>
      </c>
      <c r="D18757" s="8">
        <v>0</v>
      </c>
      <c r="E18757" s="8">
        <v>0</v>
      </c>
      <c r="F18757" s="8">
        <v>542</v>
      </c>
    </row>
    <row r="18758" spans="1:6" ht="12.75">
      <c r="A18758" s="8">
        <v>43895.875208333338</v>
      </c>
      <c r="B18758" s="8" t="str">
        <f>HYPERLINK("https://twitter.com/ryolandafit","@ryolandafit")</f>
        <v>@ryolandafit</v>
      </c>
      <c r="C18758" s="8" t="s">
        <v>7718</v>
      </c>
      <c r="D18758" s="8">
        <v>3</v>
      </c>
      <c r="E18758" s="8">
        <v>0</v>
      </c>
      <c r="F18758" s="8">
        <v>655</v>
      </c>
    </row>
    <row r="18759" spans="1:6" ht="12.75">
      <c r="A18759" s="8">
        <v>43895.875138888892</v>
      </c>
      <c r="B18759" s="8" t="str">
        <f>HYPERLINK("https://twitter.com/cara14cheer","@cara14cheer")</f>
        <v>@cara14cheer</v>
      </c>
      <c r="C18759" s="8" t="s">
        <v>3285</v>
      </c>
      <c r="D18759" s="8">
        <v>170</v>
      </c>
      <c r="E18759" s="8">
        <v>0</v>
      </c>
      <c r="F18759" s="8">
        <v>535</v>
      </c>
    </row>
    <row r="18760" spans="1:6" ht="12.75">
      <c r="A18760" s="8">
        <v>43895.874652777777</v>
      </c>
      <c r="B18760" s="8" t="str">
        <f>HYPERLINK("https://twitter.com/ryolandafit","@ryolandafit")</f>
        <v>@ryolandafit</v>
      </c>
      <c r="C18760" s="8" t="s">
        <v>7719</v>
      </c>
      <c r="D18760" s="8">
        <v>4</v>
      </c>
      <c r="E18760" s="8">
        <v>0</v>
      </c>
      <c r="F18760" s="8">
        <v>655</v>
      </c>
    </row>
    <row r="18761" spans="1:6" ht="12.75">
      <c r="A18761" s="8">
        <v>43895.874560185184</v>
      </c>
      <c r="B18761" s="8" t="str">
        <f>HYPERLINK("https://twitter.com/AlfaOmega0110","@AlfaOmega0110")</f>
        <v>@AlfaOmega0110</v>
      </c>
      <c r="C18761" s="8" t="s">
        <v>7720</v>
      </c>
      <c r="D18761" s="8">
        <v>1</v>
      </c>
      <c r="E18761" s="8">
        <v>3</v>
      </c>
      <c r="F18761" s="8">
        <v>1318</v>
      </c>
    </row>
    <row r="18762" spans="1:6" ht="12.75">
      <c r="A18762" s="8">
        <v>43895.874085648145</v>
      </c>
      <c r="B18762" s="8" t="str">
        <f>HYPERLINK("https://twitter.com/onomsalam2pas","@onomsalam2pas")</f>
        <v>@onomsalam2pas</v>
      </c>
      <c r="C18762" s="8" t="s">
        <v>7299</v>
      </c>
      <c r="D18762" s="8">
        <v>4</v>
      </c>
      <c r="E18762" s="8">
        <v>0</v>
      </c>
      <c r="F18762" s="8">
        <v>483</v>
      </c>
    </row>
    <row r="18763" spans="1:6" ht="12.75">
      <c r="A18763" s="8">
        <v>43895.873923611114</v>
      </c>
      <c r="B18763" s="8" t="str">
        <f>HYPERLINK("https://twitter.com/fpi_sampah","@fpi_sampah")</f>
        <v>@fpi_sampah</v>
      </c>
      <c r="C18763" s="8" t="s">
        <v>7721</v>
      </c>
      <c r="D18763" s="8">
        <v>0</v>
      </c>
      <c r="E18763" s="8">
        <v>1</v>
      </c>
      <c r="F18763" s="8">
        <v>30</v>
      </c>
    </row>
    <row r="18764" spans="1:6" ht="12.75">
      <c r="A18764" s="8">
        <v>43895.873263888891</v>
      </c>
      <c r="B18764" s="8" t="str">
        <f>HYPERLINK("https://twitter.com/AyundhaDewi2","@AyundhaDewi2")</f>
        <v>@AyundhaDewi2</v>
      </c>
      <c r="C18764" s="8" t="s">
        <v>7722</v>
      </c>
      <c r="D18764" s="8">
        <v>0</v>
      </c>
      <c r="E18764" s="8">
        <v>0</v>
      </c>
      <c r="F18764" s="8">
        <v>18</v>
      </c>
    </row>
    <row r="18765" spans="1:6" ht="12.75">
      <c r="A18765" s="8">
        <v>43895.872893518521</v>
      </c>
      <c r="B18765" s="8" t="str">
        <f>HYPERLINK("https://twitter.com/Almuntasir_AAG","@Almuntasir_AAG")</f>
        <v>@Almuntasir_AAG</v>
      </c>
      <c r="C18765" s="8" t="s">
        <v>7723</v>
      </c>
      <c r="D18765" s="8">
        <v>0</v>
      </c>
      <c r="E18765" s="8">
        <v>0</v>
      </c>
      <c r="F18765" s="8">
        <v>36</v>
      </c>
    </row>
    <row r="18766" spans="1:6" ht="12.75">
      <c r="A18766" s="8">
        <v>43895.872465277775</v>
      </c>
      <c r="B18766" s="8" t="str">
        <f>HYPERLINK("https://twitter.com/robby53163741","@robby53163741")</f>
        <v>@robby53163741</v>
      </c>
      <c r="C18766" s="8" t="s">
        <v>1343</v>
      </c>
      <c r="D18766" s="8">
        <v>7</v>
      </c>
      <c r="E18766" s="8">
        <v>0</v>
      </c>
      <c r="F18766" s="8">
        <v>2</v>
      </c>
    </row>
    <row r="18767" spans="1:6" ht="12.75">
      <c r="A18767" s="8">
        <v>43895.872395833328</v>
      </c>
      <c r="B18767" s="8" t="str">
        <f>HYPERLINK("https://twitter.com/faatmarazola","@faatmarazola")</f>
        <v>@faatmarazola</v>
      </c>
      <c r="C18767" s="8" t="s">
        <v>1078</v>
      </c>
      <c r="D18767" s="8">
        <v>591</v>
      </c>
      <c r="E18767" s="8">
        <v>0</v>
      </c>
      <c r="F18767" s="8">
        <v>145</v>
      </c>
    </row>
    <row r="18768" spans="1:6" ht="12.75">
      <c r="A18768" s="8">
        <v>43895.872361111113</v>
      </c>
      <c r="B18768" s="8" t="str">
        <f>HYPERLINK("https://twitter.com/Katolik_GK","@Katolik_GK")</f>
        <v>@Katolik_GK</v>
      </c>
      <c r="C18768" s="8" t="s">
        <v>7724</v>
      </c>
      <c r="D18768" s="8">
        <v>2</v>
      </c>
      <c r="E18768" s="8">
        <v>4</v>
      </c>
      <c r="F18768" s="8">
        <v>2679</v>
      </c>
    </row>
    <row r="18769" spans="1:6" ht="12.75">
      <c r="A18769" s="8">
        <v>43895.872361111113</v>
      </c>
      <c r="B18769" s="8" t="str">
        <f>HYPERLINK("https://twitter.com/Kennya81607095","@Kennya81607095")</f>
        <v>@Kennya81607095</v>
      </c>
      <c r="C18769" s="8" t="s">
        <v>3285</v>
      </c>
      <c r="D18769" s="8">
        <v>170</v>
      </c>
      <c r="E18769" s="8">
        <v>0</v>
      </c>
      <c r="F18769" s="8">
        <v>688</v>
      </c>
    </row>
    <row r="18770" spans="1:6" ht="12.75">
      <c r="A18770" s="8">
        <v>43895.872048611112</v>
      </c>
      <c r="B18770" s="8" t="str">
        <f>HYPERLINK("https://twitter.com/wni_jmsri","@wni_jmsri")</f>
        <v>@wni_jmsri</v>
      </c>
      <c r="C18770" s="8" t="s">
        <v>7725</v>
      </c>
      <c r="D18770" s="8">
        <v>11</v>
      </c>
      <c r="E18770" s="8">
        <v>0</v>
      </c>
      <c r="F18770" s="8">
        <v>200</v>
      </c>
    </row>
    <row r="18771" spans="1:6" ht="12.75">
      <c r="A18771" s="8">
        <v>43895.871574074074</v>
      </c>
      <c r="B18771" s="8" t="str">
        <f>HYPERLINK("https://twitter.com/spencerrade","@spencerrade")</f>
        <v>@spencerrade</v>
      </c>
      <c r="C18771" s="8" t="s">
        <v>7726</v>
      </c>
      <c r="D18771" s="8">
        <v>0</v>
      </c>
      <c r="E18771" s="8">
        <v>0</v>
      </c>
      <c r="F18771" s="8">
        <v>971</v>
      </c>
    </row>
    <row r="18772" spans="1:6" ht="12.75">
      <c r="A18772" s="8">
        <v>43895.871261574073</v>
      </c>
      <c r="B18772" s="8" t="str">
        <f>HYPERLINK("https://twitter.com/isis_eve","@isis_eve")</f>
        <v>@isis_eve</v>
      </c>
      <c r="C18772" s="8" t="s">
        <v>7727</v>
      </c>
      <c r="D18772" s="8">
        <v>546</v>
      </c>
      <c r="E18772" s="8">
        <v>0</v>
      </c>
      <c r="F18772" s="8">
        <v>217</v>
      </c>
    </row>
    <row r="18773" spans="1:6" ht="12.75">
      <c r="A18773" s="8">
        <v>43895.871238425927</v>
      </c>
      <c r="B18773" s="8" t="str">
        <f>HYPERLINK("https://twitter.com/Lucky_L4k1","@Lucky_L4k1")</f>
        <v>@Lucky_L4k1</v>
      </c>
      <c r="C18773" s="8" t="s">
        <v>7642</v>
      </c>
      <c r="D18773" s="8">
        <v>1</v>
      </c>
      <c r="E18773" s="8">
        <v>0</v>
      </c>
      <c r="F18773" s="8">
        <v>293</v>
      </c>
    </row>
    <row r="18774" spans="1:6" ht="12.75">
      <c r="A18774" s="8">
        <v>43895.871041666665</v>
      </c>
      <c r="B18774" s="8" t="str">
        <f>HYPERLINK("https://twitter.com/MoasPoer","@MoasPoer")</f>
        <v>@MoasPoer</v>
      </c>
      <c r="C18774" s="8" t="s">
        <v>7194</v>
      </c>
      <c r="D18774" s="8">
        <v>43</v>
      </c>
      <c r="E18774" s="8">
        <v>0</v>
      </c>
      <c r="F18774" s="8">
        <v>490</v>
      </c>
    </row>
    <row r="18775" spans="1:6" ht="12.75">
      <c r="A18775" s="8">
        <v>43895.870925925927</v>
      </c>
      <c r="B18775" s="8" t="str">
        <f>HYPERLINK("https://twitter.com/yoikhuaku","@yoikhuaku")</f>
        <v>@yoikhuaku</v>
      </c>
      <c r="C18775" s="8" t="s">
        <v>7728</v>
      </c>
      <c r="D18775" s="8">
        <v>0</v>
      </c>
      <c r="E18775" s="8">
        <v>0</v>
      </c>
      <c r="F18775" s="8">
        <v>54</v>
      </c>
    </row>
    <row r="18776" spans="1:6" ht="12.75">
      <c r="A18776" s="8">
        <v>43895.870115740741</v>
      </c>
      <c r="B18776" s="8" t="str">
        <f>HYPERLINK("https://twitter.com/david_has","@david_has")</f>
        <v>@david_has</v>
      </c>
      <c r="C18776" s="8" t="s">
        <v>1078</v>
      </c>
      <c r="D18776" s="8">
        <v>591</v>
      </c>
      <c r="E18776" s="8">
        <v>0</v>
      </c>
      <c r="F18776" s="8">
        <v>162</v>
      </c>
    </row>
    <row r="18777" spans="1:6" ht="12.75">
      <c r="A18777" s="8">
        <v>43895.86991898148</v>
      </c>
      <c r="B18777" s="8" t="str">
        <f>HYPERLINK("https://twitter.com/Penyo2878","@Penyo2878")</f>
        <v>@Penyo2878</v>
      </c>
      <c r="C18777" s="8" t="s">
        <v>1078</v>
      </c>
      <c r="D18777" s="8">
        <v>591</v>
      </c>
      <c r="E18777" s="8">
        <v>0</v>
      </c>
      <c r="F18777" s="8">
        <v>28</v>
      </c>
    </row>
    <row r="18778" spans="1:6" ht="12.75">
      <c r="A18778" s="8">
        <v>43895.869884259257</v>
      </c>
      <c r="B18778" s="8" t="str">
        <f>HYPERLINK("https://twitter.com/mvie_adawiyah","@mvie_adawiyah")</f>
        <v>@mvie_adawiyah</v>
      </c>
      <c r="C18778" s="8" t="s">
        <v>7729</v>
      </c>
      <c r="D18778" s="8">
        <v>1</v>
      </c>
      <c r="E18778" s="8">
        <v>0</v>
      </c>
      <c r="F18778" s="8">
        <v>1109</v>
      </c>
    </row>
    <row r="18779" spans="1:6" ht="12.75">
      <c r="A18779" s="8">
        <v>43895.869872685187</v>
      </c>
      <c r="B18779" s="8" t="str">
        <f>HYPERLINK("https://twitter.com/EddyWilliamTwit","@EddyWilliamTwit")</f>
        <v>@EddyWilliamTwit</v>
      </c>
      <c r="C18779" s="8" t="s">
        <v>7730</v>
      </c>
      <c r="D18779" s="8">
        <v>1</v>
      </c>
      <c r="E18779" s="8">
        <v>0</v>
      </c>
      <c r="F18779" s="8">
        <v>92</v>
      </c>
    </row>
    <row r="18780" spans="1:6" ht="12.75">
      <c r="A18780" s="8">
        <v>43895.869814814811</v>
      </c>
      <c r="B18780" s="8" t="str">
        <f>HYPERLINK("https://twitter.com/mvie_adawiyah","@mvie_adawiyah")</f>
        <v>@mvie_adawiyah</v>
      </c>
      <c r="C18780" s="8" t="s">
        <v>7707</v>
      </c>
      <c r="D18780" s="8">
        <v>2</v>
      </c>
      <c r="E18780" s="8">
        <v>0</v>
      </c>
      <c r="F18780" s="8">
        <v>1109</v>
      </c>
    </row>
    <row r="18781" spans="1:6" ht="12.75">
      <c r="A18781" s="8">
        <v>43895.869814814811</v>
      </c>
      <c r="B18781" s="8" t="str">
        <f>HYPERLINK("https://twitter.com/jasmineesofiana","@jasmineesofiana")</f>
        <v>@jasmineesofiana</v>
      </c>
      <c r="C18781" s="8" t="s">
        <v>1427</v>
      </c>
      <c r="D18781" s="8">
        <v>1041</v>
      </c>
      <c r="E18781" s="8">
        <v>0</v>
      </c>
      <c r="F18781" s="8">
        <v>625</v>
      </c>
    </row>
    <row r="18782" spans="1:6" ht="12.75">
      <c r="A18782" s="8">
        <v>43895.869722222225</v>
      </c>
      <c r="B18782" s="8" t="str">
        <f>HYPERLINK("https://twitter.com/Shel_08","@Shel_08")</f>
        <v>@Shel_08</v>
      </c>
      <c r="C18782" s="8" t="s">
        <v>7731</v>
      </c>
      <c r="D18782" s="8">
        <v>0</v>
      </c>
      <c r="E18782" s="8">
        <v>1</v>
      </c>
      <c r="F18782" s="8">
        <v>189</v>
      </c>
    </row>
    <row r="18783" spans="1:6" ht="12.75">
      <c r="A18783" s="8">
        <v>43895.869664351849</v>
      </c>
      <c r="B18783" s="8" t="str">
        <f>HYPERLINK("https://twitter.com/mx_rudy","@mx_rudy")</f>
        <v>@mx_rudy</v>
      </c>
      <c r="C18783" s="8" t="s">
        <v>7732</v>
      </c>
      <c r="D18783" s="8">
        <v>1</v>
      </c>
      <c r="E18783" s="8">
        <v>0</v>
      </c>
      <c r="F18783" s="8">
        <v>1201</v>
      </c>
    </row>
    <row r="18784" spans="1:6" ht="12.75">
      <c r="A18784" s="8">
        <v>43895.86918981481</v>
      </c>
      <c r="B18784" s="8" t="str">
        <f>HYPERLINK("https://twitter.com/onjaeinloop","@onjaeinloop")</f>
        <v>@onjaeinloop</v>
      </c>
      <c r="C18784" s="8" t="s">
        <v>7733</v>
      </c>
      <c r="D18784" s="8">
        <v>0</v>
      </c>
      <c r="E18784" s="8">
        <v>0</v>
      </c>
      <c r="F18784" s="8">
        <v>2141</v>
      </c>
    </row>
    <row r="18785" spans="1:6" ht="12.75">
      <c r="A18785" s="8">
        <v>43895.868564814809</v>
      </c>
      <c r="B18785" s="8" t="str">
        <f>HYPERLINK("https://twitter.com/aripmas_","@aripmas_")</f>
        <v>@aripmas_</v>
      </c>
      <c r="C18785" s="8" t="s">
        <v>7734</v>
      </c>
      <c r="D18785" s="8">
        <v>0</v>
      </c>
      <c r="E18785" s="8">
        <v>0</v>
      </c>
      <c r="F18785" s="8">
        <v>253</v>
      </c>
    </row>
    <row r="18786" spans="1:6" ht="12.75">
      <c r="A18786" s="8">
        <v>43895.868287037039</v>
      </c>
      <c r="B18786" s="8" t="str">
        <f>HYPERLINK("https://twitter.com/hyderjoseph1","@hyderjoseph1")</f>
        <v>@hyderjoseph1</v>
      </c>
      <c r="C18786" s="8" t="s">
        <v>7735</v>
      </c>
      <c r="D18786" s="8">
        <v>0</v>
      </c>
      <c r="E18786" s="8">
        <v>0</v>
      </c>
      <c r="F18786" s="8">
        <v>89</v>
      </c>
    </row>
    <row r="18787" spans="1:6" ht="12.75">
      <c r="A18787" s="8">
        <v>43895.867997685185</v>
      </c>
      <c r="B18787" s="8" t="str">
        <f>HYPERLINK("https://twitter.com/MoasPoer","@MoasPoer")</f>
        <v>@MoasPoer</v>
      </c>
      <c r="C18787" s="8" t="s">
        <v>7473</v>
      </c>
      <c r="D18787" s="8">
        <v>376</v>
      </c>
      <c r="E18787" s="8">
        <v>0</v>
      </c>
      <c r="F18787" s="8">
        <v>490</v>
      </c>
    </row>
    <row r="18788" spans="1:6" ht="12.75">
      <c r="A18788" s="8">
        <v>43895.867743055554</v>
      </c>
      <c r="B18788" s="8" t="str">
        <f>HYPERLINK("https://twitter.com/chanmehli","@chanmehli")</f>
        <v>@chanmehli</v>
      </c>
      <c r="C18788" s="8" t="s">
        <v>2199</v>
      </c>
      <c r="D18788" s="8">
        <v>9094</v>
      </c>
      <c r="E18788" s="8">
        <v>0</v>
      </c>
      <c r="F18788" s="8">
        <v>412</v>
      </c>
    </row>
    <row r="18789" spans="1:6" ht="12.75">
      <c r="A18789" s="8">
        <v>43895.867604166662</v>
      </c>
      <c r="B18789" s="8" t="str">
        <f>HYPERLINK("https://twitter.com/FransLS","@FransLS")</f>
        <v>@FransLS</v>
      </c>
      <c r="C18789" s="8" t="s">
        <v>7736</v>
      </c>
      <c r="D18789" s="8">
        <v>1</v>
      </c>
      <c r="E18789" s="8">
        <v>0</v>
      </c>
      <c r="F18789" s="8">
        <v>199</v>
      </c>
    </row>
    <row r="18790" spans="1:6" ht="12.75">
      <c r="A18790" s="8">
        <v>43895.867118055554</v>
      </c>
      <c r="B18790" s="8" t="str">
        <f>HYPERLINK("https://twitter.com/ryolandafit","@ryolandafit")</f>
        <v>@ryolandafit</v>
      </c>
      <c r="C18790" s="8" t="s">
        <v>7737</v>
      </c>
      <c r="D18790" s="8">
        <v>3</v>
      </c>
      <c r="E18790" s="8">
        <v>0</v>
      </c>
      <c r="F18790" s="8">
        <v>655</v>
      </c>
    </row>
    <row r="18791" spans="1:6" ht="12.75">
      <c r="A18791" s="8">
        <v>43895.866898148146</v>
      </c>
      <c r="B18791" s="8" t="str">
        <f>HYPERLINK("https://twitter.com/Rambo25004053","@Rambo25004053")</f>
        <v>@Rambo25004053</v>
      </c>
      <c r="C18791" s="8" t="s">
        <v>7738</v>
      </c>
      <c r="D18791" s="8">
        <v>41</v>
      </c>
      <c r="E18791" s="8">
        <v>0</v>
      </c>
      <c r="F18791" s="8">
        <v>184</v>
      </c>
    </row>
    <row r="18792" spans="1:6" ht="12.75">
      <c r="A18792" s="8">
        <v>43895.866770833338</v>
      </c>
      <c r="B18792" s="8" t="str">
        <f>HYPERLINK("https://twitter.com/gunadi_cla10","@gunadi_cla10")</f>
        <v>@gunadi_cla10</v>
      </c>
      <c r="C18792" s="8" t="s">
        <v>4948</v>
      </c>
      <c r="D18792" s="8">
        <v>7</v>
      </c>
      <c r="E18792" s="8">
        <v>0</v>
      </c>
      <c r="F18792" s="8">
        <v>791</v>
      </c>
    </row>
    <row r="18793" spans="1:6" ht="12.75">
      <c r="A18793" s="8">
        <v>43895.866747685184</v>
      </c>
      <c r="B18793" s="8" t="str">
        <f>HYPERLINK("https://twitter.com/UbaidillahHfd","@UbaidillahHfd")</f>
        <v>@UbaidillahHfd</v>
      </c>
      <c r="C18793" s="8" t="s">
        <v>7739</v>
      </c>
      <c r="D18793" s="8">
        <v>0</v>
      </c>
      <c r="E18793" s="8">
        <v>0</v>
      </c>
      <c r="F18793" s="8">
        <v>90</v>
      </c>
    </row>
    <row r="18794" spans="1:6" ht="12.75">
      <c r="A18794" s="8">
        <v>43895.866354166668</v>
      </c>
      <c r="B18794" s="8" t="str">
        <f>HYPERLINK("https://twitter.com/eko2471","@eko2471")</f>
        <v>@eko2471</v>
      </c>
      <c r="C18794" s="8" t="s">
        <v>7740</v>
      </c>
      <c r="D18794" s="8">
        <v>0</v>
      </c>
      <c r="E18794" s="8">
        <v>0</v>
      </c>
      <c r="F18794" s="8">
        <v>1213</v>
      </c>
    </row>
    <row r="18795" spans="1:6" ht="12.75">
      <c r="A18795" s="8">
        <v>43895.866053240738</v>
      </c>
      <c r="B18795" s="8" t="str">
        <f>HYPERLINK("https://twitter.com/RaniSyahYa","@RaniSyahYa")</f>
        <v>@RaniSyahYa</v>
      </c>
      <c r="C18795" s="8" t="s">
        <v>7741</v>
      </c>
      <c r="D18795" s="8">
        <v>0</v>
      </c>
      <c r="E18795" s="8">
        <v>0</v>
      </c>
      <c r="F18795" s="8">
        <v>1775</v>
      </c>
    </row>
    <row r="18796" spans="1:6" ht="12.75">
      <c r="A18796" s="8">
        <v>43895.866018518514</v>
      </c>
      <c r="B18796" s="8" t="str">
        <f>HYPERLINK("https://twitter.com/MoasPoer","@MoasPoer")</f>
        <v>@MoasPoer</v>
      </c>
      <c r="C18796" s="8" t="s">
        <v>2979</v>
      </c>
      <c r="D18796" s="8">
        <v>232</v>
      </c>
      <c r="E18796" s="8">
        <v>0</v>
      </c>
      <c r="F18796" s="8">
        <v>490</v>
      </c>
    </row>
    <row r="18797" spans="1:6" ht="12.75">
      <c r="A18797" s="8">
        <v>43895.866018518514</v>
      </c>
      <c r="B18797" s="8" t="str">
        <f>HYPERLINK("https://twitter.com/RaaitW","@RaaitW")</f>
        <v>@RaaitW</v>
      </c>
      <c r="C18797" s="8" t="s">
        <v>7742</v>
      </c>
      <c r="D18797" s="8">
        <v>23</v>
      </c>
      <c r="E18797" s="8">
        <v>0</v>
      </c>
      <c r="F18797" s="8">
        <v>19</v>
      </c>
    </row>
    <row r="18798" spans="1:6" ht="12.75">
      <c r="A18798" s="8">
        <v>43895.865972222222</v>
      </c>
      <c r="B18798" s="8" t="str">
        <f>HYPERLINK("https://twitter.com/Nitizen_Zen","@Nitizen_Zen")</f>
        <v>@Nitizen_Zen</v>
      </c>
      <c r="C18798" s="8" t="s">
        <v>2506</v>
      </c>
      <c r="D18798" s="8">
        <v>8</v>
      </c>
      <c r="E18798" s="8">
        <v>0</v>
      </c>
      <c r="F18798" s="8">
        <v>459</v>
      </c>
    </row>
    <row r="18799" spans="1:6" ht="12.75">
      <c r="A18799" s="8">
        <v>43895.865844907406</v>
      </c>
      <c r="B18799" s="8" t="str">
        <f>HYPERLINK("https://twitter.com/mediaindonesia","@mediaindonesia")</f>
        <v>@mediaindonesia</v>
      </c>
      <c r="C18799" s="8" t="s">
        <v>7743</v>
      </c>
      <c r="D18799" s="8">
        <v>1</v>
      </c>
      <c r="E18799" s="8">
        <v>4</v>
      </c>
      <c r="F18799" s="8">
        <v>1420368</v>
      </c>
    </row>
    <row r="18800" spans="1:6" ht="12.75">
      <c r="A18800" s="8">
        <v>43895.865740740745</v>
      </c>
      <c r="B18800" s="8" t="str">
        <f>HYPERLINK("https://twitter.com/ooolcan","@ooolcan")</f>
        <v>@ooolcan</v>
      </c>
      <c r="C18800" s="8" t="s">
        <v>7744</v>
      </c>
      <c r="D18800" s="8">
        <v>0</v>
      </c>
      <c r="E18800" s="8">
        <v>1</v>
      </c>
      <c r="F18800" s="8">
        <v>67</v>
      </c>
    </row>
    <row r="18801" spans="1:6" ht="12.75">
      <c r="A18801" s="8">
        <v>43895.865023148144</v>
      </c>
      <c r="B18801" s="8" t="str">
        <f>HYPERLINK("https://twitter.com/prabawananda","@prabawananda")</f>
        <v>@prabawananda</v>
      </c>
      <c r="C18801" s="8" t="s">
        <v>2506</v>
      </c>
      <c r="D18801" s="8">
        <v>8</v>
      </c>
      <c r="E18801" s="8">
        <v>0</v>
      </c>
      <c r="F18801" s="8">
        <v>3559</v>
      </c>
    </row>
    <row r="18802" spans="1:6" ht="12.75">
      <c r="A18802" s="8">
        <v>43895.864733796298</v>
      </c>
      <c r="B18802" s="8" t="str">
        <f>HYPERLINK("https://twitter.com/kucil1234567","@kucil1234567")</f>
        <v>@kucil1234567</v>
      </c>
      <c r="C18802" s="8" t="s">
        <v>7745</v>
      </c>
      <c r="D18802" s="8">
        <v>0</v>
      </c>
      <c r="E18802" s="8">
        <v>0</v>
      </c>
      <c r="F18802" s="8">
        <v>1</v>
      </c>
    </row>
    <row r="18803" spans="1:6" ht="12.75">
      <c r="A18803" s="8">
        <v>43895.864224537036</v>
      </c>
      <c r="B18803" s="8" t="str">
        <f>HYPERLINK("https://twitter.com/LAries26","@LAries26")</f>
        <v>@LAries26</v>
      </c>
      <c r="C18803" s="8" t="s">
        <v>7573</v>
      </c>
      <c r="D18803" s="8">
        <v>33</v>
      </c>
      <c r="E18803" s="8">
        <v>0</v>
      </c>
      <c r="F18803" s="8">
        <v>440</v>
      </c>
    </row>
    <row r="18804" spans="1:6" ht="12.75">
      <c r="A18804" s="8">
        <v>43895.863773148143</v>
      </c>
      <c r="B18804" s="8" t="str">
        <f>HYPERLINK("https://twitter.com/PungPurwanto","@PungPurwanto")</f>
        <v>@PungPurwanto</v>
      </c>
      <c r="C18804" s="8" t="s">
        <v>7746</v>
      </c>
      <c r="D18804" s="8">
        <v>0</v>
      </c>
      <c r="E18804" s="8">
        <v>0</v>
      </c>
      <c r="F18804" s="8">
        <v>643</v>
      </c>
    </row>
    <row r="18805" spans="1:6" ht="12.75">
      <c r="A18805" s="8">
        <v>43895.863530092596</v>
      </c>
      <c r="B18805" s="8" t="str">
        <f>HYPERLINK("https://twitter.com/dianafithras","@dianafithras")</f>
        <v>@dianafithras</v>
      </c>
      <c r="C18805" s="8" t="s">
        <v>2506</v>
      </c>
      <c r="D18805" s="8">
        <v>8</v>
      </c>
      <c r="E18805" s="8">
        <v>0</v>
      </c>
      <c r="F18805" s="8">
        <v>6935</v>
      </c>
    </row>
    <row r="18806" spans="1:6" ht="12.75">
      <c r="A18806" s="8">
        <v>43895.862916666665</v>
      </c>
      <c r="B18806" s="8" t="str">
        <f>HYPERLINK("https://twitter.com/zihat001","@zihat001")</f>
        <v>@zihat001</v>
      </c>
      <c r="C18806" s="8" t="s">
        <v>7747</v>
      </c>
      <c r="D18806" s="8">
        <v>2</v>
      </c>
      <c r="E18806" s="8">
        <v>0</v>
      </c>
      <c r="F18806" s="8">
        <v>68</v>
      </c>
    </row>
    <row r="18807" spans="1:6" ht="12.75">
      <c r="A18807" s="8">
        <v>43895.862905092596</v>
      </c>
      <c r="B18807" s="8" t="str">
        <f>HYPERLINK("https://twitter.com/adc1408","@adc1408")</f>
        <v>@adc1408</v>
      </c>
      <c r="C18807" s="8" t="s">
        <v>7299</v>
      </c>
      <c r="D18807" s="8">
        <v>4</v>
      </c>
      <c r="E18807" s="8">
        <v>0</v>
      </c>
      <c r="F18807" s="8">
        <v>94</v>
      </c>
    </row>
    <row r="18808" spans="1:6" ht="12.75">
      <c r="A18808" s="8">
        <v>43895.862812499996</v>
      </c>
      <c r="B18808" s="8" t="str">
        <f>HYPERLINK("https://twitter.com/hotchoccolate_","@hotchoccolate_")</f>
        <v>@hotchoccolate_</v>
      </c>
      <c r="C18808" s="8" t="s">
        <v>7748</v>
      </c>
      <c r="D18808" s="8">
        <v>0</v>
      </c>
      <c r="E18808" s="8">
        <v>1</v>
      </c>
      <c r="F18808" s="8">
        <v>1348</v>
      </c>
    </row>
    <row r="18809" spans="1:6" ht="12.75">
      <c r="A18809" s="8">
        <v>43895.862245370372</v>
      </c>
      <c r="B18809" s="8" t="str">
        <f>HYPERLINK("https://twitter.com/ChristWamea","@ChristWamea")</f>
        <v>@ChristWamea</v>
      </c>
      <c r="C18809" s="8" t="s">
        <v>7299</v>
      </c>
      <c r="D18809" s="8">
        <v>4</v>
      </c>
      <c r="E18809" s="8">
        <v>0</v>
      </c>
      <c r="F18809" s="8">
        <v>29322</v>
      </c>
    </row>
    <row r="18810" spans="1:6" ht="12.75">
      <c r="A18810" s="8">
        <v>43895.862060185187</v>
      </c>
      <c r="B18810" s="8" t="str">
        <f>HYPERLINK("https://twitter.com/AndikaSilaban3","@AndikaSilaban3")</f>
        <v>@AndikaSilaban3</v>
      </c>
      <c r="C18810" s="8" t="s">
        <v>7749</v>
      </c>
      <c r="D18810" s="8">
        <v>0</v>
      </c>
      <c r="E18810" s="8">
        <v>0</v>
      </c>
      <c r="F18810" s="8">
        <v>11</v>
      </c>
    </row>
    <row r="18811" spans="1:6" ht="12.75">
      <c r="A18811" s="8">
        <v>43895.861863425926</v>
      </c>
      <c r="B18811" s="8" t="str">
        <f>HYPERLINK("https://twitter.com/victormadjid","@victormadjid")</f>
        <v>@victormadjid</v>
      </c>
      <c r="C18811" s="8" t="s">
        <v>5878</v>
      </c>
      <c r="D18811" s="8">
        <v>20</v>
      </c>
      <c r="E18811" s="8">
        <v>0</v>
      </c>
      <c r="F18811" s="8">
        <v>65</v>
      </c>
    </row>
    <row r="18812" spans="1:6" ht="12.75">
      <c r="A18812" s="8">
        <v>43895.861400462964</v>
      </c>
      <c r="B18812" s="8" t="str">
        <f>HYPERLINK("https://twitter.com/majoindonew","@majoindonew")</f>
        <v>@majoindonew</v>
      </c>
      <c r="C18812" s="8" t="s">
        <v>7750</v>
      </c>
      <c r="D18812" s="8">
        <v>0</v>
      </c>
      <c r="E18812" s="8">
        <v>0</v>
      </c>
      <c r="F18812" s="8">
        <v>22</v>
      </c>
    </row>
    <row r="18813" spans="1:6" ht="12.75">
      <c r="A18813" s="8">
        <v>43895.861192129625</v>
      </c>
      <c r="B18813" s="8" t="str">
        <f>HYPERLINK("https://twitter.com/tvOneNews","@tvOneNews")</f>
        <v>@tvOneNews</v>
      </c>
      <c r="C18813" s="8" t="s">
        <v>7751</v>
      </c>
      <c r="D18813" s="8">
        <v>4</v>
      </c>
      <c r="E18813" s="8">
        <v>5</v>
      </c>
      <c r="F18813" s="8">
        <v>8728914</v>
      </c>
    </row>
    <row r="18814" spans="1:6" ht="12.75">
      <c r="A18814" s="8">
        <v>43895.861041666663</v>
      </c>
      <c r="B18814" s="8" t="str">
        <f>HYPERLINK("https://twitter.com/suryani081089","@suryani081089")</f>
        <v>@suryani081089</v>
      </c>
      <c r="C18814" s="8" t="s">
        <v>3285</v>
      </c>
      <c r="D18814" s="8">
        <v>170</v>
      </c>
      <c r="E18814" s="8">
        <v>0</v>
      </c>
      <c r="F18814" s="8">
        <v>36</v>
      </c>
    </row>
    <row r="18815" spans="1:6" ht="12.75">
      <c r="A18815" s="8">
        <v>43895.860787037032</v>
      </c>
      <c r="B18815" s="8" t="str">
        <f>HYPERLINK("https://twitter.com/suaradotcom","@suaradotcom")</f>
        <v>@suaradotcom</v>
      </c>
      <c r="C18815" s="8" t="s">
        <v>7752</v>
      </c>
      <c r="D18815" s="8">
        <v>1</v>
      </c>
      <c r="E18815" s="8">
        <v>0</v>
      </c>
      <c r="F18815" s="8">
        <v>24346</v>
      </c>
    </row>
    <row r="18816" spans="1:6" ht="12.75">
      <c r="A18816" s="8">
        <v>43895.860115740739</v>
      </c>
      <c r="B18816" s="8" t="str">
        <f>HYPERLINK("https://twitter.com/simkuringporsea","@simkuringporsea")</f>
        <v>@simkuringporsea</v>
      </c>
      <c r="C18816" s="8" t="s">
        <v>7753</v>
      </c>
      <c r="D18816" s="8">
        <v>5</v>
      </c>
      <c r="E18816" s="8">
        <v>0</v>
      </c>
      <c r="F18816" s="8">
        <v>6072</v>
      </c>
    </row>
    <row r="18817" spans="1:6" ht="12.75">
      <c r="A18817" s="8">
        <v>43895.85974537037</v>
      </c>
      <c r="B18817" s="8" t="str">
        <f>HYPERLINK("https://twitter.com/yowespaorah","@yowespaorah")</f>
        <v>@yowespaorah</v>
      </c>
      <c r="C18817" s="8" t="s">
        <v>1078</v>
      </c>
      <c r="D18817" s="8">
        <v>591</v>
      </c>
      <c r="E18817" s="8">
        <v>0</v>
      </c>
      <c r="F18817" s="8">
        <v>956</v>
      </c>
    </row>
    <row r="18818" spans="1:6" ht="12.75">
      <c r="A18818" s="8">
        <v>43895.859039351853</v>
      </c>
      <c r="B18818" s="8" t="str">
        <f>HYPERLINK("https://twitter.com/hanzbndaudio","@hanzbndaudio")</f>
        <v>@hanzbndaudio</v>
      </c>
      <c r="C18818" s="8" t="s">
        <v>7189</v>
      </c>
      <c r="D18818" s="8">
        <v>37</v>
      </c>
      <c r="E18818" s="8">
        <v>0</v>
      </c>
      <c r="F18818" s="8">
        <v>206</v>
      </c>
    </row>
    <row r="18819" spans="1:6" ht="12.75">
      <c r="A18819" s="8">
        <v>43895.858807870369</v>
      </c>
      <c r="B18819" s="8" t="str">
        <f>HYPERLINK("https://twitter.com/Widya27213661","@Widya27213661")</f>
        <v>@Widya27213661</v>
      </c>
      <c r="C18819" s="8" t="s">
        <v>7754</v>
      </c>
      <c r="D18819" s="8">
        <v>0</v>
      </c>
      <c r="E18819" s="8">
        <v>0</v>
      </c>
      <c r="F18819" s="8">
        <v>1554</v>
      </c>
    </row>
    <row r="18820" spans="1:6" ht="12.75">
      <c r="A18820" s="8">
        <v>43895.858726851853</v>
      </c>
      <c r="B18820" s="8" t="str">
        <f>HYPERLINK("https://twitter.com/DedyNad_id","@DedyNad_id")</f>
        <v>@DedyNad_id</v>
      </c>
      <c r="C18820" s="8" t="s">
        <v>7755</v>
      </c>
      <c r="D18820" s="8">
        <v>6</v>
      </c>
      <c r="E18820" s="8">
        <v>0</v>
      </c>
      <c r="F18820" s="8">
        <v>4088</v>
      </c>
    </row>
    <row r="18821" spans="1:6" ht="12.75">
      <c r="A18821" s="8">
        <v>43895.857638888891</v>
      </c>
      <c r="B18821" s="8" t="str">
        <f>HYPERLINK("https://twitter.com/KompasTV","@KompasTV")</f>
        <v>@KompasTV</v>
      </c>
      <c r="C18821" s="8" t="s">
        <v>7756</v>
      </c>
      <c r="D18821" s="8">
        <v>2</v>
      </c>
      <c r="E18821" s="8">
        <v>7</v>
      </c>
      <c r="F18821" s="8">
        <v>2956845</v>
      </c>
    </row>
    <row r="18822" spans="1:6" ht="12.75">
      <c r="A18822" s="8">
        <v>43895.857627314814</v>
      </c>
      <c r="B18822" s="8" t="str">
        <f>HYPERLINK("https://twitter.com/gwdatanglagih","@gwdatanglagih")</f>
        <v>@gwdatanglagih</v>
      </c>
      <c r="C18822" s="8" t="s">
        <v>7757</v>
      </c>
      <c r="D18822" s="8">
        <v>0</v>
      </c>
      <c r="E18822" s="8">
        <v>1</v>
      </c>
      <c r="F18822" s="8">
        <v>497</v>
      </c>
    </row>
    <row r="18823" spans="1:6" ht="12.75">
      <c r="A18823" s="8">
        <v>43895.856666666667</v>
      </c>
      <c r="B18823" s="8" t="str">
        <f>HYPERLINK("https://twitter.com/arumdp","@arumdp")</f>
        <v>@arumdp</v>
      </c>
      <c r="C18823" s="8" t="s">
        <v>3132</v>
      </c>
      <c r="D18823" s="8">
        <v>90</v>
      </c>
      <c r="E18823" s="8">
        <v>0</v>
      </c>
      <c r="F18823" s="8">
        <v>598</v>
      </c>
    </row>
    <row r="18824" spans="1:6" ht="12.75">
      <c r="A18824" s="8">
        <v>43895.839745370366</v>
      </c>
      <c r="B18824" s="8" t="str">
        <f>HYPERLINK("https://twitter.com/Detektif_Ngibul","@Detektif_Ngibul")</f>
        <v>@Detektif_Ngibul</v>
      </c>
      <c r="C18824" s="8" t="s">
        <v>7758</v>
      </c>
      <c r="D18824" s="8">
        <v>0</v>
      </c>
      <c r="E18824" s="8">
        <v>0</v>
      </c>
      <c r="F18824" s="8">
        <v>1590</v>
      </c>
    </row>
    <row r="18825" spans="1:6" ht="12.75">
      <c r="A18825" s="8">
        <v>43895.83929398148</v>
      </c>
      <c r="B18825" s="8" t="str">
        <f>HYPERLINK("https://twitter.com/Rosi_KompasTV","@Rosi_KompasTV")</f>
        <v>@Rosi_KompasTV</v>
      </c>
      <c r="C18825" s="8" t="s">
        <v>7753</v>
      </c>
      <c r="D18825" s="8">
        <v>4</v>
      </c>
      <c r="E18825" s="8">
        <v>0</v>
      </c>
      <c r="F18825" s="8">
        <v>12814</v>
      </c>
    </row>
    <row r="18826" spans="1:6" ht="12.75">
      <c r="A18826" s="8">
        <v>43895.83861111111</v>
      </c>
      <c r="B18826" s="8" t="str">
        <f>HYPERLINK("https://twitter.com/Halimos15","@Halimos15")</f>
        <v>@Halimos15</v>
      </c>
      <c r="C18826" s="8" t="s">
        <v>7759</v>
      </c>
      <c r="D18826" s="8">
        <v>0</v>
      </c>
      <c r="E18826" s="8">
        <v>0</v>
      </c>
      <c r="F18826" s="8">
        <v>191</v>
      </c>
    </row>
    <row r="18827" spans="1:6" ht="12.75">
      <c r="A18827" s="8">
        <v>43895.837430555555</v>
      </c>
      <c r="B18827" s="8" t="str">
        <f>HYPERLINK("https://twitter.com/wbudi2003","@wbudi2003")</f>
        <v>@wbudi2003</v>
      </c>
      <c r="C18827" s="8" t="s">
        <v>3132</v>
      </c>
      <c r="D18827" s="8">
        <v>86</v>
      </c>
      <c r="E18827" s="8">
        <v>0</v>
      </c>
      <c r="F18827" s="8">
        <v>50</v>
      </c>
    </row>
    <row r="18828" spans="1:6" ht="12.75">
      <c r="A18828" s="8">
        <v>43895.836851851855</v>
      </c>
      <c r="B18828" s="8" t="str">
        <f>HYPERLINK("https://twitter.com/siagianharry","@siagianharry")</f>
        <v>@siagianharry</v>
      </c>
      <c r="C18828" s="8" t="s">
        <v>7760</v>
      </c>
      <c r="D18828" s="8">
        <v>0</v>
      </c>
      <c r="E18828" s="8">
        <v>0</v>
      </c>
      <c r="F18828" s="8">
        <v>402</v>
      </c>
    </row>
    <row r="18829" spans="1:6" ht="12.75">
      <c r="A18829" s="8">
        <v>43895.836701388893</v>
      </c>
      <c r="B18829" s="8" t="str">
        <f>HYPERLINK("https://twitter.com/Beritasatu","@Beritasatu")</f>
        <v>@Beritasatu</v>
      </c>
      <c r="C18829" s="8" t="s">
        <v>7761</v>
      </c>
      <c r="D18829" s="8">
        <v>0</v>
      </c>
      <c r="E18829" s="8">
        <v>0</v>
      </c>
      <c r="F18829" s="8">
        <v>618027</v>
      </c>
    </row>
    <row r="18830" spans="1:6" ht="12.75">
      <c r="A18830" s="8">
        <v>43895.836481481485</v>
      </c>
      <c r="B18830" s="8" t="str">
        <f>HYPERLINK("https://twitter.com/hipohan","@hipohan")</f>
        <v>@hipohan</v>
      </c>
      <c r="C18830" s="8" t="s">
        <v>7573</v>
      </c>
      <c r="D18830" s="8">
        <v>32</v>
      </c>
      <c r="E18830" s="8">
        <v>0</v>
      </c>
      <c r="F18830" s="8">
        <v>1253</v>
      </c>
    </row>
    <row r="18831" spans="1:6" ht="12.75">
      <c r="A18831" s="8">
        <v>43895.836041666669</v>
      </c>
      <c r="B18831" s="8" t="str">
        <f>HYPERLINK("https://twitter.com/Oparlupa","@Oparlupa")</f>
        <v>@Oparlupa</v>
      </c>
      <c r="C18831" s="8" t="s">
        <v>7762</v>
      </c>
      <c r="D18831" s="8">
        <v>0</v>
      </c>
      <c r="E18831" s="8">
        <v>0</v>
      </c>
      <c r="F18831" s="8">
        <v>69</v>
      </c>
    </row>
    <row r="18832" spans="1:6" ht="12.75">
      <c r="A18832" s="8">
        <v>43895.835752314815</v>
      </c>
      <c r="B18832" s="8" t="str">
        <f>HYPERLINK("https://twitter.com/pangeranz33","@pangeranz33")</f>
        <v>@pangeranz33</v>
      </c>
      <c r="C18832" s="8" t="s">
        <v>7763</v>
      </c>
      <c r="D18832" s="8">
        <v>0</v>
      </c>
      <c r="E18832" s="8">
        <v>0</v>
      </c>
      <c r="F18832" s="8">
        <v>480</v>
      </c>
    </row>
    <row r="18833" spans="1:6" ht="12.75">
      <c r="A18833" s="8">
        <v>43895.835625</v>
      </c>
      <c r="B18833" s="8" t="str">
        <f>HYPERLINK("https://twitter.com/msubhan21okt","@msubhan21okt")</f>
        <v>@msubhan21okt</v>
      </c>
      <c r="C18833" s="8" t="s">
        <v>7764</v>
      </c>
      <c r="D18833" s="8">
        <v>8</v>
      </c>
      <c r="E18833" s="8">
        <v>0</v>
      </c>
      <c r="F18833" s="8">
        <v>350</v>
      </c>
    </row>
    <row r="18834" spans="1:6" ht="12.75">
      <c r="A18834" s="8">
        <v>43895.834745370375</v>
      </c>
      <c r="B18834" s="8" t="str">
        <f>HYPERLINK("https://twitter.com/_kopilambada","@_kopilambada")</f>
        <v>@_kopilambada</v>
      </c>
      <c r="C18834" s="8" t="s">
        <v>7765</v>
      </c>
      <c r="D18834" s="8">
        <v>0</v>
      </c>
      <c r="E18834" s="8">
        <v>0</v>
      </c>
      <c r="F18834" s="8">
        <v>1</v>
      </c>
    </row>
    <row r="18835" spans="1:6" ht="12.75">
      <c r="A18835" s="8">
        <v>43895.834710648152</v>
      </c>
      <c r="B18835" s="8" t="str">
        <f>HYPERLINK("https://twitter.com/Ennurwanie","@Ennurwanie")</f>
        <v>@Ennurwanie</v>
      </c>
      <c r="C18835" s="8" t="s">
        <v>6222</v>
      </c>
      <c r="D18835" s="8">
        <v>40</v>
      </c>
      <c r="E18835" s="8">
        <v>0</v>
      </c>
      <c r="F18835" s="8">
        <v>36</v>
      </c>
    </row>
    <row r="18836" spans="1:6" ht="12.75">
      <c r="A18836" s="8">
        <v>43895.834525462968</v>
      </c>
      <c r="B18836" s="8" t="str">
        <f>HYPERLINK("https://twitter.com/VillaPanji","@VillaPanji")</f>
        <v>@VillaPanji</v>
      </c>
      <c r="C18836" s="8" t="s">
        <v>7766</v>
      </c>
      <c r="D18836" s="8">
        <v>42</v>
      </c>
      <c r="E18836" s="8">
        <v>0</v>
      </c>
      <c r="F18836" s="8">
        <v>551</v>
      </c>
    </row>
    <row r="18837" spans="1:6" ht="12.75">
      <c r="A18837" s="8">
        <v>43895.834247685183</v>
      </c>
      <c r="B18837" s="8" t="str">
        <f>HYPERLINK("https://twitter.com/SlametMuslim","@SlametMuslim")</f>
        <v>@SlametMuslim</v>
      </c>
      <c r="C18837" s="8" t="s">
        <v>7767</v>
      </c>
      <c r="D18837" s="8">
        <v>0</v>
      </c>
      <c r="E18837" s="8">
        <v>0</v>
      </c>
      <c r="F18837" s="8">
        <v>7527</v>
      </c>
    </row>
    <row r="18838" spans="1:6" ht="12.75">
      <c r="A18838" s="8">
        <v>43895.834166666667</v>
      </c>
      <c r="B18838" s="8" t="str">
        <f>HYPERLINK("https://twitter.com/LarasSiska2","@LarasSiska2")</f>
        <v>@LarasSiska2</v>
      </c>
      <c r="C18838" s="8" t="s">
        <v>7768</v>
      </c>
      <c r="D18838" s="8">
        <v>0</v>
      </c>
      <c r="E18838" s="8">
        <v>0</v>
      </c>
      <c r="F18838" s="8">
        <v>1</v>
      </c>
    </row>
    <row r="18839" spans="1:6" ht="12.75">
      <c r="A18839" s="8">
        <v>43895.834074074075</v>
      </c>
      <c r="B18839" s="8" t="str">
        <f>HYPERLINK("https://twitter.com/MataNKRI","@MataNKRI")</f>
        <v>@MataNKRI</v>
      </c>
      <c r="C18839" s="8" t="s">
        <v>5878</v>
      </c>
      <c r="D18839" s="8">
        <v>15</v>
      </c>
      <c r="E18839" s="8">
        <v>0</v>
      </c>
      <c r="F18839" s="8">
        <v>342</v>
      </c>
    </row>
    <row r="18840" spans="1:6" ht="12.75">
      <c r="A18840" s="8">
        <v>43895.833113425921</v>
      </c>
      <c r="B18840" s="8" t="str">
        <f>HYPERLINK("https://twitter.com/AlfaOmega0110","@AlfaOmega0110")</f>
        <v>@AlfaOmega0110</v>
      </c>
      <c r="C18840" s="8" t="s">
        <v>7769</v>
      </c>
      <c r="D18840" s="8">
        <v>0</v>
      </c>
      <c r="E18840" s="8">
        <v>0</v>
      </c>
      <c r="F18840" s="8">
        <v>1318</v>
      </c>
    </row>
    <row r="18841" spans="1:6" ht="12.75">
      <c r="A18841" s="8">
        <v>43895.832986111112</v>
      </c>
      <c r="B18841" s="8" t="str">
        <f>HYPERLINK("https://twitter.com/gubauw","@gubauw")</f>
        <v>@gubauw</v>
      </c>
      <c r="C18841" s="8" t="s">
        <v>6818</v>
      </c>
      <c r="D18841" s="8">
        <v>16</v>
      </c>
      <c r="E18841" s="8">
        <v>0</v>
      </c>
      <c r="F18841" s="8">
        <v>185</v>
      </c>
    </row>
    <row r="18842" spans="1:6" ht="12.75">
      <c r="A18842" s="8">
        <v>43895.832858796297</v>
      </c>
      <c r="B18842" s="8" t="str">
        <f>HYPERLINK("https://twitter.com/LilianaNita","@LilianaNita")</f>
        <v>@LilianaNita</v>
      </c>
      <c r="C18842" s="8" t="s">
        <v>1078</v>
      </c>
      <c r="D18842" s="8">
        <v>572</v>
      </c>
      <c r="E18842" s="8">
        <v>0</v>
      </c>
      <c r="F18842" s="8">
        <v>1332</v>
      </c>
    </row>
    <row r="18843" spans="1:6" ht="12.75">
      <c r="A18843" s="8">
        <v>43895.83284722222</v>
      </c>
      <c r="B18843" s="8" t="str">
        <f>HYPERLINK("https://twitter.com/Galangpmgks","@Galangpmgks")</f>
        <v>@Galangpmgks</v>
      </c>
      <c r="C18843" s="8" t="s">
        <v>1078</v>
      </c>
      <c r="D18843" s="8">
        <v>572</v>
      </c>
      <c r="E18843" s="8">
        <v>0</v>
      </c>
      <c r="F18843" s="8">
        <v>346</v>
      </c>
    </row>
    <row r="18844" spans="1:6" ht="12.75">
      <c r="A18844" s="8">
        <v>43895.83222222222</v>
      </c>
      <c r="B18844" s="8" t="str">
        <f>HYPERLINK("https://twitter.com/AlfaOmega0110","@AlfaOmega0110")</f>
        <v>@AlfaOmega0110</v>
      </c>
      <c r="C18844" s="8" t="s">
        <v>7770</v>
      </c>
      <c r="D18844" s="8">
        <v>0</v>
      </c>
      <c r="E18844" s="8">
        <v>0</v>
      </c>
      <c r="F18844" s="8">
        <v>1318</v>
      </c>
    </row>
    <row r="18845" spans="1:6" ht="12.75">
      <c r="A18845" s="8">
        <v>43895.832152777773</v>
      </c>
      <c r="B18845" s="8" t="str">
        <f>HYPERLINK("https://twitter.com/r0nggo05","@r0nggo05")</f>
        <v>@r0nggo05</v>
      </c>
      <c r="C18845" s="8" t="s">
        <v>5878</v>
      </c>
      <c r="D18845" s="8">
        <v>15</v>
      </c>
      <c r="E18845" s="8">
        <v>0</v>
      </c>
      <c r="F18845" s="8">
        <v>328</v>
      </c>
    </row>
    <row r="18846" spans="1:6" ht="12.75">
      <c r="A18846" s="8">
        <v>43895.83194444445</v>
      </c>
      <c r="B18846" s="8" t="str">
        <f>HYPERLINK("https://twitter.com/AwaluddinBein","@AwaluddinBein")</f>
        <v>@AwaluddinBein</v>
      </c>
      <c r="C18846" s="8" t="s">
        <v>5878</v>
      </c>
      <c r="D18846" s="8">
        <v>15</v>
      </c>
      <c r="E18846" s="8">
        <v>0</v>
      </c>
      <c r="F18846" s="8">
        <v>21</v>
      </c>
    </row>
    <row r="18847" spans="1:6" ht="12.75">
      <c r="A18847" s="8">
        <v>43895.831030092595</v>
      </c>
      <c r="B18847" s="8" t="str">
        <f>HYPERLINK("https://twitter.com/Kebenaran_HQQ","@Kebenaran_HQQ")</f>
        <v>@Kebenaran_HQQ</v>
      </c>
      <c r="C18847" s="8" t="s">
        <v>2979</v>
      </c>
      <c r="D18847" s="8">
        <v>230</v>
      </c>
      <c r="E18847" s="8">
        <v>0</v>
      </c>
      <c r="F18847" s="8">
        <v>1101</v>
      </c>
    </row>
    <row r="18848" spans="1:6" ht="12.75">
      <c r="A18848" s="8">
        <v>43895.830810185187</v>
      </c>
      <c r="B18848" s="8" t="str">
        <f>HYPERLINK("https://twitter.com/_wni_","@_wni_")</f>
        <v>@_wni_</v>
      </c>
      <c r="C18848" s="8" t="s">
        <v>7771</v>
      </c>
      <c r="D18848" s="8">
        <v>0</v>
      </c>
      <c r="E18848" s="8">
        <v>0</v>
      </c>
      <c r="F18848" s="8">
        <v>14</v>
      </c>
    </row>
    <row r="18849" spans="1:6" ht="12.75">
      <c r="A18849" s="8">
        <v>43895.830671296295</v>
      </c>
      <c r="B18849" s="8" t="str">
        <f>HYPERLINK("https://twitter.com/genostlly","@genostlly")</f>
        <v>@genostlly</v>
      </c>
      <c r="C18849" s="8" t="s">
        <v>1078</v>
      </c>
      <c r="D18849" s="8">
        <v>572</v>
      </c>
      <c r="E18849" s="8">
        <v>0</v>
      </c>
      <c r="F18849" s="8">
        <v>722</v>
      </c>
    </row>
    <row r="18850" spans="1:6" ht="12.75">
      <c r="A18850" s="8">
        <v>43895.830138888894</v>
      </c>
      <c r="B18850" s="8" t="str">
        <f>HYPERLINK("https://twitter.com/topinfo_id","@topinfo_id")</f>
        <v>@topinfo_id</v>
      </c>
      <c r="C18850" s="8" t="s">
        <v>7772</v>
      </c>
      <c r="D18850" s="8">
        <v>0</v>
      </c>
      <c r="E18850" s="8">
        <v>0</v>
      </c>
      <c r="F18850" s="8">
        <v>45</v>
      </c>
    </row>
    <row r="18851" spans="1:6" ht="12.75">
      <c r="A18851" s="8">
        <v>43895.83012731481</v>
      </c>
      <c r="B18851" s="8" t="str">
        <f>HYPERLINK("https://twitter.com/Zudis5","@Zudis5")</f>
        <v>@Zudis5</v>
      </c>
      <c r="C18851" s="8" t="s">
        <v>1078</v>
      </c>
      <c r="D18851" s="8">
        <v>572</v>
      </c>
      <c r="E18851" s="8">
        <v>0</v>
      </c>
      <c r="F18851" s="8">
        <v>241</v>
      </c>
    </row>
    <row r="18852" spans="1:6" ht="12.75">
      <c r="A18852" s="8">
        <v>43895.829652777778</v>
      </c>
      <c r="B18852" s="8" t="str">
        <f>HYPERLINK("https://twitter.com/sangamei","@sangamei")</f>
        <v>@sangamei</v>
      </c>
      <c r="C18852" s="8" t="s">
        <v>7773</v>
      </c>
      <c r="D18852" s="8">
        <v>0</v>
      </c>
      <c r="E18852" s="8">
        <v>0</v>
      </c>
      <c r="F18852" s="8">
        <v>1604</v>
      </c>
    </row>
    <row r="18853" spans="1:6" ht="12.75">
      <c r="A18853" s="8">
        <v>43895.829432870371</v>
      </c>
      <c r="B18853" s="8" t="str">
        <f>HYPERLINK("https://twitter.com/ObySobri","@ObySobri")</f>
        <v>@ObySobri</v>
      </c>
      <c r="C18853" s="8" t="s">
        <v>1078</v>
      </c>
      <c r="D18853" s="8">
        <v>572</v>
      </c>
      <c r="E18853" s="8">
        <v>0</v>
      </c>
      <c r="F18853" s="8">
        <v>1597</v>
      </c>
    </row>
    <row r="18854" spans="1:6" ht="12.75">
      <c r="A18854" s="8">
        <v>43895.829375000001</v>
      </c>
      <c r="B18854" s="8" t="str">
        <f>HYPERLINK("https://twitter.com/greenxxblue","@greenxxblue")</f>
        <v>@greenxxblue</v>
      </c>
      <c r="C18854" s="8" t="s">
        <v>3132</v>
      </c>
      <c r="D18854" s="8">
        <v>86</v>
      </c>
      <c r="E18854" s="8">
        <v>0</v>
      </c>
      <c r="F18854" s="8">
        <v>3544</v>
      </c>
    </row>
    <row r="18855" spans="1:6" ht="12.75">
      <c r="A18855" s="8">
        <v>43895.82917824074</v>
      </c>
      <c r="B18855" s="8" t="str">
        <f>HYPERLINK("https://twitter.com/putrimarsellina","@putrimarsellina")</f>
        <v>@putrimarsellina</v>
      </c>
      <c r="C18855" s="8" t="s">
        <v>7774</v>
      </c>
      <c r="D18855" s="8">
        <v>6</v>
      </c>
      <c r="E18855" s="8">
        <v>0</v>
      </c>
      <c r="F18855" s="8">
        <v>455</v>
      </c>
    </row>
    <row r="18856" spans="1:6" ht="12.75">
      <c r="A18856" s="8">
        <v>43895.829166666663</v>
      </c>
      <c r="B18856" s="8" t="str">
        <f>HYPERLINK("https://twitter.com/Zulhaqie1","@Zulhaqie1")</f>
        <v>@Zulhaqie1</v>
      </c>
      <c r="C18856" s="8" t="s">
        <v>7775</v>
      </c>
      <c r="D18856" s="8">
        <v>0</v>
      </c>
      <c r="E18856" s="8">
        <v>0</v>
      </c>
      <c r="F18856" s="8">
        <v>9</v>
      </c>
    </row>
    <row r="18857" spans="1:6" ht="12.75">
      <c r="A18857" s="8">
        <v>43895.828912037032</v>
      </c>
      <c r="B18857" s="8" t="str">
        <f>HYPERLINK("https://twitter.com/_wni_","@_wni_")</f>
        <v>@_wni_</v>
      </c>
      <c r="C18857" s="8" t="s">
        <v>7776</v>
      </c>
      <c r="D18857" s="8">
        <v>0</v>
      </c>
      <c r="E18857" s="8">
        <v>0</v>
      </c>
      <c r="F18857" s="8">
        <v>14</v>
      </c>
    </row>
    <row r="18858" spans="1:6" ht="12.75">
      <c r="A18858" s="8">
        <v>43895.828842592593</v>
      </c>
      <c r="B18858" s="8" t="str">
        <f>HYPERLINK("https://twitter.com/SutrisnoPradja","@SutrisnoPradja")</f>
        <v>@SutrisnoPradja</v>
      </c>
      <c r="C18858" s="8" t="s">
        <v>7473</v>
      </c>
      <c r="D18858" s="8">
        <v>373</v>
      </c>
      <c r="E18858" s="8">
        <v>0</v>
      </c>
      <c r="F18858" s="8">
        <v>306</v>
      </c>
    </row>
    <row r="18859" spans="1:6" ht="12.75">
      <c r="A18859" s="8">
        <v>43895.828715277778</v>
      </c>
      <c r="B18859" s="8" t="str">
        <f>HYPERLINK("https://twitter.com/iqbalirfany","@iqbalirfany")</f>
        <v>@iqbalirfany</v>
      </c>
      <c r="C18859" s="8" t="s">
        <v>7777</v>
      </c>
      <c r="D18859" s="8">
        <v>0</v>
      </c>
      <c r="E18859" s="8">
        <v>0</v>
      </c>
      <c r="F18859" s="8">
        <v>1267</v>
      </c>
    </row>
    <row r="18860" spans="1:6" ht="12.75">
      <c r="A18860" s="8">
        <v>43895.828692129631</v>
      </c>
      <c r="B18860" s="8" t="str">
        <f>HYPERLINK("https://twitter.com/Gabrielwilhem1","@Gabrielwilhem1")</f>
        <v>@Gabrielwilhem1</v>
      </c>
      <c r="C18860" s="8" t="s">
        <v>1343</v>
      </c>
      <c r="D18860" s="8">
        <v>4</v>
      </c>
      <c r="E18860" s="8">
        <v>0</v>
      </c>
      <c r="F18860" s="8">
        <v>7</v>
      </c>
    </row>
    <row r="18861" spans="1:6" ht="12.75">
      <c r="A18861" s="8">
        <v>43895.828333333338</v>
      </c>
      <c r="B18861" s="8" t="str">
        <f>HYPERLINK("https://twitter.com/mba_luvy","@mba_luvy")</f>
        <v>@mba_luvy</v>
      </c>
      <c r="C18861" s="8" t="s">
        <v>5878</v>
      </c>
      <c r="D18861" s="8">
        <v>15</v>
      </c>
      <c r="E18861" s="8">
        <v>0</v>
      </c>
      <c r="F18861" s="8">
        <v>1</v>
      </c>
    </row>
    <row r="18862" spans="1:6" ht="12.75">
      <c r="A18862" s="8">
        <v>43895.828032407408</v>
      </c>
      <c r="B18862" s="8" t="str">
        <f>HYPERLINK("https://twitter.com/Widya27213661","@Widya27213661")</f>
        <v>@Widya27213661</v>
      </c>
      <c r="C18862" s="8" t="s">
        <v>7778</v>
      </c>
      <c r="D18862" s="8">
        <v>0</v>
      </c>
      <c r="E18862" s="8">
        <v>1</v>
      </c>
      <c r="F18862" s="8">
        <v>1553</v>
      </c>
    </row>
    <row r="18863" spans="1:6" ht="12.75">
      <c r="A18863" s="8">
        <v>43895.827962962961</v>
      </c>
      <c r="B18863" s="8" t="str">
        <f>HYPERLINK("https://twitter.com/Arowana_Merah","@Arowana_Merah")</f>
        <v>@Arowana_Merah</v>
      </c>
      <c r="C18863" s="8" t="s">
        <v>5878</v>
      </c>
      <c r="D18863" s="8">
        <v>15</v>
      </c>
      <c r="E18863" s="8">
        <v>0</v>
      </c>
      <c r="F18863" s="8">
        <v>3</v>
      </c>
    </row>
    <row r="18864" spans="1:6" ht="12.75">
      <c r="A18864" s="8">
        <v>43895.827523148153</v>
      </c>
      <c r="B18864" s="8" t="str">
        <f>HYPERLINK("https://twitter.com/Loon_Cah","@Loon_Cah")</f>
        <v>@Loon_Cah</v>
      </c>
      <c r="C18864" s="8" t="s">
        <v>5878</v>
      </c>
      <c r="D18864" s="8">
        <v>15</v>
      </c>
      <c r="E18864" s="8">
        <v>0</v>
      </c>
      <c r="F18864" s="8">
        <v>6</v>
      </c>
    </row>
    <row r="18865" spans="1:6" ht="12.75">
      <c r="A18865" s="8">
        <v>43895.827002314814</v>
      </c>
      <c r="B18865" s="8" t="str">
        <f>HYPERLINK("https://twitter.com/Roullandst","@Roullandst")</f>
        <v>@Roullandst</v>
      </c>
      <c r="C18865" s="8" t="s">
        <v>5878</v>
      </c>
      <c r="D18865" s="8">
        <v>15</v>
      </c>
      <c r="E18865" s="8">
        <v>0</v>
      </c>
      <c r="F18865" s="8">
        <v>3</v>
      </c>
    </row>
    <row r="18866" spans="1:6" ht="12.75">
      <c r="A18866" s="8">
        <v>43895.826817129629</v>
      </c>
      <c r="B18866" s="8" t="str">
        <f>HYPERLINK("https://twitter.com/rosniarike","@rosniarike")</f>
        <v>@rosniarike</v>
      </c>
      <c r="C18866" s="8" t="s">
        <v>7245</v>
      </c>
      <c r="D18866" s="8">
        <v>62</v>
      </c>
      <c r="E18866" s="8">
        <v>0</v>
      </c>
      <c r="F18866" s="8">
        <v>32</v>
      </c>
    </row>
    <row r="18867" spans="1:6" ht="12.75">
      <c r="A18867" s="8">
        <v>43895.826574074075</v>
      </c>
      <c r="B18867" s="8" t="str">
        <f>HYPERLINK("https://twitter.com/pemujarockers","@pemujarockers")</f>
        <v>@pemujarockers</v>
      </c>
      <c r="C18867" s="8" t="s">
        <v>5878</v>
      </c>
      <c r="D18867" s="8">
        <v>15</v>
      </c>
      <c r="E18867" s="8">
        <v>0</v>
      </c>
      <c r="F18867" s="8">
        <v>1</v>
      </c>
    </row>
    <row r="18868" spans="1:6" ht="12.75">
      <c r="A18868" s="8">
        <v>43895.825740740736</v>
      </c>
      <c r="B18868" s="8" t="str">
        <f>HYPERLINK("https://twitter.com/AlfaOmega0110","@AlfaOmega0110")</f>
        <v>@AlfaOmega0110</v>
      </c>
      <c r="C18868" s="8" t="s">
        <v>7779</v>
      </c>
      <c r="D18868" s="8">
        <v>0</v>
      </c>
      <c r="E18868" s="8">
        <v>4</v>
      </c>
      <c r="F18868" s="8">
        <v>1318</v>
      </c>
    </row>
    <row r="18869" spans="1:6" ht="12.75">
      <c r="A18869" s="8">
        <v>43895.825462962966</v>
      </c>
      <c r="B18869" s="8" t="str">
        <f>HYPERLINK("https://twitter.com/HumasTeam","@HumasTeam")</f>
        <v>@HumasTeam</v>
      </c>
      <c r="C18869" s="8" t="s">
        <v>7780</v>
      </c>
      <c r="D18869" s="8">
        <v>0</v>
      </c>
      <c r="E18869" s="8">
        <v>0</v>
      </c>
      <c r="F18869" s="8">
        <v>185</v>
      </c>
    </row>
    <row r="18870" spans="1:6" ht="12.75">
      <c r="A18870" s="8">
        <v>43895.82539351852</v>
      </c>
      <c r="B18870" s="8" t="str">
        <f>HYPERLINK("https://twitter.com/99garislucu","@99garislucu")</f>
        <v>@99garislucu</v>
      </c>
      <c r="C18870" s="8" t="s">
        <v>7781</v>
      </c>
      <c r="D18870" s="8">
        <v>1</v>
      </c>
      <c r="E18870" s="8">
        <v>0</v>
      </c>
      <c r="F18870" s="8">
        <v>1008</v>
      </c>
    </row>
    <row r="18871" spans="1:6" ht="12.75">
      <c r="A18871" s="8">
        <v>43895.825370370367</v>
      </c>
      <c r="B18871" s="8" t="str">
        <f>HYPERLINK("https://twitter.com/benzgabriel","@benzgabriel")</f>
        <v>@benzgabriel</v>
      </c>
      <c r="C18871" s="8" t="s">
        <v>1078</v>
      </c>
      <c r="D18871" s="8">
        <v>572</v>
      </c>
      <c r="E18871" s="8">
        <v>0</v>
      </c>
      <c r="F18871" s="8">
        <v>1066</v>
      </c>
    </row>
    <row r="18872" spans="1:6" ht="12.75">
      <c r="A18872" s="8">
        <v>43895.825104166666</v>
      </c>
      <c r="B18872" s="8" t="str">
        <f>HYPERLINK("https://twitter.com/RioJunior5","@RioJunior5")</f>
        <v>@RioJunior5</v>
      </c>
      <c r="C18872" s="8" t="s">
        <v>5878</v>
      </c>
      <c r="D18872" s="8">
        <v>15</v>
      </c>
      <c r="E18872" s="8">
        <v>0</v>
      </c>
      <c r="F18872" s="8">
        <v>112</v>
      </c>
    </row>
    <row r="18873" spans="1:6" ht="12.75">
      <c r="A18873" s="8">
        <v>43895.824594907404</v>
      </c>
      <c r="B18873" s="8" t="str">
        <f>HYPERLINK("https://twitter.com/tuangtigagelass","@tuangtigagelass")</f>
        <v>@tuangtigagelass</v>
      </c>
      <c r="C18873" s="8" t="s">
        <v>1970</v>
      </c>
      <c r="D18873" s="8">
        <v>1349</v>
      </c>
      <c r="E18873" s="8">
        <v>0</v>
      </c>
      <c r="F18873" s="8">
        <v>947</v>
      </c>
    </row>
    <row r="18874" spans="1:6" ht="12.75">
      <c r="A18874" s="8">
        <v>43895.824513888889</v>
      </c>
      <c r="B18874" s="8" t="str">
        <f>HYPERLINK("https://twitter.com/visitortwt1","@visitortwt1")</f>
        <v>@visitortwt1</v>
      </c>
      <c r="C18874" s="8" t="s">
        <v>1078</v>
      </c>
      <c r="D18874" s="8">
        <v>572</v>
      </c>
      <c r="E18874" s="8">
        <v>0</v>
      </c>
      <c r="F18874" s="8">
        <v>422</v>
      </c>
    </row>
    <row r="18875" spans="1:6" ht="12.75">
      <c r="A18875" s="8">
        <v>43895.824282407411</v>
      </c>
      <c r="B18875" s="8" t="str">
        <f>HYPERLINK("https://twitter.com/11straker","@11straker")</f>
        <v>@11straker</v>
      </c>
      <c r="C18875" s="8" t="s">
        <v>7575</v>
      </c>
      <c r="D18875" s="8">
        <v>65</v>
      </c>
      <c r="E18875" s="8">
        <v>0</v>
      </c>
      <c r="F18875" s="8">
        <v>1116</v>
      </c>
    </row>
    <row r="18876" spans="1:6" ht="12.75">
      <c r="A18876" s="8">
        <v>43895.824236111112</v>
      </c>
      <c r="B18876" s="8" t="str">
        <f>HYPERLINK("https://twitter.com/filthonearth","@filthonearth")</f>
        <v>@filthonearth</v>
      </c>
      <c r="C18876" s="8" t="s">
        <v>3132</v>
      </c>
      <c r="D18876" s="8">
        <v>86</v>
      </c>
      <c r="E18876" s="8">
        <v>0</v>
      </c>
      <c r="F18876" s="8">
        <v>130</v>
      </c>
    </row>
    <row r="18877" spans="1:6" ht="12.75">
      <c r="A18877" s="8">
        <v>43895.824201388888</v>
      </c>
      <c r="B18877" s="8" t="str">
        <f>HYPERLINK("https://twitter.com/KomiteTvri","@KomiteTvri")</f>
        <v>@KomiteTvri</v>
      </c>
      <c r="C18877" s="8" t="s">
        <v>5878</v>
      </c>
      <c r="D18877" s="8">
        <v>15</v>
      </c>
      <c r="E18877" s="8">
        <v>0</v>
      </c>
      <c r="F18877" s="8">
        <v>31</v>
      </c>
    </row>
    <row r="18878" spans="1:6" ht="12.75">
      <c r="A18878" s="8">
        <v>43895.824050925927</v>
      </c>
      <c r="B18878" s="8" t="str">
        <f>HYPERLINK("https://twitter.com/k4ng_C1reNG","@k4ng_C1reNG")</f>
        <v>@k4ng_C1reNG</v>
      </c>
      <c r="C18878" s="8" t="s">
        <v>7189</v>
      </c>
      <c r="D18878" s="8">
        <v>33</v>
      </c>
      <c r="E18878" s="8">
        <v>0</v>
      </c>
      <c r="F18878" s="8">
        <v>4112</v>
      </c>
    </row>
    <row r="18879" spans="1:6" ht="12.75">
      <c r="A18879" s="8">
        <v>43895.823912037042</v>
      </c>
      <c r="B18879" s="8" t="str">
        <f>HYPERLINK("https://twitter.com/Pungkas3","@Pungkas3")</f>
        <v>@Pungkas3</v>
      </c>
      <c r="C18879" s="8" t="s">
        <v>7782</v>
      </c>
      <c r="D18879" s="8">
        <v>0</v>
      </c>
      <c r="E18879" s="8">
        <v>0</v>
      </c>
      <c r="F18879" s="8">
        <v>372</v>
      </c>
    </row>
    <row r="18880" spans="1:6" ht="12.75">
      <c r="A18880" s="8">
        <v>43895.823865740742</v>
      </c>
      <c r="B18880" s="8" t="str">
        <f>HYPERLINK("https://twitter.com/ayokgagah","@ayokgagah")</f>
        <v>@ayokgagah</v>
      </c>
      <c r="C18880" s="8" t="s">
        <v>7783</v>
      </c>
      <c r="D18880" s="8">
        <v>0</v>
      </c>
      <c r="E18880" s="8">
        <v>0</v>
      </c>
      <c r="F18880" s="8">
        <v>16</v>
      </c>
    </row>
    <row r="18881" spans="1:6" ht="12.75">
      <c r="A18881" s="8">
        <v>43895.823587962965</v>
      </c>
      <c r="B18881" s="8" t="str">
        <f>HYPERLINK("https://twitter.com/dwytono","@dwytono")</f>
        <v>@dwytono</v>
      </c>
      <c r="C18881" s="8" t="s">
        <v>1078</v>
      </c>
      <c r="D18881" s="8">
        <v>572</v>
      </c>
      <c r="E18881" s="8">
        <v>0</v>
      </c>
      <c r="F18881" s="8">
        <v>1877</v>
      </c>
    </row>
    <row r="18882" spans="1:6" ht="12.75">
      <c r="A18882" s="8">
        <v>43895.82335648148</v>
      </c>
      <c r="B18882" s="8" t="str">
        <f>HYPERLINK("https://twitter.com/Susanto13895819","@Susanto13895819")</f>
        <v>@Susanto13895819</v>
      </c>
      <c r="C18882" s="8" t="s">
        <v>7189</v>
      </c>
      <c r="D18882" s="8">
        <v>33</v>
      </c>
      <c r="E18882" s="8">
        <v>0</v>
      </c>
      <c r="F18882" s="8">
        <v>643</v>
      </c>
    </row>
    <row r="18883" spans="1:6" ht="12.75">
      <c r="A18883" s="8">
        <v>43895.823148148149</v>
      </c>
      <c r="B18883" s="8" t="str">
        <f>HYPERLINK("https://twitter.com/Lion33432792","@Lion33432792")</f>
        <v>@Lion33432792</v>
      </c>
      <c r="C18883" s="8" t="s">
        <v>1078</v>
      </c>
      <c r="D18883" s="8">
        <v>572</v>
      </c>
      <c r="E18883" s="8">
        <v>0</v>
      </c>
      <c r="F18883" s="8">
        <v>181</v>
      </c>
    </row>
    <row r="18884" spans="1:6" ht="12.75">
      <c r="A18884" s="8">
        <v>43895.822662037041</v>
      </c>
      <c r="B18884" s="8" t="str">
        <f>HYPERLINK("https://twitter.com/DrajatSatria","@DrajatSatria")</f>
        <v>@DrajatSatria</v>
      </c>
      <c r="C18884" s="8" t="s">
        <v>7784</v>
      </c>
      <c r="D18884" s="8">
        <v>0</v>
      </c>
      <c r="E18884" s="8">
        <v>0</v>
      </c>
      <c r="F18884" s="8">
        <v>430</v>
      </c>
    </row>
    <row r="18885" spans="1:6" ht="12.75">
      <c r="A18885" s="8">
        <v>43895.822187500002</v>
      </c>
      <c r="B18885" s="8" t="str">
        <f>HYPERLINK("https://twitter.com/wilmanbhigu1108","@wilmanbhigu1108")</f>
        <v>@wilmanbhigu1108</v>
      </c>
      <c r="C18885" s="8" t="s">
        <v>7785</v>
      </c>
      <c r="D18885" s="8">
        <v>0</v>
      </c>
      <c r="E18885" s="8">
        <v>0</v>
      </c>
      <c r="F18885" s="8">
        <v>462</v>
      </c>
    </row>
    <row r="18886" spans="1:6" ht="12.75">
      <c r="A18886" s="8">
        <v>43895.82203703704</v>
      </c>
      <c r="B18886" s="8" t="str">
        <f>HYPERLINK("https://twitter.com/WawanJuniawan15","@WawanJuniawan15")</f>
        <v>@WawanJuniawan15</v>
      </c>
      <c r="C18886" s="8" t="s">
        <v>5878</v>
      </c>
      <c r="D18886" s="8">
        <v>15</v>
      </c>
      <c r="E18886" s="8">
        <v>0</v>
      </c>
      <c r="F18886" s="8">
        <v>12</v>
      </c>
    </row>
    <row r="18887" spans="1:6" ht="12.75">
      <c r="A18887" s="8">
        <v>43895.821828703702</v>
      </c>
      <c r="B18887" s="8" t="str">
        <f>HYPERLINK("https://twitter.com/jon1_14","@jon1_14")</f>
        <v>@jon1_14</v>
      </c>
      <c r="C18887" s="8" t="s">
        <v>1078</v>
      </c>
      <c r="D18887" s="8">
        <v>572</v>
      </c>
      <c r="E18887" s="8">
        <v>0</v>
      </c>
      <c r="F18887" s="8">
        <v>141</v>
      </c>
    </row>
    <row r="18888" spans="1:6" ht="12.75">
      <c r="A18888" s="8">
        <v>43895.821354166663</v>
      </c>
      <c r="B18888" s="8" t="str">
        <f>HYPERLINK("https://twitter.com/BarnoTiar","@BarnoTiar")</f>
        <v>@BarnoTiar</v>
      </c>
      <c r="C18888" s="8" t="s">
        <v>5878</v>
      </c>
      <c r="D18888" s="8">
        <v>15</v>
      </c>
      <c r="E18888" s="8">
        <v>0</v>
      </c>
      <c r="F18888" s="8">
        <v>53</v>
      </c>
    </row>
    <row r="18889" spans="1:6" ht="12.75">
      <c r="A18889" s="8">
        <v>43895.819965277777</v>
      </c>
      <c r="B18889" s="8" t="str">
        <f>HYPERLINK("https://twitter.com/JambiCintaDamai","@JambiCintaDamai")</f>
        <v>@JambiCintaDamai</v>
      </c>
      <c r="C18889" s="8" t="s">
        <v>5878</v>
      </c>
      <c r="D18889" s="8">
        <v>15</v>
      </c>
      <c r="E18889" s="8">
        <v>0</v>
      </c>
      <c r="F18889" s="8">
        <v>547</v>
      </c>
    </row>
    <row r="18890" spans="1:6" ht="12.75">
      <c r="A18890" s="8">
        <v>43895.81962962963</v>
      </c>
      <c r="B18890" s="8" t="str">
        <f>HYPERLINK("https://twitter.com/DrlRambe","@DrlRambe")</f>
        <v>@DrlRambe</v>
      </c>
      <c r="C18890" s="8" t="s">
        <v>7245</v>
      </c>
      <c r="D18890" s="8">
        <v>62</v>
      </c>
      <c r="E18890" s="8">
        <v>0</v>
      </c>
      <c r="F18890" s="8">
        <v>203</v>
      </c>
    </row>
    <row r="18891" spans="1:6" ht="12.75">
      <c r="A18891" s="8">
        <v>43895.81958333333</v>
      </c>
      <c r="B18891" s="8" t="str">
        <f>HYPERLINK("https://twitter.com/sidewii","@sidewii")</f>
        <v>@sidewii</v>
      </c>
      <c r="C18891" s="8" t="s">
        <v>7786</v>
      </c>
      <c r="D18891" s="8">
        <v>1</v>
      </c>
      <c r="E18891" s="8">
        <v>0</v>
      </c>
      <c r="F18891" s="8">
        <v>2484</v>
      </c>
    </row>
    <row r="18892" spans="1:6" ht="12.75">
      <c r="A18892" s="8">
        <v>43895.819444444445</v>
      </c>
      <c r="B18892" s="8" t="str">
        <f>HYPERLINK("https://twitter.com/DrlRambe","@DrlRambe")</f>
        <v>@DrlRambe</v>
      </c>
      <c r="C18892" s="8" t="s">
        <v>7787</v>
      </c>
      <c r="D18892" s="8">
        <v>0</v>
      </c>
      <c r="E18892" s="8">
        <v>0</v>
      </c>
      <c r="F18892" s="8">
        <v>203</v>
      </c>
    </row>
    <row r="18893" spans="1:6" ht="12.75">
      <c r="A18893" s="8">
        <v>43895.819212962961</v>
      </c>
      <c r="B18893" s="8" t="str">
        <f>HYPERLINK("https://twitter.com/reviel08","@reviel08")</f>
        <v>@reviel08</v>
      </c>
      <c r="C18893" s="8" t="s">
        <v>7788</v>
      </c>
      <c r="D18893" s="8">
        <v>1</v>
      </c>
      <c r="E18893" s="8">
        <v>0</v>
      </c>
      <c r="F18893" s="8">
        <v>738</v>
      </c>
    </row>
    <row r="18894" spans="1:6" ht="12.75">
      <c r="A18894" s="8">
        <v>43895.81895833333</v>
      </c>
      <c r="B18894" s="8" t="str">
        <f>HYPERLINK("https://twitter.com/saifuddeen89","@saifuddeen89")</f>
        <v>@saifuddeen89</v>
      </c>
      <c r="C18894" s="8" t="s">
        <v>7789</v>
      </c>
      <c r="D18894" s="8">
        <v>0</v>
      </c>
      <c r="E18894" s="8">
        <v>0</v>
      </c>
      <c r="F18894" s="8">
        <v>175</v>
      </c>
    </row>
    <row r="18895" spans="1:6" ht="12.75">
      <c r="A18895" s="8">
        <v>43895.818611111114</v>
      </c>
      <c r="B18895" s="8" t="str">
        <f>HYPERLINK("https://twitter.com/cadarmerah","@cadarmerah")</f>
        <v>@cadarmerah</v>
      </c>
      <c r="C18895" s="8" t="s">
        <v>7189</v>
      </c>
      <c r="D18895" s="8">
        <v>33</v>
      </c>
      <c r="E18895" s="8">
        <v>0</v>
      </c>
      <c r="F18895" s="8">
        <v>5664</v>
      </c>
    </row>
    <row r="18896" spans="1:6" ht="12.75">
      <c r="A18896" s="8">
        <v>43895.81858796296</v>
      </c>
      <c r="B18896" s="8" t="str">
        <f>HYPERLINK("https://twitter.com/TVRINasional","@TVRINasional")</f>
        <v>@TVRINasional</v>
      </c>
      <c r="C18896" s="8" t="s">
        <v>5878</v>
      </c>
      <c r="D18896" s="8">
        <v>15</v>
      </c>
      <c r="E18896" s="8">
        <v>0</v>
      </c>
      <c r="F18896" s="8">
        <v>104685</v>
      </c>
    </row>
    <row r="18897" spans="1:6" ht="12.75">
      <c r="A18897" s="8">
        <v>43895.818576388891</v>
      </c>
      <c r="B18897" s="8" t="str">
        <f>HYPERLINK("https://twitter.com/purnomo_jati1","@purnomo_jati1")</f>
        <v>@purnomo_jati1</v>
      </c>
      <c r="C18897" s="8" t="s">
        <v>7790</v>
      </c>
      <c r="D18897" s="8">
        <v>0</v>
      </c>
      <c r="E18897" s="8">
        <v>0</v>
      </c>
      <c r="F18897" s="8">
        <v>338</v>
      </c>
    </row>
    <row r="18898" spans="1:6" ht="12.75">
      <c r="A18898" s="8">
        <v>43895.81832175926</v>
      </c>
      <c r="B18898" s="8" t="str">
        <f>HYPERLINK("https://twitter.com/felixboomy","@felixboomy")</f>
        <v>@felixboomy</v>
      </c>
      <c r="C18898" s="8" t="s">
        <v>1078</v>
      </c>
      <c r="D18898" s="8">
        <v>572</v>
      </c>
      <c r="E18898" s="8">
        <v>0</v>
      </c>
      <c r="F18898" s="8">
        <v>320</v>
      </c>
    </row>
    <row r="18899" spans="1:6" ht="12.75">
      <c r="A18899" s="8">
        <v>43895.818182870367</v>
      </c>
      <c r="B18899" s="8" t="str">
        <f>HYPERLINK("https://twitter.com/januar_theda","@januar_theda")</f>
        <v>@januar_theda</v>
      </c>
      <c r="C18899" s="8" t="s">
        <v>7747</v>
      </c>
      <c r="D18899" s="8">
        <v>4</v>
      </c>
      <c r="E18899" s="8">
        <v>0</v>
      </c>
      <c r="F18899" s="8">
        <v>112</v>
      </c>
    </row>
    <row r="18900" spans="1:6" ht="12.75">
      <c r="A18900" s="8">
        <v>43895.818067129629</v>
      </c>
      <c r="B18900" s="8" t="str">
        <f>HYPERLINK("https://twitter.com/iNewsID","@iNewsID")</f>
        <v>@iNewsID</v>
      </c>
      <c r="C18900" s="8" t="s">
        <v>7791</v>
      </c>
      <c r="D18900" s="8">
        <v>0</v>
      </c>
      <c r="E18900" s="8">
        <v>0</v>
      </c>
      <c r="F18900" s="8">
        <v>1361</v>
      </c>
    </row>
    <row r="18901" spans="1:6" ht="12.75">
      <c r="A18901" s="8">
        <v>43895.817326388889</v>
      </c>
      <c r="B18901" s="8" t="str">
        <f>HYPERLINK("https://twitter.com/hgberry","@hgberry")</f>
        <v>@hgberry</v>
      </c>
      <c r="C18901" s="8" t="s">
        <v>7189</v>
      </c>
      <c r="D18901" s="8">
        <v>33</v>
      </c>
      <c r="E18901" s="8">
        <v>0</v>
      </c>
      <c r="F18901" s="8">
        <v>1654</v>
      </c>
    </row>
    <row r="18902" spans="1:6" ht="12.75">
      <c r="A18902" s="8">
        <v>43895.81649305555</v>
      </c>
      <c r="B18902" s="8" t="str">
        <f>HYPERLINK("https://twitter.com/republikaonline","@republikaonline")</f>
        <v>@republikaonline</v>
      </c>
      <c r="C18902" s="8" t="s">
        <v>7792</v>
      </c>
      <c r="D18902" s="8">
        <v>1</v>
      </c>
      <c r="E18902" s="8">
        <v>4</v>
      </c>
      <c r="F18902" s="8">
        <v>1219869</v>
      </c>
    </row>
    <row r="18903" spans="1:6" ht="12.75">
      <c r="A18903" s="8">
        <v>43895.816469907411</v>
      </c>
      <c r="B18903" s="8" t="str">
        <f>HYPERLINK("https://twitter.com/Pravendr_Indian","@Pravendr_Indian")</f>
        <v>@Pravendr_Indian</v>
      </c>
      <c r="C18903" s="8" t="s">
        <v>7793</v>
      </c>
      <c r="D18903" s="8">
        <v>0</v>
      </c>
      <c r="E18903" s="8">
        <v>0</v>
      </c>
      <c r="F18903" s="8">
        <v>58</v>
      </c>
    </row>
    <row r="18904" spans="1:6" ht="12.75">
      <c r="A18904" s="8">
        <v>43895.816250000003</v>
      </c>
      <c r="B18904" s="8" t="str">
        <f>HYPERLINK("https://twitter.com/pemalasygaktif","@pemalasygaktif")</f>
        <v>@pemalasygaktif</v>
      </c>
      <c r="C18904" s="8" t="s">
        <v>5878</v>
      </c>
      <c r="D18904" s="8">
        <v>15</v>
      </c>
      <c r="E18904" s="8">
        <v>0</v>
      </c>
      <c r="F18904" s="8">
        <v>775</v>
      </c>
    </row>
    <row r="18905" spans="1:6" ht="12.75">
      <c r="A18905" s="8">
        <v>43895.816099537042</v>
      </c>
      <c r="B18905" s="8" t="str">
        <f>HYPERLINK("https://twitter.com/Agilsamal1","@Agilsamal1")</f>
        <v>@Agilsamal1</v>
      </c>
      <c r="C18905" s="8" t="s">
        <v>7794</v>
      </c>
      <c r="D18905" s="8">
        <v>15</v>
      </c>
      <c r="E18905" s="8">
        <v>21</v>
      </c>
      <c r="F18905" s="8">
        <v>53</v>
      </c>
    </row>
    <row r="18906" spans="1:6" ht="12.75">
      <c r="A18906" s="8">
        <v>43895.816041666665</v>
      </c>
      <c r="B18906" s="8" t="str">
        <f>HYPERLINK("https://twitter.com/NursandiGatot","@NursandiGatot")</f>
        <v>@NursandiGatot</v>
      </c>
      <c r="C18906" s="8" t="s">
        <v>7795</v>
      </c>
      <c r="D18906" s="8">
        <v>0</v>
      </c>
      <c r="E18906" s="8">
        <v>0</v>
      </c>
      <c r="F18906" s="8">
        <v>40</v>
      </c>
    </row>
    <row r="18907" spans="1:6" ht="12.75">
      <c r="A18907" s="8">
        <v>43895.815937499996</v>
      </c>
      <c r="B18907" s="8" t="str">
        <f>HYPERLINK("https://twitter.com/HaryantoSurip","@HaryantoSurip")</f>
        <v>@HaryantoSurip</v>
      </c>
      <c r="C18907" s="8" t="s">
        <v>7796</v>
      </c>
      <c r="D18907" s="8">
        <v>102</v>
      </c>
      <c r="E18907" s="8">
        <v>0</v>
      </c>
      <c r="F18907" s="8">
        <v>0</v>
      </c>
    </row>
    <row r="18908" spans="1:6" ht="12.75">
      <c r="A18908" s="8">
        <v>43895.81554398148</v>
      </c>
      <c r="B18908" s="8" t="str">
        <f>HYPERLINK("https://twitter.com/bazokasmart","@bazokasmart")</f>
        <v>@bazokasmart</v>
      </c>
      <c r="C18908" s="8" t="s">
        <v>7797</v>
      </c>
      <c r="D18908" s="8">
        <v>0</v>
      </c>
      <c r="E18908" s="8">
        <v>0</v>
      </c>
      <c r="F18908" s="8">
        <v>286</v>
      </c>
    </row>
    <row r="18909" spans="1:6" ht="12.75">
      <c r="A18909" s="8">
        <v>43895.815509259264</v>
      </c>
      <c r="B18909" s="8" t="str">
        <f>HYPERLINK("https://twitter.com/IntanNu27007075","@IntanNu27007075")</f>
        <v>@IntanNu27007075</v>
      </c>
      <c r="C18909" s="8" t="s">
        <v>7189</v>
      </c>
      <c r="D18909" s="8">
        <v>33</v>
      </c>
      <c r="E18909" s="8">
        <v>0</v>
      </c>
      <c r="F18909" s="8">
        <v>109</v>
      </c>
    </row>
    <row r="18910" spans="1:6" ht="12.75">
      <c r="A18910" s="8">
        <v>43895.815023148149</v>
      </c>
      <c r="B18910" s="8" t="str">
        <f>HYPERLINK("https://twitter.com/Edogawa034","@Edogawa034")</f>
        <v>@Edogawa034</v>
      </c>
      <c r="C18910" s="8" t="s">
        <v>1078</v>
      </c>
      <c r="D18910" s="8">
        <v>572</v>
      </c>
      <c r="E18910" s="8">
        <v>0</v>
      </c>
      <c r="F18910" s="8">
        <v>718</v>
      </c>
    </row>
    <row r="18911" spans="1:6" ht="12.75">
      <c r="A18911" s="8">
        <v>43895.814722222218</v>
      </c>
      <c r="B18911" s="8" t="str">
        <f>HYPERLINK("https://twitter.com/SangPecinta77","@SangPecinta77")</f>
        <v>@SangPecinta77</v>
      </c>
      <c r="C18911" s="8" t="s">
        <v>7798</v>
      </c>
      <c r="D18911" s="8">
        <v>0</v>
      </c>
      <c r="E18911" s="8">
        <v>0</v>
      </c>
      <c r="F18911" s="8">
        <v>10</v>
      </c>
    </row>
    <row r="18912" spans="1:6" ht="12.75">
      <c r="A18912" s="8">
        <v>43895.813657407409</v>
      </c>
      <c r="B18912" s="8" t="str">
        <f>HYPERLINK("https://twitter.com/leetennology","@leetennology")</f>
        <v>@leetennology</v>
      </c>
      <c r="C18912" s="8" t="s">
        <v>7799</v>
      </c>
      <c r="D18912" s="8">
        <v>0</v>
      </c>
      <c r="E18912" s="8">
        <v>0</v>
      </c>
      <c r="F18912" s="8">
        <v>1828</v>
      </c>
    </row>
    <row r="18913" spans="1:6" ht="12.75">
      <c r="A18913" s="8">
        <v>43895.812928240739</v>
      </c>
      <c r="B18913" s="8" t="str">
        <f>HYPERLINK("https://twitter.com/wni_jmsri","@wni_jmsri")</f>
        <v>@wni_jmsri</v>
      </c>
      <c r="C18913" s="8" t="s">
        <v>7800</v>
      </c>
      <c r="D18913" s="8">
        <v>1</v>
      </c>
      <c r="E18913" s="8">
        <v>0</v>
      </c>
      <c r="F18913" s="8">
        <v>200</v>
      </c>
    </row>
    <row r="18914" spans="1:6" ht="12.75">
      <c r="A18914" s="8">
        <v>43895.812546296293</v>
      </c>
      <c r="B18914" s="8" t="str">
        <f>HYPERLINK("https://twitter.com/jubidotcom","@jubidotcom")</f>
        <v>@jubidotcom</v>
      </c>
      <c r="C18914" s="8" t="s">
        <v>7801</v>
      </c>
      <c r="D18914" s="8">
        <v>0</v>
      </c>
      <c r="E18914" s="8">
        <v>0</v>
      </c>
      <c r="F18914" s="8">
        <v>14318</v>
      </c>
    </row>
    <row r="18915" spans="1:6" ht="12.75">
      <c r="A18915" s="8">
        <v>43895.811898148153</v>
      </c>
      <c r="B18915" s="8" t="str">
        <f>HYPERLINK("https://twitter.com/osehcloudoy","@osehcloudoy")</f>
        <v>@osehcloudoy</v>
      </c>
      <c r="C18915" s="8" t="s">
        <v>7802</v>
      </c>
      <c r="D18915" s="8">
        <v>0</v>
      </c>
      <c r="E18915" s="8">
        <v>0</v>
      </c>
      <c r="F18915" s="8">
        <v>164</v>
      </c>
    </row>
    <row r="18916" spans="1:6" ht="12.75">
      <c r="A18916" s="8">
        <v>43895.811238425929</v>
      </c>
      <c r="B18916" s="8" t="str">
        <f>HYPERLINK("https://twitter.com/fattiha6","@fattiha6")</f>
        <v>@fattiha6</v>
      </c>
      <c r="C18916" s="8" t="s">
        <v>7803</v>
      </c>
      <c r="D18916" s="8">
        <v>0</v>
      </c>
      <c r="E18916" s="8">
        <v>0</v>
      </c>
      <c r="F18916" s="8">
        <v>4</v>
      </c>
    </row>
    <row r="18917" spans="1:6" ht="12.75">
      <c r="A18917" s="8">
        <v>43895.810810185183</v>
      </c>
      <c r="B18917" s="8" t="str">
        <f>HYPERLINK("https://twitter.com/Marquez98069963","@Marquez98069963")</f>
        <v>@Marquez98069963</v>
      </c>
      <c r="C18917" s="8" t="s">
        <v>7737</v>
      </c>
      <c r="D18917" s="8">
        <v>2</v>
      </c>
      <c r="E18917" s="8">
        <v>0</v>
      </c>
      <c r="F18917" s="8">
        <v>38</v>
      </c>
    </row>
    <row r="18918" spans="1:6" ht="12.75">
      <c r="A18918" s="8">
        <v>43895.810162037036</v>
      </c>
      <c r="B18918" s="8" t="str">
        <f>HYPERLINK("https://twitter.com/PradiptaArya4","@PradiptaArya4")</f>
        <v>@PradiptaArya4</v>
      </c>
      <c r="C18918" s="8" t="s">
        <v>7245</v>
      </c>
      <c r="D18918" s="8">
        <v>62</v>
      </c>
      <c r="E18918" s="8">
        <v>0</v>
      </c>
      <c r="F18918" s="8">
        <v>2540</v>
      </c>
    </row>
    <row r="18919" spans="1:6" ht="12.75">
      <c r="A18919" s="8">
        <v>43895.809988425928</v>
      </c>
      <c r="B18919" s="8" t="str">
        <f>HYPERLINK("https://twitter.com/Vivas_1074","@Vivas_1074")</f>
        <v>@Vivas_1074</v>
      </c>
      <c r="C18919" s="8" t="s">
        <v>7804</v>
      </c>
      <c r="D18919" s="8">
        <v>0</v>
      </c>
      <c r="E18919" s="8">
        <v>0</v>
      </c>
      <c r="F18919" s="8">
        <v>1103</v>
      </c>
    </row>
    <row r="18920" spans="1:6" ht="12.75">
      <c r="A18920" s="8">
        <v>43895.809791666667</v>
      </c>
      <c r="B18920" s="8" t="str">
        <f>HYPERLINK("https://twitter.com/Pravendr_Indian","@Pravendr_Indian")</f>
        <v>@Pravendr_Indian</v>
      </c>
      <c r="C18920" s="8" t="s">
        <v>7805</v>
      </c>
      <c r="D18920" s="8">
        <v>0</v>
      </c>
      <c r="E18920" s="8">
        <v>0</v>
      </c>
      <c r="F18920" s="8">
        <v>58</v>
      </c>
    </row>
    <row r="18921" spans="1:6" ht="12.75">
      <c r="A18921" s="8">
        <v>43895.808599537035</v>
      </c>
      <c r="B18921" s="8" t="str">
        <f>HYPERLINK("https://twitter.com/PEJUANGBAHAGIA","@PEJUANGBAHAGIA")</f>
        <v>@PEJUANGBAHAGIA</v>
      </c>
      <c r="C18921" s="8" t="s">
        <v>1078</v>
      </c>
      <c r="D18921" s="8">
        <v>572</v>
      </c>
      <c r="E18921" s="8">
        <v>0</v>
      </c>
      <c r="F18921" s="8">
        <v>195</v>
      </c>
    </row>
    <row r="18922" spans="1:6" ht="12.75">
      <c r="A18922" s="8">
        <v>43895.808310185181</v>
      </c>
      <c r="B18922" s="8" t="str">
        <f>HYPERLINK("https://twitter.com/leoandalusialeo","@leoandalusialeo")</f>
        <v>@leoandalusialeo</v>
      </c>
      <c r="C18922" s="8" t="s">
        <v>1078</v>
      </c>
      <c r="D18922" s="8">
        <v>572</v>
      </c>
      <c r="E18922" s="8">
        <v>0</v>
      </c>
      <c r="F18922" s="8">
        <v>474</v>
      </c>
    </row>
    <row r="18923" spans="1:6" ht="12.75">
      <c r="A18923" s="8">
        <v>43895.80777777778</v>
      </c>
      <c r="B18923" s="8" t="str">
        <f>HYPERLINK("https://twitter.com/muscatkbri","@muscatkbri")</f>
        <v>@muscatkbri</v>
      </c>
      <c r="C18923" s="8" t="s">
        <v>3132</v>
      </c>
      <c r="D18923" s="8">
        <v>86</v>
      </c>
      <c r="E18923" s="8">
        <v>0</v>
      </c>
      <c r="F18923" s="8">
        <v>1211</v>
      </c>
    </row>
    <row r="18924" spans="1:6" ht="12.75">
      <c r="A18924" s="8">
        <v>43895.798171296294</v>
      </c>
      <c r="B18924" s="8" t="str">
        <f>HYPERLINK("https://twitter.com/TeddyIrjaya","@TeddyIrjaya")</f>
        <v>@TeddyIrjaya</v>
      </c>
      <c r="C18924" s="8" t="s">
        <v>7806</v>
      </c>
      <c r="D18924" s="8">
        <v>8</v>
      </c>
      <c r="E18924" s="8">
        <v>0</v>
      </c>
      <c r="F18924" s="8">
        <v>687</v>
      </c>
    </row>
    <row r="18925" spans="1:6" ht="12.75">
      <c r="A18925" s="8">
        <v>43895.798009259262</v>
      </c>
      <c r="B18925" s="8" t="str">
        <f>HYPERLINK("https://twitter.com/yudhiskris","@yudhiskris")</f>
        <v>@yudhiskris</v>
      </c>
      <c r="C18925" s="8" t="s">
        <v>3132</v>
      </c>
      <c r="D18925" s="8">
        <v>79</v>
      </c>
      <c r="E18925" s="8">
        <v>0</v>
      </c>
      <c r="F18925" s="8">
        <v>176</v>
      </c>
    </row>
    <row r="18926" spans="1:6" ht="12.75">
      <c r="A18926" s="8">
        <v>43895.797430555554</v>
      </c>
      <c r="B18926" s="8" t="str">
        <f>HYPERLINK("https://twitter.com/akhnauf","@akhnauf")</f>
        <v>@akhnauf</v>
      </c>
      <c r="C18926" s="8" t="s">
        <v>7700</v>
      </c>
      <c r="D18926" s="8">
        <v>46</v>
      </c>
      <c r="E18926" s="8">
        <v>0</v>
      </c>
      <c r="F18926" s="8">
        <v>315</v>
      </c>
    </row>
    <row r="18927" spans="1:6" ht="12.75">
      <c r="A18927" s="8">
        <v>43895.797048611115</v>
      </c>
      <c r="B18927" s="8" t="str">
        <f>HYPERLINK("https://twitter.com/valenadityo","@valenadityo")</f>
        <v>@valenadityo</v>
      </c>
      <c r="C18927" s="8" t="s">
        <v>7747</v>
      </c>
      <c r="D18927" s="8">
        <v>2</v>
      </c>
      <c r="E18927" s="8">
        <v>0</v>
      </c>
      <c r="F18927" s="8">
        <v>216</v>
      </c>
    </row>
    <row r="18928" spans="1:6" ht="12.75">
      <c r="A18928" s="8">
        <v>43895.796377314815</v>
      </c>
      <c r="B18928" s="8" t="str">
        <f>HYPERLINK("https://twitter.com/muharib89571843","@muharib89571843")</f>
        <v>@muharib89571843</v>
      </c>
      <c r="C18928" s="8" t="s">
        <v>2979</v>
      </c>
      <c r="D18928" s="8">
        <v>228</v>
      </c>
      <c r="E18928" s="8">
        <v>0</v>
      </c>
      <c r="F18928" s="8">
        <v>151</v>
      </c>
    </row>
    <row r="18929" spans="1:6" ht="12.75">
      <c r="A18929" s="8">
        <v>43895.795983796299</v>
      </c>
      <c r="B18929" s="8" t="str">
        <f>HYPERLINK("https://twitter.com/Arissumantri6","@Arissumantri6")</f>
        <v>@Arissumantri6</v>
      </c>
      <c r="C18929" s="8" t="s">
        <v>7715</v>
      </c>
      <c r="D18929" s="8">
        <v>113</v>
      </c>
      <c r="E18929" s="8">
        <v>0</v>
      </c>
      <c r="F18929" s="8">
        <v>453</v>
      </c>
    </row>
    <row r="18930" spans="1:6" ht="12.75">
      <c r="A18930" s="8">
        <v>43895.795486111107</v>
      </c>
      <c r="B18930" s="8" t="str">
        <f>HYPERLINK("https://twitter.com/larastriana3","@larastriana3")</f>
        <v>@larastriana3</v>
      </c>
      <c r="C18930" s="8" t="s">
        <v>7807</v>
      </c>
      <c r="D18930" s="8">
        <v>3</v>
      </c>
      <c r="E18930" s="8">
        <v>0</v>
      </c>
      <c r="F18930" s="8">
        <v>1595</v>
      </c>
    </row>
    <row r="18931" spans="1:6" ht="12.75">
      <c r="A18931" s="8">
        <v>43895.793807870374</v>
      </c>
      <c r="B18931" s="8" t="str">
        <f>HYPERLINK("https://twitter.com/BeybunMameki","@BeybunMameki")</f>
        <v>@BeybunMameki</v>
      </c>
      <c r="C18931" s="8" t="s">
        <v>7646</v>
      </c>
      <c r="D18931" s="8">
        <v>16</v>
      </c>
      <c r="E18931" s="8">
        <v>0</v>
      </c>
      <c r="F18931" s="8">
        <v>92</v>
      </c>
    </row>
    <row r="18932" spans="1:6" ht="12.75">
      <c r="A18932" s="8">
        <v>43895.793668981481</v>
      </c>
      <c r="B18932" s="8" t="str">
        <f>HYPERLINK("https://twitter.com/BiLLRaY2019","@BiLLRaY2019")</f>
        <v>@BiLLRaY2019</v>
      </c>
      <c r="C18932" s="8" t="s">
        <v>7189</v>
      </c>
      <c r="D18932" s="8">
        <v>24</v>
      </c>
      <c r="E18932" s="8">
        <v>0</v>
      </c>
      <c r="F18932" s="8">
        <v>11031</v>
      </c>
    </row>
    <row r="18933" spans="1:6" ht="12.75">
      <c r="A18933" s="8">
        <v>43895.79351851852</v>
      </c>
      <c r="B18933" s="8" t="str">
        <f>HYPERLINK("https://twitter.com/KekeySRiana","@KekeySRiana")</f>
        <v>@KekeySRiana</v>
      </c>
      <c r="C18933" s="8" t="s">
        <v>1078</v>
      </c>
      <c r="D18933" s="8">
        <v>554</v>
      </c>
      <c r="E18933" s="8">
        <v>0</v>
      </c>
      <c r="F18933" s="8">
        <v>1073</v>
      </c>
    </row>
    <row r="18934" spans="1:6" ht="12.75">
      <c r="A18934" s="8">
        <v>43895.793414351851</v>
      </c>
      <c r="B18934" s="8" t="str">
        <f>HYPERLINK("https://twitter.com/masyarakatkelas","@masyarakatkelas")</f>
        <v>@masyarakatkelas</v>
      </c>
      <c r="C18934" s="8" t="s">
        <v>7808</v>
      </c>
      <c r="D18934" s="8">
        <v>0</v>
      </c>
      <c r="E18934" s="8">
        <v>0</v>
      </c>
      <c r="F18934" s="8">
        <v>2</v>
      </c>
    </row>
    <row r="18935" spans="1:6" ht="12.75">
      <c r="A18935" s="8">
        <v>43895.793240740742</v>
      </c>
      <c r="B18935" s="8" t="str">
        <f>HYPERLINK("https://twitter.com/vianratulangi","@vianratulangi")</f>
        <v>@vianratulangi</v>
      </c>
      <c r="C18935" s="8" t="s">
        <v>7473</v>
      </c>
      <c r="D18935" s="8">
        <v>369</v>
      </c>
      <c r="E18935" s="8">
        <v>0</v>
      </c>
      <c r="F18935" s="8">
        <v>1567</v>
      </c>
    </row>
    <row r="18936" spans="1:6" ht="12.75">
      <c r="A18936" s="8">
        <v>43895.792268518519</v>
      </c>
      <c r="B18936" s="8" t="str">
        <f>HYPERLINK("https://twitter.com/Izminov_","@Izminov_")</f>
        <v>@Izminov_</v>
      </c>
      <c r="C18936" s="8" t="s">
        <v>7809</v>
      </c>
      <c r="D18936" s="8">
        <v>30</v>
      </c>
      <c r="E18936" s="8">
        <v>0</v>
      </c>
      <c r="F18936" s="8">
        <v>22</v>
      </c>
    </row>
    <row r="18937" spans="1:6" ht="12.75">
      <c r="A18937" s="8">
        <v>43895.791296296295</v>
      </c>
      <c r="B18937" s="8" t="str">
        <f>HYPERLINK("https://twitter.com/_therma_","@_therma_")</f>
        <v>@_therma_</v>
      </c>
      <c r="C18937" s="8" t="s">
        <v>7567</v>
      </c>
      <c r="D18937" s="8">
        <v>8</v>
      </c>
      <c r="E18937" s="8">
        <v>0</v>
      </c>
      <c r="F18937" s="8">
        <v>4532</v>
      </c>
    </row>
    <row r="18938" spans="1:6" ht="12.75">
      <c r="A18938" s="8">
        <v>43895.790196759262</v>
      </c>
      <c r="B18938" s="8" t="str">
        <f>HYPERLINK("https://twitter.com/m_ariefsetiawn","@m_ariefsetiawn")</f>
        <v>@m_ariefsetiawn</v>
      </c>
      <c r="C18938" s="8" t="s">
        <v>3132</v>
      </c>
      <c r="D18938" s="8">
        <v>79</v>
      </c>
      <c r="E18938" s="8">
        <v>0</v>
      </c>
      <c r="F18938" s="8">
        <v>305</v>
      </c>
    </row>
    <row r="18939" spans="1:6" ht="12.75">
      <c r="A18939" s="8">
        <v>43895.789837962962</v>
      </c>
      <c r="B18939" s="8" t="str">
        <f>HYPERLINK("https://twitter.com/haro_arnold","@haro_arnold")</f>
        <v>@haro_arnold</v>
      </c>
      <c r="C18939" s="8" t="s">
        <v>7810</v>
      </c>
      <c r="D18939" s="8">
        <v>1</v>
      </c>
      <c r="E18939" s="8">
        <v>0</v>
      </c>
      <c r="F18939" s="8">
        <v>4772</v>
      </c>
    </row>
    <row r="18940" spans="1:6" ht="12.75">
      <c r="A18940" s="8">
        <v>43895.789224537039</v>
      </c>
      <c r="B18940" s="8" t="str">
        <f>HYPERLINK("https://twitter.com/Khazali75980106","@Khazali75980106")</f>
        <v>@Khazali75980106</v>
      </c>
      <c r="C18940" s="8" t="s">
        <v>7189</v>
      </c>
      <c r="D18940" s="8">
        <v>24</v>
      </c>
      <c r="E18940" s="8">
        <v>0</v>
      </c>
      <c r="F18940" s="8">
        <v>14</v>
      </c>
    </row>
    <row r="18941" spans="1:6" ht="12.75">
      <c r="A18941" s="8">
        <v>43895.788865740746</v>
      </c>
      <c r="B18941" s="8" t="str">
        <f>HYPERLINK("https://twitter.com/RizkyTokki","@RizkyTokki")</f>
        <v>@RizkyTokki</v>
      </c>
      <c r="C18941" s="8" t="s">
        <v>3132</v>
      </c>
      <c r="D18941" s="8">
        <v>79</v>
      </c>
      <c r="E18941" s="8">
        <v>0</v>
      </c>
      <c r="F18941" s="8">
        <v>647</v>
      </c>
    </row>
    <row r="18942" spans="1:6" ht="12.75">
      <c r="A18942" s="8">
        <v>43895.788229166668</v>
      </c>
      <c r="B18942" s="8" t="str">
        <f>HYPERLINK("https://twitter.com/dayatchiq","@dayatchiq")</f>
        <v>@dayatchiq</v>
      </c>
      <c r="C18942" s="8" t="s">
        <v>1078</v>
      </c>
      <c r="D18942" s="8">
        <v>554</v>
      </c>
      <c r="E18942" s="8">
        <v>0</v>
      </c>
      <c r="F18942" s="8">
        <v>73</v>
      </c>
    </row>
    <row r="18943" spans="1:6" ht="12.75">
      <c r="A18943" s="8">
        <v>43895.788136574076</v>
      </c>
      <c r="B18943" s="8" t="str">
        <f>HYPERLINK("https://twitter.com/04_adisetiawan","@04_adisetiawan")</f>
        <v>@04_adisetiawan</v>
      </c>
      <c r="C18943" s="8" t="s">
        <v>1078</v>
      </c>
      <c r="D18943" s="8">
        <v>554</v>
      </c>
      <c r="E18943" s="8">
        <v>0</v>
      </c>
      <c r="F18943" s="8">
        <v>207</v>
      </c>
    </row>
    <row r="18944" spans="1:6" ht="12.75">
      <c r="A18944" s="8">
        <v>43895.78805555556</v>
      </c>
      <c r="B18944" s="8" t="str">
        <f>HYPERLINK("https://twitter.com/Puteriswift_","@Puteriswift_")</f>
        <v>@Puteriswift_</v>
      </c>
      <c r="C18944" s="8" t="s">
        <v>7811</v>
      </c>
      <c r="D18944" s="8">
        <v>0</v>
      </c>
      <c r="E18944" s="8">
        <v>1</v>
      </c>
      <c r="F18944" s="8">
        <v>287</v>
      </c>
    </row>
    <row r="18945" spans="1:6" ht="12.75">
      <c r="A18945" s="8">
        <v>43895.786932870367</v>
      </c>
      <c r="B18945" s="8" t="str">
        <f>HYPERLINK("https://twitter.com/krishtenisasi","@krishtenisasi")</f>
        <v>@krishtenisasi</v>
      </c>
      <c r="C18945" s="8" t="s">
        <v>1078</v>
      </c>
      <c r="D18945" s="8">
        <v>554</v>
      </c>
      <c r="E18945" s="8">
        <v>0</v>
      </c>
      <c r="F18945" s="8">
        <v>96</v>
      </c>
    </row>
    <row r="18946" spans="1:6" ht="12.75">
      <c r="A18946" s="8">
        <v>43895.786585648151</v>
      </c>
      <c r="B18946" s="8" t="str">
        <f>HYPERLINK("https://twitter.com/Mhmd_Raihan","@Mhmd_Raihan")</f>
        <v>@Mhmd_Raihan</v>
      </c>
      <c r="C18946" s="8" t="s">
        <v>7812</v>
      </c>
      <c r="D18946" s="8">
        <v>0</v>
      </c>
      <c r="E18946" s="8">
        <v>0</v>
      </c>
      <c r="F18946" s="8">
        <v>152</v>
      </c>
    </row>
    <row r="18947" spans="1:6" ht="12.75">
      <c r="A18947" s="8">
        <v>43895.786122685182</v>
      </c>
      <c r="B18947" s="8" t="str">
        <f>HYPERLINK("https://twitter.com/K_Ompu","@K_Ompu")</f>
        <v>@K_Ompu</v>
      </c>
      <c r="C18947" s="8" t="s">
        <v>7245</v>
      </c>
      <c r="D18947" s="8">
        <v>58</v>
      </c>
      <c r="E18947" s="8">
        <v>0</v>
      </c>
      <c r="F18947" s="8">
        <v>154</v>
      </c>
    </row>
    <row r="18948" spans="1:6" ht="12.75">
      <c r="A18948" s="8">
        <v>43895.785821759258</v>
      </c>
      <c r="B18948" s="8" t="str">
        <f>HYPERLINK("https://twitter.com/_wni_","@_wni_")</f>
        <v>@_wni_</v>
      </c>
      <c r="C18948" s="8" t="s">
        <v>7813</v>
      </c>
      <c r="D18948" s="8">
        <v>0</v>
      </c>
      <c r="E18948" s="8">
        <v>0</v>
      </c>
      <c r="F18948" s="8">
        <v>14</v>
      </c>
    </row>
    <row r="18949" spans="1:6" ht="12.75">
      <c r="A18949" s="8">
        <v>43895.785428240742</v>
      </c>
      <c r="B18949" s="8" t="str">
        <f>HYPERLINK("https://twitter.com/NaraLoka1","@NaraLoka1")</f>
        <v>@NaraLoka1</v>
      </c>
      <c r="C18949" s="8" t="s">
        <v>7715</v>
      </c>
      <c r="D18949" s="8">
        <v>113</v>
      </c>
      <c r="E18949" s="8">
        <v>0</v>
      </c>
      <c r="F18949" s="8">
        <v>182</v>
      </c>
    </row>
    <row r="18950" spans="1:6" ht="12.75">
      <c r="A18950" s="8">
        <v>43895.785393518519</v>
      </c>
      <c r="B18950" s="8" t="str">
        <f>HYPERLINK("https://twitter.com/mardawwn","@mardawwn")</f>
        <v>@mardawwn</v>
      </c>
      <c r="C18950" s="8" t="s">
        <v>3132</v>
      </c>
      <c r="D18950" s="8">
        <v>79</v>
      </c>
      <c r="E18950" s="8">
        <v>0</v>
      </c>
      <c r="F18950" s="8">
        <v>468</v>
      </c>
    </row>
    <row r="18951" spans="1:6" ht="12.75">
      <c r="A18951" s="8">
        <v>43895.785185185188</v>
      </c>
      <c r="B18951" s="8" t="str">
        <f>HYPERLINK("https://twitter.com/ahmadmuslich","@ahmadmuslich")</f>
        <v>@ahmadmuslich</v>
      </c>
      <c r="C18951" s="8" t="s">
        <v>7814</v>
      </c>
      <c r="D18951" s="8">
        <v>0</v>
      </c>
      <c r="E18951" s="8">
        <v>0</v>
      </c>
      <c r="F18951" s="8">
        <v>376</v>
      </c>
    </row>
    <row r="18952" spans="1:6" ht="12.75">
      <c r="A18952" s="8">
        <v>43895.784953703704</v>
      </c>
      <c r="B18952" s="8" t="str">
        <f>HYPERLINK("https://twitter.com/AkuImuts","@AkuImuts")</f>
        <v>@AkuImuts</v>
      </c>
      <c r="C18952" s="8" t="s">
        <v>7815</v>
      </c>
      <c r="D18952" s="8">
        <v>0</v>
      </c>
      <c r="E18952" s="8">
        <v>0</v>
      </c>
      <c r="F18952" s="8">
        <v>247</v>
      </c>
    </row>
    <row r="18953" spans="1:6" ht="12.75">
      <c r="A18953" s="8">
        <v>43895.784930555557</v>
      </c>
      <c r="B18953" s="8" t="str">
        <f t="shared" ref="B18953:B18954" si="279">HYPERLINK("https://twitter.com/_wni_","@_wni_")</f>
        <v>@_wni_</v>
      </c>
      <c r="C18953" s="8" t="s">
        <v>7816</v>
      </c>
      <c r="D18953" s="8">
        <v>7676</v>
      </c>
      <c r="E18953" s="8">
        <v>0</v>
      </c>
      <c r="F18953" s="8">
        <v>14</v>
      </c>
    </row>
    <row r="18954" spans="1:6" ht="12.75">
      <c r="A18954" s="8">
        <v>43895.784722222219</v>
      </c>
      <c r="B18954" s="8" t="str">
        <f t="shared" si="279"/>
        <v>@_wni_</v>
      </c>
      <c r="C18954" s="8" t="s">
        <v>7817</v>
      </c>
      <c r="D18954" s="8">
        <v>0</v>
      </c>
      <c r="E18954" s="8">
        <v>1</v>
      </c>
      <c r="F18954" s="8">
        <v>14</v>
      </c>
    </row>
    <row r="18955" spans="1:6" ht="12.75">
      <c r="A18955" s="8">
        <v>43895.784432870365</v>
      </c>
      <c r="B18955" s="8" t="str">
        <f>HYPERLINK("https://twitter.com/kucingmati13x","@kucingmati13x")</f>
        <v>@kucingmati13x</v>
      </c>
      <c r="C18955" s="8" t="s">
        <v>7818</v>
      </c>
      <c r="D18955" s="8">
        <v>2</v>
      </c>
      <c r="E18955" s="8">
        <v>0</v>
      </c>
      <c r="F18955" s="8">
        <v>1</v>
      </c>
    </row>
    <row r="18956" spans="1:6" ht="12.75">
      <c r="A18956" s="8">
        <v>43895.783599537041</v>
      </c>
      <c r="B18956" s="8" t="str">
        <f>HYPERLINK("https://twitter.com/fachri_kh","@fachri_kh")</f>
        <v>@fachri_kh</v>
      </c>
      <c r="C18956" s="8" t="s">
        <v>7567</v>
      </c>
      <c r="D18956" s="8">
        <v>8</v>
      </c>
      <c r="E18956" s="8">
        <v>0</v>
      </c>
      <c r="F18956" s="8">
        <v>4158</v>
      </c>
    </row>
    <row r="18957" spans="1:6" ht="12.75">
      <c r="A18957" s="8">
        <v>43895.783032407402</v>
      </c>
      <c r="B18957" s="8" t="str">
        <f>HYPERLINK("https://twitter.com/delaMayore","@delaMayore")</f>
        <v>@delaMayore</v>
      </c>
      <c r="C18957" s="8" t="s">
        <v>7819</v>
      </c>
      <c r="D18957" s="8">
        <v>0</v>
      </c>
      <c r="E18957" s="8">
        <v>0</v>
      </c>
      <c r="F18957" s="8">
        <v>184</v>
      </c>
    </row>
    <row r="18958" spans="1:6" ht="12.75">
      <c r="A18958" s="8">
        <v>43895.782905092594</v>
      </c>
      <c r="B18958" s="8" t="str">
        <f>HYPERLINK("https://twitter.com/tuturwibowo41","@tuturwibowo41")</f>
        <v>@tuturwibowo41</v>
      </c>
      <c r="C18958" s="8" t="s">
        <v>1078</v>
      </c>
      <c r="D18958" s="8">
        <v>554</v>
      </c>
      <c r="E18958" s="8">
        <v>0</v>
      </c>
      <c r="F18958" s="8">
        <v>137</v>
      </c>
    </row>
    <row r="18959" spans="1:6" ht="12.75">
      <c r="A18959" s="8">
        <v>43895.782557870371</v>
      </c>
      <c r="B18959" s="8" t="str">
        <f>HYPERLINK("https://twitter.com/sofia_sudarma","@sofia_sudarma")</f>
        <v>@sofia_sudarma</v>
      </c>
      <c r="C18959" s="8" t="s">
        <v>7820</v>
      </c>
      <c r="D18959" s="8">
        <v>3</v>
      </c>
      <c r="E18959" s="8">
        <v>0</v>
      </c>
      <c r="F18959" s="8">
        <v>861</v>
      </c>
    </row>
    <row r="18960" spans="1:6" ht="12.75">
      <c r="A18960" s="8">
        <v>43895.782476851848</v>
      </c>
      <c r="B18960" s="8" t="str">
        <f>HYPERLINK("https://twitter.com/ssaputrahilmi","@ssaputrahilmi")</f>
        <v>@ssaputrahilmi</v>
      </c>
      <c r="C18960" s="8" t="s">
        <v>6818</v>
      </c>
      <c r="D18960" s="8">
        <v>15</v>
      </c>
      <c r="E18960" s="8">
        <v>0</v>
      </c>
      <c r="F18960" s="8">
        <v>80</v>
      </c>
    </row>
    <row r="18961" spans="1:6" ht="12.75">
      <c r="A18961" s="8">
        <v>43895.782291666663</v>
      </c>
      <c r="B18961" s="8" t="str">
        <f>HYPERLINK("https://twitter.com/kimseuu","@kimseuu")</f>
        <v>@kimseuu</v>
      </c>
      <c r="C18961" s="8" t="s">
        <v>3132</v>
      </c>
      <c r="D18961" s="8">
        <v>79</v>
      </c>
      <c r="E18961" s="8">
        <v>0</v>
      </c>
      <c r="F18961" s="8">
        <v>378</v>
      </c>
    </row>
    <row r="18962" spans="1:6" ht="12.75">
      <c r="A18962" s="8">
        <v>43895.782210648147</v>
      </c>
      <c r="B18962" s="8" t="str">
        <f>HYPERLINK("https://twitter.com/AnugrahArgaS6","@AnugrahArgaS6")</f>
        <v>@AnugrahArgaS6</v>
      </c>
      <c r="C18962" s="8" t="s">
        <v>7189</v>
      </c>
      <c r="D18962" s="8">
        <v>24</v>
      </c>
      <c r="E18962" s="8">
        <v>0</v>
      </c>
      <c r="F18962" s="8">
        <v>140</v>
      </c>
    </row>
    <row r="18963" spans="1:6" ht="12.75">
      <c r="A18963" s="8">
        <v>43895.782002314816</v>
      </c>
      <c r="B18963" s="8" t="str">
        <f>HYPERLINK("https://twitter.com/AlvaroDeBazan2","@AlvaroDeBazan2")</f>
        <v>@AlvaroDeBazan2</v>
      </c>
      <c r="C18963" s="8" t="s">
        <v>3132</v>
      </c>
      <c r="D18963" s="8">
        <v>79</v>
      </c>
      <c r="E18963" s="8">
        <v>0</v>
      </c>
      <c r="F18963" s="8">
        <v>266</v>
      </c>
    </row>
    <row r="18964" spans="1:6" ht="12.75">
      <c r="A18964" s="8">
        <v>43895.781273148154</v>
      </c>
      <c r="B18964" s="8" t="str">
        <f>HYPERLINK("https://twitter.com/tank_abraham","@tank_abraham")</f>
        <v>@tank_abraham</v>
      </c>
      <c r="C18964" s="8" t="s">
        <v>7821</v>
      </c>
      <c r="D18964" s="8">
        <v>0</v>
      </c>
      <c r="E18964" s="8">
        <v>0</v>
      </c>
      <c r="F18964" s="8">
        <v>0</v>
      </c>
    </row>
    <row r="18965" spans="1:6" ht="12.75">
      <c r="A18965" s="8">
        <v>43895.781145833331</v>
      </c>
      <c r="B18965" s="8" t="str">
        <f>HYPERLINK("https://twitter.com/TeyengCekap","@TeyengCekap")</f>
        <v>@TeyengCekap</v>
      </c>
      <c r="C18965" s="8" t="s">
        <v>7245</v>
      </c>
      <c r="D18965" s="8">
        <v>58</v>
      </c>
      <c r="E18965" s="8">
        <v>0</v>
      </c>
      <c r="F18965" s="8">
        <v>5763</v>
      </c>
    </row>
    <row r="18966" spans="1:6" ht="12.75">
      <c r="A18966" s="8">
        <v>43895.780949074076</v>
      </c>
      <c r="B18966" s="8" t="str">
        <f>HYPERLINK("https://twitter.com/_wni_","@_wni_")</f>
        <v>@_wni_</v>
      </c>
      <c r="C18966" s="8" t="s">
        <v>7822</v>
      </c>
      <c r="D18966" s="8">
        <v>0</v>
      </c>
      <c r="E18966" s="8">
        <v>0</v>
      </c>
      <c r="F18966" s="8">
        <v>14</v>
      </c>
    </row>
    <row r="18967" spans="1:6" ht="12.75">
      <c r="A18967" s="8">
        <v>43895.780810185184</v>
      </c>
      <c r="B18967" s="8" t="str">
        <f>HYPERLINK("https://twitter.com/kaskus","@kaskus")</f>
        <v>@kaskus</v>
      </c>
      <c r="C18967" s="8" t="s">
        <v>7823</v>
      </c>
      <c r="D18967" s="8">
        <v>1</v>
      </c>
      <c r="E18967" s="8">
        <v>1</v>
      </c>
      <c r="F18967" s="8">
        <v>2615093</v>
      </c>
    </row>
    <row r="18968" spans="1:6" ht="12.75">
      <c r="A18968" s="8">
        <v>43895.78052083333</v>
      </c>
      <c r="B18968" s="8" t="str">
        <f>HYPERLINK("https://twitter.com/bedjo58","@bedjo58")</f>
        <v>@bedjo58</v>
      </c>
      <c r="C18968" s="8" t="s">
        <v>7824</v>
      </c>
      <c r="D18968" s="8">
        <v>0</v>
      </c>
      <c r="E18968" s="8">
        <v>0</v>
      </c>
      <c r="F18968" s="8">
        <v>97</v>
      </c>
    </row>
    <row r="18969" spans="1:6" ht="12.75">
      <c r="A18969" s="8">
        <v>43895.78024305556</v>
      </c>
      <c r="B18969" s="8" t="str">
        <f>HYPERLINK("https://twitter.com/Indonesi1aTimur","@Indonesi1aTimur")</f>
        <v>@Indonesi1aTimur</v>
      </c>
      <c r="C18969" s="8" t="s">
        <v>1078</v>
      </c>
      <c r="D18969" s="8">
        <v>554</v>
      </c>
      <c r="E18969" s="8">
        <v>0</v>
      </c>
      <c r="F18969" s="8">
        <v>10812</v>
      </c>
    </row>
    <row r="18970" spans="1:6" ht="12.75">
      <c r="A18970" s="8">
        <v>43895.780162037037</v>
      </c>
      <c r="B18970" s="8" t="str">
        <f>HYPERLINK("https://twitter.com/HariMulyawan50","@HariMulyawan50")</f>
        <v>@HariMulyawan50</v>
      </c>
      <c r="C18970" s="8" t="s">
        <v>1078</v>
      </c>
      <c r="D18970" s="8">
        <v>554</v>
      </c>
      <c r="E18970" s="8">
        <v>0</v>
      </c>
      <c r="F18970" s="8">
        <v>69</v>
      </c>
    </row>
    <row r="18971" spans="1:6" ht="12.75">
      <c r="A18971" s="8">
        <v>43895.779988425929</v>
      </c>
      <c r="B18971" s="8" t="str">
        <f>HYPERLINK("https://twitter.com/calvinyounglee","@calvinyounglee")</f>
        <v>@calvinyounglee</v>
      </c>
      <c r="C18971" s="8" t="s">
        <v>7737</v>
      </c>
      <c r="D18971" s="8">
        <v>1</v>
      </c>
      <c r="E18971" s="8">
        <v>0</v>
      </c>
      <c r="F18971" s="8">
        <v>427</v>
      </c>
    </row>
    <row r="18972" spans="1:6" ht="12.75">
      <c r="A18972" s="8">
        <v>43895.779629629629</v>
      </c>
      <c r="B18972" s="8" t="str">
        <f>HYPERLINK("https://twitter.com/TanJailani","@TanJailani")</f>
        <v>@TanJailani</v>
      </c>
      <c r="C18972" s="8" t="s">
        <v>7189</v>
      </c>
      <c r="D18972" s="8">
        <v>24</v>
      </c>
      <c r="E18972" s="8">
        <v>0</v>
      </c>
      <c r="F18972" s="8">
        <v>1334</v>
      </c>
    </row>
    <row r="18973" spans="1:6" ht="12.75">
      <c r="A18973" s="8">
        <v>43895.778958333336</v>
      </c>
      <c r="B18973" s="8" t="str">
        <f>HYPERLINK("https://twitter.com/_wni_","@_wni_")</f>
        <v>@_wni_</v>
      </c>
      <c r="C18973" s="8" t="s">
        <v>7825</v>
      </c>
      <c r="D18973" s="8">
        <v>0</v>
      </c>
      <c r="E18973" s="8">
        <v>0</v>
      </c>
      <c r="F18973" s="8">
        <v>14</v>
      </c>
    </row>
    <row r="18974" spans="1:6" ht="12.75">
      <c r="A18974" s="8">
        <v>43895.778831018513</v>
      </c>
      <c r="B18974" s="8" t="str">
        <f>HYPERLINK("https://twitter.com/muscatkbri","@muscatkbri")</f>
        <v>@muscatkbri</v>
      </c>
      <c r="C18974" s="8" t="s">
        <v>7826</v>
      </c>
      <c r="D18974" s="8">
        <v>0</v>
      </c>
      <c r="E18974" s="8">
        <v>0</v>
      </c>
      <c r="F18974" s="8">
        <v>1211</v>
      </c>
    </row>
    <row r="18975" spans="1:6" ht="12.75">
      <c r="A18975" s="8">
        <v>43895.778622685189</v>
      </c>
      <c r="B18975" s="8" t="str">
        <f>HYPERLINK("https://twitter.com/SoniMsi07","@SoniMsi07")</f>
        <v>@SoniMsi07</v>
      </c>
      <c r="C18975" s="8" t="s">
        <v>7189</v>
      </c>
      <c r="D18975" s="8">
        <v>24</v>
      </c>
      <c r="E18975" s="8">
        <v>0</v>
      </c>
      <c r="F18975" s="8">
        <v>261</v>
      </c>
    </row>
    <row r="18976" spans="1:6" ht="12.75">
      <c r="A18976" s="8">
        <v>43895.778611111113</v>
      </c>
      <c r="B18976" s="8" t="str">
        <f>HYPERLINK("https://twitter.com/PavneshChauhan1","@PavneshChauhan1")</f>
        <v>@PavneshChauhan1</v>
      </c>
      <c r="C18976" s="8" t="s">
        <v>7827</v>
      </c>
      <c r="D18976" s="8">
        <v>0</v>
      </c>
      <c r="E18976" s="8">
        <v>0</v>
      </c>
      <c r="F18976" s="8">
        <v>2</v>
      </c>
    </row>
    <row r="18977" spans="1:6" ht="12.75">
      <c r="A18977" s="8">
        <v>43895.778460648144</v>
      </c>
      <c r="B18977" s="8" t="str">
        <f>HYPERLINK("https://twitter.com/Ulama_Sangean","@Ulama_Sangean")</f>
        <v>@Ulama_Sangean</v>
      </c>
      <c r="C18977" s="8" t="s">
        <v>7828</v>
      </c>
      <c r="D18977" s="8">
        <v>0</v>
      </c>
      <c r="E18977" s="8">
        <v>0</v>
      </c>
      <c r="F18977" s="8">
        <v>736</v>
      </c>
    </row>
    <row r="18978" spans="1:6" ht="12.75">
      <c r="A18978" s="8">
        <v>43895.777847222227</v>
      </c>
      <c r="B18978" s="8" t="str">
        <f>HYPERLINK("https://twitter.com/tvOneNews","@tvOneNews")</f>
        <v>@tvOneNews</v>
      </c>
      <c r="C18978" s="8" t="s">
        <v>7751</v>
      </c>
      <c r="D18978" s="8">
        <v>0</v>
      </c>
      <c r="E18978" s="8">
        <v>5</v>
      </c>
      <c r="F18978" s="8">
        <v>8728813</v>
      </c>
    </row>
    <row r="18979" spans="1:6" ht="12.75">
      <c r="A18979" s="8">
        <v>43895.777719907404</v>
      </c>
      <c r="B18979" s="8" t="str">
        <f>HYPERLINK("https://twitter.com/jusstme4u","@jusstme4u")</f>
        <v>@jusstme4u</v>
      </c>
      <c r="C18979" s="8" t="s">
        <v>7829</v>
      </c>
      <c r="D18979" s="8">
        <v>0</v>
      </c>
      <c r="E18979" s="8">
        <v>0</v>
      </c>
      <c r="F18979" s="8">
        <v>75811</v>
      </c>
    </row>
    <row r="18980" spans="1:6" ht="12.75">
      <c r="A18980" s="8">
        <v>43895.777488425927</v>
      </c>
      <c r="B18980" s="8" t="str">
        <f>HYPERLINK("https://twitter.com/SahabatSaber","@SahabatSaber")</f>
        <v>@SahabatSaber</v>
      </c>
      <c r="C18980" s="8" t="s">
        <v>7189</v>
      </c>
      <c r="D18980" s="8">
        <v>24</v>
      </c>
      <c r="E18980" s="8">
        <v>0</v>
      </c>
      <c r="F18980" s="8">
        <v>9167</v>
      </c>
    </row>
    <row r="18981" spans="1:6" ht="12.75">
      <c r="A18981" s="8">
        <v>43895.777303240742</v>
      </c>
      <c r="B18981" s="8" t="str">
        <f>HYPERLINK("https://twitter.com/jusstme4u","@jusstme4u")</f>
        <v>@jusstme4u</v>
      </c>
      <c r="C18981" s="8" t="s">
        <v>7830</v>
      </c>
      <c r="D18981" s="8">
        <v>0</v>
      </c>
      <c r="E18981" s="8">
        <v>0</v>
      </c>
      <c r="F18981" s="8">
        <v>75811</v>
      </c>
    </row>
    <row r="18982" spans="1:6" ht="12.75">
      <c r="A18982" s="8">
        <v>43895.777222222227</v>
      </c>
      <c r="B18982" s="8" t="str">
        <f>HYPERLINK("https://twitter.com/ronindrawan","@ronindrawan")</f>
        <v>@ronindrawan</v>
      </c>
      <c r="C18982" s="8" t="s">
        <v>1078</v>
      </c>
      <c r="D18982" s="8">
        <v>554</v>
      </c>
      <c r="E18982" s="8">
        <v>0</v>
      </c>
      <c r="F18982" s="8">
        <v>728</v>
      </c>
    </row>
    <row r="18983" spans="1:6" ht="12.75">
      <c r="A18983" s="8">
        <v>43895.777037037042</v>
      </c>
      <c r="B18983" s="8" t="str">
        <f>HYPERLINK("https://twitter.com/sjaerryblossom","@sjaerryblossom")</f>
        <v>@sjaerryblossom</v>
      </c>
      <c r="C18983" s="8" t="s">
        <v>3132</v>
      </c>
      <c r="D18983" s="8">
        <v>79</v>
      </c>
      <c r="E18983" s="8">
        <v>0</v>
      </c>
      <c r="F18983" s="8">
        <v>826</v>
      </c>
    </row>
    <row r="18984" spans="1:6" ht="12.75">
      <c r="A18984" s="8">
        <v>43895.776956018519</v>
      </c>
      <c r="B18984" s="8" t="str">
        <f>HYPERLINK("https://twitter.com/Amim_Rico","@Amim_Rico")</f>
        <v>@Amim_Rico</v>
      </c>
      <c r="C18984" s="8" t="s">
        <v>1078</v>
      </c>
      <c r="D18984" s="8">
        <v>554</v>
      </c>
      <c r="E18984" s="8">
        <v>0</v>
      </c>
      <c r="F18984" s="8">
        <v>707</v>
      </c>
    </row>
    <row r="18985" spans="1:6" ht="12.75">
      <c r="A18985" s="8">
        <v>43895.77643518518</v>
      </c>
      <c r="B18985" s="8" t="str">
        <f>HYPERLINK("https://twitter.com/dredsridinghood","@dredsridinghood")</f>
        <v>@dredsridinghood</v>
      </c>
      <c r="C18985" s="8" t="s">
        <v>3132</v>
      </c>
      <c r="D18985" s="8">
        <v>79</v>
      </c>
      <c r="E18985" s="8">
        <v>0</v>
      </c>
      <c r="F18985" s="8">
        <v>260</v>
      </c>
    </row>
    <row r="18986" spans="1:6" ht="12.75">
      <c r="A18986" s="8">
        <v>43895.775995370372</v>
      </c>
      <c r="B18986" s="8" t="str">
        <f>HYPERLINK("https://twitter.com/siti_julaeha50","@siti_julaeha50")</f>
        <v>@siti_julaeha50</v>
      </c>
      <c r="C18986" s="8" t="s">
        <v>7473</v>
      </c>
      <c r="D18986" s="8">
        <v>369</v>
      </c>
      <c r="E18986" s="8">
        <v>0</v>
      </c>
      <c r="F18986" s="8">
        <v>779</v>
      </c>
    </row>
    <row r="18987" spans="1:6" ht="12.75">
      <c r="A18987" s="8">
        <v>43895.775775462964</v>
      </c>
      <c r="B18987" s="8" t="str">
        <f>HYPERLINK("https://twitter.com/SoniMsi07","@SoniMsi07")</f>
        <v>@SoniMsi07</v>
      </c>
      <c r="C18987" s="8" t="s">
        <v>2979</v>
      </c>
      <c r="D18987" s="8">
        <v>228</v>
      </c>
      <c r="E18987" s="8">
        <v>0</v>
      </c>
      <c r="F18987" s="8">
        <v>261</v>
      </c>
    </row>
    <row r="18988" spans="1:6" ht="12.75">
      <c r="A18988" s="8">
        <v>43895.775497685187</v>
      </c>
      <c r="B18988" s="8" t="str">
        <f>HYPERLINK("https://twitter.com/calvinyounglee","@calvinyounglee")</f>
        <v>@calvinyounglee</v>
      </c>
      <c r="C18988" s="8" t="s">
        <v>1078</v>
      </c>
      <c r="D18988" s="8">
        <v>554</v>
      </c>
      <c r="E18988" s="8">
        <v>0</v>
      </c>
      <c r="F18988" s="8">
        <v>427</v>
      </c>
    </row>
    <row r="18989" spans="1:6" ht="12.75">
      <c r="A18989" s="8">
        <v>43895.775277777779</v>
      </c>
      <c r="B18989" s="8" t="str">
        <f>HYPERLINK("https://twitter.com/Lovina_ZS","@Lovina_ZS")</f>
        <v>@Lovina_ZS</v>
      </c>
      <c r="C18989" s="8" t="s">
        <v>1078</v>
      </c>
      <c r="D18989" s="8">
        <v>554</v>
      </c>
      <c r="E18989" s="8">
        <v>0</v>
      </c>
      <c r="F18989" s="8">
        <v>1471</v>
      </c>
    </row>
    <row r="18990" spans="1:6" ht="12.75">
      <c r="A18990" s="8">
        <v>43895.775254629625</v>
      </c>
      <c r="B18990" s="8" t="str">
        <f>HYPERLINK("https://twitter.com/pesanbijakk","@pesanbijakk")</f>
        <v>@pesanbijakk</v>
      </c>
      <c r="C18990" s="8" t="s">
        <v>7830</v>
      </c>
      <c r="D18990" s="8">
        <v>0</v>
      </c>
      <c r="E18990" s="8">
        <v>0</v>
      </c>
      <c r="F18990" s="8">
        <v>94079</v>
      </c>
    </row>
    <row r="18991" spans="1:6" ht="12.75">
      <c r="A18991" s="8">
        <v>43895.775185185186</v>
      </c>
      <c r="B18991" s="8" t="str">
        <f>HYPERLINK("https://twitter.com/Zulkifl16605089","@Zulkifl16605089")</f>
        <v>@Zulkifl16605089</v>
      </c>
      <c r="C18991" s="8" t="s">
        <v>7831</v>
      </c>
      <c r="D18991" s="8">
        <v>0</v>
      </c>
      <c r="E18991" s="8">
        <v>0</v>
      </c>
      <c r="F18991" s="8">
        <v>20</v>
      </c>
    </row>
    <row r="18992" spans="1:6" ht="12.75">
      <c r="A18992" s="8">
        <v>43895.774988425925</v>
      </c>
      <c r="B18992" s="8" t="str">
        <f>HYPERLINK("https://twitter.com/B_Hendratmo1","@B_Hendratmo1")</f>
        <v>@B_Hendratmo1</v>
      </c>
      <c r="C18992" s="8" t="s">
        <v>1078</v>
      </c>
      <c r="D18992" s="8">
        <v>554</v>
      </c>
      <c r="E18992" s="8">
        <v>0</v>
      </c>
      <c r="F18992" s="8">
        <v>1678</v>
      </c>
    </row>
    <row r="18993" spans="1:6" ht="12.75">
      <c r="A18993" s="8">
        <v>43895.774756944447</v>
      </c>
      <c r="B18993" s="8" t="str">
        <f>HYPERLINK("https://twitter.com/becak125cc","@becak125cc")</f>
        <v>@becak125cc</v>
      </c>
      <c r="C18993" s="8" t="s">
        <v>7245</v>
      </c>
      <c r="D18993" s="8">
        <v>58</v>
      </c>
      <c r="E18993" s="8">
        <v>0</v>
      </c>
      <c r="F18993" s="8">
        <v>553</v>
      </c>
    </row>
    <row r="18994" spans="1:6" ht="12.75">
      <c r="A18994" s="8">
        <v>43895.774375000001</v>
      </c>
      <c r="B18994" s="8" t="str">
        <f>HYPERLINK("https://twitter.com/dna63290165","@dna63290165")</f>
        <v>@dna63290165</v>
      </c>
      <c r="C18994" s="8" t="s">
        <v>7832</v>
      </c>
      <c r="D18994" s="8">
        <v>4</v>
      </c>
      <c r="E18994" s="8">
        <v>0</v>
      </c>
      <c r="F18994" s="8">
        <v>0</v>
      </c>
    </row>
    <row r="18995" spans="1:6" ht="12.75">
      <c r="A18995" s="8">
        <v>43895.774305555555</v>
      </c>
      <c r="B18995" s="8" t="str">
        <f>HYPERLINK("https://twitter.com/KompasTV","@KompasTV")</f>
        <v>@KompasTV</v>
      </c>
      <c r="C18995" s="8" t="s">
        <v>7833</v>
      </c>
      <c r="D18995" s="8">
        <v>1</v>
      </c>
      <c r="E18995" s="8">
        <v>2</v>
      </c>
      <c r="F18995" s="8">
        <v>2956766</v>
      </c>
    </row>
    <row r="18996" spans="1:6" ht="12.75">
      <c r="A18996" s="8">
        <v>43895.773356481484</v>
      </c>
      <c r="B18996" s="8" t="str">
        <f>HYPERLINK("https://twitter.com/rusdi8181","@rusdi8181")</f>
        <v>@rusdi8181</v>
      </c>
      <c r="C18996" s="8" t="s">
        <v>7473</v>
      </c>
      <c r="D18996" s="8">
        <v>369</v>
      </c>
      <c r="E18996" s="8">
        <v>0</v>
      </c>
      <c r="F18996" s="8">
        <v>1150</v>
      </c>
    </row>
    <row r="18997" spans="1:6" ht="12.75">
      <c r="A18997" s="8">
        <v>43895.773090277777</v>
      </c>
      <c r="B18997" s="8" t="str">
        <f>HYPERLINK("https://twitter.com/_jabangtutuko_","@_jabangtutuko_")</f>
        <v>@_jabangtutuko_</v>
      </c>
      <c r="C18997" s="8" t="s">
        <v>7189</v>
      </c>
      <c r="D18997" s="8">
        <v>24</v>
      </c>
      <c r="E18997" s="8">
        <v>0</v>
      </c>
      <c r="F18997" s="8">
        <v>420</v>
      </c>
    </row>
    <row r="18998" spans="1:6" ht="12.75">
      <c r="A18998" s="8">
        <v>43895.773032407407</v>
      </c>
      <c r="B18998" s="8" t="str">
        <f>HYPERLINK("https://twitter.com/TeyengCekap","@TeyengCekap")</f>
        <v>@TeyengCekap</v>
      </c>
      <c r="C18998" s="8" t="s">
        <v>1078</v>
      </c>
      <c r="D18998" s="8">
        <v>554</v>
      </c>
      <c r="E18998" s="8">
        <v>0</v>
      </c>
      <c r="F18998" s="8">
        <v>5763</v>
      </c>
    </row>
    <row r="18999" spans="1:6" ht="12.75">
      <c r="A18999" s="8">
        <v>43895.772187499999</v>
      </c>
      <c r="B18999" s="8" t="str">
        <f>HYPERLINK("https://twitter.com/AdrianPILI1409","@AdrianPILI1409")</f>
        <v>@AdrianPILI1409</v>
      </c>
      <c r="C18999" s="8" t="s">
        <v>7245</v>
      </c>
      <c r="D18999" s="8">
        <v>58</v>
      </c>
      <c r="E18999" s="8">
        <v>0</v>
      </c>
      <c r="F18999" s="8">
        <v>59</v>
      </c>
    </row>
    <row r="19000" spans="1:6" ht="12.75">
      <c r="A19000" s="8">
        <v>43895.771180555559</v>
      </c>
      <c r="B19000" s="8" t="str">
        <f>HYPERLINK("https://twitter.com/topinfo_id","@topinfo_id")</f>
        <v>@topinfo_id</v>
      </c>
      <c r="C19000" s="8" t="s">
        <v>7834</v>
      </c>
      <c r="D19000" s="8">
        <v>0</v>
      </c>
      <c r="E19000" s="8">
        <v>0</v>
      </c>
      <c r="F19000" s="8">
        <v>45</v>
      </c>
    </row>
    <row r="19001" spans="1:6" ht="12.75">
      <c r="A19001" s="8">
        <v>43895.770856481482</v>
      </c>
      <c r="B19001" s="8" t="str">
        <f>HYPERLINK("https://twitter.com/HarianNeraca","@HarianNeraca")</f>
        <v>@HarianNeraca</v>
      </c>
      <c r="C19001" s="8" t="s">
        <v>7835</v>
      </c>
      <c r="D19001" s="8">
        <v>0</v>
      </c>
      <c r="E19001" s="8">
        <v>0</v>
      </c>
      <c r="F19001" s="8">
        <v>2478</v>
      </c>
    </row>
    <row r="19002" spans="1:6" ht="12.75">
      <c r="A19002" s="8">
        <v>43895.770636574074</v>
      </c>
      <c r="B19002" s="8" t="str">
        <f>HYPERLINK("https://twitter.com/Nadya96562589","@Nadya96562589")</f>
        <v>@Nadya96562589</v>
      </c>
      <c r="C19002" s="8" t="s">
        <v>7836</v>
      </c>
      <c r="D19002" s="8">
        <v>11</v>
      </c>
      <c r="E19002" s="8">
        <v>0</v>
      </c>
      <c r="F19002" s="8">
        <v>96</v>
      </c>
    </row>
    <row r="19003" spans="1:6" ht="12.75">
      <c r="A19003" s="8">
        <v>43895.77034722222</v>
      </c>
      <c r="B19003" s="8" t="str">
        <f>HYPERLINK("https://twitter.com/topinfo_id","@topinfo_id")</f>
        <v>@topinfo_id</v>
      </c>
      <c r="C19003" s="8" t="s">
        <v>7834</v>
      </c>
      <c r="D19003" s="8">
        <v>0</v>
      </c>
      <c r="E19003" s="8">
        <v>0</v>
      </c>
      <c r="F19003" s="8">
        <v>45</v>
      </c>
    </row>
    <row r="19004" spans="1:6" ht="12.75">
      <c r="A19004" s="8">
        <v>43895.770231481481</v>
      </c>
      <c r="B19004" s="8" t="str">
        <f>HYPERLINK("https://twitter.com/mrwillietanner","@mrwillietanner")</f>
        <v>@mrwillietanner</v>
      </c>
      <c r="C19004" s="8" t="s">
        <v>7575</v>
      </c>
      <c r="D19004" s="8">
        <v>63</v>
      </c>
      <c r="E19004" s="8">
        <v>0</v>
      </c>
      <c r="F19004" s="8">
        <v>1924</v>
      </c>
    </row>
    <row r="19005" spans="1:6" ht="12.75">
      <c r="A19005" s="8">
        <v>43895.769895833335</v>
      </c>
      <c r="B19005" s="8" t="str">
        <f>HYPERLINK("https://twitter.com/55kaying","@55kaying")</f>
        <v>@55kaying</v>
      </c>
      <c r="C19005" s="8" t="s">
        <v>1078</v>
      </c>
      <c r="D19005" s="8">
        <v>554</v>
      </c>
      <c r="E19005" s="8">
        <v>0</v>
      </c>
      <c r="F19005" s="8">
        <v>309</v>
      </c>
    </row>
    <row r="19006" spans="1:6" ht="12.75">
      <c r="A19006" s="8">
        <v>43895.769652777773</v>
      </c>
      <c r="B19006" s="8" t="str">
        <f>HYPERLINK("https://twitter.com/Bias___","@Bias___")</f>
        <v>@Bias___</v>
      </c>
      <c r="C19006" s="8" t="s">
        <v>7189</v>
      </c>
      <c r="D19006" s="8">
        <v>24</v>
      </c>
      <c r="E19006" s="8">
        <v>0</v>
      </c>
      <c r="F19006" s="8">
        <v>601</v>
      </c>
    </row>
    <row r="19007" spans="1:6" ht="12.75">
      <c r="A19007" s="8">
        <v>43895.769467592589</v>
      </c>
      <c r="B19007" s="8" t="str">
        <f>HYPERLINK("https://twitter.com/Gracias68403727","@Gracias68403727")</f>
        <v>@Gracias68403727</v>
      </c>
      <c r="C19007" s="8" t="s">
        <v>7575</v>
      </c>
      <c r="D19007" s="8">
        <v>63</v>
      </c>
      <c r="E19007" s="8">
        <v>0</v>
      </c>
      <c r="F19007" s="8">
        <v>361</v>
      </c>
    </row>
    <row r="19008" spans="1:6" ht="12.75">
      <c r="A19008" s="8">
        <v>43895.768946759257</v>
      </c>
      <c r="B19008" s="8" t="str">
        <f>HYPERLINK("https://twitter.com/TriasseID","@TriasseID")</f>
        <v>@TriasseID</v>
      </c>
      <c r="C19008" s="8" t="s">
        <v>7837</v>
      </c>
      <c r="D19008" s="8">
        <v>0</v>
      </c>
      <c r="E19008" s="8">
        <v>1</v>
      </c>
      <c r="F19008" s="8">
        <v>29</v>
      </c>
    </row>
    <row r="19009" spans="1:6" ht="12.75">
      <c r="A19009" s="8">
        <v>43895.768935185188</v>
      </c>
      <c r="B19009" s="8" t="str">
        <f>HYPERLINK("https://twitter.com/mandiricare","@mandiricare")</f>
        <v>@mandiricare</v>
      </c>
      <c r="C19009" s="8" t="s">
        <v>7838</v>
      </c>
      <c r="D19009" s="8">
        <v>0</v>
      </c>
      <c r="E19009" s="8">
        <v>0</v>
      </c>
      <c r="F19009" s="8">
        <v>109081</v>
      </c>
    </row>
    <row r="19010" spans="1:6" ht="12.75">
      <c r="A19010" s="8">
        <v>43895.768414351856</v>
      </c>
      <c r="B19010" s="8" t="str">
        <f>HYPERLINK("https://twitter.com/ZaidanSulaksono","@ZaidanSulaksono")</f>
        <v>@ZaidanSulaksono</v>
      </c>
      <c r="C19010" s="8" t="s">
        <v>7774</v>
      </c>
      <c r="D19010" s="8">
        <v>5</v>
      </c>
      <c r="E19010" s="8">
        <v>0</v>
      </c>
      <c r="F19010" s="8">
        <v>322</v>
      </c>
    </row>
    <row r="19011" spans="1:6" ht="12.75">
      <c r="A19011" s="8">
        <v>43895.766851851848</v>
      </c>
      <c r="B19011" s="8" t="str">
        <f>HYPERLINK("https://twitter.com/becak125cc","@becak125cc")</f>
        <v>@becak125cc</v>
      </c>
      <c r="C19011" s="8" t="s">
        <v>1078</v>
      </c>
      <c r="D19011" s="8">
        <v>554</v>
      </c>
      <c r="E19011" s="8">
        <v>0</v>
      </c>
      <c r="F19011" s="8">
        <v>553</v>
      </c>
    </row>
    <row r="19012" spans="1:6" ht="12.75">
      <c r="A19012" s="8">
        <v>43895.766562500001</v>
      </c>
      <c r="B19012" s="8" t="str">
        <f>HYPERLINK("https://twitter.com/Arais1201","@Arais1201")</f>
        <v>@Arais1201</v>
      </c>
      <c r="C19012" s="8" t="s">
        <v>7839</v>
      </c>
      <c r="D19012" s="8">
        <v>0</v>
      </c>
      <c r="E19012" s="8">
        <v>0</v>
      </c>
      <c r="F19012" s="8">
        <v>93</v>
      </c>
    </row>
    <row r="19013" spans="1:6" ht="12.75">
      <c r="A19013" s="8">
        <v>43895.766099537039</v>
      </c>
      <c r="B19013" s="8" t="str">
        <f>HYPERLINK("https://twitter.com/EstiMujiati","@EstiMujiati")</f>
        <v>@EstiMujiati</v>
      </c>
      <c r="C19013" s="8" t="s">
        <v>1078</v>
      </c>
      <c r="D19013" s="8">
        <v>554</v>
      </c>
      <c r="E19013" s="8">
        <v>0</v>
      </c>
      <c r="F19013" s="8">
        <v>445</v>
      </c>
    </row>
    <row r="19014" spans="1:6" ht="12.75">
      <c r="A19014" s="8">
        <v>43895.7659837963</v>
      </c>
      <c r="B19014" s="8" t="str">
        <f>HYPERLINK("https://twitter.com/initwtpuput","@initwtpuput")</f>
        <v>@initwtpuput</v>
      </c>
      <c r="C19014" s="8" t="s">
        <v>7840</v>
      </c>
      <c r="D19014" s="8">
        <v>0</v>
      </c>
      <c r="E19014" s="8">
        <v>0</v>
      </c>
      <c r="F19014" s="8">
        <v>762</v>
      </c>
    </row>
    <row r="19015" spans="1:6" ht="12.75">
      <c r="A19015" s="8">
        <v>43895.765879629631</v>
      </c>
      <c r="B19015" s="8" t="str">
        <f>HYPERLINK("https://twitter.com/04_adisetiawan","@04_adisetiawan")</f>
        <v>@04_adisetiawan</v>
      </c>
      <c r="C19015" s="8" t="s">
        <v>7841</v>
      </c>
      <c r="D19015" s="8">
        <v>72</v>
      </c>
      <c r="E19015" s="8">
        <v>0</v>
      </c>
      <c r="F19015" s="8">
        <v>207</v>
      </c>
    </row>
    <row r="19016" spans="1:6" ht="12.75">
      <c r="A19016" s="8">
        <v>43895.764710648145</v>
      </c>
      <c r="B19016" s="8" t="str">
        <f>HYPERLINK("https://twitter.com/Qisbullah_","@Qisbullah_")</f>
        <v>@Qisbullah_</v>
      </c>
      <c r="C19016" s="8" t="s">
        <v>1343</v>
      </c>
      <c r="D19016" s="8">
        <v>2</v>
      </c>
      <c r="E19016" s="8">
        <v>0</v>
      </c>
      <c r="F19016" s="8">
        <v>22</v>
      </c>
    </row>
    <row r="19017" spans="1:6" ht="12.75">
      <c r="A19017" s="8">
        <v>43895.764641203699</v>
      </c>
      <c r="B19017" s="8" t="str">
        <f>HYPERLINK("https://twitter.com/hendraputrasiag","@hendraputrasiag")</f>
        <v>@hendraputrasiag</v>
      </c>
      <c r="C19017" s="8" t="s">
        <v>1078</v>
      </c>
      <c r="D19017" s="8">
        <v>554</v>
      </c>
      <c r="E19017" s="8">
        <v>0</v>
      </c>
      <c r="F19017" s="8">
        <v>183</v>
      </c>
    </row>
    <row r="19018" spans="1:6" ht="12.75">
      <c r="A19018" s="8">
        <v>43895.764212962968</v>
      </c>
      <c r="B19018" s="8" t="str">
        <f>HYPERLINK("https://twitter.com/zaim_nasution","@zaim_nasution")</f>
        <v>@zaim_nasution</v>
      </c>
      <c r="C19018" s="8" t="s">
        <v>3132</v>
      </c>
      <c r="D19018" s="8">
        <v>79</v>
      </c>
      <c r="E19018" s="8">
        <v>0</v>
      </c>
      <c r="F19018" s="8">
        <v>199</v>
      </c>
    </row>
    <row r="19019" spans="1:6" ht="12.75">
      <c r="A19019" s="8">
        <v>43895.764178240745</v>
      </c>
      <c r="B19019" s="8" t="str">
        <f>HYPERLINK("https://twitter.com/DjanChoek","@DjanChoek")</f>
        <v>@DjanChoek</v>
      </c>
      <c r="C19019" s="8" t="s">
        <v>7189</v>
      </c>
      <c r="D19019" s="8">
        <v>24</v>
      </c>
      <c r="E19019" s="8">
        <v>0</v>
      </c>
      <c r="F19019" s="8">
        <v>24962</v>
      </c>
    </row>
    <row r="19020" spans="1:6" ht="12.75">
      <c r="A19020" s="8">
        <v>43895.764155092591</v>
      </c>
      <c r="B19020" s="8" t="str">
        <f>HYPERLINK("https://twitter.com/gvrilthreads","@gvrilthreads")</f>
        <v>@gvrilthreads</v>
      </c>
      <c r="C19020" s="8" t="s">
        <v>7842</v>
      </c>
      <c r="D19020" s="8">
        <v>0</v>
      </c>
      <c r="E19020" s="8">
        <v>0</v>
      </c>
      <c r="F19020" s="8">
        <v>1</v>
      </c>
    </row>
    <row r="19021" spans="1:6" ht="12.75">
      <c r="A19021" s="8">
        <v>43895.763564814813</v>
      </c>
      <c r="B19021" s="8" t="str">
        <f>HYPERLINK("https://twitter.com/JoeSuisTanjung","@JoeSuisTanjung")</f>
        <v>@JoeSuisTanjung</v>
      </c>
      <c r="C19021" s="8" t="s">
        <v>7675</v>
      </c>
      <c r="D19021" s="8">
        <v>1</v>
      </c>
      <c r="E19021" s="8">
        <v>0</v>
      </c>
      <c r="F19021" s="8">
        <v>1823</v>
      </c>
    </row>
    <row r="19022" spans="1:6" ht="12.75">
      <c r="A19022" s="8">
        <v>43895.763333333336</v>
      </c>
      <c r="B19022" s="8" t="str">
        <f>HYPERLINK("https://twitter.com/KangAzzev","@KangAzzev")</f>
        <v>@KangAzzev</v>
      </c>
      <c r="C19022" s="8" t="s">
        <v>3285</v>
      </c>
      <c r="D19022" s="8">
        <v>167</v>
      </c>
      <c r="E19022" s="8">
        <v>0</v>
      </c>
      <c r="F19022" s="8">
        <v>765</v>
      </c>
    </row>
    <row r="19023" spans="1:6" ht="12.75">
      <c r="A19023" s="8">
        <v>43895.762662037036</v>
      </c>
      <c r="B19023" s="8" t="str">
        <f>HYPERLINK("https://twitter.com/topinfo_id","@topinfo_id")</f>
        <v>@topinfo_id</v>
      </c>
      <c r="C19023" s="8" t="s">
        <v>7496</v>
      </c>
      <c r="D19023" s="8">
        <v>0</v>
      </c>
      <c r="E19023" s="8">
        <v>0</v>
      </c>
      <c r="F19023" s="8">
        <v>45</v>
      </c>
    </row>
    <row r="19024" spans="1:6" ht="12.75">
      <c r="A19024" s="8">
        <v>43895.756157407406</v>
      </c>
      <c r="B19024" s="8" t="str">
        <f>HYPERLINK("https://twitter.com/MarisaLola","@MarisaLola")</f>
        <v>@MarisaLola</v>
      </c>
      <c r="C19024" s="8" t="s">
        <v>1078</v>
      </c>
      <c r="D19024" s="8">
        <v>530</v>
      </c>
      <c r="E19024" s="8">
        <v>0</v>
      </c>
      <c r="F19024" s="8">
        <v>889</v>
      </c>
    </row>
    <row r="19025" spans="1:6" ht="12.75">
      <c r="A19025" s="8">
        <v>43895.755358796298</v>
      </c>
      <c r="B19025" s="8" t="str">
        <f>HYPERLINK("https://twitter.com/Shmursalim","@Shmursalim")</f>
        <v>@Shmursalim</v>
      </c>
      <c r="C19025" s="8" t="s">
        <v>1078</v>
      </c>
      <c r="D19025" s="8">
        <v>530</v>
      </c>
      <c r="E19025" s="8">
        <v>0</v>
      </c>
      <c r="F19025" s="8">
        <v>3815</v>
      </c>
    </row>
    <row r="19026" spans="1:6" ht="12.75">
      <c r="A19026" s="8">
        <v>43895.755347222221</v>
      </c>
      <c r="B19026" s="8" t="str">
        <f>HYPERLINK("https://twitter.com/deaprdt","@deaprdt")</f>
        <v>@deaprdt</v>
      </c>
      <c r="C19026" s="8" t="s">
        <v>7843</v>
      </c>
      <c r="D19026" s="8">
        <v>2</v>
      </c>
      <c r="E19026" s="8">
        <v>0</v>
      </c>
      <c r="F19026" s="8">
        <v>489</v>
      </c>
    </row>
    <row r="19027" spans="1:6" ht="12.75">
      <c r="A19027" s="8">
        <v>43895.754652777774</v>
      </c>
      <c r="B19027" s="8" t="str">
        <f>HYPERLINK("https://twitter.com/Poldakaltim","@Poldakaltim")</f>
        <v>@Poldakaltim</v>
      </c>
      <c r="C19027" s="8" t="s">
        <v>7844</v>
      </c>
      <c r="D19027" s="8">
        <v>0</v>
      </c>
      <c r="E19027" s="8">
        <v>0</v>
      </c>
      <c r="F19027" s="8">
        <v>8731</v>
      </c>
    </row>
    <row r="19028" spans="1:6" ht="12.75">
      <c r="A19028" s="8">
        <v>43895.754537037035</v>
      </c>
      <c r="B19028" s="8" t="str">
        <f>HYPERLINK("https://twitter.com/BenWaspada","@BenWaspada")</f>
        <v>@BenWaspada</v>
      </c>
      <c r="C19028" s="8" t="s">
        <v>1078</v>
      </c>
      <c r="D19028" s="8">
        <v>530</v>
      </c>
      <c r="E19028" s="8">
        <v>0</v>
      </c>
      <c r="F19028" s="8">
        <v>184</v>
      </c>
    </row>
    <row r="19029" spans="1:6" ht="12.75">
      <c r="A19029" s="8">
        <v>43895.753958333335</v>
      </c>
      <c r="B19029" s="8" t="str">
        <f>HYPERLINK("https://twitter.com/Satman_ilyass","@Satman_ilyass")</f>
        <v>@Satman_ilyass</v>
      </c>
      <c r="C19029" s="8" t="s">
        <v>7845</v>
      </c>
      <c r="D19029" s="8">
        <v>69</v>
      </c>
      <c r="E19029" s="8">
        <v>0</v>
      </c>
      <c r="F19029" s="8">
        <v>363</v>
      </c>
    </row>
    <row r="19030" spans="1:6" ht="12.75">
      <c r="A19030" s="8">
        <v>43895.753344907411</v>
      </c>
      <c r="B19030" s="8" t="str">
        <f>HYPERLINK("https://twitter.com/corgitoopia","@corgitoopia")</f>
        <v>@corgitoopia</v>
      </c>
      <c r="C19030" s="8" t="s">
        <v>7846</v>
      </c>
      <c r="D19030" s="8">
        <v>0</v>
      </c>
      <c r="E19030" s="8">
        <v>0</v>
      </c>
      <c r="F19030" s="8">
        <v>35</v>
      </c>
    </row>
    <row r="19031" spans="1:6" ht="12.75">
      <c r="A19031" s="8">
        <v>43895.752372685187</v>
      </c>
      <c r="B19031" s="8" t="str">
        <f>HYPERLINK("https://twitter.com/hendrickliem","@hendrickliem")</f>
        <v>@hendrickliem</v>
      </c>
      <c r="C19031" s="8" t="s">
        <v>1078</v>
      </c>
      <c r="D19031" s="8">
        <v>530</v>
      </c>
      <c r="E19031" s="8">
        <v>0</v>
      </c>
      <c r="F19031" s="8">
        <v>921</v>
      </c>
    </row>
    <row r="19032" spans="1:6" ht="12.75">
      <c r="A19032" s="8">
        <v>43895.752013888894</v>
      </c>
      <c r="B19032" s="8" t="str">
        <f>HYPERLINK("https://twitter.com/auliaabta","@auliaabta")</f>
        <v>@auliaabta</v>
      </c>
      <c r="C19032" s="8" t="s">
        <v>7847</v>
      </c>
      <c r="D19032" s="8">
        <v>0</v>
      </c>
      <c r="E19032" s="8">
        <v>0</v>
      </c>
      <c r="F19032" s="8">
        <v>6</v>
      </c>
    </row>
    <row r="19033" spans="1:6" ht="12.75">
      <c r="A19033" s="8">
        <v>43895.751828703702</v>
      </c>
      <c r="B19033" s="8" t="str">
        <f>HYPERLINK("https://twitter.com/hanyarakyatkcl","@hanyarakyatkcl")</f>
        <v>@hanyarakyatkcl</v>
      </c>
      <c r="C19033" s="8" t="s">
        <v>6710</v>
      </c>
      <c r="D19033" s="8">
        <v>454</v>
      </c>
      <c r="E19033" s="8">
        <v>0</v>
      </c>
      <c r="F19033" s="8">
        <v>42</v>
      </c>
    </row>
    <row r="19034" spans="1:6" ht="12.75">
      <c r="A19034" s="8">
        <v>43895.751168981486</v>
      </c>
      <c r="B19034" s="8" t="str">
        <f>HYPERLINK("https://twitter.com/klilk37695866","@klilk37695866")</f>
        <v>@klilk37695866</v>
      </c>
      <c r="C19034" s="8" t="s">
        <v>7646</v>
      </c>
      <c r="D19034" s="8">
        <v>14</v>
      </c>
      <c r="E19034" s="8">
        <v>0</v>
      </c>
      <c r="F19034" s="8">
        <v>135</v>
      </c>
    </row>
    <row r="19035" spans="1:6" ht="12.75">
      <c r="A19035" s="8">
        <v>43895.750868055555</v>
      </c>
      <c r="B19035" s="8" t="str">
        <f>HYPERLINK("https://twitter.com/Eddianto1","@Eddianto1")</f>
        <v>@Eddianto1</v>
      </c>
      <c r="C19035" s="8" t="s">
        <v>3285</v>
      </c>
      <c r="D19035" s="8">
        <v>166</v>
      </c>
      <c r="E19035" s="8">
        <v>0</v>
      </c>
      <c r="F19035" s="8">
        <v>365</v>
      </c>
    </row>
    <row r="19036" spans="1:6" ht="12.75">
      <c r="A19036" s="8">
        <v>43895.750694444447</v>
      </c>
      <c r="B19036" s="8" t="str">
        <f>HYPERLINK("https://twitter.com/Duta_Matahari","@Duta_Matahari")</f>
        <v>@Duta_Matahari</v>
      </c>
      <c r="C19036" s="8" t="s">
        <v>7848</v>
      </c>
      <c r="D19036" s="8">
        <v>65</v>
      </c>
      <c r="E19036" s="8">
        <v>0</v>
      </c>
      <c r="F19036" s="8">
        <v>361</v>
      </c>
    </row>
    <row r="19037" spans="1:6" ht="12.75">
      <c r="A19037" s="8">
        <v>43895.750509259262</v>
      </c>
      <c r="B19037" s="8" t="str">
        <f>HYPERLINK("https://twitter.com/kangcantrik","@kangcantrik")</f>
        <v>@kangcantrik</v>
      </c>
      <c r="C19037" s="8" t="s">
        <v>1078</v>
      </c>
      <c r="D19037" s="8">
        <v>530</v>
      </c>
      <c r="E19037" s="8">
        <v>0</v>
      </c>
      <c r="F19037" s="8">
        <v>4272</v>
      </c>
    </row>
    <row r="19038" spans="1:6" ht="12.75">
      <c r="A19038" s="8">
        <v>43895.7503587963</v>
      </c>
      <c r="B19038" s="8" t="str">
        <f>HYPERLINK("https://twitter.com/GKaryandra","@GKaryandra")</f>
        <v>@GKaryandra</v>
      </c>
      <c r="C19038" s="8" t="s">
        <v>7849</v>
      </c>
      <c r="D19038" s="8">
        <v>0</v>
      </c>
      <c r="E19038" s="8">
        <v>0</v>
      </c>
      <c r="F19038" s="8">
        <v>36</v>
      </c>
    </row>
    <row r="19039" spans="1:6" ht="12.75">
      <c r="A19039" s="8">
        <v>43895.750300925924</v>
      </c>
      <c r="B19039" s="8" t="str">
        <f>HYPERLINK("https://twitter.com/syahdic016","@syahdic016")</f>
        <v>@syahdic016</v>
      </c>
      <c r="C19039" s="8" t="s">
        <v>1078</v>
      </c>
      <c r="D19039" s="8">
        <v>530</v>
      </c>
      <c r="E19039" s="8">
        <v>0</v>
      </c>
      <c r="F19039" s="8">
        <v>7182</v>
      </c>
    </row>
    <row r="19040" spans="1:6" ht="12.75">
      <c r="A19040" s="8">
        <v>43895.750173611115</v>
      </c>
      <c r="B19040" s="8" t="str">
        <f>HYPERLINK("https://twitter.com/IDNow_Era","@IDNow_Era")</f>
        <v>@IDNow_Era</v>
      </c>
      <c r="C19040" s="8" t="s">
        <v>7850</v>
      </c>
      <c r="D19040" s="8">
        <v>0</v>
      </c>
      <c r="E19040" s="8">
        <v>0</v>
      </c>
      <c r="F19040" s="8">
        <v>1350</v>
      </c>
    </row>
    <row r="19041" spans="1:6" ht="12.75">
      <c r="A19041" s="8">
        <v>43895.75</v>
      </c>
      <c r="B19041" s="8" t="str">
        <f>HYPERLINK("https://twitter.com/Ghozali39972979","@Ghozali39972979")</f>
        <v>@Ghozali39972979</v>
      </c>
      <c r="C19041" s="8" t="s">
        <v>7851</v>
      </c>
      <c r="D19041" s="8">
        <v>0</v>
      </c>
      <c r="E19041" s="8">
        <v>0</v>
      </c>
      <c r="F19041" s="8">
        <v>0</v>
      </c>
    </row>
    <row r="19042" spans="1:6" ht="12.75">
      <c r="A19042" s="8">
        <v>43895.749675925923</v>
      </c>
      <c r="B19042" s="8" t="str">
        <f>HYPERLINK("https://twitter.com/DePlankthoon","@DePlankthoon")</f>
        <v>@DePlankthoon</v>
      </c>
      <c r="C19042" s="8" t="s">
        <v>1078</v>
      </c>
      <c r="D19042" s="8">
        <v>530</v>
      </c>
      <c r="E19042" s="8">
        <v>0</v>
      </c>
      <c r="F19042" s="8">
        <v>1554</v>
      </c>
    </row>
    <row r="19043" spans="1:6" ht="12.75">
      <c r="A19043" s="8">
        <v>43895.749479166669</v>
      </c>
      <c r="B19043" s="8" t="str">
        <f>HYPERLINK("https://twitter.com/vanillate_","@vanillate_")</f>
        <v>@vanillate_</v>
      </c>
      <c r="C19043" s="8" t="s">
        <v>1078</v>
      </c>
      <c r="D19043" s="8">
        <v>530</v>
      </c>
      <c r="E19043" s="8">
        <v>0</v>
      </c>
      <c r="F19043" s="8">
        <v>1506</v>
      </c>
    </row>
    <row r="19044" spans="1:6" ht="12.75">
      <c r="A19044" s="8">
        <v>43895.749259259261</v>
      </c>
      <c r="B19044" s="8" t="str">
        <f>HYPERLINK("https://twitter.com/HeriCombo","@HeriCombo")</f>
        <v>@HeriCombo</v>
      </c>
      <c r="C19044" s="8" t="s">
        <v>1078</v>
      </c>
      <c r="D19044" s="8">
        <v>530</v>
      </c>
      <c r="E19044" s="8">
        <v>0</v>
      </c>
      <c r="F19044" s="8">
        <v>333</v>
      </c>
    </row>
    <row r="19045" spans="1:6" ht="12.75">
      <c r="A19045" s="8">
        <v>43895.748842592591</v>
      </c>
      <c r="B19045" s="8" t="str">
        <f>HYPERLINK("https://twitter.com/JabreakYudha","@JabreakYudha")</f>
        <v>@JabreakYudha</v>
      </c>
      <c r="C19045" s="8" t="s">
        <v>7852</v>
      </c>
      <c r="D19045" s="8">
        <v>1</v>
      </c>
      <c r="E19045" s="8">
        <v>0</v>
      </c>
      <c r="F19045" s="8">
        <v>1759</v>
      </c>
    </row>
    <row r="19046" spans="1:6" ht="12.75">
      <c r="A19046" s="8">
        <v>43895.74864583333</v>
      </c>
      <c r="B19046" s="8" t="str">
        <f>HYPERLINK("https://twitter.com/Ryuki_Black999","@Ryuki_Black999")</f>
        <v>@Ryuki_Black999</v>
      </c>
      <c r="C19046" s="8" t="s">
        <v>7853</v>
      </c>
      <c r="D19046" s="8">
        <v>0</v>
      </c>
      <c r="E19046" s="8">
        <v>0</v>
      </c>
      <c r="F19046" s="8">
        <v>173</v>
      </c>
    </row>
    <row r="19047" spans="1:6" ht="12.75">
      <c r="A19047" s="8">
        <v>43895.748530092591</v>
      </c>
      <c r="B19047" s="8" t="str">
        <f>HYPERLINK("https://twitter.com/sirajapadoha","@sirajapadoha")</f>
        <v>@sirajapadoha</v>
      </c>
      <c r="C19047" s="8" t="s">
        <v>7189</v>
      </c>
      <c r="D19047" s="8">
        <v>12</v>
      </c>
      <c r="E19047" s="8">
        <v>0</v>
      </c>
      <c r="F19047" s="8">
        <v>2483</v>
      </c>
    </row>
    <row r="19048" spans="1:6" ht="12.75">
      <c r="A19048" s="8">
        <v>43895.748113425929</v>
      </c>
      <c r="B19048" s="8" t="str">
        <f>HYPERLINK("https://twitter.com/mailglowing","@mailglowing")</f>
        <v>@mailglowing</v>
      </c>
      <c r="C19048" s="8" t="s">
        <v>7189</v>
      </c>
      <c r="D19048" s="8">
        <v>12</v>
      </c>
      <c r="E19048" s="8">
        <v>0</v>
      </c>
      <c r="F19048" s="8">
        <v>202</v>
      </c>
    </row>
    <row r="19049" spans="1:6" ht="12.75">
      <c r="A19049" s="8">
        <v>43895.747858796298</v>
      </c>
      <c r="B19049" s="8" t="str">
        <f>HYPERLINK("https://twitter.com/andreaskoernia1","@andreaskoernia1")</f>
        <v>@andreaskoernia1</v>
      </c>
      <c r="C19049" s="8" t="s">
        <v>7245</v>
      </c>
      <c r="D19049" s="8">
        <v>53</v>
      </c>
      <c r="E19049" s="8">
        <v>0</v>
      </c>
      <c r="F19049" s="8">
        <v>24</v>
      </c>
    </row>
    <row r="19050" spans="1:6" ht="12.75">
      <c r="A19050" s="8">
        <v>43895.747581018513</v>
      </c>
      <c r="B19050" s="8" t="str">
        <f>HYPERLINK("https://twitter.com/shiz4yoo","@shiz4yoo")</f>
        <v>@shiz4yoo</v>
      </c>
      <c r="C19050" s="8" t="s">
        <v>7854</v>
      </c>
      <c r="D19050" s="8">
        <v>0</v>
      </c>
      <c r="E19050" s="8">
        <v>0</v>
      </c>
      <c r="F19050" s="8">
        <v>245</v>
      </c>
    </row>
    <row r="19051" spans="1:6" ht="12.75">
      <c r="A19051" s="8">
        <v>43895.747453703705</v>
      </c>
      <c r="B19051" s="8" t="str">
        <f>HYPERLINK("https://twitter.com/snjayajonggrang","@snjayajonggrang")</f>
        <v>@snjayajonggrang</v>
      </c>
      <c r="C19051" s="8" t="s">
        <v>7516</v>
      </c>
      <c r="D19051" s="8">
        <v>50</v>
      </c>
      <c r="E19051" s="8">
        <v>0</v>
      </c>
      <c r="F19051" s="8">
        <v>3881</v>
      </c>
    </row>
    <row r="19052" spans="1:6" ht="12.75">
      <c r="A19052" s="8">
        <v>43895.747418981482</v>
      </c>
      <c r="B19052" s="8" t="str">
        <f>HYPERLINK("https://twitter.com/rajaaterakhir","@rajaaterakhir")</f>
        <v>@rajaaterakhir</v>
      </c>
      <c r="C19052" s="8" t="s">
        <v>7855</v>
      </c>
      <c r="D19052" s="8">
        <v>0</v>
      </c>
      <c r="E19052" s="8">
        <v>0</v>
      </c>
      <c r="F19052" s="8">
        <v>78</v>
      </c>
    </row>
    <row r="19053" spans="1:6" ht="12.75">
      <c r="A19053" s="8">
        <v>43895.74732638889</v>
      </c>
      <c r="B19053" s="8" t="str">
        <f>HYPERLINK("https://twitter.com/04_prieslo","@04_prieslo")</f>
        <v>@04_prieslo</v>
      </c>
      <c r="C19053" s="8" t="s">
        <v>7189</v>
      </c>
      <c r="D19053" s="8">
        <v>12</v>
      </c>
      <c r="E19053" s="8">
        <v>0</v>
      </c>
      <c r="F19053" s="8">
        <v>1810</v>
      </c>
    </row>
    <row r="19054" spans="1:6" ht="12.75">
      <c r="A19054" s="8">
        <v>43895.747291666667</v>
      </c>
      <c r="B19054" s="8" t="str">
        <f>HYPERLINK("https://twitter.com/larastriana3","@larastriana3")</f>
        <v>@larastriana3</v>
      </c>
      <c r="C19054" s="8" t="s">
        <v>7856</v>
      </c>
      <c r="D19054" s="8">
        <v>2</v>
      </c>
      <c r="E19054" s="8">
        <v>0</v>
      </c>
      <c r="F19054" s="8">
        <v>1595</v>
      </c>
    </row>
    <row r="19055" spans="1:6" ht="12.75">
      <c r="A19055" s="8">
        <v>43895.747256944444</v>
      </c>
      <c r="B19055" s="8" t="str">
        <f>HYPERLINK("https://twitter.com/anwaroviic","@anwaroviic")</f>
        <v>@anwaroviic</v>
      </c>
      <c r="C19055" s="8" t="s">
        <v>1078</v>
      </c>
      <c r="D19055" s="8">
        <v>530</v>
      </c>
      <c r="E19055" s="8">
        <v>0</v>
      </c>
      <c r="F19055" s="8">
        <v>156</v>
      </c>
    </row>
    <row r="19056" spans="1:6" ht="12.75">
      <c r="A19056" s="8">
        <v>43895.747245370367</v>
      </c>
      <c r="B19056" s="8" t="str">
        <f>HYPERLINK("https://twitter.com/pikiran_rakyat","@pikiran_rakyat")</f>
        <v>@pikiran_rakyat</v>
      </c>
      <c r="C19056" s="8" t="s">
        <v>7857</v>
      </c>
      <c r="D19056" s="8">
        <v>0</v>
      </c>
      <c r="E19056" s="8">
        <v>0</v>
      </c>
      <c r="F19056" s="8">
        <v>413256</v>
      </c>
    </row>
    <row r="19057" spans="1:6" ht="12.75">
      <c r="A19057" s="8">
        <v>43895.746921296297</v>
      </c>
      <c r="B19057" s="8" t="str">
        <f>HYPERLINK("https://twitter.com/sinyovandlahom","@sinyovandlahom")</f>
        <v>@sinyovandlahom</v>
      </c>
      <c r="C19057" s="8" t="s">
        <v>7473</v>
      </c>
      <c r="D19057" s="8">
        <v>366</v>
      </c>
      <c r="E19057" s="8">
        <v>0</v>
      </c>
      <c r="F19057" s="8">
        <v>1332</v>
      </c>
    </row>
    <row r="19058" spans="1:6" ht="12.75">
      <c r="A19058" s="8">
        <v>43895.746736111112</v>
      </c>
      <c r="B19058" s="8" t="str">
        <f>HYPERLINK("https://twitter.com/Dulkenyot14","@Dulkenyot14")</f>
        <v>@Dulkenyot14</v>
      </c>
      <c r="C19058" s="8" t="s">
        <v>7245</v>
      </c>
      <c r="D19058" s="8">
        <v>53</v>
      </c>
      <c r="E19058" s="8">
        <v>0</v>
      </c>
      <c r="F19058" s="8">
        <v>860</v>
      </c>
    </row>
    <row r="19059" spans="1:6" ht="12.75">
      <c r="A19059" s="8">
        <v>43895.746724537035</v>
      </c>
      <c r="B19059" s="8" t="str">
        <f t="shared" ref="B19059:B19060" si="280">HYPERLINK("https://twitter.com/mudha_satriya","@mudha_satriya")</f>
        <v>@mudha_satriya</v>
      </c>
      <c r="C19059" s="8" t="s">
        <v>7718</v>
      </c>
      <c r="D19059" s="8">
        <v>2</v>
      </c>
      <c r="E19059" s="8">
        <v>0</v>
      </c>
      <c r="F19059" s="8">
        <v>1882</v>
      </c>
    </row>
    <row r="19060" spans="1:6" ht="12.75">
      <c r="A19060" s="8">
        <v>43895.746342592596</v>
      </c>
      <c r="B19060" s="8" t="str">
        <f t="shared" si="280"/>
        <v>@mudha_satriya</v>
      </c>
      <c r="C19060" s="8" t="s">
        <v>7719</v>
      </c>
      <c r="D19060" s="8">
        <v>3</v>
      </c>
      <c r="E19060" s="8">
        <v>0</v>
      </c>
      <c r="F19060" s="8">
        <v>1882</v>
      </c>
    </row>
    <row r="19061" spans="1:6" ht="12.75">
      <c r="A19061" s="8">
        <v>43895.745520833334</v>
      </c>
      <c r="B19061" s="8" t="str">
        <f>HYPERLINK("https://twitter.com/stupidbandit_","@stupidbandit_")</f>
        <v>@stupidbandit_</v>
      </c>
      <c r="C19061" s="8" t="s">
        <v>7858</v>
      </c>
      <c r="D19061" s="8">
        <v>2</v>
      </c>
      <c r="E19061" s="8">
        <v>0</v>
      </c>
      <c r="F19061" s="8">
        <v>243</v>
      </c>
    </row>
    <row r="19062" spans="1:6" ht="12.75">
      <c r="A19062" s="8">
        <v>43895.745439814811</v>
      </c>
      <c r="B19062" s="8" t="str">
        <f>HYPERLINK("https://twitter.com/Forkompi","@Forkompi")</f>
        <v>@Forkompi</v>
      </c>
      <c r="C19062" s="8" t="s">
        <v>7859</v>
      </c>
      <c r="D19062" s="8">
        <v>0</v>
      </c>
      <c r="E19062" s="8">
        <v>1</v>
      </c>
      <c r="F19062" s="8">
        <v>679</v>
      </c>
    </row>
    <row r="19063" spans="1:6" ht="12.75">
      <c r="A19063" s="8">
        <v>43895.745358796295</v>
      </c>
      <c r="B19063" s="8" t="str">
        <f>HYPERLINK("https://twitter.com/Anggoro_Irvan_S","@Anggoro_Irvan_S")</f>
        <v>@Anggoro_Irvan_S</v>
      </c>
      <c r="C19063" s="8" t="s">
        <v>7189</v>
      </c>
      <c r="D19063" s="8">
        <v>12</v>
      </c>
      <c r="E19063" s="8">
        <v>0</v>
      </c>
      <c r="F19063" s="8">
        <v>1683</v>
      </c>
    </row>
    <row r="19064" spans="1:6" ht="12.75">
      <c r="A19064" s="8">
        <v>43895.745266203703</v>
      </c>
      <c r="B19064" s="8" t="str">
        <f>HYPERLINK("https://twitter.com/iamrabeca","@iamrabeca")</f>
        <v>@iamrabeca</v>
      </c>
      <c r="C19064" s="8" t="s">
        <v>7860</v>
      </c>
      <c r="D19064" s="8">
        <v>0</v>
      </c>
      <c r="E19064" s="8">
        <v>0</v>
      </c>
      <c r="F19064" s="8">
        <v>161</v>
      </c>
    </row>
    <row r="19065" spans="1:6" ht="12.75">
      <c r="A19065" s="8">
        <v>43895.745196759264</v>
      </c>
      <c r="B19065" s="8" t="str">
        <f>HYPERLINK("https://twitter.com/SimonYa00021159","@SimonYa00021159")</f>
        <v>@SimonYa00021159</v>
      </c>
      <c r="C19065" s="8" t="s">
        <v>7189</v>
      </c>
      <c r="D19065" s="8">
        <v>12</v>
      </c>
      <c r="E19065" s="8">
        <v>0</v>
      </c>
      <c r="F19065" s="8">
        <v>98</v>
      </c>
    </row>
    <row r="19066" spans="1:6" ht="12.75">
      <c r="A19066" s="8">
        <v>43895.744780092587</v>
      </c>
      <c r="B19066" s="8" t="str">
        <f>HYPERLINK("https://twitter.com/iamrabeca","@iamrabeca")</f>
        <v>@iamrabeca</v>
      </c>
      <c r="C19066" s="8" t="s">
        <v>7861</v>
      </c>
      <c r="D19066" s="8">
        <v>0</v>
      </c>
      <c r="E19066" s="8">
        <v>0</v>
      </c>
      <c r="F19066" s="8">
        <v>161</v>
      </c>
    </row>
    <row r="19067" spans="1:6" ht="12.75">
      <c r="A19067" s="8">
        <v>43895.744780092587</v>
      </c>
      <c r="B19067" s="8" t="str">
        <f>HYPERLINK("https://twitter.com/sinyovandlahom","@sinyovandlahom")</f>
        <v>@sinyovandlahom</v>
      </c>
      <c r="C19067" s="8" t="s">
        <v>7862</v>
      </c>
      <c r="D19067" s="8">
        <v>37</v>
      </c>
      <c r="E19067" s="8">
        <v>0</v>
      </c>
      <c r="F19067" s="8">
        <v>1332</v>
      </c>
    </row>
    <row r="19068" spans="1:6" ht="12.75">
      <c r="A19068" s="8">
        <v>43895.744004629625</v>
      </c>
      <c r="B19068" s="8" t="str">
        <f>HYPERLINK("https://twitter.com/BimoMangkulang1","@BimoMangkulang1")</f>
        <v>@BimoMangkulang1</v>
      </c>
      <c r="C19068" s="8" t="s">
        <v>1078</v>
      </c>
      <c r="D19068" s="8">
        <v>530</v>
      </c>
      <c r="E19068" s="8">
        <v>0</v>
      </c>
      <c r="F19068" s="8">
        <v>285</v>
      </c>
    </row>
    <row r="19069" spans="1:6" ht="12.75">
      <c r="A19069" s="8">
        <v>43895.743946759263</v>
      </c>
      <c r="B19069" s="8" t="str">
        <f>HYPERLINK("https://twitter.com/JhonsonOdette","@JhonsonOdette")</f>
        <v>@JhonsonOdette</v>
      </c>
      <c r="C19069" s="8" t="s">
        <v>6222</v>
      </c>
      <c r="D19069" s="8">
        <v>39</v>
      </c>
      <c r="E19069" s="8">
        <v>0</v>
      </c>
      <c r="F19069" s="8">
        <v>10</v>
      </c>
    </row>
    <row r="19070" spans="1:6" ht="12.75">
      <c r="A19070" s="8">
        <v>43895.74386574074</v>
      </c>
      <c r="B19070" s="8" t="str">
        <f>HYPERLINK("https://twitter.com/7nagaO3MT3","@7nagaO3MT3")</f>
        <v>@7nagaO3MT3</v>
      </c>
      <c r="C19070" s="8" t="s">
        <v>7863</v>
      </c>
      <c r="D19070" s="8">
        <v>2</v>
      </c>
      <c r="E19070" s="8">
        <v>3</v>
      </c>
      <c r="F19070" s="8">
        <v>6024</v>
      </c>
    </row>
    <row r="19071" spans="1:6" ht="12.75">
      <c r="A19071" s="8">
        <v>43895.743009259255</v>
      </c>
      <c r="B19071" s="8" t="str">
        <f>HYPERLINK("https://twitter.com/rafaniayesh","@rafaniayesh")</f>
        <v>@rafaniayesh</v>
      </c>
      <c r="C19071" s="8" t="s">
        <v>7864</v>
      </c>
      <c r="D19071" s="8">
        <v>5</v>
      </c>
      <c r="E19071" s="8">
        <v>0</v>
      </c>
      <c r="F19071" s="8">
        <v>2342</v>
      </c>
    </row>
    <row r="19072" spans="1:6" ht="12.75">
      <c r="A19072" s="8">
        <v>43895.7425462963</v>
      </c>
      <c r="B19072" s="8" t="str">
        <f>HYPERLINK("https://twitter.com/jee_creepers","@jee_creepers")</f>
        <v>@jee_creepers</v>
      </c>
      <c r="C19072" s="8" t="s">
        <v>1078</v>
      </c>
      <c r="D19072" s="8">
        <v>530</v>
      </c>
      <c r="E19072" s="8">
        <v>0</v>
      </c>
      <c r="F19072" s="8">
        <v>721</v>
      </c>
    </row>
    <row r="19073" spans="1:6" ht="12.75">
      <c r="A19073" s="8">
        <v>43895.742395833338</v>
      </c>
      <c r="B19073" s="8" t="str">
        <f>HYPERLINK("https://twitter.com/paimo65","@paimo65")</f>
        <v>@paimo65</v>
      </c>
      <c r="C19073" s="8" t="s">
        <v>1078</v>
      </c>
      <c r="D19073" s="8">
        <v>530</v>
      </c>
      <c r="E19073" s="8">
        <v>0</v>
      </c>
      <c r="F19073" s="8">
        <v>461</v>
      </c>
    </row>
    <row r="19074" spans="1:6" ht="12.75">
      <c r="A19074" s="8">
        <v>43895.742118055554</v>
      </c>
      <c r="B19074" s="8" t="str">
        <f>HYPERLINK("https://twitter.com/lebahgantengs1","@lebahgantengs1")</f>
        <v>@lebahgantengs1</v>
      </c>
      <c r="C19074" s="8" t="s">
        <v>7865</v>
      </c>
      <c r="D19074" s="8">
        <v>0</v>
      </c>
      <c r="E19074" s="8">
        <v>0</v>
      </c>
      <c r="F19074" s="8">
        <v>116</v>
      </c>
    </row>
    <row r="19075" spans="1:6" ht="12.75">
      <c r="A19075" s="8">
        <v>43895.741851851853</v>
      </c>
      <c r="B19075" s="8" t="str">
        <f>HYPERLINK("https://twitter.com/FreyaAnandita","@FreyaAnandita")</f>
        <v>@FreyaAnandita</v>
      </c>
      <c r="C19075" s="8" t="s">
        <v>7856</v>
      </c>
      <c r="D19075" s="8">
        <v>2</v>
      </c>
      <c r="E19075" s="8">
        <v>0</v>
      </c>
      <c r="F19075" s="8">
        <v>432</v>
      </c>
    </row>
    <row r="19076" spans="1:6" ht="12.75">
      <c r="A19076" s="8">
        <v>43895.741574074069</v>
      </c>
      <c r="B19076" s="8" t="str">
        <f>HYPERLINK("https://twitter.com/lebahgantengs1","@lebahgantengs1")</f>
        <v>@lebahgantengs1</v>
      </c>
      <c r="C19076" s="8" t="s">
        <v>7866</v>
      </c>
      <c r="D19076" s="8">
        <v>0</v>
      </c>
      <c r="E19076" s="8">
        <v>0</v>
      </c>
      <c r="F19076" s="8">
        <v>116</v>
      </c>
    </row>
    <row r="19077" spans="1:6" ht="12.75">
      <c r="A19077" s="8">
        <v>43895.740937499999</v>
      </c>
      <c r="B19077" s="8" t="str">
        <f>HYPERLINK("https://twitter.com/FreyaAnandita","@FreyaAnandita")</f>
        <v>@FreyaAnandita</v>
      </c>
      <c r="C19077" s="8" t="s">
        <v>7807</v>
      </c>
      <c r="D19077" s="8">
        <v>2</v>
      </c>
      <c r="E19077" s="8">
        <v>0</v>
      </c>
      <c r="F19077" s="8">
        <v>432</v>
      </c>
    </row>
    <row r="19078" spans="1:6" ht="12.75">
      <c r="A19078" s="8">
        <v>43895.740590277783</v>
      </c>
      <c r="B19078" s="8" t="str">
        <f>HYPERLINK("https://twitter.com/RahmaAy86090311","@RahmaAy86090311")</f>
        <v>@RahmaAy86090311</v>
      </c>
      <c r="C19078" s="8" t="s">
        <v>7867</v>
      </c>
      <c r="D19078" s="8">
        <v>0</v>
      </c>
      <c r="E19078" s="8">
        <v>0</v>
      </c>
      <c r="F19078" s="8">
        <v>1219</v>
      </c>
    </row>
    <row r="19079" spans="1:6" ht="12.75">
      <c r="A19079" s="8">
        <v>43895.740567129629</v>
      </c>
      <c r="B19079" s="8" t="str">
        <f>HYPERLINK("https://twitter.com/R_2NE1CL","@R_2NE1CL")</f>
        <v>@R_2NE1CL</v>
      </c>
      <c r="C19079" s="8" t="s">
        <v>2962</v>
      </c>
      <c r="D19079" s="8">
        <v>5679</v>
      </c>
      <c r="E19079" s="8">
        <v>0</v>
      </c>
      <c r="F19079" s="8">
        <v>566</v>
      </c>
    </row>
    <row r="19080" spans="1:6" ht="12.75">
      <c r="A19080" s="8">
        <v>43895.740254629629</v>
      </c>
      <c r="B19080" s="8" t="str">
        <f>HYPERLINK("https://twitter.com/adesa_putraa","@adesa_putraa")</f>
        <v>@adesa_putraa</v>
      </c>
      <c r="C19080" s="8" t="s">
        <v>1078</v>
      </c>
      <c r="D19080" s="8">
        <v>530</v>
      </c>
      <c r="E19080" s="8">
        <v>0</v>
      </c>
      <c r="F19080" s="8">
        <v>116</v>
      </c>
    </row>
    <row r="19081" spans="1:6" ht="12.75">
      <c r="A19081" s="8">
        <v>43895.739988425921</v>
      </c>
      <c r="B19081" s="8" t="str">
        <f>HYPERLINK("https://twitter.com/ovick2000","@ovick2000")</f>
        <v>@ovick2000</v>
      </c>
      <c r="C19081" s="8" t="s">
        <v>1078</v>
      </c>
      <c r="D19081" s="8">
        <v>530</v>
      </c>
      <c r="E19081" s="8">
        <v>0</v>
      </c>
      <c r="F19081" s="8">
        <v>1450</v>
      </c>
    </row>
    <row r="19082" spans="1:6" ht="12.75">
      <c r="A19082" s="8">
        <v>43895.739733796298</v>
      </c>
      <c r="B19082" s="8" t="str">
        <f>HYPERLINK("https://twitter.com/AlvaroDeBazan2","@AlvaroDeBazan2")</f>
        <v>@AlvaroDeBazan2</v>
      </c>
      <c r="C19082" s="8" t="s">
        <v>7719</v>
      </c>
      <c r="D19082" s="8">
        <v>3</v>
      </c>
      <c r="E19082" s="8">
        <v>0</v>
      </c>
      <c r="F19082" s="8">
        <v>266</v>
      </c>
    </row>
    <row r="19083" spans="1:6" ht="12.75">
      <c r="A19083" s="8">
        <v>43895.739108796297</v>
      </c>
      <c r="B19083" s="8" t="str">
        <f>HYPERLINK("https://twitter.com/MNCkoranSINDO","@MNCkoranSINDO")</f>
        <v>@MNCkoranSINDO</v>
      </c>
      <c r="C19083" s="8" t="s">
        <v>7868</v>
      </c>
      <c r="D19083" s="8">
        <v>0</v>
      </c>
      <c r="E19083" s="8">
        <v>0</v>
      </c>
      <c r="F19083" s="8">
        <v>61249</v>
      </c>
    </row>
    <row r="19084" spans="1:6" ht="12.75">
      <c r="A19084" s="8">
        <v>43895.738761574074</v>
      </c>
      <c r="B19084" s="8" t="str">
        <f>HYPERLINK("https://twitter.com/Snuggels7","@Snuggels7")</f>
        <v>@Snuggels7</v>
      </c>
      <c r="C19084" s="8" t="s">
        <v>7575</v>
      </c>
      <c r="D19084" s="8">
        <v>61</v>
      </c>
      <c r="E19084" s="8">
        <v>0</v>
      </c>
      <c r="F19084" s="8">
        <v>313</v>
      </c>
    </row>
    <row r="19085" spans="1:6" ht="12.75">
      <c r="A19085" s="8">
        <v>43895.738541666666</v>
      </c>
      <c r="B19085" s="8" t="str">
        <f>HYPERLINK("https://twitter.com/gus_von_diajie","@gus_von_diajie")</f>
        <v>@gus_von_diajie</v>
      </c>
      <c r="C19085" s="8" t="s">
        <v>7869</v>
      </c>
      <c r="D19085" s="8">
        <v>2</v>
      </c>
      <c r="E19085" s="8">
        <v>0</v>
      </c>
      <c r="F19085" s="8">
        <v>1204</v>
      </c>
    </row>
    <row r="19086" spans="1:6" ht="12.75">
      <c r="A19086" s="8">
        <v>43895.737777777773</v>
      </c>
      <c r="B19086" s="8" t="str">
        <f t="shared" ref="B19086:B19087" si="281">HYPERLINK("https://twitter.com/SeptiaLia3","@SeptiaLia3")</f>
        <v>@SeptiaLia3</v>
      </c>
      <c r="C19086" s="8" t="s">
        <v>7719</v>
      </c>
      <c r="D19086" s="8">
        <v>3</v>
      </c>
      <c r="E19086" s="8">
        <v>0</v>
      </c>
      <c r="F19086" s="8">
        <v>1571</v>
      </c>
    </row>
    <row r="19087" spans="1:6" ht="12.75">
      <c r="A19087" s="8">
        <v>43895.737638888888</v>
      </c>
      <c r="B19087" s="8" t="str">
        <f t="shared" si="281"/>
        <v>@SeptiaLia3</v>
      </c>
      <c r="C19087" s="8" t="s">
        <v>7870</v>
      </c>
      <c r="D19087" s="8">
        <v>0</v>
      </c>
      <c r="E19087" s="8">
        <v>0</v>
      </c>
      <c r="F19087" s="8">
        <v>1571</v>
      </c>
    </row>
    <row r="19088" spans="1:6" ht="12.75">
      <c r="A19088" s="8">
        <v>43895.737581018519</v>
      </c>
      <c r="B19088" s="8" t="str">
        <f>HYPERLINK("https://twitter.com/tataakoya_ki","@tataakoya_ki")</f>
        <v>@tataakoya_ki</v>
      </c>
      <c r="C19088" s="8" t="s">
        <v>7843</v>
      </c>
      <c r="D19088" s="8">
        <v>2</v>
      </c>
      <c r="E19088" s="8">
        <v>0</v>
      </c>
      <c r="F19088" s="8">
        <v>723</v>
      </c>
    </row>
    <row r="19089" spans="1:6" ht="12.75">
      <c r="A19089" s="8">
        <v>43895.737361111111</v>
      </c>
      <c r="B19089" s="8" t="str">
        <f>HYPERLINK("https://twitter.com/AlBanna57697952","@AlBanna57697952")</f>
        <v>@AlBanna57697952</v>
      </c>
      <c r="C19089" s="8" t="s">
        <v>3285</v>
      </c>
      <c r="D19089" s="8">
        <v>166</v>
      </c>
      <c r="E19089" s="8">
        <v>0</v>
      </c>
      <c r="F19089" s="8">
        <v>70</v>
      </c>
    </row>
    <row r="19090" spans="1:6" ht="12.75">
      <c r="A19090" s="8">
        <v>43895.737314814818</v>
      </c>
      <c r="B19090" s="8" t="str">
        <f>HYPERLINK("https://twitter.com/HR_jangkrik","@HR_jangkrik")</f>
        <v>@HR_jangkrik</v>
      </c>
      <c r="C19090" s="8" t="s">
        <v>1078</v>
      </c>
      <c r="D19090" s="8">
        <v>530</v>
      </c>
      <c r="E19090" s="8">
        <v>0</v>
      </c>
      <c r="F19090" s="8">
        <v>212</v>
      </c>
    </row>
    <row r="19091" spans="1:6" ht="12.75">
      <c r="A19091" s="8">
        <v>43895.737245370372</v>
      </c>
      <c r="B19091" s="8" t="str">
        <f>HYPERLINK("https://twitter.com/SeptiaLia3","@SeptiaLia3")</f>
        <v>@SeptiaLia3</v>
      </c>
      <c r="C19091" s="8" t="s">
        <v>7871</v>
      </c>
      <c r="D19091" s="8">
        <v>0</v>
      </c>
      <c r="E19091" s="8">
        <v>2</v>
      </c>
      <c r="F19091" s="8">
        <v>1571</v>
      </c>
    </row>
    <row r="19092" spans="1:6" ht="12.75">
      <c r="A19092" s="8">
        <v>43895.736979166672</v>
      </c>
      <c r="B19092" s="8" t="str">
        <f t="shared" ref="B19092:B19093" si="282">HYPERLINK("https://twitter.com/Nadila_ID","@Nadila_ID")</f>
        <v>@Nadila_ID</v>
      </c>
      <c r="C19092" s="8" t="s">
        <v>7872</v>
      </c>
      <c r="D19092" s="8">
        <v>4</v>
      </c>
      <c r="E19092" s="8">
        <v>0</v>
      </c>
      <c r="F19092" s="8">
        <v>7161</v>
      </c>
    </row>
    <row r="19093" spans="1:6" ht="12.75">
      <c r="A19093" s="8">
        <v>43895.736944444448</v>
      </c>
      <c r="B19093" s="8" t="str">
        <f t="shared" si="282"/>
        <v>@Nadila_ID</v>
      </c>
      <c r="C19093" s="8" t="s">
        <v>7873</v>
      </c>
      <c r="D19093" s="8">
        <v>3</v>
      </c>
      <c r="E19093" s="8">
        <v>0</v>
      </c>
      <c r="F19093" s="8">
        <v>7161</v>
      </c>
    </row>
    <row r="19094" spans="1:6" ht="12.75">
      <c r="A19094" s="8">
        <v>43895.736828703702</v>
      </c>
      <c r="B19094" s="8" t="str">
        <f>HYPERLINK("https://twitter.com/Ambyar86844374","@Ambyar86844374")</f>
        <v>@Ambyar86844374</v>
      </c>
      <c r="C19094" s="8" t="s">
        <v>1078</v>
      </c>
      <c r="D19094" s="8">
        <v>530</v>
      </c>
      <c r="E19094" s="8">
        <v>0</v>
      </c>
      <c r="F19094" s="8">
        <v>193</v>
      </c>
    </row>
    <row r="19095" spans="1:6" ht="12.75">
      <c r="A19095" s="8">
        <v>43895.736782407403</v>
      </c>
      <c r="B19095" s="8" t="str">
        <f>HYPERLINK("https://twitter.com/Metro_TV","@Metro_TV")</f>
        <v>@Metro_TV</v>
      </c>
      <c r="C19095" s="8" t="s">
        <v>7874</v>
      </c>
      <c r="D19095" s="8">
        <v>3</v>
      </c>
      <c r="E19095" s="8">
        <v>1</v>
      </c>
      <c r="F19095" s="8">
        <v>10517420</v>
      </c>
    </row>
    <row r="19096" spans="1:6" ht="12.75">
      <c r="A19096" s="8">
        <v>43895.736666666664</v>
      </c>
      <c r="B19096" s="8" t="str">
        <f>HYPERLINK("https://twitter.com/Nadila_ID","@Nadila_ID")</f>
        <v>@Nadila_ID</v>
      </c>
      <c r="C19096" s="8" t="s">
        <v>7718</v>
      </c>
      <c r="D19096" s="8">
        <v>2</v>
      </c>
      <c r="E19096" s="8">
        <v>0</v>
      </c>
      <c r="F19096" s="8">
        <v>7161</v>
      </c>
    </row>
    <row r="19097" spans="1:6" ht="12.75">
      <c r="A19097" s="8">
        <v>43895.736342592594</v>
      </c>
      <c r="B19097" s="8" t="str">
        <f>HYPERLINK("https://twitter.com/andriybima","@andriybima")</f>
        <v>@andriybima</v>
      </c>
      <c r="C19097" s="8" t="s">
        <v>7299</v>
      </c>
      <c r="D19097" s="8">
        <v>4</v>
      </c>
      <c r="E19097" s="8">
        <v>0</v>
      </c>
      <c r="F19097" s="8">
        <v>4271</v>
      </c>
    </row>
    <row r="19098" spans="1:6" ht="12.75">
      <c r="A19098" s="8">
        <v>43895.736319444448</v>
      </c>
      <c r="B19098" s="8" t="str">
        <f>HYPERLINK("https://twitter.com/mey_is2","@mey_is2")</f>
        <v>@mey_is2</v>
      </c>
      <c r="C19098" s="8" t="s">
        <v>1078</v>
      </c>
      <c r="D19098" s="8">
        <v>530</v>
      </c>
      <c r="E19098" s="8">
        <v>0</v>
      </c>
      <c r="F19098" s="8">
        <v>965</v>
      </c>
    </row>
    <row r="19099" spans="1:6" ht="12.75">
      <c r="A19099" s="8">
        <v>43895.735046296293</v>
      </c>
      <c r="B19099" s="8" t="str">
        <f>HYPERLINK("https://twitter.com/vianyayuni","@vianyayuni")</f>
        <v>@vianyayuni</v>
      </c>
      <c r="C19099" s="8" t="s">
        <v>7866</v>
      </c>
      <c r="D19099" s="8">
        <v>2</v>
      </c>
      <c r="E19099" s="8">
        <v>3</v>
      </c>
      <c r="F19099" s="8">
        <v>815</v>
      </c>
    </row>
    <row r="19100" spans="1:6" ht="12.75">
      <c r="A19100" s="8">
        <v>43895.73501157407</v>
      </c>
      <c r="B19100" s="8" t="str">
        <f>HYPERLINK("https://twitter.com/Tion72317290","@Tion72317290")</f>
        <v>@Tion72317290</v>
      </c>
      <c r="C19100" s="8" t="s">
        <v>1078</v>
      </c>
      <c r="D19100" s="8">
        <v>530</v>
      </c>
      <c r="E19100" s="8">
        <v>0</v>
      </c>
      <c r="F19100" s="8">
        <v>35</v>
      </c>
    </row>
    <row r="19101" spans="1:6" ht="12.75">
      <c r="A19101" s="8">
        <v>43895.735000000001</v>
      </c>
      <c r="B19101" s="8" t="str">
        <f>HYPERLINK("https://twitter.com/wni_jmsri","@wni_jmsri")</f>
        <v>@wni_jmsri</v>
      </c>
      <c r="C19101" s="8" t="s">
        <v>7875</v>
      </c>
      <c r="D19101" s="8">
        <v>585</v>
      </c>
      <c r="E19101" s="8">
        <v>0</v>
      </c>
      <c r="F19101" s="8">
        <v>200</v>
      </c>
    </row>
    <row r="19102" spans="1:6" ht="12.75">
      <c r="A19102" s="8">
        <v>43895.734918981485</v>
      </c>
      <c r="B19102" s="8" t="str">
        <f>HYPERLINK("https://twitter.com/KJRI_Vancouver","@KJRI_Vancouver")</f>
        <v>@KJRI_Vancouver</v>
      </c>
      <c r="C19102" s="8" t="s">
        <v>7876</v>
      </c>
      <c r="D19102" s="8">
        <v>0</v>
      </c>
      <c r="E19102" s="8">
        <v>0</v>
      </c>
      <c r="F19102" s="8">
        <v>2367</v>
      </c>
    </row>
    <row r="19103" spans="1:6" ht="12.75">
      <c r="A19103" s="8">
        <v>43895.734884259262</v>
      </c>
      <c r="B19103" s="8" t="str">
        <f>HYPERLINK("https://twitter.com/DavFar17","@DavFar17")</f>
        <v>@DavFar17</v>
      </c>
      <c r="C19103" s="8" t="s">
        <v>7877</v>
      </c>
      <c r="D19103" s="8">
        <v>0</v>
      </c>
      <c r="E19103" s="8">
        <v>3</v>
      </c>
      <c r="F19103" s="8">
        <v>1826</v>
      </c>
    </row>
    <row r="19104" spans="1:6" ht="12.75">
      <c r="A19104" s="8">
        <v>43895.734814814816</v>
      </c>
      <c r="B19104" s="8" t="str">
        <f>HYPERLINK("https://twitter.com/AnnaKur34179103","@AnnaKur34179103")</f>
        <v>@AnnaKur34179103</v>
      </c>
      <c r="C19104" s="8" t="s">
        <v>7189</v>
      </c>
      <c r="D19104" s="8">
        <v>12</v>
      </c>
      <c r="E19104" s="8">
        <v>0</v>
      </c>
      <c r="F19104" s="8">
        <v>631</v>
      </c>
    </row>
    <row r="19105" spans="1:6" ht="12.75">
      <c r="A19105" s="8">
        <v>43895.73438657407</v>
      </c>
      <c r="B19105" s="8" t="str">
        <f>HYPERLINK("https://twitter.com/teto_pati","@teto_pati")</f>
        <v>@teto_pati</v>
      </c>
      <c r="C19105" s="8" t="s">
        <v>6710</v>
      </c>
      <c r="D19105" s="8">
        <v>454</v>
      </c>
      <c r="E19105" s="8">
        <v>0</v>
      </c>
      <c r="F19105" s="8">
        <v>146</v>
      </c>
    </row>
    <row r="19106" spans="1:6" ht="12.75">
      <c r="A19106" s="8">
        <v>43895.734375</v>
      </c>
      <c r="B19106" s="8" t="str">
        <f>HYPERLINK("https://twitter.com/Metro_TV","@Metro_TV")</f>
        <v>@Metro_TV</v>
      </c>
      <c r="C19106" s="8" t="s">
        <v>7878</v>
      </c>
      <c r="D19106" s="8">
        <v>2</v>
      </c>
      <c r="E19106" s="8">
        <v>0</v>
      </c>
      <c r="F19106" s="8">
        <v>10517420</v>
      </c>
    </row>
    <row r="19107" spans="1:6" ht="12.75">
      <c r="A19107" s="8">
        <v>43895.733703703707</v>
      </c>
      <c r="B19107" s="8" t="str">
        <f>HYPERLINK("https://twitter.com/iminR84","@iminR84")</f>
        <v>@iminR84</v>
      </c>
      <c r="C19107" s="8" t="s">
        <v>1078</v>
      </c>
      <c r="D19107" s="8">
        <v>530</v>
      </c>
      <c r="E19107" s="8">
        <v>0</v>
      </c>
      <c r="F19107" s="8">
        <v>1422</v>
      </c>
    </row>
    <row r="19108" spans="1:6" ht="12.75">
      <c r="A19108" s="8">
        <v>43895.73369212963</v>
      </c>
      <c r="B19108" s="8" t="str">
        <f>HYPERLINK("https://twitter.com/Moel_RB","@Moel_RB")</f>
        <v>@Moel_RB</v>
      </c>
      <c r="C19108" s="8" t="s">
        <v>299</v>
      </c>
      <c r="D19108" s="8">
        <v>4747</v>
      </c>
      <c r="E19108" s="8">
        <v>0</v>
      </c>
      <c r="F19108" s="8">
        <v>569</v>
      </c>
    </row>
    <row r="19109" spans="1:6" ht="12.75">
      <c r="A19109" s="8">
        <v>43895.733634259261</v>
      </c>
      <c r="B19109" s="8" t="str">
        <f>HYPERLINK("https://twitter.com/BangkitBelaNKRI","@BangkitBelaNKRI")</f>
        <v>@BangkitBelaNKRI</v>
      </c>
      <c r="C19109" s="8" t="s">
        <v>1078</v>
      </c>
      <c r="D19109" s="8">
        <v>530</v>
      </c>
      <c r="E19109" s="8">
        <v>0</v>
      </c>
      <c r="F19109" s="8">
        <v>1363</v>
      </c>
    </row>
    <row r="19110" spans="1:6" ht="12.75">
      <c r="A19110" s="8">
        <v>43895.733391203699</v>
      </c>
      <c r="B19110" s="8" t="str">
        <f>HYPERLINK("https://twitter.com/kamapradipta","@kamapradipta")</f>
        <v>@kamapradipta</v>
      </c>
      <c r="C19110" s="8" t="s">
        <v>3132</v>
      </c>
      <c r="D19110" s="8">
        <v>66</v>
      </c>
      <c r="E19110" s="8">
        <v>0</v>
      </c>
      <c r="F19110" s="8">
        <v>783</v>
      </c>
    </row>
    <row r="19111" spans="1:6" ht="12.75">
      <c r="A19111" s="8">
        <v>43895.733333333337</v>
      </c>
      <c r="B19111" s="8" t="str">
        <f t="shared" ref="B19111:B19112" si="283">HYPERLINK("https://twitter.com/ItsMyRealQuotes","@ItsMyRealQuotes")</f>
        <v>@ItsMyRealQuotes</v>
      </c>
      <c r="C19111" s="8" t="s">
        <v>7832</v>
      </c>
      <c r="D19111" s="8">
        <v>3</v>
      </c>
      <c r="E19111" s="8">
        <v>0</v>
      </c>
      <c r="F19111" s="8">
        <v>183755</v>
      </c>
    </row>
    <row r="19112" spans="1:6" ht="12.75">
      <c r="A19112" s="8">
        <v>43895.733136574076</v>
      </c>
      <c r="B19112" s="8" t="str">
        <f t="shared" si="283"/>
        <v>@ItsMyRealQuotes</v>
      </c>
      <c r="C19112" s="8" t="s">
        <v>7872</v>
      </c>
      <c r="D19112" s="8">
        <v>4</v>
      </c>
      <c r="E19112" s="8">
        <v>0</v>
      </c>
      <c r="F19112" s="8">
        <v>183755</v>
      </c>
    </row>
    <row r="19113" spans="1:6" ht="12.75">
      <c r="A19113" s="8">
        <v>43895.733124999999</v>
      </c>
      <c r="B19113" s="8" t="str">
        <f>HYPERLINK("https://twitter.com/validnewsco","@validnewsco")</f>
        <v>@validnewsco</v>
      </c>
      <c r="C19113" s="8" t="s">
        <v>7879</v>
      </c>
      <c r="D19113" s="8">
        <v>2</v>
      </c>
      <c r="E19113" s="8">
        <v>2</v>
      </c>
      <c r="F19113" s="8">
        <v>32659</v>
      </c>
    </row>
    <row r="19114" spans="1:6" ht="12.75">
      <c r="A19114" s="8">
        <v>43895.73300925926</v>
      </c>
      <c r="B19114" s="8" t="str">
        <f>HYPERLINK("https://twitter.com/edwardmarant","@edwardmarant")</f>
        <v>@edwardmarant</v>
      </c>
      <c r="C19114" s="8" t="s">
        <v>7245</v>
      </c>
      <c r="D19114" s="8">
        <v>53</v>
      </c>
      <c r="E19114" s="8">
        <v>0</v>
      </c>
      <c r="F19114" s="8">
        <v>139</v>
      </c>
    </row>
    <row r="19115" spans="1:6" ht="12.75">
      <c r="A19115" s="8">
        <v>43895.732800925922</v>
      </c>
      <c r="B19115" s="8" t="str">
        <f>HYPERLINK("https://twitter.com/ItsMyRealQuotes","@ItsMyRealQuotes")</f>
        <v>@ItsMyRealQuotes</v>
      </c>
      <c r="C19115" s="8" t="s">
        <v>7806</v>
      </c>
      <c r="D19115" s="8">
        <v>7</v>
      </c>
      <c r="E19115" s="8">
        <v>0</v>
      </c>
      <c r="F19115" s="8">
        <v>183755</v>
      </c>
    </row>
    <row r="19116" spans="1:6" ht="12.75">
      <c r="A19116" s="8">
        <v>43895.732499999998</v>
      </c>
      <c r="B19116" s="8" t="str">
        <f>HYPERLINK("https://twitter.com/abcoconana","@abcoconana")</f>
        <v>@abcoconana</v>
      </c>
      <c r="C19116" s="8" t="s">
        <v>3132</v>
      </c>
      <c r="D19116" s="8">
        <v>66</v>
      </c>
      <c r="E19116" s="8">
        <v>0</v>
      </c>
      <c r="F19116" s="8">
        <v>25</v>
      </c>
    </row>
    <row r="19117" spans="1:6" ht="12.75">
      <c r="A19117" s="8">
        <v>43895.732418981483</v>
      </c>
      <c r="B19117" s="8" t="str">
        <f>HYPERLINK("https://twitter.com/Dhanie7771","@Dhanie7771")</f>
        <v>@Dhanie7771</v>
      </c>
      <c r="C19117" s="8" t="s">
        <v>7747</v>
      </c>
      <c r="D19117" s="8">
        <v>1</v>
      </c>
      <c r="E19117" s="8">
        <v>0</v>
      </c>
      <c r="F19117" s="8">
        <v>3229</v>
      </c>
    </row>
    <row r="19118" spans="1:6" ht="12.75">
      <c r="A19118" s="8">
        <v>43895.731782407413</v>
      </c>
      <c r="B19118" s="8" t="str">
        <f>HYPERLINK("https://twitter.com/wni_jmsri","@wni_jmsri")</f>
        <v>@wni_jmsri</v>
      </c>
      <c r="C19118" s="8" t="s">
        <v>7880</v>
      </c>
      <c r="D19118" s="8">
        <v>250</v>
      </c>
      <c r="E19118" s="8">
        <v>0</v>
      </c>
      <c r="F19118" s="8">
        <v>200</v>
      </c>
    </row>
    <row r="19119" spans="1:6" ht="12.75">
      <c r="A19119" s="8">
        <v>43895.731261574074</v>
      </c>
      <c r="B19119" s="8" t="str">
        <f>HYPERLINK("https://twitter.com/kangichin","@kangichin")</f>
        <v>@kangichin</v>
      </c>
      <c r="C19119" s="8" t="s">
        <v>1078</v>
      </c>
      <c r="D19119" s="8">
        <v>530</v>
      </c>
      <c r="E19119" s="8">
        <v>0</v>
      </c>
      <c r="F19119" s="8">
        <v>130</v>
      </c>
    </row>
    <row r="19120" spans="1:6" ht="12.75">
      <c r="A19120" s="8">
        <v>43895.730902777781</v>
      </c>
      <c r="B19120" s="8" t="str">
        <f>HYPERLINK("https://twitter.com/ryolandafit","@ryolandafit")</f>
        <v>@ryolandafit</v>
      </c>
      <c r="C19120" s="8" t="s">
        <v>7881</v>
      </c>
      <c r="D19120" s="8">
        <v>3</v>
      </c>
      <c r="E19120" s="8">
        <v>0</v>
      </c>
      <c r="F19120" s="8">
        <v>655</v>
      </c>
    </row>
    <row r="19121" spans="1:6" ht="12.75">
      <c r="A19121" s="8">
        <v>43895.730717592596</v>
      </c>
      <c r="B19121" s="8" t="str">
        <f>HYPERLINK("https://twitter.com/roedijanto","@roedijanto")</f>
        <v>@roedijanto</v>
      </c>
      <c r="C19121" s="8" t="s">
        <v>1078</v>
      </c>
      <c r="D19121" s="8">
        <v>530</v>
      </c>
      <c r="E19121" s="8">
        <v>0</v>
      </c>
      <c r="F19121" s="8">
        <v>154</v>
      </c>
    </row>
    <row r="19122" spans="1:6" ht="12.75">
      <c r="A19122" s="8">
        <v>43895.730497685188</v>
      </c>
      <c r="B19122" s="8" t="str">
        <f>HYPERLINK("https://twitter.com/Bellapuspaa","@Bellapuspaa")</f>
        <v>@Bellapuspaa</v>
      </c>
      <c r="C19122" s="8" t="s">
        <v>7882</v>
      </c>
      <c r="D19122" s="8">
        <v>0</v>
      </c>
      <c r="E19122" s="8">
        <v>0</v>
      </c>
      <c r="F19122" s="8">
        <v>648</v>
      </c>
    </row>
    <row r="19123" spans="1:6" ht="12.75">
      <c r="A19123" s="8">
        <v>43895.730358796296</v>
      </c>
      <c r="B19123" s="8" t="str">
        <f>HYPERLINK("https://twitter.com/ariiqqq","@ariiqqq")</f>
        <v>@ariiqqq</v>
      </c>
      <c r="C19123" s="8" t="s">
        <v>7864</v>
      </c>
      <c r="D19123" s="8">
        <v>5</v>
      </c>
      <c r="E19123" s="8">
        <v>0</v>
      </c>
      <c r="F19123" s="8">
        <v>107</v>
      </c>
    </row>
    <row r="19124" spans="1:6" ht="12.75">
      <c r="A19124" s="8">
        <v>43895.715185185181</v>
      </c>
      <c r="B19124" s="8" t="str">
        <f>HYPERLINK("https://twitter.com/lixhtsout","@lixhtsout")</f>
        <v>@lixhtsout</v>
      </c>
      <c r="C19124" s="8" t="s">
        <v>3132</v>
      </c>
      <c r="D19124" s="8">
        <v>60</v>
      </c>
      <c r="E19124" s="8">
        <v>0</v>
      </c>
      <c r="F19124" s="8">
        <v>199</v>
      </c>
    </row>
    <row r="19125" spans="1:6" ht="12.75">
      <c r="A19125" s="8">
        <v>43895.715115740742</v>
      </c>
      <c r="B19125" s="8" t="str">
        <f>HYPERLINK("https://twitter.com/dajjaltamvan","@dajjaltamvan")</f>
        <v>@dajjaltamvan</v>
      </c>
      <c r="C19125" s="8" t="s">
        <v>1078</v>
      </c>
      <c r="D19125" s="8">
        <v>491</v>
      </c>
      <c r="E19125" s="8">
        <v>0</v>
      </c>
      <c r="F19125" s="8">
        <v>137</v>
      </c>
    </row>
    <row r="19126" spans="1:6" ht="12.75">
      <c r="A19126" s="8">
        <v>43895.715104166666</v>
      </c>
      <c r="B19126" s="8" t="str">
        <f>HYPERLINK("https://twitter.com/wetfloorr","@wetfloorr")</f>
        <v>@wetfloorr</v>
      </c>
      <c r="C19126" s="8" t="s">
        <v>1078</v>
      </c>
      <c r="D19126" s="8">
        <v>491</v>
      </c>
      <c r="E19126" s="8">
        <v>0</v>
      </c>
      <c r="F19126" s="8">
        <v>510</v>
      </c>
    </row>
    <row r="19127" spans="1:6" ht="12.75">
      <c r="A19127" s="8">
        <v>43895.715092592596</v>
      </c>
      <c r="B19127" s="8" t="str">
        <f>HYPERLINK("https://twitter.com/jibotu","@jibotu")</f>
        <v>@jibotu</v>
      </c>
      <c r="C19127" s="8" t="s">
        <v>7883</v>
      </c>
      <c r="D19127" s="8">
        <v>4</v>
      </c>
      <c r="E19127" s="8">
        <v>0</v>
      </c>
      <c r="F19127" s="8">
        <v>639</v>
      </c>
    </row>
    <row r="19128" spans="1:6" ht="12.75">
      <c r="A19128" s="8">
        <v>43895.714849537035</v>
      </c>
      <c r="B19128" s="8" t="str">
        <f>HYPERLINK("https://twitter.com/billamustain99","@billamustain99")</f>
        <v>@billamustain99</v>
      </c>
      <c r="C19128" s="8" t="s">
        <v>7884</v>
      </c>
      <c r="D19128" s="8">
        <v>0</v>
      </c>
      <c r="E19128" s="8">
        <v>0</v>
      </c>
      <c r="F19128" s="8">
        <v>96</v>
      </c>
    </row>
    <row r="19129" spans="1:6" ht="12.75">
      <c r="A19129" s="8">
        <v>43895.714780092589</v>
      </c>
      <c r="B19129" s="8" t="str">
        <f>HYPERLINK("https://twitter.com/moreshare","@moreshare")</f>
        <v>@moreshare</v>
      </c>
      <c r="C19129" s="8" t="s">
        <v>7885</v>
      </c>
      <c r="D19129" s="8">
        <v>0</v>
      </c>
      <c r="E19129" s="8">
        <v>0</v>
      </c>
      <c r="F19129" s="8">
        <v>3304</v>
      </c>
    </row>
    <row r="19130" spans="1:6" ht="12.75">
      <c r="A19130" s="8">
        <v>43895.714583333334</v>
      </c>
      <c r="B19130" s="8" t="str">
        <f>HYPERLINK("https://twitter.com/Firmana66382608","@Firmana66382608")</f>
        <v>@Firmana66382608</v>
      </c>
      <c r="C19130" s="8" t="s">
        <v>7886</v>
      </c>
      <c r="D19130" s="8">
        <v>0</v>
      </c>
      <c r="E19130" s="8">
        <v>0</v>
      </c>
      <c r="F19130" s="8">
        <v>1320</v>
      </c>
    </row>
    <row r="19131" spans="1:6" ht="12.75">
      <c r="A19131" s="8">
        <v>43895.714189814811</v>
      </c>
      <c r="B19131" s="8" t="str">
        <f>HYPERLINK("https://twitter.com/zul_gfr_17","@zul_gfr_17")</f>
        <v>@zul_gfr_17</v>
      </c>
      <c r="C19131" s="8" t="s">
        <v>7887</v>
      </c>
      <c r="D19131" s="8">
        <v>0</v>
      </c>
      <c r="E19131" s="8">
        <v>0</v>
      </c>
      <c r="F19131" s="8">
        <v>246</v>
      </c>
    </row>
    <row r="19132" spans="1:6" ht="12.75">
      <c r="A19132" s="8">
        <v>43895.714085648149</v>
      </c>
      <c r="B19132" s="8" t="str">
        <f>HYPERLINK("https://twitter.com/AchmadyaniAy70","@AchmadyaniAy70")</f>
        <v>@AchmadyaniAy70</v>
      </c>
      <c r="C19132" s="8" t="s">
        <v>7818</v>
      </c>
      <c r="D19132" s="8">
        <v>1</v>
      </c>
      <c r="E19132" s="8">
        <v>0</v>
      </c>
      <c r="F19132" s="8">
        <v>4293</v>
      </c>
    </row>
    <row r="19133" spans="1:6" ht="12.75">
      <c r="A19133" s="8">
        <v>43895.713946759264</v>
      </c>
      <c r="B19133" s="8" t="str">
        <f>HYPERLINK("https://twitter.com/OShidiq","@OShidiq")</f>
        <v>@OShidiq</v>
      </c>
      <c r="C19133" s="8" t="s">
        <v>7841</v>
      </c>
      <c r="D19133" s="8">
        <v>107</v>
      </c>
      <c r="E19133" s="8">
        <v>0</v>
      </c>
      <c r="F19133" s="8">
        <v>2430</v>
      </c>
    </row>
    <row r="19134" spans="1:6" ht="12.75">
      <c r="A19134" s="8">
        <v>43895.713900462964</v>
      </c>
      <c r="B19134" s="8" t="str">
        <f>HYPERLINK("https://twitter.com/justbob616","@justbob616")</f>
        <v>@justbob616</v>
      </c>
      <c r="C19134" s="8" t="s">
        <v>7362</v>
      </c>
      <c r="D19134" s="8">
        <v>11</v>
      </c>
      <c r="E19134" s="8">
        <v>0</v>
      </c>
      <c r="F19134" s="8">
        <v>893</v>
      </c>
    </row>
    <row r="19135" spans="1:6" ht="12.75">
      <c r="A19135" s="8">
        <v>43895.713796296295</v>
      </c>
      <c r="B19135" s="8" t="str">
        <f>HYPERLINK("https://twitter.com/nursultan_kbri","@nursultan_kbri")</f>
        <v>@nursultan_kbri</v>
      </c>
      <c r="C19135" s="8" t="s">
        <v>3132</v>
      </c>
      <c r="D19135" s="8">
        <v>60</v>
      </c>
      <c r="E19135" s="8">
        <v>0</v>
      </c>
      <c r="F19135" s="8">
        <v>381</v>
      </c>
    </row>
    <row r="19136" spans="1:6" ht="12.75">
      <c r="A19136" s="8">
        <v>43895.71365740741</v>
      </c>
      <c r="B19136" s="8" t="str">
        <f>HYPERLINK("https://twitter.com/BangGodham","@BangGodham")</f>
        <v>@BangGodham</v>
      </c>
      <c r="C19136" s="8" t="s">
        <v>7888</v>
      </c>
      <c r="D19136" s="8">
        <v>1</v>
      </c>
      <c r="E19136" s="8">
        <v>1</v>
      </c>
      <c r="F19136" s="8">
        <v>971</v>
      </c>
    </row>
    <row r="19137" spans="1:6" ht="12.75">
      <c r="A19137" s="8">
        <v>43895.713541666672</v>
      </c>
      <c r="B19137" s="8" t="str">
        <f>HYPERLINK("https://twitter.com/kusuma_wildan","@kusuma_wildan")</f>
        <v>@kusuma_wildan</v>
      </c>
      <c r="C19137" s="8" t="s">
        <v>1078</v>
      </c>
      <c r="D19137" s="8">
        <v>491</v>
      </c>
      <c r="E19137" s="8">
        <v>0</v>
      </c>
      <c r="F19137" s="8">
        <v>1383</v>
      </c>
    </row>
    <row r="19138" spans="1:6" ht="12.75">
      <c r="A19138" s="8">
        <v>43895.713530092587</v>
      </c>
      <c r="B19138" s="8" t="str">
        <f>HYPERLINK("https://twitter.com/KBRI_Bangkok","@KBRI_Bangkok")</f>
        <v>@KBRI_Bangkok</v>
      </c>
      <c r="C19138" s="8" t="s">
        <v>3132</v>
      </c>
      <c r="D19138" s="8">
        <v>60</v>
      </c>
      <c r="E19138" s="8">
        <v>0</v>
      </c>
      <c r="F19138" s="8">
        <v>3923</v>
      </c>
    </row>
    <row r="19139" spans="1:6" ht="12.75">
      <c r="A19139" s="8">
        <v>43895.713379629626</v>
      </c>
      <c r="B19139" s="8" t="str">
        <f>HYPERLINK("https://twitter.com/BimoMangkulang1","@BimoMangkulang1")</f>
        <v>@BimoMangkulang1</v>
      </c>
      <c r="C19139" s="8" t="s">
        <v>7473</v>
      </c>
      <c r="D19139" s="8">
        <v>363</v>
      </c>
      <c r="E19139" s="8">
        <v>0</v>
      </c>
      <c r="F19139" s="8">
        <v>285</v>
      </c>
    </row>
    <row r="19140" spans="1:6" ht="12.75">
      <c r="A19140" s="8">
        <v>43895.712638888886</v>
      </c>
      <c r="B19140" s="8" t="str">
        <f>HYPERLINK("https://twitter.com/3082Ardian","@3082Ardian")</f>
        <v>@3082Ardian</v>
      </c>
      <c r="C19140" s="8" t="s">
        <v>1078</v>
      </c>
      <c r="D19140" s="8">
        <v>491</v>
      </c>
      <c r="E19140" s="8">
        <v>0</v>
      </c>
      <c r="F19140" s="8">
        <v>25</v>
      </c>
    </row>
    <row r="19141" spans="1:6" ht="12.75">
      <c r="A19141" s="8">
        <v>43895.712118055555</v>
      </c>
      <c r="B19141" s="8" t="str">
        <f>HYPERLINK("https://twitter.com/Jiban08476848","@Jiban08476848")</f>
        <v>@Jiban08476848</v>
      </c>
      <c r="C19141" s="8" t="s">
        <v>7881</v>
      </c>
      <c r="D19141" s="8">
        <v>1</v>
      </c>
      <c r="E19141" s="8">
        <v>0</v>
      </c>
      <c r="F19141" s="8">
        <v>32</v>
      </c>
    </row>
    <row r="19142" spans="1:6" ht="12.75">
      <c r="A19142" s="8">
        <v>43895.711956018524</v>
      </c>
      <c r="B19142" s="8" t="str">
        <f>HYPERLINK("https://twitter.com/sunchocopie","@sunchocopie")</f>
        <v>@sunchocopie</v>
      </c>
      <c r="C19142" s="8" t="s">
        <v>7242</v>
      </c>
      <c r="D19142" s="8">
        <v>84</v>
      </c>
      <c r="E19142" s="8">
        <v>0</v>
      </c>
      <c r="F19142" s="8">
        <v>1153</v>
      </c>
    </row>
    <row r="19143" spans="1:6" ht="12.75">
      <c r="A19143" s="8">
        <v>43895.711805555555</v>
      </c>
      <c r="B19143" s="8" t="str">
        <f>HYPERLINK("https://twitter.com/KompasTV","@KompasTV")</f>
        <v>@KompasTV</v>
      </c>
      <c r="C19143" s="8" t="s">
        <v>7889</v>
      </c>
      <c r="D19143" s="8">
        <v>1</v>
      </c>
      <c r="E19143" s="8">
        <v>2</v>
      </c>
      <c r="F19143" s="8">
        <v>2956659</v>
      </c>
    </row>
    <row r="19144" spans="1:6" ht="12.75">
      <c r="A19144" s="8">
        <v>43895.711655092593</v>
      </c>
      <c r="B19144" s="8" t="str">
        <f>HYPERLINK("https://twitter.com/DemplonMak","@DemplonMak")</f>
        <v>@DemplonMak</v>
      </c>
      <c r="C19144" s="8" t="s">
        <v>1078</v>
      </c>
      <c r="D19144" s="8">
        <v>491</v>
      </c>
      <c r="E19144" s="8">
        <v>0</v>
      </c>
      <c r="F19144" s="8">
        <v>3470</v>
      </c>
    </row>
    <row r="19145" spans="1:6" ht="12.75">
      <c r="A19145" s="8">
        <v>43895.711631944447</v>
      </c>
      <c r="B19145" s="8" t="str">
        <f>HYPERLINK("https://twitter.com/herlambang_tan","@herlambang_tan")</f>
        <v>@herlambang_tan</v>
      </c>
      <c r="C19145" s="8" t="s">
        <v>7242</v>
      </c>
      <c r="D19145" s="8">
        <v>84</v>
      </c>
      <c r="E19145" s="8">
        <v>0</v>
      </c>
      <c r="F19145" s="8">
        <v>2516</v>
      </c>
    </row>
    <row r="19146" spans="1:6" ht="12.75">
      <c r="A19146" s="8">
        <v>43895.711504629631</v>
      </c>
      <c r="B19146" s="8" t="str">
        <f>HYPERLINK("https://twitter.com/hans24121994","@hans24121994")</f>
        <v>@hans24121994</v>
      </c>
      <c r="C19146" s="8" t="s">
        <v>7890</v>
      </c>
      <c r="D19146" s="8">
        <v>3</v>
      </c>
      <c r="E19146" s="8">
        <v>0</v>
      </c>
      <c r="F19146" s="8">
        <v>192</v>
      </c>
    </row>
    <row r="19147" spans="1:6" ht="12.75">
      <c r="A19147" s="8">
        <v>43895.711504629631</v>
      </c>
      <c r="B19147" s="8" t="str">
        <f>HYPERLINK("https://twitter.com/ragilsaputra645","@ragilsaputra645")</f>
        <v>@ragilsaputra645</v>
      </c>
      <c r="C19147" s="8" t="s">
        <v>7742</v>
      </c>
      <c r="D19147" s="8">
        <v>23</v>
      </c>
      <c r="E19147" s="8">
        <v>0</v>
      </c>
      <c r="F19147" s="8">
        <v>413</v>
      </c>
    </row>
    <row r="19148" spans="1:6" ht="12.75">
      <c r="A19148" s="8">
        <v>43895.711342592593</v>
      </c>
      <c r="B19148" s="8" t="str">
        <f>HYPERLINK("https://twitter.com/IndonesiainBern","@IndonesiainBern")</f>
        <v>@IndonesiainBern</v>
      </c>
      <c r="C19148" s="8" t="s">
        <v>3132</v>
      </c>
      <c r="D19148" s="8">
        <v>60</v>
      </c>
      <c r="E19148" s="8">
        <v>0</v>
      </c>
      <c r="F19148" s="8">
        <v>1821</v>
      </c>
    </row>
    <row r="19149" spans="1:6" ht="12.75">
      <c r="A19149" s="8">
        <v>43895.71130787037</v>
      </c>
      <c r="B19149" s="8" t="str">
        <f>HYPERLINK("https://twitter.com/J_Sambora_","@J_Sambora_")</f>
        <v>@J_Sambora_</v>
      </c>
      <c r="C19149" s="8" t="s">
        <v>7891</v>
      </c>
      <c r="D19149" s="8">
        <v>2</v>
      </c>
      <c r="E19149" s="8">
        <v>0</v>
      </c>
      <c r="F19149" s="8">
        <v>193</v>
      </c>
    </row>
    <row r="19150" spans="1:6" ht="12.75">
      <c r="A19150" s="8">
        <v>43895.710798611108</v>
      </c>
      <c r="B19150" s="8" t="str">
        <f>HYPERLINK("https://twitter.com/IndonesiaInPL","@IndonesiaInPL")</f>
        <v>@IndonesiaInPL</v>
      </c>
      <c r="C19150" s="8" t="s">
        <v>3132</v>
      </c>
      <c r="D19150" s="8">
        <v>60</v>
      </c>
      <c r="E19150" s="8">
        <v>0</v>
      </c>
      <c r="F19150" s="8">
        <v>1400</v>
      </c>
    </row>
    <row r="19151" spans="1:6" ht="12.75">
      <c r="A19151" s="8">
        <v>43895.71056712963</v>
      </c>
      <c r="B19151" s="8" t="str">
        <f>HYPERLINK("https://twitter.com/fajriyuneldi","@fajriyuneldi")</f>
        <v>@fajriyuneldi</v>
      </c>
      <c r="C19151" s="8" t="s">
        <v>7329</v>
      </c>
      <c r="D19151" s="8">
        <v>6</v>
      </c>
      <c r="E19151" s="8">
        <v>0</v>
      </c>
      <c r="F19151" s="8">
        <v>429</v>
      </c>
    </row>
    <row r="19152" spans="1:6" ht="12.75">
      <c r="A19152" s="8">
        <v>43895.709722222222</v>
      </c>
      <c r="B19152" s="8" t="str">
        <f>HYPERLINK("https://twitter.com/selfieituindah","@selfieituindah")</f>
        <v>@selfieituindah</v>
      </c>
      <c r="C19152" s="8" t="s">
        <v>7892</v>
      </c>
      <c r="D19152" s="8">
        <v>0</v>
      </c>
      <c r="E19152" s="8">
        <v>0</v>
      </c>
      <c r="F19152" s="8">
        <v>21325</v>
      </c>
    </row>
    <row r="19153" spans="1:6" ht="12.75">
      <c r="A19153" s="8">
        <v>43895.709629629629</v>
      </c>
      <c r="B19153" s="8" t="str">
        <f>HYPERLINK("https://twitter.com/gusary","@gusary")</f>
        <v>@gusary</v>
      </c>
      <c r="C19153" s="8" t="s">
        <v>1078</v>
      </c>
      <c r="D19153" s="8">
        <v>491</v>
      </c>
      <c r="E19153" s="8">
        <v>0</v>
      </c>
      <c r="F19153" s="8">
        <v>320</v>
      </c>
    </row>
    <row r="19154" spans="1:6" ht="12.75">
      <c r="A19154" s="8">
        <v>43895.709606481483</v>
      </c>
      <c r="B19154" s="8" t="str">
        <f>HYPERLINK("https://twitter.com/vianyayuni","@vianyayuni")</f>
        <v>@vianyayuni</v>
      </c>
      <c r="C19154" s="8" t="s">
        <v>7860</v>
      </c>
      <c r="D19154" s="8">
        <v>0</v>
      </c>
      <c r="E19154" s="8">
        <v>0</v>
      </c>
      <c r="F19154" s="8">
        <v>815</v>
      </c>
    </row>
    <row r="19155" spans="1:6" ht="12.75">
      <c r="A19155" s="8">
        <v>43895.70893518519</v>
      </c>
      <c r="B19155" s="8" t="str">
        <f>HYPERLINK("https://twitter.com/KBRIColombo","@KBRIColombo")</f>
        <v>@KBRIColombo</v>
      </c>
      <c r="C19155" s="8" t="s">
        <v>3132</v>
      </c>
      <c r="D19155" s="8">
        <v>60</v>
      </c>
      <c r="E19155" s="8">
        <v>0</v>
      </c>
      <c r="F19155" s="8">
        <v>741</v>
      </c>
    </row>
    <row r="19156" spans="1:6" ht="12.75">
      <c r="A19156" s="8">
        <v>43895.708715277782</v>
      </c>
      <c r="B19156" s="8" t="str">
        <f t="shared" ref="B19156:B19158" si="284">HYPERLINK("https://twitter.com/selfieituindah","@selfieituindah")</f>
        <v>@selfieituindah</v>
      </c>
      <c r="C19156" s="8" t="s">
        <v>7893</v>
      </c>
      <c r="D19156" s="8">
        <v>1</v>
      </c>
      <c r="E19156" s="8">
        <v>0</v>
      </c>
      <c r="F19156" s="8">
        <v>21325</v>
      </c>
    </row>
    <row r="19157" spans="1:6" ht="12.75">
      <c r="A19157" s="8">
        <v>43895.708564814813</v>
      </c>
      <c r="B19157" s="8" t="str">
        <f t="shared" si="284"/>
        <v>@selfieituindah</v>
      </c>
      <c r="C19157" s="8" t="s">
        <v>7872</v>
      </c>
      <c r="D19157" s="8">
        <v>1</v>
      </c>
      <c r="E19157" s="8">
        <v>0</v>
      </c>
      <c r="F19157" s="8">
        <v>21325</v>
      </c>
    </row>
    <row r="19158" spans="1:6" ht="12.75">
      <c r="A19158" s="8">
        <v>43895.708310185189</v>
      </c>
      <c r="B19158" s="8" t="str">
        <f t="shared" si="284"/>
        <v>@selfieituindah</v>
      </c>
      <c r="C19158" s="8" t="s">
        <v>7894</v>
      </c>
      <c r="D19158" s="8">
        <v>1</v>
      </c>
      <c r="E19158" s="8">
        <v>0</v>
      </c>
      <c r="F19158" s="8">
        <v>21325</v>
      </c>
    </row>
    <row r="19159" spans="1:6" ht="12.75">
      <c r="A19159" s="8">
        <v>43895.708194444444</v>
      </c>
      <c r="B19159" s="8" t="str">
        <f>HYPERLINK("https://twitter.com/topinfo_id","@topinfo_id")</f>
        <v>@topinfo_id</v>
      </c>
      <c r="C19159" s="8" t="s">
        <v>7895</v>
      </c>
      <c r="D19159" s="8">
        <v>1</v>
      </c>
      <c r="E19159" s="8">
        <v>0</v>
      </c>
      <c r="F19159" s="8">
        <v>45</v>
      </c>
    </row>
    <row r="19160" spans="1:6" ht="12.75">
      <c r="A19160" s="8">
        <v>43895.707997685182</v>
      </c>
      <c r="B19160" s="8" t="str">
        <f>HYPERLINK("https://twitter.com/vianyayuni","@vianyayuni")</f>
        <v>@vianyayuni</v>
      </c>
      <c r="C19160" s="8" t="s">
        <v>7871</v>
      </c>
      <c r="D19160" s="8">
        <v>0</v>
      </c>
      <c r="E19160" s="8">
        <v>0</v>
      </c>
      <c r="F19160" s="8">
        <v>815</v>
      </c>
    </row>
    <row r="19161" spans="1:6" ht="12.75">
      <c r="A19161" s="8">
        <v>43895.707881944443</v>
      </c>
      <c r="B19161" s="8" t="str">
        <f>HYPERLINK("https://twitter.com/PLullua","@PLullua")</f>
        <v>@PLullua</v>
      </c>
      <c r="C19161" s="8" t="s">
        <v>1078</v>
      </c>
      <c r="D19161" s="8">
        <v>491</v>
      </c>
      <c r="E19161" s="8">
        <v>0</v>
      </c>
      <c r="F19161" s="8">
        <v>1458</v>
      </c>
    </row>
    <row r="19162" spans="1:6" ht="12.75">
      <c r="A19162" s="8">
        <v>43895.707673611112</v>
      </c>
      <c r="B19162" s="8" t="str">
        <f>HYPERLINK("https://twitter.com/selfieituindah","@selfieituindah")</f>
        <v>@selfieituindah</v>
      </c>
      <c r="C19162" s="8" t="s">
        <v>7829</v>
      </c>
      <c r="D19162" s="8">
        <v>0</v>
      </c>
      <c r="E19162" s="8">
        <v>0</v>
      </c>
      <c r="F19162" s="8">
        <v>21325</v>
      </c>
    </row>
    <row r="19163" spans="1:6" ht="12.75">
      <c r="A19163" s="8">
        <v>43895.706666666665</v>
      </c>
      <c r="B19163" s="8" t="str">
        <f>HYPERLINK("https://twitter.com/kjriosaka","@kjriosaka")</f>
        <v>@kjriosaka</v>
      </c>
      <c r="C19163" s="8" t="s">
        <v>3132</v>
      </c>
      <c r="D19163" s="8">
        <v>60</v>
      </c>
      <c r="E19163" s="8">
        <v>0</v>
      </c>
      <c r="F19163" s="8">
        <v>1571</v>
      </c>
    </row>
    <row r="19164" spans="1:6" ht="12.75">
      <c r="A19164" s="8">
        <v>43895.70648148148</v>
      </c>
      <c r="B19164" s="8" t="str">
        <f>HYPERLINK("https://twitter.com/onomsalam2pas","@onomsalam2pas")</f>
        <v>@onomsalam2pas</v>
      </c>
      <c r="C19164" s="8" t="s">
        <v>7299</v>
      </c>
      <c r="D19164" s="8">
        <v>4</v>
      </c>
      <c r="E19164" s="8">
        <v>0</v>
      </c>
      <c r="F19164" s="8">
        <v>482</v>
      </c>
    </row>
    <row r="19165" spans="1:6" ht="12.75">
      <c r="A19165" s="8">
        <v>43895.705682870372</v>
      </c>
      <c r="B19165" s="8" t="str">
        <f>HYPERLINK("https://twitter.com/JaySoetija","@JaySoetija")</f>
        <v>@JaySoetija</v>
      </c>
      <c r="C19165" s="8" t="s">
        <v>7715</v>
      </c>
      <c r="D19165" s="8">
        <v>111</v>
      </c>
      <c r="E19165" s="8">
        <v>0</v>
      </c>
      <c r="F19165" s="8">
        <v>1222</v>
      </c>
    </row>
    <row r="19166" spans="1:6" ht="12.75">
      <c r="A19166" s="8">
        <v>43895.705578703702</v>
      </c>
      <c r="B19166" s="8" t="str">
        <f>HYPERLINK("https://twitter.com/SMABontang","@SMABontang")</f>
        <v>@SMABontang</v>
      </c>
      <c r="C19166" s="8" t="s">
        <v>7896</v>
      </c>
      <c r="D19166" s="8">
        <v>0</v>
      </c>
      <c r="E19166" s="8">
        <v>0</v>
      </c>
      <c r="F19166" s="8">
        <v>309</v>
      </c>
    </row>
    <row r="19167" spans="1:6" ht="12.75">
      <c r="A19167" s="8">
        <v>43895.705509259264</v>
      </c>
      <c r="B19167" s="8" t="str">
        <f>HYPERLINK("https://twitter.com/Vasternorland21","@Vasternorland21")</f>
        <v>@Vasternorland21</v>
      </c>
      <c r="C19167" s="8" t="s">
        <v>1078</v>
      </c>
      <c r="D19167" s="8">
        <v>491</v>
      </c>
      <c r="E19167" s="8">
        <v>0</v>
      </c>
      <c r="F19167" s="8">
        <v>1187</v>
      </c>
    </row>
    <row r="19168" spans="1:6" ht="12.75">
      <c r="A19168" s="8">
        <v>43895.705509259264</v>
      </c>
      <c r="B19168" s="8" t="str">
        <f>HYPERLINK("https://twitter.com/Rahino7","@Rahino7")</f>
        <v>@Rahino7</v>
      </c>
      <c r="C19168" s="8" t="s">
        <v>7873</v>
      </c>
      <c r="D19168" s="8">
        <v>2</v>
      </c>
      <c r="E19168" s="8">
        <v>0</v>
      </c>
      <c r="F19168" s="8">
        <v>11</v>
      </c>
    </row>
    <row r="19169" spans="1:6" ht="12.75">
      <c r="A19169" s="8">
        <v>43895.705497685187</v>
      </c>
      <c r="B19169" s="8" t="str">
        <f>HYPERLINK("https://twitter.com/HaqueMarissa","@HaqueMarissa")</f>
        <v>@HaqueMarissa</v>
      </c>
      <c r="C19169" s="8" t="s">
        <v>7897</v>
      </c>
      <c r="D19169" s="8">
        <v>0</v>
      </c>
      <c r="E19169" s="8">
        <v>1</v>
      </c>
      <c r="F19169" s="8">
        <v>374306</v>
      </c>
    </row>
    <row r="19170" spans="1:6" ht="12.75">
      <c r="A19170" s="8">
        <v>43895.705393518518</v>
      </c>
      <c r="B19170" s="8" t="str">
        <f>HYPERLINK("https://twitter.com/ryolandafit","@ryolandafit")</f>
        <v>@ryolandafit</v>
      </c>
      <c r="C19170" s="8" t="s">
        <v>7299</v>
      </c>
      <c r="D19170" s="8">
        <v>4</v>
      </c>
      <c r="E19170" s="8">
        <v>0</v>
      </c>
      <c r="F19170" s="8">
        <v>655</v>
      </c>
    </row>
    <row r="19171" spans="1:6" ht="12.75">
      <c r="A19171" s="8">
        <v>43895.705312499995</v>
      </c>
      <c r="B19171" s="8" t="str">
        <f>HYPERLINK("https://twitter.com/UsodoWiro","@UsodoWiro")</f>
        <v>@UsodoWiro</v>
      </c>
      <c r="C19171" s="8" t="s">
        <v>7898</v>
      </c>
      <c r="D19171" s="8">
        <v>0</v>
      </c>
      <c r="E19171" s="8">
        <v>0</v>
      </c>
      <c r="F19171" s="8">
        <v>413</v>
      </c>
    </row>
    <row r="19172" spans="1:6" ht="12.75">
      <c r="A19172" s="8">
        <v>43895.704444444447</v>
      </c>
      <c r="B19172" s="8" t="str">
        <f>HYPERLINK("https://twitter.com/givzas","@givzas")</f>
        <v>@givzas</v>
      </c>
      <c r="C19172" s="8" t="s">
        <v>7899</v>
      </c>
      <c r="D19172" s="8">
        <v>0</v>
      </c>
      <c r="E19172" s="8">
        <v>0</v>
      </c>
      <c r="F19172" s="8">
        <v>2506</v>
      </c>
    </row>
    <row r="19173" spans="1:6" ht="12.75">
      <c r="A19173" s="8">
        <v>43895.704363425924</v>
      </c>
      <c r="B19173" s="8" t="str">
        <f>HYPERLINK("https://twitter.com/kbrimanama","@kbrimanama")</f>
        <v>@kbrimanama</v>
      </c>
      <c r="C19173" s="8" t="s">
        <v>7700</v>
      </c>
      <c r="D19173" s="8">
        <v>45</v>
      </c>
      <c r="E19173" s="8">
        <v>0</v>
      </c>
      <c r="F19173" s="8">
        <v>1430</v>
      </c>
    </row>
    <row r="19174" spans="1:6" ht="12.75">
      <c r="A19174" s="8">
        <v>43895.703738425931</v>
      </c>
      <c r="B19174" s="8" t="str">
        <f>HYPERLINK("https://twitter.com/tempodotco","@tempodotco")</f>
        <v>@tempodotco</v>
      </c>
      <c r="C19174" s="8" t="s">
        <v>7900</v>
      </c>
      <c r="D19174" s="8">
        <v>1</v>
      </c>
      <c r="E19174" s="8">
        <v>1</v>
      </c>
      <c r="F19174" s="8">
        <v>1713505</v>
      </c>
    </row>
    <row r="19175" spans="1:6" ht="12.75">
      <c r="A19175" s="8">
        <v>43895.703680555554</v>
      </c>
      <c r="B19175" s="8" t="str">
        <f>HYPERLINK("https://twitter.com/kbrimanama","@kbrimanama")</f>
        <v>@kbrimanama</v>
      </c>
      <c r="C19175" s="8" t="s">
        <v>3132</v>
      </c>
      <c r="D19175" s="8">
        <v>60</v>
      </c>
      <c r="E19175" s="8">
        <v>0</v>
      </c>
      <c r="F19175" s="8">
        <v>1430</v>
      </c>
    </row>
    <row r="19176" spans="1:6" ht="12.75">
      <c r="A19176" s="8">
        <v>43895.703599537039</v>
      </c>
      <c r="B19176" s="8" t="str">
        <f>HYPERLINK("https://twitter.com/Peatland_Boy","@Peatland_Boy")</f>
        <v>@Peatland_Boy</v>
      </c>
      <c r="C19176" s="8" t="s">
        <v>7901</v>
      </c>
      <c r="D19176" s="8">
        <v>0</v>
      </c>
      <c r="E19176" s="8">
        <v>0</v>
      </c>
      <c r="F19176" s="8">
        <v>282</v>
      </c>
    </row>
    <row r="19177" spans="1:6" ht="12.75">
      <c r="A19177" s="8">
        <v>43895.703576388885</v>
      </c>
      <c r="B19177" s="8" t="str">
        <f>HYPERLINK("https://twitter.com/jealousay","@jealousay")</f>
        <v>@jealousay</v>
      </c>
      <c r="C19177" s="8" t="s">
        <v>3285</v>
      </c>
      <c r="D19177" s="8">
        <v>162</v>
      </c>
      <c r="E19177" s="8">
        <v>0</v>
      </c>
      <c r="F19177" s="8">
        <v>1028</v>
      </c>
    </row>
    <row r="19178" spans="1:6" ht="12.75">
      <c r="A19178" s="8">
        <v>43895.703564814816</v>
      </c>
      <c r="B19178" s="8" t="str">
        <f>HYPERLINK("https://twitter.com/topinfo_id","@topinfo_id")</f>
        <v>@topinfo_id</v>
      </c>
      <c r="C19178" s="8" t="s">
        <v>7902</v>
      </c>
      <c r="D19178" s="8">
        <v>0</v>
      </c>
      <c r="E19178" s="8">
        <v>0</v>
      </c>
      <c r="F19178" s="8">
        <v>45</v>
      </c>
    </row>
    <row r="19179" spans="1:6" ht="12.75">
      <c r="A19179" s="8">
        <v>43895.703530092593</v>
      </c>
      <c r="B19179" s="8" t="str">
        <f>HYPERLINK("https://twitter.com/xiyulinglee","@xiyulinglee")</f>
        <v>@xiyulinglee</v>
      </c>
      <c r="C19179" s="8" t="s">
        <v>7903</v>
      </c>
      <c r="D19179" s="8">
        <v>0</v>
      </c>
      <c r="E19179" s="8">
        <v>0</v>
      </c>
      <c r="F19179" s="8">
        <v>246</v>
      </c>
    </row>
    <row r="19180" spans="1:6" ht="12.75">
      <c r="A19180" s="8">
        <v>43895.702476851853</v>
      </c>
      <c r="B19180" s="8" t="str">
        <f>HYPERLINK("https://twitter.com/dimhansun","@dimhansun")</f>
        <v>@dimhansun</v>
      </c>
      <c r="C19180" s="8" t="s">
        <v>3132</v>
      </c>
      <c r="D19180" s="8">
        <v>60</v>
      </c>
      <c r="E19180" s="8">
        <v>0</v>
      </c>
      <c r="F19180" s="8">
        <v>592</v>
      </c>
    </row>
    <row r="19181" spans="1:6" ht="12.75">
      <c r="A19181" s="8">
        <v>43895.702361111107</v>
      </c>
      <c r="B19181" s="8" t="str">
        <f>HYPERLINK("https://twitter.com/IndoEthio","@IndoEthio")</f>
        <v>@IndoEthio</v>
      </c>
      <c r="C19181" s="8" t="s">
        <v>3132</v>
      </c>
      <c r="D19181" s="8">
        <v>60</v>
      </c>
      <c r="E19181" s="8">
        <v>0</v>
      </c>
      <c r="F19181" s="8">
        <v>3598</v>
      </c>
    </row>
    <row r="19182" spans="1:6" ht="12.75">
      <c r="A19182" s="8">
        <v>43895.702141203699</v>
      </c>
      <c r="B19182" s="8" t="str">
        <f>HYPERLINK("https://twitter.com/jenzaenal","@jenzaenal")</f>
        <v>@jenzaenal</v>
      </c>
      <c r="C19182" s="8" t="s">
        <v>7738</v>
      </c>
      <c r="D19182" s="8">
        <v>40</v>
      </c>
      <c r="E19182" s="8">
        <v>0</v>
      </c>
      <c r="F19182" s="8">
        <v>183</v>
      </c>
    </row>
    <row r="19183" spans="1:6" ht="12.75">
      <c r="A19183" s="8">
        <v>43895.702025462961</v>
      </c>
      <c r="B19183" s="8" t="str">
        <f>HYPERLINK("https://twitter.com/AAndrieza","@AAndrieza")</f>
        <v>@AAndrieza</v>
      </c>
      <c r="C19183" s="8" t="s">
        <v>1078</v>
      </c>
      <c r="D19183" s="8">
        <v>491</v>
      </c>
      <c r="E19183" s="8">
        <v>0</v>
      </c>
      <c r="F19183" s="8">
        <v>307</v>
      </c>
    </row>
    <row r="19184" spans="1:6" ht="12.75">
      <c r="A19184" s="8">
        <v>43895.701840277776</v>
      </c>
      <c r="B19184" s="8" t="str">
        <f>HYPERLINK("https://twitter.com/tommy_irawans","@tommy_irawans")</f>
        <v>@tommy_irawans</v>
      </c>
      <c r="C19184" s="8" t="s">
        <v>7904</v>
      </c>
      <c r="D19184" s="8">
        <v>0</v>
      </c>
      <c r="E19184" s="8">
        <v>0</v>
      </c>
      <c r="F19184" s="8">
        <v>215</v>
      </c>
    </row>
    <row r="19185" spans="1:6" ht="12.75">
      <c r="A19185" s="8">
        <v>43895.701793981483</v>
      </c>
      <c r="B19185" s="8" t="str">
        <f>HYPERLINK("https://twitter.com/Balakaciprut13","@Balakaciprut13")</f>
        <v>@Balakaciprut13</v>
      </c>
      <c r="C19185" s="8" t="s">
        <v>7905</v>
      </c>
      <c r="D19185" s="8">
        <v>0</v>
      </c>
      <c r="E19185" s="8">
        <v>0</v>
      </c>
      <c r="F19185" s="8">
        <v>51</v>
      </c>
    </row>
    <row r="19186" spans="1:6" ht="12.75">
      <c r="A19186" s="8">
        <v>43895.70140046296</v>
      </c>
      <c r="B19186" s="8" t="str">
        <f>HYPERLINK("https://twitter.com/INAinBucharest","@INAinBucharest")</f>
        <v>@INAinBucharest</v>
      </c>
      <c r="C19186" s="8" t="s">
        <v>3132</v>
      </c>
      <c r="D19186" s="8">
        <v>60</v>
      </c>
      <c r="E19186" s="8">
        <v>0</v>
      </c>
      <c r="F19186" s="8">
        <v>1669</v>
      </c>
    </row>
    <row r="19187" spans="1:6" ht="12.75">
      <c r="A19187" s="8">
        <v>43895.70008101852</v>
      </c>
      <c r="B19187" s="8" t="str">
        <f>HYPERLINK("https://twitter.com/ronyrilda","@ronyrilda")</f>
        <v>@ronyrilda</v>
      </c>
      <c r="C19187" s="8" t="s">
        <v>7906</v>
      </c>
      <c r="D19187" s="8">
        <v>3</v>
      </c>
      <c r="E19187" s="8">
        <v>0</v>
      </c>
      <c r="F19187" s="8">
        <v>124</v>
      </c>
    </row>
    <row r="19188" spans="1:6" ht="12.75">
      <c r="A19188" s="8">
        <v>43895.699328703704</v>
      </c>
      <c r="B19188" s="8" t="str">
        <f>HYPERLINK("https://twitter.com/Rachma33169228","@Rachma33169228")</f>
        <v>@Rachma33169228</v>
      </c>
      <c r="C19188" s="8" t="s">
        <v>7907</v>
      </c>
      <c r="D19188" s="8">
        <v>2</v>
      </c>
      <c r="E19188" s="8">
        <v>0</v>
      </c>
      <c r="F19188" s="8">
        <v>0</v>
      </c>
    </row>
    <row r="19189" spans="1:6" ht="12.75">
      <c r="A19189" s="8">
        <v>43895.698807870373</v>
      </c>
      <c r="B19189" s="8" t="str">
        <f>HYPERLINK("https://twitter.com/healthyliveID","@healthyliveID")</f>
        <v>@healthyliveID</v>
      </c>
      <c r="C19189" s="8" t="s">
        <v>7908</v>
      </c>
      <c r="D19189" s="8">
        <v>0</v>
      </c>
      <c r="E19189" s="8">
        <v>0</v>
      </c>
      <c r="F19189" s="8">
        <v>45107</v>
      </c>
    </row>
    <row r="19190" spans="1:6" ht="12.75">
      <c r="A19190" s="8">
        <v>43895.698495370365</v>
      </c>
      <c r="B19190" s="8" t="str">
        <f>HYPERLINK("https://twitter.com/diana_harianti","@diana_harianti")</f>
        <v>@diana_harianti</v>
      </c>
      <c r="C19190" s="8" t="s">
        <v>1078</v>
      </c>
      <c r="D19190" s="8">
        <v>491</v>
      </c>
      <c r="E19190" s="8">
        <v>0</v>
      </c>
      <c r="F19190" s="8">
        <v>1283</v>
      </c>
    </row>
    <row r="19191" spans="1:6" ht="12.75">
      <c r="A19191" s="8">
        <v>43895.698472222226</v>
      </c>
      <c r="B19191" s="8" t="str">
        <f>HYPERLINK("https://twitter.com/fentykill","@fentykill")</f>
        <v>@fentykill</v>
      </c>
      <c r="C19191" s="8" t="s">
        <v>7909</v>
      </c>
      <c r="D19191" s="8">
        <v>0</v>
      </c>
      <c r="E19191" s="8">
        <v>0</v>
      </c>
      <c r="F19191" s="8">
        <v>39</v>
      </c>
    </row>
    <row r="19192" spans="1:6" ht="12.75">
      <c r="A19192" s="8">
        <v>43895.698344907403</v>
      </c>
      <c r="B19192" s="8" t="str">
        <f>HYPERLINK("https://twitter.com/AnnisaR18793644","@AnnisaR18793644")</f>
        <v>@AnnisaR18793644</v>
      </c>
      <c r="C19192" s="8" t="s">
        <v>7910</v>
      </c>
      <c r="D19192" s="8">
        <v>1</v>
      </c>
      <c r="E19192" s="8">
        <v>0</v>
      </c>
      <c r="F19192" s="8">
        <v>29</v>
      </c>
    </row>
    <row r="19193" spans="1:6" ht="12.75">
      <c r="A19193" s="8">
        <v>43895.698229166665</v>
      </c>
      <c r="B19193" s="8" t="str">
        <f>HYPERLINK("https://twitter.com/dmoment85","@dmoment85")</f>
        <v>@dmoment85</v>
      </c>
      <c r="C19193" s="8" t="s">
        <v>7329</v>
      </c>
      <c r="D19193" s="8">
        <v>6</v>
      </c>
      <c r="E19193" s="8">
        <v>0</v>
      </c>
      <c r="F19193" s="8">
        <v>288</v>
      </c>
    </row>
    <row r="19194" spans="1:6" ht="12.75">
      <c r="A19194" s="8">
        <v>43895.697974537034</v>
      </c>
      <c r="B19194" s="8" t="str">
        <f>HYPERLINK("https://twitter.com/enda","@enda")</f>
        <v>@enda</v>
      </c>
      <c r="C19194" s="8" t="s">
        <v>7911</v>
      </c>
      <c r="D19194" s="8">
        <v>1</v>
      </c>
      <c r="E19194" s="8">
        <v>0</v>
      </c>
      <c r="F19194" s="8">
        <v>220209</v>
      </c>
    </row>
    <row r="19195" spans="1:6" ht="12.75">
      <c r="A19195" s="8">
        <v>43895.697916666672</v>
      </c>
      <c r="B19195" s="8" t="str">
        <f>HYPERLINK("https://twitter.com/SiJombloKreatif","@SiJombloKreatif")</f>
        <v>@SiJombloKreatif</v>
      </c>
      <c r="C19195" s="8" t="s">
        <v>7912</v>
      </c>
      <c r="D19195" s="8">
        <v>0</v>
      </c>
      <c r="E19195" s="8">
        <v>0</v>
      </c>
      <c r="F19195" s="8">
        <v>120935</v>
      </c>
    </row>
    <row r="19196" spans="1:6" ht="12.75">
      <c r="A19196" s="8">
        <v>43895.697696759264</v>
      </c>
      <c r="B19196" s="8" t="str">
        <f>HYPERLINK("https://twitter.com/FridaSolehati9","@FridaSolehati9")</f>
        <v>@FridaSolehati9</v>
      </c>
      <c r="C19196" s="8" t="s">
        <v>7841</v>
      </c>
      <c r="D19196" s="8">
        <v>107</v>
      </c>
      <c r="E19196" s="8">
        <v>0</v>
      </c>
      <c r="F19196" s="8">
        <v>679</v>
      </c>
    </row>
    <row r="19197" spans="1:6" ht="12.75">
      <c r="A19197" s="8">
        <v>43895.697465277779</v>
      </c>
      <c r="B19197" s="8" t="str">
        <f>HYPERLINK("https://twitter.com/bijakbersosmed_","@bijakbersosmed_")</f>
        <v>@bijakbersosmed_</v>
      </c>
      <c r="C19197" s="8" t="s">
        <v>7913</v>
      </c>
      <c r="D19197" s="8">
        <v>1</v>
      </c>
      <c r="E19197" s="8">
        <v>0</v>
      </c>
      <c r="F19197" s="8">
        <v>1175</v>
      </c>
    </row>
    <row r="19198" spans="1:6" ht="12.75">
      <c r="A19198" s="8">
        <v>43895.69703703704</v>
      </c>
      <c r="B19198" s="8" t="str">
        <f>HYPERLINK("https://twitter.com/gopayindonesia","@gopayindonesia")</f>
        <v>@gopayindonesia</v>
      </c>
      <c r="C19198" s="8" t="s">
        <v>7914</v>
      </c>
      <c r="D19198" s="8">
        <v>0</v>
      </c>
      <c r="E19198" s="8">
        <v>0</v>
      </c>
      <c r="F19198" s="8">
        <v>25876</v>
      </c>
    </row>
    <row r="19199" spans="1:6" ht="12.75">
      <c r="A19199" s="8">
        <v>43895.69699074074</v>
      </c>
      <c r="B19199" s="8" t="str">
        <f>HYPERLINK("https://twitter.com/r4y_4lf","@r4y_4lf")</f>
        <v>@r4y_4lf</v>
      </c>
      <c r="C19199" s="8" t="s">
        <v>7915</v>
      </c>
      <c r="D19199" s="8">
        <v>0</v>
      </c>
      <c r="E19199" s="8">
        <v>0</v>
      </c>
      <c r="F19199" s="8">
        <v>45</v>
      </c>
    </row>
    <row r="19200" spans="1:6" ht="12.75">
      <c r="A19200" s="8">
        <v>43895.696909722217</v>
      </c>
      <c r="B19200" s="8" t="str">
        <f>HYPERLINK("https://twitter.com/donlazoer","@donlazoer")</f>
        <v>@donlazoer</v>
      </c>
      <c r="C19200" s="8" t="s">
        <v>4477</v>
      </c>
      <c r="D19200" s="8">
        <v>1247</v>
      </c>
      <c r="E19200" s="8">
        <v>0</v>
      </c>
      <c r="F19200" s="8">
        <v>35</v>
      </c>
    </row>
    <row r="19201" spans="1:6" ht="12.75">
      <c r="A19201" s="8">
        <v>43895.696793981479</v>
      </c>
      <c r="B19201" s="8" t="str">
        <f>HYPERLINK("https://twitter.com/Sontolo29062151","@Sontolo29062151")</f>
        <v>@Sontolo29062151</v>
      </c>
      <c r="C19201" s="8" t="s">
        <v>7916</v>
      </c>
      <c r="D19201" s="8">
        <v>0</v>
      </c>
      <c r="E19201" s="8">
        <v>0</v>
      </c>
      <c r="F19201" s="8">
        <v>18</v>
      </c>
    </row>
    <row r="19202" spans="1:6" ht="12.75">
      <c r="A19202" s="8">
        <v>43895.696550925924</v>
      </c>
      <c r="B19202" s="8" t="str">
        <f>HYPERLINK("https://twitter.com/Baracuda1818","@Baracuda1818")</f>
        <v>@Baracuda1818</v>
      </c>
      <c r="C19202" s="8" t="s">
        <v>1078</v>
      </c>
      <c r="D19202" s="8">
        <v>491</v>
      </c>
      <c r="E19202" s="8">
        <v>0</v>
      </c>
      <c r="F19202" s="8">
        <v>7781</v>
      </c>
    </row>
    <row r="19203" spans="1:6" ht="12.75">
      <c r="A19203" s="8">
        <v>43895.696203703701</v>
      </c>
      <c r="B19203" s="8" t="str">
        <f>HYPERLINK("https://twitter.com/1_devout","@1_devout")</f>
        <v>@1_devout</v>
      </c>
      <c r="C19203" s="8" t="s">
        <v>1078</v>
      </c>
      <c r="D19203" s="8">
        <v>491</v>
      </c>
      <c r="E19203" s="8">
        <v>0</v>
      </c>
      <c r="F19203" s="8">
        <v>50</v>
      </c>
    </row>
    <row r="19204" spans="1:6" ht="12.75">
      <c r="A19204" s="8">
        <v>43895.696006944447</v>
      </c>
      <c r="B19204" s="8" t="str">
        <f>HYPERLINK("https://twitter.com/YT_Sijabat","@YT_Sijabat")</f>
        <v>@YT_Sijabat</v>
      </c>
      <c r="C19204" s="8" t="s">
        <v>1078</v>
      </c>
      <c r="D19204" s="8">
        <v>491</v>
      </c>
      <c r="E19204" s="8">
        <v>0</v>
      </c>
      <c r="F19204" s="8">
        <v>5814</v>
      </c>
    </row>
    <row r="19205" spans="1:6" ht="12.75">
      <c r="A19205" s="8">
        <v>43895.695914351847</v>
      </c>
      <c r="B19205" s="8" t="str">
        <f>HYPERLINK("https://twitter.com/Chris17147695","@Chris17147695")</f>
        <v>@Chris17147695</v>
      </c>
      <c r="C19205" s="8" t="s">
        <v>7917</v>
      </c>
      <c r="D19205" s="8">
        <v>0</v>
      </c>
      <c r="E19205" s="8">
        <v>0</v>
      </c>
      <c r="F19205" s="8">
        <v>128</v>
      </c>
    </row>
    <row r="19206" spans="1:6" ht="12.75">
      <c r="A19206" s="8">
        <v>43895.695648148147</v>
      </c>
      <c r="B19206" s="8" t="str">
        <f>HYPERLINK("https://twitter.com/sipitung009","@sipitung009")</f>
        <v>@sipitung009</v>
      </c>
      <c r="C19206" s="8" t="s">
        <v>7299</v>
      </c>
      <c r="D19206" s="8">
        <v>4</v>
      </c>
      <c r="E19206" s="8">
        <v>0</v>
      </c>
      <c r="F19206" s="8">
        <v>42</v>
      </c>
    </row>
    <row r="19207" spans="1:6" ht="12.75">
      <c r="A19207" s="8">
        <v>43895.695509259254</v>
      </c>
      <c r="B19207" s="8" t="str">
        <f>HYPERLINK("https://twitter.com/mynewsindo","@mynewsindo")</f>
        <v>@mynewsindo</v>
      </c>
      <c r="C19207" s="8" t="s">
        <v>7918</v>
      </c>
      <c r="D19207" s="8">
        <v>0</v>
      </c>
      <c r="E19207" s="8">
        <v>0</v>
      </c>
      <c r="F19207" s="8">
        <v>154</v>
      </c>
    </row>
    <row r="19208" spans="1:6" ht="12.75">
      <c r="A19208" s="8">
        <v>43895.695393518516</v>
      </c>
      <c r="B19208" s="8" t="str">
        <f>HYPERLINK("https://twitter.com/Kabar_Tangsel","@Kabar_Tangsel")</f>
        <v>@Kabar_Tangsel</v>
      </c>
      <c r="C19208" s="8" t="s">
        <v>7919</v>
      </c>
      <c r="D19208" s="8">
        <v>0</v>
      </c>
      <c r="E19208" s="8">
        <v>0</v>
      </c>
      <c r="F19208" s="8">
        <v>14978</v>
      </c>
    </row>
    <row r="19209" spans="1:6" ht="12.75">
      <c r="A19209" s="8">
        <v>43895.694791666669</v>
      </c>
      <c r="B19209" s="8" t="str">
        <f>HYPERLINK("https://twitter.com/BangIssan","@BangIssan")</f>
        <v>@BangIssan</v>
      </c>
      <c r="C19209" s="8" t="s">
        <v>1078</v>
      </c>
      <c r="D19209" s="8">
        <v>491</v>
      </c>
      <c r="E19209" s="8">
        <v>0</v>
      </c>
      <c r="F19209" s="8">
        <v>122</v>
      </c>
    </row>
    <row r="19210" spans="1:6" ht="12.75">
      <c r="A19210" s="8">
        <v>43895.694733796292</v>
      </c>
      <c r="B19210" s="8" t="str">
        <f>HYPERLINK("https://twitter.com/LilyDany3","@LilyDany3")</f>
        <v>@LilyDany3</v>
      </c>
      <c r="C19210" s="8" t="s">
        <v>7299</v>
      </c>
      <c r="D19210" s="8">
        <v>4</v>
      </c>
      <c r="E19210" s="8">
        <v>0</v>
      </c>
      <c r="F19210" s="8">
        <v>0</v>
      </c>
    </row>
    <row r="19211" spans="1:6" ht="12.75">
      <c r="A19211" s="8">
        <v>43895.694490740745</v>
      </c>
      <c r="B19211" s="8" t="str">
        <f>HYPERLINK("https://twitter.com/tvOneNews","@tvOneNews")</f>
        <v>@tvOneNews</v>
      </c>
      <c r="C19211" s="8" t="s">
        <v>7751</v>
      </c>
      <c r="D19211" s="8">
        <v>4</v>
      </c>
      <c r="E19211" s="8">
        <v>6</v>
      </c>
      <c r="F19211" s="8">
        <v>8728709</v>
      </c>
    </row>
    <row r="19212" spans="1:6" ht="12.75">
      <c r="A19212" s="8">
        <v>43895.69425925926</v>
      </c>
      <c r="B19212" s="8" t="str">
        <f>HYPERLINK("https://twitter.com/mamihanafi","@mamihanafi")</f>
        <v>@mamihanafi</v>
      </c>
      <c r="C19212" s="8" t="s">
        <v>7920</v>
      </c>
      <c r="D19212" s="8">
        <v>1</v>
      </c>
      <c r="E19212" s="8">
        <v>0</v>
      </c>
      <c r="F19212" s="8">
        <v>1956</v>
      </c>
    </row>
    <row r="19213" spans="1:6" ht="12.75">
      <c r="A19213" s="8">
        <v>43895.694039351853</v>
      </c>
      <c r="B19213" s="8" t="str">
        <f>HYPERLINK("https://twitter.com/fahrizalsatria2","@fahrizalsatria2")</f>
        <v>@fahrizalsatria2</v>
      </c>
      <c r="C19213" s="8" t="s">
        <v>7921</v>
      </c>
      <c r="D19213" s="8">
        <v>0</v>
      </c>
      <c r="E19213" s="8">
        <v>0</v>
      </c>
      <c r="F19213" s="8">
        <v>0</v>
      </c>
    </row>
    <row r="19214" spans="1:6" ht="12.75">
      <c r="A19214" s="8">
        <v>43895.693877314814</v>
      </c>
      <c r="B19214" s="8" t="str">
        <f>HYPERLINK("https://twitter.com/kapuaspalace89","@kapuaspalace89")</f>
        <v>@kapuaspalace89</v>
      </c>
      <c r="C19214" s="8" t="s">
        <v>1078</v>
      </c>
      <c r="D19214" s="8">
        <v>491</v>
      </c>
      <c r="E19214" s="8">
        <v>0</v>
      </c>
      <c r="F19214" s="8">
        <v>2444</v>
      </c>
    </row>
    <row r="19215" spans="1:6" ht="12.75">
      <c r="A19215" s="8">
        <v>43895.692858796298</v>
      </c>
      <c r="B19215" s="8" t="str">
        <f>HYPERLINK("https://twitter.com/LukisanPalsu","@LukisanPalsu")</f>
        <v>@LukisanPalsu</v>
      </c>
      <c r="C19215" s="8" t="s">
        <v>7841</v>
      </c>
      <c r="D19215" s="8">
        <v>107</v>
      </c>
      <c r="E19215" s="8">
        <v>0</v>
      </c>
      <c r="F19215" s="8">
        <v>22</v>
      </c>
    </row>
    <row r="19216" spans="1:6" ht="12.75">
      <c r="A19216" s="8">
        <v>43895.692337962959</v>
      </c>
      <c r="B19216" s="8" t="str">
        <f>HYPERLINK("https://twitter.com/membunuhsenja","@membunuhsenja")</f>
        <v>@membunuhsenja</v>
      </c>
      <c r="C19216" s="8" t="s">
        <v>7841</v>
      </c>
      <c r="D19216" s="8">
        <v>107</v>
      </c>
      <c r="E19216" s="8">
        <v>0</v>
      </c>
      <c r="F19216" s="8">
        <v>22</v>
      </c>
    </row>
    <row r="19217" spans="1:6" ht="12.75">
      <c r="A19217" s="8">
        <v>43895.692326388889</v>
      </c>
      <c r="B19217" s="8" t="str">
        <f>HYPERLINK("https://twitter.com/b3811nez","@b3811nez")</f>
        <v>@b3811nez</v>
      </c>
      <c r="C19217" s="8" t="s">
        <v>3132</v>
      </c>
      <c r="D19217" s="8">
        <v>60</v>
      </c>
      <c r="E19217" s="8">
        <v>0</v>
      </c>
      <c r="F19217" s="8">
        <v>3655</v>
      </c>
    </row>
    <row r="19218" spans="1:6" ht="12.75">
      <c r="A19218" s="8">
        <v>43895.692210648151</v>
      </c>
      <c r="B19218" s="8" t="str">
        <f>HYPERLINK("https://twitter.com/ErrycaMatiur","@ErrycaMatiur")</f>
        <v>@ErrycaMatiur</v>
      </c>
      <c r="C19218" s="8" t="s">
        <v>7473</v>
      </c>
      <c r="D19218" s="8">
        <v>363</v>
      </c>
      <c r="E19218" s="8">
        <v>0</v>
      </c>
      <c r="F19218" s="8">
        <v>35</v>
      </c>
    </row>
    <row r="19219" spans="1:6" ht="12.75">
      <c r="A19219" s="8">
        <v>43895.691886574074</v>
      </c>
      <c r="B19219" s="8" t="str">
        <f>HYPERLINK("https://twitter.com/healthyliveID","@healthyliveID")</f>
        <v>@healthyliveID</v>
      </c>
      <c r="C19219" s="8" t="s">
        <v>7873</v>
      </c>
      <c r="D19219" s="8">
        <v>2</v>
      </c>
      <c r="E19219" s="8">
        <v>0</v>
      </c>
      <c r="F19219" s="8">
        <v>45107</v>
      </c>
    </row>
    <row r="19220" spans="1:6" ht="12.75">
      <c r="A19220" s="8">
        <v>43895.691875000004</v>
      </c>
      <c r="B19220" s="8" t="str">
        <f>HYPERLINK("https://twitter.com/MrHartono2","@MrHartono2")</f>
        <v>@MrHartono2</v>
      </c>
      <c r="C19220" s="8" t="s">
        <v>7245</v>
      </c>
      <c r="D19220" s="8">
        <v>50</v>
      </c>
      <c r="E19220" s="8">
        <v>0</v>
      </c>
      <c r="F19220" s="8">
        <v>2216</v>
      </c>
    </row>
    <row r="19221" spans="1:6" ht="12.75">
      <c r="A19221" s="8">
        <v>43895.691851851851</v>
      </c>
      <c r="B19221" s="8" t="str">
        <f>HYPERLINK("https://twitter.com/SenjataBeracun","@SenjataBeracun")</f>
        <v>@SenjataBeracun</v>
      </c>
      <c r="C19221" s="8" t="s">
        <v>7841</v>
      </c>
      <c r="D19221" s="8">
        <v>107</v>
      </c>
      <c r="E19221" s="8">
        <v>0</v>
      </c>
      <c r="F19221" s="8">
        <v>23</v>
      </c>
    </row>
    <row r="19222" spans="1:6" ht="12.75">
      <c r="A19222" s="8">
        <v>43895.691481481481</v>
      </c>
      <c r="B19222" s="8" t="str">
        <f>HYPERLINK("https://twitter.com/riyadh_kbri","@riyadh_kbri")</f>
        <v>@riyadh_kbri</v>
      </c>
      <c r="C19222" s="8" t="s">
        <v>3132</v>
      </c>
      <c r="D19222" s="8">
        <v>60</v>
      </c>
      <c r="E19222" s="8">
        <v>0</v>
      </c>
      <c r="F19222" s="8">
        <v>2341</v>
      </c>
    </row>
    <row r="19223" spans="1:6" ht="12.75">
      <c r="A19223" s="8">
        <v>43895.691168981481</v>
      </c>
      <c r="B19223" s="8" t="str">
        <f>HYPERLINK("https://twitter.com/galcaopanuntun","@galcaopanuntun")</f>
        <v>@galcaopanuntun</v>
      </c>
      <c r="C19223" s="8" t="s">
        <v>7922</v>
      </c>
      <c r="D19223" s="8">
        <v>0</v>
      </c>
      <c r="E19223" s="8">
        <v>0</v>
      </c>
      <c r="F19223" s="8">
        <v>1336</v>
      </c>
    </row>
    <row r="19224" spans="1:6" ht="12.75">
      <c r="A19224" s="8">
        <v>43895.673020833332</v>
      </c>
      <c r="B19224" s="8" t="str">
        <f>HYPERLINK("https://twitter.com/Mkahf_i","@Mkahf_i")</f>
        <v>@Mkahf_i</v>
      </c>
      <c r="C19224" s="8" t="s">
        <v>1078</v>
      </c>
      <c r="D19224" s="8">
        <v>458</v>
      </c>
      <c r="E19224" s="8">
        <v>0</v>
      </c>
      <c r="F19224" s="8">
        <v>2037</v>
      </c>
    </row>
    <row r="19225" spans="1:6" ht="12.75">
      <c r="A19225" s="8">
        <v>43895.672592592593</v>
      </c>
      <c r="B19225" s="8" t="str">
        <f>HYPERLINK("https://twitter.com/hadiRochman1972","@hadiRochman1972")</f>
        <v>@hadiRochman1972</v>
      </c>
      <c r="C19225" s="8" t="s">
        <v>1078</v>
      </c>
      <c r="D19225" s="8">
        <v>458</v>
      </c>
      <c r="E19225" s="8">
        <v>0</v>
      </c>
      <c r="F19225" s="8">
        <v>2097</v>
      </c>
    </row>
    <row r="19226" spans="1:6" ht="12.75">
      <c r="A19226" s="8">
        <v>43895.672500000001</v>
      </c>
      <c r="B19226" s="8" t="str">
        <f>HYPERLINK("https://twitter.com/Dolin_malau","@Dolin_malau")</f>
        <v>@Dolin_malau</v>
      </c>
      <c r="C19226" s="8" t="s">
        <v>1078</v>
      </c>
      <c r="D19226" s="8">
        <v>458</v>
      </c>
      <c r="E19226" s="8">
        <v>0</v>
      </c>
      <c r="F19226" s="8">
        <v>189</v>
      </c>
    </row>
    <row r="19227" spans="1:6" ht="12.75">
      <c r="A19227" s="8">
        <v>43895.672418981485</v>
      </c>
      <c r="B19227" s="8" t="str">
        <f>HYPERLINK("https://twitter.com/INAinLebanon","@INAinLebanon")</f>
        <v>@INAinLebanon</v>
      </c>
      <c r="C19227" s="8" t="s">
        <v>3132</v>
      </c>
      <c r="D19227" s="8">
        <v>41</v>
      </c>
      <c r="E19227" s="8">
        <v>0</v>
      </c>
      <c r="F19227" s="8">
        <v>76</v>
      </c>
    </row>
    <row r="19228" spans="1:6" ht="12.75">
      <c r="A19228" s="8">
        <v>43895.6721412037</v>
      </c>
      <c r="B19228" s="8" t="str">
        <f>HYPERLINK("https://twitter.com/ryolandafit","@ryolandafit")</f>
        <v>@ryolandafit</v>
      </c>
      <c r="C19228" s="8" t="s">
        <v>7923</v>
      </c>
      <c r="D19228" s="8">
        <v>1</v>
      </c>
      <c r="E19228" s="8">
        <v>0</v>
      </c>
      <c r="F19228" s="8">
        <v>655</v>
      </c>
    </row>
    <row r="19229" spans="1:6" ht="12.75">
      <c r="A19229" s="8">
        <v>43895.672037037039</v>
      </c>
      <c r="B19229" s="8" t="str">
        <f>HYPERLINK("https://twitter.com/wni_jmsri","@wni_jmsri")</f>
        <v>@wni_jmsri</v>
      </c>
      <c r="C19229" s="8" t="s">
        <v>7538</v>
      </c>
      <c r="D19229" s="8">
        <v>10769</v>
      </c>
      <c r="E19229" s="8">
        <v>0</v>
      </c>
      <c r="F19229" s="8">
        <v>200</v>
      </c>
    </row>
    <row r="19230" spans="1:6" ht="12.75">
      <c r="A19230" s="8">
        <v>43895.671087962968</v>
      </c>
      <c r="B19230" s="8" t="str">
        <f>HYPERLINK("https://twitter.com/AminurasyidR","@AminurasyidR")</f>
        <v>@AminurasyidR</v>
      </c>
      <c r="C19230" s="8" t="s">
        <v>7924</v>
      </c>
      <c r="D19230" s="8">
        <v>0</v>
      </c>
      <c r="E19230" s="8">
        <v>0</v>
      </c>
      <c r="F19230" s="8">
        <v>768</v>
      </c>
    </row>
    <row r="19231" spans="1:6" ht="12.75">
      <c r="A19231" s="8">
        <v>43895.670578703706</v>
      </c>
      <c r="B19231" s="8" t="str">
        <f>HYPERLINK("https://twitter.com/ardiansyahdotid","@ardiansyahdotid")</f>
        <v>@ardiansyahdotid</v>
      </c>
      <c r="C19231" s="8" t="s">
        <v>7925</v>
      </c>
      <c r="D19231" s="8">
        <v>0</v>
      </c>
      <c r="E19231" s="8">
        <v>0</v>
      </c>
      <c r="F19231" s="8">
        <v>1737</v>
      </c>
    </row>
    <row r="19232" spans="1:6" ht="12.75">
      <c r="A19232" s="8">
        <v>43895.670324074075</v>
      </c>
      <c r="B19232" s="8" t="str">
        <f>HYPERLINK("https://twitter.com/kabarpol","@kabarpol")</f>
        <v>@kabarpol</v>
      </c>
      <c r="C19232" s="8" t="s">
        <v>7926</v>
      </c>
      <c r="D19232" s="8">
        <v>0</v>
      </c>
      <c r="E19232" s="8">
        <v>0</v>
      </c>
      <c r="F19232" s="8">
        <v>53</v>
      </c>
    </row>
    <row r="19233" spans="1:6" ht="12.75">
      <c r="A19233" s="8">
        <v>43895.670289351852</v>
      </c>
      <c r="B19233" s="8" t="str">
        <f>HYPERLINK("https://twitter.com/kabarpolitik","@kabarpolitik")</f>
        <v>@kabarpolitik</v>
      </c>
      <c r="C19233" s="8" t="s">
        <v>7926</v>
      </c>
      <c r="D19233" s="8">
        <v>0</v>
      </c>
      <c r="E19233" s="8">
        <v>0</v>
      </c>
      <c r="F19233" s="8">
        <v>16804</v>
      </c>
    </row>
    <row r="19234" spans="1:6" ht="12.75">
      <c r="A19234" s="8">
        <v>43895.669733796298</v>
      </c>
      <c r="B19234" s="8" t="str">
        <f>HYPERLINK("https://twitter.com/mijn_fiets","@mijn_fiets")</f>
        <v>@mijn_fiets</v>
      </c>
      <c r="C19234" s="8" t="s">
        <v>1078</v>
      </c>
      <c r="D19234" s="8">
        <v>458</v>
      </c>
      <c r="E19234" s="8">
        <v>0</v>
      </c>
      <c r="F19234" s="8">
        <v>462</v>
      </c>
    </row>
    <row r="19235" spans="1:6" ht="12.75">
      <c r="A19235" s="8">
        <v>43895.669432870374</v>
      </c>
      <c r="B19235" s="8" t="str">
        <f>HYPERLINK("https://twitter.com/Spengaro","@Spengaro")</f>
        <v>@Spengaro</v>
      </c>
      <c r="C19235" s="8" t="s">
        <v>3285</v>
      </c>
      <c r="D19235" s="8">
        <v>161</v>
      </c>
      <c r="E19235" s="8">
        <v>0</v>
      </c>
      <c r="F19235" s="8">
        <v>131</v>
      </c>
    </row>
    <row r="19236" spans="1:6" ht="12.75">
      <c r="A19236" s="8">
        <v>43895.668912037036</v>
      </c>
      <c r="B19236" s="8" t="str">
        <f>HYPERLINK("https://twitter.com/Izul77816591","@Izul77816591")</f>
        <v>@Izul77816591</v>
      </c>
      <c r="C19236" s="8" t="s">
        <v>1078</v>
      </c>
      <c r="D19236" s="8">
        <v>458</v>
      </c>
      <c r="E19236" s="8">
        <v>0</v>
      </c>
      <c r="F19236" s="8">
        <v>0</v>
      </c>
    </row>
    <row r="19237" spans="1:6" ht="12.75">
      <c r="A19237" s="8">
        <v>43895.668553240743</v>
      </c>
      <c r="B19237" s="8" t="str">
        <f>HYPERLINK("https://twitter.com/WSugeni","@WSugeni")</f>
        <v>@WSugeni</v>
      </c>
      <c r="C19237" s="8" t="s">
        <v>7841</v>
      </c>
      <c r="D19237" s="8">
        <v>70</v>
      </c>
      <c r="E19237" s="8">
        <v>0</v>
      </c>
      <c r="F19237" s="8">
        <v>17</v>
      </c>
    </row>
    <row r="19238" spans="1:6" ht="12.75">
      <c r="A19238" s="8">
        <v>43895.668530092589</v>
      </c>
      <c r="B19238" s="8" t="str">
        <f>HYPERLINK("https://twitter.com/BillTemporo","@BillTemporo")</f>
        <v>@BillTemporo</v>
      </c>
      <c r="C19238" s="8" t="s">
        <v>323</v>
      </c>
      <c r="D19238" s="8">
        <v>0</v>
      </c>
      <c r="E19238" s="8">
        <v>0</v>
      </c>
      <c r="F19238" s="8">
        <v>11</v>
      </c>
    </row>
    <row r="19239" spans="1:6" ht="12.75">
      <c r="A19239" s="8">
        <v>43895.667546296296</v>
      </c>
      <c r="B19239" s="8" t="str">
        <f>HYPERLINK("https://twitter.com/BatamPos","@BatamPos")</f>
        <v>@BatamPos</v>
      </c>
      <c r="C19239" s="8" t="s">
        <v>7927</v>
      </c>
      <c r="D19239" s="8">
        <v>0</v>
      </c>
      <c r="E19239" s="8">
        <v>0</v>
      </c>
      <c r="F19239" s="8">
        <v>67431</v>
      </c>
    </row>
    <row r="19240" spans="1:6" ht="12.75">
      <c r="A19240" s="8">
        <v>43895.667395833334</v>
      </c>
      <c r="B19240" s="8" t="str">
        <f>HYPERLINK("https://twitter.com/AyudhiStella","@AyudhiStella")</f>
        <v>@AyudhiStella</v>
      </c>
      <c r="C19240" s="8" t="s">
        <v>7841</v>
      </c>
      <c r="D19240" s="8">
        <v>70</v>
      </c>
      <c r="E19240" s="8">
        <v>0</v>
      </c>
      <c r="F19240" s="8">
        <v>29</v>
      </c>
    </row>
    <row r="19241" spans="1:6" ht="12.75">
      <c r="A19241" s="8">
        <v>43895.667291666672</v>
      </c>
      <c r="B19241" s="8" t="str">
        <f>HYPERLINK("https://twitter.com/Satrio_yph","@Satrio_yph")</f>
        <v>@Satrio_yph</v>
      </c>
      <c r="C19241" s="8" t="s">
        <v>2199</v>
      </c>
      <c r="D19241" s="8">
        <v>9091</v>
      </c>
      <c r="E19241" s="8">
        <v>0</v>
      </c>
      <c r="F19241" s="8">
        <v>399</v>
      </c>
    </row>
    <row r="19242" spans="1:6" ht="12.75">
      <c r="A19242" s="8">
        <v>43895.667268518519</v>
      </c>
      <c r="B19242" s="8" t="str">
        <f>HYPERLINK("https://twitter.com/ryolandafit","@ryolandafit")</f>
        <v>@ryolandafit</v>
      </c>
      <c r="C19242" s="8" t="s">
        <v>7928</v>
      </c>
      <c r="D19242" s="8">
        <v>3</v>
      </c>
      <c r="E19242" s="8">
        <v>0</v>
      </c>
      <c r="F19242" s="8">
        <v>655</v>
      </c>
    </row>
    <row r="19243" spans="1:6" ht="12.75">
      <c r="A19243" s="8">
        <v>43895.667199074072</v>
      </c>
      <c r="B19243" s="8" t="str">
        <f>HYPERLINK("https://twitter.com/Heinz_Fallen","@Heinz_Fallen")</f>
        <v>@Heinz_Fallen</v>
      </c>
      <c r="C19243" s="8" t="s">
        <v>7245</v>
      </c>
      <c r="D19243" s="8">
        <v>47</v>
      </c>
      <c r="E19243" s="8">
        <v>0</v>
      </c>
      <c r="F19243" s="8">
        <v>1893</v>
      </c>
    </row>
    <row r="19244" spans="1:6" ht="12.75">
      <c r="A19244" s="8">
        <v>43895.666921296295</v>
      </c>
      <c r="B19244" s="8" t="str">
        <f>HYPERLINK("https://twitter.com/YInudin","@YInudin")</f>
        <v>@YInudin</v>
      </c>
      <c r="C19244" s="8" t="s">
        <v>7841</v>
      </c>
      <c r="D19244" s="8">
        <v>70</v>
      </c>
      <c r="E19244" s="8">
        <v>0</v>
      </c>
      <c r="F19244" s="8">
        <v>39</v>
      </c>
    </row>
    <row r="19245" spans="1:6" ht="12.75">
      <c r="A19245" s="8">
        <v>43895.666805555556</v>
      </c>
      <c r="B19245" s="8" t="str">
        <f>HYPERLINK("https://twitter.com/PerryDaBud1","@PerryDaBud1")</f>
        <v>@PerryDaBud1</v>
      </c>
      <c r="C19245" s="8" t="s">
        <v>7929</v>
      </c>
      <c r="D19245" s="8">
        <v>0</v>
      </c>
      <c r="E19245" s="8">
        <v>0</v>
      </c>
      <c r="F19245" s="8">
        <v>1</v>
      </c>
    </row>
    <row r="19246" spans="1:6" ht="12.75">
      <c r="A19246" s="8">
        <v>43895.666666666672</v>
      </c>
      <c r="B19246" s="8" t="str">
        <f>HYPERLINK("https://twitter.com/officialnova_id","@officialnova_id")</f>
        <v>@officialnova_id</v>
      </c>
      <c r="C19246" s="8" t="s">
        <v>7930</v>
      </c>
      <c r="D19246" s="8">
        <v>0</v>
      </c>
      <c r="E19246" s="8">
        <v>0</v>
      </c>
      <c r="F19246" s="8">
        <v>65499</v>
      </c>
    </row>
    <row r="19247" spans="1:6" ht="12.75">
      <c r="A19247" s="8">
        <v>43895.666585648149</v>
      </c>
      <c r="B19247" s="8" t="str">
        <f>HYPERLINK("https://twitter.com/SetengahWibu","@SetengahWibu")</f>
        <v>@SetengahWibu</v>
      </c>
      <c r="C19247" s="8" t="s">
        <v>7841</v>
      </c>
      <c r="D19247" s="8">
        <v>70</v>
      </c>
      <c r="E19247" s="8">
        <v>0</v>
      </c>
      <c r="F19247" s="8">
        <v>40</v>
      </c>
    </row>
    <row r="19248" spans="1:6" ht="12.75">
      <c r="A19248" s="8">
        <v>43895.666458333333</v>
      </c>
      <c r="B19248" s="8" t="str">
        <f>HYPERLINK("https://twitter.com/BryanHiskia","@BryanHiskia")</f>
        <v>@BryanHiskia</v>
      </c>
      <c r="C19248" s="8" t="s">
        <v>3132</v>
      </c>
      <c r="D19248" s="8">
        <v>41</v>
      </c>
      <c r="E19248" s="8">
        <v>0</v>
      </c>
      <c r="F19248" s="8">
        <v>27</v>
      </c>
    </row>
    <row r="19249" spans="1:6" ht="12.75">
      <c r="A19249" s="8">
        <v>43895.666388888887</v>
      </c>
      <c r="B19249" s="8" t="str">
        <f>HYPERLINK("https://twitter.com/KurniawatiMilli","@KurniawatiMilli")</f>
        <v>@KurniawatiMilli</v>
      </c>
      <c r="C19249" s="8" t="s">
        <v>7841</v>
      </c>
      <c r="D19249" s="8">
        <v>70</v>
      </c>
      <c r="E19249" s="8">
        <v>0</v>
      </c>
      <c r="F19249" s="8">
        <v>28</v>
      </c>
    </row>
    <row r="19250" spans="1:6" ht="12.75">
      <c r="A19250" s="8">
        <v>43895.666377314818</v>
      </c>
      <c r="B19250" s="8" t="str">
        <f>HYPERLINK("https://twitter.com/Mansuri_sadab","@Mansuri_sadab")</f>
        <v>@Mansuri_sadab</v>
      </c>
      <c r="C19250" s="8" t="s">
        <v>7931</v>
      </c>
      <c r="D19250" s="8">
        <v>0</v>
      </c>
      <c r="E19250" s="8">
        <v>0</v>
      </c>
      <c r="F19250" s="8">
        <v>478</v>
      </c>
    </row>
    <row r="19251" spans="1:6" ht="12.75">
      <c r="A19251" s="8">
        <v>43895.666261574079</v>
      </c>
      <c r="B19251" s="8" t="str">
        <f>HYPERLINK("https://twitter.com/Siswanto_Tjhin","@Siswanto_Tjhin")</f>
        <v>@Siswanto_Tjhin</v>
      </c>
      <c r="C19251" s="8" t="s">
        <v>1078</v>
      </c>
      <c r="D19251" s="8">
        <v>458</v>
      </c>
      <c r="E19251" s="8">
        <v>0</v>
      </c>
      <c r="F19251" s="8">
        <v>64</v>
      </c>
    </row>
    <row r="19252" spans="1:6" ht="12.75">
      <c r="A19252" s="8">
        <v>43895.66606481481</v>
      </c>
      <c r="B19252" s="8" t="str">
        <f>HYPERLINK("https://twitter.com/nabil_alsrr","@nabil_alsrr")</f>
        <v>@nabil_alsrr</v>
      </c>
      <c r="C19252" s="8" t="s">
        <v>1078</v>
      </c>
      <c r="D19252" s="8">
        <v>458</v>
      </c>
      <c r="E19252" s="8">
        <v>0</v>
      </c>
      <c r="F19252" s="8">
        <v>139</v>
      </c>
    </row>
    <row r="19253" spans="1:6" ht="12.75">
      <c r="A19253" s="8">
        <v>43895.666018518517</v>
      </c>
      <c r="B19253" s="8" t="str">
        <f>HYPERLINK("https://twitter.com/kompascom","@kompascom")</f>
        <v>@kompascom</v>
      </c>
      <c r="C19253" s="8" t="s">
        <v>7932</v>
      </c>
      <c r="D19253" s="8">
        <v>0</v>
      </c>
      <c r="E19253" s="8">
        <v>0</v>
      </c>
      <c r="F19253" s="8">
        <v>7529784</v>
      </c>
    </row>
    <row r="19254" spans="1:6" ht="12.75">
      <c r="A19254" s="8">
        <v>43895.665902777779</v>
      </c>
      <c r="B19254" s="8" t="str">
        <f>HYPERLINK("https://twitter.com/HendroP90921707","@HendroP90921707")</f>
        <v>@HendroP90921707</v>
      </c>
      <c r="C19254" s="8" t="s">
        <v>7933</v>
      </c>
      <c r="D19254" s="8">
        <v>0</v>
      </c>
      <c r="E19254" s="8">
        <v>2</v>
      </c>
      <c r="F19254" s="8">
        <v>2560</v>
      </c>
    </row>
    <row r="19255" spans="1:6" ht="12.75">
      <c r="A19255" s="8">
        <v>43895.665752314817</v>
      </c>
      <c r="B19255" s="8" t="str">
        <f>HYPERLINK("https://twitter.com/suemarsoni","@suemarsoni")</f>
        <v>@suemarsoni</v>
      </c>
      <c r="C19255" s="8" t="s">
        <v>7841</v>
      </c>
      <c r="D19255" s="8">
        <v>70</v>
      </c>
      <c r="E19255" s="8">
        <v>0</v>
      </c>
      <c r="F19255" s="8">
        <v>23</v>
      </c>
    </row>
    <row r="19256" spans="1:6" ht="12.75">
      <c r="A19256" s="8">
        <v>43895.66574074074</v>
      </c>
      <c r="B19256" s="8" t="str">
        <f t="shared" ref="B19256:B19257" si="285">HYPERLINK("https://twitter.com/ryolandafit","@ryolandafit")</f>
        <v>@ryolandafit</v>
      </c>
      <c r="C19256" s="8" t="s">
        <v>7934</v>
      </c>
      <c r="D19256" s="8">
        <v>2</v>
      </c>
      <c r="E19256" s="8">
        <v>0</v>
      </c>
      <c r="F19256" s="8">
        <v>655</v>
      </c>
    </row>
    <row r="19257" spans="1:6" ht="12.75">
      <c r="A19257" s="8">
        <v>43895.665717592594</v>
      </c>
      <c r="B19257" s="8" t="str">
        <f t="shared" si="285"/>
        <v>@ryolandafit</v>
      </c>
      <c r="C19257" s="8" t="s">
        <v>4178</v>
      </c>
      <c r="D19257" s="8">
        <v>2</v>
      </c>
      <c r="E19257" s="8">
        <v>0</v>
      </c>
      <c r="F19257" s="8">
        <v>655</v>
      </c>
    </row>
    <row r="19258" spans="1:6" ht="12.75">
      <c r="A19258" s="8">
        <v>43895.665474537032</v>
      </c>
      <c r="B19258" s="8" t="str">
        <f>HYPERLINK("https://twitter.com/hidupnanindah","@hidupnanindah")</f>
        <v>@hidupnanindah</v>
      </c>
      <c r="C19258" s="8" t="s">
        <v>7806</v>
      </c>
      <c r="D19258" s="8">
        <v>3</v>
      </c>
      <c r="E19258" s="8">
        <v>0</v>
      </c>
      <c r="F19258" s="8">
        <v>14967</v>
      </c>
    </row>
    <row r="19259" spans="1:6" ht="12.75">
      <c r="A19259" s="8">
        <v>43895.665474537032</v>
      </c>
      <c r="B19259" s="8" t="str">
        <f t="shared" ref="B19259:B19260" si="286">HYPERLINK("https://twitter.com/ryolandafit","@ryolandafit")</f>
        <v>@ryolandafit</v>
      </c>
      <c r="C19259" s="8" t="s">
        <v>7935</v>
      </c>
      <c r="D19259" s="8">
        <v>2</v>
      </c>
      <c r="E19259" s="8">
        <v>0</v>
      </c>
      <c r="F19259" s="8">
        <v>655</v>
      </c>
    </row>
    <row r="19260" spans="1:6" ht="12.75">
      <c r="A19260" s="8">
        <v>43895.665451388893</v>
      </c>
      <c r="B19260" s="8" t="str">
        <f t="shared" si="286"/>
        <v>@ryolandafit</v>
      </c>
      <c r="C19260" s="8" t="s">
        <v>7936</v>
      </c>
      <c r="D19260" s="8">
        <v>3</v>
      </c>
      <c r="E19260" s="8">
        <v>0</v>
      </c>
      <c r="F19260" s="8">
        <v>655</v>
      </c>
    </row>
    <row r="19261" spans="1:6" ht="12.75">
      <c r="A19261" s="8">
        <v>43895.665439814809</v>
      </c>
      <c r="B19261" s="8" t="str">
        <f>HYPERLINK("https://twitter.com/hidupnanindah","@hidupnanindah")</f>
        <v>@hidupnanindah</v>
      </c>
      <c r="C19261" s="8" t="s">
        <v>7937</v>
      </c>
      <c r="D19261" s="8">
        <v>1</v>
      </c>
      <c r="E19261" s="8">
        <v>0</v>
      </c>
      <c r="F19261" s="8">
        <v>14967</v>
      </c>
    </row>
    <row r="19262" spans="1:6" ht="12.75">
      <c r="A19262" s="8">
        <v>43895.665370370371</v>
      </c>
      <c r="B19262" s="8" t="str">
        <f t="shared" ref="B19262:B19264" si="287">HYPERLINK("https://twitter.com/ryolandafit","@ryolandafit")</f>
        <v>@ryolandafit</v>
      </c>
      <c r="C19262" s="8" t="s">
        <v>7938</v>
      </c>
      <c r="D19262" s="8">
        <v>3</v>
      </c>
      <c r="E19262" s="8">
        <v>0</v>
      </c>
      <c r="F19262" s="8">
        <v>655</v>
      </c>
    </row>
    <row r="19263" spans="1:6" ht="12.75">
      <c r="A19263" s="8">
        <v>43895.665335648147</v>
      </c>
      <c r="B19263" s="8" t="str">
        <f t="shared" si="287"/>
        <v>@ryolandafit</v>
      </c>
      <c r="C19263" s="8" t="s">
        <v>7939</v>
      </c>
      <c r="D19263" s="8">
        <v>3</v>
      </c>
      <c r="E19263" s="8">
        <v>0</v>
      </c>
      <c r="F19263" s="8">
        <v>655</v>
      </c>
    </row>
    <row r="19264" spans="1:6" ht="12.75">
      <c r="A19264" s="8">
        <v>43895.665289351848</v>
      </c>
      <c r="B19264" s="8" t="str">
        <f t="shared" si="287"/>
        <v>@ryolandafit</v>
      </c>
      <c r="C19264" s="8" t="s">
        <v>7940</v>
      </c>
      <c r="D19264" s="8">
        <v>3</v>
      </c>
      <c r="E19264" s="8">
        <v>0</v>
      </c>
      <c r="F19264" s="8">
        <v>655</v>
      </c>
    </row>
    <row r="19265" spans="1:6" ht="12.75">
      <c r="A19265" s="8">
        <v>43895.665046296301</v>
      </c>
      <c r="B19265" s="8" t="str">
        <f>HYPERLINK("https://twitter.com/UlarLaut77","@UlarLaut77")</f>
        <v>@UlarLaut77</v>
      </c>
      <c r="C19265" s="8" t="s">
        <v>7941</v>
      </c>
      <c r="D19265" s="8">
        <v>1</v>
      </c>
      <c r="E19265" s="8">
        <v>0</v>
      </c>
      <c r="F19265" s="8">
        <v>69</v>
      </c>
    </row>
    <row r="19266" spans="1:6" ht="12.75">
      <c r="A19266" s="8">
        <v>43895.664884259255</v>
      </c>
      <c r="B19266" s="8" t="str">
        <f t="shared" ref="B19266:B19268" si="288">HYPERLINK("https://twitter.com/ryolandafit","@ryolandafit")</f>
        <v>@ryolandafit</v>
      </c>
      <c r="C19266" s="8" t="s">
        <v>7299</v>
      </c>
      <c r="D19266" s="8">
        <v>3</v>
      </c>
      <c r="E19266" s="8">
        <v>0</v>
      </c>
      <c r="F19266" s="8">
        <v>655</v>
      </c>
    </row>
    <row r="19267" spans="1:6" ht="12.75">
      <c r="A19267" s="8">
        <v>43895.664849537032</v>
      </c>
      <c r="B19267" s="8" t="str">
        <f t="shared" si="288"/>
        <v>@ryolandafit</v>
      </c>
      <c r="C19267" s="8" t="s">
        <v>7942</v>
      </c>
      <c r="D19267" s="8">
        <v>3</v>
      </c>
      <c r="E19267" s="8">
        <v>0</v>
      </c>
      <c r="F19267" s="8">
        <v>655</v>
      </c>
    </row>
    <row r="19268" spans="1:6" ht="12.75">
      <c r="A19268" s="8">
        <v>43895.66479166667</v>
      </c>
      <c r="B19268" s="8" t="str">
        <f t="shared" si="288"/>
        <v>@ryolandafit</v>
      </c>
      <c r="C19268" s="8" t="s">
        <v>7832</v>
      </c>
      <c r="D19268" s="8">
        <v>2</v>
      </c>
      <c r="E19268" s="8">
        <v>0</v>
      </c>
      <c r="F19268" s="8">
        <v>655</v>
      </c>
    </row>
    <row r="19269" spans="1:6" ht="12.75">
      <c r="A19269" s="8">
        <v>43895.664594907408</v>
      </c>
      <c r="B19269" s="8" t="str">
        <f>HYPERLINK("https://twitter.com/vianmdbsa","@vianmdbsa")</f>
        <v>@vianmdbsa</v>
      </c>
      <c r="C19269" s="8" t="s">
        <v>7943</v>
      </c>
      <c r="D19269" s="8">
        <v>0</v>
      </c>
      <c r="E19269" s="8">
        <v>0</v>
      </c>
      <c r="F19269" s="8">
        <v>6</v>
      </c>
    </row>
    <row r="19270" spans="1:6" ht="12.75">
      <c r="A19270" s="8">
        <v>43895.664537037039</v>
      </c>
      <c r="B19270" s="8" t="str">
        <f>HYPERLINK("https://twitter.com/BekasiBawaslu","@BekasiBawaslu")</f>
        <v>@BekasiBawaslu</v>
      </c>
      <c r="C19270" s="8" t="s">
        <v>6219</v>
      </c>
      <c r="D19270" s="8">
        <v>1</v>
      </c>
      <c r="E19270" s="8">
        <v>0</v>
      </c>
      <c r="F19270" s="8">
        <v>121</v>
      </c>
    </row>
    <row r="19271" spans="1:6" ht="12.75">
      <c r="A19271" s="8">
        <v>43895.664270833338</v>
      </c>
      <c r="B19271" s="8" t="str">
        <f>HYPERLINK("https://twitter.com/kompascom","@kompascom")</f>
        <v>@kompascom</v>
      </c>
      <c r="C19271" s="8" t="s">
        <v>7944</v>
      </c>
      <c r="D19271" s="8">
        <v>1</v>
      </c>
      <c r="E19271" s="8">
        <v>6</v>
      </c>
      <c r="F19271" s="8">
        <v>7529784</v>
      </c>
    </row>
    <row r="19272" spans="1:6" ht="12.75">
      <c r="A19272" s="8">
        <v>43895.664201388892</v>
      </c>
      <c r="B19272" s="8" t="str">
        <f>HYPERLINK("https://twitter.com/joeyjack04","@joeyjack04")</f>
        <v>@joeyjack04</v>
      </c>
      <c r="C19272" s="8" t="s">
        <v>1078</v>
      </c>
      <c r="D19272" s="8">
        <v>458</v>
      </c>
      <c r="E19272" s="8">
        <v>0</v>
      </c>
      <c r="F19272" s="8">
        <v>595</v>
      </c>
    </row>
    <row r="19273" spans="1:6" ht="12.75">
      <c r="A19273" s="8">
        <v>43895.663888888885</v>
      </c>
      <c r="B19273" s="8" t="str">
        <f>HYPERLINK("https://twitter.com/sissyfebrina","@sissyfebrina")</f>
        <v>@sissyfebrina</v>
      </c>
      <c r="C19273" s="8" t="s">
        <v>7945</v>
      </c>
      <c r="D19273" s="8">
        <v>0</v>
      </c>
      <c r="E19273" s="8">
        <v>1</v>
      </c>
      <c r="F19273" s="8">
        <v>9</v>
      </c>
    </row>
    <row r="19274" spans="1:6" ht="12.75">
      <c r="A19274" s="8">
        <v>43895.663680555561</v>
      </c>
      <c r="B19274" s="8" t="str">
        <f>HYPERLINK("https://twitter.com/ryolandafit","@ryolandafit")</f>
        <v>@ryolandafit</v>
      </c>
      <c r="C19274" s="8" t="s">
        <v>7891</v>
      </c>
      <c r="D19274" s="8">
        <v>1</v>
      </c>
      <c r="E19274" s="8">
        <v>0</v>
      </c>
      <c r="F19274" s="8">
        <v>655</v>
      </c>
    </row>
    <row r="19275" spans="1:6" ht="12.75">
      <c r="A19275" s="8">
        <v>43895.663668981477</v>
      </c>
      <c r="B19275" s="8" t="str">
        <f>HYPERLINK("https://twitter.com/rawkbastard","@rawkbastard")</f>
        <v>@rawkbastard</v>
      </c>
      <c r="C19275" s="8" t="s">
        <v>7245</v>
      </c>
      <c r="D19275" s="8">
        <v>47</v>
      </c>
      <c r="E19275" s="8">
        <v>0</v>
      </c>
      <c r="F19275" s="8">
        <v>243</v>
      </c>
    </row>
    <row r="19276" spans="1:6" ht="12.75">
      <c r="A19276" s="8">
        <v>43895.663645833338</v>
      </c>
      <c r="B19276" s="8" t="str">
        <f>HYPERLINK("https://twitter.com/ninaevayanti","@ninaevayanti")</f>
        <v>@ninaevayanti</v>
      </c>
      <c r="C19276" s="8" t="s">
        <v>3132</v>
      </c>
      <c r="D19276" s="8">
        <v>41</v>
      </c>
      <c r="E19276" s="8">
        <v>0</v>
      </c>
      <c r="F19276" s="8">
        <v>329</v>
      </c>
    </row>
    <row r="19277" spans="1:6" ht="12.75">
      <c r="A19277" s="8">
        <v>43895.663252314815</v>
      </c>
      <c r="B19277" s="8" t="str">
        <f>HYPERLINK("https://twitter.com/umaremania87","@umaremania87")</f>
        <v>@umaremania87</v>
      </c>
      <c r="C19277" s="8" t="s">
        <v>7242</v>
      </c>
      <c r="D19277" s="8">
        <v>79</v>
      </c>
      <c r="E19277" s="8">
        <v>0</v>
      </c>
      <c r="F19277" s="8">
        <v>319</v>
      </c>
    </row>
    <row r="19278" spans="1:6" ht="12.75">
      <c r="A19278" s="8">
        <v>43895.663194444445</v>
      </c>
      <c r="B19278" s="8" t="str">
        <f>HYPERLINK("https://twitter.com/cilliasiregar","@cilliasiregar")</f>
        <v>@cilliasiregar</v>
      </c>
      <c r="C19278" s="8" t="s">
        <v>7830</v>
      </c>
      <c r="D19278" s="8">
        <v>0</v>
      </c>
      <c r="E19278" s="8">
        <v>0</v>
      </c>
      <c r="F19278" s="8">
        <v>7</v>
      </c>
    </row>
    <row r="19279" spans="1:6" ht="12.75">
      <c r="A19279" s="8">
        <v>43895.663194444445</v>
      </c>
      <c r="B19279" s="8" t="str">
        <f>HYPERLINK("https://twitter.com/Widiyeah_","@Widiyeah_")</f>
        <v>@Widiyeah_</v>
      </c>
      <c r="C19279" s="8" t="s">
        <v>7946</v>
      </c>
      <c r="D19279" s="8">
        <v>0</v>
      </c>
      <c r="E19279" s="8">
        <v>0</v>
      </c>
      <c r="F19279" s="8">
        <v>37</v>
      </c>
    </row>
    <row r="19280" spans="1:6" ht="12.75">
      <c r="A19280" s="8">
        <v>43895.662395833337</v>
      </c>
      <c r="B19280" s="8" t="str">
        <f>HYPERLINK("https://twitter.com/tap_mz","@tap_mz")</f>
        <v>@tap_mz</v>
      </c>
      <c r="C19280" s="8" t="s">
        <v>1078</v>
      </c>
      <c r="D19280" s="8">
        <v>458</v>
      </c>
      <c r="E19280" s="8">
        <v>0</v>
      </c>
      <c r="F19280" s="8">
        <v>887</v>
      </c>
    </row>
    <row r="19281" spans="1:6" ht="12.75">
      <c r="A19281" s="8">
        <v>43895.662303240737</v>
      </c>
      <c r="B19281" s="8" t="str">
        <f>HYPERLINK("https://twitter.com/NaradhiptaJogja","@NaradhiptaJogja")</f>
        <v>@NaradhiptaJogja</v>
      </c>
      <c r="C19281" s="8" t="s">
        <v>7742</v>
      </c>
      <c r="D19281" s="8">
        <v>22</v>
      </c>
      <c r="E19281" s="8">
        <v>0</v>
      </c>
      <c r="F19281" s="8">
        <v>3204</v>
      </c>
    </row>
    <row r="19282" spans="1:6" ht="12.75">
      <c r="A19282" s="8">
        <v>43895.662199074075</v>
      </c>
      <c r="B19282" s="8" t="str">
        <f>HYPERLINK("https://twitter.com/ryolandafit","@ryolandafit")</f>
        <v>@ryolandafit</v>
      </c>
      <c r="C19282" s="8" t="s">
        <v>7947</v>
      </c>
      <c r="D19282" s="8">
        <v>2</v>
      </c>
      <c r="E19282" s="8">
        <v>0</v>
      </c>
      <c r="F19282" s="8">
        <v>655</v>
      </c>
    </row>
    <row r="19283" spans="1:6" ht="12.75">
      <c r="A19283" s="8">
        <v>43895.661504629628</v>
      </c>
      <c r="B19283" s="8" t="str">
        <f>HYPERLINK("https://twitter.com/TukangKuliBang1","@TukangKuliBang1")</f>
        <v>@TukangKuliBang1</v>
      </c>
      <c r="C19283" s="8" t="s">
        <v>2962</v>
      </c>
      <c r="D19283" s="8">
        <v>5677</v>
      </c>
      <c r="E19283" s="8">
        <v>0</v>
      </c>
      <c r="F19283" s="8">
        <v>30</v>
      </c>
    </row>
    <row r="19284" spans="1:6" ht="12.75">
      <c r="A19284" s="8">
        <v>43895.661435185189</v>
      </c>
      <c r="B19284" s="8" t="str">
        <f>HYPERLINK("https://twitter.com/ryolandafit","@ryolandafit")</f>
        <v>@ryolandafit</v>
      </c>
      <c r="C19284" s="8" t="s">
        <v>7948</v>
      </c>
      <c r="D19284" s="8">
        <v>2</v>
      </c>
      <c r="E19284" s="8">
        <v>0</v>
      </c>
      <c r="F19284" s="8">
        <v>655</v>
      </c>
    </row>
    <row r="19285" spans="1:6" ht="12.75">
      <c r="A19285" s="8">
        <v>43895.661400462966</v>
      </c>
      <c r="B19285" s="8" t="str">
        <f>HYPERLINK("https://twitter.com/kbrimoskow","@kbrimoskow")</f>
        <v>@kbrimoskow</v>
      </c>
      <c r="C19285" s="8" t="s">
        <v>3132</v>
      </c>
      <c r="D19285" s="8">
        <v>41</v>
      </c>
      <c r="E19285" s="8">
        <v>0</v>
      </c>
      <c r="F19285" s="8">
        <v>1045</v>
      </c>
    </row>
    <row r="19286" spans="1:6" ht="12.75">
      <c r="A19286" s="8">
        <v>43895.66134259259</v>
      </c>
      <c r="B19286" s="8" t="str">
        <f>HYPERLINK("https://twitter.com/oak_math_lee_91","@oak_math_lee_91")</f>
        <v>@oak_math_lee_91</v>
      </c>
      <c r="C19286" s="8" t="s">
        <v>1078</v>
      </c>
      <c r="D19286" s="8">
        <v>458</v>
      </c>
      <c r="E19286" s="8">
        <v>0</v>
      </c>
      <c r="F19286" s="8">
        <v>121</v>
      </c>
    </row>
    <row r="19287" spans="1:6" ht="12.75">
      <c r="A19287" s="8">
        <v>43895.660798611112</v>
      </c>
      <c r="B19287" s="8" t="str">
        <f>HYPERLINK("https://twitter.com/noobmaster99","@noobmaster99")</f>
        <v>@noobmaster99</v>
      </c>
      <c r="C19287" s="8" t="s">
        <v>7949</v>
      </c>
      <c r="D19287" s="8">
        <v>0</v>
      </c>
      <c r="E19287" s="8">
        <v>0</v>
      </c>
      <c r="F19287" s="8">
        <v>21</v>
      </c>
    </row>
    <row r="19288" spans="1:6" ht="12.75">
      <c r="A19288" s="8">
        <v>43895.660590277781</v>
      </c>
      <c r="B19288" s="8" t="str">
        <f>HYPERLINK("https://twitter.com/urehheru","@urehheru")</f>
        <v>@urehheru</v>
      </c>
      <c r="C19288" s="8" t="s">
        <v>7245</v>
      </c>
      <c r="D19288" s="8">
        <v>47</v>
      </c>
      <c r="E19288" s="8">
        <v>0</v>
      </c>
      <c r="F19288" s="8">
        <v>433</v>
      </c>
    </row>
    <row r="19289" spans="1:6" ht="12.75">
      <c r="A19289" s="8">
        <v>43895.660173611112</v>
      </c>
      <c r="B19289" s="8" t="str">
        <f>HYPERLINK("https://twitter.com/arief_faizal","@arief_faizal")</f>
        <v>@arief_faizal</v>
      </c>
      <c r="C19289" s="8" t="s">
        <v>7950</v>
      </c>
      <c r="D19289" s="8">
        <v>0</v>
      </c>
      <c r="E19289" s="8">
        <v>0</v>
      </c>
      <c r="F19289" s="8">
        <v>293</v>
      </c>
    </row>
    <row r="19290" spans="1:6" ht="12.75">
      <c r="A19290" s="8">
        <v>43895.659884259258</v>
      </c>
      <c r="B19290" s="8" t="str">
        <f>HYPERLINK("https://twitter.com/LahAkuKenapa","@LahAkuKenapa")</f>
        <v>@LahAkuKenapa</v>
      </c>
      <c r="C19290" s="8" t="s">
        <v>7841</v>
      </c>
      <c r="D19290" s="8">
        <v>70</v>
      </c>
      <c r="E19290" s="8">
        <v>0</v>
      </c>
      <c r="F19290" s="8">
        <v>4666</v>
      </c>
    </row>
    <row r="19291" spans="1:6" ht="12.75">
      <c r="A19291" s="8">
        <v>43895.659780092596</v>
      </c>
      <c r="B19291" s="8" t="str">
        <f>HYPERLINK("https://twitter.com/kompascom","@kompascom")</f>
        <v>@kompascom</v>
      </c>
      <c r="C19291" s="8" t="s">
        <v>7951</v>
      </c>
      <c r="D19291" s="8">
        <v>1</v>
      </c>
      <c r="E19291" s="8">
        <v>6</v>
      </c>
      <c r="F19291" s="8">
        <v>7529784</v>
      </c>
    </row>
    <row r="19292" spans="1:6" ht="12.75">
      <c r="A19292" s="8">
        <v>43895.659618055557</v>
      </c>
      <c r="B19292" s="8" t="str">
        <f>HYPERLINK("https://twitter.com/AbolichdZ","@AbolichdZ")</f>
        <v>@AbolichdZ</v>
      </c>
      <c r="C19292" s="8" t="s">
        <v>7567</v>
      </c>
      <c r="D19292" s="8">
        <v>6</v>
      </c>
      <c r="E19292" s="8">
        <v>0</v>
      </c>
      <c r="F19292" s="8">
        <v>849</v>
      </c>
    </row>
    <row r="19293" spans="1:6" ht="12.75">
      <c r="A19293" s="8">
        <v>43895.659351851849</v>
      </c>
      <c r="B19293" s="8" t="str">
        <f>HYPERLINK("https://twitter.com/robert_samosir3","@robert_samosir3")</f>
        <v>@robert_samosir3</v>
      </c>
      <c r="C19293" s="8" t="s">
        <v>1078</v>
      </c>
      <c r="D19293" s="8">
        <v>458</v>
      </c>
      <c r="E19293" s="8">
        <v>0</v>
      </c>
      <c r="F19293" s="8">
        <v>528</v>
      </c>
    </row>
    <row r="19294" spans="1:6" ht="12.75">
      <c r="A19294" s="8">
        <v>43895.659317129626</v>
      </c>
      <c r="B19294" s="8" t="str">
        <f>HYPERLINK("https://twitter.com/RenoFredi","@RenoFredi")</f>
        <v>@RenoFredi</v>
      </c>
      <c r="C19294" s="8" t="s">
        <v>7952</v>
      </c>
      <c r="D19294" s="8">
        <v>0</v>
      </c>
      <c r="E19294" s="8">
        <v>0</v>
      </c>
      <c r="F19294" s="8">
        <v>0</v>
      </c>
    </row>
    <row r="19295" spans="1:6" ht="12.75">
      <c r="A19295" s="8">
        <v>43895.658657407403</v>
      </c>
      <c r="B19295" s="8" t="str">
        <f>HYPERLINK("https://twitter.com/Kelapa78550483","@Kelapa78550483")</f>
        <v>@Kelapa78550483</v>
      </c>
      <c r="C19295" s="8" t="s">
        <v>1078</v>
      </c>
      <c r="D19295" s="8">
        <v>458</v>
      </c>
      <c r="E19295" s="8">
        <v>0</v>
      </c>
      <c r="F19295" s="8">
        <v>88</v>
      </c>
    </row>
    <row r="19296" spans="1:6" ht="12.75">
      <c r="A19296" s="8">
        <v>43895.658090277779</v>
      </c>
      <c r="B19296" s="8" t="str">
        <f>HYPERLINK("https://twitter.com/dwitri","@dwitri")</f>
        <v>@dwitri</v>
      </c>
      <c r="C19296" s="8" t="s">
        <v>3132</v>
      </c>
      <c r="D19296" s="8">
        <v>41</v>
      </c>
      <c r="E19296" s="8">
        <v>0</v>
      </c>
      <c r="F19296" s="8">
        <v>317</v>
      </c>
    </row>
    <row r="19297" spans="1:6" ht="12.75">
      <c r="A19297" s="8">
        <v>43895.657662037032</v>
      </c>
      <c r="B19297" s="8" t="str">
        <f>HYPERLINK("https://twitter.com/DukeCondet","@DukeCondet")</f>
        <v>@DukeCondet</v>
      </c>
      <c r="C19297" s="8" t="s">
        <v>7953</v>
      </c>
      <c r="D19297" s="8">
        <v>0</v>
      </c>
      <c r="E19297" s="8">
        <v>9</v>
      </c>
      <c r="F19297" s="8">
        <v>14074</v>
      </c>
    </row>
    <row r="19298" spans="1:6" ht="12.75">
      <c r="A19298" s="8">
        <v>43895.657638888893</v>
      </c>
      <c r="B19298" s="8" t="str">
        <f>HYPERLINK("https://twitter.com/ryolandafit","@ryolandafit")</f>
        <v>@ryolandafit</v>
      </c>
      <c r="C19298" s="8" t="s">
        <v>7954</v>
      </c>
      <c r="D19298" s="8">
        <v>4</v>
      </c>
      <c r="E19298" s="8">
        <v>0</v>
      </c>
      <c r="F19298" s="8">
        <v>655</v>
      </c>
    </row>
    <row r="19299" spans="1:6" ht="12.75">
      <c r="A19299" s="8">
        <v>43895.65760416667</v>
      </c>
      <c r="B19299" s="8" t="str">
        <f>HYPERLINK("https://twitter.com/DukeCondet","@DukeCondet")</f>
        <v>@DukeCondet</v>
      </c>
      <c r="C19299" s="8" t="s">
        <v>7955</v>
      </c>
      <c r="D19299" s="8">
        <v>0</v>
      </c>
      <c r="E19299" s="8">
        <v>3</v>
      </c>
      <c r="F19299" s="8">
        <v>14074</v>
      </c>
    </row>
    <row r="19300" spans="1:6" ht="12.75">
      <c r="A19300" s="8">
        <v>43895.657141203701</v>
      </c>
      <c r="B19300" s="8" t="str">
        <f>HYPERLINK("https://twitter.com/OfficialiNewsTV","@OfficialiNewsTV")</f>
        <v>@OfficialiNewsTV</v>
      </c>
      <c r="C19300" s="8" t="s">
        <v>7956</v>
      </c>
      <c r="D19300" s="8">
        <v>1</v>
      </c>
      <c r="E19300" s="8">
        <v>0</v>
      </c>
      <c r="F19300" s="8">
        <v>96567</v>
      </c>
    </row>
    <row r="19301" spans="1:6" ht="12.75">
      <c r="A19301" s="8">
        <v>43895.656898148147</v>
      </c>
      <c r="B19301" s="8" t="str">
        <f>HYPERLINK("https://twitter.com/tribunnews","@tribunnews")</f>
        <v>@tribunnews</v>
      </c>
      <c r="C19301" s="8" t="s">
        <v>7957</v>
      </c>
      <c r="D19301" s="8">
        <v>0</v>
      </c>
      <c r="E19301" s="8">
        <v>2</v>
      </c>
      <c r="F19301" s="8">
        <v>889047</v>
      </c>
    </row>
    <row r="19302" spans="1:6" ht="12.75">
      <c r="A19302" s="8">
        <v>43895.656180555554</v>
      </c>
      <c r="B19302" s="8" t="str">
        <f>HYPERLINK("https://twitter.com/Poposindoe","@Poposindoe")</f>
        <v>@Poposindoe</v>
      </c>
      <c r="C19302" s="8" t="s">
        <v>7958</v>
      </c>
      <c r="D19302" s="8">
        <v>0</v>
      </c>
      <c r="E19302" s="8">
        <v>0</v>
      </c>
      <c r="F19302" s="8">
        <v>603</v>
      </c>
    </row>
    <row r="19303" spans="1:6" ht="12.75">
      <c r="A19303" s="8">
        <v>43895.656018518523</v>
      </c>
      <c r="B19303" s="8" t="str">
        <f>HYPERLINK("https://twitter.com/eko_alaya","@eko_alaya")</f>
        <v>@eko_alaya</v>
      </c>
      <c r="C19303" s="8" t="s">
        <v>1078</v>
      </c>
      <c r="D19303" s="8">
        <v>458</v>
      </c>
      <c r="E19303" s="8">
        <v>0</v>
      </c>
      <c r="F19303" s="8">
        <v>817</v>
      </c>
    </row>
    <row r="19304" spans="1:6" ht="12.75">
      <c r="A19304" s="8">
        <v>43895.655706018515</v>
      </c>
      <c r="B19304" s="8" t="str">
        <f>HYPERLINK("https://twitter.com/annies_78","@annies_78")</f>
        <v>@annies_78</v>
      </c>
      <c r="C19304" s="8" t="s">
        <v>5732</v>
      </c>
      <c r="D19304" s="8">
        <v>2202</v>
      </c>
      <c r="E19304" s="8">
        <v>0</v>
      </c>
      <c r="F19304" s="8">
        <v>715</v>
      </c>
    </row>
    <row r="19305" spans="1:6" ht="12.75">
      <c r="A19305" s="8">
        <v>43895.654965277776</v>
      </c>
      <c r="B19305" s="8" t="str">
        <f>HYPERLINK("https://twitter.com/IkanAsapBara","@IkanAsapBara")</f>
        <v>@IkanAsapBara</v>
      </c>
      <c r="C19305" s="8" t="s">
        <v>1078</v>
      </c>
      <c r="D19305" s="8">
        <v>458</v>
      </c>
      <c r="E19305" s="8">
        <v>0</v>
      </c>
      <c r="F19305" s="8">
        <v>176</v>
      </c>
    </row>
    <row r="19306" spans="1:6" ht="12.75">
      <c r="A19306" s="8">
        <v>43895.654849537037</v>
      </c>
      <c r="B19306" s="8" t="str">
        <f>HYPERLINK("https://twitter.com/cilliasiregar","@cilliasiregar")</f>
        <v>@cilliasiregar</v>
      </c>
      <c r="C19306" s="8" t="s">
        <v>7948</v>
      </c>
      <c r="D19306" s="8">
        <v>2</v>
      </c>
      <c r="E19306" s="8">
        <v>0</v>
      </c>
      <c r="F19306" s="8">
        <v>7</v>
      </c>
    </row>
    <row r="19307" spans="1:6" ht="12.75">
      <c r="A19307" s="8">
        <v>43895.654733796298</v>
      </c>
      <c r="B19307" s="8" t="str">
        <f>HYPERLINK("https://twitter.com/hanafi_nasri","@hanafi_nasri")</f>
        <v>@hanafi_nasri</v>
      </c>
      <c r="C19307" s="8" t="s">
        <v>7959</v>
      </c>
      <c r="D19307" s="8">
        <v>0</v>
      </c>
      <c r="E19307" s="8">
        <v>0</v>
      </c>
      <c r="F19307" s="8">
        <v>198</v>
      </c>
    </row>
    <row r="19308" spans="1:6" ht="12.75">
      <c r="A19308" s="8">
        <v>43895.654687499999</v>
      </c>
      <c r="B19308" s="8" t="str">
        <f>HYPERLINK("https://twitter.com/ranggapoejangga","@ranggapoejangga")</f>
        <v>@ranggapoejangga</v>
      </c>
      <c r="C19308" s="8" t="s">
        <v>1078</v>
      </c>
      <c r="D19308" s="8">
        <v>458</v>
      </c>
      <c r="E19308" s="8">
        <v>0</v>
      </c>
      <c r="F19308" s="8">
        <v>289</v>
      </c>
    </row>
    <row r="19309" spans="1:6" ht="12.75">
      <c r="A19309" s="8">
        <v>43895.654606481483</v>
      </c>
      <c r="B19309" s="8" t="str">
        <f>HYPERLINK("https://twitter.com/CakMugik","@CakMugik")</f>
        <v>@CakMugik</v>
      </c>
      <c r="C19309" s="8" t="s">
        <v>2979</v>
      </c>
      <c r="D19309" s="8">
        <v>226</v>
      </c>
      <c r="E19309" s="8">
        <v>0</v>
      </c>
      <c r="F19309" s="8">
        <v>62</v>
      </c>
    </row>
    <row r="19310" spans="1:6" ht="12.75">
      <c r="A19310" s="8">
        <v>43895.654583333337</v>
      </c>
      <c r="B19310" s="8" t="str">
        <f>HYPERLINK("https://twitter.com/eotari50_","@eotari50_")</f>
        <v>@eotari50_</v>
      </c>
      <c r="C19310" s="8" t="s">
        <v>7960</v>
      </c>
      <c r="D19310" s="8">
        <v>0</v>
      </c>
      <c r="E19310" s="8">
        <v>0</v>
      </c>
      <c r="F19310" s="8">
        <v>92</v>
      </c>
    </row>
    <row r="19311" spans="1:6" ht="12.75">
      <c r="A19311" s="8">
        <v>43895.654351851852</v>
      </c>
      <c r="B19311" s="8" t="str">
        <f>HYPERLINK("https://twitter.com/cilliasiregar","@cilliasiregar")</f>
        <v>@cilliasiregar</v>
      </c>
      <c r="C19311" s="8" t="s">
        <v>7961</v>
      </c>
      <c r="D19311" s="8">
        <v>1</v>
      </c>
      <c r="E19311" s="8">
        <v>0</v>
      </c>
      <c r="F19311" s="8">
        <v>7</v>
      </c>
    </row>
    <row r="19312" spans="1:6" ht="12.75">
      <c r="A19312" s="8">
        <v>43895.653703703705</v>
      </c>
      <c r="B19312" s="8" t="str">
        <f>HYPERLINK("https://twitter.com/thearenata11","@thearenata11")</f>
        <v>@thearenata11</v>
      </c>
      <c r="C19312" s="8" t="s">
        <v>3132</v>
      </c>
      <c r="D19312" s="8">
        <v>41</v>
      </c>
      <c r="E19312" s="8">
        <v>0</v>
      </c>
      <c r="F19312" s="8">
        <v>339</v>
      </c>
    </row>
    <row r="19313" spans="1:6" ht="12.75">
      <c r="A19313" s="8">
        <v>43895.653171296297</v>
      </c>
      <c r="B19313" s="8" t="str">
        <f>HYPERLINK("https://twitter.com/Robi180918","@Robi180918")</f>
        <v>@Robi180918</v>
      </c>
      <c r="C19313" s="8" t="s">
        <v>7962</v>
      </c>
      <c r="D19313" s="8">
        <v>0</v>
      </c>
      <c r="E19313" s="8">
        <v>0</v>
      </c>
      <c r="F19313" s="8">
        <v>15</v>
      </c>
    </row>
    <row r="19314" spans="1:6" ht="12.75">
      <c r="A19314" s="8">
        <v>43895.65315972222</v>
      </c>
      <c r="B19314" s="8" t="str">
        <f>HYPERLINK("https://twitter.com/uniporndigidaw_","@uniporndigidaw_")</f>
        <v>@uniporndigidaw_</v>
      </c>
      <c r="C19314" s="8" t="s">
        <v>1078</v>
      </c>
      <c r="D19314" s="8">
        <v>458</v>
      </c>
      <c r="E19314" s="8">
        <v>0</v>
      </c>
      <c r="F19314" s="8">
        <v>154</v>
      </c>
    </row>
    <row r="19315" spans="1:6" ht="12.75">
      <c r="A19315" s="8">
        <v>43895.652777777781</v>
      </c>
      <c r="B19315" s="8" t="str">
        <f>HYPERLINK("https://twitter.com/Baktinegeri01","@Baktinegeri01")</f>
        <v>@Baktinegeri01</v>
      </c>
      <c r="C19315" s="8" t="s">
        <v>7245</v>
      </c>
      <c r="D19315" s="8">
        <v>47</v>
      </c>
      <c r="E19315" s="8">
        <v>0</v>
      </c>
      <c r="F19315" s="8">
        <v>845</v>
      </c>
    </row>
    <row r="19316" spans="1:6" ht="12.75">
      <c r="A19316" s="8">
        <v>43895.652314814812</v>
      </c>
      <c r="B19316" s="8" t="str">
        <f>HYPERLINK("https://twitter.com/SaveIndonesia24","@SaveIndonesia24")</f>
        <v>@SaveIndonesia24</v>
      </c>
      <c r="C19316" s="8" t="s">
        <v>4990</v>
      </c>
      <c r="D19316" s="8">
        <v>457</v>
      </c>
      <c r="E19316" s="8">
        <v>0</v>
      </c>
      <c r="F19316" s="8">
        <v>306</v>
      </c>
    </row>
    <row r="19317" spans="1:6" ht="12.75">
      <c r="A19317" s="8">
        <v>43895.651886574073</v>
      </c>
      <c r="B19317" s="8" t="str">
        <f>HYPERLINK("https://twitter.com/bogipratomo","@bogipratomo")</f>
        <v>@bogipratomo</v>
      </c>
      <c r="C19317" s="8" t="s">
        <v>7329</v>
      </c>
      <c r="D19317" s="8">
        <v>4</v>
      </c>
      <c r="E19317" s="8">
        <v>0</v>
      </c>
      <c r="F19317" s="8">
        <v>296</v>
      </c>
    </row>
    <row r="19318" spans="1:6" ht="12.75">
      <c r="A19318" s="8">
        <v>43895.651828703703</v>
      </c>
      <c r="B19318" s="8" t="str">
        <f>HYPERLINK("https://twitter.com/Baktinegeri01","@Baktinegeri01")</f>
        <v>@Baktinegeri01</v>
      </c>
      <c r="C19318" s="8" t="s">
        <v>1078</v>
      </c>
      <c r="D19318" s="8">
        <v>458</v>
      </c>
      <c r="E19318" s="8">
        <v>0</v>
      </c>
      <c r="F19318" s="8">
        <v>845</v>
      </c>
    </row>
    <row r="19319" spans="1:6" ht="12.75">
      <c r="A19319" s="8">
        <v>43895.651689814811</v>
      </c>
      <c r="B19319" s="8" t="str">
        <f>HYPERLINK("https://twitter.com/KBRI_Islamabad","@KBRI_Islamabad")</f>
        <v>@KBRI_Islamabad</v>
      </c>
      <c r="C19319" s="8" t="s">
        <v>3132</v>
      </c>
      <c r="D19319" s="8">
        <v>41</v>
      </c>
      <c r="E19319" s="8">
        <v>0</v>
      </c>
      <c r="F19319" s="8">
        <v>846</v>
      </c>
    </row>
    <row r="19320" spans="1:6" ht="12.75">
      <c r="A19320" s="8">
        <v>43895.651458333334</v>
      </c>
      <c r="B19320" s="8" t="str">
        <f>HYPERLINK("https://twitter.com/MakaraLatif","@MakaraLatif")</f>
        <v>@MakaraLatif</v>
      </c>
      <c r="C19320" s="8" t="s">
        <v>7841</v>
      </c>
      <c r="D19320" s="8">
        <v>70</v>
      </c>
      <c r="E19320" s="8">
        <v>0</v>
      </c>
      <c r="F19320" s="8">
        <v>135</v>
      </c>
    </row>
    <row r="19321" spans="1:6" ht="12.75">
      <c r="A19321" s="8">
        <v>43895.651423611111</v>
      </c>
      <c r="B19321" s="8" t="str">
        <f>HYPERLINK("https://twitter.com/republikaonline","@republikaonline")</f>
        <v>@republikaonline</v>
      </c>
      <c r="C19321" s="8" t="s">
        <v>7963</v>
      </c>
      <c r="D19321" s="8">
        <v>0</v>
      </c>
      <c r="E19321" s="8">
        <v>0</v>
      </c>
      <c r="F19321" s="8">
        <v>1219728</v>
      </c>
    </row>
    <row r="19322" spans="1:6" ht="12.75">
      <c r="A19322" s="8">
        <v>43895.650405092594</v>
      </c>
      <c r="B19322" s="8" t="str">
        <f>HYPERLINK("https://twitter.com/pdi_bandung","@pdi_bandung")</f>
        <v>@pdi_bandung</v>
      </c>
      <c r="C19322" s="8" t="s">
        <v>7964</v>
      </c>
      <c r="D19322" s="8">
        <v>0</v>
      </c>
      <c r="E19322" s="8">
        <v>0</v>
      </c>
      <c r="F19322" s="8">
        <v>595</v>
      </c>
    </row>
    <row r="19323" spans="1:6" ht="12.75">
      <c r="A19323" s="8">
        <v>43895.650138888886</v>
      </c>
      <c r="B19323" s="8" t="str">
        <f>HYPERLINK("https://twitter.com/BukanPuJanggA97","@BukanPuJanggA97")</f>
        <v>@BukanPuJanggA97</v>
      </c>
      <c r="C19323" s="8" t="s">
        <v>1078</v>
      </c>
      <c r="D19323" s="8">
        <v>458</v>
      </c>
      <c r="E19323" s="8">
        <v>0</v>
      </c>
      <c r="F19323" s="8">
        <v>318</v>
      </c>
    </row>
    <row r="19324" spans="1:6" ht="12.75">
      <c r="A19324" s="8">
        <v>43895.631712962961</v>
      </c>
      <c r="B19324" s="8" t="str">
        <f>HYPERLINK("https://twitter.com/mudha_satriya","@mudha_satriya")</f>
        <v>@mudha_satriya</v>
      </c>
      <c r="C19324" s="8" t="s">
        <v>7928</v>
      </c>
      <c r="D19324" s="8">
        <v>2</v>
      </c>
      <c r="E19324" s="8">
        <v>0</v>
      </c>
      <c r="F19324" s="8">
        <v>1879</v>
      </c>
    </row>
    <row r="19325" spans="1:6" ht="12.75">
      <c r="A19325" s="8">
        <v>43895.631666666668</v>
      </c>
      <c r="B19325" s="8" t="str">
        <f>HYPERLINK("https://twitter.com/suboyhand","@suboyhand")</f>
        <v>@suboyhand</v>
      </c>
      <c r="C19325" s="8" t="s">
        <v>7245</v>
      </c>
      <c r="D19325" s="8">
        <v>42</v>
      </c>
      <c r="E19325" s="8">
        <v>0</v>
      </c>
      <c r="F19325" s="8">
        <v>7</v>
      </c>
    </row>
    <row r="19326" spans="1:6" ht="12.75">
      <c r="A19326" s="8">
        <v>43895.631655092591</v>
      </c>
      <c r="B19326" s="8" t="str">
        <f>HYPERLINK("https://twitter.com/GerryS","@GerryS")</f>
        <v>@GerryS</v>
      </c>
      <c r="C19326" s="8" t="s">
        <v>7965</v>
      </c>
      <c r="D19326" s="8">
        <v>0</v>
      </c>
      <c r="E19326" s="8">
        <v>0</v>
      </c>
      <c r="F19326" s="8">
        <v>6441</v>
      </c>
    </row>
    <row r="19327" spans="1:6" ht="12.75">
      <c r="A19327" s="8">
        <v>43895.63108796296</v>
      </c>
      <c r="B19327" s="8" t="str">
        <f>HYPERLINK("https://twitter.com/MasKoesKoes1","@MasKoesKoes1")</f>
        <v>@MasKoesKoes1</v>
      </c>
      <c r="C19327" s="8" t="s">
        <v>7954</v>
      </c>
      <c r="D19327" s="8">
        <v>2</v>
      </c>
      <c r="E19327" s="8">
        <v>0</v>
      </c>
      <c r="F19327" s="8">
        <v>0</v>
      </c>
    </row>
    <row r="19328" spans="1:6" ht="12.75">
      <c r="A19328" s="8">
        <v>43895.630671296298</v>
      </c>
      <c r="B19328" s="8" t="str">
        <f>HYPERLINK("https://twitter.com/mudha_satriya","@mudha_satriya")</f>
        <v>@mudha_satriya</v>
      </c>
      <c r="C19328" s="8" t="s">
        <v>4178</v>
      </c>
      <c r="D19328" s="8">
        <v>1</v>
      </c>
      <c r="E19328" s="8">
        <v>0</v>
      </c>
      <c r="F19328" s="8">
        <v>1879</v>
      </c>
    </row>
    <row r="19329" spans="1:6" ht="12.75">
      <c r="A19329" s="8">
        <v>43895.630601851852</v>
      </c>
      <c r="B19329" s="8" t="str">
        <f>HYPERLINK("https://twitter.com/MasKoesKoes1","@MasKoesKoes1")</f>
        <v>@MasKoesKoes1</v>
      </c>
      <c r="C19329" s="8" t="s">
        <v>7742</v>
      </c>
      <c r="D19329" s="8">
        <v>20</v>
      </c>
      <c r="E19329" s="8">
        <v>0</v>
      </c>
      <c r="F19329" s="8">
        <v>0</v>
      </c>
    </row>
    <row r="19330" spans="1:6" ht="12.75">
      <c r="A19330" s="8">
        <v>43895.630590277782</v>
      </c>
      <c r="B19330" s="8" t="str">
        <f>HYPERLINK("https://twitter.com/AlisonCandi","@AlisonCandi")</f>
        <v>@AlisonCandi</v>
      </c>
      <c r="C19330" s="8" t="s">
        <v>7966</v>
      </c>
      <c r="D19330" s="8">
        <v>4</v>
      </c>
      <c r="E19330" s="8">
        <v>0</v>
      </c>
      <c r="F19330" s="8">
        <v>44</v>
      </c>
    </row>
    <row r="19331" spans="1:6" ht="12.75">
      <c r="A19331" s="8">
        <v>43895.630532407406</v>
      </c>
      <c r="B19331" s="8" t="str">
        <f>HYPERLINK("https://twitter.com/BramantyoMurti","@BramantyoMurti")</f>
        <v>@BramantyoMurti</v>
      </c>
      <c r="C19331" s="8" t="s">
        <v>7841</v>
      </c>
      <c r="D19331" s="8">
        <v>41</v>
      </c>
      <c r="E19331" s="8">
        <v>0</v>
      </c>
      <c r="F19331" s="8">
        <v>56</v>
      </c>
    </row>
    <row r="19332" spans="1:6" ht="12.75">
      <c r="A19332" s="8">
        <v>43895.630532407406</v>
      </c>
      <c r="B19332" s="8" t="str">
        <f>HYPERLINK("https://twitter.com/ChristdioPutra","@ChristdioPutra")</f>
        <v>@ChristdioPutra</v>
      </c>
      <c r="C19332" s="8" t="s">
        <v>7967</v>
      </c>
      <c r="D19332" s="8">
        <v>0</v>
      </c>
      <c r="E19332" s="8">
        <v>1</v>
      </c>
      <c r="F19332" s="8">
        <v>13</v>
      </c>
    </row>
    <row r="19333" spans="1:6" ht="12.75">
      <c r="A19333" s="8">
        <v>43895.630439814813</v>
      </c>
      <c r="B19333" s="8" t="str">
        <f>HYPERLINK("https://twitter.com/Furfuroll","@Furfuroll")</f>
        <v>@Furfuroll</v>
      </c>
      <c r="C19333" s="8" t="s">
        <v>7575</v>
      </c>
      <c r="D19333" s="8">
        <v>57</v>
      </c>
      <c r="E19333" s="8">
        <v>0</v>
      </c>
      <c r="F19333" s="8">
        <v>406</v>
      </c>
    </row>
    <row r="19334" spans="1:6" ht="12.75">
      <c r="A19334" s="8">
        <v>43895.630370370374</v>
      </c>
      <c r="B19334" s="8" t="str">
        <f t="shared" ref="B19334:B19335" si="289">HYPERLINK("https://twitter.com/mudha_satriya","@mudha_satriya")</f>
        <v>@mudha_satriya</v>
      </c>
      <c r="C19334" s="8" t="s">
        <v>7968</v>
      </c>
      <c r="D19334" s="8">
        <v>1</v>
      </c>
      <c r="E19334" s="8">
        <v>0</v>
      </c>
      <c r="F19334" s="8">
        <v>1879</v>
      </c>
    </row>
    <row r="19335" spans="1:6" ht="12.75">
      <c r="A19335" s="8">
        <v>43895.630266203705</v>
      </c>
      <c r="B19335" s="8" t="str">
        <f t="shared" si="289"/>
        <v>@mudha_satriya</v>
      </c>
      <c r="C19335" s="8" t="s">
        <v>7936</v>
      </c>
      <c r="D19335" s="8">
        <v>2</v>
      </c>
      <c r="E19335" s="8">
        <v>0</v>
      </c>
      <c r="F19335" s="8">
        <v>1879</v>
      </c>
    </row>
    <row r="19336" spans="1:6" ht="12.75">
      <c r="A19336" s="8">
        <v>43895.629895833335</v>
      </c>
      <c r="B19336" s="8" t="str">
        <f>HYPERLINK("https://twitter.com/MasKris88","@MasKris88")</f>
        <v>@MasKris88</v>
      </c>
      <c r="C19336" s="8" t="s">
        <v>7969</v>
      </c>
      <c r="D19336" s="8">
        <v>78</v>
      </c>
      <c r="E19336" s="8">
        <v>0</v>
      </c>
      <c r="F19336" s="8">
        <v>75</v>
      </c>
    </row>
    <row r="19337" spans="1:6" ht="12.75">
      <c r="A19337" s="8">
        <v>43895.629224537042</v>
      </c>
      <c r="B19337" s="8" t="str">
        <f>HYPERLINK("https://twitter.com/mudha_satriya","@mudha_satriya")</f>
        <v>@mudha_satriya</v>
      </c>
      <c r="C19337" s="8" t="s">
        <v>7934</v>
      </c>
      <c r="D19337" s="8">
        <v>1</v>
      </c>
      <c r="E19337" s="8">
        <v>0</v>
      </c>
      <c r="F19337" s="8">
        <v>1879</v>
      </c>
    </row>
    <row r="19338" spans="1:6" ht="12.75">
      <c r="A19338" s="8">
        <v>43895.628912037035</v>
      </c>
      <c r="B19338" s="8" t="str">
        <f>HYPERLINK("https://twitter.com/strategi_id","@strategi_id")</f>
        <v>@strategi_id</v>
      </c>
      <c r="C19338" s="8" t="s">
        <v>7970</v>
      </c>
      <c r="D19338" s="8">
        <v>0</v>
      </c>
      <c r="E19338" s="8">
        <v>0</v>
      </c>
      <c r="F19338" s="8">
        <v>81</v>
      </c>
    </row>
    <row r="19339" spans="1:6" ht="12.75">
      <c r="A19339" s="8">
        <v>43895.628750000003</v>
      </c>
      <c r="B19339" s="8" t="str">
        <f>HYPERLINK("https://twitter.com/nttktf","@nttktf")</f>
        <v>@nttktf</v>
      </c>
      <c r="C19339" s="8" t="s">
        <v>7841</v>
      </c>
      <c r="D19339" s="8">
        <v>41</v>
      </c>
      <c r="E19339" s="8">
        <v>0</v>
      </c>
      <c r="F19339" s="8">
        <v>18</v>
      </c>
    </row>
    <row r="19340" spans="1:6" ht="12.75">
      <c r="A19340" s="8">
        <v>43895.628738425927</v>
      </c>
      <c r="B19340" s="8" t="str">
        <f>HYPERLINK("https://twitter.com/galuhajeng97","@galuhajeng97")</f>
        <v>@galuhajeng97</v>
      </c>
      <c r="C19340" s="8" t="s">
        <v>7841</v>
      </c>
      <c r="D19340" s="8">
        <v>41</v>
      </c>
      <c r="E19340" s="8">
        <v>0</v>
      </c>
      <c r="F19340" s="8">
        <v>65</v>
      </c>
    </row>
    <row r="19341" spans="1:6" ht="12.75">
      <c r="A19341" s="8">
        <v>43895.628530092596</v>
      </c>
      <c r="B19341" s="8" t="str">
        <f>HYPERLINK("https://twitter.com/sitikomariah11","@sitikomariah11")</f>
        <v>@sitikomariah11</v>
      </c>
      <c r="C19341" s="8" t="s">
        <v>7954</v>
      </c>
      <c r="D19341" s="8">
        <v>2</v>
      </c>
      <c r="E19341" s="8">
        <v>0</v>
      </c>
      <c r="F19341" s="8">
        <v>286</v>
      </c>
    </row>
    <row r="19342" spans="1:6" ht="12.75">
      <c r="A19342" s="8">
        <v>43895.628344907411</v>
      </c>
      <c r="B19342" s="8" t="str">
        <f>HYPERLINK("https://twitter.com/andridsaid","@andridsaid")</f>
        <v>@andridsaid</v>
      </c>
      <c r="C19342" s="8" t="s">
        <v>3132</v>
      </c>
      <c r="D19342" s="8">
        <v>20</v>
      </c>
      <c r="E19342" s="8">
        <v>0</v>
      </c>
      <c r="F19342" s="8">
        <v>342</v>
      </c>
    </row>
    <row r="19343" spans="1:6" ht="12.75">
      <c r="A19343" s="8">
        <v>43895.628240740742</v>
      </c>
      <c r="B19343" s="8" t="str">
        <f>HYPERLINK("https://twitter.com/tvOneNews","@tvOneNews")</f>
        <v>@tvOneNews</v>
      </c>
      <c r="C19343" s="8" t="s">
        <v>7971</v>
      </c>
      <c r="D19343" s="8">
        <v>2</v>
      </c>
      <c r="E19343" s="8">
        <v>4</v>
      </c>
      <c r="F19343" s="8">
        <v>8728658</v>
      </c>
    </row>
    <row r="19344" spans="1:6" ht="12.75">
      <c r="A19344" s="8">
        <v>43895.628194444449</v>
      </c>
      <c r="B19344" s="8" t="str">
        <f>HYPERLINK("https://twitter.com/didienAZHAR","@didienAZHAR")</f>
        <v>@didienAZHAR</v>
      </c>
      <c r="C19344" s="8" t="s">
        <v>7972</v>
      </c>
      <c r="D19344" s="8">
        <v>0</v>
      </c>
      <c r="E19344" s="8">
        <v>0</v>
      </c>
      <c r="F19344" s="8">
        <v>22624</v>
      </c>
    </row>
    <row r="19345" spans="1:6" ht="12.75">
      <c r="A19345" s="8">
        <v>43895.628182870365</v>
      </c>
      <c r="B19345" s="8" t="str">
        <f>HYPERLINK("https://twitter.com/Bileriosnpr","@Bileriosnpr")</f>
        <v>@Bileriosnpr</v>
      </c>
      <c r="C19345" s="8" t="s">
        <v>7939</v>
      </c>
      <c r="D19345" s="8">
        <v>1</v>
      </c>
      <c r="E19345" s="8">
        <v>0</v>
      </c>
      <c r="F19345" s="8">
        <v>440</v>
      </c>
    </row>
    <row r="19346" spans="1:6" ht="12.75">
      <c r="A19346" s="8">
        <v>43895.628159722226</v>
      </c>
      <c r="B19346" s="8" t="str">
        <f>HYPERLINK("https://twitter.com/UncleRain2","@UncleRain2")</f>
        <v>@UncleRain2</v>
      </c>
      <c r="C19346" s="8" t="s">
        <v>7573</v>
      </c>
      <c r="D19346" s="8">
        <v>31</v>
      </c>
      <c r="E19346" s="8">
        <v>0</v>
      </c>
      <c r="F19346" s="8">
        <v>680</v>
      </c>
    </row>
    <row r="19347" spans="1:6" ht="12.75">
      <c r="A19347" s="8">
        <v>43895.628159722226</v>
      </c>
      <c r="B19347" s="8" t="str">
        <f>HYPERLINK("https://twitter.com/memes_mesti","@memes_mesti")</f>
        <v>@memes_mesti</v>
      </c>
      <c r="C19347" s="8" t="s">
        <v>7242</v>
      </c>
      <c r="D19347" s="8">
        <v>73</v>
      </c>
      <c r="E19347" s="8">
        <v>0</v>
      </c>
      <c r="F19347" s="8">
        <v>199</v>
      </c>
    </row>
    <row r="19348" spans="1:6" ht="12.75">
      <c r="A19348" s="8">
        <v>43895.627951388888</v>
      </c>
      <c r="B19348" s="8" t="str">
        <f>HYPERLINK("https://twitter.com/brother_morrow","@brother_morrow")</f>
        <v>@brother_morrow</v>
      </c>
      <c r="C19348" s="8" t="s">
        <v>7473</v>
      </c>
      <c r="D19348" s="8">
        <v>355</v>
      </c>
      <c r="E19348" s="8">
        <v>0</v>
      </c>
      <c r="F19348" s="8">
        <v>386</v>
      </c>
    </row>
    <row r="19349" spans="1:6" ht="12.75">
      <c r="A19349" s="8">
        <v>43895.627870370372</v>
      </c>
      <c r="B19349" s="8" t="str">
        <f>HYPERLINK("https://twitter.com/mudha_satriya","@mudha_satriya")</f>
        <v>@mudha_satriya</v>
      </c>
      <c r="C19349" s="8" t="s">
        <v>7947</v>
      </c>
      <c r="D19349" s="8">
        <v>1</v>
      </c>
      <c r="E19349" s="8">
        <v>0</v>
      </c>
      <c r="F19349" s="8">
        <v>1879</v>
      </c>
    </row>
    <row r="19350" spans="1:6" ht="12.75">
      <c r="A19350" s="8">
        <v>43895.627650462964</v>
      </c>
      <c r="B19350" s="8" t="str">
        <f>HYPERLINK("https://twitter.com/WarunaDwipa","@WarunaDwipa")</f>
        <v>@WarunaDwipa</v>
      </c>
      <c r="C19350" s="8" t="s">
        <v>1078</v>
      </c>
      <c r="D19350" s="8">
        <v>419</v>
      </c>
      <c r="E19350" s="8">
        <v>0</v>
      </c>
      <c r="F19350" s="8">
        <v>1034</v>
      </c>
    </row>
    <row r="19351" spans="1:6" ht="12.75">
      <c r="A19351" s="8">
        <v>43895.627638888887</v>
      </c>
      <c r="B19351" s="8" t="str">
        <f>HYPERLINK("https://twitter.com/mudha_satriya","@mudha_satriya")</f>
        <v>@mudha_satriya</v>
      </c>
      <c r="C19351" s="8" t="s">
        <v>7938</v>
      </c>
      <c r="D19351" s="8">
        <v>2</v>
      </c>
      <c r="E19351" s="8">
        <v>0</v>
      </c>
      <c r="F19351" s="8">
        <v>1879</v>
      </c>
    </row>
    <row r="19352" spans="1:6" ht="12.75">
      <c r="A19352" s="8">
        <v>43895.627627314811</v>
      </c>
      <c r="B19352" s="8" t="str">
        <f>HYPERLINK("https://twitter.com/republikaonline","@republikaonline")</f>
        <v>@republikaonline</v>
      </c>
      <c r="C19352" s="8" t="s">
        <v>7973</v>
      </c>
      <c r="D19352" s="8">
        <v>0</v>
      </c>
      <c r="E19352" s="8">
        <v>1</v>
      </c>
      <c r="F19352" s="8">
        <v>1219690</v>
      </c>
    </row>
    <row r="19353" spans="1:6" ht="12.75">
      <c r="A19353" s="8">
        <v>43895.627245370371</v>
      </c>
      <c r="B19353" s="8" t="str">
        <f>HYPERLINK("https://twitter.com/Permata_Intan08","@Permata_Intan08")</f>
        <v>@Permata_Intan08</v>
      </c>
      <c r="C19353" s="8" t="s">
        <v>7841</v>
      </c>
      <c r="D19353" s="8">
        <v>41</v>
      </c>
      <c r="E19353" s="8">
        <v>0</v>
      </c>
      <c r="F19353" s="8">
        <v>165</v>
      </c>
    </row>
    <row r="19354" spans="1:6" ht="12.75">
      <c r="A19354" s="8">
        <v>43895.62704861111</v>
      </c>
      <c r="B19354" s="8" t="str">
        <f>HYPERLINK("https://twitter.com/tananda23","@tananda23")</f>
        <v>@tananda23</v>
      </c>
      <c r="C19354" s="8" t="s">
        <v>7974</v>
      </c>
      <c r="D19354" s="8">
        <v>0</v>
      </c>
      <c r="E19354" s="8">
        <v>0</v>
      </c>
      <c r="F19354" s="8">
        <v>173</v>
      </c>
    </row>
    <row r="19355" spans="1:6" ht="12.75">
      <c r="A19355" s="8">
        <v>43895.62700231481</v>
      </c>
      <c r="B19355" s="8" t="str">
        <f>HYPERLINK("https://twitter.com/gvigaagw_","@gvigaagw_")</f>
        <v>@gvigaagw_</v>
      </c>
      <c r="C19355" s="8" t="s">
        <v>7742</v>
      </c>
      <c r="D19355" s="8">
        <v>20</v>
      </c>
      <c r="E19355" s="8">
        <v>0</v>
      </c>
      <c r="F19355" s="8">
        <v>10</v>
      </c>
    </row>
    <row r="19356" spans="1:6" ht="12.75">
      <c r="A19356" s="8">
        <v>43895.626828703702</v>
      </c>
      <c r="B19356" s="8" t="str">
        <f>HYPERLINK("https://twitter.com/mudha_satriya","@mudha_satriya")</f>
        <v>@mudha_satriya</v>
      </c>
      <c r="C19356" s="8" t="s">
        <v>7940</v>
      </c>
      <c r="D19356" s="8">
        <v>2</v>
      </c>
      <c r="E19356" s="8">
        <v>0</v>
      </c>
      <c r="F19356" s="8">
        <v>1879</v>
      </c>
    </row>
    <row r="19357" spans="1:6" ht="12.75">
      <c r="A19357" s="8">
        <v>43895.626689814817</v>
      </c>
      <c r="B19357" s="8" t="str">
        <f>HYPERLINK("https://twitter.com/BillTemporo","@BillTemporo")</f>
        <v>@BillTemporo</v>
      </c>
      <c r="C19357" s="8" t="s">
        <v>384</v>
      </c>
      <c r="D19357" s="8">
        <v>0</v>
      </c>
      <c r="E19357" s="8">
        <v>0</v>
      </c>
      <c r="F19357" s="8">
        <v>11</v>
      </c>
    </row>
    <row r="19358" spans="1:6" ht="12.75">
      <c r="A19358" s="8">
        <v>43895.62667824074</v>
      </c>
      <c r="B19358" s="8" t="str">
        <f>HYPERLINK("https://twitter.com/SasiRetno","@SasiRetno")</f>
        <v>@SasiRetno</v>
      </c>
      <c r="C19358" s="8" t="s">
        <v>7841</v>
      </c>
      <c r="D19358" s="8">
        <v>41</v>
      </c>
      <c r="E19358" s="8">
        <v>0</v>
      </c>
      <c r="F19358" s="8">
        <v>63</v>
      </c>
    </row>
    <row r="19359" spans="1:6" ht="12.75">
      <c r="A19359" s="8">
        <v>43895.626655092594</v>
      </c>
      <c r="B19359" s="8" t="str">
        <f>HYPERLINK("https://twitter.com/kopassos","@kopassos")</f>
        <v>@kopassos</v>
      </c>
      <c r="C19359" s="8" t="s">
        <v>7975</v>
      </c>
      <c r="D19359" s="8">
        <v>7</v>
      </c>
      <c r="E19359" s="8">
        <v>0</v>
      </c>
      <c r="F19359" s="8">
        <v>1721</v>
      </c>
    </row>
    <row r="19360" spans="1:6" ht="12.75">
      <c r="A19360" s="8">
        <v>43895.626550925925</v>
      </c>
      <c r="B19360" s="8" t="str">
        <f>HYPERLINK("https://twitter.com/suminah_lee","@suminah_lee")</f>
        <v>@suminah_lee</v>
      </c>
      <c r="C19360" s="8" t="s">
        <v>1078</v>
      </c>
      <c r="D19360" s="8">
        <v>419</v>
      </c>
      <c r="E19360" s="8">
        <v>0</v>
      </c>
      <c r="F19360" s="8">
        <v>57</v>
      </c>
    </row>
    <row r="19361" spans="1:6" ht="12.75">
      <c r="A19361" s="8">
        <v>43895.626284722224</v>
      </c>
      <c r="B19361" s="8" t="str">
        <f>HYPERLINK("https://twitter.com/HopeDk001","@HopeDk001")</f>
        <v>@HopeDk001</v>
      </c>
      <c r="C19361" s="8" t="s">
        <v>7976</v>
      </c>
      <c r="D19361" s="8">
        <v>0</v>
      </c>
      <c r="E19361" s="8">
        <v>0</v>
      </c>
      <c r="F19361" s="8">
        <v>11</v>
      </c>
    </row>
    <row r="19362" spans="1:6" ht="12.75">
      <c r="A19362" s="8">
        <v>43895.62599537037</v>
      </c>
      <c r="B19362" s="8" t="str">
        <f>HYPERLINK("https://twitter.com/NewbeeRW","@NewbeeRW")</f>
        <v>@NewbeeRW</v>
      </c>
      <c r="C19362" s="8" t="s">
        <v>7774</v>
      </c>
      <c r="D19362" s="8">
        <v>1</v>
      </c>
      <c r="E19362" s="8">
        <v>0</v>
      </c>
      <c r="F19362" s="8">
        <v>745</v>
      </c>
    </row>
    <row r="19363" spans="1:6" ht="12.75">
      <c r="A19363" s="8">
        <v>43895.625983796301</v>
      </c>
      <c r="B19363" s="8" t="str">
        <f>HYPERLINK("https://twitter.com/RasaNgaji","@RasaNgaji")</f>
        <v>@RasaNgaji</v>
      </c>
      <c r="C19363" s="8" t="s">
        <v>7841</v>
      </c>
      <c r="D19363" s="8">
        <v>41</v>
      </c>
      <c r="E19363" s="8">
        <v>0</v>
      </c>
      <c r="F19363" s="8">
        <v>366</v>
      </c>
    </row>
    <row r="19364" spans="1:6" ht="12.75">
      <c r="A19364" s="8">
        <v>43895.625902777778</v>
      </c>
      <c r="B19364" s="8" t="str">
        <f>HYPERLINK("https://twitter.com/Budihar21525608","@Budihar21525608")</f>
        <v>@Budihar21525608</v>
      </c>
      <c r="C19364" s="8" t="s">
        <v>7977</v>
      </c>
      <c r="D19364" s="8">
        <v>1</v>
      </c>
      <c r="E19364" s="8">
        <v>0</v>
      </c>
      <c r="F19364" s="8">
        <v>6307</v>
      </c>
    </row>
    <row r="19365" spans="1:6" ht="12.75">
      <c r="A19365" s="8">
        <v>43895.625844907408</v>
      </c>
      <c r="B19365" s="8" t="str">
        <f>HYPERLINK("https://twitter.com/Metro_TV","@Metro_TV")</f>
        <v>@Metro_TV</v>
      </c>
      <c r="C19365" s="8" t="s">
        <v>7978</v>
      </c>
      <c r="D19365" s="8">
        <v>1</v>
      </c>
      <c r="E19365" s="8">
        <v>1</v>
      </c>
      <c r="F19365" s="8">
        <v>10517371</v>
      </c>
    </row>
    <row r="19366" spans="1:6" ht="12.75">
      <c r="A19366" s="8">
        <v>43895.625798611116</v>
      </c>
      <c r="B19366" s="8" t="str">
        <f>HYPERLINK("https://twitter.com/niasalam","@niasalam")</f>
        <v>@niasalam</v>
      </c>
      <c r="C19366" s="8" t="s">
        <v>3132</v>
      </c>
      <c r="D19366" s="8">
        <v>20</v>
      </c>
      <c r="E19366" s="8">
        <v>0</v>
      </c>
      <c r="F19366" s="8">
        <v>204</v>
      </c>
    </row>
    <row r="19367" spans="1:6" ht="12.75">
      <c r="A19367" s="8">
        <v>43895.625578703708</v>
      </c>
      <c r="B19367" s="8" t="str">
        <f>HYPERLINK("https://twitter.com/sopansantun55","@sopansantun55")</f>
        <v>@sopansantun55</v>
      </c>
      <c r="C19367" s="8" t="s">
        <v>7979</v>
      </c>
      <c r="D19367" s="8">
        <v>0</v>
      </c>
      <c r="E19367" s="8">
        <v>0</v>
      </c>
      <c r="F19367" s="8">
        <v>545</v>
      </c>
    </row>
    <row r="19368" spans="1:6" ht="12.75">
      <c r="A19368" s="8">
        <v>43895.625555555554</v>
      </c>
      <c r="B19368" s="8" t="str">
        <f>HYPERLINK("https://twitter.com/mudha_satriya","@mudha_satriya")</f>
        <v>@mudha_satriya</v>
      </c>
      <c r="C19368" s="8" t="s">
        <v>7935</v>
      </c>
      <c r="D19368" s="8">
        <v>1</v>
      </c>
      <c r="E19368" s="8">
        <v>0</v>
      </c>
      <c r="F19368" s="8">
        <v>1879</v>
      </c>
    </row>
    <row r="19369" spans="1:6" ht="12.75">
      <c r="A19369" s="8">
        <v>43895.625300925924</v>
      </c>
      <c r="B19369" s="8" t="str">
        <f>HYPERLINK("https://twitter.com/ETNewsIndonesia","@ETNewsIndonesia")</f>
        <v>@ETNewsIndonesia</v>
      </c>
      <c r="C19369" s="8" t="s">
        <v>7980</v>
      </c>
      <c r="D19369" s="8">
        <v>0</v>
      </c>
      <c r="E19369" s="8">
        <v>0</v>
      </c>
      <c r="F19369" s="8">
        <v>201</v>
      </c>
    </row>
    <row r="19370" spans="1:6" ht="12.75">
      <c r="A19370" s="8">
        <v>43895.625277777777</v>
      </c>
      <c r="B19370" s="8" t="str">
        <f>HYPERLINK("https://twitter.com/SoniMsi07","@SoniMsi07")</f>
        <v>@SoniMsi07</v>
      </c>
      <c r="C19370" s="8" t="s">
        <v>7862</v>
      </c>
      <c r="D19370" s="8">
        <v>36</v>
      </c>
      <c r="E19370" s="8">
        <v>0</v>
      </c>
      <c r="F19370" s="8">
        <v>261</v>
      </c>
    </row>
    <row r="19371" spans="1:6" ht="12.75">
      <c r="A19371" s="8">
        <v>43895.624907407408</v>
      </c>
      <c r="B19371" s="8" t="str">
        <f>HYPERLINK("https://twitter.com/GudangUyah13","@GudangUyah13")</f>
        <v>@GudangUyah13</v>
      </c>
      <c r="C19371" s="8" t="s">
        <v>7841</v>
      </c>
      <c r="D19371" s="8">
        <v>41</v>
      </c>
      <c r="E19371" s="8">
        <v>0</v>
      </c>
      <c r="F19371" s="8">
        <v>106</v>
      </c>
    </row>
    <row r="19372" spans="1:6" ht="12.75">
      <c r="A19372" s="8">
        <v>43895.624884259261</v>
      </c>
      <c r="B19372" s="8" t="str">
        <f>HYPERLINK("https://twitter.com/sorban_kiyai","@sorban_kiyai")</f>
        <v>@sorban_kiyai</v>
      </c>
      <c r="C19372" s="8" t="s">
        <v>7841</v>
      </c>
      <c r="D19372" s="8">
        <v>41</v>
      </c>
      <c r="E19372" s="8">
        <v>0</v>
      </c>
      <c r="F19372" s="8">
        <v>143</v>
      </c>
    </row>
    <row r="19373" spans="1:6" ht="12.75">
      <c r="A19373" s="8">
        <v>43895.624826388885</v>
      </c>
      <c r="B19373" s="8" t="str">
        <f>HYPERLINK("https://twitter.com/harimvrty","@harimvrty")</f>
        <v>@harimvrty</v>
      </c>
      <c r="C19373" s="8" t="s">
        <v>7981</v>
      </c>
      <c r="D19373" s="8">
        <v>0</v>
      </c>
      <c r="E19373" s="8">
        <v>0</v>
      </c>
      <c r="F19373" s="8">
        <v>64</v>
      </c>
    </row>
    <row r="19374" spans="1:6" ht="12.75">
      <c r="A19374" s="8">
        <v>43895.624652777777</v>
      </c>
      <c r="B19374" s="8" t="str">
        <f>HYPERLINK("https://twitter.com/DeviaGayatri","@DeviaGayatri")</f>
        <v>@DeviaGayatri</v>
      </c>
      <c r="C19374" s="8" t="s">
        <v>7841</v>
      </c>
      <c r="D19374" s="8">
        <v>41</v>
      </c>
      <c r="E19374" s="8">
        <v>0</v>
      </c>
      <c r="F19374" s="8">
        <v>104</v>
      </c>
    </row>
    <row r="19375" spans="1:6" ht="12.75">
      <c r="A19375" s="8">
        <v>43895.624409722222</v>
      </c>
      <c r="B19375" s="8" t="str">
        <f>HYPERLINK("https://twitter.com/AmandaKirana16","@AmandaKirana16")</f>
        <v>@AmandaKirana16</v>
      </c>
      <c r="C19375" s="8" t="s">
        <v>7841</v>
      </c>
      <c r="D19375" s="8">
        <v>41</v>
      </c>
      <c r="E19375" s="8">
        <v>0</v>
      </c>
      <c r="F19375" s="8">
        <v>90</v>
      </c>
    </row>
    <row r="19376" spans="1:6" ht="12.75">
      <c r="A19376" s="8">
        <v>43895.624236111107</v>
      </c>
      <c r="B19376" s="8" t="str">
        <f>HYPERLINK("https://twitter.com/TahuGimbal5","@TahuGimbal5")</f>
        <v>@TahuGimbal5</v>
      </c>
      <c r="C19376" s="8" t="s">
        <v>7841</v>
      </c>
      <c r="D19376" s="8">
        <v>41</v>
      </c>
      <c r="E19376" s="8">
        <v>0</v>
      </c>
      <c r="F19376" s="8">
        <v>104</v>
      </c>
    </row>
    <row r="19377" spans="1:6" ht="12.75">
      <c r="A19377" s="8">
        <v>43895.624155092592</v>
      </c>
      <c r="B19377" s="8" t="str">
        <f>HYPERLINK("https://twitter.com/Okihita","@Okihita")</f>
        <v>@Okihita</v>
      </c>
      <c r="C19377" s="8" t="s">
        <v>7982</v>
      </c>
      <c r="D19377" s="8">
        <v>1</v>
      </c>
      <c r="E19377" s="8">
        <v>3</v>
      </c>
      <c r="F19377" s="8">
        <v>9139</v>
      </c>
    </row>
    <row r="19378" spans="1:6" ht="12.75">
      <c r="A19378" s="8">
        <v>43895.624085648145</v>
      </c>
      <c r="B19378" s="8" t="str">
        <f>HYPERLINK("https://twitter.com/DadakanDigoreng","@DadakanDigoreng")</f>
        <v>@DadakanDigoreng</v>
      </c>
      <c r="C19378" s="8" t="s">
        <v>7841</v>
      </c>
      <c r="D19378" s="8">
        <v>41</v>
      </c>
      <c r="E19378" s="8">
        <v>0</v>
      </c>
      <c r="F19378" s="8">
        <v>100</v>
      </c>
    </row>
    <row r="19379" spans="1:6" ht="12.75">
      <c r="A19379" s="8">
        <v>43895.623981481476</v>
      </c>
      <c r="B19379" s="8" t="str">
        <f>HYPERLINK("https://twitter.com/gariscakrawaIa","@gariscakrawaIa")</f>
        <v>@gariscakrawaIa</v>
      </c>
      <c r="C19379" s="8" t="s">
        <v>7983</v>
      </c>
      <c r="D19379" s="8">
        <v>0</v>
      </c>
      <c r="E19379" s="8">
        <v>0</v>
      </c>
      <c r="F19379" s="8">
        <v>441</v>
      </c>
    </row>
    <row r="19380" spans="1:6" ht="12.75">
      <c r="A19380" s="8">
        <v>43895.623923611114</v>
      </c>
      <c r="B19380" s="8" t="str">
        <f>HYPERLINK("https://twitter.com/megaa_amelia","@megaa_amelia")</f>
        <v>@megaa_amelia</v>
      </c>
      <c r="C19380" s="8" t="s">
        <v>7841</v>
      </c>
      <c r="D19380" s="8">
        <v>41</v>
      </c>
      <c r="E19380" s="8">
        <v>0</v>
      </c>
      <c r="F19380" s="8">
        <v>90</v>
      </c>
    </row>
    <row r="19381" spans="1:6" ht="12.75">
      <c r="A19381" s="8">
        <v>43895.623900462961</v>
      </c>
      <c r="B19381" s="8" t="str">
        <f>HYPERLINK("https://twitter.com/Zulhaqie1","@Zulhaqie1")</f>
        <v>@Zulhaqie1</v>
      </c>
      <c r="C19381" s="8" t="s">
        <v>7984</v>
      </c>
      <c r="D19381" s="8">
        <v>0</v>
      </c>
      <c r="E19381" s="8">
        <v>0</v>
      </c>
      <c r="F19381" s="8">
        <v>8</v>
      </c>
    </row>
    <row r="19382" spans="1:6" ht="12.75">
      <c r="A19382" s="8">
        <v>43895.623761574076</v>
      </c>
      <c r="B19382" s="8" t="str">
        <f>HYPERLINK("https://twitter.com/AlviaYeni","@AlviaYeni")</f>
        <v>@AlviaYeni</v>
      </c>
      <c r="C19382" s="8" t="s">
        <v>7841</v>
      </c>
      <c r="D19382" s="8">
        <v>41</v>
      </c>
      <c r="E19382" s="8">
        <v>0</v>
      </c>
      <c r="F19382" s="8">
        <v>100</v>
      </c>
    </row>
    <row r="19383" spans="1:6" ht="12.75">
      <c r="A19383" s="8">
        <v>43895.623553240745</v>
      </c>
      <c r="B19383" s="8" t="str">
        <f>HYPERLINK("https://twitter.com/RositaAndrian12","@RositaAndrian12")</f>
        <v>@RositaAndrian12</v>
      </c>
      <c r="C19383" s="8" t="s">
        <v>7841</v>
      </c>
      <c r="D19383" s="8">
        <v>41</v>
      </c>
      <c r="E19383" s="8">
        <v>0</v>
      </c>
      <c r="F19383" s="8">
        <v>95</v>
      </c>
    </row>
    <row r="19384" spans="1:6" ht="12.75">
      <c r="A19384" s="8">
        <v>43895.623379629629</v>
      </c>
      <c r="B19384" s="8" t="str">
        <f>HYPERLINK("https://twitter.com/geli_aaah","@geli_aaah")</f>
        <v>@geli_aaah</v>
      </c>
      <c r="C19384" s="8" t="s">
        <v>7841</v>
      </c>
      <c r="D19384" s="8">
        <v>41</v>
      </c>
      <c r="E19384" s="8">
        <v>0</v>
      </c>
      <c r="F19384" s="8">
        <v>91</v>
      </c>
    </row>
    <row r="19385" spans="1:6" ht="12.75">
      <c r="A19385" s="8">
        <v>43895.623194444444</v>
      </c>
      <c r="B19385" s="8" t="str">
        <f>HYPERLINK("https://twitter.com/NoviaMentari5","@NoviaMentari5")</f>
        <v>@NoviaMentari5</v>
      </c>
      <c r="C19385" s="8" t="s">
        <v>7841</v>
      </c>
      <c r="D19385" s="8">
        <v>41</v>
      </c>
      <c r="E19385" s="8">
        <v>0</v>
      </c>
      <c r="F19385" s="8">
        <v>108</v>
      </c>
    </row>
    <row r="19386" spans="1:6" ht="12.75">
      <c r="A19386" s="8">
        <v>43895.622928240744</v>
      </c>
      <c r="B19386" s="8" t="str">
        <f>HYPERLINK("https://twitter.com/Metro_TV","@Metro_TV")</f>
        <v>@Metro_TV</v>
      </c>
      <c r="C19386" s="8" t="s">
        <v>7985</v>
      </c>
      <c r="D19386" s="8">
        <v>1</v>
      </c>
      <c r="E19386" s="8">
        <v>4</v>
      </c>
      <c r="F19386" s="8">
        <v>10517371</v>
      </c>
    </row>
    <row r="19387" spans="1:6" ht="12.75">
      <c r="A19387" s="8">
        <v>43895.62290509259</v>
      </c>
      <c r="B19387" s="8" t="str">
        <f>HYPERLINK("https://twitter.com/budhi_budheng","@budhi_budheng")</f>
        <v>@budhi_budheng</v>
      </c>
      <c r="C19387" s="8" t="s">
        <v>7841</v>
      </c>
      <c r="D19387" s="8">
        <v>41</v>
      </c>
      <c r="E19387" s="8">
        <v>0</v>
      </c>
      <c r="F19387" s="8">
        <v>91</v>
      </c>
    </row>
    <row r="19388" spans="1:6" ht="12.75">
      <c r="A19388" s="8">
        <v>43895.622743055559</v>
      </c>
      <c r="B19388" s="8" t="str">
        <f>HYPERLINK("https://twitter.com/silverwind","@silverwind")</f>
        <v>@silverwind</v>
      </c>
      <c r="C19388" s="8" t="s">
        <v>3132</v>
      </c>
      <c r="D19388" s="8">
        <v>20</v>
      </c>
      <c r="E19388" s="8">
        <v>0</v>
      </c>
      <c r="F19388" s="8">
        <v>1930</v>
      </c>
    </row>
    <row r="19389" spans="1:6" ht="12.75">
      <c r="A19389" s="8">
        <v>43895.622569444444</v>
      </c>
      <c r="B19389" s="8" t="str">
        <f>HYPERLINK("https://twitter.com/SugiKawuloAlit","@SugiKawuloAlit")</f>
        <v>@SugiKawuloAlit</v>
      </c>
      <c r="C19389" s="8" t="s">
        <v>7986</v>
      </c>
      <c r="D19389" s="8">
        <v>0</v>
      </c>
      <c r="E19389" s="8">
        <v>0</v>
      </c>
      <c r="F19389" s="8">
        <v>765</v>
      </c>
    </row>
    <row r="19390" spans="1:6" ht="12.75">
      <c r="A19390" s="8">
        <v>43895.622303240743</v>
      </c>
      <c r="B19390" s="8" t="str">
        <f>HYPERLINK("https://twitter.com/aji__x__saka","@aji__x__saka")</f>
        <v>@aji__x__saka</v>
      </c>
      <c r="C19390" s="8" t="s">
        <v>7987</v>
      </c>
      <c r="D19390" s="8">
        <v>37</v>
      </c>
      <c r="E19390" s="8">
        <v>0</v>
      </c>
      <c r="F19390" s="8">
        <v>349</v>
      </c>
    </row>
    <row r="19391" spans="1:6" ht="12.75">
      <c r="A19391" s="8">
        <v>43895.622141203705</v>
      </c>
      <c r="B19391" s="8" t="str">
        <f>HYPERLINK("https://twitter.com/Evinuf1","@Evinuf1")</f>
        <v>@Evinuf1</v>
      </c>
      <c r="C19391" s="8" t="s">
        <v>7573</v>
      </c>
      <c r="D19391" s="8">
        <v>31</v>
      </c>
      <c r="E19391" s="8">
        <v>0</v>
      </c>
      <c r="F19391" s="8">
        <v>544</v>
      </c>
    </row>
    <row r="19392" spans="1:6" ht="12.75">
      <c r="A19392" s="8">
        <v>43895.622129629628</v>
      </c>
      <c r="B19392" s="8" t="str">
        <f>HYPERLINK("https://twitter.com/AlyPwng","@AlyPwng")</f>
        <v>@AlyPwng</v>
      </c>
      <c r="C19392" s="8" t="s">
        <v>1078</v>
      </c>
      <c r="D19392" s="8">
        <v>419</v>
      </c>
      <c r="E19392" s="8">
        <v>0</v>
      </c>
      <c r="F19392" s="8">
        <v>338</v>
      </c>
    </row>
    <row r="19393" spans="1:6" ht="12.75">
      <c r="A19393" s="8">
        <v>43895.622060185182</v>
      </c>
      <c r="B19393" s="8" t="str">
        <f>HYPERLINK("https://twitter.com/aishah_orwidya","@aishah_orwidya")</f>
        <v>@aishah_orwidya</v>
      </c>
      <c r="C19393" s="8" t="s">
        <v>7988</v>
      </c>
      <c r="D19393" s="8">
        <v>0</v>
      </c>
      <c r="E19393" s="8">
        <v>0</v>
      </c>
      <c r="F19393" s="8">
        <v>316</v>
      </c>
    </row>
    <row r="19394" spans="1:6" ht="12.75">
      <c r="A19394" s="8">
        <v>43895.622025462959</v>
      </c>
      <c r="B19394" s="8" t="str">
        <f>HYPERLINK("https://twitter.com/AndriasNoian","@AndriasNoian")</f>
        <v>@AndriasNoian</v>
      </c>
      <c r="C19394" s="8" t="s">
        <v>7989</v>
      </c>
      <c r="D19394" s="8">
        <v>0</v>
      </c>
      <c r="E19394" s="8">
        <v>0</v>
      </c>
      <c r="F19394" s="8">
        <v>75</v>
      </c>
    </row>
    <row r="19395" spans="1:6" ht="12.75">
      <c r="A19395" s="8">
        <v>43895.62195601852</v>
      </c>
      <c r="B19395" s="8" t="str">
        <f>HYPERLINK("https://twitter.com/AlfianiKarom","@AlfianiKarom")</f>
        <v>@AlfianiKarom</v>
      </c>
      <c r="C19395" s="8" t="s">
        <v>7841</v>
      </c>
      <c r="D19395" s="8">
        <v>41</v>
      </c>
      <c r="E19395" s="8">
        <v>0</v>
      </c>
      <c r="F19395" s="8">
        <v>71</v>
      </c>
    </row>
    <row r="19396" spans="1:6" ht="12.75">
      <c r="A19396" s="8">
        <v>43895.621805555551</v>
      </c>
      <c r="B19396" s="8" t="str">
        <f>HYPERLINK("https://twitter.com/KienAnd_","@KienAnd_")</f>
        <v>@KienAnd_</v>
      </c>
      <c r="C19396" s="8" t="s">
        <v>7990</v>
      </c>
      <c r="D19396" s="8">
        <v>1</v>
      </c>
      <c r="E19396" s="8">
        <v>2</v>
      </c>
      <c r="F19396" s="8">
        <v>13672</v>
      </c>
    </row>
    <row r="19397" spans="1:6" ht="12.75">
      <c r="A19397" s="8">
        <v>43895.621793981481</v>
      </c>
      <c r="B19397" s="8" t="str">
        <f>HYPERLINK("https://twitter.com/Memedmed_","@Memedmed_")</f>
        <v>@Memedmed_</v>
      </c>
      <c r="C19397" s="8" t="s">
        <v>7841</v>
      </c>
      <c r="D19397" s="8">
        <v>41</v>
      </c>
      <c r="E19397" s="8">
        <v>0</v>
      </c>
      <c r="F19397" s="8">
        <v>9</v>
      </c>
    </row>
    <row r="19398" spans="1:6" ht="12.75">
      <c r="A19398" s="8">
        <v>43895.621620370366</v>
      </c>
      <c r="B19398" s="8" t="str">
        <f>HYPERLINK("https://twitter.com/NinaFebriyant20","@NinaFebriyant20")</f>
        <v>@NinaFebriyant20</v>
      </c>
      <c r="C19398" s="8" t="s">
        <v>7841</v>
      </c>
      <c r="D19398" s="8">
        <v>41</v>
      </c>
      <c r="E19398" s="8">
        <v>0</v>
      </c>
      <c r="F19398" s="8">
        <v>1165</v>
      </c>
    </row>
    <row r="19399" spans="1:6" ht="12.75">
      <c r="A19399" s="8">
        <v>43895.621481481481</v>
      </c>
      <c r="B19399" s="8" t="str">
        <f>HYPERLINK("https://twitter.com/PaitanJamaah","@PaitanJamaah")</f>
        <v>@PaitanJamaah</v>
      </c>
      <c r="C19399" s="8" t="s">
        <v>1078</v>
      </c>
      <c r="D19399" s="8">
        <v>419</v>
      </c>
      <c r="E19399" s="8">
        <v>0</v>
      </c>
      <c r="F19399" s="8">
        <v>1761</v>
      </c>
    </row>
    <row r="19400" spans="1:6" ht="12.75">
      <c r="A19400" s="8">
        <v>43895.621192129634</v>
      </c>
      <c r="B19400" s="8" t="str">
        <f>HYPERLINK("https://twitter.com/PemkotaBogor","@PemkotaBogor")</f>
        <v>@PemkotaBogor</v>
      </c>
      <c r="C19400" s="8" t="s">
        <v>7991</v>
      </c>
      <c r="D19400" s="8">
        <v>0</v>
      </c>
      <c r="E19400" s="8">
        <v>0</v>
      </c>
      <c r="F19400" s="8">
        <v>19646</v>
      </c>
    </row>
    <row r="19401" spans="1:6" ht="12.75">
      <c r="A19401" s="8">
        <v>43895.621157407411</v>
      </c>
      <c r="B19401" s="8" t="str">
        <f>HYPERLINK("https://twitter.com/patriciput","@patriciput")</f>
        <v>@patriciput</v>
      </c>
      <c r="C19401" s="8" t="s">
        <v>7841</v>
      </c>
      <c r="D19401" s="8">
        <v>41</v>
      </c>
      <c r="E19401" s="8">
        <v>0</v>
      </c>
      <c r="F19401" s="8">
        <v>61</v>
      </c>
    </row>
    <row r="19402" spans="1:6" ht="12.75">
      <c r="A19402" s="8">
        <v>43895.620995370366</v>
      </c>
      <c r="B19402" s="8" t="str">
        <f>HYPERLINK("https://twitter.com/anantanurizki","@anantanurizki")</f>
        <v>@anantanurizki</v>
      </c>
      <c r="C19402" s="8" t="s">
        <v>1078</v>
      </c>
      <c r="D19402" s="8">
        <v>419</v>
      </c>
      <c r="E19402" s="8">
        <v>0</v>
      </c>
      <c r="F19402" s="8">
        <v>592</v>
      </c>
    </row>
    <row r="19403" spans="1:6" ht="12.75">
      <c r="A19403" s="8">
        <v>43895.620810185181</v>
      </c>
      <c r="B19403" s="8" t="str">
        <f>HYPERLINK("https://twitter.com/AlmaDelita","@AlmaDelita")</f>
        <v>@AlmaDelita</v>
      </c>
      <c r="C19403" s="8" t="s">
        <v>7841</v>
      </c>
      <c r="D19403" s="8">
        <v>41</v>
      </c>
      <c r="E19403" s="8">
        <v>0</v>
      </c>
      <c r="F19403" s="8">
        <v>101</v>
      </c>
    </row>
    <row r="19404" spans="1:6" ht="12.75">
      <c r="A19404" s="8">
        <v>43895.620717592596</v>
      </c>
      <c r="B19404" s="8" t="str">
        <f>HYPERLINK("https://twitter.com/Agung_Suwirya","@Agung_Suwirya")</f>
        <v>@Agung_Suwirya</v>
      </c>
      <c r="C19404" s="8" t="s">
        <v>7362</v>
      </c>
      <c r="D19404" s="8">
        <v>10</v>
      </c>
      <c r="E19404" s="8">
        <v>0</v>
      </c>
      <c r="F19404" s="8">
        <v>223</v>
      </c>
    </row>
    <row r="19405" spans="1:6" ht="12.75">
      <c r="A19405" s="8">
        <v>43895.620682870373</v>
      </c>
      <c r="B19405" s="8" t="str">
        <f>HYPERLINK("https://twitter.com/aguos_kothak","@aguos_kothak")</f>
        <v>@aguos_kothak</v>
      </c>
      <c r="C19405" s="8" t="s">
        <v>7841</v>
      </c>
      <c r="D19405" s="8">
        <v>41</v>
      </c>
      <c r="E19405" s="8">
        <v>0</v>
      </c>
      <c r="F19405" s="8">
        <v>100</v>
      </c>
    </row>
    <row r="19406" spans="1:6" ht="12.75">
      <c r="A19406" s="8">
        <v>43895.620416666672</v>
      </c>
      <c r="B19406" s="8" t="str">
        <f>HYPERLINK("https://twitter.com/NadyaSifa1","@NadyaSifa1")</f>
        <v>@NadyaSifa1</v>
      </c>
      <c r="C19406" s="8" t="s">
        <v>7841</v>
      </c>
      <c r="D19406" s="8">
        <v>41</v>
      </c>
      <c r="E19406" s="8">
        <v>0</v>
      </c>
      <c r="F19406" s="8">
        <v>103</v>
      </c>
    </row>
    <row r="19407" spans="1:6" ht="12.75">
      <c r="A19407" s="8">
        <v>43895.620405092588</v>
      </c>
      <c r="B19407" s="8" t="str">
        <f>HYPERLINK("https://twitter.com/MSyahri78523088","@MSyahri78523088")</f>
        <v>@MSyahri78523088</v>
      </c>
      <c r="C19407" s="8" t="s">
        <v>2979</v>
      </c>
      <c r="D19407" s="8">
        <v>223</v>
      </c>
      <c r="E19407" s="8">
        <v>0</v>
      </c>
      <c r="F19407" s="8">
        <v>285</v>
      </c>
    </row>
    <row r="19408" spans="1:6" ht="12.75">
      <c r="A19408" s="8">
        <v>43895.620393518519</v>
      </c>
      <c r="B19408" s="8" t="str">
        <f>HYPERLINK("https://twitter.com/AlvaroDeBazan2","@AlvaroDeBazan2")</f>
        <v>@AlvaroDeBazan2</v>
      </c>
      <c r="C19408" s="8" t="s">
        <v>7940</v>
      </c>
      <c r="D19408" s="8">
        <v>2</v>
      </c>
      <c r="E19408" s="8">
        <v>0</v>
      </c>
      <c r="F19408" s="8">
        <v>266</v>
      </c>
    </row>
    <row r="19409" spans="1:6" ht="12.75">
      <c r="A19409" s="8">
        <v>43895.620370370365</v>
      </c>
      <c r="B19409" s="8" t="str">
        <f>HYPERLINK("https://twitter.com/imelbox","@imelbox")</f>
        <v>@imelbox</v>
      </c>
      <c r="C19409" s="8" t="s">
        <v>7992</v>
      </c>
      <c r="D19409" s="8">
        <v>0</v>
      </c>
      <c r="E19409" s="8">
        <v>0</v>
      </c>
      <c r="F19409" s="8">
        <v>161</v>
      </c>
    </row>
    <row r="19410" spans="1:6" ht="12.75">
      <c r="A19410" s="8">
        <v>43895.61991898148</v>
      </c>
      <c r="B19410" s="8" t="str">
        <f>HYPERLINK("https://twitter.com/wni_jmsri","@wni_jmsri")</f>
        <v>@wni_jmsri</v>
      </c>
      <c r="C19410" s="8" t="s">
        <v>7993</v>
      </c>
      <c r="D19410" s="8">
        <v>17</v>
      </c>
      <c r="E19410" s="8">
        <v>0</v>
      </c>
      <c r="F19410" s="8">
        <v>201</v>
      </c>
    </row>
    <row r="19411" spans="1:6" ht="12.75">
      <c r="A19411" s="8">
        <v>43895.61990740741</v>
      </c>
      <c r="B19411" s="8" t="str">
        <f>HYPERLINK("https://twitter.com/RoyNasu63702098","@RoyNasu63702098")</f>
        <v>@RoyNasu63702098</v>
      </c>
      <c r="C19411" s="8" t="s">
        <v>7742</v>
      </c>
      <c r="D19411" s="8">
        <v>20</v>
      </c>
      <c r="E19411" s="8">
        <v>0</v>
      </c>
      <c r="F19411" s="8">
        <v>332</v>
      </c>
    </row>
    <row r="19412" spans="1:6" ht="12.75">
      <c r="A19412" s="8">
        <v>43895.619895833333</v>
      </c>
      <c r="B19412" s="8" t="str">
        <f>HYPERLINK("https://twitter.com/Metro_TV","@Metro_TV")</f>
        <v>@Metro_TV</v>
      </c>
      <c r="C19412" s="8" t="s">
        <v>7994</v>
      </c>
      <c r="D19412" s="8">
        <v>2</v>
      </c>
      <c r="E19412" s="8">
        <v>2</v>
      </c>
      <c r="F19412" s="8">
        <v>10517371</v>
      </c>
    </row>
    <row r="19413" spans="1:6" ht="12.75">
      <c r="A19413" s="8">
        <v>43895.619328703702</v>
      </c>
      <c r="B19413" s="8" t="str">
        <f>HYPERLINK("https://twitter.com/laaa_0122","@laaa_0122")</f>
        <v>@laaa_0122</v>
      </c>
      <c r="C19413" s="8" t="s">
        <v>7995</v>
      </c>
      <c r="D19413" s="8">
        <v>0</v>
      </c>
      <c r="E19413" s="8">
        <v>0</v>
      </c>
      <c r="F19413" s="8">
        <v>474</v>
      </c>
    </row>
    <row r="19414" spans="1:6" ht="12.75">
      <c r="A19414" s="8">
        <v>43895.619317129633</v>
      </c>
      <c r="B19414" s="8" t="str">
        <f>HYPERLINK("https://twitter.com/chirp__john","@chirp__john")</f>
        <v>@chirp__john</v>
      </c>
      <c r="C19414" s="8" t="s">
        <v>7473</v>
      </c>
      <c r="D19414" s="8">
        <v>355</v>
      </c>
      <c r="E19414" s="8">
        <v>0</v>
      </c>
      <c r="F19414" s="8">
        <v>5919</v>
      </c>
    </row>
    <row r="19415" spans="1:6" ht="12.75">
      <c r="A19415" s="8">
        <v>43895.618761574078</v>
      </c>
      <c r="B19415" s="8" t="str">
        <f>HYPERLINK("https://twitter.com/KelikMNugroho","@KelikMNugroho")</f>
        <v>@KelikMNugroho</v>
      </c>
      <c r="C19415" s="8" t="s">
        <v>6826</v>
      </c>
      <c r="D19415" s="8">
        <v>3</v>
      </c>
      <c r="E19415" s="8">
        <v>0</v>
      </c>
      <c r="F19415" s="8">
        <v>2587</v>
      </c>
    </row>
    <row r="19416" spans="1:6" ht="12.75">
      <c r="A19416" s="8">
        <v>43895.618715277778</v>
      </c>
      <c r="B19416" s="8" t="str">
        <f>HYPERLINK("https://twitter.com/dewo_lelono","@dewo_lelono")</f>
        <v>@dewo_lelono</v>
      </c>
      <c r="C19416" s="8" t="s">
        <v>7996</v>
      </c>
      <c r="D19416" s="8">
        <v>0</v>
      </c>
      <c r="E19416" s="8">
        <v>0</v>
      </c>
      <c r="F19416" s="8">
        <v>2445</v>
      </c>
    </row>
    <row r="19417" spans="1:6" ht="12.75">
      <c r="A19417" s="8">
        <v>43895.618692129632</v>
      </c>
      <c r="B19417" s="8" t="str">
        <f>HYPERLINK("https://twitter.com/idhamrously","@idhamrously")</f>
        <v>@idhamrously</v>
      </c>
      <c r="C19417" s="8" t="s">
        <v>7997</v>
      </c>
      <c r="D19417" s="8">
        <v>0</v>
      </c>
      <c r="E19417" s="8">
        <v>0</v>
      </c>
      <c r="F19417" s="8">
        <v>170</v>
      </c>
    </row>
    <row r="19418" spans="1:6" ht="12.75">
      <c r="A19418" s="8">
        <v>43895.618564814809</v>
      </c>
      <c r="B19418" s="8" t="str">
        <f>HYPERLINK("https://twitter.com/wni_jmsri","@wni_jmsri")</f>
        <v>@wni_jmsri</v>
      </c>
      <c r="C19418" s="8" t="s">
        <v>7998</v>
      </c>
      <c r="D19418" s="8">
        <v>19608</v>
      </c>
      <c r="E19418" s="8">
        <v>0</v>
      </c>
      <c r="F19418" s="8">
        <v>201</v>
      </c>
    </row>
    <row r="19419" spans="1:6" ht="12.75">
      <c r="A19419" s="8">
        <v>43895.618055555555</v>
      </c>
      <c r="B19419" s="8" t="str">
        <f>HYPERLINK("https://twitter.com/hidupnanindah","@hidupnanindah")</f>
        <v>@hidupnanindah</v>
      </c>
      <c r="C19419" s="8" t="s">
        <v>7999</v>
      </c>
      <c r="D19419" s="8">
        <v>0</v>
      </c>
      <c r="E19419" s="8">
        <v>0</v>
      </c>
      <c r="F19419" s="8">
        <v>14967</v>
      </c>
    </row>
    <row r="19420" spans="1:6" ht="12.75">
      <c r="A19420" s="8">
        <v>43895.617962962962</v>
      </c>
      <c r="B19420" s="8" t="str">
        <f>HYPERLINK("https://twitter.com/r96sperstar","@r96sperstar")</f>
        <v>@r96sperstar</v>
      </c>
      <c r="C19420" s="8" t="s">
        <v>7938</v>
      </c>
      <c r="D19420" s="8">
        <v>2</v>
      </c>
      <c r="E19420" s="8">
        <v>0</v>
      </c>
      <c r="F19420" s="8">
        <v>462</v>
      </c>
    </row>
    <row r="19421" spans="1:6" ht="12.75">
      <c r="A19421" s="8">
        <v>43895.617928240739</v>
      </c>
      <c r="B19421" s="8" t="str">
        <f>HYPERLINK("https://twitter.com/Sywa18","@Sywa18")</f>
        <v>@Sywa18</v>
      </c>
      <c r="C19421" s="8" t="s">
        <v>1078</v>
      </c>
      <c r="D19421" s="8">
        <v>419</v>
      </c>
      <c r="E19421" s="8">
        <v>0</v>
      </c>
      <c r="F19421" s="8">
        <v>806</v>
      </c>
    </row>
    <row r="19422" spans="1:6" ht="12.75">
      <c r="A19422" s="8">
        <v>43895.617881944447</v>
      </c>
      <c r="B19422" s="8" t="str">
        <f>HYPERLINK("https://twitter.com/UswatunZulzaini","@UswatunZulzaini")</f>
        <v>@UswatunZulzaini</v>
      </c>
      <c r="C19422" s="8" t="s">
        <v>7841</v>
      </c>
      <c r="D19422" s="8">
        <v>41</v>
      </c>
      <c r="E19422" s="8">
        <v>0</v>
      </c>
      <c r="F19422" s="8">
        <v>58</v>
      </c>
    </row>
    <row r="19423" spans="1:6" ht="12.75">
      <c r="A19423" s="8">
        <v>43895.6175462963</v>
      </c>
      <c r="B19423" s="8" t="str">
        <f>HYPERLINK("https://twitter.com/agustin_sastra","@agustin_sastra")</f>
        <v>@agustin_sastra</v>
      </c>
      <c r="C19423" s="8" t="s">
        <v>1078</v>
      </c>
      <c r="D19423" s="8">
        <v>419</v>
      </c>
      <c r="E19423" s="8">
        <v>0</v>
      </c>
      <c r="F19423" s="8">
        <v>548</v>
      </c>
    </row>
    <row r="19424" spans="1:6" ht="12.75">
      <c r="A19424" s="8">
        <v>43895.590057870373</v>
      </c>
      <c r="B19424" s="8" t="str">
        <f>HYPERLINK("https://twitter.com/SugihartonoHeru","@SugihartonoHeru")</f>
        <v>@SugihartonoHeru</v>
      </c>
      <c r="C19424" s="8" t="s">
        <v>1078</v>
      </c>
      <c r="D19424" s="8">
        <v>362</v>
      </c>
      <c r="E19424" s="8">
        <v>0</v>
      </c>
      <c r="F19424" s="8">
        <v>528</v>
      </c>
    </row>
    <row r="19425" spans="1:6" ht="12.75">
      <c r="A19425" s="8">
        <v>43895.588472222225</v>
      </c>
      <c r="B19425" s="8" t="str">
        <f>HYPERLINK("https://twitter.com/Gunawanbukasari","@Gunawanbukasari")</f>
        <v>@Gunawanbukasari</v>
      </c>
      <c r="C19425" s="8" t="s">
        <v>1078</v>
      </c>
      <c r="D19425" s="8">
        <v>362</v>
      </c>
      <c r="E19425" s="8">
        <v>0</v>
      </c>
      <c r="F19425" s="8">
        <v>65</v>
      </c>
    </row>
    <row r="19426" spans="1:6" ht="12.75">
      <c r="A19426" s="8">
        <v>43895.587893518517</v>
      </c>
      <c r="B19426" s="8" t="str">
        <f>HYPERLINK("https://twitter.com/Pujiant87830836","@Pujiant87830836")</f>
        <v>@Pujiant87830836</v>
      </c>
      <c r="C19426" s="8" t="s">
        <v>7742</v>
      </c>
      <c r="D19426" s="8">
        <v>11</v>
      </c>
      <c r="E19426" s="8">
        <v>0</v>
      </c>
      <c r="F19426" s="8">
        <v>8</v>
      </c>
    </row>
    <row r="19427" spans="1:6" ht="12.75">
      <c r="A19427" s="8">
        <v>43895.587870370371</v>
      </c>
      <c r="B19427" s="8" t="str">
        <f>HYPERLINK("https://twitter.com/VIVAcoid","@VIVAcoid")</f>
        <v>@VIVAcoid</v>
      </c>
      <c r="C19427" s="8" t="s">
        <v>8000</v>
      </c>
      <c r="D19427" s="8">
        <v>1</v>
      </c>
      <c r="E19427" s="8">
        <v>0</v>
      </c>
      <c r="F19427" s="8">
        <v>4175324</v>
      </c>
    </row>
    <row r="19428" spans="1:6" ht="12.75">
      <c r="A19428" s="8">
        <v>43895.587534722217</v>
      </c>
      <c r="B19428" s="8" t="str">
        <f>HYPERLINK("https://twitter.com/intipseleb","@intipseleb")</f>
        <v>@intipseleb</v>
      </c>
      <c r="C19428" s="8" t="s">
        <v>8001</v>
      </c>
      <c r="D19428" s="8">
        <v>1</v>
      </c>
      <c r="E19428" s="8">
        <v>0</v>
      </c>
      <c r="F19428" s="8">
        <v>1840</v>
      </c>
    </row>
    <row r="19429" spans="1:6" ht="12.75">
      <c r="A19429" s="8">
        <v>43895.587013888886</v>
      </c>
      <c r="B19429" s="8" t="str">
        <f>HYPERLINK("https://twitter.com/hemaviton99","@hemaviton99")</f>
        <v>@hemaviton99</v>
      </c>
      <c r="C19429" s="8" t="s">
        <v>1078</v>
      </c>
      <c r="D19429" s="8">
        <v>362</v>
      </c>
      <c r="E19429" s="8">
        <v>0</v>
      </c>
      <c r="F19429" s="8">
        <v>5566</v>
      </c>
    </row>
    <row r="19430" spans="1:6" ht="12.75">
      <c r="A19430" s="8">
        <v>43895.58694444444</v>
      </c>
      <c r="B19430" s="8" t="str">
        <f>HYPERLINK("https://twitter.com/AkangEi","@AkangEi")</f>
        <v>@AkangEi</v>
      </c>
      <c r="C19430" s="8" t="s">
        <v>8002</v>
      </c>
      <c r="D19430" s="8">
        <v>0</v>
      </c>
      <c r="E19430" s="8">
        <v>0</v>
      </c>
      <c r="F19430" s="8">
        <v>516</v>
      </c>
    </row>
    <row r="19431" spans="1:6" ht="12.75">
      <c r="A19431" s="8">
        <v>43895.586469907408</v>
      </c>
      <c r="B19431" s="8" t="str">
        <f>HYPERLINK("https://twitter.com/FerryM1","@FerryM1")</f>
        <v>@FerryM1</v>
      </c>
      <c r="C19431" s="8" t="s">
        <v>8003</v>
      </c>
      <c r="D19431" s="8">
        <v>3</v>
      </c>
      <c r="E19431" s="8">
        <v>0</v>
      </c>
      <c r="F19431" s="8">
        <v>2317</v>
      </c>
    </row>
    <row r="19432" spans="1:6" ht="12.75">
      <c r="A19432" s="8">
        <v>43895.586435185185</v>
      </c>
      <c r="B19432" s="8" t="str">
        <f>HYPERLINK("https://twitter.com/Kykenneth_","@Kykenneth_")</f>
        <v>@Kykenneth_</v>
      </c>
      <c r="C19432" s="8" t="s">
        <v>7604</v>
      </c>
      <c r="D19432" s="8">
        <v>34</v>
      </c>
      <c r="E19432" s="8">
        <v>0</v>
      </c>
      <c r="F19432" s="8">
        <v>1348</v>
      </c>
    </row>
    <row r="19433" spans="1:6" ht="12.75">
      <c r="A19433" s="8">
        <v>43895.585590277777</v>
      </c>
      <c r="B19433" s="8" t="str">
        <f>HYPERLINK("https://twitter.com/Cuker5Pwt","@Cuker5Pwt")</f>
        <v>@Cuker5Pwt</v>
      </c>
      <c r="C19433" s="8" t="s">
        <v>7742</v>
      </c>
      <c r="D19433" s="8">
        <v>11</v>
      </c>
      <c r="E19433" s="8">
        <v>0</v>
      </c>
      <c r="F19433" s="8">
        <v>1932</v>
      </c>
    </row>
    <row r="19434" spans="1:6" ht="12.75">
      <c r="A19434" s="8">
        <v>43895.585416666669</v>
      </c>
      <c r="B19434" s="8" t="str">
        <f>HYPERLINK("https://twitter.com/Iwan_Kapuk","@Iwan_Kapuk")</f>
        <v>@Iwan_Kapuk</v>
      </c>
      <c r="C19434" s="8" t="s">
        <v>1078</v>
      </c>
      <c r="D19434" s="8">
        <v>362</v>
      </c>
      <c r="E19434" s="8">
        <v>0</v>
      </c>
      <c r="F19434" s="8">
        <v>2776</v>
      </c>
    </row>
    <row r="19435" spans="1:6" ht="12.75">
      <c r="A19435" s="8">
        <v>43895.58494212963</v>
      </c>
      <c r="B19435" s="8" t="str">
        <f>HYPERLINK("https://twitter.com/Abdussa78534939","@Abdussa78534939")</f>
        <v>@Abdussa78534939</v>
      </c>
      <c r="C19435" s="8" t="s">
        <v>1078</v>
      </c>
      <c r="D19435" s="8">
        <v>362</v>
      </c>
      <c r="E19435" s="8">
        <v>0</v>
      </c>
      <c r="F19435" s="8">
        <v>154</v>
      </c>
    </row>
    <row r="19436" spans="1:6" ht="12.75">
      <c r="A19436" s="8">
        <v>43895.584895833337</v>
      </c>
      <c r="B19436" s="8" t="str">
        <f>HYPERLINK("https://twitter.com/andi_saja","@andi_saja")</f>
        <v>@andi_saja</v>
      </c>
      <c r="C19436" s="8" t="s">
        <v>1078</v>
      </c>
      <c r="D19436" s="8">
        <v>362</v>
      </c>
      <c r="E19436" s="8">
        <v>0</v>
      </c>
      <c r="F19436" s="8">
        <v>1882</v>
      </c>
    </row>
    <row r="19437" spans="1:6" ht="12.75">
      <c r="A19437" s="8">
        <v>43895.584652777776</v>
      </c>
      <c r="B19437" s="8" t="str">
        <f>HYPERLINK("https://twitter.com/mocacinno2","@mocacinno2")</f>
        <v>@mocacinno2</v>
      </c>
      <c r="C19437" s="8" t="s">
        <v>1078</v>
      </c>
      <c r="D19437" s="8">
        <v>362</v>
      </c>
      <c r="E19437" s="8">
        <v>0</v>
      </c>
      <c r="F19437" s="8">
        <v>85</v>
      </c>
    </row>
    <row r="19438" spans="1:6" ht="12.75">
      <c r="A19438" s="8">
        <v>43895.584016203706</v>
      </c>
      <c r="B19438" s="8" t="str">
        <f>HYPERLINK("https://twitter.com/Suroso29016015","@Suroso29016015")</f>
        <v>@Suroso29016015</v>
      </c>
      <c r="C19438" s="8" t="s">
        <v>1078</v>
      </c>
      <c r="D19438" s="8">
        <v>362</v>
      </c>
      <c r="E19438" s="8">
        <v>0</v>
      </c>
      <c r="F19438" s="8">
        <v>71</v>
      </c>
    </row>
    <row r="19439" spans="1:6" ht="12.75">
      <c r="A19439" s="8">
        <v>43895.583831018521</v>
      </c>
      <c r="B19439" s="8" t="str">
        <f>HYPERLINK("https://twitter.com/novankris8","@novankris8")</f>
        <v>@novankris8</v>
      </c>
      <c r="C19439" s="8" t="s">
        <v>1078</v>
      </c>
      <c r="D19439" s="8">
        <v>362</v>
      </c>
      <c r="E19439" s="8">
        <v>0</v>
      </c>
      <c r="F19439" s="8">
        <v>78</v>
      </c>
    </row>
    <row r="19440" spans="1:6" ht="12.75">
      <c r="A19440" s="8">
        <v>43895.583645833336</v>
      </c>
      <c r="B19440" s="8" t="str">
        <f>HYPERLINK("https://twitter.com/wni_jmsri","@wni_jmsri")</f>
        <v>@wni_jmsri</v>
      </c>
      <c r="C19440" s="8" t="s">
        <v>8004</v>
      </c>
      <c r="D19440" s="8">
        <v>13</v>
      </c>
      <c r="E19440" s="8">
        <v>0</v>
      </c>
      <c r="F19440" s="8">
        <v>200</v>
      </c>
    </row>
    <row r="19441" spans="1:6" ht="12.75">
      <c r="A19441" s="8">
        <v>43895.583564814813</v>
      </c>
      <c r="B19441" s="8" t="str">
        <f>HYPERLINK("https://twitter.com/Hadi_Sucipto9","@Hadi_Sucipto9")</f>
        <v>@Hadi_Sucipto9</v>
      </c>
      <c r="C19441" s="8" t="s">
        <v>7242</v>
      </c>
      <c r="D19441" s="8">
        <v>71</v>
      </c>
      <c r="E19441" s="8">
        <v>0</v>
      </c>
      <c r="F19441" s="8">
        <v>51</v>
      </c>
    </row>
    <row r="19442" spans="1:6" ht="12.75">
      <c r="A19442" s="8">
        <v>43895.583379629628</v>
      </c>
      <c r="B19442" s="8" t="str">
        <f>HYPERLINK("https://twitter.com/KontanNews","@KontanNews")</f>
        <v>@KontanNews</v>
      </c>
      <c r="C19442" s="8" t="s">
        <v>8005</v>
      </c>
      <c r="D19442" s="8">
        <v>1</v>
      </c>
      <c r="E19442" s="8">
        <v>1</v>
      </c>
      <c r="F19442" s="8">
        <v>318119</v>
      </c>
    </row>
    <row r="19443" spans="1:6" ht="12.75">
      <c r="A19443" s="8">
        <v>43895.583043981482</v>
      </c>
      <c r="B19443" s="8" t="str">
        <f>HYPERLINK("https://twitter.com/Kiyai_MarufAmin","@Kiyai_MarufAmin")</f>
        <v>@Kiyai_MarufAmin</v>
      </c>
      <c r="C19443" s="8" t="s">
        <v>8006</v>
      </c>
      <c r="D19443" s="8">
        <v>1</v>
      </c>
      <c r="E19443" s="8">
        <v>2</v>
      </c>
      <c r="F19443" s="8">
        <v>30913</v>
      </c>
    </row>
    <row r="19444" spans="1:6" ht="12.75">
      <c r="A19444" s="8">
        <v>43895.582824074074</v>
      </c>
      <c r="B19444" s="8" t="str">
        <f>HYPERLINK("https://twitter.com/Velope16","@Velope16")</f>
        <v>@Velope16</v>
      </c>
      <c r="C19444" s="8" t="s">
        <v>8007</v>
      </c>
      <c r="D19444" s="8">
        <v>0</v>
      </c>
      <c r="E19444" s="8">
        <v>0</v>
      </c>
      <c r="F19444" s="8">
        <v>275</v>
      </c>
    </row>
    <row r="19445" spans="1:6" ht="12.75">
      <c r="A19445" s="8">
        <v>43895.582719907412</v>
      </c>
      <c r="B19445" s="8" t="str">
        <f>HYPERLINK("https://twitter.com/ArdinalRais","@ArdinalRais")</f>
        <v>@ArdinalRais</v>
      </c>
      <c r="C19445" s="8" t="s">
        <v>7742</v>
      </c>
      <c r="D19445" s="8">
        <v>11</v>
      </c>
      <c r="E19445" s="8">
        <v>0</v>
      </c>
      <c r="F19445" s="8">
        <v>322</v>
      </c>
    </row>
    <row r="19446" spans="1:6" ht="12.75">
      <c r="A19446" s="8">
        <v>43895.582627314812</v>
      </c>
      <c r="B19446" s="8" t="str">
        <f>HYPERLINK("https://twitter.com/ferizandra","@ferizandra")</f>
        <v>@ferizandra</v>
      </c>
      <c r="C19446" s="8" t="s">
        <v>8008</v>
      </c>
      <c r="D19446" s="8">
        <v>0</v>
      </c>
      <c r="E19446" s="8">
        <v>2</v>
      </c>
      <c r="F19446" s="8">
        <v>8148</v>
      </c>
    </row>
    <row r="19447" spans="1:6" ht="12.75">
      <c r="A19447" s="8">
        <v>43895.582268518519</v>
      </c>
      <c r="B19447" s="8" t="str">
        <f>HYPERLINK("https://twitter.com/filosofiksi","@filosofiksi")</f>
        <v>@filosofiksi</v>
      </c>
      <c r="C19447" s="8" t="s">
        <v>1078</v>
      </c>
      <c r="D19447" s="8">
        <v>362</v>
      </c>
      <c r="E19447" s="8">
        <v>0</v>
      </c>
      <c r="F19447" s="8">
        <v>2295</v>
      </c>
    </row>
    <row r="19448" spans="1:6" ht="12.75">
      <c r="A19448" s="8">
        <v>43895.582199074073</v>
      </c>
      <c r="B19448" s="8" t="str">
        <f>HYPERLINK("https://twitter.com/DavidPu94783796","@DavidPu94783796")</f>
        <v>@DavidPu94783796</v>
      </c>
      <c r="C19448" s="8" t="s">
        <v>8009</v>
      </c>
      <c r="D19448" s="8">
        <v>0</v>
      </c>
      <c r="E19448" s="8">
        <v>0</v>
      </c>
      <c r="F19448" s="8">
        <v>72</v>
      </c>
    </row>
    <row r="19449" spans="1:6" ht="12.75">
      <c r="A19449" s="8">
        <v>43895.581967592589</v>
      </c>
      <c r="B19449" s="8" t="str">
        <f>HYPERLINK("https://twitter.com/TiaSari_93","@TiaSari_93")</f>
        <v>@TiaSari_93</v>
      </c>
      <c r="C19449" s="8" t="s">
        <v>1078</v>
      </c>
      <c r="D19449" s="8">
        <v>362</v>
      </c>
      <c r="E19449" s="8">
        <v>0</v>
      </c>
      <c r="F19449" s="8">
        <v>362</v>
      </c>
    </row>
    <row r="19450" spans="1:6" ht="12.75">
      <c r="A19450" s="8">
        <v>43895.581967592589</v>
      </c>
      <c r="B19450" s="8" t="str">
        <f>HYPERLINK("https://twitter.com/MetroIslam","@MetroIslam")</f>
        <v>@MetroIslam</v>
      </c>
      <c r="C19450" s="8" t="s">
        <v>8010</v>
      </c>
      <c r="D19450" s="8">
        <v>0</v>
      </c>
      <c r="E19450" s="8">
        <v>0</v>
      </c>
      <c r="F19450" s="8">
        <v>929</v>
      </c>
    </row>
    <row r="19451" spans="1:6" ht="12.75">
      <c r="A19451" s="8">
        <v>43895.581562499996</v>
      </c>
      <c r="B19451" s="8" t="str">
        <f>HYPERLINK("https://twitter.com/Onta_buluk","@Onta_buluk")</f>
        <v>@Onta_buluk</v>
      </c>
      <c r="C19451" s="8" t="s">
        <v>1078</v>
      </c>
      <c r="D19451" s="8">
        <v>362</v>
      </c>
      <c r="E19451" s="8">
        <v>0</v>
      </c>
      <c r="F19451" s="8">
        <v>3631</v>
      </c>
    </row>
    <row r="19452" spans="1:6" ht="12.75">
      <c r="A19452" s="8">
        <v>43895.581504629634</v>
      </c>
      <c r="B19452" s="8" t="str">
        <f>HYPERLINK("https://twitter.com/YoyokSubandriy3","@YoyokSubandriy3")</f>
        <v>@YoyokSubandriy3</v>
      </c>
      <c r="C19452" s="8" t="s">
        <v>7742</v>
      </c>
      <c r="D19452" s="8">
        <v>11</v>
      </c>
      <c r="E19452" s="8">
        <v>0</v>
      </c>
      <c r="F19452" s="8">
        <v>1386</v>
      </c>
    </row>
    <row r="19453" spans="1:6" ht="12.75">
      <c r="A19453" s="8">
        <v>43895.580567129626</v>
      </c>
      <c r="B19453" s="8" t="str">
        <f>HYPERLINK("https://twitter.com/neerajapinki","@neerajapinki")</f>
        <v>@neerajapinki</v>
      </c>
      <c r="C19453" s="8" t="s">
        <v>8011</v>
      </c>
      <c r="D19453" s="8">
        <v>0</v>
      </c>
      <c r="E19453" s="8">
        <v>0</v>
      </c>
      <c r="F19453" s="8">
        <v>577</v>
      </c>
    </row>
    <row r="19454" spans="1:6" ht="12.75">
      <c r="A19454" s="8">
        <v>43895.580381944441</v>
      </c>
      <c r="B19454" s="8" t="str">
        <f>HYPERLINK("https://twitter.com/arikristiani78","@arikristiani78")</f>
        <v>@arikristiani78</v>
      </c>
      <c r="C19454" s="8" t="s">
        <v>7473</v>
      </c>
      <c r="D19454" s="8">
        <v>343</v>
      </c>
      <c r="E19454" s="8">
        <v>0</v>
      </c>
      <c r="F19454" s="8">
        <v>87</v>
      </c>
    </row>
    <row r="19455" spans="1:6" ht="12.75">
      <c r="A19455" s="8">
        <v>43895.579814814817</v>
      </c>
      <c r="B19455" s="8" t="str">
        <f>HYPERLINK("https://twitter.com/bamzagli","@bamzagli")</f>
        <v>@bamzagli</v>
      </c>
      <c r="C19455" s="8" t="s">
        <v>8012</v>
      </c>
      <c r="D19455" s="8">
        <v>0</v>
      </c>
      <c r="E19455" s="8">
        <v>0</v>
      </c>
      <c r="F19455" s="8">
        <v>452</v>
      </c>
    </row>
    <row r="19456" spans="1:6" ht="12.75">
      <c r="A19456" s="8">
        <v>43895.579768518517</v>
      </c>
      <c r="B19456" s="8" t="str">
        <f>HYPERLINK("https://twitter.com/nitnotneeh","@nitnotneeh")</f>
        <v>@nitnotneeh</v>
      </c>
      <c r="C19456" s="8" t="s">
        <v>1078</v>
      </c>
      <c r="D19456" s="8">
        <v>362</v>
      </c>
      <c r="E19456" s="8">
        <v>0</v>
      </c>
      <c r="F19456" s="8">
        <v>65</v>
      </c>
    </row>
    <row r="19457" spans="1:6" ht="12.75">
      <c r="A19457" s="8">
        <v>43895.579560185186</v>
      </c>
      <c r="B19457" s="8" t="str">
        <f>HYPERLINK("https://twitter.com/wahyusaputro77","@wahyusaputro77")</f>
        <v>@wahyusaputro77</v>
      </c>
      <c r="C19457" s="8" t="s">
        <v>1078</v>
      </c>
      <c r="D19457" s="8">
        <v>362</v>
      </c>
      <c r="E19457" s="8">
        <v>0</v>
      </c>
      <c r="F19457" s="8">
        <v>92</v>
      </c>
    </row>
    <row r="19458" spans="1:6" ht="12.75">
      <c r="A19458" s="8">
        <v>43895.579386574071</v>
      </c>
      <c r="B19458" s="8" t="str">
        <f>HYPERLINK("https://twitter.com/Sastriyana","@Sastriyana")</f>
        <v>@Sastriyana</v>
      </c>
      <c r="C19458" s="8" t="s">
        <v>8013</v>
      </c>
      <c r="D19458" s="8">
        <v>0</v>
      </c>
      <c r="E19458" s="8">
        <v>0</v>
      </c>
      <c r="F19458" s="8">
        <v>252</v>
      </c>
    </row>
    <row r="19459" spans="1:6" ht="12.75">
      <c r="A19459" s="8">
        <v>43895.578622685185</v>
      </c>
      <c r="B19459" s="8" t="str">
        <f>HYPERLINK("https://twitter.com/MuhammadMario","@MuhammadMario")</f>
        <v>@MuhammadMario</v>
      </c>
      <c r="C19459" s="8" t="s">
        <v>8014</v>
      </c>
      <c r="D19459" s="8">
        <v>2</v>
      </c>
      <c r="E19459" s="8">
        <v>0</v>
      </c>
      <c r="F19459" s="8">
        <v>60</v>
      </c>
    </row>
    <row r="19460" spans="1:6" ht="12.75">
      <c r="A19460" s="8">
        <v>43895.578564814816</v>
      </c>
      <c r="B19460" s="8" t="str">
        <f>HYPERLINK("https://twitter.com/twentyoneee1","@twentyoneee1")</f>
        <v>@twentyoneee1</v>
      </c>
      <c r="C19460" s="8" t="s">
        <v>2962</v>
      </c>
      <c r="D19460" s="8">
        <v>5675</v>
      </c>
      <c r="E19460" s="8">
        <v>0</v>
      </c>
      <c r="F19460" s="8">
        <v>1</v>
      </c>
    </row>
    <row r="19461" spans="1:6" ht="12.75">
      <c r="A19461" s="8">
        <v>43895.577962962961</v>
      </c>
      <c r="B19461" s="8" t="str">
        <f>HYPERLINK("https://twitter.com/Bentir16","@Bentir16")</f>
        <v>@Bentir16</v>
      </c>
      <c r="C19461" s="8" t="s">
        <v>1078</v>
      </c>
      <c r="D19461" s="8">
        <v>362</v>
      </c>
      <c r="E19461" s="8">
        <v>0</v>
      </c>
      <c r="F19461" s="8">
        <v>1110</v>
      </c>
    </row>
    <row r="19462" spans="1:6" ht="12.75">
      <c r="A19462" s="8">
        <v>43895.577893518523</v>
      </c>
      <c r="B19462" s="8" t="str">
        <f>HYPERLINK("https://twitter.com/rain_378","@rain_378")</f>
        <v>@rain_378</v>
      </c>
      <c r="C19462" s="8" t="s">
        <v>136</v>
      </c>
      <c r="D19462" s="8">
        <v>2808</v>
      </c>
      <c r="E19462" s="8">
        <v>0</v>
      </c>
      <c r="F19462" s="8">
        <v>6</v>
      </c>
    </row>
    <row r="19463" spans="1:6" ht="12.75">
      <c r="A19463" s="8">
        <v>43895.577789351853</v>
      </c>
      <c r="B19463" s="8" t="str">
        <f>HYPERLINK("https://twitter.com/krishnayana95","@krishnayana95")</f>
        <v>@krishnayana95</v>
      </c>
      <c r="C19463" s="8" t="s">
        <v>7245</v>
      </c>
      <c r="D19463" s="8">
        <v>38</v>
      </c>
      <c r="E19463" s="8">
        <v>0</v>
      </c>
      <c r="F19463" s="8">
        <v>312</v>
      </c>
    </row>
    <row r="19464" spans="1:6" ht="12.75">
      <c r="A19464" s="8">
        <v>43895.577650462961</v>
      </c>
      <c r="B19464" s="8" t="str">
        <f>HYPERLINK("https://twitter.com/antaramakassar","@antaramakassar")</f>
        <v>@antaramakassar</v>
      </c>
      <c r="C19464" s="8" t="s">
        <v>8015</v>
      </c>
      <c r="D19464" s="8">
        <v>0</v>
      </c>
      <c r="E19464" s="8">
        <v>0</v>
      </c>
      <c r="F19464" s="8">
        <v>2641</v>
      </c>
    </row>
    <row r="19465" spans="1:6" ht="12.75">
      <c r="A19465" s="8">
        <v>43895.577499999999</v>
      </c>
      <c r="B19465" s="8" t="str">
        <f>HYPERLINK("https://twitter.com/Iwan_Kapuk","@Iwan_Kapuk")</f>
        <v>@Iwan_Kapuk</v>
      </c>
      <c r="C19465" s="8" t="s">
        <v>7796</v>
      </c>
      <c r="D19465" s="8">
        <v>97</v>
      </c>
      <c r="E19465" s="8">
        <v>0</v>
      </c>
      <c r="F19465" s="8">
        <v>2776</v>
      </c>
    </row>
    <row r="19466" spans="1:6" ht="12.75">
      <c r="A19466" s="8">
        <v>43895.577326388884</v>
      </c>
      <c r="B19466" s="8" t="str">
        <f>HYPERLINK("https://twitter.com/muslimpribumi","@muslimpribumi")</f>
        <v>@muslimpribumi</v>
      </c>
      <c r="C19466" s="8" t="s">
        <v>8016</v>
      </c>
      <c r="D19466" s="8">
        <v>0</v>
      </c>
      <c r="E19466" s="8">
        <v>0</v>
      </c>
      <c r="F19466" s="8">
        <v>2194</v>
      </c>
    </row>
    <row r="19467" spans="1:6" ht="12.75">
      <c r="A19467" s="8">
        <v>43895.575960648144</v>
      </c>
      <c r="B19467" s="8" t="str">
        <f>HYPERLINK("https://twitter.com/tongkodugunawan","@tongkodugunawan")</f>
        <v>@tongkodugunawan</v>
      </c>
      <c r="C19467" s="8" t="s">
        <v>7742</v>
      </c>
      <c r="D19467" s="8">
        <v>11</v>
      </c>
      <c r="E19467" s="8">
        <v>0</v>
      </c>
      <c r="F19467" s="8">
        <v>306</v>
      </c>
    </row>
    <row r="19468" spans="1:6" ht="12.75">
      <c r="A19468" s="8">
        <v>43895.575914351852</v>
      </c>
      <c r="B19468" s="8" t="str">
        <f>HYPERLINK("https://twitter.com/eko_wi","@eko_wi")</f>
        <v>@eko_wi</v>
      </c>
      <c r="C19468" s="8" t="s">
        <v>1078</v>
      </c>
      <c r="D19468" s="8">
        <v>362</v>
      </c>
      <c r="E19468" s="8">
        <v>0</v>
      </c>
      <c r="F19468" s="8">
        <v>3669</v>
      </c>
    </row>
    <row r="19469" spans="1:6" ht="12.75">
      <c r="A19469" s="8">
        <v>43895.575057870374</v>
      </c>
      <c r="B19469" s="8" t="str">
        <f>HYPERLINK("https://twitter.com/AryaWBPinatih47","@AryaWBPinatih47")</f>
        <v>@AryaWBPinatih47</v>
      </c>
      <c r="C19469" s="8" t="s">
        <v>1078</v>
      </c>
      <c r="D19469" s="8">
        <v>362</v>
      </c>
      <c r="E19469" s="8">
        <v>0</v>
      </c>
      <c r="F19469" s="8">
        <v>2317</v>
      </c>
    </row>
    <row r="19470" spans="1:6" ht="12.75">
      <c r="A19470" s="8">
        <v>43895.574999999997</v>
      </c>
      <c r="B19470" s="8" t="str">
        <f>HYPERLINK("https://twitter.com/evereeze","@evereeze")</f>
        <v>@evereeze</v>
      </c>
      <c r="C19470" s="8" t="s">
        <v>7242</v>
      </c>
      <c r="D19470" s="8">
        <v>71</v>
      </c>
      <c r="E19470" s="8">
        <v>0</v>
      </c>
      <c r="F19470" s="8">
        <v>305</v>
      </c>
    </row>
    <row r="19471" spans="1:6" ht="12.75">
      <c r="A19471" s="8">
        <v>43895.574837962966</v>
      </c>
      <c r="B19471" s="8" t="str">
        <f>HYPERLINK("https://twitter.com/AbolichdZ","@AbolichdZ")</f>
        <v>@AbolichdZ</v>
      </c>
      <c r="C19471" s="8" t="s">
        <v>8017</v>
      </c>
      <c r="D19471" s="8">
        <v>1</v>
      </c>
      <c r="E19471" s="8">
        <v>0</v>
      </c>
      <c r="F19471" s="8">
        <v>847</v>
      </c>
    </row>
    <row r="19472" spans="1:6" ht="12.75">
      <c r="A19472" s="8">
        <v>43895.574432870373</v>
      </c>
      <c r="B19472" s="8" t="str">
        <f>HYPERLINK("https://twitter.com/budhartono","@budhartono")</f>
        <v>@budhartono</v>
      </c>
      <c r="C19472" s="8" t="s">
        <v>1078</v>
      </c>
      <c r="D19472" s="8">
        <v>362</v>
      </c>
      <c r="E19472" s="8">
        <v>0</v>
      </c>
      <c r="F19472" s="8">
        <v>550</v>
      </c>
    </row>
    <row r="19473" spans="1:6" ht="12.75">
      <c r="A19473" s="8">
        <v>43895.574432870373</v>
      </c>
      <c r="B19473" s="8" t="str">
        <f>HYPERLINK("https://twitter.com/jawapos","@jawapos")</f>
        <v>@jawapos</v>
      </c>
      <c r="C19473" s="8" t="s">
        <v>8018</v>
      </c>
      <c r="D19473" s="8">
        <v>0</v>
      </c>
      <c r="E19473" s="8">
        <v>1</v>
      </c>
      <c r="F19473" s="8">
        <v>126442</v>
      </c>
    </row>
    <row r="19474" spans="1:6" ht="12.75">
      <c r="A19474" s="8">
        <v>43895.573657407411</v>
      </c>
      <c r="B19474" s="8" t="str">
        <f>HYPERLINK("https://twitter.com/Metro_TV","@Metro_TV")</f>
        <v>@Metro_TV</v>
      </c>
      <c r="C19474" s="8" t="s">
        <v>8019</v>
      </c>
      <c r="D19474" s="8">
        <v>0</v>
      </c>
      <c r="E19474" s="8">
        <v>0</v>
      </c>
      <c r="F19474" s="8">
        <v>10517374</v>
      </c>
    </row>
    <row r="19475" spans="1:6" ht="12.75">
      <c r="A19475" s="8">
        <v>43895.573437500003</v>
      </c>
      <c r="B19475" s="8" t="str">
        <f>HYPERLINK("https://twitter.com/BeritaWajo","@BeritaWajo")</f>
        <v>@BeritaWajo</v>
      </c>
      <c r="C19475" s="8" t="s">
        <v>8020</v>
      </c>
      <c r="D19475" s="8">
        <v>0</v>
      </c>
      <c r="E19475" s="8">
        <v>0</v>
      </c>
      <c r="F19475" s="8">
        <v>129</v>
      </c>
    </row>
    <row r="19476" spans="1:6" ht="12.75">
      <c r="A19476" s="8">
        <v>43895.573240740741</v>
      </c>
      <c r="B19476" s="8" t="str">
        <f>HYPERLINK("https://twitter.com/medcom_id","@medcom_id")</f>
        <v>@medcom_id</v>
      </c>
      <c r="C19476" s="8" t="s">
        <v>8021</v>
      </c>
      <c r="D19476" s="8">
        <v>0</v>
      </c>
      <c r="E19476" s="8">
        <v>0</v>
      </c>
      <c r="F19476" s="8">
        <v>18494</v>
      </c>
    </row>
    <row r="19477" spans="1:6" ht="12.75">
      <c r="A19477" s="8">
        <v>43895.57298611111</v>
      </c>
      <c r="B19477" s="8" t="str">
        <f>HYPERLINK("https://twitter.com/Alfdelyn","@Alfdelyn")</f>
        <v>@Alfdelyn</v>
      </c>
      <c r="C19477" s="8" t="s">
        <v>1078</v>
      </c>
      <c r="D19477" s="8">
        <v>362</v>
      </c>
      <c r="E19477" s="8">
        <v>0</v>
      </c>
      <c r="F19477" s="8">
        <v>279</v>
      </c>
    </row>
    <row r="19478" spans="1:6" ht="12.75">
      <c r="A19478" s="8">
        <v>43895.572962962964</v>
      </c>
      <c r="B19478" s="8" t="str">
        <f>HYPERLINK("https://twitter.com/masri_pd","@masri_pd")</f>
        <v>@masri_pd</v>
      </c>
      <c r="C19478" s="8" t="s">
        <v>7742</v>
      </c>
      <c r="D19478" s="8">
        <v>11</v>
      </c>
      <c r="E19478" s="8">
        <v>0</v>
      </c>
      <c r="F19478" s="8">
        <v>7</v>
      </c>
    </row>
    <row r="19479" spans="1:6" ht="12.75">
      <c r="A19479" s="8">
        <v>43895.572939814811</v>
      </c>
      <c r="B19479" s="8" t="str">
        <f>HYPERLINK("https://twitter.com/terasid","@terasid")</f>
        <v>@terasid</v>
      </c>
      <c r="C19479" s="8" t="s">
        <v>5972</v>
      </c>
      <c r="D19479" s="8">
        <v>3</v>
      </c>
      <c r="E19479" s="8">
        <v>0</v>
      </c>
      <c r="F19479" s="8">
        <v>3149</v>
      </c>
    </row>
    <row r="19480" spans="1:6" ht="12.75">
      <c r="A19480" s="8">
        <v>43895.572916666672</v>
      </c>
      <c r="B19480" s="8" t="str">
        <f>HYPERLINK("https://twitter.com/ryolandafit","@ryolandafit")</f>
        <v>@ryolandafit</v>
      </c>
      <c r="C19480" s="8" t="s">
        <v>7742</v>
      </c>
      <c r="D19480" s="8">
        <v>11</v>
      </c>
      <c r="E19480" s="8">
        <v>0</v>
      </c>
      <c r="F19480" s="8">
        <v>654</v>
      </c>
    </row>
    <row r="19481" spans="1:6" ht="12.75">
      <c r="A19481" s="8">
        <v>43895.572534722218</v>
      </c>
      <c r="B19481" s="8" t="str">
        <f>HYPERLINK("https://twitter.com/erikamelfa","@erikamelfa")</f>
        <v>@erikamelfa</v>
      </c>
      <c r="C19481" s="8" t="s">
        <v>8022</v>
      </c>
      <c r="D19481" s="8">
        <v>0</v>
      </c>
      <c r="E19481" s="8">
        <v>1</v>
      </c>
      <c r="F19481" s="8">
        <v>594</v>
      </c>
    </row>
    <row r="19482" spans="1:6" ht="12.75">
      <c r="A19482" s="8">
        <v>43895.572094907402</v>
      </c>
      <c r="B19482" s="8" t="str">
        <f>HYPERLINK("https://twitter.com/ophunkdoank","@ophunkdoank")</f>
        <v>@ophunkdoank</v>
      </c>
      <c r="C19482" s="8" t="s">
        <v>8023</v>
      </c>
      <c r="D19482" s="8">
        <v>0</v>
      </c>
      <c r="E19482" s="8">
        <v>1</v>
      </c>
      <c r="F19482" s="8">
        <v>1420</v>
      </c>
    </row>
    <row r="19483" spans="1:6" ht="12.75">
      <c r="A19483" s="8">
        <v>43895.571921296301</v>
      </c>
      <c r="B19483" s="8" t="str">
        <f>HYPERLINK("https://twitter.com/Verinata8","@Verinata8")</f>
        <v>@Verinata8</v>
      </c>
      <c r="C19483" s="8" t="s">
        <v>8024</v>
      </c>
      <c r="D19483" s="8">
        <v>21</v>
      </c>
      <c r="E19483" s="8">
        <v>0</v>
      </c>
      <c r="F19483" s="8">
        <v>294</v>
      </c>
    </row>
    <row r="19484" spans="1:6" ht="12.75">
      <c r="A19484" s="8">
        <v>43895.571909722217</v>
      </c>
      <c r="B19484" s="8" t="str">
        <f>HYPERLINK("https://twitter.com/johnsbhat234","@johnsbhat234")</f>
        <v>@johnsbhat234</v>
      </c>
      <c r="C19484" s="8" t="s">
        <v>8025</v>
      </c>
      <c r="D19484" s="8">
        <v>1</v>
      </c>
      <c r="E19484" s="8">
        <v>0</v>
      </c>
      <c r="F19484" s="8">
        <v>2320</v>
      </c>
    </row>
    <row r="19485" spans="1:6" ht="12.75">
      <c r="A19485" s="8">
        <v>43895.571631944447</v>
      </c>
      <c r="B19485" s="8" t="str">
        <f>HYPERLINK("https://twitter.com/Petani_Horti","@Petani_Horti")</f>
        <v>@Petani_Horti</v>
      </c>
      <c r="C19485" s="8" t="s">
        <v>7573</v>
      </c>
      <c r="D19485" s="8">
        <v>29</v>
      </c>
      <c r="E19485" s="8">
        <v>0</v>
      </c>
      <c r="F19485" s="8">
        <v>3179</v>
      </c>
    </row>
    <row r="19486" spans="1:6" ht="12.75">
      <c r="A19486" s="8">
        <v>43895.571516203709</v>
      </c>
      <c r="B19486" s="8" t="str">
        <f>HYPERLINK("https://twitter.com/gandung_dan","@gandung_dan")</f>
        <v>@gandung_dan</v>
      </c>
      <c r="C19486" s="8" t="s">
        <v>1078</v>
      </c>
      <c r="D19486" s="8">
        <v>362</v>
      </c>
      <c r="E19486" s="8">
        <v>0</v>
      </c>
      <c r="F19486" s="8">
        <v>157</v>
      </c>
    </row>
    <row r="19487" spans="1:6" ht="12.75">
      <c r="A19487" s="8">
        <v>43895.571145833332</v>
      </c>
      <c r="B19487" s="8" t="str">
        <f>HYPERLINK("https://twitter.com/mithasari_","@mithasari_")</f>
        <v>@mithasari_</v>
      </c>
      <c r="C19487" s="8" t="s">
        <v>7742</v>
      </c>
      <c r="D19487" s="8">
        <v>11</v>
      </c>
      <c r="E19487" s="8">
        <v>0</v>
      </c>
      <c r="F19487" s="8">
        <v>137</v>
      </c>
    </row>
    <row r="19488" spans="1:6" ht="12.75">
      <c r="A19488" s="8">
        <v>43895.571122685185</v>
      </c>
      <c r="B19488" s="8" t="str">
        <f>HYPERLINK("https://twitter.com/TEGUHSA88193635","@TEGUHSA88193635")</f>
        <v>@TEGUHSA88193635</v>
      </c>
      <c r="C19488" s="8" t="s">
        <v>7742</v>
      </c>
      <c r="D19488" s="8">
        <v>11</v>
      </c>
      <c r="E19488" s="8">
        <v>0</v>
      </c>
      <c r="F19488" s="8">
        <v>16</v>
      </c>
    </row>
    <row r="19489" spans="1:6" ht="12.75">
      <c r="A19489" s="8">
        <v>43895.570868055554</v>
      </c>
      <c r="B19489" s="8" t="str">
        <f>HYPERLINK("https://twitter.com/Nakita_ID","@Nakita_ID")</f>
        <v>@Nakita_ID</v>
      </c>
      <c r="C19489" s="8" t="s">
        <v>8026</v>
      </c>
      <c r="D19489" s="8">
        <v>0</v>
      </c>
      <c r="E19489" s="8">
        <v>0</v>
      </c>
      <c r="F19489" s="8">
        <v>25195</v>
      </c>
    </row>
    <row r="19490" spans="1:6" ht="12.75">
      <c r="A19490" s="8">
        <v>43895.570555555554</v>
      </c>
      <c r="B19490" s="8" t="str">
        <f>HYPERLINK("https://twitter.com/farid1432","@farid1432")</f>
        <v>@farid1432</v>
      </c>
      <c r="C19490" s="8" t="s">
        <v>7242</v>
      </c>
      <c r="D19490" s="8">
        <v>71</v>
      </c>
      <c r="E19490" s="8">
        <v>0</v>
      </c>
      <c r="F19490" s="8">
        <v>381</v>
      </c>
    </row>
    <row r="19491" spans="1:6" ht="12.75">
      <c r="A19491" s="8">
        <v>43895.569976851853</v>
      </c>
      <c r="B19491" s="8" t="str">
        <f>HYPERLINK("https://twitter.com/davenirvana","@davenirvana")</f>
        <v>@davenirvana</v>
      </c>
      <c r="C19491" s="8" t="s">
        <v>7742</v>
      </c>
      <c r="D19491" s="8">
        <v>11</v>
      </c>
      <c r="E19491" s="8">
        <v>0</v>
      </c>
      <c r="F19491" s="8">
        <v>981</v>
      </c>
    </row>
    <row r="19492" spans="1:6" ht="12.75">
      <c r="A19492" s="8">
        <v>43895.569861111115</v>
      </c>
      <c r="B19492" s="8" t="str">
        <f>HYPERLINK("https://twitter.com/vianratulangi","@vianratulangi")</f>
        <v>@vianratulangi</v>
      </c>
      <c r="C19492" s="8" t="s">
        <v>1078</v>
      </c>
      <c r="D19492" s="8">
        <v>362</v>
      </c>
      <c r="E19492" s="8">
        <v>0</v>
      </c>
      <c r="F19492" s="8">
        <v>1568</v>
      </c>
    </row>
    <row r="19493" spans="1:6" ht="12.75">
      <c r="A19493" s="8">
        <v>43895.569768518515</v>
      </c>
      <c r="B19493" s="8" t="str">
        <f>HYPERLINK("https://twitter.com/baskay","@baskay")</f>
        <v>@baskay</v>
      </c>
      <c r="C19493" s="8" t="s">
        <v>7742</v>
      </c>
      <c r="D19493" s="8">
        <v>11</v>
      </c>
      <c r="E19493" s="8">
        <v>0</v>
      </c>
      <c r="F19493" s="8">
        <v>225</v>
      </c>
    </row>
    <row r="19494" spans="1:6" ht="12.75">
      <c r="A19494" s="8">
        <v>43895.569641203707</v>
      </c>
      <c r="B19494" s="8" t="str">
        <f>HYPERLINK("https://twitter.com/abuy1978","@abuy1978")</f>
        <v>@abuy1978</v>
      </c>
      <c r="C19494" s="8" t="s">
        <v>1078</v>
      </c>
      <c r="D19494" s="8">
        <v>362</v>
      </c>
      <c r="E19494" s="8">
        <v>0</v>
      </c>
      <c r="F19494" s="8">
        <v>175</v>
      </c>
    </row>
    <row r="19495" spans="1:6" ht="12.75">
      <c r="A19495" s="8">
        <v>43895.569571759261</v>
      </c>
      <c r="B19495" s="8" t="str">
        <f>HYPERLINK("https://twitter.com/KompasTV","@KompasTV")</f>
        <v>@KompasTV</v>
      </c>
      <c r="C19495" s="8" t="s">
        <v>8027</v>
      </c>
      <c r="D19495" s="8">
        <v>11</v>
      </c>
      <c r="E19495" s="8">
        <v>15</v>
      </c>
      <c r="F19495" s="8">
        <v>2956560</v>
      </c>
    </row>
    <row r="19496" spans="1:6" ht="12.75">
      <c r="A19496" s="8">
        <v>43895.569293981476</v>
      </c>
      <c r="B19496" s="8" t="str">
        <f>HYPERLINK("https://twitter.com/CallOfDutyRI","@CallOfDutyRI")</f>
        <v>@CallOfDutyRI</v>
      </c>
      <c r="C19496" s="8" t="s">
        <v>8028</v>
      </c>
      <c r="D19496" s="8">
        <v>0</v>
      </c>
      <c r="E19496" s="8">
        <v>0</v>
      </c>
      <c r="F19496" s="8">
        <v>402</v>
      </c>
    </row>
    <row r="19497" spans="1:6" ht="12.75">
      <c r="A19497" s="8">
        <v>43895.569108796291</v>
      </c>
      <c r="B19497" s="8" t="str">
        <f>HYPERLINK("https://twitter.com/tonyfathony2","@tonyfathony2")</f>
        <v>@tonyfathony2</v>
      </c>
      <c r="C19497" s="8" t="s">
        <v>8029</v>
      </c>
      <c r="D19497" s="8">
        <v>0</v>
      </c>
      <c r="E19497" s="8">
        <v>1</v>
      </c>
      <c r="F19497" s="8">
        <v>1639</v>
      </c>
    </row>
    <row r="19498" spans="1:6" ht="12.75">
      <c r="A19498" s="8">
        <v>43895.569050925929</v>
      </c>
      <c r="B19498" s="8" t="str">
        <f>HYPERLINK("https://twitter.com/AisSyariif","@AisSyariif")</f>
        <v>@AisSyariif</v>
      </c>
      <c r="C19498" s="8" t="s">
        <v>1078</v>
      </c>
      <c r="D19498" s="8">
        <v>362</v>
      </c>
      <c r="E19498" s="8">
        <v>0</v>
      </c>
      <c r="F19498" s="8">
        <v>876</v>
      </c>
    </row>
    <row r="19499" spans="1:6" ht="12.75">
      <c r="A19499" s="8">
        <v>43895.56894675926</v>
      </c>
      <c r="B19499" s="8" t="str">
        <f>HYPERLINK("https://twitter.com/tonyfathony2","@tonyfathony2")</f>
        <v>@tonyfathony2</v>
      </c>
      <c r="C19499" s="8" t="s">
        <v>8030</v>
      </c>
      <c r="D19499" s="8">
        <v>0</v>
      </c>
      <c r="E19499" s="8">
        <v>0</v>
      </c>
      <c r="F19499" s="8">
        <v>1639</v>
      </c>
    </row>
    <row r="19500" spans="1:6" ht="12.75">
      <c r="A19500" s="8">
        <v>43895.568761574075</v>
      </c>
      <c r="B19500" s="8" t="str">
        <f>HYPERLINK("https://twitter.com/TeyengCekap","@TeyengCekap")</f>
        <v>@TeyengCekap</v>
      </c>
      <c r="C19500" s="8" t="s">
        <v>7473</v>
      </c>
      <c r="D19500" s="8">
        <v>343</v>
      </c>
      <c r="E19500" s="8">
        <v>0</v>
      </c>
      <c r="F19500" s="8">
        <v>5767</v>
      </c>
    </row>
    <row r="19501" spans="1:6" ht="12.75">
      <c r="A19501" s="8">
        <v>43895.568726851852</v>
      </c>
      <c r="B19501" s="8" t="str">
        <f>HYPERLINK("https://twitter.com/DesiAR_24","@DesiAR_24")</f>
        <v>@DesiAR_24</v>
      </c>
      <c r="C19501" s="8" t="s">
        <v>1078</v>
      </c>
      <c r="D19501" s="8">
        <v>362</v>
      </c>
      <c r="E19501" s="8">
        <v>0</v>
      </c>
      <c r="F19501" s="8">
        <v>527</v>
      </c>
    </row>
    <row r="19502" spans="1:6" ht="12.75">
      <c r="A19502" s="8">
        <v>43895.568668981483</v>
      </c>
      <c r="B19502" s="8" t="str">
        <f>HYPERLINK("https://twitter.com/Pancaningrum21","@Pancaningrum21")</f>
        <v>@Pancaningrum21</v>
      </c>
      <c r="C19502" s="8" t="s">
        <v>6222</v>
      </c>
      <c r="D19502" s="8">
        <v>38</v>
      </c>
      <c r="E19502" s="8">
        <v>0</v>
      </c>
      <c r="F19502" s="8">
        <v>6</v>
      </c>
    </row>
    <row r="19503" spans="1:6" ht="12.75">
      <c r="A19503" s="8">
        <v>43895.568622685183</v>
      </c>
      <c r="B19503" s="8" t="str">
        <f>HYPERLINK("https://twitter.com/Nutrisi6","@Nutrisi6")</f>
        <v>@Nutrisi6</v>
      </c>
      <c r="C19503" s="8" t="s">
        <v>8031</v>
      </c>
      <c r="D19503" s="8">
        <v>0</v>
      </c>
      <c r="E19503" s="8">
        <v>0</v>
      </c>
      <c r="F19503" s="8">
        <v>28</v>
      </c>
    </row>
    <row r="19504" spans="1:6" ht="12.75">
      <c r="A19504" s="8">
        <v>43895.568611111114</v>
      </c>
      <c r="B19504" s="8" t="str">
        <f>HYPERLINK("https://twitter.com/gunz_music","@gunz_music")</f>
        <v>@gunz_music</v>
      </c>
      <c r="C19504" s="8" t="s">
        <v>1078</v>
      </c>
      <c r="D19504" s="8">
        <v>362</v>
      </c>
      <c r="E19504" s="8">
        <v>0</v>
      </c>
      <c r="F19504" s="8">
        <v>88</v>
      </c>
    </row>
    <row r="19505" spans="1:6" ht="12.75">
      <c r="A19505" s="8">
        <v>43895.568553240737</v>
      </c>
      <c r="B19505" s="8" t="str">
        <f>HYPERLINK("https://twitter.com/ndaru_wardani","@ndaru_wardani")</f>
        <v>@ndaru_wardani</v>
      </c>
      <c r="C19505" s="8" t="s">
        <v>2979</v>
      </c>
      <c r="D19505" s="8">
        <v>218</v>
      </c>
      <c r="E19505" s="8">
        <v>0</v>
      </c>
      <c r="F19505" s="8">
        <v>304</v>
      </c>
    </row>
    <row r="19506" spans="1:6" ht="12.75">
      <c r="A19506" s="8">
        <v>43895.568171296298</v>
      </c>
      <c r="B19506" s="8" t="str">
        <f>HYPERLINK("https://twitter.com/gigitkatoangku","@gigitkatoangku")</f>
        <v>@gigitkatoangku</v>
      </c>
      <c r="C19506" s="8" t="s">
        <v>7473</v>
      </c>
      <c r="D19506" s="8">
        <v>343</v>
      </c>
      <c r="E19506" s="8">
        <v>0</v>
      </c>
      <c r="F19506" s="8">
        <v>387</v>
      </c>
    </row>
    <row r="19507" spans="1:6" ht="12.75">
      <c r="A19507" s="8">
        <v>43895.568159722221</v>
      </c>
      <c r="B19507" s="8" t="str">
        <f>HYPERLINK("https://twitter.com/AnakLolina","@AnakLolina")</f>
        <v>@AnakLolina</v>
      </c>
      <c r="C19507" s="8" t="s">
        <v>1078</v>
      </c>
      <c r="D19507" s="8">
        <v>362</v>
      </c>
      <c r="E19507" s="8">
        <v>0</v>
      </c>
      <c r="F19507" s="8">
        <v>15168</v>
      </c>
    </row>
    <row r="19508" spans="1:6" ht="12.75">
      <c r="A19508" s="8">
        <v>43895.567962962959</v>
      </c>
      <c r="B19508" s="8" t="str">
        <f>HYPERLINK("https://twitter.com/vianratulangi","@vianratulangi")</f>
        <v>@vianratulangi</v>
      </c>
      <c r="C19508" s="8" t="s">
        <v>2979</v>
      </c>
      <c r="D19508" s="8">
        <v>218</v>
      </c>
      <c r="E19508" s="8">
        <v>0</v>
      </c>
      <c r="F19508" s="8">
        <v>1568</v>
      </c>
    </row>
    <row r="19509" spans="1:6" ht="12.75">
      <c r="A19509" s="8">
        <v>43895.56795138889</v>
      </c>
      <c r="B19509" s="8" t="str">
        <f>HYPERLINK("https://twitter.com/yanxsetiahardja","@yanxsetiahardja")</f>
        <v>@yanxsetiahardja</v>
      </c>
      <c r="C19509" s="8" t="s">
        <v>7242</v>
      </c>
      <c r="D19509" s="8">
        <v>71</v>
      </c>
      <c r="E19509" s="8">
        <v>0</v>
      </c>
      <c r="F19509" s="8">
        <v>274</v>
      </c>
    </row>
    <row r="19510" spans="1:6" ht="12.75">
      <c r="A19510" s="8">
        <v>43895.567719907413</v>
      </c>
      <c r="B19510" s="8" t="str">
        <f>HYPERLINK("https://twitter.com/Baliantaranews","@Baliantaranews")</f>
        <v>@Baliantaranews</v>
      </c>
      <c r="C19510" s="8" t="s">
        <v>8032</v>
      </c>
      <c r="D19510" s="8">
        <v>1</v>
      </c>
      <c r="E19510" s="8">
        <v>0</v>
      </c>
      <c r="F19510" s="8">
        <v>744</v>
      </c>
    </row>
    <row r="19511" spans="1:6" ht="12.75">
      <c r="A19511" s="8">
        <v>43895.567615740743</v>
      </c>
      <c r="B19511" s="8" t="str">
        <f>HYPERLINK("https://twitter.com/edisonsbr","@edisonsbr")</f>
        <v>@edisonsbr</v>
      </c>
      <c r="C19511" s="8" t="s">
        <v>1078</v>
      </c>
      <c r="D19511" s="8">
        <v>362</v>
      </c>
      <c r="E19511" s="8">
        <v>0</v>
      </c>
      <c r="F19511" s="8">
        <v>77</v>
      </c>
    </row>
    <row r="19512" spans="1:6" ht="12.75">
      <c r="A19512" s="8">
        <v>43895.567615740743</v>
      </c>
      <c r="B19512" s="8" t="str">
        <f>HYPERLINK("https://twitter.com/bpn_jambi","@bpn_jambi")</f>
        <v>@bpn_jambi</v>
      </c>
      <c r="C19512" s="8" t="s">
        <v>8033</v>
      </c>
      <c r="D19512" s="8">
        <v>16</v>
      </c>
      <c r="E19512" s="8">
        <v>0</v>
      </c>
      <c r="F19512" s="8">
        <v>55</v>
      </c>
    </row>
    <row r="19513" spans="1:6" ht="12.75">
      <c r="A19513" s="8">
        <v>43895.56758101852</v>
      </c>
      <c r="B19513" s="8" t="str">
        <f>HYPERLINK("https://twitter.com/Jkw_P4ncen_Oye","@Jkw_P4ncen_Oye")</f>
        <v>@Jkw_P4ncen_Oye</v>
      </c>
      <c r="C19513" s="8" t="s">
        <v>1078</v>
      </c>
      <c r="D19513" s="8">
        <v>362</v>
      </c>
      <c r="E19513" s="8">
        <v>0</v>
      </c>
      <c r="F19513" s="8">
        <v>7808</v>
      </c>
    </row>
    <row r="19514" spans="1:6" ht="12.75">
      <c r="A19514" s="8">
        <v>43895.567407407405</v>
      </c>
      <c r="B19514" s="8" t="str">
        <f>HYPERLINK("https://twitter.com/antaranews_bali","@antaranews_bali")</f>
        <v>@antaranews_bali</v>
      </c>
      <c r="C19514" s="8" t="s">
        <v>8034</v>
      </c>
      <c r="D19514" s="8">
        <v>1</v>
      </c>
      <c r="E19514" s="8">
        <v>0</v>
      </c>
      <c r="F19514" s="8">
        <v>4943</v>
      </c>
    </row>
    <row r="19515" spans="1:6" ht="12.75">
      <c r="A19515" s="8">
        <v>43895.567337962959</v>
      </c>
      <c r="B19515" s="8" t="str">
        <f>HYPERLINK("https://twitter.com/Djoni_Macs","@Djoni_Macs")</f>
        <v>@Djoni_Macs</v>
      </c>
      <c r="C19515" s="8" t="s">
        <v>7473</v>
      </c>
      <c r="D19515" s="8">
        <v>343</v>
      </c>
      <c r="E19515" s="8">
        <v>0</v>
      </c>
      <c r="F19515" s="8">
        <v>1824</v>
      </c>
    </row>
    <row r="19516" spans="1:6" ht="12.75">
      <c r="A19516" s="8">
        <v>43895.567303240736</v>
      </c>
      <c r="B19516" s="8" t="str">
        <f>HYPERLINK("https://twitter.com/fadhim12","@fadhim12")</f>
        <v>@fadhim12</v>
      </c>
      <c r="C19516" s="8" t="s">
        <v>1078</v>
      </c>
      <c r="D19516" s="8">
        <v>362</v>
      </c>
      <c r="E19516" s="8">
        <v>0</v>
      </c>
      <c r="F19516" s="8">
        <v>194</v>
      </c>
    </row>
    <row r="19517" spans="1:6" ht="12.75">
      <c r="A19517" s="8">
        <v>43895.566944444443</v>
      </c>
      <c r="B19517" s="8" t="str">
        <f>HYPERLINK("https://twitter.com/radikradio","@radikradio")</f>
        <v>@radikradio</v>
      </c>
      <c r="C19517" s="8" t="s">
        <v>8035</v>
      </c>
      <c r="D19517" s="8">
        <v>0</v>
      </c>
      <c r="E19517" s="8">
        <v>0</v>
      </c>
      <c r="F19517" s="8">
        <v>325</v>
      </c>
    </row>
    <row r="19518" spans="1:6" ht="12.75">
      <c r="A19518" s="8">
        <v>43895.566805555558</v>
      </c>
      <c r="B19518" s="8" t="str">
        <f>HYPERLINK("https://twitter.com/diaitudyas","@diaitudyas")</f>
        <v>@diaitudyas</v>
      </c>
      <c r="C19518" s="8" t="s">
        <v>2979</v>
      </c>
      <c r="D19518" s="8">
        <v>218</v>
      </c>
      <c r="E19518" s="8">
        <v>0</v>
      </c>
      <c r="F19518" s="8">
        <v>208</v>
      </c>
    </row>
    <row r="19519" spans="1:6" ht="12.75">
      <c r="A19519" s="8">
        <v>43895.56658564815</v>
      </c>
      <c r="B19519" s="8" t="str">
        <f>HYPERLINK("https://twitter.com/vickysimatupang","@vickysimatupang")</f>
        <v>@vickysimatupang</v>
      </c>
      <c r="C19519" s="8" t="s">
        <v>1078</v>
      </c>
      <c r="D19519" s="8">
        <v>362</v>
      </c>
      <c r="E19519" s="8">
        <v>0</v>
      </c>
      <c r="F19519" s="8">
        <v>422</v>
      </c>
    </row>
    <row r="19520" spans="1:6" ht="12.75">
      <c r="A19520" s="8">
        <v>43895.56621527778</v>
      </c>
      <c r="B19520" s="8" t="str">
        <f>HYPERLINK("https://twitter.com/karyawan_biasa","@karyawan_biasa")</f>
        <v>@karyawan_biasa</v>
      </c>
      <c r="C19520" s="8" t="s">
        <v>8036</v>
      </c>
      <c r="D19520" s="8">
        <v>46</v>
      </c>
      <c r="E19520" s="8">
        <v>0</v>
      </c>
      <c r="F19520" s="8">
        <v>2688</v>
      </c>
    </row>
    <row r="19521" spans="1:6" ht="12.75">
      <c r="A19521" s="8">
        <v>43895.566087962958</v>
      </c>
      <c r="B19521" s="8" t="str">
        <f>HYPERLINK("https://twitter.com/Gunanto87031659","@Gunanto87031659")</f>
        <v>@Gunanto87031659</v>
      </c>
      <c r="C19521" s="8" t="s">
        <v>7473</v>
      </c>
      <c r="D19521" s="8">
        <v>343</v>
      </c>
      <c r="E19521" s="8">
        <v>0</v>
      </c>
      <c r="F19521" s="8">
        <v>375</v>
      </c>
    </row>
    <row r="19522" spans="1:6" ht="12.75">
      <c r="A19522" s="8">
        <v>43895.566030092596</v>
      </c>
      <c r="B19522" s="8" t="str">
        <f>HYPERLINK("https://twitter.com/forddyce92","@forddyce92")</f>
        <v>@forddyce92</v>
      </c>
      <c r="C19522" s="8" t="s">
        <v>8037</v>
      </c>
      <c r="D19522" s="8">
        <v>0</v>
      </c>
      <c r="E19522" s="8">
        <v>0</v>
      </c>
      <c r="F19522" s="8">
        <v>28</v>
      </c>
    </row>
    <row r="19523" spans="1:6" ht="12.75">
      <c r="A19523" s="8">
        <v>43895.565972222219</v>
      </c>
      <c r="B19523" s="8" t="str">
        <f>HYPERLINK("https://twitter.com/republikaonline","@republikaonline")</f>
        <v>@republikaonline</v>
      </c>
      <c r="C19523" s="8" t="s">
        <v>8038</v>
      </c>
      <c r="D19523" s="8">
        <v>1</v>
      </c>
      <c r="E19523" s="8">
        <v>4</v>
      </c>
      <c r="F19523" s="8">
        <v>1219650</v>
      </c>
    </row>
    <row r="19524" spans="1:6" ht="12.75">
      <c r="A19524" s="8">
        <v>43895.548020833332</v>
      </c>
      <c r="B19524" s="8" t="str">
        <f>HYPERLINK("https://twitter.com/asundamai","@asundamai")</f>
        <v>@asundamai</v>
      </c>
      <c r="C19524" s="8" t="s">
        <v>1078</v>
      </c>
      <c r="D19524" s="8">
        <v>289</v>
      </c>
      <c r="E19524" s="8">
        <v>0</v>
      </c>
      <c r="F19524" s="8">
        <v>1917</v>
      </c>
    </row>
    <row r="19525" spans="1:6" ht="12.75">
      <c r="A19525" s="8">
        <v>43895.54792824074</v>
      </c>
      <c r="B19525" s="8" t="str">
        <f>HYPERLINK("https://twitter.com/Santjog","@Santjog")</f>
        <v>@Santjog</v>
      </c>
      <c r="C19525" s="8" t="s">
        <v>7242</v>
      </c>
      <c r="D19525" s="8">
        <v>66</v>
      </c>
      <c r="E19525" s="8">
        <v>0</v>
      </c>
      <c r="F19525" s="8">
        <v>893</v>
      </c>
    </row>
    <row r="19526" spans="1:6" ht="12.75">
      <c r="A19526" s="8">
        <v>43895.547418981485</v>
      </c>
      <c r="B19526" s="8" t="str">
        <f>HYPERLINK("https://twitter.com/Rivelia9","@Rivelia9")</f>
        <v>@Rivelia9</v>
      </c>
      <c r="C19526" s="8" t="s">
        <v>8039</v>
      </c>
      <c r="D19526" s="8">
        <v>0</v>
      </c>
      <c r="E19526" s="8">
        <v>0</v>
      </c>
      <c r="F19526" s="8">
        <v>0</v>
      </c>
    </row>
    <row r="19527" spans="1:6" ht="12.75">
      <c r="A19527" s="8">
        <v>43895.547314814816</v>
      </c>
      <c r="B19527" s="8" t="str">
        <f>HYPERLINK("https://twitter.com/RumahJokowi","@RumahJokowi")</f>
        <v>@RumahJokowi</v>
      </c>
      <c r="C19527" s="8" t="s">
        <v>7194</v>
      </c>
      <c r="D19527" s="8">
        <v>41</v>
      </c>
      <c r="E19527" s="8">
        <v>0</v>
      </c>
      <c r="F19527" s="8">
        <v>6907</v>
      </c>
    </row>
    <row r="19528" spans="1:6" ht="12.75">
      <c r="A19528" s="8">
        <v>43895.547175925924</v>
      </c>
      <c r="B19528" s="8" t="str">
        <f>HYPERLINK("https://twitter.com/Rosi_KompasTV","@Rosi_KompasTV")</f>
        <v>@Rosi_KompasTV</v>
      </c>
      <c r="C19528" s="8" t="s">
        <v>8040</v>
      </c>
      <c r="D19528" s="8">
        <v>3</v>
      </c>
      <c r="E19528" s="8">
        <v>0</v>
      </c>
      <c r="F19528" s="8">
        <v>12814</v>
      </c>
    </row>
    <row r="19529" spans="1:6" ht="12.75">
      <c r="A19529" s="8">
        <v>43895.545960648145</v>
      </c>
      <c r="B19529" s="8" t="str">
        <f>HYPERLINK("https://twitter.com/charly_vibes73","@charly_vibes73")</f>
        <v>@charly_vibes73</v>
      </c>
      <c r="C19529" s="8" t="s">
        <v>8041</v>
      </c>
      <c r="D19529" s="8">
        <v>0</v>
      </c>
      <c r="E19529" s="8">
        <v>0</v>
      </c>
      <c r="F19529" s="8">
        <v>1226</v>
      </c>
    </row>
    <row r="19530" spans="1:6" ht="12.75">
      <c r="A19530" s="8">
        <v>43895.545104166667</v>
      </c>
      <c r="B19530" s="8" t="str">
        <f>HYPERLINK("https://twitter.com/_linimasa","@_linimasa")</f>
        <v>@_linimasa</v>
      </c>
      <c r="C19530" s="8" t="s">
        <v>8042</v>
      </c>
      <c r="D19530" s="8">
        <v>0</v>
      </c>
      <c r="E19530" s="8">
        <v>0</v>
      </c>
      <c r="F19530" s="8">
        <v>0</v>
      </c>
    </row>
    <row r="19531" spans="1:6" ht="12.75">
      <c r="A19531" s="8">
        <v>43895.544606481482</v>
      </c>
      <c r="B19531" s="8" t="str">
        <f>HYPERLINK("https://twitter.com/hendriulhe","@hendriulhe")</f>
        <v>@hendriulhe</v>
      </c>
      <c r="C19531" s="8" t="s">
        <v>7715</v>
      </c>
      <c r="D19531" s="8">
        <v>107</v>
      </c>
      <c r="E19531" s="8">
        <v>0</v>
      </c>
      <c r="F19531" s="8">
        <v>947</v>
      </c>
    </row>
    <row r="19532" spans="1:6" ht="12.75">
      <c r="A19532" s="8">
        <v>43895.544594907406</v>
      </c>
      <c r="B19532" s="8" t="str">
        <f>HYPERLINK("https://twitter.com/johny2b","@johny2b")</f>
        <v>@johny2b</v>
      </c>
      <c r="C19532" s="8" t="s">
        <v>7631</v>
      </c>
      <c r="D19532" s="8">
        <v>1</v>
      </c>
      <c r="E19532" s="8">
        <v>0</v>
      </c>
      <c r="F19532" s="8">
        <v>1740</v>
      </c>
    </row>
    <row r="19533" spans="1:6" ht="12.75">
      <c r="A19533" s="8">
        <v>43895.544479166667</v>
      </c>
      <c r="B19533" s="8" t="str">
        <f>HYPERLINK("https://twitter.com/Nkrikuindonesi8","@Nkrikuindonesi8")</f>
        <v>@Nkrikuindonesi8</v>
      </c>
      <c r="C19533" s="8" t="s">
        <v>7845</v>
      </c>
      <c r="D19533" s="8">
        <v>68</v>
      </c>
      <c r="E19533" s="8">
        <v>0</v>
      </c>
      <c r="F19533" s="8">
        <v>137</v>
      </c>
    </row>
    <row r="19534" spans="1:6" ht="12.75">
      <c r="A19534" s="8">
        <v>43895.544270833328</v>
      </c>
      <c r="B19534" s="8" t="str">
        <f>HYPERLINK("https://twitter.com/indovoices_com","@indovoices_com")</f>
        <v>@indovoices_com</v>
      </c>
      <c r="C19534" s="8" t="s">
        <v>8043</v>
      </c>
      <c r="D19534" s="8">
        <v>0</v>
      </c>
      <c r="E19534" s="8">
        <v>0</v>
      </c>
      <c r="F19534" s="8">
        <v>125</v>
      </c>
    </row>
    <row r="19535" spans="1:6" ht="12.75">
      <c r="A19535" s="8">
        <v>43895.544224537036</v>
      </c>
      <c r="B19535" s="8" t="str">
        <f>HYPERLINK("https://twitter.com/soenardo","@soenardo")</f>
        <v>@soenardo</v>
      </c>
      <c r="C19535" s="8" t="s">
        <v>8043</v>
      </c>
      <c r="D19535" s="8">
        <v>0</v>
      </c>
      <c r="E19535" s="8">
        <v>0</v>
      </c>
      <c r="F19535" s="8">
        <v>50</v>
      </c>
    </row>
    <row r="19536" spans="1:6" ht="12.75">
      <c r="A19536" s="8">
        <v>43895.543715277774</v>
      </c>
      <c r="B19536" s="8" t="str">
        <f>HYPERLINK("https://twitter.com/jayapranapro","@jayapranapro")</f>
        <v>@jayapranapro</v>
      </c>
      <c r="C19536" s="8" t="s">
        <v>8044</v>
      </c>
      <c r="D19536" s="8">
        <v>0</v>
      </c>
      <c r="E19536" s="8">
        <v>0</v>
      </c>
      <c r="F19536" s="8">
        <v>196</v>
      </c>
    </row>
    <row r="19537" spans="1:6" ht="12.75">
      <c r="A19537" s="8">
        <v>43895.543576388889</v>
      </c>
      <c r="B19537" s="8" t="str">
        <f>HYPERLINK("https://twitter.com/nilamerah1","@nilamerah1")</f>
        <v>@nilamerah1</v>
      </c>
      <c r="C19537" s="8" t="s">
        <v>8045</v>
      </c>
      <c r="D19537" s="8">
        <v>9</v>
      </c>
      <c r="E19537" s="8">
        <v>0</v>
      </c>
      <c r="F19537" s="8">
        <v>3836</v>
      </c>
    </row>
    <row r="19538" spans="1:6" ht="12.75">
      <c r="A19538" s="8">
        <v>43895.543530092589</v>
      </c>
      <c r="B19538" s="8" t="str">
        <f>HYPERLINK("https://twitter.com/Yeyen41020695","@Yeyen41020695")</f>
        <v>@Yeyen41020695</v>
      </c>
      <c r="C19538" s="8" t="s">
        <v>8046</v>
      </c>
      <c r="D19538" s="8">
        <v>0</v>
      </c>
      <c r="E19538" s="8">
        <v>0</v>
      </c>
      <c r="F19538" s="8">
        <v>1887</v>
      </c>
    </row>
    <row r="19539" spans="1:6" ht="12.75">
      <c r="A19539" s="8">
        <v>43895.543194444443</v>
      </c>
      <c r="B19539" s="8" t="str">
        <f>HYPERLINK("https://twitter.com/asvaynevc","@asvaynevc")</f>
        <v>@asvaynevc</v>
      </c>
      <c r="C19539" s="8" t="s">
        <v>8047</v>
      </c>
      <c r="D19539" s="8">
        <v>0</v>
      </c>
      <c r="E19539" s="8">
        <v>0</v>
      </c>
      <c r="F19539" s="8">
        <v>3</v>
      </c>
    </row>
    <row r="19540" spans="1:6" ht="12.75">
      <c r="A19540" s="8">
        <v>43895.543194444443</v>
      </c>
      <c r="B19540" s="8" t="str">
        <f>HYPERLINK("https://twitter.com/Alfangendut1","@Alfangendut1")</f>
        <v>@Alfangendut1</v>
      </c>
      <c r="C19540" s="8" t="s">
        <v>7473</v>
      </c>
      <c r="D19540" s="8">
        <v>331</v>
      </c>
      <c r="E19540" s="8">
        <v>0</v>
      </c>
      <c r="F19540" s="8">
        <v>1384</v>
      </c>
    </row>
    <row r="19541" spans="1:6" ht="12.75">
      <c r="A19541" s="8">
        <v>43895.543113425927</v>
      </c>
      <c r="B19541" s="8" t="str">
        <f>HYPERLINK("https://twitter.com/dhammaratano","@dhammaratano")</f>
        <v>@dhammaratano</v>
      </c>
      <c r="C19541" s="8" t="s">
        <v>8048</v>
      </c>
      <c r="D19541" s="8">
        <v>0</v>
      </c>
      <c r="E19541" s="8">
        <v>0</v>
      </c>
      <c r="F19541" s="8">
        <v>665</v>
      </c>
    </row>
    <row r="19542" spans="1:6" ht="12.75">
      <c r="A19542" s="8">
        <v>43895.542754629627</v>
      </c>
      <c r="B19542" s="8" t="str">
        <f>HYPERLINK("https://twitter.com/Jaya_Ind","@Jaya_Ind")</f>
        <v>@Jaya_Ind</v>
      </c>
      <c r="C19542" s="8" t="s">
        <v>8049</v>
      </c>
      <c r="D19542" s="8">
        <v>0</v>
      </c>
      <c r="E19542" s="8">
        <v>0</v>
      </c>
      <c r="F19542" s="8">
        <v>2933</v>
      </c>
    </row>
    <row r="19543" spans="1:6" ht="12.75">
      <c r="A19543" s="8">
        <v>43895.542048611111</v>
      </c>
      <c r="B19543" s="8" t="str">
        <f>HYPERLINK("https://twitter.com/AgusSal52","@AgusSal52")</f>
        <v>@AgusSal52</v>
      </c>
      <c r="C19543" s="8" t="s">
        <v>1078</v>
      </c>
      <c r="D19543" s="8">
        <v>289</v>
      </c>
      <c r="E19543" s="8">
        <v>0</v>
      </c>
      <c r="F19543" s="8">
        <v>1175</v>
      </c>
    </row>
    <row r="19544" spans="1:6" ht="12.75">
      <c r="A19544" s="8">
        <v>43895.542048611111</v>
      </c>
      <c r="B19544" s="8" t="str">
        <f>HYPERLINK("https://twitter.com/olis_solis","@olis_solis")</f>
        <v>@olis_solis</v>
      </c>
      <c r="C19544" s="8" t="s">
        <v>1078</v>
      </c>
      <c r="D19544" s="8">
        <v>289</v>
      </c>
      <c r="E19544" s="8">
        <v>0</v>
      </c>
      <c r="F19544" s="8">
        <v>129</v>
      </c>
    </row>
    <row r="19545" spans="1:6" ht="12.75">
      <c r="A19545" s="8">
        <v>43895.541631944448</v>
      </c>
      <c r="B19545" s="8" t="str">
        <f>HYPERLINK("https://twitter.com/Sontolo29062151","@Sontolo29062151")</f>
        <v>@Sontolo29062151</v>
      </c>
      <c r="C19545" s="8" t="s">
        <v>8050</v>
      </c>
      <c r="D19545" s="8">
        <v>0</v>
      </c>
      <c r="E19545" s="8">
        <v>0</v>
      </c>
      <c r="F19545" s="8">
        <v>18</v>
      </c>
    </row>
    <row r="19546" spans="1:6" ht="12.75">
      <c r="A19546" s="8">
        <v>43895.541539351849</v>
      </c>
      <c r="B19546" s="8" t="str">
        <f>HYPERLINK("https://twitter.com/Yeyen41020695","@Yeyen41020695")</f>
        <v>@Yeyen41020695</v>
      </c>
      <c r="C19546" s="8" t="s">
        <v>8051</v>
      </c>
      <c r="D19546" s="8">
        <v>0</v>
      </c>
      <c r="E19546" s="8">
        <v>0</v>
      </c>
      <c r="F19546" s="8">
        <v>1887</v>
      </c>
    </row>
    <row r="19547" spans="1:6" ht="12.75">
      <c r="A19547" s="8">
        <v>43895.541388888887</v>
      </c>
      <c r="B19547" s="8" t="str">
        <f>HYPERLINK("https://twitter.com/puthut_Awe","@puthut_Awe")</f>
        <v>@puthut_Awe</v>
      </c>
      <c r="C19547" s="8" t="s">
        <v>1078</v>
      </c>
      <c r="D19547" s="8">
        <v>289</v>
      </c>
      <c r="E19547" s="8">
        <v>0</v>
      </c>
      <c r="F19547" s="8">
        <v>382</v>
      </c>
    </row>
    <row r="19548" spans="1:6" ht="12.75">
      <c r="A19548" s="8">
        <v>43895.541180555556</v>
      </c>
      <c r="B19548" s="8" t="str">
        <f>HYPERLINK("https://twitter.com/Magersuu","@Magersuu")</f>
        <v>@Magersuu</v>
      </c>
      <c r="C19548" s="8" t="s">
        <v>1078</v>
      </c>
      <c r="D19548" s="8">
        <v>289</v>
      </c>
      <c r="E19548" s="8">
        <v>0</v>
      </c>
      <c r="F19548" s="8">
        <v>101</v>
      </c>
    </row>
    <row r="19549" spans="1:6" ht="12.75">
      <c r="A19549" s="8">
        <v>43895.540995370371</v>
      </c>
      <c r="B19549" s="8" t="str">
        <f>HYPERLINK("https://twitter.com/kompascom","@kompascom")</f>
        <v>@kompascom</v>
      </c>
      <c r="C19549" s="8" t="s">
        <v>8052</v>
      </c>
      <c r="D19549" s="8">
        <v>0</v>
      </c>
      <c r="E19549" s="8">
        <v>4</v>
      </c>
      <c r="F19549" s="8">
        <v>7529519</v>
      </c>
    </row>
    <row r="19550" spans="1:6" ht="12.75">
      <c r="A19550" s="8">
        <v>43895.540682870371</v>
      </c>
      <c r="B19550" s="8" t="str">
        <f>HYPERLINK("https://twitter.com/AfifahLow","@AfifahLow")</f>
        <v>@AfifahLow</v>
      </c>
      <c r="C19550" s="8" t="s">
        <v>7692</v>
      </c>
      <c r="D19550" s="8">
        <v>12</v>
      </c>
      <c r="E19550" s="8">
        <v>0</v>
      </c>
      <c r="F19550" s="8">
        <v>178</v>
      </c>
    </row>
    <row r="19551" spans="1:6" ht="12.75">
      <c r="A19551" s="8">
        <v>43895.540370370371</v>
      </c>
      <c r="B19551" s="8" t="str">
        <f>HYPERLINK("https://twitter.com/Sai67104409","@Sai67104409")</f>
        <v>@Sai67104409</v>
      </c>
      <c r="C19551" s="8" t="s">
        <v>7975</v>
      </c>
      <c r="D19551" s="8">
        <v>6</v>
      </c>
      <c r="E19551" s="8">
        <v>0</v>
      </c>
      <c r="F19551" s="8">
        <v>183</v>
      </c>
    </row>
    <row r="19552" spans="1:6" ht="12.75">
      <c r="A19552" s="8">
        <v>43895.540219907409</v>
      </c>
      <c r="B19552" s="8" t="str">
        <f>HYPERLINK("https://twitter.com/Solinlubis","@Solinlubis")</f>
        <v>@Solinlubis</v>
      </c>
      <c r="C19552" s="8" t="s">
        <v>8053</v>
      </c>
      <c r="D19552" s="8">
        <v>0</v>
      </c>
      <c r="E19552" s="8">
        <v>0</v>
      </c>
      <c r="F19552" s="8">
        <v>51</v>
      </c>
    </row>
    <row r="19553" spans="1:6" ht="12.75">
      <c r="A19553" s="8">
        <v>43895.539814814816</v>
      </c>
      <c r="B19553" s="8" t="str">
        <f>HYPERLINK("https://twitter.com/johnsimonwijaya","@johnsimonwijaya")</f>
        <v>@johnsimonwijaya</v>
      </c>
      <c r="C19553" s="8" t="s">
        <v>8054</v>
      </c>
      <c r="D19553" s="8">
        <v>0</v>
      </c>
      <c r="E19553" s="8">
        <v>0</v>
      </c>
      <c r="F19553" s="8">
        <v>278</v>
      </c>
    </row>
    <row r="19554" spans="1:6" ht="12.75">
      <c r="A19554" s="8">
        <v>43895.539733796293</v>
      </c>
      <c r="B19554" s="8" t="str">
        <f>HYPERLINK("https://twitter.com/Cendikp","@Cendikp")</f>
        <v>@Cendikp</v>
      </c>
      <c r="C19554" s="8" t="s">
        <v>1318</v>
      </c>
      <c r="D19554" s="8">
        <v>23229</v>
      </c>
      <c r="E19554" s="8">
        <v>0</v>
      </c>
      <c r="F19554" s="8">
        <v>31</v>
      </c>
    </row>
    <row r="19555" spans="1:6" ht="12.75">
      <c r="A19555" s="8">
        <v>43895.538946759261</v>
      </c>
      <c r="B19555" s="8" t="str">
        <f>HYPERLINK("https://twitter.com/jessy_bintang","@jessy_bintang")</f>
        <v>@jessy_bintang</v>
      </c>
      <c r="C19555" s="8" t="s">
        <v>8055</v>
      </c>
      <c r="D19555" s="8">
        <v>0</v>
      </c>
      <c r="E19555" s="8">
        <v>0</v>
      </c>
      <c r="F19555" s="8">
        <v>125</v>
      </c>
    </row>
    <row r="19556" spans="1:6" ht="12.75">
      <c r="A19556" s="8">
        <v>43895.537673611107</v>
      </c>
      <c r="B19556" s="8" t="str">
        <f>HYPERLINK("https://twitter.com/muel_power","@muel_power")</f>
        <v>@muel_power</v>
      </c>
      <c r="C19556" s="8" t="s">
        <v>8056</v>
      </c>
      <c r="D19556" s="8">
        <v>0</v>
      </c>
      <c r="E19556" s="8">
        <v>1</v>
      </c>
      <c r="F19556" s="8">
        <v>1760</v>
      </c>
    </row>
    <row r="19557" spans="1:6" ht="12.75">
      <c r="A19557" s="8">
        <v>43895.537627314814</v>
      </c>
      <c r="B19557" s="8" t="str">
        <f>HYPERLINK("https://twitter.com/Ohs766hi","@Ohs766hi")</f>
        <v>@Ohs766hi</v>
      </c>
      <c r="C19557" s="8" t="s">
        <v>1078</v>
      </c>
      <c r="D19557" s="8">
        <v>289</v>
      </c>
      <c r="E19557" s="8">
        <v>0</v>
      </c>
      <c r="F19557" s="8">
        <v>77</v>
      </c>
    </row>
    <row r="19558" spans="1:6" ht="12.75">
      <c r="A19558" s="8">
        <v>43895.537291666667</v>
      </c>
      <c r="B19558" s="8" t="str">
        <f>HYPERLINK("https://twitter.com/Yeyen41020695","@Yeyen41020695")</f>
        <v>@Yeyen41020695</v>
      </c>
      <c r="C19558" s="8" t="s">
        <v>8057</v>
      </c>
      <c r="D19558" s="8">
        <v>0</v>
      </c>
      <c r="E19558" s="8">
        <v>0</v>
      </c>
      <c r="F19558" s="8">
        <v>1887</v>
      </c>
    </row>
    <row r="19559" spans="1:6" ht="12.75">
      <c r="A19559" s="8">
        <v>43895.537199074075</v>
      </c>
      <c r="B19559" s="8" t="str">
        <f>HYPERLINK("https://twitter.com/AaaRailways","@AaaRailways")</f>
        <v>@AaaRailways</v>
      </c>
      <c r="C19559" s="8" t="s">
        <v>1078</v>
      </c>
      <c r="D19559" s="8">
        <v>289</v>
      </c>
      <c r="E19559" s="8">
        <v>0</v>
      </c>
      <c r="F19559" s="8">
        <v>331</v>
      </c>
    </row>
    <row r="19560" spans="1:6" ht="12.75">
      <c r="A19560" s="8">
        <v>43895.536759259259</v>
      </c>
      <c r="B19560" s="8" t="str">
        <f>HYPERLINK("https://twitter.com/TasunPawanto507","@TasunPawanto507")</f>
        <v>@TasunPawanto507</v>
      </c>
      <c r="C19560" s="8" t="s">
        <v>1078</v>
      </c>
      <c r="D19560" s="8">
        <v>289</v>
      </c>
      <c r="E19560" s="8">
        <v>0</v>
      </c>
      <c r="F19560" s="8">
        <v>1648</v>
      </c>
    </row>
    <row r="19561" spans="1:6" ht="12.75">
      <c r="A19561" s="8">
        <v>43895.536423611113</v>
      </c>
      <c r="B19561" s="8" t="str">
        <f>HYPERLINK("https://twitter.com/faizuddaroyin","@faizuddaroyin")</f>
        <v>@faizuddaroyin</v>
      </c>
      <c r="C19561" s="8" t="s">
        <v>1078</v>
      </c>
      <c r="D19561" s="8">
        <v>289</v>
      </c>
      <c r="E19561" s="8">
        <v>0</v>
      </c>
      <c r="F19561" s="8">
        <v>481</v>
      </c>
    </row>
    <row r="19562" spans="1:6" ht="12.75">
      <c r="A19562" s="8">
        <v>43895.53633101852</v>
      </c>
      <c r="B19562" s="8" t="str">
        <f>HYPERLINK("https://twitter.com/SitompulYunus","@SitompulYunus")</f>
        <v>@SitompulYunus</v>
      </c>
      <c r="C19562" s="8" t="s">
        <v>7987</v>
      </c>
      <c r="D19562" s="8">
        <v>36</v>
      </c>
      <c r="E19562" s="8">
        <v>0</v>
      </c>
      <c r="F19562" s="8">
        <v>872</v>
      </c>
    </row>
    <row r="19563" spans="1:6" ht="12.75">
      <c r="A19563" s="8">
        <v>43895.535821759258</v>
      </c>
      <c r="B19563" s="8" t="str">
        <f>HYPERLINK("https://twitter.com/iwakpeyeku","@iwakpeyeku")</f>
        <v>@iwakpeyeku</v>
      </c>
      <c r="C19563" s="8" t="s">
        <v>1078</v>
      </c>
      <c r="D19563" s="8">
        <v>289</v>
      </c>
      <c r="E19563" s="8">
        <v>0</v>
      </c>
      <c r="F19563" s="8">
        <v>710</v>
      </c>
    </row>
    <row r="19564" spans="1:6" ht="12.75">
      <c r="A19564" s="8">
        <v>43895.535763888889</v>
      </c>
      <c r="B19564" s="8" t="str">
        <f>HYPERLINK("https://twitter.com/eizanfolks","@eizanfolks")</f>
        <v>@eizanfolks</v>
      </c>
      <c r="C19564" s="8" t="s">
        <v>1078</v>
      </c>
      <c r="D19564" s="8">
        <v>289</v>
      </c>
      <c r="E19564" s="8">
        <v>0</v>
      </c>
      <c r="F19564" s="8">
        <v>8886</v>
      </c>
    </row>
    <row r="19565" spans="1:6" ht="12.75">
      <c r="A19565" s="8">
        <v>43895.535659722227</v>
      </c>
      <c r="B19565" s="8" t="str">
        <f>HYPERLINK("https://twitter.com/THadikusumo","@THadikusumo")</f>
        <v>@THadikusumo</v>
      </c>
      <c r="C19565" s="8" t="s">
        <v>2979</v>
      </c>
      <c r="D19565" s="8">
        <v>210</v>
      </c>
      <c r="E19565" s="8">
        <v>0</v>
      </c>
      <c r="F19565" s="8">
        <v>106</v>
      </c>
    </row>
    <row r="19566" spans="1:6" ht="12.75">
      <c r="A19566" s="8">
        <v>43895.535659722227</v>
      </c>
      <c r="B19566" s="8" t="str">
        <f>HYPERLINK("https://twitter.com/IntiHarsojo","@IntiHarsojo")</f>
        <v>@IntiHarsojo</v>
      </c>
      <c r="C19566" s="8" t="s">
        <v>8058</v>
      </c>
      <c r="D19566" s="8">
        <v>0</v>
      </c>
      <c r="E19566" s="8">
        <v>0</v>
      </c>
      <c r="F19566" s="8">
        <v>197</v>
      </c>
    </row>
    <row r="19567" spans="1:6" ht="12.75">
      <c r="A19567" s="8">
        <v>43895.535543981481</v>
      </c>
      <c r="B19567" s="8" t="str">
        <f>HYPERLINK("https://twitter.com/ryolandafit","@ryolandafit")</f>
        <v>@ryolandafit</v>
      </c>
      <c r="C19567" s="8" t="s">
        <v>7753</v>
      </c>
      <c r="D19567" s="8">
        <v>2</v>
      </c>
      <c r="E19567" s="8">
        <v>0</v>
      </c>
      <c r="F19567" s="8">
        <v>654</v>
      </c>
    </row>
    <row r="19568" spans="1:6" ht="12.75">
      <c r="A19568" s="8">
        <v>43895.53424768518</v>
      </c>
      <c r="B19568" s="8" t="str">
        <f>HYPERLINK("https://twitter.com/JussovaS","@JussovaS")</f>
        <v>@JussovaS</v>
      </c>
      <c r="C19568" s="8" t="s">
        <v>6222</v>
      </c>
      <c r="D19568" s="8">
        <v>37</v>
      </c>
      <c r="E19568" s="8">
        <v>0</v>
      </c>
      <c r="F19568" s="8">
        <v>26</v>
      </c>
    </row>
    <row r="19569" spans="1:6" ht="12.75">
      <c r="A19569" s="8">
        <v>43895.534120370372</v>
      </c>
      <c r="B19569" s="8" t="str">
        <f>HYPERLINK("https://twitter.com/Dhabbxy","@Dhabbxy")</f>
        <v>@Dhabbxy</v>
      </c>
      <c r="C19569" s="8" t="s">
        <v>8059</v>
      </c>
      <c r="D19569" s="8">
        <v>0</v>
      </c>
      <c r="E19569" s="8">
        <v>0</v>
      </c>
      <c r="F19569" s="8">
        <v>198</v>
      </c>
    </row>
    <row r="19570" spans="1:6" ht="12.75">
      <c r="A19570" s="8">
        <v>43895.533912037034</v>
      </c>
      <c r="B19570" s="8" t="str">
        <f>HYPERLINK("https://twitter.com/ryolandafit","@ryolandafit")</f>
        <v>@ryolandafit</v>
      </c>
      <c r="C19570" s="8" t="s">
        <v>8060</v>
      </c>
      <c r="D19570" s="8">
        <v>1</v>
      </c>
      <c r="E19570" s="8">
        <v>0</v>
      </c>
      <c r="F19570" s="8">
        <v>654</v>
      </c>
    </row>
    <row r="19571" spans="1:6" ht="12.75">
      <c r="A19571" s="8">
        <v>43895.533703703702</v>
      </c>
      <c r="B19571" s="8" t="str">
        <f>HYPERLINK("https://twitter.com/ruangobrol_id","@ruangobrol_id")</f>
        <v>@ruangobrol_id</v>
      </c>
      <c r="C19571" s="8" t="s">
        <v>8061</v>
      </c>
      <c r="D19571" s="8">
        <v>1</v>
      </c>
      <c r="E19571" s="8">
        <v>0</v>
      </c>
      <c r="F19571" s="8">
        <v>163</v>
      </c>
    </row>
    <row r="19572" spans="1:6" ht="12.75">
      <c r="A19572" s="8">
        <v>43895.53334490741</v>
      </c>
      <c r="B19572" s="8" t="str">
        <f>HYPERLINK("https://twitter.com/ekoesnadi","@ekoesnadi")</f>
        <v>@ekoesnadi</v>
      </c>
      <c r="C19572" s="8" t="s">
        <v>1078</v>
      </c>
      <c r="D19572" s="8">
        <v>289</v>
      </c>
      <c r="E19572" s="8">
        <v>0</v>
      </c>
      <c r="F19572" s="8">
        <v>1142</v>
      </c>
    </row>
    <row r="19573" spans="1:6" ht="12.75">
      <c r="A19573" s="8">
        <v>43895.533136574071</v>
      </c>
      <c r="B19573" s="8" t="str">
        <f>HYPERLINK("https://twitter.com/i_Pras","@i_Pras")</f>
        <v>@i_Pras</v>
      </c>
      <c r="C19573" s="8" t="s">
        <v>1078</v>
      </c>
      <c r="D19573" s="8">
        <v>289</v>
      </c>
      <c r="E19573" s="8">
        <v>0</v>
      </c>
      <c r="F19573" s="8">
        <v>1057</v>
      </c>
    </row>
    <row r="19574" spans="1:6" ht="12.75">
      <c r="A19574" s="8">
        <v>43895.532800925925</v>
      </c>
      <c r="B19574" s="8" t="str">
        <f>HYPERLINK("https://twitter.com/Fandisopan_SRG","@Fandisopan_SRG")</f>
        <v>@Fandisopan_SRG</v>
      </c>
      <c r="C19574" s="8" t="s">
        <v>8062</v>
      </c>
      <c r="D19574" s="8">
        <v>2</v>
      </c>
      <c r="E19574" s="8">
        <v>0</v>
      </c>
      <c r="F19574" s="8">
        <v>355</v>
      </c>
    </row>
    <row r="19575" spans="1:6" ht="12.75">
      <c r="A19575" s="8">
        <v>43895.532777777778</v>
      </c>
      <c r="B19575" s="8" t="str">
        <f>HYPERLINK("https://twitter.com/ndorobbs","@ndorobbs")</f>
        <v>@ndorobbs</v>
      </c>
      <c r="C19575" s="8" t="s">
        <v>8063</v>
      </c>
      <c r="D19575" s="8">
        <v>0</v>
      </c>
      <c r="E19575" s="8">
        <v>0</v>
      </c>
      <c r="F19575" s="8">
        <v>170</v>
      </c>
    </row>
    <row r="19576" spans="1:6" ht="12.75">
      <c r="A19576" s="8">
        <v>43895.532349537039</v>
      </c>
      <c r="B19576" s="8" t="str">
        <f>HYPERLINK("https://twitter.com/AndreantoHendra","@AndreantoHendra")</f>
        <v>@AndreantoHendra</v>
      </c>
      <c r="C19576" s="8" t="s">
        <v>1078</v>
      </c>
      <c r="D19576" s="8">
        <v>289</v>
      </c>
      <c r="E19576" s="8">
        <v>0</v>
      </c>
      <c r="F19576" s="8">
        <v>1370</v>
      </c>
    </row>
    <row r="19577" spans="1:6" ht="12.75">
      <c r="A19577" s="8">
        <v>43895.531967592593</v>
      </c>
      <c r="B19577" s="8" t="str">
        <f>HYPERLINK("https://twitter.com/ir_setiawan66","@ir_setiawan66")</f>
        <v>@ir_setiawan66</v>
      </c>
      <c r="C19577" s="8" t="s">
        <v>1078</v>
      </c>
      <c r="D19577" s="8">
        <v>289</v>
      </c>
      <c r="E19577" s="8">
        <v>0</v>
      </c>
      <c r="F19577" s="8">
        <v>463</v>
      </c>
    </row>
    <row r="19578" spans="1:6" ht="12.75">
      <c r="A19578" s="8">
        <v>43895.531631944439</v>
      </c>
      <c r="B19578" s="8" t="str">
        <f>HYPERLINK("https://twitter.com/endahdwi19","@endahdwi19")</f>
        <v>@endahdwi19</v>
      </c>
      <c r="C19578" s="8" t="s">
        <v>8024</v>
      </c>
      <c r="D19578" s="8">
        <v>20</v>
      </c>
      <c r="E19578" s="8">
        <v>0</v>
      </c>
      <c r="F19578" s="8">
        <v>149</v>
      </c>
    </row>
    <row r="19579" spans="1:6" ht="12.75">
      <c r="A19579" s="8">
        <v>43895.531377314815</v>
      </c>
      <c r="B19579" s="8" t="str">
        <f>HYPERLINK("https://twitter.com/masochim","@masochim")</f>
        <v>@masochim</v>
      </c>
      <c r="C19579" s="8" t="s">
        <v>1078</v>
      </c>
      <c r="D19579" s="8">
        <v>289</v>
      </c>
      <c r="E19579" s="8">
        <v>0</v>
      </c>
      <c r="F19579" s="8">
        <v>750</v>
      </c>
    </row>
    <row r="19580" spans="1:6" ht="12.75">
      <c r="A19580" s="8">
        <v>43895.531319444446</v>
      </c>
      <c r="B19580" s="8" t="str">
        <f>HYPERLINK("https://twitter.com/andrsetya81","@andrsetya81")</f>
        <v>@andrsetya81</v>
      </c>
      <c r="C19580" s="8" t="s">
        <v>1078</v>
      </c>
      <c r="D19580" s="8">
        <v>289</v>
      </c>
      <c r="E19580" s="8">
        <v>0</v>
      </c>
      <c r="F19580" s="8">
        <v>2486</v>
      </c>
    </row>
    <row r="19581" spans="1:6" ht="12.75">
      <c r="A19581" s="8">
        <v>43895.531168981484</v>
      </c>
      <c r="B19581" s="8" t="str">
        <f>HYPERLINK("https://twitter.com/kadrun77853825","@kadrun77853825")</f>
        <v>@kadrun77853825</v>
      </c>
      <c r="C19581" s="8" t="s">
        <v>1078</v>
      </c>
      <c r="D19581" s="8">
        <v>289</v>
      </c>
      <c r="E19581" s="8">
        <v>0</v>
      </c>
      <c r="F19581" s="8">
        <v>1014</v>
      </c>
    </row>
    <row r="19582" spans="1:6" ht="12.75">
      <c r="A19582" s="8">
        <v>43895.530671296292</v>
      </c>
      <c r="B19582" s="8" t="str">
        <f>HYPERLINK("https://twitter.com/zuriswanfajri","@zuriswanfajri")</f>
        <v>@zuriswanfajri</v>
      </c>
      <c r="C19582" s="8" t="s">
        <v>7975</v>
      </c>
      <c r="D19582" s="8">
        <v>6</v>
      </c>
      <c r="E19582" s="8">
        <v>0</v>
      </c>
      <c r="F19582" s="8">
        <v>4470</v>
      </c>
    </row>
    <row r="19583" spans="1:6" ht="12.75">
      <c r="A19583" s="8">
        <v>43895.530509259261</v>
      </c>
      <c r="B19583" s="8" t="str">
        <f>HYPERLINK("https://twitter.com/minalmaimanah","@minalmaimanah")</f>
        <v>@minalmaimanah</v>
      </c>
      <c r="C19583" s="8" t="s">
        <v>8064</v>
      </c>
      <c r="D19583" s="8">
        <v>0</v>
      </c>
      <c r="E19583" s="8">
        <v>0</v>
      </c>
      <c r="F19583" s="8">
        <v>456</v>
      </c>
    </row>
    <row r="19584" spans="1:6" ht="12.75">
      <c r="A19584" s="8">
        <v>43895.530011574076</v>
      </c>
      <c r="B19584" s="8" t="str">
        <f>HYPERLINK("https://twitter.com/rafahel_j","@rafahel_j")</f>
        <v>@rafahel_j</v>
      </c>
      <c r="C19584" s="8" t="s">
        <v>1078</v>
      </c>
      <c r="D19584" s="8">
        <v>289</v>
      </c>
      <c r="E19584" s="8">
        <v>0</v>
      </c>
      <c r="F19584" s="8">
        <v>3452</v>
      </c>
    </row>
    <row r="19585" spans="1:6" ht="12.75">
      <c r="A19585" s="8">
        <v>43895.529953703706</v>
      </c>
      <c r="B19585" s="8" t="str">
        <f>HYPERLINK("https://twitter.com/Ben_smj","@Ben_smj")</f>
        <v>@Ben_smj</v>
      </c>
      <c r="C19585" s="8" t="s">
        <v>1078</v>
      </c>
      <c r="D19585" s="8">
        <v>289</v>
      </c>
      <c r="E19585" s="8">
        <v>0</v>
      </c>
      <c r="F19585" s="8">
        <v>103</v>
      </c>
    </row>
    <row r="19586" spans="1:6" ht="12.75">
      <c r="A19586" s="8">
        <v>43895.529502314814</v>
      </c>
      <c r="B19586" s="8" t="str">
        <f>HYPERLINK("https://twitter.com/GalihPersadha","@GalihPersadha")</f>
        <v>@GalihPersadha</v>
      </c>
      <c r="C19586" s="8" t="s">
        <v>1078</v>
      </c>
      <c r="D19586" s="8">
        <v>289</v>
      </c>
      <c r="E19586" s="8">
        <v>0</v>
      </c>
      <c r="F19586" s="8">
        <v>5299</v>
      </c>
    </row>
    <row r="19587" spans="1:6" ht="12.75">
      <c r="A19587" s="8">
        <v>43895.529351851852</v>
      </c>
      <c r="B19587" s="8" t="str">
        <f>HYPERLINK("https://twitter.com/KomarUjjj3","@KomarUjjj3")</f>
        <v>@KomarUjjj3</v>
      </c>
      <c r="C19587" s="8" t="s">
        <v>1078</v>
      </c>
      <c r="D19587" s="8">
        <v>289</v>
      </c>
      <c r="E19587" s="8">
        <v>0</v>
      </c>
      <c r="F19587" s="8">
        <v>64</v>
      </c>
    </row>
    <row r="19588" spans="1:6" ht="12.75">
      <c r="A19588" s="8">
        <v>43895.52925925926</v>
      </c>
      <c r="B19588" s="8" t="str">
        <f>HYPERLINK("https://twitter.com/rata_mila85","@rata_mila85")</f>
        <v>@rata_mila85</v>
      </c>
      <c r="C19588" s="8" t="s">
        <v>7473</v>
      </c>
      <c r="D19588" s="8">
        <v>331</v>
      </c>
      <c r="E19588" s="8">
        <v>0</v>
      </c>
      <c r="F19588" s="8">
        <v>12</v>
      </c>
    </row>
    <row r="19589" spans="1:6" ht="12.75">
      <c r="A19589" s="8">
        <v>43895.528715277775</v>
      </c>
      <c r="B19589" s="8" t="str">
        <f>HYPERLINK("https://twitter.com/h0me_al0ne","@h0me_al0ne")</f>
        <v>@h0me_al0ne</v>
      </c>
      <c r="C19589" s="8" t="s">
        <v>1078</v>
      </c>
      <c r="D19589" s="8">
        <v>289</v>
      </c>
      <c r="E19589" s="8">
        <v>0</v>
      </c>
      <c r="F19589" s="8">
        <v>2111</v>
      </c>
    </row>
    <row r="19590" spans="1:6" ht="12.75">
      <c r="A19590" s="8">
        <v>43895.528599537036</v>
      </c>
      <c r="B19590" s="8" t="str">
        <f>HYPERLINK("https://twitter.com/DwiNoviantoro1","@DwiNoviantoro1")</f>
        <v>@DwiNoviantoro1</v>
      </c>
      <c r="C19590" s="8" t="s">
        <v>7848</v>
      </c>
      <c r="D19590" s="8">
        <v>64</v>
      </c>
      <c r="E19590" s="8">
        <v>0</v>
      </c>
      <c r="F19590" s="8">
        <v>44</v>
      </c>
    </row>
    <row r="19591" spans="1:6" ht="12.75">
      <c r="A19591" s="8">
        <v>43895.528564814813</v>
      </c>
      <c r="B19591" s="8" t="str">
        <f>HYPERLINK("https://twitter.com/DiantyYasmin3","@DiantyYasmin3")</f>
        <v>@DiantyYasmin3</v>
      </c>
      <c r="C19591" s="8" t="s">
        <v>1078</v>
      </c>
      <c r="D19591" s="8">
        <v>289</v>
      </c>
      <c r="E19591" s="8">
        <v>0</v>
      </c>
      <c r="F19591" s="8">
        <v>10185</v>
      </c>
    </row>
    <row r="19592" spans="1:6" ht="12.75">
      <c r="A19592" s="8">
        <v>43895.528541666667</v>
      </c>
      <c r="B19592" s="8" t="str">
        <f>HYPERLINK("https://twitter.com/kucingkafir","@kucingkafir")</f>
        <v>@kucingkafir</v>
      </c>
      <c r="C19592" s="8" t="s">
        <v>8065</v>
      </c>
      <c r="D19592" s="8">
        <v>0</v>
      </c>
      <c r="E19592" s="8">
        <v>0</v>
      </c>
      <c r="F19592" s="8">
        <v>1</v>
      </c>
    </row>
    <row r="19593" spans="1:6" ht="12.75">
      <c r="A19593" s="8">
        <v>43895.528506944444</v>
      </c>
      <c r="B19593" s="8" t="str">
        <f>HYPERLINK("https://twitter.com/syamsulhadi_ae","@syamsulhadi_ae")</f>
        <v>@syamsulhadi_ae</v>
      </c>
      <c r="C19593" s="8" t="s">
        <v>8066</v>
      </c>
      <c r="D19593" s="8">
        <v>100</v>
      </c>
      <c r="E19593" s="8">
        <v>0</v>
      </c>
      <c r="F19593" s="8">
        <v>252</v>
      </c>
    </row>
    <row r="19594" spans="1:6" ht="12.75">
      <c r="A19594" s="8">
        <v>43895.52815972222</v>
      </c>
      <c r="B19594" s="8" t="str">
        <f>HYPERLINK("https://twitter.com/arif_messaya29","@arif_messaya29")</f>
        <v>@arif_messaya29</v>
      </c>
      <c r="C19594" s="8" t="s">
        <v>1078</v>
      </c>
      <c r="D19594" s="8">
        <v>289</v>
      </c>
      <c r="E19594" s="8">
        <v>0</v>
      </c>
      <c r="F19594" s="8">
        <v>86</v>
      </c>
    </row>
    <row r="19595" spans="1:6" ht="12.75">
      <c r="A19595" s="8">
        <v>43895.527928240743</v>
      </c>
      <c r="B19595" s="8" t="str">
        <f>HYPERLINK("https://twitter.com/eko2471","@eko2471")</f>
        <v>@eko2471</v>
      </c>
      <c r="C19595" s="8" t="s">
        <v>7473</v>
      </c>
      <c r="D19595" s="8">
        <v>331</v>
      </c>
      <c r="E19595" s="8">
        <v>0</v>
      </c>
      <c r="F19595" s="8">
        <v>1212</v>
      </c>
    </row>
    <row r="19596" spans="1:6" ht="12.75">
      <c r="A19596" s="8">
        <v>43895.527916666666</v>
      </c>
      <c r="B19596" s="8" t="str">
        <f>HYPERLINK("https://twitter.com/Mifan_ma","@Mifan_ma")</f>
        <v>@Mifan_ma</v>
      </c>
      <c r="C19596" s="8" t="s">
        <v>7473</v>
      </c>
      <c r="D19596" s="8">
        <v>331</v>
      </c>
      <c r="E19596" s="8">
        <v>0</v>
      </c>
      <c r="F19596" s="8">
        <v>228</v>
      </c>
    </row>
    <row r="19597" spans="1:6" ht="12.75">
      <c r="A19597" s="8">
        <v>43895.52789351852</v>
      </c>
      <c r="B19597" s="8" t="str">
        <f>HYPERLINK("https://twitter.com/nandothok","@nandothok")</f>
        <v>@nandothok</v>
      </c>
      <c r="C19597" s="8" t="s">
        <v>2979</v>
      </c>
      <c r="D19597" s="8">
        <v>210</v>
      </c>
      <c r="E19597" s="8">
        <v>0</v>
      </c>
      <c r="F19597" s="8">
        <v>332</v>
      </c>
    </row>
    <row r="19598" spans="1:6" ht="12.75">
      <c r="A19598" s="8">
        <v>43895.52789351852</v>
      </c>
      <c r="B19598" s="8" t="str">
        <f>HYPERLINK("https://twitter.com/SydSalesman","@SydSalesman")</f>
        <v>@SydSalesman</v>
      </c>
      <c r="C19598" s="8" t="s">
        <v>1078</v>
      </c>
      <c r="D19598" s="8">
        <v>289</v>
      </c>
      <c r="E19598" s="8">
        <v>0</v>
      </c>
      <c r="F19598" s="8">
        <v>6278</v>
      </c>
    </row>
    <row r="19599" spans="1:6" ht="12.75">
      <c r="A19599" s="8">
        <v>43895.527546296296</v>
      </c>
      <c r="B19599" s="8" t="str">
        <f>HYPERLINK("https://twitter.com/zainala66","@zainala66")</f>
        <v>@zainala66</v>
      </c>
      <c r="C19599" s="8" t="s">
        <v>7524</v>
      </c>
      <c r="D19599" s="8">
        <v>19</v>
      </c>
      <c r="E19599" s="8">
        <v>0</v>
      </c>
      <c r="F19599" s="8">
        <v>151</v>
      </c>
    </row>
    <row r="19600" spans="1:6" ht="12.75">
      <c r="A19600" s="8">
        <v>43895.527453703704</v>
      </c>
      <c r="B19600" s="8" t="str">
        <f>HYPERLINK("https://twitter.com/as_Smr","@as_Smr")</f>
        <v>@as_Smr</v>
      </c>
      <c r="C19600" s="8" t="s">
        <v>7242</v>
      </c>
      <c r="D19600" s="8">
        <v>66</v>
      </c>
      <c r="E19600" s="8">
        <v>0</v>
      </c>
      <c r="F19600" s="8">
        <v>157</v>
      </c>
    </row>
    <row r="19601" spans="1:6" ht="12.75">
      <c r="A19601" s="8">
        <v>43895.52721064815</v>
      </c>
      <c r="B19601" s="8" t="str">
        <f>HYPERLINK("https://twitter.com/adekikisumarna","@adekikisumarna")</f>
        <v>@adekikisumarna</v>
      </c>
      <c r="C19601" s="8" t="s">
        <v>8067</v>
      </c>
      <c r="D19601" s="8">
        <v>0</v>
      </c>
      <c r="E19601" s="8">
        <v>0</v>
      </c>
      <c r="F19601" s="8">
        <v>1309</v>
      </c>
    </row>
    <row r="19602" spans="1:6" ht="12.75">
      <c r="A19602" s="8">
        <v>43895.526759259257</v>
      </c>
      <c r="B19602" s="8" t="str">
        <f>HYPERLINK("https://twitter.com/SINDOnews","@SINDOnews")</f>
        <v>@SINDOnews</v>
      </c>
      <c r="C19602" s="8" t="s">
        <v>8068</v>
      </c>
      <c r="D19602" s="8">
        <v>0</v>
      </c>
      <c r="E19602" s="8">
        <v>0</v>
      </c>
      <c r="F19602" s="8">
        <v>271568</v>
      </c>
    </row>
    <row r="19603" spans="1:6" ht="12.75">
      <c r="A19603" s="8">
        <v>43895.526655092588</v>
      </c>
      <c r="B19603" s="8" t="str">
        <f>HYPERLINK("https://twitter.com/telltalefeliks","@telltalefeliks")</f>
        <v>@telltalefeliks</v>
      </c>
      <c r="C19603" s="8" t="s">
        <v>1078</v>
      </c>
      <c r="D19603" s="8">
        <v>289</v>
      </c>
      <c r="E19603" s="8">
        <v>0</v>
      </c>
      <c r="F19603" s="8">
        <v>160</v>
      </c>
    </row>
    <row r="19604" spans="1:6" ht="12.75">
      <c r="A19604" s="8">
        <v>43895.526631944449</v>
      </c>
      <c r="B19604" s="8" t="str">
        <f>HYPERLINK("https://twitter.com/Kias04","@Kias04")</f>
        <v>@Kias04</v>
      </c>
      <c r="C19604" s="8" t="s">
        <v>8069</v>
      </c>
      <c r="D19604" s="8">
        <v>0</v>
      </c>
      <c r="E19604" s="8">
        <v>0</v>
      </c>
      <c r="F19604" s="8">
        <v>1007</v>
      </c>
    </row>
    <row r="19605" spans="1:6" ht="12.75">
      <c r="A19605" s="8">
        <v>43895.526192129633</v>
      </c>
      <c r="B19605" s="8" t="str">
        <f>HYPERLINK("https://twitter.com/as_Smr","@as_Smr")</f>
        <v>@as_Smr</v>
      </c>
      <c r="C19605" s="8" t="s">
        <v>1078</v>
      </c>
      <c r="D19605" s="8">
        <v>289</v>
      </c>
      <c r="E19605" s="8">
        <v>0</v>
      </c>
      <c r="F19605" s="8">
        <v>157</v>
      </c>
    </row>
    <row r="19606" spans="1:6" ht="12.75">
      <c r="A19606" s="8">
        <v>43895.52615740741</v>
      </c>
      <c r="B19606" s="8" t="str">
        <f>HYPERLINK("https://twitter.com/larkapul","@larkapul")</f>
        <v>@larkapul</v>
      </c>
      <c r="C19606" s="8" t="s">
        <v>2979</v>
      </c>
      <c r="D19606" s="8">
        <v>210</v>
      </c>
      <c r="E19606" s="8">
        <v>0</v>
      </c>
      <c r="F19606" s="8">
        <v>1788</v>
      </c>
    </row>
    <row r="19607" spans="1:6" ht="12.75">
      <c r="A19607" s="8">
        <v>43895.526145833333</v>
      </c>
      <c r="B19607" s="8" t="str">
        <f>HYPERLINK("https://twitter.com/RahmatAlfian09","@RahmatAlfian09")</f>
        <v>@RahmatAlfian09</v>
      </c>
      <c r="C19607" s="8" t="s">
        <v>8070</v>
      </c>
      <c r="D19607" s="8">
        <v>0</v>
      </c>
      <c r="E19607" s="8">
        <v>0</v>
      </c>
      <c r="F19607" s="8">
        <v>488</v>
      </c>
    </row>
    <row r="19608" spans="1:6" ht="12.75">
      <c r="A19608" s="8">
        <v>43895.526076388887</v>
      </c>
      <c r="B19608" s="8" t="str">
        <f>HYPERLINK("https://twitter.com/indoblognet","@indoblognet")</f>
        <v>@indoblognet</v>
      </c>
      <c r="C19608" s="8" t="s">
        <v>8071</v>
      </c>
      <c r="D19608" s="8">
        <v>0</v>
      </c>
      <c r="E19608" s="8">
        <v>1</v>
      </c>
      <c r="F19608" s="8">
        <v>3663</v>
      </c>
    </row>
    <row r="19609" spans="1:6" ht="12.75">
      <c r="A19609" s="8">
        <v>43895.526064814811</v>
      </c>
      <c r="B19609" s="8" t="str">
        <f>HYPERLINK("https://twitter.com/taofan_pratama","@taofan_pratama")</f>
        <v>@taofan_pratama</v>
      </c>
      <c r="C19609" s="8" t="s">
        <v>1078</v>
      </c>
      <c r="D19609" s="8">
        <v>289</v>
      </c>
      <c r="E19609" s="8">
        <v>0</v>
      </c>
      <c r="F19609" s="8">
        <v>191</v>
      </c>
    </row>
    <row r="19610" spans="1:6" ht="12.75">
      <c r="A19610" s="8">
        <v>43895.525949074072</v>
      </c>
      <c r="B19610" s="8" t="str">
        <f>HYPERLINK("https://twitter.com/ImagineDrakor","@ImagineDrakor")</f>
        <v>@ImagineDrakor</v>
      </c>
      <c r="C19610" s="8" t="s">
        <v>8072</v>
      </c>
      <c r="D19610" s="8">
        <v>3</v>
      </c>
      <c r="E19610" s="8">
        <v>0</v>
      </c>
      <c r="F19610" s="8">
        <v>647</v>
      </c>
    </row>
    <row r="19611" spans="1:6" ht="12.75">
      <c r="A19611" s="8">
        <v>43895.525925925926</v>
      </c>
      <c r="B19611" s="8" t="str">
        <f>HYPERLINK("https://twitter.com/MuzlimIndonesia","@MuzlimIndonesia")</f>
        <v>@MuzlimIndonesia</v>
      </c>
      <c r="C19611" s="8" t="s">
        <v>1078</v>
      </c>
      <c r="D19611" s="8">
        <v>289</v>
      </c>
      <c r="E19611" s="8">
        <v>0</v>
      </c>
      <c r="F19611" s="8">
        <v>1855</v>
      </c>
    </row>
    <row r="19612" spans="1:6" ht="12.75">
      <c r="A19612" s="8">
        <v>43895.525636574079</v>
      </c>
      <c r="B19612" s="8" t="str">
        <f>HYPERLINK("https://twitter.com/indoblognet","@indoblognet")</f>
        <v>@indoblognet</v>
      </c>
      <c r="C19612" s="8" t="s">
        <v>8073</v>
      </c>
      <c r="D19612" s="8">
        <v>0</v>
      </c>
      <c r="E19612" s="8">
        <v>2</v>
      </c>
      <c r="F19612" s="8">
        <v>3663</v>
      </c>
    </row>
    <row r="19613" spans="1:6" ht="12.75">
      <c r="A19613" s="8">
        <v>43895.525555555556</v>
      </c>
      <c r="B19613" s="8" t="str">
        <f>HYPERLINK("https://twitter.com/larkapul","@larkapul")</f>
        <v>@larkapul</v>
      </c>
      <c r="C19613" s="8" t="s">
        <v>1078</v>
      </c>
      <c r="D19613" s="8">
        <v>289</v>
      </c>
      <c r="E19613" s="8">
        <v>0</v>
      </c>
      <c r="F19613" s="8">
        <v>1788</v>
      </c>
    </row>
    <row r="19614" spans="1:6" ht="12.75">
      <c r="A19614" s="8">
        <v>43895.525104166663</v>
      </c>
      <c r="B19614" s="8" t="str">
        <f>HYPERLINK("https://twitter.com/indoblognet","@indoblognet")</f>
        <v>@indoblognet</v>
      </c>
      <c r="C19614" s="8" t="s">
        <v>8074</v>
      </c>
      <c r="D19614" s="8">
        <v>0</v>
      </c>
      <c r="E19614" s="8">
        <v>0</v>
      </c>
      <c r="F19614" s="8">
        <v>3663</v>
      </c>
    </row>
    <row r="19615" spans="1:6" ht="12.75">
      <c r="A19615" s="8">
        <v>43895.525081018517</v>
      </c>
      <c r="B19615" s="8" t="str">
        <f>HYPERLINK("https://twitter.com/jujurberkah","@jujurberkah")</f>
        <v>@jujurberkah</v>
      </c>
      <c r="C19615" s="8" t="s">
        <v>8075</v>
      </c>
      <c r="D19615" s="8">
        <v>0</v>
      </c>
      <c r="E19615" s="8">
        <v>0</v>
      </c>
      <c r="F19615" s="8">
        <v>78</v>
      </c>
    </row>
    <row r="19616" spans="1:6" ht="12.75">
      <c r="A19616" s="8">
        <v>43895.525011574078</v>
      </c>
      <c r="B19616" s="8" t="str">
        <f>HYPERLINK("https://twitter.com/roes_eddy","@roes_eddy")</f>
        <v>@roes_eddy</v>
      </c>
      <c r="C19616" s="8" t="s">
        <v>7753</v>
      </c>
      <c r="D19616" s="8">
        <v>2</v>
      </c>
      <c r="E19616" s="8">
        <v>0</v>
      </c>
      <c r="F19616" s="8">
        <v>3003</v>
      </c>
    </row>
    <row r="19617" spans="1:6" ht="12.75">
      <c r="A19617" s="8">
        <v>43895.524849537032</v>
      </c>
      <c r="B19617" s="8" t="str">
        <f>HYPERLINK("https://twitter.com/anto787","@anto787")</f>
        <v>@anto787</v>
      </c>
      <c r="C19617" s="8" t="s">
        <v>8066</v>
      </c>
      <c r="D19617" s="8">
        <v>100</v>
      </c>
      <c r="E19617" s="8">
        <v>0</v>
      </c>
      <c r="F19617" s="8">
        <v>274</v>
      </c>
    </row>
    <row r="19618" spans="1:6" ht="12.75">
      <c r="A19618" s="8">
        <v>43895.524826388893</v>
      </c>
      <c r="B19618" s="8" t="str">
        <f>HYPERLINK("https://twitter.com/jujurberkah","@jujurberkah")</f>
        <v>@jujurberkah</v>
      </c>
      <c r="C19618" s="8" t="s">
        <v>8076</v>
      </c>
      <c r="D19618" s="8">
        <v>0</v>
      </c>
      <c r="E19618" s="8">
        <v>0</v>
      </c>
      <c r="F19618" s="8">
        <v>78</v>
      </c>
    </row>
    <row r="19619" spans="1:6" ht="12.75">
      <c r="A19619" s="8">
        <v>43895.524421296301</v>
      </c>
      <c r="B19619" s="8" t="str">
        <f>HYPERLINK("https://twitter.com/agnizar4","@agnizar4")</f>
        <v>@agnizar4</v>
      </c>
      <c r="C19619" s="8" t="s">
        <v>1078</v>
      </c>
      <c r="D19619" s="8">
        <v>289</v>
      </c>
      <c r="E19619" s="8">
        <v>0</v>
      </c>
      <c r="F19619" s="8">
        <v>1068</v>
      </c>
    </row>
    <row r="19620" spans="1:6" ht="12.75">
      <c r="A19620" s="8">
        <v>43895.524247685185</v>
      </c>
      <c r="B19620" s="8" t="str">
        <f>HYPERLINK("https://twitter.com/kadrun77853825","@kadrun77853825")</f>
        <v>@kadrun77853825</v>
      </c>
      <c r="C19620" s="8" t="s">
        <v>7473</v>
      </c>
      <c r="D19620" s="8">
        <v>331</v>
      </c>
      <c r="E19620" s="8">
        <v>0</v>
      </c>
      <c r="F19620" s="8">
        <v>1014</v>
      </c>
    </row>
    <row r="19621" spans="1:6" ht="12.75">
      <c r="A19621" s="8">
        <v>43895.524201388893</v>
      </c>
      <c r="B19621" s="8" t="str">
        <f>HYPERLINK("https://twitter.com/syamsulhadi_ae","@syamsulhadi_ae")</f>
        <v>@syamsulhadi_ae</v>
      </c>
      <c r="C19621" s="8" t="s">
        <v>1078</v>
      </c>
      <c r="D19621" s="8">
        <v>289</v>
      </c>
      <c r="E19621" s="8">
        <v>0</v>
      </c>
      <c r="F19621" s="8">
        <v>252</v>
      </c>
    </row>
    <row r="19622" spans="1:6" ht="12.75">
      <c r="A19622" s="8">
        <v>43895.524108796293</v>
      </c>
      <c r="B19622" s="8" t="str">
        <f>HYPERLINK("https://twitter.com/_Bakemono","@_Bakemono")</f>
        <v>@_Bakemono</v>
      </c>
      <c r="C19622" s="8" t="s">
        <v>6739</v>
      </c>
      <c r="D19622" s="8">
        <v>4</v>
      </c>
      <c r="E19622" s="8">
        <v>0</v>
      </c>
      <c r="F19622" s="8">
        <v>832</v>
      </c>
    </row>
    <row r="19623" spans="1:6" ht="12.75">
      <c r="A19623" s="8">
        <v>43895.524039351847</v>
      </c>
      <c r="B19623" s="8" t="str">
        <f>HYPERLINK("https://twitter.com/2dibukaB","@2dibukaB")</f>
        <v>@2dibukaB</v>
      </c>
      <c r="C19623" s="8" t="s">
        <v>7715</v>
      </c>
      <c r="D19623" s="8">
        <v>107</v>
      </c>
      <c r="E19623" s="8">
        <v>0</v>
      </c>
      <c r="F19623" s="8">
        <v>1548</v>
      </c>
    </row>
    <row r="19624" spans="1:6" ht="12.75">
      <c r="A19624" s="8">
        <v>43895.506840277776</v>
      </c>
      <c r="B19624" s="8" t="str">
        <f>HYPERLINK("https://twitter.com/mishbahulmnr","@mishbahulmnr")</f>
        <v>@mishbahulmnr</v>
      </c>
      <c r="C19624" s="8" t="s">
        <v>7245</v>
      </c>
      <c r="D19624" s="8">
        <v>34</v>
      </c>
      <c r="E19624" s="8">
        <v>0</v>
      </c>
      <c r="F19624" s="8">
        <v>4</v>
      </c>
    </row>
    <row r="19625" spans="1:6" ht="12.75">
      <c r="A19625" s="8">
        <v>43895.506793981476</v>
      </c>
      <c r="B19625" s="8" t="str">
        <f>HYPERLINK("https://twitter.com/DalangJiwo","@DalangJiwo")</f>
        <v>@DalangJiwo</v>
      </c>
      <c r="C19625" s="8" t="s">
        <v>1078</v>
      </c>
      <c r="D19625" s="8">
        <v>198</v>
      </c>
      <c r="E19625" s="8">
        <v>0</v>
      </c>
      <c r="F19625" s="8">
        <v>226</v>
      </c>
    </row>
    <row r="19626" spans="1:6" ht="12.75">
      <c r="A19626" s="8">
        <v>43895.506388888884</v>
      </c>
      <c r="B19626" s="8" t="str">
        <f>HYPERLINK("https://twitter.com/HarbanganH","@HarbanganH")</f>
        <v>@HarbanganH</v>
      </c>
      <c r="C19626" s="8" t="s">
        <v>1078</v>
      </c>
      <c r="D19626" s="8">
        <v>198</v>
      </c>
      <c r="E19626" s="8">
        <v>0</v>
      </c>
      <c r="F19626" s="8">
        <v>79</v>
      </c>
    </row>
    <row r="19627" spans="1:6" ht="12.75">
      <c r="A19627" s="8">
        <v>43895.506064814814</v>
      </c>
      <c r="B19627" s="8" t="str">
        <f>HYPERLINK("https://twitter.com/triiDN","@triiDN")</f>
        <v>@triiDN</v>
      </c>
      <c r="C19627" s="8" t="s">
        <v>3285</v>
      </c>
      <c r="D19627" s="8">
        <v>155</v>
      </c>
      <c r="E19627" s="8">
        <v>0</v>
      </c>
      <c r="F19627" s="8">
        <v>731</v>
      </c>
    </row>
    <row r="19628" spans="1:6" ht="12.75">
      <c r="A19628" s="8">
        <v>43895.506041666667</v>
      </c>
      <c r="B19628" s="8" t="str">
        <f>HYPERLINK("https://twitter.com/NKoyogan","@NKoyogan")</f>
        <v>@NKoyogan</v>
      </c>
      <c r="C19628" s="8" t="s">
        <v>1078</v>
      </c>
      <c r="D19628" s="8">
        <v>198</v>
      </c>
      <c r="E19628" s="8">
        <v>0</v>
      </c>
      <c r="F19628" s="8">
        <v>197</v>
      </c>
    </row>
    <row r="19629" spans="1:6" ht="12.75">
      <c r="A19629" s="8">
        <v>43895.505324074074</v>
      </c>
      <c r="B19629" s="8" t="str">
        <f>HYPERLINK("https://twitter.com/muel_power","@muel_power")</f>
        <v>@muel_power</v>
      </c>
      <c r="C19629" s="8" t="s">
        <v>8077</v>
      </c>
      <c r="D19629" s="8">
        <v>0</v>
      </c>
      <c r="E19629" s="8">
        <v>1</v>
      </c>
      <c r="F19629" s="8">
        <v>1752</v>
      </c>
    </row>
    <row r="19630" spans="1:6" ht="12.75">
      <c r="A19630" s="8">
        <v>43895.505231481482</v>
      </c>
      <c r="B19630" s="8" t="str">
        <f>HYPERLINK("https://twitter.com/MIBAgent_","@MIBAgent_")</f>
        <v>@MIBAgent_</v>
      </c>
      <c r="C19630" s="8" t="s">
        <v>1078</v>
      </c>
      <c r="D19630" s="8">
        <v>198</v>
      </c>
      <c r="E19630" s="8">
        <v>0</v>
      </c>
      <c r="F19630" s="8">
        <v>3900</v>
      </c>
    </row>
    <row r="19631" spans="1:6" ht="12.75">
      <c r="A19631" s="8">
        <v>43895.505162037036</v>
      </c>
      <c r="B19631" s="8" t="str">
        <f>HYPERLINK("https://twitter.com/bgoodjonii","@bgoodjonii")</f>
        <v>@bgoodjonii</v>
      </c>
      <c r="C19631" s="8" t="s">
        <v>1078</v>
      </c>
      <c r="D19631" s="8">
        <v>198</v>
      </c>
      <c r="E19631" s="8">
        <v>0</v>
      </c>
      <c r="F19631" s="8">
        <v>99</v>
      </c>
    </row>
    <row r="19632" spans="1:6" ht="12.75">
      <c r="A19632" s="8">
        <v>43895.504965277782</v>
      </c>
      <c r="B19632" s="8" t="str">
        <f>HYPERLINK("https://twitter.com/ThanosGarisLucu","@ThanosGarisLucu")</f>
        <v>@ThanosGarisLucu</v>
      </c>
      <c r="C19632" s="8" t="s">
        <v>1078</v>
      </c>
      <c r="D19632" s="8">
        <v>198</v>
      </c>
      <c r="E19632" s="8">
        <v>0</v>
      </c>
      <c r="F19632" s="8">
        <v>1210</v>
      </c>
    </row>
    <row r="19633" spans="1:6" ht="12.75">
      <c r="A19633" s="8">
        <v>43895.504849537036</v>
      </c>
      <c r="B19633" s="8" t="str">
        <f>HYPERLINK("https://twitter.com/begasby","@begasby")</f>
        <v>@begasby</v>
      </c>
      <c r="C19633" s="8" t="s">
        <v>8078</v>
      </c>
      <c r="D19633" s="8">
        <v>50</v>
      </c>
      <c r="E19633" s="8">
        <v>0</v>
      </c>
      <c r="F19633" s="8">
        <v>628</v>
      </c>
    </row>
    <row r="19634" spans="1:6" ht="12.75">
      <c r="A19634" s="8">
        <v>43895.504513888889</v>
      </c>
      <c r="B19634" s="8" t="str">
        <f>HYPERLINK("https://twitter.com/LieDetectorID","@LieDetectorID")</f>
        <v>@LieDetectorID</v>
      </c>
      <c r="C19634" s="8" t="s">
        <v>1078</v>
      </c>
      <c r="D19634" s="8">
        <v>198</v>
      </c>
      <c r="E19634" s="8">
        <v>0</v>
      </c>
      <c r="F19634" s="8">
        <v>10386</v>
      </c>
    </row>
    <row r="19635" spans="1:6" ht="12.75">
      <c r="A19635" s="8">
        <v>43895.504120370373</v>
      </c>
      <c r="B19635" s="8" t="str">
        <f>HYPERLINK("https://twitter.com/harakatuna","@harakatuna")</f>
        <v>@harakatuna</v>
      </c>
      <c r="C19635" s="8" t="s">
        <v>7392</v>
      </c>
      <c r="D19635" s="8">
        <v>0</v>
      </c>
      <c r="E19635" s="8">
        <v>0</v>
      </c>
      <c r="F19635" s="8">
        <v>418</v>
      </c>
    </row>
    <row r="19636" spans="1:6" ht="12.75">
      <c r="A19636" s="8">
        <v>43895.503437499996</v>
      </c>
      <c r="B19636" s="8" t="str">
        <f>HYPERLINK("https://twitter.com/Sulthan29543406","@Sulthan29543406")</f>
        <v>@Sulthan29543406</v>
      </c>
      <c r="C19636" s="8" t="s">
        <v>8079</v>
      </c>
      <c r="D19636" s="8">
        <v>0</v>
      </c>
      <c r="E19636" s="8">
        <v>0</v>
      </c>
      <c r="F19636" s="8">
        <v>56</v>
      </c>
    </row>
    <row r="19637" spans="1:6" ht="12.75">
      <c r="A19637" s="8">
        <v>43895.503321759257</v>
      </c>
      <c r="B19637" s="8" t="str">
        <f>HYPERLINK("https://twitter.com/AhlulQohwah","@AhlulQohwah")</f>
        <v>@AhlulQohwah</v>
      </c>
      <c r="C19637" s="8" t="s">
        <v>7242</v>
      </c>
      <c r="D19637" s="8">
        <v>63</v>
      </c>
      <c r="E19637" s="8">
        <v>0</v>
      </c>
      <c r="F19637" s="8">
        <v>10495</v>
      </c>
    </row>
    <row r="19638" spans="1:6" ht="12.75">
      <c r="A19638" s="8">
        <v>43895.502407407403</v>
      </c>
      <c r="B19638" s="8" t="str">
        <f>HYPERLINK("https://twitter.com/madefebriantha","@madefebriantha")</f>
        <v>@madefebriantha</v>
      </c>
      <c r="C19638" s="8" t="s">
        <v>1078</v>
      </c>
      <c r="D19638" s="8">
        <v>198</v>
      </c>
      <c r="E19638" s="8">
        <v>0</v>
      </c>
      <c r="F19638" s="8">
        <v>313</v>
      </c>
    </row>
    <row r="19639" spans="1:6" ht="12.75">
      <c r="A19639" s="8">
        <v>43895.502141203702</v>
      </c>
      <c r="B19639" s="8" t="str">
        <f>HYPERLINK("https://twitter.com/amoysilitonga","@amoysilitonga")</f>
        <v>@amoysilitonga</v>
      </c>
      <c r="C19639" s="8" t="s">
        <v>1078</v>
      </c>
      <c r="D19639" s="8">
        <v>198</v>
      </c>
      <c r="E19639" s="8">
        <v>0</v>
      </c>
      <c r="F19639" s="8">
        <v>207</v>
      </c>
    </row>
    <row r="19640" spans="1:6" ht="12.75">
      <c r="A19640" s="8">
        <v>43895.50200231481</v>
      </c>
      <c r="B19640" s="8" t="str">
        <f>HYPERLINK("https://twitter.com/capekgw1","@capekgw1")</f>
        <v>@capekgw1</v>
      </c>
      <c r="C19640" s="8" t="s">
        <v>1078</v>
      </c>
      <c r="D19640" s="8">
        <v>198</v>
      </c>
      <c r="E19640" s="8">
        <v>0</v>
      </c>
      <c r="F19640" s="8">
        <v>203</v>
      </c>
    </row>
    <row r="19641" spans="1:6" ht="12.75">
      <c r="A19641" s="8">
        <v>43895.501921296294</v>
      </c>
      <c r="B19641" s="8" t="str">
        <f>HYPERLINK("https://twitter.com/mahrusaf","@mahrusaf")</f>
        <v>@mahrusaf</v>
      </c>
      <c r="C19641" s="8" t="s">
        <v>1078</v>
      </c>
      <c r="D19641" s="8">
        <v>198</v>
      </c>
      <c r="E19641" s="8">
        <v>0</v>
      </c>
      <c r="F19641" s="8">
        <v>20</v>
      </c>
    </row>
    <row r="19642" spans="1:6" ht="12.75">
      <c r="A19642" s="8">
        <v>43895.501493055555</v>
      </c>
      <c r="B19642" s="8" t="str">
        <f>HYPERLINK("https://twitter.com/DiegoKamandanu","@DiegoKamandanu")</f>
        <v>@DiegoKamandanu</v>
      </c>
      <c r="C19642" s="8" t="s">
        <v>8080</v>
      </c>
      <c r="D19642" s="8">
        <v>0</v>
      </c>
      <c r="E19642" s="8">
        <v>0</v>
      </c>
      <c r="F19642" s="8">
        <v>494</v>
      </c>
    </row>
    <row r="19643" spans="1:6" ht="12.75">
      <c r="A19643" s="8">
        <v>43895.501273148147</v>
      </c>
      <c r="B19643" s="8" t="str">
        <f>HYPERLINK("https://twitter.com/Mr692142","@Mr692142")</f>
        <v>@Mr692142</v>
      </c>
      <c r="C19643" s="8" t="s">
        <v>1078</v>
      </c>
      <c r="D19643" s="8">
        <v>198</v>
      </c>
      <c r="E19643" s="8">
        <v>0</v>
      </c>
      <c r="F19643" s="8">
        <v>36</v>
      </c>
    </row>
    <row r="19644" spans="1:6" ht="12.75">
      <c r="A19644" s="8">
        <v>43895.501203703709</v>
      </c>
      <c r="B19644" s="8" t="str">
        <f>HYPERLINK("https://twitter.com/sadGirls76","@sadGirls76")</f>
        <v>@sadGirls76</v>
      </c>
      <c r="C19644" s="8" t="s">
        <v>1078</v>
      </c>
      <c r="D19644" s="8">
        <v>198</v>
      </c>
      <c r="E19644" s="8">
        <v>0</v>
      </c>
      <c r="F19644" s="8">
        <v>1163</v>
      </c>
    </row>
    <row r="19645" spans="1:6" ht="12.75">
      <c r="A19645" s="8">
        <v>43895.500960648147</v>
      </c>
      <c r="B19645" s="8" t="str">
        <f>HYPERLINK("https://twitter.com/joe_josan","@joe_josan")</f>
        <v>@joe_josan</v>
      </c>
      <c r="C19645" s="8" t="s">
        <v>3285</v>
      </c>
      <c r="D19645" s="8">
        <v>155</v>
      </c>
      <c r="E19645" s="8">
        <v>0</v>
      </c>
      <c r="F19645" s="8">
        <v>2256</v>
      </c>
    </row>
    <row r="19646" spans="1:6" ht="12.75">
      <c r="A19646" s="8">
        <v>43895.500775462962</v>
      </c>
      <c r="B19646" s="8" t="str">
        <f>HYPERLINK("https://twitter.com/mucht4r64","@mucht4r64")</f>
        <v>@mucht4r64</v>
      </c>
      <c r="C19646" s="8" t="s">
        <v>1078</v>
      </c>
      <c r="D19646" s="8">
        <v>198</v>
      </c>
      <c r="E19646" s="8">
        <v>0</v>
      </c>
      <c r="F19646" s="8">
        <v>112</v>
      </c>
    </row>
    <row r="19647" spans="1:6" ht="12.75">
      <c r="A19647" s="8">
        <v>43895.500717592593</v>
      </c>
      <c r="B19647" s="8" t="str">
        <f>HYPERLINK("https://twitter.com/Bangmull5","@Bangmull5")</f>
        <v>@Bangmull5</v>
      </c>
      <c r="C19647" s="8" t="s">
        <v>1078</v>
      </c>
      <c r="D19647" s="8">
        <v>198</v>
      </c>
      <c r="E19647" s="8">
        <v>0</v>
      </c>
      <c r="F19647" s="8">
        <v>2803</v>
      </c>
    </row>
    <row r="19648" spans="1:6" ht="12.75">
      <c r="A19648" s="8">
        <v>43895.500474537039</v>
      </c>
      <c r="B19648" s="8" t="str">
        <f>HYPERLINK("https://twitter.com/kmayold","@kmayold")</f>
        <v>@kmayold</v>
      </c>
      <c r="C19648" s="8" t="s">
        <v>2979</v>
      </c>
      <c r="D19648" s="8">
        <v>203</v>
      </c>
      <c r="E19648" s="8">
        <v>0</v>
      </c>
      <c r="F19648" s="8">
        <v>405</v>
      </c>
    </row>
    <row r="19649" spans="1:6" ht="12.75">
      <c r="A19649" s="8">
        <v>43895.500115740739</v>
      </c>
      <c r="B19649" s="8" t="str">
        <f>HYPERLINK("https://twitter.com/purwadibestari","@purwadibestari")</f>
        <v>@purwadibestari</v>
      </c>
      <c r="C19649" s="8" t="s">
        <v>7245</v>
      </c>
      <c r="D19649" s="8">
        <v>34</v>
      </c>
      <c r="E19649" s="8">
        <v>0</v>
      </c>
      <c r="F19649" s="8">
        <v>100</v>
      </c>
    </row>
    <row r="19650" spans="1:6" ht="12.75">
      <c r="A19650" s="8">
        <v>43895.499849537038</v>
      </c>
      <c r="B19650" s="8" t="str">
        <f>HYPERLINK("https://twitter.com/EdyIlham7","@EdyIlham7")</f>
        <v>@EdyIlham7</v>
      </c>
      <c r="C19650" s="8" t="s">
        <v>8078</v>
      </c>
      <c r="D19650" s="8">
        <v>50</v>
      </c>
      <c r="E19650" s="8">
        <v>0</v>
      </c>
      <c r="F19650" s="8">
        <v>2493</v>
      </c>
    </row>
    <row r="19651" spans="1:6" ht="12.75">
      <c r="A19651" s="8">
        <v>43895.499560185184</v>
      </c>
      <c r="B19651" s="8" t="str">
        <f>HYPERLINK("https://twitter.com/chandrakrisnadi","@chandrakrisnadi")</f>
        <v>@chandrakrisnadi</v>
      </c>
      <c r="C19651" s="8" t="s">
        <v>1078</v>
      </c>
      <c r="D19651" s="8">
        <v>198</v>
      </c>
      <c r="E19651" s="8">
        <v>0</v>
      </c>
      <c r="F19651" s="8">
        <v>46</v>
      </c>
    </row>
    <row r="19652" spans="1:6" ht="12.75">
      <c r="A19652" s="8">
        <v>43895.499479166669</v>
      </c>
      <c r="B19652" s="8" t="str">
        <f>HYPERLINK("https://twitter.com/titutIst","@titutIst")</f>
        <v>@titutIst</v>
      </c>
      <c r="C19652" s="8" t="s">
        <v>1078</v>
      </c>
      <c r="D19652" s="8">
        <v>198</v>
      </c>
      <c r="E19652" s="8">
        <v>0</v>
      </c>
      <c r="F19652" s="8">
        <v>515</v>
      </c>
    </row>
    <row r="19653" spans="1:6" ht="12.75">
      <c r="A19653" s="8">
        <v>43895.499282407407</v>
      </c>
      <c r="B19653" s="8" t="str">
        <f>HYPERLINK("https://twitter.com/Kopij3s1","@Kopij3s1")</f>
        <v>@Kopij3s1</v>
      </c>
      <c r="C19653" s="8" t="s">
        <v>1078</v>
      </c>
      <c r="D19653" s="8">
        <v>198</v>
      </c>
      <c r="E19653" s="8">
        <v>0</v>
      </c>
      <c r="F19653" s="8">
        <v>725</v>
      </c>
    </row>
    <row r="19654" spans="1:6" ht="12.75">
      <c r="A19654" s="8">
        <v>43895.499259259261</v>
      </c>
      <c r="B19654" s="8" t="str">
        <f>HYPERLINK("https://twitter.com/harryfadil","@harryfadil")</f>
        <v>@harryfadil</v>
      </c>
      <c r="C19654" s="8" t="s">
        <v>7242</v>
      </c>
      <c r="D19654" s="8">
        <v>63</v>
      </c>
      <c r="E19654" s="8">
        <v>0</v>
      </c>
      <c r="F19654" s="8">
        <v>1257</v>
      </c>
    </row>
    <row r="19655" spans="1:6" ht="12.75">
      <c r="A19655" s="8">
        <v>43895.499131944445</v>
      </c>
      <c r="B19655" s="8" t="str">
        <f>HYPERLINK("https://twitter.com/spurwanto0202","@spurwanto0202")</f>
        <v>@spurwanto0202</v>
      </c>
      <c r="C19655" s="8" t="s">
        <v>1078</v>
      </c>
      <c r="D19655" s="8">
        <v>198</v>
      </c>
      <c r="E19655" s="8">
        <v>0</v>
      </c>
      <c r="F19655" s="8">
        <v>137</v>
      </c>
    </row>
    <row r="19656" spans="1:6" ht="12.75">
      <c r="A19656" s="8">
        <v>43895.499050925922</v>
      </c>
      <c r="B19656" s="8" t="str">
        <f>HYPERLINK("https://twitter.com/pakepeci","@pakepeci")</f>
        <v>@pakepeci</v>
      </c>
      <c r="C19656" s="8" t="s">
        <v>1078</v>
      </c>
      <c r="D19656" s="8">
        <v>198</v>
      </c>
      <c r="E19656" s="8">
        <v>0</v>
      </c>
      <c r="F19656" s="8">
        <v>2319</v>
      </c>
    </row>
    <row r="19657" spans="1:6" ht="12.75">
      <c r="A19657" s="8">
        <v>43895.49899305556</v>
      </c>
      <c r="B19657" s="8" t="str">
        <f>HYPERLINK("https://twitter.com/Mulia07094480","@Mulia07094480")</f>
        <v>@Mulia07094480</v>
      </c>
      <c r="C19657" s="8" t="s">
        <v>8081</v>
      </c>
      <c r="D19657" s="8">
        <v>0</v>
      </c>
      <c r="E19657" s="8">
        <v>0</v>
      </c>
      <c r="F19657" s="8">
        <v>769</v>
      </c>
    </row>
    <row r="19658" spans="1:6" ht="12.75">
      <c r="A19658" s="8">
        <v>43895.498969907407</v>
      </c>
      <c r="B19658" s="8" t="str">
        <f>HYPERLINK("https://twitter.com/harryfadil","@harryfadil")</f>
        <v>@harryfadil</v>
      </c>
      <c r="C19658" s="8" t="s">
        <v>1078</v>
      </c>
      <c r="D19658" s="8">
        <v>198</v>
      </c>
      <c r="E19658" s="8">
        <v>0</v>
      </c>
      <c r="F19658" s="8">
        <v>1257</v>
      </c>
    </row>
    <row r="19659" spans="1:6" ht="12.75">
      <c r="A19659" s="8">
        <v>43895.498958333337</v>
      </c>
      <c r="B19659" s="8" t="str">
        <f>HYPERLINK("https://twitter.com/aldaisga","@aldaisga")</f>
        <v>@aldaisga</v>
      </c>
      <c r="C19659" s="8" t="s">
        <v>8082</v>
      </c>
      <c r="D19659" s="8">
        <v>0</v>
      </c>
      <c r="E19659" s="8">
        <v>0</v>
      </c>
      <c r="F19659" s="8">
        <v>780</v>
      </c>
    </row>
    <row r="19660" spans="1:6" ht="12.75">
      <c r="A19660" s="8">
        <v>43895.498344907406</v>
      </c>
      <c r="B19660" s="8" t="str">
        <f>HYPERLINK("https://twitter.com/HalimTeuku","@HalimTeuku")</f>
        <v>@HalimTeuku</v>
      </c>
      <c r="C19660" s="8" t="s">
        <v>8083</v>
      </c>
      <c r="D19660" s="8">
        <v>0</v>
      </c>
      <c r="E19660" s="8">
        <v>0</v>
      </c>
      <c r="F19660" s="8">
        <v>3449</v>
      </c>
    </row>
    <row r="19661" spans="1:6" ht="12.75">
      <c r="A19661" s="8">
        <v>43895.498217592598</v>
      </c>
      <c r="B19661" s="8" t="str">
        <f>HYPERLINK("https://twitter.com/yaaaaasin","@yaaaaasin")</f>
        <v>@yaaaaasin</v>
      </c>
      <c r="C19661" s="8" t="s">
        <v>7242</v>
      </c>
      <c r="D19661" s="8">
        <v>63</v>
      </c>
      <c r="E19661" s="8">
        <v>0</v>
      </c>
      <c r="F19661" s="8">
        <v>49</v>
      </c>
    </row>
    <row r="19662" spans="1:6" ht="12.75">
      <c r="A19662" s="8">
        <v>43895.49795138889</v>
      </c>
      <c r="B19662" s="8" t="str">
        <f>HYPERLINK("https://twitter.com/Jaysyku","@Jaysyku")</f>
        <v>@Jaysyku</v>
      </c>
      <c r="C19662" s="8" t="s">
        <v>1078</v>
      </c>
      <c r="D19662" s="8">
        <v>198</v>
      </c>
      <c r="E19662" s="8">
        <v>0</v>
      </c>
      <c r="F19662" s="8">
        <v>249</v>
      </c>
    </row>
    <row r="19663" spans="1:6" ht="12.75">
      <c r="A19663" s="8">
        <v>43895.497835648144</v>
      </c>
      <c r="B19663" s="8" t="str">
        <f>HYPERLINK("https://twitter.com/ayusmar","@ayusmar")</f>
        <v>@ayusmar</v>
      </c>
      <c r="C19663" s="8" t="s">
        <v>5900</v>
      </c>
      <c r="D19663" s="8">
        <v>15</v>
      </c>
      <c r="E19663" s="8">
        <v>0</v>
      </c>
      <c r="F19663" s="8">
        <v>183</v>
      </c>
    </row>
    <row r="19664" spans="1:6" ht="12.75">
      <c r="A19664" s="8">
        <v>43895.497824074075</v>
      </c>
      <c r="B19664" s="8" t="str">
        <f>HYPERLINK("https://twitter.com/MAlexandriet","@MAlexandriet")</f>
        <v>@MAlexandriet</v>
      </c>
      <c r="C19664" s="8" t="s">
        <v>3285</v>
      </c>
      <c r="D19664" s="8">
        <v>155</v>
      </c>
      <c r="E19664" s="8">
        <v>0</v>
      </c>
      <c r="F19664" s="8">
        <v>203</v>
      </c>
    </row>
    <row r="19665" spans="1:6" ht="12.75">
      <c r="A19665" s="8">
        <v>43895.497789351852</v>
      </c>
      <c r="B19665" s="8" t="str">
        <f>HYPERLINK("https://twitter.com/ayusmar","@ayusmar")</f>
        <v>@ayusmar</v>
      </c>
      <c r="C19665" s="8" t="s">
        <v>7704</v>
      </c>
      <c r="D19665" s="8">
        <v>293</v>
      </c>
      <c r="E19665" s="8">
        <v>0</v>
      </c>
      <c r="F19665" s="8">
        <v>183</v>
      </c>
    </row>
    <row r="19666" spans="1:6" ht="12.75">
      <c r="A19666" s="8">
        <v>43895.497604166667</v>
      </c>
      <c r="B19666" s="8" t="str">
        <f>HYPERLINK("https://twitter.com/cemaragunung","@cemaragunung")</f>
        <v>@cemaragunung</v>
      </c>
      <c r="C19666" s="8" t="s">
        <v>1078</v>
      </c>
      <c r="D19666" s="8">
        <v>198</v>
      </c>
      <c r="E19666" s="8">
        <v>0</v>
      </c>
      <c r="F19666" s="8">
        <v>1688</v>
      </c>
    </row>
    <row r="19667" spans="1:6" ht="12.75">
      <c r="A19667" s="8">
        <v>43895.497569444444</v>
      </c>
      <c r="B19667" s="8" t="str">
        <f>HYPERLINK("https://twitter.com/basibakotabogor","@basibakotabogor")</f>
        <v>@basibakotabogor</v>
      </c>
      <c r="C19667" s="8" t="s">
        <v>8084</v>
      </c>
      <c r="D19667" s="8">
        <v>0</v>
      </c>
      <c r="E19667" s="8">
        <v>0</v>
      </c>
      <c r="F19667" s="8">
        <v>14</v>
      </c>
    </row>
    <row r="19668" spans="1:6" ht="12.75">
      <c r="A19668" s="8">
        <v>43895.497395833328</v>
      </c>
      <c r="B19668" s="8" t="str">
        <f>HYPERLINK("https://twitter.com/BiemLugiek","@BiemLugiek")</f>
        <v>@BiemLugiek</v>
      </c>
      <c r="C19668" s="8" t="s">
        <v>1078</v>
      </c>
      <c r="D19668" s="8">
        <v>198</v>
      </c>
      <c r="E19668" s="8">
        <v>0</v>
      </c>
      <c r="F19668" s="8">
        <v>141</v>
      </c>
    </row>
    <row r="19669" spans="1:6" ht="12.75">
      <c r="A19669" s="8">
        <v>43895.496979166666</v>
      </c>
      <c r="B19669" s="8" t="str">
        <f>HYPERLINK("https://twitter.com/fath_attaqi","@fath_attaqi")</f>
        <v>@fath_attaqi</v>
      </c>
      <c r="C19669" s="8" t="s">
        <v>1078</v>
      </c>
      <c r="D19669" s="8">
        <v>198</v>
      </c>
      <c r="E19669" s="8">
        <v>0</v>
      </c>
      <c r="F19669" s="8">
        <v>1498</v>
      </c>
    </row>
    <row r="19670" spans="1:6" ht="12.75">
      <c r="A19670" s="8">
        <v>43895.496886574074</v>
      </c>
      <c r="B19670" s="8" t="str">
        <f>HYPERLINK("https://twitter.com/faniasari1234","@faniasari1234")</f>
        <v>@faniasari1234</v>
      </c>
      <c r="C19670" s="8" t="s">
        <v>7607</v>
      </c>
      <c r="D19670" s="8">
        <v>1</v>
      </c>
      <c r="E19670" s="8">
        <v>0</v>
      </c>
      <c r="F19670" s="8">
        <v>5081</v>
      </c>
    </row>
    <row r="19671" spans="1:6" ht="12.75">
      <c r="A19671" s="8">
        <v>43895.496319444443</v>
      </c>
      <c r="B19671" s="8" t="str">
        <f>HYPERLINK("https://twitter.com/basibakotabogor","@basibakotabogor")</f>
        <v>@basibakotabogor</v>
      </c>
      <c r="C19671" s="8" t="s">
        <v>8085</v>
      </c>
      <c r="D19671" s="8">
        <v>0</v>
      </c>
      <c r="E19671" s="8">
        <v>0</v>
      </c>
      <c r="F19671" s="8">
        <v>14</v>
      </c>
    </row>
    <row r="19672" spans="1:6" ht="12.75">
      <c r="A19672" s="8">
        <v>43895.496087962965</v>
      </c>
      <c r="B19672" s="8" t="str">
        <f>HYPERLINK("https://twitter.com/NickPunkabilly","@NickPunkabilly")</f>
        <v>@NickPunkabilly</v>
      </c>
      <c r="C19672" s="8" t="s">
        <v>7969</v>
      </c>
      <c r="D19672" s="8">
        <v>74</v>
      </c>
      <c r="E19672" s="8">
        <v>0</v>
      </c>
      <c r="F19672" s="8">
        <v>5</v>
      </c>
    </row>
    <row r="19673" spans="1:6" ht="12.75">
      <c r="A19673" s="8">
        <v>43895.495937500003</v>
      </c>
      <c r="B19673" s="8" t="str">
        <f>HYPERLINK("https://twitter.com/emirsyahlani123","@emirsyahlani123")</f>
        <v>@emirsyahlani123</v>
      </c>
      <c r="C19673" s="8" t="s">
        <v>8040</v>
      </c>
      <c r="D19673" s="8">
        <v>2</v>
      </c>
      <c r="E19673" s="8">
        <v>0</v>
      </c>
      <c r="F19673" s="8">
        <v>5</v>
      </c>
    </row>
    <row r="19674" spans="1:6" ht="12.75">
      <c r="A19674" s="8">
        <v>43895.495347222226</v>
      </c>
      <c r="B19674" s="8" t="str">
        <f>HYPERLINK("https://twitter.com/Cak_Hariy","@Cak_Hariy")</f>
        <v>@Cak_Hariy</v>
      </c>
      <c r="C19674" s="8" t="s">
        <v>8086</v>
      </c>
      <c r="D19674" s="8">
        <v>0</v>
      </c>
      <c r="E19674" s="8">
        <v>0</v>
      </c>
      <c r="F19674" s="8">
        <v>5338</v>
      </c>
    </row>
    <row r="19675" spans="1:6" ht="12.75">
      <c r="A19675" s="8">
        <v>43895.495335648149</v>
      </c>
      <c r="B19675" s="8" t="str">
        <f>HYPERLINK("https://twitter.com/Dewa13932716","@Dewa13932716")</f>
        <v>@Dewa13932716</v>
      </c>
      <c r="C19675" s="8" t="s">
        <v>8087</v>
      </c>
      <c r="D19675" s="8">
        <v>0</v>
      </c>
      <c r="E19675" s="8">
        <v>0</v>
      </c>
      <c r="F19675" s="8">
        <v>16</v>
      </c>
    </row>
    <row r="19676" spans="1:6" ht="12.75">
      <c r="A19676" s="8">
        <v>43895.495266203703</v>
      </c>
      <c r="B19676" s="8" t="str">
        <f>HYPERLINK("https://twitter.com/handityatanjung","@handityatanjung")</f>
        <v>@handityatanjung</v>
      </c>
      <c r="C19676" s="8" t="s">
        <v>7573</v>
      </c>
      <c r="D19676" s="8">
        <v>26</v>
      </c>
      <c r="E19676" s="8">
        <v>0</v>
      </c>
      <c r="F19676" s="8">
        <v>266</v>
      </c>
    </row>
    <row r="19677" spans="1:6" ht="12.75">
      <c r="A19677" s="8">
        <v>43895.495115740741</v>
      </c>
      <c r="B19677" s="8" t="str">
        <f>HYPERLINK("https://twitter.com/ditagar","@ditagar")</f>
        <v>@ditagar</v>
      </c>
      <c r="C19677" s="8" t="s">
        <v>8088</v>
      </c>
      <c r="D19677" s="8">
        <v>0</v>
      </c>
      <c r="E19677" s="8">
        <v>0</v>
      </c>
      <c r="F19677" s="8">
        <v>105</v>
      </c>
    </row>
    <row r="19678" spans="1:6" ht="12.75">
      <c r="A19678" s="8">
        <v>43895.494699074072</v>
      </c>
      <c r="B19678" s="8" t="str">
        <f>HYPERLINK("https://twitter.com/yofaniagiorgina","@yofaniagiorgina")</f>
        <v>@yofaniagiorgina</v>
      </c>
      <c r="C19678" s="8" t="s">
        <v>6818</v>
      </c>
      <c r="D19678" s="8">
        <v>11</v>
      </c>
      <c r="E19678" s="8">
        <v>0</v>
      </c>
      <c r="F19678" s="8">
        <v>667</v>
      </c>
    </row>
    <row r="19679" spans="1:6" ht="12.75">
      <c r="A19679" s="8">
        <v>43895.49418981481</v>
      </c>
      <c r="B19679" s="8" t="str">
        <f>HYPERLINK("https://twitter.com/bangjoya","@bangjoya")</f>
        <v>@bangjoya</v>
      </c>
      <c r="C19679" s="8" t="s">
        <v>1078</v>
      </c>
      <c r="D19679" s="8">
        <v>198</v>
      </c>
      <c r="E19679" s="8">
        <v>0</v>
      </c>
      <c r="F19679" s="8">
        <v>752</v>
      </c>
    </row>
    <row r="19680" spans="1:6" ht="12.75">
      <c r="A19680" s="8">
        <v>43895.494085648148</v>
      </c>
      <c r="B19680" s="8" t="str">
        <f>HYPERLINK("https://twitter.com/santa_ricci","@santa_ricci")</f>
        <v>@santa_ricci</v>
      </c>
      <c r="C19680" s="8" t="s">
        <v>1078</v>
      </c>
      <c r="D19680" s="8">
        <v>198</v>
      </c>
      <c r="E19680" s="8">
        <v>0</v>
      </c>
      <c r="F19680" s="8">
        <v>73</v>
      </c>
    </row>
    <row r="19681" spans="1:6" ht="12.75">
      <c r="A19681" s="8">
        <v>43895.494062500002</v>
      </c>
      <c r="B19681" s="8" t="str">
        <f t="shared" ref="B19681:B19682" si="290">HYPERLINK("https://twitter.com/DLHKotaBogor","@DLHKotaBogor")</f>
        <v>@DLHKotaBogor</v>
      </c>
      <c r="C19681" s="8" t="s">
        <v>8089</v>
      </c>
      <c r="D19681" s="8">
        <v>0</v>
      </c>
      <c r="E19681" s="8">
        <v>0</v>
      </c>
      <c r="F19681" s="8">
        <v>2484</v>
      </c>
    </row>
    <row r="19682" spans="1:6" ht="12.75">
      <c r="A19682" s="8">
        <v>43895.494039351848</v>
      </c>
      <c r="B19682" s="8" t="str">
        <f t="shared" si="290"/>
        <v>@DLHKotaBogor</v>
      </c>
      <c r="C19682" s="8" t="s">
        <v>8085</v>
      </c>
      <c r="D19682" s="8">
        <v>0</v>
      </c>
      <c r="E19682" s="8">
        <v>0</v>
      </c>
      <c r="F19682" s="8">
        <v>2484</v>
      </c>
    </row>
    <row r="19683" spans="1:6" ht="12.75">
      <c r="A19683" s="8">
        <v>43895.493946759263</v>
      </c>
      <c r="B19683" s="8" t="str">
        <f>HYPERLINK("https://twitter.com/sukron_ab","@sukron_ab")</f>
        <v>@sukron_ab</v>
      </c>
      <c r="C19683" s="8" t="s">
        <v>1078</v>
      </c>
      <c r="D19683" s="8">
        <v>198</v>
      </c>
      <c r="E19683" s="8">
        <v>0</v>
      </c>
      <c r="F19683" s="8">
        <v>5587</v>
      </c>
    </row>
    <row r="19684" spans="1:6" ht="12.75">
      <c r="A19684" s="8">
        <v>43895.493900462963</v>
      </c>
      <c r="B19684" s="8" t="str">
        <f>HYPERLINK("https://twitter.com/AyasSipenk","@AyasSipenk")</f>
        <v>@AyasSipenk</v>
      </c>
      <c r="C19684" s="8" t="s">
        <v>7473</v>
      </c>
      <c r="D19684" s="8">
        <v>321</v>
      </c>
      <c r="E19684" s="8">
        <v>0</v>
      </c>
      <c r="F19684" s="8">
        <v>1434</v>
      </c>
    </row>
    <row r="19685" spans="1:6" ht="12.75">
      <c r="A19685" s="8">
        <v>43895.493796296301</v>
      </c>
      <c r="B19685" s="8" t="str">
        <f>HYPERLINK("https://twitter.com/amwowor","@amwowor")</f>
        <v>@amwowor</v>
      </c>
      <c r="C19685" s="8" t="s">
        <v>1078</v>
      </c>
      <c r="D19685" s="8">
        <v>198</v>
      </c>
      <c r="E19685" s="8">
        <v>0</v>
      </c>
      <c r="F19685" s="8">
        <v>363</v>
      </c>
    </row>
    <row r="19686" spans="1:6" ht="12.75">
      <c r="A19686" s="8">
        <v>43895.493692129632</v>
      </c>
      <c r="B19686" s="8" t="str">
        <f>HYPERLINK("https://twitter.com/ryolandafit","@ryolandafit")</f>
        <v>@ryolandafit</v>
      </c>
      <c r="C19686" s="8" t="s">
        <v>8040</v>
      </c>
      <c r="D19686" s="8">
        <v>2</v>
      </c>
      <c r="E19686" s="8">
        <v>0</v>
      </c>
      <c r="F19686" s="8">
        <v>654</v>
      </c>
    </row>
    <row r="19687" spans="1:6" ht="12.75">
      <c r="A19687" s="8">
        <v>43895.493599537032</v>
      </c>
      <c r="B19687" s="8" t="str">
        <f>HYPERLINK("https://twitter.com/topinfo_id","@topinfo_id")</f>
        <v>@topinfo_id</v>
      </c>
      <c r="C19687" s="8" t="s">
        <v>8090</v>
      </c>
      <c r="D19687" s="8">
        <v>0</v>
      </c>
      <c r="E19687" s="8">
        <v>0</v>
      </c>
      <c r="F19687" s="8">
        <v>43</v>
      </c>
    </row>
    <row r="19688" spans="1:6" ht="12.75">
      <c r="A19688" s="8">
        <v>43895.493437500001</v>
      </c>
      <c r="B19688" s="8" t="str">
        <f>HYPERLINK("https://twitter.com/ndaru_wardani","@ndaru_wardani")</f>
        <v>@ndaru_wardani</v>
      </c>
      <c r="C19688" s="8" t="s">
        <v>3285</v>
      </c>
      <c r="D19688" s="8">
        <v>155</v>
      </c>
      <c r="E19688" s="8">
        <v>0</v>
      </c>
      <c r="F19688" s="8">
        <v>304</v>
      </c>
    </row>
    <row r="19689" spans="1:6" ht="12.75">
      <c r="A19689" s="8">
        <v>43895.493379629625</v>
      </c>
      <c r="B19689" s="8" t="str">
        <f>HYPERLINK("https://twitter.com/KompasTV","@KompasTV")</f>
        <v>@KompasTV</v>
      </c>
      <c r="C19689" s="8" t="s">
        <v>8091</v>
      </c>
      <c r="D19689" s="8">
        <v>2</v>
      </c>
      <c r="E19689" s="8">
        <v>2</v>
      </c>
      <c r="F19689" s="8">
        <v>2956478</v>
      </c>
    </row>
    <row r="19690" spans="1:6" ht="12.75">
      <c r="A19690" s="8">
        <v>43895.493333333332</v>
      </c>
      <c r="B19690" s="8" t="str">
        <f t="shared" ref="B19690:B19691" si="291">HYPERLINK("https://twitter.com/pdanunagoro","@pdanunagoro")</f>
        <v>@pdanunagoro</v>
      </c>
      <c r="C19690" s="8" t="s">
        <v>8092</v>
      </c>
      <c r="D19690" s="8">
        <v>1</v>
      </c>
      <c r="E19690" s="8">
        <v>0</v>
      </c>
      <c r="F19690" s="8">
        <v>501</v>
      </c>
    </row>
    <row r="19691" spans="1:6" ht="12.75">
      <c r="A19691" s="8">
        <v>43895.493113425924</v>
      </c>
      <c r="B19691" s="8" t="str">
        <f t="shared" si="291"/>
        <v>@pdanunagoro</v>
      </c>
      <c r="C19691" s="8" t="s">
        <v>8093</v>
      </c>
      <c r="D19691" s="8">
        <v>1</v>
      </c>
      <c r="E19691" s="8">
        <v>0</v>
      </c>
      <c r="F19691" s="8">
        <v>501</v>
      </c>
    </row>
    <row r="19692" spans="1:6" ht="12.75">
      <c r="A19692" s="8">
        <v>43895.492939814816</v>
      </c>
      <c r="B19692" s="8" t="str">
        <f>HYPERLINK("https://twitter.com/prytnma","@prytnma")</f>
        <v>@prytnma</v>
      </c>
      <c r="C19692" s="8" t="s">
        <v>3285</v>
      </c>
      <c r="D19692" s="8">
        <v>155</v>
      </c>
      <c r="E19692" s="8">
        <v>0</v>
      </c>
      <c r="F19692" s="8">
        <v>412</v>
      </c>
    </row>
    <row r="19693" spans="1:6" ht="12.75">
      <c r="A19693" s="8">
        <v>43895.492662037039</v>
      </c>
      <c r="B19693" s="8" t="str">
        <f>HYPERLINK("https://twitter.com/JohnIrwan4","@JohnIrwan4")</f>
        <v>@JohnIrwan4</v>
      </c>
      <c r="C19693" s="8" t="s">
        <v>8094</v>
      </c>
      <c r="D19693" s="8">
        <v>0</v>
      </c>
      <c r="E19693" s="8">
        <v>0</v>
      </c>
      <c r="F19693" s="8">
        <v>2688</v>
      </c>
    </row>
    <row r="19694" spans="1:6" ht="12.75">
      <c r="A19694" s="8">
        <v>43895.492615740739</v>
      </c>
      <c r="B19694" s="8" t="str">
        <f>HYPERLINK("https://twitter.com/Gupiner","@Gupiner")</f>
        <v>@Gupiner</v>
      </c>
      <c r="C19694" s="8" t="s">
        <v>8095</v>
      </c>
      <c r="D19694" s="8">
        <v>0</v>
      </c>
      <c r="E19694" s="8">
        <v>0</v>
      </c>
      <c r="F19694" s="8">
        <v>42</v>
      </c>
    </row>
    <row r="19695" spans="1:6" ht="12.75">
      <c r="A19695" s="8">
        <v>43895.49255787037</v>
      </c>
      <c r="B19695" s="8" t="str">
        <f>HYPERLINK("https://twitter.com/ryolandafit","@ryolandafit")</f>
        <v>@ryolandafit</v>
      </c>
      <c r="C19695" s="8" t="s">
        <v>4172</v>
      </c>
      <c r="D19695" s="8">
        <v>1</v>
      </c>
      <c r="E19695" s="8">
        <v>0</v>
      </c>
      <c r="F19695" s="8">
        <v>654</v>
      </c>
    </row>
    <row r="19696" spans="1:6" ht="12.75">
      <c r="A19696" s="8">
        <v>43895.492291666669</v>
      </c>
      <c r="B19696" s="8" t="str">
        <f>HYPERLINK("https://twitter.com/pendividia","@pendividia")</f>
        <v>@pendividia</v>
      </c>
      <c r="C19696" s="8" t="s">
        <v>1078</v>
      </c>
      <c r="D19696" s="8">
        <v>198</v>
      </c>
      <c r="E19696" s="8">
        <v>0</v>
      </c>
      <c r="F19696" s="8">
        <v>606</v>
      </c>
    </row>
    <row r="19697" spans="1:6" ht="12.75">
      <c r="A19697" s="8">
        <v>43895.492118055554</v>
      </c>
      <c r="B19697" s="8" t="str">
        <f>HYPERLINK("https://twitter.com/sorawindy10","@sorawindy10")</f>
        <v>@sorawindy10</v>
      </c>
      <c r="C19697" s="8" t="s">
        <v>8096</v>
      </c>
      <c r="D19697" s="8">
        <v>104</v>
      </c>
      <c r="E19697" s="8">
        <v>0</v>
      </c>
      <c r="F19697" s="8">
        <v>1</v>
      </c>
    </row>
    <row r="19698" spans="1:6" ht="12.75">
      <c r="A19698" s="8">
        <v>43895.491956018523</v>
      </c>
      <c r="B19698" s="8" t="str">
        <f>HYPERLINK("https://twitter.com/wills_keren","@wills_keren")</f>
        <v>@wills_keren</v>
      </c>
      <c r="C19698" s="8" t="s">
        <v>1078</v>
      </c>
      <c r="D19698" s="8">
        <v>198</v>
      </c>
      <c r="E19698" s="8">
        <v>0</v>
      </c>
      <c r="F19698" s="8">
        <v>3731</v>
      </c>
    </row>
    <row r="19699" spans="1:6" ht="12.75">
      <c r="A19699" s="8">
        <v>43895.491689814815</v>
      </c>
      <c r="B19699" s="8" t="str">
        <f>HYPERLINK("https://twitter.com/tehcemplung","@tehcemplung")</f>
        <v>@tehcemplung</v>
      </c>
      <c r="C19699" s="8" t="s">
        <v>8097</v>
      </c>
      <c r="D19699" s="8">
        <v>0</v>
      </c>
      <c r="E19699" s="8">
        <v>0</v>
      </c>
      <c r="F19699" s="8">
        <v>5525</v>
      </c>
    </row>
    <row r="19700" spans="1:6" ht="12.75">
      <c r="A19700" s="8">
        <v>43895.491412037038</v>
      </c>
      <c r="B19700" s="8" t="str">
        <f>HYPERLINK("https://twitter.com/kitsiangfreddy","@kitsiangfreddy")</f>
        <v>@kitsiangfreddy</v>
      </c>
      <c r="C19700" s="8" t="s">
        <v>1078</v>
      </c>
      <c r="D19700" s="8">
        <v>198</v>
      </c>
      <c r="E19700" s="8">
        <v>0</v>
      </c>
      <c r="F19700" s="8">
        <v>2073</v>
      </c>
    </row>
    <row r="19701" spans="1:6" ht="12.75">
      <c r="A19701" s="8">
        <v>43895.491099537037</v>
      </c>
      <c r="B19701" s="8" t="str">
        <f>HYPERLINK("https://twitter.com/eddytanaka11","@eddytanaka11")</f>
        <v>@eddytanaka11</v>
      </c>
      <c r="C19701" s="8" t="s">
        <v>3285</v>
      </c>
      <c r="D19701" s="8">
        <v>155</v>
      </c>
      <c r="E19701" s="8">
        <v>0</v>
      </c>
      <c r="F19701" s="8">
        <v>198</v>
      </c>
    </row>
    <row r="19702" spans="1:6" ht="12.75">
      <c r="A19702" s="8">
        <v>43895.49082175926</v>
      </c>
      <c r="B19702" s="8" t="str">
        <f>HYPERLINK("https://twitter.com/ndaru_wardani","@ndaru_wardani")</f>
        <v>@ndaru_wardani</v>
      </c>
      <c r="C19702" s="8" t="s">
        <v>7245</v>
      </c>
      <c r="D19702" s="8">
        <v>34</v>
      </c>
      <c r="E19702" s="8">
        <v>0</v>
      </c>
      <c r="F19702" s="8">
        <v>304</v>
      </c>
    </row>
    <row r="19703" spans="1:6" ht="12.75">
      <c r="A19703" s="8">
        <v>43895.490682870368</v>
      </c>
      <c r="B19703" s="8" t="str">
        <f>HYPERLINK("https://twitter.com/kimansu","@kimansu")</f>
        <v>@kimansu</v>
      </c>
      <c r="C19703" s="8" t="s">
        <v>1078</v>
      </c>
      <c r="D19703" s="8">
        <v>198</v>
      </c>
      <c r="E19703" s="8">
        <v>0</v>
      </c>
      <c r="F19703" s="8">
        <v>386</v>
      </c>
    </row>
    <row r="19704" spans="1:6" ht="12.75">
      <c r="A19704" s="8">
        <v>43895.49046296296</v>
      </c>
      <c r="B19704" s="8" t="str">
        <f>HYPERLINK("https://twitter.com/01Hariyan","@01Hariyan")</f>
        <v>@01Hariyan</v>
      </c>
      <c r="C19704" s="8" t="s">
        <v>8098</v>
      </c>
      <c r="D19704" s="8">
        <v>0</v>
      </c>
      <c r="E19704" s="8">
        <v>2</v>
      </c>
      <c r="F19704" s="8">
        <v>1925</v>
      </c>
    </row>
    <row r="19705" spans="1:6" ht="12.75">
      <c r="A19705" s="8">
        <v>43895.489791666667</v>
      </c>
      <c r="B19705" s="8" t="str">
        <f>HYPERLINK("https://twitter.com/RianAbdiPanges1","@RianAbdiPanges1")</f>
        <v>@RianAbdiPanges1</v>
      </c>
      <c r="C19705" s="8" t="s">
        <v>1078</v>
      </c>
      <c r="D19705" s="8">
        <v>198</v>
      </c>
      <c r="E19705" s="8">
        <v>0</v>
      </c>
      <c r="F19705" s="8">
        <v>326</v>
      </c>
    </row>
    <row r="19706" spans="1:6" ht="12.75">
      <c r="A19706" s="8">
        <v>43895.489583333328</v>
      </c>
      <c r="B19706" s="8" t="str">
        <f>HYPERLINK("https://twitter.com/RadioKesehatan","@RadioKesehatan")</f>
        <v>@RadioKesehatan</v>
      </c>
      <c r="C19706" s="8" t="s">
        <v>8099</v>
      </c>
      <c r="D19706" s="8">
        <v>0</v>
      </c>
      <c r="E19706" s="8">
        <v>0</v>
      </c>
      <c r="F19706" s="8">
        <v>1559</v>
      </c>
    </row>
    <row r="19707" spans="1:6" ht="12.75">
      <c r="A19707" s="8">
        <v>43895.489293981482</v>
      </c>
      <c r="B19707" s="8" t="str">
        <f>HYPERLINK("https://twitter.com/Abeng_babel","@Abeng_babel")</f>
        <v>@Abeng_babel</v>
      </c>
      <c r="C19707" s="8" t="s">
        <v>2979</v>
      </c>
      <c r="D19707" s="8">
        <v>203</v>
      </c>
      <c r="E19707" s="8">
        <v>0</v>
      </c>
      <c r="F19707" s="8">
        <v>1273</v>
      </c>
    </row>
    <row r="19708" spans="1:6" ht="12.75">
      <c r="A19708" s="8">
        <v>43895.489027777774</v>
      </c>
      <c r="B19708" s="8" t="str">
        <f>HYPERLINK("https://twitter.com/charlie_riandy","@charlie_riandy")</f>
        <v>@charlie_riandy</v>
      </c>
      <c r="C19708" s="8" t="s">
        <v>8100</v>
      </c>
      <c r="D19708" s="8">
        <v>3</v>
      </c>
      <c r="E19708" s="8">
        <v>0</v>
      </c>
      <c r="F19708" s="8">
        <v>76</v>
      </c>
    </row>
    <row r="19709" spans="1:6" ht="12.75">
      <c r="A19709" s="8">
        <v>43895.488287037035</v>
      </c>
      <c r="B19709" s="8" t="str">
        <f>HYPERLINK("https://twitter.com/911comand","@911comand")</f>
        <v>@911comand</v>
      </c>
      <c r="C19709" s="8" t="s">
        <v>1078</v>
      </c>
      <c r="D19709" s="8">
        <v>198</v>
      </c>
      <c r="E19709" s="8">
        <v>0</v>
      </c>
      <c r="F19709" s="8">
        <v>2074</v>
      </c>
    </row>
    <row r="19710" spans="1:6" ht="12.75">
      <c r="A19710" s="8">
        <v>43895.488078703704</v>
      </c>
      <c r="B19710" s="8" t="str">
        <f>HYPERLINK("https://twitter.com/Aldo67769328","@Aldo67769328")</f>
        <v>@Aldo67769328</v>
      </c>
      <c r="C19710" s="8" t="s">
        <v>8101</v>
      </c>
      <c r="D19710" s="8">
        <v>0</v>
      </c>
      <c r="E19710" s="8">
        <v>0</v>
      </c>
      <c r="F19710" s="8">
        <v>90</v>
      </c>
    </row>
    <row r="19711" spans="1:6" ht="12.75">
      <c r="A19711" s="8">
        <v>43895.487777777773</v>
      </c>
      <c r="B19711" s="8" t="str">
        <f>HYPERLINK("https://twitter.com/VoxPopuliID","@VoxPopuliID")</f>
        <v>@VoxPopuliID</v>
      </c>
      <c r="C19711" s="8" t="s">
        <v>8102</v>
      </c>
      <c r="D19711" s="8">
        <v>0</v>
      </c>
      <c r="E19711" s="8">
        <v>0</v>
      </c>
      <c r="F19711" s="8">
        <v>728</v>
      </c>
    </row>
    <row r="19712" spans="1:6" ht="12.75">
      <c r="A19712" s="8">
        <v>43895.487708333334</v>
      </c>
      <c r="B19712" s="8" t="str">
        <f>HYPERLINK("https://twitter.com/SebastianBara4","@SebastianBara4")</f>
        <v>@SebastianBara4</v>
      </c>
      <c r="C19712" s="8" t="s">
        <v>8102</v>
      </c>
      <c r="D19712" s="8">
        <v>0</v>
      </c>
      <c r="E19712" s="8">
        <v>0</v>
      </c>
      <c r="F19712" s="8">
        <v>1</v>
      </c>
    </row>
    <row r="19713" spans="1:6" ht="12.75">
      <c r="A19713" s="8">
        <v>43895.487650462965</v>
      </c>
      <c r="B19713" s="8" t="str">
        <f>HYPERLINK("https://twitter.com/spirit_1945","@spirit_1945")</f>
        <v>@spirit_1945</v>
      </c>
      <c r="C19713" s="8" t="s">
        <v>8102</v>
      </c>
      <c r="D19713" s="8">
        <v>0</v>
      </c>
      <c r="E19713" s="8">
        <v>0</v>
      </c>
      <c r="F19713" s="8">
        <v>121</v>
      </c>
    </row>
    <row r="19714" spans="1:6" ht="12.75">
      <c r="A19714" s="8">
        <v>43895.487592592588</v>
      </c>
      <c r="B19714" s="8" t="str">
        <f>HYPERLINK("https://twitter.com/kurakuraninjaid","@kurakuraninjaid")</f>
        <v>@kurakuraninjaid</v>
      </c>
      <c r="C19714" s="8" t="s">
        <v>8102</v>
      </c>
      <c r="D19714" s="8">
        <v>0</v>
      </c>
      <c r="E19714" s="8">
        <v>0</v>
      </c>
      <c r="F19714" s="8">
        <v>309</v>
      </c>
    </row>
    <row r="19715" spans="1:6" ht="12.75">
      <c r="A19715" s="8">
        <v>43895.487546296295</v>
      </c>
      <c r="B19715" s="8" t="str">
        <f>HYPERLINK("https://twitter.com/cikyber","@cikyber")</f>
        <v>@cikyber</v>
      </c>
      <c r="C19715" s="8" t="s">
        <v>8102</v>
      </c>
      <c r="D19715" s="8">
        <v>0</v>
      </c>
      <c r="E19715" s="8">
        <v>0</v>
      </c>
      <c r="F19715" s="8">
        <v>292</v>
      </c>
    </row>
    <row r="19716" spans="1:6" ht="12.75">
      <c r="A19716" s="8">
        <v>43895.487500000003</v>
      </c>
      <c r="B19716" s="8" t="str">
        <f>HYPERLINK("https://twitter.com/AbdullahMujeed","@AbdullahMujeed")</f>
        <v>@AbdullahMujeed</v>
      </c>
      <c r="C19716" s="8" t="s">
        <v>8102</v>
      </c>
      <c r="D19716" s="8">
        <v>0</v>
      </c>
      <c r="E19716" s="8">
        <v>0</v>
      </c>
      <c r="F19716" s="8">
        <v>3</v>
      </c>
    </row>
    <row r="19717" spans="1:6" ht="12.75">
      <c r="A19717" s="8">
        <v>43895.487453703703</v>
      </c>
      <c r="B19717" s="8" t="str">
        <f>HYPERLINK("https://twitter.com/Metro_TV","@Metro_TV")</f>
        <v>@Metro_TV</v>
      </c>
      <c r="C19717" s="8" t="s">
        <v>8103</v>
      </c>
      <c r="D19717" s="8">
        <v>1</v>
      </c>
      <c r="E19717" s="8">
        <v>1</v>
      </c>
      <c r="F19717" s="8">
        <v>10517300</v>
      </c>
    </row>
    <row r="19718" spans="1:6" ht="12.75">
      <c r="A19718" s="8">
        <v>43895.487442129626</v>
      </c>
      <c r="B19718" s="8" t="str">
        <f>HYPERLINK("https://twitter.com/garisdepannkri","@garisdepannkri")</f>
        <v>@garisdepannkri</v>
      </c>
      <c r="C19718" s="8" t="s">
        <v>8102</v>
      </c>
      <c r="D19718" s="8">
        <v>0</v>
      </c>
      <c r="E19718" s="8">
        <v>0</v>
      </c>
      <c r="F19718" s="8">
        <v>7</v>
      </c>
    </row>
    <row r="19719" spans="1:6" ht="12.75">
      <c r="A19719" s="8">
        <v>43895.487407407403</v>
      </c>
      <c r="B19719" s="8" t="str">
        <f>HYPERLINK("https://twitter.com/satriabagus55","@satriabagus55")</f>
        <v>@satriabagus55</v>
      </c>
      <c r="C19719" s="8" t="s">
        <v>3285</v>
      </c>
      <c r="D19719" s="8">
        <v>155</v>
      </c>
      <c r="E19719" s="8">
        <v>0</v>
      </c>
      <c r="F19719" s="8">
        <v>16</v>
      </c>
    </row>
    <row r="19720" spans="1:6" ht="12.75">
      <c r="A19720" s="8">
        <v>43895.487407407403</v>
      </c>
      <c r="B19720" s="8" t="str">
        <f>HYPERLINK("https://twitter.com/kibulans","@kibulans")</f>
        <v>@kibulans</v>
      </c>
      <c r="C19720" s="8" t="s">
        <v>8104</v>
      </c>
      <c r="D19720" s="8">
        <v>0</v>
      </c>
      <c r="E19720" s="8">
        <v>1</v>
      </c>
      <c r="F19720" s="8">
        <v>226</v>
      </c>
    </row>
    <row r="19721" spans="1:6" ht="12.75">
      <c r="A19721" s="8">
        <v>43895.487233796295</v>
      </c>
      <c r="B19721" s="8" t="str">
        <f>HYPERLINK("https://twitter.com/zSlackJack","@zSlackJack")</f>
        <v>@zSlackJack</v>
      </c>
      <c r="C19721" s="8" t="s">
        <v>1078</v>
      </c>
      <c r="D19721" s="8">
        <v>198</v>
      </c>
      <c r="E19721" s="8">
        <v>0</v>
      </c>
      <c r="F19721" s="8">
        <v>64</v>
      </c>
    </row>
    <row r="19722" spans="1:6" ht="12.75">
      <c r="A19722" s="8">
        <v>43895.486840277779</v>
      </c>
      <c r="B19722" s="8" t="str">
        <f>HYPERLINK("https://twitter.com/AndikaRaditt","@AndikaRaditt")</f>
        <v>@AndikaRaditt</v>
      </c>
      <c r="C19722" s="8" t="s">
        <v>1078</v>
      </c>
      <c r="D19722" s="8">
        <v>198</v>
      </c>
      <c r="E19722" s="8">
        <v>0</v>
      </c>
      <c r="F19722" s="8">
        <v>164</v>
      </c>
    </row>
    <row r="19723" spans="1:6" ht="12.75">
      <c r="A19723" s="8">
        <v>43895.486793981487</v>
      </c>
      <c r="B19723" s="8" t="str">
        <f>HYPERLINK("https://twitter.com/UtomoFreddy","@UtomoFreddy")</f>
        <v>@UtomoFreddy</v>
      </c>
      <c r="C19723" s="8" t="s">
        <v>7845</v>
      </c>
      <c r="D19723" s="8">
        <v>67</v>
      </c>
      <c r="E19723" s="8">
        <v>0</v>
      </c>
      <c r="F19723" s="8">
        <v>109</v>
      </c>
    </row>
    <row r="19724" spans="1:6" ht="12.75">
      <c r="A19724" s="8">
        <v>43895.465046296296</v>
      </c>
      <c r="B19724" s="8" t="str">
        <f>HYPERLINK("https://twitter.com/CharlieYoungky","@CharlieYoungky")</f>
        <v>@CharlieYoungky</v>
      </c>
      <c r="C19724" s="8" t="s">
        <v>1078</v>
      </c>
      <c r="D19724" s="8">
        <v>95</v>
      </c>
      <c r="E19724" s="8">
        <v>0</v>
      </c>
      <c r="F19724" s="8">
        <v>1669</v>
      </c>
    </row>
    <row r="19725" spans="1:6" ht="12.75">
      <c r="A19725" s="8">
        <v>43895.46502314815</v>
      </c>
      <c r="B19725" s="8" t="str">
        <f>HYPERLINK("https://twitter.com/fpratama19","@fpratama19")</f>
        <v>@fpratama19</v>
      </c>
      <c r="C19725" s="8" t="s">
        <v>1078</v>
      </c>
      <c r="D19725" s="8">
        <v>95</v>
      </c>
      <c r="E19725" s="8">
        <v>0</v>
      </c>
      <c r="F19725" s="8">
        <v>113</v>
      </c>
    </row>
    <row r="19726" spans="1:6" ht="12.75">
      <c r="A19726" s="8">
        <v>43895.464571759258</v>
      </c>
      <c r="B19726" s="8" t="str">
        <f>HYPERLINK("https://twitter.com/sukmawidyaan","@sukmawidyaan")</f>
        <v>@sukmawidyaan</v>
      </c>
      <c r="C19726" s="8" t="s">
        <v>7473</v>
      </c>
      <c r="D19726" s="8">
        <v>305</v>
      </c>
      <c r="E19726" s="8">
        <v>0</v>
      </c>
      <c r="F19726" s="8">
        <v>100</v>
      </c>
    </row>
    <row r="19727" spans="1:6" ht="12.75">
      <c r="A19727" s="8">
        <v>43895.464513888888</v>
      </c>
      <c r="B19727" s="8" t="str">
        <f>HYPERLINK("https://twitter.com/JagoanMelon","@JagoanMelon")</f>
        <v>@JagoanMelon</v>
      </c>
      <c r="C19727" s="8" t="s">
        <v>1078</v>
      </c>
      <c r="D19727" s="8">
        <v>95</v>
      </c>
      <c r="E19727" s="8">
        <v>0</v>
      </c>
      <c r="F19727" s="8">
        <v>1206</v>
      </c>
    </row>
    <row r="19728" spans="1:6" ht="12.75">
      <c r="A19728" s="8">
        <v>43895.463622685187</v>
      </c>
      <c r="B19728" s="8" t="str">
        <f>HYPERLINK("https://twitter.com/heintje_han","@heintje_han")</f>
        <v>@heintje_han</v>
      </c>
      <c r="C19728" s="8" t="s">
        <v>1078</v>
      </c>
      <c r="D19728" s="8">
        <v>95</v>
      </c>
      <c r="E19728" s="8">
        <v>0</v>
      </c>
      <c r="F19728" s="8">
        <v>245</v>
      </c>
    </row>
    <row r="19729" spans="1:6" ht="12.75">
      <c r="A19729" s="8">
        <v>43895.463159722218</v>
      </c>
      <c r="B19729" s="8" t="str">
        <f>HYPERLINK("https://twitter.com/_____Tobat","@_____Tobat")</f>
        <v>@_____Tobat</v>
      </c>
      <c r="C19729" s="8" t="s">
        <v>1986</v>
      </c>
      <c r="D19729" s="8">
        <v>864</v>
      </c>
      <c r="E19729" s="8">
        <v>0</v>
      </c>
      <c r="F19729" s="8">
        <v>2444</v>
      </c>
    </row>
    <row r="19730" spans="1:6" ht="12.75">
      <c r="A19730" s="8">
        <v>43895.463090277779</v>
      </c>
      <c r="B19730" s="8" t="str">
        <f>HYPERLINK("https://twitter.com/Cahkuwut","@Cahkuwut")</f>
        <v>@Cahkuwut</v>
      </c>
      <c r="C19730" s="8" t="s">
        <v>1078</v>
      </c>
      <c r="D19730" s="8">
        <v>95</v>
      </c>
      <c r="E19730" s="8">
        <v>0</v>
      </c>
      <c r="F19730" s="8">
        <v>678</v>
      </c>
    </row>
    <row r="19731" spans="1:6" ht="12.75">
      <c r="A19731" s="8">
        <v>43895.46292824074</v>
      </c>
      <c r="B19731" s="8" t="str">
        <f>HYPERLINK("https://twitter.com/GnReborn","@GnReborn")</f>
        <v>@GnReborn</v>
      </c>
      <c r="C19731" s="8" t="s">
        <v>8105</v>
      </c>
      <c r="D19731" s="8">
        <v>0</v>
      </c>
      <c r="E19731" s="8">
        <v>1</v>
      </c>
      <c r="F19731" s="8">
        <v>25</v>
      </c>
    </row>
    <row r="19732" spans="1:6" ht="12.75">
      <c r="A19732" s="8">
        <v>43895.46256944444</v>
      </c>
      <c r="B19732" s="8" t="str">
        <f>HYPERLINK("https://twitter.com/superboy4201","@superboy4201")</f>
        <v>@superboy4201</v>
      </c>
      <c r="C19732" s="8" t="s">
        <v>8106</v>
      </c>
      <c r="D19732" s="8">
        <v>0</v>
      </c>
      <c r="E19732" s="8">
        <v>0</v>
      </c>
      <c r="F19732" s="8">
        <v>143</v>
      </c>
    </row>
    <row r="19733" spans="1:6" ht="12.75">
      <c r="A19733" s="8">
        <v>43895.462418981479</v>
      </c>
      <c r="B19733" s="8" t="str">
        <f>HYPERLINK("https://twitter.com/DramaBrother","@DramaBrother")</f>
        <v>@DramaBrother</v>
      </c>
      <c r="C19733" s="8" t="s">
        <v>237</v>
      </c>
      <c r="D19733" s="8">
        <v>0</v>
      </c>
      <c r="E19733" s="8">
        <v>0</v>
      </c>
      <c r="F19733" s="8">
        <v>165</v>
      </c>
    </row>
    <row r="19734" spans="1:6" ht="12.75">
      <c r="A19734" s="8">
        <v>43895.462326388893</v>
      </c>
      <c r="B19734" s="8" t="str">
        <f>HYPERLINK("https://twitter.com/PaijoAryanto__","@PaijoAryanto__")</f>
        <v>@PaijoAryanto__</v>
      </c>
      <c r="C19734" s="8" t="s">
        <v>8107</v>
      </c>
      <c r="D19734" s="8">
        <v>0</v>
      </c>
      <c r="E19734" s="8">
        <v>1</v>
      </c>
      <c r="F19734" s="8">
        <v>748</v>
      </c>
    </row>
    <row r="19735" spans="1:6" ht="12.75">
      <c r="A19735" s="8">
        <v>43895.462164351848</v>
      </c>
      <c r="B19735" s="8" t="str">
        <f>HYPERLINK("https://twitter.com/mederjun","@mederjun")</f>
        <v>@mederjun</v>
      </c>
      <c r="C19735" s="8" t="s">
        <v>7473</v>
      </c>
      <c r="D19735" s="8">
        <v>305</v>
      </c>
      <c r="E19735" s="8">
        <v>0</v>
      </c>
      <c r="F19735" s="8">
        <v>498</v>
      </c>
    </row>
    <row r="19736" spans="1:6" ht="12.75">
      <c r="A19736" s="8">
        <v>43895.462118055555</v>
      </c>
      <c r="B19736" s="8" t="str">
        <f>HYPERLINK("https://twitter.com/SlamatNKRI","@SlamatNKRI")</f>
        <v>@SlamatNKRI</v>
      </c>
      <c r="C19736" s="8" t="s">
        <v>8108</v>
      </c>
      <c r="D19736" s="8">
        <v>0</v>
      </c>
      <c r="E19736" s="8">
        <v>0</v>
      </c>
      <c r="F19736" s="8">
        <v>172</v>
      </c>
    </row>
    <row r="19737" spans="1:6" ht="12.75">
      <c r="A19737" s="8">
        <v>43895.462060185186</v>
      </c>
      <c r="B19737" s="8" t="str">
        <f>HYPERLINK("https://twitter.com/laperkaliloh","@laperkaliloh")</f>
        <v>@laperkaliloh</v>
      </c>
      <c r="C19737" s="8" t="s">
        <v>1078</v>
      </c>
      <c r="D19737" s="8">
        <v>95</v>
      </c>
      <c r="E19737" s="8">
        <v>0</v>
      </c>
      <c r="F19737" s="8">
        <v>1669</v>
      </c>
    </row>
    <row r="19738" spans="1:6" ht="12.75">
      <c r="A19738" s="8">
        <v>43895.461863425924</v>
      </c>
      <c r="B19738" s="8" t="str">
        <f>HYPERLINK("https://twitter.com/bembi85","@bembi85")</f>
        <v>@bembi85</v>
      </c>
      <c r="C19738" s="8" t="s">
        <v>1078</v>
      </c>
      <c r="D19738" s="8">
        <v>95</v>
      </c>
      <c r="E19738" s="8">
        <v>0</v>
      </c>
      <c r="F19738" s="8">
        <v>1884</v>
      </c>
    </row>
    <row r="19739" spans="1:6" ht="12.75">
      <c r="A19739" s="8">
        <v>43895.461805555555</v>
      </c>
      <c r="B19739" s="8" t="str">
        <f>HYPERLINK("https://twitter.com/CineManiaX","@CineManiaX")</f>
        <v>@CineManiaX</v>
      </c>
      <c r="C19739" s="8" t="s">
        <v>7245</v>
      </c>
      <c r="D19739" s="8">
        <v>25</v>
      </c>
      <c r="E19739" s="8">
        <v>0</v>
      </c>
      <c r="F19739" s="8">
        <v>228</v>
      </c>
    </row>
    <row r="19740" spans="1:6" ht="12.75">
      <c r="A19740" s="8">
        <v>43895.461712962962</v>
      </c>
      <c r="B19740" s="8" t="str">
        <f>HYPERLINK("https://twitter.com/frecklexboi","@frecklexboi")</f>
        <v>@frecklexboi</v>
      </c>
      <c r="C19740" s="8" t="s">
        <v>8109</v>
      </c>
      <c r="D19740" s="8">
        <v>0</v>
      </c>
      <c r="E19740" s="8">
        <v>0</v>
      </c>
      <c r="F19740" s="8">
        <v>232</v>
      </c>
    </row>
    <row r="19741" spans="1:6" ht="12.75">
      <c r="A19741" s="8">
        <v>43895.46162037037</v>
      </c>
      <c r="B19741" s="8" t="str">
        <f>HYPERLINK("https://twitter.com/noeruzzaman","@noeruzzaman")</f>
        <v>@noeruzzaman</v>
      </c>
      <c r="C19741" s="8" t="s">
        <v>1078</v>
      </c>
      <c r="D19741" s="8">
        <v>95</v>
      </c>
      <c r="E19741" s="8">
        <v>0</v>
      </c>
      <c r="F19741" s="8">
        <v>20821</v>
      </c>
    </row>
    <row r="19742" spans="1:6" ht="12.75">
      <c r="A19742" s="8">
        <v>43895.461493055554</v>
      </c>
      <c r="B19742" s="8" t="str">
        <f>HYPERLINK("https://twitter.com/krisnaplano","@krisnaplano")</f>
        <v>@krisnaplano</v>
      </c>
      <c r="C19742" s="8" t="s">
        <v>1078</v>
      </c>
      <c r="D19742" s="8">
        <v>95</v>
      </c>
      <c r="E19742" s="8">
        <v>0</v>
      </c>
      <c r="F19742" s="8">
        <v>63</v>
      </c>
    </row>
    <row r="19743" spans="1:6" ht="12.75">
      <c r="A19743" s="8">
        <v>43895.461377314816</v>
      </c>
      <c r="B19743" s="8" t="str">
        <f>HYPERLINK("https://twitter.com/hijadelF","@hijadelF")</f>
        <v>@hijadelF</v>
      </c>
      <c r="C19743" s="8" t="s">
        <v>8110</v>
      </c>
      <c r="D19743" s="8">
        <v>0</v>
      </c>
      <c r="E19743" s="8">
        <v>0</v>
      </c>
      <c r="F19743" s="8">
        <v>4657</v>
      </c>
    </row>
    <row r="19744" spans="1:6" ht="12.75">
      <c r="A19744" s="8">
        <v>43895.46125</v>
      </c>
      <c r="B19744" s="8" t="str">
        <f>HYPERLINK("https://twitter.com/icboemi","@icboemi")</f>
        <v>@icboemi</v>
      </c>
      <c r="C19744" s="8" t="s">
        <v>1078</v>
      </c>
      <c r="D19744" s="8">
        <v>95</v>
      </c>
      <c r="E19744" s="8">
        <v>0</v>
      </c>
      <c r="F19744" s="8">
        <v>349</v>
      </c>
    </row>
    <row r="19745" spans="1:6" ht="12.75">
      <c r="A19745" s="8">
        <v>43895.461226851854</v>
      </c>
      <c r="B19745" s="8" t="str">
        <f>HYPERLINK("https://twitter.com/01Hariyan","@01Hariyan")</f>
        <v>@01Hariyan</v>
      </c>
      <c r="C19745" s="8" t="s">
        <v>8111</v>
      </c>
      <c r="D19745" s="8">
        <v>2</v>
      </c>
      <c r="E19745" s="8">
        <v>0</v>
      </c>
      <c r="F19745" s="8">
        <v>1924</v>
      </c>
    </row>
    <row r="19746" spans="1:6" ht="12.75">
      <c r="A19746" s="8">
        <v>43895.461168981477</v>
      </c>
      <c r="B19746" s="8" t="str">
        <f t="shared" ref="B19746:B19748" si="292">HYPERLINK("https://twitter.com/vijosmarch","@vijosmarch")</f>
        <v>@vijosmarch</v>
      </c>
      <c r="C19746" s="8" t="s">
        <v>8112</v>
      </c>
      <c r="D19746" s="8">
        <v>3</v>
      </c>
      <c r="E19746" s="8">
        <v>0</v>
      </c>
      <c r="F19746" s="8">
        <v>2</v>
      </c>
    </row>
    <row r="19747" spans="1:6" ht="12.75">
      <c r="A19747" s="8">
        <v>43895.461087962962</v>
      </c>
      <c r="B19747" s="8" t="str">
        <f t="shared" si="292"/>
        <v>@vijosmarch</v>
      </c>
      <c r="C19747" s="8" t="s">
        <v>8113</v>
      </c>
      <c r="D19747" s="8">
        <v>2</v>
      </c>
      <c r="E19747" s="8">
        <v>0</v>
      </c>
      <c r="F19747" s="8">
        <v>2</v>
      </c>
    </row>
    <row r="19748" spans="1:6" ht="12.75">
      <c r="A19748" s="8">
        <v>43895.461041666669</v>
      </c>
      <c r="B19748" s="8" t="str">
        <f t="shared" si="292"/>
        <v>@vijosmarch</v>
      </c>
      <c r="C19748" s="8" t="s">
        <v>8114</v>
      </c>
      <c r="D19748" s="8">
        <v>5</v>
      </c>
      <c r="E19748" s="8">
        <v>0</v>
      </c>
      <c r="F19748" s="8">
        <v>2</v>
      </c>
    </row>
    <row r="19749" spans="1:6" ht="12.75">
      <c r="A19749" s="8">
        <v>43895.460856481484</v>
      </c>
      <c r="B19749" s="8" t="str">
        <f>HYPERLINK("https://twitter.com/Lia_MG_JAFRA","@Lia_MG_JAFRA")</f>
        <v>@Lia_MG_JAFRA</v>
      </c>
      <c r="C19749" s="8" t="s">
        <v>8115</v>
      </c>
      <c r="D19749" s="8">
        <v>239</v>
      </c>
      <c r="E19749" s="8">
        <v>0</v>
      </c>
      <c r="F19749" s="8">
        <v>394</v>
      </c>
    </row>
    <row r="19750" spans="1:6" ht="12.75">
      <c r="A19750" s="8">
        <v>43895.4606712963</v>
      </c>
      <c r="B19750" s="8" t="str">
        <f>HYPERLINK("https://twitter.com/KarmaPUBG","@KarmaPUBG")</f>
        <v>@KarmaPUBG</v>
      </c>
      <c r="C19750" s="8" t="s">
        <v>8116</v>
      </c>
      <c r="D19750" s="8">
        <v>0</v>
      </c>
      <c r="E19750" s="8">
        <v>0</v>
      </c>
      <c r="F19750" s="8">
        <v>2389</v>
      </c>
    </row>
    <row r="19751" spans="1:6" ht="12.75">
      <c r="A19751" s="8">
        <v>43895.460520833338</v>
      </c>
      <c r="B19751" s="8" t="str">
        <f>HYPERLINK("https://twitter.com/superkayamlm","@superkayamlm")</f>
        <v>@superkayamlm</v>
      </c>
      <c r="C19751" s="8" t="s">
        <v>1078</v>
      </c>
      <c r="D19751" s="8">
        <v>95</v>
      </c>
      <c r="E19751" s="8">
        <v>0</v>
      </c>
      <c r="F19751" s="8">
        <v>190</v>
      </c>
    </row>
    <row r="19752" spans="1:6" ht="12.75">
      <c r="A19752" s="8">
        <v>43895.460474537038</v>
      </c>
      <c r="B19752" s="8" t="str">
        <f>HYPERLINK("https://twitter.com/jamzsay","@jamzsay")</f>
        <v>@jamzsay</v>
      </c>
      <c r="C19752" s="8" t="s">
        <v>7473</v>
      </c>
      <c r="D19752" s="8">
        <v>305</v>
      </c>
      <c r="E19752" s="8">
        <v>0</v>
      </c>
      <c r="F19752" s="8">
        <v>1301</v>
      </c>
    </row>
    <row r="19753" spans="1:6" ht="12.75">
      <c r="A19753" s="8">
        <v>43895.460439814815</v>
      </c>
      <c r="B19753" s="8" t="str">
        <f>HYPERLINK("https://twitter.com/ArtiHar","@ArtiHar")</f>
        <v>@ArtiHar</v>
      </c>
      <c r="C19753" s="8" t="s">
        <v>3285</v>
      </c>
      <c r="D19753" s="8">
        <v>141</v>
      </c>
      <c r="E19753" s="8">
        <v>0</v>
      </c>
      <c r="F19753" s="8">
        <v>618</v>
      </c>
    </row>
    <row r="19754" spans="1:6" ht="12.75">
      <c r="A19754" s="8">
        <v>43895.460405092592</v>
      </c>
      <c r="B19754" s="8" t="str">
        <f>HYPERLINK("https://twitter.com/JIMsihombing","@JIMsihombing")</f>
        <v>@JIMsihombing</v>
      </c>
      <c r="C19754" s="8" t="s">
        <v>1078</v>
      </c>
      <c r="D19754" s="8">
        <v>95</v>
      </c>
      <c r="E19754" s="8">
        <v>0</v>
      </c>
      <c r="F19754" s="8">
        <v>740</v>
      </c>
    </row>
    <row r="19755" spans="1:6" ht="12.75">
      <c r="A19755" s="8">
        <v>43895.460381944446</v>
      </c>
      <c r="B19755" s="8" t="str">
        <f>HYPERLINK("https://twitter.com/hartono_saja","@hartono_saja")</f>
        <v>@hartono_saja</v>
      </c>
      <c r="C19755" s="8" t="s">
        <v>8117</v>
      </c>
      <c r="D19755" s="8">
        <v>0</v>
      </c>
      <c r="E19755" s="8">
        <v>0</v>
      </c>
      <c r="F19755" s="8">
        <v>84</v>
      </c>
    </row>
    <row r="19756" spans="1:6" ht="12.75">
      <c r="A19756" s="8">
        <v>43895.46020833333</v>
      </c>
      <c r="B19756" s="8" t="str">
        <f>HYPERLINK("https://twitter.com/budibudisaja","@budibudisaja")</f>
        <v>@budibudisaja</v>
      </c>
      <c r="C19756" s="8" t="s">
        <v>7473</v>
      </c>
      <c r="D19756" s="8">
        <v>305</v>
      </c>
      <c r="E19756" s="8">
        <v>0</v>
      </c>
      <c r="F19756" s="8">
        <v>131</v>
      </c>
    </row>
    <row r="19757" spans="1:6" ht="12.75">
      <c r="A19757" s="8">
        <v>43895.460023148145</v>
      </c>
      <c r="B19757" s="8" t="str">
        <f>HYPERLINK("https://twitter.com/metrojambi","@metrojambi")</f>
        <v>@metrojambi</v>
      </c>
      <c r="C19757" s="8" t="s">
        <v>8118</v>
      </c>
      <c r="D19757" s="8">
        <v>0</v>
      </c>
      <c r="E19757" s="8">
        <v>0</v>
      </c>
      <c r="F19757" s="8">
        <v>4707</v>
      </c>
    </row>
    <row r="19758" spans="1:6" ht="12.75">
      <c r="A19758" s="8">
        <v>43895.459965277776</v>
      </c>
      <c r="B19758" s="8" t="str">
        <f>HYPERLINK("https://twitter.com/Brunowicaksono","@Brunowicaksono")</f>
        <v>@Brunowicaksono</v>
      </c>
      <c r="C19758" s="8" t="s">
        <v>1078</v>
      </c>
      <c r="D19758" s="8">
        <v>95</v>
      </c>
      <c r="E19758" s="8">
        <v>0</v>
      </c>
      <c r="F19758" s="8">
        <v>1779</v>
      </c>
    </row>
    <row r="19759" spans="1:6" ht="12.75">
      <c r="A19759" s="8">
        <v>43895.459803240738</v>
      </c>
      <c r="B19759" s="8" t="str">
        <f>HYPERLINK("https://twitter.com/bukannsella","@bukannsella")</f>
        <v>@bukannsella</v>
      </c>
      <c r="C19759" s="8" t="s">
        <v>1078</v>
      </c>
      <c r="D19759" s="8">
        <v>95</v>
      </c>
      <c r="E19759" s="8">
        <v>0</v>
      </c>
      <c r="F19759" s="8">
        <v>88</v>
      </c>
    </row>
    <row r="19760" spans="1:6" ht="12.75">
      <c r="A19760" s="8">
        <v>43895.459722222222</v>
      </c>
      <c r="B19760" s="8" t="str">
        <f>HYPERLINK("https://twitter.com/IwanJuda","@IwanJuda")</f>
        <v>@IwanJuda</v>
      </c>
      <c r="C19760" s="8" t="s">
        <v>7245</v>
      </c>
      <c r="D19760" s="8">
        <v>25</v>
      </c>
      <c r="E19760" s="8">
        <v>0</v>
      </c>
      <c r="F19760" s="8">
        <v>55</v>
      </c>
    </row>
    <row r="19761" spans="1:6" ht="12.75">
      <c r="A19761" s="8">
        <v>43895.459548611107</v>
      </c>
      <c r="B19761" s="8" t="str">
        <f>HYPERLINK("https://twitter.com/SlamatNKRI","@SlamatNKRI")</f>
        <v>@SlamatNKRI</v>
      </c>
      <c r="C19761" s="8" t="s">
        <v>8119</v>
      </c>
      <c r="D19761" s="8">
        <v>0</v>
      </c>
      <c r="E19761" s="8">
        <v>0</v>
      </c>
      <c r="F19761" s="8">
        <v>172</v>
      </c>
    </row>
    <row r="19762" spans="1:6" ht="12.75">
      <c r="A19762" s="8">
        <v>43895.459444444445</v>
      </c>
      <c r="B19762" s="8" t="str">
        <f>HYPERLINK("https://twitter.com/SgMarthin","@SgMarthin")</f>
        <v>@SgMarthin</v>
      </c>
      <c r="C19762" s="8" t="s">
        <v>3285</v>
      </c>
      <c r="D19762" s="8">
        <v>141</v>
      </c>
      <c r="E19762" s="8">
        <v>0</v>
      </c>
      <c r="F19762" s="8">
        <v>648</v>
      </c>
    </row>
    <row r="19763" spans="1:6" ht="12.75">
      <c r="A19763" s="8">
        <v>43895.459178240737</v>
      </c>
      <c r="B19763" s="8" t="str">
        <f>HYPERLINK("https://twitter.com/bukanSiZonkie","@bukanSiZonkie")</f>
        <v>@bukanSiZonkie</v>
      </c>
      <c r="C19763" s="8" t="s">
        <v>3285</v>
      </c>
      <c r="D19763" s="8">
        <v>141</v>
      </c>
      <c r="E19763" s="8">
        <v>0</v>
      </c>
      <c r="F19763" s="8">
        <v>144</v>
      </c>
    </row>
    <row r="19764" spans="1:6" ht="12.75">
      <c r="A19764" s="8">
        <v>43895.458715277782</v>
      </c>
      <c r="B19764" s="8" t="str">
        <f>HYPERLINK("https://twitter.com/MAliSubhan2","@MAliSubhan2")</f>
        <v>@MAliSubhan2</v>
      </c>
      <c r="C19764" s="8" t="s">
        <v>1078</v>
      </c>
      <c r="D19764" s="8">
        <v>95</v>
      </c>
      <c r="E19764" s="8">
        <v>0</v>
      </c>
      <c r="F19764" s="8">
        <v>1254</v>
      </c>
    </row>
    <row r="19765" spans="1:6" ht="12.75">
      <c r="A19765" s="8">
        <v>43895.458703703705</v>
      </c>
      <c r="B19765" s="8" t="str">
        <f>HYPERLINK("https://twitter.com/jamzsay","@jamzsay")</f>
        <v>@jamzsay</v>
      </c>
      <c r="C19765" s="8" t="s">
        <v>1078</v>
      </c>
      <c r="D19765" s="8">
        <v>95</v>
      </c>
      <c r="E19765" s="8">
        <v>0</v>
      </c>
      <c r="F19765" s="8">
        <v>1301</v>
      </c>
    </row>
    <row r="19766" spans="1:6" ht="12.75">
      <c r="A19766" s="8">
        <v>43895.458460648151</v>
      </c>
      <c r="B19766" s="8" t="str">
        <f>HYPERLINK("https://twitter.com/RiuUtomoRizki","@RiuUtomoRizki")</f>
        <v>@RiuUtomoRizki</v>
      </c>
      <c r="C19766" s="8" t="s">
        <v>2979</v>
      </c>
      <c r="D19766" s="8">
        <v>190</v>
      </c>
      <c r="E19766" s="8">
        <v>0</v>
      </c>
      <c r="F19766" s="8">
        <v>10410</v>
      </c>
    </row>
    <row r="19767" spans="1:6" ht="12.75">
      <c r="A19767" s="8">
        <v>43895.458437499998</v>
      </c>
      <c r="B19767" s="8" t="str">
        <f>HYPERLINK("https://twitter.com/AkuPamuji","@AkuPamuji")</f>
        <v>@AkuPamuji</v>
      </c>
      <c r="C19767" s="8" t="s">
        <v>1078</v>
      </c>
      <c r="D19767" s="8">
        <v>95</v>
      </c>
      <c r="E19767" s="8">
        <v>0</v>
      </c>
      <c r="F19767" s="8">
        <v>186</v>
      </c>
    </row>
    <row r="19768" spans="1:6" ht="12.75">
      <c r="A19768" s="8">
        <v>43895.458090277782</v>
      </c>
      <c r="B19768" s="8" t="str">
        <f>HYPERLINK("https://twitter.com/elHurryKoRn","@elHurryKoRn")</f>
        <v>@elHurryKoRn</v>
      </c>
      <c r="C19768" s="8" t="s">
        <v>8120</v>
      </c>
      <c r="D19768" s="8">
        <v>1</v>
      </c>
      <c r="E19768" s="8">
        <v>0</v>
      </c>
      <c r="F19768" s="8">
        <v>19475</v>
      </c>
    </row>
    <row r="19769" spans="1:6" ht="12.75">
      <c r="A19769" s="8">
        <v>43895.457962962959</v>
      </c>
      <c r="B19769" s="8" t="str">
        <f>HYPERLINK("https://twitter.com/HvzIndo","@HvzIndo")</f>
        <v>@HvzIndo</v>
      </c>
      <c r="C19769" s="8" t="s">
        <v>1078</v>
      </c>
      <c r="D19769" s="8">
        <v>95</v>
      </c>
      <c r="E19769" s="8">
        <v>0</v>
      </c>
      <c r="F19769" s="8">
        <v>84</v>
      </c>
    </row>
    <row r="19770" spans="1:6" ht="12.75">
      <c r="A19770" s="8">
        <v>43895.457812499997</v>
      </c>
      <c r="B19770" s="8" t="str">
        <f>HYPERLINK("https://twitter.com/aa_argun","@aa_argun")</f>
        <v>@aa_argun</v>
      </c>
      <c r="C19770" s="8" t="s">
        <v>2979</v>
      </c>
      <c r="D19770" s="8">
        <v>190</v>
      </c>
      <c r="E19770" s="8">
        <v>0</v>
      </c>
      <c r="F19770" s="8">
        <v>112</v>
      </c>
    </row>
    <row r="19771" spans="1:6" ht="12.75">
      <c r="A19771" s="8">
        <v>43895.456828703704</v>
      </c>
      <c r="B19771" s="8" t="str">
        <f>HYPERLINK("https://twitter.com/SgMarthin","@SgMarthin")</f>
        <v>@SgMarthin</v>
      </c>
      <c r="C19771" s="8" t="s">
        <v>1078</v>
      </c>
      <c r="D19771" s="8">
        <v>95</v>
      </c>
      <c r="E19771" s="8">
        <v>0</v>
      </c>
      <c r="F19771" s="8">
        <v>648</v>
      </c>
    </row>
    <row r="19772" spans="1:6" ht="12.75">
      <c r="A19772" s="8">
        <v>43895.456620370373</v>
      </c>
      <c r="B19772" s="8" t="str">
        <f>HYPERLINK("https://twitter.com/sky_awanku","@sky_awanku")</f>
        <v>@sky_awanku</v>
      </c>
      <c r="C19772" s="8" t="s">
        <v>1078</v>
      </c>
      <c r="D19772" s="8">
        <v>95</v>
      </c>
      <c r="E19772" s="8">
        <v>0</v>
      </c>
      <c r="F19772" s="8">
        <v>1870</v>
      </c>
    </row>
    <row r="19773" spans="1:6" ht="12.75">
      <c r="A19773" s="8">
        <v>43895.456608796296</v>
      </c>
      <c r="B19773" s="8" t="str">
        <f>HYPERLINK("https://twitter.com/sitikomariah11","@sitikomariah11")</f>
        <v>@sitikomariah11</v>
      </c>
      <c r="C19773" s="8" t="s">
        <v>1078</v>
      </c>
      <c r="D19773" s="8">
        <v>95</v>
      </c>
      <c r="E19773" s="8">
        <v>0</v>
      </c>
      <c r="F19773" s="8">
        <v>286</v>
      </c>
    </row>
    <row r="19774" spans="1:6" ht="12.75">
      <c r="A19774" s="8">
        <v>43895.456412037034</v>
      </c>
      <c r="B19774" s="8" t="str">
        <f>HYPERLINK("https://twitter.com/HPeridia","@HPeridia")</f>
        <v>@HPeridia</v>
      </c>
      <c r="C19774" s="8" t="s">
        <v>1078</v>
      </c>
      <c r="D19774" s="8">
        <v>95</v>
      </c>
      <c r="E19774" s="8">
        <v>0</v>
      </c>
      <c r="F19774" s="8">
        <v>666</v>
      </c>
    </row>
    <row r="19775" spans="1:6" ht="12.75">
      <c r="A19775" s="8">
        <v>43895.456296296295</v>
      </c>
      <c r="B19775" s="8" t="str">
        <f>HYPERLINK("https://twitter.com/temulawakasli","@temulawakasli")</f>
        <v>@temulawakasli</v>
      </c>
      <c r="C19775" s="8" t="s">
        <v>8121</v>
      </c>
      <c r="D19775" s="8">
        <v>0</v>
      </c>
      <c r="E19775" s="8">
        <v>0</v>
      </c>
      <c r="F19775" s="8">
        <v>462</v>
      </c>
    </row>
    <row r="19776" spans="1:6" ht="12.75">
      <c r="A19776" s="8">
        <v>43895.456238425926</v>
      </c>
      <c r="B19776" s="8" t="str">
        <f>HYPERLINK("https://twitter.com/elHurryKoRn","@elHurryKoRn")</f>
        <v>@elHurryKoRn</v>
      </c>
      <c r="C19776" s="8" t="s">
        <v>8122</v>
      </c>
      <c r="D19776" s="8">
        <v>0</v>
      </c>
      <c r="E19776" s="8">
        <v>1</v>
      </c>
      <c r="F19776" s="8">
        <v>19475</v>
      </c>
    </row>
    <row r="19777" spans="1:6" ht="12.75">
      <c r="A19777" s="8">
        <v>43895.455497685187</v>
      </c>
      <c r="B19777" s="8" t="str">
        <f>HYPERLINK("https://twitter.com/Galang82369439","@Galang82369439")</f>
        <v>@Galang82369439</v>
      </c>
      <c r="C19777" s="8" t="s">
        <v>1078</v>
      </c>
      <c r="D19777" s="8">
        <v>95</v>
      </c>
      <c r="E19777" s="8">
        <v>0</v>
      </c>
      <c r="F19777" s="8">
        <v>151</v>
      </c>
    </row>
    <row r="19778" spans="1:6" ht="12.75">
      <c r="A19778" s="8">
        <v>43895.45548611111</v>
      </c>
      <c r="B19778" s="8" t="str">
        <f>HYPERLINK("https://twitter.com/amrudinnejad_","@amrudinnejad_")</f>
        <v>@amrudinnejad_</v>
      </c>
      <c r="C19778" s="8" t="s">
        <v>1078</v>
      </c>
      <c r="D19778" s="8">
        <v>95</v>
      </c>
      <c r="E19778" s="8">
        <v>0</v>
      </c>
      <c r="F19778" s="8">
        <v>8022</v>
      </c>
    </row>
    <row r="19779" spans="1:6" ht="12.75">
      <c r="A19779" s="8">
        <v>43895.455324074079</v>
      </c>
      <c r="B19779" s="8" t="str">
        <f>HYPERLINK("https://twitter.com/IsmailFerryNani","@IsmailFerryNani")</f>
        <v>@IsmailFerryNani</v>
      </c>
      <c r="C19779" s="8" t="s">
        <v>8112</v>
      </c>
      <c r="D19779" s="8">
        <v>3</v>
      </c>
      <c r="E19779" s="8">
        <v>0</v>
      </c>
      <c r="F19779" s="8">
        <v>94</v>
      </c>
    </row>
    <row r="19780" spans="1:6" ht="12.75">
      <c r="A19780" s="8">
        <v>43895.455243055556</v>
      </c>
      <c r="B19780" s="8" t="str">
        <f>HYPERLINK("https://twitter.com/Mugi2Sukses","@Mugi2Sukses")</f>
        <v>@Mugi2Sukses</v>
      </c>
      <c r="C19780" s="8" t="s">
        <v>1078</v>
      </c>
      <c r="D19780" s="8">
        <v>95</v>
      </c>
      <c r="E19780" s="8">
        <v>0</v>
      </c>
      <c r="F19780" s="8">
        <v>1446</v>
      </c>
    </row>
    <row r="19781" spans="1:6" ht="12.75">
      <c r="A19781" s="8">
        <v>43895.455162037033</v>
      </c>
      <c r="B19781" s="8" t="str">
        <f>HYPERLINK("https://twitter.com/interisti2001","@interisti2001")</f>
        <v>@interisti2001</v>
      </c>
      <c r="C19781" s="8" t="s">
        <v>8123</v>
      </c>
      <c r="D19781" s="8">
        <v>0</v>
      </c>
      <c r="E19781" s="8">
        <v>0</v>
      </c>
      <c r="F19781" s="8">
        <v>86</v>
      </c>
    </row>
    <row r="19782" spans="1:6" ht="12.75">
      <c r="A19782" s="8">
        <v>43895.455138888894</v>
      </c>
      <c r="B19782" s="8" t="str">
        <f t="shared" ref="B19782:B19784" si="293">HYPERLINK("https://twitter.com/IsmailFerryNani","@IsmailFerryNani")</f>
        <v>@IsmailFerryNani</v>
      </c>
      <c r="C19782" s="8" t="s">
        <v>8124</v>
      </c>
      <c r="D19782" s="8">
        <v>1</v>
      </c>
      <c r="E19782" s="8">
        <v>0</v>
      </c>
      <c r="F19782" s="8">
        <v>94</v>
      </c>
    </row>
    <row r="19783" spans="1:6" ht="12.75">
      <c r="A19783" s="8">
        <v>43895.455081018517</v>
      </c>
      <c r="B19783" s="8" t="str">
        <f t="shared" si="293"/>
        <v>@IsmailFerryNani</v>
      </c>
      <c r="C19783" s="8" t="s">
        <v>8114</v>
      </c>
      <c r="D19783" s="8">
        <v>5</v>
      </c>
      <c r="E19783" s="8">
        <v>0</v>
      </c>
      <c r="F19783" s="8">
        <v>94</v>
      </c>
    </row>
    <row r="19784" spans="1:6" ht="12.75">
      <c r="A19784" s="8">
        <v>43895.455000000002</v>
      </c>
      <c r="B19784" s="8" t="str">
        <f t="shared" si="293"/>
        <v>@IsmailFerryNani</v>
      </c>
      <c r="C19784" s="8" t="s">
        <v>8113</v>
      </c>
      <c r="D19784" s="8">
        <v>2</v>
      </c>
      <c r="E19784" s="8">
        <v>0</v>
      </c>
      <c r="F19784" s="8">
        <v>94</v>
      </c>
    </row>
    <row r="19785" spans="1:6" ht="12.75">
      <c r="A19785" s="8">
        <v>43895.454884259263</v>
      </c>
      <c r="B19785" s="8" t="str">
        <f>HYPERLINK("https://twitter.com/_imamprasetyo","@_imamprasetyo")</f>
        <v>@_imamprasetyo</v>
      </c>
      <c r="C19785" s="8" t="s">
        <v>8125</v>
      </c>
      <c r="D19785" s="8">
        <v>0</v>
      </c>
      <c r="E19785" s="8">
        <v>0</v>
      </c>
      <c r="F19785" s="8">
        <v>104</v>
      </c>
    </row>
    <row r="19786" spans="1:6" ht="12.75">
      <c r="A19786" s="8">
        <v>43895.454837962963</v>
      </c>
      <c r="B19786" s="8" t="str">
        <f>HYPERLINK("https://twitter.com/Lupaingatan75","@Lupaingatan75")</f>
        <v>@Lupaingatan75</v>
      </c>
      <c r="C19786" s="8" t="s">
        <v>8126</v>
      </c>
      <c r="D19786" s="8">
        <v>0</v>
      </c>
      <c r="E19786" s="8">
        <v>1</v>
      </c>
      <c r="F19786" s="8">
        <v>703</v>
      </c>
    </row>
    <row r="19787" spans="1:6" ht="12.75">
      <c r="A19787" s="8">
        <v>43895.454826388886</v>
      </c>
      <c r="B19787" s="8" t="str">
        <f>HYPERLINK("https://twitter.com/IsmailFerryNani","@IsmailFerryNani")</f>
        <v>@IsmailFerryNani</v>
      </c>
      <c r="C19787" s="8" t="s">
        <v>8127</v>
      </c>
      <c r="D19787" s="8">
        <v>3</v>
      </c>
      <c r="E19787" s="8">
        <v>0</v>
      </c>
      <c r="F19787" s="8">
        <v>94</v>
      </c>
    </row>
    <row r="19788" spans="1:6" ht="12.75">
      <c r="A19788" s="8">
        <v>43895.45480324074</v>
      </c>
      <c r="B19788" s="8" t="str">
        <f>HYPERLINK("https://twitter.com/ImperiumKnights","@ImperiumKnights")</f>
        <v>@ImperiumKnights</v>
      </c>
      <c r="C19788" s="8" t="s">
        <v>1078</v>
      </c>
      <c r="D19788" s="8">
        <v>95</v>
      </c>
      <c r="E19788" s="8">
        <v>0</v>
      </c>
      <c r="F19788" s="8">
        <v>17921</v>
      </c>
    </row>
    <row r="19789" spans="1:6" ht="12.75">
      <c r="A19789" s="8">
        <v>43895.454745370371</v>
      </c>
      <c r="B19789" s="8" t="str">
        <f>HYPERLINK("https://twitter.com/IsmailFerryNani","@IsmailFerryNani")</f>
        <v>@IsmailFerryNani</v>
      </c>
      <c r="C19789" s="8" t="s">
        <v>8128</v>
      </c>
      <c r="D19789" s="8">
        <v>2</v>
      </c>
      <c r="E19789" s="8">
        <v>0</v>
      </c>
      <c r="F19789" s="8">
        <v>94</v>
      </c>
    </row>
    <row r="19790" spans="1:6" ht="12.75">
      <c r="A19790" s="8">
        <v>43895.454710648148</v>
      </c>
      <c r="B19790" s="8" t="str">
        <f>HYPERLINK("https://twitter.com/ARISSUS02666971","@ARISSUS02666971")</f>
        <v>@ARISSUS02666971</v>
      </c>
      <c r="C19790" s="8" t="s">
        <v>2979</v>
      </c>
      <c r="D19790" s="8">
        <v>190</v>
      </c>
      <c r="E19790" s="8">
        <v>0</v>
      </c>
      <c r="F19790" s="8">
        <v>157</v>
      </c>
    </row>
    <row r="19791" spans="1:6" ht="12.75">
      <c r="A19791" s="8">
        <v>43895.454664351855</v>
      </c>
      <c r="B19791" s="8" t="str">
        <f>HYPERLINK("https://twitter.com/tasya_4black","@tasya_4black")</f>
        <v>@tasya_4black</v>
      </c>
      <c r="C19791" s="8" t="s">
        <v>1078</v>
      </c>
      <c r="D19791" s="8">
        <v>95</v>
      </c>
      <c r="E19791" s="8">
        <v>0</v>
      </c>
      <c r="F19791" s="8">
        <v>94</v>
      </c>
    </row>
    <row r="19792" spans="1:6" ht="12.75">
      <c r="A19792" s="8">
        <v>43895.454629629632</v>
      </c>
      <c r="B19792" s="8" t="str">
        <f>HYPERLINK("https://twitter.com/toms98750690","@toms98750690")</f>
        <v>@toms98750690</v>
      </c>
      <c r="C19792" s="8" t="s">
        <v>1078</v>
      </c>
      <c r="D19792" s="8">
        <v>95</v>
      </c>
      <c r="E19792" s="8">
        <v>0</v>
      </c>
      <c r="F19792" s="8">
        <v>78</v>
      </c>
    </row>
    <row r="19793" spans="1:6" ht="12.75">
      <c r="A19793" s="8">
        <v>43895.454583333332</v>
      </c>
      <c r="B19793" s="8" t="str">
        <f>HYPERLINK("https://twitter.com/an18ping","@an18ping")</f>
        <v>@an18ping</v>
      </c>
      <c r="C19793" s="8" t="s">
        <v>1078</v>
      </c>
      <c r="D19793" s="8">
        <v>95</v>
      </c>
      <c r="E19793" s="8">
        <v>0</v>
      </c>
      <c r="F19793" s="8">
        <v>1249</v>
      </c>
    </row>
    <row r="19794" spans="1:6" ht="12.75">
      <c r="A19794" s="8">
        <v>43895.454560185186</v>
      </c>
      <c r="B19794" s="8" t="str">
        <f>HYPERLINK("https://twitter.com/rongs_rong","@rongs_rong")</f>
        <v>@rongs_rong</v>
      </c>
      <c r="C19794" s="8" t="s">
        <v>1078</v>
      </c>
      <c r="D19794" s="8">
        <v>95</v>
      </c>
      <c r="E19794" s="8">
        <v>0</v>
      </c>
      <c r="F19794" s="8">
        <v>3241</v>
      </c>
    </row>
    <row r="19795" spans="1:6" ht="12.75">
      <c r="A19795" s="8">
        <v>43895.454444444447</v>
      </c>
      <c r="B19795" s="8" t="str">
        <f>HYPERLINK("https://twitter.com/r3zit4","@r3zit4")</f>
        <v>@r3zit4</v>
      </c>
      <c r="C19795" s="8" t="s">
        <v>8129</v>
      </c>
      <c r="D19795" s="8">
        <v>0</v>
      </c>
      <c r="E19795" s="8">
        <v>0</v>
      </c>
      <c r="F19795" s="8">
        <v>26</v>
      </c>
    </row>
    <row r="19796" spans="1:6" ht="12.75">
      <c r="A19796" s="8">
        <v>43895.454444444447</v>
      </c>
      <c r="B19796" s="8" t="str">
        <f>HYPERLINK("https://twitter.com/heniunique","@heniunique")</f>
        <v>@heniunique</v>
      </c>
      <c r="C19796" s="8" t="s">
        <v>1078</v>
      </c>
      <c r="D19796" s="8">
        <v>95</v>
      </c>
      <c r="E19796" s="8">
        <v>0</v>
      </c>
      <c r="F19796" s="8">
        <v>9976</v>
      </c>
    </row>
    <row r="19797" spans="1:6" ht="12.75">
      <c r="A19797" s="8">
        <v>43895.454432870371</v>
      </c>
      <c r="B19797" s="8" t="str">
        <f>HYPERLINK("https://twitter.com/TuTTeO","@TuTTeO")</f>
        <v>@TuTTeO</v>
      </c>
      <c r="C19797" s="8" t="s">
        <v>8066</v>
      </c>
      <c r="D19797" s="8">
        <v>95</v>
      </c>
      <c r="E19797" s="8">
        <v>0</v>
      </c>
      <c r="F19797" s="8">
        <v>1133</v>
      </c>
    </row>
    <row r="19798" spans="1:6" ht="12.75">
      <c r="A19798" s="8">
        <v>43895.454189814816</v>
      </c>
      <c r="B19798" s="8" t="str">
        <f>HYPERLINK("https://twitter.com/abadikinicom","@abadikinicom")</f>
        <v>@abadikinicom</v>
      </c>
      <c r="C19798" s="8" t="s">
        <v>8130</v>
      </c>
      <c r="D19798" s="8">
        <v>0</v>
      </c>
      <c r="E19798" s="8">
        <v>0</v>
      </c>
      <c r="F19798" s="8">
        <v>5367</v>
      </c>
    </row>
    <row r="19799" spans="1:6" ht="12.75">
      <c r="A19799" s="8">
        <v>43895.454108796301</v>
      </c>
      <c r="B19799" s="8" t="str">
        <f>HYPERLINK("https://twitter.com/AlexHrw","@AlexHrw")</f>
        <v>@AlexHrw</v>
      </c>
      <c r="C19799" s="8" t="s">
        <v>1078</v>
      </c>
      <c r="D19799" s="8">
        <v>95</v>
      </c>
      <c r="E19799" s="8">
        <v>0</v>
      </c>
      <c r="F19799" s="8">
        <v>1482</v>
      </c>
    </row>
    <row r="19800" spans="1:6" ht="12.75">
      <c r="A19800" s="8">
        <v>43895.454016203701</v>
      </c>
      <c r="B19800" s="8" t="str">
        <f>HYPERLINK("https://twitter.com/DcEliana","@DcEliana")</f>
        <v>@DcEliana</v>
      </c>
      <c r="C19800" s="8" t="s">
        <v>3285</v>
      </c>
      <c r="D19800" s="8">
        <v>141</v>
      </c>
      <c r="E19800" s="8">
        <v>0</v>
      </c>
      <c r="F19800" s="8">
        <v>156</v>
      </c>
    </row>
    <row r="19801" spans="1:6" ht="12.75">
      <c r="A19801" s="8">
        <v>43895.453680555554</v>
      </c>
      <c r="B19801" s="8" t="str">
        <f>HYPERLINK("https://twitter.com/Qianzi_","@Qianzi_")</f>
        <v>@Qianzi_</v>
      </c>
      <c r="C19801" s="8" t="s">
        <v>8131</v>
      </c>
      <c r="D19801" s="8">
        <v>0</v>
      </c>
      <c r="E19801" s="8">
        <v>0</v>
      </c>
      <c r="F19801" s="8">
        <v>121</v>
      </c>
    </row>
    <row r="19802" spans="1:6" ht="12.75">
      <c r="A19802" s="8">
        <v>43895.453680555554</v>
      </c>
      <c r="B19802" s="8" t="str">
        <f>HYPERLINK("https://twitter.com/BandungTV38","@BandungTV38")</f>
        <v>@BandungTV38</v>
      </c>
      <c r="C19802" s="8" t="s">
        <v>8132</v>
      </c>
      <c r="D19802" s="8">
        <v>0</v>
      </c>
      <c r="E19802" s="8">
        <v>0</v>
      </c>
      <c r="F19802" s="8">
        <v>12243</v>
      </c>
    </row>
    <row r="19803" spans="1:6" ht="12.75">
      <c r="A19803" s="8">
        <v>43895.453657407408</v>
      </c>
      <c r="B19803" s="8" t="str">
        <f>HYPERLINK("https://twitter.com/BisBanNews","@BisBanNews")</f>
        <v>@BisBanNews</v>
      </c>
      <c r="C19803" s="8" t="s">
        <v>8132</v>
      </c>
      <c r="D19803" s="8">
        <v>0</v>
      </c>
      <c r="E19803" s="8">
        <v>0</v>
      </c>
      <c r="F19803" s="8">
        <v>1003</v>
      </c>
    </row>
    <row r="19804" spans="1:6" ht="12.75">
      <c r="A19804" s="8">
        <v>43895.453194444446</v>
      </c>
      <c r="B19804" s="8" t="str">
        <f>HYPERLINK("https://twitter.com/duhreq","@duhreq")</f>
        <v>@duhreq</v>
      </c>
      <c r="C19804" s="8" t="s">
        <v>2962</v>
      </c>
      <c r="D19804" s="8">
        <v>5671</v>
      </c>
      <c r="E19804" s="8">
        <v>0</v>
      </c>
      <c r="F19804" s="8">
        <v>150</v>
      </c>
    </row>
    <row r="19805" spans="1:6" ht="12.75">
      <c r="A19805" s="8">
        <v>43895.453182870369</v>
      </c>
      <c r="B19805" s="8" t="str">
        <f>HYPERLINK("https://twitter.com/jpsatrio","@jpsatrio")</f>
        <v>@jpsatrio</v>
      </c>
      <c r="C19805" s="8" t="s">
        <v>7473</v>
      </c>
      <c r="D19805" s="8">
        <v>305</v>
      </c>
      <c r="E19805" s="8">
        <v>0</v>
      </c>
      <c r="F19805" s="8">
        <v>514</v>
      </c>
    </row>
    <row r="19806" spans="1:6" ht="12.75">
      <c r="A19806" s="8">
        <v>43895.452962962961</v>
      </c>
      <c r="B19806" s="8" t="str">
        <f>HYPERLINK("https://twitter.com/loved_meiri","@loved_meiri")</f>
        <v>@loved_meiri</v>
      </c>
      <c r="C19806" s="8" t="s">
        <v>7809</v>
      </c>
      <c r="D19806" s="8">
        <v>26</v>
      </c>
      <c r="E19806" s="8">
        <v>0</v>
      </c>
      <c r="F19806" s="8">
        <v>92</v>
      </c>
    </row>
    <row r="19807" spans="1:6" ht="12.75">
      <c r="A19807" s="8">
        <v>43895.452939814815</v>
      </c>
      <c r="B19807" s="8" t="str">
        <f>HYPERLINK("https://twitter.com/tole_nyaku","@tole_nyaku")</f>
        <v>@tole_nyaku</v>
      </c>
      <c r="C19807" s="8" t="s">
        <v>1078</v>
      </c>
      <c r="D19807" s="8">
        <v>95</v>
      </c>
      <c r="E19807" s="8">
        <v>0</v>
      </c>
      <c r="F19807" s="8">
        <v>44</v>
      </c>
    </row>
    <row r="19808" spans="1:6" ht="12.75">
      <c r="A19808" s="8">
        <v>43895.452731481477</v>
      </c>
      <c r="B19808" s="8" t="str">
        <f>HYPERLINK("https://twitter.com/hgberry","@hgberry")</f>
        <v>@hgberry</v>
      </c>
      <c r="C19808" s="8" t="s">
        <v>1078</v>
      </c>
      <c r="D19808" s="8">
        <v>95</v>
      </c>
      <c r="E19808" s="8">
        <v>0</v>
      </c>
      <c r="F19808" s="8">
        <v>1652</v>
      </c>
    </row>
    <row r="19809" spans="1:6" ht="12.75">
      <c r="A19809" s="8">
        <v>43895.452708333338</v>
      </c>
      <c r="B19809" s="8" t="str">
        <f>HYPERLINK("https://twitter.com/kapuaspalace89","@kapuaspalace89")</f>
        <v>@kapuaspalace89</v>
      </c>
      <c r="C19809" s="8" t="s">
        <v>7473</v>
      </c>
      <c r="D19809" s="8">
        <v>305</v>
      </c>
      <c r="E19809" s="8">
        <v>0</v>
      </c>
      <c r="F19809" s="8">
        <v>2443</v>
      </c>
    </row>
    <row r="19810" spans="1:6" ht="12.75">
      <c r="A19810" s="8">
        <v>43895.452673611115</v>
      </c>
      <c r="B19810" s="8" t="str">
        <f>HYPERLINK("https://twitter.com/ArtiHar","@ArtiHar")</f>
        <v>@ArtiHar</v>
      </c>
      <c r="C19810" s="8" t="s">
        <v>1078</v>
      </c>
      <c r="D19810" s="8">
        <v>95</v>
      </c>
      <c r="E19810" s="8">
        <v>0</v>
      </c>
      <c r="F19810" s="8">
        <v>618</v>
      </c>
    </row>
    <row r="19811" spans="1:6" ht="12.75">
      <c r="A19811" s="8">
        <v>43895.452326388884</v>
      </c>
      <c r="B19811" s="8" t="str">
        <f>HYPERLINK("https://twitter.com/glory2manutd99","@glory2manutd99")</f>
        <v>@glory2manutd99</v>
      </c>
      <c r="C19811" s="8" t="s">
        <v>1078</v>
      </c>
      <c r="D19811" s="8">
        <v>95</v>
      </c>
      <c r="E19811" s="8">
        <v>0</v>
      </c>
      <c r="F19811" s="8">
        <v>77</v>
      </c>
    </row>
    <row r="19812" spans="1:6" ht="12.75">
      <c r="A19812" s="8">
        <v>43895.452245370368</v>
      </c>
      <c r="B19812" s="8" t="str">
        <f>HYPERLINK("https://twitter.com/budiarto689","@budiarto689")</f>
        <v>@budiarto689</v>
      </c>
      <c r="C19812" s="8" t="s">
        <v>1078</v>
      </c>
      <c r="D19812" s="8">
        <v>95</v>
      </c>
      <c r="E19812" s="8">
        <v>0</v>
      </c>
      <c r="F19812" s="8">
        <v>2467</v>
      </c>
    </row>
    <row r="19813" spans="1:6" ht="12.75">
      <c r="A19813" s="8">
        <v>43895.451805555553</v>
      </c>
      <c r="B19813" s="8" t="str">
        <f>HYPERLINK("https://twitter.com/Ht_gurgur16","@Ht_gurgur16")</f>
        <v>@Ht_gurgur16</v>
      </c>
      <c r="C19813" s="8" t="s">
        <v>2979</v>
      </c>
      <c r="D19813" s="8">
        <v>190</v>
      </c>
      <c r="E19813" s="8">
        <v>0</v>
      </c>
      <c r="F19813" s="8">
        <v>2649</v>
      </c>
    </row>
    <row r="19814" spans="1:6" ht="12.75">
      <c r="A19814" s="8">
        <v>43895.451331018514</v>
      </c>
      <c r="B19814" s="8" t="str">
        <f>HYPERLINK("https://twitter.com/DamnLoveNKRI","@DamnLoveNKRI")</f>
        <v>@DamnLoveNKRI</v>
      </c>
      <c r="C19814" s="8" t="s">
        <v>1078</v>
      </c>
      <c r="D19814" s="8">
        <v>95</v>
      </c>
      <c r="E19814" s="8">
        <v>0</v>
      </c>
      <c r="F19814" s="8">
        <v>712</v>
      </c>
    </row>
    <row r="19815" spans="1:6" ht="12.75">
      <c r="A19815" s="8">
        <v>43895.451087962967</v>
      </c>
      <c r="B19815" s="8" t="str">
        <f>HYPERLINK("https://twitter.com/meow_leader","@meow_leader")</f>
        <v>@meow_leader</v>
      </c>
      <c r="C19815" s="8" t="s">
        <v>1078</v>
      </c>
      <c r="D19815" s="8">
        <v>95</v>
      </c>
      <c r="E19815" s="8">
        <v>0</v>
      </c>
      <c r="F19815" s="8">
        <v>3719</v>
      </c>
    </row>
    <row r="19816" spans="1:6" ht="12.75">
      <c r="A19816" s="8">
        <v>43895.451053240744</v>
      </c>
      <c r="B19816" s="8" t="str">
        <f>HYPERLINK("https://twitter.com/abadikinidotcom","@abadikinidotcom")</f>
        <v>@abadikinidotcom</v>
      </c>
      <c r="C19816" s="8" t="s">
        <v>8130</v>
      </c>
      <c r="D19816" s="8">
        <v>0</v>
      </c>
      <c r="E19816" s="8">
        <v>0</v>
      </c>
      <c r="F19816" s="8">
        <v>1635</v>
      </c>
    </row>
    <row r="19817" spans="1:6" ht="12.75">
      <c r="A19817" s="8">
        <v>43895.451018518521</v>
      </c>
      <c r="B19817" s="8" t="str">
        <f>HYPERLINK("https://twitter.com/IDN_NewsID","@IDN_NewsID")</f>
        <v>@IDN_NewsID</v>
      </c>
      <c r="C19817" s="8" t="s">
        <v>8130</v>
      </c>
      <c r="D19817" s="8">
        <v>0</v>
      </c>
      <c r="E19817" s="8">
        <v>0</v>
      </c>
      <c r="F19817" s="8">
        <v>2699</v>
      </c>
    </row>
    <row r="19818" spans="1:6" ht="12.75">
      <c r="A19818" s="8">
        <v>43895.451006944444</v>
      </c>
      <c r="B19818" s="8" t="str">
        <f>HYPERLINK("https://twitter.com/CumiCue","@CumiCue")</f>
        <v>@CumiCue</v>
      </c>
      <c r="C19818" s="8" t="s">
        <v>1078</v>
      </c>
      <c r="D19818" s="8">
        <v>95</v>
      </c>
      <c r="E19818" s="8">
        <v>0</v>
      </c>
      <c r="F19818" s="8">
        <v>4481</v>
      </c>
    </row>
    <row r="19819" spans="1:6" ht="12.75">
      <c r="A19819" s="8">
        <v>43895.450995370367</v>
      </c>
      <c r="B19819" s="8" t="str">
        <f>HYPERLINK("https://twitter.com/CingMargonda","@CingMargonda")</f>
        <v>@CingMargonda</v>
      </c>
      <c r="C19819" s="8" t="s">
        <v>8130</v>
      </c>
      <c r="D19819" s="8">
        <v>0</v>
      </c>
      <c r="E19819" s="8">
        <v>0</v>
      </c>
      <c r="F19819" s="8">
        <v>171</v>
      </c>
    </row>
    <row r="19820" spans="1:6" ht="12.75">
      <c r="A19820" s="8">
        <v>43895.450972222221</v>
      </c>
      <c r="B19820" s="8" t="str">
        <f>HYPERLINK("https://twitter.com/arkan_adib","@arkan_adib")</f>
        <v>@arkan_adib</v>
      </c>
      <c r="C19820" s="8" t="s">
        <v>8130</v>
      </c>
      <c r="D19820" s="8">
        <v>0</v>
      </c>
      <c r="E19820" s="8">
        <v>0</v>
      </c>
      <c r="F19820" s="8">
        <v>123</v>
      </c>
    </row>
    <row r="19821" spans="1:6" ht="12.75">
      <c r="A19821" s="8">
        <v>43895.450949074075</v>
      </c>
      <c r="B19821" s="8" t="str">
        <f>HYPERLINK("https://twitter.com/JuniartaRamadya","@JuniartaRamadya")</f>
        <v>@JuniartaRamadya</v>
      </c>
      <c r="C19821" s="8" t="s">
        <v>1078</v>
      </c>
      <c r="D19821" s="8">
        <v>95</v>
      </c>
      <c r="E19821" s="8">
        <v>0</v>
      </c>
      <c r="F19821" s="8">
        <v>62</v>
      </c>
    </row>
    <row r="19822" spans="1:6" ht="12.75">
      <c r="A19822" s="8">
        <v>43895.450949074075</v>
      </c>
      <c r="B19822" s="8" t="str">
        <f>HYPERLINK("https://twitter.com/selly_ptw","@selly_ptw")</f>
        <v>@selly_ptw</v>
      </c>
      <c r="C19822" s="8" t="s">
        <v>8130</v>
      </c>
      <c r="D19822" s="8">
        <v>0</v>
      </c>
      <c r="E19822" s="8">
        <v>0</v>
      </c>
      <c r="F19822" s="8">
        <v>1171</v>
      </c>
    </row>
    <row r="19823" spans="1:6" ht="12.75">
      <c r="A19823" s="8">
        <v>43895.450937500005</v>
      </c>
      <c r="B19823" s="8" t="str">
        <f>HYPERLINK("https://twitter.com/jey_jailbreaker","@jey_jailbreaker")</f>
        <v>@jey_jailbreaker</v>
      </c>
      <c r="C19823" s="8" t="s">
        <v>1078</v>
      </c>
      <c r="D19823" s="8">
        <v>95</v>
      </c>
      <c r="E19823" s="8">
        <v>0</v>
      </c>
      <c r="F19823" s="8">
        <v>148</v>
      </c>
    </row>
    <row r="19824" spans="1:6" ht="12.75">
      <c r="A19824" s="8">
        <v>43895.423518518517</v>
      </c>
      <c r="B19824" s="8" t="str">
        <f>HYPERLINK("https://twitter.com/srpsr2","@srpsr2")</f>
        <v>@srpsr2</v>
      </c>
      <c r="C19824" s="8" t="s">
        <v>8133</v>
      </c>
      <c r="D19824" s="8">
        <v>18</v>
      </c>
      <c r="E19824" s="8">
        <v>0</v>
      </c>
      <c r="F19824" s="8">
        <v>123</v>
      </c>
    </row>
    <row r="19825" spans="1:6" ht="12.75">
      <c r="A19825" s="8">
        <v>43895.423368055555</v>
      </c>
      <c r="B19825" s="8" t="str">
        <f>HYPERLINK("https://twitter.com/eko_kuntadhi","@eko_kuntadhi")</f>
        <v>@eko_kuntadhi</v>
      </c>
      <c r="C19825" s="8" t="s">
        <v>8134</v>
      </c>
      <c r="D19825" s="8">
        <v>0</v>
      </c>
      <c r="E19825" s="8">
        <v>0</v>
      </c>
      <c r="F19825" s="8">
        <v>56858</v>
      </c>
    </row>
    <row r="19826" spans="1:6" ht="12.75">
      <c r="A19826" s="8">
        <v>43895.42322916667</v>
      </c>
      <c r="B19826" s="8" t="str">
        <f>HYPERLINK("https://twitter.com/MardiSiswoyo6","@MardiSiswoyo6")</f>
        <v>@MardiSiswoyo6</v>
      </c>
      <c r="C19826" s="8" t="s">
        <v>8135</v>
      </c>
      <c r="D19826" s="8">
        <v>0</v>
      </c>
      <c r="E19826" s="8">
        <v>0</v>
      </c>
      <c r="F19826" s="8">
        <v>503</v>
      </c>
    </row>
    <row r="19827" spans="1:6" ht="12.75">
      <c r="A19827" s="8">
        <v>43895.423043981486</v>
      </c>
      <c r="B19827" s="8" t="str">
        <f>HYPERLINK("https://twitter.com/sumsel_update","@sumsel_update")</f>
        <v>@sumsel_update</v>
      </c>
      <c r="C19827" s="8" t="s">
        <v>8136</v>
      </c>
      <c r="D19827" s="8">
        <v>0</v>
      </c>
      <c r="E19827" s="8">
        <v>0</v>
      </c>
      <c r="F19827" s="8">
        <v>1023</v>
      </c>
    </row>
    <row r="19828" spans="1:6" ht="12.75">
      <c r="A19828" s="8">
        <v>43895.422986111109</v>
      </c>
      <c r="B19828" s="8" t="str">
        <f>HYPERLINK("https://twitter.com/kompascom","@kompascom")</f>
        <v>@kompascom</v>
      </c>
      <c r="C19828" s="8" t="s">
        <v>8137</v>
      </c>
      <c r="D19828" s="8">
        <v>0</v>
      </c>
      <c r="E19828" s="8">
        <v>0</v>
      </c>
      <c r="F19828" s="8">
        <v>7529189</v>
      </c>
    </row>
    <row r="19829" spans="1:6" ht="12.75">
      <c r="A19829" s="8">
        <v>43895.422939814816</v>
      </c>
      <c r="B19829" s="8" t="str">
        <f>HYPERLINK("https://twitter.com/asvvinas","@asvvinas")</f>
        <v>@asvvinas</v>
      </c>
      <c r="C19829" s="8" t="s">
        <v>8138</v>
      </c>
      <c r="D19829" s="8">
        <v>49</v>
      </c>
      <c r="E19829" s="8">
        <v>0</v>
      </c>
      <c r="F19829" s="8">
        <v>227</v>
      </c>
    </row>
    <row r="19830" spans="1:6" ht="12.75">
      <c r="A19830" s="8">
        <v>43895.422824074078</v>
      </c>
      <c r="B19830" s="8" t="str">
        <f>HYPERLINK("https://twitter.com/affanusman","@affanusman")</f>
        <v>@affanusman</v>
      </c>
      <c r="C19830" s="8" t="s">
        <v>7473</v>
      </c>
      <c r="D19830" s="8">
        <v>284</v>
      </c>
      <c r="E19830" s="8">
        <v>0</v>
      </c>
      <c r="F19830" s="8">
        <v>124</v>
      </c>
    </row>
    <row r="19831" spans="1:6" ht="12.75">
      <c r="A19831" s="8">
        <v>43895.422662037032</v>
      </c>
      <c r="B19831" s="8" t="str">
        <f>HYPERLINK("https://twitter.com/Gunawan75_","@Gunawan75_")</f>
        <v>@Gunawan75_</v>
      </c>
      <c r="C19831" s="8" t="s">
        <v>7969</v>
      </c>
      <c r="D19831" s="8">
        <v>72</v>
      </c>
      <c r="E19831" s="8">
        <v>0</v>
      </c>
      <c r="F19831" s="8">
        <v>361</v>
      </c>
    </row>
    <row r="19832" spans="1:6" ht="12.75">
      <c r="A19832" s="8">
        <v>43895.422372685185</v>
      </c>
      <c r="B19832" s="8" t="str">
        <f>HYPERLINK("https://twitter.com/MNCkoranSINDO","@MNCkoranSINDO")</f>
        <v>@MNCkoranSINDO</v>
      </c>
      <c r="C19832" s="8" t="s">
        <v>8139</v>
      </c>
      <c r="D19832" s="8">
        <v>0</v>
      </c>
      <c r="E19832" s="8">
        <v>0</v>
      </c>
      <c r="F19832" s="8">
        <v>61247</v>
      </c>
    </row>
    <row r="19833" spans="1:6" ht="12.75">
      <c r="A19833" s="8">
        <v>43895.421990740739</v>
      </c>
      <c r="B19833" s="8" t="str">
        <f>HYPERLINK("https://twitter.com/anggihawawi","@anggihawawi")</f>
        <v>@anggihawawi</v>
      </c>
      <c r="C19833" s="8" t="s">
        <v>7362</v>
      </c>
      <c r="D19833" s="8">
        <v>7</v>
      </c>
      <c r="E19833" s="8">
        <v>0</v>
      </c>
      <c r="F19833" s="8">
        <v>17</v>
      </c>
    </row>
    <row r="19834" spans="1:6" ht="12.75">
      <c r="A19834" s="8">
        <v>43895.421979166669</v>
      </c>
      <c r="B19834" s="8" t="str">
        <f>HYPERLINK("https://twitter.com/DwintaAdelia1","@DwintaAdelia1")</f>
        <v>@DwintaAdelia1</v>
      </c>
      <c r="C19834" s="8" t="s">
        <v>8140</v>
      </c>
      <c r="D19834" s="8">
        <v>3</v>
      </c>
      <c r="E19834" s="8">
        <v>0</v>
      </c>
      <c r="F19834" s="8">
        <v>144</v>
      </c>
    </row>
    <row r="19835" spans="1:6" ht="12.75">
      <c r="A19835" s="8">
        <v>43895.421956018516</v>
      </c>
      <c r="B19835" s="8" t="str">
        <f>HYPERLINK("https://twitter.com/nutdn","@nutdn")</f>
        <v>@nutdn</v>
      </c>
      <c r="C19835" s="8" t="s">
        <v>8141</v>
      </c>
      <c r="D19835" s="8">
        <v>0</v>
      </c>
      <c r="E19835" s="8">
        <v>0</v>
      </c>
      <c r="F19835" s="8">
        <v>726</v>
      </c>
    </row>
    <row r="19836" spans="1:6" ht="12.75">
      <c r="A19836" s="8">
        <v>43895.421944444446</v>
      </c>
      <c r="B19836" s="8" t="str">
        <f>HYPERLINK("https://twitter.com/thisisEH","@thisisEH")</f>
        <v>@thisisEH</v>
      </c>
      <c r="C19836" s="8" t="s">
        <v>7473</v>
      </c>
      <c r="D19836" s="8">
        <v>284</v>
      </c>
      <c r="E19836" s="8">
        <v>0</v>
      </c>
      <c r="F19836" s="8">
        <v>344</v>
      </c>
    </row>
    <row r="19837" spans="1:6" ht="12.75">
      <c r="A19837" s="8">
        <v>43895.421423611115</v>
      </c>
      <c r="B19837" s="8" t="str">
        <f>HYPERLINK("https://twitter.com/RezanHayon","@RezanHayon")</f>
        <v>@RezanHayon</v>
      </c>
      <c r="C19837" s="8" t="s">
        <v>7473</v>
      </c>
      <c r="D19837" s="8">
        <v>284</v>
      </c>
      <c r="E19837" s="8">
        <v>0</v>
      </c>
      <c r="F19837" s="8">
        <v>1203</v>
      </c>
    </row>
    <row r="19838" spans="1:6" ht="12.75">
      <c r="A19838" s="8">
        <v>43895.421122685184</v>
      </c>
      <c r="B19838" s="8" t="str">
        <f>HYPERLINK("https://twitter.com/Semar_2","@Semar_2")</f>
        <v>@Semar_2</v>
      </c>
      <c r="C19838" s="8" t="s">
        <v>8024</v>
      </c>
      <c r="D19838" s="8">
        <v>18</v>
      </c>
      <c r="E19838" s="8">
        <v>0</v>
      </c>
      <c r="F19838" s="8">
        <v>217</v>
      </c>
    </row>
    <row r="19839" spans="1:6" ht="12.75">
      <c r="A19839" s="8">
        <v>43895.420729166668</v>
      </c>
      <c r="B19839" s="8" t="str">
        <f>HYPERLINK("https://twitter.com/bffb300aff02425","@bffb300aff02425")</f>
        <v>@bffb300aff02425</v>
      </c>
      <c r="C19839" s="8" t="s">
        <v>3285</v>
      </c>
      <c r="D19839" s="8">
        <v>132</v>
      </c>
      <c r="E19839" s="8">
        <v>0</v>
      </c>
      <c r="F19839" s="8">
        <v>519</v>
      </c>
    </row>
    <row r="19840" spans="1:6" ht="12.75">
      <c r="A19840" s="8">
        <v>43895.420127314814</v>
      </c>
      <c r="B19840" s="8" t="str">
        <f>HYPERLINK("https://twitter.com/KaysanoNano","@KaysanoNano")</f>
        <v>@KaysanoNano</v>
      </c>
      <c r="C19840" s="8" t="s">
        <v>3285</v>
      </c>
      <c r="D19840" s="8">
        <v>132</v>
      </c>
      <c r="E19840" s="8">
        <v>0</v>
      </c>
      <c r="F19840" s="8">
        <v>139</v>
      </c>
    </row>
    <row r="19841" spans="1:6" ht="12.75">
      <c r="A19841" s="8">
        <v>43895.419444444444</v>
      </c>
      <c r="B19841" s="8" t="str">
        <f>HYPERLINK("https://twitter.com/EffanAst","@EffanAst")</f>
        <v>@EffanAst</v>
      </c>
      <c r="C19841" s="8" t="s">
        <v>7692</v>
      </c>
      <c r="D19841" s="8">
        <v>10</v>
      </c>
      <c r="E19841" s="8">
        <v>0</v>
      </c>
      <c r="F19841" s="8">
        <v>346</v>
      </c>
    </row>
    <row r="19842" spans="1:6" ht="12.75">
      <c r="A19842" s="8">
        <v>43895.41914351852</v>
      </c>
      <c r="B19842" s="8" t="str">
        <f>HYPERLINK("https://twitter.com/RezanHayon","@RezanHayon")</f>
        <v>@RezanHayon</v>
      </c>
      <c r="C19842" s="8" t="s">
        <v>2979</v>
      </c>
      <c r="D19842" s="8">
        <v>179</v>
      </c>
      <c r="E19842" s="8">
        <v>0</v>
      </c>
      <c r="F19842" s="8">
        <v>1203</v>
      </c>
    </row>
    <row r="19843" spans="1:6" ht="12.75">
      <c r="A19843" s="8">
        <v>43895.418310185181</v>
      </c>
      <c r="B19843" s="8" t="str">
        <f>HYPERLINK("https://twitter.com/aladintea70","@aladintea70")</f>
        <v>@aladintea70</v>
      </c>
      <c r="C19843" s="8" t="s">
        <v>7987</v>
      </c>
      <c r="D19843" s="8">
        <v>35</v>
      </c>
      <c r="E19843" s="8">
        <v>0</v>
      </c>
      <c r="F19843" s="8">
        <v>919</v>
      </c>
    </row>
    <row r="19844" spans="1:6" ht="12.75">
      <c r="A19844" s="8">
        <v>43895.416712962964</v>
      </c>
      <c r="B19844" s="8" t="str">
        <f>HYPERLINK("https://twitter.com/fatih_bintoro","@fatih_bintoro")</f>
        <v>@fatih_bintoro</v>
      </c>
      <c r="C19844" s="8" t="s">
        <v>7242</v>
      </c>
      <c r="D19844" s="8">
        <v>51</v>
      </c>
      <c r="E19844" s="8">
        <v>0</v>
      </c>
      <c r="F19844" s="8">
        <v>637</v>
      </c>
    </row>
    <row r="19845" spans="1:6" ht="12.75">
      <c r="A19845" s="8">
        <v>43895.416226851856</v>
      </c>
      <c r="B19845" s="8" t="str">
        <f>HYPERLINK("https://twitter.com/Nana_Rosaa_","@Nana_Rosaa_")</f>
        <v>@Nana_Rosaa_</v>
      </c>
      <c r="C19845" s="8" t="s">
        <v>3285</v>
      </c>
      <c r="D19845" s="8">
        <v>132</v>
      </c>
      <c r="E19845" s="8">
        <v>0</v>
      </c>
      <c r="F19845" s="8">
        <v>9663</v>
      </c>
    </row>
    <row r="19846" spans="1:6" ht="12.75">
      <c r="A19846" s="8">
        <v>43895.415856481486</v>
      </c>
      <c r="B19846" s="8" t="str">
        <f>HYPERLINK("https://twitter.com/ruangobrol_id","@ruangobrol_id")</f>
        <v>@ruangobrol_id</v>
      </c>
      <c r="C19846" s="8" t="s">
        <v>8142</v>
      </c>
      <c r="D19846" s="8">
        <v>0</v>
      </c>
      <c r="E19846" s="8">
        <v>0</v>
      </c>
      <c r="F19846" s="8">
        <v>163</v>
      </c>
    </row>
    <row r="19847" spans="1:6" ht="12.75">
      <c r="A19847" s="8">
        <v>43895.415034722224</v>
      </c>
      <c r="B19847" s="8" t="str">
        <f>HYPERLINK("https://twitter.com/aldy_mw","@aldy_mw")</f>
        <v>@aldy_mw</v>
      </c>
      <c r="C19847" s="8" t="s">
        <v>7244</v>
      </c>
      <c r="D19847" s="8">
        <v>43</v>
      </c>
      <c r="E19847" s="8">
        <v>0</v>
      </c>
      <c r="F19847" s="8">
        <v>1331</v>
      </c>
    </row>
    <row r="19848" spans="1:6" ht="12.75">
      <c r="A19848" s="8">
        <v>43895.414687500001</v>
      </c>
      <c r="B19848" s="8" t="str">
        <f>HYPERLINK("https://twitter.com/muhammadsrf","@muhammadsrf")</f>
        <v>@muhammadsrf</v>
      </c>
      <c r="C19848" s="8" t="s">
        <v>8143</v>
      </c>
      <c r="D19848" s="8">
        <v>0</v>
      </c>
      <c r="E19848" s="8">
        <v>0</v>
      </c>
      <c r="F19848" s="8">
        <v>43</v>
      </c>
    </row>
    <row r="19849" spans="1:6" ht="12.75">
      <c r="A19849" s="8">
        <v>43895.414004629631</v>
      </c>
      <c r="B19849" s="8" t="str">
        <f>HYPERLINK("https://twitter.com/IdaNurmala09","@IdaNurmala09")</f>
        <v>@IdaNurmala09</v>
      </c>
      <c r="C19849" s="8" t="s">
        <v>7242</v>
      </c>
      <c r="D19849" s="8">
        <v>51</v>
      </c>
      <c r="E19849" s="8">
        <v>0</v>
      </c>
      <c r="F19849" s="8">
        <v>34</v>
      </c>
    </row>
    <row r="19850" spans="1:6" ht="12.75">
      <c r="A19850" s="8">
        <v>43895.413495370369</v>
      </c>
      <c r="B19850" s="8" t="str">
        <f>HYPERLINK("https://twitter.com/wym_indonesia","@wym_indonesia")</f>
        <v>@wym_indonesia</v>
      </c>
      <c r="C19850" s="8" t="s">
        <v>2979</v>
      </c>
      <c r="D19850" s="8">
        <v>179</v>
      </c>
      <c r="E19850" s="8">
        <v>0</v>
      </c>
      <c r="F19850" s="8">
        <v>1503</v>
      </c>
    </row>
    <row r="19851" spans="1:6" ht="12.75">
      <c r="A19851" s="8">
        <v>43895.412662037037</v>
      </c>
      <c r="B19851" s="8" t="str">
        <f>HYPERLINK("https://twitter.com/miharja_ozzy","@miharja_ozzy")</f>
        <v>@miharja_ozzy</v>
      </c>
      <c r="C19851" s="8" t="s">
        <v>7573</v>
      </c>
      <c r="D19851" s="8">
        <v>24</v>
      </c>
      <c r="E19851" s="8">
        <v>0</v>
      </c>
      <c r="F19851" s="8">
        <v>87</v>
      </c>
    </row>
    <row r="19852" spans="1:6" ht="12.75">
      <c r="A19852" s="8">
        <v>43895.412534722222</v>
      </c>
      <c r="B19852" s="8" t="str">
        <f>HYPERLINK("https://twitter.com/fadlibedul","@fadlibedul")</f>
        <v>@fadlibedul</v>
      </c>
      <c r="C19852" s="8" t="s">
        <v>8144</v>
      </c>
      <c r="D19852" s="8">
        <v>0</v>
      </c>
      <c r="E19852" s="8">
        <v>0</v>
      </c>
      <c r="F19852" s="8">
        <v>300</v>
      </c>
    </row>
    <row r="19853" spans="1:6" ht="12.75">
      <c r="A19853" s="8">
        <v>43895.412314814814</v>
      </c>
      <c r="B19853" s="8" t="str">
        <f t="shared" ref="B19853:B19854" si="294">HYPERLINK("https://twitter.com/adjie10574833","@adjie10574833")</f>
        <v>@adjie10574833</v>
      </c>
      <c r="C19853" s="8" t="s">
        <v>1970</v>
      </c>
      <c r="D19853" s="8">
        <v>1348</v>
      </c>
      <c r="E19853" s="8">
        <v>0</v>
      </c>
      <c r="F19853" s="8">
        <v>282</v>
      </c>
    </row>
    <row r="19854" spans="1:6" ht="12.75">
      <c r="A19854" s="8">
        <v>43895.411932870367</v>
      </c>
      <c r="B19854" s="8" t="str">
        <f t="shared" si="294"/>
        <v>@adjie10574833</v>
      </c>
      <c r="C19854" s="8" t="s">
        <v>7597</v>
      </c>
      <c r="D19854" s="8">
        <v>739</v>
      </c>
      <c r="E19854" s="8">
        <v>0</v>
      </c>
      <c r="F19854" s="8">
        <v>282</v>
      </c>
    </row>
    <row r="19855" spans="1:6" ht="12.75">
      <c r="A19855" s="8">
        <v>43895.411215277782</v>
      </c>
      <c r="B19855" s="8" t="str">
        <f>HYPERLINK("https://twitter.com/leandermichael","@leandermichael")</f>
        <v>@leandermichael</v>
      </c>
      <c r="C19855" s="8" t="s">
        <v>8145</v>
      </c>
      <c r="D19855" s="8">
        <v>0</v>
      </c>
      <c r="E19855" s="8">
        <v>0</v>
      </c>
      <c r="F19855" s="8">
        <v>67</v>
      </c>
    </row>
    <row r="19856" spans="1:6" ht="12.75">
      <c r="A19856" s="8">
        <v>43895.41070601852</v>
      </c>
      <c r="B19856" s="8" t="str">
        <f>HYPERLINK("https://twitter.com/DitEropa3_Kemlu","@DitEropa3_Kemlu")</f>
        <v>@DitEropa3_Kemlu</v>
      </c>
      <c r="C19856" s="8" t="s">
        <v>8146</v>
      </c>
      <c r="D19856" s="8">
        <v>0</v>
      </c>
      <c r="E19856" s="8">
        <v>1</v>
      </c>
      <c r="F19856" s="8">
        <v>1098</v>
      </c>
    </row>
    <row r="19857" spans="1:6" ht="12.75">
      <c r="A19857" s="8">
        <v>43895.409618055557</v>
      </c>
      <c r="B19857" s="8" t="str">
        <f>HYPERLINK("https://twitter.com/Sidin79901699","@Sidin79901699")</f>
        <v>@Sidin79901699</v>
      </c>
      <c r="C19857" s="8" t="s">
        <v>7362</v>
      </c>
      <c r="D19857" s="8">
        <v>7</v>
      </c>
      <c r="E19857" s="8">
        <v>0</v>
      </c>
      <c r="F19857" s="8">
        <v>2150</v>
      </c>
    </row>
    <row r="19858" spans="1:6" ht="12.75">
      <c r="A19858" s="8">
        <v>43895.408668981487</v>
      </c>
      <c r="B19858" s="8" t="str">
        <f>HYPERLINK("https://twitter.com/dteleer","@dteleer")</f>
        <v>@dteleer</v>
      </c>
      <c r="C19858" s="8" t="s">
        <v>7362</v>
      </c>
      <c r="D19858" s="8">
        <v>7</v>
      </c>
      <c r="E19858" s="8">
        <v>0</v>
      </c>
      <c r="F19858" s="8">
        <v>3751</v>
      </c>
    </row>
    <row r="19859" spans="1:6" ht="12.75">
      <c r="A19859" s="8">
        <v>43895.408483796295</v>
      </c>
      <c r="B19859" s="8" t="str">
        <f>HYPERLINK("https://twitter.com/UtomoFreddy","@UtomoFreddy")</f>
        <v>@UtomoFreddy</v>
      </c>
      <c r="C19859" s="8" t="s">
        <v>7524</v>
      </c>
      <c r="D19859" s="8">
        <v>12</v>
      </c>
      <c r="E19859" s="8">
        <v>0</v>
      </c>
      <c r="F19859" s="8">
        <v>108</v>
      </c>
    </row>
    <row r="19860" spans="1:6" ht="12.75">
      <c r="A19860" s="8">
        <v>43895.408217592594</v>
      </c>
      <c r="B19860" s="8" t="str">
        <f>HYPERLINK("https://twitter.com/veraagustian_","@veraagustian_")</f>
        <v>@veraagustian_</v>
      </c>
      <c r="C19860" s="8" t="s">
        <v>8147</v>
      </c>
      <c r="D19860" s="8">
        <v>1</v>
      </c>
      <c r="E19860" s="8">
        <v>0</v>
      </c>
      <c r="F19860" s="8">
        <v>3218</v>
      </c>
    </row>
    <row r="19861" spans="1:6" ht="12.75">
      <c r="A19861" s="8">
        <v>43895.40761574074</v>
      </c>
      <c r="B19861" s="8" t="str">
        <f>HYPERLINK("https://twitter.com/Buchekborneo","@Buchekborneo")</f>
        <v>@Buchekborneo</v>
      </c>
      <c r="C19861" s="8" t="s">
        <v>7473</v>
      </c>
      <c r="D19861" s="8">
        <v>284</v>
      </c>
      <c r="E19861" s="8">
        <v>0</v>
      </c>
      <c r="F19861" s="8">
        <v>470</v>
      </c>
    </row>
    <row r="19862" spans="1:6" ht="12.75">
      <c r="A19862" s="8">
        <v>43895.407546296294</v>
      </c>
      <c r="B19862" s="8" t="str">
        <f>HYPERLINK("https://twitter.com/dishub_bwi","@dishub_bwi")</f>
        <v>@dishub_bwi</v>
      </c>
      <c r="C19862" s="8" t="s">
        <v>8148</v>
      </c>
      <c r="D19862" s="8">
        <v>0</v>
      </c>
      <c r="E19862" s="8">
        <v>1</v>
      </c>
      <c r="F19862" s="8">
        <v>2502</v>
      </c>
    </row>
    <row r="19863" spans="1:6" ht="12.75">
      <c r="A19863" s="8">
        <v>43895.407523148147</v>
      </c>
      <c r="B19863" s="8" t="str">
        <f>HYPERLINK("https://twitter.com/Jaya_Ind","@Jaya_Ind")</f>
        <v>@Jaya_Ind</v>
      </c>
      <c r="C19863" s="8" t="s">
        <v>8149</v>
      </c>
      <c r="D19863" s="8">
        <v>0</v>
      </c>
      <c r="E19863" s="8">
        <v>0</v>
      </c>
      <c r="F19863" s="8">
        <v>2933</v>
      </c>
    </row>
    <row r="19864" spans="1:6" ht="12.75">
      <c r="A19864" s="8">
        <v>43895.407141203701</v>
      </c>
      <c r="B19864" s="8" t="str">
        <f>HYPERLINK("https://twitter.com/teh_tariq","@teh_tariq")</f>
        <v>@teh_tariq</v>
      </c>
      <c r="C19864" s="8" t="s">
        <v>8146</v>
      </c>
      <c r="D19864" s="8">
        <v>1</v>
      </c>
      <c r="E19864" s="8">
        <v>0</v>
      </c>
      <c r="F19864" s="8">
        <v>6798</v>
      </c>
    </row>
    <row r="19865" spans="1:6" ht="12.75">
      <c r="A19865" s="8">
        <v>43895.406851851847</v>
      </c>
      <c r="B19865" s="8" t="str">
        <f>HYPERLINK("https://twitter.com/Erwintmsiregar","@Erwintmsiregar")</f>
        <v>@Erwintmsiregar</v>
      </c>
      <c r="C19865" s="8" t="s">
        <v>2979</v>
      </c>
      <c r="D19865" s="8">
        <v>179</v>
      </c>
      <c r="E19865" s="8">
        <v>0</v>
      </c>
      <c r="F19865" s="8">
        <v>160</v>
      </c>
    </row>
    <row r="19866" spans="1:6" ht="12.75">
      <c r="A19866" s="8">
        <v>43895.406747685185</v>
      </c>
      <c r="B19866" s="8" t="str">
        <f>HYPERLINK("https://twitter.com/widikurnia","@widikurnia")</f>
        <v>@widikurnia</v>
      </c>
      <c r="C19866" s="8" t="s">
        <v>2979</v>
      </c>
      <c r="D19866" s="8">
        <v>179</v>
      </c>
      <c r="E19866" s="8">
        <v>0</v>
      </c>
      <c r="F19866" s="8">
        <v>239</v>
      </c>
    </row>
    <row r="19867" spans="1:6" ht="12.75">
      <c r="A19867" s="8">
        <v>43895.406678240739</v>
      </c>
      <c r="B19867" s="8" t="str">
        <f>HYPERLINK("https://twitter.com/pemburu_syurg","@pemburu_syurg")</f>
        <v>@pemburu_syurg</v>
      </c>
      <c r="C19867" s="8" t="s">
        <v>8150</v>
      </c>
      <c r="D19867" s="8">
        <v>1</v>
      </c>
      <c r="E19867" s="8">
        <v>0</v>
      </c>
      <c r="F19867" s="8">
        <v>875</v>
      </c>
    </row>
    <row r="19868" spans="1:6" ht="12.75">
      <c r="A19868" s="8">
        <v>43895.406504629631</v>
      </c>
      <c r="B19868" s="8" t="str">
        <f>HYPERLINK("https://twitter.com/wannya","@wannya")</f>
        <v>@wannya</v>
      </c>
      <c r="C19868" s="8" t="s">
        <v>8151</v>
      </c>
      <c r="D19868" s="8">
        <v>0</v>
      </c>
      <c r="E19868" s="8">
        <v>0</v>
      </c>
      <c r="F19868" s="8">
        <v>79</v>
      </c>
    </row>
    <row r="19869" spans="1:6" ht="12.75">
      <c r="A19869" s="8">
        <v>43895.406284722223</v>
      </c>
      <c r="B19869" s="8" t="str">
        <f>HYPERLINK("https://twitter.com/BaleBengong","@BaleBengong")</f>
        <v>@BaleBengong</v>
      </c>
      <c r="C19869" s="8" t="s">
        <v>8152</v>
      </c>
      <c r="D19869" s="8">
        <v>1</v>
      </c>
      <c r="E19869" s="8">
        <v>0</v>
      </c>
      <c r="F19869" s="8">
        <v>102032</v>
      </c>
    </row>
    <row r="19870" spans="1:6" ht="12.75">
      <c r="A19870" s="8">
        <v>43895.406076388885</v>
      </c>
      <c r="B19870" s="8" t="str">
        <f>HYPERLINK("https://twitter.com/xmerissax","@xmerissax")</f>
        <v>@xmerissax</v>
      </c>
      <c r="C19870" s="8" t="s">
        <v>7473</v>
      </c>
      <c r="D19870" s="8">
        <v>284</v>
      </c>
      <c r="E19870" s="8">
        <v>0</v>
      </c>
      <c r="F19870" s="8">
        <v>96</v>
      </c>
    </row>
    <row r="19871" spans="1:6" ht="12.75">
      <c r="A19871" s="8">
        <v>43895.405787037038</v>
      </c>
      <c r="B19871" s="8" t="str">
        <f>HYPERLINK("https://twitter.com/TemanJanEthes","@TemanJanEthes")</f>
        <v>@TemanJanEthes</v>
      </c>
      <c r="C19871" s="8" t="s">
        <v>8153</v>
      </c>
      <c r="D19871" s="8">
        <v>1</v>
      </c>
      <c r="E19871" s="8">
        <v>0</v>
      </c>
      <c r="F19871" s="8">
        <v>1040</v>
      </c>
    </row>
    <row r="19872" spans="1:6" ht="12.75">
      <c r="A19872" s="8">
        <v>43895.40525462963</v>
      </c>
      <c r="B19872" s="8" t="str">
        <f>HYPERLINK("https://twitter.com/ibnuRosyidi4","@ibnuRosyidi4")</f>
        <v>@ibnuRosyidi4</v>
      </c>
      <c r="C19872" s="8" t="s">
        <v>7848</v>
      </c>
      <c r="D19872" s="8">
        <v>58</v>
      </c>
      <c r="E19872" s="8">
        <v>0</v>
      </c>
      <c r="F19872" s="8">
        <v>48</v>
      </c>
    </row>
    <row r="19873" spans="1:6" ht="12.75">
      <c r="A19873" s="8">
        <v>43895.404675925922</v>
      </c>
      <c r="B19873" s="8" t="str">
        <f>HYPERLINK("https://twitter.com/PUNZIP","@PUNZIP")</f>
        <v>@PUNZIP</v>
      </c>
      <c r="C19873" s="8" t="s">
        <v>7194</v>
      </c>
      <c r="D19873" s="8">
        <v>40</v>
      </c>
      <c r="E19873" s="8">
        <v>0</v>
      </c>
      <c r="F19873" s="8">
        <v>3799</v>
      </c>
    </row>
    <row r="19874" spans="1:6" ht="12.75">
      <c r="A19874" s="8">
        <v>43895.40457175926</v>
      </c>
      <c r="B19874" s="8" t="str">
        <f>HYPERLINK("https://twitter.com/Zaenalalternat1","@Zaenalalternat1")</f>
        <v>@Zaenalalternat1</v>
      </c>
      <c r="C19874" s="8" t="s">
        <v>7194</v>
      </c>
      <c r="D19874" s="8">
        <v>40</v>
      </c>
      <c r="E19874" s="8">
        <v>0</v>
      </c>
      <c r="F19874" s="8">
        <v>2716</v>
      </c>
    </row>
    <row r="19875" spans="1:6" ht="12.75">
      <c r="A19875" s="8">
        <v>43895.404293981483</v>
      </c>
      <c r="B19875" s="8" t="str">
        <f>HYPERLINK("https://twitter.com/UtomoFreddy","@UtomoFreddy")</f>
        <v>@UtomoFreddy</v>
      </c>
      <c r="C19875" s="8" t="s">
        <v>7242</v>
      </c>
      <c r="D19875" s="8">
        <v>51</v>
      </c>
      <c r="E19875" s="8">
        <v>0</v>
      </c>
      <c r="F19875" s="8">
        <v>108</v>
      </c>
    </row>
    <row r="19876" spans="1:6" ht="12.75">
      <c r="A19876" s="8">
        <v>43895.403622685189</v>
      </c>
      <c r="B19876" s="8" t="str">
        <f>HYPERLINK("https://twitter.com/d3nd16","@d3nd16")</f>
        <v>@d3nd16</v>
      </c>
      <c r="C19876" s="8" t="s">
        <v>8154</v>
      </c>
      <c r="D19876" s="8">
        <v>0</v>
      </c>
      <c r="E19876" s="8">
        <v>0</v>
      </c>
      <c r="F19876" s="8">
        <v>35</v>
      </c>
    </row>
    <row r="19877" spans="1:6" ht="12.75">
      <c r="A19877" s="8">
        <v>43895.403287037036</v>
      </c>
      <c r="B19877" s="8" t="str">
        <f>HYPERLINK("https://twitter.com/Vitaa61218875","@Vitaa61218875")</f>
        <v>@Vitaa61218875</v>
      </c>
      <c r="C19877" s="8" t="s">
        <v>8155</v>
      </c>
      <c r="D19877" s="8">
        <v>30</v>
      </c>
      <c r="E19877" s="8">
        <v>0</v>
      </c>
      <c r="F19877" s="8">
        <v>1</v>
      </c>
    </row>
    <row r="19878" spans="1:6" ht="12.75">
      <c r="A19878" s="8">
        <v>43895.402986111112</v>
      </c>
      <c r="B19878" s="8" t="str">
        <f>HYPERLINK("https://twitter.com/AGPurwoto","@AGPurwoto")</f>
        <v>@AGPurwoto</v>
      </c>
      <c r="C19878" s="8" t="s">
        <v>7242</v>
      </c>
      <c r="D19878" s="8">
        <v>51</v>
      </c>
      <c r="E19878" s="8">
        <v>0</v>
      </c>
      <c r="F19878" s="8">
        <v>101</v>
      </c>
    </row>
    <row r="19879" spans="1:6" ht="12.75">
      <c r="A19879" s="8">
        <v>43895.402812500004</v>
      </c>
      <c r="B19879" s="8" t="str">
        <f>HYPERLINK("https://twitter.com/Nana_Rosaa_","@Nana_Rosaa_")</f>
        <v>@Nana_Rosaa_</v>
      </c>
      <c r="C19879" s="8" t="s">
        <v>2979</v>
      </c>
      <c r="D19879" s="8">
        <v>179</v>
      </c>
      <c r="E19879" s="8">
        <v>0</v>
      </c>
      <c r="F19879" s="8">
        <v>9663</v>
      </c>
    </row>
    <row r="19880" spans="1:6" ht="12.75">
      <c r="A19880" s="8">
        <v>43895.402037037042</v>
      </c>
      <c r="B19880" s="8" t="str">
        <f>HYPERLINK("https://twitter.com/DavidGentana","@DavidGentana")</f>
        <v>@DavidGentana</v>
      </c>
      <c r="C19880" s="8" t="s">
        <v>7738</v>
      </c>
      <c r="D19880" s="8">
        <v>36</v>
      </c>
      <c r="E19880" s="8">
        <v>0</v>
      </c>
      <c r="F19880" s="8">
        <v>159</v>
      </c>
    </row>
    <row r="19881" spans="1:6" ht="12.75">
      <c r="A19881" s="8">
        <v>43895.40048611111</v>
      </c>
      <c r="B19881" s="8" t="str">
        <f>HYPERLINK("https://twitter.com/Ibnu_Al_Addin","@Ibnu_Al_Addin")</f>
        <v>@Ibnu_Al_Addin</v>
      </c>
      <c r="C19881" s="8" t="s">
        <v>8156</v>
      </c>
      <c r="D19881" s="8">
        <v>0</v>
      </c>
      <c r="E19881" s="8">
        <v>0</v>
      </c>
      <c r="F19881" s="8">
        <v>628</v>
      </c>
    </row>
    <row r="19882" spans="1:6" ht="12.75">
      <c r="A19882" s="8">
        <v>43895.400300925925</v>
      </c>
      <c r="B19882" s="8" t="str">
        <f>HYPERLINK("https://twitter.com/capekgw1","@capekgw1")</f>
        <v>@capekgw1</v>
      </c>
      <c r="C19882" s="8" t="s">
        <v>3285</v>
      </c>
      <c r="D19882" s="8">
        <v>132</v>
      </c>
      <c r="E19882" s="8">
        <v>0</v>
      </c>
      <c r="F19882" s="8">
        <v>203</v>
      </c>
    </row>
    <row r="19883" spans="1:6" ht="12.75">
      <c r="A19883" s="8">
        <v>43895.400219907402</v>
      </c>
      <c r="B19883" s="8" t="str">
        <f>HYPERLINK("https://twitter.com/FikriDwiH","@FikriDwiH")</f>
        <v>@FikriDwiH</v>
      </c>
      <c r="C19883" s="8" t="s">
        <v>8157</v>
      </c>
      <c r="D19883" s="8">
        <v>0</v>
      </c>
      <c r="E19883" s="8">
        <v>0</v>
      </c>
      <c r="F19883" s="8">
        <v>588</v>
      </c>
    </row>
    <row r="19884" spans="1:6" ht="12.75">
      <c r="A19884" s="8">
        <v>43895.400104166663</v>
      </c>
      <c r="B19884" s="8" t="str">
        <f>HYPERLINK("https://twitter.com/edosourifet","@edosourifet")</f>
        <v>@edosourifet</v>
      </c>
      <c r="C19884" s="8" t="s">
        <v>6710</v>
      </c>
      <c r="D19884" s="8">
        <v>447</v>
      </c>
      <c r="E19884" s="8">
        <v>0</v>
      </c>
      <c r="F19884" s="8">
        <v>405</v>
      </c>
    </row>
    <row r="19885" spans="1:6" ht="12.75">
      <c r="A19885" s="8">
        <v>43895.398599537039</v>
      </c>
      <c r="B19885" s="8" t="str">
        <f>HYPERLINK("https://twitter.com/_juancitocufre","@_juancitocufre")</f>
        <v>@_juancitocufre</v>
      </c>
      <c r="C19885" s="8" t="s">
        <v>8158</v>
      </c>
      <c r="D19885" s="8">
        <v>0</v>
      </c>
      <c r="E19885" s="8">
        <v>0</v>
      </c>
      <c r="F19885" s="8">
        <v>470</v>
      </c>
    </row>
    <row r="19886" spans="1:6" ht="12.75">
      <c r="A19886" s="8">
        <v>43895.398182870369</v>
      </c>
      <c r="B19886" s="8" t="str">
        <f>HYPERLINK("https://twitter.com/bayumhk","@bayumhk")</f>
        <v>@bayumhk</v>
      </c>
      <c r="C19886" s="8" t="s">
        <v>8159</v>
      </c>
      <c r="D19886" s="8">
        <v>1</v>
      </c>
      <c r="E19886" s="8">
        <v>0</v>
      </c>
      <c r="F19886" s="8">
        <v>61</v>
      </c>
    </row>
    <row r="19887" spans="1:6" ht="12.75">
      <c r="A19887" s="8">
        <v>43895.39638888889</v>
      </c>
      <c r="B19887" s="8" t="str">
        <f>HYPERLINK("https://twitter.com/reeenrennn","@reeenrennn")</f>
        <v>@reeenrennn</v>
      </c>
      <c r="C19887" s="8" t="s">
        <v>7809</v>
      </c>
      <c r="D19887" s="8">
        <v>23</v>
      </c>
      <c r="E19887" s="8">
        <v>0</v>
      </c>
      <c r="F19887" s="8">
        <v>622</v>
      </c>
    </row>
    <row r="19888" spans="1:6" ht="12.75">
      <c r="A19888" s="8">
        <v>43895.396203703705</v>
      </c>
      <c r="B19888" s="8" t="str">
        <f>HYPERLINK("https://twitter.com/paulusteguh","@paulusteguh")</f>
        <v>@paulusteguh</v>
      </c>
      <c r="C19888" s="8" t="s">
        <v>7473</v>
      </c>
      <c r="D19888" s="8">
        <v>284</v>
      </c>
      <c r="E19888" s="8">
        <v>0</v>
      </c>
      <c r="F19888" s="8">
        <v>182</v>
      </c>
    </row>
    <row r="19889" spans="1:6" ht="12.75">
      <c r="A19889" s="8">
        <v>43895.396030092597</v>
      </c>
      <c r="B19889" s="8" t="str">
        <f>HYPERLINK("https://twitter.com/syahputra_uji","@syahputra_uji")</f>
        <v>@syahputra_uji</v>
      </c>
      <c r="C19889" s="8" t="s">
        <v>8160</v>
      </c>
      <c r="D19889" s="8">
        <v>0</v>
      </c>
      <c r="E19889" s="8">
        <v>0</v>
      </c>
      <c r="F19889" s="8">
        <v>2</v>
      </c>
    </row>
    <row r="19890" spans="1:6" ht="12.75">
      <c r="A19890" s="8">
        <v>43895.395868055552</v>
      </c>
      <c r="B19890" s="8" t="str">
        <f>HYPERLINK("https://twitter.com/alineadotid","@alineadotid")</f>
        <v>@alineadotid</v>
      </c>
      <c r="C19890" s="8" t="s">
        <v>8161</v>
      </c>
      <c r="D19890" s="8">
        <v>0</v>
      </c>
      <c r="E19890" s="8">
        <v>0</v>
      </c>
      <c r="F19890" s="8">
        <v>611633</v>
      </c>
    </row>
    <row r="19891" spans="1:6" ht="12.75">
      <c r="A19891" s="8">
        <v>43895.395775462966</v>
      </c>
      <c r="B19891" s="8" t="str">
        <f>HYPERLINK("https://twitter.com/JokoFighter01","@JokoFighter01")</f>
        <v>@JokoFighter01</v>
      </c>
      <c r="C19891" s="8" t="s">
        <v>8066</v>
      </c>
      <c r="D19891" s="8">
        <v>92</v>
      </c>
      <c r="E19891" s="8">
        <v>0</v>
      </c>
      <c r="F19891" s="8">
        <v>537</v>
      </c>
    </row>
    <row r="19892" spans="1:6" ht="12.75">
      <c r="A19892" s="8">
        <v>43895.395590277782</v>
      </c>
      <c r="B19892" s="8" t="str">
        <f>HYPERLINK("https://twitter.com/Canda_Bisnis2","@Canda_Bisnis2")</f>
        <v>@Canda_Bisnis2</v>
      </c>
      <c r="C19892" s="8" t="s">
        <v>8162</v>
      </c>
      <c r="D19892" s="8">
        <v>0</v>
      </c>
      <c r="E19892" s="8">
        <v>0</v>
      </c>
      <c r="F19892" s="8">
        <v>2001</v>
      </c>
    </row>
    <row r="19893" spans="1:6" ht="12.75">
      <c r="A19893" s="8">
        <v>43895.395381944443</v>
      </c>
      <c r="B19893" s="8" t="str">
        <f>HYPERLINK("https://twitter.com/aya_ddt","@aya_ddt")</f>
        <v>@aya_ddt</v>
      </c>
      <c r="C19893" s="8" t="s">
        <v>8163</v>
      </c>
      <c r="D19893" s="8">
        <v>3</v>
      </c>
      <c r="E19893" s="8">
        <v>0</v>
      </c>
      <c r="F19893" s="8">
        <v>435</v>
      </c>
    </row>
    <row r="19894" spans="1:6" ht="12.75">
      <c r="A19894" s="8">
        <v>43895.395289351851</v>
      </c>
      <c r="B19894" s="8" t="str">
        <f>HYPERLINK("https://twitter.com/Canda_Bisnis2","@Canda_Bisnis2")</f>
        <v>@Canda_Bisnis2</v>
      </c>
      <c r="C19894" s="8" t="s">
        <v>8164</v>
      </c>
      <c r="D19894" s="8">
        <v>660</v>
      </c>
      <c r="E19894" s="8">
        <v>0</v>
      </c>
      <c r="F19894" s="8">
        <v>2001</v>
      </c>
    </row>
    <row r="19895" spans="1:6" ht="12.75">
      <c r="A19895" s="8">
        <v>43895.395138888889</v>
      </c>
      <c r="B19895" s="8" t="str">
        <f>HYPERLINK("https://twitter.com/idntimes","@idntimes")</f>
        <v>@idntimes</v>
      </c>
      <c r="C19895" s="8" t="s">
        <v>8165</v>
      </c>
      <c r="D19895" s="8">
        <v>1</v>
      </c>
      <c r="E19895" s="8">
        <v>1</v>
      </c>
      <c r="F19895" s="8">
        <v>394016</v>
      </c>
    </row>
    <row r="19896" spans="1:6" ht="12.75">
      <c r="A19896" s="8">
        <v>43895.394502314812</v>
      </c>
      <c r="B19896" s="8" t="str">
        <f>HYPERLINK("https://twitter.com/Jovanka_vanke","@Jovanka_vanke")</f>
        <v>@Jovanka_vanke</v>
      </c>
      <c r="C19896" s="8" t="s">
        <v>8163</v>
      </c>
      <c r="D19896" s="8">
        <v>3</v>
      </c>
      <c r="E19896" s="8">
        <v>0</v>
      </c>
      <c r="F19896" s="8">
        <v>874</v>
      </c>
    </row>
    <row r="19897" spans="1:6" ht="12.75">
      <c r="A19897" s="8">
        <v>43895.394085648149</v>
      </c>
      <c r="B19897" s="8" t="str">
        <f>HYPERLINK("https://twitter.com/Kurniaw53369919","@Kurniaw53369919")</f>
        <v>@Kurniaw53369919</v>
      </c>
      <c r="C19897" s="8" t="s">
        <v>8166</v>
      </c>
      <c r="D19897" s="8">
        <v>0</v>
      </c>
      <c r="E19897" s="8">
        <v>0</v>
      </c>
      <c r="F19897" s="8">
        <v>934</v>
      </c>
    </row>
    <row r="19898" spans="1:6" ht="12.75">
      <c r="A19898" s="8">
        <v>43895.393506944441</v>
      </c>
      <c r="B19898" s="8" t="str">
        <f>HYPERLINK("https://twitter.com/LianAndis","@LianAndis")</f>
        <v>@LianAndis</v>
      </c>
      <c r="C19898" s="8" t="s">
        <v>7473</v>
      </c>
      <c r="D19898" s="8">
        <v>284</v>
      </c>
      <c r="E19898" s="8">
        <v>0</v>
      </c>
      <c r="F19898" s="8">
        <v>81</v>
      </c>
    </row>
    <row r="19899" spans="1:6" ht="12.75">
      <c r="A19899" s="8">
        <v>43895.393101851849</v>
      </c>
      <c r="B19899" s="8" t="str">
        <f>HYPERLINK("https://twitter.com/nhuwilla","@nhuwilla")</f>
        <v>@nhuwilla</v>
      </c>
      <c r="C19899" s="8" t="s">
        <v>6818</v>
      </c>
      <c r="D19899" s="8">
        <v>8</v>
      </c>
      <c r="E19899" s="8">
        <v>0</v>
      </c>
      <c r="F19899" s="8">
        <v>408</v>
      </c>
    </row>
    <row r="19900" spans="1:6" ht="12.75">
      <c r="A19900" s="8">
        <v>43895.392326388886</v>
      </c>
      <c r="B19900" s="8" t="str">
        <f>HYPERLINK("https://twitter.com/BinarisSitumor1","@BinarisSitumor1")</f>
        <v>@BinarisSitumor1</v>
      </c>
      <c r="C19900" s="8" t="s">
        <v>8024</v>
      </c>
      <c r="D19900" s="8">
        <v>18</v>
      </c>
      <c r="E19900" s="8">
        <v>0</v>
      </c>
      <c r="F19900" s="8">
        <v>301</v>
      </c>
    </row>
    <row r="19901" spans="1:6" ht="12.75">
      <c r="A19901" s="8">
        <v>43895.391597222224</v>
      </c>
      <c r="B19901" s="8" t="str">
        <f>HYPERLINK("https://twitter.com/putra_poerba","@putra_poerba")</f>
        <v>@putra_poerba</v>
      </c>
      <c r="C19901" s="8" t="s">
        <v>8167</v>
      </c>
      <c r="D19901" s="8">
        <v>0</v>
      </c>
      <c r="E19901" s="8">
        <v>0</v>
      </c>
      <c r="F19901" s="8">
        <v>88</v>
      </c>
    </row>
    <row r="19902" spans="1:6" ht="12.75">
      <c r="A19902" s="8">
        <v>43895.391423611116</v>
      </c>
      <c r="B19902" s="8" t="str">
        <f>HYPERLINK("https://twitter.com/DistroBang","@DistroBang")</f>
        <v>@DistroBang</v>
      </c>
      <c r="C19902" s="8" t="s">
        <v>8168</v>
      </c>
      <c r="D19902" s="8">
        <v>3</v>
      </c>
      <c r="E19902" s="8">
        <v>0</v>
      </c>
      <c r="F19902" s="8">
        <v>99</v>
      </c>
    </row>
    <row r="19903" spans="1:6" ht="12.75">
      <c r="A19903" s="8">
        <v>43895.391122685185</v>
      </c>
      <c r="B19903" s="8" t="str">
        <f>HYPERLINK("https://twitter.com/beraktiduran","@beraktiduran")</f>
        <v>@beraktiduran</v>
      </c>
      <c r="C19903" s="8" t="s">
        <v>8169</v>
      </c>
      <c r="D19903" s="8">
        <v>0</v>
      </c>
      <c r="E19903" s="8">
        <v>0</v>
      </c>
      <c r="F19903" s="8">
        <v>572</v>
      </c>
    </row>
    <row r="19904" spans="1:6" ht="12.75">
      <c r="A19904" s="8">
        <v>43895.390775462962</v>
      </c>
      <c r="B19904" s="8" t="str">
        <f>HYPERLINK("https://twitter.com/miss_wici","@miss_wici")</f>
        <v>@miss_wici</v>
      </c>
      <c r="C19904" s="8" t="s">
        <v>7524</v>
      </c>
      <c r="D19904" s="8">
        <v>12</v>
      </c>
      <c r="E19904" s="8">
        <v>0</v>
      </c>
      <c r="F19904" s="8">
        <v>1055</v>
      </c>
    </row>
    <row r="19905" spans="1:6" ht="12.75">
      <c r="A19905" s="8">
        <v>43895.390682870369</v>
      </c>
      <c r="B19905" s="8" t="str">
        <f>HYPERLINK("https://twitter.com/VeroFer44538443","@VeroFer44538443")</f>
        <v>@VeroFer44538443</v>
      </c>
      <c r="C19905" s="8" t="s">
        <v>7362</v>
      </c>
      <c r="D19905" s="8">
        <v>7</v>
      </c>
      <c r="E19905" s="8">
        <v>0</v>
      </c>
      <c r="F19905" s="8">
        <v>122</v>
      </c>
    </row>
    <row r="19906" spans="1:6" ht="12.75">
      <c r="A19906" s="8">
        <v>43895.390243055561</v>
      </c>
      <c r="B19906" s="8" t="str">
        <f>HYPERLINK("https://twitter.com/diezitoe","@diezitoe")</f>
        <v>@diezitoe</v>
      </c>
      <c r="C19906" s="8" t="s">
        <v>2979</v>
      </c>
      <c r="D19906" s="8">
        <v>179</v>
      </c>
      <c r="E19906" s="8">
        <v>0</v>
      </c>
      <c r="F19906" s="8">
        <v>428</v>
      </c>
    </row>
    <row r="19907" spans="1:6" ht="12.75">
      <c r="A19907" s="8">
        <v>43895.389884259261</v>
      </c>
      <c r="B19907" s="8" t="str">
        <f>HYPERLINK("https://twitter.com/Nkrikuindonesi8","@Nkrikuindonesi8")</f>
        <v>@Nkrikuindonesi8</v>
      </c>
      <c r="C19907" s="8" t="s">
        <v>7862</v>
      </c>
      <c r="D19907" s="8">
        <v>32</v>
      </c>
      <c r="E19907" s="8">
        <v>0</v>
      </c>
      <c r="F19907" s="8">
        <v>137</v>
      </c>
    </row>
    <row r="19908" spans="1:6" ht="12.75">
      <c r="A19908" s="8">
        <v>43895.389409722222</v>
      </c>
      <c r="B19908" s="8" t="str">
        <f>HYPERLINK("https://twitter.com/UsodoWiro","@UsodoWiro")</f>
        <v>@UsodoWiro</v>
      </c>
      <c r="C19908" s="8" t="s">
        <v>8170</v>
      </c>
      <c r="D19908" s="8">
        <v>0</v>
      </c>
      <c r="E19908" s="8">
        <v>0</v>
      </c>
      <c r="F19908" s="8">
        <v>413</v>
      </c>
    </row>
    <row r="19909" spans="1:6" ht="12.75">
      <c r="A19909" s="8">
        <v>43895.389363425929</v>
      </c>
      <c r="B19909" s="8" t="str">
        <f>HYPERLINK("https://twitter.com/nittano","@nittano")</f>
        <v>@nittano</v>
      </c>
      <c r="C19909" s="8" t="s">
        <v>8171</v>
      </c>
      <c r="D19909" s="8">
        <v>0</v>
      </c>
      <c r="E19909" s="8">
        <v>1</v>
      </c>
      <c r="F19909" s="8">
        <v>946</v>
      </c>
    </row>
    <row r="19910" spans="1:6" ht="12.75">
      <c r="A19910" s="8">
        <v>43895.388483796298</v>
      </c>
      <c r="B19910" s="8" t="str">
        <f>HYPERLINK("https://twitter.com/edi_muchlis","@edi_muchlis")</f>
        <v>@edi_muchlis</v>
      </c>
      <c r="C19910" s="8" t="s">
        <v>7715</v>
      </c>
      <c r="D19910" s="8">
        <v>94</v>
      </c>
      <c r="E19910" s="8">
        <v>0</v>
      </c>
      <c r="F19910" s="8">
        <v>767</v>
      </c>
    </row>
    <row r="19911" spans="1:6" ht="12.75">
      <c r="A19911" s="8">
        <v>43895.388402777782</v>
      </c>
      <c r="B19911" s="8" t="str">
        <f>HYPERLINK("https://twitter.com/dubie_tina","@dubie_tina")</f>
        <v>@dubie_tina</v>
      </c>
      <c r="C19911" s="8" t="s">
        <v>7194</v>
      </c>
      <c r="D19911" s="8">
        <v>40</v>
      </c>
      <c r="E19911" s="8">
        <v>0</v>
      </c>
      <c r="F19911" s="8">
        <v>1078</v>
      </c>
    </row>
    <row r="19912" spans="1:6" ht="12.75">
      <c r="A19912" s="8">
        <v>43895.388206018513</v>
      </c>
      <c r="B19912" s="8" t="str">
        <f>HYPERLINK("https://twitter.com/Jamal00068305","@Jamal00068305")</f>
        <v>@Jamal00068305</v>
      </c>
      <c r="C19912" s="8" t="s">
        <v>7573</v>
      </c>
      <c r="D19912" s="8">
        <v>24</v>
      </c>
      <c r="E19912" s="8">
        <v>0</v>
      </c>
      <c r="F19912" s="8">
        <v>16</v>
      </c>
    </row>
    <row r="19913" spans="1:6" ht="12.75">
      <c r="A19913" s="8">
        <v>43895.387997685189</v>
      </c>
      <c r="B19913" s="8" t="str">
        <f>HYPERLINK("https://twitter.com/Sarah_Pndj","@Sarah_Pndj")</f>
        <v>@Sarah_Pndj</v>
      </c>
      <c r="C19913" s="8" t="s">
        <v>8163</v>
      </c>
      <c r="D19913" s="8">
        <v>3</v>
      </c>
      <c r="E19913" s="8">
        <v>0</v>
      </c>
      <c r="F19913" s="8">
        <v>27143</v>
      </c>
    </row>
    <row r="19914" spans="1:6" ht="12.75">
      <c r="A19914" s="8">
        <v>43895.387592592597</v>
      </c>
      <c r="B19914" s="8" t="str">
        <f>HYPERLINK("https://twitter.com/JendelaSalatiga","@JendelaSalatiga")</f>
        <v>@JendelaSalatiga</v>
      </c>
      <c r="C19914" s="8" t="s">
        <v>8172</v>
      </c>
      <c r="D19914" s="8">
        <v>0</v>
      </c>
      <c r="E19914" s="8">
        <v>0</v>
      </c>
      <c r="F19914" s="8">
        <v>164</v>
      </c>
    </row>
    <row r="19915" spans="1:6" ht="12.75">
      <c r="A19915" s="8">
        <v>43895.387349537035</v>
      </c>
      <c r="B19915" s="8" t="str">
        <f>HYPERLINK("https://twitter.com/eli_omy","@eli_omy")</f>
        <v>@eli_omy</v>
      </c>
      <c r="C19915" s="8" t="s">
        <v>7473</v>
      </c>
      <c r="D19915" s="8">
        <v>284</v>
      </c>
      <c r="E19915" s="8">
        <v>0</v>
      </c>
      <c r="F19915" s="8">
        <v>1073</v>
      </c>
    </row>
    <row r="19916" spans="1:6" ht="12.75">
      <c r="A19916" s="8">
        <v>43895.38663194445</v>
      </c>
      <c r="B19916" s="8" t="str">
        <f>HYPERLINK("https://twitter.com/UsodoWiro","@UsodoWiro")</f>
        <v>@UsodoWiro</v>
      </c>
      <c r="C19916" s="8" t="s">
        <v>8173</v>
      </c>
      <c r="D19916" s="8">
        <v>0</v>
      </c>
      <c r="E19916" s="8">
        <v>0</v>
      </c>
      <c r="F19916" s="8">
        <v>413</v>
      </c>
    </row>
    <row r="19917" spans="1:6" ht="12.75">
      <c r="A19917" s="8">
        <v>43895.386574074073</v>
      </c>
      <c r="B19917" s="8" t="str">
        <f>HYPERLINK("https://twitter.com/keziasapulete","@keziasapulete")</f>
        <v>@keziasapulete</v>
      </c>
      <c r="C19917" s="8" t="s">
        <v>7524</v>
      </c>
      <c r="D19917" s="8">
        <v>12</v>
      </c>
      <c r="E19917" s="8">
        <v>0</v>
      </c>
      <c r="F19917" s="8">
        <v>644</v>
      </c>
    </row>
    <row r="19918" spans="1:6" ht="12.75">
      <c r="A19918" s="8">
        <v>43895.386423611111</v>
      </c>
      <c r="B19918" s="8" t="str">
        <f>HYPERLINK("https://twitter.com/zydniy","@zydniy")</f>
        <v>@zydniy</v>
      </c>
      <c r="C19918" s="8" t="s">
        <v>8174</v>
      </c>
      <c r="D19918" s="8">
        <v>0</v>
      </c>
      <c r="E19918" s="8">
        <v>1</v>
      </c>
      <c r="F19918" s="8">
        <v>0</v>
      </c>
    </row>
    <row r="19919" spans="1:6" ht="12.75">
      <c r="A19919" s="8">
        <v>43895.386342592596</v>
      </c>
      <c r="B19919" s="8" t="str">
        <f>HYPERLINK("https://twitter.com/LianAndis","@LianAndis")</f>
        <v>@LianAndis</v>
      </c>
      <c r="C19919" s="8" t="s">
        <v>7194</v>
      </c>
      <c r="D19919" s="8">
        <v>40</v>
      </c>
      <c r="E19919" s="8">
        <v>0</v>
      </c>
      <c r="F19919" s="8">
        <v>81</v>
      </c>
    </row>
    <row r="19920" spans="1:6" ht="12.75">
      <c r="A19920" s="8">
        <v>43895.386319444442</v>
      </c>
      <c r="B19920" s="8" t="str">
        <f>HYPERLINK("https://twitter.com/Adhi_Faiz","@Adhi_Faiz")</f>
        <v>@Adhi_Faiz</v>
      </c>
      <c r="C19920" s="8" t="s">
        <v>7524</v>
      </c>
      <c r="D19920" s="8">
        <v>12</v>
      </c>
      <c r="E19920" s="8">
        <v>0</v>
      </c>
      <c r="F19920" s="8">
        <v>1315</v>
      </c>
    </row>
    <row r="19921" spans="1:6" ht="12.75">
      <c r="A19921" s="8">
        <v>43895.386284722219</v>
      </c>
      <c r="B19921" s="8" t="str">
        <f>HYPERLINK("https://twitter.com/Widya_0996","@Widya_0996")</f>
        <v>@Widya_0996</v>
      </c>
      <c r="C19921" s="8" t="s">
        <v>6222</v>
      </c>
      <c r="D19921" s="8">
        <v>33</v>
      </c>
      <c r="E19921" s="8">
        <v>0</v>
      </c>
      <c r="F19921" s="8">
        <v>668</v>
      </c>
    </row>
    <row r="19922" spans="1:6" ht="12.75">
      <c r="A19922" s="8">
        <v>43895.386030092588</v>
      </c>
      <c r="B19922" s="8" t="str">
        <f>HYPERLINK("https://twitter.com/ezaraze_","@ezaraze_")</f>
        <v>@ezaraze_</v>
      </c>
      <c r="C19922" s="8" t="s">
        <v>7809</v>
      </c>
      <c r="D19922" s="8">
        <v>23</v>
      </c>
      <c r="E19922" s="8">
        <v>0</v>
      </c>
      <c r="F19922" s="8">
        <v>189</v>
      </c>
    </row>
    <row r="19923" spans="1:6" ht="12.75">
      <c r="A19923" s="8">
        <v>43895.385011574079</v>
      </c>
      <c r="B19923" s="8" t="str">
        <f>HYPERLINK("https://twitter.com/AlanBill16","@AlanBill16")</f>
        <v>@AlanBill16</v>
      </c>
      <c r="C19923" s="8" t="s">
        <v>8175</v>
      </c>
      <c r="D19923" s="8">
        <v>0</v>
      </c>
      <c r="E19923" s="8">
        <v>0</v>
      </c>
      <c r="F19923" s="8">
        <v>1</v>
      </c>
    </row>
    <row r="19924" spans="1:6" ht="12.75">
      <c r="A19924" s="8">
        <v>43895.38181712963</v>
      </c>
      <c r="B19924" s="8" t="str">
        <f>HYPERLINK("https://twitter.com/PHNCX","@PHNCX")</f>
        <v>@PHNCX</v>
      </c>
      <c r="C19924" s="8" t="s">
        <v>8176</v>
      </c>
      <c r="D19924" s="8">
        <v>4</v>
      </c>
      <c r="E19924" s="8">
        <v>0</v>
      </c>
      <c r="F19924" s="8">
        <v>416</v>
      </c>
    </row>
    <row r="19925" spans="1:6" ht="12.75">
      <c r="A19925" s="8">
        <v>43895.381782407407</v>
      </c>
      <c r="B19925" s="8" t="str">
        <f>HYPERLINK("https://twitter.com/ojoziemann","@ojoziemann")</f>
        <v>@ojoziemann</v>
      </c>
      <c r="C19925" s="8" t="s">
        <v>7242</v>
      </c>
      <c r="D19925" s="8">
        <v>43</v>
      </c>
      <c r="E19925" s="8">
        <v>0</v>
      </c>
      <c r="F19925" s="8">
        <v>638</v>
      </c>
    </row>
    <row r="19926" spans="1:6" ht="12.75">
      <c r="A19926" s="8">
        <v>43895.381782407407</v>
      </c>
      <c r="B19926" s="8" t="str">
        <f>HYPERLINK("https://twitter.com/Ade43238136","@Ade43238136")</f>
        <v>@Ade43238136</v>
      </c>
      <c r="C19926" s="8" t="s">
        <v>8177</v>
      </c>
      <c r="D19926" s="8">
        <v>0</v>
      </c>
      <c r="E19926" s="8">
        <v>0</v>
      </c>
      <c r="F19926" s="8">
        <v>18</v>
      </c>
    </row>
    <row r="19927" spans="1:6" ht="12.75">
      <c r="A19927" s="8">
        <v>43895.381747685184</v>
      </c>
      <c r="B19927" s="8" t="str">
        <f>HYPERLINK("https://twitter.com/ayah_risang","@ayah_risang")</f>
        <v>@ayah_risang</v>
      </c>
      <c r="C19927" s="8" t="s">
        <v>7242</v>
      </c>
      <c r="D19927" s="8">
        <v>43</v>
      </c>
      <c r="E19927" s="8">
        <v>0</v>
      </c>
      <c r="F19927" s="8">
        <v>1148</v>
      </c>
    </row>
    <row r="19928" spans="1:6" ht="12.75">
      <c r="A19928" s="8">
        <v>43895.381655092591</v>
      </c>
      <c r="B19928" s="8" t="str">
        <f>HYPERLINK("https://twitter.com/Veenone","@Veenone")</f>
        <v>@Veenone</v>
      </c>
      <c r="C19928" s="8" t="s">
        <v>1970</v>
      </c>
      <c r="D19928" s="8">
        <v>1347</v>
      </c>
      <c r="E19928" s="8">
        <v>0</v>
      </c>
      <c r="F19928" s="8">
        <v>1209</v>
      </c>
    </row>
    <row r="19929" spans="1:6" ht="12.75">
      <c r="A19929" s="8">
        <v>43895.381481481483</v>
      </c>
      <c r="B19929" s="8" t="str">
        <f>HYPERLINK("https://twitter.com/evalita26","@evalita26")</f>
        <v>@evalita26</v>
      </c>
      <c r="C19929" s="8" t="s">
        <v>7473</v>
      </c>
      <c r="D19929" s="8">
        <v>270</v>
      </c>
      <c r="E19929" s="8">
        <v>0</v>
      </c>
      <c r="F19929" s="8">
        <v>173</v>
      </c>
    </row>
    <row r="19930" spans="1:6" ht="12.75">
      <c r="A19930" s="8">
        <v>43895.38145833333</v>
      </c>
      <c r="B19930" s="8" t="str">
        <f>HYPERLINK("https://twitter.com/Iwan_Kapuk","@Iwan_Kapuk")</f>
        <v>@Iwan_Kapuk</v>
      </c>
      <c r="C19930" s="8" t="s">
        <v>7473</v>
      </c>
      <c r="D19930" s="8">
        <v>270</v>
      </c>
      <c r="E19930" s="8">
        <v>0</v>
      </c>
      <c r="F19930" s="8">
        <v>2775</v>
      </c>
    </row>
    <row r="19931" spans="1:6" ht="12.75">
      <c r="A19931" s="8">
        <v>43895.381331018521</v>
      </c>
      <c r="B19931" s="8" t="str">
        <f>HYPERLINK("https://twitter.com/BinarisSitumor1","@BinarisSitumor1")</f>
        <v>@BinarisSitumor1</v>
      </c>
      <c r="C19931" s="8" t="s">
        <v>7573</v>
      </c>
      <c r="D19931" s="8">
        <v>21</v>
      </c>
      <c r="E19931" s="8">
        <v>0</v>
      </c>
      <c r="F19931" s="8">
        <v>301</v>
      </c>
    </row>
    <row r="19932" spans="1:6" ht="12.75">
      <c r="A19932" s="8">
        <v>43895.381203703699</v>
      </c>
      <c r="B19932" s="8" t="str">
        <f>HYPERLINK("https://twitter.com/SagunaAdy","@SagunaAdy")</f>
        <v>@SagunaAdy</v>
      </c>
      <c r="C19932" s="8" t="s">
        <v>4579</v>
      </c>
      <c r="D19932" s="8">
        <v>23</v>
      </c>
      <c r="E19932" s="8">
        <v>0</v>
      </c>
      <c r="F19932" s="8">
        <v>1791</v>
      </c>
    </row>
    <row r="19933" spans="1:6" ht="12.75">
      <c r="A19933" s="8">
        <v>43895.381030092598</v>
      </c>
      <c r="B19933" s="8" t="str">
        <f>HYPERLINK("https://twitter.com/Pakdhe_Didi","@Pakdhe_Didi")</f>
        <v>@Pakdhe_Didi</v>
      </c>
      <c r="C19933" s="8" t="s">
        <v>8178</v>
      </c>
      <c r="D19933" s="8">
        <v>0</v>
      </c>
      <c r="E19933" s="8">
        <v>0</v>
      </c>
      <c r="F19933" s="8">
        <v>201</v>
      </c>
    </row>
    <row r="19934" spans="1:6" ht="12.75">
      <c r="A19934" s="8">
        <v>43895.38082175926</v>
      </c>
      <c r="B19934" s="8" t="str">
        <f>HYPERLINK("https://twitter.com/bora2801","@bora2801")</f>
        <v>@bora2801</v>
      </c>
      <c r="C19934" s="8" t="s">
        <v>8179</v>
      </c>
      <c r="D19934" s="8">
        <v>0</v>
      </c>
      <c r="E19934" s="8">
        <v>0</v>
      </c>
      <c r="F19934" s="8">
        <v>1475</v>
      </c>
    </row>
    <row r="19935" spans="1:6" ht="12.75">
      <c r="A19935" s="8">
        <v>43895.380648148144</v>
      </c>
      <c r="B19935" s="8" t="str">
        <f>HYPERLINK("https://twitter.com/Veenone","@Veenone")</f>
        <v>@Veenone</v>
      </c>
      <c r="C19935" s="8" t="s">
        <v>7661</v>
      </c>
      <c r="D19935" s="8">
        <v>489</v>
      </c>
      <c r="E19935" s="8">
        <v>0</v>
      </c>
      <c r="F19935" s="8">
        <v>1209</v>
      </c>
    </row>
    <row r="19936" spans="1:6" ht="12.75">
      <c r="A19936" s="8">
        <v>43895.380196759259</v>
      </c>
      <c r="B19936" s="8" t="str">
        <f>HYPERLINK("https://twitter.com/Faylasalle2","@Faylasalle2")</f>
        <v>@Faylasalle2</v>
      </c>
      <c r="C19936" s="8" t="s">
        <v>8180</v>
      </c>
      <c r="D19936" s="8">
        <v>14</v>
      </c>
      <c r="E19936" s="8">
        <v>0</v>
      </c>
      <c r="F19936" s="8">
        <v>532</v>
      </c>
    </row>
    <row r="19937" spans="1:6" ht="12.75">
      <c r="A19937" s="8">
        <v>43895.379710648151</v>
      </c>
      <c r="B19937" s="8" t="str">
        <f>HYPERLINK("https://twitter.com/Nutrisi6","@Nutrisi6")</f>
        <v>@Nutrisi6</v>
      </c>
      <c r="C19937" s="8" t="s">
        <v>8181</v>
      </c>
      <c r="D19937" s="8">
        <v>0</v>
      </c>
      <c r="E19937" s="8">
        <v>0</v>
      </c>
      <c r="F19937" s="8">
        <v>28</v>
      </c>
    </row>
    <row r="19938" spans="1:6" ht="12.75">
      <c r="A19938" s="8">
        <v>43895.379629629635</v>
      </c>
      <c r="B19938" s="8" t="str">
        <f>HYPERLINK("https://twitter.com/Infoacehtimur1","@Infoacehtimur1")</f>
        <v>@Infoacehtimur1</v>
      </c>
      <c r="C19938" s="8" t="s">
        <v>8182</v>
      </c>
      <c r="D19938" s="8">
        <v>0</v>
      </c>
      <c r="E19938" s="8">
        <v>0</v>
      </c>
      <c r="F19938" s="8">
        <v>51</v>
      </c>
    </row>
    <row r="19939" spans="1:6" ht="12.75">
      <c r="A19939" s="8">
        <v>43895.37871527778</v>
      </c>
      <c r="B19939" s="8" t="str">
        <f>HYPERLINK("https://twitter.com/olie_id","@olie_id")</f>
        <v>@olie_id</v>
      </c>
      <c r="C19939" s="8" t="s">
        <v>6710</v>
      </c>
      <c r="D19939" s="8">
        <v>446</v>
      </c>
      <c r="E19939" s="8">
        <v>0</v>
      </c>
      <c r="F19939" s="8">
        <v>45</v>
      </c>
    </row>
    <row r="19940" spans="1:6" ht="12.75">
      <c r="A19940" s="8">
        <v>43895.378518518519</v>
      </c>
      <c r="B19940" s="8" t="str">
        <f>HYPERLINK("https://twitter.com/JustFeddy","@JustFeddy")</f>
        <v>@JustFeddy</v>
      </c>
      <c r="C19940" s="8" t="s">
        <v>7473</v>
      </c>
      <c r="D19940" s="8">
        <v>270</v>
      </c>
      <c r="E19940" s="8">
        <v>0</v>
      </c>
      <c r="F19940" s="8">
        <v>916</v>
      </c>
    </row>
    <row r="19941" spans="1:6" ht="12.75">
      <c r="A19941" s="8">
        <v>43895.378460648149</v>
      </c>
      <c r="B19941" s="8" t="str">
        <f>HYPERLINK("https://twitter.com/Kimi58486332","@Kimi58486332")</f>
        <v>@Kimi58486332</v>
      </c>
      <c r="C19941" s="8" t="s">
        <v>8183</v>
      </c>
      <c r="D19941" s="8">
        <v>0</v>
      </c>
      <c r="E19941" s="8">
        <v>0</v>
      </c>
      <c r="F19941" s="8">
        <v>24</v>
      </c>
    </row>
    <row r="19942" spans="1:6" ht="12.75">
      <c r="A19942" s="8">
        <v>43895.378437499996</v>
      </c>
      <c r="B19942" s="8" t="str">
        <f>HYPERLINK("https://twitter.com/hgberry","@hgberry")</f>
        <v>@hgberry</v>
      </c>
      <c r="C19942" s="8" t="s">
        <v>7473</v>
      </c>
      <c r="D19942" s="8">
        <v>270</v>
      </c>
      <c r="E19942" s="8">
        <v>0</v>
      </c>
      <c r="F19942" s="8">
        <v>1651</v>
      </c>
    </row>
    <row r="19943" spans="1:6" ht="12.75">
      <c r="A19943" s="8">
        <v>43895.378217592588</v>
      </c>
      <c r="B19943" s="8" t="str">
        <f>HYPERLINK("https://twitter.com/BJ__ROBIN","@BJ__ROBIN")</f>
        <v>@BJ__ROBIN</v>
      </c>
      <c r="C19943" s="8" t="s">
        <v>7796</v>
      </c>
      <c r="D19943" s="8">
        <v>93</v>
      </c>
      <c r="E19943" s="8">
        <v>0</v>
      </c>
      <c r="F19943" s="8">
        <v>1678</v>
      </c>
    </row>
    <row r="19944" spans="1:6" ht="12.75">
      <c r="A19944" s="8">
        <v>43895.377847222218</v>
      </c>
      <c r="B19944" s="8" t="str">
        <f>HYPERLINK("https://twitter.com/Demokrat_TV","@Demokrat_TV")</f>
        <v>@Demokrat_TV</v>
      </c>
      <c r="C19944" s="8" t="s">
        <v>8184</v>
      </c>
      <c r="D19944" s="8">
        <v>14</v>
      </c>
      <c r="E19944" s="8">
        <v>0</v>
      </c>
      <c r="F19944" s="8">
        <v>6175567</v>
      </c>
    </row>
    <row r="19945" spans="1:6" ht="12.75">
      <c r="A19945" s="8">
        <v>43895.377685185187</v>
      </c>
      <c r="B19945" s="8" t="str">
        <f>HYPERLINK("https://twitter.com/bravoR22_","@bravoR22_")</f>
        <v>@bravoR22_</v>
      </c>
      <c r="C19945" s="8" t="s">
        <v>3285</v>
      </c>
      <c r="D19945" s="8">
        <v>127</v>
      </c>
      <c r="E19945" s="8">
        <v>0</v>
      </c>
      <c r="F19945" s="8">
        <v>516</v>
      </c>
    </row>
    <row r="19946" spans="1:6" ht="12.75">
      <c r="A19946" s="8">
        <v>43895.377430555556</v>
      </c>
      <c r="B19946" s="8" t="str">
        <f>HYPERLINK("https://twitter.com/tianna_isis","@tianna_isis")</f>
        <v>@tianna_isis</v>
      </c>
      <c r="C19946" s="8" t="s">
        <v>8185</v>
      </c>
      <c r="D19946" s="8">
        <v>18978</v>
      </c>
      <c r="E19946" s="8">
        <v>0</v>
      </c>
      <c r="F19946" s="8">
        <v>117</v>
      </c>
    </row>
    <row r="19947" spans="1:6" ht="12.75">
      <c r="A19947" s="8">
        <v>43895.376736111109</v>
      </c>
      <c r="B19947" s="8" t="str">
        <f>HYPERLINK("https://twitter.com/TitoJalu","@TitoJalu")</f>
        <v>@TitoJalu</v>
      </c>
      <c r="C19947" s="8" t="s">
        <v>8186</v>
      </c>
      <c r="D19947" s="8">
        <v>0</v>
      </c>
      <c r="E19947" s="8">
        <v>0</v>
      </c>
      <c r="F19947" s="8">
        <v>9046</v>
      </c>
    </row>
    <row r="19948" spans="1:6" ht="12.75">
      <c r="A19948" s="8">
        <v>43895.37667824074</v>
      </c>
      <c r="B19948" s="8" t="str">
        <f>HYPERLINK("https://twitter.com/BlackisBlackMSS","@BlackisBlackMSS")</f>
        <v>@BlackisBlackMSS</v>
      </c>
      <c r="C19948" s="8" t="s">
        <v>8187</v>
      </c>
      <c r="D19948" s="8">
        <v>0</v>
      </c>
      <c r="E19948" s="8">
        <v>2</v>
      </c>
      <c r="F19948" s="8">
        <v>4583</v>
      </c>
    </row>
    <row r="19949" spans="1:6" ht="12.75">
      <c r="A19949" s="8">
        <v>43895.376608796301</v>
      </c>
      <c r="B19949" s="8" t="str">
        <f>HYPERLINK("https://twitter.com/Lampita","@Lampita")</f>
        <v>@Lampita</v>
      </c>
      <c r="C19949" s="8" t="s">
        <v>7809</v>
      </c>
      <c r="D19949" s="8">
        <v>18</v>
      </c>
      <c r="E19949" s="8">
        <v>0</v>
      </c>
      <c r="F19949" s="8">
        <v>165</v>
      </c>
    </row>
    <row r="19950" spans="1:6" ht="12.75">
      <c r="A19950" s="8">
        <v>43895.376504629632</v>
      </c>
      <c r="B19950" s="8" t="str">
        <f>HYPERLINK("https://twitter.com/WPHalim","@WPHalim")</f>
        <v>@WPHalim</v>
      </c>
      <c r="C19950" s="8" t="s">
        <v>2979</v>
      </c>
      <c r="D19950" s="8">
        <v>170</v>
      </c>
      <c r="E19950" s="8">
        <v>0</v>
      </c>
      <c r="F19950" s="8">
        <v>321</v>
      </c>
    </row>
    <row r="19951" spans="1:6" ht="12.75">
      <c r="A19951" s="8">
        <v>43895.376342592594</v>
      </c>
      <c r="B19951" s="8" t="str">
        <f>HYPERLINK("https://twitter.com/DjuniharTeguh","@DjuniharTeguh")</f>
        <v>@DjuniharTeguh</v>
      </c>
      <c r="C19951" s="8" t="s">
        <v>3285</v>
      </c>
      <c r="D19951" s="8">
        <v>127</v>
      </c>
      <c r="E19951" s="8">
        <v>0</v>
      </c>
      <c r="F19951" s="8">
        <v>43</v>
      </c>
    </row>
    <row r="19952" spans="1:6" ht="12.75">
      <c r="A19952" s="8">
        <v>43895.376030092593</v>
      </c>
      <c r="B19952" s="8" t="str">
        <f>HYPERLINK("https://twitter.com/luputtt","@luputtt")</f>
        <v>@luputtt</v>
      </c>
      <c r="C19952" s="8" t="s">
        <v>2979</v>
      </c>
      <c r="D19952" s="8">
        <v>170</v>
      </c>
      <c r="E19952" s="8">
        <v>0</v>
      </c>
      <c r="F19952" s="8">
        <v>536</v>
      </c>
    </row>
    <row r="19953" spans="1:6" ht="12.75">
      <c r="A19953" s="8">
        <v>43895.37599537037</v>
      </c>
      <c r="B19953" s="8" t="str">
        <f>HYPERLINK("https://twitter.com/PrakarsaWilly","@PrakarsaWilly")</f>
        <v>@PrakarsaWilly</v>
      </c>
      <c r="C19953" s="8" t="s">
        <v>3285</v>
      </c>
      <c r="D19953" s="8">
        <v>127</v>
      </c>
      <c r="E19953" s="8">
        <v>0</v>
      </c>
      <c r="F19953" s="8">
        <v>200</v>
      </c>
    </row>
    <row r="19954" spans="1:6" ht="12.75">
      <c r="A19954" s="8">
        <v>43895.375833333332</v>
      </c>
      <c r="B19954" s="8" t="str">
        <f>HYPERLINK("https://twitter.com/PaijoAryanto__","@PaijoAryanto__")</f>
        <v>@PaijoAryanto__</v>
      </c>
      <c r="C19954" s="8" t="s">
        <v>8188</v>
      </c>
      <c r="D19954" s="8">
        <v>0</v>
      </c>
      <c r="E19954" s="8">
        <v>0</v>
      </c>
      <c r="F19954" s="8">
        <v>748</v>
      </c>
    </row>
    <row r="19955" spans="1:6" ht="12.75">
      <c r="A19955" s="8">
        <v>43895.375625000001</v>
      </c>
      <c r="B19955" s="8" t="str">
        <f>HYPERLINK("https://twitter.com/muktiahmad","@muktiahmad")</f>
        <v>@muktiahmad</v>
      </c>
      <c r="C19955" s="8" t="s">
        <v>7809</v>
      </c>
      <c r="D19955" s="8">
        <v>18</v>
      </c>
      <c r="E19955" s="8">
        <v>0</v>
      </c>
      <c r="F19955" s="8">
        <v>801</v>
      </c>
    </row>
    <row r="19956" spans="1:6" ht="12.75">
      <c r="A19956" s="8">
        <v>43895.375428240739</v>
      </c>
      <c r="B19956" s="8" t="str">
        <f>HYPERLINK("https://twitter.com/beruang_gembul","@beruang_gembul")</f>
        <v>@beruang_gembul</v>
      </c>
      <c r="C19956" s="8" t="s">
        <v>8189</v>
      </c>
      <c r="D19956" s="8">
        <v>1</v>
      </c>
      <c r="E19956" s="8">
        <v>0</v>
      </c>
      <c r="F19956" s="8">
        <v>117</v>
      </c>
    </row>
    <row r="19957" spans="1:6" ht="12.75">
      <c r="A19957" s="8">
        <v>43895.375115740739</v>
      </c>
      <c r="B19957" s="8" t="str">
        <f>HYPERLINK("https://twitter.com/dysan_eagle","@dysan_eagle")</f>
        <v>@dysan_eagle</v>
      </c>
      <c r="C19957" s="8" t="s">
        <v>8190</v>
      </c>
      <c r="D19957" s="8">
        <v>286</v>
      </c>
      <c r="E19957" s="8">
        <v>0</v>
      </c>
      <c r="F19957" s="8">
        <v>1707</v>
      </c>
    </row>
    <row r="19958" spans="1:6" ht="12.75">
      <c r="A19958" s="8">
        <v>43895.374930555554</v>
      </c>
      <c r="B19958" s="8" t="str">
        <f>HYPERLINK("https://twitter.com/ManafSamuel","@ManafSamuel")</f>
        <v>@ManafSamuel</v>
      </c>
      <c r="C19958" s="8" t="s">
        <v>8191</v>
      </c>
      <c r="D19958" s="8">
        <v>0</v>
      </c>
      <c r="E19958" s="8">
        <v>0</v>
      </c>
      <c r="F19958" s="8">
        <v>1767</v>
      </c>
    </row>
    <row r="19959" spans="1:6" ht="12.75">
      <c r="A19959" s="8">
        <v>43895.374490740738</v>
      </c>
      <c r="B19959" s="8" t="str">
        <f>HYPERLINK("https://twitter.com/bintdhE","@bintdhE")</f>
        <v>@bintdhE</v>
      </c>
      <c r="C19959" s="8" t="s">
        <v>6916</v>
      </c>
      <c r="D19959" s="8">
        <v>4</v>
      </c>
      <c r="E19959" s="8">
        <v>0</v>
      </c>
      <c r="F19959" s="8">
        <v>3396</v>
      </c>
    </row>
    <row r="19960" spans="1:6" ht="12.75">
      <c r="A19960" s="8">
        <v>43895.374467592592</v>
      </c>
      <c r="B19960" s="8" t="str">
        <f>HYPERLINK("https://twitter.com/BadjaNuswantara","@BadjaNuswantara")</f>
        <v>@BadjaNuswantara</v>
      </c>
      <c r="C19960" s="8" t="s">
        <v>7362</v>
      </c>
      <c r="D19960" s="8">
        <v>3</v>
      </c>
      <c r="E19960" s="8">
        <v>0</v>
      </c>
      <c r="F19960" s="8">
        <v>43840</v>
      </c>
    </row>
    <row r="19961" spans="1:6" ht="12.75">
      <c r="A19961" s="8">
        <v>43895.374293981484</v>
      </c>
      <c r="B19961" s="8" t="str">
        <f>HYPERLINK("https://twitter.com/mury_eko","@mury_eko")</f>
        <v>@mury_eko</v>
      </c>
      <c r="C19961" s="8" t="s">
        <v>7242</v>
      </c>
      <c r="D19961" s="8">
        <v>43</v>
      </c>
      <c r="E19961" s="8">
        <v>0</v>
      </c>
      <c r="F19961" s="8">
        <v>1582</v>
      </c>
    </row>
    <row r="19962" spans="1:6" ht="12.75">
      <c r="A19962" s="8">
        <v>43895.374282407407</v>
      </c>
      <c r="B19962" s="8" t="str">
        <f>HYPERLINK("https://twitter.com/ISIS_Balik_NO","@ISIS_Balik_NO")</f>
        <v>@ISIS_Balik_NO</v>
      </c>
      <c r="C19962" s="8" t="s">
        <v>8192</v>
      </c>
      <c r="D19962" s="8">
        <v>631</v>
      </c>
      <c r="E19962" s="8">
        <v>0</v>
      </c>
      <c r="F19962" s="8">
        <v>6119</v>
      </c>
    </row>
    <row r="19963" spans="1:6" ht="12.75">
      <c r="A19963" s="8">
        <v>43895.374282407407</v>
      </c>
      <c r="B19963" s="8" t="str">
        <f>HYPERLINK("https://twitter.com/ekoesnadi","@ekoesnadi")</f>
        <v>@ekoesnadi</v>
      </c>
      <c r="C19963" s="8" t="s">
        <v>6916</v>
      </c>
      <c r="D19963" s="8">
        <v>4</v>
      </c>
      <c r="E19963" s="8">
        <v>0</v>
      </c>
      <c r="F19963" s="8">
        <v>1142</v>
      </c>
    </row>
    <row r="19964" spans="1:6" ht="12.75">
      <c r="A19964" s="8">
        <v>43895.374027777776</v>
      </c>
      <c r="B19964" s="8" t="str">
        <f>HYPERLINK("https://twitter.com/LukmanH92315696","@LukmanH92315696")</f>
        <v>@LukmanH92315696</v>
      </c>
      <c r="C19964" s="8" t="s">
        <v>2979</v>
      </c>
      <c r="D19964" s="8">
        <v>170</v>
      </c>
      <c r="E19964" s="8">
        <v>0</v>
      </c>
      <c r="F19964" s="8">
        <v>287</v>
      </c>
    </row>
    <row r="19965" spans="1:6" ht="12.75">
      <c r="A19965" s="8">
        <v>43895.37399305556</v>
      </c>
      <c r="B19965" s="8" t="str">
        <f>HYPERLINK("https://twitter.com/vaniamiaa","@vaniamiaa")</f>
        <v>@vaniamiaa</v>
      </c>
      <c r="C19965" s="8" t="s">
        <v>8193</v>
      </c>
      <c r="D19965" s="8">
        <v>0</v>
      </c>
      <c r="E19965" s="8">
        <v>0</v>
      </c>
      <c r="F19965" s="8">
        <v>241</v>
      </c>
    </row>
    <row r="19966" spans="1:6" ht="12.75">
      <c r="A19966" s="8">
        <v>43895.373495370368</v>
      </c>
      <c r="B19966" s="8" t="str">
        <f>HYPERLINK("https://twitter.com/LTH70166050","@LTH70166050")</f>
        <v>@LTH70166050</v>
      </c>
      <c r="C19966" s="8" t="s">
        <v>6916</v>
      </c>
      <c r="D19966" s="8">
        <v>4</v>
      </c>
      <c r="E19966" s="8">
        <v>0</v>
      </c>
      <c r="F19966" s="8">
        <v>54</v>
      </c>
    </row>
    <row r="19967" spans="1:6" ht="12.75">
      <c r="A19967" s="8">
        <v>43895.373217592598</v>
      </c>
      <c r="B19967" s="8" t="str">
        <f>HYPERLINK("https://twitter.com/Narto51108070","@Narto51108070")</f>
        <v>@Narto51108070</v>
      </c>
      <c r="C19967" s="8" t="s">
        <v>7969</v>
      </c>
      <c r="D19967" s="8">
        <v>71</v>
      </c>
      <c r="E19967" s="8">
        <v>0</v>
      </c>
      <c r="F19967" s="8">
        <v>3299</v>
      </c>
    </row>
    <row r="19968" spans="1:6" ht="12.75">
      <c r="A19968" s="8">
        <v>43895.373136574075</v>
      </c>
      <c r="B19968" s="8" t="str">
        <f>HYPERLINK("https://twitter.com/suka011","@suka011")</f>
        <v>@suka011</v>
      </c>
      <c r="C19968" s="8" t="s">
        <v>8194</v>
      </c>
      <c r="D19968" s="8">
        <v>78</v>
      </c>
      <c r="E19968" s="8">
        <v>0</v>
      </c>
      <c r="F19968" s="8">
        <v>2213</v>
      </c>
    </row>
    <row r="19969" spans="1:6" ht="12.75">
      <c r="A19969" s="8">
        <v>43895.373124999998</v>
      </c>
      <c r="B19969" s="8" t="str">
        <f>HYPERLINK("https://twitter.com/Nutrisi6","@Nutrisi6")</f>
        <v>@Nutrisi6</v>
      </c>
      <c r="C19969" s="8" t="s">
        <v>8195</v>
      </c>
      <c r="D19969" s="8">
        <v>0</v>
      </c>
      <c r="E19969" s="8">
        <v>0</v>
      </c>
      <c r="F19969" s="8">
        <v>28</v>
      </c>
    </row>
    <row r="19970" spans="1:6" ht="12.75">
      <c r="A19970" s="8">
        <v>43895.373101851852</v>
      </c>
      <c r="B19970" s="8" t="str">
        <f>HYPERLINK("https://twitter.com/ISIS_Balik_NO","@ISIS_Balik_NO")</f>
        <v>@ISIS_Balik_NO</v>
      </c>
      <c r="C19970" s="8" t="s">
        <v>8196</v>
      </c>
      <c r="D19970" s="8">
        <v>0</v>
      </c>
      <c r="E19970" s="8">
        <v>0</v>
      </c>
      <c r="F19970" s="8">
        <v>6119</v>
      </c>
    </row>
    <row r="19971" spans="1:6" ht="12.75">
      <c r="A19971" s="8">
        <v>43895.373090277775</v>
      </c>
      <c r="B19971" s="8" t="str">
        <f>HYPERLINK("https://twitter.com/ryanpramoedya6","@ryanpramoedya6")</f>
        <v>@ryanpramoedya6</v>
      </c>
      <c r="C19971" s="8" t="s">
        <v>8197</v>
      </c>
      <c r="D19971" s="8">
        <v>1</v>
      </c>
      <c r="E19971" s="8">
        <v>0</v>
      </c>
      <c r="F19971" s="8">
        <v>86</v>
      </c>
    </row>
    <row r="19972" spans="1:6" ht="12.75">
      <c r="A19972" s="8">
        <v>43895.372881944444</v>
      </c>
      <c r="B19972" s="8" t="str">
        <f>HYPERLINK("https://twitter.com/pollyanx","@pollyanx")</f>
        <v>@pollyanx</v>
      </c>
      <c r="C19972" s="8" t="s">
        <v>8198</v>
      </c>
      <c r="D19972" s="8">
        <v>0</v>
      </c>
      <c r="E19972" s="8">
        <v>0</v>
      </c>
      <c r="F19972" s="8">
        <v>1489</v>
      </c>
    </row>
    <row r="19973" spans="1:6" ht="12.75">
      <c r="A19973" s="8">
        <v>43895.372812500005</v>
      </c>
      <c r="B19973" s="8" t="str">
        <f>HYPERLINK("https://twitter.com/TeyengCekap","@TeyengCekap")</f>
        <v>@TeyengCekap</v>
      </c>
      <c r="C19973" s="8" t="s">
        <v>6916</v>
      </c>
      <c r="D19973" s="8">
        <v>4</v>
      </c>
      <c r="E19973" s="8">
        <v>0</v>
      </c>
      <c r="F19973" s="8">
        <v>5746</v>
      </c>
    </row>
    <row r="19974" spans="1:6" ht="12.75">
      <c r="A19974" s="8">
        <v>43895.372754629629</v>
      </c>
      <c r="B19974" s="8" t="str">
        <f>HYPERLINK("https://twitter.com/owengerrad88","@owengerrad88")</f>
        <v>@owengerrad88</v>
      </c>
      <c r="C19974" s="8" t="s">
        <v>7242</v>
      </c>
      <c r="D19974" s="8">
        <v>43</v>
      </c>
      <c r="E19974" s="8">
        <v>0</v>
      </c>
      <c r="F19974" s="8">
        <v>317</v>
      </c>
    </row>
    <row r="19975" spans="1:6" ht="12.75">
      <c r="A19975" s="8">
        <v>43895.372557870374</v>
      </c>
      <c r="B19975" s="8" t="str">
        <f>HYPERLINK("https://twitter.com/ISIS_Balik_NO","@ISIS_Balik_NO")</f>
        <v>@ISIS_Balik_NO</v>
      </c>
      <c r="C19975" s="8" t="s">
        <v>8199</v>
      </c>
      <c r="D19975" s="8">
        <v>0</v>
      </c>
      <c r="E19975" s="8">
        <v>0</v>
      </c>
      <c r="F19975" s="8">
        <v>6119</v>
      </c>
    </row>
    <row r="19976" spans="1:6" ht="12.75">
      <c r="A19976" s="8">
        <v>43895.37232638889</v>
      </c>
      <c r="B19976" s="8" t="str">
        <f>HYPERLINK("https://twitter.com/AnakKolong___","@AnakKolong___")</f>
        <v>@AnakKolong___</v>
      </c>
      <c r="C19976" s="8" t="s">
        <v>8200</v>
      </c>
      <c r="D19976" s="8">
        <v>4</v>
      </c>
      <c r="E19976" s="8">
        <v>14</v>
      </c>
      <c r="F19976" s="8">
        <v>7785</v>
      </c>
    </row>
    <row r="19977" spans="1:6" ht="12.75">
      <c r="A19977" s="8">
        <v>43895.371481481481</v>
      </c>
      <c r="B19977" s="8" t="str">
        <f>HYPERLINK("https://twitter.com/guna1243","@guna1243")</f>
        <v>@guna1243</v>
      </c>
      <c r="C19977" s="8" t="s">
        <v>1970</v>
      </c>
      <c r="D19977" s="8">
        <v>1347</v>
      </c>
      <c r="E19977" s="8">
        <v>0</v>
      </c>
      <c r="F19977" s="8">
        <v>179</v>
      </c>
    </row>
    <row r="19978" spans="1:6" ht="12.75">
      <c r="A19978" s="8">
        <v>43895.370937500003</v>
      </c>
      <c r="B19978" s="8" t="str">
        <f>HYPERLINK("https://twitter.com/penjagaaset","@penjagaaset")</f>
        <v>@penjagaaset</v>
      </c>
      <c r="C19978" s="8" t="s">
        <v>7473</v>
      </c>
      <c r="D19978" s="8">
        <v>270</v>
      </c>
      <c r="E19978" s="8">
        <v>0</v>
      </c>
      <c r="F19978" s="8">
        <v>203</v>
      </c>
    </row>
    <row r="19979" spans="1:6" ht="12.75">
      <c r="A19979" s="8">
        <v>43895.370925925927</v>
      </c>
      <c r="B19979" s="8" t="str">
        <f>HYPERLINK("https://twitter.com/ISIS_Balik_NO","@ISIS_Balik_NO")</f>
        <v>@ISIS_Balik_NO</v>
      </c>
      <c r="C19979" s="8" t="s">
        <v>8201</v>
      </c>
      <c r="D19979" s="8">
        <v>0</v>
      </c>
      <c r="E19979" s="8">
        <v>0</v>
      </c>
      <c r="F19979" s="8">
        <v>6119</v>
      </c>
    </row>
    <row r="19980" spans="1:6" ht="12.75">
      <c r="A19980" s="8">
        <v>43895.37091435185</v>
      </c>
      <c r="B19980" s="8" t="str">
        <f>HYPERLINK("https://twitter.com/TriMarlia","@TriMarlia")</f>
        <v>@TriMarlia</v>
      </c>
      <c r="C19980" s="8" t="s">
        <v>7242</v>
      </c>
      <c r="D19980" s="8">
        <v>43</v>
      </c>
      <c r="E19980" s="8">
        <v>0</v>
      </c>
      <c r="F19980" s="8">
        <v>529</v>
      </c>
    </row>
    <row r="19981" spans="1:6" ht="12.75">
      <c r="A19981" s="8">
        <v>43895.370775462958</v>
      </c>
      <c r="B19981" s="8" t="str">
        <f>HYPERLINK("https://twitter.com/ditepihatimu","@ditepihatimu")</f>
        <v>@ditepihatimu</v>
      </c>
      <c r="C19981" s="8" t="s">
        <v>8202</v>
      </c>
      <c r="D19981" s="8">
        <v>0</v>
      </c>
      <c r="E19981" s="8">
        <v>1</v>
      </c>
      <c r="F19981" s="8">
        <v>563</v>
      </c>
    </row>
    <row r="19982" spans="1:6" ht="12.75">
      <c r="A19982" s="8">
        <v>43895.370358796295</v>
      </c>
      <c r="B19982" s="8" t="str">
        <f>HYPERLINK("https://twitter.com/dimitrisarch","@dimitrisarch")</f>
        <v>@dimitrisarch</v>
      </c>
      <c r="C19982" s="8" t="s">
        <v>8203</v>
      </c>
      <c r="D19982" s="8">
        <v>0</v>
      </c>
      <c r="E19982" s="8">
        <v>0</v>
      </c>
      <c r="F19982" s="8">
        <v>38</v>
      </c>
    </row>
    <row r="19983" spans="1:6" ht="12.75">
      <c r="A19983" s="8">
        <v>43895.370162037041</v>
      </c>
      <c r="B19983" s="8" t="str">
        <f>HYPERLINK("https://twitter.com/JonsPowel","@JonsPowel")</f>
        <v>@JonsPowel</v>
      </c>
      <c r="C19983" s="8" t="s">
        <v>8115</v>
      </c>
      <c r="D19983" s="8">
        <v>238</v>
      </c>
      <c r="E19983" s="8">
        <v>0</v>
      </c>
      <c r="F19983" s="8">
        <v>184</v>
      </c>
    </row>
    <row r="19984" spans="1:6" ht="12.75">
      <c r="A19984" s="8">
        <v>43895.370115740741</v>
      </c>
      <c r="B19984" s="8" t="str">
        <f>HYPERLINK("https://twitter.com/strwberiex","@strwberiex")</f>
        <v>@strwberiex</v>
      </c>
      <c r="C19984" s="8" t="s">
        <v>6739</v>
      </c>
      <c r="D19984" s="8">
        <v>3</v>
      </c>
      <c r="E19984" s="8">
        <v>0</v>
      </c>
      <c r="F19984" s="8">
        <v>296</v>
      </c>
    </row>
    <row r="19985" spans="1:6" ht="12.75">
      <c r="A19985" s="8">
        <v>43895.370115740741</v>
      </c>
      <c r="B19985" s="8" t="str">
        <f>HYPERLINK("https://twitter.com/RobetDeNiru","@RobetDeNiru")</f>
        <v>@RobetDeNiru</v>
      </c>
      <c r="C19985" s="8" t="s">
        <v>7524</v>
      </c>
      <c r="D19985" s="8">
        <v>7</v>
      </c>
      <c r="E19985" s="8">
        <v>0</v>
      </c>
      <c r="F19985" s="8">
        <v>140</v>
      </c>
    </row>
    <row r="19986" spans="1:6" ht="12.75">
      <c r="A19986" s="8">
        <v>43895.369675925926</v>
      </c>
      <c r="B19986" s="8" t="str">
        <f>HYPERLINK("https://twitter.com/lovaendfall","@lovaendfall")</f>
        <v>@lovaendfall</v>
      </c>
      <c r="C19986" s="8" t="s">
        <v>7692</v>
      </c>
      <c r="D19986" s="8">
        <v>9</v>
      </c>
      <c r="E19986" s="8">
        <v>0</v>
      </c>
      <c r="F19986" s="8">
        <v>62</v>
      </c>
    </row>
    <row r="19987" spans="1:6" ht="12.75">
      <c r="A19987" s="8">
        <v>43895.369606481487</v>
      </c>
      <c r="B19987" s="8" t="str">
        <f>HYPERLINK("https://twitter.com/maulidyahhuda","@maulidyahhuda")</f>
        <v>@maulidyahhuda</v>
      </c>
      <c r="C19987" s="8" t="s">
        <v>7809</v>
      </c>
      <c r="D19987" s="8">
        <v>18</v>
      </c>
      <c r="E19987" s="8">
        <v>0</v>
      </c>
      <c r="F19987" s="8">
        <v>967</v>
      </c>
    </row>
    <row r="19988" spans="1:6" ht="12.75">
      <c r="A19988" s="8">
        <v>43895.369594907403</v>
      </c>
      <c r="B19988" s="8" t="str">
        <f>HYPERLINK("https://twitter.com/TeyengCekap","@TeyengCekap")</f>
        <v>@TeyengCekap</v>
      </c>
      <c r="C19988" s="8" t="s">
        <v>8204</v>
      </c>
      <c r="D19988" s="8">
        <v>12</v>
      </c>
      <c r="E19988" s="8">
        <v>0</v>
      </c>
      <c r="F19988" s="8">
        <v>5746</v>
      </c>
    </row>
    <row r="19989" spans="1:6" ht="12.75">
      <c r="A19989" s="8">
        <v>43895.369467592594</v>
      </c>
      <c r="B19989" s="8" t="str">
        <f>HYPERLINK("https://twitter.com/SukurWong","@SukurWong")</f>
        <v>@SukurWong</v>
      </c>
      <c r="C19989" s="8" t="s">
        <v>7715</v>
      </c>
      <c r="D19989" s="8">
        <v>91</v>
      </c>
      <c r="E19989" s="8">
        <v>0</v>
      </c>
      <c r="F19989" s="8">
        <v>196</v>
      </c>
    </row>
    <row r="19990" spans="1:6" ht="12.75">
      <c r="A19990" s="8">
        <v>43895.369062500002</v>
      </c>
      <c r="B19990" s="8" t="str">
        <f>HYPERLINK("https://twitter.com/icboemi","@icboemi")</f>
        <v>@icboemi</v>
      </c>
      <c r="C19990" s="8" t="s">
        <v>7473</v>
      </c>
      <c r="D19990" s="8">
        <v>270</v>
      </c>
      <c r="E19990" s="8">
        <v>0</v>
      </c>
      <c r="F19990" s="8">
        <v>349</v>
      </c>
    </row>
    <row r="19991" spans="1:6" ht="12.75">
      <c r="A19991" s="8">
        <v>43895.369050925925</v>
      </c>
      <c r="B19991" s="8" t="str">
        <f>HYPERLINK("https://twitter.com/panji_arsy","@panji_arsy")</f>
        <v>@panji_arsy</v>
      </c>
      <c r="C19991" s="8" t="s">
        <v>7809</v>
      </c>
      <c r="D19991" s="8">
        <v>18</v>
      </c>
      <c r="E19991" s="8">
        <v>0</v>
      </c>
      <c r="F19991" s="8">
        <v>42</v>
      </c>
    </row>
    <row r="19992" spans="1:6" ht="12.75">
      <c r="A19992" s="8">
        <v>43895.368761574078</v>
      </c>
      <c r="B19992" s="8" t="str">
        <f>HYPERLINK("https://twitter.com/LesmanaGagan","@LesmanaGagan")</f>
        <v>@LesmanaGagan</v>
      </c>
      <c r="C19992" s="8" t="s">
        <v>8205</v>
      </c>
      <c r="D19992" s="8">
        <v>1</v>
      </c>
      <c r="E19992" s="8">
        <v>1</v>
      </c>
      <c r="F19992" s="8">
        <v>9</v>
      </c>
    </row>
    <row r="19993" spans="1:6" ht="12.75">
      <c r="A19993" s="8">
        <v>43895.368622685186</v>
      </c>
      <c r="B19993" s="8" t="str">
        <f>HYPERLINK("https://twitter.com/naufar_yazid","@naufar_yazid")</f>
        <v>@naufar_yazid</v>
      </c>
      <c r="C19993" s="8" t="s">
        <v>7643</v>
      </c>
      <c r="D19993" s="8">
        <v>15</v>
      </c>
      <c r="E19993" s="8">
        <v>0</v>
      </c>
      <c r="F19993" s="8">
        <v>490</v>
      </c>
    </row>
    <row r="19994" spans="1:6" ht="12.75">
      <c r="A19994" s="8">
        <v>43895.368495370371</v>
      </c>
      <c r="B19994" s="8" t="str">
        <f>HYPERLINK("https://twitter.com/DARMOGATY","@DARMOGATY")</f>
        <v>@DARMOGATY</v>
      </c>
      <c r="C19994" s="8" t="s">
        <v>7969</v>
      </c>
      <c r="D19994" s="8">
        <v>71</v>
      </c>
      <c r="E19994" s="8">
        <v>0</v>
      </c>
      <c r="F19994" s="8">
        <v>1481</v>
      </c>
    </row>
    <row r="19995" spans="1:6" ht="12.75">
      <c r="A19995" s="8">
        <v>43895.368425925924</v>
      </c>
      <c r="B19995" s="8" t="str">
        <f>HYPERLINK("https://twitter.com/TeyengCekap","@TeyengCekap")</f>
        <v>@TeyengCekap</v>
      </c>
      <c r="C19995" s="8" t="s">
        <v>8190</v>
      </c>
      <c r="D19995" s="8">
        <v>286</v>
      </c>
      <c r="E19995" s="8">
        <v>0</v>
      </c>
      <c r="F19995" s="8">
        <v>5746</v>
      </c>
    </row>
    <row r="19996" spans="1:6" ht="12.75">
      <c r="A19996" s="8">
        <v>43895.368379629625</v>
      </c>
      <c r="B19996" s="8" t="str">
        <f>HYPERLINK("https://twitter.com/seruanhl","@seruanhl")</f>
        <v>@seruanhl</v>
      </c>
      <c r="C19996" s="8" t="s">
        <v>7473</v>
      </c>
      <c r="D19996" s="8">
        <v>270</v>
      </c>
      <c r="E19996" s="8">
        <v>0</v>
      </c>
      <c r="F19996" s="8">
        <v>13246</v>
      </c>
    </row>
    <row r="19997" spans="1:6" ht="12.75">
      <c r="A19997" s="8">
        <v>43895.367905092593</v>
      </c>
      <c r="B19997" s="8" t="str">
        <f>HYPERLINK("https://twitter.com/HPeridia","@HPeridia")</f>
        <v>@HPeridia</v>
      </c>
      <c r="C19997" s="8" t="s">
        <v>7362</v>
      </c>
      <c r="D19997" s="8">
        <v>3</v>
      </c>
      <c r="E19997" s="8">
        <v>0</v>
      </c>
      <c r="F19997" s="8">
        <v>665</v>
      </c>
    </row>
    <row r="19998" spans="1:6" ht="12.75">
      <c r="A19998" s="8">
        <v>43895.367881944447</v>
      </c>
      <c r="B19998" s="8" t="str">
        <f>HYPERLINK("https://twitter.com/mimiweeka","@mimiweeka")</f>
        <v>@mimiweeka</v>
      </c>
      <c r="C19998" s="8" t="s">
        <v>7362</v>
      </c>
      <c r="D19998" s="8">
        <v>3</v>
      </c>
      <c r="E19998" s="8">
        <v>0</v>
      </c>
      <c r="F19998" s="8">
        <v>456</v>
      </c>
    </row>
    <row r="19999" spans="1:6" ht="12.75">
      <c r="A19999" s="8">
        <v>43895.367835648147</v>
      </c>
      <c r="B19999" s="8" t="str">
        <f>HYPERLINK("https://twitter.com/NDwiandra","@NDwiandra")</f>
        <v>@NDwiandra</v>
      </c>
      <c r="C19999" s="8" t="s">
        <v>7809</v>
      </c>
      <c r="D19999" s="8">
        <v>18</v>
      </c>
      <c r="E19999" s="8">
        <v>0</v>
      </c>
      <c r="F19999" s="8">
        <v>1297</v>
      </c>
    </row>
    <row r="20000" spans="1:6" ht="12.75">
      <c r="A20000" s="8">
        <v>43895.367754629631</v>
      </c>
      <c r="B20000" s="8" t="str">
        <f>HYPERLINK("https://twitter.com/BrdKelima","@BrdKelima")</f>
        <v>@BrdKelima</v>
      </c>
      <c r="C20000" s="8" t="s">
        <v>8206</v>
      </c>
      <c r="D20000" s="8">
        <v>0</v>
      </c>
      <c r="E20000" s="8">
        <v>0</v>
      </c>
      <c r="F20000" s="8">
        <v>3744</v>
      </c>
    </row>
    <row r="20001" spans="1:6" ht="12.75">
      <c r="A20001" s="8">
        <v>43895.366736111115</v>
      </c>
      <c r="B20001" s="8" t="str">
        <f>HYPERLINK("https://twitter.com/isis_macedo10","@isis_macedo10")</f>
        <v>@isis_macedo10</v>
      </c>
      <c r="C20001" s="8" t="s">
        <v>8207</v>
      </c>
      <c r="D20001" s="8">
        <v>0</v>
      </c>
      <c r="E20001" s="8">
        <v>1</v>
      </c>
      <c r="F20001" s="8">
        <v>5313</v>
      </c>
    </row>
    <row r="20002" spans="1:6" ht="12.75">
      <c r="A20002" s="8">
        <v>43895.366724537038</v>
      </c>
      <c r="B20002" s="8" t="str">
        <f>HYPERLINK("https://twitter.com/fadjroeL","@fadjroeL")</f>
        <v>@fadjroeL</v>
      </c>
      <c r="C20002" s="8" t="s">
        <v>8208</v>
      </c>
      <c r="D20002" s="8">
        <v>3</v>
      </c>
      <c r="E20002" s="8">
        <v>15</v>
      </c>
      <c r="F20002" s="8">
        <v>996733</v>
      </c>
    </row>
    <row r="20003" spans="1:6" ht="12.75">
      <c r="A20003" s="8">
        <v>43895.366620370369</v>
      </c>
      <c r="B20003" s="8" t="str">
        <f>HYPERLINK("https://twitter.com/shereighties","@shereighties")</f>
        <v>@shereighties</v>
      </c>
      <c r="C20003" s="8" t="s">
        <v>6826</v>
      </c>
      <c r="D20003" s="8">
        <v>2</v>
      </c>
      <c r="E20003" s="8">
        <v>0</v>
      </c>
      <c r="F20003" s="8">
        <v>466</v>
      </c>
    </row>
    <row r="20004" spans="1:6" ht="12.75">
      <c r="A20004" s="8">
        <v>43895.366273148145</v>
      </c>
      <c r="B20004" s="8" t="str">
        <f>HYPERLINK("https://twitter.com/darumartbun","@darumartbun")</f>
        <v>@darumartbun</v>
      </c>
      <c r="C20004" s="8" t="s">
        <v>8209</v>
      </c>
      <c r="D20004" s="8">
        <v>0</v>
      </c>
      <c r="E20004" s="8">
        <v>0</v>
      </c>
      <c r="F20004" s="8">
        <v>17</v>
      </c>
    </row>
    <row r="20005" spans="1:6" ht="12.75">
      <c r="A20005" s="8">
        <v>43895.36618055556</v>
      </c>
      <c r="B20005" s="8" t="str">
        <f>HYPERLINK("https://twitter.com/B4T_Kemenperin","@B4T_Kemenperin")</f>
        <v>@B4T_Kemenperin</v>
      </c>
      <c r="C20005" s="8" t="s">
        <v>8210</v>
      </c>
      <c r="D20005" s="8">
        <v>6</v>
      </c>
      <c r="E20005" s="8">
        <v>0</v>
      </c>
      <c r="F20005" s="8">
        <v>800</v>
      </c>
    </row>
    <row r="20006" spans="1:6" ht="12.75">
      <c r="A20006" s="8">
        <v>43895.365243055552</v>
      </c>
      <c r="B20006" s="8" t="str">
        <f>HYPERLINK("https://twitter.com/Michlans","@Michlans")</f>
        <v>@Michlans</v>
      </c>
      <c r="C20006" s="8" t="s">
        <v>7809</v>
      </c>
      <c r="D20006" s="8">
        <v>18</v>
      </c>
      <c r="E20006" s="8">
        <v>0</v>
      </c>
      <c r="F20006" s="8">
        <v>194</v>
      </c>
    </row>
    <row r="20007" spans="1:6" ht="12.75">
      <c r="A20007" s="8">
        <v>43895.365046296298</v>
      </c>
      <c r="B20007" s="8" t="str">
        <f>HYPERLINK("https://twitter.com/bayufitriansyyh","@bayufitriansyyh")</f>
        <v>@bayufitriansyyh</v>
      </c>
      <c r="C20007" s="8" t="s">
        <v>7809</v>
      </c>
      <c r="D20007" s="8">
        <v>18</v>
      </c>
      <c r="E20007" s="8">
        <v>0</v>
      </c>
      <c r="F20007" s="8">
        <v>26</v>
      </c>
    </row>
    <row r="20008" spans="1:6" ht="12.75">
      <c r="A20008" s="8">
        <v>43895.364988425921</v>
      </c>
      <c r="B20008" s="8" t="str">
        <f>HYPERLINK("https://twitter.com/HPeridia","@HPeridia")</f>
        <v>@HPeridia</v>
      </c>
      <c r="C20008" s="8" t="s">
        <v>7862</v>
      </c>
      <c r="D20008" s="8">
        <v>31</v>
      </c>
      <c r="E20008" s="8">
        <v>0</v>
      </c>
      <c r="F20008" s="8">
        <v>665</v>
      </c>
    </row>
    <row r="20009" spans="1:6" ht="12.75">
      <c r="A20009" s="8">
        <v>43895.364293981482</v>
      </c>
      <c r="B20009" s="8" t="str">
        <f>HYPERLINK("https://twitter.com/naufalrfffff","@naufalrfffff")</f>
        <v>@naufalrfffff</v>
      </c>
      <c r="C20009" s="8" t="s">
        <v>7242</v>
      </c>
      <c r="D20009" s="8">
        <v>43</v>
      </c>
      <c r="E20009" s="8">
        <v>0</v>
      </c>
      <c r="F20009" s="8">
        <v>120</v>
      </c>
    </row>
    <row r="20010" spans="1:6" ht="12.75">
      <c r="A20010" s="8">
        <v>43895.364039351851</v>
      </c>
      <c r="B20010" s="8" t="str">
        <f>HYPERLINK("https://twitter.com/Semar_2","@Semar_2")</f>
        <v>@Semar_2</v>
      </c>
      <c r="C20010" s="8" t="s">
        <v>7242</v>
      </c>
      <c r="D20010" s="8">
        <v>43</v>
      </c>
      <c r="E20010" s="8">
        <v>0</v>
      </c>
      <c r="F20010" s="8">
        <v>217</v>
      </c>
    </row>
    <row r="20011" spans="1:6" ht="12.75">
      <c r="A20011" s="8">
        <v>43895.363935185189</v>
      </c>
      <c r="B20011" s="8" t="str">
        <f>HYPERLINK("https://twitter.com/RHNurcahyo","@RHNurcahyo")</f>
        <v>@RHNurcahyo</v>
      </c>
      <c r="C20011" s="8" t="s">
        <v>7473</v>
      </c>
      <c r="D20011" s="8">
        <v>270</v>
      </c>
      <c r="E20011" s="8">
        <v>0</v>
      </c>
      <c r="F20011" s="8">
        <v>466</v>
      </c>
    </row>
    <row r="20012" spans="1:6" ht="12.75">
      <c r="A20012" s="8">
        <v>43895.363935185189</v>
      </c>
      <c r="B20012" s="8" t="str">
        <f>HYPERLINK("https://twitter.com/minarwn711","@minarwn711")</f>
        <v>@minarwn711</v>
      </c>
      <c r="C20012" s="8" t="s">
        <v>8211</v>
      </c>
      <c r="D20012" s="8">
        <v>4</v>
      </c>
      <c r="E20012" s="8">
        <v>0</v>
      </c>
      <c r="F20012" s="8">
        <v>236</v>
      </c>
    </row>
    <row r="20013" spans="1:6" ht="12.75">
      <c r="A20013" s="8">
        <v>43895.363865740743</v>
      </c>
      <c r="B20013" s="8" t="str">
        <f>HYPERLINK("https://twitter.com/jesky88","@jesky88")</f>
        <v>@jesky88</v>
      </c>
      <c r="C20013" s="8" t="s">
        <v>7809</v>
      </c>
      <c r="D20013" s="8">
        <v>18</v>
      </c>
      <c r="E20013" s="8">
        <v>0</v>
      </c>
      <c r="F20013" s="8">
        <v>780</v>
      </c>
    </row>
    <row r="20014" spans="1:6" ht="12.75">
      <c r="A20014" s="8">
        <v>43895.363622685181</v>
      </c>
      <c r="B20014" s="8" t="str">
        <f>HYPERLINK("https://twitter.com/MJoeJoef1","@MJoeJoef1")</f>
        <v>@MJoeJoef1</v>
      </c>
      <c r="C20014" s="8" t="s">
        <v>2979</v>
      </c>
      <c r="D20014" s="8">
        <v>170</v>
      </c>
      <c r="E20014" s="8">
        <v>0</v>
      </c>
      <c r="F20014" s="8">
        <v>625</v>
      </c>
    </row>
    <row r="20015" spans="1:6" ht="12.75">
      <c r="A20015" s="8">
        <v>43895.363287037035</v>
      </c>
      <c r="B20015" s="8" t="str">
        <f>HYPERLINK("https://twitter.com/idanial","@idanial")</f>
        <v>@idanial</v>
      </c>
      <c r="C20015" s="8" t="s">
        <v>7809</v>
      </c>
      <c r="D20015" s="8">
        <v>18</v>
      </c>
      <c r="E20015" s="8">
        <v>0</v>
      </c>
      <c r="F20015" s="8">
        <v>302</v>
      </c>
    </row>
    <row r="20016" spans="1:6" ht="12.75">
      <c r="A20016" s="8">
        <v>43895.363078703704</v>
      </c>
      <c r="B20016" s="8" t="str">
        <f>HYPERLINK("https://twitter.com/KadrunJ","@KadrunJ")</f>
        <v>@KadrunJ</v>
      </c>
      <c r="C20016" s="8" t="s">
        <v>8115</v>
      </c>
      <c r="D20016" s="8">
        <v>238</v>
      </c>
      <c r="E20016" s="8">
        <v>0</v>
      </c>
      <c r="F20016" s="8">
        <v>1535</v>
      </c>
    </row>
    <row r="20017" spans="1:6" ht="12.75">
      <c r="A20017" s="8">
        <v>43895.361655092594</v>
      </c>
      <c r="B20017" s="8" t="str">
        <f>HYPERLINK("https://twitter.com/RahmanAkly","@RahmanAkly")</f>
        <v>@RahmanAkly</v>
      </c>
      <c r="C20017" s="8" t="s">
        <v>3285</v>
      </c>
      <c r="D20017" s="8">
        <v>127</v>
      </c>
      <c r="E20017" s="8">
        <v>0</v>
      </c>
      <c r="F20017" s="8">
        <v>483</v>
      </c>
    </row>
    <row r="20018" spans="1:6" ht="12.75">
      <c r="A20018" s="8">
        <v>43895.361539351856</v>
      </c>
      <c r="B20018" s="8" t="str">
        <f>HYPERLINK("https://twitter.com/dirty_harry67","@dirty_harry67")</f>
        <v>@dirty_harry67</v>
      </c>
      <c r="C20018" s="8" t="s">
        <v>7573</v>
      </c>
      <c r="D20018" s="8">
        <v>21</v>
      </c>
      <c r="E20018" s="8">
        <v>0</v>
      </c>
      <c r="F20018" s="8">
        <v>19</v>
      </c>
    </row>
    <row r="20019" spans="1:6" ht="12.75">
      <c r="A20019" s="8">
        <v>43895.361516203702</v>
      </c>
      <c r="B20019" s="8" t="str">
        <f>HYPERLINK("https://twitter.com/terapindo","@terapindo")</f>
        <v>@terapindo</v>
      </c>
      <c r="C20019" s="8" t="s">
        <v>7862</v>
      </c>
      <c r="D20019" s="8">
        <v>31</v>
      </c>
      <c r="E20019" s="8">
        <v>0</v>
      </c>
      <c r="F20019" s="8">
        <v>257</v>
      </c>
    </row>
    <row r="20020" spans="1:6" ht="12.75">
      <c r="A20020" s="8">
        <v>43895.36137731481</v>
      </c>
      <c r="B20020" s="8" t="str">
        <f>HYPERLINK("https://twitter.com/mikybilla","@mikybilla")</f>
        <v>@mikybilla</v>
      </c>
      <c r="C20020" s="8" t="s">
        <v>7809</v>
      </c>
      <c r="D20020" s="8">
        <v>18</v>
      </c>
      <c r="E20020" s="8">
        <v>0</v>
      </c>
      <c r="F20020" s="8">
        <v>134</v>
      </c>
    </row>
    <row r="20021" spans="1:6" ht="12.75">
      <c r="A20021" s="8">
        <v>43895.36137731481</v>
      </c>
      <c r="B20021" s="8" t="str">
        <f>HYPERLINK("https://twitter.com/Pujiawsss","@Pujiawsss")</f>
        <v>@Pujiawsss</v>
      </c>
      <c r="C20021" s="8" t="s">
        <v>7809</v>
      </c>
      <c r="D20021" s="8">
        <v>18</v>
      </c>
      <c r="E20021" s="8">
        <v>0</v>
      </c>
      <c r="F20021" s="8">
        <v>614</v>
      </c>
    </row>
    <row r="20022" spans="1:6" ht="12.75">
      <c r="A20022" s="8">
        <v>43895.361215277779</v>
      </c>
      <c r="B20022" s="8" t="str">
        <f>HYPERLINK("https://twitter.com/art4doo","@art4doo")</f>
        <v>@art4doo</v>
      </c>
      <c r="C20022" s="8" t="s">
        <v>8212</v>
      </c>
      <c r="D20022" s="8">
        <v>172</v>
      </c>
      <c r="E20022" s="8">
        <v>0</v>
      </c>
      <c r="F20022" s="8">
        <v>179</v>
      </c>
    </row>
    <row r="20023" spans="1:6" ht="12.75">
      <c r="A20023" s="8">
        <v>43895.361111111109</v>
      </c>
      <c r="B20023" s="8" t="str">
        <f>HYPERLINK("https://twitter.com/kompascom","@kompascom")</f>
        <v>@kompascom</v>
      </c>
      <c r="C20023" s="8" t="s">
        <v>8213</v>
      </c>
      <c r="D20023" s="8">
        <v>18</v>
      </c>
      <c r="E20023" s="8">
        <v>35</v>
      </c>
      <c r="F20023" s="8">
        <v>7529077</v>
      </c>
    </row>
    <row r="20024" spans="1:6" ht="12.75">
      <c r="A20024" s="8">
        <v>43895.33997685185</v>
      </c>
      <c r="B20024" s="8" t="str">
        <f>HYPERLINK("https://twitter.com/jktobservernews","@jktobservernews")</f>
        <v>@jktobservernews</v>
      </c>
      <c r="C20024" s="8" t="s">
        <v>8214</v>
      </c>
      <c r="D20024" s="8">
        <v>0</v>
      </c>
      <c r="E20024" s="8">
        <v>0</v>
      </c>
      <c r="F20024" s="8">
        <v>39</v>
      </c>
    </row>
    <row r="20025" spans="1:6" ht="12.75">
      <c r="A20025" s="8">
        <v>43895.339895833335</v>
      </c>
      <c r="B20025" s="8" t="str">
        <f>HYPERLINK("https://twitter.com/harun_rr","@harun_rr")</f>
        <v>@harun_rr</v>
      </c>
      <c r="C20025" s="8" t="s">
        <v>8215</v>
      </c>
      <c r="D20025" s="8">
        <v>0</v>
      </c>
      <c r="E20025" s="8">
        <v>0</v>
      </c>
      <c r="F20025" s="8">
        <v>421</v>
      </c>
    </row>
    <row r="20026" spans="1:6" ht="12.75">
      <c r="A20026" s="8">
        <v>43895.339467592596</v>
      </c>
      <c r="B20026" s="8" t="str">
        <f>HYPERLINK("https://twitter.com/Sendal_Jepit777","@Sendal_Jepit777")</f>
        <v>@Sendal_Jepit777</v>
      </c>
      <c r="C20026" s="8" t="s">
        <v>7715</v>
      </c>
      <c r="D20026" s="8">
        <v>84</v>
      </c>
      <c r="E20026" s="8">
        <v>0</v>
      </c>
      <c r="F20026" s="8">
        <v>1620</v>
      </c>
    </row>
    <row r="20027" spans="1:6" ht="12.75">
      <c r="A20027" s="8">
        <v>43895.339432870373</v>
      </c>
      <c r="B20027" s="8" t="str">
        <f>HYPERLINK("https://twitter.com/dewiirawan13","@dewiirawan13")</f>
        <v>@dewiirawan13</v>
      </c>
      <c r="C20027" s="8" t="s">
        <v>7862</v>
      </c>
      <c r="D20027" s="8">
        <v>29</v>
      </c>
      <c r="E20027" s="8">
        <v>0</v>
      </c>
      <c r="F20027" s="8">
        <v>11624</v>
      </c>
    </row>
    <row r="20028" spans="1:6" ht="12.75">
      <c r="A20028" s="8">
        <v>43895.339212962965</v>
      </c>
      <c r="B20028" s="8" t="str">
        <f>HYPERLINK("https://twitter.com/4mo_1_d3lf1n1","@4mo_1_d3lf1n1")</f>
        <v>@4mo_1_d3lf1n1</v>
      </c>
      <c r="C20028" s="8" t="s">
        <v>8216</v>
      </c>
      <c r="D20028" s="8">
        <v>0</v>
      </c>
      <c r="E20028" s="8">
        <v>0</v>
      </c>
      <c r="F20028" s="8">
        <v>1700</v>
      </c>
    </row>
    <row r="20029" spans="1:6" ht="12.75">
      <c r="A20029" s="8">
        <v>43895.339085648149</v>
      </c>
      <c r="B20029" s="8" t="str">
        <f>HYPERLINK("https://twitter.com/Daffamahendrar1","@Daffamahendrar1")</f>
        <v>@Daffamahendrar1</v>
      </c>
      <c r="C20029" s="8" t="s">
        <v>7738</v>
      </c>
      <c r="D20029" s="8">
        <v>34</v>
      </c>
      <c r="E20029" s="8">
        <v>0</v>
      </c>
      <c r="F20029" s="8">
        <v>2</v>
      </c>
    </row>
    <row r="20030" spans="1:6" ht="12.75">
      <c r="A20030" s="8">
        <v>43895.338900462964</v>
      </c>
      <c r="B20030" s="8" t="str">
        <f>HYPERLINK("https://twitter.com/setiawanh46","@setiawanh46")</f>
        <v>@setiawanh46</v>
      </c>
      <c r="C20030" s="8" t="s">
        <v>8066</v>
      </c>
      <c r="D20030" s="8">
        <v>86</v>
      </c>
      <c r="E20030" s="8">
        <v>0</v>
      </c>
      <c r="F20030" s="8">
        <v>1971</v>
      </c>
    </row>
    <row r="20031" spans="1:6" ht="12.75">
      <c r="A20031" s="8">
        <v>43895.33866898148</v>
      </c>
      <c r="B20031" s="8" t="str">
        <f>HYPERLINK("https://twitter.com/DickiAntrksa","@DickiAntrksa")</f>
        <v>@DickiAntrksa</v>
      </c>
      <c r="C20031" s="8" t="s">
        <v>8217</v>
      </c>
      <c r="D20031" s="8">
        <v>2</v>
      </c>
      <c r="E20031" s="8">
        <v>0</v>
      </c>
      <c r="F20031" s="8">
        <v>256</v>
      </c>
    </row>
    <row r="20032" spans="1:6" ht="12.75">
      <c r="A20032" s="8">
        <v>43895.338564814811</v>
      </c>
      <c r="B20032" s="8" t="str">
        <f>HYPERLINK("https://twitter.com/Triyuliantiii1","@Triyuliantiii1")</f>
        <v>@Triyuliantiii1</v>
      </c>
      <c r="C20032" s="8" t="s">
        <v>8218</v>
      </c>
      <c r="D20032" s="8">
        <v>3</v>
      </c>
      <c r="E20032" s="8">
        <v>0</v>
      </c>
      <c r="F20032" s="8">
        <v>98</v>
      </c>
    </row>
    <row r="20033" spans="1:6" ht="12.75">
      <c r="A20033" s="8">
        <v>43895.338541666672</v>
      </c>
      <c r="B20033" s="8" t="str">
        <f>HYPERLINK("https://twitter.com/Maryam59771644","@Maryam59771644")</f>
        <v>@Maryam59771644</v>
      </c>
      <c r="C20033" s="8" t="s">
        <v>8219</v>
      </c>
      <c r="D20033" s="8">
        <v>0</v>
      </c>
      <c r="E20033" s="8">
        <v>0</v>
      </c>
      <c r="F20033" s="8">
        <v>18</v>
      </c>
    </row>
    <row r="20034" spans="1:6" ht="12.75">
      <c r="A20034" s="8">
        <v>43895.33829861111</v>
      </c>
      <c r="B20034" s="8" t="str">
        <f>HYPERLINK("https://twitter.com/anaknya_","@anaknya_")</f>
        <v>@anaknya_</v>
      </c>
      <c r="C20034" s="8" t="s">
        <v>8220</v>
      </c>
      <c r="D20034" s="8">
        <v>0</v>
      </c>
      <c r="E20034" s="8">
        <v>0</v>
      </c>
      <c r="F20034" s="8">
        <v>2605</v>
      </c>
    </row>
    <row r="20035" spans="1:6" ht="12.75">
      <c r="A20035" s="8">
        <v>43895.337951388894</v>
      </c>
      <c r="B20035" s="8" t="str">
        <f>HYPERLINK("https://twitter.com/NinoGitar","@NinoGitar")</f>
        <v>@NinoGitar</v>
      </c>
      <c r="C20035" s="8" t="s">
        <v>7715</v>
      </c>
      <c r="D20035" s="8">
        <v>84</v>
      </c>
      <c r="E20035" s="8">
        <v>0</v>
      </c>
      <c r="F20035" s="8">
        <v>111</v>
      </c>
    </row>
    <row r="20036" spans="1:6" ht="12.75">
      <c r="A20036" s="8">
        <v>43895.337824074071</v>
      </c>
      <c r="B20036" s="8" t="str">
        <f>HYPERLINK("https://twitter.com/agama_nusantara","@agama_nusantara")</f>
        <v>@agama_nusantara</v>
      </c>
      <c r="C20036" s="8" t="s">
        <v>8221</v>
      </c>
      <c r="D20036" s="8">
        <v>0</v>
      </c>
      <c r="E20036" s="8">
        <v>0</v>
      </c>
      <c r="F20036" s="8">
        <v>7389</v>
      </c>
    </row>
    <row r="20037" spans="1:6" ht="12.75">
      <c r="A20037" s="8">
        <v>43895.337766203702</v>
      </c>
      <c r="B20037" s="8" t="str">
        <f>HYPERLINK("https://twitter.com/HR_jangkrik","@HR_jangkrik")</f>
        <v>@HR_jangkrik</v>
      </c>
      <c r="C20037" s="8" t="s">
        <v>3285</v>
      </c>
      <c r="D20037" s="8">
        <v>117</v>
      </c>
      <c r="E20037" s="8">
        <v>0</v>
      </c>
      <c r="F20037" s="8">
        <v>212</v>
      </c>
    </row>
    <row r="20038" spans="1:6" ht="12.75">
      <c r="A20038" s="8">
        <v>43895.337719907402</v>
      </c>
      <c r="B20038" s="8" t="str">
        <f>HYPERLINK("https://twitter.com/Sonyrmol21","@Sonyrmol21")</f>
        <v>@Sonyrmol21</v>
      </c>
      <c r="C20038" s="8" t="s">
        <v>7244</v>
      </c>
      <c r="D20038" s="8">
        <v>41</v>
      </c>
      <c r="E20038" s="8">
        <v>0</v>
      </c>
      <c r="F20038" s="8">
        <v>842</v>
      </c>
    </row>
    <row r="20039" spans="1:6" ht="12.75">
      <c r="A20039" s="8">
        <v>43895.337488425925</v>
      </c>
      <c r="B20039" s="8" t="str">
        <f>HYPERLINK("https://twitter.com/Sutrisn75924101","@Sutrisn75924101")</f>
        <v>@Sutrisn75924101</v>
      </c>
      <c r="C20039" s="8" t="s">
        <v>7473</v>
      </c>
      <c r="D20039" s="8">
        <v>248</v>
      </c>
      <c r="E20039" s="8">
        <v>0</v>
      </c>
      <c r="F20039" s="8">
        <v>465</v>
      </c>
    </row>
    <row r="20040" spans="1:6" ht="12.75">
      <c r="A20040" s="8">
        <v>43895.337361111116</v>
      </c>
      <c r="B20040" s="8" t="str">
        <f>HYPERLINK("https://twitter.com/pengembarasiang","@pengembarasiang")</f>
        <v>@pengembarasiang</v>
      </c>
      <c r="C20040" s="8" t="s">
        <v>3285</v>
      </c>
      <c r="D20040" s="8">
        <v>117</v>
      </c>
      <c r="E20040" s="8">
        <v>0</v>
      </c>
      <c r="F20040" s="8">
        <v>287</v>
      </c>
    </row>
    <row r="20041" spans="1:6" ht="12.75">
      <c r="A20041" s="8">
        <v>43895.337268518517</v>
      </c>
      <c r="B20041" s="8" t="str">
        <f>HYPERLINK("https://twitter.com/selli_rosalina","@selli_rosalina")</f>
        <v>@selli_rosalina</v>
      </c>
      <c r="C20041" s="8" t="s">
        <v>7242</v>
      </c>
      <c r="D20041" s="8">
        <v>27</v>
      </c>
      <c r="E20041" s="8">
        <v>0</v>
      </c>
      <c r="F20041" s="8">
        <v>859</v>
      </c>
    </row>
    <row r="20042" spans="1:6" ht="12.75">
      <c r="A20042" s="8">
        <v>43895.337071759262</v>
      </c>
      <c r="B20042" s="8" t="str">
        <f>HYPERLINK("https://twitter.com/hoppipluff","@hoppipluff")</f>
        <v>@hoppipluff</v>
      </c>
      <c r="C20042" s="8" t="s">
        <v>8222</v>
      </c>
      <c r="D20042" s="8">
        <v>0</v>
      </c>
      <c r="E20042" s="8">
        <v>0</v>
      </c>
      <c r="F20042" s="8">
        <v>1301</v>
      </c>
    </row>
    <row r="20043" spans="1:6" ht="12.75">
      <c r="A20043" s="8">
        <v>43895.33662037037</v>
      </c>
      <c r="B20043" s="8" t="str">
        <f>HYPERLINK("https://twitter.com/kicepkicep","@kicepkicep")</f>
        <v>@kicepkicep</v>
      </c>
      <c r="C20043" s="8" t="s">
        <v>7573</v>
      </c>
      <c r="D20043" s="8">
        <v>19</v>
      </c>
      <c r="E20043" s="8">
        <v>0</v>
      </c>
      <c r="F20043" s="8">
        <v>1250</v>
      </c>
    </row>
    <row r="20044" spans="1:6" ht="12.75">
      <c r="A20044" s="8">
        <v>43895.336550925931</v>
      </c>
      <c r="B20044" s="8" t="str">
        <f>HYPERLINK("https://twitter.com/AmstrongBiring","@AmstrongBiring")</f>
        <v>@AmstrongBiring</v>
      </c>
      <c r="C20044" s="8" t="s">
        <v>8223</v>
      </c>
      <c r="D20044" s="8">
        <v>3</v>
      </c>
      <c r="E20044" s="8">
        <v>0</v>
      </c>
      <c r="F20044" s="8">
        <v>1987</v>
      </c>
    </row>
    <row r="20045" spans="1:6" ht="12.75">
      <c r="A20045" s="8">
        <v>43895.3362962963</v>
      </c>
      <c r="B20045" s="8" t="str">
        <f>HYPERLINK("https://twitter.com/tentarakeraton","@tentarakeraton")</f>
        <v>@tentarakeraton</v>
      </c>
      <c r="C20045" s="8" t="s">
        <v>7473</v>
      </c>
      <c r="D20045" s="8">
        <v>248</v>
      </c>
      <c r="E20045" s="8">
        <v>0</v>
      </c>
      <c r="F20045" s="8">
        <v>262</v>
      </c>
    </row>
    <row r="20046" spans="1:6" ht="12.75">
      <c r="A20046" s="8">
        <v>43895.335972222223</v>
      </c>
      <c r="B20046" s="8" t="str">
        <f>HYPERLINK("https://twitter.com/paapiyo1","@paapiyo1")</f>
        <v>@paapiyo1</v>
      </c>
      <c r="C20046" s="8" t="s">
        <v>7244</v>
      </c>
      <c r="D20046" s="8">
        <v>41</v>
      </c>
      <c r="E20046" s="8">
        <v>0</v>
      </c>
      <c r="F20046" s="8">
        <v>299</v>
      </c>
    </row>
    <row r="20047" spans="1:6" ht="12.75">
      <c r="A20047" s="8">
        <v>43895.335960648154</v>
      </c>
      <c r="B20047" s="8" t="str">
        <f>HYPERLINK("https://twitter.com/gitgith_","@gitgith_")</f>
        <v>@gitgith_</v>
      </c>
      <c r="C20047" s="8" t="s">
        <v>8224</v>
      </c>
      <c r="D20047" s="8">
        <v>0</v>
      </c>
      <c r="E20047" s="8">
        <v>0</v>
      </c>
      <c r="F20047" s="8">
        <v>220</v>
      </c>
    </row>
    <row r="20048" spans="1:6" ht="12.75">
      <c r="A20048" s="8">
        <v>43895.335613425923</v>
      </c>
      <c r="B20048" s="8" t="str">
        <f>HYPERLINK("https://twitter.com/taraalfanisa","@taraalfanisa")</f>
        <v>@taraalfanisa</v>
      </c>
      <c r="C20048" s="8" t="s">
        <v>2962</v>
      </c>
      <c r="D20048" s="8">
        <v>5668</v>
      </c>
      <c r="E20048" s="8">
        <v>0</v>
      </c>
      <c r="F20048" s="8">
        <v>449</v>
      </c>
    </row>
    <row r="20049" spans="1:6" ht="12.75">
      <c r="A20049" s="8">
        <v>43895.33525462963</v>
      </c>
      <c r="B20049" s="8" t="str">
        <f>HYPERLINK("https://twitter.com/Rayvita","@Rayvita")</f>
        <v>@Rayvita</v>
      </c>
      <c r="C20049" s="8" t="s">
        <v>8225</v>
      </c>
      <c r="D20049" s="8">
        <v>9</v>
      </c>
      <c r="E20049" s="8">
        <v>0</v>
      </c>
      <c r="F20049" s="8">
        <v>336</v>
      </c>
    </row>
    <row r="20050" spans="1:6" ht="12.75">
      <c r="A20050" s="8">
        <v>43895.335104166668</v>
      </c>
      <c r="B20050" s="8" t="str">
        <f>HYPERLINK("https://twitter.com/anton_bangka","@anton_bangka")</f>
        <v>@anton_bangka</v>
      </c>
      <c r="C20050" s="8" t="s">
        <v>2979</v>
      </c>
      <c r="D20050" s="8">
        <v>163</v>
      </c>
      <c r="E20050" s="8">
        <v>0</v>
      </c>
      <c r="F20050" s="8">
        <v>769</v>
      </c>
    </row>
    <row r="20051" spans="1:6" ht="12.75">
      <c r="A20051" s="8">
        <v>43895.334780092591</v>
      </c>
      <c r="B20051" s="8" t="str">
        <f>HYPERLINK("https://twitter.com/INOENK_ROUF","@INOENK_ROUF")</f>
        <v>@INOENK_ROUF</v>
      </c>
      <c r="C20051" s="8" t="s">
        <v>8226</v>
      </c>
      <c r="D20051" s="8">
        <v>0</v>
      </c>
      <c r="E20051" s="8">
        <v>0</v>
      </c>
      <c r="F20051" s="8">
        <v>9</v>
      </c>
    </row>
    <row r="20052" spans="1:6" ht="12.75">
      <c r="A20052" s="8">
        <v>43895.334652777776</v>
      </c>
      <c r="B20052" s="8" t="str">
        <f>HYPERLINK("https://twitter.com/Heri_aja","@Heri_aja")</f>
        <v>@Heri_aja</v>
      </c>
      <c r="C20052" s="8" t="s">
        <v>3285</v>
      </c>
      <c r="D20052" s="8">
        <v>117</v>
      </c>
      <c r="E20052" s="8">
        <v>0</v>
      </c>
      <c r="F20052" s="8">
        <v>1942</v>
      </c>
    </row>
    <row r="20053" spans="1:6" ht="12.75">
      <c r="A20053" s="8">
        <v>43895.334502314814</v>
      </c>
      <c r="B20053" s="8" t="str">
        <f>HYPERLINK("https://twitter.com/AaDenGun","@AaDenGun")</f>
        <v>@AaDenGun</v>
      </c>
      <c r="C20053" s="8" t="s">
        <v>8227</v>
      </c>
      <c r="D20053" s="8">
        <v>0</v>
      </c>
      <c r="E20053" s="8">
        <v>0</v>
      </c>
      <c r="F20053" s="8">
        <v>822</v>
      </c>
    </row>
    <row r="20054" spans="1:6" ht="12.75">
      <c r="A20054" s="8">
        <v>43895.334340277783</v>
      </c>
      <c r="B20054" s="8" t="str">
        <f>HYPERLINK("https://twitter.com/EddyPrabowo","@EddyPrabowo")</f>
        <v>@EddyPrabowo</v>
      </c>
      <c r="C20054" s="8" t="s">
        <v>7242</v>
      </c>
      <c r="D20054" s="8">
        <v>27</v>
      </c>
      <c r="E20054" s="8">
        <v>0</v>
      </c>
      <c r="F20054" s="8">
        <v>249</v>
      </c>
    </row>
    <row r="20055" spans="1:6" ht="12.75">
      <c r="A20055" s="8">
        <v>43895.33430555556</v>
      </c>
      <c r="B20055" s="8" t="str">
        <f>HYPERLINK("https://twitter.com/ghosty491","@ghosty491")</f>
        <v>@ghosty491</v>
      </c>
      <c r="C20055" s="8" t="s">
        <v>7862</v>
      </c>
      <c r="D20055" s="8">
        <v>29</v>
      </c>
      <c r="E20055" s="8">
        <v>0</v>
      </c>
      <c r="F20055" s="8">
        <v>124</v>
      </c>
    </row>
    <row r="20056" spans="1:6" ht="12.75">
      <c r="A20056" s="8">
        <v>43895.333344907413</v>
      </c>
      <c r="B20056" s="8" t="str">
        <f>HYPERLINK("https://twitter.com/cia_abdul","@cia_abdul")</f>
        <v>@cia_abdul</v>
      </c>
      <c r="C20056" s="8" t="s">
        <v>7715</v>
      </c>
      <c r="D20056" s="8">
        <v>84</v>
      </c>
      <c r="E20056" s="8">
        <v>0</v>
      </c>
      <c r="F20056" s="8">
        <v>1455</v>
      </c>
    </row>
    <row r="20057" spans="1:6" ht="12.75">
      <c r="A20057" s="8">
        <v>43895.333344907413</v>
      </c>
      <c r="B20057" s="8" t="str">
        <f>HYPERLINK("https://twitter.com/AgusprayMako","@AgusprayMako")</f>
        <v>@AgusprayMako</v>
      </c>
      <c r="C20057" s="8" t="s">
        <v>7715</v>
      </c>
      <c r="D20057" s="8">
        <v>84</v>
      </c>
      <c r="E20057" s="8">
        <v>0</v>
      </c>
      <c r="F20057" s="8">
        <v>270</v>
      </c>
    </row>
    <row r="20058" spans="1:6" ht="12.75">
      <c r="A20058" s="8">
        <v>43895.333240740743</v>
      </c>
      <c r="B20058" s="8" t="str">
        <f>HYPERLINK("https://twitter.com/nawarinauy","@nawarinauy")</f>
        <v>@nawarinauy</v>
      </c>
      <c r="C20058" s="8" t="s">
        <v>2979</v>
      </c>
      <c r="D20058" s="8">
        <v>163</v>
      </c>
      <c r="E20058" s="8">
        <v>0</v>
      </c>
      <c r="F20058" s="8">
        <v>153</v>
      </c>
    </row>
    <row r="20059" spans="1:6" ht="12.75">
      <c r="A20059" s="8">
        <v>43895.332615740743</v>
      </c>
      <c r="B20059" s="8" t="str">
        <f>HYPERLINK("https://twitter.com/NJunawar","@NJunawar")</f>
        <v>@NJunawar</v>
      </c>
      <c r="C20059" s="8" t="s">
        <v>8228</v>
      </c>
      <c r="D20059" s="8">
        <v>6</v>
      </c>
      <c r="E20059" s="8">
        <v>0</v>
      </c>
      <c r="F20059" s="8">
        <v>60</v>
      </c>
    </row>
    <row r="20060" spans="1:6" ht="12.75">
      <c r="A20060" s="8">
        <v>43895.332106481481</v>
      </c>
      <c r="B20060" s="8" t="str">
        <f>HYPERLINK("https://twitter.com/agaleamote","@agaleamote")</f>
        <v>@agaleamote</v>
      </c>
      <c r="C20060" s="8" t="s">
        <v>7738</v>
      </c>
      <c r="D20060" s="8">
        <v>34</v>
      </c>
      <c r="E20060" s="8">
        <v>0</v>
      </c>
      <c r="F20060" s="8">
        <v>91</v>
      </c>
    </row>
    <row r="20061" spans="1:6" ht="12.75">
      <c r="A20061" s="8">
        <v>43895.332094907411</v>
      </c>
      <c r="B20061" s="8" t="str">
        <f>HYPERLINK("https://twitter.com/zainal78142749","@zainal78142749")</f>
        <v>@zainal78142749</v>
      </c>
      <c r="C20061" s="8" t="s">
        <v>8229</v>
      </c>
      <c r="D20061" s="8">
        <v>6</v>
      </c>
      <c r="E20061" s="8">
        <v>0</v>
      </c>
      <c r="F20061" s="8">
        <v>415</v>
      </c>
    </row>
    <row r="20062" spans="1:6" ht="12.75">
      <c r="A20062" s="8">
        <v>43895.331805555557</v>
      </c>
      <c r="B20062" s="8" t="str">
        <f>HYPERLINK("https://twitter.com/karolvslvangga","@karolvslvangga")</f>
        <v>@karolvslvangga</v>
      </c>
      <c r="C20062" s="8" t="s">
        <v>7473</v>
      </c>
      <c r="D20062" s="8">
        <v>248</v>
      </c>
      <c r="E20062" s="8">
        <v>0</v>
      </c>
      <c r="F20062" s="8">
        <v>237</v>
      </c>
    </row>
    <row r="20063" spans="1:6" ht="12.75">
      <c r="A20063" s="8">
        <v>43895.331377314811</v>
      </c>
      <c r="B20063" s="8" t="str">
        <f>HYPERLINK("https://twitter.com/55kaying","@55kaying")</f>
        <v>@55kaying</v>
      </c>
      <c r="C20063" s="8" t="s">
        <v>2979</v>
      </c>
      <c r="D20063" s="8">
        <v>163</v>
      </c>
      <c r="E20063" s="8">
        <v>0</v>
      </c>
      <c r="F20063" s="8">
        <v>309</v>
      </c>
    </row>
    <row r="20064" spans="1:6" ht="12.75">
      <c r="A20064" s="8">
        <v>43895.331203703703</v>
      </c>
      <c r="B20064" s="8" t="str">
        <f>HYPERLINK("https://twitter.com/DavidRuslie8","@DavidRuslie8")</f>
        <v>@DavidRuslie8</v>
      </c>
      <c r="C20064" s="8" t="s">
        <v>7242</v>
      </c>
      <c r="D20064" s="8">
        <v>27</v>
      </c>
      <c r="E20064" s="8">
        <v>0</v>
      </c>
      <c r="F20064" s="8">
        <v>932</v>
      </c>
    </row>
    <row r="20065" spans="1:6" ht="12.75">
      <c r="A20065" s="8">
        <v>43895.331134259264</v>
      </c>
      <c r="B20065" s="8" t="str">
        <f>HYPERLINK("https://twitter.com/lambert_kota","@lambert_kota")</f>
        <v>@lambert_kota</v>
      </c>
      <c r="C20065" s="8" t="s">
        <v>7969</v>
      </c>
      <c r="D20065" s="8">
        <v>69</v>
      </c>
      <c r="E20065" s="8">
        <v>0</v>
      </c>
      <c r="F20065" s="8">
        <v>705</v>
      </c>
    </row>
    <row r="20066" spans="1:6" ht="12.75">
      <c r="A20066" s="8">
        <v>43895.331041666665</v>
      </c>
      <c r="B20066" s="8" t="str">
        <f>HYPERLINK("https://twitter.com/budhartono","@budhartono")</f>
        <v>@budhartono</v>
      </c>
      <c r="C20066" s="8" t="s">
        <v>8230</v>
      </c>
      <c r="D20066" s="8">
        <v>99</v>
      </c>
      <c r="E20066" s="8">
        <v>0</v>
      </c>
      <c r="F20066" s="8">
        <v>550</v>
      </c>
    </row>
    <row r="20067" spans="1:6" ht="12.75">
      <c r="A20067" s="8">
        <v>43895.330937499995</v>
      </c>
      <c r="B20067" s="8" t="str">
        <f>HYPERLINK("https://twitter.com/setiawanh46","@setiawanh46")</f>
        <v>@setiawanh46</v>
      </c>
      <c r="C20067" s="8" t="s">
        <v>3285</v>
      </c>
      <c r="D20067" s="8">
        <v>117</v>
      </c>
      <c r="E20067" s="8">
        <v>0</v>
      </c>
      <c r="F20067" s="8">
        <v>1971</v>
      </c>
    </row>
    <row r="20068" spans="1:6" ht="12.75">
      <c r="A20068" s="8">
        <v>43895.330879629633</v>
      </c>
      <c r="B20068" s="8" t="str">
        <f t="shared" ref="B20068:B20069" si="295">HYPERLINK("https://twitter.com/lambert_kota","@lambert_kota")</f>
        <v>@lambert_kota</v>
      </c>
      <c r="C20068" s="8" t="s">
        <v>7473</v>
      </c>
      <c r="D20068" s="8">
        <v>248</v>
      </c>
      <c r="E20068" s="8">
        <v>0</v>
      </c>
      <c r="F20068" s="8">
        <v>705</v>
      </c>
    </row>
    <row r="20069" spans="1:6" ht="12.75">
      <c r="A20069" s="8">
        <v>43895.330648148149</v>
      </c>
      <c r="B20069" s="8" t="str">
        <f t="shared" si="295"/>
        <v>@lambert_kota</v>
      </c>
      <c r="C20069" s="8" t="s">
        <v>2979</v>
      </c>
      <c r="D20069" s="8">
        <v>163</v>
      </c>
      <c r="E20069" s="8">
        <v>0</v>
      </c>
      <c r="F20069" s="8">
        <v>705</v>
      </c>
    </row>
    <row r="20070" spans="1:6" ht="12.75">
      <c r="A20070" s="8">
        <v>43895.330312499995</v>
      </c>
      <c r="B20070" s="8" t="str">
        <f>HYPERLINK("https://twitter.com/YolaEL_MINORI","@YolaEL_MINORI")</f>
        <v>@YolaEL_MINORI</v>
      </c>
      <c r="C20070" s="8" t="s">
        <v>8115</v>
      </c>
      <c r="D20070" s="8">
        <v>234</v>
      </c>
      <c r="E20070" s="8">
        <v>0</v>
      </c>
      <c r="F20070" s="8">
        <v>60</v>
      </c>
    </row>
    <row r="20071" spans="1:6" ht="12.75">
      <c r="A20071" s="8">
        <v>43895.329745370371</v>
      </c>
      <c r="B20071" s="8" t="str">
        <f>HYPERLINK("https://twitter.com/andyhartono_","@andyhartono_")</f>
        <v>@andyhartono_</v>
      </c>
      <c r="C20071" s="8" t="s">
        <v>7242</v>
      </c>
      <c r="D20071" s="8">
        <v>27</v>
      </c>
      <c r="E20071" s="8">
        <v>0</v>
      </c>
      <c r="F20071" s="8">
        <v>493</v>
      </c>
    </row>
    <row r="20072" spans="1:6" ht="12.75">
      <c r="A20072" s="8">
        <v>43895.32947916667</v>
      </c>
      <c r="B20072" s="8" t="str">
        <f>HYPERLINK("https://twitter.com/antaranews","@antaranews")</f>
        <v>@antaranews</v>
      </c>
      <c r="C20072" s="8" t="s">
        <v>8231</v>
      </c>
      <c r="D20072" s="8">
        <v>1</v>
      </c>
      <c r="E20072" s="8">
        <v>0</v>
      </c>
      <c r="F20072" s="8">
        <v>1106534</v>
      </c>
    </row>
    <row r="20073" spans="1:6" ht="12.75">
      <c r="A20073" s="8">
        <v>43895.329351851848</v>
      </c>
      <c r="B20073" s="8" t="str">
        <f>HYPERLINK("https://twitter.com/sipooer","@sipooer")</f>
        <v>@sipooer</v>
      </c>
      <c r="C20073" s="8" t="s">
        <v>7473</v>
      </c>
      <c r="D20073" s="8">
        <v>248</v>
      </c>
      <c r="E20073" s="8">
        <v>0</v>
      </c>
      <c r="F20073" s="8">
        <v>152</v>
      </c>
    </row>
    <row r="20074" spans="1:6" ht="12.75">
      <c r="A20074" s="8">
        <v>43895.329259259262</v>
      </c>
      <c r="B20074" s="8" t="str">
        <f>HYPERLINK("https://twitter.com/naval_tedy","@naval_tedy")</f>
        <v>@naval_tedy</v>
      </c>
      <c r="C20074" s="8" t="s">
        <v>7573</v>
      </c>
      <c r="D20074" s="8">
        <v>19</v>
      </c>
      <c r="E20074" s="8">
        <v>0</v>
      </c>
      <c r="F20074" s="8">
        <v>157</v>
      </c>
    </row>
    <row r="20075" spans="1:6" ht="12.75">
      <c r="A20075" s="8">
        <v>43895.328900462962</v>
      </c>
      <c r="B20075" s="8" t="str">
        <f>HYPERLINK("https://twitter.com/imnotapizza","@imnotapizza")</f>
        <v>@imnotapizza</v>
      </c>
      <c r="C20075" s="8" t="s">
        <v>7692</v>
      </c>
      <c r="D20075" s="8">
        <v>7</v>
      </c>
      <c r="E20075" s="8">
        <v>0</v>
      </c>
      <c r="F20075" s="8">
        <v>2443</v>
      </c>
    </row>
    <row r="20076" spans="1:6" ht="12.75">
      <c r="A20076" s="8">
        <v>43895.32885416667</v>
      </c>
      <c r="B20076" s="8" t="str">
        <f>HYPERLINK("https://twitter.com/dhammaratano","@dhammaratano")</f>
        <v>@dhammaratano</v>
      </c>
      <c r="C20076" s="8" t="s">
        <v>8229</v>
      </c>
      <c r="D20076" s="8">
        <v>6</v>
      </c>
      <c r="E20076" s="8">
        <v>0</v>
      </c>
      <c r="F20076" s="8">
        <v>666</v>
      </c>
    </row>
    <row r="20077" spans="1:6" ht="12.75">
      <c r="A20077" s="8">
        <v>43895.328784722224</v>
      </c>
      <c r="B20077" s="8" t="str">
        <f>HYPERLINK("https://twitter.com/mannisaan","@mannisaan")</f>
        <v>@mannisaan</v>
      </c>
      <c r="C20077" s="8" t="s">
        <v>8232</v>
      </c>
      <c r="D20077" s="8">
        <v>1</v>
      </c>
      <c r="E20077" s="8">
        <v>0</v>
      </c>
      <c r="F20077" s="8">
        <v>1311</v>
      </c>
    </row>
    <row r="20078" spans="1:6" ht="12.75">
      <c r="A20078" s="8">
        <v>43895.328564814816</v>
      </c>
      <c r="B20078" s="8" t="str">
        <f>HYPERLINK("https://twitter.com/8_fero_8","@8_fero_8")</f>
        <v>@8_fero_8</v>
      </c>
      <c r="C20078" s="8" t="s">
        <v>8229</v>
      </c>
      <c r="D20078" s="8">
        <v>6</v>
      </c>
      <c r="E20078" s="8">
        <v>0</v>
      </c>
      <c r="F20078" s="8">
        <v>1938</v>
      </c>
    </row>
    <row r="20079" spans="1:6" ht="12.75">
      <c r="A20079" s="8">
        <v>43895.328506944439</v>
      </c>
      <c r="B20079" s="8" t="str">
        <f>HYPERLINK("https://twitter.com/mediaindonesia","@mediaindonesia")</f>
        <v>@mediaindonesia</v>
      </c>
      <c r="C20079" s="8" t="s">
        <v>8233</v>
      </c>
      <c r="D20079" s="8">
        <v>0</v>
      </c>
      <c r="E20079" s="8">
        <v>1</v>
      </c>
      <c r="F20079" s="8">
        <v>1420260</v>
      </c>
    </row>
    <row r="20080" spans="1:6" ht="12.75">
      <c r="A20080" s="8">
        <v>43895.328206018516</v>
      </c>
      <c r="B20080" s="8" t="str">
        <f>HYPERLINK("https://twitter.com/Santiira2","@Santiira2")</f>
        <v>@Santiira2</v>
      </c>
      <c r="C20080" s="8" t="s">
        <v>8234</v>
      </c>
      <c r="D20080" s="8">
        <v>0</v>
      </c>
      <c r="E20080" s="8">
        <v>0</v>
      </c>
      <c r="F20080" s="8">
        <v>355</v>
      </c>
    </row>
    <row r="20081" spans="1:6" ht="12.75">
      <c r="A20081" s="8">
        <v>43895.328125</v>
      </c>
      <c r="B20081" s="8" t="str">
        <f>HYPERLINK("https://twitter.com/TravelJunkieID","@TravelJunkieID")</f>
        <v>@TravelJunkieID</v>
      </c>
      <c r="C20081" s="8" t="s">
        <v>8235</v>
      </c>
      <c r="D20081" s="8">
        <v>0</v>
      </c>
      <c r="E20081" s="8">
        <v>0</v>
      </c>
      <c r="F20081" s="8">
        <v>20131</v>
      </c>
    </row>
    <row r="20082" spans="1:6" ht="12.75">
      <c r="A20082" s="8">
        <v>43895.328101851846</v>
      </c>
      <c r="B20082" s="8" t="str">
        <f>HYPERLINK("https://twitter.com/Zubex11","@Zubex11")</f>
        <v>@Zubex11</v>
      </c>
      <c r="C20082" s="8" t="s">
        <v>8066</v>
      </c>
      <c r="D20082" s="8">
        <v>86</v>
      </c>
      <c r="E20082" s="8">
        <v>0</v>
      </c>
      <c r="F20082" s="8">
        <v>162</v>
      </c>
    </row>
    <row r="20083" spans="1:6" ht="12.75">
      <c r="A20083" s="8">
        <v>43895.328043981484</v>
      </c>
      <c r="B20083" s="8" t="str">
        <f>HYPERLINK("https://twitter.com/FransiscaKwee","@FransiscaKwee")</f>
        <v>@FransiscaKwee</v>
      </c>
      <c r="C20083" s="8" t="s">
        <v>3285</v>
      </c>
      <c r="D20083" s="8">
        <v>117</v>
      </c>
      <c r="E20083" s="8">
        <v>0</v>
      </c>
      <c r="F20083" s="8">
        <v>165</v>
      </c>
    </row>
    <row r="20084" spans="1:6" ht="12.75">
      <c r="A20084" s="8">
        <v>43895.327824074076</v>
      </c>
      <c r="B20084" s="8" t="str">
        <f>HYPERLINK("https://twitter.com/bintang_girsang","@bintang_girsang")</f>
        <v>@bintang_girsang</v>
      </c>
      <c r="C20084" s="8" t="s">
        <v>8236</v>
      </c>
      <c r="D20084" s="8">
        <v>8</v>
      </c>
      <c r="E20084" s="8">
        <v>0</v>
      </c>
      <c r="F20084" s="8">
        <v>194</v>
      </c>
    </row>
    <row r="20085" spans="1:6" ht="12.75">
      <c r="A20085" s="8">
        <v>43895.327800925923</v>
      </c>
      <c r="B20085" s="8" t="str">
        <f>HYPERLINK("https://twitter.com/mediaindonesia","@mediaindonesia")</f>
        <v>@mediaindonesia</v>
      </c>
      <c r="C20085" s="8" t="s">
        <v>8233</v>
      </c>
      <c r="D20085" s="8">
        <v>0</v>
      </c>
      <c r="E20085" s="8">
        <v>1</v>
      </c>
      <c r="F20085" s="8">
        <v>1420260</v>
      </c>
    </row>
    <row r="20086" spans="1:6" ht="12.75">
      <c r="A20086" s="8">
        <v>43895.327731481477</v>
      </c>
      <c r="B20086" s="8" t="str">
        <f>HYPERLINK("https://twitter.com/FransiscaKwee","@FransiscaKwee")</f>
        <v>@FransiscaKwee</v>
      </c>
      <c r="C20086" s="8" t="s">
        <v>7738</v>
      </c>
      <c r="D20086" s="8">
        <v>34</v>
      </c>
      <c r="E20086" s="8">
        <v>0</v>
      </c>
      <c r="F20086" s="8">
        <v>165</v>
      </c>
    </row>
    <row r="20087" spans="1:6" ht="12.75">
      <c r="A20087" s="8">
        <v>43895.327650462961</v>
      </c>
      <c r="B20087" s="8" t="str">
        <f>HYPERLINK("https://twitter.com/AulindaFara","@AulindaFara")</f>
        <v>@AulindaFara</v>
      </c>
      <c r="C20087" s="8" t="s">
        <v>7242</v>
      </c>
      <c r="D20087" s="8">
        <v>27</v>
      </c>
      <c r="E20087" s="8">
        <v>0</v>
      </c>
      <c r="F20087" s="8">
        <v>228</v>
      </c>
    </row>
    <row r="20088" spans="1:6" ht="12.75">
      <c r="A20088" s="8">
        <v>43895.32744212963</v>
      </c>
      <c r="B20088" s="8" t="str">
        <f>HYPERLINK("https://twitter.com/Santiira2","@Santiira2")</f>
        <v>@Santiira2</v>
      </c>
      <c r="C20088" s="8" t="s">
        <v>8237</v>
      </c>
      <c r="D20088" s="8">
        <v>0</v>
      </c>
      <c r="E20088" s="8">
        <v>0</v>
      </c>
      <c r="F20088" s="8">
        <v>355</v>
      </c>
    </row>
    <row r="20089" spans="1:6" ht="12.75">
      <c r="A20089" s="8">
        <v>43895.327326388884</v>
      </c>
      <c r="B20089" s="8" t="str">
        <f>HYPERLINK("https://twitter.com/hgberry","@hgberry")</f>
        <v>@hgberry</v>
      </c>
      <c r="C20089" s="8" t="s">
        <v>7242</v>
      </c>
      <c r="D20089" s="8">
        <v>27</v>
      </c>
      <c r="E20089" s="8">
        <v>0</v>
      </c>
      <c r="F20089" s="8">
        <v>1651</v>
      </c>
    </row>
    <row r="20090" spans="1:6" ht="12.75">
      <c r="A20090" s="8">
        <v>43895.327245370368</v>
      </c>
      <c r="B20090" s="8" t="str">
        <f>HYPERLINK("https://twitter.com/kenthonyy","@kenthonyy")</f>
        <v>@kenthonyy</v>
      </c>
      <c r="C20090" s="8" t="s">
        <v>8238</v>
      </c>
      <c r="D20090" s="8">
        <v>0</v>
      </c>
      <c r="E20090" s="8">
        <v>0</v>
      </c>
      <c r="F20090" s="8">
        <v>276</v>
      </c>
    </row>
    <row r="20091" spans="1:6" ht="12.75">
      <c r="A20091" s="8">
        <v>43895.327002314814</v>
      </c>
      <c r="B20091" s="8" t="str">
        <f>HYPERLINK("https://twitter.com/damianusdalita6","@damianusdalita6")</f>
        <v>@damianusdalita6</v>
      </c>
      <c r="C20091" s="8" t="s">
        <v>8229</v>
      </c>
      <c r="D20091" s="8">
        <v>6</v>
      </c>
      <c r="E20091" s="8">
        <v>0</v>
      </c>
      <c r="F20091" s="8">
        <v>2426</v>
      </c>
    </row>
    <row r="20092" spans="1:6" ht="12.75">
      <c r="A20092" s="8">
        <v>43895.326967592591</v>
      </c>
      <c r="B20092" s="8" t="str">
        <f>HYPERLINK("https://twitter.com/3kingd0m","@3kingd0m")</f>
        <v>@3kingd0m</v>
      </c>
      <c r="C20092" s="8" t="s">
        <v>8229</v>
      </c>
      <c r="D20092" s="8">
        <v>6</v>
      </c>
      <c r="E20092" s="8">
        <v>0</v>
      </c>
      <c r="F20092" s="8">
        <v>554</v>
      </c>
    </row>
    <row r="20093" spans="1:6" ht="12.75">
      <c r="A20093" s="8">
        <v>43895.326851851853</v>
      </c>
      <c r="B20093" s="8" t="str">
        <f>HYPERLINK("https://twitter.com/sipooer","@sipooer")</f>
        <v>@sipooer</v>
      </c>
      <c r="C20093" s="8" t="s">
        <v>7242</v>
      </c>
      <c r="D20093" s="8">
        <v>27</v>
      </c>
      <c r="E20093" s="8">
        <v>0</v>
      </c>
      <c r="F20093" s="8">
        <v>152</v>
      </c>
    </row>
    <row r="20094" spans="1:6" ht="12.75">
      <c r="A20094" s="8">
        <v>43895.326331018514</v>
      </c>
      <c r="B20094" s="8" t="str">
        <f>HYPERLINK("https://twitter.com/cadarmerah","@cadarmerah")</f>
        <v>@cadarmerah</v>
      </c>
      <c r="C20094" s="8" t="s">
        <v>8236</v>
      </c>
      <c r="D20094" s="8">
        <v>8</v>
      </c>
      <c r="E20094" s="8">
        <v>0</v>
      </c>
      <c r="F20094" s="8">
        <v>5664</v>
      </c>
    </row>
    <row r="20095" spans="1:6" ht="12.75">
      <c r="A20095" s="8">
        <v>43895.326307870375</v>
      </c>
      <c r="B20095" s="8" t="str">
        <f>HYPERLINK("https://twitter.com/iinhani","@iinhani")</f>
        <v>@iinhani</v>
      </c>
      <c r="C20095" s="8" t="s">
        <v>7242</v>
      </c>
      <c r="D20095" s="8">
        <v>27</v>
      </c>
      <c r="E20095" s="8">
        <v>0</v>
      </c>
      <c r="F20095" s="8">
        <v>199</v>
      </c>
    </row>
    <row r="20096" spans="1:6" ht="12.75">
      <c r="A20096" s="8">
        <v>43895.325613425928</v>
      </c>
      <c r="B20096" s="8" t="str">
        <f>HYPERLINK("https://twitter.com/mhafil","@mhafil")</f>
        <v>@mhafil</v>
      </c>
      <c r="C20096" s="8" t="s">
        <v>7848</v>
      </c>
      <c r="D20096" s="8">
        <v>57</v>
      </c>
      <c r="E20096" s="8">
        <v>0</v>
      </c>
      <c r="F20096" s="8">
        <v>264</v>
      </c>
    </row>
    <row r="20097" spans="1:6" ht="12.75">
      <c r="A20097" s="8">
        <v>43895.325601851851</v>
      </c>
      <c r="B20097" s="8" t="str">
        <f>HYPERLINK("https://twitter.com/im_sulchan","@im_sulchan")</f>
        <v>@im_sulchan</v>
      </c>
      <c r="C20097" s="8" t="s">
        <v>8239</v>
      </c>
      <c r="D20097" s="8">
        <v>0</v>
      </c>
      <c r="E20097" s="8">
        <v>0</v>
      </c>
      <c r="F20097" s="8">
        <v>403</v>
      </c>
    </row>
    <row r="20098" spans="1:6" ht="12.75">
      <c r="A20098" s="8">
        <v>43895.325312500005</v>
      </c>
      <c r="B20098" s="8" t="str">
        <f>HYPERLINK("https://twitter.com/Imanakh","@Imanakh")</f>
        <v>@Imanakh</v>
      </c>
      <c r="C20098" s="8" t="s">
        <v>8240</v>
      </c>
      <c r="D20098" s="8">
        <v>0</v>
      </c>
      <c r="E20098" s="8">
        <v>0</v>
      </c>
      <c r="F20098" s="8">
        <v>90</v>
      </c>
    </row>
    <row r="20099" spans="1:6" ht="12.75">
      <c r="A20099" s="8">
        <v>43895.325266203705</v>
      </c>
      <c r="B20099" s="8" t="str">
        <f>HYPERLINK("https://twitter.com/sugaalamzir","@sugaalamzir")</f>
        <v>@sugaalamzir</v>
      </c>
      <c r="C20099" s="8" t="s">
        <v>7969</v>
      </c>
      <c r="D20099" s="8">
        <v>69</v>
      </c>
      <c r="E20099" s="8">
        <v>0</v>
      </c>
      <c r="F20099" s="8">
        <v>369</v>
      </c>
    </row>
    <row r="20100" spans="1:6" ht="12.75">
      <c r="A20100" s="8">
        <v>43895.32512731482</v>
      </c>
      <c r="B20100" s="8" t="str">
        <f>HYPERLINK("https://twitter.com/55kaying","@55kaying")</f>
        <v>@55kaying</v>
      </c>
      <c r="C20100" s="8" t="s">
        <v>7473</v>
      </c>
      <c r="D20100" s="8">
        <v>248</v>
      </c>
      <c r="E20100" s="8">
        <v>0</v>
      </c>
      <c r="F20100" s="8">
        <v>309</v>
      </c>
    </row>
    <row r="20101" spans="1:6" ht="12.75">
      <c r="A20101" s="8">
        <v>43895.324988425928</v>
      </c>
      <c r="B20101" s="8" t="str">
        <f>HYPERLINK("https://twitter.com/SamuelSuhardi1","@SamuelSuhardi1")</f>
        <v>@SamuelSuhardi1</v>
      </c>
      <c r="C20101" s="8" t="s">
        <v>3285</v>
      </c>
      <c r="D20101" s="8">
        <v>117</v>
      </c>
      <c r="E20101" s="8">
        <v>0</v>
      </c>
      <c r="F20101" s="8">
        <v>86</v>
      </c>
    </row>
    <row r="20102" spans="1:6" ht="12.75">
      <c r="A20102" s="8">
        <v>43895.324918981481</v>
      </c>
      <c r="B20102" s="8" t="str">
        <f>HYPERLINK("https://twitter.com/muktiadi1","@muktiadi1")</f>
        <v>@muktiadi1</v>
      </c>
      <c r="C20102" s="8" t="s">
        <v>8229</v>
      </c>
      <c r="D20102" s="8">
        <v>6</v>
      </c>
      <c r="E20102" s="8">
        <v>0</v>
      </c>
      <c r="F20102" s="8">
        <v>1256</v>
      </c>
    </row>
    <row r="20103" spans="1:6" ht="12.75">
      <c r="A20103" s="8">
        <v>43895.324282407411</v>
      </c>
      <c r="B20103" s="8" t="str">
        <f>HYPERLINK("https://twitter.com/barep05","@barep05")</f>
        <v>@barep05</v>
      </c>
      <c r="C20103" s="8" t="s">
        <v>3285</v>
      </c>
      <c r="D20103" s="8">
        <v>117</v>
      </c>
      <c r="E20103" s="8">
        <v>0</v>
      </c>
      <c r="F20103" s="8">
        <v>539</v>
      </c>
    </row>
    <row r="20104" spans="1:6" ht="12.75">
      <c r="A20104" s="8">
        <v>43895.324189814812</v>
      </c>
      <c r="B20104" s="8" t="str">
        <f>HYPERLINK("https://twitter.com/AchmadyaniAy70","@AchmadyaniAy70")</f>
        <v>@AchmadyaniAy70</v>
      </c>
      <c r="C20104" s="8" t="s">
        <v>7715</v>
      </c>
      <c r="D20104" s="8">
        <v>84</v>
      </c>
      <c r="E20104" s="8">
        <v>0</v>
      </c>
      <c r="F20104" s="8">
        <v>4290</v>
      </c>
    </row>
    <row r="20105" spans="1:6" ht="12.75">
      <c r="A20105" s="8">
        <v>43895.323854166665</v>
      </c>
      <c r="B20105" s="8" t="str">
        <f>HYPERLINK("https://twitter.com/purnomo_jati1","@purnomo_jati1")</f>
        <v>@purnomo_jati1</v>
      </c>
      <c r="C20105" s="8" t="s">
        <v>8241</v>
      </c>
      <c r="D20105" s="8">
        <v>0</v>
      </c>
      <c r="E20105" s="8">
        <v>0</v>
      </c>
      <c r="F20105" s="8">
        <v>335</v>
      </c>
    </row>
    <row r="20106" spans="1:6" ht="12.75">
      <c r="A20106" s="8">
        <v>43895.323784722219</v>
      </c>
      <c r="B20106" s="8" t="str">
        <f>HYPERLINK("https://twitter.com/muh_utomo","@muh_utomo")</f>
        <v>@muh_utomo</v>
      </c>
      <c r="C20106" s="8" t="s">
        <v>2979</v>
      </c>
      <c r="D20106" s="8">
        <v>163</v>
      </c>
      <c r="E20106" s="8">
        <v>0</v>
      </c>
      <c r="F20106" s="8">
        <v>303</v>
      </c>
    </row>
    <row r="20107" spans="1:6" ht="12.75">
      <c r="A20107" s="8">
        <v>43895.323726851857</v>
      </c>
      <c r="B20107" s="8" t="str">
        <f>HYPERLINK("https://twitter.com/ngonlain","@ngonlain")</f>
        <v>@ngonlain</v>
      </c>
      <c r="C20107" s="8" t="s">
        <v>3285</v>
      </c>
      <c r="D20107" s="8">
        <v>117</v>
      </c>
      <c r="E20107" s="8">
        <v>0</v>
      </c>
      <c r="F20107" s="8">
        <v>2640</v>
      </c>
    </row>
    <row r="20108" spans="1:6" ht="12.75">
      <c r="A20108" s="8">
        <v>43895.323715277773</v>
      </c>
      <c r="B20108" s="8" t="str">
        <f>HYPERLINK("https://twitter.com/jisatu01","@jisatu01")</f>
        <v>@jisatu01</v>
      </c>
      <c r="C20108" s="8" t="s">
        <v>7987</v>
      </c>
      <c r="D20108" s="8">
        <v>34</v>
      </c>
      <c r="E20108" s="8">
        <v>0</v>
      </c>
      <c r="F20108" s="8">
        <v>6437</v>
      </c>
    </row>
    <row r="20109" spans="1:6" ht="12.75">
      <c r="A20109" s="8">
        <v>43895.323611111111</v>
      </c>
      <c r="B20109" s="8" t="str">
        <f>HYPERLINK("https://twitter.com/inyongmanise","@inyongmanise")</f>
        <v>@inyongmanise</v>
      </c>
      <c r="C20109" s="8" t="s">
        <v>8242</v>
      </c>
      <c r="D20109" s="8">
        <v>6</v>
      </c>
      <c r="E20109" s="8">
        <v>3</v>
      </c>
      <c r="F20109" s="8">
        <v>10251</v>
      </c>
    </row>
    <row r="20110" spans="1:6" ht="12.75">
      <c r="A20110" s="8">
        <v>43895.323449074072</v>
      </c>
      <c r="B20110" s="8" t="str">
        <f>HYPERLINK("https://twitter.com/Heri_aja","@Heri_aja")</f>
        <v>@Heri_aja</v>
      </c>
      <c r="C20110" s="8" t="s">
        <v>2979</v>
      </c>
      <c r="D20110" s="8">
        <v>163</v>
      </c>
      <c r="E20110" s="8">
        <v>0</v>
      </c>
      <c r="F20110" s="8">
        <v>1942</v>
      </c>
    </row>
    <row r="20111" spans="1:6" ht="12.75">
      <c r="A20111" s="8">
        <v>43895.323206018518</v>
      </c>
      <c r="B20111" s="8" t="str">
        <f>HYPERLINK("https://twitter.com/lagingebadut","@lagingebadut")</f>
        <v>@lagingebadut</v>
      </c>
      <c r="C20111" s="8" t="s">
        <v>8243</v>
      </c>
      <c r="D20111" s="8">
        <v>0</v>
      </c>
      <c r="E20111" s="8">
        <v>0</v>
      </c>
      <c r="F20111" s="8">
        <v>71</v>
      </c>
    </row>
    <row r="20112" spans="1:6" ht="12.75">
      <c r="A20112" s="8">
        <v>43895.322627314818</v>
      </c>
      <c r="B20112" s="8" t="str">
        <f>HYPERLINK("https://twitter.com/AndreBellixto","@AndreBellixto")</f>
        <v>@AndreBellixto</v>
      </c>
      <c r="C20112" s="8" t="s">
        <v>3285</v>
      </c>
      <c r="D20112" s="8">
        <v>117</v>
      </c>
      <c r="E20112" s="8">
        <v>0</v>
      </c>
      <c r="F20112" s="8">
        <v>104</v>
      </c>
    </row>
    <row r="20113" spans="1:6" ht="12.75">
      <c r="A20113" s="8">
        <v>43895.322523148148</v>
      </c>
      <c r="B20113" s="8" t="str">
        <f>HYPERLINK("https://twitter.com/fasyam7","@fasyam7")</f>
        <v>@fasyam7</v>
      </c>
      <c r="C20113" s="8" t="s">
        <v>8078</v>
      </c>
      <c r="D20113" s="8">
        <v>47</v>
      </c>
      <c r="E20113" s="8">
        <v>0</v>
      </c>
      <c r="F20113" s="8">
        <v>766</v>
      </c>
    </row>
    <row r="20114" spans="1:6" ht="12.75">
      <c r="A20114" s="8">
        <v>43895.322384259256</v>
      </c>
      <c r="B20114" s="8" t="str">
        <f>HYPERLINK("https://twitter.com/abebgs","@abebgs")</f>
        <v>@abebgs</v>
      </c>
      <c r="C20114" s="8" t="s">
        <v>7242</v>
      </c>
      <c r="D20114" s="8">
        <v>27</v>
      </c>
      <c r="E20114" s="8">
        <v>0</v>
      </c>
      <c r="F20114" s="8">
        <v>181</v>
      </c>
    </row>
    <row r="20115" spans="1:6" ht="12.75">
      <c r="A20115" s="8">
        <v>43895.322175925925</v>
      </c>
      <c r="B20115" s="8" t="str">
        <f>HYPERLINK("https://twitter.com/bpriady","@bpriady")</f>
        <v>@bpriady</v>
      </c>
      <c r="C20115" s="8" t="s">
        <v>7242</v>
      </c>
      <c r="D20115" s="8">
        <v>27</v>
      </c>
      <c r="E20115" s="8">
        <v>0</v>
      </c>
      <c r="F20115" s="8">
        <v>608</v>
      </c>
    </row>
    <row r="20116" spans="1:6" ht="12.75">
      <c r="A20116" s="8">
        <v>43895.321446759262</v>
      </c>
      <c r="B20116" s="8" t="str">
        <f>HYPERLINK("https://twitter.com/BadjaNuswantara","@BadjaNuswantara")</f>
        <v>@BadjaNuswantara</v>
      </c>
      <c r="C20116" s="8" t="s">
        <v>7848</v>
      </c>
      <c r="D20116" s="8">
        <v>57</v>
      </c>
      <c r="E20116" s="8">
        <v>0</v>
      </c>
      <c r="F20116" s="8">
        <v>43833</v>
      </c>
    </row>
    <row r="20117" spans="1:6" ht="12.75">
      <c r="A20117" s="8">
        <v>43895.321354166663</v>
      </c>
      <c r="B20117" s="8" t="str">
        <f>HYPERLINK("https://twitter.com/arjunoize","@arjunoize")</f>
        <v>@arjunoize</v>
      </c>
      <c r="C20117" s="8" t="s">
        <v>8212</v>
      </c>
      <c r="D20117" s="8">
        <v>171</v>
      </c>
      <c r="E20117" s="8">
        <v>0</v>
      </c>
      <c r="F20117" s="8">
        <v>94</v>
      </c>
    </row>
    <row r="20118" spans="1:6" ht="12.75">
      <c r="A20118" s="8">
        <v>43895.32094907407</v>
      </c>
      <c r="B20118" s="8" t="str">
        <f>HYPERLINK("https://twitter.com/elkrova","@elkrova")</f>
        <v>@elkrova</v>
      </c>
      <c r="C20118" s="8" t="s">
        <v>8244</v>
      </c>
      <c r="D20118" s="8">
        <v>0</v>
      </c>
      <c r="E20118" s="8">
        <v>0</v>
      </c>
      <c r="F20118" s="8">
        <v>10926</v>
      </c>
    </row>
    <row r="20119" spans="1:6" ht="12.75">
      <c r="A20119" s="8">
        <v>43895.32094907407</v>
      </c>
      <c r="B20119" s="8" t="str">
        <f>HYPERLINK("https://twitter.com/straykidssun","@straykidssun")</f>
        <v>@straykidssun</v>
      </c>
      <c r="C20119" s="8" t="s">
        <v>8245</v>
      </c>
      <c r="D20119" s="8">
        <v>0</v>
      </c>
      <c r="E20119" s="8">
        <v>0</v>
      </c>
      <c r="F20119" s="8">
        <v>1155</v>
      </c>
    </row>
    <row r="20120" spans="1:6" ht="12.75">
      <c r="A20120" s="8">
        <v>43895.320879629631</v>
      </c>
      <c r="B20120" s="8" t="str">
        <f>HYPERLINK("https://twitter.com/arthasenna","@arthasenna")</f>
        <v>@arthasenna</v>
      </c>
      <c r="C20120" s="8" t="s">
        <v>8212</v>
      </c>
      <c r="D20120" s="8">
        <v>171</v>
      </c>
      <c r="E20120" s="8">
        <v>0</v>
      </c>
      <c r="F20120" s="8">
        <v>236</v>
      </c>
    </row>
    <row r="20121" spans="1:6" ht="12.75">
      <c r="A20121" s="8">
        <v>43895.320405092592</v>
      </c>
      <c r="B20121" s="8" t="str">
        <f>HYPERLINK("https://twitter.com/elkrova","@elkrova")</f>
        <v>@elkrova</v>
      </c>
      <c r="C20121" s="8" t="s">
        <v>8246</v>
      </c>
      <c r="D20121" s="8">
        <v>0</v>
      </c>
      <c r="E20121" s="8">
        <v>0</v>
      </c>
      <c r="F20121" s="8">
        <v>10926</v>
      </c>
    </row>
    <row r="20122" spans="1:6" ht="12.75">
      <c r="A20122" s="8">
        <v>43895.320208333331</v>
      </c>
      <c r="B20122" s="8" t="str">
        <f>HYPERLINK("https://twitter.com/jamilalimuddin","@jamilalimuddin")</f>
        <v>@jamilalimuddin</v>
      </c>
      <c r="C20122" s="8" t="s">
        <v>8247</v>
      </c>
      <c r="D20122" s="8">
        <v>0</v>
      </c>
      <c r="E20122" s="8">
        <v>0</v>
      </c>
      <c r="F20122" s="8">
        <v>1004</v>
      </c>
    </row>
    <row r="20123" spans="1:6" ht="12.75">
      <c r="A20123" s="8">
        <v>43895.319699074069</v>
      </c>
      <c r="B20123" s="8" t="str">
        <f>HYPERLINK("https://twitter.com/oppie30560071","@oppie30560071")</f>
        <v>@oppie30560071</v>
      </c>
      <c r="C20123" s="8" t="s">
        <v>7473</v>
      </c>
      <c r="D20123" s="8">
        <v>248</v>
      </c>
      <c r="E20123" s="8">
        <v>0</v>
      </c>
      <c r="F20123" s="8">
        <v>352</v>
      </c>
    </row>
    <row r="20124" spans="1:6" ht="12.75">
      <c r="A20124" s="8">
        <v>43895.298379629632</v>
      </c>
      <c r="B20124" s="8" t="str">
        <f>HYPERLINK("https://twitter.com/skullcool_id","@skullcool_id")</f>
        <v>@skullcool_id</v>
      </c>
      <c r="C20124" s="8" t="s">
        <v>8248</v>
      </c>
      <c r="D20124" s="8">
        <v>0</v>
      </c>
      <c r="E20124" s="8">
        <v>0</v>
      </c>
      <c r="F20124" s="8">
        <v>29916</v>
      </c>
    </row>
    <row r="20125" spans="1:6" ht="12.75">
      <c r="A20125" s="8">
        <v>43895.298310185186</v>
      </c>
      <c r="B20125" s="8" t="str">
        <f>HYPERLINK("https://twitter.com/Pithenk1","@Pithenk1")</f>
        <v>@Pithenk1</v>
      </c>
      <c r="C20125" s="8" t="s">
        <v>8249</v>
      </c>
      <c r="D20125" s="8">
        <v>0</v>
      </c>
      <c r="E20125" s="8">
        <v>0</v>
      </c>
      <c r="F20125" s="8">
        <v>44</v>
      </c>
    </row>
    <row r="20126" spans="1:6" ht="12.75">
      <c r="A20126" s="8">
        <v>43895.29792824074</v>
      </c>
      <c r="B20126" s="8" t="str">
        <f>HYPERLINK("https://twitter.com/ArzanHan","@ArzanHan")</f>
        <v>@ArzanHan</v>
      </c>
      <c r="C20126" s="8" t="s">
        <v>8250</v>
      </c>
      <c r="D20126" s="8">
        <v>0</v>
      </c>
      <c r="E20126" s="8">
        <v>0</v>
      </c>
      <c r="F20126" s="8">
        <v>337</v>
      </c>
    </row>
    <row r="20127" spans="1:6" ht="12.75">
      <c r="A20127" s="8">
        <v>43895.297696759255</v>
      </c>
      <c r="B20127" s="8" t="str">
        <f>HYPERLINK("https://twitter.com/FarelmaxL","@FarelmaxL")</f>
        <v>@FarelmaxL</v>
      </c>
      <c r="C20127" s="8" t="s">
        <v>7194</v>
      </c>
      <c r="D20127" s="8">
        <v>30</v>
      </c>
      <c r="E20127" s="8">
        <v>0</v>
      </c>
      <c r="F20127" s="8">
        <v>1414</v>
      </c>
    </row>
    <row r="20128" spans="1:6" ht="12.75">
      <c r="A20128" s="8">
        <v>43895.297569444447</v>
      </c>
      <c r="B20128" s="8" t="str">
        <f>HYPERLINK("https://twitter.com/jpranotoM","@jpranotoM")</f>
        <v>@jpranotoM</v>
      </c>
      <c r="C20128" s="8" t="s">
        <v>8251</v>
      </c>
      <c r="D20128" s="8">
        <v>0</v>
      </c>
      <c r="E20128" s="8">
        <v>0</v>
      </c>
      <c r="F20128" s="8">
        <v>20</v>
      </c>
    </row>
    <row r="20129" spans="1:6" ht="12.75">
      <c r="A20129" s="8">
        <v>43895.297118055554</v>
      </c>
      <c r="B20129" s="8" t="str">
        <f>HYPERLINK("https://twitter.com/hkushardanto","@hkushardanto")</f>
        <v>@hkushardanto</v>
      </c>
      <c r="C20129" s="8" t="s">
        <v>7848</v>
      </c>
      <c r="D20129" s="8">
        <v>55</v>
      </c>
      <c r="E20129" s="8">
        <v>0</v>
      </c>
      <c r="F20129" s="8">
        <v>474</v>
      </c>
    </row>
    <row r="20130" spans="1:6" ht="12.75">
      <c r="A20130" s="8">
        <v>43895.297048611115</v>
      </c>
      <c r="B20130" s="8" t="str">
        <f>HYPERLINK("https://twitter.com/Adhi_Djo","@Adhi_Djo")</f>
        <v>@Adhi_Djo</v>
      </c>
      <c r="C20130" s="8" t="s">
        <v>7473</v>
      </c>
      <c r="D20130" s="8">
        <v>227</v>
      </c>
      <c r="E20130" s="8">
        <v>0</v>
      </c>
      <c r="F20130" s="8">
        <v>392</v>
      </c>
    </row>
    <row r="20131" spans="1:6" ht="12.75">
      <c r="A20131" s="8">
        <v>43895.296423611115</v>
      </c>
      <c r="B20131" s="8" t="str">
        <f>HYPERLINK("https://twitter.com/ArzanHan","@ArzanHan")</f>
        <v>@ArzanHan</v>
      </c>
      <c r="C20131" s="8" t="s">
        <v>8234</v>
      </c>
      <c r="D20131" s="8">
        <v>0</v>
      </c>
      <c r="E20131" s="8">
        <v>0</v>
      </c>
      <c r="F20131" s="8">
        <v>337</v>
      </c>
    </row>
    <row r="20132" spans="1:6" ht="12.75">
      <c r="A20132" s="8">
        <v>43895.295694444445</v>
      </c>
      <c r="B20132" s="8" t="str">
        <f>HYPERLINK("https://twitter.com/damario04","@damario04")</f>
        <v>@damario04</v>
      </c>
      <c r="C20132" s="8" t="s">
        <v>166</v>
      </c>
      <c r="D20132" s="8">
        <v>0</v>
      </c>
      <c r="E20132" s="8">
        <v>0</v>
      </c>
      <c r="F20132" s="8">
        <v>403</v>
      </c>
    </row>
    <row r="20133" spans="1:6" ht="12.75">
      <c r="A20133" s="8">
        <v>43895.295486111107</v>
      </c>
      <c r="B20133" s="8" t="str">
        <f>HYPERLINK("https://twitter.com/dianbejo1","@dianbejo1")</f>
        <v>@dianbejo1</v>
      </c>
      <c r="C20133" s="8" t="s">
        <v>7573</v>
      </c>
      <c r="D20133" s="8">
        <v>16</v>
      </c>
      <c r="E20133" s="8">
        <v>0</v>
      </c>
      <c r="F20133" s="8">
        <v>593</v>
      </c>
    </row>
    <row r="20134" spans="1:6" ht="12.75">
      <c r="A20134" s="8">
        <v>43895.295405092591</v>
      </c>
      <c r="B20134" s="8" t="str">
        <f>HYPERLINK("https://twitter.com/ArzanHan","@ArzanHan")</f>
        <v>@ArzanHan</v>
      </c>
      <c r="C20134" s="8" t="s">
        <v>8252</v>
      </c>
      <c r="D20134" s="8">
        <v>0</v>
      </c>
      <c r="E20134" s="8">
        <v>0</v>
      </c>
      <c r="F20134" s="8">
        <v>337</v>
      </c>
    </row>
    <row r="20135" spans="1:6" ht="12.75">
      <c r="A20135" s="8">
        <v>43895.295092592598</v>
      </c>
      <c r="B20135" s="8" t="str">
        <f>HYPERLINK("https://twitter.com/dags784","@dags784")</f>
        <v>@dags784</v>
      </c>
      <c r="C20135" s="8" t="s">
        <v>8236</v>
      </c>
      <c r="D20135" s="8">
        <v>6</v>
      </c>
      <c r="E20135" s="8">
        <v>0</v>
      </c>
      <c r="F20135" s="8">
        <v>8</v>
      </c>
    </row>
    <row r="20136" spans="1:6" ht="12.75">
      <c r="A20136" s="8">
        <v>43895.294803240744</v>
      </c>
      <c r="B20136" s="8" t="str">
        <f>HYPERLINK("https://twitter.com/bangkitriambada","@bangkitriambada")</f>
        <v>@bangkitriambada</v>
      </c>
      <c r="C20136" s="8" t="s">
        <v>8253</v>
      </c>
      <c r="D20136" s="8">
        <v>1</v>
      </c>
      <c r="E20136" s="8">
        <v>0</v>
      </c>
      <c r="F20136" s="8">
        <v>207</v>
      </c>
    </row>
    <row r="20137" spans="1:6" ht="12.75">
      <c r="A20137" s="8">
        <v>43895.294687500005</v>
      </c>
      <c r="B20137" s="8" t="str">
        <f>HYPERLINK("https://twitter.com/ryanxyz","@ryanxyz")</f>
        <v>@ryanxyz</v>
      </c>
      <c r="C20137" s="8" t="s">
        <v>7473</v>
      </c>
      <c r="D20137" s="8">
        <v>227</v>
      </c>
      <c r="E20137" s="8">
        <v>0</v>
      </c>
      <c r="F20137" s="8">
        <v>1213</v>
      </c>
    </row>
    <row r="20138" spans="1:6" ht="12.75">
      <c r="A20138" s="8">
        <v>43895.294259259259</v>
      </c>
      <c r="B20138" s="8" t="str">
        <f>HYPERLINK("https://twitter.com/Adriant80949009","@Adriant80949009")</f>
        <v>@Adriant80949009</v>
      </c>
      <c r="C20138" s="8" t="s">
        <v>7473</v>
      </c>
      <c r="D20138" s="8">
        <v>227</v>
      </c>
      <c r="E20138" s="8">
        <v>0</v>
      </c>
      <c r="F20138" s="8">
        <v>83</v>
      </c>
    </row>
    <row r="20139" spans="1:6" ht="12.75">
      <c r="A20139" s="8">
        <v>43895.293923611112</v>
      </c>
      <c r="B20139" s="8" t="str">
        <f>HYPERLINK("https://twitter.com/koran_rakcer","@koran_rakcer")</f>
        <v>@koran_rakcer</v>
      </c>
      <c r="C20139" s="8" t="s">
        <v>8254</v>
      </c>
      <c r="D20139" s="8">
        <v>0</v>
      </c>
      <c r="E20139" s="8">
        <v>0</v>
      </c>
      <c r="F20139" s="8">
        <v>667</v>
      </c>
    </row>
    <row r="20140" spans="1:6" ht="12.75">
      <c r="A20140" s="8">
        <v>43895.293819444443</v>
      </c>
      <c r="B20140" s="8" t="str">
        <f>HYPERLINK("https://twitter.com/DeHoutman7","@DeHoutman7")</f>
        <v>@DeHoutman7</v>
      </c>
      <c r="C20140" s="8" t="s">
        <v>3285</v>
      </c>
      <c r="D20140" s="8">
        <v>105</v>
      </c>
      <c r="E20140" s="8">
        <v>0</v>
      </c>
      <c r="F20140" s="8">
        <v>4573</v>
      </c>
    </row>
    <row r="20141" spans="1:6" ht="12.75">
      <c r="A20141" s="8">
        <v>43895.29378472222</v>
      </c>
      <c r="B20141" s="8" t="str">
        <f>HYPERLINK("https://twitter.com/Bisniscom","@Bisniscom")</f>
        <v>@Bisniscom</v>
      </c>
      <c r="C20141" s="8" t="s">
        <v>8255</v>
      </c>
      <c r="D20141" s="8">
        <v>1</v>
      </c>
      <c r="E20141" s="8">
        <v>0</v>
      </c>
      <c r="F20141" s="8">
        <v>994102</v>
      </c>
    </row>
    <row r="20142" spans="1:6" ht="12.75">
      <c r="A20142" s="8">
        <v>43895.29378472222</v>
      </c>
      <c r="B20142" s="8" t="str">
        <f>HYPERLINK("https://twitter.com/bisnisindgroup","@bisnisindgroup")</f>
        <v>@bisnisindgroup</v>
      </c>
      <c r="C20142" s="8" t="s">
        <v>8255</v>
      </c>
      <c r="D20142" s="8">
        <v>0</v>
      </c>
      <c r="E20142" s="8">
        <v>0</v>
      </c>
      <c r="F20142" s="8">
        <v>7380</v>
      </c>
    </row>
    <row r="20143" spans="1:6" ht="12.75">
      <c r="A20143" s="8">
        <v>43895.293564814812</v>
      </c>
      <c r="B20143" s="8" t="str">
        <f>HYPERLINK("https://twitter.com/NinaVertina","@NinaVertina")</f>
        <v>@NinaVertina</v>
      </c>
      <c r="C20143" s="8" t="s">
        <v>3285</v>
      </c>
      <c r="D20143" s="8">
        <v>105</v>
      </c>
      <c r="E20143" s="8">
        <v>0</v>
      </c>
      <c r="F20143" s="8">
        <v>1764</v>
      </c>
    </row>
    <row r="20144" spans="1:6" ht="12.75">
      <c r="A20144" s="8">
        <v>43895.29351851852</v>
      </c>
      <c r="B20144" s="8" t="str">
        <f>HYPERLINK("https://twitter.com/kuskopex","@kuskopex")</f>
        <v>@kuskopex</v>
      </c>
      <c r="C20144" s="8" t="s">
        <v>6832</v>
      </c>
      <c r="D20144" s="8">
        <v>1061</v>
      </c>
      <c r="E20144" s="8">
        <v>0</v>
      </c>
      <c r="F20144" s="8">
        <v>58</v>
      </c>
    </row>
    <row r="20145" spans="1:6" ht="12.75">
      <c r="A20145" s="8">
        <v>43895.293275462958</v>
      </c>
      <c r="B20145" s="8" t="str">
        <f>HYPERLINK("https://twitter.com/Sanywijaya_","@Sanywijaya_")</f>
        <v>@Sanywijaya_</v>
      </c>
      <c r="C20145" s="8" t="s">
        <v>8256</v>
      </c>
      <c r="D20145" s="8">
        <v>0</v>
      </c>
      <c r="E20145" s="8">
        <v>0</v>
      </c>
      <c r="F20145" s="8">
        <v>2454</v>
      </c>
    </row>
    <row r="20146" spans="1:6" ht="12.75">
      <c r="A20146" s="8">
        <v>43895.293229166666</v>
      </c>
      <c r="B20146" s="8" t="str">
        <f>HYPERLINK("https://twitter.com/Izznaq","@Izznaq")</f>
        <v>@Izznaq</v>
      </c>
      <c r="C20146" s="8" t="s">
        <v>7194</v>
      </c>
      <c r="D20146" s="8">
        <v>30</v>
      </c>
      <c r="E20146" s="8">
        <v>0</v>
      </c>
      <c r="F20146" s="8">
        <v>932</v>
      </c>
    </row>
    <row r="20147" spans="1:6" ht="12.75">
      <c r="A20147" s="8">
        <v>43895.292997685188</v>
      </c>
      <c r="B20147" s="8" t="str">
        <f>HYPERLINK("https://twitter.com/KompasTV_Mks","@KompasTV_Mks")</f>
        <v>@KompasTV_Mks</v>
      </c>
      <c r="C20147" s="8" t="s">
        <v>8176</v>
      </c>
      <c r="D20147" s="8">
        <v>2</v>
      </c>
      <c r="E20147" s="8">
        <v>0</v>
      </c>
      <c r="F20147" s="8">
        <v>28757</v>
      </c>
    </row>
    <row r="20148" spans="1:6" ht="12.75">
      <c r="A20148" s="8">
        <v>43895.292673611111</v>
      </c>
      <c r="B20148" s="8" t="str">
        <f>HYPERLINK("https://twitter.com/ThenBagoess","@ThenBagoess")</f>
        <v>@ThenBagoess</v>
      </c>
      <c r="C20148" s="8" t="s">
        <v>8257</v>
      </c>
      <c r="D20148" s="8">
        <v>0</v>
      </c>
      <c r="E20148" s="8">
        <v>0</v>
      </c>
      <c r="F20148" s="8">
        <v>6663</v>
      </c>
    </row>
    <row r="20149" spans="1:6" ht="12.75">
      <c r="A20149" s="8">
        <v>43895.291203703702</v>
      </c>
      <c r="B20149" s="8" t="str">
        <f>HYPERLINK("https://twitter.com/YoyokSubandriy3","@YoyokSubandriy3")</f>
        <v>@YoyokSubandriy3</v>
      </c>
      <c r="C20149" s="8" t="s">
        <v>8176</v>
      </c>
      <c r="D20149" s="8">
        <v>2</v>
      </c>
      <c r="E20149" s="8">
        <v>0</v>
      </c>
      <c r="F20149" s="8">
        <v>1378</v>
      </c>
    </row>
    <row r="20150" spans="1:6" ht="12.75">
      <c r="A20150" s="8">
        <v>43895.290856481486</v>
      </c>
      <c r="B20150" s="8" t="str">
        <f>HYPERLINK("https://twitter.com/Derri_dayen","@Derri_dayen")</f>
        <v>@Derri_dayen</v>
      </c>
      <c r="C20150" s="8" t="s">
        <v>7567</v>
      </c>
      <c r="D20150" s="8">
        <v>4</v>
      </c>
      <c r="E20150" s="8">
        <v>0</v>
      </c>
      <c r="F20150" s="8">
        <v>673</v>
      </c>
    </row>
    <row r="20151" spans="1:6" ht="12.75">
      <c r="A20151" s="8">
        <v>43895.290289351848</v>
      </c>
      <c r="B20151" s="8" t="str">
        <f>HYPERLINK("https://twitter.com/Solinlubis","@Solinlubis")</f>
        <v>@Solinlubis</v>
      </c>
      <c r="C20151" s="8" t="s">
        <v>8258</v>
      </c>
      <c r="D20151" s="8">
        <v>0</v>
      </c>
      <c r="E20151" s="8">
        <v>1</v>
      </c>
      <c r="F20151" s="8">
        <v>51</v>
      </c>
    </row>
    <row r="20152" spans="1:6" ht="12.75">
      <c r="A20152" s="8">
        <v>43895.290266203709</v>
      </c>
      <c r="B20152" s="8" t="str">
        <f>HYPERLINK("https://twitter.com/Dolley_Agri","@Dolley_Agri")</f>
        <v>@Dolley_Agri</v>
      </c>
      <c r="C20152" s="8" t="s">
        <v>8259</v>
      </c>
      <c r="D20152" s="8">
        <v>3</v>
      </c>
      <c r="E20152" s="8">
        <v>0</v>
      </c>
      <c r="F20152" s="8">
        <v>3175</v>
      </c>
    </row>
    <row r="20153" spans="1:6" ht="12.75">
      <c r="A20153" s="8">
        <v>43895.289513888885</v>
      </c>
      <c r="B20153" s="8" t="str">
        <f>HYPERLINK("https://twitter.com/rusakuning","@rusakuning")</f>
        <v>@rusakuning</v>
      </c>
      <c r="C20153" s="8" t="s">
        <v>8260</v>
      </c>
      <c r="D20153" s="8">
        <v>0</v>
      </c>
      <c r="E20153" s="8">
        <v>0</v>
      </c>
      <c r="F20153" s="8">
        <v>313</v>
      </c>
    </row>
    <row r="20154" spans="1:6" ht="12.75">
      <c r="A20154" s="8">
        <v>43895.289409722223</v>
      </c>
      <c r="B20154" s="8" t="str">
        <f>HYPERLINK("https://twitter.com/DeinSugandi","@DeinSugandi")</f>
        <v>@DeinSugandi</v>
      </c>
      <c r="C20154" s="8" t="s">
        <v>2979</v>
      </c>
      <c r="D20154" s="8">
        <v>143</v>
      </c>
      <c r="E20154" s="8">
        <v>0</v>
      </c>
      <c r="F20154" s="8">
        <v>156</v>
      </c>
    </row>
    <row r="20155" spans="1:6" ht="12.75">
      <c r="A20155" s="8">
        <v>43895.288576388892</v>
      </c>
      <c r="B20155" s="8" t="str">
        <f>HYPERLINK("https://twitter.com/davidkidd12","@davidkidd12")</f>
        <v>@davidkidd12</v>
      </c>
      <c r="C20155" s="8" t="s">
        <v>6710</v>
      </c>
      <c r="D20155" s="8">
        <v>442</v>
      </c>
      <c r="E20155" s="8">
        <v>0</v>
      </c>
      <c r="F20155" s="8">
        <v>130</v>
      </c>
    </row>
    <row r="20156" spans="1:6" ht="12.75">
      <c r="A20156" s="8">
        <v>43895.288229166668</v>
      </c>
      <c r="B20156" s="8" t="str">
        <f>HYPERLINK("https://twitter.com/KontanNews","@KontanNews")</f>
        <v>@KontanNews</v>
      </c>
      <c r="C20156" s="8" t="s">
        <v>8261</v>
      </c>
      <c r="D20156" s="8">
        <v>0</v>
      </c>
      <c r="E20156" s="8">
        <v>1</v>
      </c>
      <c r="F20156" s="8">
        <v>318088</v>
      </c>
    </row>
    <row r="20157" spans="1:6" ht="12.75">
      <c r="A20157" s="8">
        <v>43895.288206018522</v>
      </c>
      <c r="B20157" s="8" t="str">
        <f>HYPERLINK("https://twitter.com/KekeySRiana","@KekeySRiana")</f>
        <v>@KekeySRiana</v>
      </c>
      <c r="C20157" s="8" t="s">
        <v>3285</v>
      </c>
      <c r="D20157" s="8">
        <v>105</v>
      </c>
      <c r="E20157" s="8">
        <v>0</v>
      </c>
      <c r="F20157" s="8">
        <v>1075</v>
      </c>
    </row>
    <row r="20158" spans="1:6" ht="12.75">
      <c r="A20158" s="8">
        <v>43895.287604166668</v>
      </c>
      <c r="B20158" s="8" t="str">
        <f>HYPERLINK("https://twitter.com/Maryam59771644","@Maryam59771644")</f>
        <v>@Maryam59771644</v>
      </c>
      <c r="C20158" s="8" t="s">
        <v>8262</v>
      </c>
      <c r="D20158" s="8">
        <v>0</v>
      </c>
      <c r="E20158" s="8">
        <v>0</v>
      </c>
      <c r="F20158" s="8">
        <v>18</v>
      </c>
    </row>
    <row r="20159" spans="1:6" ht="12.75">
      <c r="A20159" s="8">
        <v>43895.287557870368</v>
      </c>
      <c r="B20159" s="8" t="str">
        <f>HYPERLINK("https://twitter.com/huuTAMA","@huuTAMA")</f>
        <v>@huuTAMA</v>
      </c>
      <c r="C20159" s="8" t="s">
        <v>8263</v>
      </c>
      <c r="D20159" s="8">
        <v>5</v>
      </c>
      <c r="E20159" s="8">
        <v>0</v>
      </c>
      <c r="F20159" s="8">
        <v>761</v>
      </c>
    </row>
    <row r="20160" spans="1:6" ht="12.75">
      <c r="A20160" s="8">
        <v>43895.287199074075</v>
      </c>
      <c r="B20160" s="8" t="str">
        <f>HYPERLINK("https://twitter.com/PungPurwanto","@PungPurwanto")</f>
        <v>@PungPurwanto</v>
      </c>
      <c r="C20160" s="8" t="s">
        <v>8097</v>
      </c>
      <c r="D20160" s="8">
        <v>0</v>
      </c>
      <c r="E20160" s="8">
        <v>0</v>
      </c>
      <c r="F20160" s="8">
        <v>642</v>
      </c>
    </row>
    <row r="20161" spans="1:6" ht="12.75">
      <c r="A20161" s="8">
        <v>43895.286423611113</v>
      </c>
      <c r="B20161" s="8" t="str">
        <f>HYPERLINK("https://twitter.com/Lalumawe","@Lalumawe")</f>
        <v>@Lalumawe</v>
      </c>
      <c r="C20161" s="8" t="s">
        <v>7473</v>
      </c>
      <c r="D20161" s="8">
        <v>227</v>
      </c>
      <c r="E20161" s="8">
        <v>0</v>
      </c>
      <c r="F20161" s="8">
        <v>258</v>
      </c>
    </row>
    <row r="20162" spans="1:6" ht="12.75">
      <c r="A20162" s="8">
        <v>43895.286365740743</v>
      </c>
      <c r="B20162" s="8" t="str">
        <f>HYPERLINK("https://twitter.com/Riskonabdullah","@Riskonabdullah")</f>
        <v>@Riskonabdullah</v>
      </c>
      <c r="C20162" s="8" t="s">
        <v>8264</v>
      </c>
      <c r="D20162" s="8">
        <v>1</v>
      </c>
      <c r="E20162" s="8">
        <v>0</v>
      </c>
      <c r="F20162" s="8">
        <v>1118</v>
      </c>
    </row>
    <row r="20163" spans="1:6" ht="12.75">
      <c r="A20163" s="8">
        <v>43895.286203703705</v>
      </c>
      <c r="B20163" s="8" t="str">
        <f>HYPERLINK("https://twitter.com/Maryam59771644","@Maryam59771644")</f>
        <v>@Maryam59771644</v>
      </c>
      <c r="C20163" s="8" t="s">
        <v>8265</v>
      </c>
      <c r="D20163" s="8">
        <v>0</v>
      </c>
      <c r="E20163" s="8">
        <v>0</v>
      </c>
      <c r="F20163" s="8">
        <v>18</v>
      </c>
    </row>
    <row r="20164" spans="1:6" ht="12.75">
      <c r="A20164" s="8">
        <v>43895.284756944442</v>
      </c>
      <c r="B20164" s="8" t="str">
        <f>HYPERLINK("https://twitter.com/KompasTV","@KompasTV")</f>
        <v>@KompasTV</v>
      </c>
      <c r="C20164" s="8" t="s">
        <v>8266</v>
      </c>
      <c r="D20164" s="8">
        <v>2</v>
      </c>
      <c r="E20164" s="8">
        <v>3</v>
      </c>
      <c r="F20164" s="8">
        <v>2956232</v>
      </c>
    </row>
    <row r="20165" spans="1:6" ht="12.75">
      <c r="A20165" s="8">
        <v>43895.283622685187</v>
      </c>
      <c r="B20165" s="8" t="str">
        <f t="shared" ref="B20165:B20166" si="296">HYPERLINK("https://twitter.com/Maryam59771644","@Maryam59771644")</f>
        <v>@Maryam59771644</v>
      </c>
      <c r="C20165" s="8" t="s">
        <v>8267</v>
      </c>
      <c r="D20165" s="8">
        <v>0</v>
      </c>
      <c r="E20165" s="8">
        <v>0</v>
      </c>
      <c r="F20165" s="8">
        <v>18</v>
      </c>
    </row>
    <row r="20166" spans="1:6" ht="12.75">
      <c r="A20166" s="8">
        <v>43895.283182870371</v>
      </c>
      <c r="B20166" s="8" t="str">
        <f t="shared" si="296"/>
        <v>@Maryam59771644</v>
      </c>
      <c r="C20166" s="8" t="s">
        <v>8268</v>
      </c>
      <c r="D20166" s="8">
        <v>0</v>
      </c>
      <c r="E20166" s="8">
        <v>0</v>
      </c>
      <c r="F20166" s="8">
        <v>18</v>
      </c>
    </row>
    <row r="20167" spans="1:6" ht="12.75">
      <c r="A20167" s="8">
        <v>43895.282326388886</v>
      </c>
      <c r="B20167" s="8" t="str">
        <f>HYPERLINK("https://twitter.com/adjieavatara","@adjieavatara")</f>
        <v>@adjieavatara</v>
      </c>
      <c r="C20167" s="8" t="s">
        <v>8259</v>
      </c>
      <c r="D20167" s="8">
        <v>3</v>
      </c>
      <c r="E20167" s="8">
        <v>0</v>
      </c>
      <c r="F20167" s="8">
        <v>3213</v>
      </c>
    </row>
    <row r="20168" spans="1:6" ht="12.75">
      <c r="A20168" s="8">
        <v>43895.282083333332</v>
      </c>
      <c r="B20168" s="8" t="str">
        <f>HYPERLINK("https://twitter.com/wetanesiWas","@wetanesiWas")</f>
        <v>@wetanesiWas</v>
      </c>
      <c r="C20168" s="8" t="s">
        <v>8269</v>
      </c>
      <c r="D20168" s="8">
        <v>2</v>
      </c>
      <c r="E20168" s="8">
        <v>0</v>
      </c>
      <c r="F20168" s="8">
        <v>4223</v>
      </c>
    </row>
    <row r="20169" spans="1:6" ht="12.75">
      <c r="A20169" s="8">
        <v>43895.282025462962</v>
      </c>
      <c r="B20169" s="8" t="str">
        <f>HYPERLINK("https://twitter.com/gunoto777","@gunoto777")</f>
        <v>@gunoto777</v>
      </c>
      <c r="C20169" s="8" t="s">
        <v>2979</v>
      </c>
      <c r="D20169" s="8">
        <v>143</v>
      </c>
      <c r="E20169" s="8">
        <v>0</v>
      </c>
      <c r="F20169" s="8">
        <v>1155</v>
      </c>
    </row>
    <row r="20170" spans="1:6" ht="12.75">
      <c r="A20170" s="8">
        <v>43895.281967592593</v>
      </c>
      <c r="B20170" s="8" t="str">
        <f>HYPERLINK("https://twitter.com/manager_5am","@manager_5am")</f>
        <v>@manager_5am</v>
      </c>
      <c r="C20170" s="8" t="s">
        <v>8270</v>
      </c>
      <c r="D20170" s="8">
        <v>0</v>
      </c>
      <c r="E20170" s="8">
        <v>0</v>
      </c>
      <c r="F20170" s="8">
        <v>7148</v>
      </c>
    </row>
    <row r="20171" spans="1:6" ht="12.75">
      <c r="A20171" s="8">
        <v>43895.281956018516</v>
      </c>
      <c r="B20171" s="8" t="str">
        <f>HYPERLINK("https://twitter.com/Maryam59771644","@Maryam59771644")</f>
        <v>@Maryam59771644</v>
      </c>
      <c r="C20171" s="8" t="s">
        <v>8271</v>
      </c>
      <c r="D20171" s="8">
        <v>0</v>
      </c>
      <c r="E20171" s="8">
        <v>0</v>
      </c>
      <c r="F20171" s="8">
        <v>18</v>
      </c>
    </row>
    <row r="20172" spans="1:6" ht="12.75">
      <c r="A20172" s="8">
        <v>43895.281689814816</v>
      </c>
      <c r="B20172" s="8" t="str">
        <f>HYPERLINK("https://twitter.com/NurliaUrli","@NurliaUrli")</f>
        <v>@NurliaUrli</v>
      </c>
      <c r="C20172" s="8" t="s">
        <v>8272</v>
      </c>
      <c r="D20172" s="8">
        <v>83</v>
      </c>
      <c r="E20172" s="8">
        <v>0</v>
      </c>
      <c r="F20172" s="8">
        <v>771</v>
      </c>
    </row>
    <row r="20173" spans="1:6" ht="12.75">
      <c r="A20173" s="8">
        <v>43895.2816087963</v>
      </c>
      <c r="B20173" s="8" t="str">
        <f>HYPERLINK("https://twitter.com/adiluthvi2","@adiluthvi2")</f>
        <v>@adiluthvi2</v>
      </c>
      <c r="C20173" s="8" t="s">
        <v>2979</v>
      </c>
      <c r="D20173" s="8">
        <v>143</v>
      </c>
      <c r="E20173" s="8">
        <v>0</v>
      </c>
      <c r="F20173" s="8">
        <v>1045</v>
      </c>
    </row>
    <row r="20174" spans="1:6" ht="12.75">
      <c r="A20174" s="8">
        <v>43895.281284722223</v>
      </c>
      <c r="B20174" s="8" t="str">
        <f>HYPERLINK("https://twitter.com/gembosin","@gembosin")</f>
        <v>@gembosin</v>
      </c>
      <c r="C20174" s="8" t="s">
        <v>2979</v>
      </c>
      <c r="D20174" s="8">
        <v>143</v>
      </c>
      <c r="E20174" s="8">
        <v>0</v>
      </c>
      <c r="F20174" s="8">
        <v>6321</v>
      </c>
    </row>
    <row r="20175" spans="1:6" ht="12.75">
      <c r="A20175" s="8">
        <v>43895.280995370369</v>
      </c>
      <c r="B20175" s="8" t="str">
        <f>HYPERLINK("https://twitter.com/YPraty","@YPraty")</f>
        <v>@YPraty</v>
      </c>
      <c r="C20175" s="8" t="s">
        <v>8024</v>
      </c>
      <c r="D20175" s="8">
        <v>15</v>
      </c>
      <c r="E20175" s="8">
        <v>0</v>
      </c>
      <c r="F20175" s="8">
        <v>143</v>
      </c>
    </row>
    <row r="20176" spans="1:6" ht="12.75">
      <c r="A20176" s="8">
        <v>43895.280914351853</v>
      </c>
      <c r="B20176" s="8" t="str">
        <f>HYPERLINK("https://twitter.com/ccpsugiono","@ccpsugiono")</f>
        <v>@ccpsugiono</v>
      </c>
      <c r="C20176" s="8" t="s">
        <v>8273</v>
      </c>
      <c r="D20176" s="8">
        <v>9</v>
      </c>
      <c r="E20176" s="8">
        <v>0</v>
      </c>
      <c r="F20176" s="8">
        <v>693</v>
      </c>
    </row>
    <row r="20177" spans="1:6" ht="12.75">
      <c r="A20177" s="8">
        <v>43895.280694444446</v>
      </c>
      <c r="B20177" s="8" t="str">
        <f>HYPERLINK("https://twitter.com/HutapeaPoster","@HutapeaPoster")</f>
        <v>@HutapeaPoster</v>
      </c>
      <c r="C20177" s="8" t="s">
        <v>8066</v>
      </c>
      <c r="D20177" s="8">
        <v>82</v>
      </c>
      <c r="E20177" s="8">
        <v>0</v>
      </c>
      <c r="F20177" s="8">
        <v>1206</v>
      </c>
    </row>
    <row r="20178" spans="1:6" ht="12.75">
      <c r="A20178" s="8">
        <v>43895.28056712963</v>
      </c>
      <c r="B20178" s="8" t="str">
        <f>HYPERLINK("https://twitter.com/Rdtulum","@Rdtulum")</f>
        <v>@Rdtulum</v>
      </c>
      <c r="C20178" s="8" t="s">
        <v>8274</v>
      </c>
      <c r="D20178" s="8">
        <v>24</v>
      </c>
      <c r="E20178" s="8">
        <v>0</v>
      </c>
      <c r="F20178" s="8">
        <v>107</v>
      </c>
    </row>
    <row r="20179" spans="1:6" ht="12.75">
      <c r="A20179" s="8">
        <v>43895.280439814815</v>
      </c>
      <c r="B20179" s="8" t="str">
        <f>HYPERLINK("https://twitter.com/Khong_Beng","@Khong_Beng")</f>
        <v>@Khong_Beng</v>
      </c>
      <c r="C20179" s="8" t="s">
        <v>7862</v>
      </c>
      <c r="D20179" s="8">
        <v>25</v>
      </c>
      <c r="E20179" s="8">
        <v>0</v>
      </c>
      <c r="F20179" s="8">
        <v>162</v>
      </c>
    </row>
    <row r="20180" spans="1:6" ht="12.75">
      <c r="A20180" s="8">
        <v>43895.280219907407</v>
      </c>
      <c r="B20180" s="8" t="str">
        <f>HYPERLINK("https://twitter.com/HAMBAAL31689329","@HAMBAAL31689329")</f>
        <v>@HAMBAAL31689329</v>
      </c>
      <c r="C20180" s="8" t="s">
        <v>8275</v>
      </c>
      <c r="D20180" s="8">
        <v>3</v>
      </c>
      <c r="E20180" s="8">
        <v>0</v>
      </c>
      <c r="F20180" s="8">
        <v>286</v>
      </c>
    </row>
    <row r="20181" spans="1:6" ht="12.75">
      <c r="A20181" s="8">
        <v>43895.280034722222</v>
      </c>
      <c r="B20181" s="8" t="str">
        <f>HYPERLINK("https://twitter.com/JeuJeuw","@JeuJeuw")</f>
        <v>@JeuJeuw</v>
      </c>
      <c r="C20181" s="8" t="s">
        <v>6222</v>
      </c>
      <c r="D20181" s="8">
        <v>32</v>
      </c>
      <c r="E20181" s="8">
        <v>0</v>
      </c>
      <c r="F20181" s="8">
        <v>5</v>
      </c>
    </row>
    <row r="20182" spans="1:6" ht="12.75">
      <c r="A20182" s="8">
        <v>43895.278495370367</v>
      </c>
      <c r="B20182" s="8" t="str">
        <f>HYPERLINK("https://twitter.com/RaafianPrabowo","@RaafianPrabowo")</f>
        <v>@RaafianPrabowo</v>
      </c>
      <c r="C20182" s="8" t="s">
        <v>8273</v>
      </c>
      <c r="D20182" s="8">
        <v>9</v>
      </c>
      <c r="E20182" s="8">
        <v>0</v>
      </c>
      <c r="F20182" s="8">
        <v>69</v>
      </c>
    </row>
    <row r="20183" spans="1:6" ht="12.75">
      <c r="A20183" s="8">
        <v>43895.278483796297</v>
      </c>
      <c r="B20183" s="8" t="str">
        <f>HYPERLINK("https://twitter.com/RizkiR4madani","@RizkiR4madani")</f>
        <v>@RizkiR4madani</v>
      </c>
      <c r="C20183" s="8" t="s">
        <v>7473</v>
      </c>
      <c r="D20183" s="8">
        <v>227</v>
      </c>
      <c r="E20183" s="8">
        <v>0</v>
      </c>
      <c r="F20183" s="8">
        <v>4123</v>
      </c>
    </row>
    <row r="20184" spans="1:6" ht="12.75">
      <c r="A20184" s="8">
        <v>43895.27815972222</v>
      </c>
      <c r="B20184" s="8" t="str">
        <f>HYPERLINK("https://twitter.com/tannusantara","@tannusantara")</f>
        <v>@tannusantara</v>
      </c>
      <c r="C20184" s="8" t="s">
        <v>8276</v>
      </c>
      <c r="D20184" s="8">
        <v>0</v>
      </c>
      <c r="E20184" s="8">
        <v>0</v>
      </c>
      <c r="F20184" s="8">
        <v>5876</v>
      </c>
    </row>
    <row r="20185" spans="1:6" ht="12.75">
      <c r="A20185" s="8">
        <v>43895.277951388889</v>
      </c>
      <c r="B20185" s="8" t="str">
        <f>HYPERLINK("https://twitter.com/arizalmania","@arizalmania")</f>
        <v>@arizalmania</v>
      </c>
      <c r="C20185" s="8" t="s">
        <v>7715</v>
      </c>
      <c r="D20185" s="8">
        <v>75</v>
      </c>
      <c r="E20185" s="8">
        <v>0</v>
      </c>
      <c r="F20185" s="8">
        <v>1527</v>
      </c>
    </row>
    <row r="20186" spans="1:6" ht="12.75">
      <c r="A20186" s="8">
        <v>43895.277291666665</v>
      </c>
      <c r="B20186" s="8" t="str">
        <f>HYPERLINK("https://twitter.com/sandmanindo","@sandmanindo")</f>
        <v>@sandmanindo</v>
      </c>
      <c r="C20186" s="8" t="s">
        <v>8277</v>
      </c>
      <c r="D20186" s="8">
        <v>1</v>
      </c>
      <c r="E20186" s="8">
        <v>0</v>
      </c>
      <c r="F20186" s="8">
        <v>401</v>
      </c>
    </row>
    <row r="20187" spans="1:6" ht="12.75">
      <c r="A20187" s="8">
        <v>43895.277187500003</v>
      </c>
      <c r="B20187" s="8" t="str">
        <f>HYPERLINK("https://twitter.com/BudiPra78779216","@BudiPra78779216")</f>
        <v>@BudiPra78779216</v>
      </c>
      <c r="C20187" s="8" t="s">
        <v>8273</v>
      </c>
      <c r="D20187" s="8">
        <v>9</v>
      </c>
      <c r="E20187" s="8">
        <v>0</v>
      </c>
      <c r="F20187" s="8">
        <v>1615</v>
      </c>
    </row>
    <row r="20188" spans="1:6" ht="12.75">
      <c r="A20188" s="8">
        <v>43895.276886574073</v>
      </c>
      <c r="B20188" s="8" t="str">
        <f>HYPERLINK("https://twitter.com/yoris_ab","@yoris_ab")</f>
        <v>@yoris_ab</v>
      </c>
      <c r="C20188" s="8" t="s">
        <v>7969</v>
      </c>
      <c r="D20188" s="8">
        <v>67</v>
      </c>
      <c r="E20188" s="8">
        <v>0</v>
      </c>
      <c r="F20188" s="8">
        <v>1699</v>
      </c>
    </row>
    <row r="20189" spans="1:6" ht="12.75">
      <c r="A20189" s="8">
        <v>43895.276886574073</v>
      </c>
      <c r="B20189" s="8" t="str">
        <f t="shared" ref="B20189:B20190" si="297">HYPERLINK("https://twitter.com/sandmanindo","@sandmanindo")</f>
        <v>@sandmanindo</v>
      </c>
      <c r="C20189" s="8" t="s">
        <v>8278</v>
      </c>
      <c r="D20189" s="8">
        <v>2</v>
      </c>
      <c r="E20189" s="8">
        <v>0</v>
      </c>
      <c r="F20189" s="8">
        <v>401</v>
      </c>
    </row>
    <row r="20190" spans="1:6" ht="12.75">
      <c r="A20190" s="8">
        <v>43895.276655092588</v>
      </c>
      <c r="B20190" s="8" t="str">
        <f t="shared" si="297"/>
        <v>@sandmanindo</v>
      </c>
      <c r="C20190" s="8" t="s">
        <v>8279</v>
      </c>
      <c r="D20190" s="8">
        <v>1</v>
      </c>
      <c r="E20190" s="8">
        <v>0</v>
      </c>
      <c r="F20190" s="8">
        <v>401</v>
      </c>
    </row>
    <row r="20191" spans="1:6" ht="12.75">
      <c r="A20191" s="8">
        <v>43895.276284722218</v>
      </c>
      <c r="B20191" s="8" t="str">
        <f>HYPERLINK("https://twitter.com/lagimikirdulu","@lagimikirdulu")</f>
        <v>@lagimikirdulu</v>
      </c>
      <c r="C20191" s="8" t="s">
        <v>8280</v>
      </c>
      <c r="D20191" s="8">
        <v>0</v>
      </c>
      <c r="E20191" s="8">
        <v>0</v>
      </c>
      <c r="F20191" s="8">
        <v>6</v>
      </c>
    </row>
    <row r="20192" spans="1:6" ht="12.75">
      <c r="A20192" s="8">
        <v>43895.275949074072</v>
      </c>
      <c r="B20192" s="8" t="str">
        <f>HYPERLINK("https://twitter.com/aulyraindradjid","@aulyraindradjid")</f>
        <v>@aulyraindradjid</v>
      </c>
      <c r="C20192" s="8" t="s">
        <v>8281</v>
      </c>
      <c r="D20192" s="8">
        <v>69</v>
      </c>
      <c r="E20192" s="8">
        <v>0</v>
      </c>
      <c r="F20192" s="8">
        <v>245</v>
      </c>
    </row>
    <row r="20193" spans="1:6" ht="12.75">
      <c r="A20193" s="8">
        <v>43895.275868055556</v>
      </c>
      <c r="B20193" s="8" t="str">
        <f>HYPERLINK("https://twitter.com/alikari39628228","@alikari39628228")</f>
        <v>@alikari39628228</v>
      </c>
      <c r="C20193" s="8" t="s">
        <v>7646</v>
      </c>
      <c r="D20193" s="8">
        <v>11</v>
      </c>
      <c r="E20193" s="8">
        <v>0</v>
      </c>
      <c r="F20193" s="8">
        <v>955</v>
      </c>
    </row>
    <row r="20194" spans="1:6" ht="12.75">
      <c r="A20194" s="8">
        <v>43895.274675925924</v>
      </c>
      <c r="B20194" s="8" t="str">
        <f>HYPERLINK("https://twitter.com/C0918273645M","@C0918273645M")</f>
        <v>@C0918273645M</v>
      </c>
      <c r="C20194" s="8" t="s">
        <v>7473</v>
      </c>
      <c r="D20194" s="8">
        <v>227</v>
      </c>
      <c r="E20194" s="8">
        <v>0</v>
      </c>
      <c r="F20194" s="8">
        <v>84</v>
      </c>
    </row>
    <row r="20195" spans="1:6" ht="12.75">
      <c r="A20195" s="8">
        <v>43895.274224537032</v>
      </c>
      <c r="B20195" s="8" t="str">
        <f>HYPERLINK("https://twitter.com/Mayfrientha","@Mayfrientha")</f>
        <v>@Mayfrientha</v>
      </c>
      <c r="C20195" s="8" t="s">
        <v>8263</v>
      </c>
      <c r="D20195" s="8">
        <v>5</v>
      </c>
      <c r="E20195" s="8">
        <v>0</v>
      </c>
      <c r="F20195" s="8">
        <v>202</v>
      </c>
    </row>
    <row r="20196" spans="1:6" ht="12.75">
      <c r="A20196" s="8">
        <v>43895.274027777778</v>
      </c>
      <c r="B20196" s="8" t="str">
        <f>HYPERLINK("https://twitter.com/IbnuSholh","@IbnuSholh")</f>
        <v>@IbnuSholh</v>
      </c>
      <c r="C20196" s="8" t="s">
        <v>7244</v>
      </c>
      <c r="D20196" s="8">
        <v>38</v>
      </c>
      <c r="E20196" s="8">
        <v>0</v>
      </c>
      <c r="F20196" s="8">
        <v>2626</v>
      </c>
    </row>
    <row r="20197" spans="1:6" ht="12.75">
      <c r="A20197" s="8">
        <v>43895.273344907408</v>
      </c>
      <c r="B20197" s="8" t="str">
        <f>HYPERLINK("https://twitter.com/KJRI_Vancouver","@KJRI_Vancouver")</f>
        <v>@KJRI_Vancouver</v>
      </c>
      <c r="C20197" s="8" t="s">
        <v>7700</v>
      </c>
      <c r="D20197" s="8">
        <v>44</v>
      </c>
      <c r="E20197" s="8">
        <v>0</v>
      </c>
      <c r="F20197" s="8">
        <v>2366</v>
      </c>
    </row>
    <row r="20198" spans="1:6" ht="12.75">
      <c r="A20198" s="8">
        <v>43895.27207175926</v>
      </c>
      <c r="B20198" s="8" t="str">
        <f>HYPERLINK("https://twitter.com/ajidrummer_id","@ajidrummer_id")</f>
        <v>@ajidrummer_id</v>
      </c>
      <c r="C20198" s="8" t="s">
        <v>8263</v>
      </c>
      <c r="D20198" s="8">
        <v>5</v>
      </c>
      <c r="E20198" s="8">
        <v>0</v>
      </c>
      <c r="F20198" s="8">
        <v>172</v>
      </c>
    </row>
    <row r="20199" spans="1:6" ht="12.75">
      <c r="A20199" s="8">
        <v>43895.272060185191</v>
      </c>
      <c r="B20199" s="8" t="str">
        <f>HYPERLINK("https://twitter.com/LudiAriyanto","@LudiAriyanto")</f>
        <v>@LudiAriyanto</v>
      </c>
      <c r="C20199" s="8" t="s">
        <v>8273</v>
      </c>
      <c r="D20199" s="8">
        <v>9</v>
      </c>
      <c r="E20199" s="8">
        <v>0</v>
      </c>
      <c r="F20199" s="8">
        <v>172</v>
      </c>
    </row>
    <row r="20200" spans="1:6" ht="12.75">
      <c r="A20200" s="8">
        <v>43895.271932870368</v>
      </c>
      <c r="B20200" s="8" t="str">
        <f>HYPERLINK("https://twitter.com/denny0214","@denny0214")</f>
        <v>@denny0214</v>
      </c>
      <c r="C20200" s="8" t="s">
        <v>7796</v>
      </c>
      <c r="D20200" s="8">
        <v>92</v>
      </c>
      <c r="E20200" s="8">
        <v>0</v>
      </c>
      <c r="F20200" s="8">
        <v>96</v>
      </c>
    </row>
    <row r="20201" spans="1:6" ht="12.75">
      <c r="A20201" s="8">
        <v>43895.271817129629</v>
      </c>
      <c r="B20201" s="8" t="str">
        <f>HYPERLINK("https://twitter.com/dooF_barG","@dooF_barG")</f>
        <v>@dooF_barG</v>
      </c>
      <c r="C20201" s="8" t="s">
        <v>8236</v>
      </c>
      <c r="D20201" s="8">
        <v>6</v>
      </c>
      <c r="E20201" s="8">
        <v>0</v>
      </c>
      <c r="F20201" s="8">
        <v>61</v>
      </c>
    </row>
    <row r="20202" spans="1:6" ht="12.75">
      <c r="A20202" s="8">
        <v>43895.270034722227</v>
      </c>
      <c r="B20202" s="8" t="str">
        <f>HYPERLINK("https://twitter.com/Wahyu05806471","@Wahyu05806471")</f>
        <v>@Wahyu05806471</v>
      </c>
      <c r="C20202" s="8" t="s">
        <v>8273</v>
      </c>
      <c r="D20202" s="8">
        <v>9</v>
      </c>
      <c r="E20202" s="8">
        <v>0</v>
      </c>
      <c r="F20202" s="8">
        <v>880</v>
      </c>
    </row>
    <row r="20203" spans="1:6" ht="12.75">
      <c r="A20203" s="8">
        <v>43895.269930555558</v>
      </c>
      <c r="B20203" s="8" t="str">
        <f>HYPERLINK("https://twitter.com/ZainulA42038361","@ZainulA42038361")</f>
        <v>@ZainulA42038361</v>
      </c>
      <c r="C20203" s="8" t="s">
        <v>8282</v>
      </c>
      <c r="D20203" s="8">
        <v>3</v>
      </c>
      <c r="E20203" s="8">
        <v>0</v>
      </c>
      <c r="F20203" s="8">
        <v>289</v>
      </c>
    </row>
    <row r="20204" spans="1:6" ht="12.75">
      <c r="A20204" s="8">
        <v>43895.269259259258</v>
      </c>
      <c r="B20204" s="8" t="str">
        <f>HYPERLINK("https://twitter.com/masbara29","@masbara29")</f>
        <v>@masbara29</v>
      </c>
      <c r="C20204" s="8" t="s">
        <v>8263</v>
      </c>
      <c r="D20204" s="8">
        <v>5</v>
      </c>
      <c r="E20204" s="8">
        <v>0</v>
      </c>
      <c r="F20204" s="8">
        <v>100</v>
      </c>
    </row>
    <row r="20205" spans="1:6" ht="12.75">
      <c r="A20205" s="8">
        <v>43895.269224537042</v>
      </c>
      <c r="B20205" s="8" t="str">
        <f>HYPERLINK("https://twitter.com/JajakaD","@JajakaD")</f>
        <v>@JajakaD</v>
      </c>
      <c r="C20205" s="8" t="s">
        <v>8283</v>
      </c>
      <c r="D20205" s="8">
        <v>0</v>
      </c>
      <c r="E20205" s="8">
        <v>0</v>
      </c>
      <c r="F20205" s="8">
        <v>272</v>
      </c>
    </row>
    <row r="20206" spans="1:6" ht="12.75">
      <c r="A20206" s="8">
        <v>43895.269131944442</v>
      </c>
      <c r="B20206" s="8" t="str">
        <f>HYPERLINK("https://twitter.com/Temulaw71417452","@Temulaw71417452")</f>
        <v>@Temulaw71417452</v>
      </c>
      <c r="C20206" s="8" t="s">
        <v>7573</v>
      </c>
      <c r="D20206" s="8">
        <v>16</v>
      </c>
      <c r="E20206" s="8">
        <v>0</v>
      </c>
      <c r="F20206" s="8">
        <v>53</v>
      </c>
    </row>
    <row r="20207" spans="1:6" ht="12.75">
      <c r="A20207" s="8">
        <v>43895.269097222219</v>
      </c>
      <c r="B20207" s="8" t="str">
        <f>HYPERLINK("https://twitter.com/SGT_winarno","@SGT_winarno")</f>
        <v>@SGT_winarno</v>
      </c>
      <c r="C20207" s="8" t="s">
        <v>8284</v>
      </c>
      <c r="D20207" s="8">
        <v>0</v>
      </c>
      <c r="E20207" s="8">
        <v>0</v>
      </c>
      <c r="F20207" s="8">
        <v>579</v>
      </c>
    </row>
    <row r="20208" spans="1:6" ht="12.75">
      <c r="A20208" s="8">
        <v>43895.268807870365</v>
      </c>
      <c r="B20208" s="8" t="str">
        <f>HYPERLINK("https://twitter.com/maximustriatno","@maximustriatno")</f>
        <v>@maximustriatno</v>
      </c>
      <c r="C20208" s="8" t="s">
        <v>6710</v>
      </c>
      <c r="D20208" s="8">
        <v>442</v>
      </c>
      <c r="E20208" s="8">
        <v>0</v>
      </c>
      <c r="F20208" s="8">
        <v>4</v>
      </c>
    </row>
    <row r="20209" spans="1:6" ht="12.75">
      <c r="A20209" s="8">
        <v>43895.268761574072</v>
      </c>
      <c r="B20209" s="8" t="str">
        <f>HYPERLINK("https://twitter.com/Derri_dayen","@Derri_dayen")</f>
        <v>@Derri_dayen</v>
      </c>
      <c r="C20209" s="8" t="s">
        <v>7715</v>
      </c>
      <c r="D20209" s="8">
        <v>75</v>
      </c>
      <c r="E20209" s="8">
        <v>0</v>
      </c>
      <c r="F20209" s="8">
        <v>673</v>
      </c>
    </row>
    <row r="20210" spans="1:6" ht="12.75">
      <c r="A20210" s="8">
        <v>43895.268553240741</v>
      </c>
      <c r="B20210" s="8" t="str">
        <f>HYPERLINK("https://twitter.com/KKosapilawan","@KKosapilawan")</f>
        <v>@KKosapilawan</v>
      </c>
      <c r="C20210" s="8" t="s">
        <v>8285</v>
      </c>
      <c r="D20210" s="8">
        <v>0</v>
      </c>
      <c r="E20210" s="8">
        <v>0</v>
      </c>
      <c r="F20210" s="8">
        <v>34</v>
      </c>
    </row>
    <row r="20211" spans="1:6" ht="12.75">
      <c r="A20211" s="8">
        <v>43895.268020833333</v>
      </c>
      <c r="B20211" s="8" t="str">
        <f>HYPERLINK("https://twitter.com/maximustriatno","@maximustriatno")</f>
        <v>@maximustriatno</v>
      </c>
      <c r="C20211" s="8" t="s">
        <v>8212</v>
      </c>
      <c r="D20211" s="8">
        <v>166</v>
      </c>
      <c r="E20211" s="8">
        <v>0</v>
      </c>
      <c r="F20211" s="8">
        <v>4</v>
      </c>
    </row>
    <row r="20212" spans="1:6" ht="12.75">
      <c r="A20212" s="8">
        <v>43895.267847222218</v>
      </c>
      <c r="B20212" s="8" t="str">
        <f>HYPERLINK("https://twitter.com/WasitMedsos4677","@WasitMedsos4677")</f>
        <v>@WasitMedsos4677</v>
      </c>
      <c r="C20212" s="8" t="s">
        <v>8286</v>
      </c>
      <c r="D20212" s="8">
        <v>1</v>
      </c>
      <c r="E20212" s="8">
        <v>8</v>
      </c>
      <c r="F20212" s="8">
        <v>4573</v>
      </c>
    </row>
    <row r="20213" spans="1:6" ht="12.75">
      <c r="A20213" s="8">
        <v>43895.267731481479</v>
      </c>
      <c r="B20213" s="8" t="str">
        <f>HYPERLINK("https://twitter.com/kompascom","@kompascom")</f>
        <v>@kompascom</v>
      </c>
      <c r="C20213" s="8" t="s">
        <v>8287</v>
      </c>
      <c r="D20213" s="8">
        <v>5</v>
      </c>
      <c r="E20213" s="8">
        <v>14</v>
      </c>
      <c r="F20213" s="8">
        <v>7528886</v>
      </c>
    </row>
    <row r="20214" spans="1:6" ht="12.75">
      <c r="A20214" s="8">
        <v>43895.267430555556</v>
      </c>
      <c r="B20214" s="8" t="str">
        <f>HYPERLINK("https://twitter.com/ephraym8","@ephraym8")</f>
        <v>@ephraym8</v>
      </c>
      <c r="C20214" s="8" t="s">
        <v>2775</v>
      </c>
      <c r="D20214" s="8">
        <v>5</v>
      </c>
      <c r="E20214" s="8">
        <v>0</v>
      </c>
      <c r="F20214" s="8">
        <v>1196</v>
      </c>
    </row>
    <row r="20215" spans="1:6" ht="12.75">
      <c r="A20215" s="8">
        <v>43895.266076388885</v>
      </c>
      <c r="B20215" s="8" t="str">
        <f>HYPERLINK("https://twitter.com/juhniartortp","@juhniartortp")</f>
        <v>@juhniartortp</v>
      </c>
      <c r="C20215" s="8" t="s">
        <v>1427</v>
      </c>
      <c r="D20215" s="8">
        <v>1039</v>
      </c>
      <c r="E20215" s="8">
        <v>0</v>
      </c>
      <c r="F20215" s="8">
        <v>1186</v>
      </c>
    </row>
    <row r="20216" spans="1:6" ht="12.75">
      <c r="A20216" s="8">
        <v>43895.265520833331</v>
      </c>
      <c r="B20216" s="8" t="str">
        <f>HYPERLINK("https://twitter.com/Sangk4k4l4","@Sangk4k4l4")</f>
        <v>@Sangk4k4l4</v>
      </c>
      <c r="C20216" s="8" t="s">
        <v>7715</v>
      </c>
      <c r="D20216" s="8">
        <v>75</v>
      </c>
      <c r="E20216" s="8">
        <v>0</v>
      </c>
      <c r="F20216" s="8">
        <v>3464</v>
      </c>
    </row>
    <row r="20217" spans="1:6" ht="12.75">
      <c r="A20217" s="8">
        <v>43895.265439814815</v>
      </c>
      <c r="B20217" s="8" t="str">
        <f>HYPERLINK("https://twitter.com/bundatiwi16","@bundatiwi16")</f>
        <v>@bundatiwi16</v>
      </c>
      <c r="C20217" s="8" t="s">
        <v>7862</v>
      </c>
      <c r="D20217" s="8">
        <v>25</v>
      </c>
      <c r="E20217" s="8">
        <v>0</v>
      </c>
      <c r="F20217" s="8">
        <v>101</v>
      </c>
    </row>
    <row r="20218" spans="1:6" ht="12.75">
      <c r="A20218" s="8">
        <v>43895.264467592591</v>
      </c>
      <c r="B20218" s="8" t="str">
        <f>HYPERLINK("https://twitter.com/wiriantowidjaya","@wiriantowidjaya")</f>
        <v>@wiriantowidjaya</v>
      </c>
      <c r="C20218" s="8" t="s">
        <v>3285</v>
      </c>
      <c r="D20218" s="8">
        <v>105</v>
      </c>
      <c r="E20218" s="8">
        <v>0</v>
      </c>
      <c r="F20218" s="8">
        <v>1557</v>
      </c>
    </row>
    <row r="20219" spans="1:6" ht="12.75">
      <c r="A20219" s="8">
        <v>43895.264409722222</v>
      </c>
      <c r="B20219" s="8" t="str">
        <f>HYPERLINK("https://twitter.com/YDawok","@YDawok")</f>
        <v>@YDawok</v>
      </c>
      <c r="C20219" s="8" t="s">
        <v>2979</v>
      </c>
      <c r="D20219" s="8">
        <v>143</v>
      </c>
      <c r="E20219" s="8">
        <v>0</v>
      </c>
      <c r="F20219" s="8">
        <v>798</v>
      </c>
    </row>
    <row r="20220" spans="1:6" ht="12.75">
      <c r="A20220" s="8">
        <v>43895.264328703706</v>
      </c>
      <c r="B20220" s="8" t="str">
        <f>HYPERLINK("https://twitter.com/dteleer","@dteleer")</f>
        <v>@dteleer</v>
      </c>
      <c r="C20220" s="8" t="s">
        <v>7473</v>
      </c>
      <c r="D20220" s="8">
        <v>227</v>
      </c>
      <c r="E20220" s="8">
        <v>0</v>
      </c>
      <c r="F20220" s="8">
        <v>3747</v>
      </c>
    </row>
    <row r="20221" spans="1:6" ht="12.75">
      <c r="A20221" s="8">
        <v>43895.264247685191</v>
      </c>
      <c r="B20221" s="8" t="str">
        <f>HYPERLINK("https://twitter.com/ayahkasih","@ayahkasih")</f>
        <v>@ayahkasih</v>
      </c>
      <c r="C20221" s="8" t="s">
        <v>8288</v>
      </c>
      <c r="D20221" s="8">
        <v>0</v>
      </c>
      <c r="E20221" s="8">
        <v>0</v>
      </c>
      <c r="F20221" s="8">
        <v>1585</v>
      </c>
    </row>
    <row r="20222" spans="1:6" ht="12.75">
      <c r="A20222" s="8">
        <v>43895.264050925922</v>
      </c>
      <c r="B20222" s="8" t="str">
        <f>HYPERLINK("https://twitter.com/emarlasmono","@emarlasmono")</f>
        <v>@emarlasmono</v>
      </c>
      <c r="C20222" s="8" t="s">
        <v>7715</v>
      </c>
      <c r="D20222" s="8">
        <v>75</v>
      </c>
      <c r="E20222" s="8">
        <v>0</v>
      </c>
      <c r="F20222" s="8">
        <v>1024</v>
      </c>
    </row>
    <row r="20223" spans="1:6" ht="12.75">
      <c r="A20223" s="8">
        <v>43895.263969907406</v>
      </c>
      <c r="B20223" s="8" t="str">
        <f>HYPERLINK("https://twitter.com/IndraRyanto1","@IndraRyanto1")</f>
        <v>@IndraRyanto1</v>
      </c>
      <c r="C20223" s="8" t="s">
        <v>8289</v>
      </c>
      <c r="D20223" s="8">
        <v>0</v>
      </c>
      <c r="E20223" s="8">
        <v>0</v>
      </c>
      <c r="F20223" s="8">
        <v>32</v>
      </c>
    </row>
    <row r="20224" spans="1:6" ht="12.75">
      <c r="A20224" s="8">
        <v>43895.256620370375</v>
      </c>
      <c r="B20224" s="8" t="str">
        <f>HYPERLINK("https://twitter.com/bwgade1","@bwgade1")</f>
        <v>@bwgade1</v>
      </c>
      <c r="C20224" s="8" t="s">
        <v>7845</v>
      </c>
      <c r="D20224" s="8">
        <v>64</v>
      </c>
      <c r="E20224" s="8">
        <v>0</v>
      </c>
      <c r="F20224" s="8">
        <v>13</v>
      </c>
    </row>
    <row r="20225" spans="1:6" ht="12.75">
      <c r="A20225" s="8">
        <v>43895.256041666667</v>
      </c>
      <c r="B20225" s="8" t="str">
        <f>HYPERLINK("https://twitter.com/nuninut","@nuninut")</f>
        <v>@nuninut</v>
      </c>
      <c r="C20225" s="8" t="s">
        <v>1427</v>
      </c>
      <c r="D20225" s="8">
        <v>1039</v>
      </c>
      <c r="E20225" s="8">
        <v>0</v>
      </c>
      <c r="F20225" s="8">
        <v>468</v>
      </c>
    </row>
    <row r="20226" spans="1:6" ht="12.75">
      <c r="A20226" s="8">
        <v>43895.255891203706</v>
      </c>
      <c r="B20226" s="8" t="str">
        <f>HYPERLINK("https://twitter.com/machbeach","@machbeach")</f>
        <v>@machbeach</v>
      </c>
      <c r="C20226" s="8" t="s">
        <v>8290</v>
      </c>
      <c r="D20226" s="8">
        <v>0</v>
      </c>
      <c r="E20226" s="8">
        <v>0</v>
      </c>
      <c r="F20226" s="8">
        <v>933</v>
      </c>
    </row>
    <row r="20227" spans="1:6" ht="12.75">
      <c r="A20227" s="8">
        <v>43895.255636574075</v>
      </c>
      <c r="B20227" s="8" t="str">
        <f>HYPERLINK("https://twitter.com/yudi732002","@yudi732002")</f>
        <v>@yudi732002</v>
      </c>
      <c r="C20227" s="8" t="s">
        <v>7473</v>
      </c>
      <c r="D20227" s="8">
        <v>215</v>
      </c>
      <c r="E20227" s="8">
        <v>0</v>
      </c>
      <c r="F20227" s="8">
        <v>644</v>
      </c>
    </row>
    <row r="20228" spans="1:6" ht="12.75">
      <c r="A20228" s="8">
        <v>43895.254606481481</v>
      </c>
      <c r="B20228" s="8" t="str">
        <f>HYPERLINK("https://twitter.com/mamiagarislucu","@mamiagarislucu")</f>
        <v>@mamiagarislucu</v>
      </c>
      <c r="C20228" s="8" t="s">
        <v>8291</v>
      </c>
      <c r="D20228" s="8">
        <v>1</v>
      </c>
      <c r="E20228" s="8">
        <v>0</v>
      </c>
      <c r="F20228" s="8">
        <v>5970</v>
      </c>
    </row>
    <row r="20229" spans="1:6" ht="12.75">
      <c r="A20229" s="8">
        <v>43895.254247685181</v>
      </c>
      <c r="B20229" s="8" t="str">
        <f>HYPERLINK("https://twitter.com/DelisLein","@DelisLein")</f>
        <v>@DelisLein</v>
      </c>
      <c r="C20229" s="8" t="s">
        <v>7473</v>
      </c>
      <c r="D20229" s="8">
        <v>215</v>
      </c>
      <c r="E20229" s="8">
        <v>0</v>
      </c>
      <c r="F20229" s="8">
        <v>174</v>
      </c>
    </row>
    <row r="20230" spans="1:6" ht="12.75">
      <c r="A20230" s="8">
        <v>43895.25409722222</v>
      </c>
      <c r="B20230" s="8" t="str">
        <f>HYPERLINK("https://twitter.com/bwgade1","@bwgade1")</f>
        <v>@bwgade1</v>
      </c>
      <c r="C20230" s="8" t="s">
        <v>8115</v>
      </c>
      <c r="D20230" s="8">
        <v>231</v>
      </c>
      <c r="E20230" s="8">
        <v>0</v>
      </c>
      <c r="F20230" s="8">
        <v>13</v>
      </c>
    </row>
    <row r="20231" spans="1:6" ht="12.75">
      <c r="A20231" s="8">
        <v>43895.253067129626</v>
      </c>
      <c r="B20231" s="8" t="str">
        <f>HYPERLINK("https://twitter.com/Sifudan_mora","@Sifudan_mora")</f>
        <v>@Sifudan_mora</v>
      </c>
      <c r="C20231" s="8" t="s">
        <v>8230</v>
      </c>
      <c r="D20231" s="8">
        <v>98</v>
      </c>
      <c r="E20231" s="8">
        <v>0</v>
      </c>
      <c r="F20231" s="8">
        <v>2077</v>
      </c>
    </row>
    <row r="20232" spans="1:6" ht="12.75">
      <c r="A20232" s="8">
        <v>43895.252743055556</v>
      </c>
      <c r="B20232" s="8" t="str">
        <f t="shared" ref="B20232:B20234" si="298">HYPERLINK("https://twitter.com/_wni_","@_wni_")</f>
        <v>@_wni_</v>
      </c>
      <c r="C20232" s="8" t="s">
        <v>8292</v>
      </c>
      <c r="D20232" s="8">
        <v>2</v>
      </c>
      <c r="E20232" s="8">
        <v>0</v>
      </c>
      <c r="F20232" s="8">
        <v>14</v>
      </c>
    </row>
    <row r="20233" spans="1:6" ht="12.75">
      <c r="A20233" s="8">
        <v>43895.252546296295</v>
      </c>
      <c r="B20233" s="8" t="str">
        <f t="shared" si="298"/>
        <v>@_wni_</v>
      </c>
      <c r="C20233" s="8" t="s">
        <v>8293</v>
      </c>
      <c r="D20233" s="8">
        <v>0</v>
      </c>
      <c r="E20233" s="8">
        <v>0</v>
      </c>
      <c r="F20233" s="8">
        <v>14</v>
      </c>
    </row>
    <row r="20234" spans="1:6" ht="12.75">
      <c r="A20234" s="8">
        <v>43895.252453703702</v>
      </c>
      <c r="B20234" s="8" t="str">
        <f t="shared" si="298"/>
        <v>@_wni_</v>
      </c>
      <c r="C20234" s="8" t="s">
        <v>8294</v>
      </c>
      <c r="D20234" s="8">
        <v>0</v>
      </c>
      <c r="E20234" s="8">
        <v>0</v>
      </c>
      <c r="F20234" s="8">
        <v>14</v>
      </c>
    </row>
    <row r="20235" spans="1:6" ht="12.75">
      <c r="A20235" s="8">
        <v>43895.251886574071</v>
      </c>
      <c r="B20235" s="8" t="str">
        <f>HYPERLINK("https://twitter.com/_CHlS_","@_CHlS_")</f>
        <v>@_CHlS_</v>
      </c>
      <c r="C20235" s="8" t="s">
        <v>8295</v>
      </c>
      <c r="D20235" s="8">
        <v>1</v>
      </c>
      <c r="E20235" s="8">
        <v>1</v>
      </c>
      <c r="F20235" s="8">
        <v>2824</v>
      </c>
    </row>
    <row r="20236" spans="1:6" ht="12.75">
      <c r="A20236" s="8">
        <v>43895.251493055555</v>
      </c>
      <c r="B20236" s="8" t="str">
        <f>HYPERLINK("https://twitter.com/Arifin2Zainal","@Arifin2Zainal")</f>
        <v>@Arifin2Zainal</v>
      </c>
      <c r="C20236" s="8" t="s">
        <v>7715</v>
      </c>
      <c r="D20236" s="8">
        <v>68</v>
      </c>
      <c r="E20236" s="8">
        <v>0</v>
      </c>
      <c r="F20236" s="8">
        <v>1874</v>
      </c>
    </row>
    <row r="20237" spans="1:6" ht="12.75">
      <c r="A20237" s="8">
        <v>43895.251099537039</v>
      </c>
      <c r="B20237" s="8" t="str">
        <f>HYPERLINK("https://twitter.com/mamanesia","@mamanesia")</f>
        <v>@mamanesia</v>
      </c>
      <c r="C20237" s="8" t="s">
        <v>8296</v>
      </c>
      <c r="D20237" s="8">
        <v>0</v>
      </c>
      <c r="E20237" s="8">
        <v>0</v>
      </c>
      <c r="F20237" s="8">
        <v>95</v>
      </c>
    </row>
    <row r="20238" spans="1:6" ht="12.75">
      <c r="A20238" s="8">
        <v>43895.250902777778</v>
      </c>
      <c r="B20238" s="8" t="str">
        <f>HYPERLINK("https://twitter.com/AgusSup39011241","@AgusSup39011241")</f>
        <v>@AgusSup39011241</v>
      </c>
      <c r="C20238" s="8" t="s">
        <v>7473</v>
      </c>
      <c r="D20238" s="8">
        <v>215</v>
      </c>
      <c r="E20238" s="8">
        <v>0</v>
      </c>
      <c r="F20238" s="8">
        <v>10464</v>
      </c>
    </row>
    <row r="20239" spans="1:6" ht="12.75">
      <c r="A20239" s="8">
        <v>43895.250752314816</v>
      </c>
      <c r="B20239" s="8" t="str">
        <f>HYPERLINK("https://twitter.com/21Lai21","@21Lai21")</f>
        <v>@21Lai21</v>
      </c>
      <c r="C20239" s="8" t="s">
        <v>8297</v>
      </c>
      <c r="D20239" s="8">
        <v>5</v>
      </c>
      <c r="E20239" s="8">
        <v>0</v>
      </c>
      <c r="F20239" s="8">
        <v>298</v>
      </c>
    </row>
    <row r="20240" spans="1:6" ht="12.75">
      <c r="A20240" s="8">
        <v>43895.250381944439</v>
      </c>
      <c r="B20240" s="8" t="str">
        <f>HYPERLINK("https://twitter.com/DavidRuslie8","@DavidRuslie8")</f>
        <v>@DavidRuslie8</v>
      </c>
      <c r="C20240" s="8" t="s">
        <v>3285</v>
      </c>
      <c r="D20240" s="8">
        <v>99</v>
      </c>
      <c r="E20240" s="8">
        <v>0</v>
      </c>
      <c r="F20240" s="8">
        <v>932</v>
      </c>
    </row>
    <row r="20241" spans="1:6" ht="12.75">
      <c r="A20241" s="8">
        <v>43895.249803240746</v>
      </c>
      <c r="B20241" s="8" t="str">
        <f>HYPERLINK("https://twitter.com/alberthin_lucas","@alberthin_lucas")</f>
        <v>@alberthin_lucas</v>
      </c>
      <c r="C20241" s="8" t="s">
        <v>8236</v>
      </c>
      <c r="D20241" s="8">
        <v>3</v>
      </c>
      <c r="E20241" s="8">
        <v>0</v>
      </c>
      <c r="F20241" s="8">
        <v>718</v>
      </c>
    </row>
    <row r="20242" spans="1:6" ht="12.75">
      <c r="A20242" s="8">
        <v>43895.249745370369</v>
      </c>
      <c r="B20242" s="8" t="str">
        <f>HYPERLINK("https://twitter.com/04_adisetiawan","@04_adisetiawan")</f>
        <v>@04_adisetiawan</v>
      </c>
      <c r="C20242" s="8" t="s">
        <v>8115</v>
      </c>
      <c r="D20242" s="8">
        <v>231</v>
      </c>
      <c r="E20242" s="8">
        <v>0</v>
      </c>
      <c r="F20242" s="8">
        <v>204</v>
      </c>
    </row>
    <row r="20243" spans="1:6" ht="12.75">
      <c r="A20243" s="8">
        <v>43895.249421296292</v>
      </c>
      <c r="B20243" s="8" t="str">
        <f>HYPERLINK("https://twitter.com/Marvicnc1","@Marvicnc1")</f>
        <v>@Marvicnc1</v>
      </c>
      <c r="C20243" s="8" t="s">
        <v>8115</v>
      </c>
      <c r="D20243" s="8">
        <v>231</v>
      </c>
      <c r="E20243" s="8">
        <v>0</v>
      </c>
      <c r="F20243" s="8">
        <v>133</v>
      </c>
    </row>
    <row r="20244" spans="1:6" ht="12.75">
      <c r="A20244" s="8">
        <v>43895.249328703707</v>
      </c>
      <c r="B20244" s="8" t="str">
        <f>HYPERLINK("https://twitter.com/giapernesto","@giapernesto")</f>
        <v>@giapernesto</v>
      </c>
      <c r="C20244" s="8" t="s">
        <v>7646</v>
      </c>
      <c r="D20244" s="8">
        <v>9</v>
      </c>
      <c r="E20244" s="8">
        <v>0</v>
      </c>
      <c r="F20244" s="8">
        <v>256</v>
      </c>
    </row>
    <row r="20245" spans="1:6" ht="12.75">
      <c r="A20245" s="8">
        <v>43895.248171296298</v>
      </c>
      <c r="B20245" s="8" t="str">
        <f>HYPERLINK("https://twitter.com/LauraFadillah1","@LauraFadillah1")</f>
        <v>@LauraFadillah1</v>
      </c>
      <c r="C20245" s="8" t="s">
        <v>7715</v>
      </c>
      <c r="D20245" s="8">
        <v>68</v>
      </c>
      <c r="E20245" s="8">
        <v>0</v>
      </c>
      <c r="F20245" s="8">
        <v>422</v>
      </c>
    </row>
    <row r="20246" spans="1:6" ht="12.75">
      <c r="A20246" s="8">
        <v>43895.246307870373</v>
      </c>
      <c r="B20246" s="8" t="str">
        <f>HYPERLINK("https://twitter.com/LaingenLisa","@LaingenLisa")</f>
        <v>@LaingenLisa</v>
      </c>
      <c r="C20246" s="8" t="s">
        <v>7987</v>
      </c>
      <c r="D20246" s="8">
        <v>31</v>
      </c>
      <c r="E20246" s="8">
        <v>0</v>
      </c>
      <c r="F20246" s="8">
        <v>3587</v>
      </c>
    </row>
    <row r="20247" spans="1:6" ht="12.75">
      <c r="A20247" s="8">
        <v>43895.246238425927</v>
      </c>
      <c r="B20247" s="8" t="str">
        <f>HYPERLINK("https://twitter.com/dubie_tina","@dubie_tina")</f>
        <v>@dubie_tina</v>
      </c>
      <c r="C20247" s="8" t="s">
        <v>8298</v>
      </c>
      <c r="D20247" s="8">
        <v>1</v>
      </c>
      <c r="E20247" s="8">
        <v>0</v>
      </c>
      <c r="F20247" s="8">
        <v>1075</v>
      </c>
    </row>
    <row r="20248" spans="1:6" ht="12.75">
      <c r="A20248" s="8">
        <v>43895.246111111112</v>
      </c>
      <c r="B20248" s="8" t="str">
        <f>HYPERLINK("https://twitter.com/oposisi4ever","@oposisi4ever")</f>
        <v>@oposisi4ever</v>
      </c>
      <c r="C20248" s="8" t="s">
        <v>7573</v>
      </c>
      <c r="D20248" s="8">
        <v>14</v>
      </c>
      <c r="E20248" s="8">
        <v>0</v>
      </c>
      <c r="F20248" s="8">
        <v>404</v>
      </c>
    </row>
    <row r="20249" spans="1:6" ht="12.75">
      <c r="A20249" s="8">
        <v>43895.245729166665</v>
      </c>
      <c r="B20249" s="8" t="str">
        <f>HYPERLINK("https://twitter.com/imkamarioo","@imkamarioo")</f>
        <v>@imkamarioo</v>
      </c>
      <c r="C20249" s="8" t="s">
        <v>8230</v>
      </c>
      <c r="D20249" s="8">
        <v>98</v>
      </c>
      <c r="E20249" s="8">
        <v>0</v>
      </c>
      <c r="F20249" s="8">
        <v>173</v>
      </c>
    </row>
    <row r="20250" spans="1:6" ht="12.75">
      <c r="A20250" s="8">
        <v>43895.245624999996</v>
      </c>
      <c r="B20250" s="8" t="str">
        <f>HYPERLINK("https://twitter.com/dubie_tina","@dubie_tina")</f>
        <v>@dubie_tina</v>
      </c>
      <c r="C20250" s="8" t="s">
        <v>8299</v>
      </c>
      <c r="D20250" s="8">
        <v>1</v>
      </c>
      <c r="E20250" s="8">
        <v>1</v>
      </c>
      <c r="F20250" s="8">
        <v>1075</v>
      </c>
    </row>
    <row r="20251" spans="1:6" ht="12.75">
      <c r="A20251" s="8">
        <v>43895.245266203703</v>
      </c>
      <c r="B20251" s="8" t="str">
        <f>HYPERLINK("https://twitter.com/legiiii","@legiiii")</f>
        <v>@legiiii</v>
      </c>
      <c r="C20251" s="8" t="s">
        <v>8273</v>
      </c>
      <c r="D20251" s="8">
        <v>2</v>
      </c>
      <c r="E20251" s="8">
        <v>0</v>
      </c>
      <c r="F20251" s="8">
        <v>324</v>
      </c>
    </row>
    <row r="20252" spans="1:6" ht="12.75">
      <c r="A20252" s="8">
        <v>43895.244837962964</v>
      </c>
      <c r="B20252" s="8" t="str">
        <f>HYPERLINK("https://twitter.com/rosasaad","@rosasaad")</f>
        <v>@rosasaad</v>
      </c>
      <c r="C20252" s="8" t="s">
        <v>7755</v>
      </c>
      <c r="D20252" s="8">
        <v>4</v>
      </c>
      <c r="E20252" s="8">
        <v>0</v>
      </c>
      <c r="F20252" s="8">
        <v>97</v>
      </c>
    </row>
    <row r="20253" spans="1:6" ht="12.75">
      <c r="A20253" s="8">
        <v>43895.244594907403</v>
      </c>
      <c r="B20253" s="8" t="str">
        <f>HYPERLINK("https://twitter.com/Susanto21585883","@Susanto21585883")</f>
        <v>@Susanto21585883</v>
      </c>
      <c r="C20253" s="8" t="s">
        <v>7715</v>
      </c>
      <c r="D20253" s="8">
        <v>68</v>
      </c>
      <c r="E20253" s="8">
        <v>0</v>
      </c>
      <c r="F20253" s="8">
        <v>22</v>
      </c>
    </row>
    <row r="20254" spans="1:6" ht="12.75">
      <c r="A20254" s="8">
        <v>43895.244583333333</v>
      </c>
      <c r="B20254" s="8" t="str">
        <f>HYPERLINK("https://twitter.com/Aspriel13","@Aspriel13")</f>
        <v>@Aspriel13</v>
      </c>
      <c r="C20254" s="8" t="s">
        <v>8236</v>
      </c>
      <c r="D20254" s="8">
        <v>3</v>
      </c>
      <c r="E20254" s="8">
        <v>0</v>
      </c>
      <c r="F20254" s="8">
        <v>468</v>
      </c>
    </row>
    <row r="20255" spans="1:6" ht="12.75">
      <c r="A20255" s="8">
        <v>43895.244432870371</v>
      </c>
      <c r="B20255" s="8" t="str">
        <f>HYPERLINK("https://twitter.com/driftingair","@driftingair")</f>
        <v>@driftingair</v>
      </c>
      <c r="C20255" s="8" t="s">
        <v>8273</v>
      </c>
      <c r="D20255" s="8">
        <v>2</v>
      </c>
      <c r="E20255" s="8">
        <v>0</v>
      </c>
      <c r="F20255" s="8">
        <v>167</v>
      </c>
    </row>
    <row r="20256" spans="1:6" ht="12.75">
      <c r="A20256" s="8">
        <v>43895.244351851856</v>
      </c>
      <c r="B20256" s="8" t="str">
        <f>HYPERLINK("https://twitter.com/21Lai21","@21Lai21")</f>
        <v>@21Lai21</v>
      </c>
      <c r="C20256" s="8" t="s">
        <v>8225</v>
      </c>
      <c r="D20256" s="8">
        <v>8</v>
      </c>
      <c r="E20256" s="8">
        <v>0</v>
      </c>
      <c r="F20256" s="8">
        <v>298</v>
      </c>
    </row>
    <row r="20257" spans="1:6" ht="12.75">
      <c r="A20257" s="8">
        <v>43895.244293981479</v>
      </c>
      <c r="B20257" s="8" t="str">
        <f>HYPERLINK("https://twitter.com/DanySanusi","@DanySanusi")</f>
        <v>@DanySanusi</v>
      </c>
      <c r="C20257" s="8" t="s">
        <v>8115</v>
      </c>
      <c r="D20257" s="8">
        <v>231</v>
      </c>
      <c r="E20257" s="8">
        <v>0</v>
      </c>
      <c r="F20257" s="8">
        <v>24</v>
      </c>
    </row>
    <row r="20258" spans="1:6" ht="12.75">
      <c r="A20258" s="8">
        <v>43895.243321759262</v>
      </c>
      <c r="B20258" s="8" t="str">
        <f>HYPERLINK("https://twitter.com/ElshintaBandung","@ElshintaBandung")</f>
        <v>@ElshintaBandung</v>
      </c>
      <c r="C20258" s="8" t="s">
        <v>8236</v>
      </c>
      <c r="D20258" s="8">
        <v>3</v>
      </c>
      <c r="E20258" s="8">
        <v>0</v>
      </c>
      <c r="F20258" s="8">
        <v>10527</v>
      </c>
    </row>
    <row r="20259" spans="1:6" ht="12.75">
      <c r="A20259" s="8">
        <v>43895.242719907408</v>
      </c>
      <c r="B20259" s="8" t="str">
        <f>HYPERLINK("https://twitter.com/bandorobrojo","@bandorobrojo")</f>
        <v>@bandorobrojo</v>
      </c>
      <c r="C20259" s="8" t="s">
        <v>2979</v>
      </c>
      <c r="D20259" s="8">
        <v>134</v>
      </c>
      <c r="E20259" s="8">
        <v>0</v>
      </c>
      <c r="F20259" s="8">
        <v>686</v>
      </c>
    </row>
    <row r="20260" spans="1:6" ht="12.75">
      <c r="A20260" s="8">
        <v>43895.241886574076</v>
      </c>
      <c r="B20260" s="8" t="str">
        <f>HYPERLINK("https://twitter.com/RadioElshinta","@RadioElshinta")</f>
        <v>@RadioElshinta</v>
      </c>
      <c r="C20260" s="8" t="s">
        <v>8300</v>
      </c>
      <c r="D20260" s="8">
        <v>3</v>
      </c>
      <c r="E20260" s="8">
        <v>7</v>
      </c>
      <c r="F20260" s="8">
        <v>3636771</v>
      </c>
    </row>
    <row r="20261" spans="1:6" ht="12.75">
      <c r="A20261" s="8">
        <v>43895.241666666669</v>
      </c>
      <c r="B20261" s="8" t="str">
        <f>HYPERLINK("https://twitter.com/MujahidAlfatih1","@MujahidAlfatih1")</f>
        <v>@MujahidAlfatih1</v>
      </c>
      <c r="C20261" s="8" t="s">
        <v>8301</v>
      </c>
      <c r="D20261" s="8">
        <v>0</v>
      </c>
      <c r="E20261" s="8">
        <v>0</v>
      </c>
      <c r="F20261" s="8">
        <v>1095</v>
      </c>
    </row>
    <row r="20262" spans="1:6" ht="12.75">
      <c r="A20262" s="8">
        <v>43895.241516203707</v>
      </c>
      <c r="B20262" s="8" t="str">
        <f>HYPERLINK("https://twitter.com/555masteng","@555masteng")</f>
        <v>@555masteng</v>
      </c>
      <c r="C20262" s="8" t="s">
        <v>7473</v>
      </c>
      <c r="D20262" s="8">
        <v>215</v>
      </c>
      <c r="E20262" s="8">
        <v>0</v>
      </c>
      <c r="F20262" s="8">
        <v>5588</v>
      </c>
    </row>
    <row r="20263" spans="1:6" ht="12.75">
      <c r="A20263" s="8">
        <v>43895.241319444445</v>
      </c>
      <c r="B20263" s="8" t="str">
        <f>HYPERLINK("https://twitter.com/_CHlS_","@_CHlS_")</f>
        <v>@_CHlS_</v>
      </c>
      <c r="C20263" s="8" t="s">
        <v>8302</v>
      </c>
      <c r="D20263" s="8">
        <v>3</v>
      </c>
      <c r="E20263" s="8">
        <v>0</v>
      </c>
      <c r="F20263" s="8">
        <v>2824</v>
      </c>
    </row>
    <row r="20264" spans="1:6" ht="12.75">
      <c r="A20264" s="8">
        <v>43895.240868055553</v>
      </c>
      <c r="B20264" s="8" t="str">
        <f>HYPERLINK("https://twitter.com/narkosun","@narkosun")</f>
        <v>@narkosun</v>
      </c>
      <c r="C20264" s="8" t="s">
        <v>8303</v>
      </c>
      <c r="D20264" s="8">
        <v>2</v>
      </c>
      <c r="E20264" s="8">
        <v>23</v>
      </c>
      <c r="F20264" s="8">
        <v>31216</v>
      </c>
    </row>
    <row r="20265" spans="1:6" ht="12.75">
      <c r="A20265" s="8">
        <v>43895.239780092597</v>
      </c>
      <c r="B20265" s="8" t="str">
        <f>HYPERLINK("https://twitter.com/Jalangk09302402","@Jalangk09302402")</f>
        <v>@Jalangk09302402</v>
      </c>
      <c r="C20265" s="8" t="s">
        <v>8237</v>
      </c>
      <c r="D20265" s="8">
        <v>0</v>
      </c>
      <c r="E20265" s="8">
        <v>0</v>
      </c>
      <c r="F20265" s="8">
        <v>4</v>
      </c>
    </row>
    <row r="20266" spans="1:6" ht="12.75">
      <c r="A20266" s="8">
        <v>43895.239548611113</v>
      </c>
      <c r="B20266" s="8" t="str">
        <f>HYPERLINK("https://twitter.com/midomihemed","@midomihemed")</f>
        <v>@midomihemed</v>
      </c>
      <c r="C20266" s="8" t="s">
        <v>7646</v>
      </c>
      <c r="D20266" s="8">
        <v>9</v>
      </c>
      <c r="E20266" s="8">
        <v>0</v>
      </c>
      <c r="F20266" s="8">
        <v>898</v>
      </c>
    </row>
    <row r="20267" spans="1:6" ht="12.75">
      <c r="A20267" s="8">
        <v>43895.239166666666</v>
      </c>
      <c r="B20267" s="8" t="str">
        <f>HYPERLINK("https://twitter.com/raian_kun","@raian_kun")</f>
        <v>@raian_kun</v>
      </c>
      <c r="C20267" s="8" t="s">
        <v>7473</v>
      </c>
      <c r="D20267" s="8">
        <v>215</v>
      </c>
      <c r="E20267" s="8">
        <v>0</v>
      </c>
      <c r="F20267" s="8">
        <v>1208</v>
      </c>
    </row>
    <row r="20268" spans="1:6" ht="12.75">
      <c r="A20268" s="8">
        <v>43895.238958333328</v>
      </c>
      <c r="B20268" s="8" t="str">
        <f>HYPERLINK("https://twitter.com/Joker39331614","@Joker39331614")</f>
        <v>@Joker39331614</v>
      </c>
      <c r="C20268" s="8" t="s">
        <v>8234</v>
      </c>
      <c r="D20268" s="8">
        <v>0</v>
      </c>
      <c r="E20268" s="8">
        <v>0</v>
      </c>
      <c r="F20268" s="8">
        <v>5</v>
      </c>
    </row>
    <row r="20269" spans="1:6" ht="12.75">
      <c r="A20269" s="8">
        <v>43895.238819444443</v>
      </c>
      <c r="B20269" s="8" t="str">
        <f>HYPERLINK("https://twitter.com/ridwan2474","@ridwan2474")</f>
        <v>@ridwan2474</v>
      </c>
      <c r="C20269" s="8" t="s">
        <v>8304</v>
      </c>
      <c r="D20269" s="8">
        <v>0</v>
      </c>
      <c r="E20269" s="8">
        <v>0</v>
      </c>
      <c r="F20269" s="8">
        <v>99</v>
      </c>
    </row>
    <row r="20270" spans="1:6" ht="12.75">
      <c r="A20270" s="8">
        <v>43895.238356481481</v>
      </c>
      <c r="B20270" s="8" t="str">
        <f>HYPERLINK("https://twitter.com/keyxusrewi2hem","@keyxusrewi2hem")</f>
        <v>@keyxusrewi2hem</v>
      </c>
      <c r="C20270" s="8" t="s">
        <v>7646</v>
      </c>
      <c r="D20270" s="8">
        <v>9</v>
      </c>
      <c r="E20270" s="8">
        <v>0</v>
      </c>
      <c r="F20270" s="8">
        <v>279</v>
      </c>
    </row>
    <row r="20271" spans="1:6" ht="12.75">
      <c r="A20271" s="8">
        <v>43895.23810185185</v>
      </c>
      <c r="B20271" s="8" t="str">
        <f t="shared" ref="B20271:B20272" si="299">HYPERLINK("https://twitter.com/dubie_tina","@dubie_tina")</f>
        <v>@dubie_tina</v>
      </c>
      <c r="C20271" s="8" t="s">
        <v>8269</v>
      </c>
      <c r="D20271" s="8">
        <v>1</v>
      </c>
      <c r="E20271" s="8">
        <v>0</v>
      </c>
      <c r="F20271" s="8">
        <v>1075</v>
      </c>
    </row>
    <row r="20272" spans="1:6" ht="12.75">
      <c r="A20272" s="8">
        <v>43895.237939814819</v>
      </c>
      <c r="B20272" s="8" t="str">
        <f t="shared" si="299"/>
        <v>@dubie_tina</v>
      </c>
      <c r="C20272" s="8" t="s">
        <v>8305</v>
      </c>
      <c r="D20272" s="8">
        <v>1</v>
      </c>
      <c r="E20272" s="8">
        <v>1</v>
      </c>
      <c r="F20272" s="8">
        <v>1075</v>
      </c>
    </row>
    <row r="20273" spans="1:6" ht="12.75">
      <c r="A20273" s="8">
        <v>43895.237615740742</v>
      </c>
      <c r="B20273" s="8" t="str">
        <f>HYPERLINK("https://twitter.com/Stream4114","@Stream4114")</f>
        <v>@Stream4114</v>
      </c>
      <c r="C20273" s="8" t="s">
        <v>8306</v>
      </c>
      <c r="D20273" s="8">
        <v>4</v>
      </c>
      <c r="E20273" s="8">
        <v>0</v>
      </c>
      <c r="F20273" s="8">
        <v>2</v>
      </c>
    </row>
    <row r="20274" spans="1:6" ht="12.75">
      <c r="A20274" s="8">
        <v>43895.237233796295</v>
      </c>
      <c r="B20274" s="8" t="str">
        <f>HYPERLINK("https://twitter.com/iya95932702","@iya95932702")</f>
        <v>@iya95932702</v>
      </c>
      <c r="C20274" s="8" t="s">
        <v>7646</v>
      </c>
      <c r="D20274" s="8">
        <v>9</v>
      </c>
      <c r="E20274" s="8">
        <v>0</v>
      </c>
      <c r="F20274" s="8">
        <v>646</v>
      </c>
    </row>
    <row r="20275" spans="1:6" ht="12.75">
      <c r="A20275" s="8">
        <v>43895.236655092594</v>
      </c>
      <c r="B20275" s="8" t="str">
        <f>HYPERLINK("https://twitter.com/Baracuda1818","@Baracuda1818")</f>
        <v>@Baracuda1818</v>
      </c>
      <c r="C20275" s="8" t="s">
        <v>3285</v>
      </c>
      <c r="D20275" s="8">
        <v>99</v>
      </c>
      <c r="E20275" s="8">
        <v>0</v>
      </c>
      <c r="F20275" s="8">
        <v>7765</v>
      </c>
    </row>
    <row r="20276" spans="1:6" ht="12.75">
      <c r="A20276" s="8">
        <v>43895.236157407402</v>
      </c>
      <c r="B20276" s="8" t="str">
        <f>HYPERLINK("https://twitter.com/J4lakBali","@J4lakBali")</f>
        <v>@J4lakBali</v>
      </c>
      <c r="C20276" s="8" t="s">
        <v>7473</v>
      </c>
      <c r="D20276" s="8">
        <v>215</v>
      </c>
      <c r="E20276" s="8">
        <v>0</v>
      </c>
      <c r="F20276" s="8">
        <v>3679</v>
      </c>
    </row>
    <row r="20277" spans="1:6" ht="12.75">
      <c r="A20277" s="8">
        <v>43895.235960648148</v>
      </c>
      <c r="B20277" s="8" t="str">
        <f>HYPERLINK("https://twitter.com/penanegericom","@penanegericom")</f>
        <v>@penanegericom</v>
      </c>
      <c r="C20277" s="8" t="s">
        <v>8130</v>
      </c>
      <c r="D20277" s="8">
        <v>0</v>
      </c>
      <c r="E20277" s="8">
        <v>0</v>
      </c>
      <c r="F20277" s="8">
        <v>68</v>
      </c>
    </row>
    <row r="20278" spans="1:6" ht="12.75">
      <c r="A20278" s="8">
        <v>43895.235925925925</v>
      </c>
      <c r="B20278" s="8" t="str">
        <f>HYPERLINK("https://twitter.com/YouMadderFader","@YouMadderFader")</f>
        <v>@YouMadderFader</v>
      </c>
      <c r="C20278" s="8" t="s">
        <v>8307</v>
      </c>
      <c r="D20278" s="8">
        <v>2</v>
      </c>
      <c r="E20278" s="8">
        <v>0</v>
      </c>
      <c r="F20278" s="8">
        <v>155</v>
      </c>
    </row>
    <row r="20279" spans="1:6" ht="12.75">
      <c r="A20279" s="8">
        <v>43895.235891203702</v>
      </c>
      <c r="B20279" s="8" t="str">
        <f>HYPERLINK("https://twitter.com/GUSBENSOK","@GUSBENSOK")</f>
        <v>@GUSBENSOK</v>
      </c>
      <c r="C20279" s="8" t="s">
        <v>7573</v>
      </c>
      <c r="D20279" s="8">
        <v>14</v>
      </c>
      <c r="E20279" s="8">
        <v>0</v>
      </c>
      <c r="F20279" s="8">
        <v>2058</v>
      </c>
    </row>
    <row r="20280" spans="1:6" ht="12.75">
      <c r="A20280" s="8">
        <v>43895.235486111109</v>
      </c>
      <c r="B20280" s="8" t="str">
        <f>HYPERLINK("https://twitter.com/jjsengui","@jjsengui")</f>
        <v>@jjsengui</v>
      </c>
      <c r="C20280" s="8" t="s">
        <v>8066</v>
      </c>
      <c r="D20280" s="8">
        <v>77</v>
      </c>
      <c r="E20280" s="8">
        <v>0</v>
      </c>
      <c r="F20280" s="8">
        <v>903</v>
      </c>
    </row>
    <row r="20281" spans="1:6" ht="12.75">
      <c r="A20281" s="8">
        <v>43895.23501157407</v>
      </c>
      <c r="B20281" s="8" t="str">
        <f>HYPERLINK("https://twitter.com/bever728","@bever728")</f>
        <v>@bever728</v>
      </c>
      <c r="C20281" s="8" t="s">
        <v>7646</v>
      </c>
      <c r="D20281" s="8">
        <v>9</v>
      </c>
      <c r="E20281" s="8">
        <v>0</v>
      </c>
      <c r="F20281" s="8">
        <v>117</v>
      </c>
    </row>
    <row r="20282" spans="1:6" ht="12.75">
      <c r="A20282" s="8">
        <v>43895.234780092593</v>
      </c>
      <c r="B20282" s="8" t="str">
        <f>HYPERLINK("https://twitter.com/Dhiemasseko","@Dhiemasseko")</f>
        <v>@Dhiemasseko</v>
      </c>
      <c r="C20282" s="8" t="s">
        <v>7473</v>
      </c>
      <c r="D20282" s="8">
        <v>215</v>
      </c>
      <c r="E20282" s="8">
        <v>0</v>
      </c>
      <c r="F20282" s="8">
        <v>2323</v>
      </c>
    </row>
    <row r="20283" spans="1:6" ht="12.75">
      <c r="A20283" s="8">
        <v>43895.2347337963</v>
      </c>
      <c r="B20283" s="8" t="str">
        <f>HYPERLINK("https://twitter.com/Hayik02","@Hayik02")</f>
        <v>@Hayik02</v>
      </c>
      <c r="C20283" s="8" t="s">
        <v>7473</v>
      </c>
      <c r="D20283" s="8">
        <v>215</v>
      </c>
      <c r="E20283" s="8">
        <v>0</v>
      </c>
      <c r="F20283" s="8">
        <v>274</v>
      </c>
    </row>
    <row r="20284" spans="1:6" ht="12.75">
      <c r="A20284" s="8">
        <v>43895.234398148154</v>
      </c>
      <c r="B20284" s="8" t="str">
        <f>HYPERLINK("https://twitter.com/setyosby","@setyosby")</f>
        <v>@setyosby</v>
      </c>
      <c r="C20284" s="8" t="s">
        <v>7715</v>
      </c>
      <c r="D20284" s="8">
        <v>68</v>
      </c>
      <c r="E20284" s="8">
        <v>0</v>
      </c>
      <c r="F20284" s="8">
        <v>1950</v>
      </c>
    </row>
    <row r="20285" spans="1:6" ht="12.75">
      <c r="A20285" s="8">
        <v>43895.234224537038</v>
      </c>
      <c r="B20285" s="8" t="str">
        <f>HYPERLINK("https://twitter.com/_therma_","@_therma_")</f>
        <v>@_therma_</v>
      </c>
      <c r="C20285" s="8" t="s">
        <v>8302</v>
      </c>
      <c r="D20285" s="8">
        <v>3</v>
      </c>
      <c r="E20285" s="8">
        <v>0</v>
      </c>
      <c r="F20285" s="8">
        <v>4535</v>
      </c>
    </row>
    <row r="20286" spans="1:6" ht="12.75">
      <c r="A20286" s="8">
        <v>43895.233912037038</v>
      </c>
      <c r="B20286" s="8" t="str">
        <f>HYPERLINK("https://twitter.com/KevinLa04924670","@KevinLa04924670")</f>
        <v>@KevinLa04924670</v>
      </c>
      <c r="C20286" s="8" t="s">
        <v>8308</v>
      </c>
      <c r="D20286" s="8">
        <v>9</v>
      </c>
      <c r="E20286" s="8">
        <v>0</v>
      </c>
      <c r="F20286" s="8">
        <v>917</v>
      </c>
    </row>
    <row r="20287" spans="1:6" ht="12.75">
      <c r="A20287" s="8">
        <v>43895.232812499999</v>
      </c>
      <c r="B20287" s="8" t="str">
        <f>HYPERLINK("https://twitter.com/KzlbaKomnistKr1","@KzlbaKomnistKr1")</f>
        <v>@KzlbaKomnistKr1</v>
      </c>
      <c r="C20287" s="8" t="s">
        <v>7646</v>
      </c>
      <c r="D20287" s="8">
        <v>9</v>
      </c>
      <c r="E20287" s="8">
        <v>0</v>
      </c>
      <c r="F20287" s="8">
        <v>197</v>
      </c>
    </row>
    <row r="20288" spans="1:6" ht="12.75">
      <c r="A20288" s="8">
        <v>43895.232604166667</v>
      </c>
      <c r="B20288" s="8" t="str">
        <f>HYPERLINK("https://twitter.com/liverbirdindone","@liverbirdindone")</f>
        <v>@liverbirdindone</v>
      </c>
      <c r="C20288" s="8" t="s">
        <v>7473</v>
      </c>
      <c r="D20288" s="8">
        <v>215</v>
      </c>
      <c r="E20288" s="8">
        <v>0</v>
      </c>
      <c r="F20288" s="8">
        <v>322</v>
      </c>
    </row>
    <row r="20289" spans="1:6" ht="12.75">
      <c r="A20289" s="8">
        <v>43895.232453703706</v>
      </c>
      <c r="B20289" s="8" t="str">
        <f>HYPERLINK("https://twitter.com/SantikaVeliz","@SantikaVeliz")</f>
        <v>@SantikaVeliz</v>
      </c>
      <c r="C20289" s="8" t="s">
        <v>8234</v>
      </c>
      <c r="D20289" s="8">
        <v>0</v>
      </c>
      <c r="E20289" s="8">
        <v>0</v>
      </c>
      <c r="F20289" s="8">
        <v>34</v>
      </c>
    </row>
    <row r="20290" spans="1:6" ht="12.75">
      <c r="A20290" s="8">
        <v>43895.232442129629</v>
      </c>
      <c r="B20290" s="8" t="str">
        <f>HYPERLINK("https://twitter.com/eZLeW12021U","@eZLeW12021U")</f>
        <v>@eZLeW12021U</v>
      </c>
      <c r="C20290" s="8" t="s">
        <v>8309</v>
      </c>
      <c r="D20290" s="8">
        <v>9</v>
      </c>
      <c r="E20290" s="8">
        <v>9</v>
      </c>
      <c r="F20290" s="8">
        <v>3612</v>
      </c>
    </row>
    <row r="20291" spans="1:6" ht="12.75">
      <c r="A20291" s="8">
        <v>43895.232118055559</v>
      </c>
      <c r="B20291" s="8" t="str">
        <f>HYPERLINK("https://twitter.com/SantikaVeliz","@SantikaVeliz")</f>
        <v>@SantikaVeliz</v>
      </c>
      <c r="C20291" s="8" t="s">
        <v>8237</v>
      </c>
      <c r="D20291" s="8">
        <v>0</v>
      </c>
      <c r="E20291" s="8">
        <v>0</v>
      </c>
      <c r="F20291" s="8">
        <v>34</v>
      </c>
    </row>
    <row r="20292" spans="1:6" ht="12.75">
      <c r="A20292" s="8">
        <v>43895.231898148151</v>
      </c>
      <c r="B20292" s="8" t="str">
        <f>HYPERLINK("https://twitter.com/MuzlimIndonesia","@MuzlimIndonesia")</f>
        <v>@MuzlimIndonesia</v>
      </c>
      <c r="C20292" s="8" t="s">
        <v>7473</v>
      </c>
      <c r="D20292" s="8">
        <v>215</v>
      </c>
      <c r="E20292" s="8">
        <v>0</v>
      </c>
      <c r="F20292" s="8">
        <v>1854</v>
      </c>
    </row>
    <row r="20293" spans="1:6" ht="12.75">
      <c r="A20293" s="8">
        <v>43895.231342592597</v>
      </c>
      <c r="B20293" s="8" t="str">
        <f>HYPERLINK("https://twitter.com/johnsbhat234","@johnsbhat234")</f>
        <v>@johnsbhat234</v>
      </c>
      <c r="C20293" s="8" t="s">
        <v>8066</v>
      </c>
      <c r="D20293" s="8">
        <v>77</v>
      </c>
      <c r="E20293" s="8">
        <v>0</v>
      </c>
      <c r="F20293" s="8">
        <v>2319</v>
      </c>
    </row>
    <row r="20294" spans="1:6" ht="12.75">
      <c r="A20294" s="8">
        <v>43895.230543981481</v>
      </c>
      <c r="B20294" s="8" t="str">
        <f>HYPERLINK("https://twitter.com/chef_master69","@chef_master69")</f>
        <v>@chef_master69</v>
      </c>
      <c r="C20294" s="8" t="s">
        <v>8310</v>
      </c>
      <c r="D20294" s="8">
        <v>2</v>
      </c>
      <c r="E20294" s="8">
        <v>0</v>
      </c>
      <c r="F20294" s="8">
        <v>154</v>
      </c>
    </row>
    <row r="20295" spans="1:6" ht="12.75">
      <c r="A20295" s="8">
        <v>43895.230439814812</v>
      </c>
      <c r="B20295" s="8" t="str">
        <f>HYPERLINK("https://twitter.com/fachri_kh","@fachri_kh")</f>
        <v>@fachri_kh</v>
      </c>
      <c r="C20295" s="8" t="s">
        <v>8302</v>
      </c>
      <c r="D20295" s="8">
        <v>3</v>
      </c>
      <c r="E20295" s="8">
        <v>0</v>
      </c>
      <c r="F20295" s="8">
        <v>4155</v>
      </c>
    </row>
    <row r="20296" spans="1:6" ht="12.75">
      <c r="A20296" s="8">
        <v>43895.230011574073</v>
      </c>
      <c r="B20296" s="8" t="str">
        <f>HYPERLINK("https://twitter.com/putucangkiri","@putucangkiri")</f>
        <v>@putucangkiri</v>
      </c>
      <c r="C20296" s="8" t="s">
        <v>8237</v>
      </c>
      <c r="D20296" s="8">
        <v>0</v>
      </c>
      <c r="E20296" s="8">
        <v>0</v>
      </c>
      <c r="F20296" s="8">
        <v>86</v>
      </c>
    </row>
    <row r="20297" spans="1:6" ht="12.75">
      <c r="A20297" s="8">
        <v>43895.229930555557</v>
      </c>
      <c r="B20297" s="8" t="str">
        <f>HYPERLINK("https://twitter.com/dannydicker1","@dannydicker1")</f>
        <v>@dannydicker1</v>
      </c>
      <c r="C20297" s="8" t="s">
        <v>8311</v>
      </c>
      <c r="D20297" s="8">
        <v>0</v>
      </c>
      <c r="E20297" s="8">
        <v>0</v>
      </c>
      <c r="F20297" s="8">
        <v>1</v>
      </c>
    </row>
    <row r="20298" spans="1:6" ht="12.75">
      <c r="A20298" s="8">
        <v>43895.229085648149</v>
      </c>
      <c r="B20298" s="8" t="str">
        <f>HYPERLINK("https://twitter.com/putucangkiri","@putucangkiri")</f>
        <v>@putucangkiri</v>
      </c>
      <c r="C20298" s="8" t="s">
        <v>8234</v>
      </c>
      <c r="D20298" s="8">
        <v>0</v>
      </c>
      <c r="E20298" s="8">
        <v>0</v>
      </c>
      <c r="F20298" s="8">
        <v>86</v>
      </c>
    </row>
    <row r="20299" spans="1:6" ht="12.75">
      <c r="A20299" s="8">
        <v>43895.228576388894</v>
      </c>
      <c r="B20299" s="8" t="str">
        <f>HYPERLINK("https://twitter.com/Khong_Beng","@Khong_Beng")</f>
        <v>@Khong_Beng</v>
      </c>
      <c r="C20299" s="8" t="s">
        <v>7473</v>
      </c>
      <c r="D20299" s="8">
        <v>215</v>
      </c>
      <c r="E20299" s="8">
        <v>0</v>
      </c>
      <c r="F20299" s="8">
        <v>162</v>
      </c>
    </row>
    <row r="20300" spans="1:6" ht="12.75">
      <c r="A20300" s="8">
        <v>43895.228263888886</v>
      </c>
      <c r="B20300" s="8" t="str">
        <f>HYPERLINK("https://twitter.com/Donie248","@Donie248")</f>
        <v>@Donie248</v>
      </c>
      <c r="C20300" s="8" t="s">
        <v>8212</v>
      </c>
      <c r="D20300" s="8">
        <v>164</v>
      </c>
      <c r="E20300" s="8">
        <v>0</v>
      </c>
      <c r="F20300" s="8">
        <v>291</v>
      </c>
    </row>
    <row r="20301" spans="1:6" ht="12.75">
      <c r="A20301" s="8">
        <v>43895.227708333332</v>
      </c>
      <c r="B20301" s="8" t="str">
        <f>HYPERLINK("https://twitter.com/Dwinadia__","@Dwinadia__")</f>
        <v>@Dwinadia__</v>
      </c>
      <c r="C20301" s="8" t="s">
        <v>8312</v>
      </c>
      <c r="D20301" s="8">
        <v>0</v>
      </c>
      <c r="E20301" s="8">
        <v>0</v>
      </c>
      <c r="F20301" s="8">
        <v>566</v>
      </c>
    </row>
    <row r="20302" spans="1:6" ht="12.75">
      <c r="A20302" s="8">
        <v>43895.227696759262</v>
      </c>
      <c r="B20302" s="8" t="str">
        <f>HYPERLINK("https://twitter.com/rio_ayong","@rio_ayong")</f>
        <v>@rio_ayong</v>
      </c>
      <c r="C20302" s="8" t="s">
        <v>3285</v>
      </c>
      <c r="D20302" s="8">
        <v>99</v>
      </c>
      <c r="E20302" s="8">
        <v>0</v>
      </c>
      <c r="F20302" s="8">
        <v>225</v>
      </c>
    </row>
    <row r="20303" spans="1:6" ht="12.75">
      <c r="A20303" s="8">
        <v>43895.22756944444</v>
      </c>
      <c r="B20303" s="8" t="str">
        <f>HYPERLINK("https://twitter.com/Ze_sukma","@Ze_sukma")</f>
        <v>@Ze_sukma</v>
      </c>
      <c r="C20303" s="8" t="s">
        <v>8313</v>
      </c>
      <c r="D20303" s="8">
        <v>0</v>
      </c>
      <c r="E20303" s="8">
        <v>0</v>
      </c>
      <c r="F20303" s="8">
        <v>4300</v>
      </c>
    </row>
    <row r="20304" spans="1:6" ht="12.75">
      <c r="A20304" s="8">
        <v>43895.226701388892</v>
      </c>
      <c r="B20304" s="8" t="str">
        <f>HYPERLINK("https://twitter.com/JunizarT","@JunizarT")</f>
        <v>@JunizarT</v>
      </c>
      <c r="C20304" s="8" t="s">
        <v>2979</v>
      </c>
      <c r="D20304" s="8">
        <v>134</v>
      </c>
      <c r="E20304" s="8">
        <v>0</v>
      </c>
      <c r="F20304" s="8">
        <v>642</v>
      </c>
    </row>
    <row r="20305" spans="1:6" ht="12.75">
      <c r="A20305" s="8">
        <v>43895.226018518515</v>
      </c>
      <c r="B20305" s="8" t="str">
        <f>HYPERLINK("https://twitter.com/wennice8","@wennice8")</f>
        <v>@wennice8</v>
      </c>
      <c r="C20305" s="8" t="s">
        <v>8282</v>
      </c>
      <c r="D20305" s="8">
        <v>2</v>
      </c>
      <c r="E20305" s="8">
        <v>0</v>
      </c>
      <c r="F20305" s="8">
        <v>314</v>
      </c>
    </row>
    <row r="20306" spans="1:6" ht="12.75">
      <c r="A20306" s="8">
        <v>43895.225891203707</v>
      </c>
      <c r="B20306" s="8" t="str">
        <f>HYPERLINK("https://twitter.com/Ze_sukma","@Ze_sukma")</f>
        <v>@Ze_sukma</v>
      </c>
      <c r="C20306" s="8" t="s">
        <v>7862</v>
      </c>
      <c r="D20306" s="8">
        <v>23</v>
      </c>
      <c r="E20306" s="8">
        <v>0</v>
      </c>
      <c r="F20306" s="8">
        <v>4300</v>
      </c>
    </row>
    <row r="20307" spans="1:6" ht="12.75">
      <c r="A20307" s="8">
        <v>43895.22555555556</v>
      </c>
      <c r="B20307" s="8" t="str">
        <f>HYPERLINK("https://twitter.com/Alismar89937714","@Alismar89937714")</f>
        <v>@Alismar89937714</v>
      </c>
      <c r="C20307" s="8" t="s">
        <v>8314</v>
      </c>
      <c r="D20307" s="8">
        <v>0</v>
      </c>
      <c r="E20307" s="8">
        <v>0</v>
      </c>
      <c r="F20307" s="8">
        <v>877</v>
      </c>
    </row>
    <row r="20308" spans="1:6" ht="12.75">
      <c r="A20308" s="8">
        <v>43895.225439814814</v>
      </c>
      <c r="B20308" s="8" t="str">
        <f>HYPERLINK("https://twitter.com/AQUA77SMD","@AQUA77SMD")</f>
        <v>@AQUA77SMD</v>
      </c>
      <c r="C20308" s="8" t="s">
        <v>8315</v>
      </c>
      <c r="D20308" s="8">
        <v>0</v>
      </c>
      <c r="E20308" s="8">
        <v>0</v>
      </c>
      <c r="F20308" s="8">
        <v>68</v>
      </c>
    </row>
    <row r="20309" spans="1:6" ht="12.75">
      <c r="A20309" s="8">
        <v>43895.224965277783</v>
      </c>
      <c r="B20309" s="8" t="str">
        <f>HYPERLINK("https://twitter.com/ArusnewsI","@ArusnewsI")</f>
        <v>@ArusnewsI</v>
      </c>
      <c r="C20309" s="8" t="s">
        <v>8316</v>
      </c>
      <c r="D20309" s="8">
        <v>1</v>
      </c>
      <c r="E20309" s="8">
        <v>1</v>
      </c>
      <c r="F20309" s="8">
        <v>481</v>
      </c>
    </row>
    <row r="20310" spans="1:6" ht="12.75">
      <c r="A20310" s="8">
        <v>43895.22493055556</v>
      </c>
      <c r="B20310" s="8" t="str">
        <f>HYPERLINK("https://twitter.com/DcEliana","@DcEliana")</f>
        <v>@DcEliana</v>
      </c>
      <c r="C20310" s="8" t="s">
        <v>8115</v>
      </c>
      <c r="D20310" s="8">
        <v>231</v>
      </c>
      <c r="E20310" s="8">
        <v>0</v>
      </c>
      <c r="F20310" s="8">
        <v>155</v>
      </c>
    </row>
    <row r="20311" spans="1:6" ht="12.75">
      <c r="A20311" s="8">
        <v>43895.224050925928</v>
      </c>
      <c r="B20311" s="8" t="str">
        <f>HYPERLINK("https://twitter.com/arsensjuventini","@arsensjuventini")</f>
        <v>@arsensjuventini</v>
      </c>
      <c r="C20311" s="8" t="s">
        <v>7473</v>
      </c>
      <c r="D20311" s="8">
        <v>215</v>
      </c>
      <c r="E20311" s="8">
        <v>0</v>
      </c>
      <c r="F20311" s="8">
        <v>2151</v>
      </c>
    </row>
    <row r="20312" spans="1:6" ht="12.75">
      <c r="A20312" s="8">
        <v>43895.223958333328</v>
      </c>
      <c r="B20312" s="8" t="str">
        <f>HYPERLINK("https://twitter.com/dhanidhan78","@dhanidhan78")</f>
        <v>@dhanidhan78</v>
      </c>
      <c r="C20312" s="8" t="s">
        <v>6710</v>
      </c>
      <c r="D20312" s="8">
        <v>440</v>
      </c>
      <c r="E20312" s="8">
        <v>0</v>
      </c>
      <c r="F20312" s="8">
        <v>105</v>
      </c>
    </row>
    <row r="20313" spans="1:6" ht="12.75">
      <c r="A20313" s="8">
        <v>43895.222592592589</v>
      </c>
      <c r="B20313" s="8" t="str">
        <f>HYPERLINK("https://twitter.com/kompascom","@kompascom")</f>
        <v>@kompascom</v>
      </c>
      <c r="C20313" s="8" t="s">
        <v>8317</v>
      </c>
      <c r="D20313" s="8">
        <v>2</v>
      </c>
      <c r="E20313" s="8">
        <v>7</v>
      </c>
      <c r="F20313" s="8">
        <v>7528809</v>
      </c>
    </row>
    <row r="20314" spans="1:6" ht="12.75">
      <c r="A20314" s="8">
        <v>43895.222314814819</v>
      </c>
      <c r="B20314" s="8" t="str">
        <f>HYPERLINK("https://twitter.com/Saef25017392","@Saef25017392")</f>
        <v>@Saef25017392</v>
      </c>
      <c r="C20314" s="8" t="s">
        <v>8318</v>
      </c>
      <c r="D20314" s="8">
        <v>0</v>
      </c>
      <c r="E20314" s="8">
        <v>0</v>
      </c>
      <c r="F20314" s="8">
        <v>17</v>
      </c>
    </row>
    <row r="20315" spans="1:6" ht="12.75">
      <c r="A20315" s="8">
        <v>43895.221770833334</v>
      </c>
      <c r="B20315" s="8" t="str">
        <f>HYPERLINK("https://twitter.com/KekeySRiana","@KekeySRiana")</f>
        <v>@KekeySRiana</v>
      </c>
      <c r="C20315" s="8" t="s">
        <v>7473</v>
      </c>
      <c r="D20315" s="8">
        <v>215</v>
      </c>
      <c r="E20315" s="8">
        <v>0</v>
      </c>
      <c r="F20315" s="8">
        <v>1075</v>
      </c>
    </row>
    <row r="20316" spans="1:6" ht="12.75">
      <c r="A20316" s="8">
        <v>43895.219976851848</v>
      </c>
      <c r="B20316" s="8" t="str">
        <f>HYPERLINK("https://twitter.com/NKRI_Nomor_1","@NKRI_Nomor_1")</f>
        <v>@NKRI_Nomor_1</v>
      </c>
      <c r="C20316" s="8" t="s">
        <v>7244</v>
      </c>
      <c r="D20316" s="8">
        <v>37</v>
      </c>
      <c r="E20316" s="8">
        <v>0</v>
      </c>
      <c r="F20316" s="8">
        <v>2819</v>
      </c>
    </row>
    <row r="20317" spans="1:6" ht="12.75">
      <c r="A20317" s="8">
        <v>43895.219548611116</v>
      </c>
      <c r="B20317" s="8" t="str">
        <f>HYPERLINK("https://twitter.com/BudiPra78779216","@BudiPra78779216")</f>
        <v>@BudiPra78779216</v>
      </c>
      <c r="C20317" s="8" t="s">
        <v>8066</v>
      </c>
      <c r="D20317" s="8">
        <v>77</v>
      </c>
      <c r="E20317" s="8">
        <v>0</v>
      </c>
      <c r="F20317" s="8">
        <v>1615</v>
      </c>
    </row>
    <row r="20318" spans="1:6" ht="12.75">
      <c r="A20318" s="8">
        <v>43895.218923611115</v>
      </c>
      <c r="B20318" s="8" t="str">
        <f>HYPERLINK("https://twitter.com/Welsh_Scarlet","@Welsh_Scarlet")</f>
        <v>@Welsh_Scarlet</v>
      </c>
      <c r="C20318" s="8" t="s">
        <v>8308</v>
      </c>
      <c r="D20318" s="8">
        <v>9</v>
      </c>
      <c r="E20318" s="8">
        <v>0</v>
      </c>
      <c r="F20318" s="8">
        <v>560</v>
      </c>
    </row>
    <row r="20319" spans="1:6" ht="12.75">
      <c r="A20319" s="8">
        <v>43895.218576388885</v>
      </c>
      <c r="B20319" s="8" t="str">
        <f>HYPERLINK("https://twitter.com/ani_nyebar","@ani_nyebar")</f>
        <v>@ani_nyebar</v>
      </c>
      <c r="C20319" s="8" t="s">
        <v>8319</v>
      </c>
      <c r="D20319" s="8">
        <v>1</v>
      </c>
      <c r="E20319" s="8">
        <v>4</v>
      </c>
      <c r="F20319" s="8">
        <v>123</v>
      </c>
    </row>
    <row r="20320" spans="1:6" ht="12.75">
      <c r="A20320" s="8">
        <v>43895.217916666668</v>
      </c>
      <c r="B20320" s="8" t="str">
        <f>HYPERLINK("https://twitter.com/Laxyyta","@Laxyyta")</f>
        <v>@Laxyyta</v>
      </c>
      <c r="C20320" s="8" t="s">
        <v>7862</v>
      </c>
      <c r="D20320" s="8">
        <v>23</v>
      </c>
      <c r="E20320" s="8">
        <v>0</v>
      </c>
      <c r="F20320" s="8">
        <v>139</v>
      </c>
    </row>
    <row r="20321" spans="1:6" ht="12.75">
      <c r="A20321" s="8">
        <v>43895.217210648145</v>
      </c>
      <c r="B20321" s="8" t="str">
        <f>HYPERLINK("https://twitter.com/dagelan_dunia","@dagelan_dunia")</f>
        <v>@dagelan_dunia</v>
      </c>
      <c r="C20321" s="8" t="s">
        <v>7573</v>
      </c>
      <c r="D20321" s="8">
        <v>14</v>
      </c>
      <c r="E20321" s="8">
        <v>0</v>
      </c>
      <c r="F20321" s="8">
        <v>201</v>
      </c>
    </row>
    <row r="20322" spans="1:6" ht="12.75">
      <c r="A20322" s="8">
        <v>43895.21707175926</v>
      </c>
      <c r="B20322" s="8" t="str">
        <f>HYPERLINK("https://twitter.com/palbapang1","@palbapang1")</f>
        <v>@palbapang1</v>
      </c>
      <c r="C20322" s="8" t="s">
        <v>7715</v>
      </c>
      <c r="D20322" s="8">
        <v>68</v>
      </c>
      <c r="E20322" s="8">
        <v>0</v>
      </c>
      <c r="F20322" s="8">
        <v>1231</v>
      </c>
    </row>
    <row r="20323" spans="1:6" ht="12.75">
      <c r="A20323" s="8">
        <v>43895.21638888889</v>
      </c>
      <c r="B20323" s="8" t="str">
        <f>HYPERLINK("https://twitter.com/Yahya61367175","@Yahya61367175")</f>
        <v>@Yahya61367175</v>
      </c>
      <c r="C20323" s="8" t="s">
        <v>7573</v>
      </c>
      <c r="D20323" s="8">
        <v>14</v>
      </c>
      <c r="E20323" s="8">
        <v>0</v>
      </c>
      <c r="F20323" s="8">
        <v>76</v>
      </c>
    </row>
    <row r="20324" spans="1:6" ht="12.75">
      <c r="A20324" s="8">
        <v>43895.213240740741</v>
      </c>
      <c r="B20324" s="8" t="str">
        <f>HYPERLINK("https://twitter.com/Ubimerah1","@Ubimerah1")</f>
        <v>@Ubimerah1</v>
      </c>
      <c r="C20324" s="8" t="s">
        <v>6710</v>
      </c>
      <c r="D20324" s="8">
        <v>439</v>
      </c>
      <c r="E20324" s="8">
        <v>0</v>
      </c>
      <c r="F20324" s="8">
        <v>3</v>
      </c>
    </row>
    <row r="20325" spans="1:6" ht="12.75">
      <c r="A20325" s="8">
        <v>43895.213159722218</v>
      </c>
      <c r="B20325" s="8" t="str">
        <f>HYPERLINK("https://twitter.com/Tony_Harto","@Tony_Harto")</f>
        <v>@Tony_Harto</v>
      </c>
      <c r="C20325" s="8" t="s">
        <v>8320</v>
      </c>
      <c r="D20325" s="8">
        <v>0</v>
      </c>
      <c r="E20325" s="8">
        <v>0</v>
      </c>
      <c r="F20325" s="8">
        <v>6373</v>
      </c>
    </row>
    <row r="20326" spans="1:6" ht="12.75">
      <c r="A20326" s="8">
        <v>43895.212361111116</v>
      </c>
      <c r="B20326" s="8" t="str">
        <f>HYPERLINK("https://twitter.com/novaelvianti","@novaelvianti")</f>
        <v>@novaelvianti</v>
      </c>
      <c r="C20326" s="8" t="s">
        <v>7573</v>
      </c>
      <c r="D20326" s="8">
        <v>10</v>
      </c>
      <c r="E20326" s="8">
        <v>0</v>
      </c>
      <c r="F20326" s="8">
        <v>139</v>
      </c>
    </row>
    <row r="20327" spans="1:6" ht="12.75">
      <c r="A20327" s="8">
        <v>43895.208703703705</v>
      </c>
      <c r="B20327" s="8" t="str">
        <f>HYPERLINK("https://twitter.com/prytnma","@prytnma")</f>
        <v>@prytnma</v>
      </c>
      <c r="C20327" s="8" t="s">
        <v>7473</v>
      </c>
      <c r="D20327" s="8">
        <v>189</v>
      </c>
      <c r="E20327" s="8">
        <v>0</v>
      </c>
      <c r="F20327" s="8">
        <v>412</v>
      </c>
    </row>
    <row r="20328" spans="1:6" ht="12.75">
      <c r="A20328" s="8">
        <v>43895.208692129629</v>
      </c>
      <c r="B20328" s="8" t="str">
        <f>HYPERLINK("https://twitter.com/AyummaTanaka","@AyummaTanaka")</f>
        <v>@AyummaTanaka</v>
      </c>
      <c r="C20328" s="8" t="s">
        <v>7265</v>
      </c>
      <c r="D20328" s="8">
        <v>0</v>
      </c>
      <c r="E20328" s="8">
        <v>0</v>
      </c>
      <c r="F20328" s="8">
        <v>1097</v>
      </c>
    </row>
    <row r="20329" spans="1:6" ht="12.75">
      <c r="A20329" s="8">
        <v>43895.207997685182</v>
      </c>
      <c r="B20329" s="8" t="str">
        <f>HYPERLINK("https://twitter.com/Adra_silent","@Adra_silent")</f>
        <v>@Adra_silent</v>
      </c>
      <c r="C20329" s="8" t="s">
        <v>7244</v>
      </c>
      <c r="D20329" s="8">
        <v>35</v>
      </c>
      <c r="E20329" s="8">
        <v>0</v>
      </c>
      <c r="F20329" s="8">
        <v>4175</v>
      </c>
    </row>
    <row r="20330" spans="1:6" ht="12.75">
      <c r="A20330" s="8">
        <v>43895.205081018517</v>
      </c>
      <c r="B20330" s="8" t="str">
        <f>HYPERLINK("https://twitter.com/te_salon_ika","@te_salon_ika")</f>
        <v>@te_salon_ika</v>
      </c>
      <c r="C20330" s="8" t="s">
        <v>8321</v>
      </c>
      <c r="D20330" s="8">
        <v>54</v>
      </c>
      <c r="E20330" s="8">
        <v>0</v>
      </c>
      <c r="F20330" s="8">
        <v>603</v>
      </c>
    </row>
    <row r="20331" spans="1:6" ht="12.75">
      <c r="A20331" s="8">
        <v>43895.201226851852</v>
      </c>
      <c r="B20331" s="8" t="str">
        <f>HYPERLINK("https://twitter.com/Adra_silent","@Adra_silent")</f>
        <v>@Adra_silent</v>
      </c>
      <c r="C20331" s="8" t="s">
        <v>7715</v>
      </c>
      <c r="D20331" s="8">
        <v>61</v>
      </c>
      <c r="E20331" s="8">
        <v>0</v>
      </c>
      <c r="F20331" s="8">
        <v>4175</v>
      </c>
    </row>
    <row r="20332" spans="1:6" ht="12.75">
      <c r="A20332" s="8">
        <v>43895.199849537035</v>
      </c>
      <c r="B20332" s="8" t="str">
        <f>HYPERLINK("https://twitter.com/MJoeJoef1","@MJoeJoef1")</f>
        <v>@MJoeJoef1</v>
      </c>
      <c r="C20332" s="8" t="s">
        <v>8322</v>
      </c>
      <c r="D20332" s="8">
        <v>778</v>
      </c>
      <c r="E20332" s="8">
        <v>0</v>
      </c>
      <c r="F20332" s="8">
        <v>624</v>
      </c>
    </row>
    <row r="20333" spans="1:6" ht="12.75">
      <c r="A20333" s="8">
        <v>43895.197199074071</v>
      </c>
      <c r="B20333" s="8" t="str">
        <f>HYPERLINK("https://twitter.com/HRs_outSIDer","@HRs_outSIDer")</f>
        <v>@HRs_outSIDer</v>
      </c>
      <c r="C20333" s="8" t="s">
        <v>2941</v>
      </c>
      <c r="D20333" s="8">
        <v>1098</v>
      </c>
      <c r="E20333" s="8">
        <v>0</v>
      </c>
      <c r="F20333" s="8">
        <v>929</v>
      </c>
    </row>
    <row r="20334" spans="1:6" ht="12.75">
      <c r="A20334" s="8">
        <v>43895.196134259255</v>
      </c>
      <c r="B20334" s="8" t="str">
        <f>HYPERLINK("https://twitter.com/imus28","@imus28")</f>
        <v>@imus28</v>
      </c>
      <c r="C20334" s="8" t="s">
        <v>8323</v>
      </c>
      <c r="D20334" s="8">
        <v>34</v>
      </c>
      <c r="E20334" s="8">
        <v>0</v>
      </c>
      <c r="F20334" s="8">
        <v>905</v>
      </c>
    </row>
    <row r="20335" spans="1:6" ht="12.75">
      <c r="A20335" s="8">
        <v>43895.194398148145</v>
      </c>
      <c r="B20335" s="8" t="str">
        <f t="shared" ref="B20335:B20336" si="300">HYPERLINK("https://twitter.com/wni_jmsri","@wni_jmsri")</f>
        <v>@wni_jmsri</v>
      </c>
      <c r="C20335" s="8" t="s">
        <v>8324</v>
      </c>
      <c r="D20335" s="8">
        <v>2794</v>
      </c>
      <c r="E20335" s="8">
        <v>0</v>
      </c>
      <c r="F20335" s="8">
        <v>200</v>
      </c>
    </row>
    <row r="20336" spans="1:6" ht="12.75">
      <c r="A20336" s="8">
        <v>43895.194062499999</v>
      </c>
      <c r="B20336" s="8" t="str">
        <f t="shared" si="300"/>
        <v>@wni_jmsri</v>
      </c>
      <c r="C20336" s="8" t="s">
        <v>8325</v>
      </c>
      <c r="D20336" s="8">
        <v>101</v>
      </c>
      <c r="E20336" s="8">
        <v>0</v>
      </c>
      <c r="F20336" s="8">
        <v>200</v>
      </c>
    </row>
    <row r="20337" spans="1:6" ht="12.75">
      <c r="A20337" s="8">
        <v>43895.192129629635</v>
      </c>
      <c r="B20337" s="8" t="str">
        <f>HYPERLINK("https://twitter.com/dreamofDaru","@dreamofDaru")</f>
        <v>@dreamofDaru</v>
      </c>
      <c r="C20337" s="8" t="s">
        <v>2199</v>
      </c>
      <c r="D20337" s="8">
        <v>9091</v>
      </c>
      <c r="E20337" s="8">
        <v>0</v>
      </c>
      <c r="F20337" s="8">
        <v>1088</v>
      </c>
    </row>
    <row r="20338" spans="1:6" ht="12.75">
      <c r="A20338" s="8">
        <v>43895.191516203704</v>
      </c>
      <c r="B20338" s="8" t="str">
        <f>HYPERLINK("https://twitter.com/andy_hartono","@andy_hartono")</f>
        <v>@andy_hartono</v>
      </c>
      <c r="C20338" s="8" t="s">
        <v>6710</v>
      </c>
      <c r="D20338" s="8">
        <v>439</v>
      </c>
      <c r="E20338" s="8">
        <v>0</v>
      </c>
      <c r="F20338" s="8">
        <v>264</v>
      </c>
    </row>
    <row r="20339" spans="1:6" ht="12.75">
      <c r="A20339" s="8">
        <v>43895.190127314811</v>
      </c>
      <c r="B20339" s="8" t="str">
        <f>HYPERLINK("https://twitter.com/bamby9999","@bamby9999")</f>
        <v>@bamby9999</v>
      </c>
      <c r="C20339" s="8" t="s">
        <v>2979</v>
      </c>
      <c r="D20339" s="8">
        <v>131</v>
      </c>
      <c r="E20339" s="8">
        <v>0</v>
      </c>
      <c r="F20339" s="8">
        <v>175</v>
      </c>
    </row>
    <row r="20340" spans="1:6" ht="12.75">
      <c r="A20340" s="8">
        <v>43895.18922453704</v>
      </c>
      <c r="B20340" s="8" t="str">
        <f>HYPERLINK("https://twitter.com/niazijunaid1122","@niazijunaid1122")</f>
        <v>@niazijunaid1122</v>
      </c>
      <c r="C20340" s="8" t="s">
        <v>8326</v>
      </c>
      <c r="D20340" s="8">
        <v>0</v>
      </c>
      <c r="E20340" s="8">
        <v>0</v>
      </c>
      <c r="F20340" s="8">
        <v>65</v>
      </c>
    </row>
    <row r="20341" spans="1:6" ht="12.75">
      <c r="A20341" s="8">
        <v>43895.187754629631</v>
      </c>
      <c r="B20341" s="8" t="str">
        <f>HYPERLINK("https://twitter.com/olinriza","@olinriza")</f>
        <v>@olinriza</v>
      </c>
      <c r="C20341" s="8" t="s">
        <v>8327</v>
      </c>
      <c r="D20341" s="8">
        <v>0</v>
      </c>
      <c r="E20341" s="8">
        <v>0</v>
      </c>
      <c r="F20341" s="8">
        <v>2167</v>
      </c>
    </row>
    <row r="20342" spans="1:6" ht="12.75">
      <c r="A20342" s="8">
        <v>43895.186689814815</v>
      </c>
      <c r="B20342" s="8" t="str">
        <f>HYPERLINK("https://twitter.com/DebiKurnia22","@DebiKurnia22")</f>
        <v>@DebiKurnia22</v>
      </c>
      <c r="C20342" s="8" t="s">
        <v>8024</v>
      </c>
      <c r="D20342" s="8">
        <v>13</v>
      </c>
      <c r="E20342" s="8">
        <v>0</v>
      </c>
      <c r="F20342" s="8">
        <v>309</v>
      </c>
    </row>
    <row r="20343" spans="1:6" ht="12.75">
      <c r="A20343" s="8">
        <v>43895.185185185182</v>
      </c>
      <c r="B20343" s="8" t="str">
        <f>HYPERLINK("https://twitter.com/DarkKnight_M27","@DarkKnight_M27")</f>
        <v>@DarkKnight_M27</v>
      </c>
      <c r="C20343" s="8" t="s">
        <v>7575</v>
      </c>
      <c r="D20343" s="8">
        <v>55</v>
      </c>
      <c r="E20343" s="8">
        <v>0</v>
      </c>
      <c r="F20343" s="8">
        <v>5573</v>
      </c>
    </row>
    <row r="20344" spans="1:6" ht="12.75">
      <c r="A20344" s="8">
        <v>43895.184999999998</v>
      </c>
      <c r="B20344" s="8" t="str">
        <f>HYPERLINK("https://twitter.com/qpikzpikz","@qpikzpikz")</f>
        <v>@qpikzpikz</v>
      </c>
      <c r="C20344" s="8" t="s">
        <v>6710</v>
      </c>
      <c r="D20344" s="8">
        <v>439</v>
      </c>
      <c r="E20344" s="8">
        <v>0</v>
      </c>
      <c r="F20344" s="8">
        <v>6</v>
      </c>
    </row>
    <row r="20345" spans="1:6" ht="12.75">
      <c r="A20345" s="8">
        <v>43895.183321759258</v>
      </c>
      <c r="B20345" s="8" t="str">
        <f>HYPERLINK("https://twitter.com/atullprakasiwi2","@atullprakasiwi2")</f>
        <v>@atullprakasiwi2</v>
      </c>
      <c r="C20345" s="8" t="s">
        <v>7604</v>
      </c>
      <c r="D20345" s="8">
        <v>33</v>
      </c>
      <c r="E20345" s="8">
        <v>0</v>
      </c>
      <c r="F20345" s="8">
        <v>9</v>
      </c>
    </row>
    <row r="20346" spans="1:6" ht="12.75">
      <c r="A20346" s="8">
        <v>43895.182893518519</v>
      </c>
      <c r="B20346" s="8" t="str">
        <f>HYPERLINK("https://twitter.com/PantunJ2P","@PantunJ2P")</f>
        <v>@PantunJ2P</v>
      </c>
      <c r="C20346" s="8" t="s">
        <v>7473</v>
      </c>
      <c r="D20346" s="8">
        <v>189</v>
      </c>
      <c r="E20346" s="8">
        <v>0</v>
      </c>
      <c r="F20346" s="8">
        <v>12927</v>
      </c>
    </row>
    <row r="20347" spans="1:6" ht="12.75">
      <c r="A20347" s="8">
        <v>43895.181921296295</v>
      </c>
      <c r="B20347" s="8" t="str">
        <f>HYPERLINK("https://twitter.com/4mo_1_d3lf1n1","@4mo_1_d3lf1n1")</f>
        <v>@4mo_1_d3lf1n1</v>
      </c>
      <c r="C20347" s="8" t="s">
        <v>8328</v>
      </c>
      <c r="D20347" s="8">
        <v>0</v>
      </c>
      <c r="E20347" s="8">
        <v>0</v>
      </c>
      <c r="F20347" s="8">
        <v>1699</v>
      </c>
    </row>
    <row r="20348" spans="1:6" ht="12.75">
      <c r="A20348" s="8">
        <v>43895.179733796293</v>
      </c>
      <c r="B20348" s="8" t="str">
        <f t="shared" ref="B20348:B20349" si="301">HYPERLINK("https://twitter.com/aguscosmo","@aguscosmo")</f>
        <v>@aguscosmo</v>
      </c>
      <c r="C20348" s="8" t="s">
        <v>7254</v>
      </c>
      <c r="D20348" s="8">
        <v>27</v>
      </c>
      <c r="E20348" s="8">
        <v>0</v>
      </c>
      <c r="F20348" s="8">
        <v>313</v>
      </c>
    </row>
    <row r="20349" spans="1:6" ht="12.75">
      <c r="A20349" s="8">
        <v>43895.179560185185</v>
      </c>
      <c r="B20349" s="8" t="str">
        <f t="shared" si="301"/>
        <v>@aguscosmo</v>
      </c>
      <c r="C20349" s="8" t="s">
        <v>8329</v>
      </c>
      <c r="D20349" s="8">
        <v>3</v>
      </c>
      <c r="E20349" s="8">
        <v>0</v>
      </c>
      <c r="F20349" s="8">
        <v>313</v>
      </c>
    </row>
    <row r="20350" spans="1:6" ht="12.75">
      <c r="A20350" s="8">
        <v>43895.177789351852</v>
      </c>
      <c r="B20350" s="8" t="str">
        <f>HYPERLINK("https://twitter.com/andriyhans9","@andriyhans9")</f>
        <v>@andriyhans9</v>
      </c>
      <c r="C20350" s="8" t="s">
        <v>6710</v>
      </c>
      <c r="D20350" s="8">
        <v>439</v>
      </c>
      <c r="E20350" s="8">
        <v>0</v>
      </c>
      <c r="F20350" s="8">
        <v>51</v>
      </c>
    </row>
    <row r="20351" spans="1:6" ht="12.75">
      <c r="A20351" s="8">
        <v>43895.175486111111</v>
      </c>
      <c r="B20351" s="8" t="str">
        <f>HYPERLINK("https://twitter.com/MadeAdiyatama","@MadeAdiyatama")</f>
        <v>@MadeAdiyatama</v>
      </c>
      <c r="C20351" s="8" t="s">
        <v>6710</v>
      </c>
      <c r="D20351" s="8">
        <v>439</v>
      </c>
      <c r="E20351" s="8">
        <v>0</v>
      </c>
      <c r="F20351" s="8">
        <v>294</v>
      </c>
    </row>
    <row r="20352" spans="1:6" ht="12.75">
      <c r="A20352" s="8">
        <v>43895.173611111109</v>
      </c>
      <c r="B20352" s="8" t="str">
        <f>HYPERLINK("https://twitter.com/indonesiana","@indonesiana")</f>
        <v>@indonesiana</v>
      </c>
      <c r="C20352" s="8" t="s">
        <v>8330</v>
      </c>
      <c r="D20352" s="8">
        <v>0</v>
      </c>
      <c r="E20352" s="8">
        <v>0</v>
      </c>
      <c r="F20352" s="8">
        <v>49726</v>
      </c>
    </row>
    <row r="20353" spans="1:6" ht="12.75">
      <c r="A20353" s="8">
        <v>43895.173564814817</v>
      </c>
      <c r="B20353" s="8" t="str">
        <f>HYPERLINK("https://twitter.com/RahmansyahKbh","@RahmansyahKbh")</f>
        <v>@RahmansyahKbh</v>
      </c>
      <c r="C20353" s="8" t="s">
        <v>8331</v>
      </c>
      <c r="D20353" s="8">
        <v>0</v>
      </c>
      <c r="E20353" s="8">
        <v>0</v>
      </c>
      <c r="F20353" s="8">
        <v>18</v>
      </c>
    </row>
    <row r="20354" spans="1:6" ht="12.75">
      <c r="A20354" s="8">
        <v>43895.172986111109</v>
      </c>
      <c r="B20354" s="8" t="str">
        <f>HYPERLINK("https://twitter.com/AliLenon1","@AliLenon1")</f>
        <v>@AliLenon1</v>
      </c>
      <c r="C20354" s="8" t="s">
        <v>3285</v>
      </c>
      <c r="D20354" s="8">
        <v>96</v>
      </c>
      <c r="E20354" s="8">
        <v>0</v>
      </c>
      <c r="F20354" s="8">
        <v>1333</v>
      </c>
    </row>
    <row r="20355" spans="1:6" ht="12.75">
      <c r="A20355" s="8">
        <v>43895.169918981483</v>
      </c>
      <c r="B20355" s="8" t="str">
        <f>HYPERLINK("https://twitter.com/Ikharomen1","@Ikharomen1")</f>
        <v>@Ikharomen1</v>
      </c>
      <c r="C20355" s="8" t="s">
        <v>8332</v>
      </c>
      <c r="D20355" s="8">
        <v>0</v>
      </c>
      <c r="E20355" s="8">
        <v>0</v>
      </c>
      <c r="F20355" s="8">
        <v>3</v>
      </c>
    </row>
    <row r="20356" spans="1:6" ht="12.75">
      <c r="A20356" s="8">
        <v>43895.168749999997</v>
      </c>
      <c r="B20356" s="8" t="str">
        <f>HYPERLINK("https://twitter.com/ItsMyRealQuotes","@ItsMyRealQuotes")</f>
        <v>@ItsMyRealQuotes</v>
      </c>
      <c r="C20356" s="8" t="s">
        <v>8333</v>
      </c>
      <c r="D20356" s="8">
        <v>0</v>
      </c>
      <c r="E20356" s="8">
        <v>0</v>
      </c>
      <c r="F20356" s="8">
        <v>183754</v>
      </c>
    </row>
    <row r="20357" spans="1:6" ht="12.75">
      <c r="A20357" s="8">
        <v>43895.167812500003</v>
      </c>
      <c r="B20357" s="8" t="str">
        <f>HYPERLINK("https://twitter.com/HRMalik12","@HRMalik12")</f>
        <v>@HRMalik12</v>
      </c>
      <c r="C20357" s="8" t="s">
        <v>7987</v>
      </c>
      <c r="D20357" s="8">
        <v>30</v>
      </c>
      <c r="E20357" s="8">
        <v>0</v>
      </c>
      <c r="F20357" s="8">
        <v>270</v>
      </c>
    </row>
    <row r="20358" spans="1:6" ht="12.75">
      <c r="A20358" s="8">
        <v>43895.167638888888</v>
      </c>
      <c r="B20358" s="8" t="str">
        <f>HYPERLINK("https://twitter.com/sapulebu99","@sapulebu99")</f>
        <v>@sapulebu99</v>
      </c>
      <c r="C20358" s="8" t="s">
        <v>8228</v>
      </c>
      <c r="D20358" s="8">
        <v>5</v>
      </c>
      <c r="E20358" s="8">
        <v>0</v>
      </c>
      <c r="F20358" s="8">
        <v>322</v>
      </c>
    </row>
    <row r="20359" spans="1:6" ht="12.75">
      <c r="A20359" s="8">
        <v>43895.167488425926</v>
      </c>
      <c r="B20359" s="8" t="str">
        <f>HYPERLINK("https://twitter.com/JakartaStar","@JakartaStar")</f>
        <v>@JakartaStar</v>
      </c>
      <c r="C20359" s="8" t="s">
        <v>7473</v>
      </c>
      <c r="D20359" s="8">
        <v>182</v>
      </c>
      <c r="E20359" s="8">
        <v>0</v>
      </c>
      <c r="F20359" s="8">
        <v>5703</v>
      </c>
    </row>
    <row r="20360" spans="1:6" ht="12.75">
      <c r="A20360" s="8">
        <v>43895.166562500002</v>
      </c>
      <c r="B20360" s="8" t="str">
        <f>HYPERLINK("https://twitter.com/Yadi33653534","@Yadi33653534")</f>
        <v>@Yadi33653534</v>
      </c>
      <c r="C20360" s="8" t="s">
        <v>7573</v>
      </c>
      <c r="D20360" s="8">
        <v>9</v>
      </c>
      <c r="E20360" s="8">
        <v>0</v>
      </c>
      <c r="F20360" s="8">
        <v>602</v>
      </c>
    </row>
    <row r="20361" spans="1:6" ht="12.75">
      <c r="A20361" s="8">
        <v>43895.165358796294</v>
      </c>
      <c r="B20361" s="8" t="str">
        <f>HYPERLINK("https://twitter.com/ExtraditionL4w_","@ExtraditionL4w_")</f>
        <v>@ExtraditionL4w_</v>
      </c>
      <c r="C20361" s="8" t="s">
        <v>8334</v>
      </c>
      <c r="D20361" s="8">
        <v>0</v>
      </c>
      <c r="E20361" s="8">
        <v>1</v>
      </c>
      <c r="F20361" s="8">
        <v>1495</v>
      </c>
    </row>
    <row r="20362" spans="1:6" ht="12.75">
      <c r="A20362" s="8">
        <v>43895.163229166668</v>
      </c>
      <c r="B20362" s="8" t="str">
        <f>HYPERLINK("https://twitter.com/dubie_tina","@dubie_tina")</f>
        <v>@dubie_tina</v>
      </c>
      <c r="C20362" s="8" t="s">
        <v>7987</v>
      </c>
      <c r="D20362" s="8">
        <v>30</v>
      </c>
      <c r="E20362" s="8">
        <v>0</v>
      </c>
      <c r="F20362" s="8">
        <v>1075</v>
      </c>
    </row>
    <row r="20363" spans="1:6" ht="12.75">
      <c r="A20363" s="8">
        <v>43895.162129629629</v>
      </c>
      <c r="B20363" s="8" t="str">
        <f>HYPERLINK("https://twitter.com/r96sperstar","@r96sperstar")</f>
        <v>@r96sperstar</v>
      </c>
      <c r="C20363" s="8" t="s">
        <v>8335</v>
      </c>
      <c r="D20363" s="8">
        <v>0</v>
      </c>
      <c r="E20363" s="8">
        <v>1</v>
      </c>
      <c r="F20363" s="8">
        <v>457</v>
      </c>
    </row>
    <row r="20364" spans="1:6" ht="12.75">
      <c r="A20364" s="8">
        <v>43895.159664351857</v>
      </c>
      <c r="B20364" s="8" t="str">
        <f>HYPERLINK("https://twitter.com/leamaya6","@leamaya6")</f>
        <v>@leamaya6</v>
      </c>
      <c r="C20364" s="8" t="s">
        <v>8336</v>
      </c>
      <c r="D20364" s="8">
        <v>0</v>
      </c>
      <c r="E20364" s="8">
        <v>0</v>
      </c>
      <c r="F20364" s="8">
        <v>863</v>
      </c>
    </row>
    <row r="20365" spans="1:6" ht="12.75">
      <c r="A20365" s="8">
        <v>43895.159432870365</v>
      </c>
      <c r="B20365" s="8" t="str">
        <f>HYPERLINK("https://twitter.com/Fredy_Santana01","@Fredy_Santana01")</f>
        <v>@Fredy_Santana01</v>
      </c>
      <c r="C20365" s="8" t="s">
        <v>8337</v>
      </c>
      <c r="D20365" s="8">
        <v>19</v>
      </c>
      <c r="E20365" s="8">
        <v>0</v>
      </c>
      <c r="F20365" s="8">
        <v>1709</v>
      </c>
    </row>
    <row r="20366" spans="1:6" ht="12.75">
      <c r="A20366" s="8">
        <v>43895.158726851849</v>
      </c>
      <c r="B20366" s="8" t="str">
        <f>HYPERLINK("https://twitter.com/ChocoAelita","@ChocoAelita")</f>
        <v>@ChocoAelita</v>
      </c>
      <c r="C20366" s="8" t="s">
        <v>7575</v>
      </c>
      <c r="D20366" s="8">
        <v>54</v>
      </c>
      <c r="E20366" s="8">
        <v>0</v>
      </c>
      <c r="F20366" s="8">
        <v>327</v>
      </c>
    </row>
    <row r="20367" spans="1:6" ht="12.75">
      <c r="A20367" s="8">
        <v>43895.158067129625</v>
      </c>
      <c r="B20367" s="8" t="str">
        <f>HYPERLINK("https://twitter.com/el_uthmaan","@el_uthmaan")</f>
        <v>@el_uthmaan</v>
      </c>
      <c r="C20367" s="8" t="s">
        <v>8338</v>
      </c>
      <c r="D20367" s="8">
        <v>0</v>
      </c>
      <c r="E20367" s="8">
        <v>2</v>
      </c>
      <c r="F20367" s="8">
        <v>14968</v>
      </c>
    </row>
    <row r="20368" spans="1:6" ht="12.75">
      <c r="A20368" s="8">
        <v>43895.157951388886</v>
      </c>
      <c r="B20368" s="8" t="str">
        <f>HYPERLINK("https://twitter.com/Rizal_Valen76","@Rizal_Valen76")</f>
        <v>@Rizal_Valen76</v>
      </c>
      <c r="C20368" s="8" t="s">
        <v>7473</v>
      </c>
      <c r="D20368" s="8">
        <v>182</v>
      </c>
      <c r="E20368" s="8">
        <v>0</v>
      </c>
      <c r="F20368" s="8">
        <v>2826</v>
      </c>
    </row>
    <row r="20369" spans="1:6" ht="12.75">
      <c r="A20369" s="8">
        <v>43895.157893518517</v>
      </c>
      <c r="B20369" s="8" t="str">
        <f>HYPERLINK("https://twitter.com/Jmmarlus","@Jmmarlus")</f>
        <v>@Jmmarlus</v>
      </c>
      <c r="C20369" s="8" t="s">
        <v>7575</v>
      </c>
      <c r="D20369" s="8">
        <v>54</v>
      </c>
      <c r="E20369" s="8">
        <v>0</v>
      </c>
      <c r="F20369" s="8">
        <v>3397</v>
      </c>
    </row>
    <row r="20370" spans="1:6" ht="12.75">
      <c r="A20370" s="8">
        <v>43895.156967592593</v>
      </c>
      <c r="B20370" s="8" t="str">
        <f>HYPERLINK("https://twitter.com/yenti64407225","@yenti64407225")</f>
        <v>@yenti64407225</v>
      </c>
      <c r="C20370" s="8" t="s">
        <v>6710</v>
      </c>
      <c r="D20370" s="8">
        <v>434</v>
      </c>
      <c r="E20370" s="8">
        <v>0</v>
      </c>
      <c r="F20370" s="8">
        <v>79</v>
      </c>
    </row>
    <row r="20371" spans="1:6" ht="12.75">
      <c r="A20371" s="8">
        <v>43895.156782407408</v>
      </c>
      <c r="B20371" s="8" t="str">
        <f>HYPERLINK("https://twitter.com/JokoFighter01","@JokoFighter01")</f>
        <v>@JokoFighter01</v>
      </c>
      <c r="C20371" s="8" t="s">
        <v>7473</v>
      </c>
      <c r="D20371" s="8">
        <v>182</v>
      </c>
      <c r="E20371" s="8">
        <v>0</v>
      </c>
      <c r="F20371" s="8">
        <v>538</v>
      </c>
    </row>
    <row r="20372" spans="1:6" ht="12.75">
      <c r="A20372" s="8">
        <v>43895.155810185184</v>
      </c>
      <c r="B20372" s="8" t="str">
        <f>HYPERLINK("https://twitter.com/johan_woda","@johan_woda")</f>
        <v>@johan_woda</v>
      </c>
      <c r="C20372" s="8" t="s">
        <v>2979</v>
      </c>
      <c r="D20372" s="8">
        <v>129</v>
      </c>
      <c r="E20372" s="8">
        <v>0</v>
      </c>
      <c r="F20372" s="8">
        <v>412</v>
      </c>
    </row>
    <row r="20373" spans="1:6" ht="12.75">
      <c r="A20373" s="8">
        <v>43895.154166666667</v>
      </c>
      <c r="B20373" s="8" t="str">
        <f>HYPERLINK("https://twitter.com/healthyliveID","@healthyliveID")</f>
        <v>@healthyliveID</v>
      </c>
      <c r="C20373" s="8" t="s">
        <v>8339</v>
      </c>
      <c r="D20373" s="8">
        <v>0</v>
      </c>
      <c r="E20373" s="8">
        <v>0</v>
      </c>
      <c r="F20373" s="8">
        <v>45106</v>
      </c>
    </row>
    <row r="20374" spans="1:6" ht="12.75">
      <c r="A20374" s="8">
        <v>43895.150937500002</v>
      </c>
      <c r="B20374" s="8" t="str">
        <f>HYPERLINK("https://twitter.com/muharimumu","@muharimumu")</f>
        <v>@muharimumu</v>
      </c>
      <c r="C20374" s="8" t="s">
        <v>8194</v>
      </c>
      <c r="D20374" s="8">
        <v>76</v>
      </c>
      <c r="E20374" s="8">
        <v>0</v>
      </c>
      <c r="F20374" s="8">
        <v>279</v>
      </c>
    </row>
    <row r="20375" spans="1:6" ht="12.75">
      <c r="A20375" s="8">
        <v>43895.149085648147</v>
      </c>
      <c r="B20375" s="8" t="str">
        <f>HYPERLINK("https://twitter.com/Itsmelalalan","@Itsmelalalan")</f>
        <v>@Itsmelalalan</v>
      </c>
      <c r="C20375" s="8" t="s">
        <v>8024</v>
      </c>
      <c r="D20375" s="8">
        <v>12</v>
      </c>
      <c r="E20375" s="8">
        <v>0</v>
      </c>
      <c r="F20375" s="8">
        <v>714</v>
      </c>
    </row>
    <row r="20376" spans="1:6" ht="12.75">
      <c r="A20376" s="8">
        <v>43895.146898148145</v>
      </c>
      <c r="B20376" s="8" t="str">
        <f>HYPERLINK("https://twitter.com/MVVZ3","@MVVZ3")</f>
        <v>@MVVZ3</v>
      </c>
      <c r="C20376" s="8" t="s">
        <v>7715</v>
      </c>
      <c r="D20376" s="8">
        <v>59</v>
      </c>
      <c r="E20376" s="8">
        <v>0</v>
      </c>
      <c r="F20376" s="8">
        <v>1066</v>
      </c>
    </row>
    <row r="20377" spans="1:6" ht="12.75">
      <c r="A20377" s="8">
        <v>43895.146203703705</v>
      </c>
      <c r="B20377" s="8" t="str">
        <f>HYPERLINK("https://twitter.com/snjayajonggrang","@snjayajonggrang")</f>
        <v>@snjayajonggrang</v>
      </c>
      <c r="C20377" s="8" t="s">
        <v>7987</v>
      </c>
      <c r="D20377" s="8">
        <v>30</v>
      </c>
      <c r="E20377" s="8">
        <v>0</v>
      </c>
      <c r="F20377" s="8">
        <v>3878</v>
      </c>
    </row>
    <row r="20378" spans="1:6" ht="12.75">
      <c r="A20378" s="8">
        <v>43895.145752314813</v>
      </c>
      <c r="B20378" s="8" t="str">
        <f>HYPERLINK("https://twitter.com/AliLenon1","@AliLenon1")</f>
        <v>@AliLenon1</v>
      </c>
      <c r="C20378" s="8" t="s">
        <v>2979</v>
      </c>
      <c r="D20378" s="8">
        <v>129</v>
      </c>
      <c r="E20378" s="8">
        <v>0</v>
      </c>
      <c r="F20378" s="8">
        <v>1333</v>
      </c>
    </row>
    <row r="20379" spans="1:6" ht="12.75">
      <c r="A20379" s="8">
        <v>43895.144479166665</v>
      </c>
      <c r="B20379" s="8" t="str">
        <f>HYPERLINK("https://twitter.com/Pujabasu19","@Pujabasu19")</f>
        <v>@Pujabasu19</v>
      </c>
      <c r="C20379" s="8" t="s">
        <v>8340</v>
      </c>
      <c r="D20379" s="8">
        <v>0</v>
      </c>
      <c r="E20379" s="8">
        <v>1</v>
      </c>
      <c r="F20379" s="8">
        <v>45</v>
      </c>
    </row>
    <row r="20380" spans="1:6" ht="12.75">
      <c r="A20380" s="8">
        <v>43895.143935185188</v>
      </c>
      <c r="B20380" s="8" t="str">
        <f>HYPERLINK("https://twitter.com/moza_unique","@moza_unique")</f>
        <v>@moza_unique</v>
      </c>
      <c r="C20380" s="8" t="s">
        <v>1986</v>
      </c>
      <c r="D20380" s="8">
        <v>863</v>
      </c>
      <c r="E20380" s="8">
        <v>0</v>
      </c>
      <c r="F20380" s="8">
        <v>246</v>
      </c>
    </row>
    <row r="20381" spans="1:6" ht="12.75">
      <c r="A20381" s="8">
        <v>43895.143842592588</v>
      </c>
      <c r="B20381" s="8" t="str">
        <f>HYPERLINK("https://twitter.com/achingjpl","@achingjpl")</f>
        <v>@achingjpl</v>
      </c>
      <c r="C20381" s="8" t="s">
        <v>7473</v>
      </c>
      <c r="D20381" s="8">
        <v>182</v>
      </c>
      <c r="E20381" s="8">
        <v>0</v>
      </c>
      <c r="F20381" s="8">
        <v>318</v>
      </c>
    </row>
    <row r="20382" spans="1:6" ht="12.75">
      <c r="A20382" s="8">
        <v>43895.142789351856</v>
      </c>
      <c r="B20382" s="8" t="str">
        <f>HYPERLINK("https://twitter.com/Dulkenyot14","@Dulkenyot14")</f>
        <v>@Dulkenyot14</v>
      </c>
      <c r="C20382" s="8" t="s">
        <v>2979</v>
      </c>
      <c r="D20382" s="8">
        <v>129</v>
      </c>
      <c r="E20382" s="8">
        <v>0</v>
      </c>
      <c r="F20382" s="8">
        <v>859</v>
      </c>
    </row>
    <row r="20383" spans="1:6" ht="12.75">
      <c r="A20383" s="8">
        <v>43895.142731481479</v>
      </c>
      <c r="B20383" s="8" t="str">
        <f>HYPERLINK("https://twitter.com/moza_unique","@moza_unique")</f>
        <v>@moza_unique</v>
      </c>
      <c r="C20383" s="8" t="s">
        <v>8212</v>
      </c>
      <c r="D20383" s="8">
        <v>162</v>
      </c>
      <c r="E20383" s="8">
        <v>0</v>
      </c>
      <c r="F20383" s="8">
        <v>246</v>
      </c>
    </row>
    <row r="20384" spans="1:6" ht="12.75">
      <c r="A20384" s="8">
        <v>43895.142361111109</v>
      </c>
      <c r="B20384" s="8" t="str">
        <f>HYPERLINK("https://twitter.com/rqlabigail","@rqlabigail")</f>
        <v>@rqlabigail</v>
      </c>
      <c r="C20384" s="8" t="s">
        <v>8341</v>
      </c>
      <c r="D20384" s="8">
        <v>0</v>
      </c>
      <c r="E20384" s="8">
        <v>0</v>
      </c>
      <c r="F20384" s="8">
        <v>5</v>
      </c>
    </row>
    <row r="20385" spans="1:6" ht="12.75">
      <c r="A20385" s="8">
        <v>43895.141643518524</v>
      </c>
      <c r="B20385" s="8" t="str">
        <f>HYPERLINK("https://twitter.com/Abrata73647759","@Abrata73647759")</f>
        <v>@Abrata73647759</v>
      </c>
      <c r="C20385" s="8" t="s">
        <v>8230</v>
      </c>
      <c r="D20385" s="8">
        <v>96</v>
      </c>
      <c r="E20385" s="8">
        <v>0</v>
      </c>
      <c r="F20385" s="8">
        <v>67</v>
      </c>
    </row>
    <row r="20386" spans="1:6" ht="12.75">
      <c r="A20386" s="8">
        <v>43895.139004629629</v>
      </c>
      <c r="B20386" s="8" t="str">
        <f>HYPERLINK("https://twitter.com/ranggalawe727","@ranggalawe727")</f>
        <v>@ranggalawe727</v>
      </c>
      <c r="C20386" s="8" t="s">
        <v>7715</v>
      </c>
      <c r="D20386" s="8">
        <v>59</v>
      </c>
      <c r="E20386" s="8">
        <v>0</v>
      </c>
      <c r="F20386" s="8">
        <v>324</v>
      </c>
    </row>
    <row r="20387" spans="1:6" ht="12.75">
      <c r="A20387" s="8">
        <v>43895.138032407413</v>
      </c>
      <c r="B20387" s="8" t="str">
        <f>HYPERLINK("https://twitter.com/ari_ro88","@ari_ro88")</f>
        <v>@ari_ro88</v>
      </c>
      <c r="C20387" s="8" t="s">
        <v>6222</v>
      </c>
      <c r="D20387" s="8">
        <v>31</v>
      </c>
      <c r="E20387" s="8">
        <v>0</v>
      </c>
      <c r="F20387" s="8">
        <v>61</v>
      </c>
    </row>
    <row r="20388" spans="1:6" ht="12.75">
      <c r="A20388" s="8">
        <v>43895.136874999997</v>
      </c>
      <c r="B20388" s="8" t="str">
        <f>HYPERLINK("https://twitter.com/ranggalawe727","@ranggalawe727")</f>
        <v>@ranggalawe727</v>
      </c>
      <c r="C20388" s="8" t="s">
        <v>2979</v>
      </c>
      <c r="D20388" s="8">
        <v>129</v>
      </c>
      <c r="E20388" s="8">
        <v>0</v>
      </c>
      <c r="F20388" s="8">
        <v>324</v>
      </c>
    </row>
    <row r="20389" spans="1:6" ht="12.75">
      <c r="A20389" s="8">
        <v>43895.134722222225</v>
      </c>
      <c r="B20389" s="8" t="str">
        <f>HYPERLINK("https://twitter.com/Jiban08476848","@Jiban08476848")</f>
        <v>@Jiban08476848</v>
      </c>
      <c r="C20389" s="8" t="s">
        <v>3285</v>
      </c>
      <c r="D20389" s="8">
        <v>96</v>
      </c>
      <c r="E20389" s="8">
        <v>0</v>
      </c>
      <c r="F20389" s="8">
        <v>26</v>
      </c>
    </row>
    <row r="20390" spans="1:6" ht="12.75">
      <c r="A20390" s="8">
        <v>43895.134722222225</v>
      </c>
      <c r="B20390" s="8" t="str">
        <f>HYPERLINK("https://twitter.com/FatiinS_L","@FatiinS_L")</f>
        <v>@FatiinS_L</v>
      </c>
      <c r="C20390" s="8" t="s">
        <v>8342</v>
      </c>
      <c r="D20390" s="8">
        <v>0</v>
      </c>
      <c r="E20390" s="8">
        <v>0</v>
      </c>
      <c r="F20390" s="8">
        <v>16421</v>
      </c>
    </row>
    <row r="20391" spans="1:6" ht="12.75">
      <c r="A20391" s="8">
        <v>43895.134247685186</v>
      </c>
      <c r="B20391" s="8" t="str">
        <f>HYPERLINK("https://twitter.com/Jiban08476848","@Jiban08476848")</f>
        <v>@Jiban08476848</v>
      </c>
      <c r="C20391" s="8" t="s">
        <v>7738</v>
      </c>
      <c r="D20391" s="8">
        <v>28</v>
      </c>
      <c r="E20391" s="8">
        <v>0</v>
      </c>
      <c r="F20391" s="8">
        <v>26</v>
      </c>
    </row>
    <row r="20392" spans="1:6" ht="12.75">
      <c r="A20392" s="8">
        <v>43895.132361111115</v>
      </c>
      <c r="B20392" s="8" t="str">
        <f>HYPERLINK("https://twitter.com/bazokasmart","@bazokasmart")</f>
        <v>@bazokasmart</v>
      </c>
      <c r="C20392" s="8" t="s">
        <v>8194</v>
      </c>
      <c r="D20392" s="8">
        <v>76</v>
      </c>
      <c r="E20392" s="8">
        <v>0</v>
      </c>
      <c r="F20392" s="8">
        <v>282</v>
      </c>
    </row>
    <row r="20393" spans="1:6" ht="12.75">
      <c r="A20393" s="8">
        <v>43895.131944444445</v>
      </c>
      <c r="B20393" s="8" t="str">
        <f>HYPERLINK("https://twitter.com/JakartaStar","@JakartaStar")</f>
        <v>@JakartaStar</v>
      </c>
      <c r="C20393" s="8" t="s">
        <v>8194</v>
      </c>
      <c r="D20393" s="8">
        <v>76</v>
      </c>
      <c r="E20393" s="8">
        <v>0</v>
      </c>
      <c r="F20393" s="8">
        <v>5703</v>
      </c>
    </row>
    <row r="20394" spans="1:6" ht="12.75">
      <c r="A20394" s="8">
        <v>43895.131192129629</v>
      </c>
      <c r="B20394" s="8" t="str">
        <f>HYPERLINK("https://twitter.com/gunoto777","@gunoto777")</f>
        <v>@gunoto777</v>
      </c>
      <c r="C20394" s="8" t="s">
        <v>8194</v>
      </c>
      <c r="D20394" s="8">
        <v>73</v>
      </c>
      <c r="E20394" s="8">
        <v>0</v>
      </c>
      <c r="F20394" s="8">
        <v>1158</v>
      </c>
    </row>
    <row r="20395" spans="1:6" ht="12.75">
      <c r="A20395" s="8">
        <v>43895.131053240737</v>
      </c>
      <c r="B20395" s="8" t="str">
        <f>HYPERLINK("https://twitter.com/karlina_alin","@karlina_alin")</f>
        <v>@karlina_alin</v>
      </c>
      <c r="C20395" s="8" t="s">
        <v>8343</v>
      </c>
      <c r="D20395" s="8">
        <v>5</v>
      </c>
      <c r="E20395" s="8">
        <v>0</v>
      </c>
      <c r="F20395" s="8">
        <v>368</v>
      </c>
    </row>
    <row r="20396" spans="1:6" ht="12.75">
      <c r="A20396" s="8">
        <v>43895.130729166667</v>
      </c>
      <c r="B20396" s="8" t="str">
        <f>HYPERLINK("https://twitter.com/wijaya_48","@wijaya_48")</f>
        <v>@wijaya_48</v>
      </c>
      <c r="C20396" s="8" t="s">
        <v>8066</v>
      </c>
      <c r="D20396" s="8">
        <v>72</v>
      </c>
      <c r="E20396" s="8">
        <v>0</v>
      </c>
      <c r="F20396" s="8">
        <v>398</v>
      </c>
    </row>
    <row r="20397" spans="1:6" ht="12.75">
      <c r="A20397" s="8">
        <v>43895.130416666667</v>
      </c>
      <c r="B20397" s="8" t="str">
        <f>HYPERLINK("https://twitter.com/Isis_Estrada_","@Isis_Estrada_")</f>
        <v>@Isis_Estrada_</v>
      </c>
      <c r="C20397" s="8" t="s">
        <v>8344</v>
      </c>
      <c r="D20397" s="8">
        <v>0</v>
      </c>
      <c r="E20397" s="8">
        <v>0</v>
      </c>
      <c r="F20397" s="8">
        <v>40</v>
      </c>
    </row>
    <row r="20398" spans="1:6" ht="12.75">
      <c r="A20398" s="8">
        <v>43895.129942129628</v>
      </c>
      <c r="B20398" s="8" t="str">
        <f>HYPERLINK("https://twitter.com/JakartaStar","@JakartaStar")</f>
        <v>@JakartaStar</v>
      </c>
      <c r="C20398" s="8" t="s">
        <v>8345</v>
      </c>
      <c r="D20398" s="8">
        <v>1</v>
      </c>
      <c r="E20398" s="8">
        <v>0</v>
      </c>
      <c r="F20398" s="8">
        <v>5702</v>
      </c>
    </row>
    <row r="20399" spans="1:6" ht="12.75">
      <c r="A20399" s="8">
        <v>43895.129247685181</v>
      </c>
      <c r="B20399" s="8" t="str">
        <f>HYPERLINK("https://twitter.com/maykrisna","@maykrisna")</f>
        <v>@maykrisna</v>
      </c>
      <c r="C20399" s="8" t="s">
        <v>8346</v>
      </c>
      <c r="D20399" s="8">
        <v>2</v>
      </c>
      <c r="E20399" s="8">
        <v>0</v>
      </c>
      <c r="F20399" s="8">
        <v>628</v>
      </c>
    </row>
    <row r="20400" spans="1:6" ht="12.75">
      <c r="A20400" s="8">
        <v>43895.129178240742</v>
      </c>
      <c r="B20400" s="8" t="str">
        <f>HYPERLINK("https://twitter.com/Abie_cheppy","@Abie_cheppy")</f>
        <v>@Abie_cheppy</v>
      </c>
      <c r="C20400" s="8" t="s">
        <v>7969</v>
      </c>
      <c r="D20400" s="8">
        <v>66</v>
      </c>
      <c r="E20400" s="8">
        <v>0</v>
      </c>
      <c r="F20400" s="8">
        <v>4157</v>
      </c>
    </row>
    <row r="20401" spans="1:6" ht="12.75">
      <c r="A20401" s="8">
        <v>43895.125856481478</v>
      </c>
      <c r="B20401" s="8" t="str">
        <f>HYPERLINK("https://twitter.com/TribunNew5","@TribunNew5")</f>
        <v>@TribunNew5</v>
      </c>
      <c r="C20401" s="8" t="s">
        <v>8347</v>
      </c>
      <c r="D20401" s="8">
        <v>0</v>
      </c>
      <c r="E20401" s="8">
        <v>0</v>
      </c>
      <c r="F20401" s="8">
        <v>525</v>
      </c>
    </row>
    <row r="20402" spans="1:6" ht="12.75">
      <c r="A20402" s="8">
        <v>43895.125601851847</v>
      </c>
      <c r="B20402" s="8" t="str">
        <f>HYPERLINK("https://twitter.com/fd_SatuLagi","@fd_SatuLagi")</f>
        <v>@fd_SatuLagi</v>
      </c>
      <c r="C20402" s="8" t="s">
        <v>7715</v>
      </c>
      <c r="D20402" s="8">
        <v>57</v>
      </c>
      <c r="E20402" s="8">
        <v>0</v>
      </c>
      <c r="F20402" s="8">
        <v>804</v>
      </c>
    </row>
    <row r="20403" spans="1:6" ht="12.75">
      <c r="A20403" s="8">
        <v>43895.125127314815</v>
      </c>
      <c r="B20403" s="8" t="str">
        <f>HYPERLINK("https://twitter.com/yad1sun","@yad1sun")</f>
        <v>@yad1sun</v>
      </c>
      <c r="C20403" s="8" t="s">
        <v>7969</v>
      </c>
      <c r="D20403" s="8">
        <v>66</v>
      </c>
      <c r="E20403" s="8">
        <v>0</v>
      </c>
      <c r="F20403" s="8">
        <v>3383</v>
      </c>
    </row>
    <row r="20404" spans="1:6" ht="12.75">
      <c r="A20404" s="8">
        <v>43895.123564814814</v>
      </c>
      <c r="B20404" s="8" t="str">
        <f>HYPERLINK("https://twitter.com/herubadala","@herubadala")</f>
        <v>@herubadala</v>
      </c>
      <c r="C20404" s="8" t="s">
        <v>2979</v>
      </c>
      <c r="D20404" s="8">
        <v>125</v>
      </c>
      <c r="E20404" s="8">
        <v>0</v>
      </c>
      <c r="F20404" s="8">
        <v>529</v>
      </c>
    </row>
    <row r="20405" spans="1:6" ht="12.75">
      <c r="A20405" s="8">
        <v>43895.122708333336</v>
      </c>
      <c r="B20405" s="8" t="str">
        <f>HYPERLINK("https://twitter.com/LukmanNu12","@LukmanNu12")</f>
        <v>@LukmanNu12</v>
      </c>
      <c r="C20405" s="8" t="s">
        <v>8348</v>
      </c>
      <c r="D20405" s="8">
        <v>36</v>
      </c>
      <c r="E20405" s="8">
        <v>0</v>
      </c>
      <c r="F20405" s="8">
        <v>930</v>
      </c>
    </row>
    <row r="20406" spans="1:6" ht="12.75">
      <c r="A20406" s="8">
        <v>43895.121805555551</v>
      </c>
      <c r="B20406" s="8" t="str">
        <f>HYPERLINK("https://twitter.com/wijaya_48","@wijaya_48")</f>
        <v>@wijaya_48</v>
      </c>
      <c r="C20406" s="8" t="s">
        <v>7473</v>
      </c>
      <c r="D20406" s="8">
        <v>177</v>
      </c>
      <c r="E20406" s="8">
        <v>0</v>
      </c>
      <c r="F20406" s="8">
        <v>398</v>
      </c>
    </row>
    <row r="20407" spans="1:6" ht="12.75">
      <c r="A20407" s="8">
        <v>43895.121736111112</v>
      </c>
      <c r="B20407" s="8" t="str">
        <f>HYPERLINK("https://twitter.com/ultra_fli","@ultra_fli")</f>
        <v>@ultra_fli</v>
      </c>
      <c r="C20407" s="8" t="s">
        <v>8349</v>
      </c>
      <c r="D20407" s="8">
        <v>0</v>
      </c>
      <c r="E20407" s="8">
        <v>1</v>
      </c>
      <c r="F20407" s="8">
        <v>10</v>
      </c>
    </row>
    <row r="20408" spans="1:6" ht="12.75">
      <c r="A20408" s="8">
        <v>43895.121435185181</v>
      </c>
      <c r="B20408" s="8" t="str">
        <f>HYPERLINK("https://twitter.com/LukmanNu12","@LukmanNu12")</f>
        <v>@LukmanNu12</v>
      </c>
      <c r="C20408" s="8" t="s">
        <v>8350</v>
      </c>
      <c r="D20408" s="8">
        <v>68</v>
      </c>
      <c r="E20408" s="8">
        <v>0</v>
      </c>
      <c r="F20408" s="8">
        <v>930</v>
      </c>
    </row>
    <row r="20409" spans="1:6" ht="12.75">
      <c r="A20409" s="8">
        <v>43895.119988425926</v>
      </c>
      <c r="B20409" s="8" t="str">
        <f>HYPERLINK("https://twitter.com/budi_kroack","@budi_kroack")</f>
        <v>@budi_kroack</v>
      </c>
      <c r="C20409" s="8" t="s">
        <v>7755</v>
      </c>
      <c r="D20409" s="8">
        <v>3</v>
      </c>
      <c r="E20409" s="8">
        <v>0</v>
      </c>
      <c r="F20409" s="8">
        <v>4225</v>
      </c>
    </row>
    <row r="20410" spans="1:6" ht="12.75">
      <c r="A20410" s="8">
        <v>43895.119884259257</v>
      </c>
      <c r="B20410" s="8" t="str">
        <f>HYPERLINK("https://twitter.com/maykrisna","@maykrisna")</f>
        <v>@maykrisna</v>
      </c>
      <c r="C20410" s="8" t="s">
        <v>8351</v>
      </c>
      <c r="D20410" s="8">
        <v>17</v>
      </c>
      <c r="E20410" s="8">
        <v>0</v>
      </c>
      <c r="F20410" s="8">
        <v>628</v>
      </c>
    </row>
    <row r="20411" spans="1:6" ht="12.75">
      <c r="A20411" s="8">
        <v>43895.117974537032</v>
      </c>
      <c r="B20411" s="8" t="str">
        <f>HYPERLINK("https://twitter.com/agung_nusanjaya","@agung_nusanjaya")</f>
        <v>@agung_nusanjaya</v>
      </c>
      <c r="C20411" s="8" t="s">
        <v>8352</v>
      </c>
      <c r="D20411" s="8">
        <v>0</v>
      </c>
      <c r="E20411" s="8">
        <v>0</v>
      </c>
      <c r="F20411" s="8">
        <v>764</v>
      </c>
    </row>
    <row r="20412" spans="1:6" ht="12.75">
      <c r="A20412" s="8">
        <v>43895.117881944447</v>
      </c>
      <c r="B20412" s="8" t="str">
        <f>HYPERLINK("https://twitter.com/iarprjt","@iarprjt")</f>
        <v>@iarprjt</v>
      </c>
      <c r="C20412" s="8" t="s">
        <v>8353</v>
      </c>
      <c r="D20412" s="8">
        <v>0</v>
      </c>
      <c r="E20412" s="8">
        <v>1</v>
      </c>
      <c r="F20412" s="8">
        <v>87</v>
      </c>
    </row>
    <row r="20413" spans="1:6" ht="12.75">
      <c r="A20413" s="8">
        <v>43895.117361111115</v>
      </c>
      <c r="B20413" s="8" t="str">
        <f>HYPERLINK("https://twitter.com/Nadila_ID","@Nadila_ID")</f>
        <v>@Nadila_ID</v>
      </c>
      <c r="C20413" s="8" t="s">
        <v>8354</v>
      </c>
      <c r="D20413" s="8">
        <v>0</v>
      </c>
      <c r="E20413" s="8">
        <v>0</v>
      </c>
      <c r="F20413" s="8">
        <v>7161</v>
      </c>
    </row>
    <row r="20414" spans="1:6" ht="12.75">
      <c r="A20414" s="8">
        <v>43895.116111111114</v>
      </c>
      <c r="B20414" s="8" t="str">
        <f>HYPERLINK("https://twitter.com/OktaSila6","@OktaSila6")</f>
        <v>@OktaSila6</v>
      </c>
      <c r="C20414" s="8" t="s">
        <v>8355</v>
      </c>
      <c r="D20414" s="8">
        <v>0</v>
      </c>
      <c r="E20414" s="8">
        <v>0</v>
      </c>
      <c r="F20414" s="8">
        <v>0</v>
      </c>
    </row>
    <row r="20415" spans="1:6" ht="12.75">
      <c r="A20415" s="8">
        <v>43895.115497685183</v>
      </c>
      <c r="B20415" s="8" t="str">
        <f>HYPERLINK("https://twitter.com/rosamaghfiroh","@rosamaghfiroh")</f>
        <v>@rosamaghfiroh</v>
      </c>
      <c r="C20415" s="8" t="s">
        <v>8356</v>
      </c>
      <c r="D20415" s="8">
        <v>9</v>
      </c>
      <c r="E20415" s="8">
        <v>0</v>
      </c>
      <c r="F20415" s="8">
        <v>304</v>
      </c>
    </row>
    <row r="20416" spans="1:6" ht="12.75">
      <c r="A20416" s="8">
        <v>43895.115277777775</v>
      </c>
      <c r="B20416" s="8" t="str">
        <f>HYPERLINK("https://twitter.com/selfieituindah","@selfieituindah")</f>
        <v>@selfieituindah</v>
      </c>
      <c r="C20416" s="8" t="s">
        <v>8357</v>
      </c>
      <c r="D20416" s="8">
        <v>0</v>
      </c>
      <c r="E20416" s="8">
        <v>0</v>
      </c>
      <c r="F20416" s="8">
        <v>21343</v>
      </c>
    </row>
    <row r="20417" spans="1:6" ht="12.75">
      <c r="A20417" s="8">
        <v>43895.11273148148</v>
      </c>
      <c r="B20417" s="8" t="str">
        <f>HYPERLINK("https://twitter.com/Anakmanggarai2","@Anakmanggarai2")</f>
        <v>@Anakmanggarai2</v>
      </c>
      <c r="C20417" s="8" t="s">
        <v>2979</v>
      </c>
      <c r="D20417" s="8">
        <v>125</v>
      </c>
      <c r="E20417" s="8">
        <v>0</v>
      </c>
      <c r="F20417" s="8">
        <v>149</v>
      </c>
    </row>
    <row r="20418" spans="1:6" ht="12.75">
      <c r="A20418" s="8">
        <v>43895.112500000003</v>
      </c>
      <c r="B20418" s="8" t="str">
        <f>HYPERLINK("https://twitter.com/healthyliveID","@healthyliveID")</f>
        <v>@healthyliveID</v>
      </c>
      <c r="C20418" s="8" t="s">
        <v>8358</v>
      </c>
      <c r="D20418" s="8">
        <v>0</v>
      </c>
      <c r="E20418" s="8">
        <v>0</v>
      </c>
      <c r="F20418" s="8">
        <v>45106</v>
      </c>
    </row>
    <row r="20419" spans="1:6" ht="12.75">
      <c r="A20419" s="8">
        <v>43895.112245370372</v>
      </c>
      <c r="B20419" s="8" t="str">
        <f>HYPERLINK("https://twitter.com/OktaSila6","@OktaSila6")</f>
        <v>@OktaSila6</v>
      </c>
      <c r="C20419" s="8" t="s">
        <v>8359</v>
      </c>
      <c r="D20419" s="8">
        <v>0</v>
      </c>
      <c r="E20419" s="8">
        <v>0</v>
      </c>
      <c r="F20419" s="8">
        <v>0</v>
      </c>
    </row>
    <row r="20420" spans="1:6" ht="12.75">
      <c r="A20420" s="8">
        <v>43895.111921296295</v>
      </c>
      <c r="B20420" s="8" t="str">
        <f>HYPERLINK("https://twitter.com/Kabarsukadotcom","@Kabarsukadotcom")</f>
        <v>@Kabarsukadotcom</v>
      </c>
      <c r="C20420" s="8" t="s">
        <v>3061</v>
      </c>
      <c r="D20420" s="8">
        <v>0</v>
      </c>
      <c r="E20420" s="8">
        <v>0</v>
      </c>
      <c r="F20420" s="8">
        <v>17</v>
      </c>
    </row>
    <row r="20421" spans="1:6" ht="12.75">
      <c r="A20421" s="8">
        <v>43895.111504629633</v>
      </c>
      <c r="B20421" s="8" t="str">
        <f>HYPERLINK("https://twitter.com/ontranontran","@ontranontran")</f>
        <v>@ontranontran</v>
      </c>
      <c r="C20421" s="8" t="s">
        <v>8360</v>
      </c>
      <c r="D20421" s="8">
        <v>28</v>
      </c>
      <c r="E20421" s="8">
        <v>0</v>
      </c>
      <c r="F20421" s="8">
        <v>786</v>
      </c>
    </row>
    <row r="20422" spans="1:6" ht="12.75">
      <c r="A20422" s="8">
        <v>43895.111307870371</v>
      </c>
      <c r="B20422" s="8" t="str">
        <f>HYPERLINK("https://twitter.com/GoldenrulesJong","@GoldenrulesJong")</f>
        <v>@GoldenrulesJong</v>
      </c>
      <c r="C20422" s="8" t="s">
        <v>7473</v>
      </c>
      <c r="D20422" s="8">
        <v>177</v>
      </c>
      <c r="E20422" s="8">
        <v>0</v>
      </c>
      <c r="F20422" s="8">
        <v>245</v>
      </c>
    </row>
    <row r="20423" spans="1:6" ht="12.75">
      <c r="A20423" s="8">
        <v>43895.111064814817</v>
      </c>
      <c r="B20423" s="8" t="str">
        <f>HYPERLINK("https://twitter.com/ntieux1d4nt","@ntieux1d4nt")</f>
        <v>@ntieux1d4nt</v>
      </c>
      <c r="C20423" s="8" t="s">
        <v>8361</v>
      </c>
      <c r="D20423" s="8">
        <v>0</v>
      </c>
      <c r="E20423" s="8">
        <v>0</v>
      </c>
      <c r="F20423" s="8">
        <v>2206</v>
      </c>
    </row>
    <row r="20424" spans="1:6" ht="12.75">
      <c r="A20424" s="8">
        <v>43895.110810185186</v>
      </c>
      <c r="B20424" s="8" t="str">
        <f>HYPERLINK("https://twitter.com/haririarci9790","@haririarci9790")</f>
        <v>@haririarci9790</v>
      </c>
      <c r="C20424" s="8" t="s">
        <v>7715</v>
      </c>
      <c r="D20424" s="8">
        <v>57</v>
      </c>
      <c r="E20424" s="8">
        <v>0</v>
      </c>
      <c r="F20424" s="8">
        <v>1433</v>
      </c>
    </row>
    <row r="20425" spans="1:6" ht="12.75">
      <c r="A20425" s="8">
        <v>43895.110324074078</v>
      </c>
      <c r="B20425" s="8" t="str">
        <f>HYPERLINK("https://twitter.com/JakartaStar","@JakartaStar")</f>
        <v>@JakartaStar</v>
      </c>
      <c r="C20425" s="8" t="s">
        <v>7755</v>
      </c>
      <c r="D20425" s="8">
        <v>3</v>
      </c>
      <c r="E20425" s="8">
        <v>0</v>
      </c>
      <c r="F20425" s="8">
        <v>5702</v>
      </c>
    </row>
    <row r="20426" spans="1:6" ht="12.75">
      <c r="A20426" s="8">
        <v>43895.109791666662</v>
      </c>
      <c r="B20426" s="8" t="str">
        <f>HYPERLINK("https://twitter.com/kangmas22592110","@kangmas22592110")</f>
        <v>@kangmas22592110</v>
      </c>
      <c r="C20426" s="8" t="s">
        <v>8362</v>
      </c>
      <c r="D20426" s="8">
        <v>0</v>
      </c>
      <c r="E20426" s="8">
        <v>0</v>
      </c>
      <c r="F20426" s="8">
        <v>2321</v>
      </c>
    </row>
    <row r="20427" spans="1:6" ht="12.75">
      <c r="A20427" s="8">
        <v>43895.108923611115</v>
      </c>
      <c r="B20427" s="8" t="str">
        <f>HYPERLINK("https://twitter.com/herubadala","@herubadala")</f>
        <v>@herubadala</v>
      </c>
      <c r="C20427" s="8" t="s">
        <v>7969</v>
      </c>
      <c r="D20427" s="8">
        <v>66</v>
      </c>
      <c r="E20427" s="8">
        <v>0</v>
      </c>
      <c r="F20427" s="8">
        <v>529</v>
      </c>
    </row>
    <row r="20428" spans="1:6" ht="12.75">
      <c r="A20428" s="8">
        <v>43895.108541666668</v>
      </c>
      <c r="B20428" s="8" t="str">
        <f>HYPERLINK("https://twitter.com/ngonlain","@ngonlain")</f>
        <v>@ngonlain</v>
      </c>
      <c r="C20428" s="8" t="s">
        <v>2979</v>
      </c>
      <c r="D20428" s="8">
        <v>125</v>
      </c>
      <c r="E20428" s="8">
        <v>0</v>
      </c>
      <c r="F20428" s="8">
        <v>2644</v>
      </c>
    </row>
    <row r="20429" spans="1:6" ht="12.75">
      <c r="A20429" s="8">
        <v>43895.10659722222</v>
      </c>
      <c r="B20429" s="8" t="str">
        <f>HYPERLINK("https://twitter.com/sabilla_shaffa","@sabilla_shaffa")</f>
        <v>@sabilla_shaffa</v>
      </c>
      <c r="C20429" s="8" t="s">
        <v>6710</v>
      </c>
      <c r="D20429" s="8">
        <v>432</v>
      </c>
      <c r="E20429" s="8">
        <v>0</v>
      </c>
      <c r="F20429" s="8">
        <v>1711</v>
      </c>
    </row>
    <row r="20430" spans="1:6" ht="12.75">
      <c r="A20430" s="8">
        <v>43895.105266203704</v>
      </c>
      <c r="B20430" s="8" t="str">
        <f>HYPERLINK("https://twitter.com/fadjroeL","@fadjroeL")</f>
        <v>@fadjroeL</v>
      </c>
      <c r="C20430" s="8" t="s">
        <v>8363</v>
      </c>
      <c r="D20430" s="8">
        <v>3</v>
      </c>
      <c r="E20430" s="8">
        <v>11</v>
      </c>
      <c r="F20430" s="8">
        <v>996727</v>
      </c>
    </row>
    <row r="20431" spans="1:6" ht="12.75">
      <c r="A20431" s="8">
        <v>43895.104722222226</v>
      </c>
      <c r="B20431" s="8" t="str">
        <f>HYPERLINK("https://twitter.com/RadioElshinta","@RadioElshinta")</f>
        <v>@RadioElshinta</v>
      </c>
      <c r="C20431" s="8" t="s">
        <v>8364</v>
      </c>
      <c r="D20431" s="8">
        <v>0</v>
      </c>
      <c r="E20431" s="8">
        <v>1</v>
      </c>
      <c r="F20431" s="8">
        <v>3636764</v>
      </c>
    </row>
    <row r="20432" spans="1:6" ht="12.75">
      <c r="A20432" s="8">
        <v>43895.103993055556</v>
      </c>
      <c r="B20432" s="8" t="str">
        <f>HYPERLINK("https://twitter.com/BeritaCenter","@BeritaCenter")</f>
        <v>@BeritaCenter</v>
      </c>
      <c r="C20432" s="8" t="s">
        <v>8365</v>
      </c>
      <c r="D20432" s="8">
        <v>0</v>
      </c>
      <c r="E20432" s="8">
        <v>0</v>
      </c>
      <c r="F20432" s="8">
        <v>9424</v>
      </c>
    </row>
    <row r="20433" spans="1:6" ht="12.75">
      <c r="A20433" s="8">
        <v>43895.101041666669</v>
      </c>
      <c r="B20433" s="8" t="str">
        <f>HYPERLINK("https://twitter.com/WSuparmo","@WSuparmo")</f>
        <v>@WSuparmo</v>
      </c>
      <c r="C20433" s="8" t="s">
        <v>8366</v>
      </c>
      <c r="D20433" s="8">
        <v>0</v>
      </c>
      <c r="E20433" s="8">
        <v>0</v>
      </c>
      <c r="F20433" s="8">
        <v>50</v>
      </c>
    </row>
    <row r="20434" spans="1:6" ht="12.75">
      <c r="A20434" s="8">
        <v>43895.100949074069</v>
      </c>
      <c r="B20434" s="8" t="str">
        <f>HYPERLINK("https://twitter.com/GoldenrulesJong","@GoldenrulesJong")</f>
        <v>@GoldenrulesJong</v>
      </c>
      <c r="C20434" s="8" t="s">
        <v>8066</v>
      </c>
      <c r="D20434" s="8">
        <v>72</v>
      </c>
      <c r="E20434" s="8">
        <v>0</v>
      </c>
      <c r="F20434" s="8">
        <v>245</v>
      </c>
    </row>
    <row r="20435" spans="1:6" ht="12.75">
      <c r="A20435" s="8">
        <v>43895.100694444445</v>
      </c>
      <c r="B20435" s="8" t="str">
        <f>HYPERLINK("https://twitter.com/rqlabigail","@rqlabigail")</f>
        <v>@rqlabigail</v>
      </c>
      <c r="C20435" s="8" t="s">
        <v>8367</v>
      </c>
      <c r="D20435" s="8">
        <v>0</v>
      </c>
      <c r="E20435" s="8">
        <v>0</v>
      </c>
      <c r="F20435" s="8">
        <v>5</v>
      </c>
    </row>
    <row r="20436" spans="1:6" ht="12.75">
      <c r="A20436" s="8">
        <v>43895.10056712963</v>
      </c>
      <c r="B20436" s="8" t="str">
        <f>HYPERLINK("https://twitter.com/WSuparmo","@WSuparmo")</f>
        <v>@WSuparmo</v>
      </c>
      <c r="C20436" s="8" t="s">
        <v>8368</v>
      </c>
      <c r="D20436" s="8">
        <v>0</v>
      </c>
      <c r="E20436" s="8">
        <v>0</v>
      </c>
      <c r="F20436" s="8">
        <v>50</v>
      </c>
    </row>
    <row r="20437" spans="1:6" ht="12.75">
      <c r="A20437" s="8">
        <v>43895.099768518514</v>
      </c>
      <c r="B20437" s="8" t="str">
        <f>HYPERLINK("https://twitter.com/agung_nusanjaya","@agung_nusanjaya")</f>
        <v>@agung_nusanjaya</v>
      </c>
      <c r="C20437" s="8" t="s">
        <v>8369</v>
      </c>
      <c r="D20437" s="8">
        <v>0</v>
      </c>
      <c r="E20437" s="8">
        <v>0</v>
      </c>
      <c r="F20437" s="8">
        <v>764</v>
      </c>
    </row>
    <row r="20438" spans="1:6" ht="12.75">
      <c r="A20438" s="8">
        <v>43895.099305555559</v>
      </c>
      <c r="B20438" s="8" t="str">
        <f>HYPERLINK("https://twitter.com/EndangYE","@EndangYE")</f>
        <v>@EndangYE</v>
      </c>
      <c r="C20438" s="8" t="s">
        <v>1427</v>
      </c>
      <c r="D20438" s="8">
        <v>1038</v>
      </c>
      <c r="E20438" s="8">
        <v>0</v>
      </c>
      <c r="F20438" s="8">
        <v>1188</v>
      </c>
    </row>
    <row r="20439" spans="1:6" ht="12.75">
      <c r="A20439" s="8">
        <v>43895.098946759259</v>
      </c>
      <c r="B20439" s="8" t="str">
        <f>HYPERLINK("https://twitter.com/JPSmart13","@JPSmart13")</f>
        <v>@JPSmart13</v>
      </c>
      <c r="C20439" s="8" t="s">
        <v>3285</v>
      </c>
      <c r="D20439" s="8">
        <v>94</v>
      </c>
      <c r="E20439" s="8">
        <v>0</v>
      </c>
      <c r="F20439" s="8">
        <v>935</v>
      </c>
    </row>
    <row r="20440" spans="1:6" ht="12.75">
      <c r="A20440" s="8">
        <v>43895.098194444443</v>
      </c>
      <c r="B20440" s="8" t="str">
        <f>HYPERLINK("https://twitter.com/anarchosoul","@anarchosoul")</f>
        <v>@anarchosoul</v>
      </c>
      <c r="C20440" s="8" t="s">
        <v>7575</v>
      </c>
      <c r="D20440" s="8">
        <v>52</v>
      </c>
      <c r="E20440" s="8">
        <v>0</v>
      </c>
      <c r="F20440" s="8">
        <v>150</v>
      </c>
    </row>
    <row r="20441" spans="1:6" ht="12.75">
      <c r="A20441" s="8">
        <v>43895.097534722227</v>
      </c>
      <c r="B20441" s="8" t="str">
        <f>HYPERLINK("https://twitter.com/officialliputan","@officialliputan")</f>
        <v>@officialliputan</v>
      </c>
      <c r="C20441" s="8" t="s">
        <v>8370</v>
      </c>
      <c r="D20441" s="8">
        <v>0</v>
      </c>
      <c r="E20441" s="8">
        <v>0</v>
      </c>
      <c r="F20441" s="8">
        <v>672</v>
      </c>
    </row>
    <row r="20442" spans="1:6" ht="12.75">
      <c r="A20442" s="8">
        <v>43895.095162037032</v>
      </c>
      <c r="B20442" s="8" t="str">
        <f>HYPERLINK("https://twitter.com/Mang_Aldo","@Mang_Aldo")</f>
        <v>@Mang_Aldo</v>
      </c>
      <c r="C20442" s="8" t="s">
        <v>7573</v>
      </c>
      <c r="D20442" s="8">
        <v>8</v>
      </c>
      <c r="E20442" s="8">
        <v>0</v>
      </c>
      <c r="F20442" s="8">
        <v>484</v>
      </c>
    </row>
    <row r="20443" spans="1:6" ht="12.75">
      <c r="A20443" s="8">
        <v>43895.09438657407</v>
      </c>
      <c r="B20443" s="8" t="str">
        <f>HYPERLINK("https://twitter.com/FiarFebrian","@FiarFebrian")</f>
        <v>@FiarFebrian</v>
      </c>
      <c r="C20443" s="8" t="s">
        <v>8371</v>
      </c>
      <c r="D20443" s="8">
        <v>0</v>
      </c>
      <c r="E20443" s="8">
        <v>0</v>
      </c>
      <c r="F20443" s="8">
        <v>93</v>
      </c>
    </row>
    <row r="20444" spans="1:6" ht="12.75">
      <c r="A20444" s="8">
        <v>43895.093634259261</v>
      </c>
      <c r="B20444" s="8" t="str">
        <f>HYPERLINK("https://twitter.com/OktaSila6","@OktaSila6")</f>
        <v>@OktaSila6</v>
      </c>
      <c r="C20444" s="8" t="s">
        <v>8372</v>
      </c>
      <c r="D20444" s="8">
        <v>0</v>
      </c>
      <c r="E20444" s="8">
        <v>0</v>
      </c>
      <c r="F20444" s="8">
        <v>0</v>
      </c>
    </row>
    <row r="20445" spans="1:6" ht="12.75">
      <c r="A20445" s="8">
        <v>43895.093425925923</v>
      </c>
      <c r="B20445" s="8" t="str">
        <f>HYPERLINK("https://twitter.com/hans_tbn","@hans_tbn")</f>
        <v>@hans_tbn</v>
      </c>
      <c r="C20445" s="8" t="s">
        <v>7969</v>
      </c>
      <c r="D20445" s="8">
        <v>66</v>
      </c>
      <c r="E20445" s="8">
        <v>0</v>
      </c>
      <c r="F20445" s="8">
        <v>448</v>
      </c>
    </row>
    <row r="20446" spans="1:6" ht="12.75">
      <c r="A20446" s="8">
        <v>43895.091215277775</v>
      </c>
      <c r="B20446" s="8" t="str">
        <f>HYPERLINK("https://twitter.com/jeknoo26","@jeknoo26")</f>
        <v>@jeknoo26</v>
      </c>
      <c r="C20446" s="8" t="s">
        <v>8373</v>
      </c>
      <c r="D20446" s="8">
        <v>0</v>
      </c>
      <c r="E20446" s="8">
        <v>0</v>
      </c>
      <c r="F20446" s="8">
        <v>631</v>
      </c>
    </row>
    <row r="20447" spans="1:6" ht="12.75">
      <c r="A20447" s="8">
        <v>43895.090983796297</v>
      </c>
      <c r="B20447" s="8" t="str">
        <f>HYPERLINK("https://twitter.com/HitsManek","@HitsManek")</f>
        <v>@HitsManek</v>
      </c>
      <c r="C20447" s="8" t="s">
        <v>1875</v>
      </c>
      <c r="D20447" s="8">
        <v>62</v>
      </c>
      <c r="E20447" s="8">
        <v>0</v>
      </c>
      <c r="F20447" s="8">
        <v>44</v>
      </c>
    </row>
    <row r="20448" spans="1:6" ht="12.75">
      <c r="A20448" s="8">
        <v>43895.089872685188</v>
      </c>
      <c r="B20448" s="8" t="str">
        <f>HYPERLINK("https://twitter.com/Hit_DX","@Hit_DX")</f>
        <v>@Hit_DX</v>
      </c>
      <c r="C20448" s="8" t="s">
        <v>3285</v>
      </c>
      <c r="D20448" s="8">
        <v>93</v>
      </c>
      <c r="E20448" s="8">
        <v>0</v>
      </c>
      <c r="F20448" s="8">
        <v>2505</v>
      </c>
    </row>
    <row r="20449" spans="1:6" ht="12.75">
      <c r="A20449" s="8">
        <v>43895.089837962965</v>
      </c>
      <c r="B20449" s="8" t="str">
        <f>HYPERLINK("https://twitter.com/yudi682","@yudi682")</f>
        <v>@yudi682</v>
      </c>
      <c r="C20449" s="8" t="s">
        <v>8374</v>
      </c>
      <c r="D20449" s="8">
        <v>0</v>
      </c>
      <c r="E20449" s="8">
        <v>0</v>
      </c>
      <c r="F20449" s="8">
        <v>252</v>
      </c>
    </row>
    <row r="20450" spans="1:6" ht="12.75">
      <c r="A20450" s="8">
        <v>43895.089525462958</v>
      </c>
      <c r="B20450" s="8" t="str">
        <f>HYPERLINK("https://twitter.com/YoyokSubandriy3","@YoyokSubandriy3")</f>
        <v>@YoyokSubandriy3</v>
      </c>
      <c r="C20450" s="8" t="s">
        <v>8225</v>
      </c>
      <c r="D20450" s="8">
        <v>7</v>
      </c>
      <c r="E20450" s="8">
        <v>0</v>
      </c>
      <c r="F20450" s="8">
        <v>1376</v>
      </c>
    </row>
    <row r="20451" spans="1:6" ht="12.75">
      <c r="A20451" s="8">
        <v>43895.089166666672</v>
      </c>
      <c r="B20451" s="8" t="str">
        <f>HYPERLINK("https://twitter.com/l9er3a","@l9er3a")</f>
        <v>@l9er3a</v>
      </c>
      <c r="C20451" s="8" t="s">
        <v>8375</v>
      </c>
      <c r="D20451" s="8">
        <v>0</v>
      </c>
      <c r="E20451" s="8">
        <v>0</v>
      </c>
      <c r="F20451" s="8">
        <v>128</v>
      </c>
    </row>
    <row r="20452" spans="1:6" ht="12.75">
      <c r="A20452" s="8">
        <v>43895.089143518519</v>
      </c>
      <c r="B20452" s="8" t="str">
        <f>HYPERLINK("https://twitter.com/ImanezStovia","@ImanezStovia")</f>
        <v>@ImanezStovia</v>
      </c>
      <c r="C20452" s="8" t="s">
        <v>8376</v>
      </c>
      <c r="D20452" s="8">
        <v>0</v>
      </c>
      <c r="E20452" s="8">
        <v>1</v>
      </c>
      <c r="F20452" s="8">
        <v>1063</v>
      </c>
    </row>
    <row r="20453" spans="1:6" ht="12.75">
      <c r="A20453" s="8">
        <v>43895.088888888888</v>
      </c>
      <c r="B20453" s="8" t="str">
        <f>HYPERLINK("https://twitter.com/Pakdedy2","@Pakdedy2")</f>
        <v>@Pakdedy2</v>
      </c>
      <c r="C20453" s="8" t="s">
        <v>8377</v>
      </c>
      <c r="D20453" s="8">
        <v>4</v>
      </c>
      <c r="E20453" s="8">
        <v>0</v>
      </c>
      <c r="F20453" s="8">
        <v>276</v>
      </c>
    </row>
    <row r="20454" spans="1:6" ht="12.75">
      <c r="A20454" s="8">
        <v>43895.088333333333</v>
      </c>
      <c r="B20454" s="8" t="str">
        <f>HYPERLINK("https://twitter.com/AFK_10","@AFK_10")</f>
        <v>@AFK_10</v>
      </c>
      <c r="C20454" s="8" t="s">
        <v>7575</v>
      </c>
      <c r="D20454" s="8">
        <v>51</v>
      </c>
      <c r="E20454" s="8">
        <v>0</v>
      </c>
      <c r="F20454" s="8">
        <v>1718</v>
      </c>
    </row>
    <row r="20455" spans="1:6" ht="12.75">
      <c r="A20455" s="8">
        <v>43895.085821759261</v>
      </c>
      <c r="B20455" s="8" t="str">
        <f>HYPERLINK("https://twitter.com/wayankdy","@wayankdy")</f>
        <v>@wayankdy</v>
      </c>
      <c r="C20455" s="8" t="s">
        <v>8378</v>
      </c>
      <c r="D20455" s="8">
        <v>0</v>
      </c>
      <c r="E20455" s="8">
        <v>0</v>
      </c>
      <c r="F20455" s="8">
        <v>1627</v>
      </c>
    </row>
    <row r="20456" spans="1:6" ht="12.75">
      <c r="A20456" s="8">
        <v>43895.085416666669</v>
      </c>
      <c r="B20456" s="8" t="str">
        <f>HYPERLINK("https://twitter.com/ItsMyRealQuotes","@ItsMyRealQuotes")</f>
        <v>@ItsMyRealQuotes</v>
      </c>
      <c r="C20456" s="8" t="s">
        <v>8379</v>
      </c>
      <c r="D20456" s="8">
        <v>0</v>
      </c>
      <c r="E20456" s="8">
        <v>0</v>
      </c>
      <c r="F20456" s="8">
        <v>183757</v>
      </c>
    </row>
    <row r="20457" spans="1:6" ht="12.75">
      <c r="A20457" s="8">
        <v>43895.084907407407</v>
      </c>
      <c r="B20457" s="8" t="str">
        <f>HYPERLINK("https://twitter.com/BillTemporo","@BillTemporo")</f>
        <v>@BillTemporo</v>
      </c>
      <c r="C20457" s="8" t="s">
        <v>323</v>
      </c>
      <c r="D20457" s="8">
        <v>0</v>
      </c>
      <c r="E20457" s="8">
        <v>0</v>
      </c>
      <c r="F20457" s="8">
        <v>11</v>
      </c>
    </row>
    <row r="20458" spans="1:6" ht="12.75">
      <c r="A20458" s="8">
        <v>43895.084548611107</v>
      </c>
      <c r="B20458" s="8" t="str">
        <f>HYPERLINK("https://twitter.com/EdiKemput","@EdiKemput")</f>
        <v>@EdiKemput</v>
      </c>
      <c r="C20458" s="8" t="s">
        <v>7244</v>
      </c>
      <c r="D20458" s="8">
        <v>34</v>
      </c>
      <c r="E20458" s="8">
        <v>0</v>
      </c>
      <c r="F20458" s="8">
        <v>1779</v>
      </c>
    </row>
    <row r="20459" spans="1:6" ht="12.75">
      <c r="A20459" s="8">
        <v>43895.084097222221</v>
      </c>
      <c r="B20459" s="8" t="str">
        <f>HYPERLINK("https://twitter.com/cendananews","@cendananews")</f>
        <v>@cendananews</v>
      </c>
      <c r="C20459" s="8" t="s">
        <v>8380</v>
      </c>
      <c r="D20459" s="8">
        <v>0</v>
      </c>
      <c r="E20459" s="8">
        <v>0</v>
      </c>
      <c r="F20459" s="8">
        <v>4562</v>
      </c>
    </row>
    <row r="20460" spans="1:6" ht="12.75">
      <c r="A20460" s="8">
        <v>43895.083020833335</v>
      </c>
      <c r="B20460" s="8" t="str">
        <f>HYPERLINK("https://twitter.com/Aztrans_Yogya","@Aztrans_Yogya")</f>
        <v>@Aztrans_Yogya</v>
      </c>
      <c r="C20460" s="8" t="s">
        <v>8381</v>
      </c>
      <c r="D20460" s="8">
        <v>0</v>
      </c>
      <c r="E20460" s="8">
        <v>0</v>
      </c>
      <c r="F20460" s="8">
        <v>1241</v>
      </c>
    </row>
    <row r="20461" spans="1:6" ht="12.75">
      <c r="A20461" s="8">
        <v>43895.082349537042</v>
      </c>
      <c r="B20461" s="8" t="str">
        <f>HYPERLINK("https://twitter.com/kangmas22592110","@kangmas22592110")</f>
        <v>@kangmas22592110</v>
      </c>
      <c r="C20461" s="8" t="s">
        <v>8382</v>
      </c>
      <c r="D20461" s="8">
        <v>0</v>
      </c>
      <c r="E20461" s="8">
        <v>0</v>
      </c>
      <c r="F20461" s="8">
        <v>2320</v>
      </c>
    </row>
    <row r="20462" spans="1:6" ht="12.75">
      <c r="A20462" s="8">
        <v>43895.08216435185</v>
      </c>
      <c r="B20462" s="8" t="str">
        <f>HYPERLINK("https://twitter.com/OktaSila6","@OktaSila6")</f>
        <v>@OktaSila6</v>
      </c>
      <c r="C20462" s="8" t="s">
        <v>8383</v>
      </c>
      <c r="D20462" s="8">
        <v>0</v>
      </c>
      <c r="E20462" s="8">
        <v>0</v>
      </c>
      <c r="F20462" s="8">
        <v>0</v>
      </c>
    </row>
    <row r="20463" spans="1:6" ht="12.75">
      <c r="A20463" s="8">
        <v>43895.081817129627</v>
      </c>
      <c r="B20463" s="8" t="str">
        <f>HYPERLINK("https://twitter.com/jjsengui","@jjsengui")</f>
        <v>@jjsengui</v>
      </c>
      <c r="C20463" s="8" t="s">
        <v>7987</v>
      </c>
      <c r="D20463" s="8">
        <v>25</v>
      </c>
      <c r="E20463" s="8">
        <v>0</v>
      </c>
      <c r="F20463" s="8">
        <v>903</v>
      </c>
    </row>
    <row r="20464" spans="1:6" ht="12.75">
      <c r="A20464" s="8">
        <v>43895.081770833334</v>
      </c>
      <c r="B20464" s="8" t="str">
        <f>HYPERLINK("https://twitter.com/mfrz_80","@mfrz_80")</f>
        <v>@mfrz_80</v>
      </c>
      <c r="C20464" s="8" t="s">
        <v>7244</v>
      </c>
      <c r="D20464" s="8">
        <v>34</v>
      </c>
      <c r="E20464" s="8">
        <v>0</v>
      </c>
      <c r="F20464" s="8">
        <v>44</v>
      </c>
    </row>
    <row r="20465" spans="1:6" ht="12.75">
      <c r="A20465" s="8">
        <v>43895.081284722226</v>
      </c>
      <c r="B20465" s="8" t="str">
        <f>HYPERLINK("https://twitter.com/krisnayanto","@krisnayanto")</f>
        <v>@krisnayanto</v>
      </c>
      <c r="C20465" s="8" t="s">
        <v>8384</v>
      </c>
      <c r="D20465" s="8">
        <v>0</v>
      </c>
      <c r="E20465" s="8">
        <v>0</v>
      </c>
      <c r="F20465" s="8">
        <v>31</v>
      </c>
    </row>
    <row r="20466" spans="1:6" ht="12.75">
      <c r="A20466" s="8">
        <v>43895.080937499995</v>
      </c>
      <c r="B20466" s="8" t="str">
        <f>HYPERLINK("https://twitter.com/sashy_o","@sashy_o")</f>
        <v>@sashy_o</v>
      </c>
      <c r="C20466" s="8" t="s">
        <v>8385</v>
      </c>
      <c r="D20466" s="8">
        <v>0</v>
      </c>
      <c r="E20466" s="8">
        <v>0</v>
      </c>
      <c r="F20466" s="8">
        <v>39</v>
      </c>
    </row>
    <row r="20467" spans="1:6" ht="12.75">
      <c r="A20467" s="8">
        <v>43895.079988425925</v>
      </c>
      <c r="B20467" s="8" t="str">
        <f>HYPERLINK("https://twitter.com/tegarpandu7","@tegarpandu7")</f>
        <v>@tegarpandu7</v>
      </c>
      <c r="C20467" s="8" t="s">
        <v>1145</v>
      </c>
      <c r="D20467" s="8">
        <v>525</v>
      </c>
      <c r="E20467" s="8">
        <v>0</v>
      </c>
      <c r="F20467" s="8">
        <v>2</v>
      </c>
    </row>
    <row r="20468" spans="1:6" ht="12.75">
      <c r="A20468" s="8">
        <v>43895.079571759255</v>
      </c>
      <c r="B20468" s="8" t="str">
        <f>HYPERLINK("https://twitter.com/SKHery8","@SKHery8")</f>
        <v>@SKHery8</v>
      </c>
      <c r="C20468" s="8" t="s">
        <v>7969</v>
      </c>
      <c r="D20468" s="8">
        <v>61</v>
      </c>
      <c r="E20468" s="8">
        <v>0</v>
      </c>
      <c r="F20468" s="8">
        <v>3468</v>
      </c>
    </row>
    <row r="20469" spans="1:6" ht="12.75">
      <c r="A20469" s="8">
        <v>43895.077546296292</v>
      </c>
      <c r="B20469" s="8" t="str">
        <f>HYPERLINK("https://twitter.com/pemburu_kampret","@pemburu_kampret")</f>
        <v>@pemburu_kampret</v>
      </c>
      <c r="C20469" s="8" t="s">
        <v>8386</v>
      </c>
      <c r="D20469" s="8">
        <v>0</v>
      </c>
      <c r="E20469" s="8">
        <v>1</v>
      </c>
      <c r="F20469" s="8">
        <v>104</v>
      </c>
    </row>
    <row r="20470" spans="1:6" ht="12.75">
      <c r="A20470" s="8">
        <v>43895.077141203699</v>
      </c>
      <c r="B20470" s="8" t="str">
        <f t="shared" ref="B20470:B20471" si="302">HYPERLINK("https://twitter.com/findque","@findque")</f>
        <v>@findque</v>
      </c>
      <c r="C20470" s="8" t="s">
        <v>8387</v>
      </c>
      <c r="D20470" s="8">
        <v>2</v>
      </c>
      <c r="E20470" s="8">
        <v>0</v>
      </c>
      <c r="F20470" s="8">
        <v>392</v>
      </c>
    </row>
    <row r="20471" spans="1:6" ht="12.75">
      <c r="A20471" s="8">
        <v>43895.076805555553</v>
      </c>
      <c r="B20471" s="8" t="str">
        <f t="shared" si="302"/>
        <v>@findque</v>
      </c>
      <c r="C20471" s="8" t="s">
        <v>8377</v>
      </c>
      <c r="D20471" s="8">
        <v>4</v>
      </c>
      <c r="E20471" s="8">
        <v>0</v>
      </c>
      <c r="F20471" s="8">
        <v>392</v>
      </c>
    </row>
    <row r="20472" spans="1:6" ht="12.75">
      <c r="A20472" s="8">
        <v>43895.076805555553</v>
      </c>
      <c r="B20472" s="8" t="str">
        <f>HYPERLINK("https://twitter.com/zakaria_mr14","@zakaria_mr14")</f>
        <v>@zakaria_mr14</v>
      </c>
      <c r="C20472" s="8" t="s">
        <v>8388</v>
      </c>
      <c r="D20472" s="8">
        <v>0</v>
      </c>
      <c r="E20472" s="8">
        <v>0</v>
      </c>
      <c r="F20472" s="8">
        <v>40</v>
      </c>
    </row>
    <row r="20473" spans="1:6" ht="12.75">
      <c r="A20473" s="8">
        <v>43895.076793981483</v>
      </c>
      <c r="B20473" s="8" t="str">
        <f>HYPERLINK("https://twitter.com/DenameNoname","@DenameNoname")</f>
        <v>@DenameNoname</v>
      </c>
      <c r="C20473" s="8" t="s">
        <v>8194</v>
      </c>
      <c r="D20473" s="8">
        <v>72</v>
      </c>
      <c r="E20473" s="8">
        <v>0</v>
      </c>
      <c r="F20473" s="8">
        <v>134</v>
      </c>
    </row>
    <row r="20474" spans="1:6" ht="12.75">
      <c r="A20474" s="8">
        <v>43895.074872685189</v>
      </c>
      <c r="B20474" s="8" t="str">
        <f>HYPERLINK("https://twitter.com/RezaMrc786","@RezaMrc786")</f>
        <v>@RezaMrc786</v>
      </c>
      <c r="C20474" s="8" t="s">
        <v>8389</v>
      </c>
      <c r="D20474" s="8">
        <v>4</v>
      </c>
      <c r="E20474" s="8">
        <v>0</v>
      </c>
      <c r="F20474" s="8">
        <v>328</v>
      </c>
    </row>
    <row r="20475" spans="1:6" ht="12.75">
      <c r="A20475" s="8">
        <v>43895.07408564815</v>
      </c>
      <c r="B20475" s="8" t="str">
        <f>HYPERLINK("https://twitter.com/r96sperstar","@r96sperstar")</f>
        <v>@r96sperstar</v>
      </c>
      <c r="C20475" s="8" t="s">
        <v>8066</v>
      </c>
      <c r="D20475" s="8">
        <v>70</v>
      </c>
      <c r="E20475" s="8">
        <v>0</v>
      </c>
      <c r="F20475" s="8">
        <v>455</v>
      </c>
    </row>
    <row r="20476" spans="1:6" ht="12.75">
      <c r="A20476" s="8">
        <v>43895.073958333334</v>
      </c>
      <c r="B20476" s="8" t="str">
        <f>HYPERLINK("https://twitter.com/RetmonDuliArfa","@RetmonDuliArfa")</f>
        <v>@RetmonDuliArfa</v>
      </c>
      <c r="C20476" s="8" t="s">
        <v>7969</v>
      </c>
      <c r="D20476" s="8">
        <v>61</v>
      </c>
      <c r="E20476" s="8">
        <v>0</v>
      </c>
      <c r="F20476" s="8">
        <v>3518</v>
      </c>
    </row>
    <row r="20477" spans="1:6" ht="12.75">
      <c r="A20477" s="8">
        <v>43895.073136574079</v>
      </c>
      <c r="B20477" s="8" t="str">
        <f>HYPERLINK("https://twitter.com/MahinFatavit","@MahinFatavit")</f>
        <v>@MahinFatavit</v>
      </c>
      <c r="C20477" s="8" t="s">
        <v>7969</v>
      </c>
      <c r="D20477" s="8">
        <v>61</v>
      </c>
      <c r="E20477" s="8">
        <v>0</v>
      </c>
      <c r="F20477" s="8">
        <v>6044</v>
      </c>
    </row>
    <row r="20478" spans="1:6" ht="12.75">
      <c r="A20478" s="8">
        <v>43895.072928240741</v>
      </c>
      <c r="B20478" s="8" t="str">
        <f>HYPERLINK("https://twitter.com/BotPeak","@BotPeak")</f>
        <v>@BotPeak</v>
      </c>
      <c r="C20478" s="8" t="s">
        <v>8390</v>
      </c>
      <c r="D20478" s="8">
        <v>0</v>
      </c>
      <c r="E20478" s="8">
        <v>0</v>
      </c>
      <c r="F20478" s="8">
        <v>28</v>
      </c>
    </row>
    <row r="20479" spans="1:6" ht="12.75">
      <c r="A20479" s="8">
        <v>43895.072870370372</v>
      </c>
      <c r="B20479" s="8" t="str">
        <f>HYPERLINK("https://twitter.com/MAliSubhan2","@MAliSubhan2")</f>
        <v>@MAliSubhan2</v>
      </c>
      <c r="C20479" s="8" t="s">
        <v>8225</v>
      </c>
      <c r="D20479" s="8">
        <v>7</v>
      </c>
      <c r="E20479" s="8">
        <v>0</v>
      </c>
      <c r="F20479" s="8">
        <v>1253</v>
      </c>
    </row>
    <row r="20480" spans="1:6" ht="12.75">
      <c r="A20480" s="8">
        <v>43895.072685185187</v>
      </c>
      <c r="B20480" s="8" t="str">
        <f>HYPERLINK("https://twitter.com/___CIMOL_Q7R","@___CIMOL_Q7R")</f>
        <v>@___CIMOL_Q7R</v>
      </c>
      <c r="C20480" s="8" t="s">
        <v>2979</v>
      </c>
      <c r="D20480" s="8">
        <v>119</v>
      </c>
      <c r="E20480" s="8">
        <v>0</v>
      </c>
      <c r="F20480" s="8">
        <v>8604</v>
      </c>
    </row>
    <row r="20481" spans="1:6" ht="12.75">
      <c r="A20481" s="8">
        <v>43895.072534722218</v>
      </c>
      <c r="B20481" s="8" t="str">
        <f t="shared" ref="B20481:B20483" si="303">HYPERLINK("https://twitter.com/MahinFatavit","@MahinFatavit")</f>
        <v>@MahinFatavit</v>
      </c>
      <c r="C20481" s="8" t="s">
        <v>8391</v>
      </c>
      <c r="D20481" s="8">
        <v>3</v>
      </c>
      <c r="E20481" s="8">
        <v>0</v>
      </c>
      <c r="F20481" s="8">
        <v>6044</v>
      </c>
    </row>
    <row r="20482" spans="1:6" ht="12.75">
      <c r="A20482" s="8">
        <v>43895.072152777779</v>
      </c>
      <c r="B20482" s="8" t="str">
        <f t="shared" si="303"/>
        <v>@MahinFatavit</v>
      </c>
      <c r="C20482" s="8" t="s">
        <v>8392</v>
      </c>
      <c r="D20482" s="8">
        <v>2</v>
      </c>
      <c r="E20482" s="8">
        <v>0</v>
      </c>
      <c r="F20482" s="8">
        <v>6044</v>
      </c>
    </row>
    <row r="20483" spans="1:6" ht="12.75">
      <c r="A20483" s="8">
        <v>43895.07203703704</v>
      </c>
      <c r="B20483" s="8" t="str">
        <f t="shared" si="303"/>
        <v>@MahinFatavit</v>
      </c>
      <c r="C20483" s="8" t="s">
        <v>8003</v>
      </c>
      <c r="D20483" s="8">
        <v>2</v>
      </c>
      <c r="E20483" s="8">
        <v>0</v>
      </c>
      <c r="F20483" s="8">
        <v>6044</v>
      </c>
    </row>
    <row r="20484" spans="1:6" ht="12.75">
      <c r="A20484" s="8">
        <v>43895.071168981478</v>
      </c>
      <c r="B20484" s="8" t="str">
        <f>HYPERLINK("https://twitter.com/FransNixon","@FransNixon")</f>
        <v>@FransNixon</v>
      </c>
      <c r="C20484" s="8" t="s">
        <v>8393</v>
      </c>
      <c r="D20484" s="8">
        <v>0</v>
      </c>
      <c r="E20484" s="8">
        <v>0</v>
      </c>
      <c r="F20484" s="8">
        <v>28</v>
      </c>
    </row>
    <row r="20485" spans="1:6" ht="12.75">
      <c r="A20485" s="8">
        <v>43895.070891203708</v>
      </c>
      <c r="B20485" s="8" t="str">
        <f>HYPERLINK("https://twitter.com/gar_banu","@gar_banu")</f>
        <v>@gar_banu</v>
      </c>
      <c r="C20485" s="8" t="s">
        <v>8394</v>
      </c>
      <c r="D20485" s="8">
        <v>0</v>
      </c>
      <c r="E20485" s="8">
        <v>0</v>
      </c>
      <c r="F20485" s="8">
        <v>23</v>
      </c>
    </row>
    <row r="20486" spans="1:6" ht="12.75">
      <c r="A20486" s="8">
        <v>43895.070486111115</v>
      </c>
      <c r="B20486" s="8" t="str">
        <f>HYPERLINK("https://twitter.com/BloodyLoveMe","@BloodyLoveMe")</f>
        <v>@BloodyLoveMe</v>
      </c>
      <c r="C20486" s="8" t="s">
        <v>6818</v>
      </c>
      <c r="D20486" s="8">
        <v>3</v>
      </c>
      <c r="E20486" s="8">
        <v>0</v>
      </c>
      <c r="F20486" s="8">
        <v>146</v>
      </c>
    </row>
    <row r="20487" spans="1:6" ht="12.75">
      <c r="A20487" s="8">
        <v>43895.070254629631</v>
      </c>
      <c r="B20487" s="8" t="str">
        <f>HYPERLINK("https://twitter.com/kak_wew","@kak_wew")</f>
        <v>@kak_wew</v>
      </c>
      <c r="C20487" s="8" t="s">
        <v>8395</v>
      </c>
      <c r="D20487" s="8">
        <v>0</v>
      </c>
      <c r="E20487" s="8">
        <v>0</v>
      </c>
      <c r="F20487" s="8">
        <v>330</v>
      </c>
    </row>
    <row r="20488" spans="1:6" ht="12.75">
      <c r="A20488" s="8">
        <v>43895.070185185185</v>
      </c>
      <c r="B20488" s="8" t="str">
        <f>HYPERLINK("https://twitter.com/yudi682","@yudi682")</f>
        <v>@yudi682</v>
      </c>
      <c r="C20488" s="8" t="s">
        <v>8396</v>
      </c>
      <c r="D20488" s="8">
        <v>0</v>
      </c>
      <c r="E20488" s="8">
        <v>0</v>
      </c>
      <c r="F20488" s="8">
        <v>252</v>
      </c>
    </row>
    <row r="20489" spans="1:6" ht="12.75">
      <c r="A20489" s="8">
        <v>43895.06958333333</v>
      </c>
      <c r="B20489" s="8" t="str">
        <f>HYPERLINK("https://twitter.com/asjadreturn","@asjadreturn")</f>
        <v>@asjadreturn</v>
      </c>
      <c r="C20489" s="8" t="s">
        <v>6832</v>
      </c>
      <c r="D20489" s="8">
        <v>1060</v>
      </c>
      <c r="E20489" s="8">
        <v>0</v>
      </c>
      <c r="F20489" s="8">
        <v>328</v>
      </c>
    </row>
    <row r="20490" spans="1:6" ht="12.75">
      <c r="A20490" s="8">
        <v>43895.068541666667</v>
      </c>
      <c r="B20490" s="8" t="str">
        <f>HYPERLINK("https://twitter.com/autumnwitchodd","@autumnwitchodd")</f>
        <v>@autumnwitchodd</v>
      </c>
      <c r="C20490" s="8" t="s">
        <v>8072</v>
      </c>
      <c r="D20490" s="8">
        <v>1</v>
      </c>
      <c r="E20490" s="8">
        <v>0</v>
      </c>
      <c r="F20490" s="8">
        <v>1046</v>
      </c>
    </row>
    <row r="20491" spans="1:6" ht="12.75">
      <c r="A20491" s="8">
        <v>43895.068159722221</v>
      </c>
      <c r="B20491" s="8" t="str">
        <f>HYPERLINK("https://twitter.com/7endralP","@7endralP")</f>
        <v>@7endralP</v>
      </c>
      <c r="C20491" s="8" t="s">
        <v>8397</v>
      </c>
      <c r="D20491" s="8">
        <v>1</v>
      </c>
      <c r="E20491" s="8">
        <v>0</v>
      </c>
      <c r="F20491" s="8">
        <v>102</v>
      </c>
    </row>
    <row r="20492" spans="1:6" ht="12.75">
      <c r="A20492" s="8">
        <v>43895.06795138889</v>
      </c>
      <c r="B20492" s="8" t="str">
        <f>HYPERLINK("https://twitter.com/Riddo_plur","@Riddo_plur")</f>
        <v>@Riddo_plur</v>
      </c>
      <c r="C20492" s="8" t="s">
        <v>7473</v>
      </c>
      <c r="D20492" s="8">
        <v>172</v>
      </c>
      <c r="E20492" s="8">
        <v>0</v>
      </c>
      <c r="F20492" s="8">
        <v>214</v>
      </c>
    </row>
    <row r="20493" spans="1:6" ht="12.75">
      <c r="A20493" s="8">
        <v>43895.067754629628</v>
      </c>
      <c r="B20493" s="8" t="str">
        <f>HYPERLINK("https://twitter.com/DarisHennen","@DarisHennen")</f>
        <v>@DarisHennen</v>
      </c>
      <c r="C20493" s="8" t="s">
        <v>8398</v>
      </c>
      <c r="D20493" s="8">
        <v>0</v>
      </c>
      <c r="E20493" s="8">
        <v>0</v>
      </c>
      <c r="F20493" s="8">
        <v>70</v>
      </c>
    </row>
    <row r="20494" spans="1:6" ht="12.75">
      <c r="A20494" s="8">
        <v>43895.067361111112</v>
      </c>
      <c r="B20494" s="8" t="str">
        <f>HYPERLINK("https://twitter.com/kak_wew","@kak_wew")</f>
        <v>@kak_wew</v>
      </c>
      <c r="C20494" s="8" t="s">
        <v>8399</v>
      </c>
      <c r="D20494" s="8">
        <v>1</v>
      </c>
      <c r="E20494" s="8">
        <v>1</v>
      </c>
      <c r="F20494" s="8">
        <v>330</v>
      </c>
    </row>
    <row r="20495" spans="1:6" ht="12.75">
      <c r="A20495" s="8">
        <v>43895.067106481481</v>
      </c>
      <c r="B20495" s="8" t="str">
        <f>HYPERLINK("https://twitter.com/IwanJambi3","@IwanJambi3")</f>
        <v>@IwanJambi3</v>
      </c>
      <c r="C20495" s="8" t="s">
        <v>8115</v>
      </c>
      <c r="D20495" s="8">
        <v>223</v>
      </c>
      <c r="E20495" s="8">
        <v>0</v>
      </c>
      <c r="F20495" s="8">
        <v>385</v>
      </c>
    </row>
    <row r="20496" spans="1:6" ht="12.75">
      <c r="A20496" s="8">
        <v>43895.066666666666</v>
      </c>
      <c r="B20496" s="8" t="str">
        <f>HYPERLINK("https://twitter.com/Yadi33653534","@Yadi33653534")</f>
        <v>@Yadi33653534</v>
      </c>
      <c r="C20496" s="8" t="s">
        <v>8400</v>
      </c>
      <c r="D20496" s="8">
        <v>0</v>
      </c>
      <c r="E20496" s="8">
        <v>0</v>
      </c>
      <c r="F20496" s="8">
        <v>601</v>
      </c>
    </row>
    <row r="20497" spans="1:6" ht="12.75">
      <c r="A20497" s="8">
        <v>43895.066331018519</v>
      </c>
      <c r="B20497" s="8" t="str">
        <f t="shared" ref="B20497:B20498" si="304">HYPERLINK("https://twitter.com/woerit_wae","@woerit_wae")</f>
        <v>@woerit_wae</v>
      </c>
      <c r="C20497" s="8" t="s">
        <v>7862</v>
      </c>
      <c r="D20497" s="8">
        <v>21</v>
      </c>
      <c r="E20497" s="8">
        <v>0</v>
      </c>
      <c r="F20497" s="8">
        <v>347</v>
      </c>
    </row>
    <row r="20498" spans="1:6" ht="12.75">
      <c r="A20498" s="8">
        <v>43895.065682870365</v>
      </c>
      <c r="B20498" s="8" t="str">
        <f t="shared" si="304"/>
        <v>@woerit_wae</v>
      </c>
      <c r="C20498" s="8" t="s">
        <v>7473</v>
      </c>
      <c r="D20498" s="8">
        <v>172</v>
      </c>
      <c r="E20498" s="8">
        <v>0</v>
      </c>
      <c r="F20498" s="8">
        <v>347</v>
      </c>
    </row>
    <row r="20499" spans="1:6" ht="12.75">
      <c r="A20499" s="8">
        <v>43895.065451388888</v>
      </c>
      <c r="B20499" s="8" t="str">
        <f>HYPERLINK("https://twitter.com/yudi682","@yudi682")</f>
        <v>@yudi682</v>
      </c>
      <c r="C20499" s="8" t="s">
        <v>8401</v>
      </c>
      <c r="D20499" s="8">
        <v>0</v>
      </c>
      <c r="E20499" s="8">
        <v>0</v>
      </c>
      <c r="F20499" s="8">
        <v>252</v>
      </c>
    </row>
    <row r="20500" spans="1:6" ht="12.75">
      <c r="A20500" s="8">
        <v>43895.065208333333</v>
      </c>
      <c r="B20500" s="8" t="str">
        <f>HYPERLINK("https://twitter.com/CeciliaSuwanda1","@CeciliaSuwanda1")</f>
        <v>@CeciliaSuwanda1</v>
      </c>
      <c r="C20500" s="8" t="s">
        <v>8402</v>
      </c>
      <c r="D20500" s="8">
        <v>1</v>
      </c>
      <c r="E20500" s="8">
        <v>0</v>
      </c>
      <c r="F20500" s="8">
        <v>5186</v>
      </c>
    </row>
    <row r="20501" spans="1:6" ht="12.75">
      <c r="A20501" s="8">
        <v>43895.064814814818</v>
      </c>
      <c r="B20501" s="8" t="str">
        <f>HYPERLINK("https://twitter.com/Riddo_plur","@Riddo_plur")</f>
        <v>@Riddo_plur</v>
      </c>
      <c r="C20501" s="8" t="s">
        <v>2979</v>
      </c>
      <c r="D20501" s="8">
        <v>119</v>
      </c>
      <c r="E20501" s="8">
        <v>0</v>
      </c>
      <c r="F20501" s="8">
        <v>214</v>
      </c>
    </row>
    <row r="20502" spans="1:6" ht="12.75">
      <c r="A20502" s="8">
        <v>43895.064733796295</v>
      </c>
      <c r="B20502" s="8" t="str">
        <f>HYPERLINK("https://twitter.com/mistercebong","@mistercebong")</f>
        <v>@mistercebong</v>
      </c>
      <c r="C20502" s="8" t="s">
        <v>7473</v>
      </c>
      <c r="D20502" s="8">
        <v>172</v>
      </c>
      <c r="E20502" s="8">
        <v>0</v>
      </c>
      <c r="F20502" s="8">
        <v>11011</v>
      </c>
    </row>
    <row r="20503" spans="1:6" ht="12.75">
      <c r="A20503" s="8">
        <v>43895.064699074079</v>
      </c>
      <c r="B20503" s="8" t="str">
        <f>HYPERLINK("https://twitter.com/linkarika","@linkarika")</f>
        <v>@linkarika</v>
      </c>
      <c r="C20503" s="8" t="s">
        <v>8403</v>
      </c>
      <c r="D20503" s="8">
        <v>2</v>
      </c>
      <c r="E20503" s="8">
        <v>0</v>
      </c>
      <c r="F20503" s="8">
        <v>321</v>
      </c>
    </row>
    <row r="20504" spans="1:6" ht="12.75">
      <c r="A20504" s="8">
        <v>43895.06413194444</v>
      </c>
      <c r="B20504" s="8" t="str">
        <f>HYPERLINK("https://twitter.com/BillTemporo","@BillTemporo")</f>
        <v>@BillTemporo</v>
      </c>
      <c r="C20504" s="8" t="s">
        <v>355</v>
      </c>
      <c r="D20504" s="8">
        <v>0</v>
      </c>
      <c r="E20504" s="8">
        <v>0</v>
      </c>
      <c r="F20504" s="8">
        <v>11</v>
      </c>
    </row>
    <row r="20505" spans="1:6" ht="12.75">
      <c r="A20505" s="8">
        <v>43895.063831018517</v>
      </c>
      <c r="B20505" s="8" t="str">
        <f>HYPERLINK("https://twitter.com/ojeckerz","@ojeckerz")</f>
        <v>@ojeckerz</v>
      </c>
      <c r="C20505" s="8" t="s">
        <v>7473</v>
      </c>
      <c r="D20505" s="8">
        <v>172</v>
      </c>
      <c r="E20505" s="8">
        <v>0</v>
      </c>
      <c r="F20505" s="8">
        <v>246</v>
      </c>
    </row>
    <row r="20506" spans="1:6" ht="12.75">
      <c r="A20506" s="8">
        <v>43895.063449074078</v>
      </c>
      <c r="B20506" s="8" t="str">
        <f>HYPERLINK("https://twitter.com/EdiKemput","@EdiKemput")</f>
        <v>@EdiKemput</v>
      </c>
      <c r="C20506" s="8" t="s">
        <v>8404</v>
      </c>
      <c r="D20506" s="8">
        <v>0</v>
      </c>
      <c r="E20506" s="8">
        <v>0</v>
      </c>
      <c r="F20506" s="8">
        <v>1779</v>
      </c>
    </row>
    <row r="20507" spans="1:6" ht="12.75">
      <c r="A20507" s="8">
        <v>43895.063414351855</v>
      </c>
      <c r="B20507" s="8" t="str">
        <f>HYPERLINK("https://twitter.com/bosimanurung","@bosimanurung")</f>
        <v>@bosimanurung</v>
      </c>
      <c r="C20507" s="8" t="s">
        <v>8405</v>
      </c>
      <c r="D20507" s="8">
        <v>0</v>
      </c>
      <c r="E20507" s="8">
        <v>0</v>
      </c>
      <c r="F20507" s="8">
        <v>25</v>
      </c>
    </row>
    <row r="20508" spans="1:6" ht="12.75">
      <c r="A20508" s="8">
        <v>43895.063414351855</v>
      </c>
      <c r="B20508" s="8" t="str">
        <f>HYPERLINK("https://twitter.com/BudiPra78779216","@BudiPra78779216")</f>
        <v>@BudiPra78779216</v>
      </c>
      <c r="C20508" s="8" t="s">
        <v>8212</v>
      </c>
      <c r="D20508" s="8">
        <v>161</v>
      </c>
      <c r="E20508" s="8">
        <v>0</v>
      </c>
      <c r="F20508" s="8">
        <v>1612</v>
      </c>
    </row>
    <row r="20509" spans="1:6" ht="12.75">
      <c r="A20509" s="8">
        <v>43895.062916666662</v>
      </c>
      <c r="B20509" s="8" t="str">
        <f>HYPERLINK("https://twitter.com/AB_arpit","@AB_arpit")</f>
        <v>@AB_arpit</v>
      </c>
      <c r="C20509" s="8" t="s">
        <v>8406</v>
      </c>
      <c r="D20509" s="8">
        <v>0</v>
      </c>
      <c r="E20509" s="8">
        <v>0</v>
      </c>
      <c r="F20509" s="8">
        <v>263</v>
      </c>
    </row>
    <row r="20510" spans="1:6" ht="12.75">
      <c r="A20510" s="8">
        <v>43895.062650462962</v>
      </c>
      <c r="B20510" s="8" t="str">
        <f>HYPERLINK("https://twitter.com/pikircopo","@pikircopo")</f>
        <v>@pikircopo</v>
      </c>
      <c r="C20510" s="8" t="s">
        <v>3285</v>
      </c>
      <c r="D20510" s="8">
        <v>93</v>
      </c>
      <c r="E20510" s="8">
        <v>0</v>
      </c>
      <c r="F20510" s="8">
        <v>167</v>
      </c>
    </row>
    <row r="20511" spans="1:6" ht="12.75">
      <c r="A20511" s="8">
        <v>43895.062476851846</v>
      </c>
      <c r="B20511" s="8" t="str">
        <f>HYPERLINK("https://twitter.com/astridsinaga201","@astridsinaga201")</f>
        <v>@astridsinaga201</v>
      </c>
      <c r="C20511" s="8" t="s">
        <v>6710</v>
      </c>
      <c r="D20511" s="8">
        <v>431</v>
      </c>
      <c r="E20511" s="8">
        <v>0</v>
      </c>
      <c r="F20511" s="8">
        <v>2</v>
      </c>
    </row>
    <row r="20512" spans="1:6" ht="12.75">
      <c r="A20512" s="8">
        <v>43895.062199074076</v>
      </c>
      <c r="B20512" s="8" t="str">
        <f>HYPERLINK("https://twitter.com/kangmas22592110","@kangmas22592110")</f>
        <v>@kangmas22592110</v>
      </c>
      <c r="C20512" s="8" t="s">
        <v>8407</v>
      </c>
      <c r="D20512" s="8">
        <v>0</v>
      </c>
      <c r="E20512" s="8">
        <v>0</v>
      </c>
      <c r="F20512" s="8">
        <v>2320</v>
      </c>
    </row>
    <row r="20513" spans="1:6" ht="12.75">
      <c r="A20513" s="8">
        <v>43895.061909722222</v>
      </c>
      <c r="B20513" s="8" t="str">
        <f>HYPERLINK("https://twitter.com/wahyoesure","@wahyoesure")</f>
        <v>@wahyoesure</v>
      </c>
      <c r="C20513" s="8" t="s">
        <v>7890</v>
      </c>
      <c r="D20513" s="8">
        <v>2</v>
      </c>
      <c r="E20513" s="8">
        <v>0</v>
      </c>
      <c r="F20513" s="8">
        <v>247</v>
      </c>
    </row>
    <row r="20514" spans="1:6" ht="12.75">
      <c r="A20514" s="8">
        <v>43895.060844907406</v>
      </c>
      <c r="B20514" s="8" t="str">
        <f>HYPERLINK("https://twitter.com/prscvd","@prscvd")</f>
        <v>@prscvd</v>
      </c>
      <c r="C20514" s="8" t="s">
        <v>2962</v>
      </c>
      <c r="D20514" s="8">
        <v>5669</v>
      </c>
      <c r="E20514" s="8">
        <v>0</v>
      </c>
      <c r="F20514" s="8">
        <v>475</v>
      </c>
    </row>
    <row r="20515" spans="1:6" ht="12.75">
      <c r="A20515" s="8">
        <v>43895.060694444444</v>
      </c>
      <c r="B20515" s="8" t="str">
        <f>HYPERLINK("https://twitter.com/Rusman_Sumbayak","@Rusman_Sumbayak")</f>
        <v>@Rusman_Sumbayak</v>
      </c>
      <c r="C20515" s="8" t="s">
        <v>8408</v>
      </c>
      <c r="D20515" s="8">
        <v>0</v>
      </c>
      <c r="E20515" s="8">
        <v>0</v>
      </c>
      <c r="F20515" s="8">
        <v>67</v>
      </c>
    </row>
    <row r="20516" spans="1:6" ht="12.75">
      <c r="A20516" s="8">
        <v>43895.060659722221</v>
      </c>
      <c r="B20516" s="8" t="str">
        <f>HYPERLINK("https://twitter.com/alfiyyahzahra","@alfiyyahzahra")</f>
        <v>@alfiyyahzahra</v>
      </c>
      <c r="C20516" s="8" t="s">
        <v>2962</v>
      </c>
      <c r="D20516" s="8">
        <v>5669</v>
      </c>
      <c r="E20516" s="8">
        <v>0</v>
      </c>
      <c r="F20516" s="8">
        <v>488</v>
      </c>
    </row>
    <row r="20517" spans="1:6" ht="12.75">
      <c r="A20517" s="8">
        <v>43895.06050925926</v>
      </c>
      <c r="B20517" s="8" t="str">
        <f>HYPERLINK("https://twitter.com/nath_et_isis","@nath_et_isis")</f>
        <v>@nath_et_isis</v>
      </c>
      <c r="C20517" s="8" t="s">
        <v>8409</v>
      </c>
      <c r="D20517" s="8">
        <v>0</v>
      </c>
      <c r="E20517" s="8">
        <v>0</v>
      </c>
      <c r="F20517" s="8">
        <v>72</v>
      </c>
    </row>
    <row r="20518" spans="1:6" ht="12.75">
      <c r="A20518" s="8">
        <v>43895.060347222221</v>
      </c>
      <c r="B20518" s="8" t="str">
        <f>HYPERLINK("https://twitter.com/AdexAd","@AdexAd")</f>
        <v>@AdexAd</v>
      </c>
      <c r="C20518" s="8" t="s">
        <v>2979</v>
      </c>
      <c r="D20518" s="8">
        <v>119</v>
      </c>
      <c r="E20518" s="8">
        <v>0</v>
      </c>
      <c r="F20518" s="8">
        <v>867</v>
      </c>
    </row>
    <row r="20519" spans="1:6" ht="12.75">
      <c r="A20519" s="8">
        <v>43895.059861111113</v>
      </c>
      <c r="B20519" s="8" t="str">
        <f>HYPERLINK("https://twitter.com/BudiPra78779216","@BudiPra78779216")</f>
        <v>@BudiPra78779216</v>
      </c>
      <c r="C20519" s="8" t="s">
        <v>6710</v>
      </c>
      <c r="D20519" s="8">
        <v>431</v>
      </c>
      <c r="E20519" s="8">
        <v>0</v>
      </c>
      <c r="F20519" s="8">
        <v>1612</v>
      </c>
    </row>
    <row r="20520" spans="1:6" ht="12.75">
      <c r="A20520" s="8">
        <v>43895.059444444443</v>
      </c>
      <c r="B20520" s="8" t="str">
        <f>HYPERLINK("https://twitter.com/yudi682","@yudi682")</f>
        <v>@yudi682</v>
      </c>
      <c r="C20520" s="8" t="s">
        <v>8410</v>
      </c>
      <c r="D20520" s="8">
        <v>0</v>
      </c>
      <c r="E20520" s="8">
        <v>0</v>
      </c>
      <c r="F20520" s="8">
        <v>252</v>
      </c>
    </row>
    <row r="20521" spans="1:6" ht="12.75">
      <c r="A20521" s="8">
        <v>43895.059039351851</v>
      </c>
      <c r="B20521" s="8" t="str">
        <f>HYPERLINK("https://twitter.com/abdulloh2015","@abdulloh2015")</f>
        <v>@abdulloh2015</v>
      </c>
      <c r="C20521" s="8" t="s">
        <v>859</v>
      </c>
      <c r="D20521" s="8">
        <v>0</v>
      </c>
      <c r="E20521" s="8">
        <v>0</v>
      </c>
      <c r="F20521" s="8">
        <v>61</v>
      </c>
    </row>
    <row r="20522" spans="1:6" ht="12.75">
      <c r="A20522" s="8">
        <v>43895.05850694445</v>
      </c>
      <c r="B20522" s="8" t="str">
        <f>HYPERLINK("https://twitter.com/kawan_pas","@kawan_pas")</f>
        <v>@kawan_pas</v>
      </c>
      <c r="C20522" s="8" t="s">
        <v>7715</v>
      </c>
      <c r="D20522" s="8">
        <v>53</v>
      </c>
      <c r="E20522" s="8">
        <v>0</v>
      </c>
      <c r="F20522" s="8">
        <v>1718</v>
      </c>
    </row>
    <row r="20523" spans="1:6" ht="12.75">
      <c r="A20523" s="8">
        <v>43895.057754629626</v>
      </c>
      <c r="B20523" s="8" t="str">
        <f>HYPERLINK("https://twitter.com/P3nj3l4j4h_id","@P3nj3l4j4h_id")</f>
        <v>@P3nj3l4j4h_id</v>
      </c>
      <c r="C20523" s="8" t="s">
        <v>8387</v>
      </c>
      <c r="D20523" s="8">
        <v>2</v>
      </c>
      <c r="E20523" s="8">
        <v>0</v>
      </c>
      <c r="F20523" s="8">
        <v>16434</v>
      </c>
    </row>
    <row r="20524" spans="1:6" ht="12.75">
      <c r="A20524" s="8">
        <v>43895.057650462964</v>
      </c>
      <c r="B20524" s="8" t="str">
        <f>HYPERLINK("https://twitter.com/xiyulinglee","@xiyulinglee")</f>
        <v>@xiyulinglee</v>
      </c>
      <c r="C20524" s="8" t="s">
        <v>6710</v>
      </c>
      <c r="D20524" s="8">
        <v>431</v>
      </c>
      <c r="E20524" s="8">
        <v>0</v>
      </c>
      <c r="F20524" s="8">
        <v>244</v>
      </c>
    </row>
    <row r="20525" spans="1:6" ht="12.75">
      <c r="A20525" s="8">
        <v>43895.056909722218</v>
      </c>
      <c r="B20525" s="8" t="str">
        <f>HYPERLINK("https://twitter.com/bpriady","@bpriady")</f>
        <v>@bpriady</v>
      </c>
      <c r="C20525" s="8" t="s">
        <v>7473</v>
      </c>
      <c r="D20525" s="8">
        <v>172</v>
      </c>
      <c r="E20525" s="8">
        <v>0</v>
      </c>
      <c r="F20525" s="8">
        <v>607</v>
      </c>
    </row>
    <row r="20526" spans="1:6" ht="12.75">
      <c r="A20526" s="8">
        <v>43895.056655092594</v>
      </c>
      <c r="B20526" s="8" t="str">
        <f>HYPERLINK("https://twitter.com/mudha_satriya","@mudha_satriya")</f>
        <v>@mudha_satriya</v>
      </c>
      <c r="C20526" s="8" t="s">
        <v>7700</v>
      </c>
      <c r="D20526" s="8">
        <v>43</v>
      </c>
      <c r="E20526" s="8">
        <v>0</v>
      </c>
      <c r="F20526" s="8">
        <v>1879</v>
      </c>
    </row>
    <row r="20527" spans="1:6" ht="12.75">
      <c r="A20527" s="8">
        <v>43895.055937500001</v>
      </c>
      <c r="B20527" s="8" t="str">
        <f>HYPERLINK("https://twitter.com/elzaindra","@elzaindra")</f>
        <v>@elzaindra</v>
      </c>
      <c r="C20527" s="8" t="s">
        <v>3285</v>
      </c>
      <c r="D20527" s="8">
        <v>93</v>
      </c>
      <c r="E20527" s="8">
        <v>0</v>
      </c>
      <c r="F20527" s="8">
        <v>386</v>
      </c>
    </row>
    <row r="20528" spans="1:6" ht="12.75">
      <c r="A20528" s="8">
        <v>43895.055706018524</v>
      </c>
      <c r="B20528" s="8" t="str">
        <f>HYPERLINK("https://twitter.com/mudha_satriya","@mudha_satriya")</f>
        <v>@mudha_satriya</v>
      </c>
      <c r="C20528" s="8" t="s">
        <v>8411</v>
      </c>
      <c r="D20528" s="8">
        <v>11</v>
      </c>
      <c r="E20528" s="8">
        <v>0</v>
      </c>
      <c r="F20528" s="8">
        <v>1879</v>
      </c>
    </row>
    <row r="20529" spans="1:6" ht="12.75">
      <c r="A20529" s="8">
        <v>43895.055138888885</v>
      </c>
      <c r="B20529" s="8" t="str">
        <f>HYPERLINK("https://twitter.com/NovitaWuls","@NovitaWuls")</f>
        <v>@NovitaWuls</v>
      </c>
      <c r="C20529" s="8" t="s">
        <v>7692</v>
      </c>
      <c r="D20529" s="8">
        <v>5</v>
      </c>
      <c r="E20529" s="8">
        <v>0</v>
      </c>
      <c r="F20529" s="8">
        <v>255</v>
      </c>
    </row>
    <row r="20530" spans="1:6" ht="12.75">
      <c r="A20530" s="8">
        <v>43895.054976851854</v>
      </c>
      <c r="B20530" s="8" t="str">
        <f>HYPERLINK("https://twitter.com/paquitacumadebu","@paquitacumadebu")</f>
        <v>@paquitacumadebu</v>
      </c>
      <c r="C20530" s="8" t="s">
        <v>8412</v>
      </c>
      <c r="D20530" s="8">
        <v>2</v>
      </c>
      <c r="E20530" s="8">
        <v>5</v>
      </c>
      <c r="F20530" s="8">
        <v>1750</v>
      </c>
    </row>
    <row r="20531" spans="1:6" ht="12.75">
      <c r="A20531" s="8">
        <v>43895.054907407408</v>
      </c>
      <c r="B20531" s="8" t="str">
        <f>HYPERLINK("https://twitter.com/elzaindra","@elzaindra")</f>
        <v>@elzaindra</v>
      </c>
      <c r="C20531" s="8" t="s">
        <v>7473</v>
      </c>
      <c r="D20531" s="8">
        <v>172</v>
      </c>
      <c r="E20531" s="8">
        <v>0</v>
      </c>
      <c r="F20531" s="8">
        <v>386</v>
      </c>
    </row>
    <row r="20532" spans="1:6" ht="12.75">
      <c r="A20532" s="8">
        <v>43895.053935185184</v>
      </c>
      <c r="B20532" s="8" t="str">
        <f>HYPERLINK("https://twitter.com/tyhon9","@tyhon9")</f>
        <v>@tyhon9</v>
      </c>
      <c r="C20532" s="8" t="s">
        <v>8403</v>
      </c>
      <c r="D20532" s="8">
        <v>2</v>
      </c>
      <c r="E20532" s="8">
        <v>0</v>
      </c>
      <c r="F20532" s="8">
        <v>4706</v>
      </c>
    </row>
    <row r="20533" spans="1:6" ht="12.75">
      <c r="A20533" s="8">
        <v>43895.053715277776</v>
      </c>
      <c r="B20533" s="8" t="str">
        <f>HYPERLINK("https://twitter.com/citypostid1","@citypostid1")</f>
        <v>@citypostid1</v>
      </c>
      <c r="C20533" s="8" t="s">
        <v>8413</v>
      </c>
      <c r="D20533" s="8">
        <v>0</v>
      </c>
      <c r="E20533" s="8">
        <v>0</v>
      </c>
      <c r="F20533" s="8">
        <v>87</v>
      </c>
    </row>
    <row r="20534" spans="1:6" ht="12.75">
      <c r="A20534" s="8">
        <v>43895.053576388891</v>
      </c>
      <c r="B20534" s="8" t="str">
        <f>HYPERLINK("https://twitter.com/7endralP","@7endralP")</f>
        <v>@7endralP</v>
      </c>
      <c r="C20534" s="8" t="s">
        <v>8414</v>
      </c>
      <c r="D20534" s="8">
        <v>0</v>
      </c>
      <c r="E20534" s="8">
        <v>1</v>
      </c>
      <c r="F20534" s="8">
        <v>102</v>
      </c>
    </row>
    <row r="20535" spans="1:6" ht="12.75">
      <c r="A20535" s="8">
        <v>43895.05332175926</v>
      </c>
      <c r="B20535" s="8" t="str">
        <f>HYPERLINK("https://twitter.com/citypostid1","@citypostid1")</f>
        <v>@citypostid1</v>
      </c>
      <c r="C20535" s="8" t="s">
        <v>8415</v>
      </c>
      <c r="D20535" s="8">
        <v>0</v>
      </c>
      <c r="E20535" s="8">
        <v>0</v>
      </c>
      <c r="F20535" s="8">
        <v>87</v>
      </c>
    </row>
    <row r="20536" spans="1:6" ht="12.75">
      <c r="A20536" s="8">
        <v>43895.052500000005</v>
      </c>
      <c r="B20536" s="8" t="str">
        <f>HYPERLINK("https://twitter.com/yudi682","@yudi682")</f>
        <v>@yudi682</v>
      </c>
      <c r="C20536" s="8" t="s">
        <v>8416</v>
      </c>
      <c r="D20536" s="8">
        <v>0</v>
      </c>
      <c r="E20536" s="8">
        <v>0</v>
      </c>
      <c r="F20536" s="8">
        <v>252</v>
      </c>
    </row>
    <row r="20537" spans="1:6" ht="12.75">
      <c r="A20537" s="8">
        <v>43895.052395833336</v>
      </c>
      <c r="B20537" s="8" t="str">
        <f>HYPERLINK("https://twitter.com/BudiPra78779216","@BudiPra78779216")</f>
        <v>@BudiPra78779216</v>
      </c>
      <c r="C20537" s="8" t="s">
        <v>2979</v>
      </c>
      <c r="D20537" s="8">
        <v>119</v>
      </c>
      <c r="E20537" s="8">
        <v>0</v>
      </c>
      <c r="F20537" s="8">
        <v>1612</v>
      </c>
    </row>
    <row r="20538" spans="1:6" ht="12.75">
      <c r="A20538" s="8">
        <v>43895.052361111113</v>
      </c>
      <c r="B20538" s="8" t="str">
        <f>HYPERLINK("https://twitter.com/ekootnasreh","@ekootnasreh")</f>
        <v>@ekootnasreh</v>
      </c>
      <c r="C20538" s="8" t="s">
        <v>7715</v>
      </c>
      <c r="D20538" s="8">
        <v>53</v>
      </c>
      <c r="E20538" s="8">
        <v>0</v>
      </c>
      <c r="F20538" s="8">
        <v>1234</v>
      </c>
    </row>
    <row r="20539" spans="1:6" ht="12.75">
      <c r="A20539" s="8">
        <v>43895.052187499998</v>
      </c>
      <c r="B20539" s="8" t="str">
        <f>HYPERLINK("https://twitter.com/BudiPra78779216","@BudiPra78779216")</f>
        <v>@BudiPra78779216</v>
      </c>
      <c r="C20539" s="8" t="s">
        <v>3285</v>
      </c>
      <c r="D20539" s="8">
        <v>93</v>
      </c>
      <c r="E20539" s="8">
        <v>0</v>
      </c>
      <c r="F20539" s="8">
        <v>1612</v>
      </c>
    </row>
    <row r="20540" spans="1:6" ht="12.75">
      <c r="A20540" s="8">
        <v>43895.051990740743</v>
      </c>
      <c r="B20540" s="8" t="str">
        <f>HYPERLINK("https://twitter.com/SuramaduJingga","@SuramaduJingga")</f>
        <v>@SuramaduJingga</v>
      </c>
      <c r="C20540" s="8" t="s">
        <v>8417</v>
      </c>
      <c r="D20540" s="8">
        <v>0</v>
      </c>
      <c r="E20540" s="8">
        <v>0</v>
      </c>
      <c r="F20540" s="8">
        <v>644</v>
      </c>
    </row>
    <row r="20541" spans="1:6" ht="12.75">
      <c r="A20541" s="8">
        <v>43895.051875000005</v>
      </c>
      <c r="B20541" s="8" t="str">
        <f>HYPERLINK("https://twitter.com/sigitkng","@sigitkng")</f>
        <v>@sigitkng</v>
      </c>
      <c r="C20541" s="8" t="s">
        <v>3285</v>
      </c>
      <c r="D20541" s="8">
        <v>93</v>
      </c>
      <c r="E20541" s="8">
        <v>0</v>
      </c>
      <c r="F20541" s="8">
        <v>51</v>
      </c>
    </row>
    <row r="20542" spans="1:6" ht="12.75">
      <c r="A20542" s="8">
        <v>43895.051851851851</v>
      </c>
      <c r="B20542" s="8" t="str">
        <f>HYPERLINK("https://twitter.com/linkarika","@linkarika")</f>
        <v>@linkarika</v>
      </c>
      <c r="C20542" s="8" t="s">
        <v>8418</v>
      </c>
      <c r="D20542" s="8">
        <v>2</v>
      </c>
      <c r="E20542" s="8">
        <v>1</v>
      </c>
      <c r="F20542" s="8">
        <v>321</v>
      </c>
    </row>
    <row r="20543" spans="1:6" ht="12.75">
      <c r="A20543" s="8">
        <v>43895.051782407405</v>
      </c>
      <c r="B20543" s="8" t="str">
        <f>HYPERLINK("https://twitter.com/mudha_satriya","@mudha_satriya")</f>
        <v>@mudha_satriya</v>
      </c>
      <c r="C20543" s="8" t="s">
        <v>8356</v>
      </c>
      <c r="D20543" s="8">
        <v>8</v>
      </c>
      <c r="E20543" s="8">
        <v>0</v>
      </c>
      <c r="F20543" s="8">
        <v>1879</v>
      </c>
    </row>
    <row r="20544" spans="1:6" ht="12.75">
      <c r="A20544" s="8">
        <v>43895.051539351851</v>
      </c>
      <c r="B20544" s="8" t="str">
        <f>HYPERLINK("https://twitter.com/Alimahd48925233","@Alimahd48925233")</f>
        <v>@Alimahd48925233</v>
      </c>
      <c r="C20544" s="8" t="s">
        <v>3285</v>
      </c>
      <c r="D20544" s="8">
        <v>93</v>
      </c>
      <c r="E20544" s="8">
        <v>0</v>
      </c>
      <c r="F20544" s="8">
        <v>2</v>
      </c>
    </row>
    <row r="20545" spans="1:6" ht="12.75">
      <c r="A20545" s="8">
        <v>43895.051412037035</v>
      </c>
      <c r="B20545" s="8" t="str">
        <f>HYPERLINK("https://twitter.com/djanuanti","@djanuanti")</f>
        <v>@djanuanti</v>
      </c>
      <c r="C20545" s="8" t="s">
        <v>7473</v>
      </c>
      <c r="D20545" s="8">
        <v>172</v>
      </c>
      <c r="E20545" s="8">
        <v>0</v>
      </c>
      <c r="F20545" s="8">
        <v>478</v>
      </c>
    </row>
    <row r="20546" spans="1:6" ht="12.75">
      <c r="A20546" s="8">
        <v>43895.051388888889</v>
      </c>
      <c r="B20546" s="8" t="str">
        <f>HYPERLINK("https://twitter.com/FatiinS_L","@FatiinS_L")</f>
        <v>@FatiinS_L</v>
      </c>
      <c r="C20546" s="8" t="s">
        <v>8419</v>
      </c>
      <c r="D20546" s="8">
        <v>0</v>
      </c>
      <c r="E20546" s="8">
        <v>0</v>
      </c>
      <c r="F20546" s="8">
        <v>16421</v>
      </c>
    </row>
    <row r="20547" spans="1:6" ht="12.75">
      <c r="A20547" s="8">
        <v>43895.049814814818</v>
      </c>
      <c r="B20547" s="8" t="str">
        <f>HYPERLINK("https://twitter.com/ferry_adamhar","@ferry_adamhar")</f>
        <v>@ferry_adamhar</v>
      </c>
      <c r="C20547" s="8" t="s">
        <v>7700</v>
      </c>
      <c r="D20547" s="8">
        <v>43</v>
      </c>
      <c r="E20547" s="8">
        <v>0</v>
      </c>
      <c r="F20547" s="8">
        <v>10</v>
      </c>
    </row>
    <row r="20548" spans="1:6" ht="12.75">
      <c r="A20548" s="8">
        <v>43895.048449074078</v>
      </c>
      <c r="B20548" s="8" t="str">
        <f>HYPERLINK("https://twitter.com/MAliSubhan2","@MAliSubhan2")</f>
        <v>@MAliSubhan2</v>
      </c>
      <c r="C20548" s="8" t="s">
        <v>8420</v>
      </c>
      <c r="D20548" s="8">
        <v>3</v>
      </c>
      <c r="E20548" s="8">
        <v>0</v>
      </c>
      <c r="F20548" s="8">
        <v>1252</v>
      </c>
    </row>
    <row r="20549" spans="1:6" ht="12.75">
      <c r="A20549" s="8">
        <v>43895.048206018517</v>
      </c>
      <c r="B20549" s="8" t="str">
        <f>HYPERLINK("https://twitter.com/laxman_xy","@laxman_xy")</f>
        <v>@laxman_xy</v>
      </c>
      <c r="C20549" s="8" t="s">
        <v>8421</v>
      </c>
      <c r="D20549" s="8">
        <v>0</v>
      </c>
      <c r="E20549" s="8">
        <v>0</v>
      </c>
      <c r="F20549" s="8">
        <v>2740</v>
      </c>
    </row>
    <row r="20550" spans="1:6" ht="12.75">
      <c r="A20550" s="8">
        <v>43895.048101851848</v>
      </c>
      <c r="B20550" s="8" t="str">
        <f>HYPERLINK("https://twitter.com/7endralP","@7endralP")</f>
        <v>@7endralP</v>
      </c>
      <c r="C20550" s="8" t="s">
        <v>8422</v>
      </c>
      <c r="D20550" s="8">
        <v>1</v>
      </c>
      <c r="E20550" s="8">
        <v>0</v>
      </c>
      <c r="F20550" s="8">
        <v>99</v>
      </c>
    </row>
    <row r="20551" spans="1:6" ht="12.75">
      <c r="A20551" s="8">
        <v>43895.047858796301</v>
      </c>
      <c r="B20551" s="8" t="str">
        <f>HYPERLINK("https://twitter.com/yudi682","@yudi682")</f>
        <v>@yudi682</v>
      </c>
      <c r="C20551" s="8" t="s">
        <v>8423</v>
      </c>
      <c r="D20551" s="8">
        <v>0</v>
      </c>
      <c r="E20551" s="8">
        <v>0</v>
      </c>
      <c r="F20551" s="8">
        <v>251</v>
      </c>
    </row>
    <row r="20552" spans="1:6" ht="12.75">
      <c r="A20552" s="8">
        <v>43895.047754629632</v>
      </c>
      <c r="B20552" s="8" t="str">
        <f>HYPERLINK("https://twitter.com/be4anyonelse","@be4anyonelse")</f>
        <v>@be4anyonelse</v>
      </c>
      <c r="C20552" s="8" t="s">
        <v>8424</v>
      </c>
      <c r="D20552" s="8">
        <v>0</v>
      </c>
      <c r="E20552" s="8">
        <v>0</v>
      </c>
      <c r="F20552" s="8">
        <v>719</v>
      </c>
    </row>
    <row r="20553" spans="1:6" ht="12.75">
      <c r="A20553" s="8">
        <v>43895.047025462962</v>
      </c>
      <c r="B20553" s="8" t="str">
        <f>HYPERLINK("https://twitter.com/soffel84103944","@soffel84103944")</f>
        <v>@soffel84103944</v>
      </c>
      <c r="C20553" s="8" t="s">
        <v>8377</v>
      </c>
      <c r="D20553" s="8">
        <v>2</v>
      </c>
      <c r="E20553" s="8">
        <v>0</v>
      </c>
      <c r="F20553" s="8">
        <v>616</v>
      </c>
    </row>
    <row r="20554" spans="1:6" ht="12.75">
      <c r="A20554" s="8">
        <v>43895.046956018516</v>
      </c>
      <c r="B20554" s="8" t="str">
        <f>HYPERLINK("https://twitter.com/HarioKY1","@HarioKY1")</f>
        <v>@HarioKY1</v>
      </c>
      <c r="C20554" s="8" t="s">
        <v>2979</v>
      </c>
      <c r="D20554" s="8">
        <v>113</v>
      </c>
      <c r="E20554" s="8">
        <v>0</v>
      </c>
      <c r="F20554" s="8">
        <v>328</v>
      </c>
    </row>
    <row r="20555" spans="1:6" ht="12.75">
      <c r="A20555" s="8">
        <v>43895.046828703707</v>
      </c>
      <c r="B20555" s="8" t="str">
        <f>HYPERLINK("https://twitter.com/Cintain09670662","@Cintain09670662")</f>
        <v>@Cintain09670662</v>
      </c>
      <c r="C20555" s="8" t="s">
        <v>8425</v>
      </c>
      <c r="D20555" s="8">
        <v>0</v>
      </c>
      <c r="E20555" s="8">
        <v>0</v>
      </c>
      <c r="F20555" s="8">
        <v>1</v>
      </c>
    </row>
    <row r="20556" spans="1:6" ht="12.75">
      <c r="A20556" s="8">
        <v>43895.046759259261</v>
      </c>
      <c r="B20556" s="8" t="str">
        <f>HYPERLINK("https://twitter.com/agungnurh17","@agungnurh17")</f>
        <v>@agungnurh17</v>
      </c>
      <c r="C20556" s="8" t="s">
        <v>7466</v>
      </c>
      <c r="D20556" s="8">
        <v>6</v>
      </c>
      <c r="E20556" s="8">
        <v>0</v>
      </c>
      <c r="F20556" s="8">
        <v>98</v>
      </c>
    </row>
    <row r="20557" spans="1:6" ht="12.75">
      <c r="A20557" s="8">
        <v>43895.0465625</v>
      </c>
      <c r="B20557" s="8" t="str">
        <f>HYPERLINK("https://twitter.com/band0eng","@band0eng")</f>
        <v>@band0eng</v>
      </c>
      <c r="C20557" s="8" t="s">
        <v>6710</v>
      </c>
      <c r="D20557" s="8">
        <v>428</v>
      </c>
      <c r="E20557" s="8">
        <v>0</v>
      </c>
      <c r="F20557" s="8">
        <v>367</v>
      </c>
    </row>
    <row r="20558" spans="1:6" ht="12.75">
      <c r="A20558" s="8">
        <v>43895.046365740738</v>
      </c>
      <c r="B20558" s="8" t="str">
        <f>HYPERLINK("https://twitter.com/HarbanganH","@HarbanganH")</f>
        <v>@HarbanganH</v>
      </c>
      <c r="C20558" s="8" t="s">
        <v>3285</v>
      </c>
      <c r="D20558" s="8">
        <v>86</v>
      </c>
      <c r="E20558" s="8">
        <v>0</v>
      </c>
      <c r="F20558" s="8">
        <v>79</v>
      </c>
    </row>
    <row r="20559" spans="1:6" ht="12.75">
      <c r="A20559" s="8">
        <v>43895.045775462961</v>
      </c>
      <c r="B20559" s="8" t="str">
        <f>HYPERLINK("https://twitter.com/Bentalakelam","@Bentalakelam")</f>
        <v>@Bentalakelam</v>
      </c>
      <c r="C20559" s="8" t="s">
        <v>8426</v>
      </c>
      <c r="D20559" s="8">
        <v>1</v>
      </c>
      <c r="E20559" s="8">
        <v>2</v>
      </c>
      <c r="F20559" s="8">
        <v>2404</v>
      </c>
    </row>
    <row r="20560" spans="1:6" ht="12.75">
      <c r="A20560" s="8">
        <v>43895.045648148152</v>
      </c>
      <c r="B20560" s="8" t="str">
        <f>HYPERLINK("https://twitter.com/P3nj3l4j4h_id","@P3nj3l4j4h_id")</f>
        <v>@P3nj3l4j4h_id</v>
      </c>
      <c r="C20560" s="8" t="s">
        <v>8377</v>
      </c>
      <c r="D20560" s="8">
        <v>2</v>
      </c>
      <c r="E20560" s="8">
        <v>0</v>
      </c>
      <c r="F20560" s="8">
        <v>16434</v>
      </c>
    </row>
    <row r="20561" spans="1:6" ht="12.75">
      <c r="A20561" s="8">
        <v>43895.045081018514</v>
      </c>
      <c r="B20561" s="8" t="str">
        <f>HYPERLINK("https://twitter.com/paquitacumadebu","@paquitacumadebu")</f>
        <v>@paquitacumadebu</v>
      </c>
      <c r="C20561" s="8" t="s">
        <v>8427</v>
      </c>
      <c r="D20561" s="8">
        <v>2</v>
      </c>
      <c r="E20561" s="8">
        <v>2</v>
      </c>
      <c r="F20561" s="8">
        <v>1748</v>
      </c>
    </row>
    <row r="20562" spans="1:6" ht="12.75">
      <c r="A20562" s="8">
        <v>43895.04487268519</v>
      </c>
      <c r="B20562" s="8" t="str">
        <f>HYPERLINK("https://twitter.com/EbieIcha","@EbieIcha")</f>
        <v>@EbieIcha</v>
      </c>
      <c r="C20562" s="8" t="s">
        <v>6222</v>
      </c>
      <c r="D20562" s="8">
        <v>30</v>
      </c>
      <c r="E20562" s="8">
        <v>0</v>
      </c>
      <c r="F20562" s="8">
        <v>10</v>
      </c>
    </row>
    <row r="20563" spans="1:6" ht="12.75">
      <c r="A20563" s="8">
        <v>43895.044687500005</v>
      </c>
      <c r="B20563" s="8" t="str">
        <f>HYPERLINK("https://twitter.com/SydSalesman","@SydSalesman")</f>
        <v>@SydSalesman</v>
      </c>
      <c r="C20563" s="8" t="s">
        <v>8428</v>
      </c>
      <c r="D20563" s="8">
        <v>0</v>
      </c>
      <c r="E20563" s="8">
        <v>0</v>
      </c>
      <c r="F20563" s="8">
        <v>6279</v>
      </c>
    </row>
    <row r="20564" spans="1:6" ht="12.75">
      <c r="A20564" s="8">
        <v>43895.043634259258</v>
      </c>
      <c r="B20564" s="8" t="str">
        <f>HYPERLINK("https://twitter.com/JCOS_WINDSOR","@JCOS_WINDSOR")</f>
        <v>@JCOS_WINDSOR</v>
      </c>
      <c r="C20564" s="8" t="s">
        <v>8429</v>
      </c>
      <c r="D20564" s="8">
        <v>184</v>
      </c>
      <c r="E20564" s="8">
        <v>0</v>
      </c>
      <c r="F20564" s="8">
        <v>2110</v>
      </c>
    </row>
    <row r="20565" spans="1:6" ht="12.75">
      <c r="A20565" s="8">
        <v>43895.043553240743</v>
      </c>
      <c r="B20565" s="8" t="str">
        <f>HYPERLINK("https://twitter.com/egaharianto555","@egaharianto555")</f>
        <v>@egaharianto555</v>
      </c>
      <c r="C20565" s="8" t="s">
        <v>8430</v>
      </c>
      <c r="D20565" s="8">
        <v>0</v>
      </c>
      <c r="E20565" s="8">
        <v>0</v>
      </c>
      <c r="F20565" s="8">
        <v>3</v>
      </c>
    </row>
    <row r="20566" spans="1:6" ht="12.75">
      <c r="A20566" s="8">
        <v>43895.043275462958</v>
      </c>
      <c r="B20566" s="8" t="str">
        <f>HYPERLINK("https://twitter.com/Taufik_Seran","@Taufik_Seran")</f>
        <v>@Taufik_Seran</v>
      </c>
      <c r="C20566" s="8" t="s">
        <v>8337</v>
      </c>
      <c r="D20566" s="8">
        <v>18</v>
      </c>
      <c r="E20566" s="8">
        <v>0</v>
      </c>
      <c r="F20566" s="8">
        <v>139</v>
      </c>
    </row>
    <row r="20567" spans="1:6" ht="12.75">
      <c r="A20567" s="8">
        <v>43895.043252314819</v>
      </c>
      <c r="B20567" s="8" t="str">
        <f>HYPERLINK("https://twitter.com/BillTemporo","@BillTemporo")</f>
        <v>@BillTemporo</v>
      </c>
      <c r="C20567" s="8" t="s">
        <v>384</v>
      </c>
      <c r="D20567" s="8">
        <v>0</v>
      </c>
      <c r="E20567" s="8">
        <v>0</v>
      </c>
      <c r="F20567" s="8">
        <v>11</v>
      </c>
    </row>
    <row r="20568" spans="1:6" ht="12.75">
      <c r="A20568" s="8">
        <v>43895.04283564815</v>
      </c>
      <c r="B20568" s="8" t="str">
        <f>HYPERLINK("https://twitter.com/suitoslamet","@suitoslamet")</f>
        <v>@suitoslamet</v>
      </c>
      <c r="C20568" s="8" t="s">
        <v>2979</v>
      </c>
      <c r="D20568" s="8">
        <v>113</v>
      </c>
      <c r="E20568" s="8">
        <v>0</v>
      </c>
      <c r="F20568" s="8">
        <v>187</v>
      </c>
    </row>
    <row r="20569" spans="1:6" ht="12.75">
      <c r="A20569" s="8">
        <v>43895.042372685188</v>
      </c>
      <c r="B20569" s="8" t="str">
        <f>HYPERLINK("https://twitter.com/TribunNew5","@TribunNew5")</f>
        <v>@TribunNew5</v>
      </c>
      <c r="C20569" s="8" t="s">
        <v>8431</v>
      </c>
      <c r="D20569" s="8">
        <v>0</v>
      </c>
      <c r="E20569" s="8">
        <v>0</v>
      </c>
      <c r="F20569" s="8">
        <v>525</v>
      </c>
    </row>
    <row r="20570" spans="1:6" ht="12.75">
      <c r="A20570" s="8">
        <v>43895.042291666672</v>
      </c>
      <c r="B20570" s="8" t="str">
        <f>HYPERLINK("https://twitter.com/Cita_Julia","@Cita_Julia")</f>
        <v>@Cita_Julia</v>
      </c>
      <c r="C20570" s="8" t="s">
        <v>2962</v>
      </c>
      <c r="D20570" s="8">
        <v>5667</v>
      </c>
      <c r="E20570" s="8">
        <v>0</v>
      </c>
      <c r="F20570" s="8">
        <v>18635</v>
      </c>
    </row>
    <row r="20571" spans="1:6" ht="12.75">
      <c r="A20571" s="8">
        <v>43895.042268518519</v>
      </c>
      <c r="B20571" s="8" t="str">
        <f>HYPERLINK("https://twitter.com/yudi682","@yudi682")</f>
        <v>@yudi682</v>
      </c>
      <c r="C20571" s="8" t="s">
        <v>8432</v>
      </c>
      <c r="D20571" s="8">
        <v>0</v>
      </c>
      <c r="E20571" s="8">
        <v>0</v>
      </c>
      <c r="F20571" s="8">
        <v>251</v>
      </c>
    </row>
    <row r="20572" spans="1:6" ht="12.75">
      <c r="A20572" s="8">
        <v>43895.04173611111</v>
      </c>
      <c r="B20572" s="8" t="str">
        <f>HYPERLINK("https://twitter.com/santri_bekasi","@santri_bekasi")</f>
        <v>@santri_bekasi</v>
      </c>
      <c r="C20572" s="8" t="s">
        <v>2979</v>
      </c>
      <c r="D20572" s="8">
        <v>113</v>
      </c>
      <c r="E20572" s="8">
        <v>0</v>
      </c>
      <c r="F20572" s="8">
        <v>220</v>
      </c>
    </row>
    <row r="20573" spans="1:6" ht="12.75">
      <c r="A20573" s="8">
        <v>43895.041446759264</v>
      </c>
      <c r="B20573" s="8" t="str">
        <f>HYPERLINK("https://twitter.com/rvaneclaw","@rvaneclaw")</f>
        <v>@rvaneclaw</v>
      </c>
      <c r="C20573" s="8" t="s">
        <v>2962</v>
      </c>
      <c r="D20573" s="8">
        <v>5667</v>
      </c>
      <c r="E20573" s="8">
        <v>0</v>
      </c>
      <c r="F20573" s="8">
        <v>28</v>
      </c>
    </row>
    <row r="20574" spans="1:6" ht="12.75">
      <c r="A20574" s="8">
        <v>43895.041342592594</v>
      </c>
      <c r="B20574" s="8" t="str">
        <f>HYPERLINK("https://twitter.com/TJumiat","@TJumiat")</f>
        <v>@TJumiat</v>
      </c>
      <c r="C20574" s="8" t="s">
        <v>7862</v>
      </c>
      <c r="D20574" s="8">
        <v>19</v>
      </c>
      <c r="E20574" s="8">
        <v>0</v>
      </c>
      <c r="F20574" s="8">
        <v>156</v>
      </c>
    </row>
    <row r="20575" spans="1:6" ht="12.75">
      <c r="A20575" s="8">
        <v>43895.040960648148</v>
      </c>
      <c r="B20575" s="8" t="str">
        <f>HYPERLINK("https://twitter.com/brilia_n","@brilia_n")</f>
        <v>@brilia_n</v>
      </c>
      <c r="C20575" s="8" t="s">
        <v>8356</v>
      </c>
      <c r="D20575" s="8">
        <v>6</v>
      </c>
      <c r="E20575" s="8">
        <v>0</v>
      </c>
      <c r="F20575" s="8">
        <v>21</v>
      </c>
    </row>
    <row r="20576" spans="1:6" ht="12.75">
      <c r="A20576" s="8">
        <v>43895.040543981479</v>
      </c>
      <c r="B20576" s="8" t="str">
        <f>HYPERLINK("https://twitter.com/Kecebon06563249","@Kecebon06563249")</f>
        <v>@Kecebon06563249</v>
      </c>
      <c r="C20576" s="8" t="s">
        <v>2979</v>
      </c>
      <c r="D20576" s="8">
        <v>113</v>
      </c>
      <c r="E20576" s="8">
        <v>0</v>
      </c>
      <c r="F20576" s="8">
        <v>4055</v>
      </c>
    </row>
    <row r="20577" spans="1:6" ht="12.75">
      <c r="A20577" s="8">
        <v>43895.04042824074</v>
      </c>
      <c r="B20577" s="8" t="str">
        <f>HYPERLINK("https://twitter.com/SKaspani_ong","@SKaspani_ong")</f>
        <v>@SKaspani_ong</v>
      </c>
      <c r="C20577" s="8" t="s">
        <v>7987</v>
      </c>
      <c r="D20577" s="8">
        <v>24</v>
      </c>
      <c r="E20577" s="8">
        <v>0</v>
      </c>
      <c r="F20577" s="8">
        <v>4845</v>
      </c>
    </row>
    <row r="20578" spans="1:6" ht="12.75">
      <c r="A20578" s="8">
        <v>43895.040393518517</v>
      </c>
      <c r="B20578" s="8" t="str">
        <f>HYPERLINK("https://twitter.com/Adiant1177","@Adiant1177")</f>
        <v>@Adiant1177</v>
      </c>
      <c r="C20578" s="8" t="s">
        <v>6818</v>
      </c>
      <c r="D20578" s="8">
        <v>2</v>
      </c>
      <c r="E20578" s="8">
        <v>0</v>
      </c>
      <c r="F20578" s="8">
        <v>65</v>
      </c>
    </row>
    <row r="20579" spans="1:6" ht="12.75">
      <c r="A20579" s="8">
        <v>43895.040370370371</v>
      </c>
      <c r="B20579" s="8" t="str">
        <f>HYPERLINK("https://twitter.com/DeviHendri2","@DeviHendri2")</f>
        <v>@DeviHendri2</v>
      </c>
      <c r="C20579" s="8" t="s">
        <v>8433</v>
      </c>
      <c r="D20579" s="8">
        <v>0</v>
      </c>
      <c r="E20579" s="8">
        <v>0</v>
      </c>
      <c r="F20579" s="8">
        <v>76</v>
      </c>
    </row>
    <row r="20580" spans="1:6" ht="12.75">
      <c r="A20580" s="8">
        <v>43895.040277777778</v>
      </c>
      <c r="B20580" s="8" t="str">
        <f>HYPERLINK("https://twitter.com/selfieituindah","@selfieituindah")</f>
        <v>@selfieituindah</v>
      </c>
      <c r="C20580" s="8" t="s">
        <v>8434</v>
      </c>
      <c r="D20580" s="8">
        <v>0</v>
      </c>
      <c r="E20580" s="8">
        <v>0</v>
      </c>
      <c r="F20580" s="8">
        <v>21321</v>
      </c>
    </row>
    <row r="20581" spans="1:6" ht="12.75">
      <c r="A20581" s="8">
        <v>43895.040266203709</v>
      </c>
      <c r="B20581" s="8" t="str">
        <f>HYPERLINK("https://twitter.com/BondanRajasya","@BondanRajasya")</f>
        <v>@BondanRajasya</v>
      </c>
      <c r="C20581" s="8" t="s">
        <v>2962</v>
      </c>
      <c r="D20581" s="8">
        <v>5667</v>
      </c>
      <c r="E20581" s="8">
        <v>0</v>
      </c>
      <c r="F20581" s="8">
        <v>6526</v>
      </c>
    </row>
    <row r="20582" spans="1:6" ht="12.75">
      <c r="A20582" s="8">
        <v>43895.040127314816</v>
      </c>
      <c r="B20582" s="8" t="str">
        <f>HYPERLINK("https://twitter.com/wongipplik","@wongipplik")</f>
        <v>@wongipplik</v>
      </c>
      <c r="C20582" s="8" t="s">
        <v>7969</v>
      </c>
      <c r="D20582" s="8">
        <v>58</v>
      </c>
      <c r="E20582" s="8">
        <v>0</v>
      </c>
      <c r="F20582" s="8">
        <v>49</v>
      </c>
    </row>
    <row r="20583" spans="1:6" ht="12.75">
      <c r="A20583" s="8">
        <v>43895.040127314816</v>
      </c>
      <c r="B20583" s="8" t="str">
        <f>HYPERLINK("https://twitter.com/dionMomongan","@dionMomongan")</f>
        <v>@dionMomongan</v>
      </c>
      <c r="C20583" s="8" t="s">
        <v>7473</v>
      </c>
      <c r="D20583" s="8">
        <v>162</v>
      </c>
      <c r="E20583" s="8">
        <v>0</v>
      </c>
      <c r="F20583" s="8">
        <v>5084</v>
      </c>
    </row>
    <row r="20584" spans="1:6" ht="12.75">
      <c r="A20584" s="8">
        <v>43895.04011574074</v>
      </c>
      <c r="B20584" s="8" t="str">
        <f>HYPERLINK("https://twitter.com/MahinFatavit","@MahinFatavit")</f>
        <v>@MahinFatavit</v>
      </c>
      <c r="C20584" s="8" t="s">
        <v>7987</v>
      </c>
      <c r="D20584" s="8">
        <v>24</v>
      </c>
      <c r="E20584" s="8">
        <v>0</v>
      </c>
      <c r="F20584" s="8">
        <v>6043</v>
      </c>
    </row>
    <row r="20585" spans="1:6" ht="12.75">
      <c r="A20585" s="8">
        <v>43895.040092592593</v>
      </c>
      <c r="B20585" s="8" t="str">
        <f>HYPERLINK("https://twitter.com/yudi682","@yudi682")</f>
        <v>@yudi682</v>
      </c>
      <c r="C20585" s="8" t="s">
        <v>8435</v>
      </c>
      <c r="D20585" s="8">
        <v>0</v>
      </c>
      <c r="E20585" s="8">
        <v>0</v>
      </c>
      <c r="F20585" s="8">
        <v>251</v>
      </c>
    </row>
    <row r="20586" spans="1:6" ht="12.75">
      <c r="A20586" s="8">
        <v>43895.039930555555</v>
      </c>
      <c r="B20586" s="8" t="str">
        <f>HYPERLINK("https://twitter.com/dionMomongan","@dionMomongan")</f>
        <v>@dionMomongan</v>
      </c>
      <c r="C20586" s="8" t="s">
        <v>6710</v>
      </c>
      <c r="D20586" s="8">
        <v>428</v>
      </c>
      <c r="E20586" s="8">
        <v>0</v>
      </c>
      <c r="F20586" s="8">
        <v>5084</v>
      </c>
    </row>
    <row r="20587" spans="1:6" ht="12.75">
      <c r="A20587" s="8">
        <v>43895.039733796293</v>
      </c>
      <c r="B20587" s="8" t="str">
        <f>HYPERLINK("https://twitter.com/Kecebon06563249","@Kecebon06563249")</f>
        <v>@Kecebon06563249</v>
      </c>
      <c r="C20587" s="8" t="s">
        <v>7473</v>
      </c>
      <c r="D20587" s="8">
        <v>162</v>
      </c>
      <c r="E20587" s="8">
        <v>0</v>
      </c>
      <c r="F20587" s="8">
        <v>4055</v>
      </c>
    </row>
    <row r="20588" spans="1:6" ht="12.75">
      <c r="A20588" s="8">
        <v>43895.039537037039</v>
      </c>
      <c r="B20588" s="8" t="str">
        <f>HYPERLINK("https://twitter.com/FadliUlath","@FadliUlath")</f>
        <v>@FadliUlath</v>
      </c>
      <c r="C20588" s="8" t="s">
        <v>8436</v>
      </c>
      <c r="D20588" s="8">
        <v>0</v>
      </c>
      <c r="E20588" s="8">
        <v>0</v>
      </c>
      <c r="F20588" s="8">
        <v>1</v>
      </c>
    </row>
    <row r="20589" spans="1:6" ht="12.75">
      <c r="A20589" s="8">
        <v>43895.0394212963</v>
      </c>
      <c r="B20589" s="8" t="str">
        <f>HYPERLINK("https://twitter.com/Nirmala6819","@Nirmala6819")</f>
        <v>@Nirmala6819</v>
      </c>
      <c r="C20589" s="8" t="s">
        <v>2979</v>
      </c>
      <c r="D20589" s="8">
        <v>113</v>
      </c>
      <c r="E20589" s="8">
        <v>0</v>
      </c>
      <c r="F20589" s="8">
        <v>1175</v>
      </c>
    </row>
    <row r="20590" spans="1:6" ht="12.75">
      <c r="A20590" s="8">
        <v>43895.0394212963</v>
      </c>
      <c r="B20590" s="8" t="str">
        <f>HYPERLINK("https://twitter.com/Habibah_LuL","@Habibah_LuL")</f>
        <v>@Habibah_LuL</v>
      </c>
      <c r="C20590" s="8" t="s">
        <v>7796</v>
      </c>
      <c r="D20590" s="8">
        <v>90</v>
      </c>
      <c r="E20590" s="8">
        <v>0</v>
      </c>
      <c r="F20590" s="8">
        <v>109</v>
      </c>
    </row>
    <row r="20591" spans="1:6" ht="12.75">
      <c r="A20591" s="8">
        <v>43895.039398148147</v>
      </c>
      <c r="B20591" s="8" t="str">
        <f>HYPERLINK("https://twitter.com/Gulai_puyu","@Gulai_puyu")</f>
        <v>@Gulai_puyu</v>
      </c>
      <c r="C20591" s="8" t="s">
        <v>8066</v>
      </c>
      <c r="D20591" s="8">
        <v>69</v>
      </c>
      <c r="E20591" s="8">
        <v>0</v>
      </c>
      <c r="F20591" s="8">
        <v>458</v>
      </c>
    </row>
    <row r="20592" spans="1:6" ht="12.75">
      <c r="A20592" s="8">
        <v>43895.038981481484</v>
      </c>
      <c r="B20592" s="8" t="str">
        <f>HYPERLINK("https://twitter.com/isis_macedo10","@isis_macedo10")</f>
        <v>@isis_macedo10</v>
      </c>
      <c r="C20592" s="8" t="s">
        <v>8437</v>
      </c>
      <c r="D20592" s="8">
        <v>1</v>
      </c>
      <c r="E20592" s="8">
        <v>0</v>
      </c>
      <c r="F20592" s="8">
        <v>5304</v>
      </c>
    </row>
    <row r="20593" spans="1:6" ht="12.75">
      <c r="A20593" s="8">
        <v>43895.038460648153</v>
      </c>
      <c r="B20593" s="8" t="str">
        <f>HYPERLINK("https://twitter.com/black__valley1","@black__valley1")</f>
        <v>@black__valley1</v>
      </c>
      <c r="C20593" s="8" t="s">
        <v>6818</v>
      </c>
      <c r="D20593" s="8">
        <v>2</v>
      </c>
      <c r="E20593" s="8">
        <v>0</v>
      </c>
      <c r="F20593" s="8">
        <v>13039</v>
      </c>
    </row>
    <row r="20594" spans="1:6" ht="12.75">
      <c r="A20594" s="8">
        <v>43895.038263888884</v>
      </c>
      <c r="B20594" s="8" t="str">
        <f>HYPERLINK("https://twitter.com/puspaswarna","@puspaswarna")</f>
        <v>@puspaswarna</v>
      </c>
      <c r="C20594" s="8" t="s">
        <v>8438</v>
      </c>
      <c r="D20594" s="8">
        <v>2</v>
      </c>
      <c r="E20594" s="8">
        <v>1</v>
      </c>
      <c r="F20594" s="8">
        <v>178</v>
      </c>
    </row>
    <row r="20595" spans="1:6" ht="12.75">
      <c r="A20595" s="8">
        <v>43895.037870370375</v>
      </c>
      <c r="B20595" s="8" t="str">
        <f>HYPERLINK("https://twitter.com/AnakLolina","@AnakLolina")</f>
        <v>@AnakLolina</v>
      </c>
      <c r="C20595" s="8" t="s">
        <v>3285</v>
      </c>
      <c r="D20595" s="8">
        <v>86</v>
      </c>
      <c r="E20595" s="8">
        <v>0</v>
      </c>
      <c r="F20595" s="8">
        <v>15153</v>
      </c>
    </row>
    <row r="20596" spans="1:6" ht="12.75">
      <c r="A20596" s="8">
        <v>43895.037569444445</v>
      </c>
      <c r="B20596" s="8" t="str">
        <f>HYPERLINK("https://twitter.com/ucokseparoh","@ucokseparoh")</f>
        <v>@ucokseparoh</v>
      </c>
      <c r="C20596" s="8" t="s">
        <v>8439</v>
      </c>
      <c r="D20596" s="8">
        <v>0</v>
      </c>
      <c r="E20596" s="8">
        <v>0</v>
      </c>
      <c r="F20596" s="8">
        <v>523</v>
      </c>
    </row>
    <row r="20597" spans="1:6" ht="12.75">
      <c r="A20597" s="8">
        <v>43895.037523148145</v>
      </c>
      <c r="B20597" s="8" t="str">
        <f>HYPERLINK("https://twitter.com/yudi682","@yudi682")</f>
        <v>@yudi682</v>
      </c>
      <c r="C20597" s="8" t="s">
        <v>8440</v>
      </c>
      <c r="D20597" s="8">
        <v>0</v>
      </c>
      <c r="E20597" s="8">
        <v>0</v>
      </c>
      <c r="F20597" s="8">
        <v>251</v>
      </c>
    </row>
    <row r="20598" spans="1:6" ht="12.75">
      <c r="A20598" s="8">
        <v>43895.037361111114</v>
      </c>
      <c r="B20598" s="8" t="str">
        <f>HYPERLINK("https://twitter.com/Nirmala6819","@Nirmala6819")</f>
        <v>@Nirmala6819</v>
      </c>
      <c r="C20598" s="8" t="s">
        <v>7715</v>
      </c>
      <c r="D20598" s="8">
        <v>51</v>
      </c>
      <c r="E20598" s="8">
        <v>0</v>
      </c>
      <c r="F20598" s="8">
        <v>1175</v>
      </c>
    </row>
    <row r="20599" spans="1:6" ht="12.75">
      <c r="A20599" s="8">
        <v>43895.035902777774</v>
      </c>
      <c r="B20599" s="8" t="str">
        <f>HYPERLINK("https://twitter.com/_Thiscreamynasi","@_Thiscreamynasi")</f>
        <v>@_Thiscreamynasi</v>
      </c>
      <c r="C20599" s="8" t="s">
        <v>7573</v>
      </c>
      <c r="D20599" s="8">
        <v>7</v>
      </c>
      <c r="E20599" s="8">
        <v>0</v>
      </c>
      <c r="F20599" s="8">
        <v>1116</v>
      </c>
    </row>
    <row r="20600" spans="1:6" ht="12.75">
      <c r="A20600" s="8">
        <v>43895.035567129627</v>
      </c>
      <c r="B20600" s="8" t="str">
        <f>HYPERLINK("https://twitter.com/sipooer","@sipooer")</f>
        <v>@sipooer</v>
      </c>
      <c r="C20600" s="8" t="s">
        <v>6710</v>
      </c>
      <c r="D20600" s="8">
        <v>428</v>
      </c>
      <c r="E20600" s="8">
        <v>0</v>
      </c>
      <c r="F20600" s="8">
        <v>150</v>
      </c>
    </row>
    <row r="20601" spans="1:6" ht="12.75">
      <c r="A20601" s="8">
        <v>43895.035381944443</v>
      </c>
      <c r="B20601" s="8" t="str">
        <f>HYPERLINK("https://twitter.com/m_yanto_baemo","@m_yanto_baemo")</f>
        <v>@m_yanto_baemo</v>
      </c>
      <c r="C20601" s="8" t="s">
        <v>8225</v>
      </c>
      <c r="D20601" s="8">
        <v>4</v>
      </c>
      <c r="E20601" s="8">
        <v>0</v>
      </c>
      <c r="F20601" s="8">
        <v>3469</v>
      </c>
    </row>
    <row r="20602" spans="1:6" ht="12.75">
      <c r="A20602" s="8">
        <v>43895.035104166665</v>
      </c>
      <c r="B20602" s="8" t="str">
        <f>HYPERLINK("https://twitter.com/RAP1612RAP","@RAP1612RAP")</f>
        <v>@RAP1612RAP</v>
      </c>
      <c r="C20602" s="8" t="s">
        <v>8441</v>
      </c>
      <c r="D20602" s="8">
        <v>4</v>
      </c>
      <c r="E20602" s="8">
        <v>0</v>
      </c>
      <c r="F20602" s="8">
        <v>321</v>
      </c>
    </row>
    <row r="20603" spans="1:6" ht="12.75">
      <c r="A20603" s="8">
        <v>43895.034583333334</v>
      </c>
      <c r="B20603" s="8" t="str">
        <f>HYPERLINK("https://twitter.com/watu_dakon","@watu_dakon")</f>
        <v>@watu_dakon</v>
      </c>
      <c r="C20603" s="8" t="s">
        <v>7473</v>
      </c>
      <c r="D20603" s="8">
        <v>162</v>
      </c>
      <c r="E20603" s="8">
        <v>0</v>
      </c>
      <c r="F20603" s="8">
        <v>78</v>
      </c>
    </row>
    <row r="20604" spans="1:6" ht="12.75">
      <c r="A20604" s="8">
        <v>43895.034490740742</v>
      </c>
      <c r="B20604" s="8" t="str">
        <f>HYPERLINK("https://twitter.com/sakitotak3","@sakitotak3")</f>
        <v>@sakitotak3</v>
      </c>
      <c r="C20604" s="8" t="s">
        <v>8442</v>
      </c>
      <c r="D20604" s="8">
        <v>0</v>
      </c>
      <c r="E20604" s="8">
        <v>3</v>
      </c>
      <c r="F20604" s="8">
        <v>681</v>
      </c>
    </row>
    <row r="20605" spans="1:6" ht="12.75">
      <c r="A20605" s="8">
        <v>43895.033425925925</v>
      </c>
      <c r="B20605" s="8" t="str">
        <f>HYPERLINK("https://twitter.com/denmassar","@denmassar")</f>
        <v>@denmassar</v>
      </c>
      <c r="C20605" s="8" t="s">
        <v>8443</v>
      </c>
      <c r="D20605" s="8">
        <v>0</v>
      </c>
      <c r="E20605" s="8">
        <v>0</v>
      </c>
      <c r="F20605" s="8">
        <v>2161</v>
      </c>
    </row>
    <row r="20606" spans="1:6" ht="12.75">
      <c r="A20606" s="8">
        <v>43895.033333333333</v>
      </c>
      <c r="B20606" s="8" t="str">
        <f>HYPERLINK("https://twitter.com/Nadila_ID","@Nadila_ID")</f>
        <v>@Nadila_ID</v>
      </c>
      <c r="C20606" s="8" t="s">
        <v>8444</v>
      </c>
      <c r="D20606" s="8">
        <v>0</v>
      </c>
      <c r="E20606" s="8">
        <v>0</v>
      </c>
      <c r="F20606" s="8">
        <v>7161</v>
      </c>
    </row>
    <row r="20607" spans="1:6" ht="12.75">
      <c r="A20607" s="8">
        <v>43895.033148148148</v>
      </c>
      <c r="B20607" s="8" t="str">
        <f>HYPERLINK("https://twitter.com/kirulanglo","@kirulanglo")</f>
        <v>@kirulanglo</v>
      </c>
      <c r="C20607" s="8" t="s">
        <v>2979</v>
      </c>
      <c r="D20607" s="8">
        <v>113</v>
      </c>
      <c r="E20607" s="8">
        <v>0</v>
      </c>
      <c r="F20607" s="8">
        <v>2007</v>
      </c>
    </row>
    <row r="20608" spans="1:6" ht="12.75">
      <c r="A20608" s="8">
        <v>43895.033136574071</v>
      </c>
      <c r="B20608" s="8" t="str">
        <f>HYPERLINK("https://twitter.com/Seto_Nugroho30","@Seto_Nugroho30")</f>
        <v>@Seto_Nugroho30</v>
      </c>
      <c r="C20608" s="8" t="s">
        <v>2979</v>
      </c>
      <c r="D20608" s="8">
        <v>113</v>
      </c>
      <c r="E20608" s="8">
        <v>0</v>
      </c>
      <c r="F20608" s="8">
        <v>294</v>
      </c>
    </row>
    <row r="20609" spans="1:6" ht="12.75">
      <c r="A20609" s="8">
        <v>43895.032997685186</v>
      </c>
      <c r="B20609" s="8" t="str">
        <f>HYPERLINK("https://twitter.com/Indrabarong1","@Indrabarong1")</f>
        <v>@Indrabarong1</v>
      </c>
      <c r="C20609" s="8" t="s">
        <v>8445</v>
      </c>
      <c r="D20609" s="8">
        <v>51</v>
      </c>
      <c r="E20609" s="8">
        <v>0</v>
      </c>
      <c r="F20609" s="8">
        <v>73</v>
      </c>
    </row>
    <row r="20610" spans="1:6" ht="12.75">
      <c r="A20610" s="8">
        <v>43895.032916666663</v>
      </c>
      <c r="B20610" s="8" t="str">
        <f>HYPERLINK("https://twitter.com/AnnaKur34179103","@AnnaKur34179103")</f>
        <v>@AnnaKur34179103</v>
      </c>
      <c r="C20610" s="8" t="s">
        <v>3285</v>
      </c>
      <c r="D20610" s="8">
        <v>86</v>
      </c>
      <c r="E20610" s="8">
        <v>0</v>
      </c>
      <c r="F20610" s="8">
        <v>619</v>
      </c>
    </row>
    <row r="20611" spans="1:6" ht="12.75">
      <c r="A20611" s="8">
        <v>43895.032592592594</v>
      </c>
      <c r="B20611" s="8" t="str">
        <f>HYPERLINK("https://twitter.com/P3nj3l4j4h_id","@P3nj3l4j4h_id")</f>
        <v>@P3nj3l4j4h_id</v>
      </c>
      <c r="C20611" s="8" t="s">
        <v>8446</v>
      </c>
      <c r="D20611" s="8">
        <v>4</v>
      </c>
      <c r="E20611" s="8">
        <v>10</v>
      </c>
      <c r="F20611" s="8">
        <v>16434</v>
      </c>
    </row>
    <row r="20612" spans="1:6" ht="12.75">
      <c r="A20612" s="8">
        <v>43895.032407407409</v>
      </c>
      <c r="B20612" s="8" t="str">
        <f>HYPERLINK("https://twitter.com/FireBirdFeniks","@FireBirdFeniks")</f>
        <v>@FireBirdFeniks</v>
      </c>
      <c r="C20612" s="8" t="s">
        <v>8297</v>
      </c>
      <c r="D20612" s="8">
        <v>4</v>
      </c>
      <c r="E20612" s="8">
        <v>0</v>
      </c>
      <c r="F20612" s="8">
        <v>1758</v>
      </c>
    </row>
    <row r="20613" spans="1:6" ht="12.75">
      <c r="A20613" s="8">
        <v>43895.032037037032</v>
      </c>
      <c r="B20613" s="8" t="str">
        <f>HYPERLINK("https://twitter.com/PresidenKopi","@PresidenKopi")</f>
        <v>@PresidenKopi</v>
      </c>
      <c r="C20613" s="8" t="s">
        <v>8447</v>
      </c>
      <c r="D20613" s="8">
        <v>0</v>
      </c>
      <c r="E20613" s="8">
        <v>5</v>
      </c>
      <c r="F20613" s="8">
        <v>7667</v>
      </c>
    </row>
    <row r="20614" spans="1:6" ht="12.75">
      <c r="A20614" s="8">
        <v>43895.031770833331</v>
      </c>
      <c r="B20614" s="8" t="str">
        <f>HYPERLINK("https://twitter.com/Rizal_Valen76","@Rizal_Valen76")</f>
        <v>@Rizal_Valen76</v>
      </c>
      <c r="C20614" s="8" t="s">
        <v>8297</v>
      </c>
      <c r="D20614" s="8">
        <v>4</v>
      </c>
      <c r="E20614" s="8">
        <v>0</v>
      </c>
      <c r="F20614" s="8">
        <v>2826</v>
      </c>
    </row>
    <row r="20615" spans="1:6" ht="12.75">
      <c r="A20615" s="8">
        <v>43895.030636574069</v>
      </c>
      <c r="B20615" s="8" t="str">
        <f>HYPERLINK("https://twitter.com/echoPiR","@echoPiR")</f>
        <v>@echoPiR</v>
      </c>
      <c r="C20615" s="8" t="s">
        <v>2979</v>
      </c>
      <c r="D20615" s="8">
        <v>113</v>
      </c>
      <c r="E20615" s="8">
        <v>0</v>
      </c>
      <c r="F20615" s="8">
        <v>157</v>
      </c>
    </row>
    <row r="20616" spans="1:6" ht="12.75">
      <c r="A20616" s="8">
        <v>43895.030416666668</v>
      </c>
      <c r="B20616" s="8" t="str">
        <f>HYPERLINK("https://twitter.com/upilism","@upilism")</f>
        <v>@upilism</v>
      </c>
      <c r="C20616" s="8" t="s">
        <v>8448</v>
      </c>
      <c r="D20616" s="8">
        <v>0</v>
      </c>
      <c r="E20616" s="8">
        <v>0</v>
      </c>
      <c r="F20616" s="8">
        <v>6</v>
      </c>
    </row>
    <row r="20617" spans="1:6" ht="12.75">
      <c r="A20617" s="8">
        <v>43895.030092592591</v>
      </c>
      <c r="B20617" s="8" t="str">
        <f>HYPERLINK("https://twitter.com/3082Ardian","@3082Ardian")</f>
        <v>@3082Ardian</v>
      </c>
      <c r="C20617" s="8" t="s">
        <v>7738</v>
      </c>
      <c r="D20617" s="8">
        <v>27</v>
      </c>
      <c r="E20617" s="8">
        <v>0</v>
      </c>
      <c r="F20617" s="8">
        <v>25</v>
      </c>
    </row>
    <row r="20618" spans="1:6" ht="12.75">
      <c r="A20618" s="8">
        <v>43895.029166666667</v>
      </c>
      <c r="B20618" s="8" t="str">
        <f>HYPERLINK("https://twitter.com/healthyliveID","@healthyliveID")</f>
        <v>@healthyliveID</v>
      </c>
      <c r="C20618" s="8" t="s">
        <v>8449</v>
      </c>
      <c r="D20618" s="8">
        <v>0</v>
      </c>
      <c r="E20618" s="8">
        <v>0</v>
      </c>
      <c r="F20618" s="8">
        <v>45106</v>
      </c>
    </row>
    <row r="20619" spans="1:6" ht="12.75">
      <c r="A20619" s="8">
        <v>43895.02820601852</v>
      </c>
      <c r="B20619" s="8" t="str">
        <f>HYPERLINK("https://twitter.com/m_yanto_baemo","@m_yanto_baemo")</f>
        <v>@m_yanto_baemo</v>
      </c>
      <c r="C20619" s="8" t="s">
        <v>8297</v>
      </c>
      <c r="D20619" s="8">
        <v>4</v>
      </c>
      <c r="E20619" s="8">
        <v>0</v>
      </c>
      <c r="F20619" s="8">
        <v>3469</v>
      </c>
    </row>
    <row r="20620" spans="1:6" ht="12.75">
      <c r="A20620" s="8">
        <v>43895.02752314815</v>
      </c>
      <c r="B20620" s="8" t="str">
        <f>HYPERLINK("https://twitter.com/MdVet4","@MdVet4")</f>
        <v>@MdVet4</v>
      </c>
      <c r="C20620" s="8" t="s">
        <v>8450</v>
      </c>
      <c r="D20620" s="8">
        <v>1</v>
      </c>
      <c r="E20620" s="8">
        <v>0</v>
      </c>
      <c r="F20620" s="8">
        <v>1183</v>
      </c>
    </row>
    <row r="20621" spans="1:6" ht="12.75">
      <c r="A20621" s="8">
        <v>43895.027418981481</v>
      </c>
      <c r="B20621" s="8" t="str">
        <f>HYPERLINK("https://twitter.com/shtf411","@shtf411")</f>
        <v>@shtf411</v>
      </c>
      <c r="C20621" s="8" t="s">
        <v>8451</v>
      </c>
      <c r="D20621" s="8">
        <v>1</v>
      </c>
      <c r="E20621" s="8">
        <v>2</v>
      </c>
      <c r="F20621" s="8">
        <v>515</v>
      </c>
    </row>
    <row r="20622" spans="1:6" ht="12.75">
      <c r="A20622" s="8">
        <v>43895.026921296296</v>
      </c>
      <c r="B20622" s="8" t="str">
        <f>HYPERLINK("https://twitter.com/rheneebabe","@rheneebabe")</f>
        <v>@rheneebabe</v>
      </c>
      <c r="C20622" s="8" t="s">
        <v>8452</v>
      </c>
      <c r="D20622" s="8">
        <v>0</v>
      </c>
      <c r="E20622" s="8">
        <v>0</v>
      </c>
      <c r="F20622" s="8">
        <v>26</v>
      </c>
    </row>
    <row r="20623" spans="1:6" ht="12.75">
      <c r="A20623" s="8">
        <v>43895.026863425926</v>
      </c>
      <c r="B20623" s="8" t="str">
        <f>HYPERLINK("https://twitter.com/Muslim_AntiPKI","@Muslim_AntiPKI")</f>
        <v>@Muslim_AntiPKI</v>
      </c>
      <c r="C20623" s="8" t="s">
        <v>7573</v>
      </c>
      <c r="D20623" s="8">
        <v>7</v>
      </c>
      <c r="E20623" s="8">
        <v>0</v>
      </c>
      <c r="F20623" s="8">
        <v>141</v>
      </c>
    </row>
    <row r="20624" spans="1:6" ht="12.75">
      <c r="A20624" s="8">
        <v>43895.026817129634</v>
      </c>
      <c r="B20624" s="8" t="str">
        <f>HYPERLINK("https://twitter.com/suradiparlan5","@suradiparlan5")</f>
        <v>@suradiparlan5</v>
      </c>
      <c r="C20624" s="8" t="s">
        <v>8453</v>
      </c>
      <c r="D20624" s="8">
        <v>1</v>
      </c>
      <c r="E20624" s="8">
        <v>0</v>
      </c>
      <c r="F20624" s="8">
        <v>1380</v>
      </c>
    </row>
    <row r="20625" spans="1:6" ht="12.75">
      <c r="A20625" s="8">
        <v>43895.026747685188</v>
      </c>
      <c r="B20625" s="8" t="str">
        <f>HYPERLINK("https://twitter.com/HERALDI141","@HERALDI141")</f>
        <v>@HERALDI141</v>
      </c>
      <c r="C20625" s="8" t="s">
        <v>6832</v>
      </c>
      <c r="D20625" s="8">
        <v>1059</v>
      </c>
      <c r="E20625" s="8">
        <v>0</v>
      </c>
      <c r="F20625" s="8">
        <v>542</v>
      </c>
    </row>
    <row r="20626" spans="1:6" ht="12.75">
      <c r="A20626" s="8">
        <v>43895.026030092587</v>
      </c>
      <c r="B20626" s="8" t="str">
        <f>HYPERLINK("https://twitter.com/SydSalesman","@SydSalesman")</f>
        <v>@SydSalesman</v>
      </c>
      <c r="C20626" s="8" t="s">
        <v>8297</v>
      </c>
      <c r="D20626" s="8">
        <v>4</v>
      </c>
      <c r="E20626" s="8">
        <v>0</v>
      </c>
      <c r="F20626" s="8">
        <v>6279</v>
      </c>
    </row>
    <row r="20627" spans="1:6" ht="12.75">
      <c r="A20627" s="8">
        <v>43895.024583333332</v>
      </c>
      <c r="B20627" s="8" t="str">
        <f>HYPERLINK("https://twitter.com/yoedidharma","@yoedidharma")</f>
        <v>@yoedidharma</v>
      </c>
      <c r="C20627" s="8" t="s">
        <v>8356</v>
      </c>
      <c r="D20627" s="8">
        <v>6</v>
      </c>
      <c r="E20627" s="8">
        <v>0</v>
      </c>
      <c r="F20627" s="8">
        <v>1015</v>
      </c>
    </row>
    <row r="20628" spans="1:6" ht="12.75">
      <c r="A20628" s="8">
        <v>43895.024548611109</v>
      </c>
      <c r="B20628" s="8" t="str">
        <f>HYPERLINK("https://twitter.com/LightMrvica","@LightMrvica")</f>
        <v>@LightMrvica</v>
      </c>
      <c r="C20628" s="8" t="s">
        <v>8356</v>
      </c>
      <c r="D20628" s="8">
        <v>6</v>
      </c>
      <c r="E20628" s="8">
        <v>0</v>
      </c>
      <c r="F20628" s="8">
        <v>155</v>
      </c>
    </row>
    <row r="20629" spans="1:6" ht="12.75">
      <c r="A20629" s="8">
        <v>43895.02449074074</v>
      </c>
      <c r="B20629" s="8" t="str">
        <f>HYPERLINK("https://twitter.com/P3nj3l4j4h_id","@P3nj3l4j4h_id")</f>
        <v>@P3nj3l4j4h_id</v>
      </c>
      <c r="C20629" s="8" t="s">
        <v>8454</v>
      </c>
      <c r="D20629" s="8">
        <v>4</v>
      </c>
      <c r="E20629" s="8">
        <v>14</v>
      </c>
      <c r="F20629" s="8">
        <v>16434</v>
      </c>
    </row>
    <row r="20630" spans="1:6" ht="12.75">
      <c r="A20630" s="8">
        <v>43895.02443287037</v>
      </c>
      <c r="B20630" s="8" t="str">
        <f>HYPERLINK("https://twitter.com/andi_achilles","@andi_achilles")</f>
        <v>@andi_achilles</v>
      </c>
      <c r="C20630" s="8" t="s">
        <v>7573</v>
      </c>
      <c r="D20630" s="8">
        <v>7</v>
      </c>
      <c r="E20630" s="8">
        <v>0</v>
      </c>
      <c r="F20630" s="8">
        <v>1317</v>
      </c>
    </row>
    <row r="20631" spans="1:6" ht="12.75">
      <c r="A20631" s="8">
        <v>43895.024131944447</v>
      </c>
      <c r="B20631" s="8" t="str">
        <f>HYPERLINK("https://twitter.com/suradiparlan5","@suradiparlan5")</f>
        <v>@suradiparlan5</v>
      </c>
      <c r="C20631" s="8" t="s">
        <v>7473</v>
      </c>
      <c r="D20631" s="8">
        <v>162</v>
      </c>
      <c r="E20631" s="8">
        <v>0</v>
      </c>
      <c r="F20631" s="8">
        <v>1380</v>
      </c>
    </row>
    <row r="20632" spans="1:6" ht="12.75">
      <c r="A20632" s="8">
        <v>43895.023842592593</v>
      </c>
      <c r="B20632" s="8" t="str">
        <f>HYPERLINK("https://twitter.com/djakarta6221","@djakarta6221")</f>
        <v>@djakarta6221</v>
      </c>
      <c r="C20632" s="8" t="s">
        <v>8455</v>
      </c>
      <c r="D20632" s="8">
        <v>0</v>
      </c>
      <c r="E20632" s="8">
        <v>0</v>
      </c>
      <c r="F20632" s="8">
        <v>446</v>
      </c>
    </row>
    <row r="20633" spans="1:6" ht="12.75">
      <c r="A20633" s="8">
        <v>43895.023032407407</v>
      </c>
      <c r="B20633" s="8" t="str">
        <f>HYPERLINK("https://twitter.com/SalamBudi1","@SalamBudi1")</f>
        <v>@SalamBudi1</v>
      </c>
      <c r="C20633" s="8" t="s">
        <v>8024</v>
      </c>
      <c r="D20633" s="8">
        <v>11</v>
      </c>
      <c r="E20633" s="8">
        <v>0</v>
      </c>
      <c r="F20633" s="8">
        <v>3350</v>
      </c>
    </row>
    <row r="20634" spans="1:6" ht="12.75">
      <c r="A20634" s="8">
        <v>43895.022824074069</v>
      </c>
      <c r="B20634" s="8" t="str">
        <f>HYPERLINK("https://twitter.com/karyawantree","@karyawantree")</f>
        <v>@karyawantree</v>
      </c>
      <c r="C20634" s="8" t="s">
        <v>2979</v>
      </c>
      <c r="D20634" s="8">
        <v>113</v>
      </c>
      <c r="E20634" s="8">
        <v>0</v>
      </c>
      <c r="F20634" s="8">
        <v>1992</v>
      </c>
    </row>
    <row r="20635" spans="1:6" ht="12.75">
      <c r="A20635" s="8">
        <v>43895.02207175926</v>
      </c>
      <c r="B20635" s="8" t="str">
        <f>HYPERLINK("https://twitter.com/hendraputrasiag","@hendraputrasiag")</f>
        <v>@hendraputrasiag</v>
      </c>
      <c r="C20635" s="8" t="s">
        <v>6710</v>
      </c>
      <c r="D20635" s="8">
        <v>428</v>
      </c>
      <c r="E20635" s="8">
        <v>0</v>
      </c>
      <c r="F20635" s="8">
        <v>184</v>
      </c>
    </row>
    <row r="20636" spans="1:6" ht="12.75">
      <c r="A20636" s="8">
        <v>43895.021967592591</v>
      </c>
      <c r="B20636" s="8" t="str">
        <f>HYPERLINK("https://twitter.com/Rakhmandads","@Rakhmandads")</f>
        <v>@Rakhmandads</v>
      </c>
      <c r="C20636" s="8" t="s">
        <v>2199</v>
      </c>
      <c r="D20636" s="8">
        <v>9093</v>
      </c>
      <c r="E20636" s="8">
        <v>0</v>
      </c>
      <c r="F20636" s="8">
        <v>10</v>
      </c>
    </row>
    <row r="20637" spans="1:6" ht="12.75">
      <c r="A20637" s="8">
        <v>43895.021956018521</v>
      </c>
      <c r="B20637" s="8" t="str">
        <f>HYPERLINK("https://twitter.com/bukuberbagi100","@bukuberbagi100")</f>
        <v>@bukuberbagi100</v>
      </c>
      <c r="C20637" s="8" t="s">
        <v>7715</v>
      </c>
      <c r="D20637" s="8">
        <v>51</v>
      </c>
      <c r="E20637" s="8">
        <v>0</v>
      </c>
      <c r="F20637" s="8">
        <v>133</v>
      </c>
    </row>
    <row r="20638" spans="1:6" ht="12.75">
      <c r="A20638" s="8">
        <v>43895.021817129629</v>
      </c>
      <c r="B20638" s="8" t="str">
        <f>HYPERLINK("https://twitter.com/yudi682","@yudi682")</f>
        <v>@yudi682</v>
      </c>
      <c r="C20638" s="8" t="s">
        <v>8456</v>
      </c>
      <c r="D20638" s="8">
        <v>0</v>
      </c>
      <c r="E20638" s="8">
        <v>0</v>
      </c>
      <c r="F20638" s="8">
        <v>251</v>
      </c>
    </row>
    <row r="20639" spans="1:6" ht="12.75">
      <c r="A20639" s="8">
        <v>43895.021678240737</v>
      </c>
      <c r="B20639" s="8" t="str">
        <f>HYPERLINK("https://twitter.com/oceanflyer1","@oceanflyer1")</f>
        <v>@oceanflyer1</v>
      </c>
      <c r="C20639" s="8" t="s">
        <v>8457</v>
      </c>
      <c r="D20639" s="8">
        <v>0</v>
      </c>
      <c r="E20639" s="8">
        <v>1</v>
      </c>
      <c r="F20639" s="8">
        <v>261</v>
      </c>
    </row>
    <row r="20640" spans="1:6" ht="12.75">
      <c r="A20640" s="8">
        <v>43895.021354166667</v>
      </c>
      <c r="B20640" s="8" t="str">
        <f>HYPERLINK("https://twitter.com/pamungkas82","@pamungkas82")</f>
        <v>@pamungkas82</v>
      </c>
      <c r="C20640" s="8" t="s">
        <v>7573</v>
      </c>
      <c r="D20640" s="8">
        <v>7</v>
      </c>
      <c r="E20640" s="8">
        <v>0</v>
      </c>
      <c r="F20640" s="8">
        <v>1246</v>
      </c>
    </row>
    <row r="20641" spans="1:6" ht="12.75">
      <c r="A20641" s="8">
        <v>43895.020798611113</v>
      </c>
      <c r="B20641" s="8" t="str">
        <f>HYPERLINK("https://twitter.com/DagelaneD","@DagelaneD")</f>
        <v>@DagelaneD</v>
      </c>
      <c r="C20641" s="8" t="s">
        <v>8458</v>
      </c>
      <c r="D20641" s="8">
        <v>0</v>
      </c>
      <c r="E20641" s="8">
        <v>1</v>
      </c>
      <c r="F20641" s="8">
        <v>1272</v>
      </c>
    </row>
    <row r="20642" spans="1:6" ht="12.75">
      <c r="A20642" s="8">
        <v>43895.020208333328</v>
      </c>
      <c r="B20642" s="8" t="str">
        <f>HYPERLINK("https://twitter.com/ranasanghaa___","@ranasanghaa___")</f>
        <v>@ranasanghaa___</v>
      </c>
      <c r="C20642" s="8" t="s">
        <v>8459</v>
      </c>
      <c r="D20642" s="8">
        <v>0</v>
      </c>
      <c r="E20642" s="8">
        <v>0</v>
      </c>
      <c r="F20642" s="8">
        <v>239</v>
      </c>
    </row>
    <row r="20643" spans="1:6" ht="12.75">
      <c r="A20643" s="8">
        <v>43895.019537037035</v>
      </c>
      <c r="B20643" s="8" t="str">
        <f>HYPERLINK("https://twitter.com/AlvaroDeBazan2","@AlvaroDeBazan2")</f>
        <v>@AlvaroDeBazan2</v>
      </c>
      <c r="C20643" s="8" t="s">
        <v>8356</v>
      </c>
      <c r="D20643" s="8">
        <v>6</v>
      </c>
      <c r="E20643" s="8">
        <v>0</v>
      </c>
      <c r="F20643" s="8">
        <v>264</v>
      </c>
    </row>
    <row r="20644" spans="1:6" ht="12.75">
      <c r="A20644" s="8">
        <v>43895.019259259258</v>
      </c>
      <c r="B20644" s="8" t="str">
        <f>HYPERLINK("https://twitter.com/Naveensingh010","@Naveensingh010")</f>
        <v>@Naveensingh010</v>
      </c>
      <c r="C20644" s="8" t="s">
        <v>8460</v>
      </c>
      <c r="D20644" s="8">
        <v>0</v>
      </c>
      <c r="E20644" s="8">
        <v>0</v>
      </c>
      <c r="F20644" s="8">
        <v>68</v>
      </c>
    </row>
    <row r="20645" spans="1:6" ht="12.75">
      <c r="A20645" s="8">
        <v>43895.019166666665</v>
      </c>
      <c r="B20645" s="8" t="str">
        <f>HYPERLINK("https://twitter.com/iwan02007","@iwan02007")</f>
        <v>@iwan02007</v>
      </c>
      <c r="C20645" s="8" t="s">
        <v>7573</v>
      </c>
      <c r="D20645" s="8">
        <v>7</v>
      </c>
      <c r="E20645" s="8">
        <v>0</v>
      </c>
      <c r="F20645" s="8">
        <v>2026</v>
      </c>
    </row>
    <row r="20646" spans="1:6" ht="12.75">
      <c r="A20646" s="8">
        <v>43895.018946759257</v>
      </c>
      <c r="B20646" s="8" t="str">
        <f>HYPERLINK("https://twitter.com/Budihar21525608","@Budihar21525608")</f>
        <v>@Budihar21525608</v>
      </c>
      <c r="C20646" s="8" t="s">
        <v>8420</v>
      </c>
      <c r="D20646" s="8">
        <v>3</v>
      </c>
      <c r="E20646" s="8">
        <v>0</v>
      </c>
      <c r="F20646" s="8">
        <v>6298</v>
      </c>
    </row>
    <row r="20647" spans="1:6" ht="12.75">
      <c r="A20647" s="8">
        <v>43895.018842592588</v>
      </c>
      <c r="B20647" s="8" t="str">
        <f>HYPERLINK("https://twitter.com/omizra","@omizra")</f>
        <v>@omizra</v>
      </c>
      <c r="C20647" s="8" t="s">
        <v>8461</v>
      </c>
      <c r="D20647" s="8">
        <v>0</v>
      </c>
      <c r="E20647" s="8">
        <v>0</v>
      </c>
      <c r="F20647" s="8">
        <v>954</v>
      </c>
    </row>
    <row r="20648" spans="1:6" ht="12.75">
      <c r="A20648" s="8">
        <v>43895.00675925926</v>
      </c>
      <c r="B20648" s="8" t="str">
        <f>HYPERLINK("https://twitter.com/KorangJang","@KorangJang")</f>
        <v>@KorangJang</v>
      </c>
      <c r="C20648" s="8" t="s">
        <v>7473</v>
      </c>
      <c r="D20648" s="8">
        <v>155</v>
      </c>
      <c r="E20648" s="8">
        <v>0</v>
      </c>
      <c r="F20648" s="8">
        <v>216</v>
      </c>
    </row>
    <row r="20649" spans="1:6" ht="12.75">
      <c r="A20649" s="8">
        <v>43895.006481481483</v>
      </c>
      <c r="B20649" s="8" t="str">
        <f>HYPERLINK("https://twitter.com/teajusmaduseger","@teajusmaduseger")</f>
        <v>@teajusmaduseger</v>
      </c>
      <c r="C20649" s="8" t="s">
        <v>2979</v>
      </c>
      <c r="D20649" s="8">
        <v>101</v>
      </c>
      <c r="E20649" s="8">
        <v>0</v>
      </c>
      <c r="F20649" s="8">
        <v>383</v>
      </c>
    </row>
    <row r="20650" spans="1:6" ht="12.75">
      <c r="A20650" s="8">
        <v>43895.005659722221</v>
      </c>
      <c r="B20650" s="8" t="str">
        <f>HYPERLINK("https://twitter.com/Naruzaky","@Naruzaky")</f>
        <v>@Naruzaky</v>
      </c>
      <c r="C20650" s="8" t="s">
        <v>2979</v>
      </c>
      <c r="D20650" s="8">
        <v>101</v>
      </c>
      <c r="E20650" s="8">
        <v>0</v>
      </c>
      <c r="F20650" s="8">
        <v>419</v>
      </c>
    </row>
    <row r="20651" spans="1:6" ht="12.75">
      <c r="A20651" s="8">
        <v>43895.004837962959</v>
      </c>
      <c r="B20651" s="8" t="str">
        <f t="shared" ref="B20651:B20652" si="305">HYPERLINK("https://twitter.com/razzmon_","@razzmon_")</f>
        <v>@razzmon_</v>
      </c>
      <c r="C20651" s="8" t="s">
        <v>8024</v>
      </c>
      <c r="D20651" s="8">
        <v>10</v>
      </c>
      <c r="E20651" s="8">
        <v>0</v>
      </c>
      <c r="F20651" s="8">
        <v>6986</v>
      </c>
    </row>
    <row r="20652" spans="1:6" ht="12.75">
      <c r="A20652" s="8">
        <v>43895.004710648151</v>
      </c>
      <c r="B20652" s="8" t="str">
        <f t="shared" si="305"/>
        <v>@razzmon_</v>
      </c>
      <c r="C20652" s="8" t="s">
        <v>2979</v>
      </c>
      <c r="D20652" s="8">
        <v>101</v>
      </c>
      <c r="E20652" s="8">
        <v>0</v>
      </c>
      <c r="F20652" s="8">
        <v>6986</v>
      </c>
    </row>
    <row r="20653" spans="1:6" ht="12.75">
      <c r="A20653" s="8">
        <v>43895.004479166666</v>
      </c>
      <c r="B20653" s="8" t="str">
        <f>HYPERLINK("https://twitter.com/ardialsyah","@ardialsyah")</f>
        <v>@ardialsyah</v>
      </c>
      <c r="C20653" s="8" t="s">
        <v>8462</v>
      </c>
      <c r="D20653" s="8">
        <v>5</v>
      </c>
      <c r="E20653" s="8">
        <v>0</v>
      </c>
      <c r="F20653" s="8">
        <v>76</v>
      </c>
    </row>
    <row r="20654" spans="1:6" ht="12.75">
      <c r="A20654" s="8">
        <v>43895.004444444443</v>
      </c>
      <c r="B20654" s="8" t="str">
        <f>HYPERLINK("https://twitter.com/ListiyaniNanita","@ListiyaniNanita")</f>
        <v>@ListiyaniNanita</v>
      </c>
      <c r="C20654" s="8" t="s">
        <v>8462</v>
      </c>
      <c r="D20654" s="8">
        <v>5</v>
      </c>
      <c r="E20654" s="8">
        <v>0</v>
      </c>
      <c r="F20654" s="8">
        <v>70</v>
      </c>
    </row>
    <row r="20655" spans="1:6" ht="12.75">
      <c r="A20655" s="8">
        <v>43895.004421296297</v>
      </c>
      <c r="B20655" s="8" t="str">
        <f>HYPERLINK("https://twitter.com/changminologi","@changminologi")</f>
        <v>@changminologi</v>
      </c>
      <c r="C20655" s="8" t="s">
        <v>6739</v>
      </c>
      <c r="D20655" s="8">
        <v>1</v>
      </c>
      <c r="E20655" s="8">
        <v>0</v>
      </c>
      <c r="F20655" s="8">
        <v>426</v>
      </c>
    </row>
    <row r="20656" spans="1:6" ht="12.75">
      <c r="A20656" s="8">
        <v>43895.004409722227</v>
      </c>
      <c r="B20656" s="8" t="str">
        <f>HYPERLINK("https://twitter.com/lukmannh_nur","@lukmannh_nur")</f>
        <v>@lukmannh_nur</v>
      </c>
      <c r="C20656" s="8" t="s">
        <v>8462</v>
      </c>
      <c r="D20656" s="8">
        <v>5</v>
      </c>
      <c r="E20656" s="8">
        <v>0</v>
      </c>
      <c r="F20656" s="8">
        <v>71</v>
      </c>
    </row>
    <row r="20657" spans="1:6" ht="12.75">
      <c r="A20657" s="8">
        <v>43895.004351851851</v>
      </c>
      <c r="B20657" s="8" t="str">
        <f t="shared" ref="B20657:B20658" si="306">HYPERLINK("https://twitter.com/wni_jmsri","@wni_jmsri")</f>
        <v>@wni_jmsri</v>
      </c>
      <c r="C20657" s="8" t="s">
        <v>7537</v>
      </c>
      <c r="D20657" s="8">
        <v>2690</v>
      </c>
      <c r="E20657" s="8">
        <v>0</v>
      </c>
      <c r="F20657" s="8">
        <v>200</v>
      </c>
    </row>
    <row r="20658" spans="1:6" ht="12.75">
      <c r="A20658" s="8">
        <v>43895.004317129627</v>
      </c>
      <c r="B20658" s="8" t="str">
        <f t="shared" si="306"/>
        <v>@wni_jmsri</v>
      </c>
      <c r="C20658" s="8" t="s">
        <v>8463</v>
      </c>
      <c r="D20658" s="8">
        <v>91</v>
      </c>
      <c r="E20658" s="8">
        <v>0</v>
      </c>
      <c r="F20658" s="8">
        <v>200</v>
      </c>
    </row>
    <row r="20659" spans="1:6" ht="12.75">
      <c r="A20659" s="8">
        <v>43895.004282407404</v>
      </c>
      <c r="B20659" s="8" t="str">
        <f>HYPERLINK("https://twitter.com/999VS6661","@999VS6661")</f>
        <v>@999VS6661</v>
      </c>
      <c r="C20659" s="8" t="s">
        <v>8133</v>
      </c>
      <c r="D20659" s="8">
        <v>17</v>
      </c>
      <c r="E20659" s="8">
        <v>0</v>
      </c>
      <c r="F20659" s="8">
        <v>1</v>
      </c>
    </row>
    <row r="20660" spans="1:6" ht="12.75">
      <c r="A20660" s="8">
        <v>43895.004259259258</v>
      </c>
      <c r="B20660" s="8" t="str">
        <f>HYPERLINK("https://twitter.com/RadioElshinta","@RadioElshinta")</f>
        <v>@RadioElshinta</v>
      </c>
      <c r="C20660" s="8" t="s">
        <v>8464</v>
      </c>
      <c r="D20660" s="8">
        <v>0</v>
      </c>
      <c r="E20660" s="8">
        <v>1</v>
      </c>
      <c r="F20660" s="8">
        <v>3636766</v>
      </c>
    </row>
    <row r="20661" spans="1:6" ht="12.75">
      <c r="A20661" s="8">
        <v>43895.004074074073</v>
      </c>
      <c r="B20661" s="8" t="str">
        <f>HYPERLINK("https://twitter.com/wni_jmsri","@wni_jmsri")</f>
        <v>@wni_jmsri</v>
      </c>
      <c r="C20661" s="8" t="s">
        <v>8465</v>
      </c>
      <c r="D20661" s="8">
        <v>777</v>
      </c>
      <c r="E20661" s="8">
        <v>0</v>
      </c>
      <c r="F20661" s="8">
        <v>200</v>
      </c>
    </row>
    <row r="20662" spans="1:6" ht="12.75">
      <c r="A20662" s="8">
        <v>43895.003958333335</v>
      </c>
      <c r="B20662" s="8" t="str">
        <f>HYPERLINK("https://twitter.com/Dadodad59834626","@Dadodad59834626")</f>
        <v>@Dadodad59834626</v>
      </c>
      <c r="C20662" s="8" t="s">
        <v>7715</v>
      </c>
      <c r="D20662" s="8">
        <v>47</v>
      </c>
      <c r="E20662" s="8">
        <v>0</v>
      </c>
      <c r="F20662" s="8">
        <v>353</v>
      </c>
    </row>
    <row r="20663" spans="1:6" ht="12.75">
      <c r="A20663" s="8">
        <v>43895.003576388888</v>
      </c>
      <c r="B20663" s="8" t="str">
        <f>HYPERLINK("https://twitter.com/dwiastnured","@dwiastnured")</f>
        <v>@dwiastnured</v>
      </c>
      <c r="C20663" s="8" t="s">
        <v>7473</v>
      </c>
      <c r="D20663" s="8">
        <v>155</v>
      </c>
      <c r="E20663" s="8">
        <v>0</v>
      </c>
      <c r="F20663" s="8">
        <v>35</v>
      </c>
    </row>
    <row r="20664" spans="1:6" ht="12.75">
      <c r="A20664" s="8">
        <v>43895.003287037034</v>
      </c>
      <c r="B20664" s="8" t="str">
        <f>HYPERLINK("https://twitter.com/1MenujuDamai","@1MenujuDamai")</f>
        <v>@1MenujuDamai</v>
      </c>
      <c r="C20664" s="8" t="s">
        <v>8466</v>
      </c>
      <c r="D20664" s="8">
        <v>15</v>
      </c>
      <c r="E20664" s="8">
        <v>0</v>
      </c>
      <c r="F20664" s="8">
        <v>2564</v>
      </c>
    </row>
    <row r="20665" spans="1:6" ht="12.75">
      <c r="A20665" s="8">
        <v>43895.003009259264</v>
      </c>
      <c r="B20665" s="8" t="str">
        <f>HYPERLINK("https://twitter.com/kicky_ap","@kicky_ap")</f>
        <v>@kicky_ap</v>
      </c>
      <c r="C20665" s="8" t="s">
        <v>2979</v>
      </c>
      <c r="D20665" s="8">
        <v>101</v>
      </c>
      <c r="E20665" s="8">
        <v>0</v>
      </c>
      <c r="F20665" s="8">
        <v>664</v>
      </c>
    </row>
    <row r="20666" spans="1:6" ht="12.75">
      <c r="A20666" s="8">
        <v>43895.001956018517</v>
      </c>
      <c r="B20666" s="8" t="str">
        <f>HYPERLINK("https://twitter.com/Pakdedy2","@Pakdedy2")</f>
        <v>@Pakdedy2</v>
      </c>
      <c r="C20666" s="8" t="s">
        <v>7473</v>
      </c>
      <c r="D20666" s="8">
        <v>155</v>
      </c>
      <c r="E20666" s="8">
        <v>0</v>
      </c>
      <c r="F20666" s="8">
        <v>275</v>
      </c>
    </row>
    <row r="20667" spans="1:6" ht="12.75">
      <c r="A20667" s="8">
        <v>43895.001666666663</v>
      </c>
      <c r="B20667" s="8" t="str">
        <f>HYPERLINK("https://twitter.com/vonbrahmana","@vonbrahmana")</f>
        <v>@vonbrahmana</v>
      </c>
      <c r="C20667" s="8" t="s">
        <v>8467</v>
      </c>
      <c r="D20667" s="8">
        <v>0</v>
      </c>
      <c r="E20667" s="8">
        <v>0</v>
      </c>
      <c r="F20667" s="8">
        <v>447</v>
      </c>
    </row>
    <row r="20668" spans="1:6" ht="12.75">
      <c r="A20668" s="8">
        <v>43895.001597222217</v>
      </c>
      <c r="B20668" s="8" t="str">
        <f>HYPERLINK("https://twitter.com/KemenkesRI","@KemenkesRI")</f>
        <v>@KemenkesRI</v>
      </c>
      <c r="C20668" s="8" t="s">
        <v>8468</v>
      </c>
      <c r="D20668" s="8">
        <v>1</v>
      </c>
      <c r="E20668" s="8">
        <v>1</v>
      </c>
      <c r="F20668" s="8">
        <v>260702</v>
      </c>
    </row>
    <row r="20669" spans="1:6" ht="12.75">
      <c r="A20669" s="8">
        <v>43895.001180555555</v>
      </c>
      <c r="B20669" s="8" t="str">
        <f>HYPERLINK("https://twitter.com/beirone","@beirone")</f>
        <v>@beirone</v>
      </c>
      <c r="C20669" s="8" t="s">
        <v>8469</v>
      </c>
      <c r="D20669" s="8">
        <v>0</v>
      </c>
      <c r="E20669" s="8">
        <v>1</v>
      </c>
      <c r="F20669" s="8">
        <v>3959</v>
      </c>
    </row>
    <row r="20670" spans="1:6" ht="12.75">
      <c r="A20670" s="8">
        <v>43895.00072916667</v>
      </c>
      <c r="B20670" s="8" t="str">
        <f>HYPERLINK("https://twitter.com/Arifngk","@Arifngk")</f>
        <v>@Arifngk</v>
      </c>
      <c r="C20670" s="8" t="s">
        <v>7473</v>
      </c>
      <c r="D20670" s="8">
        <v>155</v>
      </c>
      <c r="E20670" s="8">
        <v>0</v>
      </c>
      <c r="F20670" s="8">
        <v>510</v>
      </c>
    </row>
    <row r="20671" spans="1:6" ht="12.75">
      <c r="A20671" s="8">
        <v>43895.000671296293</v>
      </c>
      <c r="B20671" s="8" t="str">
        <f>HYPERLINK("https://twitter.com/mohammadkoba","@mohammadkoba")</f>
        <v>@mohammadkoba</v>
      </c>
      <c r="C20671" s="8" t="s">
        <v>7700</v>
      </c>
      <c r="D20671" s="8">
        <v>41</v>
      </c>
      <c r="E20671" s="8">
        <v>0</v>
      </c>
      <c r="F20671" s="8">
        <v>358</v>
      </c>
    </row>
    <row r="20672" spans="1:6" ht="12.75">
      <c r="A20672" s="8">
        <v>43895.000451388885</v>
      </c>
      <c r="B20672" s="8" t="str">
        <f>HYPERLINK("https://twitter.com/rosinmunir","@rosinmunir")</f>
        <v>@rosinmunir</v>
      </c>
      <c r="C20672" s="8" t="s">
        <v>7715</v>
      </c>
      <c r="D20672" s="8">
        <v>47</v>
      </c>
      <c r="E20672" s="8">
        <v>0</v>
      </c>
      <c r="F20672" s="8">
        <v>1052</v>
      </c>
    </row>
    <row r="20673" spans="1:6" ht="12.75">
      <c r="A20673" s="8">
        <v>43895</v>
      </c>
      <c r="B20673" s="8" t="str">
        <f>HYPERLINK("https://twitter.com/gembira683101","@gembira683101")</f>
        <v>@gembira683101</v>
      </c>
      <c r="C20673" s="8" t="s">
        <v>7862</v>
      </c>
      <c r="D20673" s="8">
        <v>17</v>
      </c>
      <c r="E20673" s="8">
        <v>0</v>
      </c>
      <c r="F20673" s="8">
        <v>251</v>
      </c>
    </row>
    <row r="20674" spans="1:6" ht="12.75">
      <c r="A20674" s="8">
        <v>43894.999791666662</v>
      </c>
      <c r="B20674" s="8" t="str">
        <f>HYPERLINK("https://twitter.com/ekawijaya1970","@ekawijaya1970")</f>
        <v>@ekawijaya1970</v>
      </c>
      <c r="C20674" s="8" t="s">
        <v>8470</v>
      </c>
      <c r="D20674" s="8">
        <v>3</v>
      </c>
      <c r="E20674" s="8">
        <v>0</v>
      </c>
      <c r="F20674" s="8">
        <v>858</v>
      </c>
    </row>
    <row r="20675" spans="1:6" ht="12.75">
      <c r="A20675" s="8">
        <v>43894.99962962963</v>
      </c>
      <c r="B20675" s="8" t="str">
        <f>HYPERLINK("https://twitter.com/KenArok10193945","@KenArok10193945")</f>
        <v>@KenArok10193945</v>
      </c>
      <c r="C20675" s="8" t="s">
        <v>8391</v>
      </c>
      <c r="D20675" s="8">
        <v>2</v>
      </c>
      <c r="E20675" s="8">
        <v>0</v>
      </c>
      <c r="F20675" s="8">
        <v>195</v>
      </c>
    </row>
    <row r="20676" spans="1:6" ht="12.75">
      <c r="A20676" s="8">
        <v>43894.999062499999</v>
      </c>
      <c r="B20676" s="8" t="str">
        <f>HYPERLINK("https://twitter.com/razzmon_","@razzmon_")</f>
        <v>@razzmon_</v>
      </c>
      <c r="C20676" s="8" t="s">
        <v>7473</v>
      </c>
      <c r="D20676" s="8">
        <v>155</v>
      </c>
      <c r="E20676" s="8">
        <v>0</v>
      </c>
      <c r="F20676" s="8">
        <v>6986</v>
      </c>
    </row>
    <row r="20677" spans="1:6" ht="12.75">
      <c r="A20677" s="8">
        <v>43894.99728009259</v>
      </c>
      <c r="B20677" s="8" t="str">
        <f>HYPERLINK("https://twitter.com/Sukeshadube1","@Sukeshadube1")</f>
        <v>@Sukeshadube1</v>
      </c>
      <c r="C20677" s="8" t="s">
        <v>8471</v>
      </c>
      <c r="D20677" s="8">
        <v>2</v>
      </c>
      <c r="E20677" s="8">
        <v>0</v>
      </c>
      <c r="F20677" s="8">
        <v>46</v>
      </c>
    </row>
    <row r="20678" spans="1:6" ht="12.75">
      <c r="A20678" s="8">
        <v>43894.995648148149</v>
      </c>
      <c r="B20678" s="8" t="str">
        <f>HYPERLINK("https://twitter.com/Puteriswift_","@Puteriswift_")</f>
        <v>@Puteriswift_</v>
      </c>
      <c r="C20678" s="8" t="s">
        <v>8472</v>
      </c>
      <c r="D20678" s="8">
        <v>0</v>
      </c>
      <c r="E20678" s="8">
        <v>0</v>
      </c>
      <c r="F20678" s="8">
        <v>287</v>
      </c>
    </row>
    <row r="20679" spans="1:6" ht="12.75">
      <c r="A20679" s="8">
        <v>43894.995624999996</v>
      </c>
      <c r="B20679" s="8" t="str">
        <f>HYPERLINK("https://twitter.com/Jazedw","@Jazedw")</f>
        <v>@Jazedw</v>
      </c>
      <c r="C20679" s="8" t="s">
        <v>6710</v>
      </c>
      <c r="D20679" s="8">
        <v>421</v>
      </c>
      <c r="E20679" s="8">
        <v>0</v>
      </c>
      <c r="F20679" s="8">
        <v>3152</v>
      </c>
    </row>
    <row r="20680" spans="1:6" ht="12.75">
      <c r="A20680" s="8">
        <v>43894.995196759264</v>
      </c>
      <c r="B20680" s="8" t="str">
        <f>HYPERLINK("https://twitter.com/tsjatiningtyas","@tsjatiningtyas")</f>
        <v>@tsjatiningtyas</v>
      </c>
      <c r="C20680" s="8" t="s">
        <v>8473</v>
      </c>
      <c r="D20680" s="8">
        <v>17</v>
      </c>
      <c r="E20680" s="8">
        <v>0</v>
      </c>
      <c r="F20680" s="8">
        <v>366</v>
      </c>
    </row>
    <row r="20681" spans="1:6" ht="12.75">
      <c r="A20681" s="8">
        <v>43894.995023148149</v>
      </c>
      <c r="B20681" s="8" t="str">
        <f>HYPERLINK("https://twitter.com/BinMarji","@BinMarji")</f>
        <v>@BinMarji</v>
      </c>
      <c r="C20681" s="8" t="s">
        <v>7969</v>
      </c>
      <c r="D20681" s="8">
        <v>56</v>
      </c>
      <c r="E20681" s="8">
        <v>0</v>
      </c>
      <c r="F20681" s="8">
        <v>292</v>
      </c>
    </row>
    <row r="20682" spans="1:6" ht="12.75">
      <c r="A20682" s="8">
        <v>43894.994930555556</v>
      </c>
      <c r="B20682" s="8" t="str">
        <f>HYPERLINK("https://twitter.com/AmiraSwandary99","@AmiraSwandary99")</f>
        <v>@AmiraSwandary99</v>
      </c>
      <c r="C20682" s="8" t="s">
        <v>7715</v>
      </c>
      <c r="D20682" s="8">
        <v>47</v>
      </c>
      <c r="E20682" s="8">
        <v>0</v>
      </c>
      <c r="F20682" s="8">
        <v>2192</v>
      </c>
    </row>
    <row r="20683" spans="1:6" ht="12.75">
      <c r="A20683" s="8">
        <v>43894.994525462964</v>
      </c>
      <c r="B20683" s="8" t="str">
        <f>HYPERLINK("https://twitter.com/mohamma51227783","@mohamma51227783")</f>
        <v>@mohamma51227783</v>
      </c>
      <c r="C20683" s="8" t="s">
        <v>8411</v>
      </c>
      <c r="D20683" s="8">
        <v>10</v>
      </c>
      <c r="E20683" s="8">
        <v>0</v>
      </c>
      <c r="F20683" s="8">
        <v>175</v>
      </c>
    </row>
    <row r="20684" spans="1:6" ht="12.75">
      <c r="A20684" s="8">
        <v>43894.994363425925</v>
      </c>
      <c r="B20684" s="8" t="str">
        <f>HYPERLINK("https://twitter.com/visitortwt1","@visitortwt1")</f>
        <v>@visitortwt1</v>
      </c>
      <c r="C20684" s="8" t="s">
        <v>7796</v>
      </c>
      <c r="D20684" s="8">
        <v>88</v>
      </c>
      <c r="E20684" s="8">
        <v>0</v>
      </c>
      <c r="F20684" s="8">
        <v>417</v>
      </c>
    </row>
    <row r="20685" spans="1:6" ht="12.75">
      <c r="A20685" s="8">
        <v>43894.993414351848</v>
      </c>
      <c r="B20685" s="8" t="str">
        <f>HYPERLINK("https://twitter.com/mamaoompaloompa","@mamaoompaloompa")</f>
        <v>@mamaoompaloompa</v>
      </c>
      <c r="C20685" s="8" t="s">
        <v>6710</v>
      </c>
      <c r="D20685" s="8">
        <v>421</v>
      </c>
      <c r="E20685" s="8">
        <v>0</v>
      </c>
      <c r="F20685" s="8">
        <v>123</v>
      </c>
    </row>
    <row r="20686" spans="1:6" ht="12.75">
      <c r="A20686" s="8">
        <v>43894.993159722224</v>
      </c>
      <c r="B20686" s="8" t="str">
        <f>HYPERLINK("https://twitter.com/taingambang99","@taingambang99")</f>
        <v>@taingambang99</v>
      </c>
      <c r="C20686" s="8" t="s">
        <v>6222</v>
      </c>
      <c r="D20686" s="8">
        <v>28</v>
      </c>
      <c r="E20686" s="8">
        <v>0</v>
      </c>
      <c r="F20686" s="8">
        <v>73</v>
      </c>
    </row>
    <row r="20687" spans="1:6" ht="12.75">
      <c r="A20687" s="8">
        <v>43894.992627314816</v>
      </c>
      <c r="B20687" s="8" t="str">
        <f>HYPERLINK("https://twitter.com/pecihireng","@pecihireng")</f>
        <v>@pecihireng</v>
      </c>
      <c r="C20687" s="8" t="s">
        <v>7969</v>
      </c>
      <c r="D20687" s="8">
        <v>56</v>
      </c>
      <c r="E20687" s="8">
        <v>0</v>
      </c>
      <c r="F20687" s="8">
        <v>1655</v>
      </c>
    </row>
    <row r="20688" spans="1:6" ht="12.75">
      <c r="A20688" s="8">
        <v>43894.992222222223</v>
      </c>
      <c r="B20688" s="8" t="str">
        <f>HYPERLINK("https://twitter.com/itzlolii","@itzlolii")</f>
        <v>@itzlolii</v>
      </c>
      <c r="C20688" s="8" t="s">
        <v>8474</v>
      </c>
      <c r="D20688" s="8">
        <v>13</v>
      </c>
      <c r="E20688" s="8">
        <v>0</v>
      </c>
      <c r="F20688" s="8">
        <v>4154</v>
      </c>
    </row>
    <row r="20689" spans="1:6" ht="12.75">
      <c r="A20689" s="8">
        <v>43894.992129629631</v>
      </c>
      <c r="B20689" s="8" t="str">
        <f>HYPERLINK("https://twitter.com/visitortwt1","@visitortwt1")</f>
        <v>@visitortwt1</v>
      </c>
      <c r="C20689" s="8" t="s">
        <v>7738</v>
      </c>
      <c r="D20689" s="8">
        <v>26</v>
      </c>
      <c r="E20689" s="8">
        <v>0</v>
      </c>
      <c r="F20689" s="8">
        <v>417</v>
      </c>
    </row>
    <row r="20690" spans="1:6" ht="12.75">
      <c r="A20690" s="8">
        <v>43894.992048611108</v>
      </c>
      <c r="B20690" s="8" t="str">
        <f>HYPERLINK("https://twitter.com/KSogemaking","@KSogemaking")</f>
        <v>@KSogemaking</v>
      </c>
      <c r="C20690" s="8" t="s">
        <v>7969</v>
      </c>
      <c r="D20690" s="8">
        <v>56</v>
      </c>
      <c r="E20690" s="8">
        <v>0</v>
      </c>
      <c r="F20690" s="8">
        <v>959</v>
      </c>
    </row>
    <row r="20691" spans="1:6" ht="12.75">
      <c r="A20691" s="8">
        <v>43894.991747685184</v>
      </c>
      <c r="B20691" s="8" t="str">
        <f>HYPERLINK("https://twitter.com/RickyKardjono","@RickyKardjono")</f>
        <v>@RickyKardjono</v>
      </c>
      <c r="C20691" s="8" t="s">
        <v>7969</v>
      </c>
      <c r="D20691" s="8">
        <v>56</v>
      </c>
      <c r="E20691" s="8">
        <v>0</v>
      </c>
      <c r="F20691" s="8">
        <v>2019</v>
      </c>
    </row>
    <row r="20692" spans="1:6" ht="12.75">
      <c r="A20692" s="8">
        <v>43894.991064814814</v>
      </c>
      <c r="B20692" s="8" t="str">
        <f>HYPERLINK("https://twitter.com/abu_cebong","@abu_cebong")</f>
        <v>@abu_cebong</v>
      </c>
      <c r="C20692" s="8" t="s">
        <v>8475</v>
      </c>
      <c r="D20692" s="8">
        <v>0</v>
      </c>
      <c r="E20692" s="8">
        <v>0</v>
      </c>
      <c r="F20692" s="8">
        <v>835</v>
      </c>
    </row>
    <row r="20693" spans="1:6" ht="12.75">
      <c r="A20693" s="8">
        <v>43894.990856481483</v>
      </c>
      <c r="B20693" s="8" t="str">
        <f>HYPERLINK("https://twitter.com/twmanado","@twmanado")</f>
        <v>@twmanado</v>
      </c>
      <c r="C20693" s="8" t="s">
        <v>8476</v>
      </c>
      <c r="D20693" s="8">
        <v>0</v>
      </c>
      <c r="E20693" s="8">
        <v>0</v>
      </c>
      <c r="F20693" s="8">
        <v>200</v>
      </c>
    </row>
    <row r="20694" spans="1:6" ht="12.75">
      <c r="A20694" s="8">
        <v>43894.990277777775</v>
      </c>
      <c r="B20694" s="8" t="str">
        <f>HYPERLINK("https://twitter.com/Gadgetyotta","@Gadgetyotta")</f>
        <v>@Gadgetyotta</v>
      </c>
      <c r="C20694" s="8" t="s">
        <v>8477</v>
      </c>
      <c r="D20694" s="8">
        <v>0</v>
      </c>
      <c r="E20694" s="8">
        <v>0</v>
      </c>
      <c r="F20694" s="8">
        <v>44</v>
      </c>
    </row>
    <row r="20695" spans="1:6" ht="12.75">
      <c r="A20695" s="8">
        <v>43894.989560185189</v>
      </c>
      <c r="B20695" s="8" t="str">
        <f>HYPERLINK("https://twitter.com/4Y4NKZ","@4Y4NKZ")</f>
        <v>@4Y4NKZ</v>
      </c>
      <c r="C20695" s="8" t="s">
        <v>7969</v>
      </c>
      <c r="D20695" s="8">
        <v>56</v>
      </c>
      <c r="E20695" s="8">
        <v>0</v>
      </c>
      <c r="F20695" s="8">
        <v>44681</v>
      </c>
    </row>
    <row r="20696" spans="1:6" ht="12.75">
      <c r="A20696" s="8">
        <v>43894.989490740743</v>
      </c>
      <c r="B20696" s="8" t="str">
        <f>HYPERLINK("https://twitter.com/Eddianto1","@Eddianto1")</f>
        <v>@Eddianto1</v>
      </c>
      <c r="C20696" s="8" t="s">
        <v>7796</v>
      </c>
      <c r="D20696" s="8">
        <v>88</v>
      </c>
      <c r="E20696" s="8">
        <v>0</v>
      </c>
      <c r="F20696" s="8">
        <v>366</v>
      </c>
    </row>
    <row r="20697" spans="1:6" ht="12.75">
      <c r="A20697" s="8">
        <v>43894.989039351851</v>
      </c>
      <c r="B20697" s="8" t="str">
        <f>HYPERLINK("https://twitter.com/Fandiginevra","@Fandiginevra")</f>
        <v>@Fandiginevra</v>
      </c>
      <c r="C20697" s="8" t="s">
        <v>6222</v>
      </c>
      <c r="D20697" s="8">
        <v>28</v>
      </c>
      <c r="E20697" s="8">
        <v>0</v>
      </c>
      <c r="F20697" s="8">
        <v>92</v>
      </c>
    </row>
    <row r="20698" spans="1:6" ht="12.75">
      <c r="A20698" s="8">
        <v>43894.988981481481</v>
      </c>
      <c r="B20698" s="8" t="str">
        <f>HYPERLINK("https://twitter.com/swandywidjaja06","@swandywidjaja06")</f>
        <v>@swandywidjaja06</v>
      </c>
      <c r="C20698" s="8" t="s">
        <v>7862</v>
      </c>
      <c r="D20698" s="8">
        <v>17</v>
      </c>
      <c r="E20698" s="8">
        <v>0</v>
      </c>
      <c r="F20698" s="8">
        <v>255</v>
      </c>
    </row>
    <row r="20699" spans="1:6" ht="12.75">
      <c r="A20699" s="8">
        <v>43894.988912037035</v>
      </c>
      <c r="B20699" s="8" t="str">
        <f>HYPERLINK("https://twitter.com/ISIS_Balik_NO","@ISIS_Balik_NO")</f>
        <v>@ISIS_Balik_NO</v>
      </c>
      <c r="C20699" s="8" t="s">
        <v>8478</v>
      </c>
      <c r="D20699" s="8">
        <v>0</v>
      </c>
      <c r="E20699" s="8">
        <v>0</v>
      </c>
      <c r="F20699" s="8">
        <v>6112</v>
      </c>
    </row>
    <row r="20700" spans="1:6" ht="12.75">
      <c r="A20700" s="8">
        <v>43894.988668981481</v>
      </c>
      <c r="B20700" s="8" t="str">
        <f>HYPERLINK("https://twitter.com/Jovanka_vanke","@Jovanka_vanke")</f>
        <v>@Jovanka_vanke</v>
      </c>
      <c r="C20700" s="8" t="s">
        <v>8479</v>
      </c>
      <c r="D20700" s="8">
        <v>6</v>
      </c>
      <c r="E20700" s="8">
        <v>0</v>
      </c>
      <c r="F20700" s="8">
        <v>873</v>
      </c>
    </row>
    <row r="20701" spans="1:6" ht="12.75">
      <c r="A20701" s="8">
        <v>43894.988391203704</v>
      </c>
      <c r="B20701" s="8" t="str">
        <f>HYPERLINK("https://twitter.com/CandeFamaar","@CandeFamaar")</f>
        <v>@CandeFamaar</v>
      </c>
      <c r="C20701" s="8" t="s">
        <v>8480</v>
      </c>
      <c r="D20701" s="8">
        <v>0</v>
      </c>
      <c r="E20701" s="8">
        <v>0</v>
      </c>
      <c r="F20701" s="8">
        <v>1050</v>
      </c>
    </row>
    <row r="20702" spans="1:6" ht="12.75">
      <c r="A20702" s="8">
        <v>43894.988229166665</v>
      </c>
      <c r="B20702" s="8" t="str">
        <f>HYPERLINK("https://twitter.com/amoysilitonga","@amoysilitonga")</f>
        <v>@amoysilitonga</v>
      </c>
      <c r="C20702" s="8" t="s">
        <v>7473</v>
      </c>
      <c r="D20702" s="8">
        <v>155</v>
      </c>
      <c r="E20702" s="8">
        <v>0</v>
      </c>
      <c r="F20702" s="8">
        <v>204</v>
      </c>
    </row>
    <row r="20703" spans="1:6" ht="12.75">
      <c r="A20703" s="8">
        <v>43894.988136574073</v>
      </c>
      <c r="B20703" s="8" t="str">
        <f>HYPERLINK("https://twitter.com/FusuyMulyadi","@FusuyMulyadi")</f>
        <v>@FusuyMulyadi</v>
      </c>
      <c r="C20703" s="8" t="s">
        <v>6222</v>
      </c>
      <c r="D20703" s="8">
        <v>28</v>
      </c>
      <c r="E20703" s="8">
        <v>0</v>
      </c>
      <c r="F20703" s="8">
        <v>67</v>
      </c>
    </row>
    <row r="20704" spans="1:6" ht="12.75">
      <c r="A20704" s="8">
        <v>43894.988136574073</v>
      </c>
      <c r="B20704" s="8" t="str">
        <f>HYPERLINK("https://twitter.com/eternity994","@eternity994")</f>
        <v>@eternity994</v>
      </c>
      <c r="C20704" s="8" t="s">
        <v>7473</v>
      </c>
      <c r="D20704" s="8">
        <v>155</v>
      </c>
      <c r="E20704" s="8">
        <v>0</v>
      </c>
      <c r="F20704" s="8">
        <v>678</v>
      </c>
    </row>
    <row r="20705" spans="1:6" ht="12.75">
      <c r="A20705" s="8">
        <v>43894.988067129627</v>
      </c>
      <c r="B20705" s="8" t="str">
        <f>HYPERLINK("https://twitter.com/ISIS_Balik_NO","@ISIS_Balik_NO")</f>
        <v>@ISIS_Balik_NO</v>
      </c>
      <c r="C20705" s="8" t="s">
        <v>8481</v>
      </c>
      <c r="D20705" s="8">
        <v>0</v>
      </c>
      <c r="E20705" s="8">
        <v>0</v>
      </c>
      <c r="F20705" s="8">
        <v>6112</v>
      </c>
    </row>
    <row r="20706" spans="1:6" ht="12.75">
      <c r="A20706" s="8">
        <v>43894.987847222219</v>
      </c>
      <c r="B20706" s="8" t="str">
        <f>HYPERLINK("https://twitter.com/Qshareina","@Qshareina")</f>
        <v>@Qshareina</v>
      </c>
      <c r="C20706" s="8" t="s">
        <v>8482</v>
      </c>
      <c r="D20706" s="8">
        <v>0</v>
      </c>
      <c r="E20706" s="8">
        <v>1</v>
      </c>
      <c r="F20706" s="8">
        <v>235</v>
      </c>
    </row>
    <row r="20707" spans="1:6" ht="12.75">
      <c r="A20707" s="8">
        <v>43894.987534722226</v>
      </c>
      <c r="B20707" s="8" t="str">
        <f>HYPERLINK("https://twitter.com/CiwamP","@CiwamP")</f>
        <v>@CiwamP</v>
      </c>
      <c r="C20707" s="8" t="s">
        <v>3285</v>
      </c>
      <c r="D20707" s="8">
        <v>82</v>
      </c>
      <c r="E20707" s="8">
        <v>0</v>
      </c>
      <c r="F20707" s="8">
        <v>580</v>
      </c>
    </row>
    <row r="20708" spans="1:6" ht="12.75">
      <c r="A20708" s="8">
        <v>43894.987511574072</v>
      </c>
      <c r="B20708" s="8" t="str">
        <f>HYPERLINK("https://twitter.com/MsyTownsend","@MsyTownsend")</f>
        <v>@MsyTownsend</v>
      </c>
      <c r="C20708" s="8" t="s">
        <v>7473</v>
      </c>
      <c r="D20708" s="8">
        <v>155</v>
      </c>
      <c r="E20708" s="8">
        <v>0</v>
      </c>
      <c r="F20708" s="8">
        <v>228</v>
      </c>
    </row>
    <row r="20709" spans="1:6" ht="12.75">
      <c r="A20709" s="8">
        <v>43894.987256944441</v>
      </c>
      <c r="B20709" s="8" t="str">
        <f>HYPERLINK("https://twitter.com/Tion72317290","@Tion72317290")</f>
        <v>@Tion72317290</v>
      </c>
      <c r="C20709" s="8" t="s">
        <v>7473</v>
      </c>
      <c r="D20709" s="8">
        <v>155</v>
      </c>
      <c r="E20709" s="8">
        <v>0</v>
      </c>
      <c r="F20709" s="8">
        <v>34</v>
      </c>
    </row>
    <row r="20710" spans="1:6" ht="12.75">
      <c r="A20710" s="8">
        <v>43894.98715277778</v>
      </c>
      <c r="B20710" s="8" t="str">
        <f>HYPERLINK("https://twitter.com/Riodavy","@Riodavy")</f>
        <v>@Riodavy</v>
      </c>
      <c r="C20710" s="8" t="s">
        <v>7473</v>
      </c>
      <c r="D20710" s="8">
        <v>155</v>
      </c>
      <c r="E20710" s="8">
        <v>0</v>
      </c>
      <c r="F20710" s="8">
        <v>175</v>
      </c>
    </row>
    <row r="20711" spans="1:6" ht="12.75">
      <c r="A20711" s="8">
        <v>43894.986030092594</v>
      </c>
      <c r="B20711" s="8" t="str">
        <f>HYPERLINK("https://twitter.com/Qolybri_8216","@Qolybri_8216")</f>
        <v>@Qolybri_8216</v>
      </c>
      <c r="C20711" s="8" t="s">
        <v>7715</v>
      </c>
      <c r="D20711" s="8">
        <v>47</v>
      </c>
      <c r="E20711" s="8">
        <v>0</v>
      </c>
      <c r="F20711" s="8">
        <v>2102</v>
      </c>
    </row>
    <row r="20712" spans="1:6" ht="12.75">
      <c r="A20712" s="8">
        <v>43894.985775462963</v>
      </c>
      <c r="B20712" s="8" t="str">
        <f>HYPERLINK("https://twitter.com/titut_mulyono","@titut_mulyono")</f>
        <v>@titut_mulyono</v>
      </c>
      <c r="C20712" s="8" t="s">
        <v>8230</v>
      </c>
      <c r="D20712" s="8">
        <v>93</v>
      </c>
      <c r="E20712" s="8">
        <v>0</v>
      </c>
      <c r="F20712" s="8">
        <v>373</v>
      </c>
    </row>
    <row r="20713" spans="1:6" ht="12.75">
      <c r="A20713" s="8">
        <v>43894.985625000001</v>
      </c>
      <c r="B20713" s="8" t="str">
        <f>HYPERLINK("https://twitter.com/disneyfrozzeen","@disneyfrozzeen")</f>
        <v>@disneyfrozzeen</v>
      </c>
      <c r="C20713" s="8" t="s">
        <v>8230</v>
      </c>
      <c r="D20713" s="8">
        <v>93</v>
      </c>
      <c r="E20713" s="8">
        <v>0</v>
      </c>
      <c r="F20713" s="8">
        <v>77</v>
      </c>
    </row>
    <row r="20714" spans="1:6" ht="12.75">
      <c r="A20714" s="8">
        <v>43894.985243055555</v>
      </c>
      <c r="B20714" s="8" t="str">
        <f>HYPERLINK("https://twitter.com/lembahbiroe","@lembahbiroe")</f>
        <v>@lembahbiroe</v>
      </c>
      <c r="C20714" s="8" t="s">
        <v>2979</v>
      </c>
      <c r="D20714" s="8">
        <v>101</v>
      </c>
      <c r="E20714" s="8">
        <v>0</v>
      </c>
      <c r="F20714" s="8">
        <v>825</v>
      </c>
    </row>
    <row r="20715" spans="1:6" ht="12.75">
      <c r="A20715" s="8">
        <v>43894.984803240739</v>
      </c>
      <c r="B20715" s="8" t="str">
        <f>HYPERLINK("https://twitter.com/gembira683101","@gembira683101")</f>
        <v>@gembira683101</v>
      </c>
      <c r="C20715" s="8" t="s">
        <v>3285</v>
      </c>
      <c r="D20715" s="8">
        <v>82</v>
      </c>
      <c r="E20715" s="8">
        <v>0</v>
      </c>
      <c r="F20715" s="8">
        <v>251</v>
      </c>
    </row>
    <row r="20716" spans="1:6" ht="12.75">
      <c r="A20716" s="8">
        <v>43894.984722222223</v>
      </c>
      <c r="B20716" s="8" t="str">
        <f>HYPERLINK("https://twitter.com/Nurulhikmahx","@Nurulhikmahx")</f>
        <v>@Nurulhikmahx</v>
      </c>
      <c r="C20716" s="8" t="s">
        <v>6222</v>
      </c>
      <c r="D20716" s="8">
        <v>28</v>
      </c>
      <c r="E20716" s="8">
        <v>0</v>
      </c>
      <c r="F20716" s="8">
        <v>151</v>
      </c>
    </row>
    <row r="20717" spans="1:6" ht="12.75">
      <c r="A20717" s="8">
        <v>43894.984571759254</v>
      </c>
      <c r="B20717" s="8" t="str">
        <f>HYPERLINK("https://twitter.com/w4l_do","@w4l_do")</f>
        <v>@w4l_do</v>
      </c>
      <c r="C20717" s="8" t="s">
        <v>7473</v>
      </c>
      <c r="D20717" s="8">
        <v>155</v>
      </c>
      <c r="E20717" s="8">
        <v>0</v>
      </c>
      <c r="F20717" s="8">
        <v>111</v>
      </c>
    </row>
    <row r="20718" spans="1:6" ht="12.75">
      <c r="A20718" s="8">
        <v>43894.984305555554</v>
      </c>
      <c r="B20718" s="8" t="str">
        <f>HYPERLINK("https://twitter.com/antikadrun4ever","@antikadrun4ever")</f>
        <v>@antikadrun4ever</v>
      </c>
      <c r="C20718" s="8" t="s">
        <v>8483</v>
      </c>
      <c r="D20718" s="8">
        <v>0</v>
      </c>
      <c r="E20718" s="8">
        <v>0</v>
      </c>
      <c r="F20718" s="8">
        <v>1377</v>
      </c>
    </row>
    <row r="20719" spans="1:6" ht="12.75">
      <c r="A20719" s="8">
        <v>43894.983807870369</v>
      </c>
      <c r="B20719" s="8" t="str">
        <f>HYPERLINK("https://twitter.com/yoruageha","@yoruageha")</f>
        <v>@yoruageha</v>
      </c>
      <c r="C20719" s="8" t="s">
        <v>8484</v>
      </c>
      <c r="D20719" s="8">
        <v>1054</v>
      </c>
      <c r="E20719" s="8">
        <v>0</v>
      </c>
      <c r="F20719" s="8">
        <v>64622</v>
      </c>
    </row>
    <row r="20720" spans="1:6" ht="12.75">
      <c r="A20720" s="8">
        <v>43894.983541666668</v>
      </c>
      <c r="B20720" s="8" t="str">
        <f>HYPERLINK("https://twitter.com/3_devout","@3_devout")</f>
        <v>@3_devout</v>
      </c>
      <c r="C20720" s="8" t="s">
        <v>8485</v>
      </c>
      <c r="D20720" s="8">
        <v>0</v>
      </c>
      <c r="E20720" s="8">
        <v>0</v>
      </c>
      <c r="F20720" s="8">
        <v>1065</v>
      </c>
    </row>
    <row r="20721" spans="1:6" ht="12.75">
      <c r="A20721" s="8">
        <v>43894.983460648145</v>
      </c>
      <c r="B20721" s="8" t="str">
        <f>HYPERLINK("https://twitter.com/SCOUPSmet","@SCOUPSmet")</f>
        <v>@SCOUPSmet</v>
      </c>
      <c r="C20721" s="8" t="s">
        <v>8486</v>
      </c>
      <c r="D20721" s="8">
        <v>0</v>
      </c>
      <c r="E20721" s="8">
        <v>0</v>
      </c>
      <c r="F20721" s="8">
        <v>64</v>
      </c>
    </row>
    <row r="20722" spans="1:6" ht="12.75">
      <c r="A20722" s="8">
        <v>43894.983090277776</v>
      </c>
      <c r="B20722" s="8" t="str">
        <f>HYPERLINK("https://twitter.com/prakosha","@prakosha")</f>
        <v>@prakosha</v>
      </c>
      <c r="C20722" s="8" t="s">
        <v>8487</v>
      </c>
      <c r="D20722" s="8">
        <v>0</v>
      </c>
      <c r="E20722" s="8">
        <v>0</v>
      </c>
      <c r="F20722" s="8">
        <v>32</v>
      </c>
    </row>
    <row r="20723" spans="1:6" ht="12.75">
      <c r="A20723" s="8">
        <v>43894.982719907406</v>
      </c>
      <c r="B20723" s="8" t="str">
        <f t="shared" ref="B20723:B20724" si="307">HYPERLINK("https://twitter.com/ISIS_Balik_NO","@ISIS_Balik_NO")</f>
        <v>@ISIS_Balik_NO</v>
      </c>
      <c r="C20723" s="8" t="s">
        <v>8488</v>
      </c>
      <c r="D20723" s="8">
        <v>6</v>
      </c>
      <c r="E20723" s="8">
        <v>0</v>
      </c>
      <c r="F20723" s="8">
        <v>6112</v>
      </c>
    </row>
    <row r="20724" spans="1:6" ht="12.75">
      <c r="A20724" s="8">
        <v>43894.982488425929</v>
      </c>
      <c r="B20724" s="8" t="str">
        <f t="shared" si="307"/>
        <v>@ISIS_Balik_NO</v>
      </c>
      <c r="C20724" s="8" t="s">
        <v>8489</v>
      </c>
      <c r="D20724" s="8">
        <v>2</v>
      </c>
      <c r="E20724" s="8">
        <v>0</v>
      </c>
      <c r="F20724" s="8">
        <v>6112</v>
      </c>
    </row>
    <row r="20725" spans="1:6" ht="12.75">
      <c r="A20725" s="8">
        <v>43894.982303240744</v>
      </c>
      <c r="B20725" s="8" t="str">
        <f>HYPERLINK("https://twitter.com/mk_sari2","@mk_sari2")</f>
        <v>@mk_sari2</v>
      </c>
      <c r="C20725" s="8" t="s">
        <v>7715</v>
      </c>
      <c r="D20725" s="8">
        <v>47</v>
      </c>
      <c r="E20725" s="8">
        <v>0</v>
      </c>
      <c r="F20725" s="8">
        <v>603</v>
      </c>
    </row>
    <row r="20726" spans="1:6" ht="12.75">
      <c r="A20726" s="8">
        <v>43894.982164351852</v>
      </c>
      <c r="B20726" s="8" t="str">
        <f>HYPERLINK("https://twitter.com/martintambunan","@martintambunan")</f>
        <v>@martintambunan</v>
      </c>
      <c r="C20726" s="8" t="s">
        <v>8490</v>
      </c>
      <c r="D20726" s="8">
        <v>4</v>
      </c>
      <c r="E20726" s="8">
        <v>0</v>
      </c>
      <c r="F20726" s="8">
        <v>652</v>
      </c>
    </row>
    <row r="20727" spans="1:6" ht="12.75">
      <c r="A20727" s="8">
        <v>43894.982094907406</v>
      </c>
      <c r="B20727" s="8" t="str">
        <f>HYPERLINK("https://twitter.com/ISIS_Balik_NO","@ISIS_Balik_NO")</f>
        <v>@ISIS_Balik_NO</v>
      </c>
      <c r="C20727" s="8" t="s">
        <v>8491</v>
      </c>
      <c r="D20727" s="8">
        <v>0</v>
      </c>
      <c r="E20727" s="8">
        <v>1</v>
      </c>
      <c r="F20727" s="8">
        <v>6112</v>
      </c>
    </row>
    <row r="20728" spans="1:6" ht="12.75">
      <c r="A20728" s="8">
        <v>43894.981909722221</v>
      </c>
      <c r="B20728" s="8" t="str">
        <f>HYPERLINK("https://twitter.com/Sandy_Chester91","@Sandy_Chester91")</f>
        <v>@Sandy_Chester91</v>
      </c>
      <c r="C20728" s="8" t="s">
        <v>2979</v>
      </c>
      <c r="D20728" s="8">
        <v>101</v>
      </c>
      <c r="E20728" s="8">
        <v>0</v>
      </c>
      <c r="F20728" s="8">
        <v>592</v>
      </c>
    </row>
    <row r="20729" spans="1:6" ht="12.75">
      <c r="A20729" s="8">
        <v>43894.98165509259</v>
      </c>
      <c r="B20729" s="8" t="str">
        <f>HYPERLINK("https://twitter.com/brother_morrow","@brother_morrow")</f>
        <v>@brother_morrow</v>
      </c>
      <c r="C20729" s="8" t="s">
        <v>6710</v>
      </c>
      <c r="D20729" s="8">
        <v>421</v>
      </c>
      <c r="E20729" s="8">
        <v>0</v>
      </c>
      <c r="F20729" s="8">
        <v>386</v>
      </c>
    </row>
    <row r="20730" spans="1:6" ht="12.75">
      <c r="A20730" s="8">
        <v>43894.981249999997</v>
      </c>
      <c r="B20730" s="8" t="str">
        <f>HYPERLINK("https://twitter.com/catatankak1","@catatankak1")</f>
        <v>@catatankak1</v>
      </c>
      <c r="C20730" s="8" t="s">
        <v>8492</v>
      </c>
      <c r="D20730" s="8">
        <v>0</v>
      </c>
      <c r="E20730" s="8">
        <v>0</v>
      </c>
      <c r="F20730" s="8">
        <v>583</v>
      </c>
    </row>
    <row r="20731" spans="1:6" ht="12.75">
      <c r="A20731" s="8">
        <v>43894.981180555551</v>
      </c>
      <c r="B20731" s="8" t="str">
        <f>HYPERLINK("https://twitter.com/ParthaSaderi","@ParthaSaderi")</f>
        <v>@ParthaSaderi</v>
      </c>
      <c r="C20731" s="8" t="s">
        <v>7473</v>
      </c>
      <c r="D20731" s="8">
        <v>155</v>
      </c>
      <c r="E20731" s="8">
        <v>0</v>
      </c>
      <c r="F20731" s="8">
        <v>5744</v>
      </c>
    </row>
    <row r="20732" spans="1:6" ht="12.75">
      <c r="A20732" s="8">
        <v>43894.981087962966</v>
      </c>
      <c r="B20732" s="8" t="str">
        <f>HYPERLINK("https://twitter.com/martintambunan","@martintambunan")</f>
        <v>@martintambunan</v>
      </c>
      <c r="C20732" s="8" t="s">
        <v>8493</v>
      </c>
      <c r="D20732" s="8">
        <v>10</v>
      </c>
      <c r="E20732" s="8">
        <v>0</v>
      </c>
      <c r="F20732" s="8">
        <v>652</v>
      </c>
    </row>
    <row r="20733" spans="1:6" ht="12.75">
      <c r="A20733" s="8">
        <v>43894.981053240743</v>
      </c>
      <c r="B20733" s="8" t="str">
        <f>HYPERLINK("https://twitter.com/JojoBinjai","@JojoBinjai")</f>
        <v>@JojoBinjai</v>
      </c>
      <c r="C20733" s="8" t="s">
        <v>7738</v>
      </c>
      <c r="D20733" s="8">
        <v>26</v>
      </c>
      <c r="E20733" s="8">
        <v>0</v>
      </c>
      <c r="F20733" s="8">
        <v>735</v>
      </c>
    </row>
    <row r="20734" spans="1:6" ht="12.75">
      <c r="A20734" s="8">
        <v>43894.980972222227</v>
      </c>
      <c r="B20734" s="8" t="str">
        <f>HYPERLINK("https://twitter.com/martintambunan","@martintambunan")</f>
        <v>@martintambunan</v>
      </c>
      <c r="C20734" s="8" t="s">
        <v>8351</v>
      </c>
      <c r="D20734" s="8">
        <v>15</v>
      </c>
      <c r="E20734" s="8">
        <v>0</v>
      </c>
      <c r="F20734" s="8">
        <v>652</v>
      </c>
    </row>
    <row r="20735" spans="1:6" ht="12.75">
      <c r="A20735" s="8">
        <v>43894.980960648143</v>
      </c>
      <c r="B20735" s="8" t="str">
        <f>HYPERLINK("https://twitter.com/Ach_Falut","@Ach_Falut")</f>
        <v>@Ach_Falut</v>
      </c>
      <c r="C20735" s="8" t="s">
        <v>8494</v>
      </c>
      <c r="D20735" s="8">
        <v>0</v>
      </c>
      <c r="E20735" s="8">
        <v>0</v>
      </c>
      <c r="F20735" s="8">
        <v>10069</v>
      </c>
    </row>
    <row r="20736" spans="1:6" ht="12.75">
      <c r="A20736" s="8">
        <v>43894.98065972222</v>
      </c>
      <c r="B20736" s="8" t="str">
        <f>HYPERLINK("https://twitter.com/iney5758","@iney5758")</f>
        <v>@iney5758</v>
      </c>
      <c r="C20736" s="8" t="s">
        <v>8322</v>
      </c>
      <c r="D20736" s="8">
        <v>777</v>
      </c>
      <c r="E20736" s="8">
        <v>0</v>
      </c>
      <c r="F20736" s="8">
        <v>1372</v>
      </c>
    </row>
    <row r="20737" spans="1:6" ht="12.75">
      <c r="A20737" s="8">
        <v>43894.980416666665</v>
      </c>
      <c r="B20737" s="8" t="str">
        <f>HYPERLINK("https://twitter.com/MimMimaciaen","@MimMimaciaen")</f>
        <v>@MimMimaciaen</v>
      </c>
      <c r="C20737" s="8" t="s">
        <v>8495</v>
      </c>
      <c r="D20737" s="8">
        <v>0</v>
      </c>
      <c r="E20737" s="8">
        <v>1</v>
      </c>
      <c r="F20737" s="8">
        <v>4216</v>
      </c>
    </row>
    <row r="20738" spans="1:6" ht="12.75">
      <c r="A20738" s="8">
        <v>43894.980196759258</v>
      </c>
      <c r="B20738" s="8" t="str">
        <f>HYPERLINK("https://twitter.com/LindasajaA","@LindasajaA")</f>
        <v>@LindasajaA</v>
      </c>
      <c r="C20738" s="8" t="s">
        <v>6222</v>
      </c>
      <c r="D20738" s="8">
        <v>28</v>
      </c>
      <c r="E20738" s="8">
        <v>0</v>
      </c>
      <c r="F20738" s="8">
        <v>172</v>
      </c>
    </row>
    <row r="20739" spans="1:6" ht="12.75">
      <c r="A20739" s="8">
        <v>43894.979826388888</v>
      </c>
      <c r="B20739" s="8" t="str">
        <f>HYPERLINK("https://twitter.com/sparkiee70","@sparkiee70")</f>
        <v>@sparkiee70</v>
      </c>
      <c r="C20739" s="8" t="s">
        <v>6710</v>
      </c>
      <c r="D20739" s="8">
        <v>421</v>
      </c>
      <c r="E20739" s="8">
        <v>0</v>
      </c>
      <c r="F20739" s="8">
        <v>54</v>
      </c>
    </row>
    <row r="20740" spans="1:6" ht="12.75">
      <c r="A20740" s="8">
        <v>43894.979675925926</v>
      </c>
      <c r="B20740" s="8" t="str">
        <f>HYPERLINK("https://twitter.com/joelpote","@joelpote")</f>
        <v>@joelpote</v>
      </c>
      <c r="C20740" s="8" t="s">
        <v>7715</v>
      </c>
      <c r="D20740" s="8">
        <v>47</v>
      </c>
      <c r="E20740" s="8">
        <v>0</v>
      </c>
      <c r="F20740" s="8">
        <v>451</v>
      </c>
    </row>
    <row r="20741" spans="1:6" ht="12.75">
      <c r="A20741" s="8">
        <v>43894.97929398148</v>
      </c>
      <c r="B20741" s="8" t="str">
        <f>HYPERLINK("https://twitter.com/Prinsie","@Prinsie")</f>
        <v>@Prinsie</v>
      </c>
      <c r="C20741" s="8" t="s">
        <v>6710</v>
      </c>
      <c r="D20741" s="8">
        <v>421</v>
      </c>
      <c r="E20741" s="8">
        <v>0</v>
      </c>
      <c r="F20741" s="8">
        <v>100</v>
      </c>
    </row>
    <row r="20742" spans="1:6" ht="12.75">
      <c r="A20742" s="8">
        <v>43894.979259259257</v>
      </c>
      <c r="B20742" s="8" t="str">
        <f>HYPERLINK("https://twitter.com/kinderguy","@kinderguy")</f>
        <v>@kinderguy</v>
      </c>
      <c r="C20742" s="8" t="s">
        <v>7969</v>
      </c>
      <c r="D20742" s="8">
        <v>56</v>
      </c>
      <c r="E20742" s="8">
        <v>0</v>
      </c>
      <c r="F20742" s="8">
        <v>22</v>
      </c>
    </row>
    <row r="20743" spans="1:6" ht="12.75">
      <c r="A20743" s="8">
        <v>43894.978958333333</v>
      </c>
      <c r="B20743" s="8" t="str">
        <f>HYPERLINK("https://twitter.com/kerajaanpolitik","@kerajaanpolitik")</f>
        <v>@kerajaanpolitik</v>
      </c>
      <c r="C20743" s="8" t="s">
        <v>8496</v>
      </c>
      <c r="D20743" s="8">
        <v>2</v>
      </c>
      <c r="E20743" s="8">
        <v>0</v>
      </c>
      <c r="F20743" s="8">
        <v>181</v>
      </c>
    </row>
    <row r="20744" spans="1:6" ht="12.75">
      <c r="A20744" s="8">
        <v>43894.978946759264</v>
      </c>
      <c r="B20744" s="8" t="str">
        <f>HYPERLINK("https://twitter.com/rongs_rong","@rongs_rong")</f>
        <v>@rongs_rong</v>
      </c>
      <c r="C20744" s="8" t="s">
        <v>8497</v>
      </c>
      <c r="D20744" s="8">
        <v>0</v>
      </c>
      <c r="E20744" s="8">
        <v>1</v>
      </c>
      <c r="F20744" s="8">
        <v>3240</v>
      </c>
    </row>
    <row r="20745" spans="1:6" ht="12.75">
      <c r="A20745" s="8">
        <v>43894.978865740741</v>
      </c>
      <c r="B20745" s="8" t="str">
        <f>HYPERLINK("https://twitter.com/republikaonline","@republikaonline")</f>
        <v>@republikaonline</v>
      </c>
      <c r="C20745" s="8" t="s">
        <v>8498</v>
      </c>
      <c r="D20745" s="8">
        <v>0</v>
      </c>
      <c r="E20745" s="8">
        <v>1</v>
      </c>
      <c r="F20745" s="8">
        <v>1219217</v>
      </c>
    </row>
    <row r="20746" spans="1:6" ht="12.75">
      <c r="A20746" s="8">
        <v>43894.978842592594</v>
      </c>
      <c r="B20746" s="8" t="str">
        <f>HYPERLINK("https://twitter.com/alteronay","@alteronay")</f>
        <v>@alteronay</v>
      </c>
      <c r="C20746" s="8" t="s">
        <v>8499</v>
      </c>
      <c r="D20746" s="8">
        <v>0</v>
      </c>
      <c r="E20746" s="8">
        <v>0</v>
      </c>
      <c r="F20746" s="8">
        <v>79</v>
      </c>
    </row>
    <row r="20747" spans="1:6" ht="12.75">
      <c r="A20747" s="8">
        <v>43894.978738425925</v>
      </c>
      <c r="B20747" s="8" t="str">
        <f>HYPERLINK("https://twitter.com/TjahyoUnky","@TjahyoUnky")</f>
        <v>@TjahyoUnky</v>
      </c>
      <c r="C20747" s="8" t="s">
        <v>7969</v>
      </c>
      <c r="D20747" s="8">
        <v>56</v>
      </c>
      <c r="E20747" s="8">
        <v>0</v>
      </c>
      <c r="F20747" s="8">
        <v>2385</v>
      </c>
    </row>
    <row r="20748" spans="1:6" ht="12.75">
      <c r="A20748" s="8">
        <v>43894.964259259257</v>
      </c>
      <c r="B20748" s="8" t="str">
        <f>HYPERLINK("https://twitter.com/LaingenLisa","@LaingenLisa")</f>
        <v>@LaingenLisa</v>
      </c>
      <c r="C20748" s="8" t="s">
        <v>7473</v>
      </c>
      <c r="D20748" s="8">
        <v>127</v>
      </c>
      <c r="E20748" s="8">
        <v>0</v>
      </c>
      <c r="F20748" s="8">
        <v>3575</v>
      </c>
    </row>
    <row r="20749" spans="1:6" ht="12.75">
      <c r="A20749" s="8">
        <v>43894.964131944449</v>
      </c>
      <c r="B20749" s="8" t="str">
        <f>HYPERLINK("https://twitter.com/xhygrksx","@xhygrksx")</f>
        <v>@xhygrksx</v>
      </c>
      <c r="C20749" s="8" t="s">
        <v>7473</v>
      </c>
      <c r="D20749" s="8">
        <v>127</v>
      </c>
      <c r="E20749" s="8">
        <v>0</v>
      </c>
      <c r="F20749" s="8">
        <v>200</v>
      </c>
    </row>
    <row r="20750" spans="1:6" ht="12.75">
      <c r="A20750" s="8">
        <v>43894.964120370365</v>
      </c>
      <c r="B20750" s="8" t="str">
        <f>HYPERLINK("https://twitter.com/__SisiLusipara","@__SisiLusipara")</f>
        <v>@__SisiLusipara</v>
      </c>
      <c r="C20750" s="8" t="s">
        <v>7715</v>
      </c>
      <c r="D20750" s="8">
        <v>35</v>
      </c>
      <c r="E20750" s="8">
        <v>0</v>
      </c>
      <c r="F20750" s="8">
        <v>4508</v>
      </c>
    </row>
    <row r="20751" spans="1:6" ht="12.75">
      <c r="A20751" s="8">
        <v>43894.964074074072</v>
      </c>
      <c r="B20751" s="8" t="str">
        <f>HYPERLINK("https://twitter.com/adnugrh","@adnugrh")</f>
        <v>@adnugrh</v>
      </c>
      <c r="C20751" s="8" t="s">
        <v>7473</v>
      </c>
      <c r="D20751" s="8">
        <v>127</v>
      </c>
      <c r="E20751" s="8">
        <v>0</v>
      </c>
      <c r="F20751" s="8">
        <v>192</v>
      </c>
    </row>
    <row r="20752" spans="1:6" ht="12.75">
      <c r="A20752" s="8">
        <v>43894.963449074072</v>
      </c>
      <c r="B20752" s="8" t="str">
        <f>HYPERLINK("https://twitter.com/iyat_jabbari","@iyat_jabbari")</f>
        <v>@iyat_jabbari</v>
      </c>
      <c r="C20752" s="8" t="s">
        <v>2979</v>
      </c>
      <c r="D20752" s="8">
        <v>90</v>
      </c>
      <c r="E20752" s="8">
        <v>0</v>
      </c>
      <c r="F20752" s="8">
        <v>116</v>
      </c>
    </row>
    <row r="20753" spans="1:6" ht="12.75">
      <c r="A20753" s="8">
        <v>43894.963321759264</v>
      </c>
      <c r="B20753" s="8" t="str">
        <f>HYPERLINK("https://twitter.com/Kadalgurun1990","@Kadalgurun1990")</f>
        <v>@Kadalgurun1990</v>
      </c>
      <c r="C20753" s="8" t="s">
        <v>7969</v>
      </c>
      <c r="D20753" s="8">
        <v>48</v>
      </c>
      <c r="E20753" s="8">
        <v>0</v>
      </c>
      <c r="F20753" s="8">
        <v>477</v>
      </c>
    </row>
    <row r="20754" spans="1:6" ht="12.75">
      <c r="A20754" s="8">
        <v>43894.963263888887</v>
      </c>
      <c r="B20754" s="8" t="str">
        <f>HYPERLINK("https://twitter.com/syahrulardii_","@syahrulardii_")</f>
        <v>@syahrulardii_</v>
      </c>
      <c r="C20754" s="8" t="s">
        <v>8445</v>
      </c>
      <c r="D20754" s="8">
        <v>50</v>
      </c>
      <c r="E20754" s="8">
        <v>0</v>
      </c>
      <c r="F20754" s="8">
        <v>220</v>
      </c>
    </row>
    <row r="20755" spans="1:6" ht="12.75">
      <c r="A20755" s="8">
        <v>43894.963043981479</v>
      </c>
      <c r="B20755" s="8" t="str">
        <f>HYPERLINK("https://twitter.com/lycalya","@lycalya")</f>
        <v>@lycalya</v>
      </c>
      <c r="C20755" s="8" t="s">
        <v>2199</v>
      </c>
      <c r="D20755" s="8">
        <v>9089</v>
      </c>
      <c r="E20755" s="8">
        <v>0</v>
      </c>
      <c r="F20755" s="8">
        <v>6182</v>
      </c>
    </row>
    <row r="20756" spans="1:6" ht="12.75">
      <c r="A20756" s="8">
        <v>43894.962905092594</v>
      </c>
      <c r="B20756" s="8" t="str">
        <f>HYPERLINK("https://twitter.com/topinfo_id","@topinfo_id")</f>
        <v>@topinfo_id</v>
      </c>
      <c r="C20756" s="8" t="s">
        <v>8500</v>
      </c>
      <c r="D20756" s="8">
        <v>0</v>
      </c>
      <c r="E20756" s="8">
        <v>0</v>
      </c>
      <c r="F20756" s="8">
        <v>41</v>
      </c>
    </row>
    <row r="20757" spans="1:6" ht="12.75">
      <c r="A20757" s="8">
        <v>43894.962789351848</v>
      </c>
      <c r="B20757" s="8" t="str">
        <f>HYPERLINK("https://twitter.com/arifbudz","@arifbudz")</f>
        <v>@arifbudz</v>
      </c>
      <c r="C20757" s="8" t="s">
        <v>8501</v>
      </c>
      <c r="D20757" s="8">
        <v>0</v>
      </c>
      <c r="E20757" s="8">
        <v>0</v>
      </c>
      <c r="F20757" s="8">
        <v>866</v>
      </c>
    </row>
    <row r="20758" spans="1:6" ht="12.75">
      <c r="A20758" s="8">
        <v>43894.962673611109</v>
      </c>
      <c r="B20758" s="8" t="str">
        <f>HYPERLINK("https://twitter.com/kbritunis","@kbritunis")</f>
        <v>@kbritunis</v>
      </c>
      <c r="C20758" s="8" t="s">
        <v>8502</v>
      </c>
      <c r="D20758" s="8">
        <v>0</v>
      </c>
      <c r="E20758" s="8">
        <v>0</v>
      </c>
      <c r="F20758" s="8">
        <v>1242</v>
      </c>
    </row>
    <row r="20759" spans="1:6" ht="12.75">
      <c r="A20759" s="8">
        <v>43894.962511574078</v>
      </c>
      <c r="B20759" s="8" t="str">
        <f>HYPERLINK("https://twitter.com/SaveMoslem1","@SaveMoslem1")</f>
        <v>@SaveMoslem1</v>
      </c>
      <c r="C20759" s="8" t="s">
        <v>8503</v>
      </c>
      <c r="D20759" s="8">
        <v>0</v>
      </c>
      <c r="E20759" s="8">
        <v>2</v>
      </c>
      <c r="F20759" s="8">
        <v>30361</v>
      </c>
    </row>
    <row r="20760" spans="1:6" ht="12.75">
      <c r="A20760" s="8">
        <v>43894.961851851855</v>
      </c>
      <c r="B20760" s="8" t="str">
        <f>HYPERLINK("https://twitter.com/endoe21","@endoe21")</f>
        <v>@endoe21</v>
      </c>
      <c r="C20760" s="8" t="s">
        <v>8504</v>
      </c>
      <c r="D20760" s="8">
        <v>0</v>
      </c>
      <c r="E20760" s="8">
        <v>0</v>
      </c>
      <c r="F20760" s="8">
        <v>2040</v>
      </c>
    </row>
    <row r="20761" spans="1:6" ht="12.75">
      <c r="A20761" s="8">
        <v>43894.961793981478</v>
      </c>
      <c r="B20761" s="8" t="str">
        <f>HYPERLINK("https://twitter.com/UtomoFreddy","@UtomoFreddy")</f>
        <v>@UtomoFreddy</v>
      </c>
      <c r="C20761" s="8" t="s">
        <v>7473</v>
      </c>
      <c r="D20761" s="8">
        <v>127</v>
      </c>
      <c r="E20761" s="8">
        <v>0</v>
      </c>
      <c r="F20761" s="8">
        <v>109</v>
      </c>
    </row>
    <row r="20762" spans="1:6" ht="12.75">
      <c r="A20762" s="8">
        <v>43894.961747685185</v>
      </c>
      <c r="B20762" s="8" t="str">
        <f>HYPERLINK("https://twitter.com/SutrisnoPradja","@SutrisnoPradja")</f>
        <v>@SutrisnoPradja</v>
      </c>
      <c r="C20762" s="8" t="s">
        <v>8505</v>
      </c>
      <c r="D20762" s="8">
        <v>0</v>
      </c>
      <c r="E20762" s="8">
        <v>0</v>
      </c>
      <c r="F20762" s="8">
        <v>304</v>
      </c>
    </row>
    <row r="20763" spans="1:6" ht="12.75">
      <c r="A20763" s="8">
        <v>43894.961655092593</v>
      </c>
      <c r="B20763" s="8" t="str">
        <f>HYPERLINK("https://twitter.com/topinfo_id","@topinfo_id")</f>
        <v>@topinfo_id</v>
      </c>
      <c r="C20763" s="8" t="s">
        <v>8500</v>
      </c>
      <c r="D20763" s="8">
        <v>0</v>
      </c>
      <c r="E20763" s="8">
        <v>0</v>
      </c>
      <c r="F20763" s="8">
        <v>41</v>
      </c>
    </row>
    <row r="20764" spans="1:6" ht="12.75">
      <c r="A20764" s="8">
        <v>43894.96157407407</v>
      </c>
      <c r="B20764" s="8" t="str">
        <f>HYPERLINK("https://twitter.com/mid_queen","@mid_queen")</f>
        <v>@mid_queen</v>
      </c>
      <c r="C20764" s="8" t="s">
        <v>1970</v>
      </c>
      <c r="D20764" s="8">
        <v>1345</v>
      </c>
      <c r="E20764" s="8">
        <v>0</v>
      </c>
      <c r="F20764" s="8">
        <v>25</v>
      </c>
    </row>
    <row r="20765" spans="1:6" ht="12.75">
      <c r="A20765" s="8">
        <v>43894.961458333331</v>
      </c>
      <c r="B20765" s="8" t="str">
        <f>HYPERLINK("https://twitter.com/tebumutiara72","@tebumutiara72")</f>
        <v>@tebumutiara72</v>
      </c>
      <c r="C20765" s="8" t="s">
        <v>8212</v>
      </c>
      <c r="D20765" s="8">
        <v>159</v>
      </c>
      <c r="E20765" s="8">
        <v>0</v>
      </c>
      <c r="F20765" s="8">
        <v>840</v>
      </c>
    </row>
    <row r="20766" spans="1:6" ht="12.75">
      <c r="A20766" s="8">
        <v>43894.961435185185</v>
      </c>
      <c r="B20766" s="8" t="str">
        <f>HYPERLINK("https://twitter.com/bekchoy","@bekchoy")</f>
        <v>@bekchoy</v>
      </c>
      <c r="C20766" s="8" t="s">
        <v>7473</v>
      </c>
      <c r="D20766" s="8">
        <v>127</v>
      </c>
      <c r="E20766" s="8">
        <v>0</v>
      </c>
      <c r="F20766" s="8">
        <v>143</v>
      </c>
    </row>
    <row r="20767" spans="1:6" ht="12.75">
      <c r="A20767" s="8">
        <v>43894.961342592593</v>
      </c>
      <c r="B20767" s="8" t="str">
        <f t="shared" ref="B20767:B20768" si="308">HYPERLINK("https://twitter.com/ParmonanganRaja","@ParmonanganRaja")</f>
        <v>@ParmonanganRaja</v>
      </c>
      <c r="C20767" s="8" t="s">
        <v>7307</v>
      </c>
      <c r="D20767" s="8">
        <v>1</v>
      </c>
      <c r="E20767" s="8">
        <v>0</v>
      </c>
      <c r="F20767" s="8">
        <v>194</v>
      </c>
    </row>
    <row r="20768" spans="1:6" ht="12.75">
      <c r="A20768" s="8">
        <v>43894.961122685185</v>
      </c>
      <c r="B20768" s="8" t="str">
        <f t="shared" si="308"/>
        <v>@ParmonanganRaja</v>
      </c>
      <c r="C20768" s="8" t="s">
        <v>8506</v>
      </c>
      <c r="D20768" s="8">
        <v>11</v>
      </c>
      <c r="E20768" s="8">
        <v>0</v>
      </c>
      <c r="F20768" s="8">
        <v>194</v>
      </c>
    </row>
    <row r="20769" spans="1:6" ht="12.75">
      <c r="A20769" s="8">
        <v>43894.960601851853</v>
      </c>
      <c r="B20769" s="8" t="str">
        <f>HYPERLINK("https://twitter.com/cxolls_aljawi","@cxolls_aljawi")</f>
        <v>@cxolls_aljawi</v>
      </c>
      <c r="C20769" s="8" t="s">
        <v>7516</v>
      </c>
      <c r="D20769" s="8">
        <v>50</v>
      </c>
      <c r="E20769" s="8">
        <v>0</v>
      </c>
      <c r="F20769" s="8">
        <v>2282</v>
      </c>
    </row>
    <row r="20770" spans="1:6" ht="12.75">
      <c r="A20770" s="8">
        <v>43894.960462962961</v>
      </c>
      <c r="B20770" s="8" t="str">
        <f>HYPERLINK("https://twitter.com/adity019","@adity019")</f>
        <v>@adity019</v>
      </c>
      <c r="C20770" s="8" t="s">
        <v>8507</v>
      </c>
      <c r="D20770" s="8">
        <v>0</v>
      </c>
      <c r="E20770" s="8">
        <v>0</v>
      </c>
      <c r="F20770" s="8">
        <v>22</v>
      </c>
    </row>
    <row r="20771" spans="1:6" ht="12.75">
      <c r="A20771" s="8">
        <v>43894.960046296299</v>
      </c>
      <c r="B20771" s="8" t="str">
        <f>HYPERLINK("https://twitter.com/Danimas19","@Danimas19")</f>
        <v>@Danimas19</v>
      </c>
      <c r="C20771" s="8" t="s">
        <v>6710</v>
      </c>
      <c r="D20771" s="8">
        <v>414</v>
      </c>
      <c r="E20771" s="8">
        <v>0</v>
      </c>
      <c r="F20771" s="8">
        <v>82</v>
      </c>
    </row>
    <row r="20772" spans="1:6" ht="12.75">
      <c r="A20772" s="8">
        <v>43894.959733796291</v>
      </c>
      <c r="B20772" s="8" t="str">
        <f>HYPERLINK("https://twitter.com/AndreantoHendra","@AndreantoHendra")</f>
        <v>@AndreantoHendra</v>
      </c>
      <c r="C20772" s="8" t="s">
        <v>8508</v>
      </c>
      <c r="D20772" s="8">
        <v>4</v>
      </c>
      <c r="E20772" s="8">
        <v>0</v>
      </c>
      <c r="F20772" s="8">
        <v>1355</v>
      </c>
    </row>
    <row r="20773" spans="1:6" ht="12.75">
      <c r="A20773" s="8">
        <v>43894.959108796298</v>
      </c>
      <c r="B20773" s="8" t="str">
        <f>HYPERLINK("https://twitter.com/TyaraLuvi","@TyaraLuvi")</f>
        <v>@TyaraLuvi</v>
      </c>
      <c r="C20773" s="8" t="s">
        <v>7987</v>
      </c>
      <c r="D20773" s="8">
        <v>21</v>
      </c>
      <c r="E20773" s="8">
        <v>0</v>
      </c>
      <c r="F20773" s="8">
        <v>784</v>
      </c>
    </row>
    <row r="20774" spans="1:6" ht="12.75">
      <c r="A20774" s="8">
        <v>43894.959108796298</v>
      </c>
      <c r="B20774" s="8" t="str">
        <f>HYPERLINK("https://twitter.com/MollyHS","@MollyHS")</f>
        <v>@MollyHS</v>
      </c>
      <c r="C20774" s="8" t="s">
        <v>3042</v>
      </c>
      <c r="D20774" s="8">
        <v>29</v>
      </c>
      <c r="E20774" s="8">
        <v>0</v>
      </c>
      <c r="F20774" s="8">
        <v>261</v>
      </c>
    </row>
    <row r="20775" spans="1:6" ht="12.75">
      <c r="A20775" s="8">
        <v>43894.959050925929</v>
      </c>
      <c r="B20775" s="8" t="str">
        <f>HYPERLINK("https://twitter.com/1979_khairul","@1979_khairul")</f>
        <v>@1979_khairul</v>
      </c>
      <c r="C20775" s="8" t="s">
        <v>7987</v>
      </c>
      <c r="D20775" s="8">
        <v>21</v>
      </c>
      <c r="E20775" s="8">
        <v>0</v>
      </c>
      <c r="F20775" s="8">
        <v>3368</v>
      </c>
    </row>
    <row r="20776" spans="1:6" ht="12.75">
      <c r="A20776" s="8">
        <v>43894.959004629629</v>
      </c>
      <c r="B20776" s="8" t="str">
        <f>HYPERLINK("https://twitter.com/ama_sia","@ama_sia")</f>
        <v>@ama_sia</v>
      </c>
      <c r="C20776" s="8" t="s">
        <v>8509</v>
      </c>
      <c r="D20776" s="8">
        <v>0</v>
      </c>
      <c r="E20776" s="8">
        <v>0</v>
      </c>
      <c r="F20776" s="8">
        <v>2514</v>
      </c>
    </row>
    <row r="20777" spans="1:6" ht="12.75">
      <c r="A20777" s="8">
        <v>43894.95894675926</v>
      </c>
      <c r="B20777" s="8" t="str">
        <f>HYPERLINK("https://twitter.com/Manusiav7","@Manusiav7")</f>
        <v>@Manusiav7</v>
      </c>
      <c r="C20777" s="8" t="s">
        <v>1318</v>
      </c>
      <c r="D20777" s="8">
        <v>23236</v>
      </c>
      <c r="E20777" s="8">
        <v>0</v>
      </c>
      <c r="F20777" s="8">
        <v>2</v>
      </c>
    </row>
    <row r="20778" spans="1:6" ht="12.75">
      <c r="A20778" s="8">
        <v>43894.95815972222</v>
      </c>
      <c r="B20778" s="8" t="str">
        <f>HYPERLINK("https://twitter.com/hony_anggara","@hony_anggara")</f>
        <v>@hony_anggara</v>
      </c>
      <c r="C20778" s="8" t="s">
        <v>8078</v>
      </c>
      <c r="D20778" s="8">
        <v>45</v>
      </c>
      <c r="E20778" s="8">
        <v>0</v>
      </c>
      <c r="F20778" s="8">
        <v>571</v>
      </c>
    </row>
    <row r="20779" spans="1:6" ht="12.75">
      <c r="A20779" s="8">
        <v>43894.958067129628</v>
      </c>
      <c r="B20779" s="8" t="str">
        <f>HYPERLINK("https://twitter.com/Vers_chub","@Vers_chub")</f>
        <v>@Vers_chub</v>
      </c>
      <c r="C20779" s="8" t="s">
        <v>7473</v>
      </c>
      <c r="D20779" s="8">
        <v>127</v>
      </c>
      <c r="E20779" s="8">
        <v>0</v>
      </c>
      <c r="F20779" s="8">
        <v>537</v>
      </c>
    </row>
    <row r="20780" spans="1:6" ht="12.75">
      <c r="A20780" s="8">
        <v>43894.958055555559</v>
      </c>
      <c r="B20780" s="8" t="str">
        <f>HYPERLINK("https://twitter.com/aryfaryf","@aryfaryf")</f>
        <v>@aryfaryf</v>
      </c>
      <c r="C20780" s="8" t="s">
        <v>8510</v>
      </c>
      <c r="D20780" s="8">
        <v>0</v>
      </c>
      <c r="E20780" s="8">
        <v>0</v>
      </c>
      <c r="F20780" s="8">
        <v>1143</v>
      </c>
    </row>
    <row r="20781" spans="1:6" ht="12.75">
      <c r="A20781" s="8">
        <v>43894.957245370373</v>
      </c>
      <c r="B20781" s="8" t="str">
        <f>HYPERLINK("https://twitter.com/garrettpopkorn","@garrettpopkorn")</f>
        <v>@garrettpopkorn</v>
      </c>
      <c r="C20781" s="8" t="s">
        <v>8511</v>
      </c>
      <c r="D20781" s="8">
        <v>1</v>
      </c>
      <c r="E20781" s="8">
        <v>0</v>
      </c>
      <c r="F20781" s="8">
        <v>4465</v>
      </c>
    </row>
    <row r="20782" spans="1:6" ht="12.75">
      <c r="A20782" s="8">
        <v>43894.956747685181</v>
      </c>
      <c r="B20782" s="8" t="str">
        <f>HYPERLINK("https://twitter.com/Oodhi_tah","@Oodhi_tah")</f>
        <v>@Oodhi_tah</v>
      </c>
      <c r="C20782" s="8" t="s">
        <v>7862</v>
      </c>
      <c r="D20782" s="8">
        <v>10</v>
      </c>
      <c r="E20782" s="8">
        <v>0</v>
      </c>
      <c r="F20782" s="8">
        <v>308</v>
      </c>
    </row>
    <row r="20783" spans="1:6" ht="12.75">
      <c r="A20783" s="8">
        <v>43894.956666666665</v>
      </c>
      <c r="B20783" s="8" t="str">
        <f>HYPERLINK("https://twitter.com/MasTrimo9","@MasTrimo9")</f>
        <v>@MasTrimo9</v>
      </c>
      <c r="C20783" s="8" t="s">
        <v>8512</v>
      </c>
      <c r="D20783" s="8">
        <v>9</v>
      </c>
      <c r="E20783" s="8">
        <v>0</v>
      </c>
      <c r="F20783" s="8">
        <v>322</v>
      </c>
    </row>
    <row r="20784" spans="1:6" ht="12.75">
      <c r="A20784" s="8">
        <v>43894.956493055557</v>
      </c>
      <c r="B20784" s="8" t="str">
        <f>HYPERLINK("https://twitter.com/udingabut535","@udingabut535")</f>
        <v>@udingabut535</v>
      </c>
      <c r="C20784" s="8" t="s">
        <v>8513</v>
      </c>
      <c r="D20784" s="8">
        <v>0</v>
      </c>
      <c r="E20784" s="8">
        <v>0</v>
      </c>
      <c r="F20784" s="8">
        <v>396</v>
      </c>
    </row>
    <row r="20785" spans="1:6" ht="12.75">
      <c r="A20785" s="8">
        <v>43894.956284722226</v>
      </c>
      <c r="B20785" s="8" t="str">
        <f>HYPERLINK("https://twitter.com/RickyVSim","@RickyVSim")</f>
        <v>@RickyVSim</v>
      </c>
      <c r="C20785" s="8" t="s">
        <v>7473</v>
      </c>
      <c r="D20785" s="8">
        <v>127</v>
      </c>
      <c r="E20785" s="8">
        <v>0</v>
      </c>
      <c r="F20785" s="8">
        <v>548</v>
      </c>
    </row>
    <row r="20786" spans="1:6" ht="12.75">
      <c r="A20786" s="8">
        <v>43894.956284722226</v>
      </c>
      <c r="B20786" s="8" t="str">
        <f>HYPERLINK("https://twitter.com/BilalPANSEL","@BilalPANSEL")</f>
        <v>@BilalPANSEL</v>
      </c>
      <c r="C20786" s="8" t="s">
        <v>8078</v>
      </c>
      <c r="D20786" s="8">
        <v>45</v>
      </c>
      <c r="E20786" s="8">
        <v>0</v>
      </c>
      <c r="F20786" s="8">
        <v>578</v>
      </c>
    </row>
    <row r="20787" spans="1:6" ht="12.75">
      <c r="A20787" s="8">
        <v>43894.956076388888</v>
      </c>
      <c r="B20787" s="8" t="str">
        <f>HYPERLINK("https://twitter.com/rejal_farhan02","@rejal_farhan02")</f>
        <v>@rejal_farhan02</v>
      </c>
      <c r="C20787" s="8" t="s">
        <v>2979</v>
      </c>
      <c r="D20787" s="8">
        <v>90</v>
      </c>
      <c r="E20787" s="8">
        <v>0</v>
      </c>
      <c r="F20787" s="8">
        <v>658</v>
      </c>
    </row>
    <row r="20788" spans="1:6" ht="12.75">
      <c r="A20788" s="8">
        <v>43894.955740740741</v>
      </c>
      <c r="B20788" s="8" t="str">
        <f>HYPERLINK("https://twitter.com/kitsiangfreddy","@kitsiangfreddy")</f>
        <v>@kitsiangfreddy</v>
      </c>
      <c r="C20788" s="8" t="s">
        <v>7987</v>
      </c>
      <c r="D20788" s="8">
        <v>21</v>
      </c>
      <c r="E20788" s="8">
        <v>0</v>
      </c>
      <c r="F20788" s="8">
        <v>2054</v>
      </c>
    </row>
    <row r="20789" spans="1:6" ht="12.75">
      <c r="A20789" s="8">
        <v>43894.955543981487</v>
      </c>
      <c r="B20789" s="8" t="str">
        <f>HYPERLINK("https://twitter.com/_sbrS_","@_sbrS_")</f>
        <v>@_sbrS_</v>
      </c>
      <c r="C20789" s="8" t="s">
        <v>7473</v>
      </c>
      <c r="D20789" s="8">
        <v>127</v>
      </c>
      <c r="E20789" s="8">
        <v>0</v>
      </c>
      <c r="F20789" s="8">
        <v>201</v>
      </c>
    </row>
    <row r="20790" spans="1:6" ht="12.75">
      <c r="A20790" s="8">
        <v>43894.955324074079</v>
      </c>
      <c r="B20790" s="8" t="str">
        <f>HYPERLINK("https://twitter.com/mamaian9353","@mamaian9353")</f>
        <v>@mamaian9353</v>
      </c>
      <c r="C20790" s="8" t="s">
        <v>2979</v>
      </c>
      <c r="D20790" s="8">
        <v>90</v>
      </c>
      <c r="E20790" s="8">
        <v>0</v>
      </c>
      <c r="F20790" s="8">
        <v>125</v>
      </c>
    </row>
    <row r="20791" spans="1:6" ht="12.75">
      <c r="A20791" s="8">
        <v>43894.955324074079</v>
      </c>
      <c r="B20791" s="8" t="str">
        <f>HYPERLINK("https://twitter.com/Pakdhe_Didi","@Pakdhe_Didi")</f>
        <v>@Pakdhe_Didi</v>
      </c>
      <c r="C20791" s="8" t="s">
        <v>7473</v>
      </c>
      <c r="D20791" s="8">
        <v>127</v>
      </c>
      <c r="E20791" s="8">
        <v>0</v>
      </c>
      <c r="F20791" s="8">
        <v>199</v>
      </c>
    </row>
    <row r="20792" spans="1:6" ht="12.75">
      <c r="A20792" s="8">
        <v>43894.95475694444</v>
      </c>
      <c r="B20792" s="8" t="str">
        <f>HYPERLINK("https://twitter.com/FitYen","@FitYen")</f>
        <v>@FitYen</v>
      </c>
      <c r="C20792" s="8" t="s">
        <v>8514</v>
      </c>
      <c r="D20792" s="8">
        <v>1</v>
      </c>
      <c r="E20792" s="8">
        <v>0</v>
      </c>
      <c r="F20792" s="8">
        <v>850</v>
      </c>
    </row>
    <row r="20793" spans="1:6" ht="12.75">
      <c r="A20793" s="8">
        <v>43894.954571759255</v>
      </c>
      <c r="B20793" s="8" t="str">
        <f>HYPERLINK("https://twitter.com/KaswariBayu","@KaswariBayu")</f>
        <v>@KaswariBayu</v>
      </c>
      <c r="C20793" s="8" t="s">
        <v>8024</v>
      </c>
      <c r="D20793" s="8">
        <v>7</v>
      </c>
      <c r="E20793" s="8">
        <v>0</v>
      </c>
      <c r="F20793" s="8">
        <v>131</v>
      </c>
    </row>
    <row r="20794" spans="1:6" ht="12.75">
      <c r="A20794" s="8">
        <v>43894.953506944439</v>
      </c>
      <c r="B20794" s="8" t="str">
        <f>HYPERLINK("https://twitter.com/TasunPawanto507","@TasunPawanto507")</f>
        <v>@TasunPawanto507</v>
      </c>
      <c r="C20794" s="8" t="s">
        <v>7987</v>
      </c>
      <c r="D20794" s="8">
        <v>21</v>
      </c>
      <c r="E20794" s="8">
        <v>0</v>
      </c>
      <c r="F20794" s="8">
        <v>1642</v>
      </c>
    </row>
    <row r="20795" spans="1:6" ht="12.75">
      <c r="A20795" s="8">
        <v>43894.9534837963</v>
      </c>
      <c r="B20795" s="8" t="str">
        <f>HYPERLINK("https://twitter.com/SPall4JC","@SPall4JC")</f>
        <v>@SPall4JC</v>
      </c>
      <c r="C20795" s="8" t="s">
        <v>7987</v>
      </c>
      <c r="D20795" s="8">
        <v>21</v>
      </c>
      <c r="E20795" s="8">
        <v>0</v>
      </c>
      <c r="F20795" s="8">
        <v>1651</v>
      </c>
    </row>
    <row r="20796" spans="1:6" ht="12.75">
      <c r="A20796" s="8">
        <v>43894.953043981484</v>
      </c>
      <c r="B20796" s="8" t="str">
        <f>HYPERLINK("https://twitter.com/YohanesPatty2","@YohanesPatty2")</f>
        <v>@YohanesPatty2</v>
      </c>
      <c r="C20796" s="8" t="s">
        <v>7987</v>
      </c>
      <c r="D20796" s="8">
        <v>21</v>
      </c>
      <c r="E20796" s="8">
        <v>0</v>
      </c>
      <c r="F20796" s="8">
        <v>5736</v>
      </c>
    </row>
    <row r="20797" spans="1:6" ht="12.75">
      <c r="A20797" s="8">
        <v>43894.952592592592</v>
      </c>
      <c r="B20797" s="8" t="str">
        <f>HYPERLINK("https://twitter.com/dumplingoreng","@dumplingoreng")</f>
        <v>@dumplingoreng</v>
      </c>
      <c r="C20797" s="8" t="s">
        <v>2962</v>
      </c>
      <c r="D20797" s="8">
        <v>5662</v>
      </c>
      <c r="E20797" s="8">
        <v>0</v>
      </c>
      <c r="F20797" s="8">
        <v>32</v>
      </c>
    </row>
    <row r="20798" spans="1:6" ht="12.75">
      <c r="A20798" s="8">
        <v>43894.95248842593</v>
      </c>
      <c r="B20798" s="8" t="str">
        <f>HYPERLINK("https://twitter.com/adida_86","@adida_86")</f>
        <v>@adida_86</v>
      </c>
      <c r="C20798" s="8" t="s">
        <v>8515</v>
      </c>
      <c r="D20798" s="8">
        <v>179</v>
      </c>
      <c r="E20798" s="8">
        <v>0</v>
      </c>
      <c r="F20798" s="8">
        <v>1360</v>
      </c>
    </row>
    <row r="20799" spans="1:6" ht="12.75">
      <c r="A20799" s="8">
        <v>43894.952430555553</v>
      </c>
      <c r="B20799" s="8" t="str">
        <f>HYPERLINK("https://twitter.com/WiroPengamat2","@WiroPengamat2")</f>
        <v>@WiroPengamat2</v>
      </c>
      <c r="C20799" s="8" t="s">
        <v>1970</v>
      </c>
      <c r="D20799" s="8">
        <v>1345</v>
      </c>
      <c r="E20799" s="8">
        <v>0</v>
      </c>
      <c r="F20799" s="8">
        <v>17</v>
      </c>
    </row>
    <row r="20800" spans="1:6" ht="12.75">
      <c r="A20800" s="8">
        <v>43894.952303240745</v>
      </c>
      <c r="B20800" s="8" t="str">
        <f>HYPERLINK("https://twitter.com/really_groot","@really_groot")</f>
        <v>@really_groot</v>
      </c>
      <c r="C20800" s="8" t="s">
        <v>8516</v>
      </c>
      <c r="D20800" s="8">
        <v>0</v>
      </c>
      <c r="E20800" s="8">
        <v>1</v>
      </c>
      <c r="F20800" s="8">
        <v>114</v>
      </c>
    </row>
    <row r="20801" spans="1:6" ht="12.75">
      <c r="A20801" s="8">
        <v>43894.952256944445</v>
      </c>
      <c r="B20801" s="8" t="str">
        <f>HYPERLINK("https://twitter.com/piabainetoraya","@piabainetoraya")</f>
        <v>@piabainetoraya</v>
      </c>
      <c r="C20801" s="8" t="s">
        <v>8517</v>
      </c>
      <c r="D20801" s="8">
        <v>0</v>
      </c>
      <c r="E20801" s="8">
        <v>0</v>
      </c>
      <c r="F20801" s="8">
        <v>1468</v>
      </c>
    </row>
    <row r="20802" spans="1:6" ht="12.75">
      <c r="A20802" s="8">
        <v>43894.952152777776</v>
      </c>
      <c r="B20802" s="8" t="str">
        <f>HYPERLINK("https://twitter.com/Mohamad50983447","@Mohamad50983447")</f>
        <v>@Mohamad50983447</v>
      </c>
      <c r="C20802" s="8" t="s">
        <v>7473</v>
      </c>
      <c r="D20802" s="8">
        <v>127</v>
      </c>
      <c r="E20802" s="8">
        <v>0</v>
      </c>
      <c r="F20802" s="8">
        <v>121</v>
      </c>
    </row>
    <row r="20803" spans="1:6" ht="12.75">
      <c r="A20803" s="8">
        <v>43894.95149305556</v>
      </c>
      <c r="B20803" s="8" t="str">
        <f>HYPERLINK("https://twitter.com/SahlanAmin4","@SahlanAmin4")</f>
        <v>@SahlanAmin4</v>
      </c>
      <c r="C20803" s="8" t="s">
        <v>7244</v>
      </c>
      <c r="D20803" s="8">
        <v>30</v>
      </c>
      <c r="E20803" s="8">
        <v>0</v>
      </c>
      <c r="F20803" s="8">
        <v>775</v>
      </c>
    </row>
    <row r="20804" spans="1:6" ht="12.75">
      <c r="A20804" s="8">
        <v>43894.951423611114</v>
      </c>
      <c r="B20804" s="8" t="str">
        <f>HYPERLINK("https://twitter.com/antaranews","@antaranews")</f>
        <v>@antaranews</v>
      </c>
      <c r="C20804" s="8" t="s">
        <v>8518</v>
      </c>
      <c r="D20804" s="8">
        <v>1</v>
      </c>
      <c r="E20804" s="8">
        <v>2</v>
      </c>
      <c r="F20804" s="8">
        <v>1106520</v>
      </c>
    </row>
    <row r="20805" spans="1:6" ht="12.75">
      <c r="A20805" s="8">
        <v>43894.951412037037</v>
      </c>
      <c r="B20805" s="8" t="str">
        <f>HYPERLINK("https://twitter.com/eben_heizer","@eben_heizer")</f>
        <v>@eben_heizer</v>
      </c>
      <c r="C20805" s="8" t="s">
        <v>6710</v>
      </c>
      <c r="D20805" s="8">
        <v>414</v>
      </c>
      <c r="E20805" s="8">
        <v>0</v>
      </c>
      <c r="F20805" s="8">
        <v>1622</v>
      </c>
    </row>
    <row r="20806" spans="1:6" ht="12.75">
      <c r="A20806" s="8">
        <v>43894.951249999998</v>
      </c>
      <c r="B20806" s="8" t="str">
        <f>HYPERLINK("https://twitter.com/namaku_ella","@namaku_ella")</f>
        <v>@namaku_ella</v>
      </c>
      <c r="C20806" s="8" t="s">
        <v>8519</v>
      </c>
      <c r="D20806" s="8">
        <v>0</v>
      </c>
      <c r="E20806" s="8">
        <v>0</v>
      </c>
      <c r="F20806" s="8">
        <v>198</v>
      </c>
    </row>
    <row r="20807" spans="1:6" ht="12.75">
      <c r="A20807" s="8">
        <v>43894.951249999998</v>
      </c>
      <c r="B20807" s="8" t="str">
        <f>HYPERLINK("https://twitter.com/sigitbudic","@sigitbudic")</f>
        <v>@sigitbudic</v>
      </c>
      <c r="C20807" s="8" t="s">
        <v>2979</v>
      </c>
      <c r="D20807" s="8">
        <v>90</v>
      </c>
      <c r="E20807" s="8">
        <v>0</v>
      </c>
      <c r="F20807" s="8">
        <v>1151</v>
      </c>
    </row>
    <row r="20808" spans="1:6" ht="12.75">
      <c r="A20808" s="8">
        <v>43894.951203703706</v>
      </c>
      <c r="B20808" s="8" t="str">
        <f>HYPERLINK("https://twitter.com/Sargede_gold","@Sargede_gold")</f>
        <v>@Sargede_gold</v>
      </c>
      <c r="C20808" s="8" t="s">
        <v>7473</v>
      </c>
      <c r="D20808" s="8">
        <v>127</v>
      </c>
      <c r="E20808" s="8">
        <v>0</v>
      </c>
      <c r="F20808" s="8">
        <v>591</v>
      </c>
    </row>
    <row r="20809" spans="1:6" ht="12.75">
      <c r="A20809" s="8">
        <v>43894.950879629629</v>
      </c>
      <c r="B20809" s="8" t="str">
        <f>HYPERLINK("https://twitter.com/BudiEmEm","@BudiEmEm")</f>
        <v>@BudiEmEm</v>
      </c>
      <c r="C20809" s="8" t="s">
        <v>2979</v>
      </c>
      <c r="D20809" s="8">
        <v>90</v>
      </c>
      <c r="E20809" s="8">
        <v>0</v>
      </c>
      <c r="F20809" s="8">
        <v>1506</v>
      </c>
    </row>
    <row r="20810" spans="1:6" ht="12.75">
      <c r="A20810" s="8">
        <v>43894.950601851851</v>
      </c>
      <c r="B20810" s="8" t="str">
        <f>HYPERLINK("https://twitter.com/corona_karma","@corona_karma")</f>
        <v>@corona_karma</v>
      </c>
      <c r="C20810" s="8" t="s">
        <v>2979</v>
      </c>
      <c r="D20810" s="8">
        <v>90</v>
      </c>
      <c r="E20810" s="8">
        <v>0</v>
      </c>
      <c r="F20810" s="8">
        <v>724</v>
      </c>
    </row>
    <row r="20811" spans="1:6" ht="12.75">
      <c r="A20811" s="8">
        <v>43894.950520833328</v>
      </c>
      <c r="B20811" s="8" t="str">
        <f>HYPERLINK("https://twitter.com/ikobem77","@ikobem77")</f>
        <v>@ikobem77</v>
      </c>
      <c r="C20811" s="8" t="s">
        <v>8115</v>
      </c>
      <c r="D20811" s="8">
        <v>216</v>
      </c>
      <c r="E20811" s="8">
        <v>0</v>
      </c>
      <c r="F20811" s="8">
        <v>1767</v>
      </c>
    </row>
    <row r="20812" spans="1:6" ht="12.75">
      <c r="A20812" s="8">
        <v>43894.950520833328</v>
      </c>
      <c r="B20812" s="8" t="str">
        <f>HYPERLINK("https://twitter.com/estijiii","@estijiii")</f>
        <v>@estijiii</v>
      </c>
      <c r="C20812" s="8" t="s">
        <v>8024</v>
      </c>
      <c r="D20812" s="8">
        <v>7</v>
      </c>
      <c r="E20812" s="8">
        <v>0</v>
      </c>
      <c r="F20812" s="8">
        <v>153</v>
      </c>
    </row>
    <row r="20813" spans="1:6" ht="12.75">
      <c r="A20813" s="8">
        <v>43894.949456018519</v>
      </c>
      <c r="B20813" s="8" t="str">
        <f>HYPERLINK("https://twitter.com/uglykidd0s","@uglykidd0s")</f>
        <v>@uglykidd0s</v>
      </c>
      <c r="C20813" s="8" t="s">
        <v>2962</v>
      </c>
      <c r="D20813" s="8">
        <v>5662</v>
      </c>
      <c r="E20813" s="8">
        <v>0</v>
      </c>
      <c r="F20813" s="8">
        <v>32</v>
      </c>
    </row>
    <row r="20814" spans="1:6" ht="12.75">
      <c r="A20814" s="8">
        <v>43894.94935185185</v>
      </c>
      <c r="B20814" s="8" t="str">
        <f>HYPERLINK("https://twitter.com/DrlRambe","@DrlRambe")</f>
        <v>@DrlRambe</v>
      </c>
      <c r="C20814" s="8" t="s">
        <v>7845</v>
      </c>
      <c r="D20814" s="8">
        <v>62</v>
      </c>
      <c r="E20814" s="8">
        <v>0</v>
      </c>
      <c r="F20814" s="8">
        <v>202</v>
      </c>
    </row>
    <row r="20815" spans="1:6" ht="12.75">
      <c r="A20815" s="8">
        <v>43894.949247685188</v>
      </c>
      <c r="B20815" s="8" t="str">
        <f>HYPERLINK("https://twitter.com/wwwiniestehcom","@wwwiniestehcom")</f>
        <v>@wwwiniestehcom</v>
      </c>
      <c r="C20815" s="8" t="s">
        <v>7473</v>
      </c>
      <c r="D20815" s="8">
        <v>127</v>
      </c>
      <c r="E20815" s="8">
        <v>0</v>
      </c>
      <c r="F20815" s="8">
        <v>55</v>
      </c>
    </row>
    <row r="20816" spans="1:6" ht="12.75">
      <c r="A20816" s="8">
        <v>43894.949189814812</v>
      </c>
      <c r="B20816" s="8" t="str">
        <f>HYPERLINK("https://twitter.com/luqman78","@luqman78")</f>
        <v>@luqman78</v>
      </c>
      <c r="C20816" s="8" t="s">
        <v>8180</v>
      </c>
      <c r="D20816" s="8">
        <v>13</v>
      </c>
      <c r="E20816" s="8">
        <v>0</v>
      </c>
      <c r="F20816" s="8">
        <v>294</v>
      </c>
    </row>
    <row r="20817" spans="1:6" ht="12.75">
      <c r="A20817" s="8">
        <v>43894.948761574073</v>
      </c>
      <c r="B20817" s="8" t="str">
        <f>HYPERLINK("https://twitter.com/2103_R4CHM4","@2103_R4CHM4")</f>
        <v>@2103_R4CHM4</v>
      </c>
      <c r="C20817" s="8" t="s">
        <v>7715</v>
      </c>
      <c r="D20817" s="8">
        <v>35</v>
      </c>
      <c r="E20817" s="8">
        <v>0</v>
      </c>
      <c r="F20817" s="8">
        <v>2469</v>
      </c>
    </row>
    <row r="20818" spans="1:6" ht="12.75">
      <c r="A20818" s="8">
        <v>43894.948368055557</v>
      </c>
      <c r="B20818" s="8" t="str">
        <f>HYPERLINK("https://twitter.com/AchmadAndrego","@AchmadAndrego")</f>
        <v>@AchmadAndrego</v>
      </c>
      <c r="C20818" s="8" t="s">
        <v>2979</v>
      </c>
      <c r="D20818" s="8">
        <v>90</v>
      </c>
      <c r="E20818" s="8">
        <v>0</v>
      </c>
      <c r="F20818" s="8">
        <v>306</v>
      </c>
    </row>
    <row r="20819" spans="1:6" ht="12.75">
      <c r="A20819" s="8">
        <v>43894.94804398148</v>
      </c>
      <c r="B20819" s="8" t="str">
        <f>HYPERLINK("https://twitter.com/Jaya_Ind","@Jaya_Ind")</f>
        <v>@Jaya_Ind</v>
      </c>
      <c r="C20819" s="8" t="s">
        <v>7643</v>
      </c>
      <c r="D20819" s="8">
        <v>12</v>
      </c>
      <c r="E20819" s="8">
        <v>0</v>
      </c>
      <c r="F20819" s="8">
        <v>2902</v>
      </c>
    </row>
    <row r="20820" spans="1:6" ht="12.75">
      <c r="A20820" s="8">
        <v>43894.947233796294</v>
      </c>
      <c r="B20820" s="8" t="str">
        <f>HYPERLINK("https://twitter.com/Vesper_1112","@Vesper_1112")</f>
        <v>@Vesper_1112</v>
      </c>
      <c r="C20820" s="8" t="s">
        <v>8520</v>
      </c>
      <c r="D20820" s="8">
        <v>2</v>
      </c>
      <c r="E20820" s="8">
        <v>0</v>
      </c>
      <c r="F20820" s="8">
        <v>105</v>
      </c>
    </row>
    <row r="20821" spans="1:6" ht="12.75">
      <c r="A20821" s="8">
        <v>43894.947083333333</v>
      </c>
      <c r="B20821" s="8" t="str">
        <f>HYPERLINK("https://twitter.com/dan_rer","@dan_rer")</f>
        <v>@dan_rer</v>
      </c>
      <c r="C20821" s="8" t="s">
        <v>8351</v>
      </c>
      <c r="D20821" s="8">
        <v>14</v>
      </c>
      <c r="E20821" s="8">
        <v>0</v>
      </c>
      <c r="F20821" s="8">
        <v>830</v>
      </c>
    </row>
    <row r="20822" spans="1:6" ht="12.75">
      <c r="A20822" s="8">
        <v>43894.946631944447</v>
      </c>
      <c r="B20822" s="8" t="str">
        <f>HYPERLINK("https://twitter.com/Paolo95954454","@Paolo95954454")</f>
        <v>@Paolo95954454</v>
      </c>
      <c r="C20822" s="8" t="s">
        <v>3285</v>
      </c>
      <c r="D20822" s="8">
        <v>77</v>
      </c>
      <c r="E20822" s="8">
        <v>0</v>
      </c>
      <c r="F20822" s="8">
        <v>17</v>
      </c>
    </row>
    <row r="20823" spans="1:6" ht="12.75">
      <c r="A20823" s="8">
        <v>43894.946608796294</v>
      </c>
      <c r="B20823" s="8" t="str">
        <f>HYPERLINK("https://twitter.com/wongFFwong","@wongFFwong")</f>
        <v>@wongFFwong</v>
      </c>
      <c r="C20823" s="8" t="s">
        <v>8521</v>
      </c>
      <c r="D20823" s="8">
        <v>1</v>
      </c>
      <c r="E20823" s="8">
        <v>0</v>
      </c>
      <c r="F20823" s="8">
        <v>169</v>
      </c>
    </row>
    <row r="20824" spans="1:6" ht="12.75">
      <c r="A20824" s="8">
        <v>43894.946226851855</v>
      </c>
      <c r="B20824" s="8" t="str">
        <f>HYPERLINK("https://twitter.com/Tatantantri2","@Tatantantri2")</f>
        <v>@Tatantantri2</v>
      </c>
      <c r="C20824" s="8" t="s">
        <v>8024</v>
      </c>
      <c r="D20824" s="8">
        <v>7</v>
      </c>
      <c r="E20824" s="8">
        <v>0</v>
      </c>
      <c r="F20824" s="8">
        <v>79</v>
      </c>
    </row>
    <row r="20825" spans="1:6" ht="12.75">
      <c r="A20825" s="8">
        <v>43894.945752314816</v>
      </c>
      <c r="B20825" s="8" t="str">
        <f>HYPERLINK("https://twitter.com/republikaonline","@republikaonline")</f>
        <v>@republikaonline</v>
      </c>
      <c r="C20825" s="8" t="s">
        <v>8522</v>
      </c>
      <c r="D20825" s="8">
        <v>1</v>
      </c>
      <c r="E20825" s="8">
        <v>3</v>
      </c>
      <c r="F20825" s="8">
        <v>1219168</v>
      </c>
    </row>
    <row r="20826" spans="1:6" ht="12.75">
      <c r="A20826" s="8">
        <v>43894.945497685185</v>
      </c>
      <c r="B20826" s="8" t="str">
        <f>HYPERLINK("https://twitter.com/Roni64831039","@Roni64831039")</f>
        <v>@Roni64831039</v>
      </c>
      <c r="C20826" s="8" t="s">
        <v>2979</v>
      </c>
      <c r="D20826" s="8">
        <v>90</v>
      </c>
      <c r="E20826" s="8">
        <v>0</v>
      </c>
      <c r="F20826" s="8">
        <v>254</v>
      </c>
    </row>
    <row r="20827" spans="1:6" ht="12.75">
      <c r="A20827" s="8">
        <v>43894.945462962962</v>
      </c>
      <c r="B20827" s="8" t="str">
        <f>HYPERLINK("https://twitter.com/bunk_zae","@bunk_zae")</f>
        <v>@bunk_zae</v>
      </c>
      <c r="C20827" s="8" t="s">
        <v>7244</v>
      </c>
      <c r="D20827" s="8">
        <v>30</v>
      </c>
      <c r="E20827" s="8">
        <v>0</v>
      </c>
      <c r="F20827" s="8">
        <v>471</v>
      </c>
    </row>
    <row r="20828" spans="1:6" ht="12.75">
      <c r="A20828" s="8">
        <v>43894.945347222223</v>
      </c>
      <c r="B20828" s="8" t="str">
        <f>HYPERLINK("https://twitter.com/fariizmulthazam","@fariizmulthazam")</f>
        <v>@fariizmulthazam</v>
      </c>
      <c r="C20828" s="8" t="s">
        <v>8024</v>
      </c>
      <c r="D20828" s="8">
        <v>7</v>
      </c>
      <c r="E20828" s="8">
        <v>0</v>
      </c>
      <c r="F20828" s="8">
        <v>263</v>
      </c>
    </row>
    <row r="20829" spans="1:6" ht="12.75">
      <c r="A20829" s="8">
        <v>43894.945208333331</v>
      </c>
      <c r="B20829" s="8" t="str">
        <f>HYPERLINK("https://twitter.com/JYVL","@JYVL")</f>
        <v>@JYVL</v>
      </c>
      <c r="C20829" s="8" t="s">
        <v>6710</v>
      </c>
      <c r="D20829" s="8">
        <v>414</v>
      </c>
      <c r="E20829" s="8">
        <v>0</v>
      </c>
      <c r="F20829" s="8">
        <v>198</v>
      </c>
    </row>
    <row r="20830" spans="1:6" ht="12.75">
      <c r="A20830" s="8">
        <v>43894.945138888885</v>
      </c>
      <c r="B20830" s="8" t="str">
        <f>HYPERLINK("https://twitter.com/healthyliveID","@healthyliveID")</f>
        <v>@healthyliveID</v>
      </c>
      <c r="C20830" s="8" t="s">
        <v>8523</v>
      </c>
      <c r="D20830" s="8">
        <v>0</v>
      </c>
      <c r="E20830" s="8">
        <v>0</v>
      </c>
      <c r="F20830" s="8">
        <v>45105</v>
      </c>
    </row>
    <row r="20831" spans="1:6" ht="12.75">
      <c r="A20831" s="8">
        <v>43894.945</v>
      </c>
      <c r="B20831" s="8" t="str">
        <f>HYPERLINK("https://twitter.com/RubiYan60110738","@RubiYan60110738")</f>
        <v>@RubiYan60110738</v>
      </c>
      <c r="C20831" s="8" t="s">
        <v>8024</v>
      </c>
      <c r="D20831" s="8">
        <v>7</v>
      </c>
      <c r="E20831" s="8">
        <v>0</v>
      </c>
      <c r="F20831" s="8">
        <v>1022</v>
      </c>
    </row>
    <row r="20832" spans="1:6" ht="12.75">
      <c r="A20832" s="8">
        <v>43894.944803240738</v>
      </c>
      <c r="B20832" s="8" t="str">
        <f>HYPERLINK("https://twitter.com/masked315","@masked315")</f>
        <v>@masked315</v>
      </c>
      <c r="C20832" s="8" t="s">
        <v>8024</v>
      </c>
      <c r="D20832" s="8">
        <v>7</v>
      </c>
      <c r="E20832" s="8">
        <v>0</v>
      </c>
      <c r="F20832" s="8">
        <v>316</v>
      </c>
    </row>
    <row r="20833" spans="1:6" ht="12.75">
      <c r="A20833" s="8">
        <v>43894.94462962963</v>
      </c>
      <c r="B20833" s="8" t="str">
        <f>HYPERLINK("https://twitter.com/indroprayitno39","@indroprayitno39")</f>
        <v>@indroprayitno39</v>
      </c>
      <c r="C20833" s="8" t="s">
        <v>1986</v>
      </c>
      <c r="D20833" s="8">
        <v>861</v>
      </c>
      <c r="E20833" s="8">
        <v>0</v>
      </c>
      <c r="F20833" s="8">
        <v>161</v>
      </c>
    </row>
    <row r="20834" spans="1:6" ht="12.75">
      <c r="A20834" s="8">
        <v>43894.944618055553</v>
      </c>
      <c r="B20834" s="8" t="str">
        <f>HYPERLINK("https://twitter.com/batasnaluri","@batasnaluri")</f>
        <v>@batasnaluri</v>
      </c>
      <c r="C20834" s="8" t="s">
        <v>8524</v>
      </c>
      <c r="D20834" s="8">
        <v>2</v>
      </c>
      <c r="E20834" s="8">
        <v>7</v>
      </c>
      <c r="F20834" s="8">
        <v>12366</v>
      </c>
    </row>
    <row r="20835" spans="1:6" ht="12.75">
      <c r="A20835" s="8">
        <v>43894.944340277776</v>
      </c>
      <c r="B20835" s="8" t="str">
        <f>HYPERLINK("https://twitter.com/sisworok","@sisworok")</f>
        <v>@sisworok</v>
      </c>
      <c r="C20835" s="8" t="s">
        <v>2979</v>
      </c>
      <c r="D20835" s="8">
        <v>90</v>
      </c>
      <c r="E20835" s="8">
        <v>0</v>
      </c>
      <c r="F20835" s="8">
        <v>1379</v>
      </c>
    </row>
    <row r="20836" spans="1:6" ht="12.75">
      <c r="A20836" s="8">
        <v>43894.943449074075</v>
      </c>
      <c r="B20836" s="8" t="str">
        <f>HYPERLINK("https://twitter.com/KompasTV","@KompasTV")</f>
        <v>@KompasTV</v>
      </c>
      <c r="C20836" s="8" t="s">
        <v>8525</v>
      </c>
      <c r="D20836" s="8">
        <v>7</v>
      </c>
      <c r="E20836" s="8">
        <v>14</v>
      </c>
      <c r="F20836" s="8">
        <v>2956023</v>
      </c>
    </row>
    <row r="20837" spans="1:6" ht="12.75">
      <c r="A20837" s="8">
        <v>43894.94321759259</v>
      </c>
      <c r="B20837" s="8" t="str">
        <f>HYPERLINK("https://twitter.com/agung_karyanto","@agung_karyanto")</f>
        <v>@agung_karyanto</v>
      </c>
      <c r="C20837" s="8" t="s">
        <v>8526</v>
      </c>
      <c r="D20837" s="8">
        <v>1</v>
      </c>
      <c r="E20837" s="8">
        <v>0</v>
      </c>
      <c r="F20837" s="8">
        <v>1784</v>
      </c>
    </row>
    <row r="20838" spans="1:6" ht="12.75">
      <c r="A20838" s="8">
        <v>43894.942685185189</v>
      </c>
      <c r="B20838" s="8" t="str">
        <f>HYPERLINK("https://twitter.com/jurnalpatrolin1","@jurnalpatrolin1")</f>
        <v>@jurnalpatrolin1</v>
      </c>
      <c r="C20838" s="8" t="s">
        <v>8527</v>
      </c>
      <c r="D20838" s="8">
        <v>0</v>
      </c>
      <c r="E20838" s="8">
        <v>0</v>
      </c>
      <c r="F20838" s="8">
        <v>55</v>
      </c>
    </row>
    <row r="20839" spans="1:6" ht="12.75">
      <c r="A20839" s="8">
        <v>43894.942673611113</v>
      </c>
      <c r="B20839" s="8" t="str">
        <f>HYPERLINK("https://twitter.com/yourariess","@yourariess")</f>
        <v>@yourariess</v>
      </c>
      <c r="C20839" s="8" t="s">
        <v>2962</v>
      </c>
      <c r="D20839" s="8">
        <v>5662</v>
      </c>
      <c r="E20839" s="8">
        <v>0</v>
      </c>
      <c r="F20839" s="8">
        <v>453</v>
      </c>
    </row>
    <row r="20840" spans="1:6" ht="12.75">
      <c r="A20840" s="8">
        <v>43894.942627314813</v>
      </c>
      <c r="B20840" s="8" t="str">
        <f>HYPERLINK("https://twitter.com/R4den_aria","@R4den_aria")</f>
        <v>@R4den_aria</v>
      </c>
      <c r="C20840" s="8" t="s">
        <v>7244</v>
      </c>
      <c r="D20840" s="8">
        <v>30</v>
      </c>
      <c r="E20840" s="8">
        <v>0</v>
      </c>
      <c r="F20840" s="8">
        <v>764</v>
      </c>
    </row>
    <row r="20841" spans="1:6" ht="12.75">
      <c r="A20841" s="8">
        <v>43894.941805555558</v>
      </c>
      <c r="B20841" s="8" t="str">
        <f>HYPERLINK("https://twitter.com/antar_kabar","@antar_kabar")</f>
        <v>@antar_kabar</v>
      </c>
      <c r="C20841" s="8" t="s">
        <v>8528</v>
      </c>
      <c r="D20841" s="8">
        <v>0</v>
      </c>
      <c r="E20841" s="8">
        <v>0</v>
      </c>
      <c r="F20841" s="8">
        <v>1129</v>
      </c>
    </row>
    <row r="20842" spans="1:6" ht="12.75">
      <c r="A20842" s="8">
        <v>43894.941770833335</v>
      </c>
      <c r="B20842" s="8" t="str">
        <f>HYPERLINK("https://twitter.com/ininadhin","@ininadhin")</f>
        <v>@ininadhin</v>
      </c>
      <c r="C20842" s="8" t="s">
        <v>2962</v>
      </c>
      <c r="D20842" s="8">
        <v>5662</v>
      </c>
      <c r="E20842" s="8">
        <v>0</v>
      </c>
      <c r="F20842" s="8">
        <v>5205</v>
      </c>
    </row>
    <row r="20843" spans="1:6" ht="12.75">
      <c r="A20843" s="8">
        <v>43894.941134259258</v>
      </c>
      <c r="B20843" s="8" t="str">
        <f>HYPERLINK("https://twitter.com/SMBS_rio","@SMBS_rio")</f>
        <v>@SMBS_rio</v>
      </c>
      <c r="C20843" s="8" t="s">
        <v>3285</v>
      </c>
      <c r="D20843" s="8">
        <v>77</v>
      </c>
      <c r="E20843" s="8">
        <v>0</v>
      </c>
      <c r="F20843" s="8">
        <v>2577</v>
      </c>
    </row>
    <row r="20844" spans="1:6" ht="12.75">
      <c r="A20844" s="8">
        <v>43894.941087962958</v>
      </c>
      <c r="B20844" s="8" t="str">
        <f>HYPERLINK("https://twitter.com/JOINLampung","@JOINLampung")</f>
        <v>@JOINLampung</v>
      </c>
      <c r="C20844" s="8" t="s">
        <v>8529</v>
      </c>
      <c r="D20844" s="8">
        <v>0</v>
      </c>
      <c r="E20844" s="8">
        <v>3</v>
      </c>
      <c r="F20844" s="8">
        <v>7645</v>
      </c>
    </row>
    <row r="20845" spans="1:6" ht="12.75">
      <c r="A20845" s="8">
        <v>43894.940451388888</v>
      </c>
      <c r="B20845" s="8" t="str">
        <f>HYPERLINK("https://twitter.com/CNI_ID","@CNI_ID")</f>
        <v>@CNI_ID</v>
      </c>
      <c r="C20845" s="8" t="s">
        <v>8530</v>
      </c>
      <c r="D20845" s="8">
        <v>1</v>
      </c>
      <c r="E20845" s="8">
        <v>0</v>
      </c>
      <c r="F20845" s="8">
        <v>30096</v>
      </c>
    </row>
    <row r="20846" spans="1:6" ht="12.75">
      <c r="A20846" s="8">
        <v>43894.940347222218</v>
      </c>
      <c r="B20846" s="8" t="str">
        <f>HYPERLINK("https://twitter.com/1_devout","@1_devout")</f>
        <v>@1_devout</v>
      </c>
      <c r="C20846" s="8" t="s">
        <v>7796</v>
      </c>
      <c r="D20846" s="8">
        <v>85</v>
      </c>
      <c r="E20846" s="8">
        <v>0</v>
      </c>
      <c r="F20846" s="8">
        <v>46</v>
      </c>
    </row>
    <row r="20847" spans="1:6" ht="12.75">
      <c r="A20847" s="8">
        <v>43894.94021990741</v>
      </c>
      <c r="B20847" s="8" t="str">
        <f>HYPERLINK("https://twitter.com/indroprayitno39","@indroprayitno39")</f>
        <v>@indroprayitno39</v>
      </c>
      <c r="C20847" s="8" t="s">
        <v>6315</v>
      </c>
      <c r="D20847" s="8">
        <v>174</v>
      </c>
      <c r="E20847" s="8">
        <v>0</v>
      </c>
      <c r="F20847" s="8">
        <v>161</v>
      </c>
    </row>
    <row r="20848" spans="1:6" ht="12.75">
      <c r="A20848" s="8">
        <v>43894.923460648148</v>
      </c>
      <c r="B20848" s="8" t="str">
        <f>HYPERLINK("https://twitter.com/pherasim","@pherasim")</f>
        <v>@pherasim</v>
      </c>
      <c r="C20848" s="8" t="s">
        <v>2979</v>
      </c>
      <c r="D20848" s="8">
        <v>70</v>
      </c>
      <c r="E20848" s="8">
        <v>0</v>
      </c>
      <c r="F20848" s="8">
        <v>257</v>
      </c>
    </row>
    <row r="20849" spans="1:6" ht="12.75">
      <c r="A20849" s="8">
        <v>43894.923298611116</v>
      </c>
      <c r="B20849" s="8" t="str">
        <f>HYPERLINK("https://twitter.com/Metro_TV","@Metro_TV")</f>
        <v>@Metro_TV</v>
      </c>
      <c r="C20849" s="8" t="s">
        <v>8531</v>
      </c>
      <c r="D20849" s="8">
        <v>0</v>
      </c>
      <c r="E20849" s="8">
        <v>0</v>
      </c>
      <c r="F20849" s="8">
        <v>10517067</v>
      </c>
    </row>
    <row r="20850" spans="1:6" ht="12.75">
      <c r="A20850" s="8">
        <v>43894.922812500001</v>
      </c>
      <c r="B20850" s="8" t="str">
        <f>HYPERLINK("https://twitter.com/V_Stone_Kardol","@V_Stone_Kardol")</f>
        <v>@V_Stone_Kardol</v>
      </c>
      <c r="C20850" s="8" t="s">
        <v>7796</v>
      </c>
      <c r="D20850" s="8">
        <v>81</v>
      </c>
      <c r="E20850" s="8">
        <v>0</v>
      </c>
      <c r="F20850" s="8">
        <v>8369</v>
      </c>
    </row>
    <row r="20851" spans="1:6" ht="12.75">
      <c r="A20851" s="8">
        <v>43894.922812500001</v>
      </c>
      <c r="B20851" s="8" t="str">
        <f>HYPERLINK("https://twitter.com/wan_wanrawan","@wan_wanrawan")</f>
        <v>@wan_wanrawan</v>
      </c>
      <c r="C20851" s="8" t="s">
        <v>8532</v>
      </c>
      <c r="D20851" s="8">
        <v>0</v>
      </c>
      <c r="E20851" s="8">
        <v>0</v>
      </c>
      <c r="F20851" s="8">
        <v>1026</v>
      </c>
    </row>
    <row r="20852" spans="1:6" ht="12.75">
      <c r="A20852" s="8">
        <v>43894.922650462962</v>
      </c>
      <c r="B20852" s="8" t="str">
        <f>HYPERLINK("https://twitter.com/umaremania87","@umaremania87")</f>
        <v>@umaremania87</v>
      </c>
      <c r="C20852" s="8" t="s">
        <v>8212</v>
      </c>
      <c r="D20852" s="8">
        <v>152</v>
      </c>
      <c r="E20852" s="8">
        <v>0</v>
      </c>
      <c r="F20852" s="8">
        <v>315</v>
      </c>
    </row>
    <row r="20853" spans="1:6" ht="12.75">
      <c r="A20853" s="8">
        <v>43894.922592592593</v>
      </c>
      <c r="B20853" s="8" t="str">
        <f>HYPERLINK("https://twitter.com/YulieNew","@YulieNew")</f>
        <v>@YulieNew</v>
      </c>
      <c r="C20853" s="8" t="s">
        <v>8533</v>
      </c>
      <c r="D20853" s="8">
        <v>12</v>
      </c>
      <c r="E20853" s="8">
        <v>0</v>
      </c>
      <c r="F20853" s="8">
        <v>2593</v>
      </c>
    </row>
    <row r="20854" spans="1:6" ht="12.75">
      <c r="A20854" s="8">
        <v>43894.922581018516</v>
      </c>
      <c r="B20854" s="8" t="str">
        <f>HYPERLINK("https://twitter.com/Spider__matriX","@Spider__matriX")</f>
        <v>@Spider__matriX</v>
      </c>
      <c r="C20854" s="8" t="s">
        <v>2979</v>
      </c>
      <c r="D20854" s="8">
        <v>70</v>
      </c>
      <c r="E20854" s="8">
        <v>0</v>
      </c>
      <c r="F20854" s="8">
        <v>4995</v>
      </c>
    </row>
    <row r="20855" spans="1:6" ht="12.75">
      <c r="A20855" s="8">
        <v>43894.922291666662</v>
      </c>
      <c r="B20855" s="8" t="str">
        <f>HYPERLINK("https://twitter.com/PLullua","@PLullua")</f>
        <v>@PLullua</v>
      </c>
      <c r="C20855" s="8" t="s">
        <v>7862</v>
      </c>
      <c r="D20855" s="8">
        <v>3</v>
      </c>
      <c r="E20855" s="8">
        <v>0</v>
      </c>
      <c r="F20855" s="8">
        <v>1458</v>
      </c>
    </row>
    <row r="20856" spans="1:6" ht="12.75">
      <c r="A20856" s="8">
        <v>43894.922210648147</v>
      </c>
      <c r="B20856" s="8" t="str">
        <f>HYPERLINK("https://twitter.com/MoTeeTee","@MoTeeTee")</f>
        <v>@MoTeeTee</v>
      </c>
      <c r="C20856" s="8" t="s">
        <v>7862</v>
      </c>
      <c r="D20856" s="8">
        <v>3</v>
      </c>
      <c r="E20856" s="8">
        <v>0</v>
      </c>
      <c r="F20856" s="8">
        <v>755</v>
      </c>
    </row>
    <row r="20857" spans="1:6" ht="12.75">
      <c r="A20857" s="8">
        <v>43894.921655092592</v>
      </c>
      <c r="B20857" s="8" t="str">
        <f>HYPERLINK("https://twitter.com/alidabdul","@alidabdul")</f>
        <v>@alidabdul</v>
      </c>
      <c r="C20857" s="8" t="s">
        <v>8534</v>
      </c>
      <c r="D20857" s="8">
        <v>0</v>
      </c>
      <c r="E20857" s="8">
        <v>0</v>
      </c>
      <c r="F20857" s="8">
        <v>3309</v>
      </c>
    </row>
    <row r="20858" spans="1:6" ht="12.75">
      <c r="A20858" s="8">
        <v>43894.920682870375</v>
      </c>
      <c r="B20858" s="8" t="str">
        <f>HYPERLINK("https://twitter.com/wahhabicc_jabar","@wahhabicc_jabar")</f>
        <v>@wahhabicc_jabar</v>
      </c>
      <c r="C20858" s="8" t="s">
        <v>7862</v>
      </c>
      <c r="D20858" s="8">
        <v>3</v>
      </c>
      <c r="E20858" s="8">
        <v>0</v>
      </c>
      <c r="F20858" s="8">
        <v>30898</v>
      </c>
    </row>
    <row r="20859" spans="1:6" ht="12.75">
      <c r="A20859" s="8">
        <v>43894.920266203699</v>
      </c>
      <c r="B20859" s="8" t="str">
        <f>HYPERLINK("https://twitter.com/adigunap","@adigunap")</f>
        <v>@adigunap</v>
      </c>
      <c r="C20859" s="8" t="s">
        <v>8066</v>
      </c>
      <c r="D20859" s="8">
        <v>66</v>
      </c>
      <c r="E20859" s="8">
        <v>0</v>
      </c>
      <c r="F20859" s="8">
        <v>884</v>
      </c>
    </row>
    <row r="20860" spans="1:6" ht="12.75">
      <c r="A20860" s="8">
        <v>43894.919895833329</v>
      </c>
      <c r="B20860" s="8" t="str">
        <f>HYPERLINK("https://twitter.com/dwiyanaDKM","@dwiyanaDKM")</f>
        <v>@dwiyanaDKM</v>
      </c>
      <c r="C20860" s="8" t="s">
        <v>7845</v>
      </c>
      <c r="D20860" s="8">
        <v>61</v>
      </c>
      <c r="E20860" s="8">
        <v>0</v>
      </c>
      <c r="F20860" s="8">
        <v>2700</v>
      </c>
    </row>
    <row r="20861" spans="1:6" ht="12.75">
      <c r="A20861" s="8">
        <v>43894.91982638889</v>
      </c>
      <c r="B20861" s="8" t="str">
        <f>HYPERLINK("https://twitter.com/jokoselong","@jokoselong")</f>
        <v>@jokoselong</v>
      </c>
      <c r="C20861" s="8" t="s">
        <v>8535</v>
      </c>
      <c r="D20861" s="8">
        <v>1</v>
      </c>
      <c r="E20861" s="8">
        <v>0</v>
      </c>
      <c r="F20861" s="8">
        <v>1769</v>
      </c>
    </row>
    <row r="20862" spans="1:6" ht="12.75">
      <c r="A20862" s="8">
        <v>43894.919768518521</v>
      </c>
      <c r="B20862" s="8" t="str">
        <f>HYPERLINK("https://twitter.com/DeriusDeffarou","@DeriusDeffarou")</f>
        <v>@DeriusDeffarou</v>
      </c>
      <c r="C20862" s="8" t="s">
        <v>8212</v>
      </c>
      <c r="D20862" s="8">
        <v>152</v>
      </c>
      <c r="E20862" s="8">
        <v>0</v>
      </c>
      <c r="F20862" s="8">
        <v>796</v>
      </c>
    </row>
    <row r="20863" spans="1:6" ht="12.75">
      <c r="A20863" s="8">
        <v>43894.919641203705</v>
      </c>
      <c r="B20863" s="8" t="str">
        <f>HYPERLINK("https://twitter.com/afifahmarwaaa","@afifahmarwaaa")</f>
        <v>@afifahmarwaaa</v>
      </c>
      <c r="C20863" s="8" t="s">
        <v>8536</v>
      </c>
      <c r="D20863" s="8">
        <v>0</v>
      </c>
      <c r="E20863" s="8">
        <v>0</v>
      </c>
      <c r="F20863" s="8">
        <v>455</v>
      </c>
    </row>
    <row r="20864" spans="1:6" ht="12.75">
      <c r="A20864" s="8">
        <v>43894.919641203705</v>
      </c>
      <c r="B20864" s="8" t="str">
        <f>HYPERLINK("https://twitter.com/GustianaEla","@GustianaEla")</f>
        <v>@GustianaEla</v>
      </c>
      <c r="C20864" s="8" t="s">
        <v>8537</v>
      </c>
      <c r="D20864" s="8">
        <v>0</v>
      </c>
      <c r="E20864" s="8">
        <v>0</v>
      </c>
      <c r="F20864" s="8">
        <v>7</v>
      </c>
    </row>
    <row r="20865" spans="1:6" ht="12.75">
      <c r="A20865" s="8">
        <v>43894.919340277775</v>
      </c>
      <c r="B20865" s="8" t="str">
        <f>HYPERLINK("https://twitter.com/pangawa_79","@pangawa_79")</f>
        <v>@pangawa_79</v>
      </c>
      <c r="C20865" s="8" t="s">
        <v>7715</v>
      </c>
      <c r="D20865" s="8">
        <v>28</v>
      </c>
      <c r="E20865" s="8">
        <v>0</v>
      </c>
      <c r="F20865" s="8">
        <v>938</v>
      </c>
    </row>
    <row r="20866" spans="1:6" ht="12.75">
      <c r="A20866" s="8">
        <v>43894.919317129628</v>
      </c>
      <c r="B20866" s="8" t="str">
        <f>HYPERLINK("https://twitter.com/nadiyadwis1","@nadiyadwis1")</f>
        <v>@nadiyadwis1</v>
      </c>
      <c r="C20866" s="8" t="s">
        <v>6710</v>
      </c>
      <c r="D20866" s="8">
        <v>405</v>
      </c>
      <c r="E20866" s="8">
        <v>0</v>
      </c>
      <c r="F20866" s="8">
        <v>3</v>
      </c>
    </row>
    <row r="20867" spans="1:6" ht="12.75">
      <c r="A20867" s="8">
        <v>43894.91914351852</v>
      </c>
      <c r="B20867" s="8" t="str">
        <f>HYPERLINK("https://twitter.com/flobamorabae","@flobamorabae")</f>
        <v>@flobamorabae</v>
      </c>
      <c r="C20867" s="8" t="s">
        <v>8538</v>
      </c>
      <c r="D20867" s="8">
        <v>4</v>
      </c>
      <c r="E20867" s="8">
        <v>0</v>
      </c>
      <c r="F20867" s="8">
        <v>39</v>
      </c>
    </row>
    <row r="20868" spans="1:6" ht="12.75">
      <c r="A20868" s="8">
        <v>43894.919108796297</v>
      </c>
      <c r="B20868" s="8" t="str">
        <f>HYPERLINK("https://twitter.com/feerzylant","@feerzylant")</f>
        <v>@feerzylant</v>
      </c>
      <c r="C20868" s="8" t="s">
        <v>7244</v>
      </c>
      <c r="D20868" s="8">
        <v>24</v>
      </c>
      <c r="E20868" s="8">
        <v>0</v>
      </c>
      <c r="F20868" s="8">
        <v>460</v>
      </c>
    </row>
    <row r="20869" spans="1:6" ht="12.75">
      <c r="A20869" s="8">
        <v>43894.918912037036</v>
      </c>
      <c r="B20869" s="8" t="str">
        <f>HYPERLINK("https://twitter.com/abdul_charim","@abdul_charim")</f>
        <v>@abdul_charim</v>
      </c>
      <c r="C20869" s="8" t="s">
        <v>8066</v>
      </c>
      <c r="D20869" s="8">
        <v>66</v>
      </c>
      <c r="E20869" s="8">
        <v>0</v>
      </c>
      <c r="F20869" s="8">
        <v>357</v>
      </c>
    </row>
    <row r="20870" spans="1:6" ht="12.75">
      <c r="A20870" s="8">
        <v>43894.918900462959</v>
      </c>
      <c r="B20870" s="8" t="str">
        <f>HYPERLINK("https://twitter.com/juliantoxrp","@juliantoxrp")</f>
        <v>@juliantoxrp</v>
      </c>
      <c r="C20870" s="8" t="s">
        <v>8539</v>
      </c>
      <c r="D20870" s="8">
        <v>0</v>
      </c>
      <c r="E20870" s="8">
        <v>0</v>
      </c>
      <c r="F20870" s="8">
        <v>35</v>
      </c>
    </row>
    <row r="20871" spans="1:6" ht="12.75">
      <c r="A20871" s="8">
        <v>43894.91887731482</v>
      </c>
      <c r="B20871" s="8" t="str">
        <f>HYPERLINK("https://twitter.com/Datudwija","@Datudwija")</f>
        <v>@Datudwija</v>
      </c>
      <c r="C20871" s="8" t="s">
        <v>8540</v>
      </c>
      <c r="D20871" s="8">
        <v>0</v>
      </c>
      <c r="E20871" s="8">
        <v>0</v>
      </c>
      <c r="F20871" s="8">
        <v>747</v>
      </c>
    </row>
    <row r="20872" spans="1:6" ht="12.75">
      <c r="A20872" s="8">
        <v>43894.918240740742</v>
      </c>
      <c r="B20872" s="8" t="str">
        <f>HYPERLINK("https://twitter.com/dannex21","@dannex21")</f>
        <v>@dannex21</v>
      </c>
      <c r="C20872" s="8" t="s">
        <v>7244</v>
      </c>
      <c r="D20872" s="8">
        <v>24</v>
      </c>
      <c r="E20872" s="8">
        <v>0</v>
      </c>
      <c r="F20872" s="8">
        <v>454</v>
      </c>
    </row>
    <row r="20873" spans="1:6" ht="12.75">
      <c r="A20873" s="8">
        <v>43894.91815972222</v>
      </c>
      <c r="B20873" s="8" t="str">
        <f>HYPERLINK("https://twitter.com/neen4noor","@neen4noor")</f>
        <v>@neen4noor</v>
      </c>
      <c r="C20873" s="8" t="s">
        <v>7700</v>
      </c>
      <c r="D20873" s="8">
        <v>40</v>
      </c>
      <c r="E20873" s="8">
        <v>0</v>
      </c>
      <c r="F20873" s="8">
        <v>896</v>
      </c>
    </row>
    <row r="20874" spans="1:6" ht="12.75">
      <c r="A20874" s="8">
        <v>43894.918078703704</v>
      </c>
      <c r="B20874" s="8" t="str">
        <f>HYPERLINK("https://twitter.com/herditiya1","@herditiya1")</f>
        <v>@herditiya1</v>
      </c>
      <c r="C20874" s="8" t="s">
        <v>8541</v>
      </c>
      <c r="D20874" s="8">
        <v>0</v>
      </c>
      <c r="E20874" s="8">
        <v>0</v>
      </c>
      <c r="F20874" s="8">
        <v>4850</v>
      </c>
    </row>
    <row r="20875" spans="1:6" ht="12.75">
      <c r="A20875" s="8">
        <v>43894.917939814812</v>
      </c>
      <c r="B20875" s="8" t="str">
        <f>HYPERLINK("https://twitter.com/DandyPraatama","@DandyPraatama")</f>
        <v>@DandyPraatama</v>
      </c>
      <c r="C20875" s="8" t="s">
        <v>8542</v>
      </c>
      <c r="D20875" s="8">
        <v>0</v>
      </c>
      <c r="E20875" s="8">
        <v>0</v>
      </c>
      <c r="F20875" s="8">
        <v>47</v>
      </c>
    </row>
    <row r="20876" spans="1:6" ht="12.75">
      <c r="A20876" s="8">
        <v>43894.917592592596</v>
      </c>
      <c r="B20876" s="8" t="str">
        <f>HYPERLINK("https://twitter.com/B2_BacaBuku","@B2_BacaBuku")</f>
        <v>@B2_BacaBuku</v>
      </c>
      <c r="C20876" s="8" t="s">
        <v>8543</v>
      </c>
      <c r="D20876" s="8">
        <v>6</v>
      </c>
      <c r="E20876" s="8">
        <v>0</v>
      </c>
      <c r="F20876" s="8">
        <v>204</v>
      </c>
    </row>
    <row r="20877" spans="1:6" ht="12.75">
      <c r="A20877" s="8">
        <v>43894.917395833334</v>
      </c>
      <c r="B20877" s="8" t="str">
        <f>HYPERLINK("https://twitter.com/ekopriyobondowo","@ekopriyobondowo")</f>
        <v>@ekopriyobondowo</v>
      </c>
      <c r="C20877" s="8" t="s">
        <v>7473</v>
      </c>
      <c r="D20877" s="8">
        <v>90</v>
      </c>
      <c r="E20877" s="8">
        <v>0</v>
      </c>
      <c r="F20877" s="8">
        <v>30</v>
      </c>
    </row>
    <row r="20878" spans="1:6" ht="12.75">
      <c r="A20878" s="8">
        <v>43894.917303240742</v>
      </c>
      <c r="B20878" s="8" t="str">
        <f>HYPERLINK("https://twitter.com/Pras_SIVB","@Pras_SIVB")</f>
        <v>@Pras_SIVB</v>
      </c>
      <c r="C20878" s="8" t="s">
        <v>8544</v>
      </c>
      <c r="D20878" s="8">
        <v>0</v>
      </c>
      <c r="E20878" s="8">
        <v>0</v>
      </c>
      <c r="F20878" s="8">
        <v>63</v>
      </c>
    </row>
    <row r="20879" spans="1:6" ht="12.75">
      <c r="A20879" s="8">
        <v>43894.917210648149</v>
      </c>
      <c r="B20879" s="8" t="str">
        <f>HYPERLINK("https://twitter.com/di2_ak","@di2_ak")</f>
        <v>@di2_ak</v>
      </c>
      <c r="C20879" s="8" t="s">
        <v>7643</v>
      </c>
      <c r="D20879" s="8">
        <v>10</v>
      </c>
      <c r="E20879" s="8">
        <v>0</v>
      </c>
      <c r="F20879" s="8">
        <v>470</v>
      </c>
    </row>
    <row r="20880" spans="1:6" ht="12.75">
      <c r="A20880" s="8">
        <v>43894.917118055557</v>
      </c>
      <c r="B20880" s="8" t="str">
        <f>HYPERLINK("https://twitter.com/BanjiBayu","@BanjiBayu")</f>
        <v>@BanjiBayu</v>
      </c>
      <c r="C20880" s="8" t="s">
        <v>8545</v>
      </c>
      <c r="D20880" s="8">
        <v>0</v>
      </c>
      <c r="E20880" s="8">
        <v>0</v>
      </c>
      <c r="F20880" s="8">
        <v>37</v>
      </c>
    </row>
    <row r="20881" spans="1:6" ht="12.75">
      <c r="A20881" s="8">
        <v>43894.917037037041</v>
      </c>
      <c r="B20881" s="8" t="str">
        <f>HYPERLINK("https://twitter.com/denkz99","@denkz99")</f>
        <v>@denkz99</v>
      </c>
      <c r="C20881" s="8" t="s">
        <v>1986</v>
      </c>
      <c r="D20881" s="8">
        <v>860</v>
      </c>
      <c r="E20881" s="8">
        <v>0</v>
      </c>
      <c r="F20881" s="8">
        <v>1080</v>
      </c>
    </row>
    <row r="20882" spans="1:6" ht="12.75">
      <c r="A20882" s="8">
        <v>43894.916956018518</v>
      </c>
      <c r="B20882" s="8" t="str">
        <f>HYPERLINK("https://twitter.com/MalauFia","@MalauFia")</f>
        <v>@MalauFia</v>
      </c>
      <c r="C20882" s="8" t="s">
        <v>6710</v>
      </c>
      <c r="D20882" s="8">
        <v>405</v>
      </c>
      <c r="E20882" s="8">
        <v>0</v>
      </c>
      <c r="F20882" s="8">
        <v>1</v>
      </c>
    </row>
    <row r="20883" spans="1:6" ht="12.75">
      <c r="A20883" s="8">
        <v>43894.91684027778</v>
      </c>
      <c r="B20883" s="8" t="str">
        <f>HYPERLINK("https://twitter.com/winaoktavianaa","@winaoktavianaa")</f>
        <v>@winaoktavianaa</v>
      </c>
      <c r="C20883" s="8" t="s">
        <v>8537</v>
      </c>
      <c r="D20883" s="8">
        <v>0</v>
      </c>
      <c r="E20883" s="8">
        <v>1</v>
      </c>
      <c r="F20883" s="8">
        <v>1675</v>
      </c>
    </row>
    <row r="20884" spans="1:6" ht="12.75">
      <c r="A20884" s="8">
        <v>43894.91678240741</v>
      </c>
      <c r="B20884" s="8" t="str">
        <f>HYPERLINK("https://twitter.com/KBRI_Kuwait","@KBRI_Kuwait")</f>
        <v>@KBRI_Kuwait</v>
      </c>
      <c r="C20884" s="8" t="s">
        <v>8546</v>
      </c>
      <c r="D20884" s="8">
        <v>0</v>
      </c>
      <c r="E20884" s="8">
        <v>0</v>
      </c>
      <c r="F20884" s="8">
        <v>2593</v>
      </c>
    </row>
    <row r="20885" spans="1:6" ht="12.75">
      <c r="A20885" s="8">
        <v>43894.916666666672</v>
      </c>
      <c r="B20885" s="8" t="str">
        <f>HYPERLINK("https://twitter.com/MakrufinAja","@MakrufinAja")</f>
        <v>@MakrufinAja</v>
      </c>
      <c r="C20885" s="8" t="s">
        <v>8230</v>
      </c>
      <c r="D20885" s="8">
        <v>89</v>
      </c>
      <c r="E20885" s="8">
        <v>0</v>
      </c>
      <c r="F20885" s="8">
        <v>20</v>
      </c>
    </row>
    <row r="20886" spans="1:6" ht="12.75">
      <c r="A20886" s="8">
        <v>43894.916655092587</v>
      </c>
      <c r="B20886" s="8" t="str">
        <f>HYPERLINK("https://twitter.com/muniramatfast1","@muniramatfast1")</f>
        <v>@muniramatfast1</v>
      </c>
      <c r="C20886" s="8" t="s">
        <v>8547</v>
      </c>
      <c r="D20886" s="8">
        <v>2</v>
      </c>
      <c r="E20886" s="8">
        <v>0</v>
      </c>
      <c r="F20886" s="8">
        <v>58</v>
      </c>
    </row>
    <row r="20887" spans="1:6" ht="12.75">
      <c r="A20887" s="8">
        <v>43894.916481481487</v>
      </c>
      <c r="B20887" s="8" t="str">
        <f>HYPERLINK("https://twitter.com/PelasgosK","@PelasgosK")</f>
        <v>@PelasgosK</v>
      </c>
      <c r="C20887" s="8" t="s">
        <v>7575</v>
      </c>
      <c r="D20887" s="8">
        <v>45</v>
      </c>
      <c r="E20887" s="8">
        <v>0</v>
      </c>
      <c r="F20887" s="8">
        <v>77</v>
      </c>
    </row>
    <row r="20888" spans="1:6" ht="12.75">
      <c r="A20888" s="8">
        <v>43894.916296296295</v>
      </c>
      <c r="B20888" s="8" t="str">
        <f>HYPERLINK("https://twitter.com/itunovan","@itunovan")</f>
        <v>@itunovan</v>
      </c>
      <c r="C20888" s="8" t="s">
        <v>8066</v>
      </c>
      <c r="D20888" s="8">
        <v>66</v>
      </c>
      <c r="E20888" s="8">
        <v>0</v>
      </c>
      <c r="F20888" s="8">
        <v>485</v>
      </c>
    </row>
    <row r="20889" spans="1:6" ht="12.75">
      <c r="A20889" s="8">
        <v>43894.915972222225</v>
      </c>
      <c r="B20889" s="8" t="str">
        <f>HYPERLINK("https://twitter.com/RestyWinanta","@RestyWinanta")</f>
        <v>@RestyWinanta</v>
      </c>
      <c r="C20889" s="8" t="s">
        <v>8548</v>
      </c>
      <c r="D20889" s="8">
        <v>0</v>
      </c>
      <c r="E20889" s="8">
        <v>0</v>
      </c>
      <c r="F20889" s="8">
        <v>20</v>
      </c>
    </row>
    <row r="20890" spans="1:6" ht="12.75">
      <c r="A20890" s="8">
        <v>43894.915925925925</v>
      </c>
      <c r="B20890" s="8" t="str">
        <f>HYPERLINK("https://twitter.com/B2_BacaBuku","@B2_BacaBuku")</f>
        <v>@B2_BacaBuku</v>
      </c>
      <c r="C20890" s="8" t="s">
        <v>8115</v>
      </c>
      <c r="D20890" s="8">
        <v>212</v>
      </c>
      <c r="E20890" s="8">
        <v>0</v>
      </c>
      <c r="F20890" s="8">
        <v>204</v>
      </c>
    </row>
    <row r="20891" spans="1:6" ht="12.75">
      <c r="A20891" s="8">
        <v>43894.915879629625</v>
      </c>
      <c r="B20891" s="8" t="str">
        <f>HYPERLINK("https://twitter.com/Yoesoef41905253","@Yoesoef41905253")</f>
        <v>@Yoesoef41905253</v>
      </c>
      <c r="C20891" s="8" t="s">
        <v>8549</v>
      </c>
      <c r="D20891" s="8">
        <v>0</v>
      </c>
      <c r="E20891" s="8">
        <v>0</v>
      </c>
      <c r="F20891" s="8">
        <v>3</v>
      </c>
    </row>
    <row r="20892" spans="1:6" ht="12.75">
      <c r="A20892" s="8">
        <v>43894.915833333333</v>
      </c>
      <c r="B20892" s="8" t="str">
        <f>HYPERLINK("https://twitter.com/dinishabrina","@dinishabrina")</f>
        <v>@dinishabrina</v>
      </c>
      <c r="C20892" s="8" t="s">
        <v>1427</v>
      </c>
      <c r="D20892" s="8">
        <v>1037</v>
      </c>
      <c r="E20892" s="8">
        <v>0</v>
      </c>
      <c r="F20892" s="8">
        <v>280</v>
      </c>
    </row>
    <row r="20893" spans="1:6" ht="12.75">
      <c r="A20893" s="8">
        <v>43894.915659722217</v>
      </c>
      <c r="B20893" s="8" t="str">
        <f>HYPERLINK("https://twitter.com/AlbertSolo2","@AlbertSolo2")</f>
        <v>@AlbertSolo2</v>
      </c>
      <c r="C20893" s="8" t="s">
        <v>2979</v>
      </c>
      <c r="D20893" s="8">
        <v>70</v>
      </c>
      <c r="E20893" s="8">
        <v>0</v>
      </c>
      <c r="F20893" s="8">
        <v>691</v>
      </c>
    </row>
    <row r="20894" spans="1:6" ht="12.75">
      <c r="A20894" s="8">
        <v>43894.91542824074</v>
      </c>
      <c r="B20894" s="8" t="str">
        <f>HYPERLINK("https://twitter.com/AndreantoHendra","@AndreantoHendra")</f>
        <v>@AndreantoHendra</v>
      </c>
      <c r="C20894" s="8" t="s">
        <v>2979</v>
      </c>
      <c r="D20894" s="8">
        <v>70</v>
      </c>
      <c r="E20894" s="8">
        <v>0</v>
      </c>
      <c r="F20894" s="8">
        <v>1353</v>
      </c>
    </row>
    <row r="20895" spans="1:6" ht="12.75">
      <c r="A20895" s="8">
        <v>43894.915393518517</v>
      </c>
      <c r="B20895" s="8" t="str">
        <f>HYPERLINK("https://twitter.com/mediaindonesia","@mediaindonesia")</f>
        <v>@mediaindonesia</v>
      </c>
      <c r="C20895" s="8" t="s">
        <v>8550</v>
      </c>
      <c r="D20895" s="8">
        <v>1</v>
      </c>
      <c r="E20895" s="8">
        <v>3</v>
      </c>
      <c r="F20895" s="8">
        <v>1420209</v>
      </c>
    </row>
    <row r="20896" spans="1:6" ht="12.75">
      <c r="A20896" s="8">
        <v>43894.915300925924</v>
      </c>
      <c r="B20896" s="8" t="str">
        <f>HYPERLINK("https://twitter.com/tomsamaja","@tomsamaja")</f>
        <v>@tomsamaja</v>
      </c>
      <c r="C20896" s="8" t="s">
        <v>7473</v>
      </c>
      <c r="D20896" s="8">
        <v>90</v>
      </c>
      <c r="E20896" s="8">
        <v>0</v>
      </c>
      <c r="F20896" s="8">
        <v>2963</v>
      </c>
    </row>
    <row r="20897" spans="1:6" ht="12.75">
      <c r="A20897" s="8">
        <v>43894.914942129632</v>
      </c>
      <c r="B20897" s="8" t="str">
        <f>HYPERLINK("https://twitter.com/MujaFadhil","@MujaFadhil")</f>
        <v>@MujaFadhil</v>
      </c>
      <c r="C20897" s="8" t="s">
        <v>8551</v>
      </c>
      <c r="D20897" s="8">
        <v>0</v>
      </c>
      <c r="E20897" s="8">
        <v>0</v>
      </c>
      <c r="F20897" s="8">
        <v>27</v>
      </c>
    </row>
    <row r="20898" spans="1:6" ht="12.75">
      <c r="A20898" s="8">
        <v>43894.914803240739</v>
      </c>
      <c r="B20898" s="8" t="str">
        <f>HYPERLINK("https://twitter.com/ichsan_fadhilah","@ichsan_fadhilah")</f>
        <v>@ichsan_fadhilah</v>
      </c>
      <c r="C20898" s="8" t="s">
        <v>8552</v>
      </c>
      <c r="D20898" s="8">
        <v>0</v>
      </c>
      <c r="E20898" s="8">
        <v>0</v>
      </c>
      <c r="F20898" s="8">
        <v>297</v>
      </c>
    </row>
    <row r="20899" spans="1:6" ht="12.75">
      <c r="A20899" s="8">
        <v>43894.914664351847</v>
      </c>
      <c r="B20899" s="8" t="str">
        <f>HYPERLINK("https://twitter.com/william_ghozali","@william_ghozali")</f>
        <v>@william_ghozali</v>
      </c>
      <c r="C20899" s="8" t="s">
        <v>8115</v>
      </c>
      <c r="D20899" s="8">
        <v>212</v>
      </c>
      <c r="E20899" s="8">
        <v>0</v>
      </c>
      <c r="F20899" s="8">
        <v>88</v>
      </c>
    </row>
    <row r="20900" spans="1:6" ht="12.75">
      <c r="A20900" s="8">
        <v>43894.914467592593</v>
      </c>
      <c r="B20900" s="8" t="str">
        <f>HYPERLINK("https://twitter.com/__MV_llestari__","@__MV_llestari__")</f>
        <v>@__MV_llestari__</v>
      </c>
      <c r="C20900" s="8" t="s">
        <v>8553</v>
      </c>
      <c r="D20900" s="8">
        <v>1</v>
      </c>
      <c r="E20900" s="8">
        <v>0</v>
      </c>
      <c r="F20900" s="8">
        <v>9357</v>
      </c>
    </row>
    <row r="20901" spans="1:6" ht="12.75">
      <c r="A20901" s="8">
        <v>43894.913981481484</v>
      </c>
      <c r="B20901" s="8" t="str">
        <f>HYPERLINK("https://twitter.com/becak125cc","@becak125cc")</f>
        <v>@becak125cc</v>
      </c>
      <c r="C20901" s="8" t="s">
        <v>7473</v>
      </c>
      <c r="D20901" s="8">
        <v>90</v>
      </c>
      <c r="E20901" s="8">
        <v>0</v>
      </c>
      <c r="F20901" s="8">
        <v>541</v>
      </c>
    </row>
    <row r="20902" spans="1:6" ht="12.75">
      <c r="A20902" s="8">
        <v>43894.913541666669</v>
      </c>
      <c r="B20902" s="8" t="str">
        <f>HYPERLINK("https://twitter.com/kuyabatok","@kuyabatok")</f>
        <v>@kuyabatok</v>
      </c>
      <c r="C20902" s="8" t="s">
        <v>8554</v>
      </c>
      <c r="D20902" s="8">
        <v>4</v>
      </c>
      <c r="E20902" s="8">
        <v>0</v>
      </c>
      <c r="F20902" s="8">
        <v>1178</v>
      </c>
    </row>
    <row r="20903" spans="1:6" ht="12.75">
      <c r="A20903" s="8">
        <v>43894.913240740745</v>
      </c>
      <c r="B20903" s="8" t="str">
        <f>HYPERLINK("https://twitter.com/AndreYofie","@AndreYofie")</f>
        <v>@AndreYofie</v>
      </c>
      <c r="C20903" s="8" t="s">
        <v>8555</v>
      </c>
      <c r="D20903" s="8">
        <v>0</v>
      </c>
      <c r="E20903" s="8">
        <v>0</v>
      </c>
      <c r="F20903" s="8">
        <v>30</v>
      </c>
    </row>
    <row r="20904" spans="1:6" ht="12.75">
      <c r="A20904" s="8">
        <v>43894.913124999999</v>
      </c>
      <c r="B20904" s="8" t="str">
        <f>HYPERLINK("https://twitter.com/MARGAxSATWA","@MARGAxSATWA")</f>
        <v>@MARGAxSATWA</v>
      </c>
      <c r="C20904" s="8" t="s">
        <v>8556</v>
      </c>
      <c r="D20904" s="8">
        <v>0</v>
      </c>
      <c r="E20904" s="8">
        <v>0</v>
      </c>
      <c r="F20904" s="8">
        <v>152</v>
      </c>
    </row>
    <row r="20905" spans="1:6" ht="12.75">
      <c r="A20905" s="8">
        <v>43894.913113425922</v>
      </c>
      <c r="B20905" s="8" t="str">
        <f>HYPERLINK("https://twitter.com/sendy2moveon","@sendy2moveon")</f>
        <v>@sendy2moveon</v>
      </c>
      <c r="C20905" s="8" t="s">
        <v>7715</v>
      </c>
      <c r="D20905" s="8">
        <v>28</v>
      </c>
      <c r="E20905" s="8">
        <v>0</v>
      </c>
      <c r="F20905" s="8">
        <v>390</v>
      </c>
    </row>
    <row r="20906" spans="1:6" ht="12.75">
      <c r="A20906" s="8">
        <v>43894.912928240738</v>
      </c>
      <c r="B20906" s="8" t="str">
        <f>HYPERLINK("https://twitter.com/Darussa63306696","@Darussa63306696")</f>
        <v>@Darussa63306696</v>
      </c>
      <c r="C20906" s="8" t="s">
        <v>7473</v>
      </c>
      <c r="D20906" s="8">
        <v>90</v>
      </c>
      <c r="E20906" s="8">
        <v>0</v>
      </c>
      <c r="F20906" s="8">
        <v>176</v>
      </c>
    </row>
    <row r="20907" spans="1:6" ht="12.75">
      <c r="A20907" s="8">
        <v>43894.912812499999</v>
      </c>
      <c r="B20907" s="8" t="str">
        <f>HYPERLINK("https://twitter.com/stepbystep_08","@stepbystep_08")</f>
        <v>@stepbystep_08</v>
      </c>
      <c r="C20907" s="8" t="s">
        <v>6710</v>
      </c>
      <c r="D20907" s="8">
        <v>405</v>
      </c>
      <c r="E20907" s="8">
        <v>0</v>
      </c>
      <c r="F20907" s="8">
        <v>0</v>
      </c>
    </row>
    <row r="20908" spans="1:6" ht="12.75">
      <c r="A20908" s="8">
        <v>43894.912766203706</v>
      </c>
      <c r="B20908" s="8" t="str">
        <f>HYPERLINK("https://twitter.com/RantyCapung","@RantyCapung")</f>
        <v>@RantyCapung</v>
      </c>
      <c r="C20908" s="8" t="s">
        <v>8557</v>
      </c>
      <c r="D20908" s="8">
        <v>0</v>
      </c>
      <c r="E20908" s="8">
        <v>1</v>
      </c>
      <c r="F20908" s="8">
        <v>177</v>
      </c>
    </row>
    <row r="20909" spans="1:6" ht="12.75">
      <c r="A20909" s="8">
        <v>43894.912592592591</v>
      </c>
      <c r="B20909" s="8" t="str">
        <f>HYPERLINK("https://twitter.com/becak125cc","@becak125cc")</f>
        <v>@becak125cc</v>
      </c>
      <c r="C20909" s="8" t="s">
        <v>8066</v>
      </c>
      <c r="D20909" s="8">
        <v>66</v>
      </c>
      <c r="E20909" s="8">
        <v>0</v>
      </c>
      <c r="F20909" s="8">
        <v>541</v>
      </c>
    </row>
    <row r="20910" spans="1:6" ht="12.75">
      <c r="A20910" s="8">
        <v>43894.91233796296</v>
      </c>
      <c r="B20910" s="8" t="str">
        <f>HYPERLINK("https://twitter.com/SgrBaby_","@SgrBaby_")</f>
        <v>@SgrBaby_</v>
      </c>
      <c r="C20910" s="8" t="s">
        <v>8558</v>
      </c>
      <c r="D20910" s="8">
        <v>3</v>
      </c>
      <c r="E20910" s="8">
        <v>0</v>
      </c>
      <c r="F20910" s="8">
        <v>716</v>
      </c>
    </row>
    <row r="20911" spans="1:6" ht="12.75">
      <c r="A20911" s="8">
        <v>43894.912314814814</v>
      </c>
      <c r="B20911" s="8" t="str">
        <f>HYPERLINK("https://twitter.com/william_ghozali","@william_ghozali")</f>
        <v>@william_ghozali</v>
      </c>
      <c r="C20911" s="8" t="s">
        <v>8212</v>
      </c>
      <c r="D20911" s="8">
        <v>152</v>
      </c>
      <c r="E20911" s="8">
        <v>0</v>
      </c>
      <c r="F20911" s="8">
        <v>88</v>
      </c>
    </row>
    <row r="20912" spans="1:6" ht="12.75">
      <c r="A20912" s="8">
        <v>43894.912210648152</v>
      </c>
      <c r="B20912" s="8" t="str">
        <f>HYPERLINK("https://twitter.com/VaniaaTasya","@VaniaaTasya")</f>
        <v>@VaniaaTasya</v>
      </c>
      <c r="C20912" s="8" t="s">
        <v>8559</v>
      </c>
      <c r="D20912" s="8">
        <v>0</v>
      </c>
      <c r="E20912" s="8">
        <v>0</v>
      </c>
      <c r="F20912" s="8">
        <v>21</v>
      </c>
    </row>
    <row r="20913" spans="1:6" ht="12.75">
      <c r="A20913" s="8">
        <v>43894.912083333329</v>
      </c>
      <c r="B20913" s="8" t="str">
        <f>HYPERLINK("https://twitter.com/AnakLolina","@AnakLolina")</f>
        <v>@AnakLolina</v>
      </c>
      <c r="C20913" s="8" t="s">
        <v>7796</v>
      </c>
      <c r="D20913" s="8">
        <v>81</v>
      </c>
      <c r="E20913" s="8">
        <v>0</v>
      </c>
      <c r="F20913" s="8">
        <v>15137</v>
      </c>
    </row>
    <row r="20914" spans="1:6" ht="12.75">
      <c r="A20914" s="8">
        <v>43894.912037037036</v>
      </c>
      <c r="B20914" s="8" t="str">
        <f>HYPERLINK("https://twitter.com/ekopriyobondowo","@ekopriyobondowo")</f>
        <v>@ekopriyobondowo</v>
      </c>
      <c r="C20914" s="8" t="s">
        <v>2979</v>
      </c>
      <c r="D20914" s="8">
        <v>70</v>
      </c>
      <c r="E20914" s="8">
        <v>0</v>
      </c>
      <c r="F20914" s="8">
        <v>30</v>
      </c>
    </row>
    <row r="20915" spans="1:6" ht="12.75">
      <c r="A20915" s="8">
        <v>43894.91201388889</v>
      </c>
      <c r="B20915" s="8" t="str">
        <f>HYPERLINK("https://twitter.com/oji_saeroji","@oji_saeroji")</f>
        <v>@oji_saeroji</v>
      </c>
      <c r="C20915" s="8" t="s">
        <v>8560</v>
      </c>
      <c r="D20915" s="8">
        <v>1</v>
      </c>
      <c r="E20915" s="8">
        <v>1</v>
      </c>
      <c r="F20915" s="8">
        <v>355</v>
      </c>
    </row>
    <row r="20916" spans="1:6" ht="12.75">
      <c r="A20916" s="8">
        <v>43894.911932870367</v>
      </c>
      <c r="B20916" s="8" t="str">
        <f>HYPERLINK("https://twitter.com/nafiri78","@nafiri78")</f>
        <v>@nafiri78</v>
      </c>
      <c r="C20916" s="8" t="s">
        <v>7473</v>
      </c>
      <c r="D20916" s="8">
        <v>90</v>
      </c>
      <c r="E20916" s="8">
        <v>0</v>
      </c>
      <c r="F20916" s="8">
        <v>1289</v>
      </c>
    </row>
    <row r="20917" spans="1:6" ht="12.75">
      <c r="A20917" s="8">
        <v>43894.911759259259</v>
      </c>
      <c r="B20917" s="8" t="str">
        <f>HYPERLINK("https://twitter.com/Bentalakelam","@Bentalakelam")</f>
        <v>@Bentalakelam</v>
      </c>
      <c r="C20917" s="8" t="s">
        <v>2979</v>
      </c>
      <c r="D20917" s="8">
        <v>70</v>
      </c>
      <c r="E20917" s="8">
        <v>0</v>
      </c>
      <c r="F20917" s="8">
        <v>2377</v>
      </c>
    </row>
    <row r="20918" spans="1:6" ht="12.75">
      <c r="A20918" s="8">
        <v>43894.911712962959</v>
      </c>
      <c r="B20918" s="8" t="str">
        <f>HYPERLINK("https://twitter.com/Setiaguna111","@Setiaguna111")</f>
        <v>@Setiaguna111</v>
      </c>
      <c r="C20918" s="8" t="s">
        <v>6710</v>
      </c>
      <c r="D20918" s="8">
        <v>405</v>
      </c>
      <c r="E20918" s="8">
        <v>0</v>
      </c>
      <c r="F20918" s="8">
        <v>8</v>
      </c>
    </row>
    <row r="20919" spans="1:6" ht="12.75">
      <c r="A20919" s="8">
        <v>43894.911678240736</v>
      </c>
      <c r="B20919" s="8" t="str">
        <f>HYPERLINK("https://twitter.com/AdellAlhadid","@AdellAlhadid")</f>
        <v>@AdellAlhadid</v>
      </c>
      <c r="C20919" s="8" t="s">
        <v>8542</v>
      </c>
      <c r="D20919" s="8">
        <v>0</v>
      </c>
      <c r="E20919" s="8">
        <v>0</v>
      </c>
      <c r="F20919" s="8">
        <v>49</v>
      </c>
    </row>
    <row r="20920" spans="1:6" ht="12.75">
      <c r="A20920" s="8">
        <v>43894.911597222221</v>
      </c>
      <c r="B20920" s="8" t="str">
        <f>HYPERLINK("https://twitter.com/becak125cc","@becak125cc")</f>
        <v>@becak125cc</v>
      </c>
      <c r="C20920" s="8" t="s">
        <v>2979</v>
      </c>
      <c r="D20920" s="8">
        <v>70</v>
      </c>
      <c r="E20920" s="8">
        <v>0</v>
      </c>
      <c r="F20920" s="8">
        <v>541</v>
      </c>
    </row>
    <row r="20921" spans="1:6" ht="12.75">
      <c r="A20921" s="8">
        <v>43894.911562499998</v>
      </c>
      <c r="B20921" s="8" t="str">
        <f>HYPERLINK("https://twitter.com/aintgoods","@aintgoods")</f>
        <v>@aintgoods</v>
      </c>
      <c r="C20921" s="8" t="s">
        <v>8218</v>
      </c>
      <c r="D20921" s="8">
        <v>2</v>
      </c>
      <c r="E20921" s="8">
        <v>0</v>
      </c>
      <c r="F20921" s="8">
        <v>149</v>
      </c>
    </row>
    <row r="20922" spans="1:6" ht="12.75">
      <c r="A20922" s="8">
        <v>43894.911296296297</v>
      </c>
      <c r="B20922" s="8" t="str">
        <f>HYPERLINK("https://twitter.com/KarimaDuhita","@KarimaDuhita")</f>
        <v>@KarimaDuhita</v>
      </c>
      <c r="C20922" s="8" t="s">
        <v>8561</v>
      </c>
      <c r="D20922" s="8">
        <v>0</v>
      </c>
      <c r="E20922" s="8">
        <v>0</v>
      </c>
      <c r="F20922" s="8">
        <v>514</v>
      </c>
    </row>
    <row r="20923" spans="1:6" ht="12.75">
      <c r="A20923" s="8">
        <v>43894.91128472222</v>
      </c>
      <c r="B20923" s="8" t="str">
        <f>HYPERLINK("https://twitter.com/DatuakAtuk","@DatuakAtuk")</f>
        <v>@DatuakAtuk</v>
      </c>
      <c r="C20923" s="8" t="s">
        <v>8562</v>
      </c>
      <c r="D20923" s="8">
        <v>1794</v>
      </c>
      <c r="E20923" s="8">
        <v>0</v>
      </c>
      <c r="F20923" s="8">
        <v>719</v>
      </c>
    </row>
    <row r="20924" spans="1:6" ht="12.75">
      <c r="A20924" s="8">
        <v>43894.911215277782</v>
      </c>
      <c r="B20924" s="8" t="str">
        <f t="shared" ref="B20924:B20925" si="309">HYPERLINK("https://twitter.com/Danimas19","@Danimas19")</f>
        <v>@Danimas19</v>
      </c>
      <c r="C20924" s="8" t="s">
        <v>8563</v>
      </c>
      <c r="D20924" s="8">
        <v>3651</v>
      </c>
      <c r="E20924" s="8">
        <v>0</v>
      </c>
      <c r="F20924" s="8">
        <v>82</v>
      </c>
    </row>
    <row r="20925" spans="1:6" ht="12.75">
      <c r="A20925" s="8">
        <v>43894.911041666666</v>
      </c>
      <c r="B20925" s="8" t="str">
        <f t="shared" si="309"/>
        <v>@Danimas19</v>
      </c>
      <c r="C20925" s="8" t="s">
        <v>8562</v>
      </c>
      <c r="D20925" s="8">
        <v>1794</v>
      </c>
      <c r="E20925" s="8">
        <v>0</v>
      </c>
      <c r="F20925" s="8">
        <v>82</v>
      </c>
    </row>
    <row r="20926" spans="1:6" ht="12.75">
      <c r="A20926" s="8">
        <v>43894.910844907412</v>
      </c>
      <c r="B20926" s="8" t="str">
        <f>HYPERLINK("https://twitter.com/AbyuBagas","@AbyuBagas")</f>
        <v>@AbyuBagas</v>
      </c>
      <c r="C20926" s="8" t="s">
        <v>8545</v>
      </c>
      <c r="D20926" s="8">
        <v>0</v>
      </c>
      <c r="E20926" s="8">
        <v>0</v>
      </c>
      <c r="F20926" s="8">
        <v>36</v>
      </c>
    </row>
    <row r="20927" spans="1:6" ht="12.75">
      <c r="A20927" s="8">
        <v>43894.910775462966</v>
      </c>
      <c r="B20927" s="8" t="str">
        <f>HYPERLINK("https://twitter.com/Hendra27122013","@Hendra27122013")</f>
        <v>@Hendra27122013</v>
      </c>
      <c r="C20927" s="8" t="s">
        <v>3285</v>
      </c>
      <c r="D20927" s="8">
        <v>69</v>
      </c>
      <c r="E20927" s="8">
        <v>0</v>
      </c>
      <c r="F20927" s="8">
        <v>566</v>
      </c>
    </row>
    <row r="20928" spans="1:6" ht="12.75">
      <c r="A20928" s="8">
        <v>43894.91070601852</v>
      </c>
      <c r="B20928" s="8" t="str">
        <f>HYPERLINK("https://twitter.com/Rikyrik87565047","@Rikyrik87565047")</f>
        <v>@Rikyrik87565047</v>
      </c>
      <c r="C20928" s="8" t="s">
        <v>6710</v>
      </c>
      <c r="D20928" s="8">
        <v>405</v>
      </c>
      <c r="E20928" s="8">
        <v>0</v>
      </c>
      <c r="F20928" s="8">
        <v>6</v>
      </c>
    </row>
    <row r="20929" spans="1:6" ht="12.75">
      <c r="A20929" s="8">
        <v>43894.910682870366</v>
      </c>
      <c r="B20929" s="8" t="str">
        <f>HYPERLINK("https://twitter.com/iNewsID","@iNewsID")</f>
        <v>@iNewsID</v>
      </c>
      <c r="C20929" s="8" t="s">
        <v>8564</v>
      </c>
      <c r="D20929" s="8">
        <v>0</v>
      </c>
      <c r="E20929" s="8">
        <v>0</v>
      </c>
      <c r="F20929" s="8">
        <v>1359</v>
      </c>
    </row>
    <row r="20930" spans="1:6" ht="12.75">
      <c r="A20930" s="8">
        <v>43894.910462962958</v>
      </c>
      <c r="B20930" s="8" t="str">
        <f>HYPERLINK("https://twitter.com/bpriady","@bpriady")</f>
        <v>@bpriady</v>
      </c>
      <c r="C20930" s="8" t="s">
        <v>5852</v>
      </c>
      <c r="D20930" s="8">
        <v>12</v>
      </c>
      <c r="E20930" s="8">
        <v>0</v>
      </c>
      <c r="F20930" s="8">
        <v>606</v>
      </c>
    </row>
    <row r="20931" spans="1:6" ht="12.75">
      <c r="A20931" s="8">
        <v>43894.910405092596</v>
      </c>
      <c r="B20931" s="8" t="str">
        <f>HYPERLINK("https://twitter.com/zubhan08","@zubhan08")</f>
        <v>@zubhan08</v>
      </c>
      <c r="C20931" s="8" t="s">
        <v>2979</v>
      </c>
      <c r="D20931" s="8">
        <v>70</v>
      </c>
      <c r="E20931" s="8">
        <v>0</v>
      </c>
      <c r="F20931" s="8">
        <v>1135</v>
      </c>
    </row>
    <row r="20932" spans="1:6" ht="12.75">
      <c r="A20932" s="8">
        <v>43894.91006944445</v>
      </c>
      <c r="B20932" s="8" t="str">
        <f>HYPERLINK("https://twitter.com/rullyjoo27","@rullyjoo27")</f>
        <v>@rullyjoo27</v>
      </c>
      <c r="C20932" s="8" t="s">
        <v>7845</v>
      </c>
      <c r="D20932" s="8">
        <v>61</v>
      </c>
      <c r="E20932" s="8">
        <v>0</v>
      </c>
      <c r="F20932" s="8">
        <v>2173</v>
      </c>
    </row>
    <row r="20933" spans="1:6" ht="12.75">
      <c r="A20933" s="8">
        <v>43894.909791666665</v>
      </c>
      <c r="B20933" s="8" t="str">
        <f>HYPERLINK("https://twitter.com/NuugrohoAditya","@NuugrohoAditya")</f>
        <v>@NuugrohoAditya</v>
      </c>
      <c r="C20933" s="8" t="s">
        <v>8548</v>
      </c>
      <c r="D20933" s="8">
        <v>0</v>
      </c>
      <c r="E20933" s="8">
        <v>0</v>
      </c>
      <c r="F20933" s="8">
        <v>26</v>
      </c>
    </row>
    <row r="20934" spans="1:6" ht="12.75">
      <c r="A20934" s="8">
        <v>43894.909594907411</v>
      </c>
      <c r="B20934" s="8" t="str">
        <f>HYPERLINK("https://twitter.com/wiriantowidjaya","@wiriantowidjaya")</f>
        <v>@wiriantowidjaya</v>
      </c>
      <c r="C20934" s="8" t="s">
        <v>7473</v>
      </c>
      <c r="D20934" s="8">
        <v>90</v>
      </c>
      <c r="E20934" s="8">
        <v>0</v>
      </c>
      <c r="F20934" s="8">
        <v>1557</v>
      </c>
    </row>
    <row r="20935" spans="1:6" ht="12.75">
      <c r="A20935" s="8">
        <v>43894.909571759257</v>
      </c>
      <c r="B20935" s="8" t="str">
        <f>HYPERLINK("https://twitter.com/anantanurizki","@anantanurizki")</f>
        <v>@anantanurizki</v>
      </c>
      <c r="C20935" s="8" t="s">
        <v>7643</v>
      </c>
      <c r="D20935" s="8">
        <v>10</v>
      </c>
      <c r="E20935" s="8">
        <v>0</v>
      </c>
      <c r="F20935" s="8">
        <v>591</v>
      </c>
    </row>
    <row r="20936" spans="1:6" ht="12.75">
      <c r="A20936" s="8">
        <v>43894.909456018519</v>
      </c>
      <c r="B20936" s="8" t="str">
        <f>HYPERLINK("https://twitter.com/wiriantowidjaya","@wiriantowidjaya")</f>
        <v>@wiriantowidjaya</v>
      </c>
      <c r="C20936" s="8" t="s">
        <v>2979</v>
      </c>
      <c r="D20936" s="8">
        <v>70</v>
      </c>
      <c r="E20936" s="8">
        <v>0</v>
      </c>
      <c r="F20936" s="8">
        <v>1557</v>
      </c>
    </row>
    <row r="20937" spans="1:6" ht="12.75">
      <c r="A20937" s="8">
        <v>43894.909363425926</v>
      </c>
      <c r="B20937" s="8" t="str">
        <f>HYPERLINK("https://twitter.com/carthagoh","@carthagoh")</f>
        <v>@carthagoh</v>
      </c>
      <c r="C20937" s="8" t="s">
        <v>7575</v>
      </c>
      <c r="D20937" s="8">
        <v>45</v>
      </c>
      <c r="E20937" s="8">
        <v>0</v>
      </c>
      <c r="F20937" s="8">
        <v>128</v>
      </c>
    </row>
    <row r="20938" spans="1:6" ht="12.75">
      <c r="A20938" s="8">
        <v>43894.909351851849</v>
      </c>
      <c r="B20938" s="8" t="str">
        <f>HYPERLINK("https://twitter.com/Bobby4574676035","@Bobby4574676035")</f>
        <v>@Bobby4574676035</v>
      </c>
      <c r="C20938" s="8" t="s">
        <v>7715</v>
      </c>
      <c r="D20938" s="8">
        <v>28</v>
      </c>
      <c r="E20938" s="8">
        <v>0</v>
      </c>
      <c r="F20938" s="8">
        <v>207</v>
      </c>
    </row>
    <row r="20939" spans="1:6" ht="12.75">
      <c r="A20939" s="8">
        <v>43894.909328703703</v>
      </c>
      <c r="B20939" s="8" t="str">
        <f>HYPERLINK("https://twitter.com/Mr692142","@Mr692142")</f>
        <v>@Mr692142</v>
      </c>
      <c r="C20939" s="8" t="s">
        <v>8115</v>
      </c>
      <c r="D20939" s="8">
        <v>212</v>
      </c>
      <c r="E20939" s="8">
        <v>0</v>
      </c>
      <c r="F20939" s="8">
        <v>33</v>
      </c>
    </row>
    <row r="20940" spans="1:6" ht="12.75">
      <c r="A20940" s="8">
        <v>43894.909143518518</v>
      </c>
      <c r="B20940" s="8" t="str">
        <f>HYPERLINK("https://twitter.com/firaunrebahan","@firaunrebahan")</f>
        <v>@firaunrebahan</v>
      </c>
      <c r="C20940" s="8" t="s">
        <v>7473</v>
      </c>
      <c r="D20940" s="8">
        <v>90</v>
      </c>
      <c r="E20940" s="8">
        <v>0</v>
      </c>
      <c r="F20940" s="8">
        <v>62</v>
      </c>
    </row>
    <row r="20941" spans="1:6" ht="12.75">
      <c r="A20941" s="8">
        <v>43894.908761574072</v>
      </c>
      <c r="B20941" s="8" t="str">
        <f>HYPERLINK("https://twitter.com/deddoy07","@deddoy07")</f>
        <v>@deddoy07</v>
      </c>
      <c r="C20941" s="8" t="s">
        <v>8565</v>
      </c>
      <c r="D20941" s="8">
        <v>0</v>
      </c>
      <c r="E20941" s="8">
        <v>0</v>
      </c>
      <c r="F20941" s="8">
        <v>137</v>
      </c>
    </row>
    <row r="20942" spans="1:6" ht="12.75">
      <c r="A20942" s="8">
        <v>43894.90861111111</v>
      </c>
      <c r="B20942" s="8" t="str">
        <f>HYPERLINK("https://twitter.com/AliSodiikin","@AliSodiikin")</f>
        <v>@AliSodiikin</v>
      </c>
      <c r="C20942" s="8" t="s">
        <v>8551</v>
      </c>
      <c r="D20942" s="8">
        <v>0</v>
      </c>
      <c r="E20942" s="8">
        <v>0</v>
      </c>
      <c r="F20942" s="8">
        <v>31</v>
      </c>
    </row>
    <row r="20943" spans="1:6" ht="12.75">
      <c r="A20943" s="8">
        <v>43894.908576388887</v>
      </c>
      <c r="B20943" s="8" t="str">
        <f>HYPERLINK("https://twitter.com/umaremania87","@umaremania87")</f>
        <v>@umaremania87</v>
      </c>
      <c r="C20943" s="8" t="s">
        <v>7643</v>
      </c>
      <c r="D20943" s="8">
        <v>10</v>
      </c>
      <c r="E20943" s="8">
        <v>0</v>
      </c>
      <c r="F20943" s="8">
        <v>315</v>
      </c>
    </row>
    <row r="20944" spans="1:6" ht="12.75">
      <c r="A20944" s="8">
        <v>43894.908564814818</v>
      </c>
      <c r="B20944" s="8" t="str">
        <f>HYPERLINK("https://twitter.com/fpi_sampah","@fpi_sampah")</f>
        <v>@fpi_sampah</v>
      </c>
      <c r="C20944" s="8" t="s">
        <v>8566</v>
      </c>
      <c r="D20944" s="8">
        <v>0</v>
      </c>
      <c r="E20944" s="8">
        <v>0</v>
      </c>
      <c r="F20944" s="8">
        <v>30</v>
      </c>
    </row>
    <row r="20945" spans="1:6" ht="12.75">
      <c r="A20945" s="8">
        <v>43894.908530092594</v>
      </c>
      <c r="B20945" s="8" t="str">
        <f>HYPERLINK("https://twitter.com/PratiwiBillah","@PratiwiBillah")</f>
        <v>@PratiwiBillah</v>
      </c>
      <c r="C20945" s="8" t="s">
        <v>8212</v>
      </c>
      <c r="D20945" s="8">
        <v>152</v>
      </c>
      <c r="E20945" s="8">
        <v>0</v>
      </c>
      <c r="F20945" s="8">
        <v>66</v>
      </c>
    </row>
    <row r="20946" spans="1:6" ht="12.75">
      <c r="A20946" s="8">
        <v>43894.908217592594</v>
      </c>
      <c r="B20946" s="8" t="str">
        <f>HYPERLINK("https://twitter.com/Budiady7","@Budiady7")</f>
        <v>@Budiady7</v>
      </c>
      <c r="C20946" s="8" t="s">
        <v>8567</v>
      </c>
      <c r="D20946" s="8">
        <v>0</v>
      </c>
      <c r="E20946" s="8">
        <v>0</v>
      </c>
      <c r="F20946" s="8">
        <v>174</v>
      </c>
    </row>
    <row r="20947" spans="1:6" ht="12.75">
      <c r="A20947" s="8">
        <v>43894.908078703702</v>
      </c>
      <c r="B20947" s="8" t="str">
        <f>HYPERLINK("https://twitter.com/AisSyariif","@AisSyariif")</f>
        <v>@AisSyariif</v>
      </c>
      <c r="C20947" s="8" t="s">
        <v>7473</v>
      </c>
      <c r="D20947" s="8">
        <v>90</v>
      </c>
      <c r="E20947" s="8">
        <v>0</v>
      </c>
      <c r="F20947" s="8">
        <v>873</v>
      </c>
    </row>
    <row r="20948" spans="1:6" ht="12.75">
      <c r="A20948" s="8"/>
      <c r="B20948" s="8"/>
      <c r="C20948" s="8"/>
      <c r="D20948" s="8"/>
      <c r="E20948" s="8"/>
      <c r="F20948" s="8"/>
    </row>
    <row r="20949" spans="1:6" ht="12.75">
      <c r="A20949" s="8"/>
      <c r="B20949" s="8"/>
      <c r="C20949" s="8"/>
      <c r="D20949" s="8"/>
      <c r="E20949" s="8"/>
      <c r="F20949" s="8"/>
    </row>
    <row r="20950" spans="1:6" ht="12.75">
      <c r="A20950" s="8"/>
      <c r="B20950" s="8"/>
      <c r="C20950" s="8"/>
      <c r="D20950" s="8"/>
      <c r="E20950" s="8"/>
      <c r="F20950" s="8"/>
    </row>
    <row r="20951" spans="1:6" ht="12.75">
      <c r="A20951" s="8"/>
      <c r="B20951" s="8"/>
      <c r="C20951" s="8"/>
      <c r="D20951" s="8"/>
      <c r="E20951" s="8"/>
      <c r="F20951" s="8"/>
    </row>
    <row r="20952" spans="1:6" ht="12.75">
      <c r="A20952" s="8"/>
      <c r="B20952" s="8"/>
      <c r="C20952" s="8"/>
      <c r="D20952" s="8"/>
      <c r="E20952" s="8"/>
      <c r="F20952" s="8"/>
    </row>
    <row r="20953" spans="1:6" ht="12.75">
      <c r="A20953" s="8"/>
      <c r="B20953" s="8"/>
      <c r="C20953" s="8"/>
      <c r="D20953" s="8"/>
      <c r="E20953" s="8"/>
      <c r="F20953" s="8"/>
    </row>
    <row r="20954" spans="1:6" ht="12.75">
      <c r="A20954" s="8"/>
      <c r="B20954" s="8"/>
      <c r="C20954" s="8"/>
      <c r="D20954" s="8"/>
      <c r="E20954" s="8"/>
      <c r="F20954" s="8"/>
    </row>
    <row r="20955" spans="1:6" ht="12.75">
      <c r="A20955" s="8"/>
      <c r="B20955" s="8"/>
      <c r="C20955" s="8"/>
      <c r="D20955" s="8"/>
      <c r="E20955" s="8"/>
      <c r="F20955" s="8"/>
    </row>
    <row r="20956" spans="1:6" ht="12.75">
      <c r="A20956" s="8"/>
      <c r="B20956" s="8"/>
      <c r="C20956" s="8"/>
      <c r="D20956" s="8"/>
      <c r="E20956" s="8"/>
      <c r="F20956" s="8"/>
    </row>
    <row r="20957" spans="1:6" ht="12.75">
      <c r="A20957" s="8"/>
      <c r="B20957" s="8"/>
      <c r="C20957" s="8"/>
      <c r="D20957" s="8"/>
      <c r="E20957" s="8"/>
      <c r="F20957" s="8"/>
    </row>
    <row r="20958" spans="1:6" ht="12.75">
      <c r="A20958" s="8"/>
      <c r="B20958" s="8"/>
      <c r="C20958" s="8"/>
      <c r="D20958" s="8"/>
      <c r="E20958" s="8"/>
      <c r="F20958" s="8"/>
    </row>
    <row r="20959" spans="1:6" ht="12.75">
      <c r="A20959" s="8"/>
      <c r="B20959" s="8"/>
      <c r="C20959" s="8"/>
      <c r="D20959" s="8"/>
      <c r="E20959" s="8"/>
      <c r="F20959" s="8"/>
    </row>
    <row r="20960" spans="1:6" ht="12.75">
      <c r="A20960" s="8"/>
      <c r="B20960" s="8"/>
      <c r="C20960" s="8"/>
      <c r="D20960" s="8"/>
      <c r="E20960" s="8"/>
      <c r="F20960" s="8"/>
    </row>
    <row r="20961" spans="1:6" ht="12.75">
      <c r="A20961" s="8"/>
      <c r="B20961" s="8"/>
      <c r="C20961" s="8"/>
      <c r="D20961" s="8"/>
      <c r="E20961" s="8"/>
      <c r="F20961" s="8"/>
    </row>
    <row r="20962" spans="1:6" ht="12.75">
      <c r="A20962" s="8"/>
      <c r="B20962" s="8"/>
      <c r="C20962" s="8"/>
      <c r="D20962" s="8"/>
      <c r="E20962" s="8"/>
      <c r="F20962" s="8"/>
    </row>
    <row r="20963" spans="1:6" ht="12.75">
      <c r="A20963" s="8"/>
      <c r="B20963" s="8"/>
      <c r="C20963" s="8"/>
      <c r="D20963" s="8"/>
      <c r="E20963" s="8"/>
      <c r="F20963" s="8"/>
    </row>
    <row r="20964" spans="1:6" ht="12.75">
      <c r="A20964" s="8"/>
      <c r="B20964" s="8"/>
      <c r="C20964" s="8"/>
      <c r="D20964" s="8"/>
      <c r="E20964" s="8"/>
      <c r="F20964" s="8"/>
    </row>
    <row r="20965" spans="1:6" ht="12.75">
      <c r="A20965" s="8"/>
      <c r="B20965" s="8"/>
      <c r="C20965" s="8"/>
      <c r="D20965" s="8"/>
      <c r="E20965" s="8"/>
      <c r="F20965" s="8"/>
    </row>
    <row r="20966" spans="1:6" ht="12.75">
      <c r="A20966" s="8"/>
      <c r="B20966" s="8"/>
      <c r="C20966" s="8"/>
      <c r="D20966" s="8"/>
      <c r="E20966" s="8"/>
      <c r="F20966" s="8"/>
    </row>
    <row r="20967" spans="1:6" ht="12.75">
      <c r="A20967" s="8"/>
      <c r="B20967" s="8"/>
      <c r="C20967" s="8"/>
      <c r="D20967" s="8"/>
      <c r="E20967" s="8"/>
      <c r="F20967" s="8"/>
    </row>
    <row r="20968" spans="1:6" ht="12.75">
      <c r="A20968" s="8"/>
      <c r="B20968" s="8"/>
      <c r="C20968" s="8"/>
      <c r="D20968" s="8"/>
      <c r="E20968" s="8"/>
      <c r="F20968" s="8"/>
    </row>
    <row r="20969" spans="1:6" ht="12.75">
      <c r="A20969" s="8"/>
      <c r="B20969" s="8"/>
      <c r="C20969" s="8"/>
      <c r="D20969" s="8"/>
      <c r="E20969" s="8"/>
      <c r="F20969" s="8"/>
    </row>
    <row r="20970" spans="1:6" ht="12.75">
      <c r="A20970" s="8"/>
      <c r="B20970" s="8"/>
      <c r="C20970" s="8"/>
      <c r="D20970" s="8"/>
      <c r="E20970" s="8"/>
      <c r="F20970" s="8"/>
    </row>
    <row r="20971" spans="1:6" ht="12.75">
      <c r="A20971" s="8"/>
      <c r="B20971" s="8"/>
      <c r="C20971" s="8"/>
      <c r="D20971" s="8"/>
      <c r="E20971" s="8"/>
      <c r="F20971" s="8"/>
    </row>
    <row r="20972" spans="1:6" ht="12.75">
      <c r="A20972" s="8"/>
      <c r="B20972" s="8"/>
      <c r="C20972" s="8"/>
      <c r="D20972" s="8"/>
      <c r="E20972" s="8"/>
      <c r="F20972" s="8"/>
    </row>
    <row r="20973" spans="1:6" ht="12.75">
      <c r="A20973" s="8"/>
      <c r="B20973" s="8"/>
      <c r="C20973" s="8"/>
      <c r="D20973" s="8"/>
      <c r="E20973" s="8"/>
      <c r="F20973" s="8"/>
    </row>
    <row r="20974" spans="1:6" ht="12.75">
      <c r="A20974" s="8"/>
      <c r="B20974" s="8"/>
      <c r="C20974" s="8"/>
      <c r="D20974" s="8"/>
      <c r="E20974" s="8"/>
      <c r="F20974" s="8"/>
    </row>
    <row r="20975" spans="1:6" ht="12.75">
      <c r="A20975" s="8"/>
      <c r="B20975" s="8"/>
      <c r="C20975" s="8"/>
      <c r="D20975" s="8"/>
      <c r="E20975" s="8"/>
      <c r="F20975" s="8"/>
    </row>
    <row r="20976" spans="1:6" ht="12.75">
      <c r="A20976" s="8"/>
      <c r="B20976" s="8"/>
      <c r="C20976" s="8"/>
      <c r="D20976" s="8"/>
      <c r="E20976" s="8"/>
      <c r="F20976" s="8"/>
    </row>
    <row r="20977" spans="1:6" ht="12.75">
      <c r="A20977" s="8"/>
      <c r="B20977" s="8"/>
      <c r="C20977" s="8"/>
      <c r="D20977" s="8"/>
      <c r="E20977" s="8"/>
      <c r="F20977" s="8"/>
    </row>
    <row r="20978" spans="1:6" ht="12.75">
      <c r="A20978" s="8"/>
      <c r="B20978" s="8"/>
      <c r="C20978" s="8"/>
      <c r="D20978" s="8"/>
      <c r="E20978" s="8"/>
      <c r="F20978" s="8"/>
    </row>
    <row r="20979" spans="1:6" ht="12.75">
      <c r="A20979" s="8"/>
      <c r="B20979" s="8"/>
      <c r="C20979" s="8"/>
      <c r="D20979" s="8"/>
      <c r="E20979" s="8"/>
      <c r="F20979" s="8"/>
    </row>
    <row r="20980" spans="1:6" ht="12.75">
      <c r="A20980" s="8"/>
      <c r="B20980" s="8"/>
      <c r="C20980" s="8"/>
      <c r="D20980" s="8"/>
      <c r="E20980" s="8"/>
      <c r="F20980" s="8"/>
    </row>
    <row r="20981" spans="1:6" ht="12.75">
      <c r="A20981" s="8"/>
      <c r="B20981" s="8"/>
      <c r="C20981" s="8"/>
      <c r="D20981" s="8"/>
      <c r="E20981" s="8"/>
      <c r="F20981" s="8"/>
    </row>
    <row r="20982" spans="1:6" ht="12.75">
      <c r="A20982" s="8"/>
      <c r="B20982" s="8"/>
      <c r="C20982" s="8"/>
      <c r="D20982" s="8"/>
      <c r="E20982" s="8"/>
      <c r="F20982" s="8"/>
    </row>
    <row r="20983" spans="1:6" ht="12.75">
      <c r="A20983" s="8"/>
      <c r="B20983" s="8"/>
      <c r="C20983" s="8"/>
      <c r="D20983" s="8"/>
      <c r="E20983" s="8"/>
      <c r="F20983" s="8"/>
    </row>
    <row r="20984" spans="1:6" ht="12.75">
      <c r="A20984" s="8"/>
      <c r="B20984" s="8"/>
      <c r="C20984" s="8"/>
      <c r="D20984" s="8"/>
      <c r="E20984" s="8"/>
      <c r="F20984" s="8"/>
    </row>
    <row r="20985" spans="1:6" ht="12.75">
      <c r="A20985" s="8"/>
      <c r="B20985" s="8"/>
      <c r="C20985" s="8"/>
      <c r="D20985" s="8"/>
      <c r="E20985" s="8"/>
      <c r="F20985" s="8"/>
    </row>
    <row r="20986" spans="1:6" ht="12.75">
      <c r="A20986" s="8"/>
      <c r="B20986" s="8"/>
      <c r="C20986" s="8"/>
      <c r="D20986" s="8"/>
      <c r="E20986" s="8"/>
      <c r="F20986" s="8"/>
    </row>
    <row r="20987" spans="1:6" ht="12.75">
      <c r="A20987" s="8"/>
      <c r="B20987" s="8"/>
      <c r="C20987" s="8"/>
      <c r="D20987" s="8"/>
      <c r="E20987" s="8"/>
      <c r="F20987" s="8"/>
    </row>
    <row r="20988" spans="1:6" ht="12.75">
      <c r="A20988" s="8"/>
      <c r="B20988" s="8"/>
      <c r="C20988" s="8"/>
      <c r="D20988" s="8"/>
      <c r="E20988" s="8"/>
      <c r="F20988" s="8"/>
    </row>
    <row r="20989" spans="1:6" ht="12.75">
      <c r="A20989" s="8"/>
      <c r="B20989" s="8"/>
      <c r="C20989" s="8"/>
      <c r="D20989" s="8"/>
      <c r="E20989" s="8"/>
      <c r="F20989" s="8"/>
    </row>
    <row r="20990" spans="1:6" ht="12.75">
      <c r="A20990" s="8"/>
      <c r="B20990" s="8"/>
      <c r="C20990" s="8"/>
      <c r="D20990" s="8"/>
      <c r="E20990" s="8"/>
      <c r="F20990" s="8"/>
    </row>
    <row r="20991" spans="1:6" ht="12.75">
      <c r="A20991" s="8"/>
      <c r="B20991" s="8"/>
      <c r="C20991" s="8"/>
      <c r="D20991" s="8"/>
      <c r="E20991" s="8"/>
      <c r="F20991" s="8"/>
    </row>
    <row r="20992" spans="1:6" ht="12.75">
      <c r="A20992" s="8"/>
      <c r="B20992" s="8"/>
      <c r="C20992" s="8"/>
      <c r="D20992" s="8"/>
      <c r="E20992" s="8"/>
      <c r="F20992" s="8"/>
    </row>
    <row r="20993" spans="1:6" ht="12.75">
      <c r="A20993" s="8"/>
      <c r="B20993" s="8"/>
      <c r="C20993" s="8"/>
      <c r="D20993" s="8"/>
      <c r="E20993" s="8"/>
      <c r="F20993" s="8"/>
    </row>
    <row r="20994" spans="1:6" ht="12.75">
      <c r="A20994" s="8"/>
      <c r="B20994" s="8"/>
      <c r="C20994" s="8"/>
      <c r="D20994" s="8"/>
      <c r="E20994" s="8"/>
      <c r="F20994" s="8"/>
    </row>
    <row r="20995" spans="1:6" ht="12.75">
      <c r="A20995" s="8"/>
      <c r="B20995" s="8"/>
      <c r="C20995" s="8"/>
      <c r="D20995" s="8"/>
      <c r="E20995" s="8"/>
      <c r="F20995" s="8"/>
    </row>
    <row r="20996" spans="1:6" ht="12.75">
      <c r="A20996" s="8"/>
      <c r="B20996" s="8"/>
      <c r="C20996" s="8"/>
      <c r="D20996" s="8"/>
      <c r="E20996" s="8"/>
      <c r="F20996" s="8"/>
    </row>
    <row r="20997" spans="1:6" ht="12.75">
      <c r="A20997" s="8"/>
      <c r="B20997" s="8"/>
      <c r="C20997" s="8"/>
      <c r="D20997" s="8"/>
      <c r="E20997" s="8"/>
      <c r="F20997" s="8"/>
    </row>
    <row r="20998" spans="1:6" ht="12.75">
      <c r="A20998" s="8"/>
      <c r="B20998" s="8"/>
      <c r="C20998" s="8"/>
      <c r="D20998" s="8"/>
      <c r="E20998" s="8"/>
      <c r="F20998" s="8"/>
    </row>
    <row r="20999" spans="1:6" ht="12.75">
      <c r="A20999" s="8"/>
      <c r="B20999" s="8"/>
      <c r="C20999" s="8"/>
      <c r="D20999" s="8"/>
      <c r="E20999" s="8"/>
      <c r="F20999" s="8"/>
    </row>
    <row r="21000" spans="1:6" ht="12.75">
      <c r="A21000" s="8"/>
      <c r="B21000" s="8"/>
      <c r="C21000" s="8"/>
      <c r="D21000" s="8"/>
      <c r="E21000" s="8"/>
      <c r="F21000" s="8"/>
    </row>
    <row r="21001" spans="1:6" ht="12.75">
      <c r="A21001" s="8"/>
      <c r="B21001" s="8"/>
      <c r="C21001" s="8"/>
      <c r="D21001" s="8"/>
      <c r="E21001" s="8"/>
      <c r="F21001" s="8"/>
    </row>
    <row r="21002" spans="1:6" ht="12.75">
      <c r="A21002" s="8"/>
      <c r="B21002" s="8"/>
      <c r="C21002" s="8"/>
      <c r="D21002" s="8"/>
      <c r="E21002" s="8"/>
      <c r="F21002" s="8"/>
    </row>
    <row r="21003" spans="1:6" ht="12.75">
      <c r="A21003" s="8"/>
      <c r="B21003" s="8"/>
      <c r="C21003" s="8"/>
      <c r="D21003" s="8"/>
      <c r="E21003" s="8"/>
      <c r="F21003" s="8"/>
    </row>
    <row r="21004" spans="1:6" ht="12.75">
      <c r="A21004" s="8"/>
      <c r="B21004" s="8"/>
      <c r="C21004" s="8"/>
      <c r="D21004" s="8"/>
      <c r="E21004" s="8"/>
      <c r="F21004" s="8"/>
    </row>
    <row r="21005" spans="1:6" ht="12.75">
      <c r="A21005" s="8"/>
      <c r="B21005" s="8"/>
      <c r="C21005" s="8"/>
      <c r="D21005" s="8"/>
      <c r="E21005" s="8"/>
      <c r="F21005" s="8"/>
    </row>
    <row r="21006" spans="1:6" ht="12.75">
      <c r="A21006" s="8"/>
      <c r="B21006" s="8"/>
      <c r="C21006" s="8"/>
      <c r="D21006" s="8"/>
      <c r="E21006" s="8"/>
      <c r="F21006" s="8"/>
    </row>
    <row r="21007" spans="1:6" ht="12.75">
      <c r="A21007" s="8"/>
      <c r="B21007" s="8"/>
      <c r="C21007" s="8"/>
      <c r="D21007" s="8"/>
      <c r="E21007" s="8"/>
      <c r="F21007" s="8"/>
    </row>
    <row r="21008" spans="1:6" ht="12.75">
      <c r="A21008" s="8"/>
      <c r="B21008" s="8"/>
      <c r="C21008" s="8"/>
      <c r="D21008" s="8"/>
      <c r="E21008" s="8"/>
      <c r="F21008" s="8"/>
    </row>
    <row r="21009" spans="1:6" ht="12.75">
      <c r="A21009" s="8"/>
      <c r="B21009" s="8"/>
      <c r="C21009" s="8"/>
      <c r="D21009" s="8"/>
      <c r="E21009" s="8"/>
      <c r="F21009" s="8"/>
    </row>
    <row r="21010" spans="1:6" ht="12.75">
      <c r="A21010" s="8"/>
      <c r="B21010" s="8"/>
      <c r="C21010" s="8"/>
      <c r="D21010" s="8"/>
      <c r="E21010" s="8"/>
      <c r="F21010" s="8"/>
    </row>
    <row r="21011" spans="1:6" ht="12.75">
      <c r="A21011" s="8"/>
      <c r="B21011" s="8"/>
      <c r="C21011" s="8"/>
      <c r="D21011" s="8"/>
      <c r="E21011" s="8"/>
      <c r="F21011" s="8"/>
    </row>
    <row r="21012" spans="1:6" ht="12.75">
      <c r="A21012" s="8"/>
      <c r="B21012" s="8"/>
      <c r="C21012" s="8"/>
      <c r="D21012" s="8"/>
      <c r="E21012" s="8"/>
      <c r="F21012" s="8"/>
    </row>
    <row r="21013" spans="1:6" ht="12.75">
      <c r="A21013" s="8"/>
      <c r="B21013" s="8"/>
      <c r="C21013" s="8"/>
      <c r="D21013" s="8"/>
      <c r="E21013" s="8"/>
      <c r="F21013" s="8"/>
    </row>
    <row r="21014" spans="1:6" ht="12.75">
      <c r="A21014" s="8"/>
      <c r="B21014" s="8"/>
      <c r="C21014" s="8"/>
      <c r="D21014" s="8"/>
      <c r="E21014" s="8"/>
      <c r="F21014" s="8"/>
    </row>
    <row r="21015" spans="1:6" ht="12.75">
      <c r="A21015" s="8"/>
      <c r="B21015" s="8"/>
      <c r="C21015" s="8"/>
      <c r="D21015" s="8"/>
      <c r="E21015" s="8"/>
      <c r="F21015" s="8"/>
    </row>
    <row r="21016" spans="1:6" ht="12.75">
      <c r="A21016" s="8"/>
      <c r="B21016" s="8"/>
      <c r="C21016" s="8"/>
      <c r="D21016" s="8"/>
      <c r="E21016" s="8"/>
      <c r="F21016" s="8"/>
    </row>
    <row r="21017" spans="1:6" ht="12.75">
      <c r="A21017" s="8"/>
      <c r="B21017" s="8"/>
      <c r="C21017" s="8"/>
      <c r="D21017" s="8"/>
      <c r="E21017" s="8"/>
      <c r="F21017" s="8"/>
    </row>
    <row r="21018" spans="1:6" ht="12.75">
      <c r="A21018" s="8"/>
      <c r="B21018" s="8"/>
      <c r="C21018" s="8"/>
      <c r="D21018" s="8"/>
      <c r="E21018" s="8"/>
      <c r="F21018" s="8"/>
    </row>
    <row r="21019" spans="1:6" ht="12.75">
      <c r="A21019" s="8"/>
      <c r="B21019" s="8"/>
      <c r="C21019" s="8"/>
      <c r="D21019" s="8"/>
      <c r="E21019" s="8"/>
      <c r="F21019" s="8"/>
    </row>
    <row r="21020" spans="1:6" ht="12.75">
      <c r="A21020" s="8"/>
      <c r="B21020" s="8"/>
      <c r="C21020" s="8"/>
      <c r="D21020" s="8"/>
      <c r="E21020" s="8"/>
      <c r="F21020" s="8"/>
    </row>
    <row r="21021" spans="1:6" ht="12.75">
      <c r="A21021" s="8"/>
      <c r="B21021" s="8"/>
      <c r="C21021" s="8"/>
      <c r="D21021" s="8"/>
      <c r="E21021" s="8"/>
      <c r="F21021" s="8"/>
    </row>
    <row r="21022" spans="1:6" ht="12.75">
      <c r="A21022" s="8"/>
      <c r="B21022" s="8"/>
      <c r="C21022" s="8"/>
      <c r="D21022" s="8"/>
      <c r="E21022" s="8"/>
      <c r="F21022" s="8"/>
    </row>
    <row r="21023" spans="1:6" ht="12.75">
      <c r="A21023" s="8"/>
      <c r="B21023" s="8"/>
      <c r="C21023" s="8"/>
      <c r="D21023" s="8"/>
      <c r="E21023" s="8"/>
      <c r="F21023" s="8"/>
    </row>
    <row r="21024" spans="1:6" ht="12.75">
      <c r="A21024" s="8"/>
      <c r="B21024" s="8"/>
      <c r="C21024" s="8"/>
      <c r="D21024" s="8"/>
      <c r="E21024" s="8"/>
      <c r="F21024" s="8"/>
    </row>
    <row r="21025" spans="1:6" ht="12.75">
      <c r="A21025" s="8"/>
      <c r="B21025" s="8"/>
      <c r="C21025" s="8"/>
      <c r="D21025" s="8"/>
      <c r="E21025" s="8"/>
      <c r="F21025" s="8"/>
    </row>
    <row r="21026" spans="1:6" ht="12.75">
      <c r="A21026" s="8"/>
      <c r="B21026" s="8"/>
      <c r="C21026" s="8"/>
      <c r="D21026" s="8"/>
      <c r="E21026" s="8"/>
      <c r="F21026" s="8"/>
    </row>
    <row r="21027" spans="1:6" ht="12.75">
      <c r="A21027" s="8"/>
      <c r="B21027" s="8"/>
      <c r="C21027" s="8"/>
      <c r="D21027" s="8"/>
      <c r="E21027" s="8"/>
      <c r="F21027" s="8"/>
    </row>
    <row r="21028" spans="1:6" ht="12.75">
      <c r="A21028" s="8"/>
      <c r="B21028" s="8"/>
      <c r="C21028" s="8"/>
      <c r="D21028" s="8"/>
      <c r="E21028" s="8"/>
      <c r="F21028" s="8"/>
    </row>
    <row r="21029" spans="1:6" ht="12.75">
      <c r="A21029" s="8"/>
      <c r="B21029" s="8"/>
      <c r="C21029" s="8"/>
      <c r="D21029" s="8"/>
      <c r="E21029" s="8"/>
      <c r="F21029" s="8"/>
    </row>
    <row r="21030" spans="1:6" ht="12.75">
      <c r="A21030" s="8"/>
      <c r="B21030" s="8"/>
      <c r="C21030" s="8"/>
      <c r="D21030" s="8"/>
      <c r="E21030" s="8"/>
      <c r="F21030" s="8"/>
    </row>
    <row r="21031" spans="1:6" ht="12.75">
      <c r="A21031" s="8"/>
      <c r="B21031" s="8"/>
      <c r="C21031" s="8"/>
      <c r="D21031" s="8"/>
      <c r="E21031" s="8"/>
      <c r="F21031" s="8"/>
    </row>
    <row r="21032" spans="1:6" ht="12.75">
      <c r="A21032" s="8"/>
      <c r="B21032" s="8"/>
      <c r="C21032" s="8"/>
      <c r="D21032" s="8"/>
      <c r="E21032" s="8"/>
      <c r="F21032" s="8"/>
    </row>
    <row r="21033" spans="1:6" ht="12.75">
      <c r="A21033" s="8"/>
      <c r="B21033" s="8"/>
      <c r="C21033" s="8"/>
      <c r="D21033" s="8"/>
      <c r="E21033" s="8"/>
      <c r="F21033" s="8"/>
    </row>
    <row r="21034" spans="1:6" ht="12.75">
      <c r="A21034" s="8"/>
      <c r="B21034" s="8"/>
      <c r="C21034" s="8"/>
      <c r="D21034" s="8"/>
      <c r="E21034" s="8"/>
      <c r="F21034" s="8"/>
    </row>
    <row r="21035" spans="1:6" ht="12.75">
      <c r="A21035" s="8"/>
      <c r="B21035" s="8"/>
      <c r="C21035" s="8"/>
      <c r="D21035" s="8"/>
      <c r="E21035" s="8"/>
      <c r="F21035" s="8"/>
    </row>
    <row r="21036" spans="1:6" ht="12.75">
      <c r="A21036" s="8"/>
      <c r="B21036" s="8"/>
      <c r="C21036" s="8"/>
      <c r="D21036" s="8"/>
      <c r="E21036" s="8"/>
      <c r="F21036" s="8"/>
    </row>
    <row r="21037" spans="1:6" ht="12.75">
      <c r="A21037" s="8"/>
      <c r="B21037" s="8"/>
      <c r="C21037" s="8"/>
      <c r="D21037" s="8"/>
      <c r="E21037" s="8"/>
      <c r="F21037" s="8"/>
    </row>
    <row r="21038" spans="1:6" ht="12.75">
      <c r="A21038" s="8"/>
      <c r="B21038" s="8"/>
      <c r="C21038" s="8"/>
      <c r="D21038" s="8"/>
      <c r="E21038" s="8"/>
      <c r="F21038" s="8"/>
    </row>
    <row r="21039" spans="1:6" ht="12.75">
      <c r="A21039" s="8"/>
      <c r="B21039" s="8"/>
      <c r="C21039" s="8"/>
      <c r="D21039" s="8"/>
      <c r="E21039" s="8"/>
      <c r="F21039" s="8"/>
    </row>
    <row r="21040" spans="1:6" ht="12.75">
      <c r="A21040" s="8"/>
      <c r="B21040" s="8"/>
      <c r="C21040" s="8"/>
      <c r="D21040" s="8"/>
      <c r="E21040" s="8"/>
      <c r="F21040" s="8"/>
    </row>
    <row r="21041" spans="1:6" ht="12.75">
      <c r="A21041" s="8"/>
      <c r="B21041" s="8"/>
      <c r="C21041" s="8"/>
      <c r="D21041" s="8"/>
      <c r="E21041" s="8"/>
      <c r="F21041" s="8"/>
    </row>
    <row r="21042" spans="1:6" ht="12.75">
      <c r="A21042" s="8"/>
      <c r="B21042" s="8"/>
      <c r="C21042" s="8"/>
      <c r="D21042" s="8"/>
      <c r="E21042" s="8"/>
      <c r="F21042" s="8"/>
    </row>
    <row r="21043" spans="1:6" ht="12.75">
      <c r="A21043" s="8"/>
      <c r="B21043" s="8"/>
      <c r="C21043" s="8"/>
      <c r="D21043" s="8"/>
      <c r="E21043" s="8"/>
      <c r="F21043" s="8"/>
    </row>
    <row r="21044" spans="1:6" ht="12.75">
      <c r="A21044" s="8"/>
      <c r="B21044" s="8"/>
      <c r="C21044" s="8"/>
      <c r="D21044" s="8"/>
      <c r="E21044" s="8"/>
      <c r="F21044" s="8"/>
    </row>
    <row r="21045" spans="1:6" ht="12.75">
      <c r="A21045" s="8"/>
      <c r="B21045" s="8"/>
      <c r="C21045" s="8"/>
      <c r="D21045" s="8"/>
      <c r="E21045" s="8"/>
      <c r="F21045" s="8"/>
    </row>
    <row r="21046" spans="1:6" ht="12.75">
      <c r="A21046" s="8"/>
      <c r="B21046" s="8"/>
      <c r="C21046" s="8"/>
      <c r="D21046" s="8"/>
      <c r="E21046" s="8"/>
      <c r="F21046" s="8"/>
    </row>
    <row r="21047" spans="1:6" ht="12.75">
      <c r="A21047" s="8"/>
      <c r="B21047" s="8"/>
      <c r="C21047" s="8"/>
      <c r="D21047" s="8"/>
      <c r="E21047" s="8"/>
      <c r="F21047" s="8"/>
    </row>
    <row r="21048" spans="1:6" ht="12.75">
      <c r="A21048" s="8">
        <v>43894.881678240738</v>
      </c>
      <c r="B21048" s="8" t="str">
        <f>HYPERLINK("https://twitter.com/RomeskoP","@RomeskoP")</f>
        <v>@RomeskoP</v>
      </c>
      <c r="C21048" s="8" t="s">
        <v>6710</v>
      </c>
      <c r="D21048" s="8">
        <v>390</v>
      </c>
      <c r="E21048" s="8">
        <v>0</v>
      </c>
      <c r="F21048" s="8">
        <v>2788</v>
      </c>
    </row>
    <row r="21049" spans="1:6" ht="12.75">
      <c r="A21049" s="8">
        <v>43894.881319444445</v>
      </c>
      <c r="B21049" s="8" t="str">
        <f>HYPERLINK("https://twitter.com/FloDeQueen","@FloDeQueen")</f>
        <v>@FloDeQueen</v>
      </c>
      <c r="C21049" s="8" t="s">
        <v>6710</v>
      </c>
      <c r="D21049" s="8">
        <v>390</v>
      </c>
      <c r="E21049" s="8">
        <v>0</v>
      </c>
      <c r="F21049" s="8">
        <v>2671</v>
      </c>
    </row>
    <row r="21050" spans="1:6" ht="12.75">
      <c r="A21050" s="8">
        <v>43894.881226851852</v>
      </c>
      <c r="B21050" s="8" t="str">
        <f>HYPERLINK("https://twitter.com/EvaLaksmi","@EvaLaksmi")</f>
        <v>@EvaLaksmi</v>
      </c>
      <c r="C21050" s="8" t="s">
        <v>7473</v>
      </c>
      <c r="D21050" s="8">
        <v>56</v>
      </c>
      <c r="E21050" s="8">
        <v>0</v>
      </c>
      <c r="F21050" s="8">
        <v>324</v>
      </c>
    </row>
    <row r="21051" spans="1:6" ht="12.75">
      <c r="A21051" s="8">
        <v>43894.881226851852</v>
      </c>
      <c r="B21051" s="8" t="str">
        <f>HYPERLINK("https://twitter.com/Sandy_ervandi","@Sandy_ervandi")</f>
        <v>@Sandy_ervandi</v>
      </c>
      <c r="C21051" s="8" t="s">
        <v>7473</v>
      </c>
      <c r="D21051" s="8">
        <v>56</v>
      </c>
      <c r="E21051" s="8">
        <v>0</v>
      </c>
      <c r="F21051" s="8">
        <v>97</v>
      </c>
    </row>
    <row r="21052" spans="1:6" ht="12.75">
      <c r="A21052" s="8">
        <v>43894.880995370375</v>
      </c>
      <c r="B21052" s="8" t="str">
        <f>HYPERLINK("https://twitter.com/blemod","@blemod")</f>
        <v>@blemod</v>
      </c>
      <c r="C21052" s="8" t="s">
        <v>8274</v>
      </c>
      <c r="D21052" s="8">
        <v>18</v>
      </c>
      <c r="E21052" s="8">
        <v>0</v>
      </c>
      <c r="F21052" s="8">
        <v>1179</v>
      </c>
    </row>
    <row r="21053" spans="1:6" ht="12.75">
      <c r="A21053" s="8">
        <v>43894.880879629629</v>
      </c>
      <c r="B21053" s="8" t="str">
        <f>HYPERLINK("https://twitter.com/Chapyopyo","@Chapyopyo")</f>
        <v>@Chapyopyo</v>
      </c>
      <c r="C21053" s="8" t="s">
        <v>6710</v>
      </c>
      <c r="D21053" s="8">
        <v>390</v>
      </c>
      <c r="E21053" s="8">
        <v>0</v>
      </c>
      <c r="F21053" s="8">
        <v>231</v>
      </c>
    </row>
    <row r="21054" spans="1:6" ht="12.75">
      <c r="A21054" s="8">
        <v>43894.88081018519</v>
      </c>
      <c r="B21054" s="8" t="str">
        <f>HYPERLINK("https://twitter.com/MMargani5","@MMargani5")</f>
        <v>@MMargani5</v>
      </c>
      <c r="C21054" s="8" t="s">
        <v>7715</v>
      </c>
      <c r="D21054" s="8">
        <v>7</v>
      </c>
      <c r="E21054" s="8">
        <v>0</v>
      </c>
      <c r="F21054" s="8">
        <v>5706</v>
      </c>
    </row>
    <row r="21055" spans="1:6" ht="12.75">
      <c r="A21055" s="8">
        <v>43894.880277777775</v>
      </c>
      <c r="B21055" s="8" t="str">
        <f>HYPERLINK("https://twitter.com/jsamodra","@jsamodra")</f>
        <v>@jsamodra</v>
      </c>
      <c r="C21055" s="8" t="s">
        <v>8568</v>
      </c>
      <c r="D21055" s="8">
        <v>0</v>
      </c>
      <c r="E21055" s="8">
        <v>0</v>
      </c>
      <c r="F21055" s="8">
        <v>1216</v>
      </c>
    </row>
    <row r="21056" spans="1:6" ht="12.75">
      <c r="A21056" s="8">
        <v>43894.880231481482</v>
      </c>
      <c r="B21056" s="8" t="str">
        <f>HYPERLINK("https://twitter.com/dadanherdhi","@dadanherdhi")</f>
        <v>@dadanherdhi</v>
      </c>
      <c r="C21056" s="8" t="s">
        <v>8569</v>
      </c>
      <c r="D21056" s="8">
        <v>19</v>
      </c>
      <c r="E21056" s="8">
        <v>0</v>
      </c>
      <c r="F21056" s="8">
        <v>139</v>
      </c>
    </row>
    <row r="21057" spans="1:6" ht="12.75">
      <c r="A21057" s="8">
        <v>43894.880127314813</v>
      </c>
      <c r="B21057" s="8" t="str">
        <f>HYPERLINK("https://twitter.com/Arin66926664","@Arin66926664")</f>
        <v>@Arin66926664</v>
      </c>
      <c r="C21057" s="8" t="s">
        <v>8322</v>
      </c>
      <c r="D21057" s="8">
        <v>775</v>
      </c>
      <c r="E21057" s="8">
        <v>0</v>
      </c>
      <c r="F21057" s="8">
        <v>8</v>
      </c>
    </row>
    <row r="21058" spans="1:6" ht="12.75">
      <c r="A21058" s="8">
        <v>43894.88009259259</v>
      </c>
      <c r="B21058" s="8" t="str">
        <f>HYPERLINK("https://twitter.com/ampas_kopitem","@ampas_kopitem")</f>
        <v>@ampas_kopitem</v>
      </c>
      <c r="C21058" s="8" t="s">
        <v>8570</v>
      </c>
      <c r="D21058" s="8">
        <v>0</v>
      </c>
      <c r="E21058" s="8">
        <v>0</v>
      </c>
      <c r="F21058" s="8">
        <v>833</v>
      </c>
    </row>
    <row r="21059" spans="1:6" ht="12.75">
      <c r="A21059" s="8">
        <v>43894.879976851851</v>
      </c>
      <c r="B21059" s="8" t="str">
        <f>HYPERLINK("https://twitter.com/fatur_wae","@fatur_wae")</f>
        <v>@fatur_wae</v>
      </c>
      <c r="C21059" s="8" t="s">
        <v>6710</v>
      </c>
      <c r="D21059" s="8">
        <v>390</v>
      </c>
      <c r="E21059" s="8">
        <v>0</v>
      </c>
      <c r="F21059" s="8">
        <v>1134</v>
      </c>
    </row>
    <row r="21060" spans="1:6" ht="12.75">
      <c r="A21060" s="8">
        <v>43894.879907407405</v>
      </c>
      <c r="B21060" s="8" t="str">
        <f>HYPERLINK("https://twitter.com/Qistinaqqhi","@Qistinaqqhi")</f>
        <v>@Qistinaqqhi</v>
      </c>
      <c r="C21060" s="8" t="s">
        <v>2979</v>
      </c>
      <c r="D21060" s="8">
        <v>49</v>
      </c>
      <c r="E21060" s="8">
        <v>0</v>
      </c>
      <c r="F21060" s="8">
        <v>953</v>
      </c>
    </row>
    <row r="21061" spans="1:6" ht="12.75">
      <c r="A21061" s="8">
        <v>43894.879490740743</v>
      </c>
      <c r="B21061" s="8" t="str">
        <f>HYPERLINK("https://twitter.com/yadisuy29311165","@yadisuy29311165")</f>
        <v>@yadisuy29311165</v>
      </c>
      <c r="C21061" s="8" t="s">
        <v>6710</v>
      </c>
      <c r="D21061" s="8">
        <v>390</v>
      </c>
      <c r="E21061" s="8">
        <v>0</v>
      </c>
      <c r="F21061" s="8">
        <v>124</v>
      </c>
    </row>
    <row r="21062" spans="1:6" ht="12.75">
      <c r="A21062" s="8">
        <v>43894.87945601852</v>
      </c>
      <c r="B21062" s="8" t="str">
        <f>HYPERLINK("https://twitter.com/f24nk1","@f24nk1")</f>
        <v>@f24nk1</v>
      </c>
      <c r="C21062" s="8" t="s">
        <v>3285</v>
      </c>
      <c r="D21062" s="8">
        <v>64</v>
      </c>
      <c r="E21062" s="8">
        <v>0</v>
      </c>
      <c r="F21062" s="8">
        <v>1179</v>
      </c>
    </row>
    <row r="21063" spans="1:6" ht="12.75">
      <c r="A21063" s="8">
        <v>43894.879236111112</v>
      </c>
      <c r="B21063" s="8" t="str">
        <f>HYPERLINK("https://twitter.com/johhhnygudhel","@johhhnygudhel")</f>
        <v>@johhhnygudhel</v>
      </c>
      <c r="C21063" s="8" t="s">
        <v>7845</v>
      </c>
      <c r="D21063" s="8">
        <v>58</v>
      </c>
      <c r="E21063" s="8">
        <v>0</v>
      </c>
      <c r="F21063" s="8">
        <v>2648</v>
      </c>
    </row>
    <row r="21064" spans="1:6" ht="12.75">
      <c r="A21064" s="8">
        <v>43894.879189814819</v>
      </c>
      <c r="B21064" s="8" t="str">
        <f>HYPERLINK("https://twitter.com/Wayang67913537","@Wayang67913537")</f>
        <v>@Wayang67913537</v>
      </c>
      <c r="C21064" s="8" t="s">
        <v>8228</v>
      </c>
      <c r="D21064" s="8">
        <v>2</v>
      </c>
      <c r="E21064" s="8">
        <v>0</v>
      </c>
      <c r="F21064" s="8">
        <v>89</v>
      </c>
    </row>
    <row r="21065" spans="1:6" ht="12.75">
      <c r="A21065" s="8">
        <v>43894.879108796296</v>
      </c>
      <c r="B21065" s="8" t="str">
        <f>HYPERLINK("https://twitter.com/KotaBanser","@KotaBanser")</f>
        <v>@KotaBanser</v>
      </c>
      <c r="C21065" s="8" t="s">
        <v>7643</v>
      </c>
      <c r="D21065" s="8">
        <v>6</v>
      </c>
      <c r="E21065" s="8">
        <v>0</v>
      </c>
      <c r="F21065" s="8">
        <v>205</v>
      </c>
    </row>
    <row r="21066" spans="1:6" ht="12.75">
      <c r="A21066" s="8">
        <v>43894.878912037035</v>
      </c>
      <c r="B21066" s="8" t="str">
        <f>HYPERLINK("https://twitter.com/suradiparlan5","@suradiparlan5")</f>
        <v>@suradiparlan5</v>
      </c>
      <c r="C21066" s="8" t="s">
        <v>8571</v>
      </c>
      <c r="D21066" s="8">
        <v>0</v>
      </c>
      <c r="E21066" s="8">
        <v>0</v>
      </c>
      <c r="F21066" s="8">
        <v>1379</v>
      </c>
    </row>
    <row r="21067" spans="1:6" ht="12.75">
      <c r="A21067" s="8">
        <v>43894.878912037035</v>
      </c>
      <c r="B21067" s="8" t="str">
        <f>HYPERLINK("https://twitter.com/BungJon","@BungJon")</f>
        <v>@BungJon</v>
      </c>
      <c r="C21067" s="8" t="s">
        <v>7643</v>
      </c>
      <c r="D21067" s="8">
        <v>6</v>
      </c>
      <c r="E21067" s="8">
        <v>0</v>
      </c>
      <c r="F21067" s="8">
        <v>26</v>
      </c>
    </row>
    <row r="21068" spans="1:6" ht="12.75">
      <c r="A21068" s="8">
        <v>43894.878657407404</v>
      </c>
      <c r="B21068" s="8" t="str">
        <f>HYPERLINK("https://twitter.com/SydSalesman","@SydSalesman")</f>
        <v>@SydSalesman</v>
      </c>
      <c r="C21068" s="8" t="s">
        <v>5852</v>
      </c>
      <c r="D21068" s="8">
        <v>10</v>
      </c>
      <c r="E21068" s="8">
        <v>0</v>
      </c>
      <c r="F21068" s="8">
        <v>6277</v>
      </c>
    </row>
    <row r="21069" spans="1:6" ht="12.75">
      <c r="A21069" s="8">
        <v>43894.878182870365</v>
      </c>
      <c r="B21069" s="8" t="str">
        <f>HYPERLINK("https://twitter.com/baby_alien28","@baby_alien28")</f>
        <v>@baby_alien28</v>
      </c>
      <c r="C21069" s="8" t="s">
        <v>7987</v>
      </c>
      <c r="D21069" s="8">
        <v>4</v>
      </c>
      <c r="E21069" s="8">
        <v>0</v>
      </c>
      <c r="F21069" s="8">
        <v>4268</v>
      </c>
    </row>
    <row r="21070" spans="1:6" ht="12.75">
      <c r="A21070" s="8">
        <v>43894.878125000003</v>
      </c>
      <c r="B21070" s="8" t="str">
        <f>HYPERLINK("https://twitter.com/niwablezinky","@niwablezinky")</f>
        <v>@niwablezinky</v>
      </c>
      <c r="C21070" s="8" t="s">
        <v>7473</v>
      </c>
      <c r="D21070" s="8">
        <v>56</v>
      </c>
      <c r="E21070" s="8">
        <v>0</v>
      </c>
      <c r="F21070" s="8">
        <v>992</v>
      </c>
    </row>
    <row r="21071" spans="1:6" ht="12.75">
      <c r="A21071" s="8">
        <v>43894.877986111111</v>
      </c>
      <c r="B21071" s="8" t="str">
        <f>HYPERLINK("https://twitter.com/tehocha8","@tehocha8")</f>
        <v>@tehocha8</v>
      </c>
      <c r="C21071" s="8" t="s">
        <v>8572</v>
      </c>
      <c r="D21071" s="8">
        <v>0</v>
      </c>
      <c r="E21071" s="8">
        <v>0</v>
      </c>
      <c r="F21071" s="8">
        <v>16</v>
      </c>
    </row>
    <row r="21072" spans="1:6" ht="12.75">
      <c r="A21072" s="8">
        <v>43894.877951388888</v>
      </c>
      <c r="B21072" s="8" t="str">
        <f>HYPERLINK("https://twitter.com/Tomahawk234","@Tomahawk234")</f>
        <v>@Tomahawk234</v>
      </c>
      <c r="C21072" s="8" t="s">
        <v>6710</v>
      </c>
      <c r="D21072" s="8">
        <v>390</v>
      </c>
      <c r="E21072" s="8">
        <v>0</v>
      </c>
      <c r="F21072" s="8">
        <v>177</v>
      </c>
    </row>
    <row r="21073" spans="1:6" ht="12.75">
      <c r="A21073" s="8">
        <v>43894.877951388888</v>
      </c>
      <c r="B21073" s="8" t="str">
        <f>HYPERLINK("https://twitter.com/HRMalik12","@HRMalik12")</f>
        <v>@HRMalik12</v>
      </c>
      <c r="C21073" s="8" t="s">
        <v>2979</v>
      </c>
      <c r="D21073" s="8">
        <v>49</v>
      </c>
      <c r="E21073" s="8">
        <v>0</v>
      </c>
      <c r="F21073" s="8">
        <v>266</v>
      </c>
    </row>
    <row r="21074" spans="1:6" ht="12.75">
      <c r="A21074" s="8">
        <v>43894.877951388888</v>
      </c>
      <c r="B21074" s="8" t="str">
        <f>HYPERLINK("https://twitter.com/MumuyZG","@MumuyZG")</f>
        <v>@MumuyZG</v>
      </c>
      <c r="C21074" s="8" t="s">
        <v>8003</v>
      </c>
      <c r="D21074" s="8">
        <v>1</v>
      </c>
      <c r="E21074" s="8">
        <v>0</v>
      </c>
      <c r="F21074" s="8">
        <v>1128</v>
      </c>
    </row>
    <row r="21075" spans="1:6" ht="12.75">
      <c r="A21075" s="8">
        <v>43894.877708333333</v>
      </c>
      <c r="B21075" s="8" t="str">
        <f>HYPERLINK("https://twitter.com/xsantrick_210","@xsantrick_210")</f>
        <v>@xsantrick_210</v>
      </c>
      <c r="C21075" s="8" t="s">
        <v>7473</v>
      </c>
      <c r="D21075" s="8">
        <v>56</v>
      </c>
      <c r="E21075" s="8">
        <v>0</v>
      </c>
      <c r="F21075" s="8">
        <v>1340</v>
      </c>
    </row>
    <row r="21076" spans="1:6" ht="12.75">
      <c r="A21076" s="8">
        <v>43894.877638888887</v>
      </c>
      <c r="B21076" s="8" t="str">
        <f>HYPERLINK("https://twitter.com/paul_pp22","@paul_pp22")</f>
        <v>@paul_pp22</v>
      </c>
      <c r="C21076" s="8" t="s">
        <v>8212</v>
      </c>
      <c r="D21076" s="8">
        <v>137</v>
      </c>
      <c r="E21076" s="8">
        <v>0</v>
      </c>
      <c r="F21076" s="8">
        <v>414</v>
      </c>
    </row>
    <row r="21077" spans="1:6" ht="12.75">
      <c r="A21077" s="8">
        <v>43894.877604166672</v>
      </c>
      <c r="B21077" s="8" t="str">
        <f>HYPERLINK("https://twitter.com/Anggarini90","@Anggarini90")</f>
        <v>@Anggarini90</v>
      </c>
      <c r="C21077" s="8" t="s">
        <v>7715</v>
      </c>
      <c r="D21077" s="8">
        <v>7</v>
      </c>
      <c r="E21077" s="8">
        <v>0</v>
      </c>
      <c r="F21077" s="8">
        <v>4141</v>
      </c>
    </row>
    <row r="21078" spans="1:6" ht="12.75">
      <c r="A21078" s="8">
        <v>43894.877268518518</v>
      </c>
      <c r="B21078" s="8" t="str">
        <f>HYPERLINK("https://twitter.com/guhendulenlove","@guhendulenlove")</f>
        <v>@guhendulenlove</v>
      </c>
      <c r="C21078" s="8" t="s">
        <v>7473</v>
      </c>
      <c r="D21078" s="8">
        <v>56</v>
      </c>
      <c r="E21078" s="8">
        <v>0</v>
      </c>
      <c r="F21078" s="8">
        <v>376</v>
      </c>
    </row>
    <row r="21079" spans="1:6" ht="12.75">
      <c r="A21079" s="8">
        <v>43894.877141203702</v>
      </c>
      <c r="B21079" s="8" t="str">
        <f>HYPERLINK("https://twitter.com/DutaHapsara","@DutaHapsara")</f>
        <v>@DutaHapsara</v>
      </c>
      <c r="C21079" s="8" t="s">
        <v>8228</v>
      </c>
      <c r="D21079" s="8">
        <v>2</v>
      </c>
      <c r="E21079" s="8">
        <v>0</v>
      </c>
      <c r="F21079" s="8">
        <v>3058</v>
      </c>
    </row>
    <row r="21080" spans="1:6" ht="12.75">
      <c r="A21080" s="8">
        <v>43894.877071759256</v>
      </c>
      <c r="B21080" s="8" t="str">
        <f>HYPERLINK("https://twitter.com/Dadik53865539","@Dadik53865539")</f>
        <v>@Dadik53865539</v>
      </c>
      <c r="C21080" s="8" t="s">
        <v>8573</v>
      </c>
      <c r="D21080" s="8">
        <v>9</v>
      </c>
      <c r="E21080" s="8">
        <v>0</v>
      </c>
      <c r="F21080" s="8">
        <v>26</v>
      </c>
    </row>
    <row r="21081" spans="1:6" ht="12.75">
      <c r="A21081" s="8">
        <v>43894.877025462964</v>
      </c>
      <c r="B21081" s="8" t="str">
        <f>HYPERLINK("https://twitter.com/johhhnygudhel","@johhhnygudhel")</f>
        <v>@johhhnygudhel</v>
      </c>
      <c r="C21081" s="8" t="s">
        <v>7987</v>
      </c>
      <c r="D21081" s="8">
        <v>4</v>
      </c>
      <c r="E21081" s="8">
        <v>0</v>
      </c>
      <c r="F21081" s="8">
        <v>2648</v>
      </c>
    </row>
    <row r="21082" spans="1:6" ht="12.75">
      <c r="A21082" s="8">
        <v>43894.876956018517</v>
      </c>
      <c r="B21082" s="8" t="str">
        <f>HYPERLINK("https://twitter.com/ztw868992","@ztw868992")</f>
        <v>@ztw868992</v>
      </c>
      <c r="C21082" s="8" t="s">
        <v>8574</v>
      </c>
      <c r="D21082" s="8">
        <v>6</v>
      </c>
      <c r="E21082" s="8">
        <v>0</v>
      </c>
      <c r="F21082" s="8">
        <v>3688</v>
      </c>
    </row>
    <row r="21083" spans="1:6" ht="12.75">
      <c r="A21083" s="8">
        <v>43894.876793981486</v>
      </c>
      <c r="B21083" s="8" t="str">
        <f>HYPERLINK("https://twitter.com/yurizki___","@yurizki___")</f>
        <v>@yurizki___</v>
      </c>
      <c r="C21083" s="8" t="s">
        <v>7715</v>
      </c>
      <c r="D21083" s="8">
        <v>7</v>
      </c>
      <c r="E21083" s="8">
        <v>0</v>
      </c>
      <c r="F21083" s="8">
        <v>3563</v>
      </c>
    </row>
    <row r="21084" spans="1:6" ht="12.75">
      <c r="A21084" s="8">
        <v>43894.87667824074</v>
      </c>
      <c r="B21084" s="8" t="str">
        <f>HYPERLINK("https://twitter.com/sudaryanto_agus","@sudaryanto_agus")</f>
        <v>@sudaryanto_agus</v>
      </c>
      <c r="C21084" s="8" t="s">
        <v>7738</v>
      </c>
      <c r="D21084" s="8">
        <v>16</v>
      </c>
      <c r="E21084" s="8">
        <v>0</v>
      </c>
      <c r="F21084" s="8">
        <v>1327</v>
      </c>
    </row>
    <row r="21085" spans="1:6" ht="12.75">
      <c r="A21085" s="8">
        <v>43894.87635416667</v>
      </c>
      <c r="B21085" s="8" t="str">
        <f>HYPERLINK("https://twitter.com/JWamstrong","@JWamstrong")</f>
        <v>@JWamstrong</v>
      </c>
      <c r="C21085" s="8" t="s">
        <v>8212</v>
      </c>
      <c r="D21085" s="8">
        <v>137</v>
      </c>
      <c r="E21085" s="8">
        <v>0</v>
      </c>
      <c r="F21085" s="8">
        <v>64</v>
      </c>
    </row>
    <row r="21086" spans="1:6" ht="12.75">
      <c r="A21086" s="8">
        <v>43894.87635416667</v>
      </c>
      <c r="B21086" s="8" t="str">
        <f>HYPERLINK("https://twitter.com/abah_godegan","@abah_godegan")</f>
        <v>@abah_godegan</v>
      </c>
      <c r="C21086" s="8" t="s">
        <v>8575</v>
      </c>
      <c r="D21086" s="8">
        <v>2</v>
      </c>
      <c r="E21086" s="8">
        <v>8</v>
      </c>
      <c r="F21086" s="8">
        <v>8173</v>
      </c>
    </row>
    <row r="21087" spans="1:6" ht="12.75">
      <c r="A21087" s="8">
        <v>43894.876250000001</v>
      </c>
      <c r="B21087" s="8" t="str">
        <f>HYPERLINK("https://twitter.com/anthohar","@anthohar")</f>
        <v>@anthohar</v>
      </c>
      <c r="C21087" s="8" t="s">
        <v>7473</v>
      </c>
      <c r="D21087" s="8">
        <v>56</v>
      </c>
      <c r="E21087" s="8">
        <v>0</v>
      </c>
      <c r="F21087" s="8">
        <v>274</v>
      </c>
    </row>
    <row r="21088" spans="1:6" ht="12.75">
      <c r="A21088" s="8">
        <v>43894.876215277778</v>
      </c>
      <c r="B21088" s="8" t="str">
        <f>HYPERLINK("https://twitter.com/Spider__matriX","@Spider__matriX")</f>
        <v>@Spider__matriX</v>
      </c>
      <c r="C21088" s="8" t="s">
        <v>8576</v>
      </c>
      <c r="D21088" s="8">
        <v>4</v>
      </c>
      <c r="E21088" s="8">
        <v>5</v>
      </c>
      <c r="F21088" s="8">
        <v>4994</v>
      </c>
    </row>
    <row r="21089" spans="1:6" ht="12.75">
      <c r="A21089" s="8">
        <v>43894.876134259262</v>
      </c>
      <c r="B21089" s="8" t="str">
        <f>HYPERLINK("https://twitter.com/wills_keren","@wills_keren")</f>
        <v>@wills_keren</v>
      </c>
      <c r="C21089" s="8" t="s">
        <v>2979</v>
      </c>
      <c r="D21089" s="8">
        <v>49</v>
      </c>
      <c r="E21089" s="8">
        <v>0</v>
      </c>
      <c r="F21089" s="8">
        <v>3691</v>
      </c>
    </row>
    <row r="21090" spans="1:6" ht="12.75">
      <c r="A21090" s="8">
        <v>43894.875983796301</v>
      </c>
      <c r="B21090" s="8" t="str">
        <f>HYPERLINK("https://twitter.com/OpiniRakyat2","@OpiniRakyat2")</f>
        <v>@OpiniRakyat2</v>
      </c>
      <c r="C21090" s="8" t="s">
        <v>7715</v>
      </c>
      <c r="D21090" s="8">
        <v>7</v>
      </c>
      <c r="E21090" s="8">
        <v>0</v>
      </c>
      <c r="F21090" s="8">
        <v>244</v>
      </c>
    </row>
    <row r="21091" spans="1:6" ht="12.75">
      <c r="A21091" s="8">
        <v>43894.875509259262</v>
      </c>
      <c r="B21091" s="8" t="str">
        <f>HYPERLINK("https://twitter.com/Wayang67913537","@Wayang67913537")</f>
        <v>@Wayang67913537</v>
      </c>
      <c r="C21091" s="8" t="s">
        <v>2979</v>
      </c>
      <c r="D21091" s="8">
        <v>49</v>
      </c>
      <c r="E21091" s="8">
        <v>0</v>
      </c>
      <c r="F21091" s="8">
        <v>89</v>
      </c>
    </row>
    <row r="21092" spans="1:6" ht="12.75">
      <c r="A21092" s="8">
        <v>43894.875462962962</v>
      </c>
      <c r="B21092" s="8" t="str">
        <f>HYPERLINK("https://twitter.com/Ze_sukma","@Ze_sukma")</f>
        <v>@Ze_sukma</v>
      </c>
      <c r="C21092" s="8" t="s">
        <v>8577</v>
      </c>
      <c r="D21092" s="8">
        <v>0</v>
      </c>
      <c r="E21092" s="8">
        <v>0</v>
      </c>
      <c r="F21092" s="8">
        <v>4298</v>
      </c>
    </row>
    <row r="21093" spans="1:6" ht="12.75">
      <c r="A21093" s="8">
        <v>43894.875428240739</v>
      </c>
      <c r="B21093" s="8" t="str">
        <f>HYPERLINK("https://twitter.com/_novall","@_novall")</f>
        <v>@_novall</v>
      </c>
      <c r="C21093" s="8" t="s">
        <v>7643</v>
      </c>
      <c r="D21093" s="8">
        <v>6</v>
      </c>
      <c r="E21093" s="8">
        <v>0</v>
      </c>
      <c r="F21093" s="8">
        <v>557</v>
      </c>
    </row>
    <row r="21094" spans="1:6" ht="12.75">
      <c r="A21094" s="8">
        <v>43894.875428240739</v>
      </c>
      <c r="B21094" s="8" t="str">
        <f>HYPERLINK("https://twitter.com/Mudakir04274377","@Mudakir04274377")</f>
        <v>@Mudakir04274377</v>
      </c>
      <c r="C21094" s="8" t="s">
        <v>7643</v>
      </c>
      <c r="D21094" s="8">
        <v>6</v>
      </c>
      <c r="E21094" s="8">
        <v>0</v>
      </c>
      <c r="F21094" s="8">
        <v>12</v>
      </c>
    </row>
    <row r="21095" spans="1:6" ht="12.75">
      <c r="A21095" s="8">
        <v>43894.875104166669</v>
      </c>
      <c r="B21095" s="8" t="str">
        <f>HYPERLINK("https://twitter.com/endaheraldo","@endaheraldo")</f>
        <v>@endaheraldo</v>
      </c>
      <c r="C21095" s="8" t="s">
        <v>8578</v>
      </c>
      <c r="D21095" s="8">
        <v>0</v>
      </c>
      <c r="E21095" s="8">
        <v>0</v>
      </c>
      <c r="F21095" s="8">
        <v>158</v>
      </c>
    </row>
    <row r="21096" spans="1:6" ht="12.75">
      <c r="A21096" s="8">
        <v>43894.874907407408</v>
      </c>
      <c r="B21096" s="8" t="str">
        <f>HYPERLINK("https://twitter.com/suradiparlan5","@suradiparlan5")</f>
        <v>@suradiparlan5</v>
      </c>
      <c r="C21096" s="8" t="s">
        <v>6710</v>
      </c>
      <c r="D21096" s="8">
        <v>390</v>
      </c>
      <c r="E21096" s="8">
        <v>0</v>
      </c>
      <c r="F21096" s="8">
        <v>1379</v>
      </c>
    </row>
    <row r="21097" spans="1:6" ht="12.75">
      <c r="A21097" s="8">
        <v>43894.874201388884</v>
      </c>
      <c r="B21097" s="8" t="str">
        <f>HYPERLINK("https://twitter.com/apaaja_bol3h","@apaaja_bol3h")</f>
        <v>@apaaja_bol3h</v>
      </c>
      <c r="C21097" s="8" t="s">
        <v>5852</v>
      </c>
      <c r="D21097" s="8">
        <v>10</v>
      </c>
      <c r="E21097" s="8">
        <v>0</v>
      </c>
      <c r="F21097" s="8">
        <v>238</v>
      </c>
    </row>
    <row r="21098" spans="1:6" ht="12.75">
      <c r="A21098" s="8">
        <v>43894.874189814815</v>
      </c>
      <c r="B21098" s="8" t="str">
        <f>HYPERLINK("https://twitter.com/EarlyLubis","@EarlyLubis")</f>
        <v>@EarlyLubis</v>
      </c>
      <c r="C21098" s="8" t="s">
        <v>7969</v>
      </c>
      <c r="D21098" s="8">
        <v>44</v>
      </c>
      <c r="E21098" s="8">
        <v>0</v>
      </c>
      <c r="F21098" s="8">
        <v>315</v>
      </c>
    </row>
    <row r="21099" spans="1:6" ht="12.75">
      <c r="A21099" s="8">
        <v>43894.873923611114</v>
      </c>
      <c r="B21099" s="8" t="str">
        <f>HYPERLINK("https://twitter.com/AllSamnun","@AllSamnun")</f>
        <v>@AllSamnun</v>
      </c>
      <c r="C21099" s="8" t="s">
        <v>7715</v>
      </c>
      <c r="D21099" s="8">
        <v>7</v>
      </c>
      <c r="E21099" s="8">
        <v>0</v>
      </c>
      <c r="F21099" s="8">
        <v>856</v>
      </c>
    </row>
    <row r="21100" spans="1:6" ht="12.75">
      <c r="A21100" s="8">
        <v>43894.873587962968</v>
      </c>
      <c r="B21100" s="8" t="str">
        <f>HYPERLINK("https://twitter.com/BiemLugiek","@BiemLugiek")</f>
        <v>@BiemLugiek</v>
      </c>
      <c r="C21100" s="8" t="s">
        <v>7473</v>
      </c>
      <c r="D21100" s="8">
        <v>56</v>
      </c>
      <c r="E21100" s="8">
        <v>0</v>
      </c>
      <c r="F21100" s="8">
        <v>142</v>
      </c>
    </row>
    <row r="21101" spans="1:6" ht="12.75">
      <c r="A21101" s="8">
        <v>43894.873483796298</v>
      </c>
      <c r="B21101" s="8" t="str">
        <f>HYPERLINK("https://twitter.com/johhhnygudhel","@johhhnygudhel")</f>
        <v>@johhhnygudhel</v>
      </c>
      <c r="C21101" s="8" t="s">
        <v>7473</v>
      </c>
      <c r="D21101" s="8">
        <v>56</v>
      </c>
      <c r="E21101" s="8">
        <v>0</v>
      </c>
      <c r="F21101" s="8">
        <v>2648</v>
      </c>
    </row>
    <row r="21102" spans="1:6" ht="12.75">
      <c r="A21102" s="8">
        <v>43894.873391203699</v>
      </c>
      <c r="B21102" s="8" t="str">
        <f>HYPERLINK("https://twitter.com/Paulus_willy","@Paulus_willy")</f>
        <v>@Paulus_willy</v>
      </c>
      <c r="C21102" s="8" t="s">
        <v>8115</v>
      </c>
      <c r="D21102" s="8">
        <v>207</v>
      </c>
      <c r="E21102" s="8">
        <v>0</v>
      </c>
      <c r="F21102" s="8">
        <v>1975</v>
      </c>
    </row>
    <row r="21103" spans="1:6" ht="12.75">
      <c r="A21103" s="8">
        <v>43894.873194444444</v>
      </c>
      <c r="B21103" s="8" t="str">
        <f>HYPERLINK("https://twitter.com/hikmatsholeh","@hikmatsholeh")</f>
        <v>@hikmatsholeh</v>
      </c>
      <c r="C21103" s="8" t="s">
        <v>7473</v>
      </c>
      <c r="D21103" s="8">
        <v>56</v>
      </c>
      <c r="E21103" s="8">
        <v>0</v>
      </c>
      <c r="F21103" s="8">
        <v>1211</v>
      </c>
    </row>
    <row r="21104" spans="1:6" ht="12.75">
      <c r="A21104" s="8">
        <v>43894.872858796298</v>
      </c>
      <c r="B21104" s="8" t="str">
        <f>HYPERLINK("https://twitter.com/aiek_esthreem__","@aiek_esthreem__")</f>
        <v>@aiek_esthreem__</v>
      </c>
      <c r="C21104" s="8" t="s">
        <v>8579</v>
      </c>
      <c r="D21104" s="8">
        <v>7</v>
      </c>
      <c r="E21104" s="8">
        <v>12</v>
      </c>
      <c r="F21104" s="8">
        <v>16980</v>
      </c>
    </row>
    <row r="21105" spans="1:6" ht="12.75">
      <c r="A21105" s="8">
        <v>43894.872650462959</v>
      </c>
      <c r="B21105" s="8" t="str">
        <f>HYPERLINK("https://twitter.com/donny_emt","@donny_emt")</f>
        <v>@donny_emt</v>
      </c>
      <c r="C21105" s="8" t="s">
        <v>6710</v>
      </c>
      <c r="D21105" s="8">
        <v>390</v>
      </c>
      <c r="E21105" s="8">
        <v>0</v>
      </c>
      <c r="F21105" s="8">
        <v>0</v>
      </c>
    </row>
    <row r="21106" spans="1:6" ht="12.75">
      <c r="A21106" s="8">
        <v>43894.872465277775</v>
      </c>
      <c r="B21106" s="8" t="str">
        <f>HYPERLINK("https://twitter.com/cantyxq","@cantyxq")</f>
        <v>@cantyxq</v>
      </c>
      <c r="C21106" s="8" t="s">
        <v>6710</v>
      </c>
      <c r="D21106" s="8">
        <v>390</v>
      </c>
      <c r="E21106" s="8">
        <v>0</v>
      </c>
      <c r="F21106" s="8">
        <v>342</v>
      </c>
    </row>
    <row r="21107" spans="1:6" ht="12.75">
      <c r="A21107" s="8">
        <v>43894.872430555552</v>
      </c>
      <c r="B21107" s="8" t="str">
        <f>HYPERLINK("https://twitter.com/KoboiBengek","@KoboiBengek")</f>
        <v>@KoboiBengek</v>
      </c>
      <c r="C21107" s="8" t="s">
        <v>7738</v>
      </c>
      <c r="D21107" s="8">
        <v>16</v>
      </c>
      <c r="E21107" s="8">
        <v>0</v>
      </c>
      <c r="F21107" s="8">
        <v>2293</v>
      </c>
    </row>
    <row r="21108" spans="1:6" ht="12.75">
      <c r="A21108" s="8">
        <v>43894.87232638889</v>
      </c>
      <c r="B21108" s="8" t="str">
        <f>HYPERLINK("https://twitter.com/SilitongaEfraim","@SilitongaEfraim")</f>
        <v>@SilitongaEfraim</v>
      </c>
      <c r="C21108" s="8" t="s">
        <v>8580</v>
      </c>
      <c r="D21108" s="8">
        <v>0</v>
      </c>
      <c r="E21108" s="8">
        <v>1</v>
      </c>
      <c r="F21108" s="8">
        <v>2075</v>
      </c>
    </row>
    <row r="21109" spans="1:6" ht="12.75">
      <c r="A21109" s="8">
        <v>43894.87195601852</v>
      </c>
      <c r="B21109" s="8" t="str">
        <f>HYPERLINK("https://twitter.com/permadiaktivis","@permadiaktivis")</f>
        <v>@permadiaktivis</v>
      </c>
      <c r="C21109" s="8" t="s">
        <v>7643</v>
      </c>
      <c r="D21109" s="8">
        <v>6</v>
      </c>
      <c r="E21109" s="8">
        <v>0</v>
      </c>
      <c r="F21109" s="8">
        <v>119948</v>
      </c>
    </row>
    <row r="21110" spans="1:6" ht="12.75">
      <c r="A21110" s="8">
        <v>43894.871863425928</v>
      </c>
      <c r="B21110" s="8" t="str">
        <f>HYPERLINK("https://twitter.com/M_Azky","@M_Azky")</f>
        <v>@M_Azky</v>
      </c>
      <c r="C21110" s="8" t="s">
        <v>7643</v>
      </c>
      <c r="D21110" s="8">
        <v>6</v>
      </c>
      <c r="E21110" s="8">
        <v>0</v>
      </c>
      <c r="F21110" s="8">
        <v>39</v>
      </c>
    </row>
    <row r="21111" spans="1:6" ht="12.75">
      <c r="A21111" s="8">
        <v>43894.871863425928</v>
      </c>
      <c r="B21111" s="8" t="str">
        <f>HYPERLINK("https://twitter.com/SilitongaEfraim","@SilitongaEfraim")</f>
        <v>@SilitongaEfraim</v>
      </c>
      <c r="C21111" s="8" t="s">
        <v>8581</v>
      </c>
      <c r="D21111" s="8">
        <v>0</v>
      </c>
      <c r="E21111" s="8">
        <v>0</v>
      </c>
      <c r="F21111" s="8">
        <v>2075</v>
      </c>
    </row>
    <row r="21112" spans="1:6" ht="12.75">
      <c r="A21112" s="8">
        <v>43894.871712962966</v>
      </c>
      <c r="B21112" s="8" t="str">
        <f>HYPERLINK("https://twitter.com/tandanVradio","@tandanVradio")</f>
        <v>@tandanVradio</v>
      </c>
      <c r="C21112" s="8" t="s">
        <v>8582</v>
      </c>
      <c r="D21112" s="8">
        <v>0</v>
      </c>
      <c r="E21112" s="8">
        <v>0</v>
      </c>
      <c r="F21112" s="8">
        <v>2959</v>
      </c>
    </row>
    <row r="21113" spans="1:6" ht="12.75">
      <c r="A21113" s="8">
        <v>43894.871678240743</v>
      </c>
      <c r="B21113" s="8" t="str">
        <f>HYPERLINK("https://twitter.com/ugisugiharto","@ugisugiharto")</f>
        <v>@ugisugiharto</v>
      </c>
      <c r="C21113" s="8" t="s">
        <v>7473</v>
      </c>
      <c r="D21113" s="8">
        <v>56</v>
      </c>
      <c r="E21113" s="8">
        <v>0</v>
      </c>
      <c r="F21113" s="8">
        <v>3568</v>
      </c>
    </row>
    <row r="21114" spans="1:6" ht="12.75">
      <c r="A21114" s="8">
        <v>43894.871678240743</v>
      </c>
      <c r="B21114" s="8" t="str">
        <f>HYPERLINK("https://twitter.com/noeruzzaman","@noeruzzaman")</f>
        <v>@noeruzzaman</v>
      </c>
      <c r="C21114" s="8" t="s">
        <v>8583</v>
      </c>
      <c r="D21114" s="8">
        <v>6</v>
      </c>
      <c r="E21114" s="8">
        <v>8</v>
      </c>
      <c r="F21114" s="8">
        <v>20808</v>
      </c>
    </row>
    <row r="21115" spans="1:6" ht="12.75">
      <c r="A21115" s="8">
        <v>43894.871550925927</v>
      </c>
      <c r="B21115" s="8" t="str">
        <f>HYPERLINK("https://twitter.com/rizutaami","@rizutaami")</f>
        <v>@rizutaami</v>
      </c>
      <c r="C21115" s="8" t="s">
        <v>7692</v>
      </c>
      <c r="D21115" s="8">
        <v>4</v>
      </c>
      <c r="E21115" s="8">
        <v>0</v>
      </c>
      <c r="F21115" s="8">
        <v>31</v>
      </c>
    </row>
    <row r="21116" spans="1:6" ht="12.75">
      <c r="A21116" s="8">
        <v>43894.871550925927</v>
      </c>
      <c r="B21116" s="8" t="str">
        <f>HYPERLINK("https://twitter.com/JokoSut57812674","@JokoSut57812674")</f>
        <v>@JokoSut57812674</v>
      </c>
      <c r="C21116" s="8" t="s">
        <v>3285</v>
      </c>
      <c r="D21116" s="8">
        <v>64</v>
      </c>
      <c r="E21116" s="8">
        <v>0</v>
      </c>
      <c r="F21116" s="8">
        <v>150</v>
      </c>
    </row>
    <row r="21117" spans="1:6" ht="12.75">
      <c r="A21117" s="8">
        <v>43894.871504629627</v>
      </c>
      <c r="B21117" s="8" t="str">
        <f>HYPERLINK("https://twitter.com/stevi31","@stevi31")</f>
        <v>@stevi31</v>
      </c>
      <c r="C21117" s="8" t="s">
        <v>6710</v>
      </c>
      <c r="D21117" s="8">
        <v>390</v>
      </c>
      <c r="E21117" s="8">
        <v>0</v>
      </c>
      <c r="F21117" s="8">
        <v>4</v>
      </c>
    </row>
    <row r="21118" spans="1:6" ht="12.75">
      <c r="A21118" s="8">
        <v>43894.871446759258</v>
      </c>
      <c r="B21118" s="8" t="str">
        <f>HYPERLINK("https://twitter.com/anthonius_angin","@anthonius_angin")</f>
        <v>@anthonius_angin</v>
      </c>
      <c r="C21118" s="8" t="s">
        <v>8392</v>
      </c>
      <c r="D21118" s="8">
        <v>1</v>
      </c>
      <c r="E21118" s="8">
        <v>0</v>
      </c>
      <c r="F21118" s="8">
        <v>2363</v>
      </c>
    </row>
    <row r="21119" spans="1:6" ht="12.75">
      <c r="A21119" s="8">
        <v>43894.871365740742</v>
      </c>
      <c r="B21119" s="8" t="str">
        <f>HYPERLINK("https://twitter.com/barmthelawyer","@barmthelawyer")</f>
        <v>@barmthelawyer</v>
      </c>
      <c r="C21119" s="8" t="s">
        <v>8212</v>
      </c>
      <c r="D21119" s="8">
        <v>137</v>
      </c>
      <c r="E21119" s="8">
        <v>0</v>
      </c>
      <c r="F21119" s="8">
        <v>218</v>
      </c>
    </row>
    <row r="21120" spans="1:6" ht="12.75">
      <c r="A21120" s="8">
        <v>43894.871249999997</v>
      </c>
      <c r="B21120" s="8" t="str">
        <f>HYPERLINK("https://twitter.com/budididorizki","@budididorizki")</f>
        <v>@budididorizki</v>
      </c>
      <c r="C21120" s="8" t="s">
        <v>8584</v>
      </c>
      <c r="D21120" s="8">
        <v>0</v>
      </c>
      <c r="E21120" s="8">
        <v>0</v>
      </c>
      <c r="F21120" s="8">
        <v>62</v>
      </c>
    </row>
    <row r="21121" spans="1:6" ht="12.75">
      <c r="A21121" s="8">
        <v>43894.871099537035</v>
      </c>
      <c r="B21121" s="8" t="str">
        <f>HYPERLINK("https://twitter.com/asundamai","@asundamai")</f>
        <v>@asundamai</v>
      </c>
      <c r="C21121" s="8" t="s">
        <v>8274</v>
      </c>
      <c r="D21121" s="8">
        <v>18</v>
      </c>
      <c r="E21121" s="8">
        <v>0</v>
      </c>
      <c r="F21121" s="8">
        <v>1918</v>
      </c>
    </row>
    <row r="21122" spans="1:6" ht="12.75">
      <c r="A21122" s="8">
        <v>43894.87100694445</v>
      </c>
      <c r="B21122" s="8" t="str">
        <f>HYPERLINK("https://twitter.com/Maryam59771644","@Maryam59771644")</f>
        <v>@Maryam59771644</v>
      </c>
      <c r="C21122" s="8" t="s">
        <v>8585</v>
      </c>
      <c r="D21122" s="8">
        <v>0</v>
      </c>
      <c r="E21122" s="8">
        <v>0</v>
      </c>
      <c r="F21122" s="8">
        <v>18</v>
      </c>
    </row>
    <row r="21123" spans="1:6" ht="12.75">
      <c r="A21123" s="8">
        <v>43894.87100694445</v>
      </c>
      <c r="B21123" s="8" t="str">
        <f>HYPERLINK("https://twitter.com/AlifPancasila","@AlifPancasila")</f>
        <v>@AlifPancasila</v>
      </c>
      <c r="C21123" s="8" t="s">
        <v>8586</v>
      </c>
      <c r="D21123" s="8">
        <v>1</v>
      </c>
      <c r="E21123" s="8">
        <v>0</v>
      </c>
      <c r="F21123" s="8">
        <v>87</v>
      </c>
    </row>
    <row r="21124" spans="1:6" ht="12.75">
      <c r="A21124" s="8">
        <v>43894.870775462958</v>
      </c>
      <c r="B21124" s="8" t="str">
        <f>HYPERLINK("https://twitter.com/EKAPaduka","@EKAPaduka")</f>
        <v>@EKAPaduka</v>
      </c>
      <c r="C21124" s="8" t="s">
        <v>8211</v>
      </c>
      <c r="D21124" s="8">
        <v>3</v>
      </c>
      <c r="E21124" s="8">
        <v>0</v>
      </c>
      <c r="F21124" s="8">
        <v>1841</v>
      </c>
    </row>
    <row r="21125" spans="1:6" ht="12.75">
      <c r="A21125" s="8">
        <v>43894.870393518519</v>
      </c>
      <c r="B21125" s="8" t="str">
        <f>HYPERLINK("https://twitter.com/deeAdiwijaya999","@deeAdiwijaya999")</f>
        <v>@deeAdiwijaya999</v>
      </c>
      <c r="C21125" s="8" t="s">
        <v>8543</v>
      </c>
      <c r="D21125" s="8">
        <v>5</v>
      </c>
      <c r="E21125" s="8">
        <v>0</v>
      </c>
      <c r="F21125" s="8">
        <v>955</v>
      </c>
    </row>
    <row r="21126" spans="1:6" ht="12.75">
      <c r="A21126" s="8">
        <v>43894.870324074072</v>
      </c>
      <c r="B21126" s="8" t="str">
        <f>HYPERLINK("https://twitter.com/asundamai","@asundamai")</f>
        <v>@asundamai</v>
      </c>
      <c r="C21126" s="8" t="s">
        <v>7845</v>
      </c>
      <c r="D21126" s="8">
        <v>58</v>
      </c>
      <c r="E21126" s="8">
        <v>0</v>
      </c>
      <c r="F21126" s="8">
        <v>1918</v>
      </c>
    </row>
    <row r="21127" spans="1:6" ht="12.75">
      <c r="A21127" s="8">
        <v>43894.870300925926</v>
      </c>
      <c r="B21127" s="8" t="str">
        <f>HYPERLINK("https://twitter.com/Reemeora1","@Reemeora1")</f>
        <v>@Reemeora1</v>
      </c>
      <c r="C21127" s="8" t="s">
        <v>8351</v>
      </c>
      <c r="D21127" s="8">
        <v>11</v>
      </c>
      <c r="E21127" s="8">
        <v>0</v>
      </c>
      <c r="F21127" s="8">
        <v>1366</v>
      </c>
    </row>
    <row r="21128" spans="1:6" ht="12.75">
      <c r="A21128" s="8">
        <v>43894.870173611111</v>
      </c>
      <c r="B21128" s="8" t="str">
        <f>HYPERLINK("https://twitter.com/GetsemaniKaro","@GetsemaniKaro")</f>
        <v>@GetsemaniKaro</v>
      </c>
      <c r="C21128" s="8" t="s">
        <v>8587</v>
      </c>
      <c r="D21128" s="8">
        <v>0</v>
      </c>
      <c r="E21128" s="8">
        <v>1</v>
      </c>
      <c r="F21128" s="8">
        <v>839</v>
      </c>
    </row>
    <row r="21129" spans="1:6" ht="12.75">
      <c r="A21129" s="8">
        <v>43894.870150462964</v>
      </c>
      <c r="B21129" s="8" t="str">
        <f>HYPERLINK("https://twitter.com/syamsulhadi_ae","@syamsulhadi_ae")</f>
        <v>@syamsulhadi_ae</v>
      </c>
      <c r="C21129" s="8" t="s">
        <v>7738</v>
      </c>
      <c r="D21129" s="8">
        <v>16</v>
      </c>
      <c r="E21129" s="8">
        <v>0</v>
      </c>
      <c r="F21129" s="8">
        <v>247</v>
      </c>
    </row>
    <row r="21130" spans="1:6" ht="12.75">
      <c r="A21130" s="8">
        <v>43894.870127314818</v>
      </c>
      <c r="B21130" s="8" t="str">
        <f>HYPERLINK("https://twitter.com/BudiHar16","@BudiHar16")</f>
        <v>@BudiHar16</v>
      </c>
      <c r="C21130" s="8" t="s">
        <v>8588</v>
      </c>
      <c r="D21130" s="8">
        <v>0</v>
      </c>
      <c r="E21130" s="8">
        <v>0</v>
      </c>
      <c r="F21130" s="8">
        <v>39</v>
      </c>
    </row>
    <row r="21131" spans="1:6" ht="12.75">
      <c r="A21131" s="8">
        <v>43894.869942129633</v>
      </c>
      <c r="B21131" s="8" t="str">
        <f>HYPERLINK("https://twitter.com/Abankgera999","@Abankgera999")</f>
        <v>@Abankgera999</v>
      </c>
      <c r="C21131" s="8" t="s">
        <v>7473</v>
      </c>
      <c r="D21131" s="8">
        <v>56</v>
      </c>
      <c r="E21131" s="8">
        <v>0</v>
      </c>
      <c r="F21131" s="8">
        <v>507</v>
      </c>
    </row>
    <row r="21132" spans="1:6" ht="12.75">
      <c r="A21132" s="8">
        <v>43894.869930555556</v>
      </c>
      <c r="B21132" s="8" t="str">
        <f>HYPERLINK("https://twitter.com/umaremania87","@umaremania87")</f>
        <v>@umaremania87</v>
      </c>
      <c r="C21132" s="8" t="s">
        <v>3285</v>
      </c>
      <c r="D21132" s="8">
        <v>64</v>
      </c>
      <c r="E21132" s="8">
        <v>0</v>
      </c>
      <c r="F21132" s="8">
        <v>315</v>
      </c>
    </row>
    <row r="21133" spans="1:6" ht="12.75">
      <c r="A21133" s="8">
        <v>43894.869780092587</v>
      </c>
      <c r="B21133" s="8" t="str">
        <f>HYPERLINK("https://twitter.com/syamsulhadi_ae","@syamsulhadi_ae")</f>
        <v>@syamsulhadi_ae</v>
      </c>
      <c r="C21133" s="8" t="s">
        <v>7473</v>
      </c>
      <c r="D21133" s="8">
        <v>56</v>
      </c>
      <c r="E21133" s="8">
        <v>0</v>
      </c>
      <c r="F21133" s="8">
        <v>247</v>
      </c>
    </row>
    <row r="21134" spans="1:6" ht="12.75">
      <c r="A21134" s="8">
        <v>43894.869652777779</v>
      </c>
      <c r="B21134" s="8" t="str">
        <f>HYPERLINK("https://twitter.com/roedijanto","@roedijanto")</f>
        <v>@roedijanto</v>
      </c>
      <c r="C21134" s="8" t="s">
        <v>8589</v>
      </c>
      <c r="D21134" s="8">
        <v>10</v>
      </c>
      <c r="E21134" s="8">
        <v>0</v>
      </c>
      <c r="F21134" s="8">
        <v>154</v>
      </c>
    </row>
    <row r="21135" spans="1:6" ht="12.75">
      <c r="A21135" s="8">
        <v>43894.869629629626</v>
      </c>
      <c r="B21135" s="8" t="str">
        <f>HYPERLINK("https://twitter.com/Totokankol","@Totokankol")</f>
        <v>@Totokankol</v>
      </c>
      <c r="C21135" s="8" t="s">
        <v>8590</v>
      </c>
      <c r="D21135" s="8">
        <v>0</v>
      </c>
      <c r="E21135" s="8">
        <v>0</v>
      </c>
      <c r="F21135" s="8">
        <v>311</v>
      </c>
    </row>
    <row r="21136" spans="1:6" ht="12.75">
      <c r="A21136" s="8">
        <v>43894.869594907403</v>
      </c>
      <c r="B21136" s="8" t="str">
        <f>HYPERLINK("https://twitter.com/DamaiituindahN","@DamaiituindahN")</f>
        <v>@DamaiituindahN</v>
      </c>
      <c r="C21136" s="8" t="s">
        <v>7604</v>
      </c>
      <c r="D21136" s="8">
        <v>31</v>
      </c>
      <c r="E21136" s="8">
        <v>0</v>
      </c>
      <c r="F21136" s="8">
        <v>514</v>
      </c>
    </row>
    <row r="21137" spans="1:6" ht="12.75">
      <c r="A21137" s="8">
        <v>43894.869351851856</v>
      </c>
      <c r="B21137" s="8" t="str">
        <f>HYPERLINK("https://twitter.com/sa_saniaa","@sa_saniaa")</f>
        <v>@sa_saniaa</v>
      </c>
      <c r="C21137" s="8" t="s">
        <v>228</v>
      </c>
      <c r="D21137" s="8">
        <v>17</v>
      </c>
      <c r="E21137" s="8">
        <v>0</v>
      </c>
      <c r="F21137" s="8">
        <v>10</v>
      </c>
    </row>
    <row r="21138" spans="1:6" ht="12.75">
      <c r="A21138" s="8">
        <v>43894.869224537033</v>
      </c>
      <c r="B21138" s="8" t="str">
        <f>HYPERLINK("https://twitter.com/TheoChandra10","@TheoChandra10")</f>
        <v>@TheoChandra10</v>
      </c>
      <c r="C21138" s="8" t="s">
        <v>7796</v>
      </c>
      <c r="D21138" s="8">
        <v>77</v>
      </c>
      <c r="E21138" s="8">
        <v>0</v>
      </c>
      <c r="F21138" s="8">
        <v>55</v>
      </c>
    </row>
    <row r="21139" spans="1:6" ht="12.75">
      <c r="A21139" s="8">
        <v>43894.868449074071</v>
      </c>
      <c r="B21139" s="8" t="str">
        <f>HYPERLINK("https://twitter.com/maximus_syukur","@maximus_syukur")</f>
        <v>@maximus_syukur</v>
      </c>
      <c r="C21139" s="8" t="s">
        <v>7969</v>
      </c>
      <c r="D21139" s="8">
        <v>44</v>
      </c>
      <c r="E21139" s="8">
        <v>0</v>
      </c>
      <c r="F21139" s="8">
        <v>1571</v>
      </c>
    </row>
    <row r="21140" spans="1:6" ht="12.75">
      <c r="A21140" s="8">
        <v>43894.868391203709</v>
      </c>
      <c r="B21140" s="8" t="str">
        <f>HYPERLINK("https://twitter.com/bjmnewscom","@bjmnewscom")</f>
        <v>@bjmnewscom</v>
      </c>
      <c r="C21140" s="8" t="s">
        <v>8591</v>
      </c>
      <c r="D21140" s="8">
        <v>0</v>
      </c>
      <c r="E21140" s="8">
        <v>0</v>
      </c>
      <c r="F21140" s="8">
        <v>839</v>
      </c>
    </row>
    <row r="21141" spans="1:6" ht="12.75">
      <c r="A21141" s="8">
        <v>43894.868368055555</v>
      </c>
      <c r="B21141" s="8" t="str">
        <f>HYPERLINK("https://twitter.com/jonathansurbak1","@jonathansurbak1")</f>
        <v>@jonathansurbak1</v>
      </c>
      <c r="C21141" s="8" t="s">
        <v>8130</v>
      </c>
      <c r="D21141" s="8">
        <v>0</v>
      </c>
      <c r="E21141" s="8">
        <v>0</v>
      </c>
      <c r="F21141" s="8">
        <v>215</v>
      </c>
    </row>
    <row r="21142" spans="1:6" ht="12.75">
      <c r="A21142" s="8">
        <v>43894.868333333332</v>
      </c>
      <c r="B21142" s="8" t="str">
        <f>HYPERLINK("https://twitter.com/maximus_syukur","@maximus_syukur")</f>
        <v>@maximus_syukur</v>
      </c>
      <c r="C21142" s="8" t="s">
        <v>7466</v>
      </c>
      <c r="D21142" s="8">
        <v>4</v>
      </c>
      <c r="E21142" s="8">
        <v>0</v>
      </c>
      <c r="F21142" s="8">
        <v>1571</v>
      </c>
    </row>
    <row r="21143" spans="1:6" ht="12.75">
      <c r="A21143" s="8">
        <v>43894.868125000001</v>
      </c>
      <c r="B21143" s="8" t="str">
        <f>HYPERLINK("https://twitter.com/forddyce92","@forddyce92")</f>
        <v>@forddyce92</v>
      </c>
      <c r="C21143" s="8" t="s">
        <v>8592</v>
      </c>
      <c r="D21143" s="8">
        <v>0</v>
      </c>
      <c r="E21143" s="8">
        <v>0</v>
      </c>
      <c r="F21143" s="8">
        <v>28</v>
      </c>
    </row>
    <row r="21144" spans="1:6" ht="12.75">
      <c r="A21144" s="8">
        <v>43894.868055555555</v>
      </c>
      <c r="B21144" s="8" t="str">
        <f>HYPERLINK("https://twitter.com/selfieituindah","@selfieituindah")</f>
        <v>@selfieituindah</v>
      </c>
      <c r="C21144" s="8" t="s">
        <v>8593</v>
      </c>
      <c r="D21144" s="8">
        <v>0</v>
      </c>
      <c r="E21144" s="8">
        <v>0</v>
      </c>
      <c r="F21144" s="8">
        <v>21341</v>
      </c>
    </row>
    <row r="21145" spans="1:6" ht="12.75">
      <c r="A21145" s="8">
        <v>43894.867986111116</v>
      </c>
      <c r="B21145" s="8" t="str">
        <f>HYPERLINK("https://twitter.com/pdanunagoro","@pdanunagoro")</f>
        <v>@pdanunagoro</v>
      </c>
      <c r="C21145" s="8" t="s">
        <v>8594</v>
      </c>
      <c r="D21145" s="8">
        <v>1</v>
      </c>
      <c r="E21145" s="8">
        <v>0</v>
      </c>
      <c r="F21145" s="8">
        <v>503</v>
      </c>
    </row>
    <row r="21146" spans="1:6" ht="12.75">
      <c r="A21146" s="8">
        <v>43894.867962962962</v>
      </c>
      <c r="B21146" s="8" t="str">
        <f>HYPERLINK("https://twitter.com/febluana","@febluana")</f>
        <v>@febluana</v>
      </c>
      <c r="C21146" s="8" t="s">
        <v>2199</v>
      </c>
      <c r="D21146" s="8">
        <v>9086</v>
      </c>
      <c r="E21146" s="8">
        <v>0</v>
      </c>
      <c r="F21146" s="8">
        <v>620</v>
      </c>
    </row>
    <row r="21147" spans="1:6" ht="12.75">
      <c r="A21147" s="8">
        <v>43894.867777777778</v>
      </c>
      <c r="B21147" s="8" t="str">
        <f>HYPERLINK("https://twitter.com/gendro_kesesi","@gendro_kesesi")</f>
        <v>@gendro_kesesi</v>
      </c>
      <c r="C21147" s="8" t="s">
        <v>2979</v>
      </c>
      <c r="D21147" s="8">
        <v>49</v>
      </c>
      <c r="E21147" s="8">
        <v>0</v>
      </c>
      <c r="F21147" s="8">
        <v>964</v>
      </c>
    </row>
    <row r="21148" spans="1:6" ht="12.75">
      <c r="A21148" s="8">
        <v>43894.839895833335</v>
      </c>
      <c r="B21148" s="8" t="str">
        <f>HYPERLINK("https://twitter.com/Onta_buluk","@Onta_buluk")</f>
        <v>@Onta_buluk</v>
      </c>
      <c r="C21148" s="8" t="s">
        <v>6710</v>
      </c>
      <c r="D21148" s="8">
        <v>366</v>
      </c>
      <c r="E21148" s="8">
        <v>0</v>
      </c>
      <c r="F21148" s="8">
        <v>3610</v>
      </c>
    </row>
    <row r="21149" spans="1:6" ht="12.75">
      <c r="A21149" s="8">
        <v>43894.839826388888</v>
      </c>
      <c r="B21149" s="8" t="str">
        <f>HYPERLINK("https://twitter.com/partageleen","@partageleen")</f>
        <v>@partageleen</v>
      </c>
      <c r="C21149" s="8" t="s">
        <v>8595</v>
      </c>
      <c r="D21149" s="8">
        <v>1</v>
      </c>
      <c r="E21149" s="8">
        <v>0</v>
      </c>
      <c r="F21149" s="8">
        <v>2109</v>
      </c>
    </row>
    <row r="21150" spans="1:6" ht="12.75">
      <c r="A21150" s="8">
        <v>43894.83971064815</v>
      </c>
      <c r="B21150" s="8" t="str">
        <f>HYPERLINK("https://twitter.com/TriwinOt","@TriwinOt")</f>
        <v>@TriwinOt</v>
      </c>
      <c r="C21150" s="8" t="s">
        <v>8596</v>
      </c>
      <c r="D21150" s="8">
        <v>0</v>
      </c>
      <c r="E21150" s="8">
        <v>0</v>
      </c>
      <c r="F21150" s="8">
        <v>104</v>
      </c>
    </row>
    <row r="21151" spans="1:6" ht="12.75">
      <c r="A21151" s="8">
        <v>43894.839641203704</v>
      </c>
      <c r="B21151" s="8" t="str">
        <f>HYPERLINK("https://twitter.com/chenkkir","@chenkkir")</f>
        <v>@chenkkir</v>
      </c>
      <c r="C21151" s="8" t="s">
        <v>8597</v>
      </c>
      <c r="D21151" s="8">
        <v>1141</v>
      </c>
      <c r="E21151" s="8">
        <v>0</v>
      </c>
      <c r="F21151" s="8">
        <v>0</v>
      </c>
    </row>
    <row r="21152" spans="1:6" ht="12.75">
      <c r="A21152" s="8">
        <v>43894.839537037042</v>
      </c>
      <c r="B21152" s="8" t="str">
        <f>HYPERLINK("https://twitter.com/KaimanaPoem","@KaimanaPoem")</f>
        <v>@KaimanaPoem</v>
      </c>
      <c r="C21152" s="8" t="s">
        <v>8598</v>
      </c>
      <c r="D21152" s="8">
        <v>0</v>
      </c>
      <c r="E21152" s="8">
        <v>0</v>
      </c>
      <c r="F21152" s="8">
        <v>1313</v>
      </c>
    </row>
    <row r="21153" spans="1:6" ht="12.75">
      <c r="A21153" s="8">
        <v>43894.839305555557</v>
      </c>
      <c r="B21153" s="8" t="str">
        <f>HYPERLINK("https://twitter.com/4b1id__DzOE3","@4b1id__DzOE3")</f>
        <v>@4b1id__DzOE3</v>
      </c>
      <c r="C21153" s="8" t="s">
        <v>8599</v>
      </c>
      <c r="D21153" s="8">
        <v>1</v>
      </c>
      <c r="E21153" s="8">
        <v>0</v>
      </c>
      <c r="F21153" s="8">
        <v>1638</v>
      </c>
    </row>
    <row r="21154" spans="1:6" ht="12.75">
      <c r="A21154" s="8">
        <v>43894.839224537034</v>
      </c>
      <c r="B21154" s="8" t="str">
        <f>HYPERLINK("https://twitter.com/republikaonline","@republikaonline")</f>
        <v>@republikaonline</v>
      </c>
      <c r="C21154" s="8" t="s">
        <v>8600</v>
      </c>
      <c r="D21154" s="8">
        <v>0</v>
      </c>
      <c r="E21154" s="8">
        <v>1</v>
      </c>
      <c r="F21154" s="8">
        <v>1219013</v>
      </c>
    </row>
    <row r="21155" spans="1:6" ht="12.75">
      <c r="A21155" s="8">
        <v>43894.839097222226</v>
      </c>
      <c r="B21155" s="8" t="str">
        <f>HYPERLINK("https://twitter.com/visitortwt1","@visitortwt1")</f>
        <v>@visitortwt1</v>
      </c>
      <c r="C21155" s="8" t="s">
        <v>2979</v>
      </c>
      <c r="D21155" s="8">
        <v>36</v>
      </c>
      <c r="E21155" s="8">
        <v>0</v>
      </c>
      <c r="F21155" s="8">
        <v>412</v>
      </c>
    </row>
    <row r="21156" spans="1:6" ht="12.75">
      <c r="A21156" s="8">
        <v>43894.839039351849</v>
      </c>
      <c r="B21156" s="8" t="str">
        <f>HYPERLINK("https://twitter.com/DFana71","@DFana71")</f>
        <v>@DFana71</v>
      </c>
      <c r="C21156" s="8" t="s">
        <v>8601</v>
      </c>
      <c r="D21156" s="8">
        <v>1</v>
      </c>
      <c r="E21156" s="8">
        <v>0</v>
      </c>
      <c r="F21156" s="8">
        <v>0</v>
      </c>
    </row>
    <row r="21157" spans="1:6" ht="12.75">
      <c r="A21157" s="8">
        <v>43894.839004629626</v>
      </c>
      <c r="B21157" s="8" t="str">
        <f>HYPERLINK("https://twitter.com/realprincetotty","@realprincetotty")</f>
        <v>@realprincetotty</v>
      </c>
      <c r="C21157" s="8" t="s">
        <v>3285</v>
      </c>
      <c r="D21157" s="8">
        <v>46</v>
      </c>
      <c r="E21157" s="8">
        <v>0</v>
      </c>
      <c r="F21157" s="8">
        <v>735</v>
      </c>
    </row>
    <row r="21158" spans="1:6" ht="12.75">
      <c r="A21158" s="8">
        <v>43894.838854166665</v>
      </c>
      <c r="B21158" s="8" t="str">
        <f>HYPERLINK("https://twitter.com/BaturajaRadio","@BaturajaRadio")</f>
        <v>@BaturajaRadio</v>
      </c>
      <c r="C21158" s="8" t="s">
        <v>8602</v>
      </c>
      <c r="D21158" s="8">
        <v>1</v>
      </c>
      <c r="E21158" s="8">
        <v>0</v>
      </c>
      <c r="F21158" s="8">
        <v>6634</v>
      </c>
    </row>
    <row r="21159" spans="1:6" ht="12.75">
      <c r="A21159" s="8">
        <v>43894.838622685187</v>
      </c>
      <c r="B21159" s="8" t="str">
        <f>HYPERLINK("https://twitter.com/nimidnec","@nimidnec")</f>
        <v>@nimidnec</v>
      </c>
      <c r="C21159" s="8" t="s">
        <v>6710</v>
      </c>
      <c r="D21159" s="8">
        <v>366</v>
      </c>
      <c r="E21159" s="8">
        <v>0</v>
      </c>
      <c r="F21159" s="8">
        <v>1067</v>
      </c>
    </row>
    <row r="21160" spans="1:6" ht="12.75">
      <c r="A21160" s="8">
        <v>43894.838553240741</v>
      </c>
      <c r="B21160" s="8" t="str">
        <f>HYPERLINK("https://twitter.com/hans_tbn","@hans_tbn")</f>
        <v>@hans_tbn</v>
      </c>
      <c r="C21160" s="8" t="s">
        <v>2979</v>
      </c>
      <c r="D21160" s="8">
        <v>36</v>
      </c>
      <c r="E21160" s="8">
        <v>0</v>
      </c>
      <c r="F21160" s="8">
        <v>441</v>
      </c>
    </row>
    <row r="21161" spans="1:6" ht="12.75">
      <c r="A21161" s="8">
        <v>43894.838495370372</v>
      </c>
      <c r="B21161" s="8" t="str">
        <f>HYPERLINK("https://twitter.com/Atha879","@Atha879")</f>
        <v>@Atha879</v>
      </c>
      <c r="C21161" s="8" t="s">
        <v>8603</v>
      </c>
      <c r="D21161" s="8">
        <v>2</v>
      </c>
      <c r="E21161" s="8">
        <v>0</v>
      </c>
      <c r="F21161" s="8">
        <v>1483</v>
      </c>
    </row>
    <row r="21162" spans="1:6" ht="12.75">
      <c r="A21162" s="8">
        <v>43894.838379629626</v>
      </c>
      <c r="B21162" s="8" t="str">
        <f>HYPERLINK("https://twitter.com/camumpuni","@camumpuni")</f>
        <v>@camumpuni</v>
      </c>
      <c r="C21162" s="8" t="s">
        <v>5852</v>
      </c>
      <c r="D21162" s="8">
        <v>4</v>
      </c>
      <c r="E21162" s="8">
        <v>0</v>
      </c>
      <c r="F21162" s="8">
        <v>103</v>
      </c>
    </row>
    <row r="21163" spans="1:6" ht="12.75">
      <c r="A21163" s="8">
        <v>43894.838333333333</v>
      </c>
      <c r="B21163" s="8" t="str">
        <f>HYPERLINK("https://twitter.com/agtbanuw","@agtbanuw")</f>
        <v>@agtbanuw</v>
      </c>
      <c r="C21163" s="8" t="s">
        <v>8604</v>
      </c>
      <c r="D21163" s="8">
        <v>1</v>
      </c>
      <c r="E21163" s="8">
        <v>0</v>
      </c>
      <c r="F21163" s="8">
        <v>552</v>
      </c>
    </row>
    <row r="21164" spans="1:6" ht="12.75">
      <c r="A21164" s="8">
        <v>43894.838310185187</v>
      </c>
      <c r="B21164" s="8" t="str">
        <f>HYPERLINK("https://twitter.com/ISIS_Balik_NO","@ISIS_Balik_NO")</f>
        <v>@ISIS_Balik_NO</v>
      </c>
      <c r="C21164" s="8" t="s">
        <v>8605</v>
      </c>
      <c r="D21164" s="8">
        <v>0</v>
      </c>
      <c r="E21164" s="8">
        <v>0</v>
      </c>
      <c r="F21164" s="8">
        <v>6112</v>
      </c>
    </row>
    <row r="21165" spans="1:6" ht="12.75">
      <c r="A21165" s="8">
        <v>43894.838055555556</v>
      </c>
      <c r="B21165" s="8" t="str">
        <f>HYPERLINK("https://twitter.com/entrefilets","@entrefilets")</f>
        <v>@entrefilets</v>
      </c>
      <c r="C21165" s="8" t="s">
        <v>7575</v>
      </c>
      <c r="D21165" s="8">
        <v>38</v>
      </c>
      <c r="E21165" s="8">
        <v>0</v>
      </c>
      <c r="F21165" s="8">
        <v>530</v>
      </c>
    </row>
    <row r="21166" spans="1:6" ht="12.75">
      <c r="A21166" s="8">
        <v>43894.837997685187</v>
      </c>
      <c r="B21166" s="8" t="str">
        <f>HYPERLINK("https://twitter.com/visitortwt1","@visitortwt1")</f>
        <v>@visitortwt1</v>
      </c>
      <c r="C21166" s="8" t="s">
        <v>3285</v>
      </c>
      <c r="D21166" s="8">
        <v>46</v>
      </c>
      <c r="E21166" s="8">
        <v>0</v>
      </c>
      <c r="F21166" s="8">
        <v>412</v>
      </c>
    </row>
    <row r="21167" spans="1:6" ht="12.75">
      <c r="A21167" s="8">
        <v>43894.83798611111</v>
      </c>
      <c r="B21167" s="8" t="str">
        <f>HYPERLINK("https://twitter.com/imam_malik","@imam_malik")</f>
        <v>@imam_malik</v>
      </c>
      <c r="C21167" s="8" t="s">
        <v>5732</v>
      </c>
      <c r="D21167" s="8">
        <v>2197</v>
      </c>
      <c r="E21167" s="8">
        <v>0</v>
      </c>
      <c r="F21167" s="8">
        <v>219</v>
      </c>
    </row>
    <row r="21168" spans="1:6" ht="12.75">
      <c r="A21168" s="8">
        <v>43894.837638888886</v>
      </c>
      <c r="B21168" s="8" t="str">
        <f>HYPERLINK("https://twitter.com/beatrice_health","@beatrice_health")</f>
        <v>@beatrice_health</v>
      </c>
      <c r="C21168" s="8" t="s">
        <v>8078</v>
      </c>
      <c r="D21168" s="8">
        <v>43</v>
      </c>
      <c r="E21168" s="8">
        <v>0</v>
      </c>
      <c r="F21168" s="8">
        <v>517</v>
      </c>
    </row>
    <row r="21169" spans="1:6" ht="12.75">
      <c r="A21169" s="8">
        <v>43894.83761574074</v>
      </c>
      <c r="B21169" s="8" t="str">
        <f>HYPERLINK("https://twitter.com/mangKohjay","@mangKohjay")</f>
        <v>@mangKohjay</v>
      </c>
      <c r="C21169" s="8" t="s">
        <v>8078</v>
      </c>
      <c r="D21169" s="8">
        <v>43</v>
      </c>
      <c r="E21169" s="8">
        <v>0</v>
      </c>
      <c r="F21169" s="8">
        <v>847</v>
      </c>
    </row>
    <row r="21170" spans="1:6" ht="12.75">
      <c r="A21170" s="8">
        <v>43894.837546296301</v>
      </c>
      <c r="B21170" s="8" t="str">
        <f>HYPERLINK("https://twitter.com/djanuanti","@djanuanti")</f>
        <v>@djanuanti</v>
      </c>
      <c r="C21170" s="8" t="s">
        <v>8066</v>
      </c>
      <c r="D21170" s="8">
        <v>43</v>
      </c>
      <c r="E21170" s="8">
        <v>0</v>
      </c>
      <c r="F21170" s="8">
        <v>476</v>
      </c>
    </row>
    <row r="21171" spans="1:6" ht="12.75">
      <c r="A21171" s="8">
        <v>43894.837500000001</v>
      </c>
      <c r="B21171" s="8" t="str">
        <f>HYPERLINK("https://twitter.com/KapanLagicom","@KapanLagicom")</f>
        <v>@KapanLagicom</v>
      </c>
      <c r="C21171" s="8" t="s">
        <v>8606</v>
      </c>
      <c r="D21171" s="8">
        <v>1</v>
      </c>
      <c r="E21171" s="8">
        <v>2</v>
      </c>
      <c r="F21171" s="8">
        <v>2096929</v>
      </c>
    </row>
    <row r="21172" spans="1:6" ht="12.75">
      <c r="A21172" s="8">
        <v>43894.837222222224</v>
      </c>
      <c r="B21172" s="8" t="str">
        <f>HYPERLINK("https://twitter.com/KaimanaPoem","@KaimanaPoem")</f>
        <v>@KaimanaPoem</v>
      </c>
      <c r="C21172" s="8" t="s">
        <v>8607</v>
      </c>
      <c r="D21172" s="8">
        <v>0</v>
      </c>
      <c r="E21172" s="8">
        <v>1</v>
      </c>
      <c r="F21172" s="8">
        <v>1313</v>
      </c>
    </row>
    <row r="21173" spans="1:6" ht="12.75">
      <c r="A21173" s="8">
        <v>43894.837187500001</v>
      </c>
      <c r="B21173" s="8" t="str">
        <f>HYPERLINK("https://twitter.com/kangxeulbear","@kangxeulbear")</f>
        <v>@kangxeulbear</v>
      </c>
      <c r="C21173" s="8" t="s">
        <v>8608</v>
      </c>
      <c r="D21173" s="8">
        <v>0</v>
      </c>
      <c r="E21173" s="8">
        <v>0</v>
      </c>
      <c r="F21173" s="8">
        <v>1323</v>
      </c>
    </row>
    <row r="21174" spans="1:6" ht="12.75">
      <c r="A21174" s="8">
        <v>43894.837048611109</v>
      </c>
      <c r="B21174" s="8" t="str">
        <f>HYPERLINK("https://twitter.com/hebohdotcom_","@hebohdotcom_")</f>
        <v>@hebohdotcom_</v>
      </c>
      <c r="C21174" s="8" t="s">
        <v>8609</v>
      </c>
      <c r="D21174" s="8">
        <v>0</v>
      </c>
      <c r="E21174" s="8">
        <v>0</v>
      </c>
      <c r="F21174" s="8">
        <v>232</v>
      </c>
    </row>
    <row r="21175" spans="1:6" ht="12.75">
      <c r="A21175" s="8">
        <v>43894.836898148147</v>
      </c>
      <c r="B21175" s="8" t="str">
        <f>HYPERLINK("https://twitter.com/Firmana66382608","@Firmana66382608")</f>
        <v>@Firmana66382608</v>
      </c>
      <c r="C21175" s="8" t="s">
        <v>8610</v>
      </c>
      <c r="D21175" s="8">
        <v>1</v>
      </c>
      <c r="E21175" s="8">
        <v>1</v>
      </c>
      <c r="F21175" s="8">
        <v>1327</v>
      </c>
    </row>
    <row r="21176" spans="1:6" ht="12.75">
      <c r="A21176" s="8">
        <v>43894.836805555555</v>
      </c>
      <c r="B21176" s="8" t="str">
        <f>HYPERLINK("https://twitter.com/Hidayat_YM","@Hidayat_YM")</f>
        <v>@Hidayat_YM</v>
      </c>
      <c r="C21176" s="8" t="s">
        <v>8611</v>
      </c>
      <c r="D21176" s="8">
        <v>0</v>
      </c>
      <c r="E21176" s="8">
        <v>0</v>
      </c>
      <c r="F21176" s="8">
        <v>154</v>
      </c>
    </row>
    <row r="21177" spans="1:6" ht="12.75">
      <c r="A21177" s="8">
        <v>43894.836747685185</v>
      </c>
      <c r="B21177" s="8" t="str">
        <f>HYPERLINK("https://twitter.com/suze81sdk","@suze81sdk")</f>
        <v>@suze81sdk</v>
      </c>
      <c r="C21177" s="8" t="s">
        <v>6862</v>
      </c>
      <c r="D21177" s="8">
        <v>157</v>
      </c>
      <c r="E21177" s="8">
        <v>0</v>
      </c>
      <c r="F21177" s="8">
        <v>4</v>
      </c>
    </row>
    <row r="21178" spans="1:6" ht="12.75">
      <c r="A21178" s="8">
        <v>43894.83625</v>
      </c>
      <c r="B21178" s="8" t="str">
        <f>HYPERLINK("https://twitter.com/PradiptaArya4","@PradiptaArya4")</f>
        <v>@PradiptaArya4</v>
      </c>
      <c r="C21178" s="8" t="s">
        <v>8066</v>
      </c>
      <c r="D21178" s="8">
        <v>43</v>
      </c>
      <c r="E21178" s="8">
        <v>0</v>
      </c>
      <c r="F21178" s="8">
        <v>2536</v>
      </c>
    </row>
    <row r="21179" spans="1:6" ht="12.75">
      <c r="A21179" s="8">
        <v>43894.836226851854</v>
      </c>
      <c r="B21179" s="8" t="str">
        <f>HYPERLINK("https://twitter.com/fadjarzcrackerz","@fadjarzcrackerz")</f>
        <v>@fadjarzcrackerz</v>
      </c>
      <c r="C21179" s="8" t="s">
        <v>7575</v>
      </c>
      <c r="D21179" s="8">
        <v>38</v>
      </c>
      <c r="E21179" s="8">
        <v>0</v>
      </c>
      <c r="F21179" s="8">
        <v>110</v>
      </c>
    </row>
    <row r="21180" spans="1:6" ht="12.75">
      <c r="A21180" s="8">
        <v>43894.836122685185</v>
      </c>
      <c r="B21180" s="8" t="str">
        <f>HYPERLINK("https://twitter.com/Maryam59771644","@Maryam59771644")</f>
        <v>@Maryam59771644</v>
      </c>
      <c r="C21180" s="8" t="s">
        <v>8612</v>
      </c>
      <c r="D21180" s="8">
        <v>0</v>
      </c>
      <c r="E21180" s="8">
        <v>0</v>
      </c>
      <c r="F21180" s="8">
        <v>18</v>
      </c>
    </row>
    <row r="21181" spans="1:6" ht="12.75">
      <c r="A21181" s="8">
        <v>43894.836099537039</v>
      </c>
      <c r="B21181" s="8" t="str">
        <f>HYPERLINK("https://twitter.com/PradiptaArya4","@PradiptaArya4")</f>
        <v>@PradiptaArya4</v>
      </c>
      <c r="C21181" s="8" t="s">
        <v>2979</v>
      </c>
      <c r="D21181" s="8">
        <v>36</v>
      </c>
      <c r="E21181" s="8">
        <v>0</v>
      </c>
      <c r="F21181" s="8">
        <v>2536</v>
      </c>
    </row>
    <row r="21182" spans="1:6" ht="12.75">
      <c r="A21182" s="8">
        <v>43894.835995370369</v>
      </c>
      <c r="B21182" s="8" t="str">
        <f>HYPERLINK("https://twitter.com/i_Pras","@i_Pras")</f>
        <v>@i_Pras</v>
      </c>
      <c r="C21182" s="8" t="s">
        <v>5852</v>
      </c>
      <c r="D21182" s="8">
        <v>4</v>
      </c>
      <c r="E21182" s="8">
        <v>0</v>
      </c>
      <c r="F21182" s="8">
        <v>1055</v>
      </c>
    </row>
    <row r="21183" spans="1:6" ht="12.75">
      <c r="A21183" s="8">
        <v>43894.835891203707</v>
      </c>
      <c r="B21183" s="8" t="str">
        <f>HYPERLINK("https://twitter.com/summersnackss","@summersnackss")</f>
        <v>@summersnackss</v>
      </c>
      <c r="C21183" s="8" t="s">
        <v>8603</v>
      </c>
      <c r="D21183" s="8">
        <v>2</v>
      </c>
      <c r="E21183" s="8">
        <v>0</v>
      </c>
      <c r="F21183" s="8">
        <v>1007</v>
      </c>
    </row>
    <row r="21184" spans="1:6" ht="12.75">
      <c r="A21184" s="8">
        <v>43894.835752314815</v>
      </c>
      <c r="B21184" s="8" t="str">
        <f>HYPERLINK("https://twitter.com/ganjarpranowo","@ganjarpranowo")</f>
        <v>@ganjarpranowo</v>
      </c>
      <c r="C21184" s="8" t="s">
        <v>8411</v>
      </c>
      <c r="D21184" s="8">
        <v>8</v>
      </c>
      <c r="E21184" s="8">
        <v>0</v>
      </c>
      <c r="F21184" s="8">
        <v>1408575</v>
      </c>
    </row>
    <row r="21185" spans="1:6" ht="12.75">
      <c r="A21185" s="8">
        <v>43894.835486111115</v>
      </c>
      <c r="B21185" s="8" t="str">
        <f>HYPERLINK("https://twitter.com/TolakPartaiSara","@TolakPartaiSara")</f>
        <v>@TolakPartaiSara</v>
      </c>
      <c r="C21185" s="8" t="s">
        <v>5852</v>
      </c>
      <c r="D21185" s="8">
        <v>4</v>
      </c>
      <c r="E21185" s="8">
        <v>0</v>
      </c>
      <c r="F21185" s="8">
        <v>295</v>
      </c>
    </row>
    <row r="21186" spans="1:6" ht="12.75">
      <c r="A21186" s="8">
        <v>43894.835405092592</v>
      </c>
      <c r="B21186" s="8" t="str">
        <f>HYPERLINK("https://twitter.com/afifahmarwaaa","@afifahmarwaaa")</f>
        <v>@afifahmarwaaa</v>
      </c>
      <c r="C21186" s="8" t="s">
        <v>8613</v>
      </c>
      <c r="D21186" s="8">
        <v>1</v>
      </c>
      <c r="E21186" s="8">
        <v>0</v>
      </c>
      <c r="F21186" s="8">
        <v>455</v>
      </c>
    </row>
    <row r="21187" spans="1:6" ht="12.75">
      <c r="A21187" s="8">
        <v>43894.835266203707</v>
      </c>
      <c r="B21187" s="8" t="str">
        <f>HYPERLINK("https://twitter.com/serahlaa","@serahlaa")</f>
        <v>@serahlaa</v>
      </c>
      <c r="C21187" s="8" t="s">
        <v>2979</v>
      </c>
      <c r="D21187" s="8">
        <v>36</v>
      </c>
      <c r="E21187" s="8">
        <v>0</v>
      </c>
      <c r="F21187" s="8">
        <v>74</v>
      </c>
    </row>
    <row r="21188" spans="1:6" ht="12.75">
      <c r="A21188" s="8">
        <v>43894.835162037038</v>
      </c>
      <c r="B21188" s="8" t="str">
        <f>HYPERLINK("https://twitter.com/ezaRBesar","@ezaRBesar")</f>
        <v>@ezaRBesar</v>
      </c>
      <c r="C21188" s="8" t="s">
        <v>8614</v>
      </c>
      <c r="D21188" s="8">
        <v>0</v>
      </c>
      <c r="E21188" s="8">
        <v>0</v>
      </c>
      <c r="F21188" s="8">
        <v>21</v>
      </c>
    </row>
    <row r="21189" spans="1:6" ht="12.75">
      <c r="A21189" s="8">
        <v>43894.834756944445</v>
      </c>
      <c r="B21189" s="8" t="str">
        <f>HYPERLINK("https://twitter.com/chicohakim","@chicohakim")</f>
        <v>@chicohakim</v>
      </c>
      <c r="C21189" s="8" t="s">
        <v>8615</v>
      </c>
      <c r="D21189" s="8">
        <v>4</v>
      </c>
      <c r="E21189" s="8">
        <v>10</v>
      </c>
      <c r="F21189" s="8">
        <v>76114</v>
      </c>
    </row>
    <row r="21190" spans="1:6" ht="12.75">
      <c r="A21190" s="8">
        <v>43894.834479166668</v>
      </c>
      <c r="B21190" s="8" t="str">
        <f>HYPERLINK("https://twitter.com/SahertianDaisy","@SahertianDaisy")</f>
        <v>@SahertianDaisy</v>
      </c>
      <c r="C21190" s="8" t="s">
        <v>8616</v>
      </c>
      <c r="D21190" s="8">
        <v>0</v>
      </c>
      <c r="E21190" s="8">
        <v>0</v>
      </c>
      <c r="F21190" s="8">
        <v>68</v>
      </c>
    </row>
    <row r="21191" spans="1:6" ht="12.75">
      <c r="A21191" s="8">
        <v>43894.83384259259</v>
      </c>
      <c r="B21191" s="8" t="str">
        <f>HYPERLINK("https://twitter.com/BandungTV38","@BandungTV38")</f>
        <v>@BandungTV38</v>
      </c>
      <c r="C21191" s="8" t="s">
        <v>8617</v>
      </c>
      <c r="D21191" s="8">
        <v>0</v>
      </c>
      <c r="E21191" s="8">
        <v>0</v>
      </c>
      <c r="F21191" s="8">
        <v>12242</v>
      </c>
    </row>
    <row r="21192" spans="1:6" ht="12.75">
      <c r="A21192" s="8">
        <v>43894.833738425921</v>
      </c>
      <c r="B21192" s="8" t="str">
        <f>HYPERLINK("https://twitter.com/KompasTV","@KompasTV")</f>
        <v>@KompasTV</v>
      </c>
      <c r="C21192" s="8" t="s">
        <v>8618</v>
      </c>
      <c r="D21192" s="8">
        <v>2</v>
      </c>
      <c r="E21192" s="8">
        <v>4</v>
      </c>
      <c r="F21192" s="8">
        <v>2955839</v>
      </c>
    </row>
    <row r="21193" spans="1:6" ht="12.75">
      <c r="A21193" s="8">
        <v>43894.833611111113</v>
      </c>
      <c r="B21193" s="8" t="str">
        <f>HYPERLINK("https://twitter.com/tiqwa_aziz","@tiqwa_aziz")</f>
        <v>@tiqwa_aziz</v>
      </c>
      <c r="C21193" s="8" t="s">
        <v>8212</v>
      </c>
      <c r="D21193" s="8">
        <v>127</v>
      </c>
      <c r="E21193" s="8">
        <v>0</v>
      </c>
      <c r="F21193" s="8">
        <v>288</v>
      </c>
    </row>
    <row r="21194" spans="1:6" ht="12.75">
      <c r="A21194" s="8">
        <v>43894.833611111113</v>
      </c>
      <c r="B21194" s="8" t="str">
        <f>HYPERLINK("https://twitter.com/SilitongaEfraim","@SilitongaEfraim")</f>
        <v>@SilitongaEfraim</v>
      </c>
      <c r="C21194" s="8" t="s">
        <v>8619</v>
      </c>
      <c r="D21194" s="8">
        <v>0</v>
      </c>
      <c r="E21194" s="8">
        <v>0</v>
      </c>
      <c r="F21194" s="8">
        <v>2073</v>
      </c>
    </row>
    <row r="21195" spans="1:6" ht="12.75">
      <c r="A21195" s="8">
        <v>43894.83326388889</v>
      </c>
      <c r="B21195" s="8" t="str">
        <f>HYPERLINK("https://twitter.com/hgberry","@hgberry")</f>
        <v>@hgberry</v>
      </c>
      <c r="C21195" s="8" t="s">
        <v>3285</v>
      </c>
      <c r="D21195" s="8">
        <v>46</v>
      </c>
      <c r="E21195" s="8">
        <v>0</v>
      </c>
      <c r="F21195" s="8">
        <v>1648</v>
      </c>
    </row>
    <row r="21196" spans="1:6" ht="12.75">
      <c r="A21196" s="8">
        <v>43894.833171296297</v>
      </c>
      <c r="B21196" s="8" t="str">
        <f>HYPERLINK("https://twitter.com/cakbajoel","@cakbajoel")</f>
        <v>@cakbajoel</v>
      </c>
      <c r="C21196" s="8" t="s">
        <v>8620</v>
      </c>
      <c r="D21196" s="8">
        <v>0</v>
      </c>
      <c r="E21196" s="8">
        <v>0</v>
      </c>
      <c r="F21196" s="8">
        <v>530</v>
      </c>
    </row>
    <row r="21197" spans="1:6" ht="12.75">
      <c r="A21197" s="8">
        <v>43894.833101851851</v>
      </c>
      <c r="B21197" s="8" t="str">
        <f>HYPERLINK("https://twitter.com/SarveshKatiyar","@SarveshKatiyar")</f>
        <v>@SarveshKatiyar</v>
      </c>
      <c r="C21197" s="8" t="s">
        <v>8621</v>
      </c>
      <c r="D21197" s="8">
        <v>0</v>
      </c>
      <c r="E21197" s="8">
        <v>0</v>
      </c>
      <c r="F21197" s="8">
        <v>162</v>
      </c>
    </row>
    <row r="21198" spans="1:6" ht="12.75">
      <c r="A21198" s="8">
        <v>43894.83293981482</v>
      </c>
      <c r="B21198" s="8" t="str">
        <f>HYPERLINK("https://twitter.com/YusufNusantara1","@YusufNusantara1")</f>
        <v>@YusufNusantara1</v>
      </c>
      <c r="C21198" s="8" t="s">
        <v>8066</v>
      </c>
      <c r="D21198" s="8">
        <v>43</v>
      </c>
      <c r="E21198" s="8">
        <v>0</v>
      </c>
      <c r="F21198" s="8">
        <v>756</v>
      </c>
    </row>
    <row r="21199" spans="1:6" ht="12.75">
      <c r="A21199" s="8">
        <v>43894.832928240736</v>
      </c>
      <c r="B21199" s="8" t="str">
        <f>HYPERLINK("https://twitter.com/tiqwa_aziz","@tiqwa_aziz")</f>
        <v>@tiqwa_aziz</v>
      </c>
      <c r="C21199" s="8" t="s">
        <v>6710</v>
      </c>
      <c r="D21199" s="8">
        <v>366</v>
      </c>
      <c r="E21199" s="8">
        <v>0</v>
      </c>
      <c r="F21199" s="8">
        <v>288</v>
      </c>
    </row>
    <row r="21200" spans="1:6" ht="12.75">
      <c r="A21200" s="8">
        <v>43894.832708333328</v>
      </c>
      <c r="B21200" s="8" t="str">
        <f>HYPERLINK("https://twitter.com/ardhy840119","@ardhy840119")</f>
        <v>@ardhy840119</v>
      </c>
      <c r="C21200" s="8" t="s">
        <v>6710</v>
      </c>
      <c r="D21200" s="8">
        <v>366</v>
      </c>
      <c r="E21200" s="8">
        <v>0</v>
      </c>
      <c r="F21200" s="8">
        <v>64</v>
      </c>
    </row>
    <row r="21201" spans="1:6" ht="12.75">
      <c r="A21201" s="8">
        <v>43894.832511574074</v>
      </c>
      <c r="B21201" s="8" t="str">
        <f>HYPERLINK("https://twitter.com/jamaahblitar","@jamaahblitar")</f>
        <v>@jamaahblitar</v>
      </c>
      <c r="C21201" s="8" t="s">
        <v>8622</v>
      </c>
      <c r="D21201" s="8">
        <v>0</v>
      </c>
      <c r="E21201" s="8">
        <v>0</v>
      </c>
      <c r="F21201" s="8">
        <v>33</v>
      </c>
    </row>
    <row r="21202" spans="1:6" ht="12.75">
      <c r="A21202" s="8">
        <v>43894.831782407404</v>
      </c>
      <c r="B21202" s="8" t="str">
        <f>HYPERLINK("https://twitter.com/Maryam59771644","@Maryam59771644")</f>
        <v>@Maryam59771644</v>
      </c>
      <c r="C21202" s="8" t="s">
        <v>8623</v>
      </c>
      <c r="D21202" s="8">
        <v>0</v>
      </c>
      <c r="E21202" s="8">
        <v>0</v>
      </c>
      <c r="F21202" s="8">
        <v>18</v>
      </c>
    </row>
    <row r="21203" spans="1:6" ht="12.75">
      <c r="A21203" s="8">
        <v>43894.831331018519</v>
      </c>
      <c r="B21203" s="8" t="str">
        <f>HYPERLINK("https://twitter.com/BertemanM","@BertemanM")</f>
        <v>@BertemanM</v>
      </c>
      <c r="C21203" s="8" t="s">
        <v>8624</v>
      </c>
      <c r="D21203" s="8">
        <v>1</v>
      </c>
      <c r="E21203" s="8">
        <v>11</v>
      </c>
      <c r="F21203" s="8">
        <v>46242</v>
      </c>
    </row>
    <row r="21204" spans="1:6" ht="12.75">
      <c r="A21204" s="8">
        <v>43894.831006944441</v>
      </c>
      <c r="B21204" s="8" t="str">
        <f>HYPERLINK("https://twitter.com/calankt1","@calankt1")</f>
        <v>@calankt1</v>
      </c>
      <c r="C21204" s="8" t="s">
        <v>8066</v>
      </c>
      <c r="D21204" s="8">
        <v>43</v>
      </c>
      <c r="E21204" s="8">
        <v>0</v>
      </c>
      <c r="F21204" s="8">
        <v>1824</v>
      </c>
    </row>
    <row r="21205" spans="1:6" ht="12.75">
      <c r="A21205" s="8">
        <v>43894.830717592587</v>
      </c>
      <c r="B21205" s="8" t="str">
        <f>HYPERLINK("https://twitter.com/Rihotrockon","@Rihotrockon")</f>
        <v>@Rihotrockon</v>
      </c>
      <c r="C21205" s="8" t="s">
        <v>8625</v>
      </c>
      <c r="D21205" s="8">
        <v>4</v>
      </c>
      <c r="E21205" s="8">
        <v>0</v>
      </c>
      <c r="F21205" s="8">
        <v>825</v>
      </c>
    </row>
    <row r="21206" spans="1:6" ht="12.75">
      <c r="A21206" s="8">
        <v>43894.830625000002</v>
      </c>
      <c r="B21206" s="8" t="str">
        <f>HYPERLINK("https://twitter.com/dehutabarat","@dehutabarat")</f>
        <v>@dehutabarat</v>
      </c>
      <c r="C21206" s="8" t="s">
        <v>8626</v>
      </c>
      <c r="D21206" s="8">
        <v>0</v>
      </c>
      <c r="E21206" s="8">
        <v>0</v>
      </c>
      <c r="F21206" s="8">
        <v>47</v>
      </c>
    </row>
    <row r="21207" spans="1:6" ht="12.75">
      <c r="A21207" s="8">
        <v>43894.830625000002</v>
      </c>
      <c r="B21207" s="8" t="str">
        <f>HYPERLINK("https://twitter.com/andhi_reza","@andhi_reza")</f>
        <v>@andhi_reza</v>
      </c>
      <c r="C21207" s="8" t="s">
        <v>6710</v>
      </c>
      <c r="D21207" s="8">
        <v>366</v>
      </c>
      <c r="E21207" s="8">
        <v>0</v>
      </c>
      <c r="F21207" s="8">
        <v>236</v>
      </c>
    </row>
    <row r="21208" spans="1:6" ht="12.75">
      <c r="A21208" s="8">
        <v>43894.830312499995</v>
      </c>
      <c r="B21208" s="8" t="str">
        <f>HYPERLINK("https://twitter.com/RadioElshinta","@RadioElshinta")</f>
        <v>@RadioElshinta</v>
      </c>
      <c r="C21208" s="8" t="s">
        <v>8364</v>
      </c>
      <c r="D21208" s="8">
        <v>0</v>
      </c>
      <c r="E21208" s="8">
        <v>3</v>
      </c>
      <c r="F21208" s="8">
        <v>3636758</v>
      </c>
    </row>
    <row r="21209" spans="1:6" ht="12.75">
      <c r="A21209" s="8">
        <v>43894.830243055556</v>
      </c>
      <c r="B21209" s="8" t="str">
        <f>HYPERLINK("https://twitter.com/anitamarlian2","@anitamarlian2")</f>
        <v>@anitamarlian2</v>
      </c>
      <c r="C21209" s="8" t="s">
        <v>8512</v>
      </c>
      <c r="D21209" s="8">
        <v>5</v>
      </c>
      <c r="E21209" s="8">
        <v>0</v>
      </c>
      <c r="F21209" s="8">
        <v>147</v>
      </c>
    </row>
    <row r="21210" spans="1:6" ht="12.75">
      <c r="A21210" s="8">
        <v>43894.829942129625</v>
      </c>
      <c r="B21210" s="8" t="str">
        <f>HYPERLINK("https://twitter.com/jitunews","@jitunews")</f>
        <v>@jitunews</v>
      </c>
      <c r="C21210" s="8" t="s">
        <v>8627</v>
      </c>
      <c r="D21210" s="8">
        <v>0</v>
      </c>
      <c r="E21210" s="8">
        <v>0</v>
      </c>
      <c r="F21210" s="8">
        <v>15270</v>
      </c>
    </row>
    <row r="21211" spans="1:6" ht="12.75">
      <c r="A21211" s="8">
        <v>43894.829664351855</v>
      </c>
      <c r="B21211" s="8" t="str">
        <f>HYPERLINK("https://twitter.com/jiiviiw","@jiiviiw")</f>
        <v>@jiiviiw</v>
      </c>
      <c r="C21211" s="8" t="s">
        <v>2775</v>
      </c>
      <c r="D21211" s="8">
        <v>1</v>
      </c>
      <c r="E21211" s="8">
        <v>0</v>
      </c>
      <c r="F21211" s="8">
        <v>11082</v>
      </c>
    </row>
    <row r="21212" spans="1:6" ht="12.75">
      <c r="A21212" s="8">
        <v>43894.829293981486</v>
      </c>
      <c r="B21212" s="8" t="str">
        <f>HYPERLINK("https://twitter.com/buzerman18","@buzerman18")</f>
        <v>@buzerman18</v>
      </c>
      <c r="C21212" s="8" t="s">
        <v>8628</v>
      </c>
      <c r="D21212" s="8">
        <v>0</v>
      </c>
      <c r="E21212" s="8">
        <v>0</v>
      </c>
      <c r="F21212" s="8">
        <v>1963</v>
      </c>
    </row>
    <row r="21213" spans="1:6" ht="12.75">
      <c r="A21213" s="8">
        <v>43894.82913194444</v>
      </c>
      <c r="B21213" s="8" t="str">
        <f>HYPERLINK("https://twitter.com/alteronay","@alteronay")</f>
        <v>@alteronay</v>
      </c>
      <c r="C21213" s="8" t="s">
        <v>8629</v>
      </c>
      <c r="D21213" s="8">
        <v>0</v>
      </c>
      <c r="E21213" s="8">
        <v>0</v>
      </c>
      <c r="F21213" s="8">
        <v>73</v>
      </c>
    </row>
    <row r="21214" spans="1:6" ht="12.75">
      <c r="A21214" s="8">
        <v>43894.827650462961</v>
      </c>
      <c r="B21214" s="8" t="str">
        <f>HYPERLINK("https://twitter.com/marwadwii_","@marwadwii_")</f>
        <v>@marwadwii_</v>
      </c>
      <c r="C21214" s="8" t="s">
        <v>8630</v>
      </c>
      <c r="D21214" s="8">
        <v>0</v>
      </c>
      <c r="E21214" s="8">
        <v>0</v>
      </c>
      <c r="F21214" s="8">
        <v>322</v>
      </c>
    </row>
    <row r="21215" spans="1:6" ht="12.75">
      <c r="A21215" s="8">
        <v>43894.827592592592</v>
      </c>
      <c r="B21215" s="8" t="str">
        <f>HYPERLINK("https://twitter.com/FloriDiver","@FloriDiver")</f>
        <v>@FloriDiver</v>
      </c>
      <c r="C21215" s="8" t="s">
        <v>7575</v>
      </c>
      <c r="D21215" s="8">
        <v>38</v>
      </c>
      <c r="E21215" s="8">
        <v>0</v>
      </c>
      <c r="F21215" s="8">
        <v>12</v>
      </c>
    </row>
    <row r="21216" spans="1:6" ht="12.75">
      <c r="A21216" s="8">
        <v>43894.827384259261</v>
      </c>
      <c r="B21216" s="8" t="str">
        <f>HYPERLINK("https://twitter.com/robyakbar","@robyakbar")</f>
        <v>@robyakbar</v>
      </c>
      <c r="C21216" s="8" t="s">
        <v>8631</v>
      </c>
      <c r="D21216" s="8">
        <v>0</v>
      </c>
      <c r="E21216" s="8">
        <v>0</v>
      </c>
      <c r="F21216" s="8">
        <v>438</v>
      </c>
    </row>
    <row r="21217" spans="1:6" ht="12.75">
      <c r="A21217" s="8">
        <v>43894.827384259261</v>
      </c>
      <c r="B21217" s="8" t="str">
        <f>HYPERLINK("https://twitter.com/uwaysaputra","@uwaysaputra")</f>
        <v>@uwaysaputra</v>
      </c>
      <c r="C21217" s="8" t="s">
        <v>2979</v>
      </c>
      <c r="D21217" s="8">
        <v>36</v>
      </c>
      <c r="E21217" s="8">
        <v>0</v>
      </c>
      <c r="F21217" s="8">
        <v>1191</v>
      </c>
    </row>
    <row r="21218" spans="1:6" ht="12.75">
      <c r="A21218" s="8">
        <v>43894.826238425929</v>
      </c>
      <c r="B21218" s="8" t="str">
        <f>HYPERLINK("https://twitter.com/vleirys","@vleirys")</f>
        <v>@vleirys</v>
      </c>
      <c r="C21218" s="8" t="s">
        <v>8632</v>
      </c>
      <c r="D21218" s="8">
        <v>185</v>
      </c>
      <c r="E21218" s="8">
        <v>0</v>
      </c>
      <c r="F21218" s="8">
        <v>235</v>
      </c>
    </row>
    <row r="21219" spans="1:6" ht="12.75">
      <c r="A21219" s="8">
        <v>43894.826064814813</v>
      </c>
      <c r="B21219" s="8" t="str">
        <f>HYPERLINK("https://twitter.com/Bangzul__88","@Bangzul__88")</f>
        <v>@Bangzul__88</v>
      </c>
      <c r="C21219" s="8" t="s">
        <v>8066</v>
      </c>
      <c r="D21219" s="8">
        <v>43</v>
      </c>
      <c r="E21219" s="8">
        <v>0</v>
      </c>
      <c r="F21219" s="8">
        <v>6436</v>
      </c>
    </row>
    <row r="21220" spans="1:6" ht="12.75">
      <c r="A21220" s="8">
        <v>43894.825925925921</v>
      </c>
      <c r="B21220" s="8" t="str">
        <f>HYPERLINK("https://twitter.com/ikalnkri","@ikalnkri")</f>
        <v>@ikalnkri</v>
      </c>
      <c r="C21220" s="8" t="s">
        <v>8441</v>
      </c>
      <c r="D21220" s="8">
        <v>2</v>
      </c>
      <c r="E21220" s="8">
        <v>0</v>
      </c>
      <c r="F21220" s="8">
        <v>305</v>
      </c>
    </row>
    <row r="21221" spans="1:6" ht="12.75">
      <c r="A21221" s="8">
        <v>43894.825520833328</v>
      </c>
      <c r="B21221" s="8" t="str">
        <f>HYPERLINK("https://twitter.com/sutanakhir","@sutanakhir")</f>
        <v>@sutanakhir</v>
      </c>
      <c r="C21221" s="8" t="s">
        <v>1970</v>
      </c>
      <c r="D21221" s="8">
        <v>1342</v>
      </c>
      <c r="E21221" s="8">
        <v>0</v>
      </c>
      <c r="F21221" s="8">
        <v>209</v>
      </c>
    </row>
    <row r="21222" spans="1:6" ht="12.75">
      <c r="A21222" s="8">
        <v>43894.825370370367</v>
      </c>
      <c r="B21222" s="8" t="str">
        <f>HYPERLINK("https://twitter.com/sikaeks","@sikaeks")</f>
        <v>@sikaeks</v>
      </c>
      <c r="C21222" s="8" t="s">
        <v>2962</v>
      </c>
      <c r="D21222" s="8">
        <v>5655</v>
      </c>
      <c r="E21222" s="8">
        <v>0</v>
      </c>
      <c r="F21222" s="8">
        <v>24</v>
      </c>
    </row>
    <row r="21223" spans="1:6" ht="12.75">
      <c r="A21223" s="8">
        <v>43894.825173611112</v>
      </c>
      <c r="B21223" s="8" t="str">
        <f>HYPERLINK("https://twitter.com/Zambulazzam","@Zambulazzam")</f>
        <v>@Zambulazzam</v>
      </c>
      <c r="C21223" s="8" t="s">
        <v>8078</v>
      </c>
      <c r="D21223" s="8">
        <v>43</v>
      </c>
      <c r="E21223" s="8">
        <v>0</v>
      </c>
      <c r="F21223" s="8">
        <v>2864</v>
      </c>
    </row>
    <row r="21224" spans="1:6" ht="12.75">
      <c r="A21224" s="8">
        <v>43894.824988425928</v>
      </c>
      <c r="B21224" s="8" t="str">
        <f>HYPERLINK("https://twitter.com/SuryaMajapahi7","@SuryaMajapahi7")</f>
        <v>@SuryaMajapahi7</v>
      </c>
      <c r="C21224" s="8" t="s">
        <v>3285</v>
      </c>
      <c r="D21224" s="8">
        <v>46</v>
      </c>
      <c r="E21224" s="8">
        <v>0</v>
      </c>
      <c r="F21224" s="8">
        <v>717</v>
      </c>
    </row>
    <row r="21225" spans="1:6" ht="12.75">
      <c r="A21225" s="8">
        <v>43894.824583333335</v>
      </c>
      <c r="B21225" s="8" t="str">
        <f>HYPERLINK("https://twitter.com/_pmrts","@_pmrts")</f>
        <v>@_pmrts</v>
      </c>
      <c r="C21225" s="8" t="s">
        <v>8633</v>
      </c>
      <c r="D21225" s="8">
        <v>0</v>
      </c>
      <c r="E21225" s="8">
        <v>1</v>
      </c>
      <c r="F21225" s="8">
        <v>4291</v>
      </c>
    </row>
    <row r="21226" spans="1:6" ht="12.75">
      <c r="A21226" s="8">
        <v>43894.824270833335</v>
      </c>
      <c r="B21226" s="8" t="str">
        <f>HYPERLINK("https://twitter.com/otephhh","@otephhh")</f>
        <v>@otephhh</v>
      </c>
      <c r="C21226" s="8" t="s">
        <v>8634</v>
      </c>
      <c r="D21226" s="8">
        <v>7</v>
      </c>
      <c r="E21226" s="8">
        <v>0</v>
      </c>
      <c r="F21226" s="8">
        <v>364</v>
      </c>
    </row>
    <row r="21227" spans="1:6" ht="12.75">
      <c r="A21227" s="8">
        <v>43894.824143518519</v>
      </c>
      <c r="B21227" s="8" t="str">
        <f>HYPERLINK("https://twitter.com/SilitongaEfraim","@SilitongaEfraim")</f>
        <v>@SilitongaEfraim</v>
      </c>
      <c r="C21227" s="8" t="s">
        <v>8635</v>
      </c>
      <c r="D21227" s="8">
        <v>0</v>
      </c>
      <c r="E21227" s="8">
        <v>0</v>
      </c>
      <c r="F21227" s="8">
        <v>2073</v>
      </c>
    </row>
    <row r="21228" spans="1:6" ht="12.75">
      <c r="A21228" s="8">
        <v>43894.823773148149</v>
      </c>
      <c r="B21228" s="8" t="str">
        <f>HYPERLINK("https://twitter.com/mx_rudy","@mx_rudy")</f>
        <v>@mx_rudy</v>
      </c>
      <c r="C21228" s="8" t="s">
        <v>8360</v>
      </c>
      <c r="D21228" s="8">
        <v>25</v>
      </c>
      <c r="E21228" s="8">
        <v>0</v>
      </c>
      <c r="F21228" s="8">
        <v>1125</v>
      </c>
    </row>
    <row r="21229" spans="1:6" ht="12.75">
      <c r="A21229" s="8">
        <v>43894.823773148149</v>
      </c>
      <c r="B21229" s="8" t="str">
        <f>HYPERLINK("https://twitter.com/chepewe","@chepewe")</f>
        <v>@chepewe</v>
      </c>
      <c r="C21229" s="8" t="s">
        <v>7692</v>
      </c>
      <c r="D21229" s="8">
        <v>2</v>
      </c>
      <c r="E21229" s="8">
        <v>0</v>
      </c>
      <c r="F21229" s="8">
        <v>912</v>
      </c>
    </row>
    <row r="21230" spans="1:6" ht="12.75">
      <c r="A21230" s="8">
        <v>43894.823368055557</v>
      </c>
      <c r="B21230" s="8" t="str">
        <f>HYPERLINK("https://twitter.com/bffb300aff02425","@bffb300aff02425")</f>
        <v>@bffb300aff02425</v>
      </c>
      <c r="C21230" s="8" t="s">
        <v>8445</v>
      </c>
      <c r="D21230" s="8">
        <v>45</v>
      </c>
      <c r="E21230" s="8">
        <v>0</v>
      </c>
      <c r="F21230" s="8">
        <v>517</v>
      </c>
    </row>
    <row r="21231" spans="1:6" ht="12.75">
      <c r="A21231" s="8">
        <v>43894.82231481481</v>
      </c>
      <c r="B21231" s="8" t="str">
        <f>HYPERLINK("https://twitter.com/jeff_ikhlas","@jeff_ikhlas")</f>
        <v>@jeff_ikhlas</v>
      </c>
      <c r="C21231" s="8" t="s">
        <v>7661</v>
      </c>
      <c r="D21231" s="8">
        <v>486</v>
      </c>
      <c r="E21231" s="8">
        <v>0</v>
      </c>
      <c r="F21231" s="8">
        <v>628</v>
      </c>
    </row>
    <row r="21232" spans="1:6" ht="12.75">
      <c r="A21232" s="8">
        <v>43894.822106481486</v>
      </c>
      <c r="B21232" s="8" t="str">
        <f>HYPERLINK("https://twitter.com/meryharison","@meryharison")</f>
        <v>@meryharison</v>
      </c>
      <c r="C21232" s="8" t="s">
        <v>3285</v>
      </c>
      <c r="D21232" s="8">
        <v>46</v>
      </c>
      <c r="E21232" s="8">
        <v>0</v>
      </c>
      <c r="F21232" s="8">
        <v>1194</v>
      </c>
    </row>
    <row r="21233" spans="1:6" ht="12.75">
      <c r="A21233" s="8">
        <v>43894.82203703704</v>
      </c>
      <c r="B21233" s="8" t="str">
        <f>HYPERLINK("https://twitter.com/ChristStructure","@ChristStructure")</f>
        <v>@ChristStructure</v>
      </c>
      <c r="C21233" s="8" t="s">
        <v>7575</v>
      </c>
      <c r="D21233" s="8">
        <v>38</v>
      </c>
      <c r="E21233" s="8">
        <v>0</v>
      </c>
      <c r="F21233" s="8">
        <v>337</v>
      </c>
    </row>
    <row r="21234" spans="1:6" ht="12.75">
      <c r="A21234" s="8">
        <v>43894.821828703702</v>
      </c>
      <c r="B21234" s="8" t="str">
        <f>HYPERLINK("https://twitter.com/HumasTeam","@HumasTeam")</f>
        <v>@HumasTeam</v>
      </c>
      <c r="C21234" s="8" t="s">
        <v>8636</v>
      </c>
      <c r="D21234" s="8">
        <v>0</v>
      </c>
      <c r="E21234" s="8">
        <v>0</v>
      </c>
      <c r="F21234" s="8">
        <v>185</v>
      </c>
    </row>
    <row r="21235" spans="1:6" ht="12.75">
      <c r="A21235" s="8">
        <v>43894.821770833332</v>
      </c>
      <c r="B21235" s="8" t="str">
        <f>HYPERLINK("https://twitter.com/idntimes","@idntimes")</f>
        <v>@idntimes</v>
      </c>
      <c r="C21235" s="8" t="s">
        <v>8637</v>
      </c>
      <c r="D21235" s="8">
        <v>0</v>
      </c>
      <c r="E21235" s="8">
        <v>0</v>
      </c>
      <c r="F21235" s="8">
        <v>393996</v>
      </c>
    </row>
    <row r="21236" spans="1:6" ht="12.75">
      <c r="A21236" s="8">
        <v>43894.821388888886</v>
      </c>
      <c r="B21236" s="8" t="str">
        <f>HYPERLINK("https://twitter.com/agus_santoss","@agus_santoss")</f>
        <v>@agus_santoss</v>
      </c>
      <c r="C21236" s="8" t="s">
        <v>8078</v>
      </c>
      <c r="D21236" s="8">
        <v>43</v>
      </c>
      <c r="E21236" s="8">
        <v>0</v>
      </c>
      <c r="F21236" s="8">
        <v>180</v>
      </c>
    </row>
    <row r="21237" spans="1:6" ht="12.75">
      <c r="A21237" s="8">
        <v>43894.82130787037</v>
      </c>
      <c r="B21237" s="8" t="str">
        <f>HYPERLINK("https://twitter.com/angkasapura172","@angkasapura172")</f>
        <v>@angkasapura172</v>
      </c>
      <c r="C21237" s="8" t="s">
        <v>2310</v>
      </c>
      <c r="D21237" s="8">
        <v>1</v>
      </c>
      <c r="E21237" s="8">
        <v>0</v>
      </c>
      <c r="F21237" s="8">
        <v>5691</v>
      </c>
    </row>
    <row r="21238" spans="1:6" ht="12.75">
      <c r="A21238" s="8">
        <v>43894.820844907408</v>
      </c>
      <c r="B21238" s="8" t="str">
        <f>HYPERLINK("https://twitter.com/batamtoday","@batamtoday")</f>
        <v>@batamtoday</v>
      </c>
      <c r="C21238" s="8" t="s">
        <v>8638</v>
      </c>
      <c r="D21238" s="8">
        <v>0</v>
      </c>
      <c r="E21238" s="8">
        <v>0</v>
      </c>
      <c r="F21238" s="8">
        <v>27222</v>
      </c>
    </row>
    <row r="21239" spans="1:6" ht="12.75">
      <c r="A21239" s="8">
        <v>43894.820613425924</v>
      </c>
      <c r="B21239" s="8" t="str">
        <f>HYPERLINK("https://twitter.com/erva_aryanti","@erva_aryanti")</f>
        <v>@erva_aryanti</v>
      </c>
      <c r="C21239" s="8" t="s">
        <v>7700</v>
      </c>
      <c r="D21239" s="8">
        <v>38</v>
      </c>
      <c r="E21239" s="8">
        <v>0</v>
      </c>
      <c r="F21239" s="8">
        <v>694</v>
      </c>
    </row>
    <row r="21240" spans="1:6" ht="12.75">
      <c r="A21240" s="8">
        <v>43894.820474537039</v>
      </c>
      <c r="B21240" s="8" t="str">
        <f t="shared" ref="B21240:B21242" si="310">HYPERLINK("https://twitter.com/healthyliveID","@healthyliveID")</f>
        <v>@healthyliveID</v>
      </c>
      <c r="C21240" s="8" t="s">
        <v>8639</v>
      </c>
      <c r="D21240" s="8">
        <v>4</v>
      </c>
      <c r="E21240" s="8">
        <v>0</v>
      </c>
      <c r="F21240" s="8">
        <v>45100</v>
      </c>
    </row>
    <row r="21241" spans="1:6" ht="12.75">
      <c r="A21241" s="8">
        <v>43894.820416666669</v>
      </c>
      <c r="B21241" s="8" t="str">
        <f t="shared" si="310"/>
        <v>@healthyliveID</v>
      </c>
      <c r="C21241" s="8" t="s">
        <v>8640</v>
      </c>
      <c r="D21241" s="8">
        <v>5</v>
      </c>
      <c r="E21241" s="8">
        <v>0</v>
      </c>
      <c r="F21241" s="8">
        <v>45100</v>
      </c>
    </row>
    <row r="21242" spans="1:6" ht="12.75">
      <c r="A21242" s="8">
        <v>43894.820358796293</v>
      </c>
      <c r="B21242" s="8" t="str">
        <f t="shared" si="310"/>
        <v>@healthyliveID</v>
      </c>
      <c r="C21242" s="8" t="s">
        <v>8641</v>
      </c>
      <c r="D21242" s="8">
        <v>7</v>
      </c>
      <c r="E21242" s="8">
        <v>0</v>
      </c>
      <c r="F21242" s="8">
        <v>45100</v>
      </c>
    </row>
    <row r="21243" spans="1:6" ht="12.75">
      <c r="A21243" s="8">
        <v>43894.820347222223</v>
      </c>
      <c r="B21243" s="8" t="str">
        <f>HYPERLINK("https://twitter.com/GrecoOzzy","@GrecoOzzy")</f>
        <v>@GrecoOzzy</v>
      </c>
      <c r="C21243" s="8" t="s">
        <v>7575</v>
      </c>
      <c r="D21243" s="8">
        <v>38</v>
      </c>
      <c r="E21243" s="8">
        <v>0</v>
      </c>
      <c r="F21243" s="8">
        <v>43</v>
      </c>
    </row>
    <row r="21244" spans="1:6" ht="12.75">
      <c r="A21244" s="8">
        <v>43894.8203125</v>
      </c>
      <c r="B21244" s="8" t="str">
        <f>HYPERLINK("https://twitter.com/healthyliveID","@healthyliveID")</f>
        <v>@healthyliveID</v>
      </c>
      <c r="C21244" s="8" t="s">
        <v>8642</v>
      </c>
      <c r="D21244" s="8">
        <v>3</v>
      </c>
      <c r="E21244" s="8">
        <v>0</v>
      </c>
      <c r="F21244" s="8">
        <v>45100</v>
      </c>
    </row>
    <row r="21245" spans="1:6" ht="12.75">
      <c r="A21245" s="8">
        <v>43894.820011574076</v>
      </c>
      <c r="B21245" s="8" t="str">
        <f>HYPERLINK("https://twitter.com/AsetEltho","@AsetEltho")</f>
        <v>@AsetEltho</v>
      </c>
      <c r="C21245" s="8" t="s">
        <v>6222</v>
      </c>
      <c r="D21245" s="8">
        <v>19</v>
      </c>
      <c r="E21245" s="8">
        <v>0</v>
      </c>
      <c r="F21245" s="8">
        <v>229</v>
      </c>
    </row>
    <row r="21246" spans="1:6" ht="12.75">
      <c r="A21246" s="8">
        <v>43894.819849537038</v>
      </c>
      <c r="B21246" s="8" t="str">
        <f>HYPERLINK("https://twitter.com/akuratnews","@akuratnews")</f>
        <v>@akuratnews</v>
      </c>
      <c r="C21246" s="8" t="s">
        <v>8643</v>
      </c>
      <c r="D21246" s="8">
        <v>0</v>
      </c>
      <c r="E21246" s="8">
        <v>0</v>
      </c>
      <c r="F21246" s="8">
        <v>321</v>
      </c>
    </row>
    <row r="21247" spans="1:6" ht="12.75">
      <c r="A21247" s="8">
        <v>43894.819780092592</v>
      </c>
      <c r="B21247" s="8" t="str">
        <f>HYPERLINK("https://twitter.com/SoniMsi07","@SoniMsi07")</f>
        <v>@SoniMsi07</v>
      </c>
      <c r="C21247" s="8" t="s">
        <v>8569</v>
      </c>
      <c r="D21247" s="8">
        <v>18</v>
      </c>
      <c r="E21247" s="8">
        <v>0</v>
      </c>
      <c r="F21247" s="8">
        <v>257</v>
      </c>
    </row>
    <row r="21248" spans="1:6" ht="12.75">
      <c r="A21248" s="8">
        <v>43894.798437500001</v>
      </c>
      <c r="B21248" s="8" t="str">
        <f>HYPERLINK("https://twitter.com/cintada17","@cintada17")</f>
        <v>@cintada17</v>
      </c>
      <c r="C21248" s="8" t="s">
        <v>8066</v>
      </c>
      <c r="D21248" s="8">
        <v>28</v>
      </c>
      <c r="E21248" s="8">
        <v>0</v>
      </c>
      <c r="F21248" s="8">
        <v>7960</v>
      </c>
    </row>
    <row r="21249" spans="1:6" ht="12.75">
      <c r="A21249" s="8">
        <v>43894.798252314809</v>
      </c>
      <c r="B21249" s="8" t="str">
        <f>HYPERLINK("https://twitter.com/al_gharizah0497","@al_gharizah0497")</f>
        <v>@al_gharizah0497</v>
      </c>
      <c r="C21249" s="8" t="s">
        <v>2979</v>
      </c>
      <c r="D21249" s="8">
        <v>18</v>
      </c>
      <c r="E21249" s="8">
        <v>0</v>
      </c>
      <c r="F21249" s="8">
        <v>2260</v>
      </c>
    </row>
    <row r="21250" spans="1:6" ht="12.75">
      <c r="A21250" s="8">
        <v>43894.797986111109</v>
      </c>
      <c r="B21250" s="8" t="str">
        <f>HYPERLINK("https://twitter.com/AyoBelaNKRI","@AyoBelaNKRI")</f>
        <v>@AyoBelaNKRI</v>
      </c>
      <c r="C21250" s="8" t="s">
        <v>7845</v>
      </c>
      <c r="D21250" s="8">
        <v>54</v>
      </c>
      <c r="E21250" s="8">
        <v>0</v>
      </c>
      <c r="F21250" s="8">
        <v>227</v>
      </c>
    </row>
    <row r="21251" spans="1:6" ht="12.75">
      <c r="A21251" s="8">
        <v>43894.797905092593</v>
      </c>
      <c r="B21251" s="8" t="str">
        <f>HYPERLINK("https://twitter.com/AnnaKur34179103","@AnnaKur34179103")</f>
        <v>@AnnaKur34179103</v>
      </c>
      <c r="C21251" s="8" t="s">
        <v>8066</v>
      </c>
      <c r="D21251" s="8">
        <v>28</v>
      </c>
      <c r="E21251" s="8">
        <v>0</v>
      </c>
      <c r="F21251" s="8">
        <v>618</v>
      </c>
    </row>
    <row r="21252" spans="1:6" ht="12.75">
      <c r="A21252" s="8">
        <v>43894.79788194444</v>
      </c>
      <c r="B21252" s="8" t="str">
        <f>HYPERLINK("https://twitter.com/iz_wni","@iz_wni")</f>
        <v>@iz_wni</v>
      </c>
      <c r="C21252" s="8" t="s">
        <v>8644</v>
      </c>
      <c r="D21252" s="8">
        <v>1702</v>
      </c>
      <c r="E21252" s="8">
        <v>0</v>
      </c>
      <c r="F21252" s="8">
        <v>87</v>
      </c>
    </row>
    <row r="21253" spans="1:6" ht="12.75">
      <c r="A21253" s="8">
        <v>43894.797858796301</v>
      </c>
      <c r="B21253" s="8" t="str">
        <f>HYPERLINK("https://twitter.com/Anti_Hoak","@Anti_Hoak")</f>
        <v>@Anti_Hoak</v>
      </c>
      <c r="C21253" s="8" t="s">
        <v>7244</v>
      </c>
      <c r="D21253" s="8">
        <v>22</v>
      </c>
      <c r="E21253" s="8">
        <v>0</v>
      </c>
      <c r="F21253" s="8">
        <v>920</v>
      </c>
    </row>
    <row r="21254" spans="1:6" ht="12.75">
      <c r="A21254" s="8">
        <v>43894.797824074078</v>
      </c>
      <c r="B21254" s="8" t="str">
        <f>HYPERLINK("https://twitter.com/CenHandoko","@CenHandoko")</f>
        <v>@CenHandoko</v>
      </c>
      <c r="C21254" s="8" t="s">
        <v>6710</v>
      </c>
      <c r="D21254" s="8">
        <v>357</v>
      </c>
      <c r="E21254" s="8">
        <v>0</v>
      </c>
      <c r="F21254" s="8">
        <v>91</v>
      </c>
    </row>
    <row r="21255" spans="1:6" ht="12.75">
      <c r="A21255" s="8">
        <v>43894.797800925924</v>
      </c>
      <c r="B21255" s="8" t="str">
        <f>HYPERLINK("https://twitter.com/T0NI361","@T0NI361")</f>
        <v>@T0NI361</v>
      </c>
      <c r="C21255" s="8" t="s">
        <v>8645</v>
      </c>
      <c r="D21255" s="8">
        <v>0</v>
      </c>
      <c r="E21255" s="8">
        <v>0</v>
      </c>
      <c r="F21255" s="8">
        <v>2957</v>
      </c>
    </row>
    <row r="21256" spans="1:6" ht="12.75">
      <c r="A21256" s="8">
        <v>43894.797673611116</v>
      </c>
      <c r="B21256" s="8" t="str">
        <f>HYPERLINK("https://twitter.com/LudiroMadu","@LudiroMadu")</f>
        <v>@LudiroMadu</v>
      </c>
      <c r="C21256" s="8" t="s">
        <v>2979</v>
      </c>
      <c r="D21256" s="8">
        <v>18</v>
      </c>
      <c r="E21256" s="8">
        <v>0</v>
      </c>
      <c r="F21256" s="8">
        <v>582</v>
      </c>
    </row>
    <row r="21257" spans="1:6" ht="12.75">
      <c r="A21257" s="8">
        <v>43894.79760416667</v>
      </c>
      <c r="B21257" s="8" t="str">
        <f>HYPERLINK("https://twitter.com/KekeySRiana","@KekeySRiana")</f>
        <v>@KekeySRiana</v>
      </c>
      <c r="C21257" s="8" t="s">
        <v>2979</v>
      </c>
      <c r="D21257" s="8">
        <v>18</v>
      </c>
      <c r="E21257" s="8">
        <v>0</v>
      </c>
      <c r="F21257" s="8">
        <v>1074</v>
      </c>
    </row>
    <row r="21258" spans="1:6" ht="12.75">
      <c r="A21258" s="8">
        <v>43894.79755787037</v>
      </c>
      <c r="B21258" s="8" t="str">
        <f>HYPERLINK("https://twitter.com/NJunawar","@NJunawar")</f>
        <v>@NJunawar</v>
      </c>
      <c r="C21258" s="8" t="s">
        <v>8078</v>
      </c>
      <c r="D21258" s="8">
        <v>38</v>
      </c>
      <c r="E21258" s="8">
        <v>0</v>
      </c>
      <c r="F21258" s="8">
        <v>58</v>
      </c>
    </row>
    <row r="21259" spans="1:6" ht="12.75">
      <c r="A21259" s="8">
        <v>43894.79755787037</v>
      </c>
      <c r="B21259" s="8" t="str">
        <f>HYPERLINK("https://twitter.com/swandywidjaja06","@swandywidjaja06")</f>
        <v>@swandywidjaja06</v>
      </c>
      <c r="C21259" s="8" t="s">
        <v>8569</v>
      </c>
      <c r="D21259" s="8">
        <v>17</v>
      </c>
      <c r="E21259" s="8">
        <v>0</v>
      </c>
      <c r="F21259" s="8">
        <v>253</v>
      </c>
    </row>
    <row r="21260" spans="1:6" ht="12.75">
      <c r="A21260" s="8">
        <v>43894.797083333338</v>
      </c>
      <c r="B21260" s="8" t="str">
        <f>HYPERLINK("https://twitter.com/sabilla_shaffa","@sabilla_shaffa")</f>
        <v>@sabilla_shaffa</v>
      </c>
      <c r="C21260" s="8" t="s">
        <v>8646</v>
      </c>
      <c r="D21260" s="8">
        <v>0</v>
      </c>
      <c r="E21260" s="8">
        <v>0</v>
      </c>
      <c r="F21260" s="8">
        <v>1702</v>
      </c>
    </row>
    <row r="21261" spans="1:6" ht="12.75">
      <c r="A21261" s="8">
        <v>43894.795995370368</v>
      </c>
      <c r="B21261" s="8" t="str">
        <f>HYPERLINK("https://twitter.com/rinokrismasurya","@rinokrismasurya")</f>
        <v>@rinokrismasurya</v>
      </c>
      <c r="C21261" s="8" t="s">
        <v>8212</v>
      </c>
      <c r="D21261" s="8">
        <v>125</v>
      </c>
      <c r="E21261" s="8">
        <v>0</v>
      </c>
      <c r="F21261" s="8">
        <v>482</v>
      </c>
    </row>
    <row r="21262" spans="1:6" ht="12.75">
      <c r="A21262" s="8">
        <v>43894.795856481476</v>
      </c>
      <c r="B21262" s="8" t="str">
        <f>HYPERLINK("https://twitter.com/yhi2e","@yhi2e")</f>
        <v>@yhi2e</v>
      </c>
      <c r="C21262" s="8" t="s">
        <v>8512</v>
      </c>
      <c r="D21262" s="8">
        <v>4</v>
      </c>
      <c r="E21262" s="8">
        <v>0</v>
      </c>
      <c r="F21262" s="8">
        <v>1416</v>
      </c>
    </row>
    <row r="21263" spans="1:6" ht="12.75">
      <c r="A21263" s="8">
        <v>43894.795810185184</v>
      </c>
      <c r="B21263" s="8" t="str">
        <f>HYPERLINK("https://twitter.com/CineManiaX","@CineManiaX")</f>
        <v>@CineManiaX</v>
      </c>
      <c r="C21263" s="8" t="s">
        <v>8647</v>
      </c>
      <c r="D21263" s="8">
        <v>0</v>
      </c>
      <c r="E21263" s="8">
        <v>0</v>
      </c>
      <c r="F21263" s="8">
        <v>228</v>
      </c>
    </row>
    <row r="21264" spans="1:6" ht="12.75">
      <c r="A21264" s="8">
        <v>43894.79552083333</v>
      </c>
      <c r="B21264" s="8" t="str">
        <f>HYPERLINK("https://twitter.com/alazyboom","@alazyboom")</f>
        <v>@alazyboom</v>
      </c>
      <c r="C21264" s="8" t="s">
        <v>8648</v>
      </c>
      <c r="D21264" s="8">
        <v>0</v>
      </c>
      <c r="E21264" s="8">
        <v>0</v>
      </c>
      <c r="F21264" s="8">
        <v>679</v>
      </c>
    </row>
    <row r="21265" spans="1:6" ht="12.75">
      <c r="A21265" s="8">
        <v>43894.795358796298</v>
      </c>
      <c r="B21265" s="8" t="str">
        <f>HYPERLINK("https://twitter.com/_ibaadurrahmaan","@_ibaadurrahmaan")</f>
        <v>@_ibaadurrahmaan</v>
      </c>
      <c r="C21265" s="8" t="s">
        <v>8512</v>
      </c>
      <c r="D21265" s="8">
        <v>4</v>
      </c>
      <c r="E21265" s="8">
        <v>0</v>
      </c>
      <c r="F21265" s="8">
        <v>5085</v>
      </c>
    </row>
    <row r="21266" spans="1:6" ht="12.75">
      <c r="A21266" s="8">
        <v>43894.79524305556</v>
      </c>
      <c r="B21266" s="8" t="str">
        <f>HYPERLINK("https://twitter.com/ladyaslady","@ladyaslady")</f>
        <v>@ladyaslady</v>
      </c>
      <c r="C21266" s="8" t="s">
        <v>8625</v>
      </c>
      <c r="D21266" s="8">
        <v>1</v>
      </c>
      <c r="E21266" s="8">
        <v>0</v>
      </c>
      <c r="F21266" s="8">
        <v>99</v>
      </c>
    </row>
    <row r="21267" spans="1:6" ht="12.75">
      <c r="A21267" s="8">
        <v>43894.795057870375</v>
      </c>
      <c r="B21267" s="8" t="str">
        <f>HYPERLINK("https://twitter.com/enny_endah","@enny_endah")</f>
        <v>@enny_endah</v>
      </c>
      <c r="C21267" s="8" t="s">
        <v>8066</v>
      </c>
      <c r="D21267" s="8">
        <v>28</v>
      </c>
      <c r="E21267" s="8">
        <v>0</v>
      </c>
      <c r="F21267" s="8">
        <v>10714</v>
      </c>
    </row>
    <row r="21268" spans="1:6" ht="12.75">
      <c r="A21268" s="8">
        <v>43894.795034722221</v>
      </c>
      <c r="B21268" s="8" t="str">
        <f>HYPERLINK("https://twitter.com/f24nk1","@f24nk1")</f>
        <v>@f24nk1</v>
      </c>
      <c r="C21268" s="8" t="s">
        <v>7890</v>
      </c>
      <c r="D21268" s="8">
        <v>1</v>
      </c>
      <c r="E21268" s="8">
        <v>0</v>
      </c>
      <c r="F21268" s="8">
        <v>1177</v>
      </c>
    </row>
    <row r="21269" spans="1:6" ht="12.75">
      <c r="A21269" s="8">
        <v>43894.794085648144</v>
      </c>
      <c r="B21269" s="8" t="str">
        <f>HYPERLINK("https://twitter.com/MuchammadRivai","@MuchammadRivai")</f>
        <v>@MuchammadRivai</v>
      </c>
      <c r="C21269" s="8" t="s">
        <v>8649</v>
      </c>
      <c r="D21269" s="8">
        <v>0</v>
      </c>
      <c r="E21269" s="8">
        <v>0</v>
      </c>
      <c r="F21269" s="8">
        <v>374</v>
      </c>
    </row>
    <row r="21270" spans="1:6" ht="12.75">
      <c r="A21270" s="8">
        <v>43894.794085648144</v>
      </c>
      <c r="B21270" s="8" t="str">
        <f>HYPERLINK("https://twitter.com/zizhariri","@zizhariri")</f>
        <v>@zizhariri</v>
      </c>
      <c r="C21270" s="8" t="s">
        <v>1970</v>
      </c>
      <c r="D21270" s="8">
        <v>1341</v>
      </c>
      <c r="E21270" s="8">
        <v>0</v>
      </c>
      <c r="F21270" s="8">
        <v>368</v>
      </c>
    </row>
    <row r="21271" spans="1:6" ht="12.75">
      <c r="A21271" s="8">
        <v>43894.79383101852</v>
      </c>
      <c r="B21271" s="8" t="str">
        <f>HYPERLINK("https://twitter.com/sabilla_shaffa","@sabilla_shaffa")</f>
        <v>@sabilla_shaffa</v>
      </c>
      <c r="C21271" s="8" t="s">
        <v>8650</v>
      </c>
      <c r="D21271" s="8">
        <v>0</v>
      </c>
      <c r="E21271" s="8">
        <v>0</v>
      </c>
      <c r="F21271" s="8">
        <v>1702</v>
      </c>
    </row>
    <row r="21272" spans="1:6" ht="12.75">
      <c r="A21272" s="8">
        <v>43894.793738425928</v>
      </c>
      <c r="B21272" s="8" t="str">
        <f>HYPERLINK("https://twitter.com/fivetvupnvj","@fivetvupnvj")</f>
        <v>@fivetvupnvj</v>
      </c>
      <c r="C21272" s="8" t="s">
        <v>8651</v>
      </c>
      <c r="D21272" s="8">
        <v>0</v>
      </c>
      <c r="E21272" s="8">
        <v>0</v>
      </c>
      <c r="F21272" s="8">
        <v>1225</v>
      </c>
    </row>
    <row r="21273" spans="1:6" ht="12.75">
      <c r="A21273" s="8">
        <v>43894.793634259258</v>
      </c>
      <c r="B21273" s="8" t="str">
        <f>HYPERLINK("https://twitter.com/lila_kresna","@lila_kresna")</f>
        <v>@lila_kresna</v>
      </c>
      <c r="C21273" s="8" t="s">
        <v>6710</v>
      </c>
      <c r="D21273" s="8">
        <v>357</v>
      </c>
      <c r="E21273" s="8">
        <v>0</v>
      </c>
      <c r="F21273" s="8">
        <v>762</v>
      </c>
    </row>
    <row r="21274" spans="1:6" ht="12.75">
      <c r="A21274" s="8">
        <v>43894.793437500004</v>
      </c>
      <c r="B21274" s="8" t="str">
        <f t="shared" ref="B21274:B21275" si="311">HYPERLINK("https://twitter.com/kompascom","@kompascom")</f>
        <v>@kompascom</v>
      </c>
      <c r="C21274" s="8" t="s">
        <v>8652</v>
      </c>
      <c r="D21274" s="8">
        <v>1</v>
      </c>
      <c r="E21274" s="8">
        <v>1</v>
      </c>
      <c r="F21274" s="8">
        <v>7528009</v>
      </c>
    </row>
    <row r="21275" spans="1:6" ht="12.75">
      <c r="A21275" s="8">
        <v>43894.793425925927</v>
      </c>
      <c r="B21275" s="8" t="str">
        <f t="shared" si="311"/>
        <v>@kompascom</v>
      </c>
      <c r="C21275" s="8" t="s">
        <v>8653</v>
      </c>
      <c r="D21275" s="8">
        <v>1</v>
      </c>
      <c r="E21275" s="8">
        <v>3</v>
      </c>
      <c r="F21275" s="8">
        <v>7528009</v>
      </c>
    </row>
    <row r="21276" spans="1:6" ht="12.75">
      <c r="A21276" s="8">
        <v>43894.792407407411</v>
      </c>
      <c r="B21276" s="8" t="str">
        <f>HYPERLINK("https://twitter.com/SoniMsi07","@SoniMsi07")</f>
        <v>@SoniMsi07</v>
      </c>
      <c r="C21276" s="8" t="s">
        <v>8654</v>
      </c>
      <c r="D21276" s="8">
        <v>2</v>
      </c>
      <c r="E21276" s="8">
        <v>0</v>
      </c>
      <c r="F21276" s="8">
        <v>260</v>
      </c>
    </row>
    <row r="21277" spans="1:6" ht="12.75">
      <c r="A21277" s="8">
        <v>43894.792407407411</v>
      </c>
      <c r="B21277" s="8" t="str">
        <f>HYPERLINK("https://twitter.com/VIVAcoid","@VIVAcoid")</f>
        <v>@VIVAcoid</v>
      </c>
      <c r="C21277" s="8" t="s">
        <v>8655</v>
      </c>
      <c r="D21277" s="8">
        <v>1</v>
      </c>
      <c r="E21277" s="8">
        <v>5</v>
      </c>
      <c r="F21277" s="8">
        <v>4175025</v>
      </c>
    </row>
    <row r="21278" spans="1:6" ht="12.75">
      <c r="A21278" s="8">
        <v>43894.792013888888</v>
      </c>
      <c r="B21278" s="8" t="str">
        <f>HYPERLINK("https://twitter.com/aikido_bushido","@aikido_bushido")</f>
        <v>@aikido_bushido</v>
      </c>
      <c r="C21278" s="8" t="s">
        <v>7101</v>
      </c>
      <c r="D21278" s="8">
        <v>26</v>
      </c>
      <c r="E21278" s="8">
        <v>0</v>
      </c>
      <c r="F21278" s="8">
        <v>709</v>
      </c>
    </row>
    <row r="21279" spans="1:6" ht="12.75">
      <c r="A21279" s="8">
        <v>43894.791770833333</v>
      </c>
      <c r="B21279" s="8" t="str">
        <f>HYPERLINK("https://twitter.com/invoindonesia","@invoindonesia")</f>
        <v>@invoindonesia</v>
      </c>
      <c r="C21279" s="8" t="s">
        <v>8656</v>
      </c>
      <c r="D21279" s="8">
        <v>0</v>
      </c>
      <c r="E21279" s="8">
        <v>0</v>
      </c>
      <c r="F21279" s="8">
        <v>3</v>
      </c>
    </row>
    <row r="21280" spans="1:6" ht="12.75">
      <c r="A21280" s="8">
        <v>43894.791631944448</v>
      </c>
      <c r="B21280" s="8" t="str">
        <f>HYPERLINK("https://twitter.com/BryanKi0216","@BryanKi0216")</f>
        <v>@BryanKi0216</v>
      </c>
      <c r="C21280" s="8" t="s">
        <v>8657</v>
      </c>
      <c r="D21280" s="8">
        <v>0</v>
      </c>
      <c r="E21280" s="8">
        <v>0</v>
      </c>
      <c r="F21280" s="8">
        <v>1</v>
      </c>
    </row>
    <row r="21281" spans="1:6" ht="12.75">
      <c r="A21281" s="8">
        <v>43894.791585648149</v>
      </c>
      <c r="B21281" s="8" t="str">
        <f>HYPERLINK("https://twitter.com/FZ0123","@FZ0123")</f>
        <v>@FZ0123</v>
      </c>
      <c r="C21281" s="8" t="s">
        <v>7575</v>
      </c>
      <c r="D21281" s="8">
        <v>29</v>
      </c>
      <c r="E21281" s="8">
        <v>0</v>
      </c>
      <c r="F21281" s="8">
        <v>264</v>
      </c>
    </row>
    <row r="21282" spans="1:6" ht="12.75">
      <c r="A21282" s="8">
        <v>43894.791516203702</v>
      </c>
      <c r="B21282" s="8" t="str">
        <f>HYPERLINK("https://twitter.com/EffHariadi","@EffHariadi")</f>
        <v>@EffHariadi</v>
      </c>
      <c r="C21282" s="8" t="s">
        <v>2979</v>
      </c>
      <c r="D21282" s="8">
        <v>18</v>
      </c>
      <c r="E21282" s="8">
        <v>0</v>
      </c>
      <c r="F21282" s="8">
        <v>121</v>
      </c>
    </row>
    <row r="21283" spans="1:6" ht="12.75">
      <c r="A21283" s="8">
        <v>43894.791435185187</v>
      </c>
      <c r="B21283" s="8" t="str">
        <f>HYPERLINK("https://twitter.com/ardhiarth","@ardhiarth")</f>
        <v>@ardhiarth</v>
      </c>
      <c r="C21283" s="8" t="s">
        <v>8658</v>
      </c>
      <c r="D21283" s="8">
        <v>3</v>
      </c>
      <c r="E21283" s="8">
        <v>0</v>
      </c>
      <c r="F21283" s="8">
        <v>174</v>
      </c>
    </row>
    <row r="21284" spans="1:6" ht="12.75">
      <c r="A21284" s="8">
        <v>43894.791331018518</v>
      </c>
      <c r="B21284" s="8" t="str">
        <f>HYPERLINK("https://twitter.com/MinkaShodiq","@MinkaShodiq")</f>
        <v>@MinkaShodiq</v>
      </c>
      <c r="C21284" s="8" t="s">
        <v>8508</v>
      </c>
      <c r="D21284" s="8">
        <v>2</v>
      </c>
      <c r="E21284" s="8">
        <v>0</v>
      </c>
      <c r="F21284" s="8">
        <v>1515</v>
      </c>
    </row>
    <row r="21285" spans="1:6" ht="12.75">
      <c r="A21285" s="8">
        <v>43894.790868055556</v>
      </c>
      <c r="B21285" s="8" t="str">
        <f>HYPERLINK("https://twitter.com/GateJannah","@GateJannah")</f>
        <v>@GateJannah</v>
      </c>
      <c r="C21285" s="8" t="s">
        <v>8512</v>
      </c>
      <c r="D21285" s="8">
        <v>4</v>
      </c>
      <c r="E21285" s="8">
        <v>0</v>
      </c>
      <c r="F21285" s="8">
        <v>928</v>
      </c>
    </row>
    <row r="21286" spans="1:6" ht="12.75">
      <c r="A21286" s="8">
        <v>43894.790613425925</v>
      </c>
      <c r="B21286" s="8" t="str">
        <f>HYPERLINK("https://twitter.com/swandywidjaja06","@swandywidjaja06")</f>
        <v>@swandywidjaja06</v>
      </c>
      <c r="C21286" s="8" t="s">
        <v>8066</v>
      </c>
      <c r="D21286" s="8">
        <v>28</v>
      </c>
      <c r="E21286" s="8">
        <v>0</v>
      </c>
      <c r="F21286" s="8">
        <v>253</v>
      </c>
    </row>
    <row r="21287" spans="1:6" ht="12.75">
      <c r="A21287" s="8">
        <v>43894.790381944447</v>
      </c>
      <c r="B21287" s="8" t="str">
        <f>HYPERLINK("https://twitter.com/sisworok","@sisworok")</f>
        <v>@sisworok</v>
      </c>
      <c r="C21287" s="8" t="s">
        <v>8066</v>
      </c>
      <c r="D21287" s="8">
        <v>28</v>
      </c>
      <c r="E21287" s="8">
        <v>0</v>
      </c>
      <c r="F21287" s="8">
        <v>1379</v>
      </c>
    </row>
    <row r="21288" spans="1:6" ht="12.75">
      <c r="A21288" s="8">
        <v>43894.789918981478</v>
      </c>
      <c r="B21288" s="8" t="str">
        <f>HYPERLINK("https://twitter.com/as_Smr","@as_Smr")</f>
        <v>@as_Smr</v>
      </c>
      <c r="C21288" s="8" t="s">
        <v>3285</v>
      </c>
      <c r="D21288" s="8">
        <v>40</v>
      </c>
      <c r="E21288" s="8">
        <v>0</v>
      </c>
      <c r="F21288" s="8">
        <v>154</v>
      </c>
    </row>
    <row r="21289" spans="1:6" ht="12.75">
      <c r="A21289" s="8">
        <v>43894.789502314816</v>
      </c>
      <c r="B21289" s="8" t="str">
        <f>HYPERLINK("https://twitter.com/wahhabicc_jabar","@wahhabicc_jabar")</f>
        <v>@wahhabicc_jabar</v>
      </c>
      <c r="C21289" s="8" t="s">
        <v>7845</v>
      </c>
      <c r="D21289" s="8">
        <v>54</v>
      </c>
      <c r="E21289" s="8">
        <v>0</v>
      </c>
      <c r="F21289" s="8">
        <v>30897</v>
      </c>
    </row>
    <row r="21290" spans="1:6" ht="12.75">
      <c r="A21290" s="8">
        <v>43894.789398148147</v>
      </c>
      <c r="B21290" s="8" t="str">
        <f>HYPERLINK("https://twitter.com/Instantkharma","@Instantkharma")</f>
        <v>@Instantkharma</v>
      </c>
      <c r="C21290" s="8" t="s">
        <v>8441</v>
      </c>
      <c r="D21290" s="8">
        <v>1</v>
      </c>
      <c r="E21290" s="8">
        <v>0</v>
      </c>
      <c r="F21290" s="8">
        <v>517</v>
      </c>
    </row>
    <row r="21291" spans="1:6" ht="12.75">
      <c r="A21291" s="8">
        <v>43894.789189814815</v>
      </c>
      <c r="B21291" s="8" t="str">
        <f>HYPERLINK("https://twitter.com/05d95a682cea478","@05d95a682cea478")</f>
        <v>@05d95a682cea478</v>
      </c>
      <c r="C21291" s="8" t="s">
        <v>8659</v>
      </c>
      <c r="D21291" s="8">
        <v>0</v>
      </c>
      <c r="E21291" s="8">
        <v>0</v>
      </c>
      <c r="F21291" s="8">
        <v>15</v>
      </c>
    </row>
    <row r="21292" spans="1:6" ht="12.75">
      <c r="A21292" s="8">
        <v>43894.789120370369</v>
      </c>
      <c r="B21292" s="8" t="str">
        <f>HYPERLINK("https://twitter.com/pendividia","@pendividia")</f>
        <v>@pendividia</v>
      </c>
      <c r="C21292" s="8" t="s">
        <v>8212</v>
      </c>
      <c r="D21292" s="8">
        <v>125</v>
      </c>
      <c r="E21292" s="8">
        <v>0</v>
      </c>
      <c r="F21292" s="8">
        <v>604</v>
      </c>
    </row>
    <row r="21293" spans="1:6" ht="12.75">
      <c r="A21293" s="8">
        <v>43894.788784722223</v>
      </c>
      <c r="B21293" s="8" t="str">
        <f>HYPERLINK("https://twitter.com/sindynatassha","@sindynatassha")</f>
        <v>@sindynatassha</v>
      </c>
      <c r="C21293" s="8" t="s">
        <v>8660</v>
      </c>
      <c r="D21293" s="8">
        <v>0</v>
      </c>
      <c r="E21293" s="8">
        <v>0</v>
      </c>
      <c r="F21293" s="8">
        <v>0</v>
      </c>
    </row>
    <row r="21294" spans="1:6" ht="12.75">
      <c r="A21294" s="8">
        <v>43894.788715277777</v>
      </c>
      <c r="B21294" s="8" t="str">
        <f>HYPERLINK("https://twitter.com/pendividia","@pendividia")</f>
        <v>@pendividia</v>
      </c>
      <c r="C21294" s="8" t="s">
        <v>7194</v>
      </c>
      <c r="D21294" s="8">
        <v>25</v>
      </c>
      <c r="E21294" s="8">
        <v>0</v>
      </c>
      <c r="F21294" s="8">
        <v>604</v>
      </c>
    </row>
    <row r="21295" spans="1:6" ht="12.75">
      <c r="A21295" s="8">
        <v>43894.788518518515</v>
      </c>
      <c r="B21295" s="8" t="str">
        <f>HYPERLINK("https://twitter.com/medcom_id","@medcom_id")</f>
        <v>@medcom_id</v>
      </c>
      <c r="C21295" s="8" t="s">
        <v>8661</v>
      </c>
      <c r="D21295" s="8">
        <v>0</v>
      </c>
      <c r="E21295" s="8">
        <v>0</v>
      </c>
      <c r="F21295" s="8">
        <v>18477</v>
      </c>
    </row>
    <row r="21296" spans="1:6" ht="12.75">
      <c r="A21296" s="8">
        <v>43894.788148148145</v>
      </c>
      <c r="B21296" s="8" t="str">
        <f>HYPERLINK("https://twitter.com/yunusfikriansya","@yunusfikriansya")</f>
        <v>@yunusfikriansya</v>
      </c>
      <c r="C21296" s="8" t="s">
        <v>6222</v>
      </c>
      <c r="D21296" s="8">
        <v>17</v>
      </c>
      <c r="E21296" s="8">
        <v>0</v>
      </c>
      <c r="F21296" s="8">
        <v>405</v>
      </c>
    </row>
    <row r="21297" spans="1:6" ht="12.75">
      <c r="A21297" s="8">
        <v>43894.788101851853</v>
      </c>
      <c r="B21297" s="8" t="str">
        <f>HYPERLINK("https://twitter.com/Dawul_sukrii","@Dawul_sukrii")</f>
        <v>@Dawul_sukrii</v>
      </c>
      <c r="C21297" s="8" t="s">
        <v>8351</v>
      </c>
      <c r="D21297" s="8">
        <v>8</v>
      </c>
      <c r="E21297" s="8">
        <v>0</v>
      </c>
      <c r="F21297" s="8">
        <v>897</v>
      </c>
    </row>
    <row r="21298" spans="1:6" ht="12.75">
      <c r="A21298" s="8">
        <v>43894.787974537037</v>
      </c>
      <c r="B21298" s="8" t="str">
        <f>HYPERLINK("https://twitter.com/S4N_W1B1","@S4N_W1B1")</f>
        <v>@S4N_W1B1</v>
      </c>
      <c r="C21298" s="8" t="s">
        <v>8066</v>
      </c>
      <c r="D21298" s="8">
        <v>28</v>
      </c>
      <c r="E21298" s="8">
        <v>0</v>
      </c>
      <c r="F21298" s="8">
        <v>5211</v>
      </c>
    </row>
    <row r="21299" spans="1:6" ht="12.75">
      <c r="A21299" s="8">
        <v>43894.787905092591</v>
      </c>
      <c r="B21299" s="8" t="str">
        <f>HYPERLINK("https://twitter.com/Mei27301K","@Mei27301K")</f>
        <v>@Mei27301K</v>
      </c>
      <c r="C21299" s="8" t="s">
        <v>685</v>
      </c>
      <c r="D21299" s="8">
        <v>193</v>
      </c>
      <c r="E21299" s="8">
        <v>0</v>
      </c>
      <c r="F21299" s="8">
        <v>37</v>
      </c>
    </row>
    <row r="21300" spans="1:6" ht="12.75">
      <c r="A21300" s="8">
        <v>43894.786828703705</v>
      </c>
      <c r="B21300" s="8" t="str">
        <f>HYPERLINK("https://twitter.com/Gunawan6425666","@Gunawan6425666")</f>
        <v>@Gunawan6425666</v>
      </c>
      <c r="C21300" s="8" t="s">
        <v>8351</v>
      </c>
      <c r="D21300" s="8">
        <v>8</v>
      </c>
      <c r="E21300" s="8">
        <v>0</v>
      </c>
      <c r="F21300" s="8">
        <v>76</v>
      </c>
    </row>
    <row r="21301" spans="1:6" ht="12.75">
      <c r="A21301" s="8">
        <v>43894.786689814813</v>
      </c>
      <c r="B21301" s="8" t="str">
        <f>HYPERLINK("https://twitter.com/imbangimedia","@imbangimedia")</f>
        <v>@imbangimedia</v>
      </c>
      <c r="C21301" s="8" t="s">
        <v>8512</v>
      </c>
      <c r="D21301" s="8">
        <v>4</v>
      </c>
      <c r="E21301" s="8">
        <v>0</v>
      </c>
      <c r="F21301" s="8">
        <v>4156</v>
      </c>
    </row>
    <row r="21302" spans="1:6" ht="12.75">
      <c r="A21302" s="8">
        <v>43894.786539351851</v>
      </c>
      <c r="B21302" s="8" t="str">
        <f>HYPERLINK("https://twitter.com/gyuvenchy0428","@gyuvenchy0428")</f>
        <v>@gyuvenchy0428</v>
      </c>
      <c r="C21302" s="8" t="s">
        <v>8662</v>
      </c>
      <c r="D21302" s="8">
        <v>0</v>
      </c>
      <c r="E21302" s="8">
        <v>0</v>
      </c>
      <c r="F21302" s="8">
        <v>157</v>
      </c>
    </row>
    <row r="21303" spans="1:6" ht="12.75">
      <c r="A21303" s="8">
        <v>43894.785995370374</v>
      </c>
      <c r="B21303" s="8" t="str">
        <f>HYPERLINK("https://twitter.com/SilitongaEfraim","@SilitongaEfraim")</f>
        <v>@SilitongaEfraim</v>
      </c>
      <c r="C21303" s="8" t="s">
        <v>8663</v>
      </c>
      <c r="D21303" s="8">
        <v>0</v>
      </c>
      <c r="E21303" s="8">
        <v>0</v>
      </c>
      <c r="F21303" s="8">
        <v>2086</v>
      </c>
    </row>
    <row r="21304" spans="1:6" ht="12.75">
      <c r="A21304" s="8">
        <v>43894.785590277781</v>
      </c>
      <c r="B21304" s="8" t="str">
        <f>HYPERLINK("https://twitter.com/AmidalaNiang","@AmidalaNiang")</f>
        <v>@AmidalaNiang</v>
      </c>
      <c r="C21304" s="8" t="s">
        <v>3285</v>
      </c>
      <c r="D21304" s="8">
        <v>40</v>
      </c>
      <c r="E21304" s="8">
        <v>0</v>
      </c>
      <c r="F21304" s="8">
        <v>1513</v>
      </c>
    </row>
    <row r="21305" spans="1:6" ht="12.75">
      <c r="A21305" s="8">
        <v>43894.785486111112</v>
      </c>
      <c r="B21305" s="8" t="str">
        <f>HYPERLINK("https://twitter.com/SuparnoDian","@SuparnoDian")</f>
        <v>@SuparnoDian</v>
      </c>
      <c r="C21305" s="8" t="s">
        <v>6222</v>
      </c>
      <c r="D21305" s="8">
        <v>17</v>
      </c>
      <c r="E21305" s="8">
        <v>0</v>
      </c>
      <c r="F21305" s="8">
        <v>54</v>
      </c>
    </row>
    <row r="21306" spans="1:6" ht="12.75">
      <c r="A21306" s="8">
        <v>43894.785266203704</v>
      </c>
      <c r="B21306" s="8" t="str">
        <f>HYPERLINK("https://twitter.com/sopian333351","@sopian333351")</f>
        <v>@sopian333351</v>
      </c>
      <c r="C21306" s="8" t="s">
        <v>7848</v>
      </c>
      <c r="D21306" s="8">
        <v>36</v>
      </c>
      <c r="E21306" s="8">
        <v>0</v>
      </c>
      <c r="F21306" s="8">
        <v>1147</v>
      </c>
    </row>
    <row r="21307" spans="1:6" ht="12.75">
      <c r="A21307" s="8">
        <v>43894.785115740742</v>
      </c>
      <c r="B21307" s="8" t="str">
        <f t="shared" ref="B21307:B21308" si="312">HYPERLINK("https://twitter.com/AliObeng","@AliObeng")</f>
        <v>@AliObeng</v>
      </c>
      <c r="C21307" s="8" t="s">
        <v>8194</v>
      </c>
      <c r="D21307" s="8">
        <v>64</v>
      </c>
      <c r="E21307" s="8">
        <v>0</v>
      </c>
      <c r="F21307" s="8">
        <v>3809</v>
      </c>
    </row>
    <row r="21308" spans="1:6" ht="12.75">
      <c r="A21308" s="8">
        <v>43894.78502314815</v>
      </c>
      <c r="B21308" s="8" t="str">
        <f t="shared" si="312"/>
        <v>@AliObeng</v>
      </c>
      <c r="C21308" s="8" t="s">
        <v>8664</v>
      </c>
      <c r="D21308" s="8">
        <v>1</v>
      </c>
      <c r="E21308" s="8">
        <v>0</v>
      </c>
      <c r="F21308" s="8">
        <v>3809</v>
      </c>
    </row>
    <row r="21309" spans="1:6" ht="12.75">
      <c r="A21309" s="8">
        <v>43894.784525462965</v>
      </c>
      <c r="B21309" s="8" t="str">
        <f>HYPERLINK("https://twitter.com/JokoTar03424399","@JokoTar03424399")</f>
        <v>@JokoTar03424399</v>
      </c>
      <c r="C21309" s="8" t="s">
        <v>3285</v>
      </c>
      <c r="D21309" s="8">
        <v>40</v>
      </c>
      <c r="E21309" s="8">
        <v>0</v>
      </c>
      <c r="F21309" s="8">
        <v>258</v>
      </c>
    </row>
    <row r="21310" spans="1:6" ht="12.75">
      <c r="A21310" s="8">
        <v>43894.784398148149</v>
      </c>
      <c r="B21310" s="8" t="str">
        <f>HYPERLINK("https://twitter.com/zenkdelya","@zenkdelya")</f>
        <v>@zenkdelya</v>
      </c>
      <c r="C21310" s="8" t="s">
        <v>3285</v>
      </c>
      <c r="D21310" s="8">
        <v>40</v>
      </c>
      <c r="E21310" s="8">
        <v>0</v>
      </c>
      <c r="F21310" s="8">
        <v>707</v>
      </c>
    </row>
    <row r="21311" spans="1:6" ht="12.75">
      <c r="A21311" s="8">
        <v>43894.78434027778</v>
      </c>
      <c r="B21311" s="8" t="str">
        <f>HYPERLINK("https://twitter.com/UtuhWibowo","@UtuhWibowo")</f>
        <v>@UtuhWibowo</v>
      </c>
      <c r="C21311" s="8" t="s">
        <v>8665</v>
      </c>
      <c r="D21311" s="8">
        <v>4</v>
      </c>
      <c r="E21311" s="8">
        <v>3</v>
      </c>
      <c r="F21311" s="8">
        <v>25274</v>
      </c>
    </row>
    <row r="21312" spans="1:6" ht="12.75">
      <c r="A21312" s="8">
        <v>43894.784178240741</v>
      </c>
      <c r="B21312" s="8" t="str">
        <f>HYPERLINK("https://twitter.com/Mayang920","@Mayang920")</f>
        <v>@Mayang920</v>
      </c>
      <c r="C21312" s="8" t="s">
        <v>8666</v>
      </c>
      <c r="D21312" s="8">
        <v>5</v>
      </c>
      <c r="E21312" s="8">
        <v>0</v>
      </c>
      <c r="F21312" s="8">
        <v>130</v>
      </c>
    </row>
    <row r="21313" spans="1:6" ht="12.75">
      <c r="A21313" s="8">
        <v>43894.784120370372</v>
      </c>
      <c r="B21313" s="8" t="str">
        <f>HYPERLINK("https://twitter.com/KenArok10193945","@KenArok10193945")</f>
        <v>@KenArok10193945</v>
      </c>
      <c r="C21313" s="8" t="s">
        <v>8667</v>
      </c>
      <c r="D21313" s="8">
        <v>0</v>
      </c>
      <c r="E21313" s="8">
        <v>1</v>
      </c>
      <c r="F21313" s="8">
        <v>195</v>
      </c>
    </row>
    <row r="21314" spans="1:6" ht="12.75">
      <c r="A21314" s="8">
        <v>43894.78392361111</v>
      </c>
      <c r="B21314" s="8" t="str">
        <f>HYPERLINK("https://twitter.com/emastok","@emastok")</f>
        <v>@emastok</v>
      </c>
      <c r="C21314" s="8" t="s">
        <v>8115</v>
      </c>
      <c r="D21314" s="8">
        <v>194</v>
      </c>
      <c r="E21314" s="8">
        <v>0</v>
      </c>
      <c r="F21314" s="8">
        <v>1841</v>
      </c>
    </row>
    <row r="21315" spans="1:6" ht="12.75">
      <c r="A21315" s="8">
        <v>43894.783761574072</v>
      </c>
      <c r="B21315" s="8" t="str">
        <f>HYPERLINK("https://twitter.com/a2Jo","@a2Jo")</f>
        <v>@a2Jo</v>
      </c>
      <c r="C21315" s="8" t="s">
        <v>7194</v>
      </c>
      <c r="D21315" s="8">
        <v>25</v>
      </c>
      <c r="E21315" s="8">
        <v>0</v>
      </c>
      <c r="F21315" s="8">
        <v>5382</v>
      </c>
    </row>
    <row r="21316" spans="1:6" ht="12.75">
      <c r="A21316" s="8">
        <v>43894.783541666664</v>
      </c>
      <c r="B21316" s="8" t="str">
        <f>HYPERLINK("https://twitter.com/Andi6224","@Andi6224")</f>
        <v>@Andi6224</v>
      </c>
      <c r="C21316" s="8" t="s">
        <v>8668</v>
      </c>
      <c r="D21316" s="8">
        <v>0</v>
      </c>
      <c r="E21316" s="8">
        <v>0</v>
      </c>
      <c r="F21316" s="8">
        <v>9</v>
      </c>
    </row>
    <row r="21317" spans="1:6" ht="12.75">
      <c r="A21317" s="8">
        <v>43894.783541666664</v>
      </c>
      <c r="B21317" s="8" t="str">
        <f>HYPERLINK("https://twitter.com/BadjaNuswantara","@BadjaNuswantara")</f>
        <v>@BadjaNuswantara</v>
      </c>
      <c r="C21317" s="8" t="s">
        <v>7466</v>
      </c>
      <c r="D21317" s="8">
        <v>2</v>
      </c>
      <c r="E21317" s="8">
        <v>0</v>
      </c>
      <c r="F21317" s="8">
        <v>43773</v>
      </c>
    </row>
    <row r="21318" spans="1:6" ht="12.75">
      <c r="A21318" s="8">
        <v>43894.783449074079</v>
      </c>
      <c r="B21318" s="8" t="str">
        <f>HYPERLINK("https://twitter.com/eddy6666666","@eddy6666666")</f>
        <v>@eddy6666666</v>
      </c>
      <c r="C21318" s="8" t="s">
        <v>8669</v>
      </c>
      <c r="D21318" s="8">
        <v>0</v>
      </c>
      <c r="E21318" s="8">
        <v>0</v>
      </c>
      <c r="F21318" s="8">
        <v>471</v>
      </c>
    </row>
    <row r="21319" spans="1:6" ht="12.75">
      <c r="A21319" s="8">
        <v>43894.783391203702</v>
      </c>
      <c r="B21319" s="8" t="str">
        <f>HYPERLINK("https://twitter.com/r3tmono","@r3tmono")</f>
        <v>@r3tmono</v>
      </c>
      <c r="C21319" s="8" t="s">
        <v>8508</v>
      </c>
      <c r="D21319" s="8">
        <v>2</v>
      </c>
      <c r="E21319" s="8">
        <v>0</v>
      </c>
      <c r="F21319" s="8">
        <v>8702</v>
      </c>
    </row>
    <row r="21320" spans="1:6" ht="12.75">
      <c r="A21320" s="8">
        <v>43894.783206018517</v>
      </c>
      <c r="B21320" s="8" t="str">
        <f>HYPERLINK("https://twitter.com/NelMorningstar","@NelMorningstar")</f>
        <v>@NelMorningstar</v>
      </c>
      <c r="C21320" s="8" t="s">
        <v>6710</v>
      </c>
      <c r="D21320" s="8">
        <v>357</v>
      </c>
      <c r="E21320" s="8">
        <v>0</v>
      </c>
      <c r="F21320" s="8">
        <v>3536</v>
      </c>
    </row>
    <row r="21321" spans="1:6" ht="12.75">
      <c r="A21321" s="8">
        <v>43894.783020833333</v>
      </c>
      <c r="B21321" s="8" t="str">
        <f>HYPERLINK("https://twitter.com/NAndrianto21","@NAndrianto21")</f>
        <v>@NAndrianto21</v>
      </c>
      <c r="C21321" s="8" t="s">
        <v>3285</v>
      </c>
      <c r="D21321" s="8">
        <v>40</v>
      </c>
      <c r="E21321" s="8">
        <v>0</v>
      </c>
      <c r="F21321" s="8">
        <v>60</v>
      </c>
    </row>
    <row r="21322" spans="1:6" ht="12.75">
      <c r="A21322" s="8">
        <v>43894.782905092594</v>
      </c>
      <c r="B21322" s="8" t="str">
        <f>HYPERLINK("https://twitter.com/RiriIriyanto","@RiriIriyanto")</f>
        <v>@RiriIriyanto</v>
      </c>
      <c r="C21322" s="8" t="s">
        <v>8670</v>
      </c>
      <c r="D21322" s="8">
        <v>0</v>
      </c>
      <c r="E21322" s="8">
        <v>1</v>
      </c>
      <c r="F21322" s="8">
        <v>145</v>
      </c>
    </row>
    <row r="21323" spans="1:6" ht="12.75">
      <c r="A21323" s="8">
        <v>43894.782743055555</v>
      </c>
      <c r="B21323" s="8" t="str">
        <f>HYPERLINK("https://twitter.com/FaGtng","@FaGtng")</f>
        <v>@FaGtng</v>
      </c>
      <c r="C21323" s="8" t="s">
        <v>7194</v>
      </c>
      <c r="D21323" s="8">
        <v>25</v>
      </c>
      <c r="E21323" s="8">
        <v>0</v>
      </c>
      <c r="F21323" s="8">
        <v>16340</v>
      </c>
    </row>
    <row r="21324" spans="1:6" ht="12.75">
      <c r="A21324" s="8">
        <v>43894.782638888893</v>
      </c>
      <c r="B21324" s="8" t="str">
        <f>HYPERLINK("https://twitter.com/Nadila_ID","@Nadila_ID")</f>
        <v>@Nadila_ID</v>
      </c>
      <c r="C21324" s="8" t="s">
        <v>8671</v>
      </c>
      <c r="D21324" s="8">
        <v>0</v>
      </c>
      <c r="E21324" s="8">
        <v>0</v>
      </c>
      <c r="F21324" s="8">
        <v>7160</v>
      </c>
    </row>
    <row r="21325" spans="1:6" ht="12.75">
      <c r="A21325" s="8">
        <v>43894.782465277778</v>
      </c>
      <c r="B21325" s="8" t="str">
        <f>HYPERLINK("https://twitter.com/dbienaime","@dbienaime")</f>
        <v>@dbienaime</v>
      </c>
      <c r="C21325" s="8" t="s">
        <v>7575</v>
      </c>
      <c r="D21325" s="8">
        <v>29</v>
      </c>
      <c r="E21325" s="8">
        <v>0</v>
      </c>
      <c r="F21325" s="8">
        <v>13081</v>
      </c>
    </row>
    <row r="21326" spans="1:6" ht="12.75">
      <c r="A21326" s="8">
        <v>43894.782442129625</v>
      </c>
      <c r="B21326" s="8" t="str">
        <f>HYPERLINK("https://twitter.com/alpianbawazier","@alpianbawazier")</f>
        <v>@alpianbawazier</v>
      </c>
      <c r="C21326" s="8" t="s">
        <v>8672</v>
      </c>
      <c r="D21326" s="8">
        <v>1</v>
      </c>
      <c r="E21326" s="8">
        <v>0</v>
      </c>
      <c r="F21326" s="8">
        <v>124</v>
      </c>
    </row>
    <row r="21327" spans="1:6" ht="12.75">
      <c r="A21327" s="8">
        <v>43894.782349537039</v>
      </c>
      <c r="B21327" s="8" t="str">
        <f>HYPERLINK("https://twitter.com/ririn_ruriana","@ririn_ruriana")</f>
        <v>@ririn_ruriana</v>
      </c>
      <c r="C21327" s="8" t="s">
        <v>4477</v>
      </c>
      <c r="D21327" s="8">
        <v>1242</v>
      </c>
      <c r="E21327" s="8">
        <v>0</v>
      </c>
      <c r="F21327" s="8">
        <v>224</v>
      </c>
    </row>
    <row r="21328" spans="1:6" ht="12.75">
      <c r="A21328" s="8">
        <v>43894.781898148147</v>
      </c>
      <c r="B21328" s="8" t="str">
        <f>HYPERLINK("https://twitter.com/NFijriani","@NFijriani")</f>
        <v>@NFijriani</v>
      </c>
      <c r="C21328" s="8" t="s">
        <v>8673</v>
      </c>
      <c r="D21328" s="8">
        <v>0</v>
      </c>
      <c r="E21328" s="8">
        <v>0</v>
      </c>
      <c r="F21328" s="8">
        <v>0</v>
      </c>
    </row>
    <row r="21329" spans="1:6" ht="12.75">
      <c r="A21329" s="8">
        <v>43894.78188657407</v>
      </c>
      <c r="B21329" s="8" t="str">
        <f>HYPERLINK("https://twitter.com/LareAngon11","@LareAngon11")</f>
        <v>@LareAngon11</v>
      </c>
      <c r="C21329" s="8" t="s">
        <v>3285</v>
      </c>
      <c r="D21329" s="8">
        <v>40</v>
      </c>
      <c r="E21329" s="8">
        <v>0</v>
      </c>
      <c r="F21329" s="8">
        <v>36</v>
      </c>
    </row>
    <row r="21330" spans="1:6" ht="12.75">
      <c r="A21330" s="8">
        <v>43894.781712962962</v>
      </c>
      <c r="B21330" s="8" t="str">
        <f>HYPERLINK("https://twitter.com/ardana333","@ardana333")</f>
        <v>@ardana333</v>
      </c>
      <c r="C21330" s="8" t="s">
        <v>8274</v>
      </c>
      <c r="D21330" s="8">
        <v>14</v>
      </c>
      <c r="E21330" s="8">
        <v>0</v>
      </c>
      <c r="F21330" s="8">
        <v>356</v>
      </c>
    </row>
    <row r="21331" spans="1:6" ht="12.75">
      <c r="A21331" s="8">
        <v>43894.781469907408</v>
      </c>
      <c r="B21331" s="8" t="str">
        <f>HYPERLINK("https://twitter.com/ummychasan","@ummychasan")</f>
        <v>@ummychasan</v>
      </c>
      <c r="C21331" s="8" t="s">
        <v>7194</v>
      </c>
      <c r="D21331" s="8">
        <v>25</v>
      </c>
      <c r="E21331" s="8">
        <v>0</v>
      </c>
      <c r="F21331" s="8">
        <v>4846</v>
      </c>
    </row>
    <row r="21332" spans="1:6" ht="12.75">
      <c r="A21332" s="8">
        <v>43894.781423611115</v>
      </c>
      <c r="B21332" s="8" t="str">
        <f>HYPERLINK("https://twitter.com/Haibarakiky","@Haibarakiky")</f>
        <v>@Haibarakiky</v>
      </c>
      <c r="C21332" s="8" t="s">
        <v>8674</v>
      </c>
      <c r="D21332" s="8">
        <v>0</v>
      </c>
      <c r="E21332" s="8">
        <v>0</v>
      </c>
      <c r="F21332" s="8">
        <v>1080</v>
      </c>
    </row>
    <row r="21333" spans="1:6" ht="12.75">
      <c r="A21333" s="8">
        <v>43894.781192129631</v>
      </c>
      <c r="B21333" s="8" t="str">
        <f>HYPERLINK("https://twitter.com/whoseaclown","@whoseaclown")</f>
        <v>@whoseaclown</v>
      </c>
      <c r="C21333" s="8" t="s">
        <v>8675</v>
      </c>
      <c r="D21333" s="8">
        <v>0</v>
      </c>
      <c r="E21333" s="8">
        <v>0</v>
      </c>
      <c r="F21333" s="8">
        <v>75</v>
      </c>
    </row>
    <row r="21334" spans="1:6" ht="12.75">
      <c r="A21334" s="8">
        <v>43894.781134259261</v>
      </c>
      <c r="B21334" s="8" t="str">
        <f>HYPERLINK("https://twitter.com/Dewie34292319","@Dewie34292319")</f>
        <v>@Dewie34292319</v>
      </c>
      <c r="C21334" s="8" t="s">
        <v>8547</v>
      </c>
      <c r="D21334" s="8">
        <v>1</v>
      </c>
      <c r="E21334" s="8">
        <v>0</v>
      </c>
      <c r="F21334" s="8">
        <v>1818</v>
      </c>
    </row>
    <row r="21335" spans="1:6" ht="12.75">
      <c r="A21335" s="8">
        <v>43894.781064814815</v>
      </c>
      <c r="B21335" s="8" t="str">
        <f>HYPERLINK("https://twitter.com/ryolandafit","@ryolandafit")</f>
        <v>@ryolandafit</v>
      </c>
      <c r="C21335" s="8" t="s">
        <v>4167</v>
      </c>
      <c r="D21335" s="8">
        <v>2</v>
      </c>
      <c r="E21335" s="8">
        <v>0</v>
      </c>
      <c r="F21335" s="8">
        <v>653</v>
      </c>
    </row>
    <row r="21336" spans="1:6" ht="12.75">
      <c r="A21336" s="8">
        <v>43894.7809837963</v>
      </c>
      <c r="B21336" s="8" t="str">
        <f>HYPERLINK("https://twitter.com/wawaraji","@wawaraji")</f>
        <v>@wawaraji</v>
      </c>
      <c r="C21336" s="8" t="s">
        <v>8676</v>
      </c>
      <c r="D21336" s="8">
        <v>0</v>
      </c>
      <c r="E21336" s="8">
        <v>0</v>
      </c>
      <c r="F21336" s="8">
        <v>2800</v>
      </c>
    </row>
    <row r="21337" spans="1:6" ht="12.75">
      <c r="A21337" s="8">
        <v>43894.780694444446</v>
      </c>
      <c r="B21337" s="8" t="str">
        <f>HYPERLINK("https://twitter.com/pendividia","@pendividia")</f>
        <v>@pendividia</v>
      </c>
      <c r="C21337" s="8" t="s">
        <v>8115</v>
      </c>
      <c r="D21337" s="8">
        <v>194</v>
      </c>
      <c r="E21337" s="8">
        <v>0</v>
      </c>
      <c r="F21337" s="8">
        <v>604</v>
      </c>
    </row>
    <row r="21338" spans="1:6" ht="12.75">
      <c r="A21338" s="8">
        <v>43894.780555555553</v>
      </c>
      <c r="B21338" s="8" t="str">
        <f>HYPERLINK("https://twitter.com/selfieituindah","@selfieituindah")</f>
        <v>@selfieituindah</v>
      </c>
      <c r="C21338" s="8" t="s">
        <v>8677</v>
      </c>
      <c r="D21338" s="8">
        <v>0</v>
      </c>
      <c r="E21338" s="8">
        <v>0</v>
      </c>
      <c r="F21338" s="8">
        <v>21318</v>
      </c>
    </row>
    <row r="21339" spans="1:6" ht="12.75">
      <c r="A21339" s="8">
        <v>43894.780150462961</v>
      </c>
      <c r="B21339" s="8" t="str">
        <f>HYPERLINK("https://twitter.com/RismaStgg","@RismaStgg")</f>
        <v>@RismaStgg</v>
      </c>
      <c r="C21339" s="8" t="s">
        <v>1427</v>
      </c>
      <c r="D21339" s="8">
        <v>1034</v>
      </c>
      <c r="E21339" s="8">
        <v>0</v>
      </c>
      <c r="F21339" s="8">
        <v>117</v>
      </c>
    </row>
    <row r="21340" spans="1:6" ht="12.75">
      <c r="A21340" s="8">
        <v>43894.780092592591</v>
      </c>
      <c r="B21340" s="8" t="str">
        <f>HYPERLINK("https://twitter.com/andreaskoernia1","@andreaskoernia1")</f>
        <v>@andreaskoernia1</v>
      </c>
      <c r="C21340" s="8" t="s">
        <v>3285</v>
      </c>
      <c r="D21340" s="8">
        <v>40</v>
      </c>
      <c r="E21340" s="8">
        <v>0</v>
      </c>
      <c r="F21340" s="8">
        <v>23</v>
      </c>
    </row>
    <row r="21341" spans="1:6" ht="12.75">
      <c r="A21341" s="8">
        <v>43894.779583333337</v>
      </c>
      <c r="B21341" s="8" t="str">
        <f>HYPERLINK("https://twitter.com/joeyjack04","@joeyjack04")</f>
        <v>@joeyjack04</v>
      </c>
      <c r="C21341" s="8" t="s">
        <v>8230</v>
      </c>
      <c r="D21341" s="8">
        <v>81</v>
      </c>
      <c r="E21341" s="8">
        <v>0</v>
      </c>
      <c r="F21341" s="8">
        <v>595</v>
      </c>
    </row>
    <row r="21342" spans="1:6" ht="12.75">
      <c r="A21342" s="8">
        <v>43894.779490740737</v>
      </c>
      <c r="B21342" s="8" t="str">
        <f>HYPERLINK("https://twitter.com/SydSalesman","@SydSalesman")</f>
        <v>@SydSalesman</v>
      </c>
      <c r="C21342" s="8" t="s">
        <v>8274</v>
      </c>
      <c r="D21342" s="8">
        <v>14</v>
      </c>
      <c r="E21342" s="8">
        <v>0</v>
      </c>
      <c r="F21342" s="8">
        <v>6281</v>
      </c>
    </row>
    <row r="21343" spans="1:6" ht="12.75">
      <c r="A21343" s="8">
        <v>43894.779374999998</v>
      </c>
      <c r="B21343" s="8" t="str">
        <f>HYPERLINK("https://twitter.com/maytazgo","@maytazgo")</f>
        <v>@maytazgo</v>
      </c>
      <c r="C21343" s="8" t="s">
        <v>8274</v>
      </c>
      <c r="D21343" s="8">
        <v>14</v>
      </c>
      <c r="E21343" s="8">
        <v>0</v>
      </c>
      <c r="F21343" s="8">
        <v>208</v>
      </c>
    </row>
    <row r="21344" spans="1:6" ht="12.75">
      <c r="A21344" s="8">
        <v>43894.779270833329</v>
      </c>
      <c r="B21344" s="8" t="str">
        <f>HYPERLINK("https://twitter.com/ZainEfe","@ZainEfe")</f>
        <v>@ZainEfe</v>
      </c>
      <c r="C21344" s="8" t="s">
        <v>8066</v>
      </c>
      <c r="D21344" s="8">
        <v>28</v>
      </c>
      <c r="E21344" s="8">
        <v>0</v>
      </c>
      <c r="F21344" s="8">
        <v>101</v>
      </c>
    </row>
    <row r="21345" spans="1:6" ht="12.75">
      <c r="A21345" s="8">
        <v>43894.779074074075</v>
      </c>
      <c r="B21345" s="8" t="str">
        <f>HYPERLINK("https://twitter.com/wickedjoon_","@wickedjoon_")</f>
        <v>@wickedjoon_</v>
      </c>
      <c r="C21345" s="8" t="s">
        <v>8678</v>
      </c>
      <c r="D21345" s="8">
        <v>0</v>
      </c>
      <c r="E21345" s="8">
        <v>1</v>
      </c>
      <c r="F21345" s="8">
        <v>5373</v>
      </c>
    </row>
    <row r="21346" spans="1:6" ht="12.75">
      <c r="A21346" s="8">
        <v>43894.778935185182</v>
      </c>
      <c r="B21346" s="8" t="str">
        <f>HYPERLINK("https://twitter.com/YogaPras_","@YogaPras_")</f>
        <v>@YogaPras_</v>
      </c>
      <c r="C21346" s="8" t="s">
        <v>8474</v>
      </c>
      <c r="D21346" s="8">
        <v>3</v>
      </c>
      <c r="E21346" s="8">
        <v>0</v>
      </c>
      <c r="F21346" s="8">
        <v>4820</v>
      </c>
    </row>
    <row r="21347" spans="1:6" ht="12.75">
      <c r="A21347" s="8">
        <v>43894.778611111113</v>
      </c>
      <c r="B21347" s="8" t="str">
        <f>HYPERLINK("https://twitter.com/Kadrun_Lucu","@Kadrun_Lucu")</f>
        <v>@Kadrun_Lucu</v>
      </c>
      <c r="C21347" s="8" t="s">
        <v>8474</v>
      </c>
      <c r="D21347" s="8">
        <v>3</v>
      </c>
      <c r="E21347" s="8">
        <v>0</v>
      </c>
      <c r="F21347" s="8">
        <v>12970</v>
      </c>
    </row>
    <row r="21348" spans="1:6" ht="12.75">
      <c r="A21348" s="8">
        <v>43894.756736111114</v>
      </c>
      <c r="B21348" s="8" t="str">
        <f>HYPERLINK("https://twitter.com/urip_murup","@urip_murup")</f>
        <v>@urip_murup</v>
      </c>
      <c r="C21348" s="8" t="s">
        <v>3285</v>
      </c>
      <c r="D21348" s="8">
        <v>28</v>
      </c>
      <c r="E21348" s="8">
        <v>0</v>
      </c>
      <c r="F21348" s="8">
        <v>239</v>
      </c>
    </row>
    <row r="21349" spans="1:6" ht="12.75">
      <c r="A21349" s="8">
        <v>43894.75645833333</v>
      </c>
      <c r="B21349" s="8" t="str">
        <f>HYPERLINK("https://twitter.com/JohnIrwan4","@JohnIrwan4")</f>
        <v>@JohnIrwan4</v>
      </c>
      <c r="C21349" s="8" t="s">
        <v>8679</v>
      </c>
      <c r="D21349" s="8">
        <v>0</v>
      </c>
      <c r="E21349" s="8">
        <v>0</v>
      </c>
      <c r="F21349" s="8">
        <v>2660</v>
      </c>
    </row>
    <row r="21350" spans="1:6" ht="12.75">
      <c r="A21350" s="8">
        <v>43894.756238425922</v>
      </c>
      <c r="B21350" s="8" t="str">
        <f>HYPERLINK("https://twitter.com/bangjoya","@bangjoya")</f>
        <v>@bangjoya</v>
      </c>
      <c r="C21350" s="8" t="s">
        <v>8066</v>
      </c>
      <c r="D21350" s="8">
        <v>11</v>
      </c>
      <c r="E21350" s="8">
        <v>0</v>
      </c>
      <c r="F21350" s="8">
        <v>749</v>
      </c>
    </row>
    <row r="21351" spans="1:6" ht="12.75">
      <c r="A21351" s="8">
        <v>43894.75608796296</v>
      </c>
      <c r="B21351" s="8" t="str">
        <f>HYPERLINK("https://twitter.com/kusumovina","@kusumovina")</f>
        <v>@kusumovina</v>
      </c>
      <c r="C21351" s="8" t="s">
        <v>3285</v>
      </c>
      <c r="D21351" s="8">
        <v>28</v>
      </c>
      <c r="E21351" s="8">
        <v>0</v>
      </c>
      <c r="F21351" s="8">
        <v>165</v>
      </c>
    </row>
    <row r="21352" spans="1:6" ht="12.75">
      <c r="A21352" s="8">
        <v>43894.756076388891</v>
      </c>
      <c r="B21352" s="8" t="str">
        <f>HYPERLINK("https://twitter.com/kangrambak","@kangrambak")</f>
        <v>@kangrambak</v>
      </c>
      <c r="C21352" s="8" t="s">
        <v>8680</v>
      </c>
      <c r="D21352" s="8">
        <v>0</v>
      </c>
      <c r="E21352" s="8">
        <v>0</v>
      </c>
      <c r="F21352" s="8">
        <v>15</v>
      </c>
    </row>
    <row r="21353" spans="1:6" ht="12.75">
      <c r="A21353" s="8">
        <v>43894.755682870367</v>
      </c>
      <c r="B21353" s="8" t="str">
        <f>HYPERLINK("https://twitter.com/investidx","@investidx")</f>
        <v>@investidx</v>
      </c>
      <c r="C21353" s="8" t="s">
        <v>2979</v>
      </c>
      <c r="D21353" s="8">
        <v>7</v>
      </c>
      <c r="E21353" s="8">
        <v>0</v>
      </c>
      <c r="F21353" s="8">
        <v>2031</v>
      </c>
    </row>
    <row r="21354" spans="1:6" ht="12.75">
      <c r="A21354" s="8">
        <v>43894.755636574075</v>
      </c>
      <c r="B21354" s="8" t="str">
        <f>HYPERLINK("https://twitter.com/JKTmasakini","@JKTmasakini")</f>
        <v>@JKTmasakini</v>
      </c>
      <c r="C21354" s="8" t="s">
        <v>8681</v>
      </c>
      <c r="D21354" s="8">
        <v>0</v>
      </c>
      <c r="E21354" s="8">
        <v>0</v>
      </c>
      <c r="F21354" s="8">
        <v>1335</v>
      </c>
    </row>
    <row r="21355" spans="1:6" ht="12.75">
      <c r="A21355" s="8">
        <v>43894.755625000005</v>
      </c>
      <c r="B21355" s="8" t="str">
        <f>HYPERLINK("https://twitter.com/MurBaud1per2in","@MurBaud1per2in")</f>
        <v>@MurBaud1per2in</v>
      </c>
      <c r="C21355" s="8" t="s">
        <v>8682</v>
      </c>
      <c r="D21355" s="8">
        <v>0</v>
      </c>
      <c r="E21355" s="8">
        <v>0</v>
      </c>
      <c r="F21355" s="8">
        <v>33</v>
      </c>
    </row>
    <row r="21356" spans="1:6" ht="12.75">
      <c r="A21356" s="8">
        <v>43894.755532407406</v>
      </c>
      <c r="B21356" s="8" t="str">
        <f>HYPERLINK("https://twitter.com/engelhart21","@engelhart21")</f>
        <v>@engelhart21</v>
      </c>
      <c r="C21356" s="8" t="s">
        <v>6710</v>
      </c>
      <c r="D21356" s="8">
        <v>351</v>
      </c>
      <c r="E21356" s="8">
        <v>0</v>
      </c>
      <c r="F21356" s="8">
        <v>706</v>
      </c>
    </row>
    <row r="21357" spans="1:6" ht="12.75">
      <c r="A21357" s="8">
        <v>43894.755462962959</v>
      </c>
      <c r="B21357" s="8" t="str">
        <f>HYPERLINK("https://twitter.com/akhiripatriarki","@akhiripatriarki")</f>
        <v>@akhiripatriarki</v>
      </c>
      <c r="C21357" s="8" t="s">
        <v>1986</v>
      </c>
      <c r="D21357" s="8">
        <v>857</v>
      </c>
      <c r="E21357" s="8">
        <v>0</v>
      </c>
      <c r="F21357" s="8">
        <v>168</v>
      </c>
    </row>
    <row r="21358" spans="1:6" ht="12.75">
      <c r="A21358" s="8">
        <v>43894.755462962959</v>
      </c>
      <c r="B21358" s="8" t="str">
        <f>HYPERLINK("https://twitter.com/maswuranto","@maswuranto")</f>
        <v>@maswuranto</v>
      </c>
      <c r="C21358" s="8" t="s">
        <v>6315</v>
      </c>
      <c r="D21358" s="8">
        <v>172</v>
      </c>
      <c r="E21358" s="8">
        <v>0</v>
      </c>
      <c r="F21358" s="8">
        <v>160</v>
      </c>
    </row>
    <row r="21359" spans="1:6" ht="12.75">
      <c r="A21359" s="8">
        <v>43894.755243055552</v>
      </c>
      <c r="B21359" s="8" t="str">
        <f>HYPERLINK("https://twitter.com/inthuliaster","@inthuliaster")</f>
        <v>@inthuliaster</v>
      </c>
      <c r="C21359" s="8" t="s">
        <v>8212</v>
      </c>
      <c r="D21359" s="8">
        <v>121</v>
      </c>
      <c r="E21359" s="8">
        <v>0</v>
      </c>
      <c r="F21359" s="8">
        <v>153</v>
      </c>
    </row>
    <row r="21360" spans="1:6" ht="12.75">
      <c r="A21360" s="8">
        <v>43894.755150462966</v>
      </c>
      <c r="B21360" s="8" t="str">
        <f>HYPERLINK("https://twitter.com/gus_von_diajie","@gus_von_diajie")</f>
        <v>@gus_von_diajie</v>
      </c>
      <c r="C21360" s="8" t="s">
        <v>2979</v>
      </c>
      <c r="D21360" s="8">
        <v>7</v>
      </c>
      <c r="E21360" s="8">
        <v>0</v>
      </c>
      <c r="F21360" s="8">
        <v>1195</v>
      </c>
    </row>
    <row r="21361" spans="1:6" ht="12.75">
      <c r="A21361" s="8">
        <v>43894.75508101852</v>
      </c>
      <c r="B21361" s="8" t="str">
        <f>HYPERLINK("https://twitter.com/echank07_","@echank07_")</f>
        <v>@echank07_</v>
      </c>
      <c r="C21361" s="8" t="s">
        <v>8683</v>
      </c>
      <c r="D21361" s="8">
        <v>1</v>
      </c>
      <c r="E21361" s="8">
        <v>0</v>
      </c>
      <c r="F21361" s="8">
        <v>503</v>
      </c>
    </row>
    <row r="21362" spans="1:6" ht="12.75">
      <c r="A21362" s="8">
        <v>43894.75503472222</v>
      </c>
      <c r="B21362" s="8" t="str">
        <f>HYPERLINK("https://twitter.com/BHD_8","@BHD_8")</f>
        <v>@BHD_8</v>
      </c>
      <c r="C21362" s="8" t="s">
        <v>8066</v>
      </c>
      <c r="D21362" s="8">
        <v>11</v>
      </c>
      <c r="E21362" s="8">
        <v>0</v>
      </c>
      <c r="F21362" s="8">
        <v>12283</v>
      </c>
    </row>
    <row r="21363" spans="1:6" ht="12.75">
      <c r="A21363" s="8">
        <v>43894.755011574074</v>
      </c>
      <c r="B21363" s="8" t="str">
        <f>HYPERLINK("https://twitter.com/KSmth2000","@KSmth2000")</f>
        <v>@KSmth2000</v>
      </c>
      <c r="C21363" s="8" t="s">
        <v>7575</v>
      </c>
      <c r="D21363" s="8">
        <v>22</v>
      </c>
      <c r="E21363" s="8">
        <v>0</v>
      </c>
      <c r="F21363" s="8">
        <v>33</v>
      </c>
    </row>
    <row r="21364" spans="1:6" ht="12.75">
      <c r="A21364" s="8">
        <v>43894.754849537036</v>
      </c>
      <c r="B21364" s="8" t="str">
        <f>HYPERLINK("https://twitter.com/keraxxaztrol","@keraxxaztrol")</f>
        <v>@keraxxaztrol</v>
      </c>
      <c r="C21364" s="8" t="s">
        <v>8569</v>
      </c>
      <c r="D21364" s="8">
        <v>14</v>
      </c>
      <c r="E21364" s="8">
        <v>0</v>
      </c>
      <c r="F21364" s="8">
        <v>647</v>
      </c>
    </row>
    <row r="21365" spans="1:6" ht="12.75">
      <c r="A21365" s="8">
        <v>43894.754490740743</v>
      </c>
      <c r="B21365" s="8" t="str">
        <f>HYPERLINK("https://twitter.com/manizaokta","@manizaokta")</f>
        <v>@manizaokta</v>
      </c>
      <c r="C21365" s="8" t="s">
        <v>3285</v>
      </c>
      <c r="D21365" s="8">
        <v>28</v>
      </c>
      <c r="E21365" s="8">
        <v>0</v>
      </c>
      <c r="F21365" s="8">
        <v>2</v>
      </c>
    </row>
    <row r="21366" spans="1:6" ht="12.75">
      <c r="A21366" s="8">
        <v>43894.754409722227</v>
      </c>
      <c r="B21366" s="8" t="str">
        <f>HYPERLINK("https://twitter.com/SarcasticMy","@SarcasticMy")</f>
        <v>@SarcasticMy</v>
      </c>
      <c r="C21366" s="8" t="s">
        <v>8684</v>
      </c>
      <c r="D21366" s="8">
        <v>0</v>
      </c>
      <c r="E21366" s="8">
        <v>1</v>
      </c>
      <c r="F21366" s="8">
        <v>197</v>
      </c>
    </row>
    <row r="21367" spans="1:6" ht="12.75">
      <c r="A21367" s="8">
        <v>43894.754409722227</v>
      </c>
      <c r="B21367" s="8" t="str">
        <f>HYPERLINK("https://twitter.com/zeinamegot","@zeinamegot")</f>
        <v>@zeinamegot</v>
      </c>
      <c r="C21367" s="8" t="s">
        <v>8274</v>
      </c>
      <c r="D21367" s="8">
        <v>2</v>
      </c>
      <c r="E21367" s="8">
        <v>0</v>
      </c>
      <c r="F21367" s="8">
        <v>625</v>
      </c>
    </row>
    <row r="21368" spans="1:6" ht="12.75">
      <c r="A21368" s="8">
        <v>43894.754247685181</v>
      </c>
      <c r="B21368" s="8" t="str">
        <f>HYPERLINK("https://twitter.com/leialia","@leialia")</f>
        <v>@leialia</v>
      </c>
      <c r="C21368" s="8" t="s">
        <v>8685</v>
      </c>
      <c r="D21368" s="8">
        <v>0</v>
      </c>
      <c r="E21368" s="8">
        <v>0</v>
      </c>
      <c r="F21368" s="8">
        <v>2077</v>
      </c>
    </row>
    <row r="21369" spans="1:6" ht="12.75">
      <c r="A21369" s="8">
        <v>43894.753958333335</v>
      </c>
      <c r="B21369" s="8" t="str">
        <f>HYPERLINK("https://twitter.com/gabriellakris11","@gabriellakris11")</f>
        <v>@gabriellakris11</v>
      </c>
      <c r="C21369" s="8" t="s">
        <v>8212</v>
      </c>
      <c r="D21369" s="8">
        <v>121</v>
      </c>
      <c r="E21369" s="8">
        <v>0</v>
      </c>
      <c r="F21369" s="8">
        <v>94</v>
      </c>
    </row>
    <row r="21370" spans="1:6" ht="12.75">
      <c r="A21370" s="8">
        <v>43894.753437499996</v>
      </c>
      <c r="B21370" s="8" t="str">
        <f>HYPERLINK("https://twitter.com/nana040461","@nana040461")</f>
        <v>@nana040461</v>
      </c>
      <c r="C21370" s="8" t="s">
        <v>8686</v>
      </c>
      <c r="D21370" s="8">
        <v>12</v>
      </c>
      <c r="E21370" s="8">
        <v>0</v>
      </c>
      <c r="F21370" s="8">
        <v>1883</v>
      </c>
    </row>
    <row r="21371" spans="1:6" ht="12.75">
      <c r="A21371" s="8">
        <v>43894.753159722226</v>
      </c>
      <c r="B21371" s="8" t="str">
        <f>HYPERLINK("https://twitter.com/rmolsumsel","@rmolsumsel")</f>
        <v>@rmolsumsel</v>
      </c>
      <c r="C21371" s="8" t="s">
        <v>8687</v>
      </c>
      <c r="D21371" s="8">
        <v>1</v>
      </c>
      <c r="E21371" s="8">
        <v>1</v>
      </c>
      <c r="F21371" s="8">
        <v>1965</v>
      </c>
    </row>
    <row r="21372" spans="1:6" ht="12.75">
      <c r="A21372" s="8">
        <v>43894.753009259264</v>
      </c>
      <c r="B21372" s="8" t="str">
        <f>HYPERLINK("https://twitter.com/JohnIrwan4","@JohnIrwan4")</f>
        <v>@JohnIrwan4</v>
      </c>
      <c r="C21372" s="8" t="s">
        <v>8066</v>
      </c>
      <c r="D21372" s="8">
        <v>11</v>
      </c>
      <c r="E21372" s="8">
        <v>0</v>
      </c>
      <c r="F21372" s="8">
        <v>2660</v>
      </c>
    </row>
    <row r="21373" spans="1:6" ht="12.75">
      <c r="A21373" s="8">
        <v>43894.752800925926</v>
      </c>
      <c r="B21373" s="8" t="str">
        <f>HYPERLINK("https://twitter.com/kompascom","@kompascom")</f>
        <v>@kompascom</v>
      </c>
      <c r="C21373" s="8" t="s">
        <v>8688</v>
      </c>
      <c r="D21373" s="8">
        <v>2</v>
      </c>
      <c r="E21373" s="8">
        <v>21</v>
      </c>
      <c r="F21373" s="8">
        <v>7527877</v>
      </c>
    </row>
    <row r="21374" spans="1:6" ht="12.75">
      <c r="A21374" s="8">
        <v>43894.752615740741</v>
      </c>
      <c r="B21374" s="8" t="str">
        <f>HYPERLINK("https://twitter.com/eli_omy","@eli_omy")</f>
        <v>@eli_omy</v>
      </c>
      <c r="C21374" s="8" t="s">
        <v>8212</v>
      </c>
      <c r="D21374" s="8">
        <v>121</v>
      </c>
      <c r="E21374" s="8">
        <v>0</v>
      </c>
      <c r="F21374" s="8">
        <v>1072</v>
      </c>
    </row>
    <row r="21375" spans="1:6" ht="12.75">
      <c r="A21375" s="8">
        <v>43894.752418981487</v>
      </c>
      <c r="B21375" s="8" t="str">
        <f>HYPERLINK("https://twitter.com/sueb_soleh","@sueb_soleh")</f>
        <v>@sueb_soleh</v>
      </c>
      <c r="C21375" s="8" t="s">
        <v>7244</v>
      </c>
      <c r="D21375" s="8">
        <v>19</v>
      </c>
      <c r="E21375" s="8">
        <v>0</v>
      </c>
      <c r="F21375" s="8">
        <v>718</v>
      </c>
    </row>
    <row r="21376" spans="1:6" ht="12.75">
      <c r="A21376" s="8">
        <v>43894.752418981487</v>
      </c>
      <c r="B21376" s="8" t="str">
        <f>HYPERLINK("https://twitter.com/Drupadianarki","@Drupadianarki")</f>
        <v>@Drupadianarki</v>
      </c>
      <c r="C21376" s="8" t="s">
        <v>1986</v>
      </c>
      <c r="D21376" s="8">
        <v>857</v>
      </c>
      <c r="E21376" s="8">
        <v>0</v>
      </c>
      <c r="F21376" s="8">
        <v>171</v>
      </c>
    </row>
    <row r="21377" spans="1:6" ht="12.75">
      <c r="A21377" s="8">
        <v>43894.752025462964</v>
      </c>
      <c r="B21377" s="8" t="str">
        <f>HYPERLINK("https://twitter.com/intansavhyraa","@intansavhyraa")</f>
        <v>@intansavhyraa</v>
      </c>
      <c r="C21377" s="8" t="s">
        <v>8689</v>
      </c>
      <c r="D21377" s="8">
        <v>4</v>
      </c>
      <c r="E21377" s="8">
        <v>0</v>
      </c>
      <c r="F21377" s="8">
        <v>869</v>
      </c>
    </row>
    <row r="21378" spans="1:6" ht="12.75">
      <c r="A21378" s="8">
        <v>43894.751828703702</v>
      </c>
      <c r="B21378" s="8" t="str">
        <f>HYPERLINK("https://twitter.com/maswuranto","@maswuranto")</f>
        <v>@maswuranto</v>
      </c>
      <c r="C21378" s="8" t="s">
        <v>8690</v>
      </c>
      <c r="D21378" s="8">
        <v>4</v>
      </c>
      <c r="E21378" s="8">
        <v>0</v>
      </c>
      <c r="F21378" s="8">
        <v>160</v>
      </c>
    </row>
    <row r="21379" spans="1:6" ht="12.75">
      <c r="A21379" s="8">
        <v>43894.751527777778</v>
      </c>
      <c r="B21379" s="8" t="str">
        <f>HYPERLINK("https://twitter.com/alwie191","@alwie191")</f>
        <v>@alwie191</v>
      </c>
      <c r="C21379" s="8" t="s">
        <v>2979</v>
      </c>
      <c r="D21379" s="8">
        <v>7</v>
      </c>
      <c r="E21379" s="8">
        <v>0</v>
      </c>
      <c r="F21379" s="8">
        <v>2221</v>
      </c>
    </row>
    <row r="21380" spans="1:6" ht="12.75">
      <c r="A21380" s="8">
        <v>43894.751134259262</v>
      </c>
      <c r="B21380" s="8" t="str">
        <f>HYPERLINK("https://twitter.com/ahar_1379","@ahar_1379")</f>
        <v>@ahar_1379</v>
      </c>
      <c r="C21380" s="8" t="s">
        <v>6710</v>
      </c>
      <c r="D21380" s="8">
        <v>351</v>
      </c>
      <c r="E21380" s="8">
        <v>0</v>
      </c>
      <c r="F21380" s="8">
        <v>231</v>
      </c>
    </row>
    <row r="21381" spans="1:6" ht="12.75">
      <c r="A21381" s="8">
        <v>43894.751087962963</v>
      </c>
      <c r="B21381" s="8" t="str">
        <f>HYPERLINK("https://twitter.com/SuryaMajapahi7","@SuryaMajapahi7")</f>
        <v>@SuryaMajapahi7</v>
      </c>
      <c r="C21381" s="8" t="s">
        <v>8115</v>
      </c>
      <c r="D21381" s="8">
        <v>183</v>
      </c>
      <c r="E21381" s="8">
        <v>0</v>
      </c>
      <c r="F21381" s="8">
        <v>730</v>
      </c>
    </row>
    <row r="21382" spans="1:6" ht="12.75">
      <c r="A21382" s="8">
        <v>43894.750983796301</v>
      </c>
      <c r="B21382" s="8" t="str">
        <f>HYPERLINK("https://twitter.com/arimaharta","@arimaharta")</f>
        <v>@arimaharta</v>
      </c>
      <c r="C21382" s="8" t="s">
        <v>7969</v>
      </c>
      <c r="D21382" s="8">
        <v>36</v>
      </c>
      <c r="E21382" s="8">
        <v>0</v>
      </c>
      <c r="F21382" s="8">
        <v>418</v>
      </c>
    </row>
    <row r="21383" spans="1:6" ht="12.75">
      <c r="A21383" s="8">
        <v>43894.750937500001</v>
      </c>
      <c r="B21383" s="8" t="str">
        <f>HYPERLINK("https://twitter.com/AimanJudakusum1","@AimanJudakusum1")</f>
        <v>@AimanJudakusum1</v>
      </c>
      <c r="C21383" s="8" t="s">
        <v>7848</v>
      </c>
      <c r="D21383" s="8">
        <v>56</v>
      </c>
      <c r="E21383" s="8">
        <v>0</v>
      </c>
      <c r="F21383" s="8">
        <v>189</v>
      </c>
    </row>
    <row r="21384" spans="1:6" ht="12.75">
      <c r="A21384" s="8">
        <v>43894.750856481478</v>
      </c>
      <c r="B21384" s="8" t="str">
        <f>HYPERLINK("https://twitter.com/jengsri_ss","@jengsri_ss")</f>
        <v>@jengsri_ss</v>
      </c>
      <c r="C21384" s="8" t="s">
        <v>8212</v>
      </c>
      <c r="D21384" s="8">
        <v>121</v>
      </c>
      <c r="E21384" s="8">
        <v>0</v>
      </c>
      <c r="F21384" s="8">
        <v>355</v>
      </c>
    </row>
    <row r="21385" spans="1:6" ht="12.75">
      <c r="A21385" s="8">
        <v>43894.750752314816</v>
      </c>
      <c r="B21385" s="8" t="str">
        <f>HYPERLINK("https://twitter.com/ZulvaIbrahim","@ZulvaIbrahim")</f>
        <v>@ZulvaIbrahim</v>
      </c>
      <c r="C21385" s="8" t="s">
        <v>8691</v>
      </c>
      <c r="D21385" s="8">
        <v>1</v>
      </c>
      <c r="E21385" s="8">
        <v>0</v>
      </c>
      <c r="F21385" s="8">
        <v>173</v>
      </c>
    </row>
    <row r="21386" spans="1:6" ht="12.75">
      <c r="A21386" s="8">
        <v>43894.750532407408</v>
      </c>
      <c r="B21386" s="8" t="str">
        <f>HYPERLINK("https://twitter.com/Rizwanto021115","@Rizwanto021115")</f>
        <v>@Rizwanto021115</v>
      </c>
      <c r="C21386" s="8" t="s">
        <v>8066</v>
      </c>
      <c r="D21386" s="8">
        <v>11</v>
      </c>
      <c r="E21386" s="8">
        <v>0</v>
      </c>
      <c r="F21386" s="8">
        <v>519</v>
      </c>
    </row>
    <row r="21387" spans="1:6" ht="12.75">
      <c r="A21387" s="8">
        <v>43894.750381944439</v>
      </c>
      <c r="B21387" s="8" t="str">
        <f>HYPERLINK("https://twitter.com/DjokoSa03047097","@DjokoSa03047097")</f>
        <v>@DjokoSa03047097</v>
      </c>
      <c r="C21387" s="8" t="s">
        <v>7604</v>
      </c>
      <c r="D21387" s="8">
        <v>27</v>
      </c>
      <c r="E21387" s="8">
        <v>0</v>
      </c>
      <c r="F21387" s="8">
        <v>322</v>
      </c>
    </row>
    <row r="21388" spans="1:6" ht="12.75">
      <c r="A21388" s="8">
        <v>43894.750277777777</v>
      </c>
      <c r="B21388" s="8" t="str">
        <f>HYPERLINK("https://twitter.com/KEZIAAM0UR","@KEZIAAM0UR")</f>
        <v>@KEZIAAM0UR</v>
      </c>
      <c r="C21388" s="8" t="s">
        <v>8692</v>
      </c>
      <c r="D21388" s="8">
        <v>0</v>
      </c>
      <c r="E21388" s="8">
        <v>0</v>
      </c>
      <c r="F21388" s="8">
        <v>99</v>
      </c>
    </row>
    <row r="21389" spans="1:6" ht="12.75">
      <c r="A21389" s="8">
        <v>43894.750092592592</v>
      </c>
      <c r="B21389" s="8" t="str">
        <f>HYPERLINK("https://twitter.com/chritinveronika","@chritinveronika")</f>
        <v>@chritinveronika</v>
      </c>
      <c r="C21389" s="8" t="s">
        <v>2199</v>
      </c>
      <c r="D21389" s="8">
        <v>9081</v>
      </c>
      <c r="E21389" s="8">
        <v>0</v>
      </c>
      <c r="F21389" s="8">
        <v>160</v>
      </c>
    </row>
    <row r="21390" spans="1:6" ht="12.75">
      <c r="A21390" s="8">
        <v>43894.750046296293</v>
      </c>
      <c r="B21390" s="8" t="str">
        <f>HYPERLINK("https://twitter.com/AdrianPramudito","@AdrianPramudito")</f>
        <v>@AdrianPramudito</v>
      </c>
      <c r="C21390" s="8" t="s">
        <v>8693</v>
      </c>
      <c r="D21390" s="8">
        <v>0</v>
      </c>
      <c r="E21390" s="8">
        <v>0</v>
      </c>
      <c r="F21390" s="8">
        <v>105</v>
      </c>
    </row>
    <row r="21391" spans="1:6" ht="12.75">
      <c r="A21391" s="8">
        <v>43894.749791666662</v>
      </c>
      <c r="B21391" s="8" t="str">
        <f>HYPERLINK("https://twitter.com/mkastiani","@mkastiani")</f>
        <v>@mkastiani</v>
      </c>
      <c r="C21391" s="8" t="s">
        <v>7969</v>
      </c>
      <c r="D21391" s="8">
        <v>36</v>
      </c>
      <c r="E21391" s="8">
        <v>0</v>
      </c>
      <c r="F21391" s="8">
        <v>4260</v>
      </c>
    </row>
    <row r="21392" spans="1:6" ht="12.75">
      <c r="A21392" s="8">
        <v>43894.749664351853</v>
      </c>
      <c r="B21392" s="8" t="str">
        <f>HYPERLINK("https://twitter.com/la1laha1llallah","@la1laha1llallah")</f>
        <v>@la1laha1llallah</v>
      </c>
      <c r="C21392" s="8" t="s">
        <v>7244</v>
      </c>
      <c r="D21392" s="8">
        <v>19</v>
      </c>
      <c r="E21392" s="8">
        <v>0</v>
      </c>
      <c r="F21392" s="8">
        <v>4039</v>
      </c>
    </row>
    <row r="21393" spans="1:6" ht="12.75">
      <c r="A21393" s="8">
        <v>43894.749606481477</v>
      </c>
      <c r="B21393" s="8" t="str">
        <f>HYPERLINK("https://twitter.com/Net_Rangers","@Net_Rangers")</f>
        <v>@Net_Rangers</v>
      </c>
      <c r="C21393" s="8" t="s">
        <v>8323</v>
      </c>
      <c r="D21393" s="8">
        <v>31</v>
      </c>
      <c r="E21393" s="8">
        <v>0</v>
      </c>
      <c r="F21393" s="8">
        <v>836</v>
      </c>
    </row>
    <row r="21394" spans="1:6" ht="12.75">
      <c r="A21394" s="8">
        <v>43894.749594907407</v>
      </c>
      <c r="B21394" s="8" t="str">
        <f>HYPERLINK("https://twitter.com/NinjaPalsu","@NinjaPalsu")</f>
        <v>@NinjaPalsu</v>
      </c>
      <c r="C21394" s="8" t="s">
        <v>6710</v>
      </c>
      <c r="D21394" s="8">
        <v>351</v>
      </c>
      <c r="E21394" s="8">
        <v>0</v>
      </c>
      <c r="F21394" s="8">
        <v>104</v>
      </c>
    </row>
    <row r="21395" spans="1:6" ht="12.75">
      <c r="A21395" s="8">
        <v>43894.749537037038</v>
      </c>
      <c r="B21395" s="8" t="str">
        <f>HYPERLINK("https://twitter.com/ohhinsomnia","@ohhinsomnia")</f>
        <v>@ohhinsomnia</v>
      </c>
      <c r="C21395" s="8" t="s">
        <v>5313</v>
      </c>
      <c r="D21395" s="8">
        <v>10</v>
      </c>
      <c r="E21395" s="8">
        <v>0</v>
      </c>
      <c r="F21395" s="8">
        <v>193</v>
      </c>
    </row>
    <row r="21396" spans="1:6" ht="12.75">
      <c r="A21396" s="8">
        <v>43894.749456018515</v>
      </c>
      <c r="B21396" s="8" t="str">
        <f>HYPERLINK("https://twitter.com/topinfo_id","@topinfo_id")</f>
        <v>@topinfo_id</v>
      </c>
      <c r="C21396" s="8" t="s">
        <v>8694</v>
      </c>
      <c r="D21396" s="8">
        <v>0</v>
      </c>
      <c r="E21396" s="8">
        <v>0</v>
      </c>
      <c r="F21396" s="8">
        <v>40</v>
      </c>
    </row>
    <row r="21397" spans="1:6" ht="12.75">
      <c r="A21397" s="8">
        <v>43894.749328703707</v>
      </c>
      <c r="B21397" s="8" t="str">
        <f>HYPERLINK("https://twitter.com/hasansimon9","@hasansimon9")</f>
        <v>@hasansimon9</v>
      </c>
      <c r="C21397" s="8" t="s">
        <v>8168</v>
      </c>
      <c r="D21397" s="8">
        <v>1</v>
      </c>
      <c r="E21397" s="8">
        <v>0</v>
      </c>
      <c r="F21397" s="8">
        <v>466</v>
      </c>
    </row>
    <row r="21398" spans="1:6" ht="12.75">
      <c r="A21398" s="8">
        <v>43894.749259259261</v>
      </c>
      <c r="B21398" s="8" t="str">
        <f>HYPERLINK("https://twitter.com/Ichi_No_Kamae","@Ichi_No_Kamae")</f>
        <v>@Ichi_No_Kamae</v>
      </c>
      <c r="C21398" s="8" t="s">
        <v>8479</v>
      </c>
      <c r="D21398" s="8">
        <v>2</v>
      </c>
      <c r="E21398" s="8">
        <v>0</v>
      </c>
      <c r="F21398" s="8">
        <v>515</v>
      </c>
    </row>
    <row r="21399" spans="1:6" ht="12.75">
      <c r="A21399" s="8">
        <v>43894.749247685184</v>
      </c>
      <c r="B21399" s="8" t="str">
        <f>HYPERLINK("https://twitter.com/eka_dini722","@eka_dini722")</f>
        <v>@eka_dini722</v>
      </c>
      <c r="C21399" s="8" t="s">
        <v>8115</v>
      </c>
      <c r="D21399" s="8">
        <v>183</v>
      </c>
      <c r="E21399" s="8">
        <v>0</v>
      </c>
      <c r="F21399" s="8">
        <v>2419</v>
      </c>
    </row>
    <row r="21400" spans="1:6" ht="12.75">
      <c r="A21400" s="8">
        <v>43894.749108796299</v>
      </c>
      <c r="B21400" s="8" t="str">
        <f>HYPERLINK("https://twitter.com/audrenlyn","@audrenlyn")</f>
        <v>@audrenlyn</v>
      </c>
      <c r="C21400" s="8" t="s">
        <v>8695</v>
      </c>
      <c r="D21400" s="8">
        <v>0</v>
      </c>
      <c r="E21400" s="8">
        <v>0</v>
      </c>
      <c r="F21400" s="8">
        <v>472</v>
      </c>
    </row>
    <row r="21401" spans="1:6" ht="12.75">
      <c r="A21401" s="8">
        <v>43894.749016203699</v>
      </c>
      <c r="B21401" s="8" t="str">
        <f>HYPERLINK("https://twitter.com/abdi67401648","@abdi67401648")</f>
        <v>@abdi67401648</v>
      </c>
      <c r="C21401" s="8" t="s">
        <v>8696</v>
      </c>
      <c r="D21401" s="8">
        <v>0</v>
      </c>
      <c r="E21401" s="8">
        <v>0</v>
      </c>
      <c r="F21401" s="8">
        <v>340</v>
      </c>
    </row>
    <row r="21402" spans="1:6" ht="12.75">
      <c r="A21402" s="8">
        <v>43894.748831018514</v>
      </c>
      <c r="B21402" s="8" t="str">
        <f>HYPERLINK("https://twitter.com/rifqi32bgr","@rifqi32bgr")</f>
        <v>@rifqi32bgr</v>
      </c>
      <c r="C21402" s="8" t="s">
        <v>8066</v>
      </c>
      <c r="D21402" s="8">
        <v>11</v>
      </c>
      <c r="E21402" s="8">
        <v>0</v>
      </c>
      <c r="F21402" s="8">
        <v>1312</v>
      </c>
    </row>
    <row r="21403" spans="1:6" ht="12.75">
      <c r="A21403" s="8">
        <v>43894.748784722222</v>
      </c>
      <c r="B21403" s="8" t="str">
        <f>HYPERLINK("https://twitter.com/4_devout","@4_devout")</f>
        <v>@4_devout</v>
      </c>
      <c r="C21403" s="8" t="s">
        <v>8479</v>
      </c>
      <c r="D21403" s="8">
        <v>2</v>
      </c>
      <c r="E21403" s="8">
        <v>0</v>
      </c>
      <c r="F21403" s="8">
        <v>607</v>
      </c>
    </row>
    <row r="21404" spans="1:6" ht="12.75">
      <c r="A21404" s="8">
        <v>43894.748611111107</v>
      </c>
      <c r="B21404" s="8" t="str">
        <f>HYPERLINK("https://twitter.com/DiantyYasmin3","@DiantyYasmin3")</f>
        <v>@DiantyYasmin3</v>
      </c>
      <c r="C21404" s="8" t="s">
        <v>7969</v>
      </c>
      <c r="D21404" s="8">
        <v>36</v>
      </c>
      <c r="E21404" s="8">
        <v>0</v>
      </c>
      <c r="F21404" s="8">
        <v>10146</v>
      </c>
    </row>
    <row r="21405" spans="1:6" ht="12.75">
      <c r="A21405" s="8">
        <v>43894.748564814814</v>
      </c>
      <c r="B21405" s="8" t="str">
        <f>HYPERLINK("https://twitter.com/Hkuncoro","@Hkuncoro")</f>
        <v>@Hkuncoro</v>
      </c>
      <c r="C21405" s="8" t="s">
        <v>8697</v>
      </c>
      <c r="D21405" s="8">
        <v>9</v>
      </c>
      <c r="E21405" s="8">
        <v>0</v>
      </c>
      <c r="F21405" s="8">
        <v>54</v>
      </c>
    </row>
    <row r="21406" spans="1:6" ht="12.75">
      <c r="A21406" s="8">
        <v>43894.748171296298</v>
      </c>
      <c r="B21406" s="8" t="str">
        <f>HYPERLINK("https://twitter.com/adeteriyanaa","@adeteriyanaa")</f>
        <v>@adeteriyanaa</v>
      </c>
      <c r="C21406" s="8" t="s">
        <v>8133</v>
      </c>
      <c r="D21406" s="8">
        <v>11</v>
      </c>
      <c r="E21406" s="8">
        <v>0</v>
      </c>
      <c r="F21406" s="8">
        <v>1420</v>
      </c>
    </row>
    <row r="21407" spans="1:6" ht="12.75">
      <c r="A21407" s="8">
        <v>43894.748067129629</v>
      </c>
      <c r="B21407" s="8" t="str">
        <f>HYPERLINK("https://twitter.com/okezonenews","@okezonenews")</f>
        <v>@okezonenews</v>
      </c>
      <c r="C21407" s="8" t="s">
        <v>8698</v>
      </c>
      <c r="D21407" s="8">
        <v>0</v>
      </c>
      <c r="E21407" s="8">
        <v>1</v>
      </c>
      <c r="F21407" s="8">
        <v>1743920</v>
      </c>
    </row>
    <row r="21408" spans="1:6" ht="12.75">
      <c r="A21408" s="8">
        <v>43894.747777777782</v>
      </c>
      <c r="B21408" s="8" t="str">
        <f>HYPERLINK("https://twitter.com/ntar_yaa","@ntar_yaa")</f>
        <v>@ntar_yaa</v>
      </c>
      <c r="C21408" s="8" t="s">
        <v>6710</v>
      </c>
      <c r="D21408" s="8">
        <v>351</v>
      </c>
      <c r="E21408" s="8">
        <v>0</v>
      </c>
      <c r="F21408" s="8">
        <v>30</v>
      </c>
    </row>
    <row r="21409" spans="1:6" ht="12.75">
      <c r="A21409" s="8">
        <v>43894.747766203705</v>
      </c>
      <c r="B21409" s="8" t="str">
        <f>HYPERLINK("https://twitter.com/TMustcho","@TMustcho")</f>
        <v>@TMustcho</v>
      </c>
      <c r="C21409" s="8" t="s">
        <v>7244</v>
      </c>
      <c r="D21409" s="8">
        <v>19</v>
      </c>
      <c r="E21409" s="8">
        <v>0</v>
      </c>
      <c r="F21409" s="8">
        <v>580</v>
      </c>
    </row>
    <row r="21410" spans="1:6" ht="12.75">
      <c r="A21410" s="8">
        <v>43894.747627314813</v>
      </c>
      <c r="B21410" s="8" t="str">
        <f>HYPERLINK("https://twitter.com/Gerald_J14","@Gerald_J14")</f>
        <v>@Gerald_J14</v>
      </c>
      <c r="C21410" s="8" t="s">
        <v>8212</v>
      </c>
      <c r="D21410" s="8">
        <v>121</v>
      </c>
      <c r="E21410" s="8">
        <v>0</v>
      </c>
      <c r="F21410" s="8">
        <v>161</v>
      </c>
    </row>
    <row r="21411" spans="1:6" ht="12.75">
      <c r="A21411" s="8">
        <v>43894.747627314813</v>
      </c>
      <c r="B21411" s="8" t="str">
        <f>HYPERLINK("https://twitter.com/purnomo_jati1","@purnomo_jati1")</f>
        <v>@purnomo_jati1</v>
      </c>
      <c r="C21411" s="8" t="s">
        <v>8212</v>
      </c>
      <c r="D21411" s="8">
        <v>121</v>
      </c>
      <c r="E21411" s="8">
        <v>0</v>
      </c>
      <c r="F21411" s="8">
        <v>336</v>
      </c>
    </row>
    <row r="21412" spans="1:6" ht="12.75">
      <c r="A21412" s="8">
        <v>43894.747569444444</v>
      </c>
      <c r="B21412" s="8" t="str">
        <f>HYPERLINK("https://twitter.com/Sundaystroller1","@Sundaystroller1")</f>
        <v>@Sundaystroller1</v>
      </c>
      <c r="C21412" s="8" t="s">
        <v>8699</v>
      </c>
      <c r="D21412" s="8">
        <v>0</v>
      </c>
      <c r="E21412" s="8">
        <v>0</v>
      </c>
      <c r="F21412" s="8">
        <v>1</v>
      </c>
    </row>
    <row r="21413" spans="1:6" ht="12.75">
      <c r="A21413" s="8">
        <v>43894.747372685189</v>
      </c>
      <c r="B21413" s="8" t="str">
        <f>HYPERLINK("https://twitter.com/3_devout","@3_devout")</f>
        <v>@3_devout</v>
      </c>
      <c r="C21413" s="8" t="s">
        <v>8700</v>
      </c>
      <c r="D21413" s="8">
        <v>2</v>
      </c>
      <c r="E21413" s="8">
        <v>0</v>
      </c>
      <c r="F21413" s="8">
        <v>1062</v>
      </c>
    </row>
    <row r="21414" spans="1:6" ht="12.75">
      <c r="A21414" s="8">
        <v>43894.747210648144</v>
      </c>
      <c r="B21414" s="8" t="str">
        <f>HYPERLINK("https://twitter.com/RelaLest","@RelaLest")</f>
        <v>@RelaLest</v>
      </c>
      <c r="C21414" s="8" t="s">
        <v>3285</v>
      </c>
      <c r="D21414" s="8">
        <v>28</v>
      </c>
      <c r="E21414" s="8">
        <v>0</v>
      </c>
      <c r="F21414" s="8">
        <v>119</v>
      </c>
    </row>
    <row r="21415" spans="1:6" ht="12.75">
      <c r="A21415" s="8">
        <v>43894.747199074074</v>
      </c>
      <c r="B21415" s="8" t="str">
        <f>HYPERLINK("https://twitter.com/Penol86","@Penol86")</f>
        <v>@Penol86</v>
      </c>
      <c r="C21415" s="8" t="s">
        <v>6710</v>
      </c>
      <c r="D21415" s="8">
        <v>351</v>
      </c>
      <c r="E21415" s="8">
        <v>0</v>
      </c>
      <c r="F21415" s="8">
        <v>4593</v>
      </c>
    </row>
    <row r="21416" spans="1:6" ht="12.75">
      <c r="A21416" s="8">
        <v>43894.746863425928</v>
      </c>
      <c r="B21416" s="8" t="str">
        <f>HYPERLINK("https://twitter.com/kupastuntasnew","@kupastuntasnew")</f>
        <v>@kupastuntasnew</v>
      </c>
      <c r="C21416" s="8" t="s">
        <v>8701</v>
      </c>
      <c r="D21416" s="8">
        <v>0</v>
      </c>
      <c r="E21416" s="8">
        <v>0</v>
      </c>
      <c r="F21416" s="8">
        <v>303</v>
      </c>
    </row>
    <row r="21417" spans="1:6" ht="12.75">
      <c r="A21417" s="8">
        <v>43894.746840277774</v>
      </c>
      <c r="B21417" s="8" t="str">
        <f>HYPERLINK("https://twitter.com/medcom_id","@medcom_id")</f>
        <v>@medcom_id</v>
      </c>
      <c r="C21417" s="8" t="s">
        <v>8702</v>
      </c>
      <c r="D21417" s="8">
        <v>0</v>
      </c>
      <c r="E21417" s="8">
        <v>0</v>
      </c>
      <c r="F21417" s="8">
        <v>18477</v>
      </c>
    </row>
    <row r="21418" spans="1:6" ht="12.75">
      <c r="A21418" s="8">
        <v>43894.746608796297</v>
      </c>
      <c r="B21418" s="8" t="str">
        <f>HYPERLINK("https://twitter.com/IswadiI12262650","@IswadiI12262650")</f>
        <v>@IswadiI12262650</v>
      </c>
      <c r="C21418" s="8" t="s">
        <v>8184</v>
      </c>
      <c r="D21418" s="8">
        <v>13</v>
      </c>
      <c r="E21418" s="8">
        <v>0</v>
      </c>
      <c r="F21418" s="8">
        <v>78</v>
      </c>
    </row>
    <row r="21419" spans="1:6" ht="12.75">
      <c r="A21419" s="8">
        <v>43894.746041666665</v>
      </c>
      <c r="B21419" s="8" t="str">
        <f>HYPERLINK("https://twitter.com/handri_ad","@handri_ad")</f>
        <v>@handri_ad</v>
      </c>
      <c r="C21419" s="8" t="s">
        <v>3285</v>
      </c>
      <c r="D21419" s="8">
        <v>28</v>
      </c>
      <c r="E21419" s="8">
        <v>0</v>
      </c>
      <c r="F21419" s="8">
        <v>138</v>
      </c>
    </row>
    <row r="21420" spans="1:6" ht="12.75">
      <c r="A21420" s="8">
        <v>43894.745891203704</v>
      </c>
      <c r="B21420" s="8" t="str">
        <f>HYPERLINK("https://twitter.com/KibulJuragan","@KibulJuragan")</f>
        <v>@KibulJuragan</v>
      </c>
      <c r="C21420" s="8" t="s">
        <v>8703</v>
      </c>
      <c r="D21420" s="8">
        <v>0</v>
      </c>
      <c r="E21420" s="8">
        <v>0</v>
      </c>
      <c r="F21420" s="8">
        <v>1</v>
      </c>
    </row>
    <row r="21421" spans="1:6" ht="12.75">
      <c r="A21421" s="8">
        <v>43894.745648148149</v>
      </c>
      <c r="B21421" s="8" t="str">
        <f>HYPERLINK("https://twitter.com/bangka_urang","@bangka_urang")</f>
        <v>@bangka_urang</v>
      </c>
      <c r="C21421" s="8" t="s">
        <v>8115</v>
      </c>
      <c r="D21421" s="8">
        <v>183</v>
      </c>
      <c r="E21421" s="8">
        <v>0</v>
      </c>
      <c r="F21421" s="8">
        <v>437</v>
      </c>
    </row>
    <row r="21422" spans="1:6" ht="12.75">
      <c r="A21422" s="8">
        <v>43894.745347222226</v>
      </c>
      <c r="B21422" s="8" t="str">
        <f>HYPERLINK("https://twitter.com/ers_blue","@ers_blue")</f>
        <v>@ers_blue</v>
      </c>
      <c r="C21422" s="8" t="s">
        <v>7575</v>
      </c>
      <c r="D21422" s="8">
        <v>22</v>
      </c>
      <c r="E21422" s="8">
        <v>0</v>
      </c>
      <c r="F21422" s="8">
        <v>85</v>
      </c>
    </row>
    <row r="21423" spans="1:6" ht="12.75">
      <c r="A21423" s="8">
        <v>43894.745266203703</v>
      </c>
      <c r="B21423" s="8" t="str">
        <f>HYPERLINK("https://twitter.com/rofiqsetiawan","@rofiqsetiawan")</f>
        <v>@rofiqsetiawan</v>
      </c>
      <c r="C21423" s="8" t="s">
        <v>2199</v>
      </c>
      <c r="D21423" s="8">
        <v>9081</v>
      </c>
      <c r="E21423" s="8">
        <v>0</v>
      </c>
      <c r="F21423" s="8">
        <v>233</v>
      </c>
    </row>
    <row r="21424" spans="1:6" ht="12.75">
      <c r="A21424" s="8">
        <v>43894.744884259257</v>
      </c>
      <c r="B21424" s="8" t="str">
        <f>HYPERLINK("https://twitter.com/WagimanDeep__","@WagimanDeep__")</f>
        <v>@WagimanDeep__</v>
      </c>
      <c r="C21424" s="8" t="s">
        <v>8704</v>
      </c>
      <c r="D21424" s="8">
        <v>12</v>
      </c>
      <c r="E21424" s="8">
        <v>0</v>
      </c>
      <c r="F21424" s="8">
        <v>8577</v>
      </c>
    </row>
    <row r="21425" spans="1:6" ht="12.75">
      <c r="A21425" s="8">
        <v>43894.744675925926</v>
      </c>
      <c r="B21425" s="8" t="str">
        <f>HYPERLINK("https://twitter.com/AndreaAlbion","@AndreaAlbion")</f>
        <v>@AndreaAlbion</v>
      </c>
      <c r="C21425" s="8" t="s">
        <v>7575</v>
      </c>
      <c r="D21425" s="8">
        <v>22</v>
      </c>
      <c r="E21425" s="8">
        <v>0</v>
      </c>
      <c r="F21425" s="8">
        <v>343</v>
      </c>
    </row>
    <row r="21426" spans="1:6" ht="12.75">
      <c r="A21426" s="8">
        <v>43894.744502314818</v>
      </c>
      <c r="B21426" s="8" t="str">
        <f>HYPERLINK("https://twitter.com/blastgeek","@blastgeek")</f>
        <v>@blastgeek</v>
      </c>
      <c r="C21426" s="8" t="s">
        <v>8705</v>
      </c>
      <c r="D21426" s="8">
        <v>2</v>
      </c>
      <c r="E21426" s="8">
        <v>0</v>
      </c>
      <c r="F21426" s="8">
        <v>162</v>
      </c>
    </row>
    <row r="21427" spans="1:6" ht="12.75">
      <c r="A21427" s="8">
        <v>43894.744456018518</v>
      </c>
      <c r="B21427" s="8" t="str">
        <f>HYPERLINK("https://twitter.com/owengerrad88","@owengerrad88")</f>
        <v>@owengerrad88</v>
      </c>
      <c r="C21427" s="8" t="s">
        <v>8212</v>
      </c>
      <c r="D21427" s="8">
        <v>121</v>
      </c>
      <c r="E21427" s="8">
        <v>0</v>
      </c>
      <c r="F21427" s="8">
        <v>317</v>
      </c>
    </row>
    <row r="21428" spans="1:6" ht="12.75">
      <c r="A21428" s="8">
        <v>43894.74428240741</v>
      </c>
      <c r="B21428" s="8" t="str">
        <f>HYPERLINK("https://twitter.com/MarkoSket","@MarkoSket")</f>
        <v>@MarkoSket</v>
      </c>
      <c r="C21428" s="8" t="s">
        <v>7575</v>
      </c>
      <c r="D21428" s="8">
        <v>22</v>
      </c>
      <c r="E21428" s="8">
        <v>0</v>
      </c>
      <c r="F21428" s="8">
        <v>3516</v>
      </c>
    </row>
    <row r="21429" spans="1:6" ht="12.75">
      <c r="A21429" s="8">
        <v>43894.744270833333</v>
      </c>
      <c r="B21429" s="8" t="str">
        <f>HYPERLINK("https://twitter.com/bhre_wengker84","@bhre_wengker84")</f>
        <v>@bhre_wengker84</v>
      </c>
      <c r="C21429" s="8" t="s">
        <v>8706</v>
      </c>
      <c r="D21429" s="8">
        <v>12</v>
      </c>
      <c r="E21429" s="8">
        <v>18</v>
      </c>
      <c r="F21429" s="8">
        <v>5119</v>
      </c>
    </row>
    <row r="21430" spans="1:6" ht="12.75">
      <c r="A21430" s="8">
        <v>43894.743969907402</v>
      </c>
      <c r="B21430" s="8" t="str">
        <f>HYPERLINK("https://twitter.com/aiiu_eoo","@aiiu_eoo")</f>
        <v>@aiiu_eoo</v>
      </c>
      <c r="C21430" s="8" t="s">
        <v>8212</v>
      </c>
      <c r="D21430" s="8">
        <v>121</v>
      </c>
      <c r="E21430" s="8">
        <v>0</v>
      </c>
      <c r="F21430" s="8">
        <v>446</v>
      </c>
    </row>
    <row r="21431" spans="1:6" ht="12.75">
      <c r="A21431" s="8">
        <v>43894.743831018517</v>
      </c>
      <c r="B21431" s="8" t="str">
        <f>HYPERLINK("https://twitter.com/Metro_TV","@Metro_TV")</f>
        <v>@Metro_TV</v>
      </c>
      <c r="C21431" s="8" t="s">
        <v>8707</v>
      </c>
      <c r="D21431" s="8">
        <v>0</v>
      </c>
      <c r="E21431" s="8">
        <v>0</v>
      </c>
      <c r="F21431" s="8">
        <v>10516945</v>
      </c>
    </row>
    <row r="21432" spans="1:6" ht="12.75">
      <c r="A21432" s="8">
        <v>43894.743425925924</v>
      </c>
      <c r="B21432" s="8" t="str">
        <f>HYPERLINK("https://twitter.com/VIVAcoid","@VIVAcoid")</f>
        <v>@VIVAcoid</v>
      </c>
      <c r="C21432" s="8" t="s">
        <v>8705</v>
      </c>
      <c r="D21432" s="8">
        <v>2</v>
      </c>
      <c r="E21432" s="8">
        <v>0</v>
      </c>
      <c r="F21432" s="8">
        <v>4175000</v>
      </c>
    </row>
    <row r="21433" spans="1:6" ht="12.75">
      <c r="A21433" s="8">
        <v>43894.743379629625</v>
      </c>
      <c r="B21433" s="8" t="str">
        <f>HYPERLINK("https://twitter.com/aryacokronegoro","@aryacokronegoro")</f>
        <v>@aryacokronegoro</v>
      </c>
      <c r="C21433" s="8" t="s">
        <v>8708</v>
      </c>
      <c r="D21433" s="8">
        <v>0</v>
      </c>
      <c r="E21433" s="8">
        <v>0</v>
      </c>
      <c r="F21433" s="8">
        <v>437</v>
      </c>
    </row>
    <row r="21434" spans="1:6" ht="12.75">
      <c r="A21434" s="8">
        <v>43894.743148148147</v>
      </c>
      <c r="B21434" s="8" t="str">
        <f>HYPERLINK("https://twitter.com/joey_speed","@joey_speed")</f>
        <v>@joey_speed</v>
      </c>
      <c r="C21434" s="8" t="s">
        <v>7796</v>
      </c>
      <c r="D21434" s="8">
        <v>73</v>
      </c>
      <c r="E21434" s="8">
        <v>0</v>
      </c>
      <c r="F21434" s="8">
        <v>93</v>
      </c>
    </row>
    <row r="21435" spans="1:6" ht="12.75">
      <c r="A21435" s="8">
        <v>43894.743113425924</v>
      </c>
      <c r="B21435" s="8" t="str">
        <f>HYPERLINK("https://twitter.com/vivanewscom","@vivanewscom")</f>
        <v>@vivanewscom</v>
      </c>
      <c r="C21435" s="8" t="s">
        <v>8709</v>
      </c>
      <c r="D21435" s="8">
        <v>2</v>
      </c>
      <c r="E21435" s="8">
        <v>2</v>
      </c>
      <c r="F21435" s="8">
        <v>4691</v>
      </c>
    </row>
    <row r="21436" spans="1:6" ht="12.75">
      <c r="A21436" s="8">
        <v>43894.742962962962</v>
      </c>
      <c r="B21436" s="8" t="str">
        <f>HYPERLINK("https://twitter.com/AriefYoandy","@AriefYoandy")</f>
        <v>@AriefYoandy</v>
      </c>
      <c r="C21436" s="8" t="s">
        <v>8710</v>
      </c>
      <c r="D21436" s="8">
        <v>0</v>
      </c>
      <c r="E21436" s="8">
        <v>0</v>
      </c>
      <c r="F21436" s="8">
        <v>41</v>
      </c>
    </row>
    <row r="21437" spans="1:6" ht="12.75">
      <c r="A21437" s="8">
        <v>43894.742939814816</v>
      </c>
      <c r="B21437" s="8" t="str">
        <f>HYPERLINK("https://twitter.com/DaratCapung","@DaratCapung")</f>
        <v>@DaratCapung</v>
      </c>
      <c r="C21437" s="8" t="s">
        <v>8711</v>
      </c>
      <c r="D21437" s="8">
        <v>0</v>
      </c>
      <c r="E21437" s="8">
        <v>0</v>
      </c>
      <c r="F21437" s="8">
        <v>1</v>
      </c>
    </row>
    <row r="21438" spans="1:6" ht="12.75">
      <c r="A21438" s="8">
        <v>43894.74282407407</v>
      </c>
      <c r="B21438" s="8" t="str">
        <f>HYPERLINK("https://twitter.com/muktiadi1","@muktiadi1")</f>
        <v>@muktiadi1</v>
      </c>
      <c r="C21438" s="8" t="s">
        <v>8066</v>
      </c>
      <c r="D21438" s="8">
        <v>11</v>
      </c>
      <c r="E21438" s="8">
        <v>0</v>
      </c>
      <c r="F21438" s="8">
        <v>1257</v>
      </c>
    </row>
    <row r="21439" spans="1:6" ht="12.75">
      <c r="A21439" s="8">
        <v>43894.74282407407</v>
      </c>
      <c r="B21439" s="8" t="str">
        <f>HYPERLINK("https://twitter.com/Antitogog1","@Antitogog1")</f>
        <v>@Antitogog1</v>
      </c>
      <c r="C21439" s="8" t="s">
        <v>8323</v>
      </c>
      <c r="D21439" s="8">
        <v>31</v>
      </c>
      <c r="E21439" s="8">
        <v>0</v>
      </c>
      <c r="F21439" s="8">
        <v>1454</v>
      </c>
    </row>
    <row r="21440" spans="1:6" ht="12.75">
      <c r="A21440" s="8">
        <v>43894.742800925931</v>
      </c>
      <c r="B21440" s="8" t="str">
        <f>HYPERLINK("https://twitter.com/intermakcz","@intermakcz")</f>
        <v>@intermakcz</v>
      </c>
      <c r="C21440" s="8" t="s">
        <v>3285</v>
      </c>
      <c r="D21440" s="8">
        <v>28</v>
      </c>
      <c r="E21440" s="8">
        <v>0</v>
      </c>
      <c r="F21440" s="8">
        <v>1093</v>
      </c>
    </row>
    <row r="21441" spans="1:6" ht="12.75">
      <c r="A21441" s="8">
        <v>43894.742777777778</v>
      </c>
      <c r="B21441" s="8" t="str">
        <f>HYPERLINK("https://twitter.com/Sidin79901699","@Sidin79901699")</f>
        <v>@Sidin79901699</v>
      </c>
      <c r="C21441" s="8" t="s">
        <v>7516</v>
      </c>
      <c r="D21441" s="8">
        <v>46</v>
      </c>
      <c r="E21441" s="8">
        <v>0</v>
      </c>
      <c r="F21441" s="8">
        <v>2110</v>
      </c>
    </row>
    <row r="21442" spans="1:6" ht="12.75">
      <c r="A21442" s="8">
        <v>43894.7425462963</v>
      </c>
      <c r="B21442" s="8" t="str">
        <f>HYPERLINK("https://twitter.com/kusumovina","@kusumovina")</f>
        <v>@kusumovina</v>
      </c>
      <c r="C21442" s="8" t="s">
        <v>6710</v>
      </c>
      <c r="D21442" s="8">
        <v>351</v>
      </c>
      <c r="E21442" s="8">
        <v>0</v>
      </c>
      <c r="F21442" s="8">
        <v>165</v>
      </c>
    </row>
    <row r="21443" spans="1:6" ht="12.75">
      <c r="A21443" s="8">
        <v>43894.7425462963</v>
      </c>
      <c r="B21443" s="8" t="str">
        <f>HYPERLINK("https://twitter.com/as_Smr","@as_Smr")</f>
        <v>@as_Smr</v>
      </c>
      <c r="C21443" s="8" t="s">
        <v>8569</v>
      </c>
      <c r="D21443" s="8">
        <v>14</v>
      </c>
      <c r="E21443" s="8">
        <v>0</v>
      </c>
      <c r="F21443" s="8">
        <v>154</v>
      </c>
    </row>
    <row r="21444" spans="1:6" ht="12.75">
      <c r="A21444" s="8">
        <v>43894.742476851854</v>
      </c>
      <c r="B21444" s="8" t="str">
        <f>HYPERLINK("https://twitter.com/McFatimah","@McFatimah")</f>
        <v>@McFatimah</v>
      </c>
      <c r="C21444" s="8" t="s">
        <v>8133</v>
      </c>
      <c r="D21444" s="8">
        <v>11</v>
      </c>
      <c r="E21444" s="8">
        <v>0</v>
      </c>
      <c r="F21444" s="8">
        <v>1377</v>
      </c>
    </row>
    <row r="21445" spans="1:6" ht="12.75">
      <c r="A21445" s="8">
        <v>43894.742210648154</v>
      </c>
      <c r="B21445" s="8" t="str">
        <f>HYPERLINK("https://twitter.com/UnyuBack","@UnyuBack")</f>
        <v>@UnyuBack</v>
      </c>
      <c r="C21445" s="8" t="s">
        <v>3285</v>
      </c>
      <c r="D21445" s="8">
        <v>28</v>
      </c>
      <c r="E21445" s="8">
        <v>0</v>
      </c>
      <c r="F21445" s="8">
        <v>965</v>
      </c>
    </row>
    <row r="21446" spans="1:6" ht="12.75">
      <c r="A21446" s="8">
        <v>43894.742037037038</v>
      </c>
      <c r="B21446" s="8" t="str">
        <f>HYPERLINK("https://twitter.com/wicaksana29","@wicaksana29")</f>
        <v>@wicaksana29</v>
      </c>
      <c r="C21446" s="8" t="s">
        <v>8712</v>
      </c>
      <c r="D21446" s="8">
        <v>2</v>
      </c>
      <c r="E21446" s="8">
        <v>0</v>
      </c>
      <c r="F21446" s="8">
        <v>192</v>
      </c>
    </row>
    <row r="21447" spans="1:6" ht="12.75">
      <c r="A21447" s="8">
        <v>43894.742025462961</v>
      </c>
      <c r="B21447" s="8" t="str">
        <f>HYPERLINK("https://twitter.com/FiraniaAmanda__","@FiraniaAmanda__")</f>
        <v>@FiraniaAmanda__</v>
      </c>
      <c r="C21447" s="8" t="s">
        <v>6710</v>
      </c>
      <c r="D21447" s="8">
        <v>351</v>
      </c>
      <c r="E21447" s="8">
        <v>0</v>
      </c>
      <c r="F21447" s="8">
        <v>3177</v>
      </c>
    </row>
    <row r="21448" spans="1:6" ht="12.75">
      <c r="A21448" s="8">
        <v>43894.715069444443</v>
      </c>
      <c r="B21448" s="8" t="str">
        <f>HYPERLINK("https://twitter.com/Fn_Opel","@Fn_Opel")</f>
        <v>@Fn_Opel</v>
      </c>
      <c r="C21448" s="8" t="s">
        <v>6710</v>
      </c>
      <c r="D21448" s="8">
        <v>339</v>
      </c>
      <c r="E21448" s="8">
        <v>0</v>
      </c>
      <c r="F21448" s="8">
        <v>698</v>
      </c>
    </row>
    <row r="21449" spans="1:6" ht="12.75">
      <c r="A21449" s="8">
        <v>43894.71502314815</v>
      </c>
      <c r="B21449" s="8" t="str">
        <f>HYPERLINK("https://twitter.com/becak125cc","@becak125cc")</f>
        <v>@becak125cc</v>
      </c>
      <c r="C21449" s="8" t="s">
        <v>7969</v>
      </c>
      <c r="D21449" s="8">
        <v>31</v>
      </c>
      <c r="E21449" s="8">
        <v>0</v>
      </c>
      <c r="F21449" s="8">
        <v>550</v>
      </c>
    </row>
    <row r="21450" spans="1:6" ht="12.75">
      <c r="A21450" s="8">
        <v>43894.714849537035</v>
      </c>
      <c r="B21450" s="8" t="str">
        <f>HYPERLINK("https://twitter.com/wjpjp","@wjpjp")</f>
        <v>@wjpjp</v>
      </c>
      <c r="C21450" s="8" t="s">
        <v>6710</v>
      </c>
      <c r="D21450" s="8">
        <v>339</v>
      </c>
      <c r="E21450" s="8">
        <v>0</v>
      </c>
      <c r="F21450" s="8">
        <v>392</v>
      </c>
    </row>
    <row r="21451" spans="1:6" ht="12.75">
      <c r="A21451" s="8">
        <v>43894.714803240742</v>
      </c>
      <c r="B21451" s="8" t="str">
        <f>HYPERLINK("https://twitter.com/AgbasFatih","@AgbasFatih")</f>
        <v>@AgbasFatih</v>
      </c>
      <c r="C21451" s="8" t="s">
        <v>7575</v>
      </c>
      <c r="D21451" s="8">
        <v>9</v>
      </c>
      <c r="E21451" s="8">
        <v>0</v>
      </c>
      <c r="F21451" s="8">
        <v>12</v>
      </c>
    </row>
    <row r="21452" spans="1:6" ht="12.75">
      <c r="A21452" s="8">
        <v>43894.714421296296</v>
      </c>
      <c r="B21452" s="8" t="str">
        <f>HYPERLINK("https://twitter.com/ogielord","@ogielord")</f>
        <v>@ogielord</v>
      </c>
      <c r="C21452" s="8" t="s">
        <v>8360</v>
      </c>
      <c r="D21452" s="8">
        <v>17</v>
      </c>
      <c r="E21452" s="8">
        <v>0</v>
      </c>
      <c r="F21452" s="8">
        <v>1352</v>
      </c>
    </row>
    <row r="21453" spans="1:6" ht="12.75">
      <c r="A21453" s="8">
        <v>43894.71398148148</v>
      </c>
      <c r="B21453" s="8" t="str">
        <f>HYPERLINK("https://twitter.com/pramuktiga","@pramuktiga")</f>
        <v>@pramuktiga</v>
      </c>
      <c r="C21453" s="8" t="s">
        <v>8713</v>
      </c>
      <c r="D21453" s="8">
        <v>0</v>
      </c>
      <c r="E21453" s="8">
        <v>0</v>
      </c>
      <c r="F21453" s="8">
        <v>231</v>
      </c>
    </row>
    <row r="21454" spans="1:6" ht="12.75">
      <c r="A21454" s="8">
        <v>43894.713136574079</v>
      </c>
      <c r="B21454" s="8" t="str">
        <f>HYPERLINK("https://twitter.com/AlbertSolo2","@AlbertSolo2")</f>
        <v>@AlbertSolo2</v>
      </c>
      <c r="C21454" s="8" t="s">
        <v>8473</v>
      </c>
      <c r="D21454" s="8">
        <v>12</v>
      </c>
      <c r="E21454" s="8">
        <v>0</v>
      </c>
      <c r="F21454" s="8">
        <v>688</v>
      </c>
    </row>
    <row r="21455" spans="1:6" ht="12.75">
      <c r="A21455" s="8">
        <v>43894.712789351848</v>
      </c>
      <c r="B21455" s="8" t="str">
        <f>HYPERLINK("https://twitter.com/PJustitia7","@PJustitia7")</f>
        <v>@PJustitia7</v>
      </c>
      <c r="C21455" s="8" t="s">
        <v>8714</v>
      </c>
      <c r="D21455" s="8">
        <v>0</v>
      </c>
      <c r="E21455" s="8">
        <v>0</v>
      </c>
      <c r="F21455" s="8">
        <v>787</v>
      </c>
    </row>
    <row r="21456" spans="1:6" ht="12.75">
      <c r="A21456" s="8">
        <v>43894.712673611109</v>
      </c>
      <c r="B21456" s="8" t="str">
        <f>HYPERLINK("https://twitter.com/Daniel83758766","@Daniel83758766")</f>
        <v>@Daniel83758766</v>
      </c>
      <c r="C21456" s="8" t="s">
        <v>7244</v>
      </c>
      <c r="D21456" s="8">
        <v>12</v>
      </c>
      <c r="E21456" s="8">
        <v>0</v>
      </c>
      <c r="F21456" s="8">
        <v>2674</v>
      </c>
    </row>
    <row r="21457" spans="1:6" ht="12.75">
      <c r="A21457" s="8">
        <v>43894.712407407409</v>
      </c>
      <c r="B21457" s="8" t="str">
        <f>HYPERLINK("https://twitter.com/munierlicious","@munierlicious")</f>
        <v>@munierlicious</v>
      </c>
      <c r="C21457" s="8" t="s">
        <v>8411</v>
      </c>
      <c r="D21457" s="8">
        <v>7</v>
      </c>
      <c r="E21457" s="8">
        <v>0</v>
      </c>
      <c r="F21457" s="8">
        <v>1867</v>
      </c>
    </row>
    <row r="21458" spans="1:6" ht="12.75">
      <c r="A21458" s="8">
        <v>43894.712002314816</v>
      </c>
      <c r="B21458" s="8" t="str">
        <f>HYPERLINK("https://twitter.com/torelwisnu","@torelwisnu")</f>
        <v>@torelwisnu</v>
      </c>
      <c r="C21458" s="8" t="s">
        <v>8715</v>
      </c>
      <c r="D21458" s="8">
        <v>0</v>
      </c>
      <c r="E21458" s="8">
        <v>0</v>
      </c>
      <c r="F21458" s="8">
        <v>1358</v>
      </c>
    </row>
    <row r="21459" spans="1:6" ht="12.75">
      <c r="A21459" s="8">
        <v>43894.711597222224</v>
      </c>
      <c r="B21459" s="8" t="str">
        <f>HYPERLINK("https://twitter.com/damayasti","@damayasti")</f>
        <v>@damayasti</v>
      </c>
      <c r="C21459" s="8" t="s">
        <v>2199</v>
      </c>
      <c r="D21459" s="8">
        <v>9079</v>
      </c>
      <c r="E21459" s="8">
        <v>0</v>
      </c>
      <c r="F21459" s="8">
        <v>375</v>
      </c>
    </row>
    <row r="21460" spans="1:6" ht="12.75">
      <c r="A21460" s="8">
        <v>43894.71130787037</v>
      </c>
      <c r="B21460" s="8" t="str">
        <f>HYPERLINK("https://twitter.com/Semar_2","@Semar_2")</f>
        <v>@Semar_2</v>
      </c>
      <c r="C21460" s="8" t="s">
        <v>8473</v>
      </c>
      <c r="D21460" s="8">
        <v>12</v>
      </c>
      <c r="E21460" s="8">
        <v>0</v>
      </c>
      <c r="F21460" s="8">
        <v>212</v>
      </c>
    </row>
    <row r="21461" spans="1:6" ht="12.75">
      <c r="A21461" s="8">
        <v>43894.7112962963</v>
      </c>
      <c r="B21461" s="8" t="str">
        <f>HYPERLINK("https://twitter.com/JokoSut57812674","@JokoSut57812674")</f>
        <v>@JokoSut57812674</v>
      </c>
      <c r="C21461" s="8" t="s">
        <v>7101</v>
      </c>
      <c r="D21461" s="8">
        <v>23</v>
      </c>
      <c r="E21461" s="8">
        <v>0</v>
      </c>
      <c r="F21461" s="8">
        <v>149</v>
      </c>
    </row>
    <row r="21462" spans="1:6" ht="12.75">
      <c r="A21462" s="8">
        <v>43894.711168981477</v>
      </c>
      <c r="B21462" s="8" t="str">
        <f>HYPERLINK("https://twitter.com/Bravo_19PAS","@Bravo_19PAS")</f>
        <v>@Bravo_19PAS</v>
      </c>
      <c r="C21462" s="8" t="s">
        <v>8322</v>
      </c>
      <c r="D21462" s="8">
        <v>774</v>
      </c>
      <c r="E21462" s="8">
        <v>0</v>
      </c>
      <c r="F21462" s="8">
        <v>4132</v>
      </c>
    </row>
    <row r="21463" spans="1:6" ht="12.75">
      <c r="A21463" s="8">
        <v>43894.710833333331</v>
      </c>
      <c r="B21463" s="8" t="str">
        <f>HYPERLINK("https://twitter.com/sitabudhy","@sitabudhy")</f>
        <v>@sitabudhy</v>
      </c>
      <c r="C21463" s="8" t="s">
        <v>1970</v>
      </c>
      <c r="D21463" s="8">
        <v>1340</v>
      </c>
      <c r="E21463" s="8">
        <v>0</v>
      </c>
      <c r="F21463" s="8">
        <v>118</v>
      </c>
    </row>
    <row r="21464" spans="1:6" ht="12.75">
      <c r="A21464" s="8">
        <v>43894.710046296299</v>
      </c>
      <c r="B21464" s="8" t="str">
        <f>HYPERLINK("https://twitter.com/fullofshitt_exe","@fullofshitt_exe")</f>
        <v>@fullofshitt_exe</v>
      </c>
      <c r="C21464" s="8" t="s">
        <v>8716</v>
      </c>
      <c r="D21464" s="8">
        <v>0</v>
      </c>
      <c r="E21464" s="8">
        <v>0</v>
      </c>
      <c r="F21464" s="8">
        <v>76</v>
      </c>
    </row>
    <row r="21465" spans="1:6" ht="12.75">
      <c r="A21465" s="8">
        <v>43894.709988425922</v>
      </c>
      <c r="B21465" s="8" t="str">
        <f>HYPERLINK("https://twitter.com/ISIS_Balik_NO","@ISIS_Balik_NO")</f>
        <v>@ISIS_Balik_NO</v>
      </c>
      <c r="C21465" s="8" t="s">
        <v>8717</v>
      </c>
      <c r="D21465" s="8">
        <v>3</v>
      </c>
      <c r="E21465" s="8">
        <v>0</v>
      </c>
      <c r="F21465" s="8">
        <v>6107</v>
      </c>
    </row>
    <row r="21466" spans="1:6" ht="12.75">
      <c r="A21466" s="8">
        <v>43894.709953703699</v>
      </c>
      <c r="B21466" s="8" t="str">
        <f>HYPERLINK("https://twitter.com/zefry1974","@zefry1974")</f>
        <v>@zefry1974</v>
      </c>
      <c r="C21466" s="8" t="s">
        <v>3285</v>
      </c>
      <c r="D21466" s="8">
        <v>12</v>
      </c>
      <c r="E21466" s="8">
        <v>0</v>
      </c>
      <c r="F21466" s="8">
        <v>130</v>
      </c>
    </row>
    <row r="21467" spans="1:6" ht="12.75">
      <c r="A21467" s="8">
        <v>43894.709641203706</v>
      </c>
      <c r="B21467" s="8" t="str">
        <f>HYPERLINK("https://twitter.com/ISIS_Balik_NO","@ISIS_Balik_NO")</f>
        <v>@ISIS_Balik_NO</v>
      </c>
      <c r="C21467" s="8" t="s">
        <v>8718</v>
      </c>
      <c r="D21467" s="8">
        <v>0</v>
      </c>
      <c r="E21467" s="8">
        <v>0</v>
      </c>
      <c r="F21467" s="8">
        <v>6107</v>
      </c>
    </row>
    <row r="21468" spans="1:6" ht="12.75">
      <c r="A21468" s="8">
        <v>43894.70958333333</v>
      </c>
      <c r="B21468" s="8" t="str">
        <f>HYPERLINK("https://twitter.com/holmes_sigiro","@holmes_sigiro")</f>
        <v>@holmes_sigiro</v>
      </c>
      <c r="C21468" s="8" t="s">
        <v>3285</v>
      </c>
      <c r="D21468" s="8">
        <v>12</v>
      </c>
      <c r="E21468" s="8">
        <v>0</v>
      </c>
      <c r="F21468" s="8">
        <v>343</v>
      </c>
    </row>
    <row r="21469" spans="1:6" ht="12.75">
      <c r="A21469" s="8">
        <v>43894.709548611107</v>
      </c>
      <c r="B21469" s="8" t="str">
        <f>HYPERLINK("https://twitter.com/IinYanuarti","@IinYanuarti")</f>
        <v>@IinYanuarti</v>
      </c>
      <c r="C21469" s="8" t="s">
        <v>8078</v>
      </c>
      <c r="D21469" s="8">
        <v>30</v>
      </c>
      <c r="E21469" s="8">
        <v>0</v>
      </c>
      <c r="F21469" s="8">
        <v>59</v>
      </c>
    </row>
    <row r="21470" spans="1:6" ht="12.75">
      <c r="A21470" s="8">
        <v>43894.709467592591</v>
      </c>
      <c r="B21470" s="8" t="str">
        <f>HYPERLINK("https://twitter.com/angelmaximilan","@angelmaximilan")</f>
        <v>@angelmaximilan</v>
      </c>
      <c r="C21470" s="8" t="s">
        <v>8115</v>
      </c>
      <c r="D21470" s="8">
        <v>176</v>
      </c>
      <c r="E21470" s="8">
        <v>0</v>
      </c>
      <c r="F21470" s="8">
        <v>6484</v>
      </c>
    </row>
    <row r="21471" spans="1:6" ht="12.75">
      <c r="A21471" s="8">
        <v>43894.709456018521</v>
      </c>
      <c r="B21471" s="8" t="str">
        <f>HYPERLINK("https://twitter.com/SuharYa62226896","@SuharYa62226896")</f>
        <v>@SuharYa62226896</v>
      </c>
      <c r="C21471" s="8" t="s">
        <v>7969</v>
      </c>
      <c r="D21471" s="8">
        <v>31</v>
      </c>
      <c r="E21471" s="8">
        <v>0</v>
      </c>
      <c r="F21471" s="8">
        <v>701</v>
      </c>
    </row>
    <row r="21472" spans="1:6" ht="12.75">
      <c r="A21472" s="8">
        <v>43894.709398148145</v>
      </c>
      <c r="B21472" s="8" t="str">
        <f>HYPERLINK("https://twitter.com/ISIS_Balik_NO","@ISIS_Balik_NO")</f>
        <v>@ISIS_Balik_NO</v>
      </c>
      <c r="C21472" s="8" t="s">
        <v>8719</v>
      </c>
      <c r="D21472" s="8">
        <v>142</v>
      </c>
      <c r="E21472" s="8">
        <v>0</v>
      </c>
      <c r="F21472" s="8">
        <v>6107</v>
      </c>
    </row>
    <row r="21473" spans="1:6" ht="12.75">
      <c r="A21473" s="8">
        <v>43894.709386574075</v>
      </c>
      <c r="B21473" s="8" t="str">
        <f>HYPERLINK("https://twitter.com/denmas_ajah","@denmas_ajah")</f>
        <v>@denmas_ajah</v>
      </c>
      <c r="C21473" s="8" t="s">
        <v>7466</v>
      </c>
      <c r="D21473" s="8">
        <v>1</v>
      </c>
      <c r="E21473" s="8">
        <v>0</v>
      </c>
      <c r="F21473" s="8">
        <v>4788</v>
      </c>
    </row>
    <row r="21474" spans="1:6" ht="12.75">
      <c r="A21474" s="8">
        <v>43894.709340277783</v>
      </c>
      <c r="B21474" s="8" t="str">
        <f>HYPERLINK("https://twitter.com/torelwisnu","@torelwisnu")</f>
        <v>@torelwisnu</v>
      </c>
      <c r="C21474" s="8" t="s">
        <v>8720</v>
      </c>
      <c r="D21474" s="8">
        <v>0</v>
      </c>
      <c r="E21474" s="8">
        <v>0</v>
      </c>
      <c r="F21474" s="8">
        <v>1358</v>
      </c>
    </row>
    <row r="21475" spans="1:6" ht="12.75">
      <c r="A21475" s="8">
        <v>43894.709108796298</v>
      </c>
      <c r="B21475" s="8" t="str">
        <f>HYPERLINK("https://twitter.com/saimun2509","@saimun2509")</f>
        <v>@saimun2509</v>
      </c>
      <c r="C21475" s="8" t="s">
        <v>8133</v>
      </c>
      <c r="D21475" s="8">
        <v>7</v>
      </c>
      <c r="E21475" s="8">
        <v>0</v>
      </c>
      <c r="F21475" s="8">
        <v>123</v>
      </c>
    </row>
    <row r="21476" spans="1:6" ht="12.75">
      <c r="A21476" s="8">
        <v>43894.709097222221</v>
      </c>
      <c r="B21476" s="8" t="str">
        <f>HYPERLINK("https://twitter.com/dehutabarat","@dehutabarat")</f>
        <v>@dehutabarat</v>
      </c>
      <c r="C21476" s="8" t="s">
        <v>8721</v>
      </c>
      <c r="D21476" s="8">
        <v>0</v>
      </c>
      <c r="E21476" s="8">
        <v>0</v>
      </c>
      <c r="F21476" s="8">
        <v>46</v>
      </c>
    </row>
    <row r="21477" spans="1:6" ht="12.75">
      <c r="A21477" s="8">
        <v>43894.709050925929</v>
      </c>
      <c r="B21477" s="8" t="str">
        <f>HYPERLINK("https://twitter.com/bejo_kopral","@bejo_kopral")</f>
        <v>@bejo_kopral</v>
      </c>
      <c r="C21477" s="8" t="s">
        <v>3285</v>
      </c>
      <c r="D21477" s="8">
        <v>12</v>
      </c>
      <c r="E21477" s="8">
        <v>0</v>
      </c>
      <c r="F21477" s="8">
        <v>95</v>
      </c>
    </row>
    <row r="21478" spans="1:6" ht="12.75">
      <c r="A21478" s="8">
        <v>43894.708923611106</v>
      </c>
      <c r="B21478" s="8" t="str">
        <f>HYPERLINK("https://twitter.com/ed_parmadi","@ed_parmadi")</f>
        <v>@ed_parmadi</v>
      </c>
      <c r="C21478" s="8" t="s">
        <v>7969</v>
      </c>
      <c r="D21478" s="8">
        <v>31</v>
      </c>
      <c r="E21478" s="8">
        <v>0</v>
      </c>
      <c r="F21478" s="8">
        <v>93</v>
      </c>
    </row>
    <row r="21479" spans="1:6" ht="12.75">
      <c r="A21479" s="8">
        <v>43894.708854166667</v>
      </c>
      <c r="B21479" s="8" t="str">
        <f>HYPERLINK("https://twitter.com/gunoto7","@gunoto7")</f>
        <v>@gunoto7</v>
      </c>
      <c r="C21479" s="8" t="s">
        <v>8133</v>
      </c>
      <c r="D21479" s="8">
        <v>7</v>
      </c>
      <c r="E21479" s="8">
        <v>0</v>
      </c>
      <c r="F21479" s="8">
        <v>2769</v>
      </c>
    </row>
    <row r="21480" spans="1:6" ht="12.75">
      <c r="A21480" s="8">
        <v>43894.708796296298</v>
      </c>
      <c r="B21480" s="8" t="str">
        <f>HYPERLINK("https://twitter.com/ed_parmadi","@ed_parmadi")</f>
        <v>@ed_parmadi</v>
      </c>
      <c r="C21480" s="8" t="s">
        <v>7700</v>
      </c>
      <c r="D21480" s="8">
        <v>33</v>
      </c>
      <c r="E21480" s="8">
        <v>0</v>
      </c>
      <c r="F21480" s="8">
        <v>93</v>
      </c>
    </row>
    <row r="21481" spans="1:6" ht="12.75">
      <c r="A21481" s="8">
        <v>43894.708657407406</v>
      </c>
      <c r="B21481" s="8" t="str">
        <f>HYPERLINK("https://twitter.com/buruhmigran","@buruhmigran")</f>
        <v>@buruhmigran</v>
      </c>
      <c r="C21481" s="8" t="s">
        <v>8722</v>
      </c>
      <c r="D21481" s="8">
        <v>0</v>
      </c>
      <c r="E21481" s="8">
        <v>0</v>
      </c>
      <c r="F21481" s="8">
        <v>174</v>
      </c>
    </row>
    <row r="21482" spans="1:6" ht="12.75">
      <c r="A21482" s="8">
        <v>43894.708657407406</v>
      </c>
      <c r="B21482" s="8" t="str">
        <f>HYPERLINK("https://twitter.com/JajangRidwanK","@JajangRidwanK")</f>
        <v>@JajangRidwanK</v>
      </c>
      <c r="C21482" s="8" t="s">
        <v>8115</v>
      </c>
      <c r="D21482" s="8">
        <v>176</v>
      </c>
      <c r="E21482" s="8">
        <v>0</v>
      </c>
      <c r="F21482" s="8">
        <v>147</v>
      </c>
    </row>
    <row r="21483" spans="1:6" ht="12.75">
      <c r="A21483" s="8">
        <v>43894.708634259259</v>
      </c>
      <c r="B21483" s="8" t="str">
        <f>HYPERLINK("https://twitter.com/cak_mid","@cak_mid")</f>
        <v>@cak_mid</v>
      </c>
      <c r="C21483" s="8" t="s">
        <v>8723</v>
      </c>
      <c r="D21483" s="8">
        <v>0</v>
      </c>
      <c r="E21483" s="8">
        <v>0</v>
      </c>
      <c r="F21483" s="8">
        <v>327</v>
      </c>
    </row>
    <row r="21484" spans="1:6" ht="12.75">
      <c r="A21484" s="8">
        <v>43894.708333333328</v>
      </c>
      <c r="B21484" s="8" t="str">
        <f>HYPERLINK("https://twitter.com/IndonesiaBaikId","@IndonesiaBaikId")</f>
        <v>@IndonesiaBaikId</v>
      </c>
      <c r="C21484" s="8" t="s">
        <v>8724</v>
      </c>
      <c r="D21484" s="8">
        <v>0</v>
      </c>
      <c r="E21484" s="8">
        <v>2</v>
      </c>
      <c r="F21484" s="8">
        <v>13295</v>
      </c>
    </row>
    <row r="21485" spans="1:6" ht="12.75">
      <c r="A21485" s="8">
        <v>43894.708067129628</v>
      </c>
      <c r="B21485" s="8" t="str">
        <f>HYPERLINK("https://twitter.com/napsiati","@napsiati")</f>
        <v>@napsiati</v>
      </c>
      <c r="C21485" s="8" t="s">
        <v>8115</v>
      </c>
      <c r="D21485" s="8">
        <v>176</v>
      </c>
      <c r="E21485" s="8">
        <v>0</v>
      </c>
      <c r="F21485" s="8">
        <v>3160</v>
      </c>
    </row>
    <row r="21486" spans="1:6" ht="12.75">
      <c r="A21486" s="8">
        <v>43894.708020833335</v>
      </c>
      <c r="B21486" s="8" t="str">
        <f>HYPERLINK("https://twitter.com/jeprince97","@jeprince97")</f>
        <v>@jeprince97</v>
      </c>
      <c r="C21486" s="8" t="s">
        <v>8725</v>
      </c>
      <c r="D21486" s="8">
        <v>0</v>
      </c>
      <c r="E21486" s="8">
        <v>0</v>
      </c>
      <c r="F21486" s="8">
        <v>8</v>
      </c>
    </row>
    <row r="21487" spans="1:6" ht="12.75">
      <c r="A21487" s="8">
        <v>43894.707789351851</v>
      </c>
      <c r="B21487" s="8" t="str">
        <f>HYPERLINK("https://twitter.com/alibantani","@alibantani")</f>
        <v>@alibantani</v>
      </c>
      <c r="C21487" s="8" t="s">
        <v>7969</v>
      </c>
      <c r="D21487" s="8">
        <v>31</v>
      </c>
      <c r="E21487" s="8">
        <v>0</v>
      </c>
      <c r="F21487" s="8">
        <v>2025</v>
      </c>
    </row>
    <row r="21488" spans="1:6" ht="12.75">
      <c r="A21488" s="8">
        <v>43894.707696759258</v>
      </c>
      <c r="B21488" s="8" t="str">
        <f>HYPERLINK("https://twitter.com/ronidepari88","@ronidepari88")</f>
        <v>@ronidepari88</v>
      </c>
      <c r="C21488" s="8" t="s">
        <v>8726</v>
      </c>
      <c r="D21488" s="8">
        <v>160</v>
      </c>
      <c r="E21488" s="8">
        <v>0</v>
      </c>
      <c r="F21488" s="8">
        <v>927</v>
      </c>
    </row>
    <row r="21489" spans="1:6" ht="12.75">
      <c r="A21489" s="8">
        <v>43894.707662037035</v>
      </c>
      <c r="B21489" s="8" t="str">
        <f>HYPERLINK("https://twitter.com/AzaLeaChenintya","@AzaLeaChenintya")</f>
        <v>@AzaLeaChenintya</v>
      </c>
      <c r="C21489" s="8" t="s">
        <v>1427</v>
      </c>
      <c r="D21489" s="8">
        <v>1033</v>
      </c>
      <c r="E21489" s="8">
        <v>0</v>
      </c>
      <c r="F21489" s="8">
        <v>136</v>
      </c>
    </row>
    <row r="21490" spans="1:6" ht="12.75">
      <c r="A21490" s="8">
        <v>43894.707615740743</v>
      </c>
      <c r="B21490" s="8" t="str">
        <f>HYPERLINK("https://twitter.com/ronidepari88","@ronidepari88")</f>
        <v>@ronidepari88</v>
      </c>
      <c r="C21490" s="8" t="s">
        <v>8727</v>
      </c>
      <c r="D21490" s="8">
        <v>19</v>
      </c>
      <c r="E21490" s="8">
        <v>0</v>
      </c>
      <c r="F21490" s="8">
        <v>927</v>
      </c>
    </row>
    <row r="21491" spans="1:6" ht="12.75">
      <c r="A21491" s="8">
        <v>43894.707233796296</v>
      </c>
      <c r="B21491" s="8" t="str">
        <f>HYPERLINK("https://twitter.com/banuaposttv","@banuaposttv")</f>
        <v>@banuaposttv</v>
      </c>
      <c r="C21491" s="8" t="s">
        <v>8728</v>
      </c>
      <c r="D21491" s="8">
        <v>0</v>
      </c>
      <c r="E21491" s="8">
        <v>0</v>
      </c>
      <c r="F21491" s="8">
        <v>9</v>
      </c>
    </row>
    <row r="21492" spans="1:6" ht="12.75">
      <c r="A21492" s="8">
        <v>43894.707060185188</v>
      </c>
      <c r="B21492" s="8" t="str">
        <f>HYPERLINK("https://twitter.com/ganjarpranowo","@ganjarpranowo")</f>
        <v>@ganjarpranowo</v>
      </c>
      <c r="C21492" s="8" t="s">
        <v>7700</v>
      </c>
      <c r="D21492" s="8">
        <v>33</v>
      </c>
      <c r="E21492" s="8">
        <v>0</v>
      </c>
      <c r="F21492" s="8">
        <v>1408342</v>
      </c>
    </row>
    <row r="21493" spans="1:6" ht="12.75">
      <c r="A21493" s="8">
        <v>43894.707013888888</v>
      </c>
      <c r="B21493" s="8" t="str">
        <f>HYPERLINK("https://twitter.com/ZheeOmega","@ZheeOmega")</f>
        <v>@ZheeOmega</v>
      </c>
      <c r="C21493" s="8" t="s">
        <v>3285</v>
      </c>
      <c r="D21493" s="8">
        <v>12</v>
      </c>
      <c r="E21493" s="8">
        <v>0</v>
      </c>
      <c r="F21493" s="8">
        <v>17740</v>
      </c>
    </row>
    <row r="21494" spans="1:6" ht="12.75">
      <c r="A21494" s="8">
        <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HYPERLINK("https://twitter.com/Lukman_HARP","@Lukman_HARP")</f>
        <v>@Lukman_HARP</v>
      </c>
      <c r="C21495" s="8" t="s">
        <v>8730</v>
      </c>
      <c r="D21495" s="8">
        <v>1</v>
      </c>
      <c r="E21495" s="8">
        <v>0</v>
      </c>
      <c r="F21495" s="8">
        <v>1072</v>
      </c>
    </row>
    <row r="21496" spans="1:6" ht="12.75">
      <c r="A21496" s="8">
        <v>43894.706134259264</v>
      </c>
      <c r="B21496" s="8" t="str">
        <f>HYPERLINK("https://twitter.com/JKDaulay","@JKDaulay")</f>
        <v>@JKDaulay</v>
      </c>
      <c r="C21496" s="8" t="s">
        <v>8115</v>
      </c>
      <c r="D21496" s="8">
        <v>176</v>
      </c>
      <c r="E21496" s="8">
        <v>0</v>
      </c>
      <c r="F21496" s="8">
        <v>2825</v>
      </c>
    </row>
    <row r="21497" spans="1:6" ht="12.75">
      <c r="A21497" s="8">
        <v>43894.705983796295</v>
      </c>
      <c r="B21497" s="8" t="str">
        <f>HYPERLINK("https://twitter.com/jojo_botak","@jojo_botak")</f>
        <v>@jojo_botak</v>
      </c>
      <c r="C21497" s="8" t="s">
        <v>8731</v>
      </c>
      <c r="D21497" s="8">
        <v>1</v>
      </c>
      <c r="E21497" s="8">
        <v>1</v>
      </c>
      <c r="F21497" s="8">
        <v>1437</v>
      </c>
    </row>
    <row r="21498" spans="1:6" ht="12.75">
      <c r="A21498" s="8">
        <v>43894.705729166672</v>
      </c>
      <c r="B21498" s="8" t="str">
        <f>HYPERLINK("https://twitter.com/PaulusAgung8","@PaulusAgung8")</f>
        <v>@PaulusAgung8</v>
      </c>
      <c r="C21498" s="8" t="s">
        <v>8115</v>
      </c>
      <c r="D21498" s="8">
        <v>176</v>
      </c>
      <c r="E21498" s="8">
        <v>0</v>
      </c>
      <c r="F21498" s="8">
        <v>80</v>
      </c>
    </row>
    <row r="21499" spans="1:6" ht="12.75">
      <c r="A21499" s="8">
        <v>43894.705439814818</v>
      </c>
      <c r="B21499" s="8" t="str">
        <f>HYPERLINK("https://twitter.com/alibaagil93","@alibaagil93")</f>
        <v>@alibaagil93</v>
      </c>
      <c r="C21499" s="8" t="s">
        <v>1970</v>
      </c>
      <c r="D21499" s="8">
        <v>1340</v>
      </c>
      <c r="E21499" s="8">
        <v>0</v>
      </c>
      <c r="F21499" s="8">
        <v>1077</v>
      </c>
    </row>
    <row r="21500" spans="1:6" ht="12.75">
      <c r="A21500" s="8">
        <v>43894.705277777779</v>
      </c>
      <c r="B21500" s="8" t="str">
        <f>HYPERLINK("https://twitter.com/fullofshitt_exe","@fullofshitt_exe")</f>
        <v>@fullofshitt_exe</v>
      </c>
      <c r="C21500" s="8" t="s">
        <v>8732</v>
      </c>
      <c r="D21500" s="8">
        <v>0</v>
      </c>
      <c r="E21500" s="8">
        <v>0</v>
      </c>
      <c r="F21500" s="8">
        <v>76</v>
      </c>
    </row>
    <row r="21501" spans="1:6" ht="12.75">
      <c r="A21501" s="8">
        <v>43894.705196759256</v>
      </c>
      <c r="B21501" s="8" t="str">
        <f>HYPERLINK("https://twitter.com/qzae200","@qzae200")</f>
        <v>@qzae200</v>
      </c>
      <c r="C21501" s="8" t="s">
        <v>8115</v>
      </c>
      <c r="D21501" s="8">
        <v>176</v>
      </c>
      <c r="E21501" s="8">
        <v>0</v>
      </c>
      <c r="F21501" s="8">
        <v>132</v>
      </c>
    </row>
    <row r="21502" spans="1:6" ht="12.75">
      <c r="A21502" s="8">
        <v>43894.704675925925</v>
      </c>
      <c r="B21502" s="8" t="str">
        <f>HYPERLINK("https://twitter.com/canthingku","@canthingku")</f>
        <v>@canthingku</v>
      </c>
      <c r="C21502" s="8" t="s">
        <v>7194</v>
      </c>
      <c r="D21502" s="8">
        <v>13</v>
      </c>
      <c r="E21502" s="8">
        <v>0</v>
      </c>
      <c r="F21502" s="8">
        <v>1080</v>
      </c>
    </row>
    <row r="21503" spans="1:6" ht="12.75">
      <c r="A21503" s="8">
        <v>43894.704537037032</v>
      </c>
      <c r="B21503" s="8" t="str">
        <f>HYPERLINK("https://twitter.com/JKDaulay","@JKDaulay")</f>
        <v>@JKDaulay</v>
      </c>
      <c r="C21503" s="8" t="s">
        <v>8194</v>
      </c>
      <c r="D21503" s="8">
        <v>60</v>
      </c>
      <c r="E21503" s="8">
        <v>0</v>
      </c>
      <c r="F21503" s="8">
        <v>2825</v>
      </c>
    </row>
    <row r="21504" spans="1:6" ht="12.75">
      <c r="A21504" s="8">
        <v>43894.704351851848</v>
      </c>
      <c r="B21504" s="8" t="str">
        <f>HYPERLINK("https://twitter.com/fiolex4","@fiolex4")</f>
        <v>@fiolex4</v>
      </c>
      <c r="C21504" s="8" t="s">
        <v>8733</v>
      </c>
      <c r="D21504" s="8">
        <v>0</v>
      </c>
      <c r="E21504" s="8">
        <v>0</v>
      </c>
      <c r="F21504" s="8">
        <v>4</v>
      </c>
    </row>
    <row r="21505" spans="1:6" ht="12.75">
      <c r="A21505" s="8">
        <v>43894.704305555555</v>
      </c>
      <c r="B21505" s="8" t="str">
        <f>HYPERLINK("https://twitter.com/ImanezStovia","@ImanezStovia")</f>
        <v>@ImanezStovia</v>
      </c>
      <c r="C21505" s="8" t="s">
        <v>8734</v>
      </c>
      <c r="D21505" s="8">
        <v>3</v>
      </c>
      <c r="E21505" s="8">
        <v>0</v>
      </c>
      <c r="F21505" s="8">
        <v>1030</v>
      </c>
    </row>
    <row r="21506" spans="1:6" ht="12.75">
      <c r="A21506" s="8">
        <v>43894.704282407409</v>
      </c>
      <c r="B21506" s="8" t="str">
        <f>HYPERLINK("https://twitter.com/edwinrockoholic","@edwinrockoholic")</f>
        <v>@edwinrockoholic</v>
      </c>
      <c r="C21506" s="8" t="s">
        <v>7969</v>
      </c>
      <c r="D21506" s="8">
        <v>31</v>
      </c>
      <c r="E21506" s="8">
        <v>0</v>
      </c>
      <c r="F21506" s="8">
        <v>65</v>
      </c>
    </row>
    <row r="21507" spans="1:6" ht="12.75">
      <c r="A21507" s="8">
        <v>43894.704155092593</v>
      </c>
      <c r="B21507" s="8" t="str">
        <f>HYPERLINK("https://twitter.com/bucinseungyul57","@bucinseungyul57")</f>
        <v>@bucinseungyul57</v>
      </c>
      <c r="C21507" s="8" t="s">
        <v>8735</v>
      </c>
      <c r="D21507" s="8">
        <v>3</v>
      </c>
      <c r="E21507" s="8">
        <v>0</v>
      </c>
      <c r="F21507" s="8">
        <v>110</v>
      </c>
    </row>
    <row r="21508" spans="1:6" ht="12.75">
      <c r="A21508" s="8">
        <v>43894.704050925924</v>
      </c>
      <c r="B21508" s="8" t="str">
        <f>HYPERLINK("https://twitter.com/Darmalik3","@Darmalik3")</f>
        <v>@Darmalik3</v>
      </c>
      <c r="C21508" s="8" t="s">
        <v>8133</v>
      </c>
      <c r="D21508" s="8">
        <v>7</v>
      </c>
      <c r="E21508" s="8">
        <v>0</v>
      </c>
      <c r="F21508" s="8">
        <v>1731</v>
      </c>
    </row>
    <row r="21509" spans="1:6" ht="12.75">
      <c r="A21509" s="8">
        <v>43894.702939814815</v>
      </c>
      <c r="B21509" s="8" t="str">
        <f>HYPERLINK("https://twitter.com/putriiiiieeeee","@putriiiiieeeee")</f>
        <v>@putriiiiieeeee</v>
      </c>
      <c r="C21509" s="8" t="s">
        <v>3285</v>
      </c>
      <c r="D21509" s="8">
        <v>12</v>
      </c>
      <c r="E21509" s="8">
        <v>0</v>
      </c>
      <c r="F21509" s="8">
        <v>91</v>
      </c>
    </row>
    <row r="21510" spans="1:6" ht="12.75">
      <c r="A21510" s="8">
        <v>43894.702708333338</v>
      </c>
      <c r="B21510" s="8" t="str">
        <f>HYPERLINK("https://twitter.com/TurnBackWahabi","@TurnBackWahabi")</f>
        <v>@TurnBackWahabi</v>
      </c>
      <c r="C21510" s="8" t="s">
        <v>8569</v>
      </c>
      <c r="D21510" s="8">
        <v>11</v>
      </c>
      <c r="E21510" s="8">
        <v>0</v>
      </c>
      <c r="F21510" s="8">
        <v>390</v>
      </c>
    </row>
    <row r="21511" spans="1:6" ht="12.75">
      <c r="A21511" s="8">
        <v>43894.702662037038</v>
      </c>
      <c r="B21511" s="8" t="str">
        <f>HYPERLINK("https://twitter.com/Dhendra64","@Dhendra64")</f>
        <v>@Dhendra64</v>
      </c>
      <c r="C21511" s="8" t="s">
        <v>3285</v>
      </c>
      <c r="D21511" s="8">
        <v>12</v>
      </c>
      <c r="E21511" s="8">
        <v>0</v>
      </c>
      <c r="F21511" s="8">
        <v>76</v>
      </c>
    </row>
    <row r="21512" spans="1:6" ht="12.75">
      <c r="A21512" s="8">
        <v>43894.702581018515</v>
      </c>
      <c r="B21512" s="8" t="str">
        <f>HYPERLINK("https://twitter.com/MoAlimAnsari1","@MoAlimAnsari1")</f>
        <v>@MoAlimAnsari1</v>
      </c>
      <c r="C21512" s="8" t="s">
        <v>8736</v>
      </c>
      <c r="D21512" s="8">
        <v>0</v>
      </c>
      <c r="E21512" s="8">
        <v>0</v>
      </c>
      <c r="F21512" s="8">
        <v>8</v>
      </c>
    </row>
    <row r="21513" spans="1:6" ht="12.75">
      <c r="A21513" s="8">
        <v>43894.702361111107</v>
      </c>
      <c r="B21513" s="8" t="str">
        <f>HYPERLINK("https://twitter.com/CS_Ramdhani","@CS_Ramdhani")</f>
        <v>@CS_Ramdhani</v>
      </c>
      <c r="C21513" s="8" t="s">
        <v>8115</v>
      </c>
      <c r="D21513" s="8">
        <v>176</v>
      </c>
      <c r="E21513" s="8">
        <v>0</v>
      </c>
      <c r="F21513" s="8">
        <v>363</v>
      </c>
    </row>
    <row r="21514" spans="1:6" ht="12.75">
      <c r="A21514" s="8">
        <v>43894.70212962963</v>
      </c>
      <c r="B21514" s="8" t="str">
        <f>HYPERLINK("https://twitter.com/kondekturbus_","@kondekturbus_")</f>
        <v>@kondekturbus_</v>
      </c>
      <c r="C21514" s="8" t="s">
        <v>3285</v>
      </c>
      <c r="D21514" s="8">
        <v>12</v>
      </c>
      <c r="E21514" s="8">
        <v>0</v>
      </c>
      <c r="F21514" s="8">
        <v>14354</v>
      </c>
    </row>
    <row r="21515" spans="1:6" ht="12.75">
      <c r="A21515" s="8">
        <v>43894.701817129629</v>
      </c>
      <c r="B21515" s="8" t="str">
        <f>HYPERLINK("https://twitter.com/ronidepari88","@ronidepari88")</f>
        <v>@ronidepari88</v>
      </c>
      <c r="C21515" s="8" t="s">
        <v>8737</v>
      </c>
      <c r="D21515" s="8">
        <v>1198</v>
      </c>
      <c r="E21515" s="8">
        <v>0</v>
      </c>
      <c r="F21515" s="8">
        <v>927</v>
      </c>
    </row>
    <row r="21516" spans="1:6" ht="12.75">
      <c r="A21516" s="8">
        <v>43894.701736111107</v>
      </c>
      <c r="B21516" s="8" t="str">
        <f>HYPERLINK("https://twitter.com/RiuUtomoRizki","@RiuUtomoRizki")</f>
        <v>@RiuUtomoRizki</v>
      </c>
      <c r="C21516" s="8" t="s">
        <v>3285</v>
      </c>
      <c r="D21516" s="8">
        <v>12</v>
      </c>
      <c r="E21516" s="8">
        <v>0</v>
      </c>
      <c r="F21516" s="8">
        <v>10409</v>
      </c>
    </row>
    <row r="21517" spans="1:6" ht="12.75">
      <c r="A21517" s="8">
        <v>43894.701655092591</v>
      </c>
      <c r="B21517" s="8" t="str">
        <f>HYPERLINK("https://twitter.com/deeAdiwijaya999","@deeAdiwijaya999")</f>
        <v>@deeAdiwijaya999</v>
      </c>
      <c r="C21517" s="8" t="s">
        <v>3285</v>
      </c>
      <c r="D21517" s="8">
        <v>12</v>
      </c>
      <c r="E21517" s="8">
        <v>0</v>
      </c>
      <c r="F21517" s="8">
        <v>952</v>
      </c>
    </row>
    <row r="21518" spans="1:6" ht="12.75">
      <c r="A21518" s="8">
        <v>43894.701192129629</v>
      </c>
      <c r="B21518" s="8" t="str">
        <f>HYPERLINK("https://twitter.com/nindaagstr","@nindaagstr")</f>
        <v>@nindaagstr</v>
      </c>
      <c r="C21518" s="8" t="s">
        <v>8738</v>
      </c>
      <c r="D21518" s="8">
        <v>24</v>
      </c>
      <c r="E21518" s="8">
        <v>0</v>
      </c>
      <c r="F21518" s="8">
        <v>42</v>
      </c>
    </row>
    <row r="21519" spans="1:6" ht="12.75">
      <c r="A21519" s="8">
        <v>43894.70113425926</v>
      </c>
      <c r="B21519" s="8" t="str">
        <f>HYPERLINK("https://twitter.com/vachrie313","@vachrie313")</f>
        <v>@vachrie313</v>
      </c>
      <c r="C21519" s="8" t="s">
        <v>6630</v>
      </c>
      <c r="D21519" s="8">
        <v>19</v>
      </c>
      <c r="E21519" s="8">
        <v>0</v>
      </c>
      <c r="F21519" s="8">
        <v>141</v>
      </c>
    </row>
    <row r="21520" spans="1:6" ht="12.75">
      <c r="A21520" s="8">
        <v>43894.701099537036</v>
      </c>
      <c r="B21520" s="8" t="str">
        <f>HYPERLINK("https://twitter.com/akujugatu","@akujugatu")</f>
        <v>@akujugatu</v>
      </c>
      <c r="C21520" s="8" t="s">
        <v>6710</v>
      </c>
      <c r="D21520" s="8">
        <v>339</v>
      </c>
      <c r="E21520" s="8">
        <v>0</v>
      </c>
      <c r="F21520" s="8">
        <v>14</v>
      </c>
    </row>
    <row r="21521" spans="1:6" ht="12.75">
      <c r="A21521" s="8">
        <v>43894.700567129628</v>
      </c>
      <c r="B21521" s="8" t="str">
        <f>HYPERLINK("https://twitter.com/LinaMufidah4","@LinaMufidah4")</f>
        <v>@LinaMufidah4</v>
      </c>
      <c r="C21521" s="8" t="s">
        <v>6222</v>
      </c>
      <c r="D21521" s="8">
        <v>8</v>
      </c>
      <c r="E21521" s="8">
        <v>0</v>
      </c>
      <c r="F21521" s="8">
        <v>1135</v>
      </c>
    </row>
    <row r="21522" spans="1:6" ht="12.75">
      <c r="A21522" s="8">
        <v>43894.700509259259</v>
      </c>
      <c r="B21522" s="8" t="str">
        <f>HYPERLINK("https://twitter.com/FarelmaxL","@FarelmaxL")</f>
        <v>@FarelmaxL</v>
      </c>
      <c r="C21522" s="8" t="s">
        <v>3285</v>
      </c>
      <c r="D21522" s="8">
        <v>12</v>
      </c>
      <c r="E21522" s="8">
        <v>0</v>
      </c>
      <c r="F21522" s="8">
        <v>1410</v>
      </c>
    </row>
    <row r="21523" spans="1:6" ht="12.75">
      <c r="A21523" s="8">
        <v>43894.700439814813</v>
      </c>
      <c r="B21523" s="8" t="str">
        <f>HYPERLINK("https://twitter.com/liena_thantiekk","@liena_thantiekk")</f>
        <v>@liena_thantiekk</v>
      </c>
      <c r="C21523" s="8" t="s">
        <v>8739</v>
      </c>
      <c r="D21523" s="8">
        <v>0</v>
      </c>
      <c r="E21523" s="8">
        <v>1</v>
      </c>
      <c r="F21523" s="8">
        <v>1586</v>
      </c>
    </row>
    <row r="21524" spans="1:6" ht="12.75">
      <c r="A21524" s="8">
        <v>43894.700231481482</v>
      </c>
      <c r="B21524" s="8" t="str">
        <f>HYPERLINK("https://twitter.com/udapilliang","@udapilliang")</f>
        <v>@udapilliang</v>
      </c>
      <c r="C21524" s="8" t="s">
        <v>8569</v>
      </c>
      <c r="D21524" s="8">
        <v>11</v>
      </c>
      <c r="E21524" s="8">
        <v>0</v>
      </c>
      <c r="F21524" s="8">
        <v>553</v>
      </c>
    </row>
    <row r="21525" spans="1:6" ht="12.75">
      <c r="A21525" s="8">
        <v>43894.700023148151</v>
      </c>
      <c r="B21525" s="8" t="str">
        <f>HYPERLINK("https://twitter.com/ri2atanjung","@ri2atanjung")</f>
        <v>@ri2atanjung</v>
      </c>
      <c r="C21525" s="8" t="s">
        <v>3285</v>
      </c>
      <c r="D21525" s="8">
        <v>12</v>
      </c>
      <c r="E21525" s="8">
        <v>0</v>
      </c>
      <c r="F21525" s="8">
        <v>2475</v>
      </c>
    </row>
    <row r="21526" spans="1:6" ht="12.75">
      <c r="A21526" s="8">
        <v>43894.700011574074</v>
      </c>
      <c r="B21526" s="8" t="str">
        <f>HYPERLINK("https://twitter.com/nareswari_ray","@nareswari_ray")</f>
        <v>@nareswari_ray</v>
      </c>
      <c r="C21526" s="8" t="s">
        <v>7845</v>
      </c>
      <c r="D21526" s="8">
        <v>50</v>
      </c>
      <c r="E21526" s="8">
        <v>0</v>
      </c>
      <c r="F21526" s="8">
        <v>24</v>
      </c>
    </row>
    <row r="21527" spans="1:6" ht="12.75">
      <c r="A21527" s="8">
        <v>43894.699930555551</v>
      </c>
      <c r="B21527" s="8" t="str">
        <f>HYPERLINK("https://twitter.com/PradiptaArya4","@PradiptaArya4")</f>
        <v>@PradiptaArya4</v>
      </c>
      <c r="C21527" s="8" t="s">
        <v>7194</v>
      </c>
      <c r="D21527" s="8">
        <v>13</v>
      </c>
      <c r="E21527" s="8">
        <v>0</v>
      </c>
      <c r="F21527" s="8">
        <v>2535</v>
      </c>
    </row>
    <row r="21528" spans="1:6" ht="12.75">
      <c r="A21528" s="8">
        <v>43894.699918981481</v>
      </c>
      <c r="B21528" s="8" t="str">
        <f>HYPERLINK("https://twitter.com/hartanto_mas","@hartanto_mas")</f>
        <v>@hartanto_mas</v>
      </c>
      <c r="C21528" s="8" t="s">
        <v>7661</v>
      </c>
      <c r="D21528" s="8">
        <v>484</v>
      </c>
      <c r="E21528" s="8">
        <v>0</v>
      </c>
      <c r="F21528" s="8">
        <v>1057</v>
      </c>
    </row>
    <row r="21529" spans="1:6" ht="12.75">
      <c r="A21529" s="8">
        <v>43894.699803240743</v>
      </c>
      <c r="B21529" s="8" t="str">
        <f>HYPERLINK("https://twitter.com/Xaver25761586","@Xaver25761586")</f>
        <v>@Xaver25761586</v>
      </c>
      <c r="C21529" s="8" t="s">
        <v>8230</v>
      </c>
      <c r="D21529" s="8">
        <v>71</v>
      </c>
      <c r="E21529" s="8">
        <v>0</v>
      </c>
      <c r="F21529" s="8">
        <v>584</v>
      </c>
    </row>
    <row r="21530" spans="1:6" ht="12.75">
      <c r="A21530" s="8">
        <v>43894.699780092589</v>
      </c>
      <c r="B21530" s="8" t="str">
        <f>HYPERLINK("https://twitter.com/TeddyGusnaidi","@TeddyGusnaidi")</f>
        <v>@TeddyGusnaidi</v>
      </c>
      <c r="C21530" s="8" t="s">
        <v>8740</v>
      </c>
      <c r="D21530" s="8">
        <v>12</v>
      </c>
      <c r="E21530" s="8">
        <v>63</v>
      </c>
      <c r="F21530" s="8">
        <v>86026</v>
      </c>
    </row>
    <row r="21531" spans="1:6" ht="12.75">
      <c r="A21531" s="8">
        <v>43894.699513888889</v>
      </c>
      <c r="B21531" s="8" t="str">
        <f>HYPERLINK("https://twitter.com/zlametabidin","@zlametabidin")</f>
        <v>@zlametabidin</v>
      </c>
      <c r="C21531" s="8" t="s">
        <v>8741</v>
      </c>
      <c r="D21531" s="8">
        <v>1</v>
      </c>
      <c r="E21531" s="8">
        <v>0</v>
      </c>
      <c r="F21531" s="8">
        <v>1796</v>
      </c>
    </row>
    <row r="21532" spans="1:6" ht="12.75">
      <c r="A21532" s="8">
        <v>43894.699062500003</v>
      </c>
      <c r="B21532" s="8" t="str">
        <f>HYPERLINK("https://twitter.com/eko1820","@eko1820")</f>
        <v>@eko1820</v>
      </c>
      <c r="C21532" s="8" t="s">
        <v>6862</v>
      </c>
      <c r="D21532" s="8">
        <v>156</v>
      </c>
      <c r="E21532" s="8">
        <v>0</v>
      </c>
      <c r="F21532" s="8">
        <v>108</v>
      </c>
    </row>
    <row r="21533" spans="1:6" ht="12.75">
      <c r="A21533" s="8">
        <v>43894.698993055557</v>
      </c>
      <c r="B21533" s="8" t="str">
        <f>HYPERLINK("https://twitter.com/enal_com","@enal_com")</f>
        <v>@enal_com</v>
      </c>
      <c r="C21533" s="8" t="s">
        <v>7661</v>
      </c>
      <c r="D21533" s="8">
        <v>484</v>
      </c>
      <c r="E21533" s="8">
        <v>0</v>
      </c>
      <c r="F21533" s="8">
        <v>355</v>
      </c>
    </row>
    <row r="21534" spans="1:6" ht="12.75">
      <c r="A21534" s="8">
        <v>43894.698935185181</v>
      </c>
      <c r="B21534" s="8" t="str">
        <f>HYPERLINK("https://twitter.com/RyanBayCan","@RyanBayCan")</f>
        <v>@RyanBayCan</v>
      </c>
      <c r="C21534" s="8" t="s">
        <v>7194</v>
      </c>
      <c r="D21534" s="8">
        <v>13</v>
      </c>
      <c r="E21534" s="8">
        <v>0</v>
      </c>
      <c r="F21534" s="8">
        <v>3112</v>
      </c>
    </row>
    <row r="21535" spans="1:6" ht="12.75">
      <c r="A21535" s="8">
        <v>43894.698506944449</v>
      </c>
      <c r="B21535" s="8" t="str">
        <f>HYPERLINK("https://twitter.com/Zalzalahdunya","@Zalzalahdunya")</f>
        <v>@Zalzalahdunya</v>
      </c>
      <c r="C21535" s="8" t="s">
        <v>8742</v>
      </c>
      <c r="D21535" s="8">
        <v>2</v>
      </c>
      <c r="E21535" s="8">
        <v>0</v>
      </c>
      <c r="F21535" s="8">
        <v>67</v>
      </c>
    </row>
    <row r="21536" spans="1:6" ht="12.75">
      <c r="A21536" s="8">
        <v>43894.698425925926</v>
      </c>
      <c r="B21536" s="8" t="str">
        <f>HYPERLINK("https://twitter.com/gen1031fm","@gen1031fm")</f>
        <v>@gen1031fm</v>
      </c>
      <c r="C21536" s="8" t="s">
        <v>8743</v>
      </c>
      <c r="D21536" s="8">
        <v>0</v>
      </c>
      <c r="E21536" s="8">
        <v>0</v>
      </c>
      <c r="F21536" s="8">
        <v>451491</v>
      </c>
    </row>
    <row r="21537" spans="1:6" ht="12.75">
      <c r="A21537" s="8">
        <v>43894.697905092587</v>
      </c>
      <c r="B21537" s="8" t="str">
        <f>HYPERLINK("https://twitter.com/bffb300aff02425","@bffb300aff02425")</f>
        <v>@bffb300aff02425</v>
      </c>
      <c r="C21537" s="8" t="s">
        <v>8744</v>
      </c>
      <c r="D21537" s="8">
        <v>0</v>
      </c>
      <c r="E21537" s="8">
        <v>0</v>
      </c>
      <c r="F21537" s="8">
        <v>520</v>
      </c>
    </row>
    <row r="21538" spans="1:6" ht="12.75">
      <c r="A21538" s="8">
        <v>43894.697638888887</v>
      </c>
      <c r="B21538" s="8" t="str">
        <f>HYPERLINK("https://twitter.com/RevinJz","@RevinJz")</f>
        <v>@RevinJz</v>
      </c>
      <c r="C21538" s="8" t="s">
        <v>8115</v>
      </c>
      <c r="D21538" s="8">
        <v>176</v>
      </c>
      <c r="E21538" s="8">
        <v>0</v>
      </c>
      <c r="F21538" s="8">
        <v>182</v>
      </c>
    </row>
    <row r="21539" spans="1:6" ht="12.75">
      <c r="A21539" s="8">
        <v>43894.697210648148</v>
      </c>
      <c r="B21539" s="8" t="str">
        <f>HYPERLINK("https://twitter.com/Evarosd8","@Evarosd8")</f>
        <v>@Evarosd8</v>
      </c>
      <c r="C21539" s="8" t="s">
        <v>8745</v>
      </c>
      <c r="D21539" s="8">
        <v>0</v>
      </c>
      <c r="E21539" s="8">
        <v>0</v>
      </c>
      <c r="F21539" s="8">
        <v>51</v>
      </c>
    </row>
    <row r="21540" spans="1:6" ht="12.75">
      <c r="A21540" s="8">
        <v>43894.697013888886</v>
      </c>
      <c r="B21540" s="8" t="str">
        <f>HYPERLINK("https://twitter.com/Rohman99864827","@Rohman99864827")</f>
        <v>@Rohman99864827</v>
      </c>
      <c r="C21540" s="8" t="s">
        <v>8115</v>
      </c>
      <c r="D21540" s="8">
        <v>176</v>
      </c>
      <c r="E21540" s="8">
        <v>0</v>
      </c>
      <c r="F21540" s="8">
        <v>1</v>
      </c>
    </row>
    <row r="21541" spans="1:6" ht="12.75">
      <c r="A21541" s="8">
        <v>43894.696909722217</v>
      </c>
      <c r="B21541" s="8" t="str">
        <f>HYPERLINK("https://twitter.com/ratihchrist","@ratihchrist")</f>
        <v>@ratihchrist</v>
      </c>
      <c r="C21541" s="8" t="s">
        <v>6710</v>
      </c>
      <c r="D21541" s="8">
        <v>339</v>
      </c>
      <c r="E21541" s="8">
        <v>0</v>
      </c>
      <c r="F21541" s="8">
        <v>271</v>
      </c>
    </row>
    <row r="21542" spans="1:6" ht="12.75">
      <c r="A21542" s="8">
        <v>43894.696724537032</v>
      </c>
      <c r="B21542" s="8" t="str">
        <f>HYPERLINK("https://twitter.com/koprotkin","@koprotkin")</f>
        <v>@koprotkin</v>
      </c>
      <c r="C21542" s="8" t="s">
        <v>7575</v>
      </c>
      <c r="D21542" s="8">
        <v>9</v>
      </c>
      <c r="E21542" s="8">
        <v>0</v>
      </c>
      <c r="F21542" s="8">
        <v>3144</v>
      </c>
    </row>
    <row r="21543" spans="1:6" ht="12.75">
      <c r="A21543" s="8">
        <v>43894.696643518517</v>
      </c>
      <c r="B21543" s="8" t="str">
        <f>HYPERLINK("https://twitter.com/GillangAjeee","@GillangAjeee")</f>
        <v>@GillangAjeee</v>
      </c>
      <c r="C21543" s="8" t="s">
        <v>7194</v>
      </c>
      <c r="D21543" s="8">
        <v>13</v>
      </c>
      <c r="E21543" s="8">
        <v>0</v>
      </c>
      <c r="F21543" s="8">
        <v>1060</v>
      </c>
    </row>
    <row r="21544" spans="1:6" ht="12.75">
      <c r="A21544" s="8">
        <v>43894.696631944447</v>
      </c>
      <c r="B21544" s="8" t="str">
        <f>HYPERLINK("https://twitter.com/askary_khalid","@askary_khalid")</f>
        <v>@askary_khalid</v>
      </c>
      <c r="C21544" s="8" t="s">
        <v>8746</v>
      </c>
      <c r="D21544" s="8">
        <v>399</v>
      </c>
      <c r="E21544" s="8">
        <v>0</v>
      </c>
      <c r="F21544" s="8">
        <v>252</v>
      </c>
    </row>
    <row r="21545" spans="1:6" ht="12.75">
      <c r="A21545" s="8">
        <v>43894.696388888886</v>
      </c>
      <c r="B21545" s="8" t="str">
        <f>HYPERLINK("https://twitter.com/buruhmigran","@buruhmigran")</f>
        <v>@buruhmigran</v>
      </c>
      <c r="C21545" s="8" t="s">
        <v>8747</v>
      </c>
      <c r="D21545" s="8">
        <v>0</v>
      </c>
      <c r="E21545" s="8">
        <v>0</v>
      </c>
      <c r="F21545" s="8">
        <v>174</v>
      </c>
    </row>
    <row r="21546" spans="1:6" ht="12.75">
      <c r="A21546" s="8">
        <v>43894.695925925931</v>
      </c>
      <c r="B21546" s="8" t="str">
        <f>HYPERLINK("https://twitter.com/Nanda17724682","@Nanda17724682")</f>
        <v>@Nanda17724682</v>
      </c>
      <c r="C21546" s="8" t="s">
        <v>8748</v>
      </c>
      <c r="D21546" s="8">
        <v>0</v>
      </c>
      <c r="E21546" s="8">
        <v>0</v>
      </c>
      <c r="F21546" s="8">
        <v>1</v>
      </c>
    </row>
    <row r="21547" spans="1:6" ht="12.75">
      <c r="A21547" s="8">
        <v>43894.695856481485</v>
      </c>
      <c r="B21547" s="8" t="str">
        <f>HYPERLINK("https://twitter.com/wisanggeni_084","@wisanggeni_084")</f>
        <v>@wisanggeni_084</v>
      </c>
      <c r="C21547" s="8" t="s">
        <v>7194</v>
      </c>
      <c r="D21547" s="8">
        <v>13</v>
      </c>
      <c r="E21547" s="8">
        <v>0</v>
      </c>
      <c r="F21547" s="8">
        <v>17463</v>
      </c>
    </row>
    <row r="21548" spans="1:6" ht="12.75">
      <c r="A21548" s="8">
        <v>43894.672743055555</v>
      </c>
      <c r="B21548" s="8" t="str">
        <f>HYPERLINK("https://twitter.com/angel_mell","@angel_mell")</f>
        <v>@angel_mell</v>
      </c>
      <c r="C21548" s="8" t="s">
        <v>8212</v>
      </c>
      <c r="D21548" s="8">
        <v>104</v>
      </c>
      <c r="E21548" s="8">
        <v>0</v>
      </c>
      <c r="F21548" s="8">
        <v>562</v>
      </c>
    </row>
    <row r="21549" spans="1:6" ht="12.75">
      <c r="A21549" s="8">
        <v>43894.672569444447</v>
      </c>
      <c r="B21549" s="8" t="str">
        <f>HYPERLINK("https://twitter.com/okezonenews","@okezonenews")</f>
        <v>@okezonenews</v>
      </c>
      <c r="C21549" s="8" t="s">
        <v>8749</v>
      </c>
      <c r="D21549" s="8">
        <v>0</v>
      </c>
      <c r="E21549" s="8">
        <v>0</v>
      </c>
      <c r="F21549" s="8">
        <v>1743905</v>
      </c>
    </row>
    <row r="21550" spans="1:6" ht="12.75">
      <c r="A21550" s="8">
        <v>43894.672500000001</v>
      </c>
      <c r="B21550" s="8" t="str">
        <f>HYPERLINK("https://twitter.com/esranataliaa","@esranataliaa")</f>
        <v>@esranataliaa</v>
      </c>
      <c r="C21550" s="8" t="s">
        <v>2199</v>
      </c>
      <c r="D21550" s="8">
        <v>9076</v>
      </c>
      <c r="E21550" s="8">
        <v>0</v>
      </c>
      <c r="F21550" s="8">
        <v>324</v>
      </c>
    </row>
    <row r="21551" spans="1:6" ht="12.75">
      <c r="A21551" s="8">
        <v>43894.672500000001</v>
      </c>
      <c r="B21551" s="8" t="str">
        <f>HYPERLINK("https://twitter.com/siulanmalam","@siulanmalam")</f>
        <v>@siulanmalam</v>
      </c>
      <c r="C21551" s="8" t="s">
        <v>7848</v>
      </c>
      <c r="D21551" s="8">
        <v>50</v>
      </c>
      <c r="E21551" s="8">
        <v>0</v>
      </c>
      <c r="F21551" s="8">
        <v>181</v>
      </c>
    </row>
    <row r="21552" spans="1:6" ht="12.75">
      <c r="A21552" s="8">
        <v>43894.672465277778</v>
      </c>
      <c r="B21552" s="8" t="str">
        <f>HYPERLINK("https://twitter.com/AEkopurnomo","@AEkopurnomo")</f>
        <v>@AEkopurnomo</v>
      </c>
      <c r="C21552" s="8" t="s">
        <v>7969</v>
      </c>
      <c r="D21552" s="8">
        <v>19</v>
      </c>
      <c r="E21552" s="8">
        <v>0</v>
      </c>
      <c r="F21552" s="8">
        <v>539</v>
      </c>
    </row>
    <row r="21553" spans="1:6" ht="12.75">
      <c r="A21553" s="8">
        <v>43894.671956018516</v>
      </c>
      <c r="B21553" s="8" t="str">
        <f>HYPERLINK("https://twitter.com/AbidinsyahI","@AbidinsyahI")</f>
        <v>@AbidinsyahI</v>
      </c>
      <c r="C21553" s="8" t="s">
        <v>8078</v>
      </c>
      <c r="D21553" s="8">
        <v>21</v>
      </c>
      <c r="E21553" s="8">
        <v>0</v>
      </c>
      <c r="F21553" s="8">
        <v>2226</v>
      </c>
    </row>
    <row r="21554" spans="1:6" ht="12.75">
      <c r="A21554" s="8">
        <v>43894.671770833331</v>
      </c>
      <c r="B21554" s="8" t="str">
        <f>HYPERLINK("https://twitter.com/geserindikit","@geserindikit")</f>
        <v>@geserindikit</v>
      </c>
      <c r="C21554" s="8" t="s">
        <v>7848</v>
      </c>
      <c r="D21554" s="8">
        <v>50</v>
      </c>
      <c r="E21554" s="8">
        <v>0</v>
      </c>
      <c r="F21554" s="8">
        <v>129</v>
      </c>
    </row>
    <row r="21555" spans="1:6" ht="12.75">
      <c r="A21555" s="8">
        <v>43894.671747685185</v>
      </c>
      <c r="B21555" s="8" t="str">
        <f>HYPERLINK("https://twitter.com/gio03_ivan","@gio03_ivan")</f>
        <v>@gio03_ivan</v>
      </c>
      <c r="C21555" s="8" t="s">
        <v>7244</v>
      </c>
      <c r="D21555" s="8">
        <v>11</v>
      </c>
      <c r="E21555" s="8">
        <v>0</v>
      </c>
      <c r="F21555" s="8">
        <v>187</v>
      </c>
    </row>
    <row r="21556" spans="1:6" ht="12.75">
      <c r="A21556" s="8">
        <v>43894.671296296292</v>
      </c>
      <c r="B21556" s="8" t="str">
        <f>HYPERLINK("https://twitter.com/sabda_revolusi","@sabda_revolusi")</f>
        <v>@sabda_revolusi</v>
      </c>
      <c r="C21556" s="8" t="s">
        <v>7848</v>
      </c>
      <c r="D21556" s="8">
        <v>50</v>
      </c>
      <c r="E21556" s="8">
        <v>0</v>
      </c>
      <c r="F21556" s="8">
        <v>96</v>
      </c>
    </row>
    <row r="21557" spans="1:6" ht="12.75">
      <c r="A21557" s="8">
        <v>43894.671261574069</v>
      </c>
      <c r="B21557" s="8" t="str">
        <f>HYPERLINK("https://twitter.com/hermana_t","@hermana_t")</f>
        <v>@hermana_t</v>
      </c>
      <c r="C21557" s="8" t="s">
        <v>8750</v>
      </c>
      <c r="D21557" s="8">
        <v>0</v>
      </c>
      <c r="E21557" s="8">
        <v>1</v>
      </c>
      <c r="F21557" s="8">
        <v>10726</v>
      </c>
    </row>
    <row r="21558" spans="1:6" ht="12.75">
      <c r="A21558" s="8">
        <v>43894.670381944445</v>
      </c>
      <c r="B21558" s="8" t="str">
        <f>HYPERLINK("https://twitter.com/PemdaKabJember","@PemdaKabJember")</f>
        <v>@PemdaKabJember</v>
      </c>
      <c r="C21558" s="8" t="s">
        <v>8751</v>
      </c>
      <c r="D21558" s="8">
        <v>0</v>
      </c>
      <c r="E21558" s="8">
        <v>1</v>
      </c>
      <c r="F21558" s="8">
        <v>6284</v>
      </c>
    </row>
    <row r="21559" spans="1:6" ht="12.75">
      <c r="A21559" s="8">
        <v>43894.670335648145</v>
      </c>
      <c r="B21559" s="8" t="str">
        <f>HYPERLINK("https://twitter.com/nancy_mw","@nancy_mw")</f>
        <v>@nancy_mw</v>
      </c>
      <c r="C21559" s="8" t="s">
        <v>1986</v>
      </c>
      <c r="D21559" s="8">
        <v>851</v>
      </c>
      <c r="E21559" s="8">
        <v>0</v>
      </c>
      <c r="F21559" s="8">
        <v>441</v>
      </c>
    </row>
    <row r="21560" spans="1:6" ht="12.75">
      <c r="A21560" s="8">
        <v>43894.67</v>
      </c>
      <c r="B21560" s="8" t="str">
        <f>HYPERLINK("https://twitter.com/Ndrews1162011","@Ndrews1162011")</f>
        <v>@Ndrews1162011</v>
      </c>
      <c r="C21560" s="8" t="s">
        <v>8752</v>
      </c>
      <c r="D21560" s="8">
        <v>2</v>
      </c>
      <c r="E21560" s="8">
        <v>0</v>
      </c>
      <c r="F21560" s="8">
        <v>1292</v>
      </c>
    </row>
    <row r="21561" spans="1:6" ht="12.75">
      <c r="A21561" s="8">
        <v>43894.669953703706</v>
      </c>
      <c r="B21561" s="8" t="str">
        <f>HYPERLINK("https://twitter.com/__MV_llestari__","@__MV_llestari__")</f>
        <v>@__MV_llestari__</v>
      </c>
      <c r="C21561" s="8" t="s">
        <v>8752</v>
      </c>
      <c r="D21561" s="8">
        <v>2</v>
      </c>
      <c r="E21561" s="8">
        <v>0</v>
      </c>
      <c r="F21561" s="8">
        <v>9286</v>
      </c>
    </row>
    <row r="21562" spans="1:6" ht="12.75">
      <c r="A21562" s="8">
        <v>43894.669918981483</v>
      </c>
      <c r="B21562" s="8" t="str">
        <f>HYPERLINK("https://twitter.com/Qinnoy20","@Qinnoy20")</f>
        <v>@Qinnoy20</v>
      </c>
      <c r="C21562" s="8" t="s">
        <v>8323</v>
      </c>
      <c r="D21562" s="8">
        <v>26</v>
      </c>
      <c r="E21562" s="8">
        <v>0</v>
      </c>
      <c r="F21562" s="8">
        <v>1559</v>
      </c>
    </row>
    <row r="21563" spans="1:6" ht="12.75">
      <c r="A21563" s="8">
        <v>43894.66987268519</v>
      </c>
      <c r="B21563" s="8" t="str">
        <f>HYPERLINK("https://twitter.com/hanscfs","@hanscfs")</f>
        <v>@hanscfs</v>
      </c>
      <c r="C21563" s="8" t="s">
        <v>8212</v>
      </c>
      <c r="D21563" s="8">
        <v>104</v>
      </c>
      <c r="E21563" s="8">
        <v>0</v>
      </c>
      <c r="F21563" s="8">
        <v>914</v>
      </c>
    </row>
    <row r="21564" spans="1:6" ht="12.75">
      <c r="A21564" s="8">
        <v>43894.669247685189</v>
      </c>
      <c r="B21564" s="8" t="str">
        <f>HYPERLINK("https://twitter.com/Fervavin","@Fervavin")</f>
        <v>@Fervavin</v>
      </c>
      <c r="C21564" s="8" t="s">
        <v>6710</v>
      </c>
      <c r="D21564" s="8">
        <v>318</v>
      </c>
      <c r="E21564" s="8">
        <v>0</v>
      </c>
      <c r="F21564" s="8">
        <v>13</v>
      </c>
    </row>
    <row r="21565" spans="1:6" ht="12.75">
      <c r="A21565" s="8">
        <v>43894.668912037036</v>
      </c>
      <c r="B21565" s="8" t="str">
        <f>HYPERLINK("https://twitter.com/nancy_mw","@nancy_mw")</f>
        <v>@nancy_mw</v>
      </c>
      <c r="C21565" s="8" t="s">
        <v>8212</v>
      </c>
      <c r="D21565" s="8">
        <v>104</v>
      </c>
      <c r="E21565" s="8">
        <v>0</v>
      </c>
      <c r="F21565" s="8">
        <v>441</v>
      </c>
    </row>
    <row r="21566" spans="1:6" ht="12.75">
      <c r="A21566" s="8">
        <v>43894.668796296297</v>
      </c>
      <c r="B21566" s="8" t="str">
        <f>HYPERLINK("https://twitter.com/falcogesario","@falcogesario")</f>
        <v>@falcogesario</v>
      </c>
      <c r="C21566" s="8" t="s">
        <v>6710</v>
      </c>
      <c r="D21566" s="8">
        <v>318</v>
      </c>
      <c r="E21566" s="8">
        <v>0</v>
      </c>
      <c r="F21566" s="8">
        <v>351</v>
      </c>
    </row>
    <row r="21567" spans="1:6" ht="12.75">
      <c r="A21567" s="8">
        <v>43894.668564814812</v>
      </c>
      <c r="B21567" s="8" t="str">
        <f>HYPERLINK("https://twitter.com/anwar_suprijadi","@anwar_suprijadi")</f>
        <v>@anwar_suprijadi</v>
      </c>
      <c r="C21567" s="8" t="s">
        <v>8753</v>
      </c>
      <c r="D21567" s="8">
        <v>2</v>
      </c>
      <c r="E21567" s="8">
        <v>2</v>
      </c>
      <c r="F21567" s="8">
        <v>140</v>
      </c>
    </row>
    <row r="21568" spans="1:6" ht="12.75">
      <c r="A21568" s="8">
        <v>43894.668321759258</v>
      </c>
      <c r="B21568" s="8" t="str">
        <f>HYPERLINK("https://twitter.com/YuwardiWijaya","@YuwardiWijaya")</f>
        <v>@YuwardiWijaya</v>
      </c>
      <c r="C21568" s="8" t="s">
        <v>8212</v>
      </c>
      <c r="D21568" s="8">
        <v>104</v>
      </c>
      <c r="E21568" s="8">
        <v>0</v>
      </c>
      <c r="F21568" s="8">
        <v>62</v>
      </c>
    </row>
    <row r="21569" spans="1:6" ht="12.75">
      <c r="A21569" s="8">
        <v>43894.667893518519</v>
      </c>
      <c r="B21569" s="8" t="str">
        <f>HYPERLINK("https://twitter.com/Fervavin","@Fervavin")</f>
        <v>@Fervavin</v>
      </c>
      <c r="C21569" s="8" t="s">
        <v>8212</v>
      </c>
      <c r="D21569" s="8">
        <v>104</v>
      </c>
      <c r="E21569" s="8">
        <v>0</v>
      </c>
      <c r="F21569" s="8">
        <v>13</v>
      </c>
    </row>
    <row r="21570" spans="1:6" ht="12.75">
      <c r="A21570" s="8">
        <v>43894.667812500003</v>
      </c>
      <c r="B21570" s="8" t="str">
        <f>HYPERLINK("https://twitter.com/ruangobrol_id","@ruangobrol_id")</f>
        <v>@ruangobrol_id</v>
      </c>
      <c r="C21570" s="8" t="s">
        <v>8754</v>
      </c>
      <c r="D21570" s="8">
        <v>0</v>
      </c>
      <c r="E21570" s="8">
        <v>0</v>
      </c>
      <c r="F21570" s="8">
        <v>163</v>
      </c>
    </row>
    <row r="21571" spans="1:6" ht="12.75">
      <c r="A21571" s="8">
        <v>43894.666932870372</v>
      </c>
      <c r="B21571" s="8" t="str">
        <f>HYPERLINK("https://twitter.com/ikilhojatim","@ikilhojatim")</f>
        <v>@ikilhojatim</v>
      </c>
      <c r="C21571" s="8" t="s">
        <v>8755</v>
      </c>
      <c r="D21571" s="8">
        <v>0</v>
      </c>
      <c r="E21571" s="8">
        <v>0</v>
      </c>
      <c r="F21571" s="8">
        <v>71</v>
      </c>
    </row>
    <row r="21572" spans="1:6" ht="12.75">
      <c r="A21572" s="8">
        <v>43894.666909722218</v>
      </c>
      <c r="B21572" s="8" t="str">
        <f>HYPERLINK("https://twitter.com/fatmawati2014","@fatmawati2014")</f>
        <v>@fatmawati2014</v>
      </c>
      <c r="C21572" s="8" t="s">
        <v>8756</v>
      </c>
      <c r="D21572" s="8">
        <v>2</v>
      </c>
      <c r="E21572" s="8">
        <v>0</v>
      </c>
      <c r="F21572" s="8">
        <v>1067</v>
      </c>
    </row>
    <row r="21573" spans="1:6" ht="12.75">
      <c r="A21573" s="8">
        <v>43894.666226851856</v>
      </c>
      <c r="B21573" s="8" t="str">
        <f>HYPERLINK("https://twitter.com/beatrice_health","@beatrice_health")</f>
        <v>@beatrice_health</v>
      </c>
      <c r="C21573" s="8" t="s">
        <v>7969</v>
      </c>
      <c r="D21573" s="8">
        <v>19</v>
      </c>
      <c r="E21573" s="8">
        <v>0</v>
      </c>
      <c r="F21573" s="8">
        <v>512</v>
      </c>
    </row>
    <row r="21574" spans="1:6" ht="12.75">
      <c r="A21574" s="8">
        <v>43894.666180555556</v>
      </c>
      <c r="B21574" s="8" t="str">
        <f>HYPERLINK("https://twitter.com/torelwisnu","@torelwisnu")</f>
        <v>@torelwisnu</v>
      </c>
      <c r="C21574" s="8" t="s">
        <v>7969</v>
      </c>
      <c r="D21574" s="8">
        <v>19</v>
      </c>
      <c r="E21574" s="8">
        <v>0</v>
      </c>
      <c r="F21574" s="8">
        <v>1359</v>
      </c>
    </row>
    <row r="21575" spans="1:6" ht="12.75">
      <c r="A21575" s="8">
        <v>43894.666030092594</v>
      </c>
      <c r="B21575" s="8" t="str">
        <f>HYPERLINK("https://twitter.com/herlambang_tan","@herlambang_tan")</f>
        <v>@herlambang_tan</v>
      </c>
      <c r="C21575" s="8" t="s">
        <v>8756</v>
      </c>
      <c r="D21575" s="8">
        <v>2</v>
      </c>
      <c r="E21575" s="8">
        <v>0</v>
      </c>
      <c r="F21575" s="8">
        <v>2423</v>
      </c>
    </row>
    <row r="21576" spans="1:6" ht="12.75">
      <c r="A21576" s="8">
        <v>43894.665393518517</v>
      </c>
      <c r="B21576" s="8" t="str">
        <f>HYPERLINK("https://twitter.com/madefebriantha","@madefebriantha")</f>
        <v>@madefebriantha</v>
      </c>
      <c r="C21576" s="8" t="s">
        <v>8230</v>
      </c>
      <c r="D21576" s="8">
        <v>67</v>
      </c>
      <c r="E21576" s="8">
        <v>0</v>
      </c>
      <c r="F21576" s="8">
        <v>313</v>
      </c>
    </row>
    <row r="21577" spans="1:6" ht="12.75">
      <c r="A21577" s="8">
        <v>43894.665104166663</v>
      </c>
      <c r="B21577" s="8" t="str">
        <f>HYPERLINK("https://twitter.com/Widya___S","@Widya___S")</f>
        <v>@Widya___S</v>
      </c>
      <c r="C21577" s="8" t="s">
        <v>8757</v>
      </c>
      <c r="D21577" s="8">
        <v>0</v>
      </c>
      <c r="E21577" s="8">
        <v>1</v>
      </c>
      <c r="F21577" s="8">
        <v>1543</v>
      </c>
    </row>
    <row r="21578" spans="1:6" ht="12.75">
      <c r="A21578" s="8">
        <v>43894.663946759261</v>
      </c>
      <c r="B21578" s="8" t="str">
        <f>HYPERLINK("https://twitter.com/yasirzulfahmi","@yasirzulfahmi")</f>
        <v>@yasirzulfahmi</v>
      </c>
      <c r="C21578" s="8" t="s">
        <v>1970</v>
      </c>
      <c r="D21578" s="8">
        <v>1337</v>
      </c>
      <c r="E21578" s="8">
        <v>0</v>
      </c>
      <c r="F21578" s="8">
        <v>155</v>
      </c>
    </row>
    <row r="21579" spans="1:6" ht="12.75">
      <c r="A21579" s="8">
        <v>43894.663831018523</v>
      </c>
      <c r="B21579" s="8" t="str">
        <f>HYPERLINK("https://twitter.com/nemosyus","@nemosyus")</f>
        <v>@nemosyus</v>
      </c>
      <c r="C21579" s="8" t="s">
        <v>8758</v>
      </c>
      <c r="D21579" s="8">
        <v>0</v>
      </c>
      <c r="E21579" s="8">
        <v>0</v>
      </c>
      <c r="F21579" s="8">
        <v>527</v>
      </c>
    </row>
    <row r="21580" spans="1:6" ht="12.75">
      <c r="A21580" s="8">
        <v>43894.663819444446</v>
      </c>
      <c r="B21580" s="8" t="str">
        <f>HYPERLINK("https://twitter.com/utamiqyt","@utamiqyt")</f>
        <v>@utamiqyt</v>
      </c>
      <c r="C21580" s="8" t="s">
        <v>8759</v>
      </c>
      <c r="D21580" s="8">
        <v>3</v>
      </c>
      <c r="E21580" s="8">
        <v>0</v>
      </c>
      <c r="F21580" s="8">
        <v>277</v>
      </c>
    </row>
    <row r="21581" spans="1:6" ht="12.75">
      <c r="A21581" s="8">
        <v>43894.663738425923</v>
      </c>
      <c r="B21581" s="8" t="str">
        <f>HYPERLINK("https://twitter.com/PradiptaArya4","@PradiptaArya4")</f>
        <v>@PradiptaArya4</v>
      </c>
      <c r="C21581" s="8" t="s">
        <v>8445</v>
      </c>
      <c r="D21581" s="8">
        <v>42</v>
      </c>
      <c r="E21581" s="8">
        <v>0</v>
      </c>
      <c r="F21581" s="8">
        <v>2535</v>
      </c>
    </row>
    <row r="21582" spans="1:6" ht="12.75">
      <c r="A21582" s="8">
        <v>43894.663206018522</v>
      </c>
      <c r="B21582" s="8" t="str">
        <f>HYPERLINK("https://twitter.com/tedi_pirmansyah","@tedi_pirmansyah")</f>
        <v>@tedi_pirmansyah</v>
      </c>
      <c r="C21582" s="8" t="s">
        <v>8760</v>
      </c>
      <c r="D21582" s="8">
        <v>4</v>
      </c>
      <c r="E21582" s="8">
        <v>0</v>
      </c>
      <c r="F21582" s="8">
        <v>450</v>
      </c>
    </row>
    <row r="21583" spans="1:6" ht="12.75">
      <c r="A21583" s="8">
        <v>43894.663194444445</v>
      </c>
      <c r="B21583" s="8" t="str">
        <f>HYPERLINK("https://twitter.com/patriciusbry","@patriciusbry")</f>
        <v>@patriciusbry</v>
      </c>
      <c r="C21583" s="8" t="s">
        <v>8212</v>
      </c>
      <c r="D21583" s="8">
        <v>104</v>
      </c>
      <c r="E21583" s="8">
        <v>0</v>
      </c>
      <c r="F21583" s="8">
        <v>202</v>
      </c>
    </row>
    <row r="21584" spans="1:6" ht="12.75">
      <c r="A21584" s="8">
        <v>43894.66305555556</v>
      </c>
      <c r="B21584" s="8" t="str">
        <f>HYPERLINK("https://twitter.com/MasfarGazali","@MasfarGazali")</f>
        <v>@MasfarGazali</v>
      </c>
      <c r="C21584" s="8" t="s">
        <v>6630</v>
      </c>
      <c r="D21584" s="8">
        <v>18</v>
      </c>
      <c r="E21584" s="8">
        <v>0</v>
      </c>
      <c r="F21584" s="8">
        <v>1985</v>
      </c>
    </row>
    <row r="21585" spans="1:6" ht="12.75">
      <c r="A21585" s="8">
        <v>43894.662974537037</v>
      </c>
      <c r="B21585" s="8" t="str">
        <f t="shared" ref="B21585:B21586" si="313">HYPERLINK("https://twitter.com/evereeze","@evereeze")</f>
        <v>@evereeze</v>
      </c>
      <c r="C21585" s="8" t="s">
        <v>8761</v>
      </c>
      <c r="D21585" s="8">
        <v>4</v>
      </c>
      <c r="E21585" s="8">
        <v>0</v>
      </c>
      <c r="F21585" s="8">
        <v>306</v>
      </c>
    </row>
    <row r="21586" spans="1:6" ht="12.75">
      <c r="A21586" s="8">
        <v>43894.662893518514</v>
      </c>
      <c r="B21586" s="8" t="str">
        <f t="shared" si="313"/>
        <v>@evereeze</v>
      </c>
      <c r="C21586" s="8" t="s">
        <v>8762</v>
      </c>
      <c r="D21586" s="8">
        <v>9</v>
      </c>
      <c r="E21586" s="8">
        <v>0</v>
      </c>
      <c r="F21586" s="8">
        <v>306</v>
      </c>
    </row>
    <row r="21587" spans="1:6" ht="12.75">
      <c r="A21587" s="8">
        <v>43894.662881944445</v>
      </c>
      <c r="B21587" s="8" t="str">
        <f>HYPERLINK("https://twitter.com/BentenkNKRI","@BentenkNKRI")</f>
        <v>@BentenkNKRI</v>
      </c>
      <c r="C21587" s="8" t="s">
        <v>8763</v>
      </c>
      <c r="D21587" s="8">
        <v>2</v>
      </c>
      <c r="E21587" s="8">
        <v>2</v>
      </c>
      <c r="F21587" s="8">
        <v>1371</v>
      </c>
    </row>
    <row r="21588" spans="1:6" ht="12.75">
      <c r="A21588" s="8">
        <v>43894.662638888884</v>
      </c>
      <c r="B21588" s="8" t="str">
        <f>HYPERLINK("https://twitter.com/delaMayore","@delaMayore")</f>
        <v>@delaMayore</v>
      </c>
      <c r="C21588" s="8" t="s">
        <v>8764</v>
      </c>
      <c r="D21588" s="8">
        <v>0</v>
      </c>
      <c r="E21588" s="8">
        <v>0</v>
      </c>
      <c r="F21588" s="8">
        <v>184</v>
      </c>
    </row>
    <row r="21589" spans="1:6" ht="12.75">
      <c r="A21589" s="8">
        <v>43894.662604166668</v>
      </c>
      <c r="B21589" s="8" t="str">
        <f>HYPERLINK("https://twitter.com/Dirgantara003","@Dirgantara003")</f>
        <v>@Dirgantara003</v>
      </c>
      <c r="C21589" s="8" t="s">
        <v>8765</v>
      </c>
      <c r="D21589" s="8">
        <v>0</v>
      </c>
      <c r="E21589" s="8">
        <v>0</v>
      </c>
      <c r="F21589" s="8">
        <v>979</v>
      </c>
    </row>
    <row r="21590" spans="1:6" ht="12.75">
      <c r="A21590" s="8">
        <v>43894.662604166668</v>
      </c>
      <c r="B21590" s="8" t="str">
        <f>HYPERLINK("https://twitter.com/febriantolight","@febriantolight")</f>
        <v>@febriantolight</v>
      </c>
      <c r="C21590" s="8" t="s">
        <v>6710</v>
      </c>
      <c r="D21590" s="8">
        <v>318</v>
      </c>
      <c r="E21590" s="8">
        <v>0</v>
      </c>
      <c r="F21590" s="8">
        <v>545</v>
      </c>
    </row>
    <row r="21591" spans="1:6" ht="12.75">
      <c r="A21591" s="8">
        <v>43894.661932870367</v>
      </c>
      <c r="B21591" s="8" t="str">
        <f>HYPERLINK("https://twitter.com/bokohalal","@bokohalal")</f>
        <v>@bokohalal</v>
      </c>
      <c r="C21591" s="8" t="s">
        <v>8230</v>
      </c>
      <c r="D21591" s="8">
        <v>67</v>
      </c>
      <c r="E21591" s="8">
        <v>0</v>
      </c>
      <c r="F21591" s="8">
        <v>148</v>
      </c>
    </row>
    <row r="21592" spans="1:6" ht="12.75">
      <c r="A21592" s="8">
        <v>43894.661759259259</v>
      </c>
      <c r="B21592" s="8" t="str">
        <f>HYPERLINK("https://twitter.com/Bb_khamees","@Bb_khamees")</f>
        <v>@Bb_khamees</v>
      </c>
      <c r="C21592" s="8" t="s">
        <v>8766</v>
      </c>
      <c r="D21592" s="8">
        <v>0</v>
      </c>
      <c r="E21592" s="8">
        <v>1</v>
      </c>
      <c r="F21592" s="8">
        <v>1276</v>
      </c>
    </row>
    <row r="21593" spans="1:6" ht="12.75">
      <c r="A21593" s="8">
        <v>43894.661724537036</v>
      </c>
      <c r="B21593" s="8" t="str">
        <f>HYPERLINK("https://twitter.com/abebgs","@abebgs")</f>
        <v>@abebgs</v>
      </c>
      <c r="C21593" s="8" t="s">
        <v>6710</v>
      </c>
      <c r="D21593" s="8">
        <v>318</v>
      </c>
      <c r="E21593" s="8">
        <v>0</v>
      </c>
      <c r="F21593" s="8">
        <v>181</v>
      </c>
    </row>
    <row r="21594" spans="1:6" ht="12.75">
      <c r="A21594" s="8">
        <v>43894.661562499998</v>
      </c>
      <c r="B21594" s="8" t="str">
        <f>HYPERLINK("https://twitter.com/KompasTV_Mks","@KompasTV_Mks")</f>
        <v>@KompasTV_Mks</v>
      </c>
      <c r="C21594" s="8" t="s">
        <v>8759</v>
      </c>
      <c r="D21594" s="8">
        <v>3</v>
      </c>
      <c r="E21594" s="8">
        <v>0</v>
      </c>
      <c r="F21594" s="8">
        <v>28746</v>
      </c>
    </row>
    <row r="21595" spans="1:6" ht="12.75">
      <c r="A21595" s="8">
        <v>43894.661087962959</v>
      </c>
      <c r="B21595" s="8" t="str">
        <f>HYPERLINK("https://twitter.com/caesargegik","@caesargegik")</f>
        <v>@caesargegik</v>
      </c>
      <c r="C21595" s="8" t="s">
        <v>6710</v>
      </c>
      <c r="D21595" s="8">
        <v>318</v>
      </c>
      <c r="E21595" s="8">
        <v>0</v>
      </c>
      <c r="F21595" s="8">
        <v>534</v>
      </c>
    </row>
    <row r="21596" spans="1:6" ht="12.75">
      <c r="A21596" s="8">
        <v>43894.660543981481</v>
      </c>
      <c r="B21596" s="8" t="str">
        <f>HYPERLINK("https://twitter.com/AsadiSufiya","@AsadiSufiya")</f>
        <v>@AsadiSufiya</v>
      </c>
      <c r="C21596" s="8" t="s">
        <v>8767</v>
      </c>
      <c r="D21596" s="8">
        <v>7</v>
      </c>
      <c r="E21596" s="8">
        <v>0</v>
      </c>
      <c r="F21596" s="8">
        <v>18</v>
      </c>
    </row>
    <row r="21597" spans="1:6" ht="12.75">
      <c r="A21597" s="8">
        <v>43894.660520833335</v>
      </c>
      <c r="B21597" s="8" t="str">
        <f>HYPERLINK("https://twitter.com/iina_surbakti","@iina_surbakti")</f>
        <v>@iina_surbakti</v>
      </c>
      <c r="C21597" s="8" t="s">
        <v>8768</v>
      </c>
      <c r="D21597" s="8">
        <v>0</v>
      </c>
      <c r="E21597" s="8">
        <v>0</v>
      </c>
      <c r="F21597" s="8">
        <v>566</v>
      </c>
    </row>
    <row r="21598" spans="1:6" ht="12.75">
      <c r="A21598" s="8">
        <v>43894.660497685181</v>
      </c>
      <c r="B21598" s="8" t="str">
        <f>HYPERLINK("https://twitter.com/Erick_Lubis","@Erick_Lubis")</f>
        <v>@Erick_Lubis</v>
      </c>
      <c r="C21598" s="8" t="s">
        <v>8769</v>
      </c>
      <c r="D21598" s="8">
        <v>1</v>
      </c>
      <c r="E21598" s="8">
        <v>0</v>
      </c>
      <c r="F21598" s="8">
        <v>106</v>
      </c>
    </row>
    <row r="21599" spans="1:6" ht="12.75">
      <c r="A21599" s="8">
        <v>43894.660451388889</v>
      </c>
      <c r="B21599" s="8" t="str">
        <f>HYPERLINK("https://twitter.com/wayan_agung22","@wayan_agung22")</f>
        <v>@wayan_agung22</v>
      </c>
      <c r="C21599" s="8" t="s">
        <v>8759</v>
      </c>
      <c r="D21599" s="8">
        <v>3</v>
      </c>
      <c r="E21599" s="8">
        <v>0</v>
      </c>
      <c r="F21599" s="8">
        <v>409</v>
      </c>
    </row>
    <row r="21600" spans="1:6" ht="12.75">
      <c r="A21600" s="8">
        <v>43894.660439814819</v>
      </c>
      <c r="B21600" s="8" t="str">
        <f t="shared" ref="B21600:B21601" si="314">HYPERLINK("https://twitter.com/deritauin","@deritauin")</f>
        <v>@deritauin</v>
      </c>
      <c r="C21600" s="8" t="s">
        <v>8770</v>
      </c>
      <c r="D21600" s="8">
        <v>1</v>
      </c>
      <c r="E21600" s="8">
        <v>0</v>
      </c>
      <c r="F21600" s="8">
        <v>1099</v>
      </c>
    </row>
    <row r="21601" spans="1:6" ht="12.75">
      <c r="A21601" s="8">
        <v>43894.660312499997</v>
      </c>
      <c r="B21601" s="8" t="str">
        <f t="shared" si="314"/>
        <v>@deritauin</v>
      </c>
      <c r="C21601" s="8" t="s">
        <v>8771</v>
      </c>
      <c r="D21601" s="8">
        <v>1</v>
      </c>
      <c r="E21601" s="8">
        <v>0</v>
      </c>
      <c r="F21601" s="8">
        <v>1099</v>
      </c>
    </row>
    <row r="21602" spans="1:6" ht="12.75">
      <c r="A21602" s="8">
        <v>43894.659930555557</v>
      </c>
      <c r="B21602" s="8" t="str">
        <f>HYPERLINK("https://twitter.com/JohnIrwan4","@JohnIrwan4")</f>
        <v>@JohnIrwan4</v>
      </c>
      <c r="C21602" s="8" t="s">
        <v>6710</v>
      </c>
      <c r="D21602" s="8">
        <v>318</v>
      </c>
      <c r="E21602" s="8">
        <v>0</v>
      </c>
      <c r="F21602" s="8">
        <v>2652</v>
      </c>
    </row>
    <row r="21603" spans="1:6" ht="12.75">
      <c r="A21603" s="8">
        <v>43894.659780092596</v>
      </c>
      <c r="B21603" s="8" t="str">
        <f>HYPERLINK("https://twitter.com/kompascom","@kompascom")</f>
        <v>@kompascom</v>
      </c>
      <c r="C21603" s="8" t="s">
        <v>8772</v>
      </c>
      <c r="D21603" s="8">
        <v>3</v>
      </c>
      <c r="E21603" s="8">
        <v>4</v>
      </c>
      <c r="F21603" s="8">
        <v>7527659</v>
      </c>
    </row>
    <row r="21604" spans="1:6" ht="12.75">
      <c r="A21604" s="8">
        <v>43894.659756944442</v>
      </c>
      <c r="B21604" s="8" t="str">
        <f>HYPERLINK("https://twitter.com/Dany35160046","@Dany35160046")</f>
        <v>@Dany35160046</v>
      </c>
      <c r="C21604" s="8" t="s">
        <v>8773</v>
      </c>
      <c r="D21604" s="8">
        <v>0</v>
      </c>
      <c r="E21604" s="8">
        <v>0</v>
      </c>
      <c r="F21604" s="8">
        <v>341</v>
      </c>
    </row>
    <row r="21605" spans="1:6" ht="12.75">
      <c r="A21605" s="8">
        <v>43894.659571759257</v>
      </c>
      <c r="B21605" s="8" t="str">
        <f>HYPERLINK("https://twitter.com/ahsanridhoi","@ahsanridhoi")</f>
        <v>@ahsanridhoi</v>
      </c>
      <c r="C21605" s="8" t="s">
        <v>8774</v>
      </c>
      <c r="D21605" s="8">
        <v>1</v>
      </c>
      <c r="E21605" s="8">
        <v>0</v>
      </c>
      <c r="F21605" s="8">
        <v>1530</v>
      </c>
    </row>
    <row r="21606" spans="1:6" ht="12.75">
      <c r="A21606" s="8">
        <v>43894.658761574072</v>
      </c>
      <c r="B21606" s="8" t="str">
        <f>HYPERLINK("https://twitter.com/republikaonline","@republikaonline")</f>
        <v>@republikaonline</v>
      </c>
      <c r="C21606" s="8" t="s">
        <v>8775</v>
      </c>
      <c r="D21606" s="8">
        <v>1</v>
      </c>
      <c r="E21606" s="8">
        <v>2</v>
      </c>
      <c r="F21606" s="8">
        <v>1218875</v>
      </c>
    </row>
    <row r="21607" spans="1:6" ht="12.75">
      <c r="A21607" s="8">
        <v>43894.658402777779</v>
      </c>
      <c r="B21607" s="8" t="str">
        <f>HYPERLINK("https://twitter.com/CakMugik","@CakMugik")</f>
        <v>@CakMugik</v>
      </c>
      <c r="C21607" s="8" t="s">
        <v>7848</v>
      </c>
      <c r="D21607" s="8">
        <v>50</v>
      </c>
      <c r="E21607" s="8">
        <v>0</v>
      </c>
      <c r="F21607" s="8">
        <v>62</v>
      </c>
    </row>
    <row r="21608" spans="1:6" ht="12.75">
      <c r="A21608" s="8">
        <v>43894.658182870371</v>
      </c>
      <c r="B21608" s="8" t="str">
        <f>HYPERLINK("https://twitter.com/hottieshit","@hottieshit")</f>
        <v>@hottieshit</v>
      </c>
      <c r="C21608" s="8" t="s">
        <v>8776</v>
      </c>
      <c r="D21608" s="8">
        <v>193</v>
      </c>
      <c r="E21608" s="8">
        <v>0</v>
      </c>
      <c r="F21608" s="8">
        <v>977</v>
      </c>
    </row>
    <row r="21609" spans="1:6" ht="12.75">
      <c r="A21609" s="8">
        <v>43894.65797453704</v>
      </c>
      <c r="B21609" s="8" t="str">
        <f>HYPERLINK("https://twitter.com/tikuscemani","@tikuscemani")</f>
        <v>@tikuscemani</v>
      </c>
      <c r="C21609" s="8" t="s">
        <v>8777</v>
      </c>
      <c r="D21609" s="8">
        <v>1</v>
      </c>
      <c r="E21609" s="8">
        <v>0</v>
      </c>
      <c r="F21609" s="8">
        <v>189</v>
      </c>
    </row>
    <row r="21610" spans="1:6" ht="12.75">
      <c r="A21610" s="8">
        <v>43894.657916666663</v>
      </c>
      <c r="B21610" s="8" t="str">
        <f>HYPERLINK("https://twitter.com/indonesiainist","@indonesiainist")</f>
        <v>@indonesiainist</v>
      </c>
      <c r="C21610" s="8" t="s">
        <v>7700</v>
      </c>
      <c r="D21610" s="8">
        <v>30</v>
      </c>
      <c r="E21610" s="8">
        <v>0</v>
      </c>
      <c r="F21610" s="8">
        <v>703</v>
      </c>
    </row>
    <row r="21611" spans="1:6" ht="12.75">
      <c r="A21611" s="8">
        <v>43894.657858796301</v>
      </c>
      <c r="B21611" s="8" t="str">
        <f>HYPERLINK("https://twitter.com/Fluttershyluv1","@Fluttershyluv1")</f>
        <v>@Fluttershyluv1</v>
      </c>
      <c r="C21611" s="8" t="s">
        <v>8778</v>
      </c>
      <c r="D21611" s="8">
        <v>0</v>
      </c>
      <c r="E21611" s="8">
        <v>0</v>
      </c>
      <c r="F21611" s="8">
        <v>1</v>
      </c>
    </row>
    <row r="21612" spans="1:6" ht="12.75">
      <c r="A21612" s="8">
        <v>43894.657337962963</v>
      </c>
      <c r="B21612" s="8" t="str">
        <f>HYPERLINK("https://twitter.com/UrubingDilah","@UrubingDilah")</f>
        <v>@UrubingDilah</v>
      </c>
      <c r="C21612" s="8" t="s">
        <v>6710</v>
      </c>
      <c r="D21612" s="8">
        <v>318</v>
      </c>
      <c r="E21612" s="8">
        <v>0</v>
      </c>
      <c r="F21612" s="8">
        <v>1359</v>
      </c>
    </row>
    <row r="21613" spans="1:6" ht="12.75">
      <c r="A21613" s="8">
        <v>43894.656585648147</v>
      </c>
      <c r="B21613" s="8" t="str">
        <f t="shared" ref="B21613:B21616" si="315">HYPERLINK("https://twitter.com/ruangobrol_id","@ruangobrol_id")</f>
        <v>@ruangobrol_id</v>
      </c>
      <c r="C21613" s="8" t="s">
        <v>8779</v>
      </c>
      <c r="D21613" s="8">
        <v>0</v>
      </c>
      <c r="E21613" s="8">
        <v>0</v>
      </c>
      <c r="F21613" s="8">
        <v>163</v>
      </c>
    </row>
    <row r="21614" spans="1:6" ht="12.75">
      <c r="A21614" s="8">
        <v>43894.6565625</v>
      </c>
      <c r="B21614" s="8" t="str">
        <f t="shared" si="315"/>
        <v>@ruangobrol_id</v>
      </c>
      <c r="C21614" s="8" t="s">
        <v>8780</v>
      </c>
      <c r="D21614" s="8">
        <v>0</v>
      </c>
      <c r="E21614" s="8">
        <v>0</v>
      </c>
      <c r="F21614" s="8">
        <v>163</v>
      </c>
    </row>
    <row r="21615" spans="1:6" ht="12.75">
      <c r="A21615" s="8">
        <v>43894.6565625</v>
      </c>
      <c r="B21615" s="8" t="str">
        <f t="shared" si="315"/>
        <v>@ruangobrol_id</v>
      </c>
      <c r="C21615" s="8" t="s">
        <v>8781</v>
      </c>
      <c r="D21615" s="8">
        <v>0</v>
      </c>
      <c r="E21615" s="8">
        <v>0</v>
      </c>
      <c r="F21615" s="8">
        <v>163</v>
      </c>
    </row>
    <row r="21616" spans="1:6" ht="12.75">
      <c r="A21616" s="8">
        <v>43894.656539351854</v>
      </c>
      <c r="B21616" s="8" t="str">
        <f t="shared" si="315"/>
        <v>@ruangobrol_id</v>
      </c>
      <c r="C21616" s="8" t="s">
        <v>8782</v>
      </c>
      <c r="D21616" s="8">
        <v>0</v>
      </c>
      <c r="E21616" s="8">
        <v>0</v>
      </c>
      <c r="F21616" s="8">
        <v>163</v>
      </c>
    </row>
    <row r="21617" spans="1:6" ht="12.75">
      <c r="A21617" s="8">
        <v>43894.656423611115</v>
      </c>
      <c r="B21617" s="8" t="str">
        <f>HYPERLINK("https://twitter.com/HdrAbdurrahman","@HdrAbdurrahman")</f>
        <v>@HdrAbdurrahman</v>
      </c>
      <c r="C21617" s="8" t="s">
        <v>8078</v>
      </c>
      <c r="D21617" s="8">
        <v>21</v>
      </c>
      <c r="E21617" s="8">
        <v>0</v>
      </c>
      <c r="F21617" s="8">
        <v>4077</v>
      </c>
    </row>
    <row r="21618" spans="1:6" ht="12.75">
      <c r="A21618" s="8">
        <v>43894.656319444446</v>
      </c>
      <c r="B21618" s="8" t="str">
        <f>HYPERLINK("https://twitter.com/milamelissa09","@milamelissa09")</f>
        <v>@milamelissa09</v>
      </c>
      <c r="C21618" s="8" t="s">
        <v>8078</v>
      </c>
      <c r="D21618" s="8">
        <v>21</v>
      </c>
      <c r="E21618" s="8">
        <v>0</v>
      </c>
      <c r="F21618" s="8">
        <v>725</v>
      </c>
    </row>
    <row r="21619" spans="1:6" ht="12.75">
      <c r="A21619" s="8">
        <v>43894.656076388885</v>
      </c>
      <c r="B21619" s="8" t="str">
        <f>HYPERLINK("https://twitter.com/MinkaShodiq","@MinkaShodiq")</f>
        <v>@MinkaShodiq</v>
      </c>
      <c r="C21619" s="8" t="s">
        <v>8360</v>
      </c>
      <c r="D21619" s="8">
        <v>15</v>
      </c>
      <c r="E21619" s="8">
        <v>0</v>
      </c>
      <c r="F21619" s="8">
        <v>1517</v>
      </c>
    </row>
    <row r="21620" spans="1:6" ht="12.75">
      <c r="A21620" s="8">
        <v>43894.655960648146</v>
      </c>
      <c r="B21620" s="8" t="str">
        <f>HYPERLINK("https://twitter.com/sophianewtonjon","@sophianewtonjon")</f>
        <v>@sophianewtonjon</v>
      </c>
      <c r="C21620" s="8" t="s">
        <v>8783</v>
      </c>
      <c r="D21620" s="8">
        <v>0</v>
      </c>
      <c r="E21620" s="8">
        <v>0</v>
      </c>
      <c r="F21620" s="8">
        <v>117</v>
      </c>
    </row>
    <row r="21621" spans="1:6" ht="12.75">
      <c r="A21621" s="8">
        <v>43894.655428240745</v>
      </c>
      <c r="B21621" s="8" t="str">
        <f>HYPERLINK("https://twitter.com/MinkaShodiq","@MinkaShodiq")</f>
        <v>@MinkaShodiq</v>
      </c>
      <c r="C21621" s="8" t="s">
        <v>8115</v>
      </c>
      <c r="D21621" s="8">
        <v>159</v>
      </c>
      <c r="E21621" s="8">
        <v>0</v>
      </c>
      <c r="F21621" s="8">
        <v>1517</v>
      </c>
    </row>
    <row r="21622" spans="1:6" ht="12.75">
      <c r="A21622" s="8">
        <v>43894.655289351853</v>
      </c>
      <c r="B21622" s="8" t="str">
        <f>HYPERLINK("https://twitter.com/SetiawanWawat","@SetiawanWawat")</f>
        <v>@SetiawanWawat</v>
      </c>
      <c r="C21622" s="8" t="s">
        <v>6710</v>
      </c>
      <c r="D21622" s="8">
        <v>318</v>
      </c>
      <c r="E21622" s="8">
        <v>0</v>
      </c>
      <c r="F21622" s="8">
        <v>554</v>
      </c>
    </row>
    <row r="21623" spans="1:6" ht="12.75">
      <c r="A21623" s="8">
        <v>43894.654756944445</v>
      </c>
      <c r="B21623" s="8" t="str">
        <f>HYPERLINK("https://twitter.com/Tauffannn","@Tauffannn")</f>
        <v>@Tauffannn</v>
      </c>
      <c r="C21623" s="8" t="s">
        <v>8784</v>
      </c>
      <c r="D21623" s="8">
        <v>4</v>
      </c>
      <c r="E21623" s="8">
        <v>0</v>
      </c>
      <c r="F21623" s="8">
        <v>2626</v>
      </c>
    </row>
    <row r="21624" spans="1:6" ht="12.75">
      <c r="A21624" s="8">
        <v>43894.654699074075</v>
      </c>
      <c r="B21624" s="8" t="str">
        <f>HYPERLINK("https://twitter.com/rawkbastard","@rawkbastard")</f>
        <v>@rawkbastard</v>
      </c>
      <c r="C21624" s="8" t="s">
        <v>8230</v>
      </c>
      <c r="D21624" s="8">
        <v>67</v>
      </c>
      <c r="E21624" s="8">
        <v>0</v>
      </c>
      <c r="F21624" s="8">
        <v>245</v>
      </c>
    </row>
    <row r="21625" spans="1:6" ht="12.75">
      <c r="A21625" s="8">
        <v>43894.654409722221</v>
      </c>
      <c r="B21625" s="8" t="str">
        <f>HYPERLINK("https://twitter.com/Thejak_Milan","@Thejak_Milan")</f>
        <v>@Thejak_Milan</v>
      </c>
      <c r="C21625" s="8" t="s">
        <v>1970</v>
      </c>
      <c r="D21625" s="8">
        <v>1337</v>
      </c>
      <c r="E21625" s="8">
        <v>0</v>
      </c>
      <c r="F21625" s="8">
        <v>450</v>
      </c>
    </row>
    <row r="21626" spans="1:6" ht="12.75">
      <c r="A21626" s="8">
        <v>43894.654189814813</v>
      </c>
      <c r="B21626" s="8" t="str">
        <f>HYPERLINK("https://twitter.com/ceritasex168","@ceritasex168")</f>
        <v>@ceritasex168</v>
      </c>
      <c r="C21626" s="8" t="s">
        <v>8785</v>
      </c>
      <c r="D21626" s="8">
        <v>0</v>
      </c>
      <c r="E21626" s="8">
        <v>0</v>
      </c>
      <c r="F21626" s="8">
        <v>178</v>
      </c>
    </row>
    <row r="21627" spans="1:6" ht="12.75">
      <c r="A21627" s="8">
        <v>43894.654131944444</v>
      </c>
      <c r="B21627" s="8" t="str">
        <f>HYPERLINK("https://twitter.com/mahmara","@mahmara")</f>
        <v>@mahmara</v>
      </c>
      <c r="C21627" s="8" t="s">
        <v>8115</v>
      </c>
      <c r="D21627" s="8">
        <v>159</v>
      </c>
      <c r="E21627" s="8">
        <v>0</v>
      </c>
      <c r="F21627" s="8">
        <v>2225</v>
      </c>
    </row>
    <row r="21628" spans="1:6" ht="12.75">
      <c r="A21628" s="8">
        <v>43894.654027777782</v>
      </c>
      <c r="B21628" s="8" t="str">
        <f>HYPERLINK("https://twitter.com/nisaaad","@nisaaad")</f>
        <v>@nisaaad</v>
      </c>
      <c r="C21628" s="8" t="s">
        <v>2199</v>
      </c>
      <c r="D21628" s="8">
        <v>9076</v>
      </c>
      <c r="E21628" s="8">
        <v>0</v>
      </c>
      <c r="F21628" s="8">
        <v>81</v>
      </c>
    </row>
    <row r="21629" spans="1:6" ht="12.75">
      <c r="A21629" s="8">
        <v>43894.653634259259</v>
      </c>
      <c r="B21629" s="8" t="str">
        <f>HYPERLINK("https://twitter.com/andi_achilles","@andi_achilles")</f>
        <v>@andi_achilles</v>
      </c>
      <c r="C21629" s="8" t="s">
        <v>8078</v>
      </c>
      <c r="D21629" s="8">
        <v>21</v>
      </c>
      <c r="E21629" s="8">
        <v>0</v>
      </c>
      <c r="F21629" s="8">
        <v>1317</v>
      </c>
    </row>
    <row r="21630" spans="1:6" ht="12.75">
      <c r="A21630" s="8">
        <v>43894.653553240743</v>
      </c>
      <c r="B21630" s="8" t="str">
        <f>HYPERLINK("https://twitter.com/okezonenews","@okezonenews")</f>
        <v>@okezonenews</v>
      </c>
      <c r="C21630" s="8" t="s">
        <v>8786</v>
      </c>
      <c r="D21630" s="8">
        <v>0</v>
      </c>
      <c r="E21630" s="8">
        <v>0</v>
      </c>
      <c r="F21630" s="8">
        <v>1743905</v>
      </c>
    </row>
    <row r="21631" spans="1:6" ht="12.75">
      <c r="A21631" s="8">
        <v>43894.653414351851</v>
      </c>
      <c r="B21631" s="8" t="str">
        <f>HYPERLINK("https://twitter.com/Hillwan","@Hillwan")</f>
        <v>@Hillwan</v>
      </c>
      <c r="C21631" s="8" t="s">
        <v>8787</v>
      </c>
      <c r="D21631" s="8">
        <v>1</v>
      </c>
      <c r="E21631" s="8">
        <v>0</v>
      </c>
      <c r="F21631" s="8">
        <v>177</v>
      </c>
    </row>
    <row r="21632" spans="1:6" ht="12.75">
      <c r="A21632" s="8">
        <v>43894.65253472222</v>
      </c>
      <c r="B21632" s="8" t="str">
        <f t="shared" ref="B21632:B21633" si="316">HYPERLINK("https://twitter.com/syamsulhadi_ae","@syamsulhadi_ae")</f>
        <v>@syamsulhadi_ae</v>
      </c>
      <c r="C21632" s="8" t="s">
        <v>6710</v>
      </c>
      <c r="D21632" s="8">
        <v>318</v>
      </c>
      <c r="E21632" s="8">
        <v>0</v>
      </c>
      <c r="F21632" s="8">
        <v>247</v>
      </c>
    </row>
    <row r="21633" spans="1:6" ht="12.75">
      <c r="A21633" s="8">
        <v>43894.652245370366</v>
      </c>
      <c r="B21633" s="8" t="str">
        <f t="shared" si="316"/>
        <v>@syamsulhadi_ae</v>
      </c>
      <c r="C21633" s="8" t="s">
        <v>8212</v>
      </c>
      <c r="D21633" s="8">
        <v>104</v>
      </c>
      <c r="E21633" s="8">
        <v>0</v>
      </c>
      <c r="F21633" s="8">
        <v>247</v>
      </c>
    </row>
    <row r="21634" spans="1:6" ht="12.75">
      <c r="A21634" s="8">
        <v>43894.651678240742</v>
      </c>
      <c r="B21634" s="8" t="str">
        <f>HYPERLINK("https://twitter.com/cantikaTiiikaaa","@cantikaTiiikaaa")</f>
        <v>@cantikaTiiikaaa</v>
      </c>
      <c r="C21634" s="8" t="s">
        <v>7848</v>
      </c>
      <c r="D21634" s="8">
        <v>50</v>
      </c>
      <c r="E21634" s="8">
        <v>0</v>
      </c>
      <c r="F21634" s="8">
        <v>134</v>
      </c>
    </row>
    <row r="21635" spans="1:6" ht="12.75">
      <c r="A21635" s="8">
        <v>43894.651643518519</v>
      </c>
      <c r="B21635" s="8" t="str">
        <f>HYPERLINK("https://twitter.com/DavidKanata","@DavidKanata")</f>
        <v>@DavidKanata</v>
      </c>
      <c r="C21635" s="8" t="s">
        <v>7969</v>
      </c>
      <c r="D21635" s="8">
        <v>19</v>
      </c>
      <c r="E21635" s="8">
        <v>0</v>
      </c>
      <c r="F21635" s="8">
        <v>1308</v>
      </c>
    </row>
    <row r="21636" spans="1:6" ht="12.75">
      <c r="A21636" s="8">
        <v>43894.651516203703</v>
      </c>
      <c r="B21636" s="8" t="str">
        <f>HYPERLINK("https://twitter.com/OksyaJhalos","@OksyaJhalos")</f>
        <v>@OksyaJhalos</v>
      </c>
      <c r="C21636" s="8" t="s">
        <v>8574</v>
      </c>
      <c r="D21636" s="8">
        <v>3</v>
      </c>
      <c r="E21636" s="8">
        <v>0</v>
      </c>
      <c r="F21636" s="8">
        <v>1128</v>
      </c>
    </row>
    <row r="21637" spans="1:6" ht="12.75">
      <c r="A21637" s="8">
        <v>43894.65148148148</v>
      </c>
      <c r="B21637" s="8" t="str">
        <f>HYPERLINK("https://twitter.com/mbak_luluk","@mbak_luluk")</f>
        <v>@mbak_luluk</v>
      </c>
      <c r="C21637" s="8" t="s">
        <v>7848</v>
      </c>
      <c r="D21637" s="8">
        <v>50</v>
      </c>
      <c r="E21637" s="8">
        <v>0</v>
      </c>
      <c r="F21637" s="8">
        <v>311</v>
      </c>
    </row>
    <row r="21638" spans="1:6" ht="12.75">
      <c r="A21638" s="8">
        <v>43894.651307870372</v>
      </c>
      <c r="B21638" s="8" t="str">
        <f>HYPERLINK("https://twitter.com/biru_segitiga","@biru_segitiga")</f>
        <v>@biru_segitiga</v>
      </c>
      <c r="C21638" s="8" t="s">
        <v>7848</v>
      </c>
      <c r="D21638" s="8">
        <v>50</v>
      </c>
      <c r="E21638" s="8">
        <v>0</v>
      </c>
      <c r="F21638" s="8">
        <v>158</v>
      </c>
    </row>
    <row r="21639" spans="1:6" ht="12.75">
      <c r="A21639" s="8">
        <v>43894.651296296295</v>
      </c>
      <c r="B21639" s="8" t="str">
        <f>HYPERLINK("https://twitter.com/masgoen763","@masgoen763")</f>
        <v>@masgoen763</v>
      </c>
      <c r="C21639" s="8" t="s">
        <v>1970</v>
      </c>
      <c r="D21639" s="8">
        <v>1337</v>
      </c>
      <c r="E21639" s="8">
        <v>0</v>
      </c>
      <c r="F21639" s="8">
        <v>51</v>
      </c>
    </row>
    <row r="21640" spans="1:6" ht="12.75">
      <c r="A21640" s="8">
        <v>43894.651134259257</v>
      </c>
      <c r="B21640" s="8" t="str">
        <f>HYPERLINK("https://twitter.com/jagoayam9","@jagoayam9")</f>
        <v>@jagoayam9</v>
      </c>
      <c r="C21640" s="8" t="s">
        <v>7848</v>
      </c>
      <c r="D21640" s="8">
        <v>50</v>
      </c>
      <c r="E21640" s="8">
        <v>0</v>
      </c>
      <c r="F21640" s="8">
        <v>110</v>
      </c>
    </row>
    <row r="21641" spans="1:6" ht="12.75">
      <c r="A21641" s="8">
        <v>43894.651006944448</v>
      </c>
      <c r="B21641" s="8" t="str">
        <f>HYPERLINK("https://twitter.com/marisadatra","@marisadatra")</f>
        <v>@marisadatra</v>
      </c>
      <c r="C21641" s="8" t="s">
        <v>7969</v>
      </c>
      <c r="D21641" s="8">
        <v>19</v>
      </c>
      <c r="E21641" s="8">
        <v>0</v>
      </c>
      <c r="F21641" s="8">
        <v>1856</v>
      </c>
    </row>
    <row r="21642" spans="1:6" ht="12.75">
      <c r="A21642" s="8">
        <v>43894.650972222225</v>
      </c>
      <c r="B21642" s="8" t="str">
        <f>HYPERLINK("https://twitter.com/AnggitaMaula","@AnggitaMaula")</f>
        <v>@AnggitaMaula</v>
      </c>
      <c r="C21642" s="8" t="s">
        <v>7848</v>
      </c>
      <c r="D21642" s="8">
        <v>50</v>
      </c>
      <c r="E21642" s="8">
        <v>0</v>
      </c>
      <c r="F21642" s="8">
        <v>52</v>
      </c>
    </row>
    <row r="21643" spans="1:6" ht="12.75">
      <c r="A21643" s="8">
        <v>43894.650949074072</v>
      </c>
      <c r="B21643" s="8" t="str">
        <f>HYPERLINK("https://twitter.com/AripinIpiiin","@AripinIpiiin")</f>
        <v>@AripinIpiiin</v>
      </c>
      <c r="C21643" s="8" t="s">
        <v>7848</v>
      </c>
      <c r="D21643" s="8">
        <v>50</v>
      </c>
      <c r="E21643" s="8">
        <v>0</v>
      </c>
      <c r="F21643" s="8">
        <v>101</v>
      </c>
    </row>
    <row r="21644" spans="1:6" ht="12.75">
      <c r="A21644" s="8">
        <v>43894.650810185187</v>
      </c>
      <c r="B21644" s="8" t="str">
        <f>HYPERLINK("https://twitter.com/SangKelana_70","@SangKelana_70")</f>
        <v>@SangKelana_70</v>
      </c>
      <c r="C21644" s="8" t="s">
        <v>7845</v>
      </c>
      <c r="D21644" s="8">
        <v>48</v>
      </c>
      <c r="E21644" s="8">
        <v>0</v>
      </c>
      <c r="F21644" s="8">
        <v>3174</v>
      </c>
    </row>
    <row r="21645" spans="1:6" ht="12.75">
      <c r="A21645" s="8">
        <v>43894.650787037041</v>
      </c>
      <c r="B21645" s="8" t="str">
        <f>HYPERLINK("https://twitter.com/Mbanteng2","@Mbanteng2")</f>
        <v>@Mbanteng2</v>
      </c>
      <c r="C21645" s="8" t="s">
        <v>7848</v>
      </c>
      <c r="D21645" s="8">
        <v>50</v>
      </c>
      <c r="E21645" s="8">
        <v>0</v>
      </c>
      <c r="F21645" s="8">
        <v>117</v>
      </c>
    </row>
    <row r="21646" spans="1:6" ht="12.75">
      <c r="A21646" s="8">
        <v>43894.650578703702</v>
      </c>
      <c r="B21646" s="8" t="str">
        <f>HYPERLINK("https://twitter.com/EvySaraswati","@EvySaraswati")</f>
        <v>@EvySaraswati</v>
      </c>
      <c r="C21646" s="8" t="s">
        <v>7848</v>
      </c>
      <c r="D21646" s="8">
        <v>50</v>
      </c>
      <c r="E21646" s="8">
        <v>0</v>
      </c>
      <c r="F21646" s="8">
        <v>174</v>
      </c>
    </row>
    <row r="21647" spans="1:6" ht="12.75">
      <c r="A21647" s="8">
        <v>43894.650381944448</v>
      </c>
      <c r="B21647" s="8" t="str">
        <f>HYPERLINK("https://twitter.com/SitiManjaroh","@SitiManjaroh")</f>
        <v>@SitiManjaroh</v>
      </c>
      <c r="C21647" s="8" t="s">
        <v>7848</v>
      </c>
      <c r="D21647" s="8">
        <v>50</v>
      </c>
      <c r="E21647" s="8">
        <v>0</v>
      </c>
      <c r="F21647" s="8">
        <v>126</v>
      </c>
    </row>
    <row r="21648" spans="1:6" ht="12.75">
      <c r="A21648" s="8">
        <v>43894.631689814814</v>
      </c>
      <c r="B21648" s="8" t="str">
        <f>HYPERLINK("https://twitter.com/dianunung","@dianunung")</f>
        <v>@dianunung</v>
      </c>
      <c r="C21648" s="8" t="s">
        <v>7848</v>
      </c>
      <c r="D21648" s="8">
        <v>17</v>
      </c>
      <c r="E21648" s="8">
        <v>0</v>
      </c>
      <c r="F21648" s="8">
        <v>58</v>
      </c>
    </row>
    <row r="21649" spans="1:6" ht="12.75">
      <c r="A21649" s="8">
        <v>43894.631203703699</v>
      </c>
      <c r="B21649" s="8" t="str">
        <f>HYPERLINK("https://twitter.com/eradotid","@eradotid")</f>
        <v>@eradotid</v>
      </c>
      <c r="C21649" s="8" t="s">
        <v>8788</v>
      </c>
      <c r="D21649" s="8">
        <v>0</v>
      </c>
      <c r="E21649" s="8">
        <v>0</v>
      </c>
      <c r="F21649" s="8">
        <v>2614</v>
      </c>
    </row>
    <row r="21650" spans="1:6" ht="12.75">
      <c r="A21650" s="8">
        <v>43894.63108796296</v>
      </c>
      <c r="B21650" s="8" t="str">
        <f>HYPERLINK("https://twitter.com/kardusbox08","@kardusbox08")</f>
        <v>@kardusbox08</v>
      </c>
      <c r="C21650" s="8" t="s">
        <v>8789</v>
      </c>
      <c r="D21650" s="8">
        <v>5</v>
      </c>
      <c r="E21650" s="8">
        <v>0</v>
      </c>
      <c r="F21650" s="8">
        <v>1764</v>
      </c>
    </row>
    <row r="21651" spans="1:6" ht="12.75">
      <c r="A21651" s="8">
        <v>43894.630902777775</v>
      </c>
      <c r="B21651" s="8" t="str">
        <f>HYPERLINK("https://twitter.com/AriW15339921","@AriW15339921")</f>
        <v>@AriW15339921</v>
      </c>
      <c r="C21651" s="8" t="s">
        <v>8790</v>
      </c>
      <c r="D21651" s="8">
        <v>0</v>
      </c>
      <c r="E21651" s="8">
        <v>0</v>
      </c>
      <c r="F21651" s="8">
        <v>8</v>
      </c>
    </row>
    <row r="21652" spans="1:6" ht="12.75">
      <c r="A21652" s="8">
        <v>43894.630775462967</v>
      </c>
      <c r="B21652" s="8" t="str">
        <f>HYPERLINK("https://twitter.com/WartawanPensiun","@WartawanPensiun")</f>
        <v>@WartawanPensiun</v>
      </c>
      <c r="C21652" s="8" t="s">
        <v>8791</v>
      </c>
      <c r="D21652" s="8">
        <v>1</v>
      </c>
      <c r="E21652" s="8">
        <v>1</v>
      </c>
      <c r="F21652" s="8">
        <v>7094</v>
      </c>
    </row>
    <row r="21653" spans="1:6" ht="12.75">
      <c r="A21653" s="8">
        <v>43894.630601851852</v>
      </c>
      <c r="B21653" s="8" t="str">
        <f>HYPERLINK("https://twitter.com/vika_humairoh","@vika_humairoh")</f>
        <v>@vika_humairoh</v>
      </c>
      <c r="C21653" s="8" t="s">
        <v>8792</v>
      </c>
      <c r="D21653" s="8">
        <v>0</v>
      </c>
      <c r="E21653" s="8">
        <v>0</v>
      </c>
      <c r="F21653" s="8">
        <v>60</v>
      </c>
    </row>
    <row r="21654" spans="1:6" ht="12.75">
      <c r="A21654" s="8">
        <v>43894.630590277782</v>
      </c>
      <c r="B21654" s="8" t="str">
        <f>HYPERLINK("https://twitter.com/n1ckeff","@n1ckeff")</f>
        <v>@n1ckeff</v>
      </c>
      <c r="C21654" s="8" t="s">
        <v>7604</v>
      </c>
      <c r="D21654" s="8">
        <v>25</v>
      </c>
      <c r="E21654" s="8">
        <v>0</v>
      </c>
      <c r="F21654" s="8">
        <v>3862</v>
      </c>
    </row>
    <row r="21655" spans="1:6" ht="12.75">
      <c r="A21655" s="8">
        <v>43894.630555555559</v>
      </c>
      <c r="B21655" s="8" t="str">
        <f>HYPERLINK("https://twitter.com/Detektif_Ngibul","@Detektif_Ngibul")</f>
        <v>@Detektif_Ngibul</v>
      </c>
      <c r="C21655" s="8" t="s">
        <v>8194</v>
      </c>
      <c r="D21655" s="8">
        <v>49</v>
      </c>
      <c r="E21655" s="8">
        <v>0</v>
      </c>
      <c r="F21655" s="8">
        <v>1593</v>
      </c>
    </row>
    <row r="21656" spans="1:6" ht="12.75">
      <c r="A21656" s="8">
        <v>43894.630347222221</v>
      </c>
      <c r="B21656" s="8" t="str">
        <f>HYPERLINK("https://twitter.com/yadiborneo85","@yadiborneo85")</f>
        <v>@yadiborneo85</v>
      </c>
      <c r="C21656" s="8" t="s">
        <v>1970</v>
      </c>
      <c r="D21656" s="8">
        <v>1334</v>
      </c>
      <c r="E21656" s="8">
        <v>0</v>
      </c>
      <c r="F21656" s="8">
        <v>109</v>
      </c>
    </row>
    <row r="21657" spans="1:6" ht="12.75">
      <c r="A21657" s="8">
        <v>43894.630231481482</v>
      </c>
      <c r="B21657" s="8" t="str">
        <f>HYPERLINK("https://twitter.com/TFaizasyah","@TFaizasyah")</f>
        <v>@TFaizasyah</v>
      </c>
      <c r="C21657" s="8" t="s">
        <v>7700</v>
      </c>
      <c r="D21657" s="8">
        <v>27</v>
      </c>
      <c r="E21657" s="8">
        <v>0</v>
      </c>
      <c r="F21657" s="8">
        <v>2273</v>
      </c>
    </row>
    <row r="21658" spans="1:6" ht="12.75">
      <c r="A21658" s="8">
        <v>43894.630069444444</v>
      </c>
      <c r="B21658" s="8" t="str">
        <f>HYPERLINK("https://twitter.com/priasedayu","@priasedayu")</f>
        <v>@priasedayu</v>
      </c>
      <c r="C21658" s="8" t="s">
        <v>8793</v>
      </c>
      <c r="D21658" s="8">
        <v>0</v>
      </c>
      <c r="E21658" s="8">
        <v>0</v>
      </c>
      <c r="F21658" s="8">
        <v>959</v>
      </c>
    </row>
    <row r="21659" spans="1:6" ht="12.75">
      <c r="A21659" s="8">
        <v>43894.629780092597</v>
      </c>
      <c r="B21659" s="8" t="str">
        <f>HYPERLINK("https://twitter.com/KadrunEdan","@KadrunEdan")</f>
        <v>@KadrunEdan</v>
      </c>
      <c r="C21659" s="8" t="s">
        <v>8794</v>
      </c>
      <c r="D21659" s="8">
        <v>0</v>
      </c>
      <c r="E21659" s="8">
        <v>0</v>
      </c>
      <c r="F21659" s="8">
        <v>1881</v>
      </c>
    </row>
    <row r="21660" spans="1:6" ht="12.75">
      <c r="A21660" s="8">
        <v>43894.628750000003</v>
      </c>
      <c r="B21660" s="8" t="str">
        <f>HYPERLINK("https://twitter.com/DedyNad_id","@DedyNad_id")</f>
        <v>@DedyNad_id</v>
      </c>
      <c r="C21660" s="8" t="s">
        <v>7604</v>
      </c>
      <c r="D21660" s="8">
        <v>25</v>
      </c>
      <c r="E21660" s="8">
        <v>0</v>
      </c>
      <c r="F21660" s="8">
        <v>4092</v>
      </c>
    </row>
    <row r="21661" spans="1:6" ht="12.75">
      <c r="A21661" s="8">
        <v>43894.628460648149</v>
      </c>
      <c r="B21661" s="8" t="str">
        <f>HYPERLINK("https://twitter.com/duhmnas3","@duhmnas3")</f>
        <v>@duhmnas3</v>
      </c>
      <c r="C21661" s="8" t="s">
        <v>8078</v>
      </c>
      <c r="D21661" s="8">
        <v>8</v>
      </c>
      <c r="E21661" s="8">
        <v>0</v>
      </c>
      <c r="F21661" s="8">
        <v>1531</v>
      </c>
    </row>
    <row r="21662" spans="1:6" ht="12.75">
      <c r="A21662" s="8">
        <v>43894.628113425926</v>
      </c>
      <c r="B21662" s="8" t="str">
        <f>HYPERLINK("https://twitter.com/anger_silent","@anger_silent")</f>
        <v>@anger_silent</v>
      </c>
      <c r="C21662" s="8" t="s">
        <v>8078</v>
      </c>
      <c r="D21662" s="8">
        <v>8</v>
      </c>
      <c r="E21662" s="8">
        <v>0</v>
      </c>
      <c r="F21662" s="8">
        <v>411</v>
      </c>
    </row>
    <row r="21663" spans="1:6" ht="12.75">
      <c r="A21663" s="8">
        <v>43894.627858796295</v>
      </c>
      <c r="B21663" s="8" t="str">
        <f>HYPERLINK("https://twitter.com/165NLM","@165NLM")</f>
        <v>@165NLM</v>
      </c>
      <c r="C21663" s="8" t="s">
        <v>8078</v>
      </c>
      <c r="D21663" s="8">
        <v>8</v>
      </c>
      <c r="E21663" s="8">
        <v>0</v>
      </c>
      <c r="F21663" s="8">
        <v>1525</v>
      </c>
    </row>
    <row r="21664" spans="1:6" ht="12.75">
      <c r="A21664" s="8">
        <v>43894.627824074079</v>
      </c>
      <c r="B21664" s="8" t="str">
        <f>HYPERLINK("https://twitter.com/ruangobrol_id","@ruangobrol_id")</f>
        <v>@ruangobrol_id</v>
      </c>
      <c r="C21664" s="8" t="s">
        <v>8795</v>
      </c>
      <c r="D21664" s="8">
        <v>0</v>
      </c>
      <c r="E21664" s="8">
        <v>0</v>
      </c>
      <c r="F21664" s="8">
        <v>163</v>
      </c>
    </row>
    <row r="21665" spans="1:6" ht="12.75">
      <c r="A21665" s="8">
        <v>43894.627824074079</v>
      </c>
      <c r="B21665" s="8" t="str">
        <f>HYPERLINK("https://twitter.com/BaladMu","@BaladMu")</f>
        <v>@BaladMu</v>
      </c>
      <c r="C21665" s="8" t="s">
        <v>8796</v>
      </c>
      <c r="D21665" s="8">
        <v>0</v>
      </c>
      <c r="E21665" s="8">
        <v>0</v>
      </c>
      <c r="F21665" s="8">
        <v>1354</v>
      </c>
    </row>
    <row r="21666" spans="1:6" ht="12.75">
      <c r="A21666" s="8">
        <v>43894.627523148149</v>
      </c>
      <c r="B21666" s="8" t="str">
        <f>HYPERLINK("https://twitter.com/arpanparutang","@arpanparutang")</f>
        <v>@arpanparutang</v>
      </c>
      <c r="C21666" s="8" t="s">
        <v>7969</v>
      </c>
      <c r="D21666" s="8">
        <v>9</v>
      </c>
      <c r="E21666" s="8">
        <v>0</v>
      </c>
      <c r="F21666" s="8">
        <v>457</v>
      </c>
    </row>
    <row r="21667" spans="1:6" ht="12.75">
      <c r="A21667" s="8">
        <v>43894.627407407403</v>
      </c>
      <c r="B21667" s="8" t="str">
        <f>HYPERLINK("https://twitter.com/Gemacan70Back","@Gemacan70Back")</f>
        <v>@Gemacan70Back</v>
      </c>
      <c r="C21667" s="8" t="s">
        <v>8078</v>
      </c>
      <c r="D21667" s="8">
        <v>8</v>
      </c>
      <c r="E21667" s="8">
        <v>0</v>
      </c>
      <c r="F21667" s="8">
        <v>9491</v>
      </c>
    </row>
    <row r="21668" spans="1:6" ht="12.75">
      <c r="A21668" s="8">
        <v>43894.627395833333</v>
      </c>
      <c r="B21668" s="8" t="str">
        <f>HYPERLINK("https://twitter.com/D_m3chy","@D_m3chy")</f>
        <v>@D_m3chy</v>
      </c>
      <c r="C21668" s="8" t="s">
        <v>8078</v>
      </c>
      <c r="D21668" s="8">
        <v>8</v>
      </c>
      <c r="E21668" s="8">
        <v>0</v>
      </c>
      <c r="F21668" s="8">
        <v>19829</v>
      </c>
    </row>
    <row r="21669" spans="1:6" ht="12.75">
      <c r="A21669" s="8">
        <v>43894.626851851848</v>
      </c>
      <c r="B21669" s="8" t="str">
        <f>HYPERLINK("https://twitter.com/idpenamini","@idpenamini")</f>
        <v>@idpenamini</v>
      </c>
      <c r="C21669" s="8" t="s">
        <v>8722</v>
      </c>
      <c r="D21669" s="8">
        <v>0</v>
      </c>
      <c r="E21669" s="8">
        <v>0</v>
      </c>
      <c r="F21669" s="8">
        <v>173</v>
      </c>
    </row>
    <row r="21670" spans="1:6" ht="12.75">
      <c r="A21670" s="8">
        <v>43894.626770833333</v>
      </c>
      <c r="B21670" s="8" t="str">
        <f>HYPERLINK("https://twitter.com/rimba_ari_purba","@rimba_ari_purba")</f>
        <v>@rimba_ari_purba</v>
      </c>
      <c r="C21670" s="8" t="s">
        <v>7969</v>
      </c>
      <c r="D21670" s="8">
        <v>9</v>
      </c>
      <c r="E21670" s="8">
        <v>0</v>
      </c>
      <c r="F21670" s="8">
        <v>4264</v>
      </c>
    </row>
    <row r="21671" spans="1:6" ht="12.75">
      <c r="A21671" s="8">
        <v>43894.626689814817</v>
      </c>
      <c r="B21671" s="8" t="str">
        <f>HYPERLINK("https://twitter.com/sukatanyaj","@sukatanyaj")</f>
        <v>@sukatanyaj</v>
      </c>
      <c r="C21671" s="8" t="s">
        <v>8078</v>
      </c>
      <c r="D21671" s="8">
        <v>8</v>
      </c>
      <c r="E21671" s="8">
        <v>0</v>
      </c>
      <c r="F21671" s="8">
        <v>5693</v>
      </c>
    </row>
    <row r="21672" spans="1:6" ht="12.75">
      <c r="A21672" s="8">
        <v>43894.626516203702</v>
      </c>
      <c r="B21672" s="8" t="str">
        <f>HYPERLINK("https://twitter.com/wow_keren","@wow_keren")</f>
        <v>@wow_keren</v>
      </c>
      <c r="C21672" s="8" t="s">
        <v>8797</v>
      </c>
      <c r="D21672" s="8">
        <v>0</v>
      </c>
      <c r="E21672" s="8">
        <v>0</v>
      </c>
      <c r="F21672" s="8">
        <v>32028</v>
      </c>
    </row>
    <row r="21673" spans="1:6" ht="12.75">
      <c r="A21673" s="8">
        <v>43894.626469907409</v>
      </c>
      <c r="B21673" s="8" t="str">
        <f>HYPERLINK("https://twitter.com/kasehsaulmouk","@kasehsaulmouk")</f>
        <v>@kasehsaulmouk</v>
      </c>
      <c r="C21673" s="8" t="s">
        <v>8798</v>
      </c>
      <c r="D21673" s="8">
        <v>10</v>
      </c>
      <c r="E21673" s="8">
        <v>0</v>
      </c>
      <c r="F21673" s="8">
        <v>3726</v>
      </c>
    </row>
    <row r="21674" spans="1:6" ht="12.75">
      <c r="A21674" s="8">
        <v>43894.626423611116</v>
      </c>
      <c r="B21674" s="8" t="str">
        <f>HYPERLINK("https://twitter.com/tribunnews","@tribunnews")</f>
        <v>@tribunnews</v>
      </c>
      <c r="C21674" s="8" t="s">
        <v>7957</v>
      </c>
      <c r="D21674" s="8">
        <v>0</v>
      </c>
      <c r="E21674" s="8">
        <v>0</v>
      </c>
      <c r="F21674" s="8">
        <v>887958</v>
      </c>
    </row>
    <row r="21675" spans="1:6" ht="12.75">
      <c r="A21675" s="8">
        <v>43894.626400462963</v>
      </c>
      <c r="B21675" s="8" t="str">
        <f>HYPERLINK("https://twitter.com/Khong_Beng","@Khong_Beng")</f>
        <v>@Khong_Beng</v>
      </c>
      <c r="C21675" s="8" t="s">
        <v>8799</v>
      </c>
      <c r="D21675" s="8">
        <v>5</v>
      </c>
      <c r="E21675" s="8">
        <v>0</v>
      </c>
      <c r="F21675" s="8">
        <v>161</v>
      </c>
    </row>
    <row r="21676" spans="1:6" ht="12.75">
      <c r="A21676" s="8">
        <v>43894.626342592594</v>
      </c>
      <c r="B21676" s="8" t="str">
        <f>HYPERLINK("https://twitter.com/ruangobrol_id","@ruangobrol_id")</f>
        <v>@ruangobrol_id</v>
      </c>
      <c r="C21676" s="8" t="s">
        <v>8800</v>
      </c>
      <c r="D21676" s="8">
        <v>0</v>
      </c>
      <c r="E21676" s="8">
        <v>0</v>
      </c>
      <c r="F21676" s="8">
        <v>163</v>
      </c>
    </row>
    <row r="21677" spans="1:6" ht="12.75">
      <c r="A21677" s="8">
        <v>43894.626296296294</v>
      </c>
      <c r="B21677" s="8" t="str">
        <f>HYPERLINK("https://twitter.com/Gadgetyotta","@Gadgetyotta")</f>
        <v>@Gadgetyotta</v>
      </c>
      <c r="C21677" s="8" t="s">
        <v>8493</v>
      </c>
      <c r="D21677" s="8">
        <v>8</v>
      </c>
      <c r="E21677" s="8">
        <v>0</v>
      </c>
      <c r="F21677" s="8">
        <v>44</v>
      </c>
    </row>
    <row r="21678" spans="1:6" ht="12.75">
      <c r="A21678" s="8">
        <v>43894.626226851848</v>
      </c>
      <c r="B21678" s="8" t="str">
        <f>HYPERLINK("https://twitter.com/_doncorleone_78","@_doncorleone_78")</f>
        <v>@_doncorleone_78</v>
      </c>
      <c r="C21678" s="8" t="s">
        <v>8078</v>
      </c>
      <c r="D21678" s="8">
        <v>8</v>
      </c>
      <c r="E21678" s="8">
        <v>0</v>
      </c>
      <c r="F21678" s="8">
        <v>1534</v>
      </c>
    </row>
    <row r="21679" spans="1:6" ht="12.75">
      <c r="A21679" s="8">
        <v>43894.626134259262</v>
      </c>
      <c r="B21679" s="8" t="str">
        <f>HYPERLINK("https://twitter.com/AjieKlowor","@AjieKlowor")</f>
        <v>@AjieKlowor</v>
      </c>
      <c r="C21679" s="8" t="s">
        <v>8351</v>
      </c>
      <c r="D21679" s="8">
        <v>1</v>
      </c>
      <c r="E21679" s="8">
        <v>0</v>
      </c>
      <c r="F21679" s="8">
        <v>991</v>
      </c>
    </row>
    <row r="21680" spans="1:6" ht="12.75">
      <c r="A21680" s="8">
        <v>43894.626041666663</v>
      </c>
      <c r="B21680" s="8" t="str">
        <f>HYPERLINK("https://twitter.com/LauraBe36003493","@LauraBe36003493")</f>
        <v>@LauraBe36003493</v>
      </c>
      <c r="C21680" s="8" t="s">
        <v>8801</v>
      </c>
      <c r="D21680" s="8">
        <v>0</v>
      </c>
      <c r="E21680" s="8">
        <v>0</v>
      </c>
      <c r="F21680" s="8">
        <v>354</v>
      </c>
    </row>
    <row r="21681" spans="1:6" ht="12.75">
      <c r="A21681" s="8">
        <v>43894.625763888893</v>
      </c>
      <c r="B21681" s="8" t="str">
        <f>HYPERLINK("https://twitter.com/n1ckeff","@n1ckeff")</f>
        <v>@n1ckeff</v>
      </c>
      <c r="C21681" s="8" t="s">
        <v>7969</v>
      </c>
      <c r="D21681" s="8">
        <v>9</v>
      </c>
      <c r="E21681" s="8">
        <v>0</v>
      </c>
      <c r="F21681" s="8">
        <v>3862</v>
      </c>
    </row>
    <row r="21682" spans="1:6" ht="12.75">
      <c r="A21682" s="8">
        <v>43894.625567129631</v>
      </c>
      <c r="B21682" s="8" t="str">
        <f>HYPERLINK("https://twitter.com/Qistinaqqhi","@Qistinaqqhi")</f>
        <v>@Qistinaqqhi</v>
      </c>
      <c r="C21682" s="8" t="s">
        <v>6710</v>
      </c>
      <c r="D21682" s="8">
        <v>301</v>
      </c>
      <c r="E21682" s="8">
        <v>0</v>
      </c>
      <c r="F21682" s="8">
        <v>954</v>
      </c>
    </row>
    <row r="21683" spans="1:6" ht="12.75">
      <c r="A21683" s="8">
        <v>43894.625428240739</v>
      </c>
      <c r="B21683" s="8" t="str">
        <f>HYPERLINK("https://twitter.com/haluanghabang","@haluanghabang")</f>
        <v>@haluanghabang</v>
      </c>
      <c r="C21683" s="8" t="s">
        <v>6710</v>
      </c>
      <c r="D21683" s="8">
        <v>301</v>
      </c>
      <c r="E21683" s="8">
        <v>0</v>
      </c>
      <c r="F21683" s="8">
        <v>984</v>
      </c>
    </row>
    <row r="21684" spans="1:6" ht="12.75">
      <c r="A21684" s="8">
        <v>43894.625289351854</v>
      </c>
      <c r="B21684" s="8" t="str">
        <f>HYPERLINK("https://twitter.com/joey_speed","@joey_speed")</f>
        <v>@joey_speed</v>
      </c>
      <c r="C21684" s="8" t="s">
        <v>8212</v>
      </c>
      <c r="D21684" s="8">
        <v>89</v>
      </c>
      <c r="E21684" s="8">
        <v>0</v>
      </c>
      <c r="F21684" s="8">
        <v>93</v>
      </c>
    </row>
    <row r="21685" spans="1:6" ht="12.75">
      <c r="A21685" s="8">
        <v>43894.625289351854</v>
      </c>
      <c r="B21685" s="8" t="str">
        <f>HYPERLINK("https://twitter.com/garizahgp","@garizahgp")</f>
        <v>@garizahgp</v>
      </c>
      <c r="C21685" s="8" t="s">
        <v>1427</v>
      </c>
      <c r="D21685" s="8">
        <v>1029</v>
      </c>
      <c r="E21685" s="8">
        <v>0</v>
      </c>
      <c r="F21685" s="8">
        <v>950</v>
      </c>
    </row>
    <row r="21686" spans="1:6" ht="12.75">
      <c r="A21686" s="8">
        <v>43894.625208333338</v>
      </c>
      <c r="B21686" s="8" t="str">
        <f>HYPERLINK("https://twitter.com/Gemacan70Back","@Gemacan70Back")</f>
        <v>@Gemacan70Back</v>
      </c>
      <c r="C21686" s="8" t="s">
        <v>8802</v>
      </c>
      <c r="D21686" s="8">
        <v>8</v>
      </c>
      <c r="E21686" s="8">
        <v>4</v>
      </c>
      <c r="F21686" s="8">
        <v>9491</v>
      </c>
    </row>
    <row r="21687" spans="1:6" ht="12.75">
      <c r="A21687" s="8">
        <v>43894.625162037039</v>
      </c>
      <c r="B21687" s="8" t="str">
        <f>HYPERLINK("https://twitter.com/Rivelia9","@Rivelia9")</f>
        <v>@Rivelia9</v>
      </c>
      <c r="C21687" s="8" t="s">
        <v>8803</v>
      </c>
      <c r="D21687" s="8">
        <v>0</v>
      </c>
      <c r="E21687" s="8">
        <v>0</v>
      </c>
      <c r="F21687" s="8">
        <v>0</v>
      </c>
    </row>
    <row r="21688" spans="1:6" ht="12.75">
      <c r="A21688" s="8">
        <v>43894.625069444446</v>
      </c>
      <c r="B21688" s="8" t="str">
        <f>HYPERLINK("https://twitter.com/MalinParmato7","@MalinParmato7")</f>
        <v>@MalinParmato7</v>
      </c>
      <c r="C21688" s="8" t="s">
        <v>1970</v>
      </c>
      <c r="D21688" s="8">
        <v>1334</v>
      </c>
      <c r="E21688" s="8">
        <v>0</v>
      </c>
      <c r="F21688" s="8">
        <v>278</v>
      </c>
    </row>
    <row r="21689" spans="1:6" ht="12.75">
      <c r="A21689" s="8">
        <v>43894.625</v>
      </c>
      <c r="B21689" s="8" t="str">
        <f>HYPERLINK("https://twitter.com/SeputariNews","@SeputariNews")</f>
        <v>@SeputariNews</v>
      </c>
      <c r="C21689" s="8" t="s">
        <v>8804</v>
      </c>
      <c r="D21689" s="8">
        <v>0</v>
      </c>
      <c r="E21689" s="8">
        <v>0</v>
      </c>
      <c r="F21689" s="8">
        <v>438703</v>
      </c>
    </row>
    <row r="21690" spans="1:6" ht="12.75">
      <c r="A21690" s="8">
        <v>43894.624884259261</v>
      </c>
      <c r="B21690" s="8" t="str">
        <f>HYPERLINK("https://twitter.com/Oodhi_tah","@Oodhi_tah")</f>
        <v>@Oodhi_tah</v>
      </c>
      <c r="C21690" s="8" t="s">
        <v>8784</v>
      </c>
      <c r="D21690" s="8">
        <v>3</v>
      </c>
      <c r="E21690" s="8">
        <v>0</v>
      </c>
      <c r="F21690" s="8">
        <v>304</v>
      </c>
    </row>
    <row r="21691" spans="1:6" ht="12.75">
      <c r="A21691" s="8">
        <v>43894.624837962961</v>
      </c>
      <c r="B21691" s="8" t="str">
        <f>HYPERLINK("https://twitter.com/VredeAarde","@VredeAarde")</f>
        <v>@VredeAarde</v>
      </c>
      <c r="C21691" s="8" t="s">
        <v>8805</v>
      </c>
      <c r="D21691" s="8">
        <v>0</v>
      </c>
      <c r="E21691" s="8">
        <v>0</v>
      </c>
      <c r="F21691" s="8">
        <v>2198</v>
      </c>
    </row>
    <row r="21692" spans="1:6" ht="12.75">
      <c r="A21692" s="8">
        <v>43894.624224537038</v>
      </c>
      <c r="B21692" s="8" t="str">
        <f>HYPERLINK("https://twitter.com/DaviraW","@DaviraW")</f>
        <v>@DaviraW</v>
      </c>
      <c r="C21692" s="8" t="s">
        <v>7848</v>
      </c>
      <c r="D21692" s="8">
        <v>17</v>
      </c>
      <c r="E21692" s="8">
        <v>0</v>
      </c>
      <c r="F21692" s="8">
        <v>250</v>
      </c>
    </row>
    <row r="21693" spans="1:6" ht="12.75">
      <c r="A21693" s="8">
        <v>43894.624201388884</v>
      </c>
      <c r="B21693" s="8" t="str">
        <f>HYPERLINK("https://twitter.com/markonah51","@markonah51")</f>
        <v>@markonah51</v>
      </c>
      <c r="C21693" s="8" t="s">
        <v>7848</v>
      </c>
      <c r="D21693" s="8">
        <v>17</v>
      </c>
      <c r="E21693" s="8">
        <v>0</v>
      </c>
      <c r="F21693" s="8">
        <v>227</v>
      </c>
    </row>
    <row r="21694" spans="1:6" ht="12.75">
      <c r="A21694" s="8">
        <v>43894.624178240745</v>
      </c>
      <c r="B21694" s="8" t="str">
        <f>HYPERLINK("https://twitter.com/munaroohh","@munaroohh")</f>
        <v>@munaroohh</v>
      </c>
      <c r="C21694" s="8" t="s">
        <v>7848</v>
      </c>
      <c r="D21694" s="8">
        <v>17</v>
      </c>
      <c r="E21694" s="8">
        <v>0</v>
      </c>
      <c r="F21694" s="8">
        <v>110</v>
      </c>
    </row>
    <row r="21695" spans="1:6" ht="12.75">
      <c r="A21695" s="8">
        <v>43894.624166666668</v>
      </c>
      <c r="B21695" s="8" t="str">
        <f>HYPERLINK("https://twitter.com/RioMcToruz","@RioMcToruz")</f>
        <v>@RioMcToruz</v>
      </c>
      <c r="C21695" s="8" t="s">
        <v>2199</v>
      </c>
      <c r="D21695" s="8">
        <v>9073</v>
      </c>
      <c r="E21695" s="8">
        <v>0</v>
      </c>
      <c r="F21695" s="8">
        <v>55</v>
      </c>
    </row>
    <row r="21696" spans="1:6" ht="12.75">
      <c r="A21696" s="8">
        <v>43894.624143518522</v>
      </c>
      <c r="B21696" s="8" t="str">
        <f>HYPERLINK("https://twitter.com/selvijn_ellias","@selvijn_ellias")</f>
        <v>@selvijn_ellias</v>
      </c>
      <c r="C21696" s="8" t="s">
        <v>8806</v>
      </c>
      <c r="D21696" s="8">
        <v>0</v>
      </c>
      <c r="E21696" s="8">
        <v>0</v>
      </c>
      <c r="F21696" s="8">
        <v>310</v>
      </c>
    </row>
    <row r="21697" spans="1:6" ht="12.75">
      <c r="A21697" s="8">
        <v>43894.624050925922</v>
      </c>
      <c r="B21697" s="8" t="str">
        <f>HYPERLINK("https://twitter.com/RiuUtomoRizki","@RiuUtomoRizki")</f>
        <v>@RiuUtomoRizki</v>
      </c>
      <c r="C21697" s="8" t="s">
        <v>8115</v>
      </c>
      <c r="D21697" s="8">
        <v>151</v>
      </c>
      <c r="E21697" s="8">
        <v>0</v>
      </c>
      <c r="F21697" s="8">
        <v>10411</v>
      </c>
    </row>
    <row r="21698" spans="1:6" ht="12.75">
      <c r="A21698" s="8">
        <v>43894.623900462961</v>
      </c>
      <c r="B21698" s="8" t="str">
        <f>HYPERLINK("https://twitter.com/SimbokYatun","@SimbokYatun")</f>
        <v>@SimbokYatun</v>
      </c>
      <c r="C21698" s="8" t="s">
        <v>7848</v>
      </c>
      <c r="D21698" s="8">
        <v>17</v>
      </c>
      <c r="E21698" s="8">
        <v>0</v>
      </c>
      <c r="F21698" s="8">
        <v>285</v>
      </c>
    </row>
    <row r="21699" spans="1:6" ht="12.75">
      <c r="A21699" s="8">
        <v>43894.623877314814</v>
      </c>
      <c r="B21699" s="8" t="str">
        <f>HYPERLINK("https://twitter.com/mbok_minahh","@mbok_minahh")</f>
        <v>@mbok_minahh</v>
      </c>
      <c r="C21699" s="8" t="s">
        <v>7848</v>
      </c>
      <c r="D21699" s="8">
        <v>17</v>
      </c>
      <c r="E21699" s="8">
        <v>0</v>
      </c>
      <c r="F21699" s="8">
        <v>251</v>
      </c>
    </row>
    <row r="21700" spans="1:6" ht="12.75">
      <c r="A21700" s="8">
        <v>43894.623842592591</v>
      </c>
      <c r="B21700" s="8" t="str">
        <f>HYPERLINK("https://twitter.com/widia_nara","@widia_nara")</f>
        <v>@widia_nara</v>
      </c>
      <c r="C21700" s="8" t="s">
        <v>7848</v>
      </c>
      <c r="D21700" s="8">
        <v>17</v>
      </c>
      <c r="E21700" s="8">
        <v>0</v>
      </c>
      <c r="F21700" s="8">
        <v>242</v>
      </c>
    </row>
    <row r="21701" spans="1:6" ht="12.75">
      <c r="A21701" s="8">
        <v>43894.623703703706</v>
      </c>
      <c r="B21701" s="8" t="str">
        <f>HYPERLINK("https://twitter.com/Aslipriok1973","@Aslipriok1973")</f>
        <v>@Aslipriok1973</v>
      </c>
      <c r="C21701" s="8" t="s">
        <v>8807</v>
      </c>
      <c r="D21701" s="8">
        <v>3</v>
      </c>
      <c r="E21701" s="8">
        <v>0</v>
      </c>
      <c r="F21701" s="8">
        <v>1493</v>
      </c>
    </row>
    <row r="21702" spans="1:6" ht="12.75">
      <c r="A21702" s="8">
        <v>43894.623622685191</v>
      </c>
      <c r="B21702" s="8" t="str">
        <f>HYPERLINK("https://twitter.com/LaingenLisa","@LaingenLisa")</f>
        <v>@LaingenLisa</v>
      </c>
      <c r="C21702" s="8" t="s">
        <v>7969</v>
      </c>
      <c r="D21702" s="8">
        <v>9</v>
      </c>
      <c r="E21702" s="8">
        <v>0</v>
      </c>
      <c r="F21702" s="8">
        <v>3570</v>
      </c>
    </row>
    <row r="21703" spans="1:6" ht="12.75">
      <c r="A21703" s="8">
        <v>43894.623391203699</v>
      </c>
      <c r="B21703" s="8" t="str">
        <f>HYPERLINK("https://twitter.com/NKRIndonesia79","@NKRIndonesia79")</f>
        <v>@NKRIndonesia79</v>
      </c>
      <c r="C21703" s="8" t="s">
        <v>8337</v>
      </c>
      <c r="D21703" s="8">
        <v>16</v>
      </c>
      <c r="E21703" s="8">
        <v>0</v>
      </c>
      <c r="F21703" s="8">
        <v>3110</v>
      </c>
    </row>
    <row r="21704" spans="1:6" ht="12.75">
      <c r="A21704" s="8">
        <v>43894.623229166667</v>
      </c>
      <c r="B21704" s="8" t="str">
        <f>HYPERLINK("https://twitter.com/jr_kw19","@jr_kw19")</f>
        <v>@jr_kw19</v>
      </c>
      <c r="C21704" s="8" t="s">
        <v>7969</v>
      </c>
      <c r="D21704" s="8">
        <v>9</v>
      </c>
      <c r="E21704" s="8">
        <v>0</v>
      </c>
      <c r="F21704" s="8">
        <v>41235</v>
      </c>
    </row>
    <row r="21705" spans="1:6" ht="12.75">
      <c r="A21705" s="8">
        <v>43894.623182870375</v>
      </c>
      <c r="B21705" s="8" t="str">
        <f>HYPERLINK("https://twitter.com/Matinsyarkowi3","@Matinsyarkowi3")</f>
        <v>@Matinsyarkowi3</v>
      </c>
      <c r="C21705" s="8" t="s">
        <v>8808</v>
      </c>
      <c r="D21705" s="8">
        <v>0</v>
      </c>
      <c r="E21705" s="8">
        <v>0</v>
      </c>
      <c r="F21705" s="8">
        <v>212</v>
      </c>
    </row>
    <row r="21706" spans="1:6" ht="12.75">
      <c r="A21706" s="8">
        <v>43894.622824074075</v>
      </c>
      <c r="B21706" s="8" t="str">
        <f>HYPERLINK("https://twitter.com/r96sperstar","@r96sperstar")</f>
        <v>@r96sperstar</v>
      </c>
      <c r="C21706" s="8" t="s">
        <v>7845</v>
      </c>
      <c r="D21706" s="8">
        <v>45</v>
      </c>
      <c r="E21706" s="8">
        <v>0</v>
      </c>
      <c r="F21706" s="8">
        <v>451</v>
      </c>
    </row>
    <row r="21707" spans="1:6" ht="12.75">
      <c r="A21707" s="8">
        <v>43894.622777777782</v>
      </c>
      <c r="B21707" s="8" t="str">
        <f>HYPERLINK("https://twitter.com/NanaAdelia5","@NanaAdelia5")</f>
        <v>@NanaAdelia5</v>
      </c>
      <c r="C21707" s="8" t="s">
        <v>7848</v>
      </c>
      <c r="D21707" s="8">
        <v>17</v>
      </c>
      <c r="E21707" s="8">
        <v>0</v>
      </c>
      <c r="F21707" s="8">
        <v>339</v>
      </c>
    </row>
    <row r="21708" spans="1:6" ht="12.75">
      <c r="A21708" s="8">
        <v>43894.622743055559</v>
      </c>
      <c r="B21708" s="8" t="str">
        <f>HYPERLINK("https://twitter.com/AjengTata5","@AjengTata5")</f>
        <v>@AjengTata5</v>
      </c>
      <c r="C21708" s="8" t="s">
        <v>7848</v>
      </c>
      <c r="D21708" s="8">
        <v>17</v>
      </c>
      <c r="E21708" s="8">
        <v>0</v>
      </c>
      <c r="F21708" s="8">
        <v>307</v>
      </c>
    </row>
    <row r="21709" spans="1:6" ht="12.75">
      <c r="A21709" s="8">
        <v>43894.622743055559</v>
      </c>
      <c r="B21709" s="8" t="str">
        <f>HYPERLINK("https://twitter.com/Zackf77156873","@Zackf77156873")</f>
        <v>@Zackf77156873</v>
      </c>
      <c r="C21709" s="8" t="s">
        <v>8809</v>
      </c>
      <c r="D21709" s="8">
        <v>2</v>
      </c>
      <c r="E21709" s="8">
        <v>0</v>
      </c>
      <c r="F21709" s="8">
        <v>234</v>
      </c>
    </row>
    <row r="21710" spans="1:6" ht="12.75">
      <c r="A21710" s="8">
        <v>43894.622708333336</v>
      </c>
      <c r="B21710" s="8" t="str">
        <f>HYPERLINK("https://twitter.com/DiniartiVivi","@DiniartiVivi")</f>
        <v>@DiniartiVivi</v>
      </c>
      <c r="C21710" s="8" t="s">
        <v>7848</v>
      </c>
      <c r="D21710" s="8">
        <v>17</v>
      </c>
      <c r="E21710" s="8">
        <v>0</v>
      </c>
      <c r="F21710" s="8">
        <v>323</v>
      </c>
    </row>
    <row r="21711" spans="1:6" ht="12.75">
      <c r="A21711" s="8">
        <v>43894.622337962966</v>
      </c>
      <c r="B21711" s="8" t="str">
        <f>HYPERLINK("https://twitter.com/DharmaEL1","@DharmaEL1")</f>
        <v>@DharmaEL1</v>
      </c>
      <c r="C21711" s="8" t="s">
        <v>8810</v>
      </c>
      <c r="D21711" s="8">
        <v>0</v>
      </c>
      <c r="E21711" s="8">
        <v>0</v>
      </c>
      <c r="F21711" s="8">
        <v>1</v>
      </c>
    </row>
    <row r="21712" spans="1:6" ht="12.75">
      <c r="A21712" s="8">
        <v>43894.62228009259</v>
      </c>
      <c r="B21712" s="8" t="str">
        <f>HYPERLINK("https://twitter.com/pikiran_rakyat","@pikiran_rakyat")</f>
        <v>@pikiran_rakyat</v>
      </c>
      <c r="C21712" s="8" t="s">
        <v>8811</v>
      </c>
      <c r="D21712" s="8">
        <v>0</v>
      </c>
      <c r="E21712" s="8">
        <v>0</v>
      </c>
      <c r="F21712" s="8">
        <v>413214</v>
      </c>
    </row>
    <row r="21713" spans="1:6" ht="12.75">
      <c r="A21713" s="8">
        <v>43894.622083333335</v>
      </c>
      <c r="B21713" s="8" t="str">
        <f>HYPERLINK("https://twitter.com/ruangobrol_id","@ruangobrol_id")</f>
        <v>@ruangobrol_id</v>
      </c>
      <c r="C21713" s="8" t="s">
        <v>8812</v>
      </c>
      <c r="D21713" s="8">
        <v>0</v>
      </c>
      <c r="E21713" s="8">
        <v>0</v>
      </c>
      <c r="F21713" s="8">
        <v>163</v>
      </c>
    </row>
    <row r="21714" spans="1:6" ht="12.75">
      <c r="A21714" s="8">
        <v>43894.622048611112</v>
      </c>
      <c r="B21714" s="8" t="str">
        <f>HYPERLINK("https://twitter.com/Khong_Beng","@Khong_Beng")</f>
        <v>@Khong_Beng</v>
      </c>
      <c r="C21714" s="8" t="s">
        <v>8813</v>
      </c>
      <c r="D21714" s="8">
        <v>5</v>
      </c>
      <c r="E21714" s="8">
        <v>0</v>
      </c>
      <c r="F21714" s="8">
        <v>161</v>
      </c>
    </row>
    <row r="21715" spans="1:6" ht="12.75">
      <c r="A21715" s="8">
        <v>43894.62190972222</v>
      </c>
      <c r="B21715" s="8" t="str">
        <f>HYPERLINK("https://twitter.com/iNewsID","@iNewsID")</f>
        <v>@iNewsID</v>
      </c>
      <c r="C21715" s="8" t="s">
        <v>8814</v>
      </c>
      <c r="D21715" s="8">
        <v>0</v>
      </c>
      <c r="E21715" s="8">
        <v>0</v>
      </c>
      <c r="F21715" s="8">
        <v>1358</v>
      </c>
    </row>
    <row r="21716" spans="1:6" ht="12.75">
      <c r="A21716" s="8">
        <v>43894.621840277774</v>
      </c>
      <c r="B21716" s="8" t="str">
        <f>HYPERLINK("https://twitter.com/adi_pra92","@adi_pra92")</f>
        <v>@adi_pra92</v>
      </c>
      <c r="C21716" s="8" t="s">
        <v>7969</v>
      </c>
      <c r="D21716" s="8">
        <v>9</v>
      </c>
      <c r="E21716" s="8">
        <v>0</v>
      </c>
      <c r="F21716" s="8">
        <v>5445</v>
      </c>
    </row>
    <row r="21717" spans="1:6" ht="12.75">
      <c r="A21717" s="8">
        <v>43894.621458333335</v>
      </c>
      <c r="B21717" s="8" t="str">
        <f t="shared" ref="B21717:B21718" si="317">HYPERLINK("https://twitter.com/Khong_Beng","@Khong_Beng")</f>
        <v>@Khong_Beng</v>
      </c>
      <c r="C21717" s="8" t="s">
        <v>8194</v>
      </c>
      <c r="D21717" s="8">
        <v>49</v>
      </c>
      <c r="E21717" s="8">
        <v>0</v>
      </c>
      <c r="F21717" s="8">
        <v>161</v>
      </c>
    </row>
    <row r="21718" spans="1:6" ht="12.75">
      <c r="A21718" s="8">
        <v>43894.621365740742</v>
      </c>
      <c r="B21718" s="8" t="str">
        <f t="shared" si="317"/>
        <v>@Khong_Beng</v>
      </c>
      <c r="C21718" s="8" t="s">
        <v>8115</v>
      </c>
      <c r="D21718" s="8">
        <v>151</v>
      </c>
      <c r="E21718" s="8">
        <v>0</v>
      </c>
      <c r="F21718" s="8">
        <v>161</v>
      </c>
    </row>
    <row r="21719" spans="1:6" ht="12.75">
      <c r="A21719" s="8">
        <v>43894.62118055555</v>
      </c>
      <c r="B21719" s="8" t="str">
        <f>HYPERLINK("https://twitter.com/Eva_ernawatiaji","@Eva_ernawatiaji")</f>
        <v>@Eva_ernawatiaji</v>
      </c>
      <c r="C21719" s="8" t="s">
        <v>7969</v>
      </c>
      <c r="D21719" s="8">
        <v>9</v>
      </c>
      <c r="E21719" s="8">
        <v>0</v>
      </c>
      <c r="F21719" s="8">
        <v>2408</v>
      </c>
    </row>
    <row r="21720" spans="1:6" ht="12.75">
      <c r="A21720" s="8">
        <v>43894.620983796296</v>
      </c>
      <c r="B21720" s="8" t="str">
        <f>HYPERLINK("https://twitter.com/Jhon_p4nt4u","@Jhon_p4nt4u")</f>
        <v>@Jhon_p4nt4u</v>
      </c>
      <c r="C21720" s="8" t="s">
        <v>7845</v>
      </c>
      <c r="D21720" s="8">
        <v>45</v>
      </c>
      <c r="E21720" s="8">
        <v>0</v>
      </c>
      <c r="F21720" s="8">
        <v>1133</v>
      </c>
    </row>
    <row r="21721" spans="1:6" ht="12.75">
      <c r="A21721" s="8">
        <v>43894.620775462958</v>
      </c>
      <c r="B21721" s="8" t="str">
        <f>HYPERLINK("https://twitter.com/Aldper10","@Aldper10")</f>
        <v>@Aldper10</v>
      </c>
      <c r="C21721" s="8" t="s">
        <v>6710</v>
      </c>
      <c r="D21721" s="8">
        <v>301</v>
      </c>
      <c r="E21721" s="8">
        <v>0</v>
      </c>
      <c r="F21721" s="8">
        <v>2</v>
      </c>
    </row>
    <row r="21722" spans="1:6" ht="12.75">
      <c r="A21722" s="8">
        <v>43894.620740740742</v>
      </c>
      <c r="B21722" s="8" t="str">
        <f>HYPERLINK("https://twitter.com/HVdyant","@HVdyant")</f>
        <v>@HVdyant</v>
      </c>
      <c r="C21722" s="8" t="s">
        <v>8815</v>
      </c>
      <c r="D21722" s="8">
        <v>0</v>
      </c>
      <c r="E21722" s="8">
        <v>0</v>
      </c>
      <c r="F21722" s="8">
        <v>0</v>
      </c>
    </row>
    <row r="21723" spans="1:6" ht="12.75">
      <c r="A21723" s="8">
        <v>43894.620671296296</v>
      </c>
      <c r="B21723" s="8" t="str">
        <f>HYPERLINK("https://twitter.com/Mulliani3","@Mulliani3")</f>
        <v>@Mulliani3</v>
      </c>
      <c r="C21723" s="8" t="s">
        <v>7969</v>
      </c>
      <c r="D21723" s="8">
        <v>9</v>
      </c>
      <c r="E21723" s="8">
        <v>0</v>
      </c>
      <c r="F21723" s="8">
        <v>136</v>
      </c>
    </row>
    <row r="21724" spans="1:6" ht="12.75">
      <c r="A21724" s="8">
        <v>43894.620520833334</v>
      </c>
      <c r="B21724" s="8" t="str">
        <f>HYPERLINK("https://twitter.com/elaien_","@elaien_")</f>
        <v>@elaien_</v>
      </c>
      <c r="C21724" s="8" t="s">
        <v>6710</v>
      </c>
      <c r="D21724" s="8">
        <v>301</v>
      </c>
      <c r="E21724" s="8">
        <v>0</v>
      </c>
      <c r="F21724" s="8">
        <v>817</v>
      </c>
    </row>
    <row r="21725" spans="1:6" ht="12.75">
      <c r="A21725" s="8">
        <v>43894.620219907403</v>
      </c>
      <c r="B21725" s="8" t="str">
        <f>HYPERLINK("https://twitter.com/4Y4NKZ","@4Y4NKZ")</f>
        <v>@4Y4NKZ</v>
      </c>
      <c r="C21725" s="8" t="s">
        <v>8816</v>
      </c>
      <c r="D21725" s="8">
        <v>9</v>
      </c>
      <c r="E21725" s="8">
        <v>46</v>
      </c>
      <c r="F21725" s="8">
        <v>44651</v>
      </c>
    </row>
    <row r="21726" spans="1:6" ht="12.75">
      <c r="A21726" s="8">
        <v>43894.620208333334</v>
      </c>
      <c r="B21726" s="8" t="str">
        <f>HYPERLINK("https://twitter.com/hartanto_mas","@hartanto_mas")</f>
        <v>@hartanto_mas</v>
      </c>
      <c r="C21726" s="8" t="s">
        <v>8389</v>
      </c>
      <c r="D21726" s="8">
        <v>3</v>
      </c>
      <c r="E21726" s="8">
        <v>0</v>
      </c>
      <c r="F21726" s="8">
        <v>1055</v>
      </c>
    </row>
    <row r="21727" spans="1:6" ht="12.75">
      <c r="A21727" s="8">
        <v>43894.620092592595</v>
      </c>
      <c r="B21727" s="8" t="str">
        <f>HYPERLINK("https://twitter.com/ruangobrol_id","@ruangobrol_id")</f>
        <v>@ruangobrol_id</v>
      </c>
      <c r="C21727" s="8" t="s">
        <v>8817</v>
      </c>
      <c r="D21727" s="8">
        <v>0</v>
      </c>
      <c r="E21727" s="8">
        <v>0</v>
      </c>
      <c r="F21727" s="8">
        <v>163</v>
      </c>
    </row>
    <row r="21728" spans="1:6" ht="12.75">
      <c r="A21728" s="8">
        <v>43894.619768518518</v>
      </c>
      <c r="B21728" s="8" t="str">
        <f>HYPERLINK("https://twitter.com/sayahanyazakie","@sayahanyazakie")</f>
        <v>@sayahanyazakie</v>
      </c>
      <c r="C21728" s="8" t="s">
        <v>6710</v>
      </c>
      <c r="D21728" s="8">
        <v>301</v>
      </c>
      <c r="E21728" s="8">
        <v>0</v>
      </c>
      <c r="F21728" s="8">
        <v>456</v>
      </c>
    </row>
    <row r="21729" spans="1:6" ht="12.75">
      <c r="A21729" s="8">
        <v>43894.619722222225</v>
      </c>
      <c r="B21729" s="8" t="str">
        <f>HYPERLINK("https://twitter.com/gusbayu","@gusbayu")</f>
        <v>@gusbayu</v>
      </c>
      <c r="C21729" s="8" t="s">
        <v>8818</v>
      </c>
      <c r="D21729" s="8">
        <v>7</v>
      </c>
      <c r="E21729" s="8">
        <v>0</v>
      </c>
      <c r="F21729" s="8">
        <v>1507</v>
      </c>
    </row>
    <row r="21730" spans="1:6" ht="12.75">
      <c r="A21730" s="8">
        <v>43894.619675925926</v>
      </c>
      <c r="B21730" s="8" t="str">
        <f>HYPERLINK("https://twitter.com/oak_math_lee_91","@oak_math_lee_91")</f>
        <v>@oak_math_lee_91</v>
      </c>
      <c r="C21730" s="8" t="s">
        <v>8819</v>
      </c>
      <c r="D21730" s="8">
        <v>0</v>
      </c>
      <c r="E21730" s="8">
        <v>0</v>
      </c>
      <c r="F21730" s="8">
        <v>119</v>
      </c>
    </row>
    <row r="21731" spans="1:6" ht="12.75">
      <c r="A21731" s="8">
        <v>43894.61918981481</v>
      </c>
      <c r="B21731" s="8" t="str">
        <f>HYPERLINK("https://twitter.com/SitompulYunus","@SitompulYunus")</f>
        <v>@SitompulYunus</v>
      </c>
      <c r="C21731" s="8" t="s">
        <v>8212</v>
      </c>
      <c r="D21731" s="8">
        <v>89</v>
      </c>
      <c r="E21731" s="8">
        <v>0</v>
      </c>
      <c r="F21731" s="8">
        <v>874</v>
      </c>
    </row>
    <row r="21732" spans="1:6" ht="12.75">
      <c r="A21732" s="8">
        <v>43894.619108796294</v>
      </c>
      <c r="B21732" s="8" t="str">
        <f>HYPERLINK("https://twitter.com/merdekadotcom","@merdekadotcom")</f>
        <v>@merdekadotcom</v>
      </c>
      <c r="C21732" s="8" t="s">
        <v>8820</v>
      </c>
      <c r="D21732" s="8">
        <v>0</v>
      </c>
      <c r="E21732" s="8">
        <v>0</v>
      </c>
      <c r="F21732" s="8">
        <v>231610</v>
      </c>
    </row>
    <row r="21733" spans="1:6" ht="12.75">
      <c r="A21733" s="8">
        <v>43894.618888888886</v>
      </c>
      <c r="B21733" s="8" t="str">
        <f>HYPERLINK("https://twitter.com/armangn8","@armangn8")</f>
        <v>@armangn8</v>
      </c>
      <c r="C21733" s="8" t="s">
        <v>6630</v>
      </c>
      <c r="D21733" s="8">
        <v>16</v>
      </c>
      <c r="E21733" s="8">
        <v>0</v>
      </c>
      <c r="F21733" s="8">
        <v>2987</v>
      </c>
    </row>
    <row r="21734" spans="1:6" ht="12.75">
      <c r="A21734" s="8">
        <v>43894.618495370371</v>
      </c>
      <c r="B21734" s="8" t="str">
        <f>HYPERLINK("https://twitter.com/KBRI_Bangkok","@KBRI_Bangkok")</f>
        <v>@KBRI_Bangkok</v>
      </c>
      <c r="C21734" s="8" t="s">
        <v>8821</v>
      </c>
      <c r="D21734" s="8">
        <v>1</v>
      </c>
      <c r="E21734" s="8">
        <v>0</v>
      </c>
      <c r="F21734" s="8">
        <v>3921</v>
      </c>
    </row>
    <row r="21735" spans="1:6" ht="12.75">
      <c r="A21735" s="8">
        <v>43894.618483796294</v>
      </c>
      <c r="B21735" s="8" t="str">
        <f>HYPERLINK("https://twitter.com/Sanatan_Soul","@Sanatan_Soul")</f>
        <v>@Sanatan_Soul</v>
      </c>
      <c r="C21735" s="8" t="s">
        <v>8822</v>
      </c>
      <c r="D21735" s="8">
        <v>0</v>
      </c>
      <c r="E21735" s="8">
        <v>0</v>
      </c>
      <c r="F21735" s="8">
        <v>14</v>
      </c>
    </row>
    <row r="21736" spans="1:6" ht="12.75">
      <c r="A21736" s="8">
        <v>43894.618368055555</v>
      </c>
      <c r="B21736" s="8" t="str">
        <f>HYPERLINK("https://twitter.com/LanangSudira1","@LanangSudira1")</f>
        <v>@LanangSudira1</v>
      </c>
      <c r="C21736" s="8" t="s">
        <v>8641</v>
      </c>
      <c r="D21736" s="8">
        <v>3</v>
      </c>
      <c r="E21736" s="8">
        <v>0</v>
      </c>
      <c r="F21736" s="8">
        <v>838</v>
      </c>
    </row>
    <row r="21737" spans="1:6" ht="12.75">
      <c r="A21737" s="8">
        <v>43894.618252314816</v>
      </c>
      <c r="B21737" s="8" t="str">
        <f>HYPERLINK("https://twitter.com/PertiwiSi","@PertiwiSi")</f>
        <v>@PertiwiSi</v>
      </c>
      <c r="C21737" s="8" t="s">
        <v>7845</v>
      </c>
      <c r="D21737" s="8">
        <v>45</v>
      </c>
      <c r="E21737" s="8">
        <v>0</v>
      </c>
      <c r="F21737" s="8">
        <v>9</v>
      </c>
    </row>
    <row r="21738" spans="1:6" ht="12.75">
      <c r="A21738" s="8">
        <v>43894.61819444444</v>
      </c>
      <c r="B21738" s="8" t="str">
        <f>HYPERLINK("https://twitter.com/ruangobrol_id","@ruangobrol_id")</f>
        <v>@ruangobrol_id</v>
      </c>
      <c r="C21738" s="8" t="s">
        <v>8823</v>
      </c>
      <c r="D21738" s="8">
        <v>0</v>
      </c>
      <c r="E21738" s="8">
        <v>0</v>
      </c>
      <c r="F21738" s="8">
        <v>163</v>
      </c>
    </row>
    <row r="21739" spans="1:6" ht="12.75">
      <c r="A21739" s="8">
        <v>43894.617905092593</v>
      </c>
      <c r="B21739" s="8" t="str">
        <f>HYPERLINK("https://twitter.com/HPeridia","@HPeridia")</f>
        <v>@HPeridia</v>
      </c>
      <c r="C21739" s="8" t="s">
        <v>8789</v>
      </c>
      <c r="D21739" s="8">
        <v>5</v>
      </c>
      <c r="E21739" s="8">
        <v>0</v>
      </c>
      <c r="F21739" s="8">
        <v>666</v>
      </c>
    </row>
    <row r="21740" spans="1:6" ht="12.75">
      <c r="A21740" s="8">
        <v>43894.616967592592</v>
      </c>
      <c r="B21740" s="8" t="str">
        <f>HYPERLINK("https://twitter.com/gregdewanto","@gregdewanto")</f>
        <v>@gregdewanto</v>
      </c>
      <c r="C21740" s="8" t="s">
        <v>8230</v>
      </c>
      <c r="D21740" s="8">
        <v>63</v>
      </c>
      <c r="E21740" s="8">
        <v>0</v>
      </c>
      <c r="F21740" s="8">
        <v>293</v>
      </c>
    </row>
    <row r="21741" spans="1:6" ht="12.75">
      <c r="A21741" s="8">
        <v>43894.616747685184</v>
      </c>
      <c r="B21741" s="8" t="str">
        <f>HYPERLINK("https://twitter.com/alek_santana","@alek_santana")</f>
        <v>@alek_santana</v>
      </c>
      <c r="C21741" s="8" t="s">
        <v>8784</v>
      </c>
      <c r="D21741" s="8">
        <v>3</v>
      </c>
      <c r="E21741" s="8">
        <v>0</v>
      </c>
      <c r="F21741" s="8">
        <v>2058</v>
      </c>
    </row>
    <row r="21742" spans="1:6" ht="12.75">
      <c r="A21742" s="8">
        <v>43894.616666666669</v>
      </c>
      <c r="B21742" s="8" t="str">
        <f>HYPERLINK("https://twitter.com/Santoso_W83","@Santoso_W83")</f>
        <v>@Santoso_W83</v>
      </c>
      <c r="C21742" s="8" t="s">
        <v>6710</v>
      </c>
      <c r="D21742" s="8">
        <v>301</v>
      </c>
      <c r="E21742" s="8">
        <v>0</v>
      </c>
      <c r="F21742" s="8">
        <v>255</v>
      </c>
    </row>
    <row r="21743" spans="1:6" ht="12.75">
      <c r="A21743" s="8">
        <v>43894.616516203707</v>
      </c>
      <c r="B21743" s="8" t="str">
        <f>HYPERLINK("https://twitter.com/garuda1645","@garuda1645")</f>
        <v>@garuda1645</v>
      </c>
      <c r="C21743" s="8" t="s">
        <v>7845</v>
      </c>
      <c r="D21743" s="8">
        <v>45</v>
      </c>
      <c r="E21743" s="8">
        <v>0</v>
      </c>
      <c r="F21743" s="8">
        <v>60</v>
      </c>
    </row>
    <row r="21744" spans="1:6" ht="12.75">
      <c r="A21744" s="8">
        <v>43894.616446759261</v>
      </c>
      <c r="B21744" s="8" t="str">
        <f>HYPERLINK("https://twitter.com/wahhabicc_jabar","@wahhabicc_jabar")</f>
        <v>@wahhabicc_jabar</v>
      </c>
      <c r="C21744" s="8" t="s">
        <v>8809</v>
      </c>
      <c r="D21744" s="8">
        <v>2</v>
      </c>
      <c r="E21744" s="8">
        <v>0</v>
      </c>
      <c r="F21744" s="8">
        <v>30896</v>
      </c>
    </row>
    <row r="21745" spans="1:6" ht="12.75">
      <c r="A21745" s="8">
        <v>43894.616331018522</v>
      </c>
      <c r="B21745" s="8" t="str">
        <f>HYPERLINK("https://twitter.com/eserwilly","@eserwilly")</f>
        <v>@eserwilly</v>
      </c>
      <c r="C21745" s="8" t="s">
        <v>8824</v>
      </c>
      <c r="D21745" s="8">
        <v>0</v>
      </c>
      <c r="E21745" s="8">
        <v>0</v>
      </c>
      <c r="F21745" s="8">
        <v>496</v>
      </c>
    </row>
    <row r="21746" spans="1:6" ht="12.75">
      <c r="A21746" s="8">
        <v>43894.616226851853</v>
      </c>
      <c r="B21746" s="8" t="str">
        <f>HYPERLINK("https://twitter.com/AdnanDasuki99","@AdnanDasuki99")</f>
        <v>@AdnanDasuki99</v>
      </c>
      <c r="C21746" s="8" t="s">
        <v>8825</v>
      </c>
      <c r="D21746" s="8">
        <v>0</v>
      </c>
      <c r="E21746" s="8">
        <v>0</v>
      </c>
      <c r="F21746" s="8">
        <v>134</v>
      </c>
    </row>
    <row r="21747" spans="1:6" ht="12.75">
      <c r="A21747" s="8">
        <v>43894.616145833337</v>
      </c>
      <c r="B21747" s="8" t="str">
        <f>HYPERLINK("https://twitter.com/kazi_91","@kazi_91")</f>
        <v>@kazi_91</v>
      </c>
      <c r="C21747" s="8" t="s">
        <v>8826</v>
      </c>
      <c r="D21747" s="8">
        <v>0</v>
      </c>
      <c r="E21747" s="8">
        <v>1</v>
      </c>
      <c r="F21747" s="8">
        <v>3000</v>
      </c>
    </row>
    <row r="21748" spans="1:6" ht="12.75">
      <c r="A21748" s="8">
        <v>43894.590162037042</v>
      </c>
      <c r="B21748" s="8" t="str">
        <f>HYPERLINK("https://twitter.com/oki_tok88","@oki_tok88")</f>
        <v>@oki_tok88</v>
      </c>
      <c r="C21748" s="8" t="s">
        <v>8827</v>
      </c>
      <c r="D21748" s="8">
        <v>70</v>
      </c>
      <c r="E21748" s="8">
        <v>0</v>
      </c>
      <c r="F21748" s="8">
        <v>250</v>
      </c>
    </row>
    <row r="21749" spans="1:6" ht="12.75">
      <c r="A21749" s="8">
        <v>43894.59002314815</v>
      </c>
      <c r="B21749" s="8" t="str">
        <f>HYPERLINK("https://twitter.com/kevin_sijabat","@kevin_sijabat")</f>
        <v>@kevin_sijabat</v>
      </c>
      <c r="C21749" s="8" t="s">
        <v>6710</v>
      </c>
      <c r="D21749" s="8">
        <v>284</v>
      </c>
      <c r="E21749" s="8">
        <v>0</v>
      </c>
      <c r="F21749" s="8">
        <v>400</v>
      </c>
    </row>
    <row r="21750" spans="1:6" ht="12.75">
      <c r="A21750" s="8">
        <v>43894.58997685185</v>
      </c>
      <c r="B21750" s="8" t="str">
        <f>HYPERLINK("https://twitter.com/ryolandafit","@ryolandafit")</f>
        <v>@ryolandafit</v>
      </c>
      <c r="C21750" s="8" t="s">
        <v>8828</v>
      </c>
      <c r="D21750" s="8">
        <v>2</v>
      </c>
      <c r="E21750" s="8">
        <v>0</v>
      </c>
      <c r="F21750" s="8">
        <v>653</v>
      </c>
    </row>
    <row r="21751" spans="1:6" ht="12.75">
      <c r="A21751" s="8">
        <v>43894.589884259258</v>
      </c>
      <c r="B21751" s="8" t="str">
        <f>HYPERLINK("https://twitter.com/irwanstanjung","@irwanstanjung")</f>
        <v>@irwanstanjung</v>
      </c>
      <c r="C21751" s="8" t="s">
        <v>8829</v>
      </c>
      <c r="D21751" s="8">
        <v>0</v>
      </c>
      <c r="E21751" s="8">
        <v>0</v>
      </c>
      <c r="F21751" s="8">
        <v>185</v>
      </c>
    </row>
    <row r="21752" spans="1:6" ht="12.75">
      <c r="A21752" s="8">
        <v>43894.589699074073</v>
      </c>
      <c r="B21752" s="8" t="str">
        <f>HYPERLINK("https://twitter.com/bernardtan2014","@bernardtan2014")</f>
        <v>@bernardtan2014</v>
      </c>
      <c r="C21752" s="8" t="s">
        <v>6710</v>
      </c>
      <c r="D21752" s="8">
        <v>284</v>
      </c>
      <c r="E21752" s="8">
        <v>0</v>
      </c>
      <c r="F21752" s="8">
        <v>854</v>
      </c>
    </row>
    <row r="21753" spans="1:6" ht="12.75">
      <c r="A21753" s="8">
        <v>43894.589085648149</v>
      </c>
      <c r="B21753" s="8" t="str">
        <f>HYPERLINK("https://twitter.com/panics_attack","@panics_attack")</f>
        <v>@panics_attack</v>
      </c>
      <c r="C21753" s="8" t="s">
        <v>8830</v>
      </c>
      <c r="D21753" s="8">
        <v>0</v>
      </c>
      <c r="E21753" s="8">
        <v>0</v>
      </c>
      <c r="F21753" s="8">
        <v>3</v>
      </c>
    </row>
    <row r="21754" spans="1:6" ht="12.75">
      <c r="A21754" s="8">
        <v>43894.588576388887</v>
      </c>
      <c r="B21754" s="8" t="str">
        <f>HYPERLINK("https://twitter.com/boediman__","@boediman__")</f>
        <v>@boediman__</v>
      </c>
      <c r="C21754" s="8" t="s">
        <v>8831</v>
      </c>
      <c r="D21754" s="8">
        <v>5</v>
      </c>
      <c r="E21754" s="8">
        <v>0</v>
      </c>
      <c r="F21754" s="8">
        <v>219</v>
      </c>
    </row>
    <row r="21755" spans="1:6" ht="12.75">
      <c r="A21755" s="8">
        <v>43894.588287037041</v>
      </c>
      <c r="B21755" s="8" t="str">
        <f>HYPERLINK("https://twitter.com/midgard369","@midgard369")</f>
        <v>@midgard369</v>
      </c>
      <c r="C21755" s="8" t="s">
        <v>8831</v>
      </c>
      <c r="D21755" s="8">
        <v>5</v>
      </c>
      <c r="E21755" s="8">
        <v>0</v>
      </c>
      <c r="F21755" s="8">
        <v>2530</v>
      </c>
    </row>
    <row r="21756" spans="1:6" ht="12.75">
      <c r="A21756" s="8">
        <v>43894.588263888887</v>
      </c>
      <c r="B21756" s="8" t="str">
        <f>HYPERLINK("https://twitter.com/SyairRevolusi","@SyairRevolusi")</f>
        <v>@SyairRevolusi</v>
      </c>
      <c r="C21756" s="8" t="s">
        <v>5313</v>
      </c>
      <c r="D21756" s="8">
        <v>5</v>
      </c>
      <c r="E21756" s="8">
        <v>0</v>
      </c>
      <c r="F21756" s="8">
        <v>1141</v>
      </c>
    </row>
    <row r="21757" spans="1:6" ht="12.75">
      <c r="A21757" s="8">
        <v>43894.588067129633</v>
      </c>
      <c r="B21757" s="8" t="str">
        <f>HYPERLINK("https://twitter.com/amdfzi2915","@amdfzi2915")</f>
        <v>@amdfzi2915</v>
      </c>
      <c r="C21757" s="8" t="s">
        <v>7845</v>
      </c>
      <c r="D21757" s="8">
        <v>32</v>
      </c>
      <c r="E21757" s="8">
        <v>0</v>
      </c>
      <c r="F21757" s="8">
        <v>455</v>
      </c>
    </row>
    <row r="21758" spans="1:6" ht="12.75">
      <c r="A21758" s="8">
        <v>43894.587835648148</v>
      </c>
      <c r="B21758" s="8" t="str">
        <f>HYPERLINK("https://twitter.com/mmyuchan__","@mmyuchan__")</f>
        <v>@mmyuchan__</v>
      </c>
      <c r="C21758" s="8" t="s">
        <v>2199</v>
      </c>
      <c r="D21758" s="8">
        <v>9071</v>
      </c>
      <c r="E21758" s="8">
        <v>0</v>
      </c>
      <c r="F21758" s="8">
        <v>43</v>
      </c>
    </row>
    <row r="21759" spans="1:6" ht="12.75">
      <c r="A21759" s="8">
        <v>43894.587638888886</v>
      </c>
      <c r="B21759" s="8" t="str">
        <f>HYPERLINK("https://twitter.com/ryolandafit","@ryolandafit")</f>
        <v>@ryolandafit</v>
      </c>
      <c r="C21759" s="8" t="s">
        <v>8689</v>
      </c>
      <c r="D21759" s="8">
        <v>2</v>
      </c>
      <c r="E21759" s="8">
        <v>0</v>
      </c>
      <c r="F21759" s="8">
        <v>653</v>
      </c>
    </row>
    <row r="21760" spans="1:6" ht="12.75">
      <c r="A21760" s="8">
        <v>43894.587326388893</v>
      </c>
      <c r="B21760" s="8" t="str">
        <f>HYPERLINK("https://twitter.com/IdaFarida_re","@IdaFarida_re")</f>
        <v>@IdaFarida_re</v>
      </c>
      <c r="C21760" s="8" t="s">
        <v>8115</v>
      </c>
      <c r="D21760" s="8">
        <v>135</v>
      </c>
      <c r="E21760" s="8">
        <v>0</v>
      </c>
      <c r="F21760" s="8">
        <v>244</v>
      </c>
    </row>
    <row r="21761" spans="1:6" ht="12.75">
      <c r="A21761" s="8">
        <v>43894.587118055555</v>
      </c>
      <c r="B21761" s="8" t="str">
        <f>HYPERLINK("https://twitter.com/ryolandafit","@ryolandafit")</f>
        <v>@ryolandafit</v>
      </c>
      <c r="C21761" s="8" t="s">
        <v>7101</v>
      </c>
      <c r="D21761" s="8">
        <v>15</v>
      </c>
      <c r="E21761" s="8">
        <v>0</v>
      </c>
      <c r="F21761" s="8">
        <v>653</v>
      </c>
    </row>
    <row r="21762" spans="1:6" ht="12.75">
      <c r="A21762" s="8">
        <v>43894.58693287037</v>
      </c>
      <c r="B21762" s="8" t="str">
        <f>HYPERLINK("https://twitter.com/ronaldo18674338","@ronaldo18674338")</f>
        <v>@ronaldo18674338</v>
      </c>
      <c r="C21762" s="8" t="s">
        <v>6710</v>
      </c>
      <c r="D21762" s="8">
        <v>284</v>
      </c>
      <c r="E21762" s="8">
        <v>0</v>
      </c>
      <c r="F21762" s="8">
        <v>2</v>
      </c>
    </row>
    <row r="21763" spans="1:6" ht="12.75">
      <c r="A21763" s="8">
        <v>43894.586597222224</v>
      </c>
      <c r="B21763" s="8" t="str">
        <f>HYPERLINK("https://twitter.com/fik_okeh","@fik_okeh")</f>
        <v>@fik_okeh</v>
      </c>
      <c r="C21763" s="8" t="s">
        <v>8533</v>
      </c>
      <c r="D21763" s="8">
        <v>9</v>
      </c>
      <c r="E21763" s="8">
        <v>0</v>
      </c>
      <c r="F21763" s="8">
        <v>503</v>
      </c>
    </row>
    <row r="21764" spans="1:6" ht="12.75">
      <c r="A21764" s="8">
        <v>43894.586562500001</v>
      </c>
      <c r="B21764" s="8" t="str">
        <f>HYPERLINK("https://twitter.com/billysmbring366","@billysmbring366")</f>
        <v>@billysmbring366</v>
      </c>
      <c r="C21764" s="8" t="s">
        <v>7101</v>
      </c>
      <c r="D21764" s="8">
        <v>15</v>
      </c>
      <c r="E21764" s="8">
        <v>0</v>
      </c>
      <c r="F21764" s="8">
        <v>154</v>
      </c>
    </row>
    <row r="21765" spans="1:6" ht="12.75">
      <c r="A21765" s="8">
        <v>43894.586446759262</v>
      </c>
      <c r="B21765" s="8" t="str">
        <f>HYPERLINK("https://twitter.com/pilarbanten2015","@pilarbanten2015")</f>
        <v>@pilarbanten2015</v>
      </c>
      <c r="C21765" s="8" t="s">
        <v>8832</v>
      </c>
      <c r="D21765" s="8">
        <v>0</v>
      </c>
      <c r="E21765" s="8">
        <v>0</v>
      </c>
      <c r="F21765" s="8">
        <v>84</v>
      </c>
    </row>
    <row r="21766" spans="1:6" ht="12.75">
      <c r="A21766" s="8">
        <v>43894.586157407408</v>
      </c>
      <c r="B21766" s="8" t="str">
        <f>HYPERLINK("https://twitter.com/mudha_satriya","@mudha_satriya")</f>
        <v>@mudha_satriya</v>
      </c>
      <c r="C21766" s="8" t="s">
        <v>8833</v>
      </c>
      <c r="D21766" s="8">
        <v>1</v>
      </c>
      <c r="E21766" s="8">
        <v>0</v>
      </c>
      <c r="F21766" s="8">
        <v>1878</v>
      </c>
    </row>
    <row r="21767" spans="1:6" ht="12.75">
      <c r="A21767" s="8">
        <v>43894.584837962961</v>
      </c>
      <c r="B21767" s="8" t="str">
        <f>HYPERLINK("https://twitter.com/Koarmada2SBY","@Koarmada2SBY")</f>
        <v>@Koarmada2SBY</v>
      </c>
      <c r="C21767" s="8" t="s">
        <v>8834</v>
      </c>
      <c r="D21767" s="8">
        <v>0</v>
      </c>
      <c r="E21767" s="8">
        <v>0</v>
      </c>
      <c r="F21767" s="8">
        <v>1854</v>
      </c>
    </row>
    <row r="21768" spans="1:6" ht="12.75">
      <c r="A21768" s="8">
        <v>43894.584664351853</v>
      </c>
      <c r="B21768" s="8" t="str">
        <f>HYPERLINK("https://twitter.com/medanbuzz","@medanbuzz")</f>
        <v>@medanbuzz</v>
      </c>
      <c r="C21768" s="8" t="s">
        <v>8835</v>
      </c>
      <c r="D21768" s="8">
        <v>0</v>
      </c>
      <c r="E21768" s="8">
        <v>0</v>
      </c>
      <c r="F21768" s="8">
        <v>137</v>
      </c>
    </row>
    <row r="21769" spans="1:6" ht="12.75">
      <c r="A21769" s="8">
        <v>43894.584618055553</v>
      </c>
      <c r="B21769" s="8" t="str">
        <f>HYPERLINK("https://twitter.com/LannyLatumahina","@LannyLatumahina")</f>
        <v>@LannyLatumahina</v>
      </c>
      <c r="C21769" s="8" t="s">
        <v>8836</v>
      </c>
      <c r="D21769" s="8">
        <v>4</v>
      </c>
      <c r="E21769" s="8">
        <v>0</v>
      </c>
      <c r="F21769" s="8">
        <v>1125</v>
      </c>
    </row>
    <row r="21770" spans="1:6" ht="12.75">
      <c r="A21770" s="8">
        <v>43894.584328703699</v>
      </c>
      <c r="B21770" s="8" t="str">
        <f>HYPERLINK("https://twitter.com/borneo0413","@borneo0413")</f>
        <v>@borneo0413</v>
      </c>
      <c r="C21770" s="8" t="s">
        <v>8837</v>
      </c>
      <c r="D21770" s="8">
        <v>0</v>
      </c>
      <c r="E21770" s="8">
        <v>0</v>
      </c>
      <c r="F21770" s="8">
        <v>37</v>
      </c>
    </row>
    <row r="21771" spans="1:6" ht="12.75">
      <c r="A21771" s="8">
        <v>43894.58430555556</v>
      </c>
      <c r="B21771" s="8" t="str">
        <f>HYPERLINK("https://twitter.com/ShyaReepah","@ShyaReepah")</f>
        <v>@ShyaReepah</v>
      </c>
      <c r="C21771" s="8" t="s">
        <v>8838</v>
      </c>
      <c r="D21771" s="8">
        <v>0</v>
      </c>
      <c r="E21771" s="8">
        <v>0</v>
      </c>
      <c r="F21771" s="8">
        <v>1026</v>
      </c>
    </row>
    <row r="21772" spans="1:6" ht="12.75">
      <c r="A21772" s="8">
        <v>43894.58425925926</v>
      </c>
      <c r="B21772" s="8" t="str">
        <f>HYPERLINK("https://twitter.com/Amirmasoom131","@Amirmasoom131")</f>
        <v>@Amirmasoom131</v>
      </c>
      <c r="C21772" s="8" t="s">
        <v>8839</v>
      </c>
      <c r="D21772" s="8">
        <v>0</v>
      </c>
      <c r="E21772" s="8">
        <v>0</v>
      </c>
      <c r="F21772" s="8">
        <v>583</v>
      </c>
    </row>
    <row r="21773" spans="1:6" ht="12.75">
      <c r="A21773" s="8">
        <v>43894.583634259259</v>
      </c>
      <c r="B21773" s="8" t="str">
        <f>HYPERLINK("https://twitter.com/Waras4ever","@Waras4ever")</f>
        <v>@Waras4ever</v>
      </c>
      <c r="C21773" s="8" t="s">
        <v>8840</v>
      </c>
      <c r="D21773" s="8">
        <v>0</v>
      </c>
      <c r="E21773" s="8">
        <v>0</v>
      </c>
      <c r="F21773" s="8">
        <v>23</v>
      </c>
    </row>
    <row r="21774" spans="1:6" ht="12.75">
      <c r="A21774" s="8">
        <v>43894.583125000005</v>
      </c>
      <c r="B21774" s="8" t="str">
        <f>HYPERLINK("https://twitter.com/AlberaD5","@AlberaD5")</f>
        <v>@AlberaD5</v>
      </c>
      <c r="C21774" s="8" t="s">
        <v>8841</v>
      </c>
      <c r="D21774" s="8">
        <v>3</v>
      </c>
      <c r="E21774" s="8">
        <v>0</v>
      </c>
      <c r="F21774" s="8">
        <v>1801</v>
      </c>
    </row>
    <row r="21775" spans="1:6" ht="12.75">
      <c r="A21775" s="8">
        <v>43894.583055555559</v>
      </c>
      <c r="B21775" s="8" t="str">
        <f>HYPERLINK("https://twitter.com/mikhael_ac","@mikhael_ac")</f>
        <v>@mikhael_ac</v>
      </c>
      <c r="C21775" s="8" t="s">
        <v>8842</v>
      </c>
      <c r="D21775" s="8">
        <v>191</v>
      </c>
      <c r="E21775" s="8">
        <v>0</v>
      </c>
      <c r="F21775" s="8">
        <v>325</v>
      </c>
    </row>
    <row r="21776" spans="1:6" ht="12.75">
      <c r="A21776" s="8">
        <v>43894.582905092597</v>
      </c>
      <c r="B21776" s="8" t="str">
        <f>HYPERLINK("https://twitter.com/Jiban08476848","@Jiban08476848")</f>
        <v>@Jiban08476848</v>
      </c>
      <c r="C21776" s="8" t="s">
        <v>8841</v>
      </c>
      <c r="D21776" s="8">
        <v>3</v>
      </c>
      <c r="E21776" s="8">
        <v>0</v>
      </c>
      <c r="F21776" s="8">
        <v>20</v>
      </c>
    </row>
    <row r="21777" spans="1:6" ht="12.75">
      <c r="A21777" s="8">
        <v>43894.582754629635</v>
      </c>
      <c r="B21777" s="8" t="str">
        <f>HYPERLINK("https://twitter.com/Dnok_Ayu","@Dnok_Ayu")</f>
        <v>@Dnok_Ayu</v>
      </c>
      <c r="C21777" s="8" t="s">
        <v>8841</v>
      </c>
      <c r="D21777" s="8">
        <v>3</v>
      </c>
      <c r="E21777" s="8">
        <v>0</v>
      </c>
      <c r="F21777" s="8">
        <v>250</v>
      </c>
    </row>
    <row r="21778" spans="1:6" ht="12.75">
      <c r="A21778" s="8">
        <v>43894.582719907412</v>
      </c>
      <c r="B21778" s="8" t="str">
        <f>HYPERLINK("https://twitter.com/Denny_N_R","@Denny_N_R")</f>
        <v>@Denny_N_R</v>
      </c>
      <c r="C21778" s="8" t="s">
        <v>8843</v>
      </c>
      <c r="D21778" s="8">
        <v>104</v>
      </c>
      <c r="E21778" s="8">
        <v>0</v>
      </c>
      <c r="F21778" s="8">
        <v>142</v>
      </c>
    </row>
    <row r="21779" spans="1:6" ht="12.75">
      <c r="A21779" s="8">
        <v>43894.582500000004</v>
      </c>
      <c r="B21779" s="8" t="str">
        <f>HYPERLINK("https://twitter.com/Azzarenkagabril","@Azzarenkagabril")</f>
        <v>@Azzarenkagabril</v>
      </c>
      <c r="C21779" s="8" t="s">
        <v>8844</v>
      </c>
      <c r="D21779" s="8">
        <v>3</v>
      </c>
      <c r="E21779" s="8">
        <v>8</v>
      </c>
      <c r="F21779" s="8">
        <v>6350</v>
      </c>
    </row>
    <row r="21780" spans="1:6" ht="12.75">
      <c r="A21780" s="8">
        <v>43894.58216435185</v>
      </c>
      <c r="B21780" s="8" t="str">
        <f>HYPERLINK("https://twitter.com/DakwahInternet","@DakwahInternet")</f>
        <v>@DakwahInternet</v>
      </c>
      <c r="C21780" s="8" t="s">
        <v>8845</v>
      </c>
      <c r="D21780" s="8">
        <v>0</v>
      </c>
      <c r="E21780" s="8">
        <v>0</v>
      </c>
      <c r="F21780" s="8">
        <v>11</v>
      </c>
    </row>
    <row r="21781" spans="1:6" ht="12.75">
      <c r="A21781" s="8">
        <v>43894.581956018519</v>
      </c>
      <c r="B21781" s="8" t="str">
        <f>HYPERLINK("https://twitter.com/GoThic_1998","@GoThic_1998")</f>
        <v>@GoThic_1998</v>
      </c>
      <c r="C21781" s="8" t="s">
        <v>8846</v>
      </c>
      <c r="D21781" s="8">
        <v>8</v>
      </c>
      <c r="E21781" s="8">
        <v>0</v>
      </c>
      <c r="F21781" s="8">
        <v>150</v>
      </c>
    </row>
    <row r="21782" spans="1:6" ht="12.75">
      <c r="A21782" s="8">
        <v>43894.58185185185</v>
      </c>
      <c r="B21782" s="8" t="str">
        <f>HYPERLINK("https://twitter.com/yayatrh88","@yayatrh88")</f>
        <v>@yayatrh88</v>
      </c>
      <c r="C21782" s="8" t="s">
        <v>8847</v>
      </c>
      <c r="D21782" s="8">
        <v>19</v>
      </c>
      <c r="E21782" s="8">
        <v>0</v>
      </c>
      <c r="F21782" s="8">
        <v>73</v>
      </c>
    </row>
    <row r="21783" spans="1:6" ht="12.75">
      <c r="A21783" s="8">
        <v>43894.581643518519</v>
      </c>
      <c r="B21783" s="8" t="str">
        <f>HYPERLINK("https://twitter.com/Whimars2","@Whimars2")</f>
        <v>@Whimars2</v>
      </c>
      <c r="C21783" s="8" t="s">
        <v>8848</v>
      </c>
      <c r="D21783" s="8">
        <v>0</v>
      </c>
      <c r="E21783" s="8">
        <v>0</v>
      </c>
      <c r="F21783" s="8">
        <v>0</v>
      </c>
    </row>
    <row r="21784" spans="1:6" ht="12.75">
      <c r="A21784" s="8">
        <v>43894.581620370373</v>
      </c>
      <c r="B21784" s="8" t="str">
        <f>HYPERLINK("https://twitter.com/iu_rr","@iu_rr")</f>
        <v>@iu_rr</v>
      </c>
      <c r="C21784" s="8" t="s">
        <v>8849</v>
      </c>
      <c r="D21784" s="8">
        <v>0</v>
      </c>
      <c r="E21784" s="8">
        <v>0</v>
      </c>
      <c r="F21784" s="8">
        <v>477</v>
      </c>
    </row>
    <row r="21785" spans="1:6" ht="12.75">
      <c r="A21785" s="8">
        <v>43894.581134259264</v>
      </c>
      <c r="B21785" s="8" t="str">
        <f>HYPERLINK("https://twitter.com/aya_ddt","@aya_ddt")</f>
        <v>@aya_ddt</v>
      </c>
      <c r="C21785" s="8" t="s">
        <v>7845</v>
      </c>
      <c r="D21785" s="8">
        <v>32</v>
      </c>
      <c r="E21785" s="8">
        <v>0</v>
      </c>
      <c r="F21785" s="8">
        <v>434</v>
      </c>
    </row>
    <row r="21786" spans="1:6" ht="12.75">
      <c r="A21786" s="8">
        <v>43894.581099537041</v>
      </c>
      <c r="B21786" s="8" t="str">
        <f t="shared" ref="B21786:B21787" si="318">HYPERLINK("https://twitter.com/nandasaragih3","@nandasaragih3")</f>
        <v>@nandasaragih3</v>
      </c>
      <c r="C21786" s="8" t="s">
        <v>8212</v>
      </c>
      <c r="D21786" s="8">
        <v>81</v>
      </c>
      <c r="E21786" s="8">
        <v>0</v>
      </c>
      <c r="F21786" s="8">
        <v>216</v>
      </c>
    </row>
    <row r="21787" spans="1:6" ht="12.75">
      <c r="A21787" s="8">
        <v>43894.580995370372</v>
      </c>
      <c r="B21787" s="8" t="str">
        <f t="shared" si="318"/>
        <v>@nandasaragih3</v>
      </c>
      <c r="C21787" s="8" t="s">
        <v>6710</v>
      </c>
      <c r="D21787" s="8">
        <v>284</v>
      </c>
      <c r="E21787" s="8">
        <v>0</v>
      </c>
      <c r="F21787" s="8">
        <v>216</v>
      </c>
    </row>
    <row r="21788" spans="1:6" ht="12.75">
      <c r="A21788" s="8">
        <v>43894.580972222218</v>
      </c>
      <c r="B21788" s="8" t="str">
        <f>HYPERLINK("https://twitter.com/SaputraBerman","@SaputraBerman")</f>
        <v>@SaputraBerman</v>
      </c>
      <c r="C21788" s="8" t="s">
        <v>8360</v>
      </c>
      <c r="D21788" s="8">
        <v>14</v>
      </c>
      <c r="E21788" s="8">
        <v>0</v>
      </c>
      <c r="F21788" s="8">
        <v>80</v>
      </c>
    </row>
    <row r="21789" spans="1:6" ht="12.75">
      <c r="A21789" s="8">
        <v>43894.580567129626</v>
      </c>
      <c r="B21789" s="8" t="str">
        <f>HYPERLINK("https://twitter.com/SeMarMe53515277","@SeMarMe53515277")</f>
        <v>@SeMarMe53515277</v>
      </c>
      <c r="C21789" s="8" t="s">
        <v>8115</v>
      </c>
      <c r="D21789" s="8">
        <v>135</v>
      </c>
      <c r="E21789" s="8">
        <v>0</v>
      </c>
      <c r="F21789" s="8">
        <v>636</v>
      </c>
    </row>
    <row r="21790" spans="1:6" ht="12.75">
      <c r="A21790" s="8">
        <v>43894.58017361111</v>
      </c>
      <c r="B21790" s="8" t="str">
        <f>HYPERLINK("https://twitter.com/yukyookyak","@yukyookyak")</f>
        <v>@yukyookyak</v>
      </c>
      <c r="C21790" s="8" t="s">
        <v>6710</v>
      </c>
      <c r="D21790" s="8">
        <v>284</v>
      </c>
      <c r="E21790" s="8">
        <v>0</v>
      </c>
      <c r="F21790" s="8">
        <v>656</v>
      </c>
    </row>
    <row r="21791" spans="1:6" ht="12.75">
      <c r="A21791" s="8">
        <v>43894.579745370371</v>
      </c>
      <c r="B21791" s="8" t="str">
        <f>HYPERLINK("https://twitter.com/SaputraBerman","@SaputraBerman")</f>
        <v>@SaputraBerman</v>
      </c>
      <c r="C21791" s="8" t="s">
        <v>6710</v>
      </c>
      <c r="D21791" s="8">
        <v>284</v>
      </c>
      <c r="E21791" s="8">
        <v>0</v>
      </c>
      <c r="F21791" s="8">
        <v>80</v>
      </c>
    </row>
    <row r="21792" spans="1:6" ht="12.75">
      <c r="A21792" s="8">
        <v>43894.579699074078</v>
      </c>
      <c r="B21792" s="8" t="str">
        <f>HYPERLINK("https://twitter.com/denume_","@denume_")</f>
        <v>@denume_</v>
      </c>
      <c r="C21792" s="8" t="s">
        <v>8850</v>
      </c>
      <c r="D21792" s="8">
        <v>0</v>
      </c>
      <c r="E21792" s="8">
        <v>2</v>
      </c>
      <c r="F21792" s="8">
        <v>2873</v>
      </c>
    </row>
    <row r="21793" spans="1:6" ht="12.75">
      <c r="A21793" s="8">
        <v>43894.579675925925</v>
      </c>
      <c r="B21793" s="8" t="str">
        <f>HYPERLINK("https://twitter.com/sunivershine","@sunivershine")</f>
        <v>@sunivershine</v>
      </c>
      <c r="C21793" s="8" t="s">
        <v>8831</v>
      </c>
      <c r="D21793" s="8">
        <v>5</v>
      </c>
      <c r="E21793" s="8">
        <v>0</v>
      </c>
      <c r="F21793" s="8">
        <v>848</v>
      </c>
    </row>
    <row r="21794" spans="1:6" ht="12.75">
      <c r="A21794" s="8">
        <v>43894.579502314809</v>
      </c>
      <c r="B21794" s="8" t="str">
        <f>HYPERLINK("https://twitter.com/anerrevv","@anerrevv")</f>
        <v>@anerrevv</v>
      </c>
      <c r="C21794" s="8" t="s">
        <v>4477</v>
      </c>
      <c r="D21794" s="8">
        <v>1241</v>
      </c>
      <c r="E21794" s="8">
        <v>0</v>
      </c>
      <c r="F21794" s="8">
        <v>7</v>
      </c>
    </row>
    <row r="21795" spans="1:6" ht="12.75">
      <c r="A21795" s="8">
        <v>43894.57876157407</v>
      </c>
      <c r="B21795" s="8" t="str">
        <f>HYPERLINK("https://twitter.com/Naya95779261","@Naya95779261")</f>
        <v>@Naya95779261</v>
      </c>
      <c r="C21795" s="8" t="s">
        <v>8851</v>
      </c>
      <c r="D21795" s="8">
        <v>46</v>
      </c>
      <c r="E21795" s="8">
        <v>0</v>
      </c>
      <c r="F21795" s="8">
        <v>31</v>
      </c>
    </row>
    <row r="21796" spans="1:6" ht="12.75">
      <c r="A21796" s="8">
        <v>43894.5784375</v>
      </c>
      <c r="B21796" s="8" t="str">
        <f>HYPERLINK("https://twitter.com/AkhmadBasori11","@AkhmadBasori11")</f>
        <v>@AkhmadBasori11</v>
      </c>
      <c r="C21796" s="8" t="s">
        <v>8115</v>
      </c>
      <c r="D21796" s="8">
        <v>135</v>
      </c>
      <c r="E21796" s="8">
        <v>0</v>
      </c>
      <c r="F21796" s="8">
        <v>257</v>
      </c>
    </row>
    <row r="21797" spans="1:6" ht="12.75">
      <c r="A21797" s="8">
        <v>43894.578368055554</v>
      </c>
      <c r="B21797" s="8" t="str">
        <f>HYPERLINK("https://twitter.com/TurnBackWahabi","@TurnBackWahabi")</f>
        <v>@TurnBackWahabi</v>
      </c>
      <c r="C21797" s="8" t="s">
        <v>7966</v>
      </c>
      <c r="D21797" s="8">
        <v>2</v>
      </c>
      <c r="E21797" s="8">
        <v>0</v>
      </c>
      <c r="F21797" s="8">
        <v>390</v>
      </c>
    </row>
    <row r="21798" spans="1:6" ht="12.75">
      <c r="A21798" s="8">
        <v>43894.578067129631</v>
      </c>
      <c r="B21798" s="8" t="str">
        <f>HYPERLINK("https://twitter.com/AlummiRambe","@AlummiRambe")</f>
        <v>@AlummiRambe</v>
      </c>
      <c r="C21798" s="8" t="s">
        <v>8846</v>
      </c>
      <c r="D21798" s="8">
        <v>8</v>
      </c>
      <c r="E21798" s="8">
        <v>0</v>
      </c>
      <c r="F21798" s="8">
        <v>2185</v>
      </c>
    </row>
    <row r="21799" spans="1:6" ht="12.75">
      <c r="A21799" s="8">
        <v>43894.578032407408</v>
      </c>
      <c r="B21799" s="8" t="str">
        <f>HYPERLINK("https://twitter.com/damscoopy","@damscoopy")</f>
        <v>@damscoopy</v>
      </c>
      <c r="C21799" s="8" t="s">
        <v>8138</v>
      </c>
      <c r="D21799" s="8">
        <v>45</v>
      </c>
      <c r="E21799" s="8">
        <v>0</v>
      </c>
      <c r="F21799" s="8">
        <v>367</v>
      </c>
    </row>
    <row r="21800" spans="1:6" ht="12.75">
      <c r="A21800" s="8">
        <v>43894.577372685184</v>
      </c>
      <c r="B21800" s="8" t="str">
        <f>HYPERLINK("https://twitter.com/MondyJacob","@MondyJacob")</f>
        <v>@MondyJacob</v>
      </c>
      <c r="C21800" s="8" t="s">
        <v>8360</v>
      </c>
      <c r="D21800" s="8">
        <v>14</v>
      </c>
      <c r="E21800" s="8">
        <v>0</v>
      </c>
      <c r="F21800" s="8">
        <v>231</v>
      </c>
    </row>
    <row r="21801" spans="1:6" ht="12.75">
      <c r="A21801" s="8">
        <v>43894.576550925922</v>
      </c>
      <c r="B21801" s="8" t="str">
        <f>HYPERLINK("https://twitter.com/LovelySinaga79","@LovelySinaga79")</f>
        <v>@LovelySinaga79</v>
      </c>
      <c r="C21801" s="8" t="s">
        <v>8852</v>
      </c>
      <c r="D21801" s="8">
        <v>0</v>
      </c>
      <c r="E21801" s="8">
        <v>1</v>
      </c>
      <c r="F21801" s="8">
        <v>92</v>
      </c>
    </row>
    <row r="21802" spans="1:6" ht="12.75">
      <c r="A21802" s="8">
        <v>43894.576527777783</v>
      </c>
      <c r="B21802" s="8" t="str">
        <f>HYPERLINK("https://twitter.com/JannesHutajulu","@JannesHutajulu")</f>
        <v>@JannesHutajulu</v>
      </c>
      <c r="C21802" s="8" t="s">
        <v>8230</v>
      </c>
      <c r="D21802" s="8">
        <v>60</v>
      </c>
      <c r="E21802" s="8">
        <v>0</v>
      </c>
      <c r="F21802" s="8">
        <v>2412</v>
      </c>
    </row>
    <row r="21803" spans="1:6" ht="12.75">
      <c r="A21803" s="8">
        <v>43894.576516203699</v>
      </c>
      <c r="B21803" s="8" t="str">
        <f>HYPERLINK("https://twitter.com/si_tiurmatio","@si_tiurmatio")</f>
        <v>@si_tiurmatio</v>
      </c>
      <c r="C21803" s="8" t="s">
        <v>8853</v>
      </c>
      <c r="D21803" s="8">
        <v>0</v>
      </c>
      <c r="E21803" s="8">
        <v>0</v>
      </c>
      <c r="F21803" s="8">
        <v>86</v>
      </c>
    </row>
    <row r="21804" spans="1:6" ht="12.75">
      <c r="A21804" s="8">
        <v>43894.576388888891</v>
      </c>
      <c r="B21804" s="8" t="str">
        <f t="shared" ref="B21804:B21805" si="319">HYPERLINK("https://twitter.com/HaloBCA","@HaloBCA")</f>
        <v>@HaloBCA</v>
      </c>
      <c r="C21804" s="8" t="s">
        <v>8854</v>
      </c>
      <c r="D21804" s="8">
        <v>0</v>
      </c>
      <c r="E21804" s="8">
        <v>0</v>
      </c>
      <c r="F21804" s="8">
        <v>232773</v>
      </c>
    </row>
    <row r="21805" spans="1:6" ht="12.75">
      <c r="A21805" s="8">
        <v>43894.576388888891</v>
      </c>
      <c r="B21805" s="8" t="str">
        <f t="shared" si="319"/>
        <v>@HaloBCA</v>
      </c>
      <c r="C21805" s="8" t="s">
        <v>8855</v>
      </c>
      <c r="D21805" s="8">
        <v>0</v>
      </c>
      <c r="E21805" s="8">
        <v>0</v>
      </c>
      <c r="F21805" s="8">
        <v>232773</v>
      </c>
    </row>
    <row r="21806" spans="1:6" ht="12.75">
      <c r="A21806" s="8">
        <v>43894.575960648144</v>
      </c>
      <c r="B21806" s="8" t="str">
        <f>HYPERLINK("https://twitter.com/atid2807","@atid2807")</f>
        <v>@atid2807</v>
      </c>
      <c r="C21806" s="8" t="s">
        <v>8281</v>
      </c>
      <c r="D21806" s="8">
        <v>67</v>
      </c>
      <c r="E21806" s="8">
        <v>0</v>
      </c>
      <c r="F21806" s="8">
        <v>117</v>
      </c>
    </row>
    <row r="21807" spans="1:6" ht="12.75">
      <c r="A21807" s="8">
        <v>43894.575856481482</v>
      </c>
      <c r="B21807" s="8" t="str">
        <f>HYPERLINK("https://twitter.com/jawapos","@jawapos")</f>
        <v>@jawapos</v>
      </c>
      <c r="C21807" s="8" t="s">
        <v>8856</v>
      </c>
      <c r="D21807" s="8">
        <v>1</v>
      </c>
      <c r="E21807" s="8">
        <v>1</v>
      </c>
      <c r="F21807" s="8">
        <v>125868</v>
      </c>
    </row>
    <row r="21808" spans="1:6" ht="12.75">
      <c r="A21808" s="8">
        <v>43894.575810185182</v>
      </c>
      <c r="B21808" s="8" t="str">
        <f>HYPERLINK("https://twitter.com/DcEliana","@DcEliana")</f>
        <v>@DcEliana</v>
      </c>
      <c r="C21808" s="8" t="s">
        <v>8230</v>
      </c>
      <c r="D21808" s="8">
        <v>60</v>
      </c>
      <c r="E21808" s="8">
        <v>0</v>
      </c>
      <c r="F21808" s="8">
        <v>156</v>
      </c>
    </row>
    <row r="21809" spans="1:6" ht="12.75">
      <c r="A21809" s="8">
        <v>43894.57576388889</v>
      </c>
      <c r="B21809" s="8" t="str">
        <f>HYPERLINK("https://twitter.com/patipadam","@patipadam")</f>
        <v>@patipadam</v>
      </c>
      <c r="C21809" s="8" t="s">
        <v>8857</v>
      </c>
      <c r="D21809" s="8">
        <v>0</v>
      </c>
      <c r="E21809" s="8">
        <v>1</v>
      </c>
      <c r="F21809" s="8">
        <v>2014</v>
      </c>
    </row>
    <row r="21810" spans="1:6" ht="12.75">
      <c r="A21810" s="8">
        <v>43894.575671296298</v>
      </c>
      <c r="B21810" s="8" t="str">
        <f>HYPERLINK("https://twitter.com/Slash074","@Slash074")</f>
        <v>@Slash074</v>
      </c>
      <c r="C21810" s="8" t="s">
        <v>5313</v>
      </c>
      <c r="D21810" s="8">
        <v>5</v>
      </c>
      <c r="E21810" s="8">
        <v>0</v>
      </c>
      <c r="F21810" s="8">
        <v>101</v>
      </c>
    </row>
    <row r="21811" spans="1:6" ht="12.75">
      <c r="A21811" s="8">
        <v>43894.575659722221</v>
      </c>
      <c r="B21811" s="8" t="str">
        <f>HYPERLINK("https://twitter.com/EdiSetiawan_edd","@EdiSetiawan_edd")</f>
        <v>@EdiSetiawan_edd</v>
      </c>
      <c r="C21811" s="8" t="s">
        <v>8858</v>
      </c>
      <c r="D21811" s="8">
        <v>0</v>
      </c>
      <c r="E21811" s="8">
        <v>0</v>
      </c>
      <c r="F21811" s="8">
        <v>229</v>
      </c>
    </row>
    <row r="21812" spans="1:6" ht="12.75">
      <c r="A21812" s="8">
        <v>43894.575439814813</v>
      </c>
      <c r="B21812" s="8" t="str">
        <f>HYPERLINK("https://twitter.com/KiRaidesu","@KiRaidesu")</f>
        <v>@KiRaidesu</v>
      </c>
      <c r="C21812" s="8" t="s">
        <v>7101</v>
      </c>
      <c r="D21812" s="8">
        <v>15</v>
      </c>
      <c r="E21812" s="8">
        <v>0</v>
      </c>
      <c r="F21812" s="8">
        <v>578</v>
      </c>
    </row>
    <row r="21813" spans="1:6" ht="12.75">
      <c r="A21813" s="8">
        <v>43894.575416666667</v>
      </c>
      <c r="B21813" s="8" t="str">
        <f>HYPERLINK("https://twitter.com/wisanggeni_084","@wisanggeni_084")</f>
        <v>@wisanggeni_084</v>
      </c>
      <c r="C21813" s="8" t="s">
        <v>8859</v>
      </c>
      <c r="D21813" s="8">
        <v>1</v>
      </c>
      <c r="E21813" s="8">
        <v>0</v>
      </c>
      <c r="F21813" s="8">
        <v>17439</v>
      </c>
    </row>
    <row r="21814" spans="1:6" ht="12.75">
      <c r="A21814" s="8">
        <v>43894.575300925921</v>
      </c>
      <c r="B21814" s="8" t="str">
        <f>HYPERLINK("https://twitter.com/anggaito","@anggaito")</f>
        <v>@anggaito</v>
      </c>
      <c r="C21814" s="8" t="s">
        <v>8831</v>
      </c>
      <c r="D21814" s="8">
        <v>5</v>
      </c>
      <c r="E21814" s="8">
        <v>0</v>
      </c>
      <c r="F21814" s="8">
        <v>295</v>
      </c>
    </row>
    <row r="21815" spans="1:6" ht="12.75">
      <c r="A21815" s="8">
        <v>43894.575208333335</v>
      </c>
      <c r="B21815" s="8" t="str">
        <f>HYPERLINK("https://twitter.com/seruanhl","@seruanhl")</f>
        <v>@seruanhl</v>
      </c>
      <c r="C21815" s="8" t="s">
        <v>8360</v>
      </c>
      <c r="D21815" s="8">
        <v>14</v>
      </c>
      <c r="E21815" s="8">
        <v>0</v>
      </c>
      <c r="F21815" s="8">
        <v>13185</v>
      </c>
    </row>
    <row r="21816" spans="1:6" ht="12.75">
      <c r="A21816" s="8">
        <v>43894.575104166666</v>
      </c>
      <c r="B21816" s="8" t="str">
        <f>HYPERLINK("https://twitter.com/FitriRizkiyant2","@FitriRizkiyant2")</f>
        <v>@FitriRizkiyant2</v>
      </c>
      <c r="C21816" s="8" t="s">
        <v>8860</v>
      </c>
      <c r="D21816" s="8">
        <v>0</v>
      </c>
      <c r="E21816" s="8">
        <v>1</v>
      </c>
      <c r="F21816" s="8">
        <v>4</v>
      </c>
    </row>
    <row r="21817" spans="1:6" ht="12.75">
      <c r="A21817" s="8">
        <v>43894.575092592597</v>
      </c>
      <c r="B21817" s="8" t="str">
        <f>HYPERLINK("https://twitter.com/Yo2n91","@Yo2n91")</f>
        <v>@Yo2n91</v>
      </c>
      <c r="C21817" s="8" t="s">
        <v>8589</v>
      </c>
      <c r="D21817" s="8">
        <v>8</v>
      </c>
      <c r="E21817" s="8">
        <v>0</v>
      </c>
      <c r="F21817" s="8">
        <v>9</v>
      </c>
    </row>
    <row r="21818" spans="1:6" ht="12.75">
      <c r="A21818" s="8">
        <v>43894.57476851852</v>
      </c>
      <c r="B21818" s="8" t="str">
        <f>HYPERLINK("https://twitter.com/nanininaninna","@nanininaninna")</f>
        <v>@nanininaninna</v>
      </c>
      <c r="C21818" s="8" t="s">
        <v>6710</v>
      </c>
      <c r="D21818" s="8">
        <v>284</v>
      </c>
      <c r="E21818" s="8">
        <v>0</v>
      </c>
      <c r="F21818" s="8">
        <v>2744</v>
      </c>
    </row>
    <row r="21819" spans="1:6" ht="12.75">
      <c r="A21819" s="8">
        <v>43894.574432870373</v>
      </c>
      <c r="B21819" s="8" t="str">
        <f>HYPERLINK("https://twitter.com/MAliSubhan2","@MAliSubhan2")</f>
        <v>@MAliSubhan2</v>
      </c>
      <c r="C21819" s="8" t="s">
        <v>8360</v>
      </c>
      <c r="D21819" s="8">
        <v>14</v>
      </c>
      <c r="E21819" s="8">
        <v>0</v>
      </c>
      <c r="F21819" s="8">
        <v>1241</v>
      </c>
    </row>
    <row r="21820" spans="1:6" ht="12.75">
      <c r="A21820" s="8">
        <v>43894.574328703704</v>
      </c>
      <c r="B21820" s="8" t="str">
        <f>HYPERLINK("https://twitter.com/muqauiqis","@muqauiqis")</f>
        <v>@muqauiqis</v>
      </c>
      <c r="C21820" s="8" t="s">
        <v>3850</v>
      </c>
      <c r="D21820" s="8">
        <v>1455</v>
      </c>
      <c r="E21820" s="8">
        <v>0</v>
      </c>
      <c r="F21820" s="8">
        <v>293</v>
      </c>
    </row>
    <row r="21821" spans="1:6" ht="12.75">
      <c r="A21821" s="8">
        <v>43894.574120370366</v>
      </c>
      <c r="B21821" s="8" t="str">
        <f>HYPERLINK("https://twitter.com/blackpink828","@blackpink828")</f>
        <v>@blackpink828</v>
      </c>
      <c r="C21821" s="8" t="s">
        <v>8831</v>
      </c>
      <c r="D21821" s="8">
        <v>5</v>
      </c>
      <c r="E21821" s="8">
        <v>0</v>
      </c>
      <c r="F21821" s="8">
        <v>2851</v>
      </c>
    </row>
    <row r="21822" spans="1:6" ht="12.75">
      <c r="A21822" s="8">
        <v>43894.573865740742</v>
      </c>
      <c r="B21822" s="8" t="str">
        <f>HYPERLINK("https://twitter.com/BongSofie","@BongSofie")</f>
        <v>@BongSofie</v>
      </c>
      <c r="C21822" s="8" t="s">
        <v>8212</v>
      </c>
      <c r="D21822" s="8">
        <v>81</v>
      </c>
      <c r="E21822" s="8">
        <v>0</v>
      </c>
      <c r="F21822" s="8">
        <v>355</v>
      </c>
    </row>
    <row r="21823" spans="1:6" ht="12.75">
      <c r="A21823" s="8">
        <v>43894.573680555557</v>
      </c>
      <c r="B21823" s="8" t="str">
        <f>HYPERLINK("https://twitter.com/JohnIrwan4","@JohnIrwan4")</f>
        <v>@JohnIrwan4</v>
      </c>
      <c r="C21823" s="8" t="s">
        <v>8861</v>
      </c>
      <c r="D21823" s="8">
        <v>1</v>
      </c>
      <c r="E21823" s="8">
        <v>0</v>
      </c>
      <c r="F21823" s="8">
        <v>2645</v>
      </c>
    </row>
    <row r="21824" spans="1:6" ht="12.75">
      <c r="A21824" s="8">
        <v>43894.573587962965</v>
      </c>
      <c r="B21824" s="8" t="str">
        <f>HYPERLINK("https://twitter.com/sharisherenhuth","@sharisherenhuth")</f>
        <v>@sharisherenhuth</v>
      </c>
      <c r="C21824" s="8" t="s">
        <v>6710</v>
      </c>
      <c r="D21824" s="8">
        <v>284</v>
      </c>
      <c r="E21824" s="8">
        <v>0</v>
      </c>
      <c r="F21824" s="8">
        <v>194</v>
      </c>
    </row>
    <row r="21825" spans="1:6" ht="12.75">
      <c r="A21825" s="8">
        <v>43894.573576388888</v>
      </c>
      <c r="B21825" s="8" t="str">
        <f>HYPERLINK("https://twitter.com/mazzini_gsp","@mazzini_gsp")</f>
        <v>@mazzini_gsp</v>
      </c>
      <c r="C21825" s="8" t="s">
        <v>8862</v>
      </c>
      <c r="D21825" s="8">
        <v>5</v>
      </c>
      <c r="E21825" s="8">
        <v>10</v>
      </c>
      <c r="F21825" s="8">
        <v>16159</v>
      </c>
    </row>
    <row r="21826" spans="1:6" ht="12.75">
      <c r="A21826" s="8">
        <v>43894.573506944449</v>
      </c>
      <c r="B21826" s="8" t="str">
        <f>HYPERLINK("https://twitter.com/_rizkyfadillah_","@_rizkyfadillah_")</f>
        <v>@_rizkyfadillah_</v>
      </c>
      <c r="C21826" s="8" t="s">
        <v>1621</v>
      </c>
      <c r="D21826" s="8">
        <v>37</v>
      </c>
      <c r="E21826" s="8">
        <v>0</v>
      </c>
      <c r="F21826" s="8">
        <v>607</v>
      </c>
    </row>
    <row r="21827" spans="1:6" ht="12.75">
      <c r="A21827" s="8">
        <v>43894.573495370365</v>
      </c>
      <c r="B21827" s="8" t="str">
        <f>HYPERLINK("https://twitter.com/thikathy","@thikathy")</f>
        <v>@thikathy</v>
      </c>
      <c r="C21827" s="8" t="s">
        <v>8212</v>
      </c>
      <c r="D21827" s="8">
        <v>81</v>
      </c>
      <c r="E21827" s="8">
        <v>0</v>
      </c>
      <c r="F21827" s="8">
        <v>1610</v>
      </c>
    </row>
    <row r="21828" spans="1:6" ht="12.75">
      <c r="A21828" s="8">
        <v>43894.573425925926</v>
      </c>
      <c r="B21828" s="8" t="str">
        <f>HYPERLINK("https://twitter.com/DikaNoviyanti","@DikaNoviyanti")</f>
        <v>@DikaNoviyanti</v>
      </c>
      <c r="C21828" s="8" t="s">
        <v>8863</v>
      </c>
      <c r="D21828" s="8">
        <v>0</v>
      </c>
      <c r="E21828" s="8">
        <v>0</v>
      </c>
      <c r="F21828" s="8">
        <v>244</v>
      </c>
    </row>
    <row r="21829" spans="1:6" ht="12.75">
      <c r="A21829" s="8">
        <v>43894.57340277778</v>
      </c>
      <c r="B21829" s="8" t="str">
        <f>HYPERLINK("https://twitter.com/JohnIrwan4","@JohnIrwan4")</f>
        <v>@JohnIrwan4</v>
      </c>
      <c r="C21829" s="8" t="s">
        <v>8864</v>
      </c>
      <c r="D21829" s="8">
        <v>1</v>
      </c>
      <c r="E21829" s="8">
        <v>0</v>
      </c>
      <c r="F21829" s="8">
        <v>2645</v>
      </c>
    </row>
    <row r="21830" spans="1:6" ht="12.75">
      <c r="A21830" s="8">
        <v>43894.573379629626</v>
      </c>
      <c r="B21830" s="8" t="str">
        <f>HYPERLINK("https://twitter.com/Banyumasiana","@Banyumasiana")</f>
        <v>@Banyumasiana</v>
      </c>
      <c r="C21830" s="8" t="s">
        <v>6630</v>
      </c>
      <c r="D21830" s="8">
        <v>12</v>
      </c>
      <c r="E21830" s="8">
        <v>0</v>
      </c>
      <c r="F21830" s="8">
        <v>5828</v>
      </c>
    </row>
    <row r="21831" spans="1:6" ht="12.75">
      <c r="A21831" s="8">
        <v>43894.573344907403</v>
      </c>
      <c r="B21831" s="8" t="str">
        <f>HYPERLINK("https://twitter.com/YEngran","@YEngran")</f>
        <v>@YEngran</v>
      </c>
      <c r="C21831" s="8" t="s">
        <v>8865</v>
      </c>
      <c r="D21831" s="8">
        <v>0</v>
      </c>
      <c r="E21831" s="8">
        <v>0</v>
      </c>
      <c r="F21831" s="8">
        <v>276</v>
      </c>
    </row>
    <row r="21832" spans="1:6" ht="12.75">
      <c r="A21832" s="8">
        <v>43894.573148148149</v>
      </c>
      <c r="B21832" s="8" t="str">
        <f>HYPERLINK("https://twitter.com/BambangTenan","@BambangTenan")</f>
        <v>@BambangTenan</v>
      </c>
      <c r="C21832" s="8" t="s">
        <v>7101</v>
      </c>
      <c r="D21832" s="8">
        <v>15</v>
      </c>
      <c r="E21832" s="8">
        <v>0</v>
      </c>
      <c r="F21832" s="8">
        <v>1036</v>
      </c>
    </row>
    <row r="21833" spans="1:6" ht="12.75">
      <c r="A21833" s="8">
        <v>43894.573067129633</v>
      </c>
      <c r="B21833" s="8" t="str">
        <f>HYPERLINK("https://twitter.com/realdennise","@realdennise")</f>
        <v>@realdennise</v>
      </c>
      <c r="C21833" s="8" t="s">
        <v>6710</v>
      </c>
      <c r="D21833" s="8">
        <v>284</v>
      </c>
      <c r="E21833" s="8">
        <v>0</v>
      </c>
      <c r="F21833" s="8">
        <v>3</v>
      </c>
    </row>
    <row r="21834" spans="1:6" ht="12.75">
      <c r="A21834" s="8">
        <v>43894.572789351849</v>
      </c>
      <c r="B21834" s="8" t="str">
        <f>HYPERLINK("https://twitter.com/BongSofie","@BongSofie")</f>
        <v>@BongSofie</v>
      </c>
      <c r="C21834" s="8" t="s">
        <v>6710</v>
      </c>
      <c r="D21834" s="8">
        <v>284</v>
      </c>
      <c r="E21834" s="8">
        <v>0</v>
      </c>
      <c r="F21834" s="8">
        <v>355</v>
      </c>
    </row>
    <row r="21835" spans="1:6" ht="12.75">
      <c r="A21835" s="8">
        <v>43894.57236111111</v>
      </c>
      <c r="B21835" s="8" t="str">
        <f>HYPERLINK("https://twitter.com/andris44","@andris44")</f>
        <v>@andris44</v>
      </c>
      <c r="C21835" s="8" t="s">
        <v>8360</v>
      </c>
      <c r="D21835" s="8">
        <v>14</v>
      </c>
      <c r="E21835" s="8">
        <v>0</v>
      </c>
      <c r="F21835" s="8">
        <v>1374</v>
      </c>
    </row>
    <row r="21836" spans="1:6" ht="12.75">
      <c r="A21836" s="8">
        <v>43894.57236111111</v>
      </c>
      <c r="B21836" s="8" t="str">
        <f>HYPERLINK("https://twitter.com/prasetycio","@prasetycio")</f>
        <v>@prasetycio</v>
      </c>
      <c r="C21836" s="8" t="s">
        <v>5313</v>
      </c>
      <c r="D21836" s="8">
        <v>5</v>
      </c>
      <c r="E21836" s="8">
        <v>0</v>
      </c>
      <c r="F21836" s="8">
        <v>362</v>
      </c>
    </row>
    <row r="21837" spans="1:6" ht="12.75">
      <c r="A21837" s="8">
        <v>43894.572280092594</v>
      </c>
      <c r="B21837" s="8" t="str">
        <f>HYPERLINK("https://twitter.com/AnginApiMenyala","@AnginApiMenyala")</f>
        <v>@AnginApiMenyala</v>
      </c>
      <c r="C21837" s="8" t="s">
        <v>8866</v>
      </c>
      <c r="D21837" s="8">
        <v>25</v>
      </c>
      <c r="E21837" s="8">
        <v>0</v>
      </c>
      <c r="F21837" s="8">
        <v>113</v>
      </c>
    </row>
    <row r="21838" spans="1:6" ht="12.75">
      <c r="A21838" s="8">
        <v>43894.572245370371</v>
      </c>
      <c r="B21838" s="8" t="str">
        <f>HYPERLINK("https://twitter.com/asakunation","@asakunation")</f>
        <v>@asakunation</v>
      </c>
      <c r="C21838" s="8" t="s">
        <v>5313</v>
      </c>
      <c r="D21838" s="8">
        <v>5</v>
      </c>
      <c r="E21838" s="8">
        <v>0</v>
      </c>
      <c r="F21838" s="8">
        <v>211</v>
      </c>
    </row>
    <row r="21839" spans="1:6" ht="12.75">
      <c r="A21839" s="8">
        <v>43894.572245370371</v>
      </c>
      <c r="B21839" s="8" t="str">
        <f>HYPERLINK("https://twitter.com/nemosyus","@nemosyus")</f>
        <v>@nemosyus</v>
      </c>
      <c r="C21839" s="8" t="s">
        <v>8818</v>
      </c>
      <c r="D21839" s="8">
        <v>6</v>
      </c>
      <c r="E21839" s="8">
        <v>0</v>
      </c>
      <c r="F21839" s="8">
        <v>527</v>
      </c>
    </row>
    <row r="21840" spans="1:6" ht="12.75">
      <c r="A21840" s="8">
        <v>43894.572129629625</v>
      </c>
      <c r="B21840" s="8" t="str">
        <f>HYPERLINK("https://twitter.com/qoniknf","@qoniknf")</f>
        <v>@qoniknf</v>
      </c>
      <c r="C21840" s="8" t="s">
        <v>1427</v>
      </c>
      <c r="D21840" s="8">
        <v>1028</v>
      </c>
      <c r="E21840" s="8">
        <v>0</v>
      </c>
      <c r="F21840" s="8">
        <v>477</v>
      </c>
    </row>
    <row r="21841" spans="1:6" ht="12.75">
      <c r="A21841" s="8">
        <v>43894.571979166663</v>
      </c>
      <c r="B21841" s="8" t="str">
        <f>HYPERLINK("https://twitter.com/akirakirodd","@akirakirodd")</f>
        <v>@akirakirodd</v>
      </c>
      <c r="C21841" s="8" t="s">
        <v>1427</v>
      </c>
      <c r="D21841" s="8">
        <v>1028</v>
      </c>
      <c r="E21841" s="8">
        <v>0</v>
      </c>
      <c r="F21841" s="8">
        <v>1019</v>
      </c>
    </row>
    <row r="21842" spans="1:6" ht="12.75">
      <c r="A21842" s="8">
        <v>43894.571909722217</v>
      </c>
      <c r="B21842" s="8" t="str">
        <f>HYPERLINK("https://twitter.com/annelis2311","@annelis2311")</f>
        <v>@annelis2311</v>
      </c>
      <c r="C21842" s="8" t="s">
        <v>7845</v>
      </c>
      <c r="D21842" s="8">
        <v>32</v>
      </c>
      <c r="E21842" s="8">
        <v>0</v>
      </c>
      <c r="F21842" s="8">
        <v>18</v>
      </c>
    </row>
    <row r="21843" spans="1:6" ht="12.75">
      <c r="A21843" s="8">
        <v>43894.571446759262</v>
      </c>
      <c r="B21843" s="8" t="str">
        <f>HYPERLINK("https://twitter.com/HotP3pp3rminTea","@HotP3pp3rminTea")</f>
        <v>@HotP3pp3rminTea</v>
      </c>
      <c r="C21843" s="8" t="s">
        <v>8867</v>
      </c>
      <c r="D21843" s="8">
        <v>1</v>
      </c>
      <c r="E21843" s="8">
        <v>0</v>
      </c>
      <c r="F21843" s="8">
        <v>11657</v>
      </c>
    </row>
    <row r="21844" spans="1:6" ht="12.75">
      <c r="A21844" s="8">
        <v>43894.571400462963</v>
      </c>
      <c r="B21844" s="8" t="str">
        <f>HYPERLINK("https://twitter.com/airhujandingin","@airhujandingin")</f>
        <v>@airhujandingin</v>
      </c>
      <c r="C21844" s="8" t="s">
        <v>8868</v>
      </c>
      <c r="D21844" s="8">
        <v>187</v>
      </c>
      <c r="E21844" s="8">
        <v>0</v>
      </c>
      <c r="F21844" s="8">
        <v>111</v>
      </c>
    </row>
    <row r="21845" spans="1:6" ht="12.75">
      <c r="A21845" s="8">
        <v>43894.571388888886</v>
      </c>
      <c r="B21845" s="8" t="str">
        <f>HYPERLINK("https://twitter.com/calvinyounglee","@calvinyounglee")</f>
        <v>@calvinyounglee</v>
      </c>
      <c r="C21845" s="8" t="s">
        <v>7101</v>
      </c>
      <c r="D21845" s="8">
        <v>15</v>
      </c>
      <c r="E21845" s="8">
        <v>0</v>
      </c>
      <c r="F21845" s="8">
        <v>424</v>
      </c>
    </row>
    <row r="21846" spans="1:6" ht="12.75">
      <c r="A21846" s="8">
        <v>43894.571250000001</v>
      </c>
      <c r="B21846" s="8" t="str">
        <f>HYPERLINK("https://twitter.com/iduybutties","@iduybutties")</f>
        <v>@iduybutties</v>
      </c>
      <c r="C21846" s="8" t="s">
        <v>8762</v>
      </c>
      <c r="D21846" s="8">
        <v>8</v>
      </c>
      <c r="E21846" s="8">
        <v>0</v>
      </c>
      <c r="F21846" s="8">
        <v>54</v>
      </c>
    </row>
    <row r="21847" spans="1:6" ht="12.75">
      <c r="A21847" s="8">
        <v>43894.570983796293</v>
      </c>
      <c r="B21847" s="8" t="str">
        <f>HYPERLINK("https://twitter.com/A12kan","@A12kan")</f>
        <v>@A12kan</v>
      </c>
      <c r="C21847" s="8" t="s">
        <v>8212</v>
      </c>
      <c r="D21847" s="8">
        <v>81</v>
      </c>
      <c r="E21847" s="8">
        <v>0</v>
      </c>
      <c r="F21847" s="8">
        <v>26</v>
      </c>
    </row>
    <row r="21848" spans="1:6" ht="12.75">
      <c r="A21848" s="8">
        <v>43894.548298611116</v>
      </c>
      <c r="B21848" s="8" t="str">
        <f>HYPERLINK("https://twitter.com/zoelfick","@zoelfick")</f>
        <v>@zoelfick</v>
      </c>
      <c r="C21848" s="8" t="s">
        <v>8869</v>
      </c>
      <c r="D21848" s="8">
        <v>0</v>
      </c>
      <c r="E21848" s="8">
        <v>0</v>
      </c>
      <c r="F21848" s="8">
        <v>44945</v>
      </c>
    </row>
    <row r="21849" spans="1:6" ht="12.75">
      <c r="A21849" s="8">
        <v>43894.548125000001</v>
      </c>
      <c r="B21849" s="8" t="str">
        <f>HYPERLINK("https://twitter.com/Tulang_Godang","@Tulang_Godang")</f>
        <v>@Tulang_Godang</v>
      </c>
      <c r="C21849" s="8" t="s">
        <v>8870</v>
      </c>
      <c r="D21849" s="8">
        <v>3</v>
      </c>
      <c r="E21849" s="8">
        <v>0</v>
      </c>
      <c r="F21849" s="8">
        <v>580</v>
      </c>
    </row>
    <row r="21850" spans="1:6" ht="12.75">
      <c r="A21850" s="8">
        <v>43894.548113425924</v>
      </c>
      <c r="B21850" s="8" t="str">
        <f>HYPERLINK("https://twitter.com/hapeproperti","@hapeproperti")</f>
        <v>@hapeproperti</v>
      </c>
      <c r="C21850" s="8" t="s">
        <v>8871</v>
      </c>
      <c r="D21850" s="8">
        <v>0</v>
      </c>
      <c r="E21850" s="8">
        <v>0</v>
      </c>
      <c r="F21850" s="8">
        <v>1621</v>
      </c>
    </row>
    <row r="21851" spans="1:6" ht="12.75">
      <c r="A21851" s="8">
        <v>43894.548043981486</v>
      </c>
      <c r="B21851" s="8" t="str">
        <f>HYPERLINK("https://twitter.com/Khairaniss","@Khairaniss")</f>
        <v>@Khairaniss</v>
      </c>
      <c r="C21851" s="8" t="s">
        <v>8115</v>
      </c>
      <c r="D21851" s="8">
        <v>118</v>
      </c>
      <c r="E21851" s="8">
        <v>0</v>
      </c>
      <c r="F21851" s="8">
        <v>1768</v>
      </c>
    </row>
    <row r="21852" spans="1:6" ht="12.75">
      <c r="A21852" s="8">
        <v>43894.547986111109</v>
      </c>
      <c r="B21852" s="8" t="str">
        <f>HYPERLINK("https://twitter.com/buzerman18","@buzerman18")</f>
        <v>@buzerman18</v>
      </c>
      <c r="C21852" s="8" t="s">
        <v>8872</v>
      </c>
      <c r="D21852" s="8">
        <v>0</v>
      </c>
      <c r="E21852" s="8">
        <v>0</v>
      </c>
      <c r="F21852" s="8">
        <v>1962</v>
      </c>
    </row>
    <row r="21853" spans="1:6" ht="12.75">
      <c r="A21853" s="8">
        <v>43894.54792824074</v>
      </c>
      <c r="B21853" s="8" t="str">
        <f>HYPERLINK("https://twitter.com/InggitBanyu","@InggitBanyu")</f>
        <v>@InggitBanyu</v>
      </c>
      <c r="C21853" s="8" t="s">
        <v>8873</v>
      </c>
      <c r="D21853" s="8">
        <v>7</v>
      </c>
      <c r="E21853" s="8">
        <v>0</v>
      </c>
      <c r="F21853" s="8">
        <v>1269</v>
      </c>
    </row>
    <row r="21854" spans="1:6" ht="12.75">
      <c r="A21854" s="8">
        <v>43894.547754629632</v>
      </c>
      <c r="B21854" s="8" t="str">
        <f>HYPERLINK("https://twitter.com/iNewsID","@iNewsID")</f>
        <v>@iNewsID</v>
      </c>
      <c r="C21854" s="8" t="s">
        <v>8874</v>
      </c>
      <c r="D21854" s="8">
        <v>0</v>
      </c>
      <c r="E21854" s="8">
        <v>0</v>
      </c>
      <c r="F21854" s="8">
        <v>1357</v>
      </c>
    </row>
    <row r="21855" spans="1:6" ht="12.75">
      <c r="A21855" s="8">
        <v>43894.547731481478</v>
      </c>
      <c r="B21855" s="8" t="str">
        <f>HYPERLINK("https://twitter.com/Tulang_Godang","@Tulang_Godang")</f>
        <v>@Tulang_Godang</v>
      </c>
      <c r="C21855" s="8" t="s">
        <v>8875</v>
      </c>
      <c r="D21855" s="8">
        <v>2</v>
      </c>
      <c r="E21855" s="8">
        <v>0</v>
      </c>
      <c r="F21855" s="8">
        <v>580</v>
      </c>
    </row>
    <row r="21856" spans="1:6" ht="12.75">
      <c r="A21856" s="8">
        <v>43894.547708333332</v>
      </c>
      <c r="B21856" s="8" t="str">
        <f>HYPERLINK("https://twitter.com/IndoEthio","@IndoEthio")</f>
        <v>@IndoEthio</v>
      </c>
      <c r="C21856" s="8" t="s">
        <v>7700</v>
      </c>
      <c r="D21856" s="8">
        <v>17</v>
      </c>
      <c r="E21856" s="8">
        <v>0</v>
      </c>
      <c r="F21856" s="8">
        <v>3596</v>
      </c>
    </row>
    <row r="21857" spans="1:6" ht="12.75">
      <c r="A21857" s="8">
        <v>43894.547673611116</v>
      </c>
      <c r="B21857" s="8" t="str">
        <f>HYPERLINK("https://twitter.com/marpaung913","@marpaung913")</f>
        <v>@marpaung913</v>
      </c>
      <c r="C21857" s="8" t="s">
        <v>8876</v>
      </c>
      <c r="D21857" s="8">
        <v>0</v>
      </c>
      <c r="E21857" s="8">
        <v>0</v>
      </c>
      <c r="F21857" s="8">
        <v>544</v>
      </c>
    </row>
    <row r="21858" spans="1:6" ht="12.75">
      <c r="A21858" s="8">
        <v>43894.547673611116</v>
      </c>
      <c r="B21858" s="8" t="str">
        <f>HYPERLINK("https://twitter.com/P3nj3l4j4h_id","@P3nj3l4j4h_id")</f>
        <v>@P3nj3l4j4h_id</v>
      </c>
      <c r="C21858" s="8" t="s">
        <v>8543</v>
      </c>
      <c r="D21858" s="8">
        <v>2</v>
      </c>
      <c r="E21858" s="8">
        <v>0</v>
      </c>
      <c r="F21858" s="8">
        <v>16378</v>
      </c>
    </row>
    <row r="21859" spans="1:6" ht="12.75">
      <c r="A21859" s="8">
        <v>43894.54755787037</v>
      </c>
      <c r="B21859" s="8" t="str">
        <f>HYPERLINK("https://twitter.com/OkeIyal","@OkeIyal")</f>
        <v>@OkeIyal</v>
      </c>
      <c r="C21859" s="8" t="s">
        <v>7845</v>
      </c>
      <c r="D21859" s="8">
        <v>25</v>
      </c>
      <c r="E21859" s="8">
        <v>0</v>
      </c>
      <c r="F21859" s="8">
        <v>9</v>
      </c>
    </row>
    <row r="21860" spans="1:6" ht="12.75">
      <c r="A21860" s="8">
        <v>43894.547534722224</v>
      </c>
      <c r="B21860" s="8" t="str">
        <f>HYPERLINK("https://twitter.com/FL_Gau","@FL_Gau")</f>
        <v>@FL_Gau</v>
      </c>
      <c r="C21860" s="8" t="s">
        <v>8877</v>
      </c>
      <c r="D21860" s="8">
        <v>0</v>
      </c>
      <c r="E21860" s="8">
        <v>0</v>
      </c>
      <c r="F21860" s="8">
        <v>210</v>
      </c>
    </row>
    <row r="21861" spans="1:6" ht="12.75">
      <c r="A21861" s="8">
        <v>43894.547418981485</v>
      </c>
      <c r="B21861" s="8" t="str">
        <f>HYPERLINK("https://twitter.com/Tulang_Godang","@Tulang_Godang")</f>
        <v>@Tulang_Godang</v>
      </c>
      <c r="C21861" s="8" t="s">
        <v>8878</v>
      </c>
      <c r="D21861" s="8">
        <v>0</v>
      </c>
      <c r="E21861" s="8">
        <v>0</v>
      </c>
      <c r="F21861" s="8">
        <v>580</v>
      </c>
    </row>
    <row r="21862" spans="1:6" ht="12.75">
      <c r="A21862" s="8">
        <v>43894.5471875</v>
      </c>
      <c r="B21862" s="8" t="str">
        <f>HYPERLINK("https://twitter.com/Sri19465018","@Sri19465018")</f>
        <v>@Sri19465018</v>
      </c>
      <c r="C21862" s="8" t="s">
        <v>4477</v>
      </c>
      <c r="D21862" s="8">
        <v>1240</v>
      </c>
      <c r="E21862" s="8">
        <v>0</v>
      </c>
      <c r="F21862" s="8">
        <v>6</v>
      </c>
    </row>
    <row r="21863" spans="1:6" ht="12.75">
      <c r="A21863" s="8">
        <v>43894.547083333338</v>
      </c>
      <c r="B21863" s="8" t="str">
        <f>HYPERLINK("https://twitter.com/Lucifer64548328","@Lucifer64548328")</f>
        <v>@Lucifer64548328</v>
      </c>
      <c r="C21863" s="8" t="s">
        <v>8879</v>
      </c>
      <c r="D21863" s="8">
        <v>9</v>
      </c>
      <c r="E21863" s="8">
        <v>0</v>
      </c>
      <c r="F21863" s="8">
        <v>98</v>
      </c>
    </row>
    <row r="21864" spans="1:6" ht="12.75">
      <c r="A21864" s="8">
        <v>43894.546828703707</v>
      </c>
      <c r="B21864" s="8" t="str">
        <f>HYPERLINK("https://twitter.com/ianbura","@ianbura")</f>
        <v>@ianbura</v>
      </c>
      <c r="C21864" s="8" t="s">
        <v>8212</v>
      </c>
      <c r="D21864" s="8">
        <v>66</v>
      </c>
      <c r="E21864" s="8">
        <v>0</v>
      </c>
      <c r="F21864" s="8">
        <v>741</v>
      </c>
    </row>
    <row r="21865" spans="1:6" ht="12.75">
      <c r="A21865" s="8">
        <v>43894.546736111108</v>
      </c>
      <c r="B21865" s="8" t="str">
        <f>HYPERLINK("https://twitter.com/Tulang_Godang","@Tulang_Godang")</f>
        <v>@Tulang_Godang</v>
      </c>
      <c r="C21865" s="8" t="s">
        <v>8880</v>
      </c>
      <c r="D21865" s="8">
        <v>0</v>
      </c>
      <c r="E21865" s="8">
        <v>0</v>
      </c>
      <c r="F21865" s="8">
        <v>580</v>
      </c>
    </row>
    <row r="21866" spans="1:6" ht="12.75">
      <c r="A21866" s="8">
        <v>43894.546585648146</v>
      </c>
      <c r="B21866" s="8" t="str">
        <f>HYPERLINK("https://twitter.com/zoelfick","@zoelfick")</f>
        <v>@zoelfick</v>
      </c>
      <c r="C21866" s="8" t="s">
        <v>8881</v>
      </c>
      <c r="D21866" s="8">
        <v>0</v>
      </c>
      <c r="E21866" s="8">
        <v>0</v>
      </c>
      <c r="F21866" s="8">
        <v>44945</v>
      </c>
    </row>
    <row r="21867" spans="1:6" ht="12.75">
      <c r="A21867" s="8">
        <v>43894.54623842593</v>
      </c>
      <c r="B21867" s="8" t="str">
        <f>HYPERLINK("https://twitter.com/Nuke_Fit","@Nuke_Fit")</f>
        <v>@Nuke_Fit</v>
      </c>
      <c r="C21867" s="8" t="s">
        <v>8445</v>
      </c>
      <c r="D21867" s="8">
        <v>38</v>
      </c>
      <c r="E21867" s="8">
        <v>0</v>
      </c>
      <c r="F21867" s="8">
        <v>409</v>
      </c>
    </row>
    <row r="21868" spans="1:6" ht="12.75">
      <c r="A21868" s="8">
        <v>43894.545902777776</v>
      </c>
      <c r="B21868" s="8" t="str">
        <f>HYPERLINK("https://twitter.com/yudisu77","@yudisu77")</f>
        <v>@yudisu77</v>
      </c>
      <c r="C21868" s="8" t="s">
        <v>6710</v>
      </c>
      <c r="D21868" s="8">
        <v>262</v>
      </c>
      <c r="E21868" s="8">
        <v>0</v>
      </c>
      <c r="F21868" s="8">
        <v>67</v>
      </c>
    </row>
    <row r="21869" spans="1:6" ht="12.75">
      <c r="A21869" s="8">
        <v>43894.545798611114</v>
      </c>
      <c r="B21869" s="8" t="str">
        <f>HYPERLINK("https://twitter.com/Musmawati2","@Musmawati2")</f>
        <v>@Musmawati2</v>
      </c>
      <c r="C21869" s="8" t="s">
        <v>8882</v>
      </c>
      <c r="D21869" s="8">
        <v>0</v>
      </c>
      <c r="E21869" s="8">
        <v>1</v>
      </c>
      <c r="F21869" s="8">
        <v>928</v>
      </c>
    </row>
    <row r="21870" spans="1:6" ht="12.75">
      <c r="A21870" s="8">
        <v>43894.545601851853</v>
      </c>
      <c r="B21870" s="8" t="str">
        <f>HYPERLINK("https://twitter.com/ephraym8","@ephraym8")</f>
        <v>@ephraym8</v>
      </c>
      <c r="C21870" s="8" t="s">
        <v>8818</v>
      </c>
      <c r="D21870" s="8">
        <v>5</v>
      </c>
      <c r="E21870" s="8">
        <v>0</v>
      </c>
      <c r="F21870" s="8">
        <v>1194</v>
      </c>
    </row>
    <row r="21871" spans="1:6" ht="12.75">
      <c r="A21871" s="8">
        <v>43894.545590277776</v>
      </c>
      <c r="B21871" s="8" t="str">
        <f>HYPERLINK("https://twitter.com/KatanyaOz","@KatanyaOz")</f>
        <v>@KatanyaOz</v>
      </c>
      <c r="C21871" s="8" t="s">
        <v>7700</v>
      </c>
      <c r="D21871" s="8">
        <v>17</v>
      </c>
      <c r="E21871" s="8">
        <v>0</v>
      </c>
      <c r="F21871" s="8">
        <v>13</v>
      </c>
    </row>
    <row r="21872" spans="1:6" ht="12.75">
      <c r="A21872" s="8">
        <v>43894.545474537037</v>
      </c>
      <c r="B21872" s="8" t="str">
        <f>HYPERLINK("https://twitter.com/edysmerdeka","@edysmerdeka")</f>
        <v>@edysmerdeka</v>
      </c>
      <c r="C21872" s="8" t="s">
        <v>8883</v>
      </c>
      <c r="D21872" s="8">
        <v>0</v>
      </c>
      <c r="E21872" s="8">
        <v>0</v>
      </c>
      <c r="F21872" s="8">
        <v>59</v>
      </c>
    </row>
    <row r="21873" spans="1:6" ht="12.75">
      <c r="A21873" s="8">
        <v>43894.545439814814</v>
      </c>
      <c r="B21873" s="8" t="str">
        <f>HYPERLINK("https://twitter.com/hayat_ayat87","@hayat_ayat87")</f>
        <v>@hayat_ayat87</v>
      </c>
      <c r="C21873" s="8" t="s">
        <v>8884</v>
      </c>
      <c r="D21873" s="8">
        <v>0</v>
      </c>
      <c r="E21873" s="8">
        <v>0</v>
      </c>
      <c r="F21873" s="8">
        <v>319</v>
      </c>
    </row>
    <row r="21874" spans="1:6" ht="12.75">
      <c r="A21874" s="8">
        <v>43894.545208333337</v>
      </c>
      <c r="B21874" s="8" t="str">
        <f>HYPERLINK("https://twitter.com/tusinojapan","@tusinojapan")</f>
        <v>@tusinojapan</v>
      </c>
      <c r="C21874" s="8" t="s">
        <v>8323</v>
      </c>
      <c r="D21874" s="8">
        <v>23</v>
      </c>
      <c r="E21874" s="8">
        <v>0</v>
      </c>
      <c r="F21874" s="8">
        <v>2133</v>
      </c>
    </row>
    <row r="21875" spans="1:6" ht="12.75">
      <c r="A21875" s="8">
        <v>43894.544814814813</v>
      </c>
      <c r="B21875" s="8" t="str">
        <f>HYPERLINK("https://twitter.com/rqlabigail","@rqlabigail")</f>
        <v>@rqlabigail</v>
      </c>
      <c r="C21875" s="8" t="s">
        <v>8885</v>
      </c>
      <c r="D21875" s="8">
        <v>0</v>
      </c>
      <c r="E21875" s="8">
        <v>0</v>
      </c>
      <c r="F21875" s="8">
        <v>5</v>
      </c>
    </row>
    <row r="21876" spans="1:6" ht="12.75">
      <c r="A21876" s="8">
        <v>43894.544756944444</v>
      </c>
      <c r="B21876" s="8" t="str">
        <f>HYPERLINK("https://twitter.com/MasterSrgh","@MasterSrgh")</f>
        <v>@MasterSrgh</v>
      </c>
      <c r="C21876" s="8" t="s">
        <v>1986</v>
      </c>
      <c r="D21876" s="8">
        <v>850</v>
      </c>
      <c r="E21876" s="8">
        <v>0</v>
      </c>
      <c r="F21876" s="8">
        <v>661</v>
      </c>
    </row>
    <row r="21877" spans="1:6" ht="12.75">
      <c r="A21877" s="8">
        <v>43894.544733796298</v>
      </c>
      <c r="B21877" s="8" t="str">
        <f>HYPERLINK("https://twitter.com/sultanorhan11","@sultanorhan11")</f>
        <v>@sultanorhan11</v>
      </c>
      <c r="C21877" s="8" t="s">
        <v>8886</v>
      </c>
      <c r="D21877" s="8">
        <v>0</v>
      </c>
      <c r="E21877" s="8">
        <v>0</v>
      </c>
      <c r="F21877" s="8">
        <v>11</v>
      </c>
    </row>
    <row r="21878" spans="1:6" ht="12.75">
      <c r="A21878" s="8">
        <v>43894.544479166667</v>
      </c>
      <c r="B21878" s="8" t="str">
        <f>HYPERLINK("https://twitter.com/kitsiangfreddy","@kitsiangfreddy")</f>
        <v>@kitsiangfreddy</v>
      </c>
      <c r="C21878" s="8" t="s">
        <v>8230</v>
      </c>
      <c r="D21878" s="8">
        <v>51</v>
      </c>
      <c r="E21878" s="8">
        <v>0</v>
      </c>
      <c r="F21878" s="8">
        <v>2048</v>
      </c>
    </row>
    <row r="21879" spans="1:6" ht="12.75">
      <c r="A21879" s="8">
        <v>43894.544398148151</v>
      </c>
      <c r="B21879" s="8" t="str">
        <f>HYPERLINK("https://twitter.com/dubie_tina","@dubie_tina")</f>
        <v>@dubie_tina</v>
      </c>
      <c r="C21879" s="8" t="s">
        <v>8543</v>
      </c>
      <c r="D21879" s="8">
        <v>2</v>
      </c>
      <c r="E21879" s="8">
        <v>0</v>
      </c>
      <c r="F21879" s="8">
        <v>1072</v>
      </c>
    </row>
    <row r="21880" spans="1:6" ht="12.75">
      <c r="A21880" s="8">
        <v>43894.544398148151</v>
      </c>
      <c r="B21880" s="8" t="str">
        <f>HYPERLINK("https://twitter.com/Tri33milanisti","@Tri33milanisti")</f>
        <v>@Tri33milanisti</v>
      </c>
      <c r="C21880" s="8" t="s">
        <v>8212</v>
      </c>
      <c r="D21880" s="8">
        <v>66</v>
      </c>
      <c r="E21880" s="8">
        <v>0</v>
      </c>
      <c r="F21880" s="8">
        <v>114</v>
      </c>
    </row>
    <row r="21881" spans="1:6" ht="12.75">
      <c r="A21881" s="8">
        <v>43894.543900462959</v>
      </c>
      <c r="B21881" s="8" t="str">
        <f>HYPERLINK("https://twitter.com/KSogemaking","@KSogemaking")</f>
        <v>@KSogemaking</v>
      </c>
      <c r="C21881" s="8" t="s">
        <v>8212</v>
      </c>
      <c r="D21881" s="8">
        <v>66</v>
      </c>
      <c r="E21881" s="8">
        <v>0</v>
      </c>
      <c r="F21881" s="8">
        <v>956</v>
      </c>
    </row>
    <row r="21882" spans="1:6" ht="12.75">
      <c r="A21882" s="8">
        <v>43894.543854166666</v>
      </c>
      <c r="B21882" s="8" t="str">
        <f>HYPERLINK("https://twitter.com/avanwidjojo","@avanwidjojo")</f>
        <v>@avanwidjojo</v>
      </c>
      <c r="C21882" s="8" t="s">
        <v>8887</v>
      </c>
      <c r="D21882" s="8">
        <v>0</v>
      </c>
      <c r="E21882" s="8">
        <v>0</v>
      </c>
      <c r="F21882" s="8">
        <v>67</v>
      </c>
    </row>
    <row r="21883" spans="1:6" ht="12.75">
      <c r="A21883" s="8">
        <v>43894.543819444443</v>
      </c>
      <c r="B21883" s="8" t="str">
        <f>HYPERLINK("https://twitter.com/salmahislamiyah","@salmahislamiyah")</f>
        <v>@salmahislamiyah</v>
      </c>
      <c r="C21883" s="8" t="s">
        <v>8138</v>
      </c>
      <c r="D21883" s="8">
        <v>42</v>
      </c>
      <c r="E21883" s="8">
        <v>0</v>
      </c>
      <c r="F21883" s="8">
        <v>61</v>
      </c>
    </row>
    <row r="21884" spans="1:6" ht="12.75">
      <c r="A21884" s="8">
        <v>43894.543576388889</v>
      </c>
      <c r="B21884" s="8" t="str">
        <f>HYPERLINK("https://twitter.com/bacotunited","@bacotunited")</f>
        <v>@bacotunited</v>
      </c>
      <c r="C21884" s="8" t="s">
        <v>6710</v>
      </c>
      <c r="D21884" s="8">
        <v>262</v>
      </c>
      <c r="E21884" s="8">
        <v>0</v>
      </c>
      <c r="F21884" s="8">
        <v>332</v>
      </c>
    </row>
    <row r="21885" spans="1:6" ht="12.75">
      <c r="A21885" s="8">
        <v>43894.543078703704</v>
      </c>
      <c r="B21885" s="8" t="str">
        <f>HYPERLINK("https://twitter.com/KapanLagicom","@KapanLagicom")</f>
        <v>@KapanLagicom</v>
      </c>
      <c r="C21885" s="8" t="s">
        <v>8888</v>
      </c>
      <c r="D21885" s="8">
        <v>0</v>
      </c>
      <c r="E21885" s="8">
        <v>0</v>
      </c>
      <c r="F21885" s="8">
        <v>2096928</v>
      </c>
    </row>
    <row r="21886" spans="1:6" ht="12.75">
      <c r="A21886" s="8">
        <v>43894.542824074073</v>
      </c>
      <c r="B21886" s="8" t="str">
        <f>HYPERLINK("https://twitter.com/asiamediaph","@asiamediaph")</f>
        <v>@asiamediaph</v>
      </c>
      <c r="C21886" s="8" t="s">
        <v>8889</v>
      </c>
      <c r="D21886" s="8">
        <v>0</v>
      </c>
      <c r="E21886" s="8">
        <v>0</v>
      </c>
      <c r="F21886" s="8">
        <v>6634</v>
      </c>
    </row>
    <row r="21887" spans="1:6" ht="12.75">
      <c r="A21887" s="8">
        <v>43894.542662037042</v>
      </c>
      <c r="B21887" s="8" t="str">
        <f>HYPERLINK("https://twitter.com/hansen_han","@hansen_han")</f>
        <v>@hansen_han</v>
      </c>
      <c r="C21887" s="8" t="s">
        <v>6710</v>
      </c>
      <c r="D21887" s="8">
        <v>262</v>
      </c>
      <c r="E21887" s="8">
        <v>0</v>
      </c>
      <c r="F21887" s="8">
        <v>72</v>
      </c>
    </row>
    <row r="21888" spans="1:6" ht="12.75">
      <c r="A21888" s="8">
        <v>43894.542557870373</v>
      </c>
      <c r="B21888" s="8" t="str">
        <f>HYPERLINK("https://twitter.com/Michael79820241","@Michael79820241")</f>
        <v>@Michael79820241</v>
      </c>
      <c r="C21888" s="8" t="s">
        <v>8890</v>
      </c>
      <c r="D21888" s="8">
        <v>1</v>
      </c>
      <c r="E21888" s="8">
        <v>0</v>
      </c>
      <c r="F21888" s="8">
        <v>109</v>
      </c>
    </row>
    <row r="21889" spans="1:6" ht="12.75">
      <c r="A21889" s="8">
        <v>43894.542534722219</v>
      </c>
      <c r="B21889" s="8" t="str">
        <f>HYPERLINK("https://twitter.com/iarprjt","@iarprjt")</f>
        <v>@iarprjt</v>
      </c>
      <c r="C21889" s="8" t="s">
        <v>8115</v>
      </c>
      <c r="D21889" s="8">
        <v>118</v>
      </c>
      <c r="E21889" s="8">
        <v>0</v>
      </c>
      <c r="F21889" s="8">
        <v>87</v>
      </c>
    </row>
    <row r="21890" spans="1:6" ht="12.75">
      <c r="A21890" s="8">
        <v>43894.542523148149</v>
      </c>
      <c r="B21890" s="8" t="str">
        <f>HYPERLINK("https://twitter.com/eklesiamrc","@eklesiamrc")</f>
        <v>@eklesiamrc</v>
      </c>
      <c r="C21890" s="8" t="s">
        <v>8891</v>
      </c>
      <c r="D21890" s="8">
        <v>1</v>
      </c>
      <c r="E21890" s="8">
        <v>0</v>
      </c>
      <c r="F21890" s="8">
        <v>2</v>
      </c>
    </row>
    <row r="21891" spans="1:6" ht="12.75">
      <c r="A21891" s="8">
        <v>43894.542430555557</v>
      </c>
      <c r="B21891" s="8" t="str">
        <f>HYPERLINK("https://twitter.com/MafrulRasyidi8","@MafrulRasyidi8")</f>
        <v>@MafrulRasyidi8</v>
      </c>
      <c r="C21891" s="8" t="s">
        <v>8689</v>
      </c>
      <c r="D21891" s="8">
        <v>1</v>
      </c>
      <c r="E21891" s="8">
        <v>0</v>
      </c>
      <c r="F21891" s="8">
        <v>5</v>
      </c>
    </row>
    <row r="21892" spans="1:6" ht="12.75">
      <c r="A21892" s="8">
        <v>43894.542303240742</v>
      </c>
      <c r="B21892" s="8" t="str">
        <f>HYPERLINK("https://twitter.com/AlberaD5","@AlberaD5")</f>
        <v>@AlberaD5</v>
      </c>
      <c r="C21892" s="8" t="s">
        <v>8892</v>
      </c>
      <c r="D21892" s="8">
        <v>2</v>
      </c>
      <c r="E21892" s="8">
        <v>0</v>
      </c>
      <c r="F21892" s="8">
        <v>1801</v>
      </c>
    </row>
    <row r="21893" spans="1:6" ht="12.75">
      <c r="A21893" s="8">
        <v>43894.541886574079</v>
      </c>
      <c r="B21893" s="8" t="str">
        <f>HYPERLINK("https://twitter.com/filosofiksi","@filosofiksi")</f>
        <v>@filosofiksi</v>
      </c>
      <c r="C21893" s="8" t="s">
        <v>8892</v>
      </c>
      <c r="D21893" s="8">
        <v>2</v>
      </c>
      <c r="E21893" s="8">
        <v>0</v>
      </c>
      <c r="F21893" s="8">
        <v>2288</v>
      </c>
    </row>
    <row r="21894" spans="1:6" ht="12.75">
      <c r="A21894" s="8">
        <v>43894.54184027778</v>
      </c>
      <c r="B21894" s="8" t="str">
        <f>HYPERLINK("https://twitter.com/R3sta_305","@R3sta_305")</f>
        <v>@R3sta_305</v>
      </c>
      <c r="C21894" s="8" t="s">
        <v>8323</v>
      </c>
      <c r="D21894" s="8">
        <v>23</v>
      </c>
      <c r="E21894" s="8">
        <v>0</v>
      </c>
      <c r="F21894" s="8">
        <v>7289</v>
      </c>
    </row>
    <row r="21895" spans="1:6" ht="12.75">
      <c r="A21895" s="8">
        <v>43894.541828703703</v>
      </c>
      <c r="B21895" s="8" t="str">
        <f>HYPERLINK("https://twitter.com/ManaoFlorius","@ManaoFlorius")</f>
        <v>@ManaoFlorius</v>
      </c>
      <c r="C21895" s="8" t="s">
        <v>6710</v>
      </c>
      <c r="D21895" s="8">
        <v>262</v>
      </c>
      <c r="E21895" s="8">
        <v>0</v>
      </c>
      <c r="F21895" s="8">
        <v>173</v>
      </c>
    </row>
    <row r="21896" spans="1:6" ht="12.75">
      <c r="A21896" s="8">
        <v>43894.541712962964</v>
      </c>
      <c r="B21896" s="8" t="str">
        <f>HYPERLINK("https://twitter.com/0llieds","@0llieds")</f>
        <v>@0llieds</v>
      </c>
      <c r="C21896" s="8" t="s">
        <v>8272</v>
      </c>
      <c r="D21896" s="8">
        <v>82</v>
      </c>
      <c r="E21896" s="8">
        <v>0</v>
      </c>
      <c r="F21896" s="8">
        <v>197</v>
      </c>
    </row>
    <row r="21897" spans="1:6" ht="12.75">
      <c r="A21897" s="8">
        <v>43894.541666666672</v>
      </c>
      <c r="B21897" s="8" t="str">
        <f>HYPERLINK("https://twitter.com/OfficialiNewsTV","@OfficialiNewsTV")</f>
        <v>@OfficialiNewsTV</v>
      </c>
      <c r="C21897" s="8" t="s">
        <v>8893</v>
      </c>
      <c r="D21897" s="8">
        <v>1</v>
      </c>
      <c r="E21897" s="8">
        <v>4</v>
      </c>
      <c r="F21897" s="8">
        <v>96534</v>
      </c>
    </row>
    <row r="21898" spans="1:6" ht="12.75">
      <c r="A21898" s="8">
        <v>43894.541539351849</v>
      </c>
      <c r="B21898" s="8" t="str">
        <f>HYPERLINK("https://twitter.com/zoelfick","@zoelfick")</f>
        <v>@zoelfick</v>
      </c>
      <c r="C21898" s="8" t="s">
        <v>8894</v>
      </c>
      <c r="D21898" s="8">
        <v>0</v>
      </c>
      <c r="E21898" s="8">
        <v>0</v>
      </c>
      <c r="F21898" s="8">
        <v>44945</v>
      </c>
    </row>
    <row r="21899" spans="1:6" ht="12.75">
      <c r="A21899" s="8">
        <v>43894.541377314818</v>
      </c>
      <c r="B21899" s="8" t="str">
        <f>HYPERLINK("https://twitter.com/lia_aja","@lia_aja")</f>
        <v>@lia_aja</v>
      </c>
      <c r="C21899" s="8" t="s">
        <v>8895</v>
      </c>
      <c r="D21899" s="8">
        <v>0</v>
      </c>
      <c r="E21899" s="8">
        <v>0</v>
      </c>
      <c r="F21899" s="8">
        <v>113</v>
      </c>
    </row>
    <row r="21900" spans="1:6" ht="12.75">
      <c r="A21900" s="8">
        <v>43894.54111111111</v>
      </c>
      <c r="B21900" s="8" t="str">
        <f>HYPERLINK("https://twitter.com/SalmaBrecht","@SalmaBrecht")</f>
        <v>@SalmaBrecht</v>
      </c>
      <c r="C21900" s="8" t="s">
        <v>8115</v>
      </c>
      <c r="D21900" s="8">
        <v>118</v>
      </c>
      <c r="E21900" s="8">
        <v>0</v>
      </c>
      <c r="F21900" s="8">
        <v>13737</v>
      </c>
    </row>
    <row r="21901" spans="1:6" ht="12.75">
      <c r="A21901" s="8">
        <v>43894.541087962964</v>
      </c>
      <c r="B21901" s="8" t="str">
        <f>HYPERLINK("https://twitter.com/AbdoellahC","@AbdoellahC")</f>
        <v>@AbdoellahC</v>
      </c>
      <c r="C21901" s="8" t="s">
        <v>8115</v>
      </c>
      <c r="D21901" s="8">
        <v>118</v>
      </c>
      <c r="E21901" s="8">
        <v>0</v>
      </c>
      <c r="F21901" s="8">
        <v>1221</v>
      </c>
    </row>
    <row r="21902" spans="1:6" ht="12.75">
      <c r="A21902" s="8">
        <v>43894.54106481481</v>
      </c>
      <c r="B21902" s="8" t="str">
        <f>HYPERLINK("https://twitter.com/Setiaguna111","@Setiaguna111")</f>
        <v>@Setiaguna111</v>
      </c>
      <c r="C21902" s="8" t="s">
        <v>8230</v>
      </c>
      <c r="D21902" s="8">
        <v>51</v>
      </c>
      <c r="E21902" s="8">
        <v>0</v>
      </c>
      <c r="F21902" s="8">
        <v>8</v>
      </c>
    </row>
    <row r="21903" spans="1:6" ht="12.75">
      <c r="A21903" s="8">
        <v>43894.540856481486</v>
      </c>
      <c r="B21903" s="8" t="str">
        <f>HYPERLINK("https://twitter.com/SalmaBrecht","@SalmaBrecht")</f>
        <v>@SalmaBrecht</v>
      </c>
      <c r="C21903" s="8" t="s">
        <v>8896</v>
      </c>
      <c r="D21903" s="8">
        <v>2</v>
      </c>
      <c r="E21903" s="8">
        <v>3</v>
      </c>
      <c r="F21903" s="8">
        <v>13737</v>
      </c>
    </row>
    <row r="21904" spans="1:6" ht="12.75">
      <c r="A21904" s="8">
        <v>43894.540729166663</v>
      </c>
      <c r="B21904" s="8" t="str">
        <f>HYPERLINK("https://twitter.com/kepakisanstudio","@kepakisanstudio")</f>
        <v>@kepakisanstudio</v>
      </c>
      <c r="C21904" s="8" t="s">
        <v>8897</v>
      </c>
      <c r="D21904" s="8">
        <v>0</v>
      </c>
      <c r="E21904" s="8">
        <v>0</v>
      </c>
      <c r="F21904" s="8">
        <v>253</v>
      </c>
    </row>
    <row r="21905" spans="1:6" ht="12.75">
      <c r="A21905" s="8">
        <v>43894.540625000001</v>
      </c>
      <c r="B21905" s="8" t="str">
        <f>HYPERLINK("https://twitter.com/RelawanUMKM","@RelawanUMKM")</f>
        <v>@RelawanUMKM</v>
      </c>
      <c r="C21905" s="8" t="s">
        <v>8898</v>
      </c>
      <c r="D21905" s="8">
        <v>0</v>
      </c>
      <c r="E21905" s="8">
        <v>2</v>
      </c>
      <c r="F21905" s="8">
        <v>390</v>
      </c>
    </row>
    <row r="21906" spans="1:6" ht="12.75">
      <c r="A21906" s="8">
        <v>43894.540613425925</v>
      </c>
      <c r="B21906" s="8" t="str">
        <f>HYPERLINK("https://twitter.com/sahilmulachela","@sahilmulachela")</f>
        <v>@sahilmulachela</v>
      </c>
      <c r="C21906" s="8" t="s">
        <v>8899</v>
      </c>
      <c r="D21906" s="8">
        <v>0</v>
      </c>
      <c r="E21906" s="8">
        <v>0</v>
      </c>
      <c r="F21906" s="8">
        <v>5353</v>
      </c>
    </row>
    <row r="21907" spans="1:6" ht="12.75">
      <c r="A21907" s="8">
        <v>43894.540590277778</v>
      </c>
      <c r="B21907" s="8" t="str">
        <f>HYPERLINK("https://twitter.com/bayu_adianto","@bayu_adianto")</f>
        <v>@bayu_adianto</v>
      </c>
      <c r="C21907" s="8" t="s">
        <v>6710</v>
      </c>
      <c r="D21907" s="8">
        <v>262</v>
      </c>
      <c r="E21907" s="8">
        <v>0</v>
      </c>
      <c r="F21907" s="8">
        <v>175</v>
      </c>
    </row>
    <row r="21908" spans="1:6" ht="12.75">
      <c r="A21908" s="8">
        <v>43894.540520833332</v>
      </c>
      <c r="B21908" s="8" t="str">
        <f>HYPERLINK("https://twitter.com/arxturus","@arxturus")</f>
        <v>@arxturus</v>
      </c>
      <c r="C21908" s="8" t="s">
        <v>8900</v>
      </c>
      <c r="D21908" s="8">
        <v>23</v>
      </c>
      <c r="E21908" s="8">
        <v>0</v>
      </c>
      <c r="F21908" s="8">
        <v>1038</v>
      </c>
    </row>
    <row r="21909" spans="1:6" ht="12.75">
      <c r="A21909" s="8">
        <v>43894.540289351848</v>
      </c>
      <c r="B21909" s="8" t="str">
        <f>HYPERLINK("https://twitter.com/UtomoFreddy","@UtomoFreddy")</f>
        <v>@UtomoFreddy</v>
      </c>
      <c r="C21909" s="8" t="s">
        <v>8870</v>
      </c>
      <c r="D21909" s="8">
        <v>3</v>
      </c>
      <c r="E21909" s="8">
        <v>0</v>
      </c>
      <c r="F21909" s="8">
        <v>109</v>
      </c>
    </row>
    <row r="21910" spans="1:6" ht="12.75">
      <c r="A21910" s="8">
        <v>43894.540011574078</v>
      </c>
      <c r="B21910" s="8" t="str">
        <f>HYPERLINK("https://twitter.com/joeyjack04","@joeyjack04")</f>
        <v>@joeyjack04</v>
      </c>
      <c r="C21910" s="8" t="s">
        <v>6710</v>
      </c>
      <c r="D21910" s="8">
        <v>262</v>
      </c>
      <c r="E21910" s="8">
        <v>0</v>
      </c>
      <c r="F21910" s="8">
        <v>595</v>
      </c>
    </row>
    <row r="21911" spans="1:6" ht="12.75">
      <c r="A21911" s="8">
        <v>43894.539965277778</v>
      </c>
      <c r="B21911" s="8" t="str">
        <f>HYPERLINK("https://twitter.com/di_eka","@di_eka")</f>
        <v>@di_eka</v>
      </c>
      <c r="C21911" s="8" t="s">
        <v>8212</v>
      </c>
      <c r="D21911" s="8">
        <v>66</v>
      </c>
      <c r="E21911" s="8">
        <v>0</v>
      </c>
      <c r="F21911" s="8">
        <v>78</v>
      </c>
    </row>
    <row r="21912" spans="1:6" ht="12.75">
      <c r="A21912" s="8">
        <v>43894.53979166667</v>
      </c>
      <c r="B21912" s="8" t="str">
        <f>HYPERLINK("https://twitter.com/MuhamadKarjono","@MuhamadKarjono")</f>
        <v>@MuhamadKarjono</v>
      </c>
      <c r="C21912" s="8" t="s">
        <v>8901</v>
      </c>
      <c r="D21912" s="8">
        <v>239</v>
      </c>
      <c r="E21912" s="8">
        <v>0</v>
      </c>
      <c r="F21912" s="8">
        <v>62</v>
      </c>
    </row>
    <row r="21913" spans="1:6" ht="12.75">
      <c r="A21913" s="8">
        <v>43894.539618055554</v>
      </c>
      <c r="B21913" s="8" t="str">
        <f>HYPERLINK("https://twitter.com/04128123f33e4e5","@04128123f33e4e5")</f>
        <v>@04128123f33e4e5</v>
      </c>
      <c r="C21913" s="8" t="s">
        <v>8902</v>
      </c>
      <c r="D21913" s="8">
        <v>0</v>
      </c>
      <c r="E21913" s="8">
        <v>0</v>
      </c>
      <c r="F21913" s="8">
        <v>156</v>
      </c>
    </row>
    <row r="21914" spans="1:6" ht="12.75">
      <c r="A21914" s="8">
        <v>43894.539340277777</v>
      </c>
      <c r="B21914" s="8" t="str">
        <f>HYPERLINK("https://twitter.com/14_bayangSemu","@14_bayangSemu")</f>
        <v>@14_bayangSemu</v>
      </c>
      <c r="C21914" s="8" t="s">
        <v>8533</v>
      </c>
      <c r="D21914" s="8">
        <v>3</v>
      </c>
      <c r="E21914" s="8">
        <v>0</v>
      </c>
      <c r="F21914" s="8">
        <v>3181</v>
      </c>
    </row>
    <row r="21915" spans="1:6" ht="12.75">
      <c r="A21915" s="8">
        <v>43894.5393287037</v>
      </c>
      <c r="B21915" s="8" t="str">
        <f>HYPERLINK("https://twitter.com/zoelfick","@zoelfick")</f>
        <v>@zoelfick</v>
      </c>
      <c r="C21915" s="8" t="s">
        <v>8903</v>
      </c>
      <c r="D21915" s="8">
        <v>2</v>
      </c>
      <c r="E21915" s="8">
        <v>2</v>
      </c>
      <c r="F21915" s="8">
        <v>44945</v>
      </c>
    </row>
    <row r="21916" spans="1:6" ht="12.75">
      <c r="A21916" s="8">
        <v>43894.539282407408</v>
      </c>
      <c r="B21916" s="8" t="str">
        <f>HYPERLINK("https://twitter.com/SeijiNobel","@SeijiNobel")</f>
        <v>@SeijiNobel</v>
      </c>
      <c r="C21916" s="8" t="s">
        <v>8904</v>
      </c>
      <c r="D21916" s="8">
        <v>0</v>
      </c>
      <c r="E21916" s="8">
        <v>0</v>
      </c>
      <c r="F21916" s="8">
        <v>62</v>
      </c>
    </row>
    <row r="21917" spans="1:6" ht="12.75">
      <c r="A21917" s="8">
        <v>43894.539270833338</v>
      </c>
      <c r="B21917" s="8" t="str">
        <f>HYPERLINK("https://twitter.com/narkobars","@narkobars")</f>
        <v>@narkobars</v>
      </c>
      <c r="C21917" s="8" t="s">
        <v>8905</v>
      </c>
      <c r="D21917" s="8">
        <v>0</v>
      </c>
      <c r="E21917" s="8">
        <v>0</v>
      </c>
      <c r="F21917" s="8">
        <v>2259</v>
      </c>
    </row>
    <row r="21918" spans="1:6" ht="12.75">
      <c r="A21918" s="8">
        <v>43894.539097222223</v>
      </c>
      <c r="B21918" s="8" t="str">
        <f>HYPERLINK("https://twitter.com/sn_koprol","@sn_koprol")</f>
        <v>@sn_koprol</v>
      </c>
      <c r="C21918" s="8" t="s">
        <v>8906</v>
      </c>
      <c r="D21918" s="8">
        <v>0</v>
      </c>
      <c r="E21918" s="8">
        <v>0</v>
      </c>
      <c r="F21918" s="8">
        <v>312</v>
      </c>
    </row>
    <row r="21919" spans="1:6" ht="12.75">
      <c r="A21919" s="8">
        <v>43894.538831018523</v>
      </c>
      <c r="B21919" s="8" t="str">
        <f>HYPERLINK("https://twitter.com/Noer_Wahyudie","@Noer_Wahyudie")</f>
        <v>@Noer_Wahyudie</v>
      </c>
      <c r="C21919" s="8" t="s">
        <v>8212</v>
      </c>
      <c r="D21919" s="8">
        <v>66</v>
      </c>
      <c r="E21919" s="8">
        <v>0</v>
      </c>
      <c r="F21919" s="8">
        <v>58</v>
      </c>
    </row>
    <row r="21920" spans="1:6" ht="12.75">
      <c r="A21920" s="8">
        <v>43894.538784722223</v>
      </c>
      <c r="B21920" s="8" t="str">
        <f>HYPERLINK("https://twitter.com/Yuda068","@Yuda068")</f>
        <v>@Yuda068</v>
      </c>
      <c r="C21920" s="8" t="s">
        <v>8445</v>
      </c>
      <c r="D21920" s="8">
        <v>38</v>
      </c>
      <c r="E21920" s="8">
        <v>0</v>
      </c>
      <c r="F21920" s="8">
        <v>7501</v>
      </c>
    </row>
    <row r="21921" spans="1:6" ht="12.75">
      <c r="A21921" s="8">
        <v>43894.538287037038</v>
      </c>
      <c r="B21921" s="8" t="str">
        <f>HYPERLINK("https://twitter.com/uusbustami","@uusbustami")</f>
        <v>@uusbustami</v>
      </c>
      <c r="C21921" s="8" t="s">
        <v>8533</v>
      </c>
      <c r="D21921" s="8">
        <v>3</v>
      </c>
      <c r="E21921" s="8">
        <v>0</v>
      </c>
      <c r="F21921" s="8">
        <v>985</v>
      </c>
    </row>
    <row r="21922" spans="1:6" ht="12.75">
      <c r="A21922" s="8">
        <v>43894.538136574076</v>
      </c>
      <c r="B21922" s="8" t="str">
        <f>HYPERLINK("https://twitter.com/mostradio1058fm","@mostradio1058fm")</f>
        <v>@mostradio1058fm</v>
      </c>
      <c r="C21922" s="8" t="s">
        <v>8907</v>
      </c>
      <c r="D21922" s="8">
        <v>0</v>
      </c>
      <c r="E21922" s="8">
        <v>1</v>
      </c>
      <c r="F21922" s="8">
        <v>75413</v>
      </c>
    </row>
    <row r="21923" spans="1:6" ht="12.75">
      <c r="A21923" s="8">
        <v>43894.537951388891</v>
      </c>
      <c r="B21923" s="8" t="str">
        <f>HYPERLINK("https://twitter.com/riotampati","@riotampati")</f>
        <v>@riotampati</v>
      </c>
      <c r="C21923" s="8" t="s">
        <v>6710</v>
      </c>
      <c r="D21923" s="8">
        <v>262</v>
      </c>
      <c r="E21923" s="8">
        <v>0</v>
      </c>
      <c r="F21923" s="8">
        <v>345</v>
      </c>
    </row>
    <row r="21924" spans="1:6" ht="12.75">
      <c r="A21924" s="8">
        <v>43894.537905092591</v>
      </c>
      <c r="B21924" s="8" t="str">
        <f>HYPERLINK("https://twitter.com/isis_eve","@isis_eve")</f>
        <v>@isis_eve</v>
      </c>
      <c r="C21924" s="8" t="s">
        <v>8908</v>
      </c>
      <c r="D21924" s="8">
        <v>277</v>
      </c>
      <c r="E21924" s="8">
        <v>0</v>
      </c>
      <c r="F21924" s="8">
        <v>217</v>
      </c>
    </row>
    <row r="21925" spans="1:6" ht="12.75">
      <c r="A21925" s="8">
        <v>43894.537453703699</v>
      </c>
      <c r="B21925" s="8" t="str">
        <f>HYPERLINK("https://twitter.com/RinjaniJB","@RinjaniJB")</f>
        <v>@RinjaniJB</v>
      </c>
      <c r="C21925" s="8" t="s">
        <v>2962</v>
      </c>
      <c r="D21925" s="8">
        <v>5650</v>
      </c>
      <c r="E21925" s="8">
        <v>0</v>
      </c>
      <c r="F21925" s="8">
        <v>19260</v>
      </c>
    </row>
    <row r="21926" spans="1:6" ht="12.75">
      <c r="A21926" s="8">
        <v>43894.537349537037</v>
      </c>
      <c r="B21926" s="8" t="str">
        <f>HYPERLINK("https://twitter.com/DK340_","@DK340_")</f>
        <v>@DK340_</v>
      </c>
      <c r="C21926" s="8" t="s">
        <v>6710</v>
      </c>
      <c r="D21926" s="8">
        <v>262</v>
      </c>
      <c r="E21926" s="8">
        <v>0</v>
      </c>
      <c r="F21926" s="8">
        <v>337</v>
      </c>
    </row>
    <row r="21927" spans="1:6" ht="12.75">
      <c r="A21927" s="8">
        <v>43894.537245370375</v>
      </c>
      <c r="B21927" s="8" t="str">
        <f>HYPERLINK("https://twitter.com/AlexHrw","@AlexHrw")</f>
        <v>@AlexHrw</v>
      </c>
      <c r="C21927" s="8" t="s">
        <v>8445</v>
      </c>
      <c r="D21927" s="8">
        <v>38</v>
      </c>
      <c r="E21927" s="8">
        <v>0</v>
      </c>
      <c r="F21927" s="8">
        <v>1484</v>
      </c>
    </row>
    <row r="21928" spans="1:6" ht="12.75">
      <c r="A21928" s="8">
        <v>43894.537233796298</v>
      </c>
      <c r="B21928" s="8" t="str">
        <f>HYPERLINK("https://twitter.com/FL_Gau","@FL_Gau")</f>
        <v>@FL_Gau</v>
      </c>
      <c r="C21928" s="8" t="s">
        <v>8909</v>
      </c>
      <c r="D21928" s="8">
        <v>0</v>
      </c>
      <c r="E21928" s="8">
        <v>0</v>
      </c>
      <c r="F21928" s="8">
        <v>210</v>
      </c>
    </row>
    <row r="21929" spans="1:6" ht="12.75">
      <c r="A21929" s="8">
        <v>43894.536990740744</v>
      </c>
      <c r="B21929" s="8" t="str">
        <f>HYPERLINK("https://twitter.com/UtomoFreddy","@UtomoFreddy")</f>
        <v>@UtomoFreddy</v>
      </c>
      <c r="C21929" s="8" t="s">
        <v>8875</v>
      </c>
      <c r="D21929" s="8">
        <v>2</v>
      </c>
      <c r="E21929" s="8">
        <v>0</v>
      </c>
      <c r="F21929" s="8">
        <v>109</v>
      </c>
    </row>
    <row r="21930" spans="1:6" ht="12.75">
      <c r="A21930" s="8">
        <v>43894.536979166667</v>
      </c>
      <c r="B21930" s="8" t="str">
        <f>HYPERLINK("https://twitter.com/lanna_tatu","@lanna_tatu")</f>
        <v>@lanna_tatu</v>
      </c>
      <c r="C21930" s="8" t="s">
        <v>8910</v>
      </c>
      <c r="D21930" s="8">
        <v>0</v>
      </c>
      <c r="E21930" s="8">
        <v>0</v>
      </c>
      <c r="F21930" s="8">
        <v>77</v>
      </c>
    </row>
    <row r="21931" spans="1:6" ht="12.75">
      <c r="A21931" s="8">
        <v>43894.536770833336</v>
      </c>
      <c r="B21931" s="8" t="str">
        <f>HYPERLINK("https://twitter.com/fatinpane","@fatinpane")</f>
        <v>@fatinpane</v>
      </c>
      <c r="C21931" s="8" t="s">
        <v>8911</v>
      </c>
      <c r="D21931" s="8">
        <v>0</v>
      </c>
      <c r="E21931" s="8">
        <v>0</v>
      </c>
      <c r="F21931" s="8">
        <v>930</v>
      </c>
    </row>
    <row r="21932" spans="1:6" ht="12.75">
      <c r="A21932" s="8">
        <v>43894.536712962959</v>
      </c>
      <c r="B21932" s="8" t="str">
        <f>HYPERLINK("https://twitter.com/Danimas19","@Danimas19")</f>
        <v>@Danimas19</v>
      </c>
      <c r="C21932" s="8" t="s">
        <v>8230</v>
      </c>
      <c r="D21932" s="8">
        <v>51</v>
      </c>
      <c r="E21932" s="8">
        <v>0</v>
      </c>
      <c r="F21932" s="8">
        <v>82</v>
      </c>
    </row>
    <row r="21933" spans="1:6" ht="12.75">
      <c r="A21933" s="8">
        <v>43894.536516203705</v>
      </c>
      <c r="B21933" s="8" t="str">
        <f>HYPERLINK("https://twitter.com/zoelfick","@zoelfick")</f>
        <v>@zoelfick</v>
      </c>
      <c r="C21933" s="8" t="s">
        <v>8912</v>
      </c>
      <c r="D21933" s="8">
        <v>2</v>
      </c>
      <c r="E21933" s="8">
        <v>6</v>
      </c>
      <c r="F21933" s="8">
        <v>44945</v>
      </c>
    </row>
    <row r="21934" spans="1:6" ht="12.75">
      <c r="A21934" s="8">
        <v>43894.536469907413</v>
      </c>
      <c r="B21934" s="8" t="str">
        <f>HYPERLINK("https://twitter.com/Arifngk","@Arifngk")</f>
        <v>@Arifngk</v>
      </c>
      <c r="C21934" s="8" t="s">
        <v>8445</v>
      </c>
      <c r="D21934" s="8">
        <v>38</v>
      </c>
      <c r="E21934" s="8">
        <v>0</v>
      </c>
      <c r="F21934" s="8">
        <v>511</v>
      </c>
    </row>
    <row r="21935" spans="1:6" ht="12.75">
      <c r="A21935" s="8">
        <v>43894.536412037036</v>
      </c>
      <c r="B21935" s="8" t="str">
        <f>HYPERLINK("https://twitter.com/radiopatria","@radiopatria")</f>
        <v>@radiopatria</v>
      </c>
      <c r="C21935" s="8" t="s">
        <v>8913</v>
      </c>
      <c r="D21935" s="8">
        <v>0</v>
      </c>
      <c r="E21935" s="8">
        <v>0</v>
      </c>
      <c r="F21935" s="8">
        <v>7993</v>
      </c>
    </row>
    <row r="21936" spans="1:6" ht="12.75">
      <c r="A21936" s="8">
        <v>43894.536099537036</v>
      </c>
      <c r="B21936" s="8" t="str">
        <f>HYPERLINK("https://twitter.com/denisutamsah","@denisutamsah")</f>
        <v>@denisutamsah</v>
      </c>
      <c r="C21936" s="8" t="s">
        <v>8914</v>
      </c>
      <c r="D21936" s="8">
        <v>0</v>
      </c>
      <c r="E21936" s="8">
        <v>0</v>
      </c>
      <c r="F21936" s="8">
        <v>105</v>
      </c>
    </row>
    <row r="21937" spans="1:6" ht="12.75">
      <c r="A21937" s="8">
        <v>43894.535960648151</v>
      </c>
      <c r="B21937" s="8" t="str">
        <f t="shared" ref="B21937:B21938" si="320">HYPERLINK("https://twitter.com/radiopatria","@radiopatria")</f>
        <v>@radiopatria</v>
      </c>
      <c r="C21937" s="8" t="s">
        <v>8915</v>
      </c>
      <c r="D21937" s="8">
        <v>0</v>
      </c>
      <c r="E21937" s="8">
        <v>0</v>
      </c>
      <c r="F21937" s="8">
        <v>7993</v>
      </c>
    </row>
    <row r="21938" spans="1:6" ht="12.75">
      <c r="A21938" s="8">
        <v>43894.535775462966</v>
      </c>
      <c r="B21938" s="8" t="str">
        <f t="shared" si="320"/>
        <v>@radiopatria</v>
      </c>
      <c r="C21938" s="8" t="s">
        <v>8916</v>
      </c>
      <c r="D21938" s="8">
        <v>0</v>
      </c>
      <c r="E21938" s="8">
        <v>0</v>
      </c>
      <c r="F21938" s="8">
        <v>7993</v>
      </c>
    </row>
    <row r="21939" spans="1:6" ht="12.75">
      <c r="A21939" s="8">
        <v>43894.535462962958</v>
      </c>
      <c r="B21939" s="8" t="str">
        <f>HYPERLINK("https://twitter.com/satrio_arif","@satrio_arif")</f>
        <v>@satrio_arif</v>
      </c>
      <c r="C21939" s="8" t="s">
        <v>7700</v>
      </c>
      <c r="D21939" s="8">
        <v>17</v>
      </c>
      <c r="E21939" s="8">
        <v>0</v>
      </c>
      <c r="F21939" s="8">
        <v>7</v>
      </c>
    </row>
    <row r="21940" spans="1:6" ht="12.75">
      <c r="A21940" s="8">
        <v>43894.535358796296</v>
      </c>
      <c r="B21940" s="8" t="str">
        <f>HYPERLINK("https://twitter.com/silitonga95","@silitonga95")</f>
        <v>@silitonga95</v>
      </c>
      <c r="C21940" s="8" t="s">
        <v>6710</v>
      </c>
      <c r="D21940" s="8">
        <v>262</v>
      </c>
      <c r="E21940" s="8">
        <v>0</v>
      </c>
      <c r="F21940" s="8">
        <v>16</v>
      </c>
    </row>
    <row r="21941" spans="1:6" ht="12.75">
      <c r="A21941" s="8">
        <v>43894.53533564815</v>
      </c>
      <c r="B21941" s="8" t="str">
        <f>HYPERLINK("https://twitter.com/TennikeR","@TennikeR")</f>
        <v>@TennikeR</v>
      </c>
      <c r="C21941" s="8" t="s">
        <v>8917</v>
      </c>
      <c r="D21941" s="8">
        <v>98</v>
      </c>
      <c r="E21941" s="8">
        <v>0</v>
      </c>
      <c r="F21941" s="8">
        <v>2</v>
      </c>
    </row>
    <row r="21942" spans="1:6" ht="12.75">
      <c r="A21942" s="8">
        <v>43894.53528935185</v>
      </c>
      <c r="B21942" s="8" t="str">
        <f>HYPERLINK("https://twitter.com/yedikurniahadi","@yedikurniahadi")</f>
        <v>@yedikurniahadi</v>
      </c>
      <c r="C21942" s="8" t="s">
        <v>8918</v>
      </c>
      <c r="D21942" s="8">
        <v>0</v>
      </c>
      <c r="E21942" s="8">
        <v>0</v>
      </c>
      <c r="F21942" s="8">
        <v>115</v>
      </c>
    </row>
    <row r="21943" spans="1:6" ht="12.75">
      <c r="A21943" s="8">
        <v>43894.534988425927</v>
      </c>
      <c r="B21943" s="8" t="str">
        <f>HYPERLINK("https://twitter.com/FL_Gau","@FL_Gau")</f>
        <v>@FL_Gau</v>
      </c>
      <c r="C21943" s="8" t="s">
        <v>8919</v>
      </c>
      <c r="D21943" s="8">
        <v>0</v>
      </c>
      <c r="E21943" s="8">
        <v>0</v>
      </c>
      <c r="F21943" s="8">
        <v>210</v>
      </c>
    </row>
    <row r="21944" spans="1:6" ht="12.75">
      <c r="A21944" s="8">
        <v>43894.534722222219</v>
      </c>
      <c r="B21944" s="8" t="str">
        <f>HYPERLINK("https://twitter.com/bayuLT","@bayuLT")</f>
        <v>@bayuLT</v>
      </c>
      <c r="C21944" s="8" t="s">
        <v>7845</v>
      </c>
      <c r="D21944" s="8">
        <v>25</v>
      </c>
      <c r="E21944" s="8">
        <v>0</v>
      </c>
      <c r="F21944" s="8">
        <v>1807</v>
      </c>
    </row>
    <row r="21945" spans="1:6" ht="12.75">
      <c r="A21945" s="8">
        <v>43894.534421296295</v>
      </c>
      <c r="B21945" s="8" t="str">
        <f t="shared" ref="B21945:B21946" si="321">HYPERLINK("https://twitter.com/KompasTV","@KompasTV")</f>
        <v>@KompasTV</v>
      </c>
      <c r="C21945" s="8" t="s">
        <v>8920</v>
      </c>
      <c r="D21945" s="8">
        <v>0</v>
      </c>
      <c r="E21945" s="8">
        <v>1</v>
      </c>
      <c r="F21945" s="8">
        <v>2955504</v>
      </c>
    </row>
    <row r="21946" spans="1:6" ht="12.75">
      <c r="A21946" s="8">
        <v>43894.534409722226</v>
      </c>
      <c r="B21946" s="8" t="str">
        <f t="shared" si="321"/>
        <v>@KompasTV</v>
      </c>
      <c r="C21946" s="8" t="s">
        <v>8921</v>
      </c>
      <c r="D21946" s="8">
        <v>0</v>
      </c>
      <c r="E21946" s="8">
        <v>1</v>
      </c>
      <c r="F21946" s="8">
        <v>2955504</v>
      </c>
    </row>
    <row r="21947" spans="1:6" ht="12.75">
      <c r="A21947" s="8">
        <v>43894.534282407403</v>
      </c>
      <c r="B21947" s="8" t="str">
        <f>HYPERLINK("https://twitter.com/gowestmor","@gowestmor")</f>
        <v>@gowestmor</v>
      </c>
      <c r="C21947" s="8" t="s">
        <v>6710</v>
      </c>
      <c r="D21947" s="8">
        <v>262</v>
      </c>
      <c r="E21947" s="8">
        <v>0</v>
      </c>
      <c r="F21947" s="8">
        <v>1587</v>
      </c>
    </row>
    <row r="21948" spans="1:6" ht="12.75">
      <c r="A21948" s="8">
        <v>43894.506828703699</v>
      </c>
      <c r="B21948" s="8" t="str">
        <f>HYPERLINK("https://twitter.com/apryntylst5","@apryntylst5")</f>
        <v>@apryntylst5</v>
      </c>
      <c r="C21948" s="8" t="s">
        <v>2199</v>
      </c>
      <c r="D21948" s="8">
        <v>9067</v>
      </c>
      <c r="E21948" s="8">
        <v>0</v>
      </c>
      <c r="F21948" s="8">
        <v>2</v>
      </c>
    </row>
    <row r="21949" spans="1:6" ht="12.75">
      <c r="A21949" s="8">
        <v>43894.506585648152</v>
      </c>
      <c r="B21949" s="8" t="str">
        <f>HYPERLINK("https://twitter.com/robert868686","@robert868686")</f>
        <v>@robert868686</v>
      </c>
      <c r="C21949" s="8" t="s">
        <v>7796</v>
      </c>
      <c r="D21949" s="8">
        <v>55</v>
      </c>
      <c r="E21949" s="8">
        <v>0</v>
      </c>
      <c r="F21949" s="8">
        <v>254</v>
      </c>
    </row>
    <row r="21950" spans="1:6" ht="12.75">
      <c r="A21950" s="8">
        <v>43894.506493055553</v>
      </c>
      <c r="B21950" s="8" t="str">
        <f>HYPERLINK("https://twitter.com/Indro76491247","@Indro76491247")</f>
        <v>@Indro76491247</v>
      </c>
      <c r="C21950" s="8" t="s">
        <v>8761</v>
      </c>
      <c r="D21950" s="8">
        <v>3</v>
      </c>
      <c r="E21950" s="8">
        <v>0</v>
      </c>
      <c r="F21950" s="8">
        <v>80</v>
      </c>
    </row>
    <row r="21951" spans="1:6" ht="12.75">
      <c r="A21951" s="8">
        <v>43894.506006944444</v>
      </c>
      <c r="B21951" s="8" t="str">
        <f>HYPERLINK("https://twitter.com/BanserGropet","@BanserGropet")</f>
        <v>@BanserGropet</v>
      </c>
      <c r="C21951" s="8" t="s">
        <v>6710</v>
      </c>
      <c r="D21951" s="8">
        <v>235</v>
      </c>
      <c r="E21951" s="8">
        <v>0</v>
      </c>
      <c r="F21951" s="8">
        <v>201</v>
      </c>
    </row>
    <row r="21952" spans="1:6" ht="12.75">
      <c r="A21952" s="8">
        <v>43894.505891203706</v>
      </c>
      <c r="B21952" s="8" t="str">
        <f>HYPERLINK("https://twitter.com/Genpi_Co","@Genpi_Co")</f>
        <v>@Genpi_Co</v>
      </c>
      <c r="C21952" s="8" t="s">
        <v>8922</v>
      </c>
      <c r="D21952" s="8">
        <v>0</v>
      </c>
      <c r="E21952" s="8">
        <v>0</v>
      </c>
      <c r="F21952" s="8">
        <v>1741</v>
      </c>
    </row>
    <row r="21953" spans="1:6" ht="12.75">
      <c r="A21953" s="8">
        <v>43894.505856481483</v>
      </c>
      <c r="B21953" s="8" t="str">
        <f>HYPERLINK("https://twitter.com/digeeembok_id","@digeeembok_id")</f>
        <v>@digeeembok_id</v>
      </c>
      <c r="C21953" s="8" t="s">
        <v>8923</v>
      </c>
      <c r="D21953" s="8">
        <v>0</v>
      </c>
      <c r="E21953" s="8">
        <v>0</v>
      </c>
      <c r="F21953" s="8">
        <v>2915</v>
      </c>
    </row>
    <row r="21954" spans="1:6" ht="12.75">
      <c r="A21954" s="8">
        <v>43894.50581018519</v>
      </c>
      <c r="B21954" s="8" t="str">
        <f>HYPERLINK("https://twitter.com/hanscfs","@hanscfs")</f>
        <v>@hanscfs</v>
      </c>
      <c r="C21954" s="8" t="s">
        <v>6710</v>
      </c>
      <c r="D21954" s="8">
        <v>235</v>
      </c>
      <c r="E21954" s="8">
        <v>0</v>
      </c>
      <c r="F21954" s="8">
        <v>913</v>
      </c>
    </row>
    <row r="21955" spans="1:6" ht="12.75">
      <c r="A21955" s="8">
        <v>43894.505798611106</v>
      </c>
      <c r="B21955" s="8" t="str">
        <f>HYPERLINK("https://twitter.com/kha_shaq","@kha_shaq")</f>
        <v>@kha_shaq</v>
      </c>
      <c r="C21955" s="8" t="s">
        <v>8924</v>
      </c>
      <c r="D21955" s="8">
        <v>0</v>
      </c>
      <c r="E21955" s="8">
        <v>0</v>
      </c>
      <c r="F21955" s="8">
        <v>0</v>
      </c>
    </row>
    <row r="21956" spans="1:6" ht="12.75">
      <c r="A21956" s="8">
        <v>43894.505740740744</v>
      </c>
      <c r="B21956" s="8" t="str">
        <f>HYPERLINK("https://twitter.com/jodi_wirawan","@jodi_wirawan")</f>
        <v>@jodi_wirawan</v>
      </c>
      <c r="C21956" s="8" t="s">
        <v>7845</v>
      </c>
      <c r="D21956" s="8">
        <v>19</v>
      </c>
      <c r="E21956" s="8">
        <v>0</v>
      </c>
      <c r="F21956" s="8">
        <v>154</v>
      </c>
    </row>
    <row r="21957" spans="1:6" ht="12.75">
      <c r="A21957" s="8">
        <v>43894.50571759259</v>
      </c>
      <c r="B21957" s="8" t="str">
        <f>HYPERLINK("https://twitter.com/paquitacumadebu","@paquitacumadebu")</f>
        <v>@paquitacumadebu</v>
      </c>
      <c r="C21957" s="8" t="s">
        <v>8115</v>
      </c>
      <c r="D21957" s="8">
        <v>92</v>
      </c>
      <c r="E21957" s="8">
        <v>0</v>
      </c>
      <c r="F21957" s="8">
        <v>1750</v>
      </c>
    </row>
    <row r="21958" spans="1:6" ht="12.75">
      <c r="A21958" s="8">
        <v>43894.505625000005</v>
      </c>
      <c r="B21958" s="8" t="str">
        <f>HYPERLINK("https://twitter.com/Sentjoko","@Sentjoko")</f>
        <v>@Sentjoko</v>
      </c>
      <c r="C21958" s="8" t="s">
        <v>8925</v>
      </c>
      <c r="D21958" s="8">
        <v>0</v>
      </c>
      <c r="E21958" s="8">
        <v>0</v>
      </c>
      <c r="F21958" s="8">
        <v>1546</v>
      </c>
    </row>
    <row r="21959" spans="1:6" ht="12.75">
      <c r="A21959" s="8">
        <v>43894.505578703705</v>
      </c>
      <c r="B21959" s="8" t="str">
        <f>HYPERLINK("https://twitter.com/terkalengkaleng","@terkalengkaleng")</f>
        <v>@terkalengkaleng</v>
      </c>
      <c r="C21959" s="8" t="s">
        <v>6710</v>
      </c>
      <c r="D21959" s="8">
        <v>235</v>
      </c>
      <c r="E21959" s="8">
        <v>0</v>
      </c>
      <c r="F21959" s="8">
        <v>1479</v>
      </c>
    </row>
    <row r="21960" spans="1:6" ht="12.75">
      <c r="A21960" s="8">
        <v>43894.505289351851</v>
      </c>
      <c r="B21960" s="8" t="str">
        <f>HYPERLINK("https://twitter.com/Markowijaya","@Markowijaya")</f>
        <v>@Markowijaya</v>
      </c>
      <c r="C21960" s="8" t="s">
        <v>6710</v>
      </c>
      <c r="D21960" s="8">
        <v>235</v>
      </c>
      <c r="E21960" s="8">
        <v>0</v>
      </c>
      <c r="F21960" s="8">
        <v>70</v>
      </c>
    </row>
    <row r="21961" spans="1:6" ht="12.75">
      <c r="A21961" s="8">
        <v>43894.504872685182</v>
      </c>
      <c r="B21961" s="8" t="str">
        <f>HYPERLINK("https://twitter.com/yos_kebe","@yos_kebe")</f>
        <v>@yos_kebe</v>
      </c>
      <c r="C21961" s="8" t="s">
        <v>8212</v>
      </c>
      <c r="D21961" s="8">
        <v>40</v>
      </c>
      <c r="E21961" s="8">
        <v>0</v>
      </c>
      <c r="F21961" s="8">
        <v>521</v>
      </c>
    </row>
    <row r="21962" spans="1:6" ht="12.75">
      <c r="A21962" s="8">
        <v>43894.504837962959</v>
      </c>
      <c r="B21962" s="8" t="str">
        <f>HYPERLINK("https://twitter.com/R3sta_305","@R3sta_305")</f>
        <v>@R3sta_305</v>
      </c>
      <c r="C21962" s="8" t="s">
        <v>8926</v>
      </c>
      <c r="D21962" s="8">
        <v>0</v>
      </c>
      <c r="E21962" s="8">
        <v>0</v>
      </c>
      <c r="F21962" s="8">
        <v>7289</v>
      </c>
    </row>
    <row r="21963" spans="1:6" ht="12.75">
      <c r="A21963" s="8">
        <v>43894.504733796297</v>
      </c>
      <c r="B21963" s="8" t="str">
        <f>HYPERLINK("https://twitter.com/dewipristia","@dewipristia")</f>
        <v>@dewipristia</v>
      </c>
      <c r="C21963" s="8" t="s">
        <v>8927</v>
      </c>
      <c r="D21963" s="8">
        <v>0</v>
      </c>
      <c r="E21963" s="8">
        <v>0</v>
      </c>
      <c r="F21963" s="8">
        <v>179</v>
      </c>
    </row>
    <row r="21964" spans="1:6" ht="12.75">
      <c r="A21964" s="8">
        <v>43894.504513888889</v>
      </c>
      <c r="B21964" s="8" t="str">
        <f>HYPERLINK("https://twitter.com/jurnalis_selow","@jurnalis_selow")</f>
        <v>@jurnalis_selow</v>
      </c>
      <c r="C21964" s="8" t="s">
        <v>8928</v>
      </c>
      <c r="D21964" s="8">
        <v>0</v>
      </c>
      <c r="E21964" s="8">
        <v>1</v>
      </c>
      <c r="F21964" s="8">
        <v>692</v>
      </c>
    </row>
    <row r="21965" spans="1:6" ht="12.75">
      <c r="A21965" s="8">
        <v>43894.504513888889</v>
      </c>
      <c r="B21965" s="8" t="str">
        <f>HYPERLINK("https://twitter.com/samoelli","@samoelli")</f>
        <v>@samoelli</v>
      </c>
      <c r="C21965" s="8" t="s">
        <v>8761</v>
      </c>
      <c r="D21965" s="8">
        <v>3</v>
      </c>
      <c r="E21965" s="8">
        <v>0</v>
      </c>
      <c r="F21965" s="8">
        <v>522</v>
      </c>
    </row>
    <row r="21966" spans="1:6" ht="12.75">
      <c r="A21966" s="8">
        <v>43894.504421296297</v>
      </c>
      <c r="B21966" s="8" t="str">
        <f>HYPERLINK("https://twitter.com/kha_shaq","@kha_shaq")</f>
        <v>@kha_shaq</v>
      </c>
      <c r="C21966" s="8" t="s">
        <v>8929</v>
      </c>
      <c r="D21966" s="8">
        <v>0</v>
      </c>
      <c r="E21966" s="8">
        <v>0</v>
      </c>
      <c r="F21966" s="8">
        <v>0</v>
      </c>
    </row>
    <row r="21967" spans="1:6" ht="12.75">
      <c r="A21967" s="8">
        <v>43894.504212962958</v>
      </c>
      <c r="B21967" s="8" t="str">
        <f>HYPERLINK("https://twitter.com/Mordechai1972","@Mordechai1972")</f>
        <v>@Mordechai1972</v>
      </c>
      <c r="C21967" s="8" t="s">
        <v>2962</v>
      </c>
      <c r="D21967" s="8">
        <v>5646</v>
      </c>
      <c r="E21967" s="8">
        <v>0</v>
      </c>
      <c r="F21967" s="8">
        <v>58</v>
      </c>
    </row>
    <row r="21968" spans="1:6" ht="12.75">
      <c r="A21968" s="8">
        <v>43894.503831018519</v>
      </c>
      <c r="B21968" s="8" t="str">
        <f>HYPERLINK("https://twitter.com/JPM_STREAM","@JPM_STREAM")</f>
        <v>@JPM_STREAM</v>
      </c>
      <c r="C21968" s="8" t="s">
        <v>8930</v>
      </c>
      <c r="D21968" s="8">
        <v>0</v>
      </c>
      <c r="E21968" s="8">
        <v>0</v>
      </c>
      <c r="F21968" s="8">
        <v>6904</v>
      </c>
    </row>
    <row r="21969" spans="1:6" ht="12.75">
      <c r="A21969" s="8">
        <v>43894.503796296296</v>
      </c>
      <c r="B21969" s="8" t="str">
        <f>HYPERLINK("https://twitter.com/SuhandyHandy2","@SuhandyHandy2")</f>
        <v>@SuhandyHandy2</v>
      </c>
      <c r="C21969" s="8" t="s">
        <v>6862</v>
      </c>
      <c r="D21969" s="8">
        <v>153</v>
      </c>
      <c r="E21969" s="8">
        <v>0</v>
      </c>
      <c r="F21969" s="8">
        <v>0</v>
      </c>
    </row>
    <row r="21970" spans="1:6" ht="12.75">
      <c r="A21970" s="8">
        <v>43894.503611111111</v>
      </c>
      <c r="B21970" s="8" t="str">
        <f>HYPERLINK("https://twitter.com/JP_RadarBali","@JP_RadarBali")</f>
        <v>@JP_RadarBali</v>
      </c>
      <c r="C21970" s="8" t="s">
        <v>8928</v>
      </c>
      <c r="D21970" s="8">
        <v>0</v>
      </c>
      <c r="E21970" s="8">
        <v>0</v>
      </c>
      <c r="F21970" s="8">
        <v>577</v>
      </c>
    </row>
    <row r="21971" spans="1:6" ht="12.75">
      <c r="A21971" s="8">
        <v>43894.503553240742</v>
      </c>
      <c r="B21971" s="8" t="str">
        <f>HYPERLINK("https://twitter.com/syam2s","@syam2s")</f>
        <v>@syam2s</v>
      </c>
      <c r="C21971" s="8" t="s">
        <v>8212</v>
      </c>
      <c r="D21971" s="8">
        <v>40</v>
      </c>
      <c r="E21971" s="8">
        <v>0</v>
      </c>
      <c r="F21971" s="8">
        <v>811</v>
      </c>
    </row>
    <row r="21972" spans="1:6" ht="12.75">
      <c r="A21972" s="8">
        <v>43894.50335648148</v>
      </c>
      <c r="B21972" s="8" t="str">
        <f>HYPERLINK("https://twitter.com/SagaSantorini","@SagaSantorini")</f>
        <v>@SagaSantorini</v>
      </c>
      <c r="C21972" s="8" t="s">
        <v>8445</v>
      </c>
      <c r="D21972" s="8">
        <v>33</v>
      </c>
      <c r="E21972" s="8">
        <v>0</v>
      </c>
      <c r="F21972" s="8">
        <v>41</v>
      </c>
    </row>
    <row r="21973" spans="1:6" ht="12.75">
      <c r="A21973" s="8">
        <v>43894.503148148149</v>
      </c>
      <c r="B21973" s="8" t="str">
        <f>HYPERLINK("https://twitter.com/kha_shaq","@kha_shaq")</f>
        <v>@kha_shaq</v>
      </c>
      <c r="C21973" s="8" t="s">
        <v>8931</v>
      </c>
      <c r="D21973" s="8">
        <v>0</v>
      </c>
      <c r="E21973" s="8">
        <v>0</v>
      </c>
      <c r="F21973" s="8">
        <v>0</v>
      </c>
    </row>
    <row r="21974" spans="1:6" ht="12.75">
      <c r="A21974" s="8">
        <v>43894.503101851849</v>
      </c>
      <c r="B21974" s="8" t="str">
        <f>HYPERLINK("https://twitter.com/dewipristia","@dewipristia")</f>
        <v>@dewipristia</v>
      </c>
      <c r="C21974" s="8" t="s">
        <v>8927</v>
      </c>
      <c r="D21974" s="8">
        <v>0</v>
      </c>
      <c r="E21974" s="8">
        <v>0</v>
      </c>
      <c r="F21974" s="8">
        <v>179</v>
      </c>
    </row>
    <row r="21975" spans="1:6" ht="12.75">
      <c r="A21975" s="8">
        <v>43894.50271990741</v>
      </c>
      <c r="B21975" s="8" t="str">
        <f>HYPERLINK("https://twitter.com/SulisIbukeTyo","@SulisIbukeTyo")</f>
        <v>@SulisIbukeTyo</v>
      </c>
      <c r="C21975" s="8" t="s">
        <v>7197</v>
      </c>
      <c r="D21975" s="8">
        <v>92</v>
      </c>
      <c r="E21975" s="8">
        <v>0</v>
      </c>
      <c r="F21975" s="8">
        <v>1105</v>
      </c>
    </row>
    <row r="21976" spans="1:6" ht="12.75">
      <c r="A21976" s="8">
        <v>43894.502696759257</v>
      </c>
      <c r="B21976" s="8" t="str">
        <f>HYPERLINK("https://twitter.com/RadarNegeriku","@RadarNegeriku")</f>
        <v>@RadarNegeriku</v>
      </c>
      <c r="C21976" s="8" t="s">
        <v>8928</v>
      </c>
      <c r="D21976" s="8">
        <v>0</v>
      </c>
      <c r="E21976" s="8">
        <v>2</v>
      </c>
      <c r="F21976" s="8">
        <v>136</v>
      </c>
    </row>
    <row r="21977" spans="1:6" ht="12.75">
      <c r="A21977" s="8">
        <v>43894.502615740741</v>
      </c>
      <c r="B21977" s="8" t="str">
        <f>HYPERLINK("https://twitter.com/Indro76491247","@Indro76491247")</f>
        <v>@Indro76491247</v>
      </c>
      <c r="C21977" s="8" t="s">
        <v>8932</v>
      </c>
      <c r="D21977" s="8">
        <v>2</v>
      </c>
      <c r="E21977" s="8">
        <v>0</v>
      </c>
      <c r="F21977" s="8">
        <v>80</v>
      </c>
    </row>
    <row r="21978" spans="1:6" ht="12.75">
      <c r="A21978" s="8">
        <v>43894.502581018518</v>
      </c>
      <c r="B21978" s="8" t="str">
        <f>HYPERLINK("https://twitter.com/sn_koprol","@sn_koprol")</f>
        <v>@sn_koprol</v>
      </c>
      <c r="C21978" s="8" t="s">
        <v>8933</v>
      </c>
      <c r="D21978" s="8">
        <v>0</v>
      </c>
      <c r="E21978" s="8">
        <v>0</v>
      </c>
      <c r="F21978" s="8">
        <v>312</v>
      </c>
    </row>
    <row r="21979" spans="1:6" ht="12.75">
      <c r="A21979" s="8">
        <v>43894.502546296295</v>
      </c>
      <c r="B21979" s="8" t="str">
        <f>HYPERLINK("https://twitter.com/KulinerBogorFB","@KulinerBogorFB")</f>
        <v>@KulinerBogorFB</v>
      </c>
      <c r="C21979" s="8" t="s">
        <v>8761</v>
      </c>
      <c r="D21979" s="8">
        <v>3</v>
      </c>
      <c r="E21979" s="8">
        <v>0</v>
      </c>
      <c r="F21979" s="8">
        <v>342</v>
      </c>
    </row>
    <row r="21980" spans="1:6" ht="12.75">
      <c r="A21980" s="8">
        <v>43894.502546296295</v>
      </c>
      <c r="B21980" s="8" t="str">
        <f>HYPERLINK("https://twitter.com/ShyaReepah","@ShyaReepah")</f>
        <v>@ShyaReepah</v>
      </c>
      <c r="C21980" s="8" t="s">
        <v>8934</v>
      </c>
      <c r="D21980" s="8">
        <v>1</v>
      </c>
      <c r="E21980" s="8">
        <v>0</v>
      </c>
      <c r="F21980" s="8">
        <v>1026</v>
      </c>
    </row>
    <row r="21981" spans="1:6" ht="12.75">
      <c r="A21981" s="8">
        <v>43894.502314814818</v>
      </c>
      <c r="B21981" s="8" t="str">
        <f>HYPERLINK("https://twitter.com/mediaindonesia","@mediaindonesia")</f>
        <v>@mediaindonesia</v>
      </c>
      <c r="C21981" s="8" t="s">
        <v>8935</v>
      </c>
      <c r="D21981" s="8">
        <v>3</v>
      </c>
      <c r="E21981" s="8">
        <v>2</v>
      </c>
      <c r="F21981" s="8">
        <v>1420114</v>
      </c>
    </row>
    <row r="21982" spans="1:6" ht="12.75">
      <c r="A21982" s="8">
        <v>43894.501909722225</v>
      </c>
      <c r="B21982" s="8" t="str">
        <f>HYPERLINK("https://twitter.com/kata_atina","@kata_atina")</f>
        <v>@kata_atina</v>
      </c>
      <c r="C21982" s="8" t="s">
        <v>8936</v>
      </c>
      <c r="D21982" s="8">
        <v>0</v>
      </c>
      <c r="E21982" s="8">
        <v>0</v>
      </c>
      <c r="F21982" s="8">
        <v>941</v>
      </c>
    </row>
    <row r="21983" spans="1:6" ht="12.75">
      <c r="A21983" s="8">
        <v>43894.501747685186</v>
      </c>
      <c r="B21983" s="8" t="str">
        <f>HYPERLINK("https://twitter.com/cicomarico","@cicomarico")</f>
        <v>@cicomarico</v>
      </c>
      <c r="C21983" s="8" t="s">
        <v>8937</v>
      </c>
      <c r="D21983" s="8">
        <v>0</v>
      </c>
      <c r="E21983" s="8">
        <v>0</v>
      </c>
      <c r="F21983" s="8">
        <v>200</v>
      </c>
    </row>
    <row r="21984" spans="1:6" ht="12.75">
      <c r="A21984" s="8">
        <v>43894.501689814817</v>
      </c>
      <c r="B21984" s="8" t="str">
        <f>HYPERLINK("https://twitter.com/BillTemporo","@BillTemporo")</f>
        <v>@BillTemporo</v>
      </c>
      <c r="C21984" s="8" t="s">
        <v>323</v>
      </c>
      <c r="D21984" s="8">
        <v>0</v>
      </c>
      <c r="E21984" s="8">
        <v>0</v>
      </c>
      <c r="F21984" s="8">
        <v>11</v>
      </c>
    </row>
    <row r="21985" spans="1:6" ht="12.75">
      <c r="A21985" s="8">
        <v>43894.501469907409</v>
      </c>
      <c r="B21985" s="8" t="str">
        <f>HYPERLINK("https://twitter.com/HonorerPejuang","@HonorerPejuang")</f>
        <v>@HonorerPejuang</v>
      </c>
      <c r="C21985" s="8" t="s">
        <v>8928</v>
      </c>
      <c r="D21985" s="8">
        <v>0</v>
      </c>
      <c r="E21985" s="8">
        <v>1</v>
      </c>
      <c r="F21985" s="8">
        <v>49</v>
      </c>
    </row>
    <row r="21986" spans="1:6" ht="12.75">
      <c r="A21986" s="8">
        <v>43894.501423611116</v>
      </c>
      <c r="B21986" s="8" t="str">
        <f>HYPERLINK("https://twitter.com/AndikaRaditt","@AndikaRaditt")</f>
        <v>@AndikaRaditt</v>
      </c>
      <c r="C21986" s="8" t="s">
        <v>7845</v>
      </c>
      <c r="D21986" s="8">
        <v>19</v>
      </c>
      <c r="E21986" s="8">
        <v>0</v>
      </c>
      <c r="F21986" s="8">
        <v>166</v>
      </c>
    </row>
    <row r="21987" spans="1:6" ht="12.75">
      <c r="A21987" s="8">
        <v>43894.501145833332</v>
      </c>
      <c r="B21987" s="8" t="str">
        <f>HYPERLINK("https://twitter.com/okezonenews","@okezonenews")</f>
        <v>@okezonenews</v>
      </c>
      <c r="C21987" s="8" t="s">
        <v>8938</v>
      </c>
      <c r="D21987" s="8">
        <v>0</v>
      </c>
      <c r="E21987" s="8">
        <v>0</v>
      </c>
      <c r="F21987" s="8">
        <v>1743891</v>
      </c>
    </row>
    <row r="21988" spans="1:6" ht="12.75">
      <c r="A21988" s="8">
        <v>43894.501111111109</v>
      </c>
      <c r="B21988" s="8" t="str">
        <f>HYPERLINK("https://twitter.com/kangmasadi","@kangmasadi")</f>
        <v>@kangmasadi</v>
      </c>
      <c r="C21988" s="8" t="s">
        <v>6710</v>
      </c>
      <c r="D21988" s="8">
        <v>235</v>
      </c>
      <c r="E21988" s="8">
        <v>0</v>
      </c>
      <c r="F21988" s="8">
        <v>96</v>
      </c>
    </row>
    <row r="21989" spans="1:6" ht="12.75">
      <c r="A21989" s="8">
        <v>43894.500925925924</v>
      </c>
      <c r="B21989" s="8" t="str">
        <f>HYPERLINK("https://twitter.com/YogaAdrianyoga6","@YogaAdrianyoga6")</f>
        <v>@YogaAdrianyoga6</v>
      </c>
      <c r="C21989" s="8" t="s">
        <v>8212</v>
      </c>
      <c r="D21989" s="8">
        <v>40</v>
      </c>
      <c r="E21989" s="8">
        <v>0</v>
      </c>
      <c r="F21989" s="8">
        <v>794</v>
      </c>
    </row>
    <row r="21990" spans="1:6" ht="12.75">
      <c r="A21990" s="8">
        <v>43894.500752314816</v>
      </c>
      <c r="B21990" s="8" t="str">
        <f>HYPERLINK("https://twitter.com/MZianu","@MZianu")</f>
        <v>@MZianu</v>
      </c>
      <c r="C21990" s="8" t="s">
        <v>8445</v>
      </c>
      <c r="D21990" s="8">
        <v>33</v>
      </c>
      <c r="E21990" s="8">
        <v>0</v>
      </c>
      <c r="F21990" s="8">
        <v>460</v>
      </c>
    </row>
    <row r="21991" spans="1:6" ht="12.75">
      <c r="A21991" s="8">
        <v>43894.500659722224</v>
      </c>
      <c r="B21991" s="8" t="str">
        <f>HYPERLINK("https://twitter.com/valentnhartanto","@valentnhartanto")</f>
        <v>@valentnhartanto</v>
      </c>
      <c r="C21991" s="8" t="s">
        <v>685</v>
      </c>
      <c r="D21991" s="8">
        <v>191</v>
      </c>
      <c r="E21991" s="8">
        <v>0</v>
      </c>
      <c r="F21991" s="8">
        <v>147</v>
      </c>
    </row>
    <row r="21992" spans="1:6" ht="12.75">
      <c r="A21992" s="8">
        <v>43894.50063657407</v>
      </c>
      <c r="B21992" s="8" t="str">
        <f>HYPERLINK("https://twitter.com/awkyirun","@awkyirun")</f>
        <v>@awkyirun</v>
      </c>
      <c r="C21992" s="8" t="s">
        <v>7845</v>
      </c>
      <c r="D21992" s="8">
        <v>19</v>
      </c>
      <c r="E21992" s="8">
        <v>0</v>
      </c>
      <c r="F21992" s="8">
        <v>106</v>
      </c>
    </row>
    <row r="21993" spans="1:6" ht="12.75">
      <c r="A21993" s="8">
        <v>43894.500601851847</v>
      </c>
      <c r="B21993" s="8" t="str">
        <f>HYPERLINK("https://twitter.com/endoe21","@endoe21")</f>
        <v>@endoe21</v>
      </c>
      <c r="C21993" s="8" t="s">
        <v>8939</v>
      </c>
      <c r="D21993" s="8">
        <v>1</v>
      </c>
      <c r="E21993" s="8">
        <v>0</v>
      </c>
      <c r="F21993" s="8">
        <v>2043</v>
      </c>
    </row>
    <row r="21994" spans="1:6" ht="12.75">
      <c r="A21994" s="8">
        <v>43894.500474537039</v>
      </c>
      <c r="B21994" s="8" t="str">
        <f>HYPERLINK("https://twitter.com/Waras4ever","@Waras4ever")</f>
        <v>@Waras4ever</v>
      </c>
      <c r="C21994" s="8" t="s">
        <v>8940</v>
      </c>
      <c r="D21994" s="8">
        <v>0</v>
      </c>
      <c r="E21994" s="8">
        <v>0</v>
      </c>
      <c r="F21994" s="8">
        <v>23</v>
      </c>
    </row>
    <row r="21995" spans="1:6" ht="12.75">
      <c r="A21995" s="8">
        <v>43894.500439814816</v>
      </c>
      <c r="B21995" s="8" t="str">
        <f>HYPERLINK("https://twitter.com/airmagzcom","@airmagzcom")</f>
        <v>@airmagzcom</v>
      </c>
      <c r="C21995" s="8" t="s">
        <v>8941</v>
      </c>
      <c r="D21995" s="8">
        <v>0</v>
      </c>
      <c r="E21995" s="8">
        <v>0</v>
      </c>
      <c r="F21995" s="8">
        <v>132</v>
      </c>
    </row>
    <row r="21996" spans="1:6" ht="12.75">
      <c r="A21996" s="8">
        <v>43894.500381944439</v>
      </c>
      <c r="B21996" s="8" t="str">
        <f>HYPERLINK("https://twitter.com/padangkitacom","@padangkitacom")</f>
        <v>@padangkitacom</v>
      </c>
      <c r="C21996" s="8" t="s">
        <v>8942</v>
      </c>
      <c r="D21996" s="8">
        <v>0</v>
      </c>
      <c r="E21996" s="8">
        <v>0</v>
      </c>
      <c r="F21996" s="8">
        <v>18646</v>
      </c>
    </row>
    <row r="21997" spans="1:6" ht="12.75">
      <c r="A21997" s="8">
        <v>43894.500243055554</v>
      </c>
      <c r="B21997" s="8" t="str">
        <f>HYPERLINK("https://twitter.com/jzahsz__","@jzahsz__")</f>
        <v>@jzahsz__</v>
      </c>
      <c r="C21997" s="8" t="s">
        <v>2962</v>
      </c>
      <c r="D21997" s="8">
        <v>5646</v>
      </c>
      <c r="E21997" s="8">
        <v>0</v>
      </c>
      <c r="F21997" s="8">
        <v>473</v>
      </c>
    </row>
    <row r="21998" spans="1:6" ht="12.75">
      <c r="A21998" s="8">
        <v>43894.500092592592</v>
      </c>
      <c r="B21998" s="8" t="str">
        <f>HYPERLINK("https://twitter.com/hambimaa","@hambimaa")</f>
        <v>@hambimaa</v>
      </c>
      <c r="C21998" s="8" t="s">
        <v>8138</v>
      </c>
      <c r="D21998" s="8">
        <v>41</v>
      </c>
      <c r="E21998" s="8">
        <v>0</v>
      </c>
      <c r="F21998" s="8">
        <v>94</v>
      </c>
    </row>
    <row r="21999" spans="1:6" ht="12.75">
      <c r="A21999" s="8">
        <v>43894.500023148154</v>
      </c>
      <c r="B21999" s="8" t="str">
        <f>HYPERLINK("https://twitter.com/TribunNew5","@TribunNew5")</f>
        <v>@TribunNew5</v>
      </c>
      <c r="C21999" s="8" t="s">
        <v>8943</v>
      </c>
      <c r="D21999" s="8">
        <v>0</v>
      </c>
      <c r="E21999" s="8">
        <v>0</v>
      </c>
      <c r="F21999" s="8">
        <v>524</v>
      </c>
    </row>
    <row r="22000" spans="1:6" ht="12.75">
      <c r="A22000" s="8">
        <v>43894.5</v>
      </c>
      <c r="B22000" s="8" t="str">
        <f>HYPERLINK("https://twitter.com/jusstme4u","@jusstme4u")</f>
        <v>@jusstme4u</v>
      </c>
      <c r="C22000" s="8" t="s">
        <v>8944</v>
      </c>
      <c r="D22000" s="8">
        <v>0</v>
      </c>
      <c r="E22000" s="8">
        <v>0</v>
      </c>
      <c r="F22000" s="8">
        <v>75780</v>
      </c>
    </row>
    <row r="22001" spans="1:6" ht="12.75">
      <c r="A22001" s="8">
        <v>43894.499305555553</v>
      </c>
      <c r="B22001" s="8" t="str">
        <f>HYPERLINK("https://twitter.com/sissyfebrina","@sissyfebrina")</f>
        <v>@sissyfebrina</v>
      </c>
      <c r="C22001" s="8" t="s">
        <v>8945</v>
      </c>
      <c r="D22001" s="8">
        <v>0</v>
      </c>
      <c r="E22001" s="8">
        <v>0</v>
      </c>
      <c r="F22001" s="8">
        <v>9</v>
      </c>
    </row>
    <row r="22002" spans="1:6" ht="12.75">
      <c r="A22002" s="8">
        <v>43894.499259259261</v>
      </c>
      <c r="B22002" s="8" t="str">
        <f>HYPERLINK("https://twitter.com/AlummiRambe","@AlummiRambe")</f>
        <v>@AlummiRambe</v>
      </c>
      <c r="C22002" s="8" t="s">
        <v>8323</v>
      </c>
      <c r="D22002" s="8">
        <v>19</v>
      </c>
      <c r="E22002" s="8">
        <v>0</v>
      </c>
      <c r="F22002" s="8">
        <v>2183</v>
      </c>
    </row>
    <row r="22003" spans="1:6" ht="12.75">
      <c r="A22003" s="8">
        <v>43894.498923611114</v>
      </c>
      <c r="B22003" s="8" t="str">
        <f>HYPERLINK("https://twitter.com/Faylasalle2","@Faylasalle2")</f>
        <v>@Faylasalle2</v>
      </c>
      <c r="C22003" s="8" t="s">
        <v>8946</v>
      </c>
      <c r="D22003" s="8">
        <v>5</v>
      </c>
      <c r="E22003" s="8">
        <v>0</v>
      </c>
      <c r="F22003" s="8">
        <v>526</v>
      </c>
    </row>
    <row r="22004" spans="1:6" ht="12.75">
      <c r="A22004" s="8">
        <v>43894.498900462961</v>
      </c>
      <c r="B22004" s="8" t="str">
        <f>HYPERLINK("https://twitter.com/Ifan32248626","@Ifan32248626")</f>
        <v>@Ifan32248626</v>
      </c>
      <c r="C22004" s="8" t="s">
        <v>8947</v>
      </c>
      <c r="D22004" s="8">
        <v>0</v>
      </c>
      <c r="E22004" s="8">
        <v>0</v>
      </c>
      <c r="F22004" s="8">
        <v>0</v>
      </c>
    </row>
    <row r="22005" spans="1:6" ht="12.75">
      <c r="A22005" s="8">
        <v>43894.498877314814</v>
      </c>
      <c r="B22005" s="8" t="str">
        <f>HYPERLINK("https://twitter.com/UtomoFreddy","@UtomoFreddy")</f>
        <v>@UtomoFreddy</v>
      </c>
      <c r="C22005" s="8" t="s">
        <v>8493</v>
      </c>
      <c r="D22005" s="8">
        <v>4</v>
      </c>
      <c r="E22005" s="8">
        <v>0</v>
      </c>
      <c r="F22005" s="8">
        <v>109</v>
      </c>
    </row>
    <row r="22006" spans="1:6" ht="12.75">
      <c r="A22006" s="8">
        <v>43894.498449074075</v>
      </c>
      <c r="B22006" s="8" t="str">
        <f>HYPERLINK("https://twitter.com/BruNet_tes","@BruNet_tes")</f>
        <v>@BruNet_tes</v>
      </c>
      <c r="C22006" s="8" t="s">
        <v>5732</v>
      </c>
      <c r="D22006" s="8">
        <v>2192</v>
      </c>
      <c r="E22006" s="8">
        <v>0</v>
      </c>
      <c r="F22006" s="8">
        <v>414</v>
      </c>
    </row>
    <row r="22007" spans="1:6" ht="12.75">
      <c r="A22007" s="8">
        <v>43894.497916666667</v>
      </c>
      <c r="B22007" s="8" t="str">
        <f>HYPERLINK("https://twitter.com/SangPecinta77","@SangPecinta77")</f>
        <v>@SangPecinta77</v>
      </c>
      <c r="C22007" s="8" t="s">
        <v>8948</v>
      </c>
      <c r="D22007" s="8">
        <v>0</v>
      </c>
      <c r="E22007" s="8">
        <v>0</v>
      </c>
      <c r="F22007" s="8">
        <v>8</v>
      </c>
    </row>
    <row r="22008" spans="1:6" ht="12.75">
      <c r="A22008" s="8">
        <v>43894.497673611113</v>
      </c>
      <c r="B22008" s="8" t="str">
        <f>HYPERLINK("https://twitter.com/are_cavalera","@are_cavalera")</f>
        <v>@are_cavalera</v>
      </c>
      <c r="C22008" s="8" t="s">
        <v>8115</v>
      </c>
      <c r="D22008" s="8">
        <v>92</v>
      </c>
      <c r="E22008" s="8">
        <v>0</v>
      </c>
      <c r="F22008" s="8">
        <v>352</v>
      </c>
    </row>
    <row r="22009" spans="1:6" ht="12.75">
      <c r="A22009" s="8">
        <v>43894.497106481482</v>
      </c>
      <c r="B22009" s="8" t="str">
        <f>HYPERLINK("https://twitter.com/Daniipratamaa","@Daniipratamaa")</f>
        <v>@Daniipratamaa</v>
      </c>
      <c r="C22009" s="8" t="s">
        <v>7845</v>
      </c>
      <c r="D22009" s="8">
        <v>19</v>
      </c>
      <c r="E22009" s="8">
        <v>0</v>
      </c>
      <c r="F22009" s="8">
        <v>30</v>
      </c>
    </row>
    <row r="22010" spans="1:6" ht="12.75">
      <c r="A22010" s="8">
        <v>43894.496990740736</v>
      </c>
      <c r="B22010" s="8" t="str">
        <f>HYPERLINK("https://twitter.com/rawsethasia","@rawsethasia")</f>
        <v>@rawsethasia</v>
      </c>
      <c r="C22010" s="8" t="s">
        <v>8949</v>
      </c>
      <c r="D22010" s="8">
        <v>0</v>
      </c>
      <c r="E22010" s="8">
        <v>1</v>
      </c>
      <c r="F22010" s="8">
        <v>368</v>
      </c>
    </row>
    <row r="22011" spans="1:6" ht="12.75">
      <c r="A22011" s="8">
        <v>43894.496435185181</v>
      </c>
      <c r="B22011" s="8" t="str">
        <f>HYPERLINK("https://twitter.com/reynoldandries1","@reynoldandries1")</f>
        <v>@reynoldandries1</v>
      </c>
      <c r="C22011" s="8" t="s">
        <v>6710</v>
      </c>
      <c r="D22011" s="8">
        <v>235</v>
      </c>
      <c r="E22011" s="8">
        <v>0</v>
      </c>
      <c r="F22011" s="8">
        <v>6348</v>
      </c>
    </row>
    <row r="22012" spans="1:6" ht="12.75">
      <c r="A22012" s="8">
        <v>43894.49618055555</v>
      </c>
      <c r="B22012" s="8" t="str">
        <f>HYPERLINK("https://twitter.com/arstyner","@arstyner")</f>
        <v>@arstyner</v>
      </c>
      <c r="C22012" s="8" t="s">
        <v>8212</v>
      </c>
      <c r="D22012" s="8">
        <v>40</v>
      </c>
      <c r="E22012" s="8">
        <v>0</v>
      </c>
      <c r="F22012" s="8">
        <v>27</v>
      </c>
    </row>
    <row r="22013" spans="1:6" ht="12.75">
      <c r="A22013" s="8">
        <v>43894.496076388888</v>
      </c>
      <c r="B22013" s="8" t="str">
        <f>HYPERLINK("https://twitter.com/Jeff_Zain","@Jeff_Zain")</f>
        <v>@Jeff_Zain</v>
      </c>
      <c r="C22013" s="8" t="s">
        <v>8230</v>
      </c>
      <c r="D22013" s="8">
        <v>35</v>
      </c>
      <c r="E22013" s="8">
        <v>0</v>
      </c>
      <c r="F22013" s="8">
        <v>91</v>
      </c>
    </row>
    <row r="22014" spans="1:6" ht="12.75">
      <c r="A22014" s="8">
        <v>43894.496064814812</v>
      </c>
      <c r="B22014" s="8" t="str">
        <f>HYPERLINK("https://twitter.com/deaa2901","@deaa2901")</f>
        <v>@deaa2901</v>
      </c>
      <c r="C22014" s="8" t="s">
        <v>5602</v>
      </c>
      <c r="D22014" s="8">
        <v>1039</v>
      </c>
      <c r="E22014" s="8">
        <v>0</v>
      </c>
      <c r="F22014" s="8">
        <v>2</v>
      </c>
    </row>
    <row r="22015" spans="1:6" ht="12.75">
      <c r="A22015" s="8">
        <v>43894.495972222227</v>
      </c>
      <c r="B22015" s="8" t="str">
        <f>HYPERLINK("https://twitter.com/Danillalalasa","@Danillalalasa")</f>
        <v>@Danillalalasa</v>
      </c>
      <c r="C22015" s="8" t="s">
        <v>8950</v>
      </c>
      <c r="D22015" s="8">
        <v>11</v>
      </c>
      <c r="E22015" s="8">
        <v>0</v>
      </c>
      <c r="F22015" s="8">
        <v>325</v>
      </c>
    </row>
    <row r="22016" spans="1:6" ht="12.75">
      <c r="A22016" s="8">
        <v>43894.495868055557</v>
      </c>
      <c r="B22016" s="8" t="str">
        <f>HYPERLINK("https://twitter.com/Jeff_Zain","@Jeff_Zain")</f>
        <v>@Jeff_Zain</v>
      </c>
      <c r="C22016" s="8" t="s">
        <v>7966</v>
      </c>
      <c r="D22016" s="8">
        <v>1</v>
      </c>
      <c r="E22016" s="8">
        <v>0</v>
      </c>
      <c r="F22016" s="8">
        <v>91</v>
      </c>
    </row>
    <row r="22017" spans="1:6" ht="12.75">
      <c r="A22017" s="8">
        <v>43894.495798611111</v>
      </c>
      <c r="B22017" s="8" t="str">
        <f>HYPERLINK("https://twitter.com/ikon2408","@ikon2408")</f>
        <v>@ikon2408</v>
      </c>
      <c r="C22017" s="8" t="s">
        <v>5602</v>
      </c>
      <c r="D22017" s="8">
        <v>1039</v>
      </c>
      <c r="E22017" s="8">
        <v>0</v>
      </c>
      <c r="F22017" s="8">
        <v>0</v>
      </c>
    </row>
    <row r="22018" spans="1:6" ht="12.75">
      <c r="A22018" s="8">
        <v>43894.495706018519</v>
      </c>
      <c r="B22018" s="8" t="str">
        <f>HYPERLINK("https://twitter.com/Chaoslettuce","@Chaoslettuce")</f>
        <v>@Chaoslettuce</v>
      </c>
      <c r="C22018" s="8" t="s">
        <v>1427</v>
      </c>
      <c r="D22018" s="8">
        <v>1024</v>
      </c>
      <c r="E22018" s="8">
        <v>0</v>
      </c>
      <c r="F22018" s="8">
        <v>335</v>
      </c>
    </row>
    <row r="22019" spans="1:6" ht="12.75">
      <c r="A22019" s="8">
        <v>43894.495567129634</v>
      </c>
      <c r="B22019" s="8" t="str">
        <f>HYPERLINK("https://twitter.com/dede_hid4y4t","@dede_hid4y4t")</f>
        <v>@dede_hid4y4t</v>
      </c>
      <c r="C22019" s="8" t="s">
        <v>8951</v>
      </c>
      <c r="D22019" s="8">
        <v>0</v>
      </c>
      <c r="E22019" s="8">
        <v>0</v>
      </c>
      <c r="F22019" s="8">
        <v>71</v>
      </c>
    </row>
    <row r="22020" spans="1:6" ht="12.75">
      <c r="A22020" s="8">
        <v>43894.495243055557</v>
      </c>
      <c r="B22020" s="8" t="str">
        <f>HYPERLINK("https://twitter.com/DatuakAtuk","@DatuakAtuk")</f>
        <v>@DatuakAtuk</v>
      </c>
      <c r="C22020" s="8" t="s">
        <v>8115</v>
      </c>
      <c r="D22020" s="8">
        <v>92</v>
      </c>
      <c r="E22020" s="8">
        <v>0</v>
      </c>
      <c r="F22020" s="8">
        <v>717</v>
      </c>
    </row>
    <row r="22021" spans="1:6" ht="12.75">
      <c r="A22021" s="8">
        <v>43894.49523148148</v>
      </c>
      <c r="B22021" s="8" t="str">
        <f>HYPERLINK("https://twitter.com/joker_songong__","@joker_songong__")</f>
        <v>@joker_songong__</v>
      </c>
      <c r="C22021" s="8" t="s">
        <v>2962</v>
      </c>
      <c r="D22021" s="8">
        <v>5646</v>
      </c>
      <c r="E22021" s="8">
        <v>0</v>
      </c>
      <c r="F22021" s="8">
        <v>807</v>
      </c>
    </row>
    <row r="22022" spans="1:6" ht="12.75">
      <c r="A22022" s="8">
        <v>43894.49486111111</v>
      </c>
      <c r="B22022" s="8" t="str">
        <f>HYPERLINK("https://twitter.com/dwiharjoko79","@dwiharjoko79")</f>
        <v>@dwiharjoko79</v>
      </c>
      <c r="C22022" s="8" t="s">
        <v>685</v>
      </c>
      <c r="D22022" s="8">
        <v>191</v>
      </c>
      <c r="E22022" s="8">
        <v>0</v>
      </c>
      <c r="F22022" s="8">
        <v>1</v>
      </c>
    </row>
    <row r="22023" spans="1:6" ht="12.75">
      <c r="A22023" s="8">
        <v>43894.494479166664</v>
      </c>
      <c r="B22023" s="8" t="str">
        <f>HYPERLINK("https://twitter.com/ryolandafit","@ryolandafit")</f>
        <v>@ryolandafit</v>
      </c>
      <c r="C22023" s="8" t="s">
        <v>8762</v>
      </c>
      <c r="D22023" s="8">
        <v>5</v>
      </c>
      <c r="E22023" s="8">
        <v>0</v>
      </c>
      <c r="F22023" s="8">
        <v>653</v>
      </c>
    </row>
    <row r="22024" spans="1:6" ht="12.75">
      <c r="A22024" s="8">
        <v>43894.493796296301</v>
      </c>
      <c r="B22024" s="8" t="str">
        <f>HYPERLINK("https://twitter.com/UjiGt","@UjiGt")</f>
        <v>@UjiGt</v>
      </c>
      <c r="C22024" s="8" t="s">
        <v>8115</v>
      </c>
      <c r="D22024" s="8">
        <v>92</v>
      </c>
      <c r="E22024" s="8">
        <v>0</v>
      </c>
      <c r="F22024" s="8">
        <v>830</v>
      </c>
    </row>
    <row r="22025" spans="1:6" ht="12.75">
      <c r="A22025" s="8">
        <v>43894.493715277778</v>
      </c>
      <c r="B22025" s="8" t="str">
        <f>HYPERLINK("https://twitter.com/yavethagung","@yavethagung")</f>
        <v>@yavethagung</v>
      </c>
      <c r="C22025" s="8" t="s">
        <v>8212</v>
      </c>
      <c r="D22025" s="8">
        <v>40</v>
      </c>
      <c r="E22025" s="8">
        <v>0</v>
      </c>
      <c r="F22025" s="8">
        <v>47</v>
      </c>
    </row>
    <row r="22026" spans="1:6" ht="12.75">
      <c r="A22026" s="8">
        <v>43894.493703703702</v>
      </c>
      <c r="B22026" s="8" t="str">
        <f>HYPERLINK("https://twitter.com/ryolandafit","@ryolandafit")</f>
        <v>@ryolandafit</v>
      </c>
      <c r="C22026" s="8" t="s">
        <v>8836</v>
      </c>
      <c r="D22026" s="8">
        <v>3</v>
      </c>
      <c r="E22026" s="8">
        <v>0</v>
      </c>
      <c r="F22026" s="8">
        <v>653</v>
      </c>
    </row>
    <row r="22027" spans="1:6" ht="12.75">
      <c r="A22027" s="8">
        <v>43894.493599537032</v>
      </c>
      <c r="B22027" s="8" t="str">
        <f>HYPERLINK("https://twitter.com/Brewok60447739","@Brewok60447739")</f>
        <v>@Brewok60447739</v>
      </c>
      <c r="C22027" s="8" t="s">
        <v>8952</v>
      </c>
      <c r="D22027" s="8">
        <v>0</v>
      </c>
      <c r="E22027" s="8">
        <v>0</v>
      </c>
      <c r="F22027" s="8">
        <v>4</v>
      </c>
    </row>
    <row r="22028" spans="1:6" ht="12.75">
      <c r="A22028" s="8">
        <v>43894.493495370371</v>
      </c>
      <c r="B22028" s="8" t="str">
        <f t="shared" ref="B22028:B22029" si="322">HYPERLINK("https://twitter.com/ryolandafit","@ryolandafit")</f>
        <v>@ryolandafit</v>
      </c>
      <c r="C22028" s="8" t="s">
        <v>8953</v>
      </c>
      <c r="D22028" s="8">
        <v>2</v>
      </c>
      <c r="E22028" s="8">
        <v>0</v>
      </c>
      <c r="F22028" s="8">
        <v>653</v>
      </c>
    </row>
    <row r="22029" spans="1:6" ht="12.75">
      <c r="A22029" s="8">
        <v>43894.493460648147</v>
      </c>
      <c r="B22029" s="8" t="str">
        <f t="shared" si="322"/>
        <v>@ryolandafit</v>
      </c>
      <c r="C22029" s="8" t="s">
        <v>8954</v>
      </c>
      <c r="D22029" s="8">
        <v>2</v>
      </c>
      <c r="E22029" s="8">
        <v>0</v>
      </c>
      <c r="F22029" s="8">
        <v>653</v>
      </c>
    </row>
    <row r="22030" spans="1:6" ht="12.75">
      <c r="A22030" s="8">
        <v>43894.493356481486</v>
      </c>
      <c r="B22030" s="8" t="str">
        <f>HYPERLINK("https://twitter.com/unknown_loct","@unknown_loct")</f>
        <v>@unknown_loct</v>
      </c>
      <c r="C22030" s="8" t="s">
        <v>8955</v>
      </c>
      <c r="D22030" s="8">
        <v>0</v>
      </c>
      <c r="E22030" s="8">
        <v>0</v>
      </c>
      <c r="F22030" s="8">
        <v>598</v>
      </c>
    </row>
    <row r="22031" spans="1:6" ht="12.75">
      <c r="A22031" s="8">
        <v>43894.493321759262</v>
      </c>
      <c r="B22031" s="8" t="str">
        <f>HYPERLINK("https://twitter.com/diskominfo_smd","@diskominfo_smd")</f>
        <v>@diskominfo_smd</v>
      </c>
      <c r="C22031" s="8" t="s">
        <v>8956</v>
      </c>
      <c r="D22031" s="8">
        <v>0</v>
      </c>
      <c r="E22031" s="8">
        <v>0</v>
      </c>
      <c r="F22031" s="8">
        <v>195</v>
      </c>
    </row>
    <row r="22032" spans="1:6" ht="12.75">
      <c r="A22032" s="8">
        <v>43894.493275462963</v>
      </c>
      <c r="B22032" s="8" t="str">
        <f>HYPERLINK("https://twitter.com/r_novindry","@r_novindry")</f>
        <v>@r_novindry</v>
      </c>
      <c r="C22032" s="8" t="s">
        <v>8957</v>
      </c>
      <c r="D22032" s="8">
        <v>0</v>
      </c>
      <c r="E22032" s="8">
        <v>0</v>
      </c>
      <c r="F22032" s="8">
        <v>512</v>
      </c>
    </row>
    <row r="22033" spans="1:6" ht="12.75">
      <c r="A22033" s="8">
        <v>43894.493101851855</v>
      </c>
      <c r="B22033" s="8" t="str">
        <f>HYPERLINK("https://twitter.com/radiopatria","@radiopatria")</f>
        <v>@radiopatria</v>
      </c>
      <c r="C22033" s="8" t="s">
        <v>8958</v>
      </c>
      <c r="D22033" s="8">
        <v>0</v>
      </c>
      <c r="E22033" s="8">
        <v>0</v>
      </c>
      <c r="F22033" s="8">
        <v>7993</v>
      </c>
    </row>
    <row r="22034" spans="1:6" ht="12.75">
      <c r="A22034" s="8">
        <v>43894.492893518516</v>
      </c>
      <c r="B22034" s="8" t="str">
        <f>HYPERLINK("https://twitter.com/irwan_iding","@irwan_iding")</f>
        <v>@irwan_iding</v>
      </c>
      <c r="C22034" s="8" t="s">
        <v>7700</v>
      </c>
      <c r="D22034" s="8">
        <v>13</v>
      </c>
      <c r="E22034" s="8">
        <v>0</v>
      </c>
      <c r="F22034" s="8">
        <v>62</v>
      </c>
    </row>
    <row r="22035" spans="1:6" ht="12.75">
      <c r="A22035" s="8">
        <v>43894.492152777777</v>
      </c>
      <c r="B22035" s="8" t="str">
        <f>HYPERLINK("https://twitter.com/radiopatria","@radiopatria")</f>
        <v>@radiopatria</v>
      </c>
      <c r="C22035" s="8" t="s">
        <v>8959</v>
      </c>
      <c r="D22035" s="8">
        <v>0</v>
      </c>
      <c r="E22035" s="8">
        <v>0</v>
      </c>
      <c r="F22035" s="8">
        <v>7993</v>
      </c>
    </row>
    <row r="22036" spans="1:6" ht="12.75">
      <c r="A22036" s="8">
        <v>43894.492025462961</v>
      </c>
      <c r="B22036" s="8" t="str">
        <f>HYPERLINK("https://twitter.com/MarieskaV","@MarieskaV")</f>
        <v>@MarieskaV</v>
      </c>
      <c r="C22036" s="8" t="s">
        <v>8960</v>
      </c>
      <c r="D22036" s="8">
        <v>0</v>
      </c>
      <c r="E22036" s="8">
        <v>0</v>
      </c>
      <c r="F22036" s="8">
        <v>301</v>
      </c>
    </row>
    <row r="22037" spans="1:6" ht="12.75">
      <c r="A22037" s="8">
        <v>43894.491851851853</v>
      </c>
      <c r="B22037" s="8" t="str">
        <f>HYPERLINK("https://twitter.com/roon3651","@roon3651")</f>
        <v>@roon3651</v>
      </c>
      <c r="C22037" s="8" t="s">
        <v>8272</v>
      </c>
      <c r="D22037" s="8">
        <v>81</v>
      </c>
      <c r="E22037" s="8">
        <v>0</v>
      </c>
      <c r="F22037" s="8">
        <v>414</v>
      </c>
    </row>
    <row r="22038" spans="1:6" ht="12.75">
      <c r="A22038" s="8">
        <v>43894.491574074069</v>
      </c>
      <c r="B22038" s="8" t="str">
        <f>HYPERLINK("https://twitter.com/WenangAndre","@WenangAndre")</f>
        <v>@WenangAndre</v>
      </c>
      <c r="C22038" s="8" t="s">
        <v>8115</v>
      </c>
      <c r="D22038" s="8">
        <v>92</v>
      </c>
      <c r="E22038" s="8">
        <v>0</v>
      </c>
      <c r="F22038" s="8">
        <v>1200</v>
      </c>
    </row>
    <row r="22039" spans="1:6" ht="12.75">
      <c r="A22039" s="8">
        <v>43894.491377314815</v>
      </c>
      <c r="B22039" s="8" t="str">
        <f>HYPERLINK("https://twitter.com/starsmalem","@starsmalem")</f>
        <v>@starsmalem</v>
      </c>
      <c r="C22039" s="8" t="s">
        <v>6710</v>
      </c>
      <c r="D22039" s="8">
        <v>235</v>
      </c>
      <c r="E22039" s="8">
        <v>0</v>
      </c>
      <c r="F22039" s="8">
        <v>2</v>
      </c>
    </row>
    <row r="22040" spans="1:6" ht="12.75">
      <c r="A22040" s="8">
        <v>43894.491273148145</v>
      </c>
      <c r="B22040" s="8" t="str">
        <f>HYPERLINK("https://twitter.com/isis_B7","@isis_B7")</f>
        <v>@isis_B7</v>
      </c>
      <c r="C22040" s="8" t="s">
        <v>8961</v>
      </c>
      <c r="D22040" s="8">
        <v>0</v>
      </c>
      <c r="E22040" s="8">
        <v>0</v>
      </c>
      <c r="F22040" s="8">
        <v>1845</v>
      </c>
    </row>
    <row r="22041" spans="1:6" ht="12.75">
      <c r="A22041" s="8">
        <v>43894.49119212963</v>
      </c>
      <c r="B22041" s="8" t="str">
        <f>HYPERLINK("https://twitter.com/haro_arnold","@haro_arnold")</f>
        <v>@haro_arnold</v>
      </c>
      <c r="C22041" s="8" t="s">
        <v>8962</v>
      </c>
      <c r="D22041" s="8">
        <v>302</v>
      </c>
      <c r="E22041" s="8">
        <v>0</v>
      </c>
      <c r="F22041" s="8">
        <v>4722</v>
      </c>
    </row>
    <row r="22042" spans="1:6" ht="12.75">
      <c r="A22042" s="8">
        <v>43894.490925925929</v>
      </c>
      <c r="B22042" s="8" t="str">
        <f>HYPERLINK("https://twitter.com/Cherul16","@Cherul16")</f>
        <v>@Cherul16</v>
      </c>
      <c r="C22042" s="8" t="s">
        <v>8963</v>
      </c>
      <c r="D22042" s="8">
        <v>119</v>
      </c>
      <c r="E22042" s="8">
        <v>0</v>
      </c>
      <c r="F22042" s="8">
        <v>1717</v>
      </c>
    </row>
    <row r="22043" spans="1:6" ht="12.75">
      <c r="A22043" s="8">
        <v>43894.490624999999</v>
      </c>
      <c r="B22043" s="8" t="str">
        <f>HYPERLINK("https://twitter.com/hans_tbn","@hans_tbn")</f>
        <v>@hans_tbn</v>
      </c>
      <c r="C22043" s="8" t="s">
        <v>8230</v>
      </c>
      <c r="D22043" s="8">
        <v>35</v>
      </c>
      <c r="E22043" s="8">
        <v>0</v>
      </c>
      <c r="F22043" s="8">
        <v>442</v>
      </c>
    </row>
    <row r="22044" spans="1:6" ht="12.75">
      <c r="A22044" s="8">
        <v>43894.489699074074</v>
      </c>
      <c r="B22044" s="8" t="str">
        <f>HYPERLINK("https://twitter.com/lembaransemesta","@lembaransemesta")</f>
        <v>@lembaransemesta</v>
      </c>
      <c r="C22044" s="8" t="s">
        <v>8964</v>
      </c>
      <c r="D22044" s="8">
        <v>0</v>
      </c>
      <c r="E22044" s="8">
        <v>0</v>
      </c>
      <c r="F22044" s="8">
        <v>19</v>
      </c>
    </row>
    <row r="22045" spans="1:6" ht="12.75">
      <c r="A22045" s="8">
        <v>43894.489675925928</v>
      </c>
      <c r="B22045" s="8" t="str">
        <f>HYPERLINK("https://twitter.com/tempodotco","@tempodotco")</f>
        <v>@tempodotco</v>
      </c>
      <c r="C22045" s="8" t="s">
        <v>8965</v>
      </c>
      <c r="D22045" s="8">
        <v>0</v>
      </c>
      <c r="E22045" s="8">
        <v>1</v>
      </c>
      <c r="F22045" s="8">
        <v>1713544</v>
      </c>
    </row>
    <row r="22046" spans="1:6" ht="12.75">
      <c r="A22046" s="8">
        <v>43894.489594907413</v>
      </c>
      <c r="B22046" s="8" t="str">
        <f>HYPERLINK("https://twitter.com/terasid","@terasid")</f>
        <v>@terasid</v>
      </c>
      <c r="C22046" s="8" t="s">
        <v>4415</v>
      </c>
      <c r="D22046" s="8">
        <v>4</v>
      </c>
      <c r="E22046" s="8">
        <v>0</v>
      </c>
      <c r="F22046" s="8">
        <v>3144</v>
      </c>
    </row>
    <row r="22047" spans="1:6" ht="12.75">
      <c r="A22047" s="8">
        <v>43894.489583333328</v>
      </c>
      <c r="B22047" s="8" t="str">
        <f>HYPERLINK("https://twitter.com/SiJombloKreatif","@SiJombloKreatif")</f>
        <v>@SiJombloKreatif</v>
      </c>
      <c r="C22047" s="8" t="s">
        <v>8966</v>
      </c>
      <c r="D22047" s="8">
        <v>0</v>
      </c>
      <c r="E22047" s="8">
        <v>0</v>
      </c>
      <c r="F22047" s="8">
        <v>120913</v>
      </c>
    </row>
    <row r="22048" spans="1:6" ht="12.75">
      <c r="A22048" s="8">
        <v>43894.46497685185</v>
      </c>
      <c r="B22048" s="8" t="str">
        <f>HYPERLINK("https://twitter.com/SheGozam","@SheGozam")</f>
        <v>@SheGozam</v>
      </c>
      <c r="C22048" s="8" t="s">
        <v>8115</v>
      </c>
      <c r="D22048" s="8">
        <v>58</v>
      </c>
      <c r="E22048" s="8">
        <v>0</v>
      </c>
      <c r="F22048" s="8">
        <v>152</v>
      </c>
    </row>
    <row r="22049" spans="1:6" ht="12.75">
      <c r="A22049" s="8">
        <v>43894.464675925927</v>
      </c>
      <c r="B22049" s="8" t="str">
        <f>HYPERLINK("https://twitter.com/Krist888","@Krist888")</f>
        <v>@Krist888</v>
      </c>
      <c r="C22049" s="8" t="s">
        <v>8115</v>
      </c>
      <c r="D22049" s="8">
        <v>58</v>
      </c>
      <c r="E22049" s="8">
        <v>0</v>
      </c>
      <c r="F22049" s="8">
        <v>1115</v>
      </c>
    </row>
    <row r="22050" spans="1:6" ht="12.75">
      <c r="A22050" s="8">
        <v>43894.464606481481</v>
      </c>
      <c r="B22050" s="8" t="str">
        <f>HYPERLINK("https://twitter.com/KakekHalal","@KakekHalal")</f>
        <v>@KakekHalal</v>
      </c>
      <c r="C22050" s="8" t="s">
        <v>8230</v>
      </c>
      <c r="D22050" s="8">
        <v>27</v>
      </c>
      <c r="E22050" s="8">
        <v>0</v>
      </c>
      <c r="F22050" s="8">
        <v>23200</v>
      </c>
    </row>
    <row r="22051" spans="1:6" ht="12.75">
      <c r="A22051" s="8">
        <v>43894.464594907404</v>
      </c>
      <c r="B22051" s="8" t="str">
        <f>HYPERLINK("https://twitter.com/N7demus","@N7demus")</f>
        <v>@N7demus</v>
      </c>
      <c r="C22051" s="8" t="s">
        <v>8212</v>
      </c>
      <c r="D22051" s="8">
        <v>28</v>
      </c>
      <c r="E22051" s="8">
        <v>0</v>
      </c>
      <c r="F22051" s="8">
        <v>342</v>
      </c>
    </row>
    <row r="22052" spans="1:6" ht="12.75">
      <c r="A22052" s="8">
        <v>43894.464560185181</v>
      </c>
      <c r="B22052" s="8" t="str">
        <f>HYPERLINK("https://twitter.com/KakekHalal","@KakekHalal")</f>
        <v>@KakekHalal</v>
      </c>
      <c r="C22052" s="8" t="s">
        <v>8445</v>
      </c>
      <c r="D22052" s="8">
        <v>27</v>
      </c>
      <c r="E22052" s="8">
        <v>0</v>
      </c>
      <c r="F22052" s="8">
        <v>23200</v>
      </c>
    </row>
    <row r="22053" spans="1:6" ht="12.75">
      <c r="A22053" s="8">
        <v>43894.464548611111</v>
      </c>
      <c r="B22053" s="8" t="str">
        <f>HYPERLINK("https://twitter.com/Laxyyta","@Laxyyta")</f>
        <v>@Laxyyta</v>
      </c>
      <c r="C22053" s="8" t="s">
        <v>8115</v>
      </c>
      <c r="D22053" s="8">
        <v>58</v>
      </c>
      <c r="E22053" s="8">
        <v>0</v>
      </c>
      <c r="F22053" s="8">
        <v>140</v>
      </c>
    </row>
    <row r="22054" spans="1:6" ht="12.75">
      <c r="A22054" s="8">
        <v>43894.463761574079</v>
      </c>
      <c r="B22054" s="8" t="str">
        <f>HYPERLINK("https://twitter.com/hadiprayitno82","@hadiprayitno82")</f>
        <v>@hadiprayitno82</v>
      </c>
      <c r="C22054" s="8" t="s">
        <v>8967</v>
      </c>
      <c r="D22054" s="8">
        <v>0</v>
      </c>
      <c r="E22054" s="8">
        <v>0</v>
      </c>
      <c r="F22054" s="8">
        <v>1390</v>
      </c>
    </row>
    <row r="22055" spans="1:6" ht="12.75">
      <c r="A22055" s="8">
        <v>43894.463645833333</v>
      </c>
      <c r="B22055" s="8" t="str">
        <f>HYPERLINK("https://twitter.com/Alexthegreat881","@Alexthegreat881")</f>
        <v>@Alexthegreat881</v>
      </c>
      <c r="C22055" s="8" t="s">
        <v>6832</v>
      </c>
      <c r="D22055" s="8">
        <v>1056</v>
      </c>
      <c r="E22055" s="8">
        <v>0</v>
      </c>
      <c r="F22055" s="8">
        <v>27</v>
      </c>
    </row>
    <row r="22056" spans="1:6" ht="12.75">
      <c r="A22056" s="8">
        <v>43894.463425925926</v>
      </c>
      <c r="B22056" s="8" t="str">
        <f>HYPERLINK("https://twitter.com/fadhilciv","@fadhilciv")</f>
        <v>@fadhilciv</v>
      </c>
      <c r="C22056" s="8" t="s">
        <v>1970</v>
      </c>
      <c r="D22056" s="8">
        <v>1326</v>
      </c>
      <c r="E22056" s="8">
        <v>0</v>
      </c>
      <c r="F22056" s="8">
        <v>59</v>
      </c>
    </row>
    <row r="22057" spans="1:6" ht="12.75">
      <c r="A22057" s="8">
        <v>43894.463402777779</v>
      </c>
      <c r="B22057" s="8" t="str">
        <f>HYPERLINK("https://twitter.com/soloindonesia","@soloindonesia")</f>
        <v>@soloindonesia</v>
      </c>
      <c r="C22057" s="8" t="s">
        <v>8212</v>
      </c>
      <c r="D22057" s="8">
        <v>28</v>
      </c>
      <c r="E22057" s="8">
        <v>0</v>
      </c>
      <c r="F22057" s="8">
        <v>1374</v>
      </c>
    </row>
    <row r="22058" spans="1:6" ht="12.75">
      <c r="A22058" s="8">
        <v>43894.463356481487</v>
      </c>
      <c r="B22058" s="8" t="str">
        <f>HYPERLINK("https://twitter.com/DildoNgok","@DildoNgok")</f>
        <v>@DildoNgok</v>
      </c>
      <c r="C22058" s="8" t="s">
        <v>8115</v>
      </c>
      <c r="D22058" s="8">
        <v>58</v>
      </c>
      <c r="E22058" s="8">
        <v>0</v>
      </c>
      <c r="F22058" s="8">
        <v>111</v>
      </c>
    </row>
    <row r="22059" spans="1:6" ht="12.75">
      <c r="A22059" s="8">
        <v>43894.463240740741</v>
      </c>
      <c r="B22059" s="8" t="str">
        <f>HYPERLINK("https://twitter.com/ABaz_KAra","@ABaz_KAra")</f>
        <v>@ABaz_KAra</v>
      </c>
      <c r="C22059" s="8" t="s">
        <v>6630</v>
      </c>
      <c r="D22059" s="8">
        <v>6</v>
      </c>
      <c r="E22059" s="8">
        <v>0</v>
      </c>
      <c r="F22059" s="8">
        <v>428</v>
      </c>
    </row>
    <row r="22060" spans="1:6" ht="12.75">
      <c r="A22060" s="8">
        <v>43894.463159722218</v>
      </c>
      <c r="B22060" s="8" t="str">
        <f>HYPERLINK("https://twitter.com/d4znieBowwell","@d4znieBowwell")</f>
        <v>@d4znieBowwell</v>
      </c>
      <c r="C22060" s="8" t="s">
        <v>685</v>
      </c>
      <c r="D22060" s="8">
        <v>188</v>
      </c>
      <c r="E22060" s="8">
        <v>0</v>
      </c>
      <c r="F22060" s="8">
        <v>21</v>
      </c>
    </row>
    <row r="22061" spans="1:6" ht="12.75">
      <c r="A22061" s="8">
        <v>43894.463020833333</v>
      </c>
      <c r="B22061" s="8" t="str">
        <f>HYPERLINK("https://twitter.com/BenSumurungAma","@BenSumurungAma")</f>
        <v>@BenSumurungAma</v>
      </c>
      <c r="C22061" s="8" t="s">
        <v>6710</v>
      </c>
      <c r="D22061" s="8">
        <v>215</v>
      </c>
      <c r="E22061" s="8">
        <v>0</v>
      </c>
      <c r="F22061" s="8">
        <v>88</v>
      </c>
    </row>
    <row r="22062" spans="1:6" ht="12.75">
      <c r="A22062" s="8">
        <v>43894.462812500002</v>
      </c>
      <c r="B22062" s="8" t="str">
        <f>HYPERLINK("https://twitter.com/OeripKoe","@OeripKoe")</f>
        <v>@OeripKoe</v>
      </c>
      <c r="C22062" s="8" t="s">
        <v>8968</v>
      </c>
      <c r="D22062" s="8">
        <v>0</v>
      </c>
      <c r="E22062" s="8">
        <v>0</v>
      </c>
      <c r="F22062" s="8">
        <v>1586</v>
      </c>
    </row>
    <row r="22063" spans="1:6" ht="12.75">
      <c r="A22063" s="8">
        <v>43894.462187500001</v>
      </c>
      <c r="B22063" s="8" t="str">
        <f>HYPERLINK("https://twitter.com/svargadrinks","@svargadrinks")</f>
        <v>@svargadrinks</v>
      </c>
      <c r="C22063" s="8" t="s">
        <v>8493</v>
      </c>
      <c r="D22063" s="8">
        <v>3</v>
      </c>
      <c r="E22063" s="8">
        <v>0</v>
      </c>
      <c r="F22063" s="8">
        <v>30</v>
      </c>
    </row>
    <row r="22064" spans="1:6" ht="12.75">
      <c r="A22064" s="8">
        <v>43894.462187500001</v>
      </c>
      <c r="B22064" s="8" t="str">
        <f>HYPERLINK("https://twitter.com/imanhidayat1280","@imanhidayat1280")</f>
        <v>@imanhidayat1280</v>
      </c>
      <c r="C22064" s="8" t="s">
        <v>7845</v>
      </c>
      <c r="D22064" s="8">
        <v>7</v>
      </c>
      <c r="E22064" s="8">
        <v>0</v>
      </c>
      <c r="F22064" s="8">
        <v>638</v>
      </c>
    </row>
    <row r="22065" spans="1:6" ht="12.75">
      <c r="A22065" s="8">
        <v>43894.462106481486</v>
      </c>
      <c r="B22065" s="8" t="str">
        <f>HYPERLINK("https://twitter.com/ISIS_Balik_NO","@ISIS_Balik_NO")</f>
        <v>@ISIS_Balik_NO</v>
      </c>
      <c r="C22065" s="8" t="s">
        <v>8969</v>
      </c>
      <c r="D22065" s="8">
        <v>0</v>
      </c>
      <c r="E22065" s="8">
        <v>0</v>
      </c>
      <c r="F22065" s="8">
        <v>6104</v>
      </c>
    </row>
    <row r="22066" spans="1:6" ht="12.75">
      <c r="A22066" s="8">
        <v>43894.461863425924</v>
      </c>
      <c r="B22066" s="8" t="str">
        <f>HYPERLINK("https://twitter.com/svargadrinks","@svargadrinks")</f>
        <v>@svargadrinks</v>
      </c>
      <c r="C22066" s="8" t="s">
        <v>8760</v>
      </c>
      <c r="D22066" s="8">
        <v>3</v>
      </c>
      <c r="E22066" s="8">
        <v>0</v>
      </c>
      <c r="F22066" s="8">
        <v>30</v>
      </c>
    </row>
    <row r="22067" spans="1:6" ht="12.75">
      <c r="A22067" s="8">
        <v>43894.461817129632</v>
      </c>
      <c r="B22067" s="8" t="str">
        <f>HYPERLINK("https://twitter.com/furqon_mustanir","@furqon_mustanir")</f>
        <v>@furqon_mustanir</v>
      </c>
      <c r="C22067" s="8" t="s">
        <v>8970</v>
      </c>
      <c r="D22067" s="8">
        <v>138</v>
      </c>
      <c r="E22067" s="8">
        <v>0</v>
      </c>
      <c r="F22067" s="8">
        <v>164</v>
      </c>
    </row>
    <row r="22068" spans="1:6" ht="12.75">
      <c r="A22068" s="8">
        <v>43894.461689814816</v>
      </c>
      <c r="B22068" s="8" t="str">
        <f>HYPERLINK("https://twitter.com/gembira683101","@gembira683101")</f>
        <v>@gembira683101</v>
      </c>
      <c r="C22068" s="8" t="s">
        <v>8115</v>
      </c>
      <c r="D22068" s="8">
        <v>58</v>
      </c>
      <c r="E22068" s="8">
        <v>0</v>
      </c>
      <c r="F22068" s="8">
        <v>246</v>
      </c>
    </row>
    <row r="22069" spans="1:6" ht="12.75">
      <c r="A22069" s="8">
        <v>43894.461689814816</v>
      </c>
      <c r="B22069" s="8" t="str">
        <f>HYPERLINK("https://twitter.com/J_W_bott","@J_W_bott")</f>
        <v>@J_W_bott</v>
      </c>
      <c r="C22069" s="8" t="s">
        <v>8971</v>
      </c>
      <c r="D22069" s="8">
        <v>0</v>
      </c>
      <c r="E22069" s="8">
        <v>0</v>
      </c>
      <c r="F22069" s="8">
        <v>131</v>
      </c>
    </row>
    <row r="22070" spans="1:6" ht="12.75">
      <c r="A22070" s="8">
        <v>43894.46162037037</v>
      </c>
      <c r="B22070" s="8" t="str">
        <f>HYPERLINK("https://twitter.com/KartelEgo","@KartelEgo")</f>
        <v>@KartelEgo</v>
      </c>
      <c r="C22070" s="8" t="s">
        <v>8972</v>
      </c>
      <c r="D22070" s="8">
        <v>0</v>
      </c>
      <c r="E22070" s="8">
        <v>0</v>
      </c>
      <c r="F22070" s="8">
        <v>1963</v>
      </c>
    </row>
    <row r="22071" spans="1:6" ht="12.75">
      <c r="A22071" s="8">
        <v>43894.461527777778</v>
      </c>
      <c r="B22071" s="8" t="str">
        <f>HYPERLINK("https://twitter.com/ISIS_Balik_NO","@ISIS_Balik_NO")</f>
        <v>@ISIS_Balik_NO</v>
      </c>
      <c r="C22071" s="8" t="s">
        <v>8973</v>
      </c>
      <c r="D22071" s="8">
        <v>133</v>
      </c>
      <c r="E22071" s="8">
        <v>0</v>
      </c>
      <c r="F22071" s="8">
        <v>6104</v>
      </c>
    </row>
    <row r="22072" spans="1:6" ht="12.75">
      <c r="A22072" s="8">
        <v>43894.461446759262</v>
      </c>
      <c r="B22072" s="8" t="str">
        <f>HYPERLINK("https://twitter.com/wansenk_ajah","@wansenk_ajah")</f>
        <v>@wansenk_ajah</v>
      </c>
      <c r="C22072" s="8" t="s">
        <v>8194</v>
      </c>
      <c r="D22072" s="8">
        <v>35</v>
      </c>
      <c r="E22072" s="8">
        <v>0</v>
      </c>
      <c r="F22072" s="8">
        <v>5346</v>
      </c>
    </row>
    <row r="22073" spans="1:6" ht="12.75">
      <c r="A22073" s="8">
        <v>43894.461238425924</v>
      </c>
      <c r="B22073" s="8" t="str">
        <f>HYPERLINK("https://twitter.com/mangapmingkem","@mangapmingkem")</f>
        <v>@mangapmingkem</v>
      </c>
      <c r="C22073" s="8" t="s">
        <v>8115</v>
      </c>
      <c r="D22073" s="8">
        <v>58</v>
      </c>
      <c r="E22073" s="8">
        <v>0</v>
      </c>
      <c r="F22073" s="8">
        <v>127</v>
      </c>
    </row>
    <row r="22074" spans="1:6" ht="12.75">
      <c r="A22074" s="8">
        <v>43894.461099537039</v>
      </c>
      <c r="B22074" s="8" t="str">
        <f>HYPERLINK("https://twitter.com/dRockError","@dRockError")</f>
        <v>@dRockError</v>
      </c>
      <c r="C22074" s="8" t="s">
        <v>8115</v>
      </c>
      <c r="D22074" s="8">
        <v>58</v>
      </c>
      <c r="E22074" s="8">
        <v>0</v>
      </c>
      <c r="F22074" s="8">
        <v>4792</v>
      </c>
    </row>
    <row r="22075" spans="1:6" ht="12.75">
      <c r="A22075" s="8">
        <v>43894.4609375</v>
      </c>
      <c r="B22075" s="8" t="str">
        <f>HYPERLINK("https://twitter.com/ISIS_Balik_NO","@ISIS_Balik_NO")</f>
        <v>@ISIS_Balik_NO</v>
      </c>
      <c r="C22075" s="8" t="s">
        <v>8974</v>
      </c>
      <c r="D22075" s="8">
        <v>9</v>
      </c>
      <c r="E22075" s="8">
        <v>0</v>
      </c>
      <c r="F22075" s="8">
        <v>6104</v>
      </c>
    </row>
    <row r="22076" spans="1:6" ht="12.75">
      <c r="A22076" s="8">
        <v>43894.460891203707</v>
      </c>
      <c r="B22076" s="8" t="str">
        <f>HYPERLINK("https://twitter.com/MatahariiiPagi","@MatahariiiPagi")</f>
        <v>@MatahariiiPagi</v>
      </c>
      <c r="C22076" s="8" t="s">
        <v>8975</v>
      </c>
      <c r="D22076" s="8">
        <v>12</v>
      </c>
      <c r="E22076" s="8">
        <v>0</v>
      </c>
      <c r="F22076" s="8">
        <v>3</v>
      </c>
    </row>
    <row r="22077" spans="1:6" ht="12.75">
      <c r="A22077" s="8">
        <v>43894.460717592592</v>
      </c>
      <c r="B22077" s="8" t="str">
        <f>HYPERLINK("https://twitter.com/2103_R4CHM4","@2103_R4CHM4")</f>
        <v>@2103_R4CHM4</v>
      </c>
      <c r="C22077" s="8" t="s">
        <v>8970</v>
      </c>
      <c r="D22077" s="8">
        <v>138</v>
      </c>
      <c r="E22077" s="8">
        <v>0</v>
      </c>
      <c r="F22077" s="8">
        <v>2473</v>
      </c>
    </row>
    <row r="22078" spans="1:6" ht="12.75">
      <c r="A22078" s="8">
        <v>43894.4605787037</v>
      </c>
      <c r="B22078" s="8" t="str">
        <f>HYPERLINK("https://twitter.com/P3nj3l4j4h_id","@P3nj3l4j4h_id")</f>
        <v>@P3nj3l4j4h_id</v>
      </c>
      <c r="C22078" s="8" t="s">
        <v>8976</v>
      </c>
      <c r="D22078" s="8">
        <v>1</v>
      </c>
      <c r="E22078" s="8">
        <v>0</v>
      </c>
      <c r="F22078" s="8">
        <v>16370</v>
      </c>
    </row>
    <row r="22079" spans="1:6" ht="12.75">
      <c r="A22079" s="8">
        <v>43894.460462962961</v>
      </c>
      <c r="B22079" s="8" t="str">
        <f>HYPERLINK("https://twitter.com/ladypooon","@ladypooon")</f>
        <v>@ladypooon</v>
      </c>
      <c r="C22079" s="8" t="s">
        <v>8977</v>
      </c>
      <c r="D22079" s="8">
        <v>0</v>
      </c>
      <c r="E22079" s="8">
        <v>0</v>
      </c>
      <c r="F22079" s="8">
        <v>864</v>
      </c>
    </row>
    <row r="22080" spans="1:6" ht="12.75">
      <c r="A22080" s="8">
        <v>43894.460335648153</v>
      </c>
      <c r="B22080" s="8" t="str">
        <f>HYPERLINK("https://twitter.com/iNewsID","@iNewsID")</f>
        <v>@iNewsID</v>
      </c>
      <c r="C22080" s="8" t="s">
        <v>8978</v>
      </c>
      <c r="D22080" s="8">
        <v>0</v>
      </c>
      <c r="E22080" s="8">
        <v>0</v>
      </c>
      <c r="F22080" s="8">
        <v>1356</v>
      </c>
    </row>
    <row r="22081" spans="1:6" ht="12.75">
      <c r="A22081" s="8">
        <v>43894.460277777776</v>
      </c>
      <c r="B22081" s="8" t="str">
        <f>HYPERLINK("https://twitter.com/hadiprayitno82","@hadiprayitno82")</f>
        <v>@hadiprayitno82</v>
      </c>
      <c r="C22081" s="8" t="s">
        <v>8979</v>
      </c>
      <c r="D22081" s="8">
        <v>0</v>
      </c>
      <c r="E22081" s="8">
        <v>0</v>
      </c>
      <c r="F22081" s="8">
        <v>1390</v>
      </c>
    </row>
    <row r="22082" spans="1:6" ht="12.75">
      <c r="A22082" s="8">
        <v>43894.460104166668</v>
      </c>
      <c r="B22082" s="8" t="str">
        <f>HYPERLINK("https://twitter.com/reyzabrenda_","@reyzabrenda_")</f>
        <v>@reyzabrenda_</v>
      </c>
      <c r="C22082" s="8" t="s">
        <v>8138</v>
      </c>
      <c r="D22082" s="8">
        <v>33</v>
      </c>
      <c r="E22082" s="8">
        <v>0</v>
      </c>
      <c r="F22082" s="8">
        <v>485</v>
      </c>
    </row>
    <row r="22083" spans="1:6" ht="12.75">
      <c r="A22083" s="8">
        <v>43894.460057870368</v>
      </c>
      <c r="B22083" s="8" t="str">
        <f>HYPERLINK("https://twitter.com/robert868686","@robert868686")</f>
        <v>@robert868686</v>
      </c>
      <c r="C22083" s="8" t="s">
        <v>8980</v>
      </c>
      <c r="D22083" s="8">
        <v>0</v>
      </c>
      <c r="E22083" s="8">
        <v>0</v>
      </c>
      <c r="F22083" s="8">
        <v>254</v>
      </c>
    </row>
    <row r="22084" spans="1:6" ht="12.75">
      <c r="A22084" s="8">
        <v>43894.460011574076</v>
      </c>
      <c r="B22084" s="8" t="str">
        <f>HYPERLINK("https://twitter.com/BillTemporo","@BillTemporo")</f>
        <v>@BillTemporo</v>
      </c>
      <c r="C22084" s="8" t="s">
        <v>384</v>
      </c>
      <c r="D22084" s="8">
        <v>0</v>
      </c>
      <c r="E22084" s="8">
        <v>0</v>
      </c>
      <c r="F22084" s="8">
        <v>11</v>
      </c>
    </row>
    <row r="22085" spans="1:6" ht="12.75">
      <c r="A22085" s="8">
        <v>43894.459965277776</v>
      </c>
      <c r="B22085" s="8" t="str">
        <f>HYPERLINK("https://twitter.com/tempodotco","@tempodotco")</f>
        <v>@tempodotco</v>
      </c>
      <c r="C22085" s="8" t="s">
        <v>8981</v>
      </c>
      <c r="D22085" s="8">
        <v>1</v>
      </c>
      <c r="E22085" s="8">
        <v>1</v>
      </c>
      <c r="F22085" s="8">
        <v>1713540</v>
      </c>
    </row>
    <row r="22086" spans="1:6" ht="12.75">
      <c r="A22086" s="8">
        <v>43894.459687499999</v>
      </c>
      <c r="B22086" s="8" t="str">
        <f>HYPERLINK("https://twitter.com/Murdo1","@Murdo1")</f>
        <v>@Murdo1</v>
      </c>
      <c r="C22086" s="8" t="s">
        <v>8982</v>
      </c>
      <c r="D22086" s="8">
        <v>0</v>
      </c>
      <c r="E22086" s="8">
        <v>0</v>
      </c>
      <c r="F22086" s="8">
        <v>0</v>
      </c>
    </row>
    <row r="22087" spans="1:6" ht="12.75">
      <c r="A22087" s="8">
        <v>43894.459606481483</v>
      </c>
      <c r="B22087" s="8" t="str">
        <f>HYPERLINK("https://twitter.com/Fannytjio1","@Fannytjio1")</f>
        <v>@Fannytjio1</v>
      </c>
      <c r="C22087" s="8" t="s">
        <v>8212</v>
      </c>
      <c r="D22087" s="8">
        <v>28</v>
      </c>
      <c r="E22087" s="8">
        <v>0</v>
      </c>
      <c r="F22087" s="8">
        <v>41</v>
      </c>
    </row>
    <row r="22088" spans="1:6" ht="12.75">
      <c r="A22088" s="8">
        <v>43894.459467592591</v>
      </c>
      <c r="B22088" s="8" t="str">
        <f>HYPERLINK("https://twitter.com/Aiek_Channel__","@Aiek_Channel__")</f>
        <v>@Aiek_Channel__</v>
      </c>
      <c r="C22088" s="8" t="s">
        <v>8970</v>
      </c>
      <c r="D22088" s="8">
        <v>138</v>
      </c>
      <c r="E22088" s="8">
        <v>0</v>
      </c>
      <c r="F22088" s="8">
        <v>8961</v>
      </c>
    </row>
    <row r="22089" spans="1:6" ht="12.75">
      <c r="A22089" s="8">
        <v>43894.459421296298</v>
      </c>
      <c r="B22089" s="8" t="str">
        <f>HYPERLINK("https://twitter.com/adiasik2007","@adiasik2007")</f>
        <v>@adiasik2007</v>
      </c>
      <c r="C22089" s="8" t="s">
        <v>7244</v>
      </c>
      <c r="D22089" s="8">
        <v>3</v>
      </c>
      <c r="E22089" s="8">
        <v>0</v>
      </c>
      <c r="F22089" s="8">
        <v>631</v>
      </c>
    </row>
    <row r="22090" spans="1:6" ht="12.75">
      <c r="A22090" s="8">
        <v>43894.459363425922</v>
      </c>
      <c r="B22090" s="8" t="str">
        <f>HYPERLINK("https://twitter.com/aiukikk","@aiukikk")</f>
        <v>@aiukikk</v>
      </c>
      <c r="C22090" s="8" t="s">
        <v>8138</v>
      </c>
      <c r="D22090" s="8">
        <v>33</v>
      </c>
      <c r="E22090" s="8">
        <v>0</v>
      </c>
      <c r="F22090" s="8">
        <v>157</v>
      </c>
    </row>
    <row r="22091" spans="1:6" ht="12.75">
      <c r="A22091" s="8">
        <v>43894.459328703699</v>
      </c>
      <c r="B22091" s="8" t="str">
        <f>HYPERLINK("https://twitter.com/maulatv","@maulatv")</f>
        <v>@maulatv</v>
      </c>
      <c r="C22091" s="8" t="s">
        <v>8983</v>
      </c>
      <c r="D22091" s="8">
        <v>0</v>
      </c>
      <c r="E22091" s="8">
        <v>0</v>
      </c>
      <c r="F22091" s="8">
        <v>1522</v>
      </c>
    </row>
    <row r="22092" spans="1:6" ht="12.75">
      <c r="A22092" s="8">
        <v>43894.459317129629</v>
      </c>
      <c r="B22092" s="8" t="str">
        <f>HYPERLINK("https://twitter.com/Zackf77156873","@Zackf77156873")</f>
        <v>@Zackf77156873</v>
      </c>
      <c r="C22092" s="8" t="s">
        <v>8984</v>
      </c>
      <c r="D22092" s="8">
        <v>1</v>
      </c>
      <c r="E22092" s="8">
        <v>1</v>
      </c>
      <c r="F22092" s="8">
        <v>233</v>
      </c>
    </row>
    <row r="22093" spans="1:6" ht="12.75">
      <c r="A22093" s="8">
        <v>43894.459293981483</v>
      </c>
      <c r="B22093" s="8" t="str">
        <f>HYPERLINK("https://twitter.com/ryolandafit","@ryolandafit")</f>
        <v>@ryolandafit</v>
      </c>
      <c r="C22093" s="8" t="s">
        <v>8985</v>
      </c>
      <c r="D22093" s="8">
        <v>1</v>
      </c>
      <c r="E22093" s="8">
        <v>0</v>
      </c>
      <c r="F22093" s="8">
        <v>653</v>
      </c>
    </row>
    <row r="22094" spans="1:6" ht="12.75">
      <c r="A22094" s="8">
        <v>43894.459282407406</v>
      </c>
      <c r="B22094" s="8" t="str">
        <f>HYPERLINK("https://twitter.com/t0pijerami","@t0pijerami")</f>
        <v>@t0pijerami</v>
      </c>
      <c r="C22094" s="8" t="s">
        <v>8212</v>
      </c>
      <c r="D22094" s="8">
        <v>28</v>
      </c>
      <c r="E22094" s="8">
        <v>0</v>
      </c>
      <c r="F22094" s="8">
        <v>284</v>
      </c>
    </row>
    <row r="22095" spans="1:6" ht="12.75">
      <c r="A22095" s="8">
        <v>43894.459004629629</v>
      </c>
      <c r="B22095" s="8" t="str">
        <f>HYPERLINK("https://twitter.com/BR3K3L3_NY454R","@BR3K3L3_NY454R")</f>
        <v>@BR3K3L3_NY454R</v>
      </c>
      <c r="C22095" s="8" t="s">
        <v>7845</v>
      </c>
      <c r="D22095" s="8">
        <v>7</v>
      </c>
      <c r="E22095" s="8">
        <v>0</v>
      </c>
      <c r="F22095" s="8">
        <v>1166</v>
      </c>
    </row>
    <row r="22096" spans="1:6" ht="12.75">
      <c r="A22096" s="8">
        <v>43894.458969907406</v>
      </c>
      <c r="B22096" s="8" t="str">
        <f>HYPERLINK("https://twitter.com/fandytahir","@fandytahir")</f>
        <v>@fandytahir</v>
      </c>
      <c r="C22096" s="8" t="s">
        <v>8138</v>
      </c>
      <c r="D22096" s="8">
        <v>33</v>
      </c>
      <c r="E22096" s="8">
        <v>0</v>
      </c>
      <c r="F22096" s="8">
        <v>412</v>
      </c>
    </row>
    <row r="22097" spans="1:6" ht="12.75">
      <c r="A22097" s="8">
        <v>43894.458900462967</v>
      </c>
      <c r="B22097" s="8" t="str">
        <f>HYPERLINK("https://twitter.com/Metro_TV","@Metro_TV")</f>
        <v>@Metro_TV</v>
      </c>
      <c r="C22097" s="8" t="s">
        <v>8986</v>
      </c>
      <c r="D22097" s="8">
        <v>1</v>
      </c>
      <c r="E22097" s="8">
        <v>2</v>
      </c>
      <c r="F22097" s="8">
        <v>10516782</v>
      </c>
    </row>
    <row r="22098" spans="1:6" ht="12.75">
      <c r="A22098" s="8">
        <v>43894.458784722221</v>
      </c>
      <c r="B22098" s="8" t="str">
        <f>HYPERLINK("https://twitter.com/GajahNata","@GajahNata")</f>
        <v>@GajahNata</v>
      </c>
      <c r="C22098" s="8" t="s">
        <v>8901</v>
      </c>
      <c r="D22098" s="8">
        <v>238</v>
      </c>
      <c r="E22098" s="8">
        <v>0</v>
      </c>
      <c r="F22098" s="8">
        <v>1234</v>
      </c>
    </row>
    <row r="22099" spans="1:6" ht="12.75">
      <c r="A22099" s="8">
        <v>43894.458171296297</v>
      </c>
      <c r="B22099" s="8" t="str">
        <f>HYPERLINK("https://twitter.com/soniqodri","@soniqodri")</f>
        <v>@soniqodri</v>
      </c>
      <c r="C22099" s="8" t="s">
        <v>8987</v>
      </c>
      <c r="D22099" s="8">
        <v>0</v>
      </c>
      <c r="E22099" s="8">
        <v>1</v>
      </c>
      <c r="F22099" s="8">
        <v>8</v>
      </c>
    </row>
    <row r="22100" spans="1:6" ht="12.75">
      <c r="A22100" s="8">
        <v>43894.458009259259</v>
      </c>
      <c r="B22100" s="8" t="str">
        <f>HYPERLINK("https://twitter.com/AriePutraWijay1","@AriePutraWijay1")</f>
        <v>@AriePutraWijay1</v>
      </c>
      <c r="C22100" s="8" t="s">
        <v>7845</v>
      </c>
      <c r="D22100" s="8">
        <v>7</v>
      </c>
      <c r="E22100" s="8">
        <v>0</v>
      </c>
      <c r="F22100" s="8">
        <v>203</v>
      </c>
    </row>
    <row r="22101" spans="1:6" ht="12.75">
      <c r="A22101" s="8">
        <v>43894.458009259259</v>
      </c>
      <c r="B22101" s="8" t="str">
        <f>HYPERLINK("https://twitter.com/Hanifah933","@Hanifah933")</f>
        <v>@Hanifah933</v>
      </c>
      <c r="C22101" s="8" t="s">
        <v>8194</v>
      </c>
      <c r="D22101" s="8">
        <v>35</v>
      </c>
      <c r="E22101" s="8">
        <v>0</v>
      </c>
      <c r="F22101" s="8">
        <v>7159</v>
      </c>
    </row>
    <row r="22102" spans="1:6" ht="12.75">
      <c r="A22102" s="8">
        <v>43894.457881944443</v>
      </c>
      <c r="B22102" s="8" t="str">
        <f>HYPERLINK("https://twitter.com/heniunique","@heniunique")</f>
        <v>@heniunique</v>
      </c>
      <c r="C22102" s="8" t="s">
        <v>7845</v>
      </c>
      <c r="D22102" s="8">
        <v>7</v>
      </c>
      <c r="E22102" s="8">
        <v>0</v>
      </c>
      <c r="F22102" s="8">
        <v>9975</v>
      </c>
    </row>
    <row r="22103" spans="1:6" ht="12.75">
      <c r="A22103" s="8">
        <v>43894.457824074074</v>
      </c>
      <c r="B22103" s="8" t="str">
        <f>HYPERLINK("https://twitter.com/MONARDO35038544","@MONARDO35038544")</f>
        <v>@MONARDO35038544</v>
      </c>
      <c r="C22103" s="8" t="s">
        <v>8988</v>
      </c>
      <c r="D22103" s="8">
        <v>0</v>
      </c>
      <c r="E22103" s="8">
        <v>0</v>
      </c>
      <c r="F22103" s="8">
        <v>65</v>
      </c>
    </row>
    <row r="22104" spans="1:6" ht="12.75">
      <c r="A22104" s="8">
        <v>43894.457719907412</v>
      </c>
      <c r="B22104" s="8" t="str">
        <f>HYPERLINK("https://twitter.com/Hanifah933","@Hanifah933")</f>
        <v>@Hanifah933</v>
      </c>
      <c r="C22104" s="8" t="s">
        <v>8115</v>
      </c>
      <c r="D22104" s="8">
        <v>58</v>
      </c>
      <c r="E22104" s="8">
        <v>0</v>
      </c>
      <c r="F22104" s="8">
        <v>7159</v>
      </c>
    </row>
    <row r="22105" spans="1:6" ht="12.75">
      <c r="A22105" s="8">
        <v>43894.457500000004</v>
      </c>
      <c r="B22105" s="8" t="str">
        <f>HYPERLINK("https://twitter.com/Wahyu05806471","@Wahyu05806471")</f>
        <v>@Wahyu05806471</v>
      </c>
      <c r="C22105" s="8" t="s">
        <v>7845</v>
      </c>
      <c r="D22105" s="8">
        <v>7</v>
      </c>
      <c r="E22105" s="8">
        <v>0</v>
      </c>
      <c r="F22105" s="8">
        <v>854</v>
      </c>
    </row>
    <row r="22106" spans="1:6" ht="12.75">
      <c r="A22106" s="8">
        <v>43894.457384259258</v>
      </c>
      <c r="B22106" s="8" t="str">
        <f>HYPERLINK("https://twitter.com/marisadatra","@marisadatra")</f>
        <v>@marisadatra</v>
      </c>
      <c r="C22106" s="8" t="s">
        <v>7845</v>
      </c>
      <c r="D22106" s="8">
        <v>7</v>
      </c>
      <c r="E22106" s="8">
        <v>0</v>
      </c>
      <c r="F22106" s="8">
        <v>1856</v>
      </c>
    </row>
    <row r="22107" spans="1:6" ht="12.75">
      <c r="A22107" s="8">
        <v>43894.457349537042</v>
      </c>
      <c r="B22107" s="8" t="str">
        <f>HYPERLINK("https://twitter.com/praba_acep","@praba_acep")</f>
        <v>@praba_acep</v>
      </c>
      <c r="C22107" s="8" t="s">
        <v>8194</v>
      </c>
      <c r="D22107" s="8">
        <v>35</v>
      </c>
      <c r="E22107" s="8">
        <v>0</v>
      </c>
      <c r="F22107" s="8">
        <v>91</v>
      </c>
    </row>
    <row r="22108" spans="1:6" ht="12.75">
      <c r="A22108" s="8">
        <v>43894.457291666666</v>
      </c>
      <c r="B22108" s="8" t="str">
        <f>HYPERLINK("https://twitter.com/Wahyu05806471","@Wahyu05806471")</f>
        <v>@Wahyu05806471</v>
      </c>
      <c r="C22108" s="8" t="s">
        <v>8989</v>
      </c>
      <c r="D22108" s="8">
        <v>1</v>
      </c>
      <c r="E22108" s="8">
        <v>0</v>
      </c>
      <c r="F22108" s="8">
        <v>854</v>
      </c>
    </row>
    <row r="22109" spans="1:6" ht="12.75">
      <c r="A22109" s="8">
        <v>43894.457233796296</v>
      </c>
      <c r="B22109" s="8" t="str">
        <f>HYPERLINK("https://twitter.com/HusRip","@HusRip")</f>
        <v>@HusRip</v>
      </c>
      <c r="C22109" s="8" t="s">
        <v>8990</v>
      </c>
      <c r="D22109" s="8">
        <v>0</v>
      </c>
      <c r="E22109" s="8">
        <v>0</v>
      </c>
      <c r="F22109" s="8">
        <v>0</v>
      </c>
    </row>
    <row r="22110" spans="1:6" ht="12.75">
      <c r="A22110" s="8">
        <v>43894.457199074073</v>
      </c>
      <c r="B22110" s="8" t="str">
        <f>HYPERLINK("https://twitter.com/Wahyu05806471","@Wahyu05806471")</f>
        <v>@Wahyu05806471</v>
      </c>
      <c r="C22110" s="8" t="s">
        <v>8813</v>
      </c>
      <c r="D22110" s="8">
        <v>2</v>
      </c>
      <c r="E22110" s="8">
        <v>0</v>
      </c>
      <c r="F22110" s="8">
        <v>854</v>
      </c>
    </row>
    <row r="22111" spans="1:6" ht="12.75">
      <c r="A22111" s="8">
        <v>43894.457106481481</v>
      </c>
      <c r="B22111" s="8" t="str">
        <f>HYPERLINK("https://twitter.com/praba_acep","@praba_acep")</f>
        <v>@praba_acep</v>
      </c>
      <c r="C22111" s="8" t="s">
        <v>685</v>
      </c>
      <c r="D22111" s="8">
        <v>188</v>
      </c>
      <c r="E22111" s="8">
        <v>0</v>
      </c>
      <c r="F22111" s="8">
        <v>91</v>
      </c>
    </row>
    <row r="22112" spans="1:6" ht="12.75">
      <c r="A22112" s="8">
        <v>43894.457083333335</v>
      </c>
      <c r="B22112" s="8" t="str">
        <f>HYPERLINK("https://twitter.com/RichelleEdita","@RichelleEdita")</f>
        <v>@RichelleEdita</v>
      </c>
      <c r="C22112" s="8" t="s">
        <v>8991</v>
      </c>
      <c r="D22112" s="8">
        <v>6</v>
      </c>
      <c r="E22112" s="8">
        <v>0</v>
      </c>
      <c r="F22112" s="8">
        <v>845</v>
      </c>
    </row>
    <row r="22113" spans="1:6" ht="12.75">
      <c r="A22113" s="8">
        <v>43894.457037037035</v>
      </c>
      <c r="B22113" s="8" t="str">
        <f>HYPERLINK("https://twitter.com/lia_aja","@lia_aja")</f>
        <v>@lia_aja</v>
      </c>
      <c r="C22113" s="8" t="s">
        <v>8212</v>
      </c>
      <c r="D22113" s="8">
        <v>28</v>
      </c>
      <c r="E22113" s="8">
        <v>0</v>
      </c>
      <c r="F22113" s="8">
        <v>113</v>
      </c>
    </row>
    <row r="22114" spans="1:6" ht="12.75">
      <c r="A22114" s="8">
        <v>43894.456979166665</v>
      </c>
      <c r="B22114" s="8" t="str">
        <f>HYPERLINK("https://twitter.com/arena51","@arena51")</f>
        <v>@arena51</v>
      </c>
      <c r="C22114" s="8" t="s">
        <v>8901</v>
      </c>
      <c r="D22114" s="8">
        <v>238</v>
      </c>
      <c r="E22114" s="8">
        <v>0</v>
      </c>
      <c r="F22114" s="8">
        <v>1816</v>
      </c>
    </row>
    <row r="22115" spans="1:6" ht="12.75">
      <c r="A22115" s="8">
        <v>43894.456886574073</v>
      </c>
      <c r="B22115" s="8" t="str">
        <f>HYPERLINK("https://twitter.com/dodo_ardanu","@dodo_ardanu")</f>
        <v>@dodo_ardanu</v>
      </c>
      <c r="C22115" s="8" t="s">
        <v>8212</v>
      </c>
      <c r="D22115" s="8">
        <v>28</v>
      </c>
      <c r="E22115" s="8">
        <v>0</v>
      </c>
      <c r="F22115" s="8">
        <v>294</v>
      </c>
    </row>
    <row r="22116" spans="1:6" ht="12.75">
      <c r="A22116" s="8">
        <v>43894.45685185185</v>
      </c>
      <c r="B22116" s="8" t="str">
        <f>HYPERLINK("https://twitter.com/BaBa9212","@BaBa9212")</f>
        <v>@BaBa9212</v>
      </c>
      <c r="C22116" s="8" t="s">
        <v>8992</v>
      </c>
      <c r="D22116" s="8">
        <v>0</v>
      </c>
      <c r="E22116" s="8">
        <v>0</v>
      </c>
      <c r="F22116" s="8">
        <v>2</v>
      </c>
    </row>
    <row r="22117" spans="1:6" ht="12.75">
      <c r="A22117" s="8">
        <v>43894.456782407404</v>
      </c>
      <c r="B22117" s="8" t="str">
        <f>HYPERLINK("https://twitter.com/SupraptoSupra16","@SupraptoSupra16")</f>
        <v>@SupraptoSupra16</v>
      </c>
      <c r="C22117" s="8" t="s">
        <v>1970</v>
      </c>
      <c r="D22117" s="8">
        <v>1326</v>
      </c>
      <c r="E22117" s="8">
        <v>0</v>
      </c>
      <c r="F22117" s="8">
        <v>34</v>
      </c>
    </row>
    <row r="22118" spans="1:6" ht="12.75">
      <c r="A22118" s="8">
        <v>43894.456770833334</v>
      </c>
      <c r="B22118" s="8" t="str">
        <f>HYPERLINK("https://twitter.com/santa_ricci","@santa_ricci")</f>
        <v>@santa_ricci</v>
      </c>
      <c r="C22118" s="8" t="s">
        <v>8212</v>
      </c>
      <c r="D22118" s="8">
        <v>28</v>
      </c>
      <c r="E22118" s="8">
        <v>0</v>
      </c>
      <c r="F22118" s="8">
        <v>72</v>
      </c>
    </row>
    <row r="22119" spans="1:6" ht="12.75">
      <c r="A22119" s="8">
        <v>43894.456631944442</v>
      </c>
      <c r="B22119" s="8" t="str">
        <f>HYPERLINK("https://twitter.com/P3nj3l4j4h_id","@P3nj3l4j4h_id")</f>
        <v>@P3nj3l4j4h_id</v>
      </c>
      <c r="C22119" s="8" t="s">
        <v>8993</v>
      </c>
      <c r="D22119" s="8">
        <v>7</v>
      </c>
      <c r="E22119" s="8">
        <v>21</v>
      </c>
      <c r="F22119" s="8">
        <v>16370</v>
      </c>
    </row>
    <row r="22120" spans="1:6" ht="12.75">
      <c r="A22120" s="8">
        <v>43894.456400462965</v>
      </c>
      <c r="B22120" s="8" t="str">
        <f>HYPERLINK("https://twitter.com/s0pcekeR","@s0pcekeR")</f>
        <v>@s0pcekeR</v>
      </c>
      <c r="C22120" s="8" t="s">
        <v>8212</v>
      </c>
      <c r="D22120" s="8">
        <v>28</v>
      </c>
      <c r="E22120" s="8">
        <v>0</v>
      </c>
      <c r="F22120" s="8">
        <v>226</v>
      </c>
    </row>
    <row r="22121" spans="1:6" ht="12.75">
      <c r="A22121" s="8">
        <v>43894.456342592588</v>
      </c>
      <c r="B22121" s="8" t="str">
        <f>HYPERLINK("https://twitter.com/ElshintaBandung","@ElshintaBandung")</f>
        <v>@ElshintaBandung</v>
      </c>
      <c r="C22121" s="8" t="s">
        <v>8994</v>
      </c>
      <c r="D22121" s="8">
        <v>0</v>
      </c>
      <c r="E22121" s="8">
        <v>0</v>
      </c>
      <c r="F22121" s="8">
        <v>10518</v>
      </c>
    </row>
    <row r="22122" spans="1:6" ht="12.75">
      <c r="A22122" s="8">
        <v>43894.456307870365</v>
      </c>
      <c r="B22122" s="8" t="str">
        <f>HYPERLINK("https://twitter.com/YolaEL_MINORI","@YolaEL_MINORI")</f>
        <v>@YolaEL_MINORI</v>
      </c>
      <c r="C22122" s="8" t="s">
        <v>7796</v>
      </c>
      <c r="D22122" s="8">
        <v>51</v>
      </c>
      <c r="E22122" s="8">
        <v>0</v>
      </c>
      <c r="F22122" s="8">
        <v>60</v>
      </c>
    </row>
    <row r="22123" spans="1:6" ht="12.75">
      <c r="A22123" s="8">
        <v>43894.456180555557</v>
      </c>
      <c r="B22123" s="8" t="str">
        <f>HYPERLINK("https://twitter.com/DiantyYasmin3","@DiantyYasmin3")</f>
        <v>@DiantyYasmin3</v>
      </c>
      <c r="C22123" s="8" t="s">
        <v>7796</v>
      </c>
      <c r="D22123" s="8">
        <v>51</v>
      </c>
      <c r="E22123" s="8">
        <v>0</v>
      </c>
      <c r="F22123" s="8">
        <v>10126</v>
      </c>
    </row>
    <row r="22124" spans="1:6" ht="12.75">
      <c r="A22124" s="8">
        <v>43894.456157407403</v>
      </c>
      <c r="B22124" s="8" t="str">
        <f>HYPERLINK("https://twitter.com/s0pcekeR","@s0pcekeR")</f>
        <v>@s0pcekeR</v>
      </c>
      <c r="C22124" s="8" t="s">
        <v>6710</v>
      </c>
      <c r="D22124" s="8">
        <v>215</v>
      </c>
      <c r="E22124" s="8">
        <v>0</v>
      </c>
      <c r="F22124" s="8">
        <v>226</v>
      </c>
    </row>
    <row r="22125" spans="1:6" ht="12.75">
      <c r="A22125" s="8">
        <v>43894.456145833334</v>
      </c>
      <c r="B22125" s="8" t="str">
        <f>HYPERLINK("https://twitter.com/JaneMicheel","@JaneMicheel")</f>
        <v>@JaneMicheel</v>
      </c>
      <c r="C22125" s="8" t="s">
        <v>6710</v>
      </c>
      <c r="D22125" s="8">
        <v>215</v>
      </c>
      <c r="E22125" s="8">
        <v>0</v>
      </c>
      <c r="F22125" s="8">
        <v>64</v>
      </c>
    </row>
    <row r="22126" spans="1:6" ht="12.75">
      <c r="A22126" s="8">
        <v>43894.456099537041</v>
      </c>
      <c r="B22126" s="8" t="str">
        <f>HYPERLINK("https://twitter.com/Murdo1","@Murdo1")</f>
        <v>@Murdo1</v>
      </c>
      <c r="C22126" s="8" t="s">
        <v>8995</v>
      </c>
      <c r="D22126" s="8">
        <v>0</v>
      </c>
      <c r="E22126" s="8">
        <v>0</v>
      </c>
      <c r="F22126" s="8">
        <v>0</v>
      </c>
    </row>
    <row r="22127" spans="1:6" ht="12.75">
      <c r="A22127" s="8">
        <v>43894.456041666665</v>
      </c>
      <c r="B22127" s="8" t="str">
        <f>HYPERLINK("https://twitter.com/cintada17","@cintada17")</f>
        <v>@cintada17</v>
      </c>
      <c r="C22127" s="8" t="s">
        <v>7796</v>
      </c>
      <c r="D22127" s="8">
        <v>51</v>
      </c>
      <c r="E22127" s="8">
        <v>0</v>
      </c>
      <c r="F22127" s="8">
        <v>7957</v>
      </c>
    </row>
    <row r="22128" spans="1:6" ht="12.75">
      <c r="A22128" s="8">
        <v>43894.455949074079</v>
      </c>
      <c r="B22128" s="8" t="str">
        <f>HYPERLINK("https://twitter.com/RichelleEdita","@RichelleEdita")</f>
        <v>@RichelleEdita</v>
      </c>
      <c r="C22128" s="8" t="s">
        <v>7796</v>
      </c>
      <c r="D22128" s="8">
        <v>51</v>
      </c>
      <c r="E22128" s="8">
        <v>0</v>
      </c>
      <c r="F22128" s="8">
        <v>845</v>
      </c>
    </row>
    <row r="22129" spans="1:6" ht="12.75">
      <c r="A22129" s="8">
        <v>43894.455914351856</v>
      </c>
      <c r="B22129" s="8" t="str">
        <f>HYPERLINK("https://twitter.com/RangCebol","@RangCebol")</f>
        <v>@RangCebol</v>
      </c>
      <c r="C22129" s="8" t="s">
        <v>6710</v>
      </c>
      <c r="D22129" s="8">
        <v>215</v>
      </c>
      <c r="E22129" s="8">
        <v>0</v>
      </c>
      <c r="F22129" s="8">
        <v>20</v>
      </c>
    </row>
    <row r="22130" spans="1:6" ht="12.75">
      <c r="A22130" s="8">
        <v>43894.455763888887</v>
      </c>
      <c r="B22130" s="8" t="str">
        <f>HYPERLINK("https://twitter.com/isis_luvbangtan","@isis_luvbangtan")</f>
        <v>@isis_luvbangtan</v>
      </c>
      <c r="C22130" s="8" t="s">
        <v>8996</v>
      </c>
      <c r="D22130" s="8">
        <v>329</v>
      </c>
      <c r="E22130" s="8">
        <v>0</v>
      </c>
      <c r="F22130" s="8">
        <v>2082</v>
      </c>
    </row>
    <row r="22131" spans="1:6" ht="12.75">
      <c r="A22131" s="8">
        <v>43894.455451388887</v>
      </c>
      <c r="B22131" s="8" t="str">
        <f>HYPERLINK("https://twitter.com/SandiKumara","@SandiKumara")</f>
        <v>@SandiKumara</v>
      </c>
      <c r="C22131" s="8" t="s">
        <v>8212</v>
      </c>
      <c r="D22131" s="8">
        <v>28</v>
      </c>
      <c r="E22131" s="8">
        <v>0</v>
      </c>
      <c r="F22131" s="8">
        <v>642</v>
      </c>
    </row>
    <row r="22132" spans="1:6" ht="12.75">
      <c r="A22132" s="8">
        <v>43894.455451388887</v>
      </c>
      <c r="B22132" s="8" t="str">
        <f>HYPERLINK("https://twitter.com/BambangTenan","@BambangTenan")</f>
        <v>@BambangTenan</v>
      </c>
      <c r="C22132" s="8" t="s">
        <v>8997</v>
      </c>
      <c r="D22132" s="8">
        <v>0</v>
      </c>
      <c r="E22132" s="8">
        <v>0</v>
      </c>
      <c r="F22132" s="8">
        <v>1036</v>
      </c>
    </row>
    <row r="22133" spans="1:6" ht="12.75">
      <c r="A22133" s="8">
        <v>43894.45517361111</v>
      </c>
      <c r="B22133" s="8" t="str">
        <f>HYPERLINK("https://twitter.com/agierrard","@agierrard")</f>
        <v>@agierrard</v>
      </c>
      <c r="C22133" s="8" t="s">
        <v>6710</v>
      </c>
      <c r="D22133" s="8">
        <v>215</v>
      </c>
      <c r="E22133" s="8">
        <v>0</v>
      </c>
      <c r="F22133" s="8">
        <v>135</v>
      </c>
    </row>
    <row r="22134" spans="1:6" ht="12.75">
      <c r="A22134" s="8">
        <v>43894.455057870371</v>
      </c>
      <c r="B22134" s="8" t="str">
        <f>HYPERLINK("https://twitter.com/jusstme4u","@jusstme4u")</f>
        <v>@jusstme4u</v>
      </c>
      <c r="C22134" s="8" t="s">
        <v>4978</v>
      </c>
      <c r="D22134" s="8">
        <v>0</v>
      </c>
      <c r="E22134" s="8">
        <v>0</v>
      </c>
      <c r="F22134" s="8">
        <v>75778</v>
      </c>
    </row>
    <row r="22135" spans="1:6" ht="12.75">
      <c r="A22135" s="8">
        <v>43894.455011574071</v>
      </c>
      <c r="B22135" s="8" t="str">
        <f>HYPERLINK("https://twitter.com/avia_noer","@avia_noer")</f>
        <v>@avia_noer</v>
      </c>
      <c r="C22135" s="8" t="s">
        <v>8115</v>
      </c>
      <c r="D22135" s="8">
        <v>58</v>
      </c>
      <c r="E22135" s="8">
        <v>0</v>
      </c>
      <c r="F22135" s="8">
        <v>577</v>
      </c>
    </row>
    <row r="22136" spans="1:6" ht="12.75">
      <c r="A22136" s="8">
        <v>43894.455011574071</v>
      </c>
      <c r="B22136" s="8" t="str">
        <f>HYPERLINK("https://twitter.com/Jackson_Martua","@Jackson_Martua")</f>
        <v>@Jackson_Martua</v>
      </c>
      <c r="C22136" s="8" t="s">
        <v>8212</v>
      </c>
      <c r="D22136" s="8">
        <v>28</v>
      </c>
      <c r="E22136" s="8">
        <v>0</v>
      </c>
      <c r="F22136" s="8">
        <v>1435</v>
      </c>
    </row>
    <row r="22137" spans="1:6" ht="12.75">
      <c r="A22137" s="8">
        <v>43894.455000000002</v>
      </c>
      <c r="B22137" s="8" t="str">
        <f>HYPERLINK("https://twitter.com/Pakdedy2","@Pakdedy2")</f>
        <v>@Pakdedy2</v>
      </c>
      <c r="C22137" s="8" t="s">
        <v>8194</v>
      </c>
      <c r="D22137" s="8">
        <v>35</v>
      </c>
      <c r="E22137" s="8">
        <v>0</v>
      </c>
      <c r="F22137" s="8">
        <v>275</v>
      </c>
    </row>
    <row r="22138" spans="1:6" ht="12.75">
      <c r="A22138" s="8">
        <v>43894.454872685186</v>
      </c>
      <c r="B22138" s="8" t="str">
        <f>HYPERLINK("https://twitter.com/dionMomongan","@dionMomongan")</f>
        <v>@dionMomongan</v>
      </c>
      <c r="C22138" s="8" t="s">
        <v>8115</v>
      </c>
      <c r="D22138" s="8">
        <v>58</v>
      </c>
      <c r="E22138" s="8">
        <v>0</v>
      </c>
      <c r="F22138" s="8">
        <v>5085</v>
      </c>
    </row>
    <row r="22139" spans="1:6" ht="12.75">
      <c r="A22139" s="8">
        <v>43894.454710648148</v>
      </c>
      <c r="B22139" s="8" t="str">
        <f>HYPERLINK("https://twitter.com/cowbeauu","@cowbeauu")</f>
        <v>@cowbeauu</v>
      </c>
      <c r="C22139" s="8" t="s">
        <v>6710</v>
      </c>
      <c r="D22139" s="8">
        <v>215</v>
      </c>
      <c r="E22139" s="8">
        <v>0</v>
      </c>
      <c r="F22139" s="8">
        <v>4</v>
      </c>
    </row>
    <row r="22140" spans="1:6" ht="12.75">
      <c r="A22140" s="8">
        <v>43894.454687500001</v>
      </c>
      <c r="B22140" s="8" t="str">
        <f>HYPERLINK("https://twitter.com/medcom_id","@medcom_id")</f>
        <v>@medcom_id</v>
      </c>
      <c r="C22140" s="8" t="s">
        <v>8998</v>
      </c>
      <c r="D22140" s="8">
        <v>0</v>
      </c>
      <c r="E22140" s="8">
        <v>0</v>
      </c>
      <c r="F22140" s="8">
        <v>18469</v>
      </c>
    </row>
    <row r="22141" spans="1:6" ht="12.75">
      <c r="A22141" s="8">
        <v>43894.454548611116</v>
      </c>
      <c r="B22141" s="8" t="str">
        <f>HYPERLINK("https://twitter.com/jusstme4u","@jusstme4u")</f>
        <v>@jusstme4u</v>
      </c>
      <c r="C22141" s="8" t="s">
        <v>8999</v>
      </c>
      <c r="D22141" s="8">
        <v>1</v>
      </c>
      <c r="E22141" s="8">
        <v>0</v>
      </c>
      <c r="F22141" s="8">
        <v>75778</v>
      </c>
    </row>
    <row r="22142" spans="1:6" ht="12.75">
      <c r="A22142" s="8">
        <v>43894.454421296294</v>
      </c>
      <c r="B22142" s="8" t="str">
        <f>HYPERLINK("https://twitter.com/Dearmine13","@Dearmine13")</f>
        <v>@Dearmine13</v>
      </c>
      <c r="C22142" s="8" t="s">
        <v>9000</v>
      </c>
      <c r="D22142" s="8">
        <v>0</v>
      </c>
      <c r="E22142" s="8">
        <v>0</v>
      </c>
      <c r="F22142" s="8">
        <v>209</v>
      </c>
    </row>
    <row r="22143" spans="1:6" ht="12.75">
      <c r="A22143" s="8">
        <v>43894.454409722224</v>
      </c>
      <c r="B22143" s="8" t="str">
        <f>HYPERLINK("https://twitter.com/stressmetal","@stressmetal")</f>
        <v>@stressmetal</v>
      </c>
      <c r="C22143" s="8" t="s">
        <v>9001</v>
      </c>
      <c r="D22143" s="8">
        <v>9</v>
      </c>
      <c r="E22143" s="8">
        <v>0</v>
      </c>
      <c r="F22143" s="8">
        <v>973</v>
      </c>
    </row>
    <row r="22144" spans="1:6" ht="12.75">
      <c r="A22144" s="8">
        <v>43894.454282407409</v>
      </c>
      <c r="B22144" s="8" t="str">
        <f>HYPERLINK("https://twitter.com/Bigbacot","@Bigbacot")</f>
        <v>@Bigbacot</v>
      </c>
      <c r="C22144" s="8" t="s">
        <v>8212</v>
      </c>
      <c r="D22144" s="8">
        <v>28</v>
      </c>
      <c r="E22144" s="8">
        <v>0</v>
      </c>
      <c r="F22144" s="8">
        <v>378</v>
      </c>
    </row>
    <row r="22145" spans="1:6" ht="12.75">
      <c r="A22145" s="8">
        <v>43894.454270833332</v>
      </c>
      <c r="B22145" s="8" t="str">
        <f>HYPERLINK("https://twitter.com/Nusantara_TV","@Nusantara_TV")</f>
        <v>@Nusantara_TV</v>
      </c>
      <c r="C22145" s="8" t="s">
        <v>9002</v>
      </c>
      <c r="D22145" s="8">
        <v>0</v>
      </c>
      <c r="E22145" s="8">
        <v>0</v>
      </c>
      <c r="F22145" s="8">
        <v>499</v>
      </c>
    </row>
    <row r="22146" spans="1:6" ht="12.75">
      <c r="A22146" s="8">
        <v>43894.454247685186</v>
      </c>
      <c r="B22146" s="8" t="str">
        <f>HYPERLINK("https://twitter.com/Andiliutakwho","@Andiliutakwho")</f>
        <v>@Andiliutakwho</v>
      </c>
      <c r="C22146" s="8" t="s">
        <v>9003</v>
      </c>
      <c r="D22146" s="8">
        <v>0</v>
      </c>
      <c r="E22146" s="8">
        <v>0</v>
      </c>
      <c r="F22146" s="8">
        <v>1</v>
      </c>
    </row>
    <row r="22147" spans="1:6" ht="12.75">
      <c r="A22147" s="8">
        <v>43894.454050925924</v>
      </c>
      <c r="B22147" s="8" t="str">
        <f>HYPERLINK("https://twitter.com/Erick_Lubis","@Erick_Lubis")</f>
        <v>@Erick_Lubis</v>
      </c>
      <c r="C22147" s="8" t="s">
        <v>8194</v>
      </c>
      <c r="D22147" s="8">
        <v>35</v>
      </c>
      <c r="E22147" s="8">
        <v>0</v>
      </c>
      <c r="F22147" s="8">
        <v>106</v>
      </c>
    </row>
    <row r="22148" spans="1:6" ht="12.75">
      <c r="A22148" s="8">
        <v>43894.423460648148</v>
      </c>
      <c r="B22148" s="8" t="str">
        <f>HYPERLINK("https://twitter.com/DenmasBedj0","@DenmasBedj0")</f>
        <v>@DenmasBedj0</v>
      </c>
      <c r="C22148" s="8" t="s">
        <v>6710</v>
      </c>
      <c r="D22148" s="8">
        <v>175</v>
      </c>
      <c r="E22148" s="8">
        <v>0</v>
      </c>
      <c r="F22148" s="8">
        <v>1880</v>
      </c>
    </row>
    <row r="22149" spans="1:6" ht="12.75">
      <c r="A22149" s="8">
        <v>43894.423206018517</v>
      </c>
      <c r="B22149" s="8" t="str">
        <f>HYPERLINK("https://twitter.com/sirizka","@sirizka")</f>
        <v>@sirizka</v>
      </c>
      <c r="C22149" s="8" t="s">
        <v>9004</v>
      </c>
      <c r="D22149" s="8">
        <v>0</v>
      </c>
      <c r="E22149" s="8">
        <v>0</v>
      </c>
      <c r="F22149" s="8">
        <v>664</v>
      </c>
    </row>
    <row r="22150" spans="1:6" ht="12.75">
      <c r="A22150" s="8">
        <v>43894.423078703709</v>
      </c>
      <c r="B22150" s="8" t="str">
        <f>HYPERLINK("https://twitter.com/FakeSufianAbas","@FakeSufianAbas")</f>
        <v>@FakeSufianAbas</v>
      </c>
      <c r="C22150" s="8" t="s">
        <v>9005</v>
      </c>
      <c r="D22150" s="8">
        <v>0</v>
      </c>
      <c r="E22150" s="8">
        <v>0</v>
      </c>
      <c r="F22150" s="8">
        <v>3471</v>
      </c>
    </row>
    <row r="22151" spans="1:6" ht="12.75">
      <c r="A22151" s="8">
        <v>43894.423055555555</v>
      </c>
      <c r="B22151" s="8" t="str">
        <f>HYPERLINK("https://twitter.com/Susanto13895819","@Susanto13895819")</f>
        <v>@Susanto13895819</v>
      </c>
      <c r="C22151" s="8" t="s">
        <v>9006</v>
      </c>
      <c r="D22151" s="8">
        <v>2</v>
      </c>
      <c r="E22151" s="8">
        <v>0</v>
      </c>
      <c r="F22151" s="8">
        <v>588</v>
      </c>
    </row>
    <row r="22152" spans="1:6" ht="12.75">
      <c r="A22152" s="8">
        <v>43894.423009259262</v>
      </c>
      <c r="B22152" s="8" t="str">
        <f>HYPERLINK("https://twitter.com/sururirifai","@sururirifai")</f>
        <v>@sururirifai</v>
      </c>
      <c r="C22152" s="8" t="s">
        <v>7604</v>
      </c>
      <c r="D22152" s="8">
        <v>20</v>
      </c>
      <c r="E22152" s="8">
        <v>0</v>
      </c>
      <c r="F22152" s="8">
        <v>140</v>
      </c>
    </row>
    <row r="22153" spans="1:6" ht="12.75">
      <c r="A22153" s="8">
        <v>43894.422974537039</v>
      </c>
      <c r="B22153" s="8" t="str">
        <f>HYPERLINK("https://twitter.com/Dewie34292319","@Dewie34292319")</f>
        <v>@Dewie34292319</v>
      </c>
      <c r="C22153" s="8" t="s">
        <v>8337</v>
      </c>
      <c r="D22153" s="8">
        <v>9</v>
      </c>
      <c r="E22153" s="8">
        <v>0</v>
      </c>
      <c r="F22153" s="8">
        <v>1815</v>
      </c>
    </row>
    <row r="22154" spans="1:6" ht="12.75">
      <c r="A22154" s="8">
        <v>43894.42292824074</v>
      </c>
      <c r="B22154" s="8" t="str">
        <f>HYPERLINK("https://twitter.com/ISIS_Balik_NO","@ISIS_Balik_NO")</f>
        <v>@ISIS_Balik_NO</v>
      </c>
      <c r="C22154" s="8" t="s">
        <v>9007</v>
      </c>
      <c r="D22154" s="8">
        <v>0</v>
      </c>
      <c r="E22154" s="8">
        <v>0</v>
      </c>
      <c r="F22154" s="8">
        <v>6102</v>
      </c>
    </row>
    <row r="22155" spans="1:6" ht="12.75">
      <c r="A22155" s="8">
        <v>43894.422847222224</v>
      </c>
      <c r="B22155" s="8" t="str">
        <f>HYPERLINK("https://twitter.com/_wni_","@_wni_")</f>
        <v>@_wni_</v>
      </c>
      <c r="C22155" s="8" t="s">
        <v>9008</v>
      </c>
      <c r="D22155" s="8">
        <v>12517</v>
      </c>
      <c r="E22155" s="8">
        <v>0</v>
      </c>
      <c r="F22155" s="8">
        <v>14</v>
      </c>
    </row>
    <row r="22156" spans="1:6" ht="12.75">
      <c r="A22156" s="8">
        <v>43894.422708333332</v>
      </c>
      <c r="B22156" s="8" t="str">
        <f>HYPERLINK("https://twitter.com/Sagemuly","@Sagemuly")</f>
        <v>@Sagemuly</v>
      </c>
      <c r="C22156" s="8" t="s">
        <v>9009</v>
      </c>
      <c r="D22156" s="8">
        <v>0</v>
      </c>
      <c r="E22156" s="8">
        <v>0</v>
      </c>
      <c r="F22156" s="8">
        <v>89</v>
      </c>
    </row>
    <row r="22157" spans="1:6" ht="12.75">
      <c r="A22157" s="8">
        <v>43894.422465277778</v>
      </c>
      <c r="B22157" s="8" t="str">
        <f>HYPERLINK("https://twitter.com/ISIS_Balik_NO","@ISIS_Balik_NO")</f>
        <v>@ISIS_Balik_NO</v>
      </c>
      <c r="C22157" s="8" t="s">
        <v>9010</v>
      </c>
      <c r="D22157" s="8">
        <v>0</v>
      </c>
      <c r="E22157" s="8">
        <v>0</v>
      </c>
      <c r="F22157" s="8">
        <v>6102</v>
      </c>
    </row>
    <row r="22158" spans="1:6" ht="12.75">
      <c r="A22158" s="8">
        <v>43894.422349537039</v>
      </c>
      <c r="B22158" s="8" t="str">
        <f>HYPERLINK("https://twitter.com/_wni_","@_wni_")</f>
        <v>@_wni_</v>
      </c>
      <c r="C22158" s="8" t="s">
        <v>5752</v>
      </c>
      <c r="D22158" s="8">
        <v>3999</v>
      </c>
      <c r="E22158" s="8">
        <v>0</v>
      </c>
      <c r="F22158" s="8">
        <v>14</v>
      </c>
    </row>
    <row r="22159" spans="1:6" ht="12.75">
      <c r="A22159" s="8">
        <v>43894.421921296293</v>
      </c>
      <c r="B22159" s="8" t="str">
        <f>HYPERLINK("https://twitter.com/sofyannew1","@sofyannew1")</f>
        <v>@sofyannew1</v>
      </c>
      <c r="C22159" s="8" t="s">
        <v>9011</v>
      </c>
      <c r="D22159" s="8">
        <v>1</v>
      </c>
      <c r="E22159" s="8">
        <v>0</v>
      </c>
      <c r="F22159" s="8">
        <v>240</v>
      </c>
    </row>
    <row r="22160" spans="1:6" ht="12.75">
      <c r="A22160" s="8">
        <v>43894.421782407408</v>
      </c>
      <c r="B22160" s="8" t="str">
        <f>HYPERLINK("https://twitter.com/marinir_tni_al","@marinir_tni_al")</f>
        <v>@marinir_tni_al</v>
      </c>
      <c r="C22160" s="8" t="s">
        <v>9012</v>
      </c>
      <c r="D22160" s="8">
        <v>0</v>
      </c>
      <c r="E22160" s="8">
        <v>1</v>
      </c>
      <c r="F22160" s="8">
        <v>534</v>
      </c>
    </row>
    <row r="22161" spans="1:6" ht="12.75">
      <c r="A22161" s="8">
        <v>43894.4216087963</v>
      </c>
      <c r="B22161" s="8" t="str">
        <f>HYPERLINK("https://twitter.com/erniS1909","@erniS1909")</f>
        <v>@erniS1909</v>
      </c>
      <c r="C22161" s="8" t="s">
        <v>8230</v>
      </c>
      <c r="D22161" s="8">
        <v>16</v>
      </c>
      <c r="E22161" s="8">
        <v>0</v>
      </c>
      <c r="F22161" s="8">
        <v>493</v>
      </c>
    </row>
    <row r="22162" spans="1:6" ht="12.75">
      <c r="A22162" s="8">
        <v>43894.421597222223</v>
      </c>
      <c r="B22162" s="8" t="str">
        <f>HYPERLINK("https://twitter.com/ISIS_Balik_NO","@ISIS_Balik_NO")</f>
        <v>@ISIS_Balik_NO</v>
      </c>
      <c r="C22162" s="8" t="s">
        <v>9013</v>
      </c>
      <c r="D22162" s="8">
        <v>305</v>
      </c>
      <c r="E22162" s="8">
        <v>0</v>
      </c>
      <c r="F22162" s="8">
        <v>6102</v>
      </c>
    </row>
    <row r="22163" spans="1:6" ht="12.75">
      <c r="A22163" s="8">
        <v>43894.421527777777</v>
      </c>
      <c r="B22163" s="8" t="str">
        <f>HYPERLINK("https://twitter.com/dompetdhuafaorg","@dompetdhuafaorg")</f>
        <v>@dompetdhuafaorg</v>
      </c>
      <c r="C22163" s="8" t="s">
        <v>9014</v>
      </c>
      <c r="D22163" s="8">
        <v>0</v>
      </c>
      <c r="E22163" s="8">
        <v>1</v>
      </c>
      <c r="F22163" s="8">
        <v>200406</v>
      </c>
    </row>
    <row r="22164" spans="1:6" ht="12.75">
      <c r="A22164" s="8">
        <v>43894.421377314815</v>
      </c>
      <c r="B22164" s="8" t="str">
        <f>HYPERLINK("https://twitter.com/dianlatri","@dianlatri")</f>
        <v>@dianlatri</v>
      </c>
      <c r="C22164" s="8" t="s">
        <v>1427</v>
      </c>
      <c r="D22164" s="8">
        <v>1020</v>
      </c>
      <c r="E22164" s="8">
        <v>0</v>
      </c>
      <c r="F22164" s="8">
        <v>460</v>
      </c>
    </row>
    <row r="22165" spans="1:6" ht="12.75">
      <c r="A22165" s="8">
        <v>43894.421087962968</v>
      </c>
      <c r="B22165" s="8" t="str">
        <f>HYPERLINK("https://twitter.com/qporajow","@qporajow")</f>
        <v>@qporajow</v>
      </c>
      <c r="C22165" s="8" t="s">
        <v>6710</v>
      </c>
      <c r="D22165" s="8">
        <v>175</v>
      </c>
      <c r="E22165" s="8">
        <v>0</v>
      </c>
      <c r="F22165" s="8">
        <v>37</v>
      </c>
    </row>
    <row r="22166" spans="1:6" ht="12.75">
      <c r="A22166" s="8">
        <v>43894.421053240745</v>
      </c>
      <c r="B22166" s="8" t="str">
        <f>HYPERLINK("https://twitter.com/r_suryatoga","@r_suryatoga")</f>
        <v>@r_suryatoga</v>
      </c>
      <c r="C22166" s="8" t="s">
        <v>9015</v>
      </c>
      <c r="D22166" s="8">
        <v>0</v>
      </c>
      <c r="E22166" s="8">
        <v>0</v>
      </c>
      <c r="F22166" s="8">
        <v>1178</v>
      </c>
    </row>
    <row r="22167" spans="1:6" ht="12.75">
      <c r="A22167" s="8">
        <v>43894.421030092592</v>
      </c>
      <c r="B22167" s="8" t="str">
        <f>HYPERLINK("https://twitter.com/Juni0r______305","@Juni0r______305")</f>
        <v>@Juni0r______305</v>
      </c>
      <c r="C22167" s="8" t="s">
        <v>8879</v>
      </c>
      <c r="D22167" s="8">
        <v>7</v>
      </c>
      <c r="E22167" s="8">
        <v>0</v>
      </c>
      <c r="F22167" s="8">
        <v>451</v>
      </c>
    </row>
    <row r="22168" spans="1:6" ht="12.75">
      <c r="A22168" s="8">
        <v>43894.420972222222</v>
      </c>
      <c r="B22168" s="8" t="str">
        <f>HYPERLINK("https://twitter.com/ArsatBachir","@ArsatBachir")</f>
        <v>@ArsatBachir</v>
      </c>
      <c r="C22168" s="8" t="s">
        <v>6710</v>
      </c>
      <c r="D22168" s="8">
        <v>175</v>
      </c>
      <c r="E22168" s="8">
        <v>0</v>
      </c>
      <c r="F22168" s="8">
        <v>241</v>
      </c>
    </row>
    <row r="22169" spans="1:6" ht="12.75">
      <c r="A22169" s="8">
        <v>43894.420960648145</v>
      </c>
      <c r="B22169" s="8" t="str">
        <f>HYPERLINK("https://twitter.com/pakbowie","@pakbowie")</f>
        <v>@pakbowie</v>
      </c>
      <c r="C22169" s="8" t="s">
        <v>6710</v>
      </c>
      <c r="D22169" s="8">
        <v>175</v>
      </c>
      <c r="E22169" s="8">
        <v>0</v>
      </c>
      <c r="F22169" s="8">
        <v>49</v>
      </c>
    </row>
    <row r="22170" spans="1:6" ht="12.75">
      <c r="A22170" s="8">
        <v>43894.420810185184</v>
      </c>
      <c r="B22170" s="8" t="str">
        <f>HYPERLINK("https://twitter.com/PJustitia7","@PJustitia7")</f>
        <v>@PJustitia7</v>
      </c>
      <c r="C22170" s="8" t="s">
        <v>9016</v>
      </c>
      <c r="D22170" s="8">
        <v>0</v>
      </c>
      <c r="E22170" s="8">
        <v>1</v>
      </c>
      <c r="F22170" s="8">
        <v>783</v>
      </c>
    </row>
    <row r="22171" spans="1:6" ht="12.75">
      <c r="A22171" s="8">
        <v>43894.420543981483</v>
      </c>
      <c r="B22171" s="8" t="str">
        <f>HYPERLINK("https://twitter.com/911comand","@911comand")</f>
        <v>@911comand</v>
      </c>
      <c r="C22171" s="8" t="s">
        <v>9017</v>
      </c>
      <c r="D22171" s="8">
        <v>0</v>
      </c>
      <c r="E22171" s="8">
        <v>0</v>
      </c>
      <c r="F22171" s="8">
        <v>2041</v>
      </c>
    </row>
    <row r="22172" spans="1:6" ht="12.75">
      <c r="A22172" s="8">
        <v>43894.420428240745</v>
      </c>
      <c r="B22172" s="8" t="str">
        <f>HYPERLINK("https://twitter.com/SupraptoSupra16","@SupraptoSupra16")</f>
        <v>@SupraptoSupra16</v>
      </c>
      <c r="C22172" s="8" t="s">
        <v>7597</v>
      </c>
      <c r="D22172" s="8">
        <v>736</v>
      </c>
      <c r="E22172" s="8">
        <v>0</v>
      </c>
      <c r="F22172" s="8">
        <v>34</v>
      </c>
    </row>
    <row r="22173" spans="1:6" ht="12.75">
      <c r="A22173" s="8">
        <v>43894.420335648145</v>
      </c>
      <c r="B22173" s="8" t="str">
        <f t="shared" ref="B22173:B22174" si="323">HYPERLINK("https://twitter.com/BagrenD","@BagrenD")</f>
        <v>@BagrenD</v>
      </c>
      <c r="C22173" s="8" t="s">
        <v>9018</v>
      </c>
      <c r="D22173" s="8">
        <v>1</v>
      </c>
      <c r="E22173" s="8">
        <v>0</v>
      </c>
      <c r="F22173" s="8">
        <v>3</v>
      </c>
    </row>
    <row r="22174" spans="1:6" ht="12.75">
      <c r="A22174" s="8">
        <v>43894.42015046296</v>
      </c>
      <c r="B22174" s="8" t="str">
        <f t="shared" si="323"/>
        <v>@BagrenD</v>
      </c>
      <c r="C22174" s="8" t="s">
        <v>9019</v>
      </c>
      <c r="D22174" s="8">
        <v>4</v>
      </c>
      <c r="E22174" s="8">
        <v>0</v>
      </c>
      <c r="F22174" s="8">
        <v>3</v>
      </c>
    </row>
    <row r="22175" spans="1:6" ht="12.75">
      <c r="A22175" s="8">
        <v>43894.419861111106</v>
      </c>
      <c r="B22175" s="8" t="str">
        <f>HYPERLINK("https://twitter.com/utarigustav","@utarigustav")</f>
        <v>@utarigustav</v>
      </c>
      <c r="C22175" s="8" t="s">
        <v>9020</v>
      </c>
      <c r="D22175" s="8">
        <v>16</v>
      </c>
      <c r="E22175" s="8">
        <v>0</v>
      </c>
      <c r="F22175" s="8">
        <v>13</v>
      </c>
    </row>
    <row r="22176" spans="1:6" ht="12.75">
      <c r="A22176" s="8">
        <v>43894.41982638889</v>
      </c>
      <c r="B22176" s="8" t="str">
        <f>HYPERLINK("https://twitter.com/asiapasific15","@asiapasific15")</f>
        <v>@asiapasific15</v>
      </c>
      <c r="C22176" s="8" t="s">
        <v>9021</v>
      </c>
      <c r="D22176" s="8">
        <v>0</v>
      </c>
      <c r="E22176" s="8">
        <v>0</v>
      </c>
      <c r="F22176" s="8">
        <v>1509</v>
      </c>
    </row>
    <row r="22177" spans="1:6" ht="12.75">
      <c r="A22177" s="8">
        <v>43894.419710648144</v>
      </c>
      <c r="B22177" s="8" t="str">
        <f>HYPERLINK("https://twitter.com/utarigustav","@utarigustav")</f>
        <v>@utarigustav</v>
      </c>
      <c r="C22177" s="8" t="s">
        <v>9020</v>
      </c>
      <c r="D22177" s="8">
        <v>13</v>
      </c>
      <c r="E22177" s="8">
        <v>0</v>
      </c>
      <c r="F22177" s="8">
        <v>13</v>
      </c>
    </row>
    <row r="22178" spans="1:6" ht="12.75">
      <c r="A22178" s="8">
        <v>43894.419594907406</v>
      </c>
      <c r="B22178" s="8" t="str">
        <f>HYPERLINK("https://twitter.com/Juni0r______305","@Juni0r______305")</f>
        <v>@Juni0r______305</v>
      </c>
      <c r="C22178" s="8" t="s">
        <v>8323</v>
      </c>
      <c r="D22178" s="8">
        <v>8</v>
      </c>
      <c r="E22178" s="8">
        <v>0</v>
      </c>
      <c r="F22178" s="8">
        <v>451</v>
      </c>
    </row>
    <row r="22179" spans="1:6" ht="12.75">
      <c r="A22179" s="8">
        <v>43894.419583333336</v>
      </c>
      <c r="B22179" s="8" t="str">
        <f>HYPERLINK("https://twitter.com/Kaleng_Kurma","@Kaleng_Kurma")</f>
        <v>@Kaleng_Kurma</v>
      </c>
      <c r="C22179" s="8" t="s">
        <v>1986</v>
      </c>
      <c r="D22179" s="8">
        <v>849</v>
      </c>
      <c r="E22179" s="8">
        <v>0</v>
      </c>
      <c r="F22179" s="8">
        <v>224</v>
      </c>
    </row>
    <row r="22180" spans="1:6" ht="12.75">
      <c r="A22180" s="8">
        <v>43894.419537037036</v>
      </c>
      <c r="B22180" s="8" t="str">
        <f>HYPERLINK("https://twitter.com/utarigustav","@utarigustav")</f>
        <v>@utarigustav</v>
      </c>
      <c r="C22180" s="8" t="s">
        <v>9020</v>
      </c>
      <c r="D22180" s="8">
        <v>14</v>
      </c>
      <c r="E22180" s="8">
        <v>0</v>
      </c>
      <c r="F22180" s="8">
        <v>13</v>
      </c>
    </row>
    <row r="22181" spans="1:6" ht="12.75">
      <c r="A22181" s="8">
        <v>43894.419537037036</v>
      </c>
      <c r="B22181" s="8" t="str">
        <f>HYPERLINK("https://twitter.com/JamanKegelapan","@JamanKegelapan")</f>
        <v>@JamanKegelapan</v>
      </c>
      <c r="C22181" s="8" t="s">
        <v>8975</v>
      </c>
      <c r="D22181" s="8">
        <v>9</v>
      </c>
      <c r="E22181" s="8">
        <v>0</v>
      </c>
      <c r="F22181" s="8">
        <v>32</v>
      </c>
    </row>
    <row r="22182" spans="1:6" ht="12.75">
      <c r="A22182" s="8">
        <v>43894.41951388889</v>
      </c>
      <c r="B22182" s="8" t="str">
        <f>HYPERLINK("https://twitter.com/sopian333351","@sopian333351")</f>
        <v>@sopian333351</v>
      </c>
      <c r="C22182" s="8" t="s">
        <v>6710</v>
      </c>
      <c r="D22182" s="8">
        <v>175</v>
      </c>
      <c r="E22182" s="8">
        <v>0</v>
      </c>
      <c r="F22182" s="8">
        <v>1147</v>
      </c>
    </row>
    <row r="22183" spans="1:6" ht="12.75">
      <c r="A22183" s="8">
        <v>43894.41951388889</v>
      </c>
      <c r="B22183" s="8" t="str">
        <f>HYPERLINK("https://twitter.com/doyokijay","@doyokijay")</f>
        <v>@doyokijay</v>
      </c>
      <c r="C22183" s="8" t="s">
        <v>8445</v>
      </c>
      <c r="D22183" s="8">
        <v>22</v>
      </c>
      <c r="E22183" s="8">
        <v>0</v>
      </c>
      <c r="F22183" s="8">
        <v>319</v>
      </c>
    </row>
    <row r="22184" spans="1:6" ht="12.75">
      <c r="A22184" s="8">
        <v>43894.419444444444</v>
      </c>
      <c r="B22184" s="8" t="str">
        <f>HYPERLINK("https://twitter.com/dompetdhuafaorg","@dompetdhuafaorg")</f>
        <v>@dompetdhuafaorg</v>
      </c>
      <c r="C22184" s="8" t="s">
        <v>9022</v>
      </c>
      <c r="D22184" s="8">
        <v>0</v>
      </c>
      <c r="E22184" s="8">
        <v>0</v>
      </c>
      <c r="F22184" s="8">
        <v>200406</v>
      </c>
    </row>
    <row r="22185" spans="1:6" ht="12.75">
      <c r="A22185" s="8">
        <v>43894.419386574074</v>
      </c>
      <c r="B22185" s="8" t="str">
        <f>HYPERLINK("https://twitter.com/utarigustav","@utarigustav")</f>
        <v>@utarigustav</v>
      </c>
      <c r="C22185" s="8" t="s">
        <v>9020</v>
      </c>
      <c r="D22185" s="8">
        <v>14</v>
      </c>
      <c r="E22185" s="8">
        <v>0</v>
      </c>
      <c r="F22185" s="8">
        <v>13</v>
      </c>
    </row>
    <row r="22186" spans="1:6" ht="12.75">
      <c r="A22186" s="8">
        <v>43894.419131944444</v>
      </c>
      <c r="B22186" s="8" t="str">
        <f>HYPERLINK("https://twitter.com/Budihar21525608","@Budihar21525608")</f>
        <v>@Budihar21525608</v>
      </c>
      <c r="C22186" s="8" t="s">
        <v>9023</v>
      </c>
      <c r="D22186" s="8">
        <v>7</v>
      </c>
      <c r="E22186" s="8">
        <v>0</v>
      </c>
      <c r="F22186" s="8">
        <v>6283</v>
      </c>
    </row>
    <row r="22187" spans="1:6" ht="12.75">
      <c r="A22187" s="8">
        <v>43894.418657407412</v>
      </c>
      <c r="B22187" s="8" t="str">
        <f>HYPERLINK("https://twitter.com/Markombur1","@Markombur1")</f>
        <v>@Markombur1</v>
      </c>
      <c r="C22187" s="8" t="s">
        <v>6710</v>
      </c>
      <c r="D22187" s="8">
        <v>175</v>
      </c>
      <c r="E22187" s="8">
        <v>0</v>
      </c>
      <c r="F22187" s="8">
        <v>34</v>
      </c>
    </row>
    <row r="22188" spans="1:6" ht="12.75">
      <c r="A22188" s="8">
        <v>43894.418599537035</v>
      </c>
      <c r="B22188" s="8" t="str">
        <f>HYPERLINK("https://twitter.com/ruz_muhammad_","@ruz_muhammad_")</f>
        <v>@ruz_muhammad_</v>
      </c>
      <c r="C22188" s="8" t="s">
        <v>9024</v>
      </c>
      <c r="D22188" s="8">
        <v>0</v>
      </c>
      <c r="E22188" s="8">
        <v>0</v>
      </c>
      <c r="F22188" s="8">
        <v>3</v>
      </c>
    </row>
    <row r="22189" spans="1:6" ht="12.75">
      <c r="A22189" s="8">
        <v>43894.418310185181</v>
      </c>
      <c r="B22189" s="8" t="str">
        <f>HYPERLINK("https://twitter.com/yesgrangertop","@yesgrangertop")</f>
        <v>@yesgrangertop</v>
      </c>
      <c r="C22189" s="8" t="s">
        <v>9025</v>
      </c>
      <c r="D22189" s="8">
        <v>0</v>
      </c>
      <c r="E22189" s="8">
        <v>0</v>
      </c>
      <c r="F22189" s="8">
        <v>1131</v>
      </c>
    </row>
    <row r="22190" spans="1:6" ht="12.75">
      <c r="A22190" s="8">
        <v>43894.418287037042</v>
      </c>
      <c r="B22190" s="8" t="str">
        <f>HYPERLINK("https://twitter.com/kardusbox08","@kardusbox08")</f>
        <v>@kardusbox08</v>
      </c>
      <c r="C22190" s="8" t="s">
        <v>8991</v>
      </c>
      <c r="D22190" s="8">
        <v>5</v>
      </c>
      <c r="E22190" s="8">
        <v>0</v>
      </c>
      <c r="F22190" s="8">
        <v>1763</v>
      </c>
    </row>
    <row r="22191" spans="1:6" ht="12.75">
      <c r="A22191" s="8">
        <v>43894.417847222227</v>
      </c>
      <c r="B22191" s="8" t="str">
        <f>HYPERLINK("https://twitter.com/utarigustav","@utarigustav")</f>
        <v>@utarigustav</v>
      </c>
      <c r="C22191" s="8" t="s">
        <v>9020</v>
      </c>
      <c r="D22191" s="8">
        <v>13</v>
      </c>
      <c r="E22191" s="8">
        <v>0</v>
      </c>
      <c r="F22191" s="8">
        <v>13</v>
      </c>
    </row>
    <row r="22192" spans="1:6" ht="12.75">
      <c r="A22192" s="8">
        <v>43894.417754629627</v>
      </c>
      <c r="B22192" s="8" t="str">
        <f>HYPERLINK("https://twitter.com/DcEliana","@DcEliana")</f>
        <v>@DcEliana</v>
      </c>
      <c r="C22192" s="8" t="s">
        <v>6710</v>
      </c>
      <c r="D22192" s="8">
        <v>175</v>
      </c>
      <c r="E22192" s="8">
        <v>0</v>
      </c>
      <c r="F22192" s="8">
        <v>154</v>
      </c>
    </row>
    <row r="22193" spans="1:6" ht="12.75">
      <c r="A22193" s="8">
        <v>43894.417673611111</v>
      </c>
      <c r="B22193" s="8" t="str">
        <f>HYPERLINK("https://twitter.com/utarigustav","@utarigustav")</f>
        <v>@utarigustav</v>
      </c>
      <c r="C22193" s="8" t="s">
        <v>9020</v>
      </c>
      <c r="D22193" s="8">
        <v>13</v>
      </c>
      <c r="E22193" s="8">
        <v>0</v>
      </c>
      <c r="F22193" s="8">
        <v>13</v>
      </c>
    </row>
    <row r="22194" spans="1:6" ht="12.75">
      <c r="A22194" s="8">
        <v>43894.417546296296</v>
      </c>
      <c r="B22194" s="8" t="str">
        <f>HYPERLINK("https://twitter.com/Kaleng_Kurma","@Kaleng_Kurma")</f>
        <v>@Kaleng_Kurma</v>
      </c>
      <c r="C22194" s="8" t="s">
        <v>9026</v>
      </c>
      <c r="D22194" s="8">
        <v>1</v>
      </c>
      <c r="E22194" s="8">
        <v>0</v>
      </c>
      <c r="F22194" s="8">
        <v>224</v>
      </c>
    </row>
    <row r="22195" spans="1:6" ht="12.75">
      <c r="A22195" s="8">
        <v>43894.417407407411</v>
      </c>
      <c r="B22195" s="8" t="str">
        <f>HYPERLINK("https://twitter.com/ainazzah_","@ainazzah_")</f>
        <v>@ainazzah_</v>
      </c>
      <c r="C22195" s="8" t="s">
        <v>9027</v>
      </c>
      <c r="D22195" s="8">
        <v>0</v>
      </c>
      <c r="E22195" s="8">
        <v>0</v>
      </c>
      <c r="F22195" s="8">
        <v>0</v>
      </c>
    </row>
    <row r="22196" spans="1:6" ht="12.75">
      <c r="A22196" s="8">
        <v>43894.41715277778</v>
      </c>
      <c r="B22196" s="8" t="str">
        <f>HYPERLINK("https://twitter.com/soendoet1980","@soendoet1980")</f>
        <v>@soendoet1980</v>
      </c>
      <c r="C22196" s="8" t="s">
        <v>8337</v>
      </c>
      <c r="D22196" s="8">
        <v>9</v>
      </c>
      <c r="E22196" s="8">
        <v>0</v>
      </c>
      <c r="F22196" s="8">
        <v>329</v>
      </c>
    </row>
    <row r="22197" spans="1:6" ht="12.75">
      <c r="A22197" s="8">
        <v>43894.416932870372</v>
      </c>
      <c r="B22197" s="8" t="str">
        <f>HYPERLINK("https://twitter.com/eradotid","@eradotid")</f>
        <v>@eradotid</v>
      </c>
      <c r="C22197" s="8" t="s">
        <v>9028</v>
      </c>
      <c r="D22197" s="8">
        <v>0</v>
      </c>
      <c r="E22197" s="8">
        <v>0</v>
      </c>
      <c r="F22197" s="8">
        <v>2616</v>
      </c>
    </row>
    <row r="22198" spans="1:6" ht="12.75">
      <c r="A22198" s="8">
        <v>43894.416874999995</v>
      </c>
      <c r="B22198" s="8" t="str">
        <f>HYPERLINK("https://twitter.com/Meidypm","@Meidypm")</f>
        <v>@Meidypm</v>
      </c>
      <c r="C22198" s="8" t="s">
        <v>9029</v>
      </c>
      <c r="D22198" s="8">
        <v>0</v>
      </c>
      <c r="E22198" s="8">
        <v>0</v>
      </c>
      <c r="F22198" s="8">
        <v>655</v>
      </c>
    </row>
    <row r="22199" spans="1:6" ht="12.75">
      <c r="A22199" s="8">
        <v>43894.416759259257</v>
      </c>
      <c r="B22199" s="8" t="str">
        <f>HYPERLINK("https://twitter.com/Candraasmara85","@Candraasmara85")</f>
        <v>@Candraasmara85</v>
      </c>
      <c r="C22199" s="8" t="s">
        <v>7796</v>
      </c>
      <c r="D22199" s="8">
        <v>43</v>
      </c>
      <c r="E22199" s="8">
        <v>0</v>
      </c>
      <c r="F22199" s="8">
        <v>10687</v>
      </c>
    </row>
    <row r="22200" spans="1:6" ht="12.75">
      <c r="A22200" s="8">
        <v>43894.416608796295</v>
      </c>
      <c r="B22200" s="8" t="str">
        <f>HYPERLINK("https://twitter.com/KomisiIX","@KomisiIX")</f>
        <v>@KomisiIX</v>
      </c>
      <c r="C22200" s="8" t="s">
        <v>9030</v>
      </c>
      <c r="D22200" s="8">
        <v>0</v>
      </c>
      <c r="E22200" s="8">
        <v>1</v>
      </c>
      <c r="F22200" s="8">
        <v>1421</v>
      </c>
    </row>
    <row r="22201" spans="1:6" ht="12.75">
      <c r="A22201" s="8">
        <v>43894.416562500002</v>
      </c>
      <c r="B22201" s="8" t="str">
        <f>HYPERLINK("https://twitter.com/davidridwanbetz","@davidridwanbetz")</f>
        <v>@davidridwanbetz</v>
      </c>
      <c r="C22201" s="8" t="s">
        <v>9031</v>
      </c>
      <c r="D22201" s="8">
        <v>1</v>
      </c>
      <c r="E22201" s="8">
        <v>0</v>
      </c>
      <c r="F22201" s="8">
        <v>12564</v>
      </c>
    </row>
    <row r="22202" spans="1:6" ht="12.75">
      <c r="A22202" s="8">
        <v>43894.416400462964</v>
      </c>
      <c r="B22202" s="8" t="str">
        <f>HYPERLINK("https://twitter.com/ISIS_Balik_NO","@ISIS_Balik_NO")</f>
        <v>@ISIS_Balik_NO</v>
      </c>
      <c r="C22202" s="8" t="s">
        <v>9032</v>
      </c>
      <c r="D22202" s="8">
        <v>42</v>
      </c>
      <c r="E22202" s="8">
        <v>0</v>
      </c>
      <c r="F22202" s="8">
        <v>6102</v>
      </c>
    </row>
    <row r="22203" spans="1:6" ht="12.75">
      <c r="A22203" s="8">
        <v>43894.416284722218</v>
      </c>
      <c r="B22203" s="8" t="str">
        <f>HYPERLINK("https://twitter.com/Penyuka_ombak","@Penyuka_ombak")</f>
        <v>@Penyuka_ombak</v>
      </c>
      <c r="C22203" s="8" t="s">
        <v>9033</v>
      </c>
      <c r="D22203" s="8">
        <v>0</v>
      </c>
      <c r="E22203" s="8">
        <v>0</v>
      </c>
      <c r="F22203" s="8">
        <v>7847</v>
      </c>
    </row>
    <row r="22204" spans="1:6" ht="12.75">
      <c r="A22204" s="8">
        <v>43894.416203703702</v>
      </c>
      <c r="B22204" s="8" t="str">
        <f>HYPERLINK("https://twitter.com/05d95a682cea478","@05d95a682cea478")</f>
        <v>@05d95a682cea478</v>
      </c>
      <c r="C22204" s="8" t="s">
        <v>9034</v>
      </c>
      <c r="D22204" s="8">
        <v>0</v>
      </c>
      <c r="E22204" s="8">
        <v>0</v>
      </c>
      <c r="F22204" s="8">
        <v>15</v>
      </c>
    </row>
    <row r="22205" spans="1:6" ht="12.75">
      <c r="A22205" s="8">
        <v>43894.41615740741</v>
      </c>
      <c r="B22205" s="8" t="str">
        <f>HYPERLINK("https://twitter.com/Mamiksadja","@Mamiksadja")</f>
        <v>@Mamiksadja</v>
      </c>
      <c r="C22205" s="8" t="s">
        <v>6710</v>
      </c>
      <c r="D22205" s="8">
        <v>175</v>
      </c>
      <c r="E22205" s="8">
        <v>0</v>
      </c>
      <c r="F22205" s="8">
        <v>276</v>
      </c>
    </row>
    <row r="22206" spans="1:6" ht="12.75">
      <c r="A22206" s="8">
        <v>43894.416145833333</v>
      </c>
      <c r="B22206" s="8" t="str">
        <f>HYPERLINK("https://twitter.com/ISIS_Balik_NO","@ISIS_Balik_NO")</f>
        <v>@ISIS_Balik_NO</v>
      </c>
      <c r="C22206" s="8" t="s">
        <v>9035</v>
      </c>
      <c r="D22206" s="8">
        <v>111</v>
      </c>
      <c r="E22206" s="8">
        <v>0</v>
      </c>
      <c r="F22206" s="8">
        <v>6102</v>
      </c>
    </row>
    <row r="22207" spans="1:6" ht="12.75">
      <c r="A22207" s="8">
        <v>43894.416145833333</v>
      </c>
      <c r="B22207" s="8" t="str">
        <f>HYPERLINK("https://twitter.com/grahachrstm","@grahachrstm")</f>
        <v>@grahachrstm</v>
      </c>
      <c r="C22207" s="8" t="s">
        <v>9023</v>
      </c>
      <c r="D22207" s="8">
        <v>7</v>
      </c>
      <c r="E22207" s="8">
        <v>0</v>
      </c>
      <c r="F22207" s="8">
        <v>372</v>
      </c>
    </row>
    <row r="22208" spans="1:6" ht="12.75">
      <c r="A22208" s="8">
        <v>43894.41606481481</v>
      </c>
      <c r="B22208" s="8" t="str">
        <f>HYPERLINK("https://twitter.com/Tarawinat4","@Tarawinat4")</f>
        <v>@Tarawinat4</v>
      </c>
      <c r="C22208" s="8" t="s">
        <v>8323</v>
      </c>
      <c r="D22208" s="8">
        <v>8</v>
      </c>
      <c r="E22208" s="8">
        <v>0</v>
      </c>
      <c r="F22208" s="8">
        <v>5413</v>
      </c>
    </row>
    <row r="22209" spans="1:6" ht="12.75">
      <c r="A22209" s="8">
        <v>43894.415856481486</v>
      </c>
      <c r="B22209" s="8" t="str">
        <f>HYPERLINK("https://twitter.com/Nobita_qu","@Nobita_qu")</f>
        <v>@Nobita_qu</v>
      </c>
      <c r="C22209" s="8" t="s">
        <v>8323</v>
      </c>
      <c r="D22209" s="8">
        <v>8</v>
      </c>
      <c r="E22209" s="8">
        <v>0</v>
      </c>
      <c r="F22209" s="8">
        <v>2080</v>
      </c>
    </row>
    <row r="22210" spans="1:6" ht="12.75">
      <c r="A22210" s="8">
        <v>43894.41574074074</v>
      </c>
      <c r="B22210" s="8" t="str">
        <f>HYPERLINK("https://twitter.com/aiculshi","@aiculshi")</f>
        <v>@aiculshi</v>
      </c>
      <c r="C22210" s="8" t="s">
        <v>8842</v>
      </c>
      <c r="D22210" s="8">
        <v>187</v>
      </c>
      <c r="E22210" s="8">
        <v>0</v>
      </c>
      <c r="F22210" s="8">
        <v>106</v>
      </c>
    </row>
    <row r="22211" spans="1:6" ht="12.75">
      <c r="A22211" s="8">
        <v>43894.415590277778</v>
      </c>
      <c r="B22211" s="8" t="str">
        <f>HYPERLINK("https://twitter.com/Meidypm","@Meidypm")</f>
        <v>@Meidypm</v>
      </c>
      <c r="C22211" s="8" t="s">
        <v>9036</v>
      </c>
      <c r="D22211" s="8">
        <v>0</v>
      </c>
      <c r="E22211" s="8">
        <v>0</v>
      </c>
      <c r="F22211" s="8">
        <v>655</v>
      </c>
    </row>
    <row r="22212" spans="1:6" ht="12.75">
      <c r="A22212" s="8">
        <v>43894.415289351848</v>
      </c>
      <c r="B22212" s="8" t="str">
        <f>HYPERLINK("https://twitter.com/memeperot","@memeperot")</f>
        <v>@memeperot</v>
      </c>
      <c r="C22212" s="8" t="s">
        <v>6710</v>
      </c>
      <c r="D22212" s="8">
        <v>175</v>
      </c>
      <c r="E22212" s="8">
        <v>0</v>
      </c>
      <c r="F22212" s="8">
        <v>27</v>
      </c>
    </row>
    <row r="22213" spans="1:6" ht="12.75">
      <c r="A22213" s="8">
        <v>43894.415266203709</v>
      </c>
      <c r="B22213" s="8" t="str">
        <f>HYPERLINK("https://twitter.com/andymanginte","@andymanginte")</f>
        <v>@andymanginte</v>
      </c>
      <c r="C22213" s="8" t="s">
        <v>6710</v>
      </c>
      <c r="D22213" s="8">
        <v>175</v>
      </c>
      <c r="E22213" s="8">
        <v>0</v>
      </c>
      <c r="F22213" s="8">
        <v>363</v>
      </c>
    </row>
    <row r="22214" spans="1:6" ht="12.75">
      <c r="A22214" s="8">
        <v>43894.414988425924</v>
      </c>
      <c r="B22214" s="8" t="str">
        <f>HYPERLINK("https://twitter.com/dewi_2711","@dewi_2711")</f>
        <v>@dewi_2711</v>
      </c>
      <c r="C22214" s="8" t="s">
        <v>6710</v>
      </c>
      <c r="D22214" s="8">
        <v>175</v>
      </c>
      <c r="E22214" s="8">
        <v>0</v>
      </c>
      <c r="F22214" s="8">
        <v>101</v>
      </c>
    </row>
    <row r="22215" spans="1:6" ht="12.75">
      <c r="A22215" s="8">
        <v>43894.414861111116</v>
      </c>
      <c r="B22215" s="8" t="str">
        <f>HYPERLINK("https://twitter.com/kimsultae","@kimsultae")</f>
        <v>@kimsultae</v>
      </c>
      <c r="C22215" s="8" t="s">
        <v>26</v>
      </c>
      <c r="D22215" s="8">
        <v>189</v>
      </c>
      <c r="E22215" s="8">
        <v>0</v>
      </c>
      <c r="F22215" s="8">
        <v>0</v>
      </c>
    </row>
    <row r="22216" spans="1:6" ht="12.75">
      <c r="A22216" s="8">
        <v>43894.414710648147</v>
      </c>
      <c r="B22216" s="8" t="str">
        <f>HYPERLINK("https://twitter.com/StefanoRiyan","@StefanoRiyan")</f>
        <v>@StefanoRiyan</v>
      </c>
      <c r="C22216" s="8" t="s">
        <v>9023</v>
      </c>
      <c r="D22216" s="8">
        <v>7</v>
      </c>
      <c r="E22216" s="8">
        <v>0</v>
      </c>
      <c r="F22216" s="8">
        <v>29</v>
      </c>
    </row>
    <row r="22217" spans="1:6" ht="12.75">
      <c r="A22217" s="8">
        <v>43894.414502314816</v>
      </c>
      <c r="B22217" s="8" t="str">
        <f>HYPERLINK("https://twitter.com/anonapostate","@anonapostate")</f>
        <v>@anonapostate</v>
      </c>
      <c r="C22217" s="8" t="s">
        <v>8194</v>
      </c>
      <c r="D22217" s="8">
        <v>22</v>
      </c>
      <c r="E22217" s="8">
        <v>0</v>
      </c>
      <c r="F22217" s="8">
        <v>299</v>
      </c>
    </row>
    <row r="22218" spans="1:6" ht="12.75">
      <c r="A22218" s="8">
        <v>43894.414456018523</v>
      </c>
      <c r="B22218" s="8" t="str">
        <f>HYPERLINK("https://twitter.com/WahyuTamanBunga","@WahyuTamanBunga")</f>
        <v>@WahyuTamanBunga</v>
      </c>
      <c r="C22218" s="8" t="s">
        <v>9037</v>
      </c>
      <c r="D22218" s="8">
        <v>2</v>
      </c>
      <c r="E22218" s="8">
        <v>0</v>
      </c>
      <c r="F22218" s="8">
        <v>439</v>
      </c>
    </row>
    <row r="22219" spans="1:6" ht="12.75">
      <c r="A22219" s="8">
        <v>43894.414108796293</v>
      </c>
      <c r="B22219" s="8" t="str">
        <f>HYPERLINK("https://twitter.com/Cut3P4nd4","@Cut3P4nd4")</f>
        <v>@Cut3P4nd4</v>
      </c>
      <c r="C22219" s="8" t="s">
        <v>8879</v>
      </c>
      <c r="D22219" s="8">
        <v>7</v>
      </c>
      <c r="E22219" s="8">
        <v>0</v>
      </c>
      <c r="F22219" s="8">
        <v>2377</v>
      </c>
    </row>
    <row r="22220" spans="1:6" ht="12.75">
      <c r="A22220" s="8">
        <v>43894.414016203707</v>
      </c>
      <c r="B22220" s="8" t="str">
        <f>HYPERLINK("https://twitter.com/nanuths","@nanuths")</f>
        <v>@nanuths</v>
      </c>
      <c r="C22220" s="8" t="s">
        <v>7604</v>
      </c>
      <c r="D22220" s="8">
        <v>20</v>
      </c>
      <c r="E22220" s="8">
        <v>0</v>
      </c>
      <c r="F22220" s="8">
        <v>653</v>
      </c>
    </row>
    <row r="22221" spans="1:6" ht="12.75">
      <c r="A22221" s="8">
        <v>43894.413969907408</v>
      </c>
      <c r="B22221" s="8" t="str">
        <f t="shared" ref="B22221:B22222" si="324">HYPERLINK("https://twitter.com/Kaleng_Kurma","@Kaleng_Kurma")</f>
        <v>@Kaleng_Kurma</v>
      </c>
      <c r="C22221" s="8" t="s">
        <v>9038</v>
      </c>
      <c r="D22221" s="8">
        <v>54</v>
      </c>
      <c r="E22221" s="8">
        <v>0</v>
      </c>
      <c r="F22221" s="8">
        <v>224</v>
      </c>
    </row>
    <row r="22222" spans="1:6" ht="12.75">
      <c r="A22222" s="8">
        <v>43894.413935185185</v>
      </c>
      <c r="B22222" s="8" t="str">
        <f t="shared" si="324"/>
        <v>@Kaleng_Kurma</v>
      </c>
      <c r="C22222" s="8" t="s">
        <v>9039</v>
      </c>
      <c r="D22222" s="8">
        <v>31</v>
      </c>
      <c r="E22222" s="8">
        <v>0</v>
      </c>
      <c r="F22222" s="8">
        <v>224</v>
      </c>
    </row>
    <row r="22223" spans="1:6" ht="12.75">
      <c r="A22223" s="8">
        <v>43894.413819444446</v>
      </c>
      <c r="B22223" s="8" t="str">
        <f>HYPERLINK("https://twitter.com/no3y_km","@no3y_km")</f>
        <v>@no3y_km</v>
      </c>
      <c r="C22223" s="8" t="s">
        <v>9023</v>
      </c>
      <c r="D22223" s="8">
        <v>7</v>
      </c>
      <c r="E22223" s="8">
        <v>0</v>
      </c>
      <c r="F22223" s="8">
        <v>483</v>
      </c>
    </row>
    <row r="22224" spans="1:6" ht="12.75">
      <c r="A22224" s="8">
        <v>43894.413530092592</v>
      </c>
      <c r="B22224" s="8" t="str">
        <f>HYPERLINK("https://twitter.com/XFcFendi","@XFcFendi")</f>
        <v>@XFcFendi</v>
      </c>
      <c r="C22224" s="8" t="s">
        <v>8554</v>
      </c>
      <c r="D22224" s="8">
        <v>2</v>
      </c>
      <c r="E22224" s="8">
        <v>0</v>
      </c>
      <c r="F22224" s="8">
        <v>173</v>
      </c>
    </row>
    <row r="22225" spans="1:6" ht="12.75">
      <c r="A22225" s="8">
        <v>43894.413206018522</v>
      </c>
      <c r="B22225" s="8" t="str">
        <f>HYPERLINK("https://twitter.com/Kaleng_Kurma","@Kaleng_Kurma")</f>
        <v>@Kaleng_Kurma</v>
      </c>
      <c r="C22225" s="8" t="s">
        <v>9040</v>
      </c>
      <c r="D22225" s="8">
        <v>12</v>
      </c>
      <c r="E22225" s="8">
        <v>0</v>
      </c>
      <c r="F22225" s="8">
        <v>224</v>
      </c>
    </row>
    <row r="22226" spans="1:6" ht="12.75">
      <c r="A22226" s="8">
        <v>43894.41306712963</v>
      </c>
      <c r="B22226" s="8" t="str">
        <f>HYPERLINK("https://twitter.com/SamrohSamaon","@SamrohSamaon")</f>
        <v>@SamrohSamaon</v>
      </c>
      <c r="C22226" s="8" t="s">
        <v>9041</v>
      </c>
      <c r="D22226" s="8">
        <v>0</v>
      </c>
      <c r="E22226" s="8">
        <v>0</v>
      </c>
      <c r="F22226" s="8">
        <v>40</v>
      </c>
    </row>
    <row r="22227" spans="1:6" ht="12.75">
      <c r="A22227" s="8">
        <v>43894.41305555556</v>
      </c>
      <c r="B22227" s="8" t="str">
        <f>HYPERLINK("https://twitter.com/Kaleng_Kurma","@Kaleng_Kurma")</f>
        <v>@Kaleng_Kurma</v>
      </c>
      <c r="C22227" s="8" t="s">
        <v>6827</v>
      </c>
      <c r="D22227" s="8">
        <v>50</v>
      </c>
      <c r="E22227" s="8">
        <v>0</v>
      </c>
      <c r="F22227" s="8">
        <v>224</v>
      </c>
    </row>
    <row r="22228" spans="1:6" ht="12.75">
      <c r="A22228" s="8">
        <v>43894.412997685184</v>
      </c>
      <c r="B22228" s="8" t="str">
        <f>HYPERLINK("https://twitter.com/Tutup_Teko","@Tutup_Teko")</f>
        <v>@Tutup_Teko</v>
      </c>
      <c r="C22228" s="8" t="s">
        <v>8194</v>
      </c>
      <c r="D22228" s="8">
        <v>22</v>
      </c>
      <c r="E22228" s="8">
        <v>0</v>
      </c>
      <c r="F22228" s="8">
        <v>1294</v>
      </c>
    </row>
    <row r="22229" spans="1:6" ht="12.75">
      <c r="A22229" s="8">
        <v>43894.412870370375</v>
      </c>
      <c r="B22229" s="8" t="str">
        <f>HYPERLINK("https://twitter.com/stevehenry99","@stevehenry99")</f>
        <v>@stevehenry99</v>
      </c>
      <c r="C22229" s="8" t="s">
        <v>6710</v>
      </c>
      <c r="D22229" s="8">
        <v>175</v>
      </c>
      <c r="E22229" s="8">
        <v>0</v>
      </c>
      <c r="F22229" s="8">
        <v>92</v>
      </c>
    </row>
    <row r="22230" spans="1:6" ht="12.75">
      <c r="A22230" s="8">
        <v>43894.412731481483</v>
      </c>
      <c r="B22230" s="8" t="str">
        <f>HYPERLINK("https://twitter.com/Djatoe_Ibnu","@Djatoe_Ibnu")</f>
        <v>@Djatoe_Ibnu</v>
      </c>
      <c r="C22230" s="8" t="s">
        <v>8194</v>
      </c>
      <c r="D22230" s="8">
        <v>22</v>
      </c>
      <c r="E22230" s="8">
        <v>0</v>
      </c>
      <c r="F22230" s="8">
        <v>142</v>
      </c>
    </row>
    <row r="22231" spans="1:6" ht="12.75">
      <c r="A22231" s="8">
        <v>43894.412118055552</v>
      </c>
      <c r="B22231" s="8" t="str">
        <f>HYPERLINK("https://twitter.com/KelianBanjar_GK","@KelianBanjar_GK")</f>
        <v>@KelianBanjar_GK</v>
      </c>
      <c r="C22231" s="8" t="s">
        <v>8194</v>
      </c>
      <c r="D22231" s="8">
        <v>22</v>
      </c>
      <c r="E22231" s="8">
        <v>0</v>
      </c>
      <c r="F22231" s="8">
        <v>8830</v>
      </c>
    </row>
    <row r="22232" spans="1:6" ht="12.75">
      <c r="A22232" s="8">
        <v>43894.412094907406</v>
      </c>
      <c r="B22232" s="8" t="str">
        <f>HYPERLINK("https://twitter.com/YogaAdrianyoga6","@YogaAdrianyoga6")</f>
        <v>@YogaAdrianyoga6</v>
      </c>
      <c r="C22232" s="8" t="s">
        <v>6710</v>
      </c>
      <c r="D22232" s="8">
        <v>175</v>
      </c>
      <c r="E22232" s="8">
        <v>0</v>
      </c>
      <c r="F22232" s="8">
        <v>794</v>
      </c>
    </row>
    <row r="22233" spans="1:6" ht="12.75">
      <c r="A22233" s="8">
        <v>43894.41201388889</v>
      </c>
      <c r="B22233" s="8" t="str">
        <f>HYPERLINK("https://twitter.com/Cut3P4nd4","@Cut3P4nd4")</f>
        <v>@Cut3P4nd4</v>
      </c>
      <c r="C22233" s="8" t="s">
        <v>8323</v>
      </c>
      <c r="D22233" s="8">
        <v>8</v>
      </c>
      <c r="E22233" s="8">
        <v>0</v>
      </c>
      <c r="F22233" s="8">
        <v>2377</v>
      </c>
    </row>
    <row r="22234" spans="1:6" ht="12.75">
      <c r="A22234" s="8">
        <v>43894.411793981482</v>
      </c>
      <c r="B22234" s="8" t="str">
        <f>HYPERLINK("https://twitter.com/HendrawanSTB","@HendrawanSTB")</f>
        <v>@HendrawanSTB</v>
      </c>
      <c r="C22234" s="8" t="s">
        <v>9037</v>
      </c>
      <c r="D22234" s="8">
        <v>2</v>
      </c>
      <c r="E22234" s="8">
        <v>0</v>
      </c>
      <c r="F22234" s="8">
        <v>663</v>
      </c>
    </row>
    <row r="22235" spans="1:6" ht="12.75">
      <c r="A22235" s="8">
        <v>43894.411793981482</v>
      </c>
      <c r="B22235" s="8" t="str">
        <f>HYPERLINK("https://twitter.com/ms_eisa","@ms_eisa")</f>
        <v>@ms_eisa</v>
      </c>
      <c r="C22235" s="8" t="s">
        <v>9042</v>
      </c>
      <c r="D22235" s="8">
        <v>0</v>
      </c>
      <c r="E22235" s="8">
        <v>0</v>
      </c>
      <c r="F22235" s="8">
        <v>91</v>
      </c>
    </row>
    <row r="22236" spans="1:6" ht="12.75">
      <c r="A22236" s="8">
        <v>43894.411597222221</v>
      </c>
      <c r="B22236" s="8" t="str">
        <f>HYPERLINK("https://twitter.com/KrisWitono","@KrisWitono")</f>
        <v>@KrisWitono</v>
      </c>
      <c r="C22236" s="8" t="s">
        <v>5732</v>
      </c>
      <c r="D22236" s="8">
        <v>2191</v>
      </c>
      <c r="E22236" s="8">
        <v>0</v>
      </c>
      <c r="F22236" s="8">
        <v>209</v>
      </c>
    </row>
    <row r="22237" spans="1:6" ht="12.75">
      <c r="A22237" s="8">
        <v>43894.411435185189</v>
      </c>
      <c r="B22237" s="8" t="str">
        <f>HYPERLINK("https://twitter.com/Beritadotnews","@Beritadotnews")</f>
        <v>@Beritadotnews</v>
      </c>
      <c r="C22237" s="8" t="s">
        <v>9043</v>
      </c>
      <c r="D22237" s="8">
        <v>0</v>
      </c>
      <c r="E22237" s="8">
        <v>0</v>
      </c>
      <c r="F22237" s="8">
        <v>40</v>
      </c>
    </row>
    <row r="22238" spans="1:6" ht="12.75">
      <c r="A22238" s="8">
        <v>43894.411377314813</v>
      </c>
      <c r="B22238" s="8" t="str">
        <f>HYPERLINK("https://twitter.com/tempodotco","@tempodotco")</f>
        <v>@tempodotco</v>
      </c>
      <c r="C22238" s="8" t="s">
        <v>9044</v>
      </c>
      <c r="D22238" s="8">
        <v>2</v>
      </c>
      <c r="E22238" s="8">
        <v>2</v>
      </c>
      <c r="F22238" s="8">
        <v>1713540</v>
      </c>
    </row>
    <row r="22239" spans="1:6" ht="12.75">
      <c r="A22239" s="8">
        <v>43894.411111111112</v>
      </c>
      <c r="B22239" s="8" t="str">
        <f>HYPERLINK("https://twitter.com/budimandjatmiko","@budimandjatmiko")</f>
        <v>@budimandjatmiko</v>
      </c>
      <c r="C22239" s="8" t="s">
        <v>9023</v>
      </c>
      <c r="D22239" s="8">
        <v>7</v>
      </c>
      <c r="E22239" s="8">
        <v>0</v>
      </c>
      <c r="F22239" s="8">
        <v>792521</v>
      </c>
    </row>
    <row r="22240" spans="1:6" ht="12.75">
      <c r="A22240" s="8">
        <v>43894.411087962959</v>
      </c>
      <c r="B22240" s="8" t="str">
        <f>HYPERLINK("https://twitter.com/asundamai","@asundamai")</f>
        <v>@asundamai</v>
      </c>
      <c r="C22240" s="8" t="s">
        <v>8445</v>
      </c>
      <c r="D22240" s="8">
        <v>22</v>
      </c>
      <c r="E22240" s="8">
        <v>0</v>
      </c>
      <c r="F22240" s="8">
        <v>1912</v>
      </c>
    </row>
    <row r="22241" spans="1:6" ht="12.75">
      <c r="A22241" s="8">
        <v>43894.410868055551</v>
      </c>
      <c r="B22241" s="8" t="str">
        <f>HYPERLINK("https://twitter.com/asiapasific15","@asiapasific15")</f>
        <v>@asiapasific15</v>
      </c>
      <c r="C22241" s="8" t="s">
        <v>9045</v>
      </c>
      <c r="D22241" s="8">
        <v>0</v>
      </c>
      <c r="E22241" s="8">
        <v>0</v>
      </c>
      <c r="F22241" s="8">
        <v>1509</v>
      </c>
    </row>
    <row r="22242" spans="1:6" ht="12.75">
      <c r="A22242" s="8">
        <v>43894.410787037035</v>
      </c>
      <c r="B22242" s="8" t="str">
        <f>HYPERLINK("https://twitter.com/I5H4K","@I5H4K")</f>
        <v>@I5H4K</v>
      </c>
      <c r="C22242" s="8" t="s">
        <v>6710</v>
      </c>
      <c r="D22242" s="8">
        <v>175</v>
      </c>
      <c r="E22242" s="8">
        <v>0</v>
      </c>
      <c r="F22242" s="8">
        <v>224</v>
      </c>
    </row>
    <row r="22243" spans="1:6" ht="12.75">
      <c r="A22243" s="8">
        <v>43894.410671296297</v>
      </c>
      <c r="B22243" s="8" t="str">
        <f>HYPERLINK("https://twitter.com/Nadin60122626","@Nadin60122626")</f>
        <v>@Nadin60122626</v>
      </c>
      <c r="C22243" s="8" t="s">
        <v>9046</v>
      </c>
      <c r="D22243" s="8">
        <v>53</v>
      </c>
      <c r="E22243" s="8">
        <v>0</v>
      </c>
      <c r="F22243" s="8">
        <v>1</v>
      </c>
    </row>
    <row r="22244" spans="1:6" ht="12.75">
      <c r="A22244" s="8">
        <v>43894.410439814819</v>
      </c>
      <c r="B22244" s="8" t="str">
        <f>HYPERLINK("https://twitter.com/DakwahTangerang","@DakwahTangerang")</f>
        <v>@DakwahTangerang</v>
      </c>
      <c r="C22244" s="8" t="s">
        <v>9047</v>
      </c>
      <c r="D22244" s="8">
        <v>0</v>
      </c>
      <c r="E22244" s="8">
        <v>0</v>
      </c>
      <c r="F22244" s="8">
        <v>723</v>
      </c>
    </row>
    <row r="22245" spans="1:6" ht="12.75">
      <c r="A22245" s="8">
        <v>43894.410185185188</v>
      </c>
      <c r="B22245" s="8" t="str">
        <f>HYPERLINK("https://twitter.com/Tantio17","@Tantio17")</f>
        <v>@Tantio17</v>
      </c>
      <c r="C22245" s="8" t="s">
        <v>6710</v>
      </c>
      <c r="D22245" s="8">
        <v>175</v>
      </c>
      <c r="E22245" s="8">
        <v>0</v>
      </c>
      <c r="F22245" s="8">
        <v>237</v>
      </c>
    </row>
    <row r="22246" spans="1:6" ht="12.75">
      <c r="A22246" s="8">
        <v>43894.410138888888</v>
      </c>
      <c r="B22246" s="8" t="str">
        <f>HYPERLINK("https://twitter.com/OpanMinOn","@OpanMinOn")</f>
        <v>@OpanMinOn</v>
      </c>
      <c r="C22246" s="8" t="s">
        <v>8323</v>
      </c>
      <c r="D22246" s="8">
        <v>8</v>
      </c>
      <c r="E22246" s="8">
        <v>0</v>
      </c>
      <c r="F22246" s="8">
        <v>2380</v>
      </c>
    </row>
    <row r="22247" spans="1:6" ht="12.75">
      <c r="A22247" s="8">
        <v>43894.410057870366</v>
      </c>
      <c r="B22247" s="8" t="str">
        <f>HYPERLINK("https://twitter.com/harakatuna","@harakatuna")</f>
        <v>@harakatuna</v>
      </c>
      <c r="C22247" s="8" t="s">
        <v>9048</v>
      </c>
      <c r="D22247" s="8">
        <v>0</v>
      </c>
      <c r="E22247" s="8">
        <v>0</v>
      </c>
      <c r="F22247" s="8">
        <v>417</v>
      </c>
    </row>
    <row r="22248" spans="1:6" ht="12.75">
      <c r="A22248" s="8">
        <v>43894.381736111114</v>
      </c>
      <c r="B22248" s="8" t="str">
        <f>HYPERLINK("https://twitter.com/bangcepe7","@bangcepe7")</f>
        <v>@bangcepe7</v>
      </c>
      <c r="C22248" s="8" t="s">
        <v>9038</v>
      </c>
      <c r="D22248" s="8">
        <v>53</v>
      </c>
      <c r="E22248" s="8">
        <v>0</v>
      </c>
      <c r="F22248" s="8">
        <v>552</v>
      </c>
    </row>
    <row r="22249" spans="1:6" ht="12.75">
      <c r="A22249" s="8">
        <v>43894.381469907406</v>
      </c>
      <c r="B22249" s="8" t="str">
        <f>HYPERLINK("https://twitter.com/ay2003","@ay2003")</f>
        <v>@ay2003</v>
      </c>
      <c r="C22249" s="8" t="s">
        <v>6710</v>
      </c>
      <c r="D22249" s="8">
        <v>117</v>
      </c>
      <c r="E22249" s="8">
        <v>0</v>
      </c>
      <c r="F22249" s="8">
        <v>19</v>
      </c>
    </row>
    <row r="22250" spans="1:6" ht="12.75">
      <c r="A22250" s="8">
        <v>43894.381099537037</v>
      </c>
      <c r="B22250" s="8" t="str">
        <f>HYPERLINK("https://twitter.com/popoeko73","@popoeko73")</f>
        <v>@popoeko73</v>
      </c>
      <c r="C22250" s="8" t="s">
        <v>6710</v>
      </c>
      <c r="D22250" s="8">
        <v>117</v>
      </c>
      <c r="E22250" s="8">
        <v>0</v>
      </c>
      <c r="F22250" s="8">
        <v>461</v>
      </c>
    </row>
    <row r="22251" spans="1:6" ht="12.75">
      <c r="A22251" s="8">
        <v>43894.380972222221</v>
      </c>
      <c r="B22251" s="8" t="str">
        <f>HYPERLINK("https://twitter.com/ruangobrol_id","@ruangobrol_id")</f>
        <v>@ruangobrol_id</v>
      </c>
      <c r="C22251" s="8" t="s">
        <v>9049</v>
      </c>
      <c r="D22251" s="8">
        <v>0</v>
      </c>
      <c r="E22251" s="8">
        <v>0</v>
      </c>
      <c r="F22251" s="8">
        <v>163</v>
      </c>
    </row>
    <row r="22252" spans="1:6" ht="12.75">
      <c r="A22252" s="8">
        <v>43894.380393518513</v>
      </c>
      <c r="B22252" s="8" t="str">
        <f>HYPERLINK("https://twitter.com/Vwi_Vwi","@Vwi_Vwi")</f>
        <v>@Vwi_Vwi</v>
      </c>
      <c r="C22252" s="8" t="s">
        <v>9050</v>
      </c>
      <c r="D22252" s="8">
        <v>0</v>
      </c>
      <c r="E22252" s="8">
        <v>0</v>
      </c>
      <c r="F22252" s="8">
        <v>5590</v>
      </c>
    </row>
    <row r="22253" spans="1:6" ht="12.75">
      <c r="A22253" s="8">
        <v>43894.380266203705</v>
      </c>
      <c r="B22253" s="8" t="str">
        <f>HYPERLINK("https://twitter.com/Abdurah36353227","@Abdurah36353227")</f>
        <v>@Abdurah36353227</v>
      </c>
      <c r="C22253" s="8" t="s">
        <v>9051</v>
      </c>
      <c r="D22253" s="8">
        <v>0</v>
      </c>
      <c r="E22253" s="8">
        <v>0</v>
      </c>
      <c r="F22253" s="8">
        <v>22</v>
      </c>
    </row>
    <row r="22254" spans="1:6" ht="12.75">
      <c r="A22254" s="8">
        <v>43894.380254629628</v>
      </c>
      <c r="B22254" s="8" t="str">
        <f>HYPERLINK("https://twitter.com/WawanSahabat","@WawanSahabat")</f>
        <v>@WawanSahabat</v>
      </c>
      <c r="C22254" s="8" t="s">
        <v>7604</v>
      </c>
      <c r="D22254" s="8">
        <v>17</v>
      </c>
      <c r="E22254" s="8">
        <v>0</v>
      </c>
      <c r="F22254" s="8">
        <v>16</v>
      </c>
    </row>
    <row r="22255" spans="1:6" ht="12.75">
      <c r="A22255" s="8">
        <v>43894.380231481482</v>
      </c>
      <c r="B22255" s="8" t="str">
        <f>HYPERLINK("https://twitter.com/HutapeaPoster","@HutapeaPoster")</f>
        <v>@HutapeaPoster</v>
      </c>
      <c r="C22255" s="8" t="s">
        <v>6710</v>
      </c>
      <c r="D22255" s="8">
        <v>117</v>
      </c>
      <c r="E22255" s="8">
        <v>0</v>
      </c>
      <c r="F22255" s="8">
        <v>1180</v>
      </c>
    </row>
    <row r="22256" spans="1:6" ht="12.75">
      <c r="A22256" s="8">
        <v>43894.380115740743</v>
      </c>
      <c r="B22256" s="8" t="str">
        <f>HYPERLINK("https://twitter.com/amrudinnejad_","@amrudinnejad_")</f>
        <v>@amrudinnejad_</v>
      </c>
      <c r="C22256" s="8" t="s">
        <v>9052</v>
      </c>
      <c r="D22256" s="8">
        <v>0</v>
      </c>
      <c r="E22256" s="8">
        <v>1</v>
      </c>
      <c r="F22256" s="8">
        <v>8008</v>
      </c>
    </row>
    <row r="22257" spans="1:6" ht="12.75">
      <c r="A22257" s="8">
        <v>43894.379965277782</v>
      </c>
      <c r="B22257" s="8" t="str">
        <f>HYPERLINK("https://twitter.com/HotP3pp3rminTea","@HotP3pp3rminTea")</f>
        <v>@HotP3pp3rminTea</v>
      </c>
      <c r="C22257" s="8" t="s">
        <v>8879</v>
      </c>
      <c r="D22257" s="8">
        <v>3</v>
      </c>
      <c r="E22257" s="8">
        <v>0</v>
      </c>
      <c r="F22257" s="8">
        <v>11654</v>
      </c>
    </row>
    <row r="22258" spans="1:6" ht="12.75">
      <c r="A22258" s="8">
        <v>43894.379907407405</v>
      </c>
      <c r="B22258" s="8" t="str">
        <f>HYPERLINK("https://twitter.com/GoTotheJek","@GoTotheJek")</f>
        <v>@GoTotheJek</v>
      </c>
      <c r="C22258" s="8" t="s">
        <v>8445</v>
      </c>
      <c r="D22258" s="8">
        <v>7</v>
      </c>
      <c r="E22258" s="8">
        <v>0</v>
      </c>
      <c r="F22258" s="8">
        <v>783</v>
      </c>
    </row>
    <row r="22259" spans="1:6" ht="12.75">
      <c r="A22259" s="8">
        <v>43894.379467592589</v>
      </c>
      <c r="B22259" s="8" t="str">
        <f>HYPERLINK("https://twitter.com/DavidGentana","@DavidGentana")</f>
        <v>@DavidGentana</v>
      </c>
      <c r="C22259" s="8" t="s">
        <v>8445</v>
      </c>
      <c r="D22259" s="8">
        <v>7</v>
      </c>
      <c r="E22259" s="8">
        <v>0</v>
      </c>
      <c r="F22259" s="8">
        <v>160</v>
      </c>
    </row>
    <row r="22260" spans="1:6" ht="12.75">
      <c r="A22260" s="8">
        <v>43894.379189814819</v>
      </c>
      <c r="B22260" s="8" t="str">
        <f>HYPERLINK("https://twitter.com/johan_woda","@johan_woda")</f>
        <v>@johan_woda</v>
      </c>
      <c r="C22260" s="8" t="s">
        <v>8194</v>
      </c>
      <c r="D22260" s="8">
        <v>15</v>
      </c>
      <c r="E22260" s="8">
        <v>0</v>
      </c>
      <c r="F22260" s="8">
        <v>404</v>
      </c>
    </row>
    <row r="22261" spans="1:6" ht="12.75">
      <c r="A22261" s="8">
        <v>43894.379166666666</v>
      </c>
      <c r="B22261" s="8" t="str">
        <f>HYPERLINK("https://twitter.com/HalimTeuku","@HalimTeuku")</f>
        <v>@HalimTeuku</v>
      </c>
      <c r="C22261" s="8" t="s">
        <v>9053</v>
      </c>
      <c r="D22261" s="8">
        <v>0</v>
      </c>
      <c r="E22261" s="8">
        <v>1</v>
      </c>
      <c r="F22261" s="8">
        <v>3444</v>
      </c>
    </row>
    <row r="22262" spans="1:6" ht="12.75">
      <c r="A22262" s="8">
        <v>43894.379131944443</v>
      </c>
      <c r="B22262" s="8" t="str">
        <f>HYPERLINK("https://twitter.com/hemaviton99","@hemaviton99")</f>
        <v>@hemaviton99</v>
      </c>
      <c r="C22262" s="8" t="s">
        <v>8194</v>
      </c>
      <c r="D22262" s="8">
        <v>15</v>
      </c>
      <c r="E22262" s="8">
        <v>0</v>
      </c>
      <c r="F22262" s="8">
        <v>5429</v>
      </c>
    </row>
    <row r="22263" spans="1:6" ht="12.75">
      <c r="A22263" s="8">
        <v>43894.37903935185</v>
      </c>
      <c r="B22263" s="8" t="str">
        <f>HYPERLINK("https://twitter.com/hermawanjsp","@hermawanjsp")</f>
        <v>@hermawanjsp</v>
      </c>
      <c r="C22263" s="8" t="s">
        <v>6710</v>
      </c>
      <c r="D22263" s="8">
        <v>117</v>
      </c>
      <c r="E22263" s="8">
        <v>0</v>
      </c>
      <c r="F22263" s="8">
        <v>1409</v>
      </c>
    </row>
    <row r="22264" spans="1:6" ht="12.75">
      <c r="A22264" s="8">
        <v>43894.379004629634</v>
      </c>
      <c r="B22264" s="8" t="str">
        <f>HYPERLINK("https://twitter.com/amrudinnejad_","@amrudinnejad_")</f>
        <v>@amrudinnejad_</v>
      </c>
      <c r="C22264" s="8" t="s">
        <v>8194</v>
      </c>
      <c r="D22264" s="8">
        <v>15</v>
      </c>
      <c r="E22264" s="8">
        <v>0</v>
      </c>
      <c r="F22264" s="8">
        <v>8008</v>
      </c>
    </row>
    <row r="22265" spans="1:6" ht="12.75">
      <c r="A22265" s="8">
        <v>43894.378506944442</v>
      </c>
      <c r="B22265" s="8" t="str">
        <f>HYPERLINK("https://twitter.com/Prambors","@Prambors")</f>
        <v>@Prambors</v>
      </c>
      <c r="C22265" s="8" t="s">
        <v>9054</v>
      </c>
      <c r="D22265" s="8">
        <v>2</v>
      </c>
      <c r="E22265" s="8">
        <v>0</v>
      </c>
      <c r="F22265" s="8">
        <v>2260427</v>
      </c>
    </row>
    <row r="22266" spans="1:6" ht="12.75">
      <c r="A22266" s="8">
        <v>43894.378414351857</v>
      </c>
      <c r="B22266" s="8" t="str">
        <f>HYPERLINK("https://twitter.com/PEMETIKkadrun08","@PEMETIKkadrun08")</f>
        <v>@PEMETIKkadrun08</v>
      </c>
      <c r="C22266" s="8" t="s">
        <v>8506</v>
      </c>
      <c r="D22266" s="8">
        <v>8</v>
      </c>
      <c r="E22266" s="8">
        <v>0</v>
      </c>
      <c r="F22266" s="8">
        <v>200</v>
      </c>
    </row>
    <row r="22267" spans="1:6" ht="12.75">
      <c r="A22267" s="8">
        <v>43894.378171296295</v>
      </c>
      <c r="B22267" s="8" t="str">
        <f>HYPERLINK("https://twitter.com/mbahnoer88","@mbahnoer88")</f>
        <v>@mbahnoer88</v>
      </c>
      <c r="C22267" s="8" t="s">
        <v>9055</v>
      </c>
      <c r="D22267" s="8">
        <v>0</v>
      </c>
      <c r="E22267" s="8">
        <v>0</v>
      </c>
      <c r="F22267" s="8">
        <v>3420</v>
      </c>
    </row>
    <row r="22268" spans="1:6" ht="12.75">
      <c r="A22268" s="8">
        <v>43894.37804398148</v>
      </c>
      <c r="B22268" s="8" t="str">
        <f>HYPERLINK("https://twitter.com/arasardiningrum","@arasardiningrum")</f>
        <v>@arasardiningrum</v>
      </c>
      <c r="C22268" s="8" t="s">
        <v>9056</v>
      </c>
      <c r="D22268" s="8">
        <v>0</v>
      </c>
      <c r="E22268" s="8">
        <v>0</v>
      </c>
      <c r="F22268" s="8">
        <v>618</v>
      </c>
    </row>
    <row r="22269" spans="1:6" ht="12.75">
      <c r="A22269" s="8">
        <v>43894.377986111111</v>
      </c>
      <c r="B22269" s="8" t="str">
        <f>HYPERLINK("https://twitter.com/ridwan0726","@ridwan0726")</f>
        <v>@ridwan0726</v>
      </c>
      <c r="C22269" s="8" t="s">
        <v>9057</v>
      </c>
      <c r="D22269" s="8">
        <v>0</v>
      </c>
      <c r="E22269" s="8">
        <v>0</v>
      </c>
      <c r="F22269" s="8">
        <v>4668</v>
      </c>
    </row>
    <row r="22270" spans="1:6" ht="12.75">
      <c r="A22270" s="8">
        <v>43894.377812499995</v>
      </c>
      <c r="B22270" s="8" t="str">
        <f>HYPERLINK("https://twitter.com/ciptoApaCipta","@ciptoApaCipta")</f>
        <v>@ciptoApaCipta</v>
      </c>
      <c r="C22270" s="8" t="s">
        <v>7661</v>
      </c>
      <c r="D22270" s="8">
        <v>480</v>
      </c>
      <c r="E22270" s="8">
        <v>0</v>
      </c>
      <c r="F22270" s="8">
        <v>580</v>
      </c>
    </row>
    <row r="22271" spans="1:6" ht="12.75">
      <c r="A22271" s="8">
        <v>43894.377766203703</v>
      </c>
      <c r="B22271" s="8" t="str">
        <f>HYPERLINK("https://twitter.com/LeonardusBonav2","@LeonardusBonav2")</f>
        <v>@LeonardusBonav2</v>
      </c>
      <c r="C22271" s="8" t="s">
        <v>9058</v>
      </c>
      <c r="D22271" s="8">
        <v>10</v>
      </c>
      <c r="E22271" s="8">
        <v>0</v>
      </c>
      <c r="F22271" s="8">
        <v>8</v>
      </c>
    </row>
    <row r="22272" spans="1:6" ht="12.75">
      <c r="A22272" s="8">
        <v>43894.377430555556</v>
      </c>
      <c r="B22272" s="8" t="str">
        <f>HYPERLINK("https://twitter.com/DavidKanata","@DavidKanata")</f>
        <v>@DavidKanata</v>
      </c>
      <c r="C22272" s="8" t="s">
        <v>8445</v>
      </c>
      <c r="D22272" s="8">
        <v>7</v>
      </c>
      <c r="E22272" s="8">
        <v>0</v>
      </c>
      <c r="F22272" s="8">
        <v>1299</v>
      </c>
    </row>
    <row r="22273" spans="1:6" ht="12.75">
      <c r="A22273" s="8">
        <v>43894.376979166671</v>
      </c>
      <c r="B22273" s="8" t="str">
        <f>HYPERLINK("https://twitter.com/jmyjimmy","@jmyjimmy")</f>
        <v>@jmyjimmy</v>
      </c>
      <c r="C22273" s="8" t="s">
        <v>6710</v>
      </c>
      <c r="D22273" s="8">
        <v>117</v>
      </c>
      <c r="E22273" s="8">
        <v>0</v>
      </c>
      <c r="F22273" s="8">
        <v>200</v>
      </c>
    </row>
    <row r="22274" spans="1:6" ht="12.75">
      <c r="A22274" s="8">
        <v>43894.376956018517</v>
      </c>
      <c r="B22274" s="8" t="str">
        <f>HYPERLINK("https://twitter.com/pluvieophile","@pluvieophile")</f>
        <v>@pluvieophile</v>
      </c>
      <c r="C22274" s="8" t="s">
        <v>1427</v>
      </c>
      <c r="D22274" s="8">
        <v>1016</v>
      </c>
      <c r="E22274" s="8">
        <v>0</v>
      </c>
      <c r="F22274" s="8">
        <v>150</v>
      </c>
    </row>
    <row r="22275" spans="1:6" ht="12.75">
      <c r="A22275" s="8">
        <v>43894.376770833333</v>
      </c>
      <c r="B22275" s="8" t="str">
        <f>HYPERLINK("https://twitter.com/KSogemaking","@KSogemaking")</f>
        <v>@KSogemaking</v>
      </c>
      <c r="C22275" s="8" t="s">
        <v>7796</v>
      </c>
      <c r="D22275" s="8">
        <v>38</v>
      </c>
      <c r="E22275" s="8">
        <v>0</v>
      </c>
      <c r="F22275" s="8">
        <v>954</v>
      </c>
    </row>
    <row r="22276" spans="1:6" ht="12.75">
      <c r="A22276" s="8">
        <v>43894.376701388886</v>
      </c>
      <c r="B22276" s="8" t="str">
        <f>HYPERLINK("https://twitter.com/ignadzathifaM","@ignadzathifaM")</f>
        <v>@ignadzathifaM</v>
      </c>
      <c r="C22276" s="8" t="s">
        <v>2199</v>
      </c>
      <c r="D22276" s="8">
        <v>9061</v>
      </c>
      <c r="E22276" s="8">
        <v>0</v>
      </c>
      <c r="F22276" s="8">
        <v>261</v>
      </c>
    </row>
    <row r="22277" spans="1:6" ht="12.75">
      <c r="A22277" s="8">
        <v>43894.376307870371</v>
      </c>
      <c r="B22277" s="8" t="str">
        <f>HYPERLINK("https://twitter.com/kopitehkopi","@kopitehkopi")</f>
        <v>@kopitehkopi</v>
      </c>
      <c r="C22277" s="8" t="s">
        <v>9059</v>
      </c>
      <c r="D22277" s="8">
        <v>5</v>
      </c>
      <c r="E22277" s="8">
        <v>0</v>
      </c>
      <c r="F22277" s="8">
        <v>4854</v>
      </c>
    </row>
    <row r="22278" spans="1:6" ht="12.75">
      <c r="A22278" s="8">
        <v>43894.37605324074</v>
      </c>
      <c r="B22278" s="8" t="str">
        <f>HYPERLINK("https://twitter.com/mmiikkhhssaann","@mmiikkhhssaann")</f>
        <v>@mmiikkhhssaann</v>
      </c>
      <c r="C22278" s="8" t="s">
        <v>2962</v>
      </c>
      <c r="D22278" s="8">
        <v>5636</v>
      </c>
      <c r="E22278" s="8">
        <v>0</v>
      </c>
      <c r="F22278" s="8">
        <v>16</v>
      </c>
    </row>
    <row r="22279" spans="1:6" ht="12.75">
      <c r="A22279" s="8">
        <v>43894.375914351855</v>
      </c>
      <c r="B22279" s="8" t="str">
        <f>HYPERLINK("https://twitter.com/LeonardusBonav2","@LeonardusBonav2")</f>
        <v>@LeonardusBonav2</v>
      </c>
      <c r="C22279" s="8" t="s">
        <v>7604</v>
      </c>
      <c r="D22279" s="8">
        <v>17</v>
      </c>
      <c r="E22279" s="8">
        <v>0</v>
      </c>
      <c r="F22279" s="8">
        <v>8</v>
      </c>
    </row>
    <row r="22280" spans="1:6" ht="12.75">
      <c r="A22280" s="8">
        <v>43894.375798611116</v>
      </c>
      <c r="B22280" s="8" t="str">
        <f>HYPERLINK("https://twitter.com/sangamei","@sangamei")</f>
        <v>@sangamei</v>
      </c>
      <c r="C22280" s="8" t="s">
        <v>9060</v>
      </c>
      <c r="D22280" s="8">
        <v>0</v>
      </c>
      <c r="E22280" s="8">
        <v>0</v>
      </c>
      <c r="F22280" s="8">
        <v>1607</v>
      </c>
    </row>
    <row r="22281" spans="1:6" ht="12.75">
      <c r="A22281" s="8">
        <v>43894.375740740739</v>
      </c>
      <c r="B22281" s="8" t="str">
        <f>HYPERLINK("https://twitter.com/nabilaazisha","@nabilaazisha")</f>
        <v>@nabilaazisha</v>
      </c>
      <c r="C22281" s="8" t="s">
        <v>9061</v>
      </c>
      <c r="D22281" s="8">
        <v>0</v>
      </c>
      <c r="E22281" s="8">
        <v>0</v>
      </c>
      <c r="F22281" s="8">
        <v>31</v>
      </c>
    </row>
    <row r="22282" spans="1:6" ht="12.75">
      <c r="A22282" s="8">
        <v>43894.375451388885</v>
      </c>
      <c r="B22282" s="8" t="str">
        <f>HYPERLINK("https://twitter.com/UrubingDilah","@UrubingDilah")</f>
        <v>@UrubingDilah</v>
      </c>
      <c r="C22282" s="8" t="s">
        <v>7796</v>
      </c>
      <c r="D22282" s="8">
        <v>38</v>
      </c>
      <c r="E22282" s="8">
        <v>0</v>
      </c>
      <c r="F22282" s="8">
        <v>1361</v>
      </c>
    </row>
    <row r="22283" spans="1:6" ht="12.75">
      <c r="A22283" s="8">
        <v>43894.374780092592</v>
      </c>
      <c r="B22283" s="8" t="str">
        <f>HYPERLINK("https://twitter.com/seemu_samueru","@seemu_samueru")</f>
        <v>@seemu_samueru</v>
      </c>
      <c r="C22283" s="8" t="s">
        <v>6710</v>
      </c>
      <c r="D22283" s="8">
        <v>117</v>
      </c>
      <c r="E22283" s="8">
        <v>0</v>
      </c>
      <c r="F22283" s="8">
        <v>113</v>
      </c>
    </row>
    <row r="22284" spans="1:6" ht="12.75">
      <c r="A22284" s="8">
        <v>43894.374710648146</v>
      </c>
      <c r="B22284" s="8" t="str">
        <f>HYPERLINK("https://twitter.com/fluflylof","@fluflylof")</f>
        <v>@fluflylof</v>
      </c>
      <c r="C22284" s="8" t="s">
        <v>3648</v>
      </c>
      <c r="D22284" s="8">
        <v>649</v>
      </c>
      <c r="E22284" s="8">
        <v>0</v>
      </c>
      <c r="F22284" s="8">
        <v>123</v>
      </c>
    </row>
    <row r="22285" spans="1:6" ht="12.75">
      <c r="A22285" s="8">
        <v>43894.374571759261</v>
      </c>
      <c r="B22285" s="8" t="str">
        <f>HYPERLINK("https://twitter.com/ephraym8","@ephraym8")</f>
        <v>@ephraym8</v>
      </c>
      <c r="C22285" s="8" t="s">
        <v>6710</v>
      </c>
      <c r="D22285" s="8">
        <v>117</v>
      </c>
      <c r="E22285" s="8">
        <v>0</v>
      </c>
      <c r="F22285" s="8">
        <v>1194</v>
      </c>
    </row>
    <row r="22286" spans="1:6" ht="12.75">
      <c r="A22286" s="8">
        <v>43894.374537037038</v>
      </c>
      <c r="B22286" s="8" t="str">
        <f>HYPERLINK("https://twitter.com/RivaldiZakie","@RivaldiZakie")</f>
        <v>@RivaldiZakie</v>
      </c>
      <c r="C22286" s="8" t="s">
        <v>9062</v>
      </c>
      <c r="D22286" s="8">
        <v>8</v>
      </c>
      <c r="E22286" s="8">
        <v>0</v>
      </c>
      <c r="F22286" s="8">
        <v>16</v>
      </c>
    </row>
    <row r="22287" spans="1:6" ht="12.75">
      <c r="A22287" s="8">
        <v>43894.374409722222</v>
      </c>
      <c r="B22287" s="8" t="str">
        <f>HYPERLINK("https://twitter.com/Remansky","@Remansky")</f>
        <v>@Remansky</v>
      </c>
      <c r="C22287" s="8" t="s">
        <v>2199</v>
      </c>
      <c r="D22287" s="8">
        <v>9061</v>
      </c>
      <c r="E22287" s="8">
        <v>0</v>
      </c>
      <c r="F22287" s="8">
        <v>167</v>
      </c>
    </row>
    <row r="22288" spans="1:6" ht="12.75">
      <c r="A22288" s="8">
        <v>43894.374398148153</v>
      </c>
      <c r="B22288" s="8" t="str">
        <f>HYPERLINK("https://twitter.com/antarasumbar","@antarasumbar")</f>
        <v>@antarasumbar</v>
      </c>
      <c r="C22288" s="8" t="s">
        <v>9063</v>
      </c>
      <c r="D22288" s="8">
        <v>0</v>
      </c>
      <c r="E22288" s="8">
        <v>0</v>
      </c>
      <c r="F22288" s="8">
        <v>9122</v>
      </c>
    </row>
    <row r="22289" spans="1:6" ht="12.75">
      <c r="A22289" s="8">
        <v>43894.374189814815</v>
      </c>
      <c r="B22289" s="8" t="str">
        <f>HYPERLINK("https://twitter.com/WongKhamFret","@WongKhamFret")</f>
        <v>@WongKhamFret</v>
      </c>
      <c r="C22289" s="8" t="s">
        <v>6710</v>
      </c>
      <c r="D22289" s="8">
        <v>117</v>
      </c>
      <c r="E22289" s="8">
        <v>0</v>
      </c>
      <c r="F22289" s="8">
        <v>2106</v>
      </c>
    </row>
    <row r="22290" spans="1:6" ht="12.75">
      <c r="A22290" s="8">
        <v>43894.374189814815</v>
      </c>
      <c r="B22290" s="8" t="str">
        <f>HYPERLINK("https://twitter.com/4f07b5140fa24b7","@4f07b5140fa24b7")</f>
        <v>@4f07b5140fa24b7</v>
      </c>
      <c r="C22290" s="8" t="s">
        <v>6710</v>
      </c>
      <c r="D22290" s="8">
        <v>117</v>
      </c>
      <c r="E22290" s="8">
        <v>0</v>
      </c>
      <c r="F22290" s="8">
        <v>3</v>
      </c>
    </row>
    <row r="22291" spans="1:6" ht="12.75">
      <c r="A22291" s="8">
        <v>43894.374097222222</v>
      </c>
      <c r="B22291" s="8" t="str">
        <f>HYPERLINK("https://twitter.com/cangkir_plastik","@cangkir_plastik")</f>
        <v>@cangkir_plastik</v>
      </c>
      <c r="C22291" s="8" t="s">
        <v>9064</v>
      </c>
      <c r="D22291" s="8">
        <v>0</v>
      </c>
      <c r="E22291" s="8">
        <v>0</v>
      </c>
      <c r="F22291" s="8">
        <v>727</v>
      </c>
    </row>
    <row r="22292" spans="1:6" ht="12.75">
      <c r="A22292" s="8">
        <v>43894.374027777776</v>
      </c>
      <c r="B22292" s="8" t="str">
        <f>HYPERLINK("https://twitter.com/TeyengCekap","@TeyengCekap")</f>
        <v>@TeyengCekap</v>
      </c>
      <c r="C22292" s="8" t="s">
        <v>9059</v>
      </c>
      <c r="D22292" s="8">
        <v>5</v>
      </c>
      <c r="E22292" s="8">
        <v>0</v>
      </c>
      <c r="F22292" s="8">
        <v>5671</v>
      </c>
    </row>
    <row r="22293" spans="1:6" ht="12.75">
      <c r="A22293" s="8">
        <v>43894.37399305556</v>
      </c>
      <c r="B22293" s="8" t="str">
        <f>HYPERLINK("https://twitter.com/wahhabicc_jabar","@wahhabicc_jabar")</f>
        <v>@wahhabicc_jabar</v>
      </c>
      <c r="C22293" s="8" t="s">
        <v>9065</v>
      </c>
      <c r="D22293" s="8">
        <v>1</v>
      </c>
      <c r="E22293" s="8">
        <v>0</v>
      </c>
      <c r="F22293" s="8">
        <v>30880</v>
      </c>
    </row>
    <row r="22294" spans="1:6" ht="12.75">
      <c r="A22294" s="8">
        <v>43894.373923611114</v>
      </c>
      <c r="B22294" s="8" t="str">
        <f>HYPERLINK("https://twitter.com/BR3K3L3_NY454R","@BR3K3L3_NY454R")</f>
        <v>@BR3K3L3_NY454R</v>
      </c>
      <c r="C22294" s="8" t="s">
        <v>8445</v>
      </c>
      <c r="D22294" s="8">
        <v>7</v>
      </c>
      <c r="E22294" s="8">
        <v>0</v>
      </c>
      <c r="F22294" s="8">
        <v>1165</v>
      </c>
    </row>
    <row r="22295" spans="1:6" ht="12.75">
      <c r="A22295" s="8">
        <v>43894.373587962968</v>
      </c>
      <c r="B22295" s="8" t="str">
        <f>HYPERLINK("https://twitter.com/mbahnoer88","@mbahnoer88")</f>
        <v>@mbahnoer88</v>
      </c>
      <c r="C22295" s="8" t="s">
        <v>8445</v>
      </c>
      <c r="D22295" s="8">
        <v>7</v>
      </c>
      <c r="E22295" s="8">
        <v>0</v>
      </c>
      <c r="F22295" s="8">
        <v>3420</v>
      </c>
    </row>
    <row r="22296" spans="1:6" ht="12.75">
      <c r="A22296" s="8">
        <v>43894.373553240745</v>
      </c>
      <c r="B22296" s="8" t="str">
        <f>HYPERLINK("https://twitter.com/thikathy","@thikathy")</f>
        <v>@thikathy</v>
      </c>
      <c r="C22296" s="8" t="s">
        <v>6710</v>
      </c>
      <c r="D22296" s="8">
        <v>117</v>
      </c>
      <c r="E22296" s="8">
        <v>0</v>
      </c>
      <c r="F22296" s="8">
        <v>1610</v>
      </c>
    </row>
    <row r="22297" spans="1:6" ht="12.75">
      <c r="A22297" s="8">
        <v>43894.373506944445</v>
      </c>
      <c r="B22297" s="8" t="str">
        <f t="shared" ref="B22297:B22298" si="325">HYPERLINK("https://twitter.com/dodi_ahmad07","@dodi_ahmad07")</f>
        <v>@dodi_ahmad07</v>
      </c>
      <c r="C22297" s="8" t="s">
        <v>8306</v>
      </c>
      <c r="D22297" s="8">
        <v>3</v>
      </c>
      <c r="E22297" s="8">
        <v>0</v>
      </c>
      <c r="F22297" s="8">
        <v>637</v>
      </c>
    </row>
    <row r="22298" spans="1:6" ht="12.75">
      <c r="A22298" s="8">
        <v>43894.373437499999</v>
      </c>
      <c r="B22298" s="8" t="str">
        <f t="shared" si="325"/>
        <v>@dodi_ahmad07</v>
      </c>
      <c r="C22298" s="8" t="s">
        <v>9066</v>
      </c>
      <c r="D22298" s="8">
        <v>4</v>
      </c>
      <c r="E22298" s="8">
        <v>0</v>
      </c>
      <c r="F22298" s="8">
        <v>637</v>
      </c>
    </row>
    <row r="22299" spans="1:6" ht="12.75">
      <c r="A22299" s="8">
        <v>43894.373298611114</v>
      </c>
      <c r="B22299" s="8" t="str">
        <f>HYPERLINK("https://twitter.com/TeyengCekap","@TeyengCekap")</f>
        <v>@TeyengCekap</v>
      </c>
      <c r="C22299" s="8" t="s">
        <v>7516</v>
      </c>
      <c r="D22299" s="8">
        <v>38</v>
      </c>
      <c r="E22299" s="8">
        <v>0</v>
      </c>
      <c r="F22299" s="8">
        <v>5671</v>
      </c>
    </row>
    <row r="22300" spans="1:6" ht="12.75">
      <c r="A22300" s="8">
        <v>43894.373067129629</v>
      </c>
      <c r="B22300" s="8" t="str">
        <f>HYPERLINK("https://twitter.com/Dalban__80","@Dalban__80")</f>
        <v>@Dalban__80</v>
      </c>
      <c r="C22300" s="8" t="s">
        <v>8194</v>
      </c>
      <c r="D22300" s="8">
        <v>15</v>
      </c>
      <c r="E22300" s="8">
        <v>0</v>
      </c>
      <c r="F22300" s="8">
        <v>22</v>
      </c>
    </row>
    <row r="22301" spans="1:6" ht="12.75">
      <c r="A22301" s="8">
        <v>43894.372986111106</v>
      </c>
      <c r="B22301" s="8" t="str">
        <f>HYPERLINK("https://twitter.com/RezimTipuDaya","@RezimTipuDaya")</f>
        <v>@RezimTipuDaya</v>
      </c>
      <c r="C22301" s="8" t="s">
        <v>9067</v>
      </c>
      <c r="D22301" s="8">
        <v>2</v>
      </c>
      <c r="E22301" s="8">
        <v>0</v>
      </c>
      <c r="F22301" s="8">
        <v>2120</v>
      </c>
    </row>
    <row r="22302" spans="1:6" ht="12.75">
      <c r="A22302" s="8">
        <v>43894.372754629629</v>
      </c>
      <c r="B22302" s="8" t="str">
        <f>HYPERLINK("https://twitter.com/eko_kuntadhi","@eko_kuntadhi")</f>
        <v>@eko_kuntadhi</v>
      </c>
      <c r="C22302" s="8" t="s">
        <v>9068</v>
      </c>
      <c r="D22302" s="8">
        <v>7</v>
      </c>
      <c r="E22302" s="8">
        <v>18</v>
      </c>
      <c r="F22302" s="8">
        <v>56830</v>
      </c>
    </row>
    <row r="22303" spans="1:6" ht="12.75">
      <c r="A22303" s="8">
        <v>43894.372708333336</v>
      </c>
      <c r="B22303" s="8" t="str">
        <f>HYPERLINK("https://twitter.com/RHNurcahyo","@RHNurcahyo")</f>
        <v>@RHNurcahyo</v>
      </c>
      <c r="C22303" s="8" t="s">
        <v>685</v>
      </c>
      <c r="D22303" s="8">
        <v>179</v>
      </c>
      <c r="E22303" s="8">
        <v>0</v>
      </c>
      <c r="F22303" s="8">
        <v>464</v>
      </c>
    </row>
    <row r="22304" spans="1:6" ht="12.75">
      <c r="A22304" s="8">
        <v>43894.372685185182</v>
      </c>
      <c r="B22304" s="8" t="str">
        <f>HYPERLINK("https://twitter.com/goencobain","@goencobain")</f>
        <v>@goencobain</v>
      </c>
      <c r="C22304" s="8" t="s">
        <v>8742</v>
      </c>
      <c r="D22304" s="8">
        <v>1</v>
      </c>
      <c r="E22304" s="8">
        <v>0</v>
      </c>
      <c r="F22304" s="8">
        <v>45</v>
      </c>
    </row>
    <row r="22305" spans="1:6" ht="12.75">
      <c r="A22305" s="8">
        <v>43894.372395833328</v>
      </c>
      <c r="B22305" s="8" t="str">
        <f>HYPERLINK("https://twitter.com/Jono_Fortunate","@Jono_Fortunate")</f>
        <v>@Jono_Fortunate</v>
      </c>
      <c r="C22305" s="8" t="s">
        <v>6710</v>
      </c>
      <c r="D22305" s="8">
        <v>117</v>
      </c>
      <c r="E22305" s="8">
        <v>0</v>
      </c>
      <c r="F22305" s="8">
        <v>672</v>
      </c>
    </row>
    <row r="22306" spans="1:6" ht="12.75">
      <c r="A22306" s="8">
        <v>43894.37226851852</v>
      </c>
      <c r="B22306" s="8" t="str">
        <f>HYPERLINK("https://twitter.com/las3acc","@las3acc")</f>
        <v>@las3acc</v>
      </c>
      <c r="C22306" s="8" t="s">
        <v>8194</v>
      </c>
      <c r="D22306" s="8">
        <v>15</v>
      </c>
      <c r="E22306" s="8">
        <v>0</v>
      </c>
      <c r="F22306" s="8">
        <v>5117</v>
      </c>
    </row>
    <row r="22307" spans="1:6" ht="12.75">
      <c r="A22307" s="8">
        <v>43894.372256944444</v>
      </c>
      <c r="B22307" s="8" t="str">
        <f>HYPERLINK("https://twitter.com/MonoKaritas","@MonoKaritas")</f>
        <v>@MonoKaritas</v>
      </c>
      <c r="C22307" s="8" t="s">
        <v>6710</v>
      </c>
      <c r="D22307" s="8">
        <v>117</v>
      </c>
      <c r="E22307" s="8">
        <v>0</v>
      </c>
      <c r="F22307" s="8">
        <v>366</v>
      </c>
    </row>
    <row r="22308" spans="1:6" ht="12.75">
      <c r="A22308" s="8">
        <v>43894.372152777782</v>
      </c>
      <c r="B22308" s="8" t="str">
        <f>HYPERLINK("https://twitter.com/randysforce","@randysforce")</f>
        <v>@randysforce</v>
      </c>
      <c r="C22308" s="8" t="s">
        <v>5732</v>
      </c>
      <c r="D22308" s="8">
        <v>2189</v>
      </c>
      <c r="E22308" s="8">
        <v>0</v>
      </c>
      <c r="F22308" s="8">
        <v>117</v>
      </c>
    </row>
    <row r="22309" spans="1:6" ht="12.75">
      <c r="A22309" s="8">
        <v>43894.37195601852</v>
      </c>
      <c r="B22309" s="8" t="str">
        <f>HYPERLINK("https://twitter.com/sibarani_parada","@sibarani_parada")</f>
        <v>@sibarani_parada</v>
      </c>
      <c r="C22309" s="8" t="s">
        <v>6710</v>
      </c>
      <c r="D22309" s="8">
        <v>117</v>
      </c>
      <c r="E22309" s="8">
        <v>0</v>
      </c>
      <c r="F22309" s="8">
        <v>27</v>
      </c>
    </row>
    <row r="22310" spans="1:6" ht="12.75">
      <c r="A22310" s="8">
        <v>43894.371759259258</v>
      </c>
      <c r="B22310" s="8" t="str">
        <f>HYPERLINK("https://twitter.com/Wahyu05806471","@Wahyu05806471")</f>
        <v>@Wahyu05806471</v>
      </c>
      <c r="C22310" s="8" t="s">
        <v>8194</v>
      </c>
      <c r="D22310" s="8">
        <v>15</v>
      </c>
      <c r="E22310" s="8">
        <v>0</v>
      </c>
      <c r="F22310" s="8">
        <v>848</v>
      </c>
    </row>
    <row r="22311" spans="1:6" ht="12.75">
      <c r="A22311" s="8">
        <v>43894.371712962966</v>
      </c>
      <c r="B22311" s="8" t="str">
        <f>HYPERLINK("https://twitter.com/yudhapati88","@yudhapati88")</f>
        <v>@yudhapati88</v>
      </c>
      <c r="C22311" s="8" t="s">
        <v>8194</v>
      </c>
      <c r="D22311" s="8">
        <v>15</v>
      </c>
      <c r="E22311" s="8">
        <v>0</v>
      </c>
      <c r="F22311" s="8">
        <v>3443</v>
      </c>
    </row>
    <row r="22312" spans="1:6" ht="12.75">
      <c r="A22312" s="8">
        <v>43894.371331018519</v>
      </c>
      <c r="B22312" s="8" t="str">
        <f>HYPERLINK("https://twitter.com/dwiyanaDKM","@dwiyanaDKM")</f>
        <v>@dwiyanaDKM</v>
      </c>
      <c r="C22312" s="8" t="s">
        <v>8194</v>
      </c>
      <c r="D22312" s="8">
        <v>15</v>
      </c>
      <c r="E22312" s="8">
        <v>0</v>
      </c>
      <c r="F22312" s="8">
        <v>2683</v>
      </c>
    </row>
    <row r="22313" spans="1:6" ht="12.75">
      <c r="A22313" s="8">
        <v>43894.37127314815</v>
      </c>
      <c r="B22313" s="8" t="str">
        <f>HYPERLINK("https://twitter.com/AmstrongBiring","@AmstrongBiring")</f>
        <v>@AmstrongBiring</v>
      </c>
      <c r="C22313" s="8" t="s">
        <v>9069</v>
      </c>
      <c r="D22313" s="8">
        <v>1</v>
      </c>
      <c r="E22313" s="8">
        <v>0</v>
      </c>
      <c r="F22313" s="8">
        <v>1989</v>
      </c>
    </row>
    <row r="22314" spans="1:6" ht="12.75">
      <c r="A22314" s="8">
        <v>43894.370752314819</v>
      </c>
      <c r="B22314" s="8" t="str">
        <f>HYPERLINK("https://twitter.com/aguskode","@aguskode")</f>
        <v>@aguskode</v>
      </c>
      <c r="C22314" s="8" t="s">
        <v>9070</v>
      </c>
      <c r="D22314" s="8">
        <v>0</v>
      </c>
      <c r="E22314" s="8">
        <v>0</v>
      </c>
      <c r="F22314" s="8">
        <v>290</v>
      </c>
    </row>
    <row r="22315" spans="1:6" ht="12.75">
      <c r="A22315" s="8">
        <v>43894.370590277773</v>
      </c>
      <c r="B22315" s="8" t="str">
        <f>HYPERLINK("https://twitter.com/skecther07","@skecther07")</f>
        <v>@skecther07</v>
      </c>
      <c r="C22315" s="8" t="s">
        <v>6315</v>
      </c>
      <c r="D22315" s="8">
        <v>164</v>
      </c>
      <c r="E22315" s="8">
        <v>0</v>
      </c>
      <c r="F22315" s="8">
        <v>0</v>
      </c>
    </row>
    <row r="22316" spans="1:6" ht="12.75">
      <c r="A22316" s="8">
        <v>43894.370011574079</v>
      </c>
      <c r="B22316" s="8" t="str">
        <f>HYPERLINK("https://twitter.com/aguskode","@aguskode")</f>
        <v>@aguskode</v>
      </c>
      <c r="C22316" s="8" t="s">
        <v>9070</v>
      </c>
      <c r="D22316" s="8">
        <v>0</v>
      </c>
      <c r="E22316" s="8">
        <v>0</v>
      </c>
      <c r="F22316" s="8">
        <v>290</v>
      </c>
    </row>
    <row r="22317" spans="1:6" ht="12.75">
      <c r="A22317" s="8">
        <v>43894.369872685187</v>
      </c>
      <c r="B22317" s="8" t="str">
        <f>HYPERLINK("https://twitter.com/Wahyu05806471","@Wahyu05806471")</f>
        <v>@Wahyu05806471</v>
      </c>
      <c r="C22317" s="8" t="s">
        <v>6710</v>
      </c>
      <c r="D22317" s="8">
        <v>117</v>
      </c>
      <c r="E22317" s="8">
        <v>0</v>
      </c>
      <c r="F22317" s="8">
        <v>848</v>
      </c>
    </row>
    <row r="22318" spans="1:6" ht="12.75">
      <c r="A22318" s="8">
        <v>43894.369421296295</v>
      </c>
      <c r="B22318" s="8" t="str">
        <f>HYPERLINK("https://twitter.com/abenk78","@abenk78")</f>
        <v>@abenk78</v>
      </c>
      <c r="C22318" s="8" t="s">
        <v>6710</v>
      </c>
      <c r="D22318" s="8">
        <v>117</v>
      </c>
      <c r="E22318" s="8">
        <v>0</v>
      </c>
      <c r="F22318" s="8">
        <v>19</v>
      </c>
    </row>
    <row r="22319" spans="1:6" ht="12.75">
      <c r="A22319" s="8">
        <v>43894.369293981479</v>
      </c>
      <c r="B22319" s="8" t="str">
        <f>HYPERLINK("https://twitter.com/ferry1168","@ferry1168")</f>
        <v>@ferry1168</v>
      </c>
      <c r="C22319" s="8" t="s">
        <v>6710</v>
      </c>
      <c r="D22319" s="8">
        <v>117</v>
      </c>
      <c r="E22319" s="8">
        <v>0</v>
      </c>
      <c r="F22319" s="8">
        <v>32</v>
      </c>
    </row>
    <row r="22320" spans="1:6" ht="12.75">
      <c r="A22320" s="8">
        <v>43894.369270833333</v>
      </c>
      <c r="B22320" s="8" t="str">
        <f>HYPERLINK("https://twitter.com/mbahnoer88","@mbahnoer88")</f>
        <v>@mbahnoer88</v>
      </c>
      <c r="C22320" s="8" t="s">
        <v>9071</v>
      </c>
      <c r="D22320" s="8">
        <v>0</v>
      </c>
      <c r="E22320" s="8">
        <v>0</v>
      </c>
      <c r="F22320" s="8">
        <v>3420</v>
      </c>
    </row>
    <row r="22321" spans="1:6" ht="12.75">
      <c r="A22321" s="8">
        <v>43894.369039351848</v>
      </c>
      <c r="B22321" s="8" t="str">
        <f>HYPERLINK("https://twitter.com/BuangJeleknya","@BuangJeleknya")</f>
        <v>@BuangJeleknya</v>
      </c>
      <c r="C22321" s="8" t="s">
        <v>9072</v>
      </c>
      <c r="D22321" s="8">
        <v>0</v>
      </c>
      <c r="E22321" s="8">
        <v>0</v>
      </c>
      <c r="F22321" s="8">
        <v>1294</v>
      </c>
    </row>
    <row r="22322" spans="1:6" ht="12.75">
      <c r="A22322" s="8">
        <v>43894.368877314817</v>
      </c>
      <c r="B22322" s="8" t="str">
        <f>HYPERLINK("https://twitter.com/kangpree","@kangpree")</f>
        <v>@kangpree</v>
      </c>
      <c r="C22322" s="8" t="s">
        <v>8901</v>
      </c>
      <c r="D22322" s="8">
        <v>229</v>
      </c>
      <c r="E22322" s="8">
        <v>0</v>
      </c>
      <c r="F22322" s="8">
        <v>286</v>
      </c>
    </row>
    <row r="22323" spans="1:6" ht="12.75">
      <c r="A22323" s="8">
        <v>43894.368761574078</v>
      </c>
      <c r="B22323" s="8" t="str">
        <f>HYPERLINK("https://twitter.com/okezonenews","@okezonenews")</f>
        <v>@okezonenews</v>
      </c>
      <c r="C22323" s="8" t="s">
        <v>9073</v>
      </c>
      <c r="D22323" s="8">
        <v>2</v>
      </c>
      <c r="E22323" s="8">
        <v>1</v>
      </c>
      <c r="F22323" s="8">
        <v>1743883</v>
      </c>
    </row>
    <row r="22324" spans="1:6" ht="12.75">
      <c r="A22324" s="8">
        <v>43894.368645833332</v>
      </c>
      <c r="B22324" s="8" t="str">
        <f>HYPERLINK("https://twitter.com/lambert_kota","@lambert_kota")</f>
        <v>@lambert_kota</v>
      </c>
      <c r="C22324" s="8" t="s">
        <v>6710</v>
      </c>
      <c r="D22324" s="8">
        <v>117</v>
      </c>
      <c r="E22324" s="8">
        <v>0</v>
      </c>
      <c r="F22324" s="8">
        <v>700</v>
      </c>
    </row>
    <row r="22325" spans="1:6" ht="12.75">
      <c r="A22325" s="8">
        <v>43894.368287037039</v>
      </c>
      <c r="B22325" s="8" t="str">
        <f>HYPERLINK("https://twitter.com/djonnyrg","@djonnyrg")</f>
        <v>@djonnyrg</v>
      </c>
      <c r="C22325" s="8" t="s">
        <v>9074</v>
      </c>
      <c r="D22325" s="8">
        <v>0</v>
      </c>
      <c r="E22325" s="8">
        <v>0</v>
      </c>
      <c r="F22325" s="8">
        <v>2324</v>
      </c>
    </row>
    <row r="22326" spans="1:6" ht="12.75">
      <c r="A22326" s="8">
        <v>43894.368263888886</v>
      </c>
      <c r="B22326" s="8" t="str">
        <f>HYPERLINK("https://twitter.com/Ari3Pras","@Ari3Pras")</f>
        <v>@Ari3Pras</v>
      </c>
      <c r="C22326" s="8" t="s">
        <v>8194</v>
      </c>
      <c r="D22326" s="8">
        <v>15</v>
      </c>
      <c r="E22326" s="8">
        <v>0</v>
      </c>
      <c r="F22326" s="8">
        <v>7590</v>
      </c>
    </row>
    <row r="22327" spans="1:6" ht="12.75">
      <c r="A22327" s="8">
        <v>43894.368252314816</v>
      </c>
      <c r="B22327" s="8" t="str">
        <f>HYPERLINK("https://twitter.com/AriePutraWijay1","@AriePutraWijay1")</f>
        <v>@AriePutraWijay1</v>
      </c>
      <c r="C22327" s="8" t="s">
        <v>8194</v>
      </c>
      <c r="D22327" s="8">
        <v>15</v>
      </c>
      <c r="E22327" s="8">
        <v>0</v>
      </c>
      <c r="F22327" s="8">
        <v>202</v>
      </c>
    </row>
    <row r="22328" spans="1:6" ht="12.75">
      <c r="A22328" s="8">
        <v>43894.368171296301</v>
      </c>
      <c r="B22328" s="8" t="str">
        <f>HYPERLINK("https://twitter.com/seperinnn","@seperinnn")</f>
        <v>@seperinnn</v>
      </c>
      <c r="C22328" s="8" t="s">
        <v>6710</v>
      </c>
      <c r="D22328" s="8">
        <v>117</v>
      </c>
      <c r="E22328" s="8">
        <v>0</v>
      </c>
      <c r="F22328" s="8">
        <v>97</v>
      </c>
    </row>
    <row r="22329" spans="1:6" ht="12.75">
      <c r="A22329" s="8">
        <v>43894.368113425924</v>
      </c>
      <c r="B22329" s="8" t="str">
        <f>HYPERLINK("https://twitter.com/YWihardjo","@YWihardjo")</f>
        <v>@YWihardjo</v>
      </c>
      <c r="C22329" s="8" t="s">
        <v>9075</v>
      </c>
      <c r="D22329" s="8">
        <v>1</v>
      </c>
      <c r="E22329" s="8">
        <v>2</v>
      </c>
      <c r="F22329" s="8">
        <v>176</v>
      </c>
    </row>
    <row r="22330" spans="1:6" ht="12.75">
      <c r="A22330" s="8">
        <v>43894.368101851855</v>
      </c>
      <c r="B22330" s="8" t="str">
        <f>HYPERLINK("https://twitter.com/BR3K3L3_NY454R","@BR3K3L3_NY454R")</f>
        <v>@BR3K3L3_NY454R</v>
      </c>
      <c r="C22330" s="8" t="s">
        <v>9076</v>
      </c>
      <c r="D22330" s="8">
        <v>0</v>
      </c>
      <c r="E22330" s="8">
        <v>1</v>
      </c>
      <c r="F22330" s="8">
        <v>1165</v>
      </c>
    </row>
    <row r="22331" spans="1:6" ht="12.75">
      <c r="A22331" s="8">
        <v>43894.367962962962</v>
      </c>
      <c r="B22331" s="8" t="str">
        <f>HYPERLINK("https://twitter.com/atalyosszuper","@atalyosszuper")</f>
        <v>@atalyosszuper</v>
      </c>
      <c r="C22331" s="8" t="s">
        <v>9077</v>
      </c>
      <c r="D22331" s="8">
        <v>0</v>
      </c>
      <c r="E22331" s="8">
        <v>0</v>
      </c>
      <c r="F22331" s="8">
        <v>217</v>
      </c>
    </row>
    <row r="22332" spans="1:6" ht="12.75">
      <c r="A22332" s="8">
        <v>43894.367696759262</v>
      </c>
      <c r="B22332" s="8" t="str">
        <f>HYPERLINK("https://twitter.com/AnandaJihad","@AnandaJihad")</f>
        <v>@AnandaJihad</v>
      </c>
      <c r="C22332" s="8" t="s">
        <v>9078</v>
      </c>
      <c r="D22332" s="8">
        <v>0</v>
      </c>
      <c r="E22332" s="8">
        <v>0</v>
      </c>
      <c r="F22332" s="8">
        <v>271</v>
      </c>
    </row>
    <row r="22333" spans="1:6" ht="12.75">
      <c r="A22333" s="8">
        <v>43894.367581018523</v>
      </c>
      <c r="B22333" s="8" t="str">
        <f>HYPERLINK("https://twitter.com/univ_syiahkuala","@univ_syiahkuala")</f>
        <v>@univ_syiahkuala</v>
      </c>
      <c r="C22333" s="8" t="s">
        <v>9079</v>
      </c>
      <c r="D22333" s="8">
        <v>2</v>
      </c>
      <c r="E22333" s="8">
        <v>0</v>
      </c>
      <c r="F22333" s="8">
        <v>9930</v>
      </c>
    </row>
    <row r="22334" spans="1:6" ht="12.75">
      <c r="A22334" s="8">
        <v>43894.367129629631</v>
      </c>
      <c r="B22334" s="8" t="str">
        <f>HYPERLINK("https://twitter.com/Ozie96036369","@Ozie96036369")</f>
        <v>@Ozie96036369</v>
      </c>
      <c r="C22334" s="8" t="s">
        <v>8970</v>
      </c>
      <c r="D22334" s="8">
        <v>133</v>
      </c>
      <c r="E22334" s="8">
        <v>0</v>
      </c>
      <c r="F22334" s="8">
        <v>99</v>
      </c>
    </row>
    <row r="22335" spans="1:6" ht="12.75">
      <c r="A22335" s="8">
        <v>43894.367071759261</v>
      </c>
      <c r="B22335" s="8" t="str">
        <f>HYPERLINK("https://twitter.com/tengeknih","@tengeknih")</f>
        <v>@tengeknih</v>
      </c>
      <c r="C22335" s="8" t="s">
        <v>9080</v>
      </c>
      <c r="D22335" s="8">
        <v>1</v>
      </c>
      <c r="E22335" s="8">
        <v>0</v>
      </c>
      <c r="F22335" s="8">
        <v>353</v>
      </c>
    </row>
    <row r="22336" spans="1:6" ht="12.75">
      <c r="A22336" s="8">
        <v>43894.366631944446</v>
      </c>
      <c r="B22336" s="8" t="str">
        <f>HYPERLINK("https://twitter.com/adityadmwn","@adityadmwn")</f>
        <v>@adityadmwn</v>
      </c>
      <c r="C22336" s="8" t="s">
        <v>3648</v>
      </c>
      <c r="D22336" s="8">
        <v>649</v>
      </c>
      <c r="E22336" s="8">
        <v>0</v>
      </c>
      <c r="F22336" s="8">
        <v>323</v>
      </c>
    </row>
    <row r="22337" spans="1:6" ht="12.75">
      <c r="A22337" s="8">
        <v>43894.366585648153</v>
      </c>
      <c r="B22337" s="8" t="str">
        <f>HYPERLINK("https://twitter.com/GabrieliSponch1","@GabrieliSponch1")</f>
        <v>@GabrieliSponch1</v>
      </c>
      <c r="C22337" s="8" t="s">
        <v>9081</v>
      </c>
      <c r="D22337" s="8">
        <v>0</v>
      </c>
      <c r="E22337" s="8">
        <v>0</v>
      </c>
      <c r="F22337" s="8">
        <v>51</v>
      </c>
    </row>
    <row r="22338" spans="1:6" ht="12.75">
      <c r="A22338" s="8">
        <v>43894.365810185191</v>
      </c>
      <c r="B22338" s="8" t="str">
        <f>HYPERLINK("https://twitter.com/yogiikhsan093","@yogiikhsan093")</f>
        <v>@yogiikhsan093</v>
      </c>
      <c r="C22338" s="8" t="s">
        <v>8843</v>
      </c>
      <c r="D22338" s="8">
        <v>98</v>
      </c>
      <c r="E22338" s="8">
        <v>0</v>
      </c>
      <c r="F22338" s="8">
        <v>27</v>
      </c>
    </row>
    <row r="22339" spans="1:6" ht="12.75">
      <c r="A22339" s="8">
        <v>43894.365682870368</v>
      </c>
      <c r="B22339" s="8" t="str">
        <f>HYPERLINK("https://twitter.com/ElshintaDotcom","@ElshintaDotcom")</f>
        <v>@ElshintaDotcom</v>
      </c>
      <c r="C22339" s="8" t="s">
        <v>8364</v>
      </c>
      <c r="D22339" s="8">
        <v>0</v>
      </c>
      <c r="E22339" s="8">
        <v>0</v>
      </c>
      <c r="F22339" s="8">
        <v>27941</v>
      </c>
    </row>
    <row r="22340" spans="1:6" ht="12.75">
      <c r="A22340" s="8">
        <v>43894.365578703699</v>
      </c>
      <c r="B22340" s="8" t="str">
        <f>HYPERLINK("https://twitter.com/RinjaniJB","@RinjaniJB")</f>
        <v>@RinjaniJB</v>
      </c>
      <c r="C22340" s="8" t="s">
        <v>9082</v>
      </c>
      <c r="D22340" s="8">
        <v>1</v>
      </c>
      <c r="E22340" s="8">
        <v>0</v>
      </c>
      <c r="F22340" s="8">
        <v>19258</v>
      </c>
    </row>
    <row r="22341" spans="1:6" ht="12.75">
      <c r="A22341" s="8">
        <v>43894.36555555556</v>
      </c>
      <c r="B22341" s="8" t="str">
        <f>HYPERLINK("https://twitter.com/AnaResti5","@AnaResti5")</f>
        <v>@AnaResti5</v>
      </c>
      <c r="C22341" s="8" t="s">
        <v>9083</v>
      </c>
      <c r="D22341" s="8">
        <v>0</v>
      </c>
      <c r="E22341" s="8">
        <v>0</v>
      </c>
      <c r="F22341" s="8">
        <v>10</v>
      </c>
    </row>
    <row r="22342" spans="1:6" ht="12.75">
      <c r="A22342" s="8">
        <v>43894.36550925926</v>
      </c>
      <c r="B22342" s="8" t="str">
        <f>HYPERLINK("https://twitter.com/SMBS_rio","@SMBS_rio")</f>
        <v>@SMBS_rio</v>
      </c>
      <c r="C22342" s="8" t="s">
        <v>6710</v>
      </c>
      <c r="D22342" s="8">
        <v>117</v>
      </c>
      <c r="E22342" s="8">
        <v>0</v>
      </c>
      <c r="F22342" s="8">
        <v>2577</v>
      </c>
    </row>
    <row r="22343" spans="1:6" ht="12.75">
      <c r="A22343" s="8">
        <v>43894.36518518519</v>
      </c>
      <c r="B22343" s="8" t="str">
        <f>HYPERLINK("https://twitter.com/kaumrisau","@kaumrisau")</f>
        <v>@kaumrisau</v>
      </c>
      <c r="C22343" s="8" t="s">
        <v>9084</v>
      </c>
      <c r="D22343" s="8">
        <v>0</v>
      </c>
      <c r="E22343" s="8">
        <v>0</v>
      </c>
      <c r="F22343" s="8">
        <v>251147</v>
      </c>
    </row>
    <row r="22344" spans="1:6" ht="12.75">
      <c r="A22344" s="8">
        <v>43894.364988425921</v>
      </c>
      <c r="B22344" s="8" t="str">
        <f>HYPERLINK("https://twitter.com/moesa_jp02","@moesa_jp02")</f>
        <v>@moesa_jp02</v>
      </c>
      <c r="C22344" s="8" t="s">
        <v>6710</v>
      </c>
      <c r="D22344" s="8">
        <v>117</v>
      </c>
      <c r="E22344" s="8">
        <v>0</v>
      </c>
      <c r="F22344" s="8">
        <v>1382</v>
      </c>
    </row>
    <row r="22345" spans="1:6" ht="12.75">
      <c r="A22345" s="8">
        <v>43894.364942129629</v>
      </c>
      <c r="B22345" s="8" t="str">
        <f>HYPERLINK("https://twitter.com/ksrundip","@ksrundip")</f>
        <v>@ksrundip</v>
      </c>
      <c r="C22345" s="8" t="s">
        <v>9085</v>
      </c>
      <c r="D22345" s="8">
        <v>0</v>
      </c>
      <c r="E22345" s="8">
        <v>0</v>
      </c>
      <c r="F22345" s="8">
        <v>2302</v>
      </c>
    </row>
    <row r="22346" spans="1:6" ht="12.75">
      <c r="A22346" s="8">
        <v>43894.364814814813</v>
      </c>
      <c r="B22346" s="8" t="str">
        <f>HYPERLINK("https://twitter.com/nanajowen","@nanajowen")</f>
        <v>@nanajowen</v>
      </c>
      <c r="C22346" s="8" t="s">
        <v>6710</v>
      </c>
      <c r="D22346" s="8">
        <v>117</v>
      </c>
      <c r="E22346" s="8">
        <v>0</v>
      </c>
      <c r="F22346" s="8">
        <v>102</v>
      </c>
    </row>
    <row r="22347" spans="1:6" ht="12.75">
      <c r="A22347" s="8">
        <v>43894.364687499998</v>
      </c>
      <c r="B22347" s="8" t="str">
        <f>HYPERLINK("https://twitter.com/bening29","@bening29")</f>
        <v>@bening29</v>
      </c>
      <c r="C22347" s="8" t="s">
        <v>9086</v>
      </c>
      <c r="D22347" s="8">
        <v>42</v>
      </c>
      <c r="E22347" s="8">
        <v>0</v>
      </c>
      <c r="F22347" s="8">
        <v>1021</v>
      </c>
    </row>
    <row r="22348" spans="1:6" ht="12.75">
      <c r="A22348" s="8">
        <v>43894.34003472222</v>
      </c>
      <c r="B22348" s="8" t="str">
        <f>HYPERLINK("https://twitter.com/bagusnenda","@bagusnenda")</f>
        <v>@bagusnenda</v>
      </c>
      <c r="C22348" s="8" t="s">
        <v>9087</v>
      </c>
      <c r="D22348" s="8">
        <v>24</v>
      </c>
      <c r="E22348" s="8">
        <v>0</v>
      </c>
      <c r="F22348" s="8">
        <v>144</v>
      </c>
    </row>
    <row r="22349" spans="1:6" ht="12.75">
      <c r="A22349" s="8">
        <v>43894.339953703704</v>
      </c>
      <c r="B22349" s="8" t="str">
        <f>HYPERLINK("https://twitter.com/AgnesWijayanto","@AgnesWijayanto")</f>
        <v>@AgnesWijayanto</v>
      </c>
      <c r="C22349" s="8" t="s">
        <v>6710</v>
      </c>
      <c r="D22349" s="8">
        <v>69</v>
      </c>
      <c r="E22349" s="8">
        <v>0</v>
      </c>
      <c r="F22349" s="8">
        <v>13</v>
      </c>
    </row>
    <row r="22350" spans="1:6" ht="12.75">
      <c r="A22350" s="8">
        <v>43894.339907407411</v>
      </c>
      <c r="B22350" s="8" t="str">
        <f>HYPERLINK("https://twitter.com/11brantakan","@11brantakan")</f>
        <v>@11brantakan</v>
      </c>
      <c r="C22350" s="8" t="s">
        <v>6827</v>
      </c>
      <c r="D22350" s="8">
        <v>48</v>
      </c>
      <c r="E22350" s="8">
        <v>0</v>
      </c>
      <c r="F22350" s="8">
        <v>369</v>
      </c>
    </row>
    <row r="22351" spans="1:6" ht="12.75">
      <c r="A22351" s="8">
        <v>43894.33971064815</v>
      </c>
      <c r="B22351" s="8" t="str">
        <f>HYPERLINK("https://twitter.com/wulandarilie01","@wulandarilie01")</f>
        <v>@wulandarilie01</v>
      </c>
      <c r="C22351" s="8" t="s">
        <v>1145</v>
      </c>
      <c r="D22351" s="8">
        <v>522</v>
      </c>
      <c r="E22351" s="8">
        <v>0</v>
      </c>
      <c r="F22351" s="8">
        <v>11</v>
      </c>
    </row>
    <row r="22352" spans="1:6" ht="12.75">
      <c r="A22352" s="8">
        <v>43894.339513888888</v>
      </c>
      <c r="B22352" s="8" t="str">
        <f>HYPERLINK("https://twitter.com/BimoMangkulang1","@BimoMangkulang1")</f>
        <v>@BimoMangkulang1</v>
      </c>
      <c r="C22352" s="8" t="s">
        <v>9088</v>
      </c>
      <c r="D22352" s="8">
        <v>53</v>
      </c>
      <c r="E22352" s="8">
        <v>0</v>
      </c>
      <c r="F22352" s="8">
        <v>286</v>
      </c>
    </row>
    <row r="22353" spans="1:6" ht="12.75">
      <c r="A22353" s="8">
        <v>43894.339467592596</v>
      </c>
      <c r="B22353" s="8" t="str">
        <f>HYPERLINK("https://twitter.com/FemiNo17","@FemiNo17")</f>
        <v>@FemiNo17</v>
      </c>
      <c r="C22353" s="8" t="s">
        <v>1970</v>
      </c>
      <c r="D22353" s="8">
        <v>1316</v>
      </c>
      <c r="E22353" s="8">
        <v>0</v>
      </c>
      <c r="F22353" s="8">
        <v>5</v>
      </c>
    </row>
    <row r="22354" spans="1:6" ht="12.75">
      <c r="A22354" s="8">
        <v>43894.338888888888</v>
      </c>
      <c r="B22354" s="8" t="str">
        <f>HYPERLINK("https://twitter.com/kokomfadillah","@kokomfadillah")</f>
        <v>@kokomfadillah</v>
      </c>
      <c r="C22354" s="8" t="s">
        <v>7597</v>
      </c>
      <c r="D22354" s="8">
        <v>736</v>
      </c>
      <c r="E22354" s="8">
        <v>0</v>
      </c>
      <c r="F22354" s="8">
        <v>74</v>
      </c>
    </row>
    <row r="22355" spans="1:6" ht="12.75">
      <c r="A22355" s="8">
        <v>43894.338749999995</v>
      </c>
      <c r="B22355" s="8" t="str">
        <f>HYPERLINK("https://twitter.com/SgMarthin","@SgMarthin")</f>
        <v>@SgMarthin</v>
      </c>
      <c r="C22355" s="8" t="s">
        <v>6710</v>
      </c>
      <c r="D22355" s="8">
        <v>69</v>
      </c>
      <c r="E22355" s="8">
        <v>0</v>
      </c>
      <c r="F22355" s="8">
        <v>645</v>
      </c>
    </row>
    <row r="22356" spans="1:6" ht="12.75">
      <c r="A22356" s="8">
        <v>43894.338518518518</v>
      </c>
      <c r="B22356" s="8" t="str">
        <f>HYPERLINK("https://twitter.com/wulandarijannah","@wulandarijannah")</f>
        <v>@wulandarijannah</v>
      </c>
      <c r="C22356" s="8" t="s">
        <v>9089</v>
      </c>
      <c r="D22356" s="8">
        <v>0</v>
      </c>
      <c r="E22356" s="8">
        <v>0</v>
      </c>
      <c r="F22356" s="8">
        <v>218</v>
      </c>
    </row>
    <row r="22357" spans="1:6" ht="12.75">
      <c r="A22357" s="8">
        <v>43894.338449074072</v>
      </c>
      <c r="B22357" s="8" t="str">
        <f>HYPERLINK("https://twitter.com/dirutGaliKubur","@dirutGaliKubur")</f>
        <v>@dirutGaliKubur</v>
      </c>
      <c r="C22357" s="8" t="s">
        <v>7597</v>
      </c>
      <c r="D22357" s="8">
        <v>736</v>
      </c>
      <c r="E22357" s="8">
        <v>0</v>
      </c>
      <c r="F22357" s="8">
        <v>648</v>
      </c>
    </row>
    <row r="22358" spans="1:6" ht="12.75">
      <c r="A22358" s="8">
        <v>43894.338171296295</v>
      </c>
      <c r="B22358" s="8" t="str">
        <f>HYPERLINK("https://twitter.com/bangtoyib1818","@bangtoyib1818")</f>
        <v>@bangtoyib1818</v>
      </c>
      <c r="C22358" s="8" t="s">
        <v>9090</v>
      </c>
      <c r="D22358" s="8">
        <v>0</v>
      </c>
      <c r="E22358" s="8">
        <v>0</v>
      </c>
      <c r="F22358" s="8">
        <v>899</v>
      </c>
    </row>
    <row r="22359" spans="1:6" ht="12.75">
      <c r="A22359" s="8">
        <v>43894.338078703702</v>
      </c>
      <c r="B22359" s="8" t="str">
        <f>HYPERLINK("https://twitter.com/golddiggeeeer","@golddiggeeeer")</f>
        <v>@golddiggeeeer</v>
      </c>
      <c r="C22359" s="8" t="s">
        <v>9091</v>
      </c>
      <c r="D22359" s="8">
        <v>0</v>
      </c>
      <c r="E22359" s="8">
        <v>0</v>
      </c>
      <c r="F22359" s="8">
        <v>479</v>
      </c>
    </row>
    <row r="22360" spans="1:6" ht="12.75">
      <c r="A22360" s="8">
        <v>43894.337997685187</v>
      </c>
      <c r="B22360" s="8" t="str">
        <f>HYPERLINK("https://twitter.com/NYAITIL","@NYAITIL")</f>
        <v>@NYAITIL</v>
      </c>
      <c r="C22360" s="8" t="s">
        <v>6710</v>
      </c>
      <c r="D22360" s="8">
        <v>69</v>
      </c>
      <c r="E22360" s="8">
        <v>0</v>
      </c>
      <c r="F22360" s="8">
        <v>1328</v>
      </c>
    </row>
    <row r="22361" spans="1:6" ht="12.75">
      <c r="A22361" s="8">
        <v>43894.33798611111</v>
      </c>
      <c r="B22361" s="8" t="str">
        <f>HYPERLINK("https://twitter.com/MrsRachelIn","@MrsRachelIn")</f>
        <v>@MrsRachelIn</v>
      </c>
      <c r="C22361" s="8" t="s">
        <v>9092</v>
      </c>
      <c r="D22361" s="8">
        <v>0</v>
      </c>
      <c r="E22361" s="8">
        <v>0</v>
      </c>
      <c r="F22361" s="8">
        <v>3444</v>
      </c>
    </row>
    <row r="22362" spans="1:6" ht="12.75">
      <c r="A22362" s="8">
        <v>43894.33766203704</v>
      </c>
      <c r="B22362" s="8" t="str">
        <f>HYPERLINK("https://twitter.com/7Naga10","@7Naga10")</f>
        <v>@7Naga10</v>
      </c>
      <c r="C22362" s="8" t="s">
        <v>6710</v>
      </c>
      <c r="D22362" s="8">
        <v>69</v>
      </c>
      <c r="E22362" s="8">
        <v>0</v>
      </c>
      <c r="F22362" s="8">
        <v>135</v>
      </c>
    </row>
    <row r="22363" spans="1:6" ht="12.75">
      <c r="A22363" s="8">
        <v>43894.33761574074</v>
      </c>
      <c r="B22363" s="8" t="str">
        <f>HYPERLINK("https://twitter.com/kicepkicep","@kicepkicep")</f>
        <v>@kicepkicep</v>
      </c>
      <c r="C22363" s="8" t="s">
        <v>8901</v>
      </c>
      <c r="D22363" s="8">
        <v>226</v>
      </c>
      <c r="E22363" s="8">
        <v>0</v>
      </c>
      <c r="F22363" s="8">
        <v>1252</v>
      </c>
    </row>
    <row r="22364" spans="1:6" ht="12.75">
      <c r="A22364" s="8">
        <v>43894.337326388893</v>
      </c>
      <c r="B22364" s="8" t="str">
        <f>HYPERLINK("https://twitter.com/911comand","@911comand")</f>
        <v>@911comand</v>
      </c>
      <c r="C22364" s="8" t="s">
        <v>9093</v>
      </c>
      <c r="D22364" s="8">
        <v>9</v>
      </c>
      <c r="E22364" s="8">
        <v>0</v>
      </c>
      <c r="F22364" s="8">
        <v>2035</v>
      </c>
    </row>
    <row r="22365" spans="1:6" ht="12.75">
      <c r="A22365" s="8">
        <v>43894.33729166667</v>
      </c>
      <c r="B22365" s="8" t="str">
        <f>HYPERLINK("https://twitter.com/KadalGu","@KadalGu")</f>
        <v>@KadalGu</v>
      </c>
      <c r="C22365" s="8" t="s">
        <v>9094</v>
      </c>
      <c r="D22365" s="8">
        <v>1</v>
      </c>
      <c r="E22365" s="8">
        <v>0</v>
      </c>
      <c r="F22365" s="8">
        <v>642</v>
      </c>
    </row>
    <row r="22366" spans="1:6" ht="12.75">
      <c r="A22366" s="8">
        <v>43894.337048611109</v>
      </c>
      <c r="B22366" s="8" t="str">
        <f>HYPERLINK("https://twitter.com/888Noer","@888Noer")</f>
        <v>@888Noer</v>
      </c>
      <c r="C22366" s="8" t="s">
        <v>6710</v>
      </c>
      <c r="D22366" s="8">
        <v>69</v>
      </c>
      <c r="E22366" s="8">
        <v>0</v>
      </c>
      <c r="F22366" s="8">
        <v>802</v>
      </c>
    </row>
    <row r="22367" spans="1:6" ht="12.75">
      <c r="A22367" s="8">
        <v>43894.336631944447</v>
      </c>
      <c r="B22367" s="8" t="str">
        <f>HYPERLINK("https://twitter.com/KomedianGL","@KomedianGL")</f>
        <v>@KomedianGL</v>
      </c>
      <c r="C22367" s="8" t="s">
        <v>6710</v>
      </c>
      <c r="D22367" s="8">
        <v>69</v>
      </c>
      <c r="E22367" s="8">
        <v>0</v>
      </c>
      <c r="F22367" s="8">
        <v>67</v>
      </c>
    </row>
    <row r="22368" spans="1:6" ht="12.75">
      <c r="A22368" s="8">
        <v>43894.33625</v>
      </c>
      <c r="B22368" s="8" t="str">
        <f>HYPERLINK("https://twitter.com/namira_28","@namira_28")</f>
        <v>@namira_28</v>
      </c>
      <c r="C22368" s="8" t="s">
        <v>7581</v>
      </c>
      <c r="D22368" s="8">
        <v>89</v>
      </c>
      <c r="E22368" s="8">
        <v>0</v>
      </c>
      <c r="F22368" s="8">
        <v>228</v>
      </c>
    </row>
    <row r="22369" spans="1:6" ht="12.75">
      <c r="A22369" s="8">
        <v>43894.336192129631</v>
      </c>
      <c r="B22369" s="8" t="str">
        <f>HYPERLINK("https://twitter.com/kurniasinggih","@kurniasinggih")</f>
        <v>@kurniasinggih</v>
      </c>
      <c r="C22369" s="8" t="s">
        <v>7604</v>
      </c>
      <c r="D22369" s="8">
        <v>15</v>
      </c>
      <c r="E22369" s="8">
        <v>0</v>
      </c>
      <c r="F22369" s="8">
        <v>400</v>
      </c>
    </row>
    <row r="22370" spans="1:6" ht="12.75">
      <c r="A22370" s="8">
        <v>43894.336087962962</v>
      </c>
      <c r="B22370" s="8" t="str">
        <f>HYPERLINK("https://twitter.com/i_Pras","@i_Pras")</f>
        <v>@i_Pras</v>
      </c>
      <c r="C22370" s="8" t="s">
        <v>6710</v>
      </c>
      <c r="D22370" s="8">
        <v>69</v>
      </c>
      <c r="E22370" s="8">
        <v>0</v>
      </c>
      <c r="F22370" s="8">
        <v>1056</v>
      </c>
    </row>
    <row r="22371" spans="1:6" ht="12.75">
      <c r="A22371" s="8">
        <v>43894.335787037038</v>
      </c>
      <c r="B22371" s="8" t="str">
        <f>HYPERLINK("https://twitter.com/batamtoday","@batamtoday")</f>
        <v>@batamtoday</v>
      </c>
      <c r="C22371" s="8" t="s">
        <v>9095</v>
      </c>
      <c r="D22371" s="8">
        <v>0</v>
      </c>
      <c r="E22371" s="8">
        <v>0</v>
      </c>
      <c r="F22371" s="8">
        <v>27215</v>
      </c>
    </row>
    <row r="22372" spans="1:6" ht="12.75">
      <c r="A22372" s="8">
        <v>43894.33556712963</v>
      </c>
      <c r="B22372" s="8" t="str">
        <f>HYPERLINK("https://twitter.com/SinagaYocky","@SinagaYocky")</f>
        <v>@SinagaYocky</v>
      </c>
      <c r="C22372" s="8" t="s">
        <v>6710</v>
      </c>
      <c r="D22372" s="8">
        <v>69</v>
      </c>
      <c r="E22372" s="8">
        <v>0</v>
      </c>
      <c r="F22372" s="8">
        <v>5</v>
      </c>
    </row>
    <row r="22373" spans="1:6" ht="12.75">
      <c r="A22373" s="8">
        <v>43894.335474537038</v>
      </c>
      <c r="B22373" s="8" t="str">
        <f>HYPERLINK("https://twitter.com/bungsirait","@bungsirait")</f>
        <v>@bungsirait</v>
      </c>
      <c r="C22373" s="8" t="s">
        <v>6710</v>
      </c>
      <c r="D22373" s="8">
        <v>69</v>
      </c>
      <c r="E22373" s="8">
        <v>0</v>
      </c>
      <c r="F22373" s="8">
        <v>162</v>
      </c>
    </row>
    <row r="22374" spans="1:6" ht="12.75">
      <c r="A22374" s="8">
        <v>43894.335370370369</v>
      </c>
      <c r="B22374" s="8" t="str">
        <f>HYPERLINK("https://twitter.com/uthamita","@uthamita")</f>
        <v>@uthamita</v>
      </c>
      <c r="C22374" s="8" t="s">
        <v>8272</v>
      </c>
      <c r="D22374" s="8">
        <v>74</v>
      </c>
      <c r="E22374" s="8">
        <v>0</v>
      </c>
      <c r="F22374" s="8">
        <v>254</v>
      </c>
    </row>
    <row r="22375" spans="1:6" ht="12.75">
      <c r="A22375" s="8">
        <v>43894.335127314815</v>
      </c>
      <c r="B22375" s="8" t="str">
        <f>HYPERLINK("https://twitter.com/HarapanSiahaan2","@HarapanSiahaan2")</f>
        <v>@HarapanSiahaan2</v>
      </c>
      <c r="C22375" s="8" t="s">
        <v>6710</v>
      </c>
      <c r="D22375" s="8">
        <v>69</v>
      </c>
      <c r="E22375" s="8">
        <v>0</v>
      </c>
      <c r="F22375" s="8">
        <v>113</v>
      </c>
    </row>
    <row r="22376" spans="1:6" ht="12.75">
      <c r="A22376" s="8">
        <v>43894.335115740745</v>
      </c>
      <c r="B22376" s="8" t="str">
        <f>HYPERLINK("https://twitter.com/elan_gusma","@elan_gusma")</f>
        <v>@elan_gusma</v>
      </c>
      <c r="C22376" s="8" t="s">
        <v>6827</v>
      </c>
      <c r="D22376" s="8">
        <v>48</v>
      </c>
      <c r="E22376" s="8">
        <v>0</v>
      </c>
      <c r="F22376" s="8">
        <v>3753</v>
      </c>
    </row>
    <row r="22377" spans="1:6" ht="12.75">
      <c r="A22377" s="8">
        <v>43894.335034722222</v>
      </c>
      <c r="B22377" s="8" t="str">
        <f>HYPERLINK("https://twitter.com/OmBrewoks3","@OmBrewoks3")</f>
        <v>@OmBrewoks3</v>
      </c>
      <c r="C22377" s="8" t="s">
        <v>9096</v>
      </c>
      <c r="D22377" s="8">
        <v>0</v>
      </c>
      <c r="E22377" s="8">
        <v>2</v>
      </c>
      <c r="F22377" s="8">
        <v>3326</v>
      </c>
    </row>
    <row r="22378" spans="1:6" ht="12.75">
      <c r="A22378" s="8">
        <v>43894.334837962961</v>
      </c>
      <c r="B22378" s="8" t="str">
        <f>HYPERLINK("https://twitter.com/KBRI_Bangkok","@KBRI_Bangkok")</f>
        <v>@KBRI_Bangkok</v>
      </c>
      <c r="C22378" s="8" t="s">
        <v>9097</v>
      </c>
      <c r="D22378" s="8">
        <v>0</v>
      </c>
      <c r="E22378" s="8">
        <v>0</v>
      </c>
      <c r="F22378" s="8">
        <v>3919</v>
      </c>
    </row>
    <row r="22379" spans="1:6" ht="12.75">
      <c r="A22379" s="8">
        <v>43894.334606481483</v>
      </c>
      <c r="B22379" s="8" t="str">
        <f t="shared" ref="B22379:B22380" si="326">HYPERLINK("https://twitter.com/Arkarna007","@Arkarna007")</f>
        <v>@Arkarna007</v>
      </c>
      <c r="C22379" s="8" t="s">
        <v>3257</v>
      </c>
      <c r="D22379" s="8">
        <v>44</v>
      </c>
      <c r="E22379" s="8">
        <v>0</v>
      </c>
      <c r="F22379" s="8">
        <v>1996</v>
      </c>
    </row>
    <row r="22380" spans="1:6" ht="12.75">
      <c r="A22380" s="8">
        <v>43894.334432870368</v>
      </c>
      <c r="B22380" s="8" t="str">
        <f t="shared" si="326"/>
        <v>@Arkarna007</v>
      </c>
      <c r="C22380" s="8" t="s">
        <v>6315</v>
      </c>
      <c r="D22380" s="8">
        <v>161</v>
      </c>
      <c r="E22380" s="8">
        <v>0</v>
      </c>
      <c r="F22380" s="8">
        <v>1996</v>
      </c>
    </row>
    <row r="22381" spans="1:6" ht="12.75">
      <c r="A22381" s="8">
        <v>43894.334004629629</v>
      </c>
      <c r="B22381" s="8" t="str">
        <f>HYPERLINK("https://twitter.com/setipent","@setipent")</f>
        <v>@setipent</v>
      </c>
      <c r="C22381" s="8" t="s">
        <v>6710</v>
      </c>
      <c r="D22381" s="8">
        <v>69</v>
      </c>
      <c r="E22381" s="8">
        <v>0</v>
      </c>
      <c r="F22381" s="8">
        <v>128</v>
      </c>
    </row>
    <row r="22382" spans="1:6" ht="12.75">
      <c r="A22382" s="8">
        <v>43894.333854166667</v>
      </c>
      <c r="B22382" s="8" t="str">
        <f>HYPERLINK("https://twitter.com/Fredy_Santana01","@Fredy_Santana01")</f>
        <v>@Fredy_Santana01</v>
      </c>
      <c r="C22382" s="8" t="s">
        <v>9098</v>
      </c>
      <c r="D22382" s="8">
        <v>8</v>
      </c>
      <c r="E22382" s="8">
        <v>0</v>
      </c>
      <c r="F22382" s="8">
        <v>1709</v>
      </c>
    </row>
    <row r="22383" spans="1:6" ht="12.75">
      <c r="A22383" s="8">
        <v>43894.333784722221</v>
      </c>
      <c r="B22383" s="8" t="str">
        <f>HYPERLINK("https://twitter.com/HanzMohammad","@HanzMohammad")</f>
        <v>@HanzMohammad</v>
      </c>
      <c r="C22383" s="8" t="s">
        <v>2199</v>
      </c>
      <c r="D22383" s="8">
        <v>9057</v>
      </c>
      <c r="E22383" s="8">
        <v>0</v>
      </c>
      <c r="F22383" s="8">
        <v>502</v>
      </c>
    </row>
    <row r="22384" spans="1:6" ht="12.75">
      <c r="A22384" s="8">
        <v>43894.333750000005</v>
      </c>
      <c r="B22384" s="8" t="str">
        <f>HYPERLINK("https://twitter.com/fachri_kh","@fachri_kh")</f>
        <v>@fachri_kh</v>
      </c>
      <c r="C22384" s="8" t="s">
        <v>9098</v>
      </c>
      <c r="D22384" s="8">
        <v>8</v>
      </c>
      <c r="E22384" s="8">
        <v>0</v>
      </c>
      <c r="F22384" s="8">
        <v>4156</v>
      </c>
    </row>
    <row r="22385" spans="1:6" ht="12.75">
      <c r="A22385" s="8">
        <v>43894.333726851852</v>
      </c>
      <c r="B22385" s="8" t="str">
        <f>HYPERLINK("https://twitter.com/Narasiku1","@Narasiku1")</f>
        <v>@Narasiku1</v>
      </c>
      <c r="C22385" s="8" t="s">
        <v>9099</v>
      </c>
      <c r="D22385" s="8">
        <v>0</v>
      </c>
      <c r="E22385" s="8">
        <v>0</v>
      </c>
      <c r="F22385" s="8">
        <v>84</v>
      </c>
    </row>
    <row r="22386" spans="1:6" ht="12.75">
      <c r="A22386" s="8">
        <v>43894.333703703705</v>
      </c>
      <c r="B22386" s="8" t="str">
        <f>HYPERLINK("https://twitter.com/AhsanFurqanIbr9","@AhsanFurqanIbr9")</f>
        <v>@AhsanFurqanIbr9</v>
      </c>
      <c r="C22386" s="8" t="s">
        <v>7597</v>
      </c>
      <c r="D22386" s="8">
        <v>736</v>
      </c>
      <c r="E22386" s="8">
        <v>0</v>
      </c>
      <c r="F22386" s="8">
        <v>166</v>
      </c>
    </row>
    <row r="22387" spans="1:6" ht="12.75">
      <c r="A22387" s="8">
        <v>43894.333425925928</v>
      </c>
      <c r="B22387" s="8" t="str">
        <f>HYPERLINK("https://twitter.com/fachri_kh","@fachri_kh")</f>
        <v>@fachri_kh</v>
      </c>
      <c r="C22387" s="8" t="s">
        <v>9100</v>
      </c>
      <c r="D22387" s="8">
        <v>15</v>
      </c>
      <c r="E22387" s="8">
        <v>0</v>
      </c>
      <c r="F22387" s="8">
        <v>4156</v>
      </c>
    </row>
    <row r="22388" spans="1:6" ht="12.75">
      <c r="A22388" s="8">
        <v>43894.333402777775</v>
      </c>
      <c r="B22388" s="8" t="str">
        <f>HYPERLINK("https://twitter.com/seanni_k","@seanni_k")</f>
        <v>@seanni_k</v>
      </c>
      <c r="C22388" s="8" t="s">
        <v>9101</v>
      </c>
      <c r="D22388" s="8">
        <v>1</v>
      </c>
      <c r="E22388" s="8">
        <v>0</v>
      </c>
      <c r="F22388" s="8">
        <v>43</v>
      </c>
    </row>
    <row r="22389" spans="1:6" ht="12.75">
      <c r="A22389" s="8">
        <v>43894.332442129627</v>
      </c>
      <c r="B22389" s="8" t="str">
        <f>HYPERLINK("https://twitter.com/sobbbeast","@sobbbeast")</f>
        <v>@sobbbeast</v>
      </c>
      <c r="C22389" s="8" t="s">
        <v>9102</v>
      </c>
      <c r="D22389" s="8">
        <v>26</v>
      </c>
      <c r="E22389" s="8">
        <v>0</v>
      </c>
      <c r="F22389" s="8">
        <v>48</v>
      </c>
    </row>
    <row r="22390" spans="1:6" ht="12.75">
      <c r="A22390" s="8">
        <v>43894.332060185188</v>
      </c>
      <c r="B22390" s="8" t="str">
        <f>HYPERLINK("https://twitter.com/hgberry","@hgberry")</f>
        <v>@hgberry</v>
      </c>
      <c r="C22390" s="8" t="s">
        <v>8429</v>
      </c>
      <c r="D22390" s="8">
        <v>181</v>
      </c>
      <c r="E22390" s="8">
        <v>0</v>
      </c>
      <c r="F22390" s="8">
        <v>1651</v>
      </c>
    </row>
    <row r="22391" spans="1:6" ht="12.75">
      <c r="A22391" s="8">
        <v>43894.331967592589</v>
      </c>
      <c r="B22391" s="8" t="str">
        <f>HYPERLINK("https://twitter.com/PancasilaY","@PancasilaY")</f>
        <v>@PancasilaY</v>
      </c>
      <c r="C22391" s="8" t="s">
        <v>9103</v>
      </c>
      <c r="D22391" s="8">
        <v>0</v>
      </c>
      <c r="E22391" s="8">
        <v>0</v>
      </c>
      <c r="F22391" s="8">
        <v>1361</v>
      </c>
    </row>
    <row r="22392" spans="1:6" ht="12.75">
      <c r="A22392" s="8">
        <v>43894.331793981481</v>
      </c>
      <c r="B22392" s="8" t="str">
        <f>HYPERLINK("https://twitter.com/trisnobinsurat","@trisnobinsurat")</f>
        <v>@trisnobinsurat</v>
      </c>
      <c r="C22392" s="8" t="s">
        <v>8901</v>
      </c>
      <c r="D22392" s="8">
        <v>226</v>
      </c>
      <c r="E22392" s="8">
        <v>0</v>
      </c>
      <c r="F22392" s="8">
        <v>40</v>
      </c>
    </row>
    <row r="22393" spans="1:6" ht="12.75">
      <c r="A22393" s="8">
        <v>43894.331666666665</v>
      </c>
      <c r="B22393" s="8" t="str">
        <f>HYPERLINK("https://twitter.com/ARRRLANDA","@ARRRLANDA")</f>
        <v>@ARRRLANDA</v>
      </c>
      <c r="C22393" s="8" t="s">
        <v>9104</v>
      </c>
      <c r="D22393" s="8">
        <v>5</v>
      </c>
      <c r="E22393" s="8">
        <v>0</v>
      </c>
      <c r="F22393" s="8">
        <v>68</v>
      </c>
    </row>
    <row r="22394" spans="1:6" ht="12.75">
      <c r="A22394" s="8">
        <v>43894.331620370373</v>
      </c>
      <c r="B22394" s="8" t="str">
        <f>HYPERLINK("https://twitter.com/AthanasiusCatur","@AthanasiusCatur")</f>
        <v>@AthanasiusCatur</v>
      </c>
      <c r="C22394" s="8" t="s">
        <v>6710</v>
      </c>
      <c r="D22394" s="8">
        <v>69</v>
      </c>
      <c r="E22394" s="8">
        <v>0</v>
      </c>
      <c r="F22394" s="8">
        <v>27</v>
      </c>
    </row>
    <row r="22395" spans="1:6" ht="12.75">
      <c r="A22395" s="8">
        <v>43894.331180555557</v>
      </c>
      <c r="B22395" s="8" t="str">
        <f>HYPERLINK("https://twitter.com/BasyirPPIB311","@BasyirPPIB311")</f>
        <v>@BasyirPPIB311</v>
      </c>
      <c r="C22395" s="8" t="s">
        <v>7796</v>
      </c>
      <c r="D22395" s="8">
        <v>35</v>
      </c>
      <c r="E22395" s="8">
        <v>0</v>
      </c>
      <c r="F22395" s="8">
        <v>130</v>
      </c>
    </row>
    <row r="22396" spans="1:6" ht="12.75">
      <c r="A22396" s="8">
        <v>43894.330648148149</v>
      </c>
      <c r="B22396" s="8" t="str">
        <f>HYPERLINK("https://twitter.com/cirtbuleleng","@cirtbuleleng")</f>
        <v>@cirtbuleleng</v>
      </c>
      <c r="C22396" s="8" t="s">
        <v>9105</v>
      </c>
      <c r="D22396" s="8">
        <v>0</v>
      </c>
      <c r="E22396" s="8">
        <v>0</v>
      </c>
      <c r="F22396" s="8">
        <v>17</v>
      </c>
    </row>
    <row r="22397" spans="1:6" ht="12.75">
      <c r="A22397" s="8">
        <v>43894.330405092594</v>
      </c>
      <c r="B22397" s="8" t="str">
        <f>HYPERLINK("https://twitter.com/angenbagas","@angenbagas")</f>
        <v>@angenbagas</v>
      </c>
      <c r="C22397" s="8" t="s">
        <v>7597</v>
      </c>
      <c r="D22397" s="8">
        <v>736</v>
      </c>
      <c r="E22397" s="8">
        <v>0</v>
      </c>
      <c r="F22397" s="8">
        <v>209</v>
      </c>
    </row>
    <row r="22398" spans="1:6" ht="12.75">
      <c r="A22398" s="8">
        <v>43894.330034722225</v>
      </c>
      <c r="B22398" s="8" t="str">
        <f>HYPERLINK("https://twitter.com/mbahnoer88","@mbahnoer88")</f>
        <v>@mbahnoer88</v>
      </c>
      <c r="C22398" s="8" t="s">
        <v>9106</v>
      </c>
      <c r="D22398" s="8">
        <v>0</v>
      </c>
      <c r="E22398" s="8">
        <v>0</v>
      </c>
      <c r="F22398" s="8">
        <v>3420</v>
      </c>
    </row>
    <row r="22399" spans="1:6" ht="12.75">
      <c r="A22399" s="8">
        <v>43894.330023148148</v>
      </c>
      <c r="B22399" s="8" t="str">
        <f t="shared" ref="B22399:B22400" si="327">HYPERLINK("https://twitter.com/555masteng","@555masteng")</f>
        <v>@555masteng</v>
      </c>
      <c r="C22399" s="8" t="s">
        <v>6710</v>
      </c>
      <c r="D22399" s="8">
        <v>69</v>
      </c>
      <c r="E22399" s="8">
        <v>0</v>
      </c>
      <c r="F22399" s="8">
        <v>5568</v>
      </c>
    </row>
    <row r="22400" spans="1:6" ht="12.75">
      <c r="A22400" s="8">
        <v>43894.329861111109</v>
      </c>
      <c r="B22400" s="8" t="str">
        <f t="shared" si="327"/>
        <v>@555masteng</v>
      </c>
      <c r="C22400" s="8" t="s">
        <v>8868</v>
      </c>
      <c r="D22400" s="8">
        <v>185</v>
      </c>
      <c r="E22400" s="8">
        <v>0</v>
      </c>
      <c r="F22400" s="8">
        <v>5568</v>
      </c>
    </row>
    <row r="22401" spans="1:6" ht="12.75">
      <c r="A22401" s="8">
        <v>43894.329606481479</v>
      </c>
      <c r="B22401" s="8" t="str">
        <f>HYPERLINK("https://twitter.com/agama_nusantara","@agama_nusantara")</f>
        <v>@agama_nusantara</v>
      </c>
      <c r="C22401" s="8" t="s">
        <v>9107</v>
      </c>
      <c r="D22401" s="8">
        <v>1</v>
      </c>
      <c r="E22401" s="8">
        <v>0</v>
      </c>
      <c r="F22401" s="8">
        <v>7385</v>
      </c>
    </row>
    <row r="22402" spans="1:6" ht="12.75">
      <c r="A22402" s="8">
        <v>43894.329432870371</v>
      </c>
      <c r="B22402" s="8" t="str">
        <f>HYPERLINK("https://twitter.com/AnglishHund","@AnglishHund")</f>
        <v>@AnglishHund</v>
      </c>
      <c r="C22402" s="8" t="s">
        <v>9108</v>
      </c>
      <c r="D22402" s="8">
        <v>0</v>
      </c>
      <c r="E22402" s="8">
        <v>1</v>
      </c>
      <c r="F22402" s="8">
        <v>437</v>
      </c>
    </row>
    <row r="22403" spans="1:6" ht="12.75">
      <c r="A22403" s="8">
        <v>43894.329016203701</v>
      </c>
      <c r="B22403" s="8" t="str">
        <f>HYPERLINK("https://twitter.com/dago_abah","@dago_abah")</f>
        <v>@dago_abah</v>
      </c>
      <c r="C22403" s="8" t="s">
        <v>9109</v>
      </c>
      <c r="D22403" s="8">
        <v>0</v>
      </c>
      <c r="E22403" s="8">
        <v>0</v>
      </c>
      <c r="F22403" s="8">
        <v>1007</v>
      </c>
    </row>
    <row r="22404" spans="1:6" ht="12.75">
      <c r="A22404" s="8">
        <v>43894.328900462962</v>
      </c>
      <c r="B22404" s="8" t="str">
        <f>HYPERLINK("https://twitter.com/RayGdarm","@RayGdarm")</f>
        <v>@RayGdarm</v>
      </c>
      <c r="C22404" s="8" t="s">
        <v>8963</v>
      </c>
      <c r="D22404" s="8">
        <v>118</v>
      </c>
      <c r="E22404" s="8">
        <v>0</v>
      </c>
      <c r="F22404" s="8">
        <v>346</v>
      </c>
    </row>
    <row r="22405" spans="1:6" ht="12.75">
      <c r="A22405" s="8">
        <v>43894.328842592593</v>
      </c>
      <c r="B22405" s="8" t="str">
        <f>HYPERLINK("https://twitter.com/SelviaEnchy","@SelviaEnchy")</f>
        <v>@SelviaEnchy</v>
      </c>
      <c r="C22405" s="8" t="s">
        <v>9110</v>
      </c>
      <c r="D22405" s="8">
        <v>0</v>
      </c>
      <c r="E22405" s="8">
        <v>0</v>
      </c>
      <c r="F22405" s="8">
        <v>309</v>
      </c>
    </row>
    <row r="22406" spans="1:6" ht="12.75">
      <c r="A22406" s="8">
        <v>43894.328738425931</v>
      </c>
      <c r="B22406" s="8" t="str">
        <f>HYPERLINK("https://twitter.com/KhilafahKw","@KhilafahKw")</f>
        <v>@KhilafahKw</v>
      </c>
      <c r="C22406" s="8" t="s">
        <v>9111</v>
      </c>
      <c r="D22406" s="8">
        <v>1</v>
      </c>
      <c r="E22406" s="8">
        <v>1</v>
      </c>
      <c r="F22406" s="8">
        <v>1843</v>
      </c>
    </row>
    <row r="22407" spans="1:6" ht="12.75">
      <c r="A22407" s="8">
        <v>43894.328726851847</v>
      </c>
      <c r="B22407" s="8" t="str">
        <f>HYPERLINK("https://twitter.com/rubyrdn","@rubyrdn")</f>
        <v>@rubyrdn</v>
      </c>
      <c r="C22407" s="8" t="s">
        <v>6710</v>
      </c>
      <c r="D22407" s="8">
        <v>69</v>
      </c>
      <c r="E22407" s="8">
        <v>0</v>
      </c>
      <c r="F22407" s="8">
        <v>1248</v>
      </c>
    </row>
    <row r="22408" spans="1:6" ht="12.75">
      <c r="A22408" s="8">
        <v>43894.328333333338</v>
      </c>
      <c r="B22408" s="8" t="str">
        <f>HYPERLINK("https://twitter.com/AEPishere","@AEPishere")</f>
        <v>@AEPishere</v>
      </c>
      <c r="C22408" s="8" t="s">
        <v>685</v>
      </c>
      <c r="D22408" s="8">
        <v>176</v>
      </c>
      <c r="E22408" s="8">
        <v>0</v>
      </c>
      <c r="F22408" s="8">
        <v>3010</v>
      </c>
    </row>
    <row r="22409" spans="1:6" ht="12.75">
      <c r="A22409" s="8">
        <v>43894.328287037039</v>
      </c>
      <c r="B22409" s="8" t="str">
        <f>HYPERLINK("https://twitter.com/susiloandrianto","@susiloandrianto")</f>
        <v>@susiloandrianto</v>
      </c>
      <c r="C22409" s="8" t="s">
        <v>6710</v>
      </c>
      <c r="D22409" s="8">
        <v>69</v>
      </c>
      <c r="E22409" s="8">
        <v>0</v>
      </c>
      <c r="F22409" s="8">
        <v>43</v>
      </c>
    </row>
    <row r="22410" spans="1:6" ht="12.75">
      <c r="A22410" s="8">
        <v>43894.327905092592</v>
      </c>
      <c r="B22410" s="8" t="str">
        <f>HYPERLINK("https://twitter.com/DanishSafwan6","@DanishSafwan6")</f>
        <v>@DanishSafwan6</v>
      </c>
      <c r="C22410" s="8" t="s">
        <v>9112</v>
      </c>
      <c r="D22410" s="8">
        <v>0</v>
      </c>
      <c r="E22410" s="8">
        <v>0</v>
      </c>
      <c r="F22410" s="8">
        <v>0</v>
      </c>
    </row>
    <row r="22411" spans="1:6" ht="12.75">
      <c r="A22411" s="8">
        <v>43894.327685185184</v>
      </c>
      <c r="B22411" s="8" t="str">
        <f>HYPERLINK("https://twitter.com/JulianiAndika","@JulianiAndika")</f>
        <v>@JulianiAndika</v>
      </c>
      <c r="C22411" s="8" t="s">
        <v>9110</v>
      </c>
      <c r="D22411" s="8">
        <v>0</v>
      </c>
      <c r="E22411" s="8">
        <v>1</v>
      </c>
      <c r="F22411" s="8">
        <v>428</v>
      </c>
    </row>
    <row r="22412" spans="1:6" ht="12.75">
      <c r="A22412" s="8">
        <v>43894.327673611115</v>
      </c>
      <c r="B22412" s="8" t="str">
        <f>HYPERLINK("https://twitter.com/bokohalal","@bokohalal")</f>
        <v>@bokohalal</v>
      </c>
      <c r="C22412" s="8" t="s">
        <v>6710</v>
      </c>
      <c r="D22412" s="8">
        <v>69</v>
      </c>
      <c r="E22412" s="8">
        <v>0</v>
      </c>
      <c r="F22412" s="8">
        <v>148</v>
      </c>
    </row>
    <row r="22413" spans="1:6" ht="12.75">
      <c r="A22413" s="8">
        <v>43894.327569444446</v>
      </c>
      <c r="B22413" s="8" t="str">
        <f>HYPERLINK("https://twitter.com/JakartaStar","@JakartaStar")</f>
        <v>@JakartaStar</v>
      </c>
      <c r="C22413" s="8" t="s">
        <v>9113</v>
      </c>
      <c r="D22413" s="8">
        <v>15</v>
      </c>
      <c r="E22413" s="8">
        <v>0</v>
      </c>
      <c r="F22413" s="8">
        <v>5702</v>
      </c>
    </row>
    <row r="22414" spans="1:6" ht="12.75">
      <c r="A22414" s="8">
        <v>43894.327430555553</v>
      </c>
      <c r="B22414" s="8" t="str">
        <f>HYPERLINK("https://twitter.com/Rayvita","@Rayvita")</f>
        <v>@Rayvita</v>
      </c>
      <c r="C22414" s="8" t="s">
        <v>8429</v>
      </c>
      <c r="D22414" s="8">
        <v>181</v>
      </c>
      <c r="E22414" s="8">
        <v>0</v>
      </c>
      <c r="F22414" s="8">
        <v>336</v>
      </c>
    </row>
    <row r="22415" spans="1:6" ht="12.75">
      <c r="A22415" s="8">
        <v>43894.32739583333</v>
      </c>
      <c r="B22415" s="8" t="str">
        <f>HYPERLINK("https://twitter.com/HarumiShinta","@HarumiShinta")</f>
        <v>@HarumiShinta</v>
      </c>
      <c r="C22415" s="8" t="s">
        <v>9110</v>
      </c>
      <c r="D22415" s="8">
        <v>0</v>
      </c>
      <c r="E22415" s="8">
        <v>0</v>
      </c>
      <c r="F22415" s="8">
        <v>144</v>
      </c>
    </row>
    <row r="22416" spans="1:6" ht="12.75">
      <c r="A22416" s="8">
        <v>43894.327303240745</v>
      </c>
      <c r="B22416" s="8" t="str">
        <f>HYPERLINK("https://twitter.com/AnggunPertiwii1","@AnggunPertiwii1")</f>
        <v>@AnggunPertiwii1</v>
      </c>
      <c r="C22416" s="8" t="s">
        <v>9110</v>
      </c>
      <c r="D22416" s="8">
        <v>0</v>
      </c>
      <c r="E22416" s="8">
        <v>0</v>
      </c>
      <c r="F22416" s="8">
        <v>108</v>
      </c>
    </row>
    <row r="22417" spans="1:6" ht="12.75">
      <c r="A22417" s="8">
        <v>43894.327256944445</v>
      </c>
      <c r="B22417" s="8" t="str">
        <f>HYPERLINK("https://twitter.com/riankurniaw4n","@riankurniaw4n")</f>
        <v>@riankurniaw4n</v>
      </c>
      <c r="C22417" s="8" t="s">
        <v>9110</v>
      </c>
      <c r="D22417" s="8">
        <v>0</v>
      </c>
      <c r="E22417" s="8">
        <v>1</v>
      </c>
      <c r="F22417" s="8">
        <v>109</v>
      </c>
    </row>
    <row r="22418" spans="1:6" ht="12.75">
      <c r="A22418" s="8">
        <v>43894.327199074076</v>
      </c>
      <c r="B22418" s="8" t="str">
        <f>HYPERLINK("https://twitter.com/NajwaNazriah","@NajwaNazriah")</f>
        <v>@NajwaNazriah</v>
      </c>
      <c r="C22418" s="8" t="s">
        <v>9110</v>
      </c>
      <c r="D22418" s="8">
        <v>0</v>
      </c>
      <c r="E22418" s="8">
        <v>1</v>
      </c>
      <c r="F22418" s="8">
        <v>335</v>
      </c>
    </row>
    <row r="22419" spans="1:6" ht="12.75">
      <c r="A22419" s="8">
        <v>43894.326967592591</v>
      </c>
      <c r="B22419" s="8" t="str">
        <f>HYPERLINK("https://twitter.com/tedi_pirmansyah","@tedi_pirmansyah")</f>
        <v>@tedi_pirmansyah</v>
      </c>
      <c r="C22419" s="8" t="s">
        <v>6710</v>
      </c>
      <c r="D22419" s="8">
        <v>69</v>
      </c>
      <c r="E22419" s="8">
        <v>0</v>
      </c>
      <c r="F22419" s="8">
        <v>452</v>
      </c>
    </row>
    <row r="22420" spans="1:6" ht="12.75">
      <c r="A22420" s="8">
        <v>43894.326932870375</v>
      </c>
      <c r="B22420" s="8" t="str">
        <f>HYPERLINK("https://twitter.com/CazorlaTheo","@CazorlaTheo")</f>
        <v>@CazorlaTheo</v>
      </c>
      <c r="C22420" s="8" t="s">
        <v>9114</v>
      </c>
      <c r="D22420" s="8">
        <v>0</v>
      </c>
      <c r="E22420" s="8">
        <v>1</v>
      </c>
      <c r="F22420" s="8">
        <v>1729</v>
      </c>
    </row>
    <row r="22421" spans="1:6" ht="12.75">
      <c r="A22421" s="8">
        <v>43894.326898148152</v>
      </c>
      <c r="B22421" s="8" t="str">
        <f>HYPERLINK("https://twitter.com/PrimaD57","@PrimaD57")</f>
        <v>@PrimaD57</v>
      </c>
      <c r="C22421" s="8" t="s">
        <v>9115</v>
      </c>
      <c r="D22421" s="8">
        <v>0</v>
      </c>
      <c r="E22421" s="8">
        <v>0</v>
      </c>
      <c r="F22421" s="8">
        <v>520</v>
      </c>
    </row>
    <row r="22422" spans="1:6" ht="12.75">
      <c r="A22422" s="8">
        <v>43894.326782407406</v>
      </c>
      <c r="B22422" s="8" t="str">
        <f>HYPERLINK("https://twitter.com/tribunnews","@tribunnews")</f>
        <v>@tribunnews</v>
      </c>
      <c r="C22422" s="8" t="s">
        <v>9116</v>
      </c>
      <c r="D22422" s="8">
        <v>1</v>
      </c>
      <c r="E22422" s="8">
        <v>3</v>
      </c>
      <c r="F22422" s="8">
        <v>887631</v>
      </c>
    </row>
    <row r="22423" spans="1:6" ht="12.75">
      <c r="A22423" s="8">
        <v>43894.326620370368</v>
      </c>
      <c r="B22423" s="8" t="str">
        <f>HYPERLINK("https://twitter.com/mulya_januar","@mulya_januar")</f>
        <v>@mulya_januar</v>
      </c>
      <c r="C22423" s="8" t="s">
        <v>9110</v>
      </c>
      <c r="D22423" s="8">
        <v>0</v>
      </c>
      <c r="E22423" s="8">
        <v>0</v>
      </c>
      <c r="F22423" s="8">
        <v>275</v>
      </c>
    </row>
    <row r="22424" spans="1:6" ht="12.75">
      <c r="A22424" s="8">
        <v>43894.326562499999</v>
      </c>
      <c r="B22424" s="8" t="str">
        <f>HYPERLINK("https://twitter.com/aiscah22","@aiscah22")</f>
        <v>@aiscah22</v>
      </c>
      <c r="C22424" s="8" t="s">
        <v>9117</v>
      </c>
      <c r="D22424" s="8">
        <v>413</v>
      </c>
      <c r="E22424" s="8">
        <v>0</v>
      </c>
      <c r="F22424" s="8">
        <v>27</v>
      </c>
    </row>
    <row r="22425" spans="1:6" ht="12.75">
      <c r="A22425" s="8">
        <v>43894.326435185183</v>
      </c>
      <c r="B22425" s="8" t="str">
        <f>HYPERLINK("https://twitter.com/RcIbee","@RcIbee")</f>
        <v>@RcIbee</v>
      </c>
      <c r="C22425" s="8" t="s">
        <v>6710</v>
      </c>
      <c r="D22425" s="8">
        <v>69</v>
      </c>
      <c r="E22425" s="8">
        <v>0</v>
      </c>
      <c r="F22425" s="8">
        <v>359</v>
      </c>
    </row>
    <row r="22426" spans="1:6" ht="12.75">
      <c r="A22426" s="8">
        <v>43894.326319444444</v>
      </c>
      <c r="B22426" s="8" t="str">
        <f>HYPERLINK("https://twitter.com/Santiira2","@Santiira2")</f>
        <v>@Santiira2</v>
      </c>
      <c r="C22426" s="8" t="s">
        <v>9089</v>
      </c>
      <c r="D22426" s="8">
        <v>0</v>
      </c>
      <c r="E22426" s="8">
        <v>0</v>
      </c>
      <c r="F22426" s="8">
        <v>355</v>
      </c>
    </row>
    <row r="22427" spans="1:6" ht="12.75">
      <c r="A22427" s="8">
        <v>43894.326284722221</v>
      </c>
      <c r="B22427" s="8" t="str">
        <f>HYPERLINK("https://twitter.com/MDephary","@MDephary")</f>
        <v>@MDephary</v>
      </c>
      <c r="C22427" s="8" t="s">
        <v>9118</v>
      </c>
      <c r="D22427" s="8">
        <v>0</v>
      </c>
      <c r="E22427" s="8">
        <v>0</v>
      </c>
      <c r="F22427" s="8">
        <v>806</v>
      </c>
    </row>
    <row r="22428" spans="1:6" ht="12.75">
      <c r="A22428" s="8">
        <v>43894.326273148152</v>
      </c>
      <c r="B22428" s="8" t="str">
        <f>HYPERLINK("https://twitter.com/NegaraAPI2","@NegaraAPI2")</f>
        <v>@NegaraAPI2</v>
      </c>
      <c r="C22428" s="8" t="s">
        <v>9089</v>
      </c>
      <c r="D22428" s="8">
        <v>0</v>
      </c>
      <c r="E22428" s="8">
        <v>0</v>
      </c>
      <c r="F22428" s="8">
        <v>33</v>
      </c>
    </row>
    <row r="22429" spans="1:6" ht="12.75">
      <c r="A22429" s="8">
        <v>43894.326226851852</v>
      </c>
      <c r="B22429" s="8" t="str">
        <f>HYPERLINK("https://twitter.com/lesyeuxdeyoung","@lesyeuxdeyoung")</f>
        <v>@lesyeuxdeyoung</v>
      </c>
      <c r="C22429" s="8" t="s">
        <v>9119</v>
      </c>
      <c r="D22429" s="8">
        <v>2</v>
      </c>
      <c r="E22429" s="8">
        <v>0</v>
      </c>
      <c r="F22429" s="8">
        <v>68</v>
      </c>
    </row>
    <row r="22430" spans="1:6" ht="12.75">
      <c r="A22430" s="8">
        <v>43894.326203703706</v>
      </c>
      <c r="B22430" s="8" t="str">
        <f>HYPERLINK("https://twitter.com/tebumutiara72","@tebumutiara72")</f>
        <v>@tebumutiara72</v>
      </c>
      <c r="C22430" s="8" t="s">
        <v>6710</v>
      </c>
      <c r="D22430" s="8">
        <v>69</v>
      </c>
      <c r="E22430" s="8">
        <v>0</v>
      </c>
      <c r="F22430" s="8">
        <v>842</v>
      </c>
    </row>
    <row r="22431" spans="1:6" ht="12.75">
      <c r="A22431" s="8">
        <v>43894.325648148151</v>
      </c>
      <c r="B22431" s="8" t="str">
        <f>HYPERLINK("https://twitter.com/AKrowid","@AKrowid")</f>
        <v>@AKrowid</v>
      </c>
      <c r="C22431" s="8" t="s">
        <v>1427</v>
      </c>
      <c r="D22431" s="8">
        <v>1015</v>
      </c>
      <c r="E22431" s="8">
        <v>0</v>
      </c>
      <c r="F22431" s="8">
        <v>380</v>
      </c>
    </row>
    <row r="22432" spans="1:6" ht="12.75">
      <c r="A22432" s="8">
        <v>43894.325439814813</v>
      </c>
      <c r="B22432" s="8" t="str">
        <f>HYPERLINK("https://twitter.com/OpoMeyer","@OpoMeyer")</f>
        <v>@OpoMeyer</v>
      </c>
      <c r="C22432" s="8" t="s">
        <v>6315</v>
      </c>
      <c r="D22432" s="8">
        <v>161</v>
      </c>
      <c r="E22432" s="8">
        <v>0</v>
      </c>
      <c r="F22432" s="8">
        <v>308</v>
      </c>
    </row>
    <row r="22433" spans="1:6" ht="12.75">
      <c r="A22433" s="8">
        <v>43894.32512731482</v>
      </c>
      <c r="B22433" s="8" t="str">
        <f>HYPERLINK("https://twitter.com/vafan_as","@vafan_as")</f>
        <v>@vafan_as</v>
      </c>
      <c r="C22433" s="8" t="s">
        <v>7597</v>
      </c>
      <c r="D22433" s="8">
        <v>736</v>
      </c>
      <c r="E22433" s="8">
        <v>0</v>
      </c>
      <c r="F22433" s="8">
        <v>258</v>
      </c>
    </row>
    <row r="22434" spans="1:6" ht="12.75">
      <c r="A22434" s="8">
        <v>43894.324849537035</v>
      </c>
      <c r="B22434" s="8" t="str">
        <f>HYPERLINK("https://twitter.com/tanyadoank13","@tanyadoank13")</f>
        <v>@tanyadoank13</v>
      </c>
      <c r="C22434" s="8" t="s">
        <v>6710</v>
      </c>
      <c r="D22434" s="8">
        <v>69</v>
      </c>
      <c r="E22434" s="8">
        <v>0</v>
      </c>
      <c r="F22434" s="8">
        <v>72</v>
      </c>
    </row>
    <row r="22435" spans="1:6" ht="12.75">
      <c r="A22435" s="8">
        <v>43894.32413194445</v>
      </c>
      <c r="B22435" s="8" t="str">
        <f>HYPERLINK("https://twitter.com/william_ghozali","@william_ghozali")</f>
        <v>@william_ghozali</v>
      </c>
      <c r="C22435" s="8" t="s">
        <v>6710</v>
      </c>
      <c r="D22435" s="8">
        <v>69</v>
      </c>
      <c r="E22435" s="8">
        <v>0</v>
      </c>
      <c r="F22435" s="8">
        <v>88</v>
      </c>
    </row>
    <row r="22436" spans="1:6" ht="12.75">
      <c r="A22436" s="8">
        <v>43894.323993055557</v>
      </c>
      <c r="B22436" s="8" t="str">
        <f>HYPERLINK("https://twitter.com/ReportNewsLive","@ReportNewsLive")</f>
        <v>@ReportNewsLive</v>
      </c>
      <c r="C22436" s="8" t="s">
        <v>9120</v>
      </c>
      <c r="D22436" s="8">
        <v>0</v>
      </c>
      <c r="E22436" s="8">
        <v>2</v>
      </c>
      <c r="F22436" s="8">
        <v>25</v>
      </c>
    </row>
    <row r="22437" spans="1:6" ht="12.75">
      <c r="A22437" s="8">
        <v>43894.323749999996</v>
      </c>
      <c r="B22437" s="8" t="str">
        <f>HYPERLINK("https://twitter.com/niatamie","@niatamie")</f>
        <v>@niatamie</v>
      </c>
      <c r="C22437" s="8" t="s">
        <v>9102</v>
      </c>
      <c r="D22437" s="8">
        <v>26</v>
      </c>
      <c r="E22437" s="8">
        <v>0</v>
      </c>
      <c r="F22437" s="8">
        <v>266</v>
      </c>
    </row>
    <row r="22438" spans="1:6" ht="12.75">
      <c r="A22438" s="8">
        <v>43894.323530092588</v>
      </c>
      <c r="B22438" s="8" t="str">
        <f>HYPERLINK("https://twitter.com/Puj3ck","@Puj3ck")</f>
        <v>@Puj3ck</v>
      </c>
      <c r="C22438" s="8" t="s">
        <v>9121</v>
      </c>
      <c r="D22438" s="8">
        <v>61</v>
      </c>
      <c r="E22438" s="8">
        <v>0</v>
      </c>
      <c r="F22438" s="8">
        <v>48</v>
      </c>
    </row>
    <row r="22439" spans="1:6" ht="12.75">
      <c r="A22439" s="8">
        <v>43894.323252314818</v>
      </c>
      <c r="B22439" s="8" t="str">
        <f>HYPERLINK("https://twitter.com/MulaSitorus","@MulaSitorus")</f>
        <v>@MulaSitorus</v>
      </c>
      <c r="C22439" s="8" t="s">
        <v>9122</v>
      </c>
      <c r="D22439" s="8">
        <v>0</v>
      </c>
      <c r="E22439" s="8">
        <v>0</v>
      </c>
      <c r="F22439" s="8">
        <v>31</v>
      </c>
    </row>
    <row r="22440" spans="1:6" ht="12.75">
      <c r="A22440" s="8">
        <v>43894.323217592595</v>
      </c>
      <c r="B22440" s="8" t="str">
        <f>HYPERLINK("https://twitter.com/eYaKSe","@eYaKSe")</f>
        <v>@eYaKSe</v>
      </c>
      <c r="C22440" s="8" t="s">
        <v>1427</v>
      </c>
      <c r="D22440" s="8">
        <v>1015</v>
      </c>
      <c r="E22440" s="8">
        <v>0</v>
      </c>
      <c r="F22440" s="8">
        <v>15</v>
      </c>
    </row>
    <row r="22441" spans="1:6" ht="12.75">
      <c r="A22441" s="8">
        <v>43894.323171296295</v>
      </c>
      <c r="B22441" s="8" t="str">
        <f>HYPERLINK("https://twitter.com/gunoto7","@gunoto7")</f>
        <v>@gunoto7</v>
      </c>
      <c r="C22441" s="8" t="s">
        <v>6315</v>
      </c>
      <c r="D22441" s="8">
        <v>161</v>
      </c>
      <c r="E22441" s="8">
        <v>0</v>
      </c>
      <c r="F22441" s="8">
        <v>2768</v>
      </c>
    </row>
    <row r="22442" spans="1:6" ht="12.75">
      <c r="A22442" s="8">
        <v>43894.32309027778</v>
      </c>
      <c r="B22442" s="8" t="str">
        <f t="shared" ref="B22442:B22443" si="328">HYPERLINK("https://twitter.com/Puj3ck","@Puj3ck")</f>
        <v>@Puj3ck</v>
      </c>
      <c r="C22442" s="8" t="s">
        <v>9123</v>
      </c>
      <c r="D22442" s="8">
        <v>410</v>
      </c>
      <c r="E22442" s="8">
        <v>0</v>
      </c>
      <c r="F22442" s="8">
        <v>48</v>
      </c>
    </row>
    <row r="22443" spans="1:6" ht="12.75">
      <c r="A22443" s="8">
        <v>43894.322962962964</v>
      </c>
      <c r="B22443" s="8" t="str">
        <f t="shared" si="328"/>
        <v>@Puj3ck</v>
      </c>
      <c r="C22443" s="8" t="s">
        <v>9124</v>
      </c>
      <c r="D22443" s="8">
        <v>33</v>
      </c>
      <c r="E22443" s="8">
        <v>0</v>
      </c>
      <c r="F22443" s="8">
        <v>48</v>
      </c>
    </row>
    <row r="22444" spans="1:6" ht="12.75">
      <c r="A22444" s="8">
        <v>43894.322939814811</v>
      </c>
      <c r="B22444" s="8" t="str">
        <f>HYPERLINK("https://twitter.com/avalo_isis","@avalo_isis")</f>
        <v>@avalo_isis</v>
      </c>
      <c r="C22444" s="8" t="s">
        <v>9125</v>
      </c>
      <c r="D22444" s="8">
        <v>233</v>
      </c>
      <c r="E22444" s="8">
        <v>0</v>
      </c>
      <c r="F22444" s="8">
        <v>19</v>
      </c>
    </row>
    <row r="22445" spans="1:6" ht="12.75">
      <c r="A22445" s="8">
        <v>43894.322893518518</v>
      </c>
      <c r="B22445" s="8" t="str">
        <f>HYPERLINK("https://twitter.com/Tri33milanisti","@Tri33milanisti")</f>
        <v>@Tri33milanisti</v>
      </c>
      <c r="C22445" s="8" t="s">
        <v>9126</v>
      </c>
      <c r="D22445" s="8">
        <v>0</v>
      </c>
      <c r="E22445" s="8">
        <v>0</v>
      </c>
      <c r="F22445" s="8">
        <v>114</v>
      </c>
    </row>
    <row r="22446" spans="1:6" ht="12.75">
      <c r="A22446" s="8">
        <v>43894.322847222225</v>
      </c>
      <c r="B22446" s="8" t="str">
        <f>HYPERLINK("https://twitter.com/LeoBudiSuryanto","@LeoBudiSuryanto")</f>
        <v>@LeoBudiSuryanto</v>
      </c>
      <c r="C22446" s="8" t="s">
        <v>9127</v>
      </c>
      <c r="D22446" s="8">
        <v>1</v>
      </c>
      <c r="E22446" s="8">
        <v>0</v>
      </c>
      <c r="F22446" s="8">
        <v>2086</v>
      </c>
    </row>
    <row r="22447" spans="1:6" ht="12.75">
      <c r="A22447" s="8">
        <v>43894.322708333333</v>
      </c>
      <c r="B22447" s="8" t="str">
        <f>HYPERLINK("https://twitter.com/Puj3ck","@Puj3ck")</f>
        <v>@Puj3ck</v>
      </c>
      <c r="C22447" s="8" t="s">
        <v>9128</v>
      </c>
      <c r="D22447" s="8">
        <v>192</v>
      </c>
      <c r="E22447" s="8">
        <v>0</v>
      </c>
      <c r="F22447" s="8">
        <v>48</v>
      </c>
    </row>
    <row r="22448" spans="1:6" ht="12.75">
      <c r="A22448" s="8">
        <v>43894.298263888893</v>
      </c>
      <c r="B22448" s="8" t="str">
        <f>HYPERLINK("https://twitter.com/Kevin_Anggie","@Kevin_Anggie")</f>
        <v>@Kevin_Anggie</v>
      </c>
      <c r="C22448" s="8" t="s">
        <v>7604</v>
      </c>
      <c r="D22448" s="8">
        <v>11</v>
      </c>
      <c r="E22448" s="8">
        <v>0</v>
      </c>
      <c r="F22448" s="8">
        <v>1377</v>
      </c>
    </row>
    <row r="22449" spans="1:6" ht="12.75">
      <c r="A22449" s="8">
        <v>43894.298032407409</v>
      </c>
      <c r="B22449" s="8" t="str">
        <f>HYPERLINK("https://twitter.com/Iwantosaputro","@Iwantosaputro")</f>
        <v>@Iwantosaputro</v>
      </c>
      <c r="C22449" s="8" t="s">
        <v>1986</v>
      </c>
      <c r="D22449" s="8">
        <v>845</v>
      </c>
      <c r="E22449" s="8">
        <v>0</v>
      </c>
      <c r="F22449" s="8">
        <v>44</v>
      </c>
    </row>
    <row r="22450" spans="1:6" ht="12.75">
      <c r="A22450" s="8">
        <v>43894.297442129631</v>
      </c>
      <c r="B22450" s="8" t="str">
        <f>HYPERLINK("https://twitter.com/Girinaldi3","@Girinaldi3")</f>
        <v>@Girinaldi3</v>
      </c>
      <c r="C22450" s="8" t="s">
        <v>8970</v>
      </c>
      <c r="D22450" s="8">
        <v>131</v>
      </c>
      <c r="E22450" s="8">
        <v>0</v>
      </c>
      <c r="F22450" s="8">
        <v>351</v>
      </c>
    </row>
    <row r="22451" spans="1:6" ht="12.75">
      <c r="A22451" s="8">
        <v>43894.296365740738</v>
      </c>
      <c r="B22451" s="8" t="str">
        <f>HYPERLINK("https://twitter.com/kintakusuka","@kintakusuka")</f>
        <v>@kintakusuka</v>
      </c>
      <c r="C22451" s="8" t="s">
        <v>1427</v>
      </c>
      <c r="D22451" s="8">
        <v>1010</v>
      </c>
      <c r="E22451" s="8">
        <v>0</v>
      </c>
      <c r="F22451" s="8">
        <v>761</v>
      </c>
    </row>
    <row r="22452" spans="1:6" ht="12.75">
      <c r="A22452" s="8">
        <v>43894.295706018514</v>
      </c>
      <c r="B22452" s="8" t="str">
        <f>HYPERLINK("https://twitter.com/damario04","@damario04")</f>
        <v>@damario04</v>
      </c>
      <c r="C22452" s="8" t="s">
        <v>166</v>
      </c>
      <c r="D22452" s="8">
        <v>0</v>
      </c>
      <c r="E22452" s="8">
        <v>0</v>
      </c>
      <c r="F22452" s="8">
        <v>403</v>
      </c>
    </row>
    <row r="22453" spans="1:6" ht="12.75">
      <c r="A22453" s="8">
        <v>43894.295578703706</v>
      </c>
      <c r="B22453" s="8" t="str">
        <f>HYPERLINK("https://twitter.com/BORNEONEWS","@BORNEONEWS")</f>
        <v>@BORNEONEWS</v>
      </c>
      <c r="C22453" s="8" t="s">
        <v>9129</v>
      </c>
      <c r="D22453" s="8">
        <v>0</v>
      </c>
      <c r="E22453" s="8">
        <v>0</v>
      </c>
      <c r="F22453" s="8">
        <v>6940</v>
      </c>
    </row>
    <row r="22454" spans="1:6" ht="12.75">
      <c r="A22454" s="8">
        <v>43894.295462962968</v>
      </c>
      <c r="B22454" s="8" t="str">
        <f>HYPERLINK("https://twitter.com/yanisuparno","@yanisuparno")</f>
        <v>@yanisuparno</v>
      </c>
      <c r="C22454" s="8" t="s">
        <v>9130</v>
      </c>
      <c r="D22454" s="8">
        <v>395</v>
      </c>
      <c r="E22454" s="8">
        <v>0</v>
      </c>
      <c r="F22454" s="8">
        <v>475</v>
      </c>
    </row>
    <row r="22455" spans="1:6" ht="12.75">
      <c r="A22455" s="8">
        <v>43894.294895833329</v>
      </c>
      <c r="B22455" s="8" t="str">
        <f>HYPERLINK("https://twitter.com/oktori89SEMM","@oktori89SEMM")</f>
        <v>@oktori89SEMM</v>
      </c>
      <c r="C22455" s="8" t="s">
        <v>8868</v>
      </c>
      <c r="D22455" s="8">
        <v>184</v>
      </c>
      <c r="E22455" s="8">
        <v>0</v>
      </c>
      <c r="F22455" s="8">
        <v>1835</v>
      </c>
    </row>
    <row r="22456" spans="1:6" ht="12.75">
      <c r="A22456" s="8">
        <v>43894.29487268519</v>
      </c>
      <c r="B22456" s="8" t="str">
        <f>HYPERLINK("https://twitter.com/MoasPoer","@MoasPoer")</f>
        <v>@MoasPoer</v>
      </c>
      <c r="C22456" s="8" t="s">
        <v>8429</v>
      </c>
      <c r="D22456" s="8">
        <v>179</v>
      </c>
      <c r="E22456" s="8">
        <v>0</v>
      </c>
      <c r="F22456" s="8">
        <v>491</v>
      </c>
    </row>
    <row r="22457" spans="1:6" ht="12.75">
      <c r="A22457" s="8">
        <v>43894.294282407413</v>
      </c>
      <c r="B22457" s="8" t="str">
        <f>HYPERLINK("https://twitter.com/RelawanNusanta1","@RelawanNusanta1")</f>
        <v>@RelawanNusanta1</v>
      </c>
      <c r="C22457" s="8" t="s">
        <v>8991</v>
      </c>
      <c r="D22457" s="8">
        <v>4</v>
      </c>
      <c r="E22457" s="8">
        <v>0</v>
      </c>
      <c r="F22457" s="8">
        <v>1518</v>
      </c>
    </row>
    <row r="22458" spans="1:6" ht="12.75">
      <c r="A22458" s="8">
        <v>43894.293912037036</v>
      </c>
      <c r="B22458" s="8" t="str">
        <f>HYPERLINK("https://twitter.com/MasAdiJKT","@MasAdiJKT")</f>
        <v>@MasAdiJKT</v>
      </c>
      <c r="C22458" s="8" t="s">
        <v>1427</v>
      </c>
      <c r="D22458" s="8">
        <v>1010</v>
      </c>
      <c r="E22458" s="8">
        <v>0</v>
      </c>
      <c r="F22458" s="8">
        <v>233</v>
      </c>
    </row>
    <row r="22459" spans="1:6" ht="12.75">
      <c r="A22459" s="8">
        <v>43894.293703703705</v>
      </c>
      <c r="B22459" s="8" t="str">
        <f>HYPERLINK("https://twitter.com/SanAscLaw","@SanAscLaw")</f>
        <v>@SanAscLaw</v>
      </c>
      <c r="C22459" s="8" t="s">
        <v>6864</v>
      </c>
      <c r="D22459" s="8">
        <v>258</v>
      </c>
      <c r="E22459" s="8">
        <v>0</v>
      </c>
      <c r="F22459" s="8">
        <v>1155</v>
      </c>
    </row>
    <row r="22460" spans="1:6" ht="12.75">
      <c r="A22460" s="8">
        <v>43894.293067129634</v>
      </c>
      <c r="B22460" s="8" t="str">
        <f>HYPERLINK("https://twitter.com/Adriyan64807217","@Adriyan64807217")</f>
        <v>@Adriyan64807217</v>
      </c>
      <c r="C22460" s="8" t="s">
        <v>6862</v>
      </c>
      <c r="D22460" s="8">
        <v>41</v>
      </c>
      <c r="E22460" s="8">
        <v>0</v>
      </c>
      <c r="F22460" s="8">
        <v>0</v>
      </c>
    </row>
    <row r="22461" spans="1:6" ht="12.75">
      <c r="A22461" s="8">
        <v>43894.29305555555</v>
      </c>
      <c r="B22461" s="8" t="str">
        <f>HYPERLINK("https://twitter.com/anatoemon","@anatoemon")</f>
        <v>@anatoemon</v>
      </c>
      <c r="C22461" s="8" t="s">
        <v>2002</v>
      </c>
      <c r="D22461" s="8">
        <v>0</v>
      </c>
      <c r="E22461" s="8">
        <v>0</v>
      </c>
      <c r="F22461" s="8">
        <v>657</v>
      </c>
    </row>
    <row r="22462" spans="1:6" ht="12.75">
      <c r="A22462" s="8">
        <v>43894.292870370366</v>
      </c>
      <c r="B22462" s="8" t="str">
        <f>HYPERLINK("https://twitter.com/Meyrenata","@Meyrenata")</f>
        <v>@Meyrenata</v>
      </c>
      <c r="C22462" s="8" t="s">
        <v>9117</v>
      </c>
      <c r="D22462" s="8">
        <v>412</v>
      </c>
      <c r="E22462" s="8">
        <v>0</v>
      </c>
      <c r="F22462" s="8">
        <v>65</v>
      </c>
    </row>
    <row r="22463" spans="1:6" ht="12.75">
      <c r="A22463" s="8">
        <v>43894.292824074073</v>
      </c>
      <c r="B22463" s="8" t="str">
        <f>HYPERLINK("https://twitter.com/sakharizkika","@sakharizkika")</f>
        <v>@sakharizkika</v>
      </c>
      <c r="C22463" s="8" t="s">
        <v>7661</v>
      </c>
      <c r="D22463" s="8">
        <v>479</v>
      </c>
      <c r="E22463" s="8">
        <v>0</v>
      </c>
      <c r="F22463" s="8">
        <v>369</v>
      </c>
    </row>
    <row r="22464" spans="1:6" ht="12.75">
      <c r="A22464" s="8">
        <v>43894.291574074072</v>
      </c>
      <c r="B22464" s="8" t="str">
        <f>HYPERLINK("https://twitter.com/pendividia","@pendividia")</f>
        <v>@pendividia</v>
      </c>
      <c r="C22464" s="8" t="s">
        <v>7516</v>
      </c>
      <c r="D22464" s="8">
        <v>32</v>
      </c>
      <c r="E22464" s="8">
        <v>0</v>
      </c>
      <c r="F22464" s="8">
        <v>602</v>
      </c>
    </row>
    <row r="22465" spans="1:6" ht="12.75">
      <c r="A22465" s="8">
        <v>43894.290960648148</v>
      </c>
      <c r="B22465" s="8" t="str">
        <f>HYPERLINK("https://twitter.com/NurAli7981","@NurAli7981")</f>
        <v>@NurAli7981</v>
      </c>
      <c r="C22465" s="8" t="s">
        <v>7597</v>
      </c>
      <c r="D22465" s="8">
        <v>729</v>
      </c>
      <c r="E22465" s="8">
        <v>0</v>
      </c>
      <c r="F22465" s="8">
        <v>360</v>
      </c>
    </row>
    <row r="22466" spans="1:6" ht="12.75">
      <c r="A22466" s="8">
        <v>43894.290891203702</v>
      </c>
      <c r="B22466" s="8" t="str">
        <f>HYPERLINK("https://twitter.com/dwinakc","@dwinakc")</f>
        <v>@dwinakc</v>
      </c>
      <c r="C22466" s="8" t="s">
        <v>9131</v>
      </c>
      <c r="D22466" s="8">
        <v>0</v>
      </c>
      <c r="E22466" s="8">
        <v>0</v>
      </c>
      <c r="F22466" s="8">
        <v>884</v>
      </c>
    </row>
    <row r="22467" spans="1:6" ht="12.75">
      <c r="A22467" s="8">
        <v>43894.290706018517</v>
      </c>
      <c r="B22467" s="8" t="str">
        <f>HYPERLINK("https://twitter.com/alhaqcentre","@alhaqcentre")</f>
        <v>@alhaqcentre</v>
      </c>
      <c r="C22467" s="8" t="s">
        <v>9132</v>
      </c>
      <c r="D22467" s="8">
        <v>0</v>
      </c>
      <c r="E22467" s="8">
        <v>0</v>
      </c>
      <c r="F22467" s="8">
        <v>668</v>
      </c>
    </row>
    <row r="22468" spans="1:6" ht="12.75">
      <c r="A22468" s="8">
        <v>43894.289861111116</v>
      </c>
      <c r="B22468" s="8" t="str">
        <f>HYPERLINK("https://twitter.com/KurniawanRicho","@KurniawanRicho")</f>
        <v>@KurniawanRicho</v>
      </c>
      <c r="C22468" s="8" t="s">
        <v>9102</v>
      </c>
      <c r="D22468" s="8">
        <v>20</v>
      </c>
      <c r="E22468" s="8">
        <v>0</v>
      </c>
      <c r="F22468" s="8">
        <v>578</v>
      </c>
    </row>
    <row r="22469" spans="1:6" ht="12.75">
      <c r="A22469" s="8">
        <v>43894.289490740739</v>
      </c>
      <c r="B22469" s="8" t="str">
        <f>HYPERLINK("https://twitter.com/ansyori_riduan","@ansyori_riduan")</f>
        <v>@ansyori_riduan</v>
      </c>
      <c r="C22469" s="8" t="s">
        <v>9133</v>
      </c>
      <c r="D22469" s="8">
        <v>0</v>
      </c>
      <c r="E22469" s="8">
        <v>1</v>
      </c>
      <c r="F22469" s="8">
        <v>112</v>
      </c>
    </row>
    <row r="22470" spans="1:6" ht="12.75">
      <c r="A22470" s="8">
        <v>43894.288449074069</v>
      </c>
      <c r="B22470" s="8" t="str">
        <f>HYPERLINK("https://twitter.com/Twitty61710425","@Twitty61710425")</f>
        <v>@Twitty61710425</v>
      </c>
      <c r="C22470" s="8" t="s">
        <v>8970</v>
      </c>
      <c r="D22470" s="8">
        <v>131</v>
      </c>
      <c r="E22470" s="8">
        <v>0</v>
      </c>
      <c r="F22470" s="8">
        <v>10</v>
      </c>
    </row>
    <row r="22471" spans="1:6" ht="12.75">
      <c r="A22471" s="8">
        <v>43894.288032407407</v>
      </c>
      <c r="B22471" s="8" t="str">
        <f>HYPERLINK("https://twitter.com/Liaanandagimai1","@Liaanandagimai1")</f>
        <v>@Liaanandagimai1</v>
      </c>
      <c r="C22471" s="8" t="s">
        <v>7597</v>
      </c>
      <c r="D22471" s="8">
        <v>729</v>
      </c>
      <c r="E22471" s="8">
        <v>0</v>
      </c>
      <c r="F22471" s="8">
        <v>3</v>
      </c>
    </row>
    <row r="22472" spans="1:6" ht="12.75">
      <c r="A22472" s="8">
        <v>43894.28800925926</v>
      </c>
      <c r="B22472" s="8" t="str">
        <f>HYPERLINK("https://twitter.com/BriliAgung","@BriliAgung")</f>
        <v>@BriliAgung</v>
      </c>
      <c r="C22472" s="8" t="s">
        <v>9134</v>
      </c>
      <c r="D22472" s="8">
        <v>10</v>
      </c>
      <c r="E22472" s="8">
        <v>0</v>
      </c>
      <c r="F22472" s="8">
        <v>18772</v>
      </c>
    </row>
    <row r="22473" spans="1:6" ht="12.75">
      <c r="A22473" s="8">
        <v>43894.28743055556</v>
      </c>
      <c r="B22473" s="8" t="str">
        <f>HYPERLINK("https://twitter.com/AgusbudiSs79","@AgusbudiSs79")</f>
        <v>@AgusbudiSs79</v>
      </c>
      <c r="C22473" s="8" t="s">
        <v>9135</v>
      </c>
      <c r="D22473" s="8">
        <v>9</v>
      </c>
      <c r="E22473" s="8">
        <v>0</v>
      </c>
      <c r="F22473" s="8">
        <v>379</v>
      </c>
    </row>
    <row r="22474" spans="1:6" ht="12.75">
      <c r="A22474" s="8">
        <v>43894.287210648152</v>
      </c>
      <c r="B22474" s="8" t="str">
        <f>HYPERLINK("https://twitter.com/JakartaStar","@JakartaStar")</f>
        <v>@JakartaStar</v>
      </c>
      <c r="C22474" s="8" t="s">
        <v>7516</v>
      </c>
      <c r="D22474" s="8">
        <v>32</v>
      </c>
      <c r="E22474" s="8">
        <v>0</v>
      </c>
      <c r="F22474" s="8">
        <v>5702</v>
      </c>
    </row>
    <row r="22475" spans="1:6" ht="12.75">
      <c r="A22475" s="8">
        <v>43894.286921296298</v>
      </c>
      <c r="B22475" s="8" t="str">
        <f>HYPERLINK("https://twitter.com/prabuharsito","@prabuharsito")</f>
        <v>@prabuharsito</v>
      </c>
      <c r="C22475" s="8" t="s">
        <v>8272</v>
      </c>
      <c r="D22475" s="8">
        <v>73</v>
      </c>
      <c r="E22475" s="8">
        <v>0</v>
      </c>
      <c r="F22475" s="8">
        <v>136</v>
      </c>
    </row>
    <row r="22476" spans="1:6" ht="12.75">
      <c r="A22476" s="8">
        <v>43894.286608796298</v>
      </c>
      <c r="B22476" s="8" t="str">
        <f>HYPERLINK("https://twitter.com/arifipin08oknum","@arifipin08oknum")</f>
        <v>@arifipin08oknum</v>
      </c>
      <c r="C22476" s="8" t="s">
        <v>8901</v>
      </c>
      <c r="D22476" s="8">
        <v>221</v>
      </c>
      <c r="E22476" s="8">
        <v>0</v>
      </c>
      <c r="F22476" s="8">
        <v>125</v>
      </c>
    </row>
    <row r="22477" spans="1:6" ht="12.75">
      <c r="A22477" s="8">
        <v>43894.284583333334</v>
      </c>
      <c r="B22477" s="8" t="str">
        <f>HYPERLINK("https://twitter.com/pembaca_twit","@pembaca_twit")</f>
        <v>@pembaca_twit</v>
      </c>
      <c r="C22477" s="8" t="s">
        <v>1970</v>
      </c>
      <c r="D22477" s="8">
        <v>1313</v>
      </c>
      <c r="E22477" s="8">
        <v>0</v>
      </c>
      <c r="F22477" s="8">
        <v>3</v>
      </c>
    </row>
    <row r="22478" spans="1:6" ht="12.75">
      <c r="A22478" s="8">
        <v>43894.284525462965</v>
      </c>
      <c r="B22478" s="8" t="str">
        <f>HYPERLINK("https://twitter.com/selenowphile","@selenowphile")</f>
        <v>@selenowphile</v>
      </c>
      <c r="C22478" s="8" t="s">
        <v>1427</v>
      </c>
      <c r="D22478" s="8">
        <v>1010</v>
      </c>
      <c r="E22478" s="8">
        <v>0</v>
      </c>
      <c r="F22478" s="8">
        <v>1736</v>
      </c>
    </row>
    <row r="22479" spans="1:6" ht="12.75">
      <c r="A22479" s="8">
        <v>43894.284525462965</v>
      </c>
      <c r="B22479" s="8" t="str">
        <f>HYPERLINK("https://twitter.com/Arufitrah","@Arufitrah")</f>
        <v>@Arufitrah</v>
      </c>
      <c r="C22479" s="8" t="s">
        <v>9102</v>
      </c>
      <c r="D22479" s="8">
        <v>20</v>
      </c>
      <c r="E22479" s="8">
        <v>0</v>
      </c>
      <c r="F22479" s="8">
        <v>103</v>
      </c>
    </row>
    <row r="22480" spans="1:6" ht="12.75">
      <c r="A22480" s="8">
        <v>43894.284386574072</v>
      </c>
      <c r="B22480" s="8" t="str">
        <f>HYPERLINK("https://twitter.com/dakwah_annajah","@dakwah_annajah")</f>
        <v>@dakwah_annajah</v>
      </c>
      <c r="C22480" s="8" t="s">
        <v>1970</v>
      </c>
      <c r="D22480" s="8">
        <v>1313</v>
      </c>
      <c r="E22480" s="8">
        <v>0</v>
      </c>
      <c r="F22480" s="8">
        <v>4923</v>
      </c>
    </row>
    <row r="22481" spans="1:6" ht="12.75">
      <c r="A22481" s="8">
        <v>43894.284375000003</v>
      </c>
      <c r="B22481" s="8" t="str">
        <f>HYPERLINK("https://twitter.com/KhodijahRisa","@KhodijahRisa")</f>
        <v>@KhodijahRisa</v>
      </c>
      <c r="C22481" s="8" t="s">
        <v>7597</v>
      </c>
      <c r="D22481" s="8">
        <v>729</v>
      </c>
      <c r="E22481" s="8">
        <v>0</v>
      </c>
      <c r="F22481" s="8">
        <v>40</v>
      </c>
    </row>
    <row r="22482" spans="1:6" ht="12.75">
      <c r="A22482" s="8">
        <v>43894.283993055556</v>
      </c>
      <c r="B22482" s="8" t="str">
        <f>HYPERLINK("https://twitter.com/las3acc","@las3acc")</f>
        <v>@las3acc</v>
      </c>
      <c r="C22482" s="8" t="s">
        <v>9136</v>
      </c>
      <c r="D22482" s="8">
        <v>10</v>
      </c>
      <c r="E22482" s="8">
        <v>0</v>
      </c>
      <c r="F22482" s="8">
        <v>5116</v>
      </c>
    </row>
    <row r="22483" spans="1:6" ht="12.75">
      <c r="A22483" s="8">
        <v>43894.28292824074</v>
      </c>
      <c r="B22483" s="8" t="str">
        <f>HYPERLINK("https://twitter.com/penuliskata3","@penuliskata3")</f>
        <v>@penuliskata3</v>
      </c>
      <c r="C22483" s="8" t="s">
        <v>7597</v>
      </c>
      <c r="D22483" s="8">
        <v>729</v>
      </c>
      <c r="E22483" s="8">
        <v>0</v>
      </c>
      <c r="F22483" s="8">
        <v>0</v>
      </c>
    </row>
    <row r="22484" spans="1:6" ht="12.75">
      <c r="A22484" s="8">
        <v>43894.281550925924</v>
      </c>
      <c r="B22484" s="8" t="str">
        <f>HYPERLINK("https://twitter.com/makanansisa","@makanansisa")</f>
        <v>@makanansisa</v>
      </c>
      <c r="C22484" s="8" t="s">
        <v>1427</v>
      </c>
      <c r="D22484" s="8">
        <v>1010</v>
      </c>
      <c r="E22484" s="8">
        <v>0</v>
      </c>
      <c r="F22484" s="8">
        <v>668</v>
      </c>
    </row>
    <row r="22485" spans="1:6" ht="12.75">
      <c r="A22485" s="8">
        <v>43894.281053240746</v>
      </c>
      <c r="B22485" s="8" t="str">
        <f>HYPERLINK("https://twitter.com/Jono_Fortunate","@Jono_Fortunate")</f>
        <v>@Jono_Fortunate</v>
      </c>
      <c r="C22485" s="8" t="s">
        <v>8991</v>
      </c>
      <c r="D22485" s="8">
        <v>4</v>
      </c>
      <c r="E22485" s="8">
        <v>0</v>
      </c>
      <c r="F22485" s="8">
        <v>673</v>
      </c>
    </row>
    <row r="22486" spans="1:6" ht="12.75">
      <c r="A22486" s="8">
        <v>43894.280914351853</v>
      </c>
      <c r="B22486" s="8" t="str">
        <f>HYPERLINK("https://twitter.com/MbahSyong","@MbahSyong")</f>
        <v>@MbahSyong</v>
      </c>
      <c r="C22486" s="8" t="s">
        <v>4477</v>
      </c>
      <c r="D22486" s="8">
        <v>1238</v>
      </c>
      <c r="E22486" s="8">
        <v>0</v>
      </c>
      <c r="F22486" s="8">
        <v>957</v>
      </c>
    </row>
    <row r="22487" spans="1:6" ht="12.75">
      <c r="A22487" s="8">
        <v>43894.280439814815</v>
      </c>
      <c r="B22487" s="8" t="str">
        <f>HYPERLINK("https://twitter.com/egaariendra96","@egaariendra96")</f>
        <v>@egaariendra96</v>
      </c>
      <c r="C22487" s="8" t="s">
        <v>9102</v>
      </c>
      <c r="D22487" s="8">
        <v>20</v>
      </c>
      <c r="E22487" s="8">
        <v>0</v>
      </c>
      <c r="F22487" s="8">
        <v>154</v>
      </c>
    </row>
    <row r="22488" spans="1:6" ht="12.75">
      <c r="A22488" s="8">
        <v>43894.280416666668</v>
      </c>
      <c r="B22488" s="8" t="str">
        <f>HYPERLINK("https://twitter.com/DcEliana","@DcEliana")</f>
        <v>@DcEliana</v>
      </c>
      <c r="C22488" s="8" t="s">
        <v>8429</v>
      </c>
      <c r="D22488" s="8">
        <v>179</v>
      </c>
      <c r="E22488" s="8">
        <v>0</v>
      </c>
      <c r="F22488" s="8">
        <v>155</v>
      </c>
    </row>
    <row r="22489" spans="1:6" ht="12.75">
      <c r="A22489" s="8">
        <v>43894.280324074076</v>
      </c>
      <c r="B22489" s="8" t="str">
        <f>HYPERLINK("https://twitter.com/g4m4r333","@g4m4r333")</f>
        <v>@g4m4r333</v>
      </c>
      <c r="C22489" s="8" t="s">
        <v>1970</v>
      </c>
      <c r="D22489" s="8">
        <v>1313</v>
      </c>
      <c r="E22489" s="8">
        <v>0</v>
      </c>
      <c r="F22489" s="8">
        <v>14</v>
      </c>
    </row>
    <row r="22490" spans="1:6" ht="12.75">
      <c r="A22490" s="8">
        <v>43894.279814814814</v>
      </c>
      <c r="B22490" s="8" t="str">
        <f>HYPERLINK("https://twitter.com/Alichtirom14","@Alichtirom14")</f>
        <v>@Alichtirom14</v>
      </c>
      <c r="C22490" s="8" t="s">
        <v>685</v>
      </c>
      <c r="D22490" s="8">
        <v>175</v>
      </c>
      <c r="E22490" s="8">
        <v>0</v>
      </c>
      <c r="F22490" s="8">
        <v>293</v>
      </c>
    </row>
    <row r="22491" spans="1:6" ht="12.75">
      <c r="A22491" s="8">
        <v>43894.279293981483</v>
      </c>
      <c r="B22491" s="8" t="str">
        <f>HYPERLINK("https://twitter.com/zeniofeby","@zeniofeby")</f>
        <v>@zeniofeby</v>
      </c>
      <c r="C22491" s="8" t="s">
        <v>9137</v>
      </c>
      <c r="D22491" s="8">
        <v>10</v>
      </c>
      <c r="E22491" s="8">
        <v>0</v>
      </c>
      <c r="F22491" s="8">
        <v>188</v>
      </c>
    </row>
    <row r="22492" spans="1:6" ht="12.75">
      <c r="A22492" s="8">
        <v>43894.277650462958</v>
      </c>
      <c r="B22492" s="8" t="str">
        <f t="shared" ref="B22492:B22493" si="329">HYPERLINK("https://twitter.com/KangAzzev","@KangAzzev")</f>
        <v>@KangAzzev</v>
      </c>
      <c r="C22492" s="8" t="s">
        <v>6315</v>
      </c>
      <c r="D22492" s="8">
        <v>152</v>
      </c>
      <c r="E22492" s="8">
        <v>0</v>
      </c>
      <c r="F22492" s="8">
        <v>758</v>
      </c>
    </row>
    <row r="22493" spans="1:6" ht="12.75">
      <c r="A22493" s="8">
        <v>43894.276284722218</v>
      </c>
      <c r="B22493" s="8" t="str">
        <f t="shared" si="329"/>
        <v>@KangAzzev</v>
      </c>
      <c r="C22493" s="8" t="s">
        <v>8429</v>
      </c>
      <c r="D22493" s="8">
        <v>179</v>
      </c>
      <c r="E22493" s="8">
        <v>0</v>
      </c>
      <c r="F22493" s="8">
        <v>758</v>
      </c>
    </row>
    <row r="22494" spans="1:6" ht="12.75">
      <c r="A22494" s="8">
        <v>43894.276238425926</v>
      </c>
      <c r="B22494" s="8" t="str">
        <f>HYPERLINK("https://twitter.com/lepiilevi","@lepiilevi")</f>
        <v>@lepiilevi</v>
      </c>
      <c r="C22494" s="8" t="s">
        <v>1427</v>
      </c>
      <c r="D22494" s="8">
        <v>1010</v>
      </c>
      <c r="E22494" s="8">
        <v>0</v>
      </c>
      <c r="F22494" s="8">
        <v>134</v>
      </c>
    </row>
    <row r="22495" spans="1:6" ht="12.75">
      <c r="A22495" s="8">
        <v>43894.275613425925</v>
      </c>
      <c r="B22495" s="8" t="str">
        <f>HYPERLINK("https://twitter.com/adjiegazali","@adjiegazali")</f>
        <v>@adjiegazali</v>
      </c>
      <c r="C22495" s="8" t="s">
        <v>1970</v>
      </c>
      <c r="D22495" s="8">
        <v>1313</v>
      </c>
      <c r="E22495" s="8">
        <v>0</v>
      </c>
      <c r="F22495" s="8">
        <v>503</v>
      </c>
    </row>
    <row r="22496" spans="1:6" ht="12.75">
      <c r="A22496" s="8">
        <v>43894.275046296301</v>
      </c>
      <c r="B22496" s="8" t="str">
        <f>HYPERLINK("https://twitter.com/pro_hrs","@pro_hrs")</f>
        <v>@pro_hrs</v>
      </c>
      <c r="C22496" s="8" t="s">
        <v>8901</v>
      </c>
      <c r="D22496" s="8">
        <v>221</v>
      </c>
      <c r="E22496" s="8">
        <v>0</v>
      </c>
      <c r="F22496" s="8">
        <v>186</v>
      </c>
    </row>
    <row r="22497" spans="1:6" ht="12.75">
      <c r="A22497" s="8">
        <v>43894.274733796294</v>
      </c>
      <c r="B22497" s="8" t="str">
        <f>HYPERLINK("https://twitter.com/suryacahyadi06","@suryacahyadi06")</f>
        <v>@suryacahyadi06</v>
      </c>
      <c r="C22497" s="8" t="s">
        <v>1970</v>
      </c>
      <c r="D22497" s="8">
        <v>1313</v>
      </c>
      <c r="E22497" s="8">
        <v>0</v>
      </c>
      <c r="F22497" s="8">
        <v>877</v>
      </c>
    </row>
    <row r="22498" spans="1:6" ht="12.75">
      <c r="A22498" s="8">
        <v>43894.274340277778</v>
      </c>
      <c r="B22498" s="8" t="str">
        <f>HYPERLINK("https://twitter.com/Huanana","@Huanana")</f>
        <v>@Huanana</v>
      </c>
      <c r="C22498" s="8" t="s">
        <v>9102</v>
      </c>
      <c r="D22498" s="8">
        <v>20</v>
      </c>
      <c r="E22498" s="8">
        <v>0</v>
      </c>
      <c r="F22498" s="8">
        <v>360</v>
      </c>
    </row>
    <row r="22499" spans="1:6" ht="12.75">
      <c r="A22499" s="8">
        <v>43894.273819444439</v>
      </c>
      <c r="B22499" s="8" t="str">
        <f>HYPERLINK("https://twitter.com/jowokere","@jowokere")</f>
        <v>@jowokere</v>
      </c>
      <c r="C22499" s="8" t="s">
        <v>237</v>
      </c>
      <c r="D22499" s="8">
        <v>0</v>
      </c>
      <c r="E22499" s="8">
        <v>0</v>
      </c>
      <c r="F22499" s="8">
        <v>8800</v>
      </c>
    </row>
    <row r="22500" spans="1:6" ht="12.75">
      <c r="A22500" s="8">
        <v>43894.272569444445</v>
      </c>
      <c r="B22500" s="8" t="str">
        <f>HYPERLINK("https://twitter.com/wazengkakas1","@wazengkakas1")</f>
        <v>@wazengkakas1</v>
      </c>
      <c r="C22500" s="8" t="s">
        <v>9138</v>
      </c>
      <c r="D22500" s="8">
        <v>0</v>
      </c>
      <c r="E22500" s="8">
        <v>0</v>
      </c>
      <c r="F22500" s="8">
        <v>166</v>
      </c>
    </row>
    <row r="22501" spans="1:6" ht="12.75">
      <c r="A22501" s="8">
        <v>43894.272488425922</v>
      </c>
      <c r="B22501" s="8" t="str">
        <f>HYPERLINK("https://twitter.com/ElshintaTegal_","@ElshintaTegal_")</f>
        <v>@ElshintaTegal_</v>
      </c>
      <c r="C22501" s="8" t="s">
        <v>9139</v>
      </c>
      <c r="D22501" s="8">
        <v>1</v>
      </c>
      <c r="E22501" s="8">
        <v>0</v>
      </c>
      <c r="F22501" s="8">
        <v>42</v>
      </c>
    </row>
    <row r="22502" spans="1:6" ht="12.75">
      <c r="A22502" s="8">
        <v>43894.272314814814</v>
      </c>
      <c r="B22502" s="8" t="str">
        <f>HYPERLINK("https://twitter.com/hi_salahudin","@hi_salahudin")</f>
        <v>@hi_salahudin</v>
      </c>
      <c r="C22502" s="8" t="s">
        <v>9140</v>
      </c>
      <c r="D22502" s="8">
        <v>23</v>
      </c>
      <c r="E22502" s="8">
        <v>0</v>
      </c>
      <c r="F22502" s="8">
        <v>1797</v>
      </c>
    </row>
    <row r="22503" spans="1:6" ht="12.75">
      <c r="A22503" s="8">
        <v>43894.272164351853</v>
      </c>
      <c r="B22503" s="8" t="str">
        <f t="shared" ref="B22503:B22504" si="330">HYPERLINK("https://twitter.com/andisarinahrri","@andisarinahrri")</f>
        <v>@andisarinahrri</v>
      </c>
      <c r="C22503" s="8" t="s">
        <v>7430</v>
      </c>
      <c r="D22503" s="8">
        <v>11</v>
      </c>
      <c r="E22503" s="8">
        <v>0</v>
      </c>
      <c r="F22503" s="8">
        <v>3146</v>
      </c>
    </row>
    <row r="22504" spans="1:6" ht="12.75">
      <c r="A22504" s="8">
        <v>43894.272106481483</v>
      </c>
      <c r="B22504" s="8" t="str">
        <f t="shared" si="330"/>
        <v>@andisarinahrri</v>
      </c>
      <c r="C22504" s="8" t="s">
        <v>9141</v>
      </c>
      <c r="D22504" s="8">
        <v>6</v>
      </c>
      <c r="E22504" s="8">
        <v>0</v>
      </c>
      <c r="F22504" s="8">
        <v>3146</v>
      </c>
    </row>
    <row r="22505" spans="1:6" ht="12.75">
      <c r="A22505" s="8">
        <v>43894.27175925926</v>
      </c>
      <c r="B22505" s="8" t="str">
        <f>HYPERLINK("https://twitter.com/RadioElshinta","@RadioElshinta")</f>
        <v>@RadioElshinta</v>
      </c>
      <c r="C22505" s="8" t="s">
        <v>9142</v>
      </c>
      <c r="D22505" s="8">
        <v>1</v>
      </c>
      <c r="E22505" s="8">
        <v>2</v>
      </c>
      <c r="F22505" s="8">
        <v>3636651</v>
      </c>
    </row>
    <row r="22506" spans="1:6" ht="12.75">
      <c r="A22506" s="8">
        <v>43894.271678240737</v>
      </c>
      <c r="B22506" s="8" t="str">
        <f>HYPERLINK("https://twitter.com/KSogemaking","@KSogemaking")</f>
        <v>@KSogemaking</v>
      </c>
      <c r="C22506" s="8" t="s">
        <v>8589</v>
      </c>
      <c r="D22506" s="8">
        <v>7</v>
      </c>
      <c r="E22506" s="8">
        <v>0</v>
      </c>
      <c r="F22506" s="8">
        <v>954</v>
      </c>
    </row>
    <row r="22507" spans="1:6" ht="12.75">
      <c r="A22507" s="8">
        <v>43894.271469907406</v>
      </c>
      <c r="B22507" s="8" t="str">
        <f>HYPERLINK("https://twitter.com/mrbhsr","@mrbhsr")</f>
        <v>@mrbhsr</v>
      </c>
      <c r="C22507" s="8" t="s">
        <v>9143</v>
      </c>
      <c r="D22507" s="8">
        <v>0</v>
      </c>
      <c r="E22507" s="8">
        <v>0</v>
      </c>
      <c r="F22507" s="8">
        <v>626</v>
      </c>
    </row>
    <row r="22508" spans="1:6" ht="12.75">
      <c r="A22508" s="8">
        <v>43894.271469907406</v>
      </c>
      <c r="B22508" s="8" t="str">
        <f>HYPERLINK("https://twitter.com/SlametR72312235","@SlametR72312235")</f>
        <v>@SlametR72312235</v>
      </c>
      <c r="C22508" s="8" t="s">
        <v>8429</v>
      </c>
      <c r="D22508" s="8">
        <v>179</v>
      </c>
      <c r="E22508" s="8">
        <v>0</v>
      </c>
      <c r="F22508" s="8">
        <v>106</v>
      </c>
    </row>
    <row r="22509" spans="1:6" ht="12.75">
      <c r="A22509" s="8">
        <v>43894.271458333329</v>
      </c>
      <c r="B22509" s="8" t="str">
        <f>HYPERLINK("https://twitter.com/AhlamiMubarak","@AhlamiMubarak")</f>
        <v>@AhlamiMubarak</v>
      </c>
      <c r="C22509" s="8" t="s">
        <v>9102</v>
      </c>
      <c r="D22509" s="8">
        <v>20</v>
      </c>
      <c r="E22509" s="8">
        <v>0</v>
      </c>
      <c r="F22509" s="8">
        <v>1022</v>
      </c>
    </row>
    <row r="22510" spans="1:6" ht="12.75">
      <c r="A22510" s="8">
        <v>43894.271168981482</v>
      </c>
      <c r="B22510" s="8" t="str">
        <f>HYPERLINK("https://twitter.com/uyet_buyu","@uyet_buyu")</f>
        <v>@uyet_buyu</v>
      </c>
      <c r="C22510" s="8" t="s">
        <v>8281</v>
      </c>
      <c r="D22510" s="8">
        <v>63</v>
      </c>
      <c r="E22510" s="8">
        <v>0</v>
      </c>
      <c r="F22510" s="8">
        <v>808</v>
      </c>
    </row>
    <row r="22511" spans="1:6" ht="12.75">
      <c r="A22511" s="8">
        <v>43894.271087962959</v>
      </c>
      <c r="B22511" s="8" t="str">
        <f>HYPERLINK("https://twitter.com/Innoku_raya","@Innoku_raya")</f>
        <v>@Innoku_raya</v>
      </c>
      <c r="C22511" s="8" t="s">
        <v>9144</v>
      </c>
      <c r="D22511" s="8">
        <v>0</v>
      </c>
      <c r="E22511" s="8">
        <v>0</v>
      </c>
      <c r="F22511" s="8">
        <v>28</v>
      </c>
    </row>
    <row r="22512" spans="1:6" ht="12.75">
      <c r="A22512" s="8">
        <v>43894.271064814813</v>
      </c>
      <c r="B22512" s="8" t="str">
        <f>HYPERLINK("https://twitter.com/ASamroji","@ASamroji")</f>
        <v>@ASamroji</v>
      </c>
      <c r="C22512" s="8" t="s">
        <v>9135</v>
      </c>
      <c r="D22512" s="8">
        <v>9</v>
      </c>
      <c r="E22512" s="8">
        <v>0</v>
      </c>
      <c r="F22512" s="8">
        <v>272</v>
      </c>
    </row>
    <row r="22513" spans="1:6" ht="12.75">
      <c r="A22513" s="8">
        <v>43894.27043981482</v>
      </c>
      <c r="B22513" s="8" t="str">
        <f>HYPERLINK("https://twitter.com/AngkieYudistia","@AngkieYudistia")</f>
        <v>@AngkieYudistia</v>
      </c>
      <c r="C22513" s="8" t="s">
        <v>9145</v>
      </c>
      <c r="D22513" s="8">
        <v>0</v>
      </c>
      <c r="E22513" s="8">
        <v>0</v>
      </c>
      <c r="F22513" s="8">
        <v>25639</v>
      </c>
    </row>
    <row r="22514" spans="1:6" ht="12.75">
      <c r="A22514" s="8">
        <v>43894.270335648151</v>
      </c>
      <c r="B22514" s="8" t="str">
        <f>HYPERLINK("https://twitter.com/mr_bubble_","@mr_bubble_")</f>
        <v>@mr_bubble_</v>
      </c>
      <c r="C22514" s="8" t="s">
        <v>9146</v>
      </c>
      <c r="D22514" s="8">
        <v>77</v>
      </c>
      <c r="E22514" s="8">
        <v>0</v>
      </c>
      <c r="F22514" s="8">
        <v>2397</v>
      </c>
    </row>
    <row r="22515" spans="1:6" ht="12.75">
      <c r="A22515" s="8">
        <v>43894.270254629635</v>
      </c>
      <c r="B22515" s="8" t="str">
        <f>HYPERLINK("https://twitter.com/danendrabrata","@danendrabrata")</f>
        <v>@danendrabrata</v>
      </c>
      <c r="C22515" s="8" t="s">
        <v>8901</v>
      </c>
      <c r="D22515" s="8">
        <v>221</v>
      </c>
      <c r="E22515" s="8">
        <v>0</v>
      </c>
      <c r="F22515" s="8">
        <v>76</v>
      </c>
    </row>
    <row r="22516" spans="1:6" ht="12.75">
      <c r="A22516" s="8">
        <v>43894.270115740743</v>
      </c>
      <c r="B22516" s="8" t="str">
        <f>HYPERLINK("https://twitter.com/Nugroho814","@Nugroho814")</f>
        <v>@Nugroho814</v>
      </c>
      <c r="C22516" s="8" t="s">
        <v>8991</v>
      </c>
      <c r="D22516" s="8">
        <v>4</v>
      </c>
      <c r="E22516" s="8">
        <v>0</v>
      </c>
      <c r="F22516" s="8">
        <v>242</v>
      </c>
    </row>
    <row r="22517" spans="1:6" ht="12.75">
      <c r="A22517" s="8">
        <v>43894.269155092596</v>
      </c>
      <c r="B22517" s="8" t="str">
        <f>HYPERLINK("https://twitter.com/Lismarindo1","@Lismarindo1")</f>
        <v>@Lismarindo1</v>
      </c>
      <c r="C22517" s="8" t="s">
        <v>685</v>
      </c>
      <c r="D22517" s="8">
        <v>175</v>
      </c>
      <c r="E22517" s="8">
        <v>0</v>
      </c>
      <c r="F22517" s="8">
        <v>37</v>
      </c>
    </row>
    <row r="22518" spans="1:6" ht="12.75">
      <c r="A22518" s="8">
        <v>43894.269131944442</v>
      </c>
      <c r="B22518" s="8" t="str">
        <f>HYPERLINK("https://twitter.com/SayyiidHaddaad","@SayyiidHaddaad")</f>
        <v>@SayyiidHaddaad</v>
      </c>
      <c r="C22518" s="8" t="s">
        <v>8272</v>
      </c>
      <c r="D22518" s="8">
        <v>73</v>
      </c>
      <c r="E22518" s="8">
        <v>0</v>
      </c>
      <c r="F22518" s="8">
        <v>98</v>
      </c>
    </row>
    <row r="22519" spans="1:6" ht="12.75">
      <c r="A22519" s="8">
        <v>43894.268969907411</v>
      </c>
      <c r="B22519" s="8" t="str">
        <f>HYPERLINK("https://twitter.com/DonaldDuck__2","@DonaldDuck__2")</f>
        <v>@DonaldDuck__2</v>
      </c>
      <c r="C22519" s="8" t="s">
        <v>9102</v>
      </c>
      <c r="D22519" s="8">
        <v>20</v>
      </c>
      <c r="E22519" s="8">
        <v>0</v>
      </c>
      <c r="F22519" s="8">
        <v>18</v>
      </c>
    </row>
    <row r="22520" spans="1:6" ht="12.75">
      <c r="A22520" s="8">
        <v>43894.268888888888</v>
      </c>
      <c r="B22520" s="8" t="str">
        <f>HYPERLINK("https://twitter.com/andisarinahrri","@andisarinahrri")</f>
        <v>@andisarinahrri</v>
      </c>
      <c r="C22520" s="8" t="s">
        <v>9147</v>
      </c>
      <c r="D22520" s="8">
        <v>9</v>
      </c>
      <c r="E22520" s="8">
        <v>0</v>
      </c>
      <c r="F22520" s="8">
        <v>3146</v>
      </c>
    </row>
    <row r="22521" spans="1:6" ht="12.75">
      <c r="A22521" s="8">
        <v>43894.268518518518</v>
      </c>
      <c r="B22521" s="8" t="str">
        <f>HYPERLINK("https://twitter.com/taufannurcahyo","@taufannurcahyo")</f>
        <v>@taufannurcahyo</v>
      </c>
      <c r="C22521" s="8" t="s">
        <v>8901</v>
      </c>
      <c r="D22521" s="8">
        <v>221</v>
      </c>
      <c r="E22521" s="8">
        <v>0</v>
      </c>
      <c r="F22521" s="8">
        <v>366</v>
      </c>
    </row>
    <row r="22522" spans="1:6" ht="12.75">
      <c r="A22522" s="8">
        <v>43894.268437499995</v>
      </c>
      <c r="B22522" s="8" t="str">
        <f>HYPERLINK("https://twitter.com/Wongjaw99685558","@Wongjaw99685558")</f>
        <v>@Wongjaw99685558</v>
      </c>
      <c r="C22522" s="8" t="s">
        <v>9146</v>
      </c>
      <c r="D22522" s="8">
        <v>77</v>
      </c>
      <c r="E22522" s="8">
        <v>0</v>
      </c>
      <c r="F22522" s="8">
        <v>3644</v>
      </c>
    </row>
    <row r="22523" spans="1:6" ht="12.75">
      <c r="A22523" s="8">
        <v>43894.268171296295</v>
      </c>
      <c r="B22523" s="8" t="str">
        <f>HYPERLINK("https://twitter.com/MillatiHaya","@MillatiHaya")</f>
        <v>@MillatiHaya</v>
      </c>
      <c r="C22523" s="8" t="s">
        <v>9102</v>
      </c>
      <c r="D22523" s="8">
        <v>20</v>
      </c>
      <c r="E22523" s="8">
        <v>0</v>
      </c>
      <c r="F22523" s="8">
        <v>184</v>
      </c>
    </row>
    <row r="22524" spans="1:6" ht="12.75">
      <c r="A22524" s="8">
        <v>43894.267847222218</v>
      </c>
      <c r="B22524" s="8" t="str">
        <f>HYPERLINK("https://twitter.com/WidiPrasetyoU1","@WidiPrasetyoU1")</f>
        <v>@WidiPrasetyoU1</v>
      </c>
      <c r="C22524" s="8" t="s">
        <v>8843</v>
      </c>
      <c r="D22524" s="8">
        <v>96</v>
      </c>
      <c r="E22524" s="8">
        <v>0</v>
      </c>
      <c r="F22524" s="8">
        <v>24</v>
      </c>
    </row>
    <row r="22525" spans="1:6" ht="12.75">
      <c r="A22525" s="8">
        <v>43894.267789351856</v>
      </c>
      <c r="B22525" s="8" t="str">
        <f>HYPERLINK("https://twitter.com/xxahtikkah","@xxahtikkah")</f>
        <v>@xxahtikkah</v>
      </c>
      <c r="C22525" s="8" t="s">
        <v>2962</v>
      </c>
      <c r="D22525" s="8">
        <v>5632</v>
      </c>
      <c r="E22525" s="8">
        <v>0</v>
      </c>
      <c r="F22525" s="8">
        <v>542</v>
      </c>
    </row>
    <row r="22526" spans="1:6" ht="12.75">
      <c r="A22526" s="8">
        <v>43894.26761574074</v>
      </c>
      <c r="B22526" s="8" t="str">
        <f>HYPERLINK("https://twitter.com/Barna_byo","@Barna_byo")</f>
        <v>@Barna_byo</v>
      </c>
      <c r="C22526" s="8" t="s">
        <v>8429</v>
      </c>
      <c r="D22526" s="8">
        <v>179</v>
      </c>
      <c r="E22526" s="8">
        <v>0</v>
      </c>
      <c r="F22526" s="8">
        <v>7899</v>
      </c>
    </row>
    <row r="22527" spans="1:6" ht="12.75">
      <c r="A22527" s="8">
        <v>43894.26761574074</v>
      </c>
      <c r="B22527" s="8" t="str">
        <f>HYPERLINK("https://twitter.com/abdulhusdin","@abdulhusdin")</f>
        <v>@abdulhusdin</v>
      </c>
      <c r="C22527" s="8" t="s">
        <v>8901</v>
      </c>
      <c r="D22527" s="8">
        <v>221</v>
      </c>
      <c r="E22527" s="8">
        <v>0</v>
      </c>
      <c r="F22527" s="8">
        <v>630</v>
      </c>
    </row>
    <row r="22528" spans="1:6" ht="12.75">
      <c r="A22528" s="8">
        <v>43894.267592592594</v>
      </c>
      <c r="B22528" s="8" t="str">
        <f>HYPERLINK("https://twitter.com/sabriahrazak","@sabriahrazak")</f>
        <v>@sabriahrazak</v>
      </c>
      <c r="C22528" s="8" t="s">
        <v>7661</v>
      </c>
      <c r="D22528" s="8">
        <v>479</v>
      </c>
      <c r="E22528" s="8">
        <v>0</v>
      </c>
      <c r="F22528" s="8">
        <v>2291</v>
      </c>
    </row>
    <row r="22529" spans="1:6" ht="12.75">
      <c r="A22529" s="8">
        <v>43894.267395833333</v>
      </c>
      <c r="B22529" s="8" t="str">
        <f>HYPERLINK("https://twitter.com/DeHoutman7","@DeHoutman7")</f>
        <v>@DeHoutman7</v>
      </c>
      <c r="C22529" s="8" t="s">
        <v>8991</v>
      </c>
      <c r="D22529" s="8">
        <v>4</v>
      </c>
      <c r="E22529" s="8">
        <v>0</v>
      </c>
      <c r="F22529" s="8">
        <v>4539</v>
      </c>
    </row>
    <row r="22530" spans="1:6" ht="12.75">
      <c r="A22530" s="8">
        <v>43894.267361111109</v>
      </c>
      <c r="B22530" s="8" t="str">
        <f>HYPERLINK("https://twitter.com/ShabaanIssa","@ShabaanIssa")</f>
        <v>@ShabaanIssa</v>
      </c>
      <c r="C22530" s="8" t="s">
        <v>9148</v>
      </c>
      <c r="D22530" s="8">
        <v>0</v>
      </c>
      <c r="E22530" s="8">
        <v>0</v>
      </c>
      <c r="F22530" s="8">
        <v>159</v>
      </c>
    </row>
    <row r="22531" spans="1:6" ht="12.75">
      <c r="A22531" s="8">
        <v>43894.267222222217</v>
      </c>
      <c r="B22531" s="8" t="str">
        <f>HYPERLINK("https://twitter.com/Djoko_Not","@Djoko_Not")</f>
        <v>@Djoko_Not</v>
      </c>
      <c r="C22531" s="8" t="s">
        <v>9149</v>
      </c>
      <c r="D22531" s="8">
        <v>4</v>
      </c>
      <c r="E22531" s="8">
        <v>5</v>
      </c>
      <c r="F22531" s="8">
        <v>5509</v>
      </c>
    </row>
    <row r="22532" spans="1:6" ht="12.75">
      <c r="A22532" s="8">
        <v>43894.266273148147</v>
      </c>
      <c r="B22532" s="8" t="str">
        <f>HYPERLINK("https://twitter.com/Wongjaw99685558","@Wongjaw99685558")</f>
        <v>@Wongjaw99685558</v>
      </c>
      <c r="C22532" s="8" t="s">
        <v>9150</v>
      </c>
      <c r="D22532" s="8">
        <v>4</v>
      </c>
      <c r="E22532" s="8">
        <v>0</v>
      </c>
      <c r="F22532" s="8">
        <v>3644</v>
      </c>
    </row>
    <row r="22533" spans="1:6" ht="12.75">
      <c r="A22533" s="8">
        <v>43894.266180555554</v>
      </c>
      <c r="B22533" s="8" t="str">
        <f>HYPERLINK("https://twitter.com/Peachy_Blinders","@Peachy_Blinders")</f>
        <v>@Peachy_Blinders</v>
      </c>
      <c r="C22533" s="8" t="s">
        <v>9137</v>
      </c>
      <c r="D22533" s="8">
        <v>10</v>
      </c>
      <c r="E22533" s="8">
        <v>0</v>
      </c>
      <c r="F22533" s="8">
        <v>247</v>
      </c>
    </row>
    <row r="22534" spans="1:6" ht="12.75">
      <c r="A22534" s="8">
        <v>43894.265949074077</v>
      </c>
      <c r="B22534" s="8" t="str">
        <f t="shared" ref="B22534:B22535" si="331">HYPERLINK("https://twitter.com/AngkieYudistia","@AngkieYudistia")</f>
        <v>@AngkieYudistia</v>
      </c>
      <c r="C22534" s="8" t="s">
        <v>9151</v>
      </c>
      <c r="D22534" s="8">
        <v>0</v>
      </c>
      <c r="E22534" s="8">
        <v>0</v>
      </c>
      <c r="F22534" s="8">
        <v>25639</v>
      </c>
    </row>
    <row r="22535" spans="1:6" ht="12.75">
      <c r="A22535" s="8">
        <v>43894.265925925924</v>
      </c>
      <c r="B22535" s="8" t="str">
        <f t="shared" si="331"/>
        <v>@AngkieYudistia</v>
      </c>
      <c r="C22535" s="8" t="s">
        <v>9152</v>
      </c>
      <c r="D22535" s="8">
        <v>0</v>
      </c>
      <c r="E22535" s="8">
        <v>0</v>
      </c>
      <c r="F22535" s="8">
        <v>25639</v>
      </c>
    </row>
    <row r="22536" spans="1:6" ht="12.75">
      <c r="A22536" s="8">
        <v>43894.265868055554</v>
      </c>
      <c r="B22536" s="8" t="str">
        <f>HYPERLINK("https://twitter.com/OmPram7","@OmPram7")</f>
        <v>@OmPram7</v>
      </c>
      <c r="C22536" s="8" t="s">
        <v>9128</v>
      </c>
      <c r="D22536" s="8">
        <v>190</v>
      </c>
      <c r="E22536" s="8">
        <v>0</v>
      </c>
      <c r="F22536" s="8">
        <v>6</v>
      </c>
    </row>
    <row r="22537" spans="1:6" ht="12.75">
      <c r="A22537" s="8">
        <v>43894.265300925923</v>
      </c>
      <c r="B22537" s="8" t="str">
        <f t="shared" ref="B22537:B22539" si="332">HYPERLINK("https://twitter.com/YoyokSubandriy3","@YoyokSubandriy3")</f>
        <v>@YoyokSubandriy3</v>
      </c>
      <c r="C22537" s="8" t="s">
        <v>9001</v>
      </c>
      <c r="D22537" s="8">
        <v>8</v>
      </c>
      <c r="E22537" s="8">
        <v>0</v>
      </c>
      <c r="F22537" s="8">
        <v>1378</v>
      </c>
    </row>
    <row r="22538" spans="1:6" ht="12.75">
      <c r="A22538" s="8">
        <v>43894.265219907407</v>
      </c>
      <c r="B22538" s="8" t="str">
        <f t="shared" si="332"/>
        <v>@YoyokSubandriy3</v>
      </c>
      <c r="C22538" s="8" t="s">
        <v>9140</v>
      </c>
      <c r="D22538" s="8">
        <v>23</v>
      </c>
      <c r="E22538" s="8">
        <v>0</v>
      </c>
      <c r="F22538" s="8">
        <v>1378</v>
      </c>
    </row>
    <row r="22539" spans="1:6" ht="12.75">
      <c r="A22539" s="8">
        <v>43894.264861111107</v>
      </c>
      <c r="B22539" s="8" t="str">
        <f t="shared" si="332"/>
        <v>@YoyokSubandriy3</v>
      </c>
      <c r="C22539" s="8" t="s">
        <v>7604</v>
      </c>
      <c r="D22539" s="8">
        <v>11</v>
      </c>
      <c r="E22539" s="8">
        <v>0</v>
      </c>
      <c r="F22539" s="8">
        <v>1378</v>
      </c>
    </row>
    <row r="22540" spans="1:6" ht="12.75">
      <c r="A22540" s="8">
        <v>43894.264305555553</v>
      </c>
      <c r="B22540" s="8" t="str">
        <f>HYPERLINK("https://twitter.com/andriancek","@andriancek")</f>
        <v>@andriancek</v>
      </c>
      <c r="C22540" s="8" t="s">
        <v>9102</v>
      </c>
      <c r="D22540" s="8">
        <v>20</v>
      </c>
      <c r="E22540" s="8">
        <v>0</v>
      </c>
      <c r="F22540" s="8">
        <v>1386</v>
      </c>
    </row>
    <row r="22541" spans="1:6" ht="12.75">
      <c r="A22541" s="8">
        <v>43894.263969907406</v>
      </c>
      <c r="B22541" s="8" t="str">
        <f>HYPERLINK("https://twitter.com/hemaviton99","@hemaviton99")</f>
        <v>@hemaviton99</v>
      </c>
      <c r="C22541" s="8" t="s">
        <v>8429</v>
      </c>
      <c r="D22541" s="8">
        <v>179</v>
      </c>
      <c r="E22541" s="8">
        <v>0</v>
      </c>
      <c r="F22541" s="8">
        <v>5415</v>
      </c>
    </row>
    <row r="22542" spans="1:6" ht="12.75">
      <c r="A22542" s="8">
        <v>43894.263761574075</v>
      </c>
      <c r="B22542" s="8" t="str">
        <f>HYPERLINK("https://twitter.com/Antok114","@Antok114")</f>
        <v>@Antok114</v>
      </c>
      <c r="C22542" s="8" t="s">
        <v>9153</v>
      </c>
      <c r="D22542" s="8">
        <v>277</v>
      </c>
      <c r="E22542" s="8">
        <v>0</v>
      </c>
      <c r="F22542" s="8">
        <v>871</v>
      </c>
    </row>
    <row r="22543" spans="1:6" ht="12.75">
      <c r="A22543" s="8">
        <v>43894.262326388889</v>
      </c>
      <c r="B22543" s="8" t="str">
        <f>HYPERLINK("https://twitter.com/Avifannn","@Avifannn")</f>
        <v>@Avifannn</v>
      </c>
      <c r="C22543" s="8" t="s">
        <v>9154</v>
      </c>
      <c r="D22543" s="8">
        <v>0</v>
      </c>
      <c r="E22543" s="8">
        <v>0</v>
      </c>
      <c r="F22543" s="8">
        <v>94</v>
      </c>
    </row>
    <row r="22544" spans="1:6" ht="12.75">
      <c r="A22544" s="8">
        <v>43894.261956018519</v>
      </c>
      <c r="B22544" s="8" t="str">
        <f>HYPERLINK("https://twitter.com/Antok114","@Antok114")</f>
        <v>@Antok114</v>
      </c>
      <c r="C22544" s="8" t="s">
        <v>1970</v>
      </c>
      <c r="D22544" s="8">
        <v>1313</v>
      </c>
      <c r="E22544" s="8">
        <v>0</v>
      </c>
      <c r="F22544" s="8">
        <v>871</v>
      </c>
    </row>
    <row r="22545" spans="1:6" ht="12.75">
      <c r="A22545" s="8">
        <v>43894.261608796296</v>
      </c>
      <c r="B22545" s="8" t="str">
        <f>HYPERLINK("https://twitter.com/JerikoBaru2170","@JerikoBaru2170")</f>
        <v>@JerikoBaru2170</v>
      </c>
      <c r="C22545" s="8" t="s">
        <v>9155</v>
      </c>
      <c r="D22545" s="8">
        <v>0</v>
      </c>
      <c r="E22545" s="8">
        <v>0</v>
      </c>
      <c r="F22545" s="8">
        <v>42</v>
      </c>
    </row>
    <row r="22546" spans="1:6" ht="12.75">
      <c r="A22546" s="8">
        <v>43894.261076388888</v>
      </c>
      <c r="B22546" s="8" t="str">
        <f>HYPERLINK("https://twitter.com/heyjulsky","@heyjulsky")</f>
        <v>@heyjulsky</v>
      </c>
      <c r="C22546" s="8" t="s">
        <v>9102</v>
      </c>
      <c r="D22546" s="8">
        <v>20</v>
      </c>
      <c r="E22546" s="8">
        <v>0</v>
      </c>
      <c r="F22546" s="8">
        <v>64</v>
      </c>
    </row>
    <row r="22547" spans="1:6" ht="12.75">
      <c r="A22547" s="8">
        <v>43894.26090277778</v>
      </c>
      <c r="B22547" s="8" t="str">
        <f>HYPERLINK("https://twitter.com/drewter_","@drewter_")</f>
        <v>@drewter_</v>
      </c>
      <c r="C22547" s="8" t="s">
        <v>9156</v>
      </c>
      <c r="D22547" s="8">
        <v>0</v>
      </c>
      <c r="E22547" s="8">
        <v>0</v>
      </c>
      <c r="F22547" s="8">
        <v>805</v>
      </c>
    </row>
    <row r="22548" spans="1:6" ht="12.75">
      <c r="A22548" s="8">
        <v>43894.25675925926</v>
      </c>
      <c r="B22548" s="8" t="str">
        <f>HYPERLINK("https://twitter.com/mommydelisha","@mommydelisha")</f>
        <v>@mommydelisha</v>
      </c>
      <c r="C22548" s="8" t="s">
        <v>9117</v>
      </c>
      <c r="D22548" s="8">
        <v>411</v>
      </c>
      <c r="E22548" s="8">
        <v>0</v>
      </c>
      <c r="F22548" s="8">
        <v>202</v>
      </c>
    </row>
    <row r="22549" spans="1:6" ht="12.75">
      <c r="A22549" s="8">
        <v>43894.254942129628</v>
      </c>
      <c r="B22549" s="8" t="str">
        <f>HYPERLINK("https://twitter.com/ricoandreanto","@ricoandreanto")</f>
        <v>@ricoandreanto</v>
      </c>
      <c r="C22549" s="8" t="s">
        <v>6315</v>
      </c>
      <c r="D22549" s="8">
        <v>152</v>
      </c>
      <c r="E22549" s="8">
        <v>0</v>
      </c>
      <c r="F22549" s="8">
        <v>321</v>
      </c>
    </row>
    <row r="22550" spans="1:6" ht="12.75">
      <c r="A22550" s="8">
        <v>43894.254375000004</v>
      </c>
      <c r="B22550" s="8" t="str">
        <f>HYPERLINK("https://twitter.com/prabsky","@prabsky")</f>
        <v>@prabsky</v>
      </c>
      <c r="C22550" s="8" t="s">
        <v>1970</v>
      </c>
      <c r="D22550" s="8">
        <v>1306</v>
      </c>
      <c r="E22550" s="8">
        <v>0</v>
      </c>
      <c r="F22550" s="8">
        <v>22</v>
      </c>
    </row>
    <row r="22551" spans="1:6" ht="12.75">
      <c r="A22551" s="8">
        <v>43894.253946759258</v>
      </c>
      <c r="B22551" s="8" t="str">
        <f>HYPERLINK("https://twitter.com/mengpradana","@mengpradana")</f>
        <v>@mengpradana</v>
      </c>
      <c r="C22551" s="8" t="s">
        <v>2962</v>
      </c>
      <c r="D22551" s="8">
        <v>5630</v>
      </c>
      <c r="E22551" s="8">
        <v>0</v>
      </c>
      <c r="F22551" s="8">
        <v>111</v>
      </c>
    </row>
    <row r="22552" spans="1:6" ht="12.75">
      <c r="A22552" s="8">
        <v>43894.252893518518</v>
      </c>
      <c r="B22552" s="8" t="str">
        <f>HYPERLINK("https://twitter.com/syamsulhadi_ae","@syamsulhadi_ae")</f>
        <v>@syamsulhadi_ae</v>
      </c>
      <c r="C22552" s="8" t="s">
        <v>8429</v>
      </c>
      <c r="D22552" s="8">
        <v>172</v>
      </c>
      <c r="E22552" s="8">
        <v>0</v>
      </c>
      <c r="F22552" s="8">
        <v>247</v>
      </c>
    </row>
    <row r="22553" spans="1:6" ht="12.75">
      <c r="A22553" s="8">
        <v>43894.252650462964</v>
      </c>
      <c r="B22553" s="8" t="str">
        <f>HYPERLINK("https://twitter.com/iramady15","@iramady15")</f>
        <v>@iramady15</v>
      </c>
      <c r="C22553" s="8" t="s">
        <v>8272</v>
      </c>
      <c r="D22553" s="8">
        <v>70</v>
      </c>
      <c r="E22553" s="8">
        <v>0</v>
      </c>
      <c r="F22553" s="8">
        <v>168</v>
      </c>
    </row>
    <row r="22554" spans="1:6" ht="12.75">
      <c r="A22554" s="8">
        <v>43894.252615740741</v>
      </c>
      <c r="B22554" s="8" t="str">
        <f>HYPERLINK("https://twitter.com/alimaksum4","@alimaksum4")</f>
        <v>@alimaksum4</v>
      </c>
      <c r="C22554" s="8" t="s">
        <v>8429</v>
      </c>
      <c r="D22554" s="8">
        <v>172</v>
      </c>
      <c r="E22554" s="8">
        <v>0</v>
      </c>
      <c r="F22554" s="8">
        <v>788</v>
      </c>
    </row>
    <row r="22555" spans="1:6" ht="12.75">
      <c r="A22555" s="8">
        <v>43894.252534722225</v>
      </c>
      <c r="B22555" s="8" t="str">
        <f>HYPERLINK("https://twitter.com/Dokter_alatas","@Dokter_alatas")</f>
        <v>@Dokter_alatas</v>
      </c>
      <c r="C22555" s="8" t="s">
        <v>1427</v>
      </c>
      <c r="D22555" s="8">
        <v>1005</v>
      </c>
      <c r="E22555" s="8">
        <v>0</v>
      </c>
      <c r="F22555" s="8">
        <v>311</v>
      </c>
    </row>
    <row r="22556" spans="1:6" ht="12.75">
      <c r="A22556" s="8">
        <v>43894.25200231481</v>
      </c>
      <c r="B22556" s="8" t="str">
        <f>HYPERLINK("https://twitter.com/nvdetalias","@nvdetalias")</f>
        <v>@nvdetalias</v>
      </c>
      <c r="C22556" s="8" t="s">
        <v>1427</v>
      </c>
      <c r="D22556" s="8">
        <v>1005</v>
      </c>
      <c r="E22556" s="8">
        <v>0</v>
      </c>
      <c r="F22556" s="8">
        <v>465</v>
      </c>
    </row>
    <row r="22557" spans="1:6" ht="12.75">
      <c r="A22557" s="8">
        <v>43894.25136574074</v>
      </c>
      <c r="B22557" s="8" t="str">
        <f>HYPERLINK("https://twitter.com/lampungonair","@lampungonair")</f>
        <v>@lampungonair</v>
      </c>
      <c r="C22557" s="8" t="s">
        <v>4235</v>
      </c>
      <c r="D22557" s="8">
        <v>1681</v>
      </c>
      <c r="E22557" s="8">
        <v>0</v>
      </c>
      <c r="F22557" s="8">
        <v>473</v>
      </c>
    </row>
    <row r="22558" spans="1:6" ht="12.75">
      <c r="A22558" s="8">
        <v>43894.250543981485</v>
      </c>
      <c r="B22558" s="8" t="str">
        <f>HYPERLINK("https://twitter.com/atharis787","@atharis787")</f>
        <v>@atharis787</v>
      </c>
      <c r="C22558" s="8" t="s">
        <v>9157</v>
      </c>
      <c r="D22558" s="8">
        <v>0</v>
      </c>
      <c r="E22558" s="8">
        <v>0</v>
      </c>
      <c r="F22558" s="8">
        <v>184</v>
      </c>
    </row>
    <row r="22559" spans="1:6" ht="12.75">
      <c r="A22559" s="8">
        <v>43894.250393518523</v>
      </c>
      <c r="B22559" s="8" t="str">
        <f>HYPERLINK("https://twitter.com/kuro_marta","@kuro_marta")</f>
        <v>@kuro_marta</v>
      </c>
      <c r="C22559" s="8" t="s">
        <v>8901</v>
      </c>
      <c r="D22559" s="8">
        <v>214</v>
      </c>
      <c r="E22559" s="8">
        <v>0</v>
      </c>
      <c r="F22559" s="8">
        <v>137</v>
      </c>
    </row>
    <row r="22560" spans="1:6" ht="12.75">
      <c r="A22560" s="8">
        <v>43894.250243055554</v>
      </c>
      <c r="B22560" s="8" t="str">
        <f>HYPERLINK("https://twitter.com/hp_astoro","@hp_astoro")</f>
        <v>@hp_astoro</v>
      </c>
      <c r="C22560" s="8" t="s">
        <v>9059</v>
      </c>
      <c r="D22560" s="8">
        <v>2</v>
      </c>
      <c r="E22560" s="8">
        <v>0</v>
      </c>
      <c r="F22560" s="8">
        <v>642</v>
      </c>
    </row>
    <row r="22561" spans="1:6" ht="12.75">
      <c r="A22561" s="8">
        <v>43894.249976851846</v>
      </c>
      <c r="B22561" s="8" t="str">
        <f>HYPERLINK("https://twitter.com/xxrynaa","@xxrynaa")</f>
        <v>@xxrynaa</v>
      </c>
      <c r="C22561" s="8" t="s">
        <v>8868</v>
      </c>
      <c r="D22561" s="8">
        <v>183</v>
      </c>
      <c r="E22561" s="8">
        <v>0</v>
      </c>
      <c r="F22561" s="8">
        <v>3483</v>
      </c>
    </row>
    <row r="22562" spans="1:6" ht="12.75">
      <c r="A22562" s="8">
        <v>43894.249768518523</v>
      </c>
      <c r="B22562" s="8" t="str">
        <f>HYPERLINK("https://twitter.com/rio_ayong","@rio_ayong")</f>
        <v>@rio_ayong</v>
      </c>
      <c r="C22562" s="8" t="s">
        <v>9140</v>
      </c>
      <c r="D22562" s="8">
        <v>20</v>
      </c>
      <c r="E22562" s="8">
        <v>0</v>
      </c>
      <c r="F22562" s="8">
        <v>225</v>
      </c>
    </row>
    <row r="22563" spans="1:6" ht="12.75">
      <c r="A22563" s="8">
        <v>43894.249571759261</v>
      </c>
      <c r="B22563" s="8" t="str">
        <f>HYPERLINK("https://twitter.com/Izznaq","@Izznaq")</f>
        <v>@Izznaq</v>
      </c>
      <c r="C22563" s="8" t="s">
        <v>7604</v>
      </c>
      <c r="D22563" s="8">
        <v>8</v>
      </c>
      <c r="E22563" s="8">
        <v>0</v>
      </c>
      <c r="F22563" s="8">
        <v>920</v>
      </c>
    </row>
    <row r="22564" spans="1:6" ht="12.75">
      <c r="A22564" s="8">
        <v>43894.249525462961</v>
      </c>
      <c r="B22564" s="8" t="str">
        <f>HYPERLINK("https://twitter.com/dyah_gracyla","@dyah_gracyla")</f>
        <v>@dyah_gracyla</v>
      </c>
      <c r="C22564" s="8" t="s">
        <v>2199</v>
      </c>
      <c r="D22564" s="8">
        <v>9057</v>
      </c>
      <c r="E22564" s="8">
        <v>0</v>
      </c>
      <c r="F22564" s="8">
        <v>6</v>
      </c>
    </row>
    <row r="22565" spans="1:6" ht="12.75">
      <c r="A22565" s="8">
        <v>43894.249444444446</v>
      </c>
      <c r="B22565" s="8" t="str">
        <f>HYPERLINK("https://twitter.com/andi_pramulanto","@andi_pramulanto")</f>
        <v>@andi_pramulanto</v>
      </c>
      <c r="C22565" s="8" t="s">
        <v>8901</v>
      </c>
      <c r="D22565" s="8">
        <v>214</v>
      </c>
      <c r="E22565" s="8">
        <v>0</v>
      </c>
      <c r="F22565" s="8">
        <v>419</v>
      </c>
    </row>
    <row r="22566" spans="1:6" ht="12.75">
      <c r="A22566" s="8">
        <v>43894.249201388884</v>
      </c>
      <c r="B22566" s="8" t="str">
        <f>HYPERLINK("https://twitter.com/andi_saja","@andi_saja")</f>
        <v>@andi_saja</v>
      </c>
      <c r="C22566" s="8" t="s">
        <v>9140</v>
      </c>
      <c r="D22566" s="8">
        <v>20</v>
      </c>
      <c r="E22566" s="8">
        <v>0</v>
      </c>
      <c r="F22566" s="8">
        <v>1832</v>
      </c>
    </row>
    <row r="22567" spans="1:6" ht="12.75">
      <c r="A22567" s="8">
        <v>43894.247430555552</v>
      </c>
      <c r="B22567" s="8" t="str">
        <f>HYPERLINK("https://twitter.com/iramady15","@iramady15")</f>
        <v>@iramady15</v>
      </c>
      <c r="C22567" s="8" t="s">
        <v>9158</v>
      </c>
      <c r="D22567" s="8">
        <v>24</v>
      </c>
      <c r="E22567" s="8">
        <v>0</v>
      </c>
      <c r="F22567" s="8">
        <v>168</v>
      </c>
    </row>
    <row r="22568" spans="1:6" ht="12.75">
      <c r="A22568" s="8">
        <v>43894.247361111113</v>
      </c>
      <c r="B22568" s="8" t="str">
        <f>HYPERLINK("https://twitter.com/wiriantowidjaya","@wiriantowidjaya")</f>
        <v>@wiriantowidjaya</v>
      </c>
      <c r="C22568" s="8" t="s">
        <v>7796</v>
      </c>
      <c r="D22568" s="8">
        <v>31</v>
      </c>
      <c r="E22568" s="8">
        <v>0</v>
      </c>
      <c r="F22568" s="8">
        <v>1557</v>
      </c>
    </row>
    <row r="22569" spans="1:6" ht="12.75">
      <c r="A22569" s="8">
        <v>43894.24695601852</v>
      </c>
      <c r="B22569" s="8" t="str">
        <f>HYPERLINK("https://twitter.com/ndien09","@ndien09")</f>
        <v>@ndien09</v>
      </c>
      <c r="C22569" s="8" t="s">
        <v>1427</v>
      </c>
      <c r="D22569" s="8">
        <v>1005</v>
      </c>
      <c r="E22569" s="8">
        <v>0</v>
      </c>
      <c r="F22569" s="8">
        <v>88</v>
      </c>
    </row>
    <row r="22570" spans="1:6" ht="12.75">
      <c r="A22570" s="8">
        <v>43894.246122685188</v>
      </c>
      <c r="B22570" s="8" t="str">
        <f>HYPERLINK("https://twitter.com/Tasriansyah1","@Tasriansyah1")</f>
        <v>@Tasriansyah1</v>
      </c>
      <c r="C22570" s="8" t="s">
        <v>7796</v>
      </c>
      <c r="D22570" s="8">
        <v>31</v>
      </c>
      <c r="E22570" s="8">
        <v>0</v>
      </c>
      <c r="F22570" s="8">
        <v>150</v>
      </c>
    </row>
    <row r="22571" spans="1:6" ht="12.75">
      <c r="A22571" s="8">
        <v>43894.245520833334</v>
      </c>
      <c r="B22571" s="8" t="str">
        <f>HYPERLINK("https://twitter.com/Nurasyor","@Nurasyor")</f>
        <v>@Nurasyor</v>
      </c>
      <c r="C22571" s="8" t="s">
        <v>8970</v>
      </c>
      <c r="D22571" s="8">
        <v>128</v>
      </c>
      <c r="E22571" s="8">
        <v>0</v>
      </c>
      <c r="F22571" s="8">
        <v>1043</v>
      </c>
    </row>
    <row r="22572" spans="1:6" ht="12.75">
      <c r="A22572" s="8">
        <v>43894.245162037041</v>
      </c>
      <c r="B22572" s="8" t="str">
        <f>HYPERLINK("https://twitter.com/RifqiLuthfan","@RifqiLuthfan")</f>
        <v>@RifqiLuthfan</v>
      </c>
      <c r="C22572" s="8" t="s">
        <v>1986</v>
      </c>
      <c r="D22572" s="8">
        <v>844</v>
      </c>
      <c r="E22572" s="8">
        <v>0</v>
      </c>
      <c r="F22572" s="8">
        <v>353</v>
      </c>
    </row>
    <row r="22573" spans="1:6" ht="12.75">
      <c r="A22573" s="8">
        <v>43894.245150462964</v>
      </c>
      <c r="B22573" s="8" t="str">
        <f>HYPERLINK("https://twitter.com/ir_g23","@ir_g23")</f>
        <v>@ir_g23</v>
      </c>
      <c r="C22573" s="8" t="s">
        <v>9135</v>
      </c>
      <c r="D22573" s="8">
        <v>6</v>
      </c>
      <c r="E22573" s="8">
        <v>0</v>
      </c>
      <c r="F22573" s="8">
        <v>33</v>
      </c>
    </row>
    <row r="22574" spans="1:6" ht="12.75">
      <c r="A22574" s="8">
        <v>43894.244062500002</v>
      </c>
      <c r="B22574" s="8" t="str">
        <f>HYPERLINK("https://twitter.com/harihariono1","@harihariono1")</f>
        <v>@harihariono1</v>
      </c>
      <c r="C22574" s="8" t="s">
        <v>8506</v>
      </c>
      <c r="D22574" s="8">
        <v>5</v>
      </c>
      <c r="E22574" s="8">
        <v>0</v>
      </c>
      <c r="F22574" s="8">
        <v>9472</v>
      </c>
    </row>
    <row r="22575" spans="1:6" ht="12.75">
      <c r="A22575" s="8">
        <v>43894.243414351848</v>
      </c>
      <c r="B22575" s="8" t="str">
        <f>HYPERLINK("https://twitter.com/Bubut871","@Bubut871")</f>
        <v>@Bubut871</v>
      </c>
      <c r="C22575" s="8" t="s">
        <v>7516</v>
      </c>
      <c r="D22575" s="8">
        <v>30</v>
      </c>
      <c r="E22575" s="8">
        <v>0</v>
      </c>
      <c r="F22575" s="8">
        <v>1644</v>
      </c>
    </row>
    <row r="22576" spans="1:6" ht="12.75">
      <c r="A22576" s="8">
        <v>43894.242905092593</v>
      </c>
      <c r="B22576" s="8" t="str">
        <f>HYPERLINK("https://twitter.com/NurSukm97815818","@NurSukm97815818")</f>
        <v>@NurSukm97815818</v>
      </c>
      <c r="C22576" s="8" t="s">
        <v>7796</v>
      </c>
      <c r="D22576" s="8">
        <v>31</v>
      </c>
      <c r="E22576" s="8">
        <v>0</v>
      </c>
      <c r="F22576" s="8">
        <v>106</v>
      </c>
    </row>
    <row r="22577" spans="1:6" ht="12.75">
      <c r="A22577" s="8">
        <v>43894.242696759262</v>
      </c>
      <c r="B22577" s="8" t="str">
        <f>HYPERLINK("https://twitter.com/desitrianasari7","@desitrianasari7")</f>
        <v>@desitrianasari7</v>
      </c>
      <c r="C22577" s="8" t="s">
        <v>9159</v>
      </c>
      <c r="D22577" s="8">
        <v>14</v>
      </c>
      <c r="E22577" s="8">
        <v>0</v>
      </c>
      <c r="F22577" s="8">
        <v>450</v>
      </c>
    </row>
    <row r="22578" spans="1:6" ht="12.75">
      <c r="A22578" s="8">
        <v>43894.242581018523</v>
      </c>
      <c r="B22578" s="8" t="str">
        <f>HYPERLINK("https://twitter.com/mbakmjiyut","@mbakmjiyut")</f>
        <v>@mbakmjiyut</v>
      </c>
      <c r="C22578" s="8" t="s">
        <v>8506</v>
      </c>
      <c r="D22578" s="8">
        <v>5</v>
      </c>
      <c r="E22578" s="8">
        <v>0</v>
      </c>
      <c r="F22578" s="8">
        <v>2891</v>
      </c>
    </row>
    <row r="22579" spans="1:6" ht="12.75">
      <c r="A22579" s="8">
        <v>43894.242314814815</v>
      </c>
      <c r="B22579" s="8" t="str">
        <f>HYPERLINK("https://twitter.com/elan_gusma","@elan_gusma")</f>
        <v>@elan_gusma</v>
      </c>
      <c r="C22579" s="8" t="s">
        <v>7604</v>
      </c>
      <c r="D22579" s="8">
        <v>8</v>
      </c>
      <c r="E22579" s="8">
        <v>0</v>
      </c>
      <c r="F22579" s="8">
        <v>3750</v>
      </c>
    </row>
    <row r="22580" spans="1:6" ht="12.75">
      <c r="A22580" s="8">
        <v>43894.241875</v>
      </c>
      <c r="B22580" s="8" t="str">
        <f>HYPERLINK("https://twitter.com/RajaAbsolut","@RajaAbsolut")</f>
        <v>@RajaAbsolut</v>
      </c>
      <c r="C22580" s="8" t="s">
        <v>9058</v>
      </c>
      <c r="D22580" s="8">
        <v>8</v>
      </c>
      <c r="E22580" s="8">
        <v>0</v>
      </c>
      <c r="F22580" s="8">
        <v>1949</v>
      </c>
    </row>
    <row r="22581" spans="1:6" ht="12.75">
      <c r="A22581" s="8">
        <v>43894.241747685184</v>
      </c>
      <c r="B22581" s="8" t="str">
        <f>HYPERLINK("https://twitter.com/DjuniharTeguh","@DjuniharTeguh")</f>
        <v>@DjuniharTeguh</v>
      </c>
      <c r="C22581" s="8" t="s">
        <v>9146</v>
      </c>
      <c r="D22581" s="8">
        <v>75</v>
      </c>
      <c r="E22581" s="8">
        <v>0</v>
      </c>
      <c r="F22581" s="8">
        <v>41</v>
      </c>
    </row>
    <row r="22582" spans="1:6" ht="12.75">
      <c r="A22582" s="8">
        <v>43894.241481481484</v>
      </c>
      <c r="B22582" s="8" t="str">
        <f>HYPERLINK("https://twitter.com/ManaoFlorius","@ManaoFlorius")</f>
        <v>@ManaoFlorius</v>
      </c>
      <c r="C22582" s="8" t="s">
        <v>685</v>
      </c>
      <c r="D22582" s="8">
        <v>173</v>
      </c>
      <c r="E22582" s="8">
        <v>0</v>
      </c>
      <c r="F22582" s="8">
        <v>173</v>
      </c>
    </row>
    <row r="22583" spans="1:6" ht="12.75">
      <c r="A22583" s="8">
        <v>43894.241354166668</v>
      </c>
      <c r="B22583" s="8" t="str">
        <f>HYPERLINK("https://twitter.com/RajaAbsolut","@RajaAbsolut")</f>
        <v>@RajaAbsolut</v>
      </c>
      <c r="C22583" s="8" t="s">
        <v>7604</v>
      </c>
      <c r="D22583" s="8">
        <v>8</v>
      </c>
      <c r="E22583" s="8">
        <v>0</v>
      </c>
      <c r="F22583" s="8">
        <v>1949</v>
      </c>
    </row>
    <row r="22584" spans="1:6" ht="12.75">
      <c r="A22584" s="8">
        <v>43894.241087962961</v>
      </c>
      <c r="B22584" s="8" t="str">
        <f>HYPERLINK("https://twitter.com/presa_kautsar","@presa_kautsar")</f>
        <v>@presa_kautsar</v>
      </c>
      <c r="C22584" s="8" t="s">
        <v>4477</v>
      </c>
      <c r="D22584" s="8">
        <v>1236</v>
      </c>
      <c r="E22584" s="8">
        <v>0</v>
      </c>
      <c r="F22584" s="8">
        <v>167</v>
      </c>
    </row>
    <row r="22585" spans="1:6" ht="12.75">
      <c r="A22585" s="8">
        <v>43894.240925925929</v>
      </c>
      <c r="B22585" s="8" t="str">
        <f>HYPERLINK("https://twitter.com/dwiyanaDKM","@dwiyanaDKM")</f>
        <v>@dwiyanaDKM</v>
      </c>
      <c r="C22585" s="8" t="s">
        <v>9160</v>
      </c>
      <c r="D22585" s="8">
        <v>6</v>
      </c>
      <c r="E22585" s="8">
        <v>0</v>
      </c>
      <c r="F22585" s="8">
        <v>2684</v>
      </c>
    </row>
    <row r="22586" spans="1:6" ht="12.75">
      <c r="A22586" s="8">
        <v>43894.240486111114</v>
      </c>
      <c r="B22586" s="8" t="str">
        <f>HYPERLINK("https://twitter.com/putriandrawati","@putriandrawati")</f>
        <v>@putriandrawati</v>
      </c>
      <c r="C22586" s="8" t="s">
        <v>1427</v>
      </c>
      <c r="D22586" s="8">
        <v>1005</v>
      </c>
      <c r="E22586" s="8">
        <v>0</v>
      </c>
      <c r="F22586" s="8">
        <v>537</v>
      </c>
    </row>
    <row r="22587" spans="1:6" ht="12.75">
      <c r="A22587" s="8">
        <v>43894.240405092598</v>
      </c>
      <c r="B22587" s="8" t="str">
        <f>HYPERLINK("https://twitter.com/jemmyyakub","@jemmyyakub")</f>
        <v>@jemmyyakub</v>
      </c>
      <c r="C22587" s="8" t="s">
        <v>7430</v>
      </c>
      <c r="D22587" s="8">
        <v>10</v>
      </c>
      <c r="E22587" s="8">
        <v>0</v>
      </c>
      <c r="F22587" s="8">
        <v>139</v>
      </c>
    </row>
    <row r="22588" spans="1:6" ht="12.75">
      <c r="A22588" s="8">
        <v>43894.239756944444</v>
      </c>
      <c r="B22588" s="8" t="str">
        <f>HYPERLINK("https://twitter.com/elan_gusma","@elan_gusma")</f>
        <v>@elan_gusma</v>
      </c>
      <c r="C22588" s="8" t="s">
        <v>9135</v>
      </c>
      <c r="D22588" s="8">
        <v>6</v>
      </c>
      <c r="E22588" s="8">
        <v>0</v>
      </c>
      <c r="F22588" s="8">
        <v>3750</v>
      </c>
    </row>
    <row r="22589" spans="1:6" ht="12.75">
      <c r="A22589" s="8">
        <v>43894.239699074074</v>
      </c>
      <c r="B22589" s="8" t="str">
        <f>HYPERLINK("https://twitter.com/AshadatulZ","@AshadatulZ")</f>
        <v>@AshadatulZ</v>
      </c>
      <c r="C22589" s="8" t="s">
        <v>6862</v>
      </c>
      <c r="D22589" s="8">
        <v>147</v>
      </c>
      <c r="E22589" s="8">
        <v>0</v>
      </c>
      <c r="F22589" s="8">
        <v>0</v>
      </c>
    </row>
    <row r="22590" spans="1:6" ht="12.75">
      <c r="A22590" s="8">
        <v>43894.239259259259</v>
      </c>
      <c r="B22590" s="8" t="str">
        <f>HYPERLINK("https://twitter.com/jeprince97","@jeprince97")</f>
        <v>@jeprince97</v>
      </c>
      <c r="C22590" s="8" t="s">
        <v>9161</v>
      </c>
      <c r="D22590" s="8">
        <v>0</v>
      </c>
      <c r="E22590" s="8">
        <v>0</v>
      </c>
      <c r="F22590" s="8">
        <v>8</v>
      </c>
    </row>
    <row r="22591" spans="1:6" ht="12.75">
      <c r="A22591" s="8">
        <v>43894.23918981482</v>
      </c>
      <c r="B22591" s="8" t="str">
        <f>HYPERLINK("https://twitter.com/deedee48524931","@deedee48524931")</f>
        <v>@deedee48524931</v>
      </c>
      <c r="C22591" s="8" t="s">
        <v>9162</v>
      </c>
      <c r="D22591" s="8">
        <v>0</v>
      </c>
      <c r="E22591" s="8">
        <v>0</v>
      </c>
      <c r="F22591" s="8">
        <v>1346</v>
      </c>
    </row>
    <row r="22592" spans="1:6" ht="12.75">
      <c r="A22592" s="8">
        <v>43894.238842592589</v>
      </c>
      <c r="B22592" s="8" t="str">
        <f>HYPERLINK("https://twitter.com/setiawanh46","@setiawanh46")</f>
        <v>@setiawanh46</v>
      </c>
      <c r="C22592" s="8" t="s">
        <v>9058</v>
      </c>
      <c r="D22592" s="8">
        <v>8</v>
      </c>
      <c r="E22592" s="8">
        <v>0</v>
      </c>
      <c r="F22592" s="8">
        <v>1970</v>
      </c>
    </row>
    <row r="22593" spans="1:6" ht="12.75">
      <c r="A22593" s="8">
        <v>43894.238645833335</v>
      </c>
      <c r="B22593" s="8" t="str">
        <f>HYPERLINK("https://twitter.com/slwyahya","@slwyahya")</f>
        <v>@slwyahya</v>
      </c>
      <c r="C22593" s="8" t="s">
        <v>7597</v>
      </c>
      <c r="D22593" s="8">
        <v>723</v>
      </c>
      <c r="E22593" s="8">
        <v>0</v>
      </c>
      <c r="F22593" s="8">
        <v>475</v>
      </c>
    </row>
    <row r="22594" spans="1:6" ht="12.75">
      <c r="A22594" s="8">
        <v>43894.238298611112</v>
      </c>
      <c r="B22594" s="8" t="str">
        <f>HYPERLINK("https://twitter.com/alawi_mu","@alawi_mu")</f>
        <v>@alawi_mu</v>
      </c>
      <c r="C22594" s="8" t="s">
        <v>7597</v>
      </c>
      <c r="D22594" s="8">
        <v>723</v>
      </c>
      <c r="E22594" s="8">
        <v>0</v>
      </c>
      <c r="F22594" s="8">
        <v>36</v>
      </c>
    </row>
    <row r="22595" spans="1:6" ht="12.75">
      <c r="A22595" s="8">
        <v>43894.23809027778</v>
      </c>
      <c r="B22595" s="8" t="str">
        <f>HYPERLINK("https://twitter.com/AbolichdZ","@AbolichdZ")</f>
        <v>@AbolichdZ</v>
      </c>
      <c r="C22595" s="8" t="s">
        <v>9135</v>
      </c>
      <c r="D22595" s="8">
        <v>6</v>
      </c>
      <c r="E22595" s="8">
        <v>0</v>
      </c>
      <c r="F22595" s="8">
        <v>840</v>
      </c>
    </row>
    <row r="22596" spans="1:6" ht="12.75">
      <c r="A22596" s="8">
        <v>43894.237939814819</v>
      </c>
      <c r="B22596" s="8" t="str">
        <f>HYPERLINK("https://twitter.com/mikson_berutu","@mikson_berutu")</f>
        <v>@mikson_berutu</v>
      </c>
      <c r="C22596" s="8" t="s">
        <v>9163</v>
      </c>
      <c r="D22596" s="8">
        <v>49</v>
      </c>
      <c r="E22596" s="8">
        <v>0</v>
      </c>
      <c r="F22596" s="8">
        <v>624</v>
      </c>
    </row>
    <row r="22597" spans="1:6" ht="12.75">
      <c r="A22597" s="8">
        <v>43894.237592592588</v>
      </c>
      <c r="B22597" s="8" t="str">
        <f>HYPERLINK("https://twitter.com/umay_patria","@umay_patria")</f>
        <v>@umay_patria</v>
      </c>
      <c r="C22597" s="8" t="s">
        <v>7661</v>
      </c>
      <c r="D22597" s="8">
        <v>476</v>
      </c>
      <c r="E22597" s="8">
        <v>0</v>
      </c>
      <c r="F22597" s="8">
        <v>1157</v>
      </c>
    </row>
    <row r="22598" spans="1:6" ht="12.75">
      <c r="A22598" s="8">
        <v>43894.237361111111</v>
      </c>
      <c r="B22598" s="8" t="str">
        <f>HYPERLINK("https://twitter.com/kopigulamerah","@kopigulamerah")</f>
        <v>@kopigulamerah</v>
      </c>
      <c r="C22598" s="8" t="s">
        <v>9164</v>
      </c>
      <c r="D22598" s="8">
        <v>0</v>
      </c>
      <c r="E22598" s="8">
        <v>0</v>
      </c>
      <c r="F22598" s="8">
        <v>558</v>
      </c>
    </row>
    <row r="22599" spans="1:6" ht="12.75">
      <c r="A22599" s="8">
        <v>43894.237210648149</v>
      </c>
      <c r="B22599" s="8" t="str">
        <f>HYPERLINK("https://twitter.com/ApkCyntiara","@ApkCyntiara")</f>
        <v>@ApkCyntiara</v>
      </c>
      <c r="C22599" s="8" t="s">
        <v>9058</v>
      </c>
      <c r="D22599" s="8">
        <v>8</v>
      </c>
      <c r="E22599" s="8">
        <v>0</v>
      </c>
      <c r="F22599" s="8">
        <v>0</v>
      </c>
    </row>
    <row r="22600" spans="1:6" ht="12.75">
      <c r="A22600" s="8">
        <v>43894.237210648149</v>
      </c>
      <c r="B22600" s="8" t="str">
        <f>HYPERLINK("https://twitter.com/Witno13322273","@Witno13322273")</f>
        <v>@Witno13322273</v>
      </c>
      <c r="C22600" s="8" t="s">
        <v>1970</v>
      </c>
      <c r="D22600" s="8">
        <v>1306</v>
      </c>
      <c r="E22600" s="8">
        <v>0</v>
      </c>
      <c r="F22600" s="8">
        <v>3</v>
      </c>
    </row>
    <row r="22601" spans="1:6" ht="12.75">
      <c r="A22601" s="8">
        <v>43894.23704861111</v>
      </c>
      <c r="B22601" s="8" t="str">
        <f>HYPERLINK("https://twitter.com/anyuridna","@anyuridna")</f>
        <v>@anyuridna</v>
      </c>
      <c r="C22601" s="8" t="s">
        <v>1427</v>
      </c>
      <c r="D22601" s="8">
        <v>1005</v>
      </c>
      <c r="E22601" s="8">
        <v>0</v>
      </c>
      <c r="F22601" s="8">
        <v>700</v>
      </c>
    </row>
    <row r="22602" spans="1:6" ht="12.75">
      <c r="A22602" s="8">
        <v>43894.237002314811</v>
      </c>
      <c r="B22602" s="8" t="str">
        <f>HYPERLINK("https://twitter.com/MeiAdisuko","@MeiAdisuko")</f>
        <v>@MeiAdisuko</v>
      </c>
      <c r="C22602" s="8" t="s">
        <v>9140</v>
      </c>
      <c r="D22602" s="8">
        <v>20</v>
      </c>
      <c r="E22602" s="8">
        <v>0</v>
      </c>
      <c r="F22602" s="8">
        <v>1357</v>
      </c>
    </row>
    <row r="22603" spans="1:6" ht="12.75">
      <c r="A22603" s="8">
        <v>43894.236851851849</v>
      </c>
      <c r="B22603" s="8" t="str">
        <f>HYPERLINK("https://twitter.com/merrydhani","@merrydhani")</f>
        <v>@merrydhani</v>
      </c>
      <c r="C22603" s="8" t="s">
        <v>7597</v>
      </c>
      <c r="D22603" s="8">
        <v>723</v>
      </c>
      <c r="E22603" s="8">
        <v>0</v>
      </c>
      <c r="F22603" s="8">
        <v>71</v>
      </c>
    </row>
    <row r="22604" spans="1:6" ht="12.75">
      <c r="A22604" s="8">
        <v>43894.236724537041</v>
      </c>
      <c r="B22604" s="8" t="str">
        <f>HYPERLINK("https://twitter.com/bwgade1","@bwgade1")</f>
        <v>@bwgade1</v>
      </c>
      <c r="C22604" s="8" t="s">
        <v>8963</v>
      </c>
      <c r="D22604" s="8">
        <v>117</v>
      </c>
      <c r="E22604" s="8">
        <v>0</v>
      </c>
      <c r="F22604" s="8">
        <v>15</v>
      </c>
    </row>
    <row r="22605" spans="1:6" ht="12.75">
      <c r="A22605" s="8">
        <v>43894.236585648148</v>
      </c>
      <c r="B22605" s="8" t="str">
        <f>HYPERLINK("https://twitter.com/SeleUwU2","@SeleUwU2")</f>
        <v>@SeleUwU2</v>
      </c>
      <c r="C22605" s="8" t="s">
        <v>9165</v>
      </c>
      <c r="D22605" s="8">
        <v>0</v>
      </c>
      <c r="E22605" s="8">
        <v>0</v>
      </c>
      <c r="F22605" s="8">
        <v>243</v>
      </c>
    </row>
    <row r="22606" spans="1:6" ht="12.75">
      <c r="A22606" s="8">
        <v>43894.236574074079</v>
      </c>
      <c r="B22606" s="8" t="str">
        <f>HYPERLINK("https://twitter.com/ApkCyntiara","@ApkCyntiara")</f>
        <v>@ApkCyntiara</v>
      </c>
      <c r="C22606" s="8" t="s">
        <v>7604</v>
      </c>
      <c r="D22606" s="8">
        <v>8</v>
      </c>
      <c r="E22606" s="8">
        <v>0</v>
      </c>
      <c r="F22606" s="8">
        <v>0</v>
      </c>
    </row>
    <row r="22607" spans="1:6" ht="12.75">
      <c r="A22607" s="8">
        <v>43894.236180555556</v>
      </c>
      <c r="B22607" s="8" t="str">
        <f>HYPERLINK("https://twitter.com/Bentir16","@Bentir16")</f>
        <v>@Bentir16</v>
      </c>
      <c r="C22607" s="8" t="s">
        <v>8868</v>
      </c>
      <c r="D22607" s="8">
        <v>183</v>
      </c>
      <c r="E22607" s="8">
        <v>0</v>
      </c>
      <c r="F22607" s="8">
        <v>1106</v>
      </c>
    </row>
    <row r="22608" spans="1:6" ht="12.75">
      <c r="A22608" s="8">
        <v>43894.236168981486</v>
      </c>
      <c r="B22608" s="8" t="str">
        <f>HYPERLINK("https://twitter.com/waqasshah50","@waqasshah50")</f>
        <v>@waqasshah50</v>
      </c>
      <c r="C22608" s="8" t="s">
        <v>9166</v>
      </c>
      <c r="D22608" s="8">
        <v>1</v>
      </c>
      <c r="E22608" s="8">
        <v>0</v>
      </c>
      <c r="F22608" s="8">
        <v>291</v>
      </c>
    </row>
    <row r="22609" spans="1:6" ht="12.75">
      <c r="A22609" s="8">
        <v>43894.236041666663</v>
      </c>
      <c r="B22609" s="8" t="str">
        <f>HYPERLINK("https://twitter.com/ApkCyntiara","@ApkCyntiara")</f>
        <v>@ApkCyntiara</v>
      </c>
      <c r="C22609" s="8" t="s">
        <v>9140</v>
      </c>
      <c r="D22609" s="8">
        <v>20</v>
      </c>
      <c r="E22609" s="8">
        <v>0</v>
      </c>
      <c r="F22609" s="8">
        <v>0</v>
      </c>
    </row>
    <row r="22610" spans="1:6" ht="12.75">
      <c r="A22610" s="8">
        <v>43894.235717592594</v>
      </c>
      <c r="B22610" s="8" t="str">
        <f>HYPERLINK("https://twitter.com/xddppr","@xddppr")</f>
        <v>@xddppr</v>
      </c>
      <c r="C22610" s="8" t="s">
        <v>9159</v>
      </c>
      <c r="D22610" s="8">
        <v>14</v>
      </c>
      <c r="E22610" s="8">
        <v>0</v>
      </c>
      <c r="F22610" s="8">
        <v>33</v>
      </c>
    </row>
    <row r="22611" spans="1:6" ht="12.75">
      <c r="A22611" s="8">
        <v>43894.23505787037</v>
      </c>
      <c r="B22611" s="8" t="str">
        <f>HYPERLINK("https://twitter.com/AnakKolong___","@AnakKolong___")</f>
        <v>@AnakKolong___</v>
      </c>
      <c r="C22611" s="8" t="s">
        <v>9059</v>
      </c>
      <c r="D22611" s="8">
        <v>2</v>
      </c>
      <c r="E22611" s="8">
        <v>0</v>
      </c>
      <c r="F22611" s="8">
        <v>7628</v>
      </c>
    </row>
    <row r="22612" spans="1:6" ht="12.75">
      <c r="A22612" s="8">
        <v>43894.234907407408</v>
      </c>
      <c r="B22612" s="8" t="str">
        <f>HYPERLINK("https://twitter.com/Witno13322273","@Witno13322273")</f>
        <v>@Witno13322273</v>
      </c>
      <c r="C22612" s="8" t="s">
        <v>9140</v>
      </c>
      <c r="D22612" s="8">
        <v>20</v>
      </c>
      <c r="E22612" s="8">
        <v>0</v>
      </c>
      <c r="F22612" s="8">
        <v>3</v>
      </c>
    </row>
    <row r="22613" spans="1:6" ht="12.75">
      <c r="A22613" s="8">
        <v>43894.234884259262</v>
      </c>
      <c r="B22613" s="8" t="str">
        <f>HYPERLINK("https://twitter.com/2019JokowiLNJT","@2019JokowiLNJT")</f>
        <v>@2019JokowiLNJT</v>
      </c>
      <c r="C22613" s="8" t="s">
        <v>9167</v>
      </c>
      <c r="D22613" s="8">
        <v>0</v>
      </c>
      <c r="E22613" s="8">
        <v>0</v>
      </c>
      <c r="F22613" s="8">
        <v>504</v>
      </c>
    </row>
    <row r="22614" spans="1:6" ht="12.75">
      <c r="A22614" s="8">
        <v>43894.234618055554</v>
      </c>
      <c r="B22614" s="8" t="str">
        <f>HYPERLINK("https://twitter.com/raymond_frans","@raymond_frans")</f>
        <v>@raymond_frans</v>
      </c>
      <c r="C22614" s="8" t="s">
        <v>9168</v>
      </c>
      <c r="D22614" s="8">
        <v>0</v>
      </c>
      <c r="E22614" s="8">
        <v>2</v>
      </c>
      <c r="F22614" s="8">
        <v>372</v>
      </c>
    </row>
    <row r="22615" spans="1:6" ht="12.75">
      <c r="A22615" s="8">
        <v>43894.234421296293</v>
      </c>
      <c r="B22615" s="8" t="str">
        <f>HYPERLINK("https://twitter.com/rita_tj","@rita_tj")</f>
        <v>@rita_tj</v>
      </c>
      <c r="C22615" s="8" t="s">
        <v>9146</v>
      </c>
      <c r="D22615" s="8">
        <v>75</v>
      </c>
      <c r="E22615" s="8">
        <v>0</v>
      </c>
      <c r="F22615" s="8">
        <v>4725</v>
      </c>
    </row>
    <row r="22616" spans="1:6" ht="12.75">
      <c r="A22616" s="8">
        <v>43894.234305555554</v>
      </c>
      <c r="B22616" s="8" t="str">
        <f>HYPERLINK("https://twitter.com/AnakKolong___","@AnakKolong___")</f>
        <v>@AnakKolong___</v>
      </c>
      <c r="C22616" s="8" t="s">
        <v>9169</v>
      </c>
      <c r="D22616" s="8">
        <v>1</v>
      </c>
      <c r="E22616" s="8">
        <v>0</v>
      </c>
      <c r="F22616" s="8">
        <v>7628</v>
      </c>
    </row>
    <row r="22617" spans="1:6" ht="12.75">
      <c r="A22617" s="8">
        <v>43894.2341087963</v>
      </c>
      <c r="B22617" s="8" t="str">
        <f>HYPERLINK("https://twitter.com/Graha06352373","@Graha06352373")</f>
        <v>@Graha06352373</v>
      </c>
      <c r="C22617" s="8" t="s">
        <v>6315</v>
      </c>
      <c r="D22617" s="8">
        <v>152</v>
      </c>
      <c r="E22617" s="8">
        <v>0</v>
      </c>
      <c r="F22617" s="8">
        <v>7</v>
      </c>
    </row>
    <row r="22618" spans="1:6" ht="12.75">
      <c r="A22618" s="8">
        <v>43894.234085648146</v>
      </c>
      <c r="B22618" s="8" t="str">
        <f>HYPERLINK("https://twitter.com/bienabbas","@bienabbas")</f>
        <v>@bienabbas</v>
      </c>
      <c r="C22618" s="8" t="s">
        <v>9086</v>
      </c>
      <c r="D22618" s="8">
        <v>39</v>
      </c>
      <c r="E22618" s="8">
        <v>0</v>
      </c>
      <c r="F22618" s="8">
        <v>292</v>
      </c>
    </row>
    <row r="22619" spans="1:6" ht="12.75">
      <c r="A22619" s="8">
        <v>43894.234027777777</v>
      </c>
      <c r="B22619" s="8" t="str">
        <f>HYPERLINK("https://twitter.com/OfficialiNewsTV","@OfficialiNewsTV")</f>
        <v>@OfficialiNewsTV</v>
      </c>
      <c r="C22619" s="8" t="s">
        <v>9170</v>
      </c>
      <c r="D22619" s="8">
        <v>1</v>
      </c>
      <c r="E22619" s="8">
        <v>1</v>
      </c>
      <c r="F22619" s="8">
        <v>96516</v>
      </c>
    </row>
    <row r="22620" spans="1:6" ht="12.75">
      <c r="A22620" s="8">
        <v>43894.233668981484</v>
      </c>
      <c r="B22620" s="8" t="str">
        <f>HYPERLINK("https://twitter.com/daudbpp","@daudbpp")</f>
        <v>@daudbpp</v>
      </c>
      <c r="C22620" s="8" t="s">
        <v>9171</v>
      </c>
      <c r="D22620" s="8">
        <v>1</v>
      </c>
      <c r="E22620" s="8">
        <v>2</v>
      </c>
      <c r="F22620" s="8">
        <v>51</v>
      </c>
    </row>
    <row r="22621" spans="1:6" ht="12.75">
      <c r="A22621" s="8">
        <v>43894.233668981484</v>
      </c>
      <c r="B22621" s="8" t="str">
        <f>HYPERLINK("https://twitter.com/umam_chaerul","@umam_chaerul")</f>
        <v>@umam_chaerul</v>
      </c>
      <c r="C22621" s="8" t="s">
        <v>6827</v>
      </c>
      <c r="D22621" s="8">
        <v>46</v>
      </c>
      <c r="E22621" s="8">
        <v>0</v>
      </c>
      <c r="F22621" s="8">
        <v>2893</v>
      </c>
    </row>
    <row r="22622" spans="1:6" ht="12.75">
      <c r="A22622" s="8">
        <v>43894.232835648145</v>
      </c>
      <c r="B22622" s="8" t="str">
        <f>HYPERLINK("https://twitter.com/vanidiana","@vanidiana")</f>
        <v>@vanidiana</v>
      </c>
      <c r="C22622" s="8" t="s">
        <v>6315</v>
      </c>
      <c r="D22622" s="8">
        <v>152</v>
      </c>
      <c r="E22622" s="8">
        <v>0</v>
      </c>
      <c r="F22622" s="8">
        <v>568</v>
      </c>
    </row>
    <row r="22623" spans="1:6" ht="12.75">
      <c r="A22623" s="8">
        <v>43894.231678240743</v>
      </c>
      <c r="B22623" s="8" t="str">
        <f>HYPERLINK("https://twitter.com/KenzoWaheed","@KenzoWaheed")</f>
        <v>@KenzoWaheed</v>
      </c>
      <c r="C22623" s="8" t="s">
        <v>7604</v>
      </c>
      <c r="D22623" s="8">
        <v>8</v>
      </c>
      <c r="E22623" s="8">
        <v>0</v>
      </c>
      <c r="F22623" s="8">
        <v>5415</v>
      </c>
    </row>
    <row r="22624" spans="1:6" ht="12.75">
      <c r="A22624" s="8">
        <v>43894.23159722222</v>
      </c>
      <c r="B22624" s="8" t="str">
        <f>HYPERLINK("https://twitter.com/jibotu","@jibotu")</f>
        <v>@jibotu</v>
      </c>
      <c r="C22624" s="8" t="s">
        <v>6827</v>
      </c>
      <c r="D22624" s="8">
        <v>46</v>
      </c>
      <c r="E22624" s="8">
        <v>0</v>
      </c>
      <c r="F22624" s="8">
        <v>639</v>
      </c>
    </row>
    <row r="22625" spans="1:6" ht="12.75">
      <c r="A22625" s="8">
        <v>43894.231261574074</v>
      </c>
      <c r="B22625" s="8" t="str">
        <f>HYPERLINK("https://twitter.com/kopral_jon00","@kopral_jon00")</f>
        <v>@kopral_jon00</v>
      </c>
      <c r="C22625" s="8" t="s">
        <v>7604</v>
      </c>
      <c r="D22625" s="8">
        <v>8</v>
      </c>
      <c r="E22625" s="8">
        <v>0</v>
      </c>
      <c r="F22625" s="8">
        <v>817</v>
      </c>
    </row>
    <row r="22626" spans="1:6" ht="12.75">
      <c r="A22626" s="8">
        <v>43894.230682870373</v>
      </c>
      <c r="B22626" s="8" t="str">
        <f>HYPERLINK("https://twitter.com/Maulida42410037","@Maulida42410037")</f>
        <v>@Maulida42410037</v>
      </c>
      <c r="C22626" s="8" t="s">
        <v>9172</v>
      </c>
      <c r="D22626" s="8">
        <v>0</v>
      </c>
      <c r="E22626" s="8">
        <v>0</v>
      </c>
      <c r="F22626" s="8">
        <v>61</v>
      </c>
    </row>
    <row r="22627" spans="1:6" ht="12.75">
      <c r="A22627" s="8">
        <v>43894.230543981481</v>
      </c>
      <c r="B22627" s="8" t="str">
        <f>HYPERLINK("https://twitter.com/melindaesti2","@melindaesti2")</f>
        <v>@melindaesti2</v>
      </c>
      <c r="C22627" s="8" t="s">
        <v>8843</v>
      </c>
      <c r="D22627" s="8">
        <v>95</v>
      </c>
      <c r="E22627" s="8">
        <v>0</v>
      </c>
      <c r="F22627" s="8">
        <v>8</v>
      </c>
    </row>
    <row r="22628" spans="1:6" ht="12.75">
      <c r="A22628" s="8">
        <v>43894.230532407411</v>
      </c>
      <c r="B22628" s="8" t="str">
        <f>HYPERLINK("https://twitter.com/iluvatar188","@iluvatar188")</f>
        <v>@iluvatar188</v>
      </c>
      <c r="C22628" s="8" t="s">
        <v>8901</v>
      </c>
      <c r="D22628" s="8">
        <v>214</v>
      </c>
      <c r="E22628" s="8">
        <v>0</v>
      </c>
      <c r="F22628" s="8">
        <v>1150</v>
      </c>
    </row>
    <row r="22629" spans="1:6" ht="12.75">
      <c r="A22629" s="8">
        <v>43894.230474537035</v>
      </c>
      <c r="B22629" s="8" t="str">
        <f>HYPERLINK("https://twitter.com/Barna_byo","@Barna_byo")</f>
        <v>@Barna_byo</v>
      </c>
      <c r="C22629" s="8" t="s">
        <v>9173</v>
      </c>
      <c r="D22629" s="8">
        <v>8</v>
      </c>
      <c r="E22629" s="8">
        <v>0</v>
      </c>
      <c r="F22629" s="8">
        <v>7900</v>
      </c>
    </row>
    <row r="22630" spans="1:6" ht="12.75">
      <c r="A22630" s="8">
        <v>43894.230312500003</v>
      </c>
      <c r="B22630" s="8" t="str">
        <f>HYPERLINK("https://twitter.com/LiiaMonday","@LiiaMonday")</f>
        <v>@LiiaMonday</v>
      </c>
      <c r="C22630" s="8" t="s">
        <v>7604</v>
      </c>
      <c r="D22630" s="8">
        <v>8</v>
      </c>
      <c r="E22630" s="8">
        <v>0</v>
      </c>
      <c r="F22630" s="8">
        <v>1085</v>
      </c>
    </row>
    <row r="22631" spans="1:6" ht="12.75">
      <c r="A22631" s="8">
        <v>43894.23027777778</v>
      </c>
      <c r="B22631" s="8" t="str">
        <f>HYPERLINK("https://twitter.com/heiibulbdog","@heiibulbdog")</f>
        <v>@heiibulbdog</v>
      </c>
      <c r="C22631" s="8" t="s">
        <v>8506</v>
      </c>
      <c r="D22631" s="8">
        <v>5</v>
      </c>
      <c r="E22631" s="8">
        <v>0</v>
      </c>
      <c r="F22631" s="8">
        <v>199</v>
      </c>
    </row>
    <row r="22632" spans="1:6" ht="12.75">
      <c r="A22632" s="8">
        <v>43894.229942129634</v>
      </c>
      <c r="B22632" s="8" t="str">
        <f>HYPERLINK("https://twitter.com/KJRI_Noumea","@KJRI_Noumea")</f>
        <v>@KJRI_Noumea</v>
      </c>
      <c r="C22632" s="8" t="s">
        <v>9174</v>
      </c>
      <c r="D22632" s="8">
        <v>0</v>
      </c>
      <c r="E22632" s="8">
        <v>1</v>
      </c>
      <c r="F22632" s="8">
        <v>1316</v>
      </c>
    </row>
    <row r="22633" spans="1:6" ht="12.75">
      <c r="A22633" s="8">
        <v>43894.229699074072</v>
      </c>
      <c r="B22633" s="8" t="str">
        <f>HYPERLINK("https://twitter.com/dwsas7","@dwsas7")</f>
        <v>@dwsas7</v>
      </c>
      <c r="C22633" s="8" t="s">
        <v>9135</v>
      </c>
      <c r="D22633" s="8">
        <v>6</v>
      </c>
      <c r="E22633" s="8">
        <v>0</v>
      </c>
      <c r="F22633" s="8">
        <v>59</v>
      </c>
    </row>
    <row r="22634" spans="1:6" ht="12.75">
      <c r="A22634" s="8">
        <v>43894.229479166665</v>
      </c>
      <c r="B22634" s="8" t="str">
        <f>HYPERLINK("https://twitter.com/MayaAnggriani13","@MayaAnggriani13")</f>
        <v>@MayaAnggriani13</v>
      </c>
      <c r="C22634" s="8" t="s">
        <v>6862</v>
      </c>
      <c r="D22634" s="8">
        <v>40</v>
      </c>
      <c r="E22634" s="8">
        <v>0</v>
      </c>
      <c r="F22634" s="8">
        <v>91</v>
      </c>
    </row>
    <row r="22635" spans="1:6" ht="12.75">
      <c r="A22635" s="8">
        <v>43894.229085648149</v>
      </c>
      <c r="B22635" s="8" t="str">
        <f>HYPERLINK("https://twitter.com/abespawnie","@abespawnie")</f>
        <v>@abespawnie</v>
      </c>
      <c r="C22635" s="8" t="s">
        <v>7516</v>
      </c>
      <c r="D22635" s="8">
        <v>30</v>
      </c>
      <c r="E22635" s="8">
        <v>0</v>
      </c>
      <c r="F22635" s="8">
        <v>306</v>
      </c>
    </row>
    <row r="22636" spans="1:6" ht="12.75">
      <c r="A22636" s="8">
        <v>43894.228946759264</v>
      </c>
      <c r="B22636" s="8" t="str">
        <f>HYPERLINK("https://twitter.com/indomikuahh","@indomikuahh")</f>
        <v>@indomikuahh</v>
      </c>
      <c r="C22636" s="8" t="s">
        <v>1427</v>
      </c>
      <c r="D22636" s="8">
        <v>1005</v>
      </c>
      <c r="E22636" s="8">
        <v>0</v>
      </c>
      <c r="F22636" s="8">
        <v>2138</v>
      </c>
    </row>
    <row r="22637" spans="1:6" ht="12.75">
      <c r="A22637" s="8">
        <v>43894.228321759263</v>
      </c>
      <c r="B22637" s="8" t="str">
        <f>HYPERLINK("https://twitter.com/husnaa_a","@husnaa_a")</f>
        <v>@husnaa_a</v>
      </c>
      <c r="C22637" s="8" t="s">
        <v>4477</v>
      </c>
      <c r="D22637" s="8">
        <v>1236</v>
      </c>
      <c r="E22637" s="8">
        <v>0</v>
      </c>
      <c r="F22637" s="8">
        <v>494</v>
      </c>
    </row>
    <row r="22638" spans="1:6" ht="12.75">
      <c r="A22638" s="8">
        <v>43894.228217592594</v>
      </c>
      <c r="B22638" s="8" t="str">
        <f>HYPERLINK("https://twitter.com/nizham_id","@nizham_id")</f>
        <v>@nizham_id</v>
      </c>
      <c r="C22638" s="8" t="s">
        <v>4477</v>
      </c>
      <c r="D22638" s="8">
        <v>1236</v>
      </c>
      <c r="E22638" s="8">
        <v>0</v>
      </c>
      <c r="F22638" s="8">
        <v>1361</v>
      </c>
    </row>
    <row r="22639" spans="1:6" ht="12.75">
      <c r="A22639" s="8">
        <v>43894.228171296301</v>
      </c>
      <c r="B22639" s="8" t="str">
        <f>HYPERLINK("https://twitter.com/itasila1","@itasila1")</f>
        <v>@itasila1</v>
      </c>
      <c r="C22639" s="8" t="s">
        <v>8868</v>
      </c>
      <c r="D22639" s="8">
        <v>183</v>
      </c>
      <c r="E22639" s="8">
        <v>0</v>
      </c>
      <c r="F22639" s="8">
        <v>7</v>
      </c>
    </row>
    <row r="22640" spans="1:6" ht="12.75">
      <c r="A22640" s="8">
        <v>43894.227696759262</v>
      </c>
      <c r="B22640" s="8" t="str">
        <f>HYPERLINK("https://twitter.com/Puspen_TNI","@Puspen_TNI")</f>
        <v>@Puspen_TNI</v>
      </c>
      <c r="C22640" s="8" t="s">
        <v>9175</v>
      </c>
      <c r="D22640" s="8">
        <v>8</v>
      </c>
      <c r="E22640" s="8">
        <v>36</v>
      </c>
      <c r="F22640" s="8">
        <v>307226</v>
      </c>
    </row>
    <row r="22641" spans="1:6" ht="12.75">
      <c r="A22641" s="8">
        <v>43894.227638888886</v>
      </c>
      <c r="B22641" s="8" t="str">
        <f>HYPERLINK("https://twitter.com/zaul_zaki","@zaul_zaki")</f>
        <v>@zaul_zaki</v>
      </c>
      <c r="C22641" s="8" t="s">
        <v>9135</v>
      </c>
      <c r="D22641" s="8">
        <v>6</v>
      </c>
      <c r="E22641" s="8">
        <v>0</v>
      </c>
      <c r="F22641" s="8">
        <v>573</v>
      </c>
    </row>
    <row r="22642" spans="1:6" ht="12.75">
      <c r="A22642" s="8">
        <v>43894.22755787037</v>
      </c>
      <c r="B22642" s="8" t="str">
        <f>HYPERLINK("https://twitter.com/ramadhantiya","@ramadhantiya")</f>
        <v>@ramadhantiya</v>
      </c>
      <c r="C22642" s="8" t="s">
        <v>9176</v>
      </c>
      <c r="D22642" s="8">
        <v>1263</v>
      </c>
      <c r="E22642" s="8">
        <v>0</v>
      </c>
      <c r="F22642" s="8">
        <v>743</v>
      </c>
    </row>
    <row r="22643" spans="1:6" ht="12.75">
      <c r="A22643" s="8">
        <v>43894.22719907407</v>
      </c>
      <c r="B22643" s="8" t="str">
        <f>HYPERLINK("https://twitter.com/MAliSubhan2","@MAliSubhan2")</f>
        <v>@MAliSubhan2</v>
      </c>
      <c r="C22643" s="8" t="s">
        <v>9058</v>
      </c>
      <c r="D22643" s="8">
        <v>8</v>
      </c>
      <c r="E22643" s="8">
        <v>0</v>
      </c>
      <c r="F22643" s="8">
        <v>1236</v>
      </c>
    </row>
    <row r="22644" spans="1:6" ht="12.75">
      <c r="A22644" s="8">
        <v>43894.227025462962</v>
      </c>
      <c r="B22644" s="8" t="str">
        <f>HYPERLINK("https://twitter.com/cakrabirawa186","@cakrabirawa186")</f>
        <v>@cakrabirawa186</v>
      </c>
      <c r="C22644" s="8" t="s">
        <v>9093</v>
      </c>
      <c r="D22644" s="8">
        <v>7</v>
      </c>
      <c r="E22644" s="8">
        <v>0</v>
      </c>
      <c r="F22644" s="8">
        <v>1032</v>
      </c>
    </row>
    <row r="22645" spans="1:6" ht="12.75">
      <c r="A22645" s="8">
        <v>43894.226990740739</v>
      </c>
      <c r="B22645" s="8" t="str">
        <f>HYPERLINK("https://twitter.com/iluvatar188","@iluvatar188")</f>
        <v>@iluvatar188</v>
      </c>
      <c r="C22645" s="8" t="s">
        <v>1970</v>
      </c>
      <c r="D22645" s="8">
        <v>1306</v>
      </c>
      <c r="E22645" s="8">
        <v>0</v>
      </c>
      <c r="F22645" s="8">
        <v>1150</v>
      </c>
    </row>
    <row r="22646" spans="1:6" ht="12.75">
      <c r="A22646" s="8">
        <v>43894.226226851853</v>
      </c>
      <c r="B22646" s="8" t="str">
        <f>HYPERLINK("https://twitter.com/Mr_Khepo","@Mr_Khepo")</f>
        <v>@Mr_Khepo</v>
      </c>
      <c r="C22646" s="8" t="s">
        <v>9058</v>
      </c>
      <c r="D22646" s="8">
        <v>8</v>
      </c>
      <c r="E22646" s="8">
        <v>0</v>
      </c>
      <c r="F22646" s="8">
        <v>4137</v>
      </c>
    </row>
    <row r="22647" spans="1:6" ht="12.75">
      <c r="A22647" s="8">
        <v>43894.214999999997</v>
      </c>
      <c r="B22647" s="8" t="str">
        <f>HYPERLINK("https://twitter.com/kaskus","@kaskus")</f>
        <v>@kaskus</v>
      </c>
      <c r="C22647" s="8" t="s">
        <v>9177</v>
      </c>
      <c r="D22647" s="8">
        <v>0</v>
      </c>
      <c r="E22647" s="8">
        <v>0</v>
      </c>
      <c r="F22647" s="8">
        <v>2615008</v>
      </c>
    </row>
    <row r="22648" spans="1:6" ht="12.75">
      <c r="A22648" s="8">
        <v>43894.214409722219</v>
      </c>
      <c r="B22648" s="8" t="str">
        <f>HYPERLINK("https://twitter.com/goddesss_isis","@goddesss_isis")</f>
        <v>@goddesss_isis</v>
      </c>
      <c r="C22648" s="8" t="s">
        <v>9178</v>
      </c>
      <c r="D22648" s="8">
        <v>0</v>
      </c>
      <c r="E22648" s="8">
        <v>0</v>
      </c>
      <c r="F22648" s="8">
        <v>8</v>
      </c>
    </row>
    <row r="22649" spans="1:6" ht="12.75">
      <c r="A22649" s="8">
        <v>43894.214131944449</v>
      </c>
      <c r="B22649" s="8" t="str">
        <f>HYPERLINK("https://twitter.com/gfiryalrahmani","@gfiryalrahmani")</f>
        <v>@gfiryalrahmani</v>
      </c>
      <c r="C22649" s="8" t="s">
        <v>9159</v>
      </c>
      <c r="D22649" s="8">
        <v>12</v>
      </c>
      <c r="E22649" s="8">
        <v>0</v>
      </c>
      <c r="F22649" s="8">
        <v>451</v>
      </c>
    </row>
    <row r="22650" spans="1:6" ht="12.75">
      <c r="A22650" s="8">
        <v>43894.213009259256</v>
      </c>
      <c r="B22650" s="8" t="str">
        <f>HYPERLINK("https://twitter.com/jack_bidexs","@jack_bidexs")</f>
        <v>@jack_bidexs</v>
      </c>
      <c r="C22650" s="8" t="s">
        <v>8901</v>
      </c>
      <c r="D22650" s="8">
        <v>211</v>
      </c>
      <c r="E22650" s="8">
        <v>0</v>
      </c>
      <c r="F22650" s="8">
        <v>722</v>
      </c>
    </row>
    <row r="22651" spans="1:6" ht="12.75">
      <c r="A22651" s="8">
        <v>43894.213009259256</v>
      </c>
      <c r="B22651" s="8" t="str">
        <f>HYPERLINK("https://twitter.com/FAKTANEWS4","@FAKTANEWS4")</f>
        <v>@FAKTANEWS4</v>
      </c>
      <c r="C22651" s="8" t="s">
        <v>9179</v>
      </c>
      <c r="D22651" s="8">
        <v>0</v>
      </c>
      <c r="E22651" s="8">
        <v>0</v>
      </c>
      <c r="F22651" s="8">
        <v>652</v>
      </c>
    </row>
    <row r="22652" spans="1:6" ht="12.75">
      <c r="A22652" s="8">
        <v>43894.212731481486</v>
      </c>
      <c r="B22652" s="8" t="str">
        <f>HYPERLINK("https://twitter.com/Ngambissyok","@Ngambissyok")</f>
        <v>@Ngambissyok</v>
      </c>
      <c r="C22652" s="8" t="s">
        <v>1427</v>
      </c>
      <c r="D22652" s="8">
        <v>999</v>
      </c>
      <c r="E22652" s="8">
        <v>0</v>
      </c>
      <c r="F22652" s="8">
        <v>542</v>
      </c>
    </row>
    <row r="22653" spans="1:6" ht="12.75">
      <c r="A22653" s="8">
        <v>43894.212349537032</v>
      </c>
      <c r="B22653" s="8" t="str">
        <f>HYPERLINK("https://twitter.com/_cryingoveru_","@_cryingoveru_")</f>
        <v>@_cryingoveru_</v>
      </c>
      <c r="C22653" s="8" t="s">
        <v>2962</v>
      </c>
      <c r="D22653" s="8">
        <v>5628</v>
      </c>
      <c r="E22653" s="8">
        <v>0</v>
      </c>
      <c r="F22653" s="8">
        <v>776</v>
      </c>
    </row>
    <row r="22654" spans="1:6" ht="12.75">
      <c r="A22654" s="8">
        <v>43894.212210648147</v>
      </c>
      <c r="B22654" s="8" t="str">
        <f>HYPERLINK("https://twitter.com/agungsrir","@agungsrir")</f>
        <v>@agungsrir</v>
      </c>
      <c r="C22654" s="8" t="s">
        <v>6827</v>
      </c>
      <c r="D22654" s="8">
        <v>44</v>
      </c>
      <c r="E22654" s="8">
        <v>0</v>
      </c>
      <c r="F22654" s="8">
        <v>19</v>
      </c>
    </row>
    <row r="22655" spans="1:6" ht="12.75">
      <c r="A22655" s="8">
        <v>43894.211111111115</v>
      </c>
      <c r="B22655" s="8" t="str">
        <f>HYPERLINK("https://twitter.com/meitaqueen1","@meitaqueen1")</f>
        <v>@meitaqueen1</v>
      </c>
      <c r="C22655" s="8" t="s">
        <v>2199</v>
      </c>
      <c r="D22655" s="8">
        <v>9056</v>
      </c>
      <c r="E22655" s="8">
        <v>0</v>
      </c>
      <c r="F22655" s="8">
        <v>66</v>
      </c>
    </row>
    <row r="22656" spans="1:6" ht="12.75">
      <c r="A22656" s="8">
        <v>43894.209039351852</v>
      </c>
      <c r="B22656" s="8" t="str">
        <f>HYPERLINK("https://twitter.com/NU54nt4rA","@NU54nt4rA")</f>
        <v>@NU54nt4rA</v>
      </c>
      <c r="C22656" s="8" t="s">
        <v>9180</v>
      </c>
      <c r="D22656" s="8">
        <v>0</v>
      </c>
      <c r="E22656" s="8">
        <v>0</v>
      </c>
      <c r="F22656" s="8">
        <v>218</v>
      </c>
    </row>
    <row r="22657" spans="1:6" ht="12.75">
      <c r="A22657" s="8">
        <v>43894.208333333328</v>
      </c>
      <c r="B22657" s="8" t="str">
        <f>HYPERLINK("https://twitter.com/GTVID_News","@GTVID_News")</f>
        <v>@GTVID_News</v>
      </c>
      <c r="C22657" s="8" t="s">
        <v>9181</v>
      </c>
      <c r="D22657" s="8">
        <v>0</v>
      </c>
      <c r="E22657" s="8">
        <v>0</v>
      </c>
      <c r="F22657" s="8">
        <v>10807</v>
      </c>
    </row>
    <row r="22658" spans="1:6" ht="12.75">
      <c r="A22658" s="8">
        <v>43894.208067129628</v>
      </c>
      <c r="B22658" s="8" t="str">
        <f>HYPERLINK("https://twitter.com/deaboy1","@deaboy1")</f>
        <v>@deaboy1</v>
      </c>
      <c r="C22658" s="8" t="s">
        <v>7661</v>
      </c>
      <c r="D22658" s="8">
        <v>475</v>
      </c>
      <c r="E22658" s="8">
        <v>0</v>
      </c>
      <c r="F22658" s="8">
        <v>39</v>
      </c>
    </row>
    <row r="22659" spans="1:6" ht="12.75">
      <c r="A22659" s="8">
        <v>43894.207395833335</v>
      </c>
      <c r="B22659" s="8" t="str">
        <f>HYPERLINK("https://twitter.com/amubasir23","@amubasir23")</f>
        <v>@amubasir23</v>
      </c>
      <c r="C22659" s="8" t="s">
        <v>1970</v>
      </c>
      <c r="D22659" s="8">
        <v>1299</v>
      </c>
      <c r="E22659" s="8">
        <v>0</v>
      </c>
      <c r="F22659" s="8">
        <v>45</v>
      </c>
    </row>
    <row r="22660" spans="1:6" ht="12.75">
      <c r="A22660" s="8">
        <v>43894.206516203703</v>
      </c>
      <c r="B22660" s="8" t="str">
        <f>HYPERLINK("https://twitter.com/LC01L","@LC01L")</f>
        <v>@LC01L</v>
      </c>
      <c r="C22660" s="8" t="s">
        <v>9182</v>
      </c>
      <c r="D22660" s="8">
        <v>0</v>
      </c>
      <c r="E22660" s="8">
        <v>0</v>
      </c>
      <c r="F22660" s="8">
        <v>242</v>
      </c>
    </row>
    <row r="22661" spans="1:6" ht="12.75">
      <c r="A22661" s="8">
        <v>43894.206446759257</v>
      </c>
      <c r="B22661" s="8" t="str">
        <f>HYPERLINK("https://twitter.com/2019JokowiLNJT","@2019JokowiLNJT")</f>
        <v>@2019JokowiLNJT</v>
      </c>
      <c r="C22661" s="8" t="s">
        <v>9183</v>
      </c>
      <c r="D22661" s="8">
        <v>0</v>
      </c>
      <c r="E22661" s="8">
        <v>0</v>
      </c>
      <c r="F22661" s="8">
        <v>504</v>
      </c>
    </row>
    <row r="22662" spans="1:6" ht="12.75">
      <c r="A22662" s="8">
        <v>43894.204872685186</v>
      </c>
      <c r="B22662" s="8" t="str">
        <f>HYPERLINK("https://twitter.com/terasid","@terasid")</f>
        <v>@terasid</v>
      </c>
      <c r="C22662" s="8" t="s">
        <v>5590</v>
      </c>
      <c r="D22662" s="8">
        <v>3</v>
      </c>
      <c r="E22662" s="8">
        <v>0</v>
      </c>
      <c r="F22662" s="8">
        <v>3138</v>
      </c>
    </row>
    <row r="22663" spans="1:6" ht="12.75">
      <c r="A22663" s="8">
        <v>43894.204155092593</v>
      </c>
      <c r="B22663" s="8" t="str">
        <f>HYPERLINK("https://twitter.com/RikiSyafruddin","@RikiSyafruddin")</f>
        <v>@RikiSyafruddin</v>
      </c>
      <c r="C22663" s="8" t="s">
        <v>9140</v>
      </c>
      <c r="D22663" s="8">
        <v>8</v>
      </c>
      <c r="E22663" s="8">
        <v>0</v>
      </c>
      <c r="F22663" s="8">
        <v>19</v>
      </c>
    </row>
    <row r="22664" spans="1:6" ht="12.75">
      <c r="A22664" s="8">
        <v>43894.203518518523</v>
      </c>
      <c r="B22664" s="8" t="str">
        <f>HYPERLINK("https://twitter.com/luckyblushing","@luckyblushing")</f>
        <v>@luckyblushing</v>
      </c>
      <c r="C22664" s="8" t="s">
        <v>2962</v>
      </c>
      <c r="D22664" s="8">
        <v>5628</v>
      </c>
      <c r="E22664" s="8">
        <v>0</v>
      </c>
      <c r="F22664" s="8">
        <v>31</v>
      </c>
    </row>
    <row r="22665" spans="1:6" ht="12.75">
      <c r="A22665" s="8">
        <v>43894.203310185185</v>
      </c>
      <c r="B22665" s="8" t="str">
        <f>HYPERLINK("https://twitter.com/ngatahulah","@ngatahulah")</f>
        <v>@ngatahulah</v>
      </c>
      <c r="C22665" s="8" t="s">
        <v>9184</v>
      </c>
      <c r="D22665" s="8">
        <v>22</v>
      </c>
      <c r="E22665" s="8">
        <v>0</v>
      </c>
      <c r="F22665" s="8">
        <v>98</v>
      </c>
    </row>
    <row r="22666" spans="1:6" ht="12.75">
      <c r="A22666" s="8">
        <v>43894.202418981484</v>
      </c>
      <c r="B22666" s="8" t="str">
        <f>HYPERLINK("https://twitter.com/babahagewe","@babahagewe")</f>
        <v>@babahagewe</v>
      </c>
      <c r="C22666" s="8" t="s">
        <v>9140</v>
      </c>
      <c r="D22666" s="8">
        <v>8</v>
      </c>
      <c r="E22666" s="8">
        <v>0</v>
      </c>
      <c r="F22666" s="8">
        <v>206</v>
      </c>
    </row>
    <row r="22667" spans="1:6" ht="12.75">
      <c r="A22667" s="8">
        <v>43894.202326388884</v>
      </c>
      <c r="B22667" s="8" t="str">
        <f t="shared" ref="B22667:B22668" si="333">HYPERLINK("https://twitter.com/Globalnews222","@Globalnews222")</f>
        <v>@Globalnews222</v>
      </c>
      <c r="C22667" s="8" t="s">
        <v>9001</v>
      </c>
      <c r="D22667" s="8">
        <v>6</v>
      </c>
      <c r="E22667" s="8">
        <v>0</v>
      </c>
      <c r="F22667" s="8">
        <v>34</v>
      </c>
    </row>
    <row r="22668" spans="1:6" ht="12.75">
      <c r="A22668" s="8">
        <v>43894.202083333337</v>
      </c>
      <c r="B22668" s="8" t="str">
        <f t="shared" si="333"/>
        <v>@Globalnews222</v>
      </c>
      <c r="C22668" s="8" t="s">
        <v>9140</v>
      </c>
      <c r="D22668" s="8">
        <v>8</v>
      </c>
      <c r="E22668" s="8">
        <v>0</v>
      </c>
      <c r="F22668" s="8">
        <v>34</v>
      </c>
    </row>
    <row r="22669" spans="1:6" ht="12.75">
      <c r="A22669" s="8">
        <v>43894.201990740738</v>
      </c>
      <c r="B22669" s="8" t="str">
        <f>HYPERLINK("https://twitter.com/satya_setiawan","@satya_setiawan")</f>
        <v>@satya_setiawan</v>
      </c>
      <c r="C22669" s="8" t="s">
        <v>9001</v>
      </c>
      <c r="D22669" s="8">
        <v>6</v>
      </c>
      <c r="E22669" s="8">
        <v>0</v>
      </c>
      <c r="F22669" s="8">
        <v>12</v>
      </c>
    </row>
    <row r="22670" spans="1:6" ht="12.75">
      <c r="A22670" s="8">
        <v>43894.201226851852</v>
      </c>
      <c r="B22670" s="8" t="str">
        <f>HYPERLINK("https://twitter.com/JumardiDaeng","@JumardiDaeng")</f>
        <v>@JumardiDaeng</v>
      </c>
      <c r="C22670" s="8" t="s">
        <v>9140</v>
      </c>
      <c r="D22670" s="8">
        <v>8</v>
      </c>
      <c r="E22670" s="8">
        <v>0</v>
      </c>
      <c r="F22670" s="8">
        <v>47</v>
      </c>
    </row>
    <row r="22671" spans="1:6" ht="12.75">
      <c r="A22671" s="8">
        <v>43894.200810185182</v>
      </c>
      <c r="B22671" s="8" t="str">
        <f t="shared" ref="B22671:B22672" si="334">HYPERLINK("https://twitter.com/ChristWamea","@ChristWamea")</f>
        <v>@ChristWamea</v>
      </c>
      <c r="C22671" s="8" t="s">
        <v>9001</v>
      </c>
      <c r="D22671" s="8">
        <v>6</v>
      </c>
      <c r="E22671" s="8">
        <v>0</v>
      </c>
      <c r="F22671" s="8">
        <v>29132</v>
      </c>
    </row>
    <row r="22672" spans="1:6" ht="12.75">
      <c r="A22672" s="8">
        <v>43894.200740740736</v>
      </c>
      <c r="B22672" s="8" t="str">
        <f t="shared" si="334"/>
        <v>@ChristWamea</v>
      </c>
      <c r="C22672" s="8" t="s">
        <v>9140</v>
      </c>
      <c r="D22672" s="8">
        <v>8</v>
      </c>
      <c r="E22672" s="8">
        <v>0</v>
      </c>
      <c r="F22672" s="8">
        <v>29132</v>
      </c>
    </row>
    <row r="22673" spans="1:6" ht="12.75">
      <c r="A22673" s="8">
        <v>43894.200648148151</v>
      </c>
      <c r="B22673" s="8" t="str">
        <f>HYPERLINK("https://twitter.com/Rakisdianrd","@Rakisdianrd")</f>
        <v>@Rakisdianrd</v>
      </c>
      <c r="C22673" s="8" t="s">
        <v>9140</v>
      </c>
      <c r="D22673" s="8">
        <v>8</v>
      </c>
      <c r="E22673" s="8">
        <v>0</v>
      </c>
      <c r="F22673" s="8">
        <v>366</v>
      </c>
    </row>
    <row r="22674" spans="1:6" ht="12.75">
      <c r="A22674" s="8">
        <v>43894.200289351851</v>
      </c>
      <c r="B22674" s="8" t="str">
        <f>HYPERLINK("https://twitter.com/bayumanpra","@bayumanpra")</f>
        <v>@bayumanpra</v>
      </c>
      <c r="C22674" s="8" t="s">
        <v>1427</v>
      </c>
      <c r="D22674" s="8">
        <v>999</v>
      </c>
      <c r="E22674" s="8">
        <v>0</v>
      </c>
      <c r="F22674" s="8">
        <v>553</v>
      </c>
    </row>
    <row r="22675" spans="1:6" ht="12.75">
      <c r="A22675" s="8">
        <v>43894.199282407411</v>
      </c>
      <c r="B22675" s="8" t="str">
        <f>HYPERLINK("https://twitter.com/PHNCX","@PHNCX")</f>
        <v>@PHNCX</v>
      </c>
      <c r="C22675" s="8" t="s">
        <v>9001</v>
      </c>
      <c r="D22675" s="8">
        <v>6</v>
      </c>
      <c r="E22675" s="8">
        <v>0</v>
      </c>
      <c r="F22675" s="8">
        <v>416</v>
      </c>
    </row>
    <row r="22676" spans="1:6" ht="12.75">
      <c r="A22676" s="8">
        <v>43894.199224537035</v>
      </c>
      <c r="B22676" s="8" t="str">
        <f>HYPERLINK("https://twitter.com/harryfadil","@harryfadil")</f>
        <v>@harryfadil</v>
      </c>
      <c r="C22676" s="8" t="s">
        <v>9088</v>
      </c>
      <c r="D22676" s="8">
        <v>52</v>
      </c>
      <c r="E22676" s="8">
        <v>0</v>
      </c>
      <c r="F22676" s="8">
        <v>1257</v>
      </c>
    </row>
    <row r="22677" spans="1:6" ht="12.75">
      <c r="A22677" s="8">
        <v>43894.198958333334</v>
      </c>
      <c r="B22677" s="8" t="str">
        <f>HYPERLINK("https://twitter.com/mk_sari2","@mk_sari2")</f>
        <v>@mk_sari2</v>
      </c>
      <c r="C22677" s="8" t="s">
        <v>4990</v>
      </c>
      <c r="D22677" s="8">
        <v>456</v>
      </c>
      <c r="E22677" s="8">
        <v>0</v>
      </c>
      <c r="F22677" s="8">
        <v>569</v>
      </c>
    </row>
    <row r="22678" spans="1:6" ht="12.75">
      <c r="A22678" s="8">
        <v>43894.198946759258</v>
      </c>
      <c r="B22678" s="8" t="str">
        <f>HYPERLINK("https://twitter.com/Puspen_TNI","@Puspen_TNI")</f>
        <v>@Puspen_TNI</v>
      </c>
      <c r="C22678" s="8" t="s">
        <v>9185</v>
      </c>
      <c r="D22678" s="8">
        <v>8</v>
      </c>
      <c r="E22678" s="8">
        <v>22</v>
      </c>
      <c r="F22678" s="8">
        <v>307220</v>
      </c>
    </row>
    <row r="22679" spans="1:6" ht="12.75">
      <c r="A22679" s="8">
        <v>43894.196087962962</v>
      </c>
      <c r="B22679" s="8" t="str">
        <f>HYPERLINK("https://twitter.com/Umar_IbnuKhatab","@Umar_IbnuKhatab")</f>
        <v>@Umar_IbnuKhatab</v>
      </c>
      <c r="C22679" s="8" t="s">
        <v>8901</v>
      </c>
      <c r="D22679" s="8">
        <v>211</v>
      </c>
      <c r="E22679" s="8">
        <v>0</v>
      </c>
      <c r="F22679" s="8">
        <v>1231</v>
      </c>
    </row>
    <row r="22680" spans="1:6" ht="12.75">
      <c r="A22680" s="8">
        <v>43894.195914351847</v>
      </c>
      <c r="B22680" s="8" t="str">
        <f>HYPERLINK("https://twitter.com/Puspen_TNI","@Puspen_TNI")</f>
        <v>@Puspen_TNI</v>
      </c>
      <c r="C22680" s="8" t="s">
        <v>9186</v>
      </c>
      <c r="D22680" s="8">
        <v>6</v>
      </c>
      <c r="E22680" s="8">
        <v>13</v>
      </c>
      <c r="F22680" s="8">
        <v>307220</v>
      </c>
    </row>
    <row r="22681" spans="1:6" ht="12.75">
      <c r="A22681" s="8">
        <v>43894.1955787037</v>
      </c>
      <c r="B22681" s="8" t="str">
        <f>HYPERLINK("https://twitter.com/DemplonMak","@DemplonMak")</f>
        <v>@DemplonMak</v>
      </c>
      <c r="C22681" s="8" t="s">
        <v>6315</v>
      </c>
      <c r="D22681" s="8">
        <v>146</v>
      </c>
      <c r="E22681" s="8">
        <v>0</v>
      </c>
      <c r="F22681" s="8">
        <v>3392</v>
      </c>
    </row>
    <row r="22682" spans="1:6" ht="12.75">
      <c r="A22682" s="8">
        <v>43894.194189814814</v>
      </c>
      <c r="B22682" s="8" t="str">
        <f>HYPERLINK("https://twitter.com/Habeeelll","@Habeeelll")</f>
        <v>@Habeeelll</v>
      </c>
      <c r="C22682" s="8" t="s">
        <v>9187</v>
      </c>
      <c r="D22682" s="8">
        <v>3</v>
      </c>
      <c r="E22682" s="8">
        <v>0</v>
      </c>
      <c r="F22682" s="8">
        <v>24</v>
      </c>
    </row>
    <row r="22683" spans="1:6" ht="12.75">
      <c r="A22683" s="8">
        <v>43894.192974537036</v>
      </c>
      <c r="B22683" s="8" t="str">
        <f>HYPERLINK("https://twitter.com/JJisJ3","@JJisJ3")</f>
        <v>@JJisJ3</v>
      </c>
      <c r="C22683" s="8" t="s">
        <v>2199</v>
      </c>
      <c r="D22683" s="8">
        <v>9056</v>
      </c>
      <c r="E22683" s="8">
        <v>0</v>
      </c>
      <c r="F22683" s="8">
        <v>1</v>
      </c>
    </row>
    <row r="22684" spans="1:6" ht="12.75">
      <c r="A22684" s="8">
        <v>43894.192847222221</v>
      </c>
      <c r="B22684" s="8" t="str">
        <f>HYPERLINK("https://twitter.com/mbet_thout","@mbet_thout")</f>
        <v>@mbet_thout</v>
      </c>
      <c r="C22684" s="8" t="s">
        <v>9188</v>
      </c>
      <c r="D22684" s="8">
        <v>0</v>
      </c>
      <c r="E22684" s="8">
        <v>0</v>
      </c>
      <c r="F22684" s="8">
        <v>115</v>
      </c>
    </row>
    <row r="22685" spans="1:6" ht="12.75">
      <c r="A22685" s="8">
        <v>43894.191620370373</v>
      </c>
      <c r="B22685" s="8" t="str">
        <f>HYPERLINK("https://twitter.com/Sabilillah_Pua","@Sabilillah_Pua")</f>
        <v>@Sabilillah_Pua</v>
      </c>
      <c r="C22685" s="8" t="s">
        <v>9104</v>
      </c>
      <c r="D22685" s="8">
        <v>3</v>
      </c>
      <c r="E22685" s="8">
        <v>0</v>
      </c>
      <c r="F22685" s="8">
        <v>2347</v>
      </c>
    </row>
    <row r="22686" spans="1:6" ht="12.75">
      <c r="A22686" s="8">
        <v>43894.191469907411</v>
      </c>
      <c r="B22686" s="8" t="str">
        <f>HYPERLINK("https://twitter.com/SriNeng70160486","@SriNeng70160486")</f>
        <v>@SriNeng70160486</v>
      </c>
      <c r="C22686" s="8" t="s">
        <v>4990</v>
      </c>
      <c r="D22686" s="8">
        <v>456</v>
      </c>
      <c r="E22686" s="8">
        <v>0</v>
      </c>
      <c r="F22686" s="8">
        <v>567</v>
      </c>
    </row>
    <row r="22687" spans="1:6" ht="12.75">
      <c r="A22687" s="8">
        <v>43894.190925925926</v>
      </c>
      <c r="B22687" s="8" t="str">
        <f>HYPERLINK("https://twitter.com/kerjacerdas","@kerjacerdas")</f>
        <v>@kerjacerdas</v>
      </c>
      <c r="C22687" s="8" t="s">
        <v>9158</v>
      </c>
      <c r="D22687" s="8">
        <v>23</v>
      </c>
      <c r="E22687" s="8">
        <v>0</v>
      </c>
      <c r="F22687" s="8">
        <v>835</v>
      </c>
    </row>
    <row r="22688" spans="1:6" ht="12.75">
      <c r="A22688" s="8">
        <v>43894.190902777773</v>
      </c>
      <c r="B22688" s="8" t="str">
        <f>HYPERLINK("https://twitter.com/EmElEs12","@EmElEs12")</f>
        <v>@EmElEs12</v>
      </c>
      <c r="C22688" s="8" t="s">
        <v>4990</v>
      </c>
      <c r="D22688" s="8">
        <v>456</v>
      </c>
      <c r="E22688" s="8">
        <v>0</v>
      </c>
      <c r="F22688" s="8">
        <v>2761</v>
      </c>
    </row>
    <row r="22689" spans="1:6" ht="12.75">
      <c r="A22689" s="8">
        <v>43894.187800925924</v>
      </c>
      <c r="B22689" s="8" t="str">
        <f>HYPERLINK("https://twitter.com/ba_effendi","@ba_effendi")</f>
        <v>@ba_effendi</v>
      </c>
      <c r="C22689" s="8" t="s">
        <v>9189</v>
      </c>
      <c r="D22689" s="8">
        <v>0</v>
      </c>
      <c r="E22689" s="8">
        <v>0</v>
      </c>
      <c r="F22689" s="8">
        <v>3</v>
      </c>
    </row>
    <row r="22690" spans="1:6" ht="12.75">
      <c r="A22690" s="8">
        <v>43894.187627314815</v>
      </c>
      <c r="B22690" s="8" t="str">
        <f>HYPERLINK("https://twitter.com/opp_happ73","@opp_happ73")</f>
        <v>@opp_happ73</v>
      </c>
      <c r="C22690" s="8" t="s">
        <v>7661</v>
      </c>
      <c r="D22690" s="8">
        <v>475</v>
      </c>
      <c r="E22690" s="8">
        <v>0</v>
      </c>
      <c r="F22690" s="8">
        <v>395</v>
      </c>
    </row>
    <row r="22691" spans="1:6" ht="12.75">
      <c r="A22691" s="8">
        <v>43894.186585648145</v>
      </c>
      <c r="B22691" s="8" t="str">
        <f>HYPERLINK("https://twitter.com/one_moslem","@one_moslem")</f>
        <v>@one_moslem</v>
      </c>
      <c r="C22691" s="8" t="s">
        <v>9190</v>
      </c>
      <c r="D22691" s="8">
        <v>0</v>
      </c>
      <c r="E22691" s="8">
        <v>1</v>
      </c>
      <c r="F22691" s="8">
        <v>158</v>
      </c>
    </row>
    <row r="22692" spans="1:6" ht="12.75">
      <c r="A22692" s="8">
        <v>43894.185798611114</v>
      </c>
      <c r="B22692" s="8" t="str">
        <f>HYPERLINK("https://twitter.com/seleb_berita","@seleb_berita")</f>
        <v>@seleb_berita</v>
      </c>
      <c r="C22692" s="8" t="s">
        <v>9191</v>
      </c>
      <c r="D22692" s="8">
        <v>8</v>
      </c>
      <c r="E22692" s="8">
        <v>0</v>
      </c>
      <c r="F22692" s="8">
        <v>2125</v>
      </c>
    </row>
    <row r="22693" spans="1:6" ht="12.75">
      <c r="A22693" s="8">
        <v>43894.185486111106</v>
      </c>
      <c r="B22693" s="8" t="str">
        <f>HYPERLINK("https://twitter.com/Fajar_RAR","@Fajar_RAR")</f>
        <v>@Fajar_RAR</v>
      </c>
      <c r="C22693" s="8" t="s">
        <v>8272</v>
      </c>
      <c r="D22693" s="8">
        <v>68</v>
      </c>
      <c r="E22693" s="8">
        <v>0</v>
      </c>
      <c r="F22693" s="8">
        <v>641</v>
      </c>
    </row>
    <row r="22694" spans="1:6" ht="12.75">
      <c r="A22694" s="8">
        <v>43894.185219907406</v>
      </c>
      <c r="B22694" s="8" t="str">
        <f>HYPERLINK("https://twitter.com/AEkopurnomo","@AEkopurnomo")</f>
        <v>@AEkopurnomo</v>
      </c>
      <c r="C22694" s="8" t="s">
        <v>9192</v>
      </c>
      <c r="D22694" s="8">
        <v>1</v>
      </c>
      <c r="E22694" s="8">
        <v>0</v>
      </c>
      <c r="F22694" s="8">
        <v>539</v>
      </c>
    </row>
    <row r="22695" spans="1:6" ht="12.75">
      <c r="A22695" s="8">
        <v>43894.184849537036</v>
      </c>
      <c r="B22695" s="8" t="str">
        <f>HYPERLINK("https://twitter.com/widyastutirika","@widyastutirika")</f>
        <v>@widyastutirika</v>
      </c>
      <c r="C22695" s="8" t="s">
        <v>9193</v>
      </c>
      <c r="D22695" s="8">
        <v>0</v>
      </c>
      <c r="E22695" s="8">
        <v>0</v>
      </c>
      <c r="F22695" s="8">
        <v>23</v>
      </c>
    </row>
    <row r="22696" spans="1:6" ht="12.75">
      <c r="A22696" s="8">
        <v>43894.184062500004</v>
      </c>
      <c r="B22696" s="8" t="str">
        <f>HYPERLINK("https://twitter.com/abdulloh2015","@abdulloh2015")</f>
        <v>@abdulloh2015</v>
      </c>
      <c r="C22696" s="8" t="s">
        <v>859</v>
      </c>
      <c r="D22696" s="8">
        <v>0</v>
      </c>
      <c r="E22696" s="8">
        <v>0</v>
      </c>
      <c r="F22696" s="8">
        <v>61</v>
      </c>
    </row>
    <row r="22697" spans="1:6" ht="12.75">
      <c r="A22697" s="8">
        <v>43894.18372685185</v>
      </c>
      <c r="B22697" s="8" t="str">
        <f>HYPERLINK("https://twitter.com/Blacktwit27","@Blacktwit27")</f>
        <v>@Blacktwit27</v>
      </c>
      <c r="C22697" s="8" t="s">
        <v>8970</v>
      </c>
      <c r="D22697" s="8">
        <v>127</v>
      </c>
      <c r="E22697" s="8">
        <v>0</v>
      </c>
      <c r="F22697" s="8">
        <v>86</v>
      </c>
    </row>
    <row r="22698" spans="1:6" ht="12.75">
      <c r="A22698" s="8">
        <v>43894.183275462958</v>
      </c>
      <c r="B22698" s="8" t="str">
        <f>HYPERLINK("https://twitter.com/Parkomburate","@Parkomburate")</f>
        <v>@Parkomburate</v>
      </c>
      <c r="C22698" s="8" t="s">
        <v>9113</v>
      </c>
      <c r="D22698" s="8">
        <v>14</v>
      </c>
      <c r="E22698" s="8">
        <v>0</v>
      </c>
      <c r="F22698" s="8">
        <v>256</v>
      </c>
    </row>
    <row r="22699" spans="1:6" ht="12.75">
      <c r="A22699" s="8">
        <v>43894.182696759264</v>
      </c>
      <c r="B22699" s="8" t="str">
        <f>HYPERLINK("https://twitter.com/firdaus_1st","@firdaus_1st")</f>
        <v>@firdaus_1st</v>
      </c>
      <c r="C22699" s="8" t="s">
        <v>8901</v>
      </c>
      <c r="D22699" s="8">
        <v>211</v>
      </c>
      <c r="E22699" s="8">
        <v>0</v>
      </c>
      <c r="F22699" s="8">
        <v>1502</v>
      </c>
    </row>
    <row r="22700" spans="1:6" ht="12.75">
      <c r="A22700" s="8">
        <v>43894.182453703703</v>
      </c>
      <c r="B22700" s="8" t="str">
        <f>HYPERLINK("https://twitter.com/hendrihasibua10","@hendrihasibua10")</f>
        <v>@hendrihasibua10</v>
      </c>
      <c r="C22700" s="8" t="s">
        <v>8901</v>
      </c>
      <c r="D22700" s="8">
        <v>211</v>
      </c>
      <c r="E22700" s="8">
        <v>0</v>
      </c>
      <c r="F22700" s="8">
        <v>770</v>
      </c>
    </row>
    <row r="22701" spans="1:6" ht="12.75">
      <c r="A22701" s="8">
        <v>43894.181840277779</v>
      </c>
      <c r="B22701" s="8" t="str">
        <f>HYPERLINK("https://twitter.com/DodolNabi","@DodolNabi")</f>
        <v>@DodolNabi</v>
      </c>
      <c r="C22701" s="8" t="s">
        <v>7796</v>
      </c>
      <c r="D22701" s="8">
        <v>26</v>
      </c>
      <c r="E22701" s="8">
        <v>0</v>
      </c>
      <c r="F22701" s="8">
        <v>342</v>
      </c>
    </row>
    <row r="22702" spans="1:6" ht="12.75">
      <c r="A22702" s="8">
        <v>43894.181527777779</v>
      </c>
      <c r="B22702" s="8" t="str">
        <f>HYPERLINK("https://twitter.com/11Selvie","@11Selvie")</f>
        <v>@11Selvie</v>
      </c>
      <c r="C22702" s="8" t="s">
        <v>9194</v>
      </c>
      <c r="D22702" s="8">
        <v>217</v>
      </c>
      <c r="E22702" s="8">
        <v>0</v>
      </c>
      <c r="F22702" s="8">
        <v>27</v>
      </c>
    </row>
    <row r="22703" spans="1:6" ht="12.75">
      <c r="A22703" s="8">
        <v>43894.180729166663</v>
      </c>
      <c r="B22703" s="8" t="str">
        <f>HYPERLINK("https://twitter.com/pasopati20201","@pasopati20201")</f>
        <v>@pasopati20201</v>
      </c>
      <c r="C22703" s="8" t="s">
        <v>1970</v>
      </c>
      <c r="D22703" s="8">
        <v>1299</v>
      </c>
      <c r="E22703" s="8">
        <v>0</v>
      </c>
      <c r="F22703" s="8">
        <v>35</v>
      </c>
    </row>
    <row r="22704" spans="1:6" ht="12.75">
      <c r="A22704" s="8">
        <v>43894.178460648152</v>
      </c>
      <c r="B22704" s="8" t="str">
        <f>HYPERLINK("https://twitter.com/HenrySihite1","@HenrySihite1")</f>
        <v>@HenrySihite1</v>
      </c>
      <c r="C22704" s="8" t="s">
        <v>9195</v>
      </c>
      <c r="D22704" s="8">
        <v>0</v>
      </c>
      <c r="E22704" s="8">
        <v>0</v>
      </c>
      <c r="F22704" s="8">
        <v>1</v>
      </c>
    </row>
    <row r="22705" spans="1:6" ht="12.75">
      <c r="A22705" s="8">
        <v>43894.178240740745</v>
      </c>
      <c r="B22705" s="8" t="str">
        <f>HYPERLINK("https://twitter.com/OfliFilozof","@OfliFilozof")</f>
        <v>@OfliFilozof</v>
      </c>
      <c r="C22705" s="8" t="s">
        <v>9196</v>
      </c>
      <c r="D22705" s="8">
        <v>0</v>
      </c>
      <c r="E22705" s="8">
        <v>3</v>
      </c>
      <c r="F22705" s="8">
        <v>3908</v>
      </c>
    </row>
    <row r="22706" spans="1:6" ht="12.75">
      <c r="A22706" s="8">
        <v>43894.178148148145</v>
      </c>
      <c r="B22706" s="8" t="str">
        <f>HYPERLINK("https://twitter.com/tempodotco","@tempodotco")</f>
        <v>@tempodotco</v>
      </c>
      <c r="C22706" s="8" t="s">
        <v>9197</v>
      </c>
      <c r="D22706" s="8">
        <v>3</v>
      </c>
      <c r="E22706" s="8">
        <v>8</v>
      </c>
      <c r="F22706" s="8">
        <v>1713528</v>
      </c>
    </row>
    <row r="22707" spans="1:6" ht="12.75">
      <c r="A22707" s="8">
        <v>43894.177337962959</v>
      </c>
      <c r="B22707" s="8" t="str">
        <f>HYPERLINK("https://twitter.com/prikisangpriki","@prikisangpriki")</f>
        <v>@prikisangpriki</v>
      </c>
      <c r="C22707" s="8" t="s">
        <v>2199</v>
      </c>
      <c r="D22707" s="8">
        <v>9056</v>
      </c>
      <c r="E22707" s="8">
        <v>0</v>
      </c>
      <c r="F22707" s="8">
        <v>796</v>
      </c>
    </row>
    <row r="22708" spans="1:6" ht="12.75">
      <c r="A22708" s="8">
        <v>43894.177164351851</v>
      </c>
      <c r="B22708" s="8" t="str">
        <f t="shared" ref="B22708:B22709" si="335">HYPERLINK("https://twitter.com/brother_morrow","@brother_morrow")</f>
        <v>@brother_morrow</v>
      </c>
      <c r="C22708" s="8" t="s">
        <v>1986</v>
      </c>
      <c r="D22708" s="8">
        <v>843</v>
      </c>
      <c r="E22708" s="8">
        <v>0</v>
      </c>
      <c r="F22708" s="8">
        <v>386</v>
      </c>
    </row>
    <row r="22709" spans="1:6" ht="12.75">
      <c r="A22709" s="8">
        <v>43894.175879629634</v>
      </c>
      <c r="B22709" s="8" t="str">
        <f t="shared" si="335"/>
        <v>@brother_morrow</v>
      </c>
      <c r="C22709" s="8" t="s">
        <v>8429</v>
      </c>
      <c r="D22709" s="8">
        <v>166</v>
      </c>
      <c r="E22709" s="8">
        <v>0</v>
      </c>
      <c r="F22709" s="8">
        <v>386</v>
      </c>
    </row>
    <row r="22710" spans="1:6" ht="12.75">
      <c r="A22710" s="8">
        <v>43894.175497685181</v>
      </c>
      <c r="B22710" s="8" t="str">
        <f>HYPERLINK("https://twitter.com/Sam_atqo","@Sam_atqo")</f>
        <v>@Sam_atqo</v>
      </c>
      <c r="C22710" s="8" t="s">
        <v>9198</v>
      </c>
      <c r="D22710" s="8">
        <v>86</v>
      </c>
      <c r="E22710" s="8">
        <v>0</v>
      </c>
      <c r="F22710" s="8">
        <v>423</v>
      </c>
    </row>
    <row r="22711" spans="1:6" ht="12.75">
      <c r="A22711" s="8">
        <v>43894.174930555557</v>
      </c>
      <c r="B22711" s="8" t="str">
        <f>HYPERLINK("https://twitter.com/BisaSiapaSaja1","@BisaSiapaSaja1")</f>
        <v>@BisaSiapaSaja1</v>
      </c>
      <c r="C22711" s="8" t="s">
        <v>8901</v>
      </c>
      <c r="D22711" s="8">
        <v>211</v>
      </c>
      <c r="E22711" s="8">
        <v>0</v>
      </c>
      <c r="F22711" s="8">
        <v>1189</v>
      </c>
    </row>
    <row r="22712" spans="1:6" ht="12.75">
      <c r="A22712" s="8">
        <v>43894.173726851848</v>
      </c>
      <c r="B22712" s="8" t="str">
        <f>HYPERLINK("https://twitter.com/carpediemwinnrz","@carpediemwinnrz")</f>
        <v>@carpediemwinnrz</v>
      </c>
      <c r="C22712" s="8" t="s">
        <v>9199</v>
      </c>
      <c r="D22712" s="8">
        <v>1</v>
      </c>
      <c r="E22712" s="8">
        <v>0</v>
      </c>
      <c r="F22712" s="8">
        <v>193</v>
      </c>
    </row>
    <row r="22713" spans="1:6" ht="12.75">
      <c r="A22713" s="8">
        <v>43894.17255787037</v>
      </c>
      <c r="B22713" s="8" t="str">
        <f>HYPERLINK("https://twitter.com/cakrabirawa186","@cakrabirawa186")</f>
        <v>@cakrabirawa186</v>
      </c>
      <c r="C22713" s="8" t="s">
        <v>9200</v>
      </c>
      <c r="D22713" s="8">
        <v>0</v>
      </c>
      <c r="E22713" s="8">
        <v>0</v>
      </c>
      <c r="F22713" s="8">
        <v>1032</v>
      </c>
    </row>
    <row r="22714" spans="1:6" ht="12.75">
      <c r="A22714" s="8">
        <v>43894.171631944446</v>
      </c>
      <c r="B22714" s="8" t="str">
        <f>HYPERLINK("https://twitter.com/_ayubudi","@_ayubudi")</f>
        <v>@_ayubudi</v>
      </c>
      <c r="C22714" s="8" t="s">
        <v>8842</v>
      </c>
      <c r="D22714" s="8">
        <v>184</v>
      </c>
      <c r="E22714" s="8">
        <v>0</v>
      </c>
      <c r="F22714" s="8">
        <v>304</v>
      </c>
    </row>
    <row r="22715" spans="1:6" ht="12.75">
      <c r="A22715" s="8">
        <v>43894.171631944446</v>
      </c>
      <c r="B22715" s="8" t="str">
        <f>HYPERLINK("https://twitter.com/vidyasatya","@vidyasatya")</f>
        <v>@vidyasatya</v>
      </c>
      <c r="C22715" s="8" t="s">
        <v>1427</v>
      </c>
      <c r="D22715" s="8">
        <v>997</v>
      </c>
      <c r="E22715" s="8">
        <v>0</v>
      </c>
      <c r="F22715" s="8">
        <v>299</v>
      </c>
    </row>
    <row r="22716" spans="1:6" ht="12.75">
      <c r="A22716" s="8">
        <v>43894.168958333335</v>
      </c>
      <c r="B22716" s="8" t="str">
        <f>HYPERLINK("https://twitter.com/pitubuta","@pitubuta")</f>
        <v>@pitubuta</v>
      </c>
      <c r="C22716" s="8" t="s">
        <v>9201</v>
      </c>
      <c r="D22716" s="8">
        <v>0</v>
      </c>
      <c r="E22716" s="8">
        <v>0</v>
      </c>
      <c r="F22716" s="8">
        <v>11</v>
      </c>
    </row>
    <row r="22717" spans="1:6" ht="12.75">
      <c r="A22717" s="8">
        <v>43894.168819444443</v>
      </c>
      <c r="B22717" s="8" t="str">
        <f>HYPERLINK("https://twitter.com/heintje_han","@heintje_han")</f>
        <v>@heintje_han</v>
      </c>
      <c r="C22717" s="8" t="s">
        <v>9146</v>
      </c>
      <c r="D22717" s="8">
        <v>73</v>
      </c>
      <c r="E22717" s="8">
        <v>0</v>
      </c>
      <c r="F22717" s="8">
        <v>245</v>
      </c>
    </row>
    <row r="22718" spans="1:6" ht="12.75">
      <c r="A22718" s="8">
        <v>43894.167627314819</v>
      </c>
      <c r="B22718" s="8" t="str">
        <f>HYPERLINK("https://twitter.com/GfPlat","@GfPlat")</f>
        <v>@GfPlat</v>
      </c>
      <c r="C22718" s="8" t="s">
        <v>6315</v>
      </c>
      <c r="D22718" s="8">
        <v>145</v>
      </c>
      <c r="E22718" s="8">
        <v>0</v>
      </c>
      <c r="F22718" s="8">
        <v>3076</v>
      </c>
    </row>
    <row r="22719" spans="1:6" ht="12.75">
      <c r="A22719" s="8">
        <v>43894.167048611111</v>
      </c>
      <c r="B22719" s="8" t="str">
        <f>HYPERLINK("https://twitter.com/Agustindei17","@Agustindei17")</f>
        <v>@Agustindei17</v>
      </c>
      <c r="C22719" s="8" t="s">
        <v>9202</v>
      </c>
      <c r="D22719" s="8">
        <v>0</v>
      </c>
      <c r="E22719" s="8">
        <v>0</v>
      </c>
      <c r="F22719" s="8">
        <v>0</v>
      </c>
    </row>
    <row r="22720" spans="1:6" ht="12.75">
      <c r="A22720" s="8">
        <v>43894.16679398148</v>
      </c>
      <c r="B22720" s="8" t="str">
        <f>HYPERLINK("https://twitter.com/AutoAdsJa","@AutoAdsJa")</f>
        <v>@AutoAdsJa</v>
      </c>
      <c r="C22720" s="8" t="s">
        <v>9203</v>
      </c>
      <c r="D22720" s="8">
        <v>0</v>
      </c>
      <c r="E22720" s="8">
        <v>0</v>
      </c>
      <c r="F22720" s="8">
        <v>542</v>
      </c>
    </row>
    <row r="22721" spans="1:6" ht="12.75">
      <c r="A22721" s="8">
        <v>43894.166666666672</v>
      </c>
      <c r="B22721" s="8" t="str">
        <f>HYPERLINK("https://twitter.com/SeputariNews","@SeputariNews")</f>
        <v>@SeputariNews</v>
      </c>
      <c r="C22721" s="8" t="s">
        <v>9204</v>
      </c>
      <c r="D22721" s="8">
        <v>0</v>
      </c>
      <c r="E22721" s="8">
        <v>0</v>
      </c>
      <c r="F22721" s="8">
        <v>438703</v>
      </c>
    </row>
    <row r="22722" spans="1:6" ht="12.75">
      <c r="A22722" s="8">
        <v>43894.164837962962</v>
      </c>
      <c r="B22722" s="8" t="str">
        <f>HYPERLINK("https://twitter.com/ovaody","@ovaody")</f>
        <v>@ovaody</v>
      </c>
      <c r="C22722" s="8" t="s">
        <v>2199</v>
      </c>
      <c r="D22722" s="8">
        <v>9054</v>
      </c>
      <c r="E22722" s="8">
        <v>0</v>
      </c>
      <c r="F22722" s="8">
        <v>338</v>
      </c>
    </row>
    <row r="22723" spans="1:6" ht="12.75">
      <c r="A22723" s="8">
        <v>43894.162638888884</v>
      </c>
      <c r="B22723" s="8" t="str">
        <f>HYPERLINK("https://twitter.com/ZZurron","@ZZurron")</f>
        <v>@ZZurron</v>
      </c>
      <c r="C22723" s="8" t="s">
        <v>3850</v>
      </c>
      <c r="D22723" s="8">
        <v>1453</v>
      </c>
      <c r="E22723" s="8">
        <v>0</v>
      </c>
      <c r="F22723" s="8">
        <v>193</v>
      </c>
    </row>
    <row r="22724" spans="1:6" ht="12.75">
      <c r="A22724" s="8">
        <v>43894.160925925928</v>
      </c>
      <c r="B22724" s="8" t="str">
        <f>HYPERLINK("https://twitter.com/Abdussa78534939","@Abdussa78534939")</f>
        <v>@Abdussa78534939</v>
      </c>
      <c r="C22724" s="8" t="s">
        <v>8429</v>
      </c>
      <c r="D22724" s="8">
        <v>165</v>
      </c>
      <c r="E22724" s="8">
        <v>0</v>
      </c>
      <c r="F22724" s="8">
        <v>150</v>
      </c>
    </row>
    <row r="22725" spans="1:6" ht="12.75">
      <c r="A22725" s="8">
        <v>43894.160439814819</v>
      </c>
      <c r="B22725" s="8" t="str">
        <f>HYPERLINK("https://twitter.com/cakrabirawa186","@cakrabirawa186")</f>
        <v>@cakrabirawa186</v>
      </c>
      <c r="C22725" s="8" t="s">
        <v>9205</v>
      </c>
      <c r="D22725" s="8">
        <v>0</v>
      </c>
      <c r="E22725" s="8">
        <v>0</v>
      </c>
      <c r="F22725" s="8">
        <v>1036</v>
      </c>
    </row>
    <row r="22726" spans="1:6" ht="12.75">
      <c r="A22726" s="8">
        <v>43894.158587962964</v>
      </c>
      <c r="B22726" s="8" t="str">
        <f>HYPERLINK("https://twitter.com/setiawan_1892","@setiawan_1892")</f>
        <v>@setiawan_1892</v>
      </c>
      <c r="C22726" s="8" t="s">
        <v>9206</v>
      </c>
      <c r="D22726" s="8">
        <v>0</v>
      </c>
      <c r="E22726" s="8">
        <v>0</v>
      </c>
      <c r="F22726" s="8">
        <v>134</v>
      </c>
    </row>
    <row r="22727" spans="1:6" ht="12.75">
      <c r="A22727" s="8">
        <v>43894.158564814818</v>
      </c>
      <c r="B22727" s="8" t="str">
        <f>HYPERLINK("https://twitter.com/bumi_Luwuutara","@bumi_Luwuutara")</f>
        <v>@bumi_Luwuutara</v>
      </c>
      <c r="C22727" s="8" t="s">
        <v>9207</v>
      </c>
      <c r="D22727" s="8">
        <v>132</v>
      </c>
      <c r="E22727" s="8">
        <v>0</v>
      </c>
      <c r="F22727" s="8">
        <v>49</v>
      </c>
    </row>
    <row r="22728" spans="1:6" ht="12.75">
      <c r="A22728" s="8">
        <v>43894.157754629632</v>
      </c>
      <c r="B22728" s="8" t="str">
        <f>HYPERLINK("https://twitter.com/Abdussa78534939","@Abdussa78534939")</f>
        <v>@Abdussa78534939</v>
      </c>
      <c r="C22728" s="8" t="s">
        <v>8506</v>
      </c>
      <c r="D22728" s="8">
        <v>1</v>
      </c>
      <c r="E22728" s="8">
        <v>0</v>
      </c>
      <c r="F22728" s="8">
        <v>150</v>
      </c>
    </row>
    <row r="22729" spans="1:6" ht="12.75">
      <c r="A22729" s="8">
        <v>43894.157638888893</v>
      </c>
      <c r="B22729" s="8" t="str">
        <f>HYPERLINK("https://twitter.com/Jiddah_hauwerh","@Jiddah_hauwerh")</f>
        <v>@Jiddah_hauwerh</v>
      </c>
      <c r="C22729" s="8" t="s">
        <v>9208</v>
      </c>
      <c r="D22729" s="8">
        <v>0</v>
      </c>
      <c r="E22729" s="8">
        <v>2</v>
      </c>
      <c r="F22729" s="8">
        <v>1588</v>
      </c>
    </row>
    <row r="22730" spans="1:6" ht="12.75">
      <c r="A22730" s="8">
        <v>43894.157407407409</v>
      </c>
      <c r="B22730" s="8" t="str">
        <f>HYPERLINK("https://twitter.com/Abdussa78534939","@Abdussa78534939")</f>
        <v>@Abdussa78534939</v>
      </c>
      <c r="C22730" s="8" t="s">
        <v>7796</v>
      </c>
      <c r="D22730" s="8">
        <v>25</v>
      </c>
      <c r="E22730" s="8">
        <v>0</v>
      </c>
      <c r="F22730" s="8">
        <v>150</v>
      </c>
    </row>
    <row r="22731" spans="1:6" ht="12.75">
      <c r="A22731" s="8">
        <v>43894.157199074078</v>
      </c>
      <c r="B22731" s="8" t="str">
        <f>HYPERLINK("https://twitter.com/achzam_prabu","@achzam_prabu")</f>
        <v>@achzam_prabu</v>
      </c>
      <c r="C22731" s="8" t="s">
        <v>7796</v>
      </c>
      <c r="D22731" s="8">
        <v>25</v>
      </c>
      <c r="E22731" s="8">
        <v>0</v>
      </c>
      <c r="F22731" s="8">
        <v>4894</v>
      </c>
    </row>
    <row r="22732" spans="1:6" ht="12.75">
      <c r="A22732" s="8">
        <v>43894.157013888893</v>
      </c>
      <c r="B22732" s="8" t="str">
        <f>HYPERLINK("https://twitter.com/houstonKJRI","@houstonKJRI")</f>
        <v>@houstonKJRI</v>
      </c>
      <c r="C22732" s="8" t="s">
        <v>9209</v>
      </c>
      <c r="D22732" s="8">
        <v>0</v>
      </c>
      <c r="E22732" s="8">
        <v>0</v>
      </c>
      <c r="F22732" s="8">
        <v>506</v>
      </c>
    </row>
    <row r="22733" spans="1:6" ht="12.75">
      <c r="A22733" s="8">
        <v>43894.156435185185</v>
      </c>
      <c r="B22733" s="8" t="str">
        <f>HYPERLINK("https://twitter.com/KurniaChen","@KurniaChen")</f>
        <v>@KurniaChen</v>
      </c>
      <c r="C22733" s="8" t="s">
        <v>6827</v>
      </c>
      <c r="D22733" s="8">
        <v>43</v>
      </c>
      <c r="E22733" s="8">
        <v>0</v>
      </c>
      <c r="F22733" s="8">
        <v>691</v>
      </c>
    </row>
    <row r="22734" spans="1:6" ht="12.75">
      <c r="A22734" s="8">
        <v>43894.15221064815</v>
      </c>
      <c r="B22734" s="8" t="str">
        <f>HYPERLINK("https://twitter.com/EviKusdiani","@EviKusdiani")</f>
        <v>@EviKusdiani</v>
      </c>
      <c r="C22734" s="8" t="s">
        <v>1970</v>
      </c>
      <c r="D22734" s="8">
        <v>1296</v>
      </c>
      <c r="E22734" s="8">
        <v>0</v>
      </c>
      <c r="F22734" s="8">
        <v>513</v>
      </c>
    </row>
    <row r="22735" spans="1:6" ht="12.75">
      <c r="A22735" s="8">
        <v>43894.151643518519</v>
      </c>
      <c r="B22735" s="8" t="str">
        <f>HYPERLINK("https://twitter.com/omytama","@omytama")</f>
        <v>@omytama</v>
      </c>
      <c r="C22735" s="8" t="s">
        <v>5732</v>
      </c>
      <c r="D22735" s="8">
        <v>2184</v>
      </c>
      <c r="E22735" s="8">
        <v>0</v>
      </c>
      <c r="F22735" s="8">
        <v>70</v>
      </c>
    </row>
    <row r="22736" spans="1:6" ht="12.75">
      <c r="A22736" s="8">
        <v>43894.15116898148</v>
      </c>
      <c r="B22736" s="8" t="str">
        <f>HYPERLINK("https://twitter.com/Ferdi09823000","@Ferdi09823000")</f>
        <v>@Ferdi09823000</v>
      </c>
      <c r="C22736" s="8" t="s">
        <v>9210</v>
      </c>
      <c r="D22736" s="8">
        <v>0</v>
      </c>
      <c r="E22736" s="8">
        <v>2</v>
      </c>
      <c r="F22736" s="8">
        <v>0</v>
      </c>
    </row>
    <row r="22737" spans="1:6" ht="12.75">
      <c r="A22737" s="8">
        <v>43894.14944444444</v>
      </c>
      <c r="B22737" s="8" t="str">
        <f>HYPERLINK("https://twitter.com/MungNurut","@MungNurut")</f>
        <v>@MungNurut</v>
      </c>
      <c r="C22737" s="8" t="s">
        <v>4477</v>
      </c>
      <c r="D22737" s="8">
        <v>1233</v>
      </c>
      <c r="E22737" s="8">
        <v>0</v>
      </c>
      <c r="F22737" s="8">
        <v>264</v>
      </c>
    </row>
    <row r="22738" spans="1:6" ht="12.75">
      <c r="A22738" s="8">
        <v>43894.142511574071</v>
      </c>
      <c r="B22738" s="8" t="str">
        <f>HYPERLINK("https://twitter.com/Id89Fandi","@Id89Fandi")</f>
        <v>@Id89Fandi</v>
      </c>
      <c r="C22738" s="8" t="s">
        <v>7597</v>
      </c>
      <c r="D22738" s="8">
        <v>718</v>
      </c>
      <c r="E22738" s="8">
        <v>0</v>
      </c>
      <c r="F22738" s="8">
        <v>103</v>
      </c>
    </row>
    <row r="22739" spans="1:6" ht="12.75">
      <c r="A22739" s="8">
        <v>43894.142002314809</v>
      </c>
      <c r="B22739" s="8" t="str">
        <f>HYPERLINK("https://twitter.com/aadaddyman01","@aadaddyman01")</f>
        <v>@aadaddyman01</v>
      </c>
      <c r="C22739" s="8" t="s">
        <v>9211</v>
      </c>
      <c r="D22739" s="8">
        <v>0</v>
      </c>
      <c r="E22739" s="8">
        <v>0</v>
      </c>
      <c r="F22739" s="8">
        <v>81</v>
      </c>
    </row>
    <row r="22740" spans="1:6" ht="12.75">
      <c r="A22740" s="8">
        <v>43894.139872685184</v>
      </c>
      <c r="B22740" s="8" t="str">
        <f>HYPERLINK("https://twitter.com/BUS_EKONOMI","@BUS_EKONOMI")</f>
        <v>@BUS_EKONOMI</v>
      </c>
      <c r="C22740" s="8" t="s">
        <v>9212</v>
      </c>
      <c r="D22740" s="8">
        <v>0</v>
      </c>
      <c r="E22740" s="8">
        <v>1</v>
      </c>
      <c r="F22740" s="8">
        <v>3850</v>
      </c>
    </row>
    <row r="22741" spans="1:6" ht="12.75">
      <c r="A22741" s="8">
        <v>43894.137916666667</v>
      </c>
      <c r="B22741" s="8" t="str">
        <f>HYPERLINK("https://twitter.com/kalkua1","@kalkua1")</f>
        <v>@kalkua1</v>
      </c>
      <c r="C22741" s="8" t="s">
        <v>8429</v>
      </c>
      <c r="D22741" s="8">
        <v>165</v>
      </c>
      <c r="E22741" s="8">
        <v>0</v>
      </c>
      <c r="F22741" s="8">
        <v>4214</v>
      </c>
    </row>
    <row r="22742" spans="1:6" ht="12.75">
      <c r="A22742" s="8">
        <v>43894.137199074074</v>
      </c>
      <c r="B22742" s="8" t="str">
        <f>HYPERLINK("https://twitter.com/MuadzHalim","@MuadzHalim")</f>
        <v>@MuadzHalim</v>
      </c>
      <c r="C22742" s="8" t="s">
        <v>9213</v>
      </c>
      <c r="D22742" s="8">
        <v>2</v>
      </c>
      <c r="E22742" s="8">
        <v>0</v>
      </c>
      <c r="F22742" s="8">
        <v>226</v>
      </c>
    </row>
    <row r="22743" spans="1:6" ht="12.75">
      <c r="A22743" s="8">
        <v>43894.137013888889</v>
      </c>
      <c r="B22743" s="8" t="str">
        <f>HYPERLINK("https://twitter.com/armenr77","@armenr77")</f>
        <v>@armenr77</v>
      </c>
      <c r="C22743" s="8" t="s">
        <v>8901</v>
      </c>
      <c r="D22743" s="8">
        <v>205</v>
      </c>
      <c r="E22743" s="8">
        <v>0</v>
      </c>
      <c r="F22743" s="8">
        <v>1304</v>
      </c>
    </row>
    <row r="22744" spans="1:6" ht="12.75">
      <c r="A22744" s="8">
        <v>43894.13689814815</v>
      </c>
      <c r="B22744" s="8" t="str">
        <f>HYPERLINK("https://twitter.com/AdetyaTan","@AdetyaTan")</f>
        <v>@AdetyaTan</v>
      </c>
      <c r="C22744" s="8" t="s">
        <v>8843</v>
      </c>
      <c r="D22744" s="8">
        <v>94</v>
      </c>
      <c r="E22744" s="8">
        <v>0</v>
      </c>
      <c r="F22744" s="8">
        <v>135</v>
      </c>
    </row>
    <row r="22745" spans="1:6" ht="12.75">
      <c r="A22745" s="8">
        <v>43894.13590277778</v>
      </c>
      <c r="B22745" s="8" t="str">
        <f>HYPERLINK("https://twitter.com/didie_soeharto","@didie_soeharto")</f>
        <v>@didie_soeharto</v>
      </c>
      <c r="C22745" s="8" t="s">
        <v>7796</v>
      </c>
      <c r="D22745" s="8">
        <v>25</v>
      </c>
      <c r="E22745" s="8">
        <v>0</v>
      </c>
      <c r="F22745" s="8">
        <v>1232</v>
      </c>
    </row>
    <row r="22746" spans="1:6" ht="12.75">
      <c r="A22746" s="8">
        <v>43894.135624999995</v>
      </c>
      <c r="B22746" s="8" t="str">
        <f>HYPERLINK("https://twitter.com/isis_rb7","@isis_rb7")</f>
        <v>@isis_rb7</v>
      </c>
      <c r="C22746" s="8" t="s">
        <v>9214</v>
      </c>
      <c r="D22746" s="8">
        <v>0</v>
      </c>
      <c r="E22746" s="8">
        <v>0</v>
      </c>
      <c r="F22746" s="8">
        <v>1947</v>
      </c>
    </row>
    <row r="22747" spans="1:6" ht="12.75">
      <c r="A22747" s="8">
        <v>43894.135219907403</v>
      </c>
      <c r="B22747" s="8" t="str">
        <f>HYPERLINK("https://twitter.com/benar_berita","@benar_berita")</f>
        <v>@benar_berita</v>
      </c>
      <c r="C22747" s="8" t="s">
        <v>9215</v>
      </c>
      <c r="D22747" s="8">
        <v>0</v>
      </c>
      <c r="E22747" s="8">
        <v>0</v>
      </c>
      <c r="F22747" s="8">
        <v>349</v>
      </c>
    </row>
    <row r="22748" spans="1:6" ht="12.75">
      <c r="A22748" s="8">
        <v>43894.132569444446</v>
      </c>
      <c r="B22748" s="8" t="str">
        <f>HYPERLINK("https://twitter.com/Danimas19","@Danimas19")</f>
        <v>@Danimas19</v>
      </c>
      <c r="C22748" s="8" t="s">
        <v>9216</v>
      </c>
      <c r="D22748" s="8">
        <v>3</v>
      </c>
      <c r="E22748" s="8">
        <v>0</v>
      </c>
      <c r="F22748" s="8">
        <v>78</v>
      </c>
    </row>
    <row r="22749" spans="1:6" ht="12.75">
      <c r="A22749" s="8">
        <v>43894.131296296298</v>
      </c>
      <c r="B22749" s="8" t="str">
        <f>HYPERLINK("https://twitter.com/AbolichdZ","@AbolichdZ")</f>
        <v>@AbolichdZ</v>
      </c>
      <c r="C22749" s="8" t="s">
        <v>6827</v>
      </c>
      <c r="D22749" s="8">
        <v>42</v>
      </c>
      <c r="E22749" s="8">
        <v>0</v>
      </c>
      <c r="F22749" s="8">
        <v>839</v>
      </c>
    </row>
    <row r="22750" spans="1:6" ht="12.75">
      <c r="A22750" s="8">
        <v>43894.130312499998</v>
      </c>
      <c r="B22750" s="8" t="str">
        <f>HYPERLINK("https://twitter.com/_wni_","@_wni_")</f>
        <v>@_wni_</v>
      </c>
      <c r="C22750" s="8" t="s">
        <v>9217</v>
      </c>
      <c r="D22750" s="8">
        <v>0</v>
      </c>
      <c r="E22750" s="8">
        <v>0</v>
      </c>
      <c r="F22750" s="8">
        <v>14</v>
      </c>
    </row>
    <row r="22751" spans="1:6" ht="12.75">
      <c r="A22751" s="8">
        <v>43894.129641203705</v>
      </c>
      <c r="B22751" s="8" t="str">
        <f>HYPERLINK("https://twitter.com/AgusSup39011241","@AgusSup39011241")</f>
        <v>@AgusSup39011241</v>
      </c>
      <c r="C22751" s="8" t="s">
        <v>8429</v>
      </c>
      <c r="D22751" s="8">
        <v>163</v>
      </c>
      <c r="E22751" s="8">
        <v>0</v>
      </c>
      <c r="F22751" s="8">
        <v>10455</v>
      </c>
    </row>
    <row r="22752" spans="1:6" ht="12.75">
      <c r="A22752" s="8">
        <v>43894.12877314815</v>
      </c>
      <c r="B22752" s="8" t="str">
        <f>HYPERLINK("https://twitter.com/marisacailleau","@marisacailleau")</f>
        <v>@marisacailleau</v>
      </c>
      <c r="C22752" s="8" t="s">
        <v>9218</v>
      </c>
      <c r="D22752" s="8">
        <v>0</v>
      </c>
      <c r="E22752" s="8">
        <v>0</v>
      </c>
      <c r="F22752" s="8">
        <v>928</v>
      </c>
    </row>
    <row r="22753" spans="1:6" ht="12.75">
      <c r="A22753" s="8">
        <v>43894.128368055557</v>
      </c>
      <c r="B22753" s="8" t="str">
        <f>HYPERLINK("https://twitter.com/NWK_Empire","@NWK_Empire")</f>
        <v>@NWK_Empire</v>
      </c>
      <c r="C22753" s="8" t="s">
        <v>9219</v>
      </c>
      <c r="D22753" s="8">
        <v>0</v>
      </c>
      <c r="E22753" s="8">
        <v>0</v>
      </c>
      <c r="F22753" s="8">
        <v>5</v>
      </c>
    </row>
    <row r="22754" spans="1:6" ht="12.75">
      <c r="A22754" s="8">
        <v>43894.128159722226</v>
      </c>
      <c r="B22754" s="8" t="str">
        <f>HYPERLINK("https://twitter.com/Budihar21525608","@Budihar21525608")</f>
        <v>@Budihar21525608</v>
      </c>
      <c r="C22754" s="8" t="s">
        <v>7796</v>
      </c>
      <c r="D22754" s="8">
        <v>22</v>
      </c>
      <c r="E22754" s="8">
        <v>0</v>
      </c>
      <c r="F22754" s="8">
        <v>6302</v>
      </c>
    </row>
    <row r="22755" spans="1:6" ht="12.75">
      <c r="A22755" s="8">
        <v>43894.127581018518</v>
      </c>
      <c r="B22755" s="8" t="str">
        <f>HYPERLINK("https://twitter.com/ciumbaksanti","@ciumbaksanti")</f>
        <v>@ciumbaksanti</v>
      </c>
      <c r="C22755" s="8" t="s">
        <v>9220</v>
      </c>
      <c r="D22755" s="8">
        <v>3</v>
      </c>
      <c r="E22755" s="8">
        <v>0</v>
      </c>
      <c r="F22755" s="8">
        <v>151</v>
      </c>
    </row>
    <row r="22756" spans="1:6" ht="12.75">
      <c r="A22756" s="8">
        <v>43894.126956018517</v>
      </c>
      <c r="B22756" s="8" t="str">
        <f>HYPERLINK("https://twitter.com/hendrawanNEW","@hendrawanNEW")</f>
        <v>@hendrawanNEW</v>
      </c>
      <c r="C22756" s="8" t="s">
        <v>8970</v>
      </c>
      <c r="D22756" s="8">
        <v>126</v>
      </c>
      <c r="E22756" s="8">
        <v>0</v>
      </c>
      <c r="F22756" s="8">
        <v>264</v>
      </c>
    </row>
    <row r="22757" spans="1:6" ht="12.75">
      <c r="A22757" s="8">
        <v>43894.126620370371</v>
      </c>
      <c r="B22757" s="8" t="str">
        <f>HYPERLINK("https://twitter.com/PlantsWjy","@PlantsWjy")</f>
        <v>@PlantsWjy</v>
      </c>
      <c r="C22757" s="8" t="s">
        <v>3257</v>
      </c>
      <c r="D22757" s="8">
        <v>43</v>
      </c>
      <c r="E22757" s="8">
        <v>0</v>
      </c>
      <c r="F22757" s="8">
        <v>1015</v>
      </c>
    </row>
    <row r="22758" spans="1:6" ht="12.75">
      <c r="A22758" s="8">
        <v>43894.12364583333</v>
      </c>
      <c r="B22758" s="8" t="str">
        <f>HYPERLINK("https://twitter.com/presidenSBY","@presidenSBY")</f>
        <v>@presidenSBY</v>
      </c>
      <c r="C22758" s="8" t="s">
        <v>9221</v>
      </c>
      <c r="D22758" s="8">
        <v>0</v>
      </c>
      <c r="E22758" s="8">
        <v>0</v>
      </c>
      <c r="F22758" s="8">
        <v>301747</v>
      </c>
    </row>
    <row r="22759" spans="1:6" ht="12.75">
      <c r="A22759" s="8">
        <v>43894.122557870374</v>
      </c>
      <c r="B22759" s="8" t="str">
        <f>HYPERLINK("https://twitter.com/tribunmedan","@tribunmedan")</f>
        <v>@tribunmedan</v>
      </c>
      <c r="C22759" s="8" t="s">
        <v>9222</v>
      </c>
      <c r="D22759" s="8">
        <v>0</v>
      </c>
      <c r="E22759" s="8">
        <v>0</v>
      </c>
      <c r="F22759" s="8">
        <v>72872</v>
      </c>
    </row>
    <row r="22760" spans="1:6" ht="12.75">
      <c r="A22760" s="8">
        <v>43894.122349537036</v>
      </c>
      <c r="B22760" s="8" t="str">
        <f>HYPERLINK("https://twitter.com/SukurWong","@SukurWong")</f>
        <v>@SukurWong</v>
      </c>
      <c r="C22760" s="8" t="s">
        <v>8970</v>
      </c>
      <c r="D22760" s="8">
        <v>126</v>
      </c>
      <c r="E22760" s="8">
        <v>0</v>
      </c>
      <c r="F22760" s="8">
        <v>191</v>
      </c>
    </row>
    <row r="22761" spans="1:6" ht="12.75">
      <c r="A22761" s="8">
        <v>43894.120162037041</v>
      </c>
      <c r="B22761" s="8" t="str">
        <f>HYPERLINK("https://twitter.com/coocot","@coocot")</f>
        <v>@coocot</v>
      </c>
      <c r="C22761" s="8" t="s">
        <v>9223</v>
      </c>
      <c r="D22761" s="8">
        <v>2</v>
      </c>
      <c r="E22761" s="8">
        <v>0</v>
      </c>
      <c r="F22761" s="8">
        <v>1305</v>
      </c>
    </row>
    <row r="22762" spans="1:6" ht="12.75">
      <c r="A22762" s="8">
        <v>43894.119212962964</v>
      </c>
      <c r="B22762" s="8" t="str">
        <f>HYPERLINK("https://twitter.com/JohnZEddi1","@JohnZEddi1")</f>
        <v>@JohnZEddi1</v>
      </c>
      <c r="C22762" s="8" t="s">
        <v>9223</v>
      </c>
      <c r="D22762" s="8">
        <v>2</v>
      </c>
      <c r="E22762" s="8">
        <v>0</v>
      </c>
      <c r="F22762" s="8">
        <v>1467</v>
      </c>
    </row>
    <row r="22763" spans="1:6" ht="12.75">
      <c r="A22763" s="8">
        <v>43894.118356481486</v>
      </c>
      <c r="B22763" s="8" t="str">
        <f>HYPERLINK("https://twitter.com/liputan6dotcom","@liputan6dotcom")</f>
        <v>@liputan6dotcom</v>
      </c>
      <c r="C22763" s="8" t="s">
        <v>9224</v>
      </c>
      <c r="D22763" s="8">
        <v>2</v>
      </c>
      <c r="E22763" s="8">
        <v>2</v>
      </c>
      <c r="F22763" s="8">
        <v>3634080</v>
      </c>
    </row>
    <row r="22764" spans="1:6" ht="12.75">
      <c r="A22764" s="8">
        <v>43894.118298611109</v>
      </c>
      <c r="B22764" s="8" t="str">
        <f>HYPERLINK("https://twitter.com/PablaAscabar","@PablaAscabar")</f>
        <v>@PablaAscabar</v>
      </c>
      <c r="C22764" s="8" t="s">
        <v>9225</v>
      </c>
      <c r="D22764" s="8">
        <v>0</v>
      </c>
      <c r="E22764" s="8">
        <v>0</v>
      </c>
      <c r="F22764" s="8">
        <v>15</v>
      </c>
    </row>
    <row r="22765" spans="1:6" ht="12.75">
      <c r="A22765" s="8">
        <v>43894.117604166662</v>
      </c>
      <c r="B22765" s="8" t="str">
        <f>HYPERLINK("https://twitter.com/aditdemarco","@aditdemarco")</f>
        <v>@aditdemarco</v>
      </c>
      <c r="C22765" s="8" t="s">
        <v>8970</v>
      </c>
      <c r="D22765" s="8">
        <v>126</v>
      </c>
      <c r="E22765" s="8">
        <v>0</v>
      </c>
      <c r="F22765" s="8">
        <v>434</v>
      </c>
    </row>
    <row r="22766" spans="1:6" ht="12.75">
      <c r="A22766" s="8">
        <v>43894.117268518516</v>
      </c>
      <c r="B22766" s="8" t="str">
        <f>HYPERLINK("https://twitter.com/panjimao","@panjimao")</f>
        <v>@panjimao</v>
      </c>
      <c r="C22766" s="8" t="s">
        <v>9226</v>
      </c>
      <c r="D22766" s="8">
        <v>1</v>
      </c>
      <c r="E22766" s="8">
        <v>0</v>
      </c>
      <c r="F22766" s="8">
        <v>393</v>
      </c>
    </row>
    <row r="22767" spans="1:6" ht="12.75">
      <c r="A22767" s="8">
        <v>43894.117118055554</v>
      </c>
      <c r="B22767" s="8" t="str">
        <f>HYPERLINK("https://twitter.com/eastcamp","@eastcamp")</f>
        <v>@eastcamp</v>
      </c>
      <c r="C22767" s="8" t="s">
        <v>2199</v>
      </c>
      <c r="D22767" s="8">
        <v>9055</v>
      </c>
      <c r="E22767" s="8">
        <v>0</v>
      </c>
      <c r="F22767" s="8">
        <v>697</v>
      </c>
    </row>
    <row r="22768" spans="1:6" ht="12.75">
      <c r="A22768" s="8">
        <v>43894.115902777776</v>
      </c>
      <c r="B22768" s="8" t="str">
        <f>HYPERLINK("https://twitter.com/Yoedizz","@Yoedizz")</f>
        <v>@Yoedizz</v>
      </c>
      <c r="C22768" s="8" t="s">
        <v>9227</v>
      </c>
      <c r="D22768" s="8">
        <v>0</v>
      </c>
      <c r="E22768" s="8">
        <v>0</v>
      </c>
      <c r="F22768" s="8">
        <v>595</v>
      </c>
    </row>
    <row r="22769" spans="1:6" ht="12.75">
      <c r="A22769" s="8">
        <v>43894.115891203706</v>
      </c>
      <c r="B22769" s="8" t="str">
        <f>HYPERLINK("https://twitter.com/lestarisuwarto","@lestarisuwarto")</f>
        <v>@lestarisuwarto</v>
      </c>
      <c r="C22769" s="8" t="s">
        <v>1970</v>
      </c>
      <c r="D22769" s="8">
        <v>1295</v>
      </c>
      <c r="E22769" s="8">
        <v>0</v>
      </c>
      <c r="F22769" s="8">
        <v>438</v>
      </c>
    </row>
    <row r="22770" spans="1:6" ht="12.75">
      <c r="A22770" s="8">
        <v>43894.11555555556</v>
      </c>
      <c r="B22770" s="8" t="str">
        <f>HYPERLINK("https://twitter.com/MAliSubhan2","@MAliSubhan2")</f>
        <v>@MAliSubhan2</v>
      </c>
      <c r="C22770" s="8" t="s">
        <v>7796</v>
      </c>
      <c r="D22770" s="8">
        <v>22</v>
      </c>
      <c r="E22770" s="8">
        <v>0</v>
      </c>
      <c r="F22770" s="8">
        <v>1239</v>
      </c>
    </row>
    <row r="22771" spans="1:6" ht="12.75">
      <c r="A22771" s="8">
        <v>43894.114571759259</v>
      </c>
      <c r="B22771" s="8" t="str">
        <f>HYPERLINK("https://twitter.com/Meliyanto7","@Meliyanto7")</f>
        <v>@Meliyanto7</v>
      </c>
      <c r="C22771" s="8" t="s">
        <v>8970</v>
      </c>
      <c r="D22771" s="8">
        <v>126</v>
      </c>
      <c r="E22771" s="8">
        <v>0</v>
      </c>
      <c r="F22771" s="8">
        <v>342</v>
      </c>
    </row>
    <row r="22772" spans="1:6" ht="12.75">
      <c r="A22772" s="8">
        <v>43894.114560185189</v>
      </c>
      <c r="B22772" s="8" t="str">
        <f>HYPERLINK("https://twitter.com/CameronRiyan","@CameronRiyan")</f>
        <v>@CameronRiyan</v>
      </c>
      <c r="C22772" s="8" t="s">
        <v>8868</v>
      </c>
      <c r="D22772" s="8">
        <v>180</v>
      </c>
      <c r="E22772" s="8">
        <v>0</v>
      </c>
      <c r="F22772" s="8">
        <v>3062</v>
      </c>
    </row>
    <row r="22773" spans="1:6" ht="12.75">
      <c r="A22773" s="8">
        <v>43894.113611111112</v>
      </c>
      <c r="B22773" s="8" t="str">
        <f>HYPERLINK("https://twitter.com/adityafajry","@adityafajry")</f>
        <v>@adityafajry</v>
      </c>
      <c r="C22773" s="8" t="s">
        <v>9228</v>
      </c>
      <c r="D22773" s="8">
        <v>2</v>
      </c>
      <c r="E22773" s="8">
        <v>0</v>
      </c>
      <c r="F22773" s="8">
        <v>656</v>
      </c>
    </row>
    <row r="22774" spans="1:6" ht="12.75">
      <c r="A22774" s="8">
        <v>43894.112280092595</v>
      </c>
      <c r="B22774" s="8" t="str">
        <f>HYPERLINK("https://twitter.com/anggihawawi","@anggihawawi")</f>
        <v>@anggihawawi</v>
      </c>
      <c r="C22774" s="8" t="s">
        <v>9146</v>
      </c>
      <c r="D22774" s="8">
        <v>72</v>
      </c>
      <c r="E22774" s="8">
        <v>0</v>
      </c>
      <c r="F22774" s="8">
        <v>17</v>
      </c>
    </row>
    <row r="22775" spans="1:6" ht="12.75">
      <c r="A22775" s="8">
        <v>43894.111516203702</v>
      </c>
      <c r="B22775" s="8" t="str">
        <f>HYPERLINK("https://twitter.com/romirhon","@romirhon")</f>
        <v>@romirhon</v>
      </c>
      <c r="C22775" s="8" t="s">
        <v>8901</v>
      </c>
      <c r="D22775" s="8">
        <v>204</v>
      </c>
      <c r="E22775" s="8">
        <v>0</v>
      </c>
      <c r="F22775" s="8">
        <v>222</v>
      </c>
    </row>
    <row r="22776" spans="1:6" ht="12.75">
      <c r="A22776" s="8">
        <v>43894.109212962961</v>
      </c>
      <c r="B22776" s="8" t="str">
        <f>HYPERLINK("https://twitter.com/kbrimaputo","@kbrimaputo")</f>
        <v>@kbrimaputo</v>
      </c>
      <c r="C22776" s="8" t="s">
        <v>8917</v>
      </c>
      <c r="D22776" s="8">
        <v>97</v>
      </c>
      <c r="E22776" s="8">
        <v>0</v>
      </c>
      <c r="F22776" s="8">
        <v>320</v>
      </c>
    </row>
    <row r="22777" spans="1:6" ht="12.75">
      <c r="A22777" s="8">
        <v>43894.108298611114</v>
      </c>
      <c r="B22777" s="8" t="str">
        <f>HYPERLINK("https://twitter.com/andri_4502","@andri_4502")</f>
        <v>@andri_4502</v>
      </c>
      <c r="C22777" s="8" t="s">
        <v>685</v>
      </c>
      <c r="D22777" s="8">
        <v>170</v>
      </c>
      <c r="E22777" s="8">
        <v>0</v>
      </c>
      <c r="F22777" s="8">
        <v>1518</v>
      </c>
    </row>
    <row r="22778" spans="1:6" ht="12.75">
      <c r="A22778" s="8">
        <v>43894.107465277775</v>
      </c>
      <c r="B22778" s="8" t="str">
        <f>HYPERLINK("https://twitter.com/SalmaBrecht","@SalmaBrecht")</f>
        <v>@SalmaBrecht</v>
      </c>
      <c r="C22778" s="8" t="s">
        <v>9229</v>
      </c>
      <c r="D22778" s="8">
        <v>0</v>
      </c>
      <c r="E22778" s="8">
        <v>2</v>
      </c>
      <c r="F22778" s="8">
        <v>13737</v>
      </c>
    </row>
    <row r="22779" spans="1:6" ht="12.75">
      <c r="A22779" s="8">
        <v>43894.104826388888</v>
      </c>
      <c r="B22779" s="8" t="str">
        <f>HYPERLINK("https://twitter.com/Puteriswift_","@Puteriswift_")</f>
        <v>@Puteriswift_</v>
      </c>
      <c r="C22779" s="8" t="s">
        <v>9230</v>
      </c>
      <c r="D22779" s="8">
        <v>0</v>
      </c>
      <c r="E22779" s="8">
        <v>1</v>
      </c>
      <c r="F22779" s="8">
        <v>287</v>
      </c>
    </row>
    <row r="22780" spans="1:6" ht="12.75">
      <c r="A22780" s="8">
        <v>43894.103969907403</v>
      </c>
      <c r="B22780" s="8" t="str">
        <f>HYPERLINK("https://twitter.com/yadi_asli","@yadi_asli")</f>
        <v>@yadi_asli</v>
      </c>
      <c r="C22780" s="8" t="s">
        <v>685</v>
      </c>
      <c r="D22780" s="8">
        <v>170</v>
      </c>
      <c r="E22780" s="8">
        <v>0</v>
      </c>
      <c r="F22780" s="8">
        <v>6092</v>
      </c>
    </row>
    <row r="22781" spans="1:6" ht="12.75">
      <c r="A22781" s="8">
        <v>43894.103958333333</v>
      </c>
      <c r="B22781" s="8" t="str">
        <f>HYPERLINK("https://twitter.com/taufiqharits","@taufiqharits")</f>
        <v>@taufiqharits</v>
      </c>
      <c r="C22781" s="8" t="s">
        <v>9231</v>
      </c>
      <c r="D22781" s="8">
        <v>0</v>
      </c>
      <c r="E22781" s="8">
        <v>0</v>
      </c>
      <c r="F22781" s="8">
        <v>38</v>
      </c>
    </row>
    <row r="22782" spans="1:6" ht="12.75">
      <c r="A22782" s="8">
        <v>43894.103599537033</v>
      </c>
      <c r="B22782" s="8" t="str">
        <f>HYPERLINK("https://twitter.com/karshowno92","@karshowno92")</f>
        <v>@karshowno92</v>
      </c>
      <c r="C22782" s="8" t="s">
        <v>9232</v>
      </c>
      <c r="D22782" s="8">
        <v>2</v>
      </c>
      <c r="E22782" s="8">
        <v>0</v>
      </c>
      <c r="F22782" s="8">
        <v>2600</v>
      </c>
    </row>
    <row r="22783" spans="1:6" ht="12.75">
      <c r="A22783" s="8">
        <v>43894.101689814815</v>
      </c>
      <c r="B22783" s="8" t="str">
        <f>HYPERLINK("https://twitter.com/WSuparmo","@WSuparmo")</f>
        <v>@WSuparmo</v>
      </c>
      <c r="C22783" s="8" t="s">
        <v>9233</v>
      </c>
      <c r="D22783" s="8">
        <v>0</v>
      </c>
      <c r="E22783" s="8">
        <v>0</v>
      </c>
      <c r="F22783" s="8">
        <v>49</v>
      </c>
    </row>
    <row r="22784" spans="1:6" ht="12.75">
      <c r="A22784" s="8">
        <v>43894.101238425923</v>
      </c>
      <c r="B22784" s="8" t="str">
        <f>HYPERLINK("https://twitter.com/olencieile","@olencieile")</f>
        <v>@olencieile</v>
      </c>
      <c r="C22784" s="8" t="s">
        <v>9234</v>
      </c>
      <c r="D22784" s="8">
        <v>0</v>
      </c>
      <c r="E22784" s="8">
        <v>0</v>
      </c>
      <c r="F22784" s="8">
        <v>2963</v>
      </c>
    </row>
    <row r="22785" spans="1:6" ht="12.75">
      <c r="A22785" s="8">
        <v>43894.099861111114</v>
      </c>
      <c r="B22785" s="8" t="str">
        <f>HYPERLINK("https://twitter.com/xMNFx","@xMNFx")</f>
        <v>@xMNFx</v>
      </c>
      <c r="C22785" s="8" t="s">
        <v>9137</v>
      </c>
      <c r="D22785" s="8">
        <v>7</v>
      </c>
      <c r="E22785" s="8">
        <v>0</v>
      </c>
      <c r="F22785" s="8">
        <v>348</v>
      </c>
    </row>
    <row r="22786" spans="1:6" ht="12.75">
      <c r="A22786" s="8">
        <v>43894.099039351851</v>
      </c>
      <c r="B22786" s="8" t="str">
        <f>HYPERLINK("https://twitter.com/ferry_adamhar","@ferry_adamhar")</f>
        <v>@ferry_adamhar</v>
      </c>
      <c r="C22786" s="8" t="s">
        <v>9235</v>
      </c>
      <c r="D22786" s="8">
        <v>0</v>
      </c>
      <c r="E22786" s="8">
        <v>0</v>
      </c>
      <c r="F22786" s="8">
        <v>10</v>
      </c>
    </row>
    <row r="22787" spans="1:6" ht="12.75">
      <c r="A22787" s="8">
        <v>43894.09888888889</v>
      </c>
      <c r="B22787" s="8" t="str">
        <f>HYPERLINK("https://twitter.com/inokchandra","@inokchandra")</f>
        <v>@inokchandra</v>
      </c>
      <c r="C22787" s="8" t="s">
        <v>2199</v>
      </c>
      <c r="D22787" s="8">
        <v>9055</v>
      </c>
      <c r="E22787" s="8">
        <v>0</v>
      </c>
      <c r="F22787" s="8">
        <v>192</v>
      </c>
    </row>
    <row r="22788" spans="1:6" ht="12.75">
      <c r="A22788" s="8">
        <v>43894.09878472222</v>
      </c>
      <c r="B22788" s="8" t="str">
        <f>HYPERLINK("https://twitter.com/WSuparmo","@WSuparmo")</f>
        <v>@WSuparmo</v>
      </c>
      <c r="C22788" s="8" t="s">
        <v>9236</v>
      </c>
      <c r="D22788" s="8">
        <v>0</v>
      </c>
      <c r="E22788" s="8">
        <v>0</v>
      </c>
      <c r="F22788" s="8">
        <v>49</v>
      </c>
    </row>
    <row r="22789" spans="1:6" ht="12.75">
      <c r="A22789" s="8">
        <v>43894.098449074074</v>
      </c>
      <c r="B22789" s="8" t="str">
        <f>HYPERLINK("https://twitter.com/merdekadotcom","@merdekadotcom")</f>
        <v>@merdekadotcom</v>
      </c>
      <c r="C22789" s="8" t="s">
        <v>9237</v>
      </c>
      <c r="D22789" s="8">
        <v>0</v>
      </c>
      <c r="E22789" s="8">
        <v>0</v>
      </c>
      <c r="F22789" s="8">
        <v>231558</v>
      </c>
    </row>
    <row r="22790" spans="1:6" ht="12.75">
      <c r="A22790" s="8">
        <v>43894.098252314812</v>
      </c>
      <c r="B22790" s="8" t="str">
        <f>HYPERLINK("https://twitter.com/alfanuel","@alfanuel")</f>
        <v>@alfanuel</v>
      </c>
      <c r="C22790" s="8" t="s">
        <v>9238</v>
      </c>
      <c r="D22790" s="8">
        <v>214</v>
      </c>
      <c r="E22790" s="8">
        <v>0</v>
      </c>
      <c r="F22790" s="8">
        <v>17</v>
      </c>
    </row>
    <row r="22791" spans="1:6" ht="12.75">
      <c r="A22791" s="8">
        <v>43894.098171296297</v>
      </c>
      <c r="B22791" s="8" t="str">
        <f>HYPERLINK("https://twitter.com/mei_lyndaa","@mei_lyndaa")</f>
        <v>@mei_lyndaa</v>
      </c>
      <c r="C22791" s="8" t="s">
        <v>9137</v>
      </c>
      <c r="D22791" s="8">
        <v>7</v>
      </c>
      <c r="E22791" s="8">
        <v>0</v>
      </c>
      <c r="F22791" s="8">
        <v>1006</v>
      </c>
    </row>
    <row r="22792" spans="1:6" ht="12.75">
      <c r="A22792" s="8">
        <v>43894.097731481481</v>
      </c>
      <c r="B22792" s="8" t="str">
        <f>HYPERLINK("https://twitter.com/RBPR01","@RBPR01")</f>
        <v>@RBPR01</v>
      </c>
      <c r="C22792" s="8" t="s">
        <v>9239</v>
      </c>
      <c r="D22792" s="8">
        <v>2</v>
      </c>
      <c r="E22792" s="8">
        <v>0</v>
      </c>
      <c r="F22792" s="8">
        <v>337</v>
      </c>
    </row>
    <row r="22793" spans="1:6" ht="12.75">
      <c r="A22793" s="8">
        <v>43894.096990740742</v>
      </c>
      <c r="B22793" s="8" t="str">
        <f>HYPERLINK("https://twitter.com/Budihar21525608","@Budihar21525608")</f>
        <v>@Budihar21525608</v>
      </c>
      <c r="C22793" s="8" t="s">
        <v>9240</v>
      </c>
      <c r="D22793" s="8">
        <v>3</v>
      </c>
      <c r="E22793" s="8">
        <v>0</v>
      </c>
      <c r="F22793" s="8">
        <v>6302</v>
      </c>
    </row>
    <row r="22794" spans="1:6" ht="12.75">
      <c r="A22794" s="8">
        <v>43894.095636574071</v>
      </c>
      <c r="B22794" s="8" t="str">
        <f>HYPERLINK("https://twitter.com/KBRIPanamaCity","@KBRIPanamaCity")</f>
        <v>@KBRIPanamaCity</v>
      </c>
      <c r="C22794" s="8" t="s">
        <v>9241</v>
      </c>
      <c r="D22794" s="8">
        <v>0</v>
      </c>
      <c r="E22794" s="8">
        <v>0</v>
      </c>
      <c r="F22794" s="8">
        <v>1290</v>
      </c>
    </row>
    <row r="22795" spans="1:6" ht="12.75">
      <c r="A22795" s="8">
        <v>43894.094456018516</v>
      </c>
      <c r="B22795" s="8" t="str">
        <f>HYPERLINK("https://twitter.com/lohjeni","@lohjeni")</f>
        <v>@lohjeni</v>
      </c>
      <c r="C22795" s="8" t="s">
        <v>6315</v>
      </c>
      <c r="D22795" s="8">
        <v>143</v>
      </c>
      <c r="E22795" s="8">
        <v>0</v>
      </c>
      <c r="F22795" s="8">
        <v>150</v>
      </c>
    </row>
    <row r="22796" spans="1:6" ht="12.75">
      <c r="A22796" s="8">
        <v>43894.093993055554</v>
      </c>
      <c r="B22796" s="8" t="str">
        <f>HYPERLINK("https://twitter.com/RoroMenduttt","@RoroMenduttt")</f>
        <v>@RoroMenduttt</v>
      </c>
      <c r="C22796" s="8" t="s">
        <v>9242</v>
      </c>
      <c r="D22796" s="8">
        <v>0</v>
      </c>
      <c r="E22796" s="8">
        <v>0</v>
      </c>
      <c r="F22796" s="8">
        <v>4455</v>
      </c>
    </row>
    <row r="22797" spans="1:6" ht="12.75">
      <c r="A22797" s="8">
        <v>43894.093171296292</v>
      </c>
      <c r="B22797" s="8" t="str">
        <f>HYPERLINK("https://twitter.com/DrlRambe","@DrlRambe")</f>
        <v>@DrlRambe</v>
      </c>
      <c r="C22797" s="8" t="s">
        <v>9137</v>
      </c>
      <c r="D22797" s="8">
        <v>7</v>
      </c>
      <c r="E22797" s="8">
        <v>0</v>
      </c>
      <c r="F22797" s="8">
        <v>201</v>
      </c>
    </row>
    <row r="22798" spans="1:6" ht="12.75">
      <c r="A22798" s="8">
        <v>43894.092499999999</v>
      </c>
      <c r="B22798" s="8" t="str">
        <f>HYPERLINK("https://twitter.com/jwhsibarani","@jwhsibarani")</f>
        <v>@jwhsibarani</v>
      </c>
      <c r="C22798" s="8" t="s">
        <v>6315</v>
      </c>
      <c r="D22798" s="8">
        <v>143</v>
      </c>
      <c r="E22798" s="8">
        <v>0</v>
      </c>
      <c r="F22798" s="8">
        <v>77</v>
      </c>
    </row>
    <row r="22799" spans="1:6" ht="12.75">
      <c r="A22799" s="8">
        <v>43894.092175925922</v>
      </c>
      <c r="B22799" s="8" t="str">
        <f>HYPERLINK("https://twitter.com/AmstrongBiring","@AmstrongBiring")</f>
        <v>@AmstrongBiring</v>
      </c>
      <c r="C22799" s="8" t="s">
        <v>9243</v>
      </c>
      <c r="D22799" s="8">
        <v>1</v>
      </c>
      <c r="E22799" s="8">
        <v>0</v>
      </c>
      <c r="F22799" s="8">
        <v>1989</v>
      </c>
    </row>
    <row r="22800" spans="1:6" ht="12.75">
      <c r="A22800" s="8">
        <v>43894.090891203705</v>
      </c>
      <c r="B22800" s="8" t="str">
        <f>HYPERLINK("https://twitter.com/LoneWind3","@LoneWind3")</f>
        <v>@LoneWind3</v>
      </c>
      <c r="C22800" s="8" t="s">
        <v>9244</v>
      </c>
      <c r="D22800" s="8">
        <v>0</v>
      </c>
      <c r="E22800" s="8">
        <v>0</v>
      </c>
      <c r="F22800" s="8">
        <v>0</v>
      </c>
    </row>
    <row r="22801" spans="1:6" ht="12.75">
      <c r="A22801" s="8">
        <v>43894.09070601852</v>
      </c>
      <c r="B22801" s="8" t="str">
        <f>HYPERLINK("https://twitter.com/FerriNanto","@FerriNanto")</f>
        <v>@FerriNanto</v>
      </c>
      <c r="C22801" s="8" t="s">
        <v>3257</v>
      </c>
      <c r="D22801" s="8">
        <v>43</v>
      </c>
      <c r="E22801" s="8">
        <v>0</v>
      </c>
      <c r="F22801" s="8">
        <v>1167</v>
      </c>
    </row>
    <row r="22802" spans="1:6" ht="12.75">
      <c r="A22802" s="8">
        <v>43894.089826388888</v>
      </c>
      <c r="B22802" s="8" t="str">
        <f>HYPERLINK("https://twitter.com/Jurnal79662474","@Jurnal79662474")</f>
        <v>@Jurnal79662474</v>
      </c>
      <c r="C22802" s="8" t="s">
        <v>8901</v>
      </c>
      <c r="D22802" s="8">
        <v>203</v>
      </c>
      <c r="E22802" s="8">
        <v>0</v>
      </c>
      <c r="F22802" s="8">
        <v>38</v>
      </c>
    </row>
    <row r="22803" spans="1:6" ht="12.75">
      <c r="A22803" s="8">
        <v>43894.089583333334</v>
      </c>
      <c r="B22803" s="8" t="str">
        <f>HYPERLINK("https://twitter.com/LoneWind3","@LoneWind3")</f>
        <v>@LoneWind3</v>
      </c>
      <c r="C22803" s="8" t="s">
        <v>9245</v>
      </c>
      <c r="D22803" s="8">
        <v>0</v>
      </c>
      <c r="E22803" s="8">
        <v>0</v>
      </c>
      <c r="F22803" s="8">
        <v>0</v>
      </c>
    </row>
    <row r="22804" spans="1:6" ht="12.75">
      <c r="A22804" s="8">
        <v>43894.089386574073</v>
      </c>
      <c r="B22804" s="8" t="str">
        <f>HYPERLINK("https://twitter.com/Lupusrex_","@Lupusrex_")</f>
        <v>@Lupusrex_</v>
      </c>
      <c r="C22804" s="8" t="s">
        <v>6832</v>
      </c>
      <c r="D22804" s="8">
        <v>1050</v>
      </c>
      <c r="E22804" s="8">
        <v>0</v>
      </c>
      <c r="F22804" s="8">
        <v>10</v>
      </c>
    </row>
    <row r="22805" spans="1:6" ht="12.75">
      <c r="A22805" s="8">
        <v>43894.089259259257</v>
      </c>
      <c r="B22805" s="8" t="str">
        <f>HYPERLINK("https://twitter.com/tempodotco","@tempodotco")</f>
        <v>@tempodotco</v>
      </c>
      <c r="C22805" s="8" t="s">
        <v>9246</v>
      </c>
      <c r="D22805" s="8">
        <v>0</v>
      </c>
      <c r="E22805" s="8">
        <v>1</v>
      </c>
      <c r="F22805" s="8">
        <v>1713531</v>
      </c>
    </row>
    <row r="22806" spans="1:6" ht="12.75">
      <c r="A22806" s="8">
        <v>43894.088553240741</v>
      </c>
      <c r="B22806" s="8" t="str">
        <f>HYPERLINK("https://twitter.com/mucry_singh","@mucry_singh")</f>
        <v>@mucry_singh</v>
      </c>
      <c r="C22806" s="8" t="s">
        <v>4477</v>
      </c>
      <c r="D22806" s="8">
        <v>1232</v>
      </c>
      <c r="E22806" s="8">
        <v>0</v>
      </c>
      <c r="F22806" s="8">
        <v>1033</v>
      </c>
    </row>
    <row r="22807" spans="1:6" ht="12.75">
      <c r="A22807" s="8">
        <v>43894.087245370371</v>
      </c>
      <c r="B22807" s="8" t="str">
        <f>HYPERLINK("https://twitter.com/raniaaulfa","@raniaaulfa")</f>
        <v>@raniaaulfa</v>
      </c>
      <c r="C22807" s="8" t="s">
        <v>2962</v>
      </c>
      <c r="D22807" s="8">
        <v>5627</v>
      </c>
      <c r="E22807" s="8">
        <v>0</v>
      </c>
      <c r="F22807" s="8">
        <v>286</v>
      </c>
    </row>
    <row r="22808" spans="1:6" ht="12.75">
      <c r="A22808" s="8">
        <v>43894.086655092593</v>
      </c>
      <c r="B22808" s="8" t="str">
        <f>HYPERLINK("https://twitter.com/abah060970921","@abah060970921")</f>
        <v>@abah060970921</v>
      </c>
      <c r="C22808" s="8" t="s">
        <v>1970</v>
      </c>
      <c r="D22808" s="8">
        <v>1293</v>
      </c>
      <c r="E22808" s="8">
        <v>0</v>
      </c>
      <c r="F22808" s="8">
        <v>112</v>
      </c>
    </row>
    <row r="22809" spans="1:6" ht="12.75">
      <c r="A22809" s="8">
        <v>43894.086226851854</v>
      </c>
      <c r="B22809" s="8" t="str">
        <f>HYPERLINK("https://twitter.com/idpenamini","@idpenamini")</f>
        <v>@idpenamini</v>
      </c>
      <c r="C22809" s="8" t="s">
        <v>9247</v>
      </c>
      <c r="D22809" s="8">
        <v>0</v>
      </c>
      <c r="E22809" s="8">
        <v>0</v>
      </c>
      <c r="F22809" s="8">
        <v>173</v>
      </c>
    </row>
    <row r="22810" spans="1:6" ht="12.75">
      <c r="A22810" s="8">
        <v>43894.085821759261</v>
      </c>
      <c r="B22810" s="8" t="str">
        <f t="shared" ref="B22810:B22811" si="336">HYPERLINK("https://twitter.com/indonesiainist","@indonesiainist")</f>
        <v>@indonesiainist</v>
      </c>
      <c r="C22810" s="8" t="s">
        <v>9248</v>
      </c>
      <c r="D22810" s="8">
        <v>28</v>
      </c>
      <c r="E22810" s="8">
        <v>0</v>
      </c>
      <c r="F22810" s="8">
        <v>702</v>
      </c>
    </row>
    <row r="22811" spans="1:6" ht="12.75">
      <c r="A22811" s="8">
        <v>43894.085682870369</v>
      </c>
      <c r="B22811" s="8" t="str">
        <f t="shared" si="336"/>
        <v>@indonesiainist</v>
      </c>
      <c r="C22811" s="8" t="s">
        <v>8917</v>
      </c>
      <c r="D22811" s="8">
        <v>96</v>
      </c>
      <c r="E22811" s="8">
        <v>0</v>
      </c>
      <c r="F22811" s="8">
        <v>702</v>
      </c>
    </row>
    <row r="22812" spans="1:6" ht="12.75">
      <c r="A22812" s="8">
        <v>43894.08384259259</v>
      </c>
      <c r="B22812" s="8" t="str">
        <f>HYPERLINK("https://twitter.com/J_Aryoko","@J_Aryoko")</f>
        <v>@J_Aryoko</v>
      </c>
      <c r="C22812" s="8" t="s">
        <v>6315</v>
      </c>
      <c r="D22812" s="8">
        <v>142</v>
      </c>
      <c r="E22812" s="8">
        <v>0</v>
      </c>
      <c r="F22812" s="8">
        <v>1416</v>
      </c>
    </row>
    <row r="22813" spans="1:6" ht="12.75">
      <c r="A22813" s="8">
        <v>43894.082662037035</v>
      </c>
      <c r="B22813" s="8" t="str">
        <f>HYPERLINK("https://twitter.com/Budihar21525608","@Budihar21525608")</f>
        <v>@Budihar21525608</v>
      </c>
      <c r="C22813" s="8" t="s">
        <v>9249</v>
      </c>
      <c r="D22813" s="8">
        <v>1</v>
      </c>
      <c r="E22813" s="8">
        <v>0</v>
      </c>
      <c r="F22813" s="8">
        <v>6304</v>
      </c>
    </row>
    <row r="22814" spans="1:6" ht="12.75">
      <c r="A22814" s="8">
        <v>43894.081967592589</v>
      </c>
      <c r="B22814" s="8" t="str">
        <f>HYPERLINK("https://twitter.com/RizkyJudanto","@RizkyJudanto")</f>
        <v>@RizkyJudanto</v>
      </c>
      <c r="C22814" s="8" t="s">
        <v>8970</v>
      </c>
      <c r="D22814" s="8">
        <v>122</v>
      </c>
      <c r="E22814" s="8">
        <v>0</v>
      </c>
      <c r="F22814" s="8">
        <v>337</v>
      </c>
    </row>
    <row r="22815" spans="1:6" ht="12.75">
      <c r="A22815" s="8">
        <v>43894.081469907411</v>
      </c>
      <c r="B22815" s="8" t="str">
        <f>HYPERLINK("https://twitter.com/masgiperrr","@masgiperrr")</f>
        <v>@masgiperrr</v>
      </c>
      <c r="C22815" s="8" t="s">
        <v>9250</v>
      </c>
      <c r="D22815" s="8">
        <v>0</v>
      </c>
      <c r="E22815" s="8">
        <v>0</v>
      </c>
      <c r="F22815" s="8">
        <v>30</v>
      </c>
    </row>
    <row r="22816" spans="1:6" ht="12.75">
      <c r="A22816" s="8">
        <v>43894.081157407403</v>
      </c>
      <c r="B22816" s="8" t="str">
        <f>HYPERLINK("https://twitter.com/mulyadiasep64","@mulyadiasep64")</f>
        <v>@mulyadiasep64</v>
      </c>
      <c r="C22816" s="8" t="s">
        <v>1970</v>
      </c>
      <c r="D22816" s="8">
        <v>1293</v>
      </c>
      <c r="E22816" s="8">
        <v>0</v>
      </c>
      <c r="F22816" s="8">
        <v>110</v>
      </c>
    </row>
    <row r="22817" spans="1:6" ht="12.75">
      <c r="A22817" s="8">
        <v>43894.080937499995</v>
      </c>
      <c r="B22817" s="8" t="str">
        <f>HYPERLINK("https://twitter.com/Indianandabori1","@Indianandabori1")</f>
        <v>@Indianandabori1</v>
      </c>
      <c r="C22817" s="8" t="s">
        <v>9251</v>
      </c>
      <c r="D22817" s="8">
        <v>0</v>
      </c>
      <c r="E22817" s="8">
        <v>0</v>
      </c>
      <c r="F22817" s="8">
        <v>2</v>
      </c>
    </row>
    <row r="22818" spans="1:6" ht="12.75">
      <c r="A22818" s="8">
        <v>43894.080879629633</v>
      </c>
      <c r="B22818" s="8" t="str">
        <f>HYPERLINK("https://twitter.com/nius77","@nius77")</f>
        <v>@nius77</v>
      </c>
      <c r="C22818" s="8" t="s">
        <v>6315</v>
      </c>
      <c r="D22818" s="8">
        <v>142</v>
      </c>
      <c r="E22818" s="8">
        <v>0</v>
      </c>
      <c r="F22818" s="8">
        <v>3369</v>
      </c>
    </row>
    <row r="22819" spans="1:6" ht="12.75">
      <c r="A22819" s="8">
        <v>43894.080717592587</v>
      </c>
      <c r="B22819" s="8" t="str">
        <f>HYPERLINK("https://twitter.com/Kanou_prastyanu","@Kanou_prastyanu")</f>
        <v>@Kanou_prastyanu</v>
      </c>
      <c r="C22819" s="8" t="s">
        <v>1986</v>
      </c>
      <c r="D22819" s="8">
        <v>841</v>
      </c>
      <c r="E22819" s="8">
        <v>0</v>
      </c>
      <c r="F22819" s="8">
        <v>80</v>
      </c>
    </row>
    <row r="22820" spans="1:6" ht="12.75">
      <c r="A22820" s="8">
        <v>43894.080694444448</v>
      </c>
      <c r="B22820" s="8" t="str">
        <f>HYPERLINK("https://twitter.com/and1deRis","@and1deRis")</f>
        <v>@and1deRis</v>
      </c>
      <c r="C22820" s="8" t="s">
        <v>685</v>
      </c>
      <c r="D22820" s="8">
        <v>168</v>
      </c>
      <c r="E22820" s="8">
        <v>0</v>
      </c>
      <c r="F22820" s="8">
        <v>4670</v>
      </c>
    </row>
    <row r="22821" spans="1:6" ht="12.75">
      <c r="A22821" s="8">
        <v>43894.079282407409</v>
      </c>
      <c r="B22821" s="8" t="str">
        <f>HYPERLINK("https://twitter.com/Ayuba57027969","@Ayuba57027969")</f>
        <v>@Ayuba57027969</v>
      </c>
      <c r="C22821" s="8" t="s">
        <v>9252</v>
      </c>
      <c r="D22821" s="8">
        <v>0</v>
      </c>
      <c r="E22821" s="8">
        <v>0</v>
      </c>
      <c r="F22821" s="8">
        <v>0</v>
      </c>
    </row>
    <row r="22822" spans="1:6" ht="12.75">
      <c r="A22822" s="8">
        <v>43894.078645833331</v>
      </c>
      <c r="B22822" s="8" t="str">
        <f>HYPERLINK("https://twitter.com/MujahidAlfatih1","@MujahidAlfatih1")</f>
        <v>@MujahidAlfatih1</v>
      </c>
      <c r="C22822" s="8" t="s">
        <v>6827</v>
      </c>
      <c r="D22822" s="8">
        <v>41</v>
      </c>
      <c r="E22822" s="8">
        <v>0</v>
      </c>
      <c r="F22822" s="8">
        <v>1093</v>
      </c>
    </row>
    <row r="22823" spans="1:6" ht="12.75">
      <c r="A22823" s="8">
        <v>43894.077951388885</v>
      </c>
      <c r="B22823" s="8" t="str">
        <f>HYPERLINK("https://twitter.com/tymssss","@tymssss")</f>
        <v>@tymssss</v>
      </c>
      <c r="C22823" s="8" t="s">
        <v>9253</v>
      </c>
      <c r="D22823" s="8">
        <v>0</v>
      </c>
      <c r="E22823" s="8">
        <v>0</v>
      </c>
      <c r="F22823" s="8">
        <v>98</v>
      </c>
    </row>
    <row r="22824" spans="1:6" ht="12.75">
      <c r="A22824" s="8">
        <v>43894.076990740738</v>
      </c>
      <c r="B22824" s="8" t="str">
        <f t="shared" ref="B22824:B22825" si="337">HYPERLINK("https://twitter.com/My_LoveNebe","@My_LoveNebe")</f>
        <v>@My_LoveNebe</v>
      </c>
      <c r="C22824" s="8" t="s">
        <v>8868</v>
      </c>
      <c r="D22824" s="8">
        <v>179</v>
      </c>
      <c r="E22824" s="8">
        <v>0</v>
      </c>
      <c r="F22824" s="8">
        <v>18124</v>
      </c>
    </row>
    <row r="22825" spans="1:6" ht="12.75">
      <c r="A22825" s="8">
        <v>43894.076851851853</v>
      </c>
      <c r="B22825" s="8" t="str">
        <f t="shared" si="337"/>
        <v>@My_LoveNebe</v>
      </c>
      <c r="C22825" s="8" t="s">
        <v>3257</v>
      </c>
      <c r="D22825" s="8">
        <v>42</v>
      </c>
      <c r="E22825" s="8">
        <v>0</v>
      </c>
      <c r="F22825" s="8">
        <v>18124</v>
      </c>
    </row>
    <row r="22826" spans="1:6" ht="12.75">
      <c r="A22826" s="8">
        <v>43894.075844907406</v>
      </c>
      <c r="B22826" s="8" t="str">
        <f>HYPERLINK("https://twitter.com/FadliUlath","@FadliUlath")</f>
        <v>@FadliUlath</v>
      </c>
      <c r="C22826" s="8" t="s">
        <v>9254</v>
      </c>
      <c r="D22826" s="8">
        <v>0</v>
      </c>
      <c r="E22826" s="8">
        <v>0</v>
      </c>
      <c r="F22826" s="8">
        <v>1</v>
      </c>
    </row>
    <row r="22827" spans="1:6" ht="12.75">
      <c r="A22827" s="8">
        <v>43894.075821759259</v>
      </c>
      <c r="B22827" s="8" t="str">
        <f t="shared" ref="B22827:B22829" si="338">HYPERLINK("https://twitter.com/77bayoe","@77bayoe")</f>
        <v>@77bayoe</v>
      </c>
      <c r="C22827" s="8" t="s">
        <v>9146</v>
      </c>
      <c r="D22827" s="8">
        <v>71</v>
      </c>
      <c r="E22827" s="8">
        <v>0</v>
      </c>
      <c r="F22827" s="8">
        <v>2178</v>
      </c>
    </row>
    <row r="22828" spans="1:6" ht="12.75">
      <c r="A22828" s="8">
        <v>43894.073634259257</v>
      </c>
      <c r="B22828" s="8" t="str">
        <f t="shared" si="338"/>
        <v>@77bayoe</v>
      </c>
      <c r="C22828" s="8" t="s">
        <v>3257</v>
      </c>
      <c r="D22828" s="8">
        <v>42</v>
      </c>
      <c r="E22828" s="8">
        <v>0</v>
      </c>
      <c r="F22828" s="8">
        <v>2178</v>
      </c>
    </row>
    <row r="22829" spans="1:6" ht="12.75">
      <c r="A22829" s="8">
        <v>43894.073344907403</v>
      </c>
      <c r="B22829" s="8" t="str">
        <f t="shared" si="338"/>
        <v>@77bayoe</v>
      </c>
      <c r="C22829" s="8" t="s">
        <v>8868</v>
      </c>
      <c r="D22829" s="8">
        <v>179</v>
      </c>
      <c r="E22829" s="8">
        <v>0</v>
      </c>
      <c r="F22829" s="8">
        <v>2178</v>
      </c>
    </row>
    <row r="22830" spans="1:6" ht="12.75">
      <c r="A22830" s="8">
        <v>43894.071736111116</v>
      </c>
      <c r="B22830" s="8" t="str">
        <f>HYPERLINK("https://twitter.com/zmsfsss","@zmsfsss")</f>
        <v>@zmsfsss</v>
      </c>
      <c r="C22830" s="8" t="s">
        <v>2199</v>
      </c>
      <c r="D22830" s="8">
        <v>9050</v>
      </c>
      <c r="E22830" s="8">
        <v>0</v>
      </c>
      <c r="F22830" s="8">
        <v>585</v>
      </c>
    </row>
    <row r="22831" spans="1:6" ht="12.75">
      <c r="A22831" s="8">
        <v>43894.070694444439</v>
      </c>
      <c r="B22831" s="8" t="str">
        <f>HYPERLINK("https://twitter.com/Maf1423629591","@Maf1423629591")</f>
        <v>@Maf1423629591</v>
      </c>
      <c r="C22831" s="8" t="s">
        <v>9255</v>
      </c>
      <c r="D22831" s="8">
        <v>0</v>
      </c>
      <c r="E22831" s="8">
        <v>0</v>
      </c>
      <c r="F22831" s="8">
        <v>0</v>
      </c>
    </row>
    <row r="22832" spans="1:6" ht="12.75">
      <c r="A22832" s="8">
        <v>43894.070138888885</v>
      </c>
      <c r="B22832" s="8" t="str">
        <f>HYPERLINK("https://twitter.com/Premiere_Magz","@Premiere_Magz")</f>
        <v>@Premiere_Magz</v>
      </c>
      <c r="C22832" s="8" t="s">
        <v>9256</v>
      </c>
      <c r="D22832" s="8">
        <v>2</v>
      </c>
      <c r="E22832" s="8">
        <v>0</v>
      </c>
      <c r="F22832" s="8">
        <v>1709</v>
      </c>
    </row>
    <row r="22833" spans="1:6" ht="12.75">
      <c r="A22833" s="8">
        <v>43894.069039351853</v>
      </c>
      <c r="B22833" s="8" t="str">
        <f>HYPERLINK("https://twitter.com/rikrokjr","@rikrokjr")</f>
        <v>@rikrokjr</v>
      </c>
      <c r="C22833" s="8" t="s">
        <v>9257</v>
      </c>
      <c r="D22833" s="8">
        <v>1</v>
      </c>
      <c r="E22833" s="8">
        <v>0</v>
      </c>
      <c r="F22833" s="8">
        <v>504</v>
      </c>
    </row>
    <row r="22834" spans="1:6" ht="12.75">
      <c r="A22834" s="8">
        <v>43894.067164351851</v>
      </c>
      <c r="B22834" s="8" t="str">
        <f>HYPERLINK("https://twitter.com/up2udech","@up2udech")</f>
        <v>@up2udech</v>
      </c>
      <c r="C22834" s="8" t="s">
        <v>8843</v>
      </c>
      <c r="D22834" s="8">
        <v>93</v>
      </c>
      <c r="E22834" s="8">
        <v>0</v>
      </c>
      <c r="F22834" s="8">
        <v>32</v>
      </c>
    </row>
    <row r="22835" spans="1:6" ht="12.75">
      <c r="A22835" s="8">
        <v>43894.066944444443</v>
      </c>
      <c r="B22835" s="8" t="str">
        <f>HYPERLINK("https://twitter.com/BabangOwe","@BabangOwe")</f>
        <v>@BabangOwe</v>
      </c>
      <c r="C22835" s="8" t="s">
        <v>9258</v>
      </c>
      <c r="D22835" s="8">
        <v>0</v>
      </c>
      <c r="E22835" s="8">
        <v>0</v>
      </c>
      <c r="F22835" s="8">
        <v>41</v>
      </c>
    </row>
    <row r="22836" spans="1:6" ht="12.75">
      <c r="A22836" s="8">
        <v>43894.066655092596</v>
      </c>
      <c r="B22836" s="8" t="str">
        <f>HYPERLINK("https://twitter.com/nauratsalits","@nauratsalits")</f>
        <v>@nauratsalits</v>
      </c>
      <c r="C22836" s="8" t="s">
        <v>9259</v>
      </c>
      <c r="D22836" s="8">
        <v>0</v>
      </c>
      <c r="E22836" s="8">
        <v>0</v>
      </c>
      <c r="F22836" s="8">
        <v>154</v>
      </c>
    </row>
    <row r="22837" spans="1:6" ht="12.75">
      <c r="A22837" s="8">
        <v>43894.066562499997</v>
      </c>
      <c r="B22837" s="8" t="str">
        <f>HYPERLINK("https://twitter.com/sengyouni","@sengyouni")</f>
        <v>@sengyouni</v>
      </c>
      <c r="C22837" s="8" t="s">
        <v>9137</v>
      </c>
      <c r="D22837" s="8">
        <v>4</v>
      </c>
      <c r="E22837" s="8">
        <v>0</v>
      </c>
      <c r="F22837" s="8">
        <v>313</v>
      </c>
    </row>
    <row r="22838" spans="1:6" ht="12.75">
      <c r="A22838" s="8">
        <v>43894.066458333335</v>
      </c>
      <c r="B22838" s="8" t="str">
        <f>HYPERLINK("https://twitter.com/MRabimayu","@MRabimayu")</f>
        <v>@MRabimayu</v>
      </c>
      <c r="C22838" s="8" t="s">
        <v>1986</v>
      </c>
      <c r="D22838" s="8">
        <v>841</v>
      </c>
      <c r="E22838" s="8">
        <v>0</v>
      </c>
      <c r="F22838" s="8">
        <v>105</v>
      </c>
    </row>
    <row r="22839" spans="1:6" ht="12.75">
      <c r="A22839" s="8">
        <v>43894.06631944445</v>
      </c>
      <c r="B22839" s="8" t="str">
        <f>HYPERLINK("https://twitter.com/bij_zonder_","@bij_zonder_")</f>
        <v>@bij_zonder_</v>
      </c>
      <c r="C22839" s="8" t="s">
        <v>9137</v>
      </c>
      <c r="D22839" s="8">
        <v>4</v>
      </c>
      <c r="E22839" s="8">
        <v>0</v>
      </c>
      <c r="F22839" s="8">
        <v>279</v>
      </c>
    </row>
    <row r="22840" spans="1:6" ht="12.75">
      <c r="A22840" s="8">
        <v>43894.065578703703</v>
      </c>
      <c r="B22840" s="8" t="str">
        <f>HYPERLINK("https://twitter.com/BeritaCOVID19","@BeritaCOVID19")</f>
        <v>@BeritaCOVID19</v>
      </c>
      <c r="C22840" s="8" t="s">
        <v>9260</v>
      </c>
      <c r="D22840" s="8">
        <v>4</v>
      </c>
      <c r="E22840" s="8">
        <v>8</v>
      </c>
      <c r="F22840" s="8">
        <v>16062</v>
      </c>
    </row>
    <row r="22841" spans="1:6" ht="12.75">
      <c r="A22841" s="8">
        <v>43894.064641203702</v>
      </c>
      <c r="B22841" s="8" t="str">
        <f>HYPERLINK("https://twitter.com/miraperma","@miraperma")</f>
        <v>@miraperma</v>
      </c>
      <c r="C22841" s="8" t="s">
        <v>9088</v>
      </c>
      <c r="D22841" s="8">
        <v>51</v>
      </c>
      <c r="E22841" s="8">
        <v>0</v>
      </c>
      <c r="F22841" s="8">
        <v>236</v>
      </c>
    </row>
    <row r="22842" spans="1:6" ht="12.75">
      <c r="A22842" s="8">
        <v>43894.064618055556</v>
      </c>
      <c r="B22842" s="8" t="str">
        <f t="shared" ref="B22842:B22843" si="339">HYPERLINK("https://twitter.com/Baliantaranews","@Baliantaranews")</f>
        <v>@Baliantaranews</v>
      </c>
      <c r="C22842" s="8" t="s">
        <v>9261</v>
      </c>
      <c r="D22842" s="8">
        <v>1</v>
      </c>
      <c r="E22842" s="8">
        <v>0</v>
      </c>
      <c r="F22842" s="8">
        <v>744</v>
      </c>
    </row>
    <row r="22843" spans="1:6" ht="12.75">
      <c r="A22843" s="8">
        <v>43894.06459490741</v>
      </c>
      <c r="B22843" s="8" t="str">
        <f t="shared" si="339"/>
        <v>@Baliantaranews</v>
      </c>
      <c r="C22843" s="8" t="s">
        <v>9262</v>
      </c>
      <c r="D22843" s="8">
        <v>1</v>
      </c>
      <c r="E22843" s="8">
        <v>0</v>
      </c>
      <c r="F22843" s="8">
        <v>744</v>
      </c>
    </row>
    <row r="22844" spans="1:6" ht="12.75">
      <c r="A22844" s="8">
        <v>43894.063946759255</v>
      </c>
      <c r="B22844" s="8" t="str">
        <f t="shared" ref="B22844:B22845" si="340">HYPERLINK("https://twitter.com/antaranews_bali","@antaranews_bali")</f>
        <v>@antaranews_bali</v>
      </c>
      <c r="C22844" s="8" t="s">
        <v>9263</v>
      </c>
      <c r="D22844" s="8">
        <v>1</v>
      </c>
      <c r="E22844" s="8">
        <v>0</v>
      </c>
      <c r="F22844" s="8">
        <v>4938</v>
      </c>
    </row>
    <row r="22845" spans="1:6" ht="12.75">
      <c r="A22845" s="8">
        <v>43894.063923611116</v>
      </c>
      <c r="B22845" s="8" t="str">
        <f t="shared" si="340"/>
        <v>@antaranews_bali</v>
      </c>
      <c r="C22845" s="8" t="s">
        <v>9264</v>
      </c>
      <c r="D22845" s="8">
        <v>1</v>
      </c>
      <c r="E22845" s="8">
        <v>0</v>
      </c>
      <c r="F22845" s="8">
        <v>4938</v>
      </c>
    </row>
    <row r="22846" spans="1:6" ht="12.75">
      <c r="A22846" s="8">
        <v>43894.063483796301</v>
      </c>
      <c r="B22846" s="8" t="str">
        <f>HYPERLINK("https://twitter.com/AndySastrawina1","@AndySastrawina1")</f>
        <v>@AndySastrawina1</v>
      </c>
      <c r="C22846" s="8" t="s">
        <v>8868</v>
      </c>
      <c r="D22846" s="8">
        <v>179</v>
      </c>
      <c r="E22846" s="8">
        <v>0</v>
      </c>
      <c r="F22846" s="8">
        <v>2007</v>
      </c>
    </row>
    <row r="22847" spans="1:6" ht="12.75">
      <c r="A22847" s="8">
        <v>43894.063356481478</v>
      </c>
      <c r="B22847" s="8" t="str">
        <f>HYPERLINK("https://twitter.com/asliDIDi","@asliDIDi")</f>
        <v>@asliDIDi</v>
      </c>
      <c r="C22847" s="8" t="s">
        <v>685</v>
      </c>
      <c r="D22847" s="8">
        <v>168</v>
      </c>
      <c r="E22847" s="8">
        <v>0</v>
      </c>
      <c r="F22847" s="8">
        <v>1125</v>
      </c>
    </row>
    <row r="22848" spans="1:6" ht="12.75">
      <c r="A22848" s="8">
        <v>43894.063159722224</v>
      </c>
      <c r="B22848" s="8" t="str">
        <f>HYPERLINK("https://twitter.com/dygmotors","@dygmotors")</f>
        <v>@dygmotors</v>
      </c>
      <c r="C22848" s="8" t="s">
        <v>9265</v>
      </c>
      <c r="D22848" s="8">
        <v>0</v>
      </c>
      <c r="E22848" s="8">
        <v>1</v>
      </c>
      <c r="F22848" s="8">
        <v>390</v>
      </c>
    </row>
    <row r="22849" spans="1:6" ht="12.75">
      <c r="A22849" s="8">
        <v>43894.063020833331</v>
      </c>
      <c r="B22849" s="8" t="str">
        <f>HYPERLINK("https://twitter.com/KAPTinfo","@KAPTinfo")</f>
        <v>@KAPTinfo</v>
      </c>
      <c r="C22849" s="8" t="s">
        <v>9239</v>
      </c>
      <c r="D22849" s="8">
        <v>1</v>
      </c>
      <c r="E22849" s="8">
        <v>0</v>
      </c>
      <c r="F22849" s="8">
        <v>450</v>
      </c>
    </row>
    <row r="22850" spans="1:6" ht="12.75">
      <c r="A22850" s="8">
        <v>43894.062997685185</v>
      </c>
      <c r="B22850" s="8" t="str">
        <f>HYPERLINK("https://twitter.com/DjaritoSadewo","@DjaritoSadewo")</f>
        <v>@DjaritoSadewo</v>
      </c>
      <c r="C22850" s="8" t="s">
        <v>9266</v>
      </c>
      <c r="D22850" s="8">
        <v>0</v>
      </c>
      <c r="E22850" s="8">
        <v>0</v>
      </c>
      <c r="F22850" s="8">
        <v>1380</v>
      </c>
    </row>
    <row r="22851" spans="1:6" ht="12.75">
      <c r="A22851" s="8">
        <v>43894.061481481476</v>
      </c>
      <c r="B22851" s="8" t="str">
        <f>HYPERLINK("https://twitter.com/borneonetvcom","@borneonetvcom")</f>
        <v>@borneonetvcom</v>
      </c>
      <c r="C22851" s="8" t="s">
        <v>9267</v>
      </c>
      <c r="D22851" s="8">
        <v>0</v>
      </c>
      <c r="E22851" s="8">
        <v>0</v>
      </c>
      <c r="F22851" s="8">
        <v>96</v>
      </c>
    </row>
    <row r="22852" spans="1:6" ht="12.75">
      <c r="A22852" s="8">
        <v>43894.061076388884</v>
      </c>
      <c r="B22852" s="8" t="str">
        <f>HYPERLINK("https://twitter.com/bagasbegudal","@bagasbegudal")</f>
        <v>@bagasbegudal</v>
      </c>
      <c r="C22852" s="8" t="s">
        <v>8842</v>
      </c>
      <c r="D22852" s="8">
        <v>183</v>
      </c>
      <c r="E22852" s="8">
        <v>0</v>
      </c>
      <c r="F22852" s="8">
        <v>378</v>
      </c>
    </row>
    <row r="22853" spans="1:6" ht="12.75">
      <c r="A22853" s="8">
        <v>43894.060567129629</v>
      </c>
      <c r="B22853" s="8" t="str">
        <f>HYPERLINK("https://twitter.com/Machfudkhahan2","@Machfudkhahan2")</f>
        <v>@Machfudkhahan2</v>
      </c>
      <c r="C22853" s="8" t="s">
        <v>9268</v>
      </c>
      <c r="D22853" s="8">
        <v>0</v>
      </c>
      <c r="E22853" s="8">
        <v>0</v>
      </c>
      <c r="F22853" s="8">
        <v>97</v>
      </c>
    </row>
    <row r="22854" spans="1:6" ht="12.75">
      <c r="A22854" s="8">
        <v>43894.060474537036</v>
      </c>
      <c r="B22854" s="8" t="str">
        <f>HYPERLINK("https://twitter.com/beritalimacom","@beritalimacom")</f>
        <v>@beritalimacom</v>
      </c>
      <c r="C22854" s="8" t="s">
        <v>9269</v>
      </c>
      <c r="D22854" s="8">
        <v>0</v>
      </c>
      <c r="E22854" s="8">
        <v>0</v>
      </c>
      <c r="F22854" s="8">
        <v>1454</v>
      </c>
    </row>
    <row r="22855" spans="1:6" ht="12.75">
      <c r="A22855" s="8">
        <v>43894.059305555551</v>
      </c>
      <c r="B22855" s="8" t="str">
        <f>HYPERLINK("https://twitter.com/yudhaslan","@yudhaslan")</f>
        <v>@yudhaslan</v>
      </c>
      <c r="C22855" s="8" t="s">
        <v>1427</v>
      </c>
      <c r="D22855" s="8">
        <v>996</v>
      </c>
      <c r="E22855" s="8">
        <v>0</v>
      </c>
      <c r="F22855" s="8">
        <v>86</v>
      </c>
    </row>
    <row r="22856" spans="1:6" ht="12.75">
      <c r="A22856" s="8">
        <v>43894.059074074074</v>
      </c>
      <c r="B22856" s="8" t="str">
        <f>HYPERLINK("https://twitter.com/ronindrawan","@ronindrawan")</f>
        <v>@ronindrawan</v>
      </c>
      <c r="C22856" s="8" t="s">
        <v>8429</v>
      </c>
      <c r="D22856" s="8">
        <v>162</v>
      </c>
      <c r="E22856" s="8">
        <v>0</v>
      </c>
      <c r="F22856" s="8">
        <v>723</v>
      </c>
    </row>
    <row r="22857" spans="1:6" ht="12.75">
      <c r="A22857" s="8">
        <v>43894.058877314819</v>
      </c>
      <c r="B22857" s="8" t="str">
        <f>HYPERLINK("https://twitter.com/MoeisFirman","@MoeisFirman")</f>
        <v>@MoeisFirman</v>
      </c>
      <c r="C22857" s="8" t="s">
        <v>8827</v>
      </c>
      <c r="D22857" s="8">
        <v>69</v>
      </c>
      <c r="E22857" s="8">
        <v>0</v>
      </c>
      <c r="F22857" s="8">
        <v>726</v>
      </c>
    </row>
    <row r="22858" spans="1:6" ht="12.75">
      <c r="A22858" s="8">
        <v>43894.05877314815</v>
      </c>
      <c r="B22858" s="8" t="str">
        <f>HYPERLINK("https://twitter.com/safnasaal","@safnasaal")</f>
        <v>@safnasaal</v>
      </c>
      <c r="C22858" s="8" t="s">
        <v>9270</v>
      </c>
      <c r="D22858" s="8">
        <v>125</v>
      </c>
      <c r="E22858" s="8">
        <v>0</v>
      </c>
      <c r="F22858" s="8">
        <v>483</v>
      </c>
    </row>
    <row r="22859" spans="1:6" ht="12.75">
      <c r="A22859" s="8">
        <v>43894.058368055557</v>
      </c>
      <c r="B22859" s="8" t="str">
        <f>HYPERLINK("https://twitter.com/viditio07","@viditio07")</f>
        <v>@viditio07</v>
      </c>
      <c r="C22859" s="8" t="s">
        <v>9271</v>
      </c>
      <c r="D22859" s="8">
        <v>0</v>
      </c>
      <c r="E22859" s="8">
        <v>0</v>
      </c>
      <c r="F22859" s="8">
        <v>100</v>
      </c>
    </row>
    <row r="22860" spans="1:6" ht="12.75">
      <c r="A22860" s="8">
        <v>43894.057974537034</v>
      </c>
      <c r="B22860" s="8" t="str">
        <f t="shared" ref="B22860:B22861" si="341">HYPERLINK("https://twitter.com/AndySastrawina1","@AndySastrawina1")</f>
        <v>@AndySastrawina1</v>
      </c>
      <c r="C22860" s="8" t="s">
        <v>9146</v>
      </c>
      <c r="D22860" s="8">
        <v>71</v>
      </c>
      <c r="E22860" s="8">
        <v>0</v>
      </c>
      <c r="F22860" s="8">
        <v>2007</v>
      </c>
    </row>
    <row r="22861" spans="1:6" ht="12.75">
      <c r="A22861" s="8">
        <v>43894.057013888887</v>
      </c>
      <c r="B22861" s="8" t="str">
        <f t="shared" si="341"/>
        <v>@AndySastrawina1</v>
      </c>
      <c r="C22861" s="8" t="s">
        <v>3257</v>
      </c>
      <c r="D22861" s="8">
        <v>42</v>
      </c>
      <c r="E22861" s="8">
        <v>0</v>
      </c>
      <c r="F22861" s="8">
        <v>2007</v>
      </c>
    </row>
    <row r="22862" spans="1:6" ht="12.75">
      <c r="A22862" s="8">
        <v>43894.057002314818</v>
      </c>
      <c r="B22862" s="8" t="str">
        <f>HYPERLINK("https://twitter.com/spices_isis","@spices_isis")</f>
        <v>@spices_isis</v>
      </c>
      <c r="C22862" s="8" t="s">
        <v>9272</v>
      </c>
      <c r="D22862" s="8">
        <v>15365</v>
      </c>
      <c r="E22862" s="8">
        <v>0</v>
      </c>
      <c r="F22862" s="8">
        <v>134</v>
      </c>
    </row>
    <row r="22863" spans="1:6" ht="12.75">
      <c r="A22863" s="8">
        <v>43894.056585648148</v>
      </c>
      <c r="B22863" s="8" t="str">
        <f>HYPERLINK("https://twitter.com/insani_akbar","@insani_akbar")</f>
        <v>@insani_akbar</v>
      </c>
      <c r="C22863" s="8" t="s">
        <v>1970</v>
      </c>
      <c r="D22863" s="8">
        <v>1293</v>
      </c>
      <c r="E22863" s="8">
        <v>0</v>
      </c>
      <c r="F22863" s="8">
        <v>481</v>
      </c>
    </row>
    <row r="22864" spans="1:6" ht="12.75">
      <c r="A22864" s="8">
        <v>43894.055868055555</v>
      </c>
      <c r="B22864" s="8" t="str">
        <f>HYPERLINK("https://twitter.com/medcom_id","@medcom_id")</f>
        <v>@medcom_id</v>
      </c>
      <c r="C22864" s="8" t="s">
        <v>8998</v>
      </c>
      <c r="D22864" s="8">
        <v>0</v>
      </c>
      <c r="E22864" s="8">
        <v>0</v>
      </c>
      <c r="F22864" s="8">
        <v>18464</v>
      </c>
    </row>
    <row r="22865" spans="1:6" ht="12.75">
      <c r="A22865" s="8">
        <v>43894.055810185186</v>
      </c>
      <c r="B22865" s="8" t="str">
        <f>HYPERLINK("https://twitter.com/BKerjaan","@BKerjaan")</f>
        <v>@BKerjaan</v>
      </c>
      <c r="C22865" s="8" t="s">
        <v>4477</v>
      </c>
      <c r="D22865" s="8">
        <v>1232</v>
      </c>
      <c r="E22865" s="8">
        <v>0</v>
      </c>
      <c r="F22865" s="8">
        <v>7</v>
      </c>
    </row>
    <row r="22866" spans="1:6" ht="12.75">
      <c r="A22866" s="8">
        <v>43894.055601851855</v>
      </c>
      <c r="B22866" s="8" t="str">
        <f>HYPERLINK("https://twitter.com/AnilRamavat2","@AnilRamavat2")</f>
        <v>@AnilRamavat2</v>
      </c>
      <c r="C22866" s="8" t="s">
        <v>9273</v>
      </c>
      <c r="D22866" s="8">
        <v>0</v>
      </c>
      <c r="E22866" s="8">
        <v>0</v>
      </c>
      <c r="F22866" s="8">
        <v>27</v>
      </c>
    </row>
    <row r="22867" spans="1:6" ht="12.75">
      <c r="A22867" s="8">
        <v>43894.055555555555</v>
      </c>
      <c r="B22867" s="8" t="str">
        <f>HYPERLINK("https://twitter.com/Raditya_AriW","@Raditya_AriW")</f>
        <v>@Raditya_AriW</v>
      </c>
      <c r="C22867" s="8" t="s">
        <v>9274</v>
      </c>
      <c r="D22867" s="8">
        <v>591</v>
      </c>
      <c r="E22867" s="8">
        <v>0</v>
      </c>
      <c r="F22867" s="8">
        <v>250</v>
      </c>
    </row>
    <row r="22868" spans="1:6" ht="12.75">
      <c r="A22868" s="8">
        <v>43894.055011574077</v>
      </c>
      <c r="B22868" s="8" t="str">
        <f>HYPERLINK("https://twitter.com/bangRoyTob","@bangRoyTob")</f>
        <v>@bangRoyTob</v>
      </c>
      <c r="C22868" s="8" t="s">
        <v>6315</v>
      </c>
      <c r="D22868" s="8">
        <v>142</v>
      </c>
      <c r="E22868" s="8">
        <v>0</v>
      </c>
      <c r="F22868" s="8">
        <v>495</v>
      </c>
    </row>
    <row r="22869" spans="1:6" ht="12.75">
      <c r="A22869" s="8">
        <v>43894.054884259254</v>
      </c>
      <c r="B22869" s="8" t="str">
        <f>HYPERLINK("https://twitter.com/sri_sudadi","@sri_sudadi")</f>
        <v>@sri_sudadi</v>
      </c>
      <c r="C22869" s="8" t="s">
        <v>9194</v>
      </c>
      <c r="D22869" s="8">
        <v>216</v>
      </c>
      <c r="E22869" s="8">
        <v>0</v>
      </c>
      <c r="F22869" s="8">
        <v>123</v>
      </c>
    </row>
    <row r="22870" spans="1:6" ht="12.75">
      <c r="A22870" s="8">
        <v>43894.054467592592</v>
      </c>
      <c r="B22870" s="8" t="str">
        <f>HYPERLINK("https://twitter.com/Anak_Kodokkkk","@Anak_Kodokkkk")</f>
        <v>@Anak_Kodokkkk</v>
      </c>
      <c r="C22870" s="8" t="s">
        <v>9275</v>
      </c>
      <c r="D22870" s="8">
        <v>0</v>
      </c>
      <c r="E22870" s="8">
        <v>0</v>
      </c>
      <c r="F22870" s="8">
        <v>31</v>
      </c>
    </row>
    <row r="22871" spans="1:6" ht="12.75">
      <c r="A22871" s="8">
        <v>43894.053773148145</v>
      </c>
      <c r="B22871" s="8" t="str">
        <f>HYPERLINK("https://twitter.com/Gulai_puyu","@Gulai_puyu")</f>
        <v>@Gulai_puyu</v>
      </c>
      <c r="C22871" s="8" t="s">
        <v>6315</v>
      </c>
      <c r="D22871" s="8">
        <v>142</v>
      </c>
      <c r="E22871" s="8">
        <v>0</v>
      </c>
      <c r="F22871" s="8">
        <v>458</v>
      </c>
    </row>
    <row r="22872" spans="1:6" ht="12.75">
      <c r="A22872" s="8">
        <v>43894.053506944445</v>
      </c>
      <c r="B22872" s="8" t="str">
        <f>HYPERLINK("https://twitter.com/abdulla41734805","@abdulla41734805")</f>
        <v>@abdulla41734805</v>
      </c>
      <c r="C22872" s="8" t="s">
        <v>9276</v>
      </c>
      <c r="D22872" s="8">
        <v>0</v>
      </c>
      <c r="E22872" s="8">
        <v>0</v>
      </c>
      <c r="F22872" s="8">
        <v>20</v>
      </c>
    </row>
    <row r="22873" spans="1:6" ht="12.75">
      <c r="A22873" s="8">
        <v>43894.053391203706</v>
      </c>
      <c r="B22873" s="8" t="str">
        <f>HYPERLINK("https://twitter.com/MansonAcone","@MansonAcone")</f>
        <v>@MansonAcone</v>
      </c>
      <c r="C22873" s="8" t="s">
        <v>9086</v>
      </c>
      <c r="D22873" s="8">
        <v>38</v>
      </c>
      <c r="E22873" s="8">
        <v>0</v>
      </c>
      <c r="F22873" s="8">
        <v>22</v>
      </c>
    </row>
    <row r="22874" spans="1:6" ht="12.75">
      <c r="A22874" s="8">
        <v>43894.053159722222</v>
      </c>
      <c r="B22874" s="8" t="str">
        <f>HYPERLINK("https://twitter.com/dimhansun","@dimhansun")</f>
        <v>@dimhansun</v>
      </c>
      <c r="C22874" s="8" t="s">
        <v>9277</v>
      </c>
      <c r="D22874" s="8">
        <v>0</v>
      </c>
      <c r="E22874" s="8">
        <v>0</v>
      </c>
      <c r="F22874" s="8">
        <v>591</v>
      </c>
    </row>
    <row r="22875" spans="1:6" ht="12.75">
      <c r="A22875" s="8">
        <v>43894.053032407406</v>
      </c>
      <c r="B22875" s="8" t="str">
        <f>HYPERLINK("https://twitter.com/MAliSubhan2","@MAliSubhan2")</f>
        <v>@MAliSubhan2</v>
      </c>
      <c r="C22875" s="8" t="s">
        <v>9278</v>
      </c>
      <c r="D22875" s="8">
        <v>2</v>
      </c>
      <c r="E22875" s="8">
        <v>0</v>
      </c>
      <c r="F22875" s="8">
        <v>1239</v>
      </c>
    </row>
    <row r="22876" spans="1:6" ht="12.75">
      <c r="A22876" s="8">
        <v>43894.052673611106</v>
      </c>
      <c r="B22876" s="8" t="str">
        <f>HYPERLINK("https://twitter.com/agungnurh17","@agungnurh17")</f>
        <v>@agungnurh17</v>
      </c>
      <c r="C22876" s="8" t="s">
        <v>7516</v>
      </c>
      <c r="D22876" s="8">
        <v>25</v>
      </c>
      <c r="E22876" s="8">
        <v>0</v>
      </c>
      <c r="F22876" s="8">
        <v>98</v>
      </c>
    </row>
    <row r="22877" spans="1:6" ht="12.75">
      <c r="A22877" s="8">
        <v>43894.052650462967</v>
      </c>
      <c r="B22877" s="8" t="str">
        <f>HYPERLINK("https://twitter.com/Juple_014","@Juple_014")</f>
        <v>@Juple_014</v>
      </c>
      <c r="C22877" s="8" t="s">
        <v>1970</v>
      </c>
      <c r="D22877" s="8">
        <v>1293</v>
      </c>
      <c r="E22877" s="8">
        <v>0</v>
      </c>
      <c r="F22877" s="8">
        <v>7</v>
      </c>
    </row>
    <row r="22878" spans="1:6" ht="12.75">
      <c r="A22878" s="8">
        <v>43894.052465277782</v>
      </c>
      <c r="B22878" s="8" t="str">
        <f>HYPERLINK("https://twitter.com/maremeci","@maremeci")</f>
        <v>@maremeci</v>
      </c>
      <c r="C22878" s="8" t="s">
        <v>9279</v>
      </c>
      <c r="D22878" s="8">
        <v>0</v>
      </c>
      <c r="E22878" s="8">
        <v>0</v>
      </c>
      <c r="F22878" s="8">
        <v>517</v>
      </c>
    </row>
    <row r="22879" spans="1:6" ht="12.75">
      <c r="A22879" s="8">
        <v>43894.051145833335</v>
      </c>
      <c r="B22879" s="8" t="str">
        <f>HYPERLINK("https://twitter.com/ryolandafit","@ryolandafit")</f>
        <v>@ryolandafit</v>
      </c>
      <c r="C22879" s="8" t="s">
        <v>9280</v>
      </c>
      <c r="D22879" s="8">
        <v>1</v>
      </c>
      <c r="E22879" s="8">
        <v>0</v>
      </c>
      <c r="F22879" s="8">
        <v>652</v>
      </c>
    </row>
    <row r="22880" spans="1:6" ht="12.75">
      <c r="A22880" s="8">
        <v>43894.050532407404</v>
      </c>
      <c r="B22880" s="8" t="str">
        <f>HYPERLINK("https://twitter.com/dheeneechopra","@dheeneechopra")</f>
        <v>@dheeneechopra</v>
      </c>
      <c r="C22880" s="8" t="s">
        <v>2199</v>
      </c>
      <c r="D22880" s="8">
        <v>9050</v>
      </c>
      <c r="E22880" s="8">
        <v>0</v>
      </c>
      <c r="F22880" s="8">
        <v>183</v>
      </c>
    </row>
    <row r="22881" spans="1:6" ht="12.75">
      <c r="A22881" s="8">
        <v>43894.049791666665</v>
      </c>
      <c r="B22881" s="8" t="str">
        <f>HYPERLINK("https://twitter.com/Tra_Putraa","@Tra_Putraa")</f>
        <v>@Tra_Putraa</v>
      </c>
      <c r="C22881" s="8" t="s">
        <v>1970</v>
      </c>
      <c r="D22881" s="8">
        <v>1293</v>
      </c>
      <c r="E22881" s="8">
        <v>0</v>
      </c>
      <c r="F22881" s="8">
        <v>356</v>
      </c>
    </row>
    <row r="22882" spans="1:6" ht="12.75">
      <c r="A22882" s="8">
        <v>43894.049444444448</v>
      </c>
      <c r="B22882" s="8" t="str">
        <f>HYPERLINK("https://twitter.com/romlahasana","@romlahasana")</f>
        <v>@romlahasana</v>
      </c>
      <c r="C22882" s="8" t="s">
        <v>9281</v>
      </c>
      <c r="D22882" s="8">
        <v>0</v>
      </c>
      <c r="E22882" s="8">
        <v>0</v>
      </c>
      <c r="F22882" s="8">
        <v>128</v>
      </c>
    </row>
    <row r="22883" spans="1:6" ht="12.75">
      <c r="A22883" s="8">
        <v>43894.049293981487</v>
      </c>
      <c r="B22883" s="8" t="str">
        <f>HYPERLINK("https://twitter.com/hari_prapcoyo","@hari_prapcoyo")</f>
        <v>@hari_prapcoyo</v>
      </c>
      <c r="C22883" s="8" t="s">
        <v>8970</v>
      </c>
      <c r="D22883" s="8">
        <v>122</v>
      </c>
      <c r="E22883" s="8">
        <v>0</v>
      </c>
      <c r="F22883" s="8">
        <v>469</v>
      </c>
    </row>
    <row r="22884" spans="1:6" ht="12.75">
      <c r="A22884" s="8">
        <v>43894.049050925925</v>
      </c>
      <c r="B22884" s="8" t="str">
        <f>HYPERLINK("https://twitter.com/Julian_haha","@Julian_haha")</f>
        <v>@Julian_haha</v>
      </c>
      <c r="C22884" s="8" t="s">
        <v>8900</v>
      </c>
      <c r="D22884" s="8">
        <v>22</v>
      </c>
      <c r="E22884" s="8">
        <v>0</v>
      </c>
      <c r="F22884" s="8">
        <v>90</v>
      </c>
    </row>
    <row r="22885" spans="1:6" ht="12.75">
      <c r="A22885" s="8">
        <v>43894.048449074078</v>
      </c>
      <c r="B22885" s="8" t="str">
        <f>HYPERLINK("https://twitter.com/antarajatimcom","@antarajatimcom")</f>
        <v>@antarajatimcom</v>
      </c>
      <c r="C22885" s="8" t="s">
        <v>9282</v>
      </c>
      <c r="D22885" s="8">
        <v>0</v>
      </c>
      <c r="E22885" s="8">
        <v>0</v>
      </c>
      <c r="F22885" s="8">
        <v>846</v>
      </c>
    </row>
    <row r="22886" spans="1:6" ht="12.75">
      <c r="A22886" s="8">
        <v>43894.048298611116</v>
      </c>
      <c r="B22886" s="8" t="str">
        <f>HYPERLINK("https://twitter.com/KompasTV","@KompasTV")</f>
        <v>@KompasTV</v>
      </c>
      <c r="C22886" s="8" t="s">
        <v>9283</v>
      </c>
      <c r="D22886" s="8">
        <v>0</v>
      </c>
      <c r="E22886" s="8">
        <v>0</v>
      </c>
      <c r="F22886" s="8">
        <v>2955067</v>
      </c>
    </row>
    <row r="22887" spans="1:6" ht="12.75">
      <c r="A22887" s="8">
        <v>43894.048159722224</v>
      </c>
      <c r="B22887" s="8" t="str">
        <f>HYPERLINK("https://twitter.com/Syafrizalgan","@Syafrizalgan")</f>
        <v>@Syafrizalgan</v>
      </c>
      <c r="C22887" s="8" t="s">
        <v>9284</v>
      </c>
      <c r="D22887" s="8">
        <v>0</v>
      </c>
      <c r="E22887" s="8">
        <v>0</v>
      </c>
      <c r="F22887" s="8">
        <v>52</v>
      </c>
    </row>
    <row r="22888" spans="1:6" ht="12.75">
      <c r="A22888" s="8">
        <v>43894.047025462962</v>
      </c>
      <c r="B22888" s="8" t="str">
        <f>HYPERLINK("https://twitter.com/edisonsbr","@edisonsbr")</f>
        <v>@edisonsbr</v>
      </c>
      <c r="C22888" s="8" t="s">
        <v>9285</v>
      </c>
      <c r="D22888" s="8">
        <v>0</v>
      </c>
      <c r="E22888" s="8">
        <v>0</v>
      </c>
      <c r="F22888" s="8">
        <v>77</v>
      </c>
    </row>
    <row r="22889" spans="1:6" ht="12.75">
      <c r="A22889" s="8">
        <v>43894.045960648145</v>
      </c>
      <c r="B22889" s="8" t="str">
        <f>HYPERLINK("https://twitter.com/Syafrizalgan","@Syafrizalgan")</f>
        <v>@Syafrizalgan</v>
      </c>
      <c r="C22889" s="8" t="s">
        <v>9286</v>
      </c>
      <c r="D22889" s="8">
        <v>0</v>
      </c>
      <c r="E22889" s="8">
        <v>0</v>
      </c>
      <c r="F22889" s="8">
        <v>52</v>
      </c>
    </row>
    <row r="22890" spans="1:6" ht="12.75">
      <c r="A22890" s="8">
        <v>43894.044837962967</v>
      </c>
      <c r="B22890" s="8" t="str">
        <f>HYPERLINK("https://twitter.com/KBRI_Paris","@KBRI_Paris")</f>
        <v>@KBRI_Paris</v>
      </c>
      <c r="C22890" s="8" t="s">
        <v>9287</v>
      </c>
      <c r="D22890" s="8">
        <v>0</v>
      </c>
      <c r="E22890" s="8">
        <v>0</v>
      </c>
      <c r="F22890" s="8">
        <v>2368</v>
      </c>
    </row>
    <row r="22891" spans="1:6" ht="12.75">
      <c r="A22891" s="8">
        <v>43894.044641203705</v>
      </c>
      <c r="B22891" s="8" t="str">
        <f>HYPERLINK("https://twitter.com/dwytono","@dwytono")</f>
        <v>@dwytono</v>
      </c>
      <c r="C22891" s="8" t="s">
        <v>1986</v>
      </c>
      <c r="D22891" s="8">
        <v>839</v>
      </c>
      <c r="E22891" s="8">
        <v>0</v>
      </c>
      <c r="F22891" s="8">
        <v>1877</v>
      </c>
    </row>
    <row r="22892" spans="1:6" ht="12.75">
      <c r="A22892" s="8">
        <v>43894.04451388889</v>
      </c>
      <c r="B22892" s="8" t="str">
        <f>HYPERLINK("https://twitter.com/sanuri118","@sanuri118")</f>
        <v>@sanuri118</v>
      </c>
      <c r="C22892" s="8" t="s">
        <v>8429</v>
      </c>
      <c r="D22892" s="8">
        <v>160</v>
      </c>
      <c r="E22892" s="8">
        <v>0</v>
      </c>
      <c r="F22892" s="8">
        <v>1748</v>
      </c>
    </row>
    <row r="22893" spans="1:6" ht="12.75">
      <c r="A22893" s="8">
        <v>43894.044120370367</v>
      </c>
      <c r="B22893" s="8" t="str">
        <f>HYPERLINK("https://twitter.com/IamYogas","@IamYogas")</f>
        <v>@IamYogas</v>
      </c>
      <c r="C22893" s="8" t="s">
        <v>6315</v>
      </c>
      <c r="D22893" s="8">
        <v>138</v>
      </c>
      <c r="E22893" s="8">
        <v>0</v>
      </c>
      <c r="F22893" s="8">
        <v>271</v>
      </c>
    </row>
    <row r="22894" spans="1:6" ht="12.75">
      <c r="A22894" s="8">
        <v>43894.043460648143</v>
      </c>
      <c r="B22894" s="8" t="str">
        <f>HYPERLINK("https://twitter.com/Aan11917050","@Aan11917050")</f>
        <v>@Aan11917050</v>
      </c>
      <c r="C22894" s="8" t="s">
        <v>9123</v>
      </c>
      <c r="D22894" s="8">
        <v>409</v>
      </c>
      <c r="E22894" s="8">
        <v>0</v>
      </c>
      <c r="F22894" s="8">
        <v>147</v>
      </c>
    </row>
    <row r="22895" spans="1:6" ht="12.75">
      <c r="A22895" s="8">
        <v>43894.043425925927</v>
      </c>
      <c r="B22895" s="8" t="str">
        <f>HYPERLINK("https://twitter.com/Baliantaranews","@Baliantaranews")</f>
        <v>@Baliantaranews</v>
      </c>
      <c r="C22895" s="8" t="s">
        <v>9288</v>
      </c>
      <c r="D22895" s="8">
        <v>1</v>
      </c>
      <c r="E22895" s="8">
        <v>0</v>
      </c>
      <c r="F22895" s="8">
        <v>744</v>
      </c>
    </row>
    <row r="22896" spans="1:6" ht="12.75">
      <c r="A22896" s="8">
        <v>43894.043298611112</v>
      </c>
      <c r="B22896" s="8" t="str">
        <f>HYPERLINK("https://twitter.com/sosiologist","@sosiologist")</f>
        <v>@sosiologist</v>
      </c>
      <c r="C22896" s="8" t="s">
        <v>9289</v>
      </c>
      <c r="D22896" s="8">
        <v>0</v>
      </c>
      <c r="E22896" s="8">
        <v>0</v>
      </c>
      <c r="F22896" s="8">
        <v>136</v>
      </c>
    </row>
    <row r="22897" spans="1:6" ht="12.75">
      <c r="A22897" s="8">
        <v>43894.043090277773</v>
      </c>
      <c r="B22897" s="8" t="str">
        <f>HYPERLINK("https://twitter.com/antaranews_bali","@antaranews_bali")</f>
        <v>@antaranews_bali</v>
      </c>
      <c r="C22897" s="8" t="s">
        <v>9290</v>
      </c>
      <c r="D22897" s="8">
        <v>1</v>
      </c>
      <c r="E22897" s="8">
        <v>0</v>
      </c>
      <c r="F22897" s="8">
        <v>4938</v>
      </c>
    </row>
    <row r="22898" spans="1:6" ht="12.75">
      <c r="A22898" s="8">
        <v>43894.042766203704</v>
      </c>
      <c r="B22898" s="8" t="str">
        <f>HYPERLINK("https://twitter.com/R036__r","@R036__r")</f>
        <v>@R036__r</v>
      </c>
      <c r="C22898" s="8" t="s">
        <v>6315</v>
      </c>
      <c r="D22898" s="8">
        <v>138</v>
      </c>
      <c r="E22898" s="8">
        <v>0</v>
      </c>
      <c r="F22898" s="8">
        <v>4612</v>
      </c>
    </row>
    <row r="22899" spans="1:6" ht="12.75">
      <c r="A22899" s="8">
        <v>43894.042083333334</v>
      </c>
      <c r="B22899" s="8" t="str">
        <f>HYPERLINK("https://twitter.com/AndySastrawina1","@AndySastrawina1")</f>
        <v>@AndySastrawina1</v>
      </c>
      <c r="C22899" s="8" t="s">
        <v>6315</v>
      </c>
      <c r="D22899" s="8">
        <v>138</v>
      </c>
      <c r="E22899" s="8">
        <v>0</v>
      </c>
      <c r="F22899" s="8">
        <v>2007</v>
      </c>
    </row>
    <row r="22900" spans="1:6" ht="12.75">
      <c r="A22900" s="8">
        <v>43894.040636574078</v>
      </c>
      <c r="B22900" s="8" t="str">
        <f>HYPERLINK("https://twitter.com/RudyTank","@RudyTank")</f>
        <v>@RudyTank</v>
      </c>
      <c r="C22900" s="8" t="s">
        <v>685</v>
      </c>
      <c r="D22900" s="8">
        <v>166</v>
      </c>
      <c r="E22900" s="8">
        <v>0</v>
      </c>
      <c r="F22900" s="8">
        <v>1103</v>
      </c>
    </row>
    <row r="22901" spans="1:6" ht="12.75">
      <c r="A22901" s="8">
        <v>43894.040092592593</v>
      </c>
      <c r="B22901" s="8" t="str">
        <f>HYPERLINK("https://twitter.com/AndySastrawina1","@AndySastrawina1")</f>
        <v>@AndySastrawina1</v>
      </c>
      <c r="C22901" s="8" t="s">
        <v>8429</v>
      </c>
      <c r="D22901" s="8">
        <v>160</v>
      </c>
      <c r="E22901" s="8">
        <v>0</v>
      </c>
      <c r="F22901" s="8">
        <v>2007</v>
      </c>
    </row>
    <row r="22902" spans="1:6" ht="12.75">
      <c r="A22902" s="8">
        <v>43894.039872685185</v>
      </c>
      <c r="B22902" s="8" t="str">
        <f>HYPERLINK("https://twitter.com/JKDaulay","@JKDaulay")</f>
        <v>@JKDaulay</v>
      </c>
      <c r="C22902" s="8" t="s">
        <v>7796</v>
      </c>
      <c r="D22902" s="8">
        <v>20</v>
      </c>
      <c r="E22902" s="8">
        <v>0</v>
      </c>
      <c r="F22902" s="8">
        <v>2825</v>
      </c>
    </row>
    <row r="22903" spans="1:6" ht="12.75">
      <c r="A22903" s="8">
        <v>43894.039652777778</v>
      </c>
      <c r="B22903" s="8" t="str">
        <f>HYPERLINK("https://twitter.com/abdulla41734805","@abdulla41734805")</f>
        <v>@abdulla41734805</v>
      </c>
      <c r="C22903" s="8" t="s">
        <v>9291</v>
      </c>
      <c r="D22903" s="8">
        <v>0</v>
      </c>
      <c r="E22903" s="8">
        <v>0</v>
      </c>
      <c r="F22903" s="8">
        <v>20</v>
      </c>
    </row>
    <row r="22904" spans="1:6" ht="12.75">
      <c r="A22904" s="8">
        <v>43894.039363425924</v>
      </c>
      <c r="B22904" s="8" t="str">
        <f>HYPERLINK("https://twitter.com/Kiky_Lesmana","@Kiky_Lesmana")</f>
        <v>@Kiky_Lesmana</v>
      </c>
      <c r="C22904" s="8" t="s">
        <v>8843</v>
      </c>
      <c r="D22904" s="8">
        <v>92</v>
      </c>
      <c r="E22904" s="8">
        <v>0</v>
      </c>
      <c r="F22904" s="8">
        <v>19</v>
      </c>
    </row>
    <row r="22905" spans="1:6" ht="12.75">
      <c r="A22905" s="8">
        <v>43894.038634259261</v>
      </c>
      <c r="B22905" s="8" t="str">
        <f>HYPERLINK("https://twitter.com/FrontIblis","@FrontIblis")</f>
        <v>@FrontIblis</v>
      </c>
      <c r="C22905" s="8" t="s">
        <v>9292</v>
      </c>
      <c r="D22905" s="8">
        <v>0</v>
      </c>
      <c r="E22905" s="8">
        <v>0</v>
      </c>
      <c r="F22905" s="8">
        <v>48</v>
      </c>
    </row>
    <row r="22906" spans="1:6" ht="12.75">
      <c r="A22906" s="8">
        <v>43894.038043981476</v>
      </c>
      <c r="B22906" s="8" t="str">
        <f>HYPERLINK("https://twitter.com/RamadanAfdi","@RamadanAfdi")</f>
        <v>@RamadanAfdi</v>
      </c>
      <c r="C22906" s="8" t="s">
        <v>9293</v>
      </c>
      <c r="D22906" s="8">
        <v>1</v>
      </c>
      <c r="E22906" s="8">
        <v>0</v>
      </c>
      <c r="F22906" s="8">
        <v>5852</v>
      </c>
    </row>
    <row r="22907" spans="1:6" ht="12.75">
      <c r="A22907" s="8">
        <v>43894.037719907406</v>
      </c>
      <c r="B22907" s="8" t="str">
        <f>HYPERLINK("https://twitter.com/Globalnews222","@Globalnews222")</f>
        <v>@Globalnews222</v>
      </c>
      <c r="C22907" s="8" t="s">
        <v>9294</v>
      </c>
      <c r="D22907" s="8">
        <v>6</v>
      </c>
      <c r="E22907" s="8">
        <v>0</v>
      </c>
      <c r="F22907" s="8">
        <v>34</v>
      </c>
    </row>
    <row r="22908" spans="1:6" ht="12.75">
      <c r="A22908" s="8">
        <v>43894.036261574074</v>
      </c>
      <c r="B22908" s="8" t="str">
        <f>HYPERLINK("https://twitter.com/88rixing","@88rixing")</f>
        <v>@88rixing</v>
      </c>
      <c r="C22908" s="8" t="s">
        <v>9295</v>
      </c>
      <c r="D22908" s="8">
        <v>285</v>
      </c>
      <c r="E22908" s="8">
        <v>0</v>
      </c>
      <c r="F22908" s="8">
        <v>47</v>
      </c>
    </row>
    <row r="22909" spans="1:6" ht="12.75">
      <c r="A22909" s="8">
        <v>43894.035983796297</v>
      </c>
      <c r="B22909" s="8" t="str">
        <f>HYPERLINK("https://twitter.com/Anak_Kodokkkk","@Anak_Kodokkkk")</f>
        <v>@Anak_Kodokkkk</v>
      </c>
      <c r="C22909" s="8" t="s">
        <v>9296</v>
      </c>
      <c r="D22909" s="8">
        <v>0</v>
      </c>
      <c r="E22909" s="8">
        <v>0</v>
      </c>
      <c r="F22909" s="8">
        <v>31</v>
      </c>
    </row>
    <row r="22910" spans="1:6" ht="12.75">
      <c r="A22910" s="8">
        <v>43894.035775462966</v>
      </c>
      <c r="B22910" s="8" t="str">
        <f>HYPERLINK("https://twitter.com/nishaexcel","@nishaexcel")</f>
        <v>@nishaexcel</v>
      </c>
      <c r="C22910" s="8" t="s">
        <v>2199</v>
      </c>
      <c r="D22910" s="8">
        <v>9048</v>
      </c>
      <c r="E22910" s="8">
        <v>0</v>
      </c>
      <c r="F22910" s="8">
        <v>197</v>
      </c>
    </row>
    <row r="22911" spans="1:6" ht="12.75">
      <c r="A22911" s="8">
        <v>43894.035509259258</v>
      </c>
      <c r="B22911" s="8" t="str">
        <f>HYPERLINK("https://twitter.com/ririnalfiyah1","@ririnalfiyah1")</f>
        <v>@ririnalfiyah1</v>
      </c>
      <c r="C22911" s="8" t="s">
        <v>9297</v>
      </c>
      <c r="D22911" s="8">
        <v>0</v>
      </c>
      <c r="E22911" s="8">
        <v>0</v>
      </c>
      <c r="F22911" s="8">
        <v>5</v>
      </c>
    </row>
    <row r="22912" spans="1:6" ht="12.75">
      <c r="A22912" s="8">
        <v>43894.03396990741</v>
      </c>
      <c r="B22912" s="8" t="str">
        <f>HYPERLINK("https://twitter.com/rieanggraeni88","@rieanggraeni88")</f>
        <v>@rieanggraeni88</v>
      </c>
      <c r="C22912" s="8" t="s">
        <v>6315</v>
      </c>
      <c r="D22912" s="8">
        <v>138</v>
      </c>
      <c r="E22912" s="8">
        <v>0</v>
      </c>
      <c r="F22912" s="8">
        <v>747</v>
      </c>
    </row>
    <row r="22913" spans="1:6" ht="12.75">
      <c r="A22913" s="8">
        <v>43894.033287037033</v>
      </c>
      <c r="B22913" s="8" t="str">
        <f>HYPERLINK("https://twitter.com/SigitAgungPrab2","@SigitAgungPrab2")</f>
        <v>@SigitAgungPrab2</v>
      </c>
      <c r="C22913" s="8" t="s">
        <v>685</v>
      </c>
      <c r="D22913" s="8">
        <v>166</v>
      </c>
      <c r="E22913" s="8">
        <v>0</v>
      </c>
      <c r="F22913" s="8">
        <v>1113</v>
      </c>
    </row>
    <row r="22914" spans="1:6" ht="12.75">
      <c r="A22914" s="8">
        <v>43894.033263888894</v>
      </c>
      <c r="B22914" s="8" t="str">
        <f>HYPERLINK("https://twitter.com/raziqnazqua","@raziqnazqua")</f>
        <v>@raziqnazqua</v>
      </c>
      <c r="C22914" s="8" t="s">
        <v>9298</v>
      </c>
      <c r="D22914" s="8">
        <v>0</v>
      </c>
      <c r="E22914" s="8">
        <v>0</v>
      </c>
      <c r="F22914" s="8">
        <v>236</v>
      </c>
    </row>
    <row r="22915" spans="1:6" ht="12.75">
      <c r="A22915" s="8">
        <v>43894.032685185186</v>
      </c>
      <c r="B22915" s="8" t="str">
        <f>HYPERLINK("https://twitter.com/becak125cc","@becak125cc")</f>
        <v>@becak125cc</v>
      </c>
      <c r="C22915" s="8" t="s">
        <v>6315</v>
      </c>
      <c r="D22915" s="8">
        <v>138</v>
      </c>
      <c r="E22915" s="8">
        <v>0</v>
      </c>
      <c r="F22915" s="8">
        <v>548</v>
      </c>
    </row>
    <row r="22916" spans="1:6" ht="12.75">
      <c r="A22916" s="8">
        <v>43894.032071759255</v>
      </c>
      <c r="B22916" s="8" t="str">
        <f>HYPERLINK("https://twitter.com/Luvianna11","@Luvianna11")</f>
        <v>@Luvianna11</v>
      </c>
      <c r="C22916" s="8" t="s">
        <v>9299</v>
      </c>
      <c r="D22916" s="8">
        <v>0</v>
      </c>
      <c r="E22916" s="8">
        <v>1</v>
      </c>
      <c r="F22916" s="8">
        <v>8455</v>
      </c>
    </row>
    <row r="22917" spans="1:6" ht="12.75">
      <c r="A22917" s="8">
        <v>43894.031793981485</v>
      </c>
      <c r="B22917" s="8" t="str">
        <f>HYPERLINK("https://twitter.com/BudiTurmudzi","@BudiTurmudzi")</f>
        <v>@BudiTurmudzi</v>
      </c>
      <c r="C22917" s="8" t="s">
        <v>9300</v>
      </c>
      <c r="D22917" s="8">
        <v>218</v>
      </c>
      <c r="E22917" s="8">
        <v>0</v>
      </c>
      <c r="F22917" s="8">
        <v>696</v>
      </c>
    </row>
    <row r="22918" spans="1:6" ht="12.75">
      <c r="A22918" s="8">
        <v>43894.031481481477</v>
      </c>
      <c r="B22918" s="8" t="str">
        <f>HYPERLINK("https://twitter.com/tmanbrcakap","@tmanbrcakap")</f>
        <v>@tmanbrcakap</v>
      </c>
      <c r="C22918" s="8" t="s">
        <v>9301</v>
      </c>
      <c r="D22918" s="8">
        <v>0</v>
      </c>
      <c r="E22918" s="8">
        <v>0</v>
      </c>
      <c r="F22918" s="8">
        <v>720</v>
      </c>
    </row>
    <row r="22919" spans="1:6" ht="12.75">
      <c r="A22919" s="8">
        <v>43894.030601851853</v>
      </c>
      <c r="B22919" s="8" t="str">
        <f>HYPERLINK("https://twitter.com/adevj1969","@adevj1969")</f>
        <v>@adevj1969</v>
      </c>
      <c r="C22919" s="8" t="s">
        <v>9302</v>
      </c>
      <c r="D22919" s="8">
        <v>0</v>
      </c>
      <c r="E22919" s="8">
        <v>0</v>
      </c>
      <c r="F22919" s="8">
        <v>1295</v>
      </c>
    </row>
    <row r="22920" spans="1:6" ht="12.75">
      <c r="A22920" s="8">
        <v>43894.030208333337</v>
      </c>
      <c r="B22920" s="8" t="str">
        <f>HYPERLINK("https://twitter.com/MahinFatavit","@MahinFatavit")</f>
        <v>@MahinFatavit</v>
      </c>
      <c r="C22920" s="8" t="s">
        <v>685</v>
      </c>
      <c r="D22920" s="8">
        <v>166</v>
      </c>
      <c r="E22920" s="8">
        <v>0</v>
      </c>
      <c r="F22920" s="8">
        <v>6046</v>
      </c>
    </row>
    <row r="22921" spans="1:6" ht="12.75">
      <c r="A22921" s="8">
        <v>43894.030173611114</v>
      </c>
      <c r="B22921" s="8" t="str">
        <f>HYPERLINK("https://twitter.com/PribumiMalaka","@PribumiMalaka")</f>
        <v>@PribumiMalaka</v>
      </c>
      <c r="C22921" s="8" t="s">
        <v>9303</v>
      </c>
      <c r="D22921" s="8">
        <v>1</v>
      </c>
      <c r="E22921" s="8">
        <v>0</v>
      </c>
      <c r="F22921" s="8">
        <v>119</v>
      </c>
    </row>
    <row r="22922" spans="1:6" ht="12.75">
      <c r="A22922" s="8">
        <v>43894.030104166668</v>
      </c>
      <c r="B22922" s="8" t="str">
        <f>HYPERLINK("https://twitter.com/Mohamad50983447","@Mohamad50983447")</f>
        <v>@Mohamad50983447</v>
      </c>
      <c r="C22922" s="8" t="s">
        <v>9304</v>
      </c>
      <c r="D22922" s="8">
        <v>0</v>
      </c>
      <c r="E22922" s="8">
        <v>1</v>
      </c>
      <c r="F22922" s="8">
        <v>126</v>
      </c>
    </row>
    <row r="22923" spans="1:6" ht="12.75">
      <c r="A22923" s="8">
        <v>43894.029872685191</v>
      </c>
      <c r="B22923" s="8" t="str">
        <f>HYPERLINK("https://twitter.com/yudhapati88","@yudhapati88")</f>
        <v>@yudhapati88</v>
      </c>
      <c r="C22923" s="8" t="s">
        <v>9305</v>
      </c>
      <c r="D22923" s="8">
        <v>0</v>
      </c>
      <c r="E22923" s="8">
        <v>0</v>
      </c>
      <c r="F22923" s="8">
        <v>3442</v>
      </c>
    </row>
    <row r="22924" spans="1:6" ht="12.75">
      <c r="A22924" s="8">
        <v>43894.029606481483</v>
      </c>
      <c r="B22924" s="8" t="str">
        <f>HYPERLINK("https://twitter.com/twmanado","@twmanado")</f>
        <v>@twmanado</v>
      </c>
      <c r="C22924" s="8" t="s">
        <v>9306</v>
      </c>
      <c r="D22924" s="8">
        <v>0</v>
      </c>
      <c r="E22924" s="8">
        <v>0</v>
      </c>
      <c r="F22924" s="8">
        <v>200</v>
      </c>
    </row>
    <row r="22925" spans="1:6" ht="12.75">
      <c r="A22925" s="8">
        <v>43894.029594907406</v>
      </c>
      <c r="B22925" s="8" t="str">
        <f>HYPERLINK("https://twitter.com/Nitizen_Zen","@Nitizen_Zen")</f>
        <v>@Nitizen_Zen</v>
      </c>
      <c r="C22925" s="8" t="s">
        <v>9307</v>
      </c>
      <c r="D22925" s="8">
        <v>4</v>
      </c>
      <c r="E22925" s="8">
        <v>0</v>
      </c>
      <c r="F22925" s="8">
        <v>457</v>
      </c>
    </row>
    <row r="22926" spans="1:6" ht="12.75">
      <c r="A22926" s="8">
        <v>43894.029537037037</v>
      </c>
      <c r="B22926" s="8" t="str">
        <f>HYPERLINK("https://twitter.com/givzas","@givzas")</f>
        <v>@givzas</v>
      </c>
      <c r="C22926" s="8" t="s">
        <v>9308</v>
      </c>
      <c r="D22926" s="8">
        <v>0</v>
      </c>
      <c r="E22926" s="8">
        <v>0</v>
      </c>
      <c r="F22926" s="8">
        <v>2510</v>
      </c>
    </row>
    <row r="22927" spans="1:6" ht="12.75">
      <c r="A22927" s="8">
        <v>43894.029305555552</v>
      </c>
      <c r="B22927" s="8" t="str">
        <f>HYPERLINK("https://twitter.com/Oh_Ronald","@Oh_Ronald")</f>
        <v>@Oh_Ronald</v>
      </c>
      <c r="C22927" s="8" t="s">
        <v>685</v>
      </c>
      <c r="D22927" s="8">
        <v>166</v>
      </c>
      <c r="E22927" s="8">
        <v>0</v>
      </c>
      <c r="F22927" s="8">
        <v>2353</v>
      </c>
    </row>
    <row r="22928" spans="1:6" ht="12.75">
      <c r="A22928" s="8">
        <v>43894.028773148151</v>
      </c>
      <c r="B22928" s="8" t="str">
        <f>HYPERLINK("https://twitter.com/dianafithras","@dianafithras")</f>
        <v>@dianafithras</v>
      </c>
      <c r="C22928" s="8" t="s">
        <v>9309</v>
      </c>
      <c r="D22928" s="8">
        <v>0</v>
      </c>
      <c r="E22928" s="8">
        <v>1</v>
      </c>
      <c r="F22928" s="8">
        <v>6872</v>
      </c>
    </row>
    <row r="22929" spans="1:6" ht="12.75">
      <c r="A22929" s="8">
        <v>43894.028715277775</v>
      </c>
      <c r="B22929" s="8" t="str">
        <f>HYPERLINK("https://twitter.com/TroperTero","@TroperTero")</f>
        <v>@TroperTero</v>
      </c>
      <c r="C22929" s="8" t="s">
        <v>9146</v>
      </c>
      <c r="D22929" s="8">
        <v>69</v>
      </c>
      <c r="E22929" s="8">
        <v>0</v>
      </c>
      <c r="F22929" s="8">
        <v>413</v>
      </c>
    </row>
    <row r="22930" spans="1:6" ht="12.75">
      <c r="A22930" s="8">
        <v>43894.027499999997</v>
      </c>
      <c r="B22930" s="8" t="str">
        <f>HYPERLINK("https://twitter.com/TambengBagong","@TambengBagong")</f>
        <v>@TambengBagong</v>
      </c>
      <c r="C22930" s="8" t="s">
        <v>7796</v>
      </c>
      <c r="D22930" s="8">
        <v>20</v>
      </c>
      <c r="E22930" s="8">
        <v>0</v>
      </c>
      <c r="F22930" s="8">
        <v>306</v>
      </c>
    </row>
    <row r="22931" spans="1:6" ht="12.75">
      <c r="A22931" s="8">
        <v>43894.026585648149</v>
      </c>
      <c r="B22931" s="8" t="str">
        <f>HYPERLINK("https://twitter.com/NinoGitar","@NinoGitar")</f>
        <v>@NinoGitar</v>
      </c>
      <c r="C22931" s="8" t="s">
        <v>4477</v>
      </c>
      <c r="D22931" s="8">
        <v>1229</v>
      </c>
      <c r="E22931" s="8">
        <v>0</v>
      </c>
      <c r="F22931" s="8">
        <v>108</v>
      </c>
    </row>
    <row r="22932" spans="1:6" ht="12.75">
      <c r="A22932" s="8">
        <v>43894.02652777778</v>
      </c>
      <c r="B22932" s="8" t="str">
        <f>HYPERLINK("https://twitter.com/bhaja27","@bhaja27")</f>
        <v>@bhaja27</v>
      </c>
      <c r="C22932" s="8" t="s">
        <v>8901</v>
      </c>
      <c r="D22932" s="8">
        <v>202</v>
      </c>
      <c r="E22932" s="8">
        <v>0</v>
      </c>
      <c r="F22932" s="8">
        <v>752</v>
      </c>
    </row>
    <row r="22933" spans="1:6" ht="12.75">
      <c r="A22933" s="8">
        <v>43894.026319444441</v>
      </c>
      <c r="B22933" s="8" t="str">
        <f>HYPERLINK("https://twitter.com/ISIS_Balik_NO","@ISIS_Balik_NO")</f>
        <v>@ISIS_Balik_NO</v>
      </c>
      <c r="C22933" s="8" t="s">
        <v>9310</v>
      </c>
      <c r="D22933" s="8">
        <v>3</v>
      </c>
      <c r="E22933" s="8">
        <v>5</v>
      </c>
      <c r="F22933" s="8">
        <v>6119</v>
      </c>
    </row>
    <row r="22934" spans="1:6" ht="12.75">
      <c r="A22934" s="8">
        <v>43894.025497685187</v>
      </c>
      <c r="B22934" s="8" t="str">
        <f>HYPERLINK("https://twitter.com/BudiTurmudzi","@BudiTurmudzi")</f>
        <v>@BudiTurmudzi</v>
      </c>
      <c r="C22934" s="8" t="s">
        <v>9128</v>
      </c>
      <c r="D22934" s="8">
        <v>190</v>
      </c>
      <c r="E22934" s="8">
        <v>0</v>
      </c>
      <c r="F22934" s="8">
        <v>696</v>
      </c>
    </row>
    <row r="22935" spans="1:6" ht="12.75">
      <c r="A22935" s="8">
        <v>43894.024837962963</v>
      </c>
      <c r="B22935" s="8" t="str">
        <f>HYPERLINK("https://twitter.com/SaatTobat","@SaatTobat")</f>
        <v>@SaatTobat</v>
      </c>
      <c r="C22935" s="8" t="s">
        <v>7796</v>
      </c>
      <c r="D22935" s="8">
        <v>20</v>
      </c>
      <c r="E22935" s="8">
        <v>0</v>
      </c>
      <c r="F22935" s="8">
        <v>1467</v>
      </c>
    </row>
    <row r="22936" spans="1:6" ht="12.75">
      <c r="A22936" s="8">
        <v>43894.024456018524</v>
      </c>
      <c r="B22936" s="8" t="str">
        <f>HYPERLINK("https://twitter.com/ErindaSofi","@ErindaSofi")</f>
        <v>@ErindaSofi</v>
      </c>
      <c r="C22936" s="8" t="s">
        <v>9307</v>
      </c>
      <c r="D22936" s="8">
        <v>4</v>
      </c>
      <c r="E22936" s="8">
        <v>0</v>
      </c>
      <c r="F22936" s="8">
        <v>6189</v>
      </c>
    </row>
    <row r="22937" spans="1:6" ht="12.75">
      <c r="A22937" s="8">
        <v>43894.024016203708</v>
      </c>
      <c r="B22937" s="8" t="str">
        <f>HYPERLINK("https://twitter.com/danrem","@danrem")</f>
        <v>@danrem</v>
      </c>
      <c r="C22937" s="8" t="s">
        <v>685</v>
      </c>
      <c r="D22937" s="8">
        <v>166</v>
      </c>
      <c r="E22937" s="8">
        <v>0</v>
      </c>
      <c r="F22937" s="8">
        <v>31513</v>
      </c>
    </row>
    <row r="22938" spans="1:6" ht="12.75">
      <c r="A22938" s="8">
        <v>43894.023923611108</v>
      </c>
      <c r="B22938" s="8" t="str">
        <f>HYPERLINK("https://twitter.com/BudiTurmudzi","@BudiTurmudzi")</f>
        <v>@BudiTurmudzi</v>
      </c>
      <c r="C22938" s="8" t="s">
        <v>1970</v>
      </c>
      <c r="D22938" s="8">
        <v>1287</v>
      </c>
      <c r="E22938" s="8">
        <v>0</v>
      </c>
      <c r="F22938" s="8">
        <v>696</v>
      </c>
    </row>
    <row r="22939" spans="1:6" ht="12.75">
      <c r="A22939" s="8">
        <v>43894.0237037037</v>
      </c>
      <c r="B22939" s="8" t="str">
        <f>HYPERLINK("https://twitter.com/nasfayaretno","@nasfayaretno")</f>
        <v>@nasfayaretno</v>
      </c>
      <c r="C22939" s="8" t="s">
        <v>2199</v>
      </c>
      <c r="D22939" s="8">
        <v>9048</v>
      </c>
      <c r="E22939" s="8">
        <v>0</v>
      </c>
      <c r="F22939" s="8">
        <v>281</v>
      </c>
    </row>
    <row r="22940" spans="1:6" ht="12.75">
      <c r="A22940" s="8">
        <v>43894.023576388892</v>
      </c>
      <c r="B22940" s="8" t="str">
        <f>HYPERLINK("https://twitter.com/don_howei","@don_howei")</f>
        <v>@don_howei</v>
      </c>
      <c r="C22940" s="8" t="s">
        <v>9307</v>
      </c>
      <c r="D22940" s="8">
        <v>4</v>
      </c>
      <c r="E22940" s="8">
        <v>0</v>
      </c>
      <c r="F22940" s="8">
        <v>2273</v>
      </c>
    </row>
    <row r="22941" spans="1:6" ht="12.75">
      <c r="A22941" s="8">
        <v>43894.023518518516</v>
      </c>
      <c r="B22941" s="8" t="str">
        <f>HYPERLINK("https://twitter.com/natalegawa_7","@natalegawa_7")</f>
        <v>@natalegawa_7</v>
      </c>
      <c r="C22941" s="8" t="s">
        <v>7197</v>
      </c>
      <c r="D22941" s="8">
        <v>91</v>
      </c>
      <c r="E22941" s="8">
        <v>0</v>
      </c>
      <c r="F22941" s="8">
        <v>811</v>
      </c>
    </row>
    <row r="22942" spans="1:6" ht="12.75">
      <c r="A22942" s="8">
        <v>43894.023263888885</v>
      </c>
      <c r="B22942" s="8" t="str">
        <f>HYPERLINK("https://twitter.com/cupmabrur","@cupmabrur")</f>
        <v>@cupmabrur</v>
      </c>
      <c r="C22942" s="8" t="s">
        <v>9311</v>
      </c>
      <c r="D22942" s="8">
        <v>0</v>
      </c>
      <c r="E22942" s="8">
        <v>0</v>
      </c>
      <c r="F22942" s="8">
        <v>413</v>
      </c>
    </row>
    <row r="22943" spans="1:6" ht="12.75">
      <c r="A22943" s="8">
        <v>43894.023136574076</v>
      </c>
      <c r="B22943" s="8" t="str">
        <f>HYPERLINK("https://twitter.com/Syamsud41732201","@Syamsud41732201")</f>
        <v>@Syamsud41732201</v>
      </c>
      <c r="C22943" s="8" t="s">
        <v>9312</v>
      </c>
      <c r="D22943" s="8">
        <v>19</v>
      </c>
      <c r="E22943" s="8">
        <v>0</v>
      </c>
      <c r="F22943" s="8">
        <v>736</v>
      </c>
    </row>
    <row r="22944" spans="1:6" ht="12.75">
      <c r="A22944" s="8">
        <v>43894.022581018522</v>
      </c>
      <c r="B22944" s="8" t="str">
        <f>HYPERLINK("https://twitter.com/R_maruli","@R_maruli")</f>
        <v>@R_maruli</v>
      </c>
      <c r="C22944" s="8" t="s">
        <v>1986</v>
      </c>
      <c r="D22944" s="8">
        <v>839</v>
      </c>
      <c r="E22944" s="8">
        <v>0</v>
      </c>
      <c r="F22944" s="8">
        <v>239</v>
      </c>
    </row>
    <row r="22945" spans="1:6" ht="12.75">
      <c r="A22945" s="8">
        <v>43894.02207175926</v>
      </c>
      <c r="B22945" s="8" t="str">
        <f>HYPERLINK("https://twitter.com/abdulla41734805","@abdulla41734805")</f>
        <v>@abdulla41734805</v>
      </c>
      <c r="C22945" s="8" t="s">
        <v>9313</v>
      </c>
      <c r="D22945" s="8">
        <v>0</v>
      </c>
      <c r="E22945" s="8">
        <v>0</v>
      </c>
      <c r="F22945" s="8">
        <v>20</v>
      </c>
    </row>
    <row r="22946" spans="1:6" ht="12.75">
      <c r="A22946" s="8">
        <v>43894.021203703705</v>
      </c>
      <c r="B22946" s="8" t="str">
        <f>HYPERLINK("https://twitter.com/ardana333","@ardana333")</f>
        <v>@ardana333</v>
      </c>
      <c r="C22946" s="8" t="s">
        <v>6827</v>
      </c>
      <c r="D22946" s="8">
        <v>40</v>
      </c>
      <c r="E22946" s="8">
        <v>0</v>
      </c>
      <c r="F22946" s="8">
        <v>355</v>
      </c>
    </row>
    <row r="22947" spans="1:6" ht="12.75">
      <c r="A22947" s="8">
        <v>43894.020810185189</v>
      </c>
      <c r="B22947" s="8" t="str">
        <f>HYPERLINK("https://twitter.com/Nitizen_Zen","@Nitizen_Zen")</f>
        <v>@Nitizen_Zen</v>
      </c>
      <c r="C22947" s="8" t="s">
        <v>7796</v>
      </c>
      <c r="D22947" s="8">
        <v>20</v>
      </c>
      <c r="E22947" s="8">
        <v>0</v>
      </c>
      <c r="F22947" s="8">
        <v>457</v>
      </c>
    </row>
    <row r="22948" spans="1:6" ht="12.75">
      <c r="A22948" s="8">
        <v>43894.020324074074</v>
      </c>
      <c r="B22948" s="8" t="str">
        <f>HYPERLINK("https://twitter.com/Pr0_NKRI","@Pr0_NKRI")</f>
        <v>@Pr0_NKRI</v>
      </c>
      <c r="C22948" s="8" t="s">
        <v>6315</v>
      </c>
      <c r="D22948" s="8">
        <v>138</v>
      </c>
      <c r="E22948" s="8">
        <v>0</v>
      </c>
      <c r="F22948" s="8">
        <v>3474</v>
      </c>
    </row>
    <row r="22949" spans="1:6" ht="12.75">
      <c r="A22949" s="8">
        <v>43894.020289351851</v>
      </c>
      <c r="B22949" s="8" t="str">
        <f>HYPERLINK("https://twitter.com/UrubingDilah","@UrubingDilah")</f>
        <v>@UrubingDilah</v>
      </c>
      <c r="C22949" s="8" t="s">
        <v>7516</v>
      </c>
      <c r="D22949" s="8">
        <v>24</v>
      </c>
      <c r="E22949" s="8">
        <v>0</v>
      </c>
      <c r="F22949" s="8">
        <v>1367</v>
      </c>
    </row>
    <row r="22950" spans="1:6" ht="12.75">
      <c r="A22950" s="8">
        <v>43894.020289351851</v>
      </c>
      <c r="B22950" s="8" t="str">
        <f>HYPERLINK("https://twitter.com/harihariono1","@harihariono1")</f>
        <v>@harihariono1</v>
      </c>
      <c r="C22950" s="8" t="s">
        <v>9307</v>
      </c>
      <c r="D22950" s="8">
        <v>4</v>
      </c>
      <c r="E22950" s="8">
        <v>0</v>
      </c>
      <c r="F22950" s="8">
        <v>9479</v>
      </c>
    </row>
    <row r="22951" spans="1:6" ht="12.75">
      <c r="A22951" s="8">
        <v>43894.020277777774</v>
      </c>
      <c r="B22951" s="8" t="str">
        <f>HYPERLINK("https://twitter.com/ginamasva1717","@ginamasva1717")</f>
        <v>@ginamasva1717</v>
      </c>
      <c r="C22951" s="8" t="s">
        <v>7430</v>
      </c>
      <c r="D22951" s="8">
        <v>9</v>
      </c>
      <c r="E22951" s="8">
        <v>0</v>
      </c>
      <c r="F22951" s="8">
        <v>595</v>
      </c>
    </row>
    <row r="22952" spans="1:6" ht="12.75">
      <c r="A22952" s="8">
        <v>43894.020162037035</v>
      </c>
      <c r="B22952" s="8" t="str">
        <f>HYPERLINK("https://twitter.com/abdulla41734805","@abdulla41734805")</f>
        <v>@abdulla41734805</v>
      </c>
      <c r="C22952" s="8" t="s">
        <v>9314</v>
      </c>
      <c r="D22952" s="8">
        <v>0</v>
      </c>
      <c r="E22952" s="8">
        <v>0</v>
      </c>
      <c r="F22952" s="8">
        <v>20</v>
      </c>
    </row>
    <row r="22953" spans="1:6" ht="12.75">
      <c r="A22953" s="8">
        <v>43894.020092592589</v>
      </c>
      <c r="B22953" s="8" t="str">
        <f>HYPERLINK("https://twitter.com/harihariono1","@harihariono1")</f>
        <v>@harihariono1</v>
      </c>
      <c r="C22953" s="8" t="s">
        <v>7796</v>
      </c>
      <c r="D22953" s="8">
        <v>20</v>
      </c>
      <c r="E22953" s="8">
        <v>0</v>
      </c>
      <c r="F22953" s="8">
        <v>9479</v>
      </c>
    </row>
    <row r="22954" spans="1:6" ht="12.75">
      <c r="A22954" s="8">
        <v>43894.01944444445</v>
      </c>
      <c r="B22954" s="8" t="str">
        <f>HYPERLINK("https://twitter.com/NES40135128","@NES40135128")</f>
        <v>@NES40135128</v>
      </c>
      <c r="C22954" s="8" t="s">
        <v>6315</v>
      </c>
      <c r="D22954" s="8">
        <v>138</v>
      </c>
      <c r="E22954" s="8">
        <v>0</v>
      </c>
      <c r="F22954" s="8">
        <v>977</v>
      </c>
    </row>
    <row r="22955" spans="1:6" ht="12.75">
      <c r="A22955" s="8">
        <v>43894.019375000003</v>
      </c>
      <c r="B22955" s="8" t="str">
        <f>HYPERLINK("https://twitter.com/abdulla41734805","@abdulla41734805")</f>
        <v>@abdulla41734805</v>
      </c>
      <c r="C22955" s="8" t="s">
        <v>9315</v>
      </c>
      <c r="D22955" s="8">
        <v>0</v>
      </c>
      <c r="E22955" s="8">
        <v>0</v>
      </c>
      <c r="F22955" s="8">
        <v>20</v>
      </c>
    </row>
    <row r="22956" spans="1:6" ht="12.75">
      <c r="A22956" s="8">
        <v>43894.019062499996</v>
      </c>
      <c r="B22956" s="8" t="str">
        <f>HYPERLINK("https://twitter.com/MZubir_ID","@MZubir_ID")</f>
        <v>@MZubir_ID</v>
      </c>
      <c r="C22956" s="8" t="s">
        <v>9316</v>
      </c>
      <c r="D22956" s="8">
        <v>4</v>
      </c>
      <c r="E22956" s="8">
        <v>5</v>
      </c>
      <c r="F22956" s="8">
        <v>5861</v>
      </c>
    </row>
    <row r="22957" spans="1:6" ht="12.75">
      <c r="A22957" s="8">
        <v>43894.018865740742</v>
      </c>
      <c r="B22957" s="8" t="str">
        <f>HYPERLINK("https://twitter.com/KacungBukan","@KacungBukan")</f>
        <v>@KacungBukan</v>
      </c>
      <c r="C22957" s="8" t="s">
        <v>8901</v>
      </c>
      <c r="D22957" s="8">
        <v>202</v>
      </c>
      <c r="E22957" s="8">
        <v>0</v>
      </c>
      <c r="F22957" s="8">
        <v>306</v>
      </c>
    </row>
    <row r="22958" spans="1:6" ht="12.75">
      <c r="A22958" s="8">
        <v>43894.018796296295</v>
      </c>
      <c r="B22958" s="8" t="str">
        <f>HYPERLINK("https://twitter.com/rizkituningsih1","@rizkituningsih1")</f>
        <v>@rizkituningsih1</v>
      </c>
      <c r="C22958" s="8" t="s">
        <v>9159</v>
      </c>
      <c r="D22958" s="8">
        <v>11</v>
      </c>
      <c r="E22958" s="8">
        <v>0</v>
      </c>
      <c r="F22958" s="8">
        <v>466</v>
      </c>
    </row>
    <row r="22959" spans="1:6" ht="12.75">
      <c r="A22959" s="8">
        <v>43894.01866898148</v>
      </c>
      <c r="B22959" s="8" t="str">
        <f>HYPERLINK("https://twitter.com/DennyLawyer6970","@DennyLawyer6970")</f>
        <v>@DennyLawyer6970</v>
      </c>
      <c r="C22959" s="8" t="s">
        <v>6315</v>
      </c>
      <c r="D22959" s="8">
        <v>138</v>
      </c>
      <c r="E22959" s="8">
        <v>0</v>
      </c>
      <c r="F22959" s="8">
        <v>1085</v>
      </c>
    </row>
    <row r="22960" spans="1:6" ht="12.75">
      <c r="A22960" s="8">
        <v>43894.017129629632</v>
      </c>
      <c r="B22960" s="8" t="str">
        <f>HYPERLINK("https://twitter.com/VoxPopuliID","@VoxPopuliID")</f>
        <v>@VoxPopuliID</v>
      </c>
      <c r="C22960" s="8" t="s">
        <v>9317</v>
      </c>
      <c r="D22960" s="8">
        <v>0</v>
      </c>
      <c r="E22960" s="8">
        <v>0</v>
      </c>
      <c r="F22960" s="8">
        <v>728</v>
      </c>
    </row>
    <row r="22961" spans="1:6" ht="12.75">
      <c r="A22961" s="8">
        <v>43894.017083333332</v>
      </c>
      <c r="B22961" s="8" t="str">
        <f>HYPERLINK("https://twitter.com/SebastianBara4","@SebastianBara4")</f>
        <v>@SebastianBara4</v>
      </c>
      <c r="C22961" s="8" t="s">
        <v>9317</v>
      </c>
      <c r="D22961" s="8">
        <v>0</v>
      </c>
      <c r="E22961" s="8">
        <v>0</v>
      </c>
      <c r="F22961" s="8">
        <v>1</v>
      </c>
    </row>
    <row r="22962" spans="1:6" ht="12.75">
      <c r="A22962" s="8">
        <v>43894.017025462963</v>
      </c>
      <c r="B22962" s="8" t="str">
        <f>HYPERLINK("https://twitter.com/tim5ima","@tim5ima")</f>
        <v>@tim5ima</v>
      </c>
      <c r="C22962" s="8" t="s">
        <v>9146</v>
      </c>
      <c r="D22962" s="8">
        <v>69</v>
      </c>
      <c r="E22962" s="8">
        <v>0</v>
      </c>
      <c r="F22962" s="8">
        <v>69</v>
      </c>
    </row>
    <row r="22963" spans="1:6" ht="12.75">
      <c r="A22963" s="8">
        <v>43894.017013888893</v>
      </c>
      <c r="B22963" s="8" t="str">
        <f>HYPERLINK("https://twitter.com/spirit_1945","@spirit_1945")</f>
        <v>@spirit_1945</v>
      </c>
      <c r="C22963" s="8" t="s">
        <v>9317</v>
      </c>
      <c r="D22963" s="8">
        <v>0</v>
      </c>
      <c r="E22963" s="8">
        <v>0</v>
      </c>
      <c r="F22963" s="8">
        <v>121</v>
      </c>
    </row>
    <row r="22964" spans="1:6" ht="12.75">
      <c r="A22964" s="8">
        <v>43894.016944444447</v>
      </c>
      <c r="B22964" s="8" t="str">
        <f>HYPERLINK("https://twitter.com/kurakuraninjaid","@kurakuraninjaid")</f>
        <v>@kurakuraninjaid</v>
      </c>
      <c r="C22964" s="8" t="s">
        <v>9317</v>
      </c>
      <c r="D22964" s="8">
        <v>0</v>
      </c>
      <c r="E22964" s="8">
        <v>0</v>
      </c>
      <c r="F22964" s="8">
        <v>309</v>
      </c>
    </row>
    <row r="22965" spans="1:6" ht="12.75">
      <c r="A22965" s="8">
        <v>43894.016886574071</v>
      </c>
      <c r="B22965" s="8" t="str">
        <f>HYPERLINK("https://twitter.com/cikyber","@cikyber")</f>
        <v>@cikyber</v>
      </c>
      <c r="C22965" s="8" t="s">
        <v>9317</v>
      </c>
      <c r="D22965" s="8">
        <v>0</v>
      </c>
      <c r="E22965" s="8">
        <v>0</v>
      </c>
      <c r="F22965" s="8">
        <v>292</v>
      </c>
    </row>
    <row r="22966" spans="1:6" ht="12.75">
      <c r="A22966" s="8">
        <v>43894.016851851848</v>
      </c>
      <c r="B22966" s="8" t="str">
        <f>HYPERLINK("https://twitter.com/imanhidayat1280","@imanhidayat1280")</f>
        <v>@imanhidayat1280</v>
      </c>
      <c r="C22966" s="8" t="s">
        <v>9146</v>
      </c>
      <c r="D22966" s="8">
        <v>69</v>
      </c>
      <c r="E22966" s="8">
        <v>0</v>
      </c>
      <c r="F22966" s="8">
        <v>633</v>
      </c>
    </row>
    <row r="22967" spans="1:6" ht="12.75">
      <c r="A22967" s="8">
        <v>43894.016747685186</v>
      </c>
      <c r="B22967" s="8" t="str">
        <f>HYPERLINK("https://twitter.com/lholhaklholhok","@lholhaklholhok")</f>
        <v>@lholhaklholhok</v>
      </c>
      <c r="C22967" s="8" t="s">
        <v>9318</v>
      </c>
      <c r="D22967" s="8">
        <v>0</v>
      </c>
      <c r="E22967" s="8">
        <v>0</v>
      </c>
      <c r="F22967" s="8">
        <v>5</v>
      </c>
    </row>
    <row r="22968" spans="1:6" ht="12.75">
      <c r="A22968" s="8">
        <v>43894.016712962963</v>
      </c>
      <c r="B22968" s="8" t="str">
        <f>HYPERLINK("https://twitter.com/AbdullahMujeed","@AbdullahMujeed")</f>
        <v>@AbdullahMujeed</v>
      </c>
      <c r="C22968" s="8" t="s">
        <v>9317</v>
      </c>
      <c r="D22968" s="8">
        <v>0</v>
      </c>
      <c r="E22968" s="8">
        <v>0</v>
      </c>
      <c r="F22968" s="8">
        <v>3</v>
      </c>
    </row>
    <row r="22969" spans="1:6" ht="12.75">
      <c r="A22969" s="8">
        <v>43894.016655092593</v>
      </c>
      <c r="B22969" s="8" t="str">
        <f>HYPERLINK("https://twitter.com/bensutasoma","@bensutasoma")</f>
        <v>@bensutasoma</v>
      </c>
      <c r="C22969" s="8" t="s">
        <v>9317</v>
      </c>
      <c r="D22969" s="8">
        <v>0</v>
      </c>
      <c r="E22969" s="8">
        <v>0</v>
      </c>
      <c r="F22969" s="8">
        <v>1</v>
      </c>
    </row>
    <row r="22970" spans="1:6" ht="12.75">
      <c r="A22970" s="8">
        <v>43894.01662037037</v>
      </c>
      <c r="B22970" s="8" t="str">
        <f>HYPERLINK("https://twitter.com/antar_kabar","@antar_kabar")</f>
        <v>@antar_kabar</v>
      </c>
      <c r="C22970" s="8" t="s">
        <v>9319</v>
      </c>
      <c r="D22970" s="8">
        <v>0</v>
      </c>
      <c r="E22970" s="8">
        <v>0</v>
      </c>
      <c r="F22970" s="8">
        <v>1129</v>
      </c>
    </row>
    <row r="22971" spans="1:6" ht="12.75">
      <c r="A22971" s="8">
        <v>43894.015810185185</v>
      </c>
      <c r="B22971" s="8" t="str">
        <f>HYPERLINK("https://twitter.com/topinfo_id","@topinfo_id")</f>
        <v>@topinfo_id</v>
      </c>
      <c r="C22971" s="8" t="s">
        <v>9320</v>
      </c>
      <c r="D22971" s="8">
        <v>0</v>
      </c>
      <c r="E22971" s="8">
        <v>0</v>
      </c>
      <c r="F22971" s="8">
        <v>38</v>
      </c>
    </row>
    <row r="22972" spans="1:6" ht="12.75">
      <c r="A22972" s="8">
        <v>43894.015520833331</v>
      </c>
      <c r="B22972" s="8" t="str">
        <f>HYPERLINK("https://twitter.com/Sriusleh","@Sriusleh")</f>
        <v>@Sriusleh</v>
      </c>
      <c r="C22972" s="8" t="s">
        <v>9321</v>
      </c>
      <c r="D22972" s="8">
        <v>0</v>
      </c>
      <c r="E22972" s="8">
        <v>1</v>
      </c>
      <c r="F22972" s="8">
        <v>29</v>
      </c>
    </row>
    <row r="22973" spans="1:6" ht="12.75">
      <c r="A22973" s="8">
        <v>43894.015185185184</v>
      </c>
      <c r="B22973" s="8" t="str">
        <f>HYPERLINK("https://twitter.com/Diniastro","@Diniastro")</f>
        <v>@Diniastro</v>
      </c>
      <c r="C22973" s="8" t="s">
        <v>9322</v>
      </c>
      <c r="D22973" s="8">
        <v>0</v>
      </c>
      <c r="E22973" s="8">
        <v>0</v>
      </c>
      <c r="F22973" s="8">
        <v>639</v>
      </c>
    </row>
    <row r="22974" spans="1:6" ht="12.75">
      <c r="A22974" s="8">
        <v>43894.014976851853</v>
      </c>
      <c r="B22974" s="8" t="str">
        <f>HYPERLINK("https://twitter.com/Cupidlucky2","@Cupidlucky2")</f>
        <v>@Cupidlucky2</v>
      </c>
      <c r="C22974" s="8" t="s">
        <v>685</v>
      </c>
      <c r="D22974" s="8">
        <v>166</v>
      </c>
      <c r="E22974" s="8">
        <v>0</v>
      </c>
      <c r="F22974" s="8">
        <v>25</v>
      </c>
    </row>
    <row r="22975" spans="1:6" ht="12.75">
      <c r="A22975" s="8">
        <v>43894.013981481483</v>
      </c>
      <c r="B22975" s="8" t="str">
        <f>HYPERLINK("https://twitter.com/J_JK2019","@J_JK2019")</f>
        <v>@J_JK2019</v>
      </c>
      <c r="C22975" s="8" t="s">
        <v>9323</v>
      </c>
      <c r="D22975" s="8">
        <v>0</v>
      </c>
      <c r="E22975" s="8">
        <v>0</v>
      </c>
      <c r="F22975" s="8">
        <v>971</v>
      </c>
    </row>
    <row r="22976" spans="1:6" ht="12.75">
      <c r="A22976" s="8">
        <v>43894.013877314814</v>
      </c>
      <c r="B22976" s="8" t="str">
        <f>HYPERLINK("https://twitter.com/garisdepannkri","@garisdepannkri")</f>
        <v>@garisdepannkri</v>
      </c>
      <c r="C22976" s="8" t="s">
        <v>9317</v>
      </c>
      <c r="D22976" s="8">
        <v>0</v>
      </c>
      <c r="E22976" s="8">
        <v>0</v>
      </c>
      <c r="F22976" s="8">
        <v>7</v>
      </c>
    </row>
    <row r="22977" spans="1:6" ht="12.75">
      <c r="A22977" s="8">
        <v>43894.013692129629</v>
      </c>
      <c r="B22977" s="8" t="str">
        <f>HYPERLINK("https://twitter.com/dickybaba","@dickybaba")</f>
        <v>@dickybaba</v>
      </c>
      <c r="C22977" s="8" t="s">
        <v>6315</v>
      </c>
      <c r="D22977" s="8">
        <v>138</v>
      </c>
      <c r="E22977" s="8">
        <v>0</v>
      </c>
      <c r="F22977" s="8">
        <v>32</v>
      </c>
    </row>
    <row r="22978" spans="1:6" ht="12.75">
      <c r="A22978" s="8">
        <v>43894.013252314813</v>
      </c>
      <c r="B22978" s="8" t="str">
        <f>HYPERLINK("https://twitter.com/yuhu_yuhu2018","@yuhu_yuhu2018")</f>
        <v>@yuhu_yuhu2018</v>
      </c>
      <c r="C22978" s="8" t="s">
        <v>9324</v>
      </c>
      <c r="D22978" s="8">
        <v>0</v>
      </c>
      <c r="E22978" s="8">
        <v>0</v>
      </c>
      <c r="F22978" s="8">
        <v>594</v>
      </c>
    </row>
    <row r="22979" spans="1:6" ht="12.75">
      <c r="A22979" s="8">
        <v>43894.012824074074</v>
      </c>
      <c r="B22979" s="8" t="str">
        <f>HYPERLINK("https://twitter.com/diditmuhammad","@diditmuhammad")</f>
        <v>@diditmuhammad</v>
      </c>
      <c r="C22979" s="8" t="s">
        <v>8322</v>
      </c>
      <c r="D22979" s="8">
        <v>772</v>
      </c>
      <c r="E22979" s="8">
        <v>0</v>
      </c>
      <c r="F22979" s="8">
        <v>497</v>
      </c>
    </row>
    <row r="22980" spans="1:6" ht="12.75">
      <c r="A22980" s="8">
        <v>43894.012812500005</v>
      </c>
      <c r="B22980" s="8" t="str">
        <f>HYPERLINK("https://twitter.com/Scard111","@Scard111")</f>
        <v>@Scard111</v>
      </c>
      <c r="C22980" s="8" t="s">
        <v>1970</v>
      </c>
      <c r="D22980" s="8">
        <v>1287</v>
      </c>
      <c r="E22980" s="8">
        <v>0</v>
      </c>
      <c r="F22980" s="8">
        <v>98</v>
      </c>
    </row>
    <row r="22981" spans="1:6" ht="12.75">
      <c r="A22981" s="8">
        <v>43894.012604166666</v>
      </c>
      <c r="B22981" s="8" t="str">
        <f>HYPERLINK("https://twitter.com/MadirodokSia","@MadirodokSia")</f>
        <v>@MadirodokSia</v>
      </c>
      <c r="C22981" s="8" t="s">
        <v>8591</v>
      </c>
      <c r="D22981" s="8">
        <v>0</v>
      </c>
      <c r="E22981" s="8">
        <v>0</v>
      </c>
      <c r="F22981" s="8">
        <v>164</v>
      </c>
    </row>
    <row r="22982" spans="1:6" ht="12.75">
      <c r="A22982" s="8">
        <v>43894.012430555551</v>
      </c>
      <c r="B22982" s="8" t="str">
        <f>HYPERLINK("https://twitter.com/InilahOnline","@InilahOnline")</f>
        <v>@InilahOnline</v>
      </c>
      <c r="C22982" s="8" t="s">
        <v>8591</v>
      </c>
      <c r="D22982" s="8">
        <v>0</v>
      </c>
      <c r="E22982" s="8">
        <v>0</v>
      </c>
      <c r="F22982" s="8">
        <v>79</v>
      </c>
    </row>
    <row r="22983" spans="1:6" ht="12.75">
      <c r="A22983" s="8">
        <v>43894.011932870373</v>
      </c>
      <c r="B22983" s="8" t="str">
        <f>HYPERLINK("https://twitter.com/AEPishere","@AEPishere")</f>
        <v>@AEPishere</v>
      </c>
      <c r="C22983" s="8" t="s">
        <v>9325</v>
      </c>
      <c r="D22983" s="8">
        <v>2</v>
      </c>
      <c r="E22983" s="8">
        <v>0</v>
      </c>
      <c r="F22983" s="8">
        <v>3009</v>
      </c>
    </row>
    <row r="22984" spans="1:6" ht="12.75">
      <c r="A22984" s="8">
        <v>43894.01158564815</v>
      </c>
      <c r="B22984" s="8" t="str">
        <f>HYPERLINK("https://twitter.com/ndez_keyz","@ndez_keyz")</f>
        <v>@ndez_keyz</v>
      </c>
      <c r="C22984" s="8" t="s">
        <v>9326</v>
      </c>
      <c r="D22984" s="8">
        <v>5</v>
      </c>
      <c r="E22984" s="8">
        <v>0</v>
      </c>
      <c r="F22984" s="8">
        <v>156</v>
      </c>
    </row>
    <row r="22985" spans="1:6" ht="12.75">
      <c r="A22985" s="8">
        <v>43894.00675925926</v>
      </c>
      <c r="B22985" s="8" t="str">
        <f>HYPERLINK("https://twitter.com/4nd103125330","@4nd103125330")</f>
        <v>@4nd103125330</v>
      </c>
      <c r="C22985" s="8" t="s">
        <v>1970</v>
      </c>
      <c r="D22985" s="8">
        <v>1282</v>
      </c>
      <c r="E22985" s="8">
        <v>0</v>
      </c>
      <c r="F22985" s="8">
        <v>1712</v>
      </c>
    </row>
    <row r="22986" spans="1:6" ht="12.75">
      <c r="A22986" s="8">
        <v>43894.006296296298</v>
      </c>
      <c r="B22986" s="8" t="str">
        <f>HYPERLINK("https://twitter.com/TambengBagong","@TambengBagong")</f>
        <v>@TambengBagong</v>
      </c>
      <c r="C22986" s="8" t="s">
        <v>9327</v>
      </c>
      <c r="D22986" s="8">
        <v>3</v>
      </c>
      <c r="E22986" s="8">
        <v>0</v>
      </c>
      <c r="F22986" s="8">
        <v>302</v>
      </c>
    </row>
    <row r="22987" spans="1:6" ht="12.75">
      <c r="A22987" s="8">
        <v>43894.006238425922</v>
      </c>
      <c r="B22987" s="8" t="str">
        <f>HYPERLINK("https://twitter.com/AEPishere","@AEPishere")</f>
        <v>@AEPishere</v>
      </c>
      <c r="C22987" s="8" t="s">
        <v>8281</v>
      </c>
      <c r="D22987" s="8">
        <v>58</v>
      </c>
      <c r="E22987" s="8">
        <v>0</v>
      </c>
      <c r="F22987" s="8">
        <v>3009</v>
      </c>
    </row>
    <row r="22988" spans="1:6" ht="12.75">
      <c r="A22988" s="8">
        <v>43894.005879629629</v>
      </c>
      <c r="B22988" s="8" t="str">
        <f>HYPERLINK("https://twitter.com/AnakKolong___","@AnakKolong___")</f>
        <v>@AnakKolong___</v>
      </c>
      <c r="C22988" s="8" t="s">
        <v>9328</v>
      </c>
      <c r="D22988" s="8">
        <v>2</v>
      </c>
      <c r="E22988" s="8">
        <v>0</v>
      </c>
      <c r="F22988" s="8">
        <v>7619</v>
      </c>
    </row>
    <row r="22989" spans="1:6" ht="12.75">
      <c r="A22989" s="8">
        <v>43894.005648148144</v>
      </c>
      <c r="B22989" s="8" t="str">
        <f>HYPERLINK("https://twitter.com/SulistyoHerly","@SulistyoHerly")</f>
        <v>@SulistyoHerly</v>
      </c>
      <c r="C22989" s="8" t="s">
        <v>8429</v>
      </c>
      <c r="D22989" s="8">
        <v>156</v>
      </c>
      <c r="E22989" s="8">
        <v>0</v>
      </c>
      <c r="F22989" s="8">
        <v>2386</v>
      </c>
    </row>
    <row r="22990" spans="1:6" ht="12.75">
      <c r="A22990" s="8">
        <v>43894.005613425921</v>
      </c>
      <c r="B22990" s="8" t="str">
        <f>HYPERLINK("https://twitter.com/UrubingDilah","@UrubingDilah")</f>
        <v>@UrubingDilah</v>
      </c>
      <c r="C22990" s="8" t="s">
        <v>6315</v>
      </c>
      <c r="D22990" s="8">
        <v>127</v>
      </c>
      <c r="E22990" s="8">
        <v>0</v>
      </c>
      <c r="F22990" s="8">
        <v>1367</v>
      </c>
    </row>
    <row r="22991" spans="1:6" ht="12.75">
      <c r="A22991" s="8">
        <v>43894.005601851852</v>
      </c>
      <c r="B22991" s="8" t="str">
        <f>HYPERLINK("https://twitter.com/menjelangasar","@menjelangasar")</f>
        <v>@menjelangasar</v>
      </c>
      <c r="C22991" s="8" t="s">
        <v>6315</v>
      </c>
      <c r="D22991" s="8">
        <v>127</v>
      </c>
      <c r="E22991" s="8">
        <v>0</v>
      </c>
      <c r="F22991" s="8">
        <v>1382</v>
      </c>
    </row>
    <row r="22992" spans="1:6" ht="12.75">
      <c r="A22992" s="8">
        <v>43894.005590277782</v>
      </c>
      <c r="B22992" s="8" t="str">
        <f>HYPERLINK("https://twitter.com/pambudhi_mn","@pambudhi_mn")</f>
        <v>@pambudhi_mn</v>
      </c>
      <c r="C22992" s="8" t="s">
        <v>8272</v>
      </c>
      <c r="D22992" s="8">
        <v>67</v>
      </c>
      <c r="E22992" s="8">
        <v>0</v>
      </c>
      <c r="F22992" s="8">
        <v>349</v>
      </c>
    </row>
    <row r="22993" spans="1:6" ht="12.75">
      <c r="A22993" s="8">
        <v>43894.005555555559</v>
      </c>
      <c r="B22993" s="8" t="str">
        <f>HYPERLINK("https://twitter.com/GagakNeww2","@GagakNeww2")</f>
        <v>@GagakNeww2</v>
      </c>
      <c r="C22993" s="8" t="s">
        <v>9328</v>
      </c>
      <c r="D22993" s="8">
        <v>2</v>
      </c>
      <c r="E22993" s="8">
        <v>0</v>
      </c>
      <c r="F22993" s="8">
        <v>444</v>
      </c>
    </row>
    <row r="22994" spans="1:6" ht="12.75">
      <c r="A22994" s="8">
        <v>43894.005497685182</v>
      </c>
      <c r="B22994" s="8" t="str">
        <f t="shared" ref="B22994:B22995" si="342">HYPERLINK("https://twitter.com/MondyJacob","@MondyJacob")</f>
        <v>@MondyJacob</v>
      </c>
      <c r="C22994" s="8" t="s">
        <v>7796</v>
      </c>
      <c r="D22994" s="8">
        <v>15</v>
      </c>
      <c r="E22994" s="8">
        <v>0</v>
      </c>
      <c r="F22994" s="8">
        <v>229</v>
      </c>
    </row>
    <row r="22995" spans="1:6" ht="12.75">
      <c r="A22995" s="8">
        <v>43894.004942129628</v>
      </c>
      <c r="B22995" s="8" t="str">
        <f t="shared" si="342"/>
        <v>@MondyJacob</v>
      </c>
      <c r="C22995" s="8" t="s">
        <v>9329</v>
      </c>
      <c r="D22995" s="8">
        <v>0</v>
      </c>
      <c r="E22995" s="8">
        <v>0</v>
      </c>
      <c r="F22995" s="8">
        <v>229</v>
      </c>
    </row>
    <row r="22996" spans="1:6" ht="12.75">
      <c r="A22996" s="8">
        <v>43894.004918981482</v>
      </c>
      <c r="B22996" s="8" t="str">
        <f>HYPERLINK("https://twitter.com/yudhapati88","@yudhapati88")</f>
        <v>@yudhapati88</v>
      </c>
      <c r="C22996" s="8" t="s">
        <v>9330</v>
      </c>
      <c r="D22996" s="8">
        <v>2</v>
      </c>
      <c r="E22996" s="8">
        <v>1</v>
      </c>
      <c r="F22996" s="8">
        <v>3442</v>
      </c>
    </row>
    <row r="22997" spans="1:6" ht="12.75">
      <c r="A22997" s="8">
        <v>43894.004733796297</v>
      </c>
      <c r="B22997" s="8" t="str">
        <f>HYPERLINK("https://twitter.com/asepardhan2","@asepardhan2")</f>
        <v>@asepardhan2</v>
      </c>
      <c r="C22997" s="8" t="s">
        <v>8272</v>
      </c>
      <c r="D22997" s="8">
        <v>67</v>
      </c>
      <c r="E22997" s="8">
        <v>0</v>
      </c>
      <c r="F22997" s="8">
        <v>1604</v>
      </c>
    </row>
    <row r="22998" spans="1:6" ht="12.75">
      <c r="A22998" s="8">
        <v>43894.004027777773</v>
      </c>
      <c r="B22998" s="8" t="str">
        <f>HYPERLINK("https://twitter.com/esya8official","@esya8official")</f>
        <v>@esya8official</v>
      </c>
      <c r="C22998" s="8" t="s">
        <v>6315</v>
      </c>
      <c r="D22998" s="8">
        <v>127</v>
      </c>
      <c r="E22998" s="8">
        <v>0</v>
      </c>
      <c r="F22998" s="8">
        <v>461</v>
      </c>
    </row>
    <row r="22999" spans="1:6" ht="12.75">
      <c r="A22999" s="8">
        <v>43894.003634259258</v>
      </c>
      <c r="B22999" s="8" t="str">
        <f>HYPERLINK("https://twitter.com/bryantsatrio","@bryantsatrio")</f>
        <v>@bryantsatrio</v>
      </c>
      <c r="C22999" s="8" t="s">
        <v>9331</v>
      </c>
      <c r="D22999" s="8">
        <v>0</v>
      </c>
      <c r="E22999" s="8">
        <v>0</v>
      </c>
      <c r="F22999" s="8">
        <v>7</v>
      </c>
    </row>
    <row r="23000" spans="1:6" ht="12.75">
      <c r="A23000" s="8">
        <v>43894.003495370373</v>
      </c>
      <c r="B23000" s="8" t="str">
        <f>HYPERLINK("https://twitter.com/rmol_id","@rmol_id")</f>
        <v>@rmol_id</v>
      </c>
      <c r="C23000" s="8" t="s">
        <v>9332</v>
      </c>
      <c r="D23000" s="8">
        <v>0</v>
      </c>
      <c r="E23000" s="8">
        <v>1</v>
      </c>
      <c r="F23000" s="8">
        <v>169089</v>
      </c>
    </row>
    <row r="23001" spans="1:6" ht="12.75">
      <c r="A23001" s="8">
        <v>43894.003437499996</v>
      </c>
      <c r="B23001" s="8" t="str">
        <f>HYPERLINK("https://twitter.com/AmstrongBiring","@AmstrongBiring")</f>
        <v>@AmstrongBiring</v>
      </c>
      <c r="C23001" s="8" t="s">
        <v>685</v>
      </c>
      <c r="D23001" s="8">
        <v>159</v>
      </c>
      <c r="E23001" s="8">
        <v>0</v>
      </c>
      <c r="F23001" s="8">
        <v>1988</v>
      </c>
    </row>
    <row r="23002" spans="1:6" ht="12.75">
      <c r="A23002" s="8">
        <v>43894.002962962964</v>
      </c>
      <c r="B23002" s="8" t="str">
        <f>HYPERLINK("https://twitter.com/lynkml","@lynkml")</f>
        <v>@lynkml</v>
      </c>
      <c r="C23002" s="8" t="s">
        <v>9333</v>
      </c>
      <c r="D23002" s="8">
        <v>8</v>
      </c>
      <c r="E23002" s="8">
        <v>0</v>
      </c>
      <c r="F23002" s="8">
        <v>37</v>
      </c>
    </row>
    <row r="23003" spans="1:6" ht="12.75">
      <c r="A23003" s="8">
        <v>43894.002569444448</v>
      </c>
      <c r="B23003" s="8" t="str">
        <f>HYPERLINK("https://twitter.com/teertaa","@teertaa")</f>
        <v>@teertaa</v>
      </c>
      <c r="C23003" s="8" t="s">
        <v>9334</v>
      </c>
      <c r="D23003" s="8">
        <v>0</v>
      </c>
      <c r="E23003" s="8">
        <v>0</v>
      </c>
      <c r="F23003" s="8">
        <v>315</v>
      </c>
    </row>
    <row r="23004" spans="1:6" ht="12.75">
      <c r="A23004" s="8">
        <v>43894.002129629633</v>
      </c>
      <c r="B23004" s="8" t="str">
        <f>HYPERLINK("https://twitter.com/sagakom","@sagakom")</f>
        <v>@sagakom</v>
      </c>
      <c r="C23004" s="8" t="s">
        <v>8043</v>
      </c>
      <c r="D23004" s="8">
        <v>0</v>
      </c>
      <c r="E23004" s="8">
        <v>0</v>
      </c>
      <c r="F23004" s="8">
        <v>285</v>
      </c>
    </row>
    <row r="23005" spans="1:6" ht="12.75">
      <c r="A23005" s="8">
        <v>43894.001747685186</v>
      </c>
      <c r="B23005" s="8" t="str">
        <f>HYPERLINK("https://twitter.com/Kang_Nurs","@Kang_Nurs")</f>
        <v>@Kang_Nurs</v>
      </c>
      <c r="C23005" s="8" t="s">
        <v>6827</v>
      </c>
      <c r="D23005" s="8">
        <v>39</v>
      </c>
      <c r="E23005" s="8">
        <v>0</v>
      </c>
      <c r="F23005" s="8">
        <v>1377</v>
      </c>
    </row>
    <row r="23006" spans="1:6" ht="12.75">
      <c r="A23006" s="8">
        <v>43894.001620370371</v>
      </c>
      <c r="B23006" s="8" t="str">
        <f>HYPERLINK("https://twitter.com/integrity160171","@integrity160171")</f>
        <v>@integrity160171</v>
      </c>
      <c r="C23006" s="8" t="s">
        <v>6764</v>
      </c>
      <c r="D23006" s="8">
        <v>157</v>
      </c>
      <c r="E23006" s="8">
        <v>0</v>
      </c>
      <c r="F23006" s="8">
        <v>496</v>
      </c>
    </row>
    <row r="23007" spans="1:6" ht="12.75">
      <c r="A23007" s="8">
        <v>43894.001597222217</v>
      </c>
      <c r="B23007" s="8" t="str">
        <f>HYPERLINK("https://twitter.com/ArSunantoaris","@ArSunantoaris")</f>
        <v>@ArSunantoaris</v>
      </c>
      <c r="C23007" s="8" t="s">
        <v>9327</v>
      </c>
      <c r="D23007" s="8">
        <v>3</v>
      </c>
      <c r="E23007" s="8">
        <v>0</v>
      </c>
      <c r="F23007" s="8">
        <v>3759</v>
      </c>
    </row>
    <row r="23008" spans="1:6" ht="12.75">
      <c r="A23008" s="8">
        <v>43894.001539351855</v>
      </c>
      <c r="B23008" s="8" t="str">
        <f>HYPERLINK("https://twitter.com/sagakom","@sagakom")</f>
        <v>@sagakom</v>
      </c>
      <c r="C23008" s="8" t="s">
        <v>8941</v>
      </c>
      <c r="D23008" s="8">
        <v>0</v>
      </c>
      <c r="E23008" s="8">
        <v>0</v>
      </c>
      <c r="F23008" s="8">
        <v>285</v>
      </c>
    </row>
    <row r="23009" spans="1:6" ht="12.75">
      <c r="A23009" s="8">
        <v>43894.001516203702</v>
      </c>
      <c r="B23009" s="8" t="str">
        <f>HYPERLINK("https://twitter.com/abielcokopay","@abielcokopay")</f>
        <v>@abielcokopay</v>
      </c>
      <c r="C23009" s="8" t="s">
        <v>8970</v>
      </c>
      <c r="D23009" s="8">
        <v>120</v>
      </c>
      <c r="E23009" s="8">
        <v>0</v>
      </c>
      <c r="F23009" s="8">
        <v>77</v>
      </c>
    </row>
    <row r="23010" spans="1:6" ht="12.75">
      <c r="A23010" s="8">
        <v>43894.00105324074</v>
      </c>
      <c r="B23010" s="8" t="str">
        <f>HYPERLINK("https://twitter.com/dila_romadhon","@dila_romadhon")</f>
        <v>@dila_romadhon</v>
      </c>
      <c r="C23010" s="8" t="s">
        <v>9117</v>
      </c>
      <c r="D23010" s="8">
        <v>410</v>
      </c>
      <c r="E23010" s="8">
        <v>0</v>
      </c>
      <c r="F23010" s="8">
        <v>122</v>
      </c>
    </row>
    <row r="23011" spans="1:6" ht="12.75">
      <c r="A23011" s="8">
        <v>43894.000324074077</v>
      </c>
      <c r="B23011" s="8" t="str">
        <f>HYPERLINK("https://twitter.com/Sanjayaluv","@Sanjayaluv")</f>
        <v>@Sanjayaluv</v>
      </c>
      <c r="C23011" s="8" t="s">
        <v>9335</v>
      </c>
      <c r="D23011" s="8">
        <v>0</v>
      </c>
      <c r="E23011" s="8">
        <v>0</v>
      </c>
      <c r="F23011" s="8">
        <v>3517</v>
      </c>
    </row>
    <row r="23012" spans="1:6" ht="12.75">
      <c r="A23012" s="8">
        <v>43894.000243055554</v>
      </c>
      <c r="B23012" s="8" t="str">
        <f>HYPERLINK("https://twitter.com/saul_we","@saul_we")</f>
        <v>@saul_we</v>
      </c>
      <c r="C23012" s="8" t="s">
        <v>6315</v>
      </c>
      <c r="D23012" s="8">
        <v>127</v>
      </c>
      <c r="E23012" s="8">
        <v>0</v>
      </c>
      <c r="F23012" s="8">
        <v>1018</v>
      </c>
    </row>
    <row r="23013" spans="1:6" ht="12.75">
      <c r="A23013" s="8">
        <v>43894</v>
      </c>
      <c r="B23013" s="8" t="str">
        <f>HYPERLINK("https://twitter.com/CNNIDdaily","@CNNIDdaily")</f>
        <v>@CNNIDdaily</v>
      </c>
      <c r="C23013" s="8" t="s">
        <v>9336</v>
      </c>
      <c r="D23013" s="8">
        <v>1</v>
      </c>
      <c r="E23013" s="8">
        <v>2</v>
      </c>
      <c r="F23013" s="8">
        <v>121269</v>
      </c>
    </row>
    <row r="23014" spans="1:6" ht="12.75">
      <c r="A23014" s="8">
        <v>43893.999664351853</v>
      </c>
      <c r="B23014" s="8" t="str">
        <f>HYPERLINK("https://twitter.com/afdolrezky","@afdolrezky")</f>
        <v>@afdolrezky</v>
      </c>
      <c r="C23014" s="8" t="s">
        <v>1970</v>
      </c>
      <c r="D23014" s="8">
        <v>1282</v>
      </c>
      <c r="E23014" s="8">
        <v>0</v>
      </c>
      <c r="F23014" s="8">
        <v>14</v>
      </c>
    </row>
    <row r="23015" spans="1:6" ht="12.75">
      <c r="A23015" s="8">
        <v>43893.999236111107</v>
      </c>
      <c r="B23015" s="8" t="str">
        <f>HYPERLINK("https://twitter.com/dikaceka","@dikaceka")</f>
        <v>@dikaceka</v>
      </c>
      <c r="C23015" s="8" t="s">
        <v>8868</v>
      </c>
      <c r="D23015" s="8">
        <v>176</v>
      </c>
      <c r="E23015" s="8">
        <v>0</v>
      </c>
      <c r="F23015" s="8">
        <v>16</v>
      </c>
    </row>
    <row r="23016" spans="1:6" ht="12.75">
      <c r="A23016" s="8">
        <v>43893.997395833328</v>
      </c>
      <c r="B23016" s="8" t="str">
        <f>HYPERLINK("https://twitter.com/Silviaaa_D","@Silviaaa_D")</f>
        <v>@Silviaaa_D</v>
      </c>
      <c r="C23016" s="8" t="s">
        <v>2962</v>
      </c>
      <c r="D23016" s="8">
        <v>5625</v>
      </c>
      <c r="E23016" s="8">
        <v>0</v>
      </c>
      <c r="F23016" s="8">
        <v>184</v>
      </c>
    </row>
    <row r="23017" spans="1:6" ht="12.75">
      <c r="A23017" s="8">
        <v>43893.997314814813</v>
      </c>
      <c r="B23017" s="8" t="str">
        <f>HYPERLINK("https://twitter.com/srikumoro","@srikumoro")</f>
        <v>@srikumoro</v>
      </c>
      <c r="C23017" s="8" t="s">
        <v>7197</v>
      </c>
      <c r="D23017" s="8">
        <v>90</v>
      </c>
      <c r="E23017" s="8">
        <v>0</v>
      </c>
      <c r="F23017" s="8">
        <v>1541</v>
      </c>
    </row>
    <row r="23018" spans="1:6" ht="12.75">
      <c r="A23018" s="8">
        <v>43893.996990740736</v>
      </c>
      <c r="B23018" s="8" t="str">
        <f>HYPERLINK("https://twitter.com/afdolrezky","@afdolrezky")</f>
        <v>@afdolrezky</v>
      </c>
      <c r="C23018" s="8" t="s">
        <v>6832</v>
      </c>
      <c r="D23018" s="8">
        <v>1049</v>
      </c>
      <c r="E23018" s="8">
        <v>0</v>
      </c>
      <c r="F23018" s="8">
        <v>14</v>
      </c>
    </row>
    <row r="23019" spans="1:6" ht="12.75">
      <c r="A23019" s="8">
        <v>43893.996701388889</v>
      </c>
      <c r="B23019" s="8" t="str">
        <f>HYPERLINK("https://twitter.com/WijyantoA","@WijyantoA")</f>
        <v>@WijyantoA</v>
      </c>
      <c r="C23019" s="8" t="s">
        <v>9337</v>
      </c>
      <c r="D23019" s="8">
        <v>0</v>
      </c>
      <c r="E23019" s="8">
        <v>0</v>
      </c>
      <c r="F23019" s="8">
        <v>31</v>
      </c>
    </row>
    <row r="23020" spans="1:6" ht="12.75">
      <c r="A23020" s="8">
        <v>43893.996099537035</v>
      </c>
      <c r="B23020" s="8" t="str">
        <f>HYPERLINK("https://twitter.com/wayankdy","@wayankdy")</f>
        <v>@wayankdy</v>
      </c>
      <c r="C23020" s="8" t="s">
        <v>9338</v>
      </c>
      <c r="D23020" s="8">
        <v>1</v>
      </c>
      <c r="E23020" s="8">
        <v>0</v>
      </c>
      <c r="F23020" s="8">
        <v>1633</v>
      </c>
    </row>
    <row r="23021" spans="1:6" ht="12.75">
      <c r="A23021" s="8">
        <v>43893.995937500003</v>
      </c>
      <c r="B23021" s="8" t="str">
        <f>HYPERLINK("https://twitter.com/gilakastengel","@gilakastengel")</f>
        <v>@gilakastengel</v>
      </c>
      <c r="C23021" s="8" t="s">
        <v>7597</v>
      </c>
      <c r="D23021" s="8">
        <v>716</v>
      </c>
      <c r="E23021" s="8">
        <v>0</v>
      </c>
      <c r="F23021" s="8">
        <v>11</v>
      </c>
    </row>
    <row r="23022" spans="1:6" ht="12.75">
      <c r="A23022" s="8">
        <v>43893.995937500003</v>
      </c>
      <c r="B23022" s="8" t="str">
        <f>HYPERLINK("https://twitter.com/wayankdy","@wayankdy")</f>
        <v>@wayankdy</v>
      </c>
      <c r="C23022" s="8" t="s">
        <v>2199</v>
      </c>
      <c r="D23022" s="8">
        <v>9046</v>
      </c>
      <c r="E23022" s="8">
        <v>0</v>
      </c>
      <c r="F23022" s="8">
        <v>1633</v>
      </c>
    </row>
    <row r="23023" spans="1:6" ht="12.75">
      <c r="A23023" s="8">
        <v>43893.99591435185</v>
      </c>
      <c r="B23023" s="8" t="str">
        <f>HYPERLINK("https://twitter.com/dubie_tina","@dubie_tina")</f>
        <v>@dubie_tina</v>
      </c>
      <c r="C23023" s="8" t="s">
        <v>7516</v>
      </c>
      <c r="D23023" s="8">
        <v>22</v>
      </c>
      <c r="E23023" s="8">
        <v>0</v>
      </c>
      <c r="F23023" s="8">
        <v>1072</v>
      </c>
    </row>
    <row r="23024" spans="1:6" ht="12.75">
      <c r="A23024" s="8">
        <v>43893.995532407411</v>
      </c>
      <c r="B23024" s="8" t="str">
        <f>HYPERLINK("https://twitter.com/si_tiurmatio","@si_tiurmatio")</f>
        <v>@si_tiurmatio</v>
      </c>
      <c r="C23024" s="8" t="s">
        <v>8738</v>
      </c>
      <c r="D23024" s="8">
        <v>20</v>
      </c>
      <c r="E23024" s="8">
        <v>0</v>
      </c>
      <c r="F23024" s="8">
        <v>86</v>
      </c>
    </row>
    <row r="23025" spans="1:6" ht="12.75">
      <c r="A23025" s="8">
        <v>43893.995011574079</v>
      </c>
      <c r="B23025" s="8" t="str">
        <f>HYPERLINK("https://twitter.com/altermarcello","@altermarcello")</f>
        <v>@altermarcello</v>
      </c>
      <c r="C23025" s="8" t="s">
        <v>9339</v>
      </c>
      <c r="D23025" s="8">
        <v>0</v>
      </c>
      <c r="E23025" s="8">
        <v>0</v>
      </c>
      <c r="F23025" s="8">
        <v>35</v>
      </c>
    </row>
    <row r="23026" spans="1:6" ht="12.75">
      <c r="A23026" s="8">
        <v>43893.994467592594</v>
      </c>
      <c r="B23026" s="8" t="str">
        <f>HYPERLINK("https://twitter.com/AmeliaAnjina","@AmeliaAnjina")</f>
        <v>@AmeliaAnjina</v>
      </c>
      <c r="C23026" s="8" t="s">
        <v>9340</v>
      </c>
      <c r="D23026" s="8">
        <v>0</v>
      </c>
      <c r="E23026" s="8">
        <v>0</v>
      </c>
      <c r="F23026" s="8">
        <v>17</v>
      </c>
    </row>
    <row r="23027" spans="1:6" ht="12.75">
      <c r="A23027" s="8">
        <v>43893.994201388894</v>
      </c>
      <c r="B23027" s="8" t="str">
        <f>HYPERLINK("https://twitter.com/AChaeruman","@AChaeruman")</f>
        <v>@AChaeruman</v>
      </c>
      <c r="C23027" s="8" t="s">
        <v>6832</v>
      </c>
      <c r="D23027" s="8">
        <v>1049</v>
      </c>
      <c r="E23027" s="8">
        <v>0</v>
      </c>
      <c r="F23027" s="8">
        <v>240</v>
      </c>
    </row>
    <row r="23028" spans="1:6" ht="12.75">
      <c r="A23028" s="8">
        <v>43893.994108796294</v>
      </c>
      <c r="B23028" s="8" t="str">
        <f>HYPERLINK("https://twitter.com/VitrahR","@VitrahR")</f>
        <v>@VitrahR</v>
      </c>
      <c r="C23028" s="8" t="s">
        <v>9341</v>
      </c>
      <c r="D23028" s="8">
        <v>0</v>
      </c>
      <c r="E23028" s="8">
        <v>0</v>
      </c>
      <c r="F23028" s="8">
        <v>12</v>
      </c>
    </row>
    <row r="23029" spans="1:6" ht="12.75">
      <c r="A23029" s="8">
        <v>43893.99391203704</v>
      </c>
      <c r="B23029" s="8" t="str">
        <f>HYPERLINK("https://twitter.com/herrycho_12","@herrycho_12")</f>
        <v>@herrycho_12</v>
      </c>
      <c r="C23029" s="8" t="s">
        <v>9342</v>
      </c>
      <c r="D23029" s="8">
        <v>0</v>
      </c>
      <c r="E23029" s="8">
        <v>0</v>
      </c>
      <c r="F23029" s="8">
        <v>422</v>
      </c>
    </row>
    <row r="23030" spans="1:6" ht="12.75">
      <c r="A23030" s="8">
        <v>43893.99319444444</v>
      </c>
      <c r="B23030" s="8" t="str">
        <f>HYPERLINK("https://twitter.com/penjagaaset","@penjagaaset")</f>
        <v>@penjagaaset</v>
      </c>
      <c r="C23030" s="8" t="s">
        <v>8272</v>
      </c>
      <c r="D23030" s="8">
        <v>67</v>
      </c>
      <c r="E23030" s="8">
        <v>0</v>
      </c>
      <c r="F23030" s="8">
        <v>203</v>
      </c>
    </row>
    <row r="23031" spans="1:6" ht="12.75">
      <c r="A23031" s="8">
        <v>43893.992881944447</v>
      </c>
      <c r="B23031" s="8" t="str">
        <f>HYPERLINK("https://twitter.com/davantygivana_a","@davantygivana_a")</f>
        <v>@davantygivana_a</v>
      </c>
      <c r="C23031" s="8" t="s">
        <v>9343</v>
      </c>
      <c r="D23031" s="8">
        <v>25</v>
      </c>
      <c r="E23031" s="8">
        <v>0</v>
      </c>
      <c r="F23031" s="8">
        <v>70</v>
      </c>
    </row>
    <row r="23032" spans="1:6" ht="12.75">
      <c r="A23032" s="8">
        <v>43893.992615740739</v>
      </c>
      <c r="B23032" s="8" t="str">
        <f>HYPERLINK("https://twitter.com/BasriBjs","@BasriBjs")</f>
        <v>@BasriBjs</v>
      </c>
      <c r="C23032" s="8" t="s">
        <v>8847</v>
      </c>
      <c r="D23032" s="8">
        <v>18</v>
      </c>
      <c r="E23032" s="8">
        <v>0</v>
      </c>
      <c r="F23032" s="8">
        <v>78</v>
      </c>
    </row>
    <row r="23033" spans="1:6" ht="12.75">
      <c r="A23033" s="8">
        <v>43893.992476851854</v>
      </c>
      <c r="B23033" s="8" t="str">
        <f>HYPERLINK("https://twitter.com/KurniaRetno2","@KurniaRetno2")</f>
        <v>@KurniaRetno2</v>
      </c>
      <c r="C23033" s="8" t="s">
        <v>9344</v>
      </c>
      <c r="D23033" s="8">
        <v>0</v>
      </c>
      <c r="E23033" s="8">
        <v>0</v>
      </c>
      <c r="F23033" s="8">
        <v>20</v>
      </c>
    </row>
    <row r="23034" spans="1:6" ht="12.75">
      <c r="A23034" s="8">
        <v>43893.991712962961</v>
      </c>
      <c r="B23034" s="8" t="str">
        <f>HYPERLINK("https://twitter.com/mis_septa","@mis_septa")</f>
        <v>@mis_septa</v>
      </c>
      <c r="C23034" s="8" t="s">
        <v>9345</v>
      </c>
      <c r="D23034" s="8">
        <v>0</v>
      </c>
      <c r="E23034" s="8">
        <v>0</v>
      </c>
      <c r="F23034" s="8">
        <v>7</v>
      </c>
    </row>
    <row r="23035" spans="1:6" ht="12.75">
      <c r="A23035" s="8">
        <v>43893.991620370369</v>
      </c>
      <c r="B23035" s="8" t="str">
        <f>HYPERLINK("https://twitter.com/BangBudiSatria","@BangBudiSatria")</f>
        <v>@BangBudiSatria</v>
      </c>
      <c r="C23035" s="8" t="s">
        <v>7597</v>
      </c>
      <c r="D23035" s="8">
        <v>716</v>
      </c>
      <c r="E23035" s="8">
        <v>0</v>
      </c>
      <c r="F23035" s="8">
        <v>124</v>
      </c>
    </row>
    <row r="23036" spans="1:6" ht="12.75">
      <c r="A23036" s="8">
        <v>43893.991585648153</v>
      </c>
      <c r="B23036" s="8" t="str">
        <f>HYPERLINK("https://twitter.com/hanzbndaudio","@hanzbndaudio")</f>
        <v>@hanzbndaudio</v>
      </c>
      <c r="C23036" s="8" t="s">
        <v>6315</v>
      </c>
      <c r="D23036" s="8">
        <v>127</v>
      </c>
      <c r="E23036" s="8">
        <v>0</v>
      </c>
      <c r="F23036" s="8">
        <v>205</v>
      </c>
    </row>
    <row r="23037" spans="1:6" ht="12.75">
      <c r="A23037" s="8">
        <v>43893.991527777776</v>
      </c>
      <c r="B23037" s="8" t="str">
        <f>HYPERLINK("https://twitter.com/y__eon2","@y__eon2")</f>
        <v>@y__eon2</v>
      </c>
      <c r="C23037" s="8" t="s">
        <v>9346</v>
      </c>
      <c r="D23037" s="8">
        <v>0</v>
      </c>
      <c r="E23037" s="8">
        <v>0</v>
      </c>
      <c r="F23037" s="8">
        <v>2802</v>
      </c>
    </row>
    <row r="23038" spans="1:6" ht="12.75">
      <c r="A23038" s="8">
        <v>43893.99150462963</v>
      </c>
      <c r="B23038" s="8" t="str">
        <f>HYPERLINK("https://twitter.com/FirmanWalidin","@FirmanWalidin")</f>
        <v>@FirmanWalidin</v>
      </c>
      <c r="C23038" s="8" t="s">
        <v>9347</v>
      </c>
      <c r="D23038" s="8">
        <v>0</v>
      </c>
      <c r="E23038" s="8">
        <v>0</v>
      </c>
      <c r="F23038" s="8">
        <v>19</v>
      </c>
    </row>
    <row r="23039" spans="1:6" ht="12.75">
      <c r="A23039" s="8">
        <v>43893.991446759261</v>
      </c>
      <c r="B23039" s="8" t="str">
        <f>HYPERLINK("https://twitter.com/FrimanHilman","@FrimanHilman")</f>
        <v>@FrimanHilman</v>
      </c>
      <c r="C23039" s="8" t="s">
        <v>9348</v>
      </c>
      <c r="D23039" s="8">
        <v>0</v>
      </c>
      <c r="E23039" s="8">
        <v>0</v>
      </c>
      <c r="F23039" s="8">
        <v>14</v>
      </c>
    </row>
    <row r="23040" spans="1:6" ht="12.75">
      <c r="A23040" s="8">
        <v>43893.991388888884</v>
      </c>
      <c r="B23040" s="8" t="str">
        <f>HYPERLINK("https://twitter.com/kharimahka","@kharimahka")</f>
        <v>@kharimahka</v>
      </c>
      <c r="C23040" s="8" t="s">
        <v>9349</v>
      </c>
      <c r="D23040" s="8">
        <v>0</v>
      </c>
      <c r="E23040" s="8">
        <v>3</v>
      </c>
      <c r="F23040" s="8">
        <v>84</v>
      </c>
    </row>
    <row r="23041" spans="1:6" ht="12.75">
      <c r="A23041" s="8">
        <v>43893.990497685183</v>
      </c>
      <c r="B23041" s="8" t="str">
        <f>HYPERLINK("https://twitter.com/Zulkiflisyukur_","@Zulkiflisyukur_")</f>
        <v>@Zulkiflisyukur_</v>
      </c>
      <c r="C23041" s="8" t="s">
        <v>9350</v>
      </c>
      <c r="D23041" s="8">
        <v>0</v>
      </c>
      <c r="E23041" s="8">
        <v>0</v>
      </c>
      <c r="F23041" s="8">
        <v>21</v>
      </c>
    </row>
    <row r="23042" spans="1:6" ht="12.75">
      <c r="A23042" s="8">
        <v>43893.99046296296</v>
      </c>
      <c r="B23042" s="8" t="str">
        <f>HYPERLINK("https://twitter.com/irwan_encep","@irwan_encep")</f>
        <v>@irwan_encep</v>
      </c>
      <c r="C23042" s="8" t="s">
        <v>8847</v>
      </c>
      <c r="D23042" s="8">
        <v>18</v>
      </c>
      <c r="E23042" s="8">
        <v>0</v>
      </c>
      <c r="F23042" s="8">
        <v>2562</v>
      </c>
    </row>
    <row r="23043" spans="1:6" ht="12.75">
      <c r="A23043" s="8">
        <v>43893.990150462967</v>
      </c>
      <c r="B23043" s="8" t="str">
        <f>HYPERLINK("https://twitter.com/MawarSolitaire","@MawarSolitaire")</f>
        <v>@MawarSolitaire</v>
      </c>
      <c r="C23043" s="8" t="s">
        <v>9351</v>
      </c>
      <c r="D23043" s="8">
        <v>0</v>
      </c>
      <c r="E23043" s="8">
        <v>0</v>
      </c>
      <c r="F23043" s="8">
        <v>280</v>
      </c>
    </row>
    <row r="23044" spans="1:6" ht="12.75">
      <c r="A23044" s="8">
        <v>43893.989652777775</v>
      </c>
      <c r="B23044" s="8" t="str">
        <f>HYPERLINK("https://twitter.com/aguswahyu090988","@aguswahyu090988")</f>
        <v>@aguswahyu090988</v>
      </c>
      <c r="C23044" s="8" t="s">
        <v>7516</v>
      </c>
      <c r="D23044" s="8">
        <v>22</v>
      </c>
      <c r="E23044" s="8">
        <v>0</v>
      </c>
      <c r="F23044" s="8">
        <v>163</v>
      </c>
    </row>
    <row r="23045" spans="1:6" ht="12.75">
      <c r="A23045" s="8">
        <v>43893.989629629628</v>
      </c>
      <c r="B23045" s="8" t="str">
        <f>HYPERLINK("https://twitter.com/IgnasAribowo","@IgnasAribowo")</f>
        <v>@IgnasAribowo</v>
      </c>
      <c r="C23045" s="8" t="s">
        <v>7516</v>
      </c>
      <c r="D23045" s="8">
        <v>22</v>
      </c>
      <c r="E23045" s="8">
        <v>0</v>
      </c>
      <c r="F23045" s="8">
        <v>182</v>
      </c>
    </row>
    <row r="23046" spans="1:6" ht="12.75">
      <c r="A23046" s="8">
        <v>43893.989421296297</v>
      </c>
      <c r="B23046" s="8" t="str">
        <f>HYPERLINK("https://twitter.com/anamkoplak","@anamkoplak")</f>
        <v>@anamkoplak</v>
      </c>
      <c r="C23046" s="8" t="s">
        <v>9352</v>
      </c>
      <c r="D23046" s="8">
        <v>0</v>
      </c>
      <c r="E23046" s="8">
        <v>2</v>
      </c>
      <c r="F23046" s="8">
        <v>308</v>
      </c>
    </row>
    <row r="23047" spans="1:6" ht="12.75">
      <c r="A23047" s="8">
        <v>43893.989317129628</v>
      </c>
      <c r="B23047" s="8" t="str">
        <f>HYPERLINK("https://twitter.com/SyahraniRara","@SyahraniRara")</f>
        <v>@SyahraniRara</v>
      </c>
      <c r="C23047" s="8" t="s">
        <v>9353</v>
      </c>
      <c r="D23047" s="8">
        <v>0</v>
      </c>
      <c r="E23047" s="8">
        <v>0</v>
      </c>
      <c r="F23047" s="8">
        <v>11</v>
      </c>
    </row>
    <row r="23048" spans="1:6" ht="12.75">
      <c r="A23048" s="8">
        <v>43893.989259259259</v>
      </c>
      <c r="B23048" s="8" t="str">
        <f>HYPERLINK("https://twitter.com/lensawit","@lensawit")</f>
        <v>@lensawit</v>
      </c>
      <c r="C23048" s="8" t="s">
        <v>9354</v>
      </c>
      <c r="D23048" s="8">
        <v>0</v>
      </c>
      <c r="E23048" s="8">
        <v>0</v>
      </c>
      <c r="F23048" s="8">
        <v>26</v>
      </c>
    </row>
    <row r="23049" spans="1:6" ht="12.75">
      <c r="A23049" s="8">
        <v>43893.989201388889</v>
      </c>
      <c r="B23049" s="8" t="str">
        <f>HYPERLINK("https://twitter.com/brienso63","@brienso63")</f>
        <v>@brienso63</v>
      </c>
      <c r="C23049" s="8" t="s">
        <v>1427</v>
      </c>
      <c r="D23049" s="8">
        <v>994</v>
      </c>
      <c r="E23049" s="8">
        <v>0</v>
      </c>
      <c r="F23049" s="8">
        <v>170</v>
      </c>
    </row>
    <row r="23050" spans="1:6" ht="12.75">
      <c r="A23050" s="8">
        <v>43893.988877314812</v>
      </c>
      <c r="B23050" s="8" t="str">
        <f>HYPERLINK("https://twitter.com/translatorbali","@translatorbali")</f>
        <v>@translatorbali</v>
      </c>
      <c r="C23050" s="8" t="s">
        <v>9294</v>
      </c>
      <c r="D23050" s="8">
        <v>5</v>
      </c>
      <c r="E23050" s="8">
        <v>0</v>
      </c>
      <c r="F23050" s="8">
        <v>3869</v>
      </c>
    </row>
    <row r="23051" spans="1:6" ht="12.75">
      <c r="A23051" s="8">
        <v>43893.98883101852</v>
      </c>
      <c r="B23051" s="8" t="str">
        <f>HYPERLINK("https://twitter.com/DFanirahma","@DFanirahma")</f>
        <v>@DFanirahma</v>
      </c>
      <c r="C23051" s="8" t="s">
        <v>9355</v>
      </c>
      <c r="D23051" s="8">
        <v>0</v>
      </c>
      <c r="E23051" s="8">
        <v>0</v>
      </c>
      <c r="F23051" s="8">
        <v>53</v>
      </c>
    </row>
    <row r="23052" spans="1:6" ht="12.75">
      <c r="A23052" s="8">
        <v>43893.988668981481</v>
      </c>
      <c r="B23052" s="8" t="str">
        <f>HYPERLINK("https://twitter.com/MuhidinTeudumuk","@MuhidinTeudumuk")</f>
        <v>@MuhidinTeudumuk</v>
      </c>
      <c r="C23052" s="8" t="s">
        <v>6315</v>
      </c>
      <c r="D23052" s="8">
        <v>127</v>
      </c>
      <c r="E23052" s="8">
        <v>0</v>
      </c>
      <c r="F23052" s="8">
        <v>142</v>
      </c>
    </row>
    <row r="23053" spans="1:6" ht="12.75">
      <c r="A23053" s="8">
        <v>43893.988310185188</v>
      </c>
      <c r="B23053" s="8" t="str">
        <f>HYPERLINK("https://twitter.com/Patrici67842148","@Patrici67842148")</f>
        <v>@Patrici67842148</v>
      </c>
      <c r="C23053" s="8" t="s">
        <v>9356</v>
      </c>
      <c r="D23053" s="8">
        <v>0</v>
      </c>
      <c r="E23053" s="8">
        <v>0</v>
      </c>
      <c r="F23053" s="8">
        <v>90</v>
      </c>
    </row>
    <row r="23054" spans="1:6" ht="12.75">
      <c r="A23054" s="8">
        <v>43893.988206018519</v>
      </c>
      <c r="B23054" s="8" t="str">
        <f>HYPERLINK("https://twitter.com/Berty69968038","@Berty69968038")</f>
        <v>@Berty69968038</v>
      </c>
      <c r="C23054" s="8" t="s">
        <v>9357</v>
      </c>
      <c r="D23054" s="8">
        <v>0</v>
      </c>
      <c r="E23054" s="8">
        <v>0</v>
      </c>
      <c r="F23054" s="8">
        <v>192</v>
      </c>
    </row>
    <row r="23055" spans="1:6" ht="12.75">
      <c r="A23055" s="8">
        <v>43893.987592592588</v>
      </c>
      <c r="B23055" s="8" t="str">
        <f>HYPERLINK("https://twitter.com/LuckyWaris","@LuckyWaris")</f>
        <v>@LuckyWaris</v>
      </c>
      <c r="C23055" s="8" t="s">
        <v>9341</v>
      </c>
      <c r="D23055" s="8">
        <v>0</v>
      </c>
      <c r="E23055" s="8">
        <v>0</v>
      </c>
      <c r="F23055" s="8">
        <v>18</v>
      </c>
    </row>
    <row r="23056" spans="1:6" ht="12.75">
      <c r="A23056" s="8">
        <v>43893.987453703703</v>
      </c>
      <c r="B23056" s="8" t="str">
        <f>HYPERLINK("https://twitter.com/sacchiesque","@sacchiesque")</f>
        <v>@sacchiesque</v>
      </c>
      <c r="C23056" s="8" t="s">
        <v>5732</v>
      </c>
      <c r="D23056" s="8">
        <v>2182</v>
      </c>
      <c r="E23056" s="8">
        <v>0</v>
      </c>
      <c r="F23056" s="8">
        <v>331</v>
      </c>
    </row>
    <row r="23057" spans="1:6" ht="12.75">
      <c r="A23057" s="8">
        <v>43893.987141203703</v>
      </c>
      <c r="B23057" s="8" t="str">
        <f>HYPERLINK("https://twitter.com/wayankdy","@wayankdy")</f>
        <v>@wayankdy</v>
      </c>
      <c r="C23057" s="8" t="s">
        <v>9358</v>
      </c>
      <c r="D23057" s="8">
        <v>93</v>
      </c>
      <c r="E23057" s="8">
        <v>0</v>
      </c>
      <c r="F23057" s="8">
        <v>1633</v>
      </c>
    </row>
    <row r="23058" spans="1:6" ht="12.75">
      <c r="A23058" s="8">
        <v>43893.986793981487</v>
      </c>
      <c r="B23058" s="8" t="str">
        <f>HYPERLINK("https://twitter.com/LuckyWaris","@LuckyWaris")</f>
        <v>@LuckyWaris</v>
      </c>
      <c r="C23058" s="8" t="s">
        <v>9359</v>
      </c>
      <c r="D23058" s="8">
        <v>0</v>
      </c>
      <c r="E23058" s="8">
        <v>0</v>
      </c>
      <c r="F23058" s="8">
        <v>18</v>
      </c>
    </row>
    <row r="23059" spans="1:6" ht="12.75">
      <c r="A23059" s="8">
        <v>43893.986701388887</v>
      </c>
      <c r="B23059" s="8" t="str">
        <f>HYPERLINK("https://twitter.com/Tri33milanisti","@Tri33milanisti")</f>
        <v>@Tri33milanisti</v>
      </c>
      <c r="C23059" s="8" t="s">
        <v>6315</v>
      </c>
      <c r="D23059" s="8">
        <v>127</v>
      </c>
      <c r="E23059" s="8">
        <v>0</v>
      </c>
      <c r="F23059" s="8">
        <v>113</v>
      </c>
    </row>
    <row r="23060" spans="1:6" ht="12.75">
      <c r="A23060" s="8">
        <v>43893.98642361111</v>
      </c>
      <c r="B23060" s="8" t="str">
        <f>HYPERLINK("https://twitter.com/hwismdofficial","@hwismdofficial")</f>
        <v>@hwismdofficial</v>
      </c>
      <c r="C23060" s="8" t="s">
        <v>2199</v>
      </c>
      <c r="D23060" s="8">
        <v>9046</v>
      </c>
      <c r="E23060" s="8">
        <v>0</v>
      </c>
      <c r="F23060" s="8">
        <v>39</v>
      </c>
    </row>
    <row r="23061" spans="1:6" ht="12.75">
      <c r="A23061" s="8">
        <v>43893.986076388886</v>
      </c>
      <c r="B23061" s="8" t="str">
        <f>HYPERLINK("https://twitter.com/IrawaanWawan","@IrawaanWawan")</f>
        <v>@IrawaanWawan</v>
      </c>
      <c r="C23061" s="8" t="s">
        <v>9360</v>
      </c>
      <c r="D23061" s="8">
        <v>0</v>
      </c>
      <c r="E23061" s="8">
        <v>0</v>
      </c>
      <c r="F23061" s="8">
        <v>31</v>
      </c>
    </row>
    <row r="23062" spans="1:6" ht="12.75">
      <c r="A23062" s="8">
        <v>43893.98572916667</v>
      </c>
      <c r="B23062" s="8" t="str">
        <f>HYPERLINK("https://twitter.com/Gheaandriani2","@Gheaandriani2")</f>
        <v>@Gheaandriani2</v>
      </c>
      <c r="C23062" s="8" t="s">
        <v>9361</v>
      </c>
      <c r="D23062" s="8">
        <v>0</v>
      </c>
      <c r="E23062" s="8">
        <v>0</v>
      </c>
      <c r="F23062" s="8">
        <v>20</v>
      </c>
    </row>
    <row r="23063" spans="1:6" ht="12.75">
      <c r="A23063" s="8">
        <v>43893.985694444447</v>
      </c>
      <c r="B23063" s="8" t="str">
        <f>HYPERLINK("https://twitter.com/ninozuke","@ninozuke")</f>
        <v>@ninozuke</v>
      </c>
      <c r="C23063" s="8" t="s">
        <v>6315</v>
      </c>
      <c r="D23063" s="8">
        <v>127</v>
      </c>
      <c r="E23063" s="8">
        <v>0</v>
      </c>
      <c r="F23063" s="8">
        <v>54</v>
      </c>
    </row>
    <row r="23064" spans="1:6" ht="12.75">
      <c r="A23064" s="8">
        <v>43893.985659722224</v>
      </c>
      <c r="B23064" s="8" t="str">
        <f>HYPERLINK("https://twitter.com/Berty69968038","@Berty69968038")</f>
        <v>@Berty69968038</v>
      </c>
      <c r="C23064" s="8" t="s">
        <v>9362</v>
      </c>
      <c r="D23064" s="8">
        <v>0</v>
      </c>
      <c r="E23064" s="8">
        <v>1</v>
      </c>
      <c r="F23064" s="8">
        <v>192</v>
      </c>
    </row>
    <row r="23065" spans="1:6" ht="12.75">
      <c r="A23065" s="8">
        <v>43893.985266203701</v>
      </c>
      <c r="B23065" s="8" t="str">
        <f>HYPERLINK("https://twitter.com/IrawaanWawan","@IrawaanWawan")</f>
        <v>@IrawaanWawan</v>
      </c>
      <c r="C23065" s="8" t="s">
        <v>9363</v>
      </c>
      <c r="D23065" s="8">
        <v>0</v>
      </c>
      <c r="E23065" s="8">
        <v>0</v>
      </c>
      <c r="F23065" s="8">
        <v>31</v>
      </c>
    </row>
    <row r="23066" spans="1:6" ht="12.75">
      <c r="A23066" s="8">
        <v>43893.985173611116</v>
      </c>
      <c r="B23066" s="8" t="str">
        <f>HYPERLINK("https://twitter.com/FerelNanda","@FerelNanda")</f>
        <v>@FerelNanda</v>
      </c>
      <c r="C23066" s="8" t="s">
        <v>9364</v>
      </c>
      <c r="D23066" s="8">
        <v>0</v>
      </c>
      <c r="E23066" s="8">
        <v>0</v>
      </c>
      <c r="F23066" s="8">
        <v>23</v>
      </c>
    </row>
    <row r="23067" spans="1:6" ht="12.75">
      <c r="A23067" s="8">
        <v>43893.985046296293</v>
      </c>
      <c r="B23067" s="8" t="str">
        <f>HYPERLINK("https://twitter.com/fa_syahidah","@fa_syahidah")</f>
        <v>@fa_syahidah</v>
      </c>
      <c r="C23067" s="8" t="s">
        <v>9365</v>
      </c>
      <c r="D23067" s="8">
        <v>0</v>
      </c>
      <c r="E23067" s="8">
        <v>0</v>
      </c>
      <c r="F23067" s="8">
        <v>599</v>
      </c>
    </row>
    <row r="23068" spans="1:6" ht="12.75">
      <c r="A23068" s="8">
        <v>43893.985000000001</v>
      </c>
      <c r="B23068" s="8" t="str">
        <f>HYPERLINK("https://twitter.com/harsohananto","@harsohananto")</f>
        <v>@harsohananto</v>
      </c>
      <c r="C23068" s="8" t="s">
        <v>8272</v>
      </c>
      <c r="D23068" s="8">
        <v>67</v>
      </c>
      <c r="E23068" s="8">
        <v>0</v>
      </c>
      <c r="F23068" s="8">
        <v>640</v>
      </c>
    </row>
    <row r="23069" spans="1:6" ht="12.75">
      <c r="A23069" s="8">
        <v>43893.984826388885</v>
      </c>
      <c r="B23069" s="8" t="str">
        <f>HYPERLINK("https://twitter.com/Helvis_Simbolon","@Helvis_Simbolon")</f>
        <v>@Helvis_Simbolon</v>
      </c>
      <c r="C23069" s="8" t="s">
        <v>2199</v>
      </c>
      <c r="D23069" s="8">
        <v>9046</v>
      </c>
      <c r="E23069" s="8">
        <v>0</v>
      </c>
      <c r="F23069" s="8">
        <v>107</v>
      </c>
    </row>
    <row r="23070" spans="1:6" ht="12.75">
      <c r="A23070" s="8">
        <v>43893.984780092593</v>
      </c>
      <c r="B23070" s="8" t="str">
        <f>HYPERLINK("https://twitter.com/tabogsugara","@tabogsugara")</f>
        <v>@tabogsugara</v>
      </c>
      <c r="C23070" s="8" t="s">
        <v>9113</v>
      </c>
      <c r="D23070" s="8">
        <v>13</v>
      </c>
      <c r="E23070" s="8">
        <v>0</v>
      </c>
      <c r="F23070" s="8">
        <v>110</v>
      </c>
    </row>
    <row r="23071" spans="1:6" ht="12.75">
      <c r="A23071" s="8">
        <v>43893.9846412037</v>
      </c>
      <c r="B23071" s="8" t="str">
        <f>HYPERLINK("https://twitter.com/RestyWinanta","@RestyWinanta")</f>
        <v>@RestyWinanta</v>
      </c>
      <c r="C23071" s="8" t="s">
        <v>9340</v>
      </c>
      <c r="D23071" s="8">
        <v>0</v>
      </c>
      <c r="E23071" s="8">
        <v>0</v>
      </c>
      <c r="F23071" s="8">
        <v>19</v>
      </c>
    </row>
    <row r="23072" spans="1:6" ht="12.75">
      <c r="A23072" s="8">
        <v>43893.984560185185</v>
      </c>
      <c r="B23072" s="8" t="str">
        <f>HYPERLINK("https://twitter.com/yunita_tweet","@yunita_tweet")</f>
        <v>@yunita_tweet</v>
      </c>
      <c r="C23072" s="8" t="s">
        <v>9366</v>
      </c>
      <c r="D23072" s="8">
        <v>8</v>
      </c>
      <c r="E23072" s="8">
        <v>0</v>
      </c>
      <c r="F23072" s="8">
        <v>64</v>
      </c>
    </row>
    <row r="23073" spans="1:6" ht="12.75">
      <c r="A23073" s="8">
        <v>43893.984525462962</v>
      </c>
      <c r="B23073" s="8" t="str">
        <f>HYPERLINK("https://twitter.com/NopriyantoDonny","@NopriyantoDonny")</f>
        <v>@NopriyantoDonny</v>
      </c>
      <c r="C23073" s="8" t="s">
        <v>6862</v>
      </c>
      <c r="D23073" s="8">
        <v>39</v>
      </c>
      <c r="E23073" s="8">
        <v>0</v>
      </c>
      <c r="F23073" s="8">
        <v>17</v>
      </c>
    </row>
    <row r="23074" spans="1:6" ht="12.75">
      <c r="A23074" s="8">
        <v>43893.984490740739</v>
      </c>
      <c r="B23074" s="8" t="str">
        <f>HYPERLINK("https://twitter.com/inndah_putri","@inndah_putri")</f>
        <v>@inndah_putri</v>
      </c>
      <c r="C23074" s="8" t="s">
        <v>9367</v>
      </c>
      <c r="D23074" s="8">
        <v>0</v>
      </c>
      <c r="E23074" s="8">
        <v>0</v>
      </c>
      <c r="F23074" s="8">
        <v>11</v>
      </c>
    </row>
    <row r="23075" spans="1:6" ht="12.75">
      <c r="A23075" s="8">
        <v>43893.984409722223</v>
      </c>
      <c r="B23075" s="8" t="str">
        <f>HYPERLINK("https://twitter.com/kbarbaii","@kbarbaii")</f>
        <v>@kbarbaii</v>
      </c>
      <c r="C23075" s="8" t="s">
        <v>1970</v>
      </c>
      <c r="D23075" s="8">
        <v>1282</v>
      </c>
      <c r="E23075" s="8">
        <v>0</v>
      </c>
      <c r="F23075" s="8">
        <v>74</v>
      </c>
    </row>
    <row r="23076" spans="1:6" ht="12.75">
      <c r="A23076" s="8">
        <v>43893.9841087963</v>
      </c>
      <c r="B23076" s="8" t="str">
        <f>HYPERLINK("https://twitter.com/KJRI_Karachi","@KJRI_Karachi")</f>
        <v>@KJRI_Karachi</v>
      </c>
      <c r="C23076" s="8" t="s">
        <v>9368</v>
      </c>
      <c r="D23076" s="8">
        <v>0</v>
      </c>
      <c r="E23076" s="8">
        <v>3</v>
      </c>
      <c r="F23076" s="8">
        <v>167</v>
      </c>
    </row>
    <row r="23077" spans="1:6" ht="12.75">
      <c r="A23077" s="8">
        <v>43893.984085648146</v>
      </c>
      <c r="B23077" s="8" t="str">
        <f>HYPERLINK("https://twitter.com/Menatapmasadep2","@Menatapmasadep2")</f>
        <v>@Menatapmasadep2</v>
      </c>
      <c r="C23077" s="8" t="s">
        <v>1970</v>
      </c>
      <c r="D23077" s="8">
        <v>1282</v>
      </c>
      <c r="E23077" s="8">
        <v>0</v>
      </c>
      <c r="F23077" s="8">
        <v>128</v>
      </c>
    </row>
    <row r="23078" spans="1:6" ht="12.75">
      <c r="A23078" s="8">
        <v>43893.984027777777</v>
      </c>
      <c r="B23078" s="8" t="str">
        <f>HYPERLINK("https://twitter.com/inndah_putri","@inndah_putri")</f>
        <v>@inndah_putri</v>
      </c>
      <c r="C23078" s="8" t="s">
        <v>9341</v>
      </c>
      <c r="D23078" s="8">
        <v>0</v>
      </c>
      <c r="E23078" s="8">
        <v>0</v>
      </c>
      <c r="F23078" s="8">
        <v>11</v>
      </c>
    </row>
    <row r="23079" spans="1:6" ht="12.75">
      <c r="A23079" s="8">
        <v>43893.983946759261</v>
      </c>
      <c r="B23079" s="8" t="str">
        <f>HYPERLINK("https://twitter.com/fitrikirissi","@fitrikirissi")</f>
        <v>@fitrikirissi</v>
      </c>
      <c r="C23079" s="8" t="s">
        <v>2962</v>
      </c>
      <c r="D23079" s="8">
        <v>5625</v>
      </c>
      <c r="E23079" s="8">
        <v>0</v>
      </c>
      <c r="F23079" s="8">
        <v>452</v>
      </c>
    </row>
    <row r="23080" spans="1:6" ht="12.75">
      <c r="A23080" s="8">
        <v>43893.964988425927</v>
      </c>
      <c r="B23080" s="8" t="str">
        <f>HYPERLINK("https://twitter.com/Yasmin15889819","@Yasmin15889819")</f>
        <v>@Yasmin15889819</v>
      </c>
      <c r="C23080" s="8" t="s">
        <v>9369</v>
      </c>
      <c r="D23080" s="8">
        <v>15</v>
      </c>
      <c r="E23080" s="8">
        <v>0</v>
      </c>
      <c r="F23080" s="8">
        <v>268</v>
      </c>
    </row>
    <row r="23081" spans="1:6" ht="12.75">
      <c r="A23081" s="8">
        <v>43893.964803240742</v>
      </c>
      <c r="B23081" s="8" t="str">
        <f>HYPERLINK("https://twitter.com/Daniel78911900","@Daniel78911900")</f>
        <v>@Daniel78911900</v>
      </c>
      <c r="C23081" s="8" t="s">
        <v>6315</v>
      </c>
      <c r="D23081" s="8">
        <v>115</v>
      </c>
      <c r="E23081" s="8">
        <v>0</v>
      </c>
      <c r="F23081" s="8">
        <v>31</v>
      </c>
    </row>
    <row r="23082" spans="1:6" ht="12.75">
      <c r="A23082" s="8">
        <v>43893.964409722219</v>
      </c>
      <c r="B23082" s="8" t="str">
        <f>HYPERLINK("https://twitter.com/tuwitami","@tuwitami")</f>
        <v>@tuwitami</v>
      </c>
      <c r="C23082" s="8" t="s">
        <v>8868</v>
      </c>
      <c r="D23082" s="8">
        <v>172</v>
      </c>
      <c r="E23082" s="8">
        <v>0</v>
      </c>
      <c r="F23082" s="8">
        <v>596</v>
      </c>
    </row>
    <row r="23083" spans="1:6" ht="12.75">
      <c r="A23083" s="8">
        <v>43893.964305555557</v>
      </c>
      <c r="B23083" s="8" t="str">
        <f>HYPERLINK("https://twitter.com/Rafifijlal02","@Rafifijlal02")</f>
        <v>@Rafifijlal02</v>
      </c>
      <c r="C23083" s="8" t="s">
        <v>8868</v>
      </c>
      <c r="D23083" s="8">
        <v>172</v>
      </c>
      <c r="E23083" s="8">
        <v>0</v>
      </c>
      <c r="F23083" s="8">
        <v>618</v>
      </c>
    </row>
    <row r="23084" spans="1:6" ht="12.75">
      <c r="A23084" s="8">
        <v>43893.963958333334</v>
      </c>
      <c r="B23084" s="8" t="str">
        <f>HYPERLINK("https://twitter.com/AySyahril","@AySyahril")</f>
        <v>@AySyahril</v>
      </c>
      <c r="C23084" s="8" t="s">
        <v>9370</v>
      </c>
      <c r="D23084" s="8">
        <v>7</v>
      </c>
      <c r="E23084" s="8">
        <v>0</v>
      </c>
      <c r="F23084" s="8">
        <v>1</v>
      </c>
    </row>
    <row r="23085" spans="1:6" ht="12.75">
      <c r="A23085" s="8">
        <v>43893.963773148149</v>
      </c>
      <c r="B23085" s="8" t="str">
        <f>HYPERLINK("https://twitter.com/KissAnky","@KissAnky")</f>
        <v>@KissAnky</v>
      </c>
      <c r="C23085" s="8" t="s">
        <v>9371</v>
      </c>
      <c r="D23085" s="8">
        <v>0</v>
      </c>
      <c r="E23085" s="8">
        <v>1</v>
      </c>
      <c r="F23085" s="8">
        <v>1410</v>
      </c>
    </row>
    <row r="23086" spans="1:6" ht="12.75">
      <c r="A23086" s="8">
        <v>43893.962962962964</v>
      </c>
      <c r="B23086" s="8" t="str">
        <f>HYPERLINK("https://twitter.com/seruanhl","@seruanhl")</f>
        <v>@seruanhl</v>
      </c>
      <c r="C23086" s="8" t="s">
        <v>7796</v>
      </c>
      <c r="D23086" s="8">
        <v>4</v>
      </c>
      <c r="E23086" s="8">
        <v>0</v>
      </c>
      <c r="F23086" s="8">
        <v>13163</v>
      </c>
    </row>
    <row r="23087" spans="1:6" ht="12.75">
      <c r="A23087" s="8">
        <v>43893.962905092594</v>
      </c>
      <c r="B23087" s="8" t="str">
        <f>HYPERLINK("https://twitter.com/kicepkicep","@kicepkicep")</f>
        <v>@kicepkicep</v>
      </c>
      <c r="C23087" s="8" t="s">
        <v>6827</v>
      </c>
      <c r="D23087" s="8">
        <v>37</v>
      </c>
      <c r="E23087" s="8">
        <v>0</v>
      </c>
      <c r="F23087" s="8">
        <v>1246</v>
      </c>
    </row>
    <row r="23088" spans="1:6" ht="12.75">
      <c r="A23088" s="8">
        <v>43893.96261574074</v>
      </c>
      <c r="B23088" s="8" t="str">
        <f>HYPERLINK("https://twitter.com/AbuGhaGha","@AbuGhaGha")</f>
        <v>@AbuGhaGha</v>
      </c>
      <c r="C23088" s="8" t="s">
        <v>8272</v>
      </c>
      <c r="D23088" s="8">
        <v>59</v>
      </c>
      <c r="E23088" s="8">
        <v>0</v>
      </c>
      <c r="F23088" s="8">
        <v>501</v>
      </c>
    </row>
    <row r="23089" spans="1:6" ht="12.75">
      <c r="A23089" s="8">
        <v>43893.962523148148</v>
      </c>
      <c r="B23089" s="8" t="str">
        <f>HYPERLINK("https://twitter.com/KompasTravel","@KompasTravel")</f>
        <v>@KompasTravel</v>
      </c>
      <c r="C23089" s="8" t="s">
        <v>9372</v>
      </c>
      <c r="D23089" s="8">
        <v>0</v>
      </c>
      <c r="E23089" s="8">
        <v>0</v>
      </c>
      <c r="F23089" s="8">
        <v>87831</v>
      </c>
    </row>
    <row r="23090" spans="1:6" ht="12.75">
      <c r="A23090" s="8">
        <v>43893.96229166667</v>
      </c>
      <c r="B23090" s="8" t="str">
        <f>HYPERLINK("https://twitter.com/AySyahril","@AySyahril")</f>
        <v>@AySyahril</v>
      </c>
      <c r="C23090" s="8" t="s">
        <v>6862</v>
      </c>
      <c r="D23090" s="8">
        <v>146</v>
      </c>
      <c r="E23090" s="8">
        <v>0</v>
      </c>
      <c r="F23090" s="8">
        <v>1</v>
      </c>
    </row>
    <row r="23091" spans="1:6" ht="12.75">
      <c r="A23091" s="8">
        <v>43893.962164351848</v>
      </c>
      <c r="B23091" s="8" t="str">
        <f>HYPERLINK("https://twitter.com/audreymariane","@audreymariane")</f>
        <v>@audreymariane</v>
      </c>
      <c r="C23091" s="8" t="s">
        <v>2199</v>
      </c>
      <c r="D23091" s="8">
        <v>9038</v>
      </c>
      <c r="E23091" s="8">
        <v>0</v>
      </c>
      <c r="F23091" s="8">
        <v>496</v>
      </c>
    </row>
    <row r="23092" spans="1:6" ht="12.75">
      <c r="A23092" s="8">
        <v>43893.962152777778</v>
      </c>
      <c r="B23092" s="8" t="str">
        <f>HYPERLINK("https://twitter.com/AySyahril","@AySyahril")</f>
        <v>@AySyahril</v>
      </c>
      <c r="C23092" s="8" t="s">
        <v>6862</v>
      </c>
      <c r="D23092" s="8">
        <v>38</v>
      </c>
      <c r="E23092" s="8">
        <v>0</v>
      </c>
      <c r="F23092" s="8">
        <v>1</v>
      </c>
    </row>
    <row r="23093" spans="1:6" ht="12.75">
      <c r="A23093" s="8">
        <v>43893.961956018524</v>
      </c>
      <c r="B23093" s="8" t="str">
        <f>HYPERLINK("https://twitter.com/MulyadiMade","@MulyadiMade")</f>
        <v>@MulyadiMade</v>
      </c>
      <c r="C23093" s="8" t="s">
        <v>2962</v>
      </c>
      <c r="D23093" s="8">
        <v>5615</v>
      </c>
      <c r="E23093" s="8">
        <v>0</v>
      </c>
      <c r="F23093" s="8">
        <v>417</v>
      </c>
    </row>
    <row r="23094" spans="1:6" ht="12.75">
      <c r="A23094" s="8">
        <v>43893.961828703701</v>
      </c>
      <c r="B23094" s="8" t="str">
        <f>HYPERLINK("https://twitter.com/IwanKareem","@IwanKareem")</f>
        <v>@IwanKareem</v>
      </c>
      <c r="C23094" s="8" t="s">
        <v>6862</v>
      </c>
      <c r="D23094" s="8">
        <v>38</v>
      </c>
      <c r="E23094" s="8">
        <v>0</v>
      </c>
      <c r="F23094" s="8">
        <v>51</v>
      </c>
    </row>
    <row r="23095" spans="1:6" ht="12.75">
      <c r="A23095" s="8">
        <v>43893.961689814816</v>
      </c>
      <c r="B23095" s="8" t="str">
        <f>HYPERLINK("https://twitter.com/retnomustakim_p","@retnomustakim_p")</f>
        <v>@retnomustakim_p</v>
      </c>
      <c r="C23095" s="8" t="s">
        <v>9194</v>
      </c>
      <c r="D23095" s="8">
        <v>215</v>
      </c>
      <c r="E23095" s="8">
        <v>0</v>
      </c>
      <c r="F23095" s="8">
        <v>657</v>
      </c>
    </row>
    <row r="23096" spans="1:6" ht="12.75">
      <c r="A23096" s="8">
        <v>43893.961284722223</v>
      </c>
      <c r="B23096" s="8" t="str">
        <f>HYPERLINK("https://twitter.com/SamsulA44787617","@SamsulA44787617")</f>
        <v>@SamsulA44787617</v>
      </c>
      <c r="C23096" s="8" t="s">
        <v>9146</v>
      </c>
      <c r="D23096" s="8">
        <v>63</v>
      </c>
      <c r="E23096" s="8">
        <v>0</v>
      </c>
      <c r="F23096" s="8">
        <v>48</v>
      </c>
    </row>
    <row r="23097" spans="1:6" ht="12.75">
      <c r="A23097" s="8">
        <v>43893.961099537039</v>
      </c>
      <c r="B23097" s="8" t="str">
        <f>HYPERLINK("https://twitter.com/sopansantun55","@sopansantun55")</f>
        <v>@sopansantun55</v>
      </c>
      <c r="C23097" s="8" t="s">
        <v>6315</v>
      </c>
      <c r="D23097" s="8">
        <v>115</v>
      </c>
      <c r="E23097" s="8">
        <v>0</v>
      </c>
      <c r="F23097" s="8">
        <v>542</v>
      </c>
    </row>
    <row r="23098" spans="1:6" ht="12.75">
      <c r="A23098" s="8">
        <v>43893.960960648154</v>
      </c>
      <c r="B23098" s="8" t="str">
        <f>HYPERLINK("https://twitter.com/ErsatKera","@ErsatKera")</f>
        <v>@ErsatKera</v>
      </c>
      <c r="C23098" s="8" t="s">
        <v>9373</v>
      </c>
      <c r="D23098" s="8">
        <v>0</v>
      </c>
      <c r="E23098" s="8">
        <v>0</v>
      </c>
      <c r="F23098" s="8">
        <v>484</v>
      </c>
    </row>
    <row r="23099" spans="1:6" ht="12.75">
      <c r="A23099" s="8">
        <v>43893.960613425923</v>
      </c>
      <c r="B23099" s="8" t="str">
        <f>HYPERLINK("https://twitter.com/Hiday17Hidayati","@Hiday17Hidayati")</f>
        <v>@Hiday17Hidayati</v>
      </c>
      <c r="C23099" s="8" t="s">
        <v>9374</v>
      </c>
      <c r="D23099" s="8">
        <v>23</v>
      </c>
      <c r="E23099" s="8">
        <v>0</v>
      </c>
      <c r="F23099" s="8">
        <v>606</v>
      </c>
    </row>
    <row r="23100" spans="1:6" ht="12.75">
      <c r="A23100" s="8">
        <v>43893.960509259261</v>
      </c>
      <c r="B23100" s="8" t="str">
        <f>HYPERLINK("https://twitter.com/elsaisl","@elsaisl")</f>
        <v>@elsaisl</v>
      </c>
      <c r="C23100" s="8" t="s">
        <v>1970</v>
      </c>
      <c r="D23100" s="8">
        <v>1276</v>
      </c>
      <c r="E23100" s="8">
        <v>0</v>
      </c>
      <c r="F23100" s="8">
        <v>833</v>
      </c>
    </row>
    <row r="23101" spans="1:6" ht="12.75">
      <c r="A23101" s="8">
        <v>43893.960358796292</v>
      </c>
      <c r="B23101" s="8" t="str">
        <f>HYPERLINK("https://twitter.com/WajahPribumi__","@WajahPribumi__")</f>
        <v>@WajahPribumi__</v>
      </c>
      <c r="C23101" s="8" t="s">
        <v>7796</v>
      </c>
      <c r="D23101" s="8">
        <v>4</v>
      </c>
      <c r="E23101" s="8">
        <v>0</v>
      </c>
      <c r="F23101" s="8">
        <v>3555</v>
      </c>
    </row>
    <row r="23102" spans="1:6" ht="12.75">
      <c r="A23102" s="8">
        <v>43893.960104166668</v>
      </c>
      <c r="B23102" s="8" t="str">
        <f>HYPERLINK("https://twitter.com/Gregorius841","@Gregorius841")</f>
        <v>@Gregorius841</v>
      </c>
      <c r="C23102" s="8" t="s">
        <v>9375</v>
      </c>
      <c r="D23102" s="8">
        <v>1</v>
      </c>
      <c r="E23102" s="8">
        <v>0</v>
      </c>
      <c r="F23102" s="8">
        <v>3888</v>
      </c>
    </row>
    <row r="23103" spans="1:6" ht="12.75">
      <c r="A23103" s="8">
        <v>43893.959629629629</v>
      </c>
      <c r="B23103" s="8" t="str">
        <f>HYPERLINK("https://twitter.com/AnakLolina","@AnakLolina")</f>
        <v>@AnakLolina</v>
      </c>
      <c r="C23103" s="8" t="s">
        <v>9376</v>
      </c>
      <c r="D23103" s="8">
        <v>4</v>
      </c>
      <c r="E23103" s="8">
        <v>7</v>
      </c>
      <c r="F23103" s="8">
        <v>15117</v>
      </c>
    </row>
    <row r="23104" spans="1:6" ht="12.75">
      <c r="A23104" s="8">
        <v>43893.959039351852</v>
      </c>
      <c r="B23104" s="8" t="str">
        <f>HYPERLINK("https://twitter.com/triandrik","@triandrik")</f>
        <v>@triandrik</v>
      </c>
      <c r="C23104" s="8" t="s">
        <v>9377</v>
      </c>
      <c r="D23104" s="8">
        <v>3</v>
      </c>
      <c r="E23104" s="8">
        <v>0</v>
      </c>
      <c r="F23104" s="8">
        <v>748</v>
      </c>
    </row>
    <row r="23105" spans="1:6" ht="12.75">
      <c r="A23105" s="8">
        <v>43893.959016203706</v>
      </c>
      <c r="B23105" s="8" t="str">
        <f>HYPERLINK("https://twitter.com/liesha_haruno","@liesha_haruno")</f>
        <v>@liesha_haruno</v>
      </c>
      <c r="C23105" s="8" t="s">
        <v>4477</v>
      </c>
      <c r="D23105" s="8">
        <v>1227</v>
      </c>
      <c r="E23105" s="8">
        <v>0</v>
      </c>
      <c r="F23105" s="8">
        <v>374</v>
      </c>
    </row>
    <row r="23106" spans="1:6" ht="12.75">
      <c r="A23106" s="8">
        <v>43893.958657407406</v>
      </c>
      <c r="B23106" s="8" t="str">
        <f>HYPERLINK("https://twitter.com/GarengHallu","@GarengHallu")</f>
        <v>@GarengHallu</v>
      </c>
      <c r="C23106" s="8" t="s">
        <v>9378</v>
      </c>
      <c r="D23106" s="8">
        <v>1</v>
      </c>
      <c r="E23106" s="8">
        <v>1</v>
      </c>
      <c r="F23106" s="8">
        <v>2843</v>
      </c>
    </row>
    <row r="23107" spans="1:6" ht="12.75">
      <c r="A23107" s="8">
        <v>43893.958506944444</v>
      </c>
      <c r="B23107" s="8" t="str">
        <f>HYPERLINK("https://twitter.com/Shima_ru","@Shima_ru")</f>
        <v>@Shima_ru</v>
      </c>
      <c r="C23107" s="8" t="s">
        <v>1427</v>
      </c>
      <c r="D23107" s="8">
        <v>986</v>
      </c>
      <c r="E23107" s="8">
        <v>0</v>
      </c>
      <c r="F23107" s="8">
        <v>360</v>
      </c>
    </row>
    <row r="23108" spans="1:6" ht="12.75">
      <c r="A23108" s="8">
        <v>43893.958310185189</v>
      </c>
      <c r="B23108" s="8" t="str">
        <f>HYPERLINK("https://twitter.com/pramantyoaji","@pramantyoaji")</f>
        <v>@pramantyoaji</v>
      </c>
      <c r="C23108" s="8" t="s">
        <v>4477</v>
      </c>
      <c r="D23108" s="8">
        <v>1227</v>
      </c>
      <c r="E23108" s="8">
        <v>0</v>
      </c>
      <c r="F23108" s="8">
        <v>258</v>
      </c>
    </row>
    <row r="23109" spans="1:6" ht="12.75">
      <c r="A23109" s="8">
        <v>43893.958298611113</v>
      </c>
      <c r="B23109" s="8" t="str">
        <f>HYPERLINK("https://twitter.com/ferry_adamhar","@ferry_adamhar")</f>
        <v>@ferry_adamhar</v>
      </c>
      <c r="C23109" s="8" t="s">
        <v>9062</v>
      </c>
      <c r="D23109" s="8">
        <v>7</v>
      </c>
      <c r="E23109" s="8">
        <v>0</v>
      </c>
      <c r="F23109" s="8">
        <v>10</v>
      </c>
    </row>
    <row r="23110" spans="1:6" ht="12.75">
      <c r="A23110" s="8">
        <v>43893.958287037036</v>
      </c>
      <c r="B23110" s="8" t="str">
        <f>HYPERLINK("https://twitter.com/beatrice_health","@beatrice_health")</f>
        <v>@beatrice_health</v>
      </c>
      <c r="C23110" s="8" t="s">
        <v>685</v>
      </c>
      <c r="D23110" s="8">
        <v>156</v>
      </c>
      <c r="E23110" s="8">
        <v>0</v>
      </c>
      <c r="F23110" s="8">
        <v>493</v>
      </c>
    </row>
    <row r="23111" spans="1:6" ht="12.75">
      <c r="A23111" s="8">
        <v>43893.958252314813</v>
      </c>
      <c r="B23111" s="8" t="str">
        <f>HYPERLINK("https://twitter.com/Ogutz27","@Ogutz27")</f>
        <v>@Ogutz27</v>
      </c>
      <c r="C23111" s="8" t="s">
        <v>685</v>
      </c>
      <c r="D23111" s="8">
        <v>156</v>
      </c>
      <c r="E23111" s="8">
        <v>0</v>
      </c>
      <c r="F23111" s="8">
        <v>129</v>
      </c>
    </row>
    <row r="23112" spans="1:6" ht="12.75">
      <c r="A23112" s="8">
        <v>43893.957465277781</v>
      </c>
      <c r="B23112" s="8" t="str">
        <f>HYPERLINK("https://twitter.com/ChajanJr","@ChajanJr")</f>
        <v>@ChajanJr</v>
      </c>
      <c r="C23112" s="8" t="s">
        <v>685</v>
      </c>
      <c r="D23112" s="8">
        <v>156</v>
      </c>
      <c r="E23112" s="8">
        <v>0</v>
      </c>
      <c r="F23112" s="8">
        <v>11061</v>
      </c>
    </row>
    <row r="23113" spans="1:6" ht="12.75">
      <c r="A23113" s="8">
        <v>43893.957106481481</v>
      </c>
      <c r="B23113" s="8" t="str">
        <f>HYPERLINK("https://twitter.com/BonnieAjah","@BonnieAjah")</f>
        <v>@BonnieAjah</v>
      </c>
      <c r="C23113" s="8" t="s">
        <v>9379</v>
      </c>
      <c r="D23113" s="8">
        <v>16</v>
      </c>
      <c r="E23113" s="8">
        <v>0</v>
      </c>
      <c r="F23113" s="8">
        <v>4538</v>
      </c>
    </row>
    <row r="23114" spans="1:6" ht="12.75">
      <c r="A23114" s="8">
        <v>43893.957083333335</v>
      </c>
      <c r="B23114" s="8" t="str">
        <f>HYPERLINK("https://twitter.com/AyTeaV","@AyTeaV")</f>
        <v>@AyTeaV</v>
      </c>
      <c r="C23114" s="8" t="s">
        <v>9380</v>
      </c>
      <c r="D23114" s="8">
        <v>2</v>
      </c>
      <c r="E23114" s="8">
        <v>0</v>
      </c>
      <c r="F23114" s="8">
        <v>70</v>
      </c>
    </row>
    <row r="23115" spans="1:6" ht="12.75">
      <c r="A23115" s="8">
        <v>43893.956747685181</v>
      </c>
      <c r="B23115" s="8" t="str">
        <f>HYPERLINK("https://twitter.com/27Ichoe","@27Ichoe")</f>
        <v>@27Ichoe</v>
      </c>
      <c r="C23115" s="8" t="s">
        <v>9381</v>
      </c>
      <c r="D23115" s="8">
        <v>3</v>
      </c>
      <c r="E23115" s="8">
        <v>0</v>
      </c>
      <c r="F23115" s="8">
        <v>352</v>
      </c>
    </row>
    <row r="23116" spans="1:6" ht="12.75">
      <c r="A23116" s="8">
        <v>43893.956574074073</v>
      </c>
      <c r="B23116" s="8" t="str">
        <f>HYPERLINK("https://twitter.com/Ogutz27","@Ogutz27")</f>
        <v>@Ogutz27</v>
      </c>
      <c r="C23116" s="8" t="s">
        <v>2962</v>
      </c>
      <c r="D23116" s="8">
        <v>5615</v>
      </c>
      <c r="E23116" s="8">
        <v>0</v>
      </c>
      <c r="F23116" s="8">
        <v>129</v>
      </c>
    </row>
    <row r="23117" spans="1:6" ht="12.75">
      <c r="A23117" s="8">
        <v>43893.956435185188</v>
      </c>
      <c r="B23117" s="8" t="str">
        <f>HYPERLINK("https://twitter.com/Ridwan38677273","@Ridwan38677273")</f>
        <v>@Ridwan38677273</v>
      </c>
      <c r="C23117" s="8" t="s">
        <v>9382</v>
      </c>
      <c r="D23117" s="8">
        <v>0</v>
      </c>
      <c r="E23117" s="8">
        <v>0</v>
      </c>
      <c r="F23117" s="8">
        <v>0</v>
      </c>
    </row>
    <row r="23118" spans="1:6" ht="12.75">
      <c r="A23118" s="8">
        <v>43893.956412037034</v>
      </c>
      <c r="B23118" s="8" t="str">
        <f>HYPERLINK("https://twitter.com/ngacimaaan","@ngacimaaan")</f>
        <v>@ngacimaaan</v>
      </c>
      <c r="C23118" s="8" t="s">
        <v>9383</v>
      </c>
      <c r="D23118" s="8">
        <v>0</v>
      </c>
      <c r="E23118" s="8">
        <v>0</v>
      </c>
      <c r="F23118" s="8">
        <v>120</v>
      </c>
    </row>
    <row r="23119" spans="1:6" ht="12.75">
      <c r="A23119" s="8">
        <v>43893.955879629633</v>
      </c>
      <c r="B23119" s="8" t="str">
        <f>HYPERLINK("https://twitter.com/Gold55687557","@Gold55687557")</f>
        <v>@Gold55687557</v>
      </c>
      <c r="C23119" s="8" t="s">
        <v>9384</v>
      </c>
      <c r="D23119" s="8">
        <v>0</v>
      </c>
      <c r="E23119" s="8">
        <v>0</v>
      </c>
      <c r="F23119" s="8">
        <v>163</v>
      </c>
    </row>
    <row r="23120" spans="1:6" ht="12.75">
      <c r="A23120" s="8">
        <v>43893.955370370371</v>
      </c>
      <c r="B23120" s="8" t="str">
        <f>HYPERLINK("https://twitter.com/Ridwan38677273","@Ridwan38677273")</f>
        <v>@Ridwan38677273</v>
      </c>
      <c r="C23120" s="8" t="s">
        <v>9385</v>
      </c>
      <c r="D23120" s="8">
        <v>0</v>
      </c>
      <c r="E23120" s="8">
        <v>0</v>
      </c>
      <c r="F23120" s="8">
        <v>0</v>
      </c>
    </row>
    <row r="23121" spans="1:6" ht="12.75">
      <c r="A23121" s="8">
        <v>43893.954976851848</v>
      </c>
      <c r="B23121" s="8" t="str">
        <f>HYPERLINK("https://twitter.com/Gregorius841","@Gregorius841")</f>
        <v>@Gregorius841</v>
      </c>
      <c r="C23121" s="8" t="s">
        <v>9136</v>
      </c>
      <c r="D23121" s="8">
        <v>7</v>
      </c>
      <c r="E23121" s="8">
        <v>0</v>
      </c>
      <c r="F23121" s="8">
        <v>3888</v>
      </c>
    </row>
    <row r="23122" spans="1:6" ht="12.75">
      <c r="A23122" s="8">
        <v>43893.954328703709</v>
      </c>
      <c r="B23122" s="8" t="str">
        <f>HYPERLINK("https://twitter.com/Robi180918","@Robi180918")</f>
        <v>@Robi180918</v>
      </c>
      <c r="C23122" s="8" t="s">
        <v>9386</v>
      </c>
      <c r="D23122" s="8">
        <v>0</v>
      </c>
      <c r="E23122" s="8">
        <v>0</v>
      </c>
      <c r="F23122" s="8">
        <v>15</v>
      </c>
    </row>
    <row r="23123" spans="1:6" ht="12.75">
      <c r="A23123" s="8">
        <v>43893.95412037037</v>
      </c>
      <c r="B23123" s="8" t="str">
        <f>HYPERLINK("https://twitter.com/DavidKanata","@DavidKanata")</f>
        <v>@DavidKanata</v>
      </c>
      <c r="C23123" s="8" t="s">
        <v>9387</v>
      </c>
      <c r="D23123" s="8">
        <v>0</v>
      </c>
      <c r="E23123" s="8">
        <v>0</v>
      </c>
      <c r="F23123" s="8">
        <v>1299</v>
      </c>
    </row>
    <row r="23124" spans="1:6" ht="12.75">
      <c r="A23124" s="8">
        <v>43893.954074074078</v>
      </c>
      <c r="B23124" s="8" t="str">
        <f>HYPERLINK("https://twitter.com/Akoe1008","@Akoe1008")</f>
        <v>@Akoe1008</v>
      </c>
      <c r="C23124" s="8" t="s">
        <v>8901</v>
      </c>
      <c r="D23124" s="8">
        <v>192</v>
      </c>
      <c r="E23124" s="8">
        <v>0</v>
      </c>
      <c r="F23124" s="8">
        <v>1204</v>
      </c>
    </row>
    <row r="23125" spans="1:6" ht="12.75">
      <c r="A23125" s="8">
        <v>43893.953981481478</v>
      </c>
      <c r="B23125" s="8" t="str">
        <f>HYPERLINK("https://twitter.com/Mirae62981454","@Mirae62981454")</f>
        <v>@Mirae62981454</v>
      </c>
      <c r="C23125" s="8" t="s">
        <v>8272</v>
      </c>
      <c r="D23125" s="8">
        <v>59</v>
      </c>
      <c r="E23125" s="8">
        <v>0</v>
      </c>
      <c r="F23125" s="8">
        <v>485</v>
      </c>
    </row>
    <row r="23126" spans="1:6" ht="12.75">
      <c r="A23126" s="8">
        <v>43893.953935185185</v>
      </c>
      <c r="B23126" s="8" t="str">
        <f>HYPERLINK("https://twitter.com/ruangobrol_id","@ruangobrol_id")</f>
        <v>@ruangobrol_id</v>
      </c>
      <c r="C23126" s="8" t="s">
        <v>9388</v>
      </c>
      <c r="D23126" s="8">
        <v>0</v>
      </c>
      <c r="E23126" s="8">
        <v>0</v>
      </c>
      <c r="F23126" s="8">
        <v>163</v>
      </c>
    </row>
    <row r="23127" spans="1:6" ht="12.75">
      <c r="A23127" s="8">
        <v>43893.95385416667</v>
      </c>
      <c r="B23127" s="8" t="str">
        <f>HYPERLINK("https://twitter.com/Arif_Kachef","@Arif_Kachef")</f>
        <v>@Arif_Kachef</v>
      </c>
      <c r="C23127" s="8" t="s">
        <v>8272</v>
      </c>
      <c r="D23127" s="8">
        <v>59</v>
      </c>
      <c r="E23127" s="8">
        <v>0</v>
      </c>
      <c r="F23127" s="8">
        <v>433</v>
      </c>
    </row>
    <row r="23128" spans="1:6" ht="12.75">
      <c r="A23128" s="8">
        <v>43893.953564814816</v>
      </c>
      <c r="B23128" s="8" t="str">
        <f>HYPERLINK("https://twitter.com/4nd103125330","@4nd103125330")</f>
        <v>@4nd103125330</v>
      </c>
      <c r="C23128" s="8" t="s">
        <v>9128</v>
      </c>
      <c r="D23128" s="8">
        <v>187</v>
      </c>
      <c r="E23128" s="8">
        <v>0</v>
      </c>
      <c r="F23128" s="8">
        <v>1711</v>
      </c>
    </row>
    <row r="23129" spans="1:6" ht="12.75">
      <c r="A23129" s="8">
        <v>43893.953379629631</v>
      </c>
      <c r="B23129" s="8" t="str">
        <f>HYPERLINK("https://twitter.com/SulyaniF","@SulyaniF")</f>
        <v>@SulyaniF</v>
      </c>
      <c r="C23129" s="8" t="s">
        <v>9389</v>
      </c>
      <c r="D23129" s="8">
        <v>2</v>
      </c>
      <c r="E23129" s="8">
        <v>0</v>
      </c>
      <c r="F23129" s="8">
        <v>8</v>
      </c>
    </row>
    <row r="23130" spans="1:6" ht="12.75">
      <c r="A23130" s="8">
        <v>43893.953194444446</v>
      </c>
      <c r="B23130" s="8" t="str">
        <f>HYPERLINK("https://twitter.com/suradiparlan5","@suradiparlan5")</f>
        <v>@suradiparlan5</v>
      </c>
      <c r="C23130" s="8" t="s">
        <v>9390</v>
      </c>
      <c r="D23130" s="8">
        <v>0</v>
      </c>
      <c r="E23130" s="8">
        <v>0</v>
      </c>
      <c r="F23130" s="8">
        <v>1387</v>
      </c>
    </row>
    <row r="23131" spans="1:6" ht="12.75">
      <c r="A23131" s="8">
        <v>43893.953032407408</v>
      </c>
      <c r="B23131" s="8" t="str">
        <f>HYPERLINK("https://twitter.com/AgusSul55741094","@AgusSul55741094")</f>
        <v>@AgusSul55741094</v>
      </c>
      <c r="C23131" s="8" t="s">
        <v>9391</v>
      </c>
      <c r="D23131" s="8">
        <v>0</v>
      </c>
      <c r="E23131" s="8">
        <v>0</v>
      </c>
      <c r="F23131" s="8">
        <v>2251</v>
      </c>
    </row>
    <row r="23132" spans="1:6" ht="12.75">
      <c r="A23132" s="8">
        <v>43893.9528587963</v>
      </c>
      <c r="B23132" s="8" t="str">
        <f>HYPERLINK("https://twitter.com/tuesdaypermit","@tuesdaypermit")</f>
        <v>@tuesdaypermit</v>
      </c>
      <c r="C23132" s="8" t="s">
        <v>9392</v>
      </c>
      <c r="D23132" s="8">
        <v>0</v>
      </c>
      <c r="E23132" s="8">
        <v>0</v>
      </c>
      <c r="F23132" s="8">
        <v>41</v>
      </c>
    </row>
    <row r="23133" spans="1:6" ht="12.75">
      <c r="A23133" s="8">
        <v>43893.952719907407</v>
      </c>
      <c r="B23133" s="8" t="str">
        <f>HYPERLINK("https://twitter.com/awkerja_","@awkerja_")</f>
        <v>@awkerja_</v>
      </c>
      <c r="C23133" s="8" t="s">
        <v>9393</v>
      </c>
      <c r="D23133" s="8">
        <v>0</v>
      </c>
      <c r="E23133" s="8">
        <v>0</v>
      </c>
      <c r="F23133" s="8">
        <v>0</v>
      </c>
    </row>
    <row r="23134" spans="1:6" ht="12.75">
      <c r="A23134" s="8">
        <v>43893.952696759261</v>
      </c>
      <c r="B23134" s="8" t="str">
        <f>HYPERLINK("https://twitter.com/RikiNelson","@RikiNelson")</f>
        <v>@RikiNelson</v>
      </c>
      <c r="C23134" s="8" t="s">
        <v>9394</v>
      </c>
      <c r="D23134" s="8">
        <v>0</v>
      </c>
      <c r="E23134" s="8">
        <v>0</v>
      </c>
      <c r="F23134" s="8">
        <v>3</v>
      </c>
    </row>
    <row r="23135" spans="1:6" ht="12.75">
      <c r="A23135" s="8">
        <v>43893.952685185184</v>
      </c>
      <c r="B23135" s="8" t="str">
        <f>HYPERLINK("https://twitter.com/marthapatriciaY","@marthapatriciaY")</f>
        <v>@marthapatriciaY</v>
      </c>
      <c r="C23135" s="8" t="s">
        <v>8843</v>
      </c>
      <c r="D23135" s="8">
        <v>91</v>
      </c>
      <c r="E23135" s="8">
        <v>0</v>
      </c>
      <c r="F23135" s="8">
        <v>509</v>
      </c>
    </row>
    <row r="23136" spans="1:6" ht="12.75">
      <c r="A23136" s="8">
        <v>43893.952361111107</v>
      </c>
      <c r="B23136" s="8" t="str">
        <f>HYPERLINK("https://twitter.com/matchathetic_","@matchathetic_")</f>
        <v>@matchathetic_</v>
      </c>
      <c r="C23136" s="8" t="s">
        <v>9395</v>
      </c>
      <c r="D23136" s="8">
        <v>0</v>
      </c>
      <c r="E23136" s="8">
        <v>0</v>
      </c>
      <c r="F23136" s="8">
        <v>1275</v>
      </c>
    </row>
    <row r="23137" spans="1:6" ht="12.75">
      <c r="A23137" s="8">
        <v>43893.951886574076</v>
      </c>
      <c r="B23137" s="8" t="str">
        <f>HYPERLINK("https://twitter.com/SuryaMajapahi7","@SuryaMajapahi7")</f>
        <v>@SuryaMajapahi7</v>
      </c>
      <c r="C23137" s="8" t="s">
        <v>6315</v>
      </c>
      <c r="D23137" s="8">
        <v>115</v>
      </c>
      <c r="E23137" s="8">
        <v>0</v>
      </c>
      <c r="F23137" s="8">
        <v>711</v>
      </c>
    </row>
    <row r="23138" spans="1:6" ht="12.75">
      <c r="A23138" s="8">
        <v>43893.951863425929</v>
      </c>
      <c r="B23138" s="8" t="str">
        <f>HYPERLINK("https://twitter.com/Madridista_Girl","@Madridista_Girl")</f>
        <v>@Madridista_Girl</v>
      </c>
      <c r="C23138" s="8" t="s">
        <v>9187</v>
      </c>
      <c r="D23138" s="8">
        <v>2</v>
      </c>
      <c r="E23138" s="8">
        <v>0</v>
      </c>
      <c r="F23138" s="8">
        <v>657</v>
      </c>
    </row>
    <row r="23139" spans="1:6" ht="12.75">
      <c r="A23139" s="8">
        <v>43893.951712962968</v>
      </c>
      <c r="B23139" s="8" t="str">
        <f>HYPERLINK("https://twitter.com/wahib_faishal","@wahib_faishal")</f>
        <v>@wahib_faishal</v>
      </c>
      <c r="C23139" s="8" t="s">
        <v>9396</v>
      </c>
      <c r="D23139" s="8">
        <v>0</v>
      </c>
      <c r="E23139" s="8">
        <v>0</v>
      </c>
      <c r="F23139" s="8">
        <v>315</v>
      </c>
    </row>
    <row r="23140" spans="1:6" ht="12.75">
      <c r="A23140" s="8">
        <v>43893.951284722221</v>
      </c>
      <c r="B23140" s="8" t="str">
        <f>HYPERLINK("https://twitter.com/RedaksiGemilan2","@RedaksiGemilan2")</f>
        <v>@RedaksiGemilan2</v>
      </c>
      <c r="C23140" s="8" t="s">
        <v>9397</v>
      </c>
      <c r="D23140" s="8">
        <v>0</v>
      </c>
      <c r="E23140" s="8">
        <v>0</v>
      </c>
      <c r="F23140" s="8">
        <v>5</v>
      </c>
    </row>
    <row r="23141" spans="1:6" ht="12.75">
      <c r="A23141" s="8">
        <v>43893.950856481482</v>
      </c>
      <c r="B23141" s="8" t="str">
        <f>HYPERLINK("https://twitter.com/totoksucahyono","@totoksucahyono")</f>
        <v>@totoksucahyono</v>
      </c>
      <c r="C23141" s="8" t="s">
        <v>1970</v>
      </c>
      <c r="D23141" s="8">
        <v>1276</v>
      </c>
      <c r="E23141" s="8">
        <v>0</v>
      </c>
      <c r="F23141" s="8">
        <v>35</v>
      </c>
    </row>
    <row r="23142" spans="1:6" ht="12.75">
      <c r="A23142" s="8">
        <v>43893.950439814813</v>
      </c>
      <c r="B23142" s="8" t="str">
        <f>HYPERLINK("https://twitter.com/igoen_anindya","@igoen_anindya")</f>
        <v>@igoen_anindya</v>
      </c>
      <c r="C23142" s="8" t="s">
        <v>8589</v>
      </c>
      <c r="D23142" s="8">
        <v>6</v>
      </c>
      <c r="E23142" s="8">
        <v>0</v>
      </c>
      <c r="F23142" s="8">
        <v>479</v>
      </c>
    </row>
    <row r="23143" spans="1:6" ht="12.75">
      <c r="A23143" s="8">
        <v>43893.950277777782</v>
      </c>
      <c r="B23143" s="8" t="str">
        <f>HYPERLINK("https://twitter.com/Sunarti25231614","@Sunarti25231614")</f>
        <v>@Sunarti25231614</v>
      </c>
      <c r="C23143" s="8" t="s">
        <v>1970</v>
      </c>
      <c r="D23143" s="8">
        <v>1276</v>
      </c>
      <c r="E23143" s="8">
        <v>0</v>
      </c>
      <c r="F23143" s="8">
        <v>107</v>
      </c>
    </row>
    <row r="23144" spans="1:6" ht="12.75">
      <c r="A23144" s="8">
        <v>43893.949953703705</v>
      </c>
      <c r="B23144" s="8" t="str">
        <f>HYPERLINK("https://twitter.com/RinaMay05957576","@RinaMay05957576")</f>
        <v>@RinaMay05957576</v>
      </c>
      <c r="C23144" s="8" t="s">
        <v>9398</v>
      </c>
      <c r="D23144" s="8">
        <v>0</v>
      </c>
      <c r="E23144" s="8">
        <v>1</v>
      </c>
      <c r="F23144" s="8">
        <v>7</v>
      </c>
    </row>
    <row r="23145" spans="1:6" ht="12.75">
      <c r="A23145" s="8">
        <v>43893.949571759258</v>
      </c>
      <c r="B23145" s="8" t="str">
        <f>HYPERLINK("https://twitter.com/AlfonsusRAP","@AlfonsusRAP")</f>
        <v>@AlfonsusRAP</v>
      </c>
      <c r="C23145" s="8" t="s">
        <v>2199</v>
      </c>
      <c r="D23145" s="8">
        <v>9038</v>
      </c>
      <c r="E23145" s="8">
        <v>0</v>
      </c>
      <c r="F23145" s="8">
        <v>205</v>
      </c>
    </row>
    <row r="23146" spans="1:6" ht="12.75">
      <c r="A23146" s="8">
        <v>43893.949004629627</v>
      </c>
      <c r="B23146" s="8" t="str">
        <f>HYPERLINK("https://twitter.com/suradiparlan5","@suradiparlan5")</f>
        <v>@suradiparlan5</v>
      </c>
      <c r="C23146" s="8" t="s">
        <v>9399</v>
      </c>
      <c r="D23146" s="8">
        <v>0</v>
      </c>
      <c r="E23146" s="8">
        <v>1</v>
      </c>
      <c r="F23146" s="8">
        <v>1387</v>
      </c>
    </row>
    <row r="23147" spans="1:6" ht="12.75">
      <c r="A23147" s="8">
        <v>43893.948831018519</v>
      </c>
      <c r="B23147" s="8" t="str">
        <f>HYPERLINK("https://twitter.com/apangyaa","@apangyaa")</f>
        <v>@apangyaa</v>
      </c>
      <c r="C23147" s="8" t="s">
        <v>9400</v>
      </c>
      <c r="D23147" s="8">
        <v>0</v>
      </c>
      <c r="E23147" s="8">
        <v>0</v>
      </c>
      <c r="F23147" s="8">
        <v>2</v>
      </c>
    </row>
    <row r="23148" spans="1:6" ht="12.75">
      <c r="A23148" s="8">
        <v>43893.948749999996</v>
      </c>
      <c r="B23148" s="8" t="str">
        <f>HYPERLINK("https://twitter.com/Dansky77","@Dansky77")</f>
        <v>@Dansky77</v>
      </c>
      <c r="C23148" s="8" t="s">
        <v>9401</v>
      </c>
      <c r="D23148" s="8">
        <v>0</v>
      </c>
      <c r="E23148" s="8">
        <v>0</v>
      </c>
      <c r="F23148" s="8">
        <v>201</v>
      </c>
    </row>
    <row r="23149" spans="1:6" ht="12.75">
      <c r="A23149" s="8">
        <v>43893.948726851857</v>
      </c>
      <c r="B23149" s="8" t="str">
        <f>HYPERLINK("https://twitter.com/k4ng_C1reNG","@k4ng_C1reNG")</f>
        <v>@k4ng_C1reNG</v>
      </c>
      <c r="C23149" s="8" t="s">
        <v>9402</v>
      </c>
      <c r="D23149" s="8">
        <v>1</v>
      </c>
      <c r="E23149" s="8">
        <v>0</v>
      </c>
      <c r="F23149" s="8">
        <v>4016</v>
      </c>
    </row>
    <row r="23150" spans="1:6" ht="12.75">
      <c r="A23150" s="8">
        <v>43893.948715277773</v>
      </c>
      <c r="B23150" s="8" t="str">
        <f>HYPERLINK("https://twitter.com/ikiaryo","@ikiaryo")</f>
        <v>@ikiaryo</v>
      </c>
      <c r="C23150" s="8" t="s">
        <v>9403</v>
      </c>
      <c r="D23150" s="8">
        <v>0</v>
      </c>
      <c r="E23150" s="8">
        <v>0</v>
      </c>
      <c r="F23150" s="8">
        <v>115</v>
      </c>
    </row>
    <row r="23151" spans="1:6" ht="12.75">
      <c r="A23151" s="8">
        <v>43893.948460648149</v>
      </c>
      <c r="B23151" s="8" t="str">
        <f>HYPERLINK("https://twitter.com/Inkaputri81","@Inkaputri81")</f>
        <v>@Inkaputri81</v>
      </c>
      <c r="C23151" s="8" t="s">
        <v>4477</v>
      </c>
      <c r="D23151" s="8">
        <v>1227</v>
      </c>
      <c r="E23151" s="8">
        <v>0</v>
      </c>
      <c r="F23151" s="8">
        <v>96</v>
      </c>
    </row>
    <row r="23152" spans="1:6" ht="12.75">
      <c r="A23152" s="8">
        <v>43893.94831018518</v>
      </c>
      <c r="B23152" s="8" t="str">
        <f>HYPERLINK("https://twitter.com/05panji2","@05panji2")</f>
        <v>@05panji2</v>
      </c>
      <c r="C23152" s="8" t="s">
        <v>9404</v>
      </c>
      <c r="D23152" s="8">
        <v>1</v>
      </c>
      <c r="E23152" s="8">
        <v>1</v>
      </c>
      <c r="F23152" s="8">
        <v>440</v>
      </c>
    </row>
    <row r="23153" spans="1:6" ht="12.75">
      <c r="A23153" s="8">
        <v>43893.948252314818</v>
      </c>
      <c r="B23153" s="8" t="str">
        <f>HYPERLINK("https://twitter.com/LukitoEki","@LukitoEki")</f>
        <v>@LukitoEki</v>
      </c>
      <c r="C23153" s="8" t="s">
        <v>228</v>
      </c>
      <c r="D23153" s="8">
        <v>14</v>
      </c>
      <c r="E23153" s="8">
        <v>0</v>
      </c>
      <c r="F23153" s="8">
        <v>6</v>
      </c>
    </row>
    <row r="23154" spans="1:6" ht="12.75">
      <c r="A23154" s="8">
        <v>43893.947465277779</v>
      </c>
      <c r="B23154" s="8" t="str">
        <f>HYPERLINK("https://twitter.com/suradiparlan5","@suradiparlan5")</f>
        <v>@suradiparlan5</v>
      </c>
      <c r="C23154" s="8" t="s">
        <v>9405</v>
      </c>
      <c r="D23154" s="8">
        <v>0</v>
      </c>
      <c r="E23154" s="8">
        <v>0</v>
      </c>
      <c r="F23154" s="8">
        <v>1387</v>
      </c>
    </row>
    <row r="23155" spans="1:6" ht="12.75">
      <c r="A23155" s="8">
        <v>43893.947465277779</v>
      </c>
      <c r="B23155" s="8" t="str">
        <f>HYPERLINK("https://twitter.com/ivanly1927","@ivanly1927")</f>
        <v>@ivanly1927</v>
      </c>
      <c r="C23155" s="8" t="s">
        <v>6315</v>
      </c>
      <c r="D23155" s="8">
        <v>115</v>
      </c>
      <c r="E23155" s="8">
        <v>0</v>
      </c>
      <c r="F23155" s="8">
        <v>11</v>
      </c>
    </row>
    <row r="23156" spans="1:6" ht="12.75">
      <c r="A23156" s="8">
        <v>43893.947384259256</v>
      </c>
      <c r="B23156" s="8" t="str">
        <f>HYPERLINK("https://twitter.com/guIfsuppasit","@guIfsuppasit")</f>
        <v>@guIfsuppasit</v>
      </c>
      <c r="C23156" s="8" t="s">
        <v>9295</v>
      </c>
      <c r="D23156" s="8">
        <v>284</v>
      </c>
      <c r="E23156" s="8">
        <v>0</v>
      </c>
      <c r="F23156" s="8">
        <v>577</v>
      </c>
    </row>
    <row r="23157" spans="1:6" ht="12.75">
      <c r="A23157" s="8">
        <v>43893.947245370371</v>
      </c>
      <c r="B23157" s="8" t="str">
        <f>HYPERLINK("https://twitter.com/1nserttranstv","@1nserttranstv")</f>
        <v>@1nserttranstv</v>
      </c>
      <c r="C23157" s="8" t="s">
        <v>9406</v>
      </c>
      <c r="D23157" s="8">
        <v>0</v>
      </c>
      <c r="E23157" s="8">
        <v>0</v>
      </c>
      <c r="F23157" s="8">
        <v>883707</v>
      </c>
    </row>
    <row r="23158" spans="1:6" ht="12.75">
      <c r="A23158" s="8">
        <v>43893.947129629625</v>
      </c>
      <c r="B23158" s="8" t="str">
        <f>HYPERLINK("https://twitter.com/aples0037","@aples0037")</f>
        <v>@aples0037</v>
      </c>
      <c r="C23158" s="8" t="s">
        <v>9146</v>
      </c>
      <c r="D23158" s="8">
        <v>63</v>
      </c>
      <c r="E23158" s="8">
        <v>0</v>
      </c>
      <c r="F23158" s="8">
        <v>1501</v>
      </c>
    </row>
    <row r="23159" spans="1:6" ht="12.75">
      <c r="A23159" s="8">
        <v>43893.947060185186</v>
      </c>
      <c r="B23159" s="8" t="str">
        <f>HYPERLINK("https://twitter.com/shaiful2468","@shaiful2468")</f>
        <v>@shaiful2468</v>
      </c>
      <c r="C23159" s="8" t="s">
        <v>4000</v>
      </c>
      <c r="D23159" s="8">
        <v>36</v>
      </c>
      <c r="E23159" s="8">
        <v>0</v>
      </c>
      <c r="F23159" s="8">
        <v>52</v>
      </c>
    </row>
    <row r="23160" spans="1:6" ht="12.75">
      <c r="A23160" s="8">
        <v>43893.946956018517</v>
      </c>
      <c r="B23160" s="8" t="str">
        <f>HYPERLINK("https://twitter.com/yoga_fixy","@yoga_fixy")</f>
        <v>@yoga_fixy</v>
      </c>
      <c r="C23160" s="8" t="s">
        <v>9407</v>
      </c>
      <c r="D23160" s="8">
        <v>0</v>
      </c>
      <c r="E23160" s="8">
        <v>0</v>
      </c>
      <c r="F23160" s="8">
        <v>482</v>
      </c>
    </row>
    <row r="23161" spans="1:6" ht="12.75">
      <c r="A23161" s="8">
        <v>43893.946435185186</v>
      </c>
      <c r="B23161" s="8" t="str">
        <f>HYPERLINK("https://twitter.com/sintya522","@sintya522")</f>
        <v>@sintya522</v>
      </c>
      <c r="C23161" s="8" t="s">
        <v>228</v>
      </c>
      <c r="D23161" s="8">
        <v>14</v>
      </c>
      <c r="E23161" s="8">
        <v>0</v>
      </c>
      <c r="F23161" s="8">
        <v>11</v>
      </c>
    </row>
    <row r="23162" spans="1:6" ht="12.75">
      <c r="A23162" s="8">
        <v>43893.946377314816</v>
      </c>
      <c r="B23162" s="8" t="str">
        <f>HYPERLINK("https://twitter.com/m_naldokloz","@m_naldokloz")</f>
        <v>@m_naldokloz</v>
      </c>
      <c r="C23162" s="8" t="s">
        <v>8970</v>
      </c>
      <c r="D23162" s="8">
        <v>118</v>
      </c>
      <c r="E23162" s="8">
        <v>0</v>
      </c>
      <c r="F23162" s="8">
        <v>641</v>
      </c>
    </row>
    <row r="23163" spans="1:6" ht="12.75">
      <c r="A23163" s="8">
        <v>43893.946296296301</v>
      </c>
      <c r="B23163" s="8" t="str">
        <f>HYPERLINK("https://twitter.com/doyokijay","@doyokijay")</f>
        <v>@doyokijay</v>
      </c>
      <c r="C23163" s="8" t="s">
        <v>9088</v>
      </c>
      <c r="D23163" s="8">
        <v>47</v>
      </c>
      <c r="E23163" s="8">
        <v>0</v>
      </c>
      <c r="F23163" s="8">
        <v>317</v>
      </c>
    </row>
    <row r="23164" spans="1:6" ht="12.75">
      <c r="A23164" s="8">
        <v>43893.946250000001</v>
      </c>
      <c r="B23164" s="8" t="str">
        <f>HYPERLINK("https://twitter.com/RevenanAja","@RevenanAja")</f>
        <v>@RevenanAja</v>
      </c>
      <c r="C23164" s="8" t="s">
        <v>6863</v>
      </c>
      <c r="D23164" s="8">
        <v>353</v>
      </c>
      <c r="E23164" s="8">
        <v>0</v>
      </c>
      <c r="F23164" s="8">
        <v>151</v>
      </c>
    </row>
    <row r="23165" spans="1:6" ht="12.75">
      <c r="A23165" s="8">
        <v>43893.945474537039</v>
      </c>
      <c r="B23165" s="8" t="str">
        <f>HYPERLINK("https://twitter.com/yossydarmawan","@yossydarmawan")</f>
        <v>@yossydarmawan</v>
      </c>
      <c r="C23165" s="8" t="s">
        <v>9146</v>
      </c>
      <c r="D23165" s="8">
        <v>63</v>
      </c>
      <c r="E23165" s="8">
        <v>0</v>
      </c>
      <c r="F23165" s="8">
        <v>535</v>
      </c>
    </row>
    <row r="23166" spans="1:6" ht="12.75">
      <c r="A23166" s="8">
        <v>43893.945289351846</v>
      </c>
      <c r="B23166" s="8" t="str">
        <f>HYPERLINK("https://twitter.com/_wni_","@_wni_")</f>
        <v>@_wni_</v>
      </c>
      <c r="C23166" s="8" t="s">
        <v>9408</v>
      </c>
      <c r="D23166" s="8">
        <v>7451</v>
      </c>
      <c r="E23166" s="8">
        <v>0</v>
      </c>
      <c r="F23166" s="8">
        <v>14</v>
      </c>
    </row>
    <row r="23167" spans="1:6" ht="12.75">
      <c r="A23167" s="8">
        <v>43893.945185185185</v>
      </c>
      <c r="B23167" s="8" t="str">
        <f>HYPERLINK("https://twitter.com/suradiparlan5","@suradiparlan5")</f>
        <v>@suradiparlan5</v>
      </c>
      <c r="C23167" s="8" t="s">
        <v>9409</v>
      </c>
      <c r="D23167" s="8">
        <v>0</v>
      </c>
      <c r="E23167" s="8">
        <v>0</v>
      </c>
      <c r="F23167" s="8">
        <v>1387</v>
      </c>
    </row>
    <row r="23168" spans="1:6" ht="12.75">
      <c r="A23168" s="8">
        <v>43893.944907407407</v>
      </c>
      <c r="B23168" s="8" t="str">
        <f>HYPERLINK("https://twitter.com/Shellahibono","@Shellahibono")</f>
        <v>@Shellahibono</v>
      </c>
      <c r="C23168" s="8" t="s">
        <v>6315</v>
      </c>
      <c r="D23168" s="8">
        <v>115</v>
      </c>
      <c r="E23168" s="8">
        <v>0</v>
      </c>
      <c r="F23168" s="8">
        <v>80</v>
      </c>
    </row>
    <row r="23169" spans="1:6" ht="12.75">
      <c r="A23169" s="8">
        <v>43893.944247685184</v>
      </c>
      <c r="B23169" s="8" t="str">
        <f>HYPERLINK("https://twitter.com/PradityaBeni","@PradityaBeni")</f>
        <v>@PradityaBeni</v>
      </c>
      <c r="C23169" s="8" t="s">
        <v>8901</v>
      </c>
      <c r="D23169" s="8">
        <v>192</v>
      </c>
      <c r="E23169" s="8">
        <v>0</v>
      </c>
      <c r="F23169" s="8">
        <v>1295</v>
      </c>
    </row>
    <row r="23170" spans="1:6" ht="12.75">
      <c r="A23170" s="8">
        <v>43893.944247685184</v>
      </c>
      <c r="B23170" s="8" t="str">
        <f>HYPERLINK("https://twitter.com/doddy0020","@doddy0020")</f>
        <v>@doddy0020</v>
      </c>
      <c r="C23170" s="8" t="s">
        <v>9410</v>
      </c>
      <c r="D23170" s="8">
        <v>0</v>
      </c>
      <c r="E23170" s="8">
        <v>1</v>
      </c>
      <c r="F23170" s="8">
        <v>41</v>
      </c>
    </row>
    <row r="23171" spans="1:6" ht="12.75">
      <c r="A23171" s="8">
        <v>43893.943993055553</v>
      </c>
      <c r="B23171" s="8" t="str">
        <f>HYPERLINK("https://twitter.com/AlwaysFaza","@AlwaysFaza")</f>
        <v>@AlwaysFaza</v>
      </c>
      <c r="C23171" s="8" t="s">
        <v>9117</v>
      </c>
      <c r="D23171" s="8">
        <v>409</v>
      </c>
      <c r="E23171" s="8">
        <v>0</v>
      </c>
      <c r="F23171" s="8">
        <v>259</v>
      </c>
    </row>
    <row r="23172" spans="1:6" ht="12.75">
      <c r="A23172" s="8">
        <v>43893.943923611107</v>
      </c>
      <c r="B23172" s="8" t="str">
        <f>HYPERLINK("https://twitter.com/msakili85","@msakili85")</f>
        <v>@msakili85</v>
      </c>
      <c r="C23172" s="8" t="s">
        <v>8738</v>
      </c>
      <c r="D23172" s="8">
        <v>19</v>
      </c>
      <c r="E23172" s="8">
        <v>0</v>
      </c>
      <c r="F23172" s="8">
        <v>548</v>
      </c>
    </row>
    <row r="23173" spans="1:6" ht="12.75">
      <c r="A23173" s="8">
        <v>43893.943900462968</v>
      </c>
      <c r="B23173" s="8" t="str">
        <f>HYPERLINK("https://twitter.com/donny7etrost","@donny7etrost")</f>
        <v>@donny7etrost</v>
      </c>
      <c r="C23173" s="8" t="s">
        <v>9411</v>
      </c>
      <c r="D23173" s="8">
        <v>0</v>
      </c>
      <c r="E23173" s="8">
        <v>0</v>
      </c>
      <c r="F23173" s="8">
        <v>1696</v>
      </c>
    </row>
    <row r="23174" spans="1:6" ht="12.75">
      <c r="A23174" s="8">
        <v>43893.943854166668</v>
      </c>
      <c r="B23174" s="8" t="str">
        <f>HYPERLINK("https://twitter.com/AdiMawa22441862","@AdiMawa22441862")</f>
        <v>@AdiMawa22441862</v>
      </c>
      <c r="C23174" s="8" t="s">
        <v>9412</v>
      </c>
      <c r="D23174" s="8">
        <v>0</v>
      </c>
      <c r="E23174" s="8">
        <v>0</v>
      </c>
      <c r="F23174" s="8">
        <v>184</v>
      </c>
    </row>
    <row r="23175" spans="1:6" ht="12.75">
      <c r="A23175" s="8">
        <v>43893.943831018521</v>
      </c>
      <c r="B23175" s="8" t="str">
        <f>HYPERLINK("https://twitter.com/naughteteh","@naughteteh")</f>
        <v>@naughteteh</v>
      </c>
      <c r="C23175" s="8" t="s">
        <v>1427</v>
      </c>
      <c r="D23175" s="8">
        <v>986</v>
      </c>
      <c r="E23175" s="8">
        <v>0</v>
      </c>
      <c r="F23175" s="8">
        <v>642</v>
      </c>
    </row>
    <row r="23176" spans="1:6" ht="12.75">
      <c r="A23176" s="8">
        <v>43893.943807870368</v>
      </c>
      <c r="B23176" s="8" t="str">
        <f>HYPERLINK("https://twitter.com/VanDoncry","@VanDoncry")</f>
        <v>@VanDoncry</v>
      </c>
      <c r="C23176" s="8" t="s">
        <v>8842</v>
      </c>
      <c r="D23176" s="8">
        <v>182</v>
      </c>
      <c r="E23176" s="8">
        <v>0</v>
      </c>
      <c r="F23176" s="8">
        <v>2633</v>
      </c>
    </row>
    <row r="23177" spans="1:6" ht="12.75">
      <c r="A23177" s="8">
        <v>43893.943506944444</v>
      </c>
      <c r="B23177" s="8" t="str">
        <f>HYPERLINK("https://twitter.com/lukman141070","@lukman141070")</f>
        <v>@lukman141070</v>
      </c>
      <c r="C23177" s="8" t="s">
        <v>5732</v>
      </c>
      <c r="D23177" s="8">
        <v>2178</v>
      </c>
      <c r="E23177" s="8">
        <v>0</v>
      </c>
      <c r="F23177" s="8">
        <v>391</v>
      </c>
    </row>
    <row r="23178" spans="1:6" ht="12.75">
      <c r="A23178" s="8">
        <v>43893.943437499998</v>
      </c>
      <c r="B23178" s="8" t="str">
        <f>HYPERLINK("https://twitter.com/ninenineone911","@ninenineone911")</f>
        <v>@ninenineone911</v>
      </c>
      <c r="C23178" s="8" t="s">
        <v>9413</v>
      </c>
      <c r="D23178" s="8">
        <v>0</v>
      </c>
      <c r="E23178" s="8">
        <v>0</v>
      </c>
      <c r="F23178" s="8">
        <v>18</v>
      </c>
    </row>
    <row r="23179" spans="1:6" ht="12.75">
      <c r="A23179" s="8">
        <v>43893.943344907406</v>
      </c>
      <c r="B23179" s="8" t="str">
        <f>HYPERLINK("https://twitter.com/indeathwetrust_","@indeathwetrust_")</f>
        <v>@indeathwetrust_</v>
      </c>
      <c r="C23179" s="8" t="s">
        <v>9414</v>
      </c>
      <c r="D23179" s="8">
        <v>4</v>
      </c>
      <c r="E23179" s="8">
        <v>0</v>
      </c>
      <c r="F23179" s="8">
        <v>37</v>
      </c>
    </row>
    <row r="23180" spans="1:6" ht="12.75">
      <c r="A23180" s="8">
        <v>43893.92350694444</v>
      </c>
      <c r="B23180" s="8" t="str">
        <f>HYPERLINK("https://twitter.com/Inlander21","@Inlander21")</f>
        <v>@Inlander21</v>
      </c>
      <c r="C23180" s="8" t="s">
        <v>8868</v>
      </c>
      <c r="D23180" s="8">
        <v>164</v>
      </c>
      <c r="E23180" s="8">
        <v>0</v>
      </c>
      <c r="F23180" s="8">
        <v>689</v>
      </c>
    </row>
    <row r="23181" spans="1:6" ht="12.75">
      <c r="A23181" s="8">
        <v>43893.923078703709</v>
      </c>
      <c r="B23181" s="8" t="str">
        <f>HYPERLINK("https://twitter.com/PiyelB","@PiyelB")</f>
        <v>@PiyelB</v>
      </c>
      <c r="C23181" s="8" t="s">
        <v>8901</v>
      </c>
      <c r="D23181" s="8">
        <v>190</v>
      </c>
      <c r="E23181" s="8">
        <v>0</v>
      </c>
      <c r="F23181" s="8">
        <v>719</v>
      </c>
    </row>
    <row r="23182" spans="1:6" ht="12.75">
      <c r="A23182" s="8">
        <v>43893.923020833332</v>
      </c>
      <c r="B23182" s="8" t="str">
        <f>HYPERLINK("https://twitter.com/BBiruuu","@BBiruuu")</f>
        <v>@BBiruuu</v>
      </c>
      <c r="C23182" s="8" t="s">
        <v>8868</v>
      </c>
      <c r="D23182" s="8">
        <v>164</v>
      </c>
      <c r="E23182" s="8">
        <v>0</v>
      </c>
      <c r="F23182" s="8">
        <v>0</v>
      </c>
    </row>
    <row r="23183" spans="1:6" ht="12.75">
      <c r="A23183" s="8">
        <v>43893.922962962963</v>
      </c>
      <c r="B23183" s="8" t="str">
        <f>HYPERLINK("https://twitter.com/flomaria02","@flomaria02")</f>
        <v>@flomaria02</v>
      </c>
      <c r="C23183" s="8" t="s">
        <v>6315</v>
      </c>
      <c r="D23183" s="8">
        <v>103</v>
      </c>
      <c r="E23183" s="8">
        <v>0</v>
      </c>
      <c r="F23183" s="8">
        <v>228</v>
      </c>
    </row>
    <row r="23184" spans="1:6" ht="12.75">
      <c r="A23184" s="8">
        <v>43893.922824074078</v>
      </c>
      <c r="B23184" s="8" t="str">
        <f>HYPERLINK("https://twitter.com/AliDavala99","@AliDavala99")</f>
        <v>@AliDavala99</v>
      </c>
      <c r="C23184" s="8" t="s">
        <v>8970</v>
      </c>
      <c r="D23184" s="8">
        <v>116</v>
      </c>
      <c r="E23184" s="8">
        <v>0</v>
      </c>
      <c r="F23184" s="8">
        <v>77</v>
      </c>
    </row>
    <row r="23185" spans="1:6" ht="12.75">
      <c r="A23185" s="8">
        <v>43893.922766203701</v>
      </c>
      <c r="B23185" s="8" t="str">
        <f>HYPERLINK("https://twitter.com/tribunus2","@tribunus2")</f>
        <v>@tribunus2</v>
      </c>
      <c r="C23185" s="8" t="s">
        <v>9415</v>
      </c>
      <c r="D23185" s="8">
        <v>1</v>
      </c>
      <c r="E23185" s="8">
        <v>0</v>
      </c>
      <c r="F23185" s="8">
        <v>4321</v>
      </c>
    </row>
    <row r="23186" spans="1:6" ht="12.75">
      <c r="A23186" s="8">
        <v>43893.92260416667</v>
      </c>
      <c r="B23186" s="8" t="str">
        <f>HYPERLINK("https://twitter.com/antoniustan","@antoniustan")</f>
        <v>@antoniustan</v>
      </c>
      <c r="C23186" s="8" t="s">
        <v>9416</v>
      </c>
      <c r="D23186" s="8">
        <v>1</v>
      </c>
      <c r="E23186" s="8">
        <v>0</v>
      </c>
      <c r="F23186" s="8">
        <v>41</v>
      </c>
    </row>
    <row r="23187" spans="1:6" ht="12.75">
      <c r="A23187" s="8">
        <v>43893.9221875</v>
      </c>
      <c r="B23187" s="8" t="str">
        <f>HYPERLINK("https://twitter.com/eliezer_hans","@eliezer_hans")</f>
        <v>@eliezer_hans</v>
      </c>
      <c r="C23187" s="8" t="s">
        <v>2199</v>
      </c>
      <c r="D23187" s="8">
        <v>9031</v>
      </c>
      <c r="E23187" s="8">
        <v>0</v>
      </c>
      <c r="F23187" s="8">
        <v>360</v>
      </c>
    </row>
    <row r="23188" spans="1:6" ht="12.75">
      <c r="A23188" s="8">
        <v>43893.922083333338</v>
      </c>
      <c r="B23188" s="8" t="str">
        <f>HYPERLINK("https://twitter.com/ananta_aary","@ananta_aary")</f>
        <v>@ananta_aary</v>
      </c>
      <c r="C23188" s="8" t="s">
        <v>2199</v>
      </c>
      <c r="D23188" s="8">
        <v>9031</v>
      </c>
      <c r="E23188" s="8">
        <v>0</v>
      </c>
      <c r="F23188" s="8">
        <v>461</v>
      </c>
    </row>
    <row r="23189" spans="1:6" ht="12.75">
      <c r="A23189" s="8">
        <v>43893.921909722223</v>
      </c>
      <c r="B23189" s="8" t="str">
        <f>HYPERLINK("https://twitter.com/AdrisNafsak","@AdrisNafsak")</f>
        <v>@AdrisNafsak</v>
      </c>
      <c r="C23189" s="8" t="s">
        <v>9417</v>
      </c>
      <c r="D23189" s="8">
        <v>108</v>
      </c>
      <c r="E23189" s="8">
        <v>0</v>
      </c>
      <c r="F23189" s="8">
        <v>401</v>
      </c>
    </row>
    <row r="23190" spans="1:6" ht="12.75">
      <c r="A23190" s="8">
        <v>43893.921597222223</v>
      </c>
      <c r="B23190" s="8" t="str">
        <f>HYPERLINK("https://twitter.com/Mpok_Hanum","@Mpok_Hanum")</f>
        <v>@Mpok_Hanum</v>
      </c>
      <c r="C23190" s="8" t="s">
        <v>9418</v>
      </c>
      <c r="D23190" s="8">
        <v>30</v>
      </c>
      <c r="E23190" s="8">
        <v>0</v>
      </c>
      <c r="F23190" s="8">
        <v>576</v>
      </c>
    </row>
    <row r="23191" spans="1:6" ht="12.75">
      <c r="A23191" s="8">
        <v>43893.921331018515</v>
      </c>
      <c r="B23191" s="8" t="str">
        <f>HYPERLINK("https://twitter.com/samienz","@samienz")</f>
        <v>@samienz</v>
      </c>
      <c r="C23191" s="8" t="s">
        <v>1970</v>
      </c>
      <c r="D23191" s="8">
        <v>1267</v>
      </c>
      <c r="E23191" s="8">
        <v>0</v>
      </c>
      <c r="F23191" s="8">
        <v>974</v>
      </c>
    </row>
    <row r="23192" spans="1:6" ht="12.75">
      <c r="A23192" s="8">
        <v>43893.92086805556</v>
      </c>
      <c r="B23192" s="8" t="str">
        <f>HYPERLINK("https://twitter.com/woy_lau","@woy_lau")</f>
        <v>@woy_lau</v>
      </c>
      <c r="C23192" s="8" t="s">
        <v>6827</v>
      </c>
      <c r="D23192" s="8">
        <v>35</v>
      </c>
      <c r="E23192" s="8">
        <v>0</v>
      </c>
      <c r="F23192" s="8">
        <v>173</v>
      </c>
    </row>
    <row r="23193" spans="1:6" ht="12.75">
      <c r="A23193" s="8">
        <v>43893.920752314814</v>
      </c>
      <c r="B23193" s="8" t="str">
        <f>HYPERLINK("https://twitter.com/vynanovyana","@vynanovyana")</f>
        <v>@vynanovyana</v>
      </c>
      <c r="C23193" s="8" t="s">
        <v>8843</v>
      </c>
      <c r="D23193" s="8">
        <v>88</v>
      </c>
      <c r="E23193" s="8">
        <v>0</v>
      </c>
      <c r="F23193" s="8">
        <v>202</v>
      </c>
    </row>
    <row r="23194" spans="1:6" ht="12.75">
      <c r="A23194" s="8">
        <v>43893.920752314814</v>
      </c>
      <c r="B23194" s="8" t="str">
        <f t="shared" ref="B23194:B23195" si="343">HYPERLINK("https://twitter.com/kangbaper_oh","@kangbaper_oh")</f>
        <v>@kangbaper_oh</v>
      </c>
      <c r="C23194" s="8" t="s">
        <v>9419</v>
      </c>
      <c r="D23194" s="8">
        <v>12</v>
      </c>
      <c r="E23194" s="8">
        <v>0</v>
      </c>
      <c r="F23194" s="8">
        <v>2402</v>
      </c>
    </row>
    <row r="23195" spans="1:6" ht="12.75">
      <c r="A23195" s="8">
        <v>43893.920717592591</v>
      </c>
      <c r="B23195" s="8" t="str">
        <f t="shared" si="343"/>
        <v>@kangbaper_oh</v>
      </c>
      <c r="C23195" s="8" t="s">
        <v>9420</v>
      </c>
      <c r="D23195" s="8">
        <v>12</v>
      </c>
      <c r="E23195" s="8">
        <v>0</v>
      </c>
      <c r="F23195" s="8">
        <v>2402</v>
      </c>
    </row>
    <row r="23196" spans="1:6" ht="12.75">
      <c r="A23196" s="8">
        <v>43893.920578703706</v>
      </c>
      <c r="B23196" s="8" t="str">
        <f>HYPERLINK("https://twitter.com/BudakBadung11","@BudakBadung11")</f>
        <v>@BudakBadung11</v>
      </c>
      <c r="C23196" s="8" t="s">
        <v>8868</v>
      </c>
      <c r="D23196" s="8">
        <v>164</v>
      </c>
      <c r="E23196" s="8">
        <v>0</v>
      </c>
      <c r="F23196" s="8">
        <v>32</v>
      </c>
    </row>
    <row r="23197" spans="1:6" ht="12.75">
      <c r="A23197" s="8">
        <v>43893.920555555553</v>
      </c>
      <c r="B23197" s="8" t="str">
        <f>HYPERLINK("https://twitter.com/Akmaltasmara3","@Akmaltasmara3")</f>
        <v>@Akmaltasmara3</v>
      </c>
      <c r="C23197" s="8" t="s">
        <v>8868</v>
      </c>
      <c r="D23197" s="8">
        <v>164</v>
      </c>
      <c r="E23197" s="8">
        <v>0</v>
      </c>
      <c r="F23197" s="8">
        <v>119</v>
      </c>
    </row>
    <row r="23198" spans="1:6" ht="12.75">
      <c r="A23198" s="8">
        <v>43893.920405092591</v>
      </c>
      <c r="B23198" s="8" t="str">
        <f>HYPERLINK("https://twitter.com/Jiban08476848","@Jiban08476848")</f>
        <v>@Jiban08476848</v>
      </c>
      <c r="C23198" s="8" t="s">
        <v>8210</v>
      </c>
      <c r="D23198" s="8">
        <v>5</v>
      </c>
      <c r="E23198" s="8">
        <v>0</v>
      </c>
      <c r="F23198" s="8">
        <v>17</v>
      </c>
    </row>
    <row r="23199" spans="1:6" ht="12.75">
      <c r="A23199" s="8">
        <v>43893.920370370368</v>
      </c>
      <c r="B23199" s="8" t="str">
        <f>HYPERLINK("https://twitter.com/IwaDirja","@IwaDirja")</f>
        <v>@IwaDirja</v>
      </c>
      <c r="C23199" s="8" t="s">
        <v>1970</v>
      </c>
      <c r="D23199" s="8">
        <v>1267</v>
      </c>
      <c r="E23199" s="8">
        <v>0</v>
      </c>
      <c r="F23199" s="8">
        <v>482</v>
      </c>
    </row>
    <row r="23200" spans="1:6" ht="12.75">
      <c r="A23200" s="8">
        <v>43893.920266203699</v>
      </c>
      <c r="B23200" s="8" t="str">
        <f>HYPERLINK("https://twitter.com/2019Sehatselalu","@2019Sehatselalu")</f>
        <v>@2019Sehatselalu</v>
      </c>
      <c r="C23200" s="8" t="s">
        <v>9421</v>
      </c>
      <c r="D23200" s="8">
        <v>2</v>
      </c>
      <c r="E23200" s="8">
        <v>0</v>
      </c>
      <c r="F23200" s="8">
        <v>16</v>
      </c>
    </row>
    <row r="23201" spans="1:6" ht="12.75">
      <c r="A23201" s="8">
        <v>43893.920173611114</v>
      </c>
      <c r="B23201" s="8" t="str">
        <f>HYPERLINK("https://twitter.com/Irving_Kho","@Irving_Kho")</f>
        <v>@Irving_Kho</v>
      </c>
      <c r="C23201" s="8" t="s">
        <v>9422</v>
      </c>
      <c r="D23201" s="8">
        <v>0</v>
      </c>
      <c r="E23201" s="8">
        <v>0</v>
      </c>
      <c r="F23201" s="8">
        <v>20</v>
      </c>
    </row>
    <row r="23202" spans="1:6" ht="12.75">
      <c r="A23202" s="8">
        <v>43893.919930555552</v>
      </c>
      <c r="B23202" s="8" t="str">
        <f>HYPERLINK("https://twitter.com/Jiban08476848","@Jiban08476848")</f>
        <v>@Jiban08476848</v>
      </c>
      <c r="C23202" s="8" t="s">
        <v>9062</v>
      </c>
      <c r="D23202" s="8">
        <v>6</v>
      </c>
      <c r="E23202" s="8">
        <v>0</v>
      </c>
      <c r="F23202" s="8">
        <v>17</v>
      </c>
    </row>
    <row r="23203" spans="1:6" ht="12.75">
      <c r="A23203" s="8">
        <v>43893.91920138889</v>
      </c>
      <c r="B23203" s="8" t="str">
        <f>HYPERLINK("https://twitter.com/adnauriratna22","@adnauriratna22")</f>
        <v>@adnauriratna22</v>
      </c>
      <c r="C23203" s="8" t="s">
        <v>8868</v>
      </c>
      <c r="D23203" s="8">
        <v>164</v>
      </c>
      <c r="E23203" s="8">
        <v>0</v>
      </c>
      <c r="F23203" s="8">
        <v>233</v>
      </c>
    </row>
    <row r="23204" spans="1:6" ht="12.75">
      <c r="A23204" s="8">
        <v>43893.919004629628</v>
      </c>
      <c r="B23204" s="8" t="str">
        <f>HYPERLINK("https://twitter.com/ElvistDenali","@ElvistDenali")</f>
        <v>@ElvistDenali</v>
      </c>
      <c r="C23204" s="8" t="s">
        <v>9423</v>
      </c>
      <c r="D23204" s="8">
        <v>0</v>
      </c>
      <c r="E23204" s="8">
        <v>1</v>
      </c>
      <c r="F23204" s="8">
        <v>455</v>
      </c>
    </row>
    <row r="23205" spans="1:6" ht="12.75">
      <c r="A23205" s="8">
        <v>43893.91878472222</v>
      </c>
      <c r="B23205" s="8" t="str">
        <f>HYPERLINK("https://twitter.com/Bers4tu","@Bers4tu")</f>
        <v>@Bers4tu</v>
      </c>
      <c r="C23205" s="8" t="s">
        <v>9424</v>
      </c>
      <c r="D23205" s="8">
        <v>0</v>
      </c>
      <c r="E23205" s="8">
        <v>0</v>
      </c>
      <c r="F23205" s="8">
        <v>890</v>
      </c>
    </row>
    <row r="23206" spans="1:6" ht="12.75">
      <c r="A23206" s="8">
        <v>43893.918761574074</v>
      </c>
      <c r="B23206" s="8" t="str">
        <f>HYPERLINK("https://twitter.com/BillTemporo","@BillTemporo")</f>
        <v>@BillTemporo</v>
      </c>
      <c r="C23206" s="8" t="s">
        <v>323</v>
      </c>
      <c r="D23206" s="8">
        <v>0</v>
      </c>
      <c r="E23206" s="8">
        <v>0</v>
      </c>
      <c r="F23206" s="8">
        <v>11</v>
      </c>
    </row>
    <row r="23207" spans="1:6" ht="12.75">
      <c r="A23207" s="8">
        <v>43893.918668981481</v>
      </c>
      <c r="B23207" s="8" t="str">
        <f>HYPERLINK("https://twitter.com/antaranews","@antaranews")</f>
        <v>@antaranews</v>
      </c>
      <c r="C23207" s="8" t="s">
        <v>9421</v>
      </c>
      <c r="D23207" s="8">
        <v>2</v>
      </c>
      <c r="E23207" s="8">
        <v>0</v>
      </c>
      <c r="F23207" s="8">
        <v>1106342</v>
      </c>
    </row>
    <row r="23208" spans="1:6" ht="12.75">
      <c r="A23208" s="8">
        <v>43893.918530092589</v>
      </c>
      <c r="B23208" s="8" t="str">
        <f>HYPERLINK("https://twitter.com/antarafoto","@antarafoto")</f>
        <v>@antarafoto</v>
      </c>
      <c r="C23208" s="8" t="s">
        <v>9425</v>
      </c>
      <c r="D23208" s="8">
        <v>2</v>
      </c>
      <c r="E23208" s="8">
        <v>3</v>
      </c>
      <c r="F23208" s="8">
        <v>8748</v>
      </c>
    </row>
    <row r="23209" spans="1:6" ht="12.75">
      <c r="A23209" s="8">
        <v>43893.918414351851</v>
      </c>
      <c r="B23209" s="8" t="str">
        <f>HYPERLINK("https://twitter.com/zuriswanfajri","@zuriswanfajri")</f>
        <v>@zuriswanfajri</v>
      </c>
      <c r="C23209" s="8" t="s">
        <v>6827</v>
      </c>
      <c r="D23209" s="8">
        <v>35</v>
      </c>
      <c r="E23209" s="8">
        <v>0</v>
      </c>
      <c r="F23209" s="8">
        <v>4458</v>
      </c>
    </row>
    <row r="23210" spans="1:6" ht="12.75">
      <c r="A23210" s="8">
        <v>43893.918113425927</v>
      </c>
      <c r="B23210" s="8" t="str">
        <f>HYPERLINK("https://twitter.com/nelly_phoenix","@nelly_phoenix")</f>
        <v>@nelly_phoenix</v>
      </c>
      <c r="C23210" s="8" t="s">
        <v>8272</v>
      </c>
      <c r="D23210" s="8">
        <v>52</v>
      </c>
      <c r="E23210" s="8">
        <v>0</v>
      </c>
      <c r="F23210" s="8">
        <v>227</v>
      </c>
    </row>
    <row r="23211" spans="1:6" ht="12.75">
      <c r="A23211" s="8">
        <v>43893.91810185185</v>
      </c>
      <c r="B23211" s="8" t="str">
        <f>HYPERLINK("https://twitter.com/natalsianipar","@natalsianipar")</f>
        <v>@natalsianipar</v>
      </c>
      <c r="C23211" s="8" t="s">
        <v>9426</v>
      </c>
      <c r="D23211" s="8">
        <v>0</v>
      </c>
      <c r="E23211" s="8">
        <v>0</v>
      </c>
      <c r="F23211" s="8">
        <v>343</v>
      </c>
    </row>
    <row r="23212" spans="1:6" ht="12.75">
      <c r="A23212" s="8">
        <v>43893.918032407411</v>
      </c>
      <c r="B23212" s="8" t="str">
        <f>HYPERLINK("https://twitter.com/Isis_Izzy","@Isis_Izzy")</f>
        <v>@Isis_Izzy</v>
      </c>
      <c r="C23212" s="8" t="s">
        <v>9272</v>
      </c>
      <c r="D23212" s="8">
        <v>11259</v>
      </c>
      <c r="E23212" s="8">
        <v>0</v>
      </c>
      <c r="F23212" s="8">
        <v>1552</v>
      </c>
    </row>
    <row r="23213" spans="1:6" ht="12.75">
      <c r="A23213" s="8">
        <v>43893.917534722219</v>
      </c>
      <c r="B23213" s="8" t="str">
        <f>HYPERLINK("https://twitter.com/OANTIMOR6","@OANTIMOR6")</f>
        <v>@OANTIMOR6</v>
      </c>
      <c r="C23213" s="8" t="s">
        <v>8843</v>
      </c>
      <c r="D23213" s="8">
        <v>88</v>
      </c>
      <c r="E23213" s="8">
        <v>0</v>
      </c>
      <c r="F23213" s="8">
        <v>34</v>
      </c>
    </row>
    <row r="23214" spans="1:6" ht="12.75">
      <c r="A23214" s="8">
        <v>43893.917013888888</v>
      </c>
      <c r="B23214" s="8" t="str">
        <f>HYPERLINK("https://twitter.com/Morningtyas","@Morningtyas")</f>
        <v>@Morningtyas</v>
      </c>
      <c r="C23214" s="8" t="s">
        <v>9427</v>
      </c>
      <c r="D23214" s="8">
        <v>0</v>
      </c>
      <c r="E23214" s="8">
        <v>0</v>
      </c>
      <c r="F23214" s="8">
        <v>30647</v>
      </c>
    </row>
    <row r="23215" spans="1:6" ht="12.75">
      <c r="A23215" s="8">
        <v>43893.91678240741</v>
      </c>
      <c r="B23215" s="8" t="str">
        <f>HYPERLINK("https://twitter.com/talktreeDT","@talktreeDT")</f>
        <v>@talktreeDT</v>
      </c>
      <c r="C23215" s="8" t="s">
        <v>8868</v>
      </c>
      <c r="D23215" s="8">
        <v>164</v>
      </c>
      <c r="E23215" s="8">
        <v>0</v>
      </c>
      <c r="F23215" s="8">
        <v>60</v>
      </c>
    </row>
    <row r="23216" spans="1:6" ht="12.75">
      <c r="A23216" s="8">
        <v>43893.916770833333</v>
      </c>
      <c r="B23216" s="8" t="str">
        <f>HYPERLINK("https://twitter.com/GRLM1707","@GRLM1707")</f>
        <v>@GRLM1707</v>
      </c>
      <c r="C23216" s="8" t="s">
        <v>9428</v>
      </c>
      <c r="D23216" s="8">
        <v>0</v>
      </c>
      <c r="E23216" s="8">
        <v>0</v>
      </c>
      <c r="F23216" s="8">
        <v>8</v>
      </c>
    </row>
    <row r="23217" spans="1:6" ht="12.75">
      <c r="A23217" s="8">
        <v>43893.916597222225</v>
      </c>
      <c r="B23217" s="8" t="str">
        <f>HYPERLINK("https://twitter.com/JepreetRoni","@JepreetRoni")</f>
        <v>@JepreetRoni</v>
      </c>
      <c r="C23217" s="8" t="s">
        <v>4477</v>
      </c>
      <c r="D23217" s="8">
        <v>1221</v>
      </c>
      <c r="E23217" s="8">
        <v>0</v>
      </c>
      <c r="F23217" s="8">
        <v>2</v>
      </c>
    </row>
    <row r="23218" spans="1:6" ht="12.75">
      <c r="A23218" s="8">
        <v>43893.916574074072</v>
      </c>
      <c r="B23218" s="8" t="str">
        <f>HYPERLINK("https://twitter.com/nrdviu","@nrdviu")</f>
        <v>@nrdviu</v>
      </c>
      <c r="C23218" s="8" t="s">
        <v>9429</v>
      </c>
      <c r="D23218" s="8">
        <v>0</v>
      </c>
      <c r="E23218" s="8">
        <v>0</v>
      </c>
      <c r="F23218" s="8">
        <v>107</v>
      </c>
    </row>
    <row r="23219" spans="1:6" ht="12.75">
      <c r="A23219" s="8">
        <v>43893.916481481487</v>
      </c>
      <c r="B23219" s="8" t="str">
        <f>HYPERLINK("https://twitter.com/RosaRosaniasari","@RosaRosaniasari")</f>
        <v>@RosaRosaniasari</v>
      </c>
      <c r="C23219" s="8" t="s">
        <v>8184</v>
      </c>
      <c r="D23219" s="8">
        <v>10</v>
      </c>
      <c r="E23219" s="8">
        <v>0</v>
      </c>
      <c r="F23219" s="8">
        <v>977</v>
      </c>
    </row>
    <row r="23220" spans="1:6" ht="12.75">
      <c r="A23220" s="8">
        <v>43893.915729166663</v>
      </c>
      <c r="B23220" s="8" t="str">
        <f>HYPERLINK("https://twitter.com/adamaguss","@adamaguss")</f>
        <v>@adamaguss</v>
      </c>
      <c r="C23220" s="8" t="s">
        <v>9430</v>
      </c>
      <c r="D23220" s="8">
        <v>0</v>
      </c>
      <c r="E23220" s="8">
        <v>0</v>
      </c>
      <c r="F23220" s="8">
        <v>5243</v>
      </c>
    </row>
    <row r="23221" spans="1:6" ht="12.75">
      <c r="A23221" s="8">
        <v>43893.915474537032</v>
      </c>
      <c r="B23221" s="8" t="str">
        <f>HYPERLINK("https://twitter.com/antaranews","@antaranews")</f>
        <v>@antaranews</v>
      </c>
      <c r="C23221" s="8" t="s">
        <v>9431</v>
      </c>
      <c r="D23221" s="8">
        <v>1</v>
      </c>
      <c r="E23221" s="8">
        <v>2</v>
      </c>
      <c r="F23221" s="8">
        <v>1106342</v>
      </c>
    </row>
    <row r="23222" spans="1:6" ht="12.75">
      <c r="A23222" s="8">
        <v>43893.915335648147</v>
      </c>
      <c r="B23222" s="8" t="str">
        <f>HYPERLINK("https://twitter.com/antioffline_","@antioffline_")</f>
        <v>@antioffline_</v>
      </c>
      <c r="C23222" s="8" t="s">
        <v>9432</v>
      </c>
      <c r="D23222" s="8">
        <v>0</v>
      </c>
      <c r="E23222" s="8">
        <v>0</v>
      </c>
      <c r="F23222" s="8">
        <v>333</v>
      </c>
    </row>
    <row r="23223" spans="1:6" ht="12.75">
      <c r="A23223" s="8">
        <v>43893.915231481486</v>
      </c>
      <c r="B23223" s="8" t="str">
        <f>HYPERLINK("https://twitter.com/cuektogether","@cuektogether")</f>
        <v>@cuektogether</v>
      </c>
      <c r="C23223" s="8" t="s">
        <v>1970</v>
      </c>
      <c r="D23223" s="8">
        <v>1267</v>
      </c>
      <c r="E23223" s="8">
        <v>0</v>
      </c>
      <c r="F23223" s="8">
        <v>114</v>
      </c>
    </row>
    <row r="23224" spans="1:6" ht="12.75">
      <c r="A23224" s="8">
        <v>43893.915173611109</v>
      </c>
      <c r="B23224" s="8" t="str">
        <f>HYPERLINK("https://twitter.com/aris_apuesto","@aris_apuesto")</f>
        <v>@aris_apuesto</v>
      </c>
      <c r="C23224" s="8" t="s">
        <v>9433</v>
      </c>
      <c r="D23224" s="8">
        <v>1</v>
      </c>
      <c r="E23224" s="8">
        <v>0</v>
      </c>
      <c r="F23224" s="8">
        <v>430</v>
      </c>
    </row>
    <row r="23225" spans="1:6" ht="12.75">
      <c r="A23225" s="8">
        <v>43893.915138888886</v>
      </c>
      <c r="B23225" s="8" t="str">
        <f>HYPERLINK("https://twitter.com/KonservasiBwn","@KonservasiBwn")</f>
        <v>@KonservasiBwn</v>
      </c>
      <c r="C23225" s="8" t="s">
        <v>9434</v>
      </c>
      <c r="D23225" s="8">
        <v>3</v>
      </c>
      <c r="E23225" s="8">
        <v>0</v>
      </c>
      <c r="F23225" s="8">
        <v>149</v>
      </c>
    </row>
    <row r="23226" spans="1:6" ht="12.75">
      <c r="A23226" s="8">
        <v>43893.915092592593</v>
      </c>
      <c r="B23226" s="8" t="str">
        <f>HYPERLINK("https://twitter.com/KadrunHunter99","@KadrunHunter99")</f>
        <v>@KadrunHunter99</v>
      </c>
      <c r="C23226" s="8" t="s">
        <v>8738</v>
      </c>
      <c r="D23226" s="8">
        <v>17</v>
      </c>
      <c r="E23226" s="8">
        <v>0</v>
      </c>
      <c r="F23226" s="8">
        <v>4199</v>
      </c>
    </row>
    <row r="23227" spans="1:6" ht="12.75">
      <c r="A23227" s="8">
        <v>43893.915034722224</v>
      </c>
      <c r="B23227" s="8" t="str">
        <f>HYPERLINK("https://twitter.com/etty_markim","@etty_markim")</f>
        <v>@etty_markim</v>
      </c>
      <c r="C23227" s="8" t="s">
        <v>1970</v>
      </c>
      <c r="D23227" s="8">
        <v>1267</v>
      </c>
      <c r="E23227" s="8">
        <v>0</v>
      </c>
      <c r="F23227" s="8">
        <v>1227</v>
      </c>
    </row>
    <row r="23228" spans="1:6" ht="12.75">
      <c r="A23228" s="8">
        <v>43893.914930555555</v>
      </c>
      <c r="B23228" s="8" t="str">
        <f>HYPERLINK("https://twitter.com/ObiWan_Catnobi","@ObiWan_Catnobi")</f>
        <v>@ObiWan_Catnobi</v>
      </c>
      <c r="C23228" s="8" t="s">
        <v>9435</v>
      </c>
      <c r="D23228" s="8">
        <v>1</v>
      </c>
      <c r="E23228" s="8">
        <v>0</v>
      </c>
      <c r="F23228" s="8">
        <v>4049</v>
      </c>
    </row>
    <row r="23229" spans="1:6" ht="12.75">
      <c r="A23229" s="8">
        <v>43893.914756944447</v>
      </c>
      <c r="B23229" s="8" t="str">
        <f>HYPERLINK("https://twitter.com/Shefay7","@Shefay7")</f>
        <v>@Shefay7</v>
      </c>
      <c r="C23229" s="8" t="s">
        <v>9436</v>
      </c>
      <c r="D23229" s="8">
        <v>6</v>
      </c>
      <c r="E23229" s="8">
        <v>0</v>
      </c>
      <c r="F23229" s="8">
        <v>25</v>
      </c>
    </row>
    <row r="23230" spans="1:6" ht="12.75">
      <c r="A23230" s="8">
        <v>43893.91443287037</v>
      </c>
      <c r="B23230" s="8" t="str">
        <f>HYPERLINK("https://twitter.com/yuliianta","@yuliianta")</f>
        <v>@yuliianta</v>
      </c>
      <c r="C23230" s="8" t="s">
        <v>1970</v>
      </c>
      <c r="D23230" s="8">
        <v>1267</v>
      </c>
      <c r="E23230" s="8">
        <v>0</v>
      </c>
      <c r="F23230" s="8">
        <v>408</v>
      </c>
    </row>
    <row r="23231" spans="1:6" ht="12.75">
      <c r="A23231" s="8">
        <v>43893.9144212963</v>
      </c>
      <c r="B23231" s="8" t="str">
        <f>HYPERLINK("https://twitter.com/angkusanang","@angkusanang")</f>
        <v>@angkusanang</v>
      </c>
      <c r="C23231" s="8" t="s">
        <v>9437</v>
      </c>
      <c r="D23231" s="8">
        <v>0</v>
      </c>
      <c r="E23231" s="8">
        <v>0</v>
      </c>
      <c r="F23231" s="8">
        <v>2092</v>
      </c>
    </row>
    <row r="23232" spans="1:6" ht="12.75">
      <c r="A23232" s="8">
        <v>43893.914386574077</v>
      </c>
      <c r="B23232" s="8" t="str">
        <f>HYPERLINK("https://twitter.com/yuriika_12","@yuriika_12")</f>
        <v>@yuriika_12</v>
      </c>
      <c r="C23232" s="8" t="s">
        <v>2962</v>
      </c>
      <c r="D23232" s="8">
        <v>5612</v>
      </c>
      <c r="E23232" s="8">
        <v>0</v>
      </c>
      <c r="F23232" s="8">
        <v>105</v>
      </c>
    </row>
    <row r="23233" spans="1:6" ht="12.75">
      <c r="A23233" s="8">
        <v>43893.914363425924</v>
      </c>
      <c r="B23233" s="8" t="str">
        <f>HYPERLINK("https://twitter.com/demokrasicoid","@demokrasicoid")</f>
        <v>@demokrasicoid</v>
      </c>
      <c r="C23233" s="8" t="s">
        <v>9438</v>
      </c>
      <c r="D23233" s="8">
        <v>1</v>
      </c>
      <c r="E23233" s="8">
        <v>1</v>
      </c>
      <c r="F23233" s="8">
        <v>22974</v>
      </c>
    </row>
    <row r="23234" spans="1:6" ht="12.75">
      <c r="A23234" s="8">
        <v>43893.914351851854</v>
      </c>
      <c r="B23234" s="8" t="str">
        <f>HYPERLINK("https://twitter.com/M4rselo","@M4rselo")</f>
        <v>@M4rselo</v>
      </c>
      <c r="C23234" s="8" t="s">
        <v>1970</v>
      </c>
      <c r="D23234" s="8">
        <v>1267</v>
      </c>
      <c r="E23234" s="8">
        <v>0</v>
      </c>
      <c r="F23234" s="8">
        <v>73</v>
      </c>
    </row>
    <row r="23235" spans="1:6" ht="12.75">
      <c r="A23235" s="8">
        <v>43893.914270833338</v>
      </c>
      <c r="B23235" s="8" t="str">
        <f>HYPERLINK("https://twitter.com/Abankgera999","@Abankgera999")</f>
        <v>@Abankgera999</v>
      </c>
      <c r="C23235" s="8" t="s">
        <v>9088</v>
      </c>
      <c r="D23235" s="8">
        <v>45</v>
      </c>
      <c r="E23235" s="8">
        <v>0</v>
      </c>
      <c r="F23235" s="8">
        <v>510</v>
      </c>
    </row>
    <row r="23236" spans="1:6" ht="12.75">
      <c r="A23236" s="8">
        <v>43893.914270833338</v>
      </c>
      <c r="B23236" s="8" t="str">
        <f>HYPERLINK("https://twitter.com/YudhiTelsa","@YudhiTelsa")</f>
        <v>@YudhiTelsa</v>
      </c>
      <c r="C23236" s="8" t="s">
        <v>7197</v>
      </c>
      <c r="D23236" s="8">
        <v>87</v>
      </c>
      <c r="E23236" s="8">
        <v>0</v>
      </c>
      <c r="F23236" s="8">
        <v>957</v>
      </c>
    </row>
    <row r="23237" spans="1:6" ht="12.75">
      <c r="A23237" s="8">
        <v>43893.913831018523</v>
      </c>
      <c r="B23237" s="8" t="str">
        <f>HYPERLINK("https://twitter.com/_Bakemono","@_Bakemono")</f>
        <v>@_Bakemono</v>
      </c>
      <c r="C23237" s="8" t="s">
        <v>8738</v>
      </c>
      <c r="D23237" s="8">
        <v>17</v>
      </c>
      <c r="E23237" s="8">
        <v>0</v>
      </c>
      <c r="F23237" s="8">
        <v>831</v>
      </c>
    </row>
    <row r="23238" spans="1:6" ht="12.75">
      <c r="A23238" s="8">
        <v>43893.913726851853</v>
      </c>
      <c r="B23238" s="8" t="str">
        <f>HYPERLINK("https://twitter.com/MajidAl62510772","@MajidAl62510772")</f>
        <v>@MajidAl62510772</v>
      </c>
      <c r="C23238" s="8" t="s">
        <v>9439</v>
      </c>
      <c r="D23238" s="8">
        <v>0</v>
      </c>
      <c r="E23238" s="8">
        <v>0</v>
      </c>
      <c r="F23238" s="8">
        <v>156</v>
      </c>
    </row>
    <row r="23239" spans="1:6" ht="12.75">
      <c r="A23239" s="8">
        <v>43893.913506944446</v>
      </c>
      <c r="B23239" s="8" t="str">
        <f>HYPERLINK("https://twitter.com/awalludino","@awalludino")</f>
        <v>@awalludino</v>
      </c>
      <c r="C23239" s="8" t="s">
        <v>8272</v>
      </c>
      <c r="D23239" s="8">
        <v>52</v>
      </c>
      <c r="E23239" s="8">
        <v>0</v>
      </c>
      <c r="F23239" s="8">
        <v>297</v>
      </c>
    </row>
    <row r="23240" spans="1:6" ht="12.75">
      <c r="A23240" s="8">
        <v>43893.913495370369</v>
      </c>
      <c r="B23240" s="8" t="str">
        <f>HYPERLINK("https://twitter.com/amirbakda","@amirbakda")</f>
        <v>@amirbakda</v>
      </c>
      <c r="C23240" s="8" t="s">
        <v>9417</v>
      </c>
      <c r="D23240" s="8">
        <v>108</v>
      </c>
      <c r="E23240" s="8">
        <v>0</v>
      </c>
      <c r="F23240" s="8">
        <v>1848</v>
      </c>
    </row>
    <row r="23241" spans="1:6" ht="12.75">
      <c r="A23241" s="8">
        <v>43893.912847222222</v>
      </c>
      <c r="B23241" s="8" t="str">
        <f>HYPERLINK("https://twitter.com/sarangek_","@sarangek_")</f>
        <v>@sarangek_</v>
      </c>
      <c r="C23241" s="8" t="s">
        <v>8868</v>
      </c>
      <c r="D23241" s="8">
        <v>164</v>
      </c>
      <c r="E23241" s="8">
        <v>0</v>
      </c>
      <c r="F23241" s="8">
        <v>49</v>
      </c>
    </row>
    <row r="23242" spans="1:6" ht="12.75">
      <c r="A23242" s="8">
        <v>43893.912615740745</v>
      </c>
      <c r="B23242" s="8" t="str">
        <f>HYPERLINK("https://twitter.com/Tyty13823086","@Tyty13823086")</f>
        <v>@Tyty13823086</v>
      </c>
      <c r="C23242" s="8" t="s">
        <v>8868</v>
      </c>
      <c r="D23242" s="8">
        <v>164</v>
      </c>
      <c r="E23242" s="8">
        <v>0</v>
      </c>
      <c r="F23242" s="8">
        <v>0</v>
      </c>
    </row>
    <row r="23243" spans="1:6" ht="12.75">
      <c r="A23243" s="8">
        <v>43893.912581018521</v>
      </c>
      <c r="B23243" s="8" t="str">
        <f>HYPERLINK("https://twitter.com/salvaaa","@salvaaa")</f>
        <v>@salvaaa</v>
      </c>
      <c r="C23243" s="8" t="s">
        <v>9440</v>
      </c>
      <c r="D23243" s="8">
        <v>0</v>
      </c>
      <c r="E23243" s="8">
        <v>1</v>
      </c>
      <c r="F23243" s="8">
        <v>569</v>
      </c>
    </row>
    <row r="23244" spans="1:6" ht="12.75">
      <c r="A23244" s="8">
        <v>43893.912245370375</v>
      </c>
      <c r="B23244" s="8" t="str">
        <f>HYPERLINK("https://twitter.com/hilirdwill","@hilirdwill")</f>
        <v>@hilirdwill</v>
      </c>
      <c r="C23244" s="8" t="s">
        <v>8868</v>
      </c>
      <c r="D23244" s="8">
        <v>164</v>
      </c>
      <c r="E23244" s="8">
        <v>0</v>
      </c>
      <c r="F23244" s="8">
        <v>16</v>
      </c>
    </row>
    <row r="23245" spans="1:6" ht="12.75">
      <c r="A23245" s="8">
        <v>43893.912002314813</v>
      </c>
      <c r="B23245" s="8" t="str">
        <f>HYPERLINK("https://twitter.com/wbintoro101209","@wbintoro101209")</f>
        <v>@wbintoro101209</v>
      </c>
      <c r="C23245" s="8" t="s">
        <v>9441</v>
      </c>
      <c r="D23245" s="8">
        <v>0</v>
      </c>
      <c r="E23245" s="8">
        <v>0</v>
      </c>
      <c r="F23245" s="8">
        <v>317</v>
      </c>
    </row>
    <row r="23246" spans="1:6" ht="12.75">
      <c r="A23246" s="8">
        <v>43893.912002314813</v>
      </c>
      <c r="B23246" s="8" t="str">
        <f>HYPERLINK("https://twitter.com/arribath19","@arribath19")</f>
        <v>@arribath19</v>
      </c>
      <c r="C23246" s="8" t="s">
        <v>7197</v>
      </c>
      <c r="D23246" s="8">
        <v>87</v>
      </c>
      <c r="E23246" s="8">
        <v>0</v>
      </c>
      <c r="F23246" s="8">
        <v>21</v>
      </c>
    </row>
    <row r="23247" spans="1:6" ht="12.75">
      <c r="A23247" s="8">
        <v>43893.911666666667</v>
      </c>
      <c r="B23247" s="8" t="str">
        <f>HYPERLINK("https://twitter.com/LiviaAbu","@LiviaAbu")</f>
        <v>@LiviaAbu</v>
      </c>
      <c r="C23247" s="8" t="s">
        <v>9442</v>
      </c>
      <c r="D23247" s="8">
        <v>0</v>
      </c>
      <c r="E23247" s="8">
        <v>0</v>
      </c>
      <c r="F23247" s="8">
        <v>9</v>
      </c>
    </row>
    <row r="23248" spans="1:6" ht="12.75">
      <c r="A23248" s="8">
        <v>43893.911400462966</v>
      </c>
      <c r="B23248" s="8" t="str">
        <f>HYPERLINK("https://twitter.com/Mujirahadi2","@Mujirahadi2")</f>
        <v>@Mujirahadi2</v>
      </c>
      <c r="C23248" s="8" t="s">
        <v>8429</v>
      </c>
      <c r="D23248" s="8">
        <v>149</v>
      </c>
      <c r="E23248" s="8">
        <v>0</v>
      </c>
      <c r="F23248" s="8">
        <v>1822</v>
      </c>
    </row>
    <row r="23249" spans="1:6" ht="12.75">
      <c r="A23249" s="8">
        <v>43893.911203703705</v>
      </c>
      <c r="B23249" s="8" t="str">
        <f>HYPERLINK("https://twitter.com/bennydjuwanda","@bennydjuwanda")</f>
        <v>@bennydjuwanda</v>
      </c>
      <c r="C23249" s="8" t="s">
        <v>6315</v>
      </c>
      <c r="D23249" s="8">
        <v>103</v>
      </c>
      <c r="E23249" s="8">
        <v>0</v>
      </c>
      <c r="F23249" s="8">
        <v>315</v>
      </c>
    </row>
    <row r="23250" spans="1:6" ht="12.75">
      <c r="A23250" s="8">
        <v>43893.911192129628</v>
      </c>
      <c r="B23250" s="8" t="str">
        <f>HYPERLINK("https://twitter.com/emak_warrior","@emak_warrior")</f>
        <v>@emak_warrior</v>
      </c>
      <c r="C23250" s="8" t="s">
        <v>1427</v>
      </c>
      <c r="D23250" s="8">
        <v>980</v>
      </c>
      <c r="E23250" s="8">
        <v>0</v>
      </c>
      <c r="F23250" s="8">
        <v>1682</v>
      </c>
    </row>
    <row r="23251" spans="1:6" ht="12.75">
      <c r="A23251" s="8">
        <v>43893.910856481481</v>
      </c>
      <c r="B23251" s="8" t="str">
        <f>HYPERLINK("https://twitter.com/saidmuhidin16","@saidmuhidin16")</f>
        <v>@saidmuhidin16</v>
      </c>
      <c r="C23251" s="8" t="s">
        <v>8210</v>
      </c>
      <c r="D23251" s="8">
        <v>5</v>
      </c>
      <c r="E23251" s="8">
        <v>0</v>
      </c>
      <c r="F23251" s="8">
        <v>5</v>
      </c>
    </row>
    <row r="23252" spans="1:6" ht="12.75">
      <c r="A23252" s="8">
        <v>43893.910856481481</v>
      </c>
      <c r="B23252" s="8" t="str">
        <f>HYPERLINK("https://twitter.com/Nehahapsah","@Nehahapsah")</f>
        <v>@Nehahapsah</v>
      </c>
      <c r="C23252" s="8" t="s">
        <v>9443</v>
      </c>
      <c r="D23252" s="8">
        <v>0</v>
      </c>
      <c r="E23252" s="8">
        <v>0</v>
      </c>
      <c r="F23252" s="8">
        <v>961</v>
      </c>
    </row>
    <row r="23253" spans="1:6" ht="12.75">
      <c r="A23253" s="8">
        <v>43893.910682870366</v>
      </c>
      <c r="B23253" s="8" t="str">
        <f>HYPERLINK("https://twitter.com/0nc075","@0nc075")</f>
        <v>@0nc075</v>
      </c>
      <c r="C23253" s="8" t="s">
        <v>4477</v>
      </c>
      <c r="D23253" s="8">
        <v>1221</v>
      </c>
      <c r="E23253" s="8">
        <v>0</v>
      </c>
      <c r="F23253" s="8">
        <v>65</v>
      </c>
    </row>
    <row r="23254" spans="1:6" ht="12.75">
      <c r="A23254" s="8">
        <v>43893.910659722227</v>
      </c>
      <c r="B23254" s="8" t="str">
        <f>HYPERLINK("https://twitter.com/eklesiamrc","@eklesiamrc")</f>
        <v>@eklesiamrc</v>
      </c>
      <c r="C23254" s="8" t="s">
        <v>9444</v>
      </c>
      <c r="D23254" s="8">
        <v>3</v>
      </c>
      <c r="E23254" s="8">
        <v>0</v>
      </c>
      <c r="F23254" s="8">
        <v>2</v>
      </c>
    </row>
    <row r="23255" spans="1:6" ht="12.75">
      <c r="A23255" s="8">
        <v>43893.910578703704</v>
      </c>
      <c r="B23255" s="8" t="str">
        <f>HYPERLINK("https://twitter.com/torelwisnu","@torelwisnu")</f>
        <v>@torelwisnu</v>
      </c>
      <c r="C23255" s="8" t="s">
        <v>9445</v>
      </c>
      <c r="D23255" s="8">
        <v>0</v>
      </c>
      <c r="E23255" s="8">
        <v>0</v>
      </c>
      <c r="F23255" s="8">
        <v>1360</v>
      </c>
    </row>
    <row r="23256" spans="1:6" ht="12.75">
      <c r="A23256" s="8">
        <v>43893.910428240742</v>
      </c>
      <c r="B23256" s="8" t="str">
        <f>HYPERLINK("https://twitter.com/IsoepardiJ","@IsoepardiJ")</f>
        <v>@IsoepardiJ</v>
      </c>
      <c r="C23256" s="8" t="s">
        <v>6827</v>
      </c>
      <c r="D23256" s="8">
        <v>35</v>
      </c>
      <c r="E23256" s="8">
        <v>0</v>
      </c>
      <c r="F23256" s="8">
        <v>292</v>
      </c>
    </row>
    <row r="23257" spans="1:6" ht="12.75">
      <c r="A23257" s="8">
        <v>43893.910266203704</v>
      </c>
      <c r="B23257" s="8" t="str">
        <f>HYPERLINK("https://twitter.com/babymochiato","@babymochiato")</f>
        <v>@babymochiato</v>
      </c>
      <c r="C23257" s="8" t="s">
        <v>9446</v>
      </c>
      <c r="D23257" s="8">
        <v>1</v>
      </c>
      <c r="E23257" s="8">
        <v>0</v>
      </c>
      <c r="F23257" s="8">
        <v>187</v>
      </c>
    </row>
    <row r="23258" spans="1:6" ht="12.75">
      <c r="A23258" s="8">
        <v>43893.910081018519</v>
      </c>
      <c r="B23258" s="8" t="str">
        <f>HYPERLINK("https://twitter.com/Linisiar","@Linisiar")</f>
        <v>@Linisiar</v>
      </c>
      <c r="C23258" s="8" t="s">
        <v>9447</v>
      </c>
      <c r="D23258" s="8">
        <v>0</v>
      </c>
      <c r="E23258" s="8">
        <v>0</v>
      </c>
      <c r="F23258" s="8">
        <v>1775</v>
      </c>
    </row>
    <row r="23259" spans="1:6" ht="12.75">
      <c r="A23259" s="8">
        <v>43893.90996527778</v>
      </c>
      <c r="B23259" s="8" t="str">
        <f>HYPERLINK("https://twitter.com/tylerforprsdnt","@tylerforprsdnt")</f>
        <v>@tylerforprsdnt</v>
      </c>
      <c r="C23259" s="8" t="s">
        <v>9448</v>
      </c>
      <c r="D23259" s="8">
        <v>0</v>
      </c>
      <c r="E23259" s="8">
        <v>0</v>
      </c>
      <c r="F23259" s="8">
        <v>968</v>
      </c>
    </row>
    <row r="23260" spans="1:6" ht="12.75">
      <c r="A23260" s="8">
        <v>43893.90996527778</v>
      </c>
      <c r="B23260" s="8" t="str">
        <f>HYPERLINK("https://twitter.com/saidmuhidin16","@saidmuhidin16")</f>
        <v>@saidmuhidin16</v>
      </c>
      <c r="C23260" s="8" t="s">
        <v>9062</v>
      </c>
      <c r="D23260" s="8">
        <v>6</v>
      </c>
      <c r="E23260" s="8">
        <v>0</v>
      </c>
      <c r="F23260" s="8">
        <v>5</v>
      </c>
    </row>
    <row r="23261" spans="1:6" ht="12.75">
      <c r="A23261" s="8">
        <v>43893.909814814819</v>
      </c>
      <c r="B23261" s="8" t="str">
        <f>HYPERLINK("https://twitter.com/bennydjuwanda","@bennydjuwanda")</f>
        <v>@bennydjuwanda</v>
      </c>
      <c r="C23261" s="8" t="s">
        <v>685</v>
      </c>
      <c r="D23261" s="8">
        <v>148</v>
      </c>
      <c r="E23261" s="8">
        <v>0</v>
      </c>
      <c r="F23261" s="8">
        <v>315</v>
      </c>
    </row>
    <row r="23262" spans="1:6" ht="12.75">
      <c r="A23262" s="8">
        <v>43893.909780092596</v>
      </c>
      <c r="B23262" s="8" t="str">
        <f>HYPERLINK("https://twitter.com/ryolandafit","@ryolandafit")</f>
        <v>@ryolandafit</v>
      </c>
      <c r="C23262" s="8" t="s">
        <v>9449</v>
      </c>
      <c r="D23262" s="8">
        <v>3</v>
      </c>
      <c r="E23262" s="8">
        <v>0</v>
      </c>
      <c r="F23262" s="8">
        <v>652</v>
      </c>
    </row>
    <row r="23263" spans="1:6" ht="12.75">
      <c r="A23263" s="8">
        <v>43893.908553240741</v>
      </c>
      <c r="B23263" s="8" t="str">
        <f>HYPERLINK("https://twitter.com/KBRI_Athena","@KBRI_Athena")</f>
        <v>@KBRI_Athena</v>
      </c>
      <c r="C23263" s="8" t="s">
        <v>9450</v>
      </c>
      <c r="D23263" s="8">
        <v>0</v>
      </c>
      <c r="E23263" s="8">
        <v>2</v>
      </c>
      <c r="F23263" s="8">
        <v>1228</v>
      </c>
    </row>
    <row r="23264" spans="1:6" ht="12.75">
      <c r="A23264" s="8">
        <v>43893.908472222218</v>
      </c>
      <c r="B23264" s="8" t="str">
        <f>HYPERLINK("https://twitter.com/ISIS_Balik_NO","@ISIS_Balik_NO")</f>
        <v>@ISIS_Balik_NO</v>
      </c>
      <c r="C23264" s="8" t="s">
        <v>9451</v>
      </c>
      <c r="D23264" s="8">
        <v>26</v>
      </c>
      <c r="E23264" s="8">
        <v>0</v>
      </c>
      <c r="F23264" s="8">
        <v>6115</v>
      </c>
    </row>
    <row r="23265" spans="1:6" ht="12.75">
      <c r="A23265" s="8">
        <v>43893.908414351856</v>
      </c>
      <c r="B23265" s="8" t="str">
        <f>HYPERLINK("https://twitter.com/Rendyka_Anggara","@Rendyka_Anggara")</f>
        <v>@Rendyka_Anggara</v>
      </c>
      <c r="C23265" s="8" t="s">
        <v>8868</v>
      </c>
      <c r="D23265" s="8">
        <v>164</v>
      </c>
      <c r="E23265" s="8">
        <v>0</v>
      </c>
      <c r="F23265" s="8">
        <v>4046</v>
      </c>
    </row>
    <row r="23266" spans="1:6" ht="12.75">
      <c r="A23266" s="8">
        <v>43893.908379629633</v>
      </c>
      <c r="B23266" s="8" t="str">
        <f>HYPERLINK("https://twitter.com/mugiya_wardhany","@mugiya_wardhany")</f>
        <v>@mugiya_wardhany</v>
      </c>
      <c r="C23266" s="8" t="s">
        <v>7149</v>
      </c>
      <c r="D23266" s="8">
        <v>356</v>
      </c>
      <c r="E23266" s="8">
        <v>0</v>
      </c>
      <c r="F23266" s="8">
        <v>1679</v>
      </c>
    </row>
    <row r="23267" spans="1:6" ht="12.75">
      <c r="A23267" s="8">
        <v>43893.908379629633</v>
      </c>
      <c r="B23267" s="8" t="str">
        <f>HYPERLINK("https://twitter.com/rohimabd__","@rohimabd__")</f>
        <v>@rohimabd__</v>
      </c>
      <c r="C23267" s="8" t="s">
        <v>1970</v>
      </c>
      <c r="D23267" s="8">
        <v>1267</v>
      </c>
      <c r="E23267" s="8">
        <v>0</v>
      </c>
      <c r="F23267" s="8">
        <v>4</v>
      </c>
    </row>
    <row r="23268" spans="1:6" ht="12.75">
      <c r="A23268" s="8">
        <v>43893.908101851848</v>
      </c>
      <c r="B23268" s="8" t="str">
        <f>HYPERLINK("https://twitter.com/bonjodyson","@bonjodyson")</f>
        <v>@bonjodyson</v>
      </c>
      <c r="C23268" s="8" t="s">
        <v>9452</v>
      </c>
      <c r="D23268" s="8">
        <v>0</v>
      </c>
      <c r="E23268" s="8">
        <v>0</v>
      </c>
      <c r="F23268" s="8">
        <v>464</v>
      </c>
    </row>
    <row r="23269" spans="1:6" ht="12.75">
      <c r="A23269" s="8">
        <v>43893.908009259263</v>
      </c>
      <c r="B23269" s="8" t="str">
        <f>HYPERLINK("https://twitter.com/awalludino","@awalludino")</f>
        <v>@awalludino</v>
      </c>
      <c r="C23269" s="8" t="s">
        <v>1970</v>
      </c>
      <c r="D23269" s="8">
        <v>1267</v>
      </c>
      <c r="E23269" s="8">
        <v>0</v>
      </c>
      <c r="F23269" s="8">
        <v>297</v>
      </c>
    </row>
    <row r="23270" spans="1:6" ht="12.75">
      <c r="A23270" s="8">
        <v>43893.907280092593</v>
      </c>
      <c r="B23270" s="8" t="str">
        <f>HYPERLINK("https://twitter.com/Muchyasin8","@Muchyasin8")</f>
        <v>@Muchyasin8</v>
      </c>
      <c r="C23270" s="8" t="s">
        <v>8184</v>
      </c>
      <c r="D23270" s="8">
        <v>10</v>
      </c>
      <c r="E23270" s="8">
        <v>0</v>
      </c>
      <c r="F23270" s="8">
        <v>120</v>
      </c>
    </row>
    <row r="23271" spans="1:6" ht="12.75">
      <c r="A23271" s="8">
        <v>43893.90724537037</v>
      </c>
      <c r="B23271" s="8" t="str">
        <f>HYPERLINK("https://twitter.com/sayangicom","@sayangicom")</f>
        <v>@sayangicom</v>
      </c>
      <c r="C23271" s="8" t="s">
        <v>9453</v>
      </c>
      <c r="D23271" s="8">
        <v>0</v>
      </c>
      <c r="E23271" s="8">
        <v>0</v>
      </c>
      <c r="F23271" s="8">
        <v>1564</v>
      </c>
    </row>
    <row r="23272" spans="1:6" ht="12.75">
      <c r="A23272" s="8">
        <v>43893.907233796301</v>
      </c>
      <c r="B23272" s="8" t="str">
        <f>HYPERLINK("https://twitter.com/someonelopyu","@someonelopyu")</f>
        <v>@someonelopyu</v>
      </c>
      <c r="C23272" s="8" t="s">
        <v>9454</v>
      </c>
      <c r="D23272" s="8">
        <v>4</v>
      </c>
      <c r="E23272" s="8">
        <v>0</v>
      </c>
      <c r="F23272" s="8">
        <v>1355</v>
      </c>
    </row>
    <row r="23273" spans="1:6" ht="12.75">
      <c r="A23273" s="8">
        <v>43893.906817129631</v>
      </c>
      <c r="B23273" s="8" t="str">
        <f>HYPERLINK("https://twitter.com/satrianiiii","@satrianiiii")</f>
        <v>@satrianiiii</v>
      </c>
      <c r="C23273" s="8" t="s">
        <v>9455</v>
      </c>
      <c r="D23273" s="8">
        <v>1</v>
      </c>
      <c r="E23273" s="8">
        <v>0</v>
      </c>
      <c r="F23273" s="8">
        <v>360</v>
      </c>
    </row>
    <row r="23274" spans="1:6" ht="12.75">
      <c r="A23274" s="8">
        <v>43893.906574074077</v>
      </c>
      <c r="B23274" s="8" t="str">
        <f>HYPERLINK("https://twitter.com/zzzct","@zzzct")</f>
        <v>@zzzct</v>
      </c>
      <c r="C23274" s="8" t="s">
        <v>8272</v>
      </c>
      <c r="D23274" s="8">
        <v>52</v>
      </c>
      <c r="E23274" s="8">
        <v>0</v>
      </c>
      <c r="F23274" s="8">
        <v>102</v>
      </c>
    </row>
    <row r="23275" spans="1:6" ht="12.75">
      <c r="A23275" s="8">
        <v>43893.906400462962</v>
      </c>
      <c r="B23275" s="8" t="str">
        <f>HYPERLINK("https://twitter.com/__Ahmad_A1","@__Ahmad_A1")</f>
        <v>@__Ahmad_A1</v>
      </c>
      <c r="C23275" s="8" t="s">
        <v>9456</v>
      </c>
      <c r="D23275" s="8">
        <v>0</v>
      </c>
      <c r="E23275" s="8">
        <v>1</v>
      </c>
      <c r="F23275" s="8">
        <v>507</v>
      </c>
    </row>
    <row r="23276" spans="1:6" ht="12.75">
      <c r="A23276" s="8">
        <v>43893.906365740739</v>
      </c>
      <c r="B23276" s="8" t="str">
        <f>HYPERLINK("https://twitter.com/MasSetyoko","@MasSetyoko")</f>
        <v>@MasSetyoko</v>
      </c>
      <c r="C23276" s="8" t="s">
        <v>8868</v>
      </c>
      <c r="D23276" s="8">
        <v>164</v>
      </c>
      <c r="E23276" s="8">
        <v>0</v>
      </c>
      <c r="F23276" s="8">
        <v>79</v>
      </c>
    </row>
    <row r="23277" spans="1:6" ht="12.75">
      <c r="A23277" s="8">
        <v>43893.906284722223</v>
      </c>
      <c r="B23277" s="8" t="str">
        <f>HYPERLINK("https://twitter.com/ryan_wayy","@ryan_wayy")</f>
        <v>@ryan_wayy</v>
      </c>
      <c r="C23277" s="8" t="s">
        <v>9457</v>
      </c>
      <c r="D23277" s="8">
        <v>0</v>
      </c>
      <c r="E23277" s="8">
        <v>0</v>
      </c>
      <c r="F23277" s="8">
        <v>265</v>
      </c>
    </row>
    <row r="23278" spans="1:6" ht="12.75">
      <c r="A23278" s="8">
        <v>43893.906284722223</v>
      </c>
      <c r="B23278" s="8" t="str">
        <f>HYPERLINK("https://twitter.com/mygracepa","@mygracepa")</f>
        <v>@mygracepa</v>
      </c>
      <c r="C23278" s="8" t="s">
        <v>9458</v>
      </c>
      <c r="D23278" s="8">
        <v>0</v>
      </c>
      <c r="E23278" s="8">
        <v>0</v>
      </c>
      <c r="F23278" s="8">
        <v>293</v>
      </c>
    </row>
    <row r="23279" spans="1:6" ht="12.75">
      <c r="A23279" s="8">
        <v>43893.906111111108</v>
      </c>
      <c r="B23279" s="8" t="str">
        <f>HYPERLINK("https://twitter.com/KSogemaking","@KSogemaking")</f>
        <v>@KSogemaking</v>
      </c>
      <c r="C23279" s="8" t="s">
        <v>9459</v>
      </c>
      <c r="D23279" s="8">
        <v>1</v>
      </c>
      <c r="E23279" s="8">
        <v>0</v>
      </c>
      <c r="F23279" s="8">
        <v>959</v>
      </c>
    </row>
    <row r="23280" spans="1:6" ht="12.75">
      <c r="A23280" s="8">
        <v>43893.881736111114</v>
      </c>
      <c r="B23280" s="8" t="str">
        <f>HYPERLINK("https://twitter.com/levapeach","@levapeach")</f>
        <v>@levapeach</v>
      </c>
      <c r="C23280" s="8" t="s">
        <v>2199</v>
      </c>
      <c r="D23280" s="8">
        <v>9024</v>
      </c>
      <c r="E23280" s="8">
        <v>0</v>
      </c>
      <c r="F23280" s="8">
        <v>15</v>
      </c>
    </row>
    <row r="23281" spans="1:6" ht="12.75">
      <c r="A23281" s="8">
        <v>43893.881724537037</v>
      </c>
      <c r="B23281" s="8" t="str">
        <f>HYPERLINK("https://twitter.com/fredy24w","@fredy24w")</f>
        <v>@fredy24w</v>
      </c>
      <c r="C23281" s="8" t="s">
        <v>9419</v>
      </c>
      <c r="D23281" s="8">
        <v>11</v>
      </c>
      <c r="E23281" s="8">
        <v>0</v>
      </c>
      <c r="F23281" s="8">
        <v>667</v>
      </c>
    </row>
    <row r="23282" spans="1:6" ht="12.75">
      <c r="A23282" s="8">
        <v>43893.881597222222</v>
      </c>
      <c r="B23282" s="8" t="str">
        <f>HYPERLINK("https://twitter.com/Indeks_Berita","@Indeks_Berita")</f>
        <v>@Indeks_Berita</v>
      </c>
      <c r="C23282" s="8" t="s">
        <v>9460</v>
      </c>
      <c r="D23282" s="8">
        <v>0</v>
      </c>
      <c r="E23282" s="8">
        <v>0</v>
      </c>
      <c r="F23282" s="8">
        <v>261</v>
      </c>
    </row>
    <row r="23283" spans="1:6" ht="12.75">
      <c r="A23283" s="8">
        <v>43893.881550925929</v>
      </c>
      <c r="B23283" s="8" t="str">
        <f>HYPERLINK("https://twitter.com/agnizar4","@agnizar4")</f>
        <v>@agnizar4</v>
      </c>
      <c r="C23283" s="8" t="s">
        <v>9461</v>
      </c>
      <c r="D23283" s="8">
        <v>0</v>
      </c>
      <c r="E23283" s="8">
        <v>0</v>
      </c>
      <c r="F23283" s="8">
        <v>1062</v>
      </c>
    </row>
    <row r="23284" spans="1:6" ht="12.75">
      <c r="A23284" s="8">
        <v>43893.881412037037</v>
      </c>
      <c r="B23284" s="8" t="str">
        <f>HYPERLINK("https://twitter.com/agama_nusantara","@agama_nusantara")</f>
        <v>@agama_nusantara</v>
      </c>
      <c r="C23284" s="8" t="s">
        <v>9462</v>
      </c>
      <c r="D23284" s="8">
        <v>1</v>
      </c>
      <c r="E23284" s="8">
        <v>0</v>
      </c>
      <c r="F23284" s="8">
        <v>7391</v>
      </c>
    </row>
    <row r="23285" spans="1:6" ht="12.75">
      <c r="A23285" s="8">
        <v>43893.881400462968</v>
      </c>
      <c r="B23285" s="8" t="str">
        <f>HYPERLINK("https://twitter.com/hemaviton99","@hemaviton99")</f>
        <v>@hemaviton99</v>
      </c>
      <c r="C23285" s="8" t="s">
        <v>9088</v>
      </c>
      <c r="D23285" s="8">
        <v>43</v>
      </c>
      <c r="E23285" s="8">
        <v>0</v>
      </c>
      <c r="F23285" s="8">
        <v>5392</v>
      </c>
    </row>
    <row r="23286" spans="1:6" ht="12.75">
      <c r="A23286" s="8">
        <v>43893.881400462968</v>
      </c>
      <c r="B23286" s="8" t="str">
        <f>HYPERLINK("https://twitter.com/wikasatrian","@wikasatrian")</f>
        <v>@wikasatrian</v>
      </c>
      <c r="C23286" s="8" t="s">
        <v>9463</v>
      </c>
      <c r="D23286" s="8">
        <v>0</v>
      </c>
      <c r="E23286" s="8">
        <v>0</v>
      </c>
      <c r="F23286" s="8">
        <v>102</v>
      </c>
    </row>
    <row r="23287" spans="1:6" ht="12.75">
      <c r="A23287" s="8">
        <v>43893.881388888884</v>
      </c>
      <c r="B23287" s="8" t="str">
        <f>HYPERLINK("https://twitter.com/rizkaac","@rizkaac")</f>
        <v>@rizkaac</v>
      </c>
      <c r="C23287" s="8" t="s">
        <v>2199</v>
      </c>
      <c r="D23287" s="8">
        <v>9024</v>
      </c>
      <c r="E23287" s="8">
        <v>0</v>
      </c>
      <c r="F23287" s="8">
        <v>1149</v>
      </c>
    </row>
    <row r="23288" spans="1:6" ht="12.75">
      <c r="A23288" s="8">
        <v>43893.881261574075</v>
      </c>
      <c r="B23288" s="8" t="str">
        <f>HYPERLINK("https://twitter.com/adnanindra_","@adnanindra_")</f>
        <v>@adnanindra_</v>
      </c>
      <c r="C23288" s="8" t="s">
        <v>1970</v>
      </c>
      <c r="D23288" s="8">
        <v>1241</v>
      </c>
      <c r="E23288" s="8">
        <v>0</v>
      </c>
      <c r="F23288" s="8">
        <v>86</v>
      </c>
    </row>
    <row r="23289" spans="1:6" ht="12.75">
      <c r="A23289" s="8">
        <v>43893.881192129629</v>
      </c>
      <c r="B23289" s="8" t="str">
        <f>HYPERLINK("https://twitter.com/KavindraOemar","@KavindraOemar")</f>
        <v>@KavindraOemar</v>
      </c>
      <c r="C23289" s="8" t="s">
        <v>8901</v>
      </c>
      <c r="D23289" s="8">
        <v>185</v>
      </c>
      <c r="E23289" s="8">
        <v>0</v>
      </c>
      <c r="F23289" s="8">
        <v>3717</v>
      </c>
    </row>
    <row r="23290" spans="1:6" ht="12.75">
      <c r="A23290" s="8">
        <v>43893.881041666667</v>
      </c>
      <c r="B23290" s="8" t="str">
        <f>HYPERLINK("https://twitter.com/antaranews","@antaranews")</f>
        <v>@antaranews</v>
      </c>
      <c r="C23290" s="8" t="s">
        <v>9464</v>
      </c>
      <c r="D23290" s="8">
        <v>0</v>
      </c>
      <c r="E23290" s="8">
        <v>2</v>
      </c>
      <c r="F23290" s="8">
        <v>1106329</v>
      </c>
    </row>
    <row r="23291" spans="1:6" ht="12.75">
      <c r="A23291" s="8">
        <v>43893.881030092598</v>
      </c>
      <c r="B23291" s="8" t="str">
        <f>HYPERLINK("https://twitter.com/rullyjoo27","@rullyjoo27")</f>
        <v>@rullyjoo27</v>
      </c>
      <c r="C23291" s="8" t="s">
        <v>9465</v>
      </c>
      <c r="D23291" s="8">
        <v>1</v>
      </c>
      <c r="E23291" s="8">
        <v>2</v>
      </c>
      <c r="F23291" s="8">
        <v>2162</v>
      </c>
    </row>
    <row r="23292" spans="1:6" ht="12.75">
      <c r="A23292" s="8">
        <v>43893.880937499998</v>
      </c>
      <c r="B23292" s="8" t="str">
        <f>HYPERLINK("https://twitter.com/JoJoga_Oil","@JoJoga_Oil")</f>
        <v>@JoJoga_Oil</v>
      </c>
      <c r="C23292" s="8" t="s">
        <v>2199</v>
      </c>
      <c r="D23292" s="8">
        <v>9024</v>
      </c>
      <c r="E23292" s="8">
        <v>0</v>
      </c>
      <c r="F23292" s="8">
        <v>354</v>
      </c>
    </row>
    <row r="23293" spans="1:6" ht="12.75">
      <c r="A23293" s="8">
        <v>43893.880937499998</v>
      </c>
      <c r="B23293" s="8" t="str">
        <f>HYPERLINK("https://twitter.com/jasmine_dolce","@jasmine_dolce")</f>
        <v>@jasmine_dolce</v>
      </c>
      <c r="C23293" s="8" t="s">
        <v>1970</v>
      </c>
      <c r="D23293" s="8">
        <v>1241</v>
      </c>
      <c r="E23293" s="8">
        <v>0</v>
      </c>
      <c r="F23293" s="8">
        <v>86</v>
      </c>
    </row>
    <row r="23294" spans="1:6" ht="12.75">
      <c r="A23294" s="8">
        <v>43893.880844907406</v>
      </c>
      <c r="B23294" s="8" t="str">
        <f>HYPERLINK("https://twitter.com/Sultanraviii","@Sultanraviii")</f>
        <v>@Sultanraviii</v>
      </c>
      <c r="C23294" s="8" t="s">
        <v>9466</v>
      </c>
      <c r="D23294" s="8">
        <v>0</v>
      </c>
      <c r="E23294" s="8">
        <v>0</v>
      </c>
      <c r="F23294" s="8">
        <v>14</v>
      </c>
    </row>
    <row r="23295" spans="1:6" ht="12.75">
      <c r="A23295" s="8">
        <v>43893.88082175926</v>
      </c>
      <c r="B23295" s="8" t="str">
        <f>HYPERLINK("https://twitter.com/HUMAN_RES3","@HUMAN_RES3")</f>
        <v>@HUMAN_RES3</v>
      </c>
      <c r="C23295" s="8" t="s">
        <v>9467</v>
      </c>
      <c r="D23295" s="8">
        <v>1</v>
      </c>
      <c r="E23295" s="8">
        <v>0</v>
      </c>
      <c r="F23295" s="8">
        <v>101</v>
      </c>
    </row>
    <row r="23296" spans="1:6" ht="12.75">
      <c r="A23296" s="8">
        <v>43893.88082175926</v>
      </c>
      <c r="B23296" s="8" t="str">
        <f>HYPERLINK("https://twitter.com/SashADSR","@SashADSR")</f>
        <v>@SashADSR</v>
      </c>
      <c r="C23296" s="8" t="s">
        <v>9468</v>
      </c>
      <c r="D23296" s="8">
        <v>0</v>
      </c>
      <c r="E23296" s="8">
        <v>0</v>
      </c>
      <c r="F23296" s="8">
        <v>265</v>
      </c>
    </row>
    <row r="23297" spans="1:6" ht="12.75">
      <c r="A23297" s="8">
        <v>43893.880694444444</v>
      </c>
      <c r="B23297" s="8" t="str">
        <f>HYPERLINK("https://twitter.com/iniennyreal","@iniennyreal")</f>
        <v>@iniennyreal</v>
      </c>
      <c r="C23297" s="8" t="s">
        <v>8868</v>
      </c>
      <c r="D23297" s="8">
        <v>131</v>
      </c>
      <c r="E23297" s="8">
        <v>0</v>
      </c>
      <c r="F23297" s="8">
        <v>243</v>
      </c>
    </row>
    <row r="23298" spans="1:6" ht="12.75">
      <c r="A23298" s="8">
        <v>43893.880509259259</v>
      </c>
      <c r="B23298" s="8" t="str">
        <f>HYPERLINK("https://twitter.com/AlfariziTristan","@AlfariziTristan")</f>
        <v>@AlfariziTristan</v>
      </c>
      <c r="C23298" s="8" t="s">
        <v>9469</v>
      </c>
      <c r="D23298" s="8">
        <v>0</v>
      </c>
      <c r="E23298" s="8">
        <v>0</v>
      </c>
      <c r="F23298" s="8">
        <v>80</v>
      </c>
    </row>
    <row r="23299" spans="1:6" ht="12.75">
      <c r="A23299" s="8">
        <v>43893.880439814813</v>
      </c>
      <c r="B23299" s="8" t="str">
        <f>HYPERLINK("https://twitter.com/menurutsaya2","@menurutsaya2")</f>
        <v>@menurutsaya2</v>
      </c>
      <c r="C23299" s="8" t="s">
        <v>9470</v>
      </c>
      <c r="D23299" s="8">
        <v>0</v>
      </c>
      <c r="E23299" s="8">
        <v>0</v>
      </c>
      <c r="F23299" s="8">
        <v>1</v>
      </c>
    </row>
    <row r="23300" spans="1:6" ht="12.75">
      <c r="A23300" s="8">
        <v>43893.880208333328</v>
      </c>
      <c r="B23300" s="8" t="str">
        <f>HYPERLINK("https://twitter.com/Voirmountagnes","@Voirmountagnes")</f>
        <v>@Voirmountagnes</v>
      </c>
      <c r="C23300" s="8" t="s">
        <v>6827</v>
      </c>
      <c r="D23300" s="8">
        <v>29</v>
      </c>
      <c r="E23300" s="8">
        <v>0</v>
      </c>
      <c r="F23300" s="8">
        <v>527</v>
      </c>
    </row>
    <row r="23301" spans="1:6" ht="12.75">
      <c r="A23301" s="8">
        <v>43893.880208333328</v>
      </c>
      <c r="B23301" s="8" t="str">
        <f>HYPERLINK("https://twitter.com/rullyjoo27","@rullyjoo27")</f>
        <v>@rullyjoo27</v>
      </c>
      <c r="C23301" s="8" t="s">
        <v>9471</v>
      </c>
      <c r="D23301" s="8">
        <v>3</v>
      </c>
      <c r="E23301" s="8">
        <v>0</v>
      </c>
      <c r="F23301" s="8">
        <v>2162</v>
      </c>
    </row>
    <row r="23302" spans="1:6" ht="12.75">
      <c r="A23302" s="8">
        <v>43893.880185185189</v>
      </c>
      <c r="B23302" s="8" t="str">
        <f>HYPERLINK("https://twitter.com/andriybima","@andriybima")</f>
        <v>@andriybima</v>
      </c>
      <c r="C23302" s="8" t="s">
        <v>6862</v>
      </c>
      <c r="D23302" s="8">
        <v>33</v>
      </c>
      <c r="E23302" s="8">
        <v>0</v>
      </c>
      <c r="F23302" s="8">
        <v>4271</v>
      </c>
    </row>
    <row r="23303" spans="1:6" ht="12.75">
      <c r="A23303" s="8">
        <v>43893.880115740743</v>
      </c>
      <c r="B23303" s="8" t="str">
        <f>HYPERLINK("https://twitter.com/NavEen89504894","@NavEen89504894")</f>
        <v>@NavEen89504894</v>
      </c>
      <c r="C23303" s="8" t="s">
        <v>8868</v>
      </c>
      <c r="D23303" s="8">
        <v>131</v>
      </c>
      <c r="E23303" s="8">
        <v>0</v>
      </c>
      <c r="F23303" s="8">
        <v>7</v>
      </c>
    </row>
    <row r="23304" spans="1:6" ht="12.75">
      <c r="A23304" s="8">
        <v>43893.879884259259</v>
      </c>
      <c r="B23304" s="8" t="str">
        <f>HYPERLINK("https://twitter.com/Ki_SetanKober","@Ki_SetanKober")</f>
        <v>@Ki_SetanKober</v>
      </c>
      <c r="C23304" s="8" t="s">
        <v>9472</v>
      </c>
      <c r="D23304" s="8">
        <v>1</v>
      </c>
      <c r="E23304" s="8">
        <v>0</v>
      </c>
      <c r="F23304" s="8">
        <v>1372</v>
      </c>
    </row>
    <row r="23305" spans="1:6" ht="12.75">
      <c r="A23305" s="8">
        <v>43893.879791666666</v>
      </c>
      <c r="B23305" s="8" t="str">
        <f>HYPERLINK("https://twitter.com/MasfarGazali","@MasfarGazali")</f>
        <v>@MasfarGazali</v>
      </c>
      <c r="C23305" s="8" t="s">
        <v>8272</v>
      </c>
      <c r="D23305" s="8">
        <v>43</v>
      </c>
      <c r="E23305" s="8">
        <v>0</v>
      </c>
      <c r="F23305" s="8">
        <v>1986</v>
      </c>
    </row>
    <row r="23306" spans="1:6" ht="12.75">
      <c r="A23306" s="8">
        <v>43893.879733796297</v>
      </c>
      <c r="B23306" s="8" t="str">
        <f>HYPERLINK("https://twitter.com/eurosian2k","@eurosian2k")</f>
        <v>@eurosian2k</v>
      </c>
      <c r="C23306" s="8" t="s">
        <v>2199</v>
      </c>
      <c r="D23306" s="8">
        <v>9024</v>
      </c>
      <c r="E23306" s="8">
        <v>0</v>
      </c>
      <c r="F23306" s="8">
        <v>360</v>
      </c>
    </row>
    <row r="23307" spans="1:6" ht="12.75">
      <c r="A23307" s="8">
        <v>43893.879652777774</v>
      </c>
      <c r="B23307" s="8" t="str">
        <f>HYPERLINK("https://twitter.com/IwanNurwulan","@IwanNurwulan")</f>
        <v>@IwanNurwulan</v>
      </c>
      <c r="C23307" s="8" t="s">
        <v>4477</v>
      </c>
      <c r="D23307" s="8">
        <v>1218</v>
      </c>
      <c r="E23307" s="8">
        <v>0</v>
      </c>
      <c r="F23307" s="8">
        <v>45</v>
      </c>
    </row>
    <row r="23308" spans="1:6" ht="12.75">
      <c r="A23308" s="8">
        <v>43893.879641203705</v>
      </c>
      <c r="B23308" s="8" t="str">
        <f>HYPERLINK("https://twitter.com/_keniscayaan_","@_keniscayaan_")</f>
        <v>@_keniscayaan_</v>
      </c>
      <c r="C23308" s="8" t="s">
        <v>9473</v>
      </c>
      <c r="D23308" s="8">
        <v>6</v>
      </c>
      <c r="E23308" s="8">
        <v>0</v>
      </c>
      <c r="F23308" s="8">
        <v>4</v>
      </c>
    </row>
    <row r="23309" spans="1:6" ht="12.75">
      <c r="A23309" s="8">
        <v>43893.879606481481</v>
      </c>
      <c r="B23309" s="8" t="str">
        <f>HYPERLINK("https://twitter.com/ztw868992","@ztw868992")</f>
        <v>@ztw868992</v>
      </c>
      <c r="C23309" s="8" t="s">
        <v>685</v>
      </c>
      <c r="D23309" s="8">
        <v>145</v>
      </c>
      <c r="E23309" s="8">
        <v>0</v>
      </c>
      <c r="F23309" s="8">
        <v>3730</v>
      </c>
    </row>
    <row r="23310" spans="1:6" ht="12.75">
      <c r="A23310" s="8">
        <v>43893.879606481481</v>
      </c>
      <c r="B23310" s="8" t="str">
        <f>HYPERLINK("https://twitter.com/_keniscayaan_","@_keniscayaan_")</f>
        <v>@_keniscayaan_</v>
      </c>
      <c r="C23310" s="8" t="s">
        <v>9370</v>
      </c>
      <c r="D23310" s="8">
        <v>5</v>
      </c>
      <c r="E23310" s="8">
        <v>0</v>
      </c>
      <c r="F23310" s="8">
        <v>4</v>
      </c>
    </row>
    <row r="23311" spans="1:6" ht="12.75">
      <c r="A23311" s="8">
        <v>43893.879409722227</v>
      </c>
      <c r="B23311" s="8" t="str">
        <f>HYPERLINK("https://twitter.com/AinaQueen5","@AinaQueen5")</f>
        <v>@AinaQueen5</v>
      </c>
      <c r="C23311" s="8" t="s">
        <v>9474</v>
      </c>
      <c r="D23311" s="8">
        <v>1</v>
      </c>
      <c r="E23311" s="8">
        <v>3</v>
      </c>
      <c r="F23311" s="8">
        <v>2382</v>
      </c>
    </row>
    <row r="23312" spans="1:6" ht="12.75">
      <c r="A23312" s="8">
        <v>43893.879351851851</v>
      </c>
      <c r="B23312" s="8" t="str">
        <f>HYPERLINK("https://twitter.com/ranggaindratama","@ranggaindratama")</f>
        <v>@ranggaindratama</v>
      </c>
      <c r="C23312" s="8" t="s">
        <v>2199</v>
      </c>
      <c r="D23312" s="8">
        <v>9024</v>
      </c>
      <c r="E23312" s="8">
        <v>0</v>
      </c>
      <c r="F23312" s="8">
        <v>118</v>
      </c>
    </row>
    <row r="23313" spans="1:6" ht="12.75">
      <c r="A23313" s="8">
        <v>43893.87908564815</v>
      </c>
      <c r="B23313" s="8" t="str">
        <f>HYPERLINK("https://twitter.com/DrlRambe","@DrlRambe")</f>
        <v>@DrlRambe</v>
      </c>
      <c r="C23313" s="8" t="s">
        <v>8429</v>
      </c>
      <c r="D23313" s="8">
        <v>146</v>
      </c>
      <c r="E23313" s="8">
        <v>0</v>
      </c>
      <c r="F23313" s="8">
        <v>200</v>
      </c>
    </row>
    <row r="23314" spans="1:6" ht="12.75">
      <c r="A23314" s="8">
        <v>43893.879062499997</v>
      </c>
      <c r="B23314" s="8" t="str">
        <f>HYPERLINK("https://twitter.com/tama_tamaras","@tama_tamaras")</f>
        <v>@tama_tamaras</v>
      </c>
      <c r="C23314" s="8" t="s">
        <v>9475</v>
      </c>
      <c r="D23314" s="8">
        <v>0</v>
      </c>
      <c r="E23314" s="8">
        <v>0</v>
      </c>
      <c r="F23314" s="8">
        <v>532</v>
      </c>
    </row>
    <row r="23315" spans="1:6" ht="12.75">
      <c r="A23315" s="8">
        <v>43893.878807870366</v>
      </c>
      <c r="B23315" s="8" t="str">
        <f>HYPERLINK("https://twitter.com/Resof85","@Resof85")</f>
        <v>@Resof85</v>
      </c>
      <c r="C23315" s="8" t="s">
        <v>4477</v>
      </c>
      <c r="D23315" s="8">
        <v>1218</v>
      </c>
      <c r="E23315" s="8">
        <v>0</v>
      </c>
      <c r="F23315" s="8">
        <v>1269</v>
      </c>
    </row>
    <row r="23316" spans="1:6" ht="12.75">
      <c r="A23316" s="8">
        <v>43893.878784722227</v>
      </c>
      <c r="B23316" s="8" t="str">
        <f>HYPERLINK("https://twitter.com/Share_Update","@Share_Update")</f>
        <v>@Share_Update</v>
      </c>
      <c r="C23316" s="8" t="s">
        <v>9473</v>
      </c>
      <c r="D23316" s="8">
        <v>6</v>
      </c>
      <c r="E23316" s="8">
        <v>0</v>
      </c>
      <c r="F23316" s="8">
        <v>7150</v>
      </c>
    </row>
    <row r="23317" spans="1:6" ht="12.75">
      <c r="A23317" s="8">
        <v>43893.87877314815</v>
      </c>
      <c r="B23317" s="8" t="str">
        <f>HYPERLINK("https://twitter.com/damianusdalita6","@damianusdalita6")</f>
        <v>@damianusdalita6</v>
      </c>
      <c r="C23317" s="8" t="s">
        <v>9136</v>
      </c>
      <c r="D23317" s="8">
        <v>6</v>
      </c>
      <c r="E23317" s="8">
        <v>0</v>
      </c>
      <c r="F23317" s="8">
        <v>2422</v>
      </c>
    </row>
    <row r="23318" spans="1:6" ht="12.75">
      <c r="A23318" s="8">
        <v>43893.878738425927</v>
      </c>
      <c r="B23318" s="8" t="str">
        <f>HYPERLINK("https://twitter.com/Share_Update","@Share_Update")</f>
        <v>@Share_Update</v>
      </c>
      <c r="C23318" s="8" t="s">
        <v>9370</v>
      </c>
      <c r="D23318" s="8">
        <v>5</v>
      </c>
      <c r="E23318" s="8">
        <v>0</v>
      </c>
      <c r="F23318" s="8">
        <v>7150</v>
      </c>
    </row>
    <row r="23319" spans="1:6" ht="12.75">
      <c r="A23319" s="8">
        <v>43893.878414351857</v>
      </c>
      <c r="B23319" s="8" t="str">
        <f>HYPERLINK("https://twitter.com/VardonalDinata","@VardonalDinata")</f>
        <v>@VardonalDinata</v>
      </c>
      <c r="C23319" s="8" t="s">
        <v>1970</v>
      </c>
      <c r="D23319" s="8">
        <v>1241</v>
      </c>
      <c r="E23319" s="8">
        <v>0</v>
      </c>
      <c r="F23319" s="8">
        <v>53</v>
      </c>
    </row>
    <row r="23320" spans="1:6" ht="12.75">
      <c r="A23320" s="8">
        <v>43893.878379629634</v>
      </c>
      <c r="B23320" s="8" t="str">
        <f>HYPERLINK("https://twitter.com/cadarmerah","@cadarmerah")</f>
        <v>@cadarmerah</v>
      </c>
      <c r="C23320" s="8" t="s">
        <v>9476</v>
      </c>
      <c r="D23320" s="8">
        <v>0</v>
      </c>
      <c r="E23320" s="8">
        <v>0</v>
      </c>
      <c r="F23320" s="8">
        <v>5660</v>
      </c>
    </row>
    <row r="23321" spans="1:6" ht="12.75">
      <c r="A23321" s="8">
        <v>43893.87835648148</v>
      </c>
      <c r="B23321" s="8" t="str">
        <f>HYPERLINK("https://twitter.com/rusydi76","@rusydi76")</f>
        <v>@rusydi76</v>
      </c>
      <c r="C23321" s="8" t="s">
        <v>8322</v>
      </c>
      <c r="D23321" s="8">
        <v>771</v>
      </c>
      <c r="E23321" s="8">
        <v>0</v>
      </c>
      <c r="F23321" s="8">
        <v>215</v>
      </c>
    </row>
    <row r="23322" spans="1:6" ht="12.75">
      <c r="A23322" s="8">
        <v>43893.878136574072</v>
      </c>
      <c r="B23322" s="8" t="str">
        <f>HYPERLINK("https://twitter.com/cadarmerah","@cadarmerah")</f>
        <v>@cadarmerah</v>
      </c>
      <c r="C23322" s="8" t="s">
        <v>9471</v>
      </c>
      <c r="D23322" s="8">
        <v>3</v>
      </c>
      <c r="E23322" s="8">
        <v>0</v>
      </c>
      <c r="F23322" s="8">
        <v>5660</v>
      </c>
    </row>
    <row r="23323" spans="1:6" ht="12.75">
      <c r="A23323" s="8">
        <v>43893.878125000003</v>
      </c>
      <c r="B23323" s="8" t="str">
        <f>HYPERLINK("https://twitter.com/ordinary_wismi","@ordinary_wismi")</f>
        <v>@ordinary_wismi</v>
      </c>
      <c r="C23323" s="8" t="s">
        <v>1970</v>
      </c>
      <c r="D23323" s="8">
        <v>1241</v>
      </c>
      <c r="E23323" s="8">
        <v>0</v>
      </c>
      <c r="F23323" s="8">
        <v>232</v>
      </c>
    </row>
    <row r="23324" spans="1:6" ht="12.75">
      <c r="A23324" s="8">
        <v>43893.877881944441</v>
      </c>
      <c r="B23324" s="8" t="str">
        <f>HYPERLINK("https://twitter.com/rabinrtp","@rabinrtp")</f>
        <v>@rabinrtp</v>
      </c>
      <c r="C23324" s="8" t="s">
        <v>2962</v>
      </c>
      <c r="D23324" s="8">
        <v>5606</v>
      </c>
      <c r="E23324" s="8">
        <v>0</v>
      </c>
      <c r="F23324" s="8">
        <v>309</v>
      </c>
    </row>
    <row r="23325" spans="1:6" ht="12.75">
      <c r="A23325" s="8">
        <v>43893.877870370372</v>
      </c>
      <c r="B23325" s="8" t="str">
        <f>HYPERLINK("https://twitter.com/S_aulia26","@S_aulia26")</f>
        <v>@S_aulia26</v>
      </c>
      <c r="C23325" s="8" t="s">
        <v>6827</v>
      </c>
      <c r="D23325" s="8">
        <v>29</v>
      </c>
      <c r="E23325" s="8">
        <v>0</v>
      </c>
      <c r="F23325" s="8">
        <v>4099</v>
      </c>
    </row>
    <row r="23326" spans="1:6" ht="12.75">
      <c r="A23326" s="8">
        <v>43893.877835648149</v>
      </c>
      <c r="B23326" s="8" t="str">
        <f>HYPERLINK("https://twitter.com/AmstrongBiring","@AmstrongBiring")</f>
        <v>@AmstrongBiring</v>
      </c>
      <c r="C23326" s="8" t="s">
        <v>3257</v>
      </c>
      <c r="D23326" s="8">
        <v>35</v>
      </c>
      <c r="E23326" s="8">
        <v>0</v>
      </c>
      <c r="F23326" s="8">
        <v>1989</v>
      </c>
    </row>
    <row r="23327" spans="1:6" ht="12.75">
      <c r="A23327" s="8">
        <v>43893.877569444448</v>
      </c>
      <c r="B23327" s="8" t="str">
        <f>HYPERLINK("https://twitter.com/Panoramaindah86","@Panoramaindah86")</f>
        <v>@Panoramaindah86</v>
      </c>
      <c r="C23327" s="8" t="s">
        <v>8868</v>
      </c>
      <c r="D23327" s="8">
        <v>131</v>
      </c>
      <c r="E23327" s="8">
        <v>0</v>
      </c>
      <c r="F23327" s="8">
        <v>816</v>
      </c>
    </row>
    <row r="23328" spans="1:6" ht="12.75">
      <c r="A23328" s="8">
        <v>43893.877442129626</v>
      </c>
      <c r="B23328" s="8" t="str">
        <f>HYPERLINK("https://twitter.com/Fanisyah06","@Fanisyah06")</f>
        <v>@Fanisyah06</v>
      </c>
      <c r="C23328" s="8" t="s">
        <v>8868</v>
      </c>
      <c r="D23328" s="8">
        <v>131</v>
      </c>
      <c r="E23328" s="8">
        <v>0</v>
      </c>
      <c r="F23328" s="8">
        <v>3</v>
      </c>
    </row>
    <row r="23329" spans="1:6" ht="12.75">
      <c r="A23329" s="8">
        <v>43893.877442129626</v>
      </c>
      <c r="B23329" s="8" t="str">
        <f>HYPERLINK("https://twitter.com/tr1asjb","@tr1asjb")</f>
        <v>@tr1asjb</v>
      </c>
      <c r="C23329" s="8" t="s">
        <v>9477</v>
      </c>
      <c r="D23329" s="8">
        <v>0</v>
      </c>
      <c r="E23329" s="8">
        <v>0</v>
      </c>
      <c r="F23329" s="8">
        <v>10</v>
      </c>
    </row>
    <row r="23330" spans="1:6" ht="12.75">
      <c r="A23330" s="8">
        <v>43893.877418981487</v>
      </c>
      <c r="B23330" s="8" t="str">
        <f>HYPERLINK("https://twitter.com/IbrahimGarcia19","@IbrahimGarcia19")</f>
        <v>@IbrahimGarcia19</v>
      </c>
      <c r="C23330" s="8" t="s">
        <v>1970</v>
      </c>
      <c r="D23330" s="8">
        <v>1241</v>
      </c>
      <c r="E23330" s="8">
        <v>0</v>
      </c>
      <c r="F23330" s="8">
        <v>1441</v>
      </c>
    </row>
    <row r="23331" spans="1:6" ht="12.75">
      <c r="A23331" s="8">
        <v>43893.877418981487</v>
      </c>
      <c r="B23331" s="8" t="str">
        <f>HYPERLINK("https://twitter.com/Novrdx1","@Novrdx1")</f>
        <v>@Novrdx1</v>
      </c>
      <c r="C23331" s="8" t="s">
        <v>9478</v>
      </c>
      <c r="D23331" s="8">
        <v>0</v>
      </c>
      <c r="E23331" s="8">
        <v>0</v>
      </c>
      <c r="F23331" s="8">
        <v>22</v>
      </c>
    </row>
    <row r="23332" spans="1:6" ht="12.75">
      <c r="A23332" s="8">
        <v>43893.877303240741</v>
      </c>
      <c r="B23332" s="8" t="str">
        <f>HYPERLINK("https://twitter.com/abee_armalika","@abee_armalika")</f>
        <v>@abee_armalika</v>
      </c>
      <c r="C23332" s="8" t="s">
        <v>8901</v>
      </c>
      <c r="D23332" s="8">
        <v>185</v>
      </c>
      <c r="E23332" s="8">
        <v>0</v>
      </c>
      <c r="F23332" s="8">
        <v>114</v>
      </c>
    </row>
    <row r="23333" spans="1:6" ht="12.75">
      <c r="A23333" s="8">
        <v>43893.877280092594</v>
      </c>
      <c r="B23333" s="8" t="str">
        <f>HYPERLINK("https://twitter.com/agama_nusantara","@agama_nusantara")</f>
        <v>@agama_nusantara</v>
      </c>
      <c r="C23333" s="8" t="s">
        <v>9471</v>
      </c>
      <c r="D23333" s="8">
        <v>3</v>
      </c>
      <c r="E23333" s="8">
        <v>0</v>
      </c>
      <c r="F23333" s="8">
        <v>7391</v>
      </c>
    </row>
    <row r="23334" spans="1:6" ht="12.75">
      <c r="A23334" s="8">
        <v>43893.877210648148</v>
      </c>
      <c r="B23334" s="8" t="str">
        <f>HYPERLINK("https://twitter.com/MeganIsoya","@MeganIsoya")</f>
        <v>@MeganIsoya</v>
      </c>
      <c r="C23334" s="8" t="s">
        <v>2199</v>
      </c>
      <c r="D23334" s="8">
        <v>9024</v>
      </c>
      <c r="E23334" s="8">
        <v>0</v>
      </c>
      <c r="F23334" s="8">
        <v>470</v>
      </c>
    </row>
    <row r="23335" spans="1:6" ht="12.75">
      <c r="A23335" s="8">
        <v>43893.877199074079</v>
      </c>
      <c r="B23335" s="8" t="str">
        <f>HYPERLINK("https://twitter.com/__gabbbbbb","@__gabbbbbb")</f>
        <v>@__gabbbbbb</v>
      </c>
      <c r="C23335" s="8" t="s">
        <v>2199</v>
      </c>
      <c r="D23335" s="8">
        <v>9024</v>
      </c>
      <c r="E23335" s="8">
        <v>0</v>
      </c>
      <c r="F23335" s="8">
        <v>619</v>
      </c>
    </row>
    <row r="23336" spans="1:6" ht="12.75">
      <c r="A23336" s="8">
        <v>43893.877129629633</v>
      </c>
      <c r="B23336" s="8" t="str">
        <f>HYPERLINK("https://twitter.com/tinelo_lipu","@tinelo_lipu")</f>
        <v>@tinelo_lipu</v>
      </c>
      <c r="C23336" s="8" t="s">
        <v>9479</v>
      </c>
      <c r="D23336" s="8">
        <v>2</v>
      </c>
      <c r="E23336" s="8">
        <v>0</v>
      </c>
      <c r="F23336" s="8">
        <v>315</v>
      </c>
    </row>
    <row r="23337" spans="1:6" ht="12.75">
      <c r="A23337" s="8">
        <v>43893.877083333333</v>
      </c>
      <c r="B23337" s="8" t="str">
        <f>HYPERLINK("https://twitter.com/topinfo_id","@topinfo_id")</f>
        <v>@topinfo_id</v>
      </c>
      <c r="C23337" s="8" t="s">
        <v>9480</v>
      </c>
      <c r="D23337" s="8">
        <v>0</v>
      </c>
      <c r="E23337" s="8">
        <v>0</v>
      </c>
      <c r="F23337" s="8">
        <v>39</v>
      </c>
    </row>
    <row r="23338" spans="1:6" ht="12.75">
      <c r="A23338" s="8">
        <v>43893.876770833333</v>
      </c>
      <c r="B23338" s="8" t="str">
        <f>HYPERLINK("https://twitter.com/BillTemporo","@BillTemporo")</f>
        <v>@BillTemporo</v>
      </c>
      <c r="C23338" s="8" t="s">
        <v>384</v>
      </c>
      <c r="D23338" s="8">
        <v>0</v>
      </c>
      <c r="E23338" s="8">
        <v>0</v>
      </c>
      <c r="F23338" s="8">
        <v>11</v>
      </c>
    </row>
    <row r="23339" spans="1:6" ht="12.75">
      <c r="A23339" s="8">
        <v>43893.876759259263</v>
      </c>
      <c r="B23339" s="8" t="str">
        <f>HYPERLINK("https://twitter.com/Tauffannn","@Tauffannn")</f>
        <v>@Tauffannn</v>
      </c>
      <c r="C23339" s="8" t="s">
        <v>9481</v>
      </c>
      <c r="D23339" s="8">
        <v>0</v>
      </c>
      <c r="E23339" s="8">
        <v>0</v>
      </c>
      <c r="F23339" s="8">
        <v>2627</v>
      </c>
    </row>
    <row r="23340" spans="1:6" ht="12.75">
      <c r="A23340" s="8">
        <v>43893.876250000001</v>
      </c>
      <c r="B23340" s="8" t="str">
        <f>HYPERLINK("https://twitter.com/UlaFatiya","@UlaFatiya")</f>
        <v>@UlaFatiya</v>
      </c>
      <c r="C23340" s="8" t="s">
        <v>685</v>
      </c>
      <c r="D23340" s="8">
        <v>145</v>
      </c>
      <c r="E23340" s="8">
        <v>0</v>
      </c>
      <c r="F23340" s="8">
        <v>14</v>
      </c>
    </row>
    <row r="23341" spans="1:6" ht="12.75">
      <c r="A23341" s="8">
        <v>43893.876111111109</v>
      </c>
      <c r="B23341" s="8" t="str">
        <f>HYPERLINK("https://twitter.com/toranaga3000","@toranaga3000")</f>
        <v>@toranaga3000</v>
      </c>
      <c r="C23341" s="8" t="s">
        <v>8970</v>
      </c>
      <c r="D23341" s="8">
        <v>111</v>
      </c>
      <c r="E23341" s="8">
        <v>0</v>
      </c>
      <c r="F23341" s="8">
        <v>2438</v>
      </c>
    </row>
    <row r="23342" spans="1:6" ht="12.75">
      <c r="A23342" s="8">
        <v>43893.875891203701</v>
      </c>
      <c r="B23342" s="8" t="str">
        <f>HYPERLINK("https://twitter.com/FitaApr","@FitaApr")</f>
        <v>@FitaApr</v>
      </c>
      <c r="C23342" s="8" t="s">
        <v>8868</v>
      </c>
      <c r="D23342" s="8">
        <v>131</v>
      </c>
      <c r="E23342" s="8">
        <v>0</v>
      </c>
      <c r="F23342" s="8">
        <v>701</v>
      </c>
    </row>
    <row r="23343" spans="1:6" ht="12.75">
      <c r="A23343" s="8">
        <v>43893.875821759255</v>
      </c>
      <c r="B23343" s="8" t="str">
        <f>HYPERLINK("https://twitter.com/usroh2014","@usroh2014")</f>
        <v>@usroh2014</v>
      </c>
      <c r="C23343" s="8" t="s">
        <v>1970</v>
      </c>
      <c r="D23343" s="8">
        <v>1241</v>
      </c>
      <c r="E23343" s="8">
        <v>0</v>
      </c>
      <c r="F23343" s="8">
        <v>82</v>
      </c>
    </row>
    <row r="23344" spans="1:6" ht="12.75">
      <c r="A23344" s="8">
        <v>43893.875763888893</v>
      </c>
      <c r="B23344" s="8" t="str">
        <f>HYPERLINK("https://twitter.com/Komaini_ahmad24","@Komaini_ahmad24")</f>
        <v>@Komaini_ahmad24</v>
      </c>
      <c r="C23344" s="8" t="s">
        <v>9482</v>
      </c>
      <c r="D23344" s="8">
        <v>0</v>
      </c>
      <c r="E23344" s="8">
        <v>0</v>
      </c>
      <c r="F23344" s="8">
        <v>880</v>
      </c>
    </row>
    <row r="23345" spans="1:6" ht="12.75">
      <c r="A23345" s="8">
        <v>43893.875752314816</v>
      </c>
      <c r="B23345" s="8" t="str">
        <f>HYPERLINK("https://twitter.com/AuroraAcong","@AuroraAcong")</f>
        <v>@AuroraAcong</v>
      </c>
      <c r="C23345" s="8" t="s">
        <v>9420</v>
      </c>
      <c r="D23345" s="8">
        <v>11</v>
      </c>
      <c r="E23345" s="8">
        <v>0</v>
      </c>
      <c r="F23345" s="8">
        <v>1416</v>
      </c>
    </row>
    <row r="23346" spans="1:6" ht="12.75">
      <c r="A23346" s="8">
        <v>43893.875752314816</v>
      </c>
      <c r="B23346" s="8" t="str">
        <f>HYPERLINK("https://twitter.com/zathca","@zathca")</f>
        <v>@zathca</v>
      </c>
      <c r="C23346" s="8" t="s">
        <v>6542</v>
      </c>
      <c r="D23346" s="8">
        <v>228</v>
      </c>
      <c r="E23346" s="8">
        <v>0</v>
      </c>
      <c r="F23346" s="8">
        <v>264</v>
      </c>
    </row>
    <row r="23347" spans="1:6" ht="12.75">
      <c r="A23347" s="8">
        <v>43893.875671296293</v>
      </c>
      <c r="B23347" s="8" t="str">
        <f>HYPERLINK("https://twitter.com/hyeoyaghan","@hyeoyaghan")</f>
        <v>@hyeoyaghan</v>
      </c>
      <c r="C23347" s="8" t="s">
        <v>1970</v>
      </c>
      <c r="D23347" s="8">
        <v>1241</v>
      </c>
      <c r="E23347" s="8">
        <v>0</v>
      </c>
      <c r="F23347" s="8">
        <v>252</v>
      </c>
    </row>
    <row r="23348" spans="1:6" ht="12.75">
      <c r="A23348" s="8">
        <v>43893.875590277778</v>
      </c>
      <c r="B23348" s="8" t="str">
        <f>HYPERLINK("https://twitter.com/heychiiaa","@heychiiaa")</f>
        <v>@heychiiaa</v>
      </c>
      <c r="C23348" s="8" t="s">
        <v>9295</v>
      </c>
      <c r="D23348" s="8">
        <v>283</v>
      </c>
      <c r="E23348" s="8">
        <v>0</v>
      </c>
      <c r="F23348" s="8">
        <v>1397</v>
      </c>
    </row>
    <row r="23349" spans="1:6" ht="12.75">
      <c r="A23349" s="8">
        <v>43893.875474537039</v>
      </c>
      <c r="B23349" s="8" t="str">
        <f>HYPERLINK("https://twitter.com/maximus_syukur","@maximus_syukur")</f>
        <v>@maximus_syukur</v>
      </c>
      <c r="C23349" s="8" t="s">
        <v>8868</v>
      </c>
      <c r="D23349" s="8">
        <v>131</v>
      </c>
      <c r="E23349" s="8">
        <v>0</v>
      </c>
      <c r="F23349" s="8">
        <v>1574</v>
      </c>
    </row>
    <row r="23350" spans="1:6" ht="12.75">
      <c r="A23350" s="8">
        <v>43893.875428240739</v>
      </c>
      <c r="B23350" s="8" t="str">
        <f>HYPERLINK("https://twitter.com/riaunewsmedia","@riaunewsmedia")</f>
        <v>@riaunewsmedia</v>
      </c>
      <c r="C23350" s="8" t="s">
        <v>9483</v>
      </c>
      <c r="D23350" s="8">
        <v>0</v>
      </c>
      <c r="E23350" s="8">
        <v>0</v>
      </c>
      <c r="F23350" s="8">
        <v>151</v>
      </c>
    </row>
    <row r="23351" spans="1:6" ht="12.75">
      <c r="A23351" s="8">
        <v>43893.875347222223</v>
      </c>
      <c r="B23351" s="8" t="str">
        <f>HYPERLINK("https://twitter.com/__Ahmad_A1","@__Ahmad_A1")</f>
        <v>@__Ahmad_A1</v>
      </c>
      <c r="C23351" s="8" t="s">
        <v>9484</v>
      </c>
      <c r="D23351" s="8">
        <v>0</v>
      </c>
      <c r="E23351" s="8">
        <v>0</v>
      </c>
      <c r="F23351" s="8">
        <v>503</v>
      </c>
    </row>
    <row r="23352" spans="1:6" ht="12.75">
      <c r="A23352" s="8">
        <v>43893.875138888892</v>
      </c>
      <c r="B23352" s="8" t="str">
        <f>HYPERLINK("https://twitter.com/maulayulinda","@maulayulinda")</f>
        <v>@maulayulinda</v>
      </c>
      <c r="C23352" s="8" t="s">
        <v>8843</v>
      </c>
      <c r="D23352" s="8">
        <v>83</v>
      </c>
      <c r="E23352" s="8">
        <v>0</v>
      </c>
      <c r="F23352" s="8">
        <v>2</v>
      </c>
    </row>
    <row r="23353" spans="1:6" ht="12.75">
      <c r="A23353" s="8">
        <v>43893.87501157407</v>
      </c>
      <c r="B23353" s="8" t="str">
        <f>HYPERLINK("https://twitter.com/mediaindonesia","@mediaindonesia")</f>
        <v>@mediaindonesia</v>
      </c>
      <c r="C23353" s="8" t="s">
        <v>9485</v>
      </c>
      <c r="D23353" s="8">
        <v>0</v>
      </c>
      <c r="E23353" s="8">
        <v>1</v>
      </c>
      <c r="F23353" s="8">
        <v>1419976</v>
      </c>
    </row>
    <row r="23354" spans="1:6" ht="12.75">
      <c r="A23354" s="8">
        <v>43893.874837962961</v>
      </c>
      <c r="B23354" s="8" t="str">
        <f>HYPERLINK("https://twitter.com/Andi16339301","@Andi16339301")</f>
        <v>@Andi16339301</v>
      </c>
      <c r="C23354" s="8" t="s">
        <v>8868</v>
      </c>
      <c r="D23354" s="8">
        <v>131</v>
      </c>
      <c r="E23354" s="8">
        <v>0</v>
      </c>
      <c r="F23354" s="8">
        <v>9</v>
      </c>
    </row>
    <row r="23355" spans="1:6" ht="12.75">
      <c r="A23355" s="8">
        <v>43893.874826388885</v>
      </c>
      <c r="B23355" s="8" t="str">
        <f>HYPERLINK("https://twitter.com/sntadungs","@sntadungs")</f>
        <v>@sntadungs</v>
      </c>
      <c r="C23355" s="8" t="s">
        <v>8868</v>
      </c>
      <c r="D23355" s="8">
        <v>131</v>
      </c>
      <c r="E23355" s="8">
        <v>0</v>
      </c>
      <c r="F23355" s="8">
        <v>452</v>
      </c>
    </row>
    <row r="23356" spans="1:6" ht="12.75">
      <c r="A23356" s="8">
        <v>43893.874756944446</v>
      </c>
      <c r="B23356" s="8" t="str">
        <f>HYPERLINK("https://twitter.com/ocin71","@ocin71")</f>
        <v>@ocin71</v>
      </c>
      <c r="C23356" s="8" t="s">
        <v>9312</v>
      </c>
      <c r="D23356" s="8">
        <v>17</v>
      </c>
      <c r="E23356" s="8">
        <v>0</v>
      </c>
      <c r="F23356" s="8">
        <v>335</v>
      </c>
    </row>
    <row r="23357" spans="1:6" ht="12.75">
      <c r="A23357" s="8">
        <v>43893.874583333338</v>
      </c>
      <c r="B23357" s="8" t="str">
        <f>HYPERLINK("https://twitter.com/Bang_Metz","@Bang_Metz")</f>
        <v>@Bang_Metz</v>
      </c>
      <c r="C23357" s="8" t="s">
        <v>6832</v>
      </c>
      <c r="D23357" s="8">
        <v>1042</v>
      </c>
      <c r="E23357" s="8">
        <v>0</v>
      </c>
      <c r="F23357" s="8">
        <v>1343</v>
      </c>
    </row>
    <row r="23358" spans="1:6" ht="12.75">
      <c r="A23358" s="8">
        <v>43893.874293981484</v>
      </c>
      <c r="B23358" s="8" t="str">
        <f>HYPERLINK("https://twitter.com/Cawberries","@Cawberries")</f>
        <v>@Cawberries</v>
      </c>
      <c r="C23358" s="8" t="s">
        <v>8868</v>
      </c>
      <c r="D23358" s="8">
        <v>131</v>
      </c>
      <c r="E23358" s="8">
        <v>0</v>
      </c>
      <c r="F23358" s="8">
        <v>1749</v>
      </c>
    </row>
    <row r="23359" spans="1:6" ht="12.75">
      <c r="A23359" s="8">
        <v>43893.874120370368</v>
      </c>
      <c r="B23359" s="8" t="str">
        <f>HYPERLINK("https://twitter.com/tani_suara","@tani_suara")</f>
        <v>@tani_suara</v>
      </c>
      <c r="C23359" s="8" t="s">
        <v>9486</v>
      </c>
      <c r="D23359" s="8">
        <v>0</v>
      </c>
      <c r="E23359" s="8">
        <v>0</v>
      </c>
      <c r="F23359" s="8">
        <v>74</v>
      </c>
    </row>
    <row r="23360" spans="1:6" ht="12.75">
      <c r="A23360" s="8">
        <v>43893.874074074076</v>
      </c>
      <c r="B23360" s="8" t="str">
        <f>HYPERLINK("https://twitter.com/farhaneffendy","@farhaneffendy")</f>
        <v>@farhaneffendy</v>
      </c>
      <c r="C23360" s="8" t="s">
        <v>8184</v>
      </c>
      <c r="D23360" s="8">
        <v>7</v>
      </c>
      <c r="E23360" s="8">
        <v>0</v>
      </c>
      <c r="F23360" s="8">
        <v>2703</v>
      </c>
    </row>
    <row r="23361" spans="1:6" ht="12.75">
      <c r="A23361" s="8">
        <v>43893.874027777776</v>
      </c>
      <c r="B23361" s="8" t="str">
        <f>HYPERLINK("https://twitter.com/Eddyroyad","@Eddyroyad")</f>
        <v>@Eddyroyad</v>
      </c>
      <c r="C23361" s="8" t="s">
        <v>9487</v>
      </c>
      <c r="D23361" s="8">
        <v>0</v>
      </c>
      <c r="E23361" s="8">
        <v>3</v>
      </c>
      <c r="F23361" s="8">
        <v>1243</v>
      </c>
    </row>
    <row r="23362" spans="1:6" ht="12.75">
      <c r="A23362" s="8">
        <v>43893.873969907407</v>
      </c>
      <c r="B23362" s="8" t="str">
        <f>HYPERLINK("https://twitter.com/gui_isis","@gui_isis")</f>
        <v>@gui_isis</v>
      </c>
      <c r="C23362" s="8" t="s">
        <v>9488</v>
      </c>
      <c r="D23362" s="8">
        <v>1</v>
      </c>
      <c r="E23362" s="8">
        <v>0</v>
      </c>
      <c r="F23362" s="8">
        <v>140</v>
      </c>
    </row>
    <row r="23363" spans="1:6" ht="12.75">
      <c r="A23363" s="8">
        <v>43893.873773148152</v>
      </c>
      <c r="B23363" s="8" t="str">
        <f>HYPERLINK("https://twitter.com/Tanhani","@Tanhani")</f>
        <v>@Tanhani</v>
      </c>
      <c r="C23363" s="8" t="s">
        <v>8900</v>
      </c>
      <c r="D23363" s="8">
        <v>21</v>
      </c>
      <c r="E23363" s="8">
        <v>0</v>
      </c>
      <c r="F23363" s="8">
        <v>61</v>
      </c>
    </row>
    <row r="23364" spans="1:6" ht="12.75">
      <c r="A23364" s="8">
        <v>43893.873692129629</v>
      </c>
      <c r="B23364" s="8" t="str">
        <f>HYPERLINK("https://twitter.com/chaerunnisa009","@chaerunnisa009")</f>
        <v>@chaerunnisa009</v>
      </c>
      <c r="C23364" s="8" t="s">
        <v>7197</v>
      </c>
      <c r="D23364" s="8">
        <v>84</v>
      </c>
      <c r="E23364" s="8">
        <v>0</v>
      </c>
      <c r="F23364" s="8">
        <v>163</v>
      </c>
    </row>
    <row r="23365" spans="1:6" ht="12.75">
      <c r="A23365" s="8">
        <v>43893.873414351852</v>
      </c>
      <c r="B23365" s="8" t="str">
        <f>HYPERLINK("https://twitter.com/HayHayyun","@HayHayyun")</f>
        <v>@HayHayyun</v>
      </c>
      <c r="C23365" s="8" t="s">
        <v>7197</v>
      </c>
      <c r="D23365" s="8">
        <v>84</v>
      </c>
      <c r="E23365" s="8">
        <v>0</v>
      </c>
      <c r="F23365" s="8">
        <v>85</v>
      </c>
    </row>
    <row r="23366" spans="1:6" ht="12.75">
      <c r="A23366" s="8">
        <v>43893.873310185183</v>
      </c>
      <c r="B23366" s="8" t="str">
        <f>HYPERLINK("https://twitter.com/WesWancine","@WesWancine")</f>
        <v>@WesWancine</v>
      </c>
      <c r="C23366" s="8" t="s">
        <v>8901</v>
      </c>
      <c r="D23366" s="8">
        <v>185</v>
      </c>
      <c r="E23366" s="8">
        <v>0</v>
      </c>
      <c r="F23366" s="8">
        <v>735</v>
      </c>
    </row>
    <row r="23367" spans="1:6" ht="12.75">
      <c r="A23367" s="8">
        <v>43893.873240740737</v>
      </c>
      <c r="B23367" s="8" t="str">
        <f>HYPERLINK("https://twitter.com/rprt___","@rprt___")</f>
        <v>@rprt___</v>
      </c>
      <c r="C23367" s="8" t="s">
        <v>9489</v>
      </c>
      <c r="D23367" s="8">
        <v>1</v>
      </c>
      <c r="E23367" s="8">
        <v>0</v>
      </c>
      <c r="F23367" s="8">
        <v>129</v>
      </c>
    </row>
    <row r="23368" spans="1:6" ht="12.75">
      <c r="A23368" s="8">
        <v>43893.873229166667</v>
      </c>
      <c r="B23368" s="8" t="str">
        <f>HYPERLINK("https://twitter.com/nigilagam","@nigilagam")</f>
        <v>@nigilagam</v>
      </c>
      <c r="C23368" s="8" t="s">
        <v>2199</v>
      </c>
      <c r="D23368" s="8">
        <v>9024</v>
      </c>
      <c r="E23368" s="8">
        <v>0</v>
      </c>
      <c r="F23368" s="8">
        <v>477</v>
      </c>
    </row>
    <row r="23369" spans="1:6" ht="12.75">
      <c r="A23369" s="8">
        <v>43893.873194444444</v>
      </c>
      <c r="B23369" s="8" t="str">
        <f>HYPERLINK("https://twitter.com/heychiiaa","@heychiiaa")</f>
        <v>@heychiiaa</v>
      </c>
      <c r="C23369" s="8" t="s">
        <v>1427</v>
      </c>
      <c r="D23369" s="8">
        <v>972</v>
      </c>
      <c r="E23369" s="8">
        <v>0</v>
      </c>
      <c r="F23369" s="8">
        <v>1397</v>
      </c>
    </row>
    <row r="23370" spans="1:6" ht="12.75">
      <c r="A23370" s="8">
        <v>43893.873182870375</v>
      </c>
      <c r="B23370" s="8" t="str">
        <f>HYPERLINK("https://twitter.com/SaveIndonesia24","@SaveIndonesia24")</f>
        <v>@SaveIndonesia24</v>
      </c>
      <c r="C23370" s="8" t="s">
        <v>8970</v>
      </c>
      <c r="D23370" s="8">
        <v>111</v>
      </c>
      <c r="E23370" s="8">
        <v>0</v>
      </c>
      <c r="F23370" s="8">
        <v>304</v>
      </c>
    </row>
    <row r="23371" spans="1:6" ht="12.75">
      <c r="A23371" s="8">
        <v>43893.873067129629</v>
      </c>
      <c r="B23371" s="8" t="str">
        <f>HYPERLINK("https://twitter.com/kiiyyyuuuub","@kiiyyyuuuub")</f>
        <v>@kiiyyyuuuub</v>
      </c>
      <c r="C23371" s="8" t="s">
        <v>7197</v>
      </c>
      <c r="D23371" s="8">
        <v>84</v>
      </c>
      <c r="E23371" s="8">
        <v>0</v>
      </c>
      <c r="F23371" s="8">
        <v>520</v>
      </c>
    </row>
    <row r="23372" spans="1:6" ht="12.75">
      <c r="A23372" s="8">
        <v>43893.873043981483</v>
      </c>
      <c r="B23372" s="8" t="str">
        <f>HYPERLINK("https://twitter.com/sadisliffe","@sadisliffe")</f>
        <v>@sadisliffe</v>
      </c>
      <c r="C23372" s="8" t="s">
        <v>8868</v>
      </c>
      <c r="D23372" s="8">
        <v>131</v>
      </c>
      <c r="E23372" s="8">
        <v>0</v>
      </c>
      <c r="F23372" s="8">
        <v>7</v>
      </c>
    </row>
    <row r="23373" spans="1:6" ht="12.75">
      <c r="A23373" s="8">
        <v>43893.872928240744</v>
      </c>
      <c r="B23373" s="8" t="str">
        <f>HYPERLINK("https://twitter.com/yogapraditow","@yogapraditow")</f>
        <v>@yogapraditow</v>
      </c>
      <c r="C23373" s="8" t="s">
        <v>9377</v>
      </c>
      <c r="D23373" s="8">
        <v>2</v>
      </c>
      <c r="E23373" s="8">
        <v>0</v>
      </c>
      <c r="F23373" s="8">
        <v>415</v>
      </c>
    </row>
    <row r="23374" spans="1:6" ht="12.75">
      <c r="A23374" s="8">
        <v>43893.872893518521</v>
      </c>
      <c r="B23374" s="8" t="str">
        <f>HYPERLINK("https://twitter.com/tani_suara","@tani_suara")</f>
        <v>@tani_suara</v>
      </c>
      <c r="C23374" s="8" t="s">
        <v>9490</v>
      </c>
      <c r="D23374" s="8">
        <v>0</v>
      </c>
      <c r="E23374" s="8">
        <v>0</v>
      </c>
      <c r="F23374" s="8">
        <v>74</v>
      </c>
    </row>
    <row r="23375" spans="1:6" ht="12.75">
      <c r="A23375" s="8">
        <v>43893.872789351852</v>
      </c>
      <c r="B23375" s="8" t="str">
        <f>HYPERLINK("https://twitter.com/purwadibestari","@purwadibestari")</f>
        <v>@purwadibestari</v>
      </c>
      <c r="C23375" s="8" t="s">
        <v>2199</v>
      </c>
      <c r="D23375" s="8">
        <v>9024</v>
      </c>
      <c r="E23375" s="8">
        <v>0</v>
      </c>
      <c r="F23375" s="8">
        <v>100</v>
      </c>
    </row>
    <row r="23376" spans="1:6" ht="12.75">
      <c r="A23376" s="8">
        <v>43893.872731481482</v>
      </c>
      <c r="B23376" s="8" t="str">
        <f>HYPERLINK("https://twitter.com/bffb300aff02425","@bffb300aff02425")</f>
        <v>@bffb300aff02425</v>
      </c>
      <c r="C23376" s="8" t="s">
        <v>685</v>
      </c>
      <c r="D23376" s="8">
        <v>145</v>
      </c>
      <c r="E23376" s="8">
        <v>0</v>
      </c>
      <c r="F23376" s="8">
        <v>517</v>
      </c>
    </row>
    <row r="23377" spans="1:6" ht="12.75">
      <c r="A23377" s="8">
        <v>43893.872557870374</v>
      </c>
      <c r="B23377" s="8" t="str">
        <f>HYPERLINK("https://twitter.com/Natasya_jessy","@Natasya_jessy")</f>
        <v>@Natasya_jessy</v>
      </c>
      <c r="C23377" s="8" t="s">
        <v>9420</v>
      </c>
      <c r="D23377" s="8">
        <v>11</v>
      </c>
      <c r="E23377" s="8">
        <v>0</v>
      </c>
      <c r="F23377" s="8">
        <v>433</v>
      </c>
    </row>
    <row r="23378" spans="1:6" ht="12.75">
      <c r="A23378" s="8">
        <v>43893.872499999998</v>
      </c>
      <c r="B23378" s="8" t="str">
        <f>HYPERLINK("https://twitter.com/liranti","@liranti")</f>
        <v>@liranti</v>
      </c>
      <c r="C23378" s="8" t="s">
        <v>9377</v>
      </c>
      <c r="D23378" s="8">
        <v>2</v>
      </c>
      <c r="E23378" s="8">
        <v>0</v>
      </c>
      <c r="F23378" s="8">
        <v>531</v>
      </c>
    </row>
    <row r="23379" spans="1:6" ht="12.75">
      <c r="A23379" s="8">
        <v>43893.872442129628</v>
      </c>
      <c r="B23379" s="8" t="str">
        <f>HYPERLINK("https://twitter.com/rezasheva","@rezasheva")</f>
        <v>@rezasheva</v>
      </c>
      <c r="C23379" s="8" t="s">
        <v>7197</v>
      </c>
      <c r="D23379" s="8">
        <v>84</v>
      </c>
      <c r="E23379" s="8">
        <v>0</v>
      </c>
      <c r="F23379" s="8">
        <v>214</v>
      </c>
    </row>
    <row r="23380" spans="1:6" ht="12.75">
      <c r="A23380" s="8">
        <v>43893.840046296296</v>
      </c>
      <c r="B23380" s="8" t="str">
        <f>HYPERLINK("https://twitter.com/Faisalicip","@Faisalicip")</f>
        <v>@Faisalicip</v>
      </c>
      <c r="C23380" s="8" t="s">
        <v>9491</v>
      </c>
      <c r="D23380" s="8">
        <v>0</v>
      </c>
      <c r="E23380" s="8">
        <v>0</v>
      </c>
      <c r="F23380" s="8">
        <v>496</v>
      </c>
    </row>
    <row r="23381" spans="1:6" ht="12.75">
      <c r="A23381" s="8">
        <v>43893.839733796296</v>
      </c>
      <c r="B23381" s="8" t="str">
        <f>HYPERLINK("https://twitter.com/onicridha","@onicridha")</f>
        <v>@onicridha</v>
      </c>
      <c r="C23381" s="8" t="s">
        <v>1986</v>
      </c>
      <c r="D23381" s="8">
        <v>829</v>
      </c>
      <c r="E23381" s="8">
        <v>0</v>
      </c>
      <c r="F23381" s="8">
        <v>345</v>
      </c>
    </row>
    <row r="23382" spans="1:6" ht="12.75">
      <c r="A23382" s="8">
        <v>43893.839606481481</v>
      </c>
      <c r="B23382" s="8" t="str">
        <f>HYPERLINK("https://twitter.com/cici_nchie","@cici_nchie")</f>
        <v>@cici_nchie</v>
      </c>
      <c r="C23382" s="8" t="s">
        <v>1970</v>
      </c>
      <c r="D23382" s="8">
        <v>1204</v>
      </c>
      <c r="E23382" s="8">
        <v>0</v>
      </c>
      <c r="F23382" s="8">
        <v>175</v>
      </c>
    </row>
    <row r="23383" spans="1:6" ht="12.75">
      <c r="A23383" s="8">
        <v>43893.839537037042</v>
      </c>
      <c r="B23383" s="8" t="str">
        <f>HYPERLINK("https://twitter.com/barabima_","@barabima_")</f>
        <v>@barabima_</v>
      </c>
      <c r="C23383" s="8" t="s">
        <v>9159</v>
      </c>
      <c r="D23383" s="8">
        <v>8</v>
      </c>
      <c r="E23383" s="8">
        <v>0</v>
      </c>
      <c r="F23383" s="8">
        <v>253</v>
      </c>
    </row>
    <row r="23384" spans="1:6" ht="12.75">
      <c r="A23384" s="8">
        <v>43893.839467592596</v>
      </c>
      <c r="B23384" s="8" t="str">
        <f>HYPERLINK("https://twitter.com/KavindraOemar","@KavindraOemar")</f>
        <v>@KavindraOemar</v>
      </c>
      <c r="C23384" s="8" t="s">
        <v>7597</v>
      </c>
      <c r="D23384" s="8">
        <v>706</v>
      </c>
      <c r="E23384" s="8">
        <v>0</v>
      </c>
      <c r="F23384" s="8">
        <v>3716</v>
      </c>
    </row>
    <row r="23385" spans="1:6" ht="12.75">
      <c r="A23385" s="8">
        <v>43893.839328703703</v>
      </c>
      <c r="B23385" s="8" t="str">
        <f>HYPERLINK("https://twitter.com/mfnid","@mfnid")</f>
        <v>@mfnid</v>
      </c>
      <c r="C23385" s="8" t="s">
        <v>9062</v>
      </c>
      <c r="D23385" s="8">
        <v>3</v>
      </c>
      <c r="E23385" s="8">
        <v>0</v>
      </c>
      <c r="F23385" s="8">
        <v>934</v>
      </c>
    </row>
    <row r="23386" spans="1:6" ht="12.75">
      <c r="A23386" s="8">
        <v>43893.83902777778</v>
      </c>
      <c r="B23386" s="8" t="str">
        <f>HYPERLINK("https://twitter.com/icusmanuhutu","@icusmanuhutu")</f>
        <v>@icusmanuhutu</v>
      </c>
      <c r="C23386" s="8" t="s">
        <v>685</v>
      </c>
      <c r="D23386" s="8">
        <v>131</v>
      </c>
      <c r="E23386" s="8">
        <v>0</v>
      </c>
      <c r="F23386" s="8">
        <v>412</v>
      </c>
    </row>
    <row r="23387" spans="1:6" ht="12.75">
      <c r="A23387" s="8">
        <v>43893.838842592595</v>
      </c>
      <c r="B23387" s="8" t="str">
        <f t="shared" ref="B23387:B23388" si="344">HYPERLINK("https://twitter.com/PRB_BNPB","@PRB_BNPB")</f>
        <v>@PRB_BNPB</v>
      </c>
      <c r="C23387" s="8" t="s">
        <v>9492</v>
      </c>
      <c r="D23387" s="8">
        <v>1</v>
      </c>
      <c r="E23387" s="8">
        <v>0</v>
      </c>
      <c r="F23387" s="8">
        <v>3022</v>
      </c>
    </row>
    <row r="23388" spans="1:6" ht="12.75">
      <c r="A23388" s="8">
        <v>43893.838807870372</v>
      </c>
      <c r="B23388" s="8" t="str">
        <f t="shared" si="344"/>
        <v>@PRB_BNPB</v>
      </c>
      <c r="C23388" s="8" t="s">
        <v>9141</v>
      </c>
      <c r="D23388" s="8">
        <v>5</v>
      </c>
      <c r="E23388" s="8">
        <v>0</v>
      </c>
      <c r="F23388" s="8">
        <v>3022</v>
      </c>
    </row>
    <row r="23389" spans="1:6" ht="12.75">
      <c r="A23389" s="8">
        <v>43893.838761574079</v>
      </c>
      <c r="B23389" s="8" t="str">
        <f>HYPERLINK("https://twitter.com/Rizky8421","@Rizky8421")</f>
        <v>@Rizky8421</v>
      </c>
      <c r="C23389" s="8" t="s">
        <v>9493</v>
      </c>
      <c r="D23389" s="8">
        <v>21</v>
      </c>
      <c r="E23389" s="8">
        <v>0</v>
      </c>
      <c r="F23389" s="8">
        <v>48</v>
      </c>
    </row>
    <row r="23390" spans="1:6" ht="12.75">
      <c r="A23390" s="8">
        <v>43893.838749999995</v>
      </c>
      <c r="B23390" s="8" t="str">
        <f>HYPERLINK("https://twitter.com/intanrahmadhan","@intanrahmadhan")</f>
        <v>@intanrahmadhan</v>
      </c>
      <c r="C23390" s="8" t="s">
        <v>6862</v>
      </c>
      <c r="D23390" s="8">
        <v>23</v>
      </c>
      <c r="E23390" s="8">
        <v>0</v>
      </c>
      <c r="F23390" s="8">
        <v>527</v>
      </c>
    </row>
    <row r="23391" spans="1:6" ht="12.75">
      <c r="A23391" s="8">
        <v>43893.838622685187</v>
      </c>
      <c r="B23391" s="8" t="str">
        <f>HYPERLINK("https://twitter.com/tsikumbang","@tsikumbang")</f>
        <v>@tsikumbang</v>
      </c>
      <c r="C23391" s="8" t="s">
        <v>7597</v>
      </c>
      <c r="D23391" s="8">
        <v>706</v>
      </c>
      <c r="E23391" s="8">
        <v>0</v>
      </c>
      <c r="F23391" s="8">
        <v>194</v>
      </c>
    </row>
    <row r="23392" spans="1:6" ht="12.75">
      <c r="A23392" s="8">
        <v>43893.838599537034</v>
      </c>
      <c r="B23392" s="8" t="str">
        <f>HYPERLINK("https://twitter.com/ngonowaelah","@ngonowaelah")</f>
        <v>@ngonowaelah</v>
      </c>
      <c r="C23392" s="8" t="s">
        <v>9494</v>
      </c>
      <c r="D23392" s="8">
        <v>0</v>
      </c>
      <c r="E23392" s="8">
        <v>0</v>
      </c>
      <c r="F23392" s="8">
        <v>1832</v>
      </c>
    </row>
    <row r="23393" spans="1:6" ht="12.75">
      <c r="A23393" s="8">
        <v>43893.838425925926</v>
      </c>
      <c r="B23393" s="8" t="str">
        <f>HYPERLINK("https://twitter.com/DianLamapaha","@DianLamapaha")</f>
        <v>@DianLamapaha</v>
      </c>
      <c r="C23393" s="8" t="s">
        <v>9495</v>
      </c>
      <c r="D23393" s="8">
        <v>835</v>
      </c>
      <c r="E23393" s="8">
        <v>0</v>
      </c>
      <c r="F23393" s="8">
        <v>356</v>
      </c>
    </row>
    <row r="23394" spans="1:6" ht="12.75">
      <c r="A23394" s="8">
        <v>43893.838414351849</v>
      </c>
      <c r="B23394" s="8" t="str">
        <f>HYPERLINK("https://twitter.com/eksiwhresi","@eksiwhresi")</f>
        <v>@eksiwhresi</v>
      </c>
      <c r="C23394" s="8" t="s">
        <v>9496</v>
      </c>
      <c r="D23394" s="8">
        <v>0</v>
      </c>
      <c r="E23394" s="8">
        <v>0</v>
      </c>
      <c r="F23394" s="8">
        <v>402</v>
      </c>
    </row>
    <row r="23395" spans="1:6" ht="12.75">
      <c r="A23395" s="8">
        <v>43893.838194444441</v>
      </c>
      <c r="B23395" s="8" t="str">
        <f>HYPERLINK("https://twitter.com/Ulung888","@Ulung888")</f>
        <v>@Ulung888</v>
      </c>
      <c r="C23395" s="8" t="s">
        <v>1970</v>
      </c>
      <c r="D23395" s="8">
        <v>1204</v>
      </c>
      <c r="E23395" s="8">
        <v>0</v>
      </c>
      <c r="F23395" s="8">
        <v>215</v>
      </c>
    </row>
    <row r="23396" spans="1:6" ht="12.75">
      <c r="A23396" s="8">
        <v>43893.83793981481</v>
      </c>
      <c r="B23396" s="8" t="str">
        <f>HYPERLINK("https://twitter.com/JaySoetija","@JaySoetija")</f>
        <v>@JaySoetija</v>
      </c>
      <c r="C23396" s="8" t="s">
        <v>1970</v>
      </c>
      <c r="D23396" s="8">
        <v>1204</v>
      </c>
      <c r="E23396" s="8">
        <v>0</v>
      </c>
      <c r="F23396" s="8">
        <v>1223</v>
      </c>
    </row>
    <row r="23397" spans="1:6" ht="12.75">
      <c r="A23397" s="8">
        <v>43893.837881944448</v>
      </c>
      <c r="B23397" s="8" t="str">
        <f>HYPERLINK("https://twitter.com/TMustcho","@TMustcho")</f>
        <v>@TMustcho</v>
      </c>
      <c r="C23397" s="8" t="s">
        <v>8901</v>
      </c>
      <c r="D23397" s="8">
        <v>174</v>
      </c>
      <c r="E23397" s="8">
        <v>0</v>
      </c>
      <c r="F23397" s="8">
        <v>568</v>
      </c>
    </row>
    <row r="23398" spans="1:6" ht="12.75">
      <c r="A23398" s="8">
        <v>43893.837835648148</v>
      </c>
      <c r="B23398" s="8" t="str">
        <f>HYPERLINK("https://twitter.com/psislycsc","@psislycsc")</f>
        <v>@psislycsc</v>
      </c>
      <c r="C23398" s="8" t="s">
        <v>6864</v>
      </c>
      <c r="D23398" s="8">
        <v>256</v>
      </c>
      <c r="E23398" s="8">
        <v>0</v>
      </c>
      <c r="F23398" s="8">
        <v>384</v>
      </c>
    </row>
    <row r="23399" spans="1:6" ht="12.75">
      <c r="A23399" s="8">
        <v>43893.837824074071</v>
      </c>
      <c r="B23399" s="8" t="str">
        <f>HYPERLINK("https://twitter.com/hardjo509","@hardjo509")</f>
        <v>@hardjo509</v>
      </c>
      <c r="C23399" s="8" t="s">
        <v>9497</v>
      </c>
      <c r="D23399" s="8">
        <v>1</v>
      </c>
      <c r="E23399" s="8">
        <v>0</v>
      </c>
      <c r="F23399" s="8">
        <v>11</v>
      </c>
    </row>
    <row r="23400" spans="1:6" ht="12.75">
      <c r="A23400" s="8">
        <v>43893.837777777779</v>
      </c>
      <c r="B23400" s="8" t="str">
        <f>HYPERLINK("https://twitter.com/HANMAS19","@HANMAS19")</f>
        <v>@HANMAS19</v>
      </c>
      <c r="C23400" s="8" t="s">
        <v>6827</v>
      </c>
      <c r="D23400" s="8">
        <v>26</v>
      </c>
      <c r="E23400" s="8">
        <v>0</v>
      </c>
      <c r="F23400" s="8">
        <v>2646</v>
      </c>
    </row>
    <row r="23401" spans="1:6" ht="12.75">
      <c r="A23401" s="8">
        <v>43893.837696759263</v>
      </c>
      <c r="B23401" s="8" t="str">
        <f>HYPERLINK("https://twitter.com/FitriyaniRipka","@FitriyaniRipka")</f>
        <v>@FitriyaniRipka</v>
      </c>
      <c r="C23401" s="8" t="s">
        <v>9498</v>
      </c>
      <c r="D23401" s="8">
        <v>3</v>
      </c>
      <c r="E23401" s="8">
        <v>0</v>
      </c>
      <c r="F23401" s="8">
        <v>40</v>
      </c>
    </row>
    <row r="23402" spans="1:6" ht="12.75">
      <c r="A23402" s="8">
        <v>43893.837546296301</v>
      </c>
      <c r="B23402" s="8" t="str">
        <f t="shared" ref="B23402:B23403" si="345">HYPERLINK("https://twitter.com/suaradotcom","@suaradotcom")</f>
        <v>@suaradotcom</v>
      </c>
      <c r="C23402" s="8" t="s">
        <v>9499</v>
      </c>
      <c r="D23402" s="8">
        <v>0</v>
      </c>
      <c r="E23402" s="8">
        <v>0</v>
      </c>
      <c r="F23402" s="8">
        <v>24327</v>
      </c>
    </row>
    <row r="23403" spans="1:6" ht="12.75">
      <c r="A23403" s="8">
        <v>43893.837523148148</v>
      </c>
      <c r="B23403" s="8" t="str">
        <f t="shared" si="345"/>
        <v>@suaradotcom</v>
      </c>
      <c r="C23403" s="8" t="s">
        <v>9500</v>
      </c>
      <c r="D23403" s="8">
        <v>0</v>
      </c>
      <c r="E23403" s="8">
        <v>0</v>
      </c>
      <c r="F23403" s="8">
        <v>24327</v>
      </c>
    </row>
    <row r="23404" spans="1:6" ht="12.75">
      <c r="A23404" s="8">
        <v>43893.837523148148</v>
      </c>
      <c r="B23404" s="8" t="str">
        <f>HYPERLINK("https://twitter.com/awdisti","@awdisti")</f>
        <v>@awdisti</v>
      </c>
      <c r="C23404" s="8" t="s">
        <v>9501</v>
      </c>
      <c r="D23404" s="8">
        <v>0</v>
      </c>
      <c r="E23404" s="8">
        <v>0</v>
      </c>
      <c r="F23404" s="8">
        <v>994</v>
      </c>
    </row>
    <row r="23405" spans="1:6" ht="12.75">
      <c r="A23405" s="8">
        <v>43893.837384259255</v>
      </c>
      <c r="B23405" s="8" t="str">
        <f>HYPERLINK("https://twitter.com/miayambakso","@miayambakso")</f>
        <v>@miayambakso</v>
      </c>
      <c r="C23405" s="8" t="s">
        <v>3298</v>
      </c>
      <c r="D23405" s="8">
        <v>38</v>
      </c>
      <c r="E23405" s="8">
        <v>0</v>
      </c>
      <c r="F23405" s="8">
        <v>382</v>
      </c>
    </row>
    <row r="23406" spans="1:6" ht="12.75">
      <c r="A23406" s="8">
        <v>43893.837372685186</v>
      </c>
      <c r="B23406" s="8" t="str">
        <f>HYPERLINK("https://twitter.com/fauzyeka84","@fauzyeka84")</f>
        <v>@fauzyeka84</v>
      </c>
      <c r="C23406" s="8" t="s">
        <v>6315</v>
      </c>
      <c r="D23406" s="8">
        <v>86</v>
      </c>
      <c r="E23406" s="8">
        <v>0</v>
      </c>
      <c r="F23406" s="8">
        <v>1534</v>
      </c>
    </row>
    <row r="23407" spans="1:6" ht="12.75">
      <c r="A23407" s="8">
        <v>43893.836909722224</v>
      </c>
      <c r="B23407" s="8" t="str">
        <f>HYPERLINK("https://twitter.com/tribunnews","@tribunnews")</f>
        <v>@tribunnews</v>
      </c>
      <c r="C23407" s="8" t="s">
        <v>9502</v>
      </c>
      <c r="D23407" s="8">
        <v>1</v>
      </c>
      <c r="E23407" s="8">
        <v>1</v>
      </c>
      <c r="F23407" s="8">
        <v>887208</v>
      </c>
    </row>
    <row r="23408" spans="1:6" ht="12.75">
      <c r="A23408" s="8">
        <v>43893.836840277778</v>
      </c>
      <c r="B23408" s="8" t="str">
        <f>HYPERLINK("https://twitter.com/AlfaOmega0110","@AlfaOmega0110")</f>
        <v>@AlfaOmega0110</v>
      </c>
      <c r="C23408" s="8" t="s">
        <v>9503</v>
      </c>
      <c r="D23408" s="8">
        <v>0</v>
      </c>
      <c r="E23408" s="8">
        <v>1</v>
      </c>
      <c r="F23408" s="8">
        <v>1280</v>
      </c>
    </row>
    <row r="23409" spans="1:6" ht="12.75">
      <c r="A23409" s="8">
        <v>43893.836643518516</v>
      </c>
      <c r="B23409" s="8" t="str">
        <f>HYPERLINK("https://twitter.com/cnmelia","@cnmelia")</f>
        <v>@cnmelia</v>
      </c>
      <c r="C23409" s="8" t="s">
        <v>8868</v>
      </c>
      <c r="D23409" s="8">
        <v>98</v>
      </c>
      <c r="E23409" s="8">
        <v>0</v>
      </c>
      <c r="F23409" s="8">
        <v>4172</v>
      </c>
    </row>
    <row r="23410" spans="1:6" ht="12.75">
      <c r="A23410" s="8">
        <v>43893.836585648147</v>
      </c>
      <c r="B23410" s="8" t="str">
        <f>HYPERLINK("https://twitter.com/translatorbali","@translatorbali")</f>
        <v>@translatorbali</v>
      </c>
      <c r="C23410" s="8" t="s">
        <v>9504</v>
      </c>
      <c r="D23410" s="8">
        <v>4</v>
      </c>
      <c r="E23410" s="8">
        <v>0</v>
      </c>
      <c r="F23410" s="8">
        <v>3869</v>
      </c>
    </row>
    <row r="23411" spans="1:6" ht="12.75">
      <c r="A23411" s="8">
        <v>43893.835972222223</v>
      </c>
      <c r="B23411" s="8" t="str">
        <f>HYPERLINK("https://twitter.com/suswaeni","@suswaeni")</f>
        <v>@suswaeni</v>
      </c>
      <c r="C23411" s="8" t="s">
        <v>8970</v>
      </c>
      <c r="D23411" s="8">
        <v>99</v>
      </c>
      <c r="E23411" s="8">
        <v>0</v>
      </c>
      <c r="F23411" s="8">
        <v>113</v>
      </c>
    </row>
    <row r="23412" spans="1:6" ht="12.75">
      <c r="A23412" s="8">
        <v>43893.835960648154</v>
      </c>
      <c r="B23412" s="8" t="str">
        <f>HYPERLINK("https://twitter.com/david_hmp","@david_hmp")</f>
        <v>@david_hmp</v>
      </c>
      <c r="C23412" s="8" t="s">
        <v>6862</v>
      </c>
      <c r="D23412" s="8">
        <v>23</v>
      </c>
      <c r="E23412" s="8">
        <v>0</v>
      </c>
      <c r="F23412" s="8">
        <v>1029</v>
      </c>
    </row>
    <row r="23413" spans="1:6" ht="12.75">
      <c r="A23413" s="8">
        <v>43893.835879629631</v>
      </c>
      <c r="B23413" s="8" t="str">
        <f>HYPERLINK("https://twitter.com/KangHaluu","@KangHaluu")</f>
        <v>@KangHaluu</v>
      </c>
      <c r="C23413" s="8" t="s">
        <v>9117</v>
      </c>
      <c r="D23413" s="8">
        <v>404</v>
      </c>
      <c r="E23413" s="8">
        <v>0</v>
      </c>
      <c r="F23413" s="8">
        <v>326</v>
      </c>
    </row>
    <row r="23414" spans="1:6" ht="12.75">
      <c r="A23414" s="8">
        <v>43893.835810185185</v>
      </c>
      <c r="B23414" s="8" t="str">
        <f>HYPERLINK("https://twitter.com/__Profesong","@__Profesong")</f>
        <v>@__Profesong</v>
      </c>
      <c r="C23414" s="8" t="s">
        <v>8970</v>
      </c>
      <c r="D23414" s="8">
        <v>99</v>
      </c>
      <c r="E23414" s="8">
        <v>0</v>
      </c>
      <c r="F23414" s="8">
        <v>2375</v>
      </c>
    </row>
    <row r="23415" spans="1:6" ht="12.75">
      <c r="A23415" s="8">
        <v>43893.8356712963</v>
      </c>
      <c r="B23415" s="8" t="str">
        <f>HYPERLINK("https://twitter.com/_fajaarid","@_fajaarid")</f>
        <v>@_fajaarid</v>
      </c>
      <c r="C23415" s="8" t="s">
        <v>9194</v>
      </c>
      <c r="D23415" s="8">
        <v>210</v>
      </c>
      <c r="E23415" s="8">
        <v>0</v>
      </c>
      <c r="F23415" s="8">
        <v>160</v>
      </c>
    </row>
    <row r="23416" spans="1:6" ht="12.75">
      <c r="A23416" s="8">
        <v>43893.835439814815</v>
      </c>
      <c r="B23416" s="8" t="str">
        <f>HYPERLINK("https://twitter.com/dendiayahalbarr","@dendiayahalbarr")</f>
        <v>@dendiayahalbarr</v>
      </c>
      <c r="C23416" s="8" t="s">
        <v>8901</v>
      </c>
      <c r="D23416" s="8">
        <v>174</v>
      </c>
      <c r="E23416" s="8">
        <v>0</v>
      </c>
      <c r="F23416" s="8">
        <v>256</v>
      </c>
    </row>
    <row r="23417" spans="1:6" ht="12.75">
      <c r="A23417" s="8">
        <v>43893.835381944446</v>
      </c>
      <c r="B23417" s="8" t="str">
        <f>HYPERLINK("https://twitter.com/gyuvenchy0428","@gyuvenchy0428")</f>
        <v>@gyuvenchy0428</v>
      </c>
      <c r="C23417" s="8" t="s">
        <v>9505</v>
      </c>
      <c r="D23417" s="8">
        <v>0</v>
      </c>
      <c r="E23417" s="8">
        <v>0</v>
      </c>
      <c r="F23417" s="8">
        <v>157</v>
      </c>
    </row>
    <row r="23418" spans="1:6" ht="12.75">
      <c r="A23418" s="8">
        <v>43893.835347222222</v>
      </c>
      <c r="B23418" s="8" t="str">
        <f>HYPERLINK("https://twitter.com/BandungTV38","@BandungTV38")</f>
        <v>@BandungTV38</v>
      </c>
      <c r="C23418" s="8" t="s">
        <v>9506</v>
      </c>
      <c r="D23418" s="8">
        <v>0</v>
      </c>
      <c r="E23418" s="8">
        <v>0</v>
      </c>
      <c r="F23418" s="8">
        <v>12242</v>
      </c>
    </row>
    <row r="23419" spans="1:6" ht="12.75">
      <c r="A23419" s="8">
        <v>43893.835312499999</v>
      </c>
      <c r="B23419" s="8" t="str">
        <f>HYPERLINK("https://twitter.com/eli_omy","@eli_omy")</f>
        <v>@eli_omy</v>
      </c>
      <c r="C23419" s="8" t="s">
        <v>8868</v>
      </c>
      <c r="D23419" s="8">
        <v>98</v>
      </c>
      <c r="E23419" s="8">
        <v>0</v>
      </c>
      <c r="F23419" s="8">
        <v>1072</v>
      </c>
    </row>
    <row r="23420" spans="1:6" ht="12.75">
      <c r="A23420" s="8">
        <v>43893.835312499999</v>
      </c>
      <c r="B23420" s="8" t="str">
        <f>HYPERLINK("https://twitter.com/EdyMarlofvia","@EdyMarlofvia")</f>
        <v>@EdyMarlofvia</v>
      </c>
      <c r="C23420" s="8" t="s">
        <v>8963</v>
      </c>
      <c r="D23420" s="8">
        <v>117</v>
      </c>
      <c r="E23420" s="8">
        <v>0</v>
      </c>
      <c r="F23420" s="8">
        <v>469</v>
      </c>
    </row>
    <row r="23421" spans="1:6" ht="12.75">
      <c r="A23421" s="8">
        <v>43893.83530092593</v>
      </c>
      <c r="B23421" s="8" t="str">
        <f>HYPERLINK("https://twitter.com/Farisrahmat13","@Farisrahmat13")</f>
        <v>@Farisrahmat13</v>
      </c>
      <c r="C23421" s="8" t="s">
        <v>1970</v>
      </c>
      <c r="D23421" s="8">
        <v>1204</v>
      </c>
      <c r="E23421" s="8">
        <v>0</v>
      </c>
      <c r="F23421" s="8">
        <v>351</v>
      </c>
    </row>
    <row r="23422" spans="1:6" ht="12.75">
      <c r="A23422" s="8">
        <v>43893.834965277776</v>
      </c>
      <c r="B23422" s="8" t="str">
        <f>HYPERLINK("https://twitter.com/Bangmull5","@Bangmull5")</f>
        <v>@Bangmull5</v>
      </c>
      <c r="C23422" s="8" t="s">
        <v>1427</v>
      </c>
      <c r="D23422" s="8">
        <v>967</v>
      </c>
      <c r="E23422" s="8">
        <v>0</v>
      </c>
      <c r="F23422" s="8">
        <v>2801</v>
      </c>
    </row>
    <row r="23423" spans="1:6" ht="12.75">
      <c r="A23423" s="8">
        <v>43893.834826388891</v>
      </c>
      <c r="B23423" s="8" t="str">
        <f>HYPERLINK("https://twitter.com/Vicen05664469","@Vicen05664469")</f>
        <v>@Vicen05664469</v>
      </c>
      <c r="C23423" s="8" t="s">
        <v>9507</v>
      </c>
      <c r="D23423" s="8">
        <v>0</v>
      </c>
      <c r="E23423" s="8">
        <v>0</v>
      </c>
      <c r="F23423" s="8">
        <v>0</v>
      </c>
    </row>
    <row r="23424" spans="1:6" ht="12.75">
      <c r="A23424" s="8">
        <v>43893.834826388891</v>
      </c>
      <c r="B23424" s="8" t="str">
        <f>HYPERLINK("https://twitter.com/Lydianaaa","@Lydianaaa")</f>
        <v>@Lydianaaa</v>
      </c>
      <c r="C23424" s="8" t="s">
        <v>2962</v>
      </c>
      <c r="D23424" s="8">
        <v>5599</v>
      </c>
      <c r="E23424" s="8">
        <v>0</v>
      </c>
      <c r="F23424" s="8">
        <v>17</v>
      </c>
    </row>
    <row r="23425" spans="1:6" ht="12.75">
      <c r="A23425" s="8">
        <v>43893.834803240738</v>
      </c>
      <c r="B23425" s="8" t="str">
        <f>HYPERLINK("https://twitter.com/WaspadaID","@WaspadaID")</f>
        <v>@WaspadaID</v>
      </c>
      <c r="C23425" s="8" t="s">
        <v>9508</v>
      </c>
      <c r="D23425" s="8">
        <v>0</v>
      </c>
      <c r="E23425" s="8">
        <v>0</v>
      </c>
      <c r="F23425" s="8">
        <v>2113</v>
      </c>
    </row>
    <row r="23426" spans="1:6" ht="12.75">
      <c r="A23426" s="8">
        <v>43893.834791666668</v>
      </c>
      <c r="B23426" s="8" t="str">
        <f>HYPERLINK("https://twitter.com/ayoyogyacom","@ayoyogyacom")</f>
        <v>@ayoyogyacom</v>
      </c>
      <c r="C23426" s="8" t="s">
        <v>9509</v>
      </c>
      <c r="D23426" s="8">
        <v>0</v>
      </c>
      <c r="E23426" s="8">
        <v>0</v>
      </c>
      <c r="F23426" s="8">
        <v>31</v>
      </c>
    </row>
    <row r="23427" spans="1:6" ht="12.75">
      <c r="A23427" s="8">
        <v>43893.834710648152</v>
      </c>
      <c r="B23427" s="8" t="str">
        <f>HYPERLINK("https://twitter.com/zazanandira","@zazanandira")</f>
        <v>@zazanandira</v>
      </c>
      <c r="C23427" s="8" t="s">
        <v>9510</v>
      </c>
      <c r="D23427" s="8">
        <v>0</v>
      </c>
      <c r="E23427" s="8">
        <v>0</v>
      </c>
      <c r="F23427" s="8">
        <v>167</v>
      </c>
    </row>
    <row r="23428" spans="1:6" ht="12.75">
      <c r="A23428" s="8">
        <v>43893.834664351853</v>
      </c>
      <c r="B23428" s="8" t="str">
        <f>HYPERLINK("https://twitter.com/cadarmerah","@cadarmerah")</f>
        <v>@cadarmerah</v>
      </c>
      <c r="C23428" s="8" t="s">
        <v>9150</v>
      </c>
      <c r="D23428" s="8">
        <v>3</v>
      </c>
      <c r="E23428" s="8">
        <v>0</v>
      </c>
      <c r="F23428" s="8">
        <v>5659</v>
      </c>
    </row>
    <row r="23429" spans="1:6" ht="12.75">
      <c r="A23429" s="8">
        <v>43893.834594907406</v>
      </c>
      <c r="B23429" s="8" t="str">
        <f>HYPERLINK("https://twitter.com/Lukaa_Lama","@Lukaa_Lama")</f>
        <v>@Lukaa_Lama</v>
      </c>
      <c r="C23429" s="8" t="s">
        <v>9511</v>
      </c>
      <c r="D23429" s="8">
        <v>0</v>
      </c>
      <c r="E23429" s="8">
        <v>0</v>
      </c>
      <c r="F23429" s="8">
        <v>72</v>
      </c>
    </row>
    <row r="23430" spans="1:6" ht="12.75">
      <c r="A23430" s="8">
        <v>43893.834537037037</v>
      </c>
      <c r="B23430" s="8" t="str">
        <f>HYPERLINK("https://twitter.com/nanatriaa","@nanatriaa")</f>
        <v>@nanatriaa</v>
      </c>
      <c r="C23430" s="8" t="s">
        <v>1427</v>
      </c>
      <c r="D23430" s="8">
        <v>967</v>
      </c>
      <c r="E23430" s="8">
        <v>0</v>
      </c>
      <c r="F23430" s="8">
        <v>535</v>
      </c>
    </row>
    <row r="23431" spans="1:6" ht="12.75">
      <c r="A23431" s="8">
        <v>43893.834432870368</v>
      </c>
      <c r="B23431" s="8" t="str">
        <f>HYPERLINK("https://twitter.com/RamadanAfdi","@RamadanAfdi")</f>
        <v>@RamadanAfdi</v>
      </c>
      <c r="C23431" s="8" t="s">
        <v>9512</v>
      </c>
      <c r="D23431" s="8">
        <v>7</v>
      </c>
      <c r="E23431" s="8">
        <v>0</v>
      </c>
      <c r="F23431" s="8">
        <v>5847</v>
      </c>
    </row>
    <row r="23432" spans="1:6" ht="12.75">
      <c r="A23432" s="8">
        <v>43893.834189814814</v>
      </c>
      <c r="B23432" s="8" t="str">
        <f>HYPERLINK("https://twitter.com/ndorosatriyo","@ndorosatriyo")</f>
        <v>@ndorosatriyo</v>
      </c>
      <c r="C23432" s="8" t="s">
        <v>9513</v>
      </c>
      <c r="D23432" s="8">
        <v>0</v>
      </c>
      <c r="E23432" s="8">
        <v>0</v>
      </c>
      <c r="F23432" s="8">
        <v>328</v>
      </c>
    </row>
    <row r="23433" spans="1:6" ht="12.75">
      <c r="A23433" s="8">
        <v>43893.834004629629</v>
      </c>
      <c r="B23433" s="8" t="str">
        <f>HYPERLINK("https://twitter.com/AChamplads","@AChamplads")</f>
        <v>@AChamplads</v>
      </c>
      <c r="C23433" s="8" t="s">
        <v>8970</v>
      </c>
      <c r="D23433" s="8">
        <v>99</v>
      </c>
      <c r="E23433" s="8">
        <v>0</v>
      </c>
      <c r="F23433" s="8">
        <v>42</v>
      </c>
    </row>
    <row r="23434" spans="1:6" ht="12.75">
      <c r="A23434" s="8">
        <v>43893.833807870367</v>
      </c>
      <c r="B23434" s="8" t="str">
        <f>HYPERLINK("https://twitter.com/bernie_supr","@bernie_supr")</f>
        <v>@bernie_supr</v>
      </c>
      <c r="C23434" s="8" t="s">
        <v>8281</v>
      </c>
      <c r="D23434" s="8">
        <v>51</v>
      </c>
      <c r="E23434" s="8">
        <v>0</v>
      </c>
      <c r="F23434" s="8">
        <v>106</v>
      </c>
    </row>
    <row r="23435" spans="1:6" ht="12.75">
      <c r="A23435" s="8">
        <v>43893.833773148144</v>
      </c>
      <c r="B23435" s="8" t="str">
        <f>HYPERLINK("https://twitter.com/mirzaucot66","@mirzaucot66")</f>
        <v>@mirzaucot66</v>
      </c>
      <c r="C23435" s="8" t="s">
        <v>9514</v>
      </c>
      <c r="D23435" s="8">
        <v>0</v>
      </c>
      <c r="E23435" s="8">
        <v>0</v>
      </c>
      <c r="F23435" s="8">
        <v>260</v>
      </c>
    </row>
    <row r="23436" spans="1:6" ht="12.75">
      <c r="A23436" s="8">
        <v>43893.833715277782</v>
      </c>
      <c r="B23436" s="8" t="str">
        <f>HYPERLINK("https://twitter.com/Feliciamryn","@Feliciamryn")</f>
        <v>@Feliciamryn</v>
      </c>
      <c r="C23436" s="8" t="s">
        <v>2199</v>
      </c>
      <c r="D23436" s="8">
        <v>9008</v>
      </c>
      <c r="E23436" s="8">
        <v>0</v>
      </c>
      <c r="F23436" s="8">
        <v>821</v>
      </c>
    </row>
    <row r="23437" spans="1:6" ht="12.75">
      <c r="A23437" s="8">
        <v>43893.833703703705</v>
      </c>
      <c r="B23437" s="8" t="str">
        <f>HYPERLINK("https://twitter.com/AkalSuper","@AkalSuper")</f>
        <v>@AkalSuper</v>
      </c>
      <c r="C23437" s="8" t="s">
        <v>8970</v>
      </c>
      <c r="D23437" s="8">
        <v>99</v>
      </c>
      <c r="E23437" s="8">
        <v>0</v>
      </c>
      <c r="F23437" s="8">
        <v>952</v>
      </c>
    </row>
    <row r="23438" spans="1:6" ht="12.75">
      <c r="A23438" s="8">
        <v>43893.833645833336</v>
      </c>
      <c r="B23438" s="8" t="str">
        <f>HYPERLINK("https://twitter.com/NWK_Empire","@NWK_Empire")</f>
        <v>@NWK_Empire</v>
      </c>
      <c r="C23438" s="8" t="s">
        <v>9515</v>
      </c>
      <c r="D23438" s="8">
        <v>0</v>
      </c>
      <c r="E23438" s="8">
        <v>1</v>
      </c>
      <c r="F23438" s="8">
        <v>5</v>
      </c>
    </row>
    <row r="23439" spans="1:6" ht="12.75">
      <c r="A23439" s="8">
        <v>43893.833611111113</v>
      </c>
      <c r="B23439" s="8" t="str">
        <f>HYPERLINK("https://twitter.com/AutoAdsJa","@AutoAdsJa")</f>
        <v>@AutoAdsJa</v>
      </c>
      <c r="C23439" s="8" t="s">
        <v>9516</v>
      </c>
      <c r="D23439" s="8">
        <v>0</v>
      </c>
      <c r="E23439" s="8">
        <v>0</v>
      </c>
      <c r="F23439" s="8">
        <v>541</v>
      </c>
    </row>
    <row r="23440" spans="1:6" ht="12.75">
      <c r="A23440" s="8">
        <v>43893.833587962959</v>
      </c>
      <c r="B23440" s="8" t="str">
        <f>HYPERLINK("https://twitter.com/bihatuko756","@bihatuko756")</f>
        <v>@bihatuko756</v>
      </c>
      <c r="C23440" s="8" t="s">
        <v>8738</v>
      </c>
      <c r="D23440" s="8">
        <v>4</v>
      </c>
      <c r="E23440" s="8">
        <v>0</v>
      </c>
      <c r="F23440" s="8">
        <v>23</v>
      </c>
    </row>
    <row r="23441" spans="1:6" ht="12.75">
      <c r="A23441" s="8">
        <v>43893.833506944444</v>
      </c>
      <c r="B23441" s="8" t="str">
        <f>HYPERLINK("https://twitter.com/Engkan20","@Engkan20")</f>
        <v>@Engkan20</v>
      </c>
      <c r="C23441" s="8" t="s">
        <v>1970</v>
      </c>
      <c r="D23441" s="8">
        <v>1204</v>
      </c>
      <c r="E23441" s="8">
        <v>0</v>
      </c>
      <c r="F23441" s="8">
        <v>34</v>
      </c>
    </row>
    <row r="23442" spans="1:6" ht="12.75">
      <c r="A23442" s="8">
        <v>43893.833356481482</v>
      </c>
      <c r="B23442" s="8" t="str">
        <f>HYPERLINK("https://twitter.com/Sagemuly","@Sagemuly")</f>
        <v>@Sagemuly</v>
      </c>
      <c r="C23442" s="8" t="s">
        <v>1427</v>
      </c>
      <c r="D23442" s="8">
        <v>967</v>
      </c>
      <c r="E23442" s="8">
        <v>0</v>
      </c>
      <c r="F23442" s="8">
        <v>91</v>
      </c>
    </row>
    <row r="23443" spans="1:6" ht="12.75">
      <c r="A23443" s="8">
        <v>43893.833333333328</v>
      </c>
      <c r="B23443" s="8" t="str">
        <f>HYPERLINK("https://twitter.com/juntabuwana","@juntabuwana")</f>
        <v>@juntabuwana</v>
      </c>
      <c r="C23443" s="8" t="s">
        <v>1970</v>
      </c>
      <c r="D23443" s="8">
        <v>1204</v>
      </c>
      <c r="E23443" s="8">
        <v>0</v>
      </c>
      <c r="F23443" s="8">
        <v>253</v>
      </c>
    </row>
    <row r="23444" spans="1:6" ht="12.75">
      <c r="A23444" s="8">
        <v>43893.833113425921</v>
      </c>
      <c r="B23444" s="8" t="str">
        <f>HYPERLINK("https://twitter.com/GanggaKolle","@GanggaKolle")</f>
        <v>@GanggaKolle</v>
      </c>
      <c r="C23444" s="8" t="s">
        <v>8868</v>
      </c>
      <c r="D23444" s="8">
        <v>98</v>
      </c>
      <c r="E23444" s="8">
        <v>0</v>
      </c>
      <c r="F23444" s="8">
        <v>2</v>
      </c>
    </row>
    <row r="23445" spans="1:6" ht="12.75">
      <c r="A23445" s="8">
        <v>43893.833078703705</v>
      </c>
      <c r="B23445" s="8" t="str">
        <f>HYPERLINK("https://twitter.com/elHurryKoRn","@elHurryKoRn")</f>
        <v>@elHurryKoRn</v>
      </c>
      <c r="C23445" s="8" t="s">
        <v>9517</v>
      </c>
      <c r="D23445" s="8">
        <v>1</v>
      </c>
      <c r="E23445" s="8">
        <v>0</v>
      </c>
      <c r="F23445" s="8">
        <v>19476</v>
      </c>
    </row>
    <row r="23446" spans="1:6" ht="12.75">
      <c r="A23446" s="8">
        <v>43893.832800925928</v>
      </c>
      <c r="B23446" s="8" t="str">
        <f>HYPERLINK("https://twitter.com/wahyuOBEN","@wahyuOBEN")</f>
        <v>@wahyuOBEN</v>
      </c>
      <c r="C23446" s="8" t="s">
        <v>9498</v>
      </c>
      <c r="D23446" s="8">
        <v>3</v>
      </c>
      <c r="E23446" s="8">
        <v>0</v>
      </c>
      <c r="F23446" s="8">
        <v>114</v>
      </c>
    </row>
    <row r="23447" spans="1:6" ht="12.75">
      <c r="A23447" s="8">
        <v>43893.832743055551</v>
      </c>
      <c r="B23447" s="8" t="str">
        <f>HYPERLINK("https://twitter.com/ayoyogyacom","@ayoyogyacom")</f>
        <v>@ayoyogyacom</v>
      </c>
      <c r="C23447" s="8" t="s">
        <v>9518</v>
      </c>
      <c r="D23447" s="8">
        <v>0</v>
      </c>
      <c r="E23447" s="8">
        <v>0</v>
      </c>
      <c r="F23447" s="8">
        <v>31</v>
      </c>
    </row>
    <row r="23448" spans="1:6" ht="12.75">
      <c r="A23448" s="8">
        <v>43893.832673611112</v>
      </c>
      <c r="B23448" s="8" t="str">
        <f>HYPERLINK("https://twitter.com/eko_alaya","@eko_alaya")</f>
        <v>@eko_alaya</v>
      </c>
      <c r="C23448" s="8" t="s">
        <v>6315</v>
      </c>
      <c r="D23448" s="8">
        <v>86</v>
      </c>
      <c r="E23448" s="8">
        <v>0</v>
      </c>
      <c r="F23448" s="8">
        <v>814</v>
      </c>
    </row>
    <row r="23449" spans="1:6" ht="12.75">
      <c r="A23449" s="8">
        <v>43893.832592592589</v>
      </c>
      <c r="B23449" s="8" t="str">
        <f>HYPERLINK("https://twitter.com/sitertari","@sitertari")</f>
        <v>@sitertari</v>
      </c>
      <c r="C23449" s="8" t="s">
        <v>1145</v>
      </c>
      <c r="D23449" s="8">
        <v>519</v>
      </c>
      <c r="E23449" s="8">
        <v>0</v>
      </c>
      <c r="F23449" s="8">
        <v>0</v>
      </c>
    </row>
    <row r="23450" spans="1:6" ht="12.75">
      <c r="A23450" s="8">
        <v>43893.83258101852</v>
      </c>
      <c r="B23450" s="8" t="str">
        <f>HYPERLINK("https://twitter.com/OmHeri17","@OmHeri17")</f>
        <v>@OmHeri17</v>
      </c>
      <c r="C23450" s="8" t="s">
        <v>9519</v>
      </c>
      <c r="D23450" s="8">
        <v>0</v>
      </c>
      <c r="E23450" s="8">
        <v>0</v>
      </c>
      <c r="F23450" s="8">
        <v>20</v>
      </c>
    </row>
    <row r="23451" spans="1:6" ht="12.75">
      <c r="A23451" s="8">
        <v>43893.832569444443</v>
      </c>
      <c r="B23451" s="8" t="str">
        <f>HYPERLINK("https://twitter.com/alfado_sama","@alfado_sama")</f>
        <v>@alfado_sama</v>
      </c>
      <c r="C23451" s="8" t="s">
        <v>1986</v>
      </c>
      <c r="D23451" s="8">
        <v>829</v>
      </c>
      <c r="E23451" s="8">
        <v>0</v>
      </c>
      <c r="F23451" s="8">
        <v>76</v>
      </c>
    </row>
    <row r="23452" spans="1:6" ht="12.75">
      <c r="A23452" s="8">
        <v>43893.832557870366</v>
      </c>
      <c r="B23452" s="8" t="str">
        <f>HYPERLINK("https://twitter.com/borneonetvcom","@borneonetvcom")</f>
        <v>@borneonetvcom</v>
      </c>
      <c r="C23452" s="8" t="s">
        <v>9267</v>
      </c>
      <c r="D23452" s="8">
        <v>0</v>
      </c>
      <c r="E23452" s="8">
        <v>0</v>
      </c>
      <c r="F23452" s="8">
        <v>96</v>
      </c>
    </row>
    <row r="23453" spans="1:6" ht="12.75">
      <c r="A23453" s="8">
        <v>43893.832546296297</v>
      </c>
      <c r="B23453" s="8" t="str">
        <f>HYPERLINK("https://twitter.com/bitxt","@bitxt")</f>
        <v>@bitxt</v>
      </c>
      <c r="C23453" s="8" t="s">
        <v>9520</v>
      </c>
      <c r="D23453" s="8">
        <v>0</v>
      </c>
      <c r="E23453" s="8">
        <v>0</v>
      </c>
      <c r="F23453" s="8">
        <v>57552</v>
      </c>
    </row>
    <row r="23454" spans="1:6" ht="12.75">
      <c r="A23454" s="8">
        <v>43893.832384259258</v>
      </c>
      <c r="B23454" s="8" t="str">
        <f>HYPERLINK("https://twitter.com/Guardian1004_","@Guardian1004_")</f>
        <v>@Guardian1004_</v>
      </c>
      <c r="C23454" s="8" t="s">
        <v>2199</v>
      </c>
      <c r="D23454" s="8">
        <v>9008</v>
      </c>
      <c r="E23454" s="8">
        <v>0</v>
      </c>
      <c r="F23454" s="8">
        <v>978</v>
      </c>
    </row>
    <row r="23455" spans="1:6" ht="12.75">
      <c r="A23455" s="8">
        <v>43893.832349537042</v>
      </c>
      <c r="B23455" s="8" t="str">
        <f>HYPERLINK("https://twitter.com/heyizaah","@heyizaah")</f>
        <v>@heyizaah</v>
      </c>
      <c r="C23455" s="8" t="s">
        <v>6864</v>
      </c>
      <c r="D23455" s="8">
        <v>256</v>
      </c>
      <c r="E23455" s="8">
        <v>0</v>
      </c>
      <c r="F23455" s="8">
        <v>9</v>
      </c>
    </row>
    <row r="23456" spans="1:6" ht="12.75">
      <c r="A23456" s="8">
        <v>43893.832256944443</v>
      </c>
      <c r="B23456" s="8" t="str">
        <f>HYPERLINK("https://twitter.com/muslich_chas","@muslich_chas")</f>
        <v>@muslich_chas</v>
      </c>
      <c r="C23456" s="8" t="s">
        <v>8843</v>
      </c>
      <c r="D23456" s="8">
        <v>76</v>
      </c>
      <c r="E23456" s="8">
        <v>0</v>
      </c>
      <c r="F23456" s="8">
        <v>203</v>
      </c>
    </row>
    <row r="23457" spans="1:6" ht="12.75">
      <c r="A23457" s="8">
        <v>43893.83222222222</v>
      </c>
      <c r="B23457" s="8" t="str">
        <f>HYPERLINK("https://twitter.com/JFateh_K","@JFateh_K")</f>
        <v>@JFateh_K</v>
      </c>
      <c r="C23457" s="8" t="s">
        <v>9521</v>
      </c>
      <c r="D23457" s="8">
        <v>0</v>
      </c>
      <c r="E23457" s="8">
        <v>1</v>
      </c>
      <c r="F23457" s="8">
        <v>1350</v>
      </c>
    </row>
    <row r="23458" spans="1:6" ht="12.75">
      <c r="A23458" s="8">
        <v>43893.832141203704</v>
      </c>
      <c r="B23458" s="8" t="str">
        <f>HYPERLINK("https://twitter.com/fadhlisofyan","@fadhlisofyan")</f>
        <v>@fadhlisofyan</v>
      </c>
      <c r="C23458" s="8" t="s">
        <v>9522</v>
      </c>
      <c r="D23458" s="8">
        <v>2</v>
      </c>
      <c r="E23458" s="8">
        <v>0</v>
      </c>
      <c r="F23458" s="8">
        <v>938</v>
      </c>
    </row>
    <row r="23459" spans="1:6" ht="12.75">
      <c r="A23459" s="8">
        <v>43893.83194444445</v>
      </c>
      <c r="B23459" s="8" t="str">
        <f>HYPERLINK("https://twitter.com/kangkolak_oh","@kangkolak_oh")</f>
        <v>@kangkolak_oh</v>
      </c>
      <c r="C23459" s="8" t="s">
        <v>9523</v>
      </c>
      <c r="D23459" s="8">
        <v>0</v>
      </c>
      <c r="E23459" s="8">
        <v>0</v>
      </c>
      <c r="F23459" s="8">
        <v>610</v>
      </c>
    </row>
    <row r="23460" spans="1:6" ht="12.75">
      <c r="A23460" s="8">
        <v>43893.831805555557</v>
      </c>
      <c r="B23460" s="8" t="str">
        <f>HYPERLINK("https://twitter.com/nefoernando26","@nefoernando26")</f>
        <v>@nefoernando26</v>
      </c>
      <c r="C23460" s="8" t="s">
        <v>9524</v>
      </c>
      <c r="D23460" s="8">
        <v>0</v>
      </c>
      <c r="E23460" s="8">
        <v>0</v>
      </c>
      <c r="F23460" s="8">
        <v>243</v>
      </c>
    </row>
    <row r="23461" spans="1:6" ht="12.75">
      <c r="A23461" s="8">
        <v>43893.831585648149</v>
      </c>
      <c r="B23461" s="8" t="str">
        <f>HYPERLINK("https://twitter.com/R036__r","@R036__r")</f>
        <v>@R036__r</v>
      </c>
      <c r="C23461" s="8" t="s">
        <v>9150</v>
      </c>
      <c r="D23461" s="8">
        <v>3</v>
      </c>
      <c r="E23461" s="8">
        <v>0</v>
      </c>
      <c r="F23461" s="8">
        <v>4606</v>
      </c>
    </row>
    <row r="23462" spans="1:6" ht="12.75">
      <c r="A23462" s="8">
        <v>43893.831319444449</v>
      </c>
      <c r="B23462" s="8" t="str">
        <f>HYPERLINK("https://twitter.com/erlanggadony_","@erlanggadony_")</f>
        <v>@erlanggadony_</v>
      </c>
      <c r="C23462" s="8" t="s">
        <v>2199</v>
      </c>
      <c r="D23462" s="8">
        <v>9008</v>
      </c>
      <c r="E23462" s="8">
        <v>0</v>
      </c>
      <c r="F23462" s="8">
        <v>638</v>
      </c>
    </row>
    <row r="23463" spans="1:6" ht="12.75">
      <c r="A23463" s="8">
        <v>43893.831273148149</v>
      </c>
      <c r="B23463" s="8" t="str">
        <f>HYPERLINK("https://twitter.com/septianhokiart1","@septianhokiart1")</f>
        <v>@septianhokiart1</v>
      </c>
      <c r="C23463" s="8" t="s">
        <v>9525</v>
      </c>
      <c r="D23463" s="8">
        <v>0</v>
      </c>
      <c r="E23463" s="8">
        <v>0</v>
      </c>
      <c r="F23463" s="8">
        <v>1</v>
      </c>
    </row>
    <row r="23464" spans="1:6" ht="12.75">
      <c r="A23464" s="8">
        <v>43893.831261574072</v>
      </c>
      <c r="B23464" s="8" t="str">
        <f>HYPERLINK("https://twitter.com/kopral_jon00","@kopral_jon00")</f>
        <v>@kopral_jon00</v>
      </c>
      <c r="C23464" s="8" t="s">
        <v>6827</v>
      </c>
      <c r="D23464" s="8">
        <v>26</v>
      </c>
      <c r="E23464" s="8">
        <v>0</v>
      </c>
      <c r="F23464" s="8">
        <v>818</v>
      </c>
    </row>
    <row r="23465" spans="1:6" ht="12.75">
      <c r="A23465" s="8">
        <v>43893.831157407403</v>
      </c>
      <c r="B23465" s="8" t="str">
        <f>HYPERLINK("https://twitter.com/Tandaseru_id","@Tandaseru_id")</f>
        <v>@Tandaseru_id</v>
      </c>
      <c r="C23465" s="8" t="s">
        <v>8043</v>
      </c>
      <c r="D23465" s="8">
        <v>0</v>
      </c>
      <c r="E23465" s="8">
        <v>0</v>
      </c>
      <c r="F23465" s="8">
        <v>535</v>
      </c>
    </row>
    <row r="23466" spans="1:6" ht="12.75">
      <c r="A23466" s="8">
        <v>43893.83112268518</v>
      </c>
      <c r="B23466" s="8" t="str">
        <f>HYPERLINK("https://twitter.com/_keroropi","@_keroropi")</f>
        <v>@_keroropi</v>
      </c>
      <c r="C23466" s="8" t="s">
        <v>8738</v>
      </c>
      <c r="D23466" s="8">
        <v>4</v>
      </c>
      <c r="E23466" s="8">
        <v>0</v>
      </c>
      <c r="F23466" s="8">
        <v>619</v>
      </c>
    </row>
    <row r="23467" spans="1:6" ht="12.75">
      <c r="A23467" s="8">
        <v>43893.830995370372</v>
      </c>
      <c r="B23467" s="8" t="str">
        <f>HYPERLINK("https://twitter.com/CalonPejabattt","@CalonPejabattt")</f>
        <v>@CalonPejabattt</v>
      </c>
      <c r="C23467" s="8" t="s">
        <v>2199</v>
      </c>
      <c r="D23467" s="8">
        <v>9008</v>
      </c>
      <c r="E23467" s="8">
        <v>0</v>
      </c>
      <c r="F23467" s="8">
        <v>36</v>
      </c>
    </row>
    <row r="23468" spans="1:6" ht="12.75">
      <c r="A23468" s="8">
        <v>43893.830775462964</v>
      </c>
      <c r="B23468" s="8" t="str">
        <f>HYPERLINK("https://twitter.com/FitriyaniRipka","@FitriyaniRipka")</f>
        <v>@FitriyaniRipka</v>
      </c>
      <c r="C23468" s="8" t="s">
        <v>9343</v>
      </c>
      <c r="D23468" s="8">
        <v>23</v>
      </c>
      <c r="E23468" s="8">
        <v>0</v>
      </c>
      <c r="F23468" s="8">
        <v>40</v>
      </c>
    </row>
    <row r="23469" spans="1:6" ht="12.75">
      <c r="A23469" s="8">
        <v>43893.830682870372</v>
      </c>
      <c r="B23469" s="8" t="str">
        <f>HYPERLINK("https://twitter.com/Rizky8421","@Rizky8421")</f>
        <v>@Rizky8421</v>
      </c>
      <c r="C23469" s="8" t="s">
        <v>9526</v>
      </c>
      <c r="D23469" s="8">
        <v>10</v>
      </c>
      <c r="E23469" s="8">
        <v>0</v>
      </c>
      <c r="F23469" s="8">
        <v>48</v>
      </c>
    </row>
    <row r="23470" spans="1:6" ht="12.75">
      <c r="A23470" s="8">
        <v>43893.830578703702</v>
      </c>
      <c r="B23470" s="8" t="str">
        <f>HYPERLINK("https://twitter.com/RMOLJatim","@RMOLJatim")</f>
        <v>@RMOLJatim</v>
      </c>
      <c r="C23470" s="8" t="s">
        <v>9527</v>
      </c>
      <c r="D23470" s="8">
        <v>0</v>
      </c>
      <c r="E23470" s="8">
        <v>0</v>
      </c>
      <c r="F23470" s="8">
        <v>147</v>
      </c>
    </row>
    <row r="23471" spans="1:6" ht="12.75">
      <c r="A23471" s="8">
        <v>43893.830497685187</v>
      </c>
      <c r="B23471" s="8" t="str">
        <f>HYPERLINK("https://twitter.com/Abii200","@Abii200")</f>
        <v>@Abii200</v>
      </c>
      <c r="C23471" s="8" t="s">
        <v>9528</v>
      </c>
      <c r="D23471" s="8">
        <v>63</v>
      </c>
      <c r="E23471" s="8">
        <v>0</v>
      </c>
      <c r="F23471" s="8">
        <v>110</v>
      </c>
    </row>
    <row r="23472" spans="1:6" ht="12.75">
      <c r="A23472" s="8">
        <v>43893.830335648148</v>
      </c>
      <c r="B23472" s="8" t="str">
        <f>HYPERLINK("https://twitter.com/Ruukufk","@Ruukufk")</f>
        <v>@Ruukufk</v>
      </c>
      <c r="C23472" s="8" t="s">
        <v>9529</v>
      </c>
      <c r="D23472" s="8">
        <v>0</v>
      </c>
      <c r="E23472" s="8">
        <v>0</v>
      </c>
      <c r="F23472" s="8">
        <v>4</v>
      </c>
    </row>
    <row r="23473" spans="1:6" ht="12.75">
      <c r="A23473" s="8">
        <v>43893.830289351856</v>
      </c>
      <c r="B23473" s="8" t="str">
        <f>HYPERLINK("https://twitter.com/ChusnulCh__","@ChusnulCh__")</f>
        <v>@ChusnulCh__</v>
      </c>
      <c r="C23473" s="8" t="s">
        <v>9150</v>
      </c>
      <c r="D23473" s="8">
        <v>3</v>
      </c>
      <c r="E23473" s="8">
        <v>0</v>
      </c>
      <c r="F23473" s="8">
        <v>65219</v>
      </c>
    </row>
    <row r="23474" spans="1:6" ht="12.75">
      <c r="A23474" s="8">
        <v>43893.830266203702</v>
      </c>
      <c r="B23474" s="8" t="str">
        <f>HYPERLINK("https://twitter.com/hermosabqari","@hermosabqari")</f>
        <v>@hermosabqari</v>
      </c>
      <c r="C23474" s="8" t="s">
        <v>2962</v>
      </c>
      <c r="D23474" s="8">
        <v>5599</v>
      </c>
      <c r="E23474" s="8">
        <v>0</v>
      </c>
      <c r="F23474" s="8">
        <v>749</v>
      </c>
    </row>
    <row r="23475" spans="1:6" ht="12.75">
      <c r="A23475" s="8">
        <v>43893.83017361111</v>
      </c>
      <c r="B23475" s="8" t="str">
        <f>HYPERLINK("https://twitter.com/yesyoulove","@yesyoulove")</f>
        <v>@yesyoulove</v>
      </c>
      <c r="C23475" s="8" t="s">
        <v>9530</v>
      </c>
      <c r="D23475" s="8">
        <v>0</v>
      </c>
      <c r="E23475" s="8">
        <v>0</v>
      </c>
      <c r="F23475" s="8">
        <v>513</v>
      </c>
    </row>
    <row r="23476" spans="1:6" ht="12.75">
      <c r="A23476" s="8">
        <v>43893.830162037033</v>
      </c>
      <c r="B23476" s="8" t="str">
        <f>HYPERLINK("https://twitter.com/qisyarynzha","@qisyarynzha")</f>
        <v>@qisyarynzha</v>
      </c>
      <c r="C23476" s="8" t="s">
        <v>8868</v>
      </c>
      <c r="D23476" s="8">
        <v>98</v>
      </c>
      <c r="E23476" s="8">
        <v>0</v>
      </c>
      <c r="F23476" s="8">
        <v>913</v>
      </c>
    </row>
    <row r="23477" spans="1:6" ht="12.75">
      <c r="A23477" s="8">
        <v>43893.83012731481</v>
      </c>
      <c r="B23477" s="8" t="str">
        <f>HYPERLINK("https://twitter.com/Hadian27Hadian","@Hadian27Hadian")</f>
        <v>@Hadian27Hadian</v>
      </c>
      <c r="C23477" s="8" t="s">
        <v>1970</v>
      </c>
      <c r="D23477" s="8">
        <v>1204</v>
      </c>
      <c r="E23477" s="8">
        <v>0</v>
      </c>
      <c r="F23477" s="8">
        <v>2</v>
      </c>
    </row>
    <row r="23478" spans="1:6" ht="12.75">
      <c r="A23478" s="8">
        <v>43893.830023148148</v>
      </c>
      <c r="B23478" s="8" t="str">
        <f>HYPERLINK("https://twitter.com/weng_Akatsuki","@weng_Akatsuki")</f>
        <v>@weng_Akatsuki</v>
      </c>
      <c r="C23478" s="8" t="s">
        <v>9531</v>
      </c>
      <c r="D23478" s="8">
        <v>0</v>
      </c>
      <c r="E23478" s="8">
        <v>0</v>
      </c>
      <c r="F23478" s="8">
        <v>139</v>
      </c>
    </row>
    <row r="23479" spans="1:6" ht="12.75">
      <c r="A23479" s="8">
        <v>43893.829976851848</v>
      </c>
      <c r="B23479" s="8" t="str">
        <f>HYPERLINK("https://twitter.com/DatuakAtuk","@DatuakAtuk")</f>
        <v>@DatuakAtuk</v>
      </c>
      <c r="C23479" s="8" t="s">
        <v>9532</v>
      </c>
      <c r="D23479" s="8">
        <v>3</v>
      </c>
      <c r="E23479" s="8">
        <v>7</v>
      </c>
      <c r="F23479" s="8">
        <v>719</v>
      </c>
    </row>
    <row r="23480" spans="1:6" ht="12.75">
      <c r="A23480" s="8">
        <v>43893.798356481479</v>
      </c>
      <c r="B23480" s="8" t="str">
        <f>HYPERLINK("https://twitter.com/MVVZ3","@MVVZ3")</f>
        <v>@MVVZ3</v>
      </c>
      <c r="C23480" s="8" t="s">
        <v>5732</v>
      </c>
      <c r="D23480" s="8">
        <v>2169</v>
      </c>
      <c r="E23480" s="8">
        <v>0</v>
      </c>
      <c r="F23480" s="8">
        <v>1064</v>
      </c>
    </row>
    <row r="23481" spans="1:6" ht="12.75">
      <c r="A23481" s="8">
        <v>43893.798321759255</v>
      </c>
      <c r="B23481" s="8" t="str">
        <f>HYPERLINK("https://twitter.com/KakekHalal","@KakekHalal")</f>
        <v>@KakekHalal</v>
      </c>
      <c r="C23481" s="8" t="s">
        <v>9533</v>
      </c>
      <c r="D23481" s="8">
        <v>1</v>
      </c>
      <c r="E23481" s="8">
        <v>0</v>
      </c>
      <c r="F23481" s="8">
        <v>23158</v>
      </c>
    </row>
    <row r="23482" spans="1:6" ht="12.75">
      <c r="A23482" s="8">
        <v>43893.798217592594</v>
      </c>
      <c r="B23482" s="8" t="str">
        <f>HYPERLINK("https://twitter.com/AGUNG_AGAA","@AGUNG_AGAA")</f>
        <v>@AGUNG_AGAA</v>
      </c>
      <c r="C23482" s="8" t="s">
        <v>8281</v>
      </c>
      <c r="D23482" s="8">
        <v>45</v>
      </c>
      <c r="E23482" s="8">
        <v>0</v>
      </c>
      <c r="F23482" s="8">
        <v>3323</v>
      </c>
    </row>
    <row r="23483" spans="1:6" ht="12.75">
      <c r="A23483" s="8">
        <v>43893.798217592594</v>
      </c>
      <c r="B23483" s="8" t="str">
        <f>HYPERLINK("https://twitter.com/tcwyyy","@tcwyyy")</f>
        <v>@tcwyyy</v>
      </c>
      <c r="C23483" s="8" t="s">
        <v>2962</v>
      </c>
      <c r="D23483" s="8">
        <v>5575</v>
      </c>
      <c r="E23483" s="8">
        <v>0</v>
      </c>
      <c r="F23483" s="8">
        <v>145</v>
      </c>
    </row>
    <row r="23484" spans="1:6" ht="12.75">
      <c r="A23484" s="8">
        <v>43893.798125000001</v>
      </c>
      <c r="B23484" s="8" t="str">
        <f>HYPERLINK("https://twitter.com/EmkaUzumaki","@EmkaUzumaki")</f>
        <v>@EmkaUzumaki</v>
      </c>
      <c r="C23484" s="8" t="s">
        <v>8843</v>
      </c>
      <c r="D23484" s="8">
        <v>69</v>
      </c>
      <c r="E23484" s="8">
        <v>0</v>
      </c>
      <c r="F23484" s="8">
        <v>5</v>
      </c>
    </row>
    <row r="23485" spans="1:6" ht="12.75">
      <c r="A23485" s="8">
        <v>43893.798055555555</v>
      </c>
      <c r="B23485" s="8" t="str">
        <f>HYPERLINK("https://twitter.com/sabilla_shaffa","@sabilla_shaffa")</f>
        <v>@sabilla_shaffa</v>
      </c>
      <c r="C23485" s="8" t="s">
        <v>9534</v>
      </c>
      <c r="D23485" s="8">
        <v>0</v>
      </c>
      <c r="E23485" s="8">
        <v>0</v>
      </c>
      <c r="F23485" s="8">
        <v>1703</v>
      </c>
    </row>
    <row r="23486" spans="1:6" ht="12.75">
      <c r="A23486" s="8">
        <v>43893.797997685186</v>
      </c>
      <c r="B23486" s="8" t="str">
        <f>HYPERLINK("https://twitter.com/shiazalia","@shiazalia")</f>
        <v>@shiazalia</v>
      </c>
      <c r="C23486" s="8" t="s">
        <v>9117</v>
      </c>
      <c r="D23486" s="8">
        <v>398</v>
      </c>
      <c r="E23486" s="8">
        <v>0</v>
      </c>
      <c r="F23486" s="8">
        <v>480</v>
      </c>
    </row>
    <row r="23487" spans="1:6" ht="12.75">
      <c r="A23487" s="8">
        <v>43893.797962962963</v>
      </c>
      <c r="B23487" s="8" t="str">
        <f>HYPERLINK("https://twitter.com/SatrioZidni","@SatrioZidni")</f>
        <v>@SatrioZidni</v>
      </c>
      <c r="C23487" s="8" t="s">
        <v>7597</v>
      </c>
      <c r="D23487" s="8">
        <v>702</v>
      </c>
      <c r="E23487" s="8">
        <v>0</v>
      </c>
      <c r="F23487" s="8">
        <v>238</v>
      </c>
    </row>
    <row r="23488" spans="1:6" ht="12.75">
      <c r="A23488" s="8">
        <v>43893.79787037037</v>
      </c>
      <c r="B23488" s="8" t="str">
        <f>HYPERLINK("https://twitter.com/CeriaSinom","@CeriaSinom")</f>
        <v>@CeriaSinom</v>
      </c>
      <c r="C23488" s="8" t="s">
        <v>9512</v>
      </c>
      <c r="D23488" s="8">
        <v>6</v>
      </c>
      <c r="E23488" s="8">
        <v>0</v>
      </c>
      <c r="F23488" s="8">
        <v>152</v>
      </c>
    </row>
    <row r="23489" spans="1:6" ht="12.75">
      <c r="A23489" s="8">
        <v>43893.797835648147</v>
      </c>
      <c r="B23489" s="8" t="str">
        <f>HYPERLINK("https://twitter.com/aranditio","@aranditio")</f>
        <v>@aranditio</v>
      </c>
      <c r="C23489" s="8" t="s">
        <v>9535</v>
      </c>
      <c r="D23489" s="8">
        <v>13</v>
      </c>
      <c r="E23489" s="8">
        <v>0</v>
      </c>
      <c r="F23489" s="8">
        <v>358</v>
      </c>
    </row>
    <row r="23490" spans="1:6" ht="12.75">
      <c r="A23490" s="8">
        <v>43893.797835648147</v>
      </c>
      <c r="B23490" s="8" t="str">
        <f>HYPERLINK("https://twitter.com/tuqul","@tuqul")</f>
        <v>@tuqul</v>
      </c>
      <c r="C23490" s="8" t="s">
        <v>9536</v>
      </c>
      <c r="D23490" s="8">
        <v>2</v>
      </c>
      <c r="E23490" s="8">
        <v>0</v>
      </c>
      <c r="F23490" s="8">
        <v>268</v>
      </c>
    </row>
    <row r="23491" spans="1:6" ht="12.75">
      <c r="A23491" s="8">
        <v>43893.797418981485</v>
      </c>
      <c r="B23491" s="8" t="str">
        <f>HYPERLINK("https://twitter.com/fvckilham","@fvckilham")</f>
        <v>@fvckilham</v>
      </c>
      <c r="C23491" s="8" t="s">
        <v>1145</v>
      </c>
      <c r="D23491" s="8">
        <v>517</v>
      </c>
      <c r="E23491" s="8">
        <v>0</v>
      </c>
      <c r="F23491" s="8">
        <v>302</v>
      </c>
    </row>
    <row r="23492" spans="1:6" ht="12.75">
      <c r="A23492" s="8">
        <v>43893.797152777777</v>
      </c>
      <c r="B23492" s="8" t="str">
        <f>HYPERLINK("https://twitter.com/rachmapratiwii","@rachmapratiwii")</f>
        <v>@rachmapratiwii</v>
      </c>
      <c r="C23492" s="8" t="s">
        <v>6864</v>
      </c>
      <c r="D23492" s="8">
        <v>251</v>
      </c>
      <c r="E23492" s="8">
        <v>0</v>
      </c>
      <c r="F23492" s="8">
        <v>658</v>
      </c>
    </row>
    <row r="23493" spans="1:6" ht="12.75">
      <c r="A23493" s="8">
        <v>43893.797025462962</v>
      </c>
      <c r="B23493" s="8" t="str">
        <f>HYPERLINK("https://twitter.com/MuhidinTeudumuk","@MuhidinTeudumuk")</f>
        <v>@MuhidinTeudumuk</v>
      </c>
      <c r="C23493" s="8" t="s">
        <v>9146</v>
      </c>
      <c r="D23493" s="8">
        <v>54</v>
      </c>
      <c r="E23493" s="8">
        <v>0</v>
      </c>
      <c r="F23493" s="8">
        <v>142</v>
      </c>
    </row>
    <row r="23494" spans="1:6" ht="12.75">
      <c r="A23494" s="8">
        <v>43893.796793981484</v>
      </c>
      <c r="B23494" s="8" t="str">
        <f>HYPERLINK("https://twitter.com/PramudyaYudha","@PramudyaYudha")</f>
        <v>@PramudyaYudha</v>
      </c>
      <c r="C23494" s="8" t="s">
        <v>7597</v>
      </c>
      <c r="D23494" s="8">
        <v>702</v>
      </c>
      <c r="E23494" s="8">
        <v>0</v>
      </c>
      <c r="F23494" s="8">
        <v>171</v>
      </c>
    </row>
    <row r="23495" spans="1:6" ht="12.75">
      <c r="A23495" s="8">
        <v>43893.796724537038</v>
      </c>
      <c r="B23495" s="8" t="str">
        <f>HYPERLINK("https://twitter.com/denitaputrih","@denitaputrih")</f>
        <v>@denitaputrih</v>
      </c>
      <c r="C23495" s="8" t="s">
        <v>9537</v>
      </c>
      <c r="D23495" s="8">
        <v>0</v>
      </c>
      <c r="E23495" s="8">
        <v>0</v>
      </c>
      <c r="F23495" s="8">
        <v>25</v>
      </c>
    </row>
    <row r="23496" spans="1:6" ht="12.75">
      <c r="A23496" s="8">
        <v>43893.796724537038</v>
      </c>
      <c r="B23496" s="8" t="str">
        <f>HYPERLINK("https://twitter.com/Febri47370885","@Febri47370885")</f>
        <v>@Febri47370885</v>
      </c>
      <c r="C23496" s="8" t="s">
        <v>8843</v>
      </c>
      <c r="D23496" s="8">
        <v>69</v>
      </c>
      <c r="E23496" s="8">
        <v>0</v>
      </c>
      <c r="F23496" s="8">
        <v>6</v>
      </c>
    </row>
    <row r="23497" spans="1:6" ht="12.75">
      <c r="A23497" s="8">
        <v>43893.796712962961</v>
      </c>
      <c r="B23497" s="8" t="str">
        <f>HYPERLINK("https://twitter.com/dayuindiraa","@dayuindiraa")</f>
        <v>@dayuindiraa</v>
      </c>
      <c r="C23497" s="8" t="s">
        <v>9538</v>
      </c>
      <c r="D23497" s="8">
        <v>1</v>
      </c>
      <c r="E23497" s="8">
        <v>0</v>
      </c>
      <c r="F23497" s="8">
        <v>147</v>
      </c>
    </row>
    <row r="23498" spans="1:6" ht="12.75">
      <c r="A23498" s="8">
        <v>43893.796666666662</v>
      </c>
      <c r="B23498" s="8" t="str">
        <f>HYPERLINK("https://twitter.com/purirohermawan","@purirohermawan")</f>
        <v>@purirohermawan</v>
      </c>
      <c r="C23498" s="8" t="s">
        <v>9539</v>
      </c>
      <c r="D23498" s="8">
        <v>2</v>
      </c>
      <c r="E23498" s="8">
        <v>0</v>
      </c>
      <c r="F23498" s="8">
        <v>229</v>
      </c>
    </row>
    <row r="23499" spans="1:6" ht="12.75">
      <c r="A23499" s="8">
        <v>43893.796655092592</v>
      </c>
      <c r="B23499" s="8" t="str">
        <f>HYPERLINK("https://twitter.com/dayuindiraa","@dayuindiraa")</f>
        <v>@dayuindiraa</v>
      </c>
      <c r="C23499" s="8" t="s">
        <v>9540</v>
      </c>
      <c r="D23499" s="8">
        <v>1</v>
      </c>
      <c r="E23499" s="8">
        <v>0</v>
      </c>
      <c r="F23499" s="8">
        <v>147</v>
      </c>
    </row>
    <row r="23500" spans="1:6" ht="12.75">
      <c r="A23500" s="8">
        <v>43893.796631944446</v>
      </c>
      <c r="B23500" s="8" t="str">
        <f>HYPERLINK("https://twitter.com/rulung62","@rulung62")</f>
        <v>@rulung62</v>
      </c>
      <c r="C23500" s="8" t="s">
        <v>685</v>
      </c>
      <c r="D23500" s="8">
        <v>121</v>
      </c>
      <c r="E23500" s="8">
        <v>0</v>
      </c>
      <c r="F23500" s="8">
        <v>36</v>
      </c>
    </row>
    <row r="23501" spans="1:6" ht="12.75">
      <c r="A23501" s="8">
        <v>43893.796446759261</v>
      </c>
      <c r="B23501" s="8" t="str">
        <f>HYPERLINK("https://twitter.com/AzaqAntagonis","@AzaqAntagonis")</f>
        <v>@AzaqAntagonis</v>
      </c>
      <c r="C23501" s="8" t="s">
        <v>8868</v>
      </c>
      <c r="D23501" s="8">
        <v>82</v>
      </c>
      <c r="E23501" s="8">
        <v>0</v>
      </c>
      <c r="F23501" s="8">
        <v>21</v>
      </c>
    </row>
    <row r="23502" spans="1:6" ht="12.75">
      <c r="A23502" s="8">
        <v>43893.796388888892</v>
      </c>
      <c r="B23502" s="8" t="str">
        <f>HYPERLINK("https://twitter.com/Edogawa034","@Edogawa034")</f>
        <v>@Edogawa034</v>
      </c>
      <c r="C23502" s="8" t="s">
        <v>6315</v>
      </c>
      <c r="D23502" s="8">
        <v>71</v>
      </c>
      <c r="E23502" s="8">
        <v>0</v>
      </c>
      <c r="F23502" s="8">
        <v>719</v>
      </c>
    </row>
    <row r="23503" spans="1:6" ht="12.75">
      <c r="A23503" s="8">
        <v>43893.796296296292</v>
      </c>
      <c r="B23503" s="8" t="str">
        <f>HYPERLINK("https://twitter.com/prime_verdana","@prime_verdana")</f>
        <v>@prime_verdana</v>
      </c>
      <c r="C23503" s="8" t="s">
        <v>9541</v>
      </c>
      <c r="D23503" s="8">
        <v>1</v>
      </c>
      <c r="E23503" s="8">
        <v>0</v>
      </c>
      <c r="F23503" s="8">
        <v>615</v>
      </c>
    </row>
    <row r="23504" spans="1:6" ht="12.75">
      <c r="A23504" s="8">
        <v>43893.79623842593</v>
      </c>
      <c r="B23504" s="8" t="str">
        <f>HYPERLINK("https://twitter.com/tribunjabar","@tribunjabar")</f>
        <v>@tribunjabar</v>
      </c>
      <c r="C23504" s="8" t="s">
        <v>9542</v>
      </c>
      <c r="D23504" s="8">
        <v>0</v>
      </c>
      <c r="E23504" s="8">
        <v>1</v>
      </c>
      <c r="F23504" s="8">
        <v>63251</v>
      </c>
    </row>
    <row r="23505" spans="1:6" ht="12.75">
      <c r="A23505" s="8">
        <v>43893.796180555553</v>
      </c>
      <c r="B23505" s="8" t="str">
        <f>HYPERLINK("https://twitter.com/munasir88","@munasir88")</f>
        <v>@munasir88</v>
      </c>
      <c r="C23505" s="8" t="s">
        <v>4477</v>
      </c>
      <c r="D23505" s="8">
        <v>1202</v>
      </c>
      <c r="E23505" s="8">
        <v>0</v>
      </c>
      <c r="F23505" s="8">
        <v>1599</v>
      </c>
    </row>
    <row r="23506" spans="1:6" ht="12.75">
      <c r="A23506" s="8">
        <v>43893.796076388884</v>
      </c>
      <c r="B23506" s="8" t="str">
        <f>HYPERLINK("https://twitter.com/harihariono1","@harihariono1")</f>
        <v>@harihariono1</v>
      </c>
      <c r="C23506" s="8" t="s">
        <v>7254</v>
      </c>
      <c r="D23506" s="8">
        <v>23</v>
      </c>
      <c r="E23506" s="8">
        <v>0</v>
      </c>
      <c r="F23506" s="8">
        <v>9476</v>
      </c>
    </row>
    <row r="23507" spans="1:6" ht="12.75">
      <c r="A23507" s="8">
        <v>43893.795995370368</v>
      </c>
      <c r="B23507" s="8" t="str">
        <f>HYPERLINK("https://twitter.com/AnugrahFitrah1","@AnugrahFitrah1")</f>
        <v>@AnugrahFitrah1</v>
      </c>
      <c r="C23507" s="8" t="s">
        <v>8970</v>
      </c>
      <c r="D23507" s="8">
        <v>85</v>
      </c>
      <c r="E23507" s="8">
        <v>0</v>
      </c>
      <c r="F23507" s="8">
        <v>722</v>
      </c>
    </row>
    <row r="23508" spans="1:6" ht="12.75">
      <c r="A23508" s="8">
        <v>43893.795972222222</v>
      </c>
      <c r="B23508" s="8" t="str">
        <f>HYPERLINK("https://twitter.com/_____Tobat","@_____Tobat")</f>
        <v>@_____Tobat</v>
      </c>
      <c r="C23508" s="8" t="s">
        <v>9136</v>
      </c>
      <c r="D23508" s="8">
        <v>5</v>
      </c>
      <c r="E23508" s="8">
        <v>0</v>
      </c>
      <c r="F23508" s="8">
        <v>2441</v>
      </c>
    </row>
    <row r="23509" spans="1:6" ht="12.75">
      <c r="A23509" s="8">
        <v>43893.795925925922</v>
      </c>
      <c r="B23509" s="8" t="str">
        <f>HYPERLINK("https://twitter.com/acep_dhi3lhe","@acep_dhi3lhe")</f>
        <v>@acep_dhi3lhe</v>
      </c>
      <c r="C23509" s="8" t="s">
        <v>685</v>
      </c>
      <c r="D23509" s="8">
        <v>121</v>
      </c>
      <c r="E23509" s="8">
        <v>0</v>
      </c>
      <c r="F23509" s="8">
        <v>306</v>
      </c>
    </row>
    <row r="23510" spans="1:6" ht="12.75">
      <c r="A23510" s="8">
        <v>43893.795844907407</v>
      </c>
      <c r="B23510" s="8" t="str">
        <f>HYPERLINK("https://twitter.com/RealJournalism3","@RealJournalism3")</f>
        <v>@RealJournalism3</v>
      </c>
      <c r="C23510" s="8" t="s">
        <v>9543</v>
      </c>
      <c r="D23510" s="8">
        <v>0</v>
      </c>
      <c r="E23510" s="8">
        <v>0</v>
      </c>
      <c r="F23510" s="8">
        <v>2</v>
      </c>
    </row>
    <row r="23511" spans="1:6" ht="12.75">
      <c r="A23511" s="8">
        <v>43893.795833333337</v>
      </c>
      <c r="B23511" s="8" t="str">
        <f>HYPERLINK("https://twitter.com/evereeze","@evereeze")</f>
        <v>@evereeze</v>
      </c>
      <c r="C23511" s="8" t="s">
        <v>9544</v>
      </c>
      <c r="D23511" s="8">
        <v>2</v>
      </c>
      <c r="E23511" s="8">
        <v>0</v>
      </c>
      <c r="F23511" s="8">
        <v>306</v>
      </c>
    </row>
    <row r="23512" spans="1:6" ht="12.75">
      <c r="A23512" s="8">
        <v>43893.795717592591</v>
      </c>
      <c r="B23512" s="8" t="str">
        <f>HYPERLINK("https://twitter.com/EKaranggo","@EKaranggo")</f>
        <v>@EKaranggo</v>
      </c>
      <c r="C23512" s="8" t="s">
        <v>8970</v>
      </c>
      <c r="D23512" s="8">
        <v>85</v>
      </c>
      <c r="E23512" s="8">
        <v>0</v>
      </c>
      <c r="F23512" s="8">
        <v>1141</v>
      </c>
    </row>
    <row r="23513" spans="1:6" ht="12.75">
      <c r="A23513" s="8">
        <v>43893.795682870375</v>
      </c>
      <c r="B23513" s="8" t="str">
        <f>HYPERLINK("https://twitter.com/evereeze","@evereeze")</f>
        <v>@evereeze</v>
      </c>
      <c r="C23513" s="8" t="s">
        <v>9545</v>
      </c>
      <c r="D23513" s="8">
        <v>7</v>
      </c>
      <c r="E23513" s="8">
        <v>0</v>
      </c>
      <c r="F23513" s="8">
        <v>306</v>
      </c>
    </row>
    <row r="23514" spans="1:6" ht="12.75">
      <c r="A23514" s="8">
        <v>43893.79552083333</v>
      </c>
      <c r="B23514" s="8" t="str">
        <f>HYPERLINK("https://twitter.com/blackmerz101","@blackmerz101")</f>
        <v>@blackmerz101</v>
      </c>
      <c r="C23514" s="8" t="s">
        <v>9213</v>
      </c>
      <c r="D23514" s="8">
        <v>1</v>
      </c>
      <c r="E23514" s="8">
        <v>0</v>
      </c>
      <c r="F23514" s="8">
        <v>4214</v>
      </c>
    </row>
    <row r="23515" spans="1:6" ht="12.75">
      <c r="A23515" s="8">
        <v>43893.795416666668</v>
      </c>
      <c r="B23515" s="8" t="str">
        <f>HYPERLINK("https://twitter.com/medyalfarisi","@medyalfarisi")</f>
        <v>@medyalfarisi</v>
      </c>
      <c r="C23515" s="8" t="s">
        <v>8322</v>
      </c>
      <c r="D23515" s="8">
        <v>767</v>
      </c>
      <c r="E23515" s="8">
        <v>0</v>
      </c>
      <c r="F23515" s="8">
        <v>132</v>
      </c>
    </row>
    <row r="23516" spans="1:6" ht="12.75">
      <c r="A23516" s="8">
        <v>43893.795393518521</v>
      </c>
      <c r="B23516" s="8" t="str">
        <f>HYPERLINK("https://twitter.com/geligigeli","@geligigeli")</f>
        <v>@geligigeli</v>
      </c>
      <c r="C23516" s="8" t="s">
        <v>9546</v>
      </c>
      <c r="D23516" s="8">
        <v>0</v>
      </c>
      <c r="E23516" s="8">
        <v>0</v>
      </c>
      <c r="F23516" s="8">
        <v>563</v>
      </c>
    </row>
    <row r="23517" spans="1:6" ht="12.75">
      <c r="A23517" s="8">
        <v>43893.795231481483</v>
      </c>
      <c r="B23517" s="8" t="str">
        <f>HYPERLINK("https://twitter.com/tvOneNews","@tvOneNews")</f>
        <v>@tvOneNews</v>
      </c>
      <c r="C23517" s="8" t="s">
        <v>9547</v>
      </c>
      <c r="D23517" s="8">
        <v>1</v>
      </c>
      <c r="E23517" s="8">
        <v>4</v>
      </c>
      <c r="F23517" s="8">
        <v>8726842</v>
      </c>
    </row>
    <row r="23518" spans="1:6" ht="12.75">
      <c r="A23518" s="8">
        <v>43893.795231481483</v>
      </c>
      <c r="B23518" s="8" t="str">
        <f>HYPERLINK("https://twitter.com/feerzylant","@feerzylant")</f>
        <v>@feerzylant</v>
      </c>
      <c r="C23518" s="8" t="s">
        <v>8970</v>
      </c>
      <c r="D23518" s="8">
        <v>85</v>
      </c>
      <c r="E23518" s="8">
        <v>0</v>
      </c>
      <c r="F23518" s="8">
        <v>461</v>
      </c>
    </row>
    <row r="23519" spans="1:6" ht="12.75">
      <c r="A23519" s="8">
        <v>43893.794907407406</v>
      </c>
      <c r="B23519" s="8" t="str">
        <f>HYPERLINK("https://twitter.com/antaranews","@antaranews")</f>
        <v>@antaranews</v>
      </c>
      <c r="C23519" s="8" t="s">
        <v>9548</v>
      </c>
      <c r="D23519" s="8">
        <v>0</v>
      </c>
      <c r="E23519" s="8">
        <v>0</v>
      </c>
      <c r="F23519" s="8">
        <v>1106314</v>
      </c>
    </row>
    <row r="23520" spans="1:6" ht="12.75">
      <c r="A23520" s="8">
        <v>43893.794895833329</v>
      </c>
      <c r="B23520" s="8" t="str">
        <f>HYPERLINK("https://twitter.com/wibowodwicahyo","@wibowodwicahyo")</f>
        <v>@wibowodwicahyo</v>
      </c>
      <c r="C23520" s="8" t="s">
        <v>8281</v>
      </c>
      <c r="D23520" s="8">
        <v>45</v>
      </c>
      <c r="E23520" s="8">
        <v>0</v>
      </c>
      <c r="F23520" s="8">
        <v>552</v>
      </c>
    </row>
    <row r="23521" spans="1:6" ht="12.75">
      <c r="A23521" s="8">
        <v>43893.79487268519</v>
      </c>
      <c r="B23521" s="8" t="str">
        <f>HYPERLINK("https://twitter.com/indarto_markus","@indarto_markus")</f>
        <v>@indarto_markus</v>
      </c>
      <c r="C23521" s="8" t="s">
        <v>9539</v>
      </c>
      <c r="D23521" s="8">
        <v>2</v>
      </c>
      <c r="E23521" s="8">
        <v>0</v>
      </c>
      <c r="F23521" s="8">
        <v>1489</v>
      </c>
    </row>
    <row r="23522" spans="1:6" ht="12.75">
      <c r="A23522" s="8">
        <v>43893.794791666667</v>
      </c>
      <c r="B23522" s="8" t="str">
        <f>HYPERLINK("https://twitter.com/Nobamasgottago","@Nobamasgottago")</f>
        <v>@Nobamasgottago</v>
      </c>
      <c r="C23522" s="8" t="s">
        <v>9549</v>
      </c>
      <c r="D23522" s="8">
        <v>0</v>
      </c>
      <c r="E23522" s="8">
        <v>0</v>
      </c>
      <c r="F23522" s="8">
        <v>1147</v>
      </c>
    </row>
    <row r="23523" spans="1:6" ht="12.75">
      <c r="A23523" s="8">
        <v>43893.794583333336</v>
      </c>
      <c r="B23523" s="8" t="str">
        <f>HYPERLINK("https://twitter.com/noveltomi","@noveltomi")</f>
        <v>@noveltomi</v>
      </c>
      <c r="C23523" s="8" t="s">
        <v>1427</v>
      </c>
      <c r="D23523" s="8">
        <v>956</v>
      </c>
      <c r="E23523" s="8">
        <v>0</v>
      </c>
      <c r="F23523" s="8">
        <v>1466</v>
      </c>
    </row>
    <row r="23524" spans="1:6" ht="12.75">
      <c r="A23524" s="8">
        <v>43893.794490740736</v>
      </c>
      <c r="B23524" s="8" t="str">
        <f>HYPERLINK("https://twitter.com/kompascom","@kompascom")</f>
        <v>@kompascom</v>
      </c>
      <c r="C23524" s="8" t="s">
        <v>9550</v>
      </c>
      <c r="D23524" s="8">
        <v>2</v>
      </c>
      <c r="E23524" s="8">
        <v>4</v>
      </c>
      <c r="F23524" s="8">
        <v>7525861</v>
      </c>
    </row>
    <row r="23525" spans="1:6" ht="12.75">
      <c r="A23525" s="8">
        <v>43893.794317129628</v>
      </c>
      <c r="B23525" s="8" t="str">
        <f>HYPERLINK("https://twitter.com/BegawanCemani","@BegawanCemani")</f>
        <v>@BegawanCemani</v>
      </c>
      <c r="C23525" s="8" t="s">
        <v>9551</v>
      </c>
      <c r="D23525" s="8">
        <v>1</v>
      </c>
      <c r="E23525" s="8">
        <v>0</v>
      </c>
      <c r="F23525" s="8">
        <v>245</v>
      </c>
    </row>
    <row r="23526" spans="1:6" ht="12.75">
      <c r="A23526" s="8">
        <v>43893.794270833328</v>
      </c>
      <c r="B23526" s="8" t="str">
        <f>HYPERLINK("https://twitter.com/RuangDerita","@RuangDerita")</f>
        <v>@RuangDerita</v>
      </c>
      <c r="C23526" s="8" t="s">
        <v>6862</v>
      </c>
      <c r="D23526" s="8">
        <v>14</v>
      </c>
      <c r="E23526" s="8">
        <v>0</v>
      </c>
      <c r="F23526" s="8">
        <v>101</v>
      </c>
    </row>
    <row r="23527" spans="1:6" ht="12.75">
      <c r="A23527" s="8">
        <v>43893.794236111113</v>
      </c>
      <c r="B23527" s="8" t="str">
        <f>HYPERLINK("https://twitter.com/lovetaoT0BA","@lovetaoT0BA")</f>
        <v>@lovetaoT0BA</v>
      </c>
      <c r="C23527" s="8" t="s">
        <v>9552</v>
      </c>
      <c r="D23527" s="8">
        <v>11</v>
      </c>
      <c r="E23527" s="8">
        <v>0</v>
      </c>
      <c r="F23527" s="8">
        <v>3190</v>
      </c>
    </row>
    <row r="23528" spans="1:6" ht="12.75">
      <c r="A23528" s="8">
        <v>43893.794120370367</v>
      </c>
      <c r="B23528" s="8" t="str">
        <f>HYPERLINK("https://twitter.com/kompascom","@kompascom")</f>
        <v>@kompascom</v>
      </c>
      <c r="C23528" s="8" t="s">
        <v>9553</v>
      </c>
      <c r="D23528" s="8">
        <v>0</v>
      </c>
      <c r="E23528" s="8">
        <v>2</v>
      </c>
      <c r="F23528" s="8">
        <v>7525861</v>
      </c>
    </row>
    <row r="23529" spans="1:6" ht="12.75">
      <c r="A23529" s="8">
        <v>43893.794062500005</v>
      </c>
      <c r="B23529" s="8" t="str">
        <f>HYPERLINK("https://twitter.com/BlackRobusta","@BlackRobusta")</f>
        <v>@BlackRobusta</v>
      </c>
      <c r="C23529" s="8" t="s">
        <v>9554</v>
      </c>
      <c r="D23529" s="8">
        <v>0</v>
      </c>
      <c r="E23529" s="8">
        <v>0</v>
      </c>
      <c r="F23529" s="8">
        <v>83</v>
      </c>
    </row>
    <row r="23530" spans="1:6" ht="12.75">
      <c r="A23530" s="8">
        <v>43893.793969907405</v>
      </c>
      <c r="B23530" s="8" t="str">
        <f>HYPERLINK("https://twitter.com/ANTARASumsel","@ANTARASumsel")</f>
        <v>@ANTARASumsel</v>
      </c>
      <c r="C23530" s="8" t="s">
        <v>9555</v>
      </c>
      <c r="D23530" s="8">
        <v>0</v>
      </c>
      <c r="E23530" s="8">
        <v>0</v>
      </c>
      <c r="F23530" s="8">
        <v>1110</v>
      </c>
    </row>
    <row r="23531" spans="1:6" ht="12.75">
      <c r="A23531" s="8">
        <v>43893.793888888889</v>
      </c>
      <c r="B23531" s="8" t="str">
        <f>HYPERLINK("https://twitter.com/Shima_ru","@Shima_ru")</f>
        <v>@Shima_ru</v>
      </c>
      <c r="C23531" s="8" t="s">
        <v>9556</v>
      </c>
      <c r="D23531" s="8">
        <v>41</v>
      </c>
      <c r="E23531" s="8">
        <v>0</v>
      </c>
      <c r="F23531" s="8">
        <v>359</v>
      </c>
    </row>
    <row r="23532" spans="1:6" ht="12.75">
      <c r="A23532" s="8">
        <v>43893.79378472222</v>
      </c>
      <c r="B23532" s="8" t="str">
        <f>HYPERLINK("https://twitter.com/Nila_Widuri","@Nila_Widuri")</f>
        <v>@Nila_Widuri</v>
      </c>
      <c r="C23532" s="8" t="s">
        <v>6862</v>
      </c>
      <c r="D23532" s="8">
        <v>133</v>
      </c>
      <c r="E23532" s="8">
        <v>0</v>
      </c>
      <c r="F23532" s="8">
        <v>390</v>
      </c>
    </row>
    <row r="23533" spans="1:6" ht="12.75">
      <c r="A23533" s="8">
        <v>43893.793680555551</v>
      </c>
      <c r="B23533" s="8" t="str">
        <f>HYPERLINK("https://twitter.com/Ameeramantikah","@Ameeramantikah")</f>
        <v>@Ameeramantikah</v>
      </c>
      <c r="C23533" s="8" t="s">
        <v>8901</v>
      </c>
      <c r="D23533" s="8">
        <v>164</v>
      </c>
      <c r="E23533" s="8">
        <v>0</v>
      </c>
      <c r="F23533" s="8">
        <v>1254</v>
      </c>
    </row>
    <row r="23534" spans="1:6" ht="12.75">
      <c r="A23534" s="8">
        <v>43893.793587962966</v>
      </c>
      <c r="B23534" s="8" t="str">
        <f>HYPERLINK("https://twitter.com/EKaranggo","@EKaranggo")</f>
        <v>@EKaranggo</v>
      </c>
      <c r="C23534" s="8" t="s">
        <v>9128</v>
      </c>
      <c r="D23534" s="8">
        <v>182</v>
      </c>
      <c r="E23534" s="8">
        <v>0</v>
      </c>
      <c r="F23534" s="8">
        <v>1141</v>
      </c>
    </row>
    <row r="23535" spans="1:6" ht="12.75">
      <c r="A23535" s="8">
        <v>43893.793414351851</v>
      </c>
      <c r="B23535" s="8" t="str">
        <f>HYPERLINK("https://twitter.com/aquariangvrl","@aquariangvrl")</f>
        <v>@aquariangvrl</v>
      </c>
      <c r="C23535" s="8" t="s">
        <v>4150</v>
      </c>
      <c r="D23535" s="8">
        <v>527</v>
      </c>
      <c r="E23535" s="8">
        <v>0</v>
      </c>
      <c r="F23535" s="8">
        <v>450</v>
      </c>
    </row>
    <row r="23536" spans="1:6" ht="12.75">
      <c r="A23536" s="8">
        <v>43893.793402777781</v>
      </c>
      <c r="B23536" s="8" t="str">
        <f>HYPERLINK("https://twitter.com/amirsyahoke","@amirsyahoke")</f>
        <v>@amirsyahoke</v>
      </c>
      <c r="C23536" s="8" t="s">
        <v>8843</v>
      </c>
      <c r="D23536" s="8">
        <v>69</v>
      </c>
      <c r="E23536" s="8">
        <v>0</v>
      </c>
      <c r="F23536" s="8">
        <v>443</v>
      </c>
    </row>
    <row r="23537" spans="1:6" ht="12.75">
      <c r="A23537" s="8">
        <v>43893.793240740742</v>
      </c>
      <c r="B23537" s="8" t="str">
        <f>HYPERLINK("https://twitter.com/kiasleo","@kiasleo")</f>
        <v>@kiasleo</v>
      </c>
      <c r="C23537" s="8" t="s">
        <v>9557</v>
      </c>
      <c r="D23537" s="8">
        <v>2</v>
      </c>
      <c r="E23537" s="8">
        <v>0</v>
      </c>
      <c r="F23537" s="8">
        <v>635</v>
      </c>
    </row>
    <row r="23538" spans="1:6" ht="12.75">
      <c r="A23538" s="8">
        <v>43893.793194444443</v>
      </c>
      <c r="B23538" s="8" t="str">
        <f>HYPERLINK("https://twitter.com/Liiaadoe03","@Liiaadoe03")</f>
        <v>@Liiaadoe03</v>
      </c>
      <c r="C23538" s="8" t="s">
        <v>8843</v>
      </c>
      <c r="D23538" s="8">
        <v>69</v>
      </c>
      <c r="E23538" s="8">
        <v>0</v>
      </c>
      <c r="F23538" s="8">
        <v>663</v>
      </c>
    </row>
    <row r="23539" spans="1:6" ht="12.75">
      <c r="A23539" s="8">
        <v>43893.793182870373</v>
      </c>
      <c r="B23539" s="8" t="str">
        <f>HYPERLINK("https://twitter.com/Untung52643485","@Untung52643485")</f>
        <v>@Untung52643485</v>
      </c>
      <c r="C23539" s="8" t="s">
        <v>3257</v>
      </c>
      <c r="D23539" s="8">
        <v>29</v>
      </c>
      <c r="E23539" s="8">
        <v>0</v>
      </c>
      <c r="F23539" s="8">
        <v>67</v>
      </c>
    </row>
    <row r="23540" spans="1:6" ht="12.75">
      <c r="A23540" s="8">
        <v>43893.79314814815</v>
      </c>
      <c r="B23540" s="8" t="str">
        <f>HYPERLINK("https://twitter.com/eleventwice","@eleventwice")</f>
        <v>@eleventwice</v>
      </c>
      <c r="C23540" s="8" t="s">
        <v>9558</v>
      </c>
      <c r="D23540" s="8">
        <v>25</v>
      </c>
      <c r="E23540" s="8">
        <v>0</v>
      </c>
      <c r="F23540" s="8">
        <v>458</v>
      </c>
    </row>
    <row r="23541" spans="1:6" ht="12.75">
      <c r="A23541" s="8">
        <v>43893.792905092589</v>
      </c>
      <c r="B23541" s="8" t="str">
        <f>HYPERLINK("https://twitter.com/DarmaDa89934536","@DarmaDa89934536")</f>
        <v>@DarmaDa89934536</v>
      </c>
      <c r="C23541" s="8" t="s">
        <v>8901</v>
      </c>
      <c r="D23541" s="8">
        <v>164</v>
      </c>
      <c r="E23541" s="8">
        <v>0</v>
      </c>
      <c r="F23541" s="8">
        <v>316</v>
      </c>
    </row>
    <row r="23542" spans="1:6" ht="12.75">
      <c r="A23542" s="8">
        <v>43893.79283564815</v>
      </c>
      <c r="B23542" s="8" t="str">
        <f>HYPERLINK("https://twitter.com/YenYudie","@YenYudie")</f>
        <v>@YenYudie</v>
      </c>
      <c r="C23542" s="8" t="s">
        <v>9559</v>
      </c>
      <c r="D23542" s="8">
        <v>0</v>
      </c>
      <c r="E23542" s="8">
        <v>0</v>
      </c>
      <c r="F23542" s="8">
        <v>7</v>
      </c>
    </row>
    <row r="23543" spans="1:6" ht="12.75">
      <c r="A23543" s="8">
        <v>43893.792638888888</v>
      </c>
      <c r="B23543" s="8" t="str">
        <f>HYPERLINK("https://twitter.com/A121_2lanx","@A121_2lanx")</f>
        <v>@A121_2lanx</v>
      </c>
      <c r="C23543" s="8" t="s">
        <v>1986</v>
      </c>
      <c r="D23543" s="8">
        <v>822</v>
      </c>
      <c r="E23543" s="8">
        <v>0</v>
      </c>
      <c r="F23543" s="8">
        <v>142</v>
      </c>
    </row>
    <row r="23544" spans="1:6" ht="12.75">
      <c r="A23544" s="8">
        <v>43893.792604166665</v>
      </c>
      <c r="B23544" s="8" t="str">
        <f>HYPERLINK("https://twitter.com/antaz345","@antaz345")</f>
        <v>@antaz345</v>
      </c>
      <c r="C23544" s="8" t="s">
        <v>9560</v>
      </c>
      <c r="D23544" s="8">
        <v>44</v>
      </c>
      <c r="E23544" s="8">
        <v>0</v>
      </c>
      <c r="F23544" s="8">
        <v>2527</v>
      </c>
    </row>
    <row r="23545" spans="1:6" ht="12.75">
      <c r="A23545" s="8">
        <v>43893.792569444442</v>
      </c>
      <c r="B23545" s="8" t="str">
        <f>HYPERLINK("https://twitter.com/SophiaNerissa","@SophiaNerissa")</f>
        <v>@SophiaNerissa</v>
      </c>
      <c r="C23545" s="8" t="s">
        <v>8272</v>
      </c>
      <c r="D23545" s="8">
        <v>26</v>
      </c>
      <c r="E23545" s="8">
        <v>0</v>
      </c>
      <c r="F23545" s="8">
        <v>6017</v>
      </c>
    </row>
    <row r="23546" spans="1:6" ht="12.75">
      <c r="A23546" s="8">
        <v>43893.792476851857</v>
      </c>
      <c r="B23546" s="8" t="str">
        <f>HYPERLINK("https://twitter.com/antaz345","@antaz345")</f>
        <v>@antaz345</v>
      </c>
      <c r="C23546" s="8" t="s">
        <v>9561</v>
      </c>
      <c r="D23546" s="8">
        <v>0</v>
      </c>
      <c r="E23546" s="8">
        <v>0</v>
      </c>
      <c r="F23546" s="8">
        <v>2527</v>
      </c>
    </row>
    <row r="23547" spans="1:6" ht="12.75">
      <c r="A23547" s="8">
        <v>43893.792233796295</v>
      </c>
      <c r="B23547" s="8" t="str">
        <f>HYPERLINK("https://twitter.com/guamahh","@guamahh")</f>
        <v>@guamahh</v>
      </c>
      <c r="C23547" s="8" t="s">
        <v>9295</v>
      </c>
      <c r="D23547" s="8">
        <v>274</v>
      </c>
      <c r="E23547" s="8">
        <v>0</v>
      </c>
      <c r="F23547" s="8">
        <v>697</v>
      </c>
    </row>
    <row r="23548" spans="1:6" ht="12.75">
      <c r="A23548" s="8">
        <v>43893.792129629626</v>
      </c>
      <c r="B23548" s="8" t="str">
        <f>HYPERLINK("https://twitter.com/Candraasmara85","@Candraasmara85")</f>
        <v>@Candraasmara85</v>
      </c>
      <c r="C23548" s="8" t="s">
        <v>9552</v>
      </c>
      <c r="D23548" s="8">
        <v>11</v>
      </c>
      <c r="E23548" s="8">
        <v>0</v>
      </c>
      <c r="F23548" s="8">
        <v>10697</v>
      </c>
    </row>
    <row r="23549" spans="1:6" ht="12.75">
      <c r="A23549" s="8">
        <v>43893.792118055557</v>
      </c>
      <c r="B23549" s="8" t="str">
        <f>HYPERLINK("https://twitter.com/Dewisusanto7","@Dewisusanto7")</f>
        <v>@Dewisusanto7</v>
      </c>
      <c r="C23549" s="8" t="s">
        <v>8429</v>
      </c>
      <c r="D23549" s="8">
        <v>130</v>
      </c>
      <c r="E23549" s="8">
        <v>0</v>
      </c>
      <c r="F23549" s="8">
        <v>533</v>
      </c>
    </row>
    <row r="23550" spans="1:6" ht="12.75">
      <c r="A23550" s="8">
        <v>43893.791990740741</v>
      </c>
      <c r="B23550" s="8" t="str">
        <f>HYPERLINK("https://twitter.com/Januarjososusa1","@Januarjososusa1")</f>
        <v>@Januarjososusa1</v>
      </c>
      <c r="C23550" s="8" t="s">
        <v>8843</v>
      </c>
      <c r="D23550" s="8">
        <v>69</v>
      </c>
      <c r="E23550" s="8">
        <v>0</v>
      </c>
      <c r="F23550" s="8">
        <v>234</v>
      </c>
    </row>
    <row r="23551" spans="1:6" ht="12.75">
      <c r="A23551" s="8">
        <v>43893.791979166665</v>
      </c>
      <c r="B23551" s="8" t="str">
        <f t="shared" ref="B23551:B23552" si="346">HYPERLINK("https://twitter.com/akhrom_saleh","@akhrom_saleh")</f>
        <v>@akhrom_saleh</v>
      </c>
      <c r="C23551" s="8" t="s">
        <v>9562</v>
      </c>
      <c r="D23551" s="8">
        <v>1</v>
      </c>
      <c r="E23551" s="8">
        <v>0</v>
      </c>
      <c r="F23551" s="8">
        <v>316</v>
      </c>
    </row>
    <row r="23552" spans="1:6" ht="12.75">
      <c r="A23552" s="8">
        <v>43893.791921296295</v>
      </c>
      <c r="B23552" s="8" t="str">
        <f t="shared" si="346"/>
        <v>@akhrom_saleh</v>
      </c>
      <c r="C23552" s="8" t="s">
        <v>9563</v>
      </c>
      <c r="D23552" s="8">
        <v>1</v>
      </c>
      <c r="E23552" s="8">
        <v>0</v>
      </c>
      <c r="F23552" s="8">
        <v>316</v>
      </c>
    </row>
    <row r="23553" spans="1:6" ht="12.75">
      <c r="A23553" s="8">
        <v>43893.791817129633</v>
      </c>
      <c r="B23553" s="8" t="str">
        <f>HYPERLINK("https://twitter.com/YEngran","@YEngran")</f>
        <v>@YEngran</v>
      </c>
      <c r="C23553" s="8" t="s">
        <v>9564</v>
      </c>
      <c r="D23553" s="8">
        <v>0</v>
      </c>
      <c r="E23553" s="8">
        <v>0</v>
      </c>
      <c r="F23553" s="8">
        <v>273</v>
      </c>
    </row>
    <row r="23554" spans="1:6" ht="12.75">
      <c r="A23554" s="8">
        <v>43893.79173611111</v>
      </c>
      <c r="B23554" s="8" t="str">
        <f>HYPERLINK("https://twitter.com/SabrilaDivia","@SabrilaDivia")</f>
        <v>@SabrilaDivia</v>
      </c>
      <c r="C23554" s="8" t="s">
        <v>2199</v>
      </c>
      <c r="D23554" s="8">
        <v>8998</v>
      </c>
      <c r="E23554" s="8">
        <v>0</v>
      </c>
      <c r="F23554" s="8">
        <v>213</v>
      </c>
    </row>
    <row r="23555" spans="1:6" ht="12.75">
      <c r="A23555" s="8">
        <v>43893.791678240741</v>
      </c>
      <c r="B23555" s="8" t="str">
        <f>HYPERLINK("https://twitter.com/tvOneNews","@tvOneNews")</f>
        <v>@tvOneNews</v>
      </c>
      <c r="C23555" s="8" t="s">
        <v>9565</v>
      </c>
      <c r="D23555" s="8">
        <v>0</v>
      </c>
      <c r="E23555" s="8">
        <v>5</v>
      </c>
      <c r="F23555" s="8">
        <v>8726842</v>
      </c>
    </row>
    <row r="23556" spans="1:6" ht="12.75">
      <c r="A23556" s="8">
        <v>43893.791481481487</v>
      </c>
      <c r="B23556" s="8" t="str">
        <f>HYPERLINK("https://twitter.com/syahkola1","@syahkola1")</f>
        <v>@syahkola1</v>
      </c>
      <c r="C23556" s="8" t="s">
        <v>9417</v>
      </c>
      <c r="D23556" s="8">
        <v>93</v>
      </c>
      <c r="E23556" s="8">
        <v>0</v>
      </c>
      <c r="F23556" s="8">
        <v>1094</v>
      </c>
    </row>
    <row r="23557" spans="1:6" ht="12.75">
      <c r="A23557" s="8">
        <v>43893.791388888887</v>
      </c>
      <c r="B23557" s="8" t="str">
        <f t="shared" ref="B23557:B23558" si="347">HYPERLINK("https://twitter.com/akhrom_saleh","@akhrom_saleh")</f>
        <v>@akhrom_saleh</v>
      </c>
      <c r="C23557" s="8" t="s">
        <v>9566</v>
      </c>
      <c r="D23557" s="8">
        <v>1</v>
      </c>
      <c r="E23557" s="8">
        <v>0</v>
      </c>
      <c r="F23557" s="8">
        <v>316</v>
      </c>
    </row>
    <row r="23558" spans="1:6" ht="12.75">
      <c r="A23558" s="8">
        <v>43893.791319444441</v>
      </c>
      <c r="B23558" s="8" t="str">
        <f t="shared" si="347"/>
        <v>@akhrom_saleh</v>
      </c>
      <c r="C23558" s="8" t="s">
        <v>9567</v>
      </c>
      <c r="D23558" s="8">
        <v>1</v>
      </c>
      <c r="E23558" s="8">
        <v>0</v>
      </c>
      <c r="F23558" s="8">
        <v>316</v>
      </c>
    </row>
    <row r="23559" spans="1:6" ht="12.75">
      <c r="A23559" s="8">
        <v>43893.791319444441</v>
      </c>
      <c r="B23559" s="8" t="str">
        <f>HYPERLINK("https://twitter.com/poncokarso","@poncokarso")</f>
        <v>@poncokarso</v>
      </c>
      <c r="C23559" s="8" t="s">
        <v>6315</v>
      </c>
      <c r="D23559" s="8">
        <v>71</v>
      </c>
      <c r="E23559" s="8">
        <v>0</v>
      </c>
      <c r="F23559" s="8">
        <v>1121</v>
      </c>
    </row>
    <row r="23560" spans="1:6" ht="12.75">
      <c r="A23560" s="8">
        <v>43893.791168981479</v>
      </c>
      <c r="B23560" s="8" t="str">
        <f>HYPERLINK("https://twitter.com/doddy0020","@doddy0020")</f>
        <v>@doddy0020</v>
      </c>
      <c r="C23560" s="8" t="s">
        <v>9568</v>
      </c>
      <c r="D23560" s="8">
        <v>0</v>
      </c>
      <c r="E23560" s="8">
        <v>0</v>
      </c>
      <c r="F23560" s="8">
        <v>42</v>
      </c>
    </row>
    <row r="23561" spans="1:6" ht="12.75">
      <c r="A23561" s="8">
        <v>43893.79111111111</v>
      </c>
      <c r="B23561" s="8" t="str">
        <f>HYPERLINK("https://twitter.com/jerayawara","@jerayawara")</f>
        <v>@jerayawara</v>
      </c>
      <c r="C23561" s="8" t="s">
        <v>9557</v>
      </c>
      <c r="D23561" s="8">
        <v>2</v>
      </c>
      <c r="E23561" s="8">
        <v>0</v>
      </c>
      <c r="F23561" s="8">
        <v>4545</v>
      </c>
    </row>
    <row r="23562" spans="1:6" ht="12.75">
      <c r="A23562" s="8">
        <v>43893.790983796294</v>
      </c>
      <c r="B23562" s="8" t="str">
        <f>HYPERLINK("https://twitter.com/nandamustika01","@nandamustika01")</f>
        <v>@nandamustika01</v>
      </c>
      <c r="C23562" s="8" t="s">
        <v>1427</v>
      </c>
      <c r="D23562" s="8">
        <v>956</v>
      </c>
      <c r="E23562" s="8">
        <v>0</v>
      </c>
      <c r="F23562" s="8">
        <v>709</v>
      </c>
    </row>
    <row r="23563" spans="1:6" ht="12.75">
      <c r="A23563" s="8">
        <v>43893.790833333333</v>
      </c>
      <c r="B23563" s="8" t="str">
        <f>HYPERLINK("https://twitter.com/akhrom_saleh","@akhrom_saleh")</f>
        <v>@akhrom_saleh</v>
      </c>
      <c r="C23563" s="8" t="s">
        <v>9569</v>
      </c>
      <c r="D23563" s="8">
        <v>3</v>
      </c>
      <c r="E23563" s="8">
        <v>0</v>
      </c>
      <c r="F23563" s="8">
        <v>316</v>
      </c>
    </row>
    <row r="23564" spans="1:6" ht="12.75">
      <c r="A23564" s="8">
        <v>43893.790798611109</v>
      </c>
      <c r="B23564" s="8" t="str">
        <f>HYPERLINK("https://twitter.com/mediaindonesia","@mediaindonesia")</f>
        <v>@mediaindonesia</v>
      </c>
      <c r="C23564" s="8" t="s">
        <v>9570</v>
      </c>
      <c r="D23564" s="8">
        <v>0</v>
      </c>
      <c r="E23564" s="8">
        <v>0</v>
      </c>
      <c r="F23564" s="8">
        <v>1419964</v>
      </c>
    </row>
    <row r="23565" spans="1:6" ht="12.75">
      <c r="A23565" s="8">
        <v>43893.790752314817</v>
      </c>
      <c r="B23565" s="8" t="str">
        <f>HYPERLINK("https://twitter.com/SoniMsi07","@SoniMsi07")</f>
        <v>@SoniMsi07</v>
      </c>
      <c r="C23565" s="8" t="s">
        <v>6315</v>
      </c>
      <c r="D23565" s="8">
        <v>71</v>
      </c>
      <c r="E23565" s="8">
        <v>0</v>
      </c>
      <c r="F23565" s="8">
        <v>260</v>
      </c>
    </row>
    <row r="23566" spans="1:6" ht="12.75">
      <c r="A23566" s="8">
        <v>43893.79074074074</v>
      </c>
      <c r="B23566" s="8" t="str">
        <f>HYPERLINK("https://twitter.com/SilitongaEfraim","@SilitongaEfraim")</f>
        <v>@SilitongaEfraim</v>
      </c>
      <c r="C23566" s="8" t="s">
        <v>685</v>
      </c>
      <c r="D23566" s="8">
        <v>121</v>
      </c>
      <c r="E23566" s="8">
        <v>0</v>
      </c>
      <c r="F23566" s="8">
        <v>2085</v>
      </c>
    </row>
    <row r="23567" spans="1:6" ht="12.75">
      <c r="A23567" s="8">
        <v>43893.79074074074</v>
      </c>
      <c r="B23567" s="8" t="str">
        <f>HYPERLINK("https://twitter.com/saya__anggit","@saya__anggit")</f>
        <v>@saya__anggit</v>
      </c>
      <c r="C23567" s="8" t="s">
        <v>8843</v>
      </c>
      <c r="D23567" s="8">
        <v>69</v>
      </c>
      <c r="E23567" s="8">
        <v>0</v>
      </c>
      <c r="F23567" s="8">
        <v>84</v>
      </c>
    </row>
    <row r="23568" spans="1:6" ht="12.75">
      <c r="A23568" s="8">
        <v>43893.790671296301</v>
      </c>
      <c r="B23568" s="8" t="str">
        <f>HYPERLINK("https://twitter.com/Khaibar92110952","@Khaibar92110952")</f>
        <v>@Khaibar92110952</v>
      </c>
      <c r="C23568" s="8" t="s">
        <v>1970</v>
      </c>
      <c r="D23568" s="8">
        <v>1172</v>
      </c>
      <c r="E23568" s="8">
        <v>0</v>
      </c>
      <c r="F23568" s="8">
        <v>57</v>
      </c>
    </row>
    <row r="23569" spans="1:6" ht="12.75">
      <c r="A23569" s="8">
        <v>43893.790671296301</v>
      </c>
      <c r="B23569" s="8" t="str">
        <f>HYPERLINK("https://twitter.com/kompascom","@kompascom")</f>
        <v>@kompascom</v>
      </c>
      <c r="C23569" s="8" t="s">
        <v>9571</v>
      </c>
      <c r="D23569" s="8">
        <v>2</v>
      </c>
      <c r="E23569" s="8">
        <v>3</v>
      </c>
      <c r="F23569" s="8">
        <v>7525861</v>
      </c>
    </row>
    <row r="23570" spans="1:6" ht="12.75">
      <c r="A23570" s="8">
        <v>43893.790520833332</v>
      </c>
      <c r="B23570" s="8" t="str">
        <f>HYPERLINK("https://twitter.com/MVVZ3","@MVVZ3")</f>
        <v>@MVVZ3</v>
      </c>
      <c r="C23570" s="8" t="s">
        <v>8901</v>
      </c>
      <c r="D23570" s="8">
        <v>164</v>
      </c>
      <c r="E23570" s="8">
        <v>0</v>
      </c>
      <c r="F23570" s="8">
        <v>1064</v>
      </c>
    </row>
    <row r="23571" spans="1:6" ht="12.75">
      <c r="A23571" s="8">
        <v>43893.790451388893</v>
      </c>
      <c r="B23571" s="8" t="str">
        <f>HYPERLINK("https://twitter.com/4dcc8f1ce02f412","@4dcc8f1ce02f412")</f>
        <v>@4dcc8f1ce02f412</v>
      </c>
      <c r="C23571" s="8" t="s">
        <v>7597</v>
      </c>
      <c r="D23571" s="8">
        <v>702</v>
      </c>
      <c r="E23571" s="8">
        <v>0</v>
      </c>
      <c r="F23571" s="8">
        <v>70</v>
      </c>
    </row>
    <row r="23572" spans="1:6" ht="12.75">
      <c r="A23572" s="8">
        <v>43893.790393518517</v>
      </c>
      <c r="B23572" s="8" t="str">
        <f>HYPERLINK("https://twitter.com/_alidoank","@_alidoank")</f>
        <v>@_alidoank</v>
      </c>
      <c r="C23572" s="8" t="s">
        <v>6862</v>
      </c>
      <c r="D23572" s="8">
        <v>133</v>
      </c>
      <c r="E23572" s="8">
        <v>0</v>
      </c>
      <c r="F23572" s="8">
        <v>141</v>
      </c>
    </row>
    <row r="23573" spans="1:6" ht="12.75">
      <c r="A23573" s="8">
        <v>43893.790347222224</v>
      </c>
      <c r="B23573" s="8" t="str">
        <f>HYPERLINK("https://twitter.com/Dewisusanto7","@Dewisusanto7")</f>
        <v>@Dewisusanto7</v>
      </c>
      <c r="C23573" s="8" t="s">
        <v>6315</v>
      </c>
      <c r="D23573" s="8">
        <v>71</v>
      </c>
      <c r="E23573" s="8">
        <v>0</v>
      </c>
      <c r="F23573" s="8">
        <v>533</v>
      </c>
    </row>
    <row r="23574" spans="1:6" ht="12.75">
      <c r="A23574" s="8">
        <v>43893.790023148147</v>
      </c>
      <c r="B23574" s="8" t="str">
        <f>HYPERLINK("https://twitter.com/Bekti1304","@Bekti1304")</f>
        <v>@Bekti1304</v>
      </c>
      <c r="C23574" s="8" t="s">
        <v>2199</v>
      </c>
      <c r="D23574" s="8">
        <v>8998</v>
      </c>
      <c r="E23574" s="8">
        <v>0</v>
      </c>
      <c r="F23574" s="8">
        <v>64</v>
      </c>
    </row>
    <row r="23575" spans="1:6" ht="12.75">
      <c r="A23575" s="8">
        <v>43893.789780092593</v>
      </c>
      <c r="B23575" s="8" t="str">
        <f>HYPERLINK("https://twitter.com/ibuedey","@ibuedey")</f>
        <v>@ibuedey</v>
      </c>
      <c r="C23575" s="8" t="s">
        <v>6862</v>
      </c>
      <c r="D23575" s="8">
        <v>14</v>
      </c>
      <c r="E23575" s="8">
        <v>0</v>
      </c>
      <c r="F23575" s="8">
        <v>1665</v>
      </c>
    </row>
    <row r="23576" spans="1:6" ht="12.75">
      <c r="A23576" s="8">
        <v>43893.789756944447</v>
      </c>
      <c r="B23576" s="8" t="str">
        <f>HYPERLINK("https://twitter.com/Bekti1304","@Bekti1304")</f>
        <v>@Bekti1304</v>
      </c>
      <c r="C23576" s="8" t="s">
        <v>1749</v>
      </c>
      <c r="D23576" s="8">
        <v>370</v>
      </c>
      <c r="E23576" s="8">
        <v>0</v>
      </c>
      <c r="F23576" s="8">
        <v>64</v>
      </c>
    </row>
    <row r="23577" spans="1:6" ht="12.75">
      <c r="A23577" s="8">
        <v>43893.789583333331</v>
      </c>
      <c r="B23577" s="8" t="str">
        <f>HYPERLINK("https://twitter.com/DavidRuslie8","@DavidRuslie8")</f>
        <v>@DavidRuslie8</v>
      </c>
      <c r="C23577" s="8" t="s">
        <v>685</v>
      </c>
      <c r="D23577" s="8">
        <v>121</v>
      </c>
      <c r="E23577" s="8">
        <v>0</v>
      </c>
      <c r="F23577" s="8">
        <v>932</v>
      </c>
    </row>
    <row r="23578" spans="1:6" ht="12.75">
      <c r="A23578" s="8">
        <v>43893.789456018523</v>
      </c>
      <c r="B23578" s="8" t="str">
        <f>HYPERLINK("https://twitter.com/TsTsp71","@TsTsp71")</f>
        <v>@TsTsp71</v>
      </c>
      <c r="C23578" s="8" t="s">
        <v>6862</v>
      </c>
      <c r="D23578" s="8">
        <v>14</v>
      </c>
      <c r="E23578" s="8">
        <v>0</v>
      </c>
      <c r="F23578" s="8">
        <v>561</v>
      </c>
    </row>
    <row r="23579" spans="1:6" ht="12.75">
      <c r="A23579" s="8">
        <v>43893.789456018523</v>
      </c>
      <c r="B23579" s="8" t="str">
        <f>HYPERLINK("https://twitter.com/ARISSUS02666971","@ARISSUS02666971")</f>
        <v>@ARISSUS02666971</v>
      </c>
      <c r="C23579" s="8" t="s">
        <v>8272</v>
      </c>
      <c r="D23579" s="8">
        <v>26</v>
      </c>
      <c r="E23579" s="8">
        <v>0</v>
      </c>
      <c r="F23579" s="8">
        <v>155</v>
      </c>
    </row>
    <row r="23580" spans="1:6" ht="12.75">
      <c r="A23580" s="8">
        <v>43893.756574074076</v>
      </c>
      <c r="B23580" s="8" t="str">
        <f>HYPERLINK("https://twitter.com/m_natsirdmokrat","@m_natsirdmokrat")</f>
        <v>@m_natsirdmokrat</v>
      </c>
      <c r="C23580" s="8" t="s">
        <v>8184</v>
      </c>
      <c r="D23580" s="8">
        <v>2</v>
      </c>
      <c r="E23580" s="8">
        <v>0</v>
      </c>
      <c r="F23580" s="8">
        <v>3735</v>
      </c>
    </row>
    <row r="23581" spans="1:6" ht="12.75">
      <c r="A23581" s="8">
        <v>43893.756516203706</v>
      </c>
      <c r="B23581" s="8" t="str">
        <f>HYPERLINK("https://twitter.com/aminnissan","@aminnissan")</f>
        <v>@aminnissan</v>
      </c>
      <c r="C23581" s="8" t="s">
        <v>9572</v>
      </c>
      <c r="D23581" s="8">
        <v>0</v>
      </c>
      <c r="E23581" s="8">
        <v>0</v>
      </c>
      <c r="F23581" s="8">
        <v>13</v>
      </c>
    </row>
    <row r="23582" spans="1:6" ht="12.75">
      <c r="A23582" s="8">
        <v>43893.756469907406</v>
      </c>
      <c r="B23582" s="8" t="str">
        <f>HYPERLINK("https://twitter.com/lieur_euy","@lieur_euy")</f>
        <v>@lieur_euy</v>
      </c>
      <c r="C23582" s="8" t="s">
        <v>4477</v>
      </c>
      <c r="D23582" s="8">
        <v>1192</v>
      </c>
      <c r="E23582" s="8">
        <v>0</v>
      </c>
      <c r="F23582" s="8">
        <v>0</v>
      </c>
    </row>
    <row r="23583" spans="1:6" ht="12.75">
      <c r="A23583" s="8">
        <v>43893.756435185191</v>
      </c>
      <c r="B23583" s="8" t="str">
        <f>HYPERLINK("https://twitter.com/RezaNdeso","@RezaNdeso")</f>
        <v>@RezaNdeso</v>
      </c>
      <c r="C23583" s="8" t="s">
        <v>9573</v>
      </c>
      <c r="D23583" s="8">
        <v>0</v>
      </c>
      <c r="E23583" s="8">
        <v>0</v>
      </c>
      <c r="F23583" s="8">
        <v>503</v>
      </c>
    </row>
    <row r="23584" spans="1:6" ht="12.75">
      <c r="A23584" s="8">
        <v>43893.756365740745</v>
      </c>
      <c r="B23584" s="8" t="str">
        <f>HYPERLINK("https://twitter.com/ardeva20","@ardeva20")</f>
        <v>@ardeva20</v>
      </c>
      <c r="C23584" s="8" t="s">
        <v>1970</v>
      </c>
      <c r="D23584" s="8">
        <v>1144</v>
      </c>
      <c r="E23584" s="8">
        <v>0</v>
      </c>
      <c r="F23584" s="8">
        <v>22</v>
      </c>
    </row>
    <row r="23585" spans="1:6" ht="12.75">
      <c r="A23585" s="8">
        <v>43893.756354166668</v>
      </c>
      <c r="B23585" s="8" t="str">
        <f>HYPERLINK("https://twitter.com/man_alts","@man_alts")</f>
        <v>@man_alts</v>
      </c>
      <c r="C23585" s="8" t="s">
        <v>1970</v>
      </c>
      <c r="D23585" s="8">
        <v>1144</v>
      </c>
      <c r="E23585" s="8">
        <v>0</v>
      </c>
      <c r="F23585" s="8">
        <v>490</v>
      </c>
    </row>
    <row r="23586" spans="1:6" ht="12.75">
      <c r="A23586" s="8">
        <v>43893.756249999999</v>
      </c>
      <c r="B23586" s="8" t="str">
        <f>HYPERLINK("https://twitter.com/BiemLugiek","@BiemLugiek")</f>
        <v>@BiemLugiek</v>
      </c>
      <c r="C23586" s="8" t="s">
        <v>6315</v>
      </c>
      <c r="D23586" s="8">
        <v>53</v>
      </c>
      <c r="E23586" s="8">
        <v>0</v>
      </c>
      <c r="F23586" s="8">
        <v>135</v>
      </c>
    </row>
    <row r="23587" spans="1:6" ht="12.75">
      <c r="A23587" s="8">
        <v>43893.756168981483</v>
      </c>
      <c r="B23587" s="8" t="str">
        <f>HYPERLINK("https://twitter.com/Newbie102000","@Newbie102000")</f>
        <v>@Newbie102000</v>
      </c>
      <c r="C23587" s="8" t="s">
        <v>4151</v>
      </c>
      <c r="D23587" s="8">
        <v>1</v>
      </c>
      <c r="E23587" s="8">
        <v>0</v>
      </c>
      <c r="F23587" s="8">
        <v>71</v>
      </c>
    </row>
    <row r="23588" spans="1:6" ht="12.75">
      <c r="A23588" s="8">
        <v>43893.756145833337</v>
      </c>
      <c r="B23588" s="8" t="str">
        <f>HYPERLINK("https://twitter.com/Ilyas55120860","@Ilyas55120860")</f>
        <v>@Ilyas55120860</v>
      </c>
      <c r="C23588" s="8" t="s">
        <v>9574</v>
      </c>
      <c r="D23588" s="8">
        <v>78</v>
      </c>
      <c r="E23588" s="8">
        <v>0</v>
      </c>
      <c r="F23588" s="8">
        <v>113</v>
      </c>
    </row>
    <row r="23589" spans="1:6" ht="12.75">
      <c r="A23589" s="8">
        <v>43893.755995370375</v>
      </c>
      <c r="B23589" s="8" t="str">
        <f>HYPERLINK("https://twitter.com/humaspolsekboj1","@humaspolsekboj1")</f>
        <v>@humaspolsekboj1</v>
      </c>
      <c r="C23589" s="8" t="s">
        <v>9575</v>
      </c>
      <c r="D23589" s="8">
        <v>0</v>
      </c>
      <c r="E23589" s="8">
        <v>0</v>
      </c>
      <c r="F23589" s="8">
        <v>4</v>
      </c>
    </row>
    <row r="23590" spans="1:6" ht="12.75">
      <c r="A23590" s="8">
        <v>43893.75581018519</v>
      </c>
      <c r="B23590" s="8" t="str">
        <f>HYPERLINK("https://twitter.com/Okhe_Khatika","@Okhe_Khatika")</f>
        <v>@Okhe_Khatika</v>
      </c>
      <c r="C23590" s="8" t="s">
        <v>9576</v>
      </c>
      <c r="D23590" s="8">
        <v>3</v>
      </c>
      <c r="E23590" s="8">
        <v>0</v>
      </c>
      <c r="F23590" s="8">
        <v>759</v>
      </c>
    </row>
    <row r="23591" spans="1:6" ht="12.75">
      <c r="A23591" s="8">
        <v>43893.755798611106</v>
      </c>
      <c r="B23591" s="8" t="str">
        <f>HYPERLINK("https://twitter.com/realAbikaTrader","@realAbikaTrader")</f>
        <v>@realAbikaTrader</v>
      </c>
      <c r="C23591" s="8" t="s">
        <v>9577</v>
      </c>
      <c r="D23591" s="8">
        <v>2</v>
      </c>
      <c r="E23591" s="8">
        <v>0</v>
      </c>
      <c r="F23591" s="8">
        <v>1360</v>
      </c>
    </row>
    <row r="23592" spans="1:6" ht="12.75">
      <c r="A23592" s="8">
        <v>43893.755706018521</v>
      </c>
      <c r="B23592" s="8" t="str">
        <f>HYPERLINK("https://twitter.com/iNewsID","@iNewsID")</f>
        <v>@iNewsID</v>
      </c>
      <c r="C23592" s="8" t="s">
        <v>9578</v>
      </c>
      <c r="D23592" s="8">
        <v>0</v>
      </c>
      <c r="E23592" s="8">
        <v>0</v>
      </c>
      <c r="F23592" s="8">
        <v>1357</v>
      </c>
    </row>
    <row r="23593" spans="1:6" ht="12.75">
      <c r="A23593" s="8">
        <v>43893.755601851852</v>
      </c>
      <c r="B23593" s="8" t="str">
        <f>HYPERLINK("https://twitter.com/Norinurhuda","@Norinurhuda")</f>
        <v>@Norinurhuda</v>
      </c>
      <c r="C23593" s="8" t="s">
        <v>1427</v>
      </c>
      <c r="D23593" s="8">
        <v>947</v>
      </c>
      <c r="E23593" s="8">
        <v>0</v>
      </c>
      <c r="F23593" s="8">
        <v>216</v>
      </c>
    </row>
    <row r="23594" spans="1:6" ht="12.75">
      <c r="A23594" s="8">
        <v>43893.755590277782</v>
      </c>
      <c r="B23594" s="8" t="str">
        <f>HYPERLINK("https://twitter.com/cnbcindonesia","@cnbcindonesia")</f>
        <v>@cnbcindonesia</v>
      </c>
      <c r="C23594" s="8" t="s">
        <v>9579</v>
      </c>
      <c r="D23594" s="8">
        <v>2</v>
      </c>
      <c r="E23594" s="8">
        <v>1</v>
      </c>
      <c r="F23594" s="8">
        <v>31329</v>
      </c>
    </row>
    <row r="23595" spans="1:6" ht="12.75">
      <c r="A23595" s="8">
        <v>43893.755567129629</v>
      </c>
      <c r="B23595" s="8" t="str">
        <f>HYPERLINK("https://twitter.com/biru4420","@biru4420")</f>
        <v>@biru4420</v>
      </c>
      <c r="C23595" s="8" t="s">
        <v>8272</v>
      </c>
      <c r="D23595" s="8">
        <v>18</v>
      </c>
      <c r="E23595" s="8">
        <v>0</v>
      </c>
      <c r="F23595" s="8">
        <v>326</v>
      </c>
    </row>
    <row r="23596" spans="1:6" ht="12.75">
      <c r="A23596" s="8">
        <v>43893.755486111113</v>
      </c>
      <c r="B23596" s="8" t="str">
        <f>HYPERLINK("https://twitter.com/BatubaraFahreza","@BatubaraFahreza")</f>
        <v>@BatubaraFahreza</v>
      </c>
      <c r="C23596" s="8" t="s">
        <v>8901</v>
      </c>
      <c r="D23596" s="8">
        <v>156</v>
      </c>
      <c r="E23596" s="8">
        <v>0</v>
      </c>
      <c r="F23596" s="8">
        <v>621</v>
      </c>
    </row>
    <row r="23597" spans="1:6" ht="12.75">
      <c r="A23597" s="8">
        <v>43893.75545138889</v>
      </c>
      <c r="B23597" s="8" t="str">
        <f>HYPERLINK("https://twitter.com/Watrasri","@Watrasri")</f>
        <v>@Watrasri</v>
      </c>
      <c r="C23597" s="8" t="s">
        <v>8429</v>
      </c>
      <c r="D23597" s="8">
        <v>116</v>
      </c>
      <c r="E23597" s="8">
        <v>0</v>
      </c>
      <c r="F23597" s="8">
        <v>3486</v>
      </c>
    </row>
    <row r="23598" spans="1:6" ht="12.75">
      <c r="A23598" s="8">
        <v>43893.755324074074</v>
      </c>
      <c r="B23598" s="8" t="str">
        <f>HYPERLINK("https://twitter.com/ebithEBITH","@ebithEBITH")</f>
        <v>@ebithEBITH</v>
      </c>
      <c r="C23598" s="8" t="s">
        <v>9580</v>
      </c>
      <c r="D23598" s="8">
        <v>0</v>
      </c>
      <c r="E23598" s="8">
        <v>0</v>
      </c>
      <c r="F23598" s="8">
        <v>29560</v>
      </c>
    </row>
    <row r="23599" spans="1:6" ht="12.75">
      <c r="A23599" s="8">
        <v>43893.755254629628</v>
      </c>
      <c r="B23599" s="8" t="str">
        <f>HYPERLINK("https://twitter.com/heniunique","@heniunique")</f>
        <v>@heniunique</v>
      </c>
      <c r="C23599" s="8" t="s">
        <v>6315</v>
      </c>
      <c r="D23599" s="8">
        <v>53</v>
      </c>
      <c r="E23599" s="8">
        <v>0</v>
      </c>
      <c r="F23599" s="8">
        <v>9979</v>
      </c>
    </row>
    <row r="23600" spans="1:6" ht="12.75">
      <c r="A23600" s="8">
        <v>43893.755219907413</v>
      </c>
      <c r="B23600" s="8" t="str">
        <f>HYPERLINK("https://twitter.com/mangoecoep","@mangoecoep")</f>
        <v>@mangoecoep</v>
      </c>
      <c r="C23600" s="8" t="s">
        <v>1970</v>
      </c>
      <c r="D23600" s="8">
        <v>1144</v>
      </c>
      <c r="E23600" s="8">
        <v>0</v>
      </c>
      <c r="F23600" s="8">
        <v>476</v>
      </c>
    </row>
    <row r="23601" spans="1:6" ht="12.75">
      <c r="A23601" s="8">
        <v>43893.755185185189</v>
      </c>
      <c r="B23601" s="8" t="str">
        <f>HYPERLINK("https://twitter.com/ap_choubey","@ap_choubey")</f>
        <v>@ap_choubey</v>
      </c>
      <c r="C23601" s="8" t="s">
        <v>9581</v>
      </c>
      <c r="D23601" s="8">
        <v>0</v>
      </c>
      <c r="E23601" s="8">
        <v>0</v>
      </c>
      <c r="F23601" s="8">
        <v>64</v>
      </c>
    </row>
    <row r="23602" spans="1:6" ht="12.75">
      <c r="A23602" s="8">
        <v>43893.755150462966</v>
      </c>
      <c r="B23602" s="8" t="str">
        <f>HYPERLINK("https://twitter.com/Nurhayana","@Nurhayana")</f>
        <v>@Nurhayana</v>
      </c>
      <c r="C23602" s="8" t="s">
        <v>1970</v>
      </c>
      <c r="D23602" s="8">
        <v>1144</v>
      </c>
      <c r="E23602" s="8">
        <v>0</v>
      </c>
      <c r="F23602" s="8">
        <v>205</v>
      </c>
    </row>
    <row r="23603" spans="1:6" ht="12.75">
      <c r="A23603" s="8">
        <v>43893.755127314813</v>
      </c>
      <c r="B23603" s="8" t="str">
        <f>HYPERLINK("https://twitter.com/Dewaruci__","@Dewaruci__")</f>
        <v>@Dewaruci__</v>
      </c>
      <c r="C23603" s="8" t="s">
        <v>3257</v>
      </c>
      <c r="D23603" s="8">
        <v>25</v>
      </c>
      <c r="E23603" s="8">
        <v>0</v>
      </c>
      <c r="F23603" s="8">
        <v>4983</v>
      </c>
    </row>
    <row r="23604" spans="1:6" ht="12.75">
      <c r="A23604" s="8">
        <v>43893.75509259259</v>
      </c>
      <c r="B23604" s="8" t="str">
        <f>HYPERLINK("https://twitter.com/iNewsID","@iNewsID")</f>
        <v>@iNewsID</v>
      </c>
      <c r="C23604" s="8" t="s">
        <v>9582</v>
      </c>
      <c r="D23604" s="8">
        <v>0</v>
      </c>
      <c r="E23604" s="8">
        <v>0</v>
      </c>
      <c r="F23604" s="8">
        <v>1357</v>
      </c>
    </row>
    <row r="23605" spans="1:6" ht="12.75">
      <c r="A23605" s="8">
        <v>43893.754965277782</v>
      </c>
      <c r="B23605" s="8" t="str">
        <f>HYPERLINK("https://twitter.com/anti_vir_corona","@anti_vir_corona")</f>
        <v>@anti_vir_corona</v>
      </c>
      <c r="C23605" s="8" t="s">
        <v>9583</v>
      </c>
      <c r="D23605" s="8">
        <v>0</v>
      </c>
      <c r="E23605" s="8">
        <v>0</v>
      </c>
      <c r="F23605" s="8">
        <v>253</v>
      </c>
    </row>
    <row r="23606" spans="1:6" ht="12.75">
      <c r="A23606" s="8">
        <v>43893.754791666666</v>
      </c>
      <c r="B23606" s="8" t="str">
        <f>HYPERLINK("https://twitter.com/rakyatpos","@rakyatpos")</f>
        <v>@rakyatpos</v>
      </c>
      <c r="C23606" s="8" t="s">
        <v>9584</v>
      </c>
      <c r="D23606" s="8">
        <v>0</v>
      </c>
      <c r="E23606" s="8">
        <v>0</v>
      </c>
      <c r="F23606" s="8">
        <v>4017</v>
      </c>
    </row>
    <row r="23607" spans="1:6" ht="12.75">
      <c r="A23607" s="8">
        <v>43893.75472222222</v>
      </c>
      <c r="B23607" s="8" t="str">
        <f>HYPERLINK("https://twitter.com/orijhaha","@orijhaha")</f>
        <v>@orijhaha</v>
      </c>
      <c r="C23607" s="8" t="s">
        <v>1970</v>
      </c>
      <c r="D23607" s="8">
        <v>1144</v>
      </c>
      <c r="E23607" s="8">
        <v>0</v>
      </c>
      <c r="F23607" s="8">
        <v>238</v>
      </c>
    </row>
    <row r="23608" spans="1:6" ht="12.75">
      <c r="A23608" s="8">
        <v>43893.754421296297</v>
      </c>
      <c r="B23608" s="8" t="str">
        <f>HYPERLINK("https://twitter.com/humaspolsekboj1","@humaspolsekboj1")</f>
        <v>@humaspolsekboj1</v>
      </c>
      <c r="C23608" s="8" t="s">
        <v>9585</v>
      </c>
      <c r="D23608" s="8">
        <v>0</v>
      </c>
      <c r="E23608" s="8">
        <v>0</v>
      </c>
      <c r="F23608" s="8">
        <v>4</v>
      </c>
    </row>
    <row r="23609" spans="1:6" ht="12.75">
      <c r="A23609" s="8">
        <v>43893.754363425927</v>
      </c>
      <c r="B23609" s="8" t="str">
        <f>HYPERLINK("https://twitter.com/kyungbyunie","@kyungbyunie")</f>
        <v>@kyungbyunie</v>
      </c>
      <c r="C23609" s="8" t="s">
        <v>9586</v>
      </c>
      <c r="D23609" s="8">
        <v>0</v>
      </c>
      <c r="E23609" s="8">
        <v>0</v>
      </c>
      <c r="F23609" s="8">
        <v>259</v>
      </c>
    </row>
    <row r="23610" spans="1:6" ht="12.75">
      <c r="A23610" s="8">
        <v>43893.754328703704</v>
      </c>
      <c r="B23610" s="8" t="str">
        <f>HYPERLINK("https://twitter.com/iniakunnyananda","@iniakunnyananda")</f>
        <v>@iniakunnyananda</v>
      </c>
      <c r="C23610" s="8" t="s">
        <v>9587</v>
      </c>
      <c r="D23610" s="8">
        <v>219</v>
      </c>
      <c r="E23610" s="8">
        <v>0</v>
      </c>
      <c r="F23610" s="8">
        <v>308</v>
      </c>
    </row>
    <row r="23611" spans="1:6" ht="12.75">
      <c r="A23611" s="8">
        <v>43893.754259259258</v>
      </c>
      <c r="B23611" s="8" t="str">
        <f>HYPERLINK("https://twitter.com/Darmalik3","@Darmalik3")</f>
        <v>@Darmalik3</v>
      </c>
      <c r="C23611" s="8" t="s">
        <v>6315</v>
      </c>
      <c r="D23611" s="8">
        <v>53</v>
      </c>
      <c r="E23611" s="8">
        <v>0</v>
      </c>
      <c r="F23611" s="8">
        <v>1729</v>
      </c>
    </row>
    <row r="23612" spans="1:6" ht="12.75">
      <c r="A23612" s="8">
        <v>43893.75399305555</v>
      </c>
      <c r="B23612" s="8" t="str">
        <f>HYPERLINK("https://twitter.com/ZazaAnanda","@ZazaAnanda")</f>
        <v>@ZazaAnanda</v>
      </c>
      <c r="C23612" s="8" t="s">
        <v>9588</v>
      </c>
      <c r="D23612" s="8">
        <v>0</v>
      </c>
      <c r="E23612" s="8">
        <v>0</v>
      </c>
      <c r="F23612" s="8">
        <v>263</v>
      </c>
    </row>
    <row r="23613" spans="1:6" ht="12.75">
      <c r="A23613" s="8">
        <v>43893.753981481481</v>
      </c>
      <c r="B23613" s="8" t="str">
        <f>HYPERLINK("https://twitter.com/bsempit","@bsempit")</f>
        <v>@bsempit</v>
      </c>
      <c r="C23613" s="8" t="s">
        <v>9295</v>
      </c>
      <c r="D23613" s="8">
        <v>267</v>
      </c>
      <c r="E23613" s="8">
        <v>0</v>
      </c>
      <c r="F23613" s="8">
        <v>2024</v>
      </c>
    </row>
    <row r="23614" spans="1:6" ht="12.75">
      <c r="A23614" s="8">
        <v>43893.753969907411</v>
      </c>
      <c r="B23614" s="8" t="str">
        <f>HYPERLINK("https://twitter.com/aulia2199","@aulia2199")</f>
        <v>@aulia2199</v>
      </c>
      <c r="C23614" s="8" t="s">
        <v>8281</v>
      </c>
      <c r="D23614" s="8">
        <v>43</v>
      </c>
      <c r="E23614" s="8">
        <v>0</v>
      </c>
      <c r="F23614" s="8">
        <v>127</v>
      </c>
    </row>
    <row r="23615" spans="1:6" ht="12.75">
      <c r="A23615" s="8">
        <v>43893.753946759258</v>
      </c>
      <c r="B23615" s="8" t="str">
        <f>HYPERLINK("https://twitter.com/srhmakmrllh","@srhmakmrllh")</f>
        <v>@srhmakmrllh</v>
      </c>
      <c r="C23615" s="8" t="s">
        <v>9576</v>
      </c>
      <c r="D23615" s="8">
        <v>3</v>
      </c>
      <c r="E23615" s="8">
        <v>0</v>
      </c>
      <c r="F23615" s="8">
        <v>2</v>
      </c>
    </row>
    <row r="23616" spans="1:6" ht="12.75">
      <c r="A23616" s="8">
        <v>43893.753877314812</v>
      </c>
      <c r="B23616" s="8" t="str">
        <f>HYPERLINK("https://twitter.com/NoegrohoEddie","@NoegrohoEddie")</f>
        <v>@NoegrohoEddie</v>
      </c>
      <c r="C23616" s="8" t="s">
        <v>8272</v>
      </c>
      <c r="D23616" s="8">
        <v>18</v>
      </c>
      <c r="E23616" s="8">
        <v>0</v>
      </c>
      <c r="F23616" s="8">
        <v>567</v>
      </c>
    </row>
    <row r="23617" spans="1:6" ht="12.75">
      <c r="A23617" s="8">
        <v>43893.75377314815</v>
      </c>
      <c r="B23617" s="8" t="str">
        <f>HYPERLINK("https://twitter.com/R036__r","@R036__r")</f>
        <v>@R036__r</v>
      </c>
      <c r="C23617" s="8" t="s">
        <v>9589</v>
      </c>
      <c r="D23617" s="8">
        <v>5</v>
      </c>
      <c r="E23617" s="8">
        <v>0</v>
      </c>
      <c r="F23617" s="8">
        <v>4610</v>
      </c>
    </row>
    <row r="23618" spans="1:6" ht="12.75">
      <c r="A23618" s="8">
        <v>43893.753680555557</v>
      </c>
      <c r="B23618" s="8" t="str">
        <f>HYPERLINK("https://twitter.com/humaspolsekboj1","@humaspolsekboj1")</f>
        <v>@humaspolsekboj1</v>
      </c>
      <c r="C23618" s="8" t="s">
        <v>9590</v>
      </c>
      <c r="D23618" s="8">
        <v>0</v>
      </c>
      <c r="E23618" s="8">
        <v>0</v>
      </c>
      <c r="F23618" s="8">
        <v>4</v>
      </c>
    </row>
    <row r="23619" spans="1:6" ht="12.75">
      <c r="A23619" s="8">
        <v>43893.753483796296</v>
      </c>
      <c r="B23619" s="8" t="str">
        <f>HYPERLINK("https://twitter.com/Metro_TV","@Metro_TV")</f>
        <v>@Metro_TV</v>
      </c>
      <c r="C23619" s="8" t="s">
        <v>9591</v>
      </c>
      <c r="D23619" s="8">
        <v>1</v>
      </c>
      <c r="E23619" s="8">
        <v>4</v>
      </c>
      <c r="F23619" s="8">
        <v>10516393</v>
      </c>
    </row>
    <row r="23620" spans="1:6" ht="12.75">
      <c r="A23620" s="8">
        <v>43893.753391203703</v>
      </c>
      <c r="B23620" s="8" t="str">
        <f>HYPERLINK("https://twitter.com/MyBesar","@MyBesar")</f>
        <v>@MyBesar</v>
      </c>
      <c r="C23620" s="8" t="s">
        <v>9592</v>
      </c>
      <c r="D23620" s="8">
        <v>2</v>
      </c>
      <c r="E23620" s="8">
        <v>0</v>
      </c>
      <c r="F23620" s="8">
        <v>1193</v>
      </c>
    </row>
    <row r="23621" spans="1:6" ht="12.75">
      <c r="A23621" s="8">
        <v>43893.753344907411</v>
      </c>
      <c r="B23621" s="8" t="str">
        <f>HYPERLINK("https://twitter.com/Syaifuddinnor7","@Syaifuddinnor7")</f>
        <v>@Syaifuddinnor7</v>
      </c>
      <c r="C23621" s="8" t="s">
        <v>6862</v>
      </c>
      <c r="D23621" s="8">
        <v>121</v>
      </c>
      <c r="E23621" s="8">
        <v>0</v>
      </c>
      <c r="F23621" s="8">
        <v>568</v>
      </c>
    </row>
    <row r="23622" spans="1:6" ht="12.75">
      <c r="A23622" s="8">
        <v>43893.753298611111</v>
      </c>
      <c r="B23622" s="8" t="str">
        <f>HYPERLINK("https://twitter.com/didiklpambudi","@didiklpambudi")</f>
        <v>@didiklpambudi</v>
      </c>
      <c r="C23622" s="8" t="s">
        <v>8184</v>
      </c>
      <c r="D23622" s="8">
        <v>2</v>
      </c>
      <c r="E23622" s="8">
        <v>0</v>
      </c>
      <c r="F23622" s="8">
        <v>4426</v>
      </c>
    </row>
    <row r="23623" spans="1:6" ht="12.75">
      <c r="A23623" s="8">
        <v>43893.753206018519</v>
      </c>
      <c r="B23623" s="8" t="str">
        <f>HYPERLINK("https://twitter.com/IndonesiaGeneva","@IndonesiaGeneva")</f>
        <v>@IndonesiaGeneva</v>
      </c>
      <c r="C23623" s="8" t="s">
        <v>9593</v>
      </c>
      <c r="D23623" s="8">
        <v>0</v>
      </c>
      <c r="E23623" s="8">
        <v>0</v>
      </c>
      <c r="F23623" s="8">
        <v>348</v>
      </c>
    </row>
    <row r="23624" spans="1:6" ht="12.75">
      <c r="A23624" s="8">
        <v>43893.753055555557</v>
      </c>
      <c r="B23624" s="8" t="str">
        <f>HYPERLINK("https://twitter.com/jokoselong","@jokoselong")</f>
        <v>@jokoselong</v>
      </c>
      <c r="C23624" s="8" t="s">
        <v>8272</v>
      </c>
      <c r="D23624" s="8">
        <v>18</v>
      </c>
      <c r="E23624" s="8">
        <v>0</v>
      </c>
      <c r="F23624" s="8">
        <v>1770</v>
      </c>
    </row>
    <row r="23625" spans="1:6" ht="12.75">
      <c r="A23625" s="8">
        <v>43893.75304398148</v>
      </c>
      <c r="B23625" s="8" t="str">
        <f>HYPERLINK("https://twitter.com/IbhamJ","@IbhamJ")</f>
        <v>@IbhamJ</v>
      </c>
      <c r="C23625" s="8" t="s">
        <v>8970</v>
      </c>
      <c r="D23625" s="8">
        <v>71</v>
      </c>
      <c r="E23625" s="8">
        <v>0</v>
      </c>
      <c r="F23625" s="8">
        <v>774</v>
      </c>
    </row>
    <row r="23626" spans="1:6" ht="12.75">
      <c r="A23626" s="8">
        <v>43893.752939814818</v>
      </c>
      <c r="B23626" s="8" t="str">
        <f>HYPERLINK("https://twitter.com/manuel_agil","@manuel_agil")</f>
        <v>@manuel_agil</v>
      </c>
      <c r="C23626" s="8" t="s">
        <v>8429</v>
      </c>
      <c r="D23626" s="8">
        <v>116</v>
      </c>
      <c r="E23626" s="8">
        <v>0</v>
      </c>
      <c r="F23626" s="8">
        <v>3245</v>
      </c>
    </row>
    <row r="23627" spans="1:6" ht="12.75">
      <c r="A23627" s="8">
        <v>43893.752835648149</v>
      </c>
      <c r="B23627" s="8" t="str">
        <f>HYPERLINK("https://twitter.com/Darmalik3","@Darmalik3")</f>
        <v>@Darmalik3</v>
      </c>
      <c r="C23627" s="8" t="s">
        <v>9589</v>
      </c>
      <c r="D23627" s="8">
        <v>5</v>
      </c>
      <c r="E23627" s="8">
        <v>0</v>
      </c>
      <c r="F23627" s="8">
        <v>1729</v>
      </c>
    </row>
    <row r="23628" spans="1:6" ht="12.75">
      <c r="A23628" s="8">
        <v>43893.752789351856</v>
      </c>
      <c r="B23628" s="8" t="str">
        <f>HYPERLINK("https://twitter.com/sahaya1234","@sahaya1234")</f>
        <v>@sahaya1234</v>
      </c>
      <c r="C23628" s="8" t="s">
        <v>9594</v>
      </c>
      <c r="D23628" s="8">
        <v>6</v>
      </c>
      <c r="E23628" s="8">
        <v>0</v>
      </c>
      <c r="F23628" s="8">
        <v>854</v>
      </c>
    </row>
    <row r="23629" spans="1:6" ht="12.75">
      <c r="A23629" s="8">
        <v>43893.752650462964</v>
      </c>
      <c r="B23629" s="8" t="str">
        <f>HYPERLINK("https://twitter.com/n42if","@n42if")</f>
        <v>@n42if</v>
      </c>
      <c r="C23629" s="8" t="s">
        <v>1970</v>
      </c>
      <c r="D23629" s="8">
        <v>1144</v>
      </c>
      <c r="E23629" s="8">
        <v>0</v>
      </c>
      <c r="F23629" s="8">
        <v>498</v>
      </c>
    </row>
    <row r="23630" spans="1:6" ht="12.75">
      <c r="A23630" s="8">
        <v>43893.752615740741</v>
      </c>
      <c r="B23630" s="8" t="str">
        <f>HYPERLINK("https://twitter.com/HaziqHariz3","@HaziqHariz3")</f>
        <v>@HaziqHariz3</v>
      </c>
      <c r="C23630" s="8" t="s">
        <v>9333</v>
      </c>
      <c r="D23630" s="8">
        <v>7</v>
      </c>
      <c r="E23630" s="8">
        <v>0</v>
      </c>
      <c r="F23630" s="8">
        <v>785</v>
      </c>
    </row>
    <row r="23631" spans="1:6" ht="12.75">
      <c r="A23631" s="8">
        <v>43893.752581018518</v>
      </c>
      <c r="B23631" s="8" t="str">
        <f>HYPERLINK("https://twitter.com/ray_peuuma","@ray_peuuma")</f>
        <v>@ray_peuuma</v>
      </c>
      <c r="C23631" s="8" t="s">
        <v>8429</v>
      </c>
      <c r="D23631" s="8">
        <v>116</v>
      </c>
      <c r="E23631" s="8">
        <v>0</v>
      </c>
      <c r="F23631" s="8">
        <v>2210</v>
      </c>
    </row>
    <row r="23632" spans="1:6" ht="12.75">
      <c r="A23632" s="8">
        <v>43893.752557870372</v>
      </c>
      <c r="B23632" s="8" t="str">
        <f>HYPERLINK("https://twitter.com/Mezryant","@Mezryant")</f>
        <v>@Mezryant</v>
      </c>
      <c r="C23632" s="8" t="s">
        <v>1970</v>
      </c>
      <c r="D23632" s="8">
        <v>1144</v>
      </c>
      <c r="E23632" s="8">
        <v>0</v>
      </c>
      <c r="F23632" s="8">
        <v>115</v>
      </c>
    </row>
    <row r="23633" spans="1:6" ht="12.75">
      <c r="A23633" s="8">
        <v>43893.752465277779</v>
      </c>
      <c r="B23633" s="8" t="str">
        <f>HYPERLINK("https://twitter.com/Subadi_Sigit_W","@Subadi_Sigit_W")</f>
        <v>@Subadi_Sigit_W</v>
      </c>
      <c r="C23633" s="8" t="s">
        <v>8272</v>
      </c>
      <c r="D23633" s="8">
        <v>18</v>
      </c>
      <c r="E23633" s="8">
        <v>0</v>
      </c>
      <c r="F23633" s="8">
        <v>267</v>
      </c>
    </row>
    <row r="23634" spans="1:6" ht="12.75">
      <c r="A23634" s="8">
        <v>43893.752291666664</v>
      </c>
      <c r="B23634" s="8" t="str">
        <f>HYPERLINK("https://twitter.com/myozhyme","@myozhyme")</f>
        <v>@myozhyme</v>
      </c>
      <c r="C23634" s="8" t="s">
        <v>9595</v>
      </c>
      <c r="D23634" s="8">
        <v>65</v>
      </c>
      <c r="E23634" s="8">
        <v>0</v>
      </c>
      <c r="F23634" s="8">
        <v>11022</v>
      </c>
    </row>
    <row r="23635" spans="1:6" ht="12.75">
      <c r="A23635" s="8">
        <v>43893.752199074079</v>
      </c>
      <c r="B23635" s="8" t="str">
        <f>HYPERLINK("https://twitter.com/Official_MNCTV","@Official_MNCTV")</f>
        <v>@Official_MNCTV</v>
      </c>
      <c r="C23635" s="8" t="s">
        <v>9596</v>
      </c>
      <c r="D23635" s="8">
        <v>2</v>
      </c>
      <c r="E23635" s="8">
        <v>0</v>
      </c>
      <c r="F23635" s="8">
        <v>815787</v>
      </c>
    </row>
    <row r="23636" spans="1:6" ht="12.75">
      <c r="A23636" s="8">
        <v>43893.752037037033</v>
      </c>
      <c r="B23636" s="8" t="str">
        <f>HYPERLINK("https://twitter.com/BangHelmy","@BangHelmy")</f>
        <v>@BangHelmy</v>
      </c>
      <c r="C23636" s="8" t="s">
        <v>9597</v>
      </c>
      <c r="D23636" s="8">
        <v>5</v>
      </c>
      <c r="E23636" s="8">
        <v>0</v>
      </c>
      <c r="F23636" s="8">
        <v>302</v>
      </c>
    </row>
    <row r="23637" spans="1:6" ht="12.75">
      <c r="A23637" s="8">
        <v>43893.751840277779</v>
      </c>
      <c r="B23637" s="8" t="str">
        <f>HYPERLINK("https://twitter.com/Ephitome24","@Ephitome24")</f>
        <v>@Ephitome24</v>
      </c>
      <c r="C23637" s="8" t="s">
        <v>685</v>
      </c>
      <c r="D23637" s="8">
        <v>104</v>
      </c>
      <c r="E23637" s="8">
        <v>0</v>
      </c>
      <c r="F23637" s="8">
        <v>945</v>
      </c>
    </row>
    <row r="23638" spans="1:6" ht="12.75">
      <c r="A23638" s="8">
        <v>43893.751793981486</v>
      </c>
      <c r="B23638" s="8" t="str">
        <f>HYPERLINK("https://twitter.com/blifunday","@blifunday")</f>
        <v>@blifunday</v>
      </c>
      <c r="C23638" s="8" t="s">
        <v>6315</v>
      </c>
      <c r="D23638" s="8">
        <v>53</v>
      </c>
      <c r="E23638" s="8">
        <v>0</v>
      </c>
      <c r="F23638" s="8">
        <v>933</v>
      </c>
    </row>
    <row r="23639" spans="1:6" ht="12.75">
      <c r="A23639" s="8">
        <v>43893.75163194444</v>
      </c>
      <c r="B23639" s="8" t="str">
        <f>HYPERLINK("https://twitter.com/tanya_redo33","@tanya_redo33")</f>
        <v>@tanya_redo33</v>
      </c>
      <c r="C23639" s="8" t="s">
        <v>9295</v>
      </c>
      <c r="D23639" s="8">
        <v>267</v>
      </c>
      <c r="E23639" s="8">
        <v>0</v>
      </c>
      <c r="F23639" s="8">
        <v>242</v>
      </c>
    </row>
    <row r="23640" spans="1:6" ht="12.75">
      <c r="A23640" s="8">
        <v>43893.751539351855</v>
      </c>
      <c r="B23640" s="8" t="str">
        <f>HYPERLINK("https://twitter.com/Dragon87561641","@Dragon87561641")</f>
        <v>@Dragon87561641</v>
      </c>
      <c r="C23640" s="8" t="s">
        <v>6315</v>
      </c>
      <c r="D23640" s="8">
        <v>53</v>
      </c>
      <c r="E23640" s="8">
        <v>0</v>
      </c>
      <c r="F23640" s="8">
        <v>2083</v>
      </c>
    </row>
    <row r="23641" spans="1:6" ht="12.75">
      <c r="A23641" s="8">
        <v>43893.751469907409</v>
      </c>
      <c r="B23641" s="8" t="str">
        <f>HYPERLINK("https://twitter.com/poncokarso","@poncokarso")</f>
        <v>@poncokarso</v>
      </c>
      <c r="C23641" s="8" t="s">
        <v>8868</v>
      </c>
      <c r="D23641" s="8">
        <v>67</v>
      </c>
      <c r="E23641" s="8">
        <v>0</v>
      </c>
      <c r="F23641" s="8">
        <v>1121</v>
      </c>
    </row>
    <row r="23642" spans="1:6" ht="12.75">
      <c r="A23642" s="8">
        <v>43893.751400462963</v>
      </c>
      <c r="B23642" s="8" t="str">
        <f>HYPERLINK("https://twitter.com/johnsbhat234","@johnsbhat234")</f>
        <v>@johnsbhat234</v>
      </c>
      <c r="C23642" s="8" t="s">
        <v>8868</v>
      </c>
      <c r="D23642" s="8">
        <v>67</v>
      </c>
      <c r="E23642" s="8">
        <v>0</v>
      </c>
      <c r="F23642" s="8">
        <v>2327</v>
      </c>
    </row>
    <row r="23643" spans="1:6" ht="12.75">
      <c r="A23643" s="8">
        <v>43893.751377314809</v>
      </c>
      <c r="B23643" s="8" t="str">
        <f>HYPERLINK("https://twitter.com/Ujang84290070","@Ujang84290070")</f>
        <v>@Ujang84290070</v>
      </c>
      <c r="C23643" s="8" t="s">
        <v>2199</v>
      </c>
      <c r="D23643" s="8">
        <v>8987</v>
      </c>
      <c r="E23643" s="8">
        <v>0</v>
      </c>
      <c r="F23643" s="8">
        <v>177</v>
      </c>
    </row>
    <row r="23644" spans="1:6" ht="12.75">
      <c r="A23644" s="8">
        <v>43893.751134259262</v>
      </c>
      <c r="B23644" s="8" t="str">
        <f>HYPERLINK("https://twitter.com/heru_tanjuang","@heru_tanjuang")</f>
        <v>@heru_tanjuang</v>
      </c>
      <c r="C23644" s="8" t="s">
        <v>8272</v>
      </c>
      <c r="D23644" s="8">
        <v>18</v>
      </c>
      <c r="E23644" s="8">
        <v>0</v>
      </c>
      <c r="F23644" s="8">
        <v>2204</v>
      </c>
    </row>
    <row r="23645" spans="1:6" ht="12.75">
      <c r="A23645" s="8">
        <v>43893.751134259262</v>
      </c>
      <c r="B23645" s="8" t="str">
        <f>HYPERLINK("https://twitter.com/fannianuralviaw","@fannianuralviaw")</f>
        <v>@fannianuralviaw</v>
      </c>
      <c r="C23645" s="8" t="s">
        <v>1427</v>
      </c>
      <c r="D23645" s="8">
        <v>947</v>
      </c>
      <c r="E23645" s="8">
        <v>0</v>
      </c>
      <c r="F23645" s="8">
        <v>40</v>
      </c>
    </row>
    <row r="23646" spans="1:6" ht="12.75">
      <c r="A23646" s="8">
        <v>43893.751064814816</v>
      </c>
      <c r="B23646" s="8" t="str">
        <f>HYPERLINK("https://twitter.com/endeeste","@endeeste")</f>
        <v>@endeeste</v>
      </c>
      <c r="C23646" s="8" t="s">
        <v>685</v>
      </c>
      <c r="D23646" s="8">
        <v>104</v>
      </c>
      <c r="E23646" s="8">
        <v>0</v>
      </c>
      <c r="F23646" s="8">
        <v>234</v>
      </c>
    </row>
    <row r="23647" spans="1:6" ht="12.75">
      <c r="A23647" s="8">
        <v>43893.75105324074</v>
      </c>
      <c r="B23647" s="8" t="str">
        <f>HYPERLINK("https://twitter.com/SaatTobat","@SaatTobat")</f>
        <v>@SaatTobat</v>
      </c>
      <c r="C23647" s="8" t="s">
        <v>9576</v>
      </c>
      <c r="D23647" s="8">
        <v>3</v>
      </c>
      <c r="E23647" s="8">
        <v>0</v>
      </c>
      <c r="F23647" s="8">
        <v>1458</v>
      </c>
    </row>
    <row r="23648" spans="1:6" ht="12.75">
      <c r="A23648" s="8">
        <v>43893.751041666663</v>
      </c>
      <c r="B23648" s="8" t="str">
        <f>HYPERLINK("https://twitter.com/bangkitriambada","@bangkitriambada")</f>
        <v>@bangkitriambada</v>
      </c>
      <c r="C23648" s="8" t="s">
        <v>9598</v>
      </c>
      <c r="D23648" s="8">
        <v>2</v>
      </c>
      <c r="E23648" s="8">
        <v>0</v>
      </c>
      <c r="F23648" s="8">
        <v>209</v>
      </c>
    </row>
    <row r="23649" spans="1:6" ht="12.75">
      <c r="A23649" s="8">
        <v>43893.751030092593</v>
      </c>
      <c r="B23649" s="8" t="str">
        <f>HYPERLINK("https://twitter.com/staffgaksus","@staffgaksus")</f>
        <v>@staffgaksus</v>
      </c>
      <c r="C23649" s="8" t="s">
        <v>9599</v>
      </c>
      <c r="D23649" s="8">
        <v>0</v>
      </c>
      <c r="E23649" s="8">
        <v>0</v>
      </c>
      <c r="F23649" s="8">
        <v>42</v>
      </c>
    </row>
    <row r="23650" spans="1:6" ht="12.75">
      <c r="A23650" s="8">
        <v>43893.750891203701</v>
      </c>
      <c r="B23650" s="8" t="str">
        <f>HYPERLINK("https://twitter.com/Rifags","@Rifags")</f>
        <v>@Rifags</v>
      </c>
      <c r="C23650" s="8" t="s">
        <v>1427</v>
      </c>
      <c r="D23650" s="8">
        <v>947</v>
      </c>
      <c r="E23650" s="8">
        <v>0</v>
      </c>
      <c r="F23650" s="8">
        <v>1749</v>
      </c>
    </row>
    <row r="23651" spans="1:6" ht="12.75">
      <c r="A23651" s="8">
        <v>43893.750891203701</v>
      </c>
      <c r="B23651" s="8" t="str">
        <f>HYPERLINK("https://twitter.com/sulaimanadmiral","@sulaimanadmiral")</f>
        <v>@sulaimanadmiral</v>
      </c>
      <c r="C23651" s="8" t="s">
        <v>6315</v>
      </c>
      <c r="D23651" s="8">
        <v>53</v>
      </c>
      <c r="E23651" s="8">
        <v>0</v>
      </c>
      <c r="F23651" s="8">
        <v>575</v>
      </c>
    </row>
    <row r="23652" spans="1:6" ht="12.75">
      <c r="A23652" s="8">
        <v>43893.750856481478</v>
      </c>
      <c r="B23652" s="8" t="str">
        <f>HYPERLINK("https://twitter.com/xopch","@xopch")</f>
        <v>@xopch</v>
      </c>
      <c r="C23652" s="8" t="s">
        <v>9600</v>
      </c>
      <c r="D23652" s="8">
        <v>0</v>
      </c>
      <c r="E23652" s="8">
        <v>0</v>
      </c>
      <c r="F23652" s="8">
        <v>1106</v>
      </c>
    </row>
    <row r="23653" spans="1:6" ht="12.75">
      <c r="A23653" s="8">
        <v>43893.750856481478</v>
      </c>
      <c r="B23653" s="8" t="str">
        <f>HYPERLINK("https://twitter.com/endeeste","@endeeste")</f>
        <v>@endeeste</v>
      </c>
      <c r="C23653" s="8" t="s">
        <v>7197</v>
      </c>
      <c r="D23653" s="8">
        <v>75</v>
      </c>
      <c r="E23653" s="8">
        <v>0</v>
      </c>
      <c r="F23653" s="8">
        <v>234</v>
      </c>
    </row>
    <row r="23654" spans="1:6" ht="12.75">
      <c r="A23654" s="8">
        <v>43893.750798611116</v>
      </c>
      <c r="B23654" s="8" t="str">
        <f>HYPERLINK("https://twitter.com/nasherhuwel","@nasherhuwel")</f>
        <v>@nasherhuwel</v>
      </c>
      <c r="C23654" s="8" t="s">
        <v>8776</v>
      </c>
      <c r="D23654" s="8">
        <v>192</v>
      </c>
      <c r="E23654" s="8">
        <v>0</v>
      </c>
      <c r="F23654" s="8">
        <v>230</v>
      </c>
    </row>
    <row r="23655" spans="1:6" ht="12.75">
      <c r="A23655" s="8">
        <v>43893.75063657407</v>
      </c>
      <c r="B23655" s="8" t="str">
        <f>HYPERLINK("https://twitter.com/Bamin_Achmad","@Bamin_Achmad")</f>
        <v>@Bamin_Achmad</v>
      </c>
      <c r="C23655" s="8" t="s">
        <v>9160</v>
      </c>
      <c r="D23655" s="8">
        <v>3</v>
      </c>
      <c r="E23655" s="8">
        <v>0</v>
      </c>
      <c r="F23655" s="8">
        <v>2838</v>
      </c>
    </row>
    <row r="23656" spans="1:6" ht="12.75">
      <c r="A23656" s="8">
        <v>43893.75063657407</v>
      </c>
      <c r="B23656" s="8" t="str">
        <f>HYPERLINK("https://twitter.com/MNCNewsroom","@MNCNewsroom")</f>
        <v>@MNCNewsroom</v>
      </c>
      <c r="C23656" s="8" t="s">
        <v>9601</v>
      </c>
      <c r="D23656" s="8">
        <v>2</v>
      </c>
      <c r="E23656" s="8">
        <v>0</v>
      </c>
      <c r="F23656" s="8">
        <v>17579</v>
      </c>
    </row>
    <row r="23657" spans="1:6" ht="12.75">
      <c r="A23657" s="8">
        <v>43893.750625000001</v>
      </c>
      <c r="B23657" s="8" t="str">
        <f>HYPERLINK("https://twitter.com/KKP_Bandung","@KKP_Bandung")</f>
        <v>@KKP_Bandung</v>
      </c>
      <c r="C23657" s="8" t="s">
        <v>3039</v>
      </c>
      <c r="D23657" s="8">
        <v>32</v>
      </c>
      <c r="E23657" s="8">
        <v>0</v>
      </c>
      <c r="F23657" s="8">
        <v>17</v>
      </c>
    </row>
    <row r="23658" spans="1:6" ht="12.75">
      <c r="A23658" s="8">
        <v>43893.750486111108</v>
      </c>
      <c r="B23658" s="8" t="str">
        <f>HYPERLINK("https://twitter.com/anti_vir_corona","@anti_vir_corona")</f>
        <v>@anti_vir_corona</v>
      </c>
      <c r="C23658" s="8" t="s">
        <v>9602</v>
      </c>
      <c r="D23658" s="8">
        <v>0</v>
      </c>
      <c r="E23658" s="8">
        <v>0</v>
      </c>
      <c r="F23658" s="8">
        <v>253</v>
      </c>
    </row>
    <row r="23659" spans="1:6" ht="12.75">
      <c r="A23659" s="8">
        <v>43893.750451388885</v>
      </c>
      <c r="B23659" s="8" t="str">
        <f>HYPERLINK("https://twitter.com/umaamika","@umaamika")</f>
        <v>@umaamika</v>
      </c>
      <c r="C23659" s="8" t="s">
        <v>2962</v>
      </c>
      <c r="D23659" s="8">
        <v>5562</v>
      </c>
      <c r="E23659" s="8">
        <v>0</v>
      </c>
      <c r="F23659" s="8">
        <v>414</v>
      </c>
    </row>
    <row r="23660" spans="1:6" ht="12.75">
      <c r="A23660" s="8">
        <v>43893.750439814816</v>
      </c>
      <c r="B23660" s="8" t="str">
        <f>HYPERLINK("https://twitter.com/boruayah","@boruayah")</f>
        <v>@boruayah</v>
      </c>
      <c r="C23660" s="8" t="s">
        <v>9603</v>
      </c>
      <c r="D23660" s="8">
        <v>0</v>
      </c>
      <c r="E23660" s="8">
        <v>0</v>
      </c>
      <c r="F23660" s="8">
        <v>86</v>
      </c>
    </row>
    <row r="23661" spans="1:6" ht="12.75">
      <c r="A23661" s="8">
        <v>43893.75037037037</v>
      </c>
      <c r="B23661" s="8" t="str">
        <f>HYPERLINK("https://twitter.com/Metro_TV","@Metro_TV")</f>
        <v>@Metro_TV</v>
      </c>
      <c r="C23661" s="8" t="s">
        <v>9604</v>
      </c>
      <c r="D23661" s="8">
        <v>3</v>
      </c>
      <c r="E23661" s="8">
        <v>6</v>
      </c>
      <c r="F23661" s="8">
        <v>10516393</v>
      </c>
    </row>
    <row r="23662" spans="1:6" ht="12.75">
      <c r="A23662" s="8">
        <v>43893.7502662037</v>
      </c>
      <c r="B23662" s="8" t="str">
        <f>HYPERLINK("https://twitter.com/Irulbasyaruddin","@Irulbasyaruddin")</f>
        <v>@Irulbasyaruddin</v>
      </c>
      <c r="C23662" s="8" t="s">
        <v>9605</v>
      </c>
      <c r="D23662" s="8">
        <v>0</v>
      </c>
      <c r="E23662" s="8">
        <v>0</v>
      </c>
      <c r="F23662" s="8">
        <v>145</v>
      </c>
    </row>
    <row r="23663" spans="1:6" ht="12.75">
      <c r="A23663" s="8">
        <v>43893.750243055554</v>
      </c>
      <c r="B23663" s="8" t="str">
        <f>HYPERLINK("https://twitter.com/Sangabuana17","@Sangabuana17")</f>
        <v>@Sangabuana17</v>
      </c>
      <c r="C23663" s="8" t="s">
        <v>9606</v>
      </c>
      <c r="D23663" s="8">
        <v>2</v>
      </c>
      <c r="E23663" s="8">
        <v>0</v>
      </c>
      <c r="F23663" s="8">
        <v>132</v>
      </c>
    </row>
    <row r="23664" spans="1:6" ht="12.75">
      <c r="A23664" s="8">
        <v>43893.750208333338</v>
      </c>
      <c r="B23664" s="8" t="str">
        <f>HYPERLINK("https://twitter.com/J4lakBali","@J4lakBali")</f>
        <v>@J4lakBali</v>
      </c>
      <c r="C23664" s="8" t="s">
        <v>8868</v>
      </c>
      <c r="D23664" s="8">
        <v>67</v>
      </c>
      <c r="E23664" s="8">
        <v>0</v>
      </c>
      <c r="F23664" s="8">
        <v>3629</v>
      </c>
    </row>
    <row r="23665" spans="1:6" ht="12.75">
      <c r="A23665" s="8">
        <v>43893.750208333338</v>
      </c>
      <c r="B23665" s="8" t="str">
        <f>HYPERLINK("https://twitter.com/BMIjatim_","@BMIjatim_")</f>
        <v>@BMIjatim_</v>
      </c>
      <c r="C23665" s="8" t="s">
        <v>9607</v>
      </c>
      <c r="D23665" s="8">
        <v>1</v>
      </c>
      <c r="E23665" s="8">
        <v>0</v>
      </c>
      <c r="F23665" s="8">
        <v>238</v>
      </c>
    </row>
    <row r="23666" spans="1:6" ht="12.75">
      <c r="A23666" s="8">
        <v>43893.750138888892</v>
      </c>
      <c r="B23666" s="8" t="str">
        <f>HYPERLINK("https://twitter.com/NutrimaxID","@NutrimaxID")</f>
        <v>@NutrimaxID</v>
      </c>
      <c r="C23666" s="8" t="s">
        <v>9608</v>
      </c>
      <c r="D23666" s="8">
        <v>0</v>
      </c>
      <c r="E23666" s="8">
        <v>0</v>
      </c>
      <c r="F23666" s="8">
        <v>186</v>
      </c>
    </row>
    <row r="23667" spans="1:6" ht="12.75">
      <c r="A23667" s="8">
        <v>43893.750115740739</v>
      </c>
      <c r="B23667" s="8" t="str">
        <f>HYPERLINK("https://twitter.com/tweetdimbir","@tweetdimbir")</f>
        <v>@tweetdimbir</v>
      </c>
      <c r="C23667" s="8" t="s">
        <v>9220</v>
      </c>
      <c r="D23667" s="8">
        <v>2</v>
      </c>
      <c r="E23667" s="8">
        <v>0</v>
      </c>
      <c r="F23667" s="8">
        <v>20</v>
      </c>
    </row>
    <row r="23668" spans="1:6" ht="12.75">
      <c r="A23668" s="8">
        <v>43893.750069444446</v>
      </c>
      <c r="B23668" s="8" t="str">
        <f>HYPERLINK("https://twitter.com/IntanNI_","@IntanNI_")</f>
        <v>@IntanNI_</v>
      </c>
      <c r="C23668" s="8" t="s">
        <v>9609</v>
      </c>
      <c r="D23668" s="8">
        <v>0</v>
      </c>
      <c r="E23668" s="8">
        <v>0</v>
      </c>
      <c r="F23668" s="8">
        <v>620</v>
      </c>
    </row>
    <row r="23669" spans="1:6" ht="12.75">
      <c r="A23669" s="8">
        <v>43893.750046296293</v>
      </c>
      <c r="B23669" s="8" t="str">
        <f>HYPERLINK("https://twitter.com/muhammadsyamir","@muhammadsyamir")</f>
        <v>@muhammadsyamir</v>
      </c>
      <c r="C23669" s="8" t="s">
        <v>9493</v>
      </c>
      <c r="D23669" s="8">
        <v>20</v>
      </c>
      <c r="E23669" s="8">
        <v>0</v>
      </c>
      <c r="F23669" s="8">
        <v>807</v>
      </c>
    </row>
    <row r="23670" spans="1:6" ht="12.75">
      <c r="A23670" s="8">
        <v>43893.750023148154</v>
      </c>
      <c r="B23670" s="8" t="str">
        <f>HYPERLINK("https://twitter.com/maximus_syukur","@maximus_syukur")</f>
        <v>@maximus_syukur</v>
      </c>
      <c r="C23670" s="8" t="s">
        <v>9552</v>
      </c>
      <c r="D23670" s="8">
        <v>7</v>
      </c>
      <c r="E23670" s="8">
        <v>0</v>
      </c>
      <c r="F23670" s="8">
        <v>1573</v>
      </c>
    </row>
    <row r="23671" spans="1:6" ht="12.75">
      <c r="A23671" s="8">
        <v>43893.75</v>
      </c>
      <c r="B23671" s="8" t="str">
        <f>HYPERLINK("https://twitter.com/NattVensianati","@NattVensianati")</f>
        <v>@NattVensianati</v>
      </c>
      <c r="C23671" s="8" t="s">
        <v>9343</v>
      </c>
      <c r="D23671" s="8">
        <v>20</v>
      </c>
      <c r="E23671" s="8">
        <v>0</v>
      </c>
      <c r="F23671" s="8">
        <v>115</v>
      </c>
    </row>
    <row r="23672" spans="1:6" ht="12.75">
      <c r="A23672" s="8">
        <v>43893.74998842593</v>
      </c>
      <c r="B23672" s="8" t="str">
        <f>HYPERLINK("https://twitter.com/miharja_ozzy","@miharja_ozzy")</f>
        <v>@miharja_ozzy</v>
      </c>
      <c r="C23672" s="8" t="s">
        <v>9610</v>
      </c>
      <c r="D23672" s="8">
        <v>1</v>
      </c>
      <c r="E23672" s="8">
        <v>0</v>
      </c>
      <c r="F23672" s="8">
        <v>82</v>
      </c>
    </row>
    <row r="23673" spans="1:6" ht="12.75">
      <c r="A23673" s="8">
        <v>43893.749780092592</v>
      </c>
      <c r="B23673" s="8" t="str">
        <f>HYPERLINK("https://twitter.com/RianDelRey","@RianDelRey")</f>
        <v>@RianDelRey</v>
      </c>
      <c r="C23673" s="8" t="s">
        <v>1970</v>
      </c>
      <c r="D23673" s="8">
        <v>1144</v>
      </c>
      <c r="E23673" s="8">
        <v>0</v>
      </c>
      <c r="F23673" s="8">
        <v>673</v>
      </c>
    </row>
    <row r="23674" spans="1:6" ht="12.75">
      <c r="A23674" s="8">
        <v>43893.7497337963</v>
      </c>
      <c r="B23674" s="8" t="str">
        <f>HYPERLINK("https://twitter.com/Faylasalle2","@Faylasalle2")</f>
        <v>@Faylasalle2</v>
      </c>
      <c r="C23674" s="8" t="s">
        <v>9128</v>
      </c>
      <c r="D23674" s="8">
        <v>179</v>
      </c>
      <c r="E23674" s="8">
        <v>0</v>
      </c>
      <c r="F23674" s="8">
        <v>523</v>
      </c>
    </row>
    <row r="23675" spans="1:6" ht="12.75">
      <c r="A23675" s="8">
        <v>43893.749722222223</v>
      </c>
      <c r="B23675" s="8" t="str">
        <f>HYPERLINK("https://twitter.com/staffgaksus","@staffgaksus")</f>
        <v>@staffgaksus</v>
      </c>
      <c r="C23675" s="8" t="s">
        <v>9611</v>
      </c>
      <c r="D23675" s="8">
        <v>0</v>
      </c>
      <c r="E23675" s="8">
        <v>0</v>
      </c>
      <c r="F23675" s="8">
        <v>42</v>
      </c>
    </row>
    <row r="23676" spans="1:6" ht="12.75">
      <c r="A23676" s="8">
        <v>43893.749560185184</v>
      </c>
      <c r="B23676" s="8" t="str">
        <f>HYPERLINK("https://twitter.com/MAlexandriet","@MAlexandriet")</f>
        <v>@MAlexandriet</v>
      </c>
      <c r="C23676" s="8" t="s">
        <v>8429</v>
      </c>
      <c r="D23676" s="8">
        <v>116</v>
      </c>
      <c r="E23676" s="8">
        <v>0</v>
      </c>
      <c r="F23676" s="8">
        <v>201</v>
      </c>
    </row>
    <row r="23677" spans="1:6" ht="12.75">
      <c r="A23677" s="8">
        <v>43893.749351851853</v>
      </c>
      <c r="B23677" s="8" t="str">
        <f>HYPERLINK("https://twitter.com/sirodjudin_ID","@sirodjudin_ID")</f>
        <v>@sirodjudin_ID</v>
      </c>
      <c r="C23677" s="8" t="s">
        <v>6315</v>
      </c>
      <c r="D23677" s="8">
        <v>53</v>
      </c>
      <c r="E23677" s="8">
        <v>0</v>
      </c>
      <c r="F23677" s="8">
        <v>3498</v>
      </c>
    </row>
    <row r="23678" spans="1:6" ht="12.75">
      <c r="A23678" s="8">
        <v>43893.74931712963</v>
      </c>
      <c r="B23678" s="8" t="str">
        <f>HYPERLINK("https://twitter.com/nabanmudrik","@nabanmudrik")</f>
        <v>@nabanmudrik</v>
      </c>
      <c r="C23678" s="8" t="s">
        <v>7197</v>
      </c>
      <c r="D23678" s="8">
        <v>75</v>
      </c>
      <c r="E23678" s="8">
        <v>0</v>
      </c>
      <c r="F23678" s="8">
        <v>812</v>
      </c>
    </row>
    <row r="23679" spans="1:6" ht="12.75">
      <c r="A23679" s="8">
        <v>43893.749282407407</v>
      </c>
      <c r="B23679" s="8" t="str">
        <f>HYPERLINK("https://twitter.com/amang_123","@amang_123")</f>
        <v>@amang_123</v>
      </c>
      <c r="C23679" s="8" t="s">
        <v>8272</v>
      </c>
      <c r="D23679" s="8">
        <v>18</v>
      </c>
      <c r="E23679" s="8">
        <v>0</v>
      </c>
      <c r="F23679" s="8">
        <v>1273</v>
      </c>
    </row>
    <row r="23680" spans="1:6" ht="12.75">
      <c r="A23680" s="8">
        <v>43893.715104166666</v>
      </c>
      <c r="B23680" s="8" t="str">
        <f>HYPERLINK("https://twitter.com/AdiMawa22441862","@AdiMawa22441862")</f>
        <v>@AdiMawa22441862</v>
      </c>
      <c r="C23680" s="8" t="s">
        <v>9612</v>
      </c>
      <c r="D23680" s="8">
        <v>0</v>
      </c>
      <c r="E23680" s="8">
        <v>0</v>
      </c>
      <c r="F23680" s="8">
        <v>183</v>
      </c>
    </row>
    <row r="23681" spans="1:6" ht="12.75">
      <c r="A23681" s="8">
        <v>43893.715011574073</v>
      </c>
      <c r="B23681" s="8" t="str">
        <f>HYPERLINK("https://twitter.com/Karjani15","@Karjani15")</f>
        <v>@Karjani15</v>
      </c>
      <c r="C23681" s="8" t="s">
        <v>5732</v>
      </c>
      <c r="D23681" s="8">
        <v>2162</v>
      </c>
      <c r="E23681" s="8">
        <v>0</v>
      </c>
      <c r="F23681" s="8">
        <v>1061</v>
      </c>
    </row>
    <row r="23682" spans="1:6" ht="12.75">
      <c r="A23682" s="8">
        <v>43893.714965277773</v>
      </c>
      <c r="B23682" s="8" t="str">
        <f>HYPERLINK("https://twitter.com/Wihar18","@Wihar18")</f>
        <v>@Wihar18</v>
      </c>
      <c r="C23682" s="8" t="s">
        <v>7597</v>
      </c>
      <c r="D23682" s="8">
        <v>692</v>
      </c>
      <c r="E23682" s="8">
        <v>0</v>
      </c>
      <c r="F23682" s="8">
        <v>34</v>
      </c>
    </row>
    <row r="23683" spans="1:6" ht="12.75">
      <c r="A23683" s="8">
        <v>43893.714953703704</v>
      </c>
      <c r="B23683" s="8" t="str">
        <f>HYPERLINK("https://twitter.com/widjayayoh","@widjayayoh")</f>
        <v>@widjayayoh</v>
      </c>
      <c r="C23683" s="8" t="s">
        <v>9613</v>
      </c>
      <c r="D23683" s="8">
        <v>0</v>
      </c>
      <c r="E23683" s="8">
        <v>0</v>
      </c>
      <c r="F23683" s="8">
        <v>335</v>
      </c>
    </row>
    <row r="23684" spans="1:6" ht="12.75">
      <c r="A23684" s="8">
        <v>43893.714907407411</v>
      </c>
      <c r="B23684" s="8" t="str">
        <f>HYPERLINK("https://twitter.com/Oodhi_tah","@Oodhi_tah")</f>
        <v>@Oodhi_tah</v>
      </c>
      <c r="C23684" s="8" t="s">
        <v>8868</v>
      </c>
      <c r="D23684" s="8">
        <v>57</v>
      </c>
      <c r="E23684" s="8">
        <v>0</v>
      </c>
      <c r="F23684" s="8">
        <v>307</v>
      </c>
    </row>
    <row r="23685" spans="1:6" ht="12.75">
      <c r="A23685" s="8">
        <v>43893.714803240742</v>
      </c>
      <c r="B23685" s="8" t="str">
        <f>HYPERLINK("https://twitter.com/Abudiman20","@Abudiman20")</f>
        <v>@Abudiman20</v>
      </c>
      <c r="C23685" s="8" t="s">
        <v>9614</v>
      </c>
      <c r="D23685" s="8">
        <v>140</v>
      </c>
      <c r="E23685" s="8">
        <v>0</v>
      </c>
      <c r="F23685" s="8">
        <v>466</v>
      </c>
    </row>
    <row r="23686" spans="1:6" ht="12.75">
      <c r="A23686" s="8">
        <v>43893.714675925927</v>
      </c>
      <c r="B23686" s="8" t="str">
        <f>HYPERLINK("https://twitter.com/germantantra","@germantantra")</f>
        <v>@germantantra</v>
      </c>
      <c r="C23686" s="8" t="s">
        <v>3257</v>
      </c>
      <c r="D23686" s="8">
        <v>22</v>
      </c>
      <c r="E23686" s="8">
        <v>0</v>
      </c>
      <c r="F23686" s="8">
        <v>148</v>
      </c>
    </row>
    <row r="23687" spans="1:6" ht="12.75">
      <c r="A23687" s="8">
        <v>43893.714629629627</v>
      </c>
      <c r="B23687" s="8" t="str">
        <f>HYPERLINK("https://twitter.com/private_forex","@private_forex")</f>
        <v>@private_forex</v>
      </c>
      <c r="C23687" s="8" t="s">
        <v>6315</v>
      </c>
      <c r="D23687" s="8">
        <v>28</v>
      </c>
      <c r="E23687" s="8">
        <v>0</v>
      </c>
      <c r="F23687" s="8">
        <v>306</v>
      </c>
    </row>
    <row r="23688" spans="1:6" ht="12.75">
      <c r="A23688" s="8">
        <v>43893.714606481481</v>
      </c>
      <c r="B23688" s="8" t="str">
        <f>HYPERLINK("https://twitter.com/DcEliana","@DcEliana")</f>
        <v>@DcEliana</v>
      </c>
      <c r="C23688" s="8" t="s">
        <v>6315</v>
      </c>
      <c r="D23688" s="8">
        <v>28</v>
      </c>
      <c r="E23688" s="8">
        <v>0</v>
      </c>
      <c r="F23688" s="8">
        <v>154</v>
      </c>
    </row>
    <row r="23689" spans="1:6" ht="12.75">
      <c r="A23689" s="8">
        <v>43893.714537037042</v>
      </c>
      <c r="B23689" s="8" t="str">
        <f>HYPERLINK("https://twitter.com/2ikhtiar","@2ikhtiar")</f>
        <v>@2ikhtiar</v>
      </c>
      <c r="C23689" s="8" t="s">
        <v>8970</v>
      </c>
      <c r="D23689" s="8">
        <v>49</v>
      </c>
      <c r="E23689" s="8">
        <v>0</v>
      </c>
      <c r="F23689" s="8">
        <v>405</v>
      </c>
    </row>
    <row r="23690" spans="1:6" ht="12.75">
      <c r="A23690" s="8">
        <v>43893.714502314819</v>
      </c>
      <c r="B23690" s="8" t="str">
        <f>HYPERLINK("https://twitter.com/amirsyahoke","@amirsyahoke")</f>
        <v>@amirsyahoke</v>
      </c>
      <c r="C23690" s="8" t="s">
        <v>1427</v>
      </c>
      <c r="D23690" s="8">
        <v>938</v>
      </c>
      <c r="E23690" s="8">
        <v>0</v>
      </c>
      <c r="F23690" s="8">
        <v>443</v>
      </c>
    </row>
    <row r="23691" spans="1:6" ht="12.75">
      <c r="A23691" s="8">
        <v>43893.714444444442</v>
      </c>
      <c r="B23691" s="8" t="str">
        <f>HYPERLINK("https://twitter.com/Boyswith777numb","@Boyswith777numb")</f>
        <v>@Boyswith777numb</v>
      </c>
      <c r="C23691" s="8" t="s">
        <v>2962</v>
      </c>
      <c r="D23691" s="8">
        <v>5540</v>
      </c>
      <c r="E23691" s="8">
        <v>0</v>
      </c>
      <c r="F23691" s="8">
        <v>1478</v>
      </c>
    </row>
    <row r="23692" spans="1:6" ht="12.75">
      <c r="A23692" s="8">
        <v>43893.714409722219</v>
      </c>
      <c r="B23692" s="8" t="str">
        <f>HYPERLINK("https://twitter.com/73Buset","@73Buset")</f>
        <v>@73Buset</v>
      </c>
      <c r="C23692" s="8" t="s">
        <v>1970</v>
      </c>
      <c r="D23692" s="8">
        <v>1102</v>
      </c>
      <c r="E23692" s="8">
        <v>0</v>
      </c>
      <c r="F23692" s="8">
        <v>549</v>
      </c>
    </row>
    <row r="23693" spans="1:6" ht="12.75">
      <c r="A23693" s="8">
        <v>43893.714386574073</v>
      </c>
      <c r="B23693" s="8" t="str">
        <f>HYPERLINK("https://twitter.com/petitesaute","@petitesaute")</f>
        <v>@petitesaute</v>
      </c>
      <c r="C23693" s="8" t="s">
        <v>9615</v>
      </c>
      <c r="D23693" s="8">
        <v>0</v>
      </c>
      <c r="E23693" s="8">
        <v>0</v>
      </c>
      <c r="F23693" s="8">
        <v>38</v>
      </c>
    </row>
    <row r="23694" spans="1:6" ht="12.75">
      <c r="A23694" s="8">
        <v>43893.714386574073</v>
      </c>
      <c r="B23694" s="8" t="str">
        <f>HYPERLINK("https://twitter.com/AlfaOmega0110","@AlfaOmega0110")</f>
        <v>@AlfaOmega0110</v>
      </c>
      <c r="C23694" s="8" t="s">
        <v>9616</v>
      </c>
      <c r="D23694" s="8">
        <v>0</v>
      </c>
      <c r="E23694" s="8">
        <v>0</v>
      </c>
      <c r="F23694" s="8">
        <v>1281</v>
      </c>
    </row>
    <row r="23695" spans="1:6" ht="12.75">
      <c r="A23695" s="8">
        <v>43893.714386574073</v>
      </c>
      <c r="B23695" s="8" t="str">
        <f>HYPERLINK("https://twitter.com/RadioElshinta","@RadioElshinta")</f>
        <v>@RadioElshinta</v>
      </c>
      <c r="C23695" s="8" t="s">
        <v>9617</v>
      </c>
      <c r="D23695" s="8">
        <v>0</v>
      </c>
      <c r="E23695" s="8">
        <v>0</v>
      </c>
      <c r="F23695" s="8">
        <v>3636573</v>
      </c>
    </row>
    <row r="23696" spans="1:6" ht="12.75">
      <c r="A23696" s="8">
        <v>43893.714201388888</v>
      </c>
      <c r="B23696" s="8" t="str">
        <f>HYPERLINK("https://twitter.com/supiaman_asep","@supiaman_asep")</f>
        <v>@supiaman_asep</v>
      </c>
      <c r="C23696" s="8" t="s">
        <v>6832</v>
      </c>
      <c r="D23696" s="8">
        <v>1026</v>
      </c>
      <c r="E23696" s="8">
        <v>0</v>
      </c>
      <c r="F23696" s="8">
        <v>867</v>
      </c>
    </row>
    <row r="23697" spans="1:6" ht="12.75">
      <c r="A23697" s="8">
        <v>43893.714143518519</v>
      </c>
      <c r="B23697" s="8" t="str">
        <f>HYPERLINK("https://twitter.com/wni_jmsri","@wni_jmsri")</f>
        <v>@wni_jmsri</v>
      </c>
      <c r="C23697" s="8" t="s">
        <v>9618</v>
      </c>
      <c r="D23697" s="8">
        <v>109</v>
      </c>
      <c r="E23697" s="8">
        <v>0</v>
      </c>
      <c r="F23697" s="8">
        <v>200</v>
      </c>
    </row>
    <row r="23698" spans="1:6" ht="12.75">
      <c r="A23698" s="8">
        <v>43893.714131944449</v>
      </c>
      <c r="B23698" s="8" t="str">
        <f>HYPERLINK("https://twitter.com/singo__piliang3","@singo__piliang3")</f>
        <v>@singo__piliang3</v>
      </c>
      <c r="C23698" s="8" t="s">
        <v>8970</v>
      </c>
      <c r="D23698" s="8">
        <v>49</v>
      </c>
      <c r="E23698" s="8">
        <v>0</v>
      </c>
      <c r="F23698" s="8">
        <v>1132</v>
      </c>
    </row>
    <row r="23699" spans="1:6" ht="12.75">
      <c r="A23699" s="8">
        <v>43893.714120370365</v>
      </c>
      <c r="B23699" s="8" t="str">
        <f>HYPERLINK("https://twitter.com/doekoenstroke","@doekoenstroke")</f>
        <v>@doekoenstroke</v>
      </c>
      <c r="C23699" s="8" t="s">
        <v>6315</v>
      </c>
      <c r="D23699" s="8">
        <v>28</v>
      </c>
      <c r="E23699" s="8">
        <v>0</v>
      </c>
      <c r="F23699" s="8">
        <v>1414</v>
      </c>
    </row>
    <row r="23700" spans="1:6" ht="12.75">
      <c r="A23700" s="8">
        <v>43893.714016203703</v>
      </c>
      <c r="B23700" s="8" t="str">
        <f>HYPERLINK("https://twitter.com/aquaeror","@aquaeror")</f>
        <v>@aquaeror</v>
      </c>
      <c r="C23700" s="8" t="s">
        <v>2962</v>
      </c>
      <c r="D23700" s="8">
        <v>5540</v>
      </c>
      <c r="E23700" s="8">
        <v>0</v>
      </c>
      <c r="F23700" s="8">
        <v>27</v>
      </c>
    </row>
    <row r="23701" spans="1:6" ht="12.75">
      <c r="A23701" s="8">
        <v>43893.714016203703</v>
      </c>
      <c r="B23701" s="8" t="str">
        <f>HYPERLINK("https://twitter.com/jhodeb","@jhodeb")</f>
        <v>@jhodeb</v>
      </c>
      <c r="C23701" s="8" t="s">
        <v>2199</v>
      </c>
      <c r="D23701" s="8">
        <v>8970</v>
      </c>
      <c r="E23701" s="8">
        <v>0</v>
      </c>
      <c r="F23701" s="8">
        <v>792</v>
      </c>
    </row>
    <row r="23702" spans="1:6" ht="12.75">
      <c r="A23702" s="8">
        <v>43893.713761574079</v>
      </c>
      <c r="B23702" s="8" t="str">
        <f>HYPERLINK("https://twitter.com/jawapos","@jawapos")</f>
        <v>@jawapos</v>
      </c>
      <c r="C23702" s="8" t="s">
        <v>9619</v>
      </c>
      <c r="D23702" s="8">
        <v>0</v>
      </c>
      <c r="E23702" s="8">
        <v>0</v>
      </c>
      <c r="F23702" s="8">
        <v>125387</v>
      </c>
    </row>
    <row r="23703" spans="1:6" ht="12.75">
      <c r="A23703" s="8">
        <v>43893.71365740741</v>
      </c>
      <c r="B23703" s="8" t="str">
        <f>HYPERLINK("https://twitter.com/JoKerR_nN","@JoKerR_nN")</f>
        <v>@JoKerR_nN</v>
      </c>
      <c r="C23703" s="8" t="s">
        <v>6315</v>
      </c>
      <c r="D23703" s="8">
        <v>28</v>
      </c>
      <c r="E23703" s="8">
        <v>0</v>
      </c>
      <c r="F23703" s="8">
        <v>730</v>
      </c>
    </row>
    <row r="23704" spans="1:6" ht="12.75">
      <c r="A23704" s="8">
        <v>43893.713495370372</v>
      </c>
      <c r="B23704" s="8" t="str">
        <f>HYPERLINK("https://twitter.com/teal6lood","@teal6lood")</f>
        <v>@teal6lood</v>
      </c>
      <c r="C23704" s="8" t="s">
        <v>2962</v>
      </c>
      <c r="D23704" s="8">
        <v>5540</v>
      </c>
      <c r="E23704" s="8">
        <v>0</v>
      </c>
      <c r="F23704" s="8">
        <v>274</v>
      </c>
    </row>
    <row r="23705" spans="1:6" ht="12.75">
      <c r="A23705" s="8">
        <v>43893.713437500002</v>
      </c>
      <c r="B23705" s="8" t="str">
        <f>HYPERLINK("https://twitter.com/gojak_gajek","@gojak_gajek")</f>
        <v>@gojak_gajek</v>
      </c>
      <c r="C23705" s="8" t="s">
        <v>9620</v>
      </c>
      <c r="D23705" s="8">
        <v>0</v>
      </c>
      <c r="E23705" s="8">
        <v>0</v>
      </c>
      <c r="F23705" s="8">
        <v>178</v>
      </c>
    </row>
    <row r="23706" spans="1:6" ht="12.75">
      <c r="A23706" s="8">
        <v>43893.713356481487</v>
      </c>
      <c r="B23706" s="8" t="str">
        <f>HYPERLINK("https://twitter.com/tasya_4black","@tasya_4black")</f>
        <v>@tasya_4black</v>
      </c>
      <c r="C23706" s="8" t="s">
        <v>6315</v>
      </c>
      <c r="D23706" s="8">
        <v>28</v>
      </c>
      <c r="E23706" s="8">
        <v>0</v>
      </c>
      <c r="F23706" s="8">
        <v>91</v>
      </c>
    </row>
    <row r="23707" spans="1:6" ht="12.75">
      <c r="A23707" s="8">
        <v>43893.713263888887</v>
      </c>
      <c r="B23707" s="8" t="str">
        <f>HYPERLINK("https://twitter.com/Paijo73712077","@Paijo73712077")</f>
        <v>@Paijo73712077</v>
      </c>
      <c r="C23707" s="8" t="s">
        <v>1970</v>
      </c>
      <c r="D23707" s="8">
        <v>1102</v>
      </c>
      <c r="E23707" s="8">
        <v>0</v>
      </c>
      <c r="F23707" s="8">
        <v>51</v>
      </c>
    </row>
    <row r="23708" spans="1:6" ht="12.75">
      <c r="A23708" s="8">
        <v>43893.712951388894</v>
      </c>
      <c r="B23708" s="8" t="str">
        <f>HYPERLINK("https://twitter.com/rennotantoyo","@rennotantoyo")</f>
        <v>@rennotantoyo</v>
      </c>
      <c r="C23708" s="8" t="s">
        <v>8970</v>
      </c>
      <c r="D23708" s="8">
        <v>49</v>
      </c>
      <c r="E23708" s="8">
        <v>0</v>
      </c>
      <c r="F23708" s="8">
        <v>284</v>
      </c>
    </row>
    <row r="23709" spans="1:6" ht="12.75">
      <c r="A23709" s="8">
        <v>43893.712916666671</v>
      </c>
      <c r="B23709" s="8" t="str">
        <f>HYPERLINK("https://twitter.com/gungputri_","@gungputri_")</f>
        <v>@gungputri_</v>
      </c>
      <c r="C23709" s="8" t="s">
        <v>9621</v>
      </c>
      <c r="D23709" s="8">
        <v>5</v>
      </c>
      <c r="E23709" s="8">
        <v>0</v>
      </c>
      <c r="F23709" s="8">
        <v>595</v>
      </c>
    </row>
    <row r="23710" spans="1:6" ht="12.75">
      <c r="A23710" s="8">
        <v>43893.712905092594</v>
      </c>
      <c r="B23710" s="8" t="str">
        <f>HYPERLINK("https://twitter.com/SDwiatya","@SDwiatya")</f>
        <v>@SDwiatya</v>
      </c>
      <c r="C23710" s="8" t="s">
        <v>5190</v>
      </c>
      <c r="D23710" s="8">
        <v>0</v>
      </c>
      <c r="E23710" s="8">
        <v>0</v>
      </c>
      <c r="F23710" s="8">
        <v>31</v>
      </c>
    </row>
    <row r="23711" spans="1:6" ht="12.75">
      <c r="A23711" s="8">
        <v>43893.712754629625</v>
      </c>
      <c r="B23711" s="8" t="str">
        <f>HYPERLINK("https://twitter.com/kaniarfy","@kaniarfy")</f>
        <v>@kaniarfy</v>
      </c>
      <c r="C23711" s="8" t="s">
        <v>9366</v>
      </c>
      <c r="D23711" s="8">
        <v>5</v>
      </c>
      <c r="E23711" s="8">
        <v>0</v>
      </c>
      <c r="F23711" s="8">
        <v>529</v>
      </c>
    </row>
    <row r="23712" spans="1:6" ht="12.75">
      <c r="A23712" s="8">
        <v>43893.712731481486</v>
      </c>
      <c r="B23712" s="8" t="str">
        <f>HYPERLINK("https://twitter.com/Hambar23","@Hambar23")</f>
        <v>@Hambar23</v>
      </c>
      <c r="C23712" s="8" t="s">
        <v>2962</v>
      </c>
      <c r="D23712" s="8">
        <v>5540</v>
      </c>
      <c r="E23712" s="8">
        <v>0</v>
      </c>
      <c r="F23712" s="8">
        <v>3403</v>
      </c>
    </row>
    <row r="23713" spans="1:6" ht="12.75">
      <c r="A23713" s="8">
        <v>43893.712523148148</v>
      </c>
      <c r="B23713" s="8" t="str">
        <f>HYPERLINK("https://twitter.com/jaya1perkasa","@jaya1perkasa")</f>
        <v>@jaya1perkasa</v>
      </c>
      <c r="C23713" s="8" t="s">
        <v>4477</v>
      </c>
      <c r="D23713" s="8">
        <v>1187</v>
      </c>
      <c r="E23713" s="8">
        <v>0</v>
      </c>
      <c r="F23713" s="8">
        <v>626</v>
      </c>
    </row>
    <row r="23714" spans="1:6" ht="12.75">
      <c r="A23714" s="8">
        <v>43893.712500000001</v>
      </c>
      <c r="B23714" s="8" t="str">
        <f>HYPERLINK("https://twitter.com/romelanrmd","@romelanrmd")</f>
        <v>@romelanrmd</v>
      </c>
      <c r="C23714" s="8" t="s">
        <v>1970</v>
      </c>
      <c r="D23714" s="8">
        <v>1102</v>
      </c>
      <c r="E23714" s="8">
        <v>0</v>
      </c>
      <c r="F23714" s="8">
        <v>67</v>
      </c>
    </row>
    <row r="23715" spans="1:6" ht="12.75">
      <c r="A23715" s="8">
        <v>43893.712430555555</v>
      </c>
      <c r="B23715" s="8" t="str">
        <f>HYPERLINK("https://twitter.com/raraaiss","@raraaiss")</f>
        <v>@raraaiss</v>
      </c>
      <c r="C23715" s="8" t="s">
        <v>9622</v>
      </c>
      <c r="D23715" s="8">
        <v>103</v>
      </c>
      <c r="E23715" s="8">
        <v>0</v>
      </c>
      <c r="F23715" s="8">
        <v>72</v>
      </c>
    </row>
    <row r="23716" spans="1:6" ht="12.75">
      <c r="A23716" s="8">
        <v>43893.712233796294</v>
      </c>
      <c r="B23716" s="8" t="str">
        <f>HYPERLINK("https://twitter.com/arjunosableng","@arjunosableng")</f>
        <v>@arjunosableng</v>
      </c>
      <c r="C23716" s="8" t="s">
        <v>3257</v>
      </c>
      <c r="D23716" s="8">
        <v>22</v>
      </c>
      <c r="E23716" s="8">
        <v>0</v>
      </c>
      <c r="F23716" s="8">
        <v>2237</v>
      </c>
    </row>
    <row r="23717" spans="1:6" ht="12.75">
      <c r="A23717" s="8">
        <v>43893.712048611109</v>
      </c>
      <c r="B23717" s="8" t="str">
        <f>HYPERLINK("https://twitter.com/lanazebeth","@lanazebeth")</f>
        <v>@lanazebeth</v>
      </c>
      <c r="C23717" s="8" t="s">
        <v>2199</v>
      </c>
      <c r="D23717" s="8">
        <v>8970</v>
      </c>
      <c r="E23717" s="8">
        <v>0</v>
      </c>
      <c r="F23717" s="8">
        <v>647</v>
      </c>
    </row>
    <row r="23718" spans="1:6" ht="12.75">
      <c r="A23718" s="8">
        <v>43893.712037037039</v>
      </c>
      <c r="B23718" s="8" t="str">
        <f>HYPERLINK("https://twitter.com/HatiMata2","@HatiMata2")</f>
        <v>@HatiMata2</v>
      </c>
      <c r="C23718" s="8" t="s">
        <v>8970</v>
      </c>
      <c r="D23718" s="8">
        <v>49</v>
      </c>
      <c r="E23718" s="8">
        <v>0</v>
      </c>
      <c r="F23718" s="8">
        <v>53</v>
      </c>
    </row>
    <row r="23719" spans="1:6" ht="12.75">
      <c r="A23719" s="8">
        <v>43893.712013888886</v>
      </c>
      <c r="B23719" s="8" t="str">
        <f>HYPERLINK("https://twitter.com/novapermana8","@novapermana8")</f>
        <v>@novapermana8</v>
      </c>
      <c r="C23719" s="8" t="s">
        <v>9623</v>
      </c>
      <c r="D23719" s="8">
        <v>0</v>
      </c>
      <c r="E23719" s="8">
        <v>0</v>
      </c>
      <c r="F23719" s="8">
        <v>669</v>
      </c>
    </row>
    <row r="23720" spans="1:6" ht="12.75">
      <c r="A23720" s="8">
        <v>43893.711875000001</v>
      </c>
      <c r="B23720" s="8" t="str">
        <f>HYPERLINK("https://twitter.com/tvOneNews","@tvOneNews")</f>
        <v>@tvOneNews</v>
      </c>
      <c r="C23720" s="8" t="s">
        <v>9547</v>
      </c>
      <c r="D23720" s="8">
        <v>0</v>
      </c>
      <c r="E23720" s="8">
        <v>6</v>
      </c>
      <c r="F23720" s="8">
        <v>8726760</v>
      </c>
    </row>
    <row r="23721" spans="1:6" ht="12.75">
      <c r="A23721" s="8">
        <v>43893.711840277778</v>
      </c>
      <c r="B23721" s="8" t="str">
        <f>HYPERLINK("https://twitter.com/diana_harianti","@diana_harianti")</f>
        <v>@diana_harianti</v>
      </c>
      <c r="C23721" s="8" t="s">
        <v>8868</v>
      </c>
      <c r="D23721" s="8">
        <v>57</v>
      </c>
      <c r="E23721" s="8">
        <v>0</v>
      </c>
      <c r="F23721" s="8">
        <v>1285</v>
      </c>
    </row>
    <row r="23722" spans="1:6" ht="12.75">
      <c r="A23722" s="8">
        <v>43893.711805555555</v>
      </c>
      <c r="B23722" s="8" t="str">
        <f>HYPERLINK("https://twitter.com/mahabaratha2019","@mahabaratha2019")</f>
        <v>@mahabaratha2019</v>
      </c>
      <c r="C23722" s="8" t="s">
        <v>8970</v>
      </c>
      <c r="D23722" s="8">
        <v>49</v>
      </c>
      <c r="E23722" s="8">
        <v>0</v>
      </c>
      <c r="F23722" s="8">
        <v>2592</v>
      </c>
    </row>
    <row r="23723" spans="1:6" ht="12.75">
      <c r="A23723" s="8">
        <v>43893.711770833332</v>
      </c>
      <c r="B23723" s="8" t="str">
        <f>HYPERLINK("https://twitter.com/cnbcindonesia","@cnbcindonesia")</f>
        <v>@cnbcindonesia</v>
      </c>
      <c r="C23723" s="8" t="s">
        <v>9624</v>
      </c>
      <c r="D23723" s="8">
        <v>1</v>
      </c>
      <c r="E23723" s="8">
        <v>1</v>
      </c>
      <c r="F23723" s="8">
        <v>31325</v>
      </c>
    </row>
    <row r="23724" spans="1:6" ht="12.75">
      <c r="A23724" s="8">
        <v>43893.711678240739</v>
      </c>
      <c r="B23724" s="8" t="str">
        <f>HYPERLINK("https://twitter.com/Djambek_","@Djambek_")</f>
        <v>@Djambek_</v>
      </c>
      <c r="C23724" s="8" t="s">
        <v>8686</v>
      </c>
      <c r="D23724" s="8">
        <v>9</v>
      </c>
      <c r="E23724" s="8">
        <v>0</v>
      </c>
      <c r="F23724" s="8">
        <v>103</v>
      </c>
    </row>
    <row r="23725" spans="1:6" ht="12.75">
      <c r="A23725" s="8">
        <v>43893.711377314816</v>
      </c>
      <c r="B23725" s="8" t="str">
        <f>HYPERLINK("https://twitter.com/TedongNag4","@TedongNag4")</f>
        <v>@TedongNag4</v>
      </c>
      <c r="C23725" s="8" t="s">
        <v>8901</v>
      </c>
      <c r="D23725" s="8">
        <v>144</v>
      </c>
      <c r="E23725" s="8">
        <v>0</v>
      </c>
      <c r="F23725" s="8">
        <v>524</v>
      </c>
    </row>
    <row r="23726" spans="1:6" ht="12.75">
      <c r="A23726" s="8">
        <v>43893.711365740739</v>
      </c>
      <c r="B23726" s="8" t="str">
        <f>HYPERLINK("https://twitter.com/shop7heavn","@shop7heavn")</f>
        <v>@shop7heavn</v>
      </c>
      <c r="C23726" s="8" t="s">
        <v>9625</v>
      </c>
      <c r="D23726" s="8">
        <v>0</v>
      </c>
      <c r="E23726" s="8">
        <v>1</v>
      </c>
      <c r="F23726" s="8">
        <v>24</v>
      </c>
    </row>
    <row r="23727" spans="1:6" ht="12.75">
      <c r="A23727" s="8">
        <v>43893.711261574077</v>
      </c>
      <c r="B23727" s="8" t="str">
        <f>HYPERLINK("https://twitter.com/abcdanijklmn","@abcdanijklmn")</f>
        <v>@abcdanijklmn</v>
      </c>
      <c r="C23727" s="8" t="s">
        <v>9626</v>
      </c>
      <c r="D23727" s="8">
        <v>0</v>
      </c>
      <c r="E23727" s="8">
        <v>1</v>
      </c>
      <c r="F23727" s="8">
        <v>4</v>
      </c>
    </row>
    <row r="23728" spans="1:6" ht="12.75">
      <c r="A23728" s="8">
        <v>43893.711134259254</v>
      </c>
      <c r="B23728" s="8" t="str">
        <f>HYPERLINK("https://twitter.com/FadilahAnissaa","@FadilahAnissaa")</f>
        <v>@FadilahAnissaa</v>
      </c>
      <c r="C23728" s="8" t="s">
        <v>9627</v>
      </c>
      <c r="D23728" s="8">
        <v>0</v>
      </c>
      <c r="E23728" s="8">
        <v>0</v>
      </c>
      <c r="F23728" s="8">
        <v>51</v>
      </c>
    </row>
    <row r="23729" spans="1:6" ht="12.75">
      <c r="A23729" s="8">
        <v>43893.710983796293</v>
      </c>
      <c r="B23729" s="8" t="str">
        <f>HYPERLINK("https://twitter.com/SaepudinCucu","@SaepudinCucu")</f>
        <v>@SaepudinCucu</v>
      </c>
      <c r="C23729" s="8" t="s">
        <v>8847</v>
      </c>
      <c r="D23729" s="8">
        <v>13</v>
      </c>
      <c r="E23729" s="8">
        <v>0</v>
      </c>
      <c r="F23729" s="8">
        <v>6</v>
      </c>
    </row>
    <row r="23730" spans="1:6" ht="12.75">
      <c r="A23730" s="8">
        <v>43893.7109375</v>
      </c>
      <c r="B23730" s="8" t="str">
        <f>HYPERLINK("https://twitter.com/cadarmerah","@cadarmerah")</f>
        <v>@cadarmerah</v>
      </c>
      <c r="C23730" s="8" t="s">
        <v>6315</v>
      </c>
      <c r="D23730" s="8">
        <v>28</v>
      </c>
      <c r="E23730" s="8">
        <v>0</v>
      </c>
      <c r="F23730" s="8">
        <v>5659</v>
      </c>
    </row>
    <row r="23731" spans="1:6" ht="12.75">
      <c r="A23731" s="8">
        <v>43893.710555555561</v>
      </c>
      <c r="B23731" s="8" t="str">
        <f>HYPERLINK("https://twitter.com/dwikyryan","@dwikyryan")</f>
        <v>@dwikyryan</v>
      </c>
      <c r="C23731" s="8" t="s">
        <v>9628</v>
      </c>
      <c r="D23731" s="8">
        <v>263</v>
      </c>
      <c r="E23731" s="8">
        <v>0</v>
      </c>
      <c r="F23731" s="8">
        <v>230</v>
      </c>
    </row>
    <row r="23732" spans="1:6" ht="12.75">
      <c r="A23732" s="8">
        <v>43893.710196759261</v>
      </c>
      <c r="B23732" s="8" t="str">
        <f>HYPERLINK("https://twitter.com/StrudelMalang","@StrudelMalang")</f>
        <v>@StrudelMalang</v>
      </c>
      <c r="C23732" s="8" t="s">
        <v>9629</v>
      </c>
      <c r="D23732" s="8">
        <v>0</v>
      </c>
      <c r="E23732" s="8">
        <v>0</v>
      </c>
      <c r="F23732" s="8">
        <v>1362</v>
      </c>
    </row>
    <row r="23733" spans="1:6" ht="12.75">
      <c r="A23733" s="8">
        <v>43893.710104166668</v>
      </c>
      <c r="B23733" s="8" t="str">
        <f>HYPERLINK("https://twitter.com/RivaldiZakie","@RivaldiZakie")</f>
        <v>@RivaldiZakie</v>
      </c>
      <c r="C23733" s="8" t="s">
        <v>8210</v>
      </c>
      <c r="D23733" s="8">
        <v>3</v>
      </c>
      <c r="E23733" s="8">
        <v>0</v>
      </c>
      <c r="F23733" s="8">
        <v>16</v>
      </c>
    </row>
    <row r="23734" spans="1:6" ht="12.75">
      <c r="A23734" s="8">
        <v>43893.710104166668</v>
      </c>
      <c r="B23734" s="8" t="str">
        <f>HYPERLINK("https://twitter.com/yanabool","@yanabool")</f>
        <v>@yanabool</v>
      </c>
      <c r="C23734" s="8" t="s">
        <v>1970</v>
      </c>
      <c r="D23734" s="8">
        <v>1102</v>
      </c>
      <c r="E23734" s="8">
        <v>0</v>
      </c>
      <c r="F23734" s="8">
        <v>42</v>
      </c>
    </row>
    <row r="23735" spans="1:6" ht="12.75">
      <c r="A23735" s="8">
        <v>43893.710034722222</v>
      </c>
      <c r="B23735" s="8" t="str">
        <f>HYPERLINK("https://twitter.com/StalistS","@StalistS")</f>
        <v>@StalistS</v>
      </c>
      <c r="C23735" s="8" t="s">
        <v>8970</v>
      </c>
      <c r="D23735" s="8">
        <v>49</v>
      </c>
      <c r="E23735" s="8">
        <v>0</v>
      </c>
      <c r="F23735" s="8">
        <v>1805</v>
      </c>
    </row>
    <row r="23736" spans="1:6" ht="12.75">
      <c r="A23736" s="8">
        <v>43893.70993055556</v>
      </c>
      <c r="B23736" s="8" t="str">
        <f>HYPERLINK("https://twitter.com/akubukanmuggle","@akubukanmuggle")</f>
        <v>@akubukanmuggle</v>
      </c>
      <c r="C23736" s="8" t="s">
        <v>9630</v>
      </c>
      <c r="D23736" s="8">
        <v>0</v>
      </c>
      <c r="E23736" s="8">
        <v>0</v>
      </c>
      <c r="F23736" s="8">
        <v>4</v>
      </c>
    </row>
    <row r="23737" spans="1:6" ht="12.75">
      <c r="A23737" s="8">
        <v>43893.709918981476</v>
      </c>
      <c r="B23737" s="8" t="str">
        <f>HYPERLINK("https://twitter.com/Suryaatmadja20","@Suryaatmadja20")</f>
        <v>@Suryaatmadja20</v>
      </c>
      <c r="C23737" s="8" t="s">
        <v>1970</v>
      </c>
      <c r="D23737" s="8">
        <v>1102</v>
      </c>
      <c r="E23737" s="8">
        <v>0</v>
      </c>
      <c r="F23737" s="8">
        <v>2</v>
      </c>
    </row>
    <row r="23738" spans="1:6" ht="12.75">
      <c r="A23738" s="8">
        <v>43893.70988425926</v>
      </c>
      <c r="B23738" s="8" t="str">
        <f>HYPERLINK("https://twitter.com/polocorner","@polocorner")</f>
        <v>@polocorner</v>
      </c>
      <c r="C23738" s="8" t="s">
        <v>6315</v>
      </c>
      <c r="D23738" s="8">
        <v>28</v>
      </c>
      <c r="E23738" s="8">
        <v>0</v>
      </c>
      <c r="F23738" s="8">
        <v>1651</v>
      </c>
    </row>
    <row r="23739" spans="1:6" ht="12.75">
      <c r="A23739" s="8">
        <v>43893.709768518514</v>
      </c>
      <c r="B23739" s="8" t="str">
        <f>HYPERLINK("https://twitter.com/tri_lingga","@tri_lingga")</f>
        <v>@tri_lingga</v>
      </c>
      <c r="C23739" s="8" t="s">
        <v>9512</v>
      </c>
      <c r="D23739" s="8">
        <v>4</v>
      </c>
      <c r="E23739" s="8">
        <v>0</v>
      </c>
      <c r="F23739" s="8">
        <v>157</v>
      </c>
    </row>
    <row r="23740" spans="1:6" ht="12.75">
      <c r="A23740" s="8">
        <v>43893.709722222222</v>
      </c>
      <c r="B23740" s="8" t="str">
        <f t="shared" ref="B23740:B23742" si="348">HYPERLINK("https://twitter.com/kjrijohorbahru","@kjrijohorbahru")</f>
        <v>@kjrijohorbahru</v>
      </c>
      <c r="C23740" s="8" t="s">
        <v>9631</v>
      </c>
      <c r="D23740" s="8">
        <v>0</v>
      </c>
      <c r="E23740" s="8">
        <v>0</v>
      </c>
      <c r="F23740" s="8">
        <v>670</v>
      </c>
    </row>
    <row r="23741" spans="1:6" ht="12.75">
      <c r="A23741" s="8">
        <v>43893.709722222222</v>
      </c>
      <c r="B23741" s="8" t="str">
        <f t="shared" si="348"/>
        <v>@kjrijohorbahru</v>
      </c>
      <c r="C23741" s="8" t="s">
        <v>9632</v>
      </c>
      <c r="D23741" s="8">
        <v>0</v>
      </c>
      <c r="E23741" s="8">
        <v>0</v>
      </c>
      <c r="F23741" s="8">
        <v>670</v>
      </c>
    </row>
    <row r="23742" spans="1:6" ht="12.75">
      <c r="A23742" s="8">
        <v>43893.709710648152</v>
      </c>
      <c r="B23742" s="8" t="str">
        <f t="shared" si="348"/>
        <v>@kjrijohorbahru</v>
      </c>
      <c r="C23742" s="8" t="s">
        <v>9633</v>
      </c>
      <c r="D23742" s="8">
        <v>0</v>
      </c>
      <c r="E23742" s="8">
        <v>0</v>
      </c>
      <c r="F23742" s="8">
        <v>670</v>
      </c>
    </row>
    <row r="23743" spans="1:6" ht="12.75">
      <c r="A23743" s="8">
        <v>43893.709652777776</v>
      </c>
      <c r="B23743" s="8" t="str">
        <f>HYPERLINK("https://twitter.com/dheassalsabila","@dheassalsabila")</f>
        <v>@dheassalsabila</v>
      </c>
      <c r="C23743" s="8" t="s">
        <v>9634</v>
      </c>
      <c r="D23743" s="8">
        <v>0</v>
      </c>
      <c r="E23743" s="8">
        <v>0</v>
      </c>
      <c r="F23743" s="8">
        <v>569</v>
      </c>
    </row>
    <row r="23744" spans="1:6" ht="12.75">
      <c r="A23744" s="8">
        <v>43893.709537037037</v>
      </c>
      <c r="B23744" s="8" t="str">
        <f>HYPERLINK("https://twitter.com/iz_wni","@iz_wni")</f>
        <v>@iz_wni</v>
      </c>
      <c r="C23744" s="8" t="s">
        <v>9635</v>
      </c>
      <c r="D23744" s="8">
        <v>669</v>
      </c>
      <c r="E23744" s="8">
        <v>0</v>
      </c>
      <c r="F23744" s="8">
        <v>86</v>
      </c>
    </row>
    <row r="23745" spans="1:6" ht="12.75">
      <c r="A23745" s="8">
        <v>43893.709421296298</v>
      </c>
      <c r="B23745" s="8" t="str">
        <f>HYPERLINK("https://twitter.com/MrHartono2","@MrHartono2")</f>
        <v>@MrHartono2</v>
      </c>
      <c r="C23745" s="8" t="s">
        <v>6315</v>
      </c>
      <c r="D23745" s="8">
        <v>28</v>
      </c>
      <c r="E23745" s="8">
        <v>0</v>
      </c>
      <c r="F23745" s="8">
        <v>2218</v>
      </c>
    </row>
    <row r="23746" spans="1:6" ht="12.75">
      <c r="A23746" s="8">
        <v>43893.709282407406</v>
      </c>
      <c r="B23746" s="8" t="str">
        <f>HYPERLINK("https://twitter.com/MVVZ3","@MVVZ3")</f>
        <v>@MVVZ3</v>
      </c>
      <c r="C23746" s="8" t="s">
        <v>9130</v>
      </c>
      <c r="D23746" s="8">
        <v>390</v>
      </c>
      <c r="E23746" s="8">
        <v>0</v>
      </c>
      <c r="F23746" s="8">
        <v>1063</v>
      </c>
    </row>
    <row r="23747" spans="1:6" ht="12.75">
      <c r="A23747" s="8">
        <v>43893.709120370375</v>
      </c>
      <c r="B23747" s="8" t="str">
        <f>HYPERLINK("https://twitter.com/KurniantoTjan","@KurniantoTjan")</f>
        <v>@KurniantoTjan</v>
      </c>
      <c r="C23747" s="8" t="s">
        <v>6315</v>
      </c>
      <c r="D23747" s="8">
        <v>28</v>
      </c>
      <c r="E23747" s="8">
        <v>0</v>
      </c>
      <c r="F23747" s="8">
        <v>950</v>
      </c>
    </row>
    <row r="23748" spans="1:6" ht="12.75">
      <c r="A23748" s="8">
        <v>43893.708923611106</v>
      </c>
      <c r="B23748" s="8" t="str">
        <f>HYPERLINK("https://twitter.com/ken_mrizal","@ken_mrizal")</f>
        <v>@ken_mrizal</v>
      </c>
      <c r="C23748" s="8" t="s">
        <v>9636</v>
      </c>
      <c r="D23748" s="8">
        <v>0</v>
      </c>
      <c r="E23748" s="8">
        <v>0</v>
      </c>
      <c r="F23748" s="8">
        <v>904</v>
      </c>
    </row>
    <row r="23749" spans="1:6" ht="12.75">
      <c r="A23749" s="8">
        <v>43893.708634259259</v>
      </c>
      <c r="B23749" s="8" t="str">
        <f>HYPERLINK("https://twitter.com/BONGBONGGGGG","@BONGBONGGGGG")</f>
        <v>@BONGBONGGGGG</v>
      </c>
      <c r="C23749" s="8" t="s">
        <v>8868</v>
      </c>
      <c r="D23749" s="8">
        <v>57</v>
      </c>
      <c r="E23749" s="8">
        <v>0</v>
      </c>
      <c r="F23749" s="8">
        <v>259</v>
      </c>
    </row>
    <row r="23750" spans="1:6" ht="12.75">
      <c r="A23750" s="8">
        <v>43893.708599537036</v>
      </c>
      <c r="B23750" s="8" t="str">
        <f>HYPERLINK("https://twitter.com/jihan_rinko","@jihan_rinko")</f>
        <v>@jihan_rinko</v>
      </c>
      <c r="C23750" s="8" t="s">
        <v>9637</v>
      </c>
      <c r="D23750" s="8">
        <v>1</v>
      </c>
      <c r="E23750" s="8">
        <v>0</v>
      </c>
      <c r="F23750" s="8">
        <v>200</v>
      </c>
    </row>
    <row r="23751" spans="1:6" ht="12.75">
      <c r="A23751" s="8">
        <v>43893.708530092597</v>
      </c>
      <c r="B23751" s="8" t="str">
        <f>HYPERLINK("https://twitter.com/NinoGitar","@NinoGitar")</f>
        <v>@NinoGitar</v>
      </c>
      <c r="C23751" s="8" t="s">
        <v>9300</v>
      </c>
      <c r="D23751" s="8">
        <v>212</v>
      </c>
      <c r="E23751" s="8">
        <v>0</v>
      </c>
      <c r="F23751" s="8">
        <v>109</v>
      </c>
    </row>
    <row r="23752" spans="1:6" ht="12.75">
      <c r="A23752" s="8">
        <v>43893.708530092597</v>
      </c>
      <c r="B23752" s="8" t="str">
        <f>HYPERLINK("https://twitter.com/JHSinurat","@JHSinurat")</f>
        <v>@JHSinurat</v>
      </c>
      <c r="C23752" s="8" t="s">
        <v>2962</v>
      </c>
      <c r="D23752" s="8">
        <v>5540</v>
      </c>
      <c r="E23752" s="8">
        <v>0</v>
      </c>
      <c r="F23752" s="8">
        <v>17</v>
      </c>
    </row>
    <row r="23753" spans="1:6" ht="12.75">
      <c r="A23753" s="8">
        <v>43893.708275462966</v>
      </c>
      <c r="B23753" s="8" t="str">
        <f>HYPERLINK("https://twitter.com/Nurhadi9913","@Nurhadi9913")</f>
        <v>@Nurhadi9913</v>
      </c>
      <c r="C23753" s="8" t="s">
        <v>6862</v>
      </c>
      <c r="D23753" s="8">
        <v>110</v>
      </c>
      <c r="E23753" s="8">
        <v>0</v>
      </c>
      <c r="F23753" s="8">
        <v>162</v>
      </c>
    </row>
    <row r="23754" spans="1:6" ht="12.75">
      <c r="A23754" s="8">
        <v>43893.70826388889</v>
      </c>
      <c r="B23754" s="8" t="str">
        <f>HYPERLINK("https://twitter.com/JunPermana","@JunPermana")</f>
        <v>@JunPermana</v>
      </c>
      <c r="C23754" s="8" t="s">
        <v>9128</v>
      </c>
      <c r="D23754" s="8">
        <v>175</v>
      </c>
      <c r="E23754" s="8">
        <v>0</v>
      </c>
      <c r="F23754" s="8">
        <v>313</v>
      </c>
    </row>
    <row r="23755" spans="1:6" ht="12.75">
      <c r="A23755" s="8">
        <v>43893.708252314813</v>
      </c>
      <c r="B23755" s="8" t="str">
        <f>HYPERLINK("https://twitter.com/CNNIDdaily","@CNNIDdaily")</f>
        <v>@CNNIDdaily</v>
      </c>
      <c r="C23755" s="8" t="s">
        <v>9638</v>
      </c>
      <c r="D23755" s="8">
        <v>1</v>
      </c>
      <c r="E23755" s="8">
        <v>0</v>
      </c>
      <c r="F23755" s="8">
        <v>121136</v>
      </c>
    </row>
    <row r="23756" spans="1:6" ht="12.75">
      <c r="A23756" s="8">
        <v>43893.70821759259</v>
      </c>
      <c r="B23756" s="8" t="str">
        <f>HYPERLINK("https://twitter.com/WahabisLokal","@WahabisLokal")</f>
        <v>@WahabisLokal</v>
      </c>
      <c r="C23756" s="8" t="s">
        <v>9639</v>
      </c>
      <c r="D23756" s="8">
        <v>1</v>
      </c>
      <c r="E23756" s="8">
        <v>0</v>
      </c>
      <c r="F23756" s="8">
        <v>20432</v>
      </c>
    </row>
    <row r="23757" spans="1:6" ht="12.75">
      <c r="A23757" s="8">
        <v>43893.70820601852</v>
      </c>
      <c r="B23757" s="8" t="str">
        <f>HYPERLINK("https://twitter.com/eben_heizer","@eben_heizer")</f>
        <v>@eben_heizer</v>
      </c>
      <c r="C23757" s="8" t="s">
        <v>8281</v>
      </c>
      <c r="D23757" s="8">
        <v>33</v>
      </c>
      <c r="E23757" s="8">
        <v>0</v>
      </c>
      <c r="F23757" s="8">
        <v>1623</v>
      </c>
    </row>
    <row r="23758" spans="1:6" ht="12.75">
      <c r="A23758" s="8">
        <v>43893.708148148144</v>
      </c>
      <c r="B23758" s="8" t="str">
        <f>HYPERLINK("https://twitter.com/simaspoin_id","@simaspoin_id")</f>
        <v>@simaspoin_id</v>
      </c>
      <c r="C23758" s="8" t="s">
        <v>9640</v>
      </c>
      <c r="D23758" s="8">
        <v>0</v>
      </c>
      <c r="E23758" s="8">
        <v>0</v>
      </c>
      <c r="F23758" s="8">
        <v>1159</v>
      </c>
    </row>
    <row r="23759" spans="1:6" ht="12.75">
      <c r="A23759" s="8">
        <v>43893.708113425921</v>
      </c>
      <c r="B23759" s="8" t="str">
        <f>HYPERLINK("https://twitter.com/ViradilaUmi","@ViradilaUmi")</f>
        <v>@ViradilaUmi</v>
      </c>
      <c r="C23759" s="8" t="s">
        <v>9158</v>
      </c>
      <c r="D23759" s="8">
        <v>11</v>
      </c>
      <c r="E23759" s="8">
        <v>0</v>
      </c>
      <c r="F23759" s="8">
        <v>238</v>
      </c>
    </row>
    <row r="23760" spans="1:6" ht="12.75">
      <c r="A23760" s="8">
        <v>43893.708055555559</v>
      </c>
      <c r="B23760" s="8" t="str">
        <f>HYPERLINK("https://twitter.com/Zetyo_pambudi7","@Zetyo_pambudi7")</f>
        <v>@Zetyo_pambudi7</v>
      </c>
      <c r="C23760" s="8" t="s">
        <v>6862</v>
      </c>
      <c r="D23760" s="8">
        <v>110</v>
      </c>
      <c r="E23760" s="8">
        <v>0</v>
      </c>
      <c r="F23760" s="8">
        <v>654</v>
      </c>
    </row>
    <row r="23761" spans="1:6" ht="12.75">
      <c r="A23761" s="8">
        <v>43893.70793981482</v>
      </c>
      <c r="B23761" s="8" t="str">
        <f>HYPERLINK("https://twitter.com/marjoso71","@marjoso71")</f>
        <v>@marjoso71</v>
      </c>
      <c r="C23761" s="8" t="s">
        <v>6862</v>
      </c>
      <c r="D23761" s="8">
        <v>110</v>
      </c>
      <c r="E23761" s="8">
        <v>0</v>
      </c>
      <c r="F23761" s="8">
        <v>450</v>
      </c>
    </row>
    <row r="23762" spans="1:6" ht="12.75">
      <c r="A23762" s="8">
        <v>43893.70793981482</v>
      </c>
      <c r="B23762" s="8" t="str">
        <f>HYPERLINK("https://twitter.com/Pejuangkeadil13","@Pejuangkeadil13")</f>
        <v>@Pejuangkeadil13</v>
      </c>
      <c r="C23762" s="8" t="s">
        <v>9641</v>
      </c>
      <c r="D23762" s="8">
        <v>0</v>
      </c>
      <c r="E23762" s="8">
        <v>0</v>
      </c>
      <c r="F23762" s="8">
        <v>8</v>
      </c>
    </row>
    <row r="23763" spans="1:6" ht="12.75">
      <c r="A23763" s="8">
        <v>43893.707870370374</v>
      </c>
      <c r="B23763" s="8" t="str">
        <f>HYPERLINK("https://twitter.com/jonrasyid1","@jonrasyid1")</f>
        <v>@jonrasyid1</v>
      </c>
      <c r="C23763" s="8" t="s">
        <v>9417</v>
      </c>
      <c r="D23763" s="8">
        <v>89</v>
      </c>
      <c r="E23763" s="8">
        <v>0</v>
      </c>
      <c r="F23763" s="8">
        <v>147</v>
      </c>
    </row>
    <row r="23764" spans="1:6" ht="12.75">
      <c r="A23764" s="8">
        <v>43893.70784722222</v>
      </c>
      <c r="B23764" s="8" t="str">
        <f>HYPERLINK("https://twitter.com/meirsey","@meirsey")</f>
        <v>@meirsey</v>
      </c>
      <c r="C23764" s="8" t="s">
        <v>8776</v>
      </c>
      <c r="D23764" s="8">
        <v>192</v>
      </c>
      <c r="E23764" s="8">
        <v>0</v>
      </c>
      <c r="F23764" s="8">
        <v>412</v>
      </c>
    </row>
    <row r="23765" spans="1:6" ht="12.75">
      <c r="A23765" s="8">
        <v>43893.707800925928</v>
      </c>
      <c r="B23765" s="8" t="str">
        <f>HYPERLINK("https://twitter.com/Deraagstn1","@Deraagstn1")</f>
        <v>@Deraagstn1</v>
      </c>
      <c r="C23765" s="8" t="s">
        <v>8868</v>
      </c>
      <c r="D23765" s="8">
        <v>57</v>
      </c>
      <c r="E23765" s="8">
        <v>0</v>
      </c>
      <c r="F23765" s="8">
        <v>29</v>
      </c>
    </row>
    <row r="23766" spans="1:6" ht="12.75">
      <c r="A23766" s="8">
        <v>43893.707777777774</v>
      </c>
      <c r="B23766" s="8" t="str">
        <f>HYPERLINK("https://twitter.com/mustika72599100","@mustika72599100")</f>
        <v>@mustika72599100</v>
      </c>
      <c r="C23766" s="8" t="s">
        <v>9642</v>
      </c>
      <c r="D23766" s="8">
        <v>0</v>
      </c>
      <c r="E23766" s="8">
        <v>0</v>
      </c>
      <c r="F23766" s="8">
        <v>0</v>
      </c>
    </row>
    <row r="23767" spans="1:6" ht="12.75">
      <c r="A23767" s="8">
        <v>43893.707685185189</v>
      </c>
      <c r="B23767" s="8" t="str">
        <f>HYPERLINK("https://twitter.com/BambangTenan","@BambangTenan")</f>
        <v>@BambangTenan</v>
      </c>
      <c r="C23767" s="8" t="s">
        <v>9643</v>
      </c>
      <c r="D23767" s="8">
        <v>0</v>
      </c>
      <c r="E23767" s="8">
        <v>0</v>
      </c>
      <c r="F23767" s="8">
        <v>1036</v>
      </c>
    </row>
    <row r="23768" spans="1:6" ht="12.75">
      <c r="A23768" s="8">
        <v>43893.707650462966</v>
      </c>
      <c r="B23768" s="8" t="str">
        <f>HYPERLINK("https://twitter.com/heatnotburn234","@heatnotburn234")</f>
        <v>@heatnotburn234</v>
      </c>
      <c r="C23768" s="8" t="s">
        <v>6315</v>
      </c>
      <c r="D23768" s="8">
        <v>28</v>
      </c>
      <c r="E23768" s="8">
        <v>0</v>
      </c>
      <c r="F23768" s="8">
        <v>75</v>
      </c>
    </row>
    <row r="23769" spans="1:6" ht="12.75">
      <c r="A23769" s="8">
        <v>43893.707592592589</v>
      </c>
      <c r="B23769" s="8" t="str">
        <f>HYPERLINK("https://twitter.com/kuninggemilang","@kuninggemilang")</f>
        <v>@kuninggemilang</v>
      </c>
      <c r="C23769" s="8" t="s">
        <v>6862</v>
      </c>
      <c r="D23769" s="8">
        <v>110</v>
      </c>
      <c r="E23769" s="8">
        <v>0</v>
      </c>
      <c r="F23769" s="8">
        <v>3896</v>
      </c>
    </row>
    <row r="23770" spans="1:6" ht="12.75">
      <c r="A23770" s="8">
        <v>43893.707418981481</v>
      </c>
      <c r="B23770" s="8" t="str">
        <f>HYPERLINK("https://twitter.com/andiaprabowo","@andiaprabowo")</f>
        <v>@andiaprabowo</v>
      </c>
      <c r="C23770" s="8" t="s">
        <v>1970</v>
      </c>
      <c r="D23770" s="8">
        <v>1102</v>
      </c>
      <c r="E23770" s="8">
        <v>0</v>
      </c>
      <c r="F23770" s="8">
        <v>812</v>
      </c>
    </row>
    <row r="23771" spans="1:6" ht="12.75">
      <c r="A23771" s="8">
        <v>43893.707384259258</v>
      </c>
      <c r="B23771" s="8" t="str">
        <f>HYPERLINK("https://twitter.com/AuliaRochmah13","@AuliaRochmah13")</f>
        <v>@AuliaRochmah13</v>
      </c>
      <c r="C23771" s="8" t="s">
        <v>8900</v>
      </c>
      <c r="D23771" s="8">
        <v>16</v>
      </c>
      <c r="E23771" s="8">
        <v>0</v>
      </c>
      <c r="F23771" s="8">
        <v>35</v>
      </c>
    </row>
    <row r="23772" spans="1:6" ht="12.75">
      <c r="A23772" s="8">
        <v>43893.707199074073</v>
      </c>
      <c r="B23772" s="8" t="str">
        <f>HYPERLINK("https://twitter.com/saiful2172","@saiful2172")</f>
        <v>@saiful2172</v>
      </c>
      <c r="C23772" s="8" t="s">
        <v>4477</v>
      </c>
      <c r="D23772" s="8">
        <v>1187</v>
      </c>
      <c r="E23772" s="8">
        <v>0</v>
      </c>
      <c r="F23772" s="8">
        <v>342</v>
      </c>
    </row>
    <row r="23773" spans="1:6" ht="12.75">
      <c r="A23773" s="8">
        <v>43893.707094907411</v>
      </c>
      <c r="B23773" s="8" t="str">
        <f>HYPERLINK("https://twitter.com/Elka_Rifqah","@Elka_Rifqah")</f>
        <v>@Elka_Rifqah</v>
      </c>
      <c r="C23773" s="8" t="s">
        <v>1427</v>
      </c>
      <c r="D23773" s="8">
        <v>938</v>
      </c>
      <c r="E23773" s="8">
        <v>0</v>
      </c>
      <c r="F23773" s="8">
        <v>476</v>
      </c>
    </row>
    <row r="23774" spans="1:6" ht="12.75">
      <c r="A23774" s="8">
        <v>43893.706909722227</v>
      </c>
      <c r="B23774" s="8" t="str">
        <f>HYPERLINK("https://twitter.com/Nutrisi6","@Nutrisi6")</f>
        <v>@Nutrisi6</v>
      </c>
      <c r="C23774" s="8" t="s">
        <v>9644</v>
      </c>
      <c r="D23774" s="8">
        <v>0</v>
      </c>
      <c r="E23774" s="8">
        <v>0</v>
      </c>
      <c r="F23774" s="8">
        <v>26</v>
      </c>
    </row>
    <row r="23775" spans="1:6" ht="12.75">
      <c r="A23775" s="8">
        <v>43893.70685185185</v>
      </c>
      <c r="B23775" s="8" t="str">
        <f>HYPERLINK("https://twitter.com/SitiPatimahAja","@SitiPatimahAja")</f>
        <v>@SitiPatimahAja</v>
      </c>
      <c r="C23775" s="8" t="s">
        <v>8970</v>
      </c>
      <c r="D23775" s="8">
        <v>49</v>
      </c>
      <c r="E23775" s="8">
        <v>0</v>
      </c>
      <c r="F23775" s="8">
        <v>3183</v>
      </c>
    </row>
    <row r="23776" spans="1:6" ht="12.75">
      <c r="A23776" s="8">
        <v>43893.706828703704</v>
      </c>
      <c r="B23776" s="8" t="str">
        <f>HYPERLINK("https://twitter.com/AnakLolina","@AnakLolina")</f>
        <v>@AnakLolina</v>
      </c>
      <c r="C23776" s="8" t="s">
        <v>6315</v>
      </c>
      <c r="D23776" s="8">
        <v>28</v>
      </c>
      <c r="E23776" s="8">
        <v>0</v>
      </c>
      <c r="F23776" s="8">
        <v>15109</v>
      </c>
    </row>
    <row r="23777" spans="1:6" ht="12.75">
      <c r="A23777" s="8">
        <v>43893.706817129627</v>
      </c>
      <c r="B23777" s="8" t="str">
        <f>HYPERLINK("https://twitter.com/Erick_Lubis","@Erick_Lubis")</f>
        <v>@Erick_Lubis</v>
      </c>
      <c r="C23777" s="8" t="s">
        <v>685</v>
      </c>
      <c r="D23777" s="8">
        <v>92</v>
      </c>
      <c r="E23777" s="8">
        <v>0</v>
      </c>
      <c r="F23777" s="8">
        <v>105</v>
      </c>
    </row>
    <row r="23778" spans="1:6" ht="12.75">
      <c r="A23778" s="8">
        <v>43893.706793981481</v>
      </c>
      <c r="B23778" s="8" t="str">
        <f>HYPERLINK("https://twitter.com/timyputr","@timyputr")</f>
        <v>@timyputr</v>
      </c>
      <c r="C23778" s="8" t="s">
        <v>9645</v>
      </c>
      <c r="D23778" s="8">
        <v>0</v>
      </c>
      <c r="E23778" s="8">
        <v>0</v>
      </c>
      <c r="F23778" s="8">
        <v>173</v>
      </c>
    </row>
    <row r="23779" spans="1:6" ht="12.75">
      <c r="A23779" s="8">
        <v>43893.706770833334</v>
      </c>
      <c r="B23779" s="8" t="str">
        <f>HYPERLINK("https://twitter.com/CNNIDdaily","@CNNIDdaily")</f>
        <v>@CNNIDdaily</v>
      </c>
      <c r="C23779" s="8" t="s">
        <v>9646</v>
      </c>
      <c r="D23779" s="8">
        <v>1</v>
      </c>
      <c r="E23779" s="8">
        <v>0</v>
      </c>
      <c r="F23779" s="8">
        <v>121136</v>
      </c>
    </row>
    <row r="23780" spans="1:6" ht="12.75">
      <c r="A23780" s="8">
        <v>43893.67350694444</v>
      </c>
      <c r="B23780" s="8" t="str">
        <f>HYPERLINK("https://twitter.com/sapeajeboole","@sapeajeboole")</f>
        <v>@sapeajeboole</v>
      </c>
      <c r="C23780" s="8" t="s">
        <v>9647</v>
      </c>
      <c r="D23780" s="8">
        <v>0</v>
      </c>
      <c r="E23780" s="8">
        <v>0</v>
      </c>
      <c r="F23780" s="8">
        <v>60</v>
      </c>
    </row>
    <row r="23781" spans="1:6" ht="12.75">
      <c r="A23781" s="8">
        <v>43893.673402777778</v>
      </c>
      <c r="B23781" s="8" t="str">
        <f>HYPERLINK("https://twitter.com/Nadila_ID","@Nadila_ID")</f>
        <v>@Nadila_ID</v>
      </c>
      <c r="C23781" s="8" t="s">
        <v>3039</v>
      </c>
      <c r="D23781" s="8">
        <v>29</v>
      </c>
      <c r="E23781" s="8">
        <v>0</v>
      </c>
      <c r="F23781" s="8">
        <v>7154</v>
      </c>
    </row>
    <row r="23782" spans="1:6" ht="12.75">
      <c r="A23782" s="8">
        <v>43893.673298611116</v>
      </c>
      <c r="B23782" s="8" t="str">
        <f>HYPERLINK("https://twitter.com/rusiwa1","@rusiwa1")</f>
        <v>@rusiwa1</v>
      </c>
      <c r="C23782" s="8" t="s">
        <v>9086</v>
      </c>
      <c r="D23782" s="8">
        <v>26</v>
      </c>
      <c r="E23782" s="8">
        <v>0</v>
      </c>
      <c r="F23782" s="8">
        <v>1820</v>
      </c>
    </row>
    <row r="23783" spans="1:6" ht="12.75">
      <c r="A23783" s="8">
        <v>43893.673298611116</v>
      </c>
      <c r="B23783" s="8" t="str">
        <f>HYPERLINK("https://twitter.com/Nadila_ID","@Nadila_ID")</f>
        <v>@Nadila_ID</v>
      </c>
      <c r="C23783" s="8" t="s">
        <v>3042</v>
      </c>
      <c r="D23783" s="8">
        <v>22</v>
      </c>
      <c r="E23783" s="8">
        <v>0</v>
      </c>
      <c r="F23783" s="8">
        <v>7154</v>
      </c>
    </row>
    <row r="23784" spans="1:6" ht="12.75">
      <c r="A23784" s="8">
        <v>43893.673287037032</v>
      </c>
      <c r="B23784" s="8" t="str">
        <f>HYPERLINK("https://twitter.com/Nobita_qu","@Nobita_qu")</f>
        <v>@Nobita_qu</v>
      </c>
      <c r="C23784" s="8" t="s">
        <v>9648</v>
      </c>
      <c r="D23784" s="8">
        <v>5</v>
      </c>
      <c r="E23784" s="8">
        <v>0</v>
      </c>
      <c r="F23784" s="8">
        <v>2076</v>
      </c>
    </row>
    <row r="23785" spans="1:6" ht="12.75">
      <c r="A23785" s="8">
        <v>43893.67322916667</v>
      </c>
      <c r="B23785" s="8" t="str">
        <f>HYPERLINK("https://twitter.com/MafindoID","@MafindoID")</f>
        <v>@MafindoID</v>
      </c>
      <c r="C23785" s="8" t="s">
        <v>8900</v>
      </c>
      <c r="D23785" s="8">
        <v>1</v>
      </c>
      <c r="E23785" s="8">
        <v>0</v>
      </c>
      <c r="F23785" s="8">
        <v>546</v>
      </c>
    </row>
    <row r="23786" spans="1:6" ht="12.75">
      <c r="A23786" s="8">
        <v>43893.673136574071</v>
      </c>
      <c r="B23786" s="8" t="str">
        <f>HYPERLINK("https://twitter.com/TurnBackHoax","@TurnBackHoax")</f>
        <v>@TurnBackHoax</v>
      </c>
      <c r="C23786" s="8" t="s">
        <v>9649</v>
      </c>
      <c r="D23786" s="8">
        <v>1</v>
      </c>
      <c r="E23786" s="8">
        <v>0</v>
      </c>
      <c r="F23786" s="8">
        <v>36224</v>
      </c>
    </row>
    <row r="23787" spans="1:6" ht="12.75">
      <c r="A23787" s="8">
        <v>43893.673101851848</v>
      </c>
      <c r="B23787" s="8" t="str">
        <f>HYPERLINK("https://twitter.com/_ririe13","@_ririe13")</f>
        <v>@_ririe13</v>
      </c>
      <c r="C23787" s="8" t="s">
        <v>8281</v>
      </c>
      <c r="D23787" s="8">
        <v>19</v>
      </c>
      <c r="E23787" s="8">
        <v>0</v>
      </c>
      <c r="F23787" s="8">
        <v>443</v>
      </c>
    </row>
    <row r="23788" spans="1:6" ht="12.75">
      <c r="A23788" s="8">
        <v>43893.673067129625</v>
      </c>
      <c r="B23788" s="8" t="str">
        <f>HYPERLINK("https://twitter.com/DonyArdi8","@DonyArdi8")</f>
        <v>@DonyArdi8</v>
      </c>
      <c r="C23788" s="8" t="s">
        <v>8901</v>
      </c>
      <c r="D23788" s="8">
        <v>135</v>
      </c>
      <c r="E23788" s="8">
        <v>0</v>
      </c>
      <c r="F23788" s="8">
        <v>2339</v>
      </c>
    </row>
    <row r="23789" spans="1:6" ht="12.75">
      <c r="A23789" s="8">
        <v>43893.673020833332</v>
      </c>
      <c r="B23789" s="8" t="str">
        <f>HYPERLINK("https://twitter.com/Nadila_ID","@Nadila_ID")</f>
        <v>@Nadila_ID</v>
      </c>
      <c r="C23789" s="8" t="s">
        <v>9650</v>
      </c>
      <c r="D23789" s="8">
        <v>5</v>
      </c>
      <c r="E23789" s="8">
        <v>0</v>
      </c>
      <c r="F23789" s="8">
        <v>7154</v>
      </c>
    </row>
    <row r="23790" spans="1:6" ht="12.75">
      <c r="A23790" s="8">
        <v>43893.673009259262</v>
      </c>
      <c r="B23790" s="8" t="str">
        <f>HYPERLINK("https://twitter.com/RadioElshinta","@RadioElshinta")</f>
        <v>@RadioElshinta</v>
      </c>
      <c r="C23790" s="8" t="s">
        <v>9651</v>
      </c>
      <c r="D23790" s="8">
        <v>0</v>
      </c>
      <c r="E23790" s="8">
        <v>0</v>
      </c>
      <c r="F23790" s="8">
        <v>3636570</v>
      </c>
    </row>
    <row r="23791" spans="1:6" ht="12.75">
      <c r="A23791" s="8">
        <v>43893.672986111109</v>
      </c>
      <c r="B23791" s="8" t="str">
        <f>HYPERLINK("https://twitter.com/Nadila_ID","@Nadila_ID")</f>
        <v>@Nadila_ID</v>
      </c>
      <c r="C23791" s="8" t="s">
        <v>9652</v>
      </c>
      <c r="D23791" s="8">
        <v>4</v>
      </c>
      <c r="E23791" s="8">
        <v>0</v>
      </c>
      <c r="F23791" s="8">
        <v>7154</v>
      </c>
    </row>
    <row r="23792" spans="1:6" ht="12.75">
      <c r="A23792" s="8">
        <v>43893.672974537039</v>
      </c>
      <c r="B23792" s="8" t="str">
        <f>HYPERLINK("https://twitter.com/Jerybon1","@Jerybon1")</f>
        <v>@Jerybon1</v>
      </c>
      <c r="C23792" s="8" t="s">
        <v>8868</v>
      </c>
      <c r="D23792" s="8">
        <v>35</v>
      </c>
      <c r="E23792" s="8">
        <v>0</v>
      </c>
      <c r="F23792" s="8">
        <v>1098</v>
      </c>
    </row>
    <row r="23793" spans="1:6" ht="12.75">
      <c r="A23793" s="8">
        <v>43893.67288194444</v>
      </c>
      <c r="B23793" s="8" t="str">
        <f>HYPERLINK("https://twitter.com/b1m0hars1t0","@b1m0hars1t0")</f>
        <v>@b1m0hars1t0</v>
      </c>
      <c r="C23793" s="8" t="s">
        <v>1970</v>
      </c>
      <c r="D23793" s="8">
        <v>1068</v>
      </c>
      <c r="E23793" s="8">
        <v>0</v>
      </c>
      <c r="F23793" s="8">
        <v>82</v>
      </c>
    </row>
    <row r="23794" spans="1:6" ht="12.75">
      <c r="A23794" s="8">
        <v>43893.672754629632</v>
      </c>
      <c r="B23794" s="8" t="str">
        <f>HYPERLINK("https://twitter.com/PakarLogika","@PakarLogika")</f>
        <v>@PakarLogika</v>
      </c>
      <c r="C23794" s="8" t="s">
        <v>8538</v>
      </c>
      <c r="D23794" s="8">
        <v>1</v>
      </c>
      <c r="E23794" s="8">
        <v>0</v>
      </c>
      <c r="F23794" s="8">
        <v>53439</v>
      </c>
    </row>
    <row r="23795" spans="1:6" ht="12.75">
      <c r="A23795" s="8">
        <v>43893.672719907408</v>
      </c>
      <c r="B23795" s="8" t="str">
        <f>HYPERLINK("https://twitter.com/FatiinS_L","@FatiinS_L")</f>
        <v>@FatiinS_L</v>
      </c>
      <c r="C23795" s="8" t="s">
        <v>3042</v>
      </c>
      <c r="D23795" s="8">
        <v>22</v>
      </c>
      <c r="E23795" s="8">
        <v>0</v>
      </c>
      <c r="F23795" s="8">
        <v>16422</v>
      </c>
    </row>
    <row r="23796" spans="1:6" ht="12.75">
      <c r="A23796" s="8">
        <v>43893.672708333332</v>
      </c>
      <c r="B23796" s="8" t="str">
        <f>HYPERLINK("https://twitter.com/menodewi","@menodewi")</f>
        <v>@menodewi</v>
      </c>
      <c r="C23796" s="8" t="s">
        <v>9653</v>
      </c>
      <c r="D23796" s="8">
        <v>0</v>
      </c>
      <c r="E23796" s="8">
        <v>0</v>
      </c>
      <c r="F23796" s="8">
        <v>296</v>
      </c>
    </row>
    <row r="23797" spans="1:6" ht="12.75">
      <c r="A23797" s="8">
        <v>43893.672627314816</v>
      </c>
      <c r="B23797" s="8" t="str">
        <f>HYPERLINK("https://twitter.com/HRMalik12","@HRMalik12")</f>
        <v>@HRMalik12</v>
      </c>
      <c r="C23797" s="8" t="s">
        <v>9654</v>
      </c>
      <c r="D23797" s="8">
        <v>1</v>
      </c>
      <c r="E23797" s="8">
        <v>0</v>
      </c>
      <c r="F23797" s="8">
        <v>254</v>
      </c>
    </row>
    <row r="23798" spans="1:6" ht="12.75">
      <c r="A23798" s="8">
        <v>43893.672627314816</v>
      </c>
      <c r="B23798" s="8" t="str">
        <f>HYPERLINK("https://twitter.com/geulirs","@geulirs")</f>
        <v>@geulirs</v>
      </c>
      <c r="C23798" s="8" t="s">
        <v>2962</v>
      </c>
      <c r="D23798" s="8">
        <v>5517</v>
      </c>
      <c r="E23798" s="8">
        <v>0</v>
      </c>
      <c r="F23798" s="8">
        <v>111</v>
      </c>
    </row>
    <row r="23799" spans="1:6" ht="12.75">
      <c r="A23799" s="8">
        <v>43893.672430555554</v>
      </c>
      <c r="B23799" s="8" t="str">
        <f t="shared" ref="B23799:B23800" si="349">HYPERLINK("https://twitter.com/FatiinS_L","@FatiinS_L")</f>
        <v>@FatiinS_L</v>
      </c>
      <c r="C23799" s="8" t="s">
        <v>9650</v>
      </c>
      <c r="D23799" s="8">
        <v>5</v>
      </c>
      <c r="E23799" s="8">
        <v>0</v>
      </c>
      <c r="F23799" s="8">
        <v>16422</v>
      </c>
    </row>
    <row r="23800" spans="1:6" ht="12.75">
      <c r="A23800" s="8">
        <v>43893.672395833331</v>
      </c>
      <c r="B23800" s="8" t="str">
        <f t="shared" si="349"/>
        <v>@FatiinS_L</v>
      </c>
      <c r="C23800" s="8" t="s">
        <v>9652</v>
      </c>
      <c r="D23800" s="8">
        <v>4</v>
      </c>
      <c r="E23800" s="8">
        <v>0</v>
      </c>
      <c r="F23800" s="8">
        <v>16422</v>
      </c>
    </row>
    <row r="23801" spans="1:6" ht="12.75">
      <c r="A23801" s="8">
        <v>43893.672372685185</v>
      </c>
      <c r="B23801" s="8" t="str">
        <f>HYPERLINK("https://twitter.com/adigunap","@adigunap")</f>
        <v>@adigunap</v>
      </c>
      <c r="C23801" s="8" t="s">
        <v>8281</v>
      </c>
      <c r="D23801" s="8">
        <v>19</v>
      </c>
      <c r="E23801" s="8">
        <v>0</v>
      </c>
      <c r="F23801" s="8">
        <v>882</v>
      </c>
    </row>
    <row r="23802" spans="1:6" ht="12.75">
      <c r="A23802" s="8">
        <v>43893.672291666662</v>
      </c>
      <c r="B23802" s="8" t="str">
        <f>HYPERLINK("https://twitter.com/atikahlestari26","@atikahlestari26")</f>
        <v>@atikahlestari26</v>
      </c>
      <c r="C23802" s="8" t="s">
        <v>9655</v>
      </c>
      <c r="D23802" s="8">
        <v>2</v>
      </c>
      <c r="E23802" s="8">
        <v>0</v>
      </c>
      <c r="F23802" s="8">
        <v>414</v>
      </c>
    </row>
    <row r="23803" spans="1:6" ht="12.75">
      <c r="A23803" s="8">
        <v>43893.672268518523</v>
      </c>
      <c r="B23803" s="8" t="str">
        <f>HYPERLINK("https://twitter.com/simaspoin_id","@simaspoin_id")</f>
        <v>@simaspoin_id</v>
      </c>
      <c r="C23803" s="8" t="s">
        <v>9656</v>
      </c>
      <c r="D23803" s="8">
        <v>0</v>
      </c>
      <c r="E23803" s="8">
        <v>0</v>
      </c>
      <c r="F23803" s="8">
        <v>1159</v>
      </c>
    </row>
    <row r="23804" spans="1:6" ht="12.75">
      <c r="A23804" s="8">
        <v>43893.6722337963</v>
      </c>
      <c r="B23804" s="8" t="str">
        <f>HYPERLINK("https://twitter.com/filloen","@filloen")</f>
        <v>@filloen</v>
      </c>
      <c r="C23804" s="8" t="s">
        <v>228</v>
      </c>
      <c r="D23804" s="8">
        <v>11</v>
      </c>
      <c r="E23804" s="8">
        <v>0</v>
      </c>
      <c r="F23804" s="8">
        <v>1</v>
      </c>
    </row>
    <row r="23805" spans="1:6" ht="12.75">
      <c r="A23805" s="8">
        <v>43893.672210648147</v>
      </c>
      <c r="B23805" s="8" t="str">
        <f>HYPERLINK("https://twitter.com/cahyodjo","@cahyodjo")</f>
        <v>@cahyodjo</v>
      </c>
      <c r="C23805" s="8" t="s">
        <v>1970</v>
      </c>
      <c r="D23805" s="8">
        <v>1068</v>
      </c>
      <c r="E23805" s="8">
        <v>0</v>
      </c>
      <c r="F23805" s="8">
        <v>125</v>
      </c>
    </row>
    <row r="23806" spans="1:6" ht="12.75">
      <c r="A23806" s="8">
        <v>43893.672175925924</v>
      </c>
      <c r="B23806" s="8" t="str">
        <f>HYPERLINK("https://twitter.com/dwi_thile","@dwi_thile")</f>
        <v>@dwi_thile</v>
      </c>
      <c r="C23806" s="8" t="s">
        <v>8429</v>
      </c>
      <c r="D23806" s="8">
        <v>103</v>
      </c>
      <c r="E23806" s="8">
        <v>0</v>
      </c>
      <c r="F23806" s="8">
        <v>173</v>
      </c>
    </row>
    <row r="23807" spans="1:6" ht="12.75">
      <c r="A23807" s="8">
        <v>43893.672152777777</v>
      </c>
      <c r="B23807" s="8" t="str">
        <f>HYPERLINK("https://twitter.com/pinginanu","@pinginanu")</f>
        <v>@pinginanu</v>
      </c>
      <c r="C23807" s="8" t="s">
        <v>9657</v>
      </c>
      <c r="D23807" s="8">
        <v>6</v>
      </c>
      <c r="E23807" s="8">
        <v>0</v>
      </c>
      <c r="F23807" s="8">
        <v>39</v>
      </c>
    </row>
    <row r="23808" spans="1:6" ht="12.75">
      <c r="A23808" s="8">
        <v>43893.672118055554</v>
      </c>
      <c r="B23808" s="8" t="str">
        <f>HYPERLINK("https://twitter.com/KiranaMelya","@KiranaMelya")</f>
        <v>@KiranaMelya</v>
      </c>
      <c r="C23808" s="8" t="s">
        <v>9658</v>
      </c>
      <c r="D23808" s="8">
        <v>0</v>
      </c>
      <c r="E23808" s="8">
        <v>0</v>
      </c>
      <c r="F23808" s="8">
        <v>16</v>
      </c>
    </row>
    <row r="23809" spans="1:6" ht="12.75">
      <c r="A23809" s="8">
        <v>43893.672048611115</v>
      </c>
      <c r="B23809" s="8" t="str">
        <f>HYPERLINK("https://twitter.com/Mrp90149382","@Mrp90149382")</f>
        <v>@Mrp90149382</v>
      </c>
      <c r="C23809" s="8" t="s">
        <v>9659</v>
      </c>
      <c r="D23809" s="8">
        <v>0</v>
      </c>
      <c r="E23809" s="8">
        <v>0</v>
      </c>
      <c r="F23809" s="8">
        <v>12</v>
      </c>
    </row>
    <row r="23810" spans="1:6" ht="12.75">
      <c r="A23810" s="8">
        <v>43893.671875</v>
      </c>
      <c r="B23810" s="8" t="str">
        <f>HYPERLINK("https://twitter.com/serambinews","@serambinews")</f>
        <v>@serambinews</v>
      </c>
      <c r="C23810" s="8" t="s">
        <v>9660</v>
      </c>
      <c r="D23810" s="8">
        <v>0</v>
      </c>
      <c r="E23810" s="8">
        <v>0</v>
      </c>
      <c r="F23810" s="8">
        <v>83790</v>
      </c>
    </row>
    <row r="23811" spans="1:6" ht="12.75">
      <c r="A23811" s="8">
        <v>43893.671736111108</v>
      </c>
      <c r="B23811" s="8" t="str">
        <f>HYPERLINK("https://twitter.com/healthyliveID","@healthyliveID")</f>
        <v>@healthyliveID</v>
      </c>
      <c r="C23811" s="8" t="s">
        <v>3042</v>
      </c>
      <c r="D23811" s="8">
        <v>22</v>
      </c>
      <c r="E23811" s="8">
        <v>0</v>
      </c>
      <c r="F23811" s="8">
        <v>45066</v>
      </c>
    </row>
    <row r="23812" spans="1:6" ht="12.75">
      <c r="A23812" s="8">
        <v>43893.671620370369</v>
      </c>
      <c r="B23812" s="8" t="str">
        <f>HYPERLINK("https://twitter.com/HumasTeam","@HumasTeam")</f>
        <v>@HumasTeam</v>
      </c>
      <c r="C23812" s="8" t="s">
        <v>9661</v>
      </c>
      <c r="D23812" s="8">
        <v>0</v>
      </c>
      <c r="E23812" s="8">
        <v>0</v>
      </c>
      <c r="F23812" s="8">
        <v>184</v>
      </c>
    </row>
    <row r="23813" spans="1:6" ht="12.75">
      <c r="A23813" s="8">
        <v>43893.671412037038</v>
      </c>
      <c r="B23813" s="8" t="str">
        <f t="shared" ref="B23813:B23816" si="350">HYPERLINK("https://twitter.com/healthyliveID","@healthyliveID")</f>
        <v>@healthyliveID</v>
      </c>
      <c r="C23813" s="8" t="s">
        <v>9662</v>
      </c>
      <c r="D23813" s="8">
        <v>0</v>
      </c>
      <c r="E23813" s="8">
        <v>0</v>
      </c>
      <c r="F23813" s="8">
        <v>45066</v>
      </c>
    </row>
    <row r="23814" spans="1:6" ht="12.75">
      <c r="A23814" s="8">
        <v>43893.671354166669</v>
      </c>
      <c r="B23814" s="8" t="str">
        <f t="shared" si="350"/>
        <v>@healthyliveID</v>
      </c>
      <c r="C23814" s="8" t="s">
        <v>9663</v>
      </c>
      <c r="D23814" s="8">
        <v>2</v>
      </c>
      <c r="E23814" s="8">
        <v>0</v>
      </c>
      <c r="F23814" s="8">
        <v>45066</v>
      </c>
    </row>
    <row r="23815" spans="1:6" ht="12.75">
      <c r="A23815" s="8">
        <v>43893.671296296292</v>
      </c>
      <c r="B23815" s="8" t="str">
        <f t="shared" si="350"/>
        <v>@healthyliveID</v>
      </c>
      <c r="C23815" s="8" t="s">
        <v>9650</v>
      </c>
      <c r="D23815" s="8">
        <v>5</v>
      </c>
      <c r="E23815" s="8">
        <v>0</v>
      </c>
      <c r="F23815" s="8">
        <v>45066</v>
      </c>
    </row>
    <row r="23816" spans="1:6" ht="12.75">
      <c r="A23816" s="8">
        <v>43893.671261574069</v>
      </c>
      <c r="B23816" s="8" t="str">
        <f t="shared" si="350"/>
        <v>@healthyliveID</v>
      </c>
      <c r="C23816" s="8" t="s">
        <v>9652</v>
      </c>
      <c r="D23816" s="8">
        <v>4</v>
      </c>
      <c r="E23816" s="8">
        <v>0</v>
      </c>
      <c r="F23816" s="8">
        <v>45066</v>
      </c>
    </row>
    <row r="23817" spans="1:6" ht="12.75">
      <c r="A23817" s="8">
        <v>43893.671249999999</v>
      </c>
      <c r="B23817" s="8" t="str">
        <f>HYPERLINK("https://twitter.com/evhia","@evhia")</f>
        <v>@evhia</v>
      </c>
      <c r="C23817" s="8" t="s">
        <v>9664</v>
      </c>
      <c r="D23817" s="8">
        <v>0</v>
      </c>
      <c r="E23817" s="8">
        <v>0</v>
      </c>
      <c r="F23817" s="8">
        <v>874</v>
      </c>
    </row>
    <row r="23818" spans="1:6" ht="12.75">
      <c r="A23818" s="8">
        <v>43893.67123842593</v>
      </c>
      <c r="B23818" s="8" t="str">
        <f>HYPERLINK("https://twitter.com/cycloneopropana","@cycloneopropana")</f>
        <v>@cycloneopropana</v>
      </c>
      <c r="C23818" s="8" t="s">
        <v>9128</v>
      </c>
      <c r="D23818" s="8">
        <v>172</v>
      </c>
      <c r="E23818" s="8">
        <v>0</v>
      </c>
      <c r="F23818" s="8">
        <v>27</v>
      </c>
    </row>
    <row r="23819" spans="1:6" ht="12.75">
      <c r="A23819" s="8">
        <v>43893.671226851853</v>
      </c>
      <c r="B23819" s="8" t="str">
        <f>HYPERLINK("https://twitter.com/AuliasariNor","@AuliasariNor")</f>
        <v>@AuliasariNor</v>
      </c>
      <c r="C23819" s="8" t="s">
        <v>8868</v>
      </c>
      <c r="D23819" s="8">
        <v>35</v>
      </c>
      <c r="E23819" s="8">
        <v>0</v>
      </c>
      <c r="F23819" s="8">
        <v>4</v>
      </c>
    </row>
    <row r="23820" spans="1:6" ht="12.75">
      <c r="A23820" s="8">
        <v>43893.671203703707</v>
      </c>
      <c r="B23820" s="8" t="str">
        <f>HYPERLINK("https://twitter.com/ditainyourheart","@ditainyourheart")</f>
        <v>@ditainyourheart</v>
      </c>
      <c r="C23820" s="8" t="s">
        <v>1427</v>
      </c>
      <c r="D23820" s="8">
        <v>929</v>
      </c>
      <c r="E23820" s="8">
        <v>0</v>
      </c>
      <c r="F23820" s="8">
        <v>37</v>
      </c>
    </row>
    <row r="23821" spans="1:6" ht="12.75">
      <c r="A23821" s="8">
        <v>43893.671134259261</v>
      </c>
      <c r="B23821" s="8" t="str">
        <f>HYPERLINK("https://twitter.com/Barna_byo","@Barna_byo")</f>
        <v>@Barna_byo</v>
      </c>
      <c r="C23821" s="8" t="s">
        <v>3257</v>
      </c>
      <c r="D23821" s="8">
        <v>16</v>
      </c>
      <c r="E23821" s="8">
        <v>0</v>
      </c>
      <c r="F23821" s="8">
        <v>7900</v>
      </c>
    </row>
    <row r="23822" spans="1:6" ht="12.75">
      <c r="A23822" s="8">
        <v>43893.671041666668</v>
      </c>
      <c r="B23822" s="8" t="str">
        <f>HYPERLINK("https://twitter.com/Jongos_eSJe","@Jongos_eSJe")</f>
        <v>@Jongos_eSJe</v>
      </c>
      <c r="C23822" s="8" t="s">
        <v>8281</v>
      </c>
      <c r="D23822" s="8">
        <v>19</v>
      </c>
      <c r="E23822" s="8">
        <v>0</v>
      </c>
      <c r="F23822" s="8">
        <v>135</v>
      </c>
    </row>
    <row r="23823" spans="1:6" ht="12.75">
      <c r="A23823" s="8">
        <v>43893.67082175926</v>
      </c>
      <c r="B23823" s="8" t="str">
        <f>HYPERLINK("https://twitter.com/Haibarakiky","@Haibarakiky")</f>
        <v>@Haibarakiky</v>
      </c>
      <c r="C23823" s="8" t="s">
        <v>9665</v>
      </c>
      <c r="D23823" s="8">
        <v>0</v>
      </c>
      <c r="E23823" s="8">
        <v>0</v>
      </c>
      <c r="F23823" s="8">
        <v>1080</v>
      </c>
    </row>
    <row r="23824" spans="1:6" ht="12.75">
      <c r="A23824" s="8">
        <v>43893.670798611114</v>
      </c>
      <c r="B23824" s="8" t="str">
        <f>HYPERLINK("https://twitter.com/nambahikangen","@nambahikangen")</f>
        <v>@nambahikangen</v>
      </c>
      <c r="C23824" s="8" t="s">
        <v>9595</v>
      </c>
      <c r="D23824" s="8">
        <v>62</v>
      </c>
      <c r="E23824" s="8">
        <v>0</v>
      </c>
      <c r="F23824" s="8">
        <v>2581</v>
      </c>
    </row>
    <row r="23825" spans="1:6" ht="12.75">
      <c r="A23825" s="8">
        <v>43893.670717592591</v>
      </c>
      <c r="B23825" s="8" t="str">
        <f>HYPERLINK("https://twitter.com/AnandaR26418144","@AnandaR26418144")</f>
        <v>@AnandaR26418144</v>
      </c>
      <c r="C23825" s="8" t="s">
        <v>9369</v>
      </c>
      <c r="D23825" s="8">
        <v>1</v>
      </c>
      <c r="E23825" s="8">
        <v>0</v>
      </c>
      <c r="F23825" s="8">
        <v>385</v>
      </c>
    </row>
    <row r="23826" spans="1:6" ht="12.75">
      <c r="A23826" s="8">
        <v>43893.670613425929</v>
      </c>
      <c r="B23826" s="8" t="str">
        <f>HYPERLINK("https://twitter.com/HAP_______","@HAP_______")</f>
        <v>@HAP_______</v>
      </c>
      <c r="C23826" s="8" t="s">
        <v>8868</v>
      </c>
      <c r="D23826" s="8">
        <v>35</v>
      </c>
      <c r="E23826" s="8">
        <v>0</v>
      </c>
      <c r="F23826" s="8">
        <v>452</v>
      </c>
    </row>
    <row r="23827" spans="1:6" ht="12.75">
      <c r="A23827" s="8">
        <v>43893.67052083333</v>
      </c>
      <c r="B23827" s="8" t="str">
        <f>HYPERLINK("https://twitter.com/IdhamMajid","@IdhamMajid")</f>
        <v>@IdhamMajid</v>
      </c>
      <c r="C23827" s="8" t="s">
        <v>2962</v>
      </c>
      <c r="D23827" s="8">
        <v>5517</v>
      </c>
      <c r="E23827" s="8">
        <v>0</v>
      </c>
      <c r="F23827" s="8">
        <v>785</v>
      </c>
    </row>
    <row r="23828" spans="1:6" ht="12.75">
      <c r="A23828" s="8">
        <v>43893.670486111107</v>
      </c>
      <c r="B23828" s="8" t="str">
        <f>HYPERLINK("https://twitter.com/FadhielGunawan","@FadhielGunawan")</f>
        <v>@FadhielGunawan</v>
      </c>
      <c r="C23828" s="8" t="s">
        <v>8868</v>
      </c>
      <c r="D23828" s="8">
        <v>35</v>
      </c>
      <c r="E23828" s="8">
        <v>0</v>
      </c>
      <c r="F23828" s="8">
        <v>1502</v>
      </c>
    </row>
    <row r="23829" spans="1:6" ht="12.75">
      <c r="A23829" s="8">
        <v>43893.670381944445</v>
      </c>
      <c r="B23829" s="8" t="str">
        <f>HYPERLINK("https://twitter.com/amang_123","@amang_123")</f>
        <v>@amang_123</v>
      </c>
      <c r="C23829" s="8" t="s">
        <v>6827</v>
      </c>
      <c r="D23829" s="8">
        <v>12</v>
      </c>
      <c r="E23829" s="8">
        <v>0</v>
      </c>
      <c r="F23829" s="8">
        <v>1272</v>
      </c>
    </row>
    <row r="23830" spans="1:6" ht="12.75">
      <c r="A23830" s="8">
        <v>43893.670335648145</v>
      </c>
      <c r="B23830" s="8" t="str">
        <f>HYPERLINK("https://twitter.com/meymiadr","@meymiadr")</f>
        <v>@meymiadr</v>
      </c>
      <c r="C23830" s="8" t="s">
        <v>2962</v>
      </c>
      <c r="D23830" s="8">
        <v>5517</v>
      </c>
      <c r="E23830" s="8">
        <v>0</v>
      </c>
      <c r="F23830" s="8">
        <v>308</v>
      </c>
    </row>
    <row r="23831" spans="1:6" ht="12.75">
      <c r="A23831" s="8">
        <v>43893.670289351852</v>
      </c>
      <c r="B23831" s="8" t="str">
        <f>HYPERLINK("https://twitter.com/lastyawati","@lastyawati")</f>
        <v>@lastyawati</v>
      </c>
      <c r="C23831" s="8" t="s">
        <v>9523</v>
      </c>
      <c r="D23831" s="8">
        <v>0</v>
      </c>
      <c r="E23831" s="8">
        <v>0</v>
      </c>
      <c r="F23831" s="8">
        <v>1302</v>
      </c>
    </row>
    <row r="23832" spans="1:6" ht="12.75">
      <c r="A23832" s="8">
        <v>43893.67019675926</v>
      </c>
      <c r="B23832" s="8" t="str">
        <f>HYPERLINK("https://twitter.com/ViruzBanned","@ViruzBanned")</f>
        <v>@ViruzBanned</v>
      </c>
      <c r="C23832" s="8" t="s">
        <v>8322</v>
      </c>
      <c r="D23832" s="8">
        <v>754</v>
      </c>
      <c r="E23832" s="8">
        <v>0</v>
      </c>
      <c r="F23832" s="8">
        <v>1232</v>
      </c>
    </row>
    <row r="23833" spans="1:6" ht="12.75">
      <c r="A23833" s="8">
        <v>43893.669861111106</v>
      </c>
      <c r="B23833" s="8" t="str">
        <f>HYPERLINK("https://twitter.com/aurelel","@aurelel")</f>
        <v>@aurelel</v>
      </c>
      <c r="C23833" s="8" t="s">
        <v>2199</v>
      </c>
      <c r="D23833" s="8">
        <v>8955</v>
      </c>
      <c r="E23833" s="8">
        <v>0</v>
      </c>
      <c r="F23833" s="8">
        <v>642</v>
      </c>
    </row>
    <row r="23834" spans="1:6" ht="12.75">
      <c r="A23834" s="8">
        <v>43893.669675925921</v>
      </c>
      <c r="B23834" s="8" t="str">
        <f>HYPERLINK("https://twitter.com/reharnanda","@reharnanda")</f>
        <v>@reharnanda</v>
      </c>
      <c r="C23834" s="8" t="s">
        <v>9556</v>
      </c>
      <c r="D23834" s="8">
        <v>35</v>
      </c>
      <c r="E23834" s="8">
        <v>0</v>
      </c>
      <c r="F23834" s="8">
        <v>137</v>
      </c>
    </row>
    <row r="23835" spans="1:6" ht="12.75">
      <c r="A23835" s="8">
        <v>43893.669594907406</v>
      </c>
      <c r="B23835" s="8" t="str">
        <f>HYPERLINK("https://twitter.com/AcoxDuko368","@AcoxDuko368")</f>
        <v>@AcoxDuko368</v>
      </c>
      <c r="C23835" s="8" t="s">
        <v>9648</v>
      </c>
      <c r="D23835" s="8">
        <v>5</v>
      </c>
      <c r="E23835" s="8">
        <v>0</v>
      </c>
      <c r="F23835" s="8">
        <v>2279</v>
      </c>
    </row>
    <row r="23836" spans="1:6" ht="12.75">
      <c r="A23836" s="8">
        <v>43893.669305555552</v>
      </c>
      <c r="B23836" s="8" t="str">
        <f>HYPERLINK("https://twitter.com/Tenguabang5","@Tenguabang5")</f>
        <v>@Tenguabang5</v>
      </c>
      <c r="C23836" s="8" t="s">
        <v>9666</v>
      </c>
      <c r="D23836" s="8">
        <v>0</v>
      </c>
      <c r="E23836" s="8">
        <v>0</v>
      </c>
      <c r="F23836" s="8">
        <v>46</v>
      </c>
    </row>
    <row r="23837" spans="1:6" ht="12.75">
      <c r="A23837" s="8">
        <v>43893.669293981482</v>
      </c>
      <c r="B23837" s="8" t="str">
        <f>HYPERLINK("https://twitter.com/arhieraidaa","@arhieraidaa")</f>
        <v>@arhieraidaa</v>
      </c>
      <c r="C23837" s="8" t="s">
        <v>9667</v>
      </c>
      <c r="D23837" s="8">
        <v>3</v>
      </c>
      <c r="E23837" s="8">
        <v>0</v>
      </c>
      <c r="F23837" s="8">
        <v>753</v>
      </c>
    </row>
    <row r="23838" spans="1:6" ht="12.75">
      <c r="A23838" s="8">
        <v>43893.66920138889</v>
      </c>
      <c r="B23838" s="8" t="str">
        <f>HYPERLINK("https://twitter.com/JonPohong","@JonPohong")</f>
        <v>@JonPohong</v>
      </c>
      <c r="C23838" s="8" t="s">
        <v>8901</v>
      </c>
      <c r="D23838" s="8">
        <v>135</v>
      </c>
      <c r="E23838" s="8">
        <v>0</v>
      </c>
      <c r="F23838" s="8">
        <v>317</v>
      </c>
    </row>
    <row r="23839" spans="1:6" ht="12.75">
      <c r="A23839" s="8">
        <v>43893.669108796297</v>
      </c>
      <c r="B23839" s="8" t="str">
        <f>HYPERLINK("https://twitter.com/DSumirane","@DSumirane")</f>
        <v>@DSumirane</v>
      </c>
      <c r="C23839" s="8" t="s">
        <v>9668</v>
      </c>
      <c r="D23839" s="8">
        <v>0</v>
      </c>
      <c r="E23839" s="8">
        <v>0</v>
      </c>
      <c r="F23839" s="8">
        <v>724</v>
      </c>
    </row>
    <row r="23840" spans="1:6" ht="12.75">
      <c r="A23840" s="8">
        <v>43893.66909722222</v>
      </c>
      <c r="B23840" s="8" t="str">
        <f>HYPERLINK("https://twitter.com/adjidjawa","@adjidjawa")</f>
        <v>@adjidjawa</v>
      </c>
      <c r="C23840" s="8" t="s">
        <v>9366</v>
      </c>
      <c r="D23840" s="8">
        <v>2</v>
      </c>
      <c r="E23840" s="8">
        <v>0</v>
      </c>
      <c r="F23840" s="8">
        <v>278</v>
      </c>
    </row>
    <row r="23841" spans="1:6" ht="12.75">
      <c r="A23841" s="8">
        <v>43893.668993055559</v>
      </c>
      <c r="B23841" s="8" t="str">
        <f>HYPERLINK("https://twitter.com/heniunique","@heniunique")</f>
        <v>@heniunique</v>
      </c>
      <c r="C23841" s="8" t="s">
        <v>3257</v>
      </c>
      <c r="D23841" s="8">
        <v>16</v>
      </c>
      <c r="E23841" s="8">
        <v>0</v>
      </c>
      <c r="F23841" s="8">
        <v>9978</v>
      </c>
    </row>
    <row r="23842" spans="1:6" ht="12.75">
      <c r="A23842" s="8">
        <v>43893.668981481482</v>
      </c>
      <c r="B23842" s="8" t="str">
        <f>HYPERLINK("https://twitter.com/RuangDerita","@RuangDerita")</f>
        <v>@RuangDerita</v>
      </c>
      <c r="C23842" s="8" t="s">
        <v>9669</v>
      </c>
      <c r="D23842" s="8">
        <v>0</v>
      </c>
      <c r="E23842" s="8">
        <v>0</v>
      </c>
      <c r="F23842" s="8">
        <v>101</v>
      </c>
    </row>
    <row r="23843" spans="1:6" ht="12.75">
      <c r="A23843" s="8">
        <v>43893.668981481482</v>
      </c>
      <c r="B23843" s="8" t="str">
        <f>HYPERLINK("https://twitter.com/MawarSolitaire","@MawarSolitaire")</f>
        <v>@MawarSolitaire</v>
      </c>
      <c r="C23843" s="8" t="s">
        <v>9670</v>
      </c>
      <c r="D23843" s="8">
        <v>0</v>
      </c>
      <c r="E23843" s="8">
        <v>0</v>
      </c>
      <c r="F23843" s="8">
        <v>281</v>
      </c>
    </row>
    <row r="23844" spans="1:6" ht="12.75">
      <c r="A23844" s="8">
        <v>43893.668888888889</v>
      </c>
      <c r="B23844" s="8" t="str">
        <f>HYPERLINK("https://twitter.com/idntimes","@idntimes")</f>
        <v>@idntimes</v>
      </c>
      <c r="C23844" s="8" t="s">
        <v>9671</v>
      </c>
      <c r="D23844" s="8">
        <v>0</v>
      </c>
      <c r="E23844" s="8">
        <v>0</v>
      </c>
      <c r="F23844" s="8">
        <v>393883</v>
      </c>
    </row>
    <row r="23845" spans="1:6" ht="12.75">
      <c r="A23845" s="8">
        <v>43893.668842592597</v>
      </c>
      <c r="B23845" s="8" t="str">
        <f>HYPERLINK("https://twitter.com/rqlabigail","@rqlabigail")</f>
        <v>@rqlabigail</v>
      </c>
      <c r="C23845" s="8" t="s">
        <v>9672</v>
      </c>
      <c r="D23845" s="8">
        <v>0</v>
      </c>
      <c r="E23845" s="8">
        <v>0</v>
      </c>
      <c r="F23845" s="8">
        <v>5</v>
      </c>
    </row>
    <row r="23846" spans="1:6" ht="12.75">
      <c r="A23846" s="8">
        <v>43893.66883101852</v>
      </c>
      <c r="B23846" s="8" t="str">
        <f>HYPERLINK("https://twitter.com/heniunique","@heniunique")</f>
        <v>@heniunique</v>
      </c>
      <c r="C23846" s="8" t="s">
        <v>685</v>
      </c>
      <c r="D23846" s="8">
        <v>83</v>
      </c>
      <c r="E23846" s="8">
        <v>0</v>
      </c>
      <c r="F23846" s="8">
        <v>9978</v>
      </c>
    </row>
    <row r="23847" spans="1:6" ht="12.75">
      <c r="A23847" s="8">
        <v>43893.668738425928</v>
      </c>
      <c r="B23847" s="8" t="str">
        <f>HYPERLINK("https://twitter.com/rang_simabua","@rang_simabua")</f>
        <v>@rang_simabua</v>
      </c>
      <c r="C23847" s="8" t="s">
        <v>8901</v>
      </c>
      <c r="D23847" s="8">
        <v>135</v>
      </c>
      <c r="E23847" s="8">
        <v>0</v>
      </c>
      <c r="F23847" s="8">
        <v>7895</v>
      </c>
    </row>
    <row r="23848" spans="1:6" ht="12.75">
      <c r="A23848" s="8">
        <v>43893.668692129635</v>
      </c>
      <c r="B23848" s="8" t="str">
        <f>HYPERLINK("https://twitter.com/TrendardNews","@TrendardNews")</f>
        <v>@TrendardNews</v>
      </c>
      <c r="C23848" s="8" t="s">
        <v>9673</v>
      </c>
      <c r="D23848" s="8">
        <v>0</v>
      </c>
      <c r="E23848" s="8">
        <v>0</v>
      </c>
      <c r="F23848" s="8">
        <v>36</v>
      </c>
    </row>
    <row r="23849" spans="1:6" ht="12.75">
      <c r="A23849" s="8">
        <v>43893.668680555551</v>
      </c>
      <c r="B23849" s="8" t="str">
        <f>HYPERLINK("https://twitter.com/MudjiburRohman","@MudjiburRohman")</f>
        <v>@MudjiburRohman</v>
      </c>
      <c r="C23849" s="8" t="s">
        <v>9674</v>
      </c>
      <c r="D23849" s="8">
        <v>0</v>
      </c>
      <c r="E23849" s="8">
        <v>0</v>
      </c>
      <c r="F23849" s="8">
        <v>1944</v>
      </c>
    </row>
    <row r="23850" spans="1:6" ht="12.75">
      <c r="A23850" s="8">
        <v>43893.668564814812</v>
      </c>
      <c r="B23850" s="8" t="str">
        <f>HYPERLINK("https://twitter.com/ocin71","@ocin71")</f>
        <v>@ocin71</v>
      </c>
      <c r="C23850" s="8" t="s">
        <v>9675</v>
      </c>
      <c r="D23850" s="8">
        <v>9</v>
      </c>
      <c r="E23850" s="8">
        <v>0</v>
      </c>
      <c r="F23850" s="8">
        <v>334</v>
      </c>
    </row>
    <row r="23851" spans="1:6" ht="12.75">
      <c r="A23851" s="8">
        <v>43893.668425925927</v>
      </c>
      <c r="B23851" s="8" t="str">
        <f>HYPERLINK("https://twitter.com/bandorobrojo","@bandorobrojo")</f>
        <v>@bandorobrojo</v>
      </c>
      <c r="C23851" s="8" t="s">
        <v>8322</v>
      </c>
      <c r="D23851" s="8">
        <v>754</v>
      </c>
      <c r="E23851" s="8">
        <v>0</v>
      </c>
      <c r="F23851" s="8">
        <v>687</v>
      </c>
    </row>
    <row r="23852" spans="1:6" ht="12.75">
      <c r="A23852" s="8">
        <v>43893.668379629627</v>
      </c>
      <c r="B23852" s="8" t="str">
        <f>HYPERLINK("https://twitter.com/chef_master69","@chef_master69")</f>
        <v>@chef_master69</v>
      </c>
      <c r="C23852" s="8" t="s">
        <v>9676</v>
      </c>
      <c r="D23852" s="8">
        <v>2</v>
      </c>
      <c r="E23852" s="8">
        <v>0</v>
      </c>
      <c r="F23852" s="8">
        <v>155</v>
      </c>
    </row>
    <row r="23853" spans="1:6" ht="12.75">
      <c r="A23853" s="8">
        <v>43893.668356481481</v>
      </c>
      <c r="B23853" s="8" t="str">
        <f>HYPERLINK("https://twitter.com/Karisma_Jakarta","@Karisma_Jakarta")</f>
        <v>@Karisma_Jakarta</v>
      </c>
      <c r="C23853" s="8" t="s">
        <v>9677</v>
      </c>
      <c r="D23853" s="8">
        <v>1</v>
      </c>
      <c r="E23853" s="8">
        <v>0</v>
      </c>
      <c r="F23853" s="8">
        <v>534</v>
      </c>
    </row>
    <row r="23854" spans="1:6" ht="12.75">
      <c r="A23854" s="8">
        <v>43893.66814814815</v>
      </c>
      <c r="B23854" s="8" t="str">
        <f>HYPERLINK("https://twitter.com/rqlabigail","@rqlabigail")</f>
        <v>@rqlabigail</v>
      </c>
      <c r="C23854" s="8" t="s">
        <v>9650</v>
      </c>
      <c r="D23854" s="8">
        <v>5</v>
      </c>
      <c r="E23854" s="8">
        <v>0</v>
      </c>
      <c r="F23854" s="8">
        <v>5</v>
      </c>
    </row>
    <row r="23855" spans="1:6" ht="12.75">
      <c r="A23855" s="8">
        <v>43893.667997685188</v>
      </c>
      <c r="B23855" s="8" t="str">
        <f>HYPERLINK("https://twitter.com/sonnysetia","@sonnysetia")</f>
        <v>@sonnysetia</v>
      </c>
      <c r="C23855" s="8" t="s">
        <v>8901</v>
      </c>
      <c r="D23855" s="8">
        <v>135</v>
      </c>
      <c r="E23855" s="8">
        <v>0</v>
      </c>
      <c r="F23855" s="8">
        <v>2379</v>
      </c>
    </row>
    <row r="23856" spans="1:6" ht="12.75">
      <c r="A23856" s="8">
        <v>43893.667962962965</v>
      </c>
      <c r="B23856" s="8" t="str">
        <f>HYPERLINK("https://twitter.com/aprisaan","@aprisaan")</f>
        <v>@aprisaan</v>
      </c>
      <c r="C23856" s="8" t="s">
        <v>9678</v>
      </c>
      <c r="D23856" s="8">
        <v>0</v>
      </c>
      <c r="E23856" s="8">
        <v>0</v>
      </c>
      <c r="F23856" s="8">
        <v>149</v>
      </c>
    </row>
    <row r="23857" spans="1:6" ht="12.75">
      <c r="A23857" s="8">
        <v>43893.667847222227</v>
      </c>
      <c r="B23857" s="8" t="str">
        <f>HYPERLINK("https://twitter.com/TRANS7","@TRANS7")</f>
        <v>@TRANS7</v>
      </c>
      <c r="C23857" s="8" t="s">
        <v>9655</v>
      </c>
      <c r="D23857" s="8">
        <v>3</v>
      </c>
      <c r="E23857" s="8">
        <v>0</v>
      </c>
      <c r="F23857" s="8">
        <v>5581086</v>
      </c>
    </row>
    <row r="23858" spans="1:6" ht="12.75">
      <c r="A23858" s="8">
        <v>43893.667534722219</v>
      </c>
      <c r="B23858" s="8" t="str">
        <f>HYPERLINK("https://twitter.com/uusayang","@uusayang")</f>
        <v>@uusayang</v>
      </c>
      <c r="C23858" s="8" t="s">
        <v>9295</v>
      </c>
      <c r="D23858" s="8">
        <v>253</v>
      </c>
      <c r="E23858" s="8">
        <v>0</v>
      </c>
      <c r="F23858" s="8">
        <v>494</v>
      </c>
    </row>
    <row r="23859" spans="1:6" ht="12.75">
      <c r="A23859" s="8">
        <v>43893.667488425926</v>
      </c>
      <c r="B23859" s="8" t="str">
        <f>HYPERLINK("https://twitter.com/lilobrr","@lilobrr")</f>
        <v>@lilobrr</v>
      </c>
      <c r="C23859" s="8" t="s">
        <v>9679</v>
      </c>
      <c r="D23859" s="8">
        <v>0</v>
      </c>
      <c r="E23859" s="8">
        <v>0</v>
      </c>
      <c r="F23859" s="8">
        <v>135</v>
      </c>
    </row>
    <row r="23860" spans="1:6" ht="12.75">
      <c r="A23860" s="8">
        <v>43893.66741898148</v>
      </c>
      <c r="B23860" s="8" t="str">
        <f>HYPERLINK("https://twitter.com/Ishish19885793","@Ishish19885793")</f>
        <v>@Ishish19885793</v>
      </c>
      <c r="C23860" s="8" t="s">
        <v>6862</v>
      </c>
      <c r="D23860" s="8">
        <v>96</v>
      </c>
      <c r="E23860" s="8">
        <v>0</v>
      </c>
      <c r="F23860" s="8">
        <v>61</v>
      </c>
    </row>
    <row r="23861" spans="1:6" ht="12.75">
      <c r="A23861" s="8">
        <v>43893.667129629626</v>
      </c>
      <c r="B23861" s="8" t="str">
        <f>HYPERLINK("https://twitter.com/RepKertanegara","@RepKertanegara")</f>
        <v>@RepKertanegara</v>
      </c>
      <c r="C23861" s="8" t="s">
        <v>7197</v>
      </c>
      <c r="D23861" s="8">
        <v>69</v>
      </c>
      <c r="E23861" s="8">
        <v>0</v>
      </c>
      <c r="F23861" s="8">
        <v>118</v>
      </c>
    </row>
    <row r="23862" spans="1:6" ht="12.75">
      <c r="A23862" s="8">
        <v>43893.667002314818</v>
      </c>
      <c r="B23862" s="8" t="str">
        <f>HYPERLINK("https://twitter.com/manuel_agil","@manuel_agil")</f>
        <v>@manuel_agil</v>
      </c>
      <c r="C23862" s="8" t="s">
        <v>9680</v>
      </c>
      <c r="D23862" s="8">
        <v>8</v>
      </c>
      <c r="E23862" s="8">
        <v>0</v>
      </c>
      <c r="F23862" s="8">
        <v>3241</v>
      </c>
    </row>
    <row r="23863" spans="1:6" ht="12.75">
      <c r="A23863" s="8">
        <v>43893.666932870372</v>
      </c>
      <c r="B23863" s="8" t="str">
        <f>HYPERLINK("https://twitter.com/Ajeng__Cute16","@Ajeng__Cute16")</f>
        <v>@Ajeng__Cute16</v>
      </c>
      <c r="C23863" s="8" t="s">
        <v>6827</v>
      </c>
      <c r="D23863" s="8">
        <v>12</v>
      </c>
      <c r="E23863" s="8">
        <v>0</v>
      </c>
      <c r="F23863" s="8">
        <v>28705</v>
      </c>
    </row>
    <row r="23864" spans="1:6" ht="12.75">
      <c r="A23864" s="8">
        <v>43893.666909722218</v>
      </c>
      <c r="B23864" s="8" t="str">
        <f>HYPERLINK("https://twitter.com/Prof_TehObeng","@Prof_TehObeng")</f>
        <v>@Prof_TehObeng</v>
      </c>
      <c r="C23864" s="8" t="s">
        <v>1970</v>
      </c>
      <c r="D23864" s="8">
        <v>1068</v>
      </c>
      <c r="E23864" s="8">
        <v>0</v>
      </c>
      <c r="F23864" s="8">
        <v>794</v>
      </c>
    </row>
    <row r="23865" spans="1:6" ht="12.75">
      <c r="A23865" s="8">
        <v>43893.666863425926</v>
      </c>
      <c r="B23865" s="8" t="str">
        <f>HYPERLINK("https://twitter.com/alfiwildan","@alfiwildan")</f>
        <v>@alfiwildan</v>
      </c>
      <c r="C23865" s="8" t="s">
        <v>9117</v>
      </c>
      <c r="D23865" s="8">
        <v>381</v>
      </c>
      <c r="E23865" s="8">
        <v>0</v>
      </c>
      <c r="F23865" s="8">
        <v>612</v>
      </c>
    </row>
    <row r="23866" spans="1:6" ht="12.75">
      <c r="A23866" s="8">
        <v>43893.666863425926</v>
      </c>
      <c r="B23866" s="8" t="str">
        <f>HYPERLINK("https://twitter.com/taeluv9530","@taeluv9530")</f>
        <v>@taeluv9530</v>
      </c>
      <c r="C23866" s="8" t="s">
        <v>8868</v>
      </c>
      <c r="D23866" s="8">
        <v>35</v>
      </c>
      <c r="E23866" s="8">
        <v>0</v>
      </c>
      <c r="F23866" s="8">
        <v>236</v>
      </c>
    </row>
    <row r="23867" spans="1:6" ht="12.75">
      <c r="A23867" s="8">
        <v>43893.666851851856</v>
      </c>
      <c r="B23867" s="8" t="str">
        <f>HYPERLINK("https://twitter.com/SolihPopeye","@SolihPopeye")</f>
        <v>@SolihPopeye</v>
      </c>
      <c r="C23867" s="8" t="s">
        <v>1970</v>
      </c>
      <c r="D23867" s="8">
        <v>1068</v>
      </c>
      <c r="E23867" s="8">
        <v>0</v>
      </c>
      <c r="F23867" s="8">
        <v>156</v>
      </c>
    </row>
    <row r="23868" spans="1:6" ht="12.75">
      <c r="A23868" s="8">
        <v>43893.666817129633</v>
      </c>
      <c r="B23868" s="8" t="str">
        <f>HYPERLINK("https://twitter.com/_maceswag","@_maceswag")</f>
        <v>@_maceswag</v>
      </c>
      <c r="C23868" s="8" t="s">
        <v>8281</v>
      </c>
      <c r="D23868" s="8">
        <v>19</v>
      </c>
      <c r="E23868" s="8">
        <v>0</v>
      </c>
      <c r="F23868" s="8">
        <v>1019</v>
      </c>
    </row>
    <row r="23869" spans="1:6" ht="12.75">
      <c r="A23869" s="8">
        <v>43893.666620370372</v>
      </c>
      <c r="B23869" s="8" t="str">
        <f>HYPERLINK("https://twitter.com/jipopatrick","@jipopatrick")</f>
        <v>@jipopatrick</v>
      </c>
      <c r="C23869" s="8" t="s">
        <v>8281</v>
      </c>
      <c r="D23869" s="8">
        <v>19</v>
      </c>
      <c r="E23869" s="8">
        <v>0</v>
      </c>
      <c r="F23869" s="8">
        <v>113</v>
      </c>
    </row>
    <row r="23870" spans="1:6" ht="12.75">
      <c r="A23870" s="8">
        <v>43893.666319444441</v>
      </c>
      <c r="B23870" s="8" t="str">
        <f>HYPERLINK("https://twitter.com/nicobowo","@nicobowo")</f>
        <v>@nicobowo</v>
      </c>
      <c r="C23870" s="8" t="s">
        <v>2962</v>
      </c>
      <c r="D23870" s="8">
        <v>5517</v>
      </c>
      <c r="E23870" s="8">
        <v>0</v>
      </c>
      <c r="F23870" s="8">
        <v>360</v>
      </c>
    </row>
    <row r="23871" spans="1:6" ht="12.75">
      <c r="A23871" s="8">
        <v>43893.666238425925</v>
      </c>
      <c r="B23871" s="8" t="str">
        <f>HYPERLINK("https://twitter.com/fervidulcinea","@fervidulcinea")</f>
        <v>@fervidulcinea</v>
      </c>
      <c r="C23871" s="8" t="s">
        <v>9681</v>
      </c>
      <c r="D23871" s="8">
        <v>0</v>
      </c>
      <c r="E23871" s="8">
        <v>0</v>
      </c>
      <c r="F23871" s="8">
        <v>196</v>
      </c>
    </row>
    <row r="23872" spans="1:6" ht="12.75">
      <c r="A23872" s="8">
        <v>43893.666030092594</v>
      </c>
      <c r="B23872" s="8" t="str">
        <f>HYPERLINK("https://twitter.com/FatiinS_L","@FatiinS_L")</f>
        <v>@FatiinS_L</v>
      </c>
      <c r="C23872" s="8" t="s">
        <v>9682</v>
      </c>
      <c r="D23872" s="8">
        <v>0</v>
      </c>
      <c r="E23872" s="8">
        <v>0</v>
      </c>
      <c r="F23872" s="8">
        <v>16422</v>
      </c>
    </row>
    <row r="23873" spans="1:6" ht="12.75">
      <c r="A23873" s="8">
        <v>43893.665925925925</v>
      </c>
      <c r="B23873" s="8" t="str">
        <f>HYPERLINK("https://twitter.com/sea9sky9","@sea9sky9")</f>
        <v>@sea9sky9</v>
      </c>
      <c r="C23873" s="8" t="s">
        <v>2962</v>
      </c>
      <c r="D23873" s="8">
        <v>5517</v>
      </c>
      <c r="E23873" s="8">
        <v>0</v>
      </c>
      <c r="F23873" s="8">
        <v>61</v>
      </c>
    </row>
    <row r="23874" spans="1:6" ht="12.75">
      <c r="A23874" s="8">
        <v>43893.665763888886</v>
      </c>
      <c r="B23874" s="8" t="str">
        <f>HYPERLINK("https://twitter.com/OposisiCerdas","@OposisiCerdas")</f>
        <v>@OposisiCerdas</v>
      </c>
      <c r="C23874" s="8" t="s">
        <v>9683</v>
      </c>
      <c r="D23874" s="8">
        <v>1</v>
      </c>
      <c r="E23874" s="8">
        <v>13</v>
      </c>
      <c r="F23874" s="8">
        <v>18052</v>
      </c>
    </row>
    <row r="23875" spans="1:6" ht="12.75">
      <c r="A23875" s="8">
        <v>43893.665729166663</v>
      </c>
      <c r="B23875" s="8" t="str">
        <f>HYPERLINK("https://twitter.com/TomySetyo","@TomySetyo")</f>
        <v>@TomySetyo</v>
      </c>
      <c r="C23875" s="8" t="s">
        <v>8868</v>
      </c>
      <c r="D23875" s="8">
        <v>35</v>
      </c>
      <c r="E23875" s="8">
        <v>0</v>
      </c>
      <c r="F23875" s="8">
        <v>129</v>
      </c>
    </row>
    <row r="23876" spans="1:6" ht="12.75">
      <c r="A23876" s="8">
        <v>43893.665497685186</v>
      </c>
      <c r="B23876" s="8" t="str">
        <f>HYPERLINK("https://twitter.com/Nonducor_Duco_","@Nonducor_Duco_")</f>
        <v>@Nonducor_Duco_</v>
      </c>
      <c r="C23876" s="8" t="s">
        <v>7437</v>
      </c>
      <c r="D23876" s="8">
        <v>498</v>
      </c>
      <c r="E23876" s="8">
        <v>0</v>
      </c>
      <c r="F23876" s="8">
        <v>15</v>
      </c>
    </row>
    <row r="23877" spans="1:6" ht="12.75">
      <c r="A23877" s="8">
        <v>43893.665462962963</v>
      </c>
      <c r="B23877" s="8" t="str">
        <f>HYPERLINK("https://twitter.com/pulpiction","@pulpiction")</f>
        <v>@pulpiction</v>
      </c>
      <c r="C23877" s="8" t="s">
        <v>9684</v>
      </c>
      <c r="D23877" s="8">
        <v>171</v>
      </c>
      <c r="E23877" s="8">
        <v>0</v>
      </c>
      <c r="F23877" s="8">
        <v>252</v>
      </c>
    </row>
    <row r="23878" spans="1:6" ht="12.75">
      <c r="A23878" s="8">
        <v>43893.665289351848</v>
      </c>
      <c r="B23878" s="8" t="str">
        <f>HYPERLINK("https://twitter.com/AbdillahDPDRI","@AbdillahDPDRI")</f>
        <v>@AbdillahDPDRI</v>
      </c>
      <c r="C23878" s="8" t="s">
        <v>1970</v>
      </c>
      <c r="D23878" s="8">
        <v>1068</v>
      </c>
      <c r="E23878" s="8">
        <v>0</v>
      </c>
      <c r="F23878" s="8">
        <v>68</v>
      </c>
    </row>
    <row r="23879" spans="1:6" ht="12.75">
      <c r="A23879" s="8">
        <v>43893.665231481486</v>
      </c>
      <c r="B23879" s="8" t="str">
        <f>HYPERLINK("https://twitter.com/FerrySagita_","@FerrySagita_")</f>
        <v>@FerrySagita_</v>
      </c>
      <c r="C23879" s="8" t="s">
        <v>8322</v>
      </c>
      <c r="D23879" s="8">
        <v>754</v>
      </c>
      <c r="E23879" s="8">
        <v>0</v>
      </c>
      <c r="F23879" s="8">
        <v>634</v>
      </c>
    </row>
    <row r="23880" spans="1:6" ht="12.75">
      <c r="A23880" s="8">
        <v>43893.631782407407</v>
      </c>
      <c r="B23880" s="8" t="str">
        <f>HYPERLINK("https://twitter.com/poncokarso","@poncokarso")</f>
        <v>@poncokarso</v>
      </c>
      <c r="C23880" s="8" t="s">
        <v>9136</v>
      </c>
      <c r="D23880" s="8">
        <v>2</v>
      </c>
      <c r="E23880" s="8">
        <v>0</v>
      </c>
      <c r="F23880" s="8">
        <v>1119</v>
      </c>
    </row>
    <row r="23881" spans="1:6" ht="12.75">
      <c r="A23881" s="8">
        <v>43893.631782407407</v>
      </c>
      <c r="B23881" s="8" t="str">
        <f>HYPERLINK("https://twitter.com/diujunggelisah","@diujunggelisah")</f>
        <v>@diujunggelisah</v>
      </c>
      <c r="C23881" s="8" t="s">
        <v>2199</v>
      </c>
      <c r="D23881" s="8">
        <v>8940</v>
      </c>
      <c r="E23881" s="8">
        <v>0</v>
      </c>
      <c r="F23881" s="8">
        <v>142</v>
      </c>
    </row>
    <row r="23882" spans="1:6" ht="12.75">
      <c r="A23882" s="8">
        <v>43893.631689814814</v>
      </c>
      <c r="B23882" s="8" t="str">
        <f>HYPERLINK("https://twitter.com/jokoselong","@jokoselong")</f>
        <v>@jokoselong</v>
      </c>
      <c r="C23882" s="8" t="s">
        <v>6827</v>
      </c>
      <c r="D23882" s="8">
        <v>6</v>
      </c>
      <c r="E23882" s="8">
        <v>0</v>
      </c>
      <c r="F23882" s="8">
        <v>1770</v>
      </c>
    </row>
    <row r="23883" spans="1:6" ht="12.75">
      <c r="A23883" s="8">
        <v>43893.631666666668</v>
      </c>
      <c r="B23883" s="8" t="str">
        <f>HYPERLINK("https://twitter.com/gitaa08","@gitaa08")</f>
        <v>@gitaa08</v>
      </c>
      <c r="C23883" s="8" t="s">
        <v>9685</v>
      </c>
      <c r="D23883" s="8">
        <v>0</v>
      </c>
      <c r="E23883" s="8">
        <v>0</v>
      </c>
      <c r="F23883" s="8">
        <v>10</v>
      </c>
    </row>
    <row r="23884" spans="1:6" ht="12.75">
      <c r="A23884" s="8">
        <v>43893.631574074076</v>
      </c>
      <c r="B23884" s="8" t="str">
        <f>HYPERLINK("https://twitter.com/Cut3P4nd4","@Cut3P4nd4")</f>
        <v>@Cut3P4nd4</v>
      </c>
      <c r="C23884" s="8" t="s">
        <v>9128</v>
      </c>
      <c r="D23884" s="8">
        <v>162</v>
      </c>
      <c r="E23884" s="8">
        <v>0</v>
      </c>
      <c r="F23884" s="8">
        <v>2374</v>
      </c>
    </row>
    <row r="23885" spans="1:6" ht="12.75">
      <c r="A23885" s="8">
        <v>43893.631562499999</v>
      </c>
      <c r="B23885" s="8" t="str">
        <f>HYPERLINK("https://twitter.com/_wni_","@_wni_")</f>
        <v>@_wni_</v>
      </c>
      <c r="C23885" s="8" t="s">
        <v>9686</v>
      </c>
      <c r="D23885" s="8">
        <v>0</v>
      </c>
      <c r="E23885" s="8">
        <v>0</v>
      </c>
      <c r="F23885" s="8">
        <v>14</v>
      </c>
    </row>
    <row r="23886" spans="1:6" ht="12.75">
      <c r="A23886" s="8">
        <v>43893.63145833333</v>
      </c>
      <c r="B23886" s="8" t="str">
        <f>HYPERLINK("https://twitter.com/flowithc","@flowithc")</f>
        <v>@flowithc</v>
      </c>
      <c r="C23886" s="8" t="s">
        <v>9687</v>
      </c>
      <c r="D23886" s="8">
        <v>0</v>
      </c>
      <c r="E23886" s="8">
        <v>0</v>
      </c>
      <c r="F23886" s="8">
        <v>81</v>
      </c>
    </row>
    <row r="23887" spans="1:6" ht="12.75">
      <c r="A23887" s="8">
        <v>43893.63144675926</v>
      </c>
      <c r="B23887" s="8" t="str">
        <f>HYPERLINK("https://twitter.com/restusunjaya","@restusunjaya")</f>
        <v>@restusunjaya</v>
      </c>
      <c r="C23887" s="8" t="s">
        <v>5732</v>
      </c>
      <c r="D23887" s="8">
        <v>2160</v>
      </c>
      <c r="E23887" s="8">
        <v>0</v>
      </c>
      <c r="F23887" s="8">
        <v>389</v>
      </c>
    </row>
    <row r="23888" spans="1:6" ht="12.75">
      <c r="A23888" s="8">
        <v>43893.631157407406</v>
      </c>
      <c r="B23888" s="8" t="str">
        <f>HYPERLINK("https://twitter.com/siulanmalam","@siulanmalam")</f>
        <v>@siulanmalam</v>
      </c>
      <c r="C23888" s="8" t="s">
        <v>9688</v>
      </c>
      <c r="D23888" s="8">
        <v>18</v>
      </c>
      <c r="E23888" s="8">
        <v>0</v>
      </c>
      <c r="F23888" s="8">
        <v>182</v>
      </c>
    </row>
    <row r="23889" spans="1:6" ht="12.75">
      <c r="A23889" s="8">
        <v>43893.631041666667</v>
      </c>
      <c r="B23889" s="8" t="str">
        <f>HYPERLINK("https://twitter.com/KamarwanJajang","@KamarwanJajang")</f>
        <v>@KamarwanJajang</v>
      </c>
      <c r="C23889" s="8" t="s">
        <v>685</v>
      </c>
      <c r="D23889" s="8">
        <v>69</v>
      </c>
      <c r="E23889" s="8">
        <v>0</v>
      </c>
      <c r="F23889" s="8">
        <v>11</v>
      </c>
    </row>
    <row r="23890" spans="1:6" ht="12.75">
      <c r="A23890" s="8">
        <v>43893.630960648152</v>
      </c>
      <c r="B23890" s="8" t="str">
        <f>HYPERLINK("https://twitter.com/SophiaNerissa","@SophiaNerissa")</f>
        <v>@SophiaNerissa</v>
      </c>
      <c r="C23890" s="8" t="s">
        <v>9417</v>
      </c>
      <c r="D23890" s="8">
        <v>78</v>
      </c>
      <c r="E23890" s="8">
        <v>0</v>
      </c>
      <c r="F23890" s="8">
        <v>6011</v>
      </c>
    </row>
    <row r="23891" spans="1:6" ht="12.75">
      <c r="A23891" s="8">
        <v>43893.630868055552</v>
      </c>
      <c r="B23891" s="8" t="str">
        <f>HYPERLINK("https://twitter.com/prasticaginan","@prasticaginan")</f>
        <v>@prasticaginan</v>
      </c>
      <c r="C23891" s="8" t="s">
        <v>9680</v>
      </c>
      <c r="D23891" s="8">
        <v>6</v>
      </c>
      <c r="E23891" s="8">
        <v>0</v>
      </c>
      <c r="F23891" s="8">
        <v>2253</v>
      </c>
    </row>
    <row r="23892" spans="1:6" ht="12.75">
      <c r="A23892" s="8">
        <v>43893.630833333329</v>
      </c>
      <c r="B23892" s="8" t="str">
        <f>HYPERLINK("https://twitter.com/OkyIvans","@OkyIvans")</f>
        <v>@OkyIvans</v>
      </c>
      <c r="C23892" s="8" t="s">
        <v>9117</v>
      </c>
      <c r="D23892" s="8">
        <v>375</v>
      </c>
      <c r="E23892" s="8">
        <v>0</v>
      </c>
      <c r="F23892" s="8">
        <v>181</v>
      </c>
    </row>
    <row r="23893" spans="1:6" ht="12.75">
      <c r="A23893" s="8">
        <v>43893.63082175926</v>
      </c>
      <c r="B23893" s="8" t="str">
        <f>HYPERLINK("https://twitter.com/DidouZain","@DidouZain")</f>
        <v>@DidouZain</v>
      </c>
      <c r="C23893" s="8" t="s">
        <v>6862</v>
      </c>
      <c r="D23893" s="8">
        <v>87</v>
      </c>
      <c r="E23893" s="8">
        <v>0</v>
      </c>
      <c r="F23893" s="8">
        <v>3</v>
      </c>
    </row>
    <row r="23894" spans="1:6" ht="12.75">
      <c r="A23894" s="8">
        <v>43893.630798611106</v>
      </c>
      <c r="B23894" s="8" t="str">
        <f>HYPERLINK("https://twitter.com/claraaasheilla","@claraaasheilla")</f>
        <v>@claraaasheilla</v>
      </c>
      <c r="C23894" s="8" t="s">
        <v>9689</v>
      </c>
      <c r="D23894" s="8">
        <v>0</v>
      </c>
      <c r="E23894" s="8">
        <v>0</v>
      </c>
      <c r="F23894" s="8">
        <v>1980</v>
      </c>
    </row>
    <row r="23895" spans="1:6" ht="12.75">
      <c r="A23895" s="8">
        <v>43893.630787037036</v>
      </c>
      <c r="B23895" s="8" t="str">
        <f>HYPERLINK("https://twitter.com/LampuTera","@LampuTera")</f>
        <v>@LampuTera</v>
      </c>
      <c r="C23895" s="8" t="s">
        <v>9493</v>
      </c>
      <c r="D23895" s="8">
        <v>16</v>
      </c>
      <c r="E23895" s="8">
        <v>0</v>
      </c>
      <c r="F23895" s="8">
        <v>646</v>
      </c>
    </row>
    <row r="23896" spans="1:6" ht="12.75">
      <c r="A23896" s="8">
        <v>43893.630787037036</v>
      </c>
      <c r="B23896" s="8" t="str">
        <f>HYPERLINK("https://twitter.com/YuliPur65112613","@YuliPur65112613")</f>
        <v>@YuliPur65112613</v>
      </c>
      <c r="C23896" s="8" t="s">
        <v>9690</v>
      </c>
      <c r="D23896" s="8">
        <v>2</v>
      </c>
      <c r="E23896" s="8">
        <v>0</v>
      </c>
      <c r="F23896" s="8">
        <v>1172</v>
      </c>
    </row>
    <row r="23897" spans="1:6" ht="12.75">
      <c r="A23897" s="8">
        <v>43893.630787037036</v>
      </c>
      <c r="B23897" s="8" t="str">
        <f>HYPERLINK("https://twitter.com/wiwikherma","@wiwikherma")</f>
        <v>@wiwikherma</v>
      </c>
      <c r="C23897" s="8" t="s">
        <v>8868</v>
      </c>
      <c r="D23897" s="8">
        <v>13</v>
      </c>
      <c r="E23897" s="8">
        <v>0</v>
      </c>
      <c r="F23897" s="8">
        <v>12173</v>
      </c>
    </row>
    <row r="23898" spans="1:6" ht="12.75">
      <c r="A23898" s="8">
        <v>43893.630671296298</v>
      </c>
      <c r="B23898" s="8" t="str">
        <f>HYPERLINK("https://twitter.com/Irin73114508","@Irin73114508")</f>
        <v>@Irin73114508</v>
      </c>
      <c r="C23898" s="8" t="s">
        <v>685</v>
      </c>
      <c r="D23898" s="8">
        <v>69</v>
      </c>
      <c r="E23898" s="8">
        <v>0</v>
      </c>
      <c r="F23898" s="8">
        <v>3</v>
      </c>
    </row>
    <row r="23899" spans="1:6" ht="12.75">
      <c r="A23899" s="8">
        <v>43893.630648148144</v>
      </c>
      <c r="B23899" s="8" t="str">
        <f>HYPERLINK("https://twitter.com/akbarabayyyyy","@akbarabayyyyy")</f>
        <v>@akbarabayyyyy</v>
      </c>
      <c r="C23899" s="8" t="s">
        <v>6832</v>
      </c>
      <c r="D23899" s="8">
        <v>1023</v>
      </c>
      <c r="E23899" s="8">
        <v>0</v>
      </c>
      <c r="F23899" s="8">
        <v>234</v>
      </c>
    </row>
    <row r="23900" spans="1:6" ht="12.75">
      <c r="A23900" s="8">
        <v>43893.630648148144</v>
      </c>
      <c r="B23900" s="8" t="str">
        <f>HYPERLINK("https://twitter.com/StudyHouse_sby","@StudyHouse_sby")</f>
        <v>@StudyHouse_sby</v>
      </c>
      <c r="C23900" s="8" t="s">
        <v>9691</v>
      </c>
      <c r="D23900" s="8">
        <v>0</v>
      </c>
      <c r="E23900" s="8">
        <v>0</v>
      </c>
      <c r="F23900" s="8">
        <v>15</v>
      </c>
    </row>
    <row r="23901" spans="1:6" ht="12.75">
      <c r="A23901" s="8">
        <v>43893.630590277782</v>
      </c>
      <c r="B23901" s="8" t="str">
        <f>HYPERLINK("https://twitter.com/Bangzul__88","@Bangzul__88")</f>
        <v>@Bangzul__88</v>
      </c>
      <c r="C23901" s="8" t="s">
        <v>685</v>
      </c>
      <c r="D23901" s="8">
        <v>69</v>
      </c>
      <c r="E23901" s="8">
        <v>0</v>
      </c>
      <c r="F23901" s="8">
        <v>6447</v>
      </c>
    </row>
    <row r="23902" spans="1:6" ht="12.75">
      <c r="A23902" s="8">
        <v>43893.630381944444</v>
      </c>
      <c r="B23902" s="8" t="str">
        <f>HYPERLINK("https://twitter.com/apriellakaes","@apriellakaes")</f>
        <v>@apriellakaes</v>
      </c>
      <c r="C23902" s="8" t="s">
        <v>8776</v>
      </c>
      <c r="D23902" s="8">
        <v>190</v>
      </c>
      <c r="E23902" s="8">
        <v>0</v>
      </c>
      <c r="F23902" s="8">
        <v>448</v>
      </c>
    </row>
    <row r="23903" spans="1:6" ht="12.75">
      <c r="A23903" s="8">
        <v>43893.630370370374</v>
      </c>
      <c r="B23903" s="8" t="str">
        <f>HYPERLINK("https://twitter.com/mavanctzen","@mavanctzen")</f>
        <v>@mavanctzen</v>
      </c>
      <c r="C23903" s="8" t="s">
        <v>9692</v>
      </c>
      <c r="D23903" s="8">
        <v>1</v>
      </c>
      <c r="E23903" s="8">
        <v>0</v>
      </c>
      <c r="F23903" s="8">
        <v>168</v>
      </c>
    </row>
    <row r="23904" spans="1:6" ht="12.75">
      <c r="A23904" s="8">
        <v>43893.630347222221</v>
      </c>
      <c r="B23904" s="8" t="str">
        <f>HYPERLINK("https://twitter.com/SemaneiD","@SemaneiD")</f>
        <v>@SemaneiD</v>
      </c>
      <c r="C23904" s="8" t="s">
        <v>9541</v>
      </c>
      <c r="D23904" s="8">
        <v>5</v>
      </c>
      <c r="E23904" s="8">
        <v>0</v>
      </c>
      <c r="F23904" s="8">
        <v>444</v>
      </c>
    </row>
    <row r="23905" spans="1:6" ht="12.75">
      <c r="A23905" s="8">
        <v>43893.630231481482</v>
      </c>
      <c r="B23905" s="8" t="str">
        <f>HYPERLINK("https://twitter.com/Naranurina","@Naranurina")</f>
        <v>@Naranurina</v>
      </c>
      <c r="C23905" s="8" t="s">
        <v>9556</v>
      </c>
      <c r="D23905" s="8">
        <v>25</v>
      </c>
      <c r="E23905" s="8">
        <v>0</v>
      </c>
      <c r="F23905" s="8">
        <v>154</v>
      </c>
    </row>
    <row r="23906" spans="1:6" ht="12.75">
      <c r="A23906" s="8">
        <v>43893.630208333328</v>
      </c>
      <c r="B23906" s="8" t="str">
        <f>HYPERLINK("https://twitter.com/jafarash13","@jafarash13")</f>
        <v>@jafarash13</v>
      </c>
      <c r="C23906" s="8" t="s">
        <v>9693</v>
      </c>
      <c r="D23906" s="8">
        <v>0</v>
      </c>
      <c r="E23906" s="8">
        <v>0</v>
      </c>
      <c r="F23906" s="8">
        <v>41</v>
      </c>
    </row>
    <row r="23907" spans="1:6" ht="12.75">
      <c r="A23907" s="8">
        <v>43893.630196759259</v>
      </c>
      <c r="B23907" s="8" t="str">
        <f>HYPERLINK("https://twitter.com/MbarepJeng","@MbarepJeng")</f>
        <v>@MbarepJeng</v>
      </c>
      <c r="C23907" s="8" t="s">
        <v>2962</v>
      </c>
      <c r="D23907" s="8">
        <v>5489</v>
      </c>
      <c r="E23907" s="8">
        <v>0</v>
      </c>
      <c r="F23907" s="8">
        <v>86</v>
      </c>
    </row>
    <row r="23908" spans="1:6" ht="12.75">
      <c r="A23908" s="8">
        <v>43893.630185185189</v>
      </c>
      <c r="B23908" s="8" t="str">
        <f>HYPERLINK("https://twitter.com/bukuberbagi100","@bukuberbagi100")</f>
        <v>@bukuberbagi100</v>
      </c>
      <c r="C23908" s="8" t="s">
        <v>4477</v>
      </c>
      <c r="D23908" s="8">
        <v>1171</v>
      </c>
      <c r="E23908" s="8">
        <v>0</v>
      </c>
      <c r="F23908" s="8">
        <v>133</v>
      </c>
    </row>
    <row r="23909" spans="1:6" ht="12.75">
      <c r="A23909" s="8">
        <v>43893.630173611113</v>
      </c>
      <c r="B23909" s="8" t="str">
        <f>HYPERLINK("https://twitter.com/tempodotco","@tempodotco")</f>
        <v>@tempodotco</v>
      </c>
      <c r="C23909" s="8" t="s">
        <v>9694</v>
      </c>
      <c r="D23909" s="8">
        <v>1</v>
      </c>
      <c r="E23909" s="8">
        <v>2</v>
      </c>
      <c r="F23909" s="8">
        <v>1713517</v>
      </c>
    </row>
    <row r="23910" spans="1:6" ht="12.75">
      <c r="A23910" s="8">
        <v>43893.630162037036</v>
      </c>
      <c r="B23910" s="8" t="str">
        <f>HYPERLINK("https://twitter.com/ronytamala_22","@ronytamala_22")</f>
        <v>@ronytamala_22</v>
      </c>
      <c r="C23910" s="8" t="s">
        <v>9695</v>
      </c>
      <c r="D23910" s="8">
        <v>1</v>
      </c>
      <c r="E23910" s="8">
        <v>0</v>
      </c>
      <c r="F23910" s="8">
        <v>446</v>
      </c>
    </row>
    <row r="23911" spans="1:6" ht="12.75">
      <c r="A23911" s="8">
        <v>43893.630162037036</v>
      </c>
      <c r="B23911" s="8" t="str">
        <f>HYPERLINK("https://twitter.com/vinion14","@vinion14")</f>
        <v>@vinion14</v>
      </c>
      <c r="C23911" s="8" t="s">
        <v>1427</v>
      </c>
      <c r="D23911" s="8">
        <v>916</v>
      </c>
      <c r="E23911" s="8">
        <v>0</v>
      </c>
      <c r="F23911" s="8">
        <v>467</v>
      </c>
    </row>
    <row r="23912" spans="1:6" ht="12.75">
      <c r="A23912" s="8">
        <v>43893.630162037036</v>
      </c>
      <c r="B23912" s="8" t="str">
        <f>HYPERLINK("https://twitter.com/AliDavala99","@AliDavala99")</f>
        <v>@AliDavala99</v>
      </c>
      <c r="C23912" s="8" t="s">
        <v>9128</v>
      </c>
      <c r="D23912" s="8">
        <v>162</v>
      </c>
      <c r="E23912" s="8">
        <v>0</v>
      </c>
      <c r="F23912" s="8">
        <v>77</v>
      </c>
    </row>
    <row r="23913" spans="1:6" ht="12.75">
      <c r="A23913" s="8">
        <v>43893.630127314813</v>
      </c>
      <c r="B23913" s="8" t="str">
        <f t="shared" ref="B23913:B23914" si="351">HYPERLINK("https://twitter.com/InfoPondokCabe","@InfoPondokCabe")</f>
        <v>@InfoPondokCabe</v>
      </c>
      <c r="C23913" s="8" t="s">
        <v>9696</v>
      </c>
      <c r="D23913" s="8">
        <v>0</v>
      </c>
      <c r="E23913" s="8">
        <v>0</v>
      </c>
      <c r="F23913" s="8">
        <v>8833</v>
      </c>
    </row>
    <row r="23914" spans="1:6" ht="12.75">
      <c r="A23914" s="8">
        <v>43893.630115740743</v>
      </c>
      <c r="B23914" s="8" t="str">
        <f t="shared" si="351"/>
        <v>@InfoPondokCabe</v>
      </c>
      <c r="C23914" s="8" t="s">
        <v>9697</v>
      </c>
      <c r="D23914" s="8">
        <v>0</v>
      </c>
      <c r="E23914" s="8">
        <v>0</v>
      </c>
      <c r="F23914" s="8">
        <v>8833</v>
      </c>
    </row>
    <row r="23915" spans="1:6" ht="12.75">
      <c r="A23915" s="8">
        <v>43893.630057870367</v>
      </c>
      <c r="B23915" s="8" t="str">
        <f>HYPERLINK("https://twitter.com/BossRini","@BossRini")</f>
        <v>@BossRini</v>
      </c>
      <c r="C23915" s="8" t="s">
        <v>9541</v>
      </c>
      <c r="D23915" s="8">
        <v>5</v>
      </c>
      <c r="E23915" s="8">
        <v>0</v>
      </c>
      <c r="F23915" s="8">
        <v>553</v>
      </c>
    </row>
    <row r="23916" spans="1:6" ht="12.75">
      <c r="A23916" s="8">
        <v>43893.630057870367</v>
      </c>
      <c r="B23916" s="8" t="str">
        <f>HYPERLINK("https://twitter.com/DwiAiiyuW","@DwiAiiyuW")</f>
        <v>@DwiAiiyuW</v>
      </c>
      <c r="C23916" s="8" t="s">
        <v>9541</v>
      </c>
      <c r="D23916" s="8">
        <v>5</v>
      </c>
      <c r="E23916" s="8">
        <v>0</v>
      </c>
      <c r="F23916" s="8">
        <v>207</v>
      </c>
    </row>
    <row r="23917" spans="1:6" ht="12.75">
      <c r="A23917" s="8">
        <v>43893.629907407405</v>
      </c>
      <c r="B23917" s="8" t="str">
        <f>HYPERLINK("https://twitter.com/__SisiLusipara","@__SisiLusipara")</f>
        <v>@__SisiLusipara</v>
      </c>
      <c r="C23917" s="8" t="s">
        <v>9698</v>
      </c>
      <c r="D23917" s="8">
        <v>0</v>
      </c>
      <c r="E23917" s="8">
        <v>0</v>
      </c>
      <c r="F23917" s="8">
        <v>4429</v>
      </c>
    </row>
    <row r="23918" spans="1:6" ht="12.75">
      <c r="A23918" s="8">
        <v>43893.629895833335</v>
      </c>
      <c r="B23918" s="8" t="str">
        <f>HYPERLINK("https://twitter.com/irina_malik","@irina_malik")</f>
        <v>@irina_malik</v>
      </c>
      <c r="C23918" s="8" t="s">
        <v>685</v>
      </c>
      <c r="D23918" s="8">
        <v>69</v>
      </c>
      <c r="E23918" s="8">
        <v>0</v>
      </c>
      <c r="F23918" s="8">
        <v>504</v>
      </c>
    </row>
    <row r="23919" spans="1:6" ht="12.75">
      <c r="A23919" s="8">
        <v>43893.629826388889</v>
      </c>
      <c r="B23919" s="8" t="str">
        <f>HYPERLINK("https://twitter.com/bougis212","@bougis212")</f>
        <v>@bougis212</v>
      </c>
      <c r="C23919" s="8" t="s">
        <v>6862</v>
      </c>
      <c r="D23919" s="8">
        <v>87</v>
      </c>
      <c r="E23919" s="8">
        <v>0</v>
      </c>
      <c r="F23919" s="8">
        <v>149</v>
      </c>
    </row>
    <row r="23920" spans="1:6" ht="12.75">
      <c r="A23920" s="8">
        <v>43893.62976851852</v>
      </c>
      <c r="B23920" s="8" t="str">
        <f>HYPERLINK("https://twitter.com/fadhlanyazid","@fadhlanyazid")</f>
        <v>@fadhlanyazid</v>
      </c>
      <c r="C23920" s="8" t="s">
        <v>9699</v>
      </c>
      <c r="D23920" s="8">
        <v>0</v>
      </c>
      <c r="E23920" s="8">
        <v>0</v>
      </c>
      <c r="F23920" s="8">
        <v>802</v>
      </c>
    </row>
    <row r="23921" spans="1:6" ht="12.75">
      <c r="A23921" s="8">
        <v>43893.629699074074</v>
      </c>
      <c r="B23921" s="8" t="str">
        <f>HYPERLINK("https://twitter.com/indriseska","@indriseska")</f>
        <v>@indriseska</v>
      </c>
      <c r="C23921" s="8" t="s">
        <v>1427</v>
      </c>
      <c r="D23921" s="8">
        <v>916</v>
      </c>
      <c r="E23921" s="8">
        <v>0</v>
      </c>
      <c r="F23921" s="8">
        <v>9609</v>
      </c>
    </row>
    <row r="23922" spans="1:6" ht="12.75">
      <c r="A23922" s="8">
        <v>43893.629699074074</v>
      </c>
      <c r="B23922" s="8" t="str">
        <f>HYPERLINK("https://twitter.com/sheilaghebi","@sheilaghebi")</f>
        <v>@sheilaghebi</v>
      </c>
      <c r="C23922" s="8" t="s">
        <v>9541</v>
      </c>
      <c r="D23922" s="8">
        <v>5</v>
      </c>
      <c r="E23922" s="8">
        <v>0</v>
      </c>
      <c r="F23922" s="8">
        <v>628</v>
      </c>
    </row>
    <row r="23923" spans="1:6" ht="12.75">
      <c r="A23923" s="8">
        <v>43893.629340277781</v>
      </c>
      <c r="B23923" s="8" t="str">
        <f>HYPERLINK("https://twitter.com/tberprestasi","@tberprestasi")</f>
        <v>@tberprestasi</v>
      </c>
      <c r="C23923" s="8" t="s">
        <v>9700</v>
      </c>
      <c r="D23923" s="8">
        <v>0</v>
      </c>
      <c r="E23923" s="8">
        <v>0</v>
      </c>
      <c r="F23923" s="8">
        <v>66</v>
      </c>
    </row>
    <row r="23924" spans="1:6" ht="12.75">
      <c r="A23924" s="8">
        <v>43893.629259259258</v>
      </c>
      <c r="B23924" s="8" t="str">
        <f>HYPERLINK("https://twitter.com/llanderll","@llanderll")</f>
        <v>@llanderll</v>
      </c>
      <c r="C23924" s="8" t="s">
        <v>9541</v>
      </c>
      <c r="D23924" s="8">
        <v>5</v>
      </c>
      <c r="E23924" s="8">
        <v>0</v>
      </c>
      <c r="F23924" s="8">
        <v>336</v>
      </c>
    </row>
    <row r="23925" spans="1:6" ht="12.75">
      <c r="A23925" s="8">
        <v>43893.629131944443</v>
      </c>
      <c r="B23925" s="8" t="str">
        <f>HYPERLINK("https://twitter.com/anaanne_","@anaanne_")</f>
        <v>@anaanne_</v>
      </c>
      <c r="C23925" s="8" t="s">
        <v>9701</v>
      </c>
      <c r="D23925" s="8">
        <v>1731</v>
      </c>
      <c r="E23925" s="8">
        <v>0</v>
      </c>
      <c r="F23925" s="8">
        <v>626</v>
      </c>
    </row>
    <row r="23926" spans="1:6" ht="12.75">
      <c r="A23926" s="8">
        <v>43893.629050925927</v>
      </c>
      <c r="B23926" s="8" t="str">
        <f>HYPERLINK("https://twitter.com/wni_jmsri","@wni_jmsri")</f>
        <v>@wni_jmsri</v>
      </c>
      <c r="C23926" s="8" t="s">
        <v>9702</v>
      </c>
      <c r="D23926" s="8">
        <v>21092</v>
      </c>
      <c r="E23926" s="8">
        <v>0</v>
      </c>
      <c r="F23926" s="8">
        <v>200</v>
      </c>
    </row>
    <row r="23927" spans="1:6" ht="12.75">
      <c r="A23927" s="8">
        <v>43893.62903935185</v>
      </c>
      <c r="B23927" s="8" t="str">
        <f>HYPERLINK("https://twitter.com/Oladalah","@Oladalah")</f>
        <v>@Oladalah</v>
      </c>
      <c r="C23927" s="8" t="s">
        <v>685</v>
      </c>
      <c r="D23927" s="8">
        <v>69</v>
      </c>
      <c r="E23927" s="8">
        <v>0</v>
      </c>
      <c r="F23927" s="8">
        <v>637</v>
      </c>
    </row>
    <row r="23928" spans="1:6" ht="12.75">
      <c r="A23928" s="8">
        <v>43893.629016203704</v>
      </c>
      <c r="B23928" s="8" t="str">
        <f>HYPERLINK("https://twitter.com/MbarepJeng","@MbarepJeng")</f>
        <v>@MbarepJeng</v>
      </c>
      <c r="C23928" s="8" t="s">
        <v>9088</v>
      </c>
      <c r="D23928" s="8">
        <v>26</v>
      </c>
      <c r="E23928" s="8">
        <v>0</v>
      </c>
      <c r="F23928" s="8">
        <v>86</v>
      </c>
    </row>
    <row r="23929" spans="1:6" ht="12.75">
      <c r="A23929" s="8">
        <v>43893.628842592589</v>
      </c>
      <c r="B23929" s="8" t="str">
        <f>HYPERLINK("https://twitter.com/elmarzuqi","@elmarzuqi")</f>
        <v>@elmarzuqi</v>
      </c>
      <c r="C23929" s="8" t="s">
        <v>1970</v>
      </c>
      <c r="D23929" s="8">
        <v>1041</v>
      </c>
      <c r="E23929" s="8">
        <v>0</v>
      </c>
      <c r="F23929" s="8">
        <v>326</v>
      </c>
    </row>
    <row r="23930" spans="1:6" ht="12.75">
      <c r="A23930" s="8">
        <v>43893.628842592589</v>
      </c>
      <c r="B23930" s="8" t="str">
        <f>HYPERLINK("https://twitter.com/cacienx","@cacienx")</f>
        <v>@cacienx</v>
      </c>
      <c r="C23930" s="8" t="s">
        <v>9703</v>
      </c>
      <c r="D23930" s="8">
        <v>0</v>
      </c>
      <c r="E23930" s="8">
        <v>0</v>
      </c>
      <c r="F23930" s="8">
        <v>813</v>
      </c>
    </row>
    <row r="23931" spans="1:6" ht="12.75">
      <c r="A23931" s="8">
        <v>43893.62871527778</v>
      </c>
      <c r="B23931" s="8" t="str">
        <f>HYPERLINK("https://twitter.com/dmrgalihrahma","@dmrgalihrahma")</f>
        <v>@dmrgalihrahma</v>
      </c>
      <c r="C23931" s="8" t="s">
        <v>2962</v>
      </c>
      <c r="D23931" s="8">
        <v>5489</v>
      </c>
      <c r="E23931" s="8">
        <v>0</v>
      </c>
      <c r="F23931" s="8">
        <v>437</v>
      </c>
    </row>
    <row r="23932" spans="1:6" ht="12.75">
      <c r="A23932" s="8">
        <v>43893.628692129627</v>
      </c>
      <c r="B23932" s="8" t="str">
        <f>HYPERLINK("https://twitter.com/qonita_qonita","@qonita_qonita")</f>
        <v>@qonita_qonita</v>
      </c>
      <c r="C23932" s="8" t="s">
        <v>8868</v>
      </c>
      <c r="D23932" s="8">
        <v>13</v>
      </c>
      <c r="E23932" s="8">
        <v>0</v>
      </c>
      <c r="F23932" s="8">
        <v>90</v>
      </c>
    </row>
    <row r="23933" spans="1:6" ht="12.75">
      <c r="A23933" s="8">
        <v>43893.628692129627</v>
      </c>
      <c r="B23933" s="8" t="str">
        <f>HYPERLINK("https://twitter.com/pratamarangga65","@pratamarangga65")</f>
        <v>@pratamarangga65</v>
      </c>
      <c r="C23933" s="8" t="s">
        <v>8868</v>
      </c>
      <c r="D23933" s="8">
        <v>13</v>
      </c>
      <c r="E23933" s="8">
        <v>0</v>
      </c>
      <c r="F23933" s="8">
        <v>1715</v>
      </c>
    </row>
    <row r="23934" spans="1:6" ht="12.75">
      <c r="A23934" s="8">
        <v>43893.628657407404</v>
      </c>
      <c r="B23934" s="8" t="str">
        <f>HYPERLINK("https://twitter.com/bimaprashadana","@bimaprashadana")</f>
        <v>@bimaprashadana</v>
      </c>
      <c r="C23934" s="8" t="s">
        <v>9556</v>
      </c>
      <c r="D23934" s="8">
        <v>25</v>
      </c>
      <c r="E23934" s="8">
        <v>0</v>
      </c>
      <c r="F23934" s="8">
        <v>477</v>
      </c>
    </row>
    <row r="23935" spans="1:6" ht="12.75">
      <c r="A23935" s="8">
        <v>43893.628587962958</v>
      </c>
      <c r="B23935" s="8" t="str">
        <f>HYPERLINK("https://twitter.com/themasterPAS46","@themasterPAS46")</f>
        <v>@themasterPAS46</v>
      </c>
      <c r="C23935" s="8" t="s">
        <v>6862</v>
      </c>
      <c r="D23935" s="8">
        <v>87</v>
      </c>
      <c r="E23935" s="8">
        <v>0</v>
      </c>
      <c r="F23935" s="8">
        <v>1571</v>
      </c>
    </row>
    <row r="23936" spans="1:6" ht="12.75">
      <c r="A23936" s="8">
        <v>43893.628530092596</v>
      </c>
      <c r="B23936" s="8" t="str">
        <f>HYPERLINK("https://twitter.com/tvOneNews","@tvOneNews")</f>
        <v>@tvOneNews</v>
      </c>
      <c r="C23936" s="8" t="s">
        <v>9547</v>
      </c>
      <c r="D23936" s="8">
        <v>5</v>
      </c>
      <c r="E23936" s="8">
        <v>5</v>
      </c>
      <c r="F23936" s="8">
        <v>8726678</v>
      </c>
    </row>
    <row r="23937" spans="1:6" ht="12.75">
      <c r="A23937" s="8">
        <v>43893.628506944442</v>
      </c>
      <c r="B23937" s="8" t="str">
        <f>HYPERLINK("https://twitter.com/selenophiland","@selenophiland")</f>
        <v>@selenophiland</v>
      </c>
      <c r="C23937" s="8" t="s">
        <v>9657</v>
      </c>
      <c r="D23937" s="8">
        <v>4</v>
      </c>
      <c r="E23937" s="8">
        <v>0</v>
      </c>
      <c r="F23937" s="8">
        <v>106</v>
      </c>
    </row>
    <row r="23938" spans="1:6" ht="12.75">
      <c r="A23938" s="8">
        <v>43893.628414351857</v>
      </c>
      <c r="B23938" s="8" t="str">
        <f>HYPERLINK("https://twitter.com/Iamvikas151","@Iamvikas151")</f>
        <v>@Iamvikas151</v>
      </c>
      <c r="C23938" s="8" t="s">
        <v>9704</v>
      </c>
      <c r="D23938" s="8">
        <v>0</v>
      </c>
      <c r="E23938" s="8">
        <v>0</v>
      </c>
      <c r="F23938" s="8">
        <v>3</v>
      </c>
    </row>
    <row r="23939" spans="1:6" ht="12.75">
      <c r="A23939" s="8">
        <v>43893.628217592588</v>
      </c>
      <c r="B23939" s="8" t="str">
        <f>HYPERLINK("https://twitter.com/FahrurRsy","@FahrurRsy")</f>
        <v>@FahrurRsy</v>
      </c>
      <c r="C23939" s="8" t="s">
        <v>1970</v>
      </c>
      <c r="D23939" s="8">
        <v>1041</v>
      </c>
      <c r="E23939" s="8">
        <v>0</v>
      </c>
      <c r="F23939" s="8">
        <v>298</v>
      </c>
    </row>
    <row r="23940" spans="1:6" ht="12.75">
      <c r="A23940" s="8">
        <v>43893.628078703703</v>
      </c>
      <c r="B23940" s="8" t="str">
        <f>HYPERLINK("https://twitter.com/dimas_skeptis","@dimas_skeptis")</f>
        <v>@dimas_skeptis</v>
      </c>
      <c r="C23940" s="8" t="s">
        <v>8868</v>
      </c>
      <c r="D23940" s="8">
        <v>13</v>
      </c>
      <c r="E23940" s="8">
        <v>0</v>
      </c>
      <c r="F23940" s="8">
        <v>1181</v>
      </c>
    </row>
    <row r="23941" spans="1:6" ht="12.75">
      <c r="A23941" s="8">
        <v>43893.628055555557</v>
      </c>
      <c r="B23941" s="8" t="str">
        <f>HYPERLINK("https://twitter.com/rubiavianto","@rubiavianto")</f>
        <v>@rubiavianto</v>
      </c>
      <c r="C23941" s="8" t="s">
        <v>8868</v>
      </c>
      <c r="D23941" s="8">
        <v>13</v>
      </c>
      <c r="E23941" s="8">
        <v>0</v>
      </c>
      <c r="F23941" s="8">
        <v>3212</v>
      </c>
    </row>
    <row r="23942" spans="1:6" ht="12.75">
      <c r="A23942" s="8">
        <v>43893.627916666665</v>
      </c>
      <c r="B23942" s="8" t="str">
        <f>HYPERLINK("https://twitter.com/elmarzuqi","@elmarzuqi")</f>
        <v>@elmarzuqi</v>
      </c>
      <c r="C23942" s="8" t="s">
        <v>4477</v>
      </c>
      <c r="D23942" s="8">
        <v>1171</v>
      </c>
      <c r="E23942" s="8">
        <v>0</v>
      </c>
      <c r="F23942" s="8">
        <v>326</v>
      </c>
    </row>
    <row r="23943" spans="1:6" ht="12.75">
      <c r="A23943" s="8">
        <v>43893.627881944441</v>
      </c>
      <c r="B23943" s="8" t="str">
        <f>HYPERLINK("https://twitter.com/bocor035","@bocor035")</f>
        <v>@bocor035</v>
      </c>
      <c r="C23943" s="8" t="s">
        <v>2199</v>
      </c>
      <c r="D23943" s="8">
        <v>8940</v>
      </c>
      <c r="E23943" s="8">
        <v>0</v>
      </c>
      <c r="F23943" s="8">
        <v>82</v>
      </c>
    </row>
    <row r="23944" spans="1:6" ht="12.75">
      <c r="A23944" s="8">
        <v>43893.627835648149</v>
      </c>
      <c r="B23944" s="8" t="str">
        <f>HYPERLINK("https://twitter.com/dians1","@dians1")</f>
        <v>@dians1</v>
      </c>
      <c r="C23944" s="8" t="s">
        <v>1970</v>
      </c>
      <c r="D23944" s="8">
        <v>1041</v>
      </c>
      <c r="E23944" s="8">
        <v>0</v>
      </c>
      <c r="F23944" s="8">
        <v>439</v>
      </c>
    </row>
    <row r="23945" spans="1:6" ht="12.75">
      <c r="A23945" s="8">
        <v>43893.62771990741</v>
      </c>
      <c r="B23945" s="8" t="str">
        <f>HYPERLINK("https://twitter.com/djadasjah","@djadasjah")</f>
        <v>@djadasjah</v>
      </c>
      <c r="C23945" s="8" t="s">
        <v>9100</v>
      </c>
      <c r="D23945" s="8">
        <v>13</v>
      </c>
      <c r="E23945" s="8">
        <v>0</v>
      </c>
      <c r="F23945" s="8">
        <v>532</v>
      </c>
    </row>
    <row r="23946" spans="1:6" ht="12.75">
      <c r="A23946" s="8">
        <v>43893.62767361111</v>
      </c>
      <c r="B23946" s="8" t="str">
        <f>HYPERLINK("https://twitter.com/elvinvina","@elvinvina")</f>
        <v>@elvinvina</v>
      </c>
      <c r="C23946" s="8" t="s">
        <v>9117</v>
      </c>
      <c r="D23946" s="8">
        <v>375</v>
      </c>
      <c r="E23946" s="8">
        <v>0</v>
      </c>
      <c r="F23946" s="8">
        <v>545</v>
      </c>
    </row>
    <row r="23947" spans="1:6" ht="12.75">
      <c r="A23947" s="8">
        <v>43893.627569444448</v>
      </c>
      <c r="B23947" s="8" t="str">
        <f>HYPERLINK("https://twitter.com/erwinrio6","@erwinrio6")</f>
        <v>@erwinrio6</v>
      </c>
      <c r="C23947" s="8" t="s">
        <v>1970</v>
      </c>
      <c r="D23947" s="8">
        <v>1041</v>
      </c>
      <c r="E23947" s="8">
        <v>0</v>
      </c>
      <c r="F23947" s="8">
        <v>1317</v>
      </c>
    </row>
    <row r="23948" spans="1:6" ht="12.75">
      <c r="A23948" s="8">
        <v>43893.627511574072</v>
      </c>
      <c r="B23948" s="8" t="str">
        <f>HYPERLINK("https://twitter.com/edward_7011971","@edward_7011971")</f>
        <v>@edward_7011971</v>
      </c>
      <c r="C23948" s="8" t="s">
        <v>8868</v>
      </c>
      <c r="D23948" s="8">
        <v>13</v>
      </c>
      <c r="E23948" s="8">
        <v>0</v>
      </c>
      <c r="F23948" s="8">
        <v>1519</v>
      </c>
    </row>
    <row r="23949" spans="1:6" ht="12.75">
      <c r="A23949" s="8">
        <v>43893.627511574072</v>
      </c>
      <c r="B23949" s="8" t="str">
        <f>HYPERLINK("https://twitter.com/amanda_batrisya","@amanda_batrisya")</f>
        <v>@amanda_batrisya</v>
      </c>
      <c r="C23949" s="8" t="s">
        <v>1970</v>
      </c>
      <c r="D23949" s="8">
        <v>1041</v>
      </c>
      <c r="E23949" s="8">
        <v>0</v>
      </c>
      <c r="F23949" s="8">
        <v>1020</v>
      </c>
    </row>
    <row r="23950" spans="1:6" ht="12.75">
      <c r="A23950" s="8">
        <v>43893.627500000002</v>
      </c>
      <c r="B23950" s="8" t="str">
        <f>HYPERLINK("https://twitter.com/satrianaga","@satrianaga")</f>
        <v>@satrianaga</v>
      </c>
      <c r="C23950" s="8" t="s">
        <v>9705</v>
      </c>
      <c r="D23950" s="8">
        <v>1</v>
      </c>
      <c r="E23950" s="8">
        <v>0</v>
      </c>
      <c r="F23950" s="8">
        <v>319</v>
      </c>
    </row>
    <row r="23951" spans="1:6" ht="12.75">
      <c r="A23951" s="8">
        <v>43893.627465277779</v>
      </c>
      <c r="B23951" s="8" t="str">
        <f>HYPERLINK("https://twitter.com/dnaminpark","@dnaminpark")</f>
        <v>@dnaminpark</v>
      </c>
      <c r="C23951" s="8" t="s">
        <v>9706</v>
      </c>
      <c r="D23951" s="8">
        <v>0</v>
      </c>
      <c r="E23951" s="8">
        <v>0</v>
      </c>
      <c r="F23951" s="8">
        <v>35</v>
      </c>
    </row>
    <row r="23952" spans="1:6" ht="12.75">
      <c r="A23952" s="8">
        <v>43893.627453703702</v>
      </c>
      <c r="B23952" s="8" t="str">
        <f>HYPERLINK("https://twitter.com/annisamalchan","@annisamalchan")</f>
        <v>@annisamalchan</v>
      </c>
      <c r="C23952" s="8" t="s">
        <v>9117</v>
      </c>
      <c r="D23952" s="8">
        <v>375</v>
      </c>
      <c r="E23952" s="8">
        <v>0</v>
      </c>
      <c r="F23952" s="8">
        <v>213</v>
      </c>
    </row>
    <row r="23953" spans="1:6" ht="12.75">
      <c r="A23953" s="8">
        <v>43893.627395833333</v>
      </c>
      <c r="B23953" s="8" t="str">
        <f>HYPERLINK("https://twitter.com/SetyoTuhu101","@SetyoTuhu101")</f>
        <v>@SetyoTuhu101</v>
      </c>
      <c r="C23953" s="8" t="s">
        <v>9707</v>
      </c>
      <c r="D23953" s="8">
        <v>0</v>
      </c>
      <c r="E23953" s="8">
        <v>1</v>
      </c>
      <c r="F23953" s="8">
        <v>3006</v>
      </c>
    </row>
    <row r="23954" spans="1:6" ht="12.75">
      <c r="A23954" s="8">
        <v>43893.62736111111</v>
      </c>
      <c r="B23954" s="8" t="str">
        <f>HYPERLINK("https://twitter.com/KevinAdam2017","@KevinAdam2017")</f>
        <v>@KevinAdam2017</v>
      </c>
      <c r="C23954" s="8" t="s">
        <v>9708</v>
      </c>
      <c r="D23954" s="8">
        <v>1</v>
      </c>
      <c r="E23954" s="8">
        <v>0</v>
      </c>
      <c r="F23954" s="8">
        <v>197</v>
      </c>
    </row>
    <row r="23955" spans="1:6" ht="12.75">
      <c r="A23955" s="8">
        <v>43893.627245370371</v>
      </c>
      <c r="B23955" s="8" t="str">
        <f>HYPERLINK("https://twitter.com/Uda_Yandi","@Uda_Yandi")</f>
        <v>@Uda_Yandi</v>
      </c>
      <c r="C23955" s="8" t="s">
        <v>1970</v>
      </c>
      <c r="D23955" s="8">
        <v>1041</v>
      </c>
      <c r="E23955" s="8">
        <v>0</v>
      </c>
      <c r="F23955" s="8">
        <v>707</v>
      </c>
    </row>
    <row r="23956" spans="1:6" ht="12.75">
      <c r="A23956" s="8">
        <v>43893.627222222218</v>
      </c>
      <c r="B23956" s="8" t="str">
        <f>HYPERLINK("https://twitter.com/Iyo63579667","@Iyo63579667")</f>
        <v>@Iyo63579667</v>
      </c>
      <c r="C23956" s="8" t="s">
        <v>685</v>
      </c>
      <c r="D23956" s="8">
        <v>69</v>
      </c>
      <c r="E23956" s="8">
        <v>0</v>
      </c>
      <c r="F23956" s="8">
        <v>87</v>
      </c>
    </row>
    <row r="23957" spans="1:6" ht="12.75">
      <c r="A23957" s="8">
        <v>43893.627222222218</v>
      </c>
      <c r="B23957" s="8" t="str">
        <f>HYPERLINK("https://twitter.com/Media_linked","@Media_linked")</f>
        <v>@Media_linked</v>
      </c>
      <c r="C23957" s="8" t="s">
        <v>9709</v>
      </c>
      <c r="D23957" s="8">
        <v>0</v>
      </c>
      <c r="E23957" s="8">
        <v>0</v>
      </c>
      <c r="F23957" s="8">
        <v>175</v>
      </c>
    </row>
    <row r="23958" spans="1:6" ht="12.75">
      <c r="A23958" s="8">
        <v>43893.627141203702</v>
      </c>
      <c r="B23958" s="8" t="str">
        <f>HYPERLINK("https://twitter.com/kicciluciffer","@kicciluciffer")</f>
        <v>@kicciluciffer</v>
      </c>
      <c r="C23958" s="8" t="s">
        <v>8868</v>
      </c>
      <c r="D23958" s="8">
        <v>13</v>
      </c>
      <c r="E23958" s="8">
        <v>0</v>
      </c>
      <c r="F23958" s="8">
        <v>288</v>
      </c>
    </row>
    <row r="23959" spans="1:6" ht="12.75">
      <c r="A23959" s="8">
        <v>43893.627083333333</v>
      </c>
      <c r="B23959" s="8" t="str">
        <f>HYPERLINK("https://twitter.com/A16_stn","@A16_stn")</f>
        <v>@A16_stn</v>
      </c>
      <c r="C23959" s="8" t="s">
        <v>1970</v>
      </c>
      <c r="D23959" s="8">
        <v>1041</v>
      </c>
      <c r="E23959" s="8">
        <v>0</v>
      </c>
      <c r="F23959" s="8">
        <v>594</v>
      </c>
    </row>
    <row r="23960" spans="1:6" ht="12.75">
      <c r="A23960" s="8">
        <v>43893.626979166671</v>
      </c>
      <c r="B23960" s="8" t="str">
        <f>HYPERLINK("https://twitter.com/AaHermawan16","@AaHermawan16")</f>
        <v>@AaHermawan16</v>
      </c>
      <c r="C23960" s="8" t="s">
        <v>9710</v>
      </c>
      <c r="D23960" s="8">
        <v>0</v>
      </c>
      <c r="E23960" s="8">
        <v>1</v>
      </c>
      <c r="F23960" s="8">
        <v>3057</v>
      </c>
    </row>
    <row r="23961" spans="1:6" ht="12.75">
      <c r="A23961" s="8">
        <v>43893.626944444448</v>
      </c>
      <c r="B23961" s="8" t="str">
        <f>HYPERLINK("https://twitter.com/di75_","@di75_")</f>
        <v>@di75_</v>
      </c>
      <c r="C23961" s="8" t="s">
        <v>2199</v>
      </c>
      <c r="D23961" s="8">
        <v>8940</v>
      </c>
      <c r="E23961" s="8">
        <v>0</v>
      </c>
      <c r="F23961" s="8">
        <v>480</v>
      </c>
    </row>
    <row r="23962" spans="1:6" ht="12.75">
      <c r="A23962" s="8">
        <v>43893.626793981486</v>
      </c>
      <c r="B23962" s="8" t="str">
        <f>HYPERLINK("https://twitter.com/heroe811","@heroe811")</f>
        <v>@heroe811</v>
      </c>
      <c r="C23962" s="8" t="s">
        <v>2962</v>
      </c>
      <c r="D23962" s="8">
        <v>5489</v>
      </c>
      <c r="E23962" s="8">
        <v>0</v>
      </c>
      <c r="F23962" s="8">
        <v>217</v>
      </c>
    </row>
    <row r="23963" spans="1:6" ht="12.75">
      <c r="A23963" s="8">
        <v>43893.626712962963</v>
      </c>
      <c r="B23963" s="8" t="str">
        <f>HYPERLINK("https://twitter.com/AnggoroHarr","@AnggoroHarr")</f>
        <v>@AnggoroHarr</v>
      </c>
      <c r="C23963" s="8" t="s">
        <v>1970</v>
      </c>
      <c r="D23963" s="8">
        <v>1041</v>
      </c>
      <c r="E23963" s="8">
        <v>0</v>
      </c>
      <c r="F23963" s="8">
        <v>68</v>
      </c>
    </row>
    <row r="23964" spans="1:6" ht="12.75">
      <c r="A23964" s="8">
        <v>43893.626701388886</v>
      </c>
      <c r="B23964" s="8" t="str">
        <f>HYPERLINK("https://twitter.com/panggilsaja_dan","@panggilsaja_dan")</f>
        <v>@panggilsaja_dan</v>
      </c>
      <c r="C23964" s="8" t="s">
        <v>9711</v>
      </c>
      <c r="D23964" s="8">
        <v>0</v>
      </c>
      <c r="E23964" s="8">
        <v>0</v>
      </c>
      <c r="F23964" s="8">
        <v>60</v>
      </c>
    </row>
    <row r="23965" spans="1:6" ht="12.75">
      <c r="A23965" s="8">
        <v>43893.626689814817</v>
      </c>
      <c r="B23965" s="8" t="str">
        <f>HYPERLINK("https://twitter.com/hendrastaputra1","@hendrastaputra1")</f>
        <v>@hendrastaputra1</v>
      </c>
      <c r="C23965" s="8" t="s">
        <v>1145</v>
      </c>
      <c r="D23965" s="8">
        <v>514</v>
      </c>
      <c r="E23965" s="8">
        <v>0</v>
      </c>
      <c r="F23965" s="8">
        <v>40</v>
      </c>
    </row>
    <row r="23966" spans="1:6" ht="12.75">
      <c r="A23966" s="8">
        <v>43893.626620370371</v>
      </c>
      <c r="B23966" s="8" t="str">
        <f>HYPERLINK("https://twitter.com/asanenny87","@asanenny87")</f>
        <v>@asanenny87</v>
      </c>
      <c r="C23966" s="8" t="s">
        <v>685</v>
      </c>
      <c r="D23966" s="8">
        <v>69</v>
      </c>
      <c r="E23966" s="8">
        <v>0</v>
      </c>
      <c r="F23966" s="8">
        <v>331</v>
      </c>
    </row>
    <row r="23967" spans="1:6" ht="12.75">
      <c r="A23967" s="8">
        <v>43893.626608796301</v>
      </c>
      <c r="B23967" s="8" t="str">
        <f>HYPERLINK("https://twitter.com/HotP3pp3rminTea","@HotP3pp3rminTea")</f>
        <v>@HotP3pp3rminTea</v>
      </c>
      <c r="C23967" s="8" t="s">
        <v>9128</v>
      </c>
      <c r="D23967" s="8">
        <v>162</v>
      </c>
      <c r="E23967" s="8">
        <v>0</v>
      </c>
      <c r="F23967" s="8">
        <v>11655</v>
      </c>
    </row>
    <row r="23968" spans="1:6" ht="12.75">
      <c r="A23968" s="8">
        <v>43893.626562500001</v>
      </c>
      <c r="B23968" s="8" t="str">
        <f>HYPERLINK("https://twitter.com/azzamputra","@azzamputra")</f>
        <v>@azzamputra</v>
      </c>
      <c r="C23968" s="8" t="s">
        <v>7597</v>
      </c>
      <c r="D23968" s="8">
        <v>684</v>
      </c>
      <c r="E23968" s="8">
        <v>0</v>
      </c>
      <c r="F23968" s="8">
        <v>275</v>
      </c>
    </row>
    <row r="23969" spans="1:6" ht="12.75">
      <c r="A23969" s="8">
        <v>43893.626539351855</v>
      </c>
      <c r="B23969" s="8" t="str">
        <f>HYPERLINK("https://twitter.com/justbcsanu","@justbcsanu")</f>
        <v>@justbcsanu</v>
      </c>
      <c r="C23969" s="8" t="s">
        <v>2962</v>
      </c>
      <c r="D23969" s="8">
        <v>5489</v>
      </c>
      <c r="E23969" s="8">
        <v>0</v>
      </c>
      <c r="F23969" s="8">
        <v>14</v>
      </c>
    </row>
    <row r="23970" spans="1:6" ht="12.75">
      <c r="A23970" s="8">
        <v>43893.626539351855</v>
      </c>
      <c r="B23970" s="8" t="str">
        <f>HYPERLINK("https://twitter.com/venia_oh","@venia_oh")</f>
        <v>@venia_oh</v>
      </c>
      <c r="C23970" s="8" t="s">
        <v>8868</v>
      </c>
      <c r="D23970" s="8">
        <v>13</v>
      </c>
      <c r="E23970" s="8">
        <v>0</v>
      </c>
      <c r="F23970" s="8">
        <v>1196</v>
      </c>
    </row>
    <row r="23971" spans="1:6" ht="12.75">
      <c r="A23971" s="8">
        <v>43893.626527777778</v>
      </c>
      <c r="B23971" s="8" t="str">
        <f>HYPERLINK("https://twitter.com/Jerikamellie","@Jerikamellie")</f>
        <v>@Jerikamellie</v>
      </c>
      <c r="C23971" s="8" t="s">
        <v>9556</v>
      </c>
      <c r="D23971" s="8">
        <v>25</v>
      </c>
      <c r="E23971" s="8">
        <v>0</v>
      </c>
      <c r="F23971" s="8">
        <v>549</v>
      </c>
    </row>
    <row r="23972" spans="1:6" ht="12.75">
      <c r="A23972" s="8">
        <v>43893.626458333332</v>
      </c>
      <c r="B23972" s="8" t="str">
        <f>HYPERLINK("https://twitter.com/tomy_chrenz","@tomy_chrenz")</f>
        <v>@tomy_chrenz</v>
      </c>
      <c r="C23972" s="8" t="s">
        <v>9712</v>
      </c>
      <c r="D23972" s="8">
        <v>0</v>
      </c>
      <c r="E23972" s="8">
        <v>0</v>
      </c>
      <c r="F23972" s="8">
        <v>93</v>
      </c>
    </row>
    <row r="23973" spans="1:6" ht="12.75">
      <c r="A23973" s="8">
        <v>43893.62636574074</v>
      </c>
      <c r="B23973" s="8" t="str">
        <f>HYPERLINK("https://twitter.com/cemaragunung","@cemaragunung")</f>
        <v>@cemaragunung</v>
      </c>
      <c r="C23973" s="8" t="s">
        <v>8868</v>
      </c>
      <c r="D23973" s="8">
        <v>13</v>
      </c>
      <c r="E23973" s="8">
        <v>0</v>
      </c>
      <c r="F23973" s="8">
        <v>1685</v>
      </c>
    </row>
    <row r="23974" spans="1:6" ht="12.75">
      <c r="A23974" s="8">
        <v>43893.626319444447</v>
      </c>
      <c r="B23974" s="8" t="str">
        <f>HYPERLINK("https://twitter.com/KATADATAcoid","@KATADATAcoid")</f>
        <v>@KATADATAcoid</v>
      </c>
      <c r="C23974" s="8" t="s">
        <v>9713</v>
      </c>
      <c r="D23974" s="8">
        <v>1</v>
      </c>
      <c r="E23974" s="8">
        <v>2</v>
      </c>
      <c r="F23974" s="8">
        <v>41746</v>
      </c>
    </row>
    <row r="23975" spans="1:6" ht="12.75">
      <c r="A23975" s="8">
        <v>43893.626319444447</v>
      </c>
      <c r="B23975" s="8" t="str">
        <f>HYPERLINK("https://twitter.com/wongbagus33","@wongbagus33")</f>
        <v>@wongbagus33</v>
      </c>
      <c r="C23975" s="8" t="s">
        <v>685</v>
      </c>
      <c r="D23975" s="8">
        <v>69</v>
      </c>
      <c r="E23975" s="8">
        <v>0</v>
      </c>
      <c r="F23975" s="8">
        <v>42</v>
      </c>
    </row>
    <row r="23976" spans="1:6" ht="12.75">
      <c r="A23976" s="8">
        <v>43893.626273148147</v>
      </c>
      <c r="B23976" s="8" t="str">
        <f>HYPERLINK("https://twitter.com/MWilovo","@MWilovo")</f>
        <v>@MWilovo</v>
      </c>
      <c r="C23976" s="8" t="s">
        <v>9714</v>
      </c>
      <c r="D23976" s="8">
        <v>0</v>
      </c>
      <c r="E23976" s="8">
        <v>0</v>
      </c>
      <c r="F23976" s="8">
        <v>4</v>
      </c>
    </row>
    <row r="23977" spans="1:6" ht="12.75">
      <c r="A23977" s="8">
        <v>43893.626180555555</v>
      </c>
      <c r="B23977" s="8" t="str">
        <f>HYPERLINK("https://twitter.com/anggieyp","@anggieyp")</f>
        <v>@anggieyp</v>
      </c>
      <c r="C23977" s="8" t="s">
        <v>9117</v>
      </c>
      <c r="D23977" s="8">
        <v>375</v>
      </c>
      <c r="E23977" s="8">
        <v>0</v>
      </c>
      <c r="F23977" s="8">
        <v>416</v>
      </c>
    </row>
    <row r="23978" spans="1:6" ht="12.75">
      <c r="A23978" s="8">
        <v>43893.626076388886</v>
      </c>
      <c r="B23978" s="8" t="str">
        <f>HYPERLINK("https://twitter.com/cycloneopropana","@cycloneopropana")</f>
        <v>@cycloneopropana</v>
      </c>
      <c r="C23978" s="8" t="s">
        <v>1970</v>
      </c>
      <c r="D23978" s="8">
        <v>1041</v>
      </c>
      <c r="E23978" s="8">
        <v>0</v>
      </c>
      <c r="F23978" s="8">
        <v>27</v>
      </c>
    </row>
    <row r="23979" spans="1:6" ht="12.75">
      <c r="A23979" s="8">
        <v>43893.626064814816</v>
      </c>
      <c r="B23979" s="8" t="str">
        <f>HYPERLINK("https://twitter.com/elvianto5","@elvianto5")</f>
        <v>@elvianto5</v>
      </c>
      <c r="C23979" s="8" t="s">
        <v>1970</v>
      </c>
      <c r="D23979" s="8">
        <v>1041</v>
      </c>
      <c r="E23979" s="8">
        <v>0</v>
      </c>
      <c r="F23979" s="8">
        <v>129</v>
      </c>
    </row>
    <row r="23980" spans="1:6" ht="12.75">
      <c r="A23980" s="8">
        <v>43893.590162037042</v>
      </c>
      <c r="B23980" s="8" t="str">
        <f>HYPERLINK("https://twitter.com/Mnwrfakih","@Mnwrfakih")</f>
        <v>@Mnwrfakih</v>
      </c>
      <c r="C23980" s="8" t="s">
        <v>1970</v>
      </c>
      <c r="D23980" s="8">
        <v>998</v>
      </c>
      <c r="E23980" s="8">
        <v>0</v>
      </c>
      <c r="F23980" s="8">
        <v>56</v>
      </c>
    </row>
    <row r="23981" spans="1:6" ht="12.75">
      <c r="A23981" s="8">
        <v>43893.59002314815</v>
      </c>
      <c r="B23981" s="8" t="str">
        <f>HYPERLINK("https://twitter.com/sweetmoonxxx","@sweetmoonxxx")</f>
        <v>@sweetmoonxxx</v>
      </c>
      <c r="C23981" s="8" t="s">
        <v>2962</v>
      </c>
      <c r="D23981" s="8">
        <v>5456</v>
      </c>
      <c r="E23981" s="8">
        <v>0</v>
      </c>
      <c r="F23981" s="8">
        <v>736</v>
      </c>
    </row>
    <row r="23982" spans="1:6" ht="12.75">
      <c r="A23982" s="8">
        <v>43893.59</v>
      </c>
      <c r="B23982" s="8" t="str">
        <f>HYPERLINK("https://twitter.com/Bias___","@Bias___")</f>
        <v>@Bias___</v>
      </c>
      <c r="C23982" s="8" t="s">
        <v>685</v>
      </c>
      <c r="D23982" s="8">
        <v>38</v>
      </c>
      <c r="E23982" s="8">
        <v>0</v>
      </c>
      <c r="F23982" s="8">
        <v>596</v>
      </c>
    </row>
    <row r="23983" spans="1:6" ht="12.75">
      <c r="A23983" s="8">
        <v>43893.589907407411</v>
      </c>
      <c r="B23983" s="8" t="str">
        <f>HYPERLINK("https://twitter.com/salehhaji5","@salehhaji5")</f>
        <v>@salehhaji5</v>
      </c>
      <c r="C23983" s="8" t="s">
        <v>9715</v>
      </c>
      <c r="D23983" s="8">
        <v>1</v>
      </c>
      <c r="E23983" s="8">
        <v>0</v>
      </c>
      <c r="F23983" s="8">
        <v>163</v>
      </c>
    </row>
    <row r="23984" spans="1:6" ht="12.75">
      <c r="A23984" s="8">
        <v>43893.589733796296</v>
      </c>
      <c r="B23984" s="8" t="str">
        <f>HYPERLINK("https://twitter.com/HaeDinaa","@HaeDinaa")</f>
        <v>@HaeDinaa</v>
      </c>
      <c r="C23984" s="8" t="s">
        <v>9716</v>
      </c>
      <c r="D23984" s="8">
        <v>4</v>
      </c>
      <c r="E23984" s="8">
        <v>0</v>
      </c>
      <c r="F23984" s="8">
        <v>3579</v>
      </c>
    </row>
    <row r="23985" spans="1:6" ht="12.75">
      <c r="A23985" s="8">
        <v>43893.589722222227</v>
      </c>
      <c r="B23985" s="8" t="str">
        <f>HYPERLINK("https://twitter.com/udaytokay","@udaytokay")</f>
        <v>@udaytokay</v>
      </c>
      <c r="C23985" s="8" t="s">
        <v>9717</v>
      </c>
      <c r="D23985" s="8">
        <v>0</v>
      </c>
      <c r="E23985" s="8">
        <v>0</v>
      </c>
      <c r="F23985" s="8">
        <v>314</v>
      </c>
    </row>
    <row r="23986" spans="1:6" ht="12.75">
      <c r="A23986" s="8">
        <v>43893.589687500003</v>
      </c>
      <c r="B23986" s="8" t="str">
        <f>HYPERLINK("https://twitter.com/MZubir_ID","@MZubir_ID")</f>
        <v>@MZubir_ID</v>
      </c>
      <c r="C23986" s="8" t="s">
        <v>9718</v>
      </c>
      <c r="D23986" s="8">
        <v>0</v>
      </c>
      <c r="E23986" s="8">
        <v>0</v>
      </c>
      <c r="F23986" s="8">
        <v>5861</v>
      </c>
    </row>
    <row r="23987" spans="1:6" ht="12.75">
      <c r="A23987" s="8">
        <v>43893.589675925927</v>
      </c>
      <c r="B23987" s="8" t="str">
        <f>HYPERLINK("https://twitter.com/JusufDewa","@JusufDewa")</f>
        <v>@JusufDewa</v>
      </c>
      <c r="C23987" s="8" t="s">
        <v>9719</v>
      </c>
      <c r="D23987" s="8">
        <v>2</v>
      </c>
      <c r="E23987" s="8">
        <v>0</v>
      </c>
      <c r="F23987" s="8">
        <v>38</v>
      </c>
    </row>
    <row r="23988" spans="1:6" ht="12.75">
      <c r="A23988" s="8">
        <v>43893.589629629627</v>
      </c>
      <c r="B23988" s="8" t="str">
        <f>HYPERLINK("https://twitter.com/Syn_aa","@Syn_aa")</f>
        <v>@Syn_aa</v>
      </c>
      <c r="C23988" s="8" t="s">
        <v>8155</v>
      </c>
      <c r="D23988" s="8">
        <v>25</v>
      </c>
      <c r="E23988" s="8">
        <v>0</v>
      </c>
      <c r="F23988" s="8">
        <v>434</v>
      </c>
    </row>
    <row r="23989" spans="1:6" ht="12.75">
      <c r="A23989" s="8">
        <v>43893.589594907404</v>
      </c>
      <c r="B23989" s="8" t="str">
        <f>HYPERLINK("https://twitter.com/sanpelangi","@sanpelangi")</f>
        <v>@sanpelangi</v>
      </c>
      <c r="C23989" s="8" t="s">
        <v>4477</v>
      </c>
      <c r="D23989" s="8">
        <v>1158</v>
      </c>
      <c r="E23989" s="8">
        <v>0</v>
      </c>
      <c r="F23989" s="8">
        <v>198</v>
      </c>
    </row>
    <row r="23990" spans="1:6" ht="12.75">
      <c r="A23990" s="8">
        <v>43893.589583333334</v>
      </c>
      <c r="B23990" s="8" t="str">
        <f>HYPERLINK("https://twitter.com/gantenk69","@gantenk69")</f>
        <v>@gantenk69</v>
      </c>
      <c r="C23990" s="8" t="s">
        <v>9720</v>
      </c>
      <c r="D23990" s="8">
        <v>0</v>
      </c>
      <c r="E23990" s="8">
        <v>0</v>
      </c>
      <c r="F23990" s="8">
        <v>994</v>
      </c>
    </row>
    <row r="23991" spans="1:6" ht="12.75">
      <c r="A23991" s="8">
        <v>43893.589340277773</v>
      </c>
      <c r="B23991" s="8" t="str">
        <f>HYPERLINK("https://twitter.com/UlarLaut77","@UlarLaut77")</f>
        <v>@UlarLaut77</v>
      </c>
      <c r="C23991" s="8" t="s">
        <v>9721</v>
      </c>
      <c r="D23991" s="8">
        <v>1</v>
      </c>
      <c r="E23991" s="8">
        <v>0</v>
      </c>
      <c r="F23991" s="8">
        <v>68</v>
      </c>
    </row>
    <row r="23992" spans="1:6" ht="12.75">
      <c r="A23992" s="8">
        <v>43893.589224537034</v>
      </c>
      <c r="B23992" s="8" t="str">
        <f>HYPERLINK("https://twitter.com/alfionex","@alfionex")</f>
        <v>@alfionex</v>
      </c>
      <c r="C23992" s="8" t="s">
        <v>9722</v>
      </c>
      <c r="D23992" s="8">
        <v>4</v>
      </c>
      <c r="E23992" s="8">
        <v>0</v>
      </c>
      <c r="F23992" s="8">
        <v>2597</v>
      </c>
    </row>
    <row r="23993" spans="1:6" ht="12.75">
      <c r="A23993" s="8">
        <v>43893.589039351849</v>
      </c>
      <c r="B23993" s="8" t="str">
        <f>HYPERLINK("https://twitter.com/SinergyMind","@SinergyMind")</f>
        <v>@SinergyMind</v>
      </c>
      <c r="C23993" s="8" t="s">
        <v>1427</v>
      </c>
      <c r="D23993" s="8">
        <v>899</v>
      </c>
      <c r="E23993" s="8">
        <v>0</v>
      </c>
      <c r="F23993" s="8">
        <v>607</v>
      </c>
    </row>
    <row r="23994" spans="1:6" ht="12.75">
      <c r="A23994" s="8">
        <v>43893.588993055557</v>
      </c>
      <c r="B23994" s="8" t="str">
        <f>HYPERLINK("https://twitter.com/Listian08","@Listian08")</f>
        <v>@Listian08</v>
      </c>
      <c r="C23994" s="8" t="s">
        <v>9086</v>
      </c>
      <c r="D23994" s="8">
        <v>14</v>
      </c>
      <c r="E23994" s="8">
        <v>0</v>
      </c>
      <c r="F23994" s="8">
        <v>13</v>
      </c>
    </row>
    <row r="23995" spans="1:6" ht="12.75">
      <c r="A23995" s="8">
        <v>43893.588923611111</v>
      </c>
      <c r="B23995" s="8" t="str">
        <f>HYPERLINK("https://twitter.com/AuLiafuziernisa","@AuLiafuziernisa")</f>
        <v>@AuLiafuziernisa</v>
      </c>
      <c r="C23995" s="8" t="s">
        <v>4477</v>
      </c>
      <c r="D23995" s="8">
        <v>1158</v>
      </c>
      <c r="E23995" s="8">
        <v>0</v>
      </c>
      <c r="F23995" s="8">
        <v>30</v>
      </c>
    </row>
    <row r="23996" spans="1:6" ht="12.75">
      <c r="A23996" s="8">
        <v>43893.588634259257</v>
      </c>
      <c r="B23996" s="8" t="str">
        <f>HYPERLINK("https://twitter.com/Taroentra","@Taroentra")</f>
        <v>@Taroentra</v>
      </c>
      <c r="C23996" s="8" t="s">
        <v>9723</v>
      </c>
      <c r="D23996" s="8">
        <v>0</v>
      </c>
      <c r="E23996" s="8">
        <v>0</v>
      </c>
      <c r="F23996" s="8">
        <v>77</v>
      </c>
    </row>
    <row r="23997" spans="1:6" ht="12.75">
      <c r="A23997" s="8">
        <v>43893.588634259257</v>
      </c>
      <c r="B23997" s="8" t="str">
        <f>HYPERLINK("https://twitter.com/0rang","@0rang")</f>
        <v>@0rang</v>
      </c>
      <c r="C23997" s="8" t="s">
        <v>8429</v>
      </c>
      <c r="D23997" s="8">
        <v>71</v>
      </c>
      <c r="E23997" s="8">
        <v>0</v>
      </c>
      <c r="F23997" s="8">
        <v>1150</v>
      </c>
    </row>
    <row r="23998" spans="1:6" ht="12.75">
      <c r="A23998" s="8">
        <v>43893.58861111111</v>
      </c>
      <c r="B23998" s="8" t="str">
        <f>HYPERLINK("https://twitter.com/JhonHtjl","@JhonHtjl")</f>
        <v>@JhonHtjl</v>
      </c>
      <c r="C23998" s="8" t="s">
        <v>9722</v>
      </c>
      <c r="D23998" s="8">
        <v>4</v>
      </c>
      <c r="E23998" s="8">
        <v>0</v>
      </c>
      <c r="F23998" s="8">
        <v>4257</v>
      </c>
    </row>
    <row r="23999" spans="1:6" ht="12.75">
      <c r="A23999" s="8">
        <v>43893.588564814811</v>
      </c>
      <c r="B23999" s="8" t="str">
        <f>HYPERLINK("https://twitter.com/moerhadio","@moerhadio")</f>
        <v>@moerhadio</v>
      </c>
      <c r="C23999" s="8" t="s">
        <v>9724</v>
      </c>
      <c r="D23999" s="8">
        <v>0</v>
      </c>
      <c r="E23999" s="8">
        <v>0</v>
      </c>
      <c r="F23999" s="8">
        <v>459</v>
      </c>
    </row>
    <row r="24000" spans="1:6" ht="12.75">
      <c r="A24000" s="8">
        <v>43893.588553240741</v>
      </c>
      <c r="B24000" s="8" t="str">
        <f>HYPERLINK("https://twitter.com/scottsdigital","@scottsdigital")</f>
        <v>@scottsdigital</v>
      </c>
      <c r="C24000" s="8" t="s">
        <v>9725</v>
      </c>
      <c r="D24000" s="8">
        <v>0</v>
      </c>
      <c r="E24000" s="8">
        <v>0</v>
      </c>
      <c r="F24000" s="8">
        <v>5770</v>
      </c>
    </row>
    <row r="24001" spans="1:6" ht="12.75">
      <c r="A24001" s="8">
        <v>43893.588425925926</v>
      </c>
      <c r="B24001" s="8" t="str">
        <f>HYPERLINK("https://twitter.com/Kris67034005","@Kris67034005")</f>
        <v>@Kris67034005</v>
      </c>
      <c r="C24001" s="8" t="s">
        <v>7197</v>
      </c>
      <c r="D24001" s="8">
        <v>57</v>
      </c>
      <c r="E24001" s="8">
        <v>0</v>
      </c>
      <c r="F24001" s="8">
        <v>527</v>
      </c>
    </row>
    <row r="24002" spans="1:6" ht="12.75">
      <c r="A24002" s="8">
        <v>43893.588263888887</v>
      </c>
      <c r="B24002" s="8" t="str">
        <f>HYPERLINK("https://twitter.com/xyaktayy","@xyaktayy")</f>
        <v>@xyaktayy</v>
      </c>
      <c r="C24002" s="8" t="s">
        <v>9184</v>
      </c>
      <c r="D24002" s="8">
        <v>19</v>
      </c>
      <c r="E24002" s="8">
        <v>0</v>
      </c>
      <c r="F24002" s="8">
        <v>49</v>
      </c>
    </row>
    <row r="24003" spans="1:6" ht="12.75">
      <c r="A24003" s="8">
        <v>43893.588252314818</v>
      </c>
      <c r="B24003" s="8" t="str">
        <f>HYPERLINK("https://twitter.com/HarisW12NN","@HarisW12NN")</f>
        <v>@HarisW12NN</v>
      </c>
      <c r="C24003" s="8" t="s">
        <v>1970</v>
      </c>
      <c r="D24003" s="8">
        <v>998</v>
      </c>
      <c r="E24003" s="8">
        <v>0</v>
      </c>
      <c r="F24003" s="8">
        <v>191</v>
      </c>
    </row>
    <row r="24004" spans="1:6" ht="12.75">
      <c r="A24004" s="8">
        <v>43893.588240740741</v>
      </c>
      <c r="B24004" s="8" t="str">
        <f>HYPERLINK("https://twitter.com/swandywidjaja06","@swandywidjaja06")</f>
        <v>@swandywidjaja06</v>
      </c>
      <c r="C24004" s="8" t="s">
        <v>685</v>
      </c>
      <c r="D24004" s="8">
        <v>38</v>
      </c>
      <c r="E24004" s="8">
        <v>0</v>
      </c>
      <c r="F24004" s="8">
        <v>253</v>
      </c>
    </row>
    <row r="24005" spans="1:6" ht="12.75">
      <c r="A24005" s="8">
        <v>43893.58793981481</v>
      </c>
      <c r="B24005" s="8" t="str">
        <f>HYPERLINK("https://twitter.com/anggyningtyas","@anggyningtyas")</f>
        <v>@anggyningtyas</v>
      </c>
      <c r="C24005" s="8" t="s">
        <v>1427</v>
      </c>
      <c r="D24005" s="8">
        <v>899</v>
      </c>
      <c r="E24005" s="8">
        <v>0</v>
      </c>
      <c r="F24005" s="8">
        <v>120</v>
      </c>
    </row>
    <row r="24006" spans="1:6" ht="12.75">
      <c r="A24006" s="8">
        <v>43893.587905092594</v>
      </c>
      <c r="B24006" s="8" t="str">
        <f>HYPERLINK("https://twitter.com/HaloKBR","@HaloKBR")</f>
        <v>@HaloKBR</v>
      </c>
      <c r="C24006" s="8" t="s">
        <v>9726</v>
      </c>
      <c r="D24006" s="8">
        <v>1</v>
      </c>
      <c r="E24006" s="8">
        <v>0</v>
      </c>
      <c r="F24006" s="8">
        <v>58529</v>
      </c>
    </row>
    <row r="24007" spans="1:6" ht="12.75">
      <c r="A24007" s="8">
        <v>43893.587604166663</v>
      </c>
      <c r="B24007" s="8" t="str">
        <f>HYPERLINK("https://twitter.com/uganprayoga","@uganprayoga")</f>
        <v>@uganprayoga</v>
      </c>
      <c r="C24007" s="8" t="s">
        <v>9727</v>
      </c>
      <c r="D24007" s="8">
        <v>94</v>
      </c>
      <c r="E24007" s="8">
        <v>0</v>
      </c>
      <c r="F24007" s="8">
        <v>276</v>
      </c>
    </row>
    <row r="24008" spans="1:6" ht="12.75">
      <c r="A24008" s="8">
        <v>43893.58729166667</v>
      </c>
      <c r="B24008" s="8" t="str">
        <f>HYPERLINK("https://twitter.com/AbdulQa40393925","@AbdulQa40393925")</f>
        <v>@AbdulQa40393925</v>
      </c>
      <c r="C24008" s="8" t="s">
        <v>7597</v>
      </c>
      <c r="D24008" s="8">
        <v>679</v>
      </c>
      <c r="E24008" s="8">
        <v>0</v>
      </c>
      <c r="F24008" s="8">
        <v>11</v>
      </c>
    </row>
    <row r="24009" spans="1:6" ht="12.75">
      <c r="A24009" s="8">
        <v>43893.587280092594</v>
      </c>
      <c r="B24009" s="8" t="str">
        <f>HYPERLINK("https://twitter.com/denmas_ajah","@denmas_ajah")</f>
        <v>@denmas_ajah</v>
      </c>
      <c r="C24009" s="8" t="s">
        <v>9728</v>
      </c>
      <c r="D24009" s="8">
        <v>0</v>
      </c>
      <c r="E24009" s="8">
        <v>1</v>
      </c>
      <c r="F24009" s="8">
        <v>4768</v>
      </c>
    </row>
    <row r="24010" spans="1:6" ht="12.75">
      <c r="A24010" s="8">
        <v>43893.587199074071</v>
      </c>
      <c r="B24010" s="8" t="str">
        <f>HYPERLINK("https://twitter.com/BangkitPribumi","@BangkitPribumi")</f>
        <v>@BangkitPribumi</v>
      </c>
      <c r="C24010" s="8" t="s">
        <v>9729</v>
      </c>
      <c r="D24010" s="8">
        <v>155</v>
      </c>
      <c r="E24010" s="8">
        <v>0</v>
      </c>
      <c r="F24010" s="8">
        <v>783</v>
      </c>
    </row>
    <row r="24011" spans="1:6" ht="12.75">
      <c r="A24011" s="8">
        <v>43893.587013888886</v>
      </c>
      <c r="B24011" s="8" t="str">
        <f>HYPERLINK("https://twitter.com/scottsdigital","@scottsdigital")</f>
        <v>@scottsdigital</v>
      </c>
      <c r="C24011" s="8" t="s">
        <v>9730</v>
      </c>
      <c r="D24011" s="8">
        <v>0</v>
      </c>
      <c r="E24011" s="8">
        <v>0</v>
      </c>
      <c r="F24011" s="8">
        <v>5770</v>
      </c>
    </row>
    <row r="24012" spans="1:6" ht="12.75">
      <c r="A24012" s="8">
        <v>43893.58699074074</v>
      </c>
      <c r="B24012" s="8" t="str">
        <f>HYPERLINK("https://twitter.com/tribunnews","@tribunnews")</f>
        <v>@tribunnews</v>
      </c>
      <c r="C24012" s="8" t="s">
        <v>9731</v>
      </c>
      <c r="D24012" s="8">
        <v>0</v>
      </c>
      <c r="E24012" s="8">
        <v>1</v>
      </c>
      <c r="F24012" s="8">
        <v>886936</v>
      </c>
    </row>
    <row r="24013" spans="1:6" ht="12.75">
      <c r="A24013" s="8">
        <v>43893.586956018524</v>
      </c>
      <c r="B24013" s="8" t="str">
        <f>HYPERLINK("https://twitter.com/AgengSelo_","@AgengSelo_")</f>
        <v>@AgengSelo_</v>
      </c>
      <c r="C24013" s="8" t="s">
        <v>9732</v>
      </c>
      <c r="D24013" s="8">
        <v>9</v>
      </c>
      <c r="E24013" s="8">
        <v>0</v>
      </c>
      <c r="F24013" s="8">
        <v>30</v>
      </c>
    </row>
    <row r="24014" spans="1:6" ht="12.75">
      <c r="A24014" s="8">
        <v>43893.586759259255</v>
      </c>
      <c r="B24014" s="8" t="str">
        <f>HYPERLINK("https://twitter.com/mukminatinana_","@mukminatinana_")</f>
        <v>@mukminatinana_</v>
      </c>
      <c r="C24014" s="8" t="s">
        <v>7197</v>
      </c>
      <c r="D24014" s="8">
        <v>57</v>
      </c>
      <c r="E24014" s="8">
        <v>0</v>
      </c>
      <c r="F24014" s="8">
        <v>196</v>
      </c>
    </row>
    <row r="24015" spans="1:6" ht="12.75">
      <c r="A24015" s="8">
        <v>43893.586458333331</v>
      </c>
      <c r="B24015" s="8" t="str">
        <f>HYPERLINK("https://twitter.com/FrederickDukunz","@FrederickDukunz")</f>
        <v>@FrederickDukunz</v>
      </c>
      <c r="C24015" s="8" t="s">
        <v>9733</v>
      </c>
      <c r="D24015" s="8">
        <v>0</v>
      </c>
      <c r="E24015" s="8">
        <v>0</v>
      </c>
      <c r="F24015" s="8">
        <v>165</v>
      </c>
    </row>
    <row r="24016" spans="1:6" ht="12.75">
      <c r="A24016" s="8">
        <v>43893.586412037039</v>
      </c>
      <c r="B24016" s="8" t="str">
        <f>HYPERLINK("https://twitter.com/adhisatyaaam","@adhisatyaaam")</f>
        <v>@adhisatyaaam</v>
      </c>
      <c r="C24016" s="8" t="s">
        <v>2962</v>
      </c>
      <c r="D24016" s="8">
        <v>5456</v>
      </c>
      <c r="E24016" s="8">
        <v>0</v>
      </c>
      <c r="F24016" s="8">
        <v>779</v>
      </c>
    </row>
    <row r="24017" spans="1:6" ht="12.75">
      <c r="A24017" s="8">
        <v>43893.586331018523</v>
      </c>
      <c r="B24017" s="8" t="str">
        <f>HYPERLINK("https://twitter.com/SportSukses","@SportSukses")</f>
        <v>@SportSukses</v>
      </c>
      <c r="C24017" s="8" t="s">
        <v>6862</v>
      </c>
      <c r="D24017" s="8">
        <v>73</v>
      </c>
      <c r="E24017" s="8">
        <v>0</v>
      </c>
      <c r="F24017" s="8">
        <v>30</v>
      </c>
    </row>
    <row r="24018" spans="1:6" ht="12.75">
      <c r="A24018" s="8">
        <v>43893.586215277777</v>
      </c>
      <c r="B24018" s="8" t="str">
        <f>HYPERLINK("https://twitter.com/mitsel_","@mitsel_")</f>
        <v>@mitsel_</v>
      </c>
      <c r="C24018" s="8" t="s">
        <v>7197</v>
      </c>
      <c r="D24018" s="8">
        <v>57</v>
      </c>
      <c r="E24018" s="8">
        <v>0</v>
      </c>
      <c r="F24018" s="8">
        <v>975</v>
      </c>
    </row>
    <row r="24019" spans="1:6" ht="12.75">
      <c r="A24019" s="8">
        <v>43893.586215277777</v>
      </c>
      <c r="B24019" s="8" t="str">
        <f>HYPERLINK("https://twitter.com/Mal060687","@Mal060687")</f>
        <v>@Mal060687</v>
      </c>
      <c r="C24019" s="8" t="s">
        <v>8901</v>
      </c>
      <c r="D24019" s="8">
        <v>109</v>
      </c>
      <c r="E24019" s="8">
        <v>0</v>
      </c>
      <c r="F24019" s="8">
        <v>1054</v>
      </c>
    </row>
    <row r="24020" spans="1:6" ht="12.75">
      <c r="A24020" s="8">
        <v>43893.586215277777</v>
      </c>
      <c r="B24020" s="8" t="str">
        <f>HYPERLINK("https://twitter.com/uthe12340","@uthe12340")</f>
        <v>@uthe12340</v>
      </c>
      <c r="C24020" s="8" t="s">
        <v>1970</v>
      </c>
      <c r="D24020" s="8">
        <v>998</v>
      </c>
      <c r="E24020" s="8">
        <v>0</v>
      </c>
      <c r="F24020" s="8">
        <v>134</v>
      </c>
    </row>
    <row r="24021" spans="1:6" ht="12.75">
      <c r="A24021" s="8">
        <v>43893.586168981477</v>
      </c>
      <c r="B24021" s="8" t="str">
        <f>HYPERLINK("https://twitter.com/Bangzul__88","@Bangzul__88")</f>
        <v>@Bangzul__88</v>
      </c>
      <c r="C24021" s="8" t="s">
        <v>8429</v>
      </c>
      <c r="D24021" s="8">
        <v>71</v>
      </c>
      <c r="E24021" s="8">
        <v>0</v>
      </c>
      <c r="F24021" s="8">
        <v>6442</v>
      </c>
    </row>
    <row r="24022" spans="1:6" ht="12.75">
      <c r="A24022" s="8">
        <v>43893.586006944446</v>
      </c>
      <c r="B24022" s="8" t="str">
        <f>HYPERLINK("https://twitter.com/klxsltxx","@klxsltxx")</f>
        <v>@klxsltxx</v>
      </c>
      <c r="C24022" s="8" t="s">
        <v>9117</v>
      </c>
      <c r="D24022" s="8">
        <v>361</v>
      </c>
      <c r="E24022" s="8">
        <v>0</v>
      </c>
      <c r="F24022" s="8">
        <v>38</v>
      </c>
    </row>
    <row r="24023" spans="1:6" ht="12.75">
      <c r="A24023" s="8">
        <v>43893.585868055554</v>
      </c>
      <c r="B24023" s="8" t="str">
        <f>HYPERLINK("https://twitter.com/sashamwldn","@sashamwldn")</f>
        <v>@sashamwldn</v>
      </c>
      <c r="C24023" s="8" t="s">
        <v>1986</v>
      </c>
      <c r="D24023" s="8">
        <v>787</v>
      </c>
      <c r="E24023" s="8">
        <v>0</v>
      </c>
      <c r="F24023" s="8">
        <v>177</v>
      </c>
    </row>
    <row r="24024" spans="1:6" ht="12.75">
      <c r="A24024" s="8">
        <v>43893.585856481484</v>
      </c>
      <c r="B24024" s="8" t="str">
        <f>HYPERLINK("https://twitter.com/insanirahmi","@insanirahmi")</f>
        <v>@insanirahmi</v>
      </c>
      <c r="C24024" s="8" t="s">
        <v>9734</v>
      </c>
      <c r="D24024" s="8">
        <v>165</v>
      </c>
      <c r="E24024" s="8">
        <v>0</v>
      </c>
      <c r="F24024" s="8">
        <v>305</v>
      </c>
    </row>
    <row r="24025" spans="1:6" ht="12.75">
      <c r="A24025" s="8">
        <v>43893.585729166662</v>
      </c>
      <c r="B24025" s="8" t="str">
        <f>HYPERLINK("https://twitter.com/Rikasigit1","@Rikasigit1")</f>
        <v>@Rikasigit1</v>
      </c>
      <c r="C24025" s="8" t="s">
        <v>7597</v>
      </c>
      <c r="D24025" s="8">
        <v>679</v>
      </c>
      <c r="E24025" s="8">
        <v>0</v>
      </c>
      <c r="F24025" s="8">
        <v>46</v>
      </c>
    </row>
    <row r="24026" spans="1:6" ht="12.75">
      <c r="A24026" s="8">
        <v>43893.585648148146</v>
      </c>
      <c r="B24026" s="8" t="str">
        <f>HYPERLINK("https://twitter.com/pertiwi_bunda","@pertiwi_bunda")</f>
        <v>@pertiwi_bunda</v>
      </c>
      <c r="C24026" s="8" t="s">
        <v>4477</v>
      </c>
      <c r="D24026" s="8">
        <v>1158</v>
      </c>
      <c r="E24026" s="8">
        <v>0</v>
      </c>
      <c r="F24026" s="8">
        <v>868</v>
      </c>
    </row>
    <row r="24027" spans="1:6" ht="12.75">
      <c r="A24027" s="8">
        <v>43893.5855787037</v>
      </c>
      <c r="B24027" s="8" t="str">
        <f>HYPERLINK("https://twitter.com/HaeDinaa","@HaeDinaa")</f>
        <v>@HaeDinaa</v>
      </c>
      <c r="C24027" s="8" t="s">
        <v>9735</v>
      </c>
      <c r="D24027" s="8">
        <v>2</v>
      </c>
      <c r="E24027" s="8">
        <v>0</v>
      </c>
      <c r="F24027" s="8">
        <v>3579</v>
      </c>
    </row>
    <row r="24028" spans="1:6" ht="12.75">
      <c r="A24028" s="8">
        <v>43893.585451388892</v>
      </c>
      <c r="B24028" s="8" t="str">
        <f>HYPERLINK("https://twitter.com/KanayaResta","@KanayaResta")</f>
        <v>@KanayaResta</v>
      </c>
      <c r="C24028" s="8" t="s">
        <v>9736</v>
      </c>
      <c r="D24028" s="8">
        <v>0</v>
      </c>
      <c r="E24028" s="8">
        <v>0</v>
      </c>
      <c r="F24028" s="8">
        <v>2</v>
      </c>
    </row>
    <row r="24029" spans="1:6" ht="12.75">
      <c r="A24029" s="8">
        <v>43893.585358796292</v>
      </c>
      <c r="B24029" s="8" t="str">
        <f>HYPERLINK("https://twitter.com/IlhamIbrahiim","@IlhamIbrahiim")</f>
        <v>@IlhamIbrahiim</v>
      </c>
      <c r="C24029" s="8" t="s">
        <v>7197</v>
      </c>
      <c r="D24029" s="8">
        <v>57</v>
      </c>
      <c r="E24029" s="8">
        <v>0</v>
      </c>
      <c r="F24029" s="8">
        <v>690</v>
      </c>
    </row>
    <row r="24030" spans="1:6" ht="12.75">
      <c r="A24030" s="8">
        <v>43893.58530092593</v>
      </c>
      <c r="B24030" s="8" t="str">
        <f>HYPERLINK("https://twitter.com/tiknosaja","@tiknosaja")</f>
        <v>@tiknosaja</v>
      </c>
      <c r="C24030" s="8" t="s">
        <v>9732</v>
      </c>
      <c r="D24030" s="8">
        <v>9</v>
      </c>
      <c r="E24030" s="8">
        <v>0</v>
      </c>
      <c r="F24030" s="8">
        <v>20</v>
      </c>
    </row>
    <row r="24031" spans="1:6" ht="12.75">
      <c r="A24031" s="8">
        <v>43893.585277777776</v>
      </c>
      <c r="B24031" s="8" t="str">
        <f>HYPERLINK("https://twitter.com/ephraym8","@ephraym8")</f>
        <v>@ephraym8</v>
      </c>
      <c r="C24031" s="8" t="s">
        <v>9737</v>
      </c>
      <c r="D24031" s="8">
        <v>0</v>
      </c>
      <c r="E24031" s="8">
        <v>0</v>
      </c>
      <c r="F24031" s="8">
        <v>1189</v>
      </c>
    </row>
    <row r="24032" spans="1:6" ht="12.75">
      <c r="A24032" s="8">
        <v>43893.585243055553</v>
      </c>
      <c r="B24032" s="8" t="str">
        <f>HYPERLINK("https://twitter.com/hangyulbekasi","@hangyulbekasi")</f>
        <v>@hangyulbekasi</v>
      </c>
      <c r="C24032" s="8" t="s">
        <v>9184</v>
      </c>
      <c r="D24032" s="8">
        <v>19</v>
      </c>
      <c r="E24032" s="8">
        <v>0</v>
      </c>
      <c r="F24032" s="8">
        <v>317</v>
      </c>
    </row>
    <row r="24033" spans="1:6" ht="12.75">
      <c r="A24033" s="8">
        <v>43893.585219907407</v>
      </c>
      <c r="B24033" s="8" t="str">
        <f>HYPERLINK("https://twitter.com/Rasyidalghany92","@Rasyidalghany92")</f>
        <v>@Rasyidalghany92</v>
      </c>
      <c r="C24033" s="8" t="s">
        <v>6862</v>
      </c>
      <c r="D24033" s="8">
        <v>73</v>
      </c>
      <c r="E24033" s="8">
        <v>0</v>
      </c>
      <c r="F24033" s="8">
        <v>76</v>
      </c>
    </row>
    <row r="24034" spans="1:6" ht="12.75">
      <c r="A24034" s="8">
        <v>43893.585127314815</v>
      </c>
      <c r="B24034" s="8" t="str">
        <f>HYPERLINK("https://twitter.com/Ammy_Waris","@Ammy_Waris")</f>
        <v>@Ammy_Waris</v>
      </c>
      <c r="C24034" s="8" t="s">
        <v>6862</v>
      </c>
      <c r="D24034" s="8">
        <v>73</v>
      </c>
      <c r="E24034" s="8">
        <v>0</v>
      </c>
      <c r="F24034" s="8">
        <v>58</v>
      </c>
    </row>
    <row r="24035" spans="1:6" ht="12.75">
      <c r="A24035" s="8">
        <v>43893.585057870368</v>
      </c>
      <c r="B24035" s="8" t="str">
        <f>HYPERLINK("https://twitter.com/WindraKirana","@WindraKirana")</f>
        <v>@WindraKirana</v>
      </c>
      <c r="C24035" s="8" t="s">
        <v>1970</v>
      </c>
      <c r="D24035" s="8">
        <v>998</v>
      </c>
      <c r="E24035" s="8">
        <v>0</v>
      </c>
      <c r="F24035" s="8">
        <v>289</v>
      </c>
    </row>
    <row r="24036" spans="1:6" ht="12.75">
      <c r="A24036" s="8">
        <v>43893.585046296299</v>
      </c>
      <c r="B24036" s="8" t="str">
        <f>HYPERLINK("https://twitter.com/rundee_k","@rundee_k")</f>
        <v>@rundee_k</v>
      </c>
      <c r="C24036" s="8" t="s">
        <v>2962</v>
      </c>
      <c r="D24036" s="8">
        <v>5456</v>
      </c>
      <c r="E24036" s="8">
        <v>0</v>
      </c>
      <c r="F24036" s="8">
        <v>37</v>
      </c>
    </row>
    <row r="24037" spans="1:6" ht="12.75">
      <c r="A24037" s="8">
        <v>43893.584999999999</v>
      </c>
      <c r="B24037" s="8" t="str">
        <f>HYPERLINK("https://twitter.com/TasunPawanto507","@TasunPawanto507")</f>
        <v>@TasunPawanto507</v>
      </c>
      <c r="C24037" s="8" t="s">
        <v>8429</v>
      </c>
      <c r="D24037" s="8">
        <v>71</v>
      </c>
      <c r="E24037" s="8">
        <v>0</v>
      </c>
      <c r="F24037" s="8">
        <v>1653</v>
      </c>
    </row>
    <row r="24038" spans="1:6" ht="12.75">
      <c r="A24038" s="8">
        <v>43893.584999999999</v>
      </c>
      <c r="B24038" s="8" t="str">
        <f>HYPERLINK("https://twitter.com/BH_Cunyul","@BH_Cunyul")</f>
        <v>@BH_Cunyul</v>
      </c>
      <c r="C24038" s="8" t="s">
        <v>9738</v>
      </c>
      <c r="D24038" s="8">
        <v>0</v>
      </c>
      <c r="E24038" s="8">
        <v>0</v>
      </c>
      <c r="F24038" s="8">
        <v>2023</v>
      </c>
    </row>
    <row r="24039" spans="1:6" ht="12.75">
      <c r="A24039" s="8">
        <v>43893.584999999999</v>
      </c>
      <c r="B24039" s="8" t="str">
        <f>HYPERLINK("https://twitter.com/hemaviton99","@hemaviton99")</f>
        <v>@hemaviton99</v>
      </c>
      <c r="C24039" s="8" t="s">
        <v>9146</v>
      </c>
      <c r="D24039" s="8">
        <v>40</v>
      </c>
      <c r="E24039" s="8">
        <v>0</v>
      </c>
      <c r="F24039" s="8">
        <v>5368</v>
      </c>
    </row>
    <row r="24040" spans="1:6" ht="12.75">
      <c r="A24040" s="8">
        <v>43893.584953703699</v>
      </c>
      <c r="B24040" s="8" t="str">
        <f>HYPERLINK("https://twitter.com/scottsdigital","@scottsdigital")</f>
        <v>@scottsdigital</v>
      </c>
      <c r="C24040" s="8" t="s">
        <v>9739</v>
      </c>
      <c r="D24040" s="8">
        <v>0</v>
      </c>
      <c r="E24040" s="8">
        <v>0</v>
      </c>
      <c r="F24040" s="8">
        <v>5770</v>
      </c>
    </row>
    <row r="24041" spans="1:6" ht="12.75">
      <c r="A24041" s="8">
        <v>43893.58488425926</v>
      </c>
      <c r="B24041" s="8" t="str">
        <f>HYPERLINK("https://twitter.com/beatrice_health","@beatrice_health")</f>
        <v>@beatrice_health</v>
      </c>
      <c r="C24041" s="8" t="s">
        <v>1970</v>
      </c>
      <c r="D24041" s="8">
        <v>998</v>
      </c>
      <c r="E24041" s="8">
        <v>0</v>
      </c>
      <c r="F24041" s="8">
        <v>489</v>
      </c>
    </row>
    <row r="24042" spans="1:6" ht="12.75">
      <c r="A24042" s="8">
        <v>43893.584849537037</v>
      </c>
      <c r="B24042" s="8" t="str">
        <f>HYPERLINK("https://twitter.com/kurawa558","@kurawa558")</f>
        <v>@kurawa558</v>
      </c>
      <c r="C24042" s="8" t="s">
        <v>1970</v>
      </c>
      <c r="D24042" s="8">
        <v>998</v>
      </c>
      <c r="E24042" s="8">
        <v>0</v>
      </c>
      <c r="F24042" s="8">
        <v>93</v>
      </c>
    </row>
    <row r="24043" spans="1:6" ht="12.75">
      <c r="A24043" s="8">
        <v>43893.584814814814</v>
      </c>
      <c r="B24043" s="8" t="str">
        <f>HYPERLINK("https://twitter.com/KompasTV","@KompasTV")</f>
        <v>@KompasTV</v>
      </c>
      <c r="C24043" s="8" t="s">
        <v>9740</v>
      </c>
      <c r="D24043" s="8">
        <v>0</v>
      </c>
      <c r="E24043" s="8">
        <v>4</v>
      </c>
      <c r="F24043" s="8">
        <v>2954532</v>
      </c>
    </row>
    <row r="24044" spans="1:6" ht="12.75">
      <c r="A24044" s="8">
        <v>43893.584756944445</v>
      </c>
      <c r="B24044" s="8" t="str">
        <f>HYPERLINK("https://twitter.com/sadeeq_star","@sadeeq_star")</f>
        <v>@sadeeq_star</v>
      </c>
      <c r="C24044" s="8" t="s">
        <v>9741</v>
      </c>
      <c r="D24044" s="8">
        <v>0</v>
      </c>
      <c r="E24044" s="8">
        <v>0</v>
      </c>
      <c r="F24044" s="8">
        <v>309</v>
      </c>
    </row>
    <row r="24045" spans="1:6" ht="12.75">
      <c r="A24045" s="8">
        <v>43893.584548611107</v>
      </c>
      <c r="B24045" s="8" t="str">
        <f>HYPERLINK("https://twitter.com/JanggutMbah","@JanggutMbah")</f>
        <v>@JanggutMbah</v>
      </c>
      <c r="C24045" s="8" t="s">
        <v>9688</v>
      </c>
      <c r="D24045" s="8">
        <v>15</v>
      </c>
      <c r="E24045" s="8">
        <v>0</v>
      </c>
      <c r="F24045" s="8">
        <v>2414</v>
      </c>
    </row>
    <row r="24046" spans="1:6" ht="12.75">
      <c r="A24046" s="8">
        <v>43893.584537037037</v>
      </c>
      <c r="B24046" s="8" t="str">
        <f>HYPERLINK("https://twitter.com/Bangzul__88","@Bangzul__88")</f>
        <v>@Bangzul__88</v>
      </c>
      <c r="C24046" s="8" t="s">
        <v>9742</v>
      </c>
      <c r="D24046" s="8">
        <v>10</v>
      </c>
      <c r="E24046" s="8">
        <v>0</v>
      </c>
      <c r="F24046" s="8">
        <v>6442</v>
      </c>
    </row>
    <row r="24047" spans="1:6" ht="12.75">
      <c r="A24047" s="8">
        <v>43893.584432870368</v>
      </c>
      <c r="B24047" s="8" t="str">
        <f>HYPERLINK("https://twitter.com/Suketchiihara","@Suketchiihara")</f>
        <v>@Suketchiihara</v>
      </c>
      <c r="C24047" s="8" t="s">
        <v>9117</v>
      </c>
      <c r="D24047" s="8">
        <v>361</v>
      </c>
      <c r="E24047" s="8">
        <v>0</v>
      </c>
      <c r="F24047" s="8">
        <v>1054</v>
      </c>
    </row>
    <row r="24048" spans="1:6" ht="12.75">
      <c r="A24048" s="8">
        <v>43893.584409722222</v>
      </c>
      <c r="B24048" s="8" t="str">
        <f>HYPERLINK("https://twitter.com/JazzKhAlia","@JazzKhAlia")</f>
        <v>@JazzKhAlia</v>
      </c>
      <c r="C24048" s="8" t="s">
        <v>7197</v>
      </c>
      <c r="D24048" s="8">
        <v>57</v>
      </c>
      <c r="E24048" s="8">
        <v>0</v>
      </c>
      <c r="F24048" s="8">
        <v>315</v>
      </c>
    </row>
    <row r="24049" spans="1:6" ht="12.75">
      <c r="A24049" s="8">
        <v>43893.584270833337</v>
      </c>
      <c r="B24049" s="8" t="str">
        <f>HYPERLINK("https://twitter.com/JanggutMbah","@JanggutMbah")</f>
        <v>@JanggutMbah</v>
      </c>
      <c r="C24049" s="8" t="s">
        <v>6864</v>
      </c>
      <c r="D24049" s="8">
        <v>245</v>
      </c>
      <c r="E24049" s="8">
        <v>0</v>
      </c>
      <c r="F24049" s="8">
        <v>2414</v>
      </c>
    </row>
    <row r="24050" spans="1:6" ht="12.75">
      <c r="A24050" s="8">
        <v>43893.584097222221</v>
      </c>
      <c r="B24050" s="8" t="str">
        <f>HYPERLINK("https://twitter.com/iim666","@iim666")</f>
        <v>@iim666</v>
      </c>
      <c r="C24050" s="8" t="s">
        <v>9743</v>
      </c>
      <c r="D24050" s="8">
        <v>1</v>
      </c>
      <c r="E24050" s="8">
        <v>0</v>
      </c>
      <c r="F24050" s="8">
        <v>318</v>
      </c>
    </row>
    <row r="24051" spans="1:6" ht="12.75">
      <c r="A24051" s="8">
        <v>43893.583877314813</v>
      </c>
      <c r="B24051" s="8" t="str">
        <f>HYPERLINK("https://twitter.com/bibin_bey","@bibin_bey")</f>
        <v>@bibin_bey</v>
      </c>
      <c r="C24051" s="8" t="s">
        <v>9417</v>
      </c>
      <c r="D24051" s="8">
        <v>67</v>
      </c>
      <c r="E24051" s="8">
        <v>0</v>
      </c>
      <c r="F24051" s="8">
        <v>1617</v>
      </c>
    </row>
    <row r="24052" spans="1:6" ht="12.75">
      <c r="A24052" s="8">
        <v>43893.583831018521</v>
      </c>
      <c r="B24052" s="8" t="str">
        <f>HYPERLINK("https://twitter.com/iim666","@iim666")</f>
        <v>@iim666</v>
      </c>
      <c r="C24052" s="8" t="s">
        <v>1970</v>
      </c>
      <c r="D24052" s="8">
        <v>998</v>
      </c>
      <c r="E24052" s="8">
        <v>0</v>
      </c>
      <c r="F24052" s="8">
        <v>318</v>
      </c>
    </row>
    <row r="24053" spans="1:6" ht="12.75">
      <c r="A24053" s="8">
        <v>43893.583703703705</v>
      </c>
      <c r="B24053" s="8" t="str">
        <f>HYPERLINK("https://twitter.com/dollar_25","@dollar_25")</f>
        <v>@dollar_25</v>
      </c>
      <c r="C24053" s="8" t="s">
        <v>2962</v>
      </c>
      <c r="D24053" s="8">
        <v>5456</v>
      </c>
      <c r="E24053" s="8">
        <v>0</v>
      </c>
      <c r="F24053" s="8">
        <v>360</v>
      </c>
    </row>
    <row r="24054" spans="1:6" ht="12.75">
      <c r="A24054" s="8">
        <v>43893.583599537036</v>
      </c>
      <c r="B24054" s="8" t="str">
        <f>HYPERLINK("https://twitter.com/farhahmufiedah","@farhahmufiedah")</f>
        <v>@farhahmufiedah</v>
      </c>
      <c r="C24054" s="8" t="s">
        <v>9128</v>
      </c>
      <c r="D24054" s="8">
        <v>147</v>
      </c>
      <c r="E24054" s="8">
        <v>0</v>
      </c>
      <c r="F24054" s="8">
        <v>192</v>
      </c>
    </row>
    <row r="24055" spans="1:6" ht="12.75">
      <c r="A24055" s="8">
        <v>43893.583587962959</v>
      </c>
      <c r="B24055" s="8" t="str">
        <f>HYPERLINK("https://twitter.com/JanggutMbah","@JanggutMbah")</f>
        <v>@JanggutMbah</v>
      </c>
      <c r="C24055" s="8" t="s">
        <v>9716</v>
      </c>
      <c r="D24055" s="8">
        <v>3</v>
      </c>
      <c r="E24055" s="8">
        <v>0</v>
      </c>
      <c r="F24055" s="8">
        <v>2414</v>
      </c>
    </row>
    <row r="24056" spans="1:6" ht="12.75">
      <c r="A24056" s="8">
        <v>43893.583587962959</v>
      </c>
      <c r="B24056" s="8" t="str">
        <f>HYPERLINK("https://twitter.com/badir03","@badir03")</f>
        <v>@badir03</v>
      </c>
      <c r="C24056" s="8" t="s">
        <v>1970</v>
      </c>
      <c r="D24056" s="8">
        <v>998</v>
      </c>
      <c r="E24056" s="8">
        <v>0</v>
      </c>
      <c r="F24056" s="8">
        <v>271</v>
      </c>
    </row>
    <row r="24057" spans="1:6" ht="12.75">
      <c r="A24057" s="8">
        <v>43893.583472222221</v>
      </c>
      <c r="B24057" s="8" t="str">
        <f>HYPERLINK("https://twitter.com/masakomamasuka","@masakomamasuka")</f>
        <v>@masakomamasuka</v>
      </c>
      <c r="C24057" s="8" t="s">
        <v>4615</v>
      </c>
      <c r="D24057" s="8">
        <v>175</v>
      </c>
      <c r="E24057" s="8">
        <v>0</v>
      </c>
      <c r="F24057" s="8">
        <v>704</v>
      </c>
    </row>
    <row r="24058" spans="1:6" ht="12.75">
      <c r="A24058" s="8">
        <v>43893.583391203705</v>
      </c>
      <c r="B24058" s="8" t="str">
        <f>HYPERLINK("https://twitter.com/andri_aditiya21","@andri_aditiya21")</f>
        <v>@andri_aditiya21</v>
      </c>
      <c r="C24058" s="8" t="s">
        <v>9744</v>
      </c>
      <c r="D24058" s="8">
        <v>0</v>
      </c>
      <c r="E24058" s="8">
        <v>0</v>
      </c>
      <c r="F24058" s="8">
        <v>13</v>
      </c>
    </row>
    <row r="24059" spans="1:6" ht="12.75">
      <c r="A24059" s="8">
        <v>43893.583333333328</v>
      </c>
      <c r="B24059" s="8" t="str">
        <f>HYPERLINK("https://twitter.com/DPPPerindo","@DPPPerindo")</f>
        <v>@DPPPerindo</v>
      </c>
      <c r="C24059" s="8" t="s">
        <v>9745</v>
      </c>
      <c r="D24059" s="8">
        <v>0</v>
      </c>
      <c r="E24059" s="8">
        <v>0</v>
      </c>
      <c r="F24059" s="8">
        <v>14208</v>
      </c>
    </row>
    <row r="24060" spans="1:6" ht="12.75">
      <c r="A24060" s="8">
        <v>43893.583333333328</v>
      </c>
      <c r="B24060" s="8" t="str">
        <f>HYPERLINK("https://twitter.com/PerindoMuda","@PerindoMuda")</f>
        <v>@PerindoMuda</v>
      </c>
      <c r="C24060" s="8" t="s">
        <v>9745</v>
      </c>
      <c r="D24060" s="8">
        <v>0</v>
      </c>
      <c r="E24060" s="8">
        <v>0</v>
      </c>
      <c r="F24060" s="8">
        <v>3718</v>
      </c>
    </row>
    <row r="24061" spans="1:6" ht="12.75">
      <c r="A24061" s="8">
        <v>43893.583333333328</v>
      </c>
      <c r="B24061" s="8" t="str">
        <f>HYPERLINK("https://twitter.com/PartaiPerindo","@PartaiPerindo")</f>
        <v>@PartaiPerindo</v>
      </c>
      <c r="C24061" s="8" t="s">
        <v>9745</v>
      </c>
      <c r="D24061" s="8">
        <v>0</v>
      </c>
      <c r="E24061" s="8">
        <v>0</v>
      </c>
      <c r="F24061" s="8">
        <v>22706</v>
      </c>
    </row>
    <row r="24062" spans="1:6" ht="12.75">
      <c r="A24062" s="8">
        <v>43893.58315972222</v>
      </c>
      <c r="B24062" s="8" t="str">
        <f>HYPERLINK("https://twitter.com/ssadiah_","@ssadiah_")</f>
        <v>@ssadiah_</v>
      </c>
      <c r="C24062" s="8" t="s">
        <v>2962</v>
      </c>
      <c r="D24062" s="8">
        <v>5456</v>
      </c>
      <c r="E24062" s="8">
        <v>0</v>
      </c>
      <c r="F24062" s="8">
        <v>5673</v>
      </c>
    </row>
    <row r="24063" spans="1:6" ht="12.75">
      <c r="A24063" s="8">
        <v>43893.583101851851</v>
      </c>
      <c r="B24063" s="8" t="str">
        <f>HYPERLINK("https://twitter.com/hainti","@hainti")</f>
        <v>@hainti</v>
      </c>
      <c r="C24063" s="8" t="s">
        <v>1427</v>
      </c>
      <c r="D24063" s="8">
        <v>899</v>
      </c>
      <c r="E24063" s="8">
        <v>0</v>
      </c>
      <c r="F24063" s="8">
        <v>488</v>
      </c>
    </row>
    <row r="24064" spans="1:6" ht="12.75">
      <c r="A24064" s="8">
        <v>43893.583078703705</v>
      </c>
      <c r="B24064" s="8" t="str">
        <f>HYPERLINK("https://twitter.com/Anhrefn26","@Anhrefn26")</f>
        <v>@Anhrefn26</v>
      </c>
      <c r="C24064" s="8" t="s">
        <v>1970</v>
      </c>
      <c r="D24064" s="8">
        <v>998</v>
      </c>
      <c r="E24064" s="8">
        <v>0</v>
      </c>
      <c r="F24064" s="8">
        <v>12</v>
      </c>
    </row>
    <row r="24065" spans="1:6" ht="12.75">
      <c r="A24065" s="8">
        <v>43893.583055555559</v>
      </c>
      <c r="B24065" s="8" t="str">
        <f>HYPERLINK("https://twitter.com/dedesule84","@dedesule84")</f>
        <v>@dedesule84</v>
      </c>
      <c r="C24065" s="8" t="s">
        <v>8901</v>
      </c>
      <c r="D24065" s="8">
        <v>109</v>
      </c>
      <c r="E24065" s="8">
        <v>0</v>
      </c>
      <c r="F24065" s="8">
        <v>177</v>
      </c>
    </row>
    <row r="24066" spans="1:6" ht="12.75">
      <c r="A24066" s="8">
        <v>43893.583043981482</v>
      </c>
      <c r="B24066" s="8" t="str">
        <f>HYPERLINK("https://twitter.com/ismuaza","@ismuaza")</f>
        <v>@ismuaza</v>
      </c>
      <c r="C24066" s="8" t="s">
        <v>7597</v>
      </c>
      <c r="D24066" s="8">
        <v>679</v>
      </c>
      <c r="E24066" s="8">
        <v>0</v>
      </c>
      <c r="F24066" s="8">
        <v>547</v>
      </c>
    </row>
    <row r="24067" spans="1:6" ht="12.75">
      <c r="A24067" s="8">
        <v>43893.582858796297</v>
      </c>
      <c r="B24067" s="8" t="str">
        <f>HYPERLINK("https://twitter.com/scottsdigital","@scottsdigital")</f>
        <v>@scottsdigital</v>
      </c>
      <c r="C24067" s="8" t="s">
        <v>9746</v>
      </c>
      <c r="D24067" s="8">
        <v>0</v>
      </c>
      <c r="E24067" s="8">
        <v>0</v>
      </c>
      <c r="F24067" s="8">
        <v>5770</v>
      </c>
    </row>
    <row r="24068" spans="1:6" ht="12.75">
      <c r="A24068" s="8">
        <v>43893.582824074074</v>
      </c>
      <c r="B24068" s="8" t="str">
        <f>HYPERLINK("https://twitter.com/ijoijokehijauan","@ijoijokehijauan")</f>
        <v>@ijoijokehijauan</v>
      </c>
      <c r="C24068" s="8" t="s">
        <v>1145</v>
      </c>
      <c r="D24068" s="8">
        <v>512</v>
      </c>
      <c r="E24068" s="8">
        <v>0</v>
      </c>
      <c r="F24068" s="8">
        <v>33</v>
      </c>
    </row>
    <row r="24069" spans="1:6" ht="12.75">
      <c r="A24069" s="8">
        <v>43893.582789351851</v>
      </c>
      <c r="B24069" s="8" t="str">
        <f>HYPERLINK("https://twitter.com/RomeskoP","@RomeskoP")</f>
        <v>@RomeskoP</v>
      </c>
      <c r="C24069" s="8" t="s">
        <v>8429</v>
      </c>
      <c r="D24069" s="8">
        <v>71</v>
      </c>
      <c r="E24069" s="8">
        <v>0</v>
      </c>
      <c r="F24069" s="8">
        <v>2721</v>
      </c>
    </row>
    <row r="24070" spans="1:6" ht="12.75">
      <c r="A24070" s="8">
        <v>43893.582766203705</v>
      </c>
      <c r="B24070" s="8" t="str">
        <f>HYPERLINK("https://twitter.com/andri_aditiya21","@andri_aditiya21")</f>
        <v>@andri_aditiya21</v>
      </c>
      <c r="C24070" s="8" t="s">
        <v>9744</v>
      </c>
      <c r="D24070" s="8">
        <v>0</v>
      </c>
      <c r="E24070" s="8">
        <v>0</v>
      </c>
      <c r="F24070" s="8">
        <v>13</v>
      </c>
    </row>
    <row r="24071" spans="1:6" ht="12.75">
      <c r="A24071" s="8">
        <v>43893.582719907412</v>
      </c>
      <c r="B24071" s="8" t="str">
        <f>HYPERLINK("https://twitter.com/YoyokSubandriy3","@YoyokSubandriy3")</f>
        <v>@YoyokSubandriy3</v>
      </c>
      <c r="C24071" s="8" t="s">
        <v>1427</v>
      </c>
      <c r="D24071" s="8">
        <v>899</v>
      </c>
      <c r="E24071" s="8">
        <v>0</v>
      </c>
      <c r="F24071" s="8">
        <v>1371</v>
      </c>
    </row>
    <row r="24072" spans="1:6" ht="12.75">
      <c r="A24072" s="8">
        <v>43893.582638888889</v>
      </c>
      <c r="B24072" s="8" t="str">
        <f>HYPERLINK("https://twitter.com/beautynesia_id","@beautynesia_id")</f>
        <v>@beautynesia_id</v>
      </c>
      <c r="C24072" s="8" t="s">
        <v>9747</v>
      </c>
      <c r="D24072" s="8">
        <v>0</v>
      </c>
      <c r="E24072" s="8">
        <v>0</v>
      </c>
      <c r="F24072" s="8">
        <v>3062</v>
      </c>
    </row>
    <row r="24073" spans="1:6" ht="12.75">
      <c r="A24073" s="8">
        <v>43893.582546296297</v>
      </c>
      <c r="B24073" s="8" t="str">
        <f>HYPERLINK("https://twitter.com/awkkanee","@awkkanee")</f>
        <v>@awkkanee</v>
      </c>
      <c r="C24073" s="8" t="s">
        <v>1970</v>
      </c>
      <c r="D24073" s="8">
        <v>998</v>
      </c>
      <c r="E24073" s="8">
        <v>0</v>
      </c>
      <c r="F24073" s="8">
        <v>52</v>
      </c>
    </row>
    <row r="24074" spans="1:6" ht="12.75">
      <c r="A24074" s="8">
        <v>43893.582534722227</v>
      </c>
      <c r="B24074" s="8" t="str">
        <f>HYPERLINK("https://twitter.com/belindch","@belindch")</f>
        <v>@belindch</v>
      </c>
      <c r="C24074" s="8" t="s">
        <v>9117</v>
      </c>
      <c r="D24074" s="8">
        <v>361</v>
      </c>
      <c r="E24074" s="8">
        <v>0</v>
      </c>
      <c r="F24074" s="8">
        <v>6464</v>
      </c>
    </row>
    <row r="24075" spans="1:6" ht="12.75">
      <c r="A24075" s="8">
        <v>43893.582500000004</v>
      </c>
      <c r="B24075" s="8" t="str">
        <f t="shared" ref="B24075:B24076" si="352">HYPERLINK("https://twitter.com/mediaindonesia","@mediaindonesia")</f>
        <v>@mediaindonesia</v>
      </c>
      <c r="C24075" s="8" t="s">
        <v>9748</v>
      </c>
      <c r="D24075" s="8">
        <v>0</v>
      </c>
      <c r="E24075" s="8">
        <v>0</v>
      </c>
      <c r="F24075" s="8">
        <v>1419910</v>
      </c>
    </row>
    <row r="24076" spans="1:6" ht="12.75">
      <c r="A24076" s="8">
        <v>43893.582442129627</v>
      </c>
      <c r="B24076" s="8" t="str">
        <f t="shared" si="352"/>
        <v>@mediaindonesia</v>
      </c>
      <c r="C24076" s="8" t="s">
        <v>9749</v>
      </c>
      <c r="D24076" s="8">
        <v>1</v>
      </c>
      <c r="E24076" s="8">
        <v>1</v>
      </c>
      <c r="F24076" s="8">
        <v>1419910</v>
      </c>
    </row>
    <row r="24077" spans="1:6" ht="12.75">
      <c r="A24077" s="8">
        <v>43893.582372685181</v>
      </c>
      <c r="B24077" s="8" t="str">
        <f>HYPERLINK("https://twitter.com/mariananybaho","@mariananybaho")</f>
        <v>@mariananybaho</v>
      </c>
      <c r="C24077" s="8" t="s">
        <v>2962</v>
      </c>
      <c r="D24077" s="8">
        <v>5456</v>
      </c>
      <c r="E24077" s="8">
        <v>0</v>
      </c>
      <c r="F24077" s="8">
        <v>433</v>
      </c>
    </row>
    <row r="24078" spans="1:6" ht="12.75">
      <c r="A24078" s="8">
        <v>43893.582187499997</v>
      </c>
      <c r="B24078" s="8" t="str">
        <f>HYPERLINK("https://twitter.com/angenbagas","@angenbagas")</f>
        <v>@angenbagas</v>
      </c>
      <c r="C24078" s="8" t="s">
        <v>9300</v>
      </c>
      <c r="D24078" s="8">
        <v>206</v>
      </c>
      <c r="E24078" s="8">
        <v>0</v>
      </c>
      <c r="F24078" s="8">
        <v>209</v>
      </c>
    </row>
    <row r="24079" spans="1:6" ht="12.75">
      <c r="A24079" s="8">
        <v>43893.58211805555</v>
      </c>
      <c r="B24079" s="8" t="str">
        <f>HYPERLINK("https://twitter.com/JanggutMbah","@JanggutMbah")</f>
        <v>@JanggutMbah</v>
      </c>
      <c r="C24079" s="8" t="s">
        <v>9541</v>
      </c>
      <c r="D24079" s="8">
        <v>8</v>
      </c>
      <c r="E24079" s="8">
        <v>0</v>
      </c>
      <c r="F24079" s="8">
        <v>2414</v>
      </c>
    </row>
    <row r="24080" spans="1:6" ht="12.75">
      <c r="A24080" s="8">
        <v>43893.548483796301</v>
      </c>
      <c r="B24080" s="8" t="str">
        <f>HYPERLINK("https://twitter.com/GocekanKenceng","@GocekanKenceng")</f>
        <v>@GocekanKenceng</v>
      </c>
      <c r="C24080" s="8" t="s">
        <v>1145</v>
      </c>
      <c r="D24080" s="8">
        <v>510</v>
      </c>
      <c r="E24080" s="8">
        <v>0</v>
      </c>
      <c r="F24080" s="8">
        <v>236</v>
      </c>
    </row>
    <row r="24081" spans="1:6" ht="12.75">
      <c r="A24081" s="8">
        <v>43893.548437500001</v>
      </c>
      <c r="B24081" s="8" t="str">
        <f>HYPERLINK("https://twitter.com/DavidRuslie8","@DavidRuslie8")</f>
        <v>@DavidRuslie8</v>
      </c>
      <c r="C24081" s="8" t="s">
        <v>9088</v>
      </c>
      <c r="D24081" s="8">
        <v>24</v>
      </c>
      <c r="E24081" s="8">
        <v>0</v>
      </c>
      <c r="F24081" s="8">
        <v>934</v>
      </c>
    </row>
    <row r="24082" spans="1:6" ht="12.75">
      <c r="A24082" s="8">
        <v>43893.548263888893</v>
      </c>
      <c r="B24082" s="8" t="str">
        <f>HYPERLINK("https://twitter.com/Topanirfan08","@Topanirfan08")</f>
        <v>@Topanirfan08</v>
      </c>
      <c r="C24082" s="8" t="s">
        <v>7597</v>
      </c>
      <c r="D24082" s="8">
        <v>672</v>
      </c>
      <c r="E24082" s="8">
        <v>0</v>
      </c>
      <c r="F24082" s="8">
        <v>374</v>
      </c>
    </row>
    <row r="24083" spans="1:6" ht="12.75">
      <c r="A24083" s="8">
        <v>43893.54824074074</v>
      </c>
      <c r="B24083" s="8" t="str">
        <f>HYPERLINK("https://twitter.com/7int4Putih","@7int4Putih")</f>
        <v>@7int4Putih</v>
      </c>
      <c r="C24083" s="8" t="s">
        <v>8429</v>
      </c>
      <c r="D24083" s="8">
        <v>51</v>
      </c>
      <c r="E24083" s="8">
        <v>0</v>
      </c>
      <c r="F24083" s="8">
        <v>1196</v>
      </c>
    </row>
    <row r="24084" spans="1:6" ht="12.75">
      <c r="A24084" s="8">
        <v>43893.548194444447</v>
      </c>
      <c r="B24084" s="8" t="str">
        <f>HYPERLINK("https://twitter.com/dumplingkisses","@dumplingkisses")</f>
        <v>@dumplingkisses</v>
      </c>
      <c r="C24084" s="8" t="s">
        <v>1145</v>
      </c>
      <c r="D24084" s="8">
        <v>510</v>
      </c>
      <c r="E24084" s="8">
        <v>0</v>
      </c>
      <c r="F24084" s="8">
        <v>148</v>
      </c>
    </row>
    <row r="24085" spans="1:6" ht="12.75">
      <c r="A24085" s="8">
        <v>43893.548090277778</v>
      </c>
      <c r="B24085" s="8" t="str">
        <f>HYPERLINK("https://twitter.com/33_gaganalgarni","@33_gaganalgarni")</f>
        <v>@33_gaganalgarni</v>
      </c>
      <c r="C24085" s="8" t="s">
        <v>9750</v>
      </c>
      <c r="D24085" s="8">
        <v>22</v>
      </c>
      <c r="E24085" s="8">
        <v>0</v>
      </c>
      <c r="F24085" s="8">
        <v>540</v>
      </c>
    </row>
    <row r="24086" spans="1:6" ht="12.75">
      <c r="A24086" s="8">
        <v>43893.547743055555</v>
      </c>
      <c r="B24086" s="8" t="str">
        <f>HYPERLINK("https://twitter.com/DwiAgungSusilo3","@DwiAgungSusilo3")</f>
        <v>@DwiAgungSusilo3</v>
      </c>
      <c r="C24086" s="8" t="s">
        <v>6862</v>
      </c>
      <c r="D24086" s="8">
        <v>58</v>
      </c>
      <c r="E24086" s="8">
        <v>0</v>
      </c>
      <c r="F24086" s="8">
        <v>33</v>
      </c>
    </row>
    <row r="24087" spans="1:6" ht="12.75">
      <c r="A24087" s="8">
        <v>43893.547719907408</v>
      </c>
      <c r="B24087" s="8" t="str">
        <f>HYPERLINK("https://twitter.com/putrasinvlingga","@putrasinvlingga")</f>
        <v>@putrasinvlingga</v>
      </c>
      <c r="C24087" s="8" t="s">
        <v>2962</v>
      </c>
      <c r="D24087" s="8">
        <v>5412</v>
      </c>
      <c r="E24087" s="8">
        <v>0</v>
      </c>
      <c r="F24087" s="8">
        <v>247</v>
      </c>
    </row>
    <row r="24088" spans="1:6" ht="12.75">
      <c r="A24088" s="8">
        <v>43893.547662037032</v>
      </c>
      <c r="B24088" s="8" t="str">
        <f>HYPERLINK("https://twitter.com/starxlette","@starxlette")</f>
        <v>@starxlette</v>
      </c>
      <c r="C24088" s="8" t="s">
        <v>2199</v>
      </c>
      <c r="D24088" s="8">
        <v>8892</v>
      </c>
      <c r="E24088" s="8">
        <v>0</v>
      </c>
      <c r="F24088" s="8">
        <v>9</v>
      </c>
    </row>
    <row r="24089" spans="1:6" ht="12.75">
      <c r="A24089" s="8">
        <v>43893.547650462962</v>
      </c>
      <c r="B24089" s="8" t="str">
        <f>HYPERLINK("https://twitter.com/wayanisme_","@wayanisme_")</f>
        <v>@wayanisme_</v>
      </c>
      <c r="C24089" s="8" t="s">
        <v>1970</v>
      </c>
      <c r="D24089" s="8">
        <v>945</v>
      </c>
      <c r="E24089" s="8">
        <v>0</v>
      </c>
      <c r="F24089" s="8">
        <v>249</v>
      </c>
    </row>
    <row r="24090" spans="1:6" ht="12.75">
      <c r="A24090" s="8">
        <v>43893.547627314816</v>
      </c>
      <c r="B24090" s="8" t="str">
        <f>HYPERLINK("https://twitter.com/cigarexbro","@cigarexbro")</f>
        <v>@cigarexbro</v>
      </c>
      <c r="C24090" s="8" t="s">
        <v>4477</v>
      </c>
      <c r="D24090" s="8">
        <v>1140</v>
      </c>
      <c r="E24090" s="8">
        <v>0</v>
      </c>
      <c r="F24090" s="8">
        <v>1175</v>
      </c>
    </row>
    <row r="24091" spans="1:6" ht="12.75">
      <c r="A24091" s="8">
        <v>43893.547523148147</v>
      </c>
      <c r="B24091" s="8" t="str">
        <f>HYPERLINK("https://twitter.com/audsov","@audsov")</f>
        <v>@audsov</v>
      </c>
      <c r="C24091" s="8" t="s">
        <v>1986</v>
      </c>
      <c r="D24091" s="8">
        <v>778</v>
      </c>
      <c r="E24091" s="8">
        <v>0</v>
      </c>
      <c r="F24091" s="8">
        <v>396</v>
      </c>
    </row>
    <row r="24092" spans="1:6" ht="12.75">
      <c r="A24092" s="8">
        <v>43893.547476851847</v>
      </c>
      <c r="B24092" s="8" t="str">
        <f>HYPERLINK("https://twitter.com/yellow_nigga","@yellow_nigga")</f>
        <v>@yellow_nigga</v>
      </c>
      <c r="C24092" s="8" t="s">
        <v>9146</v>
      </c>
      <c r="D24092" s="8">
        <v>37</v>
      </c>
      <c r="E24092" s="8">
        <v>0</v>
      </c>
      <c r="F24092" s="8">
        <v>499</v>
      </c>
    </row>
    <row r="24093" spans="1:6" ht="12.75">
      <c r="A24093" s="8">
        <v>43893.547407407408</v>
      </c>
      <c r="B24093" s="8" t="str">
        <f>HYPERLINK("https://twitter.com/Ajiiw_","@Ajiiw_")</f>
        <v>@Ajiiw_</v>
      </c>
      <c r="C24093" s="8" t="s">
        <v>2962</v>
      </c>
      <c r="D24093" s="8">
        <v>5412</v>
      </c>
      <c r="E24093" s="8">
        <v>0</v>
      </c>
      <c r="F24093" s="8">
        <v>7</v>
      </c>
    </row>
    <row r="24094" spans="1:6" ht="12.75">
      <c r="A24094" s="8">
        <v>43893.547337962962</v>
      </c>
      <c r="B24094" s="8" t="str">
        <f>HYPERLINK("https://twitter.com/Topanirfan08","@Topanirfan08")</f>
        <v>@Topanirfan08</v>
      </c>
      <c r="C24094" s="8" t="s">
        <v>6832</v>
      </c>
      <c r="D24094" s="8">
        <v>1008</v>
      </c>
      <c r="E24094" s="8">
        <v>0</v>
      </c>
      <c r="F24094" s="8">
        <v>374</v>
      </c>
    </row>
    <row r="24095" spans="1:6" ht="12.75">
      <c r="A24095" s="8">
        <v>43893.5472337963</v>
      </c>
      <c r="B24095" s="8" t="str">
        <f>HYPERLINK("https://twitter.com/kerenelsharon","@kerenelsharon")</f>
        <v>@kerenelsharon</v>
      </c>
      <c r="C24095" s="8" t="s">
        <v>1986</v>
      </c>
      <c r="D24095" s="8">
        <v>778</v>
      </c>
      <c r="E24095" s="8">
        <v>0</v>
      </c>
      <c r="F24095" s="8">
        <v>2741</v>
      </c>
    </row>
    <row r="24096" spans="1:6" ht="12.75">
      <c r="A24096" s="8">
        <v>43893.547118055554</v>
      </c>
      <c r="B24096" s="8" t="str">
        <f>HYPERLINK("https://twitter.com/GhifariAlbar","@GhifariAlbar")</f>
        <v>@GhifariAlbar</v>
      </c>
      <c r="C24096" s="8" t="s">
        <v>9628</v>
      </c>
      <c r="D24096" s="8">
        <v>260</v>
      </c>
      <c r="E24096" s="8">
        <v>0</v>
      </c>
      <c r="F24096" s="8">
        <v>513</v>
      </c>
    </row>
    <row r="24097" spans="1:6" ht="12.75">
      <c r="A24097" s="8">
        <v>43893.547048611115</v>
      </c>
      <c r="B24097" s="8" t="str">
        <f>HYPERLINK("https://twitter.com/piyuria_","@piyuria_")</f>
        <v>@piyuria_</v>
      </c>
      <c r="C24097" s="8" t="s">
        <v>2962</v>
      </c>
      <c r="D24097" s="8">
        <v>5412</v>
      </c>
      <c r="E24097" s="8">
        <v>0</v>
      </c>
      <c r="F24097" s="8">
        <v>2</v>
      </c>
    </row>
    <row r="24098" spans="1:6" ht="12.75">
      <c r="A24098" s="8">
        <v>43893.547048611115</v>
      </c>
      <c r="B24098" s="8" t="str">
        <f>HYPERLINK("https://twitter.com/prasojo_jamin","@prasojo_jamin")</f>
        <v>@prasojo_jamin</v>
      </c>
      <c r="C24098" s="8" t="s">
        <v>9751</v>
      </c>
      <c r="D24098" s="8">
        <v>0</v>
      </c>
      <c r="E24098" s="8">
        <v>0</v>
      </c>
      <c r="F24098" s="8">
        <v>89</v>
      </c>
    </row>
    <row r="24099" spans="1:6" ht="12.75">
      <c r="A24099" s="8">
        <v>43893.546828703707</v>
      </c>
      <c r="B24099" s="8" t="str">
        <f>HYPERLINK("https://twitter.com/kampreet_ngimpi","@kampreet_ngimpi")</f>
        <v>@kampreet_ngimpi</v>
      </c>
      <c r="C24099" s="8" t="s">
        <v>685</v>
      </c>
      <c r="D24099" s="8">
        <v>15</v>
      </c>
      <c r="E24099" s="8">
        <v>0</v>
      </c>
      <c r="F24099" s="8">
        <v>9</v>
      </c>
    </row>
    <row r="24100" spans="1:6" ht="12.75">
      <c r="A24100" s="8">
        <v>43893.546712962961</v>
      </c>
      <c r="B24100" s="8" t="str">
        <f>HYPERLINK("https://twitter.com/ffalasifah","@ffalasifah")</f>
        <v>@ffalasifah</v>
      </c>
      <c r="C24100" s="8" t="s">
        <v>8776</v>
      </c>
      <c r="D24100" s="8">
        <v>189</v>
      </c>
      <c r="E24100" s="8">
        <v>0</v>
      </c>
      <c r="F24100" s="8">
        <v>315</v>
      </c>
    </row>
    <row r="24101" spans="1:6" ht="12.75">
      <c r="A24101" s="8">
        <v>43893.546701388885</v>
      </c>
      <c r="B24101" s="8" t="str">
        <f>HYPERLINK("https://twitter.com/aldyazhry12","@aldyazhry12")</f>
        <v>@aldyazhry12</v>
      </c>
      <c r="C24101" s="8" t="s">
        <v>9207</v>
      </c>
      <c r="D24101" s="8">
        <v>128</v>
      </c>
      <c r="E24101" s="8">
        <v>0</v>
      </c>
      <c r="F24101" s="8">
        <v>235</v>
      </c>
    </row>
    <row r="24102" spans="1:6" ht="12.75">
      <c r="A24102" s="8">
        <v>43893.546666666662</v>
      </c>
      <c r="B24102" s="8" t="str">
        <f>HYPERLINK("https://twitter.com/afif_milanisti","@afif_milanisti")</f>
        <v>@afif_milanisti</v>
      </c>
      <c r="C24102" s="8" t="s">
        <v>6832</v>
      </c>
      <c r="D24102" s="8">
        <v>1008</v>
      </c>
      <c r="E24102" s="8">
        <v>0</v>
      </c>
      <c r="F24102" s="8">
        <v>309</v>
      </c>
    </row>
    <row r="24103" spans="1:6" ht="12.75">
      <c r="A24103" s="8">
        <v>43893.546585648146</v>
      </c>
      <c r="B24103" s="8" t="str">
        <f>HYPERLINK("https://twitter.com/Muhamad09147404","@Muhamad09147404")</f>
        <v>@Muhamad09147404</v>
      </c>
      <c r="C24103" s="8" t="s">
        <v>9752</v>
      </c>
      <c r="D24103" s="8">
        <v>4</v>
      </c>
      <c r="E24103" s="8">
        <v>0</v>
      </c>
      <c r="F24103" s="8">
        <v>670</v>
      </c>
    </row>
    <row r="24104" spans="1:6" ht="12.75">
      <c r="A24104" s="8">
        <v>43893.5465625</v>
      </c>
      <c r="B24104" s="8" t="str">
        <f>HYPERLINK("https://twitter.com/J4g4lilin","@J4g4lilin")</f>
        <v>@J4g4lilin</v>
      </c>
      <c r="C24104" s="8" t="s">
        <v>1427</v>
      </c>
      <c r="D24104" s="8">
        <v>877</v>
      </c>
      <c r="E24104" s="8">
        <v>0</v>
      </c>
      <c r="F24104" s="8">
        <v>8</v>
      </c>
    </row>
    <row r="24105" spans="1:6" ht="12.75">
      <c r="A24105" s="8">
        <v>43893.546550925923</v>
      </c>
      <c r="B24105" s="8" t="str">
        <f>HYPERLINK("https://twitter.com/saddamwhb","@saddamwhb")</f>
        <v>@saddamwhb</v>
      </c>
      <c r="C24105" s="8" t="s">
        <v>1621</v>
      </c>
      <c r="D24105" s="8">
        <v>25</v>
      </c>
      <c r="E24105" s="8">
        <v>0</v>
      </c>
      <c r="F24105" s="8">
        <v>838</v>
      </c>
    </row>
    <row r="24106" spans="1:6" ht="12.75">
      <c r="A24106" s="8">
        <v>43893.54650462963</v>
      </c>
      <c r="B24106" s="8" t="str">
        <f>HYPERLINK("https://twitter.com/cutiepityy","@cutiepityy")</f>
        <v>@cutiepityy</v>
      </c>
      <c r="C24106" s="8" t="s">
        <v>9128</v>
      </c>
      <c r="D24106" s="8">
        <v>135</v>
      </c>
      <c r="E24106" s="8">
        <v>0</v>
      </c>
      <c r="F24106" s="8">
        <v>34</v>
      </c>
    </row>
    <row r="24107" spans="1:6" ht="12.75">
      <c r="A24107" s="8">
        <v>43893.546458333338</v>
      </c>
      <c r="B24107" s="8" t="str">
        <f>HYPERLINK("https://twitter.com/sukatanyaj","@sukatanyaj")</f>
        <v>@sukatanyaj</v>
      </c>
      <c r="C24107" s="8" t="s">
        <v>8686</v>
      </c>
      <c r="D24107" s="8">
        <v>2</v>
      </c>
      <c r="E24107" s="8">
        <v>0</v>
      </c>
      <c r="F24107" s="8">
        <v>5689</v>
      </c>
    </row>
    <row r="24108" spans="1:6" ht="12.75">
      <c r="A24108" s="8">
        <v>43893.546180555553</v>
      </c>
      <c r="B24108" s="8" t="str">
        <f>HYPERLINK("https://twitter.com/potato_yiy","@potato_yiy")</f>
        <v>@potato_yiy</v>
      </c>
      <c r="C24108" s="8" t="s">
        <v>9295</v>
      </c>
      <c r="D24108" s="8">
        <v>236</v>
      </c>
      <c r="E24108" s="8">
        <v>0</v>
      </c>
      <c r="F24108" s="8">
        <v>978</v>
      </c>
    </row>
    <row r="24109" spans="1:6" ht="12.75">
      <c r="A24109" s="8">
        <v>43893.545995370368</v>
      </c>
      <c r="B24109" s="8" t="str">
        <f>HYPERLINK("https://twitter.com/Airin_NZ","@Airin_NZ")</f>
        <v>@Airin_NZ</v>
      </c>
      <c r="C24109" s="8" t="s">
        <v>685</v>
      </c>
      <c r="D24109" s="8">
        <v>15</v>
      </c>
      <c r="E24109" s="8">
        <v>0</v>
      </c>
      <c r="F24109" s="8">
        <v>54384</v>
      </c>
    </row>
    <row r="24110" spans="1:6" ht="12.75">
      <c r="A24110" s="8">
        <v>43893.545995370368</v>
      </c>
      <c r="B24110" s="8" t="str">
        <f>HYPERLINK("https://twitter.com/GajahNata","@GajahNata")</f>
        <v>@GajahNata</v>
      </c>
      <c r="C24110" s="8" t="s">
        <v>8686</v>
      </c>
      <c r="D24110" s="8">
        <v>2</v>
      </c>
      <c r="E24110" s="8">
        <v>0</v>
      </c>
      <c r="F24110" s="8">
        <v>1227</v>
      </c>
    </row>
    <row r="24111" spans="1:6" ht="12.75">
      <c r="A24111" s="8">
        <v>43893.545914351853</v>
      </c>
      <c r="B24111" s="8" t="str">
        <f>HYPERLINK("https://twitter.com/RiastLaili","@RiastLaili")</f>
        <v>@RiastLaili</v>
      </c>
      <c r="C24111" s="8" t="s">
        <v>9295</v>
      </c>
      <c r="D24111" s="8">
        <v>236</v>
      </c>
      <c r="E24111" s="8">
        <v>0</v>
      </c>
      <c r="F24111" s="8">
        <v>982</v>
      </c>
    </row>
    <row r="24112" spans="1:6" ht="12.75">
      <c r="A24112" s="8">
        <v>43893.545891203699</v>
      </c>
      <c r="B24112" s="8" t="str">
        <f>HYPERLINK("https://twitter.com/scottsdigital","@scottsdigital")</f>
        <v>@scottsdigital</v>
      </c>
      <c r="C24112" s="8" t="s">
        <v>9753</v>
      </c>
      <c r="D24112" s="8">
        <v>0</v>
      </c>
      <c r="E24112" s="8">
        <v>0</v>
      </c>
      <c r="F24112" s="8">
        <v>5769</v>
      </c>
    </row>
    <row r="24113" spans="1:6" ht="12.75">
      <c r="A24113" s="8">
        <v>43893.545798611114</v>
      </c>
      <c r="B24113" s="8" t="str">
        <f>HYPERLINK("https://twitter.com/ganiabd32363877","@ganiabd32363877")</f>
        <v>@ganiabd32363877</v>
      </c>
      <c r="C24113" s="8" t="s">
        <v>9754</v>
      </c>
      <c r="D24113" s="8">
        <v>0</v>
      </c>
      <c r="E24113" s="8">
        <v>0</v>
      </c>
      <c r="F24113" s="8">
        <v>196</v>
      </c>
    </row>
    <row r="24114" spans="1:6" ht="12.75">
      <c r="A24114" s="8">
        <v>43893.545636574076</v>
      </c>
      <c r="B24114" s="8" t="str">
        <f>HYPERLINK("https://twitter.com/Bonndov","@Bonndov")</f>
        <v>@Bonndov</v>
      </c>
      <c r="C24114" s="8" t="s">
        <v>685</v>
      </c>
      <c r="D24114" s="8">
        <v>15</v>
      </c>
      <c r="E24114" s="8">
        <v>0</v>
      </c>
      <c r="F24114" s="8">
        <v>552</v>
      </c>
    </row>
    <row r="24115" spans="1:6" ht="12.75">
      <c r="A24115" s="8">
        <v>43893.545636574076</v>
      </c>
      <c r="B24115" s="8" t="str">
        <f>HYPERLINK("https://twitter.com/adc1408","@adc1408")</f>
        <v>@adc1408</v>
      </c>
      <c r="C24115" s="8" t="s">
        <v>9541</v>
      </c>
      <c r="D24115" s="8">
        <v>1</v>
      </c>
      <c r="E24115" s="8">
        <v>0</v>
      </c>
      <c r="F24115" s="8">
        <v>92</v>
      </c>
    </row>
    <row r="24116" spans="1:6" ht="12.75">
      <c r="A24116" s="8">
        <v>43893.545451388884</v>
      </c>
      <c r="B24116" s="8" t="str">
        <f>HYPERLINK("https://twitter.com/qorynf","@qorynf")</f>
        <v>@qorynf</v>
      </c>
      <c r="C24116" s="8" t="s">
        <v>9755</v>
      </c>
      <c r="D24116" s="8">
        <v>1</v>
      </c>
      <c r="E24116" s="8">
        <v>0</v>
      </c>
      <c r="F24116" s="8">
        <v>465</v>
      </c>
    </row>
    <row r="24117" spans="1:6" ht="12.75">
      <c r="A24117" s="8">
        <v>43893.545358796298</v>
      </c>
      <c r="B24117" s="8" t="str">
        <f>HYPERLINK("https://twitter.com/arwidodo","@arwidodo")</f>
        <v>@arwidodo</v>
      </c>
      <c r="C24117" s="8" t="s">
        <v>9756</v>
      </c>
      <c r="D24117" s="8">
        <v>2</v>
      </c>
      <c r="E24117" s="8">
        <v>3</v>
      </c>
      <c r="F24117" s="8">
        <v>35265</v>
      </c>
    </row>
    <row r="24118" spans="1:6" ht="12.75">
      <c r="A24118" s="8">
        <v>43893.545277777783</v>
      </c>
      <c r="B24118" s="8" t="str">
        <f>HYPERLINK("https://twitter.com/omaknoang","@omaknoang")</f>
        <v>@omaknoang</v>
      </c>
      <c r="C24118" s="8" t="s">
        <v>1970</v>
      </c>
      <c r="D24118" s="8">
        <v>945</v>
      </c>
      <c r="E24118" s="8">
        <v>0</v>
      </c>
      <c r="F24118" s="8">
        <v>309</v>
      </c>
    </row>
    <row r="24119" spans="1:6" ht="12.75">
      <c r="A24119" s="8">
        <v>43893.545173611114</v>
      </c>
      <c r="B24119" s="8" t="str">
        <f>HYPERLINK("https://twitter.com/tvOneNews","@tvOneNews")</f>
        <v>@tvOneNews</v>
      </c>
      <c r="C24119" s="8" t="s">
        <v>9547</v>
      </c>
      <c r="D24119" s="8">
        <v>1</v>
      </c>
      <c r="E24119" s="8">
        <v>1</v>
      </c>
      <c r="F24119" s="8">
        <v>8726565</v>
      </c>
    </row>
    <row r="24120" spans="1:6" ht="12.75">
      <c r="A24120" s="8">
        <v>43893.545115740737</v>
      </c>
      <c r="B24120" s="8" t="str">
        <f>HYPERLINK("https://twitter.com/arm4di0n","@arm4di0n")</f>
        <v>@arm4di0n</v>
      </c>
      <c r="C24120" s="8" t="s">
        <v>7597</v>
      </c>
      <c r="D24120" s="8">
        <v>672</v>
      </c>
      <c r="E24120" s="8">
        <v>0</v>
      </c>
      <c r="F24120" s="8">
        <v>574</v>
      </c>
    </row>
    <row r="24121" spans="1:6" ht="12.75">
      <c r="A24121" s="8">
        <v>43893.545115740737</v>
      </c>
      <c r="B24121" s="8" t="str">
        <f>HYPERLINK("https://twitter.com/3kingd0m","@3kingd0m")</f>
        <v>@3kingd0m</v>
      </c>
      <c r="C24121" s="8" t="s">
        <v>685</v>
      </c>
      <c r="D24121" s="8">
        <v>15</v>
      </c>
      <c r="E24121" s="8">
        <v>0</v>
      </c>
      <c r="F24121" s="8">
        <v>559</v>
      </c>
    </row>
    <row r="24122" spans="1:6" ht="12.75">
      <c r="A24122" s="8">
        <v>43893.545081018514</v>
      </c>
      <c r="B24122" s="8" t="str">
        <f>HYPERLINK("https://twitter.com/Abdulla39860063","@Abdulla39860063")</f>
        <v>@Abdulla39860063</v>
      </c>
      <c r="C24122" s="8" t="s">
        <v>685</v>
      </c>
      <c r="D24122" s="8">
        <v>15</v>
      </c>
      <c r="E24122" s="8">
        <v>0</v>
      </c>
      <c r="F24122" s="8">
        <v>29</v>
      </c>
    </row>
    <row r="24123" spans="1:6" ht="12.75">
      <c r="A24123" s="8">
        <v>43893.545081018514</v>
      </c>
      <c r="B24123" s="8" t="str">
        <f>HYPERLINK("https://twitter.com/devins94","@devins94")</f>
        <v>@devins94</v>
      </c>
      <c r="C24123" s="8" t="s">
        <v>2199</v>
      </c>
      <c r="D24123" s="8">
        <v>8892</v>
      </c>
      <c r="E24123" s="8">
        <v>0</v>
      </c>
      <c r="F24123" s="8">
        <v>70</v>
      </c>
    </row>
    <row r="24124" spans="1:6" ht="12.75">
      <c r="A24124" s="8">
        <v>43893.545011574075</v>
      </c>
      <c r="B24124" s="8" t="str">
        <f>HYPERLINK("https://twitter.com/josua_mahadan","@josua_mahadan")</f>
        <v>@josua_mahadan</v>
      </c>
      <c r="C24124" s="8" t="s">
        <v>2199</v>
      </c>
      <c r="D24124" s="8">
        <v>8892</v>
      </c>
      <c r="E24124" s="8">
        <v>0</v>
      </c>
      <c r="F24124" s="8">
        <v>33</v>
      </c>
    </row>
    <row r="24125" spans="1:6" ht="12.75">
      <c r="A24125" s="8">
        <v>43893.544988425929</v>
      </c>
      <c r="B24125" s="8" t="str">
        <f>HYPERLINK("https://twitter.com/liztomania_m","@liztomania_m")</f>
        <v>@liztomania_m</v>
      </c>
      <c r="C24125" s="8" t="s">
        <v>3042</v>
      </c>
      <c r="D24125" s="8">
        <v>19</v>
      </c>
      <c r="E24125" s="8">
        <v>0</v>
      </c>
      <c r="F24125" s="8">
        <v>14</v>
      </c>
    </row>
    <row r="24126" spans="1:6" ht="12.75">
      <c r="A24126" s="8">
        <v>43893.544976851852</v>
      </c>
      <c r="B24126" s="8" t="str">
        <f>HYPERLINK("https://twitter.com/Muhamad09147404","@Muhamad09147404")</f>
        <v>@Muhamad09147404</v>
      </c>
      <c r="C24126" s="8" t="s">
        <v>9574</v>
      </c>
      <c r="D24126" s="8">
        <v>76</v>
      </c>
      <c r="E24126" s="8">
        <v>0</v>
      </c>
      <c r="F24126" s="8">
        <v>670</v>
      </c>
    </row>
    <row r="24127" spans="1:6" ht="12.75">
      <c r="A24127" s="8">
        <v>43893.544930555552</v>
      </c>
      <c r="B24127" s="8" t="str">
        <f>HYPERLINK("https://twitter.com/ebi_ura","@ebi_ura")</f>
        <v>@ebi_ura</v>
      </c>
      <c r="C24127" s="8" t="s">
        <v>1970</v>
      </c>
      <c r="D24127" s="8">
        <v>945</v>
      </c>
      <c r="E24127" s="8">
        <v>0</v>
      </c>
      <c r="F24127" s="8">
        <v>191</v>
      </c>
    </row>
    <row r="24128" spans="1:6" ht="12.75">
      <c r="A24128" s="8">
        <v>43893.544918981483</v>
      </c>
      <c r="B24128" s="8" t="str">
        <f>HYPERLINK("https://twitter.com/ChusnulCh__","@ChusnulCh__")</f>
        <v>@ChusnulCh__</v>
      </c>
      <c r="C24128" s="8" t="s">
        <v>685</v>
      </c>
      <c r="D24128" s="8">
        <v>15</v>
      </c>
      <c r="E24128" s="8">
        <v>0</v>
      </c>
      <c r="F24128" s="8">
        <v>65210</v>
      </c>
    </row>
    <row r="24129" spans="1:6" ht="12.75">
      <c r="A24129" s="8">
        <v>43893.544895833329</v>
      </c>
      <c r="B24129" s="8" t="str">
        <f>HYPERLINK("https://twitter.com/Agunezu","@Agunezu")</f>
        <v>@Agunezu</v>
      </c>
      <c r="C24129" s="8" t="s">
        <v>1427</v>
      </c>
      <c r="D24129" s="8">
        <v>877</v>
      </c>
      <c r="E24129" s="8">
        <v>0</v>
      </c>
      <c r="F24129" s="8">
        <v>207</v>
      </c>
    </row>
    <row r="24130" spans="1:6" ht="12.75">
      <c r="A24130" s="8">
        <v>43893.544814814813</v>
      </c>
      <c r="B24130" s="8" t="str">
        <f>HYPERLINK("https://twitter.com/kompascom","@kompascom")</f>
        <v>@kompascom</v>
      </c>
      <c r="C24130" s="8" t="s">
        <v>9757</v>
      </c>
      <c r="D24130" s="8">
        <v>0</v>
      </c>
      <c r="E24130" s="8">
        <v>4</v>
      </c>
      <c r="F24130" s="8">
        <v>7525195</v>
      </c>
    </row>
    <row r="24131" spans="1:6" ht="12.75">
      <c r="A24131" s="8">
        <v>43893.54478009259</v>
      </c>
      <c r="B24131" s="8" t="str">
        <f>HYPERLINK("https://twitter.com/X_SamURay63","@X_SamURay63")</f>
        <v>@X_SamURay63</v>
      </c>
      <c r="C24131" s="8" t="s">
        <v>8901</v>
      </c>
      <c r="D24131" s="8">
        <v>88</v>
      </c>
      <c r="E24131" s="8">
        <v>0</v>
      </c>
      <c r="F24131" s="8">
        <v>3915</v>
      </c>
    </row>
    <row r="24132" spans="1:6" ht="12.75">
      <c r="A24132" s="8">
        <v>43893.544768518521</v>
      </c>
      <c r="B24132" s="8" t="str">
        <f>HYPERLINK("https://twitter.com/ankszm","@ankszm")</f>
        <v>@ankszm</v>
      </c>
      <c r="C24132" s="8" t="s">
        <v>8901</v>
      </c>
      <c r="D24132" s="8">
        <v>88</v>
      </c>
      <c r="E24132" s="8">
        <v>0</v>
      </c>
      <c r="F24132" s="8">
        <v>446</v>
      </c>
    </row>
    <row r="24133" spans="1:6" ht="12.75">
      <c r="A24133" s="8">
        <v>43893.544756944444</v>
      </c>
      <c r="B24133" s="8" t="str">
        <f>HYPERLINK("https://twitter.com/Afifahayuh","@Afifahayuh")</f>
        <v>@Afifahayuh</v>
      </c>
      <c r="C24133" s="8" t="s">
        <v>2962</v>
      </c>
      <c r="D24133" s="8">
        <v>5412</v>
      </c>
      <c r="E24133" s="8">
        <v>0</v>
      </c>
      <c r="F24133" s="8">
        <v>533</v>
      </c>
    </row>
    <row r="24134" spans="1:6" ht="12.75">
      <c r="A24134" s="8">
        <v>43893.544756944444</v>
      </c>
      <c r="B24134" s="8" t="str">
        <f>HYPERLINK("https://twitter.com/tikaw_","@tikaw_")</f>
        <v>@tikaw_</v>
      </c>
      <c r="C24134" s="8" t="s">
        <v>1427</v>
      </c>
      <c r="D24134" s="8">
        <v>877</v>
      </c>
      <c r="E24134" s="8">
        <v>0</v>
      </c>
      <c r="F24134" s="8">
        <v>496</v>
      </c>
    </row>
    <row r="24135" spans="1:6" ht="12.75">
      <c r="A24135" s="8">
        <v>43893.544675925921</v>
      </c>
      <c r="B24135" s="8" t="str">
        <f>HYPERLINK("https://twitter.com/anjares90","@anjares90")</f>
        <v>@anjares90</v>
      </c>
      <c r="C24135" s="8" t="s">
        <v>8963</v>
      </c>
      <c r="D24135" s="8">
        <v>115</v>
      </c>
      <c r="E24135" s="8">
        <v>0</v>
      </c>
      <c r="F24135" s="8">
        <v>674</v>
      </c>
    </row>
    <row r="24136" spans="1:6" ht="12.75">
      <c r="A24136" s="8">
        <v>43893.544618055559</v>
      </c>
      <c r="B24136" s="8" t="str">
        <f>HYPERLINK("https://twitter.com/Yoenan5","@Yoenan5")</f>
        <v>@Yoenan5</v>
      </c>
      <c r="C24136" s="8" t="s">
        <v>2962</v>
      </c>
      <c r="D24136" s="8">
        <v>5412</v>
      </c>
      <c r="E24136" s="8">
        <v>0</v>
      </c>
      <c r="F24136" s="8">
        <v>377</v>
      </c>
    </row>
    <row r="24137" spans="1:6" ht="12.75">
      <c r="A24137" s="8">
        <v>43893.544618055559</v>
      </c>
      <c r="B24137" s="8" t="str">
        <f>HYPERLINK("https://twitter.com/aliJunnot","@aliJunnot")</f>
        <v>@aliJunnot</v>
      </c>
      <c r="C24137" s="8" t="s">
        <v>8155</v>
      </c>
      <c r="D24137" s="8">
        <v>22</v>
      </c>
      <c r="E24137" s="8">
        <v>0</v>
      </c>
      <c r="F24137" s="8">
        <v>270</v>
      </c>
    </row>
    <row r="24138" spans="1:6" ht="12.75">
      <c r="A24138" s="8">
        <v>43893.544537037036</v>
      </c>
      <c r="B24138" s="8" t="str">
        <f>HYPERLINK("https://twitter.com/Zack_lpg01","@Zack_lpg01")</f>
        <v>@Zack_lpg01</v>
      </c>
      <c r="C24138" s="8" t="s">
        <v>685</v>
      </c>
      <c r="D24138" s="8">
        <v>15</v>
      </c>
      <c r="E24138" s="8">
        <v>0</v>
      </c>
      <c r="F24138" s="8">
        <v>2918</v>
      </c>
    </row>
    <row r="24139" spans="1:6" ht="12.75">
      <c r="A24139" s="8">
        <v>43893.544479166667</v>
      </c>
      <c r="B24139" s="8" t="str">
        <f>HYPERLINK("https://twitter.com/JECEyeHospital","@JECEyeHospital")</f>
        <v>@JECEyeHospital</v>
      </c>
      <c r="C24139" s="8" t="s">
        <v>9758</v>
      </c>
      <c r="D24139" s="8">
        <v>0</v>
      </c>
      <c r="E24139" s="8">
        <v>0</v>
      </c>
      <c r="F24139" s="8">
        <v>8407</v>
      </c>
    </row>
    <row r="24140" spans="1:6" ht="12.75">
      <c r="A24140" s="8">
        <v>43893.544467592597</v>
      </c>
      <c r="B24140" s="8" t="str">
        <f>HYPERLINK("https://twitter.com/staffgaksus","@staffgaksus")</f>
        <v>@staffgaksus</v>
      </c>
      <c r="C24140" s="8" t="s">
        <v>9759</v>
      </c>
      <c r="D24140" s="8">
        <v>0</v>
      </c>
      <c r="E24140" s="8">
        <v>0</v>
      </c>
      <c r="F24140" s="8">
        <v>42</v>
      </c>
    </row>
    <row r="24141" spans="1:6" ht="12.75">
      <c r="A24141" s="8">
        <v>43893.544409722221</v>
      </c>
      <c r="B24141" s="8" t="str">
        <f>HYPERLINK("https://twitter.com/NadiaSalsa_","@NadiaSalsa_")</f>
        <v>@NadiaSalsa_</v>
      </c>
      <c r="C24141" s="8" t="s">
        <v>9117</v>
      </c>
      <c r="D24141" s="8">
        <v>351</v>
      </c>
      <c r="E24141" s="8">
        <v>0</v>
      </c>
      <c r="F24141" s="8">
        <v>1129</v>
      </c>
    </row>
    <row r="24142" spans="1:6" ht="12.75">
      <c r="A24142" s="8">
        <v>43893.544386574074</v>
      </c>
      <c r="B24142" s="8" t="str">
        <f>HYPERLINK("https://twitter.com/Reader185","@Reader185")</f>
        <v>@Reader185</v>
      </c>
      <c r="C24142" s="8" t="s">
        <v>9760</v>
      </c>
      <c r="D24142" s="8">
        <v>0</v>
      </c>
      <c r="E24142" s="8">
        <v>0</v>
      </c>
      <c r="F24142" s="8">
        <v>236</v>
      </c>
    </row>
    <row r="24143" spans="1:6" ht="12.75">
      <c r="A24143" s="8">
        <v>43893.544317129628</v>
      </c>
      <c r="B24143" s="8" t="str">
        <f>HYPERLINK("https://twitter.com/AndriTardy","@AndriTardy")</f>
        <v>@AndriTardy</v>
      </c>
      <c r="C24143" s="8" t="s">
        <v>685</v>
      </c>
      <c r="D24143" s="8">
        <v>15</v>
      </c>
      <c r="E24143" s="8">
        <v>0</v>
      </c>
      <c r="F24143" s="8">
        <v>75</v>
      </c>
    </row>
    <row r="24144" spans="1:6" ht="12.75">
      <c r="A24144" s="8">
        <v>43893.544293981482</v>
      </c>
      <c r="B24144" s="8" t="str">
        <f>HYPERLINK("https://twitter.com/Valen_em2","@Valen_em2")</f>
        <v>@Valen_em2</v>
      </c>
      <c r="C24144" s="8" t="s">
        <v>9761</v>
      </c>
      <c r="D24144" s="8">
        <v>15</v>
      </c>
      <c r="E24144" s="8">
        <v>0</v>
      </c>
      <c r="F24144" s="8">
        <v>279</v>
      </c>
    </row>
    <row r="24145" spans="1:6" ht="12.75">
      <c r="A24145" s="8">
        <v>43893.544293981482</v>
      </c>
      <c r="B24145" s="8" t="str">
        <f>HYPERLINK("https://twitter.com/PemburuDajjal07","@PemburuDajjal07")</f>
        <v>@PemburuDajjal07</v>
      </c>
      <c r="C24145" s="8" t="s">
        <v>5732</v>
      </c>
      <c r="D24145" s="8">
        <v>2152</v>
      </c>
      <c r="E24145" s="8">
        <v>0</v>
      </c>
      <c r="F24145" s="8">
        <v>1759</v>
      </c>
    </row>
    <row r="24146" spans="1:6" ht="12.75">
      <c r="A24146" s="8">
        <v>43893.54420138889</v>
      </c>
      <c r="B24146" s="8" t="str">
        <f>HYPERLINK("https://twitter.com/ahmaddahlansyam","@ahmaddahlansyam")</f>
        <v>@ahmaddahlansyam</v>
      </c>
      <c r="C24146" s="8" t="s">
        <v>1427</v>
      </c>
      <c r="D24146" s="8">
        <v>877</v>
      </c>
      <c r="E24146" s="8">
        <v>0</v>
      </c>
      <c r="F24146" s="8">
        <v>342</v>
      </c>
    </row>
    <row r="24147" spans="1:6" ht="12.75">
      <c r="A24147" s="8">
        <v>43893.544062500005</v>
      </c>
      <c r="B24147" s="8" t="str">
        <f>HYPERLINK("https://twitter.com/eday_kurniawan","@eday_kurniawan")</f>
        <v>@eday_kurniawan</v>
      </c>
      <c r="C24147" s="8" t="s">
        <v>8322</v>
      </c>
      <c r="D24147" s="8">
        <v>738</v>
      </c>
      <c r="E24147" s="8">
        <v>0</v>
      </c>
      <c r="F24147" s="8">
        <v>167</v>
      </c>
    </row>
    <row r="24148" spans="1:6" ht="12.75">
      <c r="A24148" s="8">
        <v>43893.544004629628</v>
      </c>
      <c r="B24148" s="8" t="str">
        <f>HYPERLINK("https://twitter.com/bemfkh","@bemfkh")</f>
        <v>@bemfkh</v>
      </c>
      <c r="C24148" s="8" t="s">
        <v>9762</v>
      </c>
      <c r="D24148" s="8">
        <v>0</v>
      </c>
      <c r="E24148" s="8">
        <v>0</v>
      </c>
      <c r="F24148" s="8">
        <v>1700</v>
      </c>
    </row>
    <row r="24149" spans="1:6" ht="12.75">
      <c r="A24149" s="8">
        <v>43893.543888888889</v>
      </c>
      <c r="B24149" s="8" t="str">
        <f>HYPERLINK("https://twitter.com/eday_kurniawan","@eday_kurniawan")</f>
        <v>@eday_kurniawan</v>
      </c>
      <c r="C24149" s="8" t="s">
        <v>7597</v>
      </c>
      <c r="D24149" s="8">
        <v>672</v>
      </c>
      <c r="E24149" s="8">
        <v>0</v>
      </c>
      <c r="F24149" s="8">
        <v>167</v>
      </c>
    </row>
    <row r="24150" spans="1:6" ht="12.75">
      <c r="A24150" s="8">
        <v>43893.543773148151</v>
      </c>
      <c r="B24150" s="8" t="str">
        <f>HYPERLINK("https://twitter.com/MohammadRivai","@MohammadRivai")</f>
        <v>@MohammadRivai</v>
      </c>
      <c r="C24150" s="8" t="s">
        <v>1970</v>
      </c>
      <c r="D24150" s="8">
        <v>945</v>
      </c>
      <c r="E24150" s="8">
        <v>0</v>
      </c>
      <c r="F24150" s="8">
        <v>161</v>
      </c>
    </row>
    <row r="24151" spans="1:6" ht="12.75">
      <c r="A24151" s="8">
        <v>43893.543680555551</v>
      </c>
      <c r="B24151" s="8" t="str">
        <f>HYPERLINK("https://twitter.com/NinoGitar","@NinoGitar")</f>
        <v>@NinoGitar</v>
      </c>
      <c r="C24151" s="8" t="s">
        <v>9128</v>
      </c>
      <c r="D24151" s="8">
        <v>135</v>
      </c>
      <c r="E24151" s="8">
        <v>0</v>
      </c>
      <c r="F24151" s="8">
        <v>109</v>
      </c>
    </row>
    <row r="24152" spans="1:6" ht="12.75">
      <c r="A24152" s="8">
        <v>43893.543668981481</v>
      </c>
      <c r="B24152" s="8" t="str">
        <f>HYPERLINK("https://twitter.com/bebek0506","@bebek0506")</f>
        <v>@bebek0506</v>
      </c>
      <c r="C24152" s="8" t="s">
        <v>2962</v>
      </c>
      <c r="D24152" s="8">
        <v>5412</v>
      </c>
      <c r="E24152" s="8">
        <v>0</v>
      </c>
      <c r="F24152" s="8">
        <v>9</v>
      </c>
    </row>
    <row r="24153" spans="1:6" ht="12.75">
      <c r="A24153" s="8">
        <v>43893.543483796297</v>
      </c>
      <c r="B24153" s="8" t="str">
        <f>HYPERLINK("https://twitter.com/BEMFFUI","@BEMFFUI")</f>
        <v>@BEMFFUI</v>
      </c>
      <c r="C24153" s="8" t="s">
        <v>9763</v>
      </c>
      <c r="D24153" s="8">
        <v>0</v>
      </c>
      <c r="E24153" s="8">
        <v>0</v>
      </c>
      <c r="F24153" s="8">
        <v>4410</v>
      </c>
    </row>
    <row r="24154" spans="1:6" ht="12.75">
      <c r="A24154" s="8">
        <v>43893.543425925927</v>
      </c>
      <c r="B24154" s="8" t="str">
        <f>HYPERLINK("https://twitter.com/seoksation","@seoksation")</f>
        <v>@seoksation</v>
      </c>
      <c r="C24154" s="8" t="s">
        <v>1427</v>
      </c>
      <c r="D24154" s="8">
        <v>877</v>
      </c>
      <c r="E24154" s="8">
        <v>0</v>
      </c>
      <c r="F24154" s="8">
        <v>1649</v>
      </c>
    </row>
    <row r="24155" spans="1:6" ht="12.75">
      <c r="A24155" s="8">
        <v>43893.543391203704</v>
      </c>
      <c r="B24155" s="8" t="str">
        <f>HYPERLINK("https://twitter.com/IwanFaesal","@IwanFaesal")</f>
        <v>@IwanFaesal</v>
      </c>
      <c r="C24155" s="8" t="s">
        <v>2199</v>
      </c>
      <c r="D24155" s="8">
        <v>8892</v>
      </c>
      <c r="E24155" s="8">
        <v>0</v>
      </c>
      <c r="F24155" s="8">
        <v>103</v>
      </c>
    </row>
    <row r="24156" spans="1:6" ht="12.75">
      <c r="A24156" s="8">
        <v>43893.543391203704</v>
      </c>
      <c r="B24156" s="8" t="str">
        <f>HYPERLINK("https://twitter.com/abdulhusdin","@abdulhusdin")</f>
        <v>@abdulhusdin</v>
      </c>
      <c r="C24156" s="8" t="s">
        <v>6832</v>
      </c>
      <c r="D24156" s="8">
        <v>1008</v>
      </c>
      <c r="E24156" s="8">
        <v>0</v>
      </c>
      <c r="F24156" s="8">
        <v>629</v>
      </c>
    </row>
    <row r="24157" spans="1:6" ht="12.75">
      <c r="A24157" s="8">
        <v>43893.543275462958</v>
      </c>
      <c r="B24157" s="8" t="str">
        <f>HYPERLINK("https://twitter.com/Berita7dotid","@Berita7dotid")</f>
        <v>@Berita7dotid</v>
      </c>
      <c r="C24157" s="8" t="s">
        <v>9764</v>
      </c>
      <c r="D24157" s="8">
        <v>0</v>
      </c>
      <c r="E24157" s="8">
        <v>0</v>
      </c>
      <c r="F24157" s="8">
        <v>2558</v>
      </c>
    </row>
    <row r="24158" spans="1:6" ht="12.75">
      <c r="A24158" s="8">
        <v>43893.543217592596</v>
      </c>
      <c r="B24158" s="8" t="str">
        <f>HYPERLINK("https://twitter.com/wimaputra16","@wimaputra16")</f>
        <v>@wimaputra16</v>
      </c>
      <c r="C24158" s="8" t="s">
        <v>2962</v>
      </c>
      <c r="D24158" s="8">
        <v>5412</v>
      </c>
      <c r="E24158" s="8">
        <v>0</v>
      </c>
      <c r="F24158" s="8">
        <v>352</v>
      </c>
    </row>
    <row r="24159" spans="1:6" ht="12.75">
      <c r="A24159" s="8">
        <v>43893.543217592596</v>
      </c>
      <c r="B24159" s="8" t="str">
        <f>HYPERLINK("https://twitter.com/mujibakm","@mujibakm")</f>
        <v>@mujibakm</v>
      </c>
      <c r="C24159" s="8" t="s">
        <v>9765</v>
      </c>
      <c r="D24159" s="8">
        <v>0</v>
      </c>
      <c r="E24159" s="8">
        <v>0</v>
      </c>
      <c r="F24159" s="8">
        <v>472</v>
      </c>
    </row>
    <row r="24160" spans="1:6" ht="12.75">
      <c r="A24160" s="8">
        <v>43893.543182870373</v>
      </c>
      <c r="B24160" s="8" t="str">
        <f>HYPERLINK("https://twitter.com/bucincoffee","@bucincoffee")</f>
        <v>@bucincoffee</v>
      </c>
      <c r="C24160" s="8" t="s">
        <v>2962</v>
      </c>
      <c r="D24160" s="8">
        <v>5412</v>
      </c>
      <c r="E24160" s="8">
        <v>0</v>
      </c>
      <c r="F24160" s="8">
        <v>839</v>
      </c>
    </row>
    <row r="24161" spans="1:6" ht="12.75">
      <c r="A24161" s="8">
        <v>43893.543124999997</v>
      </c>
      <c r="B24161" s="8" t="str">
        <f>HYPERLINK("https://twitter.com/DodolNabi","@DodolNabi")</f>
        <v>@DodolNabi</v>
      </c>
      <c r="C24161" s="8" t="s">
        <v>9088</v>
      </c>
      <c r="D24161" s="8">
        <v>24</v>
      </c>
      <c r="E24161" s="8">
        <v>0</v>
      </c>
      <c r="F24161" s="8">
        <v>341</v>
      </c>
    </row>
    <row r="24162" spans="1:6" ht="12.75">
      <c r="A24162" s="8">
        <v>43893.54305555555</v>
      </c>
      <c r="B24162" s="8" t="str">
        <f>HYPERLINK("https://twitter.com/sutanakhir","@sutanakhir")</f>
        <v>@sutanakhir</v>
      </c>
      <c r="C24162" s="8" t="s">
        <v>9766</v>
      </c>
      <c r="D24162" s="8">
        <v>15</v>
      </c>
      <c r="E24162" s="8">
        <v>0</v>
      </c>
      <c r="F24162" s="8">
        <v>211</v>
      </c>
    </row>
    <row r="24163" spans="1:6" ht="12.75">
      <c r="A24163" s="8">
        <v>43893.543020833335</v>
      </c>
      <c r="B24163" s="8" t="str">
        <f>HYPERLINK("https://twitter.com/iqbal230891","@iqbal230891")</f>
        <v>@iqbal230891</v>
      </c>
      <c r="C24163" s="8" t="s">
        <v>1970</v>
      </c>
      <c r="D24163" s="8">
        <v>945</v>
      </c>
      <c r="E24163" s="8">
        <v>0</v>
      </c>
      <c r="F24163" s="8">
        <v>183</v>
      </c>
    </row>
    <row r="24164" spans="1:6" ht="12.75">
      <c r="A24164" s="8">
        <v>43893.543020833335</v>
      </c>
      <c r="B24164" s="8" t="str">
        <f>HYPERLINK("https://twitter.com/AbbasNasiruddin","@AbbasNasiruddin")</f>
        <v>@AbbasNasiruddin</v>
      </c>
      <c r="C24164" s="8" t="s">
        <v>9767</v>
      </c>
      <c r="D24164" s="8">
        <v>0</v>
      </c>
      <c r="E24164" s="8">
        <v>0</v>
      </c>
      <c r="F24164" s="8">
        <v>253</v>
      </c>
    </row>
    <row r="24165" spans="1:6" ht="12.75">
      <c r="A24165" s="8">
        <v>43893.542986111112</v>
      </c>
      <c r="B24165" s="8" t="str">
        <f>HYPERLINK("https://twitter.com/QBo02690664","@QBo02690664")</f>
        <v>@QBo02690664</v>
      </c>
      <c r="C24165" s="8" t="s">
        <v>685</v>
      </c>
      <c r="D24165" s="8">
        <v>15</v>
      </c>
      <c r="E24165" s="8">
        <v>0</v>
      </c>
      <c r="F24165" s="8">
        <v>1</v>
      </c>
    </row>
    <row r="24166" spans="1:6" ht="12.75">
      <c r="A24166" s="8">
        <v>43893.542986111112</v>
      </c>
      <c r="B24166" s="8" t="str">
        <f>HYPERLINK("https://twitter.com/kiarmdnr_","@kiarmdnr_")</f>
        <v>@kiarmdnr_</v>
      </c>
      <c r="C24166" s="8" t="s">
        <v>9117</v>
      </c>
      <c r="D24166" s="8">
        <v>351</v>
      </c>
      <c r="E24166" s="8">
        <v>0</v>
      </c>
      <c r="F24166" s="8">
        <v>15</v>
      </c>
    </row>
    <row r="24167" spans="1:6" ht="12.75">
      <c r="A24167" s="8">
        <v>43893.542939814812</v>
      </c>
      <c r="B24167" s="8" t="str">
        <f>HYPERLINK("https://twitter.com/SMarapil","@SMarapil")</f>
        <v>@SMarapil</v>
      </c>
      <c r="C24167" s="8" t="s">
        <v>9768</v>
      </c>
      <c r="D24167" s="8">
        <v>115</v>
      </c>
      <c r="E24167" s="8">
        <v>0</v>
      </c>
      <c r="F24167" s="8">
        <v>9</v>
      </c>
    </row>
    <row r="24168" spans="1:6" ht="12.75">
      <c r="A24168" s="8">
        <v>43893.54283564815</v>
      </c>
      <c r="B24168" s="8" t="str">
        <f>HYPERLINK("https://twitter.com/vanidiana","@vanidiana")</f>
        <v>@vanidiana</v>
      </c>
      <c r="C24168" s="8" t="s">
        <v>685</v>
      </c>
      <c r="D24168" s="8">
        <v>15</v>
      </c>
      <c r="E24168" s="8">
        <v>0</v>
      </c>
      <c r="F24168" s="8">
        <v>568</v>
      </c>
    </row>
    <row r="24169" spans="1:6" ht="12.75">
      <c r="A24169" s="8">
        <v>43893.542824074073</v>
      </c>
      <c r="B24169" s="8" t="str">
        <f>HYPERLINK("https://twitter.com/novitaaGiri","@novitaaGiri")</f>
        <v>@novitaaGiri</v>
      </c>
      <c r="C24169" s="8" t="s">
        <v>2962</v>
      </c>
      <c r="D24169" s="8">
        <v>5412</v>
      </c>
      <c r="E24169" s="8">
        <v>0</v>
      </c>
      <c r="F24169" s="8">
        <v>627</v>
      </c>
    </row>
    <row r="24170" spans="1:6" ht="12.75">
      <c r="A24170" s="8">
        <v>43893.542824074073</v>
      </c>
      <c r="B24170" s="8" t="str">
        <f>HYPERLINK("https://twitter.com/ucrit35510474","@ucrit35510474")</f>
        <v>@ucrit35510474</v>
      </c>
      <c r="C24170" s="8" t="s">
        <v>1970</v>
      </c>
      <c r="D24170" s="8">
        <v>945</v>
      </c>
      <c r="E24170" s="8">
        <v>0</v>
      </c>
      <c r="F24170" s="8">
        <v>17</v>
      </c>
    </row>
    <row r="24171" spans="1:6" ht="12.75">
      <c r="A24171" s="8">
        <v>43893.542800925927</v>
      </c>
      <c r="B24171" s="8" t="str">
        <f>HYPERLINK("https://twitter.com/tukang_plafon","@tukang_plafon")</f>
        <v>@tukang_plafon</v>
      </c>
      <c r="C24171" s="8" t="s">
        <v>6832</v>
      </c>
      <c r="D24171" s="8">
        <v>1008</v>
      </c>
      <c r="E24171" s="8">
        <v>0</v>
      </c>
      <c r="F24171" s="8">
        <v>641</v>
      </c>
    </row>
    <row r="24172" spans="1:6" ht="12.75">
      <c r="A24172" s="8">
        <v>43893.54278935185</v>
      </c>
      <c r="B24172" s="8" t="str">
        <f>HYPERLINK("https://twitter.com/Bayu_99091","@Bayu_99091")</f>
        <v>@Bayu_99091</v>
      </c>
      <c r="C24172" s="8" t="s">
        <v>9117</v>
      </c>
      <c r="D24172" s="8">
        <v>351</v>
      </c>
      <c r="E24172" s="8">
        <v>0</v>
      </c>
      <c r="F24172" s="8">
        <v>603</v>
      </c>
    </row>
    <row r="24173" spans="1:6" ht="12.75">
      <c r="A24173" s="8">
        <v>43893.542673611111</v>
      </c>
      <c r="B24173" s="8" t="str">
        <f>HYPERLINK("https://twitter.com/Susanto13895819","@Susanto13895819")</f>
        <v>@Susanto13895819</v>
      </c>
      <c r="C24173" s="8" t="s">
        <v>9769</v>
      </c>
      <c r="D24173" s="8">
        <v>6</v>
      </c>
      <c r="E24173" s="8">
        <v>0</v>
      </c>
      <c r="F24173" s="8">
        <v>578</v>
      </c>
    </row>
    <row r="24174" spans="1:6" ht="12.75">
      <c r="A24174" s="8">
        <v>43893.542662037042</v>
      </c>
      <c r="B24174" s="8" t="str">
        <f>HYPERLINK("https://twitter.com/pramantyoaji","@pramantyoaji")</f>
        <v>@pramantyoaji</v>
      </c>
      <c r="C24174" s="8" t="s">
        <v>2199</v>
      </c>
      <c r="D24174" s="8">
        <v>8892</v>
      </c>
      <c r="E24174" s="8">
        <v>0</v>
      </c>
      <c r="F24174" s="8">
        <v>258</v>
      </c>
    </row>
    <row r="24175" spans="1:6" ht="12.75">
      <c r="A24175" s="8">
        <v>43893.542662037042</v>
      </c>
      <c r="B24175" s="8" t="str">
        <f>HYPERLINK("https://twitter.com/sonduckpyo","@sonduckpyo")</f>
        <v>@sonduckpyo</v>
      </c>
      <c r="C24175" s="8" t="s">
        <v>2199</v>
      </c>
      <c r="D24175" s="8">
        <v>8892</v>
      </c>
      <c r="E24175" s="8">
        <v>0</v>
      </c>
      <c r="F24175" s="8">
        <v>402</v>
      </c>
    </row>
    <row r="24176" spans="1:6" ht="12.75">
      <c r="A24176" s="8">
        <v>43893.542592592596</v>
      </c>
      <c r="B24176" s="8" t="str">
        <f>HYPERLINK("https://twitter.com/allbackrin","@allbackrin")</f>
        <v>@allbackrin</v>
      </c>
      <c r="C24176" s="8" t="s">
        <v>9770</v>
      </c>
      <c r="D24176" s="8">
        <v>0</v>
      </c>
      <c r="E24176" s="8">
        <v>0</v>
      </c>
      <c r="F24176" s="8">
        <v>135</v>
      </c>
    </row>
    <row r="24177" spans="1:6" ht="12.75">
      <c r="A24177" s="8">
        <v>43893.542592592596</v>
      </c>
      <c r="B24177" s="8" t="str">
        <f>HYPERLINK("https://twitter.com/FernandoMorrzie","@FernandoMorrzie")</f>
        <v>@FernandoMorrzie</v>
      </c>
      <c r="C24177" s="8" t="s">
        <v>8322</v>
      </c>
      <c r="D24177" s="8">
        <v>738</v>
      </c>
      <c r="E24177" s="8">
        <v>0</v>
      </c>
      <c r="F24177" s="8">
        <v>36</v>
      </c>
    </row>
    <row r="24178" spans="1:6" ht="12.75">
      <c r="A24178" s="8">
        <v>43893.542592592596</v>
      </c>
      <c r="B24178" s="8" t="str">
        <f>HYPERLINK("https://twitter.com/blm_bebas","@blm_bebas")</f>
        <v>@blm_bebas</v>
      </c>
      <c r="C24178" s="8" t="s">
        <v>5732</v>
      </c>
      <c r="D24178" s="8">
        <v>2152</v>
      </c>
      <c r="E24178" s="8">
        <v>0</v>
      </c>
      <c r="F24178" s="8">
        <v>83</v>
      </c>
    </row>
    <row r="24179" spans="1:6" ht="12.75">
      <c r="A24179" s="8">
        <v>43893.542523148149</v>
      </c>
      <c r="B24179" s="8" t="str">
        <f>HYPERLINK("https://twitter.com/Helly1234567nb","@Helly1234567nb")</f>
        <v>@Helly1234567nb</v>
      </c>
      <c r="C24179" s="8" t="s">
        <v>685</v>
      </c>
      <c r="D24179" s="8">
        <v>15</v>
      </c>
      <c r="E24179" s="8">
        <v>0</v>
      </c>
      <c r="F24179" s="8">
        <v>205</v>
      </c>
    </row>
    <row r="24180" spans="1:6" ht="12.75">
      <c r="A24180" s="8">
        <v>43893.506770833337</v>
      </c>
      <c r="B24180" s="8" t="str">
        <f>HYPERLINK("https://twitter.com/barengarkananta","@barengarkananta")</f>
        <v>@barengarkananta</v>
      </c>
      <c r="C24180" s="8" t="s">
        <v>7149</v>
      </c>
      <c r="D24180" s="8">
        <v>348</v>
      </c>
      <c r="E24180" s="8">
        <v>0</v>
      </c>
      <c r="F24180" s="8">
        <v>1666</v>
      </c>
    </row>
    <row r="24181" spans="1:6" ht="12.75">
      <c r="A24181" s="8">
        <v>43893.506712962961</v>
      </c>
      <c r="B24181" s="8" t="str">
        <f>HYPERLINK("https://twitter.com/ketawaindulu","@ketawaindulu")</f>
        <v>@ketawaindulu</v>
      </c>
      <c r="C24181" s="8" t="s">
        <v>2962</v>
      </c>
      <c r="D24181" s="8">
        <v>5351</v>
      </c>
      <c r="E24181" s="8">
        <v>0</v>
      </c>
      <c r="F24181" s="8">
        <v>8457</v>
      </c>
    </row>
    <row r="24182" spans="1:6" ht="12.75">
      <c r="A24182" s="8">
        <v>43893.506689814814</v>
      </c>
      <c r="B24182" s="8" t="str">
        <f>HYPERLINK("https://twitter.com/vivivivi99_","@vivivivi99_")</f>
        <v>@vivivivi99_</v>
      </c>
      <c r="C24182" s="8" t="s">
        <v>2962</v>
      </c>
      <c r="D24182" s="8">
        <v>5351</v>
      </c>
      <c r="E24182" s="8">
        <v>0</v>
      </c>
      <c r="F24182" s="8">
        <v>2155</v>
      </c>
    </row>
    <row r="24183" spans="1:6" ht="12.75">
      <c r="A24183" s="8">
        <v>43893.506597222222</v>
      </c>
      <c r="B24183" s="8" t="str">
        <f>HYPERLINK("https://twitter.com/Mbah_Jadul","@Mbah_Jadul")</f>
        <v>@Mbah_Jadul</v>
      </c>
      <c r="C24183" s="8" t="s">
        <v>2962</v>
      </c>
      <c r="D24183" s="8">
        <v>5351</v>
      </c>
      <c r="E24183" s="8">
        <v>0</v>
      </c>
      <c r="F24183" s="8">
        <v>951</v>
      </c>
    </row>
    <row r="24184" spans="1:6" ht="12.75">
      <c r="A24184" s="8">
        <v>43893.506585648152</v>
      </c>
      <c r="B24184" s="8" t="str">
        <f>HYPERLINK("https://twitter.com/niningasih","@niningasih")</f>
        <v>@niningasih</v>
      </c>
      <c r="C24184" s="8" t="s">
        <v>9701</v>
      </c>
      <c r="D24184" s="8">
        <v>1728</v>
      </c>
      <c r="E24184" s="8">
        <v>0</v>
      </c>
      <c r="F24184" s="8">
        <v>1172</v>
      </c>
    </row>
    <row r="24185" spans="1:6" ht="12.75">
      <c r="A24185" s="8">
        <v>43893.506527777776</v>
      </c>
      <c r="B24185" s="8" t="str">
        <f>HYPERLINK("https://twitter.com/AisSyariif","@AisSyariif")</f>
        <v>@AisSyariif</v>
      </c>
      <c r="C24185" s="8" t="s">
        <v>9088</v>
      </c>
      <c r="D24185" s="8">
        <v>21</v>
      </c>
      <c r="E24185" s="8">
        <v>0</v>
      </c>
      <c r="F24185" s="8">
        <v>874</v>
      </c>
    </row>
    <row r="24186" spans="1:6" ht="12.75">
      <c r="A24186" s="8">
        <v>43893.50645833333</v>
      </c>
      <c r="B24186" s="8" t="str">
        <f>HYPERLINK("https://twitter.com/lugulugu_ligat","@lugulugu_ligat")</f>
        <v>@lugulugu_ligat</v>
      </c>
      <c r="C24186" s="8" t="s">
        <v>1145</v>
      </c>
      <c r="D24186" s="8">
        <v>498</v>
      </c>
      <c r="E24186" s="8">
        <v>0</v>
      </c>
      <c r="F24186" s="8">
        <v>123</v>
      </c>
    </row>
    <row r="24187" spans="1:6" ht="12.75">
      <c r="A24187" s="8">
        <v>43893.506377314814</v>
      </c>
      <c r="B24187" s="8" t="str">
        <f>HYPERLINK("https://twitter.com/Thizka_","@Thizka_")</f>
        <v>@Thizka_</v>
      </c>
      <c r="C24187" s="8" t="s">
        <v>9444</v>
      </c>
      <c r="D24187" s="8">
        <v>1</v>
      </c>
      <c r="E24187" s="8">
        <v>0</v>
      </c>
      <c r="F24187" s="8">
        <v>377</v>
      </c>
    </row>
    <row r="24188" spans="1:6" ht="12.75">
      <c r="A24188" s="8">
        <v>43893.506365740745</v>
      </c>
      <c r="B24188" s="8" t="str">
        <f>HYPERLINK("https://twitter.com/satryaghozali","@satryaghozali")</f>
        <v>@satryaghozali</v>
      </c>
      <c r="C24188" s="8" t="s">
        <v>9128</v>
      </c>
      <c r="D24188" s="8">
        <v>117</v>
      </c>
      <c r="E24188" s="8">
        <v>0</v>
      </c>
      <c r="F24188" s="8">
        <v>393</v>
      </c>
    </row>
    <row r="24189" spans="1:6" ht="12.75">
      <c r="A24189" s="8">
        <v>43893.506365740745</v>
      </c>
      <c r="B24189" s="8" t="str">
        <f>HYPERLINK("https://twitter.com/karmdnn","@karmdnn")</f>
        <v>@karmdnn</v>
      </c>
      <c r="C24189" s="8" t="s">
        <v>2962</v>
      </c>
      <c r="D24189" s="8">
        <v>5351</v>
      </c>
      <c r="E24189" s="8">
        <v>0</v>
      </c>
      <c r="F24189" s="8">
        <v>12818</v>
      </c>
    </row>
    <row r="24190" spans="1:6" ht="12.75">
      <c r="A24190" s="8">
        <v>43893.506354166668</v>
      </c>
      <c r="B24190" s="8" t="str">
        <f>HYPERLINK("https://twitter.com/ManguniMinahasa","@ManguniMinahasa")</f>
        <v>@ManguniMinahasa</v>
      </c>
      <c r="C24190" s="8" t="s">
        <v>2199</v>
      </c>
      <c r="D24190" s="8">
        <v>8857</v>
      </c>
      <c r="E24190" s="8">
        <v>0</v>
      </c>
      <c r="F24190" s="8">
        <v>382</v>
      </c>
    </row>
    <row r="24191" spans="1:6" ht="12.75">
      <c r="A24191" s="8">
        <v>43893.506273148145</v>
      </c>
      <c r="B24191" s="8" t="str">
        <f>HYPERLINK("https://twitter.com/GERY_YEHEZKIEL","@GERY_YEHEZKIEL")</f>
        <v>@GERY_YEHEZKIEL</v>
      </c>
      <c r="C24191" s="8" t="s">
        <v>2199</v>
      </c>
      <c r="D24191" s="8">
        <v>8857</v>
      </c>
      <c r="E24191" s="8">
        <v>0</v>
      </c>
      <c r="F24191" s="8">
        <v>324</v>
      </c>
    </row>
    <row r="24192" spans="1:6" ht="12.75">
      <c r="A24192" s="8">
        <v>43893.506249999999</v>
      </c>
      <c r="B24192" s="8" t="str">
        <f>HYPERLINK("https://twitter.com/leemarku","@leemarku")</f>
        <v>@leemarku</v>
      </c>
      <c r="C24192" s="8" t="s">
        <v>2995</v>
      </c>
      <c r="D24192" s="8">
        <v>213</v>
      </c>
      <c r="E24192" s="8">
        <v>0</v>
      </c>
      <c r="F24192" s="8">
        <v>489</v>
      </c>
    </row>
    <row r="24193" spans="1:6" ht="12.75">
      <c r="A24193" s="8">
        <v>43893.50618055556</v>
      </c>
      <c r="B24193" s="8" t="str">
        <f>HYPERLINK("https://twitter.com/polarbear_LHB","@polarbear_LHB")</f>
        <v>@polarbear_LHB</v>
      </c>
      <c r="C24193" s="8" t="s">
        <v>2962</v>
      </c>
      <c r="D24193" s="8">
        <v>5351</v>
      </c>
      <c r="E24193" s="8">
        <v>0</v>
      </c>
      <c r="F24193" s="8">
        <v>781</v>
      </c>
    </row>
    <row r="24194" spans="1:6" ht="12.75">
      <c r="A24194" s="8">
        <v>43893.505960648152</v>
      </c>
      <c r="B24194" s="8" t="str">
        <f>HYPERLINK("https://twitter.com/sigmalibrae_","@sigmalibrae_")</f>
        <v>@sigmalibrae_</v>
      </c>
      <c r="C24194" s="8" t="s">
        <v>9295</v>
      </c>
      <c r="D24194" s="8">
        <v>227</v>
      </c>
      <c r="E24194" s="8">
        <v>0</v>
      </c>
      <c r="F24194" s="8">
        <v>289</v>
      </c>
    </row>
    <row r="24195" spans="1:6" ht="12.75">
      <c r="A24195" s="8">
        <v>43893.505937499998</v>
      </c>
      <c r="B24195" s="8" t="str">
        <f>HYPERLINK("https://twitter.com/LinaIndrawati13","@LinaIndrawati13")</f>
        <v>@LinaIndrawati13</v>
      </c>
      <c r="C24195" s="8" t="s">
        <v>9128</v>
      </c>
      <c r="D24195" s="8">
        <v>117</v>
      </c>
      <c r="E24195" s="8">
        <v>0</v>
      </c>
      <c r="F24195" s="8">
        <v>420</v>
      </c>
    </row>
    <row r="24196" spans="1:6" ht="12.75">
      <c r="A24196" s="8">
        <v>43893.505925925929</v>
      </c>
      <c r="B24196" s="8" t="str">
        <f>HYPERLINK("https://twitter.com/suardip","@suardip")</f>
        <v>@suardip</v>
      </c>
      <c r="C24196" s="8" t="s">
        <v>1970</v>
      </c>
      <c r="D24196" s="8">
        <v>891</v>
      </c>
      <c r="E24196" s="8">
        <v>0</v>
      </c>
      <c r="F24196" s="8">
        <v>622</v>
      </c>
    </row>
    <row r="24197" spans="1:6" ht="12.75">
      <c r="A24197" s="8">
        <v>43893.505879629629</v>
      </c>
      <c r="B24197" s="8" t="str">
        <f>HYPERLINK("https://twitter.com/guruh21ck","@guruh21ck")</f>
        <v>@guruh21ck</v>
      </c>
      <c r="C24197" s="8" t="s">
        <v>1986</v>
      </c>
      <c r="D24197" s="8">
        <v>751</v>
      </c>
      <c r="E24197" s="8">
        <v>0</v>
      </c>
      <c r="F24197" s="8">
        <v>134</v>
      </c>
    </row>
    <row r="24198" spans="1:6" ht="12.75">
      <c r="A24198" s="8">
        <v>43893.505659722221</v>
      </c>
      <c r="B24198" s="8" t="str">
        <f>HYPERLINK("https://twitter.com/rockysigiro","@rockysigiro")</f>
        <v>@rockysigiro</v>
      </c>
      <c r="C24198" s="8" t="s">
        <v>1986</v>
      </c>
      <c r="D24198" s="8">
        <v>751</v>
      </c>
      <c r="E24198" s="8">
        <v>0</v>
      </c>
      <c r="F24198" s="8">
        <v>371</v>
      </c>
    </row>
    <row r="24199" spans="1:6" ht="12.75">
      <c r="A24199" s="8">
        <v>43893.505474537036</v>
      </c>
      <c r="B24199" s="8" t="str">
        <f>HYPERLINK("https://twitter.com/siimisfil","@siimisfil")</f>
        <v>@siimisfil</v>
      </c>
      <c r="C24199" s="8" t="s">
        <v>2962</v>
      </c>
      <c r="D24199" s="8">
        <v>5351</v>
      </c>
      <c r="E24199" s="8">
        <v>0</v>
      </c>
      <c r="F24199" s="8">
        <v>1292</v>
      </c>
    </row>
    <row r="24200" spans="1:6" ht="12.75">
      <c r="A24200" s="8">
        <v>43893.505462962959</v>
      </c>
      <c r="B24200" s="8" t="str">
        <f>HYPERLINK("https://twitter.com/icutema","@icutema")</f>
        <v>@icutema</v>
      </c>
      <c r="C24200" s="8" t="s">
        <v>9771</v>
      </c>
      <c r="D24200" s="8">
        <v>0</v>
      </c>
      <c r="E24200" s="8">
        <v>0</v>
      </c>
      <c r="F24200" s="8">
        <v>618</v>
      </c>
    </row>
    <row r="24201" spans="1:6" ht="12.75">
      <c r="A24201" s="8">
        <v>43893.505462962959</v>
      </c>
      <c r="B24201" s="8" t="str">
        <f>HYPERLINK("https://twitter.com/DeddyGemboel","@DeddyGemboel")</f>
        <v>@DeddyGemboel</v>
      </c>
      <c r="C24201" s="8" t="s">
        <v>9772</v>
      </c>
      <c r="D24201" s="8">
        <v>75</v>
      </c>
      <c r="E24201" s="8">
        <v>0</v>
      </c>
      <c r="F24201" s="8">
        <v>941</v>
      </c>
    </row>
    <row r="24202" spans="1:6" ht="12.75">
      <c r="A24202" s="8">
        <v>43893.505405092597</v>
      </c>
      <c r="B24202" s="8" t="str">
        <f>HYPERLINK("https://twitter.com/eric_joo1","@eric_joo1")</f>
        <v>@eric_joo1</v>
      </c>
      <c r="C24202" s="8" t="s">
        <v>8901</v>
      </c>
      <c r="D24202" s="8">
        <v>72</v>
      </c>
      <c r="E24202" s="8">
        <v>0</v>
      </c>
      <c r="F24202" s="8">
        <v>87</v>
      </c>
    </row>
    <row r="24203" spans="1:6" ht="12.75">
      <c r="A24203" s="8">
        <v>43893.505405092597</v>
      </c>
      <c r="B24203" s="8" t="str">
        <f>HYPERLINK("https://twitter.com/Wahyu05806471","@Wahyu05806471")</f>
        <v>@Wahyu05806471</v>
      </c>
      <c r="C24203" s="8" t="s">
        <v>8429</v>
      </c>
      <c r="D24203" s="8">
        <v>33</v>
      </c>
      <c r="E24203" s="8">
        <v>0</v>
      </c>
      <c r="F24203" s="8">
        <v>772</v>
      </c>
    </row>
    <row r="24204" spans="1:6" ht="12.75">
      <c r="A24204" s="8">
        <v>43893.505370370374</v>
      </c>
      <c r="B24204" s="8" t="str">
        <f>HYPERLINK("https://twitter.com/WASBORN199X","@WASBORN199X")</f>
        <v>@WASBORN199X</v>
      </c>
      <c r="C24204" s="8" t="s">
        <v>9773</v>
      </c>
      <c r="D24204" s="8">
        <v>0</v>
      </c>
      <c r="E24204" s="8">
        <v>0</v>
      </c>
      <c r="F24204" s="8">
        <v>78</v>
      </c>
    </row>
    <row r="24205" spans="1:6" ht="12.75">
      <c r="A24205" s="8">
        <v>43893.505254629628</v>
      </c>
      <c r="B24205" s="8" t="str">
        <f>HYPERLINK("https://twitter.com/Thizka_","@Thizka_")</f>
        <v>@Thizka_</v>
      </c>
      <c r="C24205" s="8" t="s">
        <v>9774</v>
      </c>
      <c r="D24205" s="8">
        <v>1</v>
      </c>
      <c r="E24205" s="8">
        <v>0</v>
      </c>
      <c r="F24205" s="8">
        <v>377</v>
      </c>
    </row>
    <row r="24206" spans="1:6" ht="12.75">
      <c r="A24206" s="8">
        <v>43893.505150462966</v>
      </c>
      <c r="B24206" s="8" t="str">
        <f>HYPERLINK("https://twitter.com/sherlanova","@sherlanova")</f>
        <v>@sherlanova</v>
      </c>
      <c r="C24206" s="8" t="s">
        <v>1427</v>
      </c>
      <c r="D24206" s="8">
        <v>855</v>
      </c>
      <c r="E24206" s="8">
        <v>0</v>
      </c>
      <c r="F24206" s="8">
        <v>253</v>
      </c>
    </row>
    <row r="24207" spans="1:6" ht="12.75">
      <c r="A24207" s="8">
        <v>43893.505115740743</v>
      </c>
      <c r="B24207" s="8" t="str">
        <f>HYPERLINK("https://twitter.com/Ronakurniawan","@Ronakurniawan")</f>
        <v>@Ronakurniawan</v>
      </c>
      <c r="C24207" s="8" t="s">
        <v>1970</v>
      </c>
      <c r="D24207" s="8">
        <v>891</v>
      </c>
      <c r="E24207" s="8">
        <v>0</v>
      </c>
      <c r="F24207" s="8">
        <v>193</v>
      </c>
    </row>
    <row r="24208" spans="1:6" ht="12.75">
      <c r="A24208" s="8">
        <v>43893.50509259259</v>
      </c>
      <c r="B24208" s="8" t="str">
        <f>HYPERLINK("https://twitter.com/SydSalesman","@SydSalesman")</f>
        <v>@SydSalesman</v>
      </c>
      <c r="C24208" s="8" t="s">
        <v>8429</v>
      </c>
      <c r="D24208" s="8">
        <v>33</v>
      </c>
      <c r="E24208" s="8">
        <v>0</v>
      </c>
      <c r="F24208" s="8">
        <v>6281</v>
      </c>
    </row>
    <row r="24209" spans="1:6" ht="12.75">
      <c r="A24209" s="8">
        <v>43893.50503472222</v>
      </c>
      <c r="B24209" s="8" t="str">
        <f>HYPERLINK("https://twitter.com/mellycristina","@mellycristina")</f>
        <v>@mellycristina</v>
      </c>
      <c r="C24209" s="8" t="s">
        <v>9775</v>
      </c>
      <c r="D24209" s="8">
        <v>0</v>
      </c>
      <c r="E24209" s="8">
        <v>1</v>
      </c>
      <c r="F24209" s="8">
        <v>1483</v>
      </c>
    </row>
    <row r="24210" spans="1:6" ht="12.75">
      <c r="A24210" s="8">
        <v>43893.504942129628</v>
      </c>
      <c r="B24210" s="8" t="str">
        <f>HYPERLINK("https://twitter.com/MMJPRTM","@MMJPRTM")</f>
        <v>@MMJPRTM</v>
      </c>
      <c r="C24210" s="8" t="s">
        <v>9117</v>
      </c>
      <c r="D24210" s="8">
        <v>343</v>
      </c>
      <c r="E24210" s="8">
        <v>0</v>
      </c>
      <c r="F24210" s="8">
        <v>129</v>
      </c>
    </row>
    <row r="24211" spans="1:6" ht="12.75">
      <c r="A24211" s="8">
        <v>43893.504918981482</v>
      </c>
      <c r="B24211" s="8" t="str">
        <f>HYPERLINK("https://twitter.com/akbarsugiharto_","@akbarsugiharto_")</f>
        <v>@akbarsugiharto_</v>
      </c>
      <c r="C24211" s="8" t="s">
        <v>2962</v>
      </c>
      <c r="D24211" s="8">
        <v>5351</v>
      </c>
      <c r="E24211" s="8">
        <v>0</v>
      </c>
      <c r="F24211" s="8">
        <v>108</v>
      </c>
    </row>
    <row r="24212" spans="1:6" ht="12.75">
      <c r="A24212" s="8">
        <v>43893.504837962959</v>
      </c>
      <c r="B24212" s="8" t="str">
        <f>HYPERLINK("https://twitter.com/kicepkicep","@kicepkicep")</f>
        <v>@kicepkicep</v>
      </c>
      <c r="C24212" s="8" t="s">
        <v>9614</v>
      </c>
      <c r="D24212" s="8">
        <v>136</v>
      </c>
      <c r="E24212" s="8">
        <v>0</v>
      </c>
      <c r="F24212" s="8">
        <v>1251</v>
      </c>
    </row>
    <row r="24213" spans="1:6" ht="12.75">
      <c r="A24213" s="8">
        <v>43893.504803240736</v>
      </c>
      <c r="B24213" s="8" t="str">
        <f>HYPERLINK("https://twitter.com/saiacantiq","@saiacantiq")</f>
        <v>@saiacantiq</v>
      </c>
      <c r="C24213" s="8" t="s">
        <v>9295</v>
      </c>
      <c r="D24213" s="8">
        <v>227</v>
      </c>
      <c r="E24213" s="8">
        <v>0</v>
      </c>
      <c r="F24213" s="8">
        <v>1396</v>
      </c>
    </row>
    <row r="24214" spans="1:6" ht="12.75">
      <c r="A24214" s="8">
        <v>43893.504687499997</v>
      </c>
      <c r="B24214" s="8" t="str">
        <f>HYPERLINK("https://twitter.com/harakatuna","@harakatuna")</f>
        <v>@harakatuna</v>
      </c>
      <c r="C24214" s="8" t="s">
        <v>9776</v>
      </c>
      <c r="D24214" s="8">
        <v>0</v>
      </c>
      <c r="E24214" s="8">
        <v>0</v>
      </c>
      <c r="F24214" s="8">
        <v>417</v>
      </c>
    </row>
    <row r="24215" spans="1:6" ht="12.75">
      <c r="A24215" s="8">
        <v>43893.504583333328</v>
      </c>
      <c r="B24215" s="8" t="str">
        <f>HYPERLINK("https://twitter.com/Autumn_SunFlo","@Autumn_SunFlo")</f>
        <v>@Autumn_SunFlo</v>
      </c>
      <c r="C24215" s="8" t="s">
        <v>8776</v>
      </c>
      <c r="D24215" s="8">
        <v>188</v>
      </c>
      <c r="E24215" s="8">
        <v>0</v>
      </c>
      <c r="F24215" s="8">
        <v>133</v>
      </c>
    </row>
    <row r="24216" spans="1:6" ht="12.75">
      <c r="A24216" s="8">
        <v>43893.504560185189</v>
      </c>
      <c r="B24216" s="8" t="str">
        <f>HYPERLINK("https://twitter.com/kangdeniwae","@kangdeniwae")</f>
        <v>@kangdeniwae</v>
      </c>
      <c r="C24216" s="8" t="s">
        <v>1970</v>
      </c>
      <c r="D24216" s="8">
        <v>891</v>
      </c>
      <c r="E24216" s="8">
        <v>0</v>
      </c>
      <c r="F24216" s="8">
        <v>8</v>
      </c>
    </row>
    <row r="24217" spans="1:6" ht="12.75">
      <c r="A24217" s="8">
        <v>43893.504502314812</v>
      </c>
      <c r="B24217" s="8" t="str">
        <f>HYPERLINK("https://twitter.com/efafaiqh_","@efafaiqh_")</f>
        <v>@efafaiqh_</v>
      </c>
      <c r="C24217" s="8" t="s">
        <v>2199</v>
      </c>
      <c r="D24217" s="8">
        <v>8857</v>
      </c>
      <c r="E24217" s="8">
        <v>0</v>
      </c>
      <c r="F24217" s="8">
        <v>367</v>
      </c>
    </row>
    <row r="24218" spans="1:6" ht="12.75">
      <c r="A24218" s="8">
        <v>43893.504467592589</v>
      </c>
      <c r="B24218" s="8" t="str">
        <f>HYPERLINK("https://twitter.com/Sayline5","@Sayline5")</f>
        <v>@Sayline5</v>
      </c>
      <c r="C24218" s="8" t="s">
        <v>9777</v>
      </c>
      <c r="D24218" s="8">
        <v>0</v>
      </c>
      <c r="E24218" s="8">
        <v>0</v>
      </c>
      <c r="F24218" s="8">
        <v>61</v>
      </c>
    </row>
    <row r="24219" spans="1:6" ht="12.75">
      <c r="A24219" s="8">
        <v>43893.504409722227</v>
      </c>
      <c r="B24219" s="8" t="str">
        <f>HYPERLINK("https://twitter.com/RDKFM","@RDKFM")</f>
        <v>@RDKFM</v>
      </c>
      <c r="C24219" s="8" t="s">
        <v>9778</v>
      </c>
      <c r="D24219" s="8">
        <v>0</v>
      </c>
      <c r="E24219" s="8">
        <v>0</v>
      </c>
      <c r="F24219" s="8">
        <v>4255</v>
      </c>
    </row>
    <row r="24220" spans="1:6" ht="12.75">
      <c r="A24220" s="8">
        <v>43893.504398148143</v>
      </c>
      <c r="B24220" s="8" t="str">
        <f>HYPERLINK("https://twitter.com/qhusaeni72","@qhusaeni72")</f>
        <v>@qhusaeni72</v>
      </c>
      <c r="C24220" s="8" t="s">
        <v>8322</v>
      </c>
      <c r="D24220" s="8">
        <v>734</v>
      </c>
      <c r="E24220" s="8">
        <v>0</v>
      </c>
      <c r="F24220" s="8">
        <v>814</v>
      </c>
    </row>
    <row r="24221" spans="1:6" ht="12.75">
      <c r="A24221" s="8">
        <v>43893.504375000004</v>
      </c>
      <c r="B24221" s="8" t="str">
        <f>HYPERLINK("https://twitter.com/bgs_aulia","@bgs_aulia")</f>
        <v>@bgs_aulia</v>
      </c>
      <c r="C24221" s="8" t="s">
        <v>2199</v>
      </c>
      <c r="D24221" s="8">
        <v>8857</v>
      </c>
      <c r="E24221" s="8">
        <v>0</v>
      </c>
      <c r="F24221" s="8">
        <v>467</v>
      </c>
    </row>
    <row r="24222" spans="1:6" ht="12.75">
      <c r="A24222" s="8">
        <v>43893.504120370373</v>
      </c>
      <c r="B24222" s="8" t="str">
        <f>HYPERLINK("https://twitter.com/AbuArmy78","@AbuArmy78")</f>
        <v>@AbuArmy78</v>
      </c>
      <c r="C24222" s="8" t="s">
        <v>4477</v>
      </c>
      <c r="D24222" s="8">
        <v>1113</v>
      </c>
      <c r="E24222" s="8">
        <v>0</v>
      </c>
      <c r="F24222" s="8">
        <v>103</v>
      </c>
    </row>
    <row r="24223" spans="1:6" ht="12.75">
      <c r="A24223" s="8">
        <v>43893.50408564815</v>
      </c>
      <c r="B24223" s="8" t="str">
        <f>HYPERLINK("https://twitter.com/sie_mumun","@sie_mumun")</f>
        <v>@sie_mumun</v>
      </c>
      <c r="C24223" s="8" t="s">
        <v>9779</v>
      </c>
      <c r="D24223" s="8">
        <v>39</v>
      </c>
      <c r="E24223" s="8">
        <v>0</v>
      </c>
      <c r="F24223" s="8">
        <v>253</v>
      </c>
    </row>
    <row r="24224" spans="1:6" ht="12.75">
      <c r="A24224" s="8">
        <v>43893.504062499997</v>
      </c>
      <c r="B24224" s="8" t="str">
        <f>HYPERLINK("https://twitter.com/opp_happ73","@opp_happ73")</f>
        <v>@opp_happ73</v>
      </c>
      <c r="C24224" s="8" t="s">
        <v>9780</v>
      </c>
      <c r="D24224" s="8">
        <v>50</v>
      </c>
      <c r="E24224" s="8">
        <v>0</v>
      </c>
      <c r="F24224" s="8">
        <v>395</v>
      </c>
    </row>
    <row r="24225" spans="1:6" ht="12.75">
      <c r="A24225" s="8">
        <v>43893.504062499997</v>
      </c>
      <c r="B24225" s="8" t="str">
        <f>HYPERLINK("https://twitter.com/elytagevy","@elytagevy")</f>
        <v>@elytagevy</v>
      </c>
      <c r="C24225" s="8" t="s">
        <v>9781</v>
      </c>
      <c r="D24225" s="8">
        <v>0</v>
      </c>
      <c r="E24225" s="8">
        <v>0</v>
      </c>
      <c r="F24225" s="8">
        <v>11</v>
      </c>
    </row>
    <row r="24226" spans="1:6" ht="12.75">
      <c r="A24226" s="8">
        <v>43893.504027777773</v>
      </c>
      <c r="B24226" s="8" t="str">
        <f>HYPERLINK("https://twitter.com/cilokbarbekyu","@cilokbarbekyu")</f>
        <v>@cilokbarbekyu</v>
      </c>
      <c r="C24226" s="8" t="s">
        <v>2962</v>
      </c>
      <c r="D24226" s="8">
        <v>5351</v>
      </c>
      <c r="E24226" s="8">
        <v>0</v>
      </c>
      <c r="F24226" s="8">
        <v>61</v>
      </c>
    </row>
    <row r="24227" spans="1:6" ht="12.75">
      <c r="A24227" s="8">
        <v>43893.504016203704</v>
      </c>
      <c r="B24227" s="8" t="str">
        <f>HYPERLINK("https://twitter.com/AgnesFransisc12","@AgnesFransisc12")</f>
        <v>@AgnesFransisc12</v>
      </c>
      <c r="C24227" s="8" t="s">
        <v>2199</v>
      </c>
      <c r="D24227" s="8">
        <v>8857</v>
      </c>
      <c r="E24227" s="8">
        <v>0</v>
      </c>
      <c r="F24227" s="8">
        <v>35</v>
      </c>
    </row>
    <row r="24228" spans="1:6" ht="12.75">
      <c r="A24228" s="8">
        <v>43893.50399305555</v>
      </c>
      <c r="B24228" s="8" t="str">
        <f>HYPERLINK("https://twitter.com/damaReja","@damaReja")</f>
        <v>@damaReja</v>
      </c>
      <c r="C24228" s="8" t="s">
        <v>1986</v>
      </c>
      <c r="D24228" s="8">
        <v>751</v>
      </c>
      <c r="E24228" s="8">
        <v>0</v>
      </c>
      <c r="F24228" s="8">
        <v>422</v>
      </c>
    </row>
    <row r="24229" spans="1:6" ht="12.75">
      <c r="A24229" s="8">
        <v>43893.503958333335</v>
      </c>
      <c r="B24229" s="8" t="str">
        <f>HYPERLINK("https://twitter.com/ALELDUL78974998","@ALELDUL78974998")</f>
        <v>@ALELDUL78974998</v>
      </c>
      <c r="C24229" s="8" t="s">
        <v>8322</v>
      </c>
      <c r="D24229" s="8">
        <v>734</v>
      </c>
      <c r="E24229" s="8">
        <v>0</v>
      </c>
      <c r="F24229" s="8">
        <v>2</v>
      </c>
    </row>
    <row r="24230" spans="1:6" ht="12.75">
      <c r="A24230" s="8">
        <v>43893.503796296296</v>
      </c>
      <c r="B24230" s="8" t="str">
        <f>HYPERLINK("https://twitter.com/abrvv0nsugar","@abrvv0nsugar")</f>
        <v>@abrvv0nsugar</v>
      </c>
      <c r="C24230" s="8" t="s">
        <v>9295</v>
      </c>
      <c r="D24230" s="8">
        <v>227</v>
      </c>
      <c r="E24230" s="8">
        <v>0</v>
      </c>
      <c r="F24230" s="8">
        <v>1396</v>
      </c>
    </row>
    <row r="24231" spans="1:6" ht="12.75">
      <c r="A24231" s="8">
        <v>43893.503784722227</v>
      </c>
      <c r="B24231" s="8" t="str">
        <f>HYPERLINK("https://twitter.com/katatodaycom","@katatodaycom")</f>
        <v>@katatodaycom</v>
      </c>
      <c r="C24231" s="8" t="s">
        <v>9782</v>
      </c>
      <c r="D24231" s="8">
        <v>0</v>
      </c>
      <c r="E24231" s="8">
        <v>0</v>
      </c>
      <c r="F24231" s="8">
        <v>1179</v>
      </c>
    </row>
    <row r="24232" spans="1:6" ht="12.75">
      <c r="A24232" s="8">
        <v>43893.50377314815</v>
      </c>
      <c r="B24232" s="8" t="str">
        <f>HYPERLINK("https://twitter.com/luthfi_11","@luthfi_11")</f>
        <v>@luthfi_11</v>
      </c>
      <c r="C24232" s="8" t="s">
        <v>2199</v>
      </c>
      <c r="D24232" s="8">
        <v>8857</v>
      </c>
      <c r="E24232" s="8">
        <v>0</v>
      </c>
      <c r="F24232" s="8">
        <v>4899</v>
      </c>
    </row>
    <row r="24233" spans="1:6" ht="12.75">
      <c r="A24233" s="8">
        <v>43893.503761574073</v>
      </c>
      <c r="B24233" s="8" t="str">
        <f>HYPERLINK("https://twitter.com/alihami_hamdan","@alihami_hamdan")</f>
        <v>@alihami_hamdan</v>
      </c>
      <c r="C24233" s="8" t="s">
        <v>1970</v>
      </c>
      <c r="D24233" s="8">
        <v>891</v>
      </c>
      <c r="E24233" s="8">
        <v>0</v>
      </c>
      <c r="F24233" s="8">
        <v>12</v>
      </c>
    </row>
    <row r="24234" spans="1:6" ht="12.75">
      <c r="A24234" s="8">
        <v>43893.503703703704</v>
      </c>
      <c r="B24234" s="8" t="str">
        <f>HYPERLINK("https://twitter.com/damaReja","@damaReja")</f>
        <v>@damaReja</v>
      </c>
      <c r="C24234" s="8" t="s">
        <v>2199</v>
      </c>
      <c r="D24234" s="8">
        <v>8857</v>
      </c>
      <c r="E24234" s="8">
        <v>0</v>
      </c>
      <c r="F24234" s="8">
        <v>422</v>
      </c>
    </row>
    <row r="24235" spans="1:6" ht="12.75">
      <c r="A24235" s="8">
        <v>43893.503692129627</v>
      </c>
      <c r="B24235" s="8" t="str">
        <f>HYPERLINK("https://twitter.com/hartatahtasenja","@hartatahtasenja")</f>
        <v>@hartatahtasenja</v>
      </c>
      <c r="C24235" s="8" t="s">
        <v>9783</v>
      </c>
      <c r="D24235" s="8">
        <v>1</v>
      </c>
      <c r="E24235" s="8">
        <v>0</v>
      </c>
      <c r="F24235" s="8">
        <v>850</v>
      </c>
    </row>
    <row r="24236" spans="1:6" ht="12.75">
      <c r="A24236" s="8">
        <v>43893.503634259258</v>
      </c>
      <c r="B24236" s="8" t="str">
        <f>HYPERLINK("https://twitter.com/bintangbete","@bintangbete")</f>
        <v>@bintangbete</v>
      </c>
      <c r="C24236" s="8" t="s">
        <v>1986</v>
      </c>
      <c r="D24236" s="8">
        <v>751</v>
      </c>
      <c r="E24236" s="8">
        <v>0</v>
      </c>
      <c r="F24236" s="8">
        <v>66744</v>
      </c>
    </row>
    <row r="24237" spans="1:6" ht="12.75">
      <c r="A24237" s="8">
        <v>43893.503530092596</v>
      </c>
      <c r="B24237" s="8" t="str">
        <f>HYPERLINK("https://twitter.com/AlfaOmega0110","@AlfaOmega0110")</f>
        <v>@AlfaOmega0110</v>
      </c>
      <c r="C24237" s="8" t="s">
        <v>9784</v>
      </c>
      <c r="D24237" s="8">
        <v>2</v>
      </c>
      <c r="E24237" s="8">
        <v>0</v>
      </c>
      <c r="F24237" s="8">
        <v>1278</v>
      </c>
    </row>
    <row r="24238" spans="1:6" ht="12.75">
      <c r="A24238" s="8">
        <v>43893.503518518519</v>
      </c>
      <c r="B24238" s="8" t="str">
        <f>HYPERLINK("https://twitter.com/reregigitata","@reregigitata")</f>
        <v>@reregigitata</v>
      </c>
      <c r="C24238" s="8" t="s">
        <v>2962</v>
      </c>
      <c r="D24238" s="8">
        <v>5351</v>
      </c>
      <c r="E24238" s="8">
        <v>0</v>
      </c>
      <c r="F24238" s="8">
        <v>89</v>
      </c>
    </row>
    <row r="24239" spans="1:6" ht="12.75">
      <c r="A24239" s="8">
        <v>43893.503298611111</v>
      </c>
      <c r="B24239" s="8" t="str">
        <f>HYPERLINK("https://twitter.com/pontianakpost1","@pontianakpost1")</f>
        <v>@pontianakpost1</v>
      </c>
      <c r="C24239" s="8" t="s">
        <v>9785</v>
      </c>
      <c r="D24239" s="8">
        <v>0</v>
      </c>
      <c r="E24239" s="8">
        <v>0</v>
      </c>
      <c r="F24239" s="8">
        <v>1393</v>
      </c>
    </row>
    <row r="24240" spans="1:6" ht="12.75">
      <c r="A24240" s="8">
        <v>43893.503136574072</v>
      </c>
      <c r="B24240" s="8" t="str">
        <f>HYPERLINK("https://twitter.com/Kssstal","@Kssstal")</f>
        <v>@Kssstal</v>
      </c>
      <c r="C24240" s="8" t="s">
        <v>1427</v>
      </c>
      <c r="D24240" s="8">
        <v>855</v>
      </c>
      <c r="E24240" s="8">
        <v>0</v>
      </c>
      <c r="F24240" s="8">
        <v>10</v>
      </c>
    </row>
    <row r="24241" spans="1:6" ht="12.75">
      <c r="A24241" s="8">
        <v>43893.503055555557</v>
      </c>
      <c r="B24241" s="8" t="str">
        <f>HYPERLINK("https://twitter.com/danutapr","@danutapr")</f>
        <v>@danutapr</v>
      </c>
      <c r="C24241" s="8" t="s">
        <v>2962</v>
      </c>
      <c r="D24241" s="8">
        <v>5351</v>
      </c>
      <c r="E24241" s="8">
        <v>0</v>
      </c>
      <c r="F24241" s="8">
        <v>647</v>
      </c>
    </row>
    <row r="24242" spans="1:6" ht="12.75">
      <c r="A24242" s="8">
        <v>43893.503032407403</v>
      </c>
      <c r="B24242" s="8" t="str">
        <f>HYPERLINK("https://twitter.com/wildasafiraa","@wildasafiraa")</f>
        <v>@wildasafiraa</v>
      </c>
      <c r="C24242" s="8" t="s">
        <v>9786</v>
      </c>
      <c r="D24242" s="8">
        <v>3</v>
      </c>
      <c r="E24242" s="8">
        <v>0</v>
      </c>
      <c r="F24242" s="8">
        <v>313</v>
      </c>
    </row>
    <row r="24243" spans="1:6" ht="12.75">
      <c r="A24243" s="8">
        <v>43893.502951388888</v>
      </c>
      <c r="B24243" s="8" t="str">
        <f>HYPERLINK("https://twitter.com/onomsalam2pas","@onomsalam2pas")</f>
        <v>@onomsalam2pas</v>
      </c>
      <c r="C24243" s="8" t="s">
        <v>6862</v>
      </c>
      <c r="D24243" s="8">
        <v>44</v>
      </c>
      <c r="E24243" s="8">
        <v>0</v>
      </c>
      <c r="F24243" s="8">
        <v>479</v>
      </c>
    </row>
    <row r="24244" spans="1:6" ht="12.75">
      <c r="A24244" s="8">
        <v>43893.502870370372</v>
      </c>
      <c r="B24244" s="8" t="str">
        <f>HYPERLINK("https://twitter.com/ameng_ee","@ameng_ee")</f>
        <v>@ameng_ee</v>
      </c>
      <c r="C24244" s="8" t="s">
        <v>8827</v>
      </c>
      <c r="D24244" s="8">
        <v>57</v>
      </c>
      <c r="E24244" s="8">
        <v>0</v>
      </c>
      <c r="F24244" s="8">
        <v>13</v>
      </c>
    </row>
    <row r="24245" spans="1:6" ht="12.75">
      <c r="A24245" s="8">
        <v>43893.502812499995</v>
      </c>
      <c r="B24245" s="8" t="str">
        <f>HYPERLINK("https://twitter.com/Fredy_Santana01","@Fredy_Santana01")</f>
        <v>@Fredy_Santana01</v>
      </c>
      <c r="C24245" s="8" t="s">
        <v>1970</v>
      </c>
      <c r="D24245" s="8">
        <v>891</v>
      </c>
      <c r="E24245" s="8">
        <v>0</v>
      </c>
      <c r="F24245" s="8">
        <v>1705</v>
      </c>
    </row>
    <row r="24246" spans="1:6" ht="12.75">
      <c r="A24246" s="8">
        <v>43893.502800925926</v>
      </c>
      <c r="B24246" s="8" t="str">
        <f>HYPERLINK("https://twitter.com/awitsilutahK","@awitsilutahK")</f>
        <v>@awitsilutahK</v>
      </c>
      <c r="C24246" s="8" t="s">
        <v>1970</v>
      </c>
      <c r="D24246" s="8">
        <v>891</v>
      </c>
      <c r="E24246" s="8">
        <v>0</v>
      </c>
      <c r="F24246" s="8">
        <v>128</v>
      </c>
    </row>
    <row r="24247" spans="1:6" ht="12.75">
      <c r="A24247" s="8">
        <v>43893.502789351856</v>
      </c>
      <c r="B24247" s="8" t="str">
        <f>HYPERLINK("https://twitter.com/onomsalam2pas","@onomsalam2pas")</f>
        <v>@onomsalam2pas</v>
      </c>
      <c r="C24247" s="8" t="s">
        <v>9541</v>
      </c>
      <c r="D24247" s="8">
        <v>5</v>
      </c>
      <c r="E24247" s="8">
        <v>0</v>
      </c>
      <c r="F24247" s="8">
        <v>479</v>
      </c>
    </row>
    <row r="24248" spans="1:6" ht="12.75">
      <c r="A24248" s="8">
        <v>43893.502685185187</v>
      </c>
      <c r="B24248" s="8" t="str">
        <f>HYPERLINK("https://twitter.com/ijenannhae","@ijenannhae")</f>
        <v>@ijenannhae</v>
      </c>
      <c r="C24248" s="8" t="s">
        <v>9295</v>
      </c>
      <c r="D24248" s="8">
        <v>227</v>
      </c>
      <c r="E24248" s="8">
        <v>0</v>
      </c>
      <c r="F24248" s="8">
        <v>1661</v>
      </c>
    </row>
    <row r="24249" spans="1:6" ht="12.75">
      <c r="A24249" s="8">
        <v>43893.502557870372</v>
      </c>
      <c r="B24249" s="8" t="str">
        <f>HYPERLINK("https://twitter.com/wiwinwajhudi","@wiwinwajhudi")</f>
        <v>@wiwinwajhudi</v>
      </c>
      <c r="C24249" s="8" t="s">
        <v>9768</v>
      </c>
      <c r="D24249" s="8">
        <v>114</v>
      </c>
      <c r="E24249" s="8">
        <v>0</v>
      </c>
      <c r="F24249" s="8">
        <v>45</v>
      </c>
    </row>
    <row r="24250" spans="1:6" ht="12.75">
      <c r="A24250" s="8">
        <v>43893.502534722225</v>
      </c>
      <c r="B24250" s="8" t="str">
        <f>HYPERLINK("https://twitter.com/KangGojek8","@KangGojek8")</f>
        <v>@KangGojek8</v>
      </c>
      <c r="C24250" s="8" t="s">
        <v>9787</v>
      </c>
      <c r="D24250" s="8">
        <v>0</v>
      </c>
      <c r="E24250" s="8">
        <v>1</v>
      </c>
      <c r="F24250" s="8">
        <v>1</v>
      </c>
    </row>
    <row r="24251" spans="1:6" ht="12.75">
      <c r="A24251" s="8">
        <v>43893.502523148149</v>
      </c>
      <c r="B24251" s="8" t="str">
        <f>HYPERLINK("https://twitter.com/deaironi","@deaironi")</f>
        <v>@deaironi</v>
      </c>
      <c r="C24251" s="8" t="s">
        <v>8827</v>
      </c>
      <c r="D24251" s="8">
        <v>57</v>
      </c>
      <c r="E24251" s="8">
        <v>0</v>
      </c>
      <c r="F24251" s="8">
        <v>123</v>
      </c>
    </row>
    <row r="24252" spans="1:6" ht="12.75">
      <c r="A24252" s="8">
        <v>43893.502407407403</v>
      </c>
      <c r="B24252" s="8" t="str">
        <f>HYPERLINK("https://twitter.com/KaimanaPoem","@KaimanaPoem")</f>
        <v>@KaimanaPoem</v>
      </c>
      <c r="C24252" s="8" t="s">
        <v>9788</v>
      </c>
      <c r="D24252" s="8">
        <v>0</v>
      </c>
      <c r="E24252" s="8">
        <v>0</v>
      </c>
      <c r="F24252" s="8">
        <v>1313</v>
      </c>
    </row>
    <row r="24253" spans="1:6" ht="12.75">
      <c r="A24253" s="8">
        <v>43893.50236111111</v>
      </c>
      <c r="B24253" s="8" t="str">
        <f>HYPERLINK("https://twitter.com/FaisalRhodes1","@FaisalRhodes1")</f>
        <v>@FaisalRhodes1</v>
      </c>
      <c r="C24253" s="8" t="s">
        <v>8827</v>
      </c>
      <c r="D24253" s="8">
        <v>57</v>
      </c>
      <c r="E24253" s="8">
        <v>0</v>
      </c>
      <c r="F24253" s="8">
        <v>114</v>
      </c>
    </row>
    <row r="24254" spans="1:6" ht="12.75">
      <c r="A24254" s="8">
        <v>43893.502326388887</v>
      </c>
      <c r="B24254" s="8" t="str">
        <f>HYPERLINK("https://twitter.com/lilsnaily","@lilsnaily")</f>
        <v>@lilsnaily</v>
      </c>
      <c r="C24254" s="8" t="s">
        <v>2199</v>
      </c>
      <c r="D24254" s="8">
        <v>8857</v>
      </c>
      <c r="E24254" s="8">
        <v>0</v>
      </c>
      <c r="F24254" s="8">
        <v>504</v>
      </c>
    </row>
    <row r="24255" spans="1:6" ht="12.75">
      <c r="A24255" s="8">
        <v>43893.502280092594</v>
      </c>
      <c r="B24255" s="8" t="str">
        <f>HYPERLINK("https://twitter.com/maylafaydira","@maylafaydira")</f>
        <v>@maylafaydira</v>
      </c>
      <c r="C24255" s="8" t="s">
        <v>9789</v>
      </c>
      <c r="D24255" s="8">
        <v>56</v>
      </c>
      <c r="E24255" s="8">
        <v>0</v>
      </c>
      <c r="F24255" s="8">
        <v>346</v>
      </c>
    </row>
    <row r="24256" spans="1:6" ht="12.75">
      <c r="A24256" s="8">
        <v>43893.50209490741</v>
      </c>
      <c r="B24256" s="8" t="str">
        <f>HYPERLINK("https://twitter.com/AsgharAyie","@AsgharAyie")</f>
        <v>@AsgharAyie</v>
      </c>
      <c r="C24256" s="8" t="s">
        <v>9790</v>
      </c>
      <c r="D24256" s="8">
        <v>0</v>
      </c>
      <c r="E24256" s="8">
        <v>0</v>
      </c>
      <c r="F24256" s="8">
        <v>143</v>
      </c>
    </row>
    <row r="24257" spans="1:6" ht="12.75">
      <c r="A24257" s="8">
        <v>43893.502071759256</v>
      </c>
      <c r="B24257" s="8" t="str">
        <f>HYPERLINK("https://twitter.com/wenengsandewa","@wenengsandewa")</f>
        <v>@wenengsandewa</v>
      </c>
      <c r="C24257" s="8" t="s">
        <v>2962</v>
      </c>
      <c r="D24257" s="8">
        <v>5351</v>
      </c>
      <c r="E24257" s="8">
        <v>0</v>
      </c>
      <c r="F24257" s="8">
        <v>179</v>
      </c>
    </row>
    <row r="24258" spans="1:6" ht="12.75">
      <c r="A24258" s="8">
        <v>43893.502013888894</v>
      </c>
      <c r="B24258" s="8" t="str">
        <f>HYPERLINK("https://twitter.com/Kode_Bagus","@Kode_Bagus")</f>
        <v>@Kode_Bagus</v>
      </c>
      <c r="C24258" s="8" t="s">
        <v>7254</v>
      </c>
      <c r="D24258" s="8">
        <v>12</v>
      </c>
      <c r="E24258" s="8">
        <v>0</v>
      </c>
      <c r="F24258" s="8">
        <v>4</v>
      </c>
    </row>
    <row r="24259" spans="1:6" ht="12.75">
      <c r="A24259" s="8">
        <v>43893.50199074074</v>
      </c>
      <c r="B24259" s="8" t="str">
        <f>HYPERLINK("https://twitter.com/cutiecatjen_","@cutiecatjen_")</f>
        <v>@cutiecatjen_</v>
      </c>
      <c r="C24259" s="8" t="s">
        <v>2962</v>
      </c>
      <c r="D24259" s="8">
        <v>5351</v>
      </c>
      <c r="E24259" s="8">
        <v>0</v>
      </c>
      <c r="F24259" s="8">
        <v>2158</v>
      </c>
    </row>
    <row r="24260" spans="1:6" ht="12.75">
      <c r="A24260" s="8">
        <v>43893.501979166671</v>
      </c>
      <c r="B24260" s="8" t="str">
        <f>HYPERLINK("https://twitter.com/sendysuwanto","@sendysuwanto")</f>
        <v>@sendysuwanto</v>
      </c>
      <c r="C24260" s="8" t="s">
        <v>9146</v>
      </c>
      <c r="D24260" s="8">
        <v>32</v>
      </c>
      <c r="E24260" s="8">
        <v>0</v>
      </c>
      <c r="F24260" s="8">
        <v>1017</v>
      </c>
    </row>
    <row r="24261" spans="1:6" ht="12.75">
      <c r="A24261" s="8">
        <v>43893.501956018517</v>
      </c>
      <c r="B24261" s="8" t="str">
        <f>HYPERLINK("https://twitter.com/ALELDUL78974998","@ALELDUL78974998")</f>
        <v>@ALELDUL78974998</v>
      </c>
      <c r="C24261" s="8" t="s">
        <v>4477</v>
      </c>
      <c r="D24261" s="8">
        <v>1113</v>
      </c>
      <c r="E24261" s="8">
        <v>0</v>
      </c>
      <c r="F24261" s="8">
        <v>2</v>
      </c>
    </row>
    <row r="24262" spans="1:6" ht="12.75">
      <c r="A24262" s="8">
        <v>43893.501944444448</v>
      </c>
      <c r="B24262" s="8" t="str">
        <f>HYPERLINK("https://twitter.com/bianglala09","@bianglala09")</f>
        <v>@bianglala09</v>
      </c>
      <c r="C24262" s="8" t="s">
        <v>9087</v>
      </c>
      <c r="D24262" s="8">
        <v>18</v>
      </c>
      <c r="E24262" s="8">
        <v>0</v>
      </c>
      <c r="F24262" s="8">
        <v>212</v>
      </c>
    </row>
    <row r="24263" spans="1:6" ht="12.75">
      <c r="A24263" s="8">
        <v>43893.501875000002</v>
      </c>
      <c r="B24263" s="8" t="str">
        <f>HYPERLINK("https://twitter.com/icutema","@icutema")</f>
        <v>@icutema</v>
      </c>
      <c r="C24263" s="8" t="s">
        <v>9791</v>
      </c>
      <c r="D24263" s="8">
        <v>0</v>
      </c>
      <c r="E24263" s="8">
        <v>0</v>
      </c>
      <c r="F24263" s="8">
        <v>618</v>
      </c>
    </row>
    <row r="24264" spans="1:6" ht="12.75">
      <c r="A24264" s="8">
        <v>43893.501875000002</v>
      </c>
      <c r="B24264" s="8" t="str">
        <f>HYPERLINK("https://twitter.com/christjustsaid","@christjustsaid")</f>
        <v>@christjustsaid</v>
      </c>
      <c r="C24264" s="8" t="s">
        <v>1145</v>
      </c>
      <c r="D24264" s="8">
        <v>498</v>
      </c>
      <c r="E24264" s="8">
        <v>0</v>
      </c>
      <c r="F24264" s="8">
        <v>121</v>
      </c>
    </row>
    <row r="24265" spans="1:6" ht="12.75">
      <c r="A24265" s="8">
        <v>43893.501851851848</v>
      </c>
      <c r="B24265" s="8" t="str">
        <f>HYPERLINK("https://twitter.com/buttass_slapper","@buttass_slapper")</f>
        <v>@buttass_slapper</v>
      </c>
      <c r="C24265" s="8" t="s">
        <v>7597</v>
      </c>
      <c r="D24265" s="8">
        <v>662</v>
      </c>
      <c r="E24265" s="8">
        <v>0</v>
      </c>
      <c r="F24265" s="8">
        <v>4</v>
      </c>
    </row>
    <row r="24266" spans="1:6" ht="12.75">
      <c r="A24266" s="8">
        <v>43893.50167824074</v>
      </c>
      <c r="B24266" s="8" t="str">
        <f>HYPERLINK("https://twitter.com/zaqvo","@zaqvo")</f>
        <v>@zaqvo</v>
      </c>
      <c r="C24266" s="8" t="s">
        <v>9326</v>
      </c>
      <c r="D24266" s="8">
        <v>2</v>
      </c>
      <c r="E24266" s="8">
        <v>0</v>
      </c>
      <c r="F24266" s="8">
        <v>2896</v>
      </c>
    </row>
    <row r="24267" spans="1:6" ht="12.75">
      <c r="A24267" s="8">
        <v>43893.501608796301</v>
      </c>
      <c r="B24267" s="8" t="str">
        <f>HYPERLINK("https://twitter.com/Berita7dotid","@Berita7dotid")</f>
        <v>@Berita7dotid</v>
      </c>
      <c r="C24267" s="8" t="s">
        <v>9792</v>
      </c>
      <c r="D24267" s="8">
        <v>0</v>
      </c>
      <c r="E24267" s="8">
        <v>0</v>
      </c>
      <c r="F24267" s="8">
        <v>2558</v>
      </c>
    </row>
    <row r="24268" spans="1:6" ht="12.75">
      <c r="A24268" s="8">
        <v>43893.501493055555</v>
      </c>
      <c r="B24268" s="8" t="str">
        <f>HYPERLINK("https://twitter.com/irinaddrizki","@irinaddrizki")</f>
        <v>@irinaddrizki</v>
      </c>
      <c r="C24268" s="8" t="s">
        <v>8155</v>
      </c>
      <c r="D24268" s="8">
        <v>18</v>
      </c>
      <c r="E24268" s="8">
        <v>0</v>
      </c>
      <c r="F24268" s="8">
        <v>9</v>
      </c>
    </row>
    <row r="24269" spans="1:6" ht="12.75">
      <c r="A24269" s="8">
        <v>43893.501458333332</v>
      </c>
      <c r="B24269" s="8" t="str">
        <f>HYPERLINK("https://twitter.com/hendrikusuma09","@hendrikusuma09")</f>
        <v>@hendrikusuma09</v>
      </c>
      <c r="C24269" s="8" t="s">
        <v>7661</v>
      </c>
      <c r="D24269" s="8">
        <v>457</v>
      </c>
      <c r="E24269" s="8">
        <v>0</v>
      </c>
      <c r="F24269" s="8">
        <v>1016</v>
      </c>
    </row>
    <row r="24270" spans="1:6" ht="12.75">
      <c r="A24270" s="8">
        <v>43893.501435185186</v>
      </c>
      <c r="B24270" s="8" t="str">
        <f>HYPERLINK("https://twitter.com/VIVAcoid","@VIVAcoid")</f>
        <v>@VIVAcoid</v>
      </c>
      <c r="C24270" s="8" t="s">
        <v>9793</v>
      </c>
      <c r="D24270" s="8">
        <v>1</v>
      </c>
      <c r="E24270" s="8">
        <v>0</v>
      </c>
      <c r="F24270" s="8">
        <v>4174479</v>
      </c>
    </row>
    <row r="24271" spans="1:6" ht="12.75">
      <c r="A24271" s="8">
        <v>43893.501388888893</v>
      </c>
      <c r="B24271" s="8" t="str">
        <f>HYPERLINK("https://twitter.com/Keterbatasan234","@Keterbatasan234")</f>
        <v>@Keterbatasan234</v>
      </c>
      <c r="C24271" s="8" t="s">
        <v>6862</v>
      </c>
      <c r="D24271" s="8">
        <v>44</v>
      </c>
      <c r="E24271" s="8">
        <v>0</v>
      </c>
      <c r="F24271" s="8">
        <v>209</v>
      </c>
    </row>
    <row r="24272" spans="1:6" ht="12.75">
      <c r="A24272" s="8">
        <v>43893.501342592594</v>
      </c>
      <c r="B24272" s="8" t="str">
        <f>HYPERLINK("https://twitter.com/pirdaaaa_","@pirdaaaa_")</f>
        <v>@pirdaaaa_</v>
      </c>
      <c r="C24272" s="8" t="s">
        <v>2199</v>
      </c>
      <c r="D24272" s="8">
        <v>8857</v>
      </c>
      <c r="E24272" s="8">
        <v>0</v>
      </c>
      <c r="F24272" s="8">
        <v>5</v>
      </c>
    </row>
    <row r="24273" spans="1:6" ht="12.75">
      <c r="A24273" s="8">
        <v>43893.501273148147</v>
      </c>
      <c r="B24273" s="8" t="str">
        <f>HYPERLINK("https://twitter.com/mudanuf","@mudanuf")</f>
        <v>@mudanuf</v>
      </c>
      <c r="C24273" s="8" t="s">
        <v>2962</v>
      </c>
      <c r="D24273" s="8">
        <v>5351</v>
      </c>
      <c r="E24273" s="8">
        <v>0</v>
      </c>
      <c r="F24273" s="8">
        <v>69</v>
      </c>
    </row>
    <row r="24274" spans="1:6" ht="12.75">
      <c r="A24274" s="8">
        <v>43893.501261574071</v>
      </c>
      <c r="B24274" s="8" t="str">
        <f>HYPERLINK("https://twitter.com/asundamai","@asundamai")</f>
        <v>@asundamai</v>
      </c>
      <c r="C24274" s="8" t="s">
        <v>8429</v>
      </c>
      <c r="D24274" s="8">
        <v>33</v>
      </c>
      <c r="E24274" s="8">
        <v>0</v>
      </c>
      <c r="F24274" s="8">
        <v>1910</v>
      </c>
    </row>
    <row r="24275" spans="1:6" ht="12.75">
      <c r="A24275" s="8">
        <v>43893.501250000001</v>
      </c>
      <c r="B24275" s="8" t="str">
        <f>HYPERLINK("https://twitter.com/jisatu01","@jisatu01")</f>
        <v>@jisatu01</v>
      </c>
      <c r="C24275" s="8" t="s">
        <v>9595</v>
      </c>
      <c r="D24275" s="8">
        <v>56</v>
      </c>
      <c r="E24275" s="8">
        <v>0</v>
      </c>
      <c r="F24275" s="8">
        <v>6334</v>
      </c>
    </row>
    <row r="24276" spans="1:6" ht="12.75">
      <c r="A24276" s="8">
        <v>43893.501168981486</v>
      </c>
      <c r="B24276" s="8" t="str">
        <f>HYPERLINK("https://twitter.com/hanidputri","@hanidputri")</f>
        <v>@hanidputri</v>
      </c>
      <c r="C24276" s="8" t="s">
        <v>2962</v>
      </c>
      <c r="D24276" s="8">
        <v>5351</v>
      </c>
      <c r="E24276" s="8">
        <v>0</v>
      </c>
      <c r="F24276" s="8">
        <v>793</v>
      </c>
    </row>
    <row r="24277" spans="1:6" ht="12.75">
      <c r="A24277" s="8">
        <v>43893.501145833332</v>
      </c>
      <c r="B24277" s="8" t="str">
        <f>HYPERLINK("https://twitter.com/DikyRaditya1","@DikyRaditya1")</f>
        <v>@DikyRaditya1</v>
      </c>
      <c r="C24277" s="8" t="s">
        <v>9794</v>
      </c>
      <c r="D24277" s="8">
        <v>0</v>
      </c>
      <c r="E24277" s="8">
        <v>0</v>
      </c>
      <c r="F24277" s="8">
        <v>68</v>
      </c>
    </row>
    <row r="24278" spans="1:6" ht="12.75">
      <c r="A24278" s="8">
        <v>43893.501122685186</v>
      </c>
      <c r="B24278" s="8" t="str">
        <f>HYPERLINK("https://twitter.com/Linutttttttt","@Linutttttttt")</f>
        <v>@Linutttttttt</v>
      </c>
      <c r="C24278" s="8" t="s">
        <v>2962</v>
      </c>
      <c r="D24278" s="8">
        <v>5351</v>
      </c>
      <c r="E24278" s="8">
        <v>0</v>
      </c>
      <c r="F24278" s="8">
        <v>714</v>
      </c>
    </row>
    <row r="24279" spans="1:6" ht="12.75">
      <c r="A24279" s="8">
        <v>43893.501087962963</v>
      </c>
      <c r="B24279" s="8" t="str">
        <f>HYPERLINK("https://twitter.com/joshku","@joshku")</f>
        <v>@joshku</v>
      </c>
      <c r="C24279" s="8" t="s">
        <v>1427</v>
      </c>
      <c r="D24279" s="8">
        <v>855</v>
      </c>
      <c r="E24279" s="8">
        <v>0</v>
      </c>
      <c r="F24279" s="8">
        <v>311</v>
      </c>
    </row>
    <row r="24280" spans="1:6" ht="12.75">
      <c r="A24280" s="8">
        <v>43893.465092592596</v>
      </c>
      <c r="B24280" s="8" t="str">
        <f>HYPERLINK("https://twitter.com/Muhamma12807382","@Muhamma12807382")</f>
        <v>@Muhamma12807382</v>
      </c>
      <c r="C24280" s="8" t="s">
        <v>7597</v>
      </c>
      <c r="D24280" s="8">
        <v>651</v>
      </c>
      <c r="E24280" s="8">
        <v>0</v>
      </c>
      <c r="F24280" s="8">
        <v>456</v>
      </c>
    </row>
    <row r="24281" spans="1:6" ht="12.75">
      <c r="A24281" s="8">
        <v>43893.465081018519</v>
      </c>
      <c r="B24281" s="8" t="str">
        <f>HYPERLINK("https://twitter.com/GateJannah","@GateJannah")</f>
        <v>@GateJannah</v>
      </c>
      <c r="C24281" s="8" t="s">
        <v>1970</v>
      </c>
      <c r="D24281" s="8">
        <v>837</v>
      </c>
      <c r="E24281" s="8">
        <v>0</v>
      </c>
      <c r="F24281" s="8">
        <v>924</v>
      </c>
    </row>
    <row r="24282" spans="1:6" ht="12.75">
      <c r="A24282" s="8">
        <v>43893.465011574073</v>
      </c>
      <c r="B24282" s="8" t="str">
        <f>HYPERLINK("https://twitter.com/Millenial_08","@Millenial_08")</f>
        <v>@Millenial_08</v>
      </c>
      <c r="C24282" s="8" t="s">
        <v>1970</v>
      </c>
      <c r="D24282" s="8">
        <v>837</v>
      </c>
      <c r="E24282" s="8">
        <v>0</v>
      </c>
      <c r="F24282" s="8">
        <v>178</v>
      </c>
    </row>
    <row r="24283" spans="1:6" ht="12.75">
      <c r="A24283" s="8">
        <v>43893.464942129634</v>
      </c>
      <c r="B24283" s="8" t="str">
        <f>HYPERLINK("https://twitter.com/SoniMsi07","@SoniMsi07")</f>
        <v>@SoniMsi07</v>
      </c>
      <c r="C24283" s="8" t="s">
        <v>1986</v>
      </c>
      <c r="D24283" s="8">
        <v>727</v>
      </c>
      <c r="E24283" s="8">
        <v>0</v>
      </c>
      <c r="F24283" s="8">
        <v>258</v>
      </c>
    </row>
    <row r="24284" spans="1:6" ht="12.75">
      <c r="A24284" s="8">
        <v>43893.464270833334</v>
      </c>
      <c r="B24284" s="8" t="str">
        <f>HYPERLINK("https://twitter.com/ChoySantoso","@ChoySantoso")</f>
        <v>@ChoySantoso</v>
      </c>
      <c r="C24284" s="8" t="s">
        <v>8322</v>
      </c>
      <c r="D24284" s="8">
        <v>719</v>
      </c>
      <c r="E24284" s="8">
        <v>0</v>
      </c>
      <c r="F24284" s="8">
        <v>395</v>
      </c>
    </row>
    <row r="24285" spans="1:6" ht="12.75">
      <c r="A24285" s="8">
        <v>43893.464236111111</v>
      </c>
      <c r="B24285" s="8" t="str">
        <f>HYPERLINK("https://twitter.com/beatrice_health","@beatrice_health")</f>
        <v>@beatrice_health</v>
      </c>
      <c r="C24285" s="8" t="s">
        <v>8155</v>
      </c>
      <c r="D24285" s="8">
        <v>4</v>
      </c>
      <c r="E24285" s="8">
        <v>0</v>
      </c>
      <c r="F24285" s="8">
        <v>486</v>
      </c>
    </row>
    <row r="24286" spans="1:6" ht="12.75">
      <c r="A24286" s="8">
        <v>43893.464189814811</v>
      </c>
      <c r="B24286" s="8" t="str">
        <f>HYPERLINK("https://twitter.com/yny_latifah","@yny_latifah")</f>
        <v>@yny_latifah</v>
      </c>
      <c r="C24286" s="8" t="s">
        <v>8155</v>
      </c>
      <c r="D24286" s="8">
        <v>4</v>
      </c>
      <c r="E24286" s="8">
        <v>0</v>
      </c>
      <c r="F24286" s="8">
        <v>602</v>
      </c>
    </row>
    <row r="24287" spans="1:6" ht="12.75">
      <c r="A24287" s="8">
        <v>43893.464189814811</v>
      </c>
      <c r="B24287" s="8" t="str">
        <f>HYPERLINK("https://twitter.com/sennadrew_","@sennadrew_")</f>
        <v>@sennadrew_</v>
      </c>
      <c r="C24287" s="8" t="s">
        <v>7110</v>
      </c>
      <c r="D24287" s="8">
        <v>322</v>
      </c>
      <c r="E24287" s="8">
        <v>0</v>
      </c>
      <c r="F24287" s="8">
        <v>1283</v>
      </c>
    </row>
    <row r="24288" spans="1:6" ht="12.75">
      <c r="A24288" s="8">
        <v>43893.464108796295</v>
      </c>
      <c r="B24288" s="8" t="str">
        <f>HYPERLINK("https://twitter.com/ak_umaa","@ak_umaa")</f>
        <v>@ak_umaa</v>
      </c>
      <c r="C24288" s="8" t="s">
        <v>9300</v>
      </c>
      <c r="D24288" s="8">
        <v>197</v>
      </c>
      <c r="E24288" s="8">
        <v>0</v>
      </c>
      <c r="F24288" s="8">
        <v>733</v>
      </c>
    </row>
    <row r="24289" spans="1:6" ht="12.75">
      <c r="A24289" s="8">
        <v>43893.464074074072</v>
      </c>
      <c r="B24289" s="8" t="str">
        <f>HYPERLINK("https://twitter.com/manZ8687","@manZ8687")</f>
        <v>@manZ8687</v>
      </c>
      <c r="C24289" s="8" t="s">
        <v>9795</v>
      </c>
      <c r="D24289" s="8">
        <v>3</v>
      </c>
      <c r="E24289" s="8">
        <v>0</v>
      </c>
      <c r="F24289" s="8">
        <v>152</v>
      </c>
    </row>
    <row r="24290" spans="1:6" ht="12.75">
      <c r="A24290" s="8">
        <v>43893.463877314818</v>
      </c>
      <c r="B24290" s="8" t="str">
        <f>HYPERLINK("https://twitter.com/Budihar21525608","@Budihar21525608")</f>
        <v>@Budihar21525608</v>
      </c>
      <c r="C24290" s="8" t="s">
        <v>9796</v>
      </c>
      <c r="D24290" s="8">
        <v>11</v>
      </c>
      <c r="E24290" s="8">
        <v>0</v>
      </c>
      <c r="F24290" s="8">
        <v>6284</v>
      </c>
    </row>
    <row r="24291" spans="1:6" ht="12.75">
      <c r="A24291" s="8">
        <v>43893.463761574079</v>
      </c>
      <c r="B24291" s="8" t="str">
        <f>HYPERLINK("https://twitter.com/hendrik_6","@hendrik_6")</f>
        <v>@hendrik_6</v>
      </c>
      <c r="C24291" s="8" t="s">
        <v>1986</v>
      </c>
      <c r="D24291" s="8">
        <v>727</v>
      </c>
      <c r="E24291" s="8">
        <v>0</v>
      </c>
      <c r="F24291" s="8">
        <v>231</v>
      </c>
    </row>
    <row r="24292" spans="1:6" ht="12.75">
      <c r="A24292" s="8">
        <v>43893.463749999995</v>
      </c>
      <c r="B24292" s="8" t="str">
        <f>HYPERLINK("https://twitter.com/namatdkblhsm","@namatdkblhsm")</f>
        <v>@namatdkblhsm</v>
      </c>
      <c r="C24292" s="8" t="s">
        <v>8827</v>
      </c>
      <c r="D24292" s="8">
        <v>50</v>
      </c>
      <c r="E24292" s="8">
        <v>0</v>
      </c>
      <c r="F24292" s="8">
        <v>227</v>
      </c>
    </row>
    <row r="24293" spans="1:6" ht="12.75">
      <c r="A24293" s="8">
        <v>43893.463692129633</v>
      </c>
      <c r="B24293" s="8" t="str">
        <f>HYPERLINK("https://twitter.com/jerrysoes","@jerrysoes")</f>
        <v>@jerrysoes</v>
      </c>
      <c r="C24293" s="8" t="s">
        <v>9797</v>
      </c>
      <c r="D24293" s="8">
        <v>5</v>
      </c>
      <c r="E24293" s="8">
        <v>0</v>
      </c>
      <c r="F24293" s="8">
        <v>394</v>
      </c>
    </row>
    <row r="24294" spans="1:6" ht="12.75">
      <c r="A24294" s="8">
        <v>43893.463599537034</v>
      </c>
      <c r="B24294" s="8" t="str">
        <f>HYPERLINK("https://twitter.com/ayakhairiah_","@ayakhairiah_")</f>
        <v>@ayakhairiah_</v>
      </c>
      <c r="C24294" s="8" t="s">
        <v>9117</v>
      </c>
      <c r="D24294" s="8">
        <v>326</v>
      </c>
      <c r="E24294" s="8">
        <v>0</v>
      </c>
      <c r="F24294" s="8">
        <v>1311</v>
      </c>
    </row>
    <row r="24295" spans="1:6" ht="12.75">
      <c r="A24295" s="8">
        <v>43893.463553240741</v>
      </c>
      <c r="B24295" s="8" t="str">
        <f>HYPERLINK("https://twitter.com/RapiHerdiansyah","@RapiHerdiansyah")</f>
        <v>@RapiHerdiansyah</v>
      </c>
      <c r="C24295" s="8" t="s">
        <v>9798</v>
      </c>
      <c r="D24295" s="8">
        <v>1</v>
      </c>
      <c r="E24295" s="8">
        <v>0</v>
      </c>
      <c r="F24295" s="8">
        <v>1357</v>
      </c>
    </row>
    <row r="24296" spans="1:6" ht="12.75">
      <c r="A24296" s="8">
        <v>43893.463553240741</v>
      </c>
      <c r="B24296" s="8" t="str">
        <f>HYPERLINK("https://twitter.com/Ilham_maulana9","@Ilham_maulana9")</f>
        <v>@Ilham_maulana9</v>
      </c>
      <c r="C24296" s="8" t="s">
        <v>9117</v>
      </c>
      <c r="D24296" s="8">
        <v>326</v>
      </c>
      <c r="E24296" s="8">
        <v>0</v>
      </c>
      <c r="F24296" s="8">
        <v>238</v>
      </c>
    </row>
    <row r="24297" spans="1:6" ht="12.75">
      <c r="A24297" s="8">
        <v>43893.463425925926</v>
      </c>
      <c r="B24297" s="8" t="str">
        <f>HYPERLINK("https://twitter.com/Mazix4","@Mazix4")</f>
        <v>@Mazix4</v>
      </c>
      <c r="C24297" s="8" t="s">
        <v>9727</v>
      </c>
      <c r="D24297" s="8">
        <v>86</v>
      </c>
      <c r="E24297" s="8">
        <v>0</v>
      </c>
      <c r="F24297" s="8">
        <v>280</v>
      </c>
    </row>
    <row r="24298" spans="1:6" ht="12.75">
      <c r="A24298" s="8">
        <v>43893.463391203702</v>
      </c>
      <c r="B24298" s="8" t="str">
        <f>HYPERLINK("https://twitter.com/KadrunHunter99","@KadrunHunter99")</f>
        <v>@KadrunHunter99</v>
      </c>
      <c r="C24298" s="8" t="s">
        <v>9742</v>
      </c>
      <c r="D24298" s="8">
        <v>4</v>
      </c>
      <c r="E24298" s="8">
        <v>0</v>
      </c>
      <c r="F24298" s="8">
        <v>4193</v>
      </c>
    </row>
    <row r="24299" spans="1:6" ht="12.75">
      <c r="A24299" s="8">
        <v>43893.463391203702</v>
      </c>
      <c r="B24299" s="8" t="str">
        <f>HYPERLINK("https://twitter.com/wahyusaputro77","@wahyusaputro77")</f>
        <v>@wahyusaputro77</v>
      </c>
      <c r="C24299" s="8" t="s">
        <v>7254</v>
      </c>
      <c r="D24299" s="8">
        <v>7</v>
      </c>
      <c r="E24299" s="8">
        <v>0</v>
      </c>
      <c r="F24299" s="8">
        <v>92</v>
      </c>
    </row>
    <row r="24300" spans="1:6" ht="12.75">
      <c r="A24300" s="8">
        <v>43893.463310185187</v>
      </c>
      <c r="B24300" s="8" t="str">
        <f>HYPERLINK("https://twitter.com/chaewcnkim","@chaewcnkim")</f>
        <v>@chaewcnkim</v>
      </c>
      <c r="C24300" s="8" t="s">
        <v>9295</v>
      </c>
      <c r="D24300" s="8">
        <v>209</v>
      </c>
      <c r="E24300" s="8">
        <v>0</v>
      </c>
      <c r="F24300" s="8">
        <v>1484</v>
      </c>
    </row>
    <row r="24301" spans="1:6" ht="12.75">
      <c r="A24301" s="8">
        <v>43893.463287037041</v>
      </c>
      <c r="B24301" s="8" t="str">
        <f>HYPERLINK("https://twitter.com/tempodotco","@tempodotco")</f>
        <v>@tempodotco</v>
      </c>
      <c r="C24301" s="8" t="s">
        <v>9799</v>
      </c>
      <c r="D24301" s="8">
        <v>0</v>
      </c>
      <c r="E24301" s="8">
        <v>2</v>
      </c>
      <c r="F24301" s="8">
        <v>1713525</v>
      </c>
    </row>
    <row r="24302" spans="1:6" ht="12.75">
      <c r="A24302" s="8">
        <v>43893.463206018518</v>
      </c>
      <c r="B24302" s="8" t="str">
        <f>HYPERLINK("https://twitter.com/DuwiNuraeni","@DuwiNuraeni")</f>
        <v>@DuwiNuraeni</v>
      </c>
      <c r="C24302" s="8" t="s">
        <v>9800</v>
      </c>
      <c r="D24302" s="8">
        <v>0</v>
      </c>
      <c r="E24302" s="8">
        <v>0</v>
      </c>
      <c r="F24302" s="8">
        <v>874</v>
      </c>
    </row>
    <row r="24303" spans="1:6" ht="12.75">
      <c r="A24303" s="8">
        <v>43893.463206018518</v>
      </c>
      <c r="B24303" s="8" t="str">
        <f>HYPERLINK("https://twitter.com/newsmediacoid","@newsmediacoid")</f>
        <v>@newsmediacoid</v>
      </c>
      <c r="C24303" s="8" t="s">
        <v>9800</v>
      </c>
      <c r="D24303" s="8">
        <v>1</v>
      </c>
      <c r="E24303" s="8">
        <v>0</v>
      </c>
      <c r="F24303" s="8">
        <v>1387</v>
      </c>
    </row>
    <row r="24304" spans="1:6" ht="12.75">
      <c r="A24304" s="8">
        <v>43893.462916666671</v>
      </c>
      <c r="B24304" s="8" t="str">
        <f>HYPERLINK("https://twitter.com/NovriyantoYanto","@NovriyantoYanto")</f>
        <v>@NovriyantoYanto</v>
      </c>
      <c r="C24304" s="8" t="s">
        <v>1970</v>
      </c>
      <c r="D24304" s="8">
        <v>837</v>
      </c>
      <c r="E24304" s="8">
        <v>0</v>
      </c>
      <c r="F24304" s="8">
        <v>980</v>
      </c>
    </row>
    <row r="24305" spans="1:6" ht="12.75">
      <c r="A24305" s="8">
        <v>43893.462905092594</v>
      </c>
      <c r="B24305" s="8" t="str">
        <f>HYPERLINK("https://twitter.com/ChoySantoso","@ChoySantoso")</f>
        <v>@ChoySantoso</v>
      </c>
      <c r="C24305" s="8" t="s">
        <v>4477</v>
      </c>
      <c r="D24305" s="8">
        <v>1092</v>
      </c>
      <c r="E24305" s="8">
        <v>0</v>
      </c>
      <c r="F24305" s="8">
        <v>395</v>
      </c>
    </row>
    <row r="24306" spans="1:6" ht="12.75">
      <c r="A24306" s="8">
        <v>43893.462870370371</v>
      </c>
      <c r="B24306" s="8" t="str">
        <f>HYPERLINK("https://twitter.com/RapiHerdiansyah","@RapiHerdiansyah")</f>
        <v>@RapiHerdiansyah</v>
      </c>
      <c r="C24306" s="8" t="s">
        <v>9800</v>
      </c>
      <c r="D24306" s="8">
        <v>0</v>
      </c>
      <c r="E24306" s="8">
        <v>0</v>
      </c>
      <c r="F24306" s="8">
        <v>1357</v>
      </c>
    </row>
    <row r="24307" spans="1:6" ht="12.75">
      <c r="A24307" s="8">
        <v>43893.462870370371</v>
      </c>
      <c r="B24307" s="8" t="str">
        <f>HYPERLINK("https://twitter.com/bc_institut","@bc_institut")</f>
        <v>@bc_institut</v>
      </c>
      <c r="C24307" s="8" t="s">
        <v>9800</v>
      </c>
      <c r="D24307" s="8">
        <v>0</v>
      </c>
      <c r="E24307" s="8">
        <v>0</v>
      </c>
      <c r="F24307" s="8">
        <v>233</v>
      </c>
    </row>
    <row r="24308" spans="1:6" ht="12.75">
      <c r="A24308" s="8">
        <v>43893.462800925925</v>
      </c>
      <c r="B24308" s="8" t="str">
        <f>HYPERLINK("https://twitter.com/HaeDinaa","@HaeDinaa")</f>
        <v>@HaeDinaa</v>
      </c>
      <c r="C24308" s="8" t="s">
        <v>9801</v>
      </c>
      <c r="D24308" s="8">
        <v>26</v>
      </c>
      <c r="E24308" s="8">
        <v>0</v>
      </c>
      <c r="F24308" s="8">
        <v>3579</v>
      </c>
    </row>
    <row r="24309" spans="1:6" ht="12.75">
      <c r="A24309" s="8">
        <v>43893.462766203702</v>
      </c>
      <c r="B24309" s="8" t="str">
        <f>HYPERLINK("https://twitter.com/tjap_lang","@tjap_lang")</f>
        <v>@tjap_lang</v>
      </c>
      <c r="C24309" s="8" t="s">
        <v>2962</v>
      </c>
      <c r="D24309" s="8">
        <v>5278</v>
      </c>
      <c r="E24309" s="8">
        <v>0</v>
      </c>
      <c r="F24309" s="8">
        <v>1</v>
      </c>
    </row>
    <row r="24310" spans="1:6" ht="12.75">
      <c r="A24310" s="8">
        <v>43893.462754629625</v>
      </c>
      <c r="B24310" s="8" t="str">
        <f>HYPERLINK("https://twitter.com/toto_susilo","@toto_susilo")</f>
        <v>@toto_susilo</v>
      </c>
      <c r="C24310" s="8" t="s">
        <v>9802</v>
      </c>
      <c r="D24310" s="8">
        <v>2</v>
      </c>
      <c r="E24310" s="8">
        <v>0</v>
      </c>
      <c r="F24310" s="8">
        <v>1012</v>
      </c>
    </row>
    <row r="24311" spans="1:6" ht="12.75">
      <c r="A24311" s="8">
        <v>43893.462743055556</v>
      </c>
      <c r="B24311" s="8" t="str">
        <f>HYPERLINK("https://twitter.com/Renatanctzen","@Renatanctzen")</f>
        <v>@Renatanctzen</v>
      </c>
      <c r="C24311" s="8" t="s">
        <v>8155</v>
      </c>
      <c r="D24311" s="8">
        <v>4</v>
      </c>
      <c r="E24311" s="8">
        <v>0</v>
      </c>
      <c r="F24311" s="8">
        <v>319</v>
      </c>
    </row>
    <row r="24312" spans="1:6" ht="12.75">
      <c r="A24312" s="8">
        <v>43893.462650462963</v>
      </c>
      <c r="B24312" s="8" t="str">
        <f>HYPERLINK("https://twitter.com/ryanharriss","@ryanharriss")</f>
        <v>@ryanharriss</v>
      </c>
      <c r="C24312" s="8" t="s">
        <v>9522</v>
      </c>
      <c r="D24312" s="8">
        <v>1</v>
      </c>
      <c r="E24312" s="8">
        <v>0</v>
      </c>
      <c r="F24312" s="8">
        <v>383</v>
      </c>
    </row>
    <row r="24313" spans="1:6" ht="12.75">
      <c r="A24313" s="8">
        <v>43893.462650462963</v>
      </c>
      <c r="B24313" s="8" t="str">
        <f>HYPERLINK("https://twitter.com/pndue","@pndue")</f>
        <v>@pndue</v>
      </c>
      <c r="C24313" s="8" t="s">
        <v>9803</v>
      </c>
      <c r="D24313" s="8">
        <v>0</v>
      </c>
      <c r="E24313" s="8">
        <v>0</v>
      </c>
      <c r="F24313" s="8">
        <v>631</v>
      </c>
    </row>
    <row r="24314" spans="1:6" ht="12.75">
      <c r="A24314" s="8">
        <v>43893.46256944444</v>
      </c>
      <c r="B24314" s="8" t="str">
        <f>HYPERLINK("https://twitter.com/diazeupam","@diazeupam")</f>
        <v>@diazeupam</v>
      </c>
      <c r="C24314" s="8" t="s">
        <v>2962</v>
      </c>
      <c r="D24314" s="8">
        <v>5278</v>
      </c>
      <c r="E24314" s="8">
        <v>0</v>
      </c>
      <c r="F24314" s="8">
        <v>164</v>
      </c>
    </row>
    <row r="24315" spans="1:6" ht="12.75">
      <c r="A24315" s="8">
        <v>43893.462465277778</v>
      </c>
      <c r="B24315" s="8" t="str">
        <f>HYPERLINK("https://twitter.com/Aghspr","@Aghspr")</f>
        <v>@Aghspr</v>
      </c>
      <c r="C24315" s="8" t="s">
        <v>9804</v>
      </c>
      <c r="D24315" s="8">
        <v>0</v>
      </c>
      <c r="E24315" s="8">
        <v>0</v>
      </c>
      <c r="F24315" s="8">
        <v>425</v>
      </c>
    </row>
    <row r="24316" spans="1:6" ht="12.75">
      <c r="A24316" s="8">
        <v>43893.462465277778</v>
      </c>
      <c r="B24316" s="8" t="str">
        <f>HYPERLINK("https://twitter.com/AW_astono","@AW_astono")</f>
        <v>@AW_astono</v>
      </c>
      <c r="C24316" s="8" t="s">
        <v>7254</v>
      </c>
      <c r="D24316" s="8">
        <v>7</v>
      </c>
      <c r="E24316" s="8">
        <v>0</v>
      </c>
      <c r="F24316" s="8">
        <v>2676</v>
      </c>
    </row>
    <row r="24317" spans="1:6" ht="12.75">
      <c r="A24317" s="8">
        <v>43893.462407407409</v>
      </c>
      <c r="B24317" s="8" t="str">
        <f>HYPERLINK("https://twitter.com/TRANSTV_CORP","@TRANSTV_CORP")</f>
        <v>@TRANSTV_CORP</v>
      </c>
      <c r="C24317" s="8" t="s">
        <v>9805</v>
      </c>
      <c r="D24317" s="8">
        <v>4</v>
      </c>
      <c r="E24317" s="8">
        <v>11</v>
      </c>
      <c r="F24317" s="8">
        <v>5350303</v>
      </c>
    </row>
    <row r="24318" spans="1:6" ht="12.75">
      <c r="A24318" s="8">
        <v>43893.462372685186</v>
      </c>
      <c r="B24318" s="8" t="str">
        <f>HYPERLINK("https://twitter.com/michelanugerah","@michelanugerah")</f>
        <v>@michelanugerah</v>
      </c>
      <c r="C24318" s="8" t="s">
        <v>9117</v>
      </c>
      <c r="D24318" s="8">
        <v>326</v>
      </c>
      <c r="E24318" s="8">
        <v>0</v>
      </c>
      <c r="F24318" s="8">
        <v>353</v>
      </c>
    </row>
    <row r="24319" spans="1:6" ht="12.75">
      <c r="A24319" s="8">
        <v>43893.462349537032</v>
      </c>
      <c r="B24319" s="8" t="str">
        <f>HYPERLINK("https://twitter.com/ChoySantoso","@ChoySantoso")</f>
        <v>@ChoySantoso</v>
      </c>
      <c r="C24319" s="8" t="s">
        <v>1970</v>
      </c>
      <c r="D24319" s="8">
        <v>837</v>
      </c>
      <c r="E24319" s="8">
        <v>0</v>
      </c>
      <c r="F24319" s="8">
        <v>395</v>
      </c>
    </row>
    <row r="24320" spans="1:6" ht="12.75">
      <c r="A24320" s="8">
        <v>43893.462245370371</v>
      </c>
      <c r="B24320" s="8" t="str">
        <f>HYPERLINK("https://twitter.com/nzyrw","@nzyrw")</f>
        <v>@nzyrw</v>
      </c>
      <c r="C24320" s="8" t="s">
        <v>9797</v>
      </c>
      <c r="D24320" s="8">
        <v>5</v>
      </c>
      <c r="E24320" s="8">
        <v>0</v>
      </c>
      <c r="F24320" s="8">
        <v>1215</v>
      </c>
    </row>
    <row r="24321" spans="1:6" ht="12.75">
      <c r="A24321" s="8">
        <v>43893.462222222224</v>
      </c>
      <c r="B24321" s="8" t="str">
        <f>HYPERLINK("https://twitter.com/sifa_farida","@sifa_farida")</f>
        <v>@sifa_farida</v>
      </c>
      <c r="C24321" s="8" t="s">
        <v>9806</v>
      </c>
      <c r="D24321" s="8">
        <v>5</v>
      </c>
      <c r="E24321" s="8">
        <v>0</v>
      </c>
      <c r="F24321" s="8">
        <v>987</v>
      </c>
    </row>
    <row r="24322" spans="1:6" ht="12.75">
      <c r="A24322" s="8">
        <v>43893.462164351848</v>
      </c>
      <c r="B24322" s="8" t="str">
        <f>HYPERLINK("https://twitter.com/FawzyDede","@FawzyDede")</f>
        <v>@FawzyDede</v>
      </c>
      <c r="C24322" s="8" t="s">
        <v>1970</v>
      </c>
      <c r="D24322" s="8">
        <v>837</v>
      </c>
      <c r="E24322" s="8">
        <v>0</v>
      </c>
      <c r="F24322" s="8">
        <v>335</v>
      </c>
    </row>
    <row r="24323" spans="1:6" ht="12.75">
      <c r="A24323" s="8">
        <v>43893.462106481486</v>
      </c>
      <c r="B24323" s="8" t="str">
        <f>HYPERLINK("https://twitter.com/samuelchrstns","@samuelchrstns")</f>
        <v>@samuelchrstns</v>
      </c>
      <c r="C24323" s="8" t="s">
        <v>2199</v>
      </c>
      <c r="D24323" s="8">
        <v>8819</v>
      </c>
      <c r="E24323" s="8">
        <v>0</v>
      </c>
      <c r="F24323" s="8">
        <v>552</v>
      </c>
    </row>
    <row r="24324" spans="1:6" ht="12.75">
      <c r="A24324" s="8">
        <v>43893.462060185186</v>
      </c>
      <c r="B24324" s="8" t="str">
        <f>HYPERLINK("https://twitter.com/oskadrun","@oskadrun")</f>
        <v>@oskadrun</v>
      </c>
      <c r="C24324" s="8" t="s">
        <v>9742</v>
      </c>
      <c r="D24324" s="8">
        <v>4</v>
      </c>
      <c r="E24324" s="8">
        <v>0</v>
      </c>
      <c r="F24324" s="8">
        <v>1001</v>
      </c>
    </row>
    <row r="24325" spans="1:6" ht="12.75">
      <c r="A24325" s="8">
        <v>43893.462037037039</v>
      </c>
      <c r="B24325" s="8" t="str">
        <f>HYPERLINK("https://twitter.com/Putrizkarinaa","@Putrizkarinaa")</f>
        <v>@Putrizkarinaa</v>
      </c>
      <c r="C24325" s="8" t="s">
        <v>2199</v>
      </c>
      <c r="D24325" s="8">
        <v>8819</v>
      </c>
      <c r="E24325" s="8">
        <v>0</v>
      </c>
      <c r="F24325" s="8">
        <v>62</v>
      </c>
    </row>
    <row r="24326" spans="1:6" ht="12.75">
      <c r="A24326" s="8">
        <v>43893.461979166663</v>
      </c>
      <c r="B24326" s="8" t="str">
        <f>HYPERLINK("https://twitter.com/dinalzone","@dinalzone")</f>
        <v>@dinalzone</v>
      </c>
      <c r="C24326" s="8" t="s">
        <v>9807</v>
      </c>
      <c r="D24326" s="8">
        <v>7</v>
      </c>
      <c r="E24326" s="8">
        <v>0</v>
      </c>
      <c r="F24326" s="8">
        <v>214</v>
      </c>
    </row>
    <row r="24327" spans="1:6" ht="12.75">
      <c r="A24327" s="8">
        <v>43893.461979166663</v>
      </c>
      <c r="B24327" s="8" t="str">
        <f>HYPERLINK("https://twitter.com/lsky_____","@lsky_____")</f>
        <v>@lsky_____</v>
      </c>
      <c r="C24327" s="8" t="s">
        <v>9808</v>
      </c>
      <c r="D24327" s="8">
        <v>0</v>
      </c>
      <c r="E24327" s="8">
        <v>0</v>
      </c>
      <c r="F24327" s="8">
        <v>4857</v>
      </c>
    </row>
    <row r="24328" spans="1:6" ht="12.75">
      <c r="A24328" s="8">
        <v>43893.461921296301</v>
      </c>
      <c r="B24328" s="8" t="str">
        <f>HYPERLINK("https://twitter.com/ricopelitabaru","@ricopelitabaru")</f>
        <v>@ricopelitabaru</v>
      </c>
      <c r="C24328" s="8" t="s">
        <v>9417</v>
      </c>
      <c r="D24328" s="8">
        <v>40</v>
      </c>
      <c r="E24328" s="8">
        <v>0</v>
      </c>
      <c r="F24328" s="8">
        <v>64</v>
      </c>
    </row>
    <row r="24329" spans="1:6" ht="12.75">
      <c r="A24329" s="8">
        <v>43893.461875000001</v>
      </c>
      <c r="B24329" s="8" t="str">
        <f>HYPERLINK("https://twitter.com/oskadrun","@oskadrun")</f>
        <v>@oskadrun</v>
      </c>
      <c r="C24329" s="8" t="s">
        <v>8429</v>
      </c>
      <c r="D24329" s="8">
        <v>4</v>
      </c>
      <c r="E24329" s="8">
        <v>0</v>
      </c>
      <c r="F24329" s="8">
        <v>1001</v>
      </c>
    </row>
    <row r="24330" spans="1:6" ht="12.75">
      <c r="A24330" s="8">
        <v>43893.461770833332</v>
      </c>
      <c r="B24330" s="8" t="str">
        <f>HYPERLINK("https://twitter.com/hensetgo","@hensetgo")</f>
        <v>@hensetgo</v>
      </c>
      <c r="C24330" s="8" t="s">
        <v>9806</v>
      </c>
      <c r="D24330" s="8">
        <v>5</v>
      </c>
      <c r="E24330" s="8">
        <v>0</v>
      </c>
      <c r="F24330" s="8">
        <v>264</v>
      </c>
    </row>
    <row r="24331" spans="1:6" ht="12.75">
      <c r="A24331" s="8">
        <v>43893.461608796293</v>
      </c>
      <c r="B24331" s="8" t="str">
        <f>HYPERLINK("https://twitter.com/manZ8687","@manZ8687")</f>
        <v>@manZ8687</v>
      </c>
      <c r="C24331" s="8" t="s">
        <v>9809</v>
      </c>
      <c r="D24331" s="8">
        <v>4</v>
      </c>
      <c r="E24331" s="8">
        <v>0</v>
      </c>
      <c r="F24331" s="8">
        <v>152</v>
      </c>
    </row>
    <row r="24332" spans="1:6" ht="12.75">
      <c r="A24332" s="8">
        <v>43893.461608796293</v>
      </c>
      <c r="B24332" s="8" t="str">
        <f>HYPERLINK("https://twitter.com/samuelchrstns","@samuelchrstns")</f>
        <v>@samuelchrstns</v>
      </c>
      <c r="C24332" s="8" t="s">
        <v>9295</v>
      </c>
      <c r="D24332" s="8">
        <v>209</v>
      </c>
      <c r="E24332" s="8">
        <v>0</v>
      </c>
      <c r="F24332" s="8">
        <v>552</v>
      </c>
    </row>
    <row r="24333" spans="1:6" ht="12.75">
      <c r="A24333" s="8">
        <v>43893.461527777778</v>
      </c>
      <c r="B24333" s="8" t="str">
        <f>HYPERLINK("https://twitter.com/angelsianipar","@angelsianipar")</f>
        <v>@angelsianipar</v>
      </c>
      <c r="C24333" s="8" t="s">
        <v>2962</v>
      </c>
      <c r="D24333" s="8">
        <v>5278</v>
      </c>
      <c r="E24333" s="8">
        <v>0</v>
      </c>
      <c r="F24333" s="8">
        <v>182</v>
      </c>
    </row>
    <row r="24334" spans="1:6" ht="12.75">
      <c r="A24334" s="8">
        <v>43893.461516203708</v>
      </c>
      <c r="B24334" s="8" t="str">
        <f>HYPERLINK("https://twitter.com/Ari_AMF","@Ari_AMF")</f>
        <v>@Ari_AMF</v>
      </c>
      <c r="C24334" s="8" t="s">
        <v>2199</v>
      </c>
      <c r="D24334" s="8">
        <v>8819</v>
      </c>
      <c r="E24334" s="8">
        <v>0</v>
      </c>
      <c r="F24334" s="8">
        <v>271</v>
      </c>
    </row>
    <row r="24335" spans="1:6" ht="12.75">
      <c r="A24335" s="8">
        <v>43893.461469907408</v>
      </c>
      <c r="B24335" s="8" t="str">
        <f>HYPERLINK("https://twitter.com/jd8110404469","@jd8110404469")</f>
        <v>@jd8110404469</v>
      </c>
      <c r="C24335" s="8" t="s">
        <v>1970</v>
      </c>
      <c r="D24335" s="8">
        <v>837</v>
      </c>
      <c r="E24335" s="8">
        <v>0</v>
      </c>
      <c r="F24335" s="8">
        <v>113</v>
      </c>
    </row>
    <row r="24336" spans="1:6" ht="12.75">
      <c r="A24336" s="8">
        <v>43893.461446759262</v>
      </c>
      <c r="B24336" s="8" t="str">
        <f>HYPERLINK("https://twitter.com/305_resta","@305_resta")</f>
        <v>@305_resta</v>
      </c>
      <c r="C24336" s="8" t="s">
        <v>9128</v>
      </c>
      <c r="D24336" s="8">
        <v>90</v>
      </c>
      <c r="E24336" s="8">
        <v>0</v>
      </c>
      <c r="F24336" s="8">
        <v>2068</v>
      </c>
    </row>
    <row r="24337" spans="1:6" ht="12.75">
      <c r="A24337" s="8">
        <v>43893.461423611108</v>
      </c>
      <c r="B24337" s="8" t="str">
        <f>HYPERLINK("https://twitter.com/Sagemuly","@Sagemuly")</f>
        <v>@Sagemuly</v>
      </c>
      <c r="C24337" s="8" t="s">
        <v>9810</v>
      </c>
      <c r="D24337" s="8">
        <v>0</v>
      </c>
      <c r="E24337" s="8">
        <v>0</v>
      </c>
      <c r="F24337" s="8">
        <v>91</v>
      </c>
    </row>
    <row r="24338" spans="1:6" ht="12.75">
      <c r="A24338" s="8">
        <v>43893.461377314816</v>
      </c>
      <c r="B24338" s="8" t="str">
        <f>HYPERLINK("https://twitter.com/clistasti","@clistasti")</f>
        <v>@clistasti</v>
      </c>
      <c r="C24338" s="8" t="s">
        <v>9806</v>
      </c>
      <c r="D24338" s="8">
        <v>5</v>
      </c>
      <c r="E24338" s="8">
        <v>0</v>
      </c>
      <c r="F24338" s="8">
        <v>547</v>
      </c>
    </row>
    <row r="24339" spans="1:6" ht="12.75">
      <c r="A24339" s="8">
        <v>43893.461354166662</v>
      </c>
      <c r="B24339" s="8" t="str">
        <f>HYPERLINK("https://twitter.com/Penangkalnegat1","@Penangkalnegat1")</f>
        <v>@Penangkalnegat1</v>
      </c>
      <c r="C24339" s="8" t="s">
        <v>1986</v>
      </c>
      <c r="D24339" s="8">
        <v>727</v>
      </c>
      <c r="E24339" s="8">
        <v>0</v>
      </c>
      <c r="F24339" s="8">
        <v>342</v>
      </c>
    </row>
    <row r="24340" spans="1:6" ht="12.75">
      <c r="A24340" s="8">
        <v>43893.461342592593</v>
      </c>
      <c r="B24340" s="8" t="str">
        <f>HYPERLINK("https://twitter.com/triyant30928356","@triyant30928356")</f>
        <v>@triyant30928356</v>
      </c>
      <c r="C24340" s="8" t="s">
        <v>1970</v>
      </c>
      <c r="D24340" s="8">
        <v>837</v>
      </c>
      <c r="E24340" s="8">
        <v>0</v>
      </c>
      <c r="F24340" s="8">
        <v>65</v>
      </c>
    </row>
    <row r="24341" spans="1:6" ht="12.75">
      <c r="A24341" s="8">
        <v>43893.461331018523</v>
      </c>
      <c r="B24341" s="8" t="str">
        <f>HYPERLINK("https://twitter.com/mohammad_sonni7","@mohammad_sonni7")</f>
        <v>@mohammad_sonni7</v>
      </c>
      <c r="C24341" s="8" t="s">
        <v>8847</v>
      </c>
      <c r="D24341" s="8">
        <v>10</v>
      </c>
      <c r="E24341" s="8">
        <v>0</v>
      </c>
      <c r="F24341" s="8">
        <v>380</v>
      </c>
    </row>
    <row r="24342" spans="1:6" ht="12.75">
      <c r="A24342" s="8">
        <v>43893.461261574077</v>
      </c>
      <c r="B24342" s="8" t="str">
        <f>HYPERLINK("https://twitter.com/zapfinance","@zapfinance")</f>
        <v>@zapfinance</v>
      </c>
      <c r="C24342" s="8" t="s">
        <v>9657</v>
      </c>
      <c r="D24342" s="8">
        <v>2</v>
      </c>
      <c r="E24342" s="8">
        <v>0</v>
      </c>
      <c r="F24342" s="8">
        <v>11569</v>
      </c>
    </row>
    <row r="24343" spans="1:6" ht="12.75">
      <c r="A24343" s="8">
        <v>43893.461064814815</v>
      </c>
      <c r="B24343" s="8" t="str">
        <f>HYPERLINK("https://twitter.com/aw3126","@aw3126")</f>
        <v>@aw3126</v>
      </c>
      <c r="C24343" s="8" t="s">
        <v>9141</v>
      </c>
      <c r="D24343" s="8">
        <v>3</v>
      </c>
      <c r="E24343" s="8">
        <v>0</v>
      </c>
      <c r="F24343" s="8">
        <v>1671</v>
      </c>
    </row>
    <row r="24344" spans="1:6" ht="12.75">
      <c r="A24344" s="8">
        <v>43893.461041666669</v>
      </c>
      <c r="B24344" s="8" t="str">
        <f t="shared" ref="B24344:B24346" si="353">HYPERLINK("https://twitter.com/AlvaroDeBazan2","@AlvaroDeBazan2")</f>
        <v>@AlvaroDeBazan2</v>
      </c>
      <c r="C24344" s="8" t="s">
        <v>3041</v>
      </c>
      <c r="D24344" s="8">
        <v>7</v>
      </c>
      <c r="E24344" s="8">
        <v>0</v>
      </c>
      <c r="F24344" s="8">
        <v>264</v>
      </c>
    </row>
    <row r="24345" spans="1:6" ht="12.75">
      <c r="A24345" s="8">
        <v>43893.461006944446</v>
      </c>
      <c r="B24345" s="8" t="str">
        <f t="shared" si="353"/>
        <v>@AlvaroDeBazan2</v>
      </c>
      <c r="C24345" s="8" t="s">
        <v>3039</v>
      </c>
      <c r="D24345" s="8">
        <v>24</v>
      </c>
      <c r="E24345" s="8">
        <v>0</v>
      </c>
      <c r="F24345" s="8">
        <v>264</v>
      </c>
    </row>
    <row r="24346" spans="1:6" ht="12.75">
      <c r="A24346" s="8">
        <v>43893.460983796293</v>
      </c>
      <c r="B24346" s="8" t="str">
        <f t="shared" si="353"/>
        <v>@AlvaroDeBazan2</v>
      </c>
      <c r="C24346" s="8" t="s">
        <v>3042</v>
      </c>
      <c r="D24346" s="8">
        <v>16</v>
      </c>
      <c r="E24346" s="8">
        <v>0</v>
      </c>
      <c r="F24346" s="8">
        <v>264</v>
      </c>
    </row>
    <row r="24347" spans="1:6" ht="12.75">
      <c r="A24347" s="8">
        <v>43893.460983796293</v>
      </c>
      <c r="B24347" s="8" t="str">
        <f>HYPERLINK("https://twitter.com/ArdiMaulanaSha","@ArdiMaulanaSha")</f>
        <v>@ArdiMaulanaSha</v>
      </c>
      <c r="C24347" s="8" t="s">
        <v>1970</v>
      </c>
      <c r="D24347" s="8">
        <v>837</v>
      </c>
      <c r="E24347" s="8">
        <v>0</v>
      </c>
      <c r="F24347" s="8">
        <v>285</v>
      </c>
    </row>
    <row r="24348" spans="1:6" ht="12.75">
      <c r="A24348" s="8">
        <v>43893.460972222223</v>
      </c>
      <c r="B24348" s="8" t="str">
        <f>HYPERLINK("https://twitter.com/Temulaw71417452","@Temulaw71417452")</f>
        <v>@Temulaw71417452</v>
      </c>
      <c r="C24348" s="8" t="s">
        <v>9797</v>
      </c>
      <c r="D24348" s="8">
        <v>5</v>
      </c>
      <c r="E24348" s="8">
        <v>0</v>
      </c>
      <c r="F24348" s="8">
        <v>49</v>
      </c>
    </row>
    <row r="24349" spans="1:6" ht="12.75">
      <c r="A24349" s="8">
        <v>43893.46094907407</v>
      </c>
      <c r="B24349" s="8" t="str">
        <f>HYPERLINK("https://twitter.com/AlvaroDeBazan2","@AlvaroDeBazan2")</f>
        <v>@AlvaroDeBazan2</v>
      </c>
      <c r="C24349" s="8" t="s">
        <v>3044</v>
      </c>
      <c r="D24349" s="8">
        <v>3</v>
      </c>
      <c r="E24349" s="8">
        <v>0</v>
      </c>
      <c r="F24349" s="8">
        <v>264</v>
      </c>
    </row>
    <row r="24350" spans="1:6" ht="12.75">
      <c r="A24350" s="8">
        <v>43893.46092592593</v>
      </c>
      <c r="B24350" s="8" t="str">
        <f>HYPERLINK("https://twitter.com/deniz_bayu","@deniz_bayu")</f>
        <v>@deniz_bayu</v>
      </c>
      <c r="C24350" s="8" t="s">
        <v>2962</v>
      </c>
      <c r="D24350" s="8">
        <v>5278</v>
      </c>
      <c r="E24350" s="8">
        <v>0</v>
      </c>
      <c r="F24350" s="8">
        <v>152</v>
      </c>
    </row>
    <row r="24351" spans="1:6" ht="12.75">
      <c r="A24351" s="8">
        <v>43893.460902777777</v>
      </c>
      <c r="B24351" s="8" t="str">
        <f>HYPERLINK("https://twitter.com/a_novadina","@a_novadina")</f>
        <v>@a_novadina</v>
      </c>
      <c r="C24351" s="8" t="s">
        <v>2199</v>
      </c>
      <c r="D24351" s="8">
        <v>8819</v>
      </c>
      <c r="E24351" s="8">
        <v>0</v>
      </c>
      <c r="F24351" s="8">
        <v>262</v>
      </c>
    </row>
    <row r="24352" spans="1:6" ht="12.75">
      <c r="A24352" s="8">
        <v>43893.460752314815</v>
      </c>
      <c r="B24352" s="8" t="str">
        <f>HYPERLINK("https://twitter.com/royirvan_","@royirvan_")</f>
        <v>@royirvan_</v>
      </c>
      <c r="C24352" s="8" t="s">
        <v>9806</v>
      </c>
      <c r="D24352" s="8">
        <v>5</v>
      </c>
      <c r="E24352" s="8">
        <v>0</v>
      </c>
      <c r="F24352" s="8">
        <v>432</v>
      </c>
    </row>
    <row r="24353" spans="1:6" ht="12.75">
      <c r="A24353" s="8">
        <v>43893.460706018523</v>
      </c>
      <c r="B24353" s="8" t="str">
        <f>HYPERLINK("https://twitter.com/AlvaroDeBazan2","@AlvaroDeBazan2")</f>
        <v>@AlvaroDeBazan2</v>
      </c>
      <c r="C24353" s="8" t="s">
        <v>3043</v>
      </c>
      <c r="D24353" s="8">
        <v>7</v>
      </c>
      <c r="E24353" s="8">
        <v>0</v>
      </c>
      <c r="F24353" s="8">
        <v>264</v>
      </c>
    </row>
    <row r="24354" spans="1:6" ht="12.75">
      <c r="A24354" s="8">
        <v>43893.460682870369</v>
      </c>
      <c r="B24354" s="8" t="str">
        <f>HYPERLINK("https://twitter.com/mitzuo","@mitzuo")</f>
        <v>@mitzuo</v>
      </c>
      <c r="C24354" s="8" t="s">
        <v>9811</v>
      </c>
      <c r="D24354" s="8">
        <v>0</v>
      </c>
      <c r="E24354" s="8">
        <v>0</v>
      </c>
      <c r="F24354" s="8">
        <v>748</v>
      </c>
    </row>
    <row r="24355" spans="1:6" ht="12.75">
      <c r="A24355" s="8">
        <v>43893.460625</v>
      </c>
      <c r="B24355" s="8" t="str">
        <f>HYPERLINK("https://twitter.com/yayafahiera","@yayafahiera")</f>
        <v>@yayafahiera</v>
      </c>
      <c r="C24355" s="8" t="s">
        <v>2962</v>
      </c>
      <c r="D24355" s="8">
        <v>5278</v>
      </c>
      <c r="E24355" s="8">
        <v>0</v>
      </c>
      <c r="F24355" s="8">
        <v>939</v>
      </c>
    </row>
    <row r="24356" spans="1:6" ht="12.75">
      <c r="A24356" s="8">
        <v>43893.460613425923</v>
      </c>
      <c r="B24356" s="8" t="str">
        <f>HYPERLINK("https://twitter.com/greeeism","@greeeism")</f>
        <v>@greeeism</v>
      </c>
      <c r="C24356" s="8" t="s">
        <v>3039</v>
      </c>
      <c r="D24356" s="8">
        <v>24</v>
      </c>
      <c r="E24356" s="8">
        <v>0</v>
      </c>
      <c r="F24356" s="8">
        <v>216</v>
      </c>
    </row>
    <row r="24357" spans="1:6" ht="12.75">
      <c r="A24357" s="8">
        <v>43893.460590277777</v>
      </c>
      <c r="B24357" s="8" t="str">
        <f t="shared" ref="B24357:B24358" si="354">HYPERLINK("https://twitter.com/infoppkk","@infoppkk")</f>
        <v>@infoppkk</v>
      </c>
      <c r="C24357" s="8" t="s">
        <v>3043</v>
      </c>
      <c r="D24357" s="8">
        <v>7</v>
      </c>
      <c r="E24357" s="8">
        <v>0</v>
      </c>
      <c r="F24357" s="8">
        <v>5214</v>
      </c>
    </row>
    <row r="24358" spans="1:6" ht="12.75">
      <c r="A24358" s="8">
        <v>43893.460520833338</v>
      </c>
      <c r="B24358" s="8" t="str">
        <f t="shared" si="354"/>
        <v>@infoppkk</v>
      </c>
      <c r="C24358" s="8" t="s">
        <v>3042</v>
      </c>
      <c r="D24358" s="8">
        <v>16</v>
      </c>
      <c r="E24358" s="8">
        <v>0</v>
      </c>
      <c r="F24358" s="8">
        <v>5214</v>
      </c>
    </row>
    <row r="24359" spans="1:6" ht="12.75">
      <c r="A24359" s="8">
        <v>43893.460462962961</v>
      </c>
      <c r="B24359" s="8" t="str">
        <f>HYPERLINK("https://twitter.com/fitrividuthh","@fitrividuthh")</f>
        <v>@fitrividuthh</v>
      </c>
      <c r="C24359" s="8" t="s">
        <v>9295</v>
      </c>
      <c r="D24359" s="8">
        <v>209</v>
      </c>
      <c r="E24359" s="8">
        <v>0</v>
      </c>
      <c r="F24359" s="8">
        <v>216</v>
      </c>
    </row>
    <row r="24360" spans="1:6" ht="12.75">
      <c r="A24360" s="8">
        <v>43893.460416666669</v>
      </c>
      <c r="B24360" s="8" t="str">
        <f>HYPERLINK("https://twitter.com/infoppkk","@infoppkk")</f>
        <v>@infoppkk</v>
      </c>
      <c r="C24360" s="8" t="s">
        <v>3044</v>
      </c>
      <c r="D24360" s="8">
        <v>3</v>
      </c>
      <c r="E24360" s="8">
        <v>0</v>
      </c>
      <c r="F24360" s="8">
        <v>5214</v>
      </c>
    </row>
    <row r="24361" spans="1:6" ht="12.75">
      <c r="A24361" s="8">
        <v>43893.460381944446</v>
      </c>
      <c r="B24361" s="8" t="str">
        <f>HYPERLINK("https://twitter.com/tarolattes","@tarolattes")</f>
        <v>@tarolattes</v>
      </c>
      <c r="C24361" s="8" t="s">
        <v>2962</v>
      </c>
      <c r="D24361" s="8">
        <v>5278</v>
      </c>
      <c r="E24361" s="8">
        <v>0</v>
      </c>
      <c r="F24361" s="8">
        <v>718</v>
      </c>
    </row>
    <row r="24362" spans="1:6" ht="12.75">
      <c r="A24362" s="8">
        <v>43893.460370370369</v>
      </c>
      <c r="B24362" s="8" t="str">
        <f>HYPERLINK("https://twitter.com/ardewh25","@ardewh25")</f>
        <v>@ardewh25</v>
      </c>
      <c r="C24362" s="8" t="s">
        <v>1427</v>
      </c>
      <c r="D24362" s="8">
        <v>831</v>
      </c>
      <c r="E24362" s="8">
        <v>0</v>
      </c>
      <c r="F24362" s="8">
        <v>143</v>
      </c>
    </row>
    <row r="24363" spans="1:6" ht="12.75">
      <c r="A24363" s="8">
        <v>43893.460289351853</v>
      </c>
      <c r="B24363" s="8" t="str">
        <f>HYPERLINK("https://twitter.com/zack_segeir","@zack_segeir")</f>
        <v>@zack_segeir</v>
      </c>
      <c r="C24363" s="8" t="s">
        <v>8901</v>
      </c>
      <c r="D24363" s="8">
        <v>52</v>
      </c>
      <c r="E24363" s="8">
        <v>0</v>
      </c>
      <c r="F24363" s="8">
        <v>757</v>
      </c>
    </row>
    <row r="24364" spans="1:6" ht="12.75">
      <c r="A24364" s="8">
        <v>43893.460092592592</v>
      </c>
      <c r="B24364" s="8" t="str">
        <f>HYPERLINK("https://twitter.com/bhebelicardo","@bhebelicardo")</f>
        <v>@bhebelicardo</v>
      </c>
      <c r="C24364" s="8" t="s">
        <v>9812</v>
      </c>
      <c r="D24364" s="8">
        <v>5</v>
      </c>
      <c r="E24364" s="8">
        <v>0</v>
      </c>
      <c r="F24364" s="8">
        <v>119</v>
      </c>
    </row>
    <row r="24365" spans="1:6" ht="12.75">
      <c r="A24365" s="8">
        <v>43893.460046296299</v>
      </c>
      <c r="B24365" s="8" t="str">
        <f>HYPERLINK("https://twitter.com/ANS19842","@ANS19842")</f>
        <v>@ANS19842</v>
      </c>
      <c r="C24365" s="8" t="s">
        <v>6862</v>
      </c>
      <c r="D24365" s="8">
        <v>24</v>
      </c>
      <c r="E24365" s="8">
        <v>0</v>
      </c>
      <c r="F24365" s="8">
        <v>22</v>
      </c>
    </row>
    <row r="24366" spans="1:6" ht="12.75">
      <c r="A24366" s="8">
        <v>43893.45994212963</v>
      </c>
      <c r="B24366" s="8" t="str">
        <f>HYPERLINK("https://twitter.com/JoanneElizaa","@JoanneElizaa")</f>
        <v>@JoanneElizaa</v>
      </c>
      <c r="C24366" s="8" t="s">
        <v>2199</v>
      </c>
      <c r="D24366" s="8">
        <v>8819</v>
      </c>
      <c r="E24366" s="8">
        <v>0</v>
      </c>
      <c r="F24366" s="8">
        <v>211</v>
      </c>
    </row>
    <row r="24367" spans="1:6" ht="12.75">
      <c r="A24367" s="8">
        <v>43893.459861111114</v>
      </c>
      <c r="B24367" s="8" t="str">
        <f>HYPERLINK("https://twitter.com/SatrioZidni","@SatrioZidni")</f>
        <v>@SatrioZidni</v>
      </c>
      <c r="C24367" s="8" t="s">
        <v>1970</v>
      </c>
      <c r="D24367" s="8">
        <v>837</v>
      </c>
      <c r="E24367" s="8">
        <v>0</v>
      </c>
      <c r="F24367" s="8">
        <v>237</v>
      </c>
    </row>
    <row r="24368" spans="1:6" ht="12.75">
      <c r="A24368" s="8">
        <v>43893.459687499999</v>
      </c>
      <c r="B24368" s="8" t="str">
        <f>HYPERLINK("https://twitter.com/Iqlima_Yustitia","@Iqlima_Yustitia")</f>
        <v>@Iqlima_Yustitia</v>
      </c>
      <c r="C24368" s="8" t="s">
        <v>1970</v>
      </c>
      <c r="D24368" s="8">
        <v>837</v>
      </c>
      <c r="E24368" s="8">
        <v>0</v>
      </c>
      <c r="F24368" s="8">
        <v>29</v>
      </c>
    </row>
    <row r="24369" spans="1:6" ht="12.75">
      <c r="A24369" s="8">
        <v>43893.459502314814</v>
      </c>
      <c r="B24369" s="8" t="str">
        <f>HYPERLINK("https://twitter.com/KATADATAcoid","@KATADATAcoid")</f>
        <v>@KATADATAcoid</v>
      </c>
      <c r="C24369" s="8" t="s">
        <v>9813</v>
      </c>
      <c r="D24369" s="8">
        <v>5</v>
      </c>
      <c r="E24369" s="8">
        <v>1</v>
      </c>
      <c r="F24369" s="8">
        <v>41716</v>
      </c>
    </row>
    <row r="24370" spans="1:6" ht="12.75">
      <c r="A24370" s="8">
        <v>43893.459432870368</v>
      </c>
      <c r="B24370" s="8" t="str">
        <f>HYPERLINK("https://twitter.com/DoddyAchMaD_","@DoddyAchMaD_")</f>
        <v>@DoddyAchMaD_</v>
      </c>
      <c r="C24370" s="8" t="s">
        <v>2962</v>
      </c>
      <c r="D24370" s="8">
        <v>5278</v>
      </c>
      <c r="E24370" s="8">
        <v>0</v>
      </c>
      <c r="F24370" s="8">
        <v>112</v>
      </c>
    </row>
    <row r="24371" spans="1:6" ht="12.75">
      <c r="A24371" s="8">
        <v>43893.459421296298</v>
      </c>
      <c r="B24371" s="8" t="str">
        <f>HYPERLINK("https://twitter.com/morez2000","@morez2000")</f>
        <v>@morez2000</v>
      </c>
      <c r="C24371" s="8" t="s">
        <v>7597</v>
      </c>
      <c r="D24371" s="8">
        <v>651</v>
      </c>
      <c r="E24371" s="8">
        <v>0</v>
      </c>
      <c r="F24371" s="8">
        <v>335</v>
      </c>
    </row>
    <row r="24372" spans="1:6" ht="12.75">
      <c r="A24372" s="8">
        <v>43893.459398148145</v>
      </c>
      <c r="B24372" s="8" t="str">
        <f>HYPERLINK("https://twitter.com/IdupGarisSerius","@IdupGarisSerius")</f>
        <v>@IdupGarisSerius</v>
      </c>
      <c r="C24372" s="8" t="s">
        <v>2962</v>
      </c>
      <c r="D24372" s="8">
        <v>5278</v>
      </c>
      <c r="E24372" s="8">
        <v>0</v>
      </c>
      <c r="F24372" s="8">
        <v>162</v>
      </c>
    </row>
    <row r="24373" spans="1:6" ht="12.75">
      <c r="A24373" s="8">
        <v>43893.459398148145</v>
      </c>
      <c r="B24373" s="8" t="str">
        <f>HYPERLINK("https://twitter.com/__suwalow","@__suwalow")</f>
        <v>@__suwalow</v>
      </c>
      <c r="C24373" s="8" t="s">
        <v>9087</v>
      </c>
      <c r="D24373" s="8">
        <v>16</v>
      </c>
      <c r="E24373" s="8">
        <v>0</v>
      </c>
      <c r="F24373" s="8">
        <v>377</v>
      </c>
    </row>
    <row r="24374" spans="1:6" ht="12.75">
      <c r="A24374" s="8">
        <v>43893.459374999999</v>
      </c>
      <c r="B24374" s="8" t="str">
        <f>HYPERLINK("https://twitter.com/Bukbukbubuk","@Bukbukbubuk")</f>
        <v>@Bukbukbubuk</v>
      </c>
      <c r="C24374" s="8" t="s">
        <v>2962</v>
      </c>
      <c r="D24374" s="8">
        <v>5278</v>
      </c>
      <c r="E24374" s="8">
        <v>0</v>
      </c>
      <c r="F24374" s="8">
        <v>51</v>
      </c>
    </row>
    <row r="24375" spans="1:6" ht="12.75">
      <c r="A24375" s="8">
        <v>43893.459293981483</v>
      </c>
      <c r="B24375" s="8" t="str">
        <f>HYPERLINK("https://twitter.com/kicepkicep","@kicepkicep")</f>
        <v>@kicepkicep</v>
      </c>
      <c r="C24375" s="8" t="s">
        <v>6862</v>
      </c>
      <c r="D24375" s="8">
        <v>24</v>
      </c>
      <c r="E24375" s="8">
        <v>0</v>
      </c>
      <c r="F24375" s="8">
        <v>1251</v>
      </c>
    </row>
    <row r="24376" spans="1:6" ht="12.75">
      <c r="A24376" s="8">
        <v>43893.45925925926</v>
      </c>
      <c r="B24376" s="8" t="str">
        <f>HYPERLINK("https://twitter.com/firmanadhi3","@firmanadhi3")</f>
        <v>@firmanadhi3</v>
      </c>
      <c r="C24376" s="8" t="s">
        <v>9795</v>
      </c>
      <c r="D24376" s="8">
        <v>3</v>
      </c>
      <c r="E24376" s="8">
        <v>0</v>
      </c>
      <c r="F24376" s="8">
        <v>321</v>
      </c>
    </row>
    <row r="24377" spans="1:6" ht="12.75">
      <c r="A24377" s="8">
        <v>43893.45925925926</v>
      </c>
      <c r="B24377" s="8" t="str">
        <f>HYPERLINK("https://twitter.com/puroshit_","@puroshit_")</f>
        <v>@puroshit_</v>
      </c>
      <c r="C24377" s="8" t="s">
        <v>2962</v>
      </c>
      <c r="D24377" s="8">
        <v>5278</v>
      </c>
      <c r="E24377" s="8">
        <v>0</v>
      </c>
      <c r="F24377" s="8">
        <v>220</v>
      </c>
    </row>
    <row r="24378" spans="1:6" ht="12.75">
      <c r="A24378" s="8">
        <v>43893.45925925926</v>
      </c>
      <c r="B24378" s="8" t="str">
        <f>HYPERLINK("https://twitter.com/andris44","@andris44")</f>
        <v>@andris44</v>
      </c>
      <c r="C24378" s="8" t="s">
        <v>7254</v>
      </c>
      <c r="D24378" s="8">
        <v>7</v>
      </c>
      <c r="E24378" s="8">
        <v>0</v>
      </c>
      <c r="F24378" s="8">
        <v>1372</v>
      </c>
    </row>
    <row r="24379" spans="1:6" ht="12.75">
      <c r="A24379" s="8">
        <v>43893.459224537037</v>
      </c>
      <c r="B24379" s="8" t="str">
        <f>HYPERLINK("https://twitter.com/morez2000","@morez2000")</f>
        <v>@morez2000</v>
      </c>
      <c r="C24379" s="8" t="s">
        <v>9814</v>
      </c>
      <c r="D24379" s="8">
        <v>43</v>
      </c>
      <c r="E24379" s="8">
        <v>0</v>
      </c>
      <c r="F24379" s="8">
        <v>335</v>
      </c>
    </row>
    <row r="24380" spans="1:6" ht="12.75">
      <c r="A24380" s="8">
        <v>43893.423483796301</v>
      </c>
      <c r="B24380" s="8" t="str">
        <f>HYPERLINK("https://twitter.com/yourqueenesther","@yourqueenesther")</f>
        <v>@yourqueenesther</v>
      </c>
      <c r="C24380" s="8" t="s">
        <v>3042</v>
      </c>
      <c r="D24380" s="8">
        <v>3</v>
      </c>
      <c r="E24380" s="8">
        <v>0</v>
      </c>
      <c r="F24380" s="8">
        <v>129</v>
      </c>
    </row>
    <row r="24381" spans="1:6" ht="12.75">
      <c r="A24381" s="8">
        <v>43893.423483796301</v>
      </c>
      <c r="B24381" s="8" t="str">
        <f>HYPERLINK("https://twitter.com/ChanNae16","@ChanNae16")</f>
        <v>@ChanNae16</v>
      </c>
      <c r="C24381" s="8" t="s">
        <v>2199</v>
      </c>
      <c r="D24381" s="8">
        <v>8773</v>
      </c>
      <c r="E24381" s="8">
        <v>0</v>
      </c>
      <c r="F24381" s="8">
        <v>490</v>
      </c>
    </row>
    <row r="24382" spans="1:6" ht="12.75">
      <c r="A24382" s="8">
        <v>43893.423402777778</v>
      </c>
      <c r="B24382" s="8" t="str">
        <f>HYPERLINK("https://twitter.com/islam_peradaban","@islam_peradaban")</f>
        <v>@islam_peradaban</v>
      </c>
      <c r="C24382" s="8" t="s">
        <v>7597</v>
      </c>
      <c r="D24382" s="8">
        <v>637</v>
      </c>
      <c r="E24382" s="8">
        <v>0</v>
      </c>
      <c r="F24382" s="8">
        <v>106</v>
      </c>
    </row>
    <row r="24383" spans="1:6" ht="12.75">
      <c r="A24383" s="8">
        <v>43893.423310185186</v>
      </c>
      <c r="B24383" s="8" t="str">
        <f>HYPERLINK("https://twitter.com/bayusetia__","@bayusetia__")</f>
        <v>@bayusetia__</v>
      </c>
      <c r="C24383" s="8" t="s">
        <v>9815</v>
      </c>
      <c r="D24383" s="8">
        <v>0</v>
      </c>
      <c r="E24383" s="8">
        <v>0</v>
      </c>
      <c r="F24383" s="8">
        <v>380</v>
      </c>
    </row>
    <row r="24384" spans="1:6" ht="12.75">
      <c r="A24384" s="8">
        <v>43893.423298611116</v>
      </c>
      <c r="B24384" s="8" t="str">
        <f>HYPERLINK("https://twitter.com/detikcom","@detikcom")</f>
        <v>@detikcom</v>
      </c>
      <c r="C24384" s="8" t="s">
        <v>9816</v>
      </c>
      <c r="D24384" s="8">
        <v>0</v>
      </c>
      <c r="E24384" s="8">
        <v>1</v>
      </c>
      <c r="F24384" s="8">
        <v>15710059</v>
      </c>
    </row>
    <row r="24385" spans="1:6" ht="12.75">
      <c r="A24385" s="8">
        <v>43893.42324074074</v>
      </c>
      <c r="B24385" s="8" t="str">
        <f>HYPERLINK("https://twitter.com/sugalittlemeow","@sugalittlemeow")</f>
        <v>@sugalittlemeow</v>
      </c>
      <c r="C24385" s="8" t="s">
        <v>3042</v>
      </c>
      <c r="D24385" s="8">
        <v>3</v>
      </c>
      <c r="E24385" s="8">
        <v>0</v>
      </c>
      <c r="F24385" s="8">
        <v>200</v>
      </c>
    </row>
    <row r="24386" spans="1:6" ht="12.75">
      <c r="A24386" s="8">
        <v>43893.423148148147</v>
      </c>
      <c r="B24386" s="8" t="str">
        <f>HYPERLINK("https://twitter.com/DonFlamingo_","@DonFlamingo_")</f>
        <v>@DonFlamingo_</v>
      </c>
      <c r="C24386" s="8" t="s">
        <v>9780</v>
      </c>
      <c r="D24386" s="8">
        <v>49</v>
      </c>
      <c r="E24386" s="8">
        <v>0</v>
      </c>
      <c r="F24386" s="8">
        <v>146</v>
      </c>
    </row>
    <row r="24387" spans="1:6" ht="12.75">
      <c r="A24387" s="8">
        <v>43893.422962962963</v>
      </c>
      <c r="B24387" s="8" t="str">
        <f>HYPERLINK("https://twitter.com/abdulrtah","@abdulrtah")</f>
        <v>@abdulrtah</v>
      </c>
      <c r="C24387" s="8" t="s">
        <v>9817</v>
      </c>
      <c r="D24387" s="8">
        <v>59</v>
      </c>
      <c r="E24387" s="8">
        <v>0</v>
      </c>
      <c r="F24387" s="8">
        <v>967</v>
      </c>
    </row>
    <row r="24388" spans="1:6" ht="12.75">
      <c r="A24388" s="8">
        <v>43893.42292824074</v>
      </c>
      <c r="B24388" s="8" t="str">
        <f>HYPERLINK("https://twitter.com/twocarcolor","@twocarcolor")</f>
        <v>@twocarcolor</v>
      </c>
      <c r="C24388" s="8" t="s">
        <v>9207</v>
      </c>
      <c r="D24388" s="8">
        <v>123</v>
      </c>
      <c r="E24388" s="8">
        <v>0</v>
      </c>
      <c r="F24388" s="8">
        <v>689</v>
      </c>
    </row>
    <row r="24389" spans="1:6" ht="12.75">
      <c r="A24389" s="8">
        <v>43893.422835648147</v>
      </c>
      <c r="B24389" s="8" t="str">
        <f>HYPERLINK("https://twitter.com/LaksmiAnggraeni","@LaksmiAnggraeni")</f>
        <v>@LaksmiAnggraeni</v>
      </c>
      <c r="C24389" s="8" t="s">
        <v>9818</v>
      </c>
      <c r="D24389" s="8">
        <v>0</v>
      </c>
      <c r="E24389" s="8">
        <v>0</v>
      </c>
      <c r="F24389" s="8">
        <v>86</v>
      </c>
    </row>
    <row r="24390" spans="1:6" ht="12.75">
      <c r="A24390" s="8">
        <v>43893.422800925924</v>
      </c>
      <c r="B24390" s="8" t="str">
        <f>HYPERLINK("https://twitter.com/AlQossam3","@AlQossam3")</f>
        <v>@AlQossam3</v>
      </c>
      <c r="C24390" s="8" t="s">
        <v>1970</v>
      </c>
      <c r="D24390" s="8">
        <v>782</v>
      </c>
      <c r="E24390" s="8">
        <v>0</v>
      </c>
      <c r="F24390" s="8">
        <v>2106</v>
      </c>
    </row>
    <row r="24391" spans="1:6" ht="12.75">
      <c r="A24391" s="8">
        <v>43893.422754629632</v>
      </c>
      <c r="B24391" s="8" t="str">
        <f>HYPERLINK("https://twitter.com/tengkoeferry","@tengkoeferry")</f>
        <v>@tengkoeferry</v>
      </c>
      <c r="C24391" s="8" t="s">
        <v>5732</v>
      </c>
      <c r="D24391" s="8">
        <v>2137</v>
      </c>
      <c r="E24391" s="8">
        <v>0</v>
      </c>
      <c r="F24391" s="8">
        <v>228</v>
      </c>
    </row>
    <row r="24392" spans="1:6" ht="12.75">
      <c r="A24392" s="8">
        <v>43893.422743055555</v>
      </c>
      <c r="B24392" s="8" t="str">
        <f>HYPERLINK("https://twitter.com/Asik96605892","@Asik96605892")</f>
        <v>@Asik96605892</v>
      </c>
      <c r="C24392" s="8" t="s">
        <v>1986</v>
      </c>
      <c r="D24392" s="8">
        <v>707</v>
      </c>
      <c r="E24392" s="8">
        <v>0</v>
      </c>
      <c r="F24392" s="8">
        <v>10</v>
      </c>
    </row>
    <row r="24393" spans="1:6" ht="12.75">
      <c r="A24393" s="8">
        <v>43893.422708333332</v>
      </c>
      <c r="B24393" s="8" t="str">
        <f>HYPERLINK("https://twitter.com/godthesame","@godthesame")</f>
        <v>@godthesame</v>
      </c>
      <c r="C24393" s="8" t="s">
        <v>9814</v>
      </c>
      <c r="D24393" s="8">
        <v>42</v>
      </c>
      <c r="E24393" s="8">
        <v>0</v>
      </c>
      <c r="F24393" s="8">
        <v>296</v>
      </c>
    </row>
    <row r="24394" spans="1:6" ht="12.75">
      <c r="A24394" s="8">
        <v>43893.422696759255</v>
      </c>
      <c r="B24394" s="8" t="str">
        <f>HYPERLINK("https://twitter.com/gilramadaan","@gilramadaan")</f>
        <v>@gilramadaan</v>
      </c>
      <c r="C24394" s="8" t="s">
        <v>1427</v>
      </c>
      <c r="D24394" s="8">
        <v>810</v>
      </c>
      <c r="E24394" s="8">
        <v>0</v>
      </c>
      <c r="F24394" s="8">
        <v>177</v>
      </c>
    </row>
    <row r="24395" spans="1:6" ht="12.75">
      <c r="A24395" s="8">
        <v>43893.422650462962</v>
      </c>
      <c r="B24395" s="8" t="str">
        <f>HYPERLINK("https://twitter.com/ssaasaa","@ssaasaa")</f>
        <v>@ssaasaa</v>
      </c>
      <c r="C24395" s="8" t="s">
        <v>2962</v>
      </c>
      <c r="D24395" s="8">
        <v>5207</v>
      </c>
      <c r="E24395" s="8">
        <v>0</v>
      </c>
      <c r="F24395" s="8">
        <v>529</v>
      </c>
    </row>
    <row r="24396" spans="1:6" ht="12.75">
      <c r="A24396" s="8">
        <v>43893.422650462962</v>
      </c>
      <c r="B24396" s="8" t="str">
        <f>HYPERLINK("https://twitter.com/mediaindonesia","@mediaindonesia")</f>
        <v>@mediaindonesia</v>
      </c>
      <c r="C24396" s="8" t="s">
        <v>9819</v>
      </c>
      <c r="D24396" s="8">
        <v>0</v>
      </c>
      <c r="E24396" s="8">
        <v>1</v>
      </c>
      <c r="F24396" s="8">
        <v>1419868</v>
      </c>
    </row>
    <row r="24397" spans="1:6" ht="12.75">
      <c r="A24397" s="8">
        <v>43893.42260416667</v>
      </c>
      <c r="B24397" s="8" t="str">
        <f>HYPERLINK("https://twitter.com/Lutfialdi_SF","@Lutfialdi_SF")</f>
        <v>@Lutfialdi_SF</v>
      </c>
      <c r="C24397" s="8" t="s">
        <v>9820</v>
      </c>
      <c r="D24397" s="8">
        <v>0</v>
      </c>
      <c r="E24397" s="8">
        <v>0</v>
      </c>
      <c r="F24397" s="8">
        <v>363</v>
      </c>
    </row>
    <row r="24398" spans="1:6" ht="12.75">
      <c r="A24398" s="8">
        <v>43893.422592592593</v>
      </c>
      <c r="B24398" s="8" t="str">
        <f>HYPERLINK("https://twitter.com/dendiayahalbarr","@dendiayahalbarr")</f>
        <v>@dendiayahalbarr</v>
      </c>
      <c r="C24398" s="8" t="s">
        <v>7661</v>
      </c>
      <c r="D24398" s="8">
        <v>437</v>
      </c>
      <c r="E24398" s="8">
        <v>0</v>
      </c>
      <c r="F24398" s="8">
        <v>252</v>
      </c>
    </row>
    <row r="24399" spans="1:6" ht="12.75">
      <c r="A24399" s="8">
        <v>43893.422523148147</v>
      </c>
      <c r="B24399" s="8" t="str">
        <f>HYPERLINK("https://twitter.com/inu_ratih1","@inu_ratih1")</f>
        <v>@inu_ratih1</v>
      </c>
      <c r="C24399" s="8" t="s">
        <v>1970</v>
      </c>
      <c r="D24399" s="8">
        <v>782</v>
      </c>
      <c r="E24399" s="8">
        <v>0</v>
      </c>
      <c r="F24399" s="8">
        <v>101</v>
      </c>
    </row>
    <row r="24400" spans="1:6" ht="12.75">
      <c r="A24400" s="8">
        <v>43893.42251157407</v>
      </c>
      <c r="B24400" s="8" t="str">
        <f>HYPERLINK("https://twitter.com/hiroshiumeda","@hiroshiumeda")</f>
        <v>@hiroshiumeda</v>
      </c>
      <c r="C24400" s="8" t="s">
        <v>1970</v>
      </c>
      <c r="D24400" s="8">
        <v>782</v>
      </c>
      <c r="E24400" s="8">
        <v>0</v>
      </c>
      <c r="F24400" s="8">
        <v>71</v>
      </c>
    </row>
    <row r="24401" spans="1:6" ht="12.75">
      <c r="A24401" s="8">
        <v>43893.422442129631</v>
      </c>
      <c r="B24401" s="8" t="str">
        <f>HYPERLINK("https://twitter.com/9eab7f6c3b3d485","@9eab7f6c3b3d485")</f>
        <v>@9eab7f6c3b3d485</v>
      </c>
      <c r="C24401" s="8" t="s">
        <v>9123</v>
      </c>
      <c r="D24401" s="8">
        <v>397</v>
      </c>
      <c r="E24401" s="8">
        <v>0</v>
      </c>
      <c r="F24401" s="8">
        <v>424</v>
      </c>
    </row>
    <row r="24402" spans="1:6" ht="12.75">
      <c r="A24402" s="8">
        <v>43893.422361111108</v>
      </c>
      <c r="B24402" s="8" t="str">
        <f>HYPERLINK("https://twitter.com/Jhony50873789","@Jhony50873789")</f>
        <v>@Jhony50873789</v>
      </c>
      <c r="C24402" s="8" t="s">
        <v>9088</v>
      </c>
      <c r="D24402" s="8">
        <v>7</v>
      </c>
      <c r="E24402" s="8">
        <v>0</v>
      </c>
      <c r="F24402" s="8">
        <v>16</v>
      </c>
    </row>
    <row r="24403" spans="1:6" ht="12.75">
      <c r="A24403" s="8">
        <v>43893.422291666662</v>
      </c>
      <c r="B24403" s="8" t="str">
        <f>HYPERLINK("https://twitter.com/AimanJudakusum1","@AimanJudakusum1")</f>
        <v>@AimanJudakusum1</v>
      </c>
      <c r="C24403" s="8" t="s">
        <v>9595</v>
      </c>
      <c r="D24403" s="8">
        <v>46</v>
      </c>
      <c r="E24403" s="8">
        <v>0</v>
      </c>
      <c r="F24403" s="8">
        <v>185</v>
      </c>
    </row>
    <row r="24404" spans="1:6" ht="12.75">
      <c r="A24404" s="8">
        <v>43893.422280092593</v>
      </c>
      <c r="B24404" s="8" t="str">
        <f>HYPERLINK("https://twitter.com/Andri74451479","@Andri74451479")</f>
        <v>@Andri74451479</v>
      </c>
      <c r="C24404" s="8" t="s">
        <v>7597</v>
      </c>
      <c r="D24404" s="8">
        <v>637</v>
      </c>
      <c r="E24404" s="8">
        <v>0</v>
      </c>
      <c r="F24404" s="8">
        <v>7</v>
      </c>
    </row>
    <row r="24405" spans="1:6" ht="12.75">
      <c r="A24405" s="8">
        <v>43893.422094907408</v>
      </c>
      <c r="B24405" s="8" t="str">
        <f>HYPERLINK("https://twitter.com/dheeLeeKimPark","@dheeLeeKimPark")</f>
        <v>@dheeLeeKimPark</v>
      </c>
      <c r="C24405" s="8" t="s">
        <v>9821</v>
      </c>
      <c r="D24405" s="8">
        <v>0</v>
      </c>
      <c r="E24405" s="8">
        <v>0</v>
      </c>
      <c r="F24405" s="8">
        <v>116</v>
      </c>
    </row>
    <row r="24406" spans="1:6" ht="12.75">
      <c r="A24406" s="8">
        <v>43893.421747685185</v>
      </c>
      <c r="B24406" s="8" t="str">
        <f>HYPERLINK("https://twitter.com/RifkyZafran","@RifkyZafran")</f>
        <v>@RifkyZafran</v>
      </c>
      <c r="C24406" s="8" t="s">
        <v>9822</v>
      </c>
      <c r="D24406" s="8">
        <v>0</v>
      </c>
      <c r="E24406" s="8">
        <v>0</v>
      </c>
      <c r="F24406" s="8">
        <v>72</v>
      </c>
    </row>
    <row r="24407" spans="1:6" ht="12.75">
      <c r="A24407" s="8">
        <v>43893.421736111108</v>
      </c>
      <c r="B24407" s="8" t="str">
        <f>HYPERLINK("https://twitter.com/ardana333","@ardana333")</f>
        <v>@ardana333</v>
      </c>
      <c r="C24407" s="8" t="s">
        <v>9823</v>
      </c>
      <c r="D24407" s="8">
        <v>2</v>
      </c>
      <c r="E24407" s="8">
        <v>0</v>
      </c>
      <c r="F24407" s="8">
        <v>355</v>
      </c>
    </row>
    <row r="24408" spans="1:6" ht="12.75">
      <c r="A24408" s="8">
        <v>43893.421701388885</v>
      </c>
      <c r="B24408" s="8" t="str">
        <f>HYPERLINK("https://twitter.com/MGusas","@MGusas")</f>
        <v>@MGusas</v>
      </c>
      <c r="C24408" s="8" t="s">
        <v>7597</v>
      </c>
      <c r="D24408" s="8">
        <v>637</v>
      </c>
      <c r="E24408" s="8">
        <v>0</v>
      </c>
      <c r="F24408" s="8">
        <v>66</v>
      </c>
    </row>
    <row r="24409" spans="1:6" ht="12.75">
      <c r="A24409" s="8">
        <v>43893.421689814815</v>
      </c>
      <c r="B24409" s="8" t="str">
        <f>HYPERLINK("https://twitter.com/Chandra_48","@Chandra_48")</f>
        <v>@Chandra_48</v>
      </c>
      <c r="C24409" s="8" t="s">
        <v>2962</v>
      </c>
      <c r="D24409" s="8">
        <v>5207</v>
      </c>
      <c r="E24409" s="8">
        <v>0</v>
      </c>
      <c r="F24409" s="8">
        <v>221</v>
      </c>
    </row>
    <row r="24410" spans="1:6" ht="12.75">
      <c r="A24410" s="8">
        <v>43893.421678240746</v>
      </c>
      <c r="B24410" s="8" t="str">
        <f>HYPERLINK("https://twitter.com/batubulek","@batubulek")</f>
        <v>@batubulek</v>
      </c>
      <c r="C24410" s="8" t="s">
        <v>7597</v>
      </c>
      <c r="D24410" s="8">
        <v>637</v>
      </c>
      <c r="E24410" s="8">
        <v>0</v>
      </c>
      <c r="F24410" s="8">
        <v>336</v>
      </c>
    </row>
    <row r="24411" spans="1:6" ht="12.75">
      <c r="A24411" s="8">
        <v>43893.421643518523</v>
      </c>
      <c r="B24411" s="8" t="str">
        <f>HYPERLINK("https://twitter.com/Hidasya2","@Hidasya2")</f>
        <v>@Hidasya2</v>
      </c>
      <c r="C24411" s="8" t="s">
        <v>1970</v>
      </c>
      <c r="D24411" s="8">
        <v>782</v>
      </c>
      <c r="E24411" s="8">
        <v>0</v>
      </c>
      <c r="F24411" s="8">
        <v>61</v>
      </c>
    </row>
    <row r="24412" spans="1:6" ht="12.75">
      <c r="A24412" s="8">
        <v>43893.421597222223</v>
      </c>
      <c r="B24412" s="8" t="str">
        <f>HYPERLINK("https://twitter.com/justalk12ver4","@justalk12ver4")</f>
        <v>@justalk12ver4</v>
      </c>
      <c r="C24412" s="8" t="s">
        <v>9824</v>
      </c>
      <c r="D24412" s="8">
        <v>0</v>
      </c>
      <c r="E24412" s="8">
        <v>0</v>
      </c>
      <c r="F24412" s="8">
        <v>110</v>
      </c>
    </row>
    <row r="24413" spans="1:6" ht="12.75">
      <c r="A24413" s="8">
        <v>43893.421423611115</v>
      </c>
      <c r="B24413" s="8" t="str">
        <f>HYPERLINK("https://twitter.com/seldorks","@seldorks")</f>
        <v>@seldorks</v>
      </c>
      <c r="C24413" s="8" t="s">
        <v>2199</v>
      </c>
      <c r="D24413" s="8">
        <v>8773</v>
      </c>
      <c r="E24413" s="8">
        <v>0</v>
      </c>
      <c r="F24413" s="8">
        <v>654</v>
      </c>
    </row>
    <row r="24414" spans="1:6" ht="12.75">
      <c r="A24414" s="8">
        <v>43893.421412037038</v>
      </c>
      <c r="B24414" s="8" t="str">
        <f>HYPERLINK("https://twitter.com/muesalim","@muesalim")</f>
        <v>@muesalim</v>
      </c>
      <c r="C24414" s="8" t="s">
        <v>9088</v>
      </c>
      <c r="D24414" s="8">
        <v>7</v>
      </c>
      <c r="E24414" s="8">
        <v>0</v>
      </c>
      <c r="F24414" s="8">
        <v>2096</v>
      </c>
    </row>
    <row r="24415" spans="1:6" ht="12.75">
      <c r="A24415" s="8">
        <v>43893.421400462961</v>
      </c>
      <c r="B24415" s="8" t="str">
        <f>HYPERLINK("https://twitter.com/EllephantzD","@EllephantzD")</f>
        <v>@EllephantzD</v>
      </c>
      <c r="C24415" s="8" t="s">
        <v>6832</v>
      </c>
      <c r="D24415" s="8">
        <v>977</v>
      </c>
      <c r="E24415" s="8">
        <v>0</v>
      </c>
      <c r="F24415" s="8">
        <v>217</v>
      </c>
    </row>
    <row r="24416" spans="1:6" ht="12.75">
      <c r="A24416" s="8">
        <v>43893.421249999999</v>
      </c>
      <c r="B24416" s="8" t="str">
        <f>HYPERLINK("https://twitter.com/indanazulfaaaa","@indanazulfaaaa")</f>
        <v>@indanazulfaaaa</v>
      </c>
      <c r="C24416" s="8" t="s">
        <v>9117</v>
      </c>
      <c r="D24416" s="8">
        <v>315</v>
      </c>
      <c r="E24416" s="8">
        <v>0</v>
      </c>
      <c r="F24416" s="8">
        <v>114</v>
      </c>
    </row>
    <row r="24417" spans="1:6" ht="12.75">
      <c r="A24417" s="8">
        <v>43893.421226851853</v>
      </c>
      <c r="B24417" s="8" t="str">
        <f>HYPERLINK("https://twitter.com/senoantoro","@senoantoro")</f>
        <v>@senoantoro</v>
      </c>
      <c r="C24417" s="8" t="s">
        <v>7597</v>
      </c>
      <c r="D24417" s="8">
        <v>637</v>
      </c>
      <c r="E24417" s="8">
        <v>0</v>
      </c>
      <c r="F24417" s="8">
        <v>49</v>
      </c>
    </row>
    <row r="24418" spans="1:6" ht="12.75">
      <c r="A24418" s="8">
        <v>43893.421122685184</v>
      </c>
      <c r="B24418" s="8" t="str">
        <f>HYPERLINK("https://twitter.com/___mashend22","@___mashend22")</f>
        <v>@___mashend22</v>
      </c>
      <c r="C24418" s="8" t="s">
        <v>9128</v>
      </c>
      <c r="D24418" s="8">
        <v>80</v>
      </c>
      <c r="E24418" s="8">
        <v>0</v>
      </c>
      <c r="F24418" s="8">
        <v>3422</v>
      </c>
    </row>
    <row r="24419" spans="1:6" ht="12.75">
      <c r="A24419" s="8">
        <v>43893.421099537038</v>
      </c>
      <c r="B24419" s="8" t="str">
        <f>HYPERLINK("https://twitter.com/Fadhli_munir","@Fadhli_munir")</f>
        <v>@Fadhli_munir</v>
      </c>
      <c r="C24419" s="8" t="s">
        <v>9825</v>
      </c>
      <c r="D24419" s="8">
        <v>14</v>
      </c>
      <c r="E24419" s="8">
        <v>0</v>
      </c>
      <c r="F24419" s="8">
        <v>77</v>
      </c>
    </row>
    <row r="24420" spans="1:6" ht="12.75">
      <c r="A24420" s="8">
        <v>43893.421053240745</v>
      </c>
      <c r="B24420" s="8" t="str">
        <f>HYPERLINK("https://twitter.com/faisalramdani23","@faisalramdani23")</f>
        <v>@faisalramdani23</v>
      </c>
      <c r="C24420" s="8" t="s">
        <v>6862</v>
      </c>
      <c r="D24420" s="8">
        <v>13</v>
      </c>
      <c r="E24420" s="8">
        <v>0</v>
      </c>
      <c r="F24420" s="8">
        <v>448</v>
      </c>
    </row>
    <row r="24421" spans="1:6" ht="12.75">
      <c r="A24421" s="8">
        <v>43893.420925925922</v>
      </c>
      <c r="B24421" s="8" t="str">
        <f>HYPERLINK("https://twitter.com/yourstrongerrr","@yourstrongerrr")</f>
        <v>@yourstrongerrr</v>
      </c>
      <c r="C24421" s="8" t="s">
        <v>7197</v>
      </c>
      <c r="D24421" s="8">
        <v>38</v>
      </c>
      <c r="E24421" s="8">
        <v>0</v>
      </c>
      <c r="F24421" s="8">
        <v>292</v>
      </c>
    </row>
    <row r="24422" spans="1:6" ht="12.75">
      <c r="A24422" s="8">
        <v>43893.42082175926</v>
      </c>
      <c r="B24422" s="8" t="str">
        <f>HYPERLINK("https://twitter.com/insomniasl33p","@insomniasl33p")</f>
        <v>@insomniasl33p</v>
      </c>
      <c r="C24422" s="8" t="s">
        <v>6864</v>
      </c>
      <c r="D24422" s="8">
        <v>199</v>
      </c>
      <c r="E24422" s="8">
        <v>0</v>
      </c>
      <c r="F24422" s="8">
        <v>79</v>
      </c>
    </row>
    <row r="24423" spans="1:6" ht="12.75">
      <c r="A24423" s="8">
        <v>43893.420752314814</v>
      </c>
      <c r="B24423" s="8" t="str">
        <f>HYPERLINK("https://twitter.com/EllephantzD","@EllephantzD")</f>
        <v>@EllephantzD</v>
      </c>
      <c r="C24423" s="8" t="s">
        <v>1970</v>
      </c>
      <c r="D24423" s="8">
        <v>782</v>
      </c>
      <c r="E24423" s="8">
        <v>0</v>
      </c>
      <c r="F24423" s="8">
        <v>217</v>
      </c>
    </row>
    <row r="24424" spans="1:6" ht="12.75">
      <c r="A24424" s="8">
        <v>43893.420740740738</v>
      </c>
      <c r="B24424" s="8" t="str">
        <f>HYPERLINK("https://twitter.com/akhmadj76","@akhmadj76")</f>
        <v>@akhmadj76</v>
      </c>
      <c r="C24424" s="8" t="s">
        <v>8322</v>
      </c>
      <c r="D24424" s="8">
        <v>711</v>
      </c>
      <c r="E24424" s="8">
        <v>0</v>
      </c>
      <c r="F24424" s="8">
        <v>139</v>
      </c>
    </row>
    <row r="24425" spans="1:6" ht="12.75">
      <c r="A24425" s="8">
        <v>43893.420624999999</v>
      </c>
      <c r="B24425" s="8" t="str">
        <f>HYPERLINK("https://twitter.com/NerdCeo","@NerdCeo")</f>
        <v>@NerdCeo</v>
      </c>
      <c r="C24425" s="8" t="s">
        <v>8322</v>
      </c>
      <c r="D24425" s="8">
        <v>711</v>
      </c>
      <c r="E24425" s="8">
        <v>0</v>
      </c>
      <c r="F24425" s="8">
        <v>3</v>
      </c>
    </row>
    <row r="24426" spans="1:6" ht="12.75">
      <c r="A24426" s="8">
        <v>43893.420613425929</v>
      </c>
      <c r="B24426" s="8" t="str">
        <f>HYPERLINK("https://twitter.com/Masdjodi1","@Masdjodi1")</f>
        <v>@Masdjodi1</v>
      </c>
      <c r="C24426" s="8" t="s">
        <v>9826</v>
      </c>
      <c r="D24426" s="8">
        <v>1</v>
      </c>
      <c r="E24426" s="8">
        <v>0</v>
      </c>
      <c r="F24426" s="8">
        <v>709</v>
      </c>
    </row>
    <row r="24427" spans="1:6" ht="12.75">
      <c r="A24427" s="8">
        <v>43893.420590277776</v>
      </c>
      <c r="B24427" s="8" t="str">
        <f>HYPERLINK("https://twitter.com/tiaradwip","@tiaradwip")</f>
        <v>@tiaradwip</v>
      </c>
      <c r="C24427" s="8" t="s">
        <v>9827</v>
      </c>
      <c r="D24427" s="8">
        <v>0</v>
      </c>
      <c r="E24427" s="8">
        <v>0</v>
      </c>
      <c r="F24427" s="8">
        <v>414</v>
      </c>
    </row>
    <row r="24428" spans="1:6" ht="12.75">
      <c r="A24428" s="8">
        <v>43893.420578703706</v>
      </c>
      <c r="B24428" s="8" t="str">
        <f>HYPERLINK("https://twitter.com/CoreNegative","@CoreNegative")</f>
        <v>@CoreNegative</v>
      </c>
      <c r="C24428" s="8" t="s">
        <v>5732</v>
      </c>
      <c r="D24428" s="8">
        <v>2137</v>
      </c>
      <c r="E24428" s="8">
        <v>0</v>
      </c>
      <c r="F24428" s="8">
        <v>166</v>
      </c>
    </row>
    <row r="24429" spans="1:6" ht="12.75">
      <c r="A24429" s="8">
        <v>43893.420555555553</v>
      </c>
      <c r="B24429" s="8" t="str">
        <f>HYPERLINK("https://twitter.com/dantyofficial","@dantyofficial")</f>
        <v>@dantyofficial</v>
      </c>
      <c r="C24429" s="8" t="s">
        <v>9828</v>
      </c>
      <c r="D24429" s="8">
        <v>0</v>
      </c>
      <c r="E24429" s="8">
        <v>0</v>
      </c>
      <c r="F24429" s="8">
        <v>53</v>
      </c>
    </row>
    <row r="24430" spans="1:6" ht="12.75">
      <c r="A24430" s="8">
        <v>43893.420462962968</v>
      </c>
      <c r="B24430" s="8" t="str">
        <f>HYPERLINK("https://twitter.com/twiitshith","@twiitshith")</f>
        <v>@twiitshith</v>
      </c>
      <c r="C24430" s="8" t="s">
        <v>9829</v>
      </c>
      <c r="D24430" s="8">
        <v>0</v>
      </c>
      <c r="E24430" s="8">
        <v>0</v>
      </c>
      <c r="F24430" s="8">
        <v>44</v>
      </c>
    </row>
    <row r="24431" spans="1:6" ht="12.75">
      <c r="A24431" s="8">
        <v>43893.420393518521</v>
      </c>
      <c r="B24431" s="8" t="str">
        <f>HYPERLINK("https://twitter.com/SapinApin","@SapinApin")</f>
        <v>@SapinApin</v>
      </c>
      <c r="C24431" s="8" t="s">
        <v>3298</v>
      </c>
      <c r="D24431" s="8">
        <v>28</v>
      </c>
      <c r="E24431" s="8">
        <v>0</v>
      </c>
      <c r="F24431" s="8">
        <v>115</v>
      </c>
    </row>
    <row r="24432" spans="1:6" ht="12.75">
      <c r="A24432" s="8">
        <v>43893.420277777783</v>
      </c>
      <c r="B24432" s="8" t="str">
        <f>HYPERLINK("https://twitter.com/dinnaistiana_","@dinnaistiana_")</f>
        <v>@dinnaistiana_</v>
      </c>
      <c r="C24432" s="8" t="s">
        <v>6832</v>
      </c>
      <c r="D24432" s="8">
        <v>977</v>
      </c>
      <c r="E24432" s="8">
        <v>0</v>
      </c>
      <c r="F24432" s="8">
        <v>605</v>
      </c>
    </row>
    <row r="24433" spans="1:6" ht="12.75">
      <c r="A24433" s="8">
        <v>43893.420266203699</v>
      </c>
      <c r="B24433" s="8" t="str">
        <f>HYPERLINK("https://twitter.com/beatrice_health","@beatrice_health")</f>
        <v>@beatrice_health</v>
      </c>
      <c r="C24433" s="8" t="s">
        <v>9830</v>
      </c>
      <c r="D24433" s="8">
        <v>5</v>
      </c>
      <c r="E24433" s="8">
        <v>0</v>
      </c>
      <c r="F24433" s="8">
        <v>487</v>
      </c>
    </row>
    <row r="24434" spans="1:6" ht="12.75">
      <c r="A24434" s="8">
        <v>43893.42024305556</v>
      </c>
      <c r="B24434" s="8" t="str">
        <f>HYPERLINK("https://twitter.com/herditiya1","@herditiya1")</f>
        <v>@herditiya1</v>
      </c>
      <c r="C24434" s="8" t="s">
        <v>8901</v>
      </c>
      <c r="D24434" s="8">
        <v>47</v>
      </c>
      <c r="E24434" s="8">
        <v>0</v>
      </c>
      <c r="F24434" s="8">
        <v>4851</v>
      </c>
    </row>
    <row r="24435" spans="1:6" ht="12.75">
      <c r="A24435" s="8">
        <v>43893.420231481483</v>
      </c>
      <c r="B24435" s="8" t="str">
        <f>HYPERLINK("https://twitter.com/Demokrat_TV","@Demokrat_TV")</f>
        <v>@Demokrat_TV</v>
      </c>
      <c r="C24435" s="8" t="s">
        <v>9830</v>
      </c>
      <c r="D24435" s="8">
        <v>5</v>
      </c>
      <c r="E24435" s="8">
        <v>0</v>
      </c>
      <c r="F24435" s="8">
        <v>6175789</v>
      </c>
    </row>
    <row r="24436" spans="1:6" ht="12.75">
      <c r="A24436" s="8">
        <v>43893.420127314814</v>
      </c>
      <c r="B24436" s="8" t="str">
        <f>HYPERLINK("https://twitter.com/dinninurulk","@dinninurulk")</f>
        <v>@dinninurulk</v>
      </c>
      <c r="C24436" s="8" t="s">
        <v>2962</v>
      </c>
      <c r="D24436" s="8">
        <v>5207</v>
      </c>
      <c r="E24436" s="8">
        <v>0</v>
      </c>
      <c r="F24436" s="8">
        <v>147</v>
      </c>
    </row>
    <row r="24437" spans="1:6" ht="12.75">
      <c r="A24437" s="8">
        <v>43893.420057870375</v>
      </c>
      <c r="B24437" s="8" t="str">
        <f>HYPERLINK("https://twitter.com/MGusas","@MGusas")</f>
        <v>@MGusas</v>
      </c>
      <c r="C24437" s="8" t="s">
        <v>8322</v>
      </c>
      <c r="D24437" s="8">
        <v>711</v>
      </c>
      <c r="E24437" s="8">
        <v>0</v>
      </c>
      <c r="F24437" s="8">
        <v>66</v>
      </c>
    </row>
    <row r="24438" spans="1:6" ht="12.75">
      <c r="A24438" s="8">
        <v>43893.420057870375</v>
      </c>
      <c r="B24438" s="8" t="str">
        <f>HYPERLINK("https://twitter.com/ternakucing","@ternakucing")</f>
        <v>@ternakucing</v>
      </c>
      <c r="C24438" s="8" t="s">
        <v>2962</v>
      </c>
      <c r="D24438" s="8">
        <v>5207</v>
      </c>
      <c r="E24438" s="8">
        <v>0</v>
      </c>
      <c r="F24438" s="8">
        <v>3529</v>
      </c>
    </row>
    <row r="24439" spans="1:6" ht="12.75">
      <c r="A24439" s="8">
        <v>43893.420046296298</v>
      </c>
      <c r="B24439" s="8" t="str">
        <f>HYPERLINK("https://twitter.com/diandragl","@diandragl")</f>
        <v>@diandragl</v>
      </c>
      <c r="C24439" s="8" t="s">
        <v>9117</v>
      </c>
      <c r="D24439" s="8">
        <v>315</v>
      </c>
      <c r="E24439" s="8">
        <v>0</v>
      </c>
      <c r="F24439" s="8">
        <v>762</v>
      </c>
    </row>
    <row r="24440" spans="1:6" ht="12.75">
      <c r="A24440" s="8">
        <v>43893.419803240744</v>
      </c>
      <c r="B24440" s="8" t="str">
        <f>HYPERLINK("https://twitter.com/Haluan_","@Haluan_")</f>
        <v>@Haluan_</v>
      </c>
      <c r="C24440" s="8" t="s">
        <v>9831</v>
      </c>
      <c r="D24440" s="8">
        <v>0</v>
      </c>
      <c r="E24440" s="8">
        <v>1</v>
      </c>
      <c r="F24440" s="8">
        <v>1510</v>
      </c>
    </row>
    <row r="24441" spans="1:6" ht="12.75">
      <c r="A24441" s="8">
        <v>43893.419733796298</v>
      </c>
      <c r="B24441" s="8" t="str">
        <f>HYPERLINK("https://twitter.com/zullifkar_ab","@zullifkar_ab")</f>
        <v>@zullifkar_ab</v>
      </c>
      <c r="C24441" s="8" t="s">
        <v>9832</v>
      </c>
      <c r="D24441" s="8">
        <v>0</v>
      </c>
      <c r="E24441" s="8">
        <v>0</v>
      </c>
      <c r="F24441" s="8">
        <v>121</v>
      </c>
    </row>
    <row r="24442" spans="1:6" ht="12.75">
      <c r="A24442" s="8">
        <v>43893.419722222221</v>
      </c>
      <c r="B24442" s="8" t="str">
        <f>HYPERLINK("https://twitter.com/AbuMahana","@AbuMahana")</f>
        <v>@AbuMahana</v>
      </c>
      <c r="C24442" s="8" t="s">
        <v>4477</v>
      </c>
      <c r="D24442" s="8">
        <v>1070</v>
      </c>
      <c r="E24442" s="8">
        <v>0</v>
      </c>
      <c r="F24442" s="8">
        <v>186</v>
      </c>
    </row>
    <row r="24443" spans="1:6" ht="12.75">
      <c r="A24443" s="8">
        <v>43893.419722222221</v>
      </c>
      <c r="B24443" s="8" t="str">
        <f>HYPERLINK("https://twitter.com/Wahyu05806471","@Wahyu05806471")</f>
        <v>@Wahyu05806471</v>
      </c>
      <c r="C24443" s="8" t="s">
        <v>9833</v>
      </c>
      <c r="D24443" s="8">
        <v>1</v>
      </c>
      <c r="E24443" s="8">
        <v>0</v>
      </c>
      <c r="F24443" s="8">
        <v>765</v>
      </c>
    </row>
    <row r="24444" spans="1:6" ht="12.75">
      <c r="A24444" s="8">
        <v>43893.419594907406</v>
      </c>
      <c r="B24444" s="8" t="str">
        <f>HYPERLINK("https://twitter.com/LadesSagitario","@LadesSagitario")</f>
        <v>@LadesSagitario</v>
      </c>
      <c r="C24444" s="8" t="s">
        <v>1970</v>
      </c>
      <c r="D24444" s="8">
        <v>782</v>
      </c>
      <c r="E24444" s="8">
        <v>0</v>
      </c>
      <c r="F24444" s="8">
        <v>236</v>
      </c>
    </row>
    <row r="24445" spans="1:6" ht="12.75">
      <c r="A24445" s="8">
        <v>43893.419571759259</v>
      </c>
      <c r="B24445" s="8" t="str">
        <f>HYPERLINK("https://twitter.com/dipoan114","@dipoan114")</f>
        <v>@dipoan114</v>
      </c>
      <c r="C24445" s="8" t="s">
        <v>9772</v>
      </c>
      <c r="D24445" s="8">
        <v>72</v>
      </c>
      <c r="E24445" s="8">
        <v>0</v>
      </c>
      <c r="F24445" s="8">
        <v>17</v>
      </c>
    </row>
    <row r="24446" spans="1:6" ht="12.75">
      <c r="A24446" s="8">
        <v>43893.419571759259</v>
      </c>
      <c r="B24446" s="8" t="str">
        <f>HYPERLINK("https://twitter.com/pipitmuse","@pipitmuse")</f>
        <v>@pipitmuse</v>
      </c>
      <c r="C24446" s="8" t="s">
        <v>1970</v>
      </c>
      <c r="D24446" s="8">
        <v>782</v>
      </c>
      <c r="E24446" s="8">
        <v>0</v>
      </c>
      <c r="F24446" s="8">
        <v>566</v>
      </c>
    </row>
    <row r="24447" spans="1:6" ht="12.75">
      <c r="A24447" s="8">
        <v>43893.419571759259</v>
      </c>
      <c r="B24447" s="8" t="str">
        <f>HYPERLINK("https://twitter.com/TuriminVanthat","@TuriminVanthat")</f>
        <v>@TuriminVanthat</v>
      </c>
      <c r="C24447" s="8" t="s">
        <v>9834</v>
      </c>
      <c r="D24447" s="8">
        <v>0</v>
      </c>
      <c r="E24447" s="8">
        <v>0</v>
      </c>
      <c r="F24447" s="8">
        <v>301</v>
      </c>
    </row>
    <row r="24448" spans="1:6" ht="12.75">
      <c r="A24448" s="8">
        <v>43893.419560185182</v>
      </c>
      <c r="B24448" s="8" t="str">
        <f>HYPERLINK("https://twitter.com/Chaca00939622","@Chaca00939622")</f>
        <v>@Chaca00939622</v>
      </c>
      <c r="C24448" s="8" t="s">
        <v>5803</v>
      </c>
      <c r="D24448" s="8">
        <v>167</v>
      </c>
      <c r="E24448" s="8">
        <v>0</v>
      </c>
      <c r="F24448" s="8">
        <v>44</v>
      </c>
    </row>
    <row r="24449" spans="1:6" ht="12.75">
      <c r="A24449" s="8">
        <v>43893.419386574074</v>
      </c>
      <c r="B24449" s="8" t="str">
        <f>HYPERLINK("https://twitter.com/Riskonabdullah","@Riskonabdullah")</f>
        <v>@Riskonabdullah</v>
      </c>
      <c r="C24449" s="8" t="s">
        <v>9835</v>
      </c>
      <c r="D24449" s="8">
        <v>0</v>
      </c>
      <c r="E24449" s="8">
        <v>0</v>
      </c>
      <c r="F24449" s="8">
        <v>1109</v>
      </c>
    </row>
    <row r="24450" spans="1:6" ht="12.75">
      <c r="A24450" s="8">
        <v>43893.419363425928</v>
      </c>
      <c r="B24450" s="8" t="str">
        <f>HYPERLINK("https://twitter.com/chaidar_2000","@chaidar_2000")</f>
        <v>@chaidar_2000</v>
      </c>
      <c r="C24450" s="8" t="s">
        <v>9836</v>
      </c>
      <c r="D24450" s="8">
        <v>0</v>
      </c>
      <c r="E24450" s="8">
        <v>0</v>
      </c>
      <c r="F24450" s="8">
        <v>3441</v>
      </c>
    </row>
    <row r="24451" spans="1:6" ht="12.75">
      <c r="A24451" s="8">
        <v>43893.419340277775</v>
      </c>
      <c r="B24451" s="8" t="str">
        <f>HYPERLINK("https://twitter.com/maraadriana_","@maraadriana_")</f>
        <v>@maraadriana_</v>
      </c>
      <c r="C24451" s="8" t="s">
        <v>2199</v>
      </c>
      <c r="D24451" s="8">
        <v>8773</v>
      </c>
      <c r="E24451" s="8">
        <v>0</v>
      </c>
      <c r="F24451" s="8">
        <v>1008</v>
      </c>
    </row>
    <row r="24452" spans="1:6" ht="12.75">
      <c r="A24452" s="8">
        <v>43893.419328703705</v>
      </c>
      <c r="B24452" s="8" t="str">
        <f>HYPERLINK("https://twitter.com/AbdiningIzzati","@AbdiningIzzati")</f>
        <v>@AbdiningIzzati</v>
      </c>
      <c r="C24452" s="8" t="s">
        <v>7149</v>
      </c>
      <c r="D24452" s="8">
        <v>346</v>
      </c>
      <c r="E24452" s="8">
        <v>0</v>
      </c>
      <c r="F24452" s="8">
        <v>27</v>
      </c>
    </row>
    <row r="24453" spans="1:6" ht="12.75">
      <c r="A24453" s="8">
        <v>43893.419317129628</v>
      </c>
      <c r="B24453" s="8" t="str">
        <f>HYPERLINK("https://twitter.com/riniratna16","@riniratna16")</f>
        <v>@riniratna16</v>
      </c>
      <c r="C24453" s="8" t="s">
        <v>9837</v>
      </c>
      <c r="D24453" s="8">
        <v>0</v>
      </c>
      <c r="E24453" s="8">
        <v>1</v>
      </c>
      <c r="F24453" s="8">
        <v>790</v>
      </c>
    </row>
    <row r="24454" spans="1:6" ht="12.75">
      <c r="A24454" s="8">
        <v>43893.419317129628</v>
      </c>
      <c r="B24454" s="8" t="str">
        <f>HYPERLINK("https://twitter.com/sikecilmarmut","@sikecilmarmut")</f>
        <v>@sikecilmarmut</v>
      </c>
      <c r="C24454" s="8" t="s">
        <v>9838</v>
      </c>
      <c r="D24454" s="8">
        <v>7</v>
      </c>
      <c r="E24454" s="8">
        <v>0</v>
      </c>
      <c r="F24454" s="8">
        <v>2251</v>
      </c>
    </row>
    <row r="24455" spans="1:6" ht="12.75">
      <c r="A24455" s="8">
        <v>43893.419305555552</v>
      </c>
      <c r="B24455" s="8" t="str">
        <f>HYPERLINK("https://twitter.com/arynpekik","@arynpekik")</f>
        <v>@arynpekik</v>
      </c>
      <c r="C24455" s="8" t="s">
        <v>9087</v>
      </c>
      <c r="D24455" s="8">
        <v>15</v>
      </c>
      <c r="E24455" s="8">
        <v>0</v>
      </c>
      <c r="F24455" s="8">
        <v>410</v>
      </c>
    </row>
    <row r="24456" spans="1:6" ht="12.75">
      <c r="A24456" s="8">
        <v>43893.419259259259</v>
      </c>
      <c r="B24456" s="8" t="str">
        <f>HYPERLINK("https://twitter.com/gitaftarigan","@gitaftarigan")</f>
        <v>@gitaftarigan</v>
      </c>
      <c r="C24456" s="8" t="s">
        <v>9839</v>
      </c>
      <c r="D24456" s="8">
        <v>0</v>
      </c>
      <c r="E24456" s="8">
        <v>0</v>
      </c>
      <c r="F24456" s="8">
        <v>968</v>
      </c>
    </row>
    <row r="24457" spans="1:6" ht="12.75">
      <c r="A24457" s="8">
        <v>43893.419247685189</v>
      </c>
      <c r="B24457" s="8" t="str">
        <f>HYPERLINK("https://twitter.com/YogaAdrianyoga6","@YogaAdrianyoga6")</f>
        <v>@YogaAdrianyoga6</v>
      </c>
      <c r="C24457" s="8" t="s">
        <v>9146</v>
      </c>
      <c r="D24457" s="8">
        <v>20</v>
      </c>
      <c r="E24457" s="8">
        <v>0</v>
      </c>
      <c r="F24457" s="8">
        <v>791</v>
      </c>
    </row>
    <row r="24458" spans="1:6" ht="12.75">
      <c r="A24458" s="8">
        <v>43893.41920138889</v>
      </c>
      <c r="B24458" s="8" t="str">
        <f>HYPERLINK("https://twitter.com/CindyFrishanti","@CindyFrishanti")</f>
        <v>@CindyFrishanti</v>
      </c>
      <c r="C24458" s="8" t="s">
        <v>3042</v>
      </c>
      <c r="D24458" s="8">
        <v>3</v>
      </c>
      <c r="E24458" s="8">
        <v>0</v>
      </c>
      <c r="F24458" s="8">
        <v>315</v>
      </c>
    </row>
    <row r="24459" spans="1:6" ht="12.75">
      <c r="A24459" s="8">
        <v>43893.419108796297</v>
      </c>
      <c r="B24459" s="8" t="str">
        <f>HYPERLINK("https://twitter.com/dantyofficial","@dantyofficial")</f>
        <v>@dantyofficial</v>
      </c>
      <c r="C24459" s="8" t="s">
        <v>9454</v>
      </c>
      <c r="D24459" s="8">
        <v>1</v>
      </c>
      <c r="E24459" s="8">
        <v>0</v>
      </c>
      <c r="F24459" s="8">
        <v>53</v>
      </c>
    </row>
    <row r="24460" spans="1:6" ht="12.75">
      <c r="A24460" s="8">
        <v>43893.419074074074</v>
      </c>
      <c r="B24460" s="8" t="str">
        <f>HYPERLINK("https://twitter.com/bibin_bey","@bibin_bey")</f>
        <v>@bibin_bey</v>
      </c>
      <c r="C24460" s="8" t="s">
        <v>1970</v>
      </c>
      <c r="D24460" s="8">
        <v>782</v>
      </c>
      <c r="E24460" s="8">
        <v>0</v>
      </c>
      <c r="F24460" s="8">
        <v>1617</v>
      </c>
    </row>
    <row r="24461" spans="1:6" ht="12.75">
      <c r="A24461" s="8">
        <v>43893.419074074074</v>
      </c>
      <c r="B24461" s="8" t="str">
        <f>HYPERLINK("https://twitter.com/Chaca00939622","@Chaca00939622")</f>
        <v>@Chaca00939622</v>
      </c>
      <c r="C24461" s="8" t="s">
        <v>2199</v>
      </c>
      <c r="D24461" s="8">
        <v>8773</v>
      </c>
      <c r="E24461" s="8">
        <v>0</v>
      </c>
      <c r="F24461" s="8">
        <v>44</v>
      </c>
    </row>
    <row r="24462" spans="1:6" ht="12.75">
      <c r="A24462" s="8">
        <v>43893.419004629628</v>
      </c>
      <c r="B24462" s="8" t="str">
        <f>HYPERLINK("https://twitter.com/chaidar_2000","@chaidar_2000")</f>
        <v>@chaidar_2000</v>
      </c>
      <c r="C24462" s="8" t="s">
        <v>9493</v>
      </c>
      <c r="D24462" s="8">
        <v>10</v>
      </c>
      <c r="E24462" s="8">
        <v>0</v>
      </c>
      <c r="F24462" s="8">
        <v>3441</v>
      </c>
    </row>
    <row r="24463" spans="1:6" ht="12.75">
      <c r="A24463" s="8">
        <v>43893.418958333335</v>
      </c>
      <c r="B24463" s="8" t="str">
        <f>HYPERLINK("https://twitter.com/Riskonabdullah","@Riskonabdullah")</f>
        <v>@Riskonabdullah</v>
      </c>
      <c r="C24463" s="8" t="s">
        <v>8827</v>
      </c>
      <c r="D24463" s="8">
        <v>47</v>
      </c>
      <c r="E24463" s="8">
        <v>0</v>
      </c>
      <c r="F24463" s="8">
        <v>1109</v>
      </c>
    </row>
    <row r="24464" spans="1:6" ht="12.75">
      <c r="A24464" s="8">
        <v>43893.41878472222</v>
      </c>
      <c r="B24464" s="8" t="str">
        <f>HYPERLINK("https://twitter.com/KemenkesRI","@KemenkesRI")</f>
        <v>@KemenkesRI</v>
      </c>
      <c r="C24464" s="8" t="s">
        <v>9840</v>
      </c>
      <c r="D24464" s="8">
        <v>3</v>
      </c>
      <c r="E24464" s="8">
        <v>11</v>
      </c>
      <c r="F24464" s="8">
        <v>258333</v>
      </c>
    </row>
    <row r="24465" spans="1:6" ht="12.75">
      <c r="A24465" s="8">
        <v>43893.418738425928</v>
      </c>
      <c r="B24465" s="8" t="str">
        <f>HYPERLINK("https://twitter.com/RezimTipuDaya","@RezimTipuDaya")</f>
        <v>@RezimTipuDaya</v>
      </c>
      <c r="C24465" s="8" t="s">
        <v>9841</v>
      </c>
      <c r="D24465" s="8">
        <v>0</v>
      </c>
      <c r="E24465" s="8">
        <v>0</v>
      </c>
      <c r="F24465" s="8">
        <v>2113</v>
      </c>
    </row>
    <row r="24466" spans="1:6" ht="12.75">
      <c r="A24466" s="8">
        <v>43893.418726851851</v>
      </c>
      <c r="B24466" s="8" t="str">
        <f>HYPERLINK("https://twitter.com/ctrl_shiftdesc","@ctrl_shiftdesc")</f>
        <v>@ctrl_shiftdesc</v>
      </c>
      <c r="C24466" s="8" t="s">
        <v>1145</v>
      </c>
      <c r="D24466" s="8">
        <v>486</v>
      </c>
      <c r="E24466" s="8">
        <v>0</v>
      </c>
      <c r="F24466" s="8">
        <v>98</v>
      </c>
    </row>
    <row r="24467" spans="1:6" ht="12.75">
      <c r="A24467" s="8">
        <v>43893.418506944443</v>
      </c>
      <c r="B24467" s="8" t="str">
        <f>HYPERLINK("https://twitter.com/FYozze","@FYozze")</f>
        <v>@FYozze</v>
      </c>
      <c r="C24467" s="8" t="s">
        <v>9595</v>
      </c>
      <c r="D24467" s="8">
        <v>46</v>
      </c>
      <c r="E24467" s="8">
        <v>0</v>
      </c>
      <c r="F24467" s="8">
        <v>1492</v>
      </c>
    </row>
    <row r="24468" spans="1:6" ht="12.75">
      <c r="A24468" s="8">
        <v>43893.418472222227</v>
      </c>
      <c r="B24468" s="8" t="str">
        <f>HYPERLINK("https://twitter.com/BinarisSitumor1","@BinarisSitumor1")</f>
        <v>@BinarisSitumor1</v>
      </c>
      <c r="C24468" s="8" t="s">
        <v>9842</v>
      </c>
      <c r="D24468" s="8">
        <v>8</v>
      </c>
      <c r="E24468" s="8">
        <v>0</v>
      </c>
      <c r="F24468" s="8">
        <v>299</v>
      </c>
    </row>
    <row r="24469" spans="1:6" ht="12.75">
      <c r="A24469" s="8">
        <v>43893.418472222227</v>
      </c>
      <c r="B24469" s="8" t="str">
        <f>HYPERLINK("https://twitter.com/Ramadianaa","@Ramadianaa")</f>
        <v>@Ramadianaa</v>
      </c>
      <c r="C24469" s="8" t="s">
        <v>2199</v>
      </c>
      <c r="D24469" s="8">
        <v>8773</v>
      </c>
      <c r="E24469" s="8">
        <v>0</v>
      </c>
      <c r="F24469" s="8">
        <v>405</v>
      </c>
    </row>
    <row r="24470" spans="1:6" ht="12.75">
      <c r="A24470" s="8">
        <v>43893.418437500004</v>
      </c>
      <c r="B24470" s="8" t="str">
        <f>HYPERLINK("https://twitter.com/Minsugaa931","@Minsugaa931")</f>
        <v>@Minsugaa931</v>
      </c>
      <c r="C24470" s="8" t="s">
        <v>1427</v>
      </c>
      <c r="D24470" s="8">
        <v>810</v>
      </c>
      <c r="E24470" s="8">
        <v>0</v>
      </c>
      <c r="F24470" s="8">
        <v>116</v>
      </c>
    </row>
    <row r="24471" spans="1:6" ht="12.75">
      <c r="A24471" s="8">
        <v>43893.418425925927</v>
      </c>
      <c r="B24471" s="8" t="str">
        <f>HYPERLINK("https://twitter.com/Mick_Khoo","@Mick_Khoo")</f>
        <v>@Mick_Khoo</v>
      </c>
      <c r="C24471" s="8" t="s">
        <v>2962</v>
      </c>
      <c r="D24471" s="8">
        <v>5207</v>
      </c>
      <c r="E24471" s="8">
        <v>0</v>
      </c>
      <c r="F24471" s="8">
        <v>297</v>
      </c>
    </row>
    <row r="24472" spans="1:6" ht="12.75">
      <c r="A24472" s="8">
        <v>43893.418414351851</v>
      </c>
      <c r="B24472" s="8" t="str">
        <f>HYPERLINK("https://twitter.com/spurwanto0202","@spurwanto0202")</f>
        <v>@spurwanto0202</v>
      </c>
      <c r="C24472" s="8" t="s">
        <v>1986</v>
      </c>
      <c r="D24472" s="8">
        <v>707</v>
      </c>
      <c r="E24472" s="8">
        <v>0</v>
      </c>
      <c r="F24472" s="8">
        <v>137</v>
      </c>
    </row>
    <row r="24473" spans="1:6" ht="12.75">
      <c r="A24473" s="8">
        <v>43893.418402777781</v>
      </c>
      <c r="B24473" s="8" t="str">
        <f>HYPERLINK("https://twitter.com/Ary4k4m4nd4nu","@Ary4k4m4nd4nu")</f>
        <v>@Ary4k4m4nd4nu</v>
      </c>
      <c r="C24473" s="8" t="s">
        <v>1970</v>
      </c>
      <c r="D24473" s="8">
        <v>782</v>
      </c>
      <c r="E24473" s="8">
        <v>0</v>
      </c>
      <c r="F24473" s="8">
        <v>285</v>
      </c>
    </row>
    <row r="24474" spans="1:6" ht="12.75">
      <c r="A24474" s="8">
        <v>43893.418379629627</v>
      </c>
      <c r="B24474" s="8" t="str">
        <f>HYPERLINK("https://twitter.com/2019jkwsaja","@2019jkwsaja")</f>
        <v>@2019jkwsaja</v>
      </c>
      <c r="C24474" s="8" t="s">
        <v>9843</v>
      </c>
      <c r="D24474" s="8">
        <v>1</v>
      </c>
      <c r="E24474" s="8">
        <v>0</v>
      </c>
      <c r="F24474" s="8">
        <v>2597</v>
      </c>
    </row>
    <row r="24475" spans="1:6" ht="12.75">
      <c r="A24475" s="8">
        <v>43893.418321759258</v>
      </c>
      <c r="B24475" s="8" t="str">
        <f>HYPERLINK("https://twitter.com/eyhjelhs","@eyhjelhs")</f>
        <v>@eyhjelhs</v>
      </c>
      <c r="C24475" s="8" t="s">
        <v>9844</v>
      </c>
      <c r="D24475" s="8">
        <v>16099</v>
      </c>
      <c r="E24475" s="8">
        <v>0</v>
      </c>
      <c r="F24475" s="8">
        <v>704</v>
      </c>
    </row>
    <row r="24476" spans="1:6" ht="12.75">
      <c r="A24476" s="8">
        <v>43893.418171296296</v>
      </c>
      <c r="B24476" s="8" t="str">
        <f>HYPERLINK("https://twitter.com/Armaone","@Armaone")</f>
        <v>@Armaone</v>
      </c>
      <c r="C24476" s="8" t="s">
        <v>7597</v>
      </c>
      <c r="D24476" s="8">
        <v>637</v>
      </c>
      <c r="E24476" s="8">
        <v>0</v>
      </c>
      <c r="F24476" s="8">
        <v>38</v>
      </c>
    </row>
    <row r="24477" spans="1:6" ht="12.75">
      <c r="A24477" s="8">
        <v>43893.417974537035</v>
      </c>
      <c r="B24477" s="8" t="str">
        <f>HYPERLINK("https://twitter.com/LIRANEWSCOM1","@LIRANEWSCOM1")</f>
        <v>@LIRANEWSCOM1</v>
      </c>
      <c r="C24477" s="8" t="s">
        <v>9845</v>
      </c>
      <c r="D24477" s="8">
        <v>0</v>
      </c>
      <c r="E24477" s="8">
        <v>0</v>
      </c>
      <c r="F24477" s="8">
        <v>649</v>
      </c>
    </row>
    <row r="24478" spans="1:6" ht="12.75">
      <c r="A24478" s="8">
        <v>43893.417951388888</v>
      </c>
      <c r="B24478" s="8" t="str">
        <f>HYPERLINK("https://twitter.com/NKRIndonesia79","@NKRIndonesia79")</f>
        <v>@NKRIndonesia79</v>
      </c>
      <c r="C24478" s="8" t="s">
        <v>1427</v>
      </c>
      <c r="D24478" s="8">
        <v>810</v>
      </c>
      <c r="E24478" s="8">
        <v>0</v>
      </c>
      <c r="F24478" s="8">
        <v>3111</v>
      </c>
    </row>
    <row r="24479" spans="1:6" ht="12.75">
      <c r="A24479" s="8">
        <v>43893.417928240742</v>
      </c>
      <c r="B24479" s="8" t="str">
        <f>HYPERLINK("https://twitter.com/eehh_kamu","@eehh_kamu")</f>
        <v>@eehh_kamu</v>
      </c>
      <c r="C24479" s="8" t="s">
        <v>6864</v>
      </c>
      <c r="D24479" s="8">
        <v>199</v>
      </c>
      <c r="E24479" s="8">
        <v>0</v>
      </c>
      <c r="F24479" s="8">
        <v>66</v>
      </c>
    </row>
    <row r="24480" spans="1:6" ht="12.75">
      <c r="A24480" s="8">
        <v>43893.38181712963</v>
      </c>
      <c r="B24480" s="8" t="str">
        <f>HYPERLINK("https://twitter.com/Sugi_dempet","@Sugi_dempet")</f>
        <v>@Sugi_dempet</v>
      </c>
      <c r="C24480" s="8" t="s">
        <v>1970</v>
      </c>
      <c r="D24480" s="8">
        <v>707</v>
      </c>
      <c r="E24480" s="8">
        <v>0</v>
      </c>
      <c r="F24480" s="8">
        <v>65</v>
      </c>
    </row>
    <row r="24481" spans="1:6" ht="12.75">
      <c r="A24481" s="8">
        <v>43893.381747685184</v>
      </c>
      <c r="B24481" s="8" t="str">
        <f>HYPERLINK("https://twitter.com/Iqlima_Yustitia","@Iqlima_Yustitia")</f>
        <v>@Iqlima_Yustitia</v>
      </c>
      <c r="C24481" s="8" t="s">
        <v>8322</v>
      </c>
      <c r="D24481" s="8">
        <v>700</v>
      </c>
      <c r="E24481" s="8">
        <v>0</v>
      </c>
      <c r="F24481" s="8">
        <v>29</v>
      </c>
    </row>
    <row r="24482" spans="1:6" ht="12.75">
      <c r="A24482" s="8">
        <v>43893.381747685184</v>
      </c>
      <c r="B24482" s="8" t="str">
        <f>HYPERLINK("https://twitter.com/jawapos","@jawapos")</f>
        <v>@jawapos</v>
      </c>
      <c r="C24482" s="8" t="s">
        <v>9846</v>
      </c>
      <c r="D24482" s="8">
        <v>0</v>
      </c>
      <c r="E24482" s="8">
        <v>0</v>
      </c>
      <c r="F24482" s="8">
        <v>125163</v>
      </c>
    </row>
    <row r="24483" spans="1:6" ht="12.75">
      <c r="A24483" s="8">
        <v>43893.381574074076</v>
      </c>
      <c r="B24483" s="8" t="str">
        <f>HYPERLINK("https://twitter.com/WAHYUHI38994495","@WAHYUHI38994495")</f>
        <v>@WAHYUHI38994495</v>
      </c>
      <c r="C24483" s="8" t="s">
        <v>9847</v>
      </c>
      <c r="D24483" s="8">
        <v>48</v>
      </c>
      <c r="E24483" s="8">
        <v>0</v>
      </c>
      <c r="F24483" s="8">
        <v>2</v>
      </c>
    </row>
    <row r="24484" spans="1:6" ht="12.75">
      <c r="A24484" s="8">
        <v>43893.381481481483</v>
      </c>
      <c r="B24484" s="8" t="str">
        <f>HYPERLINK("https://twitter.com/BEMFISIPUB","@BEMFISIPUB")</f>
        <v>@BEMFISIPUB</v>
      </c>
      <c r="C24484" s="8" t="s">
        <v>9848</v>
      </c>
      <c r="D24484" s="8">
        <v>0</v>
      </c>
      <c r="E24484" s="8">
        <v>0</v>
      </c>
      <c r="F24484" s="8">
        <v>4654</v>
      </c>
    </row>
    <row r="24485" spans="1:6" ht="12.75">
      <c r="A24485" s="8">
        <v>43893.38145833333</v>
      </c>
      <c r="B24485" s="8" t="str">
        <f>HYPERLINK("https://twitter.com/sammodana","@sammodana")</f>
        <v>@sammodana</v>
      </c>
      <c r="C24485" s="8" t="s">
        <v>1427</v>
      </c>
      <c r="D24485" s="8">
        <v>778</v>
      </c>
      <c r="E24485" s="8">
        <v>0</v>
      </c>
      <c r="F24485" s="8">
        <v>8</v>
      </c>
    </row>
    <row r="24486" spans="1:6" ht="12.75">
      <c r="A24486" s="8">
        <v>43893.381331018521</v>
      </c>
      <c r="B24486" s="8" t="str">
        <f>HYPERLINK("https://twitter.com/van_hyuniii","@van_hyuniii")</f>
        <v>@van_hyuniii</v>
      </c>
      <c r="C24486" s="8" t="s">
        <v>1427</v>
      </c>
      <c r="D24486" s="8">
        <v>778</v>
      </c>
      <c r="E24486" s="8">
        <v>0</v>
      </c>
      <c r="F24486" s="8">
        <v>714</v>
      </c>
    </row>
    <row r="24487" spans="1:6" ht="12.75">
      <c r="A24487" s="8">
        <v>43893.381296296298</v>
      </c>
      <c r="B24487" s="8" t="str">
        <f>HYPERLINK("https://twitter.com/Rudi97973763","@Rudi97973763")</f>
        <v>@Rudi97973763</v>
      </c>
      <c r="C24487" s="8" t="s">
        <v>1970</v>
      </c>
      <c r="D24487" s="8">
        <v>707</v>
      </c>
      <c r="E24487" s="8">
        <v>0</v>
      </c>
      <c r="F24487" s="8">
        <v>1</v>
      </c>
    </row>
    <row r="24488" spans="1:6" ht="12.75">
      <c r="A24488" s="8">
        <v>43893.381249999999</v>
      </c>
      <c r="B24488" s="8" t="str">
        <f>HYPERLINK("https://twitter.com/askencana","@askencana")</f>
        <v>@askencana</v>
      </c>
      <c r="C24488" s="8" t="s">
        <v>9849</v>
      </c>
      <c r="D24488" s="8">
        <v>0</v>
      </c>
      <c r="E24488" s="8">
        <v>0</v>
      </c>
      <c r="F24488" s="8">
        <v>178</v>
      </c>
    </row>
    <row r="24489" spans="1:6" ht="12.75">
      <c r="A24489" s="8">
        <v>43893.381111111114</v>
      </c>
      <c r="B24489" s="8" t="str">
        <f>HYPERLINK("https://twitter.com/GiaUmmu","@GiaUmmu")</f>
        <v>@GiaUmmu</v>
      </c>
      <c r="C24489" s="8" t="s">
        <v>1970</v>
      </c>
      <c r="D24489" s="8">
        <v>707</v>
      </c>
      <c r="E24489" s="8">
        <v>0</v>
      </c>
      <c r="F24489" s="8">
        <v>119</v>
      </c>
    </row>
    <row r="24490" spans="1:6" ht="12.75">
      <c r="A24490" s="8">
        <v>43893.38108796296</v>
      </c>
      <c r="B24490" s="8" t="str">
        <f>HYPERLINK("https://twitter.com/ANS19842","@ANS19842")</f>
        <v>@ANS19842</v>
      </c>
      <c r="C24490" s="8" t="s">
        <v>7661</v>
      </c>
      <c r="D24490" s="8">
        <v>430</v>
      </c>
      <c r="E24490" s="8">
        <v>0</v>
      </c>
      <c r="F24490" s="8">
        <v>22</v>
      </c>
    </row>
    <row r="24491" spans="1:6" ht="12.75">
      <c r="A24491" s="8">
        <v>43893.381076388891</v>
      </c>
      <c r="B24491" s="8" t="str">
        <f>HYPERLINK("https://twitter.com/Eci2111Eci","@Eci2111Eci")</f>
        <v>@Eci2111Eci</v>
      </c>
      <c r="C24491" s="8" t="s">
        <v>1427</v>
      </c>
      <c r="D24491" s="8">
        <v>778</v>
      </c>
      <c r="E24491" s="8">
        <v>0</v>
      </c>
      <c r="F24491" s="8">
        <v>5</v>
      </c>
    </row>
    <row r="24492" spans="1:6" ht="12.75">
      <c r="A24492" s="8">
        <v>43893.381076388891</v>
      </c>
      <c r="B24492" s="8" t="str">
        <f>HYPERLINK("https://twitter.com/ikbinaisha","@ikbinaisha")</f>
        <v>@ikbinaisha</v>
      </c>
      <c r="C24492" s="8" t="s">
        <v>8343</v>
      </c>
      <c r="D24492" s="8">
        <v>2</v>
      </c>
      <c r="E24492" s="8">
        <v>0</v>
      </c>
      <c r="F24492" s="8">
        <v>27</v>
      </c>
    </row>
    <row r="24493" spans="1:6" ht="12.75">
      <c r="A24493" s="8">
        <v>43893.381064814814</v>
      </c>
      <c r="B24493" s="8" t="str">
        <f>HYPERLINK("https://twitter.com/POG_94","@POG_94")</f>
        <v>@POG_94</v>
      </c>
      <c r="C24493" s="8" t="s">
        <v>9761</v>
      </c>
      <c r="D24493" s="8">
        <v>7</v>
      </c>
      <c r="E24493" s="8">
        <v>0</v>
      </c>
      <c r="F24493" s="8">
        <v>498</v>
      </c>
    </row>
    <row r="24494" spans="1:6" ht="12.75">
      <c r="A24494" s="8">
        <v>43893.381030092598</v>
      </c>
      <c r="B24494" s="8" t="str">
        <f>HYPERLINK("https://twitter.com/iSnarabLe","@iSnarabLe")</f>
        <v>@iSnarabLe</v>
      </c>
      <c r="C24494" s="8" t="s">
        <v>1427</v>
      </c>
      <c r="D24494" s="8">
        <v>778</v>
      </c>
      <c r="E24494" s="8">
        <v>0</v>
      </c>
      <c r="F24494" s="8">
        <v>664</v>
      </c>
    </row>
    <row r="24495" spans="1:6" ht="12.75">
      <c r="A24495" s="8">
        <v>43893.380995370375</v>
      </c>
      <c r="B24495" s="8" t="str">
        <f>HYPERLINK("https://twitter.com/victorkreatip","@victorkreatip")</f>
        <v>@victorkreatip</v>
      </c>
      <c r="C24495" s="8" t="s">
        <v>9123</v>
      </c>
      <c r="D24495" s="8">
        <v>396</v>
      </c>
      <c r="E24495" s="8">
        <v>0</v>
      </c>
      <c r="F24495" s="8">
        <v>64</v>
      </c>
    </row>
    <row r="24496" spans="1:6" ht="12.75">
      <c r="A24496" s="8">
        <v>43893.380949074075</v>
      </c>
      <c r="B24496" s="8" t="str">
        <f>HYPERLINK("https://twitter.com/Jereminathomas3","@Jereminathomas3")</f>
        <v>@Jereminathomas3</v>
      </c>
      <c r="C24496" s="8" t="s">
        <v>2199</v>
      </c>
      <c r="D24496" s="8">
        <v>8724</v>
      </c>
      <c r="E24496" s="8">
        <v>0</v>
      </c>
      <c r="F24496" s="8">
        <v>38</v>
      </c>
    </row>
    <row r="24497" spans="1:6" ht="12.75">
      <c r="A24497" s="8">
        <v>43893.380879629629</v>
      </c>
      <c r="B24497" s="8" t="str">
        <f>HYPERLINK("https://twitter.com/sibagol_","@sibagol_")</f>
        <v>@sibagol_</v>
      </c>
      <c r="C24497" s="8" t="s">
        <v>9850</v>
      </c>
      <c r="D24497" s="8">
        <v>0</v>
      </c>
      <c r="E24497" s="8">
        <v>0</v>
      </c>
      <c r="F24497" s="8">
        <v>34</v>
      </c>
    </row>
    <row r="24498" spans="1:6" ht="12.75">
      <c r="A24498" s="8">
        <v>43893.38082175926</v>
      </c>
      <c r="B24498" s="8" t="str">
        <f>HYPERLINK("https://twitter.com/Dizzy428","@Dizzy428")</f>
        <v>@Dizzy428</v>
      </c>
      <c r="C24498" s="8" t="s">
        <v>4477</v>
      </c>
      <c r="D24498" s="8">
        <v>1041</v>
      </c>
      <c r="E24498" s="8">
        <v>0</v>
      </c>
      <c r="F24498" s="8">
        <v>85</v>
      </c>
    </row>
    <row r="24499" spans="1:6" ht="12.75">
      <c r="A24499" s="8">
        <v>43893.380439814813</v>
      </c>
      <c r="B24499" s="8" t="str">
        <f>HYPERLINK("https://twitter.com/xcutieeegirlx","@xcutieeegirlx")</f>
        <v>@xcutieeegirlx</v>
      </c>
      <c r="C24499" s="8" t="s">
        <v>9295</v>
      </c>
      <c r="D24499" s="8">
        <v>191</v>
      </c>
      <c r="E24499" s="8">
        <v>0</v>
      </c>
      <c r="F24499" s="8">
        <v>946</v>
      </c>
    </row>
    <row r="24500" spans="1:6" ht="12.75">
      <c r="A24500" s="8">
        <v>43893.380416666667</v>
      </c>
      <c r="B24500" s="8" t="str">
        <f>HYPERLINK("https://twitter.com/MungNurut","@MungNurut")</f>
        <v>@MungNurut</v>
      </c>
      <c r="C24500" s="8" t="s">
        <v>5732</v>
      </c>
      <c r="D24500" s="8">
        <v>2130</v>
      </c>
      <c r="E24500" s="8">
        <v>0</v>
      </c>
      <c r="F24500" s="8">
        <v>263</v>
      </c>
    </row>
    <row r="24501" spans="1:6" ht="12.75">
      <c r="A24501" s="8">
        <v>43893.380405092597</v>
      </c>
      <c r="B24501" s="8" t="str">
        <f>HYPERLINK("https://twitter.com/YudaMYP","@YudaMYP")</f>
        <v>@YudaMYP</v>
      </c>
      <c r="C24501" s="8" t="s">
        <v>9851</v>
      </c>
      <c r="D24501" s="8">
        <v>0</v>
      </c>
      <c r="E24501" s="8">
        <v>0</v>
      </c>
      <c r="F24501" s="8">
        <v>170</v>
      </c>
    </row>
    <row r="24502" spans="1:6" ht="12.75">
      <c r="A24502" s="8">
        <v>43893.380324074074</v>
      </c>
      <c r="B24502" s="8" t="str">
        <f>HYPERLINK("https://twitter.com/LuCKy5eZ","@LuCKy5eZ")</f>
        <v>@LuCKy5eZ</v>
      </c>
      <c r="C24502" s="8" t="s">
        <v>1970</v>
      </c>
      <c r="D24502" s="8">
        <v>707</v>
      </c>
      <c r="E24502" s="8">
        <v>0</v>
      </c>
      <c r="F24502" s="8">
        <v>736</v>
      </c>
    </row>
    <row r="24503" spans="1:6" ht="12.75">
      <c r="A24503" s="8">
        <v>43893.380289351851</v>
      </c>
      <c r="B24503" s="8" t="str">
        <f>HYPERLINK("https://twitter.com/mangdiman07","@mangdiman07")</f>
        <v>@mangdiman07</v>
      </c>
      <c r="C24503" s="8" t="s">
        <v>9128</v>
      </c>
      <c r="D24503" s="8">
        <v>61</v>
      </c>
      <c r="E24503" s="8">
        <v>0</v>
      </c>
      <c r="F24503" s="8">
        <v>1419</v>
      </c>
    </row>
    <row r="24504" spans="1:6" ht="12.75">
      <c r="A24504" s="8">
        <v>43893.380277777775</v>
      </c>
      <c r="B24504" s="8" t="str">
        <f>HYPERLINK("https://twitter.com/aldaodel","@aldaodel")</f>
        <v>@aldaodel</v>
      </c>
      <c r="C24504" s="8" t="s">
        <v>9852</v>
      </c>
      <c r="D24504" s="8">
        <v>0</v>
      </c>
      <c r="E24504" s="8">
        <v>0</v>
      </c>
      <c r="F24504" s="8">
        <v>244</v>
      </c>
    </row>
    <row r="24505" spans="1:6" ht="12.75">
      <c r="A24505" s="8">
        <v>43893.380046296297</v>
      </c>
      <c r="B24505" s="8" t="str">
        <f>HYPERLINK("https://twitter.com/idaharjuno90","@idaharjuno90")</f>
        <v>@idaharjuno90</v>
      </c>
      <c r="C24505" s="8" t="s">
        <v>4477</v>
      </c>
      <c r="D24505" s="8">
        <v>1041</v>
      </c>
      <c r="E24505" s="8">
        <v>0</v>
      </c>
      <c r="F24505" s="8">
        <v>515</v>
      </c>
    </row>
    <row r="24506" spans="1:6" ht="12.75">
      <c r="A24506" s="8">
        <v>43893.380000000005</v>
      </c>
      <c r="B24506" s="8" t="str">
        <f>HYPERLINK("https://twitter.com/gendul17","@gendul17")</f>
        <v>@gendul17</v>
      </c>
      <c r="C24506" s="8" t="s">
        <v>4477</v>
      </c>
      <c r="D24506" s="8">
        <v>1041</v>
      </c>
      <c r="E24506" s="8">
        <v>0</v>
      </c>
      <c r="F24506" s="8">
        <v>1030</v>
      </c>
    </row>
    <row r="24507" spans="1:6" ht="12.75">
      <c r="A24507" s="8">
        <v>43893.379918981482</v>
      </c>
      <c r="B24507" s="8" t="str">
        <f>HYPERLINK("https://twitter.com/hooman_biasa","@hooman_biasa")</f>
        <v>@hooman_biasa</v>
      </c>
      <c r="C24507" s="8" t="s">
        <v>7597</v>
      </c>
      <c r="D24507" s="8">
        <v>617</v>
      </c>
      <c r="E24507" s="8">
        <v>0</v>
      </c>
      <c r="F24507" s="8">
        <v>30</v>
      </c>
    </row>
    <row r="24508" spans="1:6" ht="12.75">
      <c r="A24508" s="8">
        <v>43893.379884259259</v>
      </c>
      <c r="B24508" s="8" t="str">
        <f>HYPERLINK("https://twitter.com/jasmine_dolce","@jasmine_dolce")</f>
        <v>@jasmine_dolce</v>
      </c>
      <c r="C24508" s="8" t="s">
        <v>8322</v>
      </c>
      <c r="D24508" s="8">
        <v>700</v>
      </c>
      <c r="E24508" s="8">
        <v>0</v>
      </c>
      <c r="F24508" s="8">
        <v>86</v>
      </c>
    </row>
    <row r="24509" spans="1:6" ht="12.75">
      <c r="A24509" s="8">
        <v>43893.379884259259</v>
      </c>
      <c r="B24509" s="8" t="str">
        <f>HYPERLINK("https://twitter.com/bisnisindgroup","@bisnisindgroup")</f>
        <v>@bisnisindgroup</v>
      </c>
      <c r="C24509" s="8" t="s">
        <v>9853</v>
      </c>
      <c r="D24509" s="8">
        <v>1</v>
      </c>
      <c r="E24509" s="8">
        <v>1</v>
      </c>
      <c r="F24509" s="8">
        <v>7366</v>
      </c>
    </row>
    <row r="24510" spans="1:6" ht="12.75">
      <c r="A24510" s="8">
        <v>43893.379884259259</v>
      </c>
      <c r="B24510" s="8" t="str">
        <f>HYPERLINK("https://twitter.com/Kabar24","@Kabar24")</f>
        <v>@Kabar24</v>
      </c>
      <c r="C24510" s="8" t="s">
        <v>9853</v>
      </c>
      <c r="D24510" s="8">
        <v>0</v>
      </c>
      <c r="E24510" s="8">
        <v>0</v>
      </c>
      <c r="F24510" s="8">
        <v>20179</v>
      </c>
    </row>
    <row r="24511" spans="1:6" ht="12.75">
      <c r="A24511" s="8">
        <v>43893.379884259259</v>
      </c>
      <c r="B24511" s="8" t="str">
        <f>HYPERLINK("https://twitter.com/Bisniscom","@Bisniscom")</f>
        <v>@Bisniscom</v>
      </c>
      <c r="C24511" s="8" t="s">
        <v>9853</v>
      </c>
      <c r="D24511" s="8">
        <v>0</v>
      </c>
      <c r="E24511" s="8">
        <v>0</v>
      </c>
      <c r="F24511" s="8">
        <v>993947</v>
      </c>
    </row>
    <row r="24512" spans="1:6" ht="12.75">
      <c r="A24512" s="8">
        <v>43893.379826388889</v>
      </c>
      <c r="B24512" s="8" t="str">
        <f>HYPERLINK("https://twitter.com/yanisetiadewi","@yanisetiadewi")</f>
        <v>@yanisetiadewi</v>
      </c>
      <c r="C24512" s="8" t="s">
        <v>8322</v>
      </c>
      <c r="D24512" s="8">
        <v>700</v>
      </c>
      <c r="E24512" s="8">
        <v>0</v>
      </c>
      <c r="F24512" s="8">
        <v>44</v>
      </c>
    </row>
    <row r="24513" spans="1:6" ht="12.75">
      <c r="A24513" s="8">
        <v>43893.379791666666</v>
      </c>
      <c r="B24513" s="8" t="str">
        <f>HYPERLINK("https://twitter.com/dajjal_insaf","@dajjal_insaf")</f>
        <v>@dajjal_insaf</v>
      </c>
      <c r="C24513" s="8" t="s">
        <v>9854</v>
      </c>
      <c r="D24513" s="8">
        <v>1</v>
      </c>
      <c r="E24513" s="8">
        <v>0</v>
      </c>
      <c r="F24513" s="8">
        <v>10571</v>
      </c>
    </row>
    <row r="24514" spans="1:6" ht="12.75">
      <c r="A24514" s="8">
        <v>43893.379664351851</v>
      </c>
      <c r="B24514" s="8" t="str">
        <f>HYPERLINK("https://twitter.com/BayuKhrisna14","@BayuKhrisna14")</f>
        <v>@BayuKhrisna14</v>
      </c>
      <c r="C24514" s="8" t="s">
        <v>9761</v>
      </c>
      <c r="D24514" s="8">
        <v>7</v>
      </c>
      <c r="E24514" s="8">
        <v>0</v>
      </c>
      <c r="F24514" s="8">
        <v>626</v>
      </c>
    </row>
    <row r="24515" spans="1:6" ht="12.75">
      <c r="A24515" s="8">
        <v>43893.379594907412</v>
      </c>
      <c r="B24515" s="8" t="str">
        <f>HYPERLINK("https://twitter.com/devioryza","@devioryza")</f>
        <v>@devioryza</v>
      </c>
      <c r="C24515" s="8" t="s">
        <v>9295</v>
      </c>
      <c r="D24515" s="8">
        <v>191</v>
      </c>
      <c r="E24515" s="8">
        <v>0</v>
      </c>
      <c r="F24515" s="8">
        <v>947</v>
      </c>
    </row>
    <row r="24516" spans="1:6" ht="12.75">
      <c r="A24516" s="8">
        <v>43893.379432870366</v>
      </c>
      <c r="B24516" s="8" t="str">
        <f>HYPERLINK("https://twitter.com/slametriyaddy","@slametriyaddy")</f>
        <v>@slametriyaddy</v>
      </c>
      <c r="C24516" s="8" t="s">
        <v>9123</v>
      </c>
      <c r="D24516" s="8">
        <v>396</v>
      </c>
      <c r="E24516" s="8">
        <v>0</v>
      </c>
      <c r="F24516" s="8">
        <v>238</v>
      </c>
    </row>
    <row r="24517" spans="1:6" ht="12.75">
      <c r="A24517" s="8">
        <v>43893.379259259258</v>
      </c>
      <c r="B24517" s="8" t="str">
        <f>HYPERLINK("https://twitter.com/cancioneu","@cancioneu")</f>
        <v>@cancioneu</v>
      </c>
      <c r="C24517" s="8" t="s">
        <v>2199</v>
      </c>
      <c r="D24517" s="8">
        <v>8724</v>
      </c>
      <c r="E24517" s="8">
        <v>0</v>
      </c>
      <c r="F24517" s="8">
        <v>90</v>
      </c>
    </row>
    <row r="24518" spans="1:6" ht="12.75">
      <c r="A24518" s="8">
        <v>43893.379236111112</v>
      </c>
      <c r="B24518" s="8" t="str">
        <f>HYPERLINK("https://twitter.com/manzilur86","@manzilur86")</f>
        <v>@manzilur86</v>
      </c>
      <c r="C24518" s="8" t="s">
        <v>9100</v>
      </c>
      <c r="D24518" s="8">
        <v>7</v>
      </c>
      <c r="E24518" s="8">
        <v>0</v>
      </c>
      <c r="F24518" s="8">
        <v>78</v>
      </c>
    </row>
    <row r="24519" spans="1:6" ht="12.75">
      <c r="A24519" s="8">
        <v>43893.379120370373</v>
      </c>
      <c r="B24519" s="8" t="str">
        <f>HYPERLINK("https://twitter.com/arena51","@arena51")</f>
        <v>@arena51</v>
      </c>
      <c r="C24519" s="8" t="s">
        <v>9814</v>
      </c>
      <c r="D24519" s="8">
        <v>41</v>
      </c>
      <c r="E24519" s="8">
        <v>0</v>
      </c>
      <c r="F24519" s="8">
        <v>1806</v>
      </c>
    </row>
    <row r="24520" spans="1:6" ht="12.75">
      <c r="A24520" s="8">
        <v>43893.379120370373</v>
      </c>
      <c r="B24520" s="8" t="str">
        <f>HYPERLINK("https://twitter.com/iiinot_ID","@iiinot_ID")</f>
        <v>@iiinot_ID</v>
      </c>
      <c r="C24520" s="8" t="s">
        <v>9855</v>
      </c>
      <c r="D24520" s="8">
        <v>0</v>
      </c>
      <c r="E24520" s="8">
        <v>0</v>
      </c>
      <c r="F24520" s="8">
        <v>455</v>
      </c>
    </row>
    <row r="24521" spans="1:6" ht="12.75">
      <c r="A24521" s="8">
        <v>43893.379108796296</v>
      </c>
      <c r="B24521" s="8" t="str">
        <f>HYPERLINK("https://twitter.com/deboradebiy","@deboradebiy")</f>
        <v>@deboradebiy</v>
      </c>
      <c r="C24521" s="8" t="s">
        <v>1427</v>
      </c>
      <c r="D24521" s="8">
        <v>778</v>
      </c>
      <c r="E24521" s="8">
        <v>0</v>
      </c>
      <c r="F24521" s="8">
        <v>617</v>
      </c>
    </row>
    <row r="24522" spans="1:6" ht="12.75">
      <c r="A24522" s="8">
        <v>43893.379050925927</v>
      </c>
      <c r="B24522" s="8" t="str">
        <f>HYPERLINK("https://twitter.com/Ranijuliap","@Ranijuliap")</f>
        <v>@Ranijuliap</v>
      </c>
      <c r="C24522" s="8" t="s">
        <v>2962</v>
      </c>
      <c r="D24522" s="8">
        <v>5111</v>
      </c>
      <c r="E24522" s="8">
        <v>0</v>
      </c>
      <c r="F24522" s="8">
        <v>1312</v>
      </c>
    </row>
    <row r="24523" spans="1:6" ht="12.75">
      <c r="A24523" s="8">
        <v>43893.37903935185</v>
      </c>
      <c r="B24523" s="8" t="str">
        <f>HYPERLINK("https://twitter.com/Inlander21","@Inlander21")</f>
        <v>@Inlander21</v>
      </c>
      <c r="C24523" s="8" t="s">
        <v>9856</v>
      </c>
      <c r="D24523" s="8">
        <v>73</v>
      </c>
      <c r="E24523" s="8">
        <v>0</v>
      </c>
      <c r="F24523" s="8">
        <v>687</v>
      </c>
    </row>
    <row r="24524" spans="1:6" ht="12.75">
      <c r="A24524" s="8">
        <v>43893.37903935185</v>
      </c>
      <c r="B24524" s="8" t="str">
        <f>HYPERLINK("https://twitter.com/Aidajuliafahmi","@Aidajuliafahmi")</f>
        <v>@Aidajuliafahmi</v>
      </c>
      <c r="C24524" s="8" t="s">
        <v>4477</v>
      </c>
      <c r="D24524" s="8">
        <v>1041</v>
      </c>
      <c r="E24524" s="8">
        <v>0</v>
      </c>
      <c r="F24524" s="8">
        <v>267</v>
      </c>
    </row>
    <row r="24525" spans="1:6" ht="12.75">
      <c r="A24525" s="8">
        <v>43893.379027777773</v>
      </c>
      <c r="B24525" s="8" t="str">
        <f>HYPERLINK("https://twitter.com/BantenIwan","@BantenIwan")</f>
        <v>@BantenIwan</v>
      </c>
      <c r="C24525" s="8" t="s">
        <v>9857</v>
      </c>
      <c r="D24525" s="8">
        <v>0</v>
      </c>
      <c r="E24525" s="8">
        <v>0</v>
      </c>
      <c r="F24525" s="8">
        <v>334</v>
      </c>
    </row>
    <row r="24526" spans="1:6" ht="12.75">
      <c r="A24526" s="8">
        <v>43893.378912037035</v>
      </c>
      <c r="B24526" s="8" t="str">
        <f>HYPERLINK("https://twitter.com/yutiyanto","@yutiyanto")</f>
        <v>@yutiyanto</v>
      </c>
      <c r="C24526" s="8" t="s">
        <v>1970</v>
      </c>
      <c r="D24526" s="8">
        <v>707</v>
      </c>
      <c r="E24526" s="8">
        <v>0</v>
      </c>
      <c r="F24526" s="8">
        <v>139</v>
      </c>
    </row>
    <row r="24527" spans="1:6" ht="12.75">
      <c r="A24527" s="8">
        <v>43893.378877314812</v>
      </c>
      <c r="B24527" s="8" t="str">
        <f>HYPERLINK("https://twitter.com/erikamelfa","@erikamelfa")</f>
        <v>@erikamelfa</v>
      </c>
      <c r="C24527" s="8" t="s">
        <v>9858</v>
      </c>
      <c r="D24527" s="8">
        <v>0</v>
      </c>
      <c r="E24527" s="8">
        <v>0</v>
      </c>
      <c r="F24527" s="8">
        <v>594</v>
      </c>
    </row>
    <row r="24528" spans="1:6" ht="12.75">
      <c r="A24528" s="8">
        <v>43893.378842592589</v>
      </c>
      <c r="B24528" s="8" t="str">
        <f>HYPERLINK("https://twitter.com/khusnunirawan","@khusnunirawan")</f>
        <v>@khusnunirawan</v>
      </c>
      <c r="C24528" s="8" t="s">
        <v>7197</v>
      </c>
      <c r="D24528" s="8">
        <v>35</v>
      </c>
      <c r="E24528" s="8">
        <v>0</v>
      </c>
      <c r="F24528" s="8">
        <v>304</v>
      </c>
    </row>
    <row r="24529" spans="1:6" ht="12.75">
      <c r="A24529" s="8">
        <v>43893.378784722227</v>
      </c>
      <c r="B24529" s="8" t="str">
        <f>HYPERLINK("https://twitter.com/FeberSaut","@FeberSaut")</f>
        <v>@FeberSaut</v>
      </c>
      <c r="C24529" s="8" t="s">
        <v>8322</v>
      </c>
      <c r="D24529" s="8">
        <v>700</v>
      </c>
      <c r="E24529" s="8">
        <v>0</v>
      </c>
      <c r="F24529" s="8">
        <v>3</v>
      </c>
    </row>
    <row r="24530" spans="1:6" ht="12.75">
      <c r="A24530" s="8">
        <v>43893.378750000003</v>
      </c>
      <c r="B24530" s="8" t="str">
        <f>HYPERLINK("https://twitter.com/ws_rajasepik","@ws_rajasepik")</f>
        <v>@ws_rajasepik</v>
      </c>
      <c r="C24530" s="8" t="s">
        <v>2962</v>
      </c>
      <c r="D24530" s="8">
        <v>5111</v>
      </c>
      <c r="E24530" s="8">
        <v>0</v>
      </c>
      <c r="F24530" s="8">
        <v>154</v>
      </c>
    </row>
    <row r="24531" spans="1:6" ht="12.75">
      <c r="A24531" s="8">
        <v>43893.378738425927</v>
      </c>
      <c r="B24531" s="8" t="str">
        <f>HYPERLINK("https://twitter.com/Akoe1008","@Akoe1008")</f>
        <v>@Akoe1008</v>
      </c>
      <c r="C24531" s="8" t="s">
        <v>9734</v>
      </c>
      <c r="D24531" s="8">
        <v>160</v>
      </c>
      <c r="E24531" s="8">
        <v>0</v>
      </c>
      <c r="F24531" s="8">
        <v>1202</v>
      </c>
    </row>
    <row r="24532" spans="1:6" ht="12.75">
      <c r="A24532" s="8">
        <v>43893.378692129627</v>
      </c>
      <c r="B24532" s="8" t="str">
        <f>HYPERLINK("https://twitter.com/Ifan2206","@Ifan2206")</f>
        <v>@Ifan2206</v>
      </c>
      <c r="C24532" s="8" t="s">
        <v>9761</v>
      </c>
      <c r="D24532" s="8">
        <v>7</v>
      </c>
      <c r="E24532" s="8">
        <v>0</v>
      </c>
      <c r="F24532" s="8">
        <v>1476</v>
      </c>
    </row>
    <row r="24533" spans="1:6" ht="12.75">
      <c r="A24533" s="8">
        <v>43893.378668981481</v>
      </c>
      <c r="B24533" s="8" t="str">
        <f>HYPERLINK("https://twitter.com/FebrianYS_","@FebrianYS_")</f>
        <v>@FebrianYS_</v>
      </c>
      <c r="C24533" s="8" t="s">
        <v>2962</v>
      </c>
      <c r="D24533" s="8">
        <v>5111</v>
      </c>
      <c r="E24533" s="8">
        <v>0</v>
      </c>
      <c r="F24533" s="8">
        <v>355</v>
      </c>
    </row>
    <row r="24534" spans="1:6" ht="12.75">
      <c r="A24534" s="8">
        <v>43893.378622685181</v>
      </c>
      <c r="B24534" s="8" t="str">
        <f>HYPERLINK("https://twitter.com/bernardtan2014","@bernardtan2014")</f>
        <v>@bernardtan2014</v>
      </c>
      <c r="C24534" s="8" t="s">
        <v>1986</v>
      </c>
      <c r="D24534" s="8">
        <v>688</v>
      </c>
      <c r="E24534" s="8">
        <v>0</v>
      </c>
      <c r="F24534" s="8">
        <v>858</v>
      </c>
    </row>
    <row r="24535" spans="1:6" ht="12.75">
      <c r="A24535" s="8">
        <v>43893.378564814819</v>
      </c>
      <c r="B24535" s="8" t="str">
        <f>HYPERLINK("https://twitter.com/_CHlS_","@_CHlS_")</f>
        <v>@_CHlS_</v>
      </c>
      <c r="C24535" s="8" t="s">
        <v>9100</v>
      </c>
      <c r="D24535" s="8">
        <v>7</v>
      </c>
      <c r="E24535" s="8">
        <v>0</v>
      </c>
      <c r="F24535" s="8">
        <v>2831</v>
      </c>
    </row>
    <row r="24536" spans="1:6" ht="12.75">
      <c r="A24536" s="8">
        <v>43893.378333333334</v>
      </c>
      <c r="B24536" s="8" t="str">
        <f>HYPERLINK("https://twitter.com/sabrinamanalu","@sabrinamanalu")</f>
        <v>@sabrinamanalu</v>
      </c>
      <c r="C24536" s="8" t="s">
        <v>2199</v>
      </c>
      <c r="D24536" s="8">
        <v>8724</v>
      </c>
      <c r="E24536" s="8">
        <v>0</v>
      </c>
      <c r="F24536" s="8">
        <v>547</v>
      </c>
    </row>
    <row r="24537" spans="1:6" ht="12.75">
      <c r="A24537" s="8">
        <v>43893.378321759257</v>
      </c>
      <c r="B24537" s="8" t="str">
        <f>HYPERLINK("https://twitter.com/bluxpastel","@bluxpastel")</f>
        <v>@bluxpastel</v>
      </c>
      <c r="C24537" s="8" t="s">
        <v>9761</v>
      </c>
      <c r="D24537" s="8">
        <v>7</v>
      </c>
      <c r="E24537" s="8">
        <v>0</v>
      </c>
      <c r="F24537" s="8">
        <v>119</v>
      </c>
    </row>
    <row r="24538" spans="1:6" ht="12.75">
      <c r="A24538" s="8">
        <v>43893.378298611111</v>
      </c>
      <c r="B24538" s="8" t="str">
        <f>HYPERLINK("https://twitter.com/R4indonesia","@R4indonesia")</f>
        <v>@R4indonesia</v>
      </c>
      <c r="C24538" s="8" t="s">
        <v>7597</v>
      </c>
      <c r="D24538" s="8">
        <v>617</v>
      </c>
      <c r="E24538" s="8">
        <v>0</v>
      </c>
      <c r="F24538" s="8">
        <v>146</v>
      </c>
    </row>
    <row r="24539" spans="1:6" ht="12.75">
      <c r="A24539" s="8">
        <v>43893.378055555557</v>
      </c>
      <c r="B24539" s="8" t="str">
        <f>HYPERLINK("https://twitter.com/Pucimar","@Pucimar")</f>
        <v>@Pucimar</v>
      </c>
      <c r="C24539" s="8" t="s">
        <v>9780</v>
      </c>
      <c r="D24539" s="8">
        <v>48</v>
      </c>
      <c r="E24539" s="8">
        <v>0</v>
      </c>
      <c r="F24539" s="8">
        <v>248</v>
      </c>
    </row>
    <row r="24540" spans="1:6" ht="12.75">
      <c r="A24540" s="8">
        <v>43893.377939814818</v>
      </c>
      <c r="B24540" s="8" t="str">
        <f>HYPERLINK("https://twitter.com/Hendro1863","@Hendro1863")</f>
        <v>@Hendro1863</v>
      </c>
      <c r="C24540" s="8" t="s">
        <v>9859</v>
      </c>
      <c r="D24540" s="8">
        <v>96</v>
      </c>
      <c r="E24540" s="8">
        <v>0</v>
      </c>
      <c r="F24540" s="8">
        <v>395</v>
      </c>
    </row>
    <row r="24541" spans="1:6" ht="12.75">
      <c r="A24541" s="8">
        <v>43893.377939814818</v>
      </c>
      <c r="B24541" s="8" t="str">
        <f>HYPERLINK("https://twitter.com/Jenengkuyoga","@Jenengkuyoga")</f>
        <v>@Jenengkuyoga</v>
      </c>
      <c r="C24541" s="8" t="s">
        <v>9117</v>
      </c>
      <c r="D24541" s="8">
        <v>302</v>
      </c>
      <c r="E24541" s="8">
        <v>0</v>
      </c>
      <c r="F24541" s="8">
        <v>373</v>
      </c>
    </row>
    <row r="24542" spans="1:6" ht="12.75">
      <c r="A24542" s="8">
        <v>43893.377858796295</v>
      </c>
      <c r="B24542" s="8" t="str">
        <f t="shared" ref="B24542:B24543" si="355">HYPERLINK("https://twitter.com/RakjatDjelataaa","@RakjatDjelataaa")</f>
        <v>@RakjatDjelataaa</v>
      </c>
      <c r="C24542" s="8" t="s">
        <v>9493</v>
      </c>
      <c r="D24542" s="8">
        <v>3</v>
      </c>
      <c r="E24542" s="8">
        <v>0</v>
      </c>
      <c r="F24542" s="8">
        <v>386</v>
      </c>
    </row>
    <row r="24543" spans="1:6" ht="12.75">
      <c r="A24543" s="8">
        <v>43893.37771990741</v>
      </c>
      <c r="B24543" s="8" t="str">
        <f t="shared" si="355"/>
        <v>@RakjatDjelataaa</v>
      </c>
      <c r="C24543" s="8" t="s">
        <v>9860</v>
      </c>
      <c r="D24543" s="8">
        <v>1</v>
      </c>
      <c r="E24543" s="8">
        <v>0</v>
      </c>
      <c r="F24543" s="8">
        <v>386</v>
      </c>
    </row>
    <row r="24544" spans="1:6" ht="12.75">
      <c r="A24544" s="8">
        <v>43893.377523148149</v>
      </c>
      <c r="B24544" s="8" t="str">
        <f>HYPERLINK("https://twitter.com/ilhamprmn","@ilhamprmn")</f>
        <v>@ilhamprmn</v>
      </c>
      <c r="C24544" s="8" t="s">
        <v>1970</v>
      </c>
      <c r="D24544" s="8">
        <v>707</v>
      </c>
      <c r="E24544" s="8">
        <v>0</v>
      </c>
      <c r="F24544" s="8">
        <v>395</v>
      </c>
    </row>
    <row r="24545" spans="1:6" ht="12.75">
      <c r="A24545" s="8">
        <v>43893.377349537041</v>
      </c>
      <c r="B24545" s="8" t="str">
        <f>HYPERLINK("https://twitter.com/SilentHug_","@SilentHug_")</f>
        <v>@SilentHug_</v>
      </c>
      <c r="C24545" s="8" t="s">
        <v>9861</v>
      </c>
      <c r="D24545" s="8">
        <v>0</v>
      </c>
      <c r="E24545" s="8">
        <v>0</v>
      </c>
      <c r="F24545" s="8">
        <v>1495</v>
      </c>
    </row>
    <row r="24546" spans="1:6" ht="12.75">
      <c r="A24546" s="8">
        <v>43893.377256944441</v>
      </c>
      <c r="B24546" s="8" t="str">
        <f>HYPERLINK("https://twitter.com/J3ffry_","@J3ffry_")</f>
        <v>@J3ffry_</v>
      </c>
      <c r="C24546" s="8" t="s">
        <v>1986</v>
      </c>
      <c r="D24546" s="8">
        <v>688</v>
      </c>
      <c r="E24546" s="8">
        <v>0</v>
      </c>
      <c r="F24546" s="8">
        <v>1000</v>
      </c>
    </row>
    <row r="24547" spans="1:6" ht="12.75">
      <c r="A24547" s="8">
        <v>43893.377245370371</v>
      </c>
      <c r="B24547" s="8" t="str">
        <f>HYPERLINK("https://twitter.com/jeoncux","@jeoncux")</f>
        <v>@jeoncux</v>
      </c>
      <c r="C24547" s="8" t="s">
        <v>1427</v>
      </c>
      <c r="D24547" s="8">
        <v>778</v>
      </c>
      <c r="E24547" s="8">
        <v>0</v>
      </c>
      <c r="F24547" s="8">
        <v>193</v>
      </c>
    </row>
    <row r="24548" spans="1:6" ht="12.75">
      <c r="A24548" s="8">
        <v>43893.377210648148</v>
      </c>
      <c r="B24548" s="8" t="str">
        <f>HYPERLINK("https://twitter.com/RezaMrc786","@RezaMrc786")</f>
        <v>@RezaMrc786</v>
      </c>
      <c r="C24548" s="8" t="s">
        <v>7597</v>
      </c>
      <c r="D24548" s="8">
        <v>617</v>
      </c>
      <c r="E24548" s="8">
        <v>0</v>
      </c>
      <c r="F24548" s="8">
        <v>300</v>
      </c>
    </row>
    <row r="24549" spans="1:6" ht="12.75">
      <c r="A24549" s="8">
        <v>43893.377210648148</v>
      </c>
      <c r="B24549" s="8" t="str">
        <f>HYPERLINK("https://twitter.com/Aguspri27731679","@Aguspri27731679")</f>
        <v>@Aguspri27731679</v>
      </c>
      <c r="C24549" s="8" t="s">
        <v>9862</v>
      </c>
      <c r="D24549" s="8">
        <v>0</v>
      </c>
      <c r="E24549" s="8">
        <v>0</v>
      </c>
      <c r="F24549" s="8">
        <v>601</v>
      </c>
    </row>
    <row r="24550" spans="1:6" ht="12.75">
      <c r="A24550" s="8">
        <v>43893.377199074079</v>
      </c>
      <c r="B24550" s="8" t="str">
        <f>HYPERLINK("https://twitter.com/umar_honda","@umar_honda")</f>
        <v>@umar_honda</v>
      </c>
      <c r="C24550" s="8" t="s">
        <v>9100</v>
      </c>
      <c r="D24550" s="8">
        <v>7</v>
      </c>
      <c r="E24550" s="8">
        <v>0</v>
      </c>
      <c r="F24550" s="8">
        <v>149</v>
      </c>
    </row>
    <row r="24551" spans="1:6" ht="12.75">
      <c r="A24551" s="8">
        <v>43893.377025462964</v>
      </c>
      <c r="B24551" s="8" t="str">
        <f>HYPERLINK("https://twitter.com/Rido_Lizze","@Rido_Lizze")</f>
        <v>@Rido_Lizze</v>
      </c>
      <c r="C24551" s="8" t="s">
        <v>9128</v>
      </c>
      <c r="D24551" s="8">
        <v>61</v>
      </c>
      <c r="E24551" s="8">
        <v>0</v>
      </c>
      <c r="F24551" s="8">
        <v>1327</v>
      </c>
    </row>
    <row r="24552" spans="1:6" ht="12.75">
      <c r="A24552" s="8">
        <v>43893.37699074074</v>
      </c>
      <c r="B24552" s="8" t="str">
        <f>HYPERLINK("https://twitter.com/DenyApriadi3","@DenyApriadi3")</f>
        <v>@DenyApriadi3</v>
      </c>
      <c r="C24552" s="8" t="s">
        <v>5732</v>
      </c>
      <c r="D24552" s="8">
        <v>2130</v>
      </c>
      <c r="E24552" s="8">
        <v>0</v>
      </c>
      <c r="F24552" s="8">
        <v>35</v>
      </c>
    </row>
    <row r="24553" spans="1:6" ht="12.75">
      <c r="A24553" s="8">
        <v>43893.376898148148</v>
      </c>
      <c r="B24553" s="8" t="str">
        <f>HYPERLINK("https://twitter.com/idrisyl_aje","@idrisyl_aje")</f>
        <v>@idrisyl_aje</v>
      </c>
      <c r="C24553" s="8" t="s">
        <v>3298</v>
      </c>
      <c r="D24553" s="8">
        <v>19</v>
      </c>
      <c r="E24553" s="8">
        <v>0</v>
      </c>
      <c r="F24553" s="8">
        <v>201</v>
      </c>
    </row>
    <row r="24554" spans="1:6" ht="12.75">
      <c r="A24554" s="8">
        <v>43893.376875000002</v>
      </c>
      <c r="B24554" s="8" t="str">
        <f>HYPERLINK("https://twitter.com/ErdiansyahSyam","@ErdiansyahSyam")</f>
        <v>@ErdiansyahSyam</v>
      </c>
      <c r="C24554" s="8" t="s">
        <v>1970</v>
      </c>
      <c r="D24554" s="8">
        <v>707</v>
      </c>
      <c r="E24554" s="8">
        <v>0</v>
      </c>
      <c r="F24554" s="8">
        <v>119</v>
      </c>
    </row>
    <row r="24555" spans="1:6" ht="12.75">
      <c r="A24555" s="8">
        <v>43893.376805555556</v>
      </c>
      <c r="B24555" s="8" t="str">
        <f>HYPERLINK("https://twitter.com/faried58022486","@faried58022486")</f>
        <v>@faried58022486</v>
      </c>
      <c r="C24555" s="8" t="s">
        <v>9100</v>
      </c>
      <c r="D24555" s="8">
        <v>7</v>
      </c>
      <c r="E24555" s="8">
        <v>0</v>
      </c>
      <c r="F24555" s="8">
        <v>1308</v>
      </c>
    </row>
    <row r="24556" spans="1:6" ht="12.75">
      <c r="A24556" s="8">
        <v>43893.376782407402</v>
      </c>
      <c r="B24556" s="8" t="str">
        <f>HYPERLINK("https://twitter.com/indaaaahhh__","@indaaaahhh__")</f>
        <v>@indaaaahhh__</v>
      </c>
      <c r="C24556" s="8" t="s">
        <v>2199</v>
      </c>
      <c r="D24556" s="8">
        <v>8724</v>
      </c>
      <c r="E24556" s="8">
        <v>0</v>
      </c>
      <c r="F24556" s="8">
        <v>83</v>
      </c>
    </row>
    <row r="24557" spans="1:6" ht="12.75">
      <c r="A24557" s="8">
        <v>43893.37663194444</v>
      </c>
      <c r="B24557" s="8" t="str">
        <f>HYPERLINK("https://twitter.com/GMatoon","@GMatoon")</f>
        <v>@GMatoon</v>
      </c>
      <c r="C24557" s="8" t="s">
        <v>2199</v>
      </c>
      <c r="D24557" s="8">
        <v>8724</v>
      </c>
      <c r="E24557" s="8">
        <v>0</v>
      </c>
      <c r="F24557" s="8">
        <v>51</v>
      </c>
    </row>
    <row r="24558" spans="1:6" ht="12.75">
      <c r="A24558" s="8">
        <v>43893.376516203702</v>
      </c>
      <c r="B24558" s="8" t="str">
        <f>HYPERLINK("https://twitter.com/tombakMatahar1","@tombakMatahar1")</f>
        <v>@tombakMatahar1</v>
      </c>
      <c r="C24558" s="8" t="s">
        <v>7597</v>
      </c>
      <c r="D24558" s="8">
        <v>617</v>
      </c>
      <c r="E24558" s="8">
        <v>0</v>
      </c>
      <c r="F24558" s="8">
        <v>154</v>
      </c>
    </row>
    <row r="24559" spans="1:6" ht="12.75">
      <c r="A24559" s="8">
        <v>43893.376516203702</v>
      </c>
      <c r="B24559" s="8" t="str">
        <f>HYPERLINK("https://twitter.com/warta_aceh","@warta_aceh")</f>
        <v>@warta_aceh</v>
      </c>
      <c r="C24559" s="8" t="s">
        <v>1970</v>
      </c>
      <c r="D24559" s="8">
        <v>707</v>
      </c>
      <c r="E24559" s="8">
        <v>0</v>
      </c>
      <c r="F24559" s="8">
        <v>406</v>
      </c>
    </row>
    <row r="24560" spans="1:6" ht="12.75">
      <c r="A24560" s="8">
        <v>43893.376504629632</v>
      </c>
      <c r="B24560" s="8" t="str">
        <f>HYPERLINK("https://twitter.com/qorynf","@qorynf")</f>
        <v>@qorynf</v>
      </c>
      <c r="C24560" s="8" t="s">
        <v>4477</v>
      </c>
      <c r="D24560" s="8">
        <v>1041</v>
      </c>
      <c r="E24560" s="8">
        <v>0</v>
      </c>
      <c r="F24560" s="8">
        <v>464</v>
      </c>
    </row>
    <row r="24561" spans="1:6" ht="12.75">
      <c r="A24561" s="8">
        <v>43893.376493055555</v>
      </c>
      <c r="B24561" s="8" t="str">
        <f>HYPERLINK("https://twitter.com/yutiazahs","@yutiazahs")</f>
        <v>@yutiazahs</v>
      </c>
      <c r="C24561" s="8" t="s">
        <v>2199</v>
      </c>
      <c r="D24561" s="8">
        <v>8724</v>
      </c>
      <c r="E24561" s="8">
        <v>0</v>
      </c>
      <c r="F24561" s="8">
        <v>336</v>
      </c>
    </row>
    <row r="24562" spans="1:6" ht="12.75">
      <c r="A24562" s="8">
        <v>43893.376423611116</v>
      </c>
      <c r="B24562" s="8" t="str">
        <f>HYPERLINK("https://twitter.com/hooman_biasa","@hooman_biasa")</f>
        <v>@hooman_biasa</v>
      </c>
      <c r="C24562" s="8" t="s">
        <v>4477</v>
      </c>
      <c r="D24562" s="8">
        <v>1041</v>
      </c>
      <c r="E24562" s="8">
        <v>0</v>
      </c>
      <c r="F24562" s="8">
        <v>30</v>
      </c>
    </row>
    <row r="24563" spans="1:6" ht="12.75">
      <c r="A24563" s="8">
        <v>43893.376377314809</v>
      </c>
      <c r="B24563" s="8" t="str">
        <f>HYPERLINK("https://twitter.com/aprlnx","@aprlnx")</f>
        <v>@aprlnx</v>
      </c>
      <c r="C24563" s="8" t="s">
        <v>2962</v>
      </c>
      <c r="D24563" s="8">
        <v>5111</v>
      </c>
      <c r="E24563" s="8">
        <v>0</v>
      </c>
      <c r="F24563" s="8">
        <v>609</v>
      </c>
    </row>
    <row r="24564" spans="1:6" ht="12.75">
      <c r="A24564" s="8">
        <v>43893.376250000001</v>
      </c>
      <c r="B24564" s="8" t="str">
        <f>HYPERLINK("https://twitter.com/Mia_Andy7","@Mia_Andy7")</f>
        <v>@Mia_Andy7</v>
      </c>
      <c r="C24564" s="8" t="s">
        <v>9128</v>
      </c>
      <c r="D24564" s="8">
        <v>61</v>
      </c>
      <c r="E24564" s="8">
        <v>0</v>
      </c>
      <c r="F24564" s="8">
        <v>4066</v>
      </c>
    </row>
    <row r="24565" spans="1:6" ht="12.75">
      <c r="A24565" s="8">
        <v>43893.376192129625</v>
      </c>
      <c r="B24565" s="8" t="str">
        <f>HYPERLINK("https://twitter.com/segopecels","@segopecels")</f>
        <v>@segopecels</v>
      </c>
      <c r="C24565" s="8" t="s">
        <v>7197</v>
      </c>
      <c r="D24565" s="8">
        <v>35</v>
      </c>
      <c r="E24565" s="8">
        <v>0</v>
      </c>
      <c r="F24565" s="8">
        <v>538</v>
      </c>
    </row>
    <row r="24566" spans="1:6" ht="12.75">
      <c r="A24566" s="8">
        <v>43893.376134259262</v>
      </c>
      <c r="B24566" s="8" t="str">
        <f>HYPERLINK("https://twitter.com/Bambanghariyan","@Bambanghariyan")</f>
        <v>@Bambanghariyan</v>
      </c>
      <c r="C24566" s="8" t="s">
        <v>9493</v>
      </c>
      <c r="D24566" s="8">
        <v>3</v>
      </c>
      <c r="E24566" s="8">
        <v>0</v>
      </c>
      <c r="F24566" s="8">
        <v>12836</v>
      </c>
    </row>
    <row r="24567" spans="1:6" ht="12.75">
      <c r="A24567" s="8">
        <v>43893.376099537039</v>
      </c>
      <c r="B24567" s="8" t="str">
        <f>HYPERLINK("https://twitter.com/TonOiqsMom","@TonOiqsMom")</f>
        <v>@TonOiqsMom</v>
      </c>
      <c r="C24567" s="8" t="s">
        <v>1986</v>
      </c>
      <c r="D24567" s="8">
        <v>688</v>
      </c>
      <c r="E24567" s="8">
        <v>0</v>
      </c>
      <c r="F24567" s="8">
        <v>32</v>
      </c>
    </row>
    <row r="24568" spans="1:6" ht="12.75">
      <c r="A24568" s="8">
        <v>43893.376076388886</v>
      </c>
      <c r="B24568" s="8" t="str">
        <f>HYPERLINK("https://twitter.com/Abie_1234","@Abie_1234")</f>
        <v>@Abie_1234</v>
      </c>
      <c r="C24568" s="8" t="s">
        <v>6832</v>
      </c>
      <c r="D24568" s="8">
        <v>960</v>
      </c>
      <c r="E24568" s="8">
        <v>0</v>
      </c>
      <c r="F24568" s="8">
        <v>565</v>
      </c>
    </row>
    <row r="24569" spans="1:6" ht="12.75">
      <c r="A24569" s="8">
        <v>43893.376064814816</v>
      </c>
      <c r="B24569" s="8" t="str">
        <f>HYPERLINK("https://twitter.com/StevaniElisabe3","@StevaniElisabe3")</f>
        <v>@StevaniElisabe3</v>
      </c>
      <c r="C24569" s="8" t="s">
        <v>3039</v>
      </c>
      <c r="D24569" s="8">
        <v>12</v>
      </c>
      <c r="E24569" s="8">
        <v>0</v>
      </c>
      <c r="F24569" s="8">
        <v>2</v>
      </c>
    </row>
    <row r="24570" spans="1:6" ht="12.75">
      <c r="A24570" s="8">
        <v>43893.375949074078</v>
      </c>
      <c r="B24570" s="8" t="str">
        <f>HYPERLINK("https://twitter.com/Bambanghariyan","@Bambanghariyan")</f>
        <v>@Bambanghariyan</v>
      </c>
      <c r="C24570" s="8" t="s">
        <v>9100</v>
      </c>
      <c r="D24570" s="8">
        <v>7</v>
      </c>
      <c r="E24570" s="8">
        <v>0</v>
      </c>
      <c r="F24570" s="8">
        <v>12836</v>
      </c>
    </row>
    <row r="24571" spans="1:6" ht="12.75">
      <c r="A24571" s="8">
        <v>43893.375891203701</v>
      </c>
      <c r="B24571" s="8" t="str">
        <f>HYPERLINK("https://twitter.com/MasTrimo9","@MasTrimo9")</f>
        <v>@MasTrimo9</v>
      </c>
      <c r="C24571" s="8" t="s">
        <v>4477</v>
      </c>
      <c r="D24571" s="8">
        <v>1041</v>
      </c>
      <c r="E24571" s="8">
        <v>0</v>
      </c>
      <c r="F24571" s="8">
        <v>316</v>
      </c>
    </row>
    <row r="24572" spans="1:6" ht="12.75">
      <c r="A24572" s="8">
        <v>43893.375833333332</v>
      </c>
      <c r="B24572" s="8" t="str">
        <f>HYPERLINK("https://twitter.com/jacktherock5","@jacktherock5")</f>
        <v>@jacktherock5</v>
      </c>
      <c r="C24572" s="8" t="s">
        <v>9863</v>
      </c>
      <c r="D24572" s="8">
        <v>1</v>
      </c>
      <c r="E24572" s="8">
        <v>1</v>
      </c>
      <c r="F24572" s="8">
        <v>439</v>
      </c>
    </row>
    <row r="24573" spans="1:6" ht="12.75">
      <c r="A24573" s="8">
        <v>43893.375775462962</v>
      </c>
      <c r="B24573" s="8" t="str">
        <f>HYPERLINK("https://twitter.com/xoclate","@xoclate")</f>
        <v>@xoclate</v>
      </c>
      <c r="C24573" s="8" t="s">
        <v>9864</v>
      </c>
      <c r="D24573" s="8">
        <v>0</v>
      </c>
      <c r="E24573" s="8">
        <v>0</v>
      </c>
      <c r="F24573" s="8">
        <v>469</v>
      </c>
    </row>
    <row r="24574" spans="1:6" ht="12.75">
      <c r="A24574" s="8">
        <v>43893.375775462962</v>
      </c>
      <c r="B24574" s="8" t="str">
        <f>HYPERLINK("https://twitter.com/Chairulx","@Chairulx")</f>
        <v>@Chairulx</v>
      </c>
      <c r="C24574" s="8" t="s">
        <v>1970</v>
      </c>
      <c r="D24574" s="8">
        <v>707</v>
      </c>
      <c r="E24574" s="8">
        <v>0</v>
      </c>
      <c r="F24574" s="8">
        <v>30</v>
      </c>
    </row>
    <row r="24575" spans="1:6" ht="12.75">
      <c r="A24575" s="8">
        <v>43893.37572916667</v>
      </c>
      <c r="B24575" s="8" t="str">
        <f>HYPERLINK("https://twitter.com/tammaginary","@tammaginary")</f>
        <v>@tammaginary</v>
      </c>
      <c r="C24575" s="8" t="s">
        <v>2962</v>
      </c>
      <c r="D24575" s="8">
        <v>5111</v>
      </c>
      <c r="E24575" s="8">
        <v>0</v>
      </c>
      <c r="F24575" s="8">
        <v>372</v>
      </c>
    </row>
    <row r="24576" spans="1:6" ht="12.75">
      <c r="A24576" s="8">
        <v>43893.375625000001</v>
      </c>
      <c r="B24576" s="8" t="str">
        <f>HYPERLINK("https://twitter.com/ujuxptg","@ujuxptg")</f>
        <v>@ujuxptg</v>
      </c>
      <c r="C24576" s="8" t="s">
        <v>4615</v>
      </c>
      <c r="D24576" s="8">
        <v>175</v>
      </c>
      <c r="E24576" s="8">
        <v>0</v>
      </c>
      <c r="F24576" s="8">
        <v>463</v>
      </c>
    </row>
    <row r="24577" spans="1:6" ht="12.75">
      <c r="A24577" s="8">
        <v>43893.375613425931</v>
      </c>
      <c r="B24577" s="8" t="str">
        <f>HYPERLINK("https://twitter.com/Kenzu_KPTB","@Kenzu_KPTB")</f>
        <v>@Kenzu_KPTB</v>
      </c>
      <c r="C24577" s="8" t="s">
        <v>9146</v>
      </c>
      <c r="D24577" s="8">
        <v>17</v>
      </c>
      <c r="E24577" s="8">
        <v>0</v>
      </c>
      <c r="F24577" s="8">
        <v>1925</v>
      </c>
    </row>
    <row r="24578" spans="1:6" ht="12.75">
      <c r="A24578" s="8">
        <v>43893.375428240739</v>
      </c>
      <c r="B24578" s="8" t="str">
        <f>HYPERLINK("https://twitter.com/PapyJes","@PapyJes")</f>
        <v>@PapyJes</v>
      </c>
      <c r="C24578" s="8" t="s">
        <v>1970</v>
      </c>
      <c r="D24578" s="8">
        <v>707</v>
      </c>
      <c r="E24578" s="8">
        <v>0</v>
      </c>
      <c r="F24578" s="8">
        <v>31</v>
      </c>
    </row>
    <row r="24579" spans="1:6" ht="12.75">
      <c r="A24579" s="8">
        <v>43893.375393518523</v>
      </c>
      <c r="B24579" s="8" t="str">
        <f>HYPERLINK("https://twitter.com/WenSid","@WenSid")</f>
        <v>@WenSid</v>
      </c>
      <c r="C24579" s="8" t="s">
        <v>1970</v>
      </c>
      <c r="D24579" s="8">
        <v>707</v>
      </c>
      <c r="E24579" s="8">
        <v>0</v>
      </c>
      <c r="F24579" s="8">
        <v>114</v>
      </c>
    </row>
    <row r="24580" spans="1:6" ht="12.75">
      <c r="A24580" s="8">
        <v>43893.340162037042</v>
      </c>
      <c r="B24580" s="8" t="str">
        <f>HYPERLINK("https://twitter.com/ciptosiman","@ciptosiman")</f>
        <v>@ciptosiman</v>
      </c>
      <c r="C24580" s="8" t="s">
        <v>2962</v>
      </c>
      <c r="D24580" s="8">
        <v>4985</v>
      </c>
      <c r="E24580" s="8">
        <v>0</v>
      </c>
      <c r="F24580" s="8">
        <v>76</v>
      </c>
    </row>
    <row r="24581" spans="1:6" ht="12.75">
      <c r="A24581" s="8">
        <v>43893.340162037042</v>
      </c>
      <c r="B24581" s="8" t="str">
        <f>HYPERLINK("https://twitter.com/hendraarshavin","@hendraarshavin")</f>
        <v>@hendraarshavin</v>
      </c>
      <c r="C24581" s="8" t="s">
        <v>6832</v>
      </c>
      <c r="D24581" s="8">
        <v>938</v>
      </c>
      <c r="E24581" s="8">
        <v>0</v>
      </c>
      <c r="F24581" s="8">
        <v>438</v>
      </c>
    </row>
    <row r="24582" spans="1:6" ht="12.75">
      <c r="A24582" s="8">
        <v>43893.340127314819</v>
      </c>
      <c r="B24582" s="8" t="str">
        <f>HYPERLINK("https://twitter.com/yeedepede","@yeedepede")</f>
        <v>@yeedepede</v>
      </c>
      <c r="C24582" s="8" t="s">
        <v>1986</v>
      </c>
      <c r="D24582" s="8">
        <v>654</v>
      </c>
      <c r="E24582" s="8">
        <v>0</v>
      </c>
      <c r="F24582" s="8">
        <v>483</v>
      </c>
    </row>
    <row r="24583" spans="1:6" ht="12.75">
      <c r="A24583" s="8">
        <v>43893.340092592596</v>
      </c>
      <c r="B24583" s="8" t="str">
        <f>HYPERLINK("https://twitter.com/abah_pitol","@abah_pitol")</f>
        <v>@abah_pitol</v>
      </c>
      <c r="C24583" s="8" t="s">
        <v>9128</v>
      </c>
      <c r="D24583" s="8">
        <v>18</v>
      </c>
      <c r="E24583" s="8">
        <v>0</v>
      </c>
      <c r="F24583" s="8">
        <v>116</v>
      </c>
    </row>
    <row r="24584" spans="1:6" ht="12.75">
      <c r="A24584" s="8">
        <v>43893.34</v>
      </c>
      <c r="B24584" s="8" t="str">
        <f>HYPERLINK("https://twitter.com/fik_okeh","@fik_okeh")</f>
        <v>@fik_okeh</v>
      </c>
      <c r="C24584" s="8" t="s">
        <v>9128</v>
      </c>
      <c r="D24584" s="8">
        <v>18</v>
      </c>
      <c r="E24584" s="8">
        <v>0</v>
      </c>
      <c r="F24584" s="8">
        <v>502</v>
      </c>
    </row>
    <row r="24585" spans="1:6" ht="12.75">
      <c r="A24585" s="8">
        <v>43893.339988425927</v>
      </c>
      <c r="B24585" s="8" t="str">
        <f>HYPERLINK("https://twitter.com/beebyeongcheol","@beebyeongcheol")</f>
        <v>@beebyeongcheol</v>
      </c>
      <c r="C24585" s="8" t="s">
        <v>1427</v>
      </c>
      <c r="D24585" s="8">
        <v>730</v>
      </c>
      <c r="E24585" s="8">
        <v>0</v>
      </c>
      <c r="F24585" s="8">
        <v>561</v>
      </c>
    </row>
    <row r="24586" spans="1:6" ht="12.75">
      <c r="A24586" s="8">
        <v>43893.33993055555</v>
      </c>
      <c r="B24586" s="8" t="str">
        <f>HYPERLINK("https://twitter.com/manusiyaonline","@manusiyaonline")</f>
        <v>@manusiyaonline</v>
      </c>
      <c r="C24586" s="8" t="s">
        <v>4150</v>
      </c>
      <c r="D24586" s="8">
        <v>507</v>
      </c>
      <c r="E24586" s="8">
        <v>0</v>
      </c>
      <c r="F24586" s="8">
        <v>3400</v>
      </c>
    </row>
    <row r="24587" spans="1:6" ht="12.75">
      <c r="A24587" s="8">
        <v>43893.339872685188</v>
      </c>
      <c r="B24587" s="8" t="str">
        <f>HYPERLINK("https://twitter.com/ferryirawanac","@ferryirawanac")</f>
        <v>@ferryirawanac</v>
      </c>
      <c r="C24587" s="8" t="s">
        <v>1970</v>
      </c>
      <c r="D24587" s="8">
        <v>593</v>
      </c>
      <c r="E24587" s="8">
        <v>0</v>
      </c>
      <c r="F24587" s="8">
        <v>184</v>
      </c>
    </row>
    <row r="24588" spans="1:6" ht="12.75">
      <c r="A24588" s="8">
        <v>43893.339791666665</v>
      </c>
      <c r="B24588" s="8" t="str">
        <f>HYPERLINK("https://twitter.com/nurlailatulc1","@nurlailatulc1")</f>
        <v>@nurlailatulc1</v>
      </c>
      <c r="C24588" s="8" t="s">
        <v>2962</v>
      </c>
      <c r="D24588" s="8">
        <v>4985</v>
      </c>
      <c r="E24588" s="8">
        <v>0</v>
      </c>
      <c r="F24588" s="8">
        <v>14</v>
      </c>
    </row>
    <row r="24589" spans="1:6" ht="12.75">
      <c r="A24589" s="8">
        <v>43893.33971064815</v>
      </c>
      <c r="B24589" s="8" t="str">
        <f>HYPERLINK("https://twitter.com/JayaNasih","@JayaNasih")</f>
        <v>@JayaNasih</v>
      </c>
      <c r="C24589" s="8" t="s">
        <v>1970</v>
      </c>
      <c r="D24589" s="8">
        <v>593</v>
      </c>
      <c r="E24589" s="8">
        <v>0</v>
      </c>
      <c r="F24589" s="8">
        <v>204</v>
      </c>
    </row>
    <row r="24590" spans="1:6" ht="12.75">
      <c r="A24590" s="8">
        <v>43893.33966435185</v>
      </c>
      <c r="B24590" s="8" t="str">
        <f>HYPERLINK("https://twitter.com/dajjaltamvan","@dajjaltamvan")</f>
        <v>@dajjaltamvan</v>
      </c>
      <c r="C24590" s="8" t="s">
        <v>1986</v>
      </c>
      <c r="D24590" s="8">
        <v>654</v>
      </c>
      <c r="E24590" s="8">
        <v>0</v>
      </c>
      <c r="F24590" s="8">
        <v>130</v>
      </c>
    </row>
    <row r="24591" spans="1:6" ht="12.75">
      <c r="A24591" s="8">
        <v>43893.339606481481</v>
      </c>
      <c r="B24591" s="8" t="str">
        <f>HYPERLINK("https://twitter.com/ihwan_sn","@ihwan_sn")</f>
        <v>@ihwan_sn</v>
      </c>
      <c r="C24591" s="8" t="s">
        <v>4477</v>
      </c>
      <c r="D24591" s="8">
        <v>1000</v>
      </c>
      <c r="E24591" s="8">
        <v>0</v>
      </c>
      <c r="F24591" s="8">
        <v>451</v>
      </c>
    </row>
    <row r="24592" spans="1:6" ht="12.75">
      <c r="A24592" s="8">
        <v>43893.339525462958</v>
      </c>
      <c r="B24592" s="8" t="str">
        <f>HYPERLINK("https://twitter.com/_alidoank","@_alidoank")</f>
        <v>@_alidoank</v>
      </c>
      <c r="C24592" s="8" t="s">
        <v>8322</v>
      </c>
      <c r="D24592" s="8">
        <v>675</v>
      </c>
      <c r="E24592" s="8">
        <v>0</v>
      </c>
      <c r="F24592" s="8">
        <v>140</v>
      </c>
    </row>
    <row r="24593" spans="1:6" ht="12.75">
      <c r="A24593" s="8">
        <v>43893.339398148149</v>
      </c>
      <c r="B24593" s="8" t="str">
        <f>HYPERLINK("https://twitter.com/callme_dks","@callme_dks")</f>
        <v>@callme_dks</v>
      </c>
      <c r="C24593" s="8" t="s">
        <v>1970</v>
      </c>
      <c r="D24593" s="8">
        <v>593</v>
      </c>
      <c r="E24593" s="8">
        <v>0</v>
      </c>
      <c r="F24593" s="8">
        <v>1360</v>
      </c>
    </row>
    <row r="24594" spans="1:6" ht="12.75">
      <c r="A24594" s="8">
        <v>43893.339386574073</v>
      </c>
      <c r="B24594" s="8" t="str">
        <f>HYPERLINK("https://twitter.com/prophylene_gly","@prophylene_gly")</f>
        <v>@prophylene_gly</v>
      </c>
      <c r="C24594" s="8" t="s">
        <v>9865</v>
      </c>
      <c r="D24594" s="8">
        <v>21</v>
      </c>
      <c r="E24594" s="8">
        <v>0</v>
      </c>
      <c r="F24594" s="8">
        <v>209</v>
      </c>
    </row>
    <row r="24595" spans="1:6" ht="12.75">
      <c r="A24595" s="8">
        <v>43893.339374999996</v>
      </c>
      <c r="B24595" s="8" t="str">
        <f>HYPERLINK("https://twitter.com/Bayu_Segara_Bay","@Bayu_Segara_Bay")</f>
        <v>@Bayu_Segara_Bay</v>
      </c>
      <c r="C24595" s="8" t="s">
        <v>1145</v>
      </c>
      <c r="D24595" s="8">
        <v>476</v>
      </c>
      <c r="E24595" s="8">
        <v>0</v>
      </c>
      <c r="F24595" s="8">
        <v>193</v>
      </c>
    </row>
    <row r="24596" spans="1:6" ht="12.75">
      <c r="A24596" s="8">
        <v>43893.339305555557</v>
      </c>
      <c r="B24596" s="8" t="str">
        <f>HYPERLINK("https://twitter.com/_alidoank","@_alidoank")</f>
        <v>@_alidoank</v>
      </c>
      <c r="C24596" s="8" t="s">
        <v>7597</v>
      </c>
      <c r="D24596" s="8">
        <v>601</v>
      </c>
      <c r="E24596" s="8">
        <v>0</v>
      </c>
      <c r="F24596" s="8">
        <v>140</v>
      </c>
    </row>
    <row r="24597" spans="1:6" ht="12.75">
      <c r="A24597" s="8">
        <v>43893.339201388888</v>
      </c>
      <c r="B24597" s="8" t="str">
        <f>HYPERLINK("https://twitter.com/nilamerah1","@nilamerah1")</f>
        <v>@nilamerah1</v>
      </c>
      <c r="C24597" s="8" t="s">
        <v>7661</v>
      </c>
      <c r="D24597" s="8">
        <v>414</v>
      </c>
      <c r="E24597" s="8">
        <v>0</v>
      </c>
      <c r="F24597" s="8">
        <v>3836</v>
      </c>
    </row>
    <row r="24598" spans="1:6" ht="12.75">
      <c r="A24598" s="8">
        <v>43893.339201388888</v>
      </c>
      <c r="B24598" s="8" t="str">
        <f>HYPERLINK("https://twitter.com/K3K3Y_99","@K3K3Y_99")</f>
        <v>@K3K3Y_99</v>
      </c>
      <c r="C24598" s="8" t="s">
        <v>9128</v>
      </c>
      <c r="D24598" s="8">
        <v>18</v>
      </c>
      <c r="E24598" s="8">
        <v>0</v>
      </c>
      <c r="F24598" s="8">
        <v>2679</v>
      </c>
    </row>
    <row r="24599" spans="1:6" ht="12.75">
      <c r="A24599" s="8">
        <v>43893.339189814811</v>
      </c>
      <c r="B24599" s="8" t="str">
        <f>HYPERLINK("https://twitter.com/minang_parewa","@minang_parewa")</f>
        <v>@minang_parewa</v>
      </c>
      <c r="C24599" s="8" t="s">
        <v>9128</v>
      </c>
      <c r="D24599" s="8">
        <v>18</v>
      </c>
      <c r="E24599" s="8">
        <v>0</v>
      </c>
      <c r="F24599" s="8">
        <v>4974</v>
      </c>
    </row>
    <row r="24600" spans="1:6" ht="12.75">
      <c r="A24600" s="8">
        <v>43893.339131944449</v>
      </c>
      <c r="B24600" s="8" t="str">
        <f>HYPERLINK("https://twitter.com/MemehRahmawati","@MemehRahmawati")</f>
        <v>@MemehRahmawati</v>
      </c>
      <c r="C24600" s="8" t="s">
        <v>9866</v>
      </c>
      <c r="D24600" s="8">
        <v>2</v>
      </c>
      <c r="E24600" s="8">
        <v>0</v>
      </c>
      <c r="F24600" s="8">
        <v>1304</v>
      </c>
    </row>
    <row r="24601" spans="1:6" ht="12.75">
      <c r="A24601" s="8">
        <v>43893.339120370365</v>
      </c>
      <c r="B24601" s="8" t="str">
        <f>HYPERLINK("https://twitter.com/wumpiy","@wumpiy")</f>
        <v>@wumpiy</v>
      </c>
      <c r="C24601" s="8" t="s">
        <v>9087</v>
      </c>
      <c r="D24601" s="8">
        <v>2</v>
      </c>
      <c r="E24601" s="8">
        <v>0</v>
      </c>
      <c r="F24601" s="8">
        <v>41</v>
      </c>
    </row>
    <row r="24602" spans="1:6" ht="12.75">
      <c r="A24602" s="8">
        <v>43893.339097222226</v>
      </c>
      <c r="B24602" s="8" t="str">
        <f>HYPERLINK("https://twitter.com/5Okgs","@5Okgs")</f>
        <v>@5Okgs</v>
      </c>
      <c r="C24602" s="8" t="s">
        <v>2962</v>
      </c>
      <c r="D24602" s="8">
        <v>4985</v>
      </c>
      <c r="E24602" s="8">
        <v>0</v>
      </c>
      <c r="F24602" s="8">
        <v>523</v>
      </c>
    </row>
    <row r="24603" spans="1:6" ht="12.75">
      <c r="A24603" s="8">
        <v>43893.339074074072</v>
      </c>
      <c r="B24603" s="8" t="str">
        <f>HYPERLINK("https://twitter.com/mariadi63425147","@mariadi63425147")</f>
        <v>@mariadi63425147</v>
      </c>
      <c r="C24603" s="8" t="s">
        <v>7597</v>
      </c>
      <c r="D24603" s="8">
        <v>601</v>
      </c>
      <c r="E24603" s="8">
        <v>0</v>
      </c>
      <c r="F24603" s="8">
        <v>71</v>
      </c>
    </row>
    <row r="24604" spans="1:6" ht="12.75">
      <c r="A24604" s="8">
        <v>43893.33898148148</v>
      </c>
      <c r="B24604" s="8" t="str">
        <f>HYPERLINK("https://twitter.com/yolll000","@yolll000")</f>
        <v>@yolll000</v>
      </c>
      <c r="C24604" s="8" t="s">
        <v>2199</v>
      </c>
      <c r="D24604" s="8">
        <v>8659</v>
      </c>
      <c r="E24604" s="8">
        <v>0</v>
      </c>
      <c r="F24604" s="8">
        <v>617</v>
      </c>
    </row>
    <row r="24605" spans="1:6" ht="12.75">
      <c r="A24605" s="8">
        <v>43893.33898148148</v>
      </c>
      <c r="B24605" s="8" t="str">
        <f>HYPERLINK("https://twitter.com/titoardian","@titoardian")</f>
        <v>@titoardian</v>
      </c>
      <c r="C24605" s="8" t="s">
        <v>1970</v>
      </c>
      <c r="D24605" s="8">
        <v>593</v>
      </c>
      <c r="E24605" s="8">
        <v>0</v>
      </c>
      <c r="F24605" s="8">
        <v>825</v>
      </c>
    </row>
    <row r="24606" spans="1:6" ht="12.75">
      <c r="A24606" s="8">
        <v>43893.338969907403</v>
      </c>
      <c r="B24606" s="8" t="str">
        <f>HYPERLINK("https://twitter.com/logic_editor","@logic_editor")</f>
        <v>@logic_editor</v>
      </c>
      <c r="C24606" s="8" t="s">
        <v>1970</v>
      </c>
      <c r="D24606" s="8">
        <v>593</v>
      </c>
      <c r="E24606" s="8">
        <v>0</v>
      </c>
      <c r="F24606" s="8">
        <v>4325</v>
      </c>
    </row>
    <row r="24607" spans="1:6" ht="12.75">
      <c r="A24607" s="8">
        <v>43893.338958333334</v>
      </c>
      <c r="B24607" s="8" t="str">
        <f>HYPERLINK("https://twitter.com/BangJovi9","@BangJovi9")</f>
        <v>@BangJovi9</v>
      </c>
      <c r="C24607" s="8" t="s">
        <v>9128</v>
      </c>
      <c r="D24607" s="8">
        <v>18</v>
      </c>
      <c r="E24607" s="8">
        <v>0</v>
      </c>
      <c r="F24607" s="8">
        <v>2346</v>
      </c>
    </row>
    <row r="24608" spans="1:6" ht="12.75">
      <c r="A24608" s="8">
        <v>43893.338923611111</v>
      </c>
      <c r="B24608" s="8" t="str">
        <f>HYPERLINK("https://twitter.com/ariniwow","@ariniwow")</f>
        <v>@ariniwow</v>
      </c>
      <c r="C24608" s="8" t="s">
        <v>1427</v>
      </c>
      <c r="D24608" s="8">
        <v>730</v>
      </c>
      <c r="E24608" s="8">
        <v>0</v>
      </c>
      <c r="F24608" s="8">
        <v>616</v>
      </c>
    </row>
    <row r="24609" spans="1:6" ht="12.75">
      <c r="A24609" s="8">
        <v>43893.338900462964</v>
      </c>
      <c r="B24609" s="8" t="str">
        <f>HYPERLINK("https://twitter.com/eMbahNyutz","@eMbahNyutz")</f>
        <v>@eMbahNyutz</v>
      </c>
      <c r="C24609" s="8" t="s">
        <v>9867</v>
      </c>
      <c r="D24609" s="8">
        <v>0</v>
      </c>
      <c r="E24609" s="8">
        <v>0</v>
      </c>
      <c r="F24609" s="8">
        <v>27317</v>
      </c>
    </row>
    <row r="24610" spans="1:6" ht="12.75">
      <c r="A24610" s="8">
        <v>43893.338842592595</v>
      </c>
      <c r="B24610" s="8" t="str">
        <f>HYPERLINK("https://twitter.com/hahsunn","@hahsunn")</f>
        <v>@hahsunn</v>
      </c>
      <c r="C24610" s="8" t="s">
        <v>2199</v>
      </c>
      <c r="D24610" s="8">
        <v>8659</v>
      </c>
      <c r="E24610" s="8">
        <v>0</v>
      </c>
      <c r="F24610" s="8">
        <v>806</v>
      </c>
    </row>
    <row r="24611" spans="1:6" ht="12.75">
      <c r="A24611" s="8">
        <v>43893.338784722218</v>
      </c>
      <c r="B24611" s="8" t="str">
        <f>HYPERLINK("https://twitter.com/ndien09","@ndien09")</f>
        <v>@ndien09</v>
      </c>
      <c r="C24611" s="8" t="s">
        <v>9727</v>
      </c>
      <c r="D24611" s="8">
        <v>79</v>
      </c>
      <c r="E24611" s="8">
        <v>0</v>
      </c>
      <c r="F24611" s="8">
        <v>88</v>
      </c>
    </row>
    <row r="24612" spans="1:6" ht="12.75">
      <c r="A24612" s="8">
        <v>43893.338784722218</v>
      </c>
      <c r="B24612" s="8" t="str">
        <f>HYPERLINK("https://twitter.com/Andri01","@Andri01")</f>
        <v>@Andri01</v>
      </c>
      <c r="C24612" s="8" t="s">
        <v>8322</v>
      </c>
      <c r="D24612" s="8">
        <v>675</v>
      </c>
      <c r="E24612" s="8">
        <v>0</v>
      </c>
      <c r="F24612" s="8">
        <v>46</v>
      </c>
    </row>
    <row r="24613" spans="1:6" ht="12.75">
      <c r="A24613" s="8">
        <v>43893.338680555556</v>
      </c>
      <c r="B24613" s="8" t="str">
        <f>HYPERLINK("https://twitter.com/anis120763","@anis120763")</f>
        <v>@anis120763</v>
      </c>
      <c r="C24613" s="8" t="s">
        <v>5732</v>
      </c>
      <c r="D24613" s="8">
        <v>2110</v>
      </c>
      <c r="E24613" s="8">
        <v>0</v>
      </c>
      <c r="F24613" s="8">
        <v>692</v>
      </c>
    </row>
    <row r="24614" spans="1:6" ht="12.75">
      <c r="A24614" s="8">
        <v>43893.33866898148</v>
      </c>
      <c r="B24614" s="8" t="str">
        <f>HYPERLINK("https://twitter.com/hcllegna","@hcllegna")</f>
        <v>@hcllegna</v>
      </c>
      <c r="C24614" s="8" t="s">
        <v>2962</v>
      </c>
      <c r="D24614" s="8">
        <v>4985</v>
      </c>
      <c r="E24614" s="8">
        <v>0</v>
      </c>
      <c r="F24614" s="8">
        <v>499</v>
      </c>
    </row>
    <row r="24615" spans="1:6" ht="12.75">
      <c r="A24615" s="8">
        <v>43893.338460648149</v>
      </c>
      <c r="B24615" s="8" t="str">
        <f>HYPERLINK("https://twitter.com/auliakhoirotul_","@auliakhoirotul_")</f>
        <v>@auliakhoirotul_</v>
      </c>
      <c r="C24615" s="8" t="s">
        <v>6971</v>
      </c>
      <c r="D24615" s="8">
        <v>239</v>
      </c>
      <c r="E24615" s="8">
        <v>0</v>
      </c>
      <c r="F24615" s="8">
        <v>17</v>
      </c>
    </row>
    <row r="24616" spans="1:6" ht="12.75">
      <c r="A24616" s="8">
        <v>43893.338391203702</v>
      </c>
      <c r="B24616" s="8" t="str">
        <f>HYPERLINK("https://twitter.com/NidaaNBLH","@NidaaNBLH")</f>
        <v>@NidaaNBLH</v>
      </c>
      <c r="C24616" s="8" t="s">
        <v>2962</v>
      </c>
      <c r="D24616" s="8">
        <v>4985</v>
      </c>
      <c r="E24616" s="8">
        <v>0</v>
      </c>
      <c r="F24616" s="8">
        <v>1173</v>
      </c>
    </row>
    <row r="24617" spans="1:6" ht="12.75">
      <c r="A24617" s="8">
        <v>43893.338275462964</v>
      </c>
      <c r="B24617" s="8" t="str">
        <f>HYPERLINK("https://twitter.com/andi_achilles","@andi_achilles")</f>
        <v>@andi_achilles</v>
      </c>
      <c r="C24617" s="8" t="s">
        <v>8901</v>
      </c>
      <c r="D24617" s="8">
        <v>31</v>
      </c>
      <c r="E24617" s="8">
        <v>0</v>
      </c>
      <c r="F24617" s="8">
        <v>1311</v>
      </c>
    </row>
    <row r="24618" spans="1:6" ht="12.75">
      <c r="A24618" s="8">
        <v>43893.338229166664</v>
      </c>
      <c r="B24618" s="8" t="str">
        <f>HYPERLINK("https://twitter.com/Olla_Sakha","@Olla_Sakha")</f>
        <v>@Olla_Sakha</v>
      </c>
      <c r="C24618" s="8" t="s">
        <v>2962</v>
      </c>
      <c r="D24618" s="8">
        <v>4985</v>
      </c>
      <c r="E24618" s="8">
        <v>0</v>
      </c>
      <c r="F24618" s="8">
        <v>257</v>
      </c>
    </row>
    <row r="24619" spans="1:6" ht="12.75">
      <c r="A24619" s="8">
        <v>43893.338171296295</v>
      </c>
      <c r="B24619" s="8" t="str">
        <f>HYPERLINK("https://twitter.com/DwiAtmaja4","@DwiAtmaja4")</f>
        <v>@DwiAtmaja4</v>
      </c>
      <c r="C24619" s="8" t="s">
        <v>1970</v>
      </c>
      <c r="D24619" s="8">
        <v>593</v>
      </c>
      <c r="E24619" s="8">
        <v>0</v>
      </c>
      <c r="F24619" s="8">
        <v>121</v>
      </c>
    </row>
    <row r="24620" spans="1:6" ht="12.75">
      <c r="A24620" s="8">
        <v>43893.338101851856</v>
      </c>
      <c r="B24620" s="8" t="str">
        <f>HYPERLINK("https://twitter.com/ansyori_riduan","@ansyori_riduan")</f>
        <v>@ansyori_riduan</v>
      </c>
      <c r="C24620" s="8" t="s">
        <v>9868</v>
      </c>
      <c r="D24620" s="8">
        <v>0</v>
      </c>
      <c r="E24620" s="8">
        <v>0</v>
      </c>
      <c r="F24620" s="8">
        <v>113</v>
      </c>
    </row>
    <row r="24621" spans="1:6" ht="12.75">
      <c r="A24621" s="8">
        <v>43893.338067129633</v>
      </c>
      <c r="B24621" s="8" t="str">
        <f>HYPERLINK("https://twitter.com/BDavidto","@BDavidto")</f>
        <v>@BDavidto</v>
      </c>
      <c r="C24621" s="8" t="s">
        <v>6971</v>
      </c>
      <c r="D24621" s="8">
        <v>239</v>
      </c>
      <c r="E24621" s="8">
        <v>0</v>
      </c>
      <c r="F24621" s="8">
        <v>8</v>
      </c>
    </row>
    <row r="24622" spans="1:6" ht="12.75">
      <c r="A24622" s="8">
        <v>43893.337905092594</v>
      </c>
      <c r="B24622" s="8" t="str">
        <f>HYPERLINK("https://twitter.com/fatintafida12","@fatintafida12")</f>
        <v>@fatintafida12</v>
      </c>
      <c r="C24622" s="8" t="s">
        <v>6832</v>
      </c>
      <c r="D24622" s="8">
        <v>938</v>
      </c>
      <c r="E24622" s="8">
        <v>0</v>
      </c>
      <c r="F24622" s="8">
        <v>17</v>
      </c>
    </row>
    <row r="24623" spans="1:6" ht="12.75">
      <c r="A24623" s="8">
        <v>43893.337893518517</v>
      </c>
      <c r="B24623" s="8" t="str">
        <f>HYPERLINK("https://twitter.com/m23038729","@m23038729")</f>
        <v>@m23038729</v>
      </c>
      <c r="C24623" s="8" t="s">
        <v>9128</v>
      </c>
      <c r="D24623" s="8">
        <v>18</v>
      </c>
      <c r="E24623" s="8">
        <v>0</v>
      </c>
      <c r="F24623" s="8">
        <v>5</v>
      </c>
    </row>
    <row r="24624" spans="1:6" ht="12.75">
      <c r="A24624" s="8">
        <v>43893.337858796294</v>
      </c>
      <c r="B24624" s="8" t="str">
        <f>HYPERLINK("https://twitter.com/ika_ikaz74","@ika_ikaz74")</f>
        <v>@ika_ikaz74</v>
      </c>
      <c r="C24624" s="8" t="s">
        <v>1970</v>
      </c>
      <c r="D24624" s="8">
        <v>593</v>
      </c>
      <c r="E24624" s="8">
        <v>0</v>
      </c>
      <c r="F24624" s="8">
        <v>119</v>
      </c>
    </row>
    <row r="24625" spans="1:6" ht="12.75">
      <c r="A24625" s="8">
        <v>43893.337824074071</v>
      </c>
      <c r="B24625" s="8" t="str">
        <f>HYPERLINK("https://twitter.com/Andri01","@Andri01")</f>
        <v>@Andri01</v>
      </c>
      <c r="C24625" s="8" t="s">
        <v>7597</v>
      </c>
      <c r="D24625" s="8">
        <v>601</v>
      </c>
      <c r="E24625" s="8">
        <v>0</v>
      </c>
      <c r="F24625" s="8">
        <v>46</v>
      </c>
    </row>
    <row r="24626" spans="1:6" ht="12.75">
      <c r="A24626" s="8">
        <v>43893.337824074071</v>
      </c>
      <c r="B24626" s="8" t="str">
        <f>HYPERLINK("https://twitter.com/kasehsaulmouk","@kasehsaulmouk")</f>
        <v>@kasehsaulmouk</v>
      </c>
      <c r="C24626" s="8" t="s">
        <v>9417</v>
      </c>
      <c r="D24626" s="8">
        <v>22</v>
      </c>
      <c r="E24626" s="8">
        <v>0</v>
      </c>
      <c r="F24626" s="8">
        <v>3712</v>
      </c>
    </row>
    <row r="24627" spans="1:6" ht="12.75">
      <c r="A24627" s="8">
        <v>43893.337824074071</v>
      </c>
      <c r="B24627" s="8" t="str">
        <f>HYPERLINK("https://twitter.com/__Profesong","@__Profesong")</f>
        <v>@__Profesong</v>
      </c>
      <c r="C24627" s="8" t="s">
        <v>9128</v>
      </c>
      <c r="D24627" s="8">
        <v>18</v>
      </c>
      <c r="E24627" s="8">
        <v>0</v>
      </c>
      <c r="F24627" s="8">
        <v>2358</v>
      </c>
    </row>
    <row r="24628" spans="1:6" ht="12.75">
      <c r="A24628" s="8">
        <v>43893.337789351848</v>
      </c>
      <c r="B24628" s="8" t="str">
        <f>HYPERLINK("https://twitter.com/kenkenews","@kenkenews")</f>
        <v>@kenkenews</v>
      </c>
      <c r="C24628" s="8" t="s">
        <v>9869</v>
      </c>
      <c r="D24628" s="8">
        <v>0</v>
      </c>
      <c r="E24628" s="8">
        <v>0</v>
      </c>
      <c r="F24628" s="8">
        <v>157</v>
      </c>
    </row>
    <row r="24629" spans="1:6" ht="12.75">
      <c r="A24629" s="8">
        <v>43893.337696759263</v>
      </c>
      <c r="B24629" s="8" t="str">
        <f>HYPERLINK("https://twitter.com/wwinarty_","@wwinarty_")</f>
        <v>@wwinarty_</v>
      </c>
      <c r="C24629" s="8" t="s">
        <v>7661</v>
      </c>
      <c r="D24629" s="8">
        <v>414</v>
      </c>
      <c r="E24629" s="8">
        <v>0</v>
      </c>
      <c r="F24629" s="8">
        <v>166</v>
      </c>
    </row>
    <row r="24630" spans="1:6" ht="12.75">
      <c r="A24630" s="8">
        <v>43893.337685185186</v>
      </c>
      <c r="B24630" s="8" t="str">
        <f>HYPERLINK("https://twitter.com/riberu_ade2","@riberu_ade2")</f>
        <v>@riberu_ade2</v>
      </c>
      <c r="C24630" s="8" t="s">
        <v>5732</v>
      </c>
      <c r="D24630" s="8">
        <v>2110</v>
      </c>
      <c r="E24630" s="8">
        <v>0</v>
      </c>
      <c r="F24630" s="8">
        <v>305</v>
      </c>
    </row>
    <row r="24631" spans="1:6" ht="12.75">
      <c r="A24631" s="8">
        <v>43893.337650462963</v>
      </c>
      <c r="B24631" s="8" t="str">
        <f>HYPERLINK("https://twitter.com/SyaifulRijal_","@SyaifulRijal_")</f>
        <v>@SyaifulRijal_</v>
      </c>
      <c r="C24631" s="8" t="s">
        <v>1970</v>
      </c>
      <c r="D24631" s="8">
        <v>593</v>
      </c>
      <c r="E24631" s="8">
        <v>0</v>
      </c>
      <c r="F24631" s="8">
        <v>1346</v>
      </c>
    </row>
    <row r="24632" spans="1:6" ht="12.75">
      <c r="A24632" s="8">
        <v>43893.337650462963</v>
      </c>
      <c r="B24632" s="8" t="str">
        <f>HYPERLINK("https://twitter.com/RUSYDAN62544336","@RUSYDAN62544336")</f>
        <v>@RUSYDAN62544336</v>
      </c>
      <c r="C24632" s="8" t="s">
        <v>8322</v>
      </c>
      <c r="D24632" s="8">
        <v>675</v>
      </c>
      <c r="E24632" s="8">
        <v>0</v>
      </c>
      <c r="F24632" s="8">
        <v>6</v>
      </c>
    </row>
    <row r="24633" spans="1:6" ht="12.75">
      <c r="A24633" s="8">
        <v>43893.337604166663</v>
      </c>
      <c r="B24633" s="8" t="str">
        <f>HYPERLINK("https://twitter.com/Ubedseru","@Ubedseru")</f>
        <v>@Ubedseru</v>
      </c>
      <c r="C24633" s="8" t="s">
        <v>2962</v>
      </c>
      <c r="D24633" s="8">
        <v>4985</v>
      </c>
      <c r="E24633" s="8">
        <v>0</v>
      </c>
      <c r="F24633" s="8">
        <v>95</v>
      </c>
    </row>
    <row r="24634" spans="1:6" ht="12.75">
      <c r="A24634" s="8">
        <v>43893.337500000001</v>
      </c>
      <c r="B24634" s="8" t="str">
        <f>HYPERLINK("https://twitter.com/fremarcel","@fremarcel")</f>
        <v>@fremarcel</v>
      </c>
      <c r="C24634" s="8" t="s">
        <v>1986</v>
      </c>
      <c r="D24634" s="8">
        <v>654</v>
      </c>
      <c r="E24634" s="8">
        <v>0</v>
      </c>
      <c r="F24634" s="8">
        <v>308</v>
      </c>
    </row>
    <row r="24635" spans="1:6" ht="12.75">
      <c r="A24635" s="8">
        <v>43893.337500000001</v>
      </c>
      <c r="B24635" s="8" t="str">
        <f>HYPERLINK("https://twitter.com/Hendry_VAAN","@Hendry_VAAN")</f>
        <v>@Hendry_VAAN</v>
      </c>
      <c r="C24635" s="8" t="s">
        <v>4477</v>
      </c>
      <c r="D24635" s="8">
        <v>1000</v>
      </c>
      <c r="E24635" s="8">
        <v>0</v>
      </c>
      <c r="F24635" s="8">
        <v>563</v>
      </c>
    </row>
    <row r="24636" spans="1:6" ht="12.75">
      <c r="A24636" s="8">
        <v>43893.337349537032</v>
      </c>
      <c r="B24636" s="8" t="str">
        <f>HYPERLINK("https://twitter.com/Aiek_Channel__","@Aiek_Channel__")</f>
        <v>@Aiek_Channel__</v>
      </c>
      <c r="C24636" s="8" t="s">
        <v>9128</v>
      </c>
      <c r="D24636" s="8">
        <v>18</v>
      </c>
      <c r="E24636" s="8">
        <v>0</v>
      </c>
      <c r="F24636" s="8">
        <v>8943</v>
      </c>
    </row>
    <row r="24637" spans="1:6" ht="12.75">
      <c r="A24637" s="8">
        <v>43893.337222222224</v>
      </c>
      <c r="B24637" s="8" t="str">
        <f>HYPERLINK("https://twitter.com/comrade_ol","@comrade_ol")</f>
        <v>@comrade_ol</v>
      </c>
      <c r="C24637" s="8" t="s">
        <v>4477</v>
      </c>
      <c r="D24637" s="8">
        <v>1000</v>
      </c>
      <c r="E24637" s="8">
        <v>0</v>
      </c>
      <c r="F24637" s="8">
        <v>485</v>
      </c>
    </row>
    <row r="24638" spans="1:6" ht="12.75">
      <c r="A24638" s="8">
        <v>43893.337152777778</v>
      </c>
      <c r="B24638" s="8" t="str">
        <f>HYPERLINK("https://twitter.com/2103_R4CHM4","@2103_R4CHM4")</f>
        <v>@2103_R4CHM4</v>
      </c>
      <c r="C24638" s="8" t="s">
        <v>9128</v>
      </c>
      <c r="D24638" s="8">
        <v>18</v>
      </c>
      <c r="E24638" s="8">
        <v>0</v>
      </c>
      <c r="F24638" s="8">
        <v>2474</v>
      </c>
    </row>
    <row r="24639" spans="1:6" ht="12.75">
      <c r="A24639" s="8">
        <v>43893.337060185186</v>
      </c>
      <c r="B24639" s="8" t="str">
        <f>HYPERLINK("https://twitter.com/chubycheek","@chubycheek")</f>
        <v>@chubycheek</v>
      </c>
      <c r="C24639" s="8" t="s">
        <v>9117</v>
      </c>
      <c r="D24639" s="8">
        <v>288</v>
      </c>
      <c r="E24639" s="8">
        <v>0</v>
      </c>
      <c r="F24639" s="8">
        <v>358</v>
      </c>
    </row>
    <row r="24640" spans="1:6" ht="12.75">
      <c r="A24640" s="8">
        <v>43893.337025462963</v>
      </c>
      <c r="B24640" s="8" t="str">
        <f>HYPERLINK("https://twitter.com/Mutawak10235228","@Mutawak10235228")</f>
        <v>@Mutawak10235228</v>
      </c>
      <c r="C24640" s="8" t="s">
        <v>4477</v>
      </c>
      <c r="D24640" s="8">
        <v>1000</v>
      </c>
      <c r="E24640" s="8">
        <v>0</v>
      </c>
      <c r="F24640" s="8">
        <v>86</v>
      </c>
    </row>
    <row r="24641" spans="1:6" ht="12.75">
      <c r="A24641" s="8">
        <v>43893.337002314816</v>
      </c>
      <c r="B24641" s="8" t="str">
        <f>HYPERLINK("https://twitter.com/furqon_mustanir","@furqon_mustanir")</f>
        <v>@furqon_mustanir</v>
      </c>
      <c r="C24641" s="8" t="s">
        <v>9128</v>
      </c>
      <c r="D24641" s="8">
        <v>18</v>
      </c>
      <c r="E24641" s="8">
        <v>0</v>
      </c>
      <c r="F24641" s="8">
        <v>166</v>
      </c>
    </row>
    <row r="24642" spans="1:6" ht="12.75">
      <c r="A24642" s="8">
        <v>43893.336979166663</v>
      </c>
      <c r="B24642" s="8" t="str">
        <f>HYPERLINK("https://twitter.com/wwinarty_","@wwinarty_")</f>
        <v>@wwinarty_</v>
      </c>
      <c r="C24642" s="8" t="s">
        <v>6832</v>
      </c>
      <c r="D24642" s="8">
        <v>938</v>
      </c>
      <c r="E24642" s="8">
        <v>0</v>
      </c>
      <c r="F24642" s="8">
        <v>166</v>
      </c>
    </row>
    <row r="24643" spans="1:6" ht="12.75">
      <c r="A24643" s="8">
        <v>43893.336967592593</v>
      </c>
      <c r="B24643" s="8" t="str">
        <f>HYPERLINK("https://twitter.com/ranger3672","@ranger3672")</f>
        <v>@ranger3672</v>
      </c>
      <c r="C24643" s="8" t="s">
        <v>7597</v>
      </c>
      <c r="D24643" s="8">
        <v>601</v>
      </c>
      <c r="E24643" s="8">
        <v>0</v>
      </c>
      <c r="F24643" s="8">
        <v>185</v>
      </c>
    </row>
    <row r="24644" spans="1:6" ht="12.75">
      <c r="A24644" s="8">
        <v>43893.336886574078</v>
      </c>
      <c r="B24644" s="8" t="str">
        <f>HYPERLINK("https://twitter.com/AhmadJu50808561","@AhmadJu50808561")</f>
        <v>@AhmadJu50808561</v>
      </c>
      <c r="C24644" s="8" t="s">
        <v>7661</v>
      </c>
      <c r="D24644" s="8">
        <v>414</v>
      </c>
      <c r="E24644" s="8">
        <v>0</v>
      </c>
      <c r="F24644" s="8">
        <v>210</v>
      </c>
    </row>
    <row r="24645" spans="1:6" ht="12.75">
      <c r="A24645" s="8">
        <v>43893.336886574078</v>
      </c>
      <c r="B24645" s="8" t="str">
        <f>HYPERLINK("https://twitter.com/paimin_kang","@paimin_kang")</f>
        <v>@paimin_kang</v>
      </c>
      <c r="C24645" s="8" t="s">
        <v>9870</v>
      </c>
      <c r="D24645" s="8">
        <v>1</v>
      </c>
      <c r="E24645" s="8">
        <v>0</v>
      </c>
      <c r="F24645" s="8">
        <v>58</v>
      </c>
    </row>
    <row r="24646" spans="1:6" ht="12.75">
      <c r="A24646" s="8">
        <v>43893.336886574078</v>
      </c>
      <c r="B24646" s="8" t="str">
        <f>HYPERLINK("https://twitter.com/jahannamh","@jahannamh")</f>
        <v>@jahannamh</v>
      </c>
      <c r="C24646" s="8" t="s">
        <v>4150</v>
      </c>
      <c r="D24646" s="8">
        <v>507</v>
      </c>
      <c r="E24646" s="8">
        <v>0</v>
      </c>
      <c r="F24646" s="8">
        <v>2079</v>
      </c>
    </row>
    <row r="24647" spans="1:6" ht="12.75">
      <c r="A24647" s="8">
        <v>43893.336782407408</v>
      </c>
      <c r="B24647" s="8" t="str">
        <f>HYPERLINK("https://twitter.com/PrajantaDwiki","@PrajantaDwiki")</f>
        <v>@PrajantaDwiki</v>
      </c>
      <c r="C24647" s="8" t="s">
        <v>9194</v>
      </c>
      <c r="D24647" s="8">
        <v>179</v>
      </c>
      <c r="E24647" s="8">
        <v>0</v>
      </c>
      <c r="F24647" s="8">
        <v>268</v>
      </c>
    </row>
    <row r="24648" spans="1:6" ht="12.75">
      <c r="A24648" s="8">
        <v>43893.336689814816</v>
      </c>
      <c r="B24648" s="8" t="str">
        <f>HYPERLINK("https://twitter.com/babolbbl","@babolbbl")</f>
        <v>@babolbbl</v>
      </c>
      <c r="C24648" s="8" t="s">
        <v>1970</v>
      </c>
      <c r="D24648" s="8">
        <v>593</v>
      </c>
      <c r="E24648" s="8">
        <v>0</v>
      </c>
      <c r="F24648" s="8">
        <v>276</v>
      </c>
    </row>
    <row r="24649" spans="1:6" ht="12.75">
      <c r="A24649" s="8">
        <v>43893.336689814816</v>
      </c>
      <c r="B24649" s="8" t="str">
        <f>HYPERLINK("https://twitter.com/AnangSujana","@AnangSujana")</f>
        <v>@AnangSujana</v>
      </c>
      <c r="C24649" s="8" t="s">
        <v>9871</v>
      </c>
      <c r="D24649" s="8">
        <v>0</v>
      </c>
      <c r="E24649" s="8">
        <v>0</v>
      </c>
      <c r="F24649" s="8">
        <v>60123</v>
      </c>
    </row>
    <row r="24650" spans="1:6" ht="12.75">
      <c r="A24650" s="8">
        <v>43893.336678240739</v>
      </c>
      <c r="B24650" s="8" t="str">
        <f>HYPERLINK("https://twitter.com/chatixme","@chatixme")</f>
        <v>@chatixme</v>
      </c>
      <c r="C24650" s="8" t="s">
        <v>2962</v>
      </c>
      <c r="D24650" s="8">
        <v>4985</v>
      </c>
      <c r="E24650" s="8">
        <v>0</v>
      </c>
      <c r="F24650" s="8">
        <v>658</v>
      </c>
    </row>
    <row r="24651" spans="1:6" ht="12.75">
      <c r="A24651" s="8">
        <v>43893.336608796293</v>
      </c>
      <c r="B24651" s="8" t="str">
        <f>HYPERLINK("https://twitter.com/finelissa_","@finelissa_")</f>
        <v>@finelissa_</v>
      </c>
      <c r="C24651" s="8" t="s">
        <v>8737</v>
      </c>
      <c r="D24651" s="8">
        <v>1201</v>
      </c>
      <c r="E24651" s="8">
        <v>0</v>
      </c>
      <c r="F24651" s="8">
        <v>1256</v>
      </c>
    </row>
    <row r="24652" spans="1:6" ht="12.75">
      <c r="A24652" s="8">
        <v>43893.336597222224</v>
      </c>
      <c r="B24652" s="8" t="str">
        <f>HYPERLINK("https://twitter.com/imaji_kata","@imaji_kata")</f>
        <v>@imaji_kata</v>
      </c>
      <c r="C24652" s="8" t="s">
        <v>2962</v>
      </c>
      <c r="D24652" s="8">
        <v>4985</v>
      </c>
      <c r="E24652" s="8">
        <v>0</v>
      </c>
      <c r="F24652" s="8">
        <v>669</v>
      </c>
    </row>
    <row r="24653" spans="1:6" ht="12.75">
      <c r="A24653" s="8">
        <v>43893.336493055554</v>
      </c>
      <c r="B24653" s="8" t="str">
        <f>HYPERLINK("https://twitter.com/larkspoor","@larkspoor")</f>
        <v>@larkspoor</v>
      </c>
      <c r="C24653" s="8" t="s">
        <v>9872</v>
      </c>
      <c r="D24653" s="8">
        <v>0</v>
      </c>
      <c r="E24653" s="8">
        <v>0</v>
      </c>
      <c r="F24653" s="8">
        <v>76</v>
      </c>
    </row>
    <row r="24654" spans="1:6" ht="12.75">
      <c r="A24654" s="8">
        <v>43893.336458333331</v>
      </c>
      <c r="B24654" s="8" t="str">
        <f>HYPERLINK("https://twitter.com/q1w2r3t4y5_","@q1w2r3t4y5_")</f>
        <v>@q1w2r3t4y5_</v>
      </c>
      <c r="C24654" s="8" t="s">
        <v>2962</v>
      </c>
      <c r="D24654" s="8">
        <v>4985</v>
      </c>
      <c r="E24654" s="8">
        <v>0</v>
      </c>
      <c r="F24654" s="8">
        <v>4120</v>
      </c>
    </row>
    <row r="24655" spans="1:6" ht="12.75">
      <c r="A24655" s="8">
        <v>43893.336412037039</v>
      </c>
      <c r="B24655" s="8" t="str">
        <f>HYPERLINK("https://twitter.com/bunk_sh","@bunk_sh")</f>
        <v>@bunk_sh</v>
      </c>
      <c r="C24655" s="8" t="s">
        <v>9128</v>
      </c>
      <c r="D24655" s="8">
        <v>18</v>
      </c>
      <c r="E24655" s="8">
        <v>0</v>
      </c>
      <c r="F24655" s="8">
        <v>413</v>
      </c>
    </row>
    <row r="24656" spans="1:6" ht="12.75">
      <c r="A24656" s="8">
        <v>43893.33630787037</v>
      </c>
      <c r="B24656" s="8" t="str">
        <f>HYPERLINK("https://twitter.com/Iyink7","@Iyink7")</f>
        <v>@Iyink7</v>
      </c>
      <c r="C24656" s="8" t="s">
        <v>9873</v>
      </c>
      <c r="D24656" s="8">
        <v>1</v>
      </c>
      <c r="E24656" s="8">
        <v>0</v>
      </c>
      <c r="F24656" s="8">
        <v>2438</v>
      </c>
    </row>
    <row r="24657" spans="1:6" ht="12.75">
      <c r="A24657" s="8">
        <v>43893.3362962963</v>
      </c>
      <c r="B24657" s="8" t="str">
        <f>HYPERLINK("https://twitter.com/wwinarty_","@wwinarty_")</f>
        <v>@wwinarty_</v>
      </c>
      <c r="C24657" s="8" t="s">
        <v>1970</v>
      </c>
      <c r="D24657" s="8">
        <v>593</v>
      </c>
      <c r="E24657" s="8">
        <v>0</v>
      </c>
      <c r="F24657" s="8">
        <v>166</v>
      </c>
    </row>
    <row r="24658" spans="1:6" ht="12.75">
      <c r="A24658" s="8">
        <v>43893.336238425924</v>
      </c>
      <c r="B24658" s="8" t="str">
        <f>HYPERLINK("https://twitter.com/samvelmania","@samvelmania")</f>
        <v>@samvelmania</v>
      </c>
      <c r="C24658" s="8" t="s">
        <v>7661</v>
      </c>
      <c r="D24658" s="8">
        <v>414</v>
      </c>
      <c r="E24658" s="8">
        <v>0</v>
      </c>
      <c r="F24658" s="8">
        <v>17</v>
      </c>
    </row>
    <row r="24659" spans="1:6" ht="12.75">
      <c r="A24659" s="8">
        <v>43893.336157407408</v>
      </c>
      <c r="B24659" s="8" t="str">
        <f>HYPERLINK("https://twitter.com/jktobservernews","@jktobservernews")</f>
        <v>@jktobservernews</v>
      </c>
      <c r="C24659" s="8" t="s">
        <v>9874</v>
      </c>
      <c r="D24659" s="8">
        <v>0</v>
      </c>
      <c r="E24659" s="8">
        <v>0</v>
      </c>
      <c r="F24659" s="8">
        <v>39</v>
      </c>
    </row>
    <row r="24660" spans="1:6" ht="12.75">
      <c r="A24660" s="8">
        <v>43893.336134259254</v>
      </c>
      <c r="B24660" s="8" t="str">
        <f>HYPERLINK("https://twitter.com/DeffiMasrizal","@DeffiMasrizal")</f>
        <v>@DeffiMasrizal</v>
      </c>
      <c r="C24660" s="8" t="s">
        <v>9128</v>
      </c>
      <c r="D24660" s="8">
        <v>18</v>
      </c>
      <c r="E24660" s="8">
        <v>0</v>
      </c>
      <c r="F24660" s="8">
        <v>5909</v>
      </c>
    </row>
    <row r="24661" spans="1:6" ht="12.75">
      <c r="A24661" s="8">
        <v>43893.336053240739</v>
      </c>
      <c r="B24661" s="8" t="str">
        <f>HYPERLINK("https://twitter.com/pujinseokjin","@pujinseokjin")</f>
        <v>@pujinseokjin</v>
      </c>
      <c r="C24661" s="8" t="s">
        <v>9875</v>
      </c>
      <c r="D24661" s="8">
        <v>0</v>
      </c>
      <c r="E24661" s="8">
        <v>0</v>
      </c>
      <c r="F24661" s="8">
        <v>84</v>
      </c>
    </row>
    <row r="24662" spans="1:6" ht="12.75">
      <c r="A24662" s="8">
        <v>43893.336041666669</v>
      </c>
      <c r="B24662" s="8" t="str">
        <f>HYPERLINK("https://twitter.com/rowby_jr","@rowby_jr")</f>
        <v>@rowby_jr</v>
      </c>
      <c r="C24662" s="8" t="s">
        <v>9876</v>
      </c>
      <c r="D24662" s="8">
        <v>0</v>
      </c>
      <c r="E24662" s="8">
        <v>0</v>
      </c>
      <c r="F24662" s="8">
        <v>7</v>
      </c>
    </row>
    <row r="24663" spans="1:6" ht="12.75">
      <c r="A24663" s="8">
        <v>43893.336030092592</v>
      </c>
      <c r="B24663" s="8" t="str">
        <f>HYPERLINK("https://twitter.com/kafara666","@kafara666")</f>
        <v>@kafara666</v>
      </c>
      <c r="C24663" s="8" t="s">
        <v>9877</v>
      </c>
      <c r="D24663" s="8">
        <v>0</v>
      </c>
      <c r="E24663" s="8">
        <v>0</v>
      </c>
      <c r="F24663" s="8">
        <v>74</v>
      </c>
    </row>
    <row r="24664" spans="1:6" ht="12.75">
      <c r="A24664" s="8">
        <v>43893.336006944446</v>
      </c>
      <c r="B24664" s="8" t="str">
        <f>HYPERLINK("https://twitter.com/ossas61164868","@ossas61164868")</f>
        <v>@ossas61164868</v>
      </c>
      <c r="C24664" s="8" t="s">
        <v>2199</v>
      </c>
      <c r="D24664" s="8">
        <v>8659</v>
      </c>
      <c r="E24664" s="8">
        <v>0</v>
      </c>
      <c r="F24664" s="8">
        <v>5</v>
      </c>
    </row>
    <row r="24665" spans="1:6" ht="12.75">
      <c r="A24665" s="8">
        <v>43893.335983796293</v>
      </c>
      <c r="B24665" s="8" t="str">
        <f>HYPERLINK("https://twitter.com/shintatom","@shintatom")</f>
        <v>@shintatom</v>
      </c>
      <c r="C24665" s="8" t="s">
        <v>2199</v>
      </c>
      <c r="D24665" s="8">
        <v>8659</v>
      </c>
      <c r="E24665" s="8">
        <v>0</v>
      </c>
      <c r="F24665" s="8">
        <v>767</v>
      </c>
    </row>
    <row r="24666" spans="1:6" ht="12.75">
      <c r="A24666" s="8">
        <v>43893.335960648154</v>
      </c>
      <c r="B24666" s="8" t="str">
        <f>HYPERLINK("https://twitter.com/_Naoliviea__","@_Naoliviea__")</f>
        <v>@_Naoliviea__</v>
      </c>
      <c r="C24666" s="8" t="s">
        <v>9128</v>
      </c>
      <c r="D24666" s="8">
        <v>18</v>
      </c>
      <c r="E24666" s="8">
        <v>0</v>
      </c>
      <c r="F24666" s="8">
        <v>15662</v>
      </c>
    </row>
    <row r="24667" spans="1:6" ht="12.75">
      <c r="A24667" s="8">
        <v>43893.335844907408</v>
      </c>
      <c r="B24667" s="8" t="str">
        <f>HYPERLINK("https://twitter.com/Kadrun25433555","@Kadrun25433555")</f>
        <v>@Kadrun25433555</v>
      </c>
      <c r="C24667" s="8" t="s">
        <v>9123</v>
      </c>
      <c r="D24667" s="8">
        <v>389</v>
      </c>
      <c r="E24667" s="8">
        <v>0</v>
      </c>
      <c r="F24667" s="8">
        <v>94</v>
      </c>
    </row>
    <row r="24668" spans="1:6" ht="12.75">
      <c r="A24668" s="8">
        <v>43893.335810185185</v>
      </c>
      <c r="B24668" s="8" t="str">
        <f>HYPERLINK("https://twitter.com/fuarah","@fuarah")</f>
        <v>@fuarah</v>
      </c>
      <c r="C24668" s="8" t="s">
        <v>2199</v>
      </c>
      <c r="D24668" s="8">
        <v>8659</v>
      </c>
      <c r="E24668" s="8">
        <v>0</v>
      </c>
      <c r="F24668" s="8">
        <v>42</v>
      </c>
    </row>
    <row r="24669" spans="1:6" ht="12.75">
      <c r="A24669" s="8">
        <v>43893.335729166662</v>
      </c>
      <c r="B24669" s="8" t="str">
        <f>HYPERLINK("https://twitter.com/_Wiwis_Mbecak","@_Wiwis_Mbecak")</f>
        <v>@_Wiwis_Mbecak</v>
      </c>
      <c r="C24669" s="8" t="s">
        <v>9128</v>
      </c>
      <c r="D24669" s="8">
        <v>18</v>
      </c>
      <c r="E24669" s="8">
        <v>0</v>
      </c>
      <c r="F24669" s="8">
        <v>6664</v>
      </c>
    </row>
    <row r="24670" spans="1:6" ht="12.75">
      <c r="A24670" s="8">
        <v>43893.335717592592</v>
      </c>
      <c r="B24670" s="8" t="str">
        <f>HYPERLINK("https://twitter.com/kafara666","@kafara666")</f>
        <v>@kafara666</v>
      </c>
      <c r="C24670" s="8" t="s">
        <v>1986</v>
      </c>
      <c r="D24670" s="8">
        <v>654</v>
      </c>
      <c r="E24670" s="8">
        <v>0</v>
      </c>
      <c r="F24670" s="8">
        <v>74</v>
      </c>
    </row>
    <row r="24671" spans="1:6" ht="12.75">
      <c r="A24671" s="8">
        <v>43893.335717592592</v>
      </c>
      <c r="B24671" s="8" t="str">
        <f>HYPERLINK("https://twitter.com/robby_karman","@robby_karman")</f>
        <v>@robby_karman</v>
      </c>
      <c r="C24671" s="8" t="s">
        <v>7197</v>
      </c>
      <c r="D24671" s="8">
        <v>26</v>
      </c>
      <c r="E24671" s="8">
        <v>0</v>
      </c>
      <c r="F24671" s="8">
        <v>513</v>
      </c>
    </row>
    <row r="24672" spans="1:6" ht="12.75">
      <c r="A24672" s="8">
        <v>43893.335659722223</v>
      </c>
      <c r="B24672" s="8" t="str">
        <f>HYPERLINK("https://twitter.com/Anto18167604","@Anto18167604")</f>
        <v>@Anto18167604</v>
      </c>
      <c r="C24672" s="8" t="s">
        <v>9128</v>
      </c>
      <c r="D24672" s="8">
        <v>18</v>
      </c>
      <c r="E24672" s="8">
        <v>0</v>
      </c>
      <c r="F24672" s="8">
        <v>2405</v>
      </c>
    </row>
    <row r="24673" spans="1:6" ht="12.75">
      <c r="A24673" s="8">
        <v>43893.335648148146</v>
      </c>
      <c r="B24673" s="8" t="str">
        <f>HYPERLINK("https://twitter.com/EndangT49537231","@EndangT49537231")</f>
        <v>@EndangT49537231</v>
      </c>
      <c r="C24673" s="8" t="s">
        <v>6971</v>
      </c>
      <c r="D24673" s="8">
        <v>239</v>
      </c>
      <c r="E24673" s="8">
        <v>0</v>
      </c>
      <c r="F24673" s="8">
        <v>55</v>
      </c>
    </row>
    <row r="24674" spans="1:6" ht="12.75">
      <c r="A24674" s="8">
        <v>43893.33556712963</v>
      </c>
      <c r="B24674" s="8" t="str">
        <f>HYPERLINK("https://twitter.com/nimal05","@nimal05")</f>
        <v>@nimal05</v>
      </c>
      <c r="C24674" s="8" t="s">
        <v>7197</v>
      </c>
      <c r="D24674" s="8">
        <v>26</v>
      </c>
      <c r="E24674" s="8">
        <v>0</v>
      </c>
      <c r="F24674" s="8">
        <v>544</v>
      </c>
    </row>
    <row r="24675" spans="1:6" ht="12.75">
      <c r="A24675" s="8">
        <v>43893.335543981477</v>
      </c>
      <c r="B24675" s="8" t="str">
        <f>HYPERLINK("https://twitter.com/tukangbotol","@tukangbotol")</f>
        <v>@tukangbotol</v>
      </c>
      <c r="C24675" s="8" t="s">
        <v>1970</v>
      </c>
      <c r="D24675" s="8">
        <v>593</v>
      </c>
      <c r="E24675" s="8">
        <v>0</v>
      </c>
      <c r="F24675" s="8">
        <v>10</v>
      </c>
    </row>
    <row r="24676" spans="1:6" ht="12.75">
      <c r="A24676" s="8">
        <v>43893.33530092593</v>
      </c>
      <c r="B24676" s="8" t="str">
        <f>HYPERLINK("https://twitter.com/Julia_Zeed","@Julia_Zeed")</f>
        <v>@Julia_Zeed</v>
      </c>
      <c r="C24676" s="8" t="s">
        <v>9878</v>
      </c>
      <c r="D24676" s="8">
        <v>0</v>
      </c>
      <c r="E24676" s="8">
        <v>9</v>
      </c>
      <c r="F24676" s="8">
        <v>2777</v>
      </c>
    </row>
    <row r="24677" spans="1:6" ht="12.75">
      <c r="A24677" s="8">
        <v>43893.335231481484</v>
      </c>
      <c r="B24677" s="8" t="str">
        <f>HYPERLINK("https://twitter.com/mulaidari0","@mulaidari0")</f>
        <v>@mulaidari0</v>
      </c>
      <c r="C24677" s="8" t="s">
        <v>1970</v>
      </c>
      <c r="D24677" s="8">
        <v>593</v>
      </c>
      <c r="E24677" s="8">
        <v>0</v>
      </c>
      <c r="F24677" s="8">
        <v>88</v>
      </c>
    </row>
    <row r="24678" spans="1:6" ht="12.75">
      <c r="A24678" s="8">
        <v>43893.335219907407</v>
      </c>
      <c r="B24678" s="8" t="str">
        <f>HYPERLINK("https://twitter.com/todayis_qony","@todayis_qony")</f>
        <v>@todayis_qony</v>
      </c>
      <c r="C24678" s="8" t="s">
        <v>9879</v>
      </c>
      <c r="D24678" s="8">
        <v>0</v>
      </c>
      <c r="E24678" s="8">
        <v>0</v>
      </c>
      <c r="F24678" s="8">
        <v>333</v>
      </c>
    </row>
    <row r="24679" spans="1:6" ht="12.75">
      <c r="A24679" s="8">
        <v>43893.335196759261</v>
      </c>
      <c r="B24679" s="8" t="str">
        <f>HYPERLINK("https://twitter.com/erinsnote","@erinsnote")</f>
        <v>@erinsnote</v>
      </c>
      <c r="C24679" s="8" t="s">
        <v>9880</v>
      </c>
      <c r="D24679" s="8">
        <v>0</v>
      </c>
      <c r="E24679" s="8">
        <v>0</v>
      </c>
      <c r="F24679" s="8">
        <v>1845</v>
      </c>
    </row>
    <row r="24680" spans="1:6" ht="12.75">
      <c r="A24680" s="8">
        <v>43893.298495370371</v>
      </c>
      <c r="B24680" s="8" t="str">
        <f>HYPERLINK("https://twitter.com/idpenamini","@idpenamini")</f>
        <v>@idpenamini</v>
      </c>
      <c r="C24680" s="8" t="s">
        <v>9881</v>
      </c>
      <c r="D24680" s="8">
        <v>0</v>
      </c>
      <c r="E24680" s="8">
        <v>0</v>
      </c>
      <c r="F24680" s="8">
        <v>173</v>
      </c>
    </row>
    <row r="24681" spans="1:6" ht="12.75">
      <c r="A24681" s="8">
        <v>43893.298449074078</v>
      </c>
      <c r="B24681" s="8" t="str">
        <f>HYPERLINK("https://twitter.com/satriyalegawa","@satriyalegawa")</f>
        <v>@satriyalegawa</v>
      </c>
      <c r="C24681" s="8" t="s">
        <v>2962</v>
      </c>
      <c r="D24681" s="8">
        <v>4860</v>
      </c>
      <c r="E24681" s="8">
        <v>0</v>
      </c>
      <c r="F24681" s="8">
        <v>792</v>
      </c>
    </row>
    <row r="24682" spans="1:6" ht="12.75">
      <c r="A24682" s="8">
        <v>43893.298391203702</v>
      </c>
      <c r="B24682" s="8" t="str">
        <f>HYPERLINK("https://twitter.com/sorotnews","@sorotnews")</f>
        <v>@sorotnews</v>
      </c>
      <c r="C24682" s="8" t="s">
        <v>9882</v>
      </c>
      <c r="D24682" s="8">
        <v>0</v>
      </c>
      <c r="E24682" s="8">
        <v>0</v>
      </c>
      <c r="F24682" s="8">
        <v>3715</v>
      </c>
    </row>
    <row r="24683" spans="1:6" ht="12.75">
      <c r="A24683" s="8">
        <v>43893.298333333332</v>
      </c>
      <c r="B24683" s="8" t="str">
        <f>HYPERLINK("https://twitter.com/silva_sae","@silva_sae")</f>
        <v>@silva_sae</v>
      </c>
      <c r="C24683" s="8" t="s">
        <v>9883</v>
      </c>
      <c r="D24683" s="8">
        <v>5</v>
      </c>
      <c r="E24683" s="8">
        <v>0</v>
      </c>
      <c r="F24683" s="8">
        <v>28</v>
      </c>
    </row>
    <row r="24684" spans="1:6" ht="12.75">
      <c r="A24684" s="8">
        <v>43893.298310185186</v>
      </c>
      <c r="B24684" s="8" t="str">
        <f>HYPERLINK("https://twitter.com/rie_sang","@rie_sang")</f>
        <v>@rie_sang</v>
      </c>
      <c r="C24684" s="8" t="s">
        <v>4477</v>
      </c>
      <c r="D24684" s="8">
        <v>959</v>
      </c>
      <c r="E24684" s="8">
        <v>0</v>
      </c>
      <c r="F24684" s="8">
        <v>177</v>
      </c>
    </row>
    <row r="24685" spans="1:6" ht="12.75">
      <c r="A24685" s="8">
        <v>43893.298171296294</v>
      </c>
      <c r="B24685" s="8" t="str">
        <f>HYPERLINK("https://twitter.com/Alex27008156","@Alex27008156")</f>
        <v>@Alex27008156</v>
      </c>
      <c r="C24685" s="8" t="s">
        <v>8322</v>
      </c>
      <c r="D24685" s="8">
        <v>660</v>
      </c>
      <c r="E24685" s="8">
        <v>0</v>
      </c>
      <c r="F24685" s="8">
        <v>574</v>
      </c>
    </row>
    <row r="24686" spans="1:6" ht="12.75">
      <c r="A24686" s="8">
        <v>43893.298113425924</v>
      </c>
      <c r="B24686" s="8" t="str">
        <f>HYPERLINK("https://twitter.com/avvrara","@avvrara")</f>
        <v>@avvrara</v>
      </c>
      <c r="C24686" s="8" t="s">
        <v>9159</v>
      </c>
      <c r="D24686" s="8">
        <v>3</v>
      </c>
      <c r="E24686" s="8">
        <v>0</v>
      </c>
      <c r="F24686" s="8">
        <v>74</v>
      </c>
    </row>
    <row r="24687" spans="1:6" ht="12.75">
      <c r="A24687" s="8">
        <v>43893.297974537039</v>
      </c>
      <c r="B24687" s="8" t="str">
        <f>HYPERLINK("https://twitter.com/TitiwAkmar","@TitiwAkmar")</f>
        <v>@TitiwAkmar</v>
      </c>
      <c r="C24687" s="8" t="s">
        <v>9117</v>
      </c>
      <c r="D24687" s="8">
        <v>259</v>
      </c>
      <c r="E24687" s="8">
        <v>0</v>
      </c>
      <c r="F24687" s="8">
        <v>6365</v>
      </c>
    </row>
    <row r="24688" spans="1:6" ht="12.75">
      <c r="A24688" s="8">
        <v>43893.297800925924</v>
      </c>
      <c r="B24688" s="8" t="str">
        <f>HYPERLINK("https://twitter.com/kautsardiaz","@kautsardiaz")</f>
        <v>@kautsardiaz</v>
      </c>
      <c r="C24688" s="8" t="s">
        <v>9884</v>
      </c>
      <c r="D24688" s="8">
        <v>0</v>
      </c>
      <c r="E24688" s="8">
        <v>0</v>
      </c>
      <c r="F24688" s="8">
        <v>434</v>
      </c>
    </row>
    <row r="24689" spans="1:6" ht="12.75">
      <c r="A24689" s="8">
        <v>43893.297766203701</v>
      </c>
      <c r="B24689" s="8" t="str">
        <f>HYPERLINK("https://twitter.com/ganjarasandi","@ganjarasandi")</f>
        <v>@ganjarasandi</v>
      </c>
      <c r="C24689" s="8" t="s">
        <v>2272</v>
      </c>
      <c r="D24689" s="8">
        <v>1021</v>
      </c>
      <c r="E24689" s="8">
        <v>0</v>
      </c>
      <c r="F24689" s="8">
        <v>544</v>
      </c>
    </row>
    <row r="24690" spans="1:6" ht="12.75">
      <c r="A24690" s="8">
        <v>43893.297581018516</v>
      </c>
      <c r="B24690" s="8" t="str">
        <f>HYPERLINK("https://twitter.com/noeytizen1001","@noeytizen1001")</f>
        <v>@noeytizen1001</v>
      </c>
      <c r="C24690" s="8" t="s">
        <v>1970</v>
      </c>
      <c r="D24690" s="8">
        <v>464</v>
      </c>
      <c r="E24690" s="8">
        <v>0</v>
      </c>
      <c r="F24690" s="8">
        <v>1994</v>
      </c>
    </row>
    <row r="24691" spans="1:6" ht="12.75">
      <c r="A24691" s="8">
        <v>43893.297395833331</v>
      </c>
      <c r="B24691" s="8" t="str">
        <f>HYPERLINK("https://twitter.com/akaacha_","@akaacha_")</f>
        <v>@akaacha_</v>
      </c>
      <c r="C24691" s="8" t="s">
        <v>2199</v>
      </c>
      <c r="D24691" s="8">
        <v>8592</v>
      </c>
      <c r="E24691" s="8">
        <v>0</v>
      </c>
      <c r="F24691" s="8">
        <v>204</v>
      </c>
    </row>
    <row r="24692" spans="1:6" ht="12.75">
      <c r="A24692" s="8">
        <v>43893.297337962962</v>
      </c>
      <c r="B24692" s="8" t="str">
        <f>HYPERLINK("https://twitter.com/BintoroReina","@BintoroReina")</f>
        <v>@BintoroReina</v>
      </c>
      <c r="C24692" s="8" t="s">
        <v>9885</v>
      </c>
      <c r="D24692" s="8">
        <v>9</v>
      </c>
      <c r="E24692" s="8">
        <v>0</v>
      </c>
      <c r="F24692" s="8">
        <v>36</v>
      </c>
    </row>
    <row r="24693" spans="1:6" ht="12.75">
      <c r="A24693" s="8">
        <v>43893.297326388885</v>
      </c>
      <c r="B24693" s="8" t="str">
        <f>HYPERLINK("https://twitter.com/morethanndi","@morethanndi")</f>
        <v>@morethanndi</v>
      </c>
      <c r="C24693" s="8" t="s">
        <v>2962</v>
      </c>
      <c r="D24693" s="8">
        <v>4860</v>
      </c>
      <c r="E24693" s="8">
        <v>0</v>
      </c>
      <c r="F24693" s="8">
        <v>5</v>
      </c>
    </row>
    <row r="24694" spans="1:6" ht="12.75">
      <c r="A24694" s="8">
        <v>43893.297303240739</v>
      </c>
      <c r="B24694" s="8" t="str">
        <f>HYPERLINK("https://twitter.com/Melliy_Na","@Melliy_Na")</f>
        <v>@Melliy_Na</v>
      </c>
      <c r="C24694" s="8" t="s">
        <v>2199</v>
      </c>
      <c r="D24694" s="8">
        <v>8592</v>
      </c>
      <c r="E24694" s="8">
        <v>0</v>
      </c>
      <c r="F24694" s="8">
        <v>22</v>
      </c>
    </row>
    <row r="24695" spans="1:6" ht="12.75">
      <c r="A24695" s="8">
        <v>43893.297256944439</v>
      </c>
      <c r="B24695" s="8" t="str">
        <f>HYPERLINK("https://twitter.com/MRahekal","@MRahekal")</f>
        <v>@MRahekal</v>
      </c>
      <c r="C24695" s="8" t="s">
        <v>4990</v>
      </c>
      <c r="D24695" s="8">
        <v>437</v>
      </c>
      <c r="E24695" s="8">
        <v>0</v>
      </c>
      <c r="F24695" s="8">
        <v>67</v>
      </c>
    </row>
    <row r="24696" spans="1:6" ht="12.75">
      <c r="A24696" s="8">
        <v>43893.2972337963</v>
      </c>
      <c r="B24696" s="8" t="str">
        <f>HYPERLINK("https://twitter.com/BintoroReina","@BintoroReina")</f>
        <v>@BintoroReina</v>
      </c>
      <c r="C24696" s="8" t="s">
        <v>9595</v>
      </c>
      <c r="D24696" s="8">
        <v>35</v>
      </c>
      <c r="E24696" s="8">
        <v>0</v>
      </c>
      <c r="F24696" s="8">
        <v>36</v>
      </c>
    </row>
    <row r="24697" spans="1:6" ht="12.75">
      <c r="A24697" s="8">
        <v>43893.297060185185</v>
      </c>
      <c r="B24697" s="8" t="str">
        <f>HYPERLINK("https://twitter.com/breathleslayer","@breathleslayer")</f>
        <v>@breathleslayer</v>
      </c>
      <c r="C24697" s="8" t="s">
        <v>1427</v>
      </c>
      <c r="D24697" s="8">
        <v>679</v>
      </c>
      <c r="E24697" s="8">
        <v>0</v>
      </c>
      <c r="F24697" s="8">
        <v>421</v>
      </c>
    </row>
    <row r="24698" spans="1:6" ht="12.75">
      <c r="A24698" s="8">
        <v>43893.296979166669</v>
      </c>
      <c r="B24698" s="8" t="str">
        <f>HYPERLINK("https://twitter.com/ElangIslamy","@ElangIslamy")</f>
        <v>@ElangIslamy</v>
      </c>
      <c r="C24698" s="8" t="s">
        <v>9886</v>
      </c>
      <c r="D24698" s="8">
        <v>0</v>
      </c>
      <c r="E24698" s="8">
        <v>0</v>
      </c>
      <c r="F24698" s="8">
        <v>87</v>
      </c>
    </row>
    <row r="24699" spans="1:6" ht="12.75">
      <c r="A24699" s="8">
        <v>43893.296921296293</v>
      </c>
      <c r="B24699" s="8" t="str">
        <f>HYPERLINK("https://twitter.com/puttyasrii","@puttyasrii")</f>
        <v>@puttyasrii</v>
      </c>
      <c r="C24699" s="8" t="s">
        <v>2199</v>
      </c>
      <c r="D24699" s="8">
        <v>8592</v>
      </c>
      <c r="E24699" s="8">
        <v>0</v>
      </c>
      <c r="F24699" s="8">
        <v>1440</v>
      </c>
    </row>
    <row r="24700" spans="1:6" ht="12.75">
      <c r="A24700" s="8">
        <v>43893.296909722223</v>
      </c>
      <c r="B24700" s="8" t="str">
        <f>HYPERLINK("https://twitter.com/SupriSan2","@SupriSan2")</f>
        <v>@SupriSan2</v>
      </c>
      <c r="C24700" s="8" t="s">
        <v>1970</v>
      </c>
      <c r="D24700" s="8">
        <v>464</v>
      </c>
      <c r="E24700" s="8">
        <v>0</v>
      </c>
      <c r="F24700" s="8">
        <v>326</v>
      </c>
    </row>
    <row r="24701" spans="1:6" ht="12.75">
      <c r="A24701" s="8">
        <v>43893.296898148154</v>
      </c>
      <c r="B24701" s="8" t="str">
        <f>HYPERLINK("https://twitter.com/bangyos59","@bangyos59")</f>
        <v>@bangyos59</v>
      </c>
      <c r="C24701" s="8" t="s">
        <v>2962</v>
      </c>
      <c r="D24701" s="8">
        <v>4860</v>
      </c>
      <c r="E24701" s="8">
        <v>0</v>
      </c>
      <c r="F24701" s="8">
        <v>644</v>
      </c>
    </row>
    <row r="24702" spans="1:6" ht="12.75">
      <c r="A24702" s="8">
        <v>43893.296898148154</v>
      </c>
      <c r="B24702" s="8" t="str">
        <f>HYPERLINK("https://twitter.com/dstiaap","@dstiaap")</f>
        <v>@dstiaap</v>
      </c>
      <c r="C24702" s="8" t="s">
        <v>1427</v>
      </c>
      <c r="D24702" s="8">
        <v>679</v>
      </c>
      <c r="E24702" s="8">
        <v>0</v>
      </c>
      <c r="F24702" s="8">
        <v>614</v>
      </c>
    </row>
    <row r="24703" spans="1:6" ht="12.75">
      <c r="A24703" s="8">
        <v>43893.296851851846</v>
      </c>
      <c r="B24703" s="8" t="str">
        <f>HYPERLINK("https://twitter.com/Blegodesign","@Blegodesign")</f>
        <v>@Blegodesign</v>
      </c>
      <c r="C24703" s="8" t="s">
        <v>1986</v>
      </c>
      <c r="D24703" s="8">
        <v>619</v>
      </c>
      <c r="E24703" s="8">
        <v>0</v>
      </c>
      <c r="F24703" s="8">
        <v>469</v>
      </c>
    </row>
    <row r="24704" spans="1:6" ht="12.75">
      <c r="A24704" s="8">
        <v>43893.296782407408</v>
      </c>
      <c r="B24704" s="8" t="str">
        <f>HYPERLINK("https://twitter.com/dhitayang","@dhitayang")</f>
        <v>@dhitayang</v>
      </c>
      <c r="C24704" s="8" t="s">
        <v>1427</v>
      </c>
      <c r="D24704" s="8">
        <v>679</v>
      </c>
      <c r="E24704" s="8">
        <v>0</v>
      </c>
      <c r="F24704" s="8">
        <v>428</v>
      </c>
    </row>
    <row r="24705" spans="1:6" ht="12.75">
      <c r="A24705" s="8">
        <v>43893.296747685185</v>
      </c>
      <c r="B24705" s="8" t="str">
        <f>HYPERLINK("https://twitter.com/wdwidaa","@wdwidaa")</f>
        <v>@wdwidaa</v>
      </c>
      <c r="C24705" s="8" t="s">
        <v>9117</v>
      </c>
      <c r="D24705" s="8">
        <v>259</v>
      </c>
      <c r="E24705" s="8">
        <v>0</v>
      </c>
      <c r="F24705" s="8">
        <v>668</v>
      </c>
    </row>
    <row r="24706" spans="1:6" ht="12.75">
      <c r="A24706" s="8">
        <v>43893.296701388885</v>
      </c>
      <c r="B24706" s="8" t="str">
        <f>HYPERLINK("https://twitter.com/oswaldamned","@oswaldamned")</f>
        <v>@oswaldamned</v>
      </c>
      <c r="C24706" s="8" t="s">
        <v>2962</v>
      </c>
      <c r="D24706" s="8">
        <v>4860</v>
      </c>
      <c r="E24706" s="8">
        <v>0</v>
      </c>
      <c r="F24706" s="8">
        <v>794</v>
      </c>
    </row>
    <row r="24707" spans="1:6" ht="12.75">
      <c r="A24707" s="8">
        <v>43893.296655092592</v>
      </c>
      <c r="B24707" s="8" t="str">
        <f>HYPERLINK("https://twitter.com/tubuhqkuat","@tubuhqkuat")</f>
        <v>@tubuhqkuat</v>
      </c>
      <c r="C24707" s="8" t="s">
        <v>2199</v>
      </c>
      <c r="D24707" s="8">
        <v>8592</v>
      </c>
      <c r="E24707" s="8">
        <v>0</v>
      </c>
      <c r="F24707" s="8">
        <v>170</v>
      </c>
    </row>
    <row r="24708" spans="1:6" ht="12.75">
      <c r="A24708" s="8">
        <v>43893.2965625</v>
      </c>
      <c r="B24708" s="8" t="str">
        <f>HYPERLINK("https://twitter.com/Macan4sia","@Macan4sia")</f>
        <v>@Macan4sia</v>
      </c>
      <c r="C24708" s="8" t="s">
        <v>9887</v>
      </c>
      <c r="D24708" s="8">
        <v>0</v>
      </c>
      <c r="E24708" s="8">
        <v>0</v>
      </c>
      <c r="F24708" s="8">
        <v>189</v>
      </c>
    </row>
    <row r="24709" spans="1:6" ht="12.75">
      <c r="A24709" s="8">
        <v>43893.296550925923</v>
      </c>
      <c r="B24709" s="8" t="str">
        <f>HYPERLINK("https://twitter.com/chuketto","@chuketto")</f>
        <v>@chuketto</v>
      </c>
      <c r="C24709" s="8" t="s">
        <v>2199</v>
      </c>
      <c r="D24709" s="8">
        <v>8592</v>
      </c>
      <c r="E24709" s="8">
        <v>0</v>
      </c>
      <c r="F24709" s="8">
        <v>268</v>
      </c>
    </row>
    <row r="24710" spans="1:6" ht="12.75">
      <c r="A24710" s="8">
        <v>43893.296493055561</v>
      </c>
      <c r="B24710" s="8" t="str">
        <f>HYPERLINK("https://twitter.com/royhanBTW","@royhanBTW")</f>
        <v>@royhanBTW</v>
      </c>
      <c r="C24710" s="8" t="s">
        <v>1970</v>
      </c>
      <c r="D24710" s="8">
        <v>464</v>
      </c>
      <c r="E24710" s="8">
        <v>0</v>
      </c>
      <c r="F24710" s="8">
        <v>57</v>
      </c>
    </row>
    <row r="24711" spans="1:6" ht="12.75">
      <c r="A24711" s="8">
        <v>43893.296469907407</v>
      </c>
      <c r="B24711" s="8" t="str">
        <f>HYPERLINK("https://twitter.com/Parksooya1","@Parksooya1")</f>
        <v>@Parksooya1</v>
      </c>
      <c r="C24711" s="8" t="s">
        <v>2962</v>
      </c>
      <c r="D24711" s="8">
        <v>4860</v>
      </c>
      <c r="E24711" s="8">
        <v>0</v>
      </c>
      <c r="F24711" s="8">
        <v>161</v>
      </c>
    </row>
    <row r="24712" spans="1:6" ht="12.75">
      <c r="A24712" s="8">
        <v>43893.296365740738</v>
      </c>
      <c r="B24712" s="8" t="str">
        <f>HYPERLINK("https://twitter.com/intandwr__","@intandwr__")</f>
        <v>@intandwr__</v>
      </c>
      <c r="C24712" s="8" t="s">
        <v>1427</v>
      </c>
      <c r="D24712" s="8">
        <v>679</v>
      </c>
      <c r="E24712" s="8">
        <v>0</v>
      </c>
      <c r="F24712" s="8">
        <v>955</v>
      </c>
    </row>
    <row r="24713" spans="1:6" ht="12.75">
      <c r="A24713" s="8">
        <v>43893.29623842593</v>
      </c>
      <c r="B24713" s="8" t="str">
        <f>HYPERLINK("https://twitter.com/enigma_nikenko","@enigma_nikenko")</f>
        <v>@enigma_nikenko</v>
      </c>
      <c r="C24713" s="8" t="s">
        <v>9888</v>
      </c>
      <c r="D24713" s="8">
        <v>7</v>
      </c>
      <c r="E24713" s="8">
        <v>0</v>
      </c>
      <c r="F24713" s="8">
        <v>214</v>
      </c>
    </row>
    <row r="24714" spans="1:6" ht="12.75">
      <c r="A24714" s="8">
        <v>43893.29619212963</v>
      </c>
      <c r="B24714" s="8" t="str">
        <f>HYPERLINK("https://twitter.com/limitlesstype","@limitlesstype")</f>
        <v>@limitlesstype</v>
      </c>
      <c r="C24714" s="8" t="s">
        <v>2962</v>
      </c>
      <c r="D24714" s="8">
        <v>4860</v>
      </c>
      <c r="E24714" s="8">
        <v>0</v>
      </c>
      <c r="F24714" s="8">
        <v>796</v>
      </c>
    </row>
    <row r="24715" spans="1:6" ht="12.75">
      <c r="A24715" s="8">
        <v>43893.296180555553</v>
      </c>
      <c r="B24715" s="8" t="str">
        <f>HYPERLINK("https://twitter.com/subchi20","@subchi20")</f>
        <v>@subchi20</v>
      </c>
      <c r="C24715" s="8" t="s">
        <v>1970</v>
      </c>
      <c r="D24715" s="8">
        <v>464</v>
      </c>
      <c r="E24715" s="8">
        <v>0</v>
      </c>
      <c r="F24715" s="8">
        <v>886</v>
      </c>
    </row>
    <row r="24716" spans="1:6" ht="12.75">
      <c r="A24716" s="8">
        <v>43893.296041666668</v>
      </c>
      <c r="B24716" s="8" t="str">
        <f>HYPERLINK("https://twitter.com/NurThara","@NurThara")</f>
        <v>@NurThara</v>
      </c>
      <c r="C24716" s="8" t="s">
        <v>1970</v>
      </c>
      <c r="D24716" s="8">
        <v>464</v>
      </c>
      <c r="E24716" s="8">
        <v>0</v>
      </c>
      <c r="F24716" s="8">
        <v>414</v>
      </c>
    </row>
    <row r="24717" spans="1:6" ht="12.75">
      <c r="A24717" s="8">
        <v>43893.295983796299</v>
      </c>
      <c r="B24717" s="8" t="str">
        <f>HYPERLINK("https://twitter.com/qwsadgurl","@qwsadgurl")</f>
        <v>@qwsadgurl</v>
      </c>
      <c r="C24717" s="8" t="s">
        <v>2199</v>
      </c>
      <c r="D24717" s="8">
        <v>8592</v>
      </c>
      <c r="E24717" s="8">
        <v>0</v>
      </c>
      <c r="F24717" s="8">
        <v>268</v>
      </c>
    </row>
    <row r="24718" spans="1:6" ht="12.75">
      <c r="A24718" s="8">
        <v>43893.295902777776</v>
      </c>
      <c r="B24718" s="8" t="str">
        <f>HYPERLINK("https://twitter.com/Anto07233406","@Anto07233406")</f>
        <v>@Anto07233406</v>
      </c>
      <c r="C24718" s="8" t="s">
        <v>9889</v>
      </c>
      <c r="D24718" s="8">
        <v>0</v>
      </c>
      <c r="E24718" s="8">
        <v>0</v>
      </c>
      <c r="F24718" s="8">
        <v>1</v>
      </c>
    </row>
    <row r="24719" spans="1:6" ht="12.75">
      <c r="A24719" s="8">
        <v>43893.29582175926</v>
      </c>
      <c r="B24719" s="8" t="str">
        <f>HYPERLINK("https://twitter.com/cea47143f9d249f","@cea47143f9d249f")</f>
        <v>@cea47143f9d249f</v>
      </c>
      <c r="C24719" s="8" t="s">
        <v>1970</v>
      </c>
      <c r="D24719" s="8">
        <v>464</v>
      </c>
      <c r="E24719" s="8">
        <v>0</v>
      </c>
      <c r="F24719" s="8">
        <v>22</v>
      </c>
    </row>
    <row r="24720" spans="1:6" ht="12.75">
      <c r="A24720" s="8">
        <v>43893.295810185184</v>
      </c>
      <c r="B24720" s="8" t="str">
        <f>HYPERLINK("https://twitter.com/sabrinaacn","@sabrinaacn")</f>
        <v>@sabrinaacn</v>
      </c>
      <c r="C24720" s="8" t="s">
        <v>9890</v>
      </c>
      <c r="D24720" s="8">
        <v>9</v>
      </c>
      <c r="E24720" s="8">
        <v>0</v>
      </c>
      <c r="F24720" s="8">
        <v>40</v>
      </c>
    </row>
    <row r="24721" spans="1:6" ht="12.75">
      <c r="A24721" s="8">
        <v>43893.295798611114</v>
      </c>
      <c r="B24721" s="8" t="str">
        <f>HYPERLINK("https://twitter.com/rochmadkartiko","@rochmadkartiko")</f>
        <v>@rochmadkartiko</v>
      </c>
      <c r="C24721" s="8" t="s">
        <v>2962</v>
      </c>
      <c r="D24721" s="8">
        <v>4860</v>
      </c>
      <c r="E24721" s="8">
        <v>0</v>
      </c>
      <c r="F24721" s="8">
        <v>217</v>
      </c>
    </row>
    <row r="24722" spans="1:6" ht="12.75">
      <c r="A24722" s="8">
        <v>43893.295775462961</v>
      </c>
      <c r="B24722" s="8" t="str">
        <f>HYPERLINK("https://twitter.com/ririnpbobian","@ririnpbobian")</f>
        <v>@ririnpbobian</v>
      </c>
      <c r="C24722" s="8" t="s">
        <v>1427</v>
      </c>
      <c r="D24722" s="8">
        <v>679</v>
      </c>
      <c r="E24722" s="8">
        <v>0</v>
      </c>
      <c r="F24722" s="8">
        <v>533</v>
      </c>
    </row>
    <row r="24723" spans="1:6" ht="12.75">
      <c r="A24723" s="8">
        <v>43893.295740740738</v>
      </c>
      <c r="B24723" s="8" t="str">
        <f>HYPERLINK("https://twitter.com/AlvinoLulu","@AlvinoLulu")</f>
        <v>@AlvinoLulu</v>
      </c>
      <c r="C24723" s="8" t="s">
        <v>1986</v>
      </c>
      <c r="D24723" s="8">
        <v>619</v>
      </c>
      <c r="E24723" s="8">
        <v>0</v>
      </c>
      <c r="F24723" s="8">
        <v>11218</v>
      </c>
    </row>
    <row r="24724" spans="1:6" ht="12.75">
      <c r="A24724" s="8">
        <v>43893.295740740738</v>
      </c>
      <c r="B24724" s="8" t="str">
        <f>HYPERLINK("https://twitter.com/_saalllll","@_saalllll")</f>
        <v>@_saalllll</v>
      </c>
      <c r="C24724" s="8" t="s">
        <v>2962</v>
      </c>
      <c r="D24724" s="8">
        <v>4860</v>
      </c>
      <c r="E24724" s="8">
        <v>0</v>
      </c>
      <c r="F24724" s="8">
        <v>58</v>
      </c>
    </row>
    <row r="24725" spans="1:6" ht="12.75">
      <c r="A24725" s="8">
        <v>43893.295694444445</v>
      </c>
      <c r="B24725" s="8" t="str">
        <f>HYPERLINK("https://twitter.com/damario04","@damario04")</f>
        <v>@damario04</v>
      </c>
      <c r="C24725" s="8" t="s">
        <v>166</v>
      </c>
      <c r="D24725" s="8">
        <v>0</v>
      </c>
      <c r="E24725" s="8">
        <v>0</v>
      </c>
      <c r="F24725" s="8">
        <v>403</v>
      </c>
    </row>
    <row r="24726" spans="1:6" ht="12.75">
      <c r="A24726" s="8">
        <v>43893.295694444445</v>
      </c>
      <c r="B24726" s="8" t="str">
        <f>HYPERLINK("https://twitter.com/parvarevi","@parvarevi")</f>
        <v>@parvarevi</v>
      </c>
      <c r="C24726" s="8" t="s">
        <v>2962</v>
      </c>
      <c r="D24726" s="8">
        <v>4860</v>
      </c>
      <c r="E24726" s="8">
        <v>0</v>
      </c>
      <c r="F24726" s="8">
        <v>275</v>
      </c>
    </row>
    <row r="24727" spans="1:6" ht="12.75">
      <c r="A24727" s="8">
        <v>43893.295601851853</v>
      </c>
      <c r="B24727" s="8" t="str">
        <f>HYPERLINK("https://twitter.com/haris_ah_sun","@haris_ah_sun")</f>
        <v>@haris_ah_sun</v>
      </c>
      <c r="C24727" s="8" t="s">
        <v>4477</v>
      </c>
      <c r="D24727" s="8">
        <v>959</v>
      </c>
      <c r="E24727" s="8">
        <v>0</v>
      </c>
      <c r="F24727" s="8">
        <v>109</v>
      </c>
    </row>
    <row r="24728" spans="1:6" ht="12.75">
      <c r="A24728" s="8">
        <v>43893.29524305556</v>
      </c>
      <c r="B24728" s="8" t="str">
        <f>HYPERLINK("https://twitter.com/pujangga_q","@pujangga_q")</f>
        <v>@pujangga_q</v>
      </c>
      <c r="C24728" s="8" t="s">
        <v>1970</v>
      </c>
      <c r="D24728" s="8">
        <v>464</v>
      </c>
      <c r="E24728" s="8">
        <v>0</v>
      </c>
      <c r="F24728" s="8">
        <v>132</v>
      </c>
    </row>
    <row r="24729" spans="1:6" ht="12.75">
      <c r="A24729" s="8">
        <v>43893.295208333337</v>
      </c>
      <c r="B24729" s="8" t="str">
        <f>HYPERLINK("https://twitter.com/Fathanfps","@Fathanfps")</f>
        <v>@Fathanfps</v>
      </c>
      <c r="C24729" s="8" t="s">
        <v>1970</v>
      </c>
      <c r="D24729" s="8">
        <v>464</v>
      </c>
      <c r="E24729" s="8">
        <v>0</v>
      </c>
      <c r="F24729" s="8">
        <v>1226</v>
      </c>
    </row>
    <row r="24730" spans="1:6" ht="12.75">
      <c r="A24730" s="8">
        <v>43893.295208333337</v>
      </c>
      <c r="B24730" s="8" t="str">
        <f>HYPERLINK("https://twitter.com/mas_hbsan","@mas_hbsan")</f>
        <v>@mas_hbsan</v>
      </c>
      <c r="C24730" s="8" t="s">
        <v>1970</v>
      </c>
      <c r="D24730" s="8">
        <v>464</v>
      </c>
      <c r="E24730" s="8">
        <v>0</v>
      </c>
      <c r="F24730" s="8">
        <v>211</v>
      </c>
    </row>
    <row r="24731" spans="1:6" ht="12.75">
      <c r="A24731" s="8">
        <v>43893.29519675926</v>
      </c>
      <c r="B24731" s="8" t="str">
        <f>HYPERLINK("https://twitter.com/amyprovis1987","@amyprovis1987")</f>
        <v>@amyprovis1987</v>
      </c>
      <c r="C24731" s="8" t="s">
        <v>9891</v>
      </c>
      <c r="D24731" s="8">
        <v>0</v>
      </c>
      <c r="E24731" s="8">
        <v>0</v>
      </c>
      <c r="F24731" s="8">
        <v>103</v>
      </c>
    </row>
    <row r="24732" spans="1:6" ht="12.75">
      <c r="A24732" s="8">
        <v>43893.295092592598</v>
      </c>
      <c r="B24732" s="8" t="str">
        <f>HYPERLINK("https://twitter.com/hendra0201","@hendra0201")</f>
        <v>@hendra0201</v>
      </c>
      <c r="C24732" s="8" t="s">
        <v>9300</v>
      </c>
      <c r="D24732" s="8">
        <v>174</v>
      </c>
      <c r="E24732" s="8">
        <v>0</v>
      </c>
      <c r="F24732" s="8">
        <v>1233</v>
      </c>
    </row>
    <row r="24733" spans="1:6" ht="12.75">
      <c r="A24733" s="8">
        <v>43893.295081018514</v>
      </c>
      <c r="B24733" s="8" t="str">
        <f>HYPERLINK("https://twitter.com/inamyana","@inamyana")</f>
        <v>@inamyana</v>
      </c>
      <c r="C24733" s="8" t="s">
        <v>1970</v>
      </c>
      <c r="D24733" s="8">
        <v>464</v>
      </c>
      <c r="E24733" s="8">
        <v>0</v>
      </c>
      <c r="F24733" s="8">
        <v>22</v>
      </c>
    </row>
    <row r="24734" spans="1:6" ht="12.75">
      <c r="A24734" s="8">
        <v>43893.294999999998</v>
      </c>
      <c r="B24734" s="8" t="str">
        <f>HYPERLINK("https://twitter.com/rizalrafif_27","@rizalrafif_27")</f>
        <v>@rizalrafif_27</v>
      </c>
      <c r="C24734" s="8" t="s">
        <v>3850</v>
      </c>
      <c r="D24734" s="8">
        <v>1452</v>
      </c>
      <c r="E24734" s="8">
        <v>0</v>
      </c>
      <c r="F24734" s="8">
        <v>143</v>
      </c>
    </row>
    <row r="24735" spans="1:6" ht="12.75">
      <c r="A24735" s="8">
        <v>43893.294953703706</v>
      </c>
      <c r="B24735" s="8" t="str">
        <f>HYPERLINK("https://twitter.com/nurjamanbois","@nurjamanbois")</f>
        <v>@nurjamanbois</v>
      </c>
      <c r="C24735" s="8" t="s">
        <v>9892</v>
      </c>
      <c r="D24735" s="8">
        <v>535</v>
      </c>
      <c r="E24735" s="8">
        <v>0</v>
      </c>
      <c r="F24735" s="8">
        <v>337</v>
      </c>
    </row>
    <row r="24736" spans="1:6" ht="12.75">
      <c r="A24736" s="8">
        <v>43893.294953703706</v>
      </c>
      <c r="B24736" s="8" t="str">
        <f>HYPERLINK("https://twitter.com/suprayitnoward1","@suprayitnoward1")</f>
        <v>@suprayitnoward1</v>
      </c>
      <c r="C24736" s="8" t="s">
        <v>9893</v>
      </c>
      <c r="D24736" s="8">
        <v>0</v>
      </c>
      <c r="E24736" s="8">
        <v>0</v>
      </c>
      <c r="F24736" s="8">
        <v>105</v>
      </c>
    </row>
    <row r="24737" spans="1:6" ht="12.75">
      <c r="A24737" s="8">
        <v>43893.29488425926</v>
      </c>
      <c r="B24737" s="8" t="str">
        <f>HYPERLINK("https://twitter.com/CakL1571","@CakL1571")</f>
        <v>@CakL1571</v>
      </c>
      <c r="C24737" s="8" t="s">
        <v>9358</v>
      </c>
      <c r="D24737" s="8">
        <v>88</v>
      </c>
      <c r="E24737" s="8">
        <v>0</v>
      </c>
      <c r="F24737" s="8">
        <v>72</v>
      </c>
    </row>
    <row r="24738" spans="1:6" ht="12.75">
      <c r="A24738" s="8">
        <v>43893.294768518521</v>
      </c>
      <c r="B24738" s="8" t="str">
        <f>HYPERLINK("https://twitter.com/YBPradipta12","@YBPradipta12")</f>
        <v>@YBPradipta12</v>
      </c>
      <c r="C24738" s="8" t="s">
        <v>1970</v>
      </c>
      <c r="D24738" s="8">
        <v>464</v>
      </c>
      <c r="E24738" s="8">
        <v>0</v>
      </c>
      <c r="F24738" s="8">
        <v>625</v>
      </c>
    </row>
    <row r="24739" spans="1:6" ht="12.75">
      <c r="A24739" s="8">
        <v>43893.294664351852</v>
      </c>
      <c r="B24739" s="8" t="str">
        <f>HYPERLINK("https://twitter.com/mshrlmln","@mshrlmln")</f>
        <v>@mshrlmln</v>
      </c>
      <c r="C24739" s="8" t="s">
        <v>9894</v>
      </c>
      <c r="D24739" s="8">
        <v>0</v>
      </c>
      <c r="E24739" s="8">
        <v>0</v>
      </c>
      <c r="F24739" s="8">
        <v>790</v>
      </c>
    </row>
    <row r="24740" spans="1:6" ht="12.75">
      <c r="A24740" s="8">
        <v>43893.294548611113</v>
      </c>
      <c r="B24740" s="8" t="str">
        <f>HYPERLINK("https://twitter.com/AG66764401","@AG66764401")</f>
        <v>@AG66764401</v>
      </c>
      <c r="C24740" s="8" t="s">
        <v>9895</v>
      </c>
      <c r="D24740" s="8">
        <v>162</v>
      </c>
      <c r="E24740" s="8">
        <v>0</v>
      </c>
      <c r="F24740" s="8">
        <v>0</v>
      </c>
    </row>
    <row r="24741" spans="1:6" ht="12.75">
      <c r="A24741" s="8">
        <v>43893.294548611113</v>
      </c>
      <c r="B24741" s="8" t="str">
        <f>HYPERLINK("https://twitter.com/Supra992","@Supra992")</f>
        <v>@Supra992</v>
      </c>
      <c r="C24741" s="8" t="s">
        <v>4477</v>
      </c>
      <c r="D24741" s="8">
        <v>959</v>
      </c>
      <c r="E24741" s="8">
        <v>0</v>
      </c>
      <c r="F24741" s="8">
        <v>636</v>
      </c>
    </row>
    <row r="24742" spans="1:6" ht="12.75">
      <c r="A24742" s="8">
        <v>43893.294398148151</v>
      </c>
      <c r="B24742" s="8" t="str">
        <f>HYPERLINK("https://twitter.com/akujomblonih","@akujomblonih")</f>
        <v>@akujomblonih</v>
      </c>
      <c r="C24742" s="8" t="s">
        <v>1427</v>
      </c>
      <c r="D24742" s="8">
        <v>679</v>
      </c>
      <c r="E24742" s="8">
        <v>0</v>
      </c>
      <c r="F24742" s="8">
        <v>1600</v>
      </c>
    </row>
    <row r="24743" spans="1:6" ht="12.75">
      <c r="A24743" s="8">
        <v>43893.294328703705</v>
      </c>
      <c r="B24743" s="8" t="str">
        <f>HYPERLINK("https://twitter.com/adi_iswantoro","@adi_iswantoro")</f>
        <v>@adi_iswantoro</v>
      </c>
      <c r="C24743" s="8" t="s">
        <v>1986</v>
      </c>
      <c r="D24743" s="8">
        <v>619</v>
      </c>
      <c r="E24743" s="8">
        <v>0</v>
      </c>
      <c r="F24743" s="8">
        <v>168</v>
      </c>
    </row>
    <row r="24744" spans="1:6" ht="12.75">
      <c r="A24744" s="8">
        <v>43893.294293981482</v>
      </c>
      <c r="B24744" s="8" t="str">
        <f>HYPERLINK("https://twitter.com/Adnanda27698160","@Adnanda27698160")</f>
        <v>@Adnanda27698160</v>
      </c>
      <c r="C24744" s="8" t="s">
        <v>9040</v>
      </c>
      <c r="D24744" s="8">
        <v>5</v>
      </c>
      <c r="E24744" s="8">
        <v>0</v>
      </c>
      <c r="F24744" s="8">
        <v>144</v>
      </c>
    </row>
    <row r="24745" spans="1:6" ht="12.75">
      <c r="A24745" s="8">
        <v>43893.294236111113</v>
      </c>
      <c r="B24745" s="8" t="str">
        <f>HYPERLINK("https://twitter.com/anovr_","@anovr_")</f>
        <v>@anovr_</v>
      </c>
      <c r="C24745" s="8" t="s">
        <v>4477</v>
      </c>
      <c r="D24745" s="8">
        <v>959</v>
      </c>
      <c r="E24745" s="8">
        <v>0</v>
      </c>
      <c r="F24745" s="8">
        <v>279</v>
      </c>
    </row>
    <row r="24746" spans="1:6" ht="12.75">
      <c r="A24746" s="8">
        <v>43893.294050925921</v>
      </c>
      <c r="B24746" s="8" t="str">
        <f>HYPERLINK("https://twitter.com/NongN4y4r4","@NongN4y4r4")</f>
        <v>@NongN4y4r4</v>
      </c>
      <c r="C24746" s="8" t="s">
        <v>9896</v>
      </c>
      <c r="D24746" s="8">
        <v>0</v>
      </c>
      <c r="E24746" s="8">
        <v>1</v>
      </c>
      <c r="F24746" s="8">
        <v>3400</v>
      </c>
    </row>
    <row r="24747" spans="1:6" ht="12.75">
      <c r="A24747" s="8">
        <v>43893.294039351851</v>
      </c>
      <c r="B24747" s="8" t="str">
        <f>HYPERLINK("https://twitter.com/andrejamiee","@andrejamiee")</f>
        <v>@andrejamiee</v>
      </c>
      <c r="C24747" s="8" t="s">
        <v>2962</v>
      </c>
      <c r="D24747" s="8">
        <v>4860</v>
      </c>
      <c r="E24747" s="8">
        <v>0</v>
      </c>
      <c r="F24747" s="8">
        <v>514</v>
      </c>
    </row>
    <row r="24748" spans="1:6" ht="12.75">
      <c r="A24748" s="8">
        <v>43893.293946759259</v>
      </c>
      <c r="B24748" s="8" t="str">
        <f>HYPERLINK("https://twitter.com/cnmelia","@cnmelia")</f>
        <v>@cnmelia</v>
      </c>
      <c r="C24748" s="8" t="s">
        <v>1427</v>
      </c>
      <c r="D24748" s="8">
        <v>679</v>
      </c>
      <c r="E24748" s="8">
        <v>0</v>
      </c>
      <c r="F24748" s="8">
        <v>4178</v>
      </c>
    </row>
    <row r="24749" spans="1:6" ht="12.75">
      <c r="A24749" s="8">
        <v>43893.293923611112</v>
      </c>
      <c r="B24749" s="8" t="str">
        <f>HYPERLINK("https://twitter.com/King_El_Montes","@King_El_Montes")</f>
        <v>@King_El_Montes</v>
      </c>
      <c r="C24749" s="8" t="s">
        <v>7597</v>
      </c>
      <c r="D24749" s="8">
        <v>576</v>
      </c>
      <c r="E24749" s="8">
        <v>0</v>
      </c>
      <c r="F24749" s="8">
        <v>122</v>
      </c>
    </row>
    <row r="24750" spans="1:6" ht="12.75">
      <c r="A24750" s="8">
        <v>43893.293865740736</v>
      </c>
      <c r="B24750" s="8" t="str">
        <f>HYPERLINK("https://twitter.com/Sukmara_Tea","@Sukmara_Tea")</f>
        <v>@Sukmara_Tea</v>
      </c>
      <c r="C24750" s="8" t="s">
        <v>1970</v>
      </c>
      <c r="D24750" s="8">
        <v>464</v>
      </c>
      <c r="E24750" s="8">
        <v>0</v>
      </c>
      <c r="F24750" s="8">
        <v>55</v>
      </c>
    </row>
    <row r="24751" spans="1:6" ht="12.75">
      <c r="A24751" s="8">
        <v>43893.293842592597</v>
      </c>
      <c r="B24751" s="8" t="str">
        <f>HYPERLINK("https://twitter.com/Tonwart2","@Tonwart2")</f>
        <v>@Tonwart2</v>
      </c>
      <c r="C24751" s="8" t="s">
        <v>2962</v>
      </c>
      <c r="D24751" s="8">
        <v>4860</v>
      </c>
      <c r="E24751" s="8">
        <v>0</v>
      </c>
      <c r="F24751" s="8">
        <v>562</v>
      </c>
    </row>
    <row r="24752" spans="1:6" ht="12.75">
      <c r="A24752" s="8">
        <v>43893.29383101852</v>
      </c>
      <c r="B24752" s="8" t="str">
        <f>HYPERLINK("https://twitter.com/domba_tersesat_","@domba_tersesat_")</f>
        <v>@domba_tersesat_</v>
      </c>
      <c r="C24752" s="8" t="s">
        <v>2962</v>
      </c>
      <c r="D24752" s="8">
        <v>4860</v>
      </c>
      <c r="E24752" s="8">
        <v>0</v>
      </c>
      <c r="F24752" s="8">
        <v>38</v>
      </c>
    </row>
    <row r="24753" spans="1:6" ht="12.75">
      <c r="A24753" s="8">
        <v>43893.293761574074</v>
      </c>
      <c r="B24753" s="8" t="str">
        <f>HYPERLINK("https://twitter.com/PartBurungGalak","@PartBurungGalak")</f>
        <v>@PartBurungGalak</v>
      </c>
      <c r="C24753" s="8" t="s">
        <v>1986</v>
      </c>
      <c r="D24753" s="8">
        <v>619</v>
      </c>
      <c r="E24753" s="8">
        <v>0</v>
      </c>
      <c r="F24753" s="8">
        <v>7108</v>
      </c>
    </row>
    <row r="24754" spans="1:6" ht="12.75">
      <c r="A24754" s="8">
        <v>43893.293715277774</v>
      </c>
      <c r="B24754" s="8" t="str">
        <f>HYPERLINK("https://twitter.com/mrbhsr","@mrbhsr")</f>
        <v>@mrbhsr</v>
      </c>
      <c r="C24754" s="8" t="s">
        <v>1427</v>
      </c>
      <c r="D24754" s="8">
        <v>679</v>
      </c>
      <c r="E24754" s="8">
        <v>0</v>
      </c>
      <c r="F24754" s="8">
        <v>626</v>
      </c>
    </row>
    <row r="24755" spans="1:6" ht="12.75">
      <c r="A24755" s="8">
        <v>43893.293657407412</v>
      </c>
      <c r="B24755" s="8" t="str">
        <f>HYPERLINK("https://twitter.com/redwxine","@redwxine")</f>
        <v>@redwxine</v>
      </c>
      <c r="C24755" s="8" t="s">
        <v>2199</v>
      </c>
      <c r="D24755" s="8">
        <v>8592</v>
      </c>
      <c r="E24755" s="8">
        <v>0</v>
      </c>
      <c r="F24755" s="8">
        <v>252</v>
      </c>
    </row>
    <row r="24756" spans="1:6" ht="12.75">
      <c r="A24756" s="8">
        <v>43893.293576388889</v>
      </c>
      <c r="B24756" s="8" t="str">
        <f>HYPERLINK("https://twitter.com/__amare15","@__amare15")</f>
        <v>@__amare15</v>
      </c>
      <c r="C24756" s="8" t="s">
        <v>9897</v>
      </c>
      <c r="D24756" s="8">
        <v>17</v>
      </c>
      <c r="E24756" s="8">
        <v>0</v>
      </c>
      <c r="F24756" s="8">
        <v>7529</v>
      </c>
    </row>
    <row r="24757" spans="1:6" ht="12.75">
      <c r="A24757" s="8">
        <v>43893.293564814812</v>
      </c>
      <c r="B24757" s="8" t="str">
        <f>HYPERLINK("https://twitter.com/AlvinoLulu","@AlvinoLulu")</f>
        <v>@AlvinoLulu</v>
      </c>
      <c r="C24757" s="8" t="s">
        <v>2962</v>
      </c>
      <c r="D24757" s="8">
        <v>4860</v>
      </c>
      <c r="E24757" s="8">
        <v>0</v>
      </c>
      <c r="F24757" s="8">
        <v>11218</v>
      </c>
    </row>
    <row r="24758" spans="1:6" ht="12.75">
      <c r="A24758" s="8">
        <v>43893.293437500004</v>
      </c>
      <c r="B24758" s="8" t="str">
        <f>HYPERLINK("https://twitter.com/itsssdone","@itsssdone")</f>
        <v>@itsssdone</v>
      </c>
      <c r="C24758" s="8" t="s">
        <v>9117</v>
      </c>
      <c r="D24758" s="8">
        <v>259</v>
      </c>
      <c r="E24758" s="8">
        <v>0</v>
      </c>
      <c r="F24758" s="8">
        <v>272</v>
      </c>
    </row>
    <row r="24759" spans="1:6" ht="12.75">
      <c r="A24759" s="8">
        <v>43893.293425925927</v>
      </c>
      <c r="B24759" s="8" t="str">
        <f>HYPERLINK("https://twitter.com/reresyy","@reresyy")</f>
        <v>@reresyy</v>
      </c>
      <c r="C24759" s="8" t="s">
        <v>9898</v>
      </c>
      <c r="D24759" s="8">
        <v>0</v>
      </c>
      <c r="E24759" s="8">
        <v>0</v>
      </c>
      <c r="F24759" s="8">
        <v>1429</v>
      </c>
    </row>
    <row r="24760" spans="1:6" ht="12.75">
      <c r="A24760" s="8">
        <v>43893.293379629627</v>
      </c>
      <c r="B24760" s="8" t="str">
        <f>HYPERLINK("https://twitter.com/jarangreunian","@jarangreunian")</f>
        <v>@jarangreunian</v>
      </c>
      <c r="C24760" s="8" t="s">
        <v>1970</v>
      </c>
      <c r="D24760" s="8">
        <v>464</v>
      </c>
      <c r="E24760" s="8">
        <v>0</v>
      </c>
      <c r="F24760" s="8">
        <v>316</v>
      </c>
    </row>
    <row r="24761" spans="1:6" ht="12.75">
      <c r="A24761" s="8">
        <v>43893.293379629627</v>
      </c>
      <c r="B24761" s="8" t="str">
        <f>HYPERLINK("https://twitter.com/King_El_Montes","@King_El_Montes")</f>
        <v>@King_El_Montes</v>
      </c>
      <c r="C24761" s="8" t="s">
        <v>6832</v>
      </c>
      <c r="D24761" s="8">
        <v>917</v>
      </c>
      <c r="E24761" s="8">
        <v>0</v>
      </c>
      <c r="F24761" s="8">
        <v>122</v>
      </c>
    </row>
    <row r="24762" spans="1:6" ht="12.75">
      <c r="A24762" s="8">
        <v>43893.293333333335</v>
      </c>
      <c r="B24762" s="8" t="str">
        <f>HYPERLINK("https://twitter.com/christ_davinLA","@christ_davinLA")</f>
        <v>@christ_davinLA</v>
      </c>
      <c r="C24762" s="8" t="s">
        <v>9194</v>
      </c>
      <c r="D24762" s="8">
        <v>172</v>
      </c>
      <c r="E24762" s="8">
        <v>0</v>
      </c>
      <c r="F24762" s="8">
        <v>80</v>
      </c>
    </row>
    <row r="24763" spans="1:6" ht="12.75">
      <c r="A24763" s="8">
        <v>43893.293321759258</v>
      </c>
      <c r="B24763" s="8" t="str">
        <f>HYPERLINK("https://twitter.com/BillTemporo","@BillTemporo")</f>
        <v>@BillTemporo</v>
      </c>
      <c r="C24763" s="8" t="s">
        <v>384</v>
      </c>
      <c r="D24763" s="8">
        <v>0</v>
      </c>
      <c r="E24763" s="8">
        <v>0</v>
      </c>
      <c r="F24763" s="8">
        <v>11</v>
      </c>
    </row>
    <row r="24764" spans="1:6" ht="12.75">
      <c r="A24764" s="8">
        <v>43893.29305555555</v>
      </c>
      <c r="B24764" s="8" t="str">
        <f>HYPERLINK("https://twitter.com/anFanani","@anFanani")</f>
        <v>@anFanani</v>
      </c>
      <c r="C24764" s="8" t="s">
        <v>7597</v>
      </c>
      <c r="D24764" s="8">
        <v>576</v>
      </c>
      <c r="E24764" s="8">
        <v>0</v>
      </c>
      <c r="F24764" s="8">
        <v>3264</v>
      </c>
    </row>
    <row r="24765" spans="1:6" ht="12.75">
      <c r="A24765" s="8">
        <v>43893.292997685188</v>
      </c>
      <c r="B24765" s="8" t="str">
        <f>HYPERLINK("https://twitter.com/itsmeannoyindya","@itsmeannoyindya")</f>
        <v>@itsmeannoyindya</v>
      </c>
      <c r="C24765" s="8" t="s">
        <v>1749</v>
      </c>
      <c r="D24765" s="8">
        <v>353</v>
      </c>
      <c r="E24765" s="8">
        <v>0</v>
      </c>
      <c r="F24765" s="8">
        <v>110</v>
      </c>
    </row>
    <row r="24766" spans="1:6" ht="12.75">
      <c r="A24766" s="8">
        <v>43893.292824074073</v>
      </c>
      <c r="B24766" s="8" t="str">
        <f>HYPERLINK("https://twitter.com/mahameroe","@mahameroe")</f>
        <v>@mahameroe</v>
      </c>
      <c r="C24766" s="8" t="s">
        <v>1970</v>
      </c>
      <c r="D24766" s="8">
        <v>464</v>
      </c>
      <c r="E24766" s="8">
        <v>0</v>
      </c>
      <c r="F24766" s="8">
        <v>195</v>
      </c>
    </row>
    <row r="24767" spans="1:6" ht="12.75">
      <c r="A24767" s="8">
        <v>43893.292754629627</v>
      </c>
      <c r="B24767" s="8" t="str">
        <f>HYPERLINK("https://twitter.com/tribunnews","@tribunnews")</f>
        <v>@tribunnews</v>
      </c>
      <c r="C24767" s="8" t="s">
        <v>9899</v>
      </c>
      <c r="D24767" s="8">
        <v>0</v>
      </c>
      <c r="E24767" s="8">
        <v>1</v>
      </c>
      <c r="F24767" s="8">
        <v>886640</v>
      </c>
    </row>
    <row r="24768" spans="1:6" ht="12.75">
      <c r="A24768" s="8">
        <v>43893.292719907404</v>
      </c>
      <c r="B24768" s="8" t="str">
        <f>HYPERLINK("https://twitter.com/sumadiseloguno","@sumadiseloguno")</f>
        <v>@sumadiseloguno</v>
      </c>
      <c r="C24768" s="8" t="s">
        <v>7597</v>
      </c>
      <c r="D24768" s="8">
        <v>576</v>
      </c>
      <c r="E24768" s="8">
        <v>0</v>
      </c>
      <c r="F24768" s="8">
        <v>1440</v>
      </c>
    </row>
    <row r="24769" spans="1:6" ht="12.75">
      <c r="A24769" s="8">
        <v>43893.292719907404</v>
      </c>
      <c r="B24769" s="8" t="str">
        <f>HYPERLINK("https://twitter.com/itsmeannoyindya","@itsmeannoyindya")</f>
        <v>@itsmeannoyindya</v>
      </c>
      <c r="C24769" s="8" t="s">
        <v>2199</v>
      </c>
      <c r="D24769" s="8">
        <v>8592</v>
      </c>
      <c r="E24769" s="8">
        <v>0</v>
      </c>
      <c r="F24769" s="8">
        <v>110</v>
      </c>
    </row>
    <row r="24770" spans="1:6" ht="12.75">
      <c r="A24770" s="8">
        <v>43893.292696759258</v>
      </c>
      <c r="B24770" s="8" t="str">
        <f>HYPERLINK("https://twitter.com/waawan0605","@waawan0605")</f>
        <v>@waawan0605</v>
      </c>
      <c r="C24770" s="8" t="s">
        <v>9772</v>
      </c>
      <c r="D24770" s="8">
        <v>69</v>
      </c>
      <c r="E24770" s="8">
        <v>0</v>
      </c>
      <c r="F24770" s="8">
        <v>486</v>
      </c>
    </row>
    <row r="24771" spans="1:6" ht="12.75">
      <c r="A24771" s="8">
        <v>43893.292511574073</v>
      </c>
      <c r="B24771" s="8" t="str">
        <f>HYPERLINK("https://twitter.com/Hih98703350","@Hih98703350")</f>
        <v>@Hih98703350</v>
      </c>
      <c r="C24771" s="8" t="s">
        <v>5732</v>
      </c>
      <c r="D24771" s="8">
        <v>2095</v>
      </c>
      <c r="E24771" s="8">
        <v>0</v>
      </c>
      <c r="F24771" s="8">
        <v>165</v>
      </c>
    </row>
    <row r="24772" spans="1:6" ht="12.75">
      <c r="A24772" s="8">
        <v>43893.29241898148</v>
      </c>
      <c r="B24772" s="8" t="str">
        <f>HYPERLINK("https://twitter.com/H3N1_BangoR","@H3N1_BangoR")</f>
        <v>@H3N1_BangoR</v>
      </c>
      <c r="C24772" s="8" t="s">
        <v>9574</v>
      </c>
      <c r="D24772" s="8">
        <v>71</v>
      </c>
      <c r="E24772" s="8">
        <v>0</v>
      </c>
      <c r="F24772" s="8">
        <v>668</v>
      </c>
    </row>
    <row r="24773" spans="1:6" ht="12.75">
      <c r="A24773" s="8">
        <v>43893.29241898148</v>
      </c>
      <c r="B24773" s="8" t="str">
        <f>HYPERLINK("https://twitter.com/boskuhirata","@boskuhirata")</f>
        <v>@boskuhirata</v>
      </c>
      <c r="C24773" s="8" t="s">
        <v>2962</v>
      </c>
      <c r="D24773" s="8">
        <v>4860</v>
      </c>
      <c r="E24773" s="8">
        <v>0</v>
      </c>
      <c r="F24773" s="8">
        <v>7</v>
      </c>
    </row>
    <row r="24774" spans="1:6" ht="12.75">
      <c r="A24774" s="8">
        <v>43893.292361111111</v>
      </c>
      <c r="B24774" s="8" t="str">
        <f>HYPERLINK("https://twitter.com/avochildo","@avochildo")</f>
        <v>@avochildo</v>
      </c>
      <c r="C24774" s="8" t="s">
        <v>8776</v>
      </c>
      <c r="D24774" s="8">
        <v>182</v>
      </c>
      <c r="E24774" s="8">
        <v>0</v>
      </c>
      <c r="F24774" s="8">
        <v>107</v>
      </c>
    </row>
    <row r="24775" spans="1:6" ht="12.75">
      <c r="A24775" s="8">
        <v>43893.292337962965</v>
      </c>
      <c r="B24775" s="8" t="str">
        <f>HYPERLINK("https://twitter.com/RaihanTheX1","@RaihanTheX1")</f>
        <v>@RaihanTheX1</v>
      </c>
      <c r="C24775" s="8" t="s">
        <v>9900</v>
      </c>
      <c r="D24775" s="8">
        <v>5</v>
      </c>
      <c r="E24775" s="8">
        <v>0</v>
      </c>
      <c r="F24775" s="8">
        <v>40</v>
      </c>
    </row>
    <row r="24776" spans="1:6" ht="12.75">
      <c r="A24776" s="8">
        <v>43893.292303240742</v>
      </c>
      <c r="B24776" s="8" t="str">
        <f>HYPERLINK("https://twitter.com/NannyAlexendry","@NannyAlexendry")</f>
        <v>@NannyAlexendry</v>
      </c>
      <c r="C24776" s="8" t="s">
        <v>1986</v>
      </c>
      <c r="D24776" s="8">
        <v>619</v>
      </c>
      <c r="E24776" s="8">
        <v>0</v>
      </c>
      <c r="F24776" s="8">
        <v>2973</v>
      </c>
    </row>
    <row r="24777" spans="1:6" ht="12.75">
      <c r="A24777" s="8">
        <v>43893.292268518519</v>
      </c>
      <c r="B24777" s="8" t="str">
        <f>HYPERLINK("https://twitter.com/marina_mia","@marina_mia")</f>
        <v>@marina_mia</v>
      </c>
      <c r="C24777" s="8" t="s">
        <v>1986</v>
      </c>
      <c r="D24777" s="8">
        <v>619</v>
      </c>
      <c r="E24777" s="8">
        <v>0</v>
      </c>
      <c r="F24777" s="8">
        <v>270</v>
      </c>
    </row>
    <row r="24778" spans="1:6" ht="12.75">
      <c r="A24778" s="8">
        <v>43893.292233796295</v>
      </c>
      <c r="B24778" s="8" t="str">
        <f>HYPERLINK("https://twitter.com/SALADlN","@SALADlN")</f>
        <v>@SALADlN</v>
      </c>
      <c r="C24778" s="8" t="s">
        <v>7661</v>
      </c>
      <c r="D24778" s="8">
        <v>392</v>
      </c>
      <c r="E24778" s="8">
        <v>0</v>
      </c>
      <c r="F24778" s="8">
        <v>1631</v>
      </c>
    </row>
    <row r="24779" spans="1:6" ht="12.75">
      <c r="A24779" s="8">
        <v>43893.292222222226</v>
      </c>
      <c r="B24779" s="8" t="str">
        <f>HYPERLINK("https://twitter.com/BwdAlexander","@BwdAlexander")</f>
        <v>@BwdAlexander</v>
      </c>
      <c r="C24779" s="8" t="s">
        <v>1970</v>
      </c>
      <c r="D24779" s="8">
        <v>464</v>
      </c>
      <c r="E24779" s="8">
        <v>0</v>
      </c>
      <c r="F24779" s="8">
        <v>17</v>
      </c>
    </row>
    <row r="24780" spans="1:6" ht="12.75">
      <c r="A24780" s="8">
        <v>43893.256770833337</v>
      </c>
      <c r="B24780" s="8" t="str">
        <f>HYPERLINK("https://twitter.com/nahyangininih","@nahyangininih")</f>
        <v>@nahyangininih</v>
      </c>
      <c r="C24780" s="8" t="s">
        <v>9117</v>
      </c>
      <c r="D24780" s="8">
        <v>233</v>
      </c>
      <c r="E24780" s="8">
        <v>0</v>
      </c>
      <c r="F24780" s="8">
        <v>153</v>
      </c>
    </row>
    <row r="24781" spans="1:6" ht="12.75">
      <c r="A24781" s="8">
        <v>43893.25675925926</v>
      </c>
      <c r="B24781" s="8" t="str">
        <f>HYPERLINK("https://twitter.com/ddidi27","@ddidi27")</f>
        <v>@ddidi27</v>
      </c>
      <c r="C24781" s="8" t="s">
        <v>4477</v>
      </c>
      <c r="D24781" s="8">
        <v>922</v>
      </c>
      <c r="E24781" s="8">
        <v>0</v>
      </c>
      <c r="F24781" s="8">
        <v>27</v>
      </c>
    </row>
    <row r="24782" spans="1:6" ht="12.75">
      <c r="A24782" s="8">
        <v>43893.25675925926</v>
      </c>
      <c r="B24782" s="8" t="str">
        <f>HYPERLINK("https://twitter.com/LinaIndrawati13","@LinaIndrawati13")</f>
        <v>@LinaIndrawati13</v>
      </c>
      <c r="C24782" s="8" t="s">
        <v>4477</v>
      </c>
      <c r="D24782" s="8">
        <v>922</v>
      </c>
      <c r="E24782" s="8">
        <v>0</v>
      </c>
      <c r="F24782" s="8">
        <v>420</v>
      </c>
    </row>
    <row r="24783" spans="1:6" ht="12.75">
      <c r="A24783" s="8">
        <v>43893.256736111114</v>
      </c>
      <c r="B24783" s="8" t="str">
        <f>HYPERLINK("https://twitter.com/hawaintan","@hawaintan")</f>
        <v>@hawaintan</v>
      </c>
      <c r="C24783" s="8" t="s">
        <v>2199</v>
      </c>
      <c r="D24783" s="8">
        <v>8529</v>
      </c>
      <c r="E24783" s="8">
        <v>0</v>
      </c>
      <c r="F24783" s="8">
        <v>168</v>
      </c>
    </row>
    <row r="24784" spans="1:6" ht="12.75">
      <c r="A24784" s="8">
        <v>43893.256701388891</v>
      </c>
      <c r="B24784" s="8" t="str">
        <f>HYPERLINK("https://twitter.com/yuubuw","@yuubuw")</f>
        <v>@yuubuw</v>
      </c>
      <c r="C24784" s="8" t="s">
        <v>1427</v>
      </c>
      <c r="D24784" s="8">
        <v>630</v>
      </c>
      <c r="E24784" s="8">
        <v>0</v>
      </c>
      <c r="F24784" s="8">
        <v>2968</v>
      </c>
    </row>
    <row r="24785" spans="1:6" ht="12.75">
      <c r="A24785" s="8">
        <v>43893.256655092591</v>
      </c>
      <c r="B24785" s="8" t="str">
        <f>HYPERLINK("https://twitter.com/ekurnia82","@ekurnia82")</f>
        <v>@ekurnia82</v>
      </c>
      <c r="C24785" s="8" t="s">
        <v>2962</v>
      </c>
      <c r="D24785" s="8">
        <v>4764</v>
      </c>
      <c r="E24785" s="8">
        <v>0</v>
      </c>
      <c r="F24785" s="8">
        <v>1553</v>
      </c>
    </row>
    <row r="24786" spans="1:6" ht="12.75">
      <c r="A24786" s="8">
        <v>43893.256643518514</v>
      </c>
      <c r="B24786" s="8" t="str">
        <f>HYPERLINK("https://twitter.com/rossanapitupulu","@rossanapitupulu")</f>
        <v>@rossanapitupulu</v>
      </c>
      <c r="C24786" s="8" t="s">
        <v>9194</v>
      </c>
      <c r="D24786" s="8">
        <v>163</v>
      </c>
      <c r="E24786" s="8">
        <v>0</v>
      </c>
      <c r="F24786" s="8">
        <v>632</v>
      </c>
    </row>
    <row r="24787" spans="1:6" ht="12.75">
      <c r="A24787" s="8">
        <v>43893.256620370375</v>
      </c>
      <c r="B24787" s="8" t="str">
        <f>HYPERLINK("https://twitter.com/widi_syah","@widi_syah")</f>
        <v>@widi_syah</v>
      </c>
      <c r="C24787" s="8" t="s">
        <v>6542</v>
      </c>
      <c r="D24787" s="8">
        <v>228</v>
      </c>
      <c r="E24787" s="8">
        <v>0</v>
      </c>
      <c r="F24787" s="8">
        <v>197</v>
      </c>
    </row>
    <row r="24788" spans="1:6" ht="12.75">
      <c r="A24788" s="8">
        <v>43893.256585648152</v>
      </c>
      <c r="B24788" s="8" t="str">
        <f>HYPERLINK("https://twitter.com/BebekSwag","@BebekSwag")</f>
        <v>@BebekSwag</v>
      </c>
      <c r="C24788" s="8" t="s">
        <v>2199</v>
      </c>
      <c r="D24788" s="8">
        <v>8529</v>
      </c>
      <c r="E24788" s="8">
        <v>0</v>
      </c>
      <c r="F24788" s="8">
        <v>9</v>
      </c>
    </row>
    <row r="24789" spans="1:6" ht="12.75">
      <c r="A24789" s="8">
        <v>43893.256550925929</v>
      </c>
      <c r="B24789" s="8" t="str">
        <f>HYPERLINK("https://twitter.com/fasyam7","@fasyam7")</f>
        <v>@fasyam7</v>
      </c>
      <c r="C24789" s="8" t="s">
        <v>5732</v>
      </c>
      <c r="D24789" s="8">
        <v>2088</v>
      </c>
      <c r="E24789" s="8">
        <v>0</v>
      </c>
      <c r="F24789" s="8">
        <v>765</v>
      </c>
    </row>
    <row r="24790" spans="1:6" ht="12.75">
      <c r="A24790" s="8">
        <v>43893.256527777776</v>
      </c>
      <c r="B24790" s="8" t="str">
        <f>HYPERLINK("https://twitter.com/woojiniegurl","@woojiniegurl")</f>
        <v>@woojiniegurl</v>
      </c>
      <c r="C24790" s="8" t="s">
        <v>1427</v>
      </c>
      <c r="D24790" s="8">
        <v>630</v>
      </c>
      <c r="E24790" s="8">
        <v>0</v>
      </c>
      <c r="F24790" s="8">
        <v>240</v>
      </c>
    </row>
    <row r="24791" spans="1:6" ht="12.75">
      <c r="A24791" s="8">
        <v>43893.256527777776</v>
      </c>
      <c r="B24791" s="8" t="str">
        <f>HYPERLINK("https://twitter.com/hyejinswhee","@hyejinswhee")</f>
        <v>@hyejinswhee</v>
      </c>
      <c r="C24791" s="8" t="s">
        <v>2962</v>
      </c>
      <c r="D24791" s="8">
        <v>4764</v>
      </c>
      <c r="E24791" s="8">
        <v>0</v>
      </c>
      <c r="F24791" s="8">
        <v>230</v>
      </c>
    </row>
    <row r="24792" spans="1:6" ht="12.75">
      <c r="A24792" s="8">
        <v>43893.256435185191</v>
      </c>
      <c r="B24792" s="8" t="str">
        <f>HYPERLINK("https://twitter.com/BebekSwag","@BebekSwag")</f>
        <v>@BebekSwag</v>
      </c>
      <c r="C24792" s="8" t="s">
        <v>7581</v>
      </c>
      <c r="D24792" s="8">
        <v>79</v>
      </c>
      <c r="E24792" s="8">
        <v>0</v>
      </c>
      <c r="F24792" s="8">
        <v>9</v>
      </c>
    </row>
    <row r="24793" spans="1:6" ht="12.75">
      <c r="A24793" s="8">
        <v>43893.256423611107</v>
      </c>
      <c r="B24793" s="8" t="str">
        <f>HYPERLINK("https://twitter.com/DarwisArbiantar","@DarwisArbiantar")</f>
        <v>@DarwisArbiantar</v>
      </c>
      <c r="C24793" s="8" t="s">
        <v>1970</v>
      </c>
      <c r="D24793" s="8">
        <v>338</v>
      </c>
      <c r="E24793" s="8">
        <v>0</v>
      </c>
      <c r="F24793" s="8">
        <v>91</v>
      </c>
    </row>
    <row r="24794" spans="1:6" ht="12.75">
      <c r="A24794" s="8">
        <v>43893.256423611107</v>
      </c>
      <c r="B24794" s="8" t="str">
        <f>HYPERLINK("https://twitter.com/eko_suhartanto","@eko_suhartanto")</f>
        <v>@eko_suhartanto</v>
      </c>
      <c r="C24794" s="8" t="s">
        <v>2962</v>
      </c>
      <c r="D24794" s="8">
        <v>4764</v>
      </c>
      <c r="E24794" s="8">
        <v>0</v>
      </c>
      <c r="F24794" s="8">
        <v>344</v>
      </c>
    </row>
    <row r="24795" spans="1:6" ht="12.75">
      <c r="A24795" s="8">
        <v>43893.256284722222</v>
      </c>
      <c r="B24795" s="8" t="str">
        <f>HYPERLINK("https://twitter.com/Andinabudiutami","@Andinabudiutami")</f>
        <v>@Andinabudiutami</v>
      </c>
      <c r="C24795" s="8" t="s">
        <v>6864</v>
      </c>
      <c r="D24795" s="8">
        <v>184</v>
      </c>
      <c r="E24795" s="8">
        <v>0</v>
      </c>
      <c r="F24795" s="8">
        <v>32</v>
      </c>
    </row>
    <row r="24796" spans="1:6" ht="12.75">
      <c r="A24796" s="8">
        <v>43893.256122685183</v>
      </c>
      <c r="B24796" s="8" t="str">
        <f>HYPERLINK("https://twitter.com/rokinisparkyu_","@rokinisparkyu_")</f>
        <v>@rokinisparkyu_</v>
      </c>
      <c r="C24796" s="8" t="s">
        <v>2962</v>
      </c>
      <c r="D24796" s="8">
        <v>4764</v>
      </c>
      <c r="E24796" s="8">
        <v>0</v>
      </c>
      <c r="F24796" s="8">
        <v>3115</v>
      </c>
    </row>
    <row r="24797" spans="1:6" ht="12.75">
      <c r="A24797" s="8">
        <v>43893.256099537037</v>
      </c>
      <c r="B24797" s="8" t="str">
        <f>HYPERLINK("https://twitter.com/_panjipurnama","@_panjipurnama")</f>
        <v>@_panjipurnama</v>
      </c>
      <c r="C24797" s="8" t="s">
        <v>9901</v>
      </c>
      <c r="D24797" s="8">
        <v>0</v>
      </c>
      <c r="E24797" s="8">
        <v>0</v>
      </c>
      <c r="F24797" s="8">
        <v>100</v>
      </c>
    </row>
    <row r="24798" spans="1:6" ht="12.75">
      <c r="A24798" s="8">
        <v>43893.256041666667</v>
      </c>
      <c r="B24798" s="8" t="str">
        <f>HYPERLINK("https://twitter.com/hidupnanindah","@hidupnanindah")</f>
        <v>@hidupnanindah</v>
      </c>
      <c r="C24798" s="8" t="s">
        <v>9902</v>
      </c>
      <c r="D24798" s="8">
        <v>6</v>
      </c>
      <c r="E24798" s="8">
        <v>0</v>
      </c>
      <c r="F24798" s="8">
        <v>14996</v>
      </c>
    </row>
    <row r="24799" spans="1:6" ht="12.75">
      <c r="A24799" s="8">
        <v>43893.255995370375</v>
      </c>
      <c r="B24799" s="8" t="str">
        <f>HYPERLINK("https://twitter.com/adityaikomang","@adityaikomang")</f>
        <v>@adityaikomang</v>
      </c>
      <c r="C24799" s="8" t="s">
        <v>9117</v>
      </c>
      <c r="D24799" s="8">
        <v>233</v>
      </c>
      <c r="E24799" s="8">
        <v>0</v>
      </c>
      <c r="F24799" s="8">
        <v>594</v>
      </c>
    </row>
    <row r="24800" spans="1:6" ht="12.75">
      <c r="A24800" s="8">
        <v>43893.255879629629</v>
      </c>
      <c r="B24800" s="8" t="str">
        <f>HYPERLINK("https://twitter.com/WenSid","@WenSid")</f>
        <v>@WenSid</v>
      </c>
      <c r="C24800" s="8" t="s">
        <v>9817</v>
      </c>
      <c r="D24800" s="8">
        <v>45</v>
      </c>
      <c r="E24800" s="8">
        <v>0</v>
      </c>
      <c r="F24800" s="8">
        <v>114</v>
      </c>
    </row>
    <row r="24801" spans="1:6" ht="12.75">
      <c r="A24801" s="8">
        <v>43893.255497685182</v>
      </c>
      <c r="B24801" s="8" t="str">
        <f>HYPERLINK("https://twitter.com/hartanto_mas","@hartanto_mas")</f>
        <v>@hartanto_mas</v>
      </c>
      <c r="C24801" s="8" t="s">
        <v>9727</v>
      </c>
      <c r="D24801" s="8">
        <v>72</v>
      </c>
      <c r="E24801" s="8">
        <v>0</v>
      </c>
      <c r="F24801" s="8">
        <v>1056</v>
      </c>
    </row>
    <row r="24802" spans="1:6" ht="12.75">
      <c r="A24802" s="8">
        <v>43893.255474537036</v>
      </c>
      <c r="B24802" s="8" t="str">
        <f>HYPERLINK("https://twitter.com/Mas_Penthol","@Mas_Penthol")</f>
        <v>@Mas_Penthol</v>
      </c>
      <c r="C24802" s="8" t="s">
        <v>2962</v>
      </c>
      <c r="D24802" s="8">
        <v>4764</v>
      </c>
      <c r="E24802" s="8">
        <v>0</v>
      </c>
      <c r="F24802" s="8">
        <v>487</v>
      </c>
    </row>
    <row r="24803" spans="1:6" ht="12.75">
      <c r="A24803" s="8">
        <v>43893.255428240736</v>
      </c>
      <c r="B24803" s="8" t="str">
        <f>HYPERLINK("https://twitter.com/Runi91866997","@Runi91866997")</f>
        <v>@Runi91866997</v>
      </c>
      <c r="C24803" s="8" t="s">
        <v>4477</v>
      </c>
      <c r="D24803" s="8">
        <v>922</v>
      </c>
      <c r="E24803" s="8">
        <v>0</v>
      </c>
      <c r="F24803" s="8">
        <v>63</v>
      </c>
    </row>
    <row r="24804" spans="1:6" ht="12.75">
      <c r="A24804" s="8">
        <v>43893.255324074074</v>
      </c>
      <c r="B24804" s="8" t="str">
        <f>HYPERLINK("https://twitter.com/arvinsuarja","@arvinsuarja")</f>
        <v>@arvinsuarja</v>
      </c>
      <c r="C24804" s="8" t="s">
        <v>2199</v>
      </c>
      <c r="D24804" s="8">
        <v>8529</v>
      </c>
      <c r="E24804" s="8">
        <v>0</v>
      </c>
      <c r="F24804" s="8">
        <v>442</v>
      </c>
    </row>
    <row r="24805" spans="1:6" ht="12.75">
      <c r="A24805" s="8">
        <v>43893.255277777775</v>
      </c>
      <c r="B24805" s="8" t="str">
        <f>HYPERLINK("https://twitter.com/bwgade1","@bwgade1")</f>
        <v>@bwgade1</v>
      </c>
      <c r="C24805" s="8" t="s">
        <v>9903</v>
      </c>
      <c r="D24805" s="8">
        <v>14</v>
      </c>
      <c r="E24805" s="8">
        <v>0</v>
      </c>
      <c r="F24805" s="8">
        <v>14</v>
      </c>
    </row>
    <row r="24806" spans="1:6" ht="12.75">
      <c r="A24806" s="8">
        <v>43893.255173611113</v>
      </c>
      <c r="B24806" s="8" t="str">
        <f>HYPERLINK("https://twitter.com/hartanto_mas","@hartanto_mas")</f>
        <v>@hartanto_mas</v>
      </c>
      <c r="C24806" s="8" t="s">
        <v>1970</v>
      </c>
      <c r="D24806" s="8">
        <v>338</v>
      </c>
      <c r="E24806" s="8">
        <v>0</v>
      </c>
      <c r="F24806" s="8">
        <v>1056</v>
      </c>
    </row>
    <row r="24807" spans="1:6" ht="12.75">
      <c r="A24807" s="8">
        <v>43893.255162037036</v>
      </c>
      <c r="B24807" s="8" t="str">
        <f>HYPERLINK("https://twitter.com/IrwantoArief1","@IrwantoArief1")</f>
        <v>@IrwantoArief1</v>
      </c>
      <c r="C24807" s="8" t="s">
        <v>8843</v>
      </c>
      <c r="D24807" s="8">
        <v>36</v>
      </c>
      <c r="E24807" s="8">
        <v>0</v>
      </c>
      <c r="F24807" s="8">
        <v>2151</v>
      </c>
    </row>
    <row r="24808" spans="1:6" ht="12.75">
      <c r="A24808" s="8">
        <v>43893.25513888889</v>
      </c>
      <c r="B24808" s="8" t="str">
        <f>HYPERLINK("https://twitter.com/gayotz","@gayotz")</f>
        <v>@gayotz</v>
      </c>
      <c r="C24808" s="8" t="s">
        <v>9904</v>
      </c>
      <c r="D24808" s="8">
        <v>3</v>
      </c>
      <c r="E24808" s="8">
        <v>0</v>
      </c>
      <c r="F24808" s="8">
        <v>147</v>
      </c>
    </row>
    <row r="24809" spans="1:6" ht="12.75">
      <c r="A24809" s="8">
        <v>43893.255057870367</v>
      </c>
      <c r="B24809" s="8" t="str">
        <f>HYPERLINK("https://twitter.com/santoe76","@santoe76")</f>
        <v>@santoe76</v>
      </c>
      <c r="C24809" s="8" t="s">
        <v>9614</v>
      </c>
      <c r="D24809" s="8">
        <v>110</v>
      </c>
      <c r="E24809" s="8">
        <v>0</v>
      </c>
      <c r="F24809" s="8">
        <v>476</v>
      </c>
    </row>
    <row r="24810" spans="1:6" ht="12.75">
      <c r="A24810" s="8">
        <v>43893.254918981482</v>
      </c>
      <c r="B24810" s="8" t="str">
        <f>HYPERLINK("https://twitter.com/SemaneiD","@SemaneiD")</f>
        <v>@SemaneiD</v>
      </c>
      <c r="C24810" s="8" t="s">
        <v>9727</v>
      </c>
      <c r="D24810" s="8">
        <v>72</v>
      </c>
      <c r="E24810" s="8">
        <v>0</v>
      </c>
      <c r="F24810" s="8">
        <v>440</v>
      </c>
    </row>
    <row r="24811" spans="1:6" ht="12.75">
      <c r="A24811" s="8">
        <v>43893.254907407405</v>
      </c>
      <c r="B24811" s="8" t="str">
        <f>HYPERLINK("https://twitter.com/quanshika","@quanshika")</f>
        <v>@quanshika</v>
      </c>
      <c r="C24811" s="8" t="s">
        <v>1427</v>
      </c>
      <c r="D24811" s="8">
        <v>630</v>
      </c>
      <c r="E24811" s="8">
        <v>0</v>
      </c>
      <c r="F24811" s="8">
        <v>1555</v>
      </c>
    </row>
    <row r="24812" spans="1:6" ht="12.75">
      <c r="A24812" s="8">
        <v>43893.254756944443</v>
      </c>
      <c r="B24812" s="8" t="str">
        <f>HYPERLINK("https://twitter.com/ditjenkesmas","@ditjenkesmas")</f>
        <v>@ditjenkesmas</v>
      </c>
      <c r="C24812" s="8" t="s">
        <v>9270</v>
      </c>
      <c r="D24812" s="8">
        <v>111</v>
      </c>
      <c r="E24812" s="8">
        <v>0</v>
      </c>
      <c r="F24812" s="8">
        <v>7217</v>
      </c>
    </row>
    <row r="24813" spans="1:6" ht="12.75">
      <c r="A24813" s="8">
        <v>43893.254606481481</v>
      </c>
      <c r="B24813" s="8" t="str">
        <f>HYPERLINK("https://twitter.com/vitha_mu","@vitha_mu")</f>
        <v>@vitha_mu</v>
      </c>
      <c r="C24813" s="8" t="s">
        <v>9905</v>
      </c>
      <c r="D24813" s="8">
        <v>3</v>
      </c>
      <c r="E24813" s="8">
        <v>0</v>
      </c>
      <c r="F24813" s="8">
        <v>1832</v>
      </c>
    </row>
    <row r="24814" spans="1:6" ht="12.75">
      <c r="A24814" s="8">
        <v>43893.254594907412</v>
      </c>
      <c r="B24814" s="8" t="str">
        <f>HYPERLINK("https://twitter.com/AnugrahFitrah1","@AnugrahFitrah1")</f>
        <v>@AnugrahFitrah1</v>
      </c>
      <c r="C24814" s="8" t="s">
        <v>8322</v>
      </c>
      <c r="D24814" s="8">
        <v>643</v>
      </c>
      <c r="E24814" s="8">
        <v>0</v>
      </c>
      <c r="F24814" s="8">
        <v>721</v>
      </c>
    </row>
    <row r="24815" spans="1:6" ht="12.75">
      <c r="A24815" s="8">
        <v>43893.254583333328</v>
      </c>
      <c r="B24815" s="8" t="str">
        <f>HYPERLINK("https://twitter.com/rakhasyahirr","@rakhasyahirr")</f>
        <v>@rakhasyahirr</v>
      </c>
      <c r="C24815" s="8" t="s">
        <v>2962</v>
      </c>
      <c r="D24815" s="8">
        <v>4764</v>
      </c>
      <c r="E24815" s="8">
        <v>0</v>
      </c>
      <c r="F24815" s="8">
        <v>244</v>
      </c>
    </row>
    <row r="24816" spans="1:6" ht="12.75">
      <c r="A24816" s="8">
        <v>43893.254583333328</v>
      </c>
      <c r="B24816" s="8" t="str">
        <f>HYPERLINK("https://twitter.com/anFanani","@anFanani")</f>
        <v>@anFanani</v>
      </c>
      <c r="C24816" s="8" t="s">
        <v>8322</v>
      </c>
      <c r="D24816" s="8">
        <v>643</v>
      </c>
      <c r="E24816" s="8">
        <v>0</v>
      </c>
      <c r="F24816" s="8">
        <v>3264</v>
      </c>
    </row>
    <row r="24817" spans="1:6" ht="12.75">
      <c r="A24817" s="8">
        <v>43893.254560185189</v>
      </c>
      <c r="B24817" s="8" t="str">
        <f>HYPERLINK("https://twitter.com/Nurasyor","@Nurasyor")</f>
        <v>@Nurasyor</v>
      </c>
      <c r="C24817" s="8" t="s">
        <v>9906</v>
      </c>
      <c r="D24817" s="8">
        <v>4</v>
      </c>
      <c r="E24817" s="8">
        <v>0</v>
      </c>
      <c r="F24817" s="8">
        <v>1045</v>
      </c>
    </row>
    <row r="24818" spans="1:6" ht="12.75">
      <c r="A24818" s="8">
        <v>43893.254560185189</v>
      </c>
      <c r="B24818" s="8" t="str">
        <f>HYPERLINK("https://twitter.com/julian_wisnu","@julian_wisnu")</f>
        <v>@julian_wisnu</v>
      </c>
      <c r="C24818" s="8" t="s">
        <v>1986</v>
      </c>
      <c r="D24818" s="8">
        <v>574</v>
      </c>
      <c r="E24818" s="8">
        <v>0</v>
      </c>
      <c r="F24818" s="8">
        <v>252</v>
      </c>
    </row>
    <row r="24819" spans="1:6" ht="12.75">
      <c r="A24819" s="8">
        <v>43893.254537037035</v>
      </c>
      <c r="B24819" s="8" t="str">
        <f>HYPERLINK("https://twitter.com/kingsDja","@kingsDja")</f>
        <v>@kingsDja</v>
      </c>
      <c r="C24819" s="8" t="s">
        <v>1970</v>
      </c>
      <c r="D24819" s="8">
        <v>338</v>
      </c>
      <c r="E24819" s="8">
        <v>0</v>
      </c>
      <c r="F24819" s="8">
        <v>696</v>
      </c>
    </row>
    <row r="24820" spans="1:6" ht="12.75">
      <c r="A24820" s="8">
        <v>43893.254340277781</v>
      </c>
      <c r="B24820" s="8" t="str">
        <f>HYPERLINK("https://twitter.com/Mega_ca13","@Mega_ca13")</f>
        <v>@Mega_ca13</v>
      </c>
      <c r="C24820" s="8" t="s">
        <v>9295</v>
      </c>
      <c r="D24820" s="8">
        <v>152</v>
      </c>
      <c r="E24820" s="8">
        <v>0</v>
      </c>
      <c r="F24820" s="8">
        <v>263</v>
      </c>
    </row>
    <row r="24821" spans="1:6" ht="12.75">
      <c r="A24821" s="8">
        <v>43893.254305555558</v>
      </c>
      <c r="B24821" s="8" t="str">
        <f>HYPERLINK("https://twitter.com/hsprinceza","@hsprinceza")</f>
        <v>@hsprinceza</v>
      </c>
      <c r="C24821" s="8" t="s">
        <v>2962</v>
      </c>
      <c r="D24821" s="8">
        <v>4764</v>
      </c>
      <c r="E24821" s="8">
        <v>0</v>
      </c>
      <c r="F24821" s="8">
        <v>779</v>
      </c>
    </row>
    <row r="24822" spans="1:6" ht="12.75">
      <c r="A24822" s="8">
        <v>43893.254293981481</v>
      </c>
      <c r="B24822" s="8" t="str">
        <f>HYPERLINK("https://twitter.com/adhammochR","@adhammochR")</f>
        <v>@adhammochR</v>
      </c>
      <c r="C24822" s="8" t="s">
        <v>9907</v>
      </c>
      <c r="D24822" s="8">
        <v>0</v>
      </c>
      <c r="E24822" s="8">
        <v>0</v>
      </c>
      <c r="F24822" s="8">
        <v>14</v>
      </c>
    </row>
    <row r="24823" spans="1:6" ht="12.75">
      <c r="A24823" s="8">
        <v>43893.254143518519</v>
      </c>
      <c r="B24823" s="8" t="str">
        <f>HYPERLINK("https://twitter.com/Retnah1","@Retnah1")</f>
        <v>@Retnah1</v>
      </c>
      <c r="C24823" s="8" t="s">
        <v>9908</v>
      </c>
      <c r="D24823" s="8">
        <v>597</v>
      </c>
      <c r="E24823" s="8">
        <v>0</v>
      </c>
      <c r="F24823" s="8">
        <v>1</v>
      </c>
    </row>
    <row r="24824" spans="1:6" ht="12.75">
      <c r="A24824" s="8">
        <v>43893.254131944443</v>
      </c>
      <c r="B24824" s="8" t="str">
        <f>HYPERLINK("https://twitter.com/rakjat4","@rakjat4")</f>
        <v>@rakjat4</v>
      </c>
      <c r="C24824" s="8" t="s">
        <v>6832</v>
      </c>
      <c r="D24824" s="8">
        <v>900</v>
      </c>
      <c r="E24824" s="8">
        <v>0</v>
      </c>
      <c r="F24824" s="8">
        <v>956</v>
      </c>
    </row>
    <row r="24825" spans="1:6" ht="12.75">
      <c r="A24825" s="8">
        <v>43893.25403935185</v>
      </c>
      <c r="B24825" s="8" t="str">
        <f>HYPERLINK("https://twitter.com/efendhar","@efendhar")</f>
        <v>@efendhar</v>
      </c>
      <c r="C24825" s="8" t="s">
        <v>9909</v>
      </c>
      <c r="D24825" s="8">
        <v>0</v>
      </c>
      <c r="E24825" s="8">
        <v>0</v>
      </c>
      <c r="F24825" s="8">
        <v>35</v>
      </c>
    </row>
    <row r="24826" spans="1:6" ht="12.75">
      <c r="A24826" s="8">
        <v>43893.254027777773</v>
      </c>
      <c r="B24826" s="8" t="str">
        <f>HYPERLINK("https://twitter.com/monitorku","@monitorku")</f>
        <v>@monitorku</v>
      </c>
      <c r="C24826" s="8" t="s">
        <v>9910</v>
      </c>
      <c r="D24826" s="8">
        <v>541</v>
      </c>
      <c r="E24826" s="8">
        <v>0</v>
      </c>
      <c r="F24826" s="8">
        <v>377</v>
      </c>
    </row>
    <row r="24827" spans="1:6" ht="12.75">
      <c r="A24827" s="8">
        <v>43893.253888888888</v>
      </c>
      <c r="B24827" s="8" t="str">
        <f>HYPERLINK("https://twitter.com/Evarosd8","@Evarosd8")</f>
        <v>@Evarosd8</v>
      </c>
      <c r="C24827" s="8" t="s">
        <v>9911</v>
      </c>
      <c r="D24827" s="8">
        <v>0</v>
      </c>
      <c r="E24827" s="8">
        <v>1</v>
      </c>
      <c r="F24827" s="8">
        <v>52</v>
      </c>
    </row>
    <row r="24828" spans="1:6" ht="12.75">
      <c r="A24828" s="8">
        <v>43893.25377314815</v>
      </c>
      <c r="B24828" s="8" t="str">
        <f>HYPERLINK("https://twitter.com/sayangtuwitter","@sayangtuwitter")</f>
        <v>@sayangtuwitter</v>
      </c>
      <c r="C24828" s="8" t="s">
        <v>8737</v>
      </c>
      <c r="D24828" s="8">
        <v>1198</v>
      </c>
      <c r="E24828" s="8">
        <v>0</v>
      </c>
      <c r="F24828" s="8">
        <v>3125</v>
      </c>
    </row>
    <row r="24829" spans="1:6" ht="12.75">
      <c r="A24829" s="8">
        <v>43893.253668981481</v>
      </c>
      <c r="B24829" s="8" t="str">
        <f>HYPERLINK("https://twitter.com/manager_5am","@manager_5am")</f>
        <v>@manager_5am</v>
      </c>
      <c r="C24829" s="8" t="s">
        <v>1970</v>
      </c>
      <c r="D24829" s="8">
        <v>338</v>
      </c>
      <c r="E24829" s="8">
        <v>0</v>
      </c>
      <c r="F24829" s="8">
        <v>7152</v>
      </c>
    </row>
    <row r="24830" spans="1:6" ht="12.75">
      <c r="A24830" s="8">
        <v>43893.253668981481</v>
      </c>
      <c r="B24830" s="8" t="str">
        <f>HYPERLINK("https://twitter.com/Diastaufiq","@Diastaufiq")</f>
        <v>@Diastaufiq</v>
      </c>
      <c r="C24830" s="8" t="s">
        <v>7704</v>
      </c>
      <c r="D24830" s="8">
        <v>290</v>
      </c>
      <c r="E24830" s="8">
        <v>0</v>
      </c>
      <c r="F24830" s="8">
        <v>181</v>
      </c>
    </row>
    <row r="24831" spans="1:6" ht="12.75">
      <c r="A24831" s="8">
        <v>43893.253634259258</v>
      </c>
      <c r="B24831" s="8" t="str">
        <f>HYPERLINK("https://twitter.com/m_32_87","@m_32_87")</f>
        <v>@m_32_87</v>
      </c>
      <c r="C24831" s="8" t="s">
        <v>4477</v>
      </c>
      <c r="D24831" s="8">
        <v>922</v>
      </c>
      <c r="E24831" s="8">
        <v>0</v>
      </c>
      <c r="F24831" s="8">
        <v>1433</v>
      </c>
    </row>
    <row r="24832" spans="1:6" ht="12.75">
      <c r="A24832" s="8">
        <v>43893.253622685181</v>
      </c>
      <c r="B24832" s="8" t="str">
        <f>HYPERLINK("https://twitter.com/realjenojaem","@realjenojaem")</f>
        <v>@realjenojaem</v>
      </c>
      <c r="C24832" s="8" t="s">
        <v>9912</v>
      </c>
      <c r="D24832" s="8">
        <v>12</v>
      </c>
      <c r="E24832" s="8">
        <v>0</v>
      </c>
      <c r="F24832" s="8">
        <v>339</v>
      </c>
    </row>
    <row r="24833" spans="1:6" ht="12.75">
      <c r="A24833" s="8">
        <v>43893.253564814819</v>
      </c>
      <c r="B24833" s="8" t="str">
        <f>HYPERLINK("https://twitter.com/satriosoegianto","@satriosoegianto")</f>
        <v>@satriosoegianto</v>
      </c>
      <c r="C24833" s="8" t="s">
        <v>9913</v>
      </c>
      <c r="D24833" s="8">
        <v>4</v>
      </c>
      <c r="E24833" s="8">
        <v>0</v>
      </c>
      <c r="F24833" s="8">
        <v>70</v>
      </c>
    </row>
    <row r="24834" spans="1:6" ht="12.75">
      <c r="A24834" s="8">
        <v>43893.253553240742</v>
      </c>
      <c r="B24834" s="8" t="str">
        <f>HYPERLINK("https://twitter.com/emirzarry","@emirzarry")</f>
        <v>@emirzarry</v>
      </c>
      <c r="C24834" s="8" t="s">
        <v>9914</v>
      </c>
      <c r="D24834" s="8">
        <v>0</v>
      </c>
      <c r="E24834" s="8">
        <v>0</v>
      </c>
      <c r="F24834" s="8">
        <v>58806</v>
      </c>
    </row>
    <row r="24835" spans="1:6" ht="12.75">
      <c r="A24835" s="8">
        <v>43893.253530092596</v>
      </c>
      <c r="B24835" s="8" t="str">
        <f>HYPERLINK("https://twitter.com/AndiBinTaslim1","@AndiBinTaslim1")</f>
        <v>@AndiBinTaslim1</v>
      </c>
      <c r="C24835" s="8" t="s">
        <v>1970</v>
      </c>
      <c r="D24835" s="8">
        <v>338</v>
      </c>
      <c r="E24835" s="8">
        <v>0</v>
      </c>
      <c r="F24835" s="8">
        <v>15</v>
      </c>
    </row>
    <row r="24836" spans="1:6" ht="12.75">
      <c r="A24836" s="8">
        <v>43893.253483796296</v>
      </c>
      <c r="B24836" s="8" t="str">
        <f>HYPERLINK("https://twitter.com/AbiHaniAulia1","@AbiHaniAulia1")</f>
        <v>@AbiHaniAulia1</v>
      </c>
      <c r="C24836" s="8" t="s">
        <v>1970</v>
      </c>
      <c r="D24836" s="8">
        <v>338</v>
      </c>
      <c r="E24836" s="8">
        <v>0</v>
      </c>
      <c r="F24836" s="8">
        <v>18</v>
      </c>
    </row>
    <row r="24837" spans="1:6" ht="12.75">
      <c r="A24837" s="8">
        <v>43893.253472222219</v>
      </c>
      <c r="B24837" s="8" t="str">
        <f>HYPERLINK("https://twitter.com/himandoo","@himandoo")</f>
        <v>@himandoo</v>
      </c>
      <c r="C24837" s="8" t="s">
        <v>6971</v>
      </c>
      <c r="D24837" s="8">
        <v>235</v>
      </c>
      <c r="E24837" s="8">
        <v>0</v>
      </c>
      <c r="F24837" s="8">
        <v>329</v>
      </c>
    </row>
    <row r="24838" spans="1:6" ht="12.75">
      <c r="A24838" s="8">
        <v>43893.253275462965</v>
      </c>
      <c r="B24838" s="8" t="str">
        <f>HYPERLINK("https://twitter.com/Ari09082220","@Ari09082220")</f>
        <v>@Ari09082220</v>
      </c>
      <c r="C24838" s="8" t="s">
        <v>1970</v>
      </c>
      <c r="D24838" s="8">
        <v>338</v>
      </c>
      <c r="E24838" s="8">
        <v>0</v>
      </c>
      <c r="F24838" s="8">
        <v>76</v>
      </c>
    </row>
    <row r="24839" spans="1:6" ht="12.75">
      <c r="A24839" s="8">
        <v>43893.253240740742</v>
      </c>
      <c r="B24839" s="8" t="str">
        <f>HYPERLINK("https://twitter.com/ayah_pinban","@ayah_pinban")</f>
        <v>@ayah_pinban</v>
      </c>
      <c r="C24839" s="8" t="s">
        <v>4477</v>
      </c>
      <c r="D24839" s="8">
        <v>922</v>
      </c>
      <c r="E24839" s="8">
        <v>0</v>
      </c>
      <c r="F24839" s="8">
        <v>635</v>
      </c>
    </row>
    <row r="24840" spans="1:6" ht="12.75">
      <c r="A24840" s="8">
        <v>43893.253229166672</v>
      </c>
      <c r="B24840" s="8" t="str">
        <f>HYPERLINK("https://twitter.com/YunusAntares","@YunusAntares")</f>
        <v>@YunusAntares</v>
      </c>
      <c r="C24840" s="8" t="s">
        <v>9915</v>
      </c>
      <c r="D24840" s="8">
        <v>87</v>
      </c>
      <c r="E24840" s="8">
        <v>0</v>
      </c>
      <c r="F24840" s="8">
        <v>419</v>
      </c>
    </row>
    <row r="24841" spans="1:6" ht="12.75">
      <c r="A24841" s="8">
        <v>43893.253148148149</v>
      </c>
      <c r="B24841" s="8" t="str">
        <f>HYPERLINK("https://twitter.com/CasperBeWin1","@CasperBeWin1")</f>
        <v>@CasperBeWin1</v>
      </c>
      <c r="C24841" s="8" t="s">
        <v>9417</v>
      </c>
      <c r="D24841" s="8">
        <v>11</v>
      </c>
      <c r="E24841" s="8">
        <v>0</v>
      </c>
      <c r="F24841" s="8">
        <v>2982</v>
      </c>
    </row>
    <row r="24842" spans="1:6" ht="12.75">
      <c r="A24842" s="8">
        <v>43893.253125000003</v>
      </c>
      <c r="B24842" s="8" t="str">
        <f>HYPERLINK("https://twitter.com/Nn_enii","@Nn_enii")</f>
        <v>@Nn_enii</v>
      </c>
      <c r="C24842" s="8" t="s">
        <v>2962</v>
      </c>
      <c r="D24842" s="8">
        <v>4764</v>
      </c>
      <c r="E24842" s="8">
        <v>0</v>
      </c>
      <c r="F24842" s="8">
        <v>259</v>
      </c>
    </row>
    <row r="24843" spans="1:6" ht="12.75">
      <c r="A24843" s="8">
        <v>43893.25309027778</v>
      </c>
      <c r="B24843" s="8" t="str">
        <f>HYPERLINK("https://twitter.com/KOCHENG_OYENN","@KOCHENG_OYENN")</f>
        <v>@KOCHENG_OYENN</v>
      </c>
      <c r="C24843" s="8" t="s">
        <v>9916</v>
      </c>
      <c r="D24843" s="8">
        <v>0</v>
      </c>
      <c r="E24843" s="8">
        <v>0</v>
      </c>
      <c r="F24843" s="8">
        <v>810</v>
      </c>
    </row>
    <row r="24844" spans="1:6" ht="12.75">
      <c r="A24844" s="8">
        <v>43893.252951388888</v>
      </c>
      <c r="B24844" s="8" t="str">
        <f>HYPERLINK("https://twitter.com/siejeunni","@siejeunni")</f>
        <v>@siejeunni</v>
      </c>
      <c r="C24844" s="8" t="s">
        <v>2962</v>
      </c>
      <c r="D24844" s="8">
        <v>4764</v>
      </c>
      <c r="E24844" s="8">
        <v>0</v>
      </c>
      <c r="F24844" s="8">
        <v>307</v>
      </c>
    </row>
    <row r="24845" spans="1:6" ht="12.75">
      <c r="A24845" s="8">
        <v>43893.252881944441</v>
      </c>
      <c r="B24845" s="8" t="str">
        <f>HYPERLINK("https://twitter.com/BlackisBlackMSS","@BlackisBlackMSS")</f>
        <v>@BlackisBlackMSS</v>
      </c>
      <c r="C24845" s="8" t="s">
        <v>1145</v>
      </c>
      <c r="D24845" s="8">
        <v>467</v>
      </c>
      <c r="E24845" s="8">
        <v>0</v>
      </c>
      <c r="F24845" s="8">
        <v>4603</v>
      </c>
    </row>
    <row r="24846" spans="1:6" ht="12.75">
      <c r="A24846" s="8">
        <v>43893.25273148148</v>
      </c>
      <c r="B24846" s="8" t="str">
        <f>HYPERLINK("https://twitter.com/Fredy_Santana01","@Fredy_Santana01")</f>
        <v>@Fredy_Santana01</v>
      </c>
      <c r="C24846" s="8" t="s">
        <v>4477</v>
      </c>
      <c r="D24846" s="8">
        <v>922</v>
      </c>
      <c r="E24846" s="8">
        <v>0</v>
      </c>
      <c r="F24846" s="8">
        <v>1703</v>
      </c>
    </row>
    <row r="24847" spans="1:6" ht="12.75">
      <c r="A24847" s="8">
        <v>43893.252650462964</v>
      </c>
      <c r="B24847" s="8" t="str">
        <f>HYPERLINK("https://twitter.com/nunuananaaa","@nunuananaaa")</f>
        <v>@nunuananaaa</v>
      </c>
      <c r="C24847" s="8" t="s">
        <v>2199</v>
      </c>
      <c r="D24847" s="8">
        <v>8529</v>
      </c>
      <c r="E24847" s="8">
        <v>0</v>
      </c>
      <c r="F24847" s="8">
        <v>1261</v>
      </c>
    </row>
    <row r="24848" spans="1:6" ht="12.75">
      <c r="A24848" s="8">
        <v>43893.252557870372</v>
      </c>
      <c r="B24848" s="8" t="str">
        <f>HYPERLINK("https://twitter.com/Bhuz11","@Bhuz11")</f>
        <v>@Bhuz11</v>
      </c>
      <c r="C24848" s="8" t="s">
        <v>9817</v>
      </c>
      <c r="D24848" s="8">
        <v>45</v>
      </c>
      <c r="E24848" s="8">
        <v>0</v>
      </c>
      <c r="F24848" s="8">
        <v>190</v>
      </c>
    </row>
    <row r="24849" spans="1:6" ht="12.75">
      <c r="A24849" s="8">
        <v>43893.252523148149</v>
      </c>
      <c r="B24849" s="8" t="str">
        <f>HYPERLINK("https://twitter.com/theRealBondan","@theRealBondan")</f>
        <v>@theRealBondan</v>
      </c>
      <c r="C24849" s="8" t="s">
        <v>5732</v>
      </c>
      <c r="D24849" s="8">
        <v>2088</v>
      </c>
      <c r="E24849" s="8">
        <v>0</v>
      </c>
      <c r="F24849" s="8">
        <v>532</v>
      </c>
    </row>
    <row r="24850" spans="1:6" ht="12.75">
      <c r="A24850" s="8">
        <v>43893.252511574072</v>
      </c>
      <c r="B24850" s="8" t="str">
        <f>HYPERLINK("https://twitter.com/buds_bunny","@buds_bunny")</f>
        <v>@buds_bunny</v>
      </c>
      <c r="C24850" s="8" t="s">
        <v>9300</v>
      </c>
      <c r="D24850" s="8">
        <v>165</v>
      </c>
      <c r="E24850" s="8">
        <v>0</v>
      </c>
      <c r="F24850" s="8">
        <v>170</v>
      </c>
    </row>
    <row r="24851" spans="1:6" ht="12.75">
      <c r="A24851" s="8">
        <v>43893.252233796295</v>
      </c>
      <c r="B24851" s="8" t="str">
        <f>HYPERLINK("https://twitter.com/ESDMJateng","@ESDMJateng")</f>
        <v>@ESDMJateng</v>
      </c>
      <c r="C24851" s="8" t="s">
        <v>8843</v>
      </c>
      <c r="D24851" s="8">
        <v>36</v>
      </c>
      <c r="E24851" s="8">
        <v>0</v>
      </c>
      <c r="F24851" s="8">
        <v>14513</v>
      </c>
    </row>
    <row r="24852" spans="1:6" ht="12.75">
      <c r="A24852" s="8">
        <v>43893.252187499995</v>
      </c>
      <c r="B24852" s="8" t="str">
        <f>HYPERLINK("https://twitter.com/MFajriyansyah","@MFajriyansyah")</f>
        <v>@MFajriyansyah</v>
      </c>
      <c r="C24852" s="8" t="s">
        <v>1970</v>
      </c>
      <c r="D24852" s="8">
        <v>338</v>
      </c>
      <c r="E24852" s="8">
        <v>0</v>
      </c>
      <c r="F24852" s="8">
        <v>33</v>
      </c>
    </row>
    <row r="24853" spans="1:6" ht="12.75">
      <c r="A24853" s="8">
        <v>43893.252187499995</v>
      </c>
      <c r="B24853" s="8" t="str">
        <f>HYPERLINK("https://twitter.com/NcangBeni","@NcangBeni")</f>
        <v>@NcangBeni</v>
      </c>
      <c r="C24853" s="8" t="s">
        <v>1970</v>
      </c>
      <c r="D24853" s="8">
        <v>338</v>
      </c>
      <c r="E24853" s="8">
        <v>0</v>
      </c>
      <c r="F24853" s="8">
        <v>4201</v>
      </c>
    </row>
    <row r="24854" spans="1:6" ht="12.75">
      <c r="A24854" s="8">
        <v>43893.252152777779</v>
      </c>
      <c r="B24854" s="8" t="str">
        <f>HYPERLINK("https://twitter.com/ozennim","@ozennim")</f>
        <v>@ozennim</v>
      </c>
      <c r="C24854" s="8" t="s">
        <v>2199</v>
      </c>
      <c r="D24854" s="8">
        <v>8529</v>
      </c>
      <c r="E24854" s="8">
        <v>0</v>
      </c>
      <c r="F24854" s="8">
        <v>63</v>
      </c>
    </row>
    <row r="24855" spans="1:6" ht="12.75">
      <c r="A24855" s="8">
        <v>43893.252129629633</v>
      </c>
      <c r="B24855" s="8" t="str">
        <f>HYPERLINK("https://twitter.com/raharjaputra27","@raharjaputra27")</f>
        <v>@raharjaputra27</v>
      </c>
      <c r="C24855" s="8" t="s">
        <v>2962</v>
      </c>
      <c r="D24855" s="8">
        <v>4764</v>
      </c>
      <c r="E24855" s="8">
        <v>0</v>
      </c>
      <c r="F24855" s="8">
        <v>253</v>
      </c>
    </row>
    <row r="24856" spans="1:6" ht="12.75">
      <c r="A24856" s="8">
        <v>43893.252118055556</v>
      </c>
      <c r="B24856" s="8" t="str">
        <f>HYPERLINK("https://twitter.com/FerryWachjudi","@FerryWachjudi")</f>
        <v>@FerryWachjudi</v>
      </c>
      <c r="C24856" s="8" t="s">
        <v>9917</v>
      </c>
      <c r="D24856" s="8">
        <v>3</v>
      </c>
      <c r="E24856" s="8">
        <v>0</v>
      </c>
      <c r="F24856" s="8">
        <v>371</v>
      </c>
    </row>
    <row r="24857" spans="1:6" ht="12.75">
      <c r="A24857" s="8">
        <v>43893.25209490741</v>
      </c>
      <c r="B24857" s="8" t="str">
        <f>HYPERLINK("https://twitter.com/MATotaSH1","@MATotaSH1")</f>
        <v>@MATotaSH1</v>
      </c>
      <c r="C24857" s="8" t="s">
        <v>9595</v>
      </c>
      <c r="D24857" s="8">
        <v>32</v>
      </c>
      <c r="E24857" s="8">
        <v>0</v>
      </c>
      <c r="F24857" s="8">
        <v>9</v>
      </c>
    </row>
    <row r="24858" spans="1:6" ht="12.75">
      <c r="A24858" s="8">
        <v>43893.252013888894</v>
      </c>
      <c r="B24858" s="8" t="str">
        <f>HYPERLINK("https://twitter.com/AhmadAn53548275","@AhmadAn53548275")</f>
        <v>@AhmadAn53548275</v>
      </c>
      <c r="C24858" s="8" t="s">
        <v>7597</v>
      </c>
      <c r="D24858" s="8">
        <v>550</v>
      </c>
      <c r="E24858" s="8">
        <v>0</v>
      </c>
      <c r="F24858" s="8">
        <v>40</v>
      </c>
    </row>
    <row r="24859" spans="1:6" ht="12.75">
      <c r="A24859" s="8">
        <v>43893.25199074074</v>
      </c>
      <c r="B24859" s="8" t="str">
        <f>HYPERLINK("https://twitter.com/jokoselong","@jokoselong")</f>
        <v>@jokoselong</v>
      </c>
      <c r="C24859" s="8" t="s">
        <v>1970</v>
      </c>
      <c r="D24859" s="8">
        <v>338</v>
      </c>
      <c r="E24859" s="8">
        <v>0</v>
      </c>
      <c r="F24859" s="8">
        <v>1771</v>
      </c>
    </row>
    <row r="24860" spans="1:6" ht="12.75">
      <c r="A24860" s="8">
        <v>43893.251909722225</v>
      </c>
      <c r="B24860" s="8" t="str">
        <f>HYPERLINK("https://twitter.com/manager_5am","@manager_5am")</f>
        <v>@manager_5am</v>
      </c>
      <c r="C24860" s="8" t="s">
        <v>7661</v>
      </c>
      <c r="D24860" s="8">
        <v>379</v>
      </c>
      <c r="E24860" s="8">
        <v>0</v>
      </c>
      <c r="F24860" s="8">
        <v>7152</v>
      </c>
    </row>
    <row r="24861" spans="1:6" ht="12.75">
      <c r="A24861" s="8">
        <v>43893.251805555556</v>
      </c>
      <c r="B24861" s="8" t="str">
        <f>HYPERLINK("https://twitter.com/moprat02255","@moprat02255")</f>
        <v>@moprat02255</v>
      </c>
      <c r="C24861" s="8" t="s">
        <v>9801</v>
      </c>
      <c r="D24861" s="8">
        <v>16</v>
      </c>
      <c r="E24861" s="8">
        <v>0</v>
      </c>
      <c r="F24861" s="8">
        <v>2076</v>
      </c>
    </row>
    <row r="24862" spans="1:6" ht="12.75">
      <c r="A24862" s="8">
        <v>43893.25167824074</v>
      </c>
      <c r="B24862" s="8" t="str">
        <f>HYPERLINK("https://twitter.com/idasachna2gmai2","@idasachna2gmai2")</f>
        <v>@idasachna2gmai2</v>
      </c>
      <c r="C24862" s="8" t="s">
        <v>1970</v>
      </c>
      <c r="D24862" s="8">
        <v>338</v>
      </c>
      <c r="E24862" s="8">
        <v>0</v>
      </c>
      <c r="F24862" s="8">
        <v>3</v>
      </c>
    </row>
    <row r="24863" spans="1:6" ht="12.75">
      <c r="A24863" s="8">
        <v>43893.251620370371</v>
      </c>
      <c r="B24863" s="8" t="str">
        <f>HYPERLINK("https://twitter.com/ahmad_shahzwan","@ahmad_shahzwan")</f>
        <v>@ahmad_shahzwan</v>
      </c>
      <c r="C24863" s="8" t="s">
        <v>9701</v>
      </c>
      <c r="D24863" s="8">
        <v>1677</v>
      </c>
      <c r="E24863" s="8">
        <v>0</v>
      </c>
      <c r="F24863" s="8">
        <v>14</v>
      </c>
    </row>
    <row r="24864" spans="1:6" ht="12.75">
      <c r="A24864" s="8">
        <v>43893.251469907409</v>
      </c>
      <c r="B24864" s="8" t="str">
        <f>HYPERLINK("https://twitter.com/Parhan24124547","@Parhan24124547")</f>
        <v>@Parhan24124547</v>
      </c>
      <c r="C24864" s="8" t="s">
        <v>1970</v>
      </c>
      <c r="D24864" s="8">
        <v>338</v>
      </c>
      <c r="E24864" s="8">
        <v>0</v>
      </c>
      <c r="F24864" s="8">
        <v>3</v>
      </c>
    </row>
    <row r="24865" spans="1:6" ht="12.75">
      <c r="A24865" s="8">
        <v>43893.251423611116</v>
      </c>
      <c r="B24865" s="8" t="str">
        <f>HYPERLINK("https://twitter.com/kaapaloo","@kaapaloo")</f>
        <v>@kaapaloo</v>
      </c>
      <c r="C24865" s="8" t="s">
        <v>1970</v>
      </c>
      <c r="D24865" s="8">
        <v>338</v>
      </c>
      <c r="E24865" s="8">
        <v>0</v>
      </c>
      <c r="F24865" s="8">
        <v>106</v>
      </c>
    </row>
    <row r="24866" spans="1:6" ht="12.75">
      <c r="A24866" s="8">
        <v>43893.251377314809</v>
      </c>
      <c r="B24866" s="8" t="str">
        <f>HYPERLINK("https://twitter.com/tohaaam29","@tohaaam29")</f>
        <v>@tohaaam29</v>
      </c>
      <c r="C24866" s="8" t="s">
        <v>7661</v>
      </c>
      <c r="D24866" s="8">
        <v>379</v>
      </c>
      <c r="E24866" s="8">
        <v>0</v>
      </c>
      <c r="F24866" s="8">
        <v>555</v>
      </c>
    </row>
    <row r="24867" spans="1:6" ht="12.75">
      <c r="A24867" s="8">
        <v>43893.251377314809</v>
      </c>
      <c r="B24867" s="8" t="str">
        <f>HYPERLINK("https://twitter.com/nusanisa","@nusanisa")</f>
        <v>@nusanisa</v>
      </c>
      <c r="C24867" s="8" t="s">
        <v>9918</v>
      </c>
      <c r="D24867" s="8">
        <v>12</v>
      </c>
      <c r="E24867" s="8">
        <v>0</v>
      </c>
      <c r="F24867" s="8">
        <v>144</v>
      </c>
    </row>
    <row r="24868" spans="1:6" ht="12.75">
      <c r="A24868" s="8">
        <v>43893.251180555555</v>
      </c>
      <c r="B24868" s="8" t="str">
        <f>HYPERLINK("https://twitter.com/HRS212_","@HRS212_")</f>
        <v>@HRS212_</v>
      </c>
      <c r="C24868" s="8" t="s">
        <v>1970</v>
      </c>
      <c r="D24868" s="8">
        <v>338</v>
      </c>
      <c r="E24868" s="8">
        <v>0</v>
      </c>
      <c r="F24868" s="8">
        <v>701</v>
      </c>
    </row>
    <row r="24869" spans="1:6" ht="12.75">
      <c r="A24869" s="8">
        <v>43893.251180555555</v>
      </c>
      <c r="B24869" s="8" t="str">
        <f>HYPERLINK("https://twitter.com/SemaneiD","@SemaneiD")</f>
        <v>@SemaneiD</v>
      </c>
      <c r="C24869" s="8" t="s">
        <v>8901</v>
      </c>
      <c r="D24869" s="8">
        <v>10</v>
      </c>
      <c r="E24869" s="8">
        <v>0</v>
      </c>
      <c r="F24869" s="8">
        <v>440</v>
      </c>
    </row>
    <row r="24870" spans="1:6" ht="12.75">
      <c r="A24870" s="8">
        <v>43893.25105324074</v>
      </c>
      <c r="B24870" s="8" t="str">
        <f>HYPERLINK("https://twitter.com/LukmanaDedy","@LukmanaDedy")</f>
        <v>@LukmanaDedy</v>
      </c>
      <c r="C24870" s="8" t="s">
        <v>1970</v>
      </c>
      <c r="D24870" s="8">
        <v>338</v>
      </c>
      <c r="E24870" s="8">
        <v>0</v>
      </c>
      <c r="F24870" s="8">
        <v>21</v>
      </c>
    </row>
    <row r="24871" spans="1:6" ht="12.75">
      <c r="A24871" s="8">
        <v>43893.25100694444</v>
      </c>
      <c r="B24871" s="8" t="str">
        <f>HYPERLINK("https://twitter.com/egaluh99","@egaluh99")</f>
        <v>@egaluh99</v>
      </c>
      <c r="C24871" s="8" t="s">
        <v>2199</v>
      </c>
      <c r="D24871" s="8">
        <v>8529</v>
      </c>
      <c r="E24871" s="8">
        <v>0</v>
      </c>
      <c r="F24871" s="8">
        <v>147</v>
      </c>
    </row>
    <row r="24872" spans="1:6" ht="12.75">
      <c r="A24872" s="8">
        <v>43893.250960648147</v>
      </c>
      <c r="B24872" s="8" t="str">
        <f>HYPERLINK("https://twitter.com/hollasayang","@hollasayang")</f>
        <v>@hollasayang</v>
      </c>
      <c r="C24872" s="8" t="s">
        <v>9919</v>
      </c>
      <c r="D24872" s="8">
        <v>68</v>
      </c>
      <c r="E24872" s="8">
        <v>0</v>
      </c>
      <c r="F24872" s="8">
        <v>234</v>
      </c>
    </row>
    <row r="24873" spans="1:6" ht="12.75">
      <c r="A24873" s="8">
        <v>43893.250775462962</v>
      </c>
      <c r="B24873" s="8" t="str">
        <f>HYPERLINK("https://twitter.com/ArkyDarmawan","@ArkyDarmawan")</f>
        <v>@ArkyDarmawan</v>
      </c>
      <c r="C24873" s="8" t="s">
        <v>9920</v>
      </c>
      <c r="D24873" s="8">
        <v>8</v>
      </c>
      <c r="E24873" s="8">
        <v>0</v>
      </c>
      <c r="F24873" s="8">
        <v>28</v>
      </c>
    </row>
    <row r="24874" spans="1:6" ht="12.75">
      <c r="A24874" s="8">
        <v>43893.250752314816</v>
      </c>
      <c r="B24874" s="8" t="str">
        <f>HYPERLINK("https://twitter.com/ShafiqPontoh","@ShafiqPontoh")</f>
        <v>@ShafiqPontoh</v>
      </c>
      <c r="C24874" s="8" t="s">
        <v>9176</v>
      </c>
      <c r="D24874" s="8">
        <v>1257</v>
      </c>
      <c r="E24874" s="8">
        <v>0</v>
      </c>
      <c r="F24874" s="8">
        <v>27270</v>
      </c>
    </row>
    <row r="24875" spans="1:6" ht="12.75">
      <c r="A24875" s="8">
        <v>43893.250659722224</v>
      </c>
      <c r="B24875" s="8" t="str">
        <f>HYPERLINK("https://twitter.com/Indra_Cebz","@Indra_Cebz")</f>
        <v>@Indra_Cebz</v>
      </c>
      <c r="C24875" s="8" t="s">
        <v>9117</v>
      </c>
      <c r="D24875" s="8">
        <v>233</v>
      </c>
      <c r="E24875" s="8">
        <v>0</v>
      </c>
      <c r="F24875" s="8">
        <v>372</v>
      </c>
    </row>
    <row r="24876" spans="1:6" ht="12.75">
      <c r="A24876" s="8">
        <v>43893.250590277778</v>
      </c>
      <c r="B24876" s="8" t="str">
        <f>HYPERLINK("https://twitter.com/pecintaindomilk","@pecintaindomilk")</f>
        <v>@pecintaindomilk</v>
      </c>
      <c r="C24876" s="8" t="s">
        <v>2962</v>
      </c>
      <c r="D24876" s="8">
        <v>4764</v>
      </c>
      <c r="E24876" s="8">
        <v>0</v>
      </c>
      <c r="F24876" s="8">
        <v>367</v>
      </c>
    </row>
    <row r="24877" spans="1:6" ht="12.75">
      <c r="A24877" s="8">
        <v>43893.250578703708</v>
      </c>
      <c r="B24877" s="8" t="str">
        <f>HYPERLINK("https://twitter.com/bbeomin_","@bbeomin_")</f>
        <v>@bbeomin_</v>
      </c>
      <c r="C24877" s="8" t="s">
        <v>2199</v>
      </c>
      <c r="D24877" s="8">
        <v>8529</v>
      </c>
      <c r="E24877" s="8">
        <v>0</v>
      </c>
      <c r="F24877" s="8">
        <v>706</v>
      </c>
    </row>
    <row r="24878" spans="1:6" ht="12.75">
      <c r="A24878" s="8">
        <v>43893.250532407408</v>
      </c>
      <c r="B24878" s="8" t="str">
        <f>HYPERLINK("https://twitter.com/WellFredd","@WellFredd")</f>
        <v>@WellFredd</v>
      </c>
      <c r="C24878" s="8" t="s">
        <v>1986</v>
      </c>
      <c r="D24878" s="8">
        <v>574</v>
      </c>
      <c r="E24878" s="8">
        <v>0</v>
      </c>
      <c r="F24878" s="8">
        <v>100</v>
      </c>
    </row>
    <row r="24879" spans="1:6" ht="12.75">
      <c r="A24879" s="8">
        <v>43893.250474537039</v>
      </c>
      <c r="B24879" s="8" t="str">
        <f>HYPERLINK("https://twitter.com/Sentjoko","@Sentjoko")</f>
        <v>@Sentjoko</v>
      </c>
      <c r="C24879" s="8" t="s">
        <v>9921</v>
      </c>
      <c r="D24879" s="8">
        <v>0</v>
      </c>
      <c r="E24879" s="8">
        <v>0</v>
      </c>
      <c r="F24879" s="8">
        <v>1543</v>
      </c>
    </row>
    <row r="24880" spans="1:6" ht="12.75">
      <c r="A24880" s="8">
        <v>43893.215127314819</v>
      </c>
      <c r="B24880" s="8" t="str">
        <f>HYPERLINK("https://twitter.com/democrazy222","@democrazy222")</f>
        <v>@democrazy222</v>
      </c>
      <c r="C24880" s="8" t="s">
        <v>1970</v>
      </c>
      <c r="D24880" s="8">
        <v>228</v>
      </c>
      <c r="E24880" s="8">
        <v>0</v>
      </c>
      <c r="F24880" s="8">
        <v>61</v>
      </c>
    </row>
    <row r="24881" spans="1:6" ht="12.75">
      <c r="A24881" s="8">
        <v>43893.21503472222</v>
      </c>
      <c r="B24881" s="8" t="str">
        <f>HYPERLINK("https://twitter.com/dytoxs_eddy","@dytoxs_eddy")</f>
        <v>@dytoxs_eddy</v>
      </c>
      <c r="C24881" s="8" t="s">
        <v>8842</v>
      </c>
      <c r="D24881" s="8">
        <v>162</v>
      </c>
      <c r="E24881" s="8">
        <v>0</v>
      </c>
      <c r="F24881" s="8">
        <v>2450</v>
      </c>
    </row>
    <row r="24882" spans="1:6" ht="12.75">
      <c r="A24882" s="8">
        <v>43893.215011574073</v>
      </c>
      <c r="B24882" s="8" t="str">
        <f>HYPERLINK("https://twitter.com/eko_juandri","@eko_juandri")</f>
        <v>@eko_juandri</v>
      </c>
      <c r="C24882" s="8" t="s">
        <v>4477</v>
      </c>
      <c r="D24882" s="8">
        <v>886</v>
      </c>
      <c r="E24882" s="8">
        <v>0</v>
      </c>
      <c r="F24882" s="8">
        <v>1309</v>
      </c>
    </row>
    <row r="24883" spans="1:6" ht="12.75">
      <c r="A24883" s="8">
        <v>43893.214895833335</v>
      </c>
      <c r="B24883" s="8" t="str">
        <f>HYPERLINK("https://twitter.com/Lamsijan11","@Lamsijan11")</f>
        <v>@Lamsijan11</v>
      </c>
      <c r="C24883" s="8" t="s">
        <v>9574</v>
      </c>
      <c r="D24883" s="8">
        <v>65</v>
      </c>
      <c r="E24883" s="8">
        <v>0</v>
      </c>
      <c r="F24883" s="8">
        <v>448</v>
      </c>
    </row>
    <row r="24884" spans="1:6" ht="12.75">
      <c r="A24884" s="8">
        <v>43893.214826388888</v>
      </c>
      <c r="B24884" s="8" t="str">
        <f>HYPERLINK("https://twitter.com/laki_luke123","@laki_luke123")</f>
        <v>@laki_luke123</v>
      </c>
      <c r="C24884" s="8" t="s">
        <v>2962</v>
      </c>
      <c r="D24884" s="8">
        <v>4690</v>
      </c>
      <c r="E24884" s="8">
        <v>0</v>
      </c>
      <c r="F24884" s="8">
        <v>80</v>
      </c>
    </row>
    <row r="24885" spans="1:6" ht="12.75">
      <c r="A24885" s="8">
        <v>43893.214537037042</v>
      </c>
      <c r="B24885" s="8" t="str">
        <f>HYPERLINK("https://twitter.com/Ismalyaa","@Ismalyaa")</f>
        <v>@Ismalyaa</v>
      </c>
      <c r="C24885" s="8" t="s">
        <v>2962</v>
      </c>
      <c r="D24885" s="8">
        <v>4690</v>
      </c>
      <c r="E24885" s="8">
        <v>0</v>
      </c>
      <c r="F24885" s="8">
        <v>358</v>
      </c>
    </row>
    <row r="24886" spans="1:6" ht="12.75">
      <c r="A24886" s="8">
        <v>43893.214537037042</v>
      </c>
      <c r="B24886" s="8" t="str">
        <f>HYPERLINK("https://twitter.com/boltz17","@boltz17")</f>
        <v>@boltz17</v>
      </c>
      <c r="C24886" s="8" t="s">
        <v>9207</v>
      </c>
      <c r="D24886" s="8">
        <v>114</v>
      </c>
      <c r="E24886" s="8">
        <v>0</v>
      </c>
      <c r="F24886" s="8">
        <v>95</v>
      </c>
    </row>
    <row r="24887" spans="1:6" ht="12.75">
      <c r="A24887" s="8">
        <v>43893.214351851857</v>
      </c>
      <c r="B24887" s="8" t="str">
        <f>HYPERLINK("https://twitter.com/bon_nugroho","@bon_nugroho")</f>
        <v>@bon_nugroho</v>
      </c>
      <c r="C24887" s="8" t="s">
        <v>1970</v>
      </c>
      <c r="D24887" s="8">
        <v>228</v>
      </c>
      <c r="E24887" s="8">
        <v>0</v>
      </c>
      <c r="F24887" s="8">
        <v>494</v>
      </c>
    </row>
    <row r="24888" spans="1:6" ht="12.75">
      <c r="A24888" s="8">
        <v>43893.21429398148</v>
      </c>
      <c r="B24888" s="8" t="str">
        <f>HYPERLINK("https://twitter.com/DimazPujhik","@DimazPujhik")</f>
        <v>@DimazPujhik</v>
      </c>
      <c r="C24888" s="8" t="s">
        <v>7597</v>
      </c>
      <c r="D24888" s="8">
        <v>519</v>
      </c>
      <c r="E24888" s="8">
        <v>0</v>
      </c>
      <c r="F24888" s="8">
        <v>19</v>
      </c>
    </row>
    <row r="24889" spans="1:6" ht="12.75">
      <c r="A24889" s="8">
        <v>43893.214270833334</v>
      </c>
      <c r="B24889" s="8" t="str">
        <f>HYPERLINK("https://twitter.com/harimerdeka7","@harimerdeka7")</f>
        <v>@harimerdeka7</v>
      </c>
      <c r="C24889" s="8" t="s">
        <v>2962</v>
      </c>
      <c r="D24889" s="8">
        <v>4690</v>
      </c>
      <c r="E24889" s="8">
        <v>0</v>
      </c>
      <c r="F24889" s="8">
        <v>1043</v>
      </c>
    </row>
    <row r="24890" spans="1:6" ht="12.75">
      <c r="A24890" s="8">
        <v>43893.214039351849</v>
      </c>
      <c r="B24890" s="8" t="str">
        <f>HYPERLINK("https://twitter.com/najongbangetya","@najongbangetya")</f>
        <v>@najongbangetya</v>
      </c>
      <c r="C24890" s="8" t="s">
        <v>1427</v>
      </c>
      <c r="D24890" s="8">
        <v>607</v>
      </c>
      <c r="E24890" s="8">
        <v>0</v>
      </c>
      <c r="F24890" s="8">
        <v>456</v>
      </c>
    </row>
    <row r="24891" spans="1:6" ht="12.75">
      <c r="A24891" s="8">
        <v>43893.214016203703</v>
      </c>
      <c r="B24891" s="8" t="str">
        <f>HYPERLINK("https://twitter.com/abufadhl_24324","@abufadhl_24324")</f>
        <v>@abufadhl_24324</v>
      </c>
      <c r="C24891" s="8" t="s">
        <v>4477</v>
      </c>
      <c r="D24891" s="8">
        <v>886</v>
      </c>
      <c r="E24891" s="8">
        <v>0</v>
      </c>
      <c r="F24891" s="8">
        <v>133</v>
      </c>
    </row>
    <row r="24892" spans="1:6" ht="12.75">
      <c r="A24892" s="8">
        <v>43893.213912037041</v>
      </c>
      <c r="B24892" s="8" t="str">
        <f>HYPERLINK("https://twitter.com/harimerdeka7","@harimerdeka7")</f>
        <v>@harimerdeka7</v>
      </c>
      <c r="C24892" s="8" t="s">
        <v>6832</v>
      </c>
      <c r="D24892" s="8">
        <v>879</v>
      </c>
      <c r="E24892" s="8">
        <v>0</v>
      </c>
      <c r="F24892" s="8">
        <v>1043</v>
      </c>
    </row>
    <row r="24893" spans="1:6" ht="12.75">
      <c r="A24893" s="8">
        <v>43893.213854166665</v>
      </c>
      <c r="B24893" s="8" t="str">
        <f>HYPERLINK("https://twitter.com/elan_gusma","@elan_gusma")</f>
        <v>@elan_gusma</v>
      </c>
      <c r="C24893" s="8" t="s">
        <v>9814</v>
      </c>
      <c r="D24893" s="8">
        <v>33</v>
      </c>
      <c r="E24893" s="8">
        <v>0</v>
      </c>
      <c r="F24893" s="8">
        <v>3724</v>
      </c>
    </row>
    <row r="24894" spans="1:6" ht="12.75">
      <c r="A24894" s="8">
        <v>43893.213831018518</v>
      </c>
      <c r="B24894" s="8" t="str">
        <f>HYPERLINK("https://twitter.com/eko319","@eko319")</f>
        <v>@eko319</v>
      </c>
      <c r="C24894" s="8" t="s">
        <v>1145</v>
      </c>
      <c r="D24894" s="8">
        <v>465</v>
      </c>
      <c r="E24894" s="8">
        <v>0</v>
      </c>
      <c r="F24894" s="8">
        <v>41</v>
      </c>
    </row>
    <row r="24895" spans="1:6" ht="12.75">
      <c r="A24895" s="8">
        <v>43893.213796296295</v>
      </c>
      <c r="B24895" s="8" t="str">
        <f>HYPERLINK("https://twitter.com/Lucifer64548328","@Lucifer64548328")</f>
        <v>@Lucifer64548328</v>
      </c>
      <c r="C24895" s="8" t="s">
        <v>9295</v>
      </c>
      <c r="D24895" s="8">
        <v>143</v>
      </c>
      <c r="E24895" s="8">
        <v>0</v>
      </c>
      <c r="F24895" s="8">
        <v>93</v>
      </c>
    </row>
    <row r="24896" spans="1:6" ht="12.75">
      <c r="A24896" s="8">
        <v>43893.213749999995</v>
      </c>
      <c r="B24896" s="8" t="str">
        <f>HYPERLINK("https://twitter.com/yulitaaaaas","@yulitaaaaas")</f>
        <v>@yulitaaaaas</v>
      </c>
      <c r="C24896" s="8" t="s">
        <v>9922</v>
      </c>
      <c r="D24896" s="8">
        <v>7</v>
      </c>
      <c r="E24896" s="8">
        <v>0</v>
      </c>
      <c r="F24896" s="8">
        <v>205</v>
      </c>
    </row>
    <row r="24897" spans="1:6" ht="12.75">
      <c r="A24897" s="8">
        <v>43893.213738425926</v>
      </c>
      <c r="B24897" s="8" t="str">
        <f>HYPERLINK("https://twitter.com/Kcpr11","@Kcpr11")</f>
        <v>@Kcpr11</v>
      </c>
      <c r="C24897" s="8" t="s">
        <v>1970</v>
      </c>
      <c r="D24897" s="8">
        <v>228</v>
      </c>
      <c r="E24897" s="8">
        <v>0</v>
      </c>
      <c r="F24897" s="8">
        <v>32</v>
      </c>
    </row>
    <row r="24898" spans="1:6" ht="12.75">
      <c r="A24898" s="8">
        <v>43893.213645833333</v>
      </c>
      <c r="B24898" s="8" t="str">
        <f>HYPERLINK("https://twitter.com/a_daud_ppnp","@a_daud_ppnp")</f>
        <v>@a_daud_ppnp</v>
      </c>
      <c r="C24898" s="8" t="s">
        <v>9817</v>
      </c>
      <c r="D24898" s="8">
        <v>35</v>
      </c>
      <c r="E24898" s="8">
        <v>0</v>
      </c>
      <c r="F24898" s="8">
        <v>158</v>
      </c>
    </row>
    <row r="24899" spans="1:6" ht="12.75">
      <c r="A24899" s="8">
        <v>43893.213645833333</v>
      </c>
      <c r="B24899" s="8" t="str">
        <f>HYPERLINK("https://twitter.com/AnggiSiwonest","@AnggiSiwonest")</f>
        <v>@AnggiSiwonest</v>
      </c>
      <c r="C24899" s="8" t="s">
        <v>9923</v>
      </c>
      <c r="D24899" s="8">
        <v>0</v>
      </c>
      <c r="E24899" s="8">
        <v>0</v>
      </c>
      <c r="F24899" s="8">
        <v>818</v>
      </c>
    </row>
    <row r="24900" spans="1:6" ht="12.75">
      <c r="A24900" s="8">
        <v>43893.213587962964</v>
      </c>
      <c r="B24900" s="8" t="str">
        <f>HYPERLINK("https://twitter.com/guuzenbokuragaa","@guuzenbokuragaa")</f>
        <v>@guuzenbokuragaa</v>
      </c>
      <c r="C24900" s="8" t="s">
        <v>9295</v>
      </c>
      <c r="D24900" s="8">
        <v>143</v>
      </c>
      <c r="E24900" s="8">
        <v>0</v>
      </c>
      <c r="F24900" s="8">
        <v>408</v>
      </c>
    </row>
    <row r="24901" spans="1:6" ht="12.75">
      <c r="A24901" s="8">
        <v>43893.213553240741</v>
      </c>
      <c r="B24901" s="8" t="str">
        <f>HYPERLINK("https://twitter.com/Haki315","@Haki315")</f>
        <v>@Haki315</v>
      </c>
      <c r="C24901" s="8" t="s">
        <v>9924</v>
      </c>
      <c r="D24901" s="8">
        <v>8</v>
      </c>
      <c r="E24901" s="8">
        <v>0</v>
      </c>
      <c r="F24901" s="8">
        <v>42</v>
      </c>
    </row>
    <row r="24902" spans="1:6" ht="12.75">
      <c r="A24902" s="8">
        <v>43893.213263888887</v>
      </c>
      <c r="B24902" s="8" t="str">
        <f>HYPERLINK("https://twitter.com/KangDarja","@KangDarja")</f>
        <v>@KangDarja</v>
      </c>
      <c r="C24902" s="8" t="s">
        <v>9904</v>
      </c>
      <c r="D24902" s="8">
        <v>2</v>
      </c>
      <c r="E24902" s="8">
        <v>0</v>
      </c>
      <c r="F24902" s="8">
        <v>162</v>
      </c>
    </row>
    <row r="24903" spans="1:6" ht="12.75">
      <c r="A24903" s="8">
        <v>43893.213206018518</v>
      </c>
      <c r="B24903" s="8" t="str">
        <f>HYPERLINK("https://twitter.com/95ZINNER","@95ZINNER")</f>
        <v>@95ZINNER</v>
      </c>
      <c r="C24903" s="8" t="s">
        <v>9925</v>
      </c>
      <c r="D24903" s="8">
        <v>79</v>
      </c>
      <c r="E24903" s="8">
        <v>0</v>
      </c>
      <c r="F24903" s="8">
        <v>1784</v>
      </c>
    </row>
    <row r="24904" spans="1:6" ht="12.75">
      <c r="A24904" s="8">
        <v>43893.213136574079</v>
      </c>
      <c r="B24904" s="8" t="str">
        <f>HYPERLINK("https://twitter.com/iramady15","@iramady15")</f>
        <v>@iramady15</v>
      </c>
      <c r="C24904" s="8" t="s">
        <v>5732</v>
      </c>
      <c r="D24904" s="8">
        <v>2080</v>
      </c>
      <c r="E24904" s="8">
        <v>0</v>
      </c>
      <c r="F24904" s="8">
        <v>166</v>
      </c>
    </row>
    <row r="24905" spans="1:6" ht="12.75">
      <c r="A24905" s="8">
        <v>43893.213101851856</v>
      </c>
      <c r="B24905" s="8" t="str">
        <f>HYPERLINK("https://twitter.com/DyDiana6","@DyDiana6")</f>
        <v>@DyDiana6</v>
      </c>
      <c r="C24905" s="8" t="s">
        <v>8322</v>
      </c>
      <c r="D24905" s="8">
        <v>627</v>
      </c>
      <c r="E24905" s="8">
        <v>0</v>
      </c>
      <c r="F24905" s="8">
        <v>107</v>
      </c>
    </row>
    <row r="24906" spans="1:6" ht="12.75">
      <c r="A24906" s="8">
        <v>43893.212951388894</v>
      </c>
      <c r="B24906" s="8" t="str">
        <f>HYPERLINK("https://twitter.com/MFeisalReza","@MFeisalReza")</f>
        <v>@MFeisalReza</v>
      </c>
      <c r="C24906" s="8" t="s">
        <v>9727</v>
      </c>
      <c r="D24906" s="8">
        <v>59</v>
      </c>
      <c r="E24906" s="8">
        <v>0</v>
      </c>
      <c r="F24906" s="8">
        <v>777</v>
      </c>
    </row>
    <row r="24907" spans="1:6" ht="12.75">
      <c r="A24907" s="8">
        <v>43893.212916666671</v>
      </c>
      <c r="B24907" s="8" t="str">
        <f>HYPERLINK("https://twitter.com/dubie_tina","@dubie_tina")</f>
        <v>@dubie_tina</v>
      </c>
      <c r="C24907" s="8" t="s">
        <v>9926</v>
      </c>
      <c r="D24907" s="8">
        <v>1</v>
      </c>
      <c r="E24907" s="8">
        <v>0</v>
      </c>
      <c r="F24907" s="8">
        <v>1065</v>
      </c>
    </row>
    <row r="24908" spans="1:6" ht="12.75">
      <c r="A24908" s="8">
        <v>43893.212916666671</v>
      </c>
      <c r="B24908" s="8" t="str">
        <f>HYPERLINK("https://twitter.com/dony_sudjatmiko","@dony_sudjatmiko")</f>
        <v>@dony_sudjatmiko</v>
      </c>
      <c r="C24908" s="8" t="s">
        <v>2962</v>
      </c>
      <c r="D24908" s="8">
        <v>4690</v>
      </c>
      <c r="E24908" s="8">
        <v>0</v>
      </c>
      <c r="F24908" s="8">
        <v>428</v>
      </c>
    </row>
    <row r="24909" spans="1:6" ht="12.75">
      <c r="A24909" s="8">
        <v>43893.212847222225</v>
      </c>
      <c r="B24909" s="8" t="str">
        <f>HYPERLINK("https://twitter.com/BagusDent2","@BagusDent2")</f>
        <v>@BagusDent2</v>
      </c>
      <c r="C24909" s="8" t="s">
        <v>6832</v>
      </c>
      <c r="D24909" s="8">
        <v>879</v>
      </c>
      <c r="E24909" s="8">
        <v>0</v>
      </c>
      <c r="F24909" s="8">
        <v>28</v>
      </c>
    </row>
    <row r="24910" spans="1:6" ht="12.75">
      <c r="A24910" s="8">
        <v>43893.212824074071</v>
      </c>
      <c r="B24910" s="8" t="str">
        <f>HYPERLINK("https://twitter.com/FurqonDidi1","@FurqonDidi1")</f>
        <v>@FurqonDidi1</v>
      </c>
      <c r="C24910" s="8" t="s">
        <v>7661</v>
      </c>
      <c r="D24910" s="8">
        <v>369</v>
      </c>
      <c r="E24910" s="8">
        <v>0</v>
      </c>
      <c r="F24910" s="8">
        <v>7</v>
      </c>
    </row>
    <row r="24911" spans="1:6" ht="12.75">
      <c r="A24911" s="8">
        <v>43893.212812500002</v>
      </c>
      <c r="B24911" s="8" t="str">
        <f>HYPERLINK("https://twitter.com/MFeisalReza","@MFeisalReza")</f>
        <v>@MFeisalReza</v>
      </c>
      <c r="C24911" s="8" t="s">
        <v>1970</v>
      </c>
      <c r="D24911" s="8">
        <v>228</v>
      </c>
      <c r="E24911" s="8">
        <v>0</v>
      </c>
      <c r="F24911" s="8">
        <v>777</v>
      </c>
    </row>
    <row r="24912" spans="1:6" ht="12.75">
      <c r="A24912" s="8">
        <v>43893.212708333333</v>
      </c>
      <c r="B24912" s="8" t="str">
        <f>HYPERLINK("https://twitter.com/PopyResta","@PopyResta")</f>
        <v>@PopyResta</v>
      </c>
      <c r="C24912" s="8" t="s">
        <v>7149</v>
      </c>
      <c r="D24912" s="8">
        <v>333</v>
      </c>
      <c r="E24912" s="8">
        <v>0</v>
      </c>
      <c r="F24912" s="8">
        <v>313</v>
      </c>
    </row>
    <row r="24913" spans="1:6" ht="12.75">
      <c r="A24913" s="8">
        <v>43893.212696759263</v>
      </c>
      <c r="B24913" s="8" t="str">
        <f>HYPERLINK("https://twitter.com/dubie_tina","@dubie_tina")</f>
        <v>@dubie_tina</v>
      </c>
      <c r="C24913" s="8" t="s">
        <v>9927</v>
      </c>
      <c r="D24913" s="8">
        <v>1</v>
      </c>
      <c r="E24913" s="8">
        <v>1</v>
      </c>
      <c r="F24913" s="8">
        <v>1065</v>
      </c>
    </row>
    <row r="24914" spans="1:6" ht="12.75">
      <c r="A24914" s="8">
        <v>43893.212326388893</v>
      </c>
      <c r="B24914" s="8" t="str">
        <f>HYPERLINK("https://twitter.com/salehavelaar","@salehavelaar")</f>
        <v>@salehavelaar</v>
      </c>
      <c r="C24914" s="8" t="s">
        <v>2199</v>
      </c>
      <c r="D24914" s="8">
        <v>8480</v>
      </c>
      <c r="E24914" s="8">
        <v>0</v>
      </c>
      <c r="F24914" s="8">
        <v>43</v>
      </c>
    </row>
    <row r="24915" spans="1:6" ht="12.75">
      <c r="A24915" s="8">
        <v>43893.212245370371</v>
      </c>
      <c r="B24915" s="8" t="str">
        <f>HYPERLINK("https://twitter.com/romelanrmd","@romelanrmd")</f>
        <v>@romelanrmd</v>
      </c>
      <c r="C24915" s="8" t="s">
        <v>8322</v>
      </c>
      <c r="D24915" s="8">
        <v>627</v>
      </c>
      <c r="E24915" s="8">
        <v>0</v>
      </c>
      <c r="F24915" s="8">
        <v>67</v>
      </c>
    </row>
    <row r="24916" spans="1:6" ht="12.75">
      <c r="A24916" s="8">
        <v>43893.212048611109</v>
      </c>
      <c r="B24916" s="8" t="str">
        <f>HYPERLINK("https://twitter.com/Kaliu10387342","@Kaliu10387342")</f>
        <v>@Kaliu10387342</v>
      </c>
      <c r="C24916" s="8" t="s">
        <v>7597</v>
      </c>
      <c r="D24916" s="8">
        <v>519</v>
      </c>
      <c r="E24916" s="8">
        <v>0</v>
      </c>
      <c r="F24916" s="8">
        <v>3</v>
      </c>
    </row>
    <row r="24917" spans="1:6" ht="12.75">
      <c r="A24917" s="8">
        <v>43893.212013888886</v>
      </c>
      <c r="B24917" s="8" t="str">
        <f>HYPERLINK("https://twitter.com/iwankgp","@iwankgp")</f>
        <v>@iwankgp</v>
      </c>
      <c r="C24917" s="8" t="s">
        <v>9928</v>
      </c>
      <c r="D24917" s="8">
        <v>2</v>
      </c>
      <c r="E24917" s="8">
        <v>0</v>
      </c>
      <c r="F24917" s="8">
        <v>72</v>
      </c>
    </row>
    <row r="24918" spans="1:6" ht="12.75">
      <c r="A24918" s="8">
        <v>43893.211597222224</v>
      </c>
      <c r="B24918" s="8" t="str">
        <f>HYPERLINK("https://twitter.com/imy0ursbb","@imy0ursbb")</f>
        <v>@imy0ursbb</v>
      </c>
      <c r="C24918" s="8" t="s">
        <v>1970</v>
      </c>
      <c r="D24918" s="8">
        <v>228</v>
      </c>
      <c r="E24918" s="8">
        <v>0</v>
      </c>
      <c r="F24918" s="8">
        <v>1320</v>
      </c>
    </row>
    <row r="24919" spans="1:6" ht="12.75">
      <c r="A24919" s="8">
        <v>43893.2112962963</v>
      </c>
      <c r="B24919" s="8" t="str">
        <f>HYPERLINK("https://twitter.com/DandungQ","@DandungQ")</f>
        <v>@DandungQ</v>
      </c>
      <c r="C24919" s="8" t="s">
        <v>4477</v>
      </c>
      <c r="D24919" s="8">
        <v>886</v>
      </c>
      <c r="E24919" s="8">
        <v>0</v>
      </c>
      <c r="F24919" s="8">
        <v>11</v>
      </c>
    </row>
    <row r="24920" spans="1:6" ht="12.75">
      <c r="A24920" s="8">
        <v>43893.211238425924</v>
      </c>
      <c r="B24920" s="8" t="str">
        <f>HYPERLINK("https://twitter.com/NCeyeT","@NCeyeT")</f>
        <v>@NCeyeT</v>
      </c>
      <c r="C24920" s="8" t="s">
        <v>2199</v>
      </c>
      <c r="D24920" s="8">
        <v>8480</v>
      </c>
      <c r="E24920" s="8">
        <v>0</v>
      </c>
      <c r="F24920" s="8">
        <v>112</v>
      </c>
    </row>
    <row r="24921" spans="1:6" ht="12.75">
      <c r="A24921" s="8">
        <v>43893.211145833338</v>
      </c>
      <c r="B24921" s="8" t="str">
        <f>HYPERLINK("https://twitter.com/Bagas36406270","@Bagas36406270")</f>
        <v>@Bagas36406270</v>
      </c>
      <c r="C24921" s="8" t="s">
        <v>9856</v>
      </c>
      <c r="D24921" s="8">
        <v>71</v>
      </c>
      <c r="E24921" s="8">
        <v>0</v>
      </c>
      <c r="F24921" s="8">
        <v>1290</v>
      </c>
    </row>
    <row r="24922" spans="1:6" ht="12.75">
      <c r="A24922" s="8">
        <v>43893.211134259254</v>
      </c>
      <c r="B24922" s="8" t="str">
        <f>HYPERLINK("https://twitter.com/AhmadMizlie","@AhmadMizlie")</f>
        <v>@AhmadMizlie</v>
      </c>
      <c r="C24922" s="8" t="s">
        <v>8322</v>
      </c>
      <c r="D24922" s="8">
        <v>627</v>
      </c>
      <c r="E24922" s="8">
        <v>0</v>
      </c>
      <c r="F24922" s="8">
        <v>63</v>
      </c>
    </row>
    <row r="24923" spans="1:6" ht="12.75">
      <c r="A24923" s="8">
        <v>43893.210775462961</v>
      </c>
      <c r="B24923" s="8" t="str">
        <f>HYPERLINK("https://twitter.com/qanpenyabar","@qanpenyabar")</f>
        <v>@qanpenyabar</v>
      </c>
      <c r="C24923" s="8" t="s">
        <v>1970</v>
      </c>
      <c r="D24923" s="8">
        <v>228</v>
      </c>
      <c r="E24923" s="8">
        <v>0</v>
      </c>
      <c r="F24923" s="8">
        <v>2642</v>
      </c>
    </row>
    <row r="24924" spans="1:6" ht="12.75">
      <c r="A24924" s="8">
        <v>43893.210509259261</v>
      </c>
      <c r="B24924" s="8" t="str">
        <f>HYPERLINK("https://twitter.com/filtermooni","@filtermooni")</f>
        <v>@filtermooni</v>
      </c>
      <c r="C24924" s="8" t="s">
        <v>9925</v>
      </c>
      <c r="D24924" s="8">
        <v>79</v>
      </c>
      <c r="E24924" s="8">
        <v>0</v>
      </c>
      <c r="F24924" s="8">
        <v>2129</v>
      </c>
    </row>
    <row r="24925" spans="1:6" ht="12.75">
      <c r="A24925" s="8">
        <v>43893.210451388892</v>
      </c>
      <c r="B24925" s="8" t="str">
        <f>HYPERLINK("https://twitter.com/iam_slytherpuff","@iam_slytherpuff")</f>
        <v>@iam_slytherpuff</v>
      </c>
      <c r="C24925" s="8" t="s">
        <v>9117</v>
      </c>
      <c r="D24925" s="8">
        <v>213</v>
      </c>
      <c r="E24925" s="8">
        <v>0</v>
      </c>
      <c r="F24925" s="8">
        <v>5</v>
      </c>
    </row>
    <row r="24926" spans="1:6" ht="12.75">
      <c r="A24926" s="8">
        <v>43893.210439814815</v>
      </c>
      <c r="B24926" s="8" t="str">
        <f>HYPERLINK("https://twitter.com/andik_sugiarto","@andik_sugiarto")</f>
        <v>@andik_sugiarto</v>
      </c>
      <c r="C24926" s="8" t="s">
        <v>2962</v>
      </c>
      <c r="D24926" s="8">
        <v>4690</v>
      </c>
      <c r="E24926" s="8">
        <v>0</v>
      </c>
      <c r="F24926" s="8">
        <v>86</v>
      </c>
    </row>
    <row r="24927" spans="1:6" ht="12.75">
      <c r="A24927" s="8">
        <v>43893.210358796292</v>
      </c>
      <c r="B24927" s="8" t="str">
        <f>HYPERLINK("https://twitter.com/LC01L","@LC01L")</f>
        <v>@LC01L</v>
      </c>
      <c r="C24927" s="8" t="s">
        <v>9358</v>
      </c>
      <c r="D24927" s="8">
        <v>84</v>
      </c>
      <c r="E24927" s="8">
        <v>0</v>
      </c>
      <c r="F24927" s="8">
        <v>241</v>
      </c>
    </row>
    <row r="24928" spans="1:6" ht="12.75">
      <c r="A24928" s="8">
        <v>43893.210185185184</v>
      </c>
      <c r="B24928" s="8" t="str">
        <f>HYPERLINK("https://twitter.com/Lamsijan11","@Lamsijan11")</f>
        <v>@Lamsijan11</v>
      </c>
      <c r="C24928" s="8" t="s">
        <v>1970</v>
      </c>
      <c r="D24928" s="8">
        <v>228</v>
      </c>
      <c r="E24928" s="8">
        <v>0</v>
      </c>
      <c r="F24928" s="8">
        <v>448</v>
      </c>
    </row>
    <row r="24929" spans="1:6" ht="12.75">
      <c r="A24929" s="8">
        <v>43893.210150462968</v>
      </c>
      <c r="B24929" s="8" t="str">
        <f>HYPERLINK("https://twitter.com/rzhlmy","@rzhlmy")</f>
        <v>@rzhlmy</v>
      </c>
      <c r="C24929" s="8" t="s">
        <v>1970</v>
      </c>
      <c r="D24929" s="8">
        <v>228</v>
      </c>
      <c r="E24929" s="8">
        <v>0</v>
      </c>
      <c r="F24929" s="8">
        <v>10</v>
      </c>
    </row>
    <row r="24930" spans="1:6" ht="12.75">
      <c r="A24930" s="8">
        <v>43893.210115740745</v>
      </c>
      <c r="B24930" s="8" t="str">
        <f>HYPERLINK("https://twitter.com/AhmadMizlie","@AhmadMizlie")</f>
        <v>@AhmadMizlie</v>
      </c>
      <c r="C24930" s="8" t="s">
        <v>4477</v>
      </c>
      <c r="D24930" s="8">
        <v>886</v>
      </c>
      <c r="E24930" s="8">
        <v>0</v>
      </c>
      <c r="F24930" s="8">
        <v>63</v>
      </c>
    </row>
    <row r="24931" spans="1:6" ht="12.75">
      <c r="A24931" s="8">
        <v>43893.210092592592</v>
      </c>
      <c r="B24931" s="8" t="str">
        <f>HYPERLINK("https://twitter.com/KompasTV","@KompasTV")</f>
        <v>@KompasTV</v>
      </c>
      <c r="C24931" s="8" t="s">
        <v>9929</v>
      </c>
      <c r="D24931" s="8">
        <v>0</v>
      </c>
      <c r="E24931" s="8">
        <v>3</v>
      </c>
      <c r="F24931" s="8">
        <v>2954069</v>
      </c>
    </row>
    <row r="24932" spans="1:6" ht="12.75">
      <c r="A24932" s="8">
        <v>43893.20994212963</v>
      </c>
      <c r="B24932" s="8" t="str">
        <f>HYPERLINK("https://twitter.com/aris_rizwyanto","@aris_rizwyanto")</f>
        <v>@aris_rizwyanto</v>
      </c>
      <c r="C24932" s="8" t="s">
        <v>1970</v>
      </c>
      <c r="D24932" s="8">
        <v>228</v>
      </c>
      <c r="E24932" s="8">
        <v>0</v>
      </c>
      <c r="F24932" s="8">
        <v>34</v>
      </c>
    </row>
    <row r="24933" spans="1:6" ht="12.75">
      <c r="A24933" s="8">
        <v>43893.209918981476</v>
      </c>
      <c r="B24933" s="8" t="str">
        <f t="shared" ref="B24933:B24934" si="356">HYPERLINK("https://twitter.com/idpenamini","@idpenamini")</f>
        <v>@idpenamini</v>
      </c>
      <c r="C24933" s="8" t="s">
        <v>9930</v>
      </c>
      <c r="D24933" s="8">
        <v>0</v>
      </c>
      <c r="E24933" s="8">
        <v>0</v>
      </c>
      <c r="F24933" s="8">
        <v>173</v>
      </c>
    </row>
    <row r="24934" spans="1:6" ht="12.75">
      <c r="A24934" s="8">
        <v>43893.209895833337</v>
      </c>
      <c r="B24934" s="8" t="str">
        <f t="shared" si="356"/>
        <v>@idpenamini</v>
      </c>
      <c r="C24934" s="8" t="s">
        <v>9931</v>
      </c>
      <c r="D24934" s="8">
        <v>0</v>
      </c>
      <c r="E24934" s="8">
        <v>0</v>
      </c>
      <c r="F24934" s="8">
        <v>173</v>
      </c>
    </row>
    <row r="24935" spans="1:6" ht="12.75">
      <c r="A24935" s="8">
        <v>43893.209814814814</v>
      </c>
      <c r="B24935" s="8" t="str">
        <f>HYPERLINK("https://twitter.com/Haki413","@Haki413")</f>
        <v>@Haki413</v>
      </c>
      <c r="C24935" s="8" t="s">
        <v>9895</v>
      </c>
      <c r="D24935" s="8">
        <v>160</v>
      </c>
      <c r="E24935" s="8">
        <v>0</v>
      </c>
      <c r="F24935" s="8">
        <v>63</v>
      </c>
    </row>
    <row r="24936" spans="1:6" ht="12.75">
      <c r="A24936" s="8">
        <v>43893.209513888884</v>
      </c>
      <c r="B24936" s="8" t="str">
        <f>HYPERLINK("https://twitter.com/FurqonDidi1","@FurqonDidi1")</f>
        <v>@FurqonDidi1</v>
      </c>
      <c r="C24936" s="8" t="s">
        <v>1970</v>
      </c>
      <c r="D24936" s="8">
        <v>228</v>
      </c>
      <c r="E24936" s="8">
        <v>0</v>
      </c>
      <c r="F24936" s="8">
        <v>7</v>
      </c>
    </row>
    <row r="24937" spans="1:6" ht="12.75">
      <c r="A24937" s="8">
        <v>43893.209317129629</v>
      </c>
      <c r="B24937" s="8" t="str">
        <f>HYPERLINK("https://twitter.com/mjenar2","@mjenar2")</f>
        <v>@mjenar2</v>
      </c>
      <c r="C24937" s="8" t="s">
        <v>1970</v>
      </c>
      <c r="D24937" s="8">
        <v>228</v>
      </c>
      <c r="E24937" s="8">
        <v>0</v>
      </c>
      <c r="F24937" s="8">
        <v>470</v>
      </c>
    </row>
    <row r="24938" spans="1:6" ht="12.75">
      <c r="A24938" s="8">
        <v>43893.209282407406</v>
      </c>
      <c r="B24938" s="8" t="str">
        <f>HYPERLINK("https://twitter.com/melanillow","@melanillow")</f>
        <v>@melanillow</v>
      </c>
      <c r="C24938" s="8" t="s">
        <v>9932</v>
      </c>
      <c r="D24938" s="8">
        <v>3</v>
      </c>
      <c r="E24938" s="8">
        <v>0</v>
      </c>
      <c r="F24938" s="8">
        <v>422</v>
      </c>
    </row>
    <row r="24939" spans="1:6" ht="12.75">
      <c r="A24939" s="8">
        <v>43893.209236111114</v>
      </c>
      <c r="B24939" s="8" t="str">
        <f>HYPERLINK("https://twitter.com/iyaChajun","@iyaChajun")</f>
        <v>@iyaChajun</v>
      </c>
      <c r="C24939" s="8" t="s">
        <v>1970</v>
      </c>
      <c r="D24939" s="8">
        <v>228</v>
      </c>
      <c r="E24939" s="8">
        <v>0</v>
      </c>
      <c r="F24939" s="8">
        <v>406</v>
      </c>
    </row>
    <row r="24940" spans="1:6" ht="12.75">
      <c r="A24940" s="8">
        <v>43893.209108796298</v>
      </c>
      <c r="B24940" s="8" t="str">
        <f>HYPERLINK("https://twitter.com/Erick_Lubis","@Erick_Lubis")</f>
        <v>@Erick_Lubis</v>
      </c>
      <c r="C24940" s="8" t="s">
        <v>1986</v>
      </c>
      <c r="D24940" s="8">
        <v>546</v>
      </c>
      <c r="E24940" s="8">
        <v>0</v>
      </c>
      <c r="F24940" s="8">
        <v>105</v>
      </c>
    </row>
    <row r="24941" spans="1:6" ht="12.75">
      <c r="A24941" s="8">
        <v>43893.209108796298</v>
      </c>
      <c r="B24941" s="8" t="str">
        <f>HYPERLINK("https://twitter.com/yanuava","@yanuava")</f>
        <v>@yanuava</v>
      </c>
      <c r="C24941" s="8" t="s">
        <v>9194</v>
      </c>
      <c r="D24941" s="8">
        <v>161</v>
      </c>
      <c r="E24941" s="8">
        <v>0</v>
      </c>
      <c r="F24941" s="8">
        <v>335</v>
      </c>
    </row>
    <row r="24942" spans="1:6" ht="12.75">
      <c r="A24942" s="8">
        <v>43893.208958333329</v>
      </c>
      <c r="B24942" s="8" t="str">
        <f>HYPERLINK("https://twitter.com/Bagas36406270","@Bagas36406270")</f>
        <v>@Bagas36406270</v>
      </c>
      <c r="C24942" s="8" t="s">
        <v>8901</v>
      </c>
      <c r="D24942" s="8">
        <v>2</v>
      </c>
      <c r="E24942" s="8">
        <v>0</v>
      </c>
      <c r="F24942" s="8">
        <v>1290</v>
      </c>
    </row>
    <row r="24943" spans="1:6" ht="12.75">
      <c r="A24943" s="8">
        <v>43893.208912037036</v>
      </c>
      <c r="B24943" s="8" t="str">
        <f>HYPERLINK("https://twitter.com/strauwbaby","@strauwbaby")</f>
        <v>@strauwbaby</v>
      </c>
      <c r="C24943" s="8" t="s">
        <v>2199</v>
      </c>
      <c r="D24943" s="8">
        <v>8480</v>
      </c>
      <c r="E24943" s="8">
        <v>0</v>
      </c>
      <c r="F24943" s="8">
        <v>440</v>
      </c>
    </row>
    <row r="24944" spans="1:6" ht="12.75">
      <c r="A24944" s="8">
        <v>43893.208900462967</v>
      </c>
      <c r="B24944" s="8" t="str">
        <f>HYPERLINK("https://twitter.com/LindaAyuFatmala","@LindaAyuFatmala")</f>
        <v>@LindaAyuFatmala</v>
      </c>
      <c r="C24944" s="8" t="s">
        <v>1427</v>
      </c>
      <c r="D24944" s="8">
        <v>607</v>
      </c>
      <c r="E24944" s="8">
        <v>0</v>
      </c>
      <c r="F24944" s="8">
        <v>1028</v>
      </c>
    </row>
    <row r="24945" spans="1:6" ht="12.75">
      <c r="A24945" s="8">
        <v>43893.208877314813</v>
      </c>
      <c r="B24945" s="8" t="str">
        <f>HYPERLINK("https://twitter.com/Adra_silent","@Adra_silent")</f>
        <v>@Adra_silent</v>
      </c>
      <c r="C24945" s="8" t="s">
        <v>6832</v>
      </c>
      <c r="D24945" s="8">
        <v>879</v>
      </c>
      <c r="E24945" s="8">
        <v>0</v>
      </c>
      <c r="F24945" s="8">
        <v>4176</v>
      </c>
    </row>
    <row r="24946" spans="1:6" ht="12.75">
      <c r="A24946" s="8">
        <v>43893.208877314813</v>
      </c>
      <c r="B24946" s="8" t="str">
        <f>HYPERLINK("https://twitter.com/mila_guntur","@mila_guntur")</f>
        <v>@mila_guntur</v>
      </c>
      <c r="C24946" s="8" t="s">
        <v>6832</v>
      </c>
      <c r="D24946" s="8">
        <v>879</v>
      </c>
      <c r="E24946" s="8">
        <v>0</v>
      </c>
      <c r="F24946" s="8">
        <v>699</v>
      </c>
    </row>
    <row r="24947" spans="1:6" ht="12.75">
      <c r="A24947" s="8">
        <v>43893.208865740744</v>
      </c>
      <c r="B24947" s="8" t="str">
        <f>HYPERLINK("https://twitter.com/ravenclaow","@ravenclaow")</f>
        <v>@ravenclaow</v>
      </c>
      <c r="C24947" s="8" t="s">
        <v>1427</v>
      </c>
      <c r="D24947" s="8">
        <v>607</v>
      </c>
      <c r="E24947" s="8">
        <v>0</v>
      </c>
      <c r="F24947" s="8">
        <v>11524</v>
      </c>
    </row>
    <row r="24948" spans="1:6" ht="12.75">
      <c r="A24948" s="8">
        <v>43893.208726851852</v>
      </c>
      <c r="B24948" s="8" t="str">
        <f>HYPERLINK("https://twitter.com/Herman_Respathy","@Herman_Respathy")</f>
        <v>@Herman_Respathy</v>
      </c>
      <c r="C24948" s="8" t="s">
        <v>9915</v>
      </c>
      <c r="D24948" s="8">
        <v>79</v>
      </c>
      <c r="E24948" s="8">
        <v>0</v>
      </c>
      <c r="F24948" s="8">
        <v>335</v>
      </c>
    </row>
    <row r="24949" spans="1:6" ht="12.75">
      <c r="A24949" s="8">
        <v>43893.208634259259</v>
      </c>
      <c r="B24949" s="8" t="str">
        <f>HYPERLINK("https://twitter.com/claraipe","@claraipe")</f>
        <v>@claraipe</v>
      </c>
      <c r="C24949" s="8" t="s">
        <v>2962</v>
      </c>
      <c r="D24949" s="8">
        <v>4690</v>
      </c>
      <c r="E24949" s="8">
        <v>0</v>
      </c>
      <c r="F24949" s="8">
        <v>496</v>
      </c>
    </row>
    <row r="24950" spans="1:6" ht="12.75">
      <c r="A24950" s="8">
        <v>43893.20820601852</v>
      </c>
      <c r="B24950" s="8" t="str">
        <f>HYPERLINK("https://twitter.com/Winar11046769","@Winar11046769")</f>
        <v>@Winar11046769</v>
      </c>
      <c r="C24950" s="8" t="s">
        <v>1970</v>
      </c>
      <c r="D24950" s="8">
        <v>228</v>
      </c>
      <c r="E24950" s="8">
        <v>0</v>
      </c>
      <c r="F24950" s="8">
        <v>403</v>
      </c>
    </row>
    <row r="24951" spans="1:6" ht="12.75">
      <c r="A24951" s="8">
        <v>43893.208055555559</v>
      </c>
      <c r="B24951" s="8" t="str">
        <f>HYPERLINK("https://twitter.com/rillamaria_","@rillamaria_")</f>
        <v>@rillamaria_</v>
      </c>
      <c r="C24951" s="8" t="s">
        <v>1970</v>
      </c>
      <c r="D24951" s="8">
        <v>228</v>
      </c>
      <c r="E24951" s="8">
        <v>0</v>
      </c>
      <c r="F24951" s="8">
        <v>1309</v>
      </c>
    </row>
    <row r="24952" spans="1:6" ht="12.75">
      <c r="A24952" s="8">
        <v>43893.207962962959</v>
      </c>
      <c r="B24952" s="8" t="str">
        <f>HYPERLINK("https://twitter.com/PakdeKoppig","@PakdeKoppig")</f>
        <v>@PakdeKoppig</v>
      </c>
      <c r="C24952" s="8" t="s">
        <v>9933</v>
      </c>
      <c r="D24952" s="8">
        <v>1</v>
      </c>
      <c r="E24952" s="8">
        <v>0</v>
      </c>
      <c r="F24952" s="8">
        <v>112</v>
      </c>
    </row>
    <row r="24953" spans="1:6" ht="12.75">
      <c r="A24953" s="8">
        <v>43893.207662037035</v>
      </c>
      <c r="B24953" s="8" t="str">
        <f>HYPERLINK("https://twitter.com/RhmnAndre","@RhmnAndre")</f>
        <v>@RhmnAndre</v>
      </c>
      <c r="C24953" s="8" t="s">
        <v>6864</v>
      </c>
      <c r="D24953" s="8">
        <v>182</v>
      </c>
      <c r="E24953" s="8">
        <v>0</v>
      </c>
      <c r="F24953" s="8">
        <v>176</v>
      </c>
    </row>
    <row r="24954" spans="1:6" ht="12.75">
      <c r="A24954" s="8">
        <v>43893.207615740743</v>
      </c>
      <c r="B24954" s="8" t="str">
        <f>HYPERLINK("https://twitter.com/efebz_1897","@efebz_1897")</f>
        <v>@efebz_1897</v>
      </c>
      <c r="C24954" s="8" t="s">
        <v>1970</v>
      </c>
      <c r="D24954" s="8">
        <v>228</v>
      </c>
      <c r="E24954" s="8">
        <v>0</v>
      </c>
      <c r="F24954" s="8">
        <v>560</v>
      </c>
    </row>
    <row r="24955" spans="1:6" ht="12.75">
      <c r="A24955" s="8">
        <v>43893.207534722227</v>
      </c>
      <c r="B24955" s="8" t="str">
        <f>HYPERLINK("https://twitter.com/TukangRT33","@TukangRT33")</f>
        <v>@TukangRT33</v>
      </c>
      <c r="C24955" s="8" t="s">
        <v>9727</v>
      </c>
      <c r="D24955" s="8">
        <v>59</v>
      </c>
      <c r="E24955" s="8">
        <v>0</v>
      </c>
      <c r="F24955" s="8">
        <v>298</v>
      </c>
    </row>
    <row r="24956" spans="1:6" ht="12.75">
      <c r="A24956" s="8">
        <v>43893.207465277781</v>
      </c>
      <c r="B24956" s="8" t="str">
        <f>HYPERLINK("https://twitter.com/efebz_1897","@efebz_1897")</f>
        <v>@efebz_1897</v>
      </c>
      <c r="C24956" s="8" t="s">
        <v>7661</v>
      </c>
      <c r="D24956" s="8">
        <v>369</v>
      </c>
      <c r="E24956" s="8">
        <v>0</v>
      </c>
      <c r="F24956" s="8">
        <v>560</v>
      </c>
    </row>
    <row r="24957" spans="1:6" ht="12.75">
      <c r="A24957" s="8">
        <v>43893.207337962958</v>
      </c>
      <c r="B24957" s="8" t="str">
        <f>HYPERLINK("https://twitter.com/ranggalawe727","@ranggalawe727")</f>
        <v>@ranggalawe727</v>
      </c>
      <c r="C24957" s="8" t="s">
        <v>9817</v>
      </c>
      <c r="D24957" s="8">
        <v>35</v>
      </c>
      <c r="E24957" s="8">
        <v>0</v>
      </c>
      <c r="F24957" s="8">
        <v>324</v>
      </c>
    </row>
    <row r="24958" spans="1:6" ht="12.75">
      <c r="A24958" s="8">
        <v>43893.207071759258</v>
      </c>
      <c r="B24958" s="8" t="str">
        <f>HYPERLINK("https://twitter.com/dagelan_dunia","@dagelan_dunia")</f>
        <v>@dagelan_dunia</v>
      </c>
      <c r="C24958" s="8" t="s">
        <v>8322</v>
      </c>
      <c r="D24958" s="8">
        <v>627</v>
      </c>
      <c r="E24958" s="8">
        <v>0</v>
      </c>
      <c r="F24958" s="8">
        <v>198</v>
      </c>
    </row>
    <row r="24959" spans="1:6" ht="12.75">
      <c r="A24959" s="8">
        <v>43893.207060185188</v>
      </c>
      <c r="B24959" s="8" t="str">
        <f>HYPERLINK("https://twitter.com/nitaariannii","@nitaariannii")</f>
        <v>@nitaariannii</v>
      </c>
      <c r="C24959" s="8" t="s">
        <v>8776</v>
      </c>
      <c r="D24959" s="8">
        <v>175</v>
      </c>
      <c r="E24959" s="8">
        <v>0</v>
      </c>
      <c r="F24959" s="8">
        <v>7</v>
      </c>
    </row>
    <row r="24960" spans="1:6" ht="12.75">
      <c r="A24960" s="8">
        <v>43893.207048611112</v>
      </c>
      <c r="B24960" s="8" t="str">
        <f>HYPERLINK("https://twitter.com/bintaaang","@bintaaang")</f>
        <v>@bintaaang</v>
      </c>
      <c r="C24960" s="8" t="s">
        <v>9934</v>
      </c>
      <c r="D24960" s="8">
        <v>0</v>
      </c>
      <c r="E24960" s="8">
        <v>0</v>
      </c>
      <c r="F24960" s="8">
        <v>1079</v>
      </c>
    </row>
    <row r="24961" spans="1:6" ht="12.75">
      <c r="A24961" s="8">
        <v>43893.207037037035</v>
      </c>
      <c r="B24961" s="8" t="str">
        <f>HYPERLINK("https://twitter.com/merdekadotcom","@merdekadotcom")</f>
        <v>@merdekadotcom</v>
      </c>
      <c r="C24961" s="8" t="s">
        <v>9935</v>
      </c>
      <c r="D24961" s="8">
        <v>0</v>
      </c>
      <c r="E24961" s="8">
        <v>0</v>
      </c>
      <c r="F24961" s="8">
        <v>231444</v>
      </c>
    </row>
    <row r="24962" spans="1:6" ht="12.75">
      <c r="A24962" s="8">
        <v>43893.206770833334</v>
      </c>
      <c r="B24962" s="8" t="str">
        <f>HYPERLINK("https://twitter.com/Bambs962","@Bambs962")</f>
        <v>@Bambs962</v>
      </c>
      <c r="C24962" s="8" t="s">
        <v>4477</v>
      </c>
      <c r="D24962" s="8">
        <v>886</v>
      </c>
      <c r="E24962" s="8">
        <v>0</v>
      </c>
      <c r="F24962" s="8">
        <v>7</v>
      </c>
    </row>
    <row r="24963" spans="1:6" ht="12.75">
      <c r="A24963" s="8">
        <v>43893.206712962958</v>
      </c>
      <c r="B24963" s="8" t="str">
        <f>HYPERLINK("https://twitter.com/LukmanHariant11","@LukmanHariant11")</f>
        <v>@LukmanHariant11</v>
      </c>
      <c r="C24963" s="8" t="s">
        <v>2199</v>
      </c>
      <c r="D24963" s="8">
        <v>8480</v>
      </c>
      <c r="E24963" s="8">
        <v>0</v>
      </c>
      <c r="F24963" s="8">
        <v>329</v>
      </c>
    </row>
    <row r="24964" spans="1:6" ht="12.75">
      <c r="A24964" s="8">
        <v>43893.206539351857</v>
      </c>
      <c r="B24964" s="8" t="str">
        <f>HYPERLINK("https://twitter.com/garamenak","@garamenak")</f>
        <v>@garamenak</v>
      </c>
      <c r="C24964" s="8" t="s">
        <v>2199</v>
      </c>
      <c r="D24964" s="8">
        <v>8480</v>
      </c>
      <c r="E24964" s="8">
        <v>0</v>
      </c>
      <c r="F24964" s="8">
        <v>39</v>
      </c>
    </row>
    <row r="24965" spans="1:6" ht="12.75">
      <c r="A24965" s="8">
        <v>43893.206377314811</v>
      </c>
      <c r="B24965" s="8" t="str">
        <f>HYPERLINK("https://twitter.com/Anti71L1439H","@Anti71L1439H")</f>
        <v>@Anti71L1439H</v>
      </c>
      <c r="C24965" s="8" t="s">
        <v>1970</v>
      </c>
      <c r="D24965" s="8">
        <v>228</v>
      </c>
      <c r="E24965" s="8">
        <v>0</v>
      </c>
      <c r="F24965" s="8">
        <v>1137</v>
      </c>
    </row>
    <row r="24966" spans="1:6" ht="12.75">
      <c r="A24966" s="8">
        <v>43893.206134259264</v>
      </c>
      <c r="B24966" s="8" t="str">
        <f>HYPERLINK("https://twitter.com/atopurz","@atopurz")</f>
        <v>@atopurz</v>
      </c>
      <c r="C24966" s="8" t="s">
        <v>2962</v>
      </c>
      <c r="D24966" s="8">
        <v>4690</v>
      </c>
      <c r="E24966" s="8">
        <v>0</v>
      </c>
      <c r="F24966" s="8">
        <v>462</v>
      </c>
    </row>
    <row r="24967" spans="1:6" ht="12.75">
      <c r="A24967" s="8">
        <v>43893.205648148149</v>
      </c>
      <c r="B24967" s="8" t="str">
        <f>HYPERLINK("https://twitter.com/rifky120412","@rifky120412")</f>
        <v>@rifky120412</v>
      </c>
      <c r="C24967" s="8" t="s">
        <v>1970</v>
      </c>
      <c r="D24967" s="8">
        <v>228</v>
      </c>
      <c r="E24967" s="8">
        <v>0</v>
      </c>
      <c r="F24967" s="8">
        <v>287</v>
      </c>
    </row>
    <row r="24968" spans="1:6" ht="12.75">
      <c r="A24968" s="8">
        <v>43893.205625000002</v>
      </c>
      <c r="B24968" s="8" t="str">
        <f>HYPERLINK("https://twitter.com/doktraltr","@doktraltr")</f>
        <v>@doktraltr</v>
      </c>
      <c r="C24968" s="8" t="s">
        <v>2962</v>
      </c>
      <c r="D24968" s="8">
        <v>4690</v>
      </c>
      <c r="E24968" s="8">
        <v>0</v>
      </c>
      <c r="F24968" s="8">
        <v>53</v>
      </c>
    </row>
    <row r="24969" spans="1:6" ht="12.75">
      <c r="A24969" s="8">
        <v>43893.205393518518</v>
      </c>
      <c r="B24969" s="8" t="str">
        <f>HYPERLINK("https://twitter.com/yeolilbae","@yeolilbae")</f>
        <v>@yeolilbae</v>
      </c>
      <c r="C24969" s="8" t="s">
        <v>1427</v>
      </c>
      <c r="D24969" s="8">
        <v>607</v>
      </c>
      <c r="E24969" s="8">
        <v>0</v>
      </c>
      <c r="F24969" s="8">
        <v>1821</v>
      </c>
    </row>
    <row r="24970" spans="1:6" ht="12.75">
      <c r="A24970" s="8">
        <v>43893.205196759256</v>
      </c>
      <c r="B24970" s="8" t="str">
        <f>HYPERLINK("https://twitter.com/elan_gusma","@elan_gusma")</f>
        <v>@elan_gusma</v>
      </c>
      <c r="C24970" s="8" t="s">
        <v>8901</v>
      </c>
      <c r="D24970" s="8">
        <v>2</v>
      </c>
      <c r="E24970" s="8">
        <v>0</v>
      </c>
      <c r="F24970" s="8">
        <v>3724</v>
      </c>
    </row>
    <row r="24971" spans="1:6" ht="12.75">
      <c r="A24971" s="8">
        <v>43893.204872685186</v>
      </c>
      <c r="B24971" s="8" t="str">
        <f>HYPERLINK("https://twitter.com/___sunbae","@___sunbae")</f>
        <v>@___sunbae</v>
      </c>
      <c r="C24971" s="8" t="s">
        <v>9801</v>
      </c>
      <c r="D24971" s="8">
        <v>9</v>
      </c>
      <c r="E24971" s="8">
        <v>0</v>
      </c>
      <c r="F24971" s="8">
        <v>1390</v>
      </c>
    </row>
    <row r="24972" spans="1:6" ht="12.75">
      <c r="A24972" s="8">
        <v>43893.204814814817</v>
      </c>
      <c r="B24972" s="8" t="str">
        <f>HYPERLINK("https://twitter.com/pemantau69","@pemantau69")</f>
        <v>@pemantau69</v>
      </c>
      <c r="C24972" s="8" t="s">
        <v>1970</v>
      </c>
      <c r="D24972" s="8">
        <v>228</v>
      </c>
      <c r="E24972" s="8">
        <v>0</v>
      </c>
      <c r="F24972" s="8">
        <v>96</v>
      </c>
    </row>
    <row r="24973" spans="1:6" ht="12.75">
      <c r="A24973" s="8">
        <v>43893.20480324074</v>
      </c>
      <c r="B24973" s="8" t="str">
        <f>HYPERLINK("https://twitter.com/callmeacchan","@callmeacchan")</f>
        <v>@callmeacchan</v>
      </c>
      <c r="C24973" s="8" t="s">
        <v>9801</v>
      </c>
      <c r="D24973" s="8">
        <v>9</v>
      </c>
      <c r="E24973" s="8">
        <v>0</v>
      </c>
      <c r="F24973" s="8">
        <v>546</v>
      </c>
    </row>
    <row r="24974" spans="1:6" ht="12.75">
      <c r="A24974" s="8">
        <v>43893.204791666663</v>
      </c>
      <c r="B24974" s="8" t="str">
        <f>HYPERLINK("https://twitter.com/cutiepu3","@cutiepu3")</f>
        <v>@cutiepu3</v>
      </c>
      <c r="C24974" s="8" t="s">
        <v>9117</v>
      </c>
      <c r="D24974" s="8">
        <v>213</v>
      </c>
      <c r="E24974" s="8">
        <v>0</v>
      </c>
      <c r="F24974" s="8">
        <v>32</v>
      </c>
    </row>
    <row r="24975" spans="1:6" ht="12.75">
      <c r="A24975" s="8">
        <v>43893.204085648147</v>
      </c>
      <c r="B24975" s="8" t="str">
        <f>HYPERLINK("https://twitter.com/rzkkykurniawan","@rzkkykurniawan")</f>
        <v>@rzkkykurniawan</v>
      </c>
      <c r="C24975" s="8" t="s">
        <v>1970</v>
      </c>
      <c r="D24975" s="8">
        <v>228</v>
      </c>
      <c r="E24975" s="8">
        <v>0</v>
      </c>
      <c r="F24975" s="8">
        <v>73</v>
      </c>
    </row>
    <row r="24976" spans="1:6" ht="12.75">
      <c r="A24976" s="8">
        <v>43893.204050925924</v>
      </c>
      <c r="B24976" s="8" t="str">
        <f>HYPERLINK("https://twitter.com/LukmanHariant11","@LukmanHariant11")</f>
        <v>@LukmanHariant11</v>
      </c>
      <c r="C24976" s="8" t="s">
        <v>9238</v>
      </c>
      <c r="D24976" s="8">
        <v>209</v>
      </c>
      <c r="E24976" s="8">
        <v>0</v>
      </c>
      <c r="F24976" s="8">
        <v>329</v>
      </c>
    </row>
    <row r="24977" spans="1:6" ht="12.75">
      <c r="A24977" s="8">
        <v>43893.203796296293</v>
      </c>
      <c r="B24977" s="8" t="str">
        <f>HYPERLINK("https://twitter.com/diaryteak","@diaryteak")</f>
        <v>@diaryteak</v>
      </c>
      <c r="C24977" s="8" t="s">
        <v>9270</v>
      </c>
      <c r="D24977" s="8">
        <v>110</v>
      </c>
      <c r="E24977" s="8">
        <v>0</v>
      </c>
      <c r="F24977" s="8">
        <v>11</v>
      </c>
    </row>
    <row r="24978" spans="1:6" ht="12.75">
      <c r="A24978" s="8">
        <v>43893.2034375</v>
      </c>
      <c r="B24978" s="8" t="str">
        <f>HYPERLINK("https://twitter.com/myidviri","@myidviri")</f>
        <v>@myidviri</v>
      </c>
      <c r="C24978" s="8" t="s">
        <v>1970</v>
      </c>
      <c r="D24978" s="8">
        <v>228</v>
      </c>
      <c r="E24978" s="8">
        <v>0</v>
      </c>
      <c r="F24978" s="8">
        <v>586</v>
      </c>
    </row>
    <row r="24979" spans="1:6" ht="12.75">
      <c r="A24979" s="8">
        <v>43893.2034375</v>
      </c>
      <c r="B24979" s="8" t="str">
        <f>HYPERLINK("https://twitter.com/heri_yanto05","@heri_yanto05")</f>
        <v>@heri_yanto05</v>
      </c>
      <c r="C24979" s="8" t="s">
        <v>8843</v>
      </c>
      <c r="D24979" s="8">
        <v>32</v>
      </c>
      <c r="E24979" s="8">
        <v>0</v>
      </c>
      <c r="F24979" s="8">
        <v>238</v>
      </c>
    </row>
    <row r="24980" spans="1:6" ht="12.75">
      <c r="A24980" s="8">
        <v>43893.17255787037</v>
      </c>
      <c r="B24980" s="8" t="str">
        <f>HYPERLINK("https://twitter.com/Aureliamp_","@Aureliamp_")</f>
        <v>@Aureliamp_</v>
      </c>
      <c r="C24980" s="8" t="s">
        <v>2199</v>
      </c>
      <c r="D24980" s="8">
        <v>8459</v>
      </c>
      <c r="E24980" s="8">
        <v>0</v>
      </c>
      <c r="F24980" s="8">
        <v>58</v>
      </c>
    </row>
    <row r="24981" spans="1:6" ht="12.75">
      <c r="A24981" s="8">
        <v>43893.172534722224</v>
      </c>
      <c r="B24981" s="8" t="str">
        <f>HYPERLINK("https://twitter.com/Airy_abi18","@Airy_abi18")</f>
        <v>@Airy_abi18</v>
      </c>
      <c r="C24981" s="8" t="s">
        <v>4615</v>
      </c>
      <c r="D24981" s="8">
        <v>167</v>
      </c>
      <c r="E24981" s="8">
        <v>0</v>
      </c>
      <c r="F24981" s="8">
        <v>194</v>
      </c>
    </row>
    <row r="24982" spans="1:6" ht="12.75">
      <c r="A24982" s="8">
        <v>43893.171875</v>
      </c>
      <c r="B24982" s="8" t="str">
        <f>HYPERLINK("https://twitter.com/andisukses998","@andisukses998")</f>
        <v>@andisukses998</v>
      </c>
      <c r="C24982" s="8" t="s">
        <v>8322</v>
      </c>
      <c r="D24982" s="8">
        <v>615</v>
      </c>
      <c r="E24982" s="8">
        <v>0</v>
      </c>
      <c r="F24982" s="8">
        <v>19</v>
      </c>
    </row>
    <row r="24983" spans="1:6" ht="12.75">
      <c r="A24983" s="8">
        <v>43893.171875</v>
      </c>
      <c r="B24983" s="8" t="str">
        <f>HYPERLINK("https://twitter.com/trawbelland","@trawbelland")</f>
        <v>@trawbelland</v>
      </c>
      <c r="C24983" s="8" t="s">
        <v>2199</v>
      </c>
      <c r="D24983" s="8">
        <v>8459</v>
      </c>
      <c r="E24983" s="8">
        <v>0</v>
      </c>
      <c r="F24983" s="8">
        <v>104</v>
      </c>
    </row>
    <row r="24984" spans="1:6" ht="12.75">
      <c r="A24984" s="8">
        <v>43893.1716087963</v>
      </c>
      <c r="B24984" s="8" t="str">
        <f>HYPERLINK("https://twitter.com/andisukses998","@andisukses998")</f>
        <v>@andisukses998</v>
      </c>
      <c r="C24984" s="8" t="s">
        <v>4477</v>
      </c>
      <c r="D24984" s="8">
        <v>873</v>
      </c>
      <c r="E24984" s="8">
        <v>0</v>
      </c>
      <c r="F24984" s="8">
        <v>19</v>
      </c>
    </row>
    <row r="24985" spans="1:6" ht="12.75">
      <c r="A24985" s="8">
        <v>43893.171539351853</v>
      </c>
      <c r="B24985" s="8" t="str">
        <f>HYPERLINK("https://twitter.com/SIR_Pribadi","@SIR_Pribadi")</f>
        <v>@SIR_Pribadi</v>
      </c>
      <c r="C24985" s="8" t="s">
        <v>9123</v>
      </c>
      <c r="D24985" s="8">
        <v>372</v>
      </c>
      <c r="E24985" s="8">
        <v>0</v>
      </c>
      <c r="F24985" s="8">
        <v>2405</v>
      </c>
    </row>
    <row r="24986" spans="1:6" ht="12.75">
      <c r="A24986" s="8">
        <v>43893.171388888892</v>
      </c>
      <c r="B24986" s="8" t="str">
        <f>HYPERLINK("https://twitter.com/WangsaDay_Day02","@WangsaDay_Day02")</f>
        <v>@WangsaDay_Day02</v>
      </c>
      <c r="C24986" s="8" t="s">
        <v>7661</v>
      </c>
      <c r="D24986" s="8">
        <v>363</v>
      </c>
      <c r="E24986" s="8">
        <v>0</v>
      </c>
      <c r="F24986" s="8">
        <v>3453</v>
      </c>
    </row>
    <row r="24987" spans="1:6" ht="12.75">
      <c r="A24987" s="8">
        <v>43893.171111111107</v>
      </c>
      <c r="B24987" s="8" t="str">
        <f>HYPERLINK("https://twitter.com/prayudo_kw1","@prayudo_kw1")</f>
        <v>@prayudo_kw1</v>
      </c>
      <c r="C24987" s="8" t="s">
        <v>9936</v>
      </c>
      <c r="D24987" s="8">
        <v>1</v>
      </c>
      <c r="E24987" s="8">
        <v>0</v>
      </c>
      <c r="F24987" s="8">
        <v>476</v>
      </c>
    </row>
    <row r="24988" spans="1:6" ht="12.75">
      <c r="A24988" s="8">
        <v>43893.171076388884</v>
      </c>
      <c r="B24988" s="8" t="str">
        <f>HYPERLINK("https://twitter.com/riyadh_kbri","@riyadh_kbri")</f>
        <v>@riyadh_kbri</v>
      </c>
      <c r="C24988" s="8" t="s">
        <v>9937</v>
      </c>
      <c r="D24988" s="8">
        <v>0</v>
      </c>
      <c r="E24988" s="8">
        <v>0</v>
      </c>
      <c r="F24988" s="8">
        <v>2329</v>
      </c>
    </row>
    <row r="24989" spans="1:6" ht="12.75">
      <c r="A24989" s="8">
        <v>43893.170706018514</v>
      </c>
      <c r="B24989" s="8" t="str">
        <f t="shared" ref="B24989:B24990" si="357">HYPERLINK("https://twitter.com/GreatSpiderman7","@GreatSpiderman7")</f>
        <v>@GreatSpiderman7</v>
      </c>
      <c r="C24989" s="8" t="s">
        <v>9780</v>
      </c>
      <c r="D24989" s="8">
        <v>42</v>
      </c>
      <c r="E24989" s="8">
        <v>0</v>
      </c>
      <c r="F24989" s="8">
        <v>198</v>
      </c>
    </row>
    <row r="24990" spans="1:6" ht="12.75">
      <c r="A24990" s="8">
        <v>43893.170219907406</v>
      </c>
      <c r="B24990" s="8" t="str">
        <f t="shared" si="357"/>
        <v>@GreatSpiderman7</v>
      </c>
      <c r="C24990" s="8" t="s">
        <v>9614</v>
      </c>
      <c r="D24990" s="8">
        <v>104</v>
      </c>
      <c r="E24990" s="8">
        <v>0</v>
      </c>
      <c r="F24990" s="8">
        <v>198</v>
      </c>
    </row>
    <row r="24991" spans="1:6" ht="12.75">
      <c r="A24991" s="8">
        <v>43893.170057870375</v>
      </c>
      <c r="B24991" s="8" t="str">
        <f>HYPERLINK("https://twitter.com/isis_macedo10","@isis_macedo10")</f>
        <v>@isis_macedo10</v>
      </c>
      <c r="C24991" s="8" t="s">
        <v>9938</v>
      </c>
      <c r="D24991" s="8">
        <v>0</v>
      </c>
      <c r="E24991" s="8">
        <v>1</v>
      </c>
      <c r="F24991" s="8">
        <v>5301</v>
      </c>
    </row>
    <row r="24992" spans="1:6" ht="12.75">
      <c r="A24992" s="8">
        <v>43893.169953703706</v>
      </c>
      <c r="B24992" s="8" t="str">
        <f>HYPERLINK("https://twitter.com/tytrackdyo","@tytrackdyo")</f>
        <v>@tytrackdyo</v>
      </c>
      <c r="C24992" s="8" t="s">
        <v>2995</v>
      </c>
      <c r="D24992" s="8">
        <v>204</v>
      </c>
      <c r="E24992" s="8">
        <v>0</v>
      </c>
      <c r="F24992" s="8">
        <v>675</v>
      </c>
    </row>
    <row r="24993" spans="1:6" ht="12.75">
      <c r="A24993" s="8">
        <v>43893.169629629629</v>
      </c>
      <c r="B24993" s="8" t="str">
        <f>HYPERLINK("https://twitter.com/GilangGum29","@GilangGum29")</f>
        <v>@GilangGum29</v>
      </c>
      <c r="C24993" s="8" t="s">
        <v>6832</v>
      </c>
      <c r="D24993" s="8">
        <v>870</v>
      </c>
      <c r="E24993" s="8">
        <v>0</v>
      </c>
      <c r="F24993" s="8">
        <v>73</v>
      </c>
    </row>
    <row r="24994" spans="1:6" ht="12.75">
      <c r="A24994" s="8">
        <v>43893.169525462959</v>
      </c>
      <c r="B24994" s="8" t="str">
        <f>HYPERLINK("https://twitter.com/QqTulis","@QqTulis")</f>
        <v>@QqTulis</v>
      </c>
      <c r="C24994" s="8" t="s">
        <v>9939</v>
      </c>
      <c r="D24994" s="8">
        <v>0</v>
      </c>
      <c r="E24994" s="8">
        <v>0</v>
      </c>
      <c r="F24994" s="8">
        <v>194</v>
      </c>
    </row>
    <row r="24995" spans="1:6" ht="12.75">
      <c r="A24995" s="8">
        <v>43893.169525462959</v>
      </c>
      <c r="B24995" s="8" t="str">
        <f>HYPERLINK("https://twitter.com/ArrahmahID","@ArrahmahID")</f>
        <v>@ArrahmahID</v>
      </c>
      <c r="C24995" s="8" t="s">
        <v>9940</v>
      </c>
      <c r="D24995" s="8">
        <v>0</v>
      </c>
      <c r="E24995" s="8">
        <v>0</v>
      </c>
      <c r="F24995" s="8">
        <v>7389</v>
      </c>
    </row>
    <row r="24996" spans="1:6" ht="12.75">
      <c r="A24996" s="8">
        <v>43893.169525462959</v>
      </c>
      <c r="B24996" s="8" t="str">
        <f>HYPERLINK("https://twitter.com/koloni_saham","@koloni_saham")</f>
        <v>@koloni_saham</v>
      </c>
      <c r="C24996" s="8" t="s">
        <v>9941</v>
      </c>
      <c r="D24996" s="8">
        <v>0</v>
      </c>
      <c r="E24996" s="8">
        <v>0</v>
      </c>
      <c r="F24996" s="8">
        <v>53</v>
      </c>
    </row>
    <row r="24997" spans="1:6" ht="12.75">
      <c r="A24997" s="8">
        <v>43893.169236111113</v>
      </c>
      <c r="B24997" s="8" t="str">
        <f>HYPERLINK("https://twitter.com/blueberrymlkt","@blueberrymlkt")</f>
        <v>@blueberrymlkt</v>
      </c>
      <c r="C24997" s="8" t="s">
        <v>9194</v>
      </c>
      <c r="D24997" s="8">
        <v>159</v>
      </c>
      <c r="E24997" s="8">
        <v>0</v>
      </c>
      <c r="F24997" s="8">
        <v>42</v>
      </c>
    </row>
    <row r="24998" spans="1:6" ht="12.75">
      <c r="A24998" s="8">
        <v>43893.169050925921</v>
      </c>
      <c r="B24998" s="8" t="str">
        <f>HYPERLINK("https://twitter.com/HdrAbdurrahman","@HdrAbdurrahman")</f>
        <v>@HdrAbdurrahman</v>
      </c>
      <c r="C24998" s="8" t="s">
        <v>7661</v>
      </c>
      <c r="D24998" s="8">
        <v>363</v>
      </c>
      <c r="E24998" s="8">
        <v>0</v>
      </c>
      <c r="F24998" s="8">
        <v>4077</v>
      </c>
    </row>
    <row r="24999" spans="1:6" ht="12.75">
      <c r="A24999" s="8">
        <v>43893.167893518519</v>
      </c>
      <c r="B24999" s="8" t="str">
        <f>HYPERLINK("https://twitter.com/Pinapelpen","@Pinapelpen")</f>
        <v>@Pinapelpen</v>
      </c>
      <c r="C24999" s="8" t="s">
        <v>9274</v>
      </c>
      <c r="D24999" s="8">
        <v>592</v>
      </c>
      <c r="E24999" s="8">
        <v>0</v>
      </c>
      <c r="F24999" s="8">
        <v>2067</v>
      </c>
    </row>
    <row r="25000" spans="1:6" ht="12.75">
      <c r="A25000" s="8">
        <v>43893.167499999996</v>
      </c>
      <c r="B25000" s="8" t="str">
        <f>HYPERLINK("https://twitter.com/GreatSpiderman7","@GreatSpiderman7")</f>
        <v>@GreatSpiderman7</v>
      </c>
      <c r="C25000" s="8" t="s">
        <v>9915</v>
      </c>
      <c r="D25000" s="8">
        <v>77</v>
      </c>
      <c r="E25000" s="8">
        <v>0</v>
      </c>
      <c r="F25000" s="8">
        <v>198</v>
      </c>
    </row>
    <row r="25001" spans="1:6" ht="12.75">
      <c r="A25001" s="8">
        <v>43893.167118055557</v>
      </c>
      <c r="B25001" s="8" t="str">
        <f>HYPERLINK("https://twitter.com/yulian_rizki","@yulian_rizki")</f>
        <v>@yulian_rizki</v>
      </c>
      <c r="C25001" s="8" t="s">
        <v>9727</v>
      </c>
      <c r="D25001" s="8">
        <v>51</v>
      </c>
      <c r="E25001" s="8">
        <v>0</v>
      </c>
      <c r="F25001" s="8">
        <v>462</v>
      </c>
    </row>
    <row r="25002" spans="1:6" ht="12.75">
      <c r="A25002" s="8">
        <v>43893.16684027778</v>
      </c>
      <c r="B25002" s="8" t="str">
        <f>HYPERLINK("https://twitter.com/Isis_alada","@Isis_alada")</f>
        <v>@Isis_alada</v>
      </c>
      <c r="C25002" s="8" t="s">
        <v>9942</v>
      </c>
      <c r="D25002" s="8">
        <v>0</v>
      </c>
      <c r="E25002" s="8">
        <v>0</v>
      </c>
      <c r="F25002" s="8">
        <v>424</v>
      </c>
    </row>
    <row r="25003" spans="1:6" ht="12.75">
      <c r="A25003" s="8">
        <v>43893.166712962964</v>
      </c>
      <c r="B25003" s="8" t="str">
        <f>HYPERLINK("https://twitter.com/ickhadesyy","@ickhadesyy")</f>
        <v>@ickhadesyy</v>
      </c>
      <c r="C25003" s="8" t="s">
        <v>9270</v>
      </c>
      <c r="D25003" s="8">
        <v>108</v>
      </c>
      <c r="E25003" s="8">
        <v>0</v>
      </c>
      <c r="F25003" s="8">
        <v>103</v>
      </c>
    </row>
    <row r="25004" spans="1:6" ht="12.75">
      <c r="A25004" s="8">
        <v>43893.166689814811</v>
      </c>
      <c r="B25004" s="8" t="str">
        <f>HYPERLINK("https://twitter.com/republikaonline","@republikaonline")</f>
        <v>@republikaonline</v>
      </c>
      <c r="C25004" s="8" t="s">
        <v>9943</v>
      </c>
      <c r="D25004" s="8">
        <v>0</v>
      </c>
      <c r="E25004" s="8">
        <v>1</v>
      </c>
      <c r="F25004" s="8">
        <v>1217653</v>
      </c>
    </row>
    <row r="25005" spans="1:6" ht="12.75">
      <c r="A25005" s="8">
        <v>43893.166666666672</v>
      </c>
      <c r="B25005" s="8" t="str">
        <f>HYPERLINK("https://twitter.com/OfficialiNewsTV","@OfficialiNewsTV")</f>
        <v>@OfficialiNewsTV</v>
      </c>
      <c r="C25005" s="8" t="s">
        <v>9944</v>
      </c>
      <c r="D25005" s="8">
        <v>0</v>
      </c>
      <c r="E25005" s="8">
        <v>0</v>
      </c>
      <c r="F25005" s="8">
        <v>96481</v>
      </c>
    </row>
    <row r="25006" spans="1:6" ht="12.75">
      <c r="A25006" s="8">
        <v>43893.166643518518</v>
      </c>
      <c r="B25006" s="8" t="str">
        <f>HYPERLINK("https://twitter.com/AliDavala99","@AliDavala99")</f>
        <v>@AliDavala99</v>
      </c>
      <c r="C25006" s="8" t="s">
        <v>7597</v>
      </c>
      <c r="D25006" s="8">
        <v>509</v>
      </c>
      <c r="E25006" s="8">
        <v>0</v>
      </c>
      <c r="F25006" s="8">
        <v>77</v>
      </c>
    </row>
    <row r="25007" spans="1:6" ht="12.75">
      <c r="A25007" s="8">
        <v>43893.166631944448</v>
      </c>
      <c r="B25007" s="8" t="str">
        <f>HYPERLINK("https://twitter.com/Chyrus_One","@Chyrus_One")</f>
        <v>@Chyrus_One</v>
      </c>
      <c r="C25007" s="8" t="s">
        <v>2962</v>
      </c>
      <c r="D25007" s="8">
        <v>4657</v>
      </c>
      <c r="E25007" s="8">
        <v>0</v>
      </c>
      <c r="F25007" s="8">
        <v>400</v>
      </c>
    </row>
    <row r="25008" spans="1:6" ht="12.75">
      <c r="A25008" s="8">
        <v>43893.166516203702</v>
      </c>
      <c r="B25008" s="8" t="str">
        <f>HYPERLINK("https://twitter.com/bubbleberudolf","@bubbleberudolf")</f>
        <v>@bubbleberudolf</v>
      </c>
      <c r="C25008" s="8" t="s">
        <v>2199</v>
      </c>
      <c r="D25008" s="8">
        <v>8459</v>
      </c>
      <c r="E25008" s="8">
        <v>0</v>
      </c>
      <c r="F25008" s="8">
        <v>614</v>
      </c>
    </row>
    <row r="25009" spans="1:6" ht="12.75">
      <c r="A25009" s="8">
        <v>43893.166446759264</v>
      </c>
      <c r="B25009" s="8" t="str">
        <f>HYPERLINK("https://twitter.com/rakjat4","@rakjat4")</f>
        <v>@rakjat4</v>
      </c>
      <c r="C25009" s="8" t="s">
        <v>8322</v>
      </c>
      <c r="D25009" s="8">
        <v>615</v>
      </c>
      <c r="E25009" s="8">
        <v>0</v>
      </c>
      <c r="F25009" s="8">
        <v>955</v>
      </c>
    </row>
    <row r="25010" spans="1:6" ht="12.75">
      <c r="A25010" s="8">
        <v>43893.166180555556</v>
      </c>
      <c r="B25010" s="8" t="str">
        <f>HYPERLINK("https://twitter.com/Widiatis279","@Widiatis279")</f>
        <v>@Widiatis279</v>
      </c>
      <c r="C25010" s="8" t="s">
        <v>8842</v>
      </c>
      <c r="D25010" s="8">
        <v>161</v>
      </c>
      <c r="E25010" s="8">
        <v>0</v>
      </c>
      <c r="F25010" s="8">
        <v>732</v>
      </c>
    </row>
    <row r="25011" spans="1:6" ht="12.75">
      <c r="A25011" s="8">
        <v>43893.165763888886</v>
      </c>
      <c r="B25011" s="8" t="str">
        <f>HYPERLINK("https://twitter.com/melvmin","@melvmin")</f>
        <v>@melvmin</v>
      </c>
      <c r="C25011" s="8" t="s">
        <v>9925</v>
      </c>
      <c r="D25011" s="8">
        <v>76</v>
      </c>
      <c r="E25011" s="8">
        <v>0</v>
      </c>
      <c r="F25011" s="8">
        <v>2182</v>
      </c>
    </row>
    <row r="25012" spans="1:6" ht="12.75">
      <c r="A25012" s="8">
        <v>43893.165324074071</v>
      </c>
      <c r="B25012" s="8" t="str">
        <f>HYPERLINK("https://twitter.com/27Zaziza","@27Zaziza")</f>
        <v>@27Zaziza</v>
      </c>
      <c r="C25012" s="8" t="s">
        <v>6832</v>
      </c>
      <c r="D25012" s="8">
        <v>870</v>
      </c>
      <c r="E25012" s="8">
        <v>0</v>
      </c>
      <c r="F25012" s="8">
        <v>201</v>
      </c>
    </row>
    <row r="25013" spans="1:6" ht="12.75">
      <c r="A25013" s="8">
        <v>43893.165196759262</v>
      </c>
      <c r="B25013" s="8" t="str">
        <f>HYPERLINK("https://twitter.com/Only_Nurhadi","@Only_Nurhadi")</f>
        <v>@Only_Nurhadi</v>
      </c>
      <c r="C25013" s="8" t="s">
        <v>7597</v>
      </c>
      <c r="D25013" s="8">
        <v>509</v>
      </c>
      <c r="E25013" s="8">
        <v>0</v>
      </c>
      <c r="F25013" s="8">
        <v>201</v>
      </c>
    </row>
    <row r="25014" spans="1:6" ht="12.75">
      <c r="A25014" s="8">
        <v>43893.165150462963</v>
      </c>
      <c r="B25014" s="8" t="str">
        <f>HYPERLINK("https://twitter.com/emthorif","@emthorif")</f>
        <v>@emthorif</v>
      </c>
      <c r="C25014" s="8" t="s">
        <v>7597</v>
      </c>
      <c r="D25014" s="8">
        <v>509</v>
      </c>
      <c r="E25014" s="8">
        <v>0</v>
      </c>
      <c r="F25014" s="8">
        <v>3933</v>
      </c>
    </row>
    <row r="25015" spans="1:6" ht="12.75">
      <c r="A25015" s="8">
        <v>43893.165081018524</v>
      </c>
      <c r="B25015" s="8" t="str">
        <f>HYPERLINK("https://twitter.com/Scard111","@Scard111")</f>
        <v>@Scard111</v>
      </c>
      <c r="C25015" s="8" t="s">
        <v>6832</v>
      </c>
      <c r="D25015" s="8">
        <v>870</v>
      </c>
      <c r="E25015" s="8">
        <v>0</v>
      </c>
      <c r="F25015" s="8">
        <v>99</v>
      </c>
    </row>
    <row r="25016" spans="1:6" ht="12.75">
      <c r="A25016" s="8">
        <v>43893.163807870369</v>
      </c>
      <c r="B25016" s="8" t="str">
        <f>HYPERLINK("https://twitter.com/yannu07","@yannu07")</f>
        <v>@yannu07</v>
      </c>
      <c r="C25016" s="8" t="s">
        <v>2199</v>
      </c>
      <c r="D25016" s="8">
        <v>8459</v>
      </c>
      <c r="E25016" s="8">
        <v>0</v>
      </c>
      <c r="F25016" s="8">
        <v>30</v>
      </c>
    </row>
    <row r="25017" spans="1:6" ht="12.75">
      <c r="A25017" s="8">
        <v>43893.163483796292</v>
      </c>
      <c r="B25017" s="8" t="str">
        <f>HYPERLINK("https://twitter.com/imam_hariadi22","@imam_hariadi22")</f>
        <v>@imam_hariadi22</v>
      </c>
      <c r="C25017" s="8" t="s">
        <v>9727</v>
      </c>
      <c r="D25017" s="8">
        <v>51</v>
      </c>
      <c r="E25017" s="8">
        <v>0</v>
      </c>
      <c r="F25017" s="8">
        <v>348</v>
      </c>
    </row>
    <row r="25018" spans="1:6" ht="12.75">
      <c r="A25018" s="8">
        <v>43893.163368055553</v>
      </c>
      <c r="B25018" s="8" t="str">
        <f>HYPERLINK("https://twitter.com/ndmendez13","@ndmendez13")</f>
        <v>@ndmendez13</v>
      </c>
      <c r="C25018" s="8" t="s">
        <v>1970</v>
      </c>
      <c r="D25018" s="8">
        <v>171</v>
      </c>
      <c r="E25018" s="8">
        <v>0</v>
      </c>
      <c r="F25018" s="8">
        <v>352</v>
      </c>
    </row>
    <row r="25019" spans="1:6" ht="12.75">
      <c r="A25019" s="8">
        <v>43893.163275462968</v>
      </c>
      <c r="B25019" s="8" t="str">
        <f>HYPERLINK("https://twitter.com/arin_madany","@arin_madany")</f>
        <v>@arin_madany</v>
      </c>
      <c r="C25019" s="8" t="s">
        <v>1970</v>
      </c>
      <c r="D25019" s="8">
        <v>171</v>
      </c>
      <c r="E25019" s="8">
        <v>0</v>
      </c>
      <c r="F25019" s="8">
        <v>33</v>
      </c>
    </row>
    <row r="25020" spans="1:6" ht="12.75">
      <c r="A25020" s="8">
        <v>43893.163124999999</v>
      </c>
      <c r="B25020" s="8" t="str">
        <f>HYPERLINK("https://twitter.com/AliDavala99","@AliDavala99")</f>
        <v>@AliDavala99</v>
      </c>
      <c r="C25020" s="8" t="s">
        <v>9856</v>
      </c>
      <c r="D25020" s="8">
        <v>70</v>
      </c>
      <c r="E25020" s="8">
        <v>0</v>
      </c>
      <c r="F25020" s="8">
        <v>77</v>
      </c>
    </row>
    <row r="25021" spans="1:6" ht="12.75">
      <c r="A25021" s="8">
        <v>43893.162835648152</v>
      </c>
      <c r="B25021" s="8" t="str">
        <f>HYPERLINK("https://twitter.com/Menikhandayani","@Menikhandayani")</f>
        <v>@Menikhandayani</v>
      </c>
      <c r="C25021" s="8" t="s">
        <v>9614</v>
      </c>
      <c r="D25021" s="8">
        <v>104</v>
      </c>
      <c r="E25021" s="8">
        <v>0</v>
      </c>
      <c r="F25021" s="8">
        <v>1570</v>
      </c>
    </row>
    <row r="25022" spans="1:6" ht="12.75">
      <c r="A25022" s="8">
        <v>43893.162812499999</v>
      </c>
      <c r="B25022" s="8" t="str">
        <f>HYPERLINK("https://twitter.com/nahi_munkar_","@nahi_munkar_")</f>
        <v>@nahi_munkar_</v>
      </c>
      <c r="C25022" s="8" t="s">
        <v>7597</v>
      </c>
      <c r="D25022" s="8">
        <v>509</v>
      </c>
      <c r="E25022" s="8">
        <v>0</v>
      </c>
      <c r="F25022" s="8">
        <v>1558</v>
      </c>
    </row>
    <row r="25023" spans="1:6" ht="12.75">
      <c r="A25023" s="8">
        <v>43893.162627314814</v>
      </c>
      <c r="B25023" s="8" t="str">
        <f>HYPERLINK("https://twitter.com/Rifansyah48","@Rifansyah48")</f>
        <v>@Rifansyah48</v>
      </c>
      <c r="C25023" s="8" t="s">
        <v>2199</v>
      </c>
      <c r="D25023" s="8">
        <v>8459</v>
      </c>
      <c r="E25023" s="8">
        <v>0</v>
      </c>
      <c r="F25023" s="8">
        <v>631</v>
      </c>
    </row>
    <row r="25024" spans="1:6" ht="12.75">
      <c r="A25024" s="8">
        <v>43893.162592592591</v>
      </c>
      <c r="B25024" s="8" t="str">
        <f>HYPERLINK("https://twitter.com/WahyuSai_putra","@WahyuSai_putra")</f>
        <v>@WahyuSai_putra</v>
      </c>
      <c r="C25024" s="8" t="s">
        <v>3648</v>
      </c>
      <c r="D25024" s="8">
        <v>629</v>
      </c>
      <c r="E25024" s="8">
        <v>0</v>
      </c>
      <c r="F25024" s="8">
        <v>621</v>
      </c>
    </row>
    <row r="25025" spans="1:6" ht="12.75">
      <c r="A25025" s="8">
        <v>43893.162280092598</v>
      </c>
      <c r="B25025" s="8" t="str">
        <f>HYPERLINK("https://twitter.com/KlinthinkN","@KlinthinkN")</f>
        <v>@KlinthinkN</v>
      </c>
      <c r="C25025" s="8" t="s">
        <v>9945</v>
      </c>
      <c r="D25025" s="8">
        <v>1127</v>
      </c>
      <c r="E25025" s="8">
        <v>0</v>
      </c>
      <c r="F25025" s="8">
        <v>3</v>
      </c>
    </row>
    <row r="25026" spans="1:6" ht="12.75">
      <c r="A25026" s="8">
        <v>43893.16207175926</v>
      </c>
      <c r="B25026" s="8" t="str">
        <f>HYPERLINK("https://twitter.com/widuri_sambas","@widuri_sambas")</f>
        <v>@widuri_sambas</v>
      </c>
      <c r="C25026" s="8" t="s">
        <v>9121</v>
      </c>
      <c r="D25026" s="8">
        <v>58</v>
      </c>
      <c r="E25026" s="8">
        <v>0</v>
      </c>
      <c r="F25026" s="8">
        <v>278</v>
      </c>
    </row>
    <row r="25027" spans="1:6" ht="12.75">
      <c r="A25027" s="8">
        <v>43893.16138888889</v>
      </c>
      <c r="B25027" s="8" t="str">
        <f>HYPERLINK("https://twitter.com/HaikalKurnia","@HaikalKurnia")</f>
        <v>@HaikalKurnia</v>
      </c>
      <c r="C25027" s="8" t="s">
        <v>2962</v>
      </c>
      <c r="D25027" s="8">
        <v>4657</v>
      </c>
      <c r="E25027" s="8">
        <v>0</v>
      </c>
      <c r="F25027" s="8">
        <v>730</v>
      </c>
    </row>
    <row r="25028" spans="1:6" ht="12.75">
      <c r="A25028" s="8">
        <v>43893.161365740743</v>
      </c>
      <c r="B25028" s="8" t="str">
        <f>HYPERLINK("https://twitter.com/pembalapsopayam","@pembalapsopayam")</f>
        <v>@pembalapsopayam</v>
      </c>
      <c r="C25028" s="8" t="s">
        <v>4150</v>
      </c>
      <c r="D25028" s="8">
        <v>494</v>
      </c>
      <c r="E25028" s="8">
        <v>0</v>
      </c>
      <c r="F25028" s="8">
        <v>424</v>
      </c>
    </row>
    <row r="25029" spans="1:6" ht="12.75">
      <c r="A25029" s="8">
        <v>43893.161006944443</v>
      </c>
      <c r="B25029" s="8" t="str">
        <f>HYPERLINK("https://twitter.com/nurrahman1995","@nurrahman1995")</f>
        <v>@nurrahman1995</v>
      </c>
      <c r="C25029" s="8" t="s">
        <v>4477</v>
      </c>
      <c r="D25029" s="8">
        <v>873</v>
      </c>
      <c r="E25029" s="8">
        <v>0</v>
      </c>
      <c r="F25029" s="8">
        <v>13</v>
      </c>
    </row>
    <row r="25030" spans="1:6" ht="12.75">
      <c r="A25030" s="8">
        <v>43893.16034722222</v>
      </c>
      <c r="B25030" s="8" t="str">
        <f>HYPERLINK("https://twitter.com/bhrigutantra","@bhrigutantra")</f>
        <v>@bhrigutantra</v>
      </c>
      <c r="C25030" s="8" t="s">
        <v>8827</v>
      </c>
      <c r="D25030" s="8">
        <v>37</v>
      </c>
      <c r="E25030" s="8">
        <v>0</v>
      </c>
      <c r="F25030" s="8">
        <v>728</v>
      </c>
    </row>
    <row r="25031" spans="1:6" ht="12.75">
      <c r="A25031" s="8">
        <v>43893.16024305555</v>
      </c>
      <c r="B25031" s="8" t="str">
        <f>HYPERLINK("https://twitter.com/mang_app","@mang_app")</f>
        <v>@mang_app</v>
      </c>
      <c r="C25031" s="8" t="s">
        <v>9945</v>
      </c>
      <c r="D25031" s="8">
        <v>1127</v>
      </c>
      <c r="E25031" s="8">
        <v>0</v>
      </c>
      <c r="F25031" s="8">
        <v>2</v>
      </c>
    </row>
    <row r="25032" spans="1:6" ht="12.75">
      <c r="A25032" s="8">
        <v>43893.159953703704</v>
      </c>
      <c r="B25032" s="8" t="str">
        <f>HYPERLINK("https://twitter.com/cafeight88","@cafeight88")</f>
        <v>@cafeight88</v>
      </c>
      <c r="C25032" s="8" t="s">
        <v>4615</v>
      </c>
      <c r="D25032" s="8">
        <v>167</v>
      </c>
      <c r="E25032" s="8">
        <v>0</v>
      </c>
      <c r="F25032" s="8">
        <v>30</v>
      </c>
    </row>
    <row r="25033" spans="1:6" ht="12.75">
      <c r="A25033" s="8">
        <v>43893.159942129627</v>
      </c>
      <c r="B25033" s="8" t="str">
        <f>HYPERLINK("https://twitter.com/dahlanghozali","@dahlanghozali")</f>
        <v>@dahlanghozali</v>
      </c>
      <c r="C25033" s="8" t="s">
        <v>6864</v>
      </c>
      <c r="D25033" s="8">
        <v>179</v>
      </c>
      <c r="E25033" s="8">
        <v>0</v>
      </c>
      <c r="F25033" s="8">
        <v>254</v>
      </c>
    </row>
    <row r="25034" spans="1:6" ht="12.75">
      <c r="A25034" s="8">
        <v>43893.159791666665</v>
      </c>
      <c r="B25034" s="8" t="str">
        <f>HYPERLINK("https://twitter.com/petrelalminanga","@petrelalminanga")</f>
        <v>@petrelalminanga</v>
      </c>
      <c r="C25034" s="8" t="s">
        <v>1970</v>
      </c>
      <c r="D25034" s="8">
        <v>171</v>
      </c>
      <c r="E25034" s="8">
        <v>0</v>
      </c>
      <c r="F25034" s="8">
        <v>326</v>
      </c>
    </row>
    <row r="25035" spans="1:6" ht="12.75">
      <c r="A25035" s="8">
        <v>43893.159780092596</v>
      </c>
      <c r="B25035" s="8" t="str">
        <f>HYPERLINK("https://twitter.com/hammanlim","@hammanlim")</f>
        <v>@hammanlim</v>
      </c>
      <c r="C25035" s="8" t="s">
        <v>2962</v>
      </c>
      <c r="D25035" s="8">
        <v>4657</v>
      </c>
      <c r="E25035" s="8">
        <v>0</v>
      </c>
      <c r="F25035" s="8">
        <v>187</v>
      </c>
    </row>
    <row r="25036" spans="1:6" ht="12.75">
      <c r="A25036" s="8">
        <v>43893.159351851849</v>
      </c>
      <c r="B25036" s="8" t="str">
        <f>HYPERLINK("https://twitter.com/HdrAbdurrahman","@HdrAbdurrahman")</f>
        <v>@HdrAbdurrahman</v>
      </c>
      <c r="C25036" s="8" t="s">
        <v>9614</v>
      </c>
      <c r="D25036" s="8">
        <v>104</v>
      </c>
      <c r="E25036" s="8">
        <v>0</v>
      </c>
      <c r="F25036" s="8">
        <v>4077</v>
      </c>
    </row>
    <row r="25037" spans="1:6" ht="12.75">
      <c r="A25037" s="8">
        <v>43893.159317129626</v>
      </c>
      <c r="B25037" s="8" t="str">
        <f>HYPERLINK("https://twitter.com/Embut_kek","@Embut_kek")</f>
        <v>@Embut_kek</v>
      </c>
      <c r="C25037" s="8" t="s">
        <v>8737</v>
      </c>
      <c r="D25037" s="8">
        <v>1195</v>
      </c>
      <c r="E25037" s="8">
        <v>0</v>
      </c>
      <c r="F25037" s="8">
        <v>139</v>
      </c>
    </row>
    <row r="25038" spans="1:6" ht="12.75">
      <c r="A25038" s="8">
        <v>43893.159282407403</v>
      </c>
      <c r="B25038" s="8" t="str">
        <f>HYPERLINK("https://twitter.com/zeinamegot","@zeinamegot")</f>
        <v>@zeinamegot</v>
      </c>
      <c r="C25038" s="8" t="s">
        <v>9117</v>
      </c>
      <c r="D25038" s="8">
        <v>210</v>
      </c>
      <c r="E25038" s="8">
        <v>0</v>
      </c>
      <c r="F25038" s="8">
        <v>624</v>
      </c>
    </row>
    <row r="25039" spans="1:6" ht="12.75">
      <c r="A25039" s="8">
        <v>43893.159212962964</v>
      </c>
      <c r="B25039" s="8" t="str">
        <f>HYPERLINK("https://twitter.com/Rizal_almaun","@Rizal_almaun")</f>
        <v>@Rizal_almaun</v>
      </c>
      <c r="C25039" s="8" t="s">
        <v>1427</v>
      </c>
      <c r="D25039" s="8">
        <v>583</v>
      </c>
      <c r="E25039" s="8">
        <v>0</v>
      </c>
      <c r="F25039" s="8">
        <v>357</v>
      </c>
    </row>
    <row r="25040" spans="1:6" ht="12.75">
      <c r="A25040" s="8">
        <v>43893.158773148149</v>
      </c>
      <c r="B25040" s="8" t="str">
        <f>HYPERLINK("https://twitter.com/elan_gusma","@elan_gusma")</f>
        <v>@elan_gusma</v>
      </c>
      <c r="C25040" s="8" t="s">
        <v>9560</v>
      </c>
      <c r="D25040" s="8">
        <v>35</v>
      </c>
      <c r="E25040" s="8">
        <v>0</v>
      </c>
      <c r="F25040" s="8">
        <v>3723</v>
      </c>
    </row>
    <row r="25041" spans="1:6" ht="12.75">
      <c r="A25041" s="8">
        <v>43893.158055555556</v>
      </c>
      <c r="B25041" s="8" t="str">
        <f>HYPERLINK("https://twitter.com/dennisuuuuuu","@dennisuuuuuu")</f>
        <v>@dennisuuuuuu</v>
      </c>
      <c r="C25041" s="8" t="s">
        <v>1145</v>
      </c>
      <c r="D25041" s="8">
        <v>462</v>
      </c>
      <c r="E25041" s="8">
        <v>0</v>
      </c>
      <c r="F25041" s="8">
        <v>28</v>
      </c>
    </row>
    <row r="25042" spans="1:6" ht="12.75">
      <c r="A25042" s="8">
        <v>43893.158020833333</v>
      </c>
      <c r="B25042" s="8" t="str">
        <f>HYPERLINK("https://twitter.com/keyyysssss","@keyyysssss")</f>
        <v>@keyyysssss</v>
      </c>
      <c r="C25042" s="8" t="s">
        <v>2199</v>
      </c>
      <c r="D25042" s="8">
        <v>8459</v>
      </c>
      <c r="E25042" s="8">
        <v>0</v>
      </c>
      <c r="F25042" s="8">
        <v>300</v>
      </c>
    </row>
    <row r="25043" spans="1:6" ht="12.75">
      <c r="A25043" s="8">
        <v>43893.157777777778</v>
      </c>
      <c r="B25043" s="8" t="str">
        <f>HYPERLINK("https://twitter.com/coklatsukanya","@coklatsukanya")</f>
        <v>@coklatsukanya</v>
      </c>
      <c r="C25043" s="8" t="s">
        <v>2962</v>
      </c>
      <c r="D25043" s="8">
        <v>4657</v>
      </c>
      <c r="E25043" s="8">
        <v>0</v>
      </c>
      <c r="F25043" s="8">
        <v>51</v>
      </c>
    </row>
    <row r="25044" spans="1:6" ht="12.75">
      <c r="A25044" s="8">
        <v>43893.157731481479</v>
      </c>
      <c r="B25044" s="8" t="str">
        <f>HYPERLINK("https://twitter.com/suryaamriza","@suryaamriza")</f>
        <v>@suryaamriza</v>
      </c>
      <c r="C25044" s="8" t="s">
        <v>1427</v>
      </c>
      <c r="D25044" s="8">
        <v>583</v>
      </c>
      <c r="E25044" s="8">
        <v>0</v>
      </c>
      <c r="F25044" s="8">
        <v>41</v>
      </c>
    </row>
    <row r="25045" spans="1:6" ht="12.75">
      <c r="A25045" s="8">
        <v>43893.157708333332</v>
      </c>
      <c r="B25045" s="8" t="str">
        <f>HYPERLINK("https://twitter.com/AuliaPutrip","@AuliaPutrip")</f>
        <v>@AuliaPutrip</v>
      </c>
      <c r="C25045" s="8" t="s">
        <v>1427</v>
      </c>
      <c r="D25045" s="8">
        <v>583</v>
      </c>
      <c r="E25045" s="8">
        <v>0</v>
      </c>
      <c r="F25045" s="8">
        <v>230</v>
      </c>
    </row>
    <row r="25046" spans="1:6" ht="12.75">
      <c r="A25046" s="8">
        <v>43893.157129629632</v>
      </c>
      <c r="B25046" s="8" t="str">
        <f>HYPERLINK("https://twitter.com/jeesere","@jeesere")</f>
        <v>@jeesere</v>
      </c>
      <c r="C25046" s="8" t="s">
        <v>9117</v>
      </c>
      <c r="D25046" s="8">
        <v>210</v>
      </c>
      <c r="E25046" s="8">
        <v>0</v>
      </c>
      <c r="F25046" s="8">
        <v>741</v>
      </c>
    </row>
    <row r="25047" spans="1:6" ht="12.75">
      <c r="A25047" s="8">
        <v>43893.157094907408</v>
      </c>
      <c r="B25047" s="8" t="str">
        <f>HYPERLINK("https://twitter.com/21julilulelo","@21julilulelo")</f>
        <v>@21julilulelo</v>
      </c>
      <c r="C25047" s="8" t="s">
        <v>2199</v>
      </c>
      <c r="D25047" s="8">
        <v>8459</v>
      </c>
      <c r="E25047" s="8">
        <v>0</v>
      </c>
      <c r="F25047" s="8">
        <v>13</v>
      </c>
    </row>
    <row r="25048" spans="1:6" ht="12.75">
      <c r="A25048" s="8">
        <v>43893.156307870369</v>
      </c>
      <c r="B25048" s="8" t="str">
        <f>HYPERLINK("https://twitter.com/elan_gusma","@elan_gusma")</f>
        <v>@elan_gusma</v>
      </c>
      <c r="C25048" s="8" t="s">
        <v>9121</v>
      </c>
      <c r="D25048" s="8">
        <v>58</v>
      </c>
      <c r="E25048" s="8">
        <v>0</v>
      </c>
      <c r="F25048" s="8">
        <v>3723</v>
      </c>
    </row>
    <row r="25049" spans="1:6" ht="12.75">
      <c r="A25049" s="8">
        <v>43893.155856481477</v>
      </c>
      <c r="B25049" s="8" t="str">
        <f>HYPERLINK("https://twitter.com/taufan_rahmadi","@taufan_rahmadi")</f>
        <v>@taufan_rahmadi</v>
      </c>
      <c r="C25049" s="8" t="s">
        <v>9946</v>
      </c>
      <c r="D25049" s="8">
        <v>4</v>
      </c>
      <c r="E25049" s="8">
        <v>0</v>
      </c>
      <c r="F25049" s="8">
        <v>2377</v>
      </c>
    </row>
    <row r="25050" spans="1:6" ht="12.75">
      <c r="A25050" s="8">
        <v>43893.155532407407</v>
      </c>
      <c r="B25050" s="8" t="str">
        <f>HYPERLINK("https://twitter.com/IraKencana","@IraKencana")</f>
        <v>@IraKencana</v>
      </c>
      <c r="C25050" s="8" t="s">
        <v>9947</v>
      </c>
      <c r="D25050" s="8">
        <v>0</v>
      </c>
      <c r="E25050" s="8">
        <v>0</v>
      </c>
      <c r="F25050" s="8">
        <v>670</v>
      </c>
    </row>
    <row r="25051" spans="1:6" ht="12.75">
      <c r="A25051" s="8">
        <v>43893.155509259261</v>
      </c>
      <c r="B25051" s="8" t="str">
        <f>HYPERLINK("https://twitter.com/rainyta03","@rainyta03")</f>
        <v>@rainyta03</v>
      </c>
      <c r="C25051" s="8" t="s">
        <v>9117</v>
      </c>
      <c r="D25051" s="8">
        <v>210</v>
      </c>
      <c r="E25051" s="8">
        <v>0</v>
      </c>
      <c r="F25051" s="8">
        <v>204</v>
      </c>
    </row>
    <row r="25052" spans="1:6" ht="12.75">
      <c r="A25052" s="8">
        <v>43893.154513888891</v>
      </c>
      <c r="B25052" s="8" t="str">
        <f>HYPERLINK("https://twitter.com/dedifahman","@dedifahman")</f>
        <v>@dedifahman</v>
      </c>
      <c r="C25052" s="8" t="s">
        <v>1970</v>
      </c>
      <c r="D25052" s="8">
        <v>171</v>
      </c>
      <c r="E25052" s="8">
        <v>0</v>
      </c>
      <c r="F25052" s="8">
        <v>64</v>
      </c>
    </row>
    <row r="25053" spans="1:6" ht="12.75">
      <c r="A25053" s="8">
        <v>43893.154432870375</v>
      </c>
      <c r="B25053" s="8" t="str">
        <f>HYPERLINK("https://twitter.com/lusaka202","@lusaka202")</f>
        <v>@lusaka202</v>
      </c>
      <c r="C25053" s="8" t="s">
        <v>2199</v>
      </c>
      <c r="D25053" s="8">
        <v>8459</v>
      </c>
      <c r="E25053" s="8">
        <v>0</v>
      </c>
      <c r="F25053" s="8">
        <v>56</v>
      </c>
    </row>
    <row r="25054" spans="1:6" ht="12.75">
      <c r="A25054" s="8">
        <v>43893.154293981483</v>
      </c>
      <c r="B25054" s="8" t="str">
        <f>HYPERLINK("https://twitter.com/theretwt","@theretwt")</f>
        <v>@theretwt</v>
      </c>
      <c r="C25054" s="8" t="s">
        <v>1427</v>
      </c>
      <c r="D25054" s="8">
        <v>583</v>
      </c>
      <c r="E25054" s="8">
        <v>0</v>
      </c>
      <c r="F25054" s="8">
        <v>437</v>
      </c>
    </row>
    <row r="25055" spans="1:6" ht="12.75">
      <c r="A25055" s="8">
        <v>43893.154120370367</v>
      </c>
      <c r="B25055" s="8" t="str">
        <f>HYPERLINK("https://twitter.com/yopibukhori","@yopibukhori")</f>
        <v>@yopibukhori</v>
      </c>
      <c r="C25055" s="8" t="s">
        <v>1970</v>
      </c>
      <c r="D25055" s="8">
        <v>171</v>
      </c>
      <c r="E25055" s="8">
        <v>0</v>
      </c>
      <c r="F25055" s="8">
        <v>2391</v>
      </c>
    </row>
    <row r="25056" spans="1:6" ht="12.75">
      <c r="A25056" s="8">
        <v>43893.153692129628</v>
      </c>
      <c r="B25056" s="8" t="str">
        <f>HYPERLINK("https://twitter.com/milkyybobaa","@milkyybobaa")</f>
        <v>@milkyybobaa</v>
      </c>
      <c r="C25056" s="8" t="s">
        <v>2962</v>
      </c>
      <c r="D25056" s="8">
        <v>4657</v>
      </c>
      <c r="E25056" s="8">
        <v>0</v>
      </c>
      <c r="F25056" s="8">
        <v>684</v>
      </c>
    </row>
    <row r="25057" spans="1:6" ht="12.75">
      <c r="A25057" s="8">
        <v>43893.15325231482</v>
      </c>
      <c r="B25057" s="8" t="str">
        <f>HYPERLINK("https://twitter.com/fairuzza_noor","@fairuzza_noor")</f>
        <v>@fairuzza_noor</v>
      </c>
      <c r="C25057" s="8" t="s">
        <v>2962</v>
      </c>
      <c r="D25057" s="8">
        <v>4657</v>
      </c>
      <c r="E25057" s="8">
        <v>0</v>
      </c>
      <c r="F25057" s="8">
        <v>369</v>
      </c>
    </row>
    <row r="25058" spans="1:6" ht="12.75">
      <c r="A25058" s="8">
        <v>43893.15289351852</v>
      </c>
      <c r="B25058" s="8" t="str">
        <f>HYPERLINK("https://twitter.com/kawan_pas","@kawan_pas")</f>
        <v>@kawan_pas</v>
      </c>
      <c r="C25058" s="8" t="s">
        <v>9614</v>
      </c>
      <c r="D25058" s="8">
        <v>104</v>
      </c>
      <c r="E25058" s="8">
        <v>0</v>
      </c>
      <c r="F25058" s="8">
        <v>1693</v>
      </c>
    </row>
    <row r="25059" spans="1:6" ht="12.75">
      <c r="A25059" s="8">
        <v>43893.152685185181</v>
      </c>
      <c r="B25059" s="8" t="str">
        <f>HYPERLINK("https://twitter.com/dennisuuuuuu","@dennisuuuuuu")</f>
        <v>@dennisuuuuuu</v>
      </c>
      <c r="C25059" s="8" t="s">
        <v>2199</v>
      </c>
      <c r="D25059" s="8">
        <v>8459</v>
      </c>
      <c r="E25059" s="8">
        <v>0</v>
      </c>
      <c r="F25059" s="8">
        <v>28</v>
      </c>
    </row>
    <row r="25060" spans="1:6" ht="12.75">
      <c r="A25060" s="8">
        <v>43893.152511574073</v>
      </c>
      <c r="B25060" s="8" t="str">
        <f>HYPERLINK("https://twitter.com/HdrAbdurrahman","@HdrAbdurrahman")</f>
        <v>@HdrAbdurrahman</v>
      </c>
      <c r="C25060" s="8" t="s">
        <v>1970</v>
      </c>
      <c r="D25060" s="8">
        <v>171</v>
      </c>
      <c r="E25060" s="8">
        <v>0</v>
      </c>
      <c r="F25060" s="8">
        <v>4077</v>
      </c>
    </row>
    <row r="25061" spans="1:6" ht="12.75">
      <c r="A25061" s="8">
        <v>43893.152326388888</v>
      </c>
      <c r="B25061" s="8" t="str">
        <f>HYPERLINK("https://twitter.com/inozca","@inozca")</f>
        <v>@inozca</v>
      </c>
      <c r="C25061" s="8" t="s">
        <v>4150</v>
      </c>
      <c r="D25061" s="8">
        <v>494</v>
      </c>
      <c r="E25061" s="8">
        <v>0</v>
      </c>
      <c r="F25061" s="8">
        <v>129</v>
      </c>
    </row>
    <row r="25062" spans="1:6" ht="12.75">
      <c r="A25062" s="8">
        <v>43893.152314814812</v>
      </c>
      <c r="B25062" s="8" t="str">
        <f>HYPERLINK("https://twitter.com/achzam_prabu","@achzam_prabu")</f>
        <v>@achzam_prabu</v>
      </c>
      <c r="C25062" s="8" t="s">
        <v>2962</v>
      </c>
      <c r="D25062" s="8">
        <v>4657</v>
      </c>
      <c r="E25062" s="8">
        <v>0</v>
      </c>
      <c r="F25062" s="8">
        <v>4899</v>
      </c>
    </row>
    <row r="25063" spans="1:6" ht="12.75">
      <c r="A25063" s="8">
        <v>43893.15215277778</v>
      </c>
      <c r="B25063" s="8" t="str">
        <f>HYPERLINK("https://twitter.com/komariahk563gm1","@komariahk563gm1")</f>
        <v>@komariahk563gm1</v>
      </c>
      <c r="C25063" s="8" t="s">
        <v>9948</v>
      </c>
      <c r="D25063" s="8">
        <v>1</v>
      </c>
      <c r="E25063" s="8">
        <v>0</v>
      </c>
      <c r="F25063" s="8">
        <v>407</v>
      </c>
    </row>
    <row r="25064" spans="1:6" ht="12.75">
      <c r="A25064" s="8">
        <v>43893.15215277778</v>
      </c>
      <c r="B25064" s="8" t="str">
        <f>HYPERLINK("https://twitter.com/geloraco","@geloraco")</f>
        <v>@geloraco</v>
      </c>
      <c r="C25064" s="8" t="s">
        <v>9887</v>
      </c>
      <c r="D25064" s="8">
        <v>0</v>
      </c>
      <c r="E25064" s="8">
        <v>1</v>
      </c>
      <c r="F25064" s="8">
        <v>103803</v>
      </c>
    </row>
    <row r="25065" spans="1:6" ht="12.75">
      <c r="A25065" s="8">
        <v>43893.152118055557</v>
      </c>
      <c r="B25065" s="8" t="str">
        <f>HYPERLINK("https://twitter.com/sulistjogja","@sulistjogja")</f>
        <v>@sulistjogja</v>
      </c>
      <c r="C25065" s="8" t="s">
        <v>1970</v>
      </c>
      <c r="D25065" s="8">
        <v>171</v>
      </c>
      <c r="E25065" s="8">
        <v>0</v>
      </c>
      <c r="F25065" s="8">
        <v>361</v>
      </c>
    </row>
    <row r="25066" spans="1:6" ht="12.75">
      <c r="A25066" s="8">
        <v>43893.152118055557</v>
      </c>
      <c r="B25066" s="8" t="str">
        <f>HYPERLINK("https://twitter.com/nahi_munkar_","@nahi_munkar_")</f>
        <v>@nahi_munkar_</v>
      </c>
      <c r="C25066" s="8" t="s">
        <v>9780</v>
      </c>
      <c r="D25066" s="8">
        <v>42</v>
      </c>
      <c r="E25066" s="8">
        <v>0</v>
      </c>
      <c r="F25066" s="8">
        <v>1558</v>
      </c>
    </row>
    <row r="25067" spans="1:6" ht="12.75">
      <c r="A25067" s="8">
        <v>43893.152060185181</v>
      </c>
      <c r="B25067" s="8" t="str">
        <f>HYPERLINK("https://twitter.com/engebe11","@engebe11")</f>
        <v>@engebe11</v>
      </c>
      <c r="C25067" s="8" t="s">
        <v>9949</v>
      </c>
      <c r="D25067" s="8">
        <v>1</v>
      </c>
      <c r="E25067" s="8">
        <v>0</v>
      </c>
      <c r="F25067" s="8">
        <v>333</v>
      </c>
    </row>
    <row r="25068" spans="1:6" ht="12.75">
      <c r="A25068" s="8">
        <v>43893.151574074072</v>
      </c>
      <c r="B25068" s="8" t="str">
        <f>HYPERLINK("https://twitter.com/jeteveux25","@jeteveux25")</f>
        <v>@jeteveux25</v>
      </c>
      <c r="C25068" s="8" t="s">
        <v>2199</v>
      </c>
      <c r="D25068" s="8">
        <v>8459</v>
      </c>
      <c r="E25068" s="8">
        <v>0</v>
      </c>
      <c r="F25068" s="8">
        <v>615</v>
      </c>
    </row>
    <row r="25069" spans="1:6" ht="12.75">
      <c r="A25069" s="8">
        <v>43893.15148148148</v>
      </c>
      <c r="B25069" s="8" t="str">
        <f>HYPERLINK("https://twitter.com/AfkalAldi27","@AfkalAldi27")</f>
        <v>@AfkalAldi27</v>
      </c>
      <c r="C25069" s="8" t="s">
        <v>2199</v>
      </c>
      <c r="D25069" s="8">
        <v>8459</v>
      </c>
      <c r="E25069" s="8">
        <v>0</v>
      </c>
      <c r="F25069" s="8">
        <v>45</v>
      </c>
    </row>
    <row r="25070" spans="1:6" ht="12.75">
      <c r="A25070" s="8">
        <v>43893.151412037041</v>
      </c>
      <c r="B25070" s="8" t="str">
        <f>HYPERLINK("https://twitter.com/StandarNasional","@StandarNasional")</f>
        <v>@StandarNasional</v>
      </c>
      <c r="C25070" s="8" t="s">
        <v>9950</v>
      </c>
      <c r="D25070" s="8">
        <v>0</v>
      </c>
      <c r="E25070" s="8">
        <v>0</v>
      </c>
      <c r="F25070" s="8">
        <v>129</v>
      </c>
    </row>
    <row r="25071" spans="1:6" ht="12.75">
      <c r="A25071" s="8">
        <v>43893.151122685187</v>
      </c>
      <c r="B25071" s="8" t="str">
        <f>HYPERLINK("https://twitter.com/uya_nugrah","@uya_nugrah")</f>
        <v>@uya_nugrah</v>
      </c>
      <c r="C25071" s="8" t="s">
        <v>4477</v>
      </c>
      <c r="D25071" s="8">
        <v>873</v>
      </c>
      <c r="E25071" s="8">
        <v>0</v>
      </c>
      <c r="F25071" s="8">
        <v>386</v>
      </c>
    </row>
    <row r="25072" spans="1:6" ht="12.75">
      <c r="A25072" s="8">
        <v>43893.150671296295</v>
      </c>
      <c r="B25072" s="8" t="str">
        <f>HYPERLINK("https://twitter.com/west_cool1","@west_cool1")</f>
        <v>@west_cool1</v>
      </c>
      <c r="C25072" s="8" t="s">
        <v>6832</v>
      </c>
      <c r="D25072" s="8">
        <v>870</v>
      </c>
      <c r="E25072" s="8">
        <v>0</v>
      </c>
      <c r="F25072" s="8">
        <v>43</v>
      </c>
    </row>
    <row r="25073" spans="1:6" ht="12.75">
      <c r="A25073" s="8">
        <v>43893.150381944448</v>
      </c>
      <c r="B25073" s="8" t="str">
        <f>HYPERLINK("https://twitter.com/IIp_tgr","@IIp_tgr")</f>
        <v>@IIp_tgr</v>
      </c>
      <c r="C25073" s="8" t="s">
        <v>9951</v>
      </c>
      <c r="D25073" s="8">
        <v>0</v>
      </c>
      <c r="E25073" s="8">
        <v>1</v>
      </c>
      <c r="F25073" s="8">
        <v>34</v>
      </c>
    </row>
    <row r="25074" spans="1:6" ht="12.75">
      <c r="A25074" s="8">
        <v>43893.149398148147</v>
      </c>
      <c r="B25074" s="8" t="str">
        <f>HYPERLINK("https://twitter.com/rendroko","@rendroko")</f>
        <v>@rendroko</v>
      </c>
      <c r="C25074" s="8" t="s">
        <v>9123</v>
      </c>
      <c r="D25074" s="8">
        <v>372</v>
      </c>
      <c r="E25074" s="8">
        <v>0</v>
      </c>
      <c r="F25074" s="8">
        <v>1033</v>
      </c>
    </row>
    <row r="25075" spans="1:6" ht="12.75">
      <c r="A25075" s="8">
        <v>43893.148831018523</v>
      </c>
      <c r="B25075" s="8" t="str">
        <f>HYPERLINK("https://twitter.com/ronaldozlfkr","@ronaldozlfkr")</f>
        <v>@ronaldozlfkr</v>
      </c>
      <c r="C25075" s="8" t="s">
        <v>8776</v>
      </c>
      <c r="D25075" s="8">
        <v>173</v>
      </c>
      <c r="E25075" s="8">
        <v>0</v>
      </c>
      <c r="F25075" s="8">
        <v>9094</v>
      </c>
    </row>
    <row r="25076" spans="1:6" ht="12.75">
      <c r="A25076" s="8">
        <v>43893.148668981477</v>
      </c>
      <c r="B25076" s="8" t="str">
        <f>HYPERLINK("https://twitter.com/zein_aniq","@zein_aniq")</f>
        <v>@zein_aniq</v>
      </c>
      <c r="C25076" s="8" t="s">
        <v>7597</v>
      </c>
      <c r="D25076" s="8">
        <v>509</v>
      </c>
      <c r="E25076" s="8">
        <v>0</v>
      </c>
      <c r="F25076" s="8">
        <v>857</v>
      </c>
    </row>
    <row r="25077" spans="1:6" ht="12.75">
      <c r="A25077" s="8">
        <v>43893.14806712963</v>
      </c>
      <c r="B25077" s="8" t="str">
        <f>HYPERLINK("https://twitter.com/BlackisBlackMSS","@BlackisBlackMSS")</f>
        <v>@BlackisBlackMSS</v>
      </c>
      <c r="C25077" s="8" t="s">
        <v>1986</v>
      </c>
      <c r="D25077" s="8">
        <v>540</v>
      </c>
      <c r="E25077" s="8">
        <v>0</v>
      </c>
      <c r="F25077" s="8">
        <v>4602</v>
      </c>
    </row>
    <row r="25078" spans="1:6" ht="12.75">
      <c r="A25078" s="8">
        <v>43893.147928240738</v>
      </c>
      <c r="B25078" s="8" t="str">
        <f>HYPERLINK("https://twitter.com/anrkhqsi","@anrkhqsi")</f>
        <v>@anrkhqsi</v>
      </c>
      <c r="C25078" s="8" t="s">
        <v>2962</v>
      </c>
      <c r="D25078" s="8">
        <v>4657</v>
      </c>
      <c r="E25078" s="8">
        <v>0</v>
      </c>
      <c r="F25078" s="8">
        <v>434</v>
      </c>
    </row>
    <row r="25079" spans="1:6" ht="12.75">
      <c r="A25079" s="8">
        <v>43893.147638888884</v>
      </c>
      <c r="B25079" s="8" t="str">
        <f>HYPERLINK("https://twitter.com/Edipurw61113168","@Edipurw61113168")</f>
        <v>@Edipurw61113168</v>
      </c>
      <c r="C25079" s="8" t="s">
        <v>7597</v>
      </c>
      <c r="D25079" s="8">
        <v>509</v>
      </c>
      <c r="E25079" s="8">
        <v>0</v>
      </c>
      <c r="F25079" s="8">
        <v>1301</v>
      </c>
    </row>
    <row r="25080" spans="1:6" ht="12.75">
      <c r="A25080" s="8">
        <v>43893.131666666668</v>
      </c>
      <c r="B25080" s="8" t="str">
        <f>HYPERLINK("https://twitter.com/masbewoq","@masbewoq")</f>
        <v>@masbewoq</v>
      </c>
      <c r="C25080" s="8" t="s">
        <v>2962</v>
      </c>
      <c r="D25080" s="8">
        <v>4640</v>
      </c>
      <c r="E25080" s="8">
        <v>0</v>
      </c>
      <c r="F25080" s="8">
        <v>297</v>
      </c>
    </row>
    <row r="25081" spans="1:6" ht="12.75">
      <c r="A25081" s="8">
        <v>43893.131076388891</v>
      </c>
      <c r="B25081" s="8" t="str">
        <f>HYPERLINK("https://twitter.com/setojayakarta","@setojayakarta")</f>
        <v>@setojayakarta</v>
      </c>
      <c r="C25081" s="8" t="s">
        <v>8322</v>
      </c>
      <c r="D25081" s="8">
        <v>609</v>
      </c>
      <c r="E25081" s="8">
        <v>0</v>
      </c>
      <c r="F25081" s="8">
        <v>357</v>
      </c>
    </row>
    <row r="25082" spans="1:6" ht="12.75">
      <c r="A25082" s="8">
        <v>43893.130995370375</v>
      </c>
      <c r="B25082" s="8" t="str">
        <f>HYPERLINK("https://twitter.com/winkookiee","@winkookiee")</f>
        <v>@winkookiee</v>
      </c>
      <c r="C25082" s="8" t="s">
        <v>2199</v>
      </c>
      <c r="D25082" s="8">
        <v>8438</v>
      </c>
      <c r="E25082" s="8">
        <v>0</v>
      </c>
      <c r="F25082" s="8">
        <v>3283</v>
      </c>
    </row>
    <row r="25083" spans="1:6" ht="12.75">
      <c r="A25083" s="8">
        <v>43893.13081018519</v>
      </c>
      <c r="B25083" s="8" t="str">
        <f>HYPERLINK("https://twitter.com/novanpramadi12","@novanpramadi12")</f>
        <v>@novanpramadi12</v>
      </c>
      <c r="C25083" s="8" t="s">
        <v>2962</v>
      </c>
      <c r="D25083" s="8">
        <v>4640</v>
      </c>
      <c r="E25083" s="8">
        <v>0</v>
      </c>
      <c r="F25083" s="8">
        <v>125</v>
      </c>
    </row>
    <row r="25084" spans="1:6" ht="12.75">
      <c r="A25084" s="8">
        <v>43893.130613425921</v>
      </c>
      <c r="B25084" s="8" t="str">
        <f>HYPERLINK("https://twitter.com/FajarFirhadi","@FajarFirhadi")</f>
        <v>@FajarFirhadi</v>
      </c>
      <c r="C25084" s="8" t="s">
        <v>2962</v>
      </c>
      <c r="D25084" s="8">
        <v>4640</v>
      </c>
      <c r="E25084" s="8">
        <v>0</v>
      </c>
      <c r="F25084" s="8">
        <v>166</v>
      </c>
    </row>
    <row r="25085" spans="1:6" ht="12.75">
      <c r="A25085" s="8">
        <v>43893.130601851852</v>
      </c>
      <c r="B25085" s="8" t="str">
        <f>HYPERLINK("https://twitter.com/bgoodjonii","@bgoodjonii")</f>
        <v>@bgoodjonii</v>
      </c>
      <c r="C25085" s="8" t="s">
        <v>1986</v>
      </c>
      <c r="D25085" s="8">
        <v>533</v>
      </c>
      <c r="E25085" s="8">
        <v>0</v>
      </c>
      <c r="F25085" s="8">
        <v>98</v>
      </c>
    </row>
    <row r="25086" spans="1:6" ht="12.75">
      <c r="A25086" s="8">
        <v>43893.130486111113</v>
      </c>
      <c r="B25086" s="8" t="str">
        <f>HYPERLINK("https://twitter.com/donnawidia","@donnawidia")</f>
        <v>@donnawidia</v>
      </c>
      <c r="C25086" s="8" t="s">
        <v>9117</v>
      </c>
      <c r="D25086" s="8">
        <v>205</v>
      </c>
      <c r="E25086" s="8">
        <v>0</v>
      </c>
      <c r="F25086" s="8">
        <v>660</v>
      </c>
    </row>
    <row r="25087" spans="1:6" ht="12.75">
      <c r="A25087" s="8">
        <v>43893.130254629628</v>
      </c>
      <c r="B25087" s="8" t="str">
        <f>HYPERLINK("https://twitter.com/jscjes","@jscjes")</f>
        <v>@jscjes</v>
      </c>
      <c r="C25087" s="8" t="s">
        <v>1427</v>
      </c>
      <c r="D25087" s="8">
        <v>571</v>
      </c>
      <c r="E25087" s="8">
        <v>0</v>
      </c>
      <c r="F25087" s="8">
        <v>81</v>
      </c>
    </row>
    <row r="25088" spans="1:6" ht="12.75">
      <c r="A25088" s="8">
        <v>43893.129907407405</v>
      </c>
      <c r="B25088" s="8" t="str">
        <f>HYPERLINK("https://twitter.com/IQusam","@IQusam")</f>
        <v>@IQusam</v>
      </c>
      <c r="C25088" s="8" t="s">
        <v>6832</v>
      </c>
      <c r="D25088" s="8">
        <v>864</v>
      </c>
      <c r="E25088" s="8">
        <v>0</v>
      </c>
      <c r="F25088" s="8">
        <v>258</v>
      </c>
    </row>
    <row r="25089" spans="1:6" ht="12.75">
      <c r="A25089" s="8">
        <v>43893.129652777774</v>
      </c>
      <c r="B25089" s="8" t="str">
        <f>HYPERLINK("https://twitter.com/dyourserenity","@dyourserenity")</f>
        <v>@dyourserenity</v>
      </c>
      <c r="C25089" s="8" t="s">
        <v>9915</v>
      </c>
      <c r="D25089" s="8">
        <v>75</v>
      </c>
      <c r="E25089" s="8">
        <v>0</v>
      </c>
      <c r="F25089" s="8">
        <v>198</v>
      </c>
    </row>
    <row r="25090" spans="1:6" ht="12.75">
      <c r="A25090" s="8">
        <v>43893.129247685181</v>
      </c>
      <c r="B25090" s="8" t="str">
        <f>HYPERLINK("https://twitter.com/Padli18247644","@Padli18247644")</f>
        <v>@Padli18247644</v>
      </c>
      <c r="C25090" s="8" t="s">
        <v>1970</v>
      </c>
      <c r="D25090" s="8">
        <v>148</v>
      </c>
      <c r="E25090" s="8">
        <v>0</v>
      </c>
      <c r="F25090" s="8">
        <v>112</v>
      </c>
    </row>
    <row r="25091" spans="1:6" ht="12.75">
      <c r="A25091" s="8">
        <v>43893.129062499997</v>
      </c>
      <c r="B25091" s="8" t="str">
        <f>HYPERLINK("https://twitter.com/elzaawanda","@elzaawanda")</f>
        <v>@elzaawanda</v>
      </c>
      <c r="C25091" s="8" t="s">
        <v>1427</v>
      </c>
      <c r="D25091" s="8">
        <v>571</v>
      </c>
      <c r="E25091" s="8">
        <v>0</v>
      </c>
      <c r="F25091" s="8">
        <v>1917</v>
      </c>
    </row>
    <row r="25092" spans="1:6" ht="12.75">
      <c r="A25092" s="8">
        <v>43893.127905092595</v>
      </c>
      <c r="B25092" s="8" t="str">
        <f>HYPERLINK("https://twitter.com/Aabdoel_","@Aabdoel_")</f>
        <v>@Aabdoel_</v>
      </c>
      <c r="C25092" s="8" t="s">
        <v>2962</v>
      </c>
      <c r="D25092" s="8">
        <v>4640</v>
      </c>
      <c r="E25092" s="8">
        <v>0</v>
      </c>
      <c r="F25092" s="8">
        <v>1884</v>
      </c>
    </row>
    <row r="25093" spans="1:6" ht="12.75">
      <c r="A25093" s="8">
        <v>43893.127743055556</v>
      </c>
      <c r="B25093" s="8" t="str">
        <f>HYPERLINK("https://twitter.com/ourcloudfairy_","@ourcloudfairy_")</f>
        <v>@ourcloudfairy_</v>
      </c>
      <c r="C25093" s="8" t="s">
        <v>2199</v>
      </c>
      <c r="D25093" s="8">
        <v>8438</v>
      </c>
      <c r="E25093" s="8">
        <v>0</v>
      </c>
      <c r="F25093" s="8">
        <v>1117</v>
      </c>
    </row>
    <row r="25094" spans="1:6" ht="12.75">
      <c r="A25094" s="8">
        <v>43893.127685185187</v>
      </c>
      <c r="B25094" s="8" t="str">
        <f>HYPERLINK("https://twitter.com/Jaiiawijaya","@Jaiiawijaya")</f>
        <v>@Jaiiawijaya</v>
      </c>
      <c r="C25094" s="8" t="s">
        <v>1970</v>
      </c>
      <c r="D25094" s="8">
        <v>148</v>
      </c>
      <c r="E25094" s="8">
        <v>0</v>
      </c>
      <c r="F25094" s="8">
        <v>1687</v>
      </c>
    </row>
    <row r="25095" spans="1:6" ht="12.75">
      <c r="A25095" s="8">
        <v>43893.127627314811</v>
      </c>
      <c r="B25095" s="8" t="str">
        <f>HYPERLINK("https://twitter.com/rendroko","@rendroko")</f>
        <v>@rendroko</v>
      </c>
      <c r="C25095" s="8" t="s">
        <v>1970</v>
      </c>
      <c r="D25095" s="8">
        <v>148</v>
      </c>
      <c r="E25095" s="8">
        <v>0</v>
      </c>
      <c r="F25095" s="8">
        <v>1032</v>
      </c>
    </row>
    <row r="25096" spans="1:6" ht="12.75">
      <c r="A25096" s="8">
        <v>43893.127395833333</v>
      </c>
      <c r="B25096" s="8" t="str">
        <f>HYPERLINK("https://twitter.com/ghanie_ghan","@ghanie_ghan")</f>
        <v>@ghanie_ghan</v>
      </c>
      <c r="C25096" s="8" t="s">
        <v>9295</v>
      </c>
      <c r="D25096" s="8">
        <v>141</v>
      </c>
      <c r="E25096" s="8">
        <v>0</v>
      </c>
      <c r="F25096" s="8">
        <v>293</v>
      </c>
    </row>
    <row r="25097" spans="1:6" ht="12.75">
      <c r="A25097" s="8">
        <v>43893.12704861111</v>
      </c>
      <c r="B25097" s="8" t="str">
        <f>HYPERLINK("https://twitter.com/yeLLow_Bekz","@yeLLow_Bekz")</f>
        <v>@yeLLow_Bekz</v>
      </c>
      <c r="C25097" s="8" t="s">
        <v>1427</v>
      </c>
      <c r="D25097" s="8">
        <v>571</v>
      </c>
      <c r="E25097" s="8">
        <v>0</v>
      </c>
      <c r="F25097" s="8">
        <v>579</v>
      </c>
    </row>
    <row r="25098" spans="1:6" ht="12.75">
      <c r="A25098" s="8">
        <v>43893.127025462964</v>
      </c>
      <c r="B25098" s="8" t="str">
        <f>HYPERLINK("https://twitter.com/Nurulkjo1","@Nurulkjo1")</f>
        <v>@Nurulkjo1</v>
      </c>
      <c r="C25098" s="8" t="s">
        <v>6832</v>
      </c>
      <c r="D25098" s="8">
        <v>864</v>
      </c>
      <c r="E25098" s="8">
        <v>0</v>
      </c>
      <c r="F25098" s="8">
        <v>265</v>
      </c>
    </row>
    <row r="25099" spans="1:6" ht="12.75">
      <c r="A25099" s="8">
        <v>43893.126898148148</v>
      </c>
      <c r="B25099" s="8" t="str">
        <f>HYPERLINK("https://twitter.com/Far_away90","@Far_away90")</f>
        <v>@Far_away90</v>
      </c>
      <c r="C25099" s="8" t="s">
        <v>2962</v>
      </c>
      <c r="D25099" s="8">
        <v>4640</v>
      </c>
      <c r="E25099" s="8">
        <v>0</v>
      </c>
      <c r="F25099" s="8">
        <v>386</v>
      </c>
    </row>
    <row r="25100" spans="1:6" ht="12.75">
      <c r="A25100" s="8">
        <v>43893.126886574071</v>
      </c>
      <c r="B25100" s="8" t="str">
        <f>HYPERLINK("https://twitter.com/INAinLebanon","@INAinLebanon")</f>
        <v>@INAinLebanon</v>
      </c>
      <c r="C25100" s="8" t="s">
        <v>9952</v>
      </c>
      <c r="D25100" s="8">
        <v>0</v>
      </c>
      <c r="E25100" s="8">
        <v>0</v>
      </c>
      <c r="F25100" s="8">
        <v>74</v>
      </c>
    </row>
    <row r="25101" spans="1:6" ht="12.75">
      <c r="A25101" s="8">
        <v>43893.126840277779</v>
      </c>
      <c r="B25101" s="8" t="str">
        <f>HYPERLINK("https://twitter.com/deny_h","@deny_h")</f>
        <v>@deny_h</v>
      </c>
      <c r="C25101" s="8" t="s">
        <v>6832</v>
      </c>
      <c r="D25101" s="8">
        <v>864</v>
      </c>
      <c r="E25101" s="8">
        <v>0</v>
      </c>
      <c r="F25101" s="8">
        <v>23</v>
      </c>
    </row>
    <row r="25102" spans="1:6" ht="12.75">
      <c r="A25102" s="8">
        <v>43893.126712962963</v>
      </c>
      <c r="B25102" s="8" t="str">
        <f>HYPERLINK("https://twitter.com/Nurulkjo1","@Nurulkjo1")</f>
        <v>@Nurulkjo1</v>
      </c>
      <c r="C25102" s="8" t="s">
        <v>8322</v>
      </c>
      <c r="D25102" s="8">
        <v>609</v>
      </c>
      <c r="E25102" s="8">
        <v>0</v>
      </c>
      <c r="F25102" s="8">
        <v>265</v>
      </c>
    </row>
    <row r="25103" spans="1:6" ht="12.75">
      <c r="A25103" s="8">
        <v>43893.126412037032</v>
      </c>
      <c r="B25103" s="8" t="str">
        <f>HYPERLINK("https://twitter.com/dikz94","@dikz94")</f>
        <v>@dikz94</v>
      </c>
      <c r="C25103" s="8" t="s">
        <v>9953</v>
      </c>
      <c r="D25103" s="8">
        <v>0</v>
      </c>
      <c r="E25103" s="8">
        <v>0</v>
      </c>
      <c r="F25103" s="8">
        <v>43</v>
      </c>
    </row>
    <row r="25104" spans="1:6" ht="12.75">
      <c r="A25104" s="8">
        <v>43893.126261574071</v>
      </c>
      <c r="B25104" s="8" t="str">
        <f>HYPERLINK("https://twitter.com/AhiungDoank","@AhiungDoank")</f>
        <v>@AhiungDoank</v>
      </c>
      <c r="C25104" s="8" t="s">
        <v>7461</v>
      </c>
      <c r="D25104" s="8">
        <v>70</v>
      </c>
      <c r="E25104" s="8">
        <v>0</v>
      </c>
      <c r="F25104" s="8">
        <v>12</v>
      </c>
    </row>
    <row r="25105" spans="1:6" ht="12.75">
      <c r="A25105" s="8">
        <v>43893.126192129625</v>
      </c>
      <c r="B25105" s="8" t="str">
        <f>HYPERLINK("https://twitter.com/RakjatDjelataaa","@RakjatDjelataaa")</f>
        <v>@RakjatDjelataaa</v>
      </c>
      <c r="C25105" s="8" t="s">
        <v>7597</v>
      </c>
      <c r="D25105" s="8">
        <v>501</v>
      </c>
      <c r="E25105" s="8">
        <v>0</v>
      </c>
      <c r="F25105" s="8">
        <v>385</v>
      </c>
    </row>
    <row r="25106" spans="1:6" ht="12.75">
      <c r="A25106" s="8">
        <v>43893.12599537037</v>
      </c>
      <c r="B25106" s="8" t="str">
        <f>HYPERLINK("https://twitter.com/dinosaurwilldie","@dinosaurwilldie")</f>
        <v>@dinosaurwilldie</v>
      </c>
      <c r="C25106" s="8" t="s">
        <v>9954</v>
      </c>
      <c r="D25106" s="8">
        <v>19</v>
      </c>
      <c r="E25106" s="8">
        <v>0</v>
      </c>
      <c r="F25106" s="8">
        <v>254</v>
      </c>
    </row>
    <row r="25107" spans="1:6" ht="12.75">
      <c r="A25107" s="8">
        <v>43893.125543981485</v>
      </c>
      <c r="B25107" s="8" t="str">
        <f>HYPERLINK("https://twitter.com/helli17676320","@helli17676320")</f>
        <v>@helli17676320</v>
      </c>
      <c r="C25107" s="8" t="s">
        <v>9924</v>
      </c>
      <c r="D25107" s="8">
        <v>3</v>
      </c>
      <c r="E25107" s="8">
        <v>0</v>
      </c>
      <c r="F25107" s="8">
        <v>8</v>
      </c>
    </row>
    <row r="25108" spans="1:6" ht="12.75">
      <c r="A25108" s="8">
        <v>43893.125347222223</v>
      </c>
      <c r="B25108" s="8" t="str">
        <f>HYPERLINK("https://twitter.com/dvnvsth","@dvnvsth")</f>
        <v>@dvnvsth</v>
      </c>
      <c r="C25108" s="8" t="s">
        <v>2962</v>
      </c>
      <c r="D25108" s="8">
        <v>4640</v>
      </c>
      <c r="E25108" s="8">
        <v>0</v>
      </c>
      <c r="F25108" s="8">
        <v>61</v>
      </c>
    </row>
    <row r="25109" spans="1:6" ht="12.75">
      <c r="A25109" s="8">
        <v>43893.125196759254</v>
      </c>
      <c r="B25109" s="8" t="str">
        <f>HYPERLINK("https://twitter.com/rachmanmmm","@rachmanmmm")</f>
        <v>@rachmanmmm</v>
      </c>
      <c r="C25109" s="8" t="s">
        <v>1970</v>
      </c>
      <c r="D25109" s="8">
        <v>148</v>
      </c>
      <c r="E25109" s="8">
        <v>0</v>
      </c>
      <c r="F25109" s="8">
        <v>289</v>
      </c>
    </row>
    <row r="25110" spans="1:6" ht="12.75">
      <c r="A25110" s="8">
        <v>43893.125</v>
      </c>
      <c r="B25110" s="8" t="str">
        <f>HYPERLINK("https://twitter.com/liputan6dotcom","@liputan6dotcom")</f>
        <v>@liputan6dotcom</v>
      </c>
      <c r="C25110" s="8" t="s">
        <v>9953</v>
      </c>
      <c r="D25110" s="8">
        <v>0</v>
      </c>
      <c r="E25110" s="8">
        <v>3</v>
      </c>
      <c r="F25110" s="8">
        <v>3633221</v>
      </c>
    </row>
    <row r="25111" spans="1:6" ht="12.75">
      <c r="A25111" s="8">
        <v>43893.124756944446</v>
      </c>
      <c r="B25111" s="8" t="str">
        <f>HYPERLINK("https://twitter.com/papewstamp","@papewstamp")</f>
        <v>@papewstamp</v>
      </c>
      <c r="C25111" s="8" t="s">
        <v>9117</v>
      </c>
      <c r="D25111" s="8">
        <v>205</v>
      </c>
      <c r="E25111" s="8">
        <v>0</v>
      </c>
      <c r="F25111" s="8">
        <v>202</v>
      </c>
    </row>
    <row r="25112" spans="1:6" ht="12.75">
      <c r="A25112" s="8">
        <v>43893.1246875</v>
      </c>
      <c r="B25112" s="8" t="str">
        <f>HYPERLINK("https://twitter.com/puttpu3","@puttpu3")</f>
        <v>@puttpu3</v>
      </c>
      <c r="C25112" s="8" t="s">
        <v>2962</v>
      </c>
      <c r="D25112" s="8">
        <v>4640</v>
      </c>
      <c r="E25112" s="8">
        <v>0</v>
      </c>
      <c r="F25112" s="8">
        <v>14</v>
      </c>
    </row>
    <row r="25113" spans="1:6" ht="12.75">
      <c r="A25113" s="8">
        <v>43893.124224537038</v>
      </c>
      <c r="B25113" s="8" t="str">
        <f>HYPERLINK("https://twitter.com/DeeAlsatia2","@DeeAlsatia2")</f>
        <v>@DeeAlsatia2</v>
      </c>
      <c r="C25113" s="8" t="s">
        <v>2962</v>
      </c>
      <c r="D25113" s="8">
        <v>4640</v>
      </c>
      <c r="E25113" s="8">
        <v>0</v>
      </c>
      <c r="F25113" s="8">
        <v>503</v>
      </c>
    </row>
    <row r="25114" spans="1:6" ht="12.75">
      <c r="A25114" s="8">
        <v>43893.123958333337</v>
      </c>
      <c r="B25114" s="8" t="str">
        <f>HYPERLINK("https://twitter.com/lookieleekie","@lookieleekie")</f>
        <v>@lookieleekie</v>
      </c>
      <c r="C25114" s="8" t="s">
        <v>2962</v>
      </c>
      <c r="D25114" s="8">
        <v>4640</v>
      </c>
      <c r="E25114" s="8">
        <v>0</v>
      </c>
      <c r="F25114" s="8">
        <v>271</v>
      </c>
    </row>
    <row r="25115" spans="1:6" ht="12.75">
      <c r="A25115" s="8">
        <v>43893.12394675926</v>
      </c>
      <c r="B25115" s="8" t="str">
        <f>HYPERLINK("https://twitter.com/NuryantiMega","@NuryantiMega")</f>
        <v>@NuryantiMega</v>
      </c>
      <c r="C25115" s="8" t="s">
        <v>1970</v>
      </c>
      <c r="D25115" s="8">
        <v>148</v>
      </c>
      <c r="E25115" s="8">
        <v>0</v>
      </c>
      <c r="F25115" s="8">
        <v>334</v>
      </c>
    </row>
    <row r="25116" spans="1:6" ht="12.75">
      <c r="A25116" s="8">
        <v>43893.123819444445</v>
      </c>
      <c r="B25116" s="8" t="str">
        <f>HYPERLINK("https://twitter.com/rara_cantyka","@rara_cantyka")</f>
        <v>@rara_cantyka</v>
      </c>
      <c r="C25116" s="8" t="s">
        <v>9955</v>
      </c>
      <c r="D25116" s="8">
        <v>7</v>
      </c>
      <c r="E25116" s="8">
        <v>0</v>
      </c>
      <c r="F25116" s="8">
        <v>90</v>
      </c>
    </row>
    <row r="25117" spans="1:6" ht="12.75">
      <c r="A25117" s="8">
        <v>43893.123796296291</v>
      </c>
      <c r="B25117" s="8" t="str">
        <f>HYPERLINK("https://twitter.com/icecreamwalls_","@icecreamwalls_")</f>
        <v>@icecreamwalls_</v>
      </c>
      <c r="C25117" s="8" t="s">
        <v>2962</v>
      </c>
      <c r="D25117" s="8">
        <v>4640</v>
      </c>
      <c r="E25117" s="8">
        <v>0</v>
      </c>
      <c r="F25117" s="8">
        <v>19</v>
      </c>
    </row>
    <row r="25118" spans="1:6" ht="12.75">
      <c r="A25118" s="8">
        <v>43893.122476851851</v>
      </c>
      <c r="B25118" s="8" t="str">
        <f>HYPERLINK("https://twitter.com/AgusSup39011241","@AgusSup39011241")</f>
        <v>@AgusSup39011241</v>
      </c>
      <c r="C25118" s="8" t="s">
        <v>9358</v>
      </c>
      <c r="D25118" s="8">
        <v>83</v>
      </c>
      <c r="E25118" s="8">
        <v>0</v>
      </c>
      <c r="F25118" s="8">
        <v>10442</v>
      </c>
    </row>
    <row r="25119" spans="1:6" ht="12.75">
      <c r="A25119" s="8">
        <v>43893.122384259259</v>
      </c>
      <c r="B25119" s="8" t="str">
        <f>HYPERLINK("https://twitter.com/DonnaNisa","@DonnaNisa")</f>
        <v>@DonnaNisa</v>
      </c>
      <c r="C25119" s="8" t="s">
        <v>1427</v>
      </c>
      <c r="D25119" s="8">
        <v>571</v>
      </c>
      <c r="E25119" s="8">
        <v>0</v>
      </c>
      <c r="F25119" s="8">
        <v>556</v>
      </c>
    </row>
    <row r="25120" spans="1:6" ht="12.75">
      <c r="A25120" s="8">
        <v>43893.122164351851</v>
      </c>
      <c r="B25120" s="8" t="str">
        <f>HYPERLINK("https://twitter.com/dipopramasta","@dipopramasta")</f>
        <v>@dipopramasta</v>
      </c>
      <c r="C25120" s="8" t="s">
        <v>9684</v>
      </c>
      <c r="D25120" s="8">
        <v>164</v>
      </c>
      <c r="E25120" s="8">
        <v>0</v>
      </c>
      <c r="F25120" s="8">
        <v>334</v>
      </c>
    </row>
    <row r="25121" spans="1:6" ht="12.75">
      <c r="A25121" s="8">
        <v>43893.121793981481</v>
      </c>
      <c r="B25121" s="8" t="str">
        <f>HYPERLINK("https://twitter.com/mucry_singh","@mucry_singh")</f>
        <v>@mucry_singh</v>
      </c>
      <c r="C25121" s="8" t="s">
        <v>8322</v>
      </c>
      <c r="D25121" s="8">
        <v>609</v>
      </c>
      <c r="E25121" s="8">
        <v>0</v>
      </c>
      <c r="F25121" s="8">
        <v>1032</v>
      </c>
    </row>
    <row r="25122" spans="1:6" ht="12.75">
      <c r="A25122" s="8">
        <v>43893.121423611112</v>
      </c>
      <c r="B25122" s="8" t="str">
        <f>HYPERLINK("https://twitter.com/tumbzr","@tumbzr")</f>
        <v>@tumbzr</v>
      </c>
      <c r="C25122" s="8" t="s">
        <v>2962</v>
      </c>
      <c r="D25122" s="8">
        <v>4640</v>
      </c>
      <c r="E25122" s="8">
        <v>0</v>
      </c>
      <c r="F25122" s="8">
        <v>7308</v>
      </c>
    </row>
    <row r="25123" spans="1:6" ht="12.75">
      <c r="A25123" s="8">
        <v>43893.121423611112</v>
      </c>
      <c r="B25123" s="8" t="str">
        <f>HYPERLINK("https://twitter.com/ABerkelass","@ABerkelass")</f>
        <v>@ABerkelass</v>
      </c>
      <c r="C25123" s="8" t="s">
        <v>1970</v>
      </c>
      <c r="D25123" s="8">
        <v>148</v>
      </c>
      <c r="E25123" s="8">
        <v>0</v>
      </c>
      <c r="F25123" s="8">
        <v>292</v>
      </c>
    </row>
    <row r="25124" spans="1:6" ht="12.75">
      <c r="A25124" s="8">
        <v>43893.121111111112</v>
      </c>
      <c r="B25124" s="8" t="str">
        <f>HYPERLINK("https://twitter.com/aristaprillian","@aristaprillian")</f>
        <v>@aristaprillian</v>
      </c>
      <c r="C25124" s="8" t="s">
        <v>2199</v>
      </c>
      <c r="D25124" s="8">
        <v>8438</v>
      </c>
      <c r="E25124" s="8">
        <v>0</v>
      </c>
      <c r="F25124" s="8">
        <v>1086</v>
      </c>
    </row>
    <row r="25125" spans="1:6" ht="12.75">
      <c r="A25125" s="8">
        <v>43893.120983796296</v>
      </c>
      <c r="B25125" s="8" t="str">
        <f>HYPERLINK("https://twitter.com/isis_dom2","@isis_dom2")</f>
        <v>@isis_dom2</v>
      </c>
      <c r="C25125" s="8" t="s">
        <v>9956</v>
      </c>
      <c r="D25125" s="8">
        <v>0</v>
      </c>
      <c r="E25125" s="8">
        <v>0</v>
      </c>
      <c r="F25125" s="8">
        <v>1253</v>
      </c>
    </row>
    <row r="25126" spans="1:6" ht="12.75">
      <c r="A25126" s="8">
        <v>43893.120925925927</v>
      </c>
      <c r="B25126" s="8" t="str">
        <f>HYPERLINK("https://twitter.com/girlonamovie","@girlonamovie")</f>
        <v>@girlonamovie</v>
      </c>
      <c r="C25126" s="8" t="s">
        <v>2962</v>
      </c>
      <c r="D25126" s="8">
        <v>4640</v>
      </c>
      <c r="E25126" s="8">
        <v>0</v>
      </c>
      <c r="F25126" s="8">
        <v>571</v>
      </c>
    </row>
    <row r="25127" spans="1:6" ht="12.75">
      <c r="A25127" s="8">
        <v>43893.120879629627</v>
      </c>
      <c r="B25127" s="8" t="str">
        <f>HYPERLINK("https://twitter.com/presidenSBY","@presidenSBY")</f>
        <v>@presidenSBY</v>
      </c>
      <c r="C25127" s="8" t="s">
        <v>9957</v>
      </c>
      <c r="D25127" s="8">
        <v>0</v>
      </c>
      <c r="E25127" s="8">
        <v>0</v>
      </c>
      <c r="F25127" s="8">
        <v>301751</v>
      </c>
    </row>
    <row r="25128" spans="1:6" ht="12.75">
      <c r="A25128" s="8">
        <v>43893.120613425926</v>
      </c>
      <c r="B25128" s="8" t="str">
        <f>HYPERLINK("https://twitter.com/chaelisung","@chaelisung")</f>
        <v>@chaelisung</v>
      </c>
      <c r="C25128" s="8" t="s">
        <v>9958</v>
      </c>
      <c r="D25128" s="8">
        <v>0</v>
      </c>
      <c r="E25128" s="8">
        <v>0</v>
      </c>
      <c r="F25128" s="8">
        <v>23</v>
      </c>
    </row>
    <row r="25129" spans="1:6" ht="12.75">
      <c r="A25129" s="8">
        <v>43893.120520833334</v>
      </c>
      <c r="B25129" s="8" t="str">
        <f>HYPERLINK("https://twitter.com/LaelaAmien","@LaelaAmien")</f>
        <v>@LaelaAmien</v>
      </c>
      <c r="C25129" s="8" t="s">
        <v>1970</v>
      </c>
      <c r="D25129" s="8">
        <v>148</v>
      </c>
      <c r="E25129" s="8">
        <v>0</v>
      </c>
      <c r="F25129" s="8">
        <v>834</v>
      </c>
    </row>
    <row r="25130" spans="1:6" ht="12.75">
      <c r="A25130" s="8">
        <v>43893.120462962965</v>
      </c>
      <c r="B25130" s="8" t="str">
        <f>HYPERLINK("https://twitter.com/muktiadi1","@muktiadi1")</f>
        <v>@muktiadi1</v>
      </c>
      <c r="C25130" s="8" t="s">
        <v>1427</v>
      </c>
      <c r="D25130" s="8">
        <v>571</v>
      </c>
      <c r="E25130" s="8">
        <v>0</v>
      </c>
      <c r="F25130" s="8">
        <v>1259</v>
      </c>
    </row>
    <row r="25131" spans="1:6" ht="12.75">
      <c r="A25131" s="8">
        <v>43893.120451388888</v>
      </c>
      <c r="B25131" s="8" t="str">
        <f>HYPERLINK("https://twitter.com/bernardoadhy","@bernardoadhy")</f>
        <v>@bernardoadhy</v>
      </c>
      <c r="C25131" s="8" t="s">
        <v>2962</v>
      </c>
      <c r="D25131" s="8">
        <v>4640</v>
      </c>
      <c r="E25131" s="8">
        <v>0</v>
      </c>
      <c r="F25131" s="8">
        <v>1088</v>
      </c>
    </row>
    <row r="25132" spans="1:6" ht="12.75">
      <c r="A25132" s="8">
        <v>43893.120324074072</v>
      </c>
      <c r="B25132" s="8" t="str">
        <f>HYPERLINK("https://twitter.com/AgusSup39011241","@AgusSup39011241")</f>
        <v>@AgusSup39011241</v>
      </c>
      <c r="C25132" s="8" t="s">
        <v>8963</v>
      </c>
      <c r="D25132" s="8">
        <v>104</v>
      </c>
      <c r="E25132" s="8">
        <v>0</v>
      </c>
      <c r="F25132" s="8">
        <v>10442</v>
      </c>
    </row>
    <row r="25133" spans="1:6" ht="12.75">
      <c r="A25133" s="8">
        <v>43893.120162037041</v>
      </c>
      <c r="B25133" s="8" t="str">
        <f>HYPERLINK("https://twitter.com/pokoknyaAul","@pokoknyaAul")</f>
        <v>@pokoknyaAul</v>
      </c>
      <c r="C25133" s="8" t="s">
        <v>2199</v>
      </c>
      <c r="D25133" s="8">
        <v>8438</v>
      </c>
      <c r="E25133" s="8">
        <v>0</v>
      </c>
      <c r="F25133" s="8">
        <v>1858</v>
      </c>
    </row>
    <row r="25134" spans="1:6" ht="12.75">
      <c r="A25134" s="8">
        <v>43893.120069444441</v>
      </c>
      <c r="B25134" s="8" t="str">
        <f>HYPERLINK("https://twitter.com/LaelaAmien","@LaelaAmien")</f>
        <v>@LaelaAmien</v>
      </c>
      <c r="C25134" s="8" t="s">
        <v>9817</v>
      </c>
      <c r="D25134" s="8">
        <v>24</v>
      </c>
      <c r="E25134" s="8">
        <v>0</v>
      </c>
      <c r="F25134" s="8">
        <v>834</v>
      </c>
    </row>
    <row r="25135" spans="1:6" ht="12.75">
      <c r="A25135" s="8">
        <v>43893.11991898148</v>
      </c>
      <c r="B25135" s="8" t="str">
        <f>HYPERLINK("https://twitter.com/hansseungu","@hansseungu")</f>
        <v>@hansseungu</v>
      </c>
      <c r="C25135" s="8" t="s">
        <v>2199</v>
      </c>
      <c r="D25135" s="8">
        <v>8438</v>
      </c>
      <c r="E25135" s="8">
        <v>0</v>
      </c>
      <c r="F25135" s="8">
        <v>149</v>
      </c>
    </row>
    <row r="25136" spans="1:6" ht="12.75">
      <c r="A25136" s="8">
        <v>43893.119479166664</v>
      </c>
      <c r="B25136" s="8" t="str">
        <f>HYPERLINK("https://twitter.com/AmandaFizra","@AmandaFizra")</f>
        <v>@AmandaFizra</v>
      </c>
      <c r="C25136" s="8" t="s">
        <v>9895</v>
      </c>
      <c r="D25136" s="8">
        <v>158</v>
      </c>
      <c r="E25136" s="8">
        <v>0</v>
      </c>
      <c r="F25136" s="8">
        <v>8</v>
      </c>
    </row>
    <row r="25137" spans="1:6" ht="12.75">
      <c r="A25137" s="8">
        <v>43893.119444444441</v>
      </c>
      <c r="B25137" s="8" t="str">
        <f>HYPERLINK("https://twitter.com/Nadila_ID","@Nadila_ID")</f>
        <v>@Nadila_ID</v>
      </c>
      <c r="C25137" s="8" t="s">
        <v>9959</v>
      </c>
      <c r="D25137" s="8">
        <v>0</v>
      </c>
      <c r="E25137" s="8">
        <v>0</v>
      </c>
      <c r="F25137" s="8">
        <v>7244</v>
      </c>
    </row>
    <row r="25138" spans="1:6" ht="12.75">
      <c r="A25138" s="8">
        <v>43893.119212962964</v>
      </c>
      <c r="B25138" s="8" t="str">
        <f>HYPERLINK("https://twitter.com/Fajar_RAR","@Fajar_RAR")</f>
        <v>@Fajar_RAR</v>
      </c>
      <c r="C25138" s="8" t="s">
        <v>9614</v>
      </c>
      <c r="D25138" s="8">
        <v>98</v>
      </c>
      <c r="E25138" s="8">
        <v>0</v>
      </c>
      <c r="F25138" s="8">
        <v>642</v>
      </c>
    </row>
    <row r="25139" spans="1:6" ht="12.75">
      <c r="A25139" s="8">
        <v>43893.119120370371</v>
      </c>
      <c r="B25139" s="8" t="str">
        <f>HYPERLINK("https://twitter.com/Lylo048","@Lylo048")</f>
        <v>@Lylo048</v>
      </c>
      <c r="C25139" s="8" t="s">
        <v>2199</v>
      </c>
      <c r="D25139" s="8">
        <v>8438</v>
      </c>
      <c r="E25139" s="8">
        <v>0</v>
      </c>
      <c r="F25139" s="8">
        <v>26</v>
      </c>
    </row>
    <row r="25140" spans="1:6" ht="12.75">
      <c r="A25140" s="8">
        <v>43893.118645833332</v>
      </c>
      <c r="B25140" s="8" t="str">
        <f>HYPERLINK("https://twitter.com/meyonk5","@meyonk5")</f>
        <v>@meyonk5</v>
      </c>
      <c r="C25140" s="8" t="s">
        <v>2962</v>
      </c>
      <c r="D25140" s="8">
        <v>4640</v>
      </c>
      <c r="E25140" s="8">
        <v>0</v>
      </c>
      <c r="F25140" s="8">
        <v>0</v>
      </c>
    </row>
    <row r="25141" spans="1:6" ht="12.75">
      <c r="A25141" s="8">
        <v>43893.118506944447</v>
      </c>
      <c r="B25141" s="8" t="str">
        <f>HYPERLINK("https://twitter.com/edoardonabot","@edoardonabot")</f>
        <v>@edoardonabot</v>
      </c>
      <c r="C25141" s="8" t="s">
        <v>2962</v>
      </c>
      <c r="D25141" s="8">
        <v>4640</v>
      </c>
      <c r="E25141" s="8">
        <v>0</v>
      </c>
      <c r="F25141" s="8">
        <v>18</v>
      </c>
    </row>
    <row r="25142" spans="1:6" ht="12.75">
      <c r="A25142" s="8">
        <v>43893.118391203709</v>
      </c>
      <c r="B25142" s="8" t="str">
        <f>HYPERLINK("https://twitter.com/IrwanBastian15","@IrwanBastian15")</f>
        <v>@IrwanBastian15</v>
      </c>
      <c r="C25142" s="8" t="s">
        <v>9960</v>
      </c>
      <c r="D25142" s="8">
        <v>27</v>
      </c>
      <c r="E25142" s="8">
        <v>0</v>
      </c>
      <c r="F25142" s="8">
        <v>801</v>
      </c>
    </row>
    <row r="25143" spans="1:6" ht="12.75">
      <c r="A25143" s="8">
        <v>43893.11824074074</v>
      </c>
      <c r="B25143" s="8" t="str">
        <f>HYPERLINK("https://twitter.com/fd_SatuLagi","@fd_SatuLagi")</f>
        <v>@fd_SatuLagi</v>
      </c>
      <c r="C25143" s="8" t="s">
        <v>1970</v>
      </c>
      <c r="D25143" s="8">
        <v>148</v>
      </c>
      <c r="E25143" s="8">
        <v>0</v>
      </c>
      <c r="F25143" s="8">
        <v>801</v>
      </c>
    </row>
    <row r="25144" spans="1:6" ht="12.75">
      <c r="A25144" s="8">
        <v>43893.11824074074</v>
      </c>
      <c r="B25144" s="8" t="str">
        <f>HYPERLINK("https://twitter.com/HdrAbdurrahman","@HdrAbdurrahman")</f>
        <v>@HdrAbdurrahman</v>
      </c>
      <c r="C25144" s="8" t="s">
        <v>8827</v>
      </c>
      <c r="D25144" s="8">
        <v>36</v>
      </c>
      <c r="E25144" s="8">
        <v>0</v>
      </c>
      <c r="F25144" s="8">
        <v>4074</v>
      </c>
    </row>
    <row r="25145" spans="1:6" ht="12.75">
      <c r="A25145" s="8">
        <v>43893.118090277778</v>
      </c>
      <c r="B25145" s="8" t="str">
        <f>HYPERLINK("https://twitter.com/tamhaRHidayanto","@tamhaRHidayanto")</f>
        <v>@tamhaRHidayanto</v>
      </c>
      <c r="C25145" s="8" t="s">
        <v>9961</v>
      </c>
      <c r="D25145" s="8">
        <v>0</v>
      </c>
      <c r="E25145" s="8">
        <v>0</v>
      </c>
      <c r="F25145" s="8">
        <v>2026</v>
      </c>
    </row>
    <row r="25146" spans="1:6" ht="12.75">
      <c r="A25146" s="8">
        <v>43893.117962962962</v>
      </c>
      <c r="B25146" s="8" t="str">
        <f>HYPERLINK("https://twitter.com/topinfo_id","@topinfo_id")</f>
        <v>@topinfo_id</v>
      </c>
      <c r="C25146" s="8" t="s">
        <v>9931</v>
      </c>
      <c r="D25146" s="8">
        <v>0</v>
      </c>
      <c r="E25146" s="8">
        <v>0</v>
      </c>
      <c r="F25146" s="8">
        <v>36</v>
      </c>
    </row>
    <row r="25147" spans="1:6" ht="12.75">
      <c r="A25147" s="8">
        <v>43893.11787037037</v>
      </c>
      <c r="B25147" s="8" t="str">
        <f>HYPERLINK("https://twitter.com/fadlifadlifadli","@fadlifadlifadli")</f>
        <v>@fadlifadlifadli</v>
      </c>
      <c r="C25147" s="8" t="s">
        <v>2962</v>
      </c>
      <c r="D25147" s="8">
        <v>4640</v>
      </c>
      <c r="E25147" s="8">
        <v>0</v>
      </c>
      <c r="F25147" s="8">
        <v>493</v>
      </c>
    </row>
    <row r="25148" spans="1:6" ht="12.75">
      <c r="A25148" s="8">
        <v>43893.117731481485</v>
      </c>
      <c r="B25148" s="8" t="str">
        <f>HYPERLINK("https://twitter.com/Awandabcdef","@Awandabcdef")</f>
        <v>@Awandabcdef</v>
      </c>
      <c r="C25148" s="8" t="s">
        <v>6542</v>
      </c>
      <c r="D25148" s="8">
        <v>224</v>
      </c>
      <c r="E25148" s="8">
        <v>0</v>
      </c>
      <c r="F25148" s="8">
        <v>468</v>
      </c>
    </row>
    <row r="25149" spans="1:6" ht="12.75">
      <c r="A25149" s="8">
        <v>43893.117638888885</v>
      </c>
      <c r="B25149" s="8" t="str">
        <f>HYPERLINK("https://twitter.com/hans_tbn","@hans_tbn")</f>
        <v>@hans_tbn</v>
      </c>
      <c r="C25149" s="8" t="s">
        <v>9892</v>
      </c>
      <c r="D25149" s="8">
        <v>529</v>
      </c>
      <c r="E25149" s="8">
        <v>0</v>
      </c>
      <c r="F25149" s="8">
        <v>430</v>
      </c>
    </row>
    <row r="25150" spans="1:6" ht="12.75">
      <c r="A25150" s="8">
        <v>43893.117581018523</v>
      </c>
      <c r="B25150" s="8" t="str">
        <f>HYPERLINK("https://twitter.com/MOONLYLAC","@MOONLYLAC")</f>
        <v>@MOONLYLAC</v>
      </c>
      <c r="C25150" s="8" t="s">
        <v>2962</v>
      </c>
      <c r="D25150" s="8">
        <v>4640</v>
      </c>
      <c r="E25150" s="8">
        <v>0</v>
      </c>
      <c r="F25150" s="8">
        <v>14</v>
      </c>
    </row>
    <row r="25151" spans="1:6" ht="12.75">
      <c r="A25151" s="8">
        <v>43893.117233796293</v>
      </c>
      <c r="B25151" s="8" t="str">
        <f>HYPERLINK("https://twitter.com/chikaynksr","@chikaynksr")</f>
        <v>@chikaynksr</v>
      </c>
      <c r="C25151" s="8" t="s">
        <v>2199</v>
      </c>
      <c r="D25151" s="8">
        <v>8438</v>
      </c>
      <c r="E25151" s="8">
        <v>0</v>
      </c>
      <c r="F25151" s="8">
        <v>1181</v>
      </c>
    </row>
    <row r="25152" spans="1:6" ht="12.75">
      <c r="A25152" s="8">
        <v>43893.117025462961</v>
      </c>
      <c r="B25152" s="8" t="str">
        <f>HYPERLINK("https://twitter.com/suaradotcom","@suaradotcom")</f>
        <v>@suaradotcom</v>
      </c>
      <c r="C25152" s="8" t="s">
        <v>9962</v>
      </c>
      <c r="D25152" s="8">
        <v>0</v>
      </c>
      <c r="E25152" s="8">
        <v>0</v>
      </c>
      <c r="F25152" s="8">
        <v>24319</v>
      </c>
    </row>
    <row r="25153" spans="1:6" ht="12.75">
      <c r="A25153" s="8">
        <v>43893.116851851853</v>
      </c>
      <c r="B25153" s="8" t="str">
        <f>HYPERLINK("https://twitter.com/adinrizky","@adinrizky")</f>
        <v>@adinrizky</v>
      </c>
      <c r="C25153" s="8" t="s">
        <v>1427</v>
      </c>
      <c r="D25153" s="8">
        <v>571</v>
      </c>
      <c r="E25153" s="8">
        <v>0</v>
      </c>
      <c r="F25153" s="8">
        <v>528</v>
      </c>
    </row>
    <row r="25154" spans="1:6" ht="12.75">
      <c r="A25154" s="8">
        <v>43893.116284722222</v>
      </c>
      <c r="B25154" s="8" t="str">
        <f>HYPERLINK("https://twitter.com/Rio_kelson","@Rio_kelson")</f>
        <v>@Rio_kelson</v>
      </c>
      <c r="C25154" s="8" t="s">
        <v>1145</v>
      </c>
      <c r="D25154" s="8">
        <v>460</v>
      </c>
      <c r="E25154" s="8">
        <v>0</v>
      </c>
      <c r="F25154" s="8">
        <v>546</v>
      </c>
    </row>
    <row r="25155" spans="1:6" ht="12.75">
      <c r="A25155" s="8">
        <v>43893.11613425926</v>
      </c>
      <c r="B25155" s="8" t="str">
        <f>HYPERLINK("https://twitter.com/ImYours1209","@ImYours1209")</f>
        <v>@ImYours1209</v>
      </c>
      <c r="C25155" s="8" t="s">
        <v>9117</v>
      </c>
      <c r="D25155" s="8">
        <v>205</v>
      </c>
      <c r="E25155" s="8">
        <v>0</v>
      </c>
      <c r="F25155" s="8">
        <v>46</v>
      </c>
    </row>
    <row r="25156" spans="1:6" ht="12.75">
      <c r="A25156" s="8">
        <v>43893.115937499999</v>
      </c>
      <c r="B25156" s="8" t="str">
        <f>HYPERLINK("https://twitter.com/SamsulB91513613","@SamsulB91513613")</f>
        <v>@SamsulB91513613</v>
      </c>
      <c r="C25156" s="8" t="s">
        <v>1986</v>
      </c>
      <c r="D25156" s="8">
        <v>533</v>
      </c>
      <c r="E25156" s="8">
        <v>0</v>
      </c>
      <c r="F25156" s="8">
        <v>305</v>
      </c>
    </row>
    <row r="25157" spans="1:6" ht="12.75">
      <c r="A25157" s="8">
        <v>43893.115694444445</v>
      </c>
      <c r="B25157" s="8" t="str">
        <f>HYPERLINK("https://twitter.com/Deni45158","@Deni45158")</f>
        <v>@Deni45158</v>
      </c>
      <c r="C25157" s="8" t="s">
        <v>1970</v>
      </c>
      <c r="D25157" s="8">
        <v>148</v>
      </c>
      <c r="E25157" s="8">
        <v>0</v>
      </c>
      <c r="F25157" s="8">
        <v>290</v>
      </c>
    </row>
    <row r="25158" spans="1:6" ht="12.75">
      <c r="A25158" s="8">
        <v>43893.115601851852</v>
      </c>
      <c r="B25158" s="8" t="str">
        <f>HYPERLINK("https://twitter.com/Far_away90","@Far_away90")</f>
        <v>@Far_away90</v>
      </c>
      <c r="C25158" s="8" t="s">
        <v>9963</v>
      </c>
      <c r="D25158" s="8">
        <v>3</v>
      </c>
      <c r="E25158" s="8">
        <v>0</v>
      </c>
      <c r="F25158" s="8">
        <v>386</v>
      </c>
    </row>
    <row r="25159" spans="1:6" ht="12.75">
      <c r="A25159" s="8">
        <v>43893.11555555556</v>
      </c>
      <c r="B25159" s="8" t="str">
        <f>HYPERLINK("https://twitter.com/Leoherlambang12","@Leoherlambang12")</f>
        <v>@Leoherlambang12</v>
      </c>
      <c r="C25159" s="8" t="s">
        <v>2962</v>
      </c>
      <c r="D25159" s="8">
        <v>4640</v>
      </c>
      <c r="E25159" s="8">
        <v>0</v>
      </c>
      <c r="F25159" s="8">
        <v>77</v>
      </c>
    </row>
    <row r="25160" spans="1:6" ht="12.75">
      <c r="A25160" s="8">
        <v>43893.11509259259</v>
      </c>
      <c r="B25160" s="8" t="str">
        <f>HYPERLINK("https://twitter.com/BernardErlan","@BernardErlan")</f>
        <v>@BernardErlan</v>
      </c>
      <c r="C25160" s="8" t="s">
        <v>2199</v>
      </c>
      <c r="D25160" s="8">
        <v>8438</v>
      </c>
      <c r="E25160" s="8">
        <v>0</v>
      </c>
      <c r="F25160" s="8">
        <v>151</v>
      </c>
    </row>
    <row r="25161" spans="1:6" ht="12.75">
      <c r="A25161" s="8">
        <v>43893.114814814813</v>
      </c>
      <c r="B25161" s="8" t="str">
        <f>HYPERLINK("https://twitter.com/nikolasmert","@nikolasmert")</f>
        <v>@nikolasmert</v>
      </c>
      <c r="C25161" s="8" t="s">
        <v>2199</v>
      </c>
      <c r="D25161" s="8">
        <v>8438</v>
      </c>
      <c r="E25161" s="8">
        <v>0</v>
      </c>
      <c r="F25161" s="8">
        <v>198</v>
      </c>
    </row>
    <row r="25162" spans="1:6" ht="12.75">
      <c r="A25162" s="8">
        <v>43893.114537037036</v>
      </c>
      <c r="B25162" s="8" t="str">
        <f>HYPERLINK("https://twitter.com/andrifahrezii","@andrifahrezii")</f>
        <v>@andrifahrezii</v>
      </c>
      <c r="C25162" s="8" t="s">
        <v>6832</v>
      </c>
      <c r="D25162" s="8">
        <v>864</v>
      </c>
      <c r="E25162" s="8">
        <v>0</v>
      </c>
      <c r="F25162" s="8">
        <v>125</v>
      </c>
    </row>
    <row r="25163" spans="1:6" ht="12.75">
      <c r="A25163" s="8">
        <v>43893.114050925928</v>
      </c>
      <c r="B25163" s="8" t="str">
        <f>HYPERLINK("https://twitter.com/hilmyrazan","@hilmyrazan")</f>
        <v>@hilmyrazan</v>
      </c>
      <c r="C25163" s="8" t="s">
        <v>9964</v>
      </c>
      <c r="D25163" s="8">
        <v>0</v>
      </c>
      <c r="E25163" s="8">
        <v>0</v>
      </c>
      <c r="F25163" s="8">
        <v>271</v>
      </c>
    </row>
    <row r="25164" spans="1:6" ht="12.75">
      <c r="A25164" s="8">
        <v>43893.113842592589</v>
      </c>
      <c r="B25164" s="8" t="str">
        <f>HYPERLINK("https://twitter.com/AjaTindaz","@AjaTindaz")</f>
        <v>@AjaTindaz</v>
      </c>
      <c r="C25164" s="8" t="s">
        <v>2199</v>
      </c>
      <c r="D25164" s="8">
        <v>8438</v>
      </c>
      <c r="E25164" s="8">
        <v>0</v>
      </c>
      <c r="F25164" s="8">
        <v>55</v>
      </c>
    </row>
    <row r="25165" spans="1:6" ht="12.75">
      <c r="A25165" s="8">
        <v>43893.113819444443</v>
      </c>
      <c r="B25165" s="8" t="str">
        <f>HYPERLINK("https://twitter.com/lilbbygurll","@lilbbygurll")</f>
        <v>@lilbbygurll</v>
      </c>
      <c r="C25165" s="8" t="s">
        <v>2962</v>
      </c>
      <c r="D25165" s="8">
        <v>4640</v>
      </c>
      <c r="E25165" s="8">
        <v>0</v>
      </c>
      <c r="F25165" s="8">
        <v>1486</v>
      </c>
    </row>
    <row r="25166" spans="1:6" ht="12.75">
      <c r="A25166" s="8">
        <v>43893.113761574074</v>
      </c>
      <c r="B25166" s="8" t="str">
        <f>HYPERLINK("https://twitter.com/syafrinkar","@syafrinkar")</f>
        <v>@syafrinkar</v>
      </c>
      <c r="C25166" s="8" t="s">
        <v>9965</v>
      </c>
      <c r="D25166" s="8">
        <v>0</v>
      </c>
      <c r="E25166" s="8">
        <v>3</v>
      </c>
      <c r="F25166" s="8">
        <v>10899</v>
      </c>
    </row>
    <row r="25167" spans="1:6" ht="12.75">
      <c r="A25167" s="8">
        <v>43893.113530092596</v>
      </c>
      <c r="B25167" s="8" t="str">
        <f>HYPERLINK("https://twitter.com/amandanrlia","@amandanrlia")</f>
        <v>@amandanrlia</v>
      </c>
      <c r="C25167" s="8" t="s">
        <v>9117</v>
      </c>
      <c r="D25167" s="8">
        <v>205</v>
      </c>
      <c r="E25167" s="8">
        <v>0</v>
      </c>
      <c r="F25167" s="8">
        <v>19</v>
      </c>
    </row>
    <row r="25168" spans="1:6" ht="12.75">
      <c r="A25168" s="8">
        <v>43893.113240740742</v>
      </c>
      <c r="B25168" s="8" t="str">
        <f>HYPERLINK("https://twitter.com/Doel15806331","@Doel15806331")</f>
        <v>@Doel15806331</v>
      </c>
      <c r="C25168" s="8" t="s">
        <v>9123</v>
      </c>
      <c r="D25168" s="8">
        <v>369</v>
      </c>
      <c r="E25168" s="8">
        <v>0</v>
      </c>
      <c r="F25168" s="8">
        <v>526</v>
      </c>
    </row>
    <row r="25169" spans="1:6" ht="12.75">
      <c r="A25169" s="8">
        <v>43893.113171296296</v>
      </c>
      <c r="B25169" s="8" t="str">
        <f>HYPERLINK("https://twitter.com/najxmies","@najxmies")</f>
        <v>@najxmies</v>
      </c>
      <c r="C25169" s="8" t="s">
        <v>1427</v>
      </c>
      <c r="D25169" s="8">
        <v>571</v>
      </c>
      <c r="E25169" s="8">
        <v>0</v>
      </c>
      <c r="F25169" s="8">
        <v>446</v>
      </c>
    </row>
    <row r="25170" spans="1:6" ht="12.75">
      <c r="A25170" s="8">
        <v>43893.11310185185</v>
      </c>
      <c r="B25170" s="8" t="str">
        <f>HYPERLINK("https://twitter.com/chanopus","@chanopus")</f>
        <v>@chanopus</v>
      </c>
      <c r="C25170" s="8" t="s">
        <v>2199</v>
      </c>
      <c r="D25170" s="8">
        <v>8438</v>
      </c>
      <c r="E25170" s="8">
        <v>0</v>
      </c>
      <c r="F25170" s="8">
        <v>174</v>
      </c>
    </row>
    <row r="25171" spans="1:6" ht="12.75">
      <c r="A25171" s="8">
        <v>43893.113055555557</v>
      </c>
      <c r="B25171" s="8" t="str">
        <f>HYPERLINK("https://twitter.com/robintjeans","@robintjeans")</f>
        <v>@robintjeans</v>
      </c>
      <c r="C25171" s="8" t="s">
        <v>9966</v>
      </c>
      <c r="D25171" s="8">
        <v>0</v>
      </c>
      <c r="E25171" s="8">
        <v>0</v>
      </c>
      <c r="F25171" s="8">
        <v>208</v>
      </c>
    </row>
    <row r="25172" spans="1:6" ht="12.75">
      <c r="A25172" s="8">
        <v>43893.112557870365</v>
      </c>
      <c r="B25172" s="8" t="str">
        <f>HYPERLINK("https://twitter.com/Hendy_Abel","@Hendy_Abel")</f>
        <v>@Hendy_Abel</v>
      </c>
      <c r="C25172" s="8" t="s">
        <v>9922</v>
      </c>
      <c r="D25172" s="8">
        <v>3</v>
      </c>
      <c r="E25172" s="8">
        <v>0</v>
      </c>
      <c r="F25172" s="8">
        <v>331</v>
      </c>
    </row>
    <row r="25173" spans="1:6" ht="12.75">
      <c r="A25173" s="8">
        <v>43893.112291666665</v>
      </c>
      <c r="B25173" s="8" t="str">
        <f>HYPERLINK("https://twitter.com/Jancuq_","@Jancuq_")</f>
        <v>@Jancuq_</v>
      </c>
      <c r="C25173" s="8" t="s">
        <v>9117</v>
      </c>
      <c r="D25173" s="8">
        <v>205</v>
      </c>
      <c r="E25173" s="8">
        <v>0</v>
      </c>
      <c r="F25173" s="8">
        <v>1698</v>
      </c>
    </row>
    <row r="25174" spans="1:6" ht="12.75">
      <c r="A25174" s="8">
        <v>43893.112199074079</v>
      </c>
      <c r="B25174" s="8" t="str">
        <f>HYPERLINK("https://twitter.com/winnyms_","@winnyms_")</f>
        <v>@winnyms_</v>
      </c>
      <c r="C25174" s="8" t="s">
        <v>2962</v>
      </c>
      <c r="D25174" s="8">
        <v>4640</v>
      </c>
      <c r="E25174" s="8">
        <v>0</v>
      </c>
      <c r="F25174" s="8">
        <v>406</v>
      </c>
    </row>
    <row r="25175" spans="1:6" ht="12.75">
      <c r="A25175" s="8">
        <v>43893.11215277778</v>
      </c>
      <c r="B25175" s="8" t="str">
        <f>HYPERLINK("https://twitter.com/fa_022","@fa_022")</f>
        <v>@fa_022</v>
      </c>
      <c r="C25175" s="8" t="s">
        <v>9945</v>
      </c>
      <c r="D25175" s="8">
        <v>1125</v>
      </c>
      <c r="E25175" s="8">
        <v>0</v>
      </c>
      <c r="F25175" s="8">
        <v>532</v>
      </c>
    </row>
    <row r="25176" spans="1:6" ht="12.75">
      <c r="A25176" s="8">
        <v>43893.11209490741</v>
      </c>
      <c r="B25176" s="8" t="str">
        <f>HYPERLINK("https://twitter.com/dwiarlanny","@dwiarlanny")</f>
        <v>@dwiarlanny</v>
      </c>
      <c r="C25176" s="8" t="s">
        <v>9967</v>
      </c>
      <c r="D25176" s="8">
        <v>0</v>
      </c>
      <c r="E25176" s="8">
        <v>0</v>
      </c>
      <c r="F25176" s="8">
        <v>565</v>
      </c>
    </row>
    <row r="25177" spans="1:6" ht="12.75">
      <c r="A25177" s="8">
        <v>43893.111840277779</v>
      </c>
      <c r="B25177" s="8" t="str">
        <f>HYPERLINK("https://twitter.com/rahmatpeskins","@rahmatpeskins")</f>
        <v>@rahmatpeskins</v>
      </c>
      <c r="C25177" s="8" t="s">
        <v>9968</v>
      </c>
      <c r="D25177" s="8">
        <v>5</v>
      </c>
      <c r="E25177" s="8">
        <v>0</v>
      </c>
      <c r="F25177" s="8">
        <v>115</v>
      </c>
    </row>
    <row r="25178" spans="1:6" ht="12.75">
      <c r="A25178" s="8">
        <v>43893.111608796295</v>
      </c>
      <c r="B25178" s="8" t="str">
        <f>HYPERLINK("https://twitter.com/AhmadDhaniSeti1","@AhmadDhaniSeti1")</f>
        <v>@AhmadDhaniSeti1</v>
      </c>
      <c r="C25178" s="8" t="s">
        <v>9842</v>
      </c>
      <c r="D25178" s="8">
        <v>7</v>
      </c>
      <c r="E25178" s="8">
        <v>0</v>
      </c>
      <c r="F25178" s="8">
        <v>44</v>
      </c>
    </row>
    <row r="25179" spans="1:6" ht="12.75">
      <c r="A25179" s="8">
        <v>43893.111504629633</v>
      </c>
      <c r="B25179" s="8" t="str">
        <f>HYPERLINK("https://twitter.com/JenalAr71998039","@JenalAr71998039")</f>
        <v>@JenalAr71998039</v>
      </c>
      <c r="C25179" s="8" t="s">
        <v>1970</v>
      </c>
      <c r="D25179" s="8">
        <v>148</v>
      </c>
      <c r="E25179" s="8">
        <v>0</v>
      </c>
      <c r="F25179" s="8">
        <v>17</v>
      </c>
    </row>
    <row r="25180" spans="1:6" ht="12.75">
      <c r="A25180" s="8">
        <v>43893.090162037042</v>
      </c>
      <c r="B25180" s="8" t="str">
        <f>HYPERLINK("https://twitter.com/Se_Tia_23","@Se_Tia_23")</f>
        <v>@Se_Tia_23</v>
      </c>
      <c r="C25180" s="8" t="s">
        <v>4477</v>
      </c>
      <c r="D25180" s="8">
        <v>866</v>
      </c>
      <c r="E25180" s="8">
        <v>0</v>
      </c>
      <c r="F25180" s="8">
        <v>3452</v>
      </c>
    </row>
    <row r="25181" spans="1:6" ht="12.75">
      <c r="A25181" s="8">
        <v>43893.090081018519</v>
      </c>
      <c r="B25181" s="8" t="str">
        <f>HYPERLINK("https://twitter.com/yos_kebe","@yos_kebe")</f>
        <v>@yos_kebe</v>
      </c>
      <c r="C25181" s="8" t="s">
        <v>2199</v>
      </c>
      <c r="D25181" s="8">
        <v>8399</v>
      </c>
      <c r="E25181" s="8">
        <v>0</v>
      </c>
      <c r="F25181" s="8">
        <v>521</v>
      </c>
    </row>
    <row r="25182" spans="1:6" ht="12.75">
      <c r="A25182" s="8">
        <v>43893.090057870373</v>
      </c>
      <c r="B25182" s="8" t="str">
        <f>HYPERLINK("https://twitter.com/AdinaArjun","@AdinaArjun")</f>
        <v>@AdinaArjun</v>
      </c>
      <c r="C25182" s="8" t="s">
        <v>9969</v>
      </c>
      <c r="D25182" s="8">
        <v>1</v>
      </c>
      <c r="E25182" s="8">
        <v>0</v>
      </c>
      <c r="F25182" s="8">
        <v>173</v>
      </c>
    </row>
    <row r="25183" spans="1:6" ht="12.75">
      <c r="A25183" s="8">
        <v>43893.089849537035</v>
      </c>
      <c r="B25183" s="8" t="str">
        <f>HYPERLINK("https://twitter.com/faisalramdani23","@faisalramdani23")</f>
        <v>@faisalramdani23</v>
      </c>
      <c r="C25183" s="8" t="s">
        <v>9970</v>
      </c>
      <c r="D25183" s="8">
        <v>3</v>
      </c>
      <c r="E25183" s="8">
        <v>0</v>
      </c>
      <c r="F25183" s="8">
        <v>448</v>
      </c>
    </row>
    <row r="25184" spans="1:6" ht="12.75">
      <c r="A25184" s="8">
        <v>43893.089537037042</v>
      </c>
      <c r="B25184" s="8" t="str">
        <f>HYPERLINK("https://twitter.com/fd_SatuLagi","@fd_SatuLagi")</f>
        <v>@fd_SatuLagi</v>
      </c>
      <c r="C25184" s="8" t="s">
        <v>4477</v>
      </c>
      <c r="D25184" s="8">
        <v>866</v>
      </c>
      <c r="E25184" s="8">
        <v>0</v>
      </c>
      <c r="F25184" s="8">
        <v>801</v>
      </c>
    </row>
    <row r="25185" spans="1:6" ht="12.75">
      <c r="A25185" s="8">
        <v>43893.089386574073</v>
      </c>
      <c r="B25185" s="8" t="str">
        <f>HYPERLINK("https://twitter.com/massmujab","@massmujab")</f>
        <v>@massmujab</v>
      </c>
      <c r="C25185" s="8" t="s">
        <v>9300</v>
      </c>
      <c r="D25185" s="8">
        <v>154</v>
      </c>
      <c r="E25185" s="8">
        <v>0</v>
      </c>
      <c r="F25185" s="8">
        <v>500</v>
      </c>
    </row>
    <row r="25186" spans="1:6" ht="12.75">
      <c r="A25186" s="8">
        <v>43893.089351851857</v>
      </c>
      <c r="B25186" s="8" t="str">
        <f>HYPERLINK("https://twitter.com/Ahuang2505","@Ahuang2505")</f>
        <v>@Ahuang2505</v>
      </c>
      <c r="C25186" s="8" t="s">
        <v>2962</v>
      </c>
      <c r="D25186" s="8">
        <v>4600</v>
      </c>
      <c r="E25186" s="8">
        <v>0</v>
      </c>
      <c r="F25186" s="8">
        <v>8</v>
      </c>
    </row>
    <row r="25187" spans="1:6" ht="12.75">
      <c r="A25187" s="8">
        <v>43893.089282407411</v>
      </c>
      <c r="B25187" s="8" t="str">
        <f>HYPERLINK("https://twitter.com/zupatista","@zupatista")</f>
        <v>@zupatista</v>
      </c>
      <c r="C25187" s="8" t="s">
        <v>9614</v>
      </c>
      <c r="D25187" s="8">
        <v>95</v>
      </c>
      <c r="E25187" s="8">
        <v>0</v>
      </c>
      <c r="F25187" s="8">
        <v>79</v>
      </c>
    </row>
    <row r="25188" spans="1:6" ht="12.75">
      <c r="A25188" s="8">
        <v>43893.088969907403</v>
      </c>
      <c r="B25188" s="8" t="str">
        <f>HYPERLINK("https://twitter.com/Premiere_Magz","@Premiere_Magz")</f>
        <v>@Premiere_Magz</v>
      </c>
      <c r="C25188" s="8" t="s">
        <v>1970</v>
      </c>
      <c r="D25188" s="8">
        <v>115</v>
      </c>
      <c r="E25188" s="8">
        <v>0</v>
      </c>
      <c r="F25188" s="8">
        <v>1707</v>
      </c>
    </row>
    <row r="25189" spans="1:6" ht="12.75">
      <c r="A25189" s="8">
        <v>43893.088599537034</v>
      </c>
      <c r="B25189" s="8" t="str">
        <f>HYPERLINK("https://twitter.com/triwul82","@triwul82")</f>
        <v>@triwul82</v>
      </c>
      <c r="C25189" s="8" t="s">
        <v>1427</v>
      </c>
      <c r="D25189" s="8">
        <v>553</v>
      </c>
      <c r="E25189" s="8">
        <v>0</v>
      </c>
      <c r="F25189" s="8">
        <v>29207</v>
      </c>
    </row>
    <row r="25190" spans="1:6" ht="12.75">
      <c r="A25190" s="8">
        <v>43893.088541666672</v>
      </c>
      <c r="B25190" s="8" t="str">
        <f>HYPERLINK("https://twitter.com/MuftiAfnan","@MuftiAfnan")</f>
        <v>@MuftiAfnan</v>
      </c>
      <c r="C25190" s="8" t="s">
        <v>9560</v>
      </c>
      <c r="D25190" s="8">
        <v>33</v>
      </c>
      <c r="E25190" s="8">
        <v>0</v>
      </c>
      <c r="F25190" s="8">
        <v>956</v>
      </c>
    </row>
    <row r="25191" spans="1:6" ht="12.75">
      <c r="A25191" s="8">
        <v>43893.088472222225</v>
      </c>
      <c r="B25191" s="8" t="str">
        <f>HYPERLINK("https://twitter.com/Juragan_Bageur","@Juragan_Bageur")</f>
        <v>@Juragan_Bageur</v>
      </c>
      <c r="C25191" s="8" t="s">
        <v>4477</v>
      </c>
      <c r="D25191" s="8">
        <v>866</v>
      </c>
      <c r="E25191" s="8">
        <v>0</v>
      </c>
      <c r="F25191" s="8">
        <v>21</v>
      </c>
    </row>
    <row r="25192" spans="1:6" ht="12.75">
      <c r="A25192" s="8">
        <v>43893.087754629625</v>
      </c>
      <c r="B25192" s="8" t="str">
        <f>HYPERLINK("https://twitter.com/ayudamaiynt","@ayudamaiynt")</f>
        <v>@ayudamaiynt</v>
      </c>
      <c r="C25192" s="8" t="s">
        <v>9117</v>
      </c>
      <c r="D25192" s="8">
        <v>186</v>
      </c>
      <c r="E25192" s="8">
        <v>0</v>
      </c>
      <c r="F25192" s="8">
        <v>72</v>
      </c>
    </row>
    <row r="25193" spans="1:6" ht="12.75">
      <c r="A25193" s="8">
        <v>43893.087500000001</v>
      </c>
      <c r="B25193" s="8" t="str">
        <f>HYPERLINK("https://twitter.com/selfieituindah","@selfieituindah")</f>
        <v>@selfieituindah</v>
      </c>
      <c r="C25193" s="8" t="s">
        <v>9971</v>
      </c>
      <c r="D25193" s="8">
        <v>0</v>
      </c>
      <c r="E25193" s="8">
        <v>0</v>
      </c>
      <c r="F25193" s="8">
        <v>21814</v>
      </c>
    </row>
    <row r="25194" spans="1:6" ht="12.75">
      <c r="A25194" s="8">
        <v>43893.087476851855</v>
      </c>
      <c r="B25194" s="8" t="str">
        <f>HYPERLINK("https://twitter.com/JakartaStar","@JakartaStar")</f>
        <v>@JakartaStar</v>
      </c>
      <c r="C25194" s="8" t="s">
        <v>8963</v>
      </c>
      <c r="D25194" s="8">
        <v>102</v>
      </c>
      <c r="E25194" s="8">
        <v>0</v>
      </c>
      <c r="F25194" s="8">
        <v>5702</v>
      </c>
    </row>
    <row r="25195" spans="1:6" ht="12.75">
      <c r="A25195" s="8">
        <v>43893.08729166667</v>
      </c>
      <c r="B25195" s="8" t="str">
        <f>HYPERLINK("https://twitter.com/zupatista","@zupatista")</f>
        <v>@zupatista</v>
      </c>
      <c r="C25195" s="8" t="s">
        <v>7597</v>
      </c>
      <c r="D25195" s="8">
        <v>498</v>
      </c>
      <c r="E25195" s="8">
        <v>0</v>
      </c>
      <c r="F25195" s="8">
        <v>79</v>
      </c>
    </row>
    <row r="25196" spans="1:6" ht="12.75">
      <c r="A25196" s="8">
        <v>43893.086840277778</v>
      </c>
      <c r="B25196" s="8" t="str">
        <f>HYPERLINK("https://twitter.com/chocoloversssss","@chocoloversssss")</f>
        <v>@chocoloversssss</v>
      </c>
      <c r="C25196" s="8" t="s">
        <v>9117</v>
      </c>
      <c r="D25196" s="8">
        <v>186</v>
      </c>
      <c r="E25196" s="8">
        <v>0</v>
      </c>
      <c r="F25196" s="8">
        <v>516</v>
      </c>
    </row>
    <row r="25197" spans="1:6" ht="12.75">
      <c r="A25197" s="8">
        <v>43893.086782407408</v>
      </c>
      <c r="B25197" s="8" t="str">
        <f>HYPERLINK("https://twitter.com/Isis_Turl","@Isis_Turl")</f>
        <v>@Isis_Turl</v>
      </c>
      <c r="C25197" s="8" t="s">
        <v>9972</v>
      </c>
      <c r="D25197" s="8">
        <v>0</v>
      </c>
      <c r="E25197" s="8">
        <v>0</v>
      </c>
      <c r="F25197" s="8">
        <v>542</v>
      </c>
    </row>
    <row r="25198" spans="1:6" ht="12.75">
      <c r="A25198" s="8">
        <v>43893.08662037037</v>
      </c>
      <c r="B25198" s="8" t="str">
        <f>HYPERLINK("https://twitter.com/RirisAmb","@RirisAmb")</f>
        <v>@RirisAmb</v>
      </c>
      <c r="C25198" s="8" t="s">
        <v>1427</v>
      </c>
      <c r="D25198" s="8">
        <v>553</v>
      </c>
      <c r="E25198" s="8">
        <v>0</v>
      </c>
      <c r="F25198" s="8">
        <v>706</v>
      </c>
    </row>
    <row r="25199" spans="1:6" ht="12.75">
      <c r="A25199" s="8">
        <v>43893.086412037039</v>
      </c>
      <c r="B25199" s="8" t="str">
        <f>HYPERLINK("https://twitter.com/ayumsrah","@ayumsrah")</f>
        <v>@ayumsrah</v>
      </c>
      <c r="C25199" s="8" t="s">
        <v>9701</v>
      </c>
      <c r="D25199" s="8">
        <v>1670</v>
      </c>
      <c r="E25199" s="8">
        <v>0</v>
      </c>
      <c r="F25199" s="8">
        <v>348</v>
      </c>
    </row>
    <row r="25200" spans="1:6" ht="12.75">
      <c r="A25200" s="8">
        <v>43893.086365740739</v>
      </c>
      <c r="B25200" s="8" t="str">
        <f>HYPERLINK("https://twitter.com/haiferrr","@haiferrr")</f>
        <v>@haiferrr</v>
      </c>
      <c r="C25200" s="8" t="s">
        <v>9117</v>
      </c>
      <c r="D25200" s="8">
        <v>186</v>
      </c>
      <c r="E25200" s="8">
        <v>0</v>
      </c>
      <c r="F25200" s="8">
        <v>74</v>
      </c>
    </row>
    <row r="25201" spans="1:6" ht="12.75">
      <c r="A25201" s="8">
        <v>43893.086273148147</v>
      </c>
      <c r="B25201" s="8" t="str">
        <f>HYPERLINK("https://twitter.com/ciciliaeunike","@ciciliaeunike")</f>
        <v>@ciciliaeunike</v>
      </c>
      <c r="C25201" s="8" t="s">
        <v>2962</v>
      </c>
      <c r="D25201" s="8">
        <v>4600</v>
      </c>
      <c r="E25201" s="8">
        <v>0</v>
      </c>
      <c r="F25201" s="8">
        <v>70</v>
      </c>
    </row>
    <row r="25202" spans="1:6" ht="12.75">
      <c r="A25202" s="8">
        <v>43893.086053240739</v>
      </c>
      <c r="B25202" s="8" t="str">
        <f>HYPERLINK("https://twitter.com/SmangatAndik","@SmangatAndik")</f>
        <v>@SmangatAndik</v>
      </c>
      <c r="C25202" s="8" t="s">
        <v>4477</v>
      </c>
      <c r="D25202" s="8">
        <v>866</v>
      </c>
      <c r="E25202" s="8">
        <v>0</v>
      </c>
      <c r="F25202" s="8">
        <v>523</v>
      </c>
    </row>
    <row r="25203" spans="1:6" ht="12.75">
      <c r="A25203" s="8">
        <v>43893.086030092592</v>
      </c>
      <c r="B25203" s="8" t="str">
        <f>HYPERLINK("https://twitter.com/njwooz","@njwooz")</f>
        <v>@njwooz</v>
      </c>
      <c r="C25203" s="8" t="s">
        <v>2962</v>
      </c>
      <c r="D25203" s="8">
        <v>4600</v>
      </c>
      <c r="E25203" s="8">
        <v>0</v>
      </c>
      <c r="F25203" s="8">
        <v>7325</v>
      </c>
    </row>
    <row r="25204" spans="1:6" ht="12.75">
      <c r="A25204" s="8">
        <v>43893.085960648154</v>
      </c>
      <c r="B25204" s="8" t="str">
        <f>HYPERLINK("https://twitter.com/Mmorangkir","@Mmorangkir")</f>
        <v>@Mmorangkir</v>
      </c>
      <c r="C25204" s="8" t="s">
        <v>2199</v>
      </c>
      <c r="D25204" s="8">
        <v>8399</v>
      </c>
      <c r="E25204" s="8">
        <v>0</v>
      </c>
      <c r="F25204" s="8">
        <v>1338</v>
      </c>
    </row>
    <row r="25205" spans="1:6" ht="12.75">
      <c r="A25205" s="8">
        <v>43893.085763888885</v>
      </c>
      <c r="B25205" s="8" t="str">
        <f>HYPERLINK("https://twitter.com/auliya_imn_sh","@auliya_imn_sh")</f>
        <v>@auliya_imn_sh</v>
      </c>
      <c r="C25205" s="8" t="s">
        <v>9973</v>
      </c>
      <c r="D25205" s="8">
        <v>0</v>
      </c>
      <c r="E25205" s="8">
        <v>0</v>
      </c>
      <c r="F25205" s="8">
        <v>77</v>
      </c>
    </row>
    <row r="25206" spans="1:6" ht="12.75">
      <c r="A25206" s="8">
        <v>43893.085752314815</v>
      </c>
      <c r="B25206" s="8" t="str">
        <f>HYPERLINK("https://twitter.com/kuskopex","@kuskopex")</f>
        <v>@kuskopex</v>
      </c>
      <c r="C25206" s="8" t="s">
        <v>3648</v>
      </c>
      <c r="D25206" s="8">
        <v>627</v>
      </c>
      <c r="E25206" s="8">
        <v>0</v>
      </c>
      <c r="F25206" s="8">
        <v>56</v>
      </c>
    </row>
    <row r="25207" spans="1:6" ht="12.75">
      <c r="A25207" s="8">
        <v>43893.085682870369</v>
      </c>
      <c r="B25207" s="8" t="str">
        <f>HYPERLINK("https://twitter.com/SmangatAndik","@SmangatAndik")</f>
        <v>@SmangatAndik</v>
      </c>
      <c r="C25207" s="8" t="s">
        <v>9153</v>
      </c>
      <c r="D25207" s="8">
        <v>264</v>
      </c>
      <c r="E25207" s="8">
        <v>0</v>
      </c>
      <c r="F25207" s="8">
        <v>523</v>
      </c>
    </row>
    <row r="25208" spans="1:6" ht="12.75">
      <c r="A25208" s="8">
        <v>43893.085659722223</v>
      </c>
      <c r="B25208" s="8" t="str">
        <f>HYPERLINK("https://twitter.com/AdinaArjun","@AdinaArjun")</f>
        <v>@AdinaArjun</v>
      </c>
      <c r="C25208" s="8" t="s">
        <v>1970</v>
      </c>
      <c r="D25208" s="8">
        <v>115</v>
      </c>
      <c r="E25208" s="8">
        <v>0</v>
      </c>
      <c r="F25208" s="8">
        <v>173</v>
      </c>
    </row>
    <row r="25209" spans="1:6" ht="12.75">
      <c r="A25209" s="8">
        <v>43893.085428240738</v>
      </c>
      <c r="B25209" s="8" t="str">
        <f>HYPERLINK("https://twitter.com/putrima_intan","@putrima_intan")</f>
        <v>@putrima_intan</v>
      </c>
      <c r="C25209" s="8" t="s">
        <v>9974</v>
      </c>
      <c r="D25209" s="8">
        <v>10</v>
      </c>
      <c r="E25209" s="8">
        <v>0</v>
      </c>
      <c r="F25209" s="8">
        <v>49</v>
      </c>
    </row>
    <row r="25210" spans="1:6" ht="12.75">
      <c r="A25210" s="8">
        <v>43893.085416666669</v>
      </c>
      <c r="B25210" s="8" t="str">
        <f>HYPERLINK("https://twitter.com/fd_SatuLagi","@fd_SatuLagi")</f>
        <v>@fd_SatuLagi</v>
      </c>
      <c r="C25210" s="8" t="s">
        <v>9975</v>
      </c>
      <c r="D25210" s="8">
        <v>0</v>
      </c>
      <c r="E25210" s="8">
        <v>0</v>
      </c>
      <c r="F25210" s="8">
        <v>801</v>
      </c>
    </row>
    <row r="25211" spans="1:6" ht="12.75">
      <c r="A25211" s="8">
        <v>43893.085405092592</v>
      </c>
      <c r="B25211" s="8" t="str">
        <f>HYPERLINK("https://twitter.com/desiayu_s","@desiayu_s")</f>
        <v>@desiayu_s</v>
      </c>
      <c r="C25211" s="8" t="s">
        <v>2199</v>
      </c>
      <c r="D25211" s="8">
        <v>8399</v>
      </c>
      <c r="E25211" s="8">
        <v>0</v>
      </c>
      <c r="F25211" s="8">
        <v>261</v>
      </c>
    </row>
    <row r="25212" spans="1:6" ht="12.75">
      <c r="A25212" s="8">
        <v>43893.085393518515</v>
      </c>
      <c r="B25212" s="8" t="str">
        <f>HYPERLINK("https://twitter.com/putrima_intan","@putrima_intan")</f>
        <v>@putrima_intan</v>
      </c>
      <c r="C25212" s="8" t="s">
        <v>9976</v>
      </c>
      <c r="D25212" s="8">
        <v>10</v>
      </c>
      <c r="E25212" s="8">
        <v>0</v>
      </c>
      <c r="F25212" s="8">
        <v>49</v>
      </c>
    </row>
    <row r="25213" spans="1:6" ht="12.75">
      <c r="A25213" s="8">
        <v>43893.085370370369</v>
      </c>
      <c r="B25213" s="8" t="str">
        <f>HYPERLINK("https://twitter.com/Beduldavid","@Beduldavid")</f>
        <v>@Beduldavid</v>
      </c>
      <c r="C25213" s="8" t="s">
        <v>9038</v>
      </c>
      <c r="D25213" s="8">
        <v>50</v>
      </c>
      <c r="E25213" s="8">
        <v>0</v>
      </c>
      <c r="F25213" s="8">
        <v>493</v>
      </c>
    </row>
    <row r="25214" spans="1:6" ht="12.75">
      <c r="A25214" s="8">
        <v>43893.085358796292</v>
      </c>
      <c r="B25214" s="8" t="str">
        <f>HYPERLINK("https://twitter.com/putrima_intan","@putrima_intan")</f>
        <v>@putrima_intan</v>
      </c>
      <c r="C25214" s="8" t="s">
        <v>9977</v>
      </c>
      <c r="D25214" s="8">
        <v>10</v>
      </c>
      <c r="E25214" s="8">
        <v>0</v>
      </c>
      <c r="F25214" s="8">
        <v>49</v>
      </c>
    </row>
    <row r="25215" spans="1:6" ht="12.75">
      <c r="A25215" s="8">
        <v>43893.085335648153</v>
      </c>
      <c r="B25215" s="8" t="str">
        <f>HYPERLINK("https://twitter.com/fd_SatuLagi","@fd_SatuLagi")</f>
        <v>@fd_SatuLagi</v>
      </c>
      <c r="C25215" s="8" t="s">
        <v>9978</v>
      </c>
      <c r="D25215" s="8">
        <v>0</v>
      </c>
      <c r="E25215" s="8">
        <v>0</v>
      </c>
      <c r="F25215" s="8">
        <v>801</v>
      </c>
    </row>
    <row r="25216" spans="1:6" ht="12.75">
      <c r="A25216" s="8">
        <v>43893.085312499999</v>
      </c>
      <c r="B25216" s="8" t="str">
        <f>HYPERLINK("https://twitter.com/putrima_intan","@putrima_intan")</f>
        <v>@putrima_intan</v>
      </c>
      <c r="C25216" s="8" t="s">
        <v>9979</v>
      </c>
      <c r="D25216" s="8">
        <v>9</v>
      </c>
      <c r="E25216" s="8">
        <v>0</v>
      </c>
      <c r="F25216" s="8">
        <v>49</v>
      </c>
    </row>
    <row r="25217" spans="1:6" ht="12.75">
      <c r="A25217" s="8">
        <v>43893.085023148145</v>
      </c>
      <c r="B25217" s="8" t="str">
        <f>HYPERLINK("https://twitter.com/samdiiimas","@samdiiimas")</f>
        <v>@samdiiimas</v>
      </c>
      <c r="C25217" s="8" t="s">
        <v>2962</v>
      </c>
      <c r="D25217" s="8">
        <v>4600</v>
      </c>
      <c r="E25217" s="8">
        <v>0</v>
      </c>
      <c r="F25217" s="8">
        <v>163</v>
      </c>
    </row>
    <row r="25218" spans="1:6" ht="12.75">
      <c r="A25218" s="8">
        <v>43893.085023148145</v>
      </c>
      <c r="B25218" s="8" t="str">
        <f>HYPERLINK("https://twitter.com/zupatista","@zupatista")</f>
        <v>@zupatista</v>
      </c>
      <c r="C25218" s="8" t="s">
        <v>9300</v>
      </c>
      <c r="D25218" s="8">
        <v>154</v>
      </c>
      <c r="E25218" s="8">
        <v>0</v>
      </c>
      <c r="F25218" s="8">
        <v>79</v>
      </c>
    </row>
    <row r="25219" spans="1:6" ht="12.75">
      <c r="A25219" s="8">
        <v>43893.08493055556</v>
      </c>
      <c r="B25219" s="8" t="str">
        <f>HYPERLINK("https://twitter.com/Se_Tia_23","@Se_Tia_23")</f>
        <v>@Se_Tia_23</v>
      </c>
      <c r="C25219" s="8" t="s">
        <v>1970</v>
      </c>
      <c r="D25219" s="8">
        <v>115</v>
      </c>
      <c r="E25219" s="8">
        <v>0</v>
      </c>
      <c r="F25219" s="8">
        <v>3452</v>
      </c>
    </row>
    <row r="25220" spans="1:6" ht="12.75">
      <c r="A25220" s="8">
        <v>43893.084849537037</v>
      </c>
      <c r="B25220" s="8" t="str">
        <f>HYPERLINK("https://twitter.com/samdiiimas","@samdiiimas")</f>
        <v>@samdiiimas</v>
      </c>
      <c r="C25220" s="8" t="s">
        <v>2199</v>
      </c>
      <c r="D25220" s="8">
        <v>8399</v>
      </c>
      <c r="E25220" s="8">
        <v>0</v>
      </c>
      <c r="F25220" s="8">
        <v>163</v>
      </c>
    </row>
    <row r="25221" spans="1:6" ht="12.75">
      <c r="A25221" s="8">
        <v>43893.084733796291</v>
      </c>
      <c r="B25221" s="8" t="str">
        <f>HYPERLINK("https://twitter.com/gilangafz","@gilangafz")</f>
        <v>@gilangafz</v>
      </c>
      <c r="C25221" s="8" t="s">
        <v>9772</v>
      </c>
      <c r="D25221" s="8">
        <v>68</v>
      </c>
      <c r="E25221" s="8">
        <v>0</v>
      </c>
      <c r="F25221" s="8">
        <v>140</v>
      </c>
    </row>
    <row r="25222" spans="1:6" ht="12.75">
      <c r="A25222" s="8">
        <v>43893.084722222222</v>
      </c>
      <c r="B25222" s="8" t="str">
        <f>HYPERLINK("https://twitter.com/FcknCrayBastard","@FcknCrayBastard")</f>
        <v>@FcknCrayBastard</v>
      </c>
      <c r="C25222" s="8" t="s">
        <v>2199</v>
      </c>
      <c r="D25222" s="8">
        <v>8399</v>
      </c>
      <c r="E25222" s="8">
        <v>0</v>
      </c>
      <c r="F25222" s="8">
        <v>20</v>
      </c>
    </row>
    <row r="25223" spans="1:6" ht="12.75">
      <c r="A25223" s="8">
        <v>43893.084502314814</v>
      </c>
      <c r="B25223" s="8" t="str">
        <f>HYPERLINK("https://twitter.com/toranaga3000","@toranaga3000")</f>
        <v>@toranaga3000</v>
      </c>
      <c r="C25223" s="8" t="s">
        <v>1970</v>
      </c>
      <c r="D25223" s="8">
        <v>115</v>
      </c>
      <c r="E25223" s="8">
        <v>0</v>
      </c>
      <c r="F25223" s="8">
        <v>2423</v>
      </c>
    </row>
    <row r="25224" spans="1:6" ht="12.75">
      <c r="A25224" s="8">
        <v>43893.084444444445</v>
      </c>
      <c r="B25224" s="8" t="str">
        <f>HYPERLINK("https://twitter.com/salma_divta","@salma_divta")</f>
        <v>@salma_divta</v>
      </c>
      <c r="C25224" s="8" t="s">
        <v>9980</v>
      </c>
      <c r="D25224" s="8">
        <v>0</v>
      </c>
      <c r="E25224" s="8">
        <v>0</v>
      </c>
      <c r="F25224" s="8">
        <v>22</v>
      </c>
    </row>
    <row r="25225" spans="1:6" ht="12.75">
      <c r="A25225" s="8">
        <v>43893.084374999999</v>
      </c>
      <c r="B25225" s="8" t="str">
        <f>HYPERLINK("https://twitter.com/meilannws","@meilannws")</f>
        <v>@meilannws</v>
      </c>
      <c r="C25225" s="8" t="s">
        <v>9981</v>
      </c>
      <c r="D25225" s="8">
        <v>0</v>
      </c>
      <c r="E25225" s="8">
        <v>0</v>
      </c>
      <c r="F25225" s="8">
        <v>988</v>
      </c>
    </row>
    <row r="25226" spans="1:6" ht="12.75">
      <c r="A25226" s="8">
        <v>43893.08425925926</v>
      </c>
      <c r="B25226" s="8" t="str">
        <f>HYPERLINK("https://twitter.com/soepono42","@soepono42")</f>
        <v>@soepono42</v>
      </c>
      <c r="C25226" s="8" t="s">
        <v>1986</v>
      </c>
      <c r="D25226" s="8">
        <v>519</v>
      </c>
      <c r="E25226" s="8">
        <v>0</v>
      </c>
      <c r="F25226" s="8">
        <v>1279</v>
      </c>
    </row>
    <row r="25227" spans="1:6" ht="12.75">
      <c r="A25227" s="8">
        <v>43893.084120370375</v>
      </c>
      <c r="B25227" s="8" t="str">
        <f>HYPERLINK("https://twitter.com/aldoaldriando","@aldoaldriando")</f>
        <v>@aldoaldriando</v>
      </c>
      <c r="C25227" s="8" t="s">
        <v>9117</v>
      </c>
      <c r="D25227" s="8">
        <v>186</v>
      </c>
      <c r="E25227" s="8">
        <v>0</v>
      </c>
      <c r="F25227" s="8">
        <v>307</v>
      </c>
    </row>
    <row r="25228" spans="1:6" ht="12.75">
      <c r="A25228" s="8">
        <v>43893.083900462967</v>
      </c>
      <c r="B25228" s="8" t="str">
        <f>HYPERLINK("https://twitter.com/nuramadin","@nuramadin")</f>
        <v>@nuramadin</v>
      </c>
      <c r="C25228" s="8" t="s">
        <v>9117</v>
      </c>
      <c r="D25228" s="8">
        <v>186</v>
      </c>
      <c r="E25228" s="8">
        <v>0</v>
      </c>
      <c r="F25228" s="8">
        <v>682</v>
      </c>
    </row>
    <row r="25229" spans="1:6" ht="12.75">
      <c r="A25229" s="8">
        <v>43893.083668981482</v>
      </c>
      <c r="B25229" s="8" t="str">
        <f>HYPERLINK("https://twitter.com/GizmologiID","@GizmologiID")</f>
        <v>@GizmologiID</v>
      </c>
      <c r="C25229" s="8" t="s">
        <v>9982</v>
      </c>
      <c r="D25229" s="8">
        <v>0</v>
      </c>
      <c r="E25229" s="8">
        <v>0</v>
      </c>
      <c r="F25229" s="8">
        <v>757</v>
      </c>
    </row>
    <row r="25230" spans="1:6" ht="12.75">
      <c r="A25230" s="8">
        <v>43893.083587962959</v>
      </c>
      <c r="B25230" s="8" t="str">
        <f>HYPERLINK("https://twitter.com/zupatista","@zupatista")</f>
        <v>@zupatista</v>
      </c>
      <c r="C25230" s="8" t="s">
        <v>6832</v>
      </c>
      <c r="D25230" s="8">
        <v>854</v>
      </c>
      <c r="E25230" s="8">
        <v>0</v>
      </c>
      <c r="F25230" s="8">
        <v>79</v>
      </c>
    </row>
    <row r="25231" spans="1:6" ht="12.75">
      <c r="A25231" s="8">
        <v>43893.083333333328</v>
      </c>
      <c r="B25231" s="8" t="str">
        <f>HYPERLINK("https://twitter.com/FatiinS_L","@FatiinS_L")</f>
        <v>@FatiinS_L</v>
      </c>
      <c r="C25231" s="8" t="s">
        <v>9983</v>
      </c>
      <c r="D25231" s="8">
        <v>0</v>
      </c>
      <c r="E25231" s="8">
        <v>0</v>
      </c>
      <c r="F25231" s="8">
        <v>16423</v>
      </c>
    </row>
    <row r="25232" spans="1:6" ht="12.75">
      <c r="A25232" s="8">
        <v>43893.083275462966</v>
      </c>
      <c r="B25232" s="8" t="str">
        <f>HYPERLINK("https://twitter.com/veraoctaa","@veraoctaa")</f>
        <v>@veraoctaa</v>
      </c>
      <c r="C25232" s="8" t="s">
        <v>9295</v>
      </c>
      <c r="D25232" s="8">
        <v>138</v>
      </c>
      <c r="E25232" s="8">
        <v>0</v>
      </c>
      <c r="F25232" s="8">
        <v>1210</v>
      </c>
    </row>
    <row r="25233" spans="1:6" ht="12.75">
      <c r="A25233" s="8">
        <v>43893.08326388889</v>
      </c>
      <c r="B25233" s="8" t="str">
        <f>HYPERLINK("https://twitter.com/FannieAngelie","@FannieAngelie")</f>
        <v>@FannieAngelie</v>
      </c>
      <c r="C25233" s="8" t="s">
        <v>9892</v>
      </c>
      <c r="D25233" s="8">
        <v>528</v>
      </c>
      <c r="E25233" s="8">
        <v>0</v>
      </c>
      <c r="F25233" s="8">
        <v>402</v>
      </c>
    </row>
    <row r="25234" spans="1:6" ht="12.75">
      <c r="A25234" s="8">
        <v>43893.083148148144</v>
      </c>
      <c r="B25234" s="8" t="str">
        <f>HYPERLINK("https://twitter.com/aranjan2012","@aranjan2012")</f>
        <v>@aranjan2012</v>
      </c>
      <c r="C25234" s="8" t="s">
        <v>9984</v>
      </c>
      <c r="D25234" s="8">
        <v>0</v>
      </c>
      <c r="E25234" s="8">
        <v>0</v>
      </c>
      <c r="F25234" s="8">
        <v>45</v>
      </c>
    </row>
    <row r="25235" spans="1:6" ht="12.75">
      <c r="A25235" s="8">
        <v>43893.082604166666</v>
      </c>
      <c r="B25235" s="8" t="str">
        <f>HYPERLINK("https://twitter.com/FarelmaxL","@FarelmaxL")</f>
        <v>@FarelmaxL</v>
      </c>
      <c r="C25235" s="8" t="s">
        <v>8842</v>
      </c>
      <c r="D25235" s="8">
        <v>161</v>
      </c>
      <c r="E25235" s="8">
        <v>0</v>
      </c>
      <c r="F25235" s="8">
        <v>1414</v>
      </c>
    </row>
    <row r="25236" spans="1:6" ht="12.75">
      <c r="A25236" s="8">
        <v>43893.082511574074</v>
      </c>
      <c r="B25236" s="8" t="str">
        <f>HYPERLINK("https://twitter.com/zupatista","@zupatista")</f>
        <v>@zupatista</v>
      </c>
      <c r="C25236" s="8" t="s">
        <v>8322</v>
      </c>
      <c r="D25236" s="8">
        <v>602</v>
      </c>
      <c r="E25236" s="8">
        <v>0</v>
      </c>
      <c r="F25236" s="8">
        <v>79</v>
      </c>
    </row>
    <row r="25237" spans="1:6" ht="12.75">
      <c r="A25237" s="8">
        <v>43893.082442129627</v>
      </c>
      <c r="B25237" s="8" t="str">
        <f>HYPERLINK("https://twitter.com/KonsMed","@KonsMed")</f>
        <v>@KonsMed</v>
      </c>
      <c r="C25237" s="8" t="s">
        <v>9985</v>
      </c>
      <c r="D25237" s="8">
        <v>0</v>
      </c>
      <c r="E25237" s="8">
        <v>0</v>
      </c>
      <c r="F25237" s="8">
        <v>647</v>
      </c>
    </row>
    <row r="25238" spans="1:6" ht="12.75">
      <c r="A25238" s="8">
        <v>43893.082280092596</v>
      </c>
      <c r="B25238" s="8" t="str">
        <f>HYPERLINK("https://twitter.com/Azzam76690705","@Azzam76690705")</f>
        <v>@Azzam76690705</v>
      </c>
      <c r="C25238" s="8" t="s">
        <v>4477</v>
      </c>
      <c r="D25238" s="8">
        <v>866</v>
      </c>
      <c r="E25238" s="8">
        <v>0</v>
      </c>
      <c r="F25238" s="8">
        <v>31</v>
      </c>
    </row>
    <row r="25239" spans="1:6" ht="12.75">
      <c r="A25239" s="8">
        <v>43893.081956018519</v>
      </c>
      <c r="B25239" s="8" t="str">
        <f>HYPERLINK("https://twitter.com/bronchodong","@bronchodong")</f>
        <v>@bronchodong</v>
      </c>
      <c r="C25239" s="8" t="s">
        <v>9817</v>
      </c>
      <c r="D25239" s="8">
        <v>23</v>
      </c>
      <c r="E25239" s="8">
        <v>0</v>
      </c>
      <c r="F25239" s="8">
        <v>162</v>
      </c>
    </row>
    <row r="25240" spans="1:6" ht="12.75">
      <c r="A25240" s="8">
        <v>43893.081921296296</v>
      </c>
      <c r="B25240" s="8" t="str">
        <f>HYPERLINK("https://twitter.com/herifals89","@herifals89")</f>
        <v>@herifals89</v>
      </c>
      <c r="C25240" s="8" t="s">
        <v>2199</v>
      </c>
      <c r="D25240" s="8">
        <v>8399</v>
      </c>
      <c r="E25240" s="8">
        <v>0</v>
      </c>
      <c r="F25240" s="8">
        <v>11</v>
      </c>
    </row>
    <row r="25241" spans="1:6" ht="12.75">
      <c r="A25241" s="8">
        <v>43893.081921296296</v>
      </c>
      <c r="B25241" s="8" t="str">
        <f>HYPERLINK("https://twitter.com/toranaga3000","@toranaga3000")</f>
        <v>@toranaga3000</v>
      </c>
      <c r="C25241" s="8" t="s">
        <v>7661</v>
      </c>
      <c r="D25241" s="8">
        <v>355</v>
      </c>
      <c r="E25241" s="8">
        <v>0</v>
      </c>
      <c r="F25241" s="8">
        <v>2423</v>
      </c>
    </row>
    <row r="25242" spans="1:6" ht="12.75">
      <c r="A25242" s="8">
        <v>43893.081817129627</v>
      </c>
      <c r="B25242" s="8" t="str">
        <f>HYPERLINK("https://twitter.com/sorekelabu","@sorekelabu")</f>
        <v>@sorekelabu</v>
      </c>
      <c r="C25242" s="8" t="s">
        <v>9117</v>
      </c>
      <c r="D25242" s="8">
        <v>186</v>
      </c>
      <c r="E25242" s="8">
        <v>0</v>
      </c>
      <c r="F25242" s="8">
        <v>31</v>
      </c>
    </row>
    <row r="25243" spans="1:6" ht="12.75">
      <c r="A25243" s="8">
        <v>43893.081562499996</v>
      </c>
      <c r="B25243" s="8" t="str">
        <f>HYPERLINK("https://twitter.com/krenyeshh","@krenyeshh")</f>
        <v>@krenyeshh</v>
      </c>
      <c r="C25243" s="8" t="s">
        <v>4150</v>
      </c>
      <c r="D25243" s="8">
        <v>493</v>
      </c>
      <c r="E25243" s="8">
        <v>0</v>
      </c>
      <c r="F25243" s="8">
        <v>174</v>
      </c>
    </row>
    <row r="25244" spans="1:6" ht="12.75">
      <c r="A25244" s="8">
        <v>43893.081469907411</v>
      </c>
      <c r="B25244" s="8" t="str">
        <f>HYPERLINK("https://twitter.com/AlfredoDeBocori","@AlfredoDeBocori")</f>
        <v>@AlfredoDeBocori</v>
      </c>
      <c r="C25244" s="8" t="s">
        <v>4150</v>
      </c>
      <c r="D25244" s="8">
        <v>493</v>
      </c>
      <c r="E25244" s="8">
        <v>0</v>
      </c>
      <c r="F25244" s="8">
        <v>681</v>
      </c>
    </row>
    <row r="25245" spans="1:6" ht="12.75">
      <c r="A25245" s="8">
        <v>43893.081423611111</v>
      </c>
      <c r="B25245" s="8" t="str">
        <f>HYPERLINK("https://twitter.com/Kampay10","@Kampay10")</f>
        <v>@Kampay10</v>
      </c>
      <c r="C25245" s="8" t="s">
        <v>1970</v>
      </c>
      <c r="D25245" s="8">
        <v>115</v>
      </c>
      <c r="E25245" s="8">
        <v>0</v>
      </c>
      <c r="F25245" s="8">
        <v>1362</v>
      </c>
    </row>
    <row r="25246" spans="1:6" ht="12.75">
      <c r="A25246" s="8">
        <v>43893.081400462965</v>
      </c>
      <c r="B25246" s="8" t="str">
        <f>HYPERLINK("https://twitter.com/InspirasiBisni4","@InspirasiBisni4")</f>
        <v>@InspirasiBisni4</v>
      </c>
      <c r="C25246" s="8" t="s">
        <v>4477</v>
      </c>
      <c r="D25246" s="8">
        <v>866</v>
      </c>
      <c r="E25246" s="8">
        <v>0</v>
      </c>
      <c r="F25246" s="8">
        <v>1174</v>
      </c>
    </row>
    <row r="25247" spans="1:6" ht="12.75">
      <c r="A25247" s="8">
        <v>43893.081377314811</v>
      </c>
      <c r="B25247" s="8" t="str">
        <f>HYPERLINK("https://twitter.com/sukyuberry","@sukyuberry")</f>
        <v>@sukyuberry</v>
      </c>
      <c r="C25247" s="8" t="s">
        <v>2199</v>
      </c>
      <c r="D25247" s="8">
        <v>8399</v>
      </c>
      <c r="E25247" s="8">
        <v>0</v>
      </c>
      <c r="F25247" s="8">
        <v>1342</v>
      </c>
    </row>
    <row r="25248" spans="1:6" ht="12.75">
      <c r="A25248" s="8">
        <v>43893.081331018519</v>
      </c>
      <c r="B25248" s="8" t="str">
        <f>HYPERLINK("https://twitter.com/adyarto","@adyarto")</f>
        <v>@adyarto</v>
      </c>
      <c r="C25248" s="8" t="s">
        <v>9986</v>
      </c>
      <c r="D25248" s="8">
        <v>0</v>
      </c>
      <c r="E25248" s="8">
        <v>0</v>
      </c>
      <c r="F25248" s="8">
        <v>23</v>
      </c>
    </row>
    <row r="25249" spans="1:6" ht="12.75">
      <c r="A25249" s="8">
        <v>43893.081319444449</v>
      </c>
      <c r="B25249" s="8" t="str">
        <f>HYPERLINK("https://twitter.com/AbolichdZ","@AbolichdZ")</f>
        <v>@AbolichdZ</v>
      </c>
      <c r="C25249" s="8" t="s">
        <v>9038</v>
      </c>
      <c r="D25249" s="8">
        <v>50</v>
      </c>
      <c r="E25249" s="8">
        <v>0</v>
      </c>
      <c r="F25249" s="8">
        <v>840</v>
      </c>
    </row>
    <row r="25250" spans="1:6" ht="12.75">
      <c r="A25250" s="8">
        <v>43893.081296296295</v>
      </c>
      <c r="B25250" s="8" t="str">
        <f>HYPERLINK("https://twitter.com/RezaMrc786","@RezaMrc786")</f>
        <v>@RezaMrc786</v>
      </c>
      <c r="C25250" s="8" t="s">
        <v>9614</v>
      </c>
      <c r="D25250" s="8">
        <v>95</v>
      </c>
      <c r="E25250" s="8">
        <v>0</v>
      </c>
      <c r="F25250" s="8">
        <v>300</v>
      </c>
    </row>
    <row r="25251" spans="1:6" ht="12.75">
      <c r="A25251" s="8">
        <v>43893.081284722226</v>
      </c>
      <c r="B25251" s="8" t="str">
        <f>HYPERLINK("https://twitter.com/nafshx","@nafshx")</f>
        <v>@nafshx</v>
      </c>
      <c r="C25251" s="8" t="s">
        <v>9194</v>
      </c>
      <c r="D25251" s="8">
        <v>157</v>
      </c>
      <c r="E25251" s="8">
        <v>0</v>
      </c>
      <c r="F25251" s="8">
        <v>1261</v>
      </c>
    </row>
    <row r="25252" spans="1:6" ht="12.75">
      <c r="A25252" s="8">
        <v>43893.081053240741</v>
      </c>
      <c r="B25252" s="8" t="str">
        <f>HYPERLINK("https://twitter.com/fauzie__26","@fauzie__26")</f>
        <v>@fauzie__26</v>
      </c>
      <c r="C25252" s="8" t="s">
        <v>9117</v>
      </c>
      <c r="D25252" s="8">
        <v>186</v>
      </c>
      <c r="E25252" s="8">
        <v>0</v>
      </c>
      <c r="F25252" s="8">
        <v>26</v>
      </c>
    </row>
    <row r="25253" spans="1:6" ht="12.75">
      <c r="A25253" s="8">
        <v>43893.080636574072</v>
      </c>
      <c r="B25253" s="8" t="str">
        <f t="shared" ref="B25253:B25255" si="358">HYPERLINK("https://twitter.com/lilfreaksss","@lilfreaksss")</f>
        <v>@lilfreaksss</v>
      </c>
      <c r="C25253" s="8" t="s">
        <v>1749</v>
      </c>
      <c r="D25253" s="8">
        <v>345</v>
      </c>
      <c r="E25253" s="8">
        <v>0</v>
      </c>
      <c r="F25253" s="8">
        <v>2643</v>
      </c>
    </row>
    <row r="25254" spans="1:6" ht="12.75">
      <c r="A25254" s="8">
        <v>43893.080625000002</v>
      </c>
      <c r="B25254" s="8" t="str">
        <f t="shared" si="358"/>
        <v>@lilfreaksss</v>
      </c>
      <c r="C25254" s="8" t="s">
        <v>2995</v>
      </c>
      <c r="D25254" s="8">
        <v>202</v>
      </c>
      <c r="E25254" s="8">
        <v>0</v>
      </c>
      <c r="F25254" s="8">
        <v>2643</v>
      </c>
    </row>
    <row r="25255" spans="1:6" ht="12.75">
      <c r="A25255" s="8">
        <v>43893.08048611111</v>
      </c>
      <c r="B25255" s="8" t="str">
        <f t="shared" si="358"/>
        <v>@lilfreaksss</v>
      </c>
      <c r="C25255" s="8" t="s">
        <v>2199</v>
      </c>
      <c r="D25255" s="8">
        <v>8399</v>
      </c>
      <c r="E25255" s="8">
        <v>0</v>
      </c>
      <c r="F25255" s="8">
        <v>2643</v>
      </c>
    </row>
    <row r="25256" spans="1:6" ht="12.75">
      <c r="A25256" s="8">
        <v>43893.080405092594</v>
      </c>
      <c r="B25256" s="8" t="str">
        <f>HYPERLINK("https://twitter.com/10_Setiaji","@10_Setiaji")</f>
        <v>@10_Setiaji</v>
      </c>
      <c r="C25256" s="8" t="s">
        <v>1970</v>
      </c>
      <c r="D25256" s="8">
        <v>115</v>
      </c>
      <c r="E25256" s="8">
        <v>0</v>
      </c>
      <c r="F25256" s="8">
        <v>110</v>
      </c>
    </row>
    <row r="25257" spans="1:6" ht="12.75">
      <c r="A25257" s="8">
        <v>43893.080324074079</v>
      </c>
      <c r="B25257" s="8" t="str">
        <f>HYPERLINK("https://twitter.com/arvstyawn","@arvstyawn")</f>
        <v>@arvstyawn</v>
      </c>
      <c r="C25257" s="8" t="s">
        <v>2199</v>
      </c>
      <c r="D25257" s="8">
        <v>8399</v>
      </c>
      <c r="E25257" s="8">
        <v>0</v>
      </c>
      <c r="F25257" s="8">
        <v>208</v>
      </c>
    </row>
    <row r="25258" spans="1:6" ht="12.75">
      <c r="A25258" s="8">
        <v>43893.080231481479</v>
      </c>
      <c r="B25258" s="8" t="str">
        <f>HYPERLINK("https://twitter.com/komariahk563gm1","@komariahk563gm1")</f>
        <v>@komariahk563gm1</v>
      </c>
      <c r="C25258" s="8" t="s">
        <v>1970</v>
      </c>
      <c r="D25258" s="8">
        <v>115</v>
      </c>
      <c r="E25258" s="8">
        <v>0</v>
      </c>
      <c r="F25258" s="8">
        <v>406</v>
      </c>
    </row>
    <row r="25259" spans="1:6" ht="12.75">
      <c r="A25259" s="8">
        <v>43893.080208333333</v>
      </c>
      <c r="B25259" s="8" t="str">
        <f>HYPERLINK("https://twitter.com/novriyandii","@novriyandii")</f>
        <v>@novriyandii</v>
      </c>
      <c r="C25259" s="8" t="s">
        <v>2199</v>
      </c>
      <c r="D25259" s="8">
        <v>8399</v>
      </c>
      <c r="E25259" s="8">
        <v>0</v>
      </c>
      <c r="F25259" s="8">
        <v>52</v>
      </c>
    </row>
    <row r="25260" spans="1:6" ht="12.75">
      <c r="A25260" s="8">
        <v>43893.080081018517</v>
      </c>
      <c r="B25260" s="8" t="str">
        <f>HYPERLINK("https://twitter.com/blublekblublack","@blublekblublack")</f>
        <v>@blublekblublack</v>
      </c>
      <c r="C25260" s="8" t="s">
        <v>2962</v>
      </c>
      <c r="D25260" s="8">
        <v>4600</v>
      </c>
      <c r="E25260" s="8">
        <v>0</v>
      </c>
      <c r="F25260" s="8">
        <v>362</v>
      </c>
    </row>
    <row r="25261" spans="1:6" ht="12.75">
      <c r="A25261" s="8">
        <v>43893.080046296294</v>
      </c>
      <c r="B25261" s="8" t="str">
        <f>HYPERLINK("https://twitter.com/Zetyo_pambudi7","@Zetyo_pambudi7")</f>
        <v>@Zetyo_pambudi7</v>
      </c>
      <c r="C25261" s="8" t="s">
        <v>1970</v>
      </c>
      <c r="D25261" s="8">
        <v>115</v>
      </c>
      <c r="E25261" s="8">
        <v>0</v>
      </c>
      <c r="F25261" s="8">
        <v>656</v>
      </c>
    </row>
    <row r="25262" spans="1:6" ht="12.75">
      <c r="A25262" s="8">
        <v>43893.079918981486</v>
      </c>
      <c r="B25262" s="8" t="str">
        <f>HYPERLINK("https://twitter.com/zupatista","@zupatista")</f>
        <v>@zupatista</v>
      </c>
      <c r="C25262" s="8" t="s">
        <v>1970</v>
      </c>
      <c r="D25262" s="8">
        <v>115</v>
      </c>
      <c r="E25262" s="8">
        <v>0</v>
      </c>
      <c r="F25262" s="8">
        <v>79</v>
      </c>
    </row>
    <row r="25263" spans="1:6" ht="12.75">
      <c r="A25263" s="8">
        <v>43893.079861111109</v>
      </c>
      <c r="B25263" s="8" t="str">
        <f>HYPERLINK("https://twitter.com/Baja_karbon16","@Baja_karbon16")</f>
        <v>@Baja_karbon16</v>
      </c>
      <c r="C25263" s="8" t="s">
        <v>2199</v>
      </c>
      <c r="D25263" s="8">
        <v>8399</v>
      </c>
      <c r="E25263" s="8">
        <v>0</v>
      </c>
      <c r="F25263" s="8">
        <v>120</v>
      </c>
    </row>
    <row r="25264" spans="1:6" ht="12.75">
      <c r="A25264" s="8">
        <v>43893.079641203702</v>
      </c>
      <c r="B25264" s="8" t="str">
        <f>HYPERLINK("https://twitter.com/LaRose78992426","@LaRose78992426")</f>
        <v>@LaRose78992426</v>
      </c>
      <c r="C25264" s="8" t="s">
        <v>1986</v>
      </c>
      <c r="D25264" s="8">
        <v>519</v>
      </c>
      <c r="E25264" s="8">
        <v>0</v>
      </c>
      <c r="F25264" s="8">
        <v>273</v>
      </c>
    </row>
    <row r="25265" spans="1:6" ht="12.75">
      <c r="A25265" s="8">
        <v>43893.079513888893</v>
      </c>
      <c r="B25265" s="8" t="str">
        <f>HYPERLINK("https://twitter.com/JNastasic","@JNastasic")</f>
        <v>@JNastasic</v>
      </c>
      <c r="C25265" s="8" t="s">
        <v>2962</v>
      </c>
      <c r="D25265" s="8">
        <v>4600</v>
      </c>
      <c r="E25265" s="8">
        <v>0</v>
      </c>
      <c r="F25265" s="8">
        <v>1140</v>
      </c>
    </row>
    <row r="25266" spans="1:6" ht="12.75">
      <c r="A25266" s="8">
        <v>43893.079409722224</v>
      </c>
      <c r="B25266" s="8" t="str">
        <f>HYPERLINK("https://twitter.com/CecepDigul","@CecepDigul")</f>
        <v>@CecepDigul</v>
      </c>
      <c r="C25266" s="8" t="s">
        <v>2962</v>
      </c>
      <c r="D25266" s="8">
        <v>4600</v>
      </c>
      <c r="E25266" s="8">
        <v>0</v>
      </c>
      <c r="F25266" s="8">
        <v>347</v>
      </c>
    </row>
    <row r="25267" spans="1:6" ht="12.75">
      <c r="A25267" s="8">
        <v>43893.079282407409</v>
      </c>
      <c r="B25267" s="8" t="str">
        <f>HYPERLINK("https://twitter.com/yulizaafifaaaa","@yulizaafifaaaa")</f>
        <v>@yulizaafifaaaa</v>
      </c>
      <c r="C25267" s="8" t="s">
        <v>9117</v>
      </c>
      <c r="D25267" s="8">
        <v>186</v>
      </c>
      <c r="E25267" s="8">
        <v>0</v>
      </c>
      <c r="F25267" s="8">
        <v>48</v>
      </c>
    </row>
    <row r="25268" spans="1:6" ht="12.75">
      <c r="A25268" s="8">
        <v>43893.079097222224</v>
      </c>
      <c r="B25268" s="8" t="str">
        <f>HYPERLINK("https://twitter.com/Alzib1885","@Alzib1885")</f>
        <v>@Alzib1885</v>
      </c>
      <c r="C25268" s="8" t="s">
        <v>9987</v>
      </c>
      <c r="D25268" s="8">
        <v>10</v>
      </c>
      <c r="E25268" s="8">
        <v>0</v>
      </c>
      <c r="F25268" s="8">
        <v>302</v>
      </c>
    </row>
    <row r="25269" spans="1:6" ht="12.75">
      <c r="A25269" s="8">
        <v>43893.079050925924</v>
      </c>
      <c r="B25269" s="8" t="str">
        <f>HYPERLINK("https://twitter.com/SimpleWish2","@SimpleWish2")</f>
        <v>@SimpleWish2</v>
      </c>
      <c r="C25269" s="8" t="s">
        <v>1427</v>
      </c>
      <c r="D25269" s="8">
        <v>553</v>
      </c>
      <c r="E25269" s="8">
        <v>0</v>
      </c>
      <c r="F25269" s="8">
        <v>195</v>
      </c>
    </row>
    <row r="25270" spans="1:6" ht="12.75">
      <c r="A25270" s="8">
        <v>43893.078981481478</v>
      </c>
      <c r="B25270" s="8" t="str">
        <f>HYPERLINK("https://twitter.com/shampoaku","@shampoaku")</f>
        <v>@shampoaku</v>
      </c>
      <c r="C25270" s="8" t="s">
        <v>1427</v>
      </c>
      <c r="D25270" s="8">
        <v>553</v>
      </c>
      <c r="E25270" s="8">
        <v>0</v>
      </c>
      <c r="F25270" s="8">
        <v>51</v>
      </c>
    </row>
    <row r="25271" spans="1:6" ht="12.75">
      <c r="A25271" s="8">
        <v>43893.078842592593</v>
      </c>
      <c r="B25271" s="8" t="str">
        <f>HYPERLINK("https://twitter.com/voaindonesia","@voaindonesia")</f>
        <v>@voaindonesia</v>
      </c>
      <c r="C25271" s="8" t="s">
        <v>9988</v>
      </c>
      <c r="D25271" s="8">
        <v>1</v>
      </c>
      <c r="E25271" s="8">
        <v>0</v>
      </c>
      <c r="F25271" s="8">
        <v>307888</v>
      </c>
    </row>
    <row r="25272" spans="1:6" ht="12.75">
      <c r="A25272" s="8">
        <v>43893.078831018516</v>
      </c>
      <c r="B25272" s="8" t="str">
        <f>HYPERLINK("https://twitter.com/sigitwcs","@sigitwcs")</f>
        <v>@sigitwcs</v>
      </c>
      <c r="C25272" s="8" t="s">
        <v>9910</v>
      </c>
      <c r="D25272" s="8">
        <v>530</v>
      </c>
      <c r="E25272" s="8">
        <v>0</v>
      </c>
      <c r="F25272" s="8">
        <v>142</v>
      </c>
    </row>
    <row r="25273" spans="1:6" ht="12.75">
      <c r="A25273" s="8">
        <v>43893.078634259262</v>
      </c>
      <c r="B25273" s="8" t="str">
        <f>HYPERLINK("https://twitter.com/bang_qfly","@bang_qfly")</f>
        <v>@bang_qfly</v>
      </c>
      <c r="C25273" s="8" t="s">
        <v>6832</v>
      </c>
      <c r="D25273" s="8">
        <v>854</v>
      </c>
      <c r="E25273" s="8">
        <v>0</v>
      </c>
      <c r="F25273" s="8">
        <v>439</v>
      </c>
    </row>
    <row r="25274" spans="1:6" ht="12.75">
      <c r="A25274" s="8">
        <v>43893.078599537039</v>
      </c>
      <c r="B25274" s="8" t="str">
        <f>HYPERLINK("https://twitter.com/Maulanasarief","@Maulanasarief")</f>
        <v>@Maulanasarief</v>
      </c>
      <c r="C25274" s="8" t="s">
        <v>9989</v>
      </c>
      <c r="D25274" s="8">
        <v>0</v>
      </c>
      <c r="E25274" s="8">
        <v>0</v>
      </c>
      <c r="F25274" s="8">
        <v>230</v>
      </c>
    </row>
    <row r="25275" spans="1:6" ht="12.75">
      <c r="A25275" s="8">
        <v>43893.078518518523</v>
      </c>
      <c r="B25275" s="8" t="str">
        <f>HYPERLINK("https://twitter.com/kucingJepang","@kucingJepang")</f>
        <v>@kucingJepang</v>
      </c>
      <c r="C25275" s="8" t="s">
        <v>9968</v>
      </c>
      <c r="D25275" s="8">
        <v>2</v>
      </c>
      <c r="E25275" s="8">
        <v>0</v>
      </c>
      <c r="F25275" s="8">
        <v>126</v>
      </c>
    </row>
    <row r="25276" spans="1:6" ht="12.75">
      <c r="A25276" s="8">
        <v>43893.078321759254</v>
      </c>
      <c r="B25276" s="8" t="str">
        <f>HYPERLINK("https://twitter.com/rdestarisa","@rdestarisa")</f>
        <v>@rdestarisa</v>
      </c>
      <c r="C25276" s="8" t="s">
        <v>9117</v>
      </c>
      <c r="D25276" s="8">
        <v>186</v>
      </c>
      <c r="E25276" s="8">
        <v>0</v>
      </c>
      <c r="F25276" s="8">
        <v>453</v>
      </c>
    </row>
    <row r="25277" spans="1:6" ht="12.75">
      <c r="A25277" s="8">
        <v>43893.078159722223</v>
      </c>
      <c r="B25277" s="8" t="str">
        <f>HYPERLINK("https://twitter.com/imansalahin_put","@imansalahin_put")</f>
        <v>@imansalahin_put</v>
      </c>
      <c r="C25277" s="8" t="s">
        <v>6832</v>
      </c>
      <c r="D25277" s="8">
        <v>854</v>
      </c>
      <c r="E25277" s="8">
        <v>0</v>
      </c>
      <c r="F25277" s="8">
        <v>879</v>
      </c>
    </row>
    <row r="25278" spans="1:6" ht="12.75">
      <c r="A25278" s="8">
        <v>43893.078020833331</v>
      </c>
      <c r="B25278" s="8" t="str">
        <f>HYPERLINK("https://twitter.com/minioens","@minioens")</f>
        <v>@minioens</v>
      </c>
      <c r="C25278" s="8" t="s">
        <v>2199</v>
      </c>
      <c r="D25278" s="8">
        <v>8399</v>
      </c>
      <c r="E25278" s="8">
        <v>0</v>
      </c>
      <c r="F25278" s="8">
        <v>1227</v>
      </c>
    </row>
    <row r="25279" spans="1:6" ht="12.75">
      <c r="A25279" s="8">
        <v>43893.077962962961</v>
      </c>
      <c r="B25279" s="8" t="str">
        <f>HYPERLINK("https://twitter.com/menghela","@menghela")</f>
        <v>@menghela</v>
      </c>
      <c r="C25279" s="8" t="s">
        <v>1427</v>
      </c>
      <c r="D25279" s="8">
        <v>553</v>
      </c>
      <c r="E25279" s="8">
        <v>0</v>
      </c>
      <c r="F25279" s="8">
        <v>590</v>
      </c>
    </row>
    <row r="25280" spans="1:6" ht="12.75">
      <c r="A25280" s="8">
        <v>43893.048495370371</v>
      </c>
      <c r="B25280" s="8" t="str">
        <f>HYPERLINK("https://twitter.com/Muladi13698518","@Muladi13698518")</f>
        <v>@Muladi13698518</v>
      </c>
      <c r="C25280" s="8" t="s">
        <v>1970</v>
      </c>
      <c r="D25280" s="8">
        <v>74</v>
      </c>
      <c r="E25280" s="8">
        <v>0</v>
      </c>
      <c r="F25280" s="8">
        <v>180</v>
      </c>
    </row>
    <row r="25281" spans="1:6" ht="12.75">
      <c r="A25281" s="8">
        <v>43893.048275462963</v>
      </c>
      <c r="B25281" s="8" t="str">
        <f>HYPERLINK("https://twitter.com/arwlvien","@arwlvien")</f>
        <v>@arwlvien</v>
      </c>
      <c r="C25281" s="8" t="s">
        <v>9117</v>
      </c>
      <c r="D25281" s="8">
        <v>156</v>
      </c>
      <c r="E25281" s="8">
        <v>0</v>
      </c>
      <c r="F25281" s="8">
        <v>74</v>
      </c>
    </row>
    <row r="25282" spans="1:6" ht="12.75">
      <c r="A25282" s="8">
        <v>43893.04822916667</v>
      </c>
      <c r="B25282" s="8" t="str">
        <f>HYPERLINK("https://twitter.com/PancaNM","@PancaNM")</f>
        <v>@PancaNM</v>
      </c>
      <c r="C25282" s="8" t="s">
        <v>9176</v>
      </c>
      <c r="D25282" s="8">
        <v>1251</v>
      </c>
      <c r="E25282" s="8">
        <v>0</v>
      </c>
      <c r="F25282" s="8">
        <v>1147</v>
      </c>
    </row>
    <row r="25283" spans="1:6" ht="12.75">
      <c r="A25283" s="8">
        <v>43893.048217592594</v>
      </c>
      <c r="B25283" s="8" t="str">
        <f>HYPERLINK("https://twitter.com/Muslim_AntiPKI","@Muslim_AntiPKI")</f>
        <v>@Muslim_AntiPKI</v>
      </c>
      <c r="C25283" s="8" t="s">
        <v>4477</v>
      </c>
      <c r="D25283" s="8">
        <v>845</v>
      </c>
      <c r="E25283" s="8">
        <v>0</v>
      </c>
      <c r="F25283" s="8">
        <v>117</v>
      </c>
    </row>
    <row r="25284" spans="1:6" ht="12.75">
      <c r="A25284" s="8">
        <v>43893.048194444447</v>
      </c>
      <c r="B25284" s="8" t="str">
        <f>HYPERLINK("https://twitter.com/KBRILondon","@KBRILondon")</f>
        <v>@KBRILondon</v>
      </c>
      <c r="C25284" s="8" t="s">
        <v>9990</v>
      </c>
      <c r="D25284" s="8">
        <v>0</v>
      </c>
      <c r="E25284" s="8">
        <v>0</v>
      </c>
      <c r="F25284" s="8">
        <v>11281</v>
      </c>
    </row>
    <row r="25285" spans="1:6" ht="12.75">
      <c r="A25285" s="8">
        <v>43893.048136574071</v>
      </c>
      <c r="B25285" s="8" t="str">
        <f>HYPERLINK("https://twitter.com/willyrchardo","@willyrchardo")</f>
        <v>@willyrchardo</v>
      </c>
      <c r="C25285" s="8" t="s">
        <v>2962</v>
      </c>
      <c r="D25285" s="8">
        <v>4553</v>
      </c>
      <c r="E25285" s="8">
        <v>0</v>
      </c>
      <c r="F25285" s="8">
        <v>93</v>
      </c>
    </row>
    <row r="25286" spans="1:6" ht="12.75">
      <c r="A25286" s="8">
        <v>43893.047627314816</v>
      </c>
      <c r="B25286" s="8" t="str">
        <f>HYPERLINK("https://twitter.com/vsonnyricardo1","@vsonnyricardo1")</f>
        <v>@vsonnyricardo1</v>
      </c>
      <c r="C25286" s="8" t="s">
        <v>9991</v>
      </c>
      <c r="D25286" s="8">
        <v>0</v>
      </c>
      <c r="E25286" s="8">
        <v>0</v>
      </c>
      <c r="F25286" s="8">
        <v>1</v>
      </c>
    </row>
    <row r="25287" spans="1:6" ht="12.75">
      <c r="A25287" s="8">
        <v>43893.047500000001</v>
      </c>
      <c r="B25287" s="8" t="str">
        <f>HYPERLINK("https://twitter.com/elan_gusma","@elan_gusma")</f>
        <v>@elan_gusma</v>
      </c>
      <c r="C25287" s="8" t="s">
        <v>9915</v>
      </c>
      <c r="D25287" s="8">
        <v>64</v>
      </c>
      <c r="E25287" s="8">
        <v>0</v>
      </c>
      <c r="F25287" s="8">
        <v>3721</v>
      </c>
    </row>
    <row r="25288" spans="1:6" ht="12.75">
      <c r="A25288" s="8">
        <v>43893.047500000001</v>
      </c>
      <c r="B25288" s="8" t="str">
        <f>HYPERLINK("https://twitter.com/AbahDori","@AbahDori")</f>
        <v>@AbahDori</v>
      </c>
      <c r="C25288" s="8" t="s">
        <v>5732</v>
      </c>
      <c r="D25288" s="8">
        <v>2063</v>
      </c>
      <c r="E25288" s="8">
        <v>0</v>
      </c>
      <c r="F25288" s="8">
        <v>1230</v>
      </c>
    </row>
    <row r="25289" spans="1:6" ht="12.75">
      <c r="A25289" s="8">
        <v>43893.047488425931</v>
      </c>
      <c r="B25289" s="8" t="str">
        <f>HYPERLINK("https://twitter.com/byunjongins","@byunjongins")</f>
        <v>@byunjongins</v>
      </c>
      <c r="C25289" s="8" t="s">
        <v>2199</v>
      </c>
      <c r="D25289" s="8">
        <v>8350</v>
      </c>
      <c r="E25289" s="8">
        <v>0</v>
      </c>
      <c r="F25289" s="8">
        <v>915</v>
      </c>
    </row>
    <row r="25290" spans="1:6" ht="12.75">
      <c r="A25290" s="8">
        <v>43893.047442129631</v>
      </c>
      <c r="B25290" s="8" t="str">
        <f>HYPERLINK("https://twitter.com/nxghtmvrx","@nxghtmvrx")</f>
        <v>@nxghtmvrx</v>
      </c>
      <c r="C25290" s="8" t="s">
        <v>2199</v>
      </c>
      <c r="D25290" s="8">
        <v>8350</v>
      </c>
      <c r="E25290" s="8">
        <v>0</v>
      </c>
      <c r="F25290" s="8">
        <v>451</v>
      </c>
    </row>
    <row r="25291" spans="1:6" ht="12.75">
      <c r="A25291" s="8">
        <v>43893.047372685185</v>
      </c>
      <c r="B25291" s="8" t="str">
        <f>HYPERLINK("https://twitter.com/w3b3_r3b0rn","@w3b3_r3b0rn")</f>
        <v>@w3b3_r3b0rn</v>
      </c>
      <c r="C25291" s="8" t="s">
        <v>9779</v>
      </c>
      <c r="D25291" s="8">
        <v>32</v>
      </c>
      <c r="E25291" s="8">
        <v>0</v>
      </c>
      <c r="F25291" s="8">
        <v>3876</v>
      </c>
    </row>
    <row r="25292" spans="1:6" ht="12.75">
      <c r="A25292" s="8">
        <v>43893.047291666662</v>
      </c>
      <c r="B25292" s="8" t="str">
        <f>HYPERLINK("https://twitter.com/sweetchaos666","@sweetchaos666")</f>
        <v>@sweetchaos666</v>
      </c>
      <c r="C25292" s="8" t="s">
        <v>9117</v>
      </c>
      <c r="D25292" s="8">
        <v>156</v>
      </c>
      <c r="E25292" s="8">
        <v>0</v>
      </c>
      <c r="F25292" s="8">
        <v>52</v>
      </c>
    </row>
    <row r="25293" spans="1:6" ht="12.75">
      <c r="A25293" s="8">
        <v>43893.047256944439</v>
      </c>
      <c r="B25293" s="8" t="str">
        <f>HYPERLINK("https://twitter.com/dajjal_insaf","@dajjal_insaf")</f>
        <v>@dajjal_insaf</v>
      </c>
      <c r="C25293" s="8" t="s">
        <v>9992</v>
      </c>
      <c r="D25293" s="8">
        <v>0</v>
      </c>
      <c r="E25293" s="8">
        <v>0</v>
      </c>
      <c r="F25293" s="8">
        <v>10568</v>
      </c>
    </row>
    <row r="25294" spans="1:6" ht="12.75">
      <c r="A25294" s="8">
        <v>43893.047199074077</v>
      </c>
      <c r="B25294" s="8" t="str">
        <f>HYPERLINK("https://twitter.com/Jual_MSI_herbal","@Jual_MSI_herbal")</f>
        <v>@Jual_MSI_herbal</v>
      </c>
      <c r="C25294" s="8" t="s">
        <v>1427</v>
      </c>
      <c r="D25294" s="8">
        <v>537</v>
      </c>
      <c r="E25294" s="8">
        <v>0</v>
      </c>
      <c r="F25294" s="8">
        <v>34</v>
      </c>
    </row>
    <row r="25295" spans="1:6" ht="12.75">
      <c r="A25295" s="8">
        <v>43893.047175925924</v>
      </c>
      <c r="B25295" s="8" t="str">
        <f>HYPERLINK("https://twitter.com/TribowoTanoe","@TribowoTanoe")</f>
        <v>@TribowoTanoe</v>
      </c>
      <c r="C25295" s="8" t="s">
        <v>9993</v>
      </c>
      <c r="D25295" s="8">
        <v>0</v>
      </c>
      <c r="E25295" s="8">
        <v>0</v>
      </c>
      <c r="F25295" s="8">
        <v>65</v>
      </c>
    </row>
    <row r="25296" spans="1:6" ht="12.75">
      <c r="A25296" s="8">
        <v>43893.046793981484</v>
      </c>
      <c r="B25296" s="8" t="str">
        <f>HYPERLINK("https://twitter.com/tukangjanji","@tukangjanji")</f>
        <v>@tukangjanji</v>
      </c>
      <c r="C25296" s="8" t="s">
        <v>5732</v>
      </c>
      <c r="D25296" s="8">
        <v>2063</v>
      </c>
      <c r="E25296" s="8">
        <v>0</v>
      </c>
      <c r="F25296" s="8">
        <v>205</v>
      </c>
    </row>
    <row r="25297" spans="1:6" ht="12.75">
      <c r="A25297" s="8">
        <v>43893.046793981484</v>
      </c>
      <c r="B25297" s="8" t="str">
        <f>HYPERLINK("https://twitter.com/elang766","@elang766")</f>
        <v>@elang766</v>
      </c>
      <c r="C25297" s="8" t="s">
        <v>7661</v>
      </c>
      <c r="D25297" s="8">
        <v>346</v>
      </c>
      <c r="E25297" s="8">
        <v>0</v>
      </c>
      <c r="F25297" s="8">
        <v>960</v>
      </c>
    </row>
    <row r="25298" spans="1:6" ht="12.75">
      <c r="A25298" s="8">
        <v>43893.046759259261</v>
      </c>
      <c r="B25298" s="8" t="str">
        <f>HYPERLINK("https://twitter.com/danimarwansyah","@danimarwansyah")</f>
        <v>@danimarwansyah</v>
      </c>
      <c r="C25298" s="8" t="s">
        <v>1427</v>
      </c>
      <c r="D25298" s="8">
        <v>537</v>
      </c>
      <c r="E25298" s="8">
        <v>0</v>
      </c>
      <c r="F25298" s="8">
        <v>16</v>
      </c>
    </row>
    <row r="25299" spans="1:6" ht="12.75">
      <c r="A25299" s="8">
        <v>43893.046747685185</v>
      </c>
      <c r="B25299" s="8" t="str">
        <f>HYPERLINK("https://twitter.com/IndonesiaR4Y4","@IndonesiaR4Y4")</f>
        <v>@IndonesiaR4Y4</v>
      </c>
      <c r="C25299" s="8" t="s">
        <v>9892</v>
      </c>
      <c r="D25299" s="8">
        <v>526</v>
      </c>
      <c r="E25299" s="8">
        <v>0</v>
      </c>
      <c r="F25299" s="8">
        <v>1931</v>
      </c>
    </row>
    <row r="25300" spans="1:6" ht="12.75">
      <c r="A25300" s="8">
        <v>43893.046724537038</v>
      </c>
      <c r="B25300" s="8" t="str">
        <f>HYPERLINK("https://twitter.com/yuhuuu03","@yuhuuu03")</f>
        <v>@yuhuuu03</v>
      </c>
      <c r="C25300" s="8" t="s">
        <v>1427</v>
      </c>
      <c r="D25300" s="8">
        <v>537</v>
      </c>
      <c r="E25300" s="8">
        <v>0</v>
      </c>
      <c r="F25300" s="8">
        <v>254</v>
      </c>
    </row>
    <row r="25301" spans="1:6" ht="12.75">
      <c r="A25301" s="8">
        <v>43893.046585648146</v>
      </c>
      <c r="B25301" s="8" t="str">
        <f>HYPERLINK("https://twitter.com/andreaslanes8","@andreaslanes8")</f>
        <v>@andreaslanes8</v>
      </c>
      <c r="C25301" s="8" t="s">
        <v>9628</v>
      </c>
      <c r="D25301" s="8">
        <v>252</v>
      </c>
      <c r="E25301" s="8">
        <v>0</v>
      </c>
      <c r="F25301" s="8">
        <v>39</v>
      </c>
    </row>
    <row r="25302" spans="1:6" ht="12.75">
      <c r="A25302" s="8">
        <v>43893.046458333338</v>
      </c>
      <c r="B25302" s="8" t="str">
        <f>HYPERLINK("https://twitter.com/neeeppppp","@neeeppppp")</f>
        <v>@neeeppppp</v>
      </c>
      <c r="C25302" s="8" t="s">
        <v>9994</v>
      </c>
      <c r="D25302" s="8">
        <v>0</v>
      </c>
      <c r="E25302" s="8">
        <v>0</v>
      </c>
      <c r="F25302" s="8">
        <v>55</v>
      </c>
    </row>
    <row r="25303" spans="1:6" ht="12.75">
      <c r="A25303" s="8">
        <v>43893.046435185184</v>
      </c>
      <c r="B25303" s="8" t="str">
        <f>HYPERLINK("https://twitter.com/anandyo_","@anandyo_")</f>
        <v>@anandyo_</v>
      </c>
      <c r="C25303" s="8" t="s">
        <v>2199</v>
      </c>
      <c r="D25303" s="8">
        <v>8350</v>
      </c>
      <c r="E25303" s="8">
        <v>0</v>
      </c>
      <c r="F25303" s="8">
        <v>283</v>
      </c>
    </row>
    <row r="25304" spans="1:6" ht="12.75">
      <c r="A25304" s="8">
        <v>43893.046365740738</v>
      </c>
      <c r="B25304" s="8" t="str">
        <f>HYPERLINK("https://twitter.com/becak125cc","@becak125cc")</f>
        <v>@becak125cc</v>
      </c>
      <c r="C25304" s="8" t="s">
        <v>1986</v>
      </c>
      <c r="D25304" s="8">
        <v>509</v>
      </c>
      <c r="E25304" s="8">
        <v>0</v>
      </c>
      <c r="F25304" s="8">
        <v>544</v>
      </c>
    </row>
    <row r="25305" spans="1:6" ht="12.75">
      <c r="A25305" s="8">
        <v>43893.046319444446</v>
      </c>
      <c r="B25305" s="8" t="str">
        <f>HYPERLINK("https://twitter.com/Syafriz60289460","@Syafriz60289460")</f>
        <v>@Syafriz60289460</v>
      </c>
      <c r="C25305" s="8" t="s">
        <v>1970</v>
      </c>
      <c r="D25305" s="8">
        <v>74</v>
      </c>
      <c r="E25305" s="8">
        <v>0</v>
      </c>
      <c r="F25305" s="8">
        <v>1771</v>
      </c>
    </row>
    <row r="25306" spans="1:6" ht="12.75">
      <c r="A25306" s="8">
        <v>43893.046273148153</v>
      </c>
      <c r="B25306" s="8" t="str">
        <f>HYPERLINK("https://twitter.com/m_ant55","@m_ant55")</f>
        <v>@m_ant55</v>
      </c>
      <c r="C25306" s="8" t="s">
        <v>4477</v>
      </c>
      <c r="D25306" s="8">
        <v>845</v>
      </c>
      <c r="E25306" s="8">
        <v>0</v>
      </c>
      <c r="F25306" s="8">
        <v>663</v>
      </c>
    </row>
    <row r="25307" spans="1:6" ht="12.75">
      <c r="A25307" s="8">
        <v>43893.046215277776</v>
      </c>
      <c r="B25307" s="8" t="str">
        <f>HYPERLINK("https://twitter.com/Bagusgarnak","@Bagusgarnak")</f>
        <v>@Bagusgarnak</v>
      </c>
      <c r="C25307" s="8" t="s">
        <v>2995</v>
      </c>
      <c r="D25307" s="8">
        <v>200</v>
      </c>
      <c r="E25307" s="8">
        <v>0</v>
      </c>
      <c r="F25307" s="8">
        <v>1006</v>
      </c>
    </row>
    <row r="25308" spans="1:6" ht="12.75">
      <c r="A25308" s="8">
        <v>43893.04619212963</v>
      </c>
      <c r="B25308" s="8" t="str">
        <f>HYPERLINK("https://twitter.com/elang766","@elang766")</f>
        <v>@elang766</v>
      </c>
      <c r="C25308" s="8" t="s">
        <v>9614</v>
      </c>
      <c r="D25308" s="8">
        <v>87</v>
      </c>
      <c r="E25308" s="8">
        <v>0</v>
      </c>
      <c r="F25308" s="8">
        <v>960</v>
      </c>
    </row>
    <row r="25309" spans="1:6" ht="12.75">
      <c r="A25309" s="8">
        <v>43893.04614583333</v>
      </c>
      <c r="B25309" s="8" t="str">
        <f>HYPERLINK("https://twitter.com/rosaphire","@rosaphire")</f>
        <v>@rosaphire</v>
      </c>
      <c r="C25309" s="8" t="s">
        <v>2962</v>
      </c>
      <c r="D25309" s="8">
        <v>4553</v>
      </c>
      <c r="E25309" s="8">
        <v>0</v>
      </c>
      <c r="F25309" s="8">
        <v>237</v>
      </c>
    </row>
    <row r="25310" spans="1:6" ht="12.75">
      <c r="A25310" s="8">
        <v>43893.046018518522</v>
      </c>
      <c r="B25310" s="8" t="str">
        <f>HYPERLINK("https://twitter.com/taufannurcahyo","@taufannurcahyo")</f>
        <v>@taufannurcahyo</v>
      </c>
      <c r="C25310" s="8" t="s">
        <v>1970</v>
      </c>
      <c r="D25310" s="8">
        <v>74</v>
      </c>
      <c r="E25310" s="8">
        <v>0</v>
      </c>
      <c r="F25310" s="8">
        <v>365</v>
      </c>
    </row>
    <row r="25311" spans="1:6" ht="12.75">
      <c r="A25311" s="8">
        <v>43893.045636574076</v>
      </c>
      <c r="B25311" s="8" t="str">
        <f>HYPERLINK("https://twitter.com/Qolybri_8216","@Qolybri_8216")</f>
        <v>@Qolybri_8216</v>
      </c>
      <c r="C25311" s="8" t="s">
        <v>9614</v>
      </c>
      <c r="D25311" s="8">
        <v>87</v>
      </c>
      <c r="E25311" s="8">
        <v>0</v>
      </c>
      <c r="F25311" s="8">
        <v>2080</v>
      </c>
    </row>
    <row r="25312" spans="1:6" ht="12.75">
      <c r="A25312" s="8">
        <v>43893.045474537037</v>
      </c>
      <c r="B25312" s="8" t="str">
        <f>HYPERLINK("https://twitter.com/dpcpdipkotas1","@dpcpdipkotas1")</f>
        <v>@dpcpdipkotas1</v>
      </c>
      <c r="C25312" s="8" t="s">
        <v>8306</v>
      </c>
      <c r="D25312" s="8">
        <v>2</v>
      </c>
      <c r="E25312" s="8">
        <v>0</v>
      </c>
      <c r="F25312" s="8">
        <v>2</v>
      </c>
    </row>
    <row r="25313" spans="1:6" ht="12.75">
      <c r="A25313" s="8">
        <v>43893.045462962968</v>
      </c>
      <c r="B25313" s="8" t="str">
        <f>HYPERLINK("https://twitter.com/RyanMauladani","@RyanMauladani")</f>
        <v>@RyanMauladani</v>
      </c>
      <c r="C25313" s="8" t="s">
        <v>1970</v>
      </c>
      <c r="D25313" s="8">
        <v>74</v>
      </c>
      <c r="E25313" s="8">
        <v>0</v>
      </c>
      <c r="F25313" s="8">
        <v>307</v>
      </c>
    </row>
    <row r="25314" spans="1:6" ht="12.75">
      <c r="A25314" s="8">
        <v>43893.045439814814</v>
      </c>
      <c r="B25314" s="8" t="str">
        <f>HYPERLINK("https://twitter.com/yudhistiira","@yudhistiira")</f>
        <v>@yudhistiira</v>
      </c>
      <c r="C25314" s="8" t="s">
        <v>9117</v>
      </c>
      <c r="D25314" s="8">
        <v>156</v>
      </c>
      <c r="E25314" s="8">
        <v>0</v>
      </c>
      <c r="F25314" s="8">
        <v>542</v>
      </c>
    </row>
    <row r="25315" spans="1:6" ht="12.75">
      <c r="A25315" s="8">
        <v>43893.045011574075</v>
      </c>
      <c r="B25315" s="8" t="str">
        <f>HYPERLINK("https://twitter.com/arnldtanjung","@arnldtanjung")</f>
        <v>@arnldtanjung</v>
      </c>
      <c r="C25315" s="8" t="s">
        <v>8842</v>
      </c>
      <c r="D25315" s="8">
        <v>158</v>
      </c>
      <c r="E25315" s="8">
        <v>0</v>
      </c>
      <c r="F25315" s="8">
        <v>53</v>
      </c>
    </row>
    <row r="25316" spans="1:6" ht="12.75">
      <c r="A25316" s="8">
        <v>43893.044976851852</v>
      </c>
      <c r="B25316" s="8" t="str">
        <f>HYPERLINK("https://twitter.com/joshua_nugroho","@joshua_nugroho")</f>
        <v>@joshua_nugroho</v>
      </c>
      <c r="C25316" s="8" t="s">
        <v>1145</v>
      </c>
      <c r="D25316" s="8">
        <v>452</v>
      </c>
      <c r="E25316" s="8">
        <v>0</v>
      </c>
      <c r="F25316" s="8">
        <v>60</v>
      </c>
    </row>
    <row r="25317" spans="1:6" ht="12.75">
      <c r="A25317" s="8">
        <v>43893.044965277775</v>
      </c>
      <c r="B25317" s="8" t="str">
        <f>HYPERLINK("https://twitter.com/rocketrever","@rocketrever")</f>
        <v>@rocketrever</v>
      </c>
      <c r="C25317" s="8" t="s">
        <v>9995</v>
      </c>
      <c r="D25317" s="8">
        <v>1</v>
      </c>
      <c r="E25317" s="8">
        <v>0</v>
      </c>
      <c r="F25317" s="8">
        <v>8</v>
      </c>
    </row>
    <row r="25318" spans="1:6" ht="12.75">
      <c r="A25318" s="8">
        <v>43893.044849537036</v>
      </c>
      <c r="B25318" s="8" t="str">
        <f>HYPERLINK("https://twitter.com/Epi22607359","@Epi22607359")</f>
        <v>@Epi22607359</v>
      </c>
      <c r="C25318" s="8" t="s">
        <v>1970</v>
      </c>
      <c r="D25318" s="8">
        <v>74</v>
      </c>
      <c r="E25318" s="8">
        <v>0</v>
      </c>
      <c r="F25318" s="8">
        <v>6</v>
      </c>
    </row>
    <row r="25319" spans="1:6" ht="12.75">
      <c r="A25319" s="8">
        <v>43893.044768518521</v>
      </c>
      <c r="B25319" s="8" t="str">
        <f>HYPERLINK("https://twitter.com/ftrns","@ftrns")</f>
        <v>@ftrns</v>
      </c>
      <c r="C25319" s="8" t="s">
        <v>2962</v>
      </c>
      <c r="D25319" s="8">
        <v>4553</v>
      </c>
      <c r="E25319" s="8">
        <v>0</v>
      </c>
      <c r="F25319" s="8">
        <v>701</v>
      </c>
    </row>
    <row r="25320" spans="1:6" ht="12.75">
      <c r="A25320" s="8">
        <v>43893.044675925921</v>
      </c>
      <c r="B25320" s="8" t="str">
        <f>HYPERLINK("https://twitter.com/AsadiaAkil","@AsadiaAkil")</f>
        <v>@AsadiaAkil</v>
      </c>
      <c r="C25320" s="8" t="s">
        <v>1427</v>
      </c>
      <c r="D25320" s="8">
        <v>537</v>
      </c>
      <c r="E25320" s="8">
        <v>0</v>
      </c>
      <c r="F25320" s="8">
        <v>451</v>
      </c>
    </row>
    <row r="25321" spans="1:6" ht="12.75">
      <c r="A25321" s="8">
        <v>43893.044641203705</v>
      </c>
      <c r="B25321" s="8" t="str">
        <f>HYPERLINK("https://twitter.com/neeeppppp","@neeeppppp")</f>
        <v>@neeeppppp</v>
      </c>
      <c r="C25321" s="8" t="s">
        <v>9996</v>
      </c>
      <c r="D25321" s="8">
        <v>0</v>
      </c>
      <c r="E25321" s="8">
        <v>0</v>
      </c>
      <c r="F25321" s="8">
        <v>55</v>
      </c>
    </row>
    <row r="25322" spans="1:6" ht="12.75">
      <c r="A25322" s="8">
        <v>43893.044340277775</v>
      </c>
      <c r="B25322" s="8" t="str">
        <f>HYPERLINK("https://twitter.com/58d7169a88a84cf","@58d7169a88a84cf")</f>
        <v>@58d7169a88a84cf</v>
      </c>
      <c r="C25322" s="8" t="s">
        <v>9123</v>
      </c>
      <c r="D25322" s="8">
        <v>365</v>
      </c>
      <c r="E25322" s="8">
        <v>0</v>
      </c>
      <c r="F25322" s="8">
        <v>79</v>
      </c>
    </row>
    <row r="25323" spans="1:6" ht="12.75">
      <c r="A25323" s="8">
        <v>43893.044340277775</v>
      </c>
      <c r="B25323" s="8" t="str">
        <f>HYPERLINK("https://twitter.com/AlHijaz46792964","@AlHijaz46792964")</f>
        <v>@AlHijaz46792964</v>
      </c>
      <c r="C25323" s="8" t="s">
        <v>7597</v>
      </c>
      <c r="D25323" s="8">
        <v>487</v>
      </c>
      <c r="E25323" s="8">
        <v>0</v>
      </c>
      <c r="F25323" s="8">
        <v>324</v>
      </c>
    </row>
    <row r="25324" spans="1:6" ht="12.75">
      <c r="A25324" s="8">
        <v>43893.044305555552</v>
      </c>
      <c r="B25324" s="8" t="str">
        <f>HYPERLINK("https://twitter.com/AmstrongBiring","@AmstrongBiring")</f>
        <v>@AmstrongBiring</v>
      </c>
      <c r="C25324" s="8" t="s">
        <v>9194</v>
      </c>
      <c r="D25324" s="8">
        <v>151</v>
      </c>
      <c r="E25324" s="8">
        <v>0</v>
      </c>
      <c r="F25324" s="8">
        <v>1989</v>
      </c>
    </row>
    <row r="25325" spans="1:6" ht="12.75">
      <c r="A25325" s="8">
        <v>43893.044305555552</v>
      </c>
      <c r="B25325" s="8" t="str">
        <f>HYPERLINK("https://twitter.com/2dibukaB","@2dibukaB")</f>
        <v>@2dibukaB</v>
      </c>
      <c r="C25325" s="8" t="s">
        <v>7661</v>
      </c>
      <c r="D25325" s="8">
        <v>346</v>
      </c>
      <c r="E25325" s="8">
        <v>0</v>
      </c>
      <c r="F25325" s="8">
        <v>1545</v>
      </c>
    </row>
    <row r="25326" spans="1:6" ht="12.75">
      <c r="A25326" s="8">
        <v>43893.044293981482</v>
      </c>
      <c r="B25326" s="8" t="str">
        <f>HYPERLINK("https://twitter.com/Uwaisalatas","@Uwaisalatas")</f>
        <v>@Uwaisalatas</v>
      </c>
      <c r="C25326" s="8" t="s">
        <v>9300</v>
      </c>
      <c r="D25326" s="8">
        <v>149</v>
      </c>
      <c r="E25326" s="8">
        <v>0</v>
      </c>
      <c r="F25326" s="8">
        <v>1239</v>
      </c>
    </row>
    <row r="25327" spans="1:6" ht="12.75">
      <c r="A25327" s="8">
        <v>43893.044085648144</v>
      </c>
      <c r="B25327" s="8" t="str">
        <f>HYPERLINK("https://twitter.com/mrbambang","@mrbambang")</f>
        <v>@mrbambang</v>
      </c>
      <c r="C25327" s="8" t="s">
        <v>9982</v>
      </c>
      <c r="D25327" s="8">
        <v>0</v>
      </c>
      <c r="E25327" s="8">
        <v>0</v>
      </c>
      <c r="F25327" s="8">
        <v>4880</v>
      </c>
    </row>
    <row r="25328" spans="1:6" ht="12.75">
      <c r="A25328" s="8">
        <v>43893.044027777782</v>
      </c>
      <c r="B25328" s="8" t="str">
        <f>HYPERLINK("https://twitter.com/Mutiaraputriind","@Mutiaraputriind")</f>
        <v>@Mutiaraputriind</v>
      </c>
      <c r="C25328" s="8" t="s">
        <v>9117</v>
      </c>
      <c r="D25328" s="8">
        <v>156</v>
      </c>
      <c r="E25328" s="8">
        <v>0</v>
      </c>
      <c r="F25328" s="8">
        <v>414</v>
      </c>
    </row>
    <row r="25329" spans="1:6" ht="12.75">
      <c r="A25329" s="8">
        <v>43893.043993055559</v>
      </c>
      <c r="B25329" s="8" t="str">
        <f>HYPERLINK("https://twitter.com/AndyKusnanto","@AndyKusnanto")</f>
        <v>@AndyKusnanto</v>
      </c>
      <c r="C25329" s="8" t="s">
        <v>1970</v>
      </c>
      <c r="D25329" s="8">
        <v>74</v>
      </c>
      <c r="E25329" s="8">
        <v>0</v>
      </c>
      <c r="F25329" s="8">
        <v>576</v>
      </c>
    </row>
    <row r="25330" spans="1:6" ht="12.75">
      <c r="A25330" s="8">
        <v>43893.043935185182</v>
      </c>
      <c r="B25330" s="8" t="str">
        <f>HYPERLINK("https://twitter.com/Seruni36043265","@Seruni36043265")</f>
        <v>@Seruni36043265</v>
      </c>
      <c r="C25330" s="8" t="s">
        <v>9176</v>
      </c>
      <c r="D25330" s="8">
        <v>1251</v>
      </c>
      <c r="E25330" s="8">
        <v>0</v>
      </c>
      <c r="F25330" s="8">
        <v>1</v>
      </c>
    </row>
    <row r="25331" spans="1:6" ht="12.75">
      <c r="A25331" s="8">
        <v>43893.04387731482</v>
      </c>
      <c r="B25331" s="8" t="str">
        <f>HYPERLINK("https://twitter.com/Musannifsanusi","@Musannifsanusi")</f>
        <v>@Musannifsanusi</v>
      </c>
      <c r="C25331" s="8" t="s">
        <v>5732</v>
      </c>
      <c r="D25331" s="8">
        <v>2063</v>
      </c>
      <c r="E25331" s="8">
        <v>0</v>
      </c>
      <c r="F25331" s="8">
        <v>526</v>
      </c>
    </row>
    <row r="25332" spans="1:6" ht="12.75">
      <c r="A25332" s="8">
        <v>43893.043761574074</v>
      </c>
      <c r="B25332" s="8" t="str">
        <f>HYPERLINK("https://twitter.com/AmstrongBiring","@AmstrongBiring")</f>
        <v>@AmstrongBiring</v>
      </c>
      <c r="C25332" s="8" t="s">
        <v>9997</v>
      </c>
      <c r="D25332" s="8">
        <v>64</v>
      </c>
      <c r="E25332" s="8">
        <v>0</v>
      </c>
      <c r="F25332" s="8">
        <v>1989</v>
      </c>
    </row>
    <row r="25333" spans="1:6" ht="12.75">
      <c r="A25333" s="8">
        <v>43893.043738425928</v>
      </c>
      <c r="B25333" s="8" t="str">
        <f>HYPERLINK("https://twitter.com/Bagas36406270","@Bagas36406270")</f>
        <v>@Bagas36406270</v>
      </c>
      <c r="C25333" s="8" t="s">
        <v>9727</v>
      </c>
      <c r="D25333" s="8">
        <v>43</v>
      </c>
      <c r="E25333" s="8">
        <v>0</v>
      </c>
      <c r="F25333" s="8">
        <v>1290</v>
      </c>
    </row>
    <row r="25334" spans="1:6" ht="12.75">
      <c r="A25334" s="8">
        <v>43893.043599537035</v>
      </c>
      <c r="B25334" s="8" t="str">
        <f>HYPERLINK("https://twitter.com/RyHerdiansyah","@RyHerdiansyah")</f>
        <v>@RyHerdiansyah</v>
      </c>
      <c r="C25334" s="8" t="s">
        <v>9117</v>
      </c>
      <c r="D25334" s="8">
        <v>156</v>
      </c>
      <c r="E25334" s="8">
        <v>0</v>
      </c>
      <c r="F25334" s="8">
        <v>509</v>
      </c>
    </row>
    <row r="25335" spans="1:6" ht="12.75">
      <c r="A25335" s="8">
        <v>43893.043495370366</v>
      </c>
      <c r="B25335" s="8" t="str">
        <f>HYPERLINK("https://twitter.com/davinamm","@davinamm")</f>
        <v>@davinamm</v>
      </c>
      <c r="C25335" s="8" t="s">
        <v>1145</v>
      </c>
      <c r="D25335" s="8">
        <v>452</v>
      </c>
      <c r="E25335" s="8">
        <v>0</v>
      </c>
      <c r="F25335" s="8">
        <v>556</v>
      </c>
    </row>
    <row r="25336" spans="1:6" ht="12.75">
      <c r="A25336" s="8">
        <v>43893.043483796297</v>
      </c>
      <c r="B25336" s="8" t="str">
        <f>HYPERLINK("https://twitter.com/aaldfk9905","@aaldfk9905")</f>
        <v>@aaldfk9905</v>
      </c>
      <c r="C25336" s="8" t="s">
        <v>5803</v>
      </c>
      <c r="D25336" s="8">
        <v>157</v>
      </c>
      <c r="E25336" s="8">
        <v>0</v>
      </c>
      <c r="F25336" s="8">
        <v>2024</v>
      </c>
    </row>
    <row r="25337" spans="1:6" ht="12.75">
      <c r="A25337" s="8">
        <v>43893.043333333335</v>
      </c>
      <c r="B25337" s="8" t="str">
        <f>HYPERLINK("https://twitter.com/bucinindomiee3","@bucinindomiee3")</f>
        <v>@bucinindomiee3</v>
      </c>
      <c r="C25337" s="8" t="s">
        <v>9998</v>
      </c>
      <c r="D25337" s="8">
        <v>0</v>
      </c>
      <c r="E25337" s="8">
        <v>0</v>
      </c>
      <c r="F25337" s="8">
        <v>1179</v>
      </c>
    </row>
    <row r="25338" spans="1:6" ht="12.75">
      <c r="A25338" s="8">
        <v>43893.043090277773</v>
      </c>
      <c r="B25338" s="8" t="str">
        <f>HYPERLINK("https://twitter.com/hunny_suhani","@hunny_suhani")</f>
        <v>@hunny_suhani</v>
      </c>
      <c r="C25338" s="8" t="s">
        <v>9701</v>
      </c>
      <c r="D25338" s="8">
        <v>1664</v>
      </c>
      <c r="E25338" s="8">
        <v>0</v>
      </c>
      <c r="F25338" s="8">
        <v>1131</v>
      </c>
    </row>
    <row r="25339" spans="1:6" ht="12.75">
      <c r="A25339" s="8">
        <v>43893.042986111112</v>
      </c>
      <c r="B25339" s="8" t="str">
        <f>HYPERLINK("https://twitter.com/aaldfk9905","@aaldfk9905")</f>
        <v>@aaldfk9905</v>
      </c>
      <c r="C25339" s="8" t="s">
        <v>2995</v>
      </c>
      <c r="D25339" s="8">
        <v>200</v>
      </c>
      <c r="E25339" s="8">
        <v>0</v>
      </c>
      <c r="F25339" s="8">
        <v>2024</v>
      </c>
    </row>
    <row r="25340" spans="1:6" ht="12.75">
      <c r="A25340" s="8">
        <v>43893.042916666665</v>
      </c>
      <c r="B25340" s="8" t="str">
        <f>HYPERLINK("https://twitter.com/BurgundyBrogues","@BurgundyBrogues")</f>
        <v>@BurgundyBrogues</v>
      </c>
      <c r="C25340" s="8" t="s">
        <v>9701</v>
      </c>
      <c r="D25340" s="8">
        <v>1664</v>
      </c>
      <c r="E25340" s="8">
        <v>0</v>
      </c>
      <c r="F25340" s="8">
        <v>962</v>
      </c>
    </row>
    <row r="25341" spans="1:6" ht="12.75">
      <c r="A25341" s="8">
        <v>43893.04288194445</v>
      </c>
      <c r="B25341" s="8" t="str">
        <f>HYPERLINK("https://twitter.com/aaldfk9905","@aaldfk9905")</f>
        <v>@aaldfk9905</v>
      </c>
      <c r="C25341" s="8" t="s">
        <v>1749</v>
      </c>
      <c r="D25341" s="8">
        <v>342</v>
      </c>
      <c r="E25341" s="8">
        <v>0</v>
      </c>
      <c r="F25341" s="8">
        <v>2024</v>
      </c>
    </row>
    <row r="25342" spans="1:6" ht="12.75">
      <c r="A25342" s="8">
        <v>43893.042847222227</v>
      </c>
      <c r="B25342" s="8" t="str">
        <f>HYPERLINK("https://twitter.com/widipamungkas84","@widipamungkas84")</f>
        <v>@widipamungkas84</v>
      </c>
      <c r="C25342" s="8" t="s">
        <v>8322</v>
      </c>
      <c r="D25342" s="8">
        <v>597</v>
      </c>
      <c r="E25342" s="8">
        <v>0</v>
      </c>
      <c r="F25342" s="8">
        <v>7</v>
      </c>
    </row>
    <row r="25343" spans="1:6" ht="12.75">
      <c r="A25343" s="8">
        <v>43893.04283564815</v>
      </c>
      <c r="B25343" s="8" t="str">
        <f>HYPERLINK("https://twitter.com/usman_alfath","@usman_alfath")</f>
        <v>@usman_alfath</v>
      </c>
      <c r="C25343" s="8" t="s">
        <v>1970</v>
      </c>
      <c r="D25343" s="8">
        <v>74</v>
      </c>
      <c r="E25343" s="8">
        <v>0</v>
      </c>
      <c r="F25343" s="8">
        <v>174</v>
      </c>
    </row>
    <row r="25344" spans="1:6" ht="12.75">
      <c r="A25344" s="8">
        <v>43893.042754629627</v>
      </c>
      <c r="B25344" s="8" t="str">
        <f>HYPERLINK("https://twitter.com/f4121508","@f4121508")</f>
        <v>@f4121508</v>
      </c>
      <c r="C25344" s="8" t="s">
        <v>9999</v>
      </c>
      <c r="D25344" s="8">
        <v>0</v>
      </c>
      <c r="E25344" s="8">
        <v>0</v>
      </c>
      <c r="F25344" s="8">
        <v>1264</v>
      </c>
    </row>
    <row r="25345" spans="1:6" ht="12.75">
      <c r="A25345" s="8">
        <v>43893.042743055557</v>
      </c>
      <c r="B25345" s="8" t="str">
        <f>HYPERLINK("https://twitter.com/euigeong","@euigeong")</f>
        <v>@euigeong</v>
      </c>
      <c r="C25345" s="8" t="s">
        <v>1427</v>
      </c>
      <c r="D25345" s="8">
        <v>537</v>
      </c>
      <c r="E25345" s="8">
        <v>0</v>
      </c>
      <c r="F25345" s="8">
        <v>202</v>
      </c>
    </row>
    <row r="25346" spans="1:6" ht="12.75">
      <c r="A25346" s="8">
        <v>43893.042743055557</v>
      </c>
      <c r="B25346" s="8" t="str">
        <f>HYPERLINK("https://twitter.com/Jayasukma3103","@Jayasukma3103")</f>
        <v>@Jayasukma3103</v>
      </c>
      <c r="C25346" s="8" t="s">
        <v>1970</v>
      </c>
      <c r="D25346" s="8">
        <v>74</v>
      </c>
      <c r="E25346" s="8">
        <v>0</v>
      </c>
      <c r="F25346" s="8">
        <v>28</v>
      </c>
    </row>
    <row r="25347" spans="1:6" ht="12.75">
      <c r="A25347" s="8">
        <v>43893.042638888888</v>
      </c>
      <c r="B25347" s="8" t="str">
        <f>HYPERLINK("https://twitter.com/ID_Rodriguez05","@ID_Rodriguez05")</f>
        <v>@ID_Rodriguez05</v>
      </c>
      <c r="C25347" s="8" t="s">
        <v>9895</v>
      </c>
      <c r="D25347" s="8">
        <v>158</v>
      </c>
      <c r="E25347" s="8">
        <v>0</v>
      </c>
      <c r="F25347" s="8">
        <v>885</v>
      </c>
    </row>
    <row r="25348" spans="1:6" ht="12.75">
      <c r="A25348" s="8">
        <v>43893.042627314819</v>
      </c>
      <c r="B25348" s="8" t="str">
        <f>HYPERLINK("https://twitter.com/risandriana","@risandriana")</f>
        <v>@risandriana</v>
      </c>
      <c r="C25348" s="8" t="s">
        <v>4477</v>
      </c>
      <c r="D25348" s="8">
        <v>845</v>
      </c>
      <c r="E25348" s="8">
        <v>0</v>
      </c>
      <c r="F25348" s="8">
        <v>1207</v>
      </c>
    </row>
    <row r="25349" spans="1:6" ht="12.75">
      <c r="A25349" s="8">
        <v>43893.042592592596</v>
      </c>
      <c r="B25349" s="8" t="str">
        <f>HYPERLINK("https://twitter.com/strangergabut","@strangergabut")</f>
        <v>@strangergabut</v>
      </c>
      <c r="C25349" s="8" t="s">
        <v>10000</v>
      </c>
      <c r="D25349" s="8">
        <v>0</v>
      </c>
      <c r="E25349" s="8">
        <v>0</v>
      </c>
      <c r="F25349" s="8">
        <v>19</v>
      </c>
    </row>
    <row r="25350" spans="1:6" ht="12.75">
      <c r="A25350" s="8">
        <v>43893.042372685188</v>
      </c>
      <c r="B25350" s="8" t="str">
        <f>HYPERLINK("https://twitter.com/itsazzaleas","@itsazzaleas")</f>
        <v>@itsazzaleas</v>
      </c>
      <c r="C25350" s="8" t="s">
        <v>9295</v>
      </c>
      <c r="D25350" s="8">
        <v>135</v>
      </c>
      <c r="E25350" s="8">
        <v>0</v>
      </c>
      <c r="F25350" s="8">
        <v>782</v>
      </c>
    </row>
    <row r="25351" spans="1:6" ht="12.75">
      <c r="A25351" s="8">
        <v>43893.042303240742</v>
      </c>
      <c r="B25351" s="8" t="str">
        <f>HYPERLINK("https://twitter.com/geapus","@geapus")</f>
        <v>@geapus</v>
      </c>
      <c r="C25351" s="8" t="s">
        <v>2199</v>
      </c>
      <c r="D25351" s="8">
        <v>8350</v>
      </c>
      <c r="E25351" s="8">
        <v>0</v>
      </c>
      <c r="F25351" s="8">
        <v>1023</v>
      </c>
    </row>
    <row r="25352" spans="1:6" ht="12.75">
      <c r="A25352" s="8">
        <v>43893.042280092588</v>
      </c>
      <c r="B25352" s="8" t="str">
        <f>HYPERLINK("https://twitter.com/hellensetyo","@hellensetyo")</f>
        <v>@hellensetyo</v>
      </c>
      <c r="C25352" s="8" t="s">
        <v>2962</v>
      </c>
      <c r="D25352" s="8">
        <v>4553</v>
      </c>
      <c r="E25352" s="8">
        <v>0</v>
      </c>
      <c r="F25352" s="8">
        <v>1023</v>
      </c>
    </row>
    <row r="25353" spans="1:6" ht="12.75">
      <c r="A25353" s="8">
        <v>43893.042233796295</v>
      </c>
      <c r="B25353" s="8" t="str">
        <f>HYPERLINK("https://twitter.com/RikosUnderpants","@RikosUnderpants")</f>
        <v>@RikosUnderpants</v>
      </c>
      <c r="C25353" s="8" t="s">
        <v>2962</v>
      </c>
      <c r="D25353" s="8">
        <v>4553</v>
      </c>
      <c r="E25353" s="8">
        <v>0</v>
      </c>
      <c r="F25353" s="8">
        <v>318</v>
      </c>
    </row>
    <row r="25354" spans="1:6" ht="12.75">
      <c r="A25354" s="8">
        <v>43893.042187500003</v>
      </c>
      <c r="B25354" s="8" t="str">
        <f>HYPERLINK("https://twitter.com/naasiipuutiih","@naasiipuutiih")</f>
        <v>@naasiipuutiih</v>
      </c>
      <c r="C25354" s="8" t="s">
        <v>9117</v>
      </c>
      <c r="D25354" s="8">
        <v>156</v>
      </c>
      <c r="E25354" s="8">
        <v>0</v>
      </c>
      <c r="F25354" s="8">
        <v>347</v>
      </c>
    </row>
    <row r="25355" spans="1:6" ht="12.75">
      <c r="A25355" s="8">
        <v>43893.042118055557</v>
      </c>
      <c r="B25355" s="8" t="str">
        <f>HYPERLINK("https://twitter.com/printer_dr","@printer_dr")</f>
        <v>@printer_dr</v>
      </c>
      <c r="C25355" s="8" t="s">
        <v>9123</v>
      </c>
      <c r="D25355" s="8">
        <v>365</v>
      </c>
      <c r="E25355" s="8">
        <v>0</v>
      </c>
      <c r="F25355" s="8">
        <v>2032</v>
      </c>
    </row>
    <row r="25356" spans="1:6" ht="12.75">
      <c r="A25356" s="8">
        <v>43893.04206018518</v>
      </c>
      <c r="B25356" s="8" t="str">
        <f>HYPERLINK("https://twitter.com/yayanpanca","@yayanpanca")</f>
        <v>@yayanpanca</v>
      </c>
      <c r="C25356" s="8" t="s">
        <v>9117</v>
      </c>
      <c r="D25356" s="8">
        <v>156</v>
      </c>
      <c r="E25356" s="8">
        <v>0</v>
      </c>
      <c r="F25356" s="8">
        <v>292</v>
      </c>
    </row>
    <row r="25357" spans="1:6" ht="12.75">
      <c r="A25357" s="8">
        <v>43893.041990740741</v>
      </c>
      <c r="B25357" s="8" t="str">
        <f>HYPERLINK("https://twitter.com/FitriKusuma","@FitriKusuma")</f>
        <v>@FitriKusuma</v>
      </c>
      <c r="C25357" s="8" t="s">
        <v>2199</v>
      </c>
      <c r="D25357" s="8">
        <v>8350</v>
      </c>
      <c r="E25357" s="8">
        <v>0</v>
      </c>
      <c r="F25357" s="8">
        <v>589</v>
      </c>
    </row>
    <row r="25358" spans="1:6" ht="12.75">
      <c r="A25358" s="8">
        <v>43893.041979166665</v>
      </c>
      <c r="B25358" s="8" t="str">
        <f>HYPERLINK("https://twitter.com/woy_lau","@woy_lau")</f>
        <v>@woy_lau</v>
      </c>
      <c r="C25358" s="8" t="s">
        <v>1970</v>
      </c>
      <c r="D25358" s="8">
        <v>74</v>
      </c>
      <c r="E25358" s="8">
        <v>0</v>
      </c>
      <c r="F25358" s="8">
        <v>170</v>
      </c>
    </row>
    <row r="25359" spans="1:6" ht="12.75">
      <c r="A25359" s="8">
        <v>43893.041979166665</v>
      </c>
      <c r="B25359" s="8" t="str">
        <f>HYPERLINK("https://twitter.com/dddablue7","@dddablue7")</f>
        <v>@dddablue7</v>
      </c>
      <c r="C25359" s="8" t="s">
        <v>2962</v>
      </c>
      <c r="D25359" s="8">
        <v>4553</v>
      </c>
      <c r="E25359" s="8">
        <v>0</v>
      </c>
      <c r="F25359" s="8">
        <v>230</v>
      </c>
    </row>
    <row r="25360" spans="1:6" ht="12.75">
      <c r="A25360" s="8">
        <v>43893.041979166665</v>
      </c>
      <c r="B25360" s="8" t="str">
        <f>HYPERLINK("https://twitter.com/maryha7","@maryha7")</f>
        <v>@maryha7</v>
      </c>
      <c r="C25360" s="8" t="s">
        <v>8737</v>
      </c>
      <c r="D25360" s="8">
        <v>1193</v>
      </c>
      <c r="E25360" s="8">
        <v>0</v>
      </c>
      <c r="F25360" s="8">
        <v>1006</v>
      </c>
    </row>
    <row r="25361" spans="1:6" ht="12.75">
      <c r="A25361" s="8">
        <v>43893.041944444441</v>
      </c>
      <c r="B25361" s="8" t="str">
        <f>HYPERLINK("https://twitter.com/becak125cc","@becak125cc")</f>
        <v>@becak125cc</v>
      </c>
      <c r="C25361" s="8" t="s">
        <v>9358</v>
      </c>
      <c r="D25361" s="8">
        <v>81</v>
      </c>
      <c r="E25361" s="8">
        <v>0</v>
      </c>
      <c r="F25361" s="8">
        <v>544</v>
      </c>
    </row>
    <row r="25362" spans="1:6" ht="12.75">
      <c r="A25362" s="8">
        <v>43893.041863425926</v>
      </c>
      <c r="B25362" s="8" t="str">
        <f>HYPERLINK("https://twitter.com/allisyc","@allisyc")</f>
        <v>@allisyc</v>
      </c>
      <c r="C25362" s="8" t="s">
        <v>2199</v>
      </c>
      <c r="D25362" s="8">
        <v>8350</v>
      </c>
      <c r="E25362" s="8">
        <v>0</v>
      </c>
      <c r="F25362" s="8">
        <v>664</v>
      </c>
    </row>
    <row r="25363" spans="1:6" ht="12.75">
      <c r="A25363" s="8">
        <v>43893.041516203702</v>
      </c>
      <c r="B25363" s="8" t="str">
        <f>HYPERLINK("https://twitter.com/marha_lubis","@marha_lubis")</f>
        <v>@marha_lubis</v>
      </c>
      <c r="C25363" s="8" t="s">
        <v>10001</v>
      </c>
      <c r="D25363" s="8">
        <v>67</v>
      </c>
      <c r="E25363" s="8">
        <v>0</v>
      </c>
      <c r="F25363" s="8">
        <v>905</v>
      </c>
    </row>
    <row r="25364" spans="1:6" ht="12.75">
      <c r="A25364" s="8">
        <v>43893.041493055556</v>
      </c>
      <c r="B25364" s="8" t="str">
        <f>HYPERLINK("https://twitter.com/AlvaroDeBazan2","@AlvaroDeBazan2")</f>
        <v>@AlvaroDeBazan2</v>
      </c>
      <c r="C25364" s="8" t="s">
        <v>9117</v>
      </c>
      <c r="D25364" s="8">
        <v>156</v>
      </c>
      <c r="E25364" s="8">
        <v>0</v>
      </c>
      <c r="F25364" s="8">
        <v>266</v>
      </c>
    </row>
    <row r="25365" spans="1:6" ht="12.75">
      <c r="A25365" s="8">
        <v>43893.041469907403</v>
      </c>
      <c r="B25365" s="8" t="str">
        <f>HYPERLINK("https://twitter.com/nindicaLim","@nindicaLim")</f>
        <v>@nindicaLim</v>
      </c>
      <c r="C25365" s="8" t="s">
        <v>2962</v>
      </c>
      <c r="D25365" s="8">
        <v>4553</v>
      </c>
      <c r="E25365" s="8">
        <v>0</v>
      </c>
      <c r="F25365" s="8">
        <v>384</v>
      </c>
    </row>
    <row r="25366" spans="1:6" ht="12.75">
      <c r="A25366" s="8">
        <v>43893.041377314818</v>
      </c>
      <c r="B25366" s="8" t="str">
        <f>HYPERLINK("https://twitter.com/uwwwuuu__","@uwwwuuu__")</f>
        <v>@uwwwuuu__</v>
      </c>
      <c r="C25366" s="8" t="s">
        <v>2199</v>
      </c>
      <c r="D25366" s="8">
        <v>8350</v>
      </c>
      <c r="E25366" s="8">
        <v>0</v>
      </c>
      <c r="F25366" s="8">
        <v>36</v>
      </c>
    </row>
    <row r="25367" spans="1:6" ht="12.75">
      <c r="A25367" s="8">
        <v>43893.041307870371</v>
      </c>
      <c r="B25367" s="8" t="str">
        <f>HYPERLINK("https://twitter.com/NatashaNst_","@NatashaNst_")</f>
        <v>@NatashaNst_</v>
      </c>
      <c r="C25367" s="8" t="s">
        <v>2199</v>
      </c>
      <c r="D25367" s="8">
        <v>8350</v>
      </c>
      <c r="E25367" s="8">
        <v>0</v>
      </c>
      <c r="F25367" s="8">
        <v>431</v>
      </c>
    </row>
    <row r="25368" spans="1:6" ht="12.75">
      <c r="A25368" s="8">
        <v>43893.041180555556</v>
      </c>
      <c r="B25368" s="8" t="str">
        <f>HYPERLINK("https://twitter.com/dannokiddoo","@dannokiddoo")</f>
        <v>@dannokiddoo</v>
      </c>
      <c r="C25368" s="8" t="s">
        <v>9117</v>
      </c>
      <c r="D25368" s="8">
        <v>156</v>
      </c>
      <c r="E25368" s="8">
        <v>0</v>
      </c>
      <c r="F25368" s="8">
        <v>541</v>
      </c>
    </row>
    <row r="25369" spans="1:6" ht="12.75">
      <c r="A25369" s="8">
        <v>43893.040972222225</v>
      </c>
      <c r="B25369" s="8" t="str">
        <f>HYPERLINK("https://twitter.com/Nadila_ID","@Nadila_ID")</f>
        <v>@Nadila_ID</v>
      </c>
      <c r="C25369" s="8" t="s">
        <v>10002</v>
      </c>
      <c r="D25369" s="8">
        <v>0</v>
      </c>
      <c r="E25369" s="8">
        <v>0</v>
      </c>
      <c r="F25369" s="8">
        <v>7243</v>
      </c>
    </row>
    <row r="25370" spans="1:6" ht="12.75">
      <c r="A25370" s="8">
        <v>43893.040879629625</v>
      </c>
      <c r="B25370" s="8" t="str">
        <f>HYPERLINK("https://twitter.com/AdaAmin","@AdaAmin")</f>
        <v>@AdaAmin</v>
      </c>
      <c r="C25370" s="8" t="s">
        <v>1427</v>
      </c>
      <c r="D25370" s="8">
        <v>537</v>
      </c>
      <c r="E25370" s="8">
        <v>0</v>
      </c>
      <c r="F25370" s="8">
        <v>600</v>
      </c>
    </row>
    <row r="25371" spans="1:6" ht="12.75">
      <c r="A25371" s="8">
        <v>43893.040752314817</v>
      </c>
      <c r="B25371" s="8" t="str">
        <f>HYPERLINK("https://twitter.com/Hendy_Abel","@Hendy_Abel")</f>
        <v>@Hendy_Abel</v>
      </c>
      <c r="C25371" s="8" t="s">
        <v>6832</v>
      </c>
      <c r="D25371" s="8">
        <v>839</v>
      </c>
      <c r="E25371" s="8">
        <v>0</v>
      </c>
      <c r="F25371" s="8">
        <v>331</v>
      </c>
    </row>
    <row r="25372" spans="1:6" ht="12.75">
      <c r="A25372" s="8">
        <v>43893.040706018517</v>
      </c>
      <c r="B25372" s="8" t="str">
        <f>HYPERLINK("https://twitter.com/niraj67492639","@niraj67492639")</f>
        <v>@niraj67492639</v>
      </c>
      <c r="C25372" s="8" t="s">
        <v>10003</v>
      </c>
      <c r="D25372" s="8">
        <v>0</v>
      </c>
      <c r="E25372" s="8">
        <v>0</v>
      </c>
      <c r="F25372" s="8">
        <v>1</v>
      </c>
    </row>
    <row r="25373" spans="1:6" ht="12.75">
      <c r="A25373" s="8">
        <v>43893.04069444444</v>
      </c>
      <c r="B25373" s="8" t="str">
        <f>HYPERLINK("https://twitter.com/DogEatDo9","@DogEatDo9")</f>
        <v>@DogEatDo9</v>
      </c>
      <c r="C25373" s="8" t="s">
        <v>2962</v>
      </c>
      <c r="D25373" s="8">
        <v>4553</v>
      </c>
      <c r="E25373" s="8">
        <v>0</v>
      </c>
      <c r="F25373" s="8">
        <v>636</v>
      </c>
    </row>
    <row r="25374" spans="1:6" ht="12.75">
      <c r="A25374" s="8">
        <v>43893.040532407409</v>
      </c>
      <c r="B25374" s="8" t="str">
        <f>HYPERLINK("https://twitter.com/mury_eko","@mury_eko")</f>
        <v>@mury_eko</v>
      </c>
      <c r="C25374" s="8" t="s">
        <v>9595</v>
      </c>
      <c r="D25374" s="8">
        <v>28</v>
      </c>
      <c r="E25374" s="8">
        <v>0</v>
      </c>
      <c r="F25374" s="8">
        <v>1586</v>
      </c>
    </row>
    <row r="25375" spans="1:6" ht="12.75">
      <c r="A25375" s="8">
        <v>43893.040462962963</v>
      </c>
      <c r="B25375" s="8" t="str">
        <f>HYPERLINK("https://twitter.com/chikalutchu","@chikalutchu")</f>
        <v>@chikalutchu</v>
      </c>
      <c r="C25375" s="8" t="s">
        <v>1427</v>
      </c>
      <c r="D25375" s="8">
        <v>537</v>
      </c>
      <c r="E25375" s="8">
        <v>0</v>
      </c>
      <c r="F25375" s="8">
        <v>309</v>
      </c>
    </row>
    <row r="25376" spans="1:6" ht="12.75">
      <c r="A25376" s="8">
        <v>43893.040393518517</v>
      </c>
      <c r="B25376" s="8" t="str">
        <f>HYPERLINK("https://twitter.com/zulilulelo","@zulilulelo")</f>
        <v>@zulilulelo</v>
      </c>
      <c r="C25376" s="8" t="s">
        <v>6864</v>
      </c>
      <c r="D25376" s="8">
        <v>176</v>
      </c>
      <c r="E25376" s="8">
        <v>0</v>
      </c>
      <c r="F25376" s="8">
        <v>872</v>
      </c>
    </row>
    <row r="25377" spans="1:6" ht="12.75">
      <c r="A25377" s="8">
        <v>43893.040393518517</v>
      </c>
      <c r="B25377" s="8" t="str">
        <f>HYPERLINK("https://twitter.com/fvckinglv","@fvckinglv")</f>
        <v>@fvckinglv</v>
      </c>
      <c r="C25377" s="8" t="s">
        <v>8776</v>
      </c>
      <c r="D25377" s="8">
        <v>171</v>
      </c>
      <c r="E25377" s="8">
        <v>0</v>
      </c>
      <c r="F25377" s="8">
        <v>626</v>
      </c>
    </row>
    <row r="25378" spans="1:6" ht="12.75">
      <c r="A25378" s="8">
        <v>43893.040370370371</v>
      </c>
      <c r="B25378" s="8" t="str">
        <f>HYPERLINK("https://twitter.com/bagusadisatya","@bagusadisatya")</f>
        <v>@bagusadisatya</v>
      </c>
      <c r="C25378" s="8" t="s">
        <v>9194</v>
      </c>
      <c r="D25378" s="8">
        <v>151</v>
      </c>
      <c r="E25378" s="8">
        <v>0</v>
      </c>
      <c r="F25378" s="8">
        <v>915</v>
      </c>
    </row>
    <row r="25379" spans="1:6" ht="12.75">
      <c r="A25379" s="8">
        <v>43893.040358796294</v>
      </c>
      <c r="B25379" s="8" t="str">
        <f>HYPERLINK("https://twitter.com/faishalraihan_","@faishalraihan_")</f>
        <v>@faishalraihan_</v>
      </c>
      <c r="C25379" s="8" t="s">
        <v>10004</v>
      </c>
      <c r="D25379" s="8">
        <v>61</v>
      </c>
      <c r="E25379" s="8">
        <v>0</v>
      </c>
      <c r="F25379" s="8">
        <v>93</v>
      </c>
    </row>
    <row r="25380" spans="1:6" ht="12.75">
      <c r="A25380" s="8">
        <v>43893.006863425922</v>
      </c>
      <c r="B25380" s="8" t="str">
        <f>HYPERLINK("https://twitter.com/DejanAwesome31","@DejanAwesome31")</f>
        <v>@DejanAwesome31</v>
      </c>
      <c r="C25380" s="8" t="s">
        <v>2962</v>
      </c>
      <c r="D25380" s="8">
        <v>4460</v>
      </c>
      <c r="E25380" s="8">
        <v>0</v>
      </c>
      <c r="F25380" s="8">
        <v>32</v>
      </c>
    </row>
    <row r="25381" spans="1:6" ht="12.75">
      <c r="A25381" s="8">
        <v>43893.006828703699</v>
      </c>
      <c r="B25381" s="8" t="str">
        <f>HYPERLINK("https://twitter.com/Kenafaris","@Kenafaris")</f>
        <v>@Kenafaris</v>
      </c>
      <c r="C25381" s="8" t="s">
        <v>9117</v>
      </c>
      <c r="D25381" s="8">
        <v>44</v>
      </c>
      <c r="E25381" s="8">
        <v>0</v>
      </c>
      <c r="F25381" s="8">
        <v>267</v>
      </c>
    </row>
    <row r="25382" spans="1:6" ht="12.75">
      <c r="A25382" s="8">
        <v>43893.00681712963</v>
      </c>
      <c r="B25382" s="8" t="str">
        <f>HYPERLINK("https://twitter.com/k155tyo","@k155tyo")</f>
        <v>@k155tyo</v>
      </c>
      <c r="C25382" s="8" t="s">
        <v>10005</v>
      </c>
      <c r="D25382" s="8">
        <v>0</v>
      </c>
      <c r="E25382" s="8">
        <v>0</v>
      </c>
      <c r="F25382" s="8">
        <v>223</v>
      </c>
    </row>
    <row r="25383" spans="1:6" ht="12.75">
      <c r="A25383" s="8">
        <v>43893.00681712963</v>
      </c>
      <c r="B25383" s="8" t="str">
        <f>HYPERLINK("https://twitter.com/herman_sst","@herman_sst")</f>
        <v>@herman_sst</v>
      </c>
      <c r="C25383" s="8" t="s">
        <v>10006</v>
      </c>
      <c r="D25383" s="8">
        <v>0</v>
      </c>
      <c r="E25383" s="8">
        <v>0</v>
      </c>
      <c r="F25383" s="8">
        <v>57</v>
      </c>
    </row>
    <row r="25384" spans="1:6" ht="12.75">
      <c r="A25384" s="8">
        <v>43893.00681712963</v>
      </c>
      <c r="B25384" s="8" t="str">
        <f>HYPERLINK("https://twitter.com/essteroos","@essteroos")</f>
        <v>@essteroos</v>
      </c>
      <c r="C25384" s="8" t="s">
        <v>9117</v>
      </c>
      <c r="D25384" s="8">
        <v>44</v>
      </c>
      <c r="E25384" s="8">
        <v>0</v>
      </c>
      <c r="F25384" s="8">
        <v>42</v>
      </c>
    </row>
    <row r="25385" spans="1:6" ht="12.75">
      <c r="A25385" s="8">
        <v>43893.006747685184</v>
      </c>
      <c r="B25385" s="8" t="str">
        <f>HYPERLINK("https://twitter.com/rezkiy_","@rezkiy_")</f>
        <v>@rezkiy_</v>
      </c>
      <c r="C25385" s="8" t="s">
        <v>9117</v>
      </c>
      <c r="D25385" s="8">
        <v>44</v>
      </c>
      <c r="E25385" s="8">
        <v>0</v>
      </c>
      <c r="F25385" s="8">
        <v>425</v>
      </c>
    </row>
    <row r="25386" spans="1:6" ht="12.75">
      <c r="A25386" s="8">
        <v>43893.006712962961</v>
      </c>
      <c r="B25386" s="8" t="str">
        <f>HYPERLINK("https://twitter.com/SemboyanR","@SemboyanR")</f>
        <v>@SemboyanR</v>
      </c>
      <c r="C25386" s="8" t="s">
        <v>7597</v>
      </c>
      <c r="D25386" s="8">
        <v>472</v>
      </c>
      <c r="E25386" s="8">
        <v>0</v>
      </c>
      <c r="F25386" s="8">
        <v>1301</v>
      </c>
    </row>
    <row r="25387" spans="1:6" ht="12.75">
      <c r="A25387" s="8">
        <v>43893.006678240738</v>
      </c>
      <c r="B25387" s="8" t="str">
        <f>HYPERLINK("https://twitter.com/AineeJaya","@AineeJaya")</f>
        <v>@AineeJaya</v>
      </c>
      <c r="C25387" s="8" t="s">
        <v>6832</v>
      </c>
      <c r="D25387" s="8">
        <v>826</v>
      </c>
      <c r="E25387" s="8">
        <v>0</v>
      </c>
      <c r="F25387" s="8">
        <v>1893</v>
      </c>
    </row>
    <row r="25388" spans="1:6" ht="12.75">
      <c r="A25388" s="8">
        <v>43893.006631944445</v>
      </c>
      <c r="B25388" s="8" t="str">
        <f>HYPERLINK("https://twitter.com/tantowigarry","@tantowigarry")</f>
        <v>@tantowigarry</v>
      </c>
      <c r="C25388" s="8" t="s">
        <v>9117</v>
      </c>
      <c r="D25388" s="8">
        <v>44</v>
      </c>
      <c r="E25388" s="8">
        <v>0</v>
      </c>
      <c r="F25388" s="8">
        <v>235</v>
      </c>
    </row>
    <row r="25389" spans="1:6" ht="12.75">
      <c r="A25389" s="8">
        <v>43893.006620370375</v>
      </c>
      <c r="B25389" s="8" t="str">
        <f>HYPERLINK("https://twitter.com/Stellaakkp","@Stellaakkp")</f>
        <v>@Stellaakkp</v>
      </c>
      <c r="C25389" s="8" t="s">
        <v>9117</v>
      </c>
      <c r="D25389" s="8">
        <v>44</v>
      </c>
      <c r="E25389" s="8">
        <v>0</v>
      </c>
      <c r="F25389" s="8">
        <v>559</v>
      </c>
    </row>
    <row r="25390" spans="1:6" ht="12.75">
      <c r="A25390" s="8">
        <v>43893.00644675926</v>
      </c>
      <c r="B25390" s="8" t="str">
        <f>HYPERLINK("https://twitter.com/iNewsID","@iNewsID")</f>
        <v>@iNewsID</v>
      </c>
      <c r="C25390" s="8" t="s">
        <v>10007</v>
      </c>
      <c r="D25390" s="8">
        <v>0</v>
      </c>
      <c r="E25390" s="8">
        <v>0</v>
      </c>
      <c r="F25390" s="8">
        <v>1355</v>
      </c>
    </row>
    <row r="25391" spans="1:6" ht="12.75">
      <c r="A25391" s="8">
        <v>43893.006388888884</v>
      </c>
      <c r="B25391" s="8" t="str">
        <f>HYPERLINK("https://twitter.com/permakbodi","@permakbodi")</f>
        <v>@permakbodi</v>
      </c>
      <c r="C25391" s="8" t="s">
        <v>7597</v>
      </c>
      <c r="D25391" s="8">
        <v>472</v>
      </c>
      <c r="E25391" s="8">
        <v>0</v>
      </c>
      <c r="F25391" s="8">
        <v>183</v>
      </c>
    </row>
    <row r="25392" spans="1:6" ht="12.75">
      <c r="A25392" s="8">
        <v>43893.006284722222</v>
      </c>
      <c r="B25392" s="8" t="str">
        <f>HYPERLINK("https://twitter.com/putrpynn","@putrpynn")</f>
        <v>@putrpynn</v>
      </c>
      <c r="C25392" s="8" t="s">
        <v>9117</v>
      </c>
      <c r="D25392" s="8">
        <v>44</v>
      </c>
      <c r="E25392" s="8">
        <v>0</v>
      </c>
      <c r="F25392" s="8">
        <v>486</v>
      </c>
    </row>
    <row r="25393" spans="1:6" ht="12.75">
      <c r="A25393" s="8">
        <v>43893.006145833337</v>
      </c>
      <c r="B25393" s="8" t="str">
        <f>HYPERLINK("https://twitter.com/fbrnsr","@fbrnsr")</f>
        <v>@fbrnsr</v>
      </c>
      <c r="C25393" s="8" t="s">
        <v>2962</v>
      </c>
      <c r="D25393" s="8">
        <v>4460</v>
      </c>
      <c r="E25393" s="8">
        <v>0</v>
      </c>
      <c r="F25393" s="8">
        <v>736</v>
      </c>
    </row>
    <row r="25394" spans="1:6" ht="12.75">
      <c r="A25394" s="8">
        <v>43893.006122685183</v>
      </c>
      <c r="B25394" s="8" t="str">
        <f>HYPERLINK("https://twitter.com/GnpfBullshit212","@GnpfBullshit212")</f>
        <v>@GnpfBullshit212</v>
      </c>
      <c r="C25394" s="8" t="s">
        <v>9903</v>
      </c>
      <c r="D25394" s="8">
        <v>7</v>
      </c>
      <c r="E25394" s="8">
        <v>0</v>
      </c>
      <c r="F25394" s="8">
        <v>1025</v>
      </c>
    </row>
    <row r="25395" spans="1:6" ht="12.75">
      <c r="A25395" s="8">
        <v>43893.006111111114</v>
      </c>
      <c r="B25395" s="8" t="str">
        <f>HYPERLINK("https://twitter.com/andi_achilles","@andi_achilles")</f>
        <v>@andi_achilles</v>
      </c>
      <c r="C25395" s="8" t="s">
        <v>1970</v>
      </c>
      <c r="D25395" s="8">
        <v>13</v>
      </c>
      <c r="E25395" s="8">
        <v>0</v>
      </c>
      <c r="F25395" s="8">
        <v>1309</v>
      </c>
    </row>
    <row r="25396" spans="1:6" ht="12.75">
      <c r="A25396" s="8">
        <v>43893.006111111114</v>
      </c>
      <c r="B25396" s="8" t="str">
        <f>HYPERLINK("https://twitter.com/Budiawan1985","@Budiawan1985")</f>
        <v>@Budiawan1985</v>
      </c>
      <c r="C25396" s="8" t="s">
        <v>2962</v>
      </c>
      <c r="D25396" s="8">
        <v>4460</v>
      </c>
      <c r="E25396" s="8">
        <v>0</v>
      </c>
      <c r="F25396" s="8">
        <v>824</v>
      </c>
    </row>
    <row r="25397" spans="1:6" ht="12.75">
      <c r="A25397" s="8">
        <v>43893.006041666667</v>
      </c>
      <c r="B25397" s="8" t="str">
        <f>HYPERLINK("https://twitter.com/ingus_kering","@ingus_kering")</f>
        <v>@ingus_kering</v>
      </c>
      <c r="C25397" s="8" t="s">
        <v>2199</v>
      </c>
      <c r="D25397" s="8">
        <v>8265</v>
      </c>
      <c r="E25397" s="8">
        <v>0</v>
      </c>
      <c r="F25397" s="8">
        <v>64</v>
      </c>
    </row>
    <row r="25398" spans="1:6" ht="12.75">
      <c r="A25398" s="8">
        <v>43893.005949074075</v>
      </c>
      <c r="B25398" s="8" t="str">
        <f>HYPERLINK("https://twitter.com/Miramiut","@Miramiut")</f>
        <v>@Miramiut</v>
      </c>
      <c r="C25398" s="8" t="s">
        <v>9117</v>
      </c>
      <c r="D25398" s="8">
        <v>44</v>
      </c>
      <c r="E25398" s="8">
        <v>0</v>
      </c>
      <c r="F25398" s="8">
        <v>2902</v>
      </c>
    </row>
    <row r="25399" spans="1:6" ht="12.75">
      <c r="A25399" s="8">
        <v>43893.005937499998</v>
      </c>
      <c r="B25399" s="8" t="str">
        <f>HYPERLINK("https://twitter.com/gilarpandita","@gilarpandita")</f>
        <v>@gilarpandita</v>
      </c>
      <c r="C25399" s="8" t="s">
        <v>9117</v>
      </c>
      <c r="D25399" s="8">
        <v>44</v>
      </c>
      <c r="E25399" s="8">
        <v>0</v>
      </c>
      <c r="F25399" s="8">
        <v>456</v>
      </c>
    </row>
    <row r="25400" spans="1:6" ht="12.75">
      <c r="A25400" s="8">
        <v>43893.005902777775</v>
      </c>
      <c r="B25400" s="8" t="str">
        <f>HYPERLINK("https://twitter.com/fIcal85360324","@fIcal85360324")</f>
        <v>@fIcal85360324</v>
      </c>
      <c r="C25400" s="8" t="s">
        <v>1970</v>
      </c>
      <c r="D25400" s="8">
        <v>13</v>
      </c>
      <c r="E25400" s="8">
        <v>0</v>
      </c>
      <c r="F25400" s="8">
        <v>542</v>
      </c>
    </row>
    <row r="25401" spans="1:6" ht="12.75">
      <c r="A25401" s="8">
        <v>43893.005868055552</v>
      </c>
      <c r="B25401" s="8" t="str">
        <f>HYPERLINK("https://twitter.com/eggsouco","@eggsouco")</f>
        <v>@eggsouco</v>
      </c>
      <c r="C25401" s="8" t="s">
        <v>1427</v>
      </c>
      <c r="D25401" s="8">
        <v>498</v>
      </c>
      <c r="E25401" s="8">
        <v>0</v>
      </c>
      <c r="F25401" s="8">
        <v>214</v>
      </c>
    </row>
    <row r="25402" spans="1:6" ht="12.75">
      <c r="A25402" s="8">
        <v>43893.005856481483</v>
      </c>
      <c r="B25402" s="8" t="str">
        <f>HYPERLINK("https://twitter.com/NanPaf","@NanPaf")</f>
        <v>@NanPaf</v>
      </c>
      <c r="C25402" s="8" t="s">
        <v>1986</v>
      </c>
      <c r="D25402" s="8">
        <v>492</v>
      </c>
      <c r="E25402" s="8">
        <v>0</v>
      </c>
      <c r="F25402" s="8">
        <v>560</v>
      </c>
    </row>
    <row r="25403" spans="1:6" ht="12.75">
      <c r="A25403" s="8">
        <v>43893.00582175926</v>
      </c>
      <c r="B25403" s="8" t="str">
        <f>HYPERLINK("https://twitter.com/ariepbowo","@ariepbowo")</f>
        <v>@ariepbowo</v>
      </c>
      <c r="C25403" s="8" t="s">
        <v>9117</v>
      </c>
      <c r="D25403" s="8">
        <v>44</v>
      </c>
      <c r="E25403" s="8">
        <v>0</v>
      </c>
      <c r="F25403" s="8">
        <v>411</v>
      </c>
    </row>
    <row r="25404" spans="1:6" ht="12.75">
      <c r="A25404" s="8">
        <v>43893.005682870367</v>
      </c>
      <c r="B25404" s="8" t="str">
        <f>HYPERLINK("https://twitter.com/sukmafijriyanti","@sukmafijriyanti")</f>
        <v>@sukmafijriyanti</v>
      </c>
      <c r="C25404" s="8" t="s">
        <v>9117</v>
      </c>
      <c r="D25404" s="8">
        <v>44</v>
      </c>
      <c r="E25404" s="8">
        <v>0</v>
      </c>
      <c r="F25404" s="8">
        <v>584</v>
      </c>
    </row>
    <row r="25405" spans="1:6" ht="12.75">
      <c r="A25405" s="8">
        <v>43893.005659722221</v>
      </c>
      <c r="B25405" s="8" t="str">
        <f>HYPERLINK("https://twitter.com/Prajudistsa8","@Prajudistsa8")</f>
        <v>@Prajudistsa8</v>
      </c>
      <c r="C25405" s="8" t="s">
        <v>8776</v>
      </c>
      <c r="D25405" s="8">
        <v>164</v>
      </c>
      <c r="E25405" s="8">
        <v>0</v>
      </c>
      <c r="F25405" s="8">
        <v>467</v>
      </c>
    </row>
    <row r="25406" spans="1:6" ht="12.75">
      <c r="A25406" s="8">
        <v>43893.005509259259</v>
      </c>
      <c r="B25406" s="8" t="str">
        <f>HYPERLINK("https://twitter.com/Heni________","@Heni________")</f>
        <v>@Heni________</v>
      </c>
      <c r="C25406" s="8" t="s">
        <v>9117</v>
      </c>
      <c r="D25406" s="8">
        <v>44</v>
      </c>
      <c r="E25406" s="8">
        <v>0</v>
      </c>
      <c r="F25406" s="8">
        <v>188</v>
      </c>
    </row>
    <row r="25407" spans="1:6" ht="12.75">
      <c r="A25407" s="8">
        <v>43893.005439814813</v>
      </c>
      <c r="B25407" s="8" t="str">
        <f>HYPERLINK("https://twitter.com/sapilieurr","@sapilieurr")</f>
        <v>@sapilieurr</v>
      </c>
      <c r="C25407" s="8" t="s">
        <v>9117</v>
      </c>
      <c r="D25407" s="8">
        <v>44</v>
      </c>
      <c r="E25407" s="8">
        <v>0</v>
      </c>
      <c r="F25407" s="8">
        <v>53</v>
      </c>
    </row>
    <row r="25408" spans="1:6" ht="12.75">
      <c r="A25408" s="8">
        <v>43893.005405092597</v>
      </c>
      <c r="B25408" s="8" t="str">
        <f>HYPERLINK("https://twitter.com/XxGr33","@XxGr33")</f>
        <v>@XxGr33</v>
      </c>
      <c r="C25408" s="8" t="s">
        <v>9117</v>
      </c>
      <c r="D25408" s="8">
        <v>44</v>
      </c>
      <c r="E25408" s="8">
        <v>0</v>
      </c>
      <c r="F25408" s="8">
        <v>1212</v>
      </c>
    </row>
    <row r="25409" spans="1:6" ht="12.75">
      <c r="A25409" s="8">
        <v>43893.005381944444</v>
      </c>
      <c r="B25409" s="8" t="str">
        <f>HYPERLINK("https://twitter.com/Ephielophe","@Ephielophe")</f>
        <v>@Ephielophe</v>
      </c>
      <c r="C25409" s="8" t="s">
        <v>2962</v>
      </c>
      <c r="D25409" s="8">
        <v>4460</v>
      </c>
      <c r="E25409" s="8">
        <v>0</v>
      </c>
      <c r="F25409" s="8">
        <v>172</v>
      </c>
    </row>
    <row r="25410" spans="1:6" ht="12.75">
      <c r="A25410" s="8">
        <v>43893.005347222221</v>
      </c>
      <c r="B25410" s="8" t="str">
        <f>HYPERLINK("https://twitter.com/mysuega","@mysuega")</f>
        <v>@mysuega</v>
      </c>
      <c r="C25410" s="8" t="s">
        <v>1427</v>
      </c>
      <c r="D25410" s="8">
        <v>498</v>
      </c>
      <c r="E25410" s="8">
        <v>0</v>
      </c>
      <c r="F25410" s="8">
        <v>698</v>
      </c>
    </row>
    <row r="25411" spans="1:6" ht="12.75">
      <c r="A25411" s="8">
        <v>43893.005312499998</v>
      </c>
      <c r="B25411" s="8" t="str">
        <f>HYPERLINK("https://twitter.com/gracyielaa","@gracyielaa")</f>
        <v>@gracyielaa</v>
      </c>
      <c r="C25411" s="8" t="s">
        <v>9117</v>
      </c>
      <c r="D25411" s="8">
        <v>44</v>
      </c>
      <c r="E25411" s="8">
        <v>0</v>
      </c>
      <c r="F25411" s="8">
        <v>118</v>
      </c>
    </row>
    <row r="25412" spans="1:6" ht="12.75">
      <c r="A25412" s="8">
        <v>43893.005312499998</v>
      </c>
      <c r="B25412" s="8" t="str">
        <f>HYPERLINK("https://twitter.com/SLambardy","@SLambardy")</f>
        <v>@SLambardy</v>
      </c>
      <c r="C25412" s="8" t="s">
        <v>9300</v>
      </c>
      <c r="D25412" s="8">
        <v>142</v>
      </c>
      <c r="E25412" s="8">
        <v>0</v>
      </c>
      <c r="F25412" s="8">
        <v>350</v>
      </c>
    </row>
    <row r="25413" spans="1:6" ht="12.75">
      <c r="A25413" s="8">
        <v>43893.005300925928</v>
      </c>
      <c r="B25413" s="8" t="str">
        <f>HYPERLINK("https://twitter.com/2dibukaB","@2dibukaB")</f>
        <v>@2dibukaB</v>
      </c>
      <c r="C25413" s="8" t="s">
        <v>6764</v>
      </c>
      <c r="D25413" s="8">
        <v>152</v>
      </c>
      <c r="E25413" s="8">
        <v>0</v>
      </c>
      <c r="F25413" s="8">
        <v>1546</v>
      </c>
    </row>
    <row r="25414" spans="1:6" ht="12.75">
      <c r="A25414" s="8">
        <v>43893.005266203705</v>
      </c>
      <c r="B25414" s="8" t="str">
        <f>HYPERLINK("https://twitter.com/misuizah","@misuizah")</f>
        <v>@misuizah</v>
      </c>
      <c r="C25414" s="8" t="s">
        <v>9701</v>
      </c>
      <c r="D25414" s="8">
        <v>1648</v>
      </c>
      <c r="E25414" s="8">
        <v>0</v>
      </c>
      <c r="F25414" s="8">
        <v>204</v>
      </c>
    </row>
    <row r="25415" spans="1:6" ht="12.75">
      <c r="A25415" s="8">
        <v>43893.005266203705</v>
      </c>
      <c r="B25415" s="8" t="str">
        <f>HYPERLINK("https://twitter.com/tyas02580537","@tyas02580537")</f>
        <v>@tyas02580537</v>
      </c>
      <c r="C25415" s="8" t="s">
        <v>9123</v>
      </c>
      <c r="D25415" s="8">
        <v>359</v>
      </c>
      <c r="E25415" s="8">
        <v>0</v>
      </c>
      <c r="F25415" s="8">
        <v>731</v>
      </c>
    </row>
    <row r="25416" spans="1:6" ht="12.75">
      <c r="A25416" s="8">
        <v>43893.005254629628</v>
      </c>
      <c r="B25416" s="8" t="str">
        <f>HYPERLINK("https://twitter.com/koolcaine","@koolcaine")</f>
        <v>@koolcaine</v>
      </c>
      <c r="C25416" s="8" t="s">
        <v>2962</v>
      </c>
      <c r="D25416" s="8">
        <v>4460</v>
      </c>
      <c r="E25416" s="8">
        <v>0</v>
      </c>
      <c r="F25416" s="8">
        <v>107</v>
      </c>
    </row>
    <row r="25417" spans="1:6" ht="12.75">
      <c r="A25417" s="8">
        <v>43893.005231481482</v>
      </c>
      <c r="B25417" s="8" t="str">
        <f>HYPERLINK("https://twitter.com/kangdin223","@kangdin223")</f>
        <v>@kangdin223</v>
      </c>
      <c r="C25417" s="8" t="s">
        <v>10008</v>
      </c>
      <c r="D25417" s="8">
        <v>4</v>
      </c>
      <c r="E25417" s="8">
        <v>0</v>
      </c>
      <c r="F25417" s="8">
        <v>4476</v>
      </c>
    </row>
    <row r="25418" spans="1:6" ht="12.75">
      <c r="A25418" s="8">
        <v>43893.005208333328</v>
      </c>
      <c r="B25418" s="8" t="str">
        <f>HYPERLINK("https://twitter.com/NanPaf","@NanPaf")</f>
        <v>@NanPaf</v>
      </c>
      <c r="C25418" s="8" t="s">
        <v>2199</v>
      </c>
      <c r="D25418" s="8">
        <v>8265</v>
      </c>
      <c r="E25418" s="8">
        <v>0</v>
      </c>
      <c r="F25418" s="8">
        <v>560</v>
      </c>
    </row>
    <row r="25419" spans="1:6" ht="12.75">
      <c r="A25419" s="8">
        <v>43893.005208333328</v>
      </c>
      <c r="B25419" s="8" t="str">
        <f>HYPERLINK("https://twitter.com/wellehellew","@wellehellew")</f>
        <v>@wellehellew</v>
      </c>
      <c r="C25419" s="8" t="s">
        <v>2199</v>
      </c>
      <c r="D25419" s="8">
        <v>8265</v>
      </c>
      <c r="E25419" s="8">
        <v>0</v>
      </c>
      <c r="F25419" s="8">
        <v>32</v>
      </c>
    </row>
    <row r="25420" spans="1:6" ht="12.75">
      <c r="A25420" s="8">
        <v>43893.005196759259</v>
      </c>
      <c r="B25420" s="8" t="str">
        <f>HYPERLINK("https://twitter.com/Adityaadiit","@Adityaadiit")</f>
        <v>@Adityaadiit</v>
      </c>
      <c r="C25420" s="8" t="s">
        <v>9117</v>
      </c>
      <c r="D25420" s="8">
        <v>44</v>
      </c>
      <c r="E25420" s="8">
        <v>0</v>
      </c>
      <c r="F25420" s="8">
        <v>545</v>
      </c>
    </row>
    <row r="25421" spans="1:6" ht="12.75">
      <c r="A25421" s="8">
        <v>43893.00513888889</v>
      </c>
      <c r="B25421" s="8" t="str">
        <f>HYPERLINK("https://twitter.com/PutriiNovikaaa","@PutriiNovikaaa")</f>
        <v>@PutriiNovikaaa</v>
      </c>
      <c r="C25421" s="8" t="s">
        <v>9117</v>
      </c>
      <c r="D25421" s="8">
        <v>44</v>
      </c>
      <c r="E25421" s="8">
        <v>0</v>
      </c>
      <c r="F25421" s="8">
        <v>497</v>
      </c>
    </row>
    <row r="25422" spans="1:6" ht="12.75">
      <c r="A25422" s="8">
        <v>43893.005046296297</v>
      </c>
      <c r="B25422" s="8" t="str">
        <f>HYPERLINK("https://twitter.com/raflivardani","@raflivardani")</f>
        <v>@raflivardani</v>
      </c>
      <c r="C25422" s="8" t="s">
        <v>9123</v>
      </c>
      <c r="D25422" s="8">
        <v>359</v>
      </c>
      <c r="E25422" s="8">
        <v>0</v>
      </c>
      <c r="F25422" s="8">
        <v>7</v>
      </c>
    </row>
    <row r="25423" spans="1:6" ht="12.75">
      <c r="A25423" s="8">
        <v>43893.005000000005</v>
      </c>
      <c r="B25423" s="8" t="str">
        <f>HYPERLINK("https://twitter.com/RizkiSiagian4","@RizkiSiagian4")</f>
        <v>@RizkiSiagian4</v>
      </c>
      <c r="C25423" s="8" t="s">
        <v>9856</v>
      </c>
      <c r="D25423" s="8">
        <v>68</v>
      </c>
      <c r="E25423" s="8">
        <v>0</v>
      </c>
      <c r="F25423" s="8">
        <v>16</v>
      </c>
    </row>
    <row r="25424" spans="1:6" ht="12.75">
      <c r="A25424" s="8">
        <v>43893.004988425921</v>
      </c>
      <c r="B25424" s="8" t="str">
        <f>HYPERLINK("https://twitter.com/erizkatan","@erizkatan")</f>
        <v>@erizkatan</v>
      </c>
      <c r="C25424" s="8" t="s">
        <v>9117</v>
      </c>
      <c r="D25424" s="8">
        <v>44</v>
      </c>
      <c r="E25424" s="8">
        <v>0</v>
      </c>
      <c r="F25424" s="8">
        <v>540</v>
      </c>
    </row>
    <row r="25425" spans="1:6" ht="12.75">
      <c r="A25425" s="8">
        <v>43893.004965277782</v>
      </c>
      <c r="B25425" s="8" t="str">
        <f>HYPERLINK("https://twitter.com/BEBANTEMAN","@BEBANTEMAN")</f>
        <v>@BEBANTEMAN</v>
      </c>
      <c r="C25425" s="8" t="s">
        <v>9117</v>
      </c>
      <c r="D25425" s="8">
        <v>44</v>
      </c>
      <c r="E25425" s="8">
        <v>0</v>
      </c>
      <c r="F25425" s="8">
        <v>675</v>
      </c>
    </row>
    <row r="25426" spans="1:6" ht="12.75">
      <c r="A25426" s="8">
        <v>43893.004965277782</v>
      </c>
      <c r="B25426" s="8" t="str">
        <f>HYPERLINK("https://twitter.com/Itsrina98","@Itsrina98")</f>
        <v>@Itsrina98</v>
      </c>
      <c r="C25426" s="8" t="s">
        <v>9117</v>
      </c>
      <c r="D25426" s="8">
        <v>44</v>
      </c>
      <c r="E25426" s="8">
        <v>0</v>
      </c>
      <c r="F25426" s="8">
        <v>109</v>
      </c>
    </row>
    <row r="25427" spans="1:6" ht="12.75">
      <c r="A25427" s="8">
        <v>43893.004930555559</v>
      </c>
      <c r="B25427" s="8" t="str">
        <f>HYPERLINK("https://twitter.com/_HaddadP","@_HaddadP")</f>
        <v>@_HaddadP</v>
      </c>
      <c r="C25427" s="8" t="s">
        <v>9117</v>
      </c>
      <c r="D25427" s="8">
        <v>44</v>
      </c>
      <c r="E25427" s="8">
        <v>0</v>
      </c>
      <c r="F25427" s="8">
        <v>8424</v>
      </c>
    </row>
    <row r="25428" spans="1:6" ht="12.75">
      <c r="A25428" s="8">
        <v>43893.004895833335</v>
      </c>
      <c r="B25428" s="8" t="str">
        <f>HYPERLINK("https://twitter.com/emanunk","@emanunk")</f>
        <v>@emanunk</v>
      </c>
      <c r="C25428" s="8" t="s">
        <v>10009</v>
      </c>
      <c r="D25428" s="8">
        <v>9</v>
      </c>
      <c r="E25428" s="8">
        <v>0</v>
      </c>
      <c r="F25428" s="8">
        <v>242</v>
      </c>
    </row>
    <row r="25429" spans="1:6" ht="12.75">
      <c r="A25429" s="8">
        <v>43893.004849537036</v>
      </c>
      <c r="B25429" s="8" t="str">
        <f>HYPERLINK("https://twitter.com/2dibukaB","@2dibukaB")</f>
        <v>@2dibukaB</v>
      </c>
      <c r="C25429" s="8" t="s">
        <v>1970</v>
      </c>
      <c r="D25429" s="8">
        <v>13</v>
      </c>
      <c r="E25429" s="8">
        <v>0</v>
      </c>
      <c r="F25429" s="8">
        <v>1546</v>
      </c>
    </row>
    <row r="25430" spans="1:6" ht="12.75">
      <c r="A25430" s="8">
        <v>43893.00481481482</v>
      </c>
      <c r="B25430" s="8" t="str">
        <f>HYPERLINK("https://twitter.com/bramantyo20","@bramantyo20")</f>
        <v>@bramantyo20</v>
      </c>
      <c r="C25430" s="8" t="s">
        <v>9117</v>
      </c>
      <c r="D25430" s="8">
        <v>44</v>
      </c>
      <c r="E25430" s="8">
        <v>0</v>
      </c>
      <c r="F25430" s="8">
        <v>281</v>
      </c>
    </row>
    <row r="25431" spans="1:6" ht="12.75">
      <c r="A25431" s="8">
        <v>43893.004780092597</v>
      </c>
      <c r="B25431" s="8" t="str">
        <f>HYPERLINK("https://twitter.com/ZupersoepriE","@ZupersoepriE")</f>
        <v>@ZupersoepriE</v>
      </c>
      <c r="C25431" s="8" t="s">
        <v>4477</v>
      </c>
      <c r="D25431" s="8">
        <v>830</v>
      </c>
      <c r="E25431" s="8">
        <v>0</v>
      </c>
      <c r="F25431" s="8">
        <v>87</v>
      </c>
    </row>
    <row r="25432" spans="1:6" ht="12.75">
      <c r="A25432" s="8">
        <v>43893.00476851852</v>
      </c>
      <c r="B25432" s="8" t="str">
        <f>HYPERLINK("https://twitter.com/NakLanang10","@NakLanang10")</f>
        <v>@NakLanang10</v>
      </c>
      <c r="C25432" s="8" t="s">
        <v>4477</v>
      </c>
      <c r="D25432" s="8">
        <v>830</v>
      </c>
      <c r="E25432" s="8">
        <v>0</v>
      </c>
      <c r="F25432" s="8">
        <v>43</v>
      </c>
    </row>
    <row r="25433" spans="1:6" ht="12.75">
      <c r="A25433" s="8">
        <v>43893.004699074074</v>
      </c>
      <c r="B25433" s="8" t="str">
        <f>HYPERLINK("https://twitter.com/erteyoyo","@erteyoyo")</f>
        <v>@erteyoyo</v>
      </c>
      <c r="C25433" s="8" t="s">
        <v>1970</v>
      </c>
      <c r="D25433" s="8">
        <v>13</v>
      </c>
      <c r="E25433" s="8">
        <v>0</v>
      </c>
      <c r="F25433" s="8">
        <v>983</v>
      </c>
    </row>
    <row r="25434" spans="1:6" ht="12.75">
      <c r="A25434" s="8">
        <v>43893.004687499997</v>
      </c>
      <c r="B25434" s="8" t="str">
        <f>HYPERLINK("https://twitter.com/wildanello","@wildanello")</f>
        <v>@wildanello</v>
      </c>
      <c r="C25434" s="8" t="s">
        <v>9117</v>
      </c>
      <c r="D25434" s="8">
        <v>44</v>
      </c>
      <c r="E25434" s="8">
        <v>0</v>
      </c>
      <c r="F25434" s="8">
        <v>353</v>
      </c>
    </row>
    <row r="25435" spans="1:6" ht="12.75">
      <c r="A25435" s="8">
        <v>43893.004687499997</v>
      </c>
      <c r="B25435" s="8" t="str">
        <f>HYPERLINK("https://twitter.com/rusycchi","@rusycchi")</f>
        <v>@rusycchi</v>
      </c>
      <c r="C25435" s="8" t="s">
        <v>1427</v>
      </c>
      <c r="D25435" s="8">
        <v>498</v>
      </c>
      <c r="E25435" s="8">
        <v>0</v>
      </c>
      <c r="F25435" s="8">
        <v>78</v>
      </c>
    </row>
    <row r="25436" spans="1:6" ht="12.75">
      <c r="A25436" s="8">
        <v>43893.004687499997</v>
      </c>
      <c r="B25436" s="8" t="str">
        <f>HYPERLINK("https://twitter.com/ohlafviuousaaaa","@ohlafviuousaaaa")</f>
        <v>@ohlafviuousaaaa</v>
      </c>
      <c r="C25436" s="8" t="s">
        <v>2199</v>
      </c>
      <c r="D25436" s="8">
        <v>8265</v>
      </c>
      <c r="E25436" s="8">
        <v>0</v>
      </c>
      <c r="F25436" s="8">
        <v>1585</v>
      </c>
    </row>
    <row r="25437" spans="1:6" ht="12.75">
      <c r="A25437" s="8">
        <v>43893.004687499997</v>
      </c>
      <c r="B25437" s="8" t="str">
        <f>HYPERLINK("https://twitter.com/BungaAmaliaaa","@BungaAmaliaaa")</f>
        <v>@BungaAmaliaaa</v>
      </c>
      <c r="C25437" s="8" t="s">
        <v>9117</v>
      </c>
      <c r="D25437" s="8">
        <v>44</v>
      </c>
      <c r="E25437" s="8">
        <v>0</v>
      </c>
      <c r="F25437" s="8">
        <v>551</v>
      </c>
    </row>
    <row r="25438" spans="1:6" ht="12.75">
      <c r="A25438" s="8">
        <v>43893.004513888889</v>
      </c>
      <c r="B25438" s="8" t="str">
        <f>HYPERLINK("https://twitter.com/InCorproduction","@InCorproduction")</f>
        <v>@InCorproduction</v>
      </c>
      <c r="C25438" s="8" t="s">
        <v>9117</v>
      </c>
      <c r="D25438" s="8">
        <v>44</v>
      </c>
      <c r="E25438" s="8">
        <v>0</v>
      </c>
      <c r="F25438" s="8">
        <v>199</v>
      </c>
    </row>
    <row r="25439" spans="1:6" ht="12.75">
      <c r="A25439" s="8">
        <v>43893.004513888889</v>
      </c>
      <c r="B25439" s="8" t="str">
        <f>HYPERLINK("https://twitter.com/indra_comrades","@indra_comrades")</f>
        <v>@indra_comrades</v>
      </c>
      <c r="C25439" s="8" t="s">
        <v>10010</v>
      </c>
      <c r="D25439" s="8">
        <v>14</v>
      </c>
      <c r="E25439" s="8">
        <v>0</v>
      </c>
      <c r="F25439" s="8">
        <v>126</v>
      </c>
    </row>
    <row r="25440" spans="1:6" ht="12.75">
      <c r="A25440" s="8">
        <v>43893.004479166666</v>
      </c>
      <c r="B25440" s="8" t="str">
        <f>HYPERLINK("https://twitter.com/brigitalistya","@brigitalistya")</f>
        <v>@brigitalistya</v>
      </c>
      <c r="C25440" s="8" t="s">
        <v>9117</v>
      </c>
      <c r="D25440" s="8">
        <v>44</v>
      </c>
      <c r="E25440" s="8">
        <v>0</v>
      </c>
      <c r="F25440" s="8">
        <v>300</v>
      </c>
    </row>
    <row r="25441" spans="1:6" ht="12.75">
      <c r="A25441" s="8">
        <v>43893.004398148143</v>
      </c>
      <c r="B25441" s="8" t="str">
        <f>HYPERLINK("https://twitter.com/iranamira_","@iranamira_")</f>
        <v>@iranamira_</v>
      </c>
      <c r="C25441" s="8" t="s">
        <v>1970</v>
      </c>
      <c r="D25441" s="8">
        <v>13</v>
      </c>
      <c r="E25441" s="8">
        <v>0</v>
      </c>
      <c r="F25441" s="8">
        <v>318</v>
      </c>
    </row>
    <row r="25442" spans="1:6" ht="12.75">
      <c r="A25442" s="8">
        <v>43893.004236111112</v>
      </c>
      <c r="B25442" s="8" t="str">
        <f>HYPERLINK("https://twitter.com/dindun80","@dindun80")</f>
        <v>@dindun80</v>
      </c>
      <c r="C25442" s="8" t="s">
        <v>1970</v>
      </c>
      <c r="D25442" s="8">
        <v>13</v>
      </c>
      <c r="E25442" s="8">
        <v>0</v>
      </c>
      <c r="F25442" s="8">
        <v>108</v>
      </c>
    </row>
    <row r="25443" spans="1:6" ht="12.75">
      <c r="A25443" s="8">
        <v>43893.004236111112</v>
      </c>
      <c r="B25443" s="8" t="str">
        <f>HYPERLINK("https://twitter.com/apriliaatikaa","@apriliaatikaa")</f>
        <v>@apriliaatikaa</v>
      </c>
      <c r="C25443" s="8" t="s">
        <v>10011</v>
      </c>
      <c r="D25443" s="8">
        <v>4</v>
      </c>
      <c r="E25443" s="8">
        <v>0</v>
      </c>
      <c r="F25443" s="8">
        <v>136</v>
      </c>
    </row>
    <row r="25444" spans="1:6" ht="12.75">
      <c r="A25444" s="8">
        <v>43893.004212962958</v>
      </c>
      <c r="B25444" s="8" t="str">
        <f>HYPERLINK("https://twitter.com/maylan_ratna","@maylan_ratna")</f>
        <v>@maylan_ratna</v>
      </c>
      <c r="C25444" s="8" t="s">
        <v>9295</v>
      </c>
      <c r="D25444" s="8">
        <v>126</v>
      </c>
      <c r="E25444" s="8">
        <v>0</v>
      </c>
      <c r="F25444" s="8">
        <v>1182</v>
      </c>
    </row>
    <row r="25445" spans="1:6" ht="12.75">
      <c r="A25445" s="8">
        <v>43893.004189814819</v>
      </c>
      <c r="B25445" s="8" t="str">
        <f>HYPERLINK("https://twitter.com/AnakLolina","@AnakLolina")</f>
        <v>@AnakLolina</v>
      </c>
      <c r="C25445" s="8" t="s">
        <v>10008</v>
      </c>
      <c r="D25445" s="8">
        <v>4</v>
      </c>
      <c r="E25445" s="8">
        <v>0</v>
      </c>
      <c r="F25445" s="8">
        <v>15093</v>
      </c>
    </row>
    <row r="25446" spans="1:6" ht="12.75">
      <c r="A25446" s="8">
        <v>43893.004178240742</v>
      </c>
      <c r="B25446" s="8" t="str">
        <f>HYPERLINK("https://twitter.com/TQCAMp96","@TQCAMp96")</f>
        <v>@TQCAMp96</v>
      </c>
      <c r="C25446" s="8" t="s">
        <v>7661</v>
      </c>
      <c r="D25446" s="8">
        <v>334</v>
      </c>
      <c r="E25446" s="8">
        <v>0</v>
      </c>
      <c r="F25446" s="8">
        <v>138</v>
      </c>
    </row>
    <row r="25447" spans="1:6" ht="12.75">
      <c r="A25447" s="8">
        <v>43893.004108796296</v>
      </c>
      <c r="B25447" s="8" t="str">
        <f>HYPERLINK("https://twitter.com/abbuabu","@abbuabu")</f>
        <v>@abbuabu</v>
      </c>
      <c r="C25447" s="8" t="s">
        <v>9117</v>
      </c>
      <c r="D25447" s="8">
        <v>44</v>
      </c>
      <c r="E25447" s="8">
        <v>0</v>
      </c>
      <c r="F25447" s="8">
        <v>217</v>
      </c>
    </row>
    <row r="25448" spans="1:6" ht="12.75">
      <c r="A25448" s="8">
        <v>43893.00409722222</v>
      </c>
      <c r="B25448" s="8" t="str">
        <f>HYPERLINK("https://twitter.com/ernestprakasa","@ernestprakasa")</f>
        <v>@ernestprakasa</v>
      </c>
      <c r="C25448" s="8" t="s">
        <v>9117</v>
      </c>
      <c r="D25448" s="8">
        <v>44</v>
      </c>
      <c r="E25448" s="8">
        <v>0</v>
      </c>
      <c r="F25448" s="8">
        <v>751454</v>
      </c>
    </row>
    <row r="25449" spans="1:6" ht="12.75">
      <c r="A25449" s="8">
        <v>43893.004050925927</v>
      </c>
      <c r="B25449" s="8" t="str">
        <f>HYPERLINK("https://twitter.com/tantearine","@tantearine")</f>
        <v>@tantearine</v>
      </c>
      <c r="C25449" s="8" t="s">
        <v>6832</v>
      </c>
      <c r="D25449" s="8">
        <v>826</v>
      </c>
      <c r="E25449" s="8">
        <v>0</v>
      </c>
      <c r="F25449" s="8">
        <v>490</v>
      </c>
    </row>
    <row r="25450" spans="1:6" ht="12.75">
      <c r="A25450" s="8">
        <v>43893.003877314812</v>
      </c>
      <c r="B25450" s="8" t="str">
        <f>HYPERLINK("https://twitter.com/urbabyqueen","@urbabyqueen")</f>
        <v>@urbabyqueen</v>
      </c>
      <c r="C25450" s="8" t="s">
        <v>10012</v>
      </c>
      <c r="D25450" s="8">
        <v>37</v>
      </c>
      <c r="E25450" s="8">
        <v>0</v>
      </c>
      <c r="F25450" s="8">
        <v>232</v>
      </c>
    </row>
    <row r="25451" spans="1:6" ht="12.75">
      <c r="A25451" s="8">
        <v>43893.003854166665</v>
      </c>
      <c r="B25451" s="8" t="str">
        <f>HYPERLINK("https://twitter.com/bahrifull","@bahrifull")</f>
        <v>@bahrifull</v>
      </c>
      <c r="C25451" s="8" t="s">
        <v>9903</v>
      </c>
      <c r="D25451" s="8">
        <v>7</v>
      </c>
      <c r="E25451" s="8">
        <v>0</v>
      </c>
      <c r="F25451" s="8">
        <v>680</v>
      </c>
    </row>
    <row r="25452" spans="1:6" ht="12.75">
      <c r="A25452" s="8">
        <v>43893.003784722227</v>
      </c>
      <c r="B25452" s="8" t="str">
        <f>HYPERLINK("https://twitter.com/theideight","@theideight")</f>
        <v>@theideight</v>
      </c>
      <c r="C25452" s="8" t="s">
        <v>2962</v>
      </c>
      <c r="D25452" s="8">
        <v>4460</v>
      </c>
      <c r="E25452" s="8">
        <v>0</v>
      </c>
      <c r="F25452" s="8">
        <v>474</v>
      </c>
    </row>
    <row r="25453" spans="1:6" ht="12.75">
      <c r="A25453" s="8">
        <v>43893.00372685185</v>
      </c>
      <c r="B25453" s="8" t="str">
        <f>HYPERLINK("https://twitter.com/chocolatos4ribu","@chocolatos4ribu")</f>
        <v>@chocolatos4ribu</v>
      </c>
      <c r="C25453" s="8" t="s">
        <v>2199</v>
      </c>
      <c r="D25453" s="8">
        <v>8265</v>
      </c>
      <c r="E25453" s="8">
        <v>0</v>
      </c>
      <c r="F25453" s="8">
        <v>975</v>
      </c>
    </row>
    <row r="25454" spans="1:6" ht="12.75">
      <c r="A25454" s="8">
        <v>43893.003645833334</v>
      </c>
      <c r="B25454" s="8" t="str">
        <f>HYPERLINK("https://twitter.com/abrar_shadiq","@abrar_shadiq")</f>
        <v>@abrar_shadiq</v>
      </c>
      <c r="C25454" s="8" t="s">
        <v>4477</v>
      </c>
      <c r="D25454" s="8">
        <v>830</v>
      </c>
      <c r="E25454" s="8">
        <v>0</v>
      </c>
      <c r="F25454" s="8">
        <v>248</v>
      </c>
    </row>
    <row r="25455" spans="1:6" ht="12.75">
      <c r="A25455" s="8">
        <v>43893.003587962958</v>
      </c>
      <c r="B25455" s="8" t="str">
        <f>HYPERLINK("https://twitter.com/elansuh34270070","@elansuh34270070")</f>
        <v>@elansuh34270070</v>
      </c>
      <c r="C25455" s="8" t="s">
        <v>7597</v>
      </c>
      <c r="D25455" s="8">
        <v>472</v>
      </c>
      <c r="E25455" s="8">
        <v>0</v>
      </c>
      <c r="F25455" s="8">
        <v>345</v>
      </c>
    </row>
    <row r="25456" spans="1:6" ht="12.75">
      <c r="A25456" s="8">
        <v>43893.003541666665</v>
      </c>
      <c r="B25456" s="8" t="str">
        <f>HYPERLINK("https://twitter.com/Rooster78B","@Rooster78B")</f>
        <v>@Rooster78B</v>
      </c>
      <c r="C25456" s="8" t="s">
        <v>1970</v>
      </c>
      <c r="D25456" s="8">
        <v>13</v>
      </c>
      <c r="E25456" s="8">
        <v>0</v>
      </c>
      <c r="F25456" s="8">
        <v>1623</v>
      </c>
    </row>
    <row r="25457" spans="1:6" ht="12.75">
      <c r="A25457" s="8">
        <v>43893.003483796296</v>
      </c>
      <c r="B25457" s="8" t="str">
        <f>HYPERLINK("https://twitter.com/Karinnasy__","@Karinnasy__")</f>
        <v>@Karinnasy__</v>
      </c>
      <c r="C25457" s="8" t="s">
        <v>2962</v>
      </c>
      <c r="D25457" s="8">
        <v>4460</v>
      </c>
      <c r="E25457" s="8">
        <v>0</v>
      </c>
      <c r="F25457" s="8">
        <v>128</v>
      </c>
    </row>
    <row r="25458" spans="1:6" ht="12.75">
      <c r="A25458" s="8">
        <v>43893.003449074073</v>
      </c>
      <c r="B25458" s="8" t="str">
        <f>HYPERLINK("https://twitter.com/hepipurwana","@hepipurwana")</f>
        <v>@hepipurwana</v>
      </c>
      <c r="C25458" s="8" t="s">
        <v>9270</v>
      </c>
      <c r="D25458" s="8">
        <v>103</v>
      </c>
      <c r="E25458" s="8">
        <v>0</v>
      </c>
      <c r="F25458" s="8">
        <v>368</v>
      </c>
    </row>
    <row r="25459" spans="1:6" ht="12.75">
      <c r="A25459" s="8">
        <v>43893.003229166672</v>
      </c>
      <c r="B25459" s="8" t="str">
        <f>HYPERLINK("https://twitter.com/chrystaaI","@chrystaaI")</f>
        <v>@chrystaaI</v>
      </c>
      <c r="C25459" s="8" t="s">
        <v>9945</v>
      </c>
      <c r="D25459" s="8">
        <v>1121</v>
      </c>
      <c r="E25459" s="8">
        <v>0</v>
      </c>
      <c r="F25459" s="8">
        <v>3118</v>
      </c>
    </row>
    <row r="25460" spans="1:6" ht="12.75">
      <c r="A25460" s="8">
        <v>43893.003194444449</v>
      </c>
      <c r="B25460" s="8" t="str">
        <f>HYPERLINK("https://twitter.com/awecho99","@awecho99")</f>
        <v>@awecho99</v>
      </c>
      <c r="C25460" s="8" t="s">
        <v>10013</v>
      </c>
      <c r="D25460" s="8">
        <v>0</v>
      </c>
      <c r="E25460" s="8">
        <v>0</v>
      </c>
      <c r="F25460" s="8">
        <v>174</v>
      </c>
    </row>
    <row r="25461" spans="1:6" ht="12.75">
      <c r="A25461" s="8">
        <v>43893.003113425926</v>
      </c>
      <c r="B25461" s="8" t="str">
        <f>HYPERLINK("https://twitter.com/SirSanndy","@SirSanndy")</f>
        <v>@SirSanndy</v>
      </c>
      <c r="C25461" s="8" t="s">
        <v>1970</v>
      </c>
      <c r="D25461" s="8">
        <v>13</v>
      </c>
      <c r="E25461" s="8">
        <v>0</v>
      </c>
      <c r="F25461" s="8">
        <v>609</v>
      </c>
    </row>
    <row r="25462" spans="1:6" ht="12.75">
      <c r="A25462" s="8">
        <v>43893.00309027778</v>
      </c>
      <c r="B25462" s="8" t="str">
        <f>HYPERLINK("https://twitter.com/riissooll","@riissooll")</f>
        <v>@riissooll</v>
      </c>
      <c r="C25462" s="8" t="s">
        <v>2962</v>
      </c>
      <c r="D25462" s="8">
        <v>4460</v>
      </c>
      <c r="E25462" s="8">
        <v>0</v>
      </c>
      <c r="F25462" s="8">
        <v>458</v>
      </c>
    </row>
    <row r="25463" spans="1:6" ht="12.75">
      <c r="A25463" s="8">
        <v>43893.003055555557</v>
      </c>
      <c r="B25463" s="8" t="str">
        <f>HYPERLINK("https://twitter.com/AlvaroDeBazan2","@AlvaroDeBazan2")</f>
        <v>@AlvaroDeBazan2</v>
      </c>
      <c r="C25463" s="8" t="s">
        <v>9954</v>
      </c>
      <c r="D25463" s="8">
        <v>18</v>
      </c>
      <c r="E25463" s="8">
        <v>0</v>
      </c>
      <c r="F25463" s="8">
        <v>266</v>
      </c>
    </row>
    <row r="25464" spans="1:6" ht="12.75">
      <c r="A25464" s="8">
        <v>43893.003020833334</v>
      </c>
      <c r="B25464" s="8" t="str">
        <f>HYPERLINK("https://twitter.com/GUMARABUIWIL","@GUMARABUIWIL")</f>
        <v>@GUMARABUIWIL</v>
      </c>
      <c r="C25464" s="8" t="s">
        <v>10014</v>
      </c>
      <c r="D25464" s="8">
        <v>0</v>
      </c>
      <c r="E25464" s="8">
        <v>0</v>
      </c>
      <c r="F25464" s="8">
        <v>1756</v>
      </c>
    </row>
    <row r="25465" spans="1:6" ht="12.75">
      <c r="A25465" s="8">
        <v>43893.003009259264</v>
      </c>
      <c r="B25465" s="8" t="str">
        <f>HYPERLINK("https://twitter.com/dangernoodss","@dangernoodss")</f>
        <v>@dangernoodss</v>
      </c>
      <c r="C25465" s="8" t="s">
        <v>2962</v>
      </c>
      <c r="D25465" s="8">
        <v>4460</v>
      </c>
      <c r="E25465" s="8">
        <v>0</v>
      </c>
      <c r="F25465" s="8">
        <v>255</v>
      </c>
    </row>
    <row r="25466" spans="1:6" ht="12.75">
      <c r="A25466" s="8">
        <v>43893.003009259264</v>
      </c>
      <c r="B25466" s="8" t="str">
        <f>HYPERLINK("https://twitter.com/topinfo_id","@topinfo_id")</f>
        <v>@topinfo_id</v>
      </c>
      <c r="C25466" s="8" t="s">
        <v>10015</v>
      </c>
      <c r="D25466" s="8">
        <v>0</v>
      </c>
      <c r="E25466" s="8">
        <v>0</v>
      </c>
      <c r="F25466" s="8">
        <v>37</v>
      </c>
    </row>
    <row r="25467" spans="1:6" ht="12.75">
      <c r="A25467" s="8">
        <v>43893.002951388888</v>
      </c>
      <c r="B25467" s="8" t="str">
        <f>HYPERLINK("https://twitter.com/kicepkicep","@kicepkicep")</f>
        <v>@kicepkicep</v>
      </c>
      <c r="C25467" s="8" t="s">
        <v>9817</v>
      </c>
      <c r="D25467" s="8">
        <v>17</v>
      </c>
      <c r="E25467" s="8">
        <v>0</v>
      </c>
      <c r="F25467" s="8">
        <v>1252</v>
      </c>
    </row>
    <row r="25468" spans="1:6" ht="12.75">
      <c r="A25468" s="8">
        <v>43893.002928240741</v>
      </c>
      <c r="B25468" s="8" t="str">
        <f>HYPERLINK("https://twitter.com/AlvaroDeBazan2","@AlvaroDeBazan2")</f>
        <v>@AlvaroDeBazan2</v>
      </c>
      <c r="C25468" s="8" t="s">
        <v>10016</v>
      </c>
      <c r="D25468" s="8">
        <v>13</v>
      </c>
      <c r="E25468" s="8">
        <v>0</v>
      </c>
      <c r="F25468" s="8">
        <v>266</v>
      </c>
    </row>
    <row r="25469" spans="1:6" ht="12.75">
      <c r="A25469" s="8">
        <v>43893.002870370372</v>
      </c>
      <c r="B25469" s="8" t="str">
        <f>HYPERLINK("https://twitter.com/rafiqi_28","@rafiqi_28")</f>
        <v>@rafiqi_28</v>
      </c>
      <c r="C25469" s="8" t="s">
        <v>10017</v>
      </c>
      <c r="D25469" s="8">
        <v>0</v>
      </c>
      <c r="E25469" s="8">
        <v>0</v>
      </c>
      <c r="F25469" s="8">
        <v>898</v>
      </c>
    </row>
    <row r="25470" spans="1:6" ht="12.75">
      <c r="A25470" s="8">
        <v>43893.00273148148</v>
      </c>
      <c r="B25470" s="8" t="str">
        <f>HYPERLINK("https://twitter.com/IbnuSholh","@IbnuSholh")</f>
        <v>@IbnuSholh</v>
      </c>
      <c r="C25470" s="8" t="s">
        <v>1970</v>
      </c>
      <c r="D25470" s="8">
        <v>13</v>
      </c>
      <c r="E25470" s="8">
        <v>0</v>
      </c>
      <c r="F25470" s="8">
        <v>2614</v>
      </c>
    </row>
    <row r="25471" spans="1:6" ht="12.75">
      <c r="A25471" s="8">
        <v>43893.00267361111</v>
      </c>
      <c r="B25471" s="8" t="str">
        <f>HYPERLINK("https://twitter.com/jaehyucg","@jaehyucg")</f>
        <v>@jaehyucg</v>
      </c>
      <c r="C25471" s="8" t="s">
        <v>1427</v>
      </c>
      <c r="D25471" s="8">
        <v>498</v>
      </c>
      <c r="E25471" s="8">
        <v>0</v>
      </c>
      <c r="F25471" s="8">
        <v>112</v>
      </c>
    </row>
    <row r="25472" spans="1:6" ht="12.75">
      <c r="A25472" s="8">
        <v>43893.002627314811</v>
      </c>
      <c r="B25472" s="8" t="str">
        <f>HYPERLINK("https://twitter.com/iceaen","@iceaen")</f>
        <v>@iceaen</v>
      </c>
      <c r="C25472" s="8" t="s">
        <v>8842</v>
      </c>
      <c r="D25472" s="8">
        <v>154</v>
      </c>
      <c r="E25472" s="8">
        <v>0</v>
      </c>
      <c r="F25472" s="8">
        <v>560</v>
      </c>
    </row>
    <row r="25473" spans="1:6" ht="12.75">
      <c r="A25473" s="8">
        <v>43893.002592592587</v>
      </c>
      <c r="B25473" s="8" t="str">
        <f>HYPERLINK("https://twitter.com/iNewsID","@iNewsID")</f>
        <v>@iNewsID</v>
      </c>
      <c r="C25473" s="8" t="s">
        <v>10018</v>
      </c>
      <c r="D25473" s="8">
        <v>0</v>
      </c>
      <c r="E25473" s="8">
        <v>0</v>
      </c>
      <c r="F25473" s="8">
        <v>1355</v>
      </c>
    </row>
    <row r="25474" spans="1:6" ht="12.75">
      <c r="A25474" s="8">
        <v>43893.002592592587</v>
      </c>
      <c r="B25474" s="8" t="str">
        <f>HYPERLINK("https://twitter.com/imelagustin78","@imelagustin78")</f>
        <v>@imelagustin78</v>
      </c>
      <c r="C25474" s="8" t="s">
        <v>9945</v>
      </c>
      <c r="D25474" s="8">
        <v>1121</v>
      </c>
      <c r="E25474" s="8">
        <v>0</v>
      </c>
      <c r="F25474" s="8">
        <v>971</v>
      </c>
    </row>
    <row r="25475" spans="1:6" ht="12.75">
      <c r="A25475" s="8">
        <v>43893.002523148149</v>
      </c>
      <c r="B25475" s="8" t="str">
        <f>HYPERLINK("https://twitter.com/Mario45202557","@Mario45202557")</f>
        <v>@Mario45202557</v>
      </c>
      <c r="C25475" s="8" t="s">
        <v>1427</v>
      </c>
      <c r="D25475" s="8">
        <v>498</v>
      </c>
      <c r="E25475" s="8">
        <v>0</v>
      </c>
      <c r="F25475" s="8">
        <v>50</v>
      </c>
    </row>
    <row r="25476" spans="1:6" ht="12.75">
      <c r="A25476" s="8">
        <v>43893.002465277779</v>
      </c>
      <c r="B25476" s="8" t="str">
        <f>HYPERLINK("https://twitter.com/MoTeeTee","@MoTeeTee")</f>
        <v>@MoTeeTee</v>
      </c>
      <c r="C25476" s="8" t="s">
        <v>2962</v>
      </c>
      <c r="D25476" s="8">
        <v>4460</v>
      </c>
      <c r="E25476" s="8">
        <v>0</v>
      </c>
      <c r="F25476" s="8">
        <v>758</v>
      </c>
    </row>
    <row r="25477" spans="1:6" ht="12.75">
      <c r="A25477" s="8">
        <v>43893.002372685187</v>
      </c>
      <c r="B25477" s="8" t="str">
        <f t="shared" ref="B25477:B25478" si="359">HYPERLINK("https://twitter.com/AlvaroDeBazan2","@AlvaroDeBazan2")</f>
        <v>@AlvaroDeBazan2</v>
      </c>
      <c r="C25477" s="8" t="s">
        <v>10019</v>
      </c>
      <c r="D25477" s="8">
        <v>49</v>
      </c>
      <c r="E25477" s="8">
        <v>0</v>
      </c>
      <c r="F25477" s="8">
        <v>266</v>
      </c>
    </row>
    <row r="25478" spans="1:6" ht="12.75">
      <c r="A25478" s="8">
        <v>43893.002349537041</v>
      </c>
      <c r="B25478" s="8" t="str">
        <f t="shared" si="359"/>
        <v>@AlvaroDeBazan2</v>
      </c>
      <c r="C25478" s="8" t="s">
        <v>10020</v>
      </c>
      <c r="D25478" s="8">
        <v>24</v>
      </c>
      <c r="E25478" s="8">
        <v>0</v>
      </c>
      <c r="F25478" s="8">
        <v>266</v>
      </c>
    </row>
    <row r="25479" spans="1:6" ht="12.75">
      <c r="A25479" s="8">
        <v>43893.002314814818</v>
      </c>
      <c r="B25479" s="8" t="str">
        <f>HYPERLINK("https://twitter.com/nzfadifa","@nzfadifa")</f>
        <v>@nzfadifa</v>
      </c>
      <c r="C25479" s="8" t="s">
        <v>2199</v>
      </c>
      <c r="D25479" s="8">
        <v>8265</v>
      </c>
      <c r="E25479" s="8">
        <v>0</v>
      </c>
      <c r="F25479" s="8">
        <v>524</v>
      </c>
    </row>
    <row r="25480" spans="1:6" ht="12.75">
      <c r="A25480" s="8">
        <v>43892.965185185181</v>
      </c>
      <c r="B25480" s="8" t="str">
        <f>HYPERLINK("https://twitter.com/muiz_b1k","@muiz_b1k")</f>
        <v>@muiz_b1k</v>
      </c>
      <c r="C25480" s="8" t="s">
        <v>9772</v>
      </c>
      <c r="D25480" s="8">
        <v>65</v>
      </c>
      <c r="E25480" s="8">
        <v>0</v>
      </c>
      <c r="F25480" s="8">
        <v>245</v>
      </c>
    </row>
    <row r="25481" spans="1:6" ht="12.75">
      <c r="A25481" s="8">
        <v>43892.965162037042</v>
      </c>
      <c r="B25481" s="8" t="str">
        <f>HYPERLINK("https://twitter.com/ristyaau","@ristyaau")</f>
        <v>@ristyaau</v>
      </c>
      <c r="C25481" s="8" t="s">
        <v>2962</v>
      </c>
      <c r="D25481" s="8">
        <v>4268</v>
      </c>
      <c r="E25481" s="8">
        <v>0</v>
      </c>
      <c r="F25481" s="8">
        <v>937</v>
      </c>
    </row>
    <row r="25482" spans="1:6" ht="12.75">
      <c r="A25482" s="8">
        <v>43892.965092592596</v>
      </c>
      <c r="B25482" s="8" t="str">
        <f>HYPERLINK("https://twitter.com/V_Stone_Kardol","@V_Stone_Kardol")</f>
        <v>@V_Stone_Kardol</v>
      </c>
      <c r="C25482" s="8" t="s">
        <v>10021</v>
      </c>
      <c r="D25482" s="8">
        <v>3</v>
      </c>
      <c r="E25482" s="8">
        <v>0</v>
      </c>
      <c r="F25482" s="8">
        <v>8357</v>
      </c>
    </row>
    <row r="25483" spans="1:6" ht="12.75">
      <c r="A25483" s="8">
        <v>43892.965046296296</v>
      </c>
      <c r="B25483" s="8" t="str">
        <f>HYPERLINK("https://twitter.com/maretakha","@maretakha")</f>
        <v>@maretakha</v>
      </c>
      <c r="C25483" s="8" t="s">
        <v>10004</v>
      </c>
      <c r="D25483" s="8">
        <v>58</v>
      </c>
      <c r="E25483" s="8">
        <v>0</v>
      </c>
      <c r="F25483" s="8">
        <v>1151</v>
      </c>
    </row>
    <row r="25484" spans="1:6" ht="12.75">
      <c r="A25484" s="8">
        <v>43892.96503472222</v>
      </c>
      <c r="B25484" s="8" t="str">
        <f>HYPERLINK("https://twitter.com/ochochimaru","@ochochimaru")</f>
        <v>@ochochimaru</v>
      </c>
      <c r="C25484" s="8" t="s">
        <v>10022</v>
      </c>
      <c r="D25484" s="8">
        <v>0</v>
      </c>
      <c r="E25484" s="8">
        <v>0</v>
      </c>
      <c r="F25484" s="8">
        <v>62</v>
      </c>
    </row>
    <row r="25485" spans="1:6" ht="12.75">
      <c r="A25485" s="8">
        <v>43892.964999999997</v>
      </c>
      <c r="B25485" s="8" t="str">
        <f>HYPERLINK("https://twitter.com/Ai_Alwii_","@Ai_Alwii_")</f>
        <v>@Ai_Alwii_</v>
      </c>
      <c r="C25485" s="8" t="s">
        <v>10023</v>
      </c>
      <c r="D25485" s="8">
        <v>0</v>
      </c>
      <c r="E25485" s="8">
        <v>0</v>
      </c>
      <c r="F25485" s="8">
        <v>871</v>
      </c>
    </row>
    <row r="25486" spans="1:6" ht="12.75">
      <c r="A25486" s="8">
        <v>43892.96497685185</v>
      </c>
      <c r="B25486" s="8" t="str">
        <f>HYPERLINK("https://twitter.com/faiz_hazny","@faiz_hazny")</f>
        <v>@faiz_hazny</v>
      </c>
      <c r="C25486" s="8" t="s">
        <v>7149</v>
      </c>
      <c r="D25486" s="8">
        <v>307</v>
      </c>
      <c r="E25486" s="8">
        <v>0</v>
      </c>
      <c r="F25486" s="8">
        <v>109</v>
      </c>
    </row>
    <row r="25487" spans="1:6" ht="12.75">
      <c r="A25487" s="8">
        <v>43892.964953703704</v>
      </c>
      <c r="B25487" s="8" t="str">
        <f>HYPERLINK("https://twitter.com/MVVZ3","@MVVZ3")</f>
        <v>@MVVZ3</v>
      </c>
      <c r="C25487" s="8" t="s">
        <v>8322</v>
      </c>
      <c r="D25487" s="8">
        <v>575</v>
      </c>
      <c r="E25487" s="8">
        <v>0</v>
      </c>
      <c r="F25487" s="8">
        <v>1062</v>
      </c>
    </row>
    <row r="25488" spans="1:6" ht="12.75">
      <c r="A25488" s="8">
        <v>43892.964918981481</v>
      </c>
      <c r="B25488" s="8" t="str">
        <f>HYPERLINK("https://twitter.com/MahinFatavit","@MahinFatavit")</f>
        <v>@MahinFatavit</v>
      </c>
      <c r="C25488" s="8" t="s">
        <v>1427</v>
      </c>
      <c r="D25488" s="8">
        <v>417</v>
      </c>
      <c r="E25488" s="8">
        <v>0</v>
      </c>
      <c r="F25488" s="8">
        <v>6043</v>
      </c>
    </row>
    <row r="25489" spans="1:6" ht="12.75">
      <c r="A25489" s="8">
        <v>43892.964918981481</v>
      </c>
      <c r="B25489" s="8" t="str">
        <f>HYPERLINK("https://twitter.com/rizqibekti","@rizqibekti")</f>
        <v>@rizqibekti</v>
      </c>
      <c r="C25489" s="8" t="s">
        <v>10024</v>
      </c>
      <c r="D25489" s="8">
        <v>0</v>
      </c>
      <c r="E25489" s="8">
        <v>0</v>
      </c>
      <c r="F25489" s="8">
        <v>18</v>
      </c>
    </row>
    <row r="25490" spans="1:6" ht="12.75">
      <c r="A25490" s="8">
        <v>43892.964907407411</v>
      </c>
      <c r="B25490" s="8" t="str">
        <f>HYPERLINK("https://twitter.com/meriaustyn","@meriaustyn")</f>
        <v>@meriaustyn</v>
      </c>
      <c r="C25490" s="8" t="s">
        <v>2962</v>
      </c>
      <c r="D25490" s="8">
        <v>4268</v>
      </c>
      <c r="E25490" s="8">
        <v>0</v>
      </c>
      <c r="F25490" s="8">
        <v>429</v>
      </c>
    </row>
    <row r="25491" spans="1:6" ht="12.75">
      <c r="A25491" s="8">
        <v>43892.964895833335</v>
      </c>
      <c r="B25491" s="8" t="str">
        <f>HYPERLINK("https://twitter.com/wbpratama","@wbpratama")</f>
        <v>@wbpratama</v>
      </c>
      <c r="C25491" s="8" t="s">
        <v>10025</v>
      </c>
      <c r="D25491" s="8">
        <v>0</v>
      </c>
      <c r="E25491" s="8">
        <v>0</v>
      </c>
      <c r="F25491" s="8">
        <v>885</v>
      </c>
    </row>
    <row r="25492" spans="1:6" ht="12.75">
      <c r="A25492" s="8">
        <v>43892.964895833335</v>
      </c>
      <c r="B25492" s="8" t="str">
        <f>HYPERLINK("https://twitter.com/rendranila3004","@rendranila3004")</f>
        <v>@rendranila3004</v>
      </c>
      <c r="C25492" s="8" t="s">
        <v>7597</v>
      </c>
      <c r="D25492" s="8">
        <v>441</v>
      </c>
      <c r="E25492" s="8">
        <v>0</v>
      </c>
      <c r="F25492" s="8">
        <v>5754</v>
      </c>
    </row>
    <row r="25493" spans="1:6" ht="12.75">
      <c r="A25493" s="8">
        <v>43892.964826388888</v>
      </c>
      <c r="B25493" s="8" t="str">
        <f>HYPERLINK("https://twitter.com/Dhika5113","@Dhika5113")</f>
        <v>@Dhika5113</v>
      </c>
      <c r="C25493" s="8" t="s">
        <v>9750</v>
      </c>
      <c r="D25493" s="8">
        <v>2</v>
      </c>
      <c r="E25493" s="8">
        <v>0</v>
      </c>
      <c r="F25493" s="8">
        <v>274</v>
      </c>
    </row>
    <row r="25494" spans="1:6" ht="12.75">
      <c r="A25494" s="8">
        <v>43892.964791666665</v>
      </c>
      <c r="B25494" s="8" t="str">
        <f>HYPERLINK("https://twitter.com/tbhstardust","@tbhstardust")</f>
        <v>@tbhstardust</v>
      </c>
      <c r="C25494" s="8" t="s">
        <v>2962</v>
      </c>
      <c r="D25494" s="8">
        <v>4268</v>
      </c>
      <c r="E25494" s="8">
        <v>0</v>
      </c>
      <c r="F25494" s="8">
        <v>0</v>
      </c>
    </row>
    <row r="25495" spans="1:6" ht="12.75">
      <c r="A25495" s="8">
        <v>43892.964745370366</v>
      </c>
      <c r="B25495" s="8" t="str">
        <f>HYPERLINK("https://twitter.com/_diyanarahim","@_diyanarahim")</f>
        <v>@_diyanarahim</v>
      </c>
      <c r="C25495" s="8" t="s">
        <v>9701</v>
      </c>
      <c r="D25495" s="8">
        <v>1618</v>
      </c>
      <c r="E25495" s="8">
        <v>0</v>
      </c>
      <c r="F25495" s="8">
        <v>99</v>
      </c>
    </row>
    <row r="25496" spans="1:6" ht="12.75">
      <c r="A25496" s="8">
        <v>43892.96471064815</v>
      </c>
      <c r="B25496" s="8" t="str">
        <f>HYPERLINK("https://twitter.com/maridjuanda","@maridjuanda")</f>
        <v>@maridjuanda</v>
      </c>
      <c r="C25496" s="8" t="s">
        <v>10026</v>
      </c>
      <c r="D25496" s="8">
        <v>0</v>
      </c>
      <c r="E25496" s="8">
        <v>0</v>
      </c>
      <c r="F25496" s="8">
        <v>3549</v>
      </c>
    </row>
    <row r="25497" spans="1:6" ht="12.75">
      <c r="A25497" s="8">
        <v>43892.96465277778</v>
      </c>
      <c r="B25497" s="8" t="str">
        <f>HYPERLINK("https://twitter.com/hyera00","@hyera00")</f>
        <v>@hyera00</v>
      </c>
      <c r="C25497" s="8" t="s">
        <v>2199</v>
      </c>
      <c r="D25497" s="8">
        <v>8104</v>
      </c>
      <c r="E25497" s="8">
        <v>0</v>
      </c>
      <c r="F25497" s="8">
        <v>83</v>
      </c>
    </row>
    <row r="25498" spans="1:6" ht="12.75">
      <c r="A25498" s="8">
        <v>43892.964641203704</v>
      </c>
      <c r="B25498" s="8" t="str">
        <f>HYPERLINK("https://twitter.com/kusumovina","@kusumovina")</f>
        <v>@kusumovina</v>
      </c>
      <c r="C25498" s="8" t="s">
        <v>1986</v>
      </c>
      <c r="D25498" s="8">
        <v>461</v>
      </c>
      <c r="E25498" s="8">
        <v>0</v>
      </c>
      <c r="F25498" s="8">
        <v>161</v>
      </c>
    </row>
    <row r="25499" spans="1:6" ht="12.75">
      <c r="A25499" s="8">
        <v>43892.964606481481</v>
      </c>
      <c r="B25499" s="8" t="str">
        <f>HYPERLINK("https://twitter.com/Cakefeinne","@Cakefeinne")</f>
        <v>@Cakefeinne</v>
      </c>
      <c r="C25499" s="8" t="s">
        <v>2962</v>
      </c>
      <c r="D25499" s="8">
        <v>4268</v>
      </c>
      <c r="E25499" s="8">
        <v>0</v>
      </c>
      <c r="F25499" s="8">
        <v>1326</v>
      </c>
    </row>
    <row r="25500" spans="1:6" ht="12.75">
      <c r="A25500" s="8">
        <v>43892.964594907404</v>
      </c>
      <c r="B25500" s="8" t="str">
        <f>HYPERLINK("https://twitter.com/vanillacrxm","@vanillacrxm")</f>
        <v>@vanillacrxm</v>
      </c>
      <c r="C25500" s="8" t="s">
        <v>1427</v>
      </c>
      <c r="D25500" s="8">
        <v>417</v>
      </c>
      <c r="E25500" s="8">
        <v>0</v>
      </c>
      <c r="F25500" s="8">
        <v>76</v>
      </c>
    </row>
    <row r="25501" spans="1:6" ht="12.75">
      <c r="A25501" s="8">
        <v>43892.964594907404</v>
      </c>
      <c r="B25501" s="8" t="str">
        <f>HYPERLINK("https://twitter.com/Fatakhuroji2","@Fatakhuroji2")</f>
        <v>@Fatakhuroji2</v>
      </c>
      <c r="C25501" s="8" t="s">
        <v>9123</v>
      </c>
      <c r="D25501" s="8">
        <v>343</v>
      </c>
      <c r="E25501" s="8">
        <v>0</v>
      </c>
      <c r="F25501" s="8">
        <v>52</v>
      </c>
    </row>
    <row r="25502" spans="1:6" ht="12.75">
      <c r="A25502" s="8">
        <v>43892.964560185181</v>
      </c>
      <c r="B25502" s="8" t="str">
        <f>HYPERLINK("https://twitter.com/Cla_Lenny","@Cla_Lenny")</f>
        <v>@Cla_Lenny</v>
      </c>
      <c r="C25502" s="8" t="s">
        <v>8827</v>
      </c>
      <c r="D25502" s="8">
        <v>28</v>
      </c>
      <c r="E25502" s="8">
        <v>0</v>
      </c>
      <c r="F25502" s="8">
        <v>422</v>
      </c>
    </row>
    <row r="25503" spans="1:6" ht="12.75">
      <c r="A25503" s="8">
        <v>43892.964513888888</v>
      </c>
      <c r="B25503" s="8" t="str">
        <f>HYPERLINK("https://twitter.com/gguk_love_bot","@gguk_love_bot")</f>
        <v>@gguk_love_bot</v>
      </c>
      <c r="C25503" s="8" t="s">
        <v>10027</v>
      </c>
      <c r="D25503" s="8">
        <v>0</v>
      </c>
      <c r="E25503" s="8">
        <v>0</v>
      </c>
      <c r="F25503" s="8">
        <v>167</v>
      </c>
    </row>
    <row r="25504" spans="1:6" ht="12.75">
      <c r="A25504" s="8">
        <v>43892.964513888888</v>
      </c>
      <c r="B25504" s="8" t="str">
        <f>HYPERLINK("https://twitter.com/Nananununana","@Nananununana")</f>
        <v>@Nananununana</v>
      </c>
      <c r="C25504" s="8" t="s">
        <v>2962</v>
      </c>
      <c r="D25504" s="8">
        <v>4268</v>
      </c>
      <c r="E25504" s="8">
        <v>0</v>
      </c>
      <c r="F25504" s="8">
        <v>1080</v>
      </c>
    </row>
    <row r="25505" spans="1:6" ht="12.75">
      <c r="A25505" s="8">
        <v>43892.964490740742</v>
      </c>
      <c r="B25505" s="8" t="str">
        <f>HYPERLINK("https://twitter.com/MohHana09469935","@MohHana09469935")</f>
        <v>@MohHana09469935</v>
      </c>
      <c r="C25505" s="8" t="s">
        <v>2962</v>
      </c>
      <c r="D25505" s="8">
        <v>4268</v>
      </c>
      <c r="E25505" s="8">
        <v>0</v>
      </c>
      <c r="F25505" s="8">
        <v>868</v>
      </c>
    </row>
    <row r="25506" spans="1:6" ht="12.75">
      <c r="A25506" s="8">
        <v>43892.964456018519</v>
      </c>
      <c r="B25506" s="8" t="str">
        <f>HYPERLINK("https://twitter.com/azurelcz","@azurelcz")</f>
        <v>@azurelcz</v>
      </c>
      <c r="C25506" s="8" t="s">
        <v>2962</v>
      </c>
      <c r="D25506" s="8">
        <v>4268</v>
      </c>
      <c r="E25506" s="8">
        <v>0</v>
      </c>
      <c r="F25506" s="8">
        <v>346</v>
      </c>
    </row>
    <row r="25507" spans="1:6" ht="12.75">
      <c r="A25507" s="8">
        <v>43892.964456018519</v>
      </c>
      <c r="B25507" s="8" t="str">
        <f>HYPERLINK("https://twitter.com/mdakram814450","@mdakram814450")</f>
        <v>@mdakram814450</v>
      </c>
      <c r="C25507" s="8" t="s">
        <v>10028</v>
      </c>
      <c r="D25507" s="8">
        <v>0</v>
      </c>
      <c r="E25507" s="8">
        <v>0</v>
      </c>
      <c r="F25507" s="8">
        <v>38</v>
      </c>
    </row>
    <row r="25508" spans="1:6" ht="12.75">
      <c r="A25508" s="8">
        <v>43892.964444444442</v>
      </c>
      <c r="B25508" s="8" t="str">
        <f>HYPERLINK("https://twitter.com/velveeel","@velveeel")</f>
        <v>@velveeel</v>
      </c>
      <c r="C25508" s="8" t="s">
        <v>3038</v>
      </c>
      <c r="D25508" s="8">
        <v>67</v>
      </c>
      <c r="E25508" s="8">
        <v>0</v>
      </c>
      <c r="F25508" s="8">
        <v>648</v>
      </c>
    </row>
    <row r="25509" spans="1:6" ht="12.75">
      <c r="A25509" s="8">
        <v>43892.964386574073</v>
      </c>
      <c r="B25509" s="8" t="str">
        <f>HYPERLINK("https://twitter.com/MVVZ3","@MVVZ3")</f>
        <v>@MVVZ3</v>
      </c>
      <c r="C25509" s="8" t="s">
        <v>6832</v>
      </c>
      <c r="D25509" s="8">
        <v>780</v>
      </c>
      <c r="E25509" s="8">
        <v>0</v>
      </c>
      <c r="F25509" s="8">
        <v>1062</v>
      </c>
    </row>
    <row r="25510" spans="1:6" ht="12.75">
      <c r="A25510" s="8">
        <v>43892.964374999996</v>
      </c>
      <c r="B25510" s="8" t="str">
        <f>HYPERLINK("https://twitter.com/liyundiraaa","@liyundiraaa")</f>
        <v>@liyundiraaa</v>
      </c>
      <c r="C25510" s="8" t="s">
        <v>9295</v>
      </c>
      <c r="D25510" s="8">
        <v>100</v>
      </c>
      <c r="E25510" s="8">
        <v>0</v>
      </c>
      <c r="F25510" s="8">
        <v>283</v>
      </c>
    </row>
    <row r="25511" spans="1:6" ht="12.75">
      <c r="A25511" s="8">
        <v>43892.964305555557</v>
      </c>
      <c r="B25511" s="8" t="str">
        <f>HYPERLINK("https://twitter.com/Darkangeels","@Darkangeels")</f>
        <v>@Darkangeels</v>
      </c>
      <c r="C25511" s="8" t="s">
        <v>2962</v>
      </c>
      <c r="D25511" s="8">
        <v>4268</v>
      </c>
      <c r="E25511" s="8">
        <v>0</v>
      </c>
      <c r="F25511" s="8">
        <v>1249</v>
      </c>
    </row>
    <row r="25512" spans="1:6" ht="12.75">
      <c r="A25512" s="8">
        <v>43892.96429398148</v>
      </c>
      <c r="B25512" s="8" t="str">
        <f>HYPERLINK("https://twitter.com/yaaabag_","@yaaabag_")</f>
        <v>@yaaabag_</v>
      </c>
      <c r="C25512" s="8" t="s">
        <v>2199</v>
      </c>
      <c r="D25512" s="8">
        <v>8104</v>
      </c>
      <c r="E25512" s="8">
        <v>0</v>
      </c>
      <c r="F25512" s="8">
        <v>409</v>
      </c>
    </row>
    <row r="25513" spans="1:6" ht="12.75">
      <c r="A25513" s="8">
        <v>43892.96429398148</v>
      </c>
      <c r="B25513" s="8" t="str">
        <f>HYPERLINK("https://twitter.com/aryanandabagus","@aryanandabagus")</f>
        <v>@aryanandabagus</v>
      </c>
      <c r="C25513" s="8" t="s">
        <v>2199</v>
      </c>
      <c r="D25513" s="8">
        <v>8104</v>
      </c>
      <c r="E25513" s="8">
        <v>0</v>
      </c>
      <c r="F25513" s="8">
        <v>894</v>
      </c>
    </row>
    <row r="25514" spans="1:6" ht="12.75">
      <c r="A25514" s="8">
        <v>43892.964270833334</v>
      </c>
      <c r="B25514" s="8" t="str">
        <f>HYPERLINK("https://twitter.com/miQue__","@miQue__")</f>
        <v>@miQue__</v>
      </c>
      <c r="C25514" s="8" t="s">
        <v>5732</v>
      </c>
      <c r="D25514" s="8">
        <v>2036</v>
      </c>
      <c r="E25514" s="8">
        <v>0</v>
      </c>
      <c r="F25514" s="8">
        <v>287</v>
      </c>
    </row>
    <row r="25515" spans="1:6" ht="12.75">
      <c r="A25515" s="8">
        <v>43892.964201388888</v>
      </c>
      <c r="B25515" s="8" t="str">
        <f>HYPERLINK("https://twitter.com/Raanong","@Raanong")</f>
        <v>@Raanong</v>
      </c>
      <c r="C25515" s="8" t="s">
        <v>2272</v>
      </c>
      <c r="D25515" s="8">
        <v>1017</v>
      </c>
      <c r="E25515" s="8">
        <v>0</v>
      </c>
      <c r="F25515" s="8">
        <v>1033</v>
      </c>
    </row>
    <row r="25516" spans="1:6" ht="12.75">
      <c r="A25516" s="8">
        <v>43892.964131944449</v>
      </c>
      <c r="B25516" s="8" t="str">
        <f>HYPERLINK("https://twitter.com/Wisnuaryaa_","@Wisnuaryaa_")</f>
        <v>@Wisnuaryaa_</v>
      </c>
      <c r="C25516" s="8" t="s">
        <v>2962</v>
      </c>
      <c r="D25516" s="8">
        <v>4268</v>
      </c>
      <c r="E25516" s="8">
        <v>0</v>
      </c>
      <c r="F25516" s="8">
        <v>179</v>
      </c>
    </row>
    <row r="25517" spans="1:6" ht="12.75">
      <c r="A25517" s="8">
        <v>43892.96402777778</v>
      </c>
      <c r="B25517" s="8" t="str">
        <f>HYPERLINK("https://twitter.com/EKaranggo","@EKaranggo")</f>
        <v>@EKaranggo</v>
      </c>
      <c r="C25517" s="8" t="s">
        <v>10029</v>
      </c>
      <c r="D25517" s="8">
        <v>4</v>
      </c>
      <c r="E25517" s="8">
        <v>0</v>
      </c>
      <c r="F25517" s="8">
        <v>1141</v>
      </c>
    </row>
    <row r="25518" spans="1:6" ht="12.75">
      <c r="A25518" s="8">
        <v>43892.964016203703</v>
      </c>
      <c r="B25518" s="8" t="str">
        <f>HYPERLINK("https://twitter.com/cIandeestine","@cIandeestine")</f>
        <v>@cIandeestine</v>
      </c>
      <c r="C25518" s="8" t="s">
        <v>2962</v>
      </c>
      <c r="D25518" s="8">
        <v>4268</v>
      </c>
      <c r="E25518" s="8">
        <v>0</v>
      </c>
      <c r="F25518" s="8">
        <v>191</v>
      </c>
    </row>
    <row r="25519" spans="1:6" ht="12.75">
      <c r="A25519" s="8">
        <v>43892.964016203703</v>
      </c>
      <c r="B25519" s="8" t="str">
        <f>HYPERLINK("https://twitter.com/sundaisyyy","@sundaisyyy")</f>
        <v>@sundaisyyy</v>
      </c>
      <c r="C25519" s="8" t="s">
        <v>2199</v>
      </c>
      <c r="D25519" s="8">
        <v>8104</v>
      </c>
      <c r="E25519" s="8">
        <v>0</v>
      </c>
      <c r="F25519" s="8">
        <v>561</v>
      </c>
    </row>
    <row r="25520" spans="1:6" ht="12.75">
      <c r="A25520" s="8">
        <v>43892.963923611111</v>
      </c>
      <c r="B25520" s="8" t="str">
        <f>HYPERLINK("https://twitter.com/iyubisebya","@iyubisebya")</f>
        <v>@iyubisebya</v>
      </c>
      <c r="C25520" s="8" t="s">
        <v>2199</v>
      </c>
      <c r="D25520" s="8">
        <v>8104</v>
      </c>
      <c r="E25520" s="8">
        <v>0</v>
      </c>
      <c r="F25520" s="8">
        <v>148</v>
      </c>
    </row>
    <row r="25521" spans="1:6" ht="12.75">
      <c r="A25521" s="8">
        <v>43892.963854166665</v>
      </c>
      <c r="B25521" s="8" t="str">
        <f>HYPERLINK("https://twitter.com/tinkersnow_","@tinkersnow_")</f>
        <v>@tinkersnow_</v>
      </c>
      <c r="C25521" s="8" t="s">
        <v>2962</v>
      </c>
      <c r="D25521" s="8">
        <v>4268</v>
      </c>
      <c r="E25521" s="8">
        <v>0</v>
      </c>
      <c r="F25521" s="8">
        <v>1143</v>
      </c>
    </row>
    <row r="25522" spans="1:6" ht="12.75">
      <c r="A25522" s="8">
        <v>43892.963842592595</v>
      </c>
      <c r="B25522" s="8" t="str">
        <f>HYPERLINK("https://twitter.com/Arif_Kachef","@Arif_Kachef")</f>
        <v>@Arif_Kachef</v>
      </c>
      <c r="C25522" s="8" t="s">
        <v>9817</v>
      </c>
      <c r="D25522" s="8">
        <v>9</v>
      </c>
      <c r="E25522" s="8">
        <v>0</v>
      </c>
      <c r="F25522" s="8">
        <v>433</v>
      </c>
    </row>
    <row r="25523" spans="1:6" ht="12.75">
      <c r="A25523" s="8">
        <v>43892.963761574079</v>
      </c>
      <c r="B25523" s="8" t="str">
        <f>HYPERLINK("https://twitter.com/asyraf_mbr416","@asyraf_mbr416")</f>
        <v>@asyraf_mbr416</v>
      </c>
      <c r="C25523" s="8" t="s">
        <v>237</v>
      </c>
      <c r="D25523" s="8">
        <v>0</v>
      </c>
      <c r="E25523" s="8">
        <v>0</v>
      </c>
      <c r="F25523" s="8">
        <v>246</v>
      </c>
    </row>
    <row r="25524" spans="1:6" ht="12.75">
      <c r="A25524" s="8">
        <v>43892.963761574079</v>
      </c>
      <c r="B25524" s="8" t="str">
        <f>HYPERLINK("https://twitter.com/dimasprempew","@dimasprempew")</f>
        <v>@dimasprempew</v>
      </c>
      <c r="C25524" s="8" t="s">
        <v>9856</v>
      </c>
      <c r="D25524" s="8">
        <v>67</v>
      </c>
      <c r="E25524" s="8">
        <v>0</v>
      </c>
      <c r="F25524" s="8">
        <v>378</v>
      </c>
    </row>
    <row r="25525" spans="1:6" ht="12.75">
      <c r="A25525" s="8">
        <v>43892.963726851856</v>
      </c>
      <c r="B25525" s="8" t="str">
        <f>HYPERLINK("https://twitter.com/Indro76491247","@Indro76491247")</f>
        <v>@Indro76491247</v>
      </c>
      <c r="C25525" s="8" t="s">
        <v>10030</v>
      </c>
      <c r="D25525" s="8">
        <v>8</v>
      </c>
      <c r="E25525" s="8">
        <v>0</v>
      </c>
      <c r="F25525" s="8">
        <v>80</v>
      </c>
    </row>
    <row r="25526" spans="1:6" ht="12.75">
      <c r="A25526" s="8">
        <v>43892.96371527778</v>
      </c>
      <c r="B25526" s="8" t="str">
        <f>HYPERLINK("https://twitter.com/totokmuh","@totokmuh")</f>
        <v>@totokmuh</v>
      </c>
      <c r="C25526" s="8" t="s">
        <v>1986</v>
      </c>
      <c r="D25526" s="8">
        <v>461</v>
      </c>
      <c r="E25526" s="8">
        <v>0</v>
      </c>
      <c r="F25526" s="8">
        <v>183</v>
      </c>
    </row>
    <row r="25527" spans="1:6" ht="12.75">
      <c r="A25527" s="8">
        <v>43892.963703703703</v>
      </c>
      <c r="B25527" s="8" t="str">
        <f>HYPERLINK("https://twitter.com/love_owe","@love_owe")</f>
        <v>@love_owe</v>
      </c>
      <c r="C25527" s="8" t="s">
        <v>1427</v>
      </c>
      <c r="D25527" s="8">
        <v>417</v>
      </c>
      <c r="E25527" s="8">
        <v>0</v>
      </c>
      <c r="F25527" s="8">
        <v>527</v>
      </c>
    </row>
    <row r="25528" spans="1:6" ht="12.75">
      <c r="A25528" s="8">
        <v>43892.963680555556</v>
      </c>
      <c r="B25528" s="8" t="str">
        <f>HYPERLINK("https://twitter.com/GoTotheJek","@GoTotheJek")</f>
        <v>@GoTotheJek</v>
      </c>
      <c r="C25528" s="8" t="s">
        <v>9954</v>
      </c>
      <c r="D25528" s="8">
        <v>16</v>
      </c>
      <c r="E25528" s="8">
        <v>0</v>
      </c>
      <c r="F25528" s="8">
        <v>779</v>
      </c>
    </row>
    <row r="25529" spans="1:6" ht="12.75">
      <c r="A25529" s="8">
        <v>43892.963634259257</v>
      </c>
      <c r="B25529" s="8" t="str">
        <f>HYPERLINK("https://twitter.com/chocomaltesse","@chocomaltesse")</f>
        <v>@chocomaltesse</v>
      </c>
      <c r="C25529" s="8" t="s">
        <v>1427</v>
      </c>
      <c r="D25529" s="8">
        <v>417</v>
      </c>
      <c r="E25529" s="8">
        <v>0</v>
      </c>
      <c r="F25529" s="8">
        <v>40</v>
      </c>
    </row>
    <row r="25530" spans="1:6" ht="12.75">
      <c r="A25530" s="8">
        <v>43892.963599537034</v>
      </c>
      <c r="B25530" s="8" t="str">
        <f>HYPERLINK("https://twitter.com/GoTotheJek","@GoTotheJek")</f>
        <v>@GoTotheJek</v>
      </c>
      <c r="C25530" s="8" t="s">
        <v>10016</v>
      </c>
      <c r="D25530" s="8">
        <v>12</v>
      </c>
      <c r="E25530" s="8">
        <v>0</v>
      </c>
      <c r="F25530" s="8">
        <v>779</v>
      </c>
    </row>
    <row r="25531" spans="1:6" ht="12.75">
      <c r="A25531" s="8">
        <v>43892.963576388887</v>
      </c>
      <c r="B25531" s="8" t="str">
        <f>HYPERLINK("https://twitter.com/visiau","@visiau")</f>
        <v>@visiau</v>
      </c>
      <c r="C25531" s="8" t="s">
        <v>9780</v>
      </c>
      <c r="D25531" s="8">
        <v>35</v>
      </c>
      <c r="E25531" s="8">
        <v>0</v>
      </c>
      <c r="F25531" s="8">
        <v>1766</v>
      </c>
    </row>
    <row r="25532" spans="1:6" ht="12.75">
      <c r="A25532" s="8">
        <v>43892.963564814811</v>
      </c>
      <c r="B25532" s="8" t="str">
        <f>HYPERLINK("https://twitter.com/asdo_gagak","@asdo_gagak")</f>
        <v>@asdo_gagak</v>
      </c>
      <c r="C25532" s="8" t="s">
        <v>10031</v>
      </c>
      <c r="D25532" s="8">
        <v>3</v>
      </c>
      <c r="E25532" s="8">
        <v>0</v>
      </c>
      <c r="F25532" s="8">
        <v>14</v>
      </c>
    </row>
    <row r="25533" spans="1:6" ht="12.75">
      <c r="A25533" s="8">
        <v>43892.963541666672</v>
      </c>
      <c r="B25533" s="8" t="str">
        <f>HYPERLINK("https://twitter.com/karinadsk","@karinadsk")</f>
        <v>@karinadsk</v>
      </c>
      <c r="C25533" s="8" t="s">
        <v>1427</v>
      </c>
      <c r="D25533" s="8">
        <v>417</v>
      </c>
      <c r="E25533" s="8">
        <v>0</v>
      </c>
      <c r="F25533" s="8">
        <v>284</v>
      </c>
    </row>
    <row r="25534" spans="1:6" ht="12.75">
      <c r="A25534" s="8">
        <v>43892.963530092587</v>
      </c>
      <c r="B25534" s="8" t="str">
        <f>HYPERLINK("https://twitter.com/Indro76491247","@Indro76491247")</f>
        <v>@Indro76491247</v>
      </c>
      <c r="C25534" s="8" t="s">
        <v>9847</v>
      </c>
      <c r="D25534" s="8">
        <v>47</v>
      </c>
      <c r="E25534" s="8">
        <v>0</v>
      </c>
      <c r="F25534" s="8">
        <v>80</v>
      </c>
    </row>
    <row r="25535" spans="1:6" ht="12.75">
      <c r="A25535" s="8">
        <v>43892.963530092587</v>
      </c>
      <c r="B25535" s="8" t="str">
        <f>HYPERLINK("https://twitter.com/twpuyang","@twpuyang")</f>
        <v>@twpuyang</v>
      </c>
      <c r="C25535" s="8" t="s">
        <v>9614</v>
      </c>
      <c r="D25535" s="8">
        <v>61</v>
      </c>
      <c r="E25535" s="8">
        <v>0</v>
      </c>
      <c r="F25535" s="8">
        <v>179</v>
      </c>
    </row>
    <row r="25536" spans="1:6" ht="12.75">
      <c r="A25536" s="8">
        <v>43892.963530092587</v>
      </c>
      <c r="B25536" s="8" t="str">
        <f>HYPERLINK("https://twitter.com/woy_lau","@woy_lau")</f>
        <v>@woy_lau</v>
      </c>
      <c r="C25536" s="8" t="s">
        <v>9727</v>
      </c>
      <c r="D25536" s="8">
        <v>14</v>
      </c>
      <c r="E25536" s="8">
        <v>0</v>
      </c>
      <c r="F25536" s="8">
        <v>170</v>
      </c>
    </row>
    <row r="25537" spans="1:6" ht="12.75">
      <c r="A25537" s="8">
        <v>43892.963518518518</v>
      </c>
      <c r="B25537" s="8" t="str">
        <f>HYPERLINK("https://twitter.com/wahyu2664","@wahyu2664")</f>
        <v>@wahyu2664</v>
      </c>
      <c r="C25537" s="8" t="s">
        <v>6832</v>
      </c>
      <c r="D25537" s="8">
        <v>780</v>
      </c>
      <c r="E25537" s="8">
        <v>0</v>
      </c>
      <c r="F25537" s="8">
        <v>185</v>
      </c>
    </row>
    <row r="25538" spans="1:6" ht="12.75">
      <c r="A25538" s="8">
        <v>43892.963495370372</v>
      </c>
      <c r="B25538" s="8" t="str">
        <f>HYPERLINK("https://twitter.com/ck_audrey","@ck_audrey")</f>
        <v>@ck_audrey</v>
      </c>
      <c r="C25538" s="8" t="s">
        <v>2962</v>
      </c>
      <c r="D25538" s="8">
        <v>4268</v>
      </c>
      <c r="E25538" s="8">
        <v>0</v>
      </c>
      <c r="F25538" s="8">
        <v>660</v>
      </c>
    </row>
    <row r="25539" spans="1:6" ht="12.75">
      <c r="A25539" s="8">
        <v>43892.963495370372</v>
      </c>
      <c r="B25539" s="8" t="str">
        <f>HYPERLINK("https://twitter.com/Akoe1008","@Akoe1008")</f>
        <v>@Akoe1008</v>
      </c>
      <c r="C25539" s="8" t="s">
        <v>8322</v>
      </c>
      <c r="D25539" s="8">
        <v>575</v>
      </c>
      <c r="E25539" s="8">
        <v>0</v>
      </c>
      <c r="F25539" s="8">
        <v>1198</v>
      </c>
    </row>
    <row r="25540" spans="1:6" ht="12.75">
      <c r="A25540" s="8">
        <v>43892.963460648149</v>
      </c>
      <c r="B25540" s="8" t="str">
        <f>HYPERLINK("https://twitter.com/ritadil_","@ritadil_")</f>
        <v>@ritadil_</v>
      </c>
      <c r="C25540" s="8" t="s">
        <v>2962</v>
      </c>
      <c r="D25540" s="8">
        <v>4268</v>
      </c>
      <c r="E25540" s="8">
        <v>0</v>
      </c>
      <c r="F25540" s="8">
        <v>1990</v>
      </c>
    </row>
    <row r="25541" spans="1:6" ht="12.75">
      <c r="A25541" s="8">
        <v>43892.963414351849</v>
      </c>
      <c r="B25541" s="8" t="str">
        <f>HYPERLINK("https://twitter.com/Habibahmarlina","@Habibahmarlina")</f>
        <v>@Habibahmarlina</v>
      </c>
      <c r="C25541" s="8" t="s">
        <v>4477</v>
      </c>
      <c r="D25541" s="8">
        <v>798</v>
      </c>
      <c r="E25541" s="8">
        <v>0</v>
      </c>
      <c r="F25541" s="8">
        <v>332</v>
      </c>
    </row>
    <row r="25542" spans="1:6" ht="12.75">
      <c r="A25542" s="8">
        <v>43892.963391203702</v>
      </c>
      <c r="B25542" s="8" t="str">
        <f>HYPERLINK("https://twitter.com/kusumovina","@kusumovina")</f>
        <v>@kusumovina</v>
      </c>
      <c r="C25542" s="8" t="s">
        <v>2962</v>
      </c>
      <c r="D25542" s="8">
        <v>4268</v>
      </c>
      <c r="E25542" s="8">
        <v>0</v>
      </c>
      <c r="F25542" s="8">
        <v>161</v>
      </c>
    </row>
    <row r="25543" spans="1:6" ht="12.75">
      <c r="A25543" s="8">
        <v>43892.963368055556</v>
      </c>
      <c r="B25543" s="8" t="str">
        <f>HYPERLINK("https://twitter.com/arjunosableng","@arjunosableng")</f>
        <v>@arjunosableng</v>
      </c>
      <c r="C25543" s="8" t="s">
        <v>10021</v>
      </c>
      <c r="D25543" s="8">
        <v>3</v>
      </c>
      <c r="E25543" s="8">
        <v>0</v>
      </c>
      <c r="F25543" s="8">
        <v>2238</v>
      </c>
    </row>
    <row r="25544" spans="1:6" ht="12.75">
      <c r="A25544" s="8">
        <v>43892.963356481487</v>
      </c>
      <c r="B25544" s="8" t="str">
        <f>HYPERLINK("https://twitter.com/Alvinringkang","@Alvinringkang")</f>
        <v>@Alvinringkang</v>
      </c>
      <c r="C25544" s="8" t="s">
        <v>2199</v>
      </c>
      <c r="D25544" s="8">
        <v>8104</v>
      </c>
      <c r="E25544" s="8">
        <v>0</v>
      </c>
      <c r="F25544" s="8">
        <v>111</v>
      </c>
    </row>
    <row r="25545" spans="1:6" ht="12.75">
      <c r="A25545" s="8">
        <v>43892.963321759264</v>
      </c>
      <c r="B25545" s="8" t="str">
        <f>HYPERLINK("https://twitter.com/FatirDhani","@FatirDhani")</f>
        <v>@FatirDhani</v>
      </c>
      <c r="C25545" s="8" t="s">
        <v>8322</v>
      </c>
      <c r="D25545" s="8">
        <v>575</v>
      </c>
      <c r="E25545" s="8">
        <v>0</v>
      </c>
      <c r="F25545" s="8">
        <v>1</v>
      </c>
    </row>
    <row r="25546" spans="1:6" ht="12.75">
      <c r="A25546" s="8">
        <v>43892.963240740741</v>
      </c>
      <c r="B25546" s="8" t="str">
        <f>HYPERLINK("https://twitter.com/chocohanminong","@chocohanminong")</f>
        <v>@chocohanminong</v>
      </c>
      <c r="C25546" s="8" t="s">
        <v>9295</v>
      </c>
      <c r="D25546" s="8">
        <v>100</v>
      </c>
      <c r="E25546" s="8">
        <v>0</v>
      </c>
      <c r="F25546" s="8">
        <v>2267</v>
      </c>
    </row>
    <row r="25547" spans="1:6" ht="12.75">
      <c r="A25547" s="8">
        <v>43892.963217592594</v>
      </c>
      <c r="B25547" s="8" t="str">
        <f>HYPERLINK("https://twitter.com/feili88","@feili88")</f>
        <v>@feili88</v>
      </c>
      <c r="C25547" s="8" t="s">
        <v>9628</v>
      </c>
      <c r="D25547" s="8">
        <v>246</v>
      </c>
      <c r="E25547" s="8">
        <v>0</v>
      </c>
      <c r="F25547" s="8">
        <v>153</v>
      </c>
    </row>
    <row r="25548" spans="1:6" ht="12.75">
      <c r="A25548" s="8">
        <v>43892.963206018518</v>
      </c>
      <c r="B25548" s="8" t="str">
        <f>HYPERLINK("https://twitter.com/LaisaKadrun","@LaisaKadrun")</f>
        <v>@LaisaKadrun</v>
      </c>
      <c r="C25548" s="8" t="s">
        <v>10032</v>
      </c>
      <c r="D25548" s="8">
        <v>0</v>
      </c>
      <c r="E25548" s="8">
        <v>0</v>
      </c>
      <c r="F25548" s="8">
        <v>832</v>
      </c>
    </row>
    <row r="25549" spans="1:6" ht="12.75">
      <c r="A25549" s="8">
        <v>43892.963182870371</v>
      </c>
      <c r="B25549" s="8" t="str">
        <f>HYPERLINK("https://twitter.com/dinaputri1198","@dinaputri1198")</f>
        <v>@dinaputri1198</v>
      </c>
      <c r="C25549" s="8" t="s">
        <v>10033</v>
      </c>
      <c r="D25549" s="8">
        <v>0</v>
      </c>
      <c r="E25549" s="8">
        <v>0</v>
      </c>
      <c r="F25549" s="8">
        <v>3</v>
      </c>
    </row>
    <row r="25550" spans="1:6" ht="12.75">
      <c r="A25550" s="8">
        <v>43892.963136574079</v>
      </c>
      <c r="B25550" s="8" t="str">
        <f>HYPERLINK("https://twitter.com/tasyyanur","@tasyyanur")</f>
        <v>@tasyyanur</v>
      </c>
      <c r="C25550" s="8" t="s">
        <v>9176</v>
      </c>
      <c r="D25550" s="8">
        <v>1229</v>
      </c>
      <c r="E25550" s="8">
        <v>0</v>
      </c>
      <c r="F25550" s="8">
        <v>956</v>
      </c>
    </row>
    <row r="25551" spans="1:6" ht="12.75">
      <c r="A25551" s="8">
        <v>43892.963043981479</v>
      </c>
      <c r="B25551" s="8" t="str">
        <f>HYPERLINK("https://twitter.com/adji_prada","@adji_prada")</f>
        <v>@adji_prada</v>
      </c>
      <c r="C25551" s="8" t="s">
        <v>9194</v>
      </c>
      <c r="D25551" s="8">
        <v>129</v>
      </c>
      <c r="E25551" s="8">
        <v>0</v>
      </c>
      <c r="F25551" s="8">
        <v>376</v>
      </c>
    </row>
    <row r="25552" spans="1:6" ht="12.75">
      <c r="A25552" s="8">
        <v>43892.963020833333</v>
      </c>
      <c r="B25552" s="8" t="str">
        <f>HYPERLINK("https://twitter.com/AlBanna57697952","@AlBanna57697952")</f>
        <v>@AlBanna57697952</v>
      </c>
      <c r="C25552" s="8" t="s">
        <v>9358</v>
      </c>
      <c r="D25552" s="8">
        <v>78</v>
      </c>
      <c r="E25552" s="8">
        <v>0</v>
      </c>
      <c r="F25552" s="8">
        <v>67</v>
      </c>
    </row>
    <row r="25553" spans="1:6" ht="12.75">
      <c r="A25553" s="8">
        <v>43892.962905092594</v>
      </c>
      <c r="B25553" s="8" t="str">
        <f>HYPERLINK("https://twitter.com/AwakMedanCoy","@AwakMedanCoy")</f>
        <v>@AwakMedanCoy</v>
      </c>
      <c r="C25553" s="8" t="s">
        <v>9727</v>
      </c>
      <c r="D25553" s="8">
        <v>14</v>
      </c>
      <c r="E25553" s="8">
        <v>0</v>
      </c>
      <c r="F25553" s="8">
        <v>4212</v>
      </c>
    </row>
    <row r="25554" spans="1:6" ht="12.75">
      <c r="A25554" s="8">
        <v>43892.962905092594</v>
      </c>
      <c r="B25554" s="8" t="str">
        <f>HYPERLINK("https://twitter.com/xojungkim","@xojungkim")</f>
        <v>@xojungkim</v>
      </c>
      <c r="C25554" s="8" t="s">
        <v>2962</v>
      </c>
      <c r="D25554" s="8">
        <v>4268</v>
      </c>
      <c r="E25554" s="8">
        <v>0</v>
      </c>
      <c r="F25554" s="8">
        <v>1676</v>
      </c>
    </row>
    <row r="25555" spans="1:6" ht="12.75">
      <c r="A25555" s="8">
        <v>43892.962893518517</v>
      </c>
      <c r="B25555" s="8" t="str">
        <f>HYPERLINK("https://twitter.com/tempodotco","@tempodotco")</f>
        <v>@tempodotco</v>
      </c>
      <c r="C25555" s="8" t="s">
        <v>10034</v>
      </c>
      <c r="D25555" s="8">
        <v>2</v>
      </c>
      <c r="E25555" s="8">
        <v>7</v>
      </c>
      <c r="F25555" s="8">
        <v>1713511</v>
      </c>
    </row>
    <row r="25556" spans="1:6" ht="12.75">
      <c r="A25556" s="8">
        <v>43892.962881944448</v>
      </c>
      <c r="B25556" s="8" t="str">
        <f>HYPERLINK("https://twitter.com/lifhsa","@lifhsa")</f>
        <v>@lifhsa</v>
      </c>
      <c r="C25556" s="8" t="s">
        <v>2962</v>
      </c>
      <c r="D25556" s="8">
        <v>4268</v>
      </c>
      <c r="E25556" s="8">
        <v>0</v>
      </c>
      <c r="F25556" s="8">
        <v>706</v>
      </c>
    </row>
    <row r="25557" spans="1:6" ht="12.75">
      <c r="A25557" s="8">
        <v>43892.962870370371</v>
      </c>
      <c r="B25557" s="8" t="str">
        <f>HYPERLINK("https://twitter.com/wnadinaa","@wnadinaa")</f>
        <v>@wnadinaa</v>
      </c>
      <c r="C25557" s="8" t="s">
        <v>9701</v>
      </c>
      <c r="D25557" s="8">
        <v>1618</v>
      </c>
      <c r="E25557" s="8">
        <v>0</v>
      </c>
      <c r="F25557" s="8">
        <v>25</v>
      </c>
    </row>
    <row r="25558" spans="1:6" ht="12.75">
      <c r="A25558" s="8">
        <v>43892.962835648148</v>
      </c>
      <c r="B25558" s="8" t="str">
        <f>HYPERLINK("https://twitter.com/pilotignews","@pilotignews")</f>
        <v>@pilotignews</v>
      </c>
      <c r="C25558" s="8" t="s">
        <v>10035</v>
      </c>
      <c r="D25558" s="8">
        <v>0</v>
      </c>
      <c r="E25558" s="8">
        <v>0</v>
      </c>
      <c r="F25558" s="8">
        <v>32</v>
      </c>
    </row>
    <row r="25559" spans="1:6" ht="12.75">
      <c r="A25559" s="8">
        <v>43892.962835648148</v>
      </c>
      <c r="B25559" s="8" t="str">
        <f>HYPERLINK("https://twitter.com/ratenassi","@ratenassi")</f>
        <v>@ratenassi</v>
      </c>
      <c r="C25559" s="8" t="s">
        <v>2199</v>
      </c>
      <c r="D25559" s="8">
        <v>8104</v>
      </c>
      <c r="E25559" s="8">
        <v>0</v>
      </c>
      <c r="F25559" s="8">
        <v>227</v>
      </c>
    </row>
    <row r="25560" spans="1:6" ht="12.75">
      <c r="A25560" s="8">
        <v>43892.962835648148</v>
      </c>
      <c r="B25560" s="8" t="str">
        <f>HYPERLINK("https://twitter.com/Fatakhuroji2","@Fatakhuroji2")</f>
        <v>@Fatakhuroji2</v>
      </c>
      <c r="C25560" s="8" t="s">
        <v>7661</v>
      </c>
      <c r="D25560" s="8">
        <v>306</v>
      </c>
      <c r="E25560" s="8">
        <v>0</v>
      </c>
      <c r="F25560" s="8">
        <v>52</v>
      </c>
    </row>
    <row r="25561" spans="1:6" ht="12.75">
      <c r="A25561" s="8">
        <v>43892.962812500002</v>
      </c>
      <c r="B25561" s="8" t="str">
        <f>HYPERLINK("https://twitter.com/JuliusSt3","@JuliusSt3")</f>
        <v>@JuliusSt3</v>
      </c>
      <c r="C25561" s="8" t="s">
        <v>4990</v>
      </c>
      <c r="D25561" s="8">
        <v>432</v>
      </c>
      <c r="E25561" s="8">
        <v>0</v>
      </c>
      <c r="F25561" s="8">
        <v>163</v>
      </c>
    </row>
    <row r="25562" spans="1:6" ht="12.75">
      <c r="A25562" s="8">
        <v>43892.962777777779</v>
      </c>
      <c r="B25562" s="8" t="str">
        <f>HYPERLINK("https://twitter.com/TLedenk","@TLedenk")</f>
        <v>@TLedenk</v>
      </c>
      <c r="C25562" s="8" t="s">
        <v>8843</v>
      </c>
      <c r="D25562" s="8">
        <v>27</v>
      </c>
      <c r="E25562" s="8">
        <v>0</v>
      </c>
      <c r="F25562" s="8">
        <v>24</v>
      </c>
    </row>
    <row r="25563" spans="1:6" ht="12.75">
      <c r="A25563" s="8">
        <v>43892.962777777779</v>
      </c>
      <c r="B25563" s="8" t="str">
        <f>HYPERLINK("https://twitter.com/disjkara","@disjkara")</f>
        <v>@disjkara</v>
      </c>
      <c r="C25563" s="8" t="s">
        <v>6832</v>
      </c>
      <c r="D25563" s="8">
        <v>780</v>
      </c>
      <c r="E25563" s="8">
        <v>0</v>
      </c>
      <c r="F25563" s="8">
        <v>28</v>
      </c>
    </row>
    <row r="25564" spans="1:6" ht="12.75">
      <c r="A25564" s="8">
        <v>43892.962743055556</v>
      </c>
      <c r="B25564" s="8" t="str">
        <f>HYPERLINK("https://twitter.com/Wul_ndri","@Wul_ndri")</f>
        <v>@Wul_ndri</v>
      </c>
      <c r="C25564" s="8" t="s">
        <v>2199</v>
      </c>
      <c r="D25564" s="8">
        <v>8104</v>
      </c>
      <c r="E25564" s="8">
        <v>0</v>
      </c>
      <c r="F25564" s="8">
        <v>12</v>
      </c>
    </row>
    <row r="25565" spans="1:6" ht="12.75">
      <c r="A25565" s="8">
        <v>43892.962731481486</v>
      </c>
      <c r="B25565" s="8" t="str">
        <f>HYPERLINK("https://twitter.com/RiyanSypttr","@RiyanSypttr")</f>
        <v>@RiyanSypttr</v>
      </c>
      <c r="C25565" s="8" t="s">
        <v>10036</v>
      </c>
      <c r="D25565" s="8">
        <v>0</v>
      </c>
      <c r="E25565" s="8">
        <v>0</v>
      </c>
      <c r="F25565" s="8">
        <v>20</v>
      </c>
    </row>
    <row r="25566" spans="1:6" ht="12.75">
      <c r="A25566" s="8">
        <v>43892.962696759263</v>
      </c>
      <c r="B25566" s="8" t="str">
        <f>HYPERLINK("https://twitter.com/putriravsari","@putriravsari")</f>
        <v>@putriravsari</v>
      </c>
      <c r="C25566" s="8" t="s">
        <v>1427</v>
      </c>
      <c r="D25566" s="8">
        <v>417</v>
      </c>
      <c r="E25566" s="8">
        <v>0</v>
      </c>
      <c r="F25566" s="8">
        <v>725</v>
      </c>
    </row>
    <row r="25567" spans="1:6" ht="12.75">
      <c r="A25567" s="8">
        <v>43892.96266203704</v>
      </c>
      <c r="B25567" s="8" t="str">
        <f>HYPERLINK("https://twitter.com/bucindisney","@bucindisney")</f>
        <v>@bucindisney</v>
      </c>
      <c r="C25567" s="8" t="s">
        <v>2199</v>
      </c>
      <c r="D25567" s="8">
        <v>8104</v>
      </c>
      <c r="E25567" s="8">
        <v>0</v>
      </c>
      <c r="F25567" s="8">
        <v>2187</v>
      </c>
    </row>
    <row r="25568" spans="1:6" ht="12.75">
      <c r="A25568" s="8">
        <v>43892.962650462963</v>
      </c>
      <c r="B25568" s="8" t="str">
        <f>HYPERLINK("https://twitter.com/kemanamana","@kemanamana")</f>
        <v>@kemanamana</v>
      </c>
      <c r="C25568" s="8" t="s">
        <v>10037</v>
      </c>
      <c r="D25568" s="8">
        <v>0</v>
      </c>
      <c r="E25568" s="8">
        <v>0</v>
      </c>
      <c r="F25568" s="8">
        <v>36</v>
      </c>
    </row>
    <row r="25569" spans="1:6" ht="12.75">
      <c r="A25569" s="8">
        <v>43892.962604166663</v>
      </c>
      <c r="B25569" s="8" t="str">
        <f>HYPERLINK("https://twitter.com/AhmadK14996338","@AhmadK14996338")</f>
        <v>@AhmadK14996338</v>
      </c>
      <c r="C25569" s="8" t="s">
        <v>10038</v>
      </c>
      <c r="D25569" s="8">
        <v>45</v>
      </c>
      <c r="E25569" s="8">
        <v>0</v>
      </c>
      <c r="F25569" s="8">
        <v>13</v>
      </c>
    </row>
    <row r="25570" spans="1:6" ht="12.75">
      <c r="A25570" s="8">
        <v>43892.96256944444</v>
      </c>
      <c r="B25570" s="8" t="str">
        <f>HYPERLINK("https://twitter.com/cbtendo","@cbtendo")</f>
        <v>@cbtendo</v>
      </c>
      <c r="C25570" s="8" t="s">
        <v>10039</v>
      </c>
      <c r="D25570" s="8">
        <v>0</v>
      </c>
      <c r="E25570" s="8">
        <v>0</v>
      </c>
      <c r="F25570" s="8">
        <v>78</v>
      </c>
    </row>
    <row r="25571" spans="1:6" ht="12.75">
      <c r="A25571" s="8">
        <v>43892.962557870371</v>
      </c>
      <c r="B25571" s="8" t="str">
        <f>HYPERLINK("https://twitter.com/racheliacel","@racheliacel")</f>
        <v>@racheliacel</v>
      </c>
      <c r="C25571" s="8" t="s">
        <v>9295</v>
      </c>
      <c r="D25571" s="8">
        <v>100</v>
      </c>
      <c r="E25571" s="8">
        <v>0</v>
      </c>
      <c r="F25571" s="8">
        <v>228</v>
      </c>
    </row>
    <row r="25572" spans="1:6" ht="12.75">
      <c r="A25572" s="8">
        <v>43892.962546296301</v>
      </c>
      <c r="B25572" s="8" t="str">
        <f>HYPERLINK("https://twitter.com/Ningsihecybell1","@Ningsihecybell1")</f>
        <v>@Ningsihecybell1</v>
      </c>
      <c r="C25572" s="8" t="s">
        <v>2962</v>
      </c>
      <c r="D25572" s="8">
        <v>4268</v>
      </c>
      <c r="E25572" s="8">
        <v>0</v>
      </c>
      <c r="F25572" s="8">
        <v>40</v>
      </c>
    </row>
    <row r="25573" spans="1:6" ht="12.75">
      <c r="A25573" s="8">
        <v>43892.962546296301</v>
      </c>
      <c r="B25573" s="8" t="str">
        <f>HYPERLINK("https://twitter.com/dankjeu","@dankjeu")</f>
        <v>@dankjeu</v>
      </c>
      <c r="C25573" s="8" t="s">
        <v>2199</v>
      </c>
      <c r="D25573" s="8">
        <v>8104</v>
      </c>
      <c r="E25573" s="8">
        <v>0</v>
      </c>
      <c r="F25573" s="8">
        <v>542</v>
      </c>
    </row>
    <row r="25574" spans="1:6" ht="12.75">
      <c r="A25574" s="8">
        <v>43892.962488425925</v>
      </c>
      <c r="B25574" s="8" t="str">
        <f>HYPERLINK("https://twitter.com/reni_hutapea20","@reni_hutapea20")</f>
        <v>@reni_hutapea20</v>
      </c>
      <c r="C25574" s="8" t="s">
        <v>10040</v>
      </c>
      <c r="D25574" s="8">
        <v>0</v>
      </c>
      <c r="E25574" s="8">
        <v>0</v>
      </c>
      <c r="F25574" s="8">
        <v>190</v>
      </c>
    </row>
    <row r="25575" spans="1:6" ht="12.75">
      <c r="A25575" s="8">
        <v>43892.962476851855</v>
      </c>
      <c r="B25575" s="8" t="str">
        <f>HYPERLINK("https://twitter.com/miharja_ozzy","@miharja_ozzy")</f>
        <v>@miharja_ozzy</v>
      </c>
      <c r="C25575" s="8" t="s">
        <v>9915</v>
      </c>
      <c r="D25575" s="8">
        <v>59</v>
      </c>
      <c r="E25575" s="8">
        <v>0</v>
      </c>
      <c r="F25575" s="8">
        <v>81</v>
      </c>
    </row>
    <row r="25576" spans="1:6" ht="12.75">
      <c r="A25576" s="8">
        <v>43892.962407407409</v>
      </c>
      <c r="B25576" s="8" t="str">
        <f>HYPERLINK("https://twitter.com/veraagustian_","@veraagustian_")</f>
        <v>@veraagustian_</v>
      </c>
      <c r="C25576" s="8" t="s">
        <v>9796</v>
      </c>
      <c r="D25576" s="8">
        <v>5</v>
      </c>
      <c r="E25576" s="8">
        <v>0</v>
      </c>
      <c r="F25576" s="8">
        <v>3200</v>
      </c>
    </row>
    <row r="25577" spans="1:6" ht="12.75">
      <c r="A25577" s="8">
        <v>43892.962372685186</v>
      </c>
      <c r="B25577" s="8" t="str">
        <f>HYPERLINK("https://twitter.com/David90106531","@David90106531")</f>
        <v>@David90106531</v>
      </c>
      <c r="C25577" s="8" t="s">
        <v>8322</v>
      </c>
      <c r="D25577" s="8">
        <v>575</v>
      </c>
      <c r="E25577" s="8">
        <v>0</v>
      </c>
      <c r="F25577" s="8">
        <v>121</v>
      </c>
    </row>
    <row r="25578" spans="1:6" ht="12.75">
      <c r="A25578" s="8">
        <v>43892.962372685186</v>
      </c>
      <c r="B25578" s="8" t="str">
        <f>HYPERLINK("https://twitter.com/komengleo_","@komengleo_")</f>
        <v>@komengleo_</v>
      </c>
      <c r="C25578" s="8" t="s">
        <v>5732</v>
      </c>
      <c r="D25578" s="8">
        <v>2036</v>
      </c>
      <c r="E25578" s="8">
        <v>0</v>
      </c>
      <c r="F25578" s="8">
        <v>203</v>
      </c>
    </row>
    <row r="25579" spans="1:6" ht="12.75">
      <c r="A25579" s="8">
        <v>43892.962372685186</v>
      </c>
      <c r="B25579" s="8" t="str">
        <f>HYPERLINK("https://twitter.com/feili88","@feili88")</f>
        <v>@feili88</v>
      </c>
      <c r="C25579" s="8" t="s">
        <v>2962</v>
      </c>
      <c r="D25579" s="8">
        <v>4268</v>
      </c>
      <c r="E25579" s="8">
        <v>0</v>
      </c>
      <c r="F25579" s="8">
        <v>153</v>
      </c>
    </row>
    <row r="25580" spans="1:6" ht="12.75">
      <c r="A25580" s="8">
        <v>43892.923449074078</v>
      </c>
      <c r="B25580" s="8" t="str">
        <f>HYPERLINK("https://twitter.com/Lini_ZQ","@Lini_ZQ")</f>
        <v>@Lini_ZQ</v>
      </c>
      <c r="C25580" s="8" t="s">
        <v>9628</v>
      </c>
      <c r="D25580" s="8">
        <v>235</v>
      </c>
      <c r="E25580" s="8">
        <v>0</v>
      </c>
      <c r="F25580" s="8">
        <v>11584</v>
      </c>
    </row>
    <row r="25581" spans="1:6" ht="12.75">
      <c r="A25581" s="8">
        <v>43892.923449074078</v>
      </c>
      <c r="B25581" s="8" t="str">
        <f>HYPERLINK("https://twitter.com/evana_ayu","@evana_ayu")</f>
        <v>@evana_ayu</v>
      </c>
      <c r="C25581" s="8" t="s">
        <v>10041</v>
      </c>
      <c r="D25581" s="8">
        <v>0</v>
      </c>
      <c r="E25581" s="8">
        <v>0</v>
      </c>
      <c r="F25581" s="8">
        <v>3</v>
      </c>
    </row>
    <row r="25582" spans="1:6" ht="12.75">
      <c r="A25582" s="8">
        <v>43892.923391203702</v>
      </c>
      <c r="B25582" s="8" t="str">
        <f>HYPERLINK("https://twitter.com/boboririss","@boboririss")</f>
        <v>@boboririss</v>
      </c>
      <c r="C25582" s="8" t="s">
        <v>2962</v>
      </c>
      <c r="D25582" s="8">
        <v>3930</v>
      </c>
      <c r="E25582" s="8">
        <v>0</v>
      </c>
      <c r="F25582" s="8">
        <v>613</v>
      </c>
    </row>
    <row r="25583" spans="1:6" ht="12.75">
      <c r="A25583" s="8">
        <v>43892.923333333332</v>
      </c>
      <c r="B25583" s="8" t="str">
        <f>HYPERLINK("https://twitter.com/tiawcool","@tiawcool")</f>
        <v>@tiawcool</v>
      </c>
      <c r="C25583" s="8" t="s">
        <v>9954</v>
      </c>
      <c r="D25583" s="8">
        <v>5</v>
      </c>
      <c r="E25583" s="8">
        <v>0</v>
      </c>
      <c r="F25583" s="8">
        <v>442</v>
      </c>
    </row>
    <row r="25584" spans="1:6" ht="12.75">
      <c r="A25584" s="8">
        <v>43892.923321759255</v>
      </c>
      <c r="B25584" s="8" t="str">
        <f>HYPERLINK("https://twitter.com/aak_agik","@aak_agik")</f>
        <v>@aak_agik</v>
      </c>
      <c r="C25584" s="8" t="s">
        <v>8033</v>
      </c>
      <c r="D25584" s="8">
        <v>5</v>
      </c>
      <c r="E25584" s="8">
        <v>0</v>
      </c>
      <c r="F25584" s="8">
        <v>71</v>
      </c>
    </row>
    <row r="25585" spans="1:6" ht="12.75">
      <c r="A25585" s="8">
        <v>43892.923321759255</v>
      </c>
      <c r="B25585" s="8" t="str">
        <f>HYPERLINK("https://twitter.com/araaysf","@araaysf")</f>
        <v>@araaysf</v>
      </c>
      <c r="C25585" s="8" t="s">
        <v>9295</v>
      </c>
      <c r="D25585" s="8">
        <v>82</v>
      </c>
      <c r="E25585" s="8">
        <v>0</v>
      </c>
      <c r="F25585" s="8">
        <v>1686</v>
      </c>
    </row>
    <row r="25586" spans="1:6" ht="12.75">
      <c r="A25586" s="8">
        <v>43892.923310185186</v>
      </c>
      <c r="B25586" s="8" t="str">
        <f>HYPERLINK("https://twitter.com/babypipoo","@babypipoo")</f>
        <v>@babypipoo</v>
      </c>
      <c r="C25586" s="8" t="s">
        <v>2962</v>
      </c>
      <c r="D25586" s="8">
        <v>3929</v>
      </c>
      <c r="E25586" s="8">
        <v>0</v>
      </c>
      <c r="F25586" s="8">
        <v>91</v>
      </c>
    </row>
    <row r="25587" spans="1:6" ht="12.75">
      <c r="A25587" s="8">
        <v>43892.923298611116</v>
      </c>
      <c r="B25587" s="8" t="str">
        <f>HYPERLINK("https://twitter.com/Nursyafitritule","@Nursyafitritule")</f>
        <v>@Nursyafitritule</v>
      </c>
      <c r="C25587" s="8" t="s">
        <v>9194</v>
      </c>
      <c r="D25587" s="8">
        <v>105</v>
      </c>
      <c r="E25587" s="8">
        <v>0</v>
      </c>
      <c r="F25587" s="8">
        <v>1539</v>
      </c>
    </row>
    <row r="25588" spans="1:6" ht="12.75">
      <c r="A25588" s="8">
        <v>43892.923287037032</v>
      </c>
      <c r="B25588" s="8" t="str">
        <f>HYPERLINK("https://twitter.com/seterongperson","@seterongperson")</f>
        <v>@seterongperson</v>
      </c>
      <c r="C25588" s="8" t="s">
        <v>10042</v>
      </c>
      <c r="D25588" s="8">
        <v>0</v>
      </c>
      <c r="E25588" s="8">
        <v>0</v>
      </c>
      <c r="F25588" s="8">
        <v>96</v>
      </c>
    </row>
    <row r="25589" spans="1:6" ht="12.75">
      <c r="A25589" s="8">
        <v>43892.923287037032</v>
      </c>
      <c r="B25589" s="8" t="str">
        <f>HYPERLINK("https://twitter.com/zigmundraa","@zigmundraa")</f>
        <v>@zigmundraa</v>
      </c>
      <c r="C25589" s="8" t="s">
        <v>9207</v>
      </c>
      <c r="D25589" s="8">
        <v>94</v>
      </c>
      <c r="E25589" s="8">
        <v>0</v>
      </c>
      <c r="F25589" s="8">
        <v>650</v>
      </c>
    </row>
    <row r="25590" spans="1:6" ht="12.75">
      <c r="A25590" s="8">
        <v>43892.923275462963</v>
      </c>
      <c r="B25590" s="8" t="str">
        <f>HYPERLINK("https://twitter.com/tiawcool","@tiawcool")</f>
        <v>@tiawcool</v>
      </c>
      <c r="C25590" s="8" t="s">
        <v>10016</v>
      </c>
      <c r="D25590" s="8">
        <v>6</v>
      </c>
      <c r="E25590" s="8">
        <v>0</v>
      </c>
      <c r="F25590" s="8">
        <v>442</v>
      </c>
    </row>
    <row r="25591" spans="1:6" ht="12.75">
      <c r="A25591" s="8">
        <v>43892.923275462963</v>
      </c>
      <c r="B25591" s="8" t="str">
        <f>HYPERLINK("https://twitter.com/Eka_WahyuK","@Eka_WahyuK")</f>
        <v>@Eka_WahyuK</v>
      </c>
      <c r="C25591" s="8" t="s">
        <v>2199</v>
      </c>
      <c r="D25591" s="8">
        <v>7869</v>
      </c>
      <c r="E25591" s="8">
        <v>0</v>
      </c>
      <c r="F25591" s="8">
        <v>329</v>
      </c>
    </row>
    <row r="25592" spans="1:6" ht="12.75">
      <c r="A25592" s="8">
        <v>43892.923263888893</v>
      </c>
      <c r="B25592" s="8" t="str">
        <f>HYPERLINK("https://twitter.com/PANJISATRIA__","@PANJISATRIA__")</f>
        <v>@PANJISATRIA__</v>
      </c>
      <c r="C25592" s="8" t="s">
        <v>10043</v>
      </c>
      <c r="D25592" s="8">
        <v>0</v>
      </c>
      <c r="E25592" s="8">
        <v>0</v>
      </c>
      <c r="F25592" s="8">
        <v>567</v>
      </c>
    </row>
    <row r="25593" spans="1:6" ht="12.75">
      <c r="A25593" s="8">
        <v>43892.923252314809</v>
      </c>
      <c r="B25593" s="8" t="str">
        <f>HYPERLINK("https://twitter.com/Danank902","@Danank902")</f>
        <v>@Danank902</v>
      </c>
      <c r="C25593" s="8" t="s">
        <v>1986</v>
      </c>
      <c r="D25593" s="8">
        <v>397</v>
      </c>
      <c r="E25593" s="8">
        <v>0</v>
      </c>
      <c r="F25593" s="8">
        <v>513</v>
      </c>
    </row>
    <row r="25594" spans="1:6" ht="12.75">
      <c r="A25594" s="8">
        <v>43892.92324074074</v>
      </c>
      <c r="B25594" s="8" t="str">
        <f>HYPERLINK("https://twitter.com/Hendy_Abel","@Hendy_Abel")</f>
        <v>@Hendy_Abel</v>
      </c>
      <c r="C25594" s="8" t="s">
        <v>10044</v>
      </c>
      <c r="D25594" s="8">
        <v>58</v>
      </c>
      <c r="E25594" s="8">
        <v>0</v>
      </c>
      <c r="F25594" s="8">
        <v>331</v>
      </c>
    </row>
    <row r="25595" spans="1:6" ht="12.75">
      <c r="A25595" s="8">
        <v>43892.923217592594</v>
      </c>
      <c r="B25595" s="8" t="str">
        <f>HYPERLINK("https://twitter.com/AliDavala99","@AliDavala99")</f>
        <v>@AliDavala99</v>
      </c>
      <c r="C25595" s="8" t="s">
        <v>6832</v>
      </c>
      <c r="D25595" s="8">
        <v>726</v>
      </c>
      <c r="E25595" s="8">
        <v>0</v>
      </c>
      <c r="F25595" s="8">
        <v>77</v>
      </c>
    </row>
    <row r="25596" spans="1:6" ht="12.75">
      <c r="A25596" s="8">
        <v>43892.923171296294</v>
      </c>
      <c r="B25596" s="8" t="str">
        <f>HYPERLINK("https://twitter.com/gureumsai916","@gureumsai916")</f>
        <v>@gureumsai916</v>
      </c>
      <c r="C25596" s="8" t="s">
        <v>2962</v>
      </c>
      <c r="D25596" s="8">
        <v>3930</v>
      </c>
      <c r="E25596" s="8">
        <v>0</v>
      </c>
      <c r="F25596" s="8">
        <v>118</v>
      </c>
    </row>
    <row r="25597" spans="1:6" ht="12.75">
      <c r="A25597" s="8">
        <v>43892.923125000001</v>
      </c>
      <c r="B25597" s="8" t="str">
        <f>HYPERLINK("https://twitter.com/AliDavala99","@AliDavala99")</f>
        <v>@AliDavala99</v>
      </c>
      <c r="C25597" s="8" t="s">
        <v>9300</v>
      </c>
      <c r="D25597" s="8">
        <v>115</v>
      </c>
      <c r="E25597" s="8">
        <v>0</v>
      </c>
      <c r="F25597" s="8">
        <v>77</v>
      </c>
    </row>
    <row r="25598" spans="1:6" ht="12.75">
      <c r="A25598" s="8">
        <v>43892.923101851848</v>
      </c>
      <c r="B25598" s="8" t="str">
        <f>HYPERLINK("https://twitter.com/mugiya_wardhany","@mugiya_wardhany")</f>
        <v>@mugiya_wardhany</v>
      </c>
      <c r="C25598" s="8" t="s">
        <v>10045</v>
      </c>
      <c r="D25598" s="8">
        <v>7</v>
      </c>
      <c r="E25598" s="8">
        <v>0</v>
      </c>
      <c r="F25598" s="8">
        <v>1673</v>
      </c>
    </row>
    <row r="25599" spans="1:6" ht="12.75">
      <c r="A25599" s="8">
        <v>43892.923090277778</v>
      </c>
      <c r="B25599" s="8" t="str">
        <f>HYPERLINK("https://twitter.com/adhet11a","@adhet11a")</f>
        <v>@adhet11a</v>
      </c>
      <c r="C25599" s="8" t="s">
        <v>6832</v>
      </c>
      <c r="D25599" s="8">
        <v>726</v>
      </c>
      <c r="E25599" s="8">
        <v>0</v>
      </c>
      <c r="F25599" s="8">
        <v>231</v>
      </c>
    </row>
    <row r="25600" spans="1:6" ht="12.75">
      <c r="A25600" s="8">
        <v>43892.922997685186</v>
      </c>
      <c r="B25600" s="8" t="str">
        <f>HYPERLINK("https://twitter.com/Andli_Firman","@Andli_Firman")</f>
        <v>@Andli_Firman</v>
      </c>
      <c r="C25600" s="8" t="s">
        <v>10016</v>
      </c>
      <c r="D25600" s="8">
        <v>6</v>
      </c>
      <c r="E25600" s="8">
        <v>0</v>
      </c>
      <c r="F25600" s="8">
        <v>719</v>
      </c>
    </row>
    <row r="25601" spans="1:6" ht="12.75">
      <c r="A25601" s="8">
        <v>43892.922997685186</v>
      </c>
      <c r="B25601" s="8" t="str">
        <f>HYPERLINK("https://twitter.com/RayMuha68843402","@RayMuha68843402")</f>
        <v>@RayMuha68843402</v>
      </c>
      <c r="C25601" s="8" t="s">
        <v>6832</v>
      </c>
      <c r="D25601" s="8">
        <v>726</v>
      </c>
      <c r="E25601" s="8">
        <v>0</v>
      </c>
      <c r="F25601" s="8">
        <v>664</v>
      </c>
    </row>
    <row r="25602" spans="1:6" ht="12.75">
      <c r="A25602" s="8">
        <v>43892.922997685186</v>
      </c>
      <c r="B25602" s="8" t="str">
        <f>HYPERLINK("https://twitter.com/Inawzahron","@Inawzahron")</f>
        <v>@Inawzahron</v>
      </c>
      <c r="C25602" s="8" t="s">
        <v>9701</v>
      </c>
      <c r="D25602" s="8">
        <v>1587</v>
      </c>
      <c r="E25602" s="8">
        <v>0</v>
      </c>
      <c r="F25602" s="8">
        <v>380</v>
      </c>
    </row>
    <row r="25603" spans="1:6" ht="12.75">
      <c r="A25603" s="8">
        <v>43892.922939814816</v>
      </c>
      <c r="B25603" s="8" t="str">
        <f>HYPERLINK("https://twitter.com/OHWaa12","@OHWaa12")</f>
        <v>@OHWaa12</v>
      </c>
      <c r="C25603" s="8" t="s">
        <v>2199</v>
      </c>
      <c r="D25603" s="8">
        <v>7869</v>
      </c>
      <c r="E25603" s="8">
        <v>0</v>
      </c>
      <c r="F25603" s="8">
        <v>650</v>
      </c>
    </row>
    <row r="25604" spans="1:6" ht="12.75">
      <c r="A25604" s="8">
        <v>43892.922939814816</v>
      </c>
      <c r="B25604" s="8" t="str">
        <f>HYPERLINK("https://twitter.com/AliDavala99","@AliDavala99")</f>
        <v>@AliDavala99</v>
      </c>
      <c r="C25604" s="8" t="s">
        <v>9123</v>
      </c>
      <c r="D25604" s="8">
        <v>323</v>
      </c>
      <c r="E25604" s="8">
        <v>0</v>
      </c>
      <c r="F25604" s="8">
        <v>77</v>
      </c>
    </row>
    <row r="25605" spans="1:6" ht="12.75">
      <c r="A25605" s="8">
        <v>43892.922893518524</v>
      </c>
      <c r="B25605" s="8" t="str">
        <f>HYPERLINK("https://twitter.com/royroyy27","@royroyy27")</f>
        <v>@royroyy27</v>
      </c>
      <c r="C25605" s="8" t="s">
        <v>9194</v>
      </c>
      <c r="D25605" s="8">
        <v>105</v>
      </c>
      <c r="E25605" s="8">
        <v>0</v>
      </c>
      <c r="F25605" s="8">
        <v>39</v>
      </c>
    </row>
    <row r="25606" spans="1:6" ht="12.75">
      <c r="A25606" s="8">
        <v>43892.92288194444</v>
      </c>
      <c r="B25606" s="8" t="str">
        <f>HYPERLINK("https://twitter.com/d3nd16","@d3nd16")</f>
        <v>@d3nd16</v>
      </c>
      <c r="C25606" s="8" t="s">
        <v>9038</v>
      </c>
      <c r="D25606" s="8">
        <v>45</v>
      </c>
      <c r="E25606" s="8">
        <v>0</v>
      </c>
      <c r="F25606" s="8">
        <v>29</v>
      </c>
    </row>
    <row r="25607" spans="1:6" ht="12.75">
      <c r="A25607" s="8">
        <v>43892.922858796301</v>
      </c>
      <c r="B25607" s="8" t="str">
        <f>HYPERLINK("https://twitter.com/KKP_Bandung","@KKP_Bandung")</f>
        <v>@KKP_Bandung</v>
      </c>
      <c r="C25607" s="8" t="s">
        <v>3038</v>
      </c>
      <c r="D25607" s="8">
        <v>66</v>
      </c>
      <c r="E25607" s="8">
        <v>0</v>
      </c>
      <c r="F25607" s="8">
        <v>16</v>
      </c>
    </row>
    <row r="25608" spans="1:6" ht="12.75">
      <c r="A25608" s="8">
        <v>43892.922824074078</v>
      </c>
      <c r="B25608" s="8" t="str">
        <f>HYPERLINK("https://twitter.com/shidqihooligan","@shidqihooligan")</f>
        <v>@shidqihooligan</v>
      </c>
      <c r="C25608" s="8" t="s">
        <v>2199</v>
      </c>
      <c r="D25608" s="8">
        <v>7869</v>
      </c>
      <c r="E25608" s="8">
        <v>0</v>
      </c>
      <c r="F25608" s="8">
        <v>323</v>
      </c>
    </row>
    <row r="25609" spans="1:6" ht="12.75">
      <c r="A25609" s="8">
        <v>43892.922824074078</v>
      </c>
      <c r="B25609" s="8" t="str">
        <f>HYPERLINK("https://twitter.com/KKP_Bandung","@KKP_Bandung")</f>
        <v>@KKP_Bandung</v>
      </c>
      <c r="C25609" s="8" t="s">
        <v>10019</v>
      </c>
      <c r="D25609" s="8">
        <v>48</v>
      </c>
      <c r="E25609" s="8">
        <v>0</v>
      </c>
      <c r="F25609" s="8">
        <v>16</v>
      </c>
    </row>
    <row r="25610" spans="1:6" ht="12.75">
      <c r="A25610" s="8">
        <v>43892.922800925924</v>
      </c>
      <c r="B25610" s="8" t="str">
        <f>HYPERLINK("https://twitter.com/RiastLaili","@RiastLaili")</f>
        <v>@RiastLaili</v>
      </c>
      <c r="C25610" s="8" t="s">
        <v>2962</v>
      </c>
      <c r="D25610" s="8">
        <v>3930</v>
      </c>
      <c r="E25610" s="8">
        <v>0</v>
      </c>
      <c r="F25610" s="8">
        <v>980</v>
      </c>
    </row>
    <row r="25611" spans="1:6" ht="12.75">
      <c r="A25611" s="8">
        <v>43892.922800925924</v>
      </c>
      <c r="B25611" s="8" t="str">
        <f>HYPERLINK("https://twitter.com/NoegrohoEddie","@NoegrohoEddie")</f>
        <v>@NoegrohoEddie</v>
      </c>
      <c r="C25611" s="8" t="s">
        <v>9915</v>
      </c>
      <c r="D25611" s="8">
        <v>44</v>
      </c>
      <c r="E25611" s="8">
        <v>0</v>
      </c>
      <c r="F25611" s="8">
        <v>566</v>
      </c>
    </row>
    <row r="25612" spans="1:6" ht="12.75">
      <c r="A25612" s="8">
        <v>43892.922754629632</v>
      </c>
      <c r="B25612" s="8" t="str">
        <f>HYPERLINK("https://twitter.com/juicy_jjoy","@juicy_jjoy")</f>
        <v>@juicy_jjoy</v>
      </c>
      <c r="C25612" s="8" t="s">
        <v>1427</v>
      </c>
      <c r="D25612" s="8">
        <v>316</v>
      </c>
      <c r="E25612" s="8">
        <v>0</v>
      </c>
      <c r="F25612" s="8">
        <v>2133</v>
      </c>
    </row>
    <row r="25613" spans="1:6" ht="12.75">
      <c r="A25613" s="8">
        <v>43892.922719907408</v>
      </c>
      <c r="B25613" s="8" t="str">
        <f>HYPERLINK("https://twitter.com/lukchakim","@lukchakim")</f>
        <v>@lukchakim</v>
      </c>
      <c r="C25613" s="8" t="s">
        <v>9910</v>
      </c>
      <c r="D25613" s="8">
        <v>514</v>
      </c>
      <c r="E25613" s="8">
        <v>0</v>
      </c>
      <c r="F25613" s="8">
        <v>196</v>
      </c>
    </row>
    <row r="25614" spans="1:6" ht="12.75">
      <c r="A25614" s="8">
        <v>43892.922708333332</v>
      </c>
      <c r="B25614" s="8" t="str">
        <f>HYPERLINK("https://twitter.com/vurplekoo","@vurplekoo")</f>
        <v>@vurplekoo</v>
      </c>
      <c r="C25614" s="8" t="s">
        <v>10046</v>
      </c>
      <c r="D25614" s="8">
        <v>0</v>
      </c>
      <c r="E25614" s="8">
        <v>0</v>
      </c>
      <c r="F25614" s="8">
        <v>862</v>
      </c>
    </row>
    <row r="25615" spans="1:6" ht="12.75">
      <c r="A25615" s="8">
        <v>43892.922696759255</v>
      </c>
      <c r="B25615" s="8" t="str">
        <f>HYPERLINK("https://twitter.com/RezimTipuDaya","@RezimTipuDaya")</f>
        <v>@RezimTipuDaya</v>
      </c>
      <c r="C25615" s="8" t="s">
        <v>10047</v>
      </c>
      <c r="D25615" s="8">
        <v>0</v>
      </c>
      <c r="E25615" s="8">
        <v>0</v>
      </c>
      <c r="F25615" s="8">
        <v>2111</v>
      </c>
    </row>
    <row r="25616" spans="1:6" ht="12.75">
      <c r="A25616" s="8">
        <v>43892.922662037032</v>
      </c>
      <c r="B25616" s="8" t="str">
        <f>HYPERLINK("https://twitter.com/KKP_Bandung","@KKP_Bandung")</f>
        <v>@KKP_Bandung</v>
      </c>
      <c r="C25616" s="8" t="s">
        <v>9270</v>
      </c>
      <c r="D25616" s="8">
        <v>86</v>
      </c>
      <c r="E25616" s="8">
        <v>0</v>
      </c>
      <c r="F25616" s="8">
        <v>16</v>
      </c>
    </row>
    <row r="25617" spans="1:6" ht="12.75">
      <c r="A25617" s="8">
        <v>43892.922627314816</v>
      </c>
      <c r="B25617" s="8" t="str">
        <f>HYPERLINK("https://twitter.com/riyanto1997","@riyanto1997")</f>
        <v>@riyanto1997</v>
      </c>
      <c r="C25617" s="8" t="s">
        <v>8842</v>
      </c>
      <c r="D25617" s="8">
        <v>143</v>
      </c>
      <c r="E25617" s="8">
        <v>0</v>
      </c>
      <c r="F25617" s="8">
        <v>61</v>
      </c>
    </row>
    <row r="25618" spans="1:6" ht="12.75">
      <c r="A25618" s="8">
        <v>43892.92260416667</v>
      </c>
      <c r="B25618" s="8" t="str">
        <f>HYPERLINK("https://twitter.com/KKP_Bandung","@KKP_Bandung")</f>
        <v>@KKP_Bandung</v>
      </c>
      <c r="C25618" s="8" t="s">
        <v>9954</v>
      </c>
      <c r="D25618" s="8">
        <v>5</v>
      </c>
      <c r="E25618" s="8">
        <v>0</v>
      </c>
      <c r="F25618" s="8">
        <v>16</v>
      </c>
    </row>
    <row r="25619" spans="1:6" ht="12.75">
      <c r="A25619" s="8">
        <v>43892.92260416667</v>
      </c>
      <c r="B25619" s="8" t="str">
        <f>HYPERLINK("https://twitter.com/xjahez","@xjahez")</f>
        <v>@xjahez</v>
      </c>
      <c r="C25619" s="8" t="s">
        <v>2962</v>
      </c>
      <c r="D25619" s="8">
        <v>3930</v>
      </c>
      <c r="E25619" s="8">
        <v>0</v>
      </c>
      <c r="F25619" s="8">
        <v>921</v>
      </c>
    </row>
    <row r="25620" spans="1:6" ht="12.75">
      <c r="A25620" s="8">
        <v>43892.922592592593</v>
      </c>
      <c r="B25620" s="8" t="str">
        <f>HYPERLINK("https://twitter.com/vyvicky","@vyvicky")</f>
        <v>@vyvicky</v>
      </c>
      <c r="C25620" s="8" t="s">
        <v>2962</v>
      </c>
      <c r="D25620" s="8">
        <v>3930</v>
      </c>
      <c r="E25620" s="8">
        <v>0</v>
      </c>
      <c r="F25620" s="8">
        <v>734</v>
      </c>
    </row>
    <row r="25621" spans="1:6" ht="12.75">
      <c r="A25621" s="8">
        <v>43892.922592592593</v>
      </c>
      <c r="B25621" s="8" t="str">
        <f>HYPERLINK("https://twitter.com/SayyidahAthiyy","@SayyidahAthiyy")</f>
        <v>@SayyidahAthiyy</v>
      </c>
      <c r="C25621" s="8" t="s">
        <v>2962</v>
      </c>
      <c r="D25621" s="8">
        <v>3930</v>
      </c>
      <c r="E25621" s="8">
        <v>0</v>
      </c>
      <c r="F25621" s="8">
        <v>242</v>
      </c>
    </row>
    <row r="25622" spans="1:6" ht="12.75">
      <c r="A25622" s="8">
        <v>43892.922569444447</v>
      </c>
      <c r="B25622" s="8" t="str">
        <f>HYPERLINK("https://twitter.com/kyaimtr20041","@kyaimtr20041")</f>
        <v>@kyaimtr20041</v>
      </c>
      <c r="C25622" s="8" t="s">
        <v>9123</v>
      </c>
      <c r="D25622" s="8">
        <v>323</v>
      </c>
      <c r="E25622" s="8">
        <v>0</v>
      </c>
      <c r="F25622" s="8">
        <v>922</v>
      </c>
    </row>
    <row r="25623" spans="1:6" ht="12.75">
      <c r="A25623" s="8">
        <v>43892.92255787037</v>
      </c>
      <c r="B25623" s="8" t="str">
        <f>HYPERLINK("https://twitter.com/Andli_Firman","@Andli_Firman")</f>
        <v>@Andli_Firman</v>
      </c>
      <c r="C25623" s="8" t="s">
        <v>9954</v>
      </c>
      <c r="D25623" s="8">
        <v>5</v>
      </c>
      <c r="E25623" s="8">
        <v>0</v>
      </c>
      <c r="F25623" s="8">
        <v>719</v>
      </c>
    </row>
    <row r="25624" spans="1:6" ht="12.75">
      <c r="A25624" s="8">
        <v>43892.922546296293</v>
      </c>
      <c r="B25624" s="8" t="str">
        <f>HYPERLINK("https://twitter.com/RenoldRinaldi","@RenoldRinaldi")</f>
        <v>@RenoldRinaldi</v>
      </c>
      <c r="C25624" s="8" t="s">
        <v>9295</v>
      </c>
      <c r="D25624" s="8">
        <v>82</v>
      </c>
      <c r="E25624" s="8">
        <v>0</v>
      </c>
      <c r="F25624" s="8">
        <v>276</v>
      </c>
    </row>
    <row r="25625" spans="1:6" ht="12.75">
      <c r="A25625" s="8">
        <v>43892.922534722224</v>
      </c>
      <c r="B25625" s="8" t="str">
        <f>HYPERLINK("https://twitter.com/iphsp","@iphsp")</f>
        <v>@iphsp</v>
      </c>
      <c r="C25625" s="8" t="s">
        <v>2199</v>
      </c>
      <c r="D25625" s="8">
        <v>7869</v>
      </c>
      <c r="E25625" s="8">
        <v>0</v>
      </c>
      <c r="F25625" s="8">
        <v>51</v>
      </c>
    </row>
    <row r="25626" spans="1:6" ht="12.75">
      <c r="A25626" s="8">
        <v>43892.922488425931</v>
      </c>
      <c r="B25626" s="8" t="str">
        <f>HYPERLINK("https://twitter.com/metabp","@metabp")</f>
        <v>@metabp</v>
      </c>
      <c r="C25626" s="8" t="s">
        <v>2962</v>
      </c>
      <c r="D25626" s="8">
        <v>3930</v>
      </c>
      <c r="E25626" s="8">
        <v>0</v>
      </c>
      <c r="F25626" s="8">
        <v>706</v>
      </c>
    </row>
    <row r="25627" spans="1:6" ht="12.75">
      <c r="A25627" s="8">
        <v>43892.922476851847</v>
      </c>
      <c r="B25627" s="8" t="str">
        <f>HYPERLINK("https://twitter.com/sectusaempra","@sectusaempra")</f>
        <v>@sectusaempra</v>
      </c>
      <c r="C25627" s="8" t="s">
        <v>1427</v>
      </c>
      <c r="D25627" s="8">
        <v>316</v>
      </c>
      <c r="E25627" s="8">
        <v>0</v>
      </c>
      <c r="F25627" s="8">
        <v>477</v>
      </c>
    </row>
    <row r="25628" spans="1:6" ht="12.75">
      <c r="A25628" s="8">
        <v>43892.922395833331</v>
      </c>
      <c r="B25628" s="8" t="str">
        <f>HYPERLINK("https://twitter.com/G536666","@G536666")</f>
        <v>@G536666</v>
      </c>
      <c r="C25628" s="8" t="s">
        <v>10048</v>
      </c>
      <c r="D25628" s="8">
        <v>3</v>
      </c>
      <c r="E25628" s="8">
        <v>0</v>
      </c>
      <c r="F25628" s="8">
        <v>507</v>
      </c>
    </row>
    <row r="25629" spans="1:6" ht="12.75">
      <c r="A25629" s="8">
        <v>43892.922349537039</v>
      </c>
      <c r="B25629" s="8" t="str">
        <f>HYPERLINK("https://twitter.com/Gunawan_1908","@Gunawan_1908")</f>
        <v>@Gunawan_1908</v>
      </c>
      <c r="C25629" s="8" t="s">
        <v>6832</v>
      </c>
      <c r="D25629" s="8">
        <v>726</v>
      </c>
      <c r="E25629" s="8">
        <v>0</v>
      </c>
      <c r="F25629" s="8">
        <v>149</v>
      </c>
    </row>
    <row r="25630" spans="1:6" ht="12.75">
      <c r="A25630" s="8">
        <v>43892.922337962962</v>
      </c>
      <c r="B25630" s="8" t="str">
        <f>HYPERLINK("https://twitter.com/bangtoyib002","@bangtoyib002")</f>
        <v>@bangtoyib002</v>
      </c>
      <c r="C25630" s="8" t="s">
        <v>6832</v>
      </c>
      <c r="D25630" s="8">
        <v>726</v>
      </c>
      <c r="E25630" s="8">
        <v>0</v>
      </c>
      <c r="F25630" s="8">
        <v>831</v>
      </c>
    </row>
    <row r="25631" spans="1:6" ht="12.75">
      <c r="A25631" s="8">
        <v>43892.922222222223</v>
      </c>
      <c r="B25631" s="8" t="str">
        <f>HYPERLINK("https://twitter.com/peachy_poetri","@peachy_poetri")</f>
        <v>@peachy_poetri</v>
      </c>
      <c r="C25631" s="8" t="s">
        <v>2962</v>
      </c>
      <c r="D25631" s="8">
        <v>3930</v>
      </c>
      <c r="E25631" s="8">
        <v>0</v>
      </c>
      <c r="F25631" s="8">
        <v>244</v>
      </c>
    </row>
    <row r="25632" spans="1:6" ht="12.75">
      <c r="A25632" s="8">
        <v>43892.922199074077</v>
      </c>
      <c r="B25632" s="8" t="str">
        <f>HYPERLINK("https://twitter.com/lalaland1704","@lalaland1704")</f>
        <v>@lalaland1704</v>
      </c>
      <c r="C25632" s="8" t="s">
        <v>4150</v>
      </c>
      <c r="D25632" s="8">
        <v>468</v>
      </c>
      <c r="E25632" s="8">
        <v>0</v>
      </c>
      <c r="F25632" s="8">
        <v>1300</v>
      </c>
    </row>
    <row r="25633" spans="1:6" ht="12.75">
      <c r="A25633" s="8">
        <v>43892.922164351854</v>
      </c>
      <c r="B25633" s="8" t="str">
        <f>HYPERLINK("https://twitter.com/cottonbunnyjm","@cottonbunnyjm")</f>
        <v>@cottonbunnyjm</v>
      </c>
      <c r="C25633" s="8" t="s">
        <v>1427</v>
      </c>
      <c r="D25633" s="8">
        <v>316</v>
      </c>
      <c r="E25633" s="8">
        <v>0</v>
      </c>
      <c r="F25633" s="8">
        <v>196</v>
      </c>
    </row>
    <row r="25634" spans="1:6" ht="12.75">
      <c r="A25634" s="8">
        <v>43892.922152777777</v>
      </c>
      <c r="B25634" s="8" t="str">
        <f>HYPERLINK("https://twitter.com/1jirr","@1jirr")</f>
        <v>@1jirr</v>
      </c>
      <c r="C25634" s="8" t="s">
        <v>2962</v>
      </c>
      <c r="D25634" s="8">
        <v>3930</v>
      </c>
      <c r="E25634" s="8">
        <v>0</v>
      </c>
      <c r="F25634" s="8">
        <v>1028</v>
      </c>
    </row>
    <row r="25635" spans="1:6" ht="12.75">
      <c r="A25635" s="8">
        <v>43892.922048611115</v>
      </c>
      <c r="B25635" s="8" t="str">
        <f>HYPERLINK("https://twitter.com/My_LoveNebe","@My_LoveNebe")</f>
        <v>@My_LoveNebe</v>
      </c>
      <c r="C25635" s="8" t="s">
        <v>10049</v>
      </c>
      <c r="D25635" s="8">
        <v>130</v>
      </c>
      <c r="E25635" s="8">
        <v>0</v>
      </c>
      <c r="F25635" s="8">
        <v>18110</v>
      </c>
    </row>
    <row r="25636" spans="1:6" ht="12.75">
      <c r="A25636" s="8">
        <v>43892.922048611115</v>
      </c>
      <c r="B25636" s="8" t="str">
        <f>HYPERLINK("https://twitter.com/tirtamanora_","@tirtamanora_")</f>
        <v>@tirtamanora_</v>
      </c>
      <c r="C25636" s="8" t="s">
        <v>10016</v>
      </c>
      <c r="D25636" s="8">
        <v>6</v>
      </c>
      <c r="E25636" s="8">
        <v>0</v>
      </c>
      <c r="F25636" s="8">
        <v>154</v>
      </c>
    </row>
    <row r="25637" spans="1:6" ht="12.75">
      <c r="A25637" s="8">
        <v>43892.922037037039</v>
      </c>
      <c r="B25637" s="8" t="str">
        <f>HYPERLINK("https://twitter.com/KopiHitam156","@KopiHitam156")</f>
        <v>@KopiHitam156</v>
      </c>
      <c r="C25637" s="8" t="s">
        <v>7597</v>
      </c>
      <c r="D25637" s="8">
        <v>399</v>
      </c>
      <c r="E25637" s="8">
        <v>0</v>
      </c>
      <c r="F25637" s="8">
        <v>62</v>
      </c>
    </row>
    <row r="25638" spans="1:6" ht="12.75">
      <c r="A25638" s="8">
        <v>43892.922013888892</v>
      </c>
      <c r="B25638" s="8" t="str">
        <f>HYPERLINK("https://twitter.com/RAdeAhmadSobir4","@RAdeAhmadSobir4")</f>
        <v>@RAdeAhmadSobir4</v>
      </c>
      <c r="C25638" s="8" t="s">
        <v>10016</v>
      </c>
      <c r="D25638" s="8">
        <v>6</v>
      </c>
      <c r="E25638" s="8">
        <v>0</v>
      </c>
      <c r="F25638" s="8">
        <v>25</v>
      </c>
    </row>
    <row r="25639" spans="1:6" ht="12.75">
      <c r="A25639" s="8">
        <v>43892.922013888892</v>
      </c>
      <c r="B25639" s="8" t="str">
        <f>HYPERLINK("https://twitter.com/otwtajir","@otwtajir")</f>
        <v>@otwtajir</v>
      </c>
      <c r="C25639" s="8" t="s">
        <v>4150</v>
      </c>
      <c r="D25639" s="8">
        <v>468</v>
      </c>
      <c r="E25639" s="8">
        <v>0</v>
      </c>
      <c r="F25639" s="8">
        <v>166</v>
      </c>
    </row>
    <row r="25640" spans="1:6" ht="12.75">
      <c r="A25640" s="8">
        <v>43892.922002314815</v>
      </c>
      <c r="B25640" s="8" t="str">
        <f>HYPERLINK("https://twitter.com/jenggo008","@jenggo008")</f>
        <v>@jenggo008</v>
      </c>
      <c r="C25640" s="8" t="s">
        <v>9295</v>
      </c>
      <c r="D25640" s="8">
        <v>82</v>
      </c>
      <c r="E25640" s="8">
        <v>0</v>
      </c>
      <c r="F25640" s="8">
        <v>534</v>
      </c>
    </row>
    <row r="25641" spans="1:6" ht="12.75">
      <c r="A25641" s="8">
        <v>43892.922002314815</v>
      </c>
      <c r="B25641" s="8" t="str">
        <f>HYPERLINK("https://twitter.com/Adamnlallana20","@Adamnlallana20")</f>
        <v>@Adamnlallana20</v>
      </c>
      <c r="C25641" s="8" t="s">
        <v>10050</v>
      </c>
      <c r="D25641" s="8">
        <v>0</v>
      </c>
      <c r="E25641" s="8">
        <v>0</v>
      </c>
      <c r="F25641" s="8">
        <v>402</v>
      </c>
    </row>
    <row r="25642" spans="1:6" ht="12.75">
      <c r="A25642" s="8">
        <v>43892.921967592592</v>
      </c>
      <c r="B25642" s="8" t="str">
        <f>HYPERLINK("https://twitter.com/Mr_Khepo","@Mr_Khepo")</f>
        <v>@Mr_Khepo</v>
      </c>
      <c r="C25642" s="8" t="s">
        <v>1427</v>
      </c>
      <c r="D25642" s="8">
        <v>316</v>
      </c>
      <c r="E25642" s="8">
        <v>0</v>
      </c>
      <c r="F25642" s="8">
        <v>4131</v>
      </c>
    </row>
    <row r="25643" spans="1:6" ht="12.75">
      <c r="A25643" s="8">
        <v>43892.921944444446</v>
      </c>
      <c r="B25643" s="8" t="str">
        <f>HYPERLINK("https://twitter.com/Alairechocolate","@Alairechocolate")</f>
        <v>@Alairechocolate</v>
      </c>
      <c r="C25643" s="8" t="s">
        <v>2199</v>
      </c>
      <c r="D25643" s="8">
        <v>7869</v>
      </c>
      <c r="E25643" s="8">
        <v>0</v>
      </c>
      <c r="F25643" s="8">
        <v>214</v>
      </c>
    </row>
    <row r="25644" spans="1:6" ht="12.75">
      <c r="A25644" s="8">
        <v>43892.921932870369</v>
      </c>
      <c r="B25644" s="8" t="str">
        <f>HYPERLINK("https://twitter.com/mee_ra09","@mee_ra09")</f>
        <v>@mee_ra09</v>
      </c>
      <c r="C25644" s="8" t="s">
        <v>9176</v>
      </c>
      <c r="D25644" s="8">
        <v>1214</v>
      </c>
      <c r="E25644" s="8">
        <v>0</v>
      </c>
      <c r="F25644" s="8">
        <v>408</v>
      </c>
    </row>
    <row r="25645" spans="1:6" ht="12.75">
      <c r="A25645" s="8">
        <v>43892.921932870369</v>
      </c>
      <c r="B25645" s="8" t="str">
        <f>HYPERLINK("https://twitter.com/shflysma","@shflysma")</f>
        <v>@shflysma</v>
      </c>
      <c r="C25645" s="8" t="s">
        <v>10051</v>
      </c>
      <c r="D25645" s="8">
        <v>35</v>
      </c>
      <c r="E25645" s="8">
        <v>0</v>
      </c>
      <c r="F25645" s="8">
        <v>1551</v>
      </c>
    </row>
    <row r="25646" spans="1:6" ht="12.75">
      <c r="A25646" s="8">
        <v>43892.921909722223</v>
      </c>
      <c r="B25646" s="8" t="str">
        <f>HYPERLINK("https://twitter.com/mamaangie9","@mamaangie9")</f>
        <v>@mamaangie9</v>
      </c>
      <c r="C25646" s="8" t="s">
        <v>8737</v>
      </c>
      <c r="D25646" s="8">
        <v>1188</v>
      </c>
      <c r="E25646" s="8">
        <v>0</v>
      </c>
      <c r="F25646" s="8">
        <v>132</v>
      </c>
    </row>
    <row r="25647" spans="1:6" ht="12.75">
      <c r="A25647" s="8">
        <v>43892.921851851846</v>
      </c>
      <c r="B25647" s="8" t="str">
        <f>HYPERLINK("https://twitter.com/rheza30_","@rheza30_")</f>
        <v>@rheza30_</v>
      </c>
      <c r="C25647" s="8" t="s">
        <v>1427</v>
      </c>
      <c r="D25647" s="8">
        <v>316</v>
      </c>
      <c r="E25647" s="8">
        <v>0</v>
      </c>
      <c r="F25647" s="8">
        <v>358</v>
      </c>
    </row>
    <row r="25648" spans="1:6" ht="12.75">
      <c r="A25648" s="8">
        <v>43892.921851851846</v>
      </c>
      <c r="B25648" s="8" t="str">
        <f>HYPERLINK("https://twitter.com/pedang_manthili","@pedang_manthili")</f>
        <v>@pedang_manthili</v>
      </c>
      <c r="C25648" s="8" t="s">
        <v>9614</v>
      </c>
      <c r="D25648" s="8">
        <v>18</v>
      </c>
      <c r="E25648" s="8">
        <v>0</v>
      </c>
      <c r="F25648" s="8">
        <v>294</v>
      </c>
    </row>
    <row r="25649" spans="1:6" ht="12.75">
      <c r="A25649" s="8">
        <v>43892.921851851846</v>
      </c>
      <c r="B25649" s="8" t="str">
        <f>HYPERLINK("https://twitter.com/mtaufikmJKT48","@mtaufikmJKT48")</f>
        <v>@mtaufikmJKT48</v>
      </c>
      <c r="C25649" s="8" t="s">
        <v>10048</v>
      </c>
      <c r="D25649" s="8">
        <v>3</v>
      </c>
      <c r="E25649" s="8">
        <v>0</v>
      </c>
      <c r="F25649" s="8">
        <v>1458</v>
      </c>
    </row>
    <row r="25650" spans="1:6" ht="12.75">
      <c r="A25650" s="8">
        <v>43892.921828703707</v>
      </c>
      <c r="B25650" s="8" t="str">
        <f>HYPERLINK("https://twitter.com/vinamvr","@vinamvr")</f>
        <v>@vinamvr</v>
      </c>
      <c r="C25650" s="8" t="s">
        <v>10049</v>
      </c>
      <c r="D25650" s="8">
        <v>130</v>
      </c>
      <c r="E25650" s="8">
        <v>0</v>
      </c>
      <c r="F25650" s="8">
        <v>2239</v>
      </c>
    </row>
    <row r="25651" spans="1:6" ht="12.75">
      <c r="A25651" s="8">
        <v>43892.921724537038</v>
      </c>
      <c r="B25651" s="8" t="str">
        <f>HYPERLINK("https://twitter.com/ayayanaon_","@ayayanaon_")</f>
        <v>@ayayanaon_</v>
      </c>
      <c r="C25651" s="8" t="s">
        <v>1427</v>
      </c>
      <c r="D25651" s="8">
        <v>316</v>
      </c>
      <c r="E25651" s="8">
        <v>0</v>
      </c>
      <c r="F25651" s="8">
        <v>8</v>
      </c>
    </row>
    <row r="25652" spans="1:6" ht="12.75">
      <c r="A25652" s="8">
        <v>43892.921701388885</v>
      </c>
      <c r="B25652" s="8" t="str">
        <f>HYPERLINK("https://twitter.com/PengusahaID","@PengusahaID")</f>
        <v>@PengusahaID</v>
      </c>
      <c r="C25652" s="8" t="s">
        <v>7661</v>
      </c>
      <c r="D25652" s="8">
        <v>260</v>
      </c>
      <c r="E25652" s="8">
        <v>0</v>
      </c>
      <c r="F25652" s="8">
        <v>6241</v>
      </c>
    </row>
    <row r="25653" spans="1:6" ht="12.75">
      <c r="A25653" s="8">
        <v>43892.921678240746</v>
      </c>
      <c r="B25653" s="8" t="str">
        <f>HYPERLINK("https://twitter.com/inZoJc","@inZoJc")</f>
        <v>@inZoJc</v>
      </c>
      <c r="C25653" s="8" t="s">
        <v>1145</v>
      </c>
      <c r="D25653" s="8">
        <v>418</v>
      </c>
      <c r="E25653" s="8">
        <v>0</v>
      </c>
      <c r="F25653" s="8">
        <v>333</v>
      </c>
    </row>
    <row r="25654" spans="1:6" ht="12.75">
      <c r="A25654" s="8">
        <v>43892.921643518523</v>
      </c>
      <c r="B25654" s="8" t="str">
        <f>HYPERLINK("https://twitter.com/nrfrhdla","@nrfrhdla")</f>
        <v>@nrfrhdla</v>
      </c>
      <c r="C25654" s="8" t="s">
        <v>9701</v>
      </c>
      <c r="D25654" s="8">
        <v>1587</v>
      </c>
      <c r="E25654" s="8">
        <v>0</v>
      </c>
      <c r="F25654" s="8">
        <v>73</v>
      </c>
    </row>
    <row r="25655" spans="1:6" ht="12.75">
      <c r="A25655" s="8">
        <v>43892.921631944446</v>
      </c>
      <c r="B25655" s="8" t="str">
        <f>HYPERLINK("https://twitter.com/welltiramisu","@welltiramisu")</f>
        <v>@welltiramisu</v>
      </c>
      <c r="C25655" s="8" t="s">
        <v>7149</v>
      </c>
      <c r="D25655" s="8">
        <v>289</v>
      </c>
      <c r="E25655" s="8">
        <v>0</v>
      </c>
      <c r="F25655" s="8">
        <v>7</v>
      </c>
    </row>
    <row r="25656" spans="1:6" ht="12.75">
      <c r="A25656" s="8">
        <v>43892.921597222223</v>
      </c>
      <c r="B25656" s="8" t="str">
        <f>HYPERLINK("https://twitter.com/andessugiarto","@andessugiarto")</f>
        <v>@andessugiarto</v>
      </c>
      <c r="C25656" s="8" t="s">
        <v>8842</v>
      </c>
      <c r="D25656" s="8">
        <v>143</v>
      </c>
      <c r="E25656" s="8">
        <v>0</v>
      </c>
      <c r="F25656" s="8">
        <v>423</v>
      </c>
    </row>
    <row r="25657" spans="1:6" ht="12.75">
      <c r="A25657" s="8">
        <v>43892.921585648146</v>
      </c>
      <c r="B25657" s="8" t="str">
        <f>HYPERLINK("https://twitter.com/topinfo_id","@topinfo_id")</f>
        <v>@topinfo_id</v>
      </c>
      <c r="C25657" s="8" t="s">
        <v>10052</v>
      </c>
      <c r="D25657" s="8">
        <v>0</v>
      </c>
      <c r="E25657" s="8">
        <v>0</v>
      </c>
      <c r="F25657" s="8">
        <v>36</v>
      </c>
    </row>
    <row r="25658" spans="1:6" ht="12.75">
      <c r="A25658" s="8">
        <v>43892.921574074076</v>
      </c>
      <c r="B25658" s="8" t="str">
        <f>HYPERLINK("https://twitter.com/w_anisya","@w_anisya")</f>
        <v>@w_anisya</v>
      </c>
      <c r="C25658" s="8" t="s">
        <v>1427</v>
      </c>
      <c r="D25658" s="8">
        <v>316</v>
      </c>
      <c r="E25658" s="8">
        <v>0</v>
      </c>
      <c r="F25658" s="8">
        <v>550</v>
      </c>
    </row>
    <row r="25659" spans="1:6" ht="12.75">
      <c r="A25659" s="8">
        <v>43892.921574074076</v>
      </c>
      <c r="B25659" s="8" t="str">
        <f>HYPERLINK("https://twitter.com/vj_vinni","@vj_vinni")</f>
        <v>@vj_vinni</v>
      </c>
      <c r="C25659" s="8" t="s">
        <v>7597</v>
      </c>
      <c r="D25659" s="8">
        <v>399</v>
      </c>
      <c r="E25659" s="8">
        <v>0</v>
      </c>
      <c r="F25659" s="8">
        <v>2</v>
      </c>
    </row>
    <row r="25660" spans="1:6" ht="12.75">
      <c r="A25660" s="8">
        <v>43892.921539351853</v>
      </c>
      <c r="B25660" s="8" t="str">
        <f>HYPERLINK("https://twitter.com/DiartonoSapto","@DiartonoSapto")</f>
        <v>@DiartonoSapto</v>
      </c>
      <c r="C25660" s="8" t="s">
        <v>9614</v>
      </c>
      <c r="D25660" s="8">
        <v>18</v>
      </c>
      <c r="E25660" s="8">
        <v>0</v>
      </c>
      <c r="F25660" s="8">
        <v>492</v>
      </c>
    </row>
    <row r="25661" spans="1:6" ht="12.75">
      <c r="A25661" s="8">
        <v>43892.921527777777</v>
      </c>
      <c r="B25661" s="8" t="str">
        <f>HYPERLINK("https://twitter.com/geloraco","@geloraco")</f>
        <v>@geloraco</v>
      </c>
      <c r="C25661" s="8" t="s">
        <v>9869</v>
      </c>
      <c r="D25661" s="8">
        <v>3</v>
      </c>
      <c r="E25661" s="8">
        <v>2</v>
      </c>
      <c r="F25661" s="8">
        <v>103743</v>
      </c>
    </row>
    <row r="25662" spans="1:6" ht="12.75">
      <c r="A25662" s="8">
        <v>43892.921493055561</v>
      </c>
      <c r="B25662" s="8" t="str">
        <f>HYPERLINK("https://twitter.com/ronin35093758","@ronin35093758")</f>
        <v>@ronin35093758</v>
      </c>
      <c r="C25662" s="8" t="s">
        <v>7597</v>
      </c>
      <c r="D25662" s="8">
        <v>399</v>
      </c>
      <c r="E25662" s="8">
        <v>0</v>
      </c>
      <c r="F25662" s="8">
        <v>25</v>
      </c>
    </row>
    <row r="25663" spans="1:6" ht="12.75">
      <c r="A25663" s="8">
        <v>43892.921493055561</v>
      </c>
      <c r="B25663" s="8" t="str">
        <f>HYPERLINK("https://twitter.com/MeeyaSabrina","@MeeyaSabrina")</f>
        <v>@MeeyaSabrina</v>
      </c>
      <c r="C25663" s="8" t="s">
        <v>1427</v>
      </c>
      <c r="D25663" s="8">
        <v>316</v>
      </c>
      <c r="E25663" s="8">
        <v>0</v>
      </c>
      <c r="F25663" s="8">
        <v>382</v>
      </c>
    </row>
    <row r="25664" spans="1:6" ht="12.75">
      <c r="A25664" s="8">
        <v>43892.921481481477</v>
      </c>
      <c r="B25664" s="8" t="str">
        <f>HYPERLINK("https://twitter.com/ketelarambad","@ketelarambad")</f>
        <v>@ketelarambad</v>
      </c>
      <c r="C25664" s="8" t="s">
        <v>2199</v>
      </c>
      <c r="D25664" s="8">
        <v>7869</v>
      </c>
      <c r="E25664" s="8">
        <v>0</v>
      </c>
      <c r="F25664" s="8">
        <v>357</v>
      </c>
    </row>
    <row r="25665" spans="1:6" ht="12.75">
      <c r="A25665" s="8">
        <v>43892.921469907407</v>
      </c>
      <c r="B25665" s="8" t="str">
        <f>HYPERLINK("https://twitter.com/maupeluk","@maupeluk")</f>
        <v>@maupeluk</v>
      </c>
      <c r="C25665" s="8" t="s">
        <v>2962</v>
      </c>
      <c r="D25665" s="8">
        <v>3930</v>
      </c>
      <c r="E25665" s="8">
        <v>0</v>
      </c>
      <c r="F25665" s="8">
        <v>1712</v>
      </c>
    </row>
    <row r="25666" spans="1:6" ht="12.75">
      <c r="A25666" s="8">
        <v>43892.921446759261</v>
      </c>
      <c r="B25666" s="8" t="str">
        <f>HYPERLINK("https://twitter.com/KemenkesRI","@KemenkesRI")</f>
        <v>@KemenkesRI</v>
      </c>
      <c r="C25666" s="8" t="s">
        <v>10053</v>
      </c>
      <c r="D25666" s="8">
        <v>5</v>
      </c>
      <c r="E25666" s="8">
        <v>8</v>
      </c>
      <c r="F25666" s="8">
        <v>256653</v>
      </c>
    </row>
    <row r="25667" spans="1:6" ht="12.75">
      <c r="A25667" s="8">
        <v>43892.921423611115</v>
      </c>
      <c r="B25667" s="8" t="str">
        <f>HYPERLINK("https://twitter.com/nasipadang__","@nasipadang__")</f>
        <v>@nasipadang__</v>
      </c>
      <c r="C25667" s="8" t="s">
        <v>4615</v>
      </c>
      <c r="D25667" s="8">
        <v>155</v>
      </c>
      <c r="E25667" s="8">
        <v>0</v>
      </c>
      <c r="F25667" s="8">
        <v>32</v>
      </c>
    </row>
    <row r="25668" spans="1:6" ht="12.75">
      <c r="A25668" s="8">
        <v>43892.921423611115</v>
      </c>
      <c r="B25668" s="8" t="str">
        <f>HYPERLINK("https://twitter.com/susandia_w","@susandia_w")</f>
        <v>@susandia_w</v>
      </c>
      <c r="C25668" s="8" t="s">
        <v>7461</v>
      </c>
      <c r="D25668" s="8">
        <v>58</v>
      </c>
      <c r="E25668" s="8">
        <v>0</v>
      </c>
      <c r="F25668" s="8">
        <v>36</v>
      </c>
    </row>
    <row r="25669" spans="1:6" ht="12.75">
      <c r="A25669" s="8">
        <v>43892.921365740738</v>
      </c>
      <c r="B25669" s="8" t="str">
        <f>HYPERLINK("https://twitter.com/zulvaryan","@zulvaryan")</f>
        <v>@zulvaryan</v>
      </c>
      <c r="C25669" s="8" t="s">
        <v>9628</v>
      </c>
      <c r="D25669" s="8">
        <v>235</v>
      </c>
      <c r="E25669" s="8">
        <v>0</v>
      </c>
      <c r="F25669" s="8">
        <v>1834</v>
      </c>
    </row>
    <row r="25670" spans="1:6" ht="12.75">
      <c r="A25670" s="8">
        <v>43892.921365740738</v>
      </c>
      <c r="B25670" s="8" t="str">
        <f>HYPERLINK("https://twitter.com/putringapak_","@putringapak_")</f>
        <v>@putringapak_</v>
      </c>
      <c r="C25670" s="8" t="s">
        <v>2199</v>
      </c>
      <c r="D25670" s="8">
        <v>7869</v>
      </c>
      <c r="E25670" s="8">
        <v>0</v>
      </c>
      <c r="F25670" s="8">
        <v>821</v>
      </c>
    </row>
    <row r="25671" spans="1:6" ht="12.75">
      <c r="A25671" s="8">
        <v>43892.921354166669</v>
      </c>
      <c r="B25671" s="8" t="str">
        <f>HYPERLINK("https://twitter.com/chintyaahe","@chintyaahe")</f>
        <v>@chintyaahe</v>
      </c>
      <c r="C25671" s="8" t="s">
        <v>2199</v>
      </c>
      <c r="D25671" s="8">
        <v>7869</v>
      </c>
      <c r="E25671" s="8">
        <v>0</v>
      </c>
      <c r="F25671" s="8">
        <v>645</v>
      </c>
    </row>
    <row r="25672" spans="1:6" ht="12.75">
      <c r="A25672" s="8">
        <v>43892.921284722222</v>
      </c>
      <c r="B25672" s="8" t="str">
        <f>HYPERLINK("https://twitter.com/DamarSN_","@DamarSN_")</f>
        <v>@DamarSN_</v>
      </c>
      <c r="C25672" s="8" t="s">
        <v>2199</v>
      </c>
      <c r="D25672" s="8">
        <v>7869</v>
      </c>
      <c r="E25672" s="8">
        <v>0</v>
      </c>
      <c r="F25672" s="8">
        <v>690</v>
      </c>
    </row>
    <row r="25673" spans="1:6" ht="12.75">
      <c r="A25673" s="8">
        <v>43892.921284722222</v>
      </c>
      <c r="B25673" s="8" t="str">
        <f>HYPERLINK("https://twitter.com/reviel08","@reviel08")</f>
        <v>@reviel08</v>
      </c>
      <c r="C25673" s="8" t="s">
        <v>7597</v>
      </c>
      <c r="D25673" s="8">
        <v>399</v>
      </c>
      <c r="E25673" s="8">
        <v>0</v>
      </c>
      <c r="F25673" s="8">
        <v>740</v>
      </c>
    </row>
    <row r="25674" spans="1:6" ht="12.75">
      <c r="A25674" s="8">
        <v>43892.921215277776</v>
      </c>
      <c r="B25674" s="8" t="str">
        <f>HYPERLINK("https://twitter.com/SuramaduJingga","@SuramaduJingga")</f>
        <v>@SuramaduJingga</v>
      </c>
      <c r="C25674" s="8" t="s">
        <v>10054</v>
      </c>
      <c r="D25674" s="8">
        <v>0</v>
      </c>
      <c r="E25674" s="8">
        <v>0</v>
      </c>
      <c r="F25674" s="8">
        <v>638</v>
      </c>
    </row>
    <row r="25675" spans="1:6" ht="12.75">
      <c r="A25675" s="8">
        <v>43892.921215277776</v>
      </c>
      <c r="B25675" s="8" t="str">
        <f>HYPERLINK("https://twitter.com/trhlyd","@trhlyd")</f>
        <v>@trhlyd</v>
      </c>
      <c r="C25675" s="8" t="s">
        <v>9701</v>
      </c>
      <c r="D25675" s="8">
        <v>1587</v>
      </c>
      <c r="E25675" s="8">
        <v>0</v>
      </c>
      <c r="F25675" s="8">
        <v>192</v>
      </c>
    </row>
    <row r="25676" spans="1:6" ht="12.75">
      <c r="A25676" s="8">
        <v>43892.921168981484</v>
      </c>
      <c r="B25676" s="8" t="str">
        <f>HYPERLINK("https://twitter.com/fransmudia27","@fransmudia27")</f>
        <v>@fransmudia27</v>
      </c>
      <c r="C25676" s="8" t="s">
        <v>2962</v>
      </c>
      <c r="D25676" s="8">
        <v>3930</v>
      </c>
      <c r="E25676" s="8">
        <v>0</v>
      </c>
      <c r="F25676" s="8">
        <v>152</v>
      </c>
    </row>
    <row r="25677" spans="1:6" ht="12.75">
      <c r="A25677" s="8">
        <v>43892.921157407407</v>
      </c>
      <c r="B25677" s="8" t="str">
        <f>HYPERLINK("https://twitter.com/milla_anita","@milla_anita")</f>
        <v>@milla_anita</v>
      </c>
      <c r="C25677" s="8" t="s">
        <v>8843</v>
      </c>
      <c r="D25677" s="8">
        <v>24</v>
      </c>
      <c r="E25677" s="8">
        <v>0</v>
      </c>
      <c r="F25677" s="8">
        <v>474</v>
      </c>
    </row>
    <row r="25678" spans="1:6" ht="12.75">
      <c r="A25678" s="8">
        <v>43892.921134259261</v>
      </c>
      <c r="B25678" s="8" t="str">
        <f>HYPERLINK("https://twitter.com/Quinnfy__","@Quinnfy__")</f>
        <v>@Quinnfy__</v>
      </c>
      <c r="C25678" s="8" t="s">
        <v>9614</v>
      </c>
      <c r="D25678" s="8">
        <v>18</v>
      </c>
      <c r="E25678" s="8">
        <v>0</v>
      </c>
      <c r="F25678" s="8">
        <v>432</v>
      </c>
    </row>
    <row r="25679" spans="1:6" ht="12.75">
      <c r="A25679" s="8">
        <v>43892.921076388884</v>
      </c>
      <c r="B25679" s="8" t="str">
        <f>HYPERLINK("https://twitter.com/robertussrayii","@robertussrayii")</f>
        <v>@robertussrayii</v>
      </c>
      <c r="C25679" s="8" t="s">
        <v>6971</v>
      </c>
      <c r="D25679" s="8">
        <v>221</v>
      </c>
      <c r="E25679" s="8">
        <v>0</v>
      </c>
      <c r="F25679" s="8">
        <v>297</v>
      </c>
    </row>
    <row r="25680" spans="1:6" ht="12.75">
      <c r="A25680" s="8">
        <v>43892.881828703699</v>
      </c>
      <c r="B25680" s="8" t="str">
        <f>HYPERLINK("https://twitter.com/IsnainyUdin","@IsnainyUdin")</f>
        <v>@IsnainyUdin</v>
      </c>
      <c r="C25680" s="8" t="s">
        <v>10055</v>
      </c>
      <c r="D25680" s="8">
        <v>0</v>
      </c>
      <c r="E25680" s="8">
        <v>0</v>
      </c>
      <c r="F25680" s="8">
        <v>89</v>
      </c>
    </row>
    <row r="25681" spans="1:6" ht="12.75">
      <c r="A25681" s="8">
        <v>43892.881782407407</v>
      </c>
      <c r="B25681" s="8" t="str">
        <f>HYPERLINK("https://twitter.com/MarieskaV","@MarieskaV")</f>
        <v>@MarieskaV</v>
      </c>
      <c r="C25681" s="8" t="s">
        <v>10056</v>
      </c>
      <c r="D25681" s="8">
        <v>0</v>
      </c>
      <c r="E25681" s="8">
        <v>0</v>
      </c>
      <c r="F25681" s="8">
        <v>302</v>
      </c>
    </row>
    <row r="25682" spans="1:6" ht="12.75">
      <c r="A25682" s="8">
        <v>43892.881782407407</v>
      </c>
      <c r="B25682" s="8" t="str">
        <f>HYPERLINK("https://twitter.com/becak125cc","@becak125cc")</f>
        <v>@becak125cc</v>
      </c>
      <c r="C25682" s="8" t="s">
        <v>10057</v>
      </c>
      <c r="D25682" s="8">
        <v>3</v>
      </c>
      <c r="E25682" s="8">
        <v>0</v>
      </c>
      <c r="F25682" s="8">
        <v>544</v>
      </c>
    </row>
    <row r="25683" spans="1:6" ht="12.75">
      <c r="A25683" s="8">
        <v>43892.881736111114</v>
      </c>
      <c r="B25683" s="8" t="str">
        <f>HYPERLINK("https://twitter.com/tegaxdirimu","@tegaxdirimu")</f>
        <v>@tegaxdirimu</v>
      </c>
      <c r="C25683" s="8" t="s">
        <v>9153</v>
      </c>
      <c r="D25683" s="8">
        <v>252</v>
      </c>
      <c r="E25683" s="8">
        <v>0</v>
      </c>
      <c r="F25683" s="8">
        <v>525</v>
      </c>
    </row>
    <row r="25684" spans="1:6" ht="12.75">
      <c r="A25684" s="8">
        <v>43892.881736111114</v>
      </c>
      <c r="B25684" s="8" t="str">
        <f>HYPERLINK("https://twitter.com/blacqpeach","@blacqpeach")</f>
        <v>@blacqpeach</v>
      </c>
      <c r="C25684" s="8" t="s">
        <v>2962</v>
      </c>
      <c r="D25684" s="8">
        <v>3519</v>
      </c>
      <c r="E25684" s="8">
        <v>0</v>
      </c>
      <c r="F25684" s="8">
        <v>621</v>
      </c>
    </row>
    <row r="25685" spans="1:6" ht="12.75">
      <c r="A25685" s="8">
        <v>43892.881724537037</v>
      </c>
      <c r="B25685" s="8" t="str">
        <f>HYPERLINK("https://twitter.com/Khadafi37921485","@Khadafi37921485")</f>
        <v>@Khadafi37921485</v>
      </c>
      <c r="C25685" s="8" t="s">
        <v>7149</v>
      </c>
      <c r="D25685" s="8">
        <v>258</v>
      </c>
      <c r="E25685" s="8">
        <v>0</v>
      </c>
      <c r="F25685" s="8">
        <v>88</v>
      </c>
    </row>
    <row r="25686" spans="1:6" ht="12.75">
      <c r="A25686" s="8">
        <v>43892.881724537037</v>
      </c>
      <c r="B25686" s="8" t="str">
        <f>HYPERLINK("https://twitter.com/sischajoe_","@sischajoe_")</f>
        <v>@sischajoe_</v>
      </c>
      <c r="C25686" s="8" t="s">
        <v>9270</v>
      </c>
      <c r="D25686" s="8">
        <v>64</v>
      </c>
      <c r="E25686" s="8">
        <v>0</v>
      </c>
      <c r="F25686" s="8">
        <v>124</v>
      </c>
    </row>
    <row r="25687" spans="1:6" ht="12.75">
      <c r="A25687" s="8">
        <v>43892.881712962961</v>
      </c>
      <c r="B25687" s="8" t="str">
        <f>HYPERLINK("https://twitter.com/barnabasburn","@barnabasburn")</f>
        <v>@barnabasburn</v>
      </c>
      <c r="C25687" s="8" t="s">
        <v>7597</v>
      </c>
      <c r="D25687" s="8">
        <v>351</v>
      </c>
      <c r="E25687" s="8">
        <v>0</v>
      </c>
      <c r="F25687" s="8">
        <v>371</v>
      </c>
    </row>
    <row r="25688" spans="1:6" ht="12.75">
      <c r="A25688" s="8">
        <v>43892.881712962961</v>
      </c>
      <c r="B25688" s="8" t="str">
        <f>HYPERLINK("https://twitter.com/nurulzalinaa","@nurulzalinaa")</f>
        <v>@nurulzalinaa</v>
      </c>
      <c r="C25688" s="8" t="s">
        <v>2199</v>
      </c>
      <c r="D25688" s="8">
        <v>7600</v>
      </c>
      <c r="E25688" s="8">
        <v>0</v>
      </c>
      <c r="F25688" s="8">
        <v>435</v>
      </c>
    </row>
    <row r="25689" spans="1:6" ht="12.75">
      <c r="A25689" s="8">
        <v>43892.881701388891</v>
      </c>
      <c r="B25689" s="8" t="str">
        <f>HYPERLINK("https://twitter.com/pinacol4da","@pinacol4da")</f>
        <v>@pinacol4da</v>
      </c>
      <c r="C25689" s="8" t="s">
        <v>9176</v>
      </c>
      <c r="D25689" s="8">
        <v>1202</v>
      </c>
      <c r="E25689" s="8">
        <v>0</v>
      </c>
      <c r="F25689" s="8">
        <v>504</v>
      </c>
    </row>
    <row r="25690" spans="1:6" ht="12.75">
      <c r="A25690" s="8">
        <v>43892.881643518514</v>
      </c>
      <c r="B25690" s="8" t="str">
        <f>HYPERLINK("https://twitter.com/muchiddin3","@muchiddin3")</f>
        <v>@muchiddin3</v>
      </c>
      <c r="C25690" s="8" t="s">
        <v>2962</v>
      </c>
      <c r="D25690" s="8">
        <v>3519</v>
      </c>
      <c r="E25690" s="8">
        <v>0</v>
      </c>
      <c r="F25690" s="8">
        <v>20</v>
      </c>
    </row>
    <row r="25691" spans="1:6" ht="12.75">
      <c r="A25691" s="8">
        <v>43892.881643518514</v>
      </c>
      <c r="B25691" s="8" t="str">
        <f>HYPERLINK("https://twitter.com/FerryM1","@FerryM1")</f>
        <v>@FerryM1</v>
      </c>
      <c r="C25691" s="8" t="s">
        <v>1986</v>
      </c>
      <c r="D25691" s="8">
        <v>343</v>
      </c>
      <c r="E25691" s="8">
        <v>0</v>
      </c>
      <c r="F25691" s="8">
        <v>2326</v>
      </c>
    </row>
    <row r="25692" spans="1:6" ht="12.75">
      <c r="A25692" s="8">
        <v>43892.881631944445</v>
      </c>
      <c r="B25692" s="8" t="str">
        <f>HYPERLINK("https://twitter.com/renilmh","@renilmh")</f>
        <v>@renilmh</v>
      </c>
      <c r="C25692" s="8" t="s">
        <v>2962</v>
      </c>
      <c r="D25692" s="8">
        <v>3519</v>
      </c>
      <c r="E25692" s="8">
        <v>0</v>
      </c>
      <c r="F25692" s="8">
        <v>1278</v>
      </c>
    </row>
    <row r="25693" spans="1:6" ht="12.75">
      <c r="A25693" s="8">
        <v>43892.881631944445</v>
      </c>
      <c r="B25693" s="8" t="str">
        <f>HYPERLINK("https://twitter.com/jaedyluv","@jaedyluv")</f>
        <v>@jaedyluv</v>
      </c>
      <c r="C25693" s="8" t="s">
        <v>2199</v>
      </c>
      <c r="D25693" s="8">
        <v>7600</v>
      </c>
      <c r="E25693" s="8">
        <v>0</v>
      </c>
      <c r="F25693" s="8">
        <v>28</v>
      </c>
    </row>
    <row r="25694" spans="1:6" ht="12.75">
      <c r="A25694" s="8">
        <v>43892.881631944445</v>
      </c>
      <c r="B25694" s="8" t="str">
        <f>HYPERLINK("https://twitter.com/mf_aldy","@mf_aldy")</f>
        <v>@mf_aldy</v>
      </c>
      <c r="C25694" s="8" t="s">
        <v>9194</v>
      </c>
      <c r="D25694" s="8">
        <v>52</v>
      </c>
      <c r="E25694" s="8">
        <v>0</v>
      </c>
      <c r="F25694" s="8">
        <v>92</v>
      </c>
    </row>
    <row r="25695" spans="1:6" ht="12.75">
      <c r="A25695" s="8">
        <v>43892.881620370375</v>
      </c>
      <c r="B25695" s="8" t="str">
        <f>HYPERLINK("https://twitter.com/hepipurwana","@hepipurwana")</f>
        <v>@hepipurwana</v>
      </c>
      <c r="C25695" s="8" t="s">
        <v>10058</v>
      </c>
      <c r="D25695" s="8">
        <v>20</v>
      </c>
      <c r="E25695" s="8">
        <v>0</v>
      </c>
      <c r="F25695" s="8">
        <v>367</v>
      </c>
    </row>
    <row r="25696" spans="1:6" ht="12.75">
      <c r="A25696" s="8">
        <v>43892.881597222222</v>
      </c>
      <c r="B25696" s="8" t="str">
        <f>HYPERLINK("https://twitter.com/ciihopes","@ciihopes")</f>
        <v>@ciihopes</v>
      </c>
      <c r="C25696" s="8" t="s">
        <v>9925</v>
      </c>
      <c r="D25696" s="8">
        <v>39</v>
      </c>
      <c r="E25696" s="8">
        <v>0</v>
      </c>
      <c r="F25696" s="8">
        <v>572</v>
      </c>
    </row>
    <row r="25697" spans="1:6" ht="12.75">
      <c r="A25697" s="8">
        <v>43892.881562499999</v>
      </c>
      <c r="B25697" s="8" t="str">
        <f>HYPERLINK("https://twitter.com/dhemaznp","@dhemaznp")</f>
        <v>@dhemaznp</v>
      </c>
      <c r="C25697" s="8" t="s">
        <v>9194</v>
      </c>
      <c r="D25697" s="8">
        <v>52</v>
      </c>
      <c r="E25697" s="8">
        <v>0</v>
      </c>
      <c r="F25697" s="8">
        <v>128</v>
      </c>
    </row>
    <row r="25698" spans="1:6" ht="12.75">
      <c r="A25698" s="8">
        <v>43892.881550925929</v>
      </c>
      <c r="B25698" s="8" t="str">
        <f>HYPERLINK("https://twitter.com/budibudisaja","@budibudisaja")</f>
        <v>@budibudisaja</v>
      </c>
      <c r="C25698" s="8" t="s">
        <v>2199</v>
      </c>
      <c r="D25698" s="8">
        <v>7600</v>
      </c>
      <c r="E25698" s="8">
        <v>0</v>
      </c>
      <c r="F25698" s="8">
        <v>131</v>
      </c>
    </row>
    <row r="25699" spans="1:6" ht="12.75">
      <c r="A25699" s="8">
        <v>43892.881550925929</v>
      </c>
      <c r="B25699" s="8" t="str">
        <f>HYPERLINK("https://twitter.com/syfqsilva21","@syfqsilva21")</f>
        <v>@syfqsilva21</v>
      </c>
      <c r="C25699" s="8" t="s">
        <v>9701</v>
      </c>
      <c r="D25699" s="8">
        <v>1526</v>
      </c>
      <c r="E25699" s="8">
        <v>0</v>
      </c>
      <c r="F25699" s="8">
        <v>410</v>
      </c>
    </row>
    <row r="25700" spans="1:6" ht="12.75">
      <c r="A25700" s="8">
        <v>43892.881516203706</v>
      </c>
      <c r="B25700" s="8" t="str">
        <f>HYPERLINK("https://twitter.com/ISIS_Balik_NO","@ISIS_Balik_NO")</f>
        <v>@ISIS_Balik_NO</v>
      </c>
      <c r="C25700" s="8" t="s">
        <v>10059</v>
      </c>
      <c r="D25700" s="8">
        <v>9</v>
      </c>
      <c r="E25700" s="8">
        <v>0</v>
      </c>
      <c r="F25700" s="8">
        <v>6086</v>
      </c>
    </row>
    <row r="25701" spans="1:6" ht="12.75">
      <c r="A25701" s="8">
        <v>43892.881504629629</v>
      </c>
      <c r="B25701" s="8" t="str">
        <f>HYPERLINK("https://twitter.com/iagungs","@iagungs")</f>
        <v>@iagungs</v>
      </c>
      <c r="C25701" s="8" t="s">
        <v>7149</v>
      </c>
      <c r="D25701" s="8">
        <v>258</v>
      </c>
      <c r="E25701" s="8">
        <v>0</v>
      </c>
      <c r="F25701" s="8">
        <v>7</v>
      </c>
    </row>
    <row r="25702" spans="1:6" ht="12.75">
      <c r="A25702" s="8">
        <v>43892.881481481483</v>
      </c>
      <c r="B25702" s="8" t="str">
        <f>HYPERLINK("https://twitter.com/internetbank_","@internetbank_")</f>
        <v>@internetbank_</v>
      </c>
      <c r="C25702" s="8" t="s">
        <v>9194</v>
      </c>
      <c r="D25702" s="8">
        <v>52</v>
      </c>
      <c r="E25702" s="8">
        <v>0</v>
      </c>
      <c r="F25702" s="8">
        <v>344</v>
      </c>
    </row>
    <row r="25703" spans="1:6" ht="12.75">
      <c r="A25703" s="8">
        <v>43892.88145833333</v>
      </c>
      <c r="B25703" s="8" t="str">
        <f>HYPERLINK("https://twitter.com/harnycipiet","@harnycipiet")</f>
        <v>@harnycipiet</v>
      </c>
      <c r="C25703" s="8" t="s">
        <v>9194</v>
      </c>
      <c r="D25703" s="8">
        <v>52</v>
      </c>
      <c r="E25703" s="8">
        <v>0</v>
      </c>
      <c r="F25703" s="8">
        <v>22</v>
      </c>
    </row>
    <row r="25704" spans="1:6" ht="12.75">
      <c r="A25704" s="8">
        <v>43892.88144675926</v>
      </c>
      <c r="B25704" s="8" t="str">
        <f>HYPERLINK("https://twitter.com/mariasofiii","@mariasofiii")</f>
        <v>@mariasofiii</v>
      </c>
      <c r="C25704" s="8" t="s">
        <v>10060</v>
      </c>
      <c r="D25704" s="8">
        <v>0</v>
      </c>
      <c r="E25704" s="8">
        <v>0</v>
      </c>
      <c r="F25704" s="8">
        <v>766</v>
      </c>
    </row>
    <row r="25705" spans="1:6" ht="12.75">
      <c r="A25705" s="8">
        <v>43892.881435185191</v>
      </c>
      <c r="B25705" s="8" t="str">
        <f>HYPERLINK("https://twitter.com/rusdian01796366","@rusdian01796366")</f>
        <v>@rusdian01796366</v>
      </c>
      <c r="C25705" s="8" t="s">
        <v>9915</v>
      </c>
      <c r="D25705" s="8">
        <v>21</v>
      </c>
      <c r="E25705" s="8">
        <v>0</v>
      </c>
      <c r="F25705" s="8">
        <v>772</v>
      </c>
    </row>
    <row r="25706" spans="1:6" ht="12.75">
      <c r="A25706" s="8">
        <v>43892.881412037037</v>
      </c>
      <c r="B25706" s="8" t="str">
        <f>HYPERLINK("https://twitter.com/syifanuts","@syifanuts")</f>
        <v>@syifanuts</v>
      </c>
      <c r="C25706" s="8" t="s">
        <v>2199</v>
      </c>
      <c r="D25706" s="8">
        <v>7600</v>
      </c>
      <c r="E25706" s="8">
        <v>0</v>
      </c>
      <c r="F25706" s="8">
        <v>387</v>
      </c>
    </row>
    <row r="25707" spans="1:6" ht="12.75">
      <c r="A25707" s="8">
        <v>43892.881412037037</v>
      </c>
      <c r="B25707" s="8" t="str">
        <f>HYPERLINK("https://twitter.com/SemaneiD","@SemaneiD")</f>
        <v>@SemaneiD</v>
      </c>
      <c r="C25707" s="8" t="s">
        <v>9915</v>
      </c>
      <c r="D25707" s="8">
        <v>21</v>
      </c>
      <c r="E25707" s="8">
        <v>0</v>
      </c>
      <c r="F25707" s="8">
        <v>437</v>
      </c>
    </row>
    <row r="25708" spans="1:6" ht="12.75">
      <c r="A25708" s="8">
        <v>43892.881388888884</v>
      </c>
      <c r="B25708" s="8" t="str">
        <f>HYPERLINK("https://twitter.com/AangPahlevi","@AangPahlevi")</f>
        <v>@AangPahlevi</v>
      </c>
      <c r="C25708" s="8" t="s">
        <v>6832</v>
      </c>
      <c r="D25708" s="8">
        <v>655</v>
      </c>
      <c r="E25708" s="8">
        <v>0</v>
      </c>
      <c r="F25708" s="8">
        <v>20</v>
      </c>
    </row>
    <row r="25709" spans="1:6" ht="12.75">
      <c r="A25709" s="8">
        <v>43892.881365740745</v>
      </c>
      <c r="B25709" s="8" t="str">
        <f>HYPERLINK("https://twitter.com/ISIS_Balik_NO","@ISIS_Balik_NO")</f>
        <v>@ISIS_Balik_NO</v>
      </c>
      <c r="C25709" s="8" t="s">
        <v>10061</v>
      </c>
      <c r="D25709" s="8">
        <v>0</v>
      </c>
      <c r="E25709" s="8">
        <v>0</v>
      </c>
      <c r="F25709" s="8">
        <v>6086</v>
      </c>
    </row>
    <row r="25710" spans="1:6" ht="12.75">
      <c r="A25710" s="8">
        <v>43892.881365740745</v>
      </c>
      <c r="B25710" s="8" t="str">
        <f>HYPERLINK("https://twitter.com/sakesashimy","@sakesashimy")</f>
        <v>@sakesashimy</v>
      </c>
      <c r="C25710" s="8" t="s">
        <v>2962</v>
      </c>
      <c r="D25710" s="8">
        <v>3519</v>
      </c>
      <c r="E25710" s="8">
        <v>0</v>
      </c>
      <c r="F25710" s="8">
        <v>817</v>
      </c>
    </row>
    <row r="25711" spans="1:6" ht="12.75">
      <c r="A25711" s="8">
        <v>43892.881307870368</v>
      </c>
      <c r="B25711" s="8" t="str">
        <f>HYPERLINK("https://twitter.com/anggaanggi1986","@anggaanggi1986")</f>
        <v>@anggaanggi1986</v>
      </c>
      <c r="C25711" s="8" t="s">
        <v>7661</v>
      </c>
      <c r="D25711" s="8">
        <v>219</v>
      </c>
      <c r="E25711" s="8">
        <v>0</v>
      </c>
      <c r="F25711" s="8">
        <v>241</v>
      </c>
    </row>
    <row r="25712" spans="1:6" ht="12.75">
      <c r="A25712" s="8">
        <v>43892.881284722222</v>
      </c>
      <c r="B25712" s="8" t="str">
        <f>HYPERLINK("https://twitter.com/jazzyrrr","@jazzyrrr")</f>
        <v>@jazzyrrr</v>
      </c>
      <c r="C25712" s="8" t="s">
        <v>4477</v>
      </c>
      <c r="D25712" s="8">
        <v>716</v>
      </c>
      <c r="E25712" s="8">
        <v>0</v>
      </c>
      <c r="F25712" s="8">
        <v>92</v>
      </c>
    </row>
    <row r="25713" spans="1:6" ht="12.75">
      <c r="A25713" s="8">
        <v>43892.881192129629</v>
      </c>
      <c r="B25713" s="8" t="str">
        <f>HYPERLINK("https://twitter.com/gembel68","@gembel68")</f>
        <v>@gembel68</v>
      </c>
      <c r="C25713" s="8" t="s">
        <v>7597</v>
      </c>
      <c r="D25713" s="8">
        <v>351</v>
      </c>
      <c r="E25713" s="8">
        <v>0</v>
      </c>
      <c r="F25713" s="8">
        <v>589</v>
      </c>
    </row>
    <row r="25714" spans="1:6" ht="12.75">
      <c r="A25714" s="8">
        <v>43892.88118055556</v>
      </c>
      <c r="B25714" s="8" t="str">
        <f>HYPERLINK("https://twitter.com/Bow_Jak1928","@Bow_Jak1928")</f>
        <v>@Bow_Jak1928</v>
      </c>
      <c r="C25714" s="8" t="s">
        <v>2199</v>
      </c>
      <c r="D25714" s="8">
        <v>7600</v>
      </c>
      <c r="E25714" s="8">
        <v>0</v>
      </c>
      <c r="F25714" s="8">
        <v>308</v>
      </c>
    </row>
    <row r="25715" spans="1:6" ht="12.75">
      <c r="A25715" s="8">
        <v>43892.88113425926</v>
      </c>
      <c r="B25715" s="8" t="str">
        <f>HYPERLINK("https://twitter.com/berlianayy","@berlianayy")</f>
        <v>@berlianayy</v>
      </c>
      <c r="C25715" s="8" t="s">
        <v>9194</v>
      </c>
      <c r="D25715" s="8">
        <v>52</v>
      </c>
      <c r="E25715" s="8">
        <v>0</v>
      </c>
      <c r="F25715" s="8">
        <v>115</v>
      </c>
    </row>
    <row r="25716" spans="1:6" ht="12.75">
      <c r="A25716" s="8">
        <v>43892.881099537037</v>
      </c>
      <c r="B25716" s="8" t="str">
        <f>HYPERLINK("https://twitter.com/creamyfett","@creamyfett")</f>
        <v>@creamyfett</v>
      </c>
      <c r="C25716" s="8" t="s">
        <v>8776</v>
      </c>
      <c r="D25716" s="8">
        <v>119</v>
      </c>
      <c r="E25716" s="8">
        <v>0</v>
      </c>
      <c r="F25716" s="8">
        <v>337</v>
      </c>
    </row>
    <row r="25717" spans="1:6" ht="12.75">
      <c r="A25717" s="8">
        <v>43892.881053240737</v>
      </c>
      <c r="B25717" s="8" t="str">
        <f>HYPERLINK("https://twitter.com/MeAgriannie","@MeAgriannie")</f>
        <v>@MeAgriannie</v>
      </c>
      <c r="C25717" s="8" t="s">
        <v>10062</v>
      </c>
      <c r="D25717" s="8">
        <v>1</v>
      </c>
      <c r="E25717" s="8">
        <v>0</v>
      </c>
      <c r="F25717" s="8">
        <v>113</v>
      </c>
    </row>
    <row r="25718" spans="1:6" ht="12.75">
      <c r="A25718" s="8">
        <v>43892.881041666667</v>
      </c>
      <c r="B25718" s="8" t="str">
        <f>HYPERLINK("https://twitter.com/mantuterbaik","@mantuterbaik")</f>
        <v>@mantuterbaik</v>
      </c>
      <c r="C25718" s="8" t="s">
        <v>2199</v>
      </c>
      <c r="D25718" s="8">
        <v>7600</v>
      </c>
      <c r="E25718" s="8">
        <v>0</v>
      </c>
      <c r="F25718" s="8">
        <v>692</v>
      </c>
    </row>
    <row r="25719" spans="1:6" ht="12.75">
      <c r="A25719" s="8">
        <v>43892.881018518514</v>
      </c>
      <c r="B25719" s="8" t="str">
        <f>HYPERLINK("https://twitter.com/WahyuAtmoko","@WahyuAtmoko")</f>
        <v>@WahyuAtmoko</v>
      </c>
      <c r="C25719" s="8" t="s">
        <v>1749</v>
      </c>
      <c r="D25719" s="8">
        <v>308</v>
      </c>
      <c r="E25719" s="8">
        <v>0</v>
      </c>
      <c r="F25719" s="8">
        <v>303</v>
      </c>
    </row>
    <row r="25720" spans="1:6" ht="12.75">
      <c r="A25720" s="8">
        <v>43892.881006944444</v>
      </c>
      <c r="B25720" s="8" t="str">
        <f>HYPERLINK("https://twitter.com/endeeste","@endeeste")</f>
        <v>@endeeste</v>
      </c>
      <c r="C25720" s="8" t="s">
        <v>2962</v>
      </c>
      <c r="D25720" s="8">
        <v>3519</v>
      </c>
      <c r="E25720" s="8">
        <v>0</v>
      </c>
      <c r="F25720" s="8">
        <v>234</v>
      </c>
    </row>
    <row r="25721" spans="1:6" ht="12.75">
      <c r="A25721" s="8">
        <v>43892.881006944444</v>
      </c>
      <c r="B25721" s="8" t="str">
        <f>HYPERLINK("https://twitter.com/DwMrynt","@DwMrynt")</f>
        <v>@DwMrynt</v>
      </c>
      <c r="C25721" s="8" t="s">
        <v>2199</v>
      </c>
      <c r="D25721" s="8">
        <v>7600</v>
      </c>
      <c r="E25721" s="8">
        <v>0</v>
      </c>
      <c r="F25721" s="8">
        <v>384</v>
      </c>
    </row>
    <row r="25722" spans="1:6" ht="12.75">
      <c r="A25722" s="8">
        <v>43892.880983796298</v>
      </c>
      <c r="B25722" s="8" t="str">
        <f>HYPERLINK("https://twitter.com/KadekSandy5","@KadekSandy5")</f>
        <v>@KadekSandy5</v>
      </c>
      <c r="C25722" s="8" t="s">
        <v>9895</v>
      </c>
      <c r="D25722" s="8">
        <v>152</v>
      </c>
      <c r="E25722" s="8">
        <v>0</v>
      </c>
      <c r="F25722" s="8">
        <v>32</v>
      </c>
    </row>
    <row r="25723" spans="1:6" ht="12.75">
      <c r="A25723" s="8">
        <v>43892.880983796298</v>
      </c>
      <c r="B25723" s="8" t="str">
        <f>HYPERLINK("https://twitter.com/yogiahsanun","@yogiahsanun")</f>
        <v>@yogiahsanun</v>
      </c>
      <c r="C25723" s="8" t="s">
        <v>2962</v>
      </c>
      <c r="D25723" s="8">
        <v>3519</v>
      </c>
      <c r="E25723" s="8">
        <v>0</v>
      </c>
      <c r="F25723" s="8">
        <v>62</v>
      </c>
    </row>
    <row r="25724" spans="1:6" ht="12.75">
      <c r="A25724" s="8">
        <v>43892.880983796298</v>
      </c>
      <c r="B25724" s="8" t="str">
        <f>HYPERLINK("https://twitter.com/mirdahusna","@mirdahusna")</f>
        <v>@mirdahusna</v>
      </c>
      <c r="C25724" s="8" t="s">
        <v>1427</v>
      </c>
      <c r="D25724" s="8">
        <v>203</v>
      </c>
      <c r="E25724" s="8">
        <v>0</v>
      </c>
      <c r="F25724" s="8">
        <v>154</v>
      </c>
    </row>
    <row r="25725" spans="1:6" ht="12.75">
      <c r="A25725" s="8">
        <v>43892.880960648152</v>
      </c>
      <c r="B25725" s="8" t="str">
        <f>HYPERLINK("https://twitter.com/indaahtriast","@indaahtriast")</f>
        <v>@indaahtriast</v>
      </c>
      <c r="C25725" s="8" t="s">
        <v>9207</v>
      </c>
      <c r="D25725" s="8">
        <v>64</v>
      </c>
      <c r="E25725" s="8">
        <v>0</v>
      </c>
      <c r="F25725" s="8">
        <v>805</v>
      </c>
    </row>
    <row r="25726" spans="1:6" ht="12.75">
      <c r="A25726" s="8">
        <v>43892.880937499998</v>
      </c>
      <c r="B25726" s="8" t="str">
        <f>HYPERLINK("https://twitter.com/ananing14","@ananing14")</f>
        <v>@ananing14</v>
      </c>
      <c r="C25726" s="8" t="s">
        <v>8776</v>
      </c>
      <c r="D25726" s="8">
        <v>119</v>
      </c>
      <c r="E25726" s="8">
        <v>0</v>
      </c>
      <c r="F25726" s="8">
        <v>0</v>
      </c>
    </row>
    <row r="25727" spans="1:6" ht="12.75">
      <c r="A25727" s="8">
        <v>43892.880902777775</v>
      </c>
      <c r="B25727" s="8" t="str">
        <f>HYPERLINK("https://twitter.com/Syahroni_NA","@Syahroni_NA")</f>
        <v>@Syahroni_NA</v>
      </c>
      <c r="C25727" s="8" t="s">
        <v>1427</v>
      </c>
      <c r="D25727" s="8">
        <v>203</v>
      </c>
      <c r="E25727" s="8">
        <v>0</v>
      </c>
      <c r="F25727" s="8">
        <v>748</v>
      </c>
    </row>
    <row r="25728" spans="1:6" ht="12.75">
      <c r="A25728" s="8">
        <v>43892.880879629629</v>
      </c>
      <c r="B25728" s="8" t="str">
        <f>HYPERLINK("https://twitter.com/vanryux","@vanryux")</f>
        <v>@vanryux</v>
      </c>
      <c r="C25728" s="8" t="s">
        <v>10012</v>
      </c>
      <c r="D25728" s="8">
        <v>30</v>
      </c>
      <c r="E25728" s="8">
        <v>0</v>
      </c>
      <c r="F25728" s="8">
        <v>399</v>
      </c>
    </row>
    <row r="25729" spans="1:6" ht="12.75">
      <c r="A25729" s="8">
        <v>43892.880879629629</v>
      </c>
      <c r="B25729" s="8" t="str">
        <f>HYPERLINK("https://twitter.com/findsmeee","@findsmeee")</f>
        <v>@findsmeee</v>
      </c>
      <c r="C25729" s="8" t="s">
        <v>2962</v>
      </c>
      <c r="D25729" s="8">
        <v>3519</v>
      </c>
      <c r="E25729" s="8">
        <v>0</v>
      </c>
      <c r="F25729" s="8">
        <v>91</v>
      </c>
    </row>
    <row r="25730" spans="1:6" ht="12.75">
      <c r="A25730" s="8">
        <v>43892.880833333329</v>
      </c>
      <c r="B25730" s="8" t="str">
        <f>HYPERLINK("https://twitter.com/hepipurwana","@hepipurwana")</f>
        <v>@hepipurwana</v>
      </c>
      <c r="C25730" s="8" t="s">
        <v>3648</v>
      </c>
      <c r="D25730" s="8">
        <v>605</v>
      </c>
      <c r="E25730" s="8">
        <v>0</v>
      </c>
      <c r="F25730" s="8">
        <v>367</v>
      </c>
    </row>
    <row r="25731" spans="1:6" ht="12.75">
      <c r="A25731" s="8">
        <v>43892.88081018519</v>
      </c>
      <c r="B25731" s="8" t="str">
        <f>HYPERLINK("https://twitter.com/WahyuAtmoko","@WahyuAtmoko")</f>
        <v>@WahyuAtmoko</v>
      </c>
      <c r="C25731" s="8" t="s">
        <v>2199</v>
      </c>
      <c r="D25731" s="8">
        <v>7600</v>
      </c>
      <c r="E25731" s="8">
        <v>0</v>
      </c>
      <c r="F25731" s="8">
        <v>303</v>
      </c>
    </row>
    <row r="25732" spans="1:6" ht="12.75">
      <c r="A25732" s="8">
        <v>43892.880752314813</v>
      </c>
      <c r="B25732" s="8" t="str">
        <f>HYPERLINK("https://twitter.com/niifim","@niifim")</f>
        <v>@niifim</v>
      </c>
      <c r="C25732" s="8" t="s">
        <v>4477</v>
      </c>
      <c r="D25732" s="8">
        <v>716</v>
      </c>
      <c r="E25732" s="8">
        <v>0</v>
      </c>
      <c r="F25732" s="8">
        <v>234</v>
      </c>
    </row>
    <row r="25733" spans="1:6" ht="12.75">
      <c r="A25733" s="8">
        <v>43892.880752314813</v>
      </c>
      <c r="B25733" s="8" t="str">
        <f>HYPERLINK("https://twitter.com/rudi_ardiansya","@rudi_ardiansya")</f>
        <v>@rudi_ardiansya</v>
      </c>
      <c r="C25733" s="8" t="s">
        <v>2199</v>
      </c>
      <c r="D25733" s="8">
        <v>7600</v>
      </c>
      <c r="E25733" s="8">
        <v>0</v>
      </c>
      <c r="F25733" s="8">
        <v>174263</v>
      </c>
    </row>
    <row r="25734" spans="1:6" ht="12.75">
      <c r="A25734" s="8">
        <v>43892.880659722221</v>
      </c>
      <c r="B25734" s="8" t="str">
        <f>HYPERLINK("https://twitter.com/rsmhstyone","@rsmhstyone")</f>
        <v>@rsmhstyone</v>
      </c>
      <c r="C25734" s="8" t="s">
        <v>2962</v>
      </c>
      <c r="D25734" s="8">
        <v>3519</v>
      </c>
      <c r="E25734" s="8">
        <v>0</v>
      </c>
      <c r="F25734" s="8">
        <v>112</v>
      </c>
    </row>
    <row r="25735" spans="1:6" ht="12.75">
      <c r="A25735" s="8">
        <v>43892.880625000005</v>
      </c>
      <c r="B25735" s="8" t="str">
        <f>HYPERLINK("https://twitter.com/ISIS_Balik_NO","@ISIS_Balik_NO")</f>
        <v>@ISIS_Balik_NO</v>
      </c>
      <c r="C25735" s="8" t="s">
        <v>10063</v>
      </c>
      <c r="D25735" s="8">
        <v>0</v>
      </c>
      <c r="E25735" s="8">
        <v>0</v>
      </c>
      <c r="F25735" s="8">
        <v>6086</v>
      </c>
    </row>
    <row r="25736" spans="1:6" ht="12.75">
      <c r="A25736" s="8">
        <v>43892.880613425921</v>
      </c>
      <c r="B25736" s="8" t="str">
        <f>HYPERLINK("https://twitter.com/tbagus87","@tbagus87")</f>
        <v>@tbagus87</v>
      </c>
      <c r="C25736" s="8" t="s">
        <v>7597</v>
      </c>
      <c r="D25736" s="8">
        <v>351</v>
      </c>
      <c r="E25736" s="8">
        <v>0</v>
      </c>
      <c r="F25736" s="8">
        <v>21</v>
      </c>
    </row>
    <row r="25737" spans="1:6" ht="12.75">
      <c r="A25737" s="8">
        <v>43892.880590277782</v>
      </c>
      <c r="B25737" s="8" t="str">
        <f>HYPERLINK("https://twitter.com/irsadrfl","@irsadrfl")</f>
        <v>@irsadrfl</v>
      </c>
      <c r="C25737" s="8" t="s">
        <v>4477</v>
      </c>
      <c r="D25737" s="8">
        <v>716</v>
      </c>
      <c r="E25737" s="8">
        <v>0</v>
      </c>
      <c r="F25737" s="8">
        <v>116</v>
      </c>
    </row>
    <row r="25738" spans="1:6" ht="12.75">
      <c r="A25738" s="8">
        <v>43892.880590277782</v>
      </c>
      <c r="B25738" s="8" t="str">
        <f>HYPERLINK("https://twitter.com/EliteInteligent","@EliteInteligent")</f>
        <v>@EliteInteligent</v>
      </c>
      <c r="C25738" s="8" t="s">
        <v>9574</v>
      </c>
      <c r="D25738" s="8">
        <v>34</v>
      </c>
      <c r="E25738" s="8">
        <v>0</v>
      </c>
      <c r="F25738" s="8">
        <v>1456</v>
      </c>
    </row>
    <row r="25739" spans="1:6" ht="12.75">
      <c r="A25739" s="8">
        <v>43892.880555555559</v>
      </c>
      <c r="B25739" s="8" t="str">
        <f>HYPERLINK("https://twitter.com/smatemsa","@smatemsa")</f>
        <v>@smatemsa</v>
      </c>
      <c r="C25739" s="8" t="s">
        <v>6764</v>
      </c>
      <c r="D25739" s="8">
        <v>145</v>
      </c>
      <c r="E25739" s="8">
        <v>0</v>
      </c>
      <c r="F25739" s="8">
        <v>1281</v>
      </c>
    </row>
    <row r="25740" spans="1:6" ht="12.75">
      <c r="A25740" s="8">
        <v>43892.880532407406</v>
      </c>
      <c r="B25740" s="8" t="str">
        <f>HYPERLINK("https://twitter.com/B713Prince","@B713Prince")</f>
        <v>@B713Prince</v>
      </c>
      <c r="C25740" s="8" t="s">
        <v>10064</v>
      </c>
      <c r="D25740" s="8">
        <v>0</v>
      </c>
      <c r="E25740" s="8">
        <v>0</v>
      </c>
      <c r="F25740" s="8">
        <v>17</v>
      </c>
    </row>
    <row r="25741" spans="1:6" ht="12.75">
      <c r="A25741" s="8">
        <v>43892.880462962959</v>
      </c>
      <c r="B25741" s="8" t="str">
        <f>HYPERLINK("https://twitter.com/Shihab_MR","@Shihab_MR")</f>
        <v>@Shihab_MR</v>
      </c>
      <c r="C25741" s="8" t="s">
        <v>9176</v>
      </c>
      <c r="D25741" s="8">
        <v>1202</v>
      </c>
      <c r="E25741" s="8">
        <v>0</v>
      </c>
      <c r="F25741" s="8">
        <v>334</v>
      </c>
    </row>
    <row r="25742" spans="1:6" ht="12.75">
      <c r="A25742" s="8">
        <v>43892.880462962959</v>
      </c>
      <c r="B25742" s="8" t="str">
        <f>HYPERLINK("https://twitter.com/oktavianadyah","@oktavianadyah")</f>
        <v>@oktavianadyah</v>
      </c>
      <c r="C25742" s="8" t="s">
        <v>9194</v>
      </c>
      <c r="D25742" s="8">
        <v>52</v>
      </c>
      <c r="E25742" s="8">
        <v>0</v>
      </c>
      <c r="F25742" s="8">
        <v>541</v>
      </c>
    </row>
    <row r="25743" spans="1:6" ht="12.75">
      <c r="A25743" s="8">
        <v>43892.88045138889</v>
      </c>
      <c r="B25743" s="8" t="str">
        <f>HYPERLINK("https://twitter.com/Hendry_VAAN","@Hendry_VAAN")</f>
        <v>@Hendry_VAAN</v>
      </c>
      <c r="C25743" s="8" t="s">
        <v>8322</v>
      </c>
      <c r="D25743" s="8">
        <v>487</v>
      </c>
      <c r="E25743" s="8">
        <v>0</v>
      </c>
      <c r="F25743" s="8">
        <v>563</v>
      </c>
    </row>
    <row r="25744" spans="1:6" ht="12.75">
      <c r="A25744" s="8">
        <v>43892.880428240736</v>
      </c>
      <c r="B25744" s="8" t="str">
        <f>HYPERLINK("https://twitter.com/lowhumortaste","@lowhumortaste")</f>
        <v>@lowhumortaste</v>
      </c>
      <c r="C25744" s="8" t="s">
        <v>8776</v>
      </c>
      <c r="D25744" s="8">
        <v>119</v>
      </c>
      <c r="E25744" s="8">
        <v>0</v>
      </c>
      <c r="F25744" s="8">
        <v>311</v>
      </c>
    </row>
    <row r="25745" spans="1:6" ht="12.75">
      <c r="A25745" s="8">
        <v>43892.880405092597</v>
      </c>
      <c r="B25745" s="8" t="str">
        <f>HYPERLINK("https://twitter.com/AdelTinia9","@AdelTinia9")</f>
        <v>@AdelTinia9</v>
      </c>
      <c r="C25745" s="8" t="s">
        <v>3850</v>
      </c>
      <c r="D25745" s="8">
        <v>1437</v>
      </c>
      <c r="E25745" s="8">
        <v>0</v>
      </c>
      <c r="F25745" s="8">
        <v>610</v>
      </c>
    </row>
    <row r="25746" spans="1:6" ht="12.75">
      <c r="A25746" s="8">
        <v>43892.880370370374</v>
      </c>
      <c r="B25746" s="8" t="str">
        <f>HYPERLINK("https://twitter.com/WishCash_","@WishCash_")</f>
        <v>@WishCash_</v>
      </c>
      <c r="C25746" s="8" t="s">
        <v>2962</v>
      </c>
      <c r="D25746" s="8">
        <v>3519</v>
      </c>
      <c r="E25746" s="8">
        <v>0</v>
      </c>
      <c r="F25746" s="8">
        <v>134</v>
      </c>
    </row>
    <row r="25747" spans="1:6" ht="12.75">
      <c r="A25747" s="8">
        <v>43892.880370370374</v>
      </c>
      <c r="B25747" s="8" t="str">
        <f>HYPERLINK("https://twitter.com/JR4696","@JR4696")</f>
        <v>@JR4696</v>
      </c>
      <c r="C25747" s="8" t="s">
        <v>2199</v>
      </c>
      <c r="D25747" s="8">
        <v>7600</v>
      </c>
      <c r="E25747" s="8">
        <v>0</v>
      </c>
      <c r="F25747" s="8">
        <v>20</v>
      </c>
    </row>
    <row r="25748" spans="1:6" ht="12.75">
      <c r="A25748" s="8">
        <v>43892.880347222221</v>
      </c>
      <c r="B25748" s="8" t="str">
        <f>HYPERLINK("https://twitter.com/idaniriandi","@idaniriandi")</f>
        <v>@idaniriandi</v>
      </c>
      <c r="C25748" s="8" t="s">
        <v>2962</v>
      </c>
      <c r="D25748" s="8">
        <v>3519</v>
      </c>
      <c r="E25748" s="8">
        <v>0</v>
      </c>
      <c r="F25748" s="8">
        <v>253</v>
      </c>
    </row>
    <row r="25749" spans="1:6" ht="12.75">
      <c r="A25749" s="8">
        <v>43892.880312499998</v>
      </c>
      <c r="B25749" s="8" t="str">
        <f>HYPERLINK("https://twitter.com/yudi_suhendra","@yudi_suhendra")</f>
        <v>@yudi_suhendra</v>
      </c>
      <c r="C25749" s="8" t="s">
        <v>9915</v>
      </c>
      <c r="D25749" s="8">
        <v>21</v>
      </c>
      <c r="E25749" s="8">
        <v>0</v>
      </c>
      <c r="F25749" s="8">
        <v>70</v>
      </c>
    </row>
    <row r="25750" spans="1:6" ht="12.75">
      <c r="A25750" s="8">
        <v>43892.880312499998</v>
      </c>
      <c r="B25750" s="8" t="str">
        <f>HYPERLINK("https://twitter.com/holla_Tq","@holla_Tq")</f>
        <v>@holla_Tq</v>
      </c>
      <c r="C25750" s="8" t="s">
        <v>2962</v>
      </c>
      <c r="D25750" s="8">
        <v>3519</v>
      </c>
      <c r="E25750" s="8">
        <v>0</v>
      </c>
      <c r="F25750" s="8">
        <v>275</v>
      </c>
    </row>
    <row r="25751" spans="1:6" ht="12.75">
      <c r="A25751" s="8">
        <v>43892.880300925928</v>
      </c>
      <c r="B25751" s="8" t="str">
        <f>HYPERLINK("https://twitter.com/Diian_Rumawati","@Diian_Rumawati")</f>
        <v>@Diian_Rumawati</v>
      </c>
      <c r="C25751" s="8" t="s">
        <v>9945</v>
      </c>
      <c r="D25751" s="8">
        <v>1111</v>
      </c>
      <c r="E25751" s="8">
        <v>0</v>
      </c>
      <c r="F25751" s="8">
        <v>565</v>
      </c>
    </row>
    <row r="25752" spans="1:6" ht="12.75">
      <c r="A25752" s="8">
        <v>43892.880266203705</v>
      </c>
      <c r="B25752" s="8" t="str">
        <f>HYPERLINK("https://twitter.com/masdonge","@masdonge")</f>
        <v>@masdonge</v>
      </c>
      <c r="C25752" s="8" t="s">
        <v>1427</v>
      </c>
      <c r="D25752" s="8">
        <v>203</v>
      </c>
      <c r="E25752" s="8">
        <v>0</v>
      </c>
      <c r="F25752" s="8">
        <v>18</v>
      </c>
    </row>
    <row r="25753" spans="1:6" ht="12.75">
      <c r="A25753" s="8">
        <v>43892.880266203705</v>
      </c>
      <c r="B25753" s="8" t="str">
        <f>HYPERLINK("https://twitter.com/beatspringday6","@beatspringday6")</f>
        <v>@beatspringday6</v>
      </c>
      <c r="C25753" s="8" t="s">
        <v>9925</v>
      </c>
      <c r="D25753" s="8">
        <v>39</v>
      </c>
      <c r="E25753" s="8">
        <v>0</v>
      </c>
      <c r="F25753" s="8">
        <v>1360</v>
      </c>
    </row>
    <row r="25754" spans="1:6" ht="12.75">
      <c r="A25754" s="8">
        <v>43892.880266203705</v>
      </c>
      <c r="B25754" s="8" t="str">
        <f>HYPERLINK("https://twitter.com/seleracu","@seleracu")</f>
        <v>@seleracu</v>
      </c>
      <c r="C25754" s="8" t="s">
        <v>2962</v>
      </c>
      <c r="D25754" s="8">
        <v>3519</v>
      </c>
      <c r="E25754" s="8">
        <v>0</v>
      </c>
      <c r="F25754" s="8">
        <v>2411</v>
      </c>
    </row>
    <row r="25755" spans="1:6" ht="12.75">
      <c r="A25755" s="8">
        <v>43892.880173611113</v>
      </c>
      <c r="B25755" s="8" t="str">
        <f>HYPERLINK("https://twitter.com/riakasim","@riakasim")</f>
        <v>@riakasim</v>
      </c>
      <c r="C25755" s="8" t="s">
        <v>4477</v>
      </c>
      <c r="D25755" s="8">
        <v>716</v>
      </c>
      <c r="E25755" s="8">
        <v>0</v>
      </c>
      <c r="F25755" s="8">
        <v>164</v>
      </c>
    </row>
    <row r="25756" spans="1:6" ht="12.75">
      <c r="A25756" s="8">
        <v>43892.880173611113</v>
      </c>
      <c r="B25756" s="8" t="str">
        <f>HYPERLINK("https://twitter.com/naighdleon","@naighdleon")</f>
        <v>@naighdleon</v>
      </c>
      <c r="C25756" s="8" t="s">
        <v>7149</v>
      </c>
      <c r="D25756" s="8">
        <v>258</v>
      </c>
      <c r="E25756" s="8">
        <v>0</v>
      </c>
      <c r="F25756" s="8">
        <v>197</v>
      </c>
    </row>
    <row r="25757" spans="1:6" ht="12.75">
      <c r="A25757" s="8">
        <v>43892.880162037036</v>
      </c>
      <c r="B25757" s="8" t="str">
        <f>HYPERLINK("https://twitter.com/and_dhi76","@and_dhi76")</f>
        <v>@and_dhi76</v>
      </c>
      <c r="C25757" s="8" t="s">
        <v>9194</v>
      </c>
      <c r="D25757" s="8">
        <v>52</v>
      </c>
      <c r="E25757" s="8">
        <v>0</v>
      </c>
      <c r="F25757" s="8">
        <v>48</v>
      </c>
    </row>
    <row r="25758" spans="1:6" ht="12.75">
      <c r="A25758" s="8">
        <v>43892.880150462966</v>
      </c>
      <c r="B25758" s="8" t="str">
        <f>HYPERLINK("https://twitter.com/habibullahalami","@habibullahalami")</f>
        <v>@habibullahalami</v>
      </c>
      <c r="C25758" s="8" t="s">
        <v>10029</v>
      </c>
      <c r="D25758" s="8">
        <v>3</v>
      </c>
      <c r="E25758" s="8">
        <v>0</v>
      </c>
      <c r="F25758" s="8">
        <v>130</v>
      </c>
    </row>
    <row r="25759" spans="1:6" ht="12.75">
      <c r="A25759" s="8">
        <v>43892.88013888889</v>
      </c>
      <c r="B25759" s="8" t="str">
        <f>HYPERLINK("https://twitter.com/biopshit","@biopshit")</f>
        <v>@biopshit</v>
      </c>
      <c r="C25759" s="8" t="s">
        <v>2995</v>
      </c>
      <c r="D25759" s="8">
        <v>188</v>
      </c>
      <c r="E25759" s="8">
        <v>0</v>
      </c>
      <c r="F25759" s="8">
        <v>393</v>
      </c>
    </row>
    <row r="25760" spans="1:6" ht="12.75">
      <c r="A25760" s="8">
        <v>43892.879965277782</v>
      </c>
      <c r="B25760" s="8" t="str">
        <f>HYPERLINK("https://twitter.com/Rumayom","@Rumayom")</f>
        <v>@Rumayom</v>
      </c>
      <c r="C25760" s="8" t="s">
        <v>1986</v>
      </c>
      <c r="D25760" s="8">
        <v>343</v>
      </c>
      <c r="E25760" s="8">
        <v>0</v>
      </c>
      <c r="F25760" s="8">
        <v>446</v>
      </c>
    </row>
    <row r="25761" spans="1:6" ht="12.75">
      <c r="A25761" s="8">
        <v>43892.879930555559</v>
      </c>
      <c r="B25761" s="8" t="str">
        <f>HYPERLINK("https://twitter.com/rakayuswanda","@rakayuswanda")</f>
        <v>@rakayuswanda</v>
      </c>
      <c r="C25761" s="8" t="s">
        <v>1145</v>
      </c>
      <c r="D25761" s="8">
        <v>403</v>
      </c>
      <c r="E25761" s="8">
        <v>0</v>
      </c>
      <c r="F25761" s="8">
        <v>519</v>
      </c>
    </row>
    <row r="25762" spans="1:6" ht="12.75">
      <c r="A25762" s="8">
        <v>43892.879930555559</v>
      </c>
      <c r="B25762" s="8" t="str">
        <f>HYPERLINK("https://twitter.com/JFairnando","@JFairnando")</f>
        <v>@JFairnando</v>
      </c>
      <c r="C25762" s="8" t="s">
        <v>2962</v>
      </c>
      <c r="D25762" s="8">
        <v>3519</v>
      </c>
      <c r="E25762" s="8">
        <v>0</v>
      </c>
      <c r="F25762" s="8">
        <v>1414</v>
      </c>
    </row>
    <row r="25763" spans="1:6" ht="12.75">
      <c r="A25763" s="8">
        <v>43892.879918981482</v>
      </c>
      <c r="B25763" s="8" t="str">
        <f>HYPERLINK("https://twitter.com/HatiMata2","@HatiMata2")</f>
        <v>@HatiMata2</v>
      </c>
      <c r="C25763" s="8" t="s">
        <v>6832</v>
      </c>
      <c r="D25763" s="8">
        <v>655</v>
      </c>
      <c r="E25763" s="8">
        <v>0</v>
      </c>
      <c r="F25763" s="8">
        <v>53</v>
      </c>
    </row>
    <row r="25764" spans="1:6" ht="12.75">
      <c r="A25764" s="8">
        <v>43892.879907407405</v>
      </c>
      <c r="B25764" s="8" t="str">
        <f>HYPERLINK("https://twitter.com/biopshit","@biopshit")</f>
        <v>@biopshit</v>
      </c>
      <c r="C25764" s="8" t="s">
        <v>1749</v>
      </c>
      <c r="D25764" s="8">
        <v>308</v>
      </c>
      <c r="E25764" s="8">
        <v>0</v>
      </c>
      <c r="F25764" s="8">
        <v>393</v>
      </c>
    </row>
    <row r="25765" spans="1:6" ht="12.75">
      <c r="A25765" s="8">
        <v>43892.879861111112</v>
      </c>
      <c r="B25765" s="8" t="str">
        <f>HYPERLINK("https://twitter.com/BusranMekar","@BusranMekar")</f>
        <v>@BusranMekar</v>
      </c>
      <c r="C25765" s="8" t="s">
        <v>10065</v>
      </c>
      <c r="D25765" s="8">
        <v>0</v>
      </c>
      <c r="E25765" s="8">
        <v>0</v>
      </c>
      <c r="F25765" s="8">
        <v>2225</v>
      </c>
    </row>
    <row r="25766" spans="1:6" ht="12.75">
      <c r="A25766" s="8">
        <v>43892.879826388889</v>
      </c>
      <c r="B25766" s="8" t="str">
        <f>HYPERLINK("https://twitter.com/vanryux","@vanryux")</f>
        <v>@vanryux</v>
      </c>
      <c r="C25766" s="8" t="s">
        <v>1749</v>
      </c>
      <c r="D25766" s="8">
        <v>308</v>
      </c>
      <c r="E25766" s="8">
        <v>0</v>
      </c>
      <c r="F25766" s="8">
        <v>399</v>
      </c>
    </row>
    <row r="25767" spans="1:6" ht="12.75">
      <c r="A25767" s="8">
        <v>43892.87981481482</v>
      </c>
      <c r="B25767" s="8" t="str">
        <f>HYPERLINK("https://twitter.com/cendoys","@cendoys")</f>
        <v>@cendoys</v>
      </c>
      <c r="C25767" s="8" t="s">
        <v>1749</v>
      </c>
      <c r="D25767" s="8">
        <v>308</v>
      </c>
      <c r="E25767" s="8">
        <v>0</v>
      </c>
      <c r="F25767" s="8">
        <v>2129</v>
      </c>
    </row>
    <row r="25768" spans="1:6" ht="12.75">
      <c r="A25768" s="8">
        <v>43892.879791666666</v>
      </c>
      <c r="B25768" s="8" t="str">
        <f>HYPERLINK("https://twitter.com/Chubby711","@Chubby711")</f>
        <v>@Chubby711</v>
      </c>
      <c r="C25768" s="8" t="s">
        <v>9892</v>
      </c>
      <c r="D25768" s="8">
        <v>494</v>
      </c>
      <c r="E25768" s="8">
        <v>0</v>
      </c>
      <c r="F25768" s="8">
        <v>109</v>
      </c>
    </row>
    <row r="25769" spans="1:6" ht="12.75">
      <c r="A25769" s="8">
        <v>43892.879675925928</v>
      </c>
      <c r="B25769" s="8" t="str">
        <f>HYPERLINK("https://twitter.com/artmoscfer","@artmoscfer")</f>
        <v>@artmoscfer</v>
      </c>
      <c r="C25769" s="8" t="s">
        <v>2962</v>
      </c>
      <c r="D25769" s="8">
        <v>3519</v>
      </c>
      <c r="E25769" s="8">
        <v>0</v>
      </c>
      <c r="F25769" s="8">
        <v>7310</v>
      </c>
    </row>
    <row r="25770" spans="1:6" ht="12.75">
      <c r="A25770" s="8">
        <v>43892.879675925928</v>
      </c>
      <c r="B25770" s="8" t="str">
        <f>HYPERLINK("https://twitter.com/cnboicegirl","@cnboicegirl")</f>
        <v>@cnboicegirl</v>
      </c>
      <c r="C25770" s="8" t="s">
        <v>2962</v>
      </c>
      <c r="D25770" s="8">
        <v>3519</v>
      </c>
      <c r="E25770" s="8">
        <v>0</v>
      </c>
      <c r="F25770" s="8">
        <v>68</v>
      </c>
    </row>
    <row r="25771" spans="1:6" ht="12.75">
      <c r="A25771" s="8">
        <v>43892.879675925928</v>
      </c>
      <c r="B25771" s="8" t="str">
        <f>HYPERLINK("https://twitter.com/justitsn","@justitsn")</f>
        <v>@justitsn</v>
      </c>
      <c r="C25771" s="8" t="s">
        <v>10066</v>
      </c>
      <c r="D25771" s="8">
        <v>0</v>
      </c>
      <c r="E25771" s="8">
        <v>0</v>
      </c>
      <c r="F25771" s="8">
        <v>320</v>
      </c>
    </row>
    <row r="25772" spans="1:6" ht="12.75">
      <c r="A25772" s="8">
        <v>43892.879641203705</v>
      </c>
      <c r="B25772" s="8" t="str">
        <f>HYPERLINK("https://twitter.com/muharib89571843","@muharib89571843")</f>
        <v>@muharib89571843</v>
      </c>
      <c r="C25772" s="8" t="s">
        <v>9915</v>
      </c>
      <c r="D25772" s="8">
        <v>21</v>
      </c>
      <c r="E25772" s="8">
        <v>0</v>
      </c>
      <c r="F25772" s="8">
        <v>146</v>
      </c>
    </row>
    <row r="25773" spans="1:6" ht="12.75">
      <c r="A25773" s="8">
        <v>43892.879618055551</v>
      </c>
      <c r="B25773" s="8" t="str">
        <f>HYPERLINK("https://twitter.com/pinacol4da","@pinacol4da")</f>
        <v>@pinacol4da</v>
      </c>
      <c r="C25773" s="8" t="s">
        <v>2199</v>
      </c>
      <c r="D25773" s="8">
        <v>7600</v>
      </c>
      <c r="E25773" s="8">
        <v>0</v>
      </c>
      <c r="F25773" s="8">
        <v>504</v>
      </c>
    </row>
    <row r="25774" spans="1:6" ht="12.75">
      <c r="A25774" s="8">
        <v>43892.879583333328</v>
      </c>
      <c r="B25774" s="8" t="str">
        <f>HYPERLINK("https://twitter.com/RKrisbiantoro","@RKrisbiantoro")</f>
        <v>@RKrisbiantoro</v>
      </c>
      <c r="C25774" s="8" t="s">
        <v>1986</v>
      </c>
      <c r="D25774" s="8">
        <v>343</v>
      </c>
      <c r="E25774" s="8">
        <v>0</v>
      </c>
      <c r="F25774" s="8">
        <v>638</v>
      </c>
    </row>
    <row r="25775" spans="1:6" ht="12.75">
      <c r="A25775" s="8">
        <v>43892.879548611112</v>
      </c>
      <c r="B25775" s="8" t="str">
        <f>HYPERLINK("https://twitter.com/barnabasburn","@barnabasburn")</f>
        <v>@barnabasburn</v>
      </c>
      <c r="C25775" s="8" t="s">
        <v>8322</v>
      </c>
      <c r="D25775" s="8">
        <v>487</v>
      </c>
      <c r="E25775" s="8">
        <v>0</v>
      </c>
      <c r="F25775" s="8">
        <v>371</v>
      </c>
    </row>
    <row r="25776" spans="1:6" ht="12.75">
      <c r="A25776" s="8">
        <v>43892.879537037035</v>
      </c>
      <c r="B25776" s="8" t="str">
        <f>HYPERLINK("https://twitter.com/ziqraalridho","@ziqraalridho")</f>
        <v>@ziqraalridho</v>
      </c>
      <c r="C25776" s="8" t="s">
        <v>6832</v>
      </c>
      <c r="D25776" s="8">
        <v>655</v>
      </c>
      <c r="E25776" s="8">
        <v>0</v>
      </c>
      <c r="F25776" s="8">
        <v>1291</v>
      </c>
    </row>
    <row r="25777" spans="1:6" ht="12.75">
      <c r="A25777" s="8">
        <v>43892.879513888889</v>
      </c>
      <c r="B25777" s="8" t="str">
        <f>HYPERLINK("https://twitter.com/liranti","@liranti")</f>
        <v>@liranti</v>
      </c>
      <c r="C25777" s="8" t="s">
        <v>10067</v>
      </c>
      <c r="D25777" s="8">
        <v>1</v>
      </c>
      <c r="E25777" s="8">
        <v>0</v>
      </c>
      <c r="F25777" s="8">
        <v>533</v>
      </c>
    </row>
    <row r="25778" spans="1:6" ht="12.75">
      <c r="A25778" s="8">
        <v>43892.879467592589</v>
      </c>
      <c r="B25778" s="8" t="str">
        <f>HYPERLINK("https://twitter.com/cahyo_kla10","@cahyo_kla10")</f>
        <v>@cahyo_kla10</v>
      </c>
      <c r="C25778" s="8" t="s">
        <v>4615</v>
      </c>
      <c r="D25778" s="8">
        <v>146</v>
      </c>
      <c r="E25778" s="8">
        <v>0</v>
      </c>
      <c r="F25778" s="8">
        <v>1094</v>
      </c>
    </row>
    <row r="25779" spans="1:6" ht="12.75">
      <c r="A25779" s="8">
        <v>43892.879432870366</v>
      </c>
      <c r="B25779" s="8" t="str">
        <f>HYPERLINK("https://twitter.com/krisna_dv","@krisna_dv")</f>
        <v>@krisna_dv</v>
      </c>
      <c r="C25779" s="8" t="s">
        <v>10068</v>
      </c>
      <c r="D25779" s="8">
        <v>57</v>
      </c>
      <c r="E25779" s="8">
        <v>0</v>
      </c>
      <c r="F25779" s="8">
        <v>164</v>
      </c>
    </row>
    <row r="25780" spans="1:6" ht="12.75">
      <c r="A25780" s="8">
        <v>43892.840196759258</v>
      </c>
      <c r="B25780" s="8" t="str">
        <f>HYPERLINK("https://twitter.com/kisahkias_nanas","@kisahkias_nanas")</f>
        <v>@kisahkias_nanas</v>
      </c>
      <c r="C25780" s="8" t="s">
        <v>9270</v>
      </c>
      <c r="D25780" s="8">
        <v>15</v>
      </c>
      <c r="E25780" s="8">
        <v>0</v>
      </c>
      <c r="F25780" s="8">
        <v>32</v>
      </c>
    </row>
    <row r="25781" spans="1:6" ht="12.75">
      <c r="A25781" s="8">
        <v>43892.840162037042</v>
      </c>
      <c r="B25781" s="8" t="str">
        <f>HYPERLINK("https://twitter.com/dndfrrrrr","@dndfrrrrr")</f>
        <v>@dndfrrrrr</v>
      </c>
      <c r="C25781" s="8" t="s">
        <v>2199</v>
      </c>
      <c r="D25781" s="8">
        <v>7342</v>
      </c>
      <c r="E25781" s="8">
        <v>0</v>
      </c>
      <c r="F25781" s="8">
        <v>1364</v>
      </c>
    </row>
    <row r="25782" spans="1:6" ht="12.75">
      <c r="A25782" s="8">
        <v>43892.840138888889</v>
      </c>
      <c r="B25782" s="8" t="str">
        <f>HYPERLINK("https://twitter.com/Gendis16652233","@Gendis16652233")</f>
        <v>@Gendis16652233</v>
      </c>
      <c r="C25782" s="8" t="s">
        <v>2962</v>
      </c>
      <c r="D25782" s="8">
        <v>3209</v>
      </c>
      <c r="E25782" s="8">
        <v>0</v>
      </c>
      <c r="F25782" s="8">
        <v>12</v>
      </c>
    </row>
    <row r="25783" spans="1:6" ht="12.75">
      <c r="A25783" s="8">
        <v>43892.840127314819</v>
      </c>
      <c r="B25783" s="8" t="str">
        <f>HYPERLINK("https://twitter.com/visyuchan","@visyuchan")</f>
        <v>@visyuchan</v>
      </c>
      <c r="C25783" s="8" t="s">
        <v>10069</v>
      </c>
      <c r="D25783" s="8">
        <v>14</v>
      </c>
      <c r="E25783" s="8">
        <v>0</v>
      </c>
      <c r="F25783" s="8">
        <v>1656</v>
      </c>
    </row>
    <row r="25784" spans="1:6" ht="12.75">
      <c r="A25784" s="8">
        <v>43892.840115740742</v>
      </c>
      <c r="B25784" s="8" t="str">
        <f>HYPERLINK("https://twitter.com/mulanbilqis","@mulanbilqis")</f>
        <v>@mulanbilqis</v>
      </c>
      <c r="C25784" s="8" t="s">
        <v>10070</v>
      </c>
      <c r="D25784" s="8">
        <v>29</v>
      </c>
      <c r="E25784" s="8">
        <v>0</v>
      </c>
      <c r="F25784" s="8">
        <v>13322</v>
      </c>
    </row>
    <row r="25785" spans="1:6" ht="12.75">
      <c r="A25785" s="8">
        <v>43892.840092592596</v>
      </c>
      <c r="B25785" s="8" t="str">
        <f>HYPERLINK("https://twitter.com/Muhammadfaruqf","@Muhammadfaruqf")</f>
        <v>@Muhammadfaruqf</v>
      </c>
      <c r="C25785" s="8" t="s">
        <v>6864</v>
      </c>
      <c r="D25785" s="8">
        <v>96</v>
      </c>
      <c r="E25785" s="8">
        <v>0</v>
      </c>
      <c r="F25785" s="8">
        <v>132</v>
      </c>
    </row>
    <row r="25786" spans="1:6" ht="12.75">
      <c r="A25786" s="8">
        <v>43892.840081018519</v>
      </c>
      <c r="B25786" s="8" t="str">
        <f>HYPERLINK("https://twitter.com/pejuangrevisian","@pejuangrevisian")</f>
        <v>@pejuangrevisian</v>
      </c>
      <c r="C25786" s="8" t="s">
        <v>9945</v>
      </c>
      <c r="D25786" s="8">
        <v>1102</v>
      </c>
      <c r="E25786" s="8">
        <v>0</v>
      </c>
      <c r="F25786" s="8">
        <v>366</v>
      </c>
    </row>
    <row r="25787" spans="1:6" ht="12.75">
      <c r="A25787" s="8">
        <v>43892.840069444443</v>
      </c>
      <c r="B25787" s="8" t="str">
        <f>HYPERLINK("https://twitter.com/yuklulusyuk","@yuklulusyuk")</f>
        <v>@yuklulusyuk</v>
      </c>
      <c r="C25787" s="8" t="s">
        <v>1427</v>
      </c>
      <c r="D25787" s="8">
        <v>107</v>
      </c>
      <c r="E25787" s="8">
        <v>0</v>
      </c>
      <c r="F25787" s="8">
        <v>101</v>
      </c>
    </row>
    <row r="25788" spans="1:6" ht="12.75">
      <c r="A25788" s="8">
        <v>43892.840069444443</v>
      </c>
      <c r="B25788" s="8" t="str">
        <f>HYPERLINK("https://twitter.com/budi_frama","@budi_frama")</f>
        <v>@budi_frama</v>
      </c>
      <c r="C25788" s="8" t="s">
        <v>2199</v>
      </c>
      <c r="D25788" s="8">
        <v>7342</v>
      </c>
      <c r="E25788" s="8">
        <v>0</v>
      </c>
      <c r="F25788" s="8">
        <v>4</v>
      </c>
    </row>
    <row r="25789" spans="1:6" ht="12.75">
      <c r="A25789" s="8">
        <v>43892.840057870373</v>
      </c>
      <c r="B25789" s="8" t="str">
        <f>HYPERLINK("https://twitter.com/NurZielaAdreana","@NurZielaAdreana")</f>
        <v>@NurZielaAdreana</v>
      </c>
      <c r="C25789" s="8" t="s">
        <v>9701</v>
      </c>
      <c r="D25789" s="8">
        <v>1489</v>
      </c>
      <c r="E25789" s="8">
        <v>0</v>
      </c>
      <c r="F25789" s="8">
        <v>681</v>
      </c>
    </row>
    <row r="25790" spans="1:6" ht="12.75">
      <c r="A25790" s="8">
        <v>43892.840046296296</v>
      </c>
      <c r="B25790" s="8" t="str">
        <f>HYPERLINK("https://twitter.com/adityudha","@adityudha")</f>
        <v>@adityudha</v>
      </c>
      <c r="C25790" s="8" t="s">
        <v>2962</v>
      </c>
      <c r="D25790" s="8">
        <v>3209</v>
      </c>
      <c r="E25790" s="8">
        <v>0</v>
      </c>
      <c r="F25790" s="8">
        <v>83</v>
      </c>
    </row>
    <row r="25791" spans="1:6" ht="12.75">
      <c r="A25791" s="8">
        <v>43892.840046296296</v>
      </c>
      <c r="B25791" s="8" t="str">
        <f>HYPERLINK("https://twitter.com/Djupria2","@Djupria2")</f>
        <v>@Djupria2</v>
      </c>
      <c r="C25791" s="8" t="s">
        <v>10071</v>
      </c>
      <c r="D25791" s="8">
        <v>1</v>
      </c>
      <c r="E25791" s="8">
        <v>0</v>
      </c>
      <c r="F25791" s="8">
        <v>696</v>
      </c>
    </row>
    <row r="25792" spans="1:6" ht="12.75">
      <c r="A25792" s="8">
        <v>43892.84002314815</v>
      </c>
      <c r="B25792" s="8" t="str">
        <f>HYPERLINK("https://twitter.com/_pisangkaramel","@_pisangkaramel")</f>
        <v>@_pisangkaramel</v>
      </c>
      <c r="C25792" s="8" t="s">
        <v>2962</v>
      </c>
      <c r="D25792" s="8">
        <v>3209</v>
      </c>
      <c r="E25792" s="8">
        <v>0</v>
      </c>
      <c r="F25792" s="8">
        <v>203</v>
      </c>
    </row>
    <row r="25793" spans="1:6" ht="12.75">
      <c r="A25793" s="8">
        <v>43892.84002314815</v>
      </c>
      <c r="B25793" s="8" t="str">
        <f>HYPERLINK("https://twitter.com/fikri_abiii","@fikri_abiii")</f>
        <v>@fikri_abiii</v>
      </c>
      <c r="C25793" s="8" t="s">
        <v>5732</v>
      </c>
      <c r="D25793" s="8">
        <v>1930</v>
      </c>
      <c r="E25793" s="8">
        <v>0</v>
      </c>
      <c r="F25793" s="8">
        <v>172</v>
      </c>
    </row>
    <row r="25794" spans="1:6" ht="12.75">
      <c r="A25794" s="8">
        <v>43892.840011574073</v>
      </c>
      <c r="B25794" s="8" t="str">
        <f>HYPERLINK("https://twitter.com/twentyones22","@twentyones22")</f>
        <v>@twentyones22</v>
      </c>
      <c r="C25794" s="8" t="s">
        <v>10072</v>
      </c>
      <c r="D25794" s="8">
        <v>2</v>
      </c>
      <c r="E25794" s="8">
        <v>0</v>
      </c>
      <c r="F25794" s="8">
        <v>63</v>
      </c>
    </row>
    <row r="25795" spans="1:6" ht="12.75">
      <c r="A25795" s="8">
        <v>43892.84</v>
      </c>
      <c r="B25795" s="8" t="str">
        <f>HYPERLINK("https://twitter.com/MasifMedia","@MasifMedia")</f>
        <v>@MasifMedia</v>
      </c>
      <c r="C25795" s="8" t="s">
        <v>9207</v>
      </c>
      <c r="D25795" s="8">
        <v>14</v>
      </c>
      <c r="E25795" s="8">
        <v>0</v>
      </c>
      <c r="F25795" s="8">
        <v>13889</v>
      </c>
    </row>
    <row r="25796" spans="1:6" ht="12.75">
      <c r="A25796" s="8">
        <v>43892.839953703704</v>
      </c>
      <c r="B25796" s="8" t="str">
        <f>HYPERLINK("https://twitter.com/akupion","@akupion")</f>
        <v>@akupion</v>
      </c>
      <c r="C25796" s="8" t="s">
        <v>1986</v>
      </c>
      <c r="D25796" s="8">
        <v>295</v>
      </c>
      <c r="E25796" s="8">
        <v>0</v>
      </c>
      <c r="F25796" s="8">
        <v>2360</v>
      </c>
    </row>
    <row r="25797" spans="1:6" ht="12.75">
      <c r="A25797" s="8">
        <v>43892.839942129634</v>
      </c>
      <c r="B25797" s="8" t="str">
        <f>HYPERLINK("https://twitter.com/ulanadeputri","@ulanadeputri")</f>
        <v>@ulanadeputri</v>
      </c>
      <c r="C25797" s="8" t="s">
        <v>10073</v>
      </c>
      <c r="D25797" s="8">
        <v>3</v>
      </c>
      <c r="E25797" s="8">
        <v>0</v>
      </c>
      <c r="F25797" s="8">
        <v>305</v>
      </c>
    </row>
    <row r="25798" spans="1:6" ht="12.75">
      <c r="A25798" s="8">
        <v>43892.839918981481</v>
      </c>
      <c r="B25798" s="8" t="str">
        <f>HYPERLINK("https://twitter.com/cakeinthejar","@cakeinthejar")</f>
        <v>@cakeinthejar</v>
      </c>
      <c r="C25798" s="8" t="s">
        <v>2962</v>
      </c>
      <c r="D25798" s="8">
        <v>3209</v>
      </c>
      <c r="E25798" s="8">
        <v>0</v>
      </c>
      <c r="F25798" s="8">
        <v>768</v>
      </c>
    </row>
    <row r="25799" spans="1:6" ht="12.75">
      <c r="A25799" s="8">
        <v>43892.839861111112</v>
      </c>
      <c r="B25799" s="8" t="str">
        <f>HYPERLINK("https://twitter.com/IndoEthio","@IndoEthio")</f>
        <v>@IndoEthio</v>
      </c>
      <c r="C25799" s="8" t="s">
        <v>10074</v>
      </c>
      <c r="D25799" s="8">
        <v>0</v>
      </c>
      <c r="E25799" s="8">
        <v>0</v>
      </c>
      <c r="F25799" s="8">
        <v>3594</v>
      </c>
    </row>
    <row r="25800" spans="1:6" ht="12.75">
      <c r="A25800" s="8">
        <v>43892.839849537035</v>
      </c>
      <c r="B25800" s="8" t="str">
        <f>HYPERLINK("https://twitter.com/Oetaryo7","@Oetaryo7")</f>
        <v>@Oetaryo7</v>
      </c>
      <c r="C25800" s="8" t="s">
        <v>9173</v>
      </c>
      <c r="D25800" s="8">
        <v>3</v>
      </c>
      <c r="E25800" s="8">
        <v>0</v>
      </c>
      <c r="F25800" s="8">
        <v>2230</v>
      </c>
    </row>
    <row r="25801" spans="1:6" ht="12.75">
      <c r="A25801" s="8">
        <v>43892.839803240742</v>
      </c>
      <c r="B25801" s="8" t="str">
        <f>HYPERLINK("https://twitter.com/EryKusuma4","@EryKusuma4")</f>
        <v>@EryKusuma4</v>
      </c>
      <c r="C25801" s="8" t="s">
        <v>4477</v>
      </c>
      <c r="D25801" s="8">
        <v>646</v>
      </c>
      <c r="E25801" s="8">
        <v>0</v>
      </c>
      <c r="F25801" s="8">
        <v>1154</v>
      </c>
    </row>
    <row r="25802" spans="1:6" ht="12.75">
      <c r="A25802" s="8">
        <v>43892.839791666665</v>
      </c>
      <c r="B25802" s="8" t="str">
        <f>HYPERLINK("https://twitter.com/nskrtys","@nskrtys")</f>
        <v>@nskrtys</v>
      </c>
      <c r="C25802" s="8" t="s">
        <v>2199</v>
      </c>
      <c r="D25802" s="8">
        <v>7342</v>
      </c>
      <c r="E25802" s="8">
        <v>0</v>
      </c>
      <c r="F25802" s="8">
        <v>478</v>
      </c>
    </row>
    <row r="25803" spans="1:6" ht="12.75">
      <c r="A25803" s="8">
        <v>43892.839791666665</v>
      </c>
      <c r="B25803" s="8" t="str">
        <f>HYPERLINK("https://twitter.com/TIQHRRSA","@TIQHRRSA")</f>
        <v>@TIQHRRSA</v>
      </c>
      <c r="C25803" s="8" t="s">
        <v>9701</v>
      </c>
      <c r="D25803" s="8">
        <v>1489</v>
      </c>
      <c r="E25803" s="8">
        <v>0</v>
      </c>
      <c r="F25803" s="8">
        <v>734</v>
      </c>
    </row>
    <row r="25804" spans="1:6" ht="12.75">
      <c r="A25804" s="8">
        <v>43892.839745370366</v>
      </c>
      <c r="B25804" s="8" t="str">
        <f>HYPERLINK("https://twitter.com/s_kirana","@s_kirana")</f>
        <v>@s_kirana</v>
      </c>
      <c r="C25804" s="8" t="s">
        <v>2962</v>
      </c>
      <c r="D25804" s="8">
        <v>3209</v>
      </c>
      <c r="E25804" s="8">
        <v>0</v>
      </c>
      <c r="F25804" s="8">
        <v>677</v>
      </c>
    </row>
    <row r="25805" spans="1:6" ht="12.75">
      <c r="A25805" s="8">
        <v>43892.839745370366</v>
      </c>
      <c r="B25805" s="8" t="str">
        <f>HYPERLINK("https://twitter.com/rudyanwar","@rudyanwar")</f>
        <v>@rudyanwar</v>
      </c>
      <c r="C25805" s="8" t="s">
        <v>6832</v>
      </c>
      <c r="D25805" s="8">
        <v>577</v>
      </c>
      <c r="E25805" s="8">
        <v>0</v>
      </c>
      <c r="F25805" s="8">
        <v>15</v>
      </c>
    </row>
    <row r="25806" spans="1:6" ht="12.75">
      <c r="A25806" s="8">
        <v>43892.839745370366</v>
      </c>
      <c r="B25806" s="8" t="str">
        <f>HYPERLINK("https://twitter.com/FachruL_ArL","@FachruL_ArL")</f>
        <v>@FachruL_ArL</v>
      </c>
      <c r="C25806" s="8" t="s">
        <v>4477</v>
      </c>
      <c r="D25806" s="8">
        <v>646</v>
      </c>
      <c r="E25806" s="8">
        <v>0</v>
      </c>
      <c r="F25806" s="8">
        <v>54</v>
      </c>
    </row>
    <row r="25807" spans="1:6" ht="12.75">
      <c r="A25807" s="8">
        <v>43892.839722222227</v>
      </c>
      <c r="B25807" s="8" t="str">
        <f>HYPERLINK("https://twitter.com/nunasyeban","@nunasyeban")</f>
        <v>@nunasyeban</v>
      </c>
      <c r="C25807" s="8" t="s">
        <v>5732</v>
      </c>
      <c r="D25807" s="8">
        <v>1930</v>
      </c>
      <c r="E25807" s="8">
        <v>0</v>
      </c>
      <c r="F25807" s="8">
        <v>679</v>
      </c>
    </row>
    <row r="25808" spans="1:6" ht="12.75">
      <c r="A25808" s="8">
        <v>43892.839687500003</v>
      </c>
      <c r="B25808" s="8" t="str">
        <f>HYPERLINK("https://twitter.com/makmumnyajinu","@makmumnyajinu")</f>
        <v>@makmumnyajinu</v>
      </c>
      <c r="C25808" s="8" t="s">
        <v>8776</v>
      </c>
      <c r="D25808" s="8">
        <v>70</v>
      </c>
      <c r="E25808" s="8">
        <v>0</v>
      </c>
      <c r="F25808" s="8">
        <v>482</v>
      </c>
    </row>
    <row r="25809" spans="1:6" ht="12.75">
      <c r="A25809" s="8">
        <v>43892.839687500003</v>
      </c>
      <c r="B25809" s="8" t="str">
        <f>HYPERLINK("https://twitter.com/abiabdullah","@abiabdullah")</f>
        <v>@abiabdullah</v>
      </c>
      <c r="C25809" s="8" t="s">
        <v>9270</v>
      </c>
      <c r="D25809" s="8">
        <v>15</v>
      </c>
      <c r="E25809" s="8">
        <v>0</v>
      </c>
      <c r="F25809" s="8">
        <v>59</v>
      </c>
    </row>
    <row r="25810" spans="1:6" ht="12.75">
      <c r="A25810" s="8">
        <v>43892.83966435185</v>
      </c>
      <c r="B25810" s="8" t="str">
        <f>HYPERLINK("https://twitter.com/RohyaniRirin","@RohyaniRirin")</f>
        <v>@RohyaniRirin</v>
      </c>
      <c r="C25810" s="8" t="s">
        <v>9270</v>
      </c>
      <c r="D25810" s="8">
        <v>15</v>
      </c>
      <c r="E25810" s="8">
        <v>0</v>
      </c>
      <c r="F25810" s="8">
        <v>35</v>
      </c>
    </row>
    <row r="25811" spans="1:6" ht="12.75">
      <c r="A25811" s="8">
        <v>43892.83965277778</v>
      </c>
      <c r="B25811" s="8" t="str">
        <f>HYPERLINK("https://twitter.com/Syarifalbantan3","@Syarifalbantan3")</f>
        <v>@Syarifalbantan3</v>
      </c>
      <c r="C25811" s="8" t="s">
        <v>6832</v>
      </c>
      <c r="D25811" s="8">
        <v>577</v>
      </c>
      <c r="E25811" s="8">
        <v>0</v>
      </c>
      <c r="F25811" s="8">
        <v>40</v>
      </c>
    </row>
    <row r="25812" spans="1:6" ht="12.75">
      <c r="A25812" s="8">
        <v>43892.839594907404</v>
      </c>
      <c r="B25812" s="8" t="str">
        <f>HYPERLINK("https://twitter.com/SitiPatimahAja","@SitiPatimahAja")</f>
        <v>@SitiPatimahAja</v>
      </c>
      <c r="C25812" s="8" t="s">
        <v>10075</v>
      </c>
      <c r="D25812" s="8">
        <v>2</v>
      </c>
      <c r="E25812" s="8">
        <v>0</v>
      </c>
      <c r="F25812" s="8">
        <v>3169</v>
      </c>
    </row>
    <row r="25813" spans="1:6" ht="12.75">
      <c r="A25813" s="8">
        <v>43892.839571759258</v>
      </c>
      <c r="B25813" s="8" t="str">
        <f>HYPERLINK("https://twitter.com/PEDOMAN_id","@PEDOMAN_id")</f>
        <v>@PEDOMAN_id</v>
      </c>
      <c r="C25813" s="8" t="s">
        <v>9270</v>
      </c>
      <c r="D25813" s="8">
        <v>15</v>
      </c>
      <c r="E25813" s="8">
        <v>0</v>
      </c>
      <c r="F25813" s="8">
        <v>60354</v>
      </c>
    </row>
    <row r="25814" spans="1:6" ht="12.75">
      <c r="A25814" s="8">
        <v>43892.839560185181</v>
      </c>
      <c r="B25814" s="8" t="str">
        <f>HYPERLINK("https://twitter.com/dillalala95","@dillalala95")</f>
        <v>@dillalala95</v>
      </c>
      <c r="C25814" s="8" t="s">
        <v>9270</v>
      </c>
      <c r="D25814" s="8">
        <v>15</v>
      </c>
      <c r="E25814" s="8">
        <v>0</v>
      </c>
      <c r="F25814" s="8">
        <v>23</v>
      </c>
    </row>
    <row r="25815" spans="1:6" ht="12.75">
      <c r="A25815" s="8">
        <v>43892.839548611111</v>
      </c>
      <c r="B25815" s="8" t="str">
        <f>HYPERLINK("https://twitter.com/Oetaryo7","@Oetaryo7")</f>
        <v>@Oetaryo7</v>
      </c>
      <c r="C25815" s="8" t="s">
        <v>7149</v>
      </c>
      <c r="D25815" s="8">
        <v>185</v>
      </c>
      <c r="E25815" s="8">
        <v>0</v>
      </c>
      <c r="F25815" s="8">
        <v>2230</v>
      </c>
    </row>
    <row r="25816" spans="1:6" ht="12.75">
      <c r="A25816" s="8">
        <v>43892.839537037042</v>
      </c>
      <c r="B25816" s="8" t="str">
        <f>HYPERLINK("https://twitter.com/indahlarasatii","@indahlarasatii")</f>
        <v>@indahlarasatii</v>
      </c>
      <c r="C25816" s="8" t="s">
        <v>2199</v>
      </c>
      <c r="D25816" s="8">
        <v>7342</v>
      </c>
      <c r="E25816" s="8">
        <v>0</v>
      </c>
      <c r="F25816" s="8">
        <v>691</v>
      </c>
    </row>
    <row r="25817" spans="1:6" ht="12.75">
      <c r="A25817" s="8">
        <v>43892.839513888888</v>
      </c>
      <c r="B25817" s="8" t="str">
        <f>HYPERLINK("https://twitter.com/GKawi369","@GKawi369")</f>
        <v>@GKawi369</v>
      </c>
      <c r="C25817" s="8" t="s">
        <v>9358</v>
      </c>
      <c r="D25817" s="8">
        <v>57</v>
      </c>
      <c r="E25817" s="8">
        <v>0</v>
      </c>
      <c r="F25817" s="8">
        <v>991</v>
      </c>
    </row>
    <row r="25818" spans="1:6" ht="12.75">
      <c r="A25818" s="8">
        <v>43892.839490740742</v>
      </c>
      <c r="B25818" s="8" t="str">
        <f>HYPERLINK("https://twitter.com/jokowidohoax","@jokowidohoax")</f>
        <v>@jokowidohoax</v>
      </c>
      <c r="C25818" s="8" t="s">
        <v>9766</v>
      </c>
      <c r="D25818" s="8">
        <v>10</v>
      </c>
      <c r="E25818" s="8">
        <v>0</v>
      </c>
      <c r="F25818" s="8">
        <v>1171</v>
      </c>
    </row>
    <row r="25819" spans="1:6" ht="12.75">
      <c r="A25819" s="8">
        <v>43892.839490740742</v>
      </c>
      <c r="B25819" s="8" t="str">
        <f>HYPERLINK("https://twitter.com/ngabeii","@ngabeii")</f>
        <v>@ngabeii</v>
      </c>
      <c r="C25819" s="8" t="s">
        <v>2199</v>
      </c>
      <c r="D25819" s="8">
        <v>7342</v>
      </c>
      <c r="E25819" s="8">
        <v>0</v>
      </c>
      <c r="F25819" s="8">
        <v>1011</v>
      </c>
    </row>
    <row r="25820" spans="1:6" ht="12.75">
      <c r="A25820" s="8">
        <v>43892.839479166665</v>
      </c>
      <c r="B25820" s="8" t="str">
        <f>HYPERLINK("https://twitter.com/angelmaximilan","@angelmaximilan")</f>
        <v>@angelmaximilan</v>
      </c>
      <c r="C25820" s="8" t="s">
        <v>9173</v>
      </c>
      <c r="D25820" s="8">
        <v>3</v>
      </c>
      <c r="E25820" s="8">
        <v>0</v>
      </c>
      <c r="F25820" s="8">
        <v>6461</v>
      </c>
    </row>
    <row r="25821" spans="1:6" ht="12.75">
      <c r="A25821" s="8">
        <v>43892.839374999996</v>
      </c>
      <c r="B25821" s="8" t="str">
        <f>HYPERLINK("https://twitter.com/andi_arly","@andi_arly")</f>
        <v>@andi_arly</v>
      </c>
      <c r="C25821" s="8" t="s">
        <v>9358</v>
      </c>
      <c r="D25821" s="8">
        <v>57</v>
      </c>
      <c r="E25821" s="8">
        <v>0</v>
      </c>
      <c r="F25821" s="8">
        <v>657</v>
      </c>
    </row>
    <row r="25822" spans="1:6" ht="12.75">
      <c r="A25822" s="8">
        <v>43892.839363425926</v>
      </c>
      <c r="B25822" s="8" t="str">
        <f>HYPERLINK("https://twitter.com/tomkins999","@tomkins999")</f>
        <v>@tomkins999</v>
      </c>
      <c r="C25822" s="8" t="s">
        <v>1145</v>
      </c>
      <c r="D25822" s="8">
        <v>385</v>
      </c>
      <c r="E25822" s="8">
        <v>0</v>
      </c>
      <c r="F25822" s="8">
        <v>127</v>
      </c>
    </row>
    <row r="25823" spans="1:6" ht="12.75">
      <c r="A25823" s="8">
        <v>43892.839363425926</v>
      </c>
      <c r="B25823" s="8" t="str">
        <f>HYPERLINK("https://twitter.com/Ari_LennonStarr","@Ari_LennonStarr")</f>
        <v>@Ari_LennonStarr</v>
      </c>
      <c r="C25823" s="8" t="s">
        <v>10076</v>
      </c>
      <c r="D25823" s="8">
        <v>0</v>
      </c>
      <c r="E25823" s="8">
        <v>0</v>
      </c>
      <c r="F25823" s="8">
        <v>997</v>
      </c>
    </row>
    <row r="25824" spans="1:6" ht="12.75">
      <c r="A25824" s="8">
        <v>43892.839351851857</v>
      </c>
      <c r="B25824" s="8" t="str">
        <f>HYPERLINK("https://twitter.com/mulanbilqis","@mulanbilqis")</f>
        <v>@mulanbilqis</v>
      </c>
      <c r="C25824" s="8" t="s">
        <v>10001</v>
      </c>
      <c r="D25824" s="8">
        <v>61</v>
      </c>
      <c r="E25824" s="8">
        <v>0</v>
      </c>
      <c r="F25824" s="8">
        <v>13322</v>
      </c>
    </row>
    <row r="25825" spans="1:6" ht="12.75">
      <c r="A25825" s="8">
        <v>43892.839328703703</v>
      </c>
      <c r="B25825" s="8" t="str">
        <f>HYPERLINK("https://twitter.com/mamaPram","@mamaPram")</f>
        <v>@mamaPram</v>
      </c>
      <c r="C25825" s="8" t="s">
        <v>2962</v>
      </c>
      <c r="D25825" s="8">
        <v>3209</v>
      </c>
      <c r="E25825" s="8">
        <v>0</v>
      </c>
      <c r="F25825" s="8">
        <v>204</v>
      </c>
    </row>
    <row r="25826" spans="1:6" ht="12.75">
      <c r="A25826" s="8">
        <v>43892.839305555557</v>
      </c>
      <c r="B25826" s="8" t="str">
        <f>HYPERLINK("https://twitter.com/JokowiAmin","@JokowiAmin")</f>
        <v>@JokowiAmin</v>
      </c>
      <c r="C25826" s="8" t="s">
        <v>10077</v>
      </c>
      <c r="D25826" s="8">
        <v>192</v>
      </c>
      <c r="E25826" s="8">
        <v>0</v>
      </c>
      <c r="F25826" s="8">
        <v>318</v>
      </c>
    </row>
    <row r="25827" spans="1:6" ht="12.75">
      <c r="A25827" s="8">
        <v>43892.839282407411</v>
      </c>
      <c r="B25827" s="8" t="str">
        <f>HYPERLINK("https://twitter.com/sayangdowoon","@sayangdowoon")</f>
        <v>@sayangdowoon</v>
      </c>
      <c r="C25827" s="8" t="s">
        <v>9207</v>
      </c>
      <c r="D25827" s="8">
        <v>14</v>
      </c>
      <c r="E25827" s="8">
        <v>0</v>
      </c>
      <c r="F25827" s="8">
        <v>742</v>
      </c>
    </row>
    <row r="25828" spans="1:6" ht="12.75">
      <c r="A25828" s="8">
        <v>43892.839270833334</v>
      </c>
      <c r="B25828" s="8" t="str">
        <f>HYPERLINK("https://twitter.com/EryKusuma4","@EryKusuma4")</f>
        <v>@EryKusuma4</v>
      </c>
      <c r="C25828" s="8" t="s">
        <v>8322</v>
      </c>
      <c r="D25828" s="8">
        <v>440</v>
      </c>
      <c r="E25828" s="8">
        <v>0</v>
      </c>
      <c r="F25828" s="8">
        <v>1154</v>
      </c>
    </row>
    <row r="25829" spans="1:6" ht="12.75">
      <c r="A25829" s="8">
        <v>43892.839270833334</v>
      </c>
      <c r="B25829" s="8" t="str">
        <f>HYPERLINK("https://twitter.com/LisdiyantoR","@LisdiyantoR")</f>
        <v>@LisdiyantoR</v>
      </c>
      <c r="C25829" s="8" t="s">
        <v>9173</v>
      </c>
      <c r="D25829" s="8">
        <v>3</v>
      </c>
      <c r="E25829" s="8">
        <v>0</v>
      </c>
      <c r="F25829" s="8">
        <v>1262</v>
      </c>
    </row>
    <row r="25830" spans="1:6" ht="12.75">
      <c r="A25830" s="8">
        <v>43892.839247685188</v>
      </c>
      <c r="B25830" s="8" t="str">
        <f>HYPERLINK("https://twitter.com/abanglurus","@abanglurus")</f>
        <v>@abanglurus</v>
      </c>
      <c r="C25830" s="8" t="s">
        <v>4477</v>
      </c>
      <c r="D25830" s="8">
        <v>646</v>
      </c>
      <c r="E25830" s="8">
        <v>0</v>
      </c>
      <c r="F25830" s="8">
        <v>160</v>
      </c>
    </row>
    <row r="25831" spans="1:6" ht="12.75">
      <c r="A25831" s="8">
        <v>43892.839212962965</v>
      </c>
      <c r="B25831" s="8" t="str">
        <f>HYPERLINK("https://twitter.com/firmannuriman","@firmannuriman")</f>
        <v>@firmannuriman</v>
      </c>
      <c r="C25831" s="8" t="s">
        <v>1427</v>
      </c>
      <c r="D25831" s="8">
        <v>107</v>
      </c>
      <c r="E25831" s="8">
        <v>0</v>
      </c>
      <c r="F25831" s="8">
        <v>1097</v>
      </c>
    </row>
    <row r="25832" spans="1:6" ht="12.75">
      <c r="A25832" s="8">
        <v>43892.839189814811</v>
      </c>
      <c r="B25832" s="8" t="str">
        <f>HYPERLINK("https://twitter.com/mulanbilqis","@mulanbilqis")</f>
        <v>@mulanbilqis</v>
      </c>
      <c r="C25832" s="8" t="s">
        <v>8963</v>
      </c>
      <c r="D25832" s="8">
        <v>89</v>
      </c>
      <c r="E25832" s="8">
        <v>0</v>
      </c>
      <c r="F25832" s="8">
        <v>13322</v>
      </c>
    </row>
    <row r="25833" spans="1:6" ht="12.75">
      <c r="A25833" s="8">
        <v>43892.839178240742</v>
      </c>
      <c r="B25833" s="8" t="str">
        <f>HYPERLINK("https://twitter.com/Gamelonlio","@Gamelonlio")</f>
        <v>@Gamelonlio</v>
      </c>
      <c r="C25833" s="8" t="s">
        <v>9207</v>
      </c>
      <c r="D25833" s="8">
        <v>14</v>
      </c>
      <c r="E25833" s="8">
        <v>0</v>
      </c>
      <c r="F25833" s="8">
        <v>437</v>
      </c>
    </row>
    <row r="25834" spans="1:6" ht="12.75">
      <c r="A25834" s="8">
        <v>43892.839178240742</v>
      </c>
      <c r="B25834" s="8" t="str">
        <f>HYPERLINK("https://twitter.com/rmoljateng","@rmoljateng")</f>
        <v>@rmoljateng</v>
      </c>
      <c r="C25834" s="8" t="s">
        <v>10078</v>
      </c>
      <c r="D25834" s="8">
        <v>0</v>
      </c>
      <c r="E25834" s="8">
        <v>0</v>
      </c>
      <c r="F25834" s="8">
        <v>188</v>
      </c>
    </row>
    <row r="25835" spans="1:6" ht="12.75">
      <c r="A25835" s="8">
        <v>43892.839143518519</v>
      </c>
      <c r="B25835" s="8" t="str">
        <f>HYPERLINK("https://twitter.com/uyehallo","@uyehallo")</f>
        <v>@uyehallo</v>
      </c>
      <c r="C25835" s="8" t="s">
        <v>2199</v>
      </c>
      <c r="D25835" s="8">
        <v>7342</v>
      </c>
      <c r="E25835" s="8">
        <v>0</v>
      </c>
      <c r="F25835" s="8">
        <v>17</v>
      </c>
    </row>
    <row r="25836" spans="1:6" ht="12.75">
      <c r="A25836" s="8">
        <v>43892.839143518519</v>
      </c>
      <c r="B25836" s="8" t="str">
        <f>HYPERLINK("https://twitter.com/BJOeing","@BJOeing")</f>
        <v>@BJOeing</v>
      </c>
      <c r="C25836" s="8" t="s">
        <v>10079</v>
      </c>
      <c r="D25836" s="8">
        <v>3</v>
      </c>
      <c r="E25836" s="8">
        <v>0</v>
      </c>
      <c r="F25836" s="8">
        <v>560</v>
      </c>
    </row>
    <row r="25837" spans="1:6" ht="12.75">
      <c r="A25837" s="8">
        <v>43892.839097222226</v>
      </c>
      <c r="B25837" s="8" t="str">
        <f>HYPERLINK("https://twitter.com/Hex_Black_Jhex","@Hex_Black_Jhex")</f>
        <v>@Hex_Black_Jhex</v>
      </c>
      <c r="C25837" s="8" t="s">
        <v>9124</v>
      </c>
      <c r="D25837" s="8">
        <v>17</v>
      </c>
      <c r="E25837" s="8">
        <v>0</v>
      </c>
      <c r="F25837" s="8">
        <v>1756</v>
      </c>
    </row>
    <row r="25838" spans="1:6" ht="12.75">
      <c r="A25838" s="8">
        <v>43892.839050925926</v>
      </c>
      <c r="B25838" s="8" t="str">
        <f>HYPERLINK("https://twitter.com/paapiyo1","@paapiyo1")</f>
        <v>@paapiyo1</v>
      </c>
      <c r="C25838" s="8" t="s">
        <v>10080</v>
      </c>
      <c r="D25838" s="8">
        <v>23</v>
      </c>
      <c r="E25838" s="8">
        <v>0</v>
      </c>
      <c r="F25838" s="8">
        <v>281</v>
      </c>
    </row>
    <row r="25839" spans="1:6" ht="12.75">
      <c r="A25839" s="8">
        <v>43892.83902777778</v>
      </c>
      <c r="B25839" s="8" t="str">
        <f>HYPERLINK("https://twitter.com/wujinpwark","@wujinpwark")</f>
        <v>@wujinpwark</v>
      </c>
      <c r="C25839" s="8" t="s">
        <v>2199</v>
      </c>
      <c r="D25839" s="8">
        <v>7342</v>
      </c>
      <c r="E25839" s="8">
        <v>0</v>
      </c>
      <c r="F25839" s="8">
        <v>629</v>
      </c>
    </row>
    <row r="25840" spans="1:6" ht="12.75">
      <c r="A25840" s="8">
        <v>43892.83902777778</v>
      </c>
      <c r="B25840" s="8" t="str">
        <f>HYPERLINK("https://twitter.com/yosuaaaps","@yosuaaaps")</f>
        <v>@yosuaaaps</v>
      </c>
      <c r="C25840" s="8" t="s">
        <v>2199</v>
      </c>
      <c r="D25840" s="8">
        <v>7342</v>
      </c>
      <c r="E25840" s="8">
        <v>0</v>
      </c>
      <c r="F25840" s="8">
        <v>7</v>
      </c>
    </row>
    <row r="25841" spans="1:6" ht="12.75">
      <c r="A25841" s="8">
        <v>43892.839016203703</v>
      </c>
      <c r="B25841" s="8" t="str">
        <f>HYPERLINK("https://twitter.com/ferafeliyana","@ferafeliyana")</f>
        <v>@ferafeliyana</v>
      </c>
      <c r="C25841" s="8" t="s">
        <v>10081</v>
      </c>
      <c r="D25841" s="8">
        <v>253</v>
      </c>
      <c r="E25841" s="8">
        <v>0</v>
      </c>
      <c r="F25841" s="8">
        <v>187</v>
      </c>
    </row>
    <row r="25842" spans="1:6" ht="12.75">
      <c r="A25842" s="8">
        <v>43892.839016203703</v>
      </c>
      <c r="B25842" s="8" t="str">
        <f>HYPERLINK("https://twitter.com/nabila_azk","@nabila_azk")</f>
        <v>@nabila_azk</v>
      </c>
      <c r="C25842" s="8" t="s">
        <v>4477</v>
      </c>
      <c r="D25842" s="8">
        <v>646</v>
      </c>
      <c r="E25842" s="8">
        <v>0</v>
      </c>
      <c r="F25842" s="8">
        <v>209</v>
      </c>
    </row>
    <row r="25843" spans="1:6" ht="12.75">
      <c r="A25843" s="8">
        <v>43892.839004629626</v>
      </c>
      <c r="B25843" s="8" t="str">
        <f>HYPERLINK("https://twitter.com/s_jaebae","@s_jaebae")</f>
        <v>@s_jaebae</v>
      </c>
      <c r="C25843" s="8" t="s">
        <v>8962</v>
      </c>
      <c r="D25843" s="8">
        <v>298</v>
      </c>
      <c r="E25843" s="8">
        <v>0</v>
      </c>
      <c r="F25843" s="8">
        <v>550</v>
      </c>
    </row>
    <row r="25844" spans="1:6" ht="12.75">
      <c r="A25844" s="8">
        <v>43892.838993055557</v>
      </c>
      <c r="B25844" s="8" t="str">
        <f>HYPERLINK("https://twitter.com/AgnationBisa","@AgnationBisa")</f>
        <v>@AgnationBisa</v>
      </c>
      <c r="C25844" s="8" t="s">
        <v>9895</v>
      </c>
      <c r="D25844" s="8">
        <v>149</v>
      </c>
      <c r="E25844" s="8">
        <v>0</v>
      </c>
      <c r="F25844" s="8">
        <v>47</v>
      </c>
    </row>
    <row r="25845" spans="1:6" ht="12.75">
      <c r="A25845" s="8">
        <v>43892.838969907403</v>
      </c>
      <c r="B25845" s="8" t="str">
        <f>HYPERLINK("https://twitter.com/moonrivfer","@moonrivfer")</f>
        <v>@moonrivfer</v>
      </c>
      <c r="C25845" s="8" t="s">
        <v>10082</v>
      </c>
      <c r="D25845" s="8">
        <v>38</v>
      </c>
      <c r="E25845" s="8">
        <v>0</v>
      </c>
      <c r="F25845" s="8">
        <v>189</v>
      </c>
    </row>
    <row r="25846" spans="1:6" ht="12.75">
      <c r="A25846" s="8">
        <v>43892.838958333334</v>
      </c>
      <c r="B25846" s="8" t="str">
        <f>HYPERLINK("https://twitter.com/Emmy8412","@Emmy8412")</f>
        <v>@Emmy8412</v>
      </c>
      <c r="C25846" s="8" t="s">
        <v>10083</v>
      </c>
      <c r="D25846" s="8">
        <v>3</v>
      </c>
      <c r="E25846" s="8">
        <v>0</v>
      </c>
      <c r="F25846" s="8">
        <v>2904</v>
      </c>
    </row>
    <row r="25847" spans="1:6" ht="12.75">
      <c r="A25847" s="8">
        <v>43892.838958333334</v>
      </c>
      <c r="B25847" s="8" t="str">
        <f>HYPERLINK("https://twitter.com/AndhiHatta","@AndhiHatta")</f>
        <v>@AndhiHatta</v>
      </c>
      <c r="C25847" s="8" t="s">
        <v>7597</v>
      </c>
      <c r="D25847" s="8">
        <v>303</v>
      </c>
      <c r="E25847" s="8">
        <v>0</v>
      </c>
      <c r="F25847" s="8">
        <v>1381</v>
      </c>
    </row>
    <row r="25848" spans="1:6" ht="12.75">
      <c r="A25848" s="8">
        <v>43892.838946759264</v>
      </c>
      <c r="B25848" s="8" t="str">
        <f>HYPERLINK("https://twitter.com/beranijujur9","@beranijujur9")</f>
        <v>@beranijujur9</v>
      </c>
      <c r="C25848" s="8" t="s">
        <v>2962</v>
      </c>
      <c r="D25848" s="8">
        <v>3209</v>
      </c>
      <c r="E25848" s="8">
        <v>0</v>
      </c>
      <c r="F25848" s="8">
        <v>282</v>
      </c>
    </row>
    <row r="25849" spans="1:6" ht="12.75">
      <c r="A25849" s="8">
        <v>43892.83893518518</v>
      </c>
      <c r="B25849" s="8" t="str">
        <f>HYPERLINK("https://twitter.com/SchifoMilanisti","@SchifoMilanisti")</f>
        <v>@SchifoMilanisti</v>
      </c>
      <c r="C25849" s="8" t="s">
        <v>8842</v>
      </c>
      <c r="D25849" s="8">
        <v>130</v>
      </c>
      <c r="E25849" s="8">
        <v>0</v>
      </c>
      <c r="F25849" s="8">
        <v>318</v>
      </c>
    </row>
    <row r="25850" spans="1:6" ht="12.75">
      <c r="A25850" s="8">
        <v>43892.838923611111</v>
      </c>
      <c r="B25850" s="8" t="str">
        <f>HYPERLINK("https://twitter.com/fikri_abiii","@fikri_abiii")</f>
        <v>@fikri_abiii</v>
      </c>
      <c r="C25850" s="8" t="s">
        <v>2199</v>
      </c>
      <c r="D25850" s="8">
        <v>7342</v>
      </c>
      <c r="E25850" s="8">
        <v>0</v>
      </c>
      <c r="F25850" s="8">
        <v>172</v>
      </c>
    </row>
    <row r="25851" spans="1:6" ht="12.75">
      <c r="A25851" s="8">
        <v>43892.838912037041</v>
      </c>
      <c r="B25851" s="8" t="str">
        <f>HYPERLINK("https://twitter.com/uuldr03","@uuldr03")</f>
        <v>@uuldr03</v>
      </c>
      <c r="C25851" s="8" t="s">
        <v>9270</v>
      </c>
      <c r="D25851" s="8">
        <v>15</v>
      </c>
      <c r="E25851" s="8">
        <v>0</v>
      </c>
      <c r="F25851" s="8">
        <v>440</v>
      </c>
    </row>
    <row r="25852" spans="1:6" ht="12.75">
      <c r="A25852" s="8">
        <v>43892.838877314818</v>
      </c>
      <c r="B25852" s="8" t="str">
        <f>HYPERLINK("https://twitter.com/jehanpahlev","@jehanpahlev")</f>
        <v>@jehanpahlev</v>
      </c>
      <c r="C25852" s="8" t="s">
        <v>2962</v>
      </c>
      <c r="D25852" s="8">
        <v>3209</v>
      </c>
      <c r="E25852" s="8">
        <v>0</v>
      </c>
      <c r="F25852" s="8">
        <v>57</v>
      </c>
    </row>
    <row r="25853" spans="1:6" ht="12.75">
      <c r="A25853" s="8">
        <v>43892.838842592595</v>
      </c>
      <c r="B25853" s="8" t="str">
        <f>HYPERLINK("https://twitter.com/inshecur","@inshecur")</f>
        <v>@inshecur</v>
      </c>
      <c r="C25853" s="8" t="s">
        <v>2199</v>
      </c>
      <c r="D25853" s="8">
        <v>7342</v>
      </c>
      <c r="E25853" s="8">
        <v>0</v>
      </c>
      <c r="F25853" s="8">
        <v>853</v>
      </c>
    </row>
    <row r="25854" spans="1:6" ht="12.75">
      <c r="A25854" s="8">
        <v>43892.838761574079</v>
      </c>
      <c r="B25854" s="8" t="str">
        <f>HYPERLINK("https://twitter.com/alexithymiach","@alexithymiach")</f>
        <v>@alexithymiach</v>
      </c>
      <c r="C25854" s="8" t="s">
        <v>2199</v>
      </c>
      <c r="D25854" s="8">
        <v>7342</v>
      </c>
      <c r="E25854" s="8">
        <v>0</v>
      </c>
      <c r="F25854" s="8">
        <v>322</v>
      </c>
    </row>
    <row r="25855" spans="1:6" ht="12.75">
      <c r="A25855" s="8">
        <v>43892.838726851856</v>
      </c>
      <c r="B25855" s="8" t="str">
        <f>HYPERLINK("https://twitter.com/ryolandafit","@ryolandafit")</f>
        <v>@ryolandafit</v>
      </c>
      <c r="C25855" s="8" t="s">
        <v>10084</v>
      </c>
      <c r="D25855" s="8">
        <v>2</v>
      </c>
      <c r="E25855" s="8">
        <v>0</v>
      </c>
      <c r="F25855" s="8">
        <v>652</v>
      </c>
    </row>
    <row r="25856" spans="1:6" ht="12.75">
      <c r="A25856" s="8">
        <v>43892.83871527778</v>
      </c>
      <c r="B25856" s="8" t="str">
        <f>HYPERLINK("https://twitter.com/jejesisicah","@jejesisicah")</f>
        <v>@jejesisicah</v>
      </c>
      <c r="C25856" s="8" t="s">
        <v>8776</v>
      </c>
      <c r="D25856" s="8">
        <v>70</v>
      </c>
      <c r="E25856" s="8">
        <v>0</v>
      </c>
      <c r="F25856" s="8">
        <v>11</v>
      </c>
    </row>
    <row r="25857" spans="1:6" ht="12.75">
      <c r="A25857" s="8">
        <v>43892.83866898148</v>
      </c>
      <c r="B25857" s="8" t="str">
        <f>HYPERLINK("https://twitter.com/rozlyana_","@rozlyana_")</f>
        <v>@rozlyana_</v>
      </c>
      <c r="C25857" s="8" t="s">
        <v>9701</v>
      </c>
      <c r="D25857" s="8">
        <v>1489</v>
      </c>
      <c r="E25857" s="8">
        <v>0</v>
      </c>
      <c r="F25857" s="8">
        <v>7344</v>
      </c>
    </row>
    <row r="25858" spans="1:6" ht="12.75">
      <c r="A25858" s="8">
        <v>43892.838634259257</v>
      </c>
      <c r="B25858" s="8" t="str">
        <f>HYPERLINK("https://twitter.com/putragaruda27","@putragaruda27")</f>
        <v>@putragaruda27</v>
      </c>
      <c r="C25858" s="8" t="s">
        <v>6832</v>
      </c>
      <c r="D25858" s="8">
        <v>577</v>
      </c>
      <c r="E25858" s="8">
        <v>0</v>
      </c>
      <c r="F25858" s="8">
        <v>5743</v>
      </c>
    </row>
    <row r="25859" spans="1:6" ht="12.75">
      <c r="A25859" s="8">
        <v>43892.838622685187</v>
      </c>
      <c r="B25859" s="8" t="str">
        <f>HYPERLINK("https://twitter.com/MasfarGazali","@MasfarGazali")</f>
        <v>@MasfarGazali</v>
      </c>
      <c r="C25859" s="8" t="s">
        <v>7597</v>
      </c>
      <c r="D25859" s="8">
        <v>303</v>
      </c>
      <c r="E25859" s="8">
        <v>0</v>
      </c>
      <c r="F25859" s="8">
        <v>1977</v>
      </c>
    </row>
    <row r="25860" spans="1:6" ht="12.75">
      <c r="A25860" s="8">
        <v>43892.838553240741</v>
      </c>
      <c r="B25860" s="8" t="str">
        <f>HYPERLINK("https://twitter.com/Nianartyaa","@Nianartyaa")</f>
        <v>@Nianartyaa</v>
      </c>
      <c r="C25860" s="8" t="s">
        <v>2962</v>
      </c>
      <c r="D25860" s="8">
        <v>3209</v>
      </c>
      <c r="E25860" s="8">
        <v>0</v>
      </c>
      <c r="F25860" s="8">
        <v>499</v>
      </c>
    </row>
    <row r="25861" spans="1:6" ht="12.75">
      <c r="A25861" s="8">
        <v>43892.838553240741</v>
      </c>
      <c r="B25861" s="8" t="str">
        <f>HYPERLINK("https://twitter.com/JL_Apatheia","@JL_Apatheia")</f>
        <v>@JL_Apatheia</v>
      </c>
      <c r="C25861" s="8" t="s">
        <v>9932</v>
      </c>
      <c r="D25861" s="8">
        <v>5</v>
      </c>
      <c r="E25861" s="8">
        <v>0</v>
      </c>
      <c r="F25861" s="8">
        <v>2396</v>
      </c>
    </row>
    <row r="25862" spans="1:6" ht="12.75">
      <c r="A25862" s="8">
        <v>43892.838530092587</v>
      </c>
      <c r="B25862" s="8" t="str">
        <f>HYPERLINK("https://twitter.com/SyukriTakengon","@SyukriTakengon")</f>
        <v>@SyukriTakengon</v>
      </c>
      <c r="C25862" s="8" t="s">
        <v>9207</v>
      </c>
      <c r="D25862" s="8">
        <v>14</v>
      </c>
      <c r="E25862" s="8">
        <v>0</v>
      </c>
      <c r="F25862" s="8">
        <v>1300</v>
      </c>
    </row>
    <row r="25863" spans="1:6" ht="12.75">
      <c r="A25863" s="8">
        <v>43892.838530092587</v>
      </c>
      <c r="B25863" s="8" t="str">
        <f>HYPERLINK("https://twitter.com/cagubnyinyir2","@cagubnyinyir2")</f>
        <v>@cagubnyinyir2</v>
      </c>
      <c r="C25863" s="8" t="s">
        <v>10085</v>
      </c>
      <c r="D25863" s="8">
        <v>3</v>
      </c>
      <c r="E25863" s="8">
        <v>3</v>
      </c>
      <c r="F25863" s="8">
        <v>4453</v>
      </c>
    </row>
    <row r="25864" spans="1:6" ht="12.75">
      <c r="A25864" s="8">
        <v>43892.838518518518</v>
      </c>
      <c r="B25864" s="8" t="str">
        <f>HYPERLINK("https://twitter.com/KSeulyeon","@KSeulyeon")</f>
        <v>@KSeulyeon</v>
      </c>
      <c r="C25864" s="8" t="s">
        <v>9123</v>
      </c>
      <c r="D25864" s="8">
        <v>273</v>
      </c>
      <c r="E25864" s="8">
        <v>0</v>
      </c>
      <c r="F25864" s="8">
        <v>47</v>
      </c>
    </row>
    <row r="25865" spans="1:6" ht="12.75">
      <c r="A25865" s="8">
        <v>43892.838518518518</v>
      </c>
      <c r="B25865" s="8" t="str">
        <f>HYPERLINK("https://twitter.com/yunankingstar1","@yunankingstar1")</f>
        <v>@yunankingstar1</v>
      </c>
      <c r="C25865" s="8" t="s">
        <v>10086</v>
      </c>
      <c r="D25865" s="8">
        <v>0</v>
      </c>
      <c r="E25865" s="8">
        <v>0</v>
      </c>
      <c r="F25865" s="8">
        <v>42</v>
      </c>
    </row>
    <row r="25866" spans="1:6" ht="12.75">
      <c r="A25866" s="8">
        <v>43892.838506944448</v>
      </c>
      <c r="B25866" s="8" t="str">
        <f>HYPERLINK("https://twitter.com/ryolandafit","@ryolandafit")</f>
        <v>@ryolandafit</v>
      </c>
      <c r="C25866" s="8" t="s">
        <v>10087</v>
      </c>
      <c r="D25866" s="8">
        <v>2</v>
      </c>
      <c r="E25866" s="8">
        <v>0</v>
      </c>
      <c r="F25866" s="8">
        <v>652</v>
      </c>
    </row>
    <row r="25867" spans="1:6" ht="12.75">
      <c r="A25867" s="8">
        <v>43892.838495370372</v>
      </c>
      <c r="B25867" s="8" t="str">
        <f>HYPERLINK("https://twitter.com/hannyhf","@hannyhf")</f>
        <v>@hannyhf</v>
      </c>
      <c r="C25867" s="8" t="s">
        <v>10088</v>
      </c>
      <c r="D25867" s="8">
        <v>3</v>
      </c>
      <c r="E25867" s="8">
        <v>0</v>
      </c>
      <c r="F25867" s="8">
        <v>444</v>
      </c>
    </row>
    <row r="25868" spans="1:6" ht="12.75">
      <c r="A25868" s="8">
        <v>43892.838472222225</v>
      </c>
      <c r="B25868" s="8" t="str">
        <f>HYPERLINK("https://twitter.com/aaalhasdiqi","@aaalhasdiqi")</f>
        <v>@aaalhasdiqi</v>
      </c>
      <c r="C25868" s="8" t="s">
        <v>9270</v>
      </c>
      <c r="D25868" s="8">
        <v>15</v>
      </c>
      <c r="E25868" s="8">
        <v>0</v>
      </c>
      <c r="F25868" s="8">
        <v>501</v>
      </c>
    </row>
    <row r="25869" spans="1:6" ht="12.75">
      <c r="A25869" s="8">
        <v>43892.838472222225</v>
      </c>
      <c r="B25869" s="8" t="str">
        <f>HYPERLINK("https://twitter.com/dendiayahalbarr","@dendiayahalbarr")</f>
        <v>@dendiayahalbarr</v>
      </c>
      <c r="C25869" s="8" t="s">
        <v>10089</v>
      </c>
      <c r="D25869" s="8">
        <v>22</v>
      </c>
      <c r="E25869" s="8">
        <v>0</v>
      </c>
      <c r="F25869" s="8">
        <v>252</v>
      </c>
    </row>
    <row r="25870" spans="1:6" ht="12.75">
      <c r="A25870" s="8">
        <v>43892.838472222225</v>
      </c>
      <c r="B25870" s="8" t="str">
        <f>HYPERLINK("https://twitter.com/SlametSt75","@SlametSt75")</f>
        <v>@SlametSt75</v>
      </c>
      <c r="C25870" s="8" t="s">
        <v>8322</v>
      </c>
      <c r="D25870" s="8">
        <v>440</v>
      </c>
      <c r="E25870" s="8">
        <v>0</v>
      </c>
      <c r="F25870" s="8">
        <v>46</v>
      </c>
    </row>
    <row r="25871" spans="1:6" ht="12.75">
      <c r="A25871" s="8">
        <v>43892.838425925926</v>
      </c>
      <c r="B25871" s="8" t="str">
        <f>HYPERLINK("https://twitter.com/SyukriTakengon","@SyukriTakengon")</f>
        <v>@SyukriTakengon</v>
      </c>
      <c r="C25871" s="8" t="s">
        <v>9932</v>
      </c>
      <c r="D25871" s="8">
        <v>5</v>
      </c>
      <c r="E25871" s="8">
        <v>0</v>
      </c>
      <c r="F25871" s="8">
        <v>1300</v>
      </c>
    </row>
    <row r="25872" spans="1:6" ht="12.75">
      <c r="A25872" s="8">
        <v>43892.838414351849</v>
      </c>
      <c r="B25872" s="8" t="str">
        <f>HYPERLINK("https://twitter.com/bramantyo20","@bramantyo20")</f>
        <v>@bramantyo20</v>
      </c>
      <c r="C25872" s="8" t="s">
        <v>3782</v>
      </c>
      <c r="D25872" s="8">
        <v>6</v>
      </c>
      <c r="E25872" s="8">
        <v>0</v>
      </c>
      <c r="F25872" s="8">
        <v>282</v>
      </c>
    </row>
    <row r="25873" spans="1:6" ht="12.75">
      <c r="A25873" s="8">
        <v>43892.838414351849</v>
      </c>
      <c r="B25873" s="8" t="str">
        <f>HYPERLINK("https://twitter.com/tani_suara","@tani_suara")</f>
        <v>@tani_suara</v>
      </c>
      <c r="C25873" s="8" t="s">
        <v>10090</v>
      </c>
      <c r="D25873" s="8">
        <v>0</v>
      </c>
      <c r="E25873" s="8">
        <v>0</v>
      </c>
      <c r="F25873" s="8">
        <v>74</v>
      </c>
    </row>
    <row r="25874" spans="1:6" ht="12.75">
      <c r="A25874" s="8">
        <v>43892.838402777779</v>
      </c>
      <c r="B25874" s="8" t="str">
        <f>HYPERLINK("https://twitter.com/amara_valencia","@amara_valencia")</f>
        <v>@amara_valencia</v>
      </c>
      <c r="C25874" s="8" t="s">
        <v>9358</v>
      </c>
      <c r="D25874" s="8">
        <v>57</v>
      </c>
      <c r="E25874" s="8">
        <v>0</v>
      </c>
      <c r="F25874" s="8">
        <v>408</v>
      </c>
    </row>
    <row r="25875" spans="1:6" ht="12.75">
      <c r="A25875" s="8">
        <v>43892.838391203702</v>
      </c>
      <c r="B25875" s="8" t="str">
        <f>HYPERLINK("https://twitter.com/seeyoungtolife","@seeyoungtolife")</f>
        <v>@seeyoungtolife</v>
      </c>
      <c r="C25875" s="8" t="s">
        <v>10082</v>
      </c>
      <c r="D25875" s="8">
        <v>38</v>
      </c>
      <c r="E25875" s="8">
        <v>0</v>
      </c>
      <c r="F25875" s="8">
        <v>283</v>
      </c>
    </row>
    <row r="25876" spans="1:6" ht="12.75">
      <c r="A25876" s="8">
        <v>43892.838368055556</v>
      </c>
      <c r="B25876" s="8" t="str">
        <f>HYPERLINK("https://twitter.com/Rahman63868786","@Rahman63868786")</f>
        <v>@Rahman63868786</v>
      </c>
      <c r="C25876" s="8" t="s">
        <v>7597</v>
      </c>
      <c r="D25876" s="8">
        <v>303</v>
      </c>
      <c r="E25876" s="8">
        <v>0</v>
      </c>
      <c r="F25876" s="8">
        <v>631</v>
      </c>
    </row>
    <row r="25877" spans="1:6" ht="12.75">
      <c r="A25877" s="8">
        <v>43892.838356481487</v>
      </c>
      <c r="B25877" s="8" t="str">
        <f>HYPERLINK("https://twitter.com/sevenpride_","@sevenpride_")</f>
        <v>@sevenpride_</v>
      </c>
      <c r="C25877" s="8" t="s">
        <v>9270</v>
      </c>
      <c r="D25877" s="8">
        <v>15</v>
      </c>
      <c r="E25877" s="8">
        <v>0</v>
      </c>
      <c r="F25877" s="8">
        <v>486</v>
      </c>
    </row>
    <row r="25878" spans="1:6" ht="12.75">
      <c r="A25878" s="8">
        <v>43892.838344907403</v>
      </c>
      <c r="B25878" s="8" t="str">
        <f>HYPERLINK("https://twitter.com/Nissa_Dcrow","@Nissa_Dcrow")</f>
        <v>@Nissa_Dcrow</v>
      </c>
      <c r="C25878" s="8" t="s">
        <v>9123</v>
      </c>
      <c r="D25878" s="8">
        <v>273</v>
      </c>
      <c r="E25878" s="8">
        <v>0</v>
      </c>
      <c r="F25878" s="8">
        <v>166</v>
      </c>
    </row>
    <row r="25879" spans="1:6" ht="12.75">
      <c r="A25879" s="8">
        <v>43892.838344907403</v>
      </c>
      <c r="B25879" s="8" t="str">
        <f>HYPERLINK("https://twitter.com/rezaooo12","@rezaooo12")</f>
        <v>@rezaooo12</v>
      </c>
      <c r="C25879" s="8" t="s">
        <v>2199</v>
      </c>
      <c r="D25879" s="8">
        <v>7342</v>
      </c>
      <c r="E25879" s="8">
        <v>0</v>
      </c>
      <c r="F25879" s="8">
        <v>267</v>
      </c>
    </row>
    <row r="25880" spans="1:6" ht="12.75">
      <c r="A25880" s="8">
        <v>43892.798414351855</v>
      </c>
      <c r="B25880" s="8" t="str">
        <f>HYPERLINK("https://twitter.com/pashavankrab","@pashavankrab")</f>
        <v>@pashavankrab</v>
      </c>
      <c r="C25880" s="8" t="s">
        <v>9892</v>
      </c>
      <c r="D25880" s="8">
        <v>462</v>
      </c>
      <c r="E25880" s="8">
        <v>0</v>
      </c>
      <c r="F25880" s="8">
        <v>769</v>
      </c>
    </row>
    <row r="25881" spans="1:6" ht="12.75">
      <c r="A25881" s="8">
        <v>43892.798391203702</v>
      </c>
      <c r="B25881" s="8" t="str">
        <f>HYPERLINK("https://twitter.com/unicorndusttt","@unicorndusttt")</f>
        <v>@unicorndusttt</v>
      </c>
      <c r="C25881" s="8" t="s">
        <v>2199</v>
      </c>
      <c r="D25881" s="8">
        <v>7043</v>
      </c>
      <c r="E25881" s="8">
        <v>0</v>
      </c>
      <c r="F25881" s="8">
        <v>33</v>
      </c>
    </row>
    <row r="25882" spans="1:6" ht="12.75">
      <c r="A25882" s="8">
        <v>43892.798379629632</v>
      </c>
      <c r="B25882" s="8" t="str">
        <f>HYPERLINK("https://twitter.com/wahyualdy_","@wahyualdy_")</f>
        <v>@wahyualdy_</v>
      </c>
      <c r="C25882" s="8" t="s">
        <v>10091</v>
      </c>
      <c r="D25882" s="8">
        <v>13</v>
      </c>
      <c r="E25882" s="8">
        <v>0</v>
      </c>
      <c r="F25882" s="8">
        <v>297</v>
      </c>
    </row>
    <row r="25883" spans="1:6" ht="12.75">
      <c r="A25883" s="8">
        <v>43892.798368055555</v>
      </c>
      <c r="B25883" s="8" t="str">
        <f>HYPERLINK("https://twitter.com/Totokalhaqq3","@Totokalhaqq3")</f>
        <v>@Totokalhaqq3</v>
      </c>
      <c r="C25883" s="8" t="s">
        <v>10092</v>
      </c>
      <c r="D25883" s="8">
        <v>0</v>
      </c>
      <c r="E25883" s="8">
        <v>0</v>
      </c>
      <c r="F25883" s="8">
        <v>1496</v>
      </c>
    </row>
    <row r="25884" spans="1:6" ht="12.75">
      <c r="A25884" s="8">
        <v>43892.798344907409</v>
      </c>
      <c r="B25884" s="8" t="str">
        <f>HYPERLINK("https://twitter.com/mon_stones","@mon_stones")</f>
        <v>@mon_stones</v>
      </c>
      <c r="C25884" s="8" t="s">
        <v>8322</v>
      </c>
      <c r="D25884" s="8">
        <v>390</v>
      </c>
      <c r="E25884" s="8">
        <v>0</v>
      </c>
      <c r="F25884" s="8">
        <v>1186</v>
      </c>
    </row>
    <row r="25885" spans="1:6" ht="12.75">
      <c r="A25885" s="8">
        <v>43892.798333333332</v>
      </c>
      <c r="B25885" s="8" t="str">
        <f>HYPERLINK("https://twitter.com/sanmachi_","@sanmachi_")</f>
        <v>@sanmachi_</v>
      </c>
      <c r="C25885" s="8" t="s">
        <v>7149</v>
      </c>
      <c r="D25885" s="8">
        <v>96</v>
      </c>
      <c r="E25885" s="8">
        <v>0</v>
      </c>
      <c r="F25885" s="8">
        <v>65</v>
      </c>
    </row>
    <row r="25886" spans="1:6" ht="12.75">
      <c r="A25886" s="8">
        <v>43892.798263888893</v>
      </c>
      <c r="B25886" s="8" t="str">
        <f>HYPERLINK("https://twitter.com/guntur_wap","@guntur_wap")</f>
        <v>@guntur_wap</v>
      </c>
      <c r="C25886" s="8" t="s">
        <v>10093</v>
      </c>
      <c r="D25886" s="8">
        <v>0</v>
      </c>
      <c r="E25886" s="8">
        <v>0</v>
      </c>
      <c r="F25886" s="8">
        <v>3</v>
      </c>
    </row>
    <row r="25887" spans="1:6" ht="12.75">
      <c r="A25887" s="8">
        <v>43892.798182870371</v>
      </c>
      <c r="B25887" s="8" t="str">
        <f>HYPERLINK("https://twitter.com/apfl219","@apfl219")</f>
        <v>@apfl219</v>
      </c>
      <c r="C25887" s="8" t="s">
        <v>9123</v>
      </c>
      <c r="D25887" s="8">
        <v>229</v>
      </c>
      <c r="E25887" s="8">
        <v>0</v>
      </c>
      <c r="F25887" s="8">
        <v>165</v>
      </c>
    </row>
    <row r="25888" spans="1:6" ht="12.75">
      <c r="A25888" s="8">
        <v>43892.798182870371</v>
      </c>
      <c r="B25888" s="8" t="str">
        <f>HYPERLINK("https://twitter.com/rzqkhanung","@rzqkhanung")</f>
        <v>@rzqkhanung</v>
      </c>
      <c r="C25888" s="8" t="s">
        <v>2199</v>
      </c>
      <c r="D25888" s="8">
        <v>7043</v>
      </c>
      <c r="E25888" s="8">
        <v>0</v>
      </c>
      <c r="F25888" s="8">
        <v>455</v>
      </c>
    </row>
    <row r="25889" spans="1:6" ht="12.75">
      <c r="A25889" s="8">
        <v>43892.798148148147</v>
      </c>
      <c r="B25889" s="8" t="str">
        <f>HYPERLINK("https://twitter.com/raja_sonny","@raja_sonny")</f>
        <v>@raja_sonny</v>
      </c>
      <c r="C25889" s="8" t="s">
        <v>9688</v>
      </c>
      <c r="D25889" s="8">
        <v>6</v>
      </c>
      <c r="E25889" s="8">
        <v>0</v>
      </c>
      <c r="F25889" s="8">
        <v>27</v>
      </c>
    </row>
    <row r="25890" spans="1:6" ht="12.75">
      <c r="A25890" s="8">
        <v>43892.798136574071</v>
      </c>
      <c r="B25890" s="8" t="str">
        <f>HYPERLINK("https://twitter.com/mfebriansyah00","@mfebriansyah00")</f>
        <v>@mfebriansyah00</v>
      </c>
      <c r="C25890" s="8" t="s">
        <v>2962</v>
      </c>
      <c r="D25890" s="8">
        <v>2883</v>
      </c>
      <c r="E25890" s="8">
        <v>0</v>
      </c>
      <c r="F25890" s="8">
        <v>148</v>
      </c>
    </row>
    <row r="25891" spans="1:6" ht="12.75">
      <c r="A25891" s="8">
        <v>43892.798090277778</v>
      </c>
      <c r="B25891" s="8" t="str">
        <f>HYPERLINK("https://twitter.com/suaradotcom","@suaradotcom")</f>
        <v>@suaradotcom</v>
      </c>
      <c r="C25891" s="8" t="s">
        <v>10094</v>
      </c>
      <c r="D25891" s="8">
        <v>0</v>
      </c>
      <c r="E25891" s="8">
        <v>0</v>
      </c>
      <c r="F25891" s="8">
        <v>24309</v>
      </c>
    </row>
    <row r="25892" spans="1:6" ht="12.75">
      <c r="A25892" s="8">
        <v>43892.798067129625</v>
      </c>
      <c r="B25892" s="8" t="str">
        <f>HYPERLINK("https://twitter.com/wahyuut64969196","@wahyuut64969196")</f>
        <v>@wahyuut64969196</v>
      </c>
      <c r="C25892" s="8" t="s">
        <v>8962</v>
      </c>
      <c r="D25892" s="8">
        <v>295</v>
      </c>
      <c r="E25892" s="8">
        <v>0</v>
      </c>
      <c r="F25892" s="8">
        <v>773</v>
      </c>
    </row>
    <row r="25893" spans="1:6" ht="12.75">
      <c r="A25893" s="8">
        <v>43892.798067129625</v>
      </c>
      <c r="B25893" s="8" t="str">
        <f>HYPERLINK("https://twitter.com/xzzacv","@xzzacv")</f>
        <v>@xzzacv</v>
      </c>
      <c r="C25893" s="8" t="s">
        <v>10095</v>
      </c>
      <c r="D25893" s="8">
        <v>261</v>
      </c>
      <c r="E25893" s="8">
        <v>0</v>
      </c>
      <c r="F25893" s="8">
        <v>516</v>
      </c>
    </row>
    <row r="25894" spans="1:6" ht="12.75">
      <c r="A25894" s="8">
        <v>43892.798055555555</v>
      </c>
      <c r="B25894" s="8" t="str">
        <f>HYPERLINK("https://twitter.com/gadisresidu_b3","@gadisresidu_b3")</f>
        <v>@gadisresidu_b3</v>
      </c>
      <c r="C25894" s="8" t="s">
        <v>10096</v>
      </c>
      <c r="D25894" s="8">
        <v>0</v>
      </c>
      <c r="E25894" s="8">
        <v>0</v>
      </c>
      <c r="F25894" s="8">
        <v>2161</v>
      </c>
    </row>
    <row r="25895" spans="1:6" ht="12.75">
      <c r="A25895" s="8">
        <v>43892.798055555555</v>
      </c>
      <c r="B25895" s="8" t="str">
        <f>HYPERLINK("https://twitter.com/celengz","@celengz")</f>
        <v>@celengz</v>
      </c>
      <c r="C25895" s="8" t="s">
        <v>2962</v>
      </c>
      <c r="D25895" s="8">
        <v>2883</v>
      </c>
      <c r="E25895" s="8">
        <v>0</v>
      </c>
      <c r="F25895" s="8">
        <v>734</v>
      </c>
    </row>
    <row r="25896" spans="1:6" ht="12.75">
      <c r="A25896" s="8">
        <v>43892.798043981486</v>
      </c>
      <c r="B25896" s="8" t="str">
        <f>HYPERLINK("https://twitter.com/BuditTriyono","@BuditTriyono")</f>
        <v>@BuditTriyono</v>
      </c>
      <c r="C25896" s="8" t="s">
        <v>7597</v>
      </c>
      <c r="D25896" s="8">
        <v>245</v>
      </c>
      <c r="E25896" s="8">
        <v>0</v>
      </c>
      <c r="F25896" s="8">
        <v>855</v>
      </c>
    </row>
    <row r="25897" spans="1:6" ht="12.75">
      <c r="A25897" s="8">
        <v>43892.798009259262</v>
      </c>
      <c r="B25897" s="8" t="str">
        <f>HYPERLINK("https://twitter.com/comrade_ol","@comrade_ol")</f>
        <v>@comrade_ol</v>
      </c>
      <c r="C25897" s="8" t="s">
        <v>8322</v>
      </c>
      <c r="D25897" s="8">
        <v>390</v>
      </c>
      <c r="E25897" s="8">
        <v>0</v>
      </c>
      <c r="F25897" s="8">
        <v>485</v>
      </c>
    </row>
    <row r="25898" spans="1:6" ht="12.75">
      <c r="A25898" s="8">
        <v>43892.797986111109</v>
      </c>
      <c r="B25898" s="8" t="str">
        <f>HYPERLINK("https://twitter.com/sukanyarebahaan","@sukanyarebahaan")</f>
        <v>@sukanyarebahaan</v>
      </c>
      <c r="C25898" s="8" t="s">
        <v>10097</v>
      </c>
      <c r="D25898" s="8">
        <v>0</v>
      </c>
      <c r="E25898" s="8">
        <v>0</v>
      </c>
      <c r="F25898" s="8">
        <v>16</v>
      </c>
    </row>
    <row r="25899" spans="1:6" ht="12.75">
      <c r="A25899" s="8">
        <v>43892.797986111109</v>
      </c>
      <c r="B25899" s="8" t="str">
        <f>HYPERLINK("https://twitter.com/aveshania29","@aveshania29")</f>
        <v>@aveshania29</v>
      </c>
      <c r="C25899" s="8" t="s">
        <v>10098</v>
      </c>
      <c r="D25899" s="8">
        <v>0</v>
      </c>
      <c r="E25899" s="8">
        <v>0</v>
      </c>
      <c r="F25899" s="8">
        <v>220</v>
      </c>
    </row>
    <row r="25900" spans="1:6" ht="12.75">
      <c r="A25900" s="8">
        <v>43892.797974537039</v>
      </c>
      <c r="B25900" s="8" t="str">
        <f>HYPERLINK("https://twitter.com/AprilyaWs","@AprilyaWs")</f>
        <v>@AprilyaWs</v>
      </c>
      <c r="C25900" s="8" t="s">
        <v>6864</v>
      </c>
      <c r="D25900" s="8">
        <v>31</v>
      </c>
      <c r="E25900" s="8">
        <v>0</v>
      </c>
      <c r="F25900" s="8">
        <v>172</v>
      </c>
    </row>
    <row r="25901" spans="1:6" ht="12.75">
      <c r="A25901" s="8">
        <v>43892.797962962963</v>
      </c>
      <c r="B25901" s="8" t="str">
        <f>HYPERLINK("https://twitter.com/nyak_ih_meutuah","@nyak_ih_meutuah")</f>
        <v>@nyak_ih_meutuah</v>
      </c>
      <c r="C25901" s="8" t="s">
        <v>8737</v>
      </c>
      <c r="D25901" s="8">
        <v>1173</v>
      </c>
      <c r="E25901" s="8">
        <v>0</v>
      </c>
      <c r="F25901" s="8">
        <v>1841</v>
      </c>
    </row>
    <row r="25902" spans="1:6" ht="12.75">
      <c r="A25902" s="8">
        <v>43892.797951388886</v>
      </c>
      <c r="B25902" s="8" t="str">
        <f>HYPERLINK("https://twitter.com/kmlapuri_","@kmlapuri_")</f>
        <v>@kmlapuri_</v>
      </c>
      <c r="C25902" s="8" t="s">
        <v>2199</v>
      </c>
      <c r="D25902" s="8">
        <v>7043</v>
      </c>
      <c r="E25902" s="8">
        <v>0</v>
      </c>
      <c r="F25902" s="8">
        <v>564</v>
      </c>
    </row>
    <row r="25903" spans="1:6" ht="12.75">
      <c r="A25903" s="8">
        <v>43892.797939814816</v>
      </c>
      <c r="B25903" s="8" t="str">
        <f>HYPERLINK("https://twitter.com/joensmart","@joensmart")</f>
        <v>@joensmart</v>
      </c>
      <c r="C25903" s="8" t="s">
        <v>1986</v>
      </c>
      <c r="D25903" s="8">
        <v>252</v>
      </c>
      <c r="E25903" s="8">
        <v>0</v>
      </c>
      <c r="F25903" s="8">
        <v>139</v>
      </c>
    </row>
    <row r="25904" spans="1:6" ht="12.75">
      <c r="A25904" s="8">
        <v>43892.79792824074</v>
      </c>
      <c r="B25904" s="8" t="str">
        <f>HYPERLINK("https://twitter.com/wisnmr","@wisnmr")</f>
        <v>@wisnmr</v>
      </c>
      <c r="C25904" s="8" t="s">
        <v>2962</v>
      </c>
      <c r="D25904" s="8">
        <v>2883</v>
      </c>
      <c r="E25904" s="8">
        <v>0</v>
      </c>
      <c r="F25904" s="8">
        <v>54</v>
      </c>
    </row>
    <row r="25905" spans="1:6" ht="12.75">
      <c r="A25905" s="8">
        <v>43892.79792824074</v>
      </c>
      <c r="B25905" s="8" t="str">
        <f>HYPERLINK("https://twitter.com/peachflower09","@peachflower09")</f>
        <v>@peachflower09</v>
      </c>
      <c r="C25905" s="8" t="s">
        <v>7149</v>
      </c>
      <c r="D25905" s="8">
        <v>96</v>
      </c>
      <c r="E25905" s="8">
        <v>0</v>
      </c>
      <c r="F25905" s="8">
        <v>127</v>
      </c>
    </row>
    <row r="25906" spans="1:6" ht="12.75">
      <c r="A25906" s="8">
        <v>43892.797916666663</v>
      </c>
      <c r="B25906" s="8" t="str">
        <f>HYPERLINK("https://twitter.com/wytitan","@wytitan")</f>
        <v>@wytitan</v>
      </c>
      <c r="C25906" s="8" t="s">
        <v>1986</v>
      </c>
      <c r="D25906" s="8">
        <v>252</v>
      </c>
      <c r="E25906" s="8">
        <v>0</v>
      </c>
      <c r="F25906" s="8">
        <v>196</v>
      </c>
    </row>
    <row r="25907" spans="1:6" ht="12.75">
      <c r="A25907" s="8">
        <v>43892.797916666663</v>
      </c>
      <c r="B25907" s="8" t="str">
        <f>HYPERLINK("https://twitter.com/hadehblur","@hadehblur")</f>
        <v>@hadehblur</v>
      </c>
      <c r="C25907" s="8" t="s">
        <v>2962</v>
      </c>
      <c r="D25907" s="8">
        <v>2883</v>
      </c>
      <c r="E25907" s="8">
        <v>0</v>
      </c>
      <c r="F25907" s="8">
        <v>408</v>
      </c>
    </row>
    <row r="25908" spans="1:6" ht="12.75">
      <c r="A25908" s="8">
        <v>43892.79787037037</v>
      </c>
      <c r="B25908" s="8" t="str">
        <f>HYPERLINK("https://twitter.com/cahhalu","@cahhalu")</f>
        <v>@cahhalu</v>
      </c>
      <c r="C25908" s="8" t="s">
        <v>2199</v>
      </c>
      <c r="D25908" s="8">
        <v>7043</v>
      </c>
      <c r="E25908" s="8">
        <v>0</v>
      </c>
      <c r="F25908" s="8">
        <v>307</v>
      </c>
    </row>
    <row r="25909" spans="1:6" ht="12.75">
      <c r="A25909" s="8">
        <v>43892.79787037037</v>
      </c>
      <c r="B25909" s="8" t="str">
        <f>HYPERLINK("https://twitter.com/33_gaganalgarni","@33_gaganalgarni")</f>
        <v>@33_gaganalgarni</v>
      </c>
      <c r="C25909" s="8" t="s">
        <v>10099</v>
      </c>
      <c r="D25909" s="8">
        <v>5</v>
      </c>
      <c r="E25909" s="8">
        <v>0</v>
      </c>
      <c r="F25909" s="8">
        <v>540</v>
      </c>
    </row>
    <row r="25910" spans="1:6" ht="12.75">
      <c r="A25910" s="8">
        <v>43892.797847222224</v>
      </c>
      <c r="B25910" s="8" t="str">
        <f>HYPERLINK("https://twitter.com/oreocheseee","@oreocheseee")</f>
        <v>@oreocheseee</v>
      </c>
      <c r="C25910" s="8" t="s">
        <v>2199</v>
      </c>
      <c r="D25910" s="8">
        <v>7043</v>
      </c>
      <c r="E25910" s="8">
        <v>0</v>
      </c>
      <c r="F25910" s="8">
        <v>286</v>
      </c>
    </row>
    <row r="25911" spans="1:6" ht="12.75">
      <c r="A25911" s="8">
        <v>43892.797824074078</v>
      </c>
      <c r="B25911" s="8" t="str">
        <f>HYPERLINK("https://twitter.com/nmahasti","@nmahasti")</f>
        <v>@nmahasti</v>
      </c>
      <c r="C25911" s="8" t="s">
        <v>2199</v>
      </c>
      <c r="D25911" s="8">
        <v>7043</v>
      </c>
      <c r="E25911" s="8">
        <v>0</v>
      </c>
      <c r="F25911" s="8">
        <v>4</v>
      </c>
    </row>
    <row r="25912" spans="1:6" ht="12.75">
      <c r="A25912" s="8">
        <v>43892.797812500001</v>
      </c>
      <c r="B25912" s="8" t="str">
        <f>HYPERLINK("https://twitter.com/JihanRofi","@JihanRofi")</f>
        <v>@JihanRofi</v>
      </c>
      <c r="C25912" s="8" t="s">
        <v>7597</v>
      </c>
      <c r="D25912" s="8">
        <v>245</v>
      </c>
      <c r="E25912" s="8">
        <v>0</v>
      </c>
      <c r="F25912" s="8">
        <v>140</v>
      </c>
    </row>
    <row r="25913" spans="1:6" ht="12.75">
      <c r="A25913" s="8">
        <v>43892.797800925924</v>
      </c>
      <c r="B25913" s="8" t="str">
        <f>HYPERLINK("https://twitter.com/bpriady","@bpriady")</f>
        <v>@bpriady</v>
      </c>
      <c r="C25913" s="8" t="s">
        <v>10068</v>
      </c>
      <c r="D25913" s="8">
        <v>25</v>
      </c>
      <c r="E25913" s="8">
        <v>0</v>
      </c>
      <c r="F25913" s="8">
        <v>607</v>
      </c>
    </row>
    <row r="25914" spans="1:6" ht="12.75">
      <c r="A25914" s="8">
        <v>43892.797789351855</v>
      </c>
      <c r="B25914" s="8" t="str">
        <f>HYPERLINK("https://twitter.com/fitta06","@fitta06")</f>
        <v>@fitta06</v>
      </c>
      <c r="C25914" s="8" t="s">
        <v>7149</v>
      </c>
      <c r="D25914" s="8">
        <v>96</v>
      </c>
      <c r="E25914" s="8">
        <v>0</v>
      </c>
      <c r="F25914" s="8">
        <v>282</v>
      </c>
    </row>
    <row r="25915" spans="1:6" ht="12.75">
      <c r="A25915" s="8">
        <v>43892.797789351855</v>
      </c>
      <c r="B25915" s="8" t="str">
        <f>HYPERLINK("https://twitter.com/jhon_deemaz","@jhon_deemaz")</f>
        <v>@jhon_deemaz</v>
      </c>
      <c r="C25915" s="8" t="s">
        <v>9176</v>
      </c>
      <c r="D25915" s="8">
        <v>1140</v>
      </c>
      <c r="E25915" s="8">
        <v>0</v>
      </c>
      <c r="F25915" s="8">
        <v>424</v>
      </c>
    </row>
    <row r="25916" spans="1:6" ht="12.75">
      <c r="A25916" s="8">
        <v>43892.797708333332</v>
      </c>
      <c r="B25916" s="8" t="str">
        <f>HYPERLINK("https://twitter.com/dyloulf","@dyloulf")</f>
        <v>@dyloulf</v>
      </c>
      <c r="C25916" s="8" t="s">
        <v>2199</v>
      </c>
      <c r="D25916" s="8">
        <v>7043</v>
      </c>
      <c r="E25916" s="8">
        <v>0</v>
      </c>
      <c r="F25916" s="8">
        <v>256</v>
      </c>
    </row>
    <row r="25917" spans="1:6" ht="12.75">
      <c r="A25917" s="8">
        <v>43892.797696759255</v>
      </c>
      <c r="B25917" s="8" t="str">
        <f>HYPERLINK("https://twitter.com/wahyuut64969196","@wahyuut64969196")</f>
        <v>@wahyuut64969196</v>
      </c>
      <c r="C25917" s="8" t="s">
        <v>10100</v>
      </c>
      <c r="D25917" s="8">
        <v>0</v>
      </c>
      <c r="E25917" s="8">
        <v>0</v>
      </c>
      <c r="F25917" s="8">
        <v>773</v>
      </c>
    </row>
    <row r="25918" spans="1:6" ht="12.75">
      <c r="A25918" s="8">
        <v>43892.797696759255</v>
      </c>
      <c r="B25918" s="8" t="str">
        <f>HYPERLINK("https://twitter.com/kiera_jahari","@kiera_jahari")</f>
        <v>@kiera_jahari</v>
      </c>
      <c r="C25918" s="8" t="s">
        <v>9701</v>
      </c>
      <c r="D25918" s="8">
        <v>1427</v>
      </c>
      <c r="E25918" s="8">
        <v>0</v>
      </c>
      <c r="F25918" s="8">
        <v>140</v>
      </c>
    </row>
    <row r="25919" spans="1:6" ht="12.75">
      <c r="A25919" s="8">
        <v>43892.797696759255</v>
      </c>
      <c r="B25919" s="8" t="str">
        <f>HYPERLINK("https://twitter.com/j_mj75","@j_mj75")</f>
        <v>@j_mj75</v>
      </c>
      <c r="C25919" s="8" t="s">
        <v>2962</v>
      </c>
      <c r="D25919" s="8">
        <v>2883</v>
      </c>
      <c r="E25919" s="8">
        <v>0</v>
      </c>
      <c r="F25919" s="8">
        <v>2304</v>
      </c>
    </row>
    <row r="25920" spans="1:6" ht="12.75">
      <c r="A25920" s="8">
        <v>43892.797696759255</v>
      </c>
      <c r="B25920" s="8" t="str">
        <f>HYPERLINK("https://twitter.com/nanda_adityaprt","@nanda_adityaprt")</f>
        <v>@nanda_adityaprt</v>
      </c>
      <c r="C25920" s="8" t="s">
        <v>7597</v>
      </c>
      <c r="D25920" s="8">
        <v>245</v>
      </c>
      <c r="E25920" s="8">
        <v>0</v>
      </c>
      <c r="F25920" s="8">
        <v>222</v>
      </c>
    </row>
    <row r="25921" spans="1:6" ht="12.75">
      <c r="A25921" s="8">
        <v>43892.797650462962</v>
      </c>
      <c r="B25921" s="8" t="str">
        <f>HYPERLINK("https://twitter.com/Ijoule21","@Ijoule21")</f>
        <v>@Ijoule21</v>
      </c>
      <c r="C25921" s="8" t="s">
        <v>2962</v>
      </c>
      <c r="D25921" s="8">
        <v>2883</v>
      </c>
      <c r="E25921" s="8">
        <v>0</v>
      </c>
      <c r="F25921" s="8">
        <v>323</v>
      </c>
    </row>
    <row r="25922" spans="1:6" ht="12.75">
      <c r="A25922" s="8">
        <v>43892.797627314816</v>
      </c>
      <c r="B25922" s="8" t="str">
        <f>HYPERLINK("https://twitter.com/chochoilee10","@chochoilee10")</f>
        <v>@chochoilee10</v>
      </c>
      <c r="C25922" s="8" t="s">
        <v>6864</v>
      </c>
      <c r="D25922" s="8">
        <v>31</v>
      </c>
      <c r="E25922" s="8">
        <v>0</v>
      </c>
      <c r="F25922" s="8">
        <v>283</v>
      </c>
    </row>
    <row r="25923" spans="1:6" ht="12.75">
      <c r="A25923" s="8">
        <v>43892.797615740739</v>
      </c>
      <c r="B25923" s="8" t="str">
        <f>HYPERLINK("https://twitter.com/lidcherr","@lidcherr")</f>
        <v>@lidcherr</v>
      </c>
      <c r="C25923" s="8" t="s">
        <v>2199</v>
      </c>
      <c r="D25923" s="8">
        <v>7043</v>
      </c>
      <c r="E25923" s="8">
        <v>0</v>
      </c>
      <c r="F25923" s="8">
        <v>430</v>
      </c>
    </row>
    <row r="25924" spans="1:6" ht="12.75">
      <c r="A25924" s="8">
        <v>43892.797592592593</v>
      </c>
      <c r="B25924" s="8" t="str">
        <f>HYPERLINK("https://twitter.com/dendiPS","@dendiPS")</f>
        <v>@dendiPS</v>
      </c>
      <c r="C25924" s="8" t="s">
        <v>9274</v>
      </c>
      <c r="D25924" s="8">
        <v>580</v>
      </c>
      <c r="E25924" s="8">
        <v>0</v>
      </c>
      <c r="F25924" s="8">
        <v>515</v>
      </c>
    </row>
    <row r="25925" spans="1:6" ht="12.75">
      <c r="A25925" s="8">
        <v>43892.797581018516</v>
      </c>
      <c r="B25925" s="8" t="str">
        <f>HYPERLINK("https://twitter.com/Arkaana03","@Arkaana03")</f>
        <v>@Arkaana03</v>
      </c>
      <c r="C25925" s="8" t="s">
        <v>5732</v>
      </c>
      <c r="D25925" s="8">
        <v>1870</v>
      </c>
      <c r="E25925" s="8">
        <v>0</v>
      </c>
      <c r="F25925" s="8">
        <v>711</v>
      </c>
    </row>
    <row r="25926" spans="1:6" ht="12.75">
      <c r="A25926" s="8">
        <v>43892.797569444447</v>
      </c>
      <c r="B25926" s="8" t="str">
        <f>HYPERLINK("https://twitter.com/Goong_Squad33","@Goong_Squad33")</f>
        <v>@Goong_Squad33</v>
      </c>
      <c r="C25926" s="8" t="s">
        <v>6864</v>
      </c>
      <c r="D25926" s="8">
        <v>31</v>
      </c>
      <c r="E25926" s="8">
        <v>0</v>
      </c>
      <c r="F25926" s="8">
        <v>76</v>
      </c>
    </row>
    <row r="25927" spans="1:6" ht="12.75">
      <c r="A25927" s="8">
        <v>43892.79755787037</v>
      </c>
      <c r="B25927" s="8" t="str">
        <f>HYPERLINK("https://twitter.com/imashffh","@imashffh")</f>
        <v>@imashffh</v>
      </c>
      <c r="C25927" s="8" t="s">
        <v>10101</v>
      </c>
      <c r="D25927" s="8">
        <v>0</v>
      </c>
      <c r="E25927" s="8">
        <v>0</v>
      </c>
      <c r="F25927" s="8">
        <v>16</v>
      </c>
    </row>
    <row r="25928" spans="1:6" ht="12.75">
      <c r="A25928" s="8">
        <v>43892.79755787037</v>
      </c>
      <c r="B25928" s="8" t="str">
        <f>HYPERLINK("https://twitter.com/nangherdyawan","@nangherdyawan")</f>
        <v>@nangherdyawan</v>
      </c>
      <c r="C25928" s="8" t="s">
        <v>9908</v>
      </c>
      <c r="D25928" s="8">
        <v>565</v>
      </c>
      <c r="E25928" s="8">
        <v>0</v>
      </c>
      <c r="F25928" s="8">
        <v>22</v>
      </c>
    </row>
    <row r="25929" spans="1:6" ht="12.75">
      <c r="A25929" s="8">
        <v>43892.797523148147</v>
      </c>
      <c r="B25929" s="8" t="str">
        <f>HYPERLINK("https://twitter.com/booyahae","@booyahae")</f>
        <v>@booyahae</v>
      </c>
      <c r="C25929" s="8" t="s">
        <v>2199</v>
      </c>
      <c r="D25929" s="8">
        <v>7043</v>
      </c>
      <c r="E25929" s="8">
        <v>0</v>
      </c>
      <c r="F25929" s="8">
        <v>774</v>
      </c>
    </row>
    <row r="25930" spans="1:6" ht="12.75">
      <c r="A25930" s="8">
        <v>43892.79751157407</v>
      </c>
      <c r="B25930" s="8" t="str">
        <f>HYPERLINK("https://twitter.com/awpiakkk","@awpiakkk")</f>
        <v>@awpiakkk</v>
      </c>
      <c r="C25930" s="8" t="s">
        <v>10102</v>
      </c>
      <c r="D25930" s="8">
        <v>0</v>
      </c>
      <c r="E25930" s="8">
        <v>0</v>
      </c>
      <c r="F25930" s="8">
        <v>132</v>
      </c>
    </row>
    <row r="25931" spans="1:6" ht="12.75">
      <c r="A25931" s="8">
        <v>43892.797500000001</v>
      </c>
      <c r="B25931" s="8" t="str">
        <f>HYPERLINK("https://twitter.com/amalindah_","@amalindah_")</f>
        <v>@amalindah_</v>
      </c>
      <c r="C25931" s="8" t="s">
        <v>9892</v>
      </c>
      <c r="D25931" s="8">
        <v>462</v>
      </c>
      <c r="E25931" s="8">
        <v>0</v>
      </c>
      <c r="F25931" s="8">
        <v>399</v>
      </c>
    </row>
    <row r="25932" spans="1:6" ht="12.75">
      <c r="A25932" s="8">
        <v>43892.797476851847</v>
      </c>
      <c r="B25932" s="8" t="str">
        <f>HYPERLINK("https://twitter.com/knmjooning","@knmjooning")</f>
        <v>@knmjooning</v>
      </c>
      <c r="C25932" s="8" t="s">
        <v>2199</v>
      </c>
      <c r="D25932" s="8">
        <v>7043</v>
      </c>
      <c r="E25932" s="8">
        <v>0</v>
      </c>
      <c r="F25932" s="8">
        <v>939</v>
      </c>
    </row>
    <row r="25933" spans="1:6" ht="12.75">
      <c r="A25933" s="8">
        <v>43892.797476851847</v>
      </c>
      <c r="B25933" s="8" t="str">
        <f>HYPERLINK("https://twitter.com/putragaruda27","@putragaruda27")</f>
        <v>@putragaruda27</v>
      </c>
      <c r="C25933" s="8" t="s">
        <v>10103</v>
      </c>
      <c r="D25933" s="8">
        <v>166</v>
      </c>
      <c r="E25933" s="8">
        <v>0</v>
      </c>
      <c r="F25933" s="8">
        <v>5743</v>
      </c>
    </row>
    <row r="25934" spans="1:6" ht="12.75">
      <c r="A25934" s="8">
        <v>43892.797465277778</v>
      </c>
      <c r="B25934" s="8" t="str">
        <f>HYPERLINK("https://twitter.com/Wayang67913537","@Wayang67913537")</f>
        <v>@Wayang67913537</v>
      </c>
      <c r="C25934" s="8" t="s">
        <v>10038</v>
      </c>
      <c r="D25934" s="8">
        <v>30</v>
      </c>
      <c r="E25934" s="8">
        <v>0</v>
      </c>
      <c r="F25934" s="8">
        <v>80</v>
      </c>
    </row>
    <row r="25935" spans="1:6" ht="12.75">
      <c r="A25935" s="8">
        <v>43892.797453703708</v>
      </c>
      <c r="B25935" s="8" t="str">
        <f>HYPERLINK("https://twitter.com/widjajana","@widjajana")</f>
        <v>@widjajana</v>
      </c>
      <c r="C25935" s="8" t="s">
        <v>10104</v>
      </c>
      <c r="D25935" s="8">
        <v>0</v>
      </c>
      <c r="E25935" s="8">
        <v>0</v>
      </c>
      <c r="F25935" s="8">
        <v>68</v>
      </c>
    </row>
    <row r="25936" spans="1:6" ht="12.75">
      <c r="A25936" s="8">
        <v>43892.797442129631</v>
      </c>
      <c r="B25936" s="8" t="str">
        <f>HYPERLINK("https://twitter.com/sisuha","@sisuha")</f>
        <v>@sisuha</v>
      </c>
      <c r="C25936" s="8" t="s">
        <v>7461</v>
      </c>
      <c r="D25936" s="8">
        <v>43</v>
      </c>
      <c r="E25936" s="8">
        <v>0</v>
      </c>
      <c r="F25936" s="8">
        <v>792</v>
      </c>
    </row>
    <row r="25937" spans="1:6" ht="12.75">
      <c r="A25937" s="8">
        <v>43892.797442129631</v>
      </c>
      <c r="B25937" s="8" t="str">
        <f>HYPERLINK("https://twitter.com/Inugraeni","@Inugraeni")</f>
        <v>@Inugraeni</v>
      </c>
      <c r="C25937" s="8" t="s">
        <v>10068</v>
      </c>
      <c r="D25937" s="8">
        <v>25</v>
      </c>
      <c r="E25937" s="8">
        <v>0</v>
      </c>
      <c r="F25937" s="8">
        <v>131</v>
      </c>
    </row>
    <row r="25938" spans="1:6" ht="12.75">
      <c r="A25938" s="8">
        <v>43892.797442129631</v>
      </c>
      <c r="B25938" s="8" t="str">
        <f>HYPERLINK("https://twitter.com/MCteuk","@MCteuk")</f>
        <v>@MCteuk</v>
      </c>
      <c r="C25938" s="8" t="s">
        <v>2962</v>
      </c>
      <c r="D25938" s="8">
        <v>2883</v>
      </c>
      <c r="E25938" s="8">
        <v>0</v>
      </c>
      <c r="F25938" s="8">
        <v>728</v>
      </c>
    </row>
    <row r="25939" spans="1:6" ht="12.75">
      <c r="A25939" s="8">
        <v>43892.797442129631</v>
      </c>
      <c r="B25939" s="8" t="str">
        <f>HYPERLINK("https://twitter.com/maria_ikha","@maria_ikha")</f>
        <v>@maria_ikha</v>
      </c>
      <c r="C25939" s="8" t="s">
        <v>10105</v>
      </c>
      <c r="D25939" s="8">
        <v>0</v>
      </c>
      <c r="E25939" s="8">
        <v>0</v>
      </c>
      <c r="F25939" s="8">
        <v>390</v>
      </c>
    </row>
    <row r="25940" spans="1:6" ht="12.75">
      <c r="A25940" s="8">
        <v>43892.797442129631</v>
      </c>
      <c r="B25940" s="8" t="str">
        <f>HYPERLINK("https://twitter.com/HasanZezen","@HasanZezen")</f>
        <v>@HasanZezen</v>
      </c>
      <c r="C25940" s="8" t="s">
        <v>6832</v>
      </c>
      <c r="D25940" s="8">
        <v>502</v>
      </c>
      <c r="E25940" s="8">
        <v>0</v>
      </c>
      <c r="F25940" s="8">
        <v>22</v>
      </c>
    </row>
    <row r="25941" spans="1:6" ht="12.75">
      <c r="A25941" s="8">
        <v>43892.797407407408</v>
      </c>
      <c r="B25941" s="8" t="str">
        <f>HYPERLINK("https://twitter.com/titiwskii","@titiwskii")</f>
        <v>@titiwskii</v>
      </c>
      <c r="C25941" s="8" t="s">
        <v>6864</v>
      </c>
      <c r="D25941" s="8">
        <v>31</v>
      </c>
      <c r="E25941" s="8">
        <v>0</v>
      </c>
      <c r="F25941" s="8">
        <v>665</v>
      </c>
    </row>
    <row r="25942" spans="1:6" ht="12.75">
      <c r="A25942" s="8">
        <v>43892.797372685185</v>
      </c>
      <c r="B25942" s="8" t="str">
        <f>HYPERLINK("https://twitter.com/kiswanto_sp","@kiswanto_sp")</f>
        <v>@kiswanto_sp</v>
      </c>
      <c r="C25942" s="8" t="s">
        <v>6832</v>
      </c>
      <c r="D25942" s="8">
        <v>502</v>
      </c>
      <c r="E25942" s="8">
        <v>0</v>
      </c>
      <c r="F25942" s="8">
        <v>1961</v>
      </c>
    </row>
    <row r="25943" spans="1:6" ht="12.75">
      <c r="A25943" s="8">
        <v>43892.797361111108</v>
      </c>
      <c r="B25943" s="8" t="str">
        <f>HYPERLINK("https://twitter.com/ade_azwir","@ade_azwir")</f>
        <v>@ade_azwir</v>
      </c>
      <c r="C25943" s="8" t="s">
        <v>6832</v>
      </c>
      <c r="D25943" s="8">
        <v>502</v>
      </c>
      <c r="E25943" s="8">
        <v>0</v>
      </c>
      <c r="F25943" s="8">
        <v>59</v>
      </c>
    </row>
    <row r="25944" spans="1:6" ht="12.75">
      <c r="A25944" s="8">
        <v>43892.797349537039</v>
      </c>
      <c r="B25944" s="8" t="str">
        <f>HYPERLINK("https://twitter.com/Mukaertopo","@Mukaertopo")</f>
        <v>@Mukaertopo</v>
      </c>
      <c r="C25944" s="8" t="s">
        <v>5732</v>
      </c>
      <c r="D25944" s="8">
        <v>1870</v>
      </c>
      <c r="E25944" s="8">
        <v>0</v>
      </c>
      <c r="F25944" s="8">
        <v>589</v>
      </c>
    </row>
    <row r="25945" spans="1:6" ht="12.75">
      <c r="A25945" s="8">
        <v>43892.797337962962</v>
      </c>
      <c r="B25945" s="8" t="str">
        <f>HYPERLINK("https://twitter.com/dedisetiawan30","@dedisetiawan30")</f>
        <v>@dedisetiawan30</v>
      </c>
      <c r="C25945" s="8" t="s">
        <v>10106</v>
      </c>
      <c r="D25945" s="8">
        <v>1</v>
      </c>
      <c r="E25945" s="8">
        <v>0</v>
      </c>
      <c r="F25945" s="8">
        <v>342</v>
      </c>
    </row>
    <row r="25946" spans="1:6" ht="12.75">
      <c r="A25946" s="8">
        <v>43892.797326388885</v>
      </c>
      <c r="B25946" s="8" t="str">
        <f>HYPERLINK("https://twitter.com/ywcpltrh","@ywcpltrh")</f>
        <v>@ywcpltrh</v>
      </c>
      <c r="C25946" s="8" t="s">
        <v>10069</v>
      </c>
      <c r="D25946" s="8">
        <v>13</v>
      </c>
      <c r="E25946" s="8">
        <v>0</v>
      </c>
      <c r="F25946" s="8">
        <v>88</v>
      </c>
    </row>
    <row r="25947" spans="1:6" ht="12.75">
      <c r="A25947" s="8">
        <v>43892.797314814816</v>
      </c>
      <c r="B25947" s="8" t="str">
        <f>HYPERLINK("https://twitter.com/tiraicemissu","@tiraicemissu")</f>
        <v>@tiraicemissu</v>
      </c>
      <c r="C25947" s="8" t="s">
        <v>2962</v>
      </c>
      <c r="D25947" s="8">
        <v>2883</v>
      </c>
      <c r="E25947" s="8">
        <v>0</v>
      </c>
      <c r="F25947" s="8">
        <v>512</v>
      </c>
    </row>
    <row r="25948" spans="1:6" ht="12.75">
      <c r="A25948" s="8">
        <v>43892.797314814816</v>
      </c>
      <c r="B25948" s="8" t="str">
        <f>HYPERLINK("https://twitter.com/BekGTA","@BekGTA")</f>
        <v>@BekGTA</v>
      </c>
      <c r="C25948" s="8" t="s">
        <v>9772</v>
      </c>
      <c r="D25948" s="8">
        <v>49</v>
      </c>
      <c r="E25948" s="8">
        <v>0</v>
      </c>
      <c r="F25948" s="8">
        <v>444</v>
      </c>
    </row>
    <row r="25949" spans="1:6" ht="12.75">
      <c r="A25949" s="8">
        <v>43892.797303240739</v>
      </c>
      <c r="B25949" s="8" t="str">
        <f>HYPERLINK("https://twitter.com/hijratulhaq52","@hijratulhaq52")</f>
        <v>@hijratulhaq52</v>
      </c>
      <c r="C25949" s="8" t="s">
        <v>10107</v>
      </c>
      <c r="D25949" s="8">
        <v>27</v>
      </c>
      <c r="E25949" s="8">
        <v>0</v>
      </c>
      <c r="F25949" s="8">
        <v>539</v>
      </c>
    </row>
    <row r="25950" spans="1:6" ht="12.75">
      <c r="A25950" s="8">
        <v>43892.797291666662</v>
      </c>
      <c r="B25950" s="8" t="str">
        <f>HYPERLINK("https://twitter.com/nananmd_","@nananmd_")</f>
        <v>@nananmd_</v>
      </c>
      <c r="C25950" s="8" t="s">
        <v>2199</v>
      </c>
      <c r="D25950" s="8">
        <v>7043</v>
      </c>
      <c r="E25950" s="8">
        <v>0</v>
      </c>
      <c r="F25950" s="8">
        <v>433</v>
      </c>
    </row>
    <row r="25951" spans="1:6" ht="12.75">
      <c r="A25951" s="8">
        <v>43892.797268518523</v>
      </c>
      <c r="B25951" s="8" t="str">
        <f>HYPERLINK("https://twitter.com/dinodachi03","@dinodachi03")</f>
        <v>@dinodachi03</v>
      </c>
      <c r="C25951" s="8" t="s">
        <v>9560</v>
      </c>
      <c r="D25951" s="8">
        <v>18</v>
      </c>
      <c r="E25951" s="8">
        <v>0</v>
      </c>
      <c r="F25951" s="8">
        <v>1001</v>
      </c>
    </row>
    <row r="25952" spans="1:6" ht="12.75">
      <c r="A25952" s="8">
        <v>43892.797256944439</v>
      </c>
      <c r="B25952" s="8" t="str">
        <f>HYPERLINK("https://twitter.com/moniicamiirand","@moniicamiirand")</f>
        <v>@moniicamiirand</v>
      </c>
      <c r="C25952" s="8" t="s">
        <v>10108</v>
      </c>
      <c r="D25952" s="8">
        <v>10</v>
      </c>
      <c r="E25952" s="8">
        <v>0</v>
      </c>
      <c r="F25952" s="8">
        <v>386</v>
      </c>
    </row>
    <row r="25953" spans="1:6" ht="12.75">
      <c r="A25953" s="8">
        <v>43892.797256944439</v>
      </c>
      <c r="B25953" s="8" t="str">
        <f>HYPERLINK("https://twitter.com/inozca","@inozca")</f>
        <v>@inozca</v>
      </c>
      <c r="C25953" s="8" t="s">
        <v>8962</v>
      </c>
      <c r="D25953" s="8">
        <v>295</v>
      </c>
      <c r="E25953" s="8">
        <v>0</v>
      </c>
      <c r="F25953" s="8">
        <v>129</v>
      </c>
    </row>
    <row r="25954" spans="1:6" ht="12.75">
      <c r="A25954" s="8">
        <v>43892.79724537037</v>
      </c>
      <c r="B25954" s="8" t="str">
        <f>HYPERLINK("https://twitter.com/Cute_bon2","@Cute_bon2")</f>
        <v>@Cute_bon2</v>
      </c>
      <c r="C25954" s="8" t="s">
        <v>2199</v>
      </c>
      <c r="D25954" s="8">
        <v>7043</v>
      </c>
      <c r="E25954" s="8">
        <v>0</v>
      </c>
      <c r="F25954" s="8">
        <v>49</v>
      </c>
    </row>
    <row r="25955" spans="1:6" ht="12.75">
      <c r="A25955" s="8">
        <v>43892.7972337963</v>
      </c>
      <c r="B25955" s="8" t="str">
        <f>HYPERLINK("https://twitter.com/diandaaa","@diandaaa")</f>
        <v>@diandaaa</v>
      </c>
      <c r="C25955" s="8" t="s">
        <v>2199</v>
      </c>
      <c r="D25955" s="8">
        <v>7043</v>
      </c>
      <c r="E25955" s="8">
        <v>0</v>
      </c>
      <c r="F25955" s="8">
        <v>1005</v>
      </c>
    </row>
    <row r="25956" spans="1:6" ht="12.75">
      <c r="A25956" s="8">
        <v>43892.797210648147</v>
      </c>
      <c r="B25956" s="8" t="str">
        <f>HYPERLINK("https://twitter.com/silvi_iren","@silvi_iren")</f>
        <v>@silvi_iren</v>
      </c>
      <c r="C25956" s="8" t="s">
        <v>10109</v>
      </c>
      <c r="D25956" s="8">
        <v>78</v>
      </c>
      <c r="E25956" s="8">
        <v>0</v>
      </c>
      <c r="F25956" s="8">
        <v>305</v>
      </c>
    </row>
    <row r="25957" spans="1:6" ht="12.75">
      <c r="A25957" s="8">
        <v>43892.797210648147</v>
      </c>
      <c r="B25957" s="8" t="str">
        <f>HYPERLINK("https://twitter.com/afnannaim","@afnannaim")</f>
        <v>@afnannaim</v>
      </c>
      <c r="C25957" s="8" t="s">
        <v>9701</v>
      </c>
      <c r="D25957" s="8">
        <v>1427</v>
      </c>
      <c r="E25957" s="8">
        <v>0</v>
      </c>
      <c r="F25957" s="8">
        <v>611</v>
      </c>
    </row>
    <row r="25958" spans="1:6" ht="12.75">
      <c r="A25958" s="8">
        <v>43892.7971875</v>
      </c>
      <c r="B25958" s="8" t="str">
        <f>HYPERLINK("https://twitter.com/Nurhadi9913","@Nurhadi9913")</f>
        <v>@Nurhadi9913</v>
      </c>
      <c r="C25958" s="8" t="s">
        <v>10080</v>
      </c>
      <c r="D25958" s="8">
        <v>7</v>
      </c>
      <c r="E25958" s="8">
        <v>0</v>
      </c>
      <c r="F25958" s="8">
        <v>157</v>
      </c>
    </row>
    <row r="25959" spans="1:6" ht="12.75">
      <c r="A25959" s="8">
        <v>43892.797094907408</v>
      </c>
      <c r="B25959" s="8" t="str">
        <f>HYPERLINK("https://twitter.com/ardicandaa","@ardicandaa")</f>
        <v>@ardicandaa</v>
      </c>
      <c r="C25959" s="8" t="s">
        <v>10068</v>
      </c>
      <c r="D25959" s="8">
        <v>25</v>
      </c>
      <c r="E25959" s="8">
        <v>0</v>
      </c>
      <c r="F25959" s="8">
        <v>496</v>
      </c>
    </row>
    <row r="25960" spans="1:6" ht="12.75">
      <c r="A25960" s="8">
        <v>43892.797083333338</v>
      </c>
      <c r="B25960" s="8" t="str">
        <f>HYPERLINK("https://twitter.com/airinp_","@airinp_")</f>
        <v>@airinp_</v>
      </c>
      <c r="C25960" s="8" t="s">
        <v>2199</v>
      </c>
      <c r="D25960" s="8">
        <v>7043</v>
      </c>
      <c r="E25960" s="8">
        <v>0</v>
      </c>
      <c r="F25960" s="8">
        <v>558</v>
      </c>
    </row>
    <row r="25961" spans="1:6" ht="12.75">
      <c r="A25961" s="8">
        <v>43892.797071759254</v>
      </c>
      <c r="B25961" s="8" t="str">
        <f>HYPERLINK("https://twitter.com/LGSuryani","@LGSuryani")</f>
        <v>@LGSuryani</v>
      </c>
      <c r="C25961" s="8" t="s">
        <v>10068</v>
      </c>
      <c r="D25961" s="8">
        <v>25</v>
      </c>
      <c r="E25961" s="8">
        <v>0</v>
      </c>
      <c r="F25961" s="8">
        <v>1036</v>
      </c>
    </row>
    <row r="25962" spans="1:6" ht="12.75">
      <c r="A25962" s="8">
        <v>43892.797071759254</v>
      </c>
      <c r="B25962" s="8" t="str">
        <f>HYPERLINK("https://twitter.com/anggegono","@anggegono")</f>
        <v>@anggegono</v>
      </c>
      <c r="C25962" s="8" t="s">
        <v>2199</v>
      </c>
      <c r="D25962" s="8">
        <v>7043</v>
      </c>
      <c r="E25962" s="8">
        <v>0</v>
      </c>
      <c r="F25962" s="8">
        <v>238</v>
      </c>
    </row>
    <row r="25963" spans="1:6" ht="12.75">
      <c r="A25963" s="8">
        <v>43892.797037037039</v>
      </c>
      <c r="B25963" s="8" t="str">
        <f>HYPERLINK("https://twitter.com/Niamalkhoir3","@Niamalkhoir3")</f>
        <v>@Niamalkhoir3</v>
      </c>
      <c r="C25963" s="8" t="s">
        <v>6832</v>
      </c>
      <c r="D25963" s="8">
        <v>502</v>
      </c>
      <c r="E25963" s="8">
        <v>0</v>
      </c>
      <c r="F25963" s="8">
        <v>2</v>
      </c>
    </row>
    <row r="25964" spans="1:6" ht="12.75">
      <c r="A25964" s="8">
        <v>43892.797037037039</v>
      </c>
      <c r="B25964" s="8" t="str">
        <f>HYPERLINK("https://twitter.com/sumardimarjono","@sumardimarjono")</f>
        <v>@sumardimarjono</v>
      </c>
      <c r="C25964" s="8" t="s">
        <v>10110</v>
      </c>
      <c r="D25964" s="8">
        <v>0</v>
      </c>
      <c r="E25964" s="8">
        <v>0</v>
      </c>
      <c r="F25964" s="8">
        <v>3</v>
      </c>
    </row>
    <row r="25965" spans="1:6" ht="12.75">
      <c r="A25965" s="8">
        <v>43892.797037037039</v>
      </c>
      <c r="B25965" s="8" t="str">
        <f>HYPERLINK("https://twitter.com/enesletmai","@enesletmai")</f>
        <v>@enesletmai</v>
      </c>
      <c r="C25965" s="8" t="s">
        <v>10111</v>
      </c>
      <c r="D25965" s="8">
        <v>141</v>
      </c>
      <c r="E25965" s="8">
        <v>0</v>
      </c>
      <c r="F25965" s="8">
        <v>68</v>
      </c>
    </row>
    <row r="25966" spans="1:6" ht="12.75">
      <c r="A25966" s="8">
        <v>43892.797025462962</v>
      </c>
      <c r="B25966" s="8" t="str">
        <f>HYPERLINK("https://twitter.com/Orereoreo","@Orereoreo")</f>
        <v>@Orereoreo</v>
      </c>
      <c r="C25966" s="8" t="s">
        <v>2199</v>
      </c>
      <c r="D25966" s="8">
        <v>7043</v>
      </c>
      <c r="E25966" s="8">
        <v>0</v>
      </c>
      <c r="F25966" s="8">
        <v>718</v>
      </c>
    </row>
    <row r="25967" spans="1:6" ht="12.75">
      <c r="A25967" s="8">
        <v>43892.797013888892</v>
      </c>
      <c r="B25967" s="8" t="str">
        <f>HYPERLINK("https://twitter.com/rvlvct","@rvlvct")</f>
        <v>@rvlvct</v>
      </c>
      <c r="C25967" s="8" t="s">
        <v>7149</v>
      </c>
      <c r="D25967" s="8">
        <v>96</v>
      </c>
      <c r="E25967" s="8">
        <v>0</v>
      </c>
      <c r="F25967" s="8">
        <v>184</v>
      </c>
    </row>
    <row r="25968" spans="1:6" ht="12.75">
      <c r="A25968" s="8">
        <v>43892.796979166669</v>
      </c>
      <c r="B25968" s="8" t="str">
        <f>HYPERLINK("https://twitter.com/_talithasabitha","@_talithasabitha")</f>
        <v>@_talithasabitha</v>
      </c>
      <c r="C25968" s="8" t="s">
        <v>6864</v>
      </c>
      <c r="D25968" s="8">
        <v>31</v>
      </c>
      <c r="E25968" s="8">
        <v>0</v>
      </c>
      <c r="F25968" s="8">
        <v>16</v>
      </c>
    </row>
    <row r="25969" spans="1:6" ht="12.75">
      <c r="A25969" s="8">
        <v>43892.796944444446</v>
      </c>
      <c r="B25969" s="8" t="str">
        <f>HYPERLINK("https://twitter.com/hermionegrangss","@hermionegrangss")</f>
        <v>@hermionegrangss</v>
      </c>
      <c r="C25969" s="8" t="s">
        <v>9176</v>
      </c>
      <c r="D25969" s="8">
        <v>1140</v>
      </c>
      <c r="E25969" s="8">
        <v>0</v>
      </c>
      <c r="F25969" s="8">
        <v>199</v>
      </c>
    </row>
    <row r="25970" spans="1:6" ht="12.75">
      <c r="A25970" s="8">
        <v>43892.796944444446</v>
      </c>
      <c r="B25970" s="8" t="str">
        <f>HYPERLINK("https://twitter.com/ummiwlndrii","@ummiwlndrii")</f>
        <v>@ummiwlndrii</v>
      </c>
      <c r="C25970" s="8" t="s">
        <v>10081</v>
      </c>
      <c r="D25970" s="8">
        <v>251</v>
      </c>
      <c r="E25970" s="8">
        <v>0</v>
      </c>
      <c r="F25970" s="8">
        <v>20</v>
      </c>
    </row>
    <row r="25971" spans="1:6" ht="12.75">
      <c r="A25971" s="8">
        <v>43892.796921296293</v>
      </c>
      <c r="B25971" s="8" t="str">
        <f>HYPERLINK("https://twitter.com/OhYunSeo_","@OhYunSeo_")</f>
        <v>@OhYunSeo_</v>
      </c>
      <c r="C25971" s="8" t="s">
        <v>1621</v>
      </c>
      <c r="D25971" s="8">
        <v>13</v>
      </c>
      <c r="E25971" s="8">
        <v>0</v>
      </c>
      <c r="F25971" s="8">
        <v>290</v>
      </c>
    </row>
    <row r="25972" spans="1:6" ht="12.75">
      <c r="A25972" s="8">
        <v>43892.796909722223</v>
      </c>
      <c r="B25972" s="8" t="str">
        <f>HYPERLINK("https://twitter.com/News_Kaltim","@News_Kaltim")</f>
        <v>@News_Kaltim</v>
      </c>
      <c r="C25972" s="8" t="s">
        <v>10112</v>
      </c>
      <c r="D25972" s="8">
        <v>0</v>
      </c>
      <c r="E25972" s="8">
        <v>0</v>
      </c>
      <c r="F25972" s="8">
        <v>2345</v>
      </c>
    </row>
    <row r="25973" spans="1:6" ht="12.75">
      <c r="A25973" s="8">
        <v>43892.796909722223</v>
      </c>
      <c r="B25973" s="8" t="str">
        <f>HYPERLINK("https://twitter.com/Lndangeline02","@Lndangeline02")</f>
        <v>@Lndangeline02</v>
      </c>
      <c r="C25973" s="8" t="s">
        <v>10113</v>
      </c>
      <c r="D25973" s="8">
        <v>72</v>
      </c>
      <c r="E25973" s="8">
        <v>0</v>
      </c>
      <c r="F25973" s="8">
        <v>435</v>
      </c>
    </row>
    <row r="25974" spans="1:6" ht="12.75">
      <c r="A25974" s="8">
        <v>43892.796898148154</v>
      </c>
      <c r="B25974" s="8" t="str">
        <f>HYPERLINK("https://twitter.com/rudhizalfa","@rudhizalfa")</f>
        <v>@rudhizalfa</v>
      </c>
      <c r="C25974" s="8" t="s">
        <v>7661</v>
      </c>
      <c r="D25974" s="8">
        <v>117</v>
      </c>
      <c r="E25974" s="8">
        <v>0</v>
      </c>
      <c r="F25974" s="8">
        <v>650</v>
      </c>
    </row>
    <row r="25975" spans="1:6" ht="12.75">
      <c r="A25975" s="8">
        <v>43892.79688657407</v>
      </c>
      <c r="B25975" s="8" t="str">
        <f>HYPERLINK("https://twitter.com/Alwan_one","@Alwan_one")</f>
        <v>@Alwan_one</v>
      </c>
      <c r="C25975" s="8" t="s">
        <v>9123</v>
      </c>
      <c r="D25975" s="8">
        <v>229</v>
      </c>
      <c r="E25975" s="8">
        <v>0</v>
      </c>
      <c r="F25975" s="8">
        <v>579</v>
      </c>
    </row>
    <row r="25976" spans="1:6" ht="12.75">
      <c r="A25976" s="8">
        <v>43892.796840277777</v>
      </c>
      <c r="B25976" s="8" t="str">
        <f>HYPERLINK("https://twitter.com/naim_pasha","@naim_pasha")</f>
        <v>@naim_pasha</v>
      </c>
      <c r="C25976" s="8" t="s">
        <v>10114</v>
      </c>
      <c r="D25976" s="8">
        <v>8</v>
      </c>
      <c r="E25976" s="8">
        <v>0</v>
      </c>
      <c r="F25976" s="8">
        <v>641</v>
      </c>
    </row>
    <row r="25977" spans="1:6" ht="12.75">
      <c r="A25977" s="8">
        <v>43892.796828703707</v>
      </c>
      <c r="B25977" s="8" t="str">
        <f>HYPERLINK("https://twitter.com/pujimutiah","@pujimutiah")</f>
        <v>@pujimutiah</v>
      </c>
      <c r="C25977" s="8" t="s">
        <v>7149</v>
      </c>
      <c r="D25977" s="8">
        <v>96</v>
      </c>
      <c r="E25977" s="8">
        <v>0</v>
      </c>
      <c r="F25977" s="8">
        <v>334</v>
      </c>
    </row>
    <row r="25978" spans="1:6" ht="12.75">
      <c r="A25978" s="8">
        <v>43892.796805555554</v>
      </c>
      <c r="B25978" s="8" t="str">
        <f>HYPERLINK("https://twitter.com/harihoree1","@harihoree1")</f>
        <v>@harihoree1</v>
      </c>
      <c r="C25978" s="8" t="s">
        <v>7661</v>
      </c>
      <c r="D25978" s="8">
        <v>117</v>
      </c>
      <c r="E25978" s="8">
        <v>0</v>
      </c>
      <c r="F25978" s="8">
        <v>1345</v>
      </c>
    </row>
    <row r="25979" spans="1:6" ht="12.75">
      <c r="A25979" s="8">
        <v>43892.796782407408</v>
      </c>
      <c r="B25979" s="8" t="str">
        <f>HYPERLINK("https://twitter.com/audyhatesyou","@audyhatesyou")</f>
        <v>@audyhatesyou</v>
      </c>
      <c r="C25979" s="8" t="s">
        <v>2962</v>
      </c>
      <c r="D25979" s="8">
        <v>2883</v>
      </c>
      <c r="E25979" s="8">
        <v>0</v>
      </c>
      <c r="F25979" s="8">
        <v>528</v>
      </c>
    </row>
    <row r="25980" spans="1:6" ht="12.75">
      <c r="A25980" s="8">
        <v>43892.756851851853</v>
      </c>
      <c r="B25980" s="8" t="str">
        <f>HYPERLINK("https://twitter.com/raachun","@raachun")</f>
        <v>@raachun</v>
      </c>
      <c r="C25980" s="8" t="s">
        <v>2962</v>
      </c>
      <c r="D25980" s="8">
        <v>2529</v>
      </c>
      <c r="E25980" s="8">
        <v>0</v>
      </c>
      <c r="F25980" s="8">
        <v>1397</v>
      </c>
    </row>
    <row r="25981" spans="1:6" ht="12.75">
      <c r="A25981" s="8">
        <v>43892.756840277776</v>
      </c>
      <c r="B25981" s="8" t="str">
        <f>HYPERLINK("https://twitter.com/Arhan26461681","@Arhan26461681")</f>
        <v>@Arhan26461681</v>
      </c>
      <c r="C25981" s="8" t="s">
        <v>9780</v>
      </c>
      <c r="D25981" s="8">
        <v>19</v>
      </c>
      <c r="E25981" s="8">
        <v>0</v>
      </c>
      <c r="F25981" s="8">
        <v>49</v>
      </c>
    </row>
    <row r="25982" spans="1:6" ht="12.75">
      <c r="A25982" s="8">
        <v>43892.756770833337</v>
      </c>
      <c r="B25982" s="8" t="str">
        <f>HYPERLINK("https://twitter.com/AwalFans","@AwalFans")</f>
        <v>@AwalFans</v>
      </c>
      <c r="C25982" s="8" t="s">
        <v>10115</v>
      </c>
      <c r="D25982" s="8">
        <v>30</v>
      </c>
      <c r="E25982" s="8">
        <v>0</v>
      </c>
      <c r="F25982" s="8">
        <v>644</v>
      </c>
    </row>
    <row r="25983" spans="1:6" ht="12.75">
      <c r="A25983" s="8">
        <v>43892.756770833337</v>
      </c>
      <c r="B25983" s="8" t="str">
        <f>HYPERLINK("https://twitter.com/putu_hi","@putu_hi")</f>
        <v>@putu_hi</v>
      </c>
      <c r="C25983" s="8" t="s">
        <v>6832</v>
      </c>
      <c r="D25983" s="8">
        <v>412</v>
      </c>
      <c r="E25983" s="8">
        <v>0</v>
      </c>
      <c r="F25983" s="8">
        <v>554</v>
      </c>
    </row>
    <row r="25984" spans="1:6" ht="12.75">
      <c r="A25984" s="8">
        <v>43892.75675925926</v>
      </c>
      <c r="B25984" s="8" t="str">
        <f>HYPERLINK("https://twitter.com/Azzam58709493","@Azzam58709493")</f>
        <v>@Azzam58709493</v>
      </c>
      <c r="C25984" s="8" t="s">
        <v>4477</v>
      </c>
      <c r="D25984" s="8">
        <v>552</v>
      </c>
      <c r="E25984" s="8">
        <v>0</v>
      </c>
      <c r="F25984" s="8">
        <v>53</v>
      </c>
    </row>
    <row r="25985" spans="1:6" ht="12.75">
      <c r="A25985" s="8">
        <v>43892.756747685184</v>
      </c>
      <c r="B25985" s="8" t="str">
        <f>HYPERLINK("https://twitter.com/ermanurc","@ermanurc")</f>
        <v>@ermanurc</v>
      </c>
      <c r="C25985" s="8" t="s">
        <v>10081</v>
      </c>
      <c r="D25985" s="8">
        <v>246</v>
      </c>
      <c r="E25985" s="8">
        <v>0</v>
      </c>
      <c r="F25985" s="8">
        <v>271</v>
      </c>
    </row>
    <row r="25986" spans="1:6" ht="12.75">
      <c r="A25986" s="8">
        <v>43892.756736111114</v>
      </c>
      <c r="B25986" s="8" t="str">
        <f>HYPERLINK("https://twitter.com/achmedzul","@achmedzul")</f>
        <v>@achmedzul</v>
      </c>
      <c r="C25986" s="8" t="s">
        <v>2962</v>
      </c>
      <c r="D25986" s="8">
        <v>2529</v>
      </c>
      <c r="E25986" s="8">
        <v>0</v>
      </c>
      <c r="F25986" s="8">
        <v>480</v>
      </c>
    </row>
    <row r="25987" spans="1:6" ht="12.75">
      <c r="A25987" s="8">
        <v>43892.756724537037</v>
      </c>
      <c r="B25987" s="8" t="str">
        <f>HYPERLINK("https://twitter.com/ini_nano","@ini_nano")</f>
        <v>@ini_nano</v>
      </c>
      <c r="C25987" s="8" t="s">
        <v>6832</v>
      </c>
      <c r="D25987" s="8">
        <v>412</v>
      </c>
      <c r="E25987" s="8">
        <v>0</v>
      </c>
      <c r="F25987" s="8">
        <v>1130</v>
      </c>
    </row>
    <row r="25988" spans="1:6" ht="12.75">
      <c r="A25988" s="8">
        <v>43892.756655092591</v>
      </c>
      <c r="B25988" s="8" t="str">
        <f>HYPERLINK("https://twitter.com/EsSelangbambu","@EsSelangbambu")</f>
        <v>@EsSelangbambu</v>
      </c>
      <c r="C25988" s="8" t="s">
        <v>2962</v>
      </c>
      <c r="D25988" s="8">
        <v>2529</v>
      </c>
      <c r="E25988" s="8">
        <v>0</v>
      </c>
      <c r="F25988" s="8">
        <v>1595</v>
      </c>
    </row>
    <row r="25989" spans="1:6" ht="12.75">
      <c r="A25989" s="8">
        <v>43892.756631944445</v>
      </c>
      <c r="B25989" s="8" t="str">
        <f>HYPERLINK("https://twitter.com/detdet11_","@detdet11_")</f>
        <v>@detdet11_</v>
      </c>
      <c r="C25989" s="8" t="s">
        <v>10109</v>
      </c>
      <c r="D25989" s="8">
        <v>72</v>
      </c>
      <c r="E25989" s="8">
        <v>0</v>
      </c>
      <c r="F25989" s="8">
        <v>385</v>
      </c>
    </row>
    <row r="25990" spans="1:6" ht="12.75">
      <c r="A25990" s="8">
        <v>43892.756631944445</v>
      </c>
      <c r="B25990" s="8" t="str">
        <f>HYPERLINK("https://twitter.com/ajihado","@ajihado")</f>
        <v>@ajihado</v>
      </c>
      <c r="C25990" s="8" t="s">
        <v>10116</v>
      </c>
      <c r="D25990" s="8">
        <v>0</v>
      </c>
      <c r="E25990" s="8">
        <v>0</v>
      </c>
      <c r="F25990" s="8">
        <v>5</v>
      </c>
    </row>
    <row r="25991" spans="1:6" ht="12.75">
      <c r="A25991" s="8">
        <v>43892.756631944445</v>
      </c>
      <c r="B25991" s="8" t="str">
        <f>HYPERLINK("https://twitter.com/ViradilaUmi","@ViradilaUmi")</f>
        <v>@ViradilaUmi</v>
      </c>
      <c r="C25991" s="8" t="s">
        <v>8322</v>
      </c>
      <c r="D25991" s="8">
        <v>342</v>
      </c>
      <c r="E25991" s="8">
        <v>0</v>
      </c>
      <c r="F25991" s="8">
        <v>238</v>
      </c>
    </row>
    <row r="25992" spans="1:6" ht="12.75">
      <c r="A25992" s="8">
        <v>43892.756620370375</v>
      </c>
      <c r="B25992" s="8" t="str">
        <f>HYPERLINK("https://twitter.com/assortedboredom","@assortedboredom")</f>
        <v>@assortedboredom</v>
      </c>
      <c r="C25992" s="8" t="s">
        <v>2962</v>
      </c>
      <c r="D25992" s="8">
        <v>2529</v>
      </c>
      <c r="E25992" s="8">
        <v>0</v>
      </c>
      <c r="F25992" s="8">
        <v>84</v>
      </c>
    </row>
    <row r="25993" spans="1:6" ht="12.75">
      <c r="A25993" s="8">
        <v>43892.756620370375</v>
      </c>
      <c r="B25993" s="8" t="str">
        <f>HYPERLINK("https://twitter.com/MasfarGazali","@MasfarGazali")</f>
        <v>@MasfarGazali</v>
      </c>
      <c r="C25993" s="8" t="s">
        <v>8322</v>
      </c>
      <c r="D25993" s="8">
        <v>342</v>
      </c>
      <c r="E25993" s="8">
        <v>0</v>
      </c>
      <c r="F25993" s="8">
        <v>1976</v>
      </c>
    </row>
    <row r="25994" spans="1:6" ht="12.75">
      <c r="A25994" s="8">
        <v>43892.756562499999</v>
      </c>
      <c r="B25994" s="8" t="str">
        <f>HYPERLINK("https://twitter.com/dfebry_","@dfebry_")</f>
        <v>@dfebry_</v>
      </c>
      <c r="C25994" s="8" t="s">
        <v>10095</v>
      </c>
      <c r="D25994" s="8">
        <v>247</v>
      </c>
      <c r="E25994" s="8">
        <v>0</v>
      </c>
      <c r="F25994" s="8">
        <v>316</v>
      </c>
    </row>
    <row r="25995" spans="1:6" ht="12.75">
      <c r="A25995" s="8">
        <v>43892.756539351853</v>
      </c>
      <c r="B25995" s="8" t="str">
        <f>HYPERLINK("https://twitter.com/sayakanikan48","@sayakanikan48")</f>
        <v>@sayakanikan48</v>
      </c>
      <c r="C25995" s="8" t="s">
        <v>10114</v>
      </c>
      <c r="D25995" s="8">
        <v>5</v>
      </c>
      <c r="E25995" s="8">
        <v>0</v>
      </c>
      <c r="F25995" s="8">
        <v>118</v>
      </c>
    </row>
    <row r="25996" spans="1:6" ht="12.75">
      <c r="A25996" s="8">
        <v>43892.756493055553</v>
      </c>
      <c r="B25996" s="8" t="str">
        <f>HYPERLINK("https://twitter.com/Velayafie","@Velayafie")</f>
        <v>@Velayafie</v>
      </c>
      <c r="C25996" s="8" t="s">
        <v>2962</v>
      </c>
      <c r="D25996" s="8">
        <v>2529</v>
      </c>
      <c r="E25996" s="8">
        <v>0</v>
      </c>
      <c r="F25996" s="8">
        <v>241</v>
      </c>
    </row>
    <row r="25997" spans="1:6" ht="12.75">
      <c r="A25997" s="8">
        <v>43892.756469907406</v>
      </c>
      <c r="B25997" s="8" t="str">
        <f>HYPERLINK("https://twitter.com/RashidunNavy","@RashidunNavy")</f>
        <v>@RashidunNavy</v>
      </c>
      <c r="C25997" s="8" t="s">
        <v>7597</v>
      </c>
      <c r="D25997" s="8">
        <v>204</v>
      </c>
      <c r="E25997" s="8">
        <v>0</v>
      </c>
      <c r="F25997" s="8">
        <v>1618</v>
      </c>
    </row>
    <row r="25998" spans="1:6" ht="12.75">
      <c r="A25998" s="8">
        <v>43892.75645833333</v>
      </c>
      <c r="B25998" s="8" t="str">
        <f>HYPERLINK("https://twitter.com/Amaninaalwani","@Amaninaalwani")</f>
        <v>@Amaninaalwani</v>
      </c>
      <c r="C25998" s="8" t="s">
        <v>9701</v>
      </c>
      <c r="D25998" s="8">
        <v>1324</v>
      </c>
      <c r="E25998" s="8">
        <v>0</v>
      </c>
      <c r="F25998" s="8">
        <v>341</v>
      </c>
    </row>
    <row r="25999" spans="1:6" ht="12.75">
      <c r="A25999" s="8">
        <v>43892.756435185191</v>
      </c>
      <c r="B25999" s="8" t="str">
        <f>HYPERLINK("https://twitter.com/ryolandafit","@ryolandafit")</f>
        <v>@ryolandafit</v>
      </c>
      <c r="C25999" s="8" t="s">
        <v>10117</v>
      </c>
      <c r="D25999" s="8">
        <v>1</v>
      </c>
      <c r="E25999" s="8">
        <v>0</v>
      </c>
      <c r="F25999" s="8">
        <v>652</v>
      </c>
    </row>
    <row r="26000" spans="1:6" ht="12.75">
      <c r="A26000" s="8">
        <v>43892.756331018521</v>
      </c>
      <c r="B26000" s="8" t="str">
        <f>HYPERLINK("https://twitter.com/RezimTipuDaya","@RezimTipuDaya")</f>
        <v>@RezimTipuDaya</v>
      </c>
      <c r="C26000" s="8" t="s">
        <v>10118</v>
      </c>
      <c r="D26000" s="8">
        <v>0</v>
      </c>
      <c r="E26000" s="8">
        <v>0</v>
      </c>
      <c r="F26000" s="8">
        <v>2107</v>
      </c>
    </row>
    <row r="26001" spans="1:6" ht="12.75">
      <c r="A26001" s="8">
        <v>43892.756296296298</v>
      </c>
      <c r="B26001" s="8" t="str">
        <f>HYPERLINK("https://twitter.com/RingSatoe","@RingSatoe")</f>
        <v>@RingSatoe</v>
      </c>
      <c r="C26001" s="8" t="s">
        <v>10119</v>
      </c>
      <c r="D26001" s="8">
        <v>1</v>
      </c>
      <c r="E26001" s="8">
        <v>0</v>
      </c>
      <c r="F26001" s="8">
        <v>2153</v>
      </c>
    </row>
    <row r="26002" spans="1:6" ht="12.75">
      <c r="A26002" s="8">
        <v>43892.756284722222</v>
      </c>
      <c r="B26002" s="8" t="str">
        <f>HYPERLINK("https://twitter.com/meutiaameut","@meutiaameut")</f>
        <v>@meutiaameut</v>
      </c>
      <c r="C26002" s="8" t="s">
        <v>9528</v>
      </c>
      <c r="D26002" s="8">
        <v>30</v>
      </c>
      <c r="E26002" s="8">
        <v>0</v>
      </c>
      <c r="F26002" s="8">
        <v>653</v>
      </c>
    </row>
    <row r="26003" spans="1:6" ht="12.75">
      <c r="A26003" s="8">
        <v>43892.756273148145</v>
      </c>
      <c r="B26003" s="8" t="str">
        <f>HYPERLINK("https://twitter.com/brajklm","@brajklm")</f>
        <v>@brajklm</v>
      </c>
      <c r="C26003" s="8" t="s">
        <v>2962</v>
      </c>
      <c r="D26003" s="8">
        <v>2529</v>
      </c>
      <c r="E26003" s="8">
        <v>0</v>
      </c>
      <c r="F26003" s="8">
        <v>33</v>
      </c>
    </row>
    <row r="26004" spans="1:6" ht="12.75">
      <c r="A26004" s="8">
        <v>43892.756261574075</v>
      </c>
      <c r="B26004" s="8" t="str">
        <f>HYPERLINK("https://twitter.com/had1purnomo","@had1purnomo")</f>
        <v>@had1purnomo</v>
      </c>
      <c r="C26004" s="8" t="s">
        <v>10120</v>
      </c>
      <c r="D26004" s="8">
        <v>1</v>
      </c>
      <c r="E26004" s="8">
        <v>0</v>
      </c>
      <c r="F26004" s="8">
        <v>218</v>
      </c>
    </row>
    <row r="26005" spans="1:6" ht="12.75">
      <c r="A26005" s="8">
        <v>43892.756226851852</v>
      </c>
      <c r="B26005" s="8" t="str">
        <f>HYPERLINK("https://twitter.com/nenengtrias","@nenengtrias")</f>
        <v>@nenengtrias</v>
      </c>
      <c r="C26005" s="8" t="s">
        <v>2962</v>
      </c>
      <c r="D26005" s="8">
        <v>2529</v>
      </c>
      <c r="E26005" s="8">
        <v>0</v>
      </c>
      <c r="F26005" s="8">
        <v>866</v>
      </c>
    </row>
    <row r="26006" spans="1:6" ht="12.75">
      <c r="A26006" s="8">
        <v>43892.756215277783</v>
      </c>
      <c r="B26006" s="8" t="str">
        <f>HYPERLINK("https://twitter.com/owwwwwhhh","@owwwwwhhh")</f>
        <v>@owwwwwhhh</v>
      </c>
      <c r="C26006" s="8" t="s">
        <v>2995</v>
      </c>
      <c r="D26006" s="8">
        <v>158</v>
      </c>
      <c r="E26006" s="8">
        <v>0</v>
      </c>
      <c r="F26006" s="8">
        <v>43</v>
      </c>
    </row>
    <row r="26007" spans="1:6" ht="12.75">
      <c r="A26007" s="8">
        <v>43892.756157407406</v>
      </c>
      <c r="B26007" s="8" t="str">
        <f>HYPERLINK("https://twitter.com/qothrunnadaida","@qothrunnadaida")</f>
        <v>@qothrunnadaida</v>
      </c>
      <c r="C26007" s="8" t="s">
        <v>9772</v>
      </c>
      <c r="D26007" s="8">
        <v>42</v>
      </c>
      <c r="E26007" s="8">
        <v>0</v>
      </c>
      <c r="F26007" s="8">
        <v>288</v>
      </c>
    </row>
    <row r="26008" spans="1:6" ht="12.75">
      <c r="A26008" s="8">
        <v>43892.756111111114</v>
      </c>
      <c r="B26008" s="8" t="str">
        <f>HYPERLINK("https://twitter.com/rikyis","@rikyis")</f>
        <v>@rikyis</v>
      </c>
      <c r="C26008" s="8" t="s">
        <v>4477</v>
      </c>
      <c r="D26008" s="8">
        <v>552</v>
      </c>
      <c r="E26008" s="8">
        <v>0</v>
      </c>
      <c r="F26008" s="8">
        <v>190</v>
      </c>
    </row>
    <row r="26009" spans="1:6" ht="12.75">
      <c r="A26009" s="8">
        <v>43892.756076388891</v>
      </c>
      <c r="B26009" s="8" t="str">
        <f>HYPERLINK("https://twitter.com/Tio_Rud","@Tio_Rud")</f>
        <v>@Tio_Rud</v>
      </c>
      <c r="C26009" s="8" t="s">
        <v>10121</v>
      </c>
      <c r="D26009" s="8">
        <v>0</v>
      </c>
      <c r="E26009" s="8">
        <v>0</v>
      </c>
      <c r="F26009" s="8">
        <v>70</v>
      </c>
    </row>
    <row r="26010" spans="1:6" ht="12.75">
      <c r="A26010" s="8">
        <v>43892.756018518514</v>
      </c>
      <c r="B26010" s="8" t="str">
        <f>HYPERLINK("https://twitter.com/owwwwwhhh","@owwwwwhhh")</f>
        <v>@owwwwwhhh</v>
      </c>
      <c r="C26010" s="8" t="s">
        <v>2199</v>
      </c>
      <c r="D26010" s="8">
        <v>6714</v>
      </c>
      <c r="E26010" s="8">
        <v>0</v>
      </c>
      <c r="F26010" s="8">
        <v>43</v>
      </c>
    </row>
    <row r="26011" spans="1:6" ht="12.75">
      <c r="A26011" s="8">
        <v>43892.755983796298</v>
      </c>
      <c r="B26011" s="8" t="str">
        <f>HYPERLINK("https://twitter.com/soursallyyey","@soursallyyey")</f>
        <v>@soursallyyey</v>
      </c>
      <c r="C26011" s="8" t="s">
        <v>2199</v>
      </c>
      <c r="D26011" s="8">
        <v>6714</v>
      </c>
      <c r="E26011" s="8">
        <v>0</v>
      </c>
      <c r="F26011" s="8">
        <v>203</v>
      </c>
    </row>
    <row r="26012" spans="1:6" ht="12.75">
      <c r="A26012" s="8">
        <v>43892.755949074075</v>
      </c>
      <c r="B26012" s="8" t="str">
        <f>HYPERLINK("https://twitter.com/agisesya","@agisesya")</f>
        <v>@agisesya</v>
      </c>
      <c r="C26012" s="8" t="s">
        <v>10122</v>
      </c>
      <c r="D26012" s="8">
        <v>1</v>
      </c>
      <c r="E26012" s="8">
        <v>0</v>
      </c>
      <c r="F26012" s="8">
        <v>1251</v>
      </c>
    </row>
    <row r="26013" spans="1:6" ht="12.75">
      <c r="A26013" s="8">
        <v>43892.755937499998</v>
      </c>
      <c r="B26013" s="8" t="str">
        <f>HYPERLINK("https://twitter.com/ahmad_chm","@ahmad_chm")</f>
        <v>@ahmad_chm</v>
      </c>
      <c r="C26013" s="8" t="s">
        <v>6832</v>
      </c>
      <c r="D26013" s="8">
        <v>412</v>
      </c>
      <c r="E26013" s="8">
        <v>0</v>
      </c>
      <c r="F26013" s="8">
        <v>1912</v>
      </c>
    </row>
    <row r="26014" spans="1:6" ht="12.75">
      <c r="A26014" s="8">
        <v>43892.755937499998</v>
      </c>
      <c r="B26014" s="8" t="str">
        <f>HYPERLINK("https://twitter.com/Johanoval","@Johanoval")</f>
        <v>@Johanoval</v>
      </c>
      <c r="C26014" s="8" t="s">
        <v>1145</v>
      </c>
      <c r="D26014" s="8">
        <v>321</v>
      </c>
      <c r="E26014" s="8">
        <v>0</v>
      </c>
      <c r="F26014" s="8">
        <v>354</v>
      </c>
    </row>
    <row r="26015" spans="1:6" ht="12.75">
      <c r="A26015" s="8">
        <v>43892.755914351852</v>
      </c>
      <c r="B26015" s="8" t="str">
        <f>HYPERLINK("https://twitter.com/andriyanhw76_","@andriyanhw76_")</f>
        <v>@andriyanhw76_</v>
      </c>
      <c r="C26015" s="8" t="s">
        <v>9772</v>
      </c>
      <c r="D26015" s="8">
        <v>42</v>
      </c>
      <c r="E26015" s="8">
        <v>0</v>
      </c>
      <c r="F26015" s="8">
        <v>13</v>
      </c>
    </row>
    <row r="26016" spans="1:6" ht="12.75">
      <c r="A26016" s="8">
        <v>43892.755914351852</v>
      </c>
      <c r="B26016" s="8" t="str">
        <f>HYPERLINK("https://twitter.com/telekinetics","@telekinetics")</f>
        <v>@telekinetics</v>
      </c>
      <c r="C26016" s="8" t="s">
        <v>2199</v>
      </c>
      <c r="D26016" s="8">
        <v>6714</v>
      </c>
      <c r="E26016" s="8">
        <v>0</v>
      </c>
      <c r="F26016" s="8">
        <v>212</v>
      </c>
    </row>
    <row r="26017" spans="1:6" ht="12.75">
      <c r="A26017" s="8">
        <v>43892.755902777775</v>
      </c>
      <c r="B26017" s="8" t="str">
        <f>HYPERLINK("https://twitter.com/Ijulnaim","@Ijulnaim")</f>
        <v>@Ijulnaim</v>
      </c>
      <c r="C26017" s="8" t="s">
        <v>9701</v>
      </c>
      <c r="D26017" s="8">
        <v>1324</v>
      </c>
      <c r="E26017" s="8">
        <v>0</v>
      </c>
      <c r="F26017" s="8">
        <v>557</v>
      </c>
    </row>
    <row r="26018" spans="1:6" ht="12.75">
      <c r="A26018" s="8">
        <v>43892.755891203706</v>
      </c>
      <c r="B26018" s="8" t="str">
        <f>HYPERLINK("https://twitter.com/akulahREZA","@akulahREZA")</f>
        <v>@akulahREZA</v>
      </c>
      <c r="C26018" s="8" t="s">
        <v>1427</v>
      </c>
      <c r="D26018" s="8">
        <v>27</v>
      </c>
      <c r="E26018" s="8">
        <v>0</v>
      </c>
      <c r="F26018" s="8">
        <v>2126</v>
      </c>
    </row>
    <row r="26019" spans="1:6" ht="12.75">
      <c r="A26019" s="8">
        <v>43892.755868055552</v>
      </c>
      <c r="B26019" s="8" t="str">
        <f>HYPERLINK("https://twitter.com/fauziluft","@fauziluft")</f>
        <v>@fauziluft</v>
      </c>
      <c r="C26019" s="8" t="s">
        <v>2962</v>
      </c>
      <c r="D26019" s="8">
        <v>2529</v>
      </c>
      <c r="E26019" s="8">
        <v>0</v>
      </c>
      <c r="F26019" s="8">
        <v>69</v>
      </c>
    </row>
    <row r="26020" spans="1:6" ht="12.75">
      <c r="A26020" s="8">
        <v>43892.75576388889</v>
      </c>
      <c r="B26020" s="8" t="str">
        <f>HYPERLINK("https://twitter.com/_xldkfk","@_xldkfk")</f>
        <v>@_xldkfk</v>
      </c>
      <c r="C26020" s="8" t="s">
        <v>10123</v>
      </c>
      <c r="D26020" s="8">
        <v>0</v>
      </c>
      <c r="E26020" s="8">
        <v>2</v>
      </c>
      <c r="F26020" s="8">
        <v>1872</v>
      </c>
    </row>
    <row r="26021" spans="1:6" ht="12.75">
      <c r="A26021" s="8">
        <v>43892.755740740744</v>
      </c>
      <c r="B26021" s="8" t="str">
        <f>HYPERLINK("https://twitter.com/KaniDwiharyani","@KaniDwiharyani")</f>
        <v>@KaniDwiharyani</v>
      </c>
      <c r="C26021" s="8" t="s">
        <v>9176</v>
      </c>
      <c r="D26021" s="8">
        <v>1107</v>
      </c>
      <c r="E26021" s="8">
        <v>0</v>
      </c>
      <c r="F26021" s="8">
        <v>944</v>
      </c>
    </row>
    <row r="26022" spans="1:6" ht="12.75">
      <c r="A26022" s="8">
        <v>43892.755706018521</v>
      </c>
      <c r="B26022" s="8" t="str">
        <f>HYPERLINK("https://twitter.com/kiasleo","@kiasleo")</f>
        <v>@kiasleo</v>
      </c>
      <c r="C26022" s="8" t="s">
        <v>10124</v>
      </c>
      <c r="D26022" s="8">
        <v>8</v>
      </c>
      <c r="E26022" s="8">
        <v>0</v>
      </c>
      <c r="F26022" s="8">
        <v>634</v>
      </c>
    </row>
    <row r="26023" spans="1:6" ht="12.75">
      <c r="A26023" s="8">
        <v>43892.755694444444</v>
      </c>
      <c r="B26023" s="8" t="str">
        <f>HYPERLINK("https://twitter.com/rheasafiraa","@rheasafiraa")</f>
        <v>@rheasafiraa</v>
      </c>
      <c r="C26023" s="8" t="s">
        <v>1145</v>
      </c>
      <c r="D26023" s="8">
        <v>321</v>
      </c>
      <c r="E26023" s="8">
        <v>0</v>
      </c>
      <c r="F26023" s="8">
        <v>148</v>
      </c>
    </row>
    <row r="26024" spans="1:6" ht="12.75">
      <c r="A26024" s="8">
        <v>43892.755682870367</v>
      </c>
      <c r="B26024" s="8" t="str">
        <f>HYPERLINK("https://twitter.com/_ppsycho","@_ppsycho")</f>
        <v>@_ppsycho</v>
      </c>
      <c r="C26024" s="8" t="s">
        <v>9701</v>
      </c>
      <c r="D26024" s="8">
        <v>1324</v>
      </c>
      <c r="E26024" s="8">
        <v>0</v>
      </c>
      <c r="F26024" s="8">
        <v>479</v>
      </c>
    </row>
    <row r="26025" spans="1:6" ht="12.75">
      <c r="A26025" s="8">
        <v>43892.755682870367</v>
      </c>
      <c r="B26025" s="8" t="str">
        <f>HYPERLINK("https://twitter.com/adityafauzann","@adityafauzann")</f>
        <v>@adityafauzann</v>
      </c>
      <c r="C26025" s="8" t="s">
        <v>10125</v>
      </c>
      <c r="D26025" s="8">
        <v>172</v>
      </c>
      <c r="E26025" s="8">
        <v>0</v>
      </c>
      <c r="F26025" s="8">
        <v>795</v>
      </c>
    </row>
    <row r="26026" spans="1:6" ht="12.75">
      <c r="A26026" s="8">
        <v>43892.755682870367</v>
      </c>
      <c r="B26026" s="8" t="str">
        <f>HYPERLINK("https://twitter.com/soendoet1980","@soendoet1980")</f>
        <v>@soendoet1980</v>
      </c>
      <c r="C26026" s="8" t="s">
        <v>9780</v>
      </c>
      <c r="D26026" s="8">
        <v>19</v>
      </c>
      <c r="E26026" s="8">
        <v>0</v>
      </c>
      <c r="F26026" s="8">
        <v>328</v>
      </c>
    </row>
    <row r="26027" spans="1:6" ht="12.75">
      <c r="A26027" s="8">
        <v>43892.755648148144</v>
      </c>
      <c r="B26027" s="8" t="str">
        <f>HYPERLINK("https://twitter.com/iniferiz","@iniferiz")</f>
        <v>@iniferiz</v>
      </c>
      <c r="C26027" s="8" t="s">
        <v>8842</v>
      </c>
      <c r="D26027" s="8">
        <v>111</v>
      </c>
      <c r="E26027" s="8">
        <v>0</v>
      </c>
      <c r="F26027" s="8">
        <v>28</v>
      </c>
    </row>
    <row r="26028" spans="1:6" ht="12.75">
      <c r="A26028" s="8">
        <v>43892.755543981482</v>
      </c>
      <c r="B26028" s="8" t="str">
        <f>HYPERLINK("https://twitter.com/kicepkicep","@kicepkicep")</f>
        <v>@kicepkicep</v>
      </c>
      <c r="C26028" s="8" t="s">
        <v>8322</v>
      </c>
      <c r="D26028" s="8">
        <v>342</v>
      </c>
      <c r="E26028" s="8">
        <v>0</v>
      </c>
      <c r="F26028" s="8">
        <v>1251</v>
      </c>
    </row>
    <row r="26029" spans="1:6" ht="12.75">
      <c r="A26029" s="8">
        <v>43892.755532407406</v>
      </c>
      <c r="B26029" s="8" t="str">
        <f>HYPERLINK("https://twitter.com/helloiamdil","@helloiamdil")</f>
        <v>@helloiamdil</v>
      </c>
      <c r="C26029" s="8" t="s">
        <v>10126</v>
      </c>
      <c r="D26029" s="8">
        <v>9</v>
      </c>
      <c r="E26029" s="8">
        <v>0</v>
      </c>
      <c r="F26029" s="8">
        <v>12</v>
      </c>
    </row>
    <row r="26030" spans="1:6" ht="12.75">
      <c r="A26030" s="8">
        <v>43892.755520833336</v>
      </c>
      <c r="B26030" s="8" t="str">
        <f>HYPERLINK("https://twitter.com/hawinu","@hawinu")</f>
        <v>@hawinu</v>
      </c>
      <c r="C26030" s="8" t="s">
        <v>1427</v>
      </c>
      <c r="D26030" s="8">
        <v>27</v>
      </c>
      <c r="E26030" s="8">
        <v>0</v>
      </c>
      <c r="F26030" s="8">
        <v>195</v>
      </c>
    </row>
    <row r="26031" spans="1:6" ht="12.75">
      <c r="A26031" s="8">
        <v>43892.755520833336</v>
      </c>
      <c r="B26031" s="8" t="str">
        <f>HYPERLINK("https://twitter.com/iiifffaaaa","@iiifffaaaa")</f>
        <v>@iiifffaaaa</v>
      </c>
      <c r="C26031" s="8" t="s">
        <v>2199</v>
      </c>
      <c r="D26031" s="8">
        <v>6714</v>
      </c>
      <c r="E26031" s="8">
        <v>0</v>
      </c>
      <c r="F26031" s="8">
        <v>15</v>
      </c>
    </row>
    <row r="26032" spans="1:6" ht="12.75">
      <c r="A26032" s="8">
        <v>43892.755474537036</v>
      </c>
      <c r="B26032" s="8" t="str">
        <f>HYPERLINK("https://twitter.com/Nirmala6819","@Nirmala6819")</f>
        <v>@Nirmala6819</v>
      </c>
      <c r="C26032" s="8" t="s">
        <v>9153</v>
      </c>
      <c r="D26032" s="8">
        <v>233</v>
      </c>
      <c r="E26032" s="8">
        <v>0</v>
      </c>
      <c r="F26032" s="8">
        <v>1164</v>
      </c>
    </row>
    <row r="26033" spans="1:6" ht="12.75">
      <c r="A26033" s="8">
        <v>43892.755405092597</v>
      </c>
      <c r="B26033" s="8" t="str">
        <f>HYPERLINK("https://twitter.com/susanti_kim22","@susanti_kim22")</f>
        <v>@susanti_kim22</v>
      </c>
      <c r="C26033" s="8" t="s">
        <v>9908</v>
      </c>
      <c r="D26033" s="8">
        <v>551</v>
      </c>
      <c r="E26033" s="8">
        <v>0</v>
      </c>
      <c r="F26033" s="8">
        <v>13</v>
      </c>
    </row>
    <row r="26034" spans="1:6" ht="12.75">
      <c r="A26034" s="8">
        <v>43892.755381944444</v>
      </c>
      <c r="B26034" s="8" t="str">
        <f>HYPERLINK("https://twitter.com/iiifffaaaa","@iiifffaaaa")</f>
        <v>@iiifffaaaa</v>
      </c>
      <c r="C26034" s="8" t="s">
        <v>1749</v>
      </c>
      <c r="D26034" s="8">
        <v>253</v>
      </c>
      <c r="E26034" s="8">
        <v>0</v>
      </c>
      <c r="F26034" s="8">
        <v>15</v>
      </c>
    </row>
    <row r="26035" spans="1:6" ht="12.75">
      <c r="A26035" s="8">
        <v>43892.755358796298</v>
      </c>
      <c r="B26035" s="8" t="str">
        <f>HYPERLINK("https://twitter.com/Metro_TV","@Metro_TV")</f>
        <v>@Metro_TV</v>
      </c>
      <c r="C26035" s="8" t="s">
        <v>10127</v>
      </c>
      <c r="D26035" s="8">
        <v>1</v>
      </c>
      <c r="E26035" s="8">
        <v>0</v>
      </c>
      <c r="F26035" s="8">
        <v>10515688</v>
      </c>
    </row>
    <row r="26036" spans="1:6" ht="12.75">
      <c r="A26036" s="8">
        <v>43892.755335648151</v>
      </c>
      <c r="B26036" s="8" t="str">
        <f>HYPERLINK("https://twitter.com/Mirae62981454","@Mirae62981454")</f>
        <v>@Mirae62981454</v>
      </c>
      <c r="C26036" s="8" t="s">
        <v>9123</v>
      </c>
      <c r="D26036" s="8">
        <v>156</v>
      </c>
      <c r="E26036" s="8">
        <v>0</v>
      </c>
      <c r="F26036" s="8">
        <v>475</v>
      </c>
    </row>
    <row r="26037" spans="1:6" ht="12.75">
      <c r="A26037" s="8">
        <v>43892.755300925928</v>
      </c>
      <c r="B26037" s="8" t="str">
        <f>HYPERLINK("https://twitter.com/brianhiks","@brianhiks")</f>
        <v>@brianhiks</v>
      </c>
      <c r="C26037" s="8" t="s">
        <v>2199</v>
      </c>
      <c r="D26037" s="8">
        <v>6714</v>
      </c>
      <c r="E26037" s="8">
        <v>0</v>
      </c>
      <c r="F26037" s="8">
        <v>2807</v>
      </c>
    </row>
    <row r="26038" spans="1:6" ht="12.75">
      <c r="A26038" s="8">
        <v>43892.755266203705</v>
      </c>
      <c r="B26038" s="8" t="str">
        <f>HYPERLINK("https://twitter.com/MawardiSalbini","@MawardiSalbini")</f>
        <v>@MawardiSalbini</v>
      </c>
      <c r="C26038" s="8" t="s">
        <v>9772</v>
      </c>
      <c r="D26038" s="8">
        <v>42</v>
      </c>
      <c r="E26038" s="8">
        <v>0</v>
      </c>
      <c r="F26038" s="8">
        <v>357</v>
      </c>
    </row>
    <row r="26039" spans="1:6" ht="12.75">
      <c r="A26039" s="8">
        <v>43892.755254629628</v>
      </c>
      <c r="B26039" s="8" t="str">
        <f>HYPERLINK("https://twitter.com/annisamf","@annisamf")</f>
        <v>@annisamf</v>
      </c>
      <c r="C26039" s="8" t="s">
        <v>2962</v>
      </c>
      <c r="D26039" s="8">
        <v>2529</v>
      </c>
      <c r="E26039" s="8">
        <v>0</v>
      </c>
      <c r="F26039" s="8">
        <v>240</v>
      </c>
    </row>
    <row r="26040" spans="1:6" ht="12.75">
      <c r="A26040" s="8">
        <v>43892.755254629628</v>
      </c>
      <c r="B26040" s="8" t="str">
        <f>HYPERLINK("https://twitter.com/officialtiomooy","@officialtiomooy")</f>
        <v>@officialtiomooy</v>
      </c>
      <c r="C26040" s="8" t="s">
        <v>5602</v>
      </c>
      <c r="D26040" s="8">
        <v>1027</v>
      </c>
      <c r="E26040" s="8">
        <v>0</v>
      </c>
      <c r="F26040" s="8">
        <v>129</v>
      </c>
    </row>
    <row r="26041" spans="1:6" ht="12.75">
      <c r="A26041" s="8">
        <v>43892.755243055552</v>
      </c>
      <c r="B26041" s="8" t="str">
        <f>HYPERLINK("https://twitter.com/VIVAcoid","@VIVAcoid")</f>
        <v>@VIVAcoid</v>
      </c>
      <c r="C26041" s="8" t="s">
        <v>10128</v>
      </c>
      <c r="D26041" s="8">
        <v>1</v>
      </c>
      <c r="E26041" s="8">
        <v>0</v>
      </c>
      <c r="F26041" s="8">
        <v>4174161</v>
      </c>
    </row>
    <row r="26042" spans="1:6" ht="12.75">
      <c r="A26042" s="8">
        <v>43892.755231481482</v>
      </c>
      <c r="B26042" s="8" t="str">
        <f>HYPERLINK("https://twitter.com/fitrikamil","@fitrikamil")</f>
        <v>@fitrikamil</v>
      </c>
      <c r="C26042" s="8" t="s">
        <v>9123</v>
      </c>
      <c r="D26042" s="8">
        <v>156</v>
      </c>
      <c r="E26042" s="8">
        <v>0</v>
      </c>
      <c r="F26042" s="8">
        <v>178</v>
      </c>
    </row>
    <row r="26043" spans="1:6" ht="12.75">
      <c r="A26043" s="8">
        <v>43892.755219907413</v>
      </c>
      <c r="B26043" s="8" t="str">
        <f>HYPERLINK("https://twitter.com/okaybeibeh","@okaybeibeh")</f>
        <v>@okaybeibeh</v>
      </c>
      <c r="C26043" s="8" t="s">
        <v>4615</v>
      </c>
      <c r="D26043" s="8">
        <v>133</v>
      </c>
      <c r="E26043" s="8">
        <v>0</v>
      </c>
      <c r="F26043" s="8">
        <v>131</v>
      </c>
    </row>
    <row r="26044" spans="1:6" ht="12.75">
      <c r="A26044" s="8">
        <v>43892.755219907413</v>
      </c>
      <c r="B26044" s="8" t="str">
        <f>HYPERLINK("https://twitter.com/jaemnanaa","@jaemnanaa")</f>
        <v>@jaemnanaa</v>
      </c>
      <c r="C26044" s="8" t="s">
        <v>2199</v>
      </c>
      <c r="D26044" s="8">
        <v>6714</v>
      </c>
      <c r="E26044" s="8">
        <v>0</v>
      </c>
      <c r="F26044" s="8">
        <v>1722</v>
      </c>
    </row>
    <row r="26045" spans="1:6" ht="12.75">
      <c r="A26045" s="8">
        <v>43892.755208333328</v>
      </c>
      <c r="B26045" s="8" t="str">
        <f>HYPERLINK("https://twitter.com/chry_sant","@chry_sant")</f>
        <v>@chry_sant</v>
      </c>
      <c r="C26045" s="8" t="s">
        <v>10129</v>
      </c>
      <c r="D26045" s="8">
        <v>0</v>
      </c>
      <c r="E26045" s="8">
        <v>0</v>
      </c>
      <c r="F26045" s="8">
        <v>117</v>
      </c>
    </row>
    <row r="26046" spans="1:6" ht="12.75">
      <c r="A26046" s="8">
        <v>43892.755196759259</v>
      </c>
      <c r="B26046" s="8" t="str">
        <f>HYPERLINK("https://twitter.com/IpungLombok","@IpungLombok")</f>
        <v>@IpungLombok</v>
      </c>
      <c r="C26046" s="8" t="s">
        <v>9574</v>
      </c>
      <c r="D26046" s="8">
        <v>9</v>
      </c>
      <c r="E26046" s="8">
        <v>0</v>
      </c>
      <c r="F26046" s="8">
        <v>15148</v>
      </c>
    </row>
    <row r="26047" spans="1:6" ht="12.75">
      <c r="A26047" s="8">
        <v>43892.755185185189</v>
      </c>
      <c r="B26047" s="8" t="str">
        <f>HYPERLINK("https://twitter.com/Dharma_0ne","@Dharma_0ne")</f>
        <v>@Dharma_0ne</v>
      </c>
      <c r="C26047" s="8" t="s">
        <v>9123</v>
      </c>
      <c r="D26047" s="8">
        <v>156</v>
      </c>
      <c r="E26047" s="8">
        <v>0</v>
      </c>
      <c r="F26047" s="8">
        <v>4666</v>
      </c>
    </row>
    <row r="26048" spans="1:6" ht="12.75">
      <c r="A26048" s="8">
        <v>43892.755173611113</v>
      </c>
      <c r="B26048" s="8" t="str">
        <f>HYPERLINK("https://twitter.com/sa_Kendeck","@sa_Kendeck")</f>
        <v>@sa_Kendeck</v>
      </c>
      <c r="C26048" s="8" t="s">
        <v>10130</v>
      </c>
      <c r="D26048" s="8">
        <v>0</v>
      </c>
      <c r="E26048" s="8">
        <v>0</v>
      </c>
      <c r="F26048" s="8">
        <v>137</v>
      </c>
    </row>
    <row r="26049" spans="1:6" ht="12.75">
      <c r="A26049" s="8">
        <v>43892.755173611113</v>
      </c>
      <c r="B26049" s="8" t="str">
        <f>HYPERLINK("https://twitter.com/cryforteens","@cryforteens")</f>
        <v>@cryforteens</v>
      </c>
      <c r="C26049" s="8" t="s">
        <v>10131</v>
      </c>
      <c r="D26049" s="8">
        <v>4</v>
      </c>
      <c r="E26049" s="8">
        <v>0</v>
      </c>
      <c r="F26049" s="8">
        <v>43</v>
      </c>
    </row>
    <row r="26050" spans="1:6" ht="12.75">
      <c r="A26050" s="8">
        <v>43892.755173611113</v>
      </c>
      <c r="B26050" s="8" t="str">
        <f>HYPERLINK("https://twitter.com/wita130613","@wita130613")</f>
        <v>@wita130613</v>
      </c>
      <c r="C26050" s="8" t="s">
        <v>10107</v>
      </c>
      <c r="D26050" s="8">
        <v>25</v>
      </c>
      <c r="E26050" s="8">
        <v>0</v>
      </c>
      <c r="F26050" s="8">
        <v>392</v>
      </c>
    </row>
    <row r="26051" spans="1:6" ht="12.75">
      <c r="A26051" s="8">
        <v>43892.755162037036</v>
      </c>
      <c r="B26051" s="8" t="str">
        <f>HYPERLINK("https://twitter.com/cksxlzkepdnl","@cksxlzkepdnl")</f>
        <v>@cksxlzkepdnl</v>
      </c>
      <c r="C26051" s="8" t="s">
        <v>9945</v>
      </c>
      <c r="D26051" s="8">
        <v>1076</v>
      </c>
      <c r="E26051" s="8">
        <v>0</v>
      </c>
      <c r="F26051" s="8">
        <v>67</v>
      </c>
    </row>
    <row r="26052" spans="1:6" ht="12.75">
      <c r="A26052" s="8">
        <v>43892.755162037036</v>
      </c>
      <c r="B26052" s="8" t="str">
        <f>HYPERLINK("https://twitter.com/ini_nano","@ini_nano")</f>
        <v>@ini_nano</v>
      </c>
      <c r="C26052" s="8" t="s">
        <v>7597</v>
      </c>
      <c r="D26052" s="8">
        <v>204</v>
      </c>
      <c r="E26052" s="8">
        <v>0</v>
      </c>
      <c r="F26052" s="8">
        <v>1130</v>
      </c>
    </row>
    <row r="26053" spans="1:6" ht="12.75">
      <c r="A26053" s="8">
        <v>43892.755162037036</v>
      </c>
      <c r="B26053" s="8" t="str">
        <f>HYPERLINK("https://twitter.com/panyanyanyaa","@panyanyanyaa")</f>
        <v>@panyanyanyaa</v>
      </c>
      <c r="C26053" s="8" t="s">
        <v>2199</v>
      </c>
      <c r="D26053" s="8">
        <v>6714</v>
      </c>
      <c r="E26053" s="8">
        <v>0</v>
      </c>
      <c r="F26053" s="8">
        <v>6607</v>
      </c>
    </row>
    <row r="26054" spans="1:6" ht="12.75">
      <c r="A26054" s="8">
        <v>43892.755127314813</v>
      </c>
      <c r="B26054" s="8" t="str">
        <f>HYPERLINK("https://twitter.com/NuhSugisHamnur","@NuhSugisHamnur")</f>
        <v>@NuhSugisHamnur</v>
      </c>
      <c r="C26054" s="8" t="s">
        <v>7661</v>
      </c>
      <c r="D26054" s="8">
        <v>85</v>
      </c>
      <c r="E26054" s="8">
        <v>0</v>
      </c>
      <c r="F26054" s="8">
        <v>4</v>
      </c>
    </row>
    <row r="26055" spans="1:6" ht="12.75">
      <c r="A26055" s="8">
        <v>43892.755115740743</v>
      </c>
      <c r="B26055" s="8" t="str">
        <f>HYPERLINK("https://twitter.com/JosuauauaDP","@JosuauauaDP")</f>
        <v>@JosuauauaDP</v>
      </c>
      <c r="C26055" s="8" t="s">
        <v>2199</v>
      </c>
      <c r="D26055" s="8">
        <v>6714</v>
      </c>
      <c r="E26055" s="8">
        <v>0</v>
      </c>
      <c r="F26055" s="8">
        <v>653</v>
      </c>
    </row>
    <row r="26056" spans="1:6" ht="12.75">
      <c r="A26056" s="8">
        <v>43892.755069444444</v>
      </c>
      <c r="B26056" s="8" t="str">
        <f>HYPERLINK("https://twitter.com/Nirmala6819","@Nirmala6819")</f>
        <v>@Nirmala6819</v>
      </c>
      <c r="C26056" s="8" t="s">
        <v>9780</v>
      </c>
      <c r="D26056" s="8">
        <v>19</v>
      </c>
      <c r="E26056" s="8">
        <v>0</v>
      </c>
      <c r="F26056" s="8">
        <v>1164</v>
      </c>
    </row>
    <row r="26057" spans="1:6" ht="12.75">
      <c r="A26057" s="8">
        <v>43892.755046296297</v>
      </c>
      <c r="B26057" s="8" t="str">
        <f>HYPERLINK("https://twitter.com/dwanicha25","@dwanicha25")</f>
        <v>@dwanicha25</v>
      </c>
      <c r="C26057" s="8" t="s">
        <v>2199</v>
      </c>
      <c r="D26057" s="8">
        <v>6714</v>
      </c>
      <c r="E26057" s="8">
        <v>0</v>
      </c>
      <c r="F26057" s="8">
        <v>390</v>
      </c>
    </row>
    <row r="26058" spans="1:6" ht="12.75">
      <c r="A26058" s="8">
        <v>43892.75503472222</v>
      </c>
      <c r="B26058" s="8" t="str">
        <f>HYPERLINK("https://twitter.com/zahraalifiaaa","@zahraalifiaaa")</f>
        <v>@zahraalifiaaa</v>
      </c>
      <c r="C26058" s="8" t="s">
        <v>9528</v>
      </c>
      <c r="D26058" s="8">
        <v>30</v>
      </c>
      <c r="E26058" s="8">
        <v>0</v>
      </c>
      <c r="F26058" s="8">
        <v>1260</v>
      </c>
    </row>
    <row r="26059" spans="1:6" ht="12.75">
      <c r="A26059" s="8">
        <v>43892.755023148144</v>
      </c>
      <c r="B26059" s="8" t="str">
        <f>HYPERLINK("https://twitter.com/dasadosol","@dasadosol")</f>
        <v>@dasadosol</v>
      </c>
      <c r="C26059" s="8" t="s">
        <v>6832</v>
      </c>
      <c r="D26059" s="8">
        <v>412</v>
      </c>
      <c r="E26059" s="8">
        <v>0</v>
      </c>
      <c r="F26059" s="8">
        <v>566</v>
      </c>
    </row>
    <row r="26060" spans="1:6" ht="12.75">
      <c r="A26060" s="8">
        <v>43892.755011574074</v>
      </c>
      <c r="B26060" s="8" t="str">
        <f>HYPERLINK("https://twitter.com/erwnner","@erwnner")</f>
        <v>@erwnner</v>
      </c>
      <c r="C26060" s="8" t="s">
        <v>8632</v>
      </c>
      <c r="D26060" s="8">
        <v>110</v>
      </c>
      <c r="E26060" s="8">
        <v>0</v>
      </c>
      <c r="F26060" s="8">
        <v>235</v>
      </c>
    </row>
    <row r="26061" spans="1:6" ht="12.75">
      <c r="A26061" s="8">
        <v>43892.755000000005</v>
      </c>
      <c r="B26061" s="8" t="str">
        <f>HYPERLINK("https://twitter.com/tusinojapan","@tusinojapan")</f>
        <v>@tusinojapan</v>
      </c>
      <c r="C26061" s="8" t="s">
        <v>2962</v>
      </c>
      <c r="D26061" s="8">
        <v>2529</v>
      </c>
      <c r="E26061" s="8">
        <v>0</v>
      </c>
      <c r="F26061" s="8">
        <v>2125</v>
      </c>
    </row>
    <row r="26062" spans="1:6" ht="12.75">
      <c r="A26062" s="8">
        <v>43892.754988425921</v>
      </c>
      <c r="B26062" s="8" t="str">
        <f>HYPERLINK("https://twitter.com/Bermartabat3","@Bermartabat3")</f>
        <v>@Bermartabat3</v>
      </c>
      <c r="C26062" s="8" t="s">
        <v>6832</v>
      </c>
      <c r="D26062" s="8">
        <v>412</v>
      </c>
      <c r="E26062" s="8">
        <v>0</v>
      </c>
      <c r="F26062" s="8">
        <v>224</v>
      </c>
    </row>
    <row r="26063" spans="1:6" ht="12.75">
      <c r="A26063" s="8">
        <v>43892.754976851851</v>
      </c>
      <c r="B26063" s="8" t="str">
        <f>HYPERLINK("https://twitter.com/PendekarMuda19","@PendekarMuda19")</f>
        <v>@PendekarMuda19</v>
      </c>
      <c r="C26063" s="8" t="s">
        <v>7597</v>
      </c>
      <c r="D26063" s="8">
        <v>204</v>
      </c>
      <c r="E26063" s="8">
        <v>0</v>
      </c>
      <c r="F26063" s="8">
        <v>180</v>
      </c>
    </row>
    <row r="26064" spans="1:6" ht="12.75">
      <c r="A26064" s="8">
        <v>43892.754918981482</v>
      </c>
      <c r="B26064" s="8" t="str">
        <f>HYPERLINK("https://twitter.com/vivanewscom","@vivanewscom")</f>
        <v>@vivanewscom</v>
      </c>
      <c r="C26064" s="8" t="s">
        <v>10132</v>
      </c>
      <c r="D26064" s="8">
        <v>1</v>
      </c>
      <c r="E26064" s="8">
        <v>0</v>
      </c>
      <c r="F26064" s="8">
        <v>4614</v>
      </c>
    </row>
    <row r="26065" spans="1:6" ht="12.75">
      <c r="A26065" s="8">
        <v>43892.754895833335</v>
      </c>
      <c r="B26065" s="8" t="str">
        <f>HYPERLINK("https://twitter.com/prabuditra","@prabuditra")</f>
        <v>@prabuditra</v>
      </c>
      <c r="C26065" s="8" t="s">
        <v>10133</v>
      </c>
      <c r="D26065" s="8">
        <v>6</v>
      </c>
      <c r="E26065" s="8">
        <v>0</v>
      </c>
      <c r="F26065" s="8">
        <v>3399</v>
      </c>
    </row>
    <row r="26066" spans="1:6" ht="12.75">
      <c r="A26066" s="8">
        <v>43892.754861111112</v>
      </c>
      <c r="B26066" s="8" t="str">
        <f>HYPERLINK("https://twitter.com/iNewsID","@iNewsID")</f>
        <v>@iNewsID</v>
      </c>
      <c r="C26066" s="8" t="s">
        <v>10134</v>
      </c>
      <c r="D26066" s="8">
        <v>0</v>
      </c>
      <c r="E26066" s="8">
        <v>0</v>
      </c>
      <c r="F26066" s="8">
        <v>1353</v>
      </c>
    </row>
    <row r="26067" spans="1:6" ht="12.75">
      <c r="A26067" s="8">
        <v>43892.754849537036</v>
      </c>
      <c r="B26067" s="8" t="str">
        <f>HYPERLINK("https://twitter.com/satrianikurnia","@satrianikurnia")</f>
        <v>@satrianikurnia</v>
      </c>
      <c r="C26067" s="8" t="s">
        <v>2199</v>
      </c>
      <c r="D26067" s="8">
        <v>6714</v>
      </c>
      <c r="E26067" s="8">
        <v>0</v>
      </c>
      <c r="F26067" s="8">
        <v>502</v>
      </c>
    </row>
    <row r="26068" spans="1:6" ht="12.75">
      <c r="A26068" s="8">
        <v>43892.754837962959</v>
      </c>
      <c r="B26068" s="8" t="str">
        <f>HYPERLINK("https://twitter.com/liranti","@liranti")</f>
        <v>@liranti</v>
      </c>
      <c r="C26068" s="8" t="s">
        <v>10135</v>
      </c>
      <c r="D26068" s="8">
        <v>21</v>
      </c>
      <c r="E26068" s="8">
        <v>0</v>
      </c>
      <c r="F26068" s="8">
        <v>533</v>
      </c>
    </row>
    <row r="26069" spans="1:6" ht="12.75">
      <c r="A26069" s="8">
        <v>43892.75481481482</v>
      </c>
      <c r="B26069" s="8" t="str">
        <f>HYPERLINK("https://twitter.com/sowieich_","@sowieich_")</f>
        <v>@sowieich_</v>
      </c>
      <c r="C26069" s="8" t="s">
        <v>1427</v>
      </c>
      <c r="D26069" s="8">
        <v>27</v>
      </c>
      <c r="E26069" s="8">
        <v>0</v>
      </c>
      <c r="F26069" s="8">
        <v>511</v>
      </c>
    </row>
    <row r="26070" spans="1:6" ht="12.75">
      <c r="A26070" s="8">
        <v>43892.75476851852</v>
      </c>
      <c r="B26070" s="8" t="str">
        <f>HYPERLINK("https://twitter.com/yogaputra932","@yogaputra932")</f>
        <v>@yogaputra932</v>
      </c>
      <c r="C26070" s="8" t="s">
        <v>2962</v>
      </c>
      <c r="D26070" s="8">
        <v>2529</v>
      </c>
      <c r="E26070" s="8">
        <v>0</v>
      </c>
      <c r="F26070" s="8">
        <v>72</v>
      </c>
    </row>
    <row r="26071" spans="1:6" ht="12.75">
      <c r="A26071" s="8">
        <v>43892.754745370374</v>
      </c>
      <c r="B26071" s="8" t="str">
        <f>HYPERLINK("https://twitter.com/CANCER993JULI","@CANCER993JULI")</f>
        <v>@CANCER993JULI</v>
      </c>
      <c r="C26071" s="8" t="s">
        <v>8737</v>
      </c>
      <c r="D26071" s="8">
        <v>1165</v>
      </c>
      <c r="E26071" s="8">
        <v>0</v>
      </c>
      <c r="F26071" s="8">
        <v>305</v>
      </c>
    </row>
    <row r="26072" spans="1:6" ht="12.75">
      <c r="A26072" s="8">
        <v>43892.754699074074</v>
      </c>
      <c r="B26072" s="8" t="str">
        <f>HYPERLINK("https://twitter.com/Jenderal022","@Jenderal022")</f>
        <v>@Jenderal022</v>
      </c>
      <c r="C26072" s="8" t="s">
        <v>10136</v>
      </c>
      <c r="D26072" s="8">
        <v>2</v>
      </c>
      <c r="E26072" s="8">
        <v>0</v>
      </c>
      <c r="F26072" s="8">
        <v>431</v>
      </c>
    </row>
    <row r="26073" spans="1:6" ht="12.75">
      <c r="A26073" s="8">
        <v>43892.754687499997</v>
      </c>
      <c r="B26073" s="8" t="str">
        <f>HYPERLINK("https://twitter.com/art_artilah96","@art_artilah96")</f>
        <v>@art_artilah96</v>
      </c>
      <c r="C26073" s="8" t="s">
        <v>9945</v>
      </c>
      <c r="D26073" s="8">
        <v>1076</v>
      </c>
      <c r="E26073" s="8">
        <v>0</v>
      </c>
      <c r="F26073" s="8">
        <v>507</v>
      </c>
    </row>
    <row r="26074" spans="1:6" ht="12.75">
      <c r="A26074" s="8">
        <v>43892.754675925928</v>
      </c>
      <c r="B26074" s="8" t="str">
        <f>HYPERLINK("https://twitter.com/abanglurus","@abanglurus")</f>
        <v>@abanglurus</v>
      </c>
      <c r="C26074" s="8" t="s">
        <v>10103</v>
      </c>
      <c r="D26074" s="8">
        <v>149</v>
      </c>
      <c r="E26074" s="8">
        <v>0</v>
      </c>
      <c r="F26074" s="8">
        <v>160</v>
      </c>
    </row>
    <row r="26075" spans="1:6" ht="12.75">
      <c r="A26075" s="8">
        <v>43892.754652777774</v>
      </c>
      <c r="B26075" s="8" t="str">
        <f>HYPERLINK("https://twitter.com/Yaki_Ngo","@Yaki_Ngo")</f>
        <v>@Yaki_Ngo</v>
      </c>
      <c r="C26075" s="8" t="s">
        <v>2199</v>
      </c>
      <c r="D26075" s="8">
        <v>6714</v>
      </c>
      <c r="E26075" s="8">
        <v>0</v>
      </c>
      <c r="F26075" s="8">
        <v>72</v>
      </c>
    </row>
    <row r="26076" spans="1:6" ht="12.75">
      <c r="A26076" s="8">
        <v>43892.754652777774</v>
      </c>
      <c r="B26076" s="8" t="str">
        <f>HYPERLINK("https://twitter.com/Naruzaky","@Naruzaky")</f>
        <v>@Naruzaky</v>
      </c>
      <c r="C26076" s="8" t="s">
        <v>8322</v>
      </c>
      <c r="D26076" s="8">
        <v>342</v>
      </c>
      <c r="E26076" s="8">
        <v>0</v>
      </c>
      <c r="F26076" s="8">
        <v>417</v>
      </c>
    </row>
    <row r="26077" spans="1:6" ht="12.75">
      <c r="A26077" s="8">
        <v>43892.754652777774</v>
      </c>
      <c r="B26077" s="8" t="str">
        <f>HYPERLINK("https://twitter.com/elzasafir2","@elzasafir2")</f>
        <v>@elzasafir2</v>
      </c>
      <c r="C26077" s="8" t="s">
        <v>2199</v>
      </c>
      <c r="D26077" s="8">
        <v>6714</v>
      </c>
      <c r="E26077" s="8">
        <v>0</v>
      </c>
      <c r="F26077" s="8">
        <v>114</v>
      </c>
    </row>
    <row r="26078" spans="1:6" ht="12.75">
      <c r="A26078" s="8">
        <v>43892.754641203705</v>
      </c>
      <c r="B26078" s="8" t="str">
        <f>HYPERLINK("https://twitter.com/fadillashfa","@fadillashfa")</f>
        <v>@fadillashfa</v>
      </c>
      <c r="C26078" s="8" t="s">
        <v>2199</v>
      </c>
      <c r="D26078" s="8">
        <v>6714</v>
      </c>
      <c r="E26078" s="8">
        <v>0</v>
      </c>
      <c r="F26078" s="8">
        <v>45</v>
      </c>
    </row>
    <row r="26079" spans="1:6" ht="12.75">
      <c r="A26079" s="8">
        <v>43892.754641203705</v>
      </c>
      <c r="B26079" s="8" t="str">
        <f>HYPERLINK("https://twitter.com/DeeNoviFatma","@DeeNoviFatma")</f>
        <v>@DeeNoviFatma</v>
      </c>
      <c r="C26079" s="8" t="s">
        <v>6971</v>
      </c>
      <c r="D26079" s="8">
        <v>176</v>
      </c>
      <c r="E26079" s="8">
        <v>0</v>
      </c>
      <c r="F26079" s="8">
        <v>715</v>
      </c>
    </row>
    <row r="26080" spans="1:6" ht="12.75">
      <c r="A26080" s="8">
        <v>43892.715150462958</v>
      </c>
      <c r="B26080" s="8" t="str">
        <f>HYPERLINK("https://twitter.com/Bobby4574676035","@Bobby4574676035")</f>
        <v>@Bobby4574676035</v>
      </c>
      <c r="C26080" s="8" t="s">
        <v>9123</v>
      </c>
      <c r="D26080" s="8">
        <v>59</v>
      </c>
      <c r="E26080" s="8">
        <v>0</v>
      </c>
      <c r="F26080" s="8">
        <v>193</v>
      </c>
    </row>
    <row r="26081" spans="1:6" ht="12.75">
      <c r="A26081" s="8">
        <v>43892.715127314819</v>
      </c>
      <c r="B26081" s="8" t="str">
        <f>HYPERLINK("https://twitter.com/Sehunnie_kyut","@Sehunnie_kyut")</f>
        <v>@Sehunnie_kyut</v>
      </c>
      <c r="C26081" s="8" t="s">
        <v>2199</v>
      </c>
      <c r="D26081" s="8">
        <v>6365</v>
      </c>
      <c r="E26081" s="8">
        <v>0</v>
      </c>
      <c r="F26081" s="8">
        <v>607</v>
      </c>
    </row>
    <row r="26082" spans="1:6" ht="12.75">
      <c r="A26082" s="8">
        <v>43892.715127314819</v>
      </c>
      <c r="B26082" s="8" t="str">
        <f>HYPERLINK("https://twitter.com/gatauuyaaaa","@gatauuyaaaa")</f>
        <v>@gatauuyaaaa</v>
      </c>
      <c r="C26082" s="8" t="s">
        <v>2199</v>
      </c>
      <c r="D26082" s="8">
        <v>6365</v>
      </c>
      <c r="E26082" s="8">
        <v>0</v>
      </c>
      <c r="F26082" s="8">
        <v>427</v>
      </c>
    </row>
    <row r="26083" spans="1:6" ht="12.75">
      <c r="A26083" s="8">
        <v>43892.715115740742</v>
      </c>
      <c r="B26083" s="8" t="str">
        <f>HYPERLINK("https://twitter.com/Edo09833229","@Edo09833229")</f>
        <v>@Edo09833229</v>
      </c>
      <c r="C26083" s="8" t="s">
        <v>9895</v>
      </c>
      <c r="D26083" s="8">
        <v>128</v>
      </c>
      <c r="E26083" s="8">
        <v>0</v>
      </c>
      <c r="F26083" s="8">
        <v>64</v>
      </c>
    </row>
    <row r="26084" spans="1:6" ht="12.75">
      <c r="A26084" s="8">
        <v>43892.715115740742</v>
      </c>
      <c r="B26084" s="8" t="str">
        <f>HYPERLINK("https://twitter.com/r_waluya","@r_waluya")</f>
        <v>@r_waluya</v>
      </c>
      <c r="C26084" s="8" t="s">
        <v>2199</v>
      </c>
      <c r="D26084" s="8">
        <v>6365</v>
      </c>
      <c r="E26084" s="8">
        <v>0</v>
      </c>
      <c r="F26084" s="8">
        <v>188</v>
      </c>
    </row>
    <row r="26085" spans="1:6" ht="12.75">
      <c r="A26085" s="8">
        <v>43892.715092592596</v>
      </c>
      <c r="B26085" s="8" t="str">
        <f>HYPERLINK("https://twitter.com/BaekJeno","@BaekJeno")</f>
        <v>@BaekJeno</v>
      </c>
      <c r="C26085" s="8" t="s">
        <v>10137</v>
      </c>
      <c r="D26085" s="8">
        <v>0</v>
      </c>
      <c r="E26085" s="8">
        <v>0</v>
      </c>
      <c r="F26085" s="8">
        <v>794</v>
      </c>
    </row>
    <row r="26086" spans="1:6" ht="12.75">
      <c r="A26086" s="8">
        <v>43892.715057870373</v>
      </c>
      <c r="B26086" s="8" t="str">
        <f>HYPERLINK("https://twitter.com/NinaSusana2013","@NinaSusana2013")</f>
        <v>@NinaSusana2013</v>
      </c>
      <c r="C26086" s="8" t="s">
        <v>9123</v>
      </c>
      <c r="D26086" s="8">
        <v>59</v>
      </c>
      <c r="E26086" s="8">
        <v>0</v>
      </c>
      <c r="F26086" s="8">
        <v>838</v>
      </c>
    </row>
    <row r="26087" spans="1:6" ht="12.75">
      <c r="A26087" s="8">
        <v>43892.715046296296</v>
      </c>
      <c r="B26087" s="8" t="str">
        <f>HYPERLINK("https://twitter.com/rofiqma_mun","@rofiqma_mun")</f>
        <v>@rofiqma_mun</v>
      </c>
      <c r="C26087" s="8" t="s">
        <v>9358</v>
      </c>
      <c r="D26087" s="8">
        <v>38</v>
      </c>
      <c r="E26087" s="8">
        <v>0</v>
      </c>
      <c r="F26087" s="8">
        <v>1340</v>
      </c>
    </row>
    <row r="26088" spans="1:6" ht="12.75">
      <c r="A26088" s="8">
        <v>43892.714942129634</v>
      </c>
      <c r="B26088" s="8" t="str">
        <f>HYPERLINK("https://twitter.com/nur_laila233","@nur_laila233")</f>
        <v>@nur_laila233</v>
      </c>
      <c r="C26088" s="8" t="s">
        <v>2199</v>
      </c>
      <c r="D26088" s="8">
        <v>6365</v>
      </c>
      <c r="E26088" s="8">
        <v>0</v>
      </c>
      <c r="F26088" s="8">
        <v>350</v>
      </c>
    </row>
    <row r="26089" spans="1:6" ht="12.75">
      <c r="A26089" s="8">
        <v>43892.714895833335</v>
      </c>
      <c r="B26089" s="8" t="str">
        <f>HYPERLINK("https://twitter.com/hendrik66769665","@hendrik66769665")</f>
        <v>@hendrik66769665</v>
      </c>
      <c r="C26089" s="8" t="s">
        <v>6832</v>
      </c>
      <c r="D26089" s="8">
        <v>286</v>
      </c>
      <c r="E26089" s="8">
        <v>0</v>
      </c>
      <c r="F26089" s="8">
        <v>830</v>
      </c>
    </row>
    <row r="26090" spans="1:6" ht="12.75">
      <c r="A26090" s="8">
        <v>43892.714895833335</v>
      </c>
      <c r="B26090" s="8" t="str">
        <f>HYPERLINK("https://twitter.com/fatamawata","@fatamawata")</f>
        <v>@fatamawata</v>
      </c>
      <c r="C26090" s="8" t="s">
        <v>9684</v>
      </c>
      <c r="D26090" s="8">
        <v>130</v>
      </c>
      <c r="E26090" s="8">
        <v>0</v>
      </c>
      <c r="F26090" s="8">
        <v>417</v>
      </c>
    </row>
    <row r="26091" spans="1:6" ht="12.75">
      <c r="A26091" s="8">
        <v>43892.714861111112</v>
      </c>
      <c r="B26091" s="8" t="str">
        <f>HYPERLINK("https://twitter.com/IndahSyrinii","@IndahSyrinii")</f>
        <v>@IndahSyrinii</v>
      </c>
      <c r="C26091" s="8" t="s">
        <v>2962</v>
      </c>
      <c r="D26091" s="8">
        <v>2143</v>
      </c>
      <c r="E26091" s="8">
        <v>0</v>
      </c>
      <c r="F26091" s="8">
        <v>173</v>
      </c>
    </row>
    <row r="26092" spans="1:6" ht="12.75">
      <c r="A26092" s="8">
        <v>43892.714826388888</v>
      </c>
      <c r="B26092" s="8" t="str">
        <f>HYPERLINK("https://twitter.com/chiggmystyle","@chiggmystyle")</f>
        <v>@chiggmystyle</v>
      </c>
      <c r="C26092" s="8" t="s">
        <v>8632</v>
      </c>
      <c r="D26092" s="8">
        <v>78</v>
      </c>
      <c r="E26092" s="8">
        <v>0</v>
      </c>
      <c r="F26092" s="8">
        <v>1795</v>
      </c>
    </row>
    <row r="26093" spans="1:6" ht="12.75">
      <c r="A26093" s="8">
        <v>43892.714814814812</v>
      </c>
      <c r="B26093" s="8" t="str">
        <f>HYPERLINK("https://twitter.com/dela_kim0309","@dela_kim0309")</f>
        <v>@dela_kim0309</v>
      </c>
      <c r="C26093" s="8" t="s">
        <v>2199</v>
      </c>
      <c r="D26093" s="8">
        <v>6365</v>
      </c>
      <c r="E26093" s="8">
        <v>0</v>
      </c>
      <c r="F26093" s="8">
        <v>643</v>
      </c>
    </row>
    <row r="26094" spans="1:6" ht="12.75">
      <c r="A26094" s="8">
        <v>43892.714803240742</v>
      </c>
      <c r="B26094" s="8" t="str">
        <f>HYPERLINK("https://twitter.com/e6acb0a4004e4a2","@e6acb0a4004e4a2")</f>
        <v>@e6acb0a4004e4a2</v>
      </c>
      <c r="C26094" s="8" t="s">
        <v>5732</v>
      </c>
      <c r="D26094" s="8">
        <v>1754</v>
      </c>
      <c r="E26094" s="8">
        <v>0</v>
      </c>
      <c r="F26094" s="8">
        <v>258</v>
      </c>
    </row>
    <row r="26095" spans="1:6" ht="12.75">
      <c r="A26095" s="8">
        <v>43892.714803240742</v>
      </c>
      <c r="B26095" s="8" t="str">
        <f>HYPERLINK("https://twitter.com/Zighaa_","@Zighaa_")</f>
        <v>@Zighaa_</v>
      </c>
      <c r="C26095" s="8" t="s">
        <v>9701</v>
      </c>
      <c r="D26095" s="8">
        <v>1232</v>
      </c>
      <c r="E26095" s="8">
        <v>0</v>
      </c>
      <c r="F26095" s="8">
        <v>875</v>
      </c>
    </row>
    <row r="26096" spans="1:6" ht="12.75">
      <c r="A26096" s="8">
        <v>43892.71475694445</v>
      </c>
      <c r="B26096" s="8" t="str">
        <f>HYPERLINK("https://twitter.com/EULIS61893872","@EULIS61893872")</f>
        <v>@EULIS61893872</v>
      </c>
      <c r="C26096" s="8" t="s">
        <v>10138</v>
      </c>
      <c r="D26096" s="8">
        <v>81</v>
      </c>
      <c r="E26096" s="8">
        <v>0</v>
      </c>
      <c r="F26096" s="8">
        <v>386</v>
      </c>
    </row>
    <row r="26097" spans="1:6" ht="12.75">
      <c r="A26097" s="8">
        <v>43892.714699074073</v>
      </c>
      <c r="B26097" s="8" t="str">
        <f>HYPERLINK("https://twitter.com/Bobby4574676035","@Bobby4574676035")</f>
        <v>@Bobby4574676035</v>
      </c>
      <c r="C26097" s="8" t="s">
        <v>9560</v>
      </c>
      <c r="D26097" s="8">
        <v>7</v>
      </c>
      <c r="E26097" s="8">
        <v>0</v>
      </c>
      <c r="F26097" s="8">
        <v>193</v>
      </c>
    </row>
    <row r="26098" spans="1:6" ht="12.75">
      <c r="A26098" s="8">
        <v>43892.714699074073</v>
      </c>
      <c r="B26098" s="8" t="str">
        <f>HYPERLINK("https://twitter.com/AfrizaMunaf","@AfrizaMunaf")</f>
        <v>@AfrizaMunaf</v>
      </c>
      <c r="C26098" s="8" t="s">
        <v>10139</v>
      </c>
      <c r="D26098" s="8">
        <v>8</v>
      </c>
      <c r="E26098" s="8">
        <v>0</v>
      </c>
      <c r="F26098" s="8">
        <v>732</v>
      </c>
    </row>
    <row r="26099" spans="1:6" ht="12.75">
      <c r="A26099" s="8">
        <v>43892.714699074073</v>
      </c>
      <c r="B26099" s="8" t="str">
        <f>HYPERLINK("https://twitter.com/joehanwahyu","@joehanwahyu")</f>
        <v>@joehanwahyu</v>
      </c>
      <c r="C26099" s="8" t="s">
        <v>7597</v>
      </c>
      <c r="D26099" s="8">
        <v>138</v>
      </c>
      <c r="E26099" s="8">
        <v>0</v>
      </c>
      <c r="F26099" s="8">
        <v>51</v>
      </c>
    </row>
    <row r="26100" spans="1:6" ht="12.75">
      <c r="A26100" s="8">
        <v>43892.714675925927</v>
      </c>
      <c r="B26100" s="8" t="str">
        <f>HYPERLINK("https://twitter.com/agungkamseupay","@agungkamseupay")</f>
        <v>@agungkamseupay</v>
      </c>
      <c r="C26100" s="8" t="s">
        <v>2199</v>
      </c>
      <c r="D26100" s="8">
        <v>6365</v>
      </c>
      <c r="E26100" s="8">
        <v>0</v>
      </c>
      <c r="F26100" s="8">
        <v>337</v>
      </c>
    </row>
    <row r="26101" spans="1:6" ht="12.75">
      <c r="A26101" s="8">
        <v>43892.71466435185</v>
      </c>
      <c r="B26101" s="8" t="str">
        <f>HYPERLINK("https://twitter.com/suaradotcom","@suaradotcom")</f>
        <v>@suaradotcom</v>
      </c>
      <c r="C26101" s="8" t="s">
        <v>10140</v>
      </c>
      <c r="D26101" s="8">
        <v>0</v>
      </c>
      <c r="E26101" s="8">
        <v>0</v>
      </c>
      <c r="F26101" s="8">
        <v>24310</v>
      </c>
    </row>
    <row r="26102" spans="1:6" ht="12.75">
      <c r="A26102" s="8">
        <v>43892.71466435185</v>
      </c>
      <c r="B26102" s="8" t="str">
        <f>HYPERLINK("https://twitter.com/wahyupatrajaya_","@wahyupatrajaya_")</f>
        <v>@wahyupatrajaya_</v>
      </c>
      <c r="C26102" s="8" t="s">
        <v>2199</v>
      </c>
      <c r="D26102" s="8">
        <v>6365</v>
      </c>
      <c r="E26102" s="8">
        <v>0</v>
      </c>
      <c r="F26102" s="8">
        <v>400</v>
      </c>
    </row>
    <row r="26103" spans="1:6" ht="12.75">
      <c r="A26103" s="8">
        <v>43892.714629629627</v>
      </c>
      <c r="B26103" s="8" t="str">
        <f>HYPERLINK("https://twitter.com/Zahrah40291660","@Zahrah40291660")</f>
        <v>@Zahrah40291660</v>
      </c>
      <c r="C26103" s="8" t="s">
        <v>10141</v>
      </c>
      <c r="D26103" s="8">
        <v>0</v>
      </c>
      <c r="E26103" s="8">
        <v>0</v>
      </c>
      <c r="F26103" s="8">
        <v>1641</v>
      </c>
    </row>
    <row r="26104" spans="1:6" ht="12.75">
      <c r="A26104" s="8">
        <v>43892.714629629627</v>
      </c>
      <c r="B26104" s="8" t="str">
        <f>HYPERLINK("https://twitter.com/krsumsel","@krsumsel")</f>
        <v>@krsumsel</v>
      </c>
      <c r="C26104" s="8" t="s">
        <v>10142</v>
      </c>
      <c r="D26104" s="8">
        <v>0</v>
      </c>
      <c r="E26104" s="8">
        <v>0</v>
      </c>
      <c r="F26104" s="8">
        <v>229</v>
      </c>
    </row>
    <row r="26105" spans="1:6" ht="12.75">
      <c r="A26105" s="8">
        <v>43892.714629629627</v>
      </c>
      <c r="B26105" s="8" t="str">
        <f t="shared" ref="B26105:B26106" si="360">HYPERLINK("https://twitter.com/kompascom","@kompascom")</f>
        <v>@kompascom</v>
      </c>
      <c r="C26105" s="8" t="s">
        <v>10143</v>
      </c>
      <c r="D26105" s="8">
        <v>0</v>
      </c>
      <c r="E26105" s="8">
        <v>1</v>
      </c>
      <c r="F26105" s="8">
        <v>7523051</v>
      </c>
    </row>
    <row r="26106" spans="1:6" ht="12.75">
      <c r="A26106" s="8">
        <v>43892.714618055557</v>
      </c>
      <c r="B26106" s="8" t="str">
        <f t="shared" si="360"/>
        <v>@kompascom</v>
      </c>
      <c r="C26106" s="8" t="s">
        <v>10144</v>
      </c>
      <c r="D26106" s="8">
        <v>0</v>
      </c>
      <c r="E26106" s="8">
        <v>0</v>
      </c>
      <c r="F26106" s="8">
        <v>7523051</v>
      </c>
    </row>
    <row r="26107" spans="1:6" ht="12.75">
      <c r="A26107" s="8">
        <v>43892.714618055557</v>
      </c>
      <c r="B26107" s="8" t="str">
        <f>HYPERLINK("https://twitter.com/nabilamidzy","@nabilamidzy")</f>
        <v>@nabilamidzy</v>
      </c>
      <c r="C26107" s="8" t="s">
        <v>10095</v>
      </c>
      <c r="D26107" s="8">
        <v>228</v>
      </c>
      <c r="E26107" s="8">
        <v>0</v>
      </c>
      <c r="F26107" s="8">
        <v>316</v>
      </c>
    </row>
    <row r="26108" spans="1:6" ht="12.75">
      <c r="A26108" s="8">
        <v>43892.714618055557</v>
      </c>
      <c r="B26108" s="8" t="str">
        <f>HYPERLINK("https://twitter.com/suaradotcom","@suaradotcom")</f>
        <v>@suaradotcom</v>
      </c>
      <c r="C26108" s="8" t="s">
        <v>10145</v>
      </c>
      <c r="D26108" s="8">
        <v>0</v>
      </c>
      <c r="E26108" s="8">
        <v>0</v>
      </c>
      <c r="F26108" s="8">
        <v>24310</v>
      </c>
    </row>
    <row r="26109" spans="1:6" ht="12.75">
      <c r="A26109" s="8">
        <v>43892.714606481481</v>
      </c>
      <c r="B26109" s="8" t="str">
        <f>HYPERLINK("https://twitter.com/Gregorius841","@Gregorius841")</f>
        <v>@Gregorius841</v>
      </c>
      <c r="C26109" s="8" t="s">
        <v>4150</v>
      </c>
      <c r="D26109" s="8">
        <v>407</v>
      </c>
      <c r="E26109" s="8">
        <v>0</v>
      </c>
      <c r="F26109" s="8">
        <v>3879</v>
      </c>
    </row>
    <row r="26110" spans="1:6" ht="12.75">
      <c r="A26110" s="8">
        <v>43892.714583333334</v>
      </c>
      <c r="B26110" s="8" t="str">
        <f>HYPERLINK("https://twitter.com/AndipanjaitanP","@AndipanjaitanP")</f>
        <v>@AndipanjaitanP</v>
      </c>
      <c r="C26110" s="8" t="s">
        <v>2199</v>
      </c>
      <c r="D26110" s="8">
        <v>6365</v>
      </c>
      <c r="E26110" s="8">
        <v>0</v>
      </c>
      <c r="F26110" s="8">
        <v>538</v>
      </c>
    </row>
    <row r="26111" spans="1:6" ht="12.75">
      <c r="A26111" s="8">
        <v>43892.714571759258</v>
      </c>
      <c r="B26111" s="8" t="str">
        <f>HYPERLINK("https://twitter.com/AchmadAndrego","@AchmadAndrego")</f>
        <v>@AchmadAndrego</v>
      </c>
      <c r="C26111" s="8" t="s">
        <v>7461</v>
      </c>
      <c r="D26111" s="8">
        <v>39</v>
      </c>
      <c r="E26111" s="8">
        <v>0</v>
      </c>
      <c r="F26111" s="8">
        <v>307</v>
      </c>
    </row>
    <row r="26112" spans="1:6" ht="12.75">
      <c r="A26112" s="8">
        <v>43892.714571759258</v>
      </c>
      <c r="B26112" s="8" t="str">
        <f>HYPERLINK("https://twitter.com/bsitosterol","@bsitosterol")</f>
        <v>@bsitosterol</v>
      </c>
      <c r="C26112" s="8" t="s">
        <v>2199</v>
      </c>
      <c r="D26112" s="8">
        <v>6365</v>
      </c>
      <c r="E26112" s="8">
        <v>0</v>
      </c>
      <c r="F26112" s="8">
        <v>341</v>
      </c>
    </row>
    <row r="26113" spans="1:6" ht="12.75">
      <c r="A26113" s="8">
        <v>43892.714548611111</v>
      </c>
      <c r="B26113" s="8" t="str">
        <f>HYPERLINK("https://twitter.com/a_daughterr","@a_daughterr")</f>
        <v>@a_daughterr</v>
      </c>
      <c r="C26113" s="8" t="s">
        <v>9701</v>
      </c>
      <c r="D26113" s="8">
        <v>1232</v>
      </c>
      <c r="E26113" s="8">
        <v>0</v>
      </c>
      <c r="F26113" s="8">
        <v>487</v>
      </c>
    </row>
    <row r="26114" spans="1:6" ht="12.75">
      <c r="A26114" s="8">
        <v>43892.714548611111</v>
      </c>
      <c r="B26114" s="8" t="str">
        <f>HYPERLINK("https://twitter.com/Andyrule9","@Andyrule9")</f>
        <v>@Andyrule9</v>
      </c>
      <c r="C26114" s="8" t="s">
        <v>7597</v>
      </c>
      <c r="D26114" s="8">
        <v>138</v>
      </c>
      <c r="E26114" s="8">
        <v>0</v>
      </c>
      <c r="F26114" s="8">
        <v>224</v>
      </c>
    </row>
    <row r="26115" spans="1:6" ht="12.75">
      <c r="A26115" s="8">
        <v>43892.714513888888</v>
      </c>
      <c r="B26115" s="8" t="str">
        <f>HYPERLINK("https://twitter.com/andylwnnstn","@andylwnnstn")</f>
        <v>@andylwnnstn</v>
      </c>
      <c r="C26115" s="8" t="s">
        <v>2962</v>
      </c>
      <c r="D26115" s="8">
        <v>2143</v>
      </c>
      <c r="E26115" s="8">
        <v>0</v>
      </c>
      <c r="F26115" s="8">
        <v>120</v>
      </c>
    </row>
    <row r="26116" spans="1:6" ht="12.75">
      <c r="A26116" s="8">
        <v>43892.714513888888</v>
      </c>
      <c r="B26116" s="8" t="str">
        <f>HYPERLINK("https://twitter.com/dewifirdausi_","@dewifirdausi_")</f>
        <v>@dewifirdausi_</v>
      </c>
      <c r="C26116" s="8" t="s">
        <v>7704</v>
      </c>
      <c r="D26116" s="8">
        <v>287</v>
      </c>
      <c r="E26116" s="8">
        <v>0</v>
      </c>
      <c r="F26116" s="8">
        <v>509</v>
      </c>
    </row>
    <row r="26117" spans="1:6" ht="12.75">
      <c r="A26117" s="8">
        <v>43892.714502314819</v>
      </c>
      <c r="B26117" s="8" t="str">
        <f>HYPERLINK("https://twitter.com/FMahwanto","@FMahwanto")</f>
        <v>@FMahwanto</v>
      </c>
      <c r="C26117" s="8" t="s">
        <v>9628</v>
      </c>
      <c r="D26117" s="8">
        <v>159</v>
      </c>
      <c r="E26117" s="8">
        <v>0</v>
      </c>
      <c r="F26117" s="8">
        <v>34</v>
      </c>
    </row>
    <row r="26118" spans="1:6" ht="12.75">
      <c r="A26118" s="8">
        <v>43892.714490740742</v>
      </c>
      <c r="B26118" s="8" t="str">
        <f>HYPERLINK("https://twitter.com/SanAscLaw","@SanAscLaw")</f>
        <v>@SanAscLaw</v>
      </c>
      <c r="C26118" s="8" t="s">
        <v>10126</v>
      </c>
      <c r="D26118" s="8">
        <v>4</v>
      </c>
      <c r="E26118" s="8">
        <v>0</v>
      </c>
      <c r="F26118" s="8">
        <v>1158</v>
      </c>
    </row>
    <row r="26119" spans="1:6" ht="12.75">
      <c r="A26119" s="8">
        <v>43892.714456018519</v>
      </c>
      <c r="B26119" s="8" t="str">
        <f>HYPERLINK("https://twitter.com/MasTrimo9","@MasTrimo9")</f>
        <v>@MasTrimo9</v>
      </c>
      <c r="C26119" s="8" t="s">
        <v>8322</v>
      </c>
      <c r="D26119" s="8">
        <v>297</v>
      </c>
      <c r="E26119" s="8">
        <v>0</v>
      </c>
      <c r="F26119" s="8">
        <v>315</v>
      </c>
    </row>
    <row r="26120" spans="1:6" ht="12.75">
      <c r="A26120" s="8">
        <v>43892.714421296296</v>
      </c>
      <c r="B26120" s="8" t="str">
        <f>HYPERLINK("https://twitter.com/kher_ariefs","@kher_ariefs")</f>
        <v>@kher_ariefs</v>
      </c>
      <c r="C26120" s="8" t="s">
        <v>6832</v>
      </c>
      <c r="D26120" s="8">
        <v>286</v>
      </c>
      <c r="E26120" s="8">
        <v>0</v>
      </c>
      <c r="F26120" s="8">
        <v>367</v>
      </c>
    </row>
    <row r="26121" spans="1:6" ht="12.75">
      <c r="A26121" s="8">
        <v>43892.714409722219</v>
      </c>
      <c r="B26121" s="8" t="str">
        <f>HYPERLINK("https://twitter.com/Bobby4574676035","@Bobby4574676035")</f>
        <v>@Bobby4574676035</v>
      </c>
      <c r="C26121" s="8" t="s">
        <v>6832</v>
      </c>
      <c r="D26121" s="8">
        <v>286</v>
      </c>
      <c r="E26121" s="8">
        <v>0</v>
      </c>
      <c r="F26121" s="8">
        <v>193</v>
      </c>
    </row>
    <row r="26122" spans="1:6" ht="12.75">
      <c r="A26122" s="8">
        <v>43892.714409722219</v>
      </c>
      <c r="B26122" s="8" t="str">
        <f>HYPERLINK("https://twitter.com/Sehundipity94","@Sehundipity94")</f>
        <v>@Sehundipity94</v>
      </c>
      <c r="C26122" s="8" t="s">
        <v>7405</v>
      </c>
      <c r="D26122" s="8">
        <v>1372</v>
      </c>
      <c r="E26122" s="8">
        <v>0</v>
      </c>
      <c r="F26122" s="8">
        <v>2177</v>
      </c>
    </row>
    <row r="26123" spans="1:6" ht="12.75">
      <c r="A26123" s="8">
        <v>43892.714363425926</v>
      </c>
      <c r="B26123" s="8" t="str">
        <f>HYPERLINK("https://twitter.com/natasya_tr","@natasya_tr")</f>
        <v>@natasya_tr</v>
      </c>
      <c r="C26123" s="8" t="s">
        <v>1145</v>
      </c>
      <c r="D26123" s="8">
        <v>283</v>
      </c>
      <c r="E26123" s="8">
        <v>0</v>
      </c>
      <c r="F26123" s="8">
        <v>526</v>
      </c>
    </row>
    <row r="26124" spans="1:6" ht="12.75">
      <c r="A26124" s="8">
        <v>43892.714363425926</v>
      </c>
      <c r="B26124" s="8" t="str">
        <f>HYPERLINK("https://twitter.com/emotruman","@emotruman")</f>
        <v>@emotruman</v>
      </c>
      <c r="C26124" s="8" t="s">
        <v>2995</v>
      </c>
      <c r="D26124" s="8">
        <v>145</v>
      </c>
      <c r="E26124" s="8">
        <v>0</v>
      </c>
      <c r="F26124" s="8">
        <v>298</v>
      </c>
    </row>
    <row r="26125" spans="1:6" ht="12.75">
      <c r="A26125" s="8">
        <v>43892.714340277773</v>
      </c>
      <c r="B26125" s="8" t="str">
        <f>HYPERLINK("https://twitter.com/dyah_sulistya","@dyah_sulistya")</f>
        <v>@dyah_sulistya</v>
      </c>
      <c r="C26125" s="8" t="s">
        <v>2962</v>
      </c>
      <c r="D26125" s="8">
        <v>2143</v>
      </c>
      <c r="E26125" s="8">
        <v>0</v>
      </c>
      <c r="F26125" s="8">
        <v>116</v>
      </c>
    </row>
    <row r="26126" spans="1:6" ht="12.75">
      <c r="A26126" s="8">
        <v>43892.714305555557</v>
      </c>
      <c r="B26126" s="8" t="str">
        <f>HYPERLINK("https://twitter.com/Micogea1945","@Micogea1945")</f>
        <v>@Micogea1945</v>
      </c>
      <c r="C26126" s="8" t="s">
        <v>10146</v>
      </c>
      <c r="D26126" s="8">
        <v>0</v>
      </c>
      <c r="E26126" s="8">
        <v>0</v>
      </c>
      <c r="F26126" s="8">
        <v>228</v>
      </c>
    </row>
    <row r="26127" spans="1:6" ht="12.75">
      <c r="A26127" s="8">
        <v>43892.714305555557</v>
      </c>
      <c r="B26127" s="8" t="str">
        <f>HYPERLINK("https://twitter.com/eddymesakh","@eddymesakh")</f>
        <v>@eddymesakh</v>
      </c>
      <c r="C26127" s="8" t="s">
        <v>10147</v>
      </c>
      <c r="D26127" s="8">
        <v>0</v>
      </c>
      <c r="E26127" s="8">
        <v>0</v>
      </c>
      <c r="F26127" s="8">
        <v>186</v>
      </c>
    </row>
    <row r="26128" spans="1:6" ht="12.75">
      <c r="A26128" s="8">
        <v>43892.714074074072</v>
      </c>
      <c r="B26128" s="8" t="str">
        <f>HYPERLINK("https://twitter.com/Cut3P4nd4","@Cut3P4nd4")</f>
        <v>@Cut3P4nd4</v>
      </c>
      <c r="C26128" s="8" t="s">
        <v>9560</v>
      </c>
      <c r="D26128" s="8">
        <v>7</v>
      </c>
      <c r="E26128" s="8">
        <v>0</v>
      </c>
      <c r="F26128" s="8">
        <v>2375</v>
      </c>
    </row>
    <row r="26129" spans="1:6" ht="12.75">
      <c r="A26129" s="8">
        <v>43892.714062500003</v>
      </c>
      <c r="B26129" s="8" t="str">
        <f>HYPERLINK("https://twitter.com/jokoselong","@jokoselong")</f>
        <v>@jokoselong</v>
      </c>
      <c r="C26129" s="8" t="s">
        <v>10148</v>
      </c>
      <c r="D26129" s="8">
        <v>22</v>
      </c>
      <c r="E26129" s="8">
        <v>0</v>
      </c>
      <c r="F26129" s="8">
        <v>1772</v>
      </c>
    </row>
    <row r="26130" spans="1:6" ht="12.75">
      <c r="A26130" s="8">
        <v>43892.71402777778</v>
      </c>
      <c r="B26130" s="8" t="str">
        <f>HYPERLINK("https://twitter.com/chairulachir","@chairulachir")</f>
        <v>@chairulachir</v>
      </c>
      <c r="C26130" s="8" t="s">
        <v>10149</v>
      </c>
      <c r="D26130" s="8">
        <v>34</v>
      </c>
      <c r="E26130" s="8">
        <v>0</v>
      </c>
      <c r="F26130" s="8">
        <v>2781</v>
      </c>
    </row>
    <row r="26131" spans="1:6" ht="12.75">
      <c r="A26131" s="8">
        <v>43892.71402777778</v>
      </c>
      <c r="B26131" s="8" t="str">
        <f>HYPERLINK("https://twitter.com/SujudAde","@SujudAde")</f>
        <v>@SujudAde</v>
      </c>
      <c r="C26131" s="8" t="s">
        <v>9908</v>
      </c>
      <c r="D26131" s="8">
        <v>526</v>
      </c>
      <c r="E26131" s="8">
        <v>0</v>
      </c>
      <c r="F26131" s="8">
        <v>881</v>
      </c>
    </row>
    <row r="26132" spans="1:6" ht="12.75">
      <c r="A26132" s="8">
        <v>43892.71402777778</v>
      </c>
      <c r="B26132" s="8" t="str">
        <f>HYPERLINK("https://twitter.com/novichristanti","@novichristanti")</f>
        <v>@novichristanti</v>
      </c>
      <c r="C26132" s="8" t="s">
        <v>1427</v>
      </c>
      <c r="D26132" s="8">
        <v>12</v>
      </c>
      <c r="E26132" s="8">
        <v>0</v>
      </c>
      <c r="F26132" s="8">
        <v>845</v>
      </c>
    </row>
    <row r="26133" spans="1:6" ht="12.75">
      <c r="A26133" s="8">
        <v>43892.714016203703</v>
      </c>
      <c r="B26133" s="8" t="str">
        <f>HYPERLINK("https://twitter.com/indriiioo","@indriiioo")</f>
        <v>@indriiioo</v>
      </c>
      <c r="C26133" s="8" t="s">
        <v>9892</v>
      </c>
      <c r="D26133" s="8">
        <v>414</v>
      </c>
      <c r="E26133" s="8">
        <v>0</v>
      </c>
      <c r="F26133" s="8">
        <v>544</v>
      </c>
    </row>
    <row r="26134" spans="1:6" ht="12.75">
      <c r="A26134" s="8">
        <v>43892.714004629626</v>
      </c>
      <c r="B26134" s="8" t="str">
        <f>HYPERLINK("https://twitter.com/haonique","@haonique")</f>
        <v>@haonique</v>
      </c>
      <c r="C26134" s="8" t="s">
        <v>9274</v>
      </c>
      <c r="D26134" s="8">
        <v>573</v>
      </c>
      <c r="E26134" s="8">
        <v>0</v>
      </c>
      <c r="F26134" s="8">
        <v>345</v>
      </c>
    </row>
    <row r="26135" spans="1:6" ht="12.75">
      <c r="A26135" s="8">
        <v>43892.713969907403</v>
      </c>
      <c r="B26135" s="8" t="str">
        <f>HYPERLINK("https://twitter.com/018Nadyaaa","@018Nadyaaa")</f>
        <v>@018Nadyaaa</v>
      </c>
      <c r="C26135" s="8" t="s">
        <v>9908</v>
      </c>
      <c r="D26135" s="8">
        <v>526</v>
      </c>
      <c r="E26135" s="8">
        <v>0</v>
      </c>
      <c r="F26135" s="8">
        <v>41</v>
      </c>
    </row>
    <row r="26136" spans="1:6" ht="12.75">
      <c r="A26136" s="8">
        <v>43892.713946759264</v>
      </c>
      <c r="B26136" s="8" t="str">
        <f>HYPERLINK("https://twitter.com/Kikikikkik","@Kikikikkik")</f>
        <v>@Kikikikkik</v>
      </c>
      <c r="C26136" s="8" t="s">
        <v>2199</v>
      </c>
      <c r="D26136" s="8">
        <v>6365</v>
      </c>
      <c r="E26136" s="8">
        <v>0</v>
      </c>
      <c r="F26136" s="8">
        <v>736</v>
      </c>
    </row>
    <row r="26137" spans="1:6" ht="12.75">
      <c r="A26137" s="8">
        <v>43892.713946759264</v>
      </c>
      <c r="B26137" s="8" t="str">
        <f>HYPERLINK("https://twitter.com/w413er","@w413er")</f>
        <v>@w413er</v>
      </c>
      <c r="C26137" s="8" t="s">
        <v>6832</v>
      </c>
      <c r="D26137" s="8">
        <v>286</v>
      </c>
      <c r="E26137" s="8">
        <v>0</v>
      </c>
      <c r="F26137" s="8">
        <v>595</v>
      </c>
    </row>
    <row r="26138" spans="1:6" ht="12.75">
      <c r="A26138" s="8">
        <v>43892.71393518518</v>
      </c>
      <c r="B26138" s="8" t="str">
        <f>HYPERLINK("https://twitter.com/hanka_ismail","@hanka_ismail")</f>
        <v>@hanka_ismail</v>
      </c>
      <c r="C26138" s="8" t="s">
        <v>9960</v>
      </c>
      <c r="D26138" s="8">
        <v>16</v>
      </c>
      <c r="E26138" s="8">
        <v>0</v>
      </c>
      <c r="F26138" s="8">
        <v>1097</v>
      </c>
    </row>
    <row r="26139" spans="1:6" ht="12.75">
      <c r="A26139" s="8">
        <v>43892.713888888888</v>
      </c>
      <c r="B26139" s="8" t="str">
        <f>HYPERLINK("https://twitter.com/Cut3P4nd4","@Cut3P4nd4")</f>
        <v>@Cut3P4nd4</v>
      </c>
      <c r="C26139" s="8" t="s">
        <v>9918</v>
      </c>
      <c r="D26139" s="8">
        <v>2</v>
      </c>
      <c r="E26139" s="8">
        <v>0</v>
      </c>
      <c r="F26139" s="8">
        <v>2375</v>
      </c>
    </row>
    <row r="26140" spans="1:6" ht="12.75">
      <c r="A26140" s="8">
        <v>43892.713854166665</v>
      </c>
      <c r="B26140" s="8" t="str">
        <f>HYPERLINK("https://twitter.com/Veenone","@Veenone")</f>
        <v>@Veenone</v>
      </c>
      <c r="C26140" s="8" t="s">
        <v>6832</v>
      </c>
      <c r="D26140" s="8">
        <v>286</v>
      </c>
      <c r="E26140" s="8">
        <v>0</v>
      </c>
      <c r="F26140" s="8">
        <v>1209</v>
      </c>
    </row>
    <row r="26141" spans="1:6" ht="12.75">
      <c r="A26141" s="8">
        <v>43892.713842592595</v>
      </c>
      <c r="B26141" s="8" t="str">
        <f>HYPERLINK("https://twitter.com/lukmanihsan","@lukmanihsan")</f>
        <v>@lukmanihsan</v>
      </c>
      <c r="C26141" s="8" t="s">
        <v>6832</v>
      </c>
      <c r="D26141" s="8">
        <v>286</v>
      </c>
      <c r="E26141" s="8">
        <v>0</v>
      </c>
      <c r="F26141" s="8">
        <v>701</v>
      </c>
    </row>
    <row r="26142" spans="1:6" ht="12.75">
      <c r="A26142" s="8">
        <v>43892.713807870372</v>
      </c>
      <c r="B26142" s="8" t="str">
        <f>HYPERLINK("https://twitter.com/claudisius","@claudisius")</f>
        <v>@claudisius</v>
      </c>
      <c r="C26142" s="8" t="s">
        <v>2962</v>
      </c>
      <c r="D26142" s="8">
        <v>2143</v>
      </c>
      <c r="E26142" s="8">
        <v>0</v>
      </c>
      <c r="F26142" s="8">
        <v>510</v>
      </c>
    </row>
    <row r="26143" spans="1:6" ht="12.75">
      <c r="A26143" s="8">
        <v>43892.713796296295</v>
      </c>
      <c r="B26143" s="8" t="str">
        <f>HYPERLINK("https://twitter.com/barnessjohn","@barnessjohn")</f>
        <v>@barnessjohn</v>
      </c>
      <c r="C26143" s="8" t="s">
        <v>2199</v>
      </c>
      <c r="D26143" s="8">
        <v>6365</v>
      </c>
      <c r="E26143" s="8">
        <v>0</v>
      </c>
      <c r="F26143" s="8">
        <v>132</v>
      </c>
    </row>
    <row r="26144" spans="1:6" ht="12.75">
      <c r="A26144" s="8">
        <v>43892.713796296295</v>
      </c>
      <c r="B26144" s="8" t="str">
        <f>HYPERLINK("https://twitter.com/KowSape","@KowSape")</f>
        <v>@KowSape</v>
      </c>
      <c r="C26144" s="8" t="s">
        <v>1986</v>
      </c>
      <c r="D26144" s="8">
        <v>165</v>
      </c>
      <c r="E26144" s="8">
        <v>0</v>
      </c>
      <c r="F26144" s="8">
        <v>612</v>
      </c>
    </row>
    <row r="26145" spans="1:6" ht="12.75">
      <c r="A26145" s="8">
        <v>43892.713773148149</v>
      </c>
      <c r="B26145" s="8" t="str">
        <f>HYPERLINK("https://twitter.com/alvinkurnia","@alvinkurnia")</f>
        <v>@alvinkurnia</v>
      </c>
      <c r="C26145" s="8" t="s">
        <v>8737</v>
      </c>
      <c r="D26145" s="8">
        <v>1152</v>
      </c>
      <c r="E26145" s="8">
        <v>0</v>
      </c>
      <c r="F26145" s="8">
        <v>268</v>
      </c>
    </row>
    <row r="26146" spans="1:6" ht="12.75">
      <c r="A26146" s="8">
        <v>43892.713738425926</v>
      </c>
      <c r="B26146" s="8" t="str">
        <f>HYPERLINK("https://twitter.com/cafetariya","@cafetariya")</f>
        <v>@cafetariya</v>
      </c>
      <c r="C26146" s="8" t="s">
        <v>2962</v>
      </c>
      <c r="D26146" s="8">
        <v>2143</v>
      </c>
      <c r="E26146" s="8">
        <v>0</v>
      </c>
      <c r="F26146" s="8">
        <v>1110</v>
      </c>
    </row>
    <row r="26147" spans="1:6" ht="12.75">
      <c r="A26147" s="8">
        <v>43892.713738425926</v>
      </c>
      <c r="B26147" s="8" t="str">
        <f>HYPERLINK("https://twitter.com/heyhud_","@heyhud_")</f>
        <v>@heyhud_</v>
      </c>
      <c r="C26147" s="8" t="s">
        <v>9945</v>
      </c>
      <c r="D26147" s="8">
        <v>1048</v>
      </c>
      <c r="E26147" s="8">
        <v>0</v>
      </c>
      <c r="F26147" s="8">
        <v>60</v>
      </c>
    </row>
    <row r="26148" spans="1:6" ht="12.75">
      <c r="A26148" s="8">
        <v>43892.713726851856</v>
      </c>
      <c r="B26148" s="8" t="str">
        <f>HYPERLINK("https://twitter.com/Yousenja_","@Yousenja_")</f>
        <v>@Yousenja_</v>
      </c>
      <c r="C26148" s="8" t="s">
        <v>9945</v>
      </c>
      <c r="D26148" s="8">
        <v>1048</v>
      </c>
      <c r="E26148" s="8">
        <v>0</v>
      </c>
      <c r="F26148" s="8">
        <v>101</v>
      </c>
    </row>
    <row r="26149" spans="1:6" ht="12.75">
      <c r="A26149" s="8">
        <v>43892.713680555556</v>
      </c>
      <c r="B26149" s="8" t="str">
        <f>HYPERLINK("https://twitter.com/Dewie34292319","@Dewie34292319")</f>
        <v>@Dewie34292319</v>
      </c>
      <c r="C26149" s="8" t="s">
        <v>9734</v>
      </c>
      <c r="D26149" s="8">
        <v>106</v>
      </c>
      <c r="E26149" s="8">
        <v>0</v>
      </c>
      <c r="F26149" s="8">
        <v>1793</v>
      </c>
    </row>
    <row r="26150" spans="1:6" ht="12.75">
      <c r="A26150" s="8">
        <v>43892.71361111111</v>
      </c>
      <c r="B26150" s="8" t="str">
        <f>HYPERLINK("https://twitter.com/mfnid","@mfnid")</f>
        <v>@mfnid</v>
      </c>
      <c r="C26150" s="8" t="s">
        <v>10150</v>
      </c>
      <c r="D26150" s="8">
        <v>4</v>
      </c>
      <c r="E26150" s="8">
        <v>0</v>
      </c>
      <c r="F26150" s="8">
        <v>935</v>
      </c>
    </row>
    <row r="26151" spans="1:6" ht="12.75">
      <c r="A26151" s="8">
        <v>43892.713553240741</v>
      </c>
      <c r="B26151" s="8" t="str">
        <f>HYPERLINK("https://twitter.com/EULIS61893872","@EULIS61893872")</f>
        <v>@EULIS61893872</v>
      </c>
      <c r="C26151" s="8" t="s">
        <v>9945</v>
      </c>
      <c r="D26151" s="8">
        <v>1048</v>
      </c>
      <c r="E26151" s="8">
        <v>0</v>
      </c>
      <c r="F26151" s="8">
        <v>386</v>
      </c>
    </row>
    <row r="26152" spans="1:6" ht="12.75">
      <c r="A26152" s="8">
        <v>43892.713506944448</v>
      </c>
      <c r="B26152" s="8" t="str">
        <f>HYPERLINK("https://twitter.com/Pep3ng","@Pep3ng")</f>
        <v>@Pep3ng</v>
      </c>
      <c r="C26152" s="8" t="s">
        <v>10151</v>
      </c>
      <c r="D26152" s="8">
        <v>0</v>
      </c>
      <c r="E26152" s="8">
        <v>0</v>
      </c>
      <c r="F26152" s="8">
        <v>1183</v>
      </c>
    </row>
    <row r="26153" spans="1:6" ht="12.75">
      <c r="A26153" s="8">
        <v>43892.713495370372</v>
      </c>
      <c r="B26153" s="8" t="str">
        <f>HYPERLINK("https://twitter.com/SeptianaAniSyl1","@SeptianaAniSyl1")</f>
        <v>@SeptianaAniSyl1</v>
      </c>
      <c r="C26153" s="8" t="s">
        <v>2199</v>
      </c>
      <c r="D26153" s="8">
        <v>6365</v>
      </c>
      <c r="E26153" s="8">
        <v>0</v>
      </c>
      <c r="F26153" s="8">
        <v>31</v>
      </c>
    </row>
    <row r="26154" spans="1:6" ht="12.75">
      <c r="A26154" s="8">
        <v>43892.713495370372</v>
      </c>
      <c r="B26154" s="8" t="str">
        <f>HYPERLINK("https://twitter.com/Joranpulungan","@Joranpulungan")</f>
        <v>@Joranpulungan</v>
      </c>
      <c r="C26154" s="8" t="s">
        <v>8322</v>
      </c>
      <c r="D26154" s="8">
        <v>297</v>
      </c>
      <c r="E26154" s="8">
        <v>0</v>
      </c>
      <c r="F26154" s="8">
        <v>76</v>
      </c>
    </row>
    <row r="26155" spans="1:6" ht="12.75">
      <c r="A26155" s="8">
        <v>43892.713495370372</v>
      </c>
      <c r="B26155" s="8" t="str">
        <f>HYPERLINK("https://twitter.com/agung3sanjaya","@agung3sanjaya")</f>
        <v>@agung3sanjaya</v>
      </c>
      <c r="C26155" s="8" t="s">
        <v>5732</v>
      </c>
      <c r="D26155" s="8">
        <v>1754</v>
      </c>
      <c r="E26155" s="8">
        <v>0</v>
      </c>
      <c r="F26155" s="8">
        <v>309</v>
      </c>
    </row>
    <row r="26156" spans="1:6" ht="12.75">
      <c r="A26156" s="8">
        <v>43892.713449074072</v>
      </c>
      <c r="B26156" s="8" t="str">
        <f>HYPERLINK("https://twitter.com/sayhaaii","@sayhaaii")</f>
        <v>@sayhaaii</v>
      </c>
      <c r="C26156" s="8" t="s">
        <v>9945</v>
      </c>
      <c r="D26156" s="8">
        <v>1048</v>
      </c>
      <c r="E26156" s="8">
        <v>0</v>
      </c>
      <c r="F26156" s="8">
        <v>30</v>
      </c>
    </row>
    <row r="26157" spans="1:6" ht="12.75">
      <c r="A26157" s="8">
        <v>43892.713414351849</v>
      </c>
      <c r="B26157" s="8" t="str">
        <f>HYPERLINK("https://twitter.com/DesmaRahma","@DesmaRahma")</f>
        <v>@DesmaRahma</v>
      </c>
      <c r="C26157" s="8" t="s">
        <v>4615</v>
      </c>
      <c r="D26157" s="8">
        <v>124</v>
      </c>
      <c r="E26157" s="8">
        <v>0</v>
      </c>
      <c r="F26157" s="8">
        <v>2</v>
      </c>
    </row>
    <row r="26158" spans="1:6" ht="12.75">
      <c r="A26158" s="8">
        <v>43892.713368055556</v>
      </c>
      <c r="B26158" s="8" t="str">
        <f>HYPERLINK("https://twitter.com/sugito43334255","@sugito43334255")</f>
        <v>@sugito43334255</v>
      </c>
      <c r="C26158" s="8" t="s">
        <v>9587</v>
      </c>
      <c r="D26158" s="8">
        <v>207</v>
      </c>
      <c r="E26158" s="8">
        <v>0</v>
      </c>
      <c r="F26158" s="8">
        <v>565</v>
      </c>
    </row>
    <row r="26159" spans="1:6" ht="12.75">
      <c r="A26159" s="8">
        <v>43892.713344907403</v>
      </c>
      <c r="B26159" s="8" t="str">
        <f>HYPERLINK("https://twitter.com/kaylaaishaa","@kaylaaishaa")</f>
        <v>@kaylaaishaa</v>
      </c>
      <c r="C26159" s="8" t="s">
        <v>10152</v>
      </c>
      <c r="D26159" s="8">
        <v>0</v>
      </c>
      <c r="E26159" s="8">
        <v>0</v>
      </c>
      <c r="F26159" s="8">
        <v>223</v>
      </c>
    </row>
    <row r="26160" spans="1:6" ht="12.75">
      <c r="A26160" s="8">
        <v>43892.713321759264</v>
      </c>
      <c r="B26160" s="8" t="str">
        <f>HYPERLINK("https://twitter.com/pece_mu","@pece_mu")</f>
        <v>@pece_mu</v>
      </c>
      <c r="C26160" s="8" t="s">
        <v>4615</v>
      </c>
      <c r="D26160" s="8">
        <v>124</v>
      </c>
      <c r="E26160" s="8">
        <v>0</v>
      </c>
      <c r="F26160" s="8">
        <v>40</v>
      </c>
    </row>
    <row r="26161" spans="1:6" ht="12.75">
      <c r="A26161" s="8">
        <v>43892.713263888887</v>
      </c>
      <c r="B26161" s="8" t="str">
        <f>HYPERLINK("https://twitter.com/azzahroooo21","@azzahroooo21")</f>
        <v>@azzahroooo21</v>
      </c>
      <c r="C26161" s="8" t="s">
        <v>2199</v>
      </c>
      <c r="D26161" s="8">
        <v>6365</v>
      </c>
      <c r="E26161" s="8">
        <v>0</v>
      </c>
      <c r="F26161" s="8">
        <v>107</v>
      </c>
    </row>
    <row r="26162" spans="1:6" ht="12.75">
      <c r="A26162" s="8">
        <v>43892.713229166664</v>
      </c>
      <c r="B26162" s="8" t="str">
        <f>HYPERLINK("https://twitter.com/RONALD_the_DUCK","@RONALD_the_DUCK")</f>
        <v>@RONALD_the_DUCK</v>
      </c>
      <c r="C26162" s="8" t="s">
        <v>2962</v>
      </c>
      <c r="D26162" s="8">
        <v>2143</v>
      </c>
      <c r="E26162" s="8">
        <v>0</v>
      </c>
      <c r="F26162" s="8">
        <v>20</v>
      </c>
    </row>
    <row r="26163" spans="1:6" ht="12.75">
      <c r="A26163" s="8">
        <v>43892.713229166664</v>
      </c>
      <c r="B26163" s="8" t="str">
        <f>HYPERLINK("https://twitter.com/lukchakim","@lukchakim")</f>
        <v>@lukchakim</v>
      </c>
      <c r="C26163" s="8" t="s">
        <v>7597</v>
      </c>
      <c r="D26163" s="8">
        <v>138</v>
      </c>
      <c r="E26163" s="8">
        <v>0</v>
      </c>
      <c r="F26163" s="8">
        <v>195</v>
      </c>
    </row>
    <row r="26164" spans="1:6" ht="12.75">
      <c r="A26164" s="8">
        <v>43892.713217592594</v>
      </c>
      <c r="B26164" s="8" t="str">
        <f>HYPERLINK("https://twitter.com/As00559636","@As00559636")</f>
        <v>@As00559636</v>
      </c>
      <c r="C26164" s="8" t="s">
        <v>9895</v>
      </c>
      <c r="D26164" s="8">
        <v>128</v>
      </c>
      <c r="E26164" s="8">
        <v>0</v>
      </c>
      <c r="F26164" s="8">
        <v>19</v>
      </c>
    </row>
    <row r="26165" spans="1:6" ht="12.75">
      <c r="A26165" s="8">
        <v>43892.713217592594</v>
      </c>
      <c r="B26165" s="8" t="str">
        <f>HYPERLINK("https://twitter.com/penya2nk","@penya2nk")</f>
        <v>@penya2nk</v>
      </c>
      <c r="C26165" s="8" t="s">
        <v>10153</v>
      </c>
      <c r="D26165" s="8">
        <v>0</v>
      </c>
      <c r="E26165" s="8">
        <v>0</v>
      </c>
      <c r="F26165" s="8">
        <v>59</v>
      </c>
    </row>
    <row r="26166" spans="1:6" ht="12.75">
      <c r="A26166" s="8">
        <v>43892.713206018518</v>
      </c>
      <c r="B26166" s="8" t="str">
        <f>HYPERLINK("https://twitter.com/FarukbeJadd","@FarukbeJadd")</f>
        <v>@FarukbeJadd</v>
      </c>
      <c r="C26166" s="8" t="s">
        <v>6832</v>
      </c>
      <c r="D26166" s="8">
        <v>286</v>
      </c>
      <c r="E26166" s="8">
        <v>0</v>
      </c>
      <c r="F26166" s="8">
        <v>152</v>
      </c>
    </row>
    <row r="26167" spans="1:6" ht="12.75">
      <c r="A26167" s="8">
        <v>43892.713206018518</v>
      </c>
      <c r="B26167" s="8" t="str">
        <f>HYPERLINK("https://twitter.com/EggySari","@EggySari")</f>
        <v>@EggySari</v>
      </c>
      <c r="C26167" s="8" t="s">
        <v>7661</v>
      </c>
      <c r="D26167" s="8">
        <v>44</v>
      </c>
      <c r="E26167" s="8">
        <v>0</v>
      </c>
      <c r="F26167" s="8">
        <v>180</v>
      </c>
    </row>
    <row r="26168" spans="1:6" ht="12.75">
      <c r="A26168" s="8">
        <v>43892.713194444441</v>
      </c>
      <c r="B26168" s="8" t="str">
        <f>HYPERLINK("https://twitter.com/mfnid","@mfnid")</f>
        <v>@mfnid</v>
      </c>
      <c r="C26168" s="8" t="s">
        <v>9688</v>
      </c>
      <c r="D26168" s="8">
        <v>4</v>
      </c>
      <c r="E26168" s="8">
        <v>0</v>
      </c>
      <c r="F26168" s="8">
        <v>935</v>
      </c>
    </row>
    <row r="26169" spans="1:6" ht="12.75">
      <c r="A26169" s="8">
        <v>43892.71303240741</v>
      </c>
      <c r="B26169" s="8" t="str">
        <f>HYPERLINK("https://twitter.com/MasfarGazali","@MasfarGazali")</f>
        <v>@MasfarGazali</v>
      </c>
      <c r="C26169" s="8" t="s">
        <v>9842</v>
      </c>
      <c r="D26169" s="8">
        <v>4</v>
      </c>
      <c r="E26169" s="8">
        <v>0</v>
      </c>
      <c r="F26169" s="8">
        <v>1976</v>
      </c>
    </row>
    <row r="26170" spans="1:6" ht="12.75">
      <c r="A26170" s="8">
        <v>43892.713020833333</v>
      </c>
      <c r="B26170" s="8" t="str">
        <f>HYPERLINK("https://twitter.com/ThamasZerry","@ThamasZerry")</f>
        <v>@ThamasZerry</v>
      </c>
      <c r="C26170" s="8" t="s">
        <v>9123</v>
      </c>
      <c r="D26170" s="8">
        <v>59</v>
      </c>
      <c r="E26170" s="8">
        <v>0</v>
      </c>
      <c r="F26170" s="8">
        <v>1</v>
      </c>
    </row>
    <row r="26171" spans="1:6" ht="12.75">
      <c r="A26171" s="8">
        <v>43892.712962962964</v>
      </c>
      <c r="B26171" s="8" t="str">
        <f>HYPERLINK("https://twitter.com/thisisnotnata","@thisisnotnata")</f>
        <v>@thisisnotnata</v>
      </c>
      <c r="C26171" s="8" t="s">
        <v>9908</v>
      </c>
      <c r="D26171" s="8">
        <v>526</v>
      </c>
      <c r="E26171" s="8">
        <v>0</v>
      </c>
      <c r="F26171" s="8">
        <v>120</v>
      </c>
    </row>
    <row r="26172" spans="1:6" ht="12.75">
      <c r="A26172" s="8">
        <v>43892.712962962964</v>
      </c>
      <c r="B26172" s="8" t="str">
        <f>HYPERLINK("https://twitter.com/PutraMerdeka9","@PutraMerdeka9")</f>
        <v>@PutraMerdeka9</v>
      </c>
      <c r="C26172" s="8" t="s">
        <v>7661</v>
      </c>
      <c r="D26172" s="8">
        <v>44</v>
      </c>
      <c r="E26172" s="8">
        <v>0</v>
      </c>
      <c r="F26172" s="8">
        <v>712</v>
      </c>
    </row>
    <row r="26173" spans="1:6" ht="12.75">
      <c r="A26173" s="8">
        <v>43892.712962962964</v>
      </c>
      <c r="B26173" s="8" t="str">
        <f>HYPERLINK("https://twitter.com/sniperalhambra1","@sniperalhambra1")</f>
        <v>@sniperalhambra1</v>
      </c>
      <c r="C26173" s="8" t="s">
        <v>2962</v>
      </c>
      <c r="D26173" s="8">
        <v>2143</v>
      </c>
      <c r="E26173" s="8">
        <v>0</v>
      </c>
      <c r="F26173" s="8">
        <v>424</v>
      </c>
    </row>
    <row r="26174" spans="1:6" ht="12.75">
      <c r="A26174" s="8">
        <v>43892.712962962964</v>
      </c>
      <c r="B26174" s="8" t="str">
        <f>HYPERLINK("https://twitter.com/evatiarachma","@evatiarachma")</f>
        <v>@evatiarachma</v>
      </c>
      <c r="C26174" s="8" t="s">
        <v>9684</v>
      </c>
      <c r="D26174" s="8">
        <v>130</v>
      </c>
      <c r="E26174" s="8">
        <v>0</v>
      </c>
      <c r="F26174" s="8">
        <v>595</v>
      </c>
    </row>
    <row r="26175" spans="1:6" ht="12.75">
      <c r="A26175" s="8">
        <v>43892.71293981481</v>
      </c>
      <c r="B26175" s="8" t="str">
        <f>HYPERLINK("https://twitter.com/riyandistaa","@riyandistaa")</f>
        <v>@riyandistaa</v>
      </c>
      <c r="C26175" s="8" t="s">
        <v>10154</v>
      </c>
      <c r="D26175" s="8">
        <v>8</v>
      </c>
      <c r="E26175" s="8">
        <v>0</v>
      </c>
      <c r="F26175" s="8">
        <v>109</v>
      </c>
    </row>
    <row r="26176" spans="1:6" ht="12.75">
      <c r="A26176" s="8">
        <v>43892.71293981481</v>
      </c>
      <c r="B26176" s="8" t="str">
        <f>HYPERLINK("https://twitter.com/Bp_HasbiJunaedi","@Bp_HasbiJunaedi")</f>
        <v>@Bp_HasbiJunaedi</v>
      </c>
      <c r="C26176" s="8" t="s">
        <v>10155</v>
      </c>
      <c r="D26176" s="8">
        <v>5</v>
      </c>
      <c r="E26176" s="8">
        <v>0</v>
      </c>
      <c r="F26176" s="8">
        <v>12</v>
      </c>
    </row>
    <row r="26177" spans="1:6" ht="12.75">
      <c r="A26177" s="8">
        <v>43892.71293981481</v>
      </c>
      <c r="B26177" s="8" t="str">
        <f>HYPERLINK("https://twitter.com/Sundorooo","@Sundorooo")</f>
        <v>@Sundorooo</v>
      </c>
      <c r="C26177" s="8" t="s">
        <v>4150</v>
      </c>
      <c r="D26177" s="8">
        <v>407</v>
      </c>
      <c r="E26177" s="8">
        <v>0</v>
      </c>
      <c r="F26177" s="8">
        <v>214</v>
      </c>
    </row>
    <row r="26178" spans="1:6" ht="12.75">
      <c r="A26178" s="8">
        <v>43892.712916666671</v>
      </c>
      <c r="B26178" s="8" t="str">
        <f>HYPERLINK("https://twitter.com/pujangga_q","@pujangga_q")</f>
        <v>@pujangga_q</v>
      </c>
      <c r="C26178" s="8" t="s">
        <v>6832</v>
      </c>
      <c r="D26178" s="8">
        <v>286</v>
      </c>
      <c r="E26178" s="8">
        <v>0</v>
      </c>
      <c r="F26178" s="8">
        <v>132</v>
      </c>
    </row>
    <row r="26179" spans="1:6" ht="12.75">
      <c r="A26179" s="8">
        <v>43892.712916666671</v>
      </c>
      <c r="B26179" s="8" t="str">
        <f>HYPERLINK("https://twitter.com/n_umira","@n_umira")</f>
        <v>@n_umira</v>
      </c>
      <c r="C26179" s="8" t="s">
        <v>9701</v>
      </c>
      <c r="D26179" s="8">
        <v>1232</v>
      </c>
      <c r="E26179" s="8">
        <v>0</v>
      </c>
      <c r="F26179" s="8">
        <v>439</v>
      </c>
    </row>
    <row r="26180" spans="1:6" ht="12.75">
      <c r="A26180" s="8">
        <v>43892.673483796301</v>
      </c>
      <c r="B26180" s="8" t="str">
        <f>HYPERLINK("https://twitter.com/kaumproletaar","@kaumproletaar")</f>
        <v>@kaumproletaar</v>
      </c>
      <c r="C26180" s="8" t="s">
        <v>9684</v>
      </c>
      <c r="D26180" s="8">
        <v>92</v>
      </c>
      <c r="E26180" s="8">
        <v>0</v>
      </c>
      <c r="F26180" s="8">
        <v>258</v>
      </c>
    </row>
    <row r="26181" spans="1:6" ht="12.75">
      <c r="A26181" s="8">
        <v>43892.673472222217</v>
      </c>
      <c r="B26181" s="8" t="str">
        <f>HYPERLINK("https://twitter.com/Dewresya","@Dewresya")</f>
        <v>@Dewresya</v>
      </c>
      <c r="C26181" s="8" t="s">
        <v>2962</v>
      </c>
      <c r="D26181" s="8">
        <v>1767</v>
      </c>
      <c r="E26181" s="8">
        <v>0</v>
      </c>
      <c r="F26181" s="8">
        <v>625</v>
      </c>
    </row>
    <row r="26182" spans="1:6" ht="12.75">
      <c r="A26182" s="8">
        <v>43892.673460648148</v>
      </c>
      <c r="B26182" s="8" t="str">
        <f>HYPERLINK("https://twitter.com/adirafra","@adirafra")</f>
        <v>@adirafra</v>
      </c>
      <c r="C26182" s="8" t="s">
        <v>4477</v>
      </c>
      <c r="D26182" s="8">
        <v>408</v>
      </c>
      <c r="E26182" s="8">
        <v>0</v>
      </c>
      <c r="F26182" s="8">
        <v>335</v>
      </c>
    </row>
    <row r="26183" spans="1:6" ht="12.75">
      <c r="A26183" s="8">
        <v>43892.673460648148</v>
      </c>
      <c r="B26183" s="8" t="str">
        <f>HYPERLINK("https://twitter.com/sismaymulana","@sismaymulana")</f>
        <v>@sismaymulana</v>
      </c>
      <c r="C26183" s="8" t="s">
        <v>2962</v>
      </c>
      <c r="D26183" s="8">
        <v>1767</v>
      </c>
      <c r="E26183" s="8">
        <v>0</v>
      </c>
      <c r="F26183" s="8">
        <v>132</v>
      </c>
    </row>
    <row r="26184" spans="1:6" ht="12.75">
      <c r="A26184" s="8">
        <v>43892.673449074078</v>
      </c>
      <c r="B26184" s="8" t="str">
        <f>HYPERLINK("https://twitter.com/kopral_jon00","@kopral_jon00")</f>
        <v>@kopral_jon00</v>
      </c>
      <c r="C26184" s="8" t="s">
        <v>10156</v>
      </c>
      <c r="D26184" s="8">
        <v>1</v>
      </c>
      <c r="E26184" s="8">
        <v>0</v>
      </c>
      <c r="F26184" s="8">
        <v>814</v>
      </c>
    </row>
    <row r="26185" spans="1:6" ht="12.75">
      <c r="A26185" s="8">
        <v>43892.673391203702</v>
      </c>
      <c r="B26185" s="8" t="str">
        <f>HYPERLINK("https://twitter.com/Febyval22","@Febyval22")</f>
        <v>@Febyval22</v>
      </c>
      <c r="C26185" s="8" t="s">
        <v>10157</v>
      </c>
      <c r="D26185" s="8">
        <v>1</v>
      </c>
      <c r="E26185" s="8">
        <v>0</v>
      </c>
      <c r="F26185" s="8">
        <v>298</v>
      </c>
    </row>
    <row r="26186" spans="1:6" ht="12.75">
      <c r="A26186" s="8">
        <v>43892.673298611116</v>
      </c>
      <c r="B26186" s="8" t="str">
        <f>HYPERLINK("https://twitter.com/dipongAja","@dipongAja")</f>
        <v>@dipongAja</v>
      </c>
      <c r="C26186" s="8" t="s">
        <v>2962</v>
      </c>
      <c r="D26186" s="8">
        <v>1767</v>
      </c>
      <c r="E26186" s="8">
        <v>0</v>
      </c>
      <c r="F26186" s="8">
        <v>21</v>
      </c>
    </row>
    <row r="26187" spans="1:6" ht="12.75">
      <c r="A26187" s="8">
        <v>43892.673263888893</v>
      </c>
      <c r="B26187" s="8" t="str">
        <f>HYPERLINK("https://twitter.com/wwwaaahhhyyyu","@wwwaaahhhyyyu")</f>
        <v>@wwwaaahhhyyyu</v>
      </c>
      <c r="C26187" s="8" t="s">
        <v>3648</v>
      </c>
      <c r="D26187" s="8">
        <v>521</v>
      </c>
      <c r="E26187" s="8">
        <v>0</v>
      </c>
      <c r="F26187" s="8">
        <v>444</v>
      </c>
    </row>
    <row r="26188" spans="1:6" ht="12.75">
      <c r="A26188" s="8">
        <v>43892.673263888893</v>
      </c>
      <c r="B26188" s="8" t="str">
        <f>HYPERLINK("https://twitter.com/tribuntimur","@tribuntimur")</f>
        <v>@tribuntimur</v>
      </c>
      <c r="C26188" s="8" t="s">
        <v>10158</v>
      </c>
      <c r="D26188" s="8">
        <v>0</v>
      </c>
      <c r="E26188" s="8">
        <v>0</v>
      </c>
      <c r="F26188" s="8">
        <v>178047</v>
      </c>
    </row>
    <row r="26189" spans="1:6" ht="12.75">
      <c r="A26189" s="8">
        <v>43892.673217592594</v>
      </c>
      <c r="B26189" s="8" t="str">
        <f>HYPERLINK("https://twitter.com/likelikepj","@likelikepj")</f>
        <v>@likelikepj</v>
      </c>
      <c r="C26189" s="8" t="s">
        <v>10159</v>
      </c>
      <c r="D26189" s="8">
        <v>56</v>
      </c>
      <c r="E26189" s="8">
        <v>0</v>
      </c>
      <c r="F26189" s="8">
        <v>137</v>
      </c>
    </row>
    <row r="26190" spans="1:6" ht="12.75">
      <c r="A26190" s="8">
        <v>43892.673217592594</v>
      </c>
      <c r="B26190" s="8" t="str">
        <f>HYPERLINK("https://twitter.com/swulllll","@swulllll")</f>
        <v>@swulllll</v>
      </c>
      <c r="C26190" s="8" t="s">
        <v>10160</v>
      </c>
      <c r="D26190" s="8">
        <v>3</v>
      </c>
      <c r="E26190" s="8">
        <v>0</v>
      </c>
      <c r="F26190" s="8">
        <v>5494</v>
      </c>
    </row>
    <row r="26191" spans="1:6" ht="12.75">
      <c r="A26191" s="8">
        <v>43892.673194444447</v>
      </c>
      <c r="B26191" s="8" t="str">
        <f>HYPERLINK("https://twitter.com/AryaWBPinatih47","@AryaWBPinatih47")</f>
        <v>@AryaWBPinatih47</v>
      </c>
      <c r="C26191" s="8" t="s">
        <v>9734</v>
      </c>
      <c r="D26191" s="8">
        <v>93</v>
      </c>
      <c r="E26191" s="8">
        <v>0</v>
      </c>
      <c r="F26191" s="8">
        <v>2320</v>
      </c>
    </row>
    <row r="26192" spans="1:6" ht="12.75">
      <c r="A26192" s="8">
        <v>43892.673159722224</v>
      </c>
      <c r="B26192" s="8" t="str">
        <f>HYPERLINK("https://twitter.com/ramdaniae","@ramdaniae")</f>
        <v>@ramdaniae</v>
      </c>
      <c r="C26192" s="8" t="s">
        <v>7597</v>
      </c>
      <c r="D26192" s="8">
        <v>83</v>
      </c>
      <c r="E26192" s="8">
        <v>0</v>
      </c>
      <c r="F26192" s="8">
        <v>53</v>
      </c>
    </row>
    <row r="26193" spans="1:6" ht="12.75">
      <c r="A26193" s="8">
        <v>43892.673136574071</v>
      </c>
      <c r="B26193" s="8" t="str">
        <f>HYPERLINK("https://twitter.com/helmi_rahmadi","@helmi_rahmadi")</f>
        <v>@helmi_rahmadi</v>
      </c>
      <c r="C26193" s="8" t="s">
        <v>9892</v>
      </c>
      <c r="D26193" s="8">
        <v>381</v>
      </c>
      <c r="E26193" s="8">
        <v>0</v>
      </c>
      <c r="F26193" s="8">
        <v>73</v>
      </c>
    </row>
    <row r="26194" spans="1:6" ht="12.75">
      <c r="A26194" s="8">
        <v>43892.673136574071</v>
      </c>
      <c r="B26194" s="8" t="str">
        <f>HYPERLINK("https://twitter.com/masaris__","@masaris__")</f>
        <v>@masaris__</v>
      </c>
      <c r="C26194" s="8" t="s">
        <v>2962</v>
      </c>
      <c r="D26194" s="8">
        <v>1766</v>
      </c>
      <c r="E26194" s="8">
        <v>0</v>
      </c>
      <c r="F26194" s="8">
        <v>439</v>
      </c>
    </row>
    <row r="26195" spans="1:6" ht="12.75">
      <c r="A26195" s="8">
        <v>43892.673136574071</v>
      </c>
      <c r="B26195" s="8" t="str">
        <f>HYPERLINK("https://twitter.com/ridaauliyaa","@ridaauliyaa")</f>
        <v>@ridaauliyaa</v>
      </c>
      <c r="C26195" s="8" t="s">
        <v>2962</v>
      </c>
      <c r="D26195" s="8">
        <v>1766</v>
      </c>
      <c r="E26195" s="8">
        <v>0</v>
      </c>
      <c r="F26195" s="8">
        <v>165</v>
      </c>
    </row>
    <row r="26196" spans="1:6" ht="12.75">
      <c r="A26196" s="8">
        <v>43892.673113425924</v>
      </c>
      <c r="B26196" s="8" t="str">
        <f>HYPERLINK("https://twitter.com/aiyambakar","@aiyambakar")</f>
        <v>@aiyambakar</v>
      </c>
      <c r="C26196" s="8" t="s">
        <v>9908</v>
      </c>
      <c r="D26196" s="8">
        <v>469</v>
      </c>
      <c r="E26196" s="8">
        <v>0</v>
      </c>
      <c r="F26196" s="8">
        <v>678</v>
      </c>
    </row>
    <row r="26197" spans="1:6" ht="12.75">
      <c r="A26197" s="8">
        <v>43892.673101851848</v>
      </c>
      <c r="B26197" s="8" t="str">
        <f>HYPERLINK("https://twitter.com/abah_hampru","@abah_hampru")</f>
        <v>@abah_hampru</v>
      </c>
      <c r="C26197" s="8" t="s">
        <v>9300</v>
      </c>
      <c r="D26197" s="8">
        <v>29</v>
      </c>
      <c r="E26197" s="8">
        <v>0</v>
      </c>
      <c r="F26197" s="8">
        <v>204</v>
      </c>
    </row>
    <row r="26198" spans="1:6" ht="12.75">
      <c r="A26198" s="8">
        <v>43892.673067129625</v>
      </c>
      <c r="B26198" s="8" t="str">
        <f>HYPERLINK("https://twitter.com/habibullahalami","@habibullahalami")</f>
        <v>@habibullahalami</v>
      </c>
      <c r="C26198" s="8" t="s">
        <v>4477</v>
      </c>
      <c r="D26198" s="8">
        <v>408</v>
      </c>
      <c r="E26198" s="8">
        <v>0</v>
      </c>
      <c r="F26198" s="8">
        <v>130</v>
      </c>
    </row>
    <row r="26199" spans="1:6" ht="12.75">
      <c r="A26199" s="8">
        <v>43892.673055555555</v>
      </c>
      <c r="B26199" s="8" t="str">
        <f>HYPERLINK("https://twitter.com/taesyaa__","@taesyaa__")</f>
        <v>@taesyaa__</v>
      </c>
      <c r="C26199" s="8" t="s">
        <v>10161</v>
      </c>
      <c r="D26199" s="8">
        <v>43</v>
      </c>
      <c r="E26199" s="8">
        <v>0</v>
      </c>
      <c r="F26199" s="8">
        <v>704</v>
      </c>
    </row>
    <row r="26200" spans="1:6" ht="12.75">
      <c r="A26200" s="8">
        <v>43892.673009259262</v>
      </c>
      <c r="B26200" s="8" t="str">
        <f>HYPERLINK("https://twitter.com/deenarss","@deenarss")</f>
        <v>@deenarss</v>
      </c>
      <c r="C26200" s="8" t="s">
        <v>10162</v>
      </c>
      <c r="D26200" s="8">
        <v>0</v>
      </c>
      <c r="E26200" s="8">
        <v>0</v>
      </c>
      <c r="F26200" s="8">
        <v>710</v>
      </c>
    </row>
    <row r="26201" spans="1:6" ht="12.75">
      <c r="A26201" s="8">
        <v>43892.673009259262</v>
      </c>
      <c r="B26201" s="8" t="str">
        <f>HYPERLINK("https://twitter.com/latishacaitlyn","@latishacaitlyn")</f>
        <v>@latishacaitlyn</v>
      </c>
      <c r="C26201" s="8" t="s">
        <v>10163</v>
      </c>
      <c r="D26201" s="8">
        <v>0</v>
      </c>
      <c r="E26201" s="8">
        <v>0</v>
      </c>
      <c r="F26201" s="8">
        <v>68</v>
      </c>
    </row>
    <row r="26202" spans="1:6" ht="12.75">
      <c r="A26202" s="8">
        <v>43892.672997685186</v>
      </c>
      <c r="B26202" s="8" t="str">
        <f>HYPERLINK("https://twitter.com/winterjoonie94","@winterjoonie94")</f>
        <v>@winterjoonie94</v>
      </c>
      <c r="C26202" s="8" t="s">
        <v>10164</v>
      </c>
      <c r="D26202" s="8">
        <v>0</v>
      </c>
      <c r="E26202" s="8">
        <v>1</v>
      </c>
      <c r="F26202" s="8">
        <v>990</v>
      </c>
    </row>
    <row r="26203" spans="1:6" ht="12.75">
      <c r="A26203" s="8">
        <v>43892.672986111109</v>
      </c>
      <c r="B26203" s="8" t="str">
        <f>HYPERLINK("https://twitter.com/SeptianHc","@SeptianHc")</f>
        <v>@SeptianHc</v>
      </c>
      <c r="C26203" s="8" t="s">
        <v>8632</v>
      </c>
      <c r="D26203" s="8">
        <v>25</v>
      </c>
      <c r="E26203" s="8">
        <v>0</v>
      </c>
      <c r="F26203" s="8">
        <v>270</v>
      </c>
    </row>
    <row r="26204" spans="1:6" ht="12.75">
      <c r="A26204" s="8">
        <v>43892.672974537039</v>
      </c>
      <c r="B26204" s="8" t="str">
        <f>HYPERLINK("https://twitter.com/akukentankkk","@akukentankkk")</f>
        <v>@akukentankkk</v>
      </c>
      <c r="C26204" s="8" t="s">
        <v>9945</v>
      </c>
      <c r="D26204" s="8">
        <v>976</v>
      </c>
      <c r="E26204" s="8">
        <v>0</v>
      </c>
      <c r="F26204" s="8">
        <v>18</v>
      </c>
    </row>
    <row r="26205" spans="1:6" ht="12.75">
      <c r="A26205" s="8">
        <v>43892.672951388886</v>
      </c>
      <c r="B26205" s="8" t="str">
        <f>HYPERLINK("https://twitter.com/akugapunyaname","@akugapunyaname")</f>
        <v>@akugapunyaname</v>
      </c>
      <c r="C26205" s="8" t="s">
        <v>4477</v>
      </c>
      <c r="D26205" s="8">
        <v>408</v>
      </c>
      <c r="E26205" s="8">
        <v>0</v>
      </c>
      <c r="F26205" s="8">
        <v>7</v>
      </c>
    </row>
    <row r="26206" spans="1:6" ht="12.75">
      <c r="A26206" s="8">
        <v>43892.672905092593</v>
      </c>
      <c r="B26206" s="8" t="str">
        <f>HYPERLINK("https://twitter.com/Rhoonee","@Rhoonee")</f>
        <v>@Rhoonee</v>
      </c>
      <c r="C26206" s="8" t="s">
        <v>6832</v>
      </c>
      <c r="D26206" s="8">
        <v>157</v>
      </c>
      <c r="E26206" s="8">
        <v>0</v>
      </c>
      <c r="F26206" s="8">
        <v>706</v>
      </c>
    </row>
    <row r="26207" spans="1:6" ht="12.75">
      <c r="A26207" s="8">
        <v>43892.672905092593</v>
      </c>
      <c r="B26207" s="8" t="str">
        <f>HYPERLINK("https://twitter.com/paapiyo1","@paapiyo1")</f>
        <v>@paapiyo1</v>
      </c>
      <c r="C26207" s="8" t="s">
        <v>6832</v>
      </c>
      <c r="D26207" s="8">
        <v>157</v>
      </c>
      <c r="E26207" s="8">
        <v>0</v>
      </c>
      <c r="F26207" s="8">
        <v>277</v>
      </c>
    </row>
    <row r="26208" spans="1:6" ht="12.75">
      <c r="A26208" s="8">
        <v>43892.672893518524</v>
      </c>
      <c r="B26208" s="8" t="str">
        <f>HYPERLINK("https://twitter.com/guratmaya","@guratmaya")</f>
        <v>@guratmaya</v>
      </c>
      <c r="C26208" s="8" t="s">
        <v>9789</v>
      </c>
      <c r="D26208" s="8">
        <v>45</v>
      </c>
      <c r="E26208" s="8">
        <v>0</v>
      </c>
      <c r="F26208" s="8">
        <v>137</v>
      </c>
    </row>
    <row r="26209" spans="1:6" ht="12.75">
      <c r="A26209" s="8">
        <v>43892.672893518524</v>
      </c>
      <c r="B26209" s="8" t="str">
        <f>HYPERLINK("https://twitter.com/DebbyNiken","@DebbyNiken")</f>
        <v>@DebbyNiken</v>
      </c>
      <c r="C26209" s="8" t="s">
        <v>2199</v>
      </c>
      <c r="D26209" s="8">
        <v>6051</v>
      </c>
      <c r="E26209" s="8">
        <v>0</v>
      </c>
      <c r="F26209" s="8">
        <v>525</v>
      </c>
    </row>
    <row r="26210" spans="1:6" ht="12.75">
      <c r="A26210" s="8">
        <v>43892.67287037037</v>
      </c>
      <c r="B26210" s="8" t="str">
        <f>HYPERLINK("https://twitter.com/NabilahAbdussa1","@NabilahAbdussa1")</f>
        <v>@NabilahAbdussa1</v>
      </c>
      <c r="C26210" s="8" t="s">
        <v>8632</v>
      </c>
      <c r="D26210" s="8">
        <v>25</v>
      </c>
      <c r="E26210" s="8">
        <v>0</v>
      </c>
      <c r="F26210" s="8">
        <v>514</v>
      </c>
    </row>
    <row r="26211" spans="1:6" ht="12.75">
      <c r="A26211" s="8">
        <v>43892.672858796301</v>
      </c>
      <c r="B26211" s="8" t="str">
        <f>HYPERLINK("https://twitter.com/rebahansaja","@rebahansaja")</f>
        <v>@rebahansaja</v>
      </c>
      <c r="C26211" s="8" t="s">
        <v>2199</v>
      </c>
      <c r="D26211" s="8">
        <v>6051</v>
      </c>
      <c r="E26211" s="8">
        <v>0</v>
      </c>
      <c r="F26211" s="8">
        <v>38</v>
      </c>
    </row>
    <row r="26212" spans="1:6" ht="12.75">
      <c r="A26212" s="8">
        <v>43892.672858796301</v>
      </c>
      <c r="B26212" s="8" t="str">
        <f>HYPERLINK("https://twitter.com/AlexMsiagian","@AlexMsiagian")</f>
        <v>@AlexMsiagian</v>
      </c>
      <c r="C26212" s="8" t="s">
        <v>2962</v>
      </c>
      <c r="D26212" s="8">
        <v>1767</v>
      </c>
      <c r="E26212" s="8">
        <v>0</v>
      </c>
      <c r="F26212" s="8">
        <v>120</v>
      </c>
    </row>
    <row r="26213" spans="1:6" ht="12.75">
      <c r="A26213" s="8">
        <v>43892.672835648147</v>
      </c>
      <c r="B26213" s="8" t="str">
        <f>HYPERLINK("https://twitter.com/giatlsprsa","@giatlsprsa")</f>
        <v>@giatlsprsa</v>
      </c>
      <c r="C26213" s="8" t="s">
        <v>8632</v>
      </c>
      <c r="D26213" s="8">
        <v>25</v>
      </c>
      <c r="E26213" s="8">
        <v>0</v>
      </c>
      <c r="F26213" s="8">
        <v>2382</v>
      </c>
    </row>
    <row r="26214" spans="1:6" ht="12.75">
      <c r="A26214" s="8">
        <v>43892.672800925924</v>
      </c>
      <c r="B26214" s="8" t="str">
        <f>HYPERLINK("https://twitter.com/bedasikit","@bedasikit")</f>
        <v>@bedasikit</v>
      </c>
      <c r="C26214" s="8" t="s">
        <v>8632</v>
      </c>
      <c r="D26214" s="8">
        <v>25</v>
      </c>
      <c r="E26214" s="8">
        <v>0</v>
      </c>
      <c r="F26214" s="8">
        <v>618</v>
      </c>
    </row>
    <row r="26215" spans="1:6" ht="12.75">
      <c r="A26215" s="8">
        <v>43892.672800925924</v>
      </c>
      <c r="B26215" s="8" t="str">
        <f>HYPERLINK("https://twitter.com/wawan428","@wawan428")</f>
        <v>@wawan428</v>
      </c>
      <c r="C26215" s="8" t="s">
        <v>2962</v>
      </c>
      <c r="D26215" s="8">
        <v>1767</v>
      </c>
      <c r="E26215" s="8">
        <v>0</v>
      </c>
      <c r="F26215" s="8">
        <v>31</v>
      </c>
    </row>
    <row r="26216" spans="1:6" ht="12.75">
      <c r="A26216" s="8">
        <v>43892.672754629632</v>
      </c>
      <c r="B26216" s="8" t="str">
        <f>HYPERLINK("https://twitter.com/mylullaby11","@mylullaby11")</f>
        <v>@mylullaby11</v>
      </c>
      <c r="C26216" s="8" t="s">
        <v>2962</v>
      </c>
      <c r="D26216" s="8">
        <v>1767</v>
      </c>
      <c r="E26216" s="8">
        <v>0</v>
      </c>
      <c r="F26216" s="8">
        <v>2</v>
      </c>
    </row>
    <row r="26217" spans="1:6" ht="12.75">
      <c r="A26217" s="8">
        <v>43892.672754629632</v>
      </c>
      <c r="B26217" s="8" t="str">
        <f>HYPERLINK("https://twitter.com/Heeeyyyooo3","@Heeeyyyooo3")</f>
        <v>@Heeeyyyooo3</v>
      </c>
      <c r="C26217" s="8" t="s">
        <v>2199</v>
      </c>
      <c r="D26217" s="8">
        <v>6051</v>
      </c>
      <c r="E26217" s="8">
        <v>0</v>
      </c>
      <c r="F26217" s="8">
        <v>922</v>
      </c>
    </row>
    <row r="26218" spans="1:6" ht="12.75">
      <c r="A26218" s="8">
        <v>43892.672743055555</v>
      </c>
      <c r="B26218" s="8" t="str">
        <f>HYPERLINK("https://twitter.com/abangtegar","@abangtegar")</f>
        <v>@abangtegar</v>
      </c>
      <c r="C26218" s="8" t="s">
        <v>8632</v>
      </c>
      <c r="D26218" s="8">
        <v>25</v>
      </c>
      <c r="E26218" s="8">
        <v>0</v>
      </c>
      <c r="F26218" s="8">
        <v>330</v>
      </c>
    </row>
    <row r="26219" spans="1:6" ht="12.75">
      <c r="A26219" s="8">
        <v>43892.672731481478</v>
      </c>
      <c r="B26219" s="8" t="str">
        <f>HYPERLINK("https://twitter.com/Maspah_","@Maspah_")</f>
        <v>@Maspah_</v>
      </c>
      <c r="C26219" s="8" t="s">
        <v>2962</v>
      </c>
      <c r="D26219" s="8">
        <v>1767</v>
      </c>
      <c r="E26219" s="8">
        <v>0</v>
      </c>
      <c r="F26219" s="8">
        <v>508</v>
      </c>
    </row>
    <row r="26220" spans="1:6" ht="12.75">
      <c r="A26220" s="8">
        <v>43892.672719907408</v>
      </c>
      <c r="B26220" s="8" t="str">
        <f>HYPERLINK("https://twitter.com/_peachiigloss","@_peachiigloss")</f>
        <v>@_peachiigloss</v>
      </c>
      <c r="C26220" s="8" t="s">
        <v>9945</v>
      </c>
      <c r="D26220" s="8">
        <v>976</v>
      </c>
      <c r="E26220" s="8">
        <v>0</v>
      </c>
      <c r="F26220" s="8">
        <v>10</v>
      </c>
    </row>
    <row r="26221" spans="1:6" ht="12.75">
      <c r="A26221" s="8">
        <v>43892.672696759255</v>
      </c>
      <c r="B26221" s="8" t="str">
        <f>HYPERLINK("https://twitter.com/Upik1610","@Upik1610")</f>
        <v>@Upik1610</v>
      </c>
      <c r="C26221" s="8" t="s">
        <v>10165</v>
      </c>
      <c r="D26221" s="8">
        <v>4</v>
      </c>
      <c r="E26221" s="8">
        <v>0</v>
      </c>
      <c r="F26221" s="8">
        <v>815</v>
      </c>
    </row>
    <row r="26222" spans="1:6" ht="12.75">
      <c r="A26222" s="8">
        <v>43892.672696759255</v>
      </c>
      <c r="B26222" s="8" t="str">
        <f>HYPERLINK("https://twitter.com/EricssenWen","@EricssenWen")</f>
        <v>@EricssenWen</v>
      </c>
      <c r="C26222" s="8" t="s">
        <v>10166</v>
      </c>
      <c r="D26222" s="8">
        <v>0</v>
      </c>
      <c r="E26222" s="8">
        <v>0</v>
      </c>
      <c r="F26222" s="8">
        <v>1908</v>
      </c>
    </row>
    <row r="26223" spans="1:6" ht="12.75">
      <c r="A26223" s="8">
        <v>43892.672685185185</v>
      </c>
      <c r="B26223" s="8" t="str">
        <f>HYPERLINK("https://twitter.com/dimasbagaskr","@dimasbagaskr")</f>
        <v>@dimasbagaskr</v>
      </c>
      <c r="C26223" s="8" t="s">
        <v>8632</v>
      </c>
      <c r="D26223" s="8">
        <v>25</v>
      </c>
      <c r="E26223" s="8">
        <v>0</v>
      </c>
      <c r="F26223" s="8">
        <v>104</v>
      </c>
    </row>
    <row r="26224" spans="1:6" ht="12.75">
      <c r="A26224" s="8">
        <v>43892.672638888893</v>
      </c>
      <c r="B26224" s="8" t="str">
        <f>HYPERLINK("https://twitter.com/vciolin","@vciolin")</f>
        <v>@vciolin</v>
      </c>
      <c r="C26224" s="8" t="s">
        <v>2962</v>
      </c>
      <c r="D26224" s="8">
        <v>1767</v>
      </c>
      <c r="E26224" s="8">
        <v>0</v>
      </c>
      <c r="F26224" s="8">
        <v>332</v>
      </c>
    </row>
    <row r="26225" spans="1:6" ht="12.75">
      <c r="A26225" s="8">
        <v>43892.67260416667</v>
      </c>
      <c r="B26225" s="8" t="str">
        <f>HYPERLINK("https://twitter.com/adc1408","@adc1408")</f>
        <v>@adc1408</v>
      </c>
      <c r="C26225" s="8" t="s">
        <v>10167</v>
      </c>
      <c r="D26225" s="8">
        <v>2</v>
      </c>
      <c r="E26225" s="8">
        <v>0</v>
      </c>
      <c r="F26225" s="8">
        <v>92</v>
      </c>
    </row>
    <row r="26226" spans="1:6" ht="12.75">
      <c r="A26226" s="8">
        <v>43892.67260416667</v>
      </c>
      <c r="B26226" s="8" t="str">
        <f>HYPERLINK("https://twitter.com/EliteInteligent","@EliteInteligent")</f>
        <v>@EliteInteligent</v>
      </c>
      <c r="C26226" s="8" t="s">
        <v>10168</v>
      </c>
      <c r="D26226" s="8">
        <v>1</v>
      </c>
      <c r="E26226" s="8">
        <v>0</v>
      </c>
      <c r="F26226" s="8">
        <v>1451</v>
      </c>
    </row>
    <row r="26227" spans="1:6" ht="12.75">
      <c r="A26227" s="8">
        <v>43892.672581018516</v>
      </c>
      <c r="B26227" s="8" t="str">
        <f>HYPERLINK("https://twitter.com/ahyani05","@ahyani05")</f>
        <v>@ahyani05</v>
      </c>
      <c r="C26227" s="8" t="s">
        <v>3850</v>
      </c>
      <c r="D26227" s="8">
        <v>1407</v>
      </c>
      <c r="E26227" s="8">
        <v>0</v>
      </c>
      <c r="F26227" s="8">
        <v>425</v>
      </c>
    </row>
    <row r="26228" spans="1:6" ht="12.75">
      <c r="A26228" s="8">
        <v>43892.672581018516</v>
      </c>
      <c r="B26228" s="8" t="str">
        <f>HYPERLINK("https://twitter.com/Wahyonoeltech","@Wahyonoeltech")</f>
        <v>@Wahyonoeltech</v>
      </c>
      <c r="C26228" s="8" t="s">
        <v>6832</v>
      </c>
      <c r="D26228" s="8">
        <v>157</v>
      </c>
      <c r="E26228" s="8">
        <v>0</v>
      </c>
      <c r="F26228" s="8">
        <v>194</v>
      </c>
    </row>
    <row r="26229" spans="1:6" ht="12.75">
      <c r="A26229" s="8">
        <v>43892.672569444447</v>
      </c>
      <c r="B26229" s="8" t="str">
        <f>HYPERLINK("https://twitter.com/indra_purn21","@indra_purn21")</f>
        <v>@indra_purn21</v>
      </c>
      <c r="C26229" s="8" t="s">
        <v>10169</v>
      </c>
      <c r="D26229" s="8">
        <v>0</v>
      </c>
      <c r="E26229" s="8">
        <v>0</v>
      </c>
      <c r="F26229" s="8">
        <v>6</v>
      </c>
    </row>
    <row r="26230" spans="1:6" ht="12.75">
      <c r="A26230" s="8">
        <v>43892.67255787037</v>
      </c>
      <c r="B26230" s="8" t="str">
        <f>HYPERLINK("https://twitter.com/endeeste","@endeeste")</f>
        <v>@endeeste</v>
      </c>
      <c r="C26230" s="8" t="s">
        <v>9859</v>
      </c>
      <c r="D26230" s="8">
        <v>65</v>
      </c>
      <c r="E26230" s="8">
        <v>0</v>
      </c>
      <c r="F26230" s="8">
        <v>233</v>
      </c>
    </row>
    <row r="26231" spans="1:6" ht="12.75">
      <c r="A26231" s="8">
        <v>43892.672546296293</v>
      </c>
      <c r="B26231" s="8" t="str">
        <f>HYPERLINK("https://twitter.com/SINDOnews","@SINDOnews")</f>
        <v>@SINDOnews</v>
      </c>
      <c r="C26231" s="8" t="s">
        <v>10170</v>
      </c>
      <c r="D26231" s="8">
        <v>0</v>
      </c>
      <c r="E26231" s="8">
        <v>0</v>
      </c>
      <c r="F26231" s="8">
        <v>271414</v>
      </c>
    </row>
    <row r="26232" spans="1:6" ht="12.75">
      <c r="A26232" s="8">
        <v>43892.672523148147</v>
      </c>
      <c r="B26232" s="8" t="str">
        <f>HYPERLINK("https://twitter.com/riwien","@riwien")</f>
        <v>@riwien</v>
      </c>
      <c r="C26232" s="8" t="s">
        <v>7461</v>
      </c>
      <c r="D26232" s="8">
        <v>35</v>
      </c>
      <c r="E26232" s="8">
        <v>0</v>
      </c>
      <c r="F26232" s="8">
        <v>110</v>
      </c>
    </row>
    <row r="26233" spans="1:6" ht="12.75">
      <c r="A26233" s="8">
        <v>43892.672523148147</v>
      </c>
      <c r="B26233" s="8" t="str">
        <f>HYPERLINK("https://twitter.com/3GIT","@3GIT")</f>
        <v>@3GIT</v>
      </c>
      <c r="C26233" s="8" t="s">
        <v>6832</v>
      </c>
      <c r="D26233" s="8">
        <v>157</v>
      </c>
      <c r="E26233" s="8">
        <v>0</v>
      </c>
      <c r="F26233" s="8">
        <v>223</v>
      </c>
    </row>
    <row r="26234" spans="1:6" ht="12.75">
      <c r="A26234" s="8">
        <v>43892.672430555554</v>
      </c>
      <c r="B26234" s="8" t="str">
        <f>HYPERLINK("https://twitter.com/aiinaawesome","@aiinaawesome")</f>
        <v>@aiinaawesome</v>
      </c>
      <c r="C26234" s="8" t="s">
        <v>9701</v>
      </c>
      <c r="D26234" s="8">
        <v>1144</v>
      </c>
      <c r="E26234" s="8">
        <v>0</v>
      </c>
      <c r="F26234" s="8">
        <v>746</v>
      </c>
    </row>
    <row r="26235" spans="1:6" ht="12.75">
      <c r="A26235" s="8">
        <v>43892.672430555554</v>
      </c>
      <c r="B26235" s="8" t="str">
        <f>HYPERLINK("https://twitter.com/adlynalin","@adlynalin")</f>
        <v>@adlynalin</v>
      </c>
      <c r="C26235" s="8" t="s">
        <v>2962</v>
      </c>
      <c r="D26235" s="8">
        <v>1767</v>
      </c>
      <c r="E26235" s="8">
        <v>0</v>
      </c>
      <c r="F26235" s="8">
        <v>538</v>
      </c>
    </row>
    <row r="26236" spans="1:6" ht="12.75">
      <c r="A26236" s="8">
        <v>43892.672430555554</v>
      </c>
      <c r="B26236" s="8" t="str">
        <f>HYPERLINK("https://twitter.com/shanissalamwpp","@shanissalamwpp")</f>
        <v>@shanissalamwpp</v>
      </c>
      <c r="C26236" s="8" t="s">
        <v>2962</v>
      </c>
      <c r="D26236" s="8">
        <v>1767</v>
      </c>
      <c r="E26236" s="8">
        <v>0</v>
      </c>
      <c r="F26236" s="8">
        <v>2701</v>
      </c>
    </row>
    <row r="26237" spans="1:6" ht="12.75">
      <c r="A26237" s="8">
        <v>43892.672418981485</v>
      </c>
      <c r="B26237" s="8" t="str">
        <f>HYPERLINK("https://twitter.com/nugrazee","@nugrazee")</f>
        <v>@nugrazee</v>
      </c>
      <c r="C26237" s="8" t="s">
        <v>7597</v>
      </c>
      <c r="D26237" s="8">
        <v>83</v>
      </c>
      <c r="E26237" s="8">
        <v>0</v>
      </c>
      <c r="F26237" s="8">
        <v>790</v>
      </c>
    </row>
    <row r="26238" spans="1:6" ht="12.75">
      <c r="A26238" s="8">
        <v>43892.672407407408</v>
      </c>
      <c r="B26238" s="8" t="str">
        <f>HYPERLINK("https://twitter.com/iwaksss_","@iwaksss_")</f>
        <v>@iwaksss_</v>
      </c>
      <c r="C26238" s="8" t="s">
        <v>2962</v>
      </c>
      <c r="D26238" s="8">
        <v>1767</v>
      </c>
      <c r="E26238" s="8">
        <v>0</v>
      </c>
      <c r="F26238" s="8">
        <v>69</v>
      </c>
    </row>
    <row r="26239" spans="1:6" ht="12.75">
      <c r="A26239" s="8">
        <v>43892.672407407408</v>
      </c>
      <c r="B26239" s="8" t="str">
        <f>HYPERLINK("https://twitter.com/Lukman_HARP","@Lukman_HARP")</f>
        <v>@Lukman_HARP</v>
      </c>
      <c r="C26239" s="8" t="s">
        <v>10149</v>
      </c>
      <c r="D26239" s="8">
        <v>25</v>
      </c>
      <c r="E26239" s="8">
        <v>0</v>
      </c>
      <c r="F26239" s="8">
        <v>1071</v>
      </c>
    </row>
    <row r="26240" spans="1:6" ht="12.75">
      <c r="A26240" s="8">
        <v>43892.672384259262</v>
      </c>
      <c r="B26240" s="8" t="str">
        <f>HYPERLINK("https://twitter.com/redvelveedd","@redvelveedd")</f>
        <v>@redvelveedd</v>
      </c>
      <c r="C26240" s="8" t="s">
        <v>2962</v>
      </c>
      <c r="D26240" s="8">
        <v>1767</v>
      </c>
      <c r="E26240" s="8">
        <v>0</v>
      </c>
      <c r="F26240" s="8">
        <v>22</v>
      </c>
    </row>
    <row r="26241" spans="1:6" ht="12.75">
      <c r="A26241" s="8">
        <v>43892.672372685185</v>
      </c>
      <c r="B26241" s="8" t="str">
        <f>HYPERLINK("https://twitter.com/sweetonlysins","@sweetonlysins")</f>
        <v>@sweetonlysins</v>
      </c>
      <c r="C26241" s="8" t="s">
        <v>8632</v>
      </c>
      <c r="D26241" s="8">
        <v>25</v>
      </c>
      <c r="E26241" s="8">
        <v>0</v>
      </c>
      <c r="F26241" s="8">
        <v>514</v>
      </c>
    </row>
    <row r="26242" spans="1:6" ht="12.75">
      <c r="A26242" s="8">
        <v>43892.672337962962</v>
      </c>
      <c r="B26242" s="8" t="str">
        <f>HYPERLINK("https://twitter.com/heri_ranintaqi","@heri_ranintaqi")</f>
        <v>@heri_ranintaqi</v>
      </c>
      <c r="C26242" s="8" t="s">
        <v>9300</v>
      </c>
      <c r="D26242" s="8">
        <v>29</v>
      </c>
      <c r="E26242" s="8">
        <v>0</v>
      </c>
      <c r="F26242" s="8">
        <v>308</v>
      </c>
    </row>
    <row r="26243" spans="1:6" ht="12.75">
      <c r="A26243" s="8">
        <v>43892.672326388885</v>
      </c>
      <c r="B26243" s="8" t="str">
        <f>HYPERLINK("https://twitter.com/devany_shafira","@devany_shafira")</f>
        <v>@devany_shafira</v>
      </c>
      <c r="C26243" s="8" t="s">
        <v>10171</v>
      </c>
      <c r="D26243" s="8">
        <v>1</v>
      </c>
      <c r="E26243" s="8">
        <v>0</v>
      </c>
      <c r="F26243" s="8">
        <v>365</v>
      </c>
    </row>
    <row r="26244" spans="1:6" ht="12.75">
      <c r="A26244" s="8">
        <v>43892.672326388885</v>
      </c>
      <c r="B26244" s="8" t="str">
        <f>HYPERLINK("https://twitter.com/CepotPresiden","@CepotPresiden")</f>
        <v>@CepotPresiden</v>
      </c>
      <c r="C26244" s="8" t="s">
        <v>6832</v>
      </c>
      <c r="D26244" s="8">
        <v>157</v>
      </c>
      <c r="E26244" s="8">
        <v>0</v>
      </c>
      <c r="F26244" s="8">
        <v>161</v>
      </c>
    </row>
    <row r="26245" spans="1:6" ht="12.75">
      <c r="A26245" s="8">
        <v>43892.672303240739</v>
      </c>
      <c r="B26245" s="8" t="str">
        <f>HYPERLINK("https://twitter.com/dhedearya2","@dhedearya2")</f>
        <v>@dhedearya2</v>
      </c>
      <c r="C26245" s="8" t="s">
        <v>10172</v>
      </c>
      <c r="D26245" s="8">
        <v>51</v>
      </c>
      <c r="E26245" s="8">
        <v>0</v>
      </c>
      <c r="F26245" s="8">
        <v>1</v>
      </c>
    </row>
    <row r="26246" spans="1:6" ht="12.75">
      <c r="A26246" s="8">
        <v>43892.672291666662</v>
      </c>
      <c r="B26246" s="8" t="str">
        <f>HYPERLINK("https://twitter.com/BayuKhrisna14","@BayuKhrisna14")</f>
        <v>@BayuKhrisna14</v>
      </c>
      <c r="C26246" s="8" t="s">
        <v>8632</v>
      </c>
      <c r="D26246" s="8">
        <v>25</v>
      </c>
      <c r="E26246" s="8">
        <v>0</v>
      </c>
      <c r="F26246" s="8">
        <v>626</v>
      </c>
    </row>
    <row r="26247" spans="1:6" ht="12.75">
      <c r="A26247" s="8">
        <v>43892.672280092593</v>
      </c>
      <c r="B26247" s="8" t="str">
        <f>HYPERLINK("https://twitter.com/_wisnu","@_wisnu")</f>
        <v>@_wisnu</v>
      </c>
      <c r="C26247" s="8" t="s">
        <v>9295</v>
      </c>
      <c r="D26247" s="8">
        <v>4</v>
      </c>
      <c r="E26247" s="8">
        <v>0</v>
      </c>
      <c r="F26247" s="8">
        <v>889</v>
      </c>
    </row>
    <row r="26248" spans="1:6" ht="12.75">
      <c r="A26248" s="8">
        <v>43892.672280092593</v>
      </c>
      <c r="B26248" s="8" t="str">
        <f>HYPERLINK("https://twitter.com/iaz_Raswandhi","@iaz_Raswandhi")</f>
        <v>@iaz_Raswandhi</v>
      </c>
      <c r="C26248" s="8" t="s">
        <v>2962</v>
      </c>
      <c r="D26248" s="8">
        <v>1767</v>
      </c>
      <c r="E26248" s="8">
        <v>0</v>
      </c>
      <c r="F26248" s="8">
        <v>315</v>
      </c>
    </row>
    <row r="26249" spans="1:6" ht="12.75">
      <c r="A26249" s="8">
        <v>43892.67224537037</v>
      </c>
      <c r="B26249" s="8" t="str">
        <f>HYPERLINK("https://twitter.com/bpriady","@bpriady")</f>
        <v>@bpriady</v>
      </c>
      <c r="C26249" s="8" t="s">
        <v>2962</v>
      </c>
      <c r="D26249" s="8">
        <v>1767</v>
      </c>
      <c r="E26249" s="8">
        <v>0</v>
      </c>
      <c r="F26249" s="8">
        <v>607</v>
      </c>
    </row>
    <row r="26250" spans="1:6" ht="12.75">
      <c r="A26250" s="8">
        <v>43892.6722337963</v>
      </c>
      <c r="B26250" s="8" t="str">
        <f>HYPERLINK("https://twitter.com/nadiaanurmaa","@nadiaanurmaa")</f>
        <v>@nadiaanurmaa</v>
      </c>
      <c r="C26250" s="8" t="s">
        <v>2962</v>
      </c>
      <c r="D26250" s="8">
        <v>1767</v>
      </c>
      <c r="E26250" s="8">
        <v>0</v>
      </c>
      <c r="F26250" s="8">
        <v>393</v>
      </c>
    </row>
    <row r="26251" spans="1:6" ht="12.75">
      <c r="A26251" s="8">
        <v>43892.672222222223</v>
      </c>
      <c r="B26251" s="8" t="str">
        <f>HYPERLINK("https://twitter.com/juyeondipity","@juyeondipity")</f>
        <v>@juyeondipity</v>
      </c>
      <c r="C26251" s="8" t="s">
        <v>5732</v>
      </c>
      <c r="D26251" s="8">
        <v>1692</v>
      </c>
      <c r="E26251" s="8">
        <v>0</v>
      </c>
      <c r="F26251" s="8">
        <v>330</v>
      </c>
    </row>
    <row r="26252" spans="1:6" ht="12.75">
      <c r="A26252" s="8">
        <v>43892.672210648147</v>
      </c>
      <c r="B26252" s="8" t="str">
        <f>HYPERLINK("https://twitter.com/727Omron","@727Omron")</f>
        <v>@727Omron</v>
      </c>
      <c r="C26252" s="8" t="s">
        <v>6832</v>
      </c>
      <c r="D26252" s="8">
        <v>157</v>
      </c>
      <c r="E26252" s="8">
        <v>0</v>
      </c>
      <c r="F26252" s="8">
        <v>22</v>
      </c>
    </row>
    <row r="26253" spans="1:6" ht="12.75">
      <c r="A26253" s="8">
        <v>43892.6721875</v>
      </c>
      <c r="B26253" s="8" t="str">
        <f>HYPERLINK("https://twitter.com/demokrasicoid","@demokrasicoid")</f>
        <v>@demokrasicoid</v>
      </c>
      <c r="C26253" s="8" t="s">
        <v>10173</v>
      </c>
      <c r="D26253" s="8">
        <v>2</v>
      </c>
      <c r="E26253" s="8">
        <v>0</v>
      </c>
      <c r="F26253" s="8">
        <v>22913</v>
      </c>
    </row>
    <row r="26254" spans="1:6" ht="12.75">
      <c r="A26254" s="8">
        <v>43892.672152777777</v>
      </c>
      <c r="B26254" s="8" t="str">
        <f>HYPERLINK("https://twitter.com/Mela_669","@Mela_669")</f>
        <v>@Mela_669</v>
      </c>
      <c r="C26254" s="8" t="s">
        <v>10174</v>
      </c>
      <c r="D26254" s="8">
        <v>74</v>
      </c>
      <c r="E26254" s="8">
        <v>0</v>
      </c>
      <c r="F26254" s="8">
        <v>843</v>
      </c>
    </row>
    <row r="26255" spans="1:6" ht="12.75">
      <c r="A26255" s="8">
        <v>43892.672106481477</v>
      </c>
      <c r="B26255" s="8" t="str">
        <f>HYPERLINK("https://twitter.com/titohrlmbng","@titohrlmbng")</f>
        <v>@titohrlmbng</v>
      </c>
      <c r="C26255" s="8" t="s">
        <v>9176</v>
      </c>
      <c r="D26255" s="8">
        <v>1012</v>
      </c>
      <c r="E26255" s="8">
        <v>0</v>
      </c>
      <c r="F26255" s="8">
        <v>228</v>
      </c>
    </row>
    <row r="26256" spans="1:6" ht="12.75">
      <c r="A26256" s="8">
        <v>43892.672048611115</v>
      </c>
      <c r="B26256" s="8" t="str">
        <f>HYPERLINK("https://twitter.com/GozaliEdwin","@GozaliEdwin")</f>
        <v>@GozaliEdwin</v>
      </c>
      <c r="C26256" s="8" t="s">
        <v>8963</v>
      </c>
      <c r="D26256" s="8">
        <v>62</v>
      </c>
      <c r="E26256" s="8">
        <v>0</v>
      </c>
      <c r="F26256" s="8">
        <v>66</v>
      </c>
    </row>
    <row r="26257" spans="1:6" ht="12.75">
      <c r="A26257" s="8">
        <v>43892.672048611115</v>
      </c>
      <c r="B26257" s="8" t="str">
        <f>HYPERLINK("https://twitter.com/jokobaskoro72","@jokobaskoro72")</f>
        <v>@jokobaskoro72</v>
      </c>
      <c r="C26257" s="8" t="s">
        <v>10175</v>
      </c>
      <c r="D26257" s="8">
        <v>0</v>
      </c>
      <c r="E26257" s="8">
        <v>0</v>
      </c>
      <c r="F26257" s="8">
        <v>376</v>
      </c>
    </row>
    <row r="26258" spans="1:6" ht="12.75">
      <c r="A26258" s="8">
        <v>43892.672037037039</v>
      </c>
      <c r="B26258" s="8" t="str">
        <f>HYPERLINK("https://twitter.com/fikri_2104","@fikri_2104")</f>
        <v>@fikri_2104</v>
      </c>
      <c r="C26258" s="8" t="s">
        <v>5732</v>
      </c>
      <c r="D26258" s="8">
        <v>1692</v>
      </c>
      <c r="E26258" s="8">
        <v>0</v>
      </c>
      <c r="F26258" s="8">
        <v>163</v>
      </c>
    </row>
    <row r="26259" spans="1:6" ht="12.75">
      <c r="A26259" s="8">
        <v>43892.672037037039</v>
      </c>
      <c r="B26259" s="8" t="str">
        <f>HYPERLINK("https://twitter.com/contrADDICTIVES","@contrADDICTIVES")</f>
        <v>@contrADDICTIVES</v>
      </c>
      <c r="C26259" s="8" t="s">
        <v>9684</v>
      </c>
      <c r="D26259" s="8">
        <v>92</v>
      </c>
      <c r="E26259" s="8">
        <v>0</v>
      </c>
      <c r="F26259" s="8">
        <v>1150</v>
      </c>
    </row>
    <row r="26260" spans="1:6" ht="12.75">
      <c r="A26260" s="8">
        <v>43892.672013888892</v>
      </c>
      <c r="B26260" s="8" t="str">
        <f>HYPERLINK("https://twitter.com/Hanoel5","@Hanoel5")</f>
        <v>@Hanoel5</v>
      </c>
      <c r="C26260" s="8" t="s">
        <v>10176</v>
      </c>
      <c r="D26260" s="8">
        <v>0</v>
      </c>
      <c r="E26260" s="8">
        <v>0</v>
      </c>
      <c r="F26260" s="8">
        <v>16</v>
      </c>
    </row>
    <row r="26261" spans="1:6" ht="12.75">
      <c r="A26261" s="8">
        <v>43892.672013888892</v>
      </c>
      <c r="B26261" s="8" t="str">
        <f>HYPERLINK("https://twitter.com/Wayang67913537","@Wayang67913537")</f>
        <v>@Wayang67913537</v>
      </c>
      <c r="C26261" s="8" t="s">
        <v>9039</v>
      </c>
      <c r="D26261" s="8">
        <v>23</v>
      </c>
      <c r="E26261" s="8">
        <v>0</v>
      </c>
      <c r="F26261" s="8">
        <v>80</v>
      </c>
    </row>
    <row r="26262" spans="1:6" ht="12.75">
      <c r="A26262" s="8">
        <v>43892.671979166669</v>
      </c>
      <c r="B26262" s="8" t="str">
        <f>HYPERLINK("https://twitter.com/EliteInteligent","@EliteInteligent")</f>
        <v>@EliteInteligent</v>
      </c>
      <c r="C26262" s="8" t="s">
        <v>9587</v>
      </c>
      <c r="D26262" s="8">
        <v>205</v>
      </c>
      <c r="E26262" s="8">
        <v>0</v>
      </c>
      <c r="F26262" s="8">
        <v>1451</v>
      </c>
    </row>
    <row r="26263" spans="1:6" ht="12.75">
      <c r="A26263" s="8">
        <v>43892.671956018516</v>
      </c>
      <c r="B26263" s="8" t="str">
        <f>HYPERLINK("https://twitter.com/Indonesiaberit4","@Indonesiaberit4")</f>
        <v>@Indonesiaberit4</v>
      </c>
      <c r="C26263" s="8" t="s">
        <v>10177</v>
      </c>
      <c r="D26263" s="8">
        <v>0</v>
      </c>
      <c r="E26263" s="8">
        <v>0</v>
      </c>
      <c r="F26263" s="8">
        <v>495</v>
      </c>
    </row>
    <row r="26264" spans="1:6" ht="12.75">
      <c r="A26264" s="8">
        <v>43892.671921296293</v>
      </c>
      <c r="B26264" s="8" t="str">
        <f>HYPERLINK("https://twitter.com/eva_nvta","@eva_nvta")</f>
        <v>@eva_nvta</v>
      </c>
      <c r="C26264" s="8" t="s">
        <v>10167</v>
      </c>
      <c r="D26264" s="8">
        <v>2</v>
      </c>
      <c r="E26264" s="8">
        <v>0</v>
      </c>
      <c r="F26264" s="8">
        <v>175</v>
      </c>
    </row>
    <row r="26265" spans="1:6" ht="12.75">
      <c r="A26265" s="8">
        <v>43892.671921296293</v>
      </c>
      <c r="B26265" s="8" t="str">
        <f>HYPERLINK("https://twitter.com/nesvlo","@nesvlo")</f>
        <v>@nesvlo</v>
      </c>
      <c r="C26265" s="8" t="s">
        <v>8632</v>
      </c>
      <c r="D26265" s="8">
        <v>25</v>
      </c>
      <c r="E26265" s="8">
        <v>0</v>
      </c>
      <c r="F26265" s="8">
        <v>226</v>
      </c>
    </row>
    <row r="26266" spans="1:6" ht="12.75">
      <c r="A26266" s="8">
        <v>43892.67188657407</v>
      </c>
      <c r="B26266" s="8" t="str">
        <f>HYPERLINK("https://twitter.com/Hamtaro93227328","@Hamtaro93227328")</f>
        <v>@Hamtaro93227328</v>
      </c>
      <c r="C26266" s="8" t="s">
        <v>4477</v>
      </c>
      <c r="D26266" s="8">
        <v>408</v>
      </c>
      <c r="E26266" s="8">
        <v>0</v>
      </c>
      <c r="F26266" s="8">
        <v>7</v>
      </c>
    </row>
    <row r="26267" spans="1:6" ht="12.75">
      <c r="A26267" s="8">
        <v>43892.671875</v>
      </c>
      <c r="B26267" s="8" t="str">
        <f>HYPERLINK("https://twitter.com/ayujas","@ayujas")</f>
        <v>@ayujas</v>
      </c>
      <c r="C26267" s="8" t="s">
        <v>8632</v>
      </c>
      <c r="D26267" s="8">
        <v>25</v>
      </c>
      <c r="E26267" s="8">
        <v>0</v>
      </c>
      <c r="F26267" s="8">
        <v>2090</v>
      </c>
    </row>
    <row r="26268" spans="1:6" ht="12.75">
      <c r="A26268" s="8">
        <v>43892.67186342593</v>
      </c>
      <c r="B26268" s="8" t="str">
        <f>HYPERLINK("https://twitter.com/Novirana1","@Novirana1")</f>
        <v>@Novirana1</v>
      </c>
      <c r="C26268" s="8" t="s">
        <v>10103</v>
      </c>
      <c r="D26268" s="8">
        <v>99</v>
      </c>
      <c r="E26268" s="8">
        <v>0</v>
      </c>
      <c r="F26268" s="8">
        <v>579</v>
      </c>
    </row>
    <row r="26269" spans="1:6" ht="12.75">
      <c r="A26269" s="8">
        <v>43892.671851851846</v>
      </c>
      <c r="B26269" s="8" t="str">
        <f>HYPERLINK("https://twitter.com/karyawan_biasa","@karyawan_biasa")</f>
        <v>@karyawan_biasa</v>
      </c>
      <c r="C26269" s="8" t="s">
        <v>9895</v>
      </c>
      <c r="D26269" s="8">
        <v>115</v>
      </c>
      <c r="E26269" s="8">
        <v>0</v>
      </c>
      <c r="F26269" s="8">
        <v>2684</v>
      </c>
    </row>
    <row r="26270" spans="1:6" ht="12.75">
      <c r="A26270" s="8">
        <v>43892.671840277777</v>
      </c>
      <c r="B26270" s="8" t="str">
        <f>HYPERLINK("https://twitter.com/PengembaraBurjo","@PengembaraBurjo")</f>
        <v>@PengembaraBurjo</v>
      </c>
      <c r="C26270" s="8" t="s">
        <v>8322</v>
      </c>
      <c r="D26270" s="8">
        <v>251</v>
      </c>
      <c r="E26270" s="8">
        <v>0</v>
      </c>
      <c r="F26270" s="8">
        <v>30</v>
      </c>
    </row>
    <row r="26271" spans="1:6" ht="12.75">
      <c r="A26271" s="8">
        <v>43892.671828703707</v>
      </c>
      <c r="B26271" s="8" t="str">
        <f>HYPERLINK("https://twitter.com/M4rselo","@M4rselo")</f>
        <v>@M4rselo</v>
      </c>
      <c r="C26271" s="8" t="s">
        <v>3648</v>
      </c>
      <c r="D26271" s="8">
        <v>521</v>
      </c>
      <c r="E26271" s="8">
        <v>0</v>
      </c>
      <c r="F26271" s="8">
        <v>74</v>
      </c>
    </row>
    <row r="26272" spans="1:6" ht="12.75">
      <c r="A26272" s="8">
        <v>43892.671817129631</v>
      </c>
      <c r="B26272" s="8" t="str">
        <f>HYPERLINK("https://twitter.com/senengmulu","@senengmulu")</f>
        <v>@senengmulu</v>
      </c>
      <c r="C26272" s="8" t="s">
        <v>4454</v>
      </c>
      <c r="D26272" s="8">
        <v>7</v>
      </c>
      <c r="E26272" s="8">
        <v>0</v>
      </c>
      <c r="F26272" s="8">
        <v>555</v>
      </c>
    </row>
    <row r="26273" spans="1:6" ht="12.75">
      <c r="A26273" s="8">
        <v>43892.671817129631</v>
      </c>
      <c r="B26273" s="8" t="str">
        <f>HYPERLINK("https://twitter.com/ekaprim1","@ekaprim1")</f>
        <v>@ekaprim1</v>
      </c>
      <c r="C26273" s="8" t="s">
        <v>8632</v>
      </c>
      <c r="D26273" s="8">
        <v>25</v>
      </c>
      <c r="E26273" s="8">
        <v>0</v>
      </c>
      <c r="F26273" s="8">
        <v>359</v>
      </c>
    </row>
    <row r="26274" spans="1:6" ht="12.75">
      <c r="A26274" s="8">
        <v>43892.671805555554</v>
      </c>
      <c r="B26274" s="8" t="str">
        <f>HYPERLINK("https://twitter.com/Indra_WNI","@Indra_WNI")</f>
        <v>@Indra_WNI</v>
      </c>
      <c r="C26274" s="8" t="s">
        <v>10178</v>
      </c>
      <c r="D26274" s="8">
        <v>252</v>
      </c>
      <c r="E26274" s="8">
        <v>0</v>
      </c>
      <c r="F26274" s="8">
        <v>182</v>
      </c>
    </row>
    <row r="26275" spans="1:6" ht="12.75">
      <c r="A26275" s="8">
        <v>43892.671793981484</v>
      </c>
      <c r="B26275" s="8" t="str">
        <f>HYPERLINK("https://twitter.com/sanjunisme_","@sanjunisme_")</f>
        <v>@sanjunisme_</v>
      </c>
      <c r="C26275" s="8" t="s">
        <v>8632</v>
      </c>
      <c r="D26275" s="8">
        <v>25</v>
      </c>
      <c r="E26275" s="8">
        <v>0</v>
      </c>
      <c r="F26275" s="8">
        <v>559</v>
      </c>
    </row>
    <row r="26276" spans="1:6" ht="12.75">
      <c r="A26276" s="8">
        <v>43892.671782407408</v>
      </c>
      <c r="B26276" s="8" t="str">
        <f>HYPERLINK("https://twitter.com/adirafra","@adirafra")</f>
        <v>@adirafra</v>
      </c>
      <c r="C26276" s="8" t="s">
        <v>9908</v>
      </c>
      <c r="D26276" s="8">
        <v>469</v>
      </c>
      <c r="E26276" s="8">
        <v>0</v>
      </c>
      <c r="F26276" s="8">
        <v>335</v>
      </c>
    </row>
    <row r="26277" spans="1:6" ht="12.75">
      <c r="A26277" s="8">
        <v>43892.671782407408</v>
      </c>
      <c r="B26277" s="8" t="str">
        <f>HYPERLINK("https://twitter.com/sapputrisk","@sapputrisk")</f>
        <v>@sapputrisk</v>
      </c>
      <c r="C26277" s="8" t="s">
        <v>10179</v>
      </c>
      <c r="D26277" s="8">
        <v>0</v>
      </c>
      <c r="E26277" s="8">
        <v>0</v>
      </c>
      <c r="F26277" s="8">
        <v>200</v>
      </c>
    </row>
    <row r="26278" spans="1:6" ht="12.75">
      <c r="A26278" s="8">
        <v>43892.671770833331</v>
      </c>
      <c r="B26278" s="8" t="str">
        <f>HYPERLINK("https://twitter.com/PengembaraBurjo","@PengembaraBurjo")</f>
        <v>@PengembaraBurjo</v>
      </c>
      <c r="C26278" s="8" t="s">
        <v>6832</v>
      </c>
      <c r="D26278" s="8">
        <v>157</v>
      </c>
      <c r="E26278" s="8">
        <v>0</v>
      </c>
      <c r="F26278" s="8">
        <v>30</v>
      </c>
    </row>
    <row r="26279" spans="1:6" ht="12.75">
      <c r="A26279" s="8">
        <v>43892.671747685185</v>
      </c>
      <c r="B26279" s="8" t="str">
        <f>HYPERLINK("https://twitter.com/dennyyanuar","@dennyyanuar")</f>
        <v>@dennyyanuar</v>
      </c>
      <c r="C26279" s="8" t="s">
        <v>10081</v>
      </c>
      <c r="D26279" s="8">
        <v>228</v>
      </c>
      <c r="E26279" s="8">
        <v>0</v>
      </c>
      <c r="F26279" s="8">
        <v>1014</v>
      </c>
    </row>
    <row r="26280" spans="1:6" ht="12.75">
      <c r="A26280" s="8">
        <v>43892.63181712963</v>
      </c>
      <c r="B26280" s="8" t="str">
        <f>HYPERLINK("https://twitter.com/SaputraBerman","@SaputraBerman")</f>
        <v>@SaputraBerman</v>
      </c>
      <c r="C26280" s="8" t="s">
        <v>1986</v>
      </c>
      <c r="D26280" s="8">
        <v>100</v>
      </c>
      <c r="E26280" s="8">
        <v>0</v>
      </c>
      <c r="F26280" s="8">
        <v>77</v>
      </c>
    </row>
    <row r="26281" spans="1:6" ht="12.75">
      <c r="A26281" s="8">
        <v>43892.631793981476</v>
      </c>
      <c r="B26281" s="8" t="str">
        <f>HYPERLINK("https://twitter.com/SrLestariM","@SrLestariM")</f>
        <v>@SrLestariM</v>
      </c>
      <c r="C26281" s="8" t="s">
        <v>10180</v>
      </c>
      <c r="D26281" s="8">
        <v>1</v>
      </c>
      <c r="E26281" s="8">
        <v>0</v>
      </c>
      <c r="F26281" s="8">
        <v>864</v>
      </c>
    </row>
    <row r="26282" spans="1:6" ht="12.75">
      <c r="A26282" s="8">
        <v>43892.631782407407</v>
      </c>
      <c r="B26282" s="8" t="str">
        <f>HYPERLINK("https://twitter.com/nurcitraamallya","@nurcitraamallya")</f>
        <v>@nurcitraamallya</v>
      </c>
      <c r="C26282" s="8" t="s">
        <v>8737</v>
      </c>
      <c r="D26282" s="8">
        <v>1073</v>
      </c>
      <c r="E26282" s="8">
        <v>0</v>
      </c>
      <c r="F26282" s="8">
        <v>432</v>
      </c>
    </row>
    <row r="26283" spans="1:6" ht="12.75">
      <c r="A26283" s="8">
        <v>43892.631770833337</v>
      </c>
      <c r="B26283" s="8" t="str">
        <f>HYPERLINK("https://twitter.com/kochengggggg","@kochengggggg")</f>
        <v>@kochengggggg</v>
      </c>
      <c r="C26283" s="8" t="s">
        <v>2962</v>
      </c>
      <c r="D26283" s="8">
        <v>1332</v>
      </c>
      <c r="E26283" s="8">
        <v>0</v>
      </c>
      <c r="F26283" s="8">
        <v>17</v>
      </c>
    </row>
    <row r="26284" spans="1:6" ht="12.75">
      <c r="A26284" s="8">
        <v>43892.631747685184</v>
      </c>
      <c r="B26284" s="8" t="str">
        <f>HYPERLINK("https://twitter.com/Soehandika_","@Soehandika_")</f>
        <v>@Soehandika_</v>
      </c>
      <c r="C26284" s="8" t="s">
        <v>8737</v>
      </c>
      <c r="D26284" s="8">
        <v>1073</v>
      </c>
      <c r="E26284" s="8">
        <v>0</v>
      </c>
      <c r="F26284" s="8">
        <v>352</v>
      </c>
    </row>
    <row r="26285" spans="1:6" ht="12.75">
      <c r="A26285" s="8">
        <v>43892.631724537037</v>
      </c>
      <c r="B26285" s="8" t="str">
        <f>HYPERLINK("https://twitter.com/Lvckiestbastard","@Lvckiestbastard")</f>
        <v>@Lvckiestbastard</v>
      </c>
      <c r="C26285" s="8" t="s">
        <v>1145</v>
      </c>
      <c r="D26285" s="8">
        <v>171</v>
      </c>
      <c r="E26285" s="8">
        <v>0</v>
      </c>
      <c r="F26285" s="8">
        <v>452</v>
      </c>
    </row>
    <row r="26286" spans="1:6" ht="12.75">
      <c r="A26286" s="8">
        <v>43892.631712962961</v>
      </c>
      <c r="B26286" s="8" t="str">
        <f>HYPERLINK("https://twitter.com/gembira683101","@gembira683101")</f>
        <v>@gembira683101</v>
      </c>
      <c r="C26286" s="8" t="s">
        <v>10181</v>
      </c>
      <c r="D26286" s="8">
        <v>14</v>
      </c>
      <c r="E26286" s="8">
        <v>0</v>
      </c>
      <c r="F26286" s="8">
        <v>248</v>
      </c>
    </row>
    <row r="26287" spans="1:6" ht="12.75">
      <c r="A26287" s="8">
        <v>43892.631701388891</v>
      </c>
      <c r="B26287" s="8" t="str">
        <f>HYPERLINK("https://twitter.com/PranotoHendrik","@PranotoHendrik")</f>
        <v>@PranotoHendrik</v>
      </c>
      <c r="C26287" s="8" t="s">
        <v>10182</v>
      </c>
      <c r="D26287" s="8">
        <v>35</v>
      </c>
      <c r="E26287" s="8">
        <v>0</v>
      </c>
      <c r="F26287" s="8">
        <v>98</v>
      </c>
    </row>
    <row r="26288" spans="1:6" ht="12.75">
      <c r="A26288" s="8">
        <v>43892.631678240738</v>
      </c>
      <c r="B26288" s="8" t="str">
        <f>HYPERLINK("https://twitter.com/fathurb364l","@fathurb364l")</f>
        <v>@fathurb364l</v>
      </c>
      <c r="C26288" s="8" t="s">
        <v>8322</v>
      </c>
      <c r="D26288" s="8">
        <v>191</v>
      </c>
      <c r="E26288" s="8">
        <v>0</v>
      </c>
      <c r="F26288" s="8">
        <v>469</v>
      </c>
    </row>
    <row r="26289" spans="1:6" ht="12.75">
      <c r="A26289" s="8">
        <v>43892.631631944445</v>
      </c>
      <c r="B26289" s="8" t="str">
        <f>HYPERLINK("https://twitter.com/yourlastnameis","@yourlastnameis")</f>
        <v>@yourlastnameis</v>
      </c>
      <c r="C26289" s="8" t="s">
        <v>8842</v>
      </c>
      <c r="D26289" s="8">
        <v>19</v>
      </c>
      <c r="E26289" s="8">
        <v>0</v>
      </c>
      <c r="F26289" s="8">
        <v>428</v>
      </c>
    </row>
    <row r="26290" spans="1:6" ht="12.75">
      <c r="A26290" s="8">
        <v>43892.631620370375</v>
      </c>
      <c r="B26290" s="8" t="str">
        <f>HYPERLINK("https://twitter.com/lamajeste10101","@lamajeste10101")</f>
        <v>@lamajeste10101</v>
      </c>
      <c r="C26290" s="8" t="s">
        <v>6832</v>
      </c>
      <c r="D26290" s="8">
        <v>30</v>
      </c>
      <c r="E26290" s="8">
        <v>0</v>
      </c>
      <c r="F26290" s="8">
        <v>612</v>
      </c>
    </row>
    <row r="26291" spans="1:6" ht="12.75">
      <c r="A26291" s="8">
        <v>43892.631608796291</v>
      </c>
      <c r="B26291" s="8" t="str">
        <f>HYPERLINK("https://twitter.com/aryoo_dwi","@aryoo_dwi")</f>
        <v>@aryoo_dwi</v>
      </c>
      <c r="C26291" s="8" t="s">
        <v>2962</v>
      </c>
      <c r="D26291" s="8">
        <v>1332</v>
      </c>
      <c r="E26291" s="8">
        <v>0</v>
      </c>
      <c r="F26291" s="8">
        <v>37</v>
      </c>
    </row>
    <row r="26292" spans="1:6" ht="12.75">
      <c r="A26292" s="8">
        <v>43892.631608796291</v>
      </c>
      <c r="B26292" s="8" t="str">
        <f>HYPERLINK("https://twitter.com/tvOneNews","@tvOneNews")</f>
        <v>@tvOneNews</v>
      </c>
      <c r="C26292" s="8" t="s">
        <v>10183</v>
      </c>
      <c r="D26292" s="8">
        <v>0</v>
      </c>
      <c r="E26292" s="8">
        <v>0</v>
      </c>
      <c r="F26292" s="8">
        <v>8725444</v>
      </c>
    </row>
    <row r="26293" spans="1:6" ht="12.75">
      <c r="A26293" s="8">
        <v>43892.631597222222</v>
      </c>
      <c r="B26293" s="8" t="str">
        <f>HYPERLINK("https://twitter.com/andi_iswoyo","@andi_iswoyo")</f>
        <v>@andi_iswoyo</v>
      </c>
      <c r="C26293" s="8" t="s">
        <v>2962</v>
      </c>
      <c r="D26293" s="8">
        <v>1332</v>
      </c>
      <c r="E26293" s="8">
        <v>0</v>
      </c>
      <c r="F26293" s="8">
        <v>848</v>
      </c>
    </row>
    <row r="26294" spans="1:6" ht="12.75">
      <c r="A26294" s="8">
        <v>43892.631597222222</v>
      </c>
      <c r="B26294" s="8" t="str">
        <f>HYPERLINK("https://twitter.com/Abughazy_2007","@Abughazy_2007")</f>
        <v>@Abughazy_2007</v>
      </c>
      <c r="C26294" s="8" t="s">
        <v>6832</v>
      </c>
      <c r="D26294" s="8">
        <v>30</v>
      </c>
      <c r="E26294" s="8">
        <v>0</v>
      </c>
      <c r="F26294" s="8">
        <v>558</v>
      </c>
    </row>
    <row r="26295" spans="1:6" ht="12.75">
      <c r="A26295" s="8">
        <v>43892.631574074076</v>
      </c>
      <c r="B26295" s="8" t="str">
        <f>HYPERLINK("https://twitter.com/apitt_shfq","@apitt_shfq")</f>
        <v>@apitt_shfq</v>
      </c>
      <c r="C26295" s="8" t="s">
        <v>9701</v>
      </c>
      <c r="D26295" s="8">
        <v>1047</v>
      </c>
      <c r="E26295" s="8">
        <v>0</v>
      </c>
      <c r="F26295" s="8">
        <v>359</v>
      </c>
    </row>
    <row r="26296" spans="1:6" ht="12.75">
      <c r="A26296" s="8">
        <v>43892.631562499999</v>
      </c>
      <c r="B26296" s="8" t="str">
        <f>HYPERLINK("https://twitter.com/prahar_77","@prahar_77")</f>
        <v>@prahar_77</v>
      </c>
      <c r="C26296" s="8" t="s">
        <v>10184</v>
      </c>
      <c r="D26296" s="8">
        <v>22</v>
      </c>
      <c r="E26296" s="8">
        <v>0</v>
      </c>
      <c r="F26296" s="8">
        <v>1615</v>
      </c>
    </row>
    <row r="26297" spans="1:6" ht="12.75">
      <c r="A26297" s="8">
        <v>43892.631550925929</v>
      </c>
      <c r="B26297" s="8" t="str">
        <f>HYPERLINK("https://twitter.com/tifsembiring","@tifsembiring")</f>
        <v>@tifsembiring</v>
      </c>
      <c r="C26297" s="8" t="s">
        <v>10185</v>
      </c>
      <c r="D26297" s="8">
        <v>0</v>
      </c>
      <c r="E26297" s="8">
        <v>0</v>
      </c>
      <c r="F26297" s="8">
        <v>1678481</v>
      </c>
    </row>
    <row r="26298" spans="1:6" ht="12.75">
      <c r="A26298" s="8">
        <v>43892.631550925929</v>
      </c>
      <c r="B26298" s="8" t="str">
        <f>HYPERLINK("https://twitter.com/dodysusanto21","@dodysusanto21")</f>
        <v>@dodysusanto21</v>
      </c>
      <c r="C26298" s="8" t="s">
        <v>10186</v>
      </c>
      <c r="D26298" s="8">
        <v>1</v>
      </c>
      <c r="E26298" s="8">
        <v>0</v>
      </c>
      <c r="F26298" s="8">
        <v>36</v>
      </c>
    </row>
    <row r="26299" spans="1:6" ht="12.75">
      <c r="A26299" s="8">
        <v>43892.631527777776</v>
      </c>
      <c r="B26299" s="8" t="str">
        <f>HYPERLINK("https://twitter.com/achmadin99","@achmadin99")</f>
        <v>@achmadin99</v>
      </c>
      <c r="C26299" s="8" t="s">
        <v>2962</v>
      </c>
      <c r="D26299" s="8">
        <v>1332</v>
      </c>
      <c r="E26299" s="8">
        <v>0</v>
      </c>
      <c r="F26299" s="8">
        <v>80</v>
      </c>
    </row>
    <row r="26300" spans="1:6" ht="12.75">
      <c r="A26300" s="8">
        <v>43892.631481481483</v>
      </c>
      <c r="B26300" s="8" t="str">
        <f>HYPERLINK("https://twitter.com/den_Prendi","@den_Prendi")</f>
        <v>@den_Prendi</v>
      </c>
      <c r="C26300" s="8" t="s">
        <v>6971</v>
      </c>
      <c r="D26300" s="8">
        <v>109</v>
      </c>
      <c r="E26300" s="8">
        <v>0</v>
      </c>
      <c r="F26300" s="8">
        <v>4</v>
      </c>
    </row>
    <row r="26301" spans="1:6" ht="12.75">
      <c r="A26301" s="8">
        <v>43892.631435185191</v>
      </c>
      <c r="B26301" s="8" t="str">
        <f>HYPERLINK("https://twitter.com/XF2R1","@XF2R1")</f>
        <v>@XF2R1</v>
      </c>
      <c r="C26301" s="8" t="s">
        <v>5732</v>
      </c>
      <c r="D26301" s="8">
        <v>1636</v>
      </c>
      <c r="E26301" s="8">
        <v>0</v>
      </c>
      <c r="F26301" s="8">
        <v>4570</v>
      </c>
    </row>
    <row r="26302" spans="1:6" ht="12.75">
      <c r="A26302" s="8">
        <v>43892.631435185191</v>
      </c>
      <c r="B26302" s="8" t="str">
        <f>HYPERLINK("https://twitter.com/NabiUrban","@NabiUrban")</f>
        <v>@NabiUrban</v>
      </c>
      <c r="C26302" s="8" t="s">
        <v>2962</v>
      </c>
      <c r="D26302" s="8">
        <v>1332</v>
      </c>
      <c r="E26302" s="8">
        <v>0</v>
      </c>
      <c r="F26302" s="8">
        <v>67</v>
      </c>
    </row>
    <row r="26303" spans="1:6" ht="12.75">
      <c r="A26303" s="8">
        <v>43892.631388888884</v>
      </c>
      <c r="B26303" s="8" t="str">
        <f>HYPERLINK("https://twitter.com/nickname_id2","@nickname_id2")</f>
        <v>@nickname_id2</v>
      </c>
      <c r="C26303" s="8" t="s">
        <v>9780</v>
      </c>
      <c r="D26303" s="8">
        <v>2</v>
      </c>
      <c r="E26303" s="8">
        <v>0</v>
      </c>
      <c r="F26303" s="8">
        <v>1203</v>
      </c>
    </row>
    <row r="26304" spans="1:6" ht="12.75">
      <c r="A26304" s="8">
        <v>43892.631377314814</v>
      </c>
      <c r="B26304" s="8" t="str">
        <f>HYPERLINK("https://twitter.com/shorinjiRadhe","@shorinjiRadhe")</f>
        <v>@shorinjiRadhe</v>
      </c>
      <c r="C26304" s="8" t="s">
        <v>10187</v>
      </c>
      <c r="D26304" s="8">
        <v>31</v>
      </c>
      <c r="E26304" s="8">
        <v>0</v>
      </c>
      <c r="F26304" s="8">
        <v>1032</v>
      </c>
    </row>
    <row r="26305" spans="1:6" ht="12.75">
      <c r="A26305" s="8">
        <v>43892.631354166668</v>
      </c>
      <c r="B26305" s="8" t="str">
        <f>HYPERLINK("https://twitter.com/mbajjae","@mbajjae")</f>
        <v>@mbajjae</v>
      </c>
      <c r="C26305" s="8" t="s">
        <v>2962</v>
      </c>
      <c r="D26305" s="8">
        <v>1332</v>
      </c>
      <c r="E26305" s="8">
        <v>0</v>
      </c>
      <c r="F26305" s="8">
        <v>23</v>
      </c>
    </row>
    <row r="26306" spans="1:6" ht="12.75">
      <c r="A26306" s="8">
        <v>43892.631307870368</v>
      </c>
      <c r="B26306" s="8" t="str">
        <f>HYPERLINK("https://twitter.com/Haryosatria","@Haryosatria")</f>
        <v>@Haryosatria</v>
      </c>
      <c r="C26306" s="8" t="s">
        <v>10188</v>
      </c>
      <c r="D26306" s="8">
        <v>0</v>
      </c>
      <c r="E26306" s="8">
        <v>0</v>
      </c>
      <c r="F26306" s="8">
        <v>324</v>
      </c>
    </row>
    <row r="26307" spans="1:6" ht="12.75">
      <c r="A26307" s="8">
        <v>43892.631273148145</v>
      </c>
      <c r="B26307" s="8" t="str">
        <f>HYPERLINK("https://twitter.com/ViniRamadhani5","@ViniRamadhani5")</f>
        <v>@ViniRamadhani5</v>
      </c>
      <c r="C26307" s="8" t="s">
        <v>2962</v>
      </c>
      <c r="D26307" s="8">
        <v>1332</v>
      </c>
      <c r="E26307" s="8">
        <v>0</v>
      </c>
      <c r="F26307" s="8">
        <v>20</v>
      </c>
    </row>
    <row r="26308" spans="1:6" ht="12.75">
      <c r="A26308" s="8">
        <v>43892.631226851852</v>
      </c>
      <c r="B26308" s="8" t="str">
        <f>HYPERLINK("https://twitter.com/geryWSP","@geryWSP")</f>
        <v>@geryWSP</v>
      </c>
      <c r="C26308" s="8" t="s">
        <v>1145</v>
      </c>
      <c r="D26308" s="8">
        <v>171</v>
      </c>
      <c r="E26308" s="8">
        <v>0</v>
      </c>
      <c r="F26308" s="8">
        <v>356</v>
      </c>
    </row>
    <row r="26309" spans="1:6" ht="12.75">
      <c r="A26309" s="8">
        <v>43892.631203703699</v>
      </c>
      <c r="B26309" s="8" t="str">
        <f>HYPERLINK("https://twitter.com/heryirawan_s","@heryirawan_s")</f>
        <v>@heryirawan_s</v>
      </c>
      <c r="C26309" s="8" t="s">
        <v>10189</v>
      </c>
      <c r="D26309" s="8">
        <v>0</v>
      </c>
      <c r="E26309" s="8">
        <v>0</v>
      </c>
      <c r="F26309" s="8">
        <v>514</v>
      </c>
    </row>
    <row r="26310" spans="1:6" ht="12.75">
      <c r="A26310" s="8">
        <v>43892.631203703699</v>
      </c>
      <c r="B26310" s="8" t="str">
        <f>HYPERLINK("https://twitter.com/eva_hadijah","@eva_hadijah")</f>
        <v>@eva_hadijah</v>
      </c>
      <c r="C26310" s="8" t="s">
        <v>2962</v>
      </c>
      <c r="D26310" s="8">
        <v>1332</v>
      </c>
      <c r="E26310" s="8">
        <v>0</v>
      </c>
      <c r="F26310" s="8">
        <v>402</v>
      </c>
    </row>
    <row r="26311" spans="1:6" ht="12.75">
      <c r="A26311" s="8">
        <v>43892.631203703699</v>
      </c>
      <c r="B26311" s="8" t="str">
        <f>HYPERLINK("https://twitter.com/RizkikaSarah","@RizkikaSarah")</f>
        <v>@RizkikaSarah</v>
      </c>
      <c r="C26311" s="8" t="s">
        <v>9945</v>
      </c>
      <c r="D26311" s="8">
        <v>890</v>
      </c>
      <c r="E26311" s="8">
        <v>0</v>
      </c>
      <c r="F26311" s="8">
        <v>1</v>
      </c>
    </row>
    <row r="26312" spans="1:6" ht="12.75">
      <c r="A26312" s="8">
        <v>43892.631145833337</v>
      </c>
      <c r="B26312" s="8" t="str">
        <f>HYPERLINK("https://twitter.com/tataqdista","@tataqdista")</f>
        <v>@tataqdista</v>
      </c>
      <c r="C26312" s="8" t="s">
        <v>6971</v>
      </c>
      <c r="D26312" s="8">
        <v>109</v>
      </c>
      <c r="E26312" s="8">
        <v>0</v>
      </c>
      <c r="F26312" s="8">
        <v>43</v>
      </c>
    </row>
    <row r="26313" spans="1:6" ht="12.75">
      <c r="A26313" s="8">
        <v>43892.631111111114</v>
      </c>
      <c r="B26313" s="8" t="str">
        <f>HYPERLINK("https://twitter.com/igoteunhae","@igoteunhae")</f>
        <v>@igoteunhae</v>
      </c>
      <c r="C26313" s="8" t="s">
        <v>8737</v>
      </c>
      <c r="D26313" s="8">
        <v>1073</v>
      </c>
      <c r="E26313" s="8">
        <v>0</v>
      </c>
      <c r="F26313" s="8">
        <v>2054</v>
      </c>
    </row>
    <row r="26314" spans="1:6" ht="12.75">
      <c r="A26314" s="8">
        <v>43892.631111111114</v>
      </c>
      <c r="B26314" s="8" t="str">
        <f>HYPERLINK("https://twitter.com/AyamJago727","@AyamJago727")</f>
        <v>@AyamJago727</v>
      </c>
      <c r="C26314" s="8" t="s">
        <v>9945</v>
      </c>
      <c r="D26314" s="8">
        <v>890</v>
      </c>
      <c r="E26314" s="8">
        <v>0</v>
      </c>
      <c r="F26314" s="8">
        <v>23</v>
      </c>
    </row>
    <row r="26315" spans="1:6" ht="12.75">
      <c r="A26315" s="8">
        <v>43892.63108796296</v>
      </c>
      <c r="B26315" s="8" t="str">
        <f>HYPERLINK("https://twitter.com/TsabitaFalah","@TsabitaFalah")</f>
        <v>@TsabitaFalah</v>
      </c>
      <c r="C26315" s="8" t="s">
        <v>6832</v>
      </c>
      <c r="D26315" s="8">
        <v>30</v>
      </c>
      <c r="E26315" s="8">
        <v>0</v>
      </c>
      <c r="F26315" s="8">
        <v>295</v>
      </c>
    </row>
    <row r="26316" spans="1:6" ht="12.75">
      <c r="A26316" s="8">
        <v>43892.631053240737</v>
      </c>
      <c r="B26316" s="8" t="str">
        <f>HYPERLINK("https://twitter.com/sayangdodam","@sayangdodam")</f>
        <v>@sayangdodam</v>
      </c>
      <c r="C26316" s="8" t="s">
        <v>7405</v>
      </c>
      <c r="D26316" s="8">
        <v>1310</v>
      </c>
      <c r="E26316" s="8">
        <v>0</v>
      </c>
      <c r="F26316" s="8">
        <v>967</v>
      </c>
    </row>
    <row r="26317" spans="1:6" ht="12.75">
      <c r="A26317" s="8">
        <v>43892.631030092598</v>
      </c>
      <c r="B26317" s="8" t="str">
        <f>HYPERLINK("https://twitter.com/alfrndd","@alfrndd")</f>
        <v>@alfrndd</v>
      </c>
      <c r="C26317" s="8" t="s">
        <v>2962</v>
      </c>
      <c r="D26317" s="8">
        <v>1332</v>
      </c>
      <c r="E26317" s="8">
        <v>0</v>
      </c>
      <c r="F26317" s="8">
        <v>145</v>
      </c>
    </row>
    <row r="26318" spans="1:6" ht="12.75">
      <c r="A26318" s="8">
        <v>43892.630983796298</v>
      </c>
      <c r="B26318" s="8" t="str">
        <f>HYPERLINK("https://twitter.com/sugito43334255","@sugito43334255")</f>
        <v>@sugito43334255</v>
      </c>
      <c r="C26318" s="8" t="s">
        <v>5732</v>
      </c>
      <c r="D26318" s="8">
        <v>1636</v>
      </c>
      <c r="E26318" s="8">
        <v>0</v>
      </c>
      <c r="F26318" s="8">
        <v>564</v>
      </c>
    </row>
    <row r="26319" spans="1:6" ht="12.75">
      <c r="A26319" s="8">
        <v>43892.630891203706</v>
      </c>
      <c r="B26319" s="8" t="str">
        <f>HYPERLINK("https://twitter.com/rianntears","@rianntears")</f>
        <v>@rianntears</v>
      </c>
      <c r="C26319" s="8" t="s">
        <v>10103</v>
      </c>
      <c r="D26319" s="8">
        <v>55</v>
      </c>
      <c r="E26319" s="8">
        <v>0</v>
      </c>
      <c r="F26319" s="8">
        <v>1313</v>
      </c>
    </row>
    <row r="26320" spans="1:6" ht="12.75">
      <c r="A26320" s="8">
        <v>43892.630879629629</v>
      </c>
      <c r="B26320" s="8" t="str">
        <f>HYPERLINK("https://twitter.com/ChristWamea","@ChristWamea")</f>
        <v>@ChristWamea</v>
      </c>
      <c r="C26320" s="8" t="s">
        <v>9908</v>
      </c>
      <c r="D26320" s="8">
        <v>411</v>
      </c>
      <c r="E26320" s="8">
        <v>0</v>
      </c>
      <c r="F26320" s="8">
        <v>29023</v>
      </c>
    </row>
    <row r="26321" spans="1:6" ht="12.75">
      <c r="A26321" s="8">
        <v>43892.630868055552</v>
      </c>
      <c r="B26321" s="8" t="str">
        <f>HYPERLINK("https://twitter.com/SatuReporter","@SatuReporter")</f>
        <v>@SatuReporter</v>
      </c>
      <c r="C26321" s="8" t="s">
        <v>10190</v>
      </c>
      <c r="D26321" s="8">
        <v>0</v>
      </c>
      <c r="E26321" s="8">
        <v>0</v>
      </c>
      <c r="F26321" s="8">
        <v>0</v>
      </c>
    </row>
    <row r="26322" spans="1:6" ht="12.75">
      <c r="A26322" s="8">
        <v>43892.630856481483</v>
      </c>
      <c r="B26322" s="8" t="str">
        <f>HYPERLINK("https://twitter.com/glowdax","@glowdax")</f>
        <v>@glowdax</v>
      </c>
      <c r="C26322" s="8" t="s">
        <v>10095</v>
      </c>
      <c r="D26322" s="8">
        <v>158</v>
      </c>
      <c r="E26322" s="8">
        <v>0</v>
      </c>
      <c r="F26322" s="8">
        <v>382</v>
      </c>
    </row>
    <row r="26323" spans="1:6" ht="12.75">
      <c r="A26323" s="8">
        <v>43892.630844907406</v>
      </c>
      <c r="B26323" s="8" t="str">
        <f>HYPERLINK("https://twitter.com/YudhiMira","@YudhiMira")</f>
        <v>@YudhiMira</v>
      </c>
      <c r="C26323" s="8" t="s">
        <v>6832</v>
      </c>
      <c r="D26323" s="8">
        <v>30</v>
      </c>
      <c r="E26323" s="8">
        <v>0</v>
      </c>
      <c r="F26323" s="8">
        <v>519</v>
      </c>
    </row>
    <row r="26324" spans="1:6" ht="12.75">
      <c r="A26324" s="8">
        <v>43892.630844907406</v>
      </c>
      <c r="B26324" s="8" t="str">
        <f>HYPERLINK("https://twitter.com/prahar_77","@prahar_77")</f>
        <v>@prahar_77</v>
      </c>
      <c r="C26324" s="8" t="s">
        <v>9997</v>
      </c>
      <c r="D26324" s="8">
        <v>33</v>
      </c>
      <c r="E26324" s="8">
        <v>0</v>
      </c>
      <c r="F26324" s="8">
        <v>1615</v>
      </c>
    </row>
    <row r="26325" spans="1:6" ht="12.75">
      <c r="A26325" s="8">
        <v>43892.63082175926</v>
      </c>
      <c r="B26325" s="8" t="str">
        <f>HYPERLINK("https://twitter.com/utakutik","@utakutik")</f>
        <v>@utakutik</v>
      </c>
      <c r="C26325" s="8" t="s">
        <v>9176</v>
      </c>
      <c r="D26325" s="8">
        <v>930</v>
      </c>
      <c r="E26325" s="8">
        <v>0</v>
      </c>
      <c r="F26325" s="8">
        <v>294</v>
      </c>
    </row>
    <row r="26326" spans="1:6" ht="12.75">
      <c r="A26326" s="8">
        <v>43892.63081018519</v>
      </c>
      <c r="B26326" s="8" t="str">
        <f>HYPERLINK("https://twitter.com/suryaferdian","@suryaferdian")</f>
        <v>@suryaferdian</v>
      </c>
      <c r="C26326" s="8" t="s">
        <v>2962</v>
      </c>
      <c r="D26326" s="8">
        <v>1332</v>
      </c>
      <c r="E26326" s="8">
        <v>0</v>
      </c>
      <c r="F26326" s="8">
        <v>621</v>
      </c>
    </row>
    <row r="26327" spans="1:6" ht="12.75">
      <c r="A26327" s="8">
        <v>43892.63081018519</v>
      </c>
      <c r="B26327" s="8" t="str">
        <f>HYPERLINK("https://twitter.com/hafidzmuhammad_","@hafidzmuhammad_")</f>
        <v>@hafidzmuhammad_</v>
      </c>
      <c r="C26327" s="8" t="s">
        <v>10125</v>
      </c>
      <c r="D26327" s="8">
        <v>167</v>
      </c>
      <c r="E26327" s="8">
        <v>0</v>
      </c>
      <c r="F26327" s="8">
        <v>773</v>
      </c>
    </row>
    <row r="26328" spans="1:6" ht="12.75">
      <c r="A26328" s="8">
        <v>43892.63081018519</v>
      </c>
      <c r="B26328" s="8" t="str">
        <f>HYPERLINK("https://twitter.com/Zahrah40291660","@Zahrah40291660")</f>
        <v>@Zahrah40291660</v>
      </c>
      <c r="C26328" s="8" t="s">
        <v>10191</v>
      </c>
      <c r="D26328" s="8">
        <v>0</v>
      </c>
      <c r="E26328" s="8">
        <v>0</v>
      </c>
      <c r="F26328" s="8">
        <v>1641</v>
      </c>
    </row>
    <row r="26329" spans="1:6" ht="12.75">
      <c r="A26329" s="8">
        <v>43892.630798611106</v>
      </c>
      <c r="B26329" s="8" t="str">
        <f>HYPERLINK("https://twitter.com/DaveNucleus","@DaveNucleus")</f>
        <v>@DaveNucleus</v>
      </c>
      <c r="C26329" s="8" t="s">
        <v>1986</v>
      </c>
      <c r="D26329" s="8">
        <v>100</v>
      </c>
      <c r="E26329" s="8">
        <v>0</v>
      </c>
      <c r="F26329" s="8">
        <v>404</v>
      </c>
    </row>
    <row r="26330" spans="1:6" ht="12.75">
      <c r="A26330" s="8">
        <v>43892.630775462967</v>
      </c>
      <c r="B26330" s="8" t="str">
        <f>HYPERLINK("https://twitter.com/FerrySagita_","@FerrySagita_")</f>
        <v>@FerrySagita_</v>
      </c>
      <c r="C26330" s="8" t="s">
        <v>8866</v>
      </c>
      <c r="D26330" s="8">
        <v>21</v>
      </c>
      <c r="E26330" s="8">
        <v>0</v>
      </c>
      <c r="F26330" s="8">
        <v>634</v>
      </c>
    </row>
    <row r="26331" spans="1:6" ht="12.75">
      <c r="A26331" s="8">
        <v>43892.630775462967</v>
      </c>
      <c r="B26331" s="8" t="str">
        <f>HYPERLINK("https://twitter.com/wooshinyaku","@wooshinyaku")</f>
        <v>@wooshinyaku</v>
      </c>
      <c r="C26331" s="8" t="s">
        <v>5602</v>
      </c>
      <c r="D26331" s="8">
        <v>1009</v>
      </c>
      <c r="E26331" s="8">
        <v>0</v>
      </c>
      <c r="F26331" s="8">
        <v>1918</v>
      </c>
    </row>
    <row r="26332" spans="1:6" ht="12.75">
      <c r="A26332" s="8">
        <v>43892.63076388889</v>
      </c>
      <c r="B26332" s="8" t="str">
        <f>HYPERLINK("https://twitter.com/Lumyne","@Lumyne")</f>
        <v>@Lumyne</v>
      </c>
      <c r="C26332" s="8" t="s">
        <v>10192</v>
      </c>
      <c r="D26332" s="8">
        <v>29</v>
      </c>
      <c r="E26332" s="8">
        <v>0</v>
      </c>
      <c r="F26332" s="8">
        <v>122</v>
      </c>
    </row>
    <row r="26333" spans="1:6" ht="12.75">
      <c r="A26333" s="8">
        <v>43892.630752314813</v>
      </c>
      <c r="B26333" s="8" t="str">
        <f>HYPERLINK("https://twitter.com/nharriya","@nharriya")</f>
        <v>@nharriya</v>
      </c>
      <c r="C26333" s="8" t="s">
        <v>10193</v>
      </c>
      <c r="D26333" s="8">
        <v>1</v>
      </c>
      <c r="E26333" s="8">
        <v>0</v>
      </c>
      <c r="F26333" s="8">
        <v>13</v>
      </c>
    </row>
    <row r="26334" spans="1:6" ht="12.75">
      <c r="A26334" s="8">
        <v>43892.630729166667</v>
      </c>
      <c r="B26334" s="8" t="str">
        <f>HYPERLINK("https://twitter.com/aritrijunianto","@aritrijunianto")</f>
        <v>@aritrijunianto</v>
      </c>
      <c r="C26334" s="8" t="s">
        <v>10194</v>
      </c>
      <c r="D26334" s="8">
        <v>0</v>
      </c>
      <c r="E26334" s="8">
        <v>0</v>
      </c>
      <c r="F26334" s="8">
        <v>3533</v>
      </c>
    </row>
    <row r="26335" spans="1:6" ht="12.75">
      <c r="A26335" s="8">
        <v>43892.630729166667</v>
      </c>
      <c r="B26335" s="8" t="str">
        <f>HYPERLINK("https://twitter.com/Tina_Widia","@Tina_Widia")</f>
        <v>@Tina_Widia</v>
      </c>
      <c r="C26335" s="8" t="s">
        <v>1986</v>
      </c>
      <c r="D26335" s="8">
        <v>100</v>
      </c>
      <c r="E26335" s="8">
        <v>0</v>
      </c>
      <c r="F26335" s="8">
        <v>146</v>
      </c>
    </row>
    <row r="26336" spans="1:6" ht="12.75">
      <c r="A26336" s="8">
        <v>43892.63071759259</v>
      </c>
      <c r="B26336" s="8" t="str">
        <f>HYPERLINK("https://twitter.com/aritrijunianto","@aritrijunianto")</f>
        <v>@aritrijunianto</v>
      </c>
      <c r="C26336" s="8" t="s">
        <v>10195</v>
      </c>
      <c r="D26336" s="8">
        <v>0</v>
      </c>
      <c r="E26336" s="8">
        <v>0</v>
      </c>
      <c r="F26336" s="8">
        <v>3533</v>
      </c>
    </row>
    <row r="26337" spans="1:6" ht="12.75">
      <c r="A26337" s="8">
        <v>43892.630694444444</v>
      </c>
      <c r="B26337" s="8" t="str">
        <f>HYPERLINK("https://twitter.com/mayoga_","@mayoga_")</f>
        <v>@mayoga_</v>
      </c>
      <c r="C26337" s="8" t="s">
        <v>2962</v>
      </c>
      <c r="D26337" s="8">
        <v>1332</v>
      </c>
      <c r="E26337" s="8">
        <v>0</v>
      </c>
      <c r="F26337" s="8">
        <v>1045</v>
      </c>
    </row>
    <row r="26338" spans="1:6" ht="12.75">
      <c r="A26338" s="8">
        <v>43892.630671296298</v>
      </c>
      <c r="B26338" s="8" t="str">
        <f>HYPERLINK("https://twitter.com/tjahtngina","@tjahtngina")</f>
        <v>@tjahtngina</v>
      </c>
      <c r="C26338" s="8" t="s">
        <v>9176</v>
      </c>
      <c r="D26338" s="8">
        <v>930</v>
      </c>
      <c r="E26338" s="8">
        <v>0</v>
      </c>
      <c r="F26338" s="8">
        <v>371</v>
      </c>
    </row>
    <row r="26339" spans="1:6" ht="12.75">
      <c r="A26339" s="8">
        <v>43892.630671296298</v>
      </c>
      <c r="B26339" s="8" t="str">
        <f>HYPERLINK("https://twitter.com/obihunn","@obihunn")</f>
        <v>@obihunn</v>
      </c>
      <c r="C26339" s="8" t="s">
        <v>4477</v>
      </c>
      <c r="D26339" s="8">
        <v>305</v>
      </c>
      <c r="E26339" s="8">
        <v>0</v>
      </c>
      <c r="F26339" s="8">
        <v>4</v>
      </c>
    </row>
    <row r="26340" spans="1:6" ht="12.75">
      <c r="A26340" s="8">
        <v>43892.630659722221</v>
      </c>
      <c r="B26340" s="8" t="str">
        <f>HYPERLINK("https://twitter.com/shangrm_","@shangrm_")</f>
        <v>@shangrm_</v>
      </c>
      <c r="C26340" s="8" t="s">
        <v>10196</v>
      </c>
      <c r="D26340" s="8">
        <v>0</v>
      </c>
      <c r="E26340" s="8">
        <v>0</v>
      </c>
      <c r="F26340" s="8">
        <v>884</v>
      </c>
    </row>
    <row r="26341" spans="1:6" ht="12.75">
      <c r="A26341" s="8">
        <v>43892.630636574075</v>
      </c>
      <c r="B26341" s="8" t="str">
        <f>HYPERLINK("https://twitter.com/sanflcvver","@sanflcvver")</f>
        <v>@sanflcvver</v>
      </c>
      <c r="C26341" s="8" t="s">
        <v>1145</v>
      </c>
      <c r="D26341" s="8">
        <v>171</v>
      </c>
      <c r="E26341" s="8">
        <v>0</v>
      </c>
      <c r="F26341" s="8">
        <v>1436</v>
      </c>
    </row>
    <row r="26342" spans="1:6" ht="12.75">
      <c r="A26342" s="8">
        <v>43892.630636574075</v>
      </c>
      <c r="B26342" s="8" t="str">
        <f>HYPERLINK("https://twitter.com/Mal060687","@Mal060687")</f>
        <v>@Mal060687</v>
      </c>
      <c r="C26342" s="8" t="s">
        <v>6832</v>
      </c>
      <c r="D26342" s="8">
        <v>30</v>
      </c>
      <c r="E26342" s="8">
        <v>0</v>
      </c>
      <c r="F26342" s="8">
        <v>1054</v>
      </c>
    </row>
    <row r="26343" spans="1:6" ht="12.75">
      <c r="A26343" s="8">
        <v>43892.630625000005</v>
      </c>
      <c r="B26343" s="8" t="str">
        <f>HYPERLINK("https://twitter.com/rianntears","@rianntears")</f>
        <v>@rianntears</v>
      </c>
      <c r="C26343" s="8" t="s">
        <v>6832</v>
      </c>
      <c r="D26343" s="8">
        <v>30</v>
      </c>
      <c r="E26343" s="8">
        <v>0</v>
      </c>
      <c r="F26343" s="8">
        <v>1313</v>
      </c>
    </row>
    <row r="26344" spans="1:6" ht="12.75">
      <c r="A26344" s="8">
        <v>43892.630613425921</v>
      </c>
      <c r="B26344" s="8" t="str">
        <f>HYPERLINK("https://twitter.com/larasrzky","@larasrzky")</f>
        <v>@larasrzky</v>
      </c>
      <c r="C26344" s="8" t="s">
        <v>2199</v>
      </c>
      <c r="D26344" s="8">
        <v>5718</v>
      </c>
      <c r="E26344" s="8">
        <v>0</v>
      </c>
      <c r="F26344" s="8">
        <v>315</v>
      </c>
    </row>
    <row r="26345" spans="1:6" ht="12.75">
      <c r="A26345" s="8">
        <v>43892.630613425921</v>
      </c>
      <c r="B26345" s="8" t="str">
        <f>HYPERLINK("https://twitter.com/Ainie2706","@Ainie2706")</f>
        <v>@Ainie2706</v>
      </c>
      <c r="C26345" s="8" t="s">
        <v>8737</v>
      </c>
      <c r="D26345" s="8">
        <v>1073</v>
      </c>
      <c r="E26345" s="8">
        <v>0</v>
      </c>
      <c r="F26345" s="8">
        <v>33</v>
      </c>
    </row>
    <row r="26346" spans="1:6" ht="12.75">
      <c r="A26346" s="8">
        <v>43892.630590277782</v>
      </c>
      <c r="B26346" s="8" t="str">
        <f>HYPERLINK("https://twitter.com/prahar_77","@prahar_77")</f>
        <v>@prahar_77</v>
      </c>
      <c r="C26346" s="8" t="s">
        <v>4150</v>
      </c>
      <c r="D26346" s="8">
        <v>382</v>
      </c>
      <c r="E26346" s="8">
        <v>0</v>
      </c>
      <c r="F26346" s="8">
        <v>1615</v>
      </c>
    </row>
    <row r="26347" spans="1:6" ht="12.75">
      <c r="A26347" s="8">
        <v>43892.630555555559</v>
      </c>
      <c r="B26347" s="8" t="str">
        <f>HYPERLINK("https://twitter.com/aw3126","@aw3126")</f>
        <v>@aw3126</v>
      </c>
      <c r="C26347" s="8" t="s">
        <v>10155</v>
      </c>
      <c r="D26347" s="8">
        <v>4</v>
      </c>
      <c r="E26347" s="8">
        <v>0</v>
      </c>
      <c r="F26347" s="8">
        <v>1569</v>
      </c>
    </row>
    <row r="26348" spans="1:6" ht="12.75">
      <c r="A26348" s="8">
        <v>43892.630543981482</v>
      </c>
      <c r="B26348" s="8" t="str">
        <f>HYPERLINK("https://twitter.com/yuhuu___","@yuhuu___")</f>
        <v>@yuhuu___</v>
      </c>
      <c r="C26348" s="8" t="s">
        <v>9701</v>
      </c>
      <c r="D26348" s="8">
        <v>1047</v>
      </c>
      <c r="E26348" s="8">
        <v>0</v>
      </c>
      <c r="F26348" s="8">
        <v>388</v>
      </c>
    </row>
    <row r="26349" spans="1:6" ht="12.75">
      <c r="A26349" s="8">
        <v>43892.630532407406</v>
      </c>
      <c r="B26349" s="8" t="str">
        <f>HYPERLINK("https://twitter.com/ahmagun13","@ahmagun13")</f>
        <v>@ahmagun13</v>
      </c>
      <c r="C26349" s="8" t="s">
        <v>6832</v>
      </c>
      <c r="D26349" s="8">
        <v>30</v>
      </c>
      <c r="E26349" s="8">
        <v>0</v>
      </c>
      <c r="F26349" s="8">
        <v>350</v>
      </c>
    </row>
    <row r="26350" spans="1:6" ht="12.75">
      <c r="A26350" s="8">
        <v>43892.630520833336</v>
      </c>
      <c r="B26350" s="8" t="str">
        <f>HYPERLINK("https://twitter.com/aerrapunzel","@aerrapunzel")</f>
        <v>@aerrapunzel</v>
      </c>
      <c r="C26350" s="8" t="s">
        <v>10182</v>
      </c>
      <c r="D26350" s="8">
        <v>35</v>
      </c>
      <c r="E26350" s="8">
        <v>0</v>
      </c>
      <c r="F26350" s="8">
        <v>1707</v>
      </c>
    </row>
    <row r="26351" spans="1:6" ht="12.75">
      <c r="A26351" s="8">
        <v>43892.630520833336</v>
      </c>
      <c r="B26351" s="8" t="str">
        <f>HYPERLINK("https://twitter.com/kulitayamgaring","@kulitayamgaring")</f>
        <v>@kulitayamgaring</v>
      </c>
      <c r="C26351" s="8" t="s">
        <v>9176</v>
      </c>
      <c r="D26351" s="8">
        <v>930</v>
      </c>
      <c r="E26351" s="8">
        <v>0</v>
      </c>
      <c r="F26351" s="8">
        <v>223</v>
      </c>
    </row>
    <row r="26352" spans="1:6" ht="12.75">
      <c r="A26352" s="8">
        <v>43892.630497685182</v>
      </c>
      <c r="B26352" s="8" t="str">
        <f>HYPERLINK("https://twitter.com/rianntears","@rianntears")</f>
        <v>@rianntears</v>
      </c>
      <c r="C26352" s="8" t="s">
        <v>7597</v>
      </c>
      <c r="D26352" s="8">
        <v>24</v>
      </c>
      <c r="E26352" s="8">
        <v>0</v>
      </c>
      <c r="F26352" s="8">
        <v>1313</v>
      </c>
    </row>
    <row r="26353" spans="1:6" ht="12.75">
      <c r="A26353" s="8">
        <v>43892.630497685182</v>
      </c>
      <c r="B26353" s="8" t="str">
        <f>HYPERLINK("https://twitter.com/mrrrrrrccccyyy","@mrrrrrrccccyyy")</f>
        <v>@mrrrrrrccccyyy</v>
      </c>
      <c r="C26353" s="8" t="s">
        <v>1145</v>
      </c>
      <c r="D26353" s="8">
        <v>171</v>
      </c>
      <c r="E26353" s="8">
        <v>0</v>
      </c>
      <c r="F26353" s="8">
        <v>231</v>
      </c>
    </row>
    <row r="26354" spans="1:6" ht="12.75">
      <c r="A26354" s="8">
        <v>43892.630474537036</v>
      </c>
      <c r="B26354" s="8" t="str">
        <f>HYPERLINK("https://twitter.com/cellyshinpo","@cellyshinpo")</f>
        <v>@cellyshinpo</v>
      </c>
      <c r="C26354" s="8" t="s">
        <v>10081</v>
      </c>
      <c r="D26354" s="8">
        <v>217</v>
      </c>
      <c r="E26354" s="8">
        <v>0</v>
      </c>
      <c r="F26354" s="8">
        <v>812</v>
      </c>
    </row>
    <row r="26355" spans="1:6" ht="12.75">
      <c r="A26355" s="8">
        <v>43892.630462962959</v>
      </c>
      <c r="B26355" s="8" t="str">
        <f>HYPERLINK("https://twitter.com/azhslm","@azhslm")</f>
        <v>@azhslm</v>
      </c>
      <c r="C26355" s="8" t="s">
        <v>2962</v>
      </c>
      <c r="D26355" s="8">
        <v>1332</v>
      </c>
      <c r="E26355" s="8">
        <v>0</v>
      </c>
      <c r="F26355" s="8">
        <v>346</v>
      </c>
    </row>
    <row r="26356" spans="1:6" ht="12.75">
      <c r="A26356" s="8">
        <v>43892.630439814813</v>
      </c>
      <c r="B26356" s="8" t="str">
        <f>HYPERLINK("https://twitter.com/Ilham_Muzhar","@Ilham_Muzhar")</f>
        <v>@Ilham_Muzhar</v>
      </c>
      <c r="C26356" s="8" t="s">
        <v>9130</v>
      </c>
      <c r="D26356" s="8">
        <v>361</v>
      </c>
      <c r="E26356" s="8">
        <v>0</v>
      </c>
      <c r="F26356" s="8">
        <v>310</v>
      </c>
    </row>
    <row r="26357" spans="1:6" ht="12.75">
      <c r="A26357" s="8">
        <v>43892.630439814813</v>
      </c>
      <c r="B26357" s="8" t="str">
        <f>HYPERLINK("https://twitter.com/pascalshinji","@pascalshinji")</f>
        <v>@pascalshinji</v>
      </c>
      <c r="C26357" s="8" t="s">
        <v>10197</v>
      </c>
      <c r="D26357" s="8">
        <v>0</v>
      </c>
      <c r="E26357" s="8">
        <v>0</v>
      </c>
      <c r="F26357" s="8">
        <v>81</v>
      </c>
    </row>
    <row r="26358" spans="1:6" ht="12.75">
      <c r="A26358" s="8">
        <v>43892.630428240736</v>
      </c>
      <c r="B26358" s="8" t="str">
        <f>HYPERLINK("https://twitter.com/O2DIONYXSU","@O2DIONYXSU")</f>
        <v>@O2DIONYXSU</v>
      </c>
      <c r="C26358" s="8" t="s">
        <v>10107</v>
      </c>
      <c r="D26358" s="8">
        <v>20</v>
      </c>
      <c r="E26358" s="8">
        <v>0</v>
      </c>
      <c r="F26358" s="8">
        <v>1667</v>
      </c>
    </row>
    <row r="26359" spans="1:6" ht="12.75">
      <c r="A26359" s="8">
        <v>43892.630428240736</v>
      </c>
      <c r="B26359" s="8" t="str">
        <f>HYPERLINK("https://twitter.com/ianglalisac","@ianglalisac")</f>
        <v>@ianglalisac</v>
      </c>
      <c r="C26359" s="8" t="s">
        <v>10198</v>
      </c>
      <c r="D26359" s="8">
        <v>0</v>
      </c>
      <c r="E26359" s="8">
        <v>0</v>
      </c>
      <c r="F26359" s="8">
        <v>1426</v>
      </c>
    </row>
    <row r="26360" spans="1:6" ht="12.75">
      <c r="A26360" s="8">
        <v>43892.630428240736</v>
      </c>
      <c r="B26360" s="8" t="str">
        <f>HYPERLINK("https://twitter.com/yekasutikno87","@yekasutikno87")</f>
        <v>@yekasutikno87</v>
      </c>
      <c r="C26360" s="8" t="s">
        <v>10199</v>
      </c>
      <c r="D26360" s="8">
        <v>1</v>
      </c>
      <c r="E26360" s="8">
        <v>0</v>
      </c>
      <c r="F26360" s="8">
        <v>194</v>
      </c>
    </row>
    <row r="26361" spans="1:6" ht="12.75">
      <c r="A26361" s="8">
        <v>43892.630405092597</v>
      </c>
      <c r="B26361" s="8" t="str">
        <f>HYPERLINK("https://twitter.com/minimeize","@minimeize")</f>
        <v>@minimeize</v>
      </c>
      <c r="C26361" s="8" t="s">
        <v>6542</v>
      </c>
      <c r="D26361" s="8">
        <v>216</v>
      </c>
      <c r="E26361" s="8">
        <v>0</v>
      </c>
      <c r="F26361" s="8">
        <v>98</v>
      </c>
    </row>
    <row r="26362" spans="1:6" ht="12.75">
      <c r="A26362" s="8">
        <v>43892.630405092597</v>
      </c>
      <c r="B26362" s="8" t="str">
        <f>HYPERLINK("https://twitter.com/jeanne_meii","@jeanne_meii")</f>
        <v>@jeanne_meii</v>
      </c>
      <c r="C26362" s="8" t="s">
        <v>1145</v>
      </c>
      <c r="D26362" s="8">
        <v>171</v>
      </c>
      <c r="E26362" s="8">
        <v>0</v>
      </c>
      <c r="F26362" s="8">
        <v>429</v>
      </c>
    </row>
    <row r="26363" spans="1:6" ht="12.75">
      <c r="A26363" s="8">
        <v>43892.630381944444</v>
      </c>
      <c r="B26363" s="8" t="str">
        <f>HYPERLINK("https://twitter.com/rorasenja","@rorasenja")</f>
        <v>@rorasenja</v>
      </c>
      <c r="C26363" s="8" t="s">
        <v>10200</v>
      </c>
      <c r="D26363" s="8">
        <v>5</v>
      </c>
      <c r="E26363" s="8">
        <v>0</v>
      </c>
      <c r="F26363" s="8">
        <v>192</v>
      </c>
    </row>
    <row r="26364" spans="1:6" ht="12.75">
      <c r="A26364" s="8">
        <v>43892.630370370374</v>
      </c>
      <c r="B26364" s="8" t="str">
        <f>HYPERLINK("https://twitter.com/MufiAde","@MufiAde")</f>
        <v>@MufiAde</v>
      </c>
      <c r="C26364" s="8" t="s">
        <v>6971</v>
      </c>
      <c r="D26364" s="8">
        <v>109</v>
      </c>
      <c r="E26364" s="8">
        <v>0</v>
      </c>
      <c r="F26364" s="8">
        <v>315</v>
      </c>
    </row>
    <row r="26365" spans="1:6" ht="12.75">
      <c r="A26365" s="8">
        <v>43892.630370370374</v>
      </c>
      <c r="B26365" s="8" t="str">
        <f>HYPERLINK("https://twitter.com/XF2R1","@XF2R1")</f>
        <v>@XF2R1</v>
      </c>
      <c r="C26365" s="8" t="s">
        <v>6832</v>
      </c>
      <c r="D26365" s="8">
        <v>30</v>
      </c>
      <c r="E26365" s="8">
        <v>0</v>
      </c>
      <c r="F26365" s="8">
        <v>4570</v>
      </c>
    </row>
    <row r="26366" spans="1:6" ht="12.75">
      <c r="A26366" s="8">
        <v>43892.630370370374</v>
      </c>
      <c r="B26366" s="8" t="str">
        <f>HYPERLINK("https://twitter.com/avenjiii","@avenjiii")</f>
        <v>@avenjiii</v>
      </c>
      <c r="C26366" s="8" t="s">
        <v>1145</v>
      </c>
      <c r="D26366" s="8">
        <v>171</v>
      </c>
      <c r="E26366" s="8">
        <v>0</v>
      </c>
      <c r="F26366" s="8">
        <v>299</v>
      </c>
    </row>
    <row r="26367" spans="1:6" ht="12.75">
      <c r="A26367" s="8">
        <v>43892.630370370374</v>
      </c>
      <c r="B26367" s="8" t="str">
        <f>HYPERLINK("https://twitter.com/Herman444444","@Herman444444")</f>
        <v>@Herman444444</v>
      </c>
      <c r="C26367" s="8" t="s">
        <v>10201</v>
      </c>
      <c r="D26367" s="8">
        <v>0</v>
      </c>
      <c r="E26367" s="8">
        <v>0</v>
      </c>
      <c r="F26367" s="8">
        <v>4</v>
      </c>
    </row>
    <row r="26368" spans="1:6" ht="12.75">
      <c r="A26368" s="8">
        <v>43892.630358796298</v>
      </c>
      <c r="B26368" s="8" t="str">
        <f>HYPERLINK("https://twitter.com/selvimaharanip","@selvimaharanip")</f>
        <v>@selvimaharanip</v>
      </c>
      <c r="C26368" s="8" t="s">
        <v>2962</v>
      </c>
      <c r="D26368" s="8">
        <v>1332</v>
      </c>
      <c r="E26368" s="8">
        <v>0</v>
      </c>
      <c r="F26368" s="8">
        <v>643</v>
      </c>
    </row>
    <row r="26369" spans="1:6" ht="12.75">
      <c r="A26369" s="8">
        <v>43892.630347222221</v>
      </c>
      <c r="B26369" s="8" t="str">
        <f>HYPERLINK("https://twitter.com/SomplakSeblak","@SomplakSeblak")</f>
        <v>@SomplakSeblak</v>
      </c>
      <c r="C26369" s="8" t="s">
        <v>5732</v>
      </c>
      <c r="D26369" s="8">
        <v>1636</v>
      </c>
      <c r="E26369" s="8">
        <v>0</v>
      </c>
      <c r="F26369" s="8">
        <v>215</v>
      </c>
    </row>
    <row r="26370" spans="1:6" ht="12.75">
      <c r="A26370" s="8">
        <v>43892.630300925928</v>
      </c>
      <c r="B26370" s="8" t="str">
        <f>HYPERLINK("https://twitter.com/Hayik02","@Hayik02")</f>
        <v>@Hayik02</v>
      </c>
      <c r="C26370" s="8" t="s">
        <v>9358</v>
      </c>
      <c r="D26370" s="8">
        <v>17</v>
      </c>
      <c r="E26370" s="8">
        <v>0</v>
      </c>
      <c r="F26370" s="8">
        <v>275</v>
      </c>
    </row>
    <row r="26371" spans="1:6" ht="12.75">
      <c r="A26371" s="8">
        <v>43892.630254629628</v>
      </c>
      <c r="B26371" s="8" t="str">
        <f>HYPERLINK("https://twitter.com/AEPishere","@AEPishere")</f>
        <v>@AEPishere</v>
      </c>
      <c r="C26371" s="8" t="s">
        <v>10172</v>
      </c>
      <c r="D26371" s="8">
        <v>50</v>
      </c>
      <c r="E26371" s="8">
        <v>0</v>
      </c>
      <c r="F26371" s="8">
        <v>3012</v>
      </c>
    </row>
    <row r="26372" spans="1:6" ht="12.75">
      <c r="A26372" s="8">
        <v>43892.630185185189</v>
      </c>
      <c r="B26372" s="8" t="str">
        <f>HYPERLINK("https://twitter.com/InfoPondokCabe","@InfoPondokCabe")</f>
        <v>@InfoPondokCabe</v>
      </c>
      <c r="C26372" s="8" t="s">
        <v>10202</v>
      </c>
      <c r="D26372" s="8">
        <v>0</v>
      </c>
      <c r="E26372" s="8">
        <v>0</v>
      </c>
      <c r="F26372" s="8">
        <v>8834</v>
      </c>
    </row>
    <row r="26373" spans="1:6" ht="12.75">
      <c r="A26373" s="8">
        <v>43892.630185185189</v>
      </c>
      <c r="B26373" s="8" t="str">
        <f>HYPERLINK("https://twitter.com/joeshpat","@joeshpat")</f>
        <v>@joeshpat</v>
      </c>
      <c r="C26373" s="8" t="s">
        <v>9945</v>
      </c>
      <c r="D26373" s="8">
        <v>890</v>
      </c>
      <c r="E26373" s="8">
        <v>0</v>
      </c>
      <c r="F26373" s="8">
        <v>32</v>
      </c>
    </row>
    <row r="26374" spans="1:6" ht="12.75">
      <c r="A26374" s="8">
        <v>43892.630185185189</v>
      </c>
      <c r="B26374" s="8" t="str">
        <f>HYPERLINK("https://twitter.com/AysChannels","@AysChannels")</f>
        <v>@AysChannels</v>
      </c>
      <c r="C26374" s="8" t="s">
        <v>10203</v>
      </c>
      <c r="D26374" s="8">
        <v>0</v>
      </c>
      <c r="E26374" s="8">
        <v>0</v>
      </c>
      <c r="F26374" s="8">
        <v>1</v>
      </c>
    </row>
    <row r="26375" spans="1:6" ht="12.75">
      <c r="A26375" s="8">
        <v>43892.63013888889</v>
      </c>
      <c r="B26375" s="8" t="str">
        <f>HYPERLINK("https://twitter.com/coupsycoups","@coupsycoups")</f>
        <v>@coupsycoups</v>
      </c>
      <c r="C26375" s="8" t="s">
        <v>2962</v>
      </c>
      <c r="D26375" s="8">
        <v>1332</v>
      </c>
      <c r="E26375" s="8">
        <v>0</v>
      </c>
      <c r="F26375" s="8">
        <v>753</v>
      </c>
    </row>
    <row r="26376" spans="1:6" ht="12.75">
      <c r="A26376" s="8">
        <v>43892.630127314813</v>
      </c>
      <c r="B26376" s="8" t="str">
        <f>HYPERLINK("https://twitter.com/ayusumedi","@ayusumedi")</f>
        <v>@ayusumedi</v>
      </c>
      <c r="C26376" s="8" t="s">
        <v>10103</v>
      </c>
      <c r="D26376" s="8">
        <v>55</v>
      </c>
      <c r="E26376" s="8">
        <v>0</v>
      </c>
      <c r="F26376" s="8">
        <v>2024</v>
      </c>
    </row>
    <row r="26377" spans="1:6" ht="12.75">
      <c r="A26377" s="8">
        <v>43892.630104166667</v>
      </c>
      <c r="B26377" s="8" t="str">
        <f>HYPERLINK("https://twitter.com/RsRhendy","@RsRhendy")</f>
        <v>@RsRhendy</v>
      </c>
      <c r="C26377" s="8" t="s">
        <v>6971</v>
      </c>
      <c r="D26377" s="8">
        <v>109</v>
      </c>
      <c r="E26377" s="8">
        <v>0</v>
      </c>
      <c r="F26377" s="8">
        <v>13</v>
      </c>
    </row>
    <row r="26378" spans="1:6" ht="12.75">
      <c r="A26378" s="8">
        <v>43892.63008101852</v>
      </c>
      <c r="B26378" s="8" t="str">
        <f>HYPERLINK("https://twitter.com/Indonesianews15","@Indonesianews15")</f>
        <v>@Indonesianews15</v>
      </c>
      <c r="C26378" s="8" t="s">
        <v>9358</v>
      </c>
      <c r="D26378" s="8">
        <v>17</v>
      </c>
      <c r="E26378" s="8">
        <v>0</v>
      </c>
      <c r="F26378" s="8">
        <v>12903</v>
      </c>
    </row>
    <row r="26379" spans="1:6" ht="12.75">
      <c r="A26379" s="8">
        <v>43892.63008101852</v>
      </c>
      <c r="B26379" s="8" t="str">
        <f>HYPERLINK("https://twitter.com/hyj_ky","@hyj_ky")</f>
        <v>@hyj_ky</v>
      </c>
      <c r="C26379" s="8" t="s">
        <v>10204</v>
      </c>
      <c r="D26379" s="8">
        <v>69</v>
      </c>
      <c r="E26379" s="8">
        <v>0</v>
      </c>
      <c r="F26379" s="8">
        <v>371</v>
      </c>
    </row>
    <row r="26380" spans="1:6" ht="12.75">
      <c r="A26380" s="8">
        <v>43892.590173611112</v>
      </c>
      <c r="B26380" s="8" t="str">
        <f>HYPERLINK("https://twitter.com/twiitkiki","@twiitkiki")</f>
        <v>@twiitkiki</v>
      </c>
      <c r="C26380" s="8" t="s">
        <v>9892</v>
      </c>
      <c r="D26380" s="8">
        <v>260</v>
      </c>
      <c r="E26380" s="8">
        <v>0</v>
      </c>
      <c r="F26380" s="8">
        <v>110</v>
      </c>
    </row>
    <row r="26381" spans="1:6" ht="12.75">
      <c r="A26381" s="8">
        <v>43892.590162037042</v>
      </c>
      <c r="B26381" s="8" t="str">
        <f>HYPERLINK("https://twitter.com/chancsd","@chancsd")</f>
        <v>@chancsd</v>
      </c>
      <c r="C26381" s="8" t="s">
        <v>10205</v>
      </c>
      <c r="D26381" s="8">
        <v>4</v>
      </c>
      <c r="E26381" s="8">
        <v>0</v>
      </c>
      <c r="F26381" s="8">
        <v>221</v>
      </c>
    </row>
    <row r="26382" spans="1:6" ht="12.75">
      <c r="A26382" s="8">
        <v>43892.590162037042</v>
      </c>
      <c r="B26382" s="8" t="str">
        <f>HYPERLINK("https://twitter.com/NapaNigra","@NapaNigra")</f>
        <v>@NapaNigra</v>
      </c>
      <c r="C26382" s="8" t="s">
        <v>10206</v>
      </c>
      <c r="D26382" s="8">
        <v>0</v>
      </c>
      <c r="E26382" s="8">
        <v>0</v>
      </c>
      <c r="F26382" s="8">
        <v>27</v>
      </c>
    </row>
    <row r="26383" spans="1:6" ht="12.75">
      <c r="A26383" s="8">
        <v>43892.590150462958</v>
      </c>
      <c r="B26383" s="8" t="str">
        <f>HYPERLINK("https://twitter.com/AdityaArdiK","@AdityaArdiK")</f>
        <v>@AdityaArdiK</v>
      </c>
      <c r="C26383" s="8" t="s">
        <v>9176</v>
      </c>
      <c r="D26383" s="8">
        <v>804</v>
      </c>
      <c r="E26383" s="8">
        <v>0</v>
      </c>
      <c r="F26383" s="8">
        <v>268</v>
      </c>
    </row>
    <row r="26384" spans="1:6" ht="12.75">
      <c r="A26384" s="8">
        <v>43892.590138888889</v>
      </c>
      <c r="B26384" s="8" t="str">
        <f>HYPERLINK("https://twitter.com/Bagasta8","@Bagasta8")</f>
        <v>@Bagasta8</v>
      </c>
      <c r="C26384" s="8" t="s">
        <v>2962</v>
      </c>
      <c r="D26384" s="8">
        <v>910</v>
      </c>
      <c r="E26384" s="8">
        <v>0</v>
      </c>
      <c r="F26384" s="8">
        <v>289</v>
      </c>
    </row>
    <row r="26385" spans="1:6" ht="12.75">
      <c r="A26385" s="8">
        <v>43892.590138888889</v>
      </c>
      <c r="B26385" s="8" t="str">
        <f>HYPERLINK("https://twitter.com/Leoutomo","@Leoutomo")</f>
        <v>@Leoutomo</v>
      </c>
      <c r="C26385" s="8" t="s">
        <v>1145</v>
      </c>
      <c r="D26385" s="8">
        <v>82</v>
      </c>
      <c r="E26385" s="8">
        <v>0</v>
      </c>
      <c r="F26385" s="8">
        <v>149</v>
      </c>
    </row>
    <row r="26386" spans="1:6" ht="12.75">
      <c r="A26386" s="8">
        <v>43892.590138888889</v>
      </c>
      <c r="B26386" s="8" t="str">
        <f>HYPERLINK("https://twitter.com/heartrealmadrid","@heartrealmadrid")</f>
        <v>@heartrealmadrid</v>
      </c>
      <c r="C26386" s="8" t="s">
        <v>3648</v>
      </c>
      <c r="D26386" s="8">
        <v>459</v>
      </c>
      <c r="E26386" s="8">
        <v>0</v>
      </c>
      <c r="F26386" s="8">
        <v>799</v>
      </c>
    </row>
    <row r="26387" spans="1:6" ht="12.75">
      <c r="A26387" s="8">
        <v>43892.590115740742</v>
      </c>
      <c r="B26387" s="8" t="str">
        <f>HYPERLINK("https://twitter.com/mitdiw","@mitdiw")</f>
        <v>@mitdiw</v>
      </c>
      <c r="C26387" s="8" t="s">
        <v>10182</v>
      </c>
      <c r="D26387" s="8">
        <v>16</v>
      </c>
      <c r="E26387" s="8">
        <v>0</v>
      </c>
      <c r="F26387" s="8">
        <v>131</v>
      </c>
    </row>
    <row r="26388" spans="1:6" ht="12.75">
      <c r="A26388" s="8">
        <v>43892.590104166666</v>
      </c>
      <c r="B26388" s="8" t="str">
        <f>HYPERLINK("https://twitter.com/girrbann","@girrbann")</f>
        <v>@girrbann</v>
      </c>
      <c r="C26388" s="8" t="s">
        <v>10207</v>
      </c>
      <c r="D26388" s="8">
        <v>1</v>
      </c>
      <c r="E26388" s="8">
        <v>0</v>
      </c>
      <c r="F26388" s="8">
        <v>643</v>
      </c>
    </row>
    <row r="26389" spans="1:6" ht="12.75">
      <c r="A26389" s="8">
        <v>43892.590104166666</v>
      </c>
      <c r="B26389" s="8" t="str">
        <f>HYPERLINK("https://twitter.com/Stefanus_AK","@Stefanus_AK")</f>
        <v>@Stefanus_AK</v>
      </c>
      <c r="C26389" s="8" t="s">
        <v>10208</v>
      </c>
      <c r="D26389" s="8">
        <v>15</v>
      </c>
      <c r="E26389" s="8">
        <v>0</v>
      </c>
      <c r="F26389" s="8">
        <v>620</v>
      </c>
    </row>
    <row r="26390" spans="1:6" ht="12.75">
      <c r="A26390" s="8">
        <v>43892.590104166666</v>
      </c>
      <c r="B26390" s="8" t="str">
        <f>HYPERLINK("https://twitter.com/gldsras","@gldsras")</f>
        <v>@gldsras</v>
      </c>
      <c r="C26390" s="8" t="s">
        <v>9176</v>
      </c>
      <c r="D26390" s="8">
        <v>804</v>
      </c>
      <c r="E26390" s="8">
        <v>0</v>
      </c>
      <c r="F26390" s="8">
        <v>747</v>
      </c>
    </row>
    <row r="26391" spans="1:6" ht="12.75">
      <c r="A26391" s="8">
        <v>43892.590092592596</v>
      </c>
      <c r="B26391" s="8" t="str">
        <f>HYPERLINK("https://twitter.com/poegersche","@poegersche")</f>
        <v>@poegersche</v>
      </c>
      <c r="C26391" s="8" t="s">
        <v>2962</v>
      </c>
      <c r="D26391" s="8">
        <v>910</v>
      </c>
      <c r="E26391" s="8">
        <v>0</v>
      </c>
      <c r="F26391" s="8">
        <v>24</v>
      </c>
    </row>
    <row r="26392" spans="1:6" ht="12.75">
      <c r="A26392" s="8">
        <v>43892.590069444443</v>
      </c>
      <c r="B26392" s="8" t="str">
        <f>HYPERLINK("https://twitter.com/hi_hilman03","@hi_hilman03")</f>
        <v>@hi_hilman03</v>
      </c>
      <c r="C26392" s="8" t="s">
        <v>2962</v>
      </c>
      <c r="D26392" s="8">
        <v>910</v>
      </c>
      <c r="E26392" s="8">
        <v>0</v>
      </c>
      <c r="F26392" s="8">
        <v>54</v>
      </c>
    </row>
    <row r="26393" spans="1:6" ht="12.75">
      <c r="A26393" s="8">
        <v>43892.590057870373</v>
      </c>
      <c r="B26393" s="8" t="str">
        <f>HYPERLINK("https://twitter.com/mxrqhwn","@mxrqhwn")</f>
        <v>@mxrqhwn</v>
      </c>
      <c r="C26393" s="8" t="s">
        <v>10209</v>
      </c>
      <c r="D26393" s="8">
        <v>104</v>
      </c>
      <c r="E26393" s="8">
        <v>0</v>
      </c>
      <c r="F26393" s="8">
        <v>2197</v>
      </c>
    </row>
    <row r="26394" spans="1:6" ht="12.75">
      <c r="A26394" s="8">
        <v>43892.590057870373</v>
      </c>
      <c r="B26394" s="8" t="str">
        <f>HYPERLINK("https://twitter.com/Ahse_ayrus","@Ahse_ayrus")</f>
        <v>@Ahse_ayrus</v>
      </c>
      <c r="C26394" s="8" t="s">
        <v>9945</v>
      </c>
      <c r="D26394" s="8">
        <v>728</v>
      </c>
      <c r="E26394" s="8">
        <v>0</v>
      </c>
      <c r="F26394" s="8">
        <v>369</v>
      </c>
    </row>
    <row r="26395" spans="1:6" ht="12.75">
      <c r="A26395" s="8">
        <v>43892.590046296296</v>
      </c>
      <c r="B26395" s="8" t="str">
        <f>HYPERLINK("https://twitter.com/siscafauziyahr","@siscafauziyahr")</f>
        <v>@siscafauziyahr</v>
      </c>
      <c r="C26395" s="8" t="s">
        <v>9945</v>
      </c>
      <c r="D26395" s="8">
        <v>728</v>
      </c>
      <c r="E26395" s="8">
        <v>0</v>
      </c>
      <c r="F26395" s="8">
        <v>369</v>
      </c>
    </row>
    <row r="26396" spans="1:6" ht="12.75">
      <c r="A26396" s="8">
        <v>43892.59003472222</v>
      </c>
      <c r="B26396" s="8" t="str">
        <f>HYPERLINK("https://twitter.com/M212RahmatM","@M212RahmatM")</f>
        <v>@M212RahmatM</v>
      </c>
      <c r="C26396" s="8" t="s">
        <v>9176</v>
      </c>
      <c r="D26396" s="8">
        <v>804</v>
      </c>
      <c r="E26396" s="8">
        <v>0</v>
      </c>
      <c r="F26396" s="8">
        <v>2228</v>
      </c>
    </row>
    <row r="26397" spans="1:6" ht="12.75">
      <c r="A26397" s="8">
        <v>43892.59003472222</v>
      </c>
      <c r="B26397" s="8" t="str">
        <f>HYPERLINK("https://twitter.com/jasusanto","@jasusanto")</f>
        <v>@jasusanto</v>
      </c>
      <c r="C26397" s="8" t="s">
        <v>9910</v>
      </c>
      <c r="D26397" s="8">
        <v>366</v>
      </c>
      <c r="E26397" s="8">
        <v>0</v>
      </c>
      <c r="F26397" s="8">
        <v>340</v>
      </c>
    </row>
    <row r="26398" spans="1:6" ht="12.75">
      <c r="A26398" s="8">
        <v>43892.590011574073</v>
      </c>
      <c r="B26398" s="8" t="str">
        <f>HYPERLINK("https://twitter.com/AndySet62401657","@AndySet62401657")</f>
        <v>@AndySet62401657</v>
      </c>
      <c r="C26398" s="8" t="s">
        <v>10148</v>
      </c>
      <c r="D26398" s="8">
        <v>8</v>
      </c>
      <c r="E26398" s="8">
        <v>0</v>
      </c>
      <c r="F26398" s="8">
        <v>19</v>
      </c>
    </row>
    <row r="26399" spans="1:6" ht="12.75">
      <c r="A26399" s="8">
        <v>43892.590011574073</v>
      </c>
      <c r="B26399" s="8" t="str">
        <f>HYPERLINK("https://twitter.com/ersaoktav99","@ersaoktav99")</f>
        <v>@ersaoktav99</v>
      </c>
      <c r="C26399" s="8" t="s">
        <v>9892</v>
      </c>
      <c r="D26399" s="8">
        <v>260</v>
      </c>
      <c r="E26399" s="8">
        <v>0</v>
      </c>
      <c r="F26399" s="8">
        <v>97</v>
      </c>
    </row>
    <row r="26400" spans="1:6" ht="12.75">
      <c r="A26400" s="8">
        <v>43892.590011574073</v>
      </c>
      <c r="B26400" s="8" t="str">
        <f>HYPERLINK("https://twitter.com/ayhzhr","@ayhzhr")</f>
        <v>@ayhzhr</v>
      </c>
      <c r="C26400" s="8" t="s">
        <v>9945</v>
      </c>
      <c r="D26400" s="8">
        <v>728</v>
      </c>
      <c r="E26400" s="8">
        <v>0</v>
      </c>
      <c r="F26400" s="8">
        <v>32</v>
      </c>
    </row>
    <row r="26401" spans="1:6" ht="12.75">
      <c r="A26401" s="8">
        <v>43892.58997685185</v>
      </c>
      <c r="B26401" s="8" t="str">
        <f>HYPERLINK("https://twitter.com/heri_hero","@heri_hero")</f>
        <v>@heri_hero</v>
      </c>
      <c r="C26401" s="8" t="s">
        <v>10081</v>
      </c>
      <c r="D26401" s="8">
        <v>197</v>
      </c>
      <c r="E26401" s="8">
        <v>0</v>
      </c>
      <c r="F26401" s="8">
        <v>449</v>
      </c>
    </row>
    <row r="26402" spans="1:6" ht="12.75">
      <c r="A26402" s="8">
        <v>43892.58997685185</v>
      </c>
      <c r="B26402" s="8" t="str">
        <f>HYPERLINK("https://twitter.com/marisadatra","@marisadatra")</f>
        <v>@marisadatra</v>
      </c>
      <c r="C26402" s="8" t="s">
        <v>10210</v>
      </c>
      <c r="D26402" s="8">
        <v>2</v>
      </c>
      <c r="E26402" s="8">
        <v>0</v>
      </c>
      <c r="F26402" s="8">
        <v>1844</v>
      </c>
    </row>
    <row r="26403" spans="1:6" ht="12.75">
      <c r="A26403" s="8">
        <v>43892.589965277773</v>
      </c>
      <c r="B26403" s="8" t="str">
        <f>HYPERLINK("https://twitter.com/hayooss","@hayooss")</f>
        <v>@hayooss</v>
      </c>
      <c r="C26403" s="8" t="s">
        <v>10107</v>
      </c>
      <c r="D26403" s="8">
        <v>16</v>
      </c>
      <c r="E26403" s="8">
        <v>0</v>
      </c>
      <c r="F26403" s="8">
        <v>758</v>
      </c>
    </row>
    <row r="26404" spans="1:6" ht="12.75">
      <c r="A26404" s="8">
        <v>43892.589918981481</v>
      </c>
      <c r="B26404" s="8" t="str">
        <f>HYPERLINK("https://twitter.com/jafarash13","@jafarash13")</f>
        <v>@jafarash13</v>
      </c>
      <c r="C26404" s="8" t="s">
        <v>8322</v>
      </c>
      <c r="D26404" s="8">
        <v>135</v>
      </c>
      <c r="E26404" s="8">
        <v>0</v>
      </c>
      <c r="F26404" s="8">
        <v>39</v>
      </c>
    </row>
    <row r="26405" spans="1:6" ht="12.75">
      <c r="A26405" s="8">
        <v>43892.589907407411</v>
      </c>
      <c r="B26405" s="8" t="str">
        <f>HYPERLINK("https://twitter.com/senengbercanda","@senengbercanda")</f>
        <v>@senengbercanda</v>
      </c>
      <c r="C26405" s="8" t="s">
        <v>10211</v>
      </c>
      <c r="D26405" s="8">
        <v>0</v>
      </c>
      <c r="E26405" s="8">
        <v>0</v>
      </c>
      <c r="F26405" s="8">
        <v>27113</v>
      </c>
    </row>
    <row r="26406" spans="1:6" ht="12.75">
      <c r="A26406" s="8">
        <v>43892.589907407411</v>
      </c>
      <c r="B26406" s="8" t="str">
        <f>HYPERLINK("https://twitter.com/zxmaw","@zxmaw")</f>
        <v>@zxmaw</v>
      </c>
      <c r="C26406" s="8" t="s">
        <v>2199</v>
      </c>
      <c r="D26406" s="8">
        <v>5423</v>
      </c>
      <c r="E26406" s="8">
        <v>0</v>
      </c>
      <c r="F26406" s="8">
        <v>1071</v>
      </c>
    </row>
    <row r="26407" spans="1:6" ht="12.75">
      <c r="A26407" s="8">
        <v>43892.589895833335</v>
      </c>
      <c r="B26407" s="8" t="str">
        <f>HYPERLINK("https://twitter.com/Astari_LD","@Astari_LD")</f>
        <v>@Astari_LD</v>
      </c>
      <c r="C26407" s="8" t="s">
        <v>9945</v>
      </c>
      <c r="D26407" s="8">
        <v>728</v>
      </c>
      <c r="E26407" s="8">
        <v>0</v>
      </c>
      <c r="F26407" s="8">
        <v>311</v>
      </c>
    </row>
    <row r="26408" spans="1:6" ht="12.75">
      <c r="A26408" s="8">
        <v>43892.589884259258</v>
      </c>
      <c r="B26408" s="8" t="str">
        <f>HYPERLINK("https://twitter.com/paulusaji388","@paulusaji388")</f>
        <v>@paulusaji388</v>
      </c>
      <c r="C26408" s="8" t="s">
        <v>2962</v>
      </c>
      <c r="D26408" s="8">
        <v>910</v>
      </c>
      <c r="E26408" s="8">
        <v>0</v>
      </c>
      <c r="F26408" s="8">
        <v>290</v>
      </c>
    </row>
    <row r="26409" spans="1:6" ht="12.75">
      <c r="A26409" s="8">
        <v>43892.589826388888</v>
      </c>
      <c r="B26409" s="8" t="str">
        <f>HYPERLINK("https://twitter.com/msubhan21okt","@msubhan21okt")</f>
        <v>@msubhan21okt</v>
      </c>
      <c r="C26409" s="8" t="s">
        <v>10212</v>
      </c>
      <c r="D26409" s="8">
        <v>1</v>
      </c>
      <c r="E26409" s="8">
        <v>0</v>
      </c>
      <c r="F26409" s="8">
        <v>330</v>
      </c>
    </row>
    <row r="26410" spans="1:6" ht="12.75">
      <c r="A26410" s="8">
        <v>43892.589814814812</v>
      </c>
      <c r="B26410" s="8" t="str">
        <f>HYPERLINK("https://twitter.com/Dheaa997","@Dheaa997")</f>
        <v>@Dheaa997</v>
      </c>
      <c r="C26410" s="8" t="s">
        <v>7405</v>
      </c>
      <c r="D26410" s="8">
        <v>1222</v>
      </c>
      <c r="E26410" s="8">
        <v>0</v>
      </c>
      <c r="F26410" s="8">
        <v>229</v>
      </c>
    </row>
    <row r="26411" spans="1:6" ht="12.75">
      <c r="A26411" s="8">
        <v>43892.589814814812</v>
      </c>
      <c r="B26411" s="8" t="str">
        <f>HYPERLINK("https://twitter.com/selfeeani","@selfeeani")</f>
        <v>@selfeeani</v>
      </c>
      <c r="C26411" s="8" t="s">
        <v>10213</v>
      </c>
      <c r="D26411" s="8">
        <v>0</v>
      </c>
      <c r="E26411" s="8">
        <v>0</v>
      </c>
      <c r="F26411" s="8">
        <v>581</v>
      </c>
    </row>
    <row r="26412" spans="1:6" ht="12.75">
      <c r="A26412" s="8">
        <v>43892.589803240742</v>
      </c>
      <c r="B26412" s="8" t="str">
        <f>HYPERLINK("https://twitter.com/mahesaell","@mahesaell")</f>
        <v>@mahesaell</v>
      </c>
      <c r="C26412" s="8" t="s">
        <v>2962</v>
      </c>
      <c r="D26412" s="8">
        <v>910</v>
      </c>
      <c r="E26412" s="8">
        <v>0</v>
      </c>
      <c r="F26412" s="8">
        <v>371</v>
      </c>
    </row>
    <row r="26413" spans="1:6" ht="12.75">
      <c r="A26413" s="8">
        <v>43892.589803240742</v>
      </c>
      <c r="B26413" s="8" t="str">
        <f>HYPERLINK("https://twitter.com/cattallena","@cattallena")</f>
        <v>@cattallena</v>
      </c>
      <c r="C26413" s="8" t="s">
        <v>10209</v>
      </c>
      <c r="D26413" s="8">
        <v>104</v>
      </c>
      <c r="E26413" s="8">
        <v>0</v>
      </c>
      <c r="F26413" s="8">
        <v>547</v>
      </c>
    </row>
    <row r="26414" spans="1:6" ht="12.75">
      <c r="A26414" s="8">
        <v>43892.589791666665</v>
      </c>
      <c r="B26414" s="8" t="str">
        <f>HYPERLINK("https://twitter.com/frzfchrzy","@frzfchrzy")</f>
        <v>@frzfchrzy</v>
      </c>
      <c r="C26414" s="8" t="s">
        <v>10081</v>
      </c>
      <c r="D26414" s="8">
        <v>196</v>
      </c>
      <c r="E26414" s="8">
        <v>0</v>
      </c>
      <c r="F26414" s="8">
        <v>147</v>
      </c>
    </row>
    <row r="26415" spans="1:6" ht="12.75">
      <c r="A26415" s="8">
        <v>43892.589780092589</v>
      </c>
      <c r="B26415" s="8" t="str">
        <f>HYPERLINK("https://twitter.com/kiepci","@kiepci")</f>
        <v>@kiepci</v>
      </c>
      <c r="C26415" s="8" t="s">
        <v>2962</v>
      </c>
      <c r="D26415" s="8">
        <v>910</v>
      </c>
      <c r="E26415" s="8">
        <v>0</v>
      </c>
      <c r="F26415" s="8">
        <v>1446</v>
      </c>
    </row>
    <row r="26416" spans="1:6" ht="12.75">
      <c r="A26416" s="8">
        <v>43892.589768518519</v>
      </c>
      <c r="B26416" s="8" t="str">
        <f>HYPERLINK("https://twitter.com/CAHYANINGTY","@CAHYANINGTY")</f>
        <v>@CAHYANINGTY</v>
      </c>
      <c r="C26416" s="8" t="s">
        <v>10214</v>
      </c>
      <c r="D26416" s="8">
        <v>9</v>
      </c>
      <c r="E26416" s="8">
        <v>0</v>
      </c>
      <c r="F26416" s="8">
        <v>338</v>
      </c>
    </row>
    <row r="26417" spans="1:6" ht="12.75">
      <c r="A26417" s="8">
        <v>43892.589768518519</v>
      </c>
      <c r="B26417" s="8" t="str">
        <f>HYPERLINK("https://twitter.com/CradioSMG","@CradioSMG")</f>
        <v>@CradioSMG</v>
      </c>
      <c r="C26417" s="8" t="s">
        <v>10215</v>
      </c>
      <c r="D26417" s="8">
        <v>0</v>
      </c>
      <c r="E26417" s="8">
        <v>0</v>
      </c>
      <c r="F26417" s="8">
        <v>3347</v>
      </c>
    </row>
    <row r="26418" spans="1:6" ht="12.75">
      <c r="A26418" s="8">
        <v>43892.589768518519</v>
      </c>
      <c r="B26418" s="8" t="str">
        <f>HYPERLINK("https://twitter.com/tharanada","@tharanada")</f>
        <v>@tharanada</v>
      </c>
      <c r="C26418" s="8" t="s">
        <v>10216</v>
      </c>
      <c r="D26418" s="8">
        <v>0</v>
      </c>
      <c r="E26418" s="8">
        <v>0</v>
      </c>
      <c r="F26418" s="8">
        <v>827</v>
      </c>
    </row>
    <row r="26419" spans="1:6" ht="12.75">
      <c r="A26419" s="8">
        <v>43892.58975694445</v>
      </c>
      <c r="B26419" s="8" t="str">
        <f>HYPERLINK("https://twitter.com/unameakuuu","@unameakuuu")</f>
        <v>@unameakuuu</v>
      </c>
      <c r="C26419" s="8" t="s">
        <v>9892</v>
      </c>
      <c r="D26419" s="8">
        <v>260</v>
      </c>
      <c r="E26419" s="8">
        <v>0</v>
      </c>
      <c r="F26419" s="8">
        <v>88</v>
      </c>
    </row>
    <row r="26420" spans="1:6" ht="12.75">
      <c r="A26420" s="8">
        <v>43892.589733796296</v>
      </c>
      <c r="B26420" s="8" t="str">
        <f>HYPERLINK("https://twitter.com/Dae_1r0ne","@Dae_1r0ne")</f>
        <v>@Dae_1r0ne</v>
      </c>
      <c r="C26420" s="8" t="s">
        <v>10217</v>
      </c>
      <c r="D26420" s="8">
        <v>1</v>
      </c>
      <c r="E26420" s="8">
        <v>0</v>
      </c>
      <c r="F26420" s="8">
        <v>5467</v>
      </c>
    </row>
    <row r="26421" spans="1:6" ht="12.75">
      <c r="A26421" s="8">
        <v>43892.589722222227</v>
      </c>
      <c r="B26421" s="8" t="str">
        <f>HYPERLINK("https://twitter.com/fitriaaR","@fitriaaR")</f>
        <v>@fitriaaR</v>
      </c>
      <c r="C26421" s="8" t="s">
        <v>9892</v>
      </c>
      <c r="D26421" s="8">
        <v>260</v>
      </c>
      <c r="E26421" s="8">
        <v>0</v>
      </c>
      <c r="F26421" s="8">
        <v>463</v>
      </c>
    </row>
    <row r="26422" spans="1:6" ht="12.75">
      <c r="A26422" s="8">
        <v>43892.589675925927</v>
      </c>
      <c r="B26422" s="8" t="str">
        <f>HYPERLINK("https://twitter.com/Senjaka67979295","@Senjaka67979295")</f>
        <v>@Senjaka67979295</v>
      </c>
      <c r="C26422" s="8" t="s">
        <v>4477</v>
      </c>
      <c r="D26422" s="8">
        <v>213</v>
      </c>
      <c r="E26422" s="8">
        <v>0</v>
      </c>
      <c r="F26422" s="8">
        <v>8</v>
      </c>
    </row>
    <row r="26423" spans="1:6" ht="12.75">
      <c r="A26423" s="8">
        <v>43892.589641203704</v>
      </c>
      <c r="B26423" s="8" t="str">
        <f>HYPERLINK("https://twitter.com/FBU72","@FBU72")</f>
        <v>@FBU72</v>
      </c>
      <c r="C26423" s="8" t="s">
        <v>9908</v>
      </c>
      <c r="D26423" s="8">
        <v>323</v>
      </c>
      <c r="E26423" s="8">
        <v>0</v>
      </c>
      <c r="F26423" s="8">
        <v>1404</v>
      </c>
    </row>
    <row r="26424" spans="1:6" ht="12.75">
      <c r="A26424" s="8">
        <v>43892.589629629627</v>
      </c>
      <c r="B26424" s="8" t="str">
        <f>HYPERLINK("https://twitter.com/eufgrace","@eufgrace")</f>
        <v>@eufgrace</v>
      </c>
      <c r="C26424" s="8" t="s">
        <v>9176</v>
      </c>
      <c r="D26424" s="8">
        <v>804</v>
      </c>
      <c r="E26424" s="8">
        <v>0</v>
      </c>
      <c r="F26424" s="8">
        <v>40</v>
      </c>
    </row>
    <row r="26425" spans="1:6" ht="12.75">
      <c r="A26425" s="8">
        <v>43892.589618055557</v>
      </c>
      <c r="B26425" s="8" t="str">
        <f>HYPERLINK("https://twitter.com/etikwahyu","@etikwahyu")</f>
        <v>@etikwahyu</v>
      </c>
      <c r="C26425" s="8" t="s">
        <v>9892</v>
      </c>
      <c r="D26425" s="8">
        <v>260</v>
      </c>
      <c r="E26425" s="8">
        <v>0</v>
      </c>
      <c r="F26425" s="8">
        <v>582</v>
      </c>
    </row>
    <row r="26426" spans="1:6" ht="12.75">
      <c r="A26426" s="8">
        <v>43892.589618055557</v>
      </c>
      <c r="B26426" s="8" t="str">
        <f>HYPERLINK("https://twitter.com/VinzPhotoworks","@VinzPhotoworks")</f>
        <v>@VinzPhotoworks</v>
      </c>
      <c r="C26426" s="8" t="s">
        <v>10218</v>
      </c>
      <c r="D26426" s="8">
        <v>0</v>
      </c>
      <c r="E26426" s="8">
        <v>0</v>
      </c>
      <c r="F26426" s="8">
        <v>188</v>
      </c>
    </row>
    <row r="26427" spans="1:6" ht="12.75">
      <c r="A26427" s="8">
        <v>43892.589606481481</v>
      </c>
      <c r="B26427" s="8" t="str">
        <f>HYPERLINK("https://twitter.com/Yohanesm__","@Yohanesm__")</f>
        <v>@Yohanesm__</v>
      </c>
      <c r="C26427" s="8" t="s">
        <v>1145</v>
      </c>
      <c r="D26427" s="8">
        <v>82</v>
      </c>
      <c r="E26427" s="8">
        <v>0</v>
      </c>
      <c r="F26427" s="8">
        <v>541</v>
      </c>
    </row>
    <row r="26428" spans="1:6" ht="12.75">
      <c r="A26428" s="8">
        <v>43892.589583333334</v>
      </c>
      <c r="B26428" s="8" t="str">
        <f>HYPERLINK("https://twitter.com/kolormerat","@kolormerat")</f>
        <v>@kolormerat</v>
      </c>
      <c r="C26428" s="8" t="s">
        <v>9908</v>
      </c>
      <c r="D26428" s="8">
        <v>323</v>
      </c>
      <c r="E26428" s="8">
        <v>0</v>
      </c>
      <c r="F26428" s="8">
        <v>340</v>
      </c>
    </row>
    <row r="26429" spans="1:6" ht="12.75">
      <c r="A26429" s="8">
        <v>43892.589583333334</v>
      </c>
      <c r="B26429" s="8" t="str">
        <f>HYPERLINK("https://twitter.com/Lailatu85130118","@Lailatu85130118")</f>
        <v>@Lailatu85130118</v>
      </c>
      <c r="C26429" s="8" t="s">
        <v>10219</v>
      </c>
      <c r="D26429" s="8">
        <v>0</v>
      </c>
      <c r="E26429" s="8">
        <v>0</v>
      </c>
      <c r="F26429" s="8">
        <v>1</v>
      </c>
    </row>
    <row r="26430" spans="1:6" ht="12.75">
      <c r="A26430" s="8">
        <v>43892.589583333334</v>
      </c>
      <c r="B26430" s="8" t="str">
        <f>HYPERLINK("https://twitter.com/matchaabear_","@matchaabear_")</f>
        <v>@matchaabear_</v>
      </c>
      <c r="C26430" s="8" t="s">
        <v>9945</v>
      </c>
      <c r="D26430" s="8">
        <v>728</v>
      </c>
      <c r="E26430" s="8">
        <v>0</v>
      </c>
      <c r="F26430" s="8">
        <v>168</v>
      </c>
    </row>
    <row r="26431" spans="1:6" ht="12.75">
      <c r="A26431" s="8">
        <v>43892.589571759258</v>
      </c>
      <c r="B26431" s="8" t="str">
        <f>HYPERLINK("https://twitter.com/yudinmamen","@yudinmamen")</f>
        <v>@yudinmamen</v>
      </c>
      <c r="C26431" s="8" t="s">
        <v>9945</v>
      </c>
      <c r="D26431" s="8">
        <v>728</v>
      </c>
      <c r="E26431" s="8">
        <v>0</v>
      </c>
      <c r="F26431" s="8">
        <v>573</v>
      </c>
    </row>
    <row r="26432" spans="1:6" ht="12.75">
      <c r="A26432" s="8">
        <v>43892.589571759258</v>
      </c>
      <c r="B26432" s="8" t="str">
        <f>HYPERLINK("https://twitter.com/catharinaglory","@catharinaglory")</f>
        <v>@catharinaglory</v>
      </c>
      <c r="C26432" s="8" t="s">
        <v>1145</v>
      </c>
      <c r="D26432" s="8">
        <v>82</v>
      </c>
      <c r="E26432" s="8">
        <v>0</v>
      </c>
      <c r="F26432" s="8">
        <v>618</v>
      </c>
    </row>
    <row r="26433" spans="1:6" ht="12.75">
      <c r="A26433" s="8">
        <v>43892.589560185181</v>
      </c>
      <c r="B26433" s="8" t="str">
        <f>HYPERLINK("https://twitter.com/manusiamobil","@manusiamobil")</f>
        <v>@manusiamobil</v>
      </c>
      <c r="C26433" s="8" t="s">
        <v>1145</v>
      </c>
      <c r="D26433" s="8">
        <v>82</v>
      </c>
      <c r="E26433" s="8">
        <v>0</v>
      </c>
      <c r="F26433" s="8">
        <v>74</v>
      </c>
    </row>
    <row r="26434" spans="1:6" ht="12.75">
      <c r="A26434" s="8">
        <v>43892.589548611111</v>
      </c>
      <c r="B26434" s="8" t="str">
        <f>HYPERLINK("https://twitter.com/tyasning3","@tyasning3")</f>
        <v>@tyasning3</v>
      </c>
      <c r="C26434" s="8" t="s">
        <v>1145</v>
      </c>
      <c r="D26434" s="8">
        <v>82</v>
      </c>
      <c r="E26434" s="8">
        <v>0</v>
      </c>
      <c r="F26434" s="8">
        <v>284</v>
      </c>
    </row>
    <row r="26435" spans="1:6" ht="12.75">
      <c r="A26435" s="8">
        <v>43892.589548611111</v>
      </c>
      <c r="B26435" s="8" t="str">
        <f>HYPERLINK("https://twitter.com/sachi_yuuki","@sachi_yuuki")</f>
        <v>@sachi_yuuki</v>
      </c>
      <c r="C26435" s="8" t="s">
        <v>8776</v>
      </c>
      <c r="D26435" s="8">
        <v>19</v>
      </c>
      <c r="E26435" s="8">
        <v>0</v>
      </c>
      <c r="F26435" s="8">
        <v>128</v>
      </c>
    </row>
    <row r="26436" spans="1:6" ht="12.75">
      <c r="A26436" s="8">
        <v>43892.589548611111</v>
      </c>
      <c r="B26436" s="8" t="str">
        <f>HYPERLINK("https://twitter.com/ElshintaTegal_","@ElshintaTegal_")</f>
        <v>@ElshintaTegal_</v>
      </c>
      <c r="C26436" s="8" t="s">
        <v>10220</v>
      </c>
      <c r="D26436" s="8">
        <v>0</v>
      </c>
      <c r="E26436" s="8">
        <v>0</v>
      </c>
      <c r="F26436" s="8">
        <v>39</v>
      </c>
    </row>
    <row r="26437" spans="1:6" ht="12.75">
      <c r="A26437" s="8">
        <v>43892.589537037042</v>
      </c>
      <c r="B26437" s="8" t="str">
        <f>HYPERLINK("https://twitter.com/cheoleopseo","@cheoleopseo")</f>
        <v>@cheoleopseo</v>
      </c>
      <c r="C26437" s="8" t="s">
        <v>10221</v>
      </c>
      <c r="D26437" s="8">
        <v>3</v>
      </c>
      <c r="E26437" s="8">
        <v>0</v>
      </c>
      <c r="F26437" s="8">
        <v>2029</v>
      </c>
    </row>
    <row r="26438" spans="1:6" ht="12.75">
      <c r="A26438" s="8">
        <v>43892.589502314819</v>
      </c>
      <c r="B26438" s="8" t="str">
        <f>HYPERLINK("https://twitter.com/Windimbull","@Windimbull")</f>
        <v>@Windimbull</v>
      </c>
      <c r="C26438" s="8" t="s">
        <v>10222</v>
      </c>
      <c r="D26438" s="8">
        <v>0</v>
      </c>
      <c r="E26438" s="8">
        <v>0</v>
      </c>
      <c r="F26438" s="8">
        <v>461</v>
      </c>
    </row>
    <row r="26439" spans="1:6" ht="12.75">
      <c r="A26439" s="8">
        <v>43892.589490740742</v>
      </c>
      <c r="B26439" s="8" t="str">
        <f>HYPERLINK("https://twitter.com/karinadsk","@karinadsk")</f>
        <v>@karinadsk</v>
      </c>
      <c r="C26439" s="8" t="s">
        <v>2962</v>
      </c>
      <c r="D26439" s="8">
        <v>910</v>
      </c>
      <c r="E26439" s="8">
        <v>0</v>
      </c>
      <c r="F26439" s="8">
        <v>284</v>
      </c>
    </row>
    <row r="26440" spans="1:6" ht="12.75">
      <c r="A26440" s="8">
        <v>43892.589490740742</v>
      </c>
      <c r="B26440" s="8" t="str">
        <f>HYPERLINK("https://twitter.com/chiesaaldo_","@chiesaaldo_")</f>
        <v>@chiesaaldo_</v>
      </c>
      <c r="C26440" s="8" t="s">
        <v>2962</v>
      </c>
      <c r="D26440" s="8">
        <v>910</v>
      </c>
      <c r="E26440" s="8">
        <v>0</v>
      </c>
      <c r="F26440" s="8">
        <v>741</v>
      </c>
    </row>
    <row r="26441" spans="1:6" ht="12.75">
      <c r="A26441" s="8">
        <v>43892.589467592596</v>
      </c>
      <c r="B26441" s="8" t="str">
        <f>HYPERLINK("https://twitter.com/bpriady","@bpriady")</f>
        <v>@bpriady</v>
      </c>
      <c r="C26441" s="8" t="s">
        <v>10223</v>
      </c>
      <c r="D26441" s="8">
        <v>27</v>
      </c>
      <c r="E26441" s="8">
        <v>0</v>
      </c>
      <c r="F26441" s="8">
        <v>607</v>
      </c>
    </row>
    <row r="26442" spans="1:6" ht="12.75">
      <c r="A26442" s="8">
        <v>43892.589444444442</v>
      </c>
      <c r="B26442" s="8" t="str">
        <f>HYPERLINK("https://twitter.com/cheesseokjin","@cheesseokjin")</f>
        <v>@cheesseokjin</v>
      </c>
      <c r="C26442" s="8" t="s">
        <v>10223</v>
      </c>
      <c r="D26442" s="8">
        <v>27</v>
      </c>
      <c r="E26442" s="8">
        <v>0</v>
      </c>
      <c r="F26442" s="8">
        <v>1516</v>
      </c>
    </row>
    <row r="26443" spans="1:6" ht="12.75">
      <c r="A26443" s="8">
        <v>43892.589432870373</v>
      </c>
      <c r="B26443" s="8" t="str">
        <f>HYPERLINK("https://twitter.com/anyissss_","@anyissss_")</f>
        <v>@anyissss_</v>
      </c>
      <c r="C26443" s="8" t="s">
        <v>2962</v>
      </c>
      <c r="D26443" s="8">
        <v>910</v>
      </c>
      <c r="E26443" s="8">
        <v>0</v>
      </c>
      <c r="F26443" s="8">
        <v>38</v>
      </c>
    </row>
    <row r="26444" spans="1:6" ht="12.75">
      <c r="A26444" s="8">
        <v>43892.589421296296</v>
      </c>
      <c r="B26444" s="8" t="str">
        <f>HYPERLINK("https://twitter.com/kaijonginiw","@kaijonginiw")</f>
        <v>@kaijonginiw</v>
      </c>
      <c r="C26444" s="8" t="s">
        <v>10223</v>
      </c>
      <c r="D26444" s="8">
        <v>27</v>
      </c>
      <c r="E26444" s="8">
        <v>0</v>
      </c>
      <c r="F26444" s="8">
        <v>656</v>
      </c>
    </row>
    <row r="26445" spans="1:6" ht="12.75">
      <c r="A26445" s="8">
        <v>43892.589421296296</v>
      </c>
      <c r="B26445" s="8" t="str">
        <f>HYPERLINK("https://twitter.com/sendysuwanto","@sendysuwanto")</f>
        <v>@sendysuwanto</v>
      </c>
      <c r="C26445" s="8" t="s">
        <v>10224</v>
      </c>
      <c r="D26445" s="8">
        <v>22</v>
      </c>
      <c r="E26445" s="8">
        <v>0</v>
      </c>
      <c r="F26445" s="8">
        <v>1020</v>
      </c>
    </row>
    <row r="26446" spans="1:6" ht="12.75">
      <c r="A26446" s="8">
        <v>43892.589398148149</v>
      </c>
      <c r="B26446" s="8" t="str">
        <f>HYPERLINK("https://twitter.com/Alan10626952","@Alan10626952")</f>
        <v>@Alan10626952</v>
      </c>
      <c r="C26446" s="8" t="s">
        <v>10225</v>
      </c>
      <c r="D26446" s="8">
        <v>0</v>
      </c>
      <c r="E26446" s="8">
        <v>0</v>
      </c>
      <c r="F26446" s="8">
        <v>0</v>
      </c>
    </row>
    <row r="26447" spans="1:6" ht="12.75">
      <c r="A26447" s="8">
        <v>43892.589398148149</v>
      </c>
      <c r="B26447" s="8" t="str">
        <f>HYPERLINK("https://twitter.com/pedang_manthili","@pedang_manthili")</f>
        <v>@pedang_manthili</v>
      </c>
      <c r="C26447" s="8" t="s">
        <v>9856</v>
      </c>
      <c r="D26447" s="8">
        <v>39</v>
      </c>
      <c r="E26447" s="8">
        <v>0</v>
      </c>
      <c r="F26447" s="8">
        <v>294</v>
      </c>
    </row>
    <row r="26448" spans="1:6" ht="12.75">
      <c r="A26448" s="8">
        <v>43892.589386574073</v>
      </c>
      <c r="B26448" s="8" t="str">
        <f>HYPERLINK("https://twitter.com/chrisnayolandaa","@chrisnayolandaa")</f>
        <v>@chrisnayolandaa</v>
      </c>
      <c r="C26448" s="8" t="s">
        <v>2962</v>
      </c>
      <c r="D26448" s="8">
        <v>910</v>
      </c>
      <c r="E26448" s="8">
        <v>0</v>
      </c>
      <c r="F26448" s="8">
        <v>89</v>
      </c>
    </row>
    <row r="26449" spans="1:6" ht="12.75">
      <c r="A26449" s="8">
        <v>43892.589374999996</v>
      </c>
      <c r="B26449" s="8" t="str">
        <f>HYPERLINK("https://twitter.com/GaluhAgustinaS","@GaluhAgustinaS")</f>
        <v>@GaluhAgustinaS</v>
      </c>
      <c r="C26449" s="8" t="s">
        <v>2199</v>
      </c>
      <c r="D26449" s="8">
        <v>5423</v>
      </c>
      <c r="E26449" s="8">
        <v>0</v>
      </c>
      <c r="F26449" s="8">
        <v>838</v>
      </c>
    </row>
    <row r="26450" spans="1:6" ht="12.75">
      <c r="A26450" s="8">
        <v>43892.589363425926</v>
      </c>
      <c r="B26450" s="8" t="str">
        <f>HYPERLINK("https://twitter.com/Dangeralert","@Dangeralert")</f>
        <v>@Dangeralert</v>
      </c>
      <c r="C26450" s="8" t="s">
        <v>9176</v>
      </c>
      <c r="D26450" s="8">
        <v>804</v>
      </c>
      <c r="E26450" s="8">
        <v>0</v>
      </c>
      <c r="F26450" s="8">
        <v>33</v>
      </c>
    </row>
    <row r="26451" spans="1:6" ht="12.75">
      <c r="A26451" s="8">
        <v>43892.589340277773</v>
      </c>
      <c r="B26451" s="8" t="str">
        <f>HYPERLINK("https://twitter.com/djatiwulank","@djatiwulank")</f>
        <v>@djatiwulank</v>
      </c>
      <c r="C26451" s="8" t="s">
        <v>2962</v>
      </c>
      <c r="D26451" s="8">
        <v>910</v>
      </c>
      <c r="E26451" s="8">
        <v>0</v>
      </c>
      <c r="F26451" s="8">
        <v>373</v>
      </c>
    </row>
    <row r="26452" spans="1:6" ht="12.75">
      <c r="A26452" s="8">
        <v>43892.589328703703</v>
      </c>
      <c r="B26452" s="8" t="str">
        <f>HYPERLINK("https://twitter.com/dedi_indra80","@dedi_indra80")</f>
        <v>@dedi_indra80</v>
      </c>
      <c r="C26452" s="8" t="s">
        <v>8737</v>
      </c>
      <c r="D26452" s="8">
        <v>997</v>
      </c>
      <c r="E26452" s="8">
        <v>0</v>
      </c>
      <c r="F26452" s="8">
        <v>54</v>
      </c>
    </row>
    <row r="26453" spans="1:6" ht="12.75">
      <c r="A26453" s="8">
        <v>43892.589317129634</v>
      </c>
      <c r="B26453" s="8" t="str">
        <f>HYPERLINK("https://twitter.com/dwirama89009610","@dwirama89009610")</f>
        <v>@dwirama89009610</v>
      </c>
      <c r="C26453" s="8" t="s">
        <v>8963</v>
      </c>
      <c r="D26453" s="8">
        <v>36</v>
      </c>
      <c r="E26453" s="8">
        <v>0</v>
      </c>
      <c r="F26453" s="8">
        <v>226</v>
      </c>
    </row>
    <row r="26454" spans="1:6" ht="12.75">
      <c r="A26454" s="8">
        <v>43892.589305555557</v>
      </c>
      <c r="B26454" s="8" t="str">
        <f>HYPERLINK("https://twitter.com/iNewsID","@iNewsID")</f>
        <v>@iNewsID</v>
      </c>
      <c r="C26454" s="8" t="s">
        <v>10226</v>
      </c>
      <c r="D26454" s="8">
        <v>0</v>
      </c>
      <c r="E26454" s="8">
        <v>0</v>
      </c>
      <c r="F26454" s="8">
        <v>1352</v>
      </c>
    </row>
    <row r="26455" spans="1:6" ht="12.75">
      <c r="A26455" s="8">
        <v>43892.589305555557</v>
      </c>
      <c r="B26455" s="8" t="str">
        <f>HYPERLINK("https://twitter.com/imronro40372691","@imronro40372691")</f>
        <v>@imronro40372691</v>
      </c>
      <c r="C26455" s="8" t="s">
        <v>2962</v>
      </c>
      <c r="D26455" s="8">
        <v>910</v>
      </c>
      <c r="E26455" s="8">
        <v>0</v>
      </c>
      <c r="F26455" s="8">
        <v>82</v>
      </c>
    </row>
    <row r="26456" spans="1:6" ht="12.75">
      <c r="A26456" s="8">
        <v>43892.58929398148</v>
      </c>
      <c r="B26456" s="8" t="str">
        <f>HYPERLINK("https://twitter.com/cleomaharanizo","@cleomaharanizo")</f>
        <v>@cleomaharanizo</v>
      </c>
      <c r="C26456" s="8" t="s">
        <v>8322</v>
      </c>
      <c r="D26456" s="8">
        <v>135</v>
      </c>
      <c r="E26456" s="8">
        <v>0</v>
      </c>
      <c r="F26456" s="8">
        <v>478</v>
      </c>
    </row>
    <row r="26457" spans="1:6" ht="12.75">
      <c r="A26457" s="8">
        <v>43892.58929398148</v>
      </c>
      <c r="B26457" s="8" t="str">
        <f>HYPERLINK("https://twitter.com/Edoypez","@Edoypez")</f>
        <v>@Edoypez</v>
      </c>
      <c r="C26457" s="8" t="s">
        <v>7405</v>
      </c>
      <c r="D26457" s="8">
        <v>1222</v>
      </c>
      <c r="E26457" s="8">
        <v>0</v>
      </c>
      <c r="F26457" s="8">
        <v>42</v>
      </c>
    </row>
    <row r="26458" spans="1:6" ht="12.75">
      <c r="A26458" s="8">
        <v>43892.589282407411</v>
      </c>
      <c r="B26458" s="8" t="str">
        <f>HYPERLINK("https://twitter.com/tekukaddict","@tekukaddict")</f>
        <v>@tekukaddict</v>
      </c>
      <c r="C26458" s="8" t="s">
        <v>7405</v>
      </c>
      <c r="D26458" s="8">
        <v>1222</v>
      </c>
      <c r="E26458" s="8">
        <v>0</v>
      </c>
      <c r="F26458" s="8">
        <v>1099</v>
      </c>
    </row>
    <row r="26459" spans="1:6" ht="12.75">
      <c r="A26459" s="8">
        <v>43892.589270833334</v>
      </c>
      <c r="B26459" s="8" t="str">
        <f>HYPERLINK("https://twitter.com/TuanMudaFakhrih","@TuanMudaFakhrih")</f>
        <v>@TuanMudaFakhrih</v>
      </c>
      <c r="C26459" s="8" t="s">
        <v>2199</v>
      </c>
      <c r="D26459" s="8">
        <v>5423</v>
      </c>
      <c r="E26459" s="8">
        <v>0</v>
      </c>
      <c r="F26459" s="8">
        <v>309</v>
      </c>
    </row>
    <row r="26460" spans="1:6" ht="12.75">
      <c r="A26460" s="8">
        <v>43892.589259259257</v>
      </c>
      <c r="B26460" s="8" t="str">
        <f>HYPERLINK("https://twitter.com/claranuraulia_","@claranuraulia_")</f>
        <v>@claranuraulia_</v>
      </c>
      <c r="C26460" s="8" t="s">
        <v>2962</v>
      </c>
      <c r="D26460" s="8">
        <v>910</v>
      </c>
      <c r="E26460" s="8">
        <v>0</v>
      </c>
      <c r="F26460" s="8">
        <v>84</v>
      </c>
    </row>
    <row r="26461" spans="1:6" ht="12.75">
      <c r="A26461" s="8">
        <v>43892.589259259257</v>
      </c>
      <c r="B26461" s="8" t="str">
        <f>HYPERLINK("https://twitter.com/NovitaMariaV","@NovitaMariaV")</f>
        <v>@NovitaMariaV</v>
      </c>
      <c r="C26461" s="8" t="s">
        <v>2199</v>
      </c>
      <c r="D26461" s="8">
        <v>5423</v>
      </c>
      <c r="E26461" s="8">
        <v>0</v>
      </c>
      <c r="F26461" s="8">
        <v>526</v>
      </c>
    </row>
    <row r="26462" spans="1:6" ht="12.75">
      <c r="A26462" s="8">
        <v>43892.589247685188</v>
      </c>
      <c r="B26462" s="8" t="str">
        <f>HYPERLINK("https://twitter.com/aemarief","@aemarief")</f>
        <v>@aemarief</v>
      </c>
      <c r="C26462" s="8" t="s">
        <v>2962</v>
      </c>
      <c r="D26462" s="8">
        <v>910</v>
      </c>
      <c r="E26462" s="8">
        <v>0</v>
      </c>
      <c r="F26462" s="8">
        <v>297</v>
      </c>
    </row>
    <row r="26463" spans="1:6" ht="12.75">
      <c r="A26463" s="8">
        <v>43892.589236111111</v>
      </c>
      <c r="B26463" s="8" t="str">
        <f>HYPERLINK("https://twitter.com/Firstypramswari","@Firstypramswari")</f>
        <v>@Firstypramswari</v>
      </c>
      <c r="C26463" s="8" t="s">
        <v>10019</v>
      </c>
      <c r="D26463" s="8">
        <v>38</v>
      </c>
      <c r="E26463" s="8">
        <v>0</v>
      </c>
      <c r="F26463" s="8">
        <v>891</v>
      </c>
    </row>
    <row r="26464" spans="1:6" ht="12.75">
      <c r="A26464" s="8">
        <v>43892.589236111111</v>
      </c>
      <c r="B26464" s="8" t="str">
        <f>HYPERLINK("https://twitter.com/mrshananto","@mrshananto")</f>
        <v>@mrshananto</v>
      </c>
      <c r="C26464" s="8" t="s">
        <v>10214</v>
      </c>
      <c r="D26464" s="8">
        <v>9</v>
      </c>
      <c r="E26464" s="8">
        <v>0</v>
      </c>
      <c r="F26464" s="8">
        <v>230989</v>
      </c>
    </row>
    <row r="26465" spans="1:6" ht="12.75">
      <c r="A26465" s="8">
        <v>43892.589212962965</v>
      </c>
      <c r="B26465" s="8" t="str">
        <f>HYPERLINK("https://twitter.com/purnamadewisari","@purnamadewisari")</f>
        <v>@purnamadewisari</v>
      </c>
      <c r="C26465" s="8" t="s">
        <v>10208</v>
      </c>
      <c r="D26465" s="8">
        <v>15</v>
      </c>
      <c r="E26465" s="8">
        <v>0</v>
      </c>
      <c r="F26465" s="8">
        <v>145</v>
      </c>
    </row>
    <row r="26466" spans="1:6" ht="12.75">
      <c r="A26466" s="8">
        <v>43892.589201388888</v>
      </c>
      <c r="B26466" s="8" t="str">
        <f>HYPERLINK("https://twitter.com/IchiiRN","@IchiiRN")</f>
        <v>@IchiiRN</v>
      </c>
      <c r="C26466" s="8" t="s">
        <v>10081</v>
      </c>
      <c r="D26466" s="8">
        <v>197</v>
      </c>
      <c r="E26466" s="8">
        <v>0</v>
      </c>
      <c r="F26466" s="8">
        <v>474</v>
      </c>
    </row>
    <row r="26467" spans="1:6" ht="12.75">
      <c r="A26467" s="8">
        <v>43892.589189814811</v>
      </c>
      <c r="B26467" s="8" t="str">
        <f>HYPERLINK("https://twitter.com/LeoOliel","@LeoOliel")</f>
        <v>@LeoOliel</v>
      </c>
      <c r="C26467" s="8" t="s">
        <v>4477</v>
      </c>
      <c r="D26467" s="8">
        <v>213</v>
      </c>
      <c r="E26467" s="8">
        <v>0</v>
      </c>
      <c r="F26467" s="8">
        <v>371</v>
      </c>
    </row>
    <row r="26468" spans="1:6" ht="12.75">
      <c r="A26468" s="8">
        <v>43892.589178240742</v>
      </c>
      <c r="B26468" s="8" t="str">
        <f>HYPERLINK("https://twitter.com/MaizarMuhammad","@MaizarMuhammad")</f>
        <v>@MaizarMuhammad</v>
      </c>
      <c r="C26468" s="8" t="s">
        <v>10227</v>
      </c>
      <c r="D26468" s="8">
        <v>0</v>
      </c>
      <c r="E26468" s="8">
        <v>0</v>
      </c>
      <c r="F26468" s="8">
        <v>45</v>
      </c>
    </row>
    <row r="26469" spans="1:6" ht="12.75">
      <c r="A26469" s="8">
        <v>43892.589178240742</v>
      </c>
      <c r="B26469" s="8" t="str">
        <f>HYPERLINK("https://twitter.com/luthfiset","@luthfiset")</f>
        <v>@luthfiset</v>
      </c>
      <c r="C26469" s="8" t="s">
        <v>2272</v>
      </c>
      <c r="D26469" s="8">
        <v>993</v>
      </c>
      <c r="E26469" s="8">
        <v>0</v>
      </c>
      <c r="F26469" s="8">
        <v>129</v>
      </c>
    </row>
    <row r="26470" spans="1:6" ht="12.75">
      <c r="A26470" s="8">
        <v>43892.589131944449</v>
      </c>
      <c r="B26470" s="8" t="str">
        <f>HYPERLINK("https://twitter.com/obtairadio","@obtairadio")</f>
        <v>@obtairadio</v>
      </c>
      <c r="C26470" s="8" t="s">
        <v>10228</v>
      </c>
      <c r="D26470" s="8">
        <v>0</v>
      </c>
      <c r="E26470" s="8">
        <v>1</v>
      </c>
      <c r="F26470" s="8">
        <v>652</v>
      </c>
    </row>
    <row r="26471" spans="1:6" ht="12.75">
      <c r="A26471" s="8">
        <v>43892.589131944449</v>
      </c>
      <c r="B26471" s="8" t="str">
        <f>HYPERLINK("https://twitter.com/Mentimoen","@Mentimoen")</f>
        <v>@Mentimoen</v>
      </c>
      <c r="C26471" s="8" t="s">
        <v>10229</v>
      </c>
      <c r="D26471" s="8">
        <v>0</v>
      </c>
      <c r="E26471" s="8">
        <v>1</v>
      </c>
      <c r="F26471" s="8">
        <v>30241</v>
      </c>
    </row>
    <row r="26472" spans="1:6" ht="12.75">
      <c r="A26472" s="8">
        <v>43892.589108796295</v>
      </c>
      <c r="B26472" s="8" t="str">
        <f>HYPERLINK("https://twitter.com/charlsXmimi","@charlsXmimi")</f>
        <v>@charlsXmimi</v>
      </c>
      <c r="C26472" s="8" t="s">
        <v>2199</v>
      </c>
      <c r="D26472" s="8">
        <v>5423</v>
      </c>
      <c r="E26472" s="8">
        <v>0</v>
      </c>
      <c r="F26472" s="8">
        <v>396</v>
      </c>
    </row>
    <row r="26473" spans="1:6" ht="12.75">
      <c r="A26473" s="8">
        <v>43892.589085648149</v>
      </c>
      <c r="B26473" s="8" t="str">
        <f>HYPERLINK("https://twitter.com/ratu0893","@ratu0893")</f>
        <v>@ratu0893</v>
      </c>
      <c r="C26473" s="8" t="s">
        <v>10230</v>
      </c>
      <c r="D26473" s="8">
        <v>0</v>
      </c>
      <c r="E26473" s="8">
        <v>0</v>
      </c>
      <c r="F26473" s="8">
        <v>205</v>
      </c>
    </row>
    <row r="26474" spans="1:6" ht="12.75">
      <c r="A26474" s="8">
        <v>43892.589085648149</v>
      </c>
      <c r="B26474" s="8" t="str">
        <f>HYPERLINK("https://twitter.com/ichasoe","@ichasoe")</f>
        <v>@ichasoe</v>
      </c>
      <c r="C26474" s="8" t="s">
        <v>10231</v>
      </c>
      <c r="D26474" s="8">
        <v>17</v>
      </c>
      <c r="E26474" s="8">
        <v>0</v>
      </c>
      <c r="F26474" s="8">
        <v>103</v>
      </c>
    </row>
    <row r="26475" spans="1:6" ht="12.75">
      <c r="A26475" s="8">
        <v>43892.589074074072</v>
      </c>
      <c r="B26475" s="8" t="str">
        <f>HYPERLINK("https://twitter.com/WaspodoSetiyo","@WaspodoSetiyo")</f>
        <v>@WaspodoSetiyo</v>
      </c>
      <c r="C26475" s="8" t="s">
        <v>2962</v>
      </c>
      <c r="D26475" s="8">
        <v>910</v>
      </c>
      <c r="E26475" s="8">
        <v>0</v>
      </c>
      <c r="F26475" s="8">
        <v>2156</v>
      </c>
    </row>
    <row r="26476" spans="1:6" ht="12.75">
      <c r="A26476" s="8">
        <v>43892.589062500003</v>
      </c>
      <c r="B26476" s="8" t="str">
        <f>HYPERLINK("https://twitter.com/moondelightz","@moondelightz")</f>
        <v>@moondelightz</v>
      </c>
      <c r="C26476" s="8" t="s">
        <v>10095</v>
      </c>
      <c r="D26476" s="8">
        <v>105</v>
      </c>
      <c r="E26476" s="8">
        <v>0</v>
      </c>
      <c r="F26476" s="8">
        <v>1072</v>
      </c>
    </row>
    <row r="26477" spans="1:6" ht="12.75">
      <c r="A26477" s="8">
        <v>43892.589062500003</v>
      </c>
      <c r="B26477" s="8" t="str">
        <f>HYPERLINK("https://twitter.com/Rayaando","@Rayaando")</f>
        <v>@Rayaando</v>
      </c>
      <c r="C26477" s="8" t="s">
        <v>10232</v>
      </c>
      <c r="D26477" s="8">
        <v>4</v>
      </c>
      <c r="E26477" s="8">
        <v>0</v>
      </c>
      <c r="F26477" s="8">
        <v>2549</v>
      </c>
    </row>
    <row r="26478" spans="1:6" ht="12.75">
      <c r="A26478" s="8">
        <v>43892.589050925926</v>
      </c>
      <c r="B26478" s="8" t="str">
        <f>HYPERLINK("https://twitter.com/problemakre","@problemakre")</f>
        <v>@problemakre</v>
      </c>
      <c r="C26478" s="8" t="s">
        <v>10125</v>
      </c>
      <c r="D26478" s="8">
        <v>158</v>
      </c>
      <c r="E26478" s="8">
        <v>0</v>
      </c>
      <c r="F26478" s="8">
        <v>14</v>
      </c>
    </row>
    <row r="26479" spans="1:6" ht="12.75">
      <c r="A26479" s="8">
        <v>43892.58902777778</v>
      </c>
      <c r="B26479" s="8" t="str">
        <f>HYPERLINK("https://twitter.com/EBRoestono","@EBRoestono")</f>
        <v>@EBRoestono</v>
      </c>
      <c r="C26479" s="8" t="s">
        <v>10233</v>
      </c>
      <c r="D26479" s="8">
        <v>12</v>
      </c>
      <c r="E26479" s="8">
        <v>0</v>
      </c>
      <c r="F26479" s="8">
        <v>747</v>
      </c>
    </row>
    <row r="26480" spans="1:6" ht="12.75">
      <c r="A26480" s="8">
        <v>43892.54850694444</v>
      </c>
      <c r="B26480" s="8" t="str">
        <f>HYPERLINK("https://twitter.com/softbgt","@softbgt")</f>
        <v>@softbgt</v>
      </c>
      <c r="C26480" s="8" t="s">
        <v>9945</v>
      </c>
      <c r="D26480" s="8">
        <v>395</v>
      </c>
      <c r="E26480" s="8">
        <v>0</v>
      </c>
      <c r="F26480" s="8">
        <v>367</v>
      </c>
    </row>
    <row r="26481" spans="1:6" ht="12.75">
      <c r="A26481" s="8">
        <v>43892.54850694444</v>
      </c>
      <c r="B26481" s="8" t="str">
        <f>HYPERLINK("https://twitter.com/tempodotco","@tempodotco")</f>
        <v>@tempodotco</v>
      </c>
      <c r="C26481" s="8" t="s">
        <v>10234</v>
      </c>
      <c r="D26481" s="8">
        <v>0</v>
      </c>
      <c r="E26481" s="8">
        <v>0</v>
      </c>
      <c r="F26481" s="8">
        <v>1713486</v>
      </c>
    </row>
    <row r="26482" spans="1:6" ht="12.75">
      <c r="A26482" s="8">
        <v>43892.54850694444</v>
      </c>
      <c r="B26482" s="8" t="str">
        <f>HYPERLINK("https://twitter.com/summerkyh","@summerkyh")</f>
        <v>@summerkyh</v>
      </c>
      <c r="C26482" s="8" t="s">
        <v>10095</v>
      </c>
      <c r="D26482" s="8">
        <v>17</v>
      </c>
      <c r="E26482" s="8">
        <v>0</v>
      </c>
      <c r="F26482" s="8">
        <v>517</v>
      </c>
    </row>
    <row r="26483" spans="1:6" ht="12.75">
      <c r="A26483" s="8">
        <v>43892.54850694444</v>
      </c>
      <c r="B26483" s="8" t="str">
        <f>HYPERLINK("https://twitter.com/republikaonline","@republikaonline")</f>
        <v>@republikaonline</v>
      </c>
      <c r="C26483" s="8" t="s">
        <v>10235</v>
      </c>
      <c r="D26483" s="8">
        <v>0</v>
      </c>
      <c r="E26483" s="8">
        <v>0</v>
      </c>
      <c r="F26483" s="8">
        <v>1217024</v>
      </c>
    </row>
    <row r="26484" spans="1:6" ht="12.75">
      <c r="A26484" s="8">
        <v>43892.54850694444</v>
      </c>
      <c r="B26484" s="8" t="str">
        <f>HYPERLINK("https://twitter.com/biebchan04","@biebchan04")</f>
        <v>@biebchan04</v>
      </c>
      <c r="C26484" s="8" t="s">
        <v>9945</v>
      </c>
      <c r="D26484" s="8">
        <v>395</v>
      </c>
      <c r="E26484" s="8">
        <v>0</v>
      </c>
      <c r="F26484" s="8">
        <v>95</v>
      </c>
    </row>
    <row r="26485" spans="1:6" ht="12.75">
      <c r="A26485" s="8">
        <v>43892.54850694444</v>
      </c>
      <c r="B26485" s="8" t="str">
        <f>HYPERLINK("https://twitter.com/Harun_Haposan","@Harun_Haposan")</f>
        <v>@Harun_Haposan</v>
      </c>
      <c r="C26485" s="8" t="s">
        <v>10236</v>
      </c>
      <c r="D26485" s="8">
        <v>83</v>
      </c>
      <c r="E26485" s="8">
        <v>0</v>
      </c>
      <c r="F26485" s="8">
        <v>164</v>
      </c>
    </row>
    <row r="26486" spans="1:6" ht="12.75">
      <c r="A26486" s="8">
        <v>43892.548495370371</v>
      </c>
      <c r="B26486" s="8" t="str">
        <f>HYPERLINK("https://twitter.com/sahida_sahira","@sahida_sahira")</f>
        <v>@sahida_sahira</v>
      </c>
      <c r="C26486" s="8" t="s">
        <v>9701</v>
      </c>
      <c r="D26486" s="8">
        <v>661</v>
      </c>
      <c r="E26486" s="8">
        <v>0</v>
      </c>
      <c r="F26486" s="8">
        <v>289</v>
      </c>
    </row>
    <row r="26487" spans="1:6" ht="12.75">
      <c r="A26487" s="8">
        <v>43892.548483796301</v>
      </c>
      <c r="B26487" s="8" t="str">
        <f>HYPERLINK("https://twitter.com/stkhrywt","@stkhrywt")</f>
        <v>@stkhrywt</v>
      </c>
      <c r="C26487" s="8" t="s">
        <v>7405</v>
      </c>
      <c r="D26487" s="8">
        <v>658</v>
      </c>
      <c r="E26487" s="8">
        <v>0</v>
      </c>
      <c r="F26487" s="8">
        <v>6639</v>
      </c>
    </row>
    <row r="26488" spans="1:6" ht="12.75">
      <c r="A26488" s="8">
        <v>43892.548472222217</v>
      </c>
      <c r="B26488" s="8" t="str">
        <f>HYPERLINK("https://twitter.com/Imarohaa","@Imarohaa")</f>
        <v>@Imarohaa</v>
      </c>
      <c r="C26488" s="8" t="s">
        <v>10095</v>
      </c>
      <c r="D26488" s="8">
        <v>17</v>
      </c>
      <c r="E26488" s="8">
        <v>0</v>
      </c>
      <c r="F26488" s="8">
        <v>386</v>
      </c>
    </row>
    <row r="26489" spans="1:6" ht="12.75">
      <c r="A26489" s="8">
        <v>43892.548460648148</v>
      </c>
      <c r="B26489" s="8" t="str">
        <f>HYPERLINK("https://twitter.com/yxxluigi","@yxxluigi")</f>
        <v>@yxxluigi</v>
      </c>
      <c r="C26489" s="8" t="s">
        <v>7405</v>
      </c>
      <c r="D26489" s="8">
        <v>658</v>
      </c>
      <c r="E26489" s="8">
        <v>0</v>
      </c>
      <c r="F26489" s="8">
        <v>30</v>
      </c>
    </row>
    <row r="26490" spans="1:6" ht="12.75">
      <c r="A26490" s="8">
        <v>43892.548460648148</v>
      </c>
      <c r="B26490" s="8" t="str">
        <f>HYPERLINK("https://twitter.com/ficcowardani","@ficcowardani")</f>
        <v>@ficcowardani</v>
      </c>
      <c r="C26490" s="8" t="s">
        <v>5602</v>
      </c>
      <c r="D26490" s="8">
        <v>890</v>
      </c>
      <c r="E26490" s="8">
        <v>0</v>
      </c>
      <c r="F26490" s="8">
        <v>465</v>
      </c>
    </row>
    <row r="26491" spans="1:6" ht="12.75">
      <c r="A26491" s="8">
        <v>43892.548460648148</v>
      </c>
      <c r="B26491" s="8" t="str">
        <f>HYPERLINK("https://twitter.com/arunasjukri","@arunasjukri")</f>
        <v>@arunasjukri</v>
      </c>
      <c r="C26491" s="8" t="s">
        <v>10237</v>
      </c>
      <c r="D26491" s="8">
        <v>20</v>
      </c>
      <c r="E26491" s="8">
        <v>0</v>
      </c>
      <c r="F26491" s="8">
        <v>850</v>
      </c>
    </row>
    <row r="26492" spans="1:6" ht="12.75">
      <c r="A26492" s="8">
        <v>43892.548449074078</v>
      </c>
      <c r="B26492" s="8" t="str">
        <f>HYPERLINK("https://twitter.com/evyIlona","@evyIlona")</f>
        <v>@evyIlona</v>
      </c>
      <c r="C26492" s="8" t="s">
        <v>7110</v>
      </c>
      <c r="D26492" s="8">
        <v>243</v>
      </c>
      <c r="E26492" s="8">
        <v>0</v>
      </c>
      <c r="F26492" s="8">
        <v>23</v>
      </c>
    </row>
    <row r="26493" spans="1:6" ht="12.75">
      <c r="A26493" s="8">
        <v>43892.548449074078</v>
      </c>
      <c r="B26493" s="8" t="str">
        <f>HYPERLINK("https://twitter.com/riamaretta96","@riamaretta96")</f>
        <v>@riamaretta96</v>
      </c>
      <c r="C26493" s="8" t="s">
        <v>2962</v>
      </c>
      <c r="D26493" s="8">
        <v>491</v>
      </c>
      <c r="E26493" s="8">
        <v>0</v>
      </c>
      <c r="F26493" s="8">
        <v>993</v>
      </c>
    </row>
    <row r="26494" spans="1:6" ht="12.75">
      <c r="A26494" s="8">
        <v>43892.548449074078</v>
      </c>
      <c r="B26494" s="8" t="str">
        <f>HYPERLINK("https://twitter.com/Baekhyuniemood","@Baekhyuniemood")</f>
        <v>@Baekhyuniemood</v>
      </c>
      <c r="C26494" s="8" t="s">
        <v>9945</v>
      </c>
      <c r="D26494" s="8">
        <v>395</v>
      </c>
      <c r="E26494" s="8">
        <v>0</v>
      </c>
      <c r="F26494" s="8">
        <v>8</v>
      </c>
    </row>
    <row r="26495" spans="1:6" ht="12.75">
      <c r="A26495" s="8">
        <v>43892.548449074078</v>
      </c>
      <c r="B26495" s="8" t="str">
        <f>HYPERLINK("https://twitter.com/Miss_Maisarah","@Miss_Maisarah")</f>
        <v>@Miss_Maisarah</v>
      </c>
      <c r="C26495" s="8" t="s">
        <v>9701</v>
      </c>
      <c r="D26495" s="8">
        <v>661</v>
      </c>
      <c r="E26495" s="8">
        <v>0</v>
      </c>
      <c r="F26495" s="8">
        <v>422</v>
      </c>
    </row>
    <row r="26496" spans="1:6" ht="12.75">
      <c r="A26496" s="8">
        <v>43892.548449074078</v>
      </c>
      <c r="B26496" s="8" t="str">
        <f>HYPERLINK("https://twitter.com/baitynurek","@baitynurek")</f>
        <v>@baitynurek</v>
      </c>
      <c r="C26496" s="8" t="s">
        <v>9176</v>
      </c>
      <c r="D26496" s="8">
        <v>570</v>
      </c>
      <c r="E26496" s="8">
        <v>0</v>
      </c>
      <c r="F26496" s="8">
        <v>445</v>
      </c>
    </row>
    <row r="26497" spans="1:6" ht="12.75">
      <c r="A26497" s="8">
        <v>43892.548437500001</v>
      </c>
      <c r="B26497" s="8" t="str">
        <f>HYPERLINK("https://twitter.com/kartikahari13","@kartikahari13")</f>
        <v>@kartikahari13</v>
      </c>
      <c r="C26497" s="8" t="s">
        <v>4477</v>
      </c>
      <c r="D26497" s="8">
        <v>70</v>
      </c>
      <c r="E26497" s="8">
        <v>0</v>
      </c>
      <c r="F26497" s="8">
        <v>1404</v>
      </c>
    </row>
    <row r="26498" spans="1:6" ht="12.75">
      <c r="A26498" s="8">
        <v>43892.548425925925</v>
      </c>
      <c r="B26498" s="8" t="str">
        <f>HYPERLINK("https://twitter.com/Trueblue__05","@Trueblue__05")</f>
        <v>@Trueblue__05</v>
      </c>
      <c r="C26498" s="8" t="s">
        <v>7405</v>
      </c>
      <c r="D26498" s="8">
        <v>658</v>
      </c>
      <c r="E26498" s="8">
        <v>0</v>
      </c>
      <c r="F26498" s="8">
        <v>1237</v>
      </c>
    </row>
    <row r="26499" spans="1:6" ht="12.75">
      <c r="A26499" s="8">
        <v>43892.548425925925</v>
      </c>
      <c r="B26499" s="8" t="str">
        <f>HYPERLINK("https://twitter.com/anjarisme","@anjarisme")</f>
        <v>@anjarisme</v>
      </c>
      <c r="C26499" s="8" t="s">
        <v>10238</v>
      </c>
      <c r="D26499" s="8">
        <v>0</v>
      </c>
      <c r="E26499" s="8">
        <v>0</v>
      </c>
      <c r="F26499" s="8">
        <v>10757</v>
      </c>
    </row>
    <row r="26500" spans="1:6" ht="12.75">
      <c r="A26500" s="8">
        <v>43892.548425925925</v>
      </c>
      <c r="B26500" s="8" t="str">
        <f>HYPERLINK("https://twitter.com/ErlaSharfina_PN","@ErlaSharfina_PN")</f>
        <v>@ErlaSharfina_PN</v>
      </c>
      <c r="C26500" s="8" t="s">
        <v>4477</v>
      </c>
      <c r="D26500" s="8">
        <v>70</v>
      </c>
      <c r="E26500" s="8">
        <v>0</v>
      </c>
      <c r="F26500" s="8">
        <v>189</v>
      </c>
    </row>
    <row r="26501" spans="1:6" ht="12.75">
      <c r="A26501" s="8">
        <v>43892.548414351855</v>
      </c>
      <c r="B26501" s="8" t="str">
        <f>HYPERLINK("https://twitter.com/anisfaridaa","@anisfaridaa")</f>
        <v>@anisfaridaa</v>
      </c>
      <c r="C26501" s="8" t="s">
        <v>2199</v>
      </c>
      <c r="D26501" s="8">
        <v>5053</v>
      </c>
      <c r="E26501" s="8">
        <v>0</v>
      </c>
      <c r="F26501" s="8">
        <v>157</v>
      </c>
    </row>
    <row r="26502" spans="1:6" ht="12.75">
      <c r="A26502" s="8">
        <v>43892.548414351855</v>
      </c>
      <c r="B26502" s="8" t="str">
        <f>HYPERLINK("https://twitter.com/masdeeeen","@masdeeeen")</f>
        <v>@masdeeeen</v>
      </c>
      <c r="C26502" s="8" t="s">
        <v>9176</v>
      </c>
      <c r="D26502" s="8">
        <v>570</v>
      </c>
      <c r="E26502" s="8">
        <v>0</v>
      </c>
      <c r="F26502" s="8">
        <v>78</v>
      </c>
    </row>
    <row r="26503" spans="1:6" ht="12.75">
      <c r="A26503" s="8">
        <v>43892.548391203702</v>
      </c>
      <c r="B26503" s="8" t="str">
        <f>HYPERLINK("https://twitter.com/AlvaroDeBazan2","@AlvaroDeBazan2")</f>
        <v>@AlvaroDeBazan2</v>
      </c>
      <c r="C26503" s="8" t="s">
        <v>10187</v>
      </c>
      <c r="D26503" s="8">
        <v>4</v>
      </c>
      <c r="E26503" s="8">
        <v>0</v>
      </c>
      <c r="F26503" s="8">
        <v>264</v>
      </c>
    </row>
    <row r="26504" spans="1:6" ht="12.75">
      <c r="A26504" s="8">
        <v>43892.548391203702</v>
      </c>
      <c r="B26504" s="8" t="str">
        <f>HYPERLINK("https://twitter.com/sbuxaddict_","@sbuxaddict_")</f>
        <v>@sbuxaddict_</v>
      </c>
      <c r="C26504" s="8" t="s">
        <v>2962</v>
      </c>
      <c r="D26504" s="8">
        <v>491</v>
      </c>
      <c r="E26504" s="8">
        <v>0</v>
      </c>
      <c r="F26504" s="8">
        <v>274</v>
      </c>
    </row>
    <row r="26505" spans="1:6" ht="12.75">
      <c r="A26505" s="8">
        <v>43892.548391203702</v>
      </c>
      <c r="B26505" s="8" t="str">
        <f>HYPERLINK("https://twitter.com/butterxone","@butterxone")</f>
        <v>@butterxone</v>
      </c>
      <c r="C26505" s="8" t="s">
        <v>3648</v>
      </c>
      <c r="D26505" s="8">
        <v>410</v>
      </c>
      <c r="E26505" s="8">
        <v>0</v>
      </c>
      <c r="F26505" s="8">
        <v>244</v>
      </c>
    </row>
    <row r="26506" spans="1:6" ht="12.75">
      <c r="A26506" s="8">
        <v>43892.548379629632</v>
      </c>
      <c r="B26506" s="8" t="str">
        <f>HYPERLINK("https://twitter.com/ilhamtotep","@ilhamtotep")</f>
        <v>@ilhamtotep</v>
      </c>
      <c r="C26506" s="8" t="s">
        <v>2199</v>
      </c>
      <c r="D26506" s="8">
        <v>5053</v>
      </c>
      <c r="E26506" s="8">
        <v>0</v>
      </c>
      <c r="F26506" s="8">
        <v>337</v>
      </c>
    </row>
    <row r="26507" spans="1:6" ht="12.75">
      <c r="A26507" s="8">
        <v>43892.548368055555</v>
      </c>
      <c r="B26507" s="8" t="str">
        <f>HYPERLINK("https://twitter.com/DakwahOnline114","@DakwahOnline114")</f>
        <v>@DakwahOnline114</v>
      </c>
      <c r="C26507" s="8" t="s">
        <v>10239</v>
      </c>
      <c r="D26507" s="8">
        <v>18</v>
      </c>
      <c r="E26507" s="8">
        <v>0</v>
      </c>
      <c r="F26507" s="8">
        <v>1102</v>
      </c>
    </row>
    <row r="26508" spans="1:6" ht="12.75">
      <c r="A26508" s="8">
        <v>43892.548356481479</v>
      </c>
      <c r="B26508" s="8" t="str">
        <f>HYPERLINK("https://twitter.com/Lucky_L4k1","@Lucky_L4k1")</f>
        <v>@Lucky_L4k1</v>
      </c>
      <c r="C26508" s="8" t="s">
        <v>5732</v>
      </c>
      <c r="D26508" s="8">
        <v>1408</v>
      </c>
      <c r="E26508" s="8">
        <v>0</v>
      </c>
      <c r="F26508" s="8">
        <v>284</v>
      </c>
    </row>
    <row r="26509" spans="1:6" ht="12.75">
      <c r="A26509" s="8">
        <v>43892.548356481479</v>
      </c>
      <c r="B26509" s="8" t="str">
        <f>HYPERLINK("https://twitter.com/kepalangantuk","@kepalangantuk")</f>
        <v>@kepalangantuk</v>
      </c>
      <c r="C26509" s="8" t="s">
        <v>2962</v>
      </c>
      <c r="D26509" s="8">
        <v>491</v>
      </c>
      <c r="E26509" s="8">
        <v>0</v>
      </c>
      <c r="F26509" s="8">
        <v>368</v>
      </c>
    </row>
    <row r="26510" spans="1:6" ht="12.75">
      <c r="A26510" s="8">
        <v>43892.548344907409</v>
      </c>
      <c r="B26510" s="8" t="str">
        <f>HYPERLINK("https://twitter.com/OmOcep","@OmOcep")</f>
        <v>@OmOcep</v>
      </c>
      <c r="C26510" s="8" t="s">
        <v>9176</v>
      </c>
      <c r="D26510" s="8">
        <v>570</v>
      </c>
      <c r="E26510" s="8">
        <v>0</v>
      </c>
      <c r="F26510" s="8">
        <v>247</v>
      </c>
    </row>
    <row r="26511" spans="1:6" ht="12.75">
      <c r="A26511" s="8">
        <v>43892.548344907409</v>
      </c>
      <c r="B26511" s="8" t="str">
        <f>HYPERLINK("https://twitter.com/gitsuokeda","@gitsuokeda")</f>
        <v>@gitsuokeda</v>
      </c>
      <c r="C26511" s="8" t="s">
        <v>2962</v>
      </c>
      <c r="D26511" s="8">
        <v>491</v>
      </c>
      <c r="E26511" s="8">
        <v>0</v>
      </c>
      <c r="F26511" s="8">
        <v>0</v>
      </c>
    </row>
    <row r="26512" spans="1:6" ht="12.75">
      <c r="A26512" s="8">
        <v>43892.548333333332</v>
      </c>
      <c r="B26512" s="8" t="str">
        <f>HYPERLINK("https://twitter.com/kmilsyuti","@kmilsyuti")</f>
        <v>@kmilsyuti</v>
      </c>
      <c r="C26512" s="8" t="s">
        <v>9701</v>
      </c>
      <c r="D26512" s="8">
        <v>661</v>
      </c>
      <c r="E26512" s="8">
        <v>0</v>
      </c>
      <c r="F26512" s="8">
        <v>527</v>
      </c>
    </row>
    <row r="26513" spans="1:6" ht="12.75">
      <c r="A26513" s="8">
        <v>43892.548321759255</v>
      </c>
      <c r="B26513" s="8" t="str">
        <f>HYPERLINK("https://twitter.com/tokohutamamu","@tokohutamamu")</f>
        <v>@tokohutamamu</v>
      </c>
      <c r="C26513" s="8" t="s">
        <v>4477</v>
      </c>
      <c r="D26513" s="8">
        <v>70</v>
      </c>
      <c r="E26513" s="8">
        <v>0</v>
      </c>
      <c r="F26513" s="8">
        <v>304</v>
      </c>
    </row>
    <row r="26514" spans="1:6" ht="12.75">
      <c r="A26514" s="8">
        <v>43892.548321759255</v>
      </c>
      <c r="B26514" s="8" t="str">
        <f>HYPERLINK("https://twitter.com/b4n9y05","@b4n9y05")</f>
        <v>@b4n9y05</v>
      </c>
      <c r="C26514" s="8" t="s">
        <v>10240</v>
      </c>
      <c r="D26514" s="8">
        <v>0</v>
      </c>
      <c r="E26514" s="8">
        <v>0</v>
      </c>
      <c r="F26514" s="8">
        <v>181</v>
      </c>
    </row>
    <row r="26515" spans="1:6" ht="12.75">
      <c r="A26515" s="8">
        <v>43892.548321759255</v>
      </c>
      <c r="B26515" s="8" t="str">
        <f>HYPERLINK("https://twitter.com/Supersprint90cc","@Supersprint90cc")</f>
        <v>@Supersprint90cc</v>
      </c>
      <c r="C26515" s="8" t="s">
        <v>5732</v>
      </c>
      <c r="D26515" s="8">
        <v>1408</v>
      </c>
      <c r="E26515" s="8">
        <v>0</v>
      </c>
      <c r="F26515" s="8">
        <v>530</v>
      </c>
    </row>
    <row r="26516" spans="1:6" ht="12.75">
      <c r="A26516" s="8">
        <v>43892.548321759255</v>
      </c>
      <c r="B26516" s="8" t="str">
        <f>HYPERLINK("https://twitter.com/Nur_achmads","@Nur_achmads")</f>
        <v>@Nur_achmads</v>
      </c>
      <c r="C26516" s="8" t="s">
        <v>8737</v>
      </c>
      <c r="D26516" s="8">
        <v>855</v>
      </c>
      <c r="E26516" s="8">
        <v>0</v>
      </c>
      <c r="F26516" s="8">
        <v>434</v>
      </c>
    </row>
    <row r="26517" spans="1:6" ht="12.75">
      <c r="A26517" s="8">
        <v>43892.548321759255</v>
      </c>
      <c r="B26517" s="8" t="str">
        <f>HYPERLINK("https://twitter.com/exyzhan","@exyzhan")</f>
        <v>@exyzhan</v>
      </c>
      <c r="C26517" s="8" t="s">
        <v>2199</v>
      </c>
      <c r="D26517" s="8">
        <v>5053</v>
      </c>
      <c r="E26517" s="8">
        <v>0</v>
      </c>
      <c r="F26517" s="8">
        <v>669</v>
      </c>
    </row>
    <row r="26518" spans="1:6" ht="12.75">
      <c r="A26518" s="8">
        <v>43892.548310185186</v>
      </c>
      <c r="B26518" s="8" t="str">
        <f>HYPERLINK("https://twitter.com/NamEMasss","@NamEMasss")</f>
        <v>@NamEMasss</v>
      </c>
      <c r="C26518" s="8" t="s">
        <v>9176</v>
      </c>
      <c r="D26518" s="8">
        <v>570</v>
      </c>
      <c r="E26518" s="8">
        <v>0</v>
      </c>
      <c r="F26518" s="8">
        <v>348</v>
      </c>
    </row>
    <row r="26519" spans="1:6" ht="12.75">
      <c r="A26519" s="8">
        <v>43892.548298611116</v>
      </c>
      <c r="B26519" s="8" t="str">
        <f>HYPERLINK("https://twitter.com/sonianancys","@sonianancys")</f>
        <v>@sonianancys</v>
      </c>
      <c r="C26519" s="8" t="s">
        <v>2199</v>
      </c>
      <c r="D26519" s="8">
        <v>5053</v>
      </c>
      <c r="E26519" s="8">
        <v>0</v>
      </c>
      <c r="F26519" s="8">
        <v>222</v>
      </c>
    </row>
    <row r="26520" spans="1:6" ht="12.75">
      <c r="A26520" s="8">
        <v>43892.548298611116</v>
      </c>
      <c r="B26520" s="8" t="str">
        <f>HYPERLINK("https://twitter.com/jalanyuuuu","@jalanyuuuu")</f>
        <v>@jalanyuuuu</v>
      </c>
      <c r="C26520" s="8" t="s">
        <v>9945</v>
      </c>
      <c r="D26520" s="8">
        <v>395</v>
      </c>
      <c r="E26520" s="8">
        <v>0</v>
      </c>
      <c r="F26520" s="8">
        <v>0</v>
      </c>
    </row>
    <row r="26521" spans="1:6" ht="12.75">
      <c r="A26521" s="8">
        <v>43892.548287037032</v>
      </c>
      <c r="B26521" s="8" t="str">
        <f>HYPERLINK("https://twitter.com/soloposdotcom","@soloposdotcom")</f>
        <v>@soloposdotcom</v>
      </c>
      <c r="C26521" s="8" t="s">
        <v>10241</v>
      </c>
      <c r="D26521" s="8">
        <v>0</v>
      </c>
      <c r="E26521" s="8">
        <v>0</v>
      </c>
      <c r="F26521" s="8">
        <v>59929</v>
      </c>
    </row>
    <row r="26522" spans="1:6" ht="12.75">
      <c r="A26522" s="8">
        <v>43892.548287037032</v>
      </c>
      <c r="B26522" s="8" t="str">
        <f>HYPERLINK("https://twitter.com/YulidaNing","@YulidaNing")</f>
        <v>@YulidaNing</v>
      </c>
      <c r="C26522" s="8" t="s">
        <v>10242</v>
      </c>
      <c r="D26522" s="8">
        <v>25</v>
      </c>
      <c r="E26522" s="8">
        <v>0</v>
      </c>
      <c r="F26522" s="8">
        <v>231</v>
      </c>
    </row>
    <row r="26523" spans="1:6" ht="12.75">
      <c r="A26523" s="8">
        <v>43892.548287037032</v>
      </c>
      <c r="B26523" s="8" t="str">
        <f>HYPERLINK("https://twitter.com/baun666","@baun666")</f>
        <v>@baun666</v>
      </c>
      <c r="C26523" s="8" t="s">
        <v>10243</v>
      </c>
      <c r="D26523" s="8">
        <v>8</v>
      </c>
      <c r="E26523" s="8">
        <v>0</v>
      </c>
      <c r="F26523" s="8">
        <v>397</v>
      </c>
    </row>
    <row r="26524" spans="1:6" ht="12.75">
      <c r="A26524" s="8">
        <v>43892.548287037032</v>
      </c>
      <c r="B26524" s="8" t="str">
        <f>HYPERLINK("https://twitter.com/9792_universe","@9792_universe")</f>
        <v>@9792_universe</v>
      </c>
      <c r="C26524" s="8" t="s">
        <v>10244</v>
      </c>
      <c r="D26524" s="8">
        <v>12</v>
      </c>
      <c r="E26524" s="8">
        <v>0</v>
      </c>
      <c r="F26524" s="8">
        <v>1738</v>
      </c>
    </row>
    <row r="26525" spans="1:6" ht="12.75">
      <c r="A26525" s="8">
        <v>43892.548263888893</v>
      </c>
      <c r="B26525" s="8" t="str">
        <f>HYPERLINK("https://twitter.com/dinamorenza","@dinamorenza")</f>
        <v>@dinamorenza</v>
      </c>
      <c r="C26525" s="8" t="s">
        <v>7405</v>
      </c>
      <c r="D26525" s="8">
        <v>658</v>
      </c>
      <c r="E26525" s="8">
        <v>0</v>
      </c>
      <c r="F26525" s="8">
        <v>454</v>
      </c>
    </row>
    <row r="26526" spans="1:6" ht="12.75">
      <c r="A26526" s="8">
        <v>43892.548263888893</v>
      </c>
      <c r="B26526" s="8" t="str">
        <f>HYPERLINK("https://twitter.com/praja_pyan","@praja_pyan")</f>
        <v>@praja_pyan</v>
      </c>
      <c r="C26526" s="8" t="s">
        <v>4990</v>
      </c>
      <c r="D26526" s="8">
        <v>367</v>
      </c>
      <c r="E26526" s="8">
        <v>0</v>
      </c>
      <c r="F26526" s="8">
        <v>76</v>
      </c>
    </row>
    <row r="26527" spans="1:6" ht="12.75">
      <c r="A26527" s="8">
        <v>43892.548263888893</v>
      </c>
      <c r="B26527" s="8" t="str">
        <f>HYPERLINK("https://twitter.com/AndriaThya","@AndriaThya")</f>
        <v>@AndriaThya</v>
      </c>
      <c r="C26527" s="8" t="s">
        <v>9908</v>
      </c>
      <c r="D26527" s="8">
        <v>205</v>
      </c>
      <c r="E26527" s="8">
        <v>0</v>
      </c>
      <c r="F26527" s="8">
        <v>264</v>
      </c>
    </row>
    <row r="26528" spans="1:6" ht="12.75">
      <c r="A26528" s="8">
        <v>43892.548263888893</v>
      </c>
      <c r="B26528" s="8" t="str">
        <f>HYPERLINK("https://twitter.com/Lucky_L4k1","@Lucky_L4k1")</f>
        <v>@Lucky_L4k1</v>
      </c>
      <c r="C26528" s="8" t="s">
        <v>10245</v>
      </c>
      <c r="D26528" s="8">
        <v>7</v>
      </c>
      <c r="E26528" s="8">
        <v>0</v>
      </c>
      <c r="F26528" s="8">
        <v>284</v>
      </c>
    </row>
    <row r="26529" spans="1:6" ht="12.75">
      <c r="A26529" s="8">
        <v>43892.548252314809</v>
      </c>
      <c r="B26529" s="8" t="str">
        <f>HYPERLINK("https://twitter.com/Naplepuf","@Naplepuf")</f>
        <v>@Naplepuf</v>
      </c>
      <c r="C26529" s="8" t="s">
        <v>2199</v>
      </c>
      <c r="D26529" s="8">
        <v>5053</v>
      </c>
      <c r="E26529" s="8">
        <v>0</v>
      </c>
      <c r="F26529" s="8">
        <v>686</v>
      </c>
    </row>
    <row r="26530" spans="1:6" ht="12.75">
      <c r="A26530" s="8">
        <v>43892.548252314809</v>
      </c>
      <c r="B26530" s="8" t="str">
        <f>HYPERLINK("https://twitter.com/jjsengui","@jjsengui")</f>
        <v>@jjsengui</v>
      </c>
      <c r="C26530" s="8" t="s">
        <v>10246</v>
      </c>
      <c r="D26530" s="8">
        <v>25</v>
      </c>
      <c r="E26530" s="8">
        <v>0</v>
      </c>
      <c r="F26530" s="8">
        <v>874</v>
      </c>
    </row>
    <row r="26531" spans="1:6" ht="12.75">
      <c r="A26531" s="8">
        <v>43892.54822916667</v>
      </c>
      <c r="B26531" s="8" t="str">
        <f>HYPERLINK("https://twitter.com/hrman1806","@hrman1806")</f>
        <v>@hrman1806</v>
      </c>
      <c r="C26531" s="8" t="s">
        <v>10205</v>
      </c>
      <c r="D26531" s="8">
        <v>1</v>
      </c>
      <c r="E26531" s="8">
        <v>0</v>
      </c>
      <c r="F26531" s="8">
        <v>84</v>
      </c>
    </row>
    <row r="26532" spans="1:6" ht="12.75">
      <c r="A26532" s="8">
        <v>43892.548217592594</v>
      </c>
      <c r="B26532" s="8" t="str">
        <f>HYPERLINK("https://twitter.com/sabrinaageng","@sabrinaageng")</f>
        <v>@sabrinaageng</v>
      </c>
      <c r="C26532" s="8" t="s">
        <v>9176</v>
      </c>
      <c r="D26532" s="8">
        <v>570</v>
      </c>
      <c r="E26532" s="8">
        <v>0</v>
      </c>
      <c r="F26532" s="8">
        <v>372</v>
      </c>
    </row>
    <row r="26533" spans="1:6" ht="12.75">
      <c r="A26533" s="8">
        <v>43892.548206018517</v>
      </c>
      <c r="B26533" s="8" t="str">
        <f>HYPERLINK("https://twitter.com/sansanikamil","@sansanikamil")</f>
        <v>@sansanikamil</v>
      </c>
      <c r="C26533" s="8" t="s">
        <v>7405</v>
      </c>
      <c r="D26533" s="8">
        <v>658</v>
      </c>
      <c r="E26533" s="8">
        <v>0</v>
      </c>
      <c r="F26533" s="8">
        <v>361</v>
      </c>
    </row>
    <row r="26534" spans="1:6" ht="12.75">
      <c r="A26534" s="8">
        <v>43892.548206018517</v>
      </c>
      <c r="B26534" s="8" t="str">
        <f>HYPERLINK("https://twitter.com/sammy3s_AMR","@sammy3s_AMR")</f>
        <v>@sammy3s_AMR</v>
      </c>
      <c r="C26534" s="8" t="s">
        <v>10247</v>
      </c>
      <c r="D26534" s="8">
        <v>15</v>
      </c>
      <c r="E26534" s="8">
        <v>0</v>
      </c>
      <c r="F26534" s="8">
        <v>136</v>
      </c>
    </row>
    <row r="26535" spans="1:6" ht="12.75">
      <c r="A26535" s="8">
        <v>43892.548171296294</v>
      </c>
      <c r="B26535" s="8" t="str">
        <f>HYPERLINK("https://twitter.com/BangGodham","@BangGodham")</f>
        <v>@BangGodham</v>
      </c>
      <c r="C26535" s="8" t="s">
        <v>8322</v>
      </c>
      <c r="D26535" s="8">
        <v>21</v>
      </c>
      <c r="E26535" s="8">
        <v>0</v>
      </c>
      <c r="F26535" s="8">
        <v>959</v>
      </c>
    </row>
    <row r="26536" spans="1:6" ht="12.75">
      <c r="A26536" s="8">
        <v>43892.548159722224</v>
      </c>
      <c r="B26536" s="8" t="str">
        <f>HYPERLINK("https://twitter.com/chandra_909","@chandra_909")</f>
        <v>@chandra_909</v>
      </c>
      <c r="C26536" s="8" t="s">
        <v>10187</v>
      </c>
      <c r="D26536" s="8">
        <v>4</v>
      </c>
      <c r="E26536" s="8">
        <v>0</v>
      </c>
      <c r="F26536" s="8">
        <v>62</v>
      </c>
    </row>
    <row r="26537" spans="1:6" ht="12.75">
      <c r="A26537" s="8">
        <v>43892.548159722224</v>
      </c>
      <c r="B26537" s="8" t="str">
        <f>HYPERLINK("https://twitter.com/fidinatri","@fidinatri")</f>
        <v>@fidinatri</v>
      </c>
      <c r="C26537" s="8" t="s">
        <v>4615</v>
      </c>
      <c r="D26537" s="8">
        <v>82</v>
      </c>
      <c r="E26537" s="8">
        <v>0</v>
      </c>
      <c r="F26537" s="8">
        <v>18</v>
      </c>
    </row>
    <row r="26538" spans="1:6" ht="12.75">
      <c r="A26538" s="8">
        <v>43892.548159722224</v>
      </c>
      <c r="B26538" s="8" t="str">
        <f>HYPERLINK("https://twitter.com/azkarirusli","@azkarirusli")</f>
        <v>@azkarirusli</v>
      </c>
      <c r="C26538" s="8" t="s">
        <v>10081</v>
      </c>
      <c r="D26538" s="8">
        <v>157</v>
      </c>
      <c r="E26538" s="8">
        <v>0</v>
      </c>
      <c r="F26538" s="8">
        <v>238</v>
      </c>
    </row>
    <row r="26539" spans="1:6" ht="12.75">
      <c r="A26539" s="8">
        <v>43892.548148148147</v>
      </c>
      <c r="B26539" s="8" t="str">
        <f>HYPERLINK("https://twitter.com/Nuhun_","@Nuhun_")</f>
        <v>@Nuhun_</v>
      </c>
      <c r="C26539" s="8" t="s">
        <v>9701</v>
      </c>
      <c r="D26539" s="8">
        <v>661</v>
      </c>
      <c r="E26539" s="8">
        <v>0</v>
      </c>
      <c r="F26539" s="8">
        <v>383</v>
      </c>
    </row>
    <row r="26540" spans="1:6" ht="12.75">
      <c r="A26540" s="8">
        <v>43892.548148148147</v>
      </c>
      <c r="B26540" s="8" t="str">
        <f>HYPERLINK("https://twitter.com/YulidaNing","@YulidaNing")</f>
        <v>@YulidaNing</v>
      </c>
      <c r="C26540" s="8" t="s">
        <v>10209</v>
      </c>
      <c r="D26540" s="8">
        <v>76</v>
      </c>
      <c r="E26540" s="8">
        <v>0</v>
      </c>
      <c r="F26540" s="8">
        <v>231</v>
      </c>
    </row>
    <row r="26541" spans="1:6" ht="12.75">
      <c r="A26541" s="8">
        <v>43892.548136574071</v>
      </c>
      <c r="B26541" s="8" t="str">
        <f>HYPERLINK("https://twitter.com/bucinthaitea12","@bucinthaitea12")</f>
        <v>@bucinthaitea12</v>
      </c>
      <c r="C26541" s="8" t="s">
        <v>10095</v>
      </c>
      <c r="D26541" s="8">
        <v>17</v>
      </c>
      <c r="E26541" s="8">
        <v>0</v>
      </c>
      <c r="F26541" s="8">
        <v>138</v>
      </c>
    </row>
    <row r="26542" spans="1:6" ht="12.75">
      <c r="A26542" s="8">
        <v>43892.548136574071</v>
      </c>
      <c r="B26542" s="8" t="str">
        <f>HYPERLINK("https://twitter.com/urehheru","@urehheru")</f>
        <v>@urehheru</v>
      </c>
      <c r="C26542" s="8" t="s">
        <v>2962</v>
      </c>
      <c r="D26542" s="8">
        <v>491</v>
      </c>
      <c r="E26542" s="8">
        <v>0</v>
      </c>
      <c r="F26542" s="8">
        <v>434</v>
      </c>
    </row>
    <row r="26543" spans="1:6" ht="12.75">
      <c r="A26543" s="8">
        <v>43892.548136574071</v>
      </c>
      <c r="B26543" s="8" t="str">
        <f>HYPERLINK("https://twitter.com/budhy_pura","@budhy_pura")</f>
        <v>@budhy_pura</v>
      </c>
      <c r="C26543" s="8" t="s">
        <v>9945</v>
      </c>
      <c r="D26543" s="8">
        <v>395</v>
      </c>
      <c r="E26543" s="8">
        <v>0</v>
      </c>
      <c r="F26543" s="8">
        <v>284</v>
      </c>
    </row>
    <row r="26544" spans="1:6" ht="12.75">
      <c r="A26544" s="8">
        <v>43892.548125000001</v>
      </c>
      <c r="B26544" s="8" t="str">
        <f>HYPERLINK("https://twitter.com/talamediaID","@talamediaID")</f>
        <v>@talamediaID</v>
      </c>
      <c r="C26544" s="8" t="s">
        <v>10248</v>
      </c>
      <c r="D26544" s="8">
        <v>0</v>
      </c>
      <c r="E26544" s="8">
        <v>0</v>
      </c>
      <c r="F26544" s="8">
        <v>770</v>
      </c>
    </row>
    <row r="26545" spans="1:6" ht="12.75">
      <c r="A26545" s="8">
        <v>43892.548125000001</v>
      </c>
      <c r="B26545" s="8" t="str">
        <f>HYPERLINK("https://twitter.com/DamarPutraM","@DamarPutraM")</f>
        <v>@DamarPutraM</v>
      </c>
      <c r="C26545" s="8" t="s">
        <v>8737</v>
      </c>
      <c r="D26545" s="8">
        <v>855</v>
      </c>
      <c r="E26545" s="8">
        <v>0</v>
      </c>
      <c r="F26545" s="8">
        <v>137</v>
      </c>
    </row>
    <row r="26546" spans="1:6" ht="12.75">
      <c r="A26546" s="8">
        <v>43892.548125000001</v>
      </c>
      <c r="B26546" s="8" t="str">
        <f>HYPERLINK("https://twitter.com/icycoffeee","@icycoffeee")</f>
        <v>@icycoffeee</v>
      </c>
      <c r="C26546" s="8" t="s">
        <v>2962</v>
      </c>
      <c r="D26546" s="8">
        <v>491</v>
      </c>
      <c r="E26546" s="8">
        <v>0</v>
      </c>
      <c r="F26546" s="8">
        <v>388</v>
      </c>
    </row>
    <row r="26547" spans="1:6" ht="12.75">
      <c r="A26547" s="8">
        <v>43892.548125000001</v>
      </c>
      <c r="B26547" s="8" t="str">
        <f>HYPERLINK("https://twitter.com/mazzini_gsp","@mazzini_gsp")</f>
        <v>@mazzini_gsp</v>
      </c>
      <c r="C26547" s="8" t="s">
        <v>10249</v>
      </c>
      <c r="D26547" s="8">
        <v>0</v>
      </c>
      <c r="E26547" s="8">
        <v>0</v>
      </c>
      <c r="F26547" s="8">
        <v>15896</v>
      </c>
    </row>
    <row r="26548" spans="1:6" ht="12.75">
      <c r="A26548" s="8">
        <v>43892.548125000001</v>
      </c>
      <c r="B26548" s="8" t="str">
        <f>HYPERLINK("https://twitter.com/DediBinBuchori","@DediBinBuchori")</f>
        <v>@DediBinBuchori</v>
      </c>
      <c r="C26548" s="8" t="s">
        <v>3648</v>
      </c>
      <c r="D26548" s="8">
        <v>410</v>
      </c>
      <c r="E26548" s="8">
        <v>0</v>
      </c>
      <c r="F26548" s="8">
        <v>501</v>
      </c>
    </row>
    <row r="26549" spans="1:6" ht="12.75">
      <c r="A26549" s="8">
        <v>43892.548090277778</v>
      </c>
      <c r="B26549" s="8" t="str">
        <f>HYPERLINK("https://twitter.com/younyohhan","@younyohhan")</f>
        <v>@younyohhan</v>
      </c>
      <c r="C26549" s="8" t="s">
        <v>10095</v>
      </c>
      <c r="D26549" s="8">
        <v>17</v>
      </c>
      <c r="E26549" s="8">
        <v>0</v>
      </c>
      <c r="F26549" s="8">
        <v>94</v>
      </c>
    </row>
    <row r="26550" spans="1:6" ht="12.75">
      <c r="A26550" s="8">
        <v>43892.548043981486</v>
      </c>
      <c r="B26550" s="8" t="str">
        <f>HYPERLINK("https://twitter.com/ernezpjy","@ernezpjy")</f>
        <v>@ernezpjy</v>
      </c>
      <c r="C26550" s="8" t="s">
        <v>10250</v>
      </c>
      <c r="D26550" s="8">
        <v>10</v>
      </c>
      <c r="E26550" s="8">
        <v>0</v>
      </c>
      <c r="F26550" s="8">
        <v>2422</v>
      </c>
    </row>
    <row r="26551" spans="1:6" ht="12.75">
      <c r="A26551" s="8">
        <v>43892.548032407409</v>
      </c>
      <c r="B26551" s="8" t="str">
        <f>HYPERLINK("https://twitter.com/Arifin2Zainal","@Arifin2Zainal")</f>
        <v>@Arifin2Zainal</v>
      </c>
      <c r="C26551" s="8" t="s">
        <v>4477</v>
      </c>
      <c r="D26551" s="8">
        <v>70</v>
      </c>
      <c r="E26551" s="8">
        <v>0</v>
      </c>
      <c r="F26551" s="8">
        <v>1868</v>
      </c>
    </row>
    <row r="26552" spans="1:6" ht="12.75">
      <c r="A26552" s="8">
        <v>43892.548032407409</v>
      </c>
      <c r="B26552" s="8" t="str">
        <f>HYPERLINK("https://twitter.com/syahidxx","@syahidxx")</f>
        <v>@syahidxx</v>
      </c>
      <c r="C26552" s="8" t="s">
        <v>9701</v>
      </c>
      <c r="D26552" s="8">
        <v>661</v>
      </c>
      <c r="E26552" s="8">
        <v>0</v>
      </c>
      <c r="F26552" s="8">
        <v>898</v>
      </c>
    </row>
    <row r="26553" spans="1:6" ht="12.75">
      <c r="A26553" s="8">
        <v>43892.548032407409</v>
      </c>
      <c r="B26553" s="8" t="str">
        <f>HYPERLINK("https://twitter.com/5coupstastu","@5coupstastu")</f>
        <v>@5coupstastu</v>
      </c>
      <c r="C26553" s="8" t="s">
        <v>9945</v>
      </c>
      <c r="D26553" s="8">
        <v>395</v>
      </c>
      <c r="E26553" s="8">
        <v>0</v>
      </c>
      <c r="F26553" s="8">
        <v>229</v>
      </c>
    </row>
    <row r="26554" spans="1:6" ht="12.75">
      <c r="A26554" s="8">
        <v>43892.548032407409</v>
      </c>
      <c r="B26554" s="8" t="str">
        <f>HYPERLINK("https://twitter.com/capunk_1908","@capunk_1908")</f>
        <v>@capunk_1908</v>
      </c>
      <c r="C26554" s="8" t="s">
        <v>7405</v>
      </c>
      <c r="D26554" s="8">
        <v>658</v>
      </c>
      <c r="E26554" s="8">
        <v>0</v>
      </c>
      <c r="F26554" s="8">
        <v>487</v>
      </c>
    </row>
    <row r="26555" spans="1:6" ht="12.75">
      <c r="A26555" s="8">
        <v>43892.548032407409</v>
      </c>
      <c r="B26555" s="8" t="str">
        <f>HYPERLINK("https://twitter.com/aprilmeetocto","@aprilmeetocto")</f>
        <v>@aprilmeetocto</v>
      </c>
      <c r="C26555" s="8" t="s">
        <v>10095</v>
      </c>
      <c r="D26555" s="8">
        <v>17</v>
      </c>
      <c r="E26555" s="8">
        <v>0</v>
      </c>
      <c r="F26555" s="8">
        <v>235</v>
      </c>
    </row>
    <row r="26556" spans="1:6" ht="12.75">
      <c r="A26556" s="8">
        <v>43892.548032407409</v>
      </c>
      <c r="B26556" s="8" t="str">
        <f>HYPERLINK("https://twitter.com/A_Wahyu666","@A_Wahyu666")</f>
        <v>@A_Wahyu666</v>
      </c>
      <c r="C26556" s="8" t="s">
        <v>2962</v>
      </c>
      <c r="D26556" s="8">
        <v>491</v>
      </c>
      <c r="E26556" s="8">
        <v>0</v>
      </c>
      <c r="F26556" s="8">
        <v>106</v>
      </c>
    </row>
    <row r="26557" spans="1:6" ht="12.75">
      <c r="A26557" s="8">
        <v>43892.548020833332</v>
      </c>
      <c r="B26557" s="8" t="str">
        <f>HYPERLINK("https://twitter.com/Syamsiar_Zamzam","@Syamsiar_Zamzam")</f>
        <v>@Syamsiar_Zamzam</v>
      </c>
      <c r="C26557" s="8" t="s">
        <v>4477</v>
      </c>
      <c r="D26557" s="8">
        <v>70</v>
      </c>
      <c r="E26557" s="8">
        <v>0</v>
      </c>
      <c r="F26557" s="8">
        <v>3954</v>
      </c>
    </row>
    <row r="26558" spans="1:6" ht="12.75">
      <c r="A26558" s="8">
        <v>43892.548009259262</v>
      </c>
      <c r="B26558" s="8" t="str">
        <f>HYPERLINK("https://twitter.com/magdagintingm13","@magdagintingm13")</f>
        <v>@magdagintingm13</v>
      </c>
      <c r="C26558" s="8" t="s">
        <v>7405</v>
      </c>
      <c r="D26558" s="8">
        <v>658</v>
      </c>
      <c r="E26558" s="8">
        <v>0</v>
      </c>
      <c r="F26558" s="8">
        <v>102</v>
      </c>
    </row>
    <row r="26559" spans="1:6" ht="12.75">
      <c r="A26559" s="8">
        <v>43892.548009259262</v>
      </c>
      <c r="B26559" s="8" t="str">
        <f>HYPERLINK("https://twitter.com/bo__na3","@bo__na3")</f>
        <v>@bo__na3</v>
      </c>
      <c r="C26559" s="8" t="s">
        <v>10077</v>
      </c>
      <c r="D26559" s="8">
        <v>163</v>
      </c>
      <c r="E26559" s="8">
        <v>0</v>
      </c>
      <c r="F26559" s="8">
        <v>50</v>
      </c>
    </row>
    <row r="26560" spans="1:6" ht="12.75">
      <c r="A26560" s="8">
        <v>43892.547986111109</v>
      </c>
      <c r="B26560" s="8" t="str">
        <f>HYPERLINK("https://twitter.com/Iuizydnwm","@Iuizydnwm")</f>
        <v>@Iuizydnwm</v>
      </c>
      <c r="C26560" s="8" t="s">
        <v>2199</v>
      </c>
      <c r="D26560" s="8">
        <v>5053</v>
      </c>
      <c r="E26560" s="8">
        <v>0</v>
      </c>
      <c r="F26560" s="8">
        <v>1420</v>
      </c>
    </row>
    <row r="26561" spans="1:6" ht="12.75">
      <c r="A26561" s="8">
        <v>43892.547986111109</v>
      </c>
      <c r="B26561" s="8" t="str">
        <f>HYPERLINK("https://twitter.com/spiritanimalSJW","@spiritanimalSJW")</f>
        <v>@spiritanimalSJW</v>
      </c>
      <c r="C26561" s="8" t="s">
        <v>9945</v>
      </c>
      <c r="D26561" s="8">
        <v>395</v>
      </c>
      <c r="E26561" s="8">
        <v>0</v>
      </c>
      <c r="F26561" s="8">
        <v>37</v>
      </c>
    </row>
    <row r="26562" spans="1:6" ht="12.75">
      <c r="A26562" s="8">
        <v>43892.547986111109</v>
      </c>
      <c r="B26562" s="8" t="str">
        <f>HYPERLINK("https://twitter.com/reddxg99","@reddxg99")</f>
        <v>@reddxg99</v>
      </c>
      <c r="C26562" s="8" t="s">
        <v>10251</v>
      </c>
      <c r="D26562" s="8">
        <v>0</v>
      </c>
      <c r="E26562" s="8">
        <v>0</v>
      </c>
      <c r="F26562" s="8">
        <v>1</v>
      </c>
    </row>
    <row r="26563" spans="1:6" ht="12.75">
      <c r="A26563" s="8">
        <v>43892.547962962963</v>
      </c>
      <c r="B26563" s="8" t="str">
        <f>HYPERLINK("https://twitter.com/VirusCorona8","@VirusCorona8")</f>
        <v>@VirusCorona8</v>
      </c>
      <c r="C26563" s="8" t="s">
        <v>8917</v>
      </c>
      <c r="D26563" s="8">
        <v>89</v>
      </c>
      <c r="E26563" s="8">
        <v>0</v>
      </c>
      <c r="F26563" s="8">
        <v>37</v>
      </c>
    </row>
    <row r="26564" spans="1:6" ht="12.75">
      <c r="A26564" s="8">
        <v>43892.547962962963</v>
      </c>
      <c r="B26564" s="8" t="str">
        <f>HYPERLINK("https://twitter.com/sunflowerbae13","@sunflowerbae13")</f>
        <v>@sunflowerbae13</v>
      </c>
      <c r="C26564" s="8" t="s">
        <v>7405</v>
      </c>
      <c r="D26564" s="8">
        <v>658</v>
      </c>
      <c r="E26564" s="8">
        <v>0</v>
      </c>
      <c r="F26564" s="8">
        <v>909</v>
      </c>
    </row>
    <row r="26565" spans="1:6" ht="12.75">
      <c r="A26565" s="8">
        <v>43892.547951388886</v>
      </c>
      <c r="B26565" s="8" t="str">
        <f>HYPERLINK("https://twitter.com/rilfanyy","@rilfanyy")</f>
        <v>@rilfanyy</v>
      </c>
      <c r="C26565" s="8" t="s">
        <v>9945</v>
      </c>
      <c r="D26565" s="8">
        <v>395</v>
      </c>
      <c r="E26565" s="8">
        <v>0</v>
      </c>
      <c r="F26565" s="8">
        <v>57</v>
      </c>
    </row>
    <row r="26566" spans="1:6" ht="12.75">
      <c r="A26566" s="8">
        <v>43892.547951388886</v>
      </c>
      <c r="B26566" s="8" t="str">
        <f>HYPERLINK("https://twitter.com/galamedianews","@galamedianews")</f>
        <v>@galamedianews</v>
      </c>
      <c r="C26566" s="8" t="s">
        <v>10252</v>
      </c>
      <c r="D26566" s="8">
        <v>0</v>
      </c>
      <c r="E26566" s="8">
        <v>0</v>
      </c>
      <c r="F26566" s="8">
        <v>13828</v>
      </c>
    </row>
    <row r="26567" spans="1:6" ht="12.75">
      <c r="A26567" s="8">
        <v>43892.547939814816</v>
      </c>
      <c r="B26567" s="8" t="str">
        <f>HYPERLINK("https://twitter.com/prettyphoison","@prettyphoison")</f>
        <v>@prettyphoison</v>
      </c>
      <c r="C26567" s="8" t="s">
        <v>5602</v>
      </c>
      <c r="D26567" s="8">
        <v>890</v>
      </c>
      <c r="E26567" s="8">
        <v>0</v>
      </c>
      <c r="F26567" s="8">
        <v>10851</v>
      </c>
    </row>
    <row r="26568" spans="1:6" ht="12.75">
      <c r="A26568" s="8">
        <v>43892.54792824074</v>
      </c>
      <c r="B26568" s="8" t="str">
        <f>HYPERLINK("https://twitter.com/JustTikaaa","@JustTikaaa")</f>
        <v>@JustTikaaa</v>
      </c>
      <c r="C26568" s="8" t="s">
        <v>10253</v>
      </c>
      <c r="D26568" s="8">
        <v>3</v>
      </c>
      <c r="E26568" s="8">
        <v>0</v>
      </c>
      <c r="F26568" s="8">
        <v>379</v>
      </c>
    </row>
    <row r="26569" spans="1:6" ht="12.75">
      <c r="A26569" s="8">
        <v>43892.547916666663</v>
      </c>
      <c r="B26569" s="8" t="str">
        <f>HYPERLINK("https://twitter.com/fitridl","@fitridl")</f>
        <v>@fitridl</v>
      </c>
      <c r="C26569" s="8" t="s">
        <v>10254</v>
      </c>
      <c r="D26569" s="8">
        <v>0</v>
      </c>
      <c r="E26569" s="8">
        <v>0</v>
      </c>
      <c r="F26569" s="8">
        <v>159</v>
      </c>
    </row>
    <row r="26570" spans="1:6" ht="12.75">
      <c r="A26570" s="8">
        <v>43892.547905092593</v>
      </c>
      <c r="B26570" s="8" t="str">
        <f>HYPERLINK("https://twitter.com/roman_demidork","@roman_demidork")</f>
        <v>@roman_demidork</v>
      </c>
      <c r="C26570" s="8" t="s">
        <v>2962</v>
      </c>
      <c r="D26570" s="8">
        <v>491</v>
      </c>
      <c r="E26570" s="8">
        <v>0</v>
      </c>
      <c r="F26570" s="8">
        <v>60</v>
      </c>
    </row>
    <row r="26571" spans="1:6" ht="12.75">
      <c r="A26571" s="8">
        <v>43892.547893518524</v>
      </c>
      <c r="B26571" s="8" t="str">
        <f>HYPERLINK("https://twitter.com/bkuntjoro","@bkuntjoro")</f>
        <v>@bkuntjoro</v>
      </c>
      <c r="C26571" s="8" t="s">
        <v>6887</v>
      </c>
      <c r="D26571" s="8">
        <v>14</v>
      </c>
      <c r="E26571" s="8">
        <v>0</v>
      </c>
      <c r="F26571" s="8">
        <v>483</v>
      </c>
    </row>
    <row r="26572" spans="1:6" ht="12.75">
      <c r="A26572" s="8">
        <v>43892.54788194444</v>
      </c>
      <c r="B26572" s="8" t="str">
        <f>HYPERLINK("https://twitter.com/walterchristall","@walterchristall")</f>
        <v>@walterchristall</v>
      </c>
      <c r="C26572" s="8" t="s">
        <v>9176</v>
      </c>
      <c r="D26572" s="8">
        <v>570</v>
      </c>
      <c r="E26572" s="8">
        <v>0</v>
      </c>
      <c r="F26572" s="8">
        <v>29</v>
      </c>
    </row>
    <row r="26573" spans="1:6" ht="12.75">
      <c r="A26573" s="8">
        <v>43892.54788194444</v>
      </c>
      <c r="B26573" s="8" t="str">
        <f>HYPERLINK("https://twitter.com/dea_nurismaya","@dea_nurismaya")</f>
        <v>@dea_nurismaya</v>
      </c>
      <c r="C26573" s="8" t="s">
        <v>9908</v>
      </c>
      <c r="D26573" s="8">
        <v>205</v>
      </c>
      <c r="E26573" s="8">
        <v>0</v>
      </c>
      <c r="F26573" s="8">
        <v>479</v>
      </c>
    </row>
    <row r="26574" spans="1:6" ht="12.75">
      <c r="A26574" s="8">
        <v>43892.54787037037</v>
      </c>
      <c r="B26574" s="8" t="str">
        <f>HYPERLINK("https://twitter.com/mailindarzki","@mailindarzki")</f>
        <v>@mailindarzki</v>
      </c>
      <c r="C26574" s="8" t="s">
        <v>10255</v>
      </c>
      <c r="D26574" s="8">
        <v>17</v>
      </c>
      <c r="E26574" s="8">
        <v>0</v>
      </c>
      <c r="F26574" s="8">
        <v>114</v>
      </c>
    </row>
    <row r="26575" spans="1:6" ht="12.75">
      <c r="A26575" s="8">
        <v>43892.54787037037</v>
      </c>
      <c r="B26575" s="8" t="str">
        <f>HYPERLINK("https://twitter.com/RikiYulianto715","@RikiYulianto715")</f>
        <v>@RikiYulianto715</v>
      </c>
      <c r="C26575" s="8" t="s">
        <v>9945</v>
      </c>
      <c r="D26575" s="8">
        <v>395</v>
      </c>
      <c r="E26575" s="8">
        <v>0</v>
      </c>
      <c r="F26575" s="8">
        <v>9</v>
      </c>
    </row>
    <row r="26576" spans="1:6" ht="12.75">
      <c r="A26576" s="8">
        <v>43892.54787037037</v>
      </c>
      <c r="B26576" s="8" t="str">
        <f>HYPERLINK("https://twitter.com/gipee_","@gipee_")</f>
        <v>@gipee_</v>
      </c>
      <c r="C26576" s="8" t="s">
        <v>9895</v>
      </c>
      <c r="D26576" s="8">
        <v>29</v>
      </c>
      <c r="E26576" s="8">
        <v>0</v>
      </c>
      <c r="F26576" s="8">
        <v>196</v>
      </c>
    </row>
    <row r="26577" spans="1:6" ht="12.75">
      <c r="A26577" s="8">
        <v>43892.547858796301</v>
      </c>
      <c r="B26577" s="8" t="str">
        <f>HYPERLINK("https://twitter.com/arenotthing","@arenotthing")</f>
        <v>@arenotthing</v>
      </c>
      <c r="C26577" s="8" t="s">
        <v>2199</v>
      </c>
      <c r="D26577" s="8">
        <v>5053</v>
      </c>
      <c r="E26577" s="8">
        <v>0</v>
      </c>
      <c r="F26577" s="8">
        <v>210</v>
      </c>
    </row>
    <row r="26578" spans="1:6" ht="12.75">
      <c r="A26578" s="8">
        <v>43892.547847222224</v>
      </c>
      <c r="B26578" s="8" t="str">
        <f>HYPERLINK("https://twitter.com/milkyshook_y","@milkyshook_y")</f>
        <v>@milkyshook_y</v>
      </c>
      <c r="C26578" s="8" t="s">
        <v>10256</v>
      </c>
      <c r="D26578" s="8">
        <v>0</v>
      </c>
      <c r="E26578" s="8">
        <v>0</v>
      </c>
      <c r="F26578" s="8">
        <v>96</v>
      </c>
    </row>
    <row r="26579" spans="1:6" ht="12.75">
      <c r="A26579" s="8">
        <v>43892.547847222224</v>
      </c>
      <c r="B26579" s="8" t="str">
        <f>HYPERLINK("https://twitter.com/MNaufal_SL","@MNaufal_SL")</f>
        <v>@MNaufal_SL</v>
      </c>
      <c r="C26579" s="8" t="s">
        <v>10244</v>
      </c>
      <c r="D26579" s="8">
        <v>12</v>
      </c>
      <c r="E26579" s="8">
        <v>0</v>
      </c>
      <c r="F26579" s="8">
        <v>4</v>
      </c>
    </row>
    <row r="26580" spans="1:6" ht="12.75">
      <c r="A26580" s="8">
        <v>43892.506851851853</v>
      </c>
      <c r="B26580" s="8" t="str">
        <f>HYPERLINK("https://twitter.com/AriMuliono","@AriMuliono")</f>
        <v>@AriMuliono</v>
      </c>
      <c r="C26580" s="8" t="s">
        <v>2199</v>
      </c>
      <c r="D26580" s="8">
        <v>4490</v>
      </c>
      <c r="E26580" s="8">
        <v>0</v>
      </c>
      <c r="F26580" s="8">
        <v>199</v>
      </c>
    </row>
    <row r="26581" spans="1:6" ht="12.75">
      <c r="A26581" s="8">
        <v>43892.506851851853</v>
      </c>
      <c r="B26581" s="8" t="str">
        <f>HYPERLINK("https://twitter.com/potatoheal","@potatoheal")</f>
        <v>@potatoheal</v>
      </c>
      <c r="C26581" s="8" t="s">
        <v>8737</v>
      </c>
      <c r="D26581" s="8">
        <v>88</v>
      </c>
      <c r="E26581" s="8">
        <v>0</v>
      </c>
      <c r="F26581" s="8">
        <v>1182</v>
      </c>
    </row>
    <row r="26582" spans="1:6" ht="12.75">
      <c r="A26582" s="8">
        <v>43892.506840277776</v>
      </c>
      <c r="B26582" s="8" t="str">
        <f>HYPERLINK("https://twitter.com/sugarunning95","@sugarunning95")</f>
        <v>@sugarunning95</v>
      </c>
      <c r="C26582" s="8" t="s">
        <v>9274</v>
      </c>
      <c r="D26582" s="8">
        <v>367</v>
      </c>
      <c r="E26582" s="8">
        <v>0</v>
      </c>
      <c r="F26582" s="8">
        <v>438</v>
      </c>
    </row>
    <row r="26583" spans="1:6" ht="12.75">
      <c r="A26583" s="8">
        <v>43892.506840277776</v>
      </c>
      <c r="B26583" s="8" t="str">
        <f>HYPERLINK("https://twitter.com/gitrizki","@gitrizki")</f>
        <v>@gitrizki</v>
      </c>
      <c r="C26583" s="8" t="s">
        <v>10125</v>
      </c>
      <c r="D26583" s="8">
        <v>45</v>
      </c>
      <c r="E26583" s="8">
        <v>0</v>
      </c>
      <c r="F26583" s="8">
        <v>102</v>
      </c>
    </row>
    <row r="26584" spans="1:6" ht="12.75">
      <c r="A26584" s="8">
        <v>43892.506840277776</v>
      </c>
      <c r="B26584" s="8" t="str">
        <f>HYPERLINK("https://twitter.com/skyincolour","@skyincolour")</f>
        <v>@skyincolour</v>
      </c>
      <c r="C26584" s="8" t="s">
        <v>10257</v>
      </c>
      <c r="D26584" s="8">
        <v>10</v>
      </c>
      <c r="E26584" s="8">
        <v>0</v>
      </c>
      <c r="F26584" s="8">
        <v>145</v>
      </c>
    </row>
    <row r="26585" spans="1:6" ht="12.75">
      <c r="A26585" s="8">
        <v>43892.506828703699</v>
      </c>
      <c r="B26585" s="8" t="str">
        <f>HYPERLINK("https://twitter.com/richchiggi","@richchiggi")</f>
        <v>@richchiggi</v>
      </c>
      <c r="C26585" s="8" t="s">
        <v>8737</v>
      </c>
      <c r="D26585" s="8">
        <v>88</v>
      </c>
      <c r="E26585" s="8">
        <v>0</v>
      </c>
      <c r="F26585" s="8">
        <v>45</v>
      </c>
    </row>
    <row r="26586" spans="1:6" ht="12.75">
      <c r="A26586" s="8">
        <v>43892.50681712963</v>
      </c>
      <c r="B26586" s="8" t="str">
        <f>HYPERLINK("https://twitter.com/RDNADN","@RDNADN")</f>
        <v>@RDNADN</v>
      </c>
      <c r="C26586" s="8" t="s">
        <v>8737</v>
      </c>
      <c r="D26586" s="8">
        <v>88</v>
      </c>
      <c r="E26586" s="8">
        <v>0</v>
      </c>
      <c r="F26586" s="8">
        <v>6545</v>
      </c>
    </row>
    <row r="26587" spans="1:6" ht="12.75">
      <c r="A26587" s="8">
        <v>43892.50681712963</v>
      </c>
      <c r="B26587" s="8" t="str">
        <f>HYPERLINK("https://twitter.com/aisyahrahim0811","@aisyahrahim0811")</f>
        <v>@aisyahrahim0811</v>
      </c>
      <c r="C26587" s="8" t="s">
        <v>9701</v>
      </c>
      <c r="D26587" s="8">
        <v>69</v>
      </c>
      <c r="E26587" s="8">
        <v>0</v>
      </c>
      <c r="F26587" s="8">
        <v>103</v>
      </c>
    </row>
    <row r="26588" spans="1:6" ht="12.75">
      <c r="A26588" s="8">
        <v>43892.50681712963</v>
      </c>
      <c r="B26588" s="8" t="str">
        <f>HYPERLINK("https://twitter.com/bumblejung","@bumblejung")</f>
        <v>@bumblejung</v>
      </c>
      <c r="C26588" s="8" t="s">
        <v>8737</v>
      </c>
      <c r="D26588" s="8">
        <v>88</v>
      </c>
      <c r="E26588" s="8">
        <v>0</v>
      </c>
      <c r="F26588" s="8">
        <v>2800</v>
      </c>
    </row>
    <row r="26589" spans="1:6" ht="12.75">
      <c r="A26589" s="8">
        <v>43892.50681712963</v>
      </c>
      <c r="B26589" s="8" t="str">
        <f>HYPERLINK("https://twitter.com/Dreamcoid","@Dreamcoid")</f>
        <v>@Dreamcoid</v>
      </c>
      <c r="C26589" s="8" t="s">
        <v>10258</v>
      </c>
      <c r="D26589" s="8">
        <v>0</v>
      </c>
      <c r="E26589" s="8">
        <v>0</v>
      </c>
      <c r="F26589" s="8">
        <v>11583</v>
      </c>
    </row>
    <row r="26590" spans="1:6" ht="12.75">
      <c r="A26590" s="8">
        <v>43892.50681712963</v>
      </c>
      <c r="B26590" s="8" t="str">
        <f>HYPERLINK("https://twitter.com/justice191270","@justice191270")</f>
        <v>@justice191270</v>
      </c>
      <c r="C26590" s="8" t="s">
        <v>7110</v>
      </c>
      <c r="D26590" s="8">
        <v>74</v>
      </c>
      <c r="E26590" s="8">
        <v>0</v>
      </c>
      <c r="F26590" s="8">
        <v>78</v>
      </c>
    </row>
    <row r="26591" spans="1:6" ht="12.75">
      <c r="A26591" s="8">
        <v>43892.50680555556</v>
      </c>
      <c r="B26591" s="8" t="str">
        <f>HYPERLINK("https://twitter.com/adepedia","@adepedia")</f>
        <v>@adepedia</v>
      </c>
      <c r="C26591" s="8" t="s">
        <v>8737</v>
      </c>
      <c r="D26591" s="8">
        <v>88</v>
      </c>
      <c r="E26591" s="8">
        <v>0</v>
      </c>
      <c r="F26591" s="8">
        <v>1839</v>
      </c>
    </row>
    <row r="26592" spans="1:6" ht="12.75">
      <c r="A26592" s="8">
        <v>43892.50680555556</v>
      </c>
      <c r="B26592" s="8" t="str">
        <f>HYPERLINK("https://twitter.com/Wisnurk81","@Wisnurk81")</f>
        <v>@Wisnurk81</v>
      </c>
      <c r="C26592" s="8" t="s">
        <v>7110</v>
      </c>
      <c r="D26592" s="8">
        <v>74</v>
      </c>
      <c r="E26592" s="8">
        <v>0</v>
      </c>
      <c r="F26592" s="8">
        <v>21</v>
      </c>
    </row>
    <row r="26593" spans="1:6" ht="12.75">
      <c r="A26593" s="8">
        <v>43892.506793981476</v>
      </c>
      <c r="B26593" s="8" t="str">
        <f>HYPERLINK("https://twitter.com/zh1yh","@zh1yh")</f>
        <v>@zh1yh</v>
      </c>
      <c r="C26593" s="8" t="s">
        <v>10259</v>
      </c>
      <c r="D26593" s="8">
        <v>48</v>
      </c>
      <c r="E26593" s="8">
        <v>0</v>
      </c>
      <c r="F26593" s="8">
        <v>43</v>
      </c>
    </row>
    <row r="26594" spans="1:6" ht="12.75">
      <c r="A26594" s="8">
        <v>43892.506782407407</v>
      </c>
      <c r="B26594" s="8" t="str">
        <f>HYPERLINK("https://twitter.com/tokiyorain","@tokiyorain")</f>
        <v>@tokiyorain</v>
      </c>
      <c r="C26594" s="8" t="s">
        <v>9274</v>
      </c>
      <c r="D26594" s="8">
        <v>367</v>
      </c>
      <c r="E26594" s="8">
        <v>0</v>
      </c>
      <c r="F26594" s="8">
        <v>135</v>
      </c>
    </row>
    <row r="26595" spans="1:6" ht="12.75">
      <c r="A26595" s="8">
        <v>43892.506782407407</v>
      </c>
      <c r="B26595" s="8" t="str">
        <f>HYPERLINK("https://twitter.com/nasiqorenq","@nasiqorenq")</f>
        <v>@nasiqorenq</v>
      </c>
      <c r="C26595" s="8" t="s">
        <v>2199</v>
      </c>
      <c r="D26595" s="8">
        <v>4490</v>
      </c>
      <c r="E26595" s="8">
        <v>0</v>
      </c>
      <c r="F26595" s="8">
        <v>777</v>
      </c>
    </row>
    <row r="26596" spans="1:6" ht="12.75">
      <c r="A26596" s="8">
        <v>43892.506770833337</v>
      </c>
      <c r="B26596" s="8" t="str">
        <f>HYPERLINK("https://twitter.com/ikhsanww","@ikhsanww")</f>
        <v>@ikhsanww</v>
      </c>
      <c r="C26596" s="8" t="s">
        <v>10125</v>
      </c>
      <c r="D26596" s="8">
        <v>45</v>
      </c>
      <c r="E26596" s="8">
        <v>0</v>
      </c>
      <c r="F26596" s="8">
        <v>367</v>
      </c>
    </row>
    <row r="26597" spans="1:6" ht="12.75">
      <c r="A26597" s="8">
        <v>43892.506770833337</v>
      </c>
      <c r="B26597" s="8" t="str">
        <f>HYPERLINK("https://twitter.com/kartikahari13","@kartikahari13")</f>
        <v>@kartikahari13</v>
      </c>
      <c r="C26597" s="8" t="s">
        <v>10260</v>
      </c>
      <c r="D26597" s="8">
        <v>1</v>
      </c>
      <c r="E26597" s="8">
        <v>0</v>
      </c>
      <c r="F26597" s="8">
        <v>1403</v>
      </c>
    </row>
    <row r="26598" spans="1:6" ht="12.75">
      <c r="A26598" s="8">
        <v>43892.506747685184</v>
      </c>
      <c r="B26598" s="8" t="str">
        <f>HYPERLINK("https://twitter.com/adnw__","@adnw__")</f>
        <v>@adnw__</v>
      </c>
      <c r="C26598" s="8" t="s">
        <v>10125</v>
      </c>
      <c r="D26598" s="8">
        <v>45</v>
      </c>
      <c r="E26598" s="8">
        <v>0</v>
      </c>
      <c r="F26598" s="8">
        <v>1147</v>
      </c>
    </row>
    <row r="26599" spans="1:6" ht="12.75">
      <c r="A26599" s="8">
        <v>43892.506747685184</v>
      </c>
      <c r="B26599" s="8" t="str">
        <f>HYPERLINK("https://twitter.com/jcwsoo","@jcwsoo")</f>
        <v>@jcwsoo</v>
      </c>
      <c r="C26599" s="8" t="s">
        <v>8737</v>
      </c>
      <c r="D26599" s="8">
        <v>88</v>
      </c>
      <c r="E26599" s="8">
        <v>0</v>
      </c>
      <c r="F26599" s="8">
        <v>315</v>
      </c>
    </row>
    <row r="26600" spans="1:6" ht="12.75">
      <c r="A26600" s="8">
        <v>43892.506736111114</v>
      </c>
      <c r="B26600" s="8" t="str">
        <f>HYPERLINK("https://twitter.com/Deny_Ag","@Deny_Ag")</f>
        <v>@Deny_Ag</v>
      </c>
      <c r="C26600" s="8" t="s">
        <v>8737</v>
      </c>
      <c r="D26600" s="8">
        <v>88</v>
      </c>
      <c r="E26600" s="8">
        <v>0</v>
      </c>
      <c r="F26600" s="8">
        <v>335</v>
      </c>
    </row>
    <row r="26601" spans="1:6" ht="12.75">
      <c r="A26601" s="8">
        <v>43892.506736111114</v>
      </c>
      <c r="B26601" s="8" t="str">
        <f>HYPERLINK("https://twitter.com/6104bee","@6104bee")</f>
        <v>@6104bee</v>
      </c>
      <c r="C26601" s="8" t="s">
        <v>9274</v>
      </c>
      <c r="D26601" s="8">
        <v>367</v>
      </c>
      <c r="E26601" s="8">
        <v>0</v>
      </c>
      <c r="F26601" s="8">
        <v>188</v>
      </c>
    </row>
    <row r="26602" spans="1:6" ht="12.75">
      <c r="A26602" s="8">
        <v>43892.506736111114</v>
      </c>
      <c r="B26602" s="8" t="str">
        <f>HYPERLINK("https://twitter.com/kartikahari13","@kartikahari13")</f>
        <v>@kartikahari13</v>
      </c>
      <c r="C26602" s="8" t="s">
        <v>10261</v>
      </c>
      <c r="D26602" s="8">
        <v>16</v>
      </c>
      <c r="E26602" s="8">
        <v>0</v>
      </c>
      <c r="F26602" s="8">
        <v>1403</v>
      </c>
    </row>
    <row r="26603" spans="1:6" ht="12.75">
      <c r="A26603" s="8">
        <v>43892.506724537037</v>
      </c>
      <c r="B26603" s="8" t="str">
        <f>HYPERLINK("https://twitter.com/dZcheeZe","@dZcheeZe")</f>
        <v>@dZcheeZe</v>
      </c>
      <c r="C26603" s="8" t="s">
        <v>10262</v>
      </c>
      <c r="D26603" s="8">
        <v>0</v>
      </c>
      <c r="E26603" s="8">
        <v>0</v>
      </c>
      <c r="F26603" s="8">
        <v>502</v>
      </c>
    </row>
    <row r="26604" spans="1:6" ht="12.75">
      <c r="A26604" s="8">
        <v>43892.506724537037</v>
      </c>
      <c r="B26604" s="8" t="str">
        <f>HYPERLINK("https://twitter.com/fruxtose","@fruxtose")</f>
        <v>@fruxtose</v>
      </c>
      <c r="C26604" s="8" t="s">
        <v>10259</v>
      </c>
      <c r="D26604" s="8">
        <v>48</v>
      </c>
      <c r="E26604" s="8">
        <v>0</v>
      </c>
      <c r="F26604" s="8">
        <v>152</v>
      </c>
    </row>
    <row r="26605" spans="1:6" ht="12.75">
      <c r="A26605" s="8">
        <v>43892.506712962961</v>
      </c>
      <c r="B26605" s="8" t="str">
        <f>HYPERLINK("https://twitter.com/kartikahari13","@kartikahari13")</f>
        <v>@kartikahari13</v>
      </c>
      <c r="C26605" s="8" t="s">
        <v>10263</v>
      </c>
      <c r="D26605" s="8">
        <v>21</v>
      </c>
      <c r="E26605" s="8">
        <v>0</v>
      </c>
      <c r="F26605" s="8">
        <v>1403</v>
      </c>
    </row>
    <row r="26606" spans="1:6" ht="12.75">
      <c r="A26606" s="8">
        <v>43892.506712962961</v>
      </c>
      <c r="B26606" s="8" t="str">
        <f>HYPERLINK("https://twitter.com/taniaszahraa","@taniaszahraa")</f>
        <v>@taniaszahraa</v>
      </c>
      <c r="C26606" s="8" t="s">
        <v>10264</v>
      </c>
      <c r="D26606" s="8">
        <v>0</v>
      </c>
      <c r="E26606" s="8">
        <v>0</v>
      </c>
      <c r="F26606" s="8">
        <v>26</v>
      </c>
    </row>
    <row r="26607" spans="1:6" ht="12.75">
      <c r="A26607" s="8">
        <v>43892.506712962961</v>
      </c>
      <c r="B26607" s="8" t="str">
        <f>HYPERLINK("https://twitter.com/peachcoffea","@peachcoffea")</f>
        <v>@peachcoffea</v>
      </c>
      <c r="C26607" s="8" t="s">
        <v>5732</v>
      </c>
      <c r="D26607" s="8">
        <v>1257</v>
      </c>
      <c r="E26607" s="8">
        <v>0</v>
      </c>
      <c r="F26607" s="8">
        <v>1344</v>
      </c>
    </row>
    <row r="26608" spans="1:6" ht="12.75">
      <c r="A26608" s="8">
        <v>43892.506701388891</v>
      </c>
      <c r="B26608" s="8" t="str">
        <f>HYPERLINK("https://twitter.com/rayvieralaxmana","@rayvieralaxmana")</f>
        <v>@rayvieralaxmana</v>
      </c>
      <c r="C26608" s="8" t="s">
        <v>10265</v>
      </c>
      <c r="D26608" s="8">
        <v>0</v>
      </c>
      <c r="E26608" s="8">
        <v>0</v>
      </c>
      <c r="F26608" s="8">
        <v>1168</v>
      </c>
    </row>
    <row r="26609" spans="1:6" ht="12.75">
      <c r="A26609" s="8">
        <v>43892.506701388891</v>
      </c>
      <c r="B26609" s="8" t="str">
        <f>HYPERLINK("https://twitter.com/koalatidakumal","@koalatidakumal")</f>
        <v>@koalatidakumal</v>
      </c>
      <c r="C26609" s="8" t="s">
        <v>8737</v>
      </c>
      <c r="D26609" s="8">
        <v>88</v>
      </c>
      <c r="E26609" s="8">
        <v>0</v>
      </c>
      <c r="F26609" s="8">
        <v>39</v>
      </c>
    </row>
    <row r="26610" spans="1:6" ht="12.75">
      <c r="A26610" s="8">
        <v>43892.506689814814</v>
      </c>
      <c r="B26610" s="8" t="str">
        <f>HYPERLINK("https://twitter.com/LukasFelixWibo1","@LukasFelixWibo1")</f>
        <v>@LukasFelixWibo1</v>
      </c>
      <c r="C26610" s="8" t="s">
        <v>10125</v>
      </c>
      <c r="D26610" s="8">
        <v>45</v>
      </c>
      <c r="E26610" s="8">
        <v>0</v>
      </c>
      <c r="F26610" s="8">
        <v>7</v>
      </c>
    </row>
    <row r="26611" spans="1:6" ht="12.75">
      <c r="A26611" s="8">
        <v>43892.506678240738</v>
      </c>
      <c r="B26611" s="8" t="str">
        <f>HYPERLINK("https://twitter.com/meidanisyardi","@meidanisyardi")</f>
        <v>@meidanisyardi</v>
      </c>
      <c r="C26611" s="8" t="s">
        <v>5732</v>
      </c>
      <c r="D26611" s="8">
        <v>1257</v>
      </c>
      <c r="E26611" s="8">
        <v>0</v>
      </c>
      <c r="F26611" s="8">
        <v>526</v>
      </c>
    </row>
    <row r="26612" spans="1:6" ht="12.75">
      <c r="A26612" s="8">
        <v>43892.506666666668</v>
      </c>
      <c r="B26612" s="8" t="str">
        <f>HYPERLINK("https://twitter.com/ciingkucing","@ciingkucing")</f>
        <v>@ciingkucing</v>
      </c>
      <c r="C26612" s="8" t="s">
        <v>10266</v>
      </c>
      <c r="D26612" s="8">
        <v>0</v>
      </c>
      <c r="E26612" s="8">
        <v>0</v>
      </c>
      <c r="F26612" s="8">
        <v>25</v>
      </c>
    </row>
    <row r="26613" spans="1:6" ht="12.75">
      <c r="A26613" s="8">
        <v>43892.506655092591</v>
      </c>
      <c r="B26613" s="8" t="str">
        <f>HYPERLINK("https://twitter.com/skyincolour","@skyincolour")</f>
        <v>@skyincolour</v>
      </c>
      <c r="C26613" s="8" t="s">
        <v>10259</v>
      </c>
      <c r="D26613" s="8">
        <v>48</v>
      </c>
      <c r="E26613" s="8">
        <v>0</v>
      </c>
      <c r="F26613" s="8">
        <v>145</v>
      </c>
    </row>
    <row r="26614" spans="1:6" ht="12.75">
      <c r="A26614" s="8">
        <v>43892.506655092591</v>
      </c>
      <c r="B26614" s="8" t="str">
        <f>HYPERLINK("https://twitter.com/lyannarosli","@lyannarosli")</f>
        <v>@lyannarosli</v>
      </c>
      <c r="C26614" s="8" t="s">
        <v>9701</v>
      </c>
      <c r="D26614" s="8">
        <v>69</v>
      </c>
      <c r="E26614" s="8">
        <v>0</v>
      </c>
      <c r="F26614" s="8">
        <v>550</v>
      </c>
    </row>
    <row r="26615" spans="1:6" ht="12.75">
      <c r="A26615" s="8">
        <v>43892.506655092591</v>
      </c>
      <c r="B26615" s="8" t="str">
        <f>HYPERLINK("https://twitter.com/SiJombloKreatif","@SiJombloKreatif")</f>
        <v>@SiJombloKreatif</v>
      </c>
      <c r="C26615" s="8" t="s">
        <v>10267</v>
      </c>
      <c r="D26615" s="8">
        <v>1</v>
      </c>
      <c r="E26615" s="8">
        <v>0</v>
      </c>
      <c r="F26615" s="8">
        <v>121756</v>
      </c>
    </row>
    <row r="26616" spans="1:6" ht="12.75">
      <c r="A26616" s="8">
        <v>43892.506655092591</v>
      </c>
      <c r="B26616" s="8" t="str">
        <f>HYPERLINK("https://twitter.com/zizulirwan","@zizulirwan")</f>
        <v>@zizulirwan</v>
      </c>
      <c r="C26616" s="8" t="s">
        <v>9701</v>
      </c>
      <c r="D26616" s="8">
        <v>68</v>
      </c>
      <c r="E26616" s="8">
        <v>0</v>
      </c>
      <c r="F26616" s="8">
        <v>253</v>
      </c>
    </row>
    <row r="26617" spans="1:6" ht="12.75">
      <c r="A26617" s="8">
        <v>43892.506643518514</v>
      </c>
      <c r="B26617" s="8" t="str">
        <f>HYPERLINK("https://twitter.com/wibzu","@wibzu")</f>
        <v>@wibzu</v>
      </c>
      <c r="C26617" s="8" t="s">
        <v>1749</v>
      </c>
      <c r="D26617" s="8">
        <v>139</v>
      </c>
      <c r="E26617" s="8">
        <v>0</v>
      </c>
      <c r="F26617" s="8">
        <v>1564</v>
      </c>
    </row>
    <row r="26618" spans="1:6" ht="12.75">
      <c r="A26618" s="8">
        <v>43892.506643518514</v>
      </c>
      <c r="B26618" s="8" t="str">
        <f>HYPERLINK("https://twitter.com/Idhanze","@Idhanze")</f>
        <v>@Idhanze</v>
      </c>
      <c r="C26618" s="8" t="s">
        <v>10259</v>
      </c>
      <c r="D26618" s="8">
        <v>48</v>
      </c>
      <c r="E26618" s="8">
        <v>0</v>
      </c>
      <c r="F26618" s="8">
        <v>146</v>
      </c>
    </row>
    <row r="26619" spans="1:6" ht="12.75">
      <c r="A26619" s="8">
        <v>43892.506631944445</v>
      </c>
      <c r="B26619" s="8" t="str">
        <f>HYPERLINK("https://twitter.com/L0UDERTHANU9H","@L0UDERTHANU9H")</f>
        <v>@L0UDERTHANU9H</v>
      </c>
      <c r="C26619" s="8" t="s">
        <v>10268</v>
      </c>
      <c r="D26619" s="8">
        <v>18</v>
      </c>
      <c r="E26619" s="8">
        <v>0</v>
      </c>
      <c r="F26619" s="8">
        <v>218</v>
      </c>
    </row>
    <row r="26620" spans="1:6" ht="12.75">
      <c r="A26620" s="8">
        <v>43892.506620370375</v>
      </c>
      <c r="B26620" s="8" t="str">
        <f>HYPERLINK("https://twitter.com/NicoTop10","@NicoTop10")</f>
        <v>@NicoTop10</v>
      </c>
      <c r="C26620" s="8" t="s">
        <v>8737</v>
      </c>
      <c r="D26620" s="8">
        <v>88</v>
      </c>
      <c r="E26620" s="8">
        <v>0</v>
      </c>
      <c r="F26620" s="8">
        <v>290</v>
      </c>
    </row>
    <row r="26621" spans="1:6" ht="12.75">
      <c r="A26621" s="8">
        <v>43892.506620370375</v>
      </c>
      <c r="B26621" s="8" t="str">
        <f>HYPERLINK("https://twitter.com/darthcharles9","@darthcharles9")</f>
        <v>@darthcharles9</v>
      </c>
      <c r="C26621" s="8" t="s">
        <v>8737</v>
      </c>
      <c r="D26621" s="8">
        <v>88</v>
      </c>
      <c r="E26621" s="8">
        <v>0</v>
      </c>
      <c r="F26621" s="8">
        <v>275</v>
      </c>
    </row>
    <row r="26622" spans="1:6" ht="12.75">
      <c r="A26622" s="8">
        <v>43892.506620370375</v>
      </c>
      <c r="B26622" s="8" t="str">
        <f>HYPERLINK("https://twitter.com/procrastinatink","@procrastinatink")</f>
        <v>@procrastinatink</v>
      </c>
      <c r="C26622" s="8" t="s">
        <v>2995</v>
      </c>
      <c r="D26622" s="8">
        <v>92</v>
      </c>
      <c r="E26622" s="8">
        <v>0</v>
      </c>
      <c r="F26622" s="8">
        <v>78</v>
      </c>
    </row>
    <row r="26623" spans="1:6" ht="12.75">
      <c r="A26623" s="8">
        <v>43892.506608796291</v>
      </c>
      <c r="B26623" s="8" t="str">
        <f>HYPERLINK("https://twitter.com/elsamrys","@elsamrys")</f>
        <v>@elsamrys</v>
      </c>
      <c r="C26623" s="8" t="s">
        <v>10269</v>
      </c>
      <c r="D26623" s="8">
        <v>0</v>
      </c>
      <c r="E26623" s="8">
        <v>0</v>
      </c>
      <c r="F26623" s="8">
        <v>710</v>
      </c>
    </row>
    <row r="26624" spans="1:6" ht="12.75">
      <c r="A26624" s="8">
        <v>43892.506608796291</v>
      </c>
      <c r="B26624" s="8" t="str">
        <f>HYPERLINK("https://twitter.com/wibzu","@wibzu")</f>
        <v>@wibzu</v>
      </c>
      <c r="C26624" s="8" t="s">
        <v>2199</v>
      </c>
      <c r="D26624" s="8">
        <v>4488</v>
      </c>
      <c r="E26624" s="8">
        <v>0</v>
      </c>
      <c r="F26624" s="8">
        <v>1564</v>
      </c>
    </row>
    <row r="26625" spans="1:6" ht="12.75">
      <c r="A26625" s="8">
        <v>43892.506608796291</v>
      </c>
      <c r="B26625" s="8" t="str">
        <f>HYPERLINK("https://twitter.com/UkePringga","@UkePringga")</f>
        <v>@UkePringga</v>
      </c>
      <c r="C26625" s="8" t="s">
        <v>10270</v>
      </c>
      <c r="D26625" s="8">
        <v>0</v>
      </c>
      <c r="E26625" s="8">
        <v>0</v>
      </c>
      <c r="F26625" s="8">
        <v>11</v>
      </c>
    </row>
    <row r="26626" spans="1:6" ht="12.75">
      <c r="A26626" s="8">
        <v>43892.506608796291</v>
      </c>
      <c r="B26626" s="8" t="str">
        <f>HYPERLINK("https://twitter.com/psycholeogy","@psycholeogy")</f>
        <v>@psycholeogy</v>
      </c>
      <c r="C26626" s="8" t="s">
        <v>10077</v>
      </c>
      <c r="D26626" s="8">
        <v>89</v>
      </c>
      <c r="E26626" s="8">
        <v>0</v>
      </c>
      <c r="F26626" s="8">
        <v>562</v>
      </c>
    </row>
    <row r="26627" spans="1:6" ht="12.75">
      <c r="A26627" s="8">
        <v>43892.506608796291</v>
      </c>
      <c r="B26627" s="8" t="str">
        <f>HYPERLINK("https://twitter.com/kartikahari13","@kartikahari13")</f>
        <v>@kartikahari13</v>
      </c>
      <c r="C26627" s="8" t="s">
        <v>10271</v>
      </c>
      <c r="D26627" s="8">
        <v>2</v>
      </c>
      <c r="E26627" s="8">
        <v>0</v>
      </c>
      <c r="F26627" s="8">
        <v>1403</v>
      </c>
    </row>
    <row r="26628" spans="1:6" ht="12.75">
      <c r="A26628" s="8">
        <v>43892.506585648152</v>
      </c>
      <c r="B26628" s="8" t="str">
        <f>HYPERLINK("https://twitter.com/hemaviton99","@hemaviton99")</f>
        <v>@hemaviton99</v>
      </c>
      <c r="C26628" s="8" t="s">
        <v>10272</v>
      </c>
      <c r="D26628" s="8">
        <v>0</v>
      </c>
      <c r="E26628" s="8">
        <v>0</v>
      </c>
      <c r="F26628" s="8">
        <v>5305</v>
      </c>
    </row>
    <row r="26629" spans="1:6" ht="12.75">
      <c r="A26629" s="8">
        <v>43892.506574074076</v>
      </c>
      <c r="B26629" s="8" t="str">
        <f>HYPERLINK("https://twitter.com/Rhodomyrtust","@Rhodomyrtust")</f>
        <v>@Rhodomyrtust</v>
      </c>
      <c r="C26629" s="8" t="s">
        <v>10259</v>
      </c>
      <c r="D26629" s="8">
        <v>48</v>
      </c>
      <c r="E26629" s="8">
        <v>0</v>
      </c>
      <c r="F26629" s="8">
        <v>232</v>
      </c>
    </row>
    <row r="26630" spans="1:6" ht="12.75">
      <c r="A26630" s="8">
        <v>43892.506562499999</v>
      </c>
      <c r="B26630" s="8" t="str">
        <f>HYPERLINK("https://twitter.com/AkangEi","@AkangEi")</f>
        <v>@AkangEi</v>
      </c>
      <c r="C26630" s="8" t="s">
        <v>7110</v>
      </c>
      <c r="D26630" s="8">
        <v>74</v>
      </c>
      <c r="E26630" s="8">
        <v>0</v>
      </c>
      <c r="F26630" s="8">
        <v>516</v>
      </c>
    </row>
    <row r="26631" spans="1:6" ht="12.75">
      <c r="A26631" s="8">
        <v>43892.506562499999</v>
      </c>
      <c r="B26631" s="8" t="str">
        <f>HYPERLINK("https://twitter.com/Ldnnn1","@Ldnnn1")</f>
        <v>@Ldnnn1</v>
      </c>
      <c r="C26631" s="8" t="s">
        <v>10077</v>
      </c>
      <c r="D26631" s="8">
        <v>89</v>
      </c>
      <c r="E26631" s="8">
        <v>0</v>
      </c>
      <c r="F26631" s="8">
        <v>14</v>
      </c>
    </row>
    <row r="26632" spans="1:6" ht="12.75">
      <c r="A26632" s="8">
        <v>43892.506539351853</v>
      </c>
      <c r="B26632" s="8" t="str">
        <f>HYPERLINK("https://twitter.com/nindyaelfira","@nindyaelfira")</f>
        <v>@nindyaelfira</v>
      </c>
      <c r="C26632" s="8" t="s">
        <v>8737</v>
      </c>
      <c r="D26632" s="8">
        <v>88</v>
      </c>
      <c r="E26632" s="8">
        <v>0</v>
      </c>
      <c r="F26632" s="8">
        <v>44</v>
      </c>
    </row>
    <row r="26633" spans="1:6" ht="12.75">
      <c r="A26633" s="8">
        <v>43892.506539351853</v>
      </c>
      <c r="B26633" s="8" t="str">
        <f>HYPERLINK("https://twitter.com/SiJombloKreatif","@SiJombloKreatif")</f>
        <v>@SiJombloKreatif</v>
      </c>
      <c r="C26633" s="8" t="s">
        <v>10273</v>
      </c>
      <c r="D26633" s="8">
        <v>0</v>
      </c>
      <c r="E26633" s="8">
        <v>0</v>
      </c>
      <c r="F26633" s="8">
        <v>121756</v>
      </c>
    </row>
    <row r="26634" spans="1:6" ht="12.75">
      <c r="A26634" s="8">
        <v>43892.506527777776</v>
      </c>
      <c r="B26634" s="8" t="str">
        <f>HYPERLINK("https://twitter.com/xxpidyaxx","@xxpidyaxx")</f>
        <v>@xxpidyaxx</v>
      </c>
      <c r="C26634" s="8" t="s">
        <v>10125</v>
      </c>
      <c r="D26634" s="8">
        <v>45</v>
      </c>
      <c r="E26634" s="8">
        <v>0</v>
      </c>
      <c r="F26634" s="8">
        <v>1553</v>
      </c>
    </row>
    <row r="26635" spans="1:6" ht="12.75">
      <c r="A26635" s="8">
        <v>43892.506516203706</v>
      </c>
      <c r="B26635" s="8" t="str">
        <f>HYPERLINK("https://twitter.com/winnerxhyo","@winnerxhyo")</f>
        <v>@winnerxhyo</v>
      </c>
      <c r="C26635" s="8" t="s">
        <v>8737</v>
      </c>
      <c r="D26635" s="8">
        <v>88</v>
      </c>
      <c r="E26635" s="8">
        <v>0</v>
      </c>
      <c r="F26635" s="8">
        <v>100</v>
      </c>
    </row>
    <row r="26636" spans="1:6" ht="12.75">
      <c r="A26636" s="8">
        <v>43892.506504629629</v>
      </c>
      <c r="B26636" s="8" t="str">
        <f>HYPERLINK("https://twitter.com/virginiaraawr","@virginiaraawr")</f>
        <v>@virginiaraawr</v>
      </c>
      <c r="C26636" s="8" t="s">
        <v>10274</v>
      </c>
      <c r="D26636" s="8">
        <v>0</v>
      </c>
      <c r="E26636" s="8">
        <v>0</v>
      </c>
      <c r="F26636" s="8">
        <v>1030</v>
      </c>
    </row>
    <row r="26637" spans="1:6" ht="12.75">
      <c r="A26637" s="8">
        <v>43892.506493055553</v>
      </c>
      <c r="B26637" s="8" t="str">
        <f>HYPERLINK("https://twitter.com/rzkybudiati","@rzkybudiati")</f>
        <v>@rzkybudiati</v>
      </c>
      <c r="C26637" s="8" t="s">
        <v>8737</v>
      </c>
      <c r="D26637" s="8">
        <v>88</v>
      </c>
      <c r="E26637" s="8">
        <v>0</v>
      </c>
      <c r="F26637" s="8">
        <v>366</v>
      </c>
    </row>
    <row r="26638" spans="1:6" ht="12.75">
      <c r="A26638" s="8">
        <v>43892.506493055553</v>
      </c>
      <c r="B26638" s="8" t="str">
        <f>HYPERLINK("https://twitter.com/_morimochan","@_morimochan")</f>
        <v>@_morimochan</v>
      </c>
      <c r="C26638" s="8" t="s">
        <v>10125</v>
      </c>
      <c r="D26638" s="8">
        <v>45</v>
      </c>
      <c r="E26638" s="8">
        <v>0</v>
      </c>
      <c r="F26638" s="8">
        <v>176</v>
      </c>
    </row>
    <row r="26639" spans="1:6" ht="12.75">
      <c r="A26639" s="8">
        <v>43892.506493055553</v>
      </c>
      <c r="B26639" s="8" t="str">
        <f>HYPERLINK("https://twitter.com/kartikahari13","@kartikahari13")</f>
        <v>@kartikahari13</v>
      </c>
      <c r="C26639" s="8" t="s">
        <v>10275</v>
      </c>
      <c r="D26639" s="8">
        <v>6</v>
      </c>
      <c r="E26639" s="8">
        <v>0</v>
      </c>
      <c r="F26639" s="8">
        <v>1403</v>
      </c>
    </row>
    <row r="26640" spans="1:6" ht="12.75">
      <c r="A26640" s="8">
        <v>43892.506493055553</v>
      </c>
      <c r="B26640" s="8" t="str">
        <f>HYPERLINK("https://twitter.com/wactfle","@wactfle")</f>
        <v>@wactfle</v>
      </c>
      <c r="C26640" s="8" t="s">
        <v>9274</v>
      </c>
      <c r="D26640" s="8">
        <v>367</v>
      </c>
      <c r="E26640" s="8">
        <v>0</v>
      </c>
      <c r="F26640" s="8">
        <v>2662</v>
      </c>
    </row>
    <row r="26641" spans="1:6" ht="12.75">
      <c r="A26641" s="8">
        <v>43892.506493055553</v>
      </c>
      <c r="B26641" s="8" t="str">
        <f>HYPERLINK("https://twitter.com/azzadjad","@azzadjad")</f>
        <v>@azzadjad</v>
      </c>
      <c r="C26641" s="8" t="s">
        <v>9701</v>
      </c>
      <c r="D26641" s="8">
        <v>69</v>
      </c>
      <c r="E26641" s="8">
        <v>0</v>
      </c>
      <c r="F26641" s="8">
        <v>298</v>
      </c>
    </row>
    <row r="26642" spans="1:6" ht="12.75">
      <c r="A26642" s="8">
        <v>43892.506481481483</v>
      </c>
      <c r="B26642" s="8" t="str">
        <f>HYPERLINK("https://twitter.com/VemaleDotcom","@VemaleDotcom")</f>
        <v>@VemaleDotcom</v>
      </c>
      <c r="C26642" s="8" t="s">
        <v>10276</v>
      </c>
      <c r="D26642" s="8">
        <v>5</v>
      </c>
      <c r="E26642" s="8">
        <v>0</v>
      </c>
      <c r="F26642" s="8">
        <v>46019</v>
      </c>
    </row>
    <row r="26643" spans="1:6" ht="12.75">
      <c r="A26643" s="8">
        <v>43892.506481481483</v>
      </c>
      <c r="B26643" s="8" t="str">
        <f>HYPERLINK("https://twitter.com/posherrr","@posherrr")</f>
        <v>@posherrr</v>
      </c>
      <c r="C26643" s="8" t="s">
        <v>10259</v>
      </c>
      <c r="D26643" s="8">
        <v>48</v>
      </c>
      <c r="E26643" s="8">
        <v>0</v>
      </c>
      <c r="F26643" s="8">
        <v>229</v>
      </c>
    </row>
    <row r="26644" spans="1:6" ht="12.75">
      <c r="A26644" s="8">
        <v>43892.506481481483</v>
      </c>
      <c r="B26644" s="8" t="str">
        <f>HYPERLINK("https://twitter.com/Indopolitika","@Indopolitika")</f>
        <v>@Indopolitika</v>
      </c>
      <c r="C26644" s="8" t="s">
        <v>10277</v>
      </c>
      <c r="D26644" s="8">
        <v>0</v>
      </c>
      <c r="E26644" s="8">
        <v>0</v>
      </c>
      <c r="F26644" s="8">
        <v>10592</v>
      </c>
    </row>
    <row r="26645" spans="1:6" ht="12.75">
      <c r="A26645" s="8">
        <v>43892.506481481483</v>
      </c>
      <c r="B26645" s="8" t="str">
        <f>HYPERLINK("https://twitter.com/auctroum","@auctroum")</f>
        <v>@auctroum</v>
      </c>
      <c r="C26645" s="8" t="s">
        <v>10278</v>
      </c>
      <c r="D26645" s="8">
        <v>0</v>
      </c>
      <c r="E26645" s="8">
        <v>0</v>
      </c>
      <c r="F26645" s="8">
        <v>1161</v>
      </c>
    </row>
    <row r="26646" spans="1:6" ht="12.75">
      <c r="A26646" s="8">
        <v>43892.506481481483</v>
      </c>
      <c r="B26646" s="8" t="str">
        <f>HYPERLINK("https://twitter.com/onlyaidee","@onlyaidee")</f>
        <v>@onlyaidee</v>
      </c>
      <c r="C26646" s="8" t="s">
        <v>5602</v>
      </c>
      <c r="D26646" s="8">
        <v>565</v>
      </c>
      <c r="E26646" s="8">
        <v>0</v>
      </c>
      <c r="F26646" s="8">
        <v>798</v>
      </c>
    </row>
    <row r="26647" spans="1:6" ht="12.75">
      <c r="A26647" s="8">
        <v>43892.506469907406</v>
      </c>
      <c r="B26647" s="8" t="str">
        <f>HYPERLINK("https://twitter.com/Yadi33653534","@Yadi33653534")</f>
        <v>@Yadi33653534</v>
      </c>
      <c r="C26647" s="8" t="s">
        <v>10279</v>
      </c>
      <c r="D26647" s="8">
        <v>83</v>
      </c>
      <c r="E26647" s="8">
        <v>0</v>
      </c>
      <c r="F26647" s="8">
        <v>578</v>
      </c>
    </row>
    <row r="26648" spans="1:6" ht="12.75">
      <c r="A26648" s="8">
        <v>43892.506469907406</v>
      </c>
      <c r="B26648" s="8" t="str">
        <f>HYPERLINK("https://twitter.com/luckyenjang","@luckyenjang")</f>
        <v>@luckyenjang</v>
      </c>
      <c r="C26648" s="8" t="s">
        <v>10280</v>
      </c>
      <c r="D26648" s="8">
        <v>1</v>
      </c>
      <c r="E26648" s="8">
        <v>0</v>
      </c>
      <c r="F26648" s="8">
        <v>477</v>
      </c>
    </row>
    <row r="26649" spans="1:6" ht="12.75">
      <c r="A26649" s="8">
        <v>43892.506469907406</v>
      </c>
      <c r="B26649" s="8" t="str">
        <f>HYPERLINK("https://twitter.com/minhyeokkun","@minhyeokkun")</f>
        <v>@minhyeokkun</v>
      </c>
      <c r="C26649" s="8" t="s">
        <v>8737</v>
      </c>
      <c r="D26649" s="8">
        <v>88</v>
      </c>
      <c r="E26649" s="8">
        <v>0</v>
      </c>
      <c r="F26649" s="8">
        <v>823</v>
      </c>
    </row>
    <row r="26650" spans="1:6" ht="12.75">
      <c r="A26650" s="8">
        <v>43892.50645833333</v>
      </c>
      <c r="B26650" s="8" t="str">
        <f>HYPERLINK("https://twitter.com/Dayanott","@Dayanott")</f>
        <v>@Dayanott</v>
      </c>
      <c r="C26650" s="8" t="s">
        <v>9701</v>
      </c>
      <c r="D26650" s="8">
        <v>66</v>
      </c>
      <c r="E26650" s="8">
        <v>0</v>
      </c>
      <c r="F26650" s="8">
        <v>180</v>
      </c>
    </row>
    <row r="26651" spans="1:6" ht="12.75">
      <c r="A26651" s="8">
        <v>43892.50645833333</v>
      </c>
      <c r="B26651" s="8" t="str">
        <f>HYPERLINK("https://twitter.com/hilocokelat","@hilocokelat")</f>
        <v>@hilocokelat</v>
      </c>
      <c r="C26651" s="8" t="s">
        <v>2199</v>
      </c>
      <c r="D26651" s="8">
        <v>4488</v>
      </c>
      <c r="E26651" s="8">
        <v>0</v>
      </c>
      <c r="F26651" s="8">
        <v>213</v>
      </c>
    </row>
    <row r="26652" spans="1:6" ht="12.75">
      <c r="A26652" s="8">
        <v>43892.50645833333</v>
      </c>
      <c r="B26652" s="8" t="str">
        <f>HYPERLINK("https://twitter.com/kartikahari13","@kartikahari13")</f>
        <v>@kartikahari13</v>
      </c>
      <c r="C26652" s="8" t="s">
        <v>10281</v>
      </c>
      <c r="D26652" s="8">
        <v>3</v>
      </c>
      <c r="E26652" s="8">
        <v>0</v>
      </c>
      <c r="F26652" s="8">
        <v>1403</v>
      </c>
    </row>
    <row r="26653" spans="1:6" ht="12.75">
      <c r="A26653" s="8">
        <v>43892.50645833333</v>
      </c>
      <c r="B26653" s="8" t="str">
        <f>HYPERLINK("https://twitter.com/manwhocantbmove","@manwhocantbmove")</f>
        <v>@manwhocantbmove</v>
      </c>
      <c r="C26653" s="8" t="s">
        <v>10259</v>
      </c>
      <c r="D26653" s="8">
        <v>48</v>
      </c>
      <c r="E26653" s="8">
        <v>0</v>
      </c>
      <c r="F26653" s="8">
        <v>357</v>
      </c>
    </row>
    <row r="26654" spans="1:6" ht="12.75">
      <c r="A26654" s="8">
        <v>43892.50645833333</v>
      </c>
      <c r="B26654" s="8" t="str">
        <f>HYPERLINK("https://twitter.com/rfsyrf","@rfsyrf")</f>
        <v>@rfsyrf</v>
      </c>
      <c r="C26654" s="8" t="s">
        <v>2199</v>
      </c>
      <c r="D26654" s="8">
        <v>4488</v>
      </c>
      <c r="E26654" s="8">
        <v>0</v>
      </c>
      <c r="F26654" s="8">
        <v>88</v>
      </c>
    </row>
    <row r="26655" spans="1:6" ht="12.75">
      <c r="A26655" s="8">
        <v>43892.50645833333</v>
      </c>
      <c r="B26655" s="8" t="str">
        <f>HYPERLINK("https://twitter.com/dontheoamarte","@dontheoamarte")</f>
        <v>@dontheoamarte</v>
      </c>
      <c r="C26655" s="8" t="s">
        <v>10259</v>
      </c>
      <c r="D26655" s="8">
        <v>48</v>
      </c>
      <c r="E26655" s="8">
        <v>0</v>
      </c>
      <c r="F26655" s="8">
        <v>708</v>
      </c>
    </row>
    <row r="26656" spans="1:6" ht="12.75">
      <c r="A26656" s="8">
        <v>43892.50644675926</v>
      </c>
      <c r="B26656" s="8" t="str">
        <f>HYPERLINK("https://twitter.com/AkangEi","@AkangEi")</f>
        <v>@AkangEi</v>
      </c>
      <c r="C26656" s="8" t="s">
        <v>10282</v>
      </c>
      <c r="D26656" s="8">
        <v>0</v>
      </c>
      <c r="E26656" s="8">
        <v>0</v>
      </c>
      <c r="F26656" s="8">
        <v>516</v>
      </c>
    </row>
    <row r="26657" spans="1:6" ht="12.75">
      <c r="A26657" s="8">
        <v>43892.50644675926</v>
      </c>
      <c r="B26657" s="8" t="str">
        <f>HYPERLINK("https://twitter.com/zupryzaenal","@zupryzaenal")</f>
        <v>@zupryzaenal</v>
      </c>
      <c r="C26657" s="8" t="s">
        <v>10259</v>
      </c>
      <c r="D26657" s="8">
        <v>48</v>
      </c>
      <c r="E26657" s="8">
        <v>0</v>
      </c>
      <c r="F26657" s="8">
        <v>855</v>
      </c>
    </row>
    <row r="26658" spans="1:6" ht="12.75">
      <c r="A26658" s="8">
        <v>43892.50644675926</v>
      </c>
      <c r="B26658" s="8" t="str">
        <f>HYPERLINK("https://twitter.com/Aykidayan","@Aykidayan")</f>
        <v>@Aykidayan</v>
      </c>
      <c r="C26658" s="8" t="s">
        <v>10259</v>
      </c>
      <c r="D26658" s="8">
        <v>48</v>
      </c>
      <c r="E26658" s="8">
        <v>0</v>
      </c>
      <c r="F26658" s="8">
        <v>1546</v>
      </c>
    </row>
    <row r="26659" spans="1:6" ht="12.75">
      <c r="A26659" s="8">
        <v>43892.506435185191</v>
      </c>
      <c r="B26659" s="8" t="str">
        <f>HYPERLINK("https://twitter.com/naudinahaha","@naudinahaha")</f>
        <v>@naudinahaha</v>
      </c>
      <c r="C26659" s="8" t="s">
        <v>9274</v>
      </c>
      <c r="D26659" s="8">
        <v>367</v>
      </c>
      <c r="E26659" s="8">
        <v>0</v>
      </c>
      <c r="F26659" s="8">
        <v>493</v>
      </c>
    </row>
    <row r="26660" spans="1:6" ht="12.75">
      <c r="A26660" s="8">
        <v>43892.506423611107</v>
      </c>
      <c r="B26660" s="8" t="str">
        <f>HYPERLINK("https://twitter.com/NurizHany","@NurizHany")</f>
        <v>@NurizHany</v>
      </c>
      <c r="C26660" s="8" t="s">
        <v>9701</v>
      </c>
      <c r="D26660" s="8">
        <v>66</v>
      </c>
      <c r="E26660" s="8">
        <v>0</v>
      </c>
      <c r="F26660" s="8">
        <v>3951</v>
      </c>
    </row>
    <row r="26661" spans="1:6" ht="12.75">
      <c r="A26661" s="8">
        <v>43892.506423611107</v>
      </c>
      <c r="B26661" s="8" t="str">
        <f>HYPERLINK("https://twitter.com/didienAZHAR","@didienAZHAR")</f>
        <v>@didienAZHAR</v>
      </c>
      <c r="C26661" s="8" t="s">
        <v>10283</v>
      </c>
      <c r="D26661" s="8">
        <v>38</v>
      </c>
      <c r="E26661" s="8">
        <v>0</v>
      </c>
      <c r="F26661" s="8">
        <v>22624</v>
      </c>
    </row>
    <row r="26662" spans="1:6" ht="12.75">
      <c r="A26662" s="8">
        <v>43892.506423611107</v>
      </c>
      <c r="B26662" s="8" t="str">
        <f>HYPERLINK("https://twitter.com/kartikahari13","@kartikahari13")</f>
        <v>@kartikahari13</v>
      </c>
      <c r="C26662" s="8" t="s">
        <v>10284</v>
      </c>
      <c r="D26662" s="8">
        <v>12</v>
      </c>
      <c r="E26662" s="8">
        <v>0</v>
      </c>
      <c r="F26662" s="8">
        <v>1403</v>
      </c>
    </row>
    <row r="26663" spans="1:6" ht="12.75">
      <c r="A26663" s="8">
        <v>43892.506423611107</v>
      </c>
      <c r="B26663" s="8" t="str">
        <f>HYPERLINK("https://twitter.com/bolacomID","@bolacomID")</f>
        <v>@bolacomID</v>
      </c>
      <c r="C26663" s="8" t="s">
        <v>10276</v>
      </c>
      <c r="D26663" s="8">
        <v>5</v>
      </c>
      <c r="E26663" s="8">
        <v>0</v>
      </c>
      <c r="F26663" s="8">
        <v>33493</v>
      </c>
    </row>
    <row r="26664" spans="1:6" ht="12.75">
      <c r="A26664" s="8">
        <v>43892.506412037037</v>
      </c>
      <c r="B26664" s="8" t="str">
        <f>HYPERLINK("https://twitter.com/ima_jinasiii","@ima_jinasiii")</f>
        <v>@ima_jinasiii</v>
      </c>
      <c r="C26664" s="8" t="s">
        <v>10125</v>
      </c>
      <c r="D26664" s="8">
        <v>45</v>
      </c>
      <c r="E26664" s="8">
        <v>0</v>
      </c>
      <c r="F26664" s="8">
        <v>170</v>
      </c>
    </row>
    <row r="26665" spans="1:6" ht="12.75">
      <c r="A26665" s="8">
        <v>43892.506412037037</v>
      </c>
      <c r="B26665" s="8" t="str">
        <f>HYPERLINK("https://twitter.com/laodeahmadz","@laodeahmadz")</f>
        <v>@laodeahmadz</v>
      </c>
      <c r="C26665" s="8" t="s">
        <v>7110</v>
      </c>
      <c r="D26665" s="8">
        <v>74</v>
      </c>
      <c r="E26665" s="8">
        <v>0</v>
      </c>
      <c r="F26665" s="8">
        <v>9</v>
      </c>
    </row>
    <row r="26666" spans="1:6" ht="12.75">
      <c r="A26666" s="8">
        <v>43892.506400462968</v>
      </c>
      <c r="B26666" s="8" t="str">
        <f>HYPERLINK("https://twitter.com/Alfin_kp","@Alfin_kp")</f>
        <v>@Alfin_kp</v>
      </c>
      <c r="C26666" s="8" t="s">
        <v>8737</v>
      </c>
      <c r="D26666" s="8">
        <v>88</v>
      </c>
      <c r="E26666" s="8">
        <v>0</v>
      </c>
      <c r="F26666" s="8">
        <v>158</v>
      </c>
    </row>
    <row r="26667" spans="1:6" ht="12.75">
      <c r="A26667" s="8">
        <v>43892.506400462968</v>
      </c>
      <c r="B26667" s="8" t="str">
        <f>HYPERLINK("https://twitter.com/HakimiNadhirah","@HakimiNadhirah")</f>
        <v>@HakimiNadhirah</v>
      </c>
      <c r="C26667" s="8" t="s">
        <v>9701</v>
      </c>
      <c r="D26667" s="8">
        <v>69</v>
      </c>
      <c r="E26667" s="8">
        <v>0</v>
      </c>
      <c r="F26667" s="8">
        <v>128</v>
      </c>
    </row>
    <row r="26668" spans="1:6" ht="12.75">
      <c r="A26668" s="8">
        <v>43892.506400462968</v>
      </c>
      <c r="B26668" s="8" t="str">
        <f>HYPERLINK("https://twitter.com/_zzanntt","@_zzanntt")</f>
        <v>@_zzanntt</v>
      </c>
      <c r="C26668" s="8" t="s">
        <v>3648</v>
      </c>
      <c r="D26668" s="8">
        <v>326</v>
      </c>
      <c r="E26668" s="8">
        <v>0</v>
      </c>
      <c r="F26668" s="8">
        <v>70</v>
      </c>
    </row>
    <row r="26669" spans="1:6" ht="12.75">
      <c r="A26669" s="8">
        <v>43892.506400462968</v>
      </c>
      <c r="B26669" s="8" t="str">
        <f>HYPERLINK("https://twitter.com/kartikahari13","@kartikahari13")</f>
        <v>@kartikahari13</v>
      </c>
      <c r="C26669" s="8" t="s">
        <v>9897</v>
      </c>
      <c r="D26669" s="8">
        <v>8</v>
      </c>
      <c r="E26669" s="8">
        <v>0</v>
      </c>
      <c r="F26669" s="8">
        <v>1403</v>
      </c>
    </row>
    <row r="26670" spans="1:6" ht="12.75">
      <c r="A26670" s="8">
        <v>43892.506388888884</v>
      </c>
      <c r="B26670" s="8" t="str">
        <f>HYPERLINK("https://twitter.com/rukita_id","@rukita_id")</f>
        <v>@rukita_id</v>
      </c>
      <c r="C26670" s="8" t="s">
        <v>9274</v>
      </c>
      <c r="D26670" s="8">
        <v>367</v>
      </c>
      <c r="E26670" s="8">
        <v>0</v>
      </c>
      <c r="F26670" s="8">
        <v>40</v>
      </c>
    </row>
    <row r="26671" spans="1:6" ht="12.75">
      <c r="A26671" s="8">
        <v>43892.506388888884</v>
      </c>
      <c r="B26671" s="8" t="str">
        <f>HYPERLINK("https://twitter.com/GoneBeAlright","@GoneBeAlright")</f>
        <v>@GoneBeAlright</v>
      </c>
      <c r="C26671" s="8" t="s">
        <v>10285</v>
      </c>
      <c r="D26671" s="8">
        <v>0</v>
      </c>
      <c r="E26671" s="8">
        <v>0</v>
      </c>
      <c r="F26671" s="8">
        <v>699</v>
      </c>
    </row>
    <row r="26672" spans="1:6" ht="12.75">
      <c r="A26672" s="8">
        <v>43892.506377314814</v>
      </c>
      <c r="B26672" s="8" t="str">
        <f>HYPERLINK("https://twitter.com/Salimin_C3","@Salimin_C3")</f>
        <v>@Salimin_C3</v>
      </c>
      <c r="C26672" s="8" t="s">
        <v>9701</v>
      </c>
      <c r="D26672" s="8">
        <v>69</v>
      </c>
      <c r="E26672" s="8">
        <v>0</v>
      </c>
      <c r="F26672" s="8">
        <v>48</v>
      </c>
    </row>
    <row r="26673" spans="1:6" ht="12.75">
      <c r="A26673" s="8">
        <v>43892.506377314814</v>
      </c>
      <c r="B26673" s="8" t="str">
        <f>HYPERLINK("https://twitter.com/MegaAgustin176","@MegaAgustin176")</f>
        <v>@MegaAgustin176</v>
      </c>
      <c r="C26673" s="8" t="s">
        <v>10077</v>
      </c>
      <c r="D26673" s="8">
        <v>89</v>
      </c>
      <c r="E26673" s="8">
        <v>0</v>
      </c>
      <c r="F26673" s="8">
        <v>3</v>
      </c>
    </row>
    <row r="26674" spans="1:6" ht="12.75">
      <c r="A26674" s="8">
        <v>43892.506354166668</v>
      </c>
      <c r="B26674" s="8" t="str">
        <f>HYPERLINK("https://twitter.com/zhr_hls","@zhr_hls")</f>
        <v>@zhr_hls</v>
      </c>
      <c r="C26674" s="8" t="s">
        <v>7110</v>
      </c>
      <c r="D26674" s="8">
        <v>74</v>
      </c>
      <c r="E26674" s="8">
        <v>0</v>
      </c>
      <c r="F26674" s="8">
        <v>43</v>
      </c>
    </row>
    <row r="26675" spans="1:6" ht="12.75">
      <c r="A26675" s="8">
        <v>43892.506342592591</v>
      </c>
      <c r="B26675" s="8" t="str">
        <f>HYPERLINK("https://twitter.com/helloparkinseo","@helloparkinseo")</f>
        <v>@helloparkinseo</v>
      </c>
      <c r="C26675" s="8" t="s">
        <v>8737</v>
      </c>
      <c r="D26675" s="8">
        <v>88</v>
      </c>
      <c r="E26675" s="8">
        <v>0</v>
      </c>
      <c r="F26675" s="8">
        <v>825</v>
      </c>
    </row>
    <row r="26676" spans="1:6" ht="12.75">
      <c r="A26676" s="8">
        <v>43892.506342592591</v>
      </c>
      <c r="B26676" s="8" t="str">
        <f>HYPERLINK("https://twitter.com/Azuani_wanie","@Azuani_wanie")</f>
        <v>@Azuani_wanie</v>
      </c>
      <c r="C26676" s="8" t="s">
        <v>9701</v>
      </c>
      <c r="D26676" s="8">
        <v>69</v>
      </c>
      <c r="E26676" s="8">
        <v>0</v>
      </c>
      <c r="F26676" s="8">
        <v>188</v>
      </c>
    </row>
    <row r="26677" spans="1:6" ht="12.75">
      <c r="A26677" s="8">
        <v>43892.506331018521</v>
      </c>
      <c r="B26677" s="8" t="str">
        <f>HYPERLINK("https://twitter.com/MuniraMunn","@MuniraMunn")</f>
        <v>@MuniraMunn</v>
      </c>
      <c r="C26677" s="8" t="s">
        <v>9701</v>
      </c>
      <c r="D26677" s="8">
        <v>68</v>
      </c>
      <c r="E26677" s="8">
        <v>0</v>
      </c>
      <c r="F26677" s="8">
        <v>843</v>
      </c>
    </row>
    <row r="26678" spans="1:6" ht="12.75">
      <c r="A26678" s="8">
        <v>43892.506331018521</v>
      </c>
      <c r="B26678" s="8" t="str">
        <f>HYPERLINK("https://twitter.com/NewSunda","@NewSunda")</f>
        <v>@NewSunda</v>
      </c>
      <c r="C26678" s="8" t="s">
        <v>7110</v>
      </c>
      <c r="D26678" s="8">
        <v>74</v>
      </c>
      <c r="E26678" s="8">
        <v>0</v>
      </c>
      <c r="F26678" s="8">
        <v>10</v>
      </c>
    </row>
    <row r="26679" spans="1:6" ht="12.75">
      <c r="A26679" s="8">
        <v>43892.506319444445</v>
      </c>
      <c r="B26679" s="8" t="str">
        <f>HYPERLINK("https://twitter.com/tiushan","@tiushan")</f>
        <v>@tiushan</v>
      </c>
      <c r="C26679" s="8" t="s">
        <v>8737</v>
      </c>
      <c r="D26679" s="8">
        <v>88</v>
      </c>
      <c r="E26679" s="8">
        <v>0</v>
      </c>
      <c r="F26679" s="8">
        <v>180</v>
      </c>
    </row>
    <row r="26680" spans="1:6" ht="12.75">
      <c r="A26680" s="8">
        <v>43892.465173611112</v>
      </c>
      <c r="B26680" s="8" t="str">
        <f>HYPERLINK("https://twitter.com/Juni0r______305","@Juni0r______305")</f>
        <v>@Juni0r______305</v>
      </c>
      <c r="C26680" s="8" t="s">
        <v>9153</v>
      </c>
      <c r="D26680" s="8">
        <v>89</v>
      </c>
      <c r="E26680" s="8">
        <v>0</v>
      </c>
      <c r="F26680" s="8">
        <v>433</v>
      </c>
    </row>
    <row r="26681" spans="1:6" ht="12.75">
      <c r="A26681" s="8">
        <v>43892.465104166666</v>
      </c>
      <c r="B26681" s="8" t="str">
        <f>HYPERLINK("https://twitter.com/vanillachokoo","@vanillachokoo")</f>
        <v>@vanillachokoo</v>
      </c>
      <c r="C26681" s="8" t="s">
        <v>5732</v>
      </c>
      <c r="D26681" s="8">
        <v>1127</v>
      </c>
      <c r="E26681" s="8">
        <v>0</v>
      </c>
      <c r="F26681" s="8">
        <v>1277</v>
      </c>
    </row>
    <row r="26682" spans="1:6" ht="12.75">
      <c r="A26682" s="8">
        <v>43892.465046296296</v>
      </c>
      <c r="B26682" s="8" t="str">
        <f>HYPERLINK("https://twitter.com/erwinnatosmal","@erwinnatosmal")</f>
        <v>@erwinnatosmal</v>
      </c>
      <c r="C26682" s="8" t="s">
        <v>10286</v>
      </c>
      <c r="D26682" s="8">
        <v>0</v>
      </c>
      <c r="E26682" s="8">
        <v>0</v>
      </c>
      <c r="F26682" s="8">
        <v>1787</v>
      </c>
    </row>
    <row r="26683" spans="1:6" ht="12.75">
      <c r="A26683" s="8">
        <v>43892.46503472222</v>
      </c>
      <c r="B26683" s="8" t="str">
        <f>HYPERLINK("https://twitter.com/KotakJait80","@KotakJait80")</f>
        <v>@KotakJait80</v>
      </c>
      <c r="C26683" s="8" t="s">
        <v>4615</v>
      </c>
      <c r="D26683" s="8">
        <v>29</v>
      </c>
      <c r="E26683" s="8">
        <v>0</v>
      </c>
      <c r="F26683" s="8">
        <v>387</v>
      </c>
    </row>
    <row r="26684" spans="1:6" ht="12.75">
      <c r="A26684" s="8">
        <v>43892.46502314815</v>
      </c>
      <c r="B26684" s="8" t="str">
        <f>HYPERLINK("https://twitter.com/faizalassegaf","@faizalassegaf")</f>
        <v>@faizalassegaf</v>
      </c>
      <c r="C26684" s="8" t="s">
        <v>10287</v>
      </c>
      <c r="D26684" s="8">
        <v>0</v>
      </c>
      <c r="E26684" s="8">
        <v>0</v>
      </c>
      <c r="F26684" s="8">
        <v>52698</v>
      </c>
    </row>
    <row r="26685" spans="1:6" ht="12.75">
      <c r="A26685" s="8">
        <v>43892.46502314815</v>
      </c>
      <c r="B26685" s="8" t="str">
        <f>HYPERLINK("https://twitter.com/sileentknight","@sileentknight")</f>
        <v>@sileentknight</v>
      </c>
      <c r="C26685" s="8" t="s">
        <v>3648</v>
      </c>
      <c r="D26685" s="8">
        <v>265</v>
      </c>
      <c r="E26685" s="8">
        <v>0</v>
      </c>
      <c r="F26685" s="8">
        <v>1911</v>
      </c>
    </row>
    <row r="26686" spans="1:6" ht="12.75">
      <c r="A26686" s="8">
        <v>43892.465011574073</v>
      </c>
      <c r="B26686" s="8" t="str">
        <f>HYPERLINK("https://twitter.com/WindaWahyuI","@WindaWahyuI")</f>
        <v>@WindaWahyuI</v>
      </c>
      <c r="C26686" s="8" t="s">
        <v>2199</v>
      </c>
      <c r="D26686" s="8">
        <v>3937</v>
      </c>
      <c r="E26686" s="8">
        <v>0</v>
      </c>
      <c r="F26686" s="8">
        <v>387</v>
      </c>
    </row>
    <row r="26687" spans="1:6" ht="12.75">
      <c r="A26687" s="8">
        <v>43892.465011574073</v>
      </c>
      <c r="B26687" s="8" t="str">
        <f>HYPERLINK("https://twitter.com/DhHeavenonearth","@DhHeavenonearth")</f>
        <v>@DhHeavenonearth</v>
      </c>
      <c r="C26687" s="8" t="s">
        <v>10288</v>
      </c>
      <c r="D26687" s="8">
        <v>90</v>
      </c>
      <c r="E26687" s="8">
        <v>0</v>
      </c>
      <c r="F26687" s="8">
        <v>65</v>
      </c>
    </row>
    <row r="26688" spans="1:6" ht="12.75">
      <c r="A26688" s="8">
        <v>43892.464907407411</v>
      </c>
      <c r="B26688" s="8" t="str">
        <f>HYPERLINK("https://twitter.com/irdatnh","@irdatnh")</f>
        <v>@irdatnh</v>
      </c>
      <c r="C26688" s="8" t="s">
        <v>5732</v>
      </c>
      <c r="D26688" s="8">
        <v>1127</v>
      </c>
      <c r="E26688" s="8">
        <v>0</v>
      </c>
      <c r="F26688" s="8">
        <v>196</v>
      </c>
    </row>
    <row r="26689" spans="1:6" ht="12.75">
      <c r="A26689" s="8">
        <v>43892.464884259258</v>
      </c>
      <c r="B26689" s="8" t="str">
        <f>HYPERLINK("https://twitter.com/Riia_nrv","@Riia_nrv")</f>
        <v>@Riia_nrv</v>
      </c>
      <c r="C26689" s="8" t="s">
        <v>4615</v>
      </c>
      <c r="D26689" s="8">
        <v>29</v>
      </c>
      <c r="E26689" s="8">
        <v>0</v>
      </c>
      <c r="F26689" s="8">
        <v>51</v>
      </c>
    </row>
    <row r="26690" spans="1:6" ht="12.75">
      <c r="A26690" s="8">
        <v>43892.464884259258</v>
      </c>
      <c r="B26690" s="8" t="str">
        <f>HYPERLINK("https://twitter.com/SatrioZidni","@SatrioZidni")</f>
        <v>@SatrioZidni</v>
      </c>
      <c r="C26690" s="8" t="s">
        <v>9153</v>
      </c>
      <c r="D26690" s="8">
        <v>89</v>
      </c>
      <c r="E26690" s="8">
        <v>0</v>
      </c>
      <c r="F26690" s="8">
        <v>234</v>
      </c>
    </row>
    <row r="26691" spans="1:6" ht="12.75">
      <c r="A26691" s="8">
        <v>43892.464884259258</v>
      </c>
      <c r="B26691" s="8" t="str">
        <f>HYPERLINK("https://twitter.com/lher_climber","@lher_climber")</f>
        <v>@lher_climber</v>
      </c>
      <c r="C26691" s="8" t="s">
        <v>8962</v>
      </c>
      <c r="D26691" s="8">
        <v>252</v>
      </c>
      <c r="E26691" s="8">
        <v>0</v>
      </c>
      <c r="F26691" s="8">
        <v>116</v>
      </c>
    </row>
    <row r="26692" spans="1:6" ht="12.75">
      <c r="A26692" s="8">
        <v>43892.464849537035</v>
      </c>
      <c r="B26692" s="8" t="str">
        <f>HYPERLINK("https://twitter.com/vwodca","@vwodca")</f>
        <v>@vwodca</v>
      </c>
      <c r="C26692" s="8" t="s">
        <v>2199</v>
      </c>
      <c r="D26692" s="8">
        <v>3937</v>
      </c>
      <c r="E26692" s="8">
        <v>0</v>
      </c>
      <c r="F26692" s="8">
        <v>2758</v>
      </c>
    </row>
    <row r="26693" spans="1:6" ht="12.75">
      <c r="A26693" s="8">
        <v>43892.464814814812</v>
      </c>
      <c r="B26693" s="8" t="str">
        <f>HYPERLINK("https://twitter.com/ehhhsyaa","@ehhhsyaa")</f>
        <v>@ehhhsyaa</v>
      </c>
      <c r="C26693" s="8" t="s">
        <v>2199</v>
      </c>
      <c r="D26693" s="8">
        <v>3937</v>
      </c>
      <c r="E26693" s="8">
        <v>0</v>
      </c>
      <c r="F26693" s="8">
        <v>1628</v>
      </c>
    </row>
    <row r="26694" spans="1:6" ht="12.75">
      <c r="A26694" s="8">
        <v>43892.464780092589</v>
      </c>
      <c r="B26694" s="8" t="str">
        <f>HYPERLINK("https://twitter.com/gilangsurya29","@gilangsurya29")</f>
        <v>@gilangsurya29</v>
      </c>
      <c r="C26694" s="8" t="s">
        <v>2199</v>
      </c>
      <c r="D26694" s="8">
        <v>3937</v>
      </c>
      <c r="E26694" s="8">
        <v>0</v>
      </c>
      <c r="F26694" s="8">
        <v>305</v>
      </c>
    </row>
    <row r="26695" spans="1:6" ht="12.75">
      <c r="A26695" s="8">
        <v>43892.464768518519</v>
      </c>
      <c r="B26695" s="8" t="str">
        <f>HYPERLINK("https://twitter.com/mrbhsr","@mrbhsr")</f>
        <v>@mrbhsr</v>
      </c>
      <c r="C26695" s="8" t="s">
        <v>2995</v>
      </c>
      <c r="D26695" s="8">
        <v>79</v>
      </c>
      <c r="E26695" s="8">
        <v>0</v>
      </c>
      <c r="F26695" s="8">
        <v>627</v>
      </c>
    </row>
    <row r="26696" spans="1:6" ht="12.75">
      <c r="A26696" s="8">
        <v>43892.464733796296</v>
      </c>
      <c r="B26696" s="8" t="str">
        <f>HYPERLINK("https://twitter.com/nowan_wins","@nowan_wins")</f>
        <v>@nowan_wins</v>
      </c>
      <c r="C26696" s="8" t="s">
        <v>2199</v>
      </c>
      <c r="D26696" s="8">
        <v>3937</v>
      </c>
      <c r="E26696" s="8">
        <v>0</v>
      </c>
      <c r="F26696" s="8">
        <v>201</v>
      </c>
    </row>
    <row r="26697" spans="1:6" ht="12.75">
      <c r="A26697" s="8">
        <v>43892.464594907404</v>
      </c>
      <c r="B26697" s="8" t="str">
        <f>HYPERLINK("https://twitter.com/_fransiskancis","@_fransiskancis")</f>
        <v>@_fransiskancis</v>
      </c>
      <c r="C26697" s="8" t="s">
        <v>4150</v>
      </c>
      <c r="D26697" s="8">
        <v>289</v>
      </c>
      <c r="E26697" s="8">
        <v>0</v>
      </c>
      <c r="F26697" s="8">
        <v>4067</v>
      </c>
    </row>
    <row r="26698" spans="1:6" ht="12.75">
      <c r="A26698" s="8">
        <v>43892.464583333334</v>
      </c>
      <c r="B26698" s="8" t="str">
        <f>HYPERLINK("https://twitter.com/mrbhsr","@mrbhsr")</f>
        <v>@mrbhsr</v>
      </c>
      <c r="C26698" s="8" t="s">
        <v>2199</v>
      </c>
      <c r="D26698" s="8">
        <v>3937</v>
      </c>
      <c r="E26698" s="8">
        <v>0</v>
      </c>
      <c r="F26698" s="8">
        <v>627</v>
      </c>
    </row>
    <row r="26699" spans="1:6" ht="12.75">
      <c r="A26699" s="8">
        <v>43892.464548611111</v>
      </c>
      <c r="B26699" s="8" t="str">
        <f>HYPERLINK("https://twitter.com/dewiutareyh","@dewiutareyh")</f>
        <v>@dewiutareyh</v>
      </c>
      <c r="C26699" s="8" t="s">
        <v>2199</v>
      </c>
      <c r="D26699" s="8">
        <v>3937</v>
      </c>
      <c r="E26699" s="8">
        <v>0</v>
      </c>
      <c r="F26699" s="8">
        <v>355</v>
      </c>
    </row>
    <row r="26700" spans="1:6" ht="12.75">
      <c r="A26700" s="8">
        <v>43892.464548611111</v>
      </c>
      <c r="B26700" s="8" t="str">
        <f>HYPERLINK("https://twitter.com/Juni0r______305","@Juni0r______305")</f>
        <v>@Juni0r______305</v>
      </c>
      <c r="C26700" s="8" t="s">
        <v>10058</v>
      </c>
      <c r="D26700" s="8">
        <v>3</v>
      </c>
      <c r="E26700" s="8">
        <v>0</v>
      </c>
      <c r="F26700" s="8">
        <v>433</v>
      </c>
    </row>
    <row r="26701" spans="1:6" ht="12.75">
      <c r="A26701" s="8">
        <v>43892.464502314819</v>
      </c>
      <c r="B26701" s="8" t="str">
        <f>HYPERLINK("https://twitter.com/HonorerPejuang","@HonorerPejuang")</f>
        <v>@HonorerPejuang</v>
      </c>
      <c r="C26701" s="8" t="s">
        <v>10289</v>
      </c>
      <c r="D26701" s="8">
        <v>1</v>
      </c>
      <c r="E26701" s="8">
        <v>0</v>
      </c>
      <c r="F26701" s="8">
        <v>48</v>
      </c>
    </row>
    <row r="26702" spans="1:6" ht="12.75">
      <c r="A26702" s="8">
        <v>43892.464444444442</v>
      </c>
      <c r="B26702" s="8" t="str">
        <f>HYPERLINK("https://twitter.com/jumalikaalajeng","@jumalikaalajeng")</f>
        <v>@jumalikaalajeng</v>
      </c>
      <c r="C26702" s="8" t="s">
        <v>5732</v>
      </c>
      <c r="D26702" s="8">
        <v>1127</v>
      </c>
      <c r="E26702" s="8">
        <v>0</v>
      </c>
      <c r="F26702" s="8">
        <v>1046</v>
      </c>
    </row>
    <row r="26703" spans="1:6" ht="12.75">
      <c r="A26703" s="8">
        <v>43892.464421296296</v>
      </c>
      <c r="B26703" s="8" t="str">
        <f>HYPERLINK("https://twitter.com/badir03","@badir03")</f>
        <v>@badir03</v>
      </c>
      <c r="C26703" s="8" t="s">
        <v>3850</v>
      </c>
      <c r="D26703" s="8">
        <v>1308</v>
      </c>
      <c r="E26703" s="8">
        <v>0</v>
      </c>
      <c r="F26703" s="8">
        <v>270</v>
      </c>
    </row>
    <row r="26704" spans="1:6" ht="12.75">
      <c r="A26704" s="8">
        <v>43892.464398148149</v>
      </c>
      <c r="B26704" s="8" t="str">
        <f>HYPERLINK("https://twitter.com/deyaprayogi","@deyaprayogi")</f>
        <v>@deyaprayogi</v>
      </c>
      <c r="C26704" s="8" t="s">
        <v>2199</v>
      </c>
      <c r="D26704" s="8">
        <v>3937</v>
      </c>
      <c r="E26704" s="8">
        <v>0</v>
      </c>
      <c r="F26704" s="8">
        <v>626</v>
      </c>
    </row>
    <row r="26705" spans="1:6" ht="12.75">
      <c r="A26705" s="8">
        <v>43892.464398148149</v>
      </c>
      <c r="B26705" s="8" t="str">
        <f>HYPERLINK("https://twitter.com/_indraprtm","@_indraprtm")</f>
        <v>@_indraprtm</v>
      </c>
      <c r="C26705" s="8" t="s">
        <v>2199</v>
      </c>
      <c r="D26705" s="8">
        <v>3937</v>
      </c>
      <c r="E26705" s="8">
        <v>0</v>
      </c>
      <c r="F26705" s="8">
        <v>28</v>
      </c>
    </row>
    <row r="26706" spans="1:6" ht="12.75">
      <c r="A26706" s="8">
        <v>43892.464386574073</v>
      </c>
      <c r="B26706" s="8" t="str">
        <f>HYPERLINK("https://twitter.com/kay_kikay","@kay_kikay")</f>
        <v>@kay_kikay</v>
      </c>
      <c r="C26706" s="8" t="s">
        <v>3850</v>
      </c>
      <c r="D26706" s="8">
        <v>1308</v>
      </c>
      <c r="E26706" s="8">
        <v>0</v>
      </c>
      <c r="F26706" s="8">
        <v>175</v>
      </c>
    </row>
    <row r="26707" spans="1:6" ht="12.75">
      <c r="A26707" s="8">
        <v>43892.464363425926</v>
      </c>
      <c r="B26707" s="8" t="str">
        <f>HYPERLINK("https://twitter.com/rezimhmd","@rezimhmd")</f>
        <v>@rezimhmd</v>
      </c>
      <c r="C26707" s="8" t="s">
        <v>2199</v>
      </c>
      <c r="D26707" s="8">
        <v>3937</v>
      </c>
      <c r="E26707" s="8">
        <v>0</v>
      </c>
      <c r="F26707" s="8">
        <v>2087</v>
      </c>
    </row>
    <row r="26708" spans="1:6" ht="12.75">
      <c r="A26708" s="8">
        <v>43892.464351851857</v>
      </c>
      <c r="B26708" s="8" t="str">
        <f>HYPERLINK("https://twitter.com/nonayuju","@nonayuju")</f>
        <v>@nonayuju</v>
      </c>
      <c r="C26708" s="8" t="s">
        <v>10290</v>
      </c>
      <c r="D26708" s="8">
        <v>0</v>
      </c>
      <c r="E26708" s="8">
        <v>1</v>
      </c>
      <c r="F26708" s="8">
        <v>2263</v>
      </c>
    </row>
    <row r="26709" spans="1:6" ht="12.75">
      <c r="A26709" s="8">
        <v>43892.46429398148</v>
      </c>
      <c r="B26709" s="8" t="str">
        <f>HYPERLINK("https://twitter.com/mfrzf_","@mfrzf_")</f>
        <v>@mfrzf_</v>
      </c>
      <c r="C26709" s="8" t="s">
        <v>2199</v>
      </c>
      <c r="D26709" s="8">
        <v>3937</v>
      </c>
      <c r="E26709" s="8">
        <v>0</v>
      </c>
      <c r="F26709" s="8">
        <v>94</v>
      </c>
    </row>
    <row r="26710" spans="1:6" ht="12.75">
      <c r="A26710" s="8">
        <v>43892.46429398148</v>
      </c>
      <c r="B26710" s="8" t="str">
        <f>HYPERLINK("https://twitter.com/h_handoko_9","@h_handoko_9")</f>
        <v>@h_handoko_9</v>
      </c>
      <c r="C26710" s="8" t="s">
        <v>10291</v>
      </c>
      <c r="D26710" s="8">
        <v>0</v>
      </c>
      <c r="E26710" s="8">
        <v>0</v>
      </c>
      <c r="F26710" s="8">
        <v>3512</v>
      </c>
    </row>
    <row r="26711" spans="1:6" ht="12.75">
      <c r="A26711" s="8">
        <v>43892.464247685188</v>
      </c>
      <c r="B26711" s="8" t="str">
        <f>HYPERLINK("https://twitter.com/Dany35160046","@Dany35160046")</f>
        <v>@Dany35160046</v>
      </c>
      <c r="C26711" s="8" t="s">
        <v>4150</v>
      </c>
      <c r="D26711" s="8">
        <v>289</v>
      </c>
      <c r="E26711" s="8">
        <v>0</v>
      </c>
      <c r="F26711" s="8">
        <v>343</v>
      </c>
    </row>
    <row r="26712" spans="1:6" ht="12.75">
      <c r="A26712" s="8">
        <v>43892.464236111111</v>
      </c>
      <c r="B26712" s="8" t="str">
        <f>HYPERLINK("https://twitter.com/ayusyif","@ayusyif")</f>
        <v>@ayusyif</v>
      </c>
      <c r="C26712" s="8" t="s">
        <v>2199</v>
      </c>
      <c r="D26712" s="8">
        <v>3937</v>
      </c>
      <c r="E26712" s="8">
        <v>0</v>
      </c>
      <c r="F26712" s="8">
        <v>161</v>
      </c>
    </row>
    <row r="26713" spans="1:6" ht="12.75">
      <c r="A26713" s="8">
        <v>43892.464224537034</v>
      </c>
      <c r="B26713" s="8" t="str">
        <f>HYPERLINK("https://twitter.com/realprincetotty","@realprincetotty")</f>
        <v>@realprincetotty</v>
      </c>
      <c r="C26713" s="8" t="s">
        <v>10292</v>
      </c>
      <c r="D26713" s="8">
        <v>36</v>
      </c>
      <c r="E26713" s="8">
        <v>0</v>
      </c>
      <c r="F26713" s="8">
        <v>735</v>
      </c>
    </row>
    <row r="26714" spans="1:6" ht="12.75">
      <c r="A26714" s="8">
        <v>43892.464178240742</v>
      </c>
      <c r="B26714" s="8" t="str">
        <f>HYPERLINK("https://twitter.com/Metro_TV","@Metro_TV")</f>
        <v>@Metro_TV</v>
      </c>
      <c r="C26714" s="8" t="s">
        <v>10293</v>
      </c>
      <c r="D26714" s="8">
        <v>1</v>
      </c>
      <c r="E26714" s="8">
        <v>1</v>
      </c>
      <c r="F26714" s="8">
        <v>10515360</v>
      </c>
    </row>
    <row r="26715" spans="1:6" ht="12.75">
      <c r="A26715" s="8">
        <v>43892.464178240742</v>
      </c>
      <c r="B26715" s="8" t="str">
        <f>HYPERLINK("https://twitter.com/Tommy_victory","@Tommy_victory")</f>
        <v>@Tommy_victory</v>
      </c>
      <c r="C26715" s="8" t="s">
        <v>10294</v>
      </c>
      <c r="D26715" s="8">
        <v>0</v>
      </c>
      <c r="E26715" s="8">
        <v>0</v>
      </c>
      <c r="F26715" s="8">
        <v>861</v>
      </c>
    </row>
    <row r="26716" spans="1:6" ht="12.75">
      <c r="A26716" s="8">
        <v>43892.464155092588</v>
      </c>
      <c r="B26716" s="8" t="str">
        <f>HYPERLINK("https://twitter.com/badir03","@badir03")</f>
        <v>@badir03</v>
      </c>
      <c r="C26716" s="8" t="s">
        <v>10295</v>
      </c>
      <c r="D26716" s="8">
        <v>122</v>
      </c>
      <c r="E26716" s="8">
        <v>0</v>
      </c>
      <c r="F26716" s="8">
        <v>270</v>
      </c>
    </row>
    <row r="26717" spans="1:6" ht="12.75">
      <c r="A26717" s="8">
        <v>43892.464131944449</v>
      </c>
      <c r="B26717" s="8" t="str">
        <f>HYPERLINK("https://twitter.com/haiakuLulu","@haiakuLulu")</f>
        <v>@haiakuLulu</v>
      </c>
      <c r="C26717" s="8" t="s">
        <v>2199</v>
      </c>
      <c r="D26717" s="8">
        <v>3937</v>
      </c>
      <c r="E26717" s="8">
        <v>0</v>
      </c>
      <c r="F26717" s="8">
        <v>361</v>
      </c>
    </row>
    <row r="26718" spans="1:6" ht="12.75">
      <c r="A26718" s="8">
        <v>43892.464108796295</v>
      </c>
      <c r="B26718" s="8" t="str">
        <f>HYPERLINK("https://twitter.com/jakartaanies24","@jakartaanies24")</f>
        <v>@jakartaanies24</v>
      </c>
      <c r="C26718" s="8" t="s">
        <v>9910</v>
      </c>
      <c r="D26718" s="8">
        <v>239</v>
      </c>
      <c r="E26718" s="8">
        <v>0</v>
      </c>
      <c r="F26718" s="8">
        <v>273</v>
      </c>
    </row>
    <row r="26719" spans="1:6" ht="12.75">
      <c r="A26719" s="8">
        <v>43892.464074074072</v>
      </c>
      <c r="B26719" s="8" t="str">
        <f>HYPERLINK("https://twitter.com/audenhadley","@audenhadley")</f>
        <v>@audenhadley</v>
      </c>
      <c r="C26719" s="8" t="s">
        <v>4150</v>
      </c>
      <c r="D26719" s="8">
        <v>289</v>
      </c>
      <c r="E26719" s="8">
        <v>0</v>
      </c>
      <c r="F26719" s="8">
        <v>40</v>
      </c>
    </row>
    <row r="26720" spans="1:6" ht="12.75">
      <c r="A26720" s="8">
        <v>43892.464062500003</v>
      </c>
      <c r="B26720" s="8" t="str">
        <f>HYPERLINK("https://twitter.com/ThisIsYou___","@ThisIsYou___")</f>
        <v>@ThisIsYou___</v>
      </c>
      <c r="C26720" s="8" t="s">
        <v>2199</v>
      </c>
      <c r="D26720" s="8">
        <v>3937</v>
      </c>
      <c r="E26720" s="8">
        <v>0</v>
      </c>
      <c r="F26720" s="8">
        <v>116</v>
      </c>
    </row>
    <row r="26721" spans="1:6" ht="12.75">
      <c r="A26721" s="8">
        <v>43892.464016203703</v>
      </c>
      <c r="B26721" s="8" t="str">
        <f>HYPERLINK("https://twitter.com/vitadewii","@vitadewii")</f>
        <v>@vitadewii</v>
      </c>
      <c r="C26721" s="8" t="s">
        <v>2199</v>
      </c>
      <c r="D26721" s="8">
        <v>3937</v>
      </c>
      <c r="E26721" s="8">
        <v>0</v>
      </c>
      <c r="F26721" s="8">
        <v>179</v>
      </c>
    </row>
    <row r="26722" spans="1:6" ht="12.75">
      <c r="A26722" s="8">
        <v>43892.463993055557</v>
      </c>
      <c r="B26722" s="8" t="str">
        <f>HYPERLINK("https://twitter.com/p4pi11on","@p4pi11on")</f>
        <v>@p4pi11on</v>
      </c>
      <c r="C26722" s="8" t="s">
        <v>9910</v>
      </c>
      <c r="D26722" s="8">
        <v>239</v>
      </c>
      <c r="E26722" s="8">
        <v>0</v>
      </c>
      <c r="F26722" s="8">
        <v>1124</v>
      </c>
    </row>
    <row r="26723" spans="1:6" ht="12.75">
      <c r="A26723" s="8">
        <v>43892.463946759264</v>
      </c>
      <c r="B26723" s="8" t="str">
        <f>HYPERLINK("https://twitter.com/minindah396","@minindah396")</f>
        <v>@minindah396</v>
      </c>
      <c r="C26723" s="8" t="s">
        <v>2199</v>
      </c>
      <c r="D26723" s="8">
        <v>3937</v>
      </c>
      <c r="E26723" s="8">
        <v>0</v>
      </c>
      <c r="F26723" s="8">
        <v>1953</v>
      </c>
    </row>
    <row r="26724" spans="1:6" ht="12.75">
      <c r="A26724" s="8">
        <v>43892.463923611111</v>
      </c>
      <c r="B26724" s="8" t="str">
        <f>HYPERLINK("https://twitter.com/ichalicharu","@ichalicharu")</f>
        <v>@ichalicharu</v>
      </c>
      <c r="C26724" s="8" t="s">
        <v>3648</v>
      </c>
      <c r="D26724" s="8">
        <v>265</v>
      </c>
      <c r="E26724" s="8">
        <v>0</v>
      </c>
      <c r="F26724" s="8">
        <v>86</v>
      </c>
    </row>
    <row r="26725" spans="1:6" ht="12.75">
      <c r="A26725" s="8">
        <v>43892.463877314818</v>
      </c>
      <c r="B26725" s="8" t="str">
        <f>HYPERLINK("https://twitter.com/sakadharmayasa","@sakadharmayasa")</f>
        <v>@sakadharmayasa</v>
      </c>
      <c r="C26725" s="8" t="s">
        <v>10296</v>
      </c>
      <c r="D26725" s="8">
        <v>0</v>
      </c>
      <c r="E26725" s="8">
        <v>0</v>
      </c>
      <c r="F26725" s="8">
        <v>529</v>
      </c>
    </row>
    <row r="26726" spans="1:6" ht="12.75">
      <c r="A26726" s="8">
        <v>43892.463819444441</v>
      </c>
      <c r="B26726" s="8" t="str">
        <f>HYPERLINK("https://twitter.com/tivanivavani","@tivanivavani")</f>
        <v>@tivanivavani</v>
      </c>
      <c r="C26726" s="8" t="s">
        <v>2199</v>
      </c>
      <c r="D26726" s="8">
        <v>3937</v>
      </c>
      <c r="E26726" s="8">
        <v>0</v>
      </c>
      <c r="F26726" s="8">
        <v>1074</v>
      </c>
    </row>
    <row r="26727" spans="1:6" ht="12.75">
      <c r="A26727" s="8">
        <v>43892.463819444441</v>
      </c>
      <c r="B26727" s="8" t="str">
        <f>HYPERLINK("https://twitter.com/CYudas","@CYudas")</f>
        <v>@CYudas</v>
      </c>
      <c r="C26727" s="8" t="s">
        <v>5732</v>
      </c>
      <c r="D26727" s="8">
        <v>1127</v>
      </c>
      <c r="E26727" s="8">
        <v>0</v>
      </c>
      <c r="F26727" s="8">
        <v>43</v>
      </c>
    </row>
    <row r="26728" spans="1:6" ht="12.75">
      <c r="A26728" s="8">
        <v>43892.463796296295</v>
      </c>
      <c r="B26728" s="8" t="str">
        <f>HYPERLINK("https://twitter.com/philip_vc","@philip_vc")</f>
        <v>@philip_vc</v>
      </c>
      <c r="C26728" s="8" t="s">
        <v>2199</v>
      </c>
      <c r="D26728" s="8">
        <v>3937</v>
      </c>
      <c r="E26728" s="8">
        <v>0</v>
      </c>
      <c r="F26728" s="8">
        <v>506</v>
      </c>
    </row>
    <row r="26729" spans="1:6" ht="12.75">
      <c r="A26729" s="8">
        <v>43892.463773148149</v>
      </c>
      <c r="B26729" s="8" t="str">
        <f>HYPERLINK("https://twitter.com/teddyforebong","@teddyforebong")</f>
        <v>@teddyforebong</v>
      </c>
      <c r="C26729" s="8" t="s">
        <v>10297</v>
      </c>
      <c r="D26729" s="8">
        <v>0</v>
      </c>
      <c r="E26729" s="8">
        <v>0</v>
      </c>
      <c r="F26729" s="8">
        <v>525</v>
      </c>
    </row>
    <row r="26730" spans="1:6" ht="12.75">
      <c r="A26730" s="8">
        <v>43892.463761574079</v>
      </c>
      <c r="B26730" s="8" t="str">
        <f>HYPERLINK("https://twitter.com/septialfauzy","@septialfauzy")</f>
        <v>@septialfauzy</v>
      </c>
      <c r="C26730" s="8" t="s">
        <v>10298</v>
      </c>
      <c r="D26730" s="8">
        <v>0</v>
      </c>
      <c r="E26730" s="8">
        <v>0</v>
      </c>
      <c r="F26730" s="8">
        <v>71</v>
      </c>
    </row>
    <row r="26731" spans="1:6" ht="12.75">
      <c r="A26731" s="8">
        <v>43892.46371527778</v>
      </c>
      <c r="B26731" s="8" t="str">
        <f>HYPERLINK("https://twitter.com/Hegie_bae","@Hegie_bae")</f>
        <v>@Hegie_bae</v>
      </c>
      <c r="C26731" s="8" t="s">
        <v>10299</v>
      </c>
      <c r="D26731" s="8">
        <v>2</v>
      </c>
      <c r="E26731" s="8">
        <v>0</v>
      </c>
      <c r="F26731" s="8">
        <v>402</v>
      </c>
    </row>
    <row r="26732" spans="1:6" ht="12.75">
      <c r="A26732" s="8">
        <v>43892.46361111111</v>
      </c>
      <c r="B26732" s="8" t="str">
        <f>HYPERLINK("https://twitter.com/EfelPrince","@EfelPrince")</f>
        <v>@EfelPrince</v>
      </c>
      <c r="C26732" s="8" t="s">
        <v>4235</v>
      </c>
      <c r="D26732" s="8">
        <v>1667</v>
      </c>
      <c r="E26732" s="8">
        <v>0</v>
      </c>
      <c r="F26732" s="8">
        <v>65</v>
      </c>
    </row>
    <row r="26733" spans="1:6" ht="12.75">
      <c r="A26733" s="8">
        <v>43892.463553240741</v>
      </c>
      <c r="B26733" s="8" t="str">
        <f>HYPERLINK("https://twitter.com/Armaone","@Armaone")</f>
        <v>@Armaone</v>
      </c>
      <c r="C26733" s="8" t="s">
        <v>4990</v>
      </c>
      <c r="D26733" s="8">
        <v>343</v>
      </c>
      <c r="E26733" s="8">
        <v>0</v>
      </c>
      <c r="F26733" s="8">
        <v>38</v>
      </c>
    </row>
    <row r="26734" spans="1:6" ht="12.75">
      <c r="A26734" s="8">
        <v>43892.463518518518</v>
      </c>
      <c r="B26734" s="8" t="str">
        <f>HYPERLINK("https://twitter.com/mampuskaoanjing","@mampuskaoanjing")</f>
        <v>@mampuskaoanjing</v>
      </c>
      <c r="C26734" s="8" t="s">
        <v>2199</v>
      </c>
      <c r="D26734" s="8">
        <v>3937</v>
      </c>
      <c r="E26734" s="8">
        <v>0</v>
      </c>
      <c r="F26734" s="8">
        <v>25</v>
      </c>
    </row>
    <row r="26735" spans="1:6" ht="12.75">
      <c r="A26735" s="8">
        <v>43892.463518518518</v>
      </c>
      <c r="B26735" s="8" t="str">
        <f>HYPERLINK("https://twitter.com/Endomi_goreng","@Endomi_goreng")</f>
        <v>@Endomi_goreng</v>
      </c>
      <c r="C26735" s="8" t="s">
        <v>2199</v>
      </c>
      <c r="D26735" s="8">
        <v>3937</v>
      </c>
      <c r="E26735" s="8">
        <v>0</v>
      </c>
      <c r="F26735" s="8">
        <v>1406</v>
      </c>
    </row>
    <row r="26736" spans="1:6" ht="12.75">
      <c r="A26736" s="8">
        <v>43892.463518518518</v>
      </c>
      <c r="B26736" s="8" t="str">
        <f>HYPERLINK("https://twitter.com/fitrisiaamyrta","@fitrisiaamyrta")</f>
        <v>@fitrisiaamyrta</v>
      </c>
      <c r="C26736" s="8" t="s">
        <v>2199</v>
      </c>
      <c r="D26736" s="8">
        <v>3937</v>
      </c>
      <c r="E26736" s="8">
        <v>0</v>
      </c>
      <c r="F26736" s="8">
        <v>239</v>
      </c>
    </row>
    <row r="26737" spans="1:6" ht="12.75">
      <c r="A26737" s="8">
        <v>43892.463495370372</v>
      </c>
      <c r="B26737" s="8" t="str">
        <f>HYPERLINK("https://twitter.com/iriawan_deddy","@iriawan_deddy")</f>
        <v>@iriawan_deddy</v>
      </c>
      <c r="C26737" s="8" t="s">
        <v>10300</v>
      </c>
      <c r="D26737" s="8">
        <v>0</v>
      </c>
      <c r="E26737" s="8">
        <v>0</v>
      </c>
      <c r="F26737" s="8">
        <v>41</v>
      </c>
    </row>
    <row r="26738" spans="1:6" ht="12.75">
      <c r="A26738" s="8">
        <v>43892.463472222225</v>
      </c>
      <c r="B26738" s="8" t="str">
        <f>HYPERLINK("https://twitter.com/Seblak__","@Seblak__")</f>
        <v>@Seblak__</v>
      </c>
      <c r="C26738" s="8" t="s">
        <v>4615</v>
      </c>
      <c r="D26738" s="8">
        <v>29</v>
      </c>
      <c r="E26738" s="8">
        <v>0</v>
      </c>
      <c r="F26738" s="8">
        <v>72</v>
      </c>
    </row>
    <row r="26739" spans="1:6" ht="12.75">
      <c r="A26739" s="8">
        <v>43892.463460648149</v>
      </c>
      <c r="B26739" s="8" t="str">
        <f>HYPERLINK("https://twitter.com/kuxxh_","@kuxxh_")</f>
        <v>@kuxxh_</v>
      </c>
      <c r="C26739" s="8" t="s">
        <v>2199</v>
      </c>
      <c r="D26739" s="8">
        <v>3937</v>
      </c>
      <c r="E26739" s="8">
        <v>0</v>
      </c>
      <c r="F26739" s="8">
        <v>349</v>
      </c>
    </row>
    <row r="26740" spans="1:6" ht="12.75">
      <c r="A26740" s="8">
        <v>43892.463449074072</v>
      </c>
      <c r="B26740" s="8" t="str">
        <f>HYPERLINK("https://twitter.com/irdatnh","@irdatnh")</f>
        <v>@irdatnh</v>
      </c>
      <c r="C26740" s="8" t="s">
        <v>10295</v>
      </c>
      <c r="D26740" s="8">
        <v>122</v>
      </c>
      <c r="E26740" s="8">
        <v>0</v>
      </c>
      <c r="F26740" s="8">
        <v>196</v>
      </c>
    </row>
    <row r="26741" spans="1:6" ht="12.75">
      <c r="A26741" s="8">
        <v>43892.463425925926</v>
      </c>
      <c r="B26741" s="8" t="str">
        <f>HYPERLINK("https://twitter.com/iz_wni","@iz_wni")</f>
        <v>@iz_wni</v>
      </c>
      <c r="C26741" s="8" t="s">
        <v>10301</v>
      </c>
      <c r="D26741" s="8">
        <v>1075</v>
      </c>
      <c r="E26741" s="8">
        <v>0</v>
      </c>
      <c r="F26741" s="8">
        <v>86</v>
      </c>
    </row>
    <row r="26742" spans="1:6" ht="12.75">
      <c r="A26742" s="8">
        <v>43892.463368055556</v>
      </c>
      <c r="B26742" s="8" t="str">
        <f>HYPERLINK("https://twitter.com/ItsMyRealQuotes","@ItsMyRealQuotes")</f>
        <v>@ItsMyRealQuotes</v>
      </c>
      <c r="C26742" s="8" t="s">
        <v>10302</v>
      </c>
      <c r="D26742" s="8">
        <v>0</v>
      </c>
      <c r="E26742" s="8">
        <v>0</v>
      </c>
      <c r="F26742" s="8">
        <v>186121</v>
      </c>
    </row>
    <row r="26743" spans="1:6" ht="12.75">
      <c r="A26743" s="8">
        <v>43892.463356481487</v>
      </c>
      <c r="B26743" s="8" t="str">
        <f>HYPERLINK("https://twitter.com/Insangcacing","@Insangcacing")</f>
        <v>@Insangcacing</v>
      </c>
      <c r="C26743" s="8" t="s">
        <v>2199</v>
      </c>
      <c r="D26743" s="8">
        <v>3937</v>
      </c>
      <c r="E26743" s="8">
        <v>0</v>
      </c>
      <c r="F26743" s="8">
        <v>60</v>
      </c>
    </row>
    <row r="26744" spans="1:6" ht="12.75">
      <c r="A26744" s="8">
        <v>43892.463310185187</v>
      </c>
      <c r="B26744" s="8" t="str">
        <f>HYPERLINK("https://twitter.com/paspelopornews","@paspelopornews")</f>
        <v>@paspelopornews</v>
      </c>
      <c r="C26744" s="8" t="s">
        <v>10303</v>
      </c>
      <c r="D26744" s="8">
        <v>0</v>
      </c>
      <c r="E26744" s="8">
        <v>0</v>
      </c>
      <c r="F26744" s="8">
        <v>5</v>
      </c>
    </row>
    <row r="26745" spans="1:6" ht="12.75">
      <c r="A26745" s="8">
        <v>43892.46329861111</v>
      </c>
      <c r="B26745" s="8" t="str">
        <f>HYPERLINK("https://twitter.com/situngkirbrian","@situngkirbrian")</f>
        <v>@situngkirbrian</v>
      </c>
      <c r="C26745" s="8" t="s">
        <v>7766</v>
      </c>
      <c r="D26745" s="8">
        <v>34</v>
      </c>
      <c r="E26745" s="8">
        <v>0</v>
      </c>
      <c r="F26745" s="8">
        <v>316</v>
      </c>
    </row>
    <row r="26746" spans="1:6" ht="12.75">
      <c r="A26746" s="8">
        <v>43892.46329861111</v>
      </c>
      <c r="B26746" s="8" t="str">
        <f>HYPERLINK("https://twitter.com/txpsl_twt","@txpsl_twt")</f>
        <v>@txpsl_twt</v>
      </c>
      <c r="C26746" s="8" t="s">
        <v>10263</v>
      </c>
      <c r="D26746" s="8">
        <v>17</v>
      </c>
      <c r="E26746" s="8">
        <v>0</v>
      </c>
      <c r="F26746" s="8">
        <v>1237</v>
      </c>
    </row>
    <row r="26747" spans="1:6" ht="12.75">
      <c r="A26747" s="8">
        <v>43892.463263888887</v>
      </c>
      <c r="B26747" s="8" t="str">
        <f>HYPERLINK("https://twitter.com/krismastopo","@krismastopo")</f>
        <v>@krismastopo</v>
      </c>
      <c r="C26747" s="8" t="s">
        <v>7461</v>
      </c>
      <c r="D26747" s="8">
        <v>19</v>
      </c>
      <c r="E26747" s="8">
        <v>0</v>
      </c>
      <c r="F26747" s="8">
        <v>68</v>
      </c>
    </row>
    <row r="26748" spans="1:6" ht="12.75">
      <c r="A26748" s="8">
        <v>43892.463252314818</v>
      </c>
      <c r="B26748" s="8" t="str">
        <f>HYPERLINK("https://twitter.com/Dani_BKR","@Dani_BKR")</f>
        <v>@Dani_BKR</v>
      </c>
      <c r="C26748" s="8" t="s">
        <v>10304</v>
      </c>
      <c r="D26748" s="8">
        <v>0</v>
      </c>
      <c r="E26748" s="8">
        <v>0</v>
      </c>
      <c r="F26748" s="8">
        <v>1918</v>
      </c>
    </row>
    <row r="26749" spans="1:6" ht="12.75">
      <c r="A26749" s="8">
        <v>43892.463229166664</v>
      </c>
      <c r="B26749" s="8" t="str">
        <f>HYPERLINK("https://twitter.com/Aksnow_27","@Aksnow_27")</f>
        <v>@Aksnow_27</v>
      </c>
      <c r="C26749" s="8" t="s">
        <v>4150</v>
      </c>
      <c r="D26749" s="8">
        <v>289</v>
      </c>
      <c r="E26749" s="8">
        <v>0</v>
      </c>
      <c r="F26749" s="8">
        <v>114</v>
      </c>
    </row>
    <row r="26750" spans="1:6" ht="12.75">
      <c r="A26750" s="8">
        <v>43892.463217592594</v>
      </c>
      <c r="B26750" s="8" t="str">
        <f>HYPERLINK("https://twitter.com/sipilbersenjata","@sipilbersenjata")</f>
        <v>@sipilbersenjata</v>
      </c>
      <c r="C26750" s="8" t="s">
        <v>5732</v>
      </c>
      <c r="D26750" s="8">
        <v>1127</v>
      </c>
      <c r="E26750" s="8">
        <v>0</v>
      </c>
      <c r="F26750" s="8">
        <v>82</v>
      </c>
    </row>
    <row r="26751" spans="1:6" ht="12.75">
      <c r="A26751" s="8">
        <v>43892.463113425925</v>
      </c>
      <c r="B26751" s="8" t="str">
        <f>HYPERLINK("https://twitter.com/fazzarahmad","@fazzarahmad")</f>
        <v>@fazzarahmad</v>
      </c>
      <c r="C26751" s="8" t="s">
        <v>10305</v>
      </c>
      <c r="D26751" s="8">
        <v>0</v>
      </c>
      <c r="E26751" s="8">
        <v>0</v>
      </c>
      <c r="F26751" s="8">
        <v>85</v>
      </c>
    </row>
    <row r="26752" spans="1:6" ht="12.75">
      <c r="A26752" s="8">
        <v>43892.463020833333</v>
      </c>
      <c r="B26752" s="8" t="str">
        <f>HYPERLINK("https://twitter.com/MJThariq","@MJThariq")</f>
        <v>@MJThariq</v>
      </c>
      <c r="C26752" s="8" t="s">
        <v>2272</v>
      </c>
      <c r="D26752" s="8">
        <v>977</v>
      </c>
      <c r="E26752" s="8">
        <v>0</v>
      </c>
      <c r="F26752" s="8">
        <v>42</v>
      </c>
    </row>
    <row r="26753" spans="1:6" ht="12.75">
      <c r="A26753" s="8">
        <v>43892.463009259256</v>
      </c>
      <c r="B26753" s="8" t="str">
        <f>HYPERLINK("https://twitter.com/miladi_fahmi","@miladi_fahmi")</f>
        <v>@miladi_fahmi</v>
      </c>
      <c r="C26753" s="8" t="s">
        <v>9856</v>
      </c>
      <c r="D26753" s="8">
        <v>9</v>
      </c>
      <c r="E26753" s="8">
        <v>0</v>
      </c>
      <c r="F26753" s="8">
        <v>2339</v>
      </c>
    </row>
    <row r="26754" spans="1:6" ht="12.75">
      <c r="A26754" s="8">
        <v>43892.463009259256</v>
      </c>
      <c r="B26754" s="8" t="str">
        <f>HYPERLINK("https://twitter.com/KurniawanWa2n","@KurniawanWa2n")</f>
        <v>@KurniawanWa2n</v>
      </c>
      <c r="C26754" s="8" t="s">
        <v>3648</v>
      </c>
      <c r="D26754" s="8">
        <v>265</v>
      </c>
      <c r="E26754" s="8">
        <v>0</v>
      </c>
      <c r="F26754" s="8">
        <v>282</v>
      </c>
    </row>
    <row r="26755" spans="1:6" ht="12.75">
      <c r="A26755" s="8">
        <v>43892.462858796294</v>
      </c>
      <c r="B26755" s="8" t="str">
        <f>HYPERLINK("https://twitter.com/simanjuntak_eni","@simanjuntak_eni")</f>
        <v>@simanjuntak_eni</v>
      </c>
      <c r="C26755" s="8" t="s">
        <v>10306</v>
      </c>
      <c r="D26755" s="8">
        <v>1</v>
      </c>
      <c r="E26755" s="8">
        <v>0</v>
      </c>
      <c r="F26755" s="8">
        <v>4</v>
      </c>
    </row>
    <row r="26756" spans="1:6" ht="12.75">
      <c r="A26756" s="8">
        <v>43892.462812500002</v>
      </c>
      <c r="B26756" s="8" t="str">
        <f>HYPERLINK("https://twitter.com/yandiyaann_","@yandiyaann_")</f>
        <v>@yandiyaann_</v>
      </c>
      <c r="C26756" s="8" t="s">
        <v>2199</v>
      </c>
      <c r="D26756" s="8">
        <v>3937</v>
      </c>
      <c r="E26756" s="8">
        <v>0</v>
      </c>
      <c r="F26756" s="8">
        <v>439</v>
      </c>
    </row>
    <row r="26757" spans="1:6" ht="12.75">
      <c r="A26757" s="8">
        <v>43892.462812500002</v>
      </c>
      <c r="B26757" s="8" t="str">
        <f>HYPERLINK("https://twitter.com/beatrice_health","@beatrice_health")</f>
        <v>@beatrice_health</v>
      </c>
      <c r="C26757" s="8" t="s">
        <v>3648</v>
      </c>
      <c r="D26757" s="8">
        <v>265</v>
      </c>
      <c r="E26757" s="8">
        <v>0</v>
      </c>
      <c r="F26757" s="8">
        <v>474</v>
      </c>
    </row>
    <row r="26758" spans="1:6" ht="12.75">
      <c r="A26758" s="8">
        <v>43892.462777777779</v>
      </c>
      <c r="B26758" s="8" t="str">
        <f>HYPERLINK("https://twitter.com/seagull_kookoo","@seagull_kookoo")</f>
        <v>@seagull_kookoo</v>
      </c>
      <c r="C26758" s="8" t="s">
        <v>3648</v>
      </c>
      <c r="D26758" s="8">
        <v>265</v>
      </c>
      <c r="E26758" s="8">
        <v>0</v>
      </c>
      <c r="F26758" s="8">
        <v>877</v>
      </c>
    </row>
    <row r="26759" spans="1:6" ht="12.75">
      <c r="A26759" s="8">
        <v>43892.462777777779</v>
      </c>
      <c r="B26759" s="8" t="str">
        <f>HYPERLINK("https://twitter.com/ariftivity","@ariftivity")</f>
        <v>@ariftivity</v>
      </c>
      <c r="C26759" s="8" t="s">
        <v>10307</v>
      </c>
      <c r="D26759" s="8">
        <v>6</v>
      </c>
      <c r="E26759" s="8">
        <v>0</v>
      </c>
      <c r="F26759" s="8">
        <v>416</v>
      </c>
    </row>
    <row r="26760" spans="1:6" ht="12.75">
      <c r="A26760" s="8">
        <v>43892.462731481486</v>
      </c>
      <c r="B26760" s="8" t="str">
        <f>HYPERLINK("https://twitter.com/abdullah201179","@abdullah201179")</f>
        <v>@abdullah201179</v>
      </c>
      <c r="C26760" s="8" t="s">
        <v>5732</v>
      </c>
      <c r="D26760" s="8">
        <v>1127</v>
      </c>
      <c r="E26760" s="8">
        <v>0</v>
      </c>
      <c r="F26760" s="8">
        <v>524</v>
      </c>
    </row>
    <row r="26761" spans="1:6" ht="12.75">
      <c r="A26761" s="8">
        <v>43892.462731481486</v>
      </c>
      <c r="B26761" s="8" t="str">
        <f>HYPERLINK("https://twitter.com/Hegie_bae","@Hegie_bae")</f>
        <v>@Hegie_bae</v>
      </c>
      <c r="C26761" s="8" t="s">
        <v>10308</v>
      </c>
      <c r="D26761" s="8">
        <v>1</v>
      </c>
      <c r="E26761" s="8">
        <v>0</v>
      </c>
      <c r="F26761" s="8">
        <v>402</v>
      </c>
    </row>
    <row r="26762" spans="1:6" ht="12.75">
      <c r="A26762" s="8">
        <v>43892.462731481486</v>
      </c>
      <c r="B26762" s="8" t="str">
        <f>HYPERLINK("https://twitter.com/gatot30","@gatot30")</f>
        <v>@gatot30</v>
      </c>
      <c r="C26762" s="8" t="s">
        <v>7704</v>
      </c>
      <c r="D26762" s="8">
        <v>274</v>
      </c>
      <c r="E26762" s="8">
        <v>0</v>
      </c>
      <c r="F26762" s="8">
        <v>918</v>
      </c>
    </row>
    <row r="26763" spans="1:6" ht="12.75">
      <c r="A26763" s="8">
        <v>43892.462719907402</v>
      </c>
      <c r="B26763" s="8" t="str">
        <f>HYPERLINK("https://twitter.com/Mr_jacx","@Mr_jacx")</f>
        <v>@Mr_jacx</v>
      </c>
      <c r="C26763" s="8" t="s">
        <v>4150</v>
      </c>
      <c r="D26763" s="8">
        <v>289</v>
      </c>
      <c r="E26763" s="8">
        <v>0</v>
      </c>
      <c r="F26763" s="8">
        <v>322</v>
      </c>
    </row>
    <row r="26764" spans="1:6" ht="12.75">
      <c r="A26764" s="8">
        <v>43892.462708333333</v>
      </c>
      <c r="B26764" s="8" t="str">
        <f>HYPERLINK("https://twitter.com/itsagirl20","@itsagirl20")</f>
        <v>@itsagirl20</v>
      </c>
      <c r="C26764" s="8" t="s">
        <v>10309</v>
      </c>
      <c r="D26764" s="8">
        <v>2</v>
      </c>
      <c r="E26764" s="8">
        <v>0</v>
      </c>
      <c r="F26764" s="8">
        <v>327</v>
      </c>
    </row>
    <row r="26765" spans="1:6" ht="12.75">
      <c r="A26765" s="8">
        <v>43892.462685185186</v>
      </c>
      <c r="B26765" s="8" t="str">
        <f>HYPERLINK("https://twitter.com/m_fakhrurrrozi","@m_fakhrurrrozi")</f>
        <v>@m_fakhrurrrozi</v>
      </c>
      <c r="C26765" s="8" t="s">
        <v>2199</v>
      </c>
      <c r="D26765" s="8">
        <v>3937</v>
      </c>
      <c r="E26765" s="8">
        <v>0</v>
      </c>
      <c r="F26765" s="8">
        <v>667</v>
      </c>
    </row>
    <row r="26766" spans="1:6" ht="12.75">
      <c r="A26766" s="8">
        <v>43892.462685185186</v>
      </c>
      <c r="B26766" s="8" t="str">
        <f>HYPERLINK("https://twitter.com/KDroneHunter","@KDroneHunter")</f>
        <v>@KDroneHunter</v>
      </c>
      <c r="C26766" s="8" t="s">
        <v>10310</v>
      </c>
      <c r="D26766" s="8">
        <v>0</v>
      </c>
      <c r="E26766" s="8">
        <v>0</v>
      </c>
      <c r="F26766" s="8">
        <v>142</v>
      </c>
    </row>
    <row r="26767" spans="1:6" ht="12.75">
      <c r="A26767" s="8">
        <v>43892.462627314817</v>
      </c>
      <c r="B26767" s="8" t="str">
        <f>HYPERLINK("https://twitter.com/BagusArdithyo","@BagusArdithyo")</f>
        <v>@BagusArdithyo</v>
      </c>
      <c r="C26767" s="8" t="s">
        <v>10311</v>
      </c>
      <c r="D26767" s="8">
        <v>0</v>
      </c>
      <c r="E26767" s="8">
        <v>0</v>
      </c>
      <c r="F26767" s="8">
        <v>272</v>
      </c>
    </row>
    <row r="26768" spans="1:6" ht="12.75">
      <c r="A26768" s="8">
        <v>43892.462627314817</v>
      </c>
      <c r="B26768" s="8" t="str">
        <f>HYPERLINK("https://twitter.com/seagull_kookoo","@seagull_kookoo")</f>
        <v>@seagull_kookoo</v>
      </c>
      <c r="C26768" s="8" t="s">
        <v>5732</v>
      </c>
      <c r="D26768" s="8">
        <v>1127</v>
      </c>
      <c r="E26768" s="8">
        <v>0</v>
      </c>
      <c r="F26768" s="8">
        <v>877</v>
      </c>
    </row>
    <row r="26769" spans="1:6" ht="12.75">
      <c r="A26769" s="8">
        <v>43892.46261574074</v>
      </c>
      <c r="B26769" s="8" t="str">
        <f>HYPERLINK("https://twitter.com/sdhanes","@sdhanes")</f>
        <v>@sdhanes</v>
      </c>
      <c r="C26769" s="8" t="s">
        <v>4150</v>
      </c>
      <c r="D26769" s="8">
        <v>289</v>
      </c>
      <c r="E26769" s="8">
        <v>0</v>
      </c>
      <c r="F26769" s="8">
        <v>180</v>
      </c>
    </row>
    <row r="26770" spans="1:6" ht="12.75">
      <c r="A26770" s="8">
        <v>43892.46261574074</v>
      </c>
      <c r="B26770" s="8" t="str">
        <f>HYPERLINK("https://twitter.com/junet_ndalem","@junet_ndalem")</f>
        <v>@junet_ndalem</v>
      </c>
      <c r="C26770" s="8" t="s">
        <v>5732</v>
      </c>
      <c r="D26770" s="8">
        <v>1127</v>
      </c>
      <c r="E26770" s="8">
        <v>0</v>
      </c>
      <c r="F26770" s="8">
        <v>455</v>
      </c>
    </row>
    <row r="26771" spans="1:6" ht="12.75">
      <c r="A26771" s="8">
        <v>43892.462557870371</v>
      </c>
      <c r="B26771" s="8" t="str">
        <f>HYPERLINK("https://twitter.com/MRPJCfriends","@MRPJCfriends")</f>
        <v>@MRPJCfriends</v>
      </c>
      <c r="C26771" s="8" t="s">
        <v>2199</v>
      </c>
      <c r="D26771" s="8">
        <v>3937</v>
      </c>
      <c r="E26771" s="8">
        <v>0</v>
      </c>
      <c r="F26771" s="8">
        <v>558</v>
      </c>
    </row>
    <row r="26772" spans="1:6" ht="12.75">
      <c r="A26772" s="8">
        <v>43892.462442129632</v>
      </c>
      <c r="B26772" s="8" t="str">
        <f>HYPERLINK("https://twitter.com/hgberry","@hgberry")</f>
        <v>@hgberry</v>
      </c>
      <c r="C26772" s="8" t="s">
        <v>10312</v>
      </c>
      <c r="D26772" s="8">
        <v>7</v>
      </c>
      <c r="E26772" s="8">
        <v>0</v>
      </c>
      <c r="F26772" s="8">
        <v>1650</v>
      </c>
    </row>
    <row r="26773" spans="1:6" ht="12.75">
      <c r="A26773" s="8">
        <v>43892.462442129632</v>
      </c>
      <c r="B26773" s="8" t="str">
        <f>HYPERLINK("https://twitter.com/helzariona","@helzariona")</f>
        <v>@helzariona</v>
      </c>
      <c r="C26773" s="8" t="s">
        <v>10313</v>
      </c>
      <c r="D26773" s="8">
        <v>8</v>
      </c>
      <c r="E26773" s="8">
        <v>0</v>
      </c>
      <c r="F26773" s="8">
        <v>299</v>
      </c>
    </row>
    <row r="26774" spans="1:6" ht="12.75">
      <c r="A26774" s="8">
        <v>43892.462407407409</v>
      </c>
      <c r="B26774" s="8" t="str">
        <f>HYPERLINK("https://twitter.com/nisrinarfh","@nisrinarfh")</f>
        <v>@nisrinarfh</v>
      </c>
      <c r="C26774" s="8" t="s">
        <v>1749</v>
      </c>
      <c r="D26774" s="8">
        <v>116</v>
      </c>
      <c r="E26774" s="8">
        <v>0</v>
      </c>
      <c r="F26774" s="8">
        <v>508</v>
      </c>
    </row>
    <row r="26775" spans="1:6" ht="12.75">
      <c r="A26775" s="8">
        <v>43892.462384259255</v>
      </c>
      <c r="B26775" s="8" t="str">
        <f>HYPERLINK("https://twitter.com/GateJannah","@GateJannah")</f>
        <v>@GateJannah</v>
      </c>
      <c r="C26775" s="8" t="s">
        <v>9153</v>
      </c>
      <c r="D26775" s="8">
        <v>89</v>
      </c>
      <c r="E26775" s="8">
        <v>0</v>
      </c>
      <c r="F26775" s="8">
        <v>920</v>
      </c>
    </row>
    <row r="26776" spans="1:6" ht="12.75">
      <c r="A26776" s="8">
        <v>43892.462372685186</v>
      </c>
      <c r="B26776" s="8" t="str">
        <f>HYPERLINK("https://twitter.com/hgberry","@hgberry")</f>
        <v>@hgberry</v>
      </c>
      <c r="C26776" s="8" t="s">
        <v>10314</v>
      </c>
      <c r="D26776" s="8">
        <v>13</v>
      </c>
      <c r="E26776" s="8">
        <v>0</v>
      </c>
      <c r="F26776" s="8">
        <v>1650</v>
      </c>
    </row>
    <row r="26777" spans="1:6" ht="12.75">
      <c r="A26777" s="8">
        <v>43892.46230324074</v>
      </c>
      <c r="B26777" s="8" t="str">
        <f>HYPERLINK("https://twitter.com/ichachaf_","@ichachaf_")</f>
        <v>@ichachaf_</v>
      </c>
      <c r="C26777" s="8" t="s">
        <v>4615</v>
      </c>
      <c r="D26777" s="8">
        <v>29</v>
      </c>
      <c r="E26777" s="8">
        <v>0</v>
      </c>
      <c r="F26777" s="8">
        <v>220</v>
      </c>
    </row>
    <row r="26778" spans="1:6" ht="12.75">
      <c r="A26778" s="8">
        <v>43892.462210648147</v>
      </c>
      <c r="B26778" s="8" t="str">
        <f>HYPERLINK("https://twitter.com/Vousmevoyou27","@Vousmevoyou27")</f>
        <v>@Vousmevoyou27</v>
      </c>
      <c r="C26778" s="8" t="s">
        <v>9910</v>
      </c>
      <c r="D26778" s="8">
        <v>239</v>
      </c>
      <c r="E26778" s="8">
        <v>0</v>
      </c>
      <c r="F26778" s="8">
        <v>891</v>
      </c>
    </row>
    <row r="26779" spans="1:6" ht="12.75">
      <c r="A26779" s="8">
        <v>43892.462164351848</v>
      </c>
      <c r="B26779" s="8" t="str">
        <f>HYPERLINK("https://twitter.com/safirasalma_","@safirasalma_")</f>
        <v>@safirasalma_</v>
      </c>
      <c r="C26779" s="8" t="s">
        <v>2199</v>
      </c>
      <c r="D26779" s="8">
        <v>3937</v>
      </c>
      <c r="E26779" s="8">
        <v>0</v>
      </c>
      <c r="F26779" s="8">
        <v>561</v>
      </c>
    </row>
    <row r="26780" spans="1:6" ht="12.75">
      <c r="A26780" s="8">
        <v>43892.423472222217</v>
      </c>
      <c r="B26780" s="8" t="str">
        <f>HYPERLINK("https://twitter.com/aripurw1976","@aripurw1976")</f>
        <v>@aripurw1976</v>
      </c>
      <c r="C26780" s="8" t="s">
        <v>3850</v>
      </c>
      <c r="D26780" s="8">
        <v>1269</v>
      </c>
      <c r="E26780" s="8">
        <v>0</v>
      </c>
      <c r="F26780" s="8">
        <v>51</v>
      </c>
    </row>
    <row r="26781" spans="1:6" ht="12.75">
      <c r="A26781" s="8">
        <v>43892.423460648148</v>
      </c>
      <c r="B26781" s="8" t="str">
        <f>HYPERLINK("https://twitter.com/Pheotha","@Pheotha")</f>
        <v>@Pheotha</v>
      </c>
      <c r="C26781" s="8" t="s">
        <v>2199</v>
      </c>
      <c r="D26781" s="8">
        <v>3420</v>
      </c>
      <c r="E26781" s="8">
        <v>0</v>
      </c>
      <c r="F26781" s="8">
        <v>484</v>
      </c>
    </row>
    <row r="26782" spans="1:6" ht="12.75">
      <c r="A26782" s="8">
        <v>43892.423449074078</v>
      </c>
      <c r="B26782" s="8" t="str">
        <f>HYPERLINK("https://twitter.com/flomaria02","@flomaria02")</f>
        <v>@flomaria02</v>
      </c>
      <c r="C26782" s="8" t="s">
        <v>10315</v>
      </c>
      <c r="D26782" s="8">
        <v>7</v>
      </c>
      <c r="E26782" s="8">
        <v>0</v>
      </c>
      <c r="F26782" s="8">
        <v>229</v>
      </c>
    </row>
    <row r="26783" spans="1:6" ht="12.75">
      <c r="A26783" s="8">
        <v>43892.423414351855</v>
      </c>
      <c r="B26783" s="8" t="str">
        <f>HYPERLINK("https://twitter.com/eufroshine","@eufroshine")</f>
        <v>@eufroshine</v>
      </c>
      <c r="C26783" s="8" t="s">
        <v>2199</v>
      </c>
      <c r="D26783" s="8">
        <v>3420</v>
      </c>
      <c r="E26783" s="8">
        <v>0</v>
      </c>
      <c r="F26783" s="8">
        <v>1106</v>
      </c>
    </row>
    <row r="26784" spans="1:6" ht="12.75">
      <c r="A26784" s="8">
        <v>43892.423402777778</v>
      </c>
      <c r="B26784" s="8" t="str">
        <f>HYPERLINK("https://twitter.com/aliandotcomm","@aliandotcomm")</f>
        <v>@aliandotcomm</v>
      </c>
      <c r="C26784" s="8" t="s">
        <v>5732</v>
      </c>
      <c r="D26784" s="8">
        <v>1005</v>
      </c>
      <c r="E26784" s="8">
        <v>0</v>
      </c>
      <c r="F26784" s="8">
        <v>459</v>
      </c>
    </row>
    <row r="26785" spans="1:6" ht="12.75">
      <c r="A26785" s="8">
        <v>43892.423287037032</v>
      </c>
      <c r="B26785" s="8" t="str">
        <f>HYPERLINK("https://twitter.com/nikensho13","@nikensho13")</f>
        <v>@nikensho13</v>
      </c>
      <c r="C26785" s="8" t="s">
        <v>4990</v>
      </c>
      <c r="D26785" s="8">
        <v>323</v>
      </c>
      <c r="E26785" s="8">
        <v>0</v>
      </c>
      <c r="F26785" s="8">
        <v>180</v>
      </c>
    </row>
    <row r="26786" spans="1:6" ht="12.75">
      <c r="A26786" s="8">
        <v>43892.423263888893</v>
      </c>
      <c r="B26786" s="8" t="str">
        <f>HYPERLINK("https://twitter.com/ssarmul","@ssarmul")</f>
        <v>@ssarmul</v>
      </c>
      <c r="C26786" s="8" t="s">
        <v>2199</v>
      </c>
      <c r="D26786" s="8">
        <v>3420</v>
      </c>
      <c r="E26786" s="8">
        <v>0</v>
      </c>
      <c r="F26786" s="8">
        <v>1780</v>
      </c>
    </row>
    <row r="26787" spans="1:6" ht="12.75">
      <c r="A26787" s="8">
        <v>43892.423125000001</v>
      </c>
      <c r="B26787" s="8" t="str">
        <f>HYPERLINK("https://twitter.com/CastilloJoshima","@CastilloJoshima")</f>
        <v>@CastilloJoshima</v>
      </c>
      <c r="C26787" s="8" t="s">
        <v>10316</v>
      </c>
      <c r="D26787" s="8">
        <v>1</v>
      </c>
      <c r="E26787" s="8">
        <v>0</v>
      </c>
      <c r="F26787" s="8">
        <v>5441</v>
      </c>
    </row>
    <row r="26788" spans="1:6" ht="12.75">
      <c r="A26788" s="8">
        <v>43892.423032407409</v>
      </c>
      <c r="B26788" s="8" t="str">
        <f>HYPERLINK("https://twitter.com/andy26__","@andy26__")</f>
        <v>@andy26__</v>
      </c>
      <c r="C26788" s="8" t="s">
        <v>6542</v>
      </c>
      <c r="D26788" s="8">
        <v>191</v>
      </c>
      <c r="E26788" s="8">
        <v>0</v>
      </c>
      <c r="F26788" s="8">
        <v>38</v>
      </c>
    </row>
    <row r="26789" spans="1:6" ht="12.75">
      <c r="A26789" s="8">
        <v>43892.422893518524</v>
      </c>
      <c r="B26789" s="8" t="str">
        <f>HYPERLINK("https://twitter.com/waangsed","@waangsed")</f>
        <v>@waangsed</v>
      </c>
      <c r="C26789" s="8" t="s">
        <v>2199</v>
      </c>
      <c r="D26789" s="8">
        <v>3420</v>
      </c>
      <c r="E26789" s="8">
        <v>0</v>
      </c>
      <c r="F26789" s="8">
        <v>135</v>
      </c>
    </row>
    <row r="26790" spans="1:6" ht="12.75">
      <c r="A26790" s="8">
        <v>43892.42288194444</v>
      </c>
      <c r="B26790" s="8" t="str">
        <f>HYPERLINK("https://twitter.com/serpihansemesta","@serpihansemesta")</f>
        <v>@serpihansemesta</v>
      </c>
      <c r="C26790" s="8" t="s">
        <v>5732</v>
      </c>
      <c r="D26790" s="8">
        <v>1005</v>
      </c>
      <c r="E26790" s="8">
        <v>0</v>
      </c>
      <c r="F26790" s="8">
        <v>427</v>
      </c>
    </row>
    <row r="26791" spans="1:6" ht="12.75">
      <c r="A26791" s="8">
        <v>43892.422789351855</v>
      </c>
      <c r="B26791" s="8" t="str">
        <f>HYPERLINK("https://twitter.com/blawzop","@blawzop")</f>
        <v>@blawzop</v>
      </c>
      <c r="C26791" s="8" t="s">
        <v>2199</v>
      </c>
      <c r="D26791" s="8">
        <v>3420</v>
      </c>
      <c r="E26791" s="8">
        <v>0</v>
      </c>
      <c r="F26791" s="8">
        <v>6460</v>
      </c>
    </row>
    <row r="26792" spans="1:6" ht="12.75">
      <c r="A26792" s="8">
        <v>43892.422789351855</v>
      </c>
      <c r="B26792" s="8" t="str">
        <f>HYPERLINK("https://twitter.com/DawdeeViealy","@DawdeeViealy")</f>
        <v>@DawdeeViealy</v>
      </c>
      <c r="C26792" s="8" t="s">
        <v>10317</v>
      </c>
      <c r="D26792" s="8">
        <v>11</v>
      </c>
      <c r="E26792" s="8">
        <v>0</v>
      </c>
      <c r="F26792" s="8">
        <v>35</v>
      </c>
    </row>
    <row r="26793" spans="1:6" ht="12.75">
      <c r="A26793" s="8">
        <v>43892.422789351855</v>
      </c>
      <c r="B26793" s="8" t="str">
        <f>HYPERLINK("https://twitter.com/AlberaD5","@AlberaD5")</f>
        <v>@AlberaD5</v>
      </c>
      <c r="C26793" s="8" t="s">
        <v>10318</v>
      </c>
      <c r="D26793" s="8">
        <v>23</v>
      </c>
      <c r="E26793" s="8">
        <v>0</v>
      </c>
      <c r="F26793" s="8">
        <v>1769</v>
      </c>
    </row>
    <row r="26794" spans="1:6" ht="12.75">
      <c r="A26794" s="8">
        <v>43892.422719907408</v>
      </c>
      <c r="B26794" s="8" t="str">
        <f>HYPERLINK("https://twitter.com/anubiii_","@anubiii_")</f>
        <v>@anubiii_</v>
      </c>
      <c r="C26794" s="8" t="s">
        <v>2199</v>
      </c>
      <c r="D26794" s="8">
        <v>3420</v>
      </c>
      <c r="E26794" s="8">
        <v>0</v>
      </c>
      <c r="F26794" s="8">
        <v>17</v>
      </c>
    </row>
    <row r="26795" spans="1:6" ht="12.75">
      <c r="A26795" s="8">
        <v>43892.422708333332</v>
      </c>
      <c r="B26795" s="8" t="str">
        <f>HYPERLINK("https://twitter.com/AgusSup39011241","@AgusSup39011241")</f>
        <v>@AgusSup39011241</v>
      </c>
      <c r="C26795" s="8" t="s">
        <v>10319</v>
      </c>
      <c r="D26795" s="8">
        <v>2</v>
      </c>
      <c r="E26795" s="8">
        <v>0</v>
      </c>
      <c r="F26795" s="8">
        <v>10430</v>
      </c>
    </row>
    <row r="26796" spans="1:6" ht="12.75">
      <c r="A26796" s="8">
        <v>43892.422592592593</v>
      </c>
      <c r="B26796" s="8" t="str">
        <f>HYPERLINK("https://twitter.com/beechinrach","@beechinrach")</f>
        <v>@beechinrach</v>
      </c>
      <c r="C26796" s="8" t="s">
        <v>2199</v>
      </c>
      <c r="D26796" s="8">
        <v>3420</v>
      </c>
      <c r="E26796" s="8">
        <v>0</v>
      </c>
      <c r="F26796" s="8">
        <v>476</v>
      </c>
    </row>
    <row r="26797" spans="1:6" ht="12.75">
      <c r="A26797" s="8">
        <v>43892.42255787037</v>
      </c>
      <c r="B26797" s="8" t="str">
        <f>HYPERLINK("https://twitter.com/aeya_hayhay","@aeya_hayhay")</f>
        <v>@aeya_hayhay</v>
      </c>
      <c r="C26797" s="8" t="s">
        <v>2199</v>
      </c>
      <c r="D26797" s="8">
        <v>3420</v>
      </c>
      <c r="E26797" s="8">
        <v>0</v>
      </c>
      <c r="F26797" s="8">
        <v>124</v>
      </c>
    </row>
    <row r="26798" spans="1:6" ht="12.75">
      <c r="A26798" s="8">
        <v>43892.42255787037</v>
      </c>
      <c r="B26798" s="8" t="str">
        <f>HYPERLINK("https://twitter.com/Benysap73692697","@Benysap73692697")</f>
        <v>@Benysap73692697</v>
      </c>
      <c r="C26798" s="8" t="s">
        <v>9729</v>
      </c>
      <c r="D26798" s="8">
        <v>138</v>
      </c>
      <c r="E26798" s="8">
        <v>0</v>
      </c>
      <c r="F26798" s="8">
        <v>247</v>
      </c>
    </row>
    <row r="26799" spans="1:6" ht="12.75">
      <c r="A26799" s="8">
        <v>43892.422523148147</v>
      </c>
      <c r="B26799" s="8" t="str">
        <f>HYPERLINK("https://twitter.com/bayukrisworo","@bayukrisworo")</f>
        <v>@bayukrisworo</v>
      </c>
      <c r="C26799" s="8" t="s">
        <v>2199</v>
      </c>
      <c r="D26799" s="8">
        <v>3420</v>
      </c>
      <c r="E26799" s="8">
        <v>0</v>
      </c>
      <c r="F26799" s="8">
        <v>275</v>
      </c>
    </row>
    <row r="26800" spans="1:6" ht="12.75">
      <c r="A26800" s="8">
        <v>43892.422523148147</v>
      </c>
      <c r="B26800" s="8" t="str">
        <f>HYPERLINK("https://twitter.com/Nusantara_TV","@Nusantara_TV")</f>
        <v>@Nusantara_TV</v>
      </c>
      <c r="C26800" s="8" t="s">
        <v>10320</v>
      </c>
      <c r="D26800" s="8">
        <v>0</v>
      </c>
      <c r="E26800" s="8">
        <v>0</v>
      </c>
      <c r="F26800" s="8">
        <v>496</v>
      </c>
    </row>
    <row r="26801" spans="1:6" ht="12.75">
      <c r="A26801" s="8">
        <v>43892.422442129631</v>
      </c>
      <c r="B26801" s="8" t="str">
        <f>HYPERLINK("https://twitter.com/eizanfolks","@eizanfolks")</f>
        <v>@eizanfolks</v>
      </c>
      <c r="C26801" s="8" t="s">
        <v>10321</v>
      </c>
      <c r="D26801" s="8">
        <v>0</v>
      </c>
      <c r="E26801" s="8">
        <v>0</v>
      </c>
      <c r="F26801" s="8">
        <v>8738</v>
      </c>
    </row>
    <row r="26802" spans="1:6" ht="12.75">
      <c r="A26802" s="8">
        <v>43892.422384259262</v>
      </c>
      <c r="B26802" s="8" t="str">
        <f>HYPERLINK("https://twitter.com/JENOENSITl","@JENOENSITl")</f>
        <v>@JENOENSITl</v>
      </c>
      <c r="C26802" s="8" t="s">
        <v>2199</v>
      </c>
      <c r="D26802" s="8">
        <v>3420</v>
      </c>
      <c r="E26802" s="8">
        <v>0</v>
      </c>
      <c r="F26802" s="8">
        <v>6071</v>
      </c>
    </row>
    <row r="26803" spans="1:6" ht="12.75">
      <c r="A26803" s="8">
        <v>43892.422314814816</v>
      </c>
      <c r="B26803" s="8" t="str">
        <f>HYPERLINK("https://twitter.com/abanglurus","@abanglurus")</f>
        <v>@abanglurus</v>
      </c>
      <c r="C26803" s="8" t="s">
        <v>9130</v>
      </c>
      <c r="D26803" s="8">
        <v>312</v>
      </c>
      <c r="E26803" s="8">
        <v>0</v>
      </c>
      <c r="F26803" s="8">
        <v>161</v>
      </c>
    </row>
    <row r="26804" spans="1:6" ht="12.75">
      <c r="A26804" s="8">
        <v>43892.422314814816</v>
      </c>
      <c r="B26804" s="8" t="str">
        <f>HYPERLINK("https://twitter.com/moodygal8","@moodygal8")</f>
        <v>@moodygal8</v>
      </c>
      <c r="C26804" s="8" t="s">
        <v>2199</v>
      </c>
      <c r="D26804" s="8">
        <v>3420</v>
      </c>
      <c r="E26804" s="8">
        <v>0</v>
      </c>
      <c r="F26804" s="8">
        <v>145</v>
      </c>
    </row>
    <row r="26805" spans="1:6" ht="12.75">
      <c r="A26805" s="8">
        <v>43892.422291666662</v>
      </c>
      <c r="B26805" s="8" t="str">
        <f>HYPERLINK("https://twitter.com/GilbertDatubara","@GilbertDatubara")</f>
        <v>@GilbertDatubara</v>
      </c>
      <c r="C26805" s="8" t="s">
        <v>2199</v>
      </c>
      <c r="D26805" s="8">
        <v>3420</v>
      </c>
      <c r="E26805" s="8">
        <v>0</v>
      </c>
      <c r="F26805" s="8">
        <v>167</v>
      </c>
    </row>
    <row r="26806" spans="1:6" ht="12.75">
      <c r="A26806" s="8">
        <v>43892.422280092593</v>
      </c>
      <c r="B26806" s="8" t="str">
        <f>HYPERLINK("https://twitter.com/yoke_cihuy","@yoke_cihuy")</f>
        <v>@yoke_cihuy</v>
      </c>
      <c r="C26806" s="8" t="s">
        <v>9587</v>
      </c>
      <c r="D26806" s="8">
        <v>174</v>
      </c>
      <c r="E26806" s="8">
        <v>0</v>
      </c>
      <c r="F26806" s="8">
        <v>562</v>
      </c>
    </row>
    <row r="26807" spans="1:6" ht="12.75">
      <c r="A26807" s="8">
        <v>43892.422210648147</v>
      </c>
      <c r="B26807" s="8" t="str">
        <f>HYPERLINK("https://twitter.com/damnushitty","@damnushitty")</f>
        <v>@damnushitty</v>
      </c>
      <c r="C26807" s="8" t="s">
        <v>2199</v>
      </c>
      <c r="D26807" s="8">
        <v>3420</v>
      </c>
      <c r="E26807" s="8">
        <v>0</v>
      </c>
      <c r="F26807" s="8">
        <v>908</v>
      </c>
    </row>
    <row r="26808" spans="1:6" ht="12.75">
      <c r="A26808" s="8">
        <v>43892.422199074077</v>
      </c>
      <c r="B26808" s="8" t="str">
        <f>HYPERLINK("https://twitter.com/friedtempeh","@friedtempeh")</f>
        <v>@friedtempeh</v>
      </c>
      <c r="C26808" s="8" t="s">
        <v>2199</v>
      </c>
      <c r="D26808" s="8">
        <v>3420</v>
      </c>
      <c r="E26808" s="8">
        <v>0</v>
      </c>
      <c r="F26808" s="8">
        <v>27</v>
      </c>
    </row>
    <row r="26809" spans="1:6" ht="12.75">
      <c r="A26809" s="8">
        <v>43892.422164351854</v>
      </c>
      <c r="B26809" s="8" t="str">
        <f>HYPERLINK("https://twitter.com/y0urgoddes","@y0urgoddes")</f>
        <v>@y0urgoddes</v>
      </c>
      <c r="C26809" s="8" t="s">
        <v>2199</v>
      </c>
      <c r="D26809" s="8">
        <v>3420</v>
      </c>
      <c r="E26809" s="8">
        <v>0</v>
      </c>
      <c r="F26809" s="8">
        <v>2456</v>
      </c>
    </row>
    <row r="26810" spans="1:6" ht="12.75">
      <c r="A26810" s="8">
        <v>43892.422118055554</v>
      </c>
      <c r="B26810" s="8" t="str">
        <f>HYPERLINK("https://twitter.com/yoke_cihuy","@yoke_cihuy")</f>
        <v>@yoke_cihuy</v>
      </c>
      <c r="C26810" s="8" t="s">
        <v>4990</v>
      </c>
      <c r="D26810" s="8">
        <v>323</v>
      </c>
      <c r="E26810" s="8">
        <v>0</v>
      </c>
      <c r="F26810" s="8">
        <v>562</v>
      </c>
    </row>
    <row r="26811" spans="1:6" ht="12.75">
      <c r="A26811" s="8">
        <v>43892.422083333338</v>
      </c>
      <c r="B26811" s="8" t="str">
        <f>HYPERLINK("https://twitter.com/Sahabat_Bangsa","@Sahabat_Bangsa")</f>
        <v>@Sahabat_Bangsa</v>
      </c>
      <c r="C26811" s="8" t="s">
        <v>3648</v>
      </c>
      <c r="D26811" s="8">
        <v>179</v>
      </c>
      <c r="E26811" s="8">
        <v>0</v>
      </c>
      <c r="F26811" s="8">
        <v>5792</v>
      </c>
    </row>
    <row r="26812" spans="1:6" ht="12.75">
      <c r="A26812" s="8">
        <v>43892.422071759254</v>
      </c>
      <c r="B26812" s="8" t="str">
        <f>HYPERLINK("https://twitter.com/agwkandzzz","@agwkandzzz")</f>
        <v>@agwkandzzz</v>
      </c>
      <c r="C26812" s="8" t="s">
        <v>2199</v>
      </c>
      <c r="D26812" s="8">
        <v>3420</v>
      </c>
      <c r="E26812" s="8">
        <v>0</v>
      </c>
      <c r="F26812" s="8">
        <v>471</v>
      </c>
    </row>
    <row r="26813" spans="1:6" ht="12.75">
      <c r="A26813" s="8">
        <v>43892.422037037039</v>
      </c>
      <c r="B26813" s="8" t="str">
        <f>HYPERLINK("https://twitter.com/kiranaaaBel","@kiranaaaBel")</f>
        <v>@kiranaaaBel</v>
      </c>
      <c r="C26813" s="8" t="s">
        <v>2199</v>
      </c>
      <c r="D26813" s="8">
        <v>3420</v>
      </c>
      <c r="E26813" s="8">
        <v>0</v>
      </c>
      <c r="F26813" s="8">
        <v>690</v>
      </c>
    </row>
    <row r="26814" spans="1:6" ht="12.75">
      <c r="A26814" s="8">
        <v>43892.422025462962</v>
      </c>
      <c r="B26814" s="8" t="str">
        <f>HYPERLINK("https://twitter.com/gilang_MP","@gilang_MP")</f>
        <v>@gilang_MP</v>
      </c>
      <c r="C26814" s="8" t="s">
        <v>2199</v>
      </c>
      <c r="D26814" s="8">
        <v>3420</v>
      </c>
      <c r="E26814" s="8">
        <v>0</v>
      </c>
      <c r="F26814" s="8">
        <v>168</v>
      </c>
    </row>
    <row r="26815" spans="1:6" ht="12.75">
      <c r="A26815" s="8">
        <v>43892.422013888892</v>
      </c>
      <c r="B26815" s="8" t="str">
        <f>HYPERLINK("https://twitter.com/terapigigi","@terapigigi")</f>
        <v>@terapigigi</v>
      </c>
      <c r="C26815" s="8" t="s">
        <v>2199</v>
      </c>
      <c r="D26815" s="8">
        <v>3420</v>
      </c>
      <c r="E26815" s="8">
        <v>0</v>
      </c>
      <c r="F26815" s="8">
        <v>992</v>
      </c>
    </row>
    <row r="26816" spans="1:6" ht="12.75">
      <c r="A26816" s="8">
        <v>43892.422013888892</v>
      </c>
      <c r="B26816" s="8" t="str">
        <f>HYPERLINK("https://twitter.com/delyo_","@delyo_")</f>
        <v>@delyo_</v>
      </c>
      <c r="C26816" s="8" t="s">
        <v>237</v>
      </c>
      <c r="D26816" s="8">
        <v>0</v>
      </c>
      <c r="E26816" s="8">
        <v>0</v>
      </c>
      <c r="F26816" s="8">
        <v>619</v>
      </c>
    </row>
    <row r="26817" spans="1:6" ht="12.75">
      <c r="A26817" s="8">
        <v>43892.421932870369</v>
      </c>
      <c r="B26817" s="8" t="str">
        <f>HYPERLINK("https://twitter.com/7Han8","@7Han8")</f>
        <v>@7Han8</v>
      </c>
      <c r="C26817" s="8" t="s">
        <v>2199</v>
      </c>
      <c r="D26817" s="8">
        <v>3420</v>
      </c>
      <c r="E26817" s="8">
        <v>0</v>
      </c>
      <c r="F26817" s="8">
        <v>959</v>
      </c>
    </row>
    <row r="26818" spans="1:6" ht="12.75">
      <c r="A26818" s="8">
        <v>43892.421932870369</v>
      </c>
      <c r="B26818" s="8" t="str">
        <f>HYPERLINK("https://twitter.com/luthfiapuci","@luthfiapuci")</f>
        <v>@luthfiapuci</v>
      </c>
      <c r="C26818" s="8" t="s">
        <v>2199</v>
      </c>
      <c r="D26818" s="8">
        <v>3420</v>
      </c>
      <c r="E26818" s="8">
        <v>0</v>
      </c>
      <c r="F26818" s="8">
        <v>337</v>
      </c>
    </row>
    <row r="26819" spans="1:6" ht="12.75">
      <c r="A26819" s="8">
        <v>43892.421921296293</v>
      </c>
      <c r="B26819" s="8" t="str">
        <f>HYPERLINK("https://twitter.com/manager_5am","@manager_5am")</f>
        <v>@manager_5am</v>
      </c>
      <c r="C26819" s="8" t="s">
        <v>9153</v>
      </c>
      <c r="D26819" s="8">
        <v>52</v>
      </c>
      <c r="E26819" s="8">
        <v>0</v>
      </c>
      <c r="F26819" s="8">
        <v>7150</v>
      </c>
    </row>
    <row r="26820" spans="1:6" ht="12.75">
      <c r="A26820" s="8">
        <v>43892.421898148154</v>
      </c>
      <c r="B26820" s="8" t="str">
        <f>HYPERLINK("https://twitter.com/SopianTibet","@SopianTibet")</f>
        <v>@SopianTibet</v>
      </c>
      <c r="C26820" s="8" t="s">
        <v>5732</v>
      </c>
      <c r="D26820" s="8">
        <v>1005</v>
      </c>
      <c r="E26820" s="8">
        <v>0</v>
      </c>
      <c r="F26820" s="8">
        <v>124</v>
      </c>
    </row>
    <row r="26821" spans="1:6" ht="12.75">
      <c r="A26821" s="8">
        <v>43892.421875</v>
      </c>
      <c r="B26821" s="8" t="str">
        <f>HYPERLINK("https://twitter.com/Oliviahrmwn","@Oliviahrmwn")</f>
        <v>@Oliviahrmwn</v>
      </c>
      <c r="C26821" s="8" t="s">
        <v>2199</v>
      </c>
      <c r="D26821" s="8">
        <v>3420</v>
      </c>
      <c r="E26821" s="8">
        <v>0</v>
      </c>
      <c r="F26821" s="8">
        <v>2097</v>
      </c>
    </row>
    <row r="26822" spans="1:6" ht="12.75">
      <c r="A26822" s="8">
        <v>43892.421840277777</v>
      </c>
      <c r="B26822" s="8" t="str">
        <f>HYPERLINK("https://twitter.com/bebe_mprit","@bebe_mprit")</f>
        <v>@bebe_mprit</v>
      </c>
      <c r="C26822" s="8" t="s">
        <v>4150</v>
      </c>
      <c r="D26822" s="8">
        <v>237</v>
      </c>
      <c r="E26822" s="8">
        <v>0</v>
      </c>
      <c r="F26822" s="8">
        <v>790</v>
      </c>
    </row>
    <row r="26823" spans="1:6" ht="12.75">
      <c r="A26823" s="8">
        <v>43892.421736111108</v>
      </c>
      <c r="B26823" s="8" t="str">
        <f>HYPERLINK("https://twitter.com/sparkle_jullie","@sparkle_jullie")</f>
        <v>@sparkle_jullie</v>
      </c>
      <c r="C26823" s="8" t="s">
        <v>2199</v>
      </c>
      <c r="D26823" s="8">
        <v>3420</v>
      </c>
      <c r="E26823" s="8">
        <v>0</v>
      </c>
      <c r="F26823" s="8">
        <v>342</v>
      </c>
    </row>
    <row r="26824" spans="1:6" ht="12.75">
      <c r="A26824" s="8">
        <v>43892.421736111108</v>
      </c>
      <c r="B26824" s="8" t="str">
        <f>HYPERLINK("https://twitter.com/flomaria02","@flomaria02")</f>
        <v>@flomaria02</v>
      </c>
      <c r="C26824" s="8" t="s">
        <v>10322</v>
      </c>
      <c r="D26824" s="8">
        <v>4</v>
      </c>
      <c r="E26824" s="8">
        <v>0</v>
      </c>
      <c r="F26824" s="8">
        <v>229</v>
      </c>
    </row>
    <row r="26825" spans="1:6" ht="12.75">
      <c r="A26825" s="8">
        <v>43892.421678240746</v>
      </c>
      <c r="B26825" s="8" t="str">
        <f>HYPERLINK("https://twitter.com/CastilloJoshima","@CastilloJoshima")</f>
        <v>@CastilloJoshima</v>
      </c>
      <c r="C26825" s="8" t="s">
        <v>10323</v>
      </c>
      <c r="D26825" s="8">
        <v>1</v>
      </c>
      <c r="E26825" s="8">
        <v>0</v>
      </c>
      <c r="F26825" s="8">
        <v>5441</v>
      </c>
    </row>
    <row r="26826" spans="1:6" ht="12.75">
      <c r="A26826" s="8">
        <v>43892.4216087963</v>
      </c>
      <c r="B26826" s="8" t="str">
        <f>HYPERLINK("https://twitter.com/itsokaywae","@itsokaywae")</f>
        <v>@itsokaywae</v>
      </c>
      <c r="C26826" s="8" t="s">
        <v>2199</v>
      </c>
      <c r="D26826" s="8">
        <v>3420</v>
      </c>
      <c r="E26826" s="8">
        <v>0</v>
      </c>
      <c r="F26826" s="8">
        <v>1243</v>
      </c>
    </row>
    <row r="26827" spans="1:6" ht="12.75">
      <c r="A26827" s="8">
        <v>43892.4216087963</v>
      </c>
      <c r="B26827" s="8" t="str">
        <f>HYPERLINK("https://twitter.com/andreabaswara","@andreabaswara")</f>
        <v>@andreabaswara</v>
      </c>
      <c r="C26827" s="8" t="s">
        <v>2199</v>
      </c>
      <c r="D26827" s="8">
        <v>3420</v>
      </c>
      <c r="E26827" s="8">
        <v>0</v>
      </c>
      <c r="F26827" s="8">
        <v>570</v>
      </c>
    </row>
    <row r="26828" spans="1:6" ht="12.75">
      <c r="A26828" s="8">
        <v>43892.421550925923</v>
      </c>
      <c r="B26828" s="8" t="str">
        <f>HYPERLINK("https://twitter.com/nogulags","@nogulags")</f>
        <v>@nogulags</v>
      </c>
      <c r="C26828" s="8" t="s">
        <v>7581</v>
      </c>
      <c r="D26828" s="8">
        <v>18</v>
      </c>
      <c r="E26828" s="8">
        <v>0</v>
      </c>
      <c r="F26828" s="8">
        <v>819</v>
      </c>
    </row>
    <row r="26829" spans="1:6" ht="12.75">
      <c r="A26829" s="8">
        <v>43892.421527777777</v>
      </c>
      <c r="B26829" s="8" t="str">
        <f>HYPERLINK("https://twitter.com/SriMardiyanti5","@SriMardiyanti5")</f>
        <v>@SriMardiyanti5</v>
      </c>
      <c r="C26829" s="8" t="s">
        <v>5732</v>
      </c>
      <c r="D26829" s="8">
        <v>1005</v>
      </c>
      <c r="E26829" s="8">
        <v>0</v>
      </c>
      <c r="F26829" s="8">
        <v>39</v>
      </c>
    </row>
    <row r="26830" spans="1:6" ht="12.75">
      <c r="A26830" s="8">
        <v>43892.4215162037</v>
      </c>
      <c r="B26830" s="8" t="str">
        <f>HYPERLINK("https://twitter.com/Iyo63579667","@Iyo63579667")</f>
        <v>@Iyo63579667</v>
      </c>
      <c r="C26830" s="8" t="s">
        <v>10324</v>
      </c>
      <c r="D26830" s="8">
        <v>0</v>
      </c>
      <c r="E26830" s="8">
        <v>0</v>
      </c>
      <c r="F26830" s="8">
        <v>87</v>
      </c>
    </row>
    <row r="26831" spans="1:6" ht="12.75">
      <c r="A26831" s="8">
        <v>43892.4215162037</v>
      </c>
      <c r="B26831" s="8" t="str">
        <f>HYPERLINK("https://twitter.com/4Tchat","@4Tchat")</f>
        <v>@4Tchat</v>
      </c>
      <c r="C26831" s="8" t="s">
        <v>10325</v>
      </c>
      <c r="D26831" s="8">
        <v>1</v>
      </c>
      <c r="E26831" s="8">
        <v>0</v>
      </c>
      <c r="F26831" s="8">
        <v>4579</v>
      </c>
    </row>
    <row r="26832" spans="1:6" ht="12.75">
      <c r="A26832" s="8">
        <v>43892.421307870369</v>
      </c>
      <c r="B26832" s="8" t="str">
        <f>HYPERLINK("https://twitter.com/barabumi_","@barabumi_")</f>
        <v>@barabumi_</v>
      </c>
      <c r="C26832" s="8" t="s">
        <v>2199</v>
      </c>
      <c r="D26832" s="8">
        <v>3420</v>
      </c>
      <c r="E26832" s="8">
        <v>0</v>
      </c>
      <c r="F26832" s="8">
        <v>193</v>
      </c>
    </row>
    <row r="26833" spans="1:6" ht="12.75">
      <c r="A26833" s="8">
        <v>43892.421296296292</v>
      </c>
      <c r="B26833" s="8" t="str">
        <f>HYPERLINK("https://twitter.com/bitchinpao","@bitchinpao")</f>
        <v>@bitchinpao</v>
      </c>
      <c r="C26833" s="8" t="s">
        <v>2199</v>
      </c>
      <c r="D26833" s="8">
        <v>3420</v>
      </c>
      <c r="E26833" s="8">
        <v>0</v>
      </c>
      <c r="F26833" s="8">
        <v>433</v>
      </c>
    </row>
    <row r="26834" spans="1:6" ht="12.75">
      <c r="A26834" s="8">
        <v>43892.421284722222</v>
      </c>
      <c r="B26834" s="8" t="str">
        <f>HYPERLINK("https://twitter.com/ReiMiechi99","@ReiMiechi99")</f>
        <v>@ReiMiechi99</v>
      </c>
      <c r="C26834" s="8" t="s">
        <v>10326</v>
      </c>
      <c r="D26834" s="8">
        <v>0</v>
      </c>
      <c r="E26834" s="8">
        <v>0</v>
      </c>
      <c r="F26834" s="8">
        <v>63</v>
      </c>
    </row>
    <row r="26835" spans="1:6" ht="12.75">
      <c r="A26835" s="8">
        <v>43892.42123842593</v>
      </c>
      <c r="B26835" s="8" t="str">
        <f>HYPERLINK("https://twitter.com/aaddeekkk","@aaddeekkk")</f>
        <v>@aaddeekkk</v>
      </c>
      <c r="C26835" s="8" t="s">
        <v>2199</v>
      </c>
      <c r="D26835" s="8">
        <v>3420</v>
      </c>
      <c r="E26835" s="8">
        <v>0</v>
      </c>
      <c r="F26835" s="8">
        <v>318</v>
      </c>
    </row>
    <row r="26836" spans="1:6" ht="12.75">
      <c r="A26836" s="8">
        <v>43892.421226851853</v>
      </c>
      <c r="B26836" s="8" t="str">
        <f>HYPERLINK("https://twitter.com/nanuths","@nanuths")</f>
        <v>@nanuths</v>
      </c>
      <c r="C26836" s="8" t="s">
        <v>10327</v>
      </c>
      <c r="D26836" s="8">
        <v>1</v>
      </c>
      <c r="E26836" s="8">
        <v>0</v>
      </c>
      <c r="F26836" s="8">
        <v>653</v>
      </c>
    </row>
    <row r="26837" spans="1:6" ht="12.75">
      <c r="A26837" s="8">
        <v>43892.42114583333</v>
      </c>
      <c r="B26837" s="8" t="str">
        <f>HYPERLINK("https://twitter.com/nogulags","@nogulags")</f>
        <v>@nogulags</v>
      </c>
      <c r="C26837" s="8" t="s">
        <v>1749</v>
      </c>
      <c r="D26837" s="8">
        <v>95</v>
      </c>
      <c r="E26837" s="8">
        <v>0</v>
      </c>
      <c r="F26837" s="8">
        <v>819</v>
      </c>
    </row>
    <row r="26838" spans="1:6" ht="12.75">
      <c r="A26838" s="8">
        <v>43892.42114583333</v>
      </c>
      <c r="B26838" s="8" t="str">
        <f>HYPERLINK("https://twitter.com/ardeenegara","@ardeenegara")</f>
        <v>@ardeenegara</v>
      </c>
      <c r="C26838" s="8" t="s">
        <v>9130</v>
      </c>
      <c r="D26838" s="8">
        <v>312</v>
      </c>
      <c r="E26838" s="8">
        <v>0</v>
      </c>
      <c r="F26838" s="8">
        <v>1185</v>
      </c>
    </row>
    <row r="26839" spans="1:6" ht="12.75">
      <c r="A26839" s="8">
        <v>43892.421134259261</v>
      </c>
      <c r="B26839" s="8" t="str">
        <f>HYPERLINK("https://twitter.com/kcmtanakrantau","@kcmtanakrantau")</f>
        <v>@kcmtanakrantau</v>
      </c>
      <c r="C26839" s="8" t="s">
        <v>3850</v>
      </c>
      <c r="D26839" s="8">
        <v>1268</v>
      </c>
      <c r="E26839" s="8">
        <v>0</v>
      </c>
      <c r="F26839" s="8">
        <v>171</v>
      </c>
    </row>
    <row r="26840" spans="1:6" ht="12.75">
      <c r="A26840" s="8">
        <v>43892.421134259261</v>
      </c>
      <c r="B26840" s="8" t="str">
        <f>HYPERLINK("https://twitter.com/bbumblebae","@bbumblebae")</f>
        <v>@bbumblebae</v>
      </c>
      <c r="C26840" s="8" t="s">
        <v>2199</v>
      </c>
      <c r="D26840" s="8">
        <v>3420</v>
      </c>
      <c r="E26840" s="8">
        <v>0</v>
      </c>
      <c r="F26840" s="8">
        <v>430</v>
      </c>
    </row>
    <row r="26841" spans="1:6" ht="12.75">
      <c r="A26841" s="8">
        <v>43892.421111111107</v>
      </c>
      <c r="B26841" s="8" t="str">
        <f>HYPERLINK("https://twitter.com/indaharkanttaya","@indaharkanttaya")</f>
        <v>@indaharkanttaya</v>
      </c>
      <c r="C26841" s="8" t="s">
        <v>5732</v>
      </c>
      <c r="D26841" s="8">
        <v>1005</v>
      </c>
      <c r="E26841" s="8">
        <v>0</v>
      </c>
      <c r="F26841" s="8">
        <v>37</v>
      </c>
    </row>
    <row r="26842" spans="1:6" ht="12.75">
      <c r="A26842" s="8">
        <v>43892.421076388884</v>
      </c>
      <c r="B26842" s="8" t="str">
        <f>HYPERLINK("https://twitter.com/hiraethas","@hiraethas")</f>
        <v>@hiraethas</v>
      </c>
      <c r="C26842" s="8" t="s">
        <v>1749</v>
      </c>
      <c r="D26842" s="8">
        <v>95</v>
      </c>
      <c r="E26842" s="8">
        <v>0</v>
      </c>
      <c r="F26842" s="8">
        <v>515</v>
      </c>
    </row>
    <row r="26843" spans="1:6" ht="12.75">
      <c r="A26843" s="8">
        <v>43892.420937499999</v>
      </c>
      <c r="B26843" s="8" t="str">
        <f>HYPERLINK("https://twitter.com/teriyakienak","@teriyakienak")</f>
        <v>@teriyakienak</v>
      </c>
      <c r="C26843" s="8" t="s">
        <v>2199</v>
      </c>
      <c r="D26843" s="8">
        <v>3420</v>
      </c>
      <c r="E26843" s="8">
        <v>0</v>
      </c>
      <c r="F26843" s="8">
        <v>360</v>
      </c>
    </row>
    <row r="26844" spans="1:6" ht="12.75">
      <c r="A26844" s="8">
        <v>43892.42086805556</v>
      </c>
      <c r="B26844" s="8" t="str">
        <f>HYPERLINK("https://twitter.com/RivaldiZakie","@RivaldiZakie")</f>
        <v>@RivaldiZakie</v>
      </c>
      <c r="C26844" s="8" t="s">
        <v>5827</v>
      </c>
      <c r="D26844" s="8">
        <v>9</v>
      </c>
      <c r="E26844" s="8">
        <v>0</v>
      </c>
      <c r="F26844" s="8">
        <v>16</v>
      </c>
    </row>
    <row r="26845" spans="1:6" ht="12.75">
      <c r="A26845" s="8">
        <v>43892.42086805556</v>
      </c>
      <c r="B26845" s="8" t="str">
        <f>HYPERLINK("https://twitter.com/BUS_EKONOMI","@BUS_EKONOMI")</f>
        <v>@BUS_EKONOMI</v>
      </c>
      <c r="C26845" s="8" t="s">
        <v>4150</v>
      </c>
      <c r="D26845" s="8">
        <v>237</v>
      </c>
      <c r="E26845" s="8">
        <v>0</v>
      </c>
      <c r="F26845" s="8">
        <v>3846</v>
      </c>
    </row>
    <row r="26846" spans="1:6" ht="12.75">
      <c r="A26846" s="8">
        <v>43892.420810185184</v>
      </c>
      <c r="B26846" s="8" t="str">
        <f>HYPERLINK("https://twitter.com/Peri_Reis","@Peri_Reis")</f>
        <v>@Peri_Reis</v>
      </c>
      <c r="C26846" s="8" t="s">
        <v>4990</v>
      </c>
      <c r="D26846" s="8">
        <v>323</v>
      </c>
      <c r="E26846" s="8">
        <v>0</v>
      </c>
      <c r="F26846" s="8">
        <v>139</v>
      </c>
    </row>
    <row r="26847" spans="1:6" ht="12.75">
      <c r="A26847" s="8">
        <v>43892.420763888891</v>
      </c>
      <c r="B26847" s="8" t="str">
        <f>HYPERLINK("https://twitter.com/Manaadayangtau","@Manaadayangtau")</f>
        <v>@Manaadayangtau</v>
      </c>
      <c r="C26847" s="8" t="s">
        <v>10247</v>
      </c>
      <c r="D26847" s="8">
        <v>1</v>
      </c>
      <c r="E26847" s="8">
        <v>0</v>
      </c>
      <c r="F26847" s="8">
        <v>5221</v>
      </c>
    </row>
    <row r="26848" spans="1:6" ht="12.75">
      <c r="A26848" s="8">
        <v>43892.420752314814</v>
      </c>
      <c r="B26848" s="8" t="str">
        <f>HYPERLINK("https://twitter.com/avrinias","@avrinias")</f>
        <v>@avrinias</v>
      </c>
      <c r="C26848" s="8" t="s">
        <v>2199</v>
      </c>
      <c r="D26848" s="8">
        <v>3420</v>
      </c>
      <c r="E26848" s="8">
        <v>0</v>
      </c>
      <c r="F26848" s="8">
        <v>467</v>
      </c>
    </row>
    <row r="26849" spans="1:6" ht="12.75">
      <c r="A26849" s="8">
        <v>43892.420659722222</v>
      </c>
      <c r="B26849" s="8" t="str">
        <f>HYPERLINK("https://twitter.com/ISIS_Balik_NO","@ISIS_Balik_NO")</f>
        <v>@ISIS_Balik_NO</v>
      </c>
      <c r="C26849" s="8" t="s">
        <v>10328</v>
      </c>
      <c r="D26849" s="8">
        <v>20</v>
      </c>
      <c r="E26849" s="8">
        <v>0</v>
      </c>
      <c r="F26849" s="8">
        <v>6087</v>
      </c>
    </row>
    <row r="26850" spans="1:6" ht="12.75">
      <c r="A26850" s="8">
        <v>43892.420648148152</v>
      </c>
      <c r="B26850" s="8" t="str">
        <f>HYPERLINK("https://twitter.com/CastilloJoshima","@CastilloJoshima")</f>
        <v>@CastilloJoshima</v>
      </c>
      <c r="C26850" s="8" t="s">
        <v>10329</v>
      </c>
      <c r="D26850" s="8">
        <v>1</v>
      </c>
      <c r="E26850" s="8">
        <v>0</v>
      </c>
      <c r="F26850" s="8">
        <v>5441</v>
      </c>
    </row>
    <row r="26851" spans="1:6" ht="12.75">
      <c r="A26851" s="8">
        <v>43892.420636574076</v>
      </c>
      <c r="B26851" s="8" t="str">
        <f>HYPERLINK("https://twitter.com/MasdepJohnny_","@MasdepJohnny_")</f>
        <v>@MasdepJohnny_</v>
      </c>
      <c r="C26851" s="8" t="s">
        <v>2199</v>
      </c>
      <c r="D26851" s="8">
        <v>3420</v>
      </c>
      <c r="E26851" s="8">
        <v>0</v>
      </c>
      <c r="F26851" s="8">
        <v>988</v>
      </c>
    </row>
    <row r="26852" spans="1:6" ht="12.75">
      <c r="A26852" s="8">
        <v>43892.420613425929</v>
      </c>
      <c r="B26852" s="8" t="str">
        <f>HYPERLINK("https://twitter.com/fajar_saptono","@fajar_saptono")</f>
        <v>@fajar_saptono</v>
      </c>
      <c r="C26852" s="8" t="s">
        <v>2199</v>
      </c>
      <c r="D26852" s="8">
        <v>3420</v>
      </c>
      <c r="E26852" s="8">
        <v>0</v>
      </c>
      <c r="F26852" s="8">
        <v>136</v>
      </c>
    </row>
    <row r="26853" spans="1:6" ht="12.75">
      <c r="A26853" s="8">
        <v>43892.420567129629</v>
      </c>
      <c r="B26853" s="8" t="str">
        <f>HYPERLINK("https://twitter.com/CastilloJoshima","@CastilloJoshima")</f>
        <v>@CastilloJoshima</v>
      </c>
      <c r="C26853" s="8" t="s">
        <v>10330</v>
      </c>
      <c r="D26853" s="8">
        <v>1</v>
      </c>
      <c r="E26853" s="8">
        <v>0</v>
      </c>
      <c r="F26853" s="8">
        <v>5441</v>
      </c>
    </row>
    <row r="26854" spans="1:6" ht="12.75">
      <c r="A26854" s="8">
        <v>43892.420462962968</v>
      </c>
      <c r="B26854" s="8" t="str">
        <f>HYPERLINK("https://twitter.com/Lia_Lio","@Lia_Lio")</f>
        <v>@Lia_Lio</v>
      </c>
      <c r="C26854" s="8" t="s">
        <v>2199</v>
      </c>
      <c r="D26854" s="8">
        <v>3420</v>
      </c>
      <c r="E26854" s="8">
        <v>0</v>
      </c>
      <c r="F26854" s="8">
        <v>574</v>
      </c>
    </row>
    <row r="26855" spans="1:6" ht="12.75">
      <c r="A26855" s="8">
        <v>43892.420439814814</v>
      </c>
      <c r="B26855" s="8" t="str">
        <f>HYPERLINK("https://twitter.com/ISIS_Balik_NO","@ISIS_Balik_NO")</f>
        <v>@ISIS_Balik_NO</v>
      </c>
      <c r="C26855" s="8" t="s">
        <v>10331</v>
      </c>
      <c r="D26855" s="8">
        <v>312</v>
      </c>
      <c r="E26855" s="8">
        <v>0</v>
      </c>
      <c r="F26855" s="8">
        <v>6087</v>
      </c>
    </row>
    <row r="26856" spans="1:6" ht="12.75">
      <c r="A26856" s="8">
        <v>43892.420405092591</v>
      </c>
      <c r="B26856" s="8" t="str">
        <f>HYPERLINK("https://twitter.com/mandarll","@mandarll")</f>
        <v>@mandarll</v>
      </c>
      <c r="C26856" s="8" t="s">
        <v>2199</v>
      </c>
      <c r="D26856" s="8">
        <v>3420</v>
      </c>
      <c r="E26856" s="8">
        <v>0</v>
      </c>
      <c r="F26856" s="8">
        <v>1394</v>
      </c>
    </row>
    <row r="26857" spans="1:6" ht="12.75">
      <c r="A26857" s="8">
        <v>43892.420393518521</v>
      </c>
      <c r="B26857" s="8" t="str">
        <f>HYPERLINK("https://twitter.com/atoillahsmart","@atoillahsmart")</f>
        <v>@atoillahsmart</v>
      </c>
      <c r="C26857" s="8" t="s">
        <v>4990</v>
      </c>
      <c r="D26857" s="8">
        <v>323</v>
      </c>
      <c r="E26857" s="8">
        <v>0</v>
      </c>
      <c r="F26857" s="8">
        <v>136</v>
      </c>
    </row>
    <row r="26858" spans="1:6" ht="12.75">
      <c r="A26858" s="8">
        <v>43892.420370370368</v>
      </c>
      <c r="B26858" s="8" t="str">
        <f>HYPERLINK("https://twitter.com/agussamudra","@agussamudra")</f>
        <v>@agussamudra</v>
      </c>
      <c r="C26858" s="8" t="s">
        <v>5732</v>
      </c>
      <c r="D26858" s="8">
        <v>1005</v>
      </c>
      <c r="E26858" s="8">
        <v>0</v>
      </c>
      <c r="F26858" s="8">
        <v>224</v>
      </c>
    </row>
    <row r="26859" spans="1:6" ht="12.75">
      <c r="A26859" s="8">
        <v>43892.420370370368</v>
      </c>
      <c r="B26859" s="8" t="str">
        <f>HYPERLINK("https://twitter.com/pnjirh","@pnjirh")</f>
        <v>@pnjirh</v>
      </c>
      <c r="C26859" s="8" t="s">
        <v>2199</v>
      </c>
      <c r="D26859" s="8">
        <v>3420</v>
      </c>
      <c r="E26859" s="8">
        <v>0</v>
      </c>
      <c r="F26859" s="8">
        <v>318</v>
      </c>
    </row>
    <row r="26860" spans="1:6" ht="12.75">
      <c r="A26860" s="8">
        <v>43892.420289351852</v>
      </c>
      <c r="B26860" s="8" t="str">
        <f>HYPERLINK("https://twitter.com/GFwrd","@GFwrd")</f>
        <v>@GFwrd</v>
      </c>
      <c r="C26860" s="8" t="s">
        <v>10332</v>
      </c>
      <c r="D26860" s="8">
        <v>9</v>
      </c>
      <c r="E26860" s="8">
        <v>0</v>
      </c>
      <c r="F26860" s="8">
        <v>1593</v>
      </c>
    </row>
    <row r="26861" spans="1:6" ht="12.75">
      <c r="A26861" s="8">
        <v>43892.420254629629</v>
      </c>
      <c r="B26861" s="8" t="str">
        <f>HYPERLINK("https://twitter.com/viskaya","@viskaya")</f>
        <v>@viskaya</v>
      </c>
      <c r="C26861" s="8" t="s">
        <v>10333</v>
      </c>
      <c r="D26861" s="8">
        <v>36</v>
      </c>
      <c r="E26861" s="8">
        <v>0</v>
      </c>
      <c r="F26861" s="8">
        <v>782</v>
      </c>
    </row>
    <row r="26862" spans="1:6" ht="12.75">
      <c r="A26862" s="8">
        <v>43892.420104166667</v>
      </c>
      <c r="B26862" s="8" t="str">
        <f>HYPERLINK("https://twitter.com/EP_ED","@EP_ED")</f>
        <v>@EP_ED</v>
      </c>
      <c r="C26862" s="8" t="s">
        <v>2199</v>
      </c>
      <c r="D26862" s="8">
        <v>3420</v>
      </c>
      <c r="E26862" s="8">
        <v>0</v>
      </c>
      <c r="F26862" s="8">
        <v>428</v>
      </c>
    </row>
    <row r="26863" spans="1:6" ht="12.75">
      <c r="A26863" s="8">
        <v>43892.420081018514</v>
      </c>
      <c r="B26863" s="8" t="str">
        <f>HYPERLINK("https://twitter.com/blingybin","@blingybin")</f>
        <v>@blingybin</v>
      </c>
      <c r="C26863" s="8" t="s">
        <v>2199</v>
      </c>
      <c r="D26863" s="8">
        <v>3420</v>
      </c>
      <c r="E26863" s="8">
        <v>0</v>
      </c>
      <c r="F26863" s="8">
        <v>764</v>
      </c>
    </row>
    <row r="26864" spans="1:6" ht="12.75">
      <c r="A26864" s="8">
        <v>43892.420069444444</v>
      </c>
      <c r="B26864" s="8" t="str">
        <f>HYPERLINK("https://twitter.com/lumbaranja","@lumbaranja")</f>
        <v>@lumbaranja</v>
      </c>
      <c r="C26864" s="8" t="s">
        <v>4150</v>
      </c>
      <c r="D26864" s="8">
        <v>237</v>
      </c>
      <c r="E26864" s="8">
        <v>0</v>
      </c>
      <c r="F26864" s="8">
        <v>2281</v>
      </c>
    </row>
    <row r="26865" spans="1:6" ht="12.75">
      <c r="A26865" s="8">
        <v>43892.420046296298</v>
      </c>
      <c r="B26865" s="8" t="str">
        <f>HYPERLINK("https://twitter.com/apri_kartiwan","@apri_kartiwan")</f>
        <v>@apri_kartiwan</v>
      </c>
      <c r="C26865" s="8" t="s">
        <v>2199</v>
      </c>
      <c r="D26865" s="8">
        <v>3420</v>
      </c>
      <c r="E26865" s="8">
        <v>0</v>
      </c>
      <c r="F26865" s="8">
        <v>17</v>
      </c>
    </row>
    <row r="26866" spans="1:6" ht="12.75">
      <c r="A26866" s="8">
        <v>43892.419988425929</v>
      </c>
      <c r="B26866" s="8" t="str">
        <f>HYPERLINK("https://twitter.com/fasterkyu","@fasterkyu")</f>
        <v>@fasterkyu</v>
      </c>
      <c r="C26866" s="8" t="s">
        <v>2199</v>
      </c>
      <c r="D26866" s="8">
        <v>3420</v>
      </c>
      <c r="E26866" s="8">
        <v>0</v>
      </c>
      <c r="F26866" s="8">
        <v>1044</v>
      </c>
    </row>
    <row r="26867" spans="1:6" ht="12.75">
      <c r="A26867" s="8">
        <v>43892.419953703706</v>
      </c>
      <c r="B26867" s="8" t="str">
        <f>HYPERLINK("https://twitter.com/Peachcsy","@Peachcsy")</f>
        <v>@Peachcsy</v>
      </c>
      <c r="C26867" s="8" t="s">
        <v>2199</v>
      </c>
      <c r="D26867" s="8">
        <v>3420</v>
      </c>
      <c r="E26867" s="8">
        <v>0</v>
      </c>
      <c r="F26867" s="8">
        <v>436</v>
      </c>
    </row>
    <row r="26868" spans="1:6" ht="12.75">
      <c r="A26868" s="8">
        <v>43892.419942129629</v>
      </c>
      <c r="B26868" s="8" t="str">
        <f>HYPERLINK("https://twitter.com/blueaestheticcc","@blueaestheticcc")</f>
        <v>@blueaestheticcc</v>
      </c>
      <c r="C26868" s="8" t="s">
        <v>2199</v>
      </c>
      <c r="D26868" s="8">
        <v>3420</v>
      </c>
      <c r="E26868" s="8">
        <v>0</v>
      </c>
      <c r="F26868" s="8">
        <v>295</v>
      </c>
    </row>
    <row r="26869" spans="1:6" ht="12.75">
      <c r="A26869" s="8">
        <v>43892.419895833329</v>
      </c>
      <c r="B26869" s="8" t="str">
        <f>HYPERLINK("https://twitter.com/andris44","@andris44")</f>
        <v>@andris44</v>
      </c>
      <c r="C26869" s="8" t="s">
        <v>5803</v>
      </c>
      <c r="D26869" s="8">
        <v>68</v>
      </c>
      <c r="E26869" s="8">
        <v>0</v>
      </c>
      <c r="F26869" s="8">
        <v>1372</v>
      </c>
    </row>
    <row r="26870" spans="1:6" ht="12.75">
      <c r="A26870" s="8">
        <v>43892.419895833329</v>
      </c>
      <c r="B26870" s="8" t="str">
        <f>HYPERLINK("https://twitter.com/mickyotika","@mickyotika")</f>
        <v>@mickyotika</v>
      </c>
      <c r="C26870" s="8" t="s">
        <v>9910</v>
      </c>
      <c r="D26870" s="8">
        <v>183</v>
      </c>
      <c r="E26870" s="8">
        <v>0</v>
      </c>
      <c r="F26870" s="8">
        <v>446</v>
      </c>
    </row>
    <row r="26871" spans="1:6" ht="12.75">
      <c r="A26871" s="8">
        <v>43892.41987268519</v>
      </c>
      <c r="B26871" s="8" t="str">
        <f>HYPERLINK("https://twitter.com/inu_ratih1","@inu_ratih1")</f>
        <v>@inu_ratih1</v>
      </c>
      <c r="C26871" s="8" t="s">
        <v>10334</v>
      </c>
      <c r="D26871" s="8">
        <v>1</v>
      </c>
      <c r="E26871" s="8">
        <v>0</v>
      </c>
      <c r="F26871" s="8">
        <v>97</v>
      </c>
    </row>
    <row r="26872" spans="1:6" ht="12.75">
      <c r="A26872" s="8">
        <v>43892.41987268519</v>
      </c>
      <c r="B26872" s="8" t="str">
        <f>HYPERLINK("https://twitter.com/dtaufxn","@dtaufxn")</f>
        <v>@dtaufxn</v>
      </c>
      <c r="C26872" s="8" t="s">
        <v>2199</v>
      </c>
      <c r="D26872" s="8">
        <v>3420</v>
      </c>
      <c r="E26872" s="8">
        <v>0</v>
      </c>
      <c r="F26872" s="8">
        <v>328</v>
      </c>
    </row>
    <row r="26873" spans="1:6" ht="12.75">
      <c r="A26873" s="8">
        <v>43892.41982638889</v>
      </c>
      <c r="B26873" s="8" t="str">
        <f>HYPERLINK("https://twitter.com/neoculcure","@neoculcure")</f>
        <v>@neoculcure</v>
      </c>
      <c r="C26873" s="8" t="s">
        <v>2199</v>
      </c>
      <c r="D26873" s="8">
        <v>3420</v>
      </c>
      <c r="E26873" s="8">
        <v>0</v>
      </c>
      <c r="F26873" s="8">
        <v>1170</v>
      </c>
    </row>
    <row r="26874" spans="1:6" ht="12.75">
      <c r="A26874" s="8">
        <v>43892.419791666667</v>
      </c>
      <c r="B26874" s="8" t="str">
        <f>HYPERLINK("https://twitter.com/woojinnewera","@woojinnewera")</f>
        <v>@woojinnewera</v>
      </c>
      <c r="C26874" s="8" t="s">
        <v>2199</v>
      </c>
      <c r="D26874" s="8">
        <v>3420</v>
      </c>
      <c r="E26874" s="8">
        <v>0</v>
      </c>
      <c r="F26874" s="8">
        <v>649</v>
      </c>
    </row>
    <row r="26875" spans="1:6" ht="12.75">
      <c r="A26875" s="8">
        <v>43892.419768518521</v>
      </c>
      <c r="B26875" s="8" t="str">
        <f>HYPERLINK("https://twitter.com/winnerisluv","@winnerisluv")</f>
        <v>@winnerisluv</v>
      </c>
      <c r="C26875" s="8" t="s">
        <v>2199</v>
      </c>
      <c r="D26875" s="8">
        <v>3420</v>
      </c>
      <c r="E26875" s="8">
        <v>0</v>
      </c>
      <c r="F26875" s="8">
        <v>548</v>
      </c>
    </row>
    <row r="26876" spans="1:6" ht="12.75">
      <c r="A26876" s="8">
        <v>43892.419722222221</v>
      </c>
      <c r="B26876" s="8" t="str">
        <f>HYPERLINK("https://twitter.com/bibin_bey","@bibin_bey")</f>
        <v>@bibin_bey</v>
      </c>
      <c r="C26876" s="8" t="s">
        <v>10279</v>
      </c>
      <c r="D26876" s="8">
        <v>69</v>
      </c>
      <c r="E26876" s="8">
        <v>0</v>
      </c>
      <c r="F26876" s="8">
        <v>1617</v>
      </c>
    </row>
    <row r="26877" spans="1:6" ht="12.75">
      <c r="A26877" s="8">
        <v>43892.419699074075</v>
      </c>
      <c r="B26877" s="8" t="str">
        <f>HYPERLINK("https://twitter.com/Soetikman1","@Soetikman1")</f>
        <v>@Soetikman1</v>
      </c>
      <c r="C26877" s="8" t="s">
        <v>10335</v>
      </c>
      <c r="D26877" s="8">
        <v>0</v>
      </c>
      <c r="E26877" s="8">
        <v>0</v>
      </c>
      <c r="F26877" s="8">
        <v>354</v>
      </c>
    </row>
    <row r="26878" spans="1:6" ht="12.75">
      <c r="A26878" s="8">
        <v>43892.419664351852</v>
      </c>
      <c r="B26878" s="8" t="str">
        <f>HYPERLINK("https://twitter.com/cintada17","@cintada17")</f>
        <v>@cintada17</v>
      </c>
      <c r="C26878" s="8" t="s">
        <v>10336</v>
      </c>
      <c r="D26878" s="8">
        <v>1</v>
      </c>
      <c r="E26878" s="8">
        <v>0</v>
      </c>
      <c r="F26878" s="8">
        <v>7896</v>
      </c>
    </row>
    <row r="26879" spans="1:6" ht="12.75">
      <c r="A26879" s="8">
        <v>43892.419560185182</v>
      </c>
      <c r="B26879" s="8" t="str">
        <f>HYPERLINK("https://twitter.com/pikarrou","@pikarrou")</f>
        <v>@pikarrou</v>
      </c>
      <c r="C26879" s="8" t="s">
        <v>2199</v>
      </c>
      <c r="D26879" s="8">
        <v>3420</v>
      </c>
      <c r="E26879" s="8">
        <v>0</v>
      </c>
      <c r="F26879" s="8">
        <v>3362</v>
      </c>
    </row>
    <row r="26880" spans="1:6" ht="12.75">
      <c r="A26880" s="8">
        <v>43892.381828703699</v>
      </c>
      <c r="B26880" s="8" t="str">
        <f>HYPERLINK("https://twitter.com/khoetjing","@khoetjing")</f>
        <v>@khoetjing</v>
      </c>
      <c r="C26880" s="8" t="s">
        <v>10337</v>
      </c>
      <c r="D26880" s="8">
        <v>0</v>
      </c>
      <c r="E26880" s="8">
        <v>0</v>
      </c>
      <c r="F26880" s="8">
        <v>120</v>
      </c>
    </row>
    <row r="26881" spans="1:6" ht="12.75">
      <c r="A26881" s="8">
        <v>43892.381793981476</v>
      </c>
      <c r="B26881" s="8" t="str">
        <f>HYPERLINK("https://twitter.com/cabekomplek","@cabekomplek")</f>
        <v>@cabekomplek</v>
      </c>
      <c r="C26881" s="8" t="s">
        <v>2199</v>
      </c>
      <c r="D26881" s="8">
        <v>2888</v>
      </c>
      <c r="E26881" s="8">
        <v>0</v>
      </c>
      <c r="F26881" s="8">
        <v>262</v>
      </c>
    </row>
    <row r="26882" spans="1:6" ht="12.75">
      <c r="A26882" s="8">
        <v>43892.381793981476</v>
      </c>
      <c r="B26882" s="8" t="str">
        <f>HYPERLINK("https://twitter.com/ip_supriyadi","@ip_supriyadi")</f>
        <v>@ip_supriyadi</v>
      </c>
      <c r="C26882" s="8" t="s">
        <v>5732</v>
      </c>
      <c r="D26882" s="8">
        <v>898</v>
      </c>
      <c r="E26882" s="8">
        <v>0</v>
      </c>
      <c r="F26882" s="8">
        <v>847</v>
      </c>
    </row>
    <row r="26883" spans="1:6" ht="12.75">
      <c r="A26883" s="8">
        <v>43892.381782407407</v>
      </c>
      <c r="B26883" s="8" t="str">
        <f>HYPERLINK("https://twitter.com/KandaliLubis","@KandaliLubis")</f>
        <v>@KandaliLubis</v>
      </c>
      <c r="C26883" s="8" t="s">
        <v>10338</v>
      </c>
      <c r="D26883" s="8">
        <v>0</v>
      </c>
      <c r="E26883" s="8">
        <v>0</v>
      </c>
      <c r="F26883" s="8">
        <v>920</v>
      </c>
    </row>
    <row r="26884" spans="1:6" ht="12.75">
      <c r="A26884" s="8">
        <v>43892.381666666668</v>
      </c>
      <c r="B26884" s="8" t="str">
        <f>HYPERLINK("https://twitter.com/PFTee","@PFTee")</f>
        <v>@PFTee</v>
      </c>
      <c r="C26884" s="8" t="s">
        <v>10339</v>
      </c>
      <c r="D26884" s="8">
        <v>0</v>
      </c>
      <c r="E26884" s="8">
        <v>0</v>
      </c>
      <c r="F26884" s="8">
        <v>1544</v>
      </c>
    </row>
    <row r="26885" spans="1:6" ht="12.75">
      <c r="A26885" s="8">
        <v>43892.381666666668</v>
      </c>
      <c r="B26885" s="8" t="str">
        <f>HYPERLINK("https://twitter.com/inoefatah","@inoefatah")</f>
        <v>@inoefatah</v>
      </c>
      <c r="C26885" s="8" t="s">
        <v>10340</v>
      </c>
      <c r="D26885" s="8">
        <v>0</v>
      </c>
      <c r="E26885" s="8">
        <v>0</v>
      </c>
      <c r="F26885" s="8">
        <v>128</v>
      </c>
    </row>
    <row r="26886" spans="1:6" ht="12.75">
      <c r="A26886" s="8">
        <v>43892.381655092591</v>
      </c>
      <c r="B26886" s="8" t="str">
        <f>HYPERLINK("https://twitter.com/Je_Ly","@Je_Ly")</f>
        <v>@Je_Ly</v>
      </c>
      <c r="C26886" s="8" t="s">
        <v>10341</v>
      </c>
      <c r="D26886" s="8">
        <v>2</v>
      </c>
      <c r="E26886" s="8">
        <v>0</v>
      </c>
      <c r="F26886" s="8">
        <v>17158</v>
      </c>
    </row>
    <row r="26887" spans="1:6" ht="12.75">
      <c r="A26887" s="8">
        <v>43892.381620370375</v>
      </c>
      <c r="B26887" s="8" t="str">
        <f>HYPERLINK("https://twitter.com/nictanzdrew","@nictanzdrew")</f>
        <v>@nictanzdrew</v>
      </c>
      <c r="C26887" s="8" t="s">
        <v>2199</v>
      </c>
      <c r="D26887" s="8">
        <v>2888</v>
      </c>
      <c r="E26887" s="8">
        <v>0</v>
      </c>
      <c r="F26887" s="8">
        <v>6</v>
      </c>
    </row>
    <row r="26888" spans="1:6" ht="12.75">
      <c r="A26888" s="8">
        <v>43892.381620370375</v>
      </c>
      <c r="B26888" s="8" t="str">
        <f>HYPERLINK("https://twitter.com/dbrahmantyo","@dbrahmantyo")</f>
        <v>@dbrahmantyo</v>
      </c>
      <c r="C26888" s="8" t="s">
        <v>10342</v>
      </c>
      <c r="D26888" s="8">
        <v>0</v>
      </c>
      <c r="E26888" s="8">
        <v>0</v>
      </c>
      <c r="F26888" s="8">
        <v>5540</v>
      </c>
    </row>
    <row r="26889" spans="1:6" ht="12.75">
      <c r="A26889" s="8">
        <v>43892.381585648152</v>
      </c>
      <c r="B26889" s="8" t="str">
        <f>HYPERLINK("https://twitter.com/Badanamu8","@Badanamu8")</f>
        <v>@Badanamu8</v>
      </c>
      <c r="C26889" s="8" t="s">
        <v>2199</v>
      </c>
      <c r="D26889" s="8">
        <v>2888</v>
      </c>
      <c r="E26889" s="8">
        <v>0</v>
      </c>
      <c r="F26889" s="8">
        <v>8</v>
      </c>
    </row>
    <row r="26890" spans="1:6" ht="12.75">
      <c r="A26890" s="8">
        <v>43892.381585648152</v>
      </c>
      <c r="B26890" s="8" t="str">
        <f>HYPERLINK("https://twitter.com/moedcristiano","@moedcristiano")</f>
        <v>@moedcristiano</v>
      </c>
      <c r="C26890" s="8" t="s">
        <v>4150</v>
      </c>
      <c r="D26890" s="8">
        <v>206</v>
      </c>
      <c r="E26890" s="8">
        <v>0</v>
      </c>
      <c r="F26890" s="8">
        <v>73</v>
      </c>
    </row>
    <row r="26891" spans="1:6" ht="12.75">
      <c r="A26891" s="8">
        <v>43892.381574074076</v>
      </c>
      <c r="B26891" s="8" t="str">
        <f>HYPERLINK("https://twitter.com/adistychwijaya","@adistychwijaya")</f>
        <v>@adistychwijaya</v>
      </c>
      <c r="C26891" s="8" t="s">
        <v>5732</v>
      </c>
      <c r="D26891" s="8">
        <v>898</v>
      </c>
      <c r="E26891" s="8">
        <v>0</v>
      </c>
      <c r="F26891" s="8">
        <v>285</v>
      </c>
    </row>
    <row r="26892" spans="1:6" ht="12.75">
      <c r="A26892" s="8">
        <v>43892.38145833333</v>
      </c>
      <c r="B26892" s="8" t="str">
        <f>HYPERLINK("https://twitter.com/prawirasubarjah","@prawirasubarjah")</f>
        <v>@prawirasubarjah</v>
      </c>
      <c r="C26892" s="8" t="s">
        <v>10279</v>
      </c>
      <c r="D26892" s="8">
        <v>61</v>
      </c>
      <c r="E26892" s="8">
        <v>0</v>
      </c>
      <c r="F26892" s="8">
        <v>673</v>
      </c>
    </row>
    <row r="26893" spans="1:6" ht="12.75">
      <c r="A26893" s="8">
        <v>43892.381331018521</v>
      </c>
      <c r="B26893" s="8" t="str">
        <f>HYPERLINK("https://twitter.com/honjalone","@honjalone")</f>
        <v>@honjalone</v>
      </c>
      <c r="C26893" s="8" t="s">
        <v>2199</v>
      </c>
      <c r="D26893" s="8">
        <v>2888</v>
      </c>
      <c r="E26893" s="8">
        <v>0</v>
      </c>
      <c r="F26893" s="8">
        <v>609</v>
      </c>
    </row>
    <row r="26894" spans="1:6" ht="12.75">
      <c r="A26894" s="8">
        <v>43892.381307870368</v>
      </c>
      <c r="B26894" s="8" t="str">
        <f>HYPERLINK("https://twitter.com/one_axella","@one_axella")</f>
        <v>@one_axella</v>
      </c>
      <c r="C26894" s="8" t="s">
        <v>2199</v>
      </c>
      <c r="D26894" s="8">
        <v>2888</v>
      </c>
      <c r="E26894" s="8">
        <v>0</v>
      </c>
      <c r="F26894" s="8">
        <v>27</v>
      </c>
    </row>
    <row r="26895" spans="1:6" ht="12.75">
      <c r="A26895" s="8">
        <v>43892.381296296298</v>
      </c>
      <c r="B26895" s="8" t="str">
        <f>HYPERLINK("https://twitter.com/Hamruniahmad","@Hamruniahmad")</f>
        <v>@Hamruniahmad</v>
      </c>
      <c r="C26895" s="8" t="s">
        <v>3850</v>
      </c>
      <c r="D26895" s="8">
        <v>1230</v>
      </c>
      <c r="E26895" s="8">
        <v>0</v>
      </c>
      <c r="F26895" s="8">
        <v>839</v>
      </c>
    </row>
    <row r="26896" spans="1:6" ht="12.75">
      <c r="A26896" s="8">
        <v>43892.381284722222</v>
      </c>
      <c r="B26896" s="8" t="str">
        <f>HYPERLINK("https://twitter.com/fachrifatah_","@fachrifatah_")</f>
        <v>@fachrifatah_</v>
      </c>
      <c r="C26896" s="8" t="s">
        <v>2199</v>
      </c>
      <c r="D26896" s="8">
        <v>2888</v>
      </c>
      <c r="E26896" s="8">
        <v>0</v>
      </c>
      <c r="F26896" s="8">
        <v>83</v>
      </c>
    </row>
    <row r="26897" spans="1:6" ht="12.75">
      <c r="A26897" s="8">
        <v>43892.381284722222</v>
      </c>
      <c r="B26897" s="8" t="str">
        <f>HYPERLINK("https://twitter.com/54V10UR_9","@54V10UR_9")</f>
        <v>@54V10UR_9</v>
      </c>
      <c r="C26897" s="8" t="s">
        <v>2199</v>
      </c>
      <c r="D26897" s="8">
        <v>2888</v>
      </c>
      <c r="E26897" s="8">
        <v>0</v>
      </c>
      <c r="F26897" s="8">
        <v>8380</v>
      </c>
    </row>
    <row r="26898" spans="1:6" ht="12.75">
      <c r="A26898" s="8">
        <v>43892.381284722222</v>
      </c>
      <c r="B26898" s="8" t="str">
        <f>HYPERLINK("https://twitter.com/manuel_agil","@manuel_agil")</f>
        <v>@manuel_agil</v>
      </c>
      <c r="C26898" s="8" t="s">
        <v>10343</v>
      </c>
      <c r="D26898" s="8">
        <v>0</v>
      </c>
      <c r="E26898" s="8">
        <v>0</v>
      </c>
      <c r="F26898" s="8">
        <v>3229</v>
      </c>
    </row>
    <row r="26899" spans="1:6" ht="12.75">
      <c r="A26899" s="8">
        <v>43892.381249999999</v>
      </c>
      <c r="B26899" s="8" t="str">
        <f>HYPERLINK("https://twitter.com/bentsusama","@bentsusama")</f>
        <v>@bentsusama</v>
      </c>
      <c r="C26899" s="8" t="s">
        <v>9910</v>
      </c>
      <c r="D26899" s="8">
        <v>109</v>
      </c>
      <c r="E26899" s="8">
        <v>0</v>
      </c>
      <c r="F26899" s="8">
        <v>536</v>
      </c>
    </row>
    <row r="26900" spans="1:6" ht="12.75">
      <c r="A26900" s="8">
        <v>43892.381238425922</v>
      </c>
      <c r="B26900" s="8" t="str">
        <f>HYPERLINK("https://twitter.com/bbyIoey","@bbyIoey")</f>
        <v>@bbyIoey</v>
      </c>
      <c r="C26900" s="8" t="s">
        <v>2199</v>
      </c>
      <c r="D26900" s="8">
        <v>2888</v>
      </c>
      <c r="E26900" s="8">
        <v>0</v>
      </c>
      <c r="F26900" s="8">
        <v>509</v>
      </c>
    </row>
    <row r="26901" spans="1:6" ht="12.75">
      <c r="A26901" s="8">
        <v>43892.381203703699</v>
      </c>
      <c r="B26901" s="8" t="str">
        <f>HYPERLINK("https://twitter.com/AlisahDw","@AlisahDw")</f>
        <v>@AlisahDw</v>
      </c>
      <c r="C26901" s="8" t="s">
        <v>2199</v>
      </c>
      <c r="D26901" s="8">
        <v>2888</v>
      </c>
      <c r="E26901" s="8">
        <v>0</v>
      </c>
      <c r="F26901" s="8">
        <v>58</v>
      </c>
    </row>
    <row r="26902" spans="1:6" ht="12.75">
      <c r="A26902" s="8">
        <v>43892.38118055556</v>
      </c>
      <c r="B26902" s="8" t="str">
        <f>HYPERLINK("https://twitter.com/yustiatya","@yustiatya")</f>
        <v>@yustiatya</v>
      </c>
      <c r="C26902" s="8" t="s">
        <v>2272</v>
      </c>
      <c r="D26902" s="8">
        <v>962</v>
      </c>
      <c r="E26902" s="8">
        <v>0</v>
      </c>
      <c r="F26902" s="8">
        <v>512</v>
      </c>
    </row>
    <row r="26903" spans="1:6" ht="12.75">
      <c r="A26903" s="8">
        <v>43892.381076388891</v>
      </c>
      <c r="B26903" s="8" t="str">
        <f>HYPERLINK("https://twitter.com/Rakakuk","@Rakakuk")</f>
        <v>@Rakakuk</v>
      </c>
      <c r="C26903" s="8" t="s">
        <v>2199</v>
      </c>
      <c r="D26903" s="8">
        <v>2888</v>
      </c>
      <c r="E26903" s="8">
        <v>0</v>
      </c>
      <c r="F26903" s="8">
        <v>1387</v>
      </c>
    </row>
    <row r="26904" spans="1:6" ht="12.75">
      <c r="A26904" s="8">
        <v>43892.381053240737</v>
      </c>
      <c r="B26904" s="8" t="str">
        <f>HYPERLINK("https://twitter.com/idntimes","@idntimes")</f>
        <v>@idntimes</v>
      </c>
      <c r="C26904" s="8" t="s">
        <v>10344</v>
      </c>
      <c r="D26904" s="8">
        <v>1</v>
      </c>
      <c r="E26904" s="8">
        <v>0</v>
      </c>
      <c r="F26904" s="8">
        <v>393735</v>
      </c>
    </row>
    <row r="26905" spans="1:6" ht="12.75">
      <c r="A26905" s="8">
        <v>43892.381018518514</v>
      </c>
      <c r="B26905" s="8" t="str">
        <f>HYPERLINK("https://twitter.com/rO1zz_R124L","@rO1zz_R124L")</f>
        <v>@rO1zz_R124L</v>
      </c>
      <c r="C26905" s="8" t="s">
        <v>4990</v>
      </c>
      <c r="D26905" s="8">
        <v>305</v>
      </c>
      <c r="E26905" s="8">
        <v>0</v>
      </c>
      <c r="F26905" s="8">
        <v>374</v>
      </c>
    </row>
    <row r="26906" spans="1:6" ht="12.75">
      <c r="A26906" s="8">
        <v>43892.380983796298</v>
      </c>
      <c r="B26906" s="8" t="str">
        <f>HYPERLINK("https://twitter.com/dkurniawan1991","@dkurniawan1991")</f>
        <v>@dkurniawan1991</v>
      </c>
      <c r="C26906" s="8" t="s">
        <v>2199</v>
      </c>
      <c r="D26906" s="8">
        <v>2888</v>
      </c>
      <c r="E26906" s="8">
        <v>0</v>
      </c>
      <c r="F26906" s="8">
        <v>144</v>
      </c>
    </row>
    <row r="26907" spans="1:6" ht="12.75">
      <c r="A26907" s="8">
        <v>43892.380960648152</v>
      </c>
      <c r="B26907" s="8" t="str">
        <f>HYPERLINK("https://twitter.com/bamby9999","@bamby9999")</f>
        <v>@bamby9999</v>
      </c>
      <c r="C26907" s="8" t="s">
        <v>5732</v>
      </c>
      <c r="D26907" s="8">
        <v>898</v>
      </c>
      <c r="E26907" s="8">
        <v>0</v>
      </c>
      <c r="F26907" s="8">
        <v>174</v>
      </c>
    </row>
    <row r="26908" spans="1:6" ht="12.75">
      <c r="A26908" s="8">
        <v>43892.380937499998</v>
      </c>
      <c r="B26908" s="8" t="str">
        <f>HYPERLINK("https://twitter.com/AlisahDw","@AlisahDw")</f>
        <v>@AlisahDw</v>
      </c>
      <c r="C26908" s="8" t="s">
        <v>9919</v>
      </c>
      <c r="D26908" s="8">
        <v>32</v>
      </c>
      <c r="E26908" s="8">
        <v>0</v>
      </c>
      <c r="F26908" s="8">
        <v>58</v>
      </c>
    </row>
    <row r="26909" spans="1:6" ht="12.75">
      <c r="A26909" s="8">
        <v>43892.380925925929</v>
      </c>
      <c r="B26909" s="8" t="str">
        <f>HYPERLINK("https://twitter.com/ardicandaa","@ardicandaa")</f>
        <v>@ardicandaa</v>
      </c>
      <c r="C26909" s="8" t="s">
        <v>10345</v>
      </c>
      <c r="D26909" s="8">
        <v>0</v>
      </c>
      <c r="E26909" s="8">
        <v>0</v>
      </c>
      <c r="F26909" s="8">
        <v>493</v>
      </c>
    </row>
    <row r="26910" spans="1:6" ht="12.75">
      <c r="A26910" s="8">
        <v>43892.380879629629</v>
      </c>
      <c r="B26910" s="8" t="str">
        <f>HYPERLINK("https://twitter.com/rita_tj","@rita_tj")</f>
        <v>@rita_tj</v>
      </c>
      <c r="C26910" s="8" t="s">
        <v>4150</v>
      </c>
      <c r="D26910" s="8">
        <v>206</v>
      </c>
      <c r="E26910" s="8">
        <v>0</v>
      </c>
      <c r="F26910" s="8">
        <v>4725</v>
      </c>
    </row>
    <row r="26911" spans="1:6" ht="12.75">
      <c r="A26911" s="8">
        <v>43892.380868055552</v>
      </c>
      <c r="B26911" s="8" t="str">
        <f>HYPERLINK("https://twitter.com/kris_th2010","@kris_th2010")</f>
        <v>@kris_th2010</v>
      </c>
      <c r="C26911" s="8" t="s">
        <v>4150</v>
      </c>
      <c r="D26911" s="8">
        <v>206</v>
      </c>
      <c r="E26911" s="8">
        <v>0</v>
      </c>
      <c r="F26911" s="8">
        <v>43</v>
      </c>
    </row>
    <row r="26912" spans="1:6" ht="12.75">
      <c r="A26912" s="8">
        <v>43892.380856481483</v>
      </c>
      <c r="B26912" s="8" t="str">
        <f>HYPERLINK("https://twitter.com/ini_irman","@ini_irman")</f>
        <v>@ini_irman</v>
      </c>
      <c r="C26912" s="8" t="s">
        <v>9910</v>
      </c>
      <c r="D26912" s="8">
        <v>109</v>
      </c>
      <c r="E26912" s="8">
        <v>0</v>
      </c>
      <c r="F26912" s="8">
        <v>172</v>
      </c>
    </row>
    <row r="26913" spans="1:6" ht="12.75">
      <c r="A26913" s="8">
        <v>43892.38082175926</v>
      </c>
      <c r="B26913" s="8" t="str">
        <f>HYPERLINK("https://twitter.com/Katakuri019","@Katakuri019")</f>
        <v>@Katakuri019</v>
      </c>
      <c r="C26913" s="8" t="s">
        <v>9910</v>
      </c>
      <c r="D26913" s="8">
        <v>109</v>
      </c>
      <c r="E26913" s="8">
        <v>0</v>
      </c>
      <c r="F26913" s="8">
        <v>202</v>
      </c>
    </row>
    <row r="26914" spans="1:6" ht="12.75">
      <c r="A26914" s="8">
        <v>43892.38082175926</v>
      </c>
      <c r="B26914" s="8" t="str">
        <f>HYPERLINK("https://twitter.com/lluvia0604","@lluvia0604")</f>
        <v>@lluvia0604</v>
      </c>
      <c r="C26914" s="8" t="s">
        <v>2199</v>
      </c>
      <c r="D26914" s="8">
        <v>2888</v>
      </c>
      <c r="E26914" s="8">
        <v>0</v>
      </c>
      <c r="F26914" s="8">
        <v>30</v>
      </c>
    </row>
    <row r="26915" spans="1:6" ht="12.75">
      <c r="A26915" s="8">
        <v>43892.380787037036</v>
      </c>
      <c r="B26915" s="8" t="str">
        <f>HYPERLINK("https://twitter.com/Emmah_nr2","@Emmah_nr2")</f>
        <v>@Emmah_nr2</v>
      </c>
      <c r="C26915" s="8" t="s">
        <v>2272</v>
      </c>
      <c r="D26915" s="8">
        <v>962</v>
      </c>
      <c r="E26915" s="8">
        <v>0</v>
      </c>
      <c r="F26915" s="8">
        <v>34</v>
      </c>
    </row>
    <row r="26916" spans="1:6" ht="12.75">
      <c r="A26916" s="8">
        <v>43892.380694444444</v>
      </c>
      <c r="B26916" s="8" t="str">
        <f>HYPERLINK("https://twitter.com/Hayik02","@Hayik02")</f>
        <v>@Hayik02</v>
      </c>
      <c r="C26916" s="8" t="s">
        <v>8962</v>
      </c>
      <c r="D26916" s="8">
        <v>228</v>
      </c>
      <c r="E26916" s="8">
        <v>0</v>
      </c>
      <c r="F26916" s="8">
        <v>275</v>
      </c>
    </row>
    <row r="26917" spans="1:6" ht="12.75">
      <c r="A26917" s="8">
        <v>43892.380694444444</v>
      </c>
      <c r="B26917" s="8" t="str">
        <f>HYPERLINK("https://twitter.com/hardewiputri","@hardewiputri")</f>
        <v>@hardewiputri</v>
      </c>
      <c r="C26917" s="8" t="s">
        <v>4150</v>
      </c>
      <c r="D26917" s="8">
        <v>206</v>
      </c>
      <c r="E26917" s="8">
        <v>0</v>
      </c>
      <c r="F26917" s="8">
        <v>2484</v>
      </c>
    </row>
    <row r="26918" spans="1:6" ht="12.75">
      <c r="A26918" s="8">
        <v>43892.380659722221</v>
      </c>
      <c r="B26918" s="8" t="str">
        <f>HYPERLINK("https://twitter.com/Aiek_Channel__","@Aiek_Channel__")</f>
        <v>@Aiek_Channel__</v>
      </c>
      <c r="C26918" s="8" t="s">
        <v>10346</v>
      </c>
      <c r="D26918" s="8">
        <v>13</v>
      </c>
      <c r="E26918" s="8">
        <v>0</v>
      </c>
      <c r="F26918" s="8">
        <v>8930</v>
      </c>
    </row>
    <row r="26919" spans="1:6" ht="12.75">
      <c r="A26919" s="8">
        <v>43892.380636574075</v>
      </c>
      <c r="B26919" s="8" t="str">
        <f>HYPERLINK("https://twitter.com/heyucha","@heyucha")</f>
        <v>@heyucha</v>
      </c>
      <c r="C26919" s="8" t="s">
        <v>9910</v>
      </c>
      <c r="D26919" s="8">
        <v>109</v>
      </c>
      <c r="E26919" s="8">
        <v>0</v>
      </c>
      <c r="F26919" s="8">
        <v>717</v>
      </c>
    </row>
    <row r="26920" spans="1:6" ht="12.75">
      <c r="A26920" s="8">
        <v>43892.380601851852</v>
      </c>
      <c r="B26920" s="8" t="str">
        <f>HYPERLINK("https://twitter.com/JoePryMan","@JoePryMan")</f>
        <v>@JoePryMan</v>
      </c>
      <c r="C26920" s="8" t="s">
        <v>2199</v>
      </c>
      <c r="D26920" s="8">
        <v>2888</v>
      </c>
      <c r="E26920" s="8">
        <v>0</v>
      </c>
      <c r="F26920" s="8">
        <v>354</v>
      </c>
    </row>
    <row r="26921" spans="1:6" ht="12.75">
      <c r="A26921" s="8">
        <v>43892.380601851852</v>
      </c>
      <c r="B26921" s="8" t="str">
        <f>HYPERLINK("https://twitter.com/sammythoughtss_","@sammythoughtss_")</f>
        <v>@sammythoughtss_</v>
      </c>
      <c r="C26921" s="8" t="s">
        <v>2272</v>
      </c>
      <c r="D26921" s="8">
        <v>962</v>
      </c>
      <c r="E26921" s="8">
        <v>0</v>
      </c>
      <c r="F26921" s="8">
        <v>104</v>
      </c>
    </row>
    <row r="26922" spans="1:6" ht="12.75">
      <c r="A26922" s="8">
        <v>43892.380509259259</v>
      </c>
      <c r="B26922" s="8" t="str">
        <f>HYPERLINK("https://twitter.com/adistychwijaya","@adistychwijaya")</f>
        <v>@adistychwijaya</v>
      </c>
      <c r="C26922" s="8" t="s">
        <v>10295</v>
      </c>
      <c r="D26922" s="8">
        <v>107</v>
      </c>
      <c r="E26922" s="8">
        <v>0</v>
      </c>
      <c r="F26922" s="8">
        <v>285</v>
      </c>
    </row>
    <row r="26923" spans="1:6" ht="12.75">
      <c r="A26923" s="8">
        <v>43892.380486111113</v>
      </c>
      <c r="B26923" s="8" t="str">
        <f>HYPERLINK("https://twitter.com/Arisyanabassama","@Arisyanabassama")</f>
        <v>@Arisyanabassama</v>
      </c>
      <c r="C26923" s="8" t="s">
        <v>5732</v>
      </c>
      <c r="D26923" s="8">
        <v>898</v>
      </c>
      <c r="E26923" s="8">
        <v>0</v>
      </c>
      <c r="F26923" s="8">
        <v>400</v>
      </c>
    </row>
    <row r="26924" spans="1:6" ht="12.75">
      <c r="A26924" s="8">
        <v>43892.380462962959</v>
      </c>
      <c r="B26924" s="8" t="str">
        <f>HYPERLINK("https://twitter.com/Syarbel","@Syarbel")</f>
        <v>@Syarbel</v>
      </c>
      <c r="C26924" s="8" t="s">
        <v>2199</v>
      </c>
      <c r="D26924" s="8">
        <v>2888</v>
      </c>
      <c r="E26924" s="8">
        <v>0</v>
      </c>
      <c r="F26924" s="8">
        <v>688</v>
      </c>
    </row>
    <row r="26925" spans="1:6" ht="12.75">
      <c r="A26925" s="8">
        <v>43892.38045138889</v>
      </c>
      <c r="B26925" s="8" t="str">
        <f>HYPERLINK("https://twitter.com/rifshxhe","@rifshxhe")</f>
        <v>@rifshxhe</v>
      </c>
      <c r="C26925" s="8" t="s">
        <v>2199</v>
      </c>
      <c r="D26925" s="8">
        <v>2888</v>
      </c>
      <c r="E26925" s="8">
        <v>0</v>
      </c>
      <c r="F26925" s="8">
        <v>1021</v>
      </c>
    </row>
    <row r="26926" spans="1:6" ht="12.75">
      <c r="A26926" s="8">
        <v>43892.380439814813</v>
      </c>
      <c r="B26926" s="8" t="str">
        <f>HYPERLINK("https://twitter.com/aya_ddt","@aya_ddt")</f>
        <v>@aya_ddt</v>
      </c>
      <c r="C26926" s="8" t="s">
        <v>10347</v>
      </c>
      <c r="D26926" s="8">
        <v>4</v>
      </c>
      <c r="E26926" s="8">
        <v>0</v>
      </c>
      <c r="F26926" s="8">
        <v>436</v>
      </c>
    </row>
    <row r="26927" spans="1:6" ht="12.75">
      <c r="A26927" s="8">
        <v>43892.380405092597</v>
      </c>
      <c r="B26927" s="8" t="str">
        <f>HYPERLINK("https://twitter.com/melindakartin_","@melindakartin_")</f>
        <v>@melindakartin_</v>
      </c>
      <c r="C26927" s="8" t="s">
        <v>4150</v>
      </c>
      <c r="D26927" s="8">
        <v>206</v>
      </c>
      <c r="E26927" s="8">
        <v>0</v>
      </c>
      <c r="F26927" s="8">
        <v>618</v>
      </c>
    </row>
    <row r="26928" spans="1:6" ht="12.75">
      <c r="A26928" s="8">
        <v>43892.380324074074</v>
      </c>
      <c r="B26928" s="8" t="str">
        <f>HYPERLINK("https://twitter.com/adyfaiz","@adyfaiz")</f>
        <v>@adyfaiz</v>
      </c>
      <c r="C26928" s="8" t="s">
        <v>9910</v>
      </c>
      <c r="D26928" s="8">
        <v>109</v>
      </c>
      <c r="E26928" s="8">
        <v>0</v>
      </c>
      <c r="F26928" s="8">
        <v>110</v>
      </c>
    </row>
    <row r="26929" spans="1:6" ht="12.75">
      <c r="A26929" s="8">
        <v>43892.380312499998</v>
      </c>
      <c r="B26929" s="8" t="str">
        <f>HYPERLINK("https://twitter.com/diditry_","@diditry_")</f>
        <v>@diditry_</v>
      </c>
      <c r="C26929" s="8" t="s">
        <v>2272</v>
      </c>
      <c r="D26929" s="8">
        <v>962</v>
      </c>
      <c r="E26929" s="8">
        <v>0</v>
      </c>
      <c r="F26929" s="8">
        <v>340</v>
      </c>
    </row>
    <row r="26930" spans="1:6" ht="12.75">
      <c r="A26930" s="8">
        <v>43892.380312499998</v>
      </c>
      <c r="B26930" s="8" t="str">
        <f>HYPERLINK("https://twitter.com/Febyval22","@Febyval22")</f>
        <v>@Febyval22</v>
      </c>
      <c r="C26930" s="8" t="s">
        <v>9729</v>
      </c>
      <c r="D26930" s="8">
        <v>134</v>
      </c>
      <c r="E26930" s="8">
        <v>0</v>
      </c>
      <c r="F26930" s="8">
        <v>298</v>
      </c>
    </row>
    <row r="26931" spans="1:6" ht="12.75">
      <c r="A26931" s="8">
        <v>43892.380231481482</v>
      </c>
      <c r="B26931" s="8" t="str">
        <f>HYPERLINK("https://twitter.com/azhaarndh","@azhaarndh")</f>
        <v>@azhaarndh</v>
      </c>
      <c r="C26931" s="8" t="s">
        <v>2199</v>
      </c>
      <c r="D26931" s="8">
        <v>2888</v>
      </c>
      <c r="E26931" s="8">
        <v>0</v>
      </c>
      <c r="F26931" s="8">
        <v>513</v>
      </c>
    </row>
    <row r="26932" spans="1:6" ht="12.75">
      <c r="A26932" s="8">
        <v>43892.380196759259</v>
      </c>
      <c r="B26932" s="8" t="str">
        <f>HYPERLINK("https://twitter.com/Maulinaantika3","@Maulinaantika3")</f>
        <v>@Maulinaantika3</v>
      </c>
      <c r="C26932" s="8" t="s">
        <v>6764</v>
      </c>
      <c r="D26932" s="8">
        <v>31</v>
      </c>
      <c r="E26932" s="8">
        <v>0</v>
      </c>
      <c r="F26932" s="8">
        <v>4865</v>
      </c>
    </row>
    <row r="26933" spans="1:6" ht="12.75">
      <c r="A26933" s="8">
        <v>43892.380104166667</v>
      </c>
      <c r="B26933" s="8" t="str">
        <f>HYPERLINK("https://twitter.com/masdiisya","@masdiisya")</f>
        <v>@masdiisya</v>
      </c>
      <c r="C26933" s="8" t="s">
        <v>9910</v>
      </c>
      <c r="D26933" s="8">
        <v>109</v>
      </c>
      <c r="E26933" s="8">
        <v>0</v>
      </c>
      <c r="F26933" s="8">
        <v>101</v>
      </c>
    </row>
    <row r="26934" spans="1:6" ht="12.75">
      <c r="A26934" s="8">
        <v>43892.38008101852</v>
      </c>
      <c r="B26934" s="8" t="str">
        <f>HYPERLINK("https://twitter.com/sinovaaja","@sinovaaja")</f>
        <v>@sinovaaja</v>
      </c>
      <c r="C26934" s="8" t="s">
        <v>2199</v>
      </c>
      <c r="D26934" s="8">
        <v>2888</v>
      </c>
      <c r="E26934" s="8">
        <v>0</v>
      </c>
      <c r="F26934" s="8">
        <v>793</v>
      </c>
    </row>
    <row r="26935" spans="1:6" ht="12.75">
      <c r="A26935" s="8">
        <v>43892.380046296297</v>
      </c>
      <c r="B26935" s="8" t="str">
        <f>HYPERLINK("https://twitter.com/SMILE39461132","@SMILE39461132")</f>
        <v>@SMILE39461132</v>
      </c>
      <c r="C26935" s="8" t="s">
        <v>9153</v>
      </c>
      <c r="D26935" s="8">
        <v>28</v>
      </c>
      <c r="E26935" s="8">
        <v>0</v>
      </c>
      <c r="F26935" s="8">
        <v>468</v>
      </c>
    </row>
    <row r="26936" spans="1:6" ht="12.75">
      <c r="A26936" s="8">
        <v>43892.380023148144</v>
      </c>
      <c r="B26936" s="8" t="str">
        <f>HYPERLINK("https://twitter.com/gugukcoklat","@gugukcoklat")</f>
        <v>@gugukcoklat</v>
      </c>
      <c r="C26936" s="8" t="s">
        <v>2199</v>
      </c>
      <c r="D26936" s="8">
        <v>2888</v>
      </c>
      <c r="E26936" s="8">
        <v>0</v>
      </c>
      <c r="F26936" s="8">
        <v>61</v>
      </c>
    </row>
    <row r="26937" spans="1:6" ht="12.75">
      <c r="A26937" s="8">
        <v>43892.380023148144</v>
      </c>
      <c r="B26937" s="8" t="str">
        <f>HYPERLINK("https://twitter.com/RFauzy5","@RFauzy5")</f>
        <v>@RFauzy5</v>
      </c>
      <c r="C26937" s="8" t="s">
        <v>6764</v>
      </c>
      <c r="D26937" s="8">
        <v>31</v>
      </c>
      <c r="E26937" s="8">
        <v>0</v>
      </c>
      <c r="F26937" s="8">
        <v>2540</v>
      </c>
    </row>
    <row r="26938" spans="1:6" ht="12.75">
      <c r="A26938" s="8">
        <v>43892.379953703705</v>
      </c>
      <c r="B26938" s="8" t="str">
        <f>HYPERLINK("https://twitter.com/Ridho_Nrwntr","@Ridho_Nrwntr")</f>
        <v>@Ridho_Nrwntr</v>
      </c>
      <c r="C26938" s="8" t="s">
        <v>2199</v>
      </c>
      <c r="D26938" s="8">
        <v>2888</v>
      </c>
      <c r="E26938" s="8">
        <v>0</v>
      </c>
      <c r="F26938" s="8">
        <v>397</v>
      </c>
    </row>
    <row r="26939" spans="1:6" ht="12.75">
      <c r="A26939" s="8">
        <v>43892.379895833335</v>
      </c>
      <c r="B26939" s="8" t="str">
        <f>HYPERLINK("https://twitter.com/apien_k19","@apien_k19")</f>
        <v>@apien_k19</v>
      </c>
      <c r="C26939" s="8" t="s">
        <v>10348</v>
      </c>
      <c r="D26939" s="8">
        <v>31</v>
      </c>
      <c r="E26939" s="8">
        <v>0</v>
      </c>
      <c r="F26939" s="8">
        <v>519</v>
      </c>
    </row>
    <row r="26940" spans="1:6" ht="12.75">
      <c r="A26940" s="8">
        <v>43892.379861111112</v>
      </c>
      <c r="B26940" s="8" t="str">
        <f>HYPERLINK("https://twitter.com/inu_ratih1","@inu_ratih1")</f>
        <v>@inu_ratih1</v>
      </c>
      <c r="C26940" s="8" t="s">
        <v>10349</v>
      </c>
      <c r="D26940" s="8">
        <v>6</v>
      </c>
      <c r="E26940" s="8">
        <v>0</v>
      </c>
      <c r="F26940" s="8">
        <v>97</v>
      </c>
    </row>
    <row r="26941" spans="1:6" ht="12.75">
      <c r="A26941" s="8">
        <v>43892.379803240736</v>
      </c>
      <c r="B26941" s="8" t="str">
        <f>HYPERLINK("https://twitter.com/aanavn_","@aanavn_")</f>
        <v>@aanavn_</v>
      </c>
      <c r="C26941" s="8" t="s">
        <v>2199</v>
      </c>
      <c r="D26941" s="8">
        <v>2888</v>
      </c>
      <c r="E26941" s="8">
        <v>0</v>
      </c>
      <c r="F26941" s="8">
        <v>321</v>
      </c>
    </row>
    <row r="26942" spans="1:6" ht="12.75">
      <c r="A26942" s="8">
        <v>43892.379780092597</v>
      </c>
      <c r="B26942" s="8" t="str">
        <f>HYPERLINK("https://twitter.com/Mbokdarmii","@Mbokdarmii")</f>
        <v>@Mbokdarmii</v>
      </c>
      <c r="C26942" s="8" t="s">
        <v>1749</v>
      </c>
      <c r="D26942" s="8">
        <v>71</v>
      </c>
      <c r="E26942" s="8">
        <v>0</v>
      </c>
      <c r="F26942" s="8">
        <v>377</v>
      </c>
    </row>
    <row r="26943" spans="1:6" ht="12.75">
      <c r="A26943" s="8">
        <v>43892.37976851852</v>
      </c>
      <c r="B26943" s="8" t="str">
        <f>HYPERLINK("https://twitter.com/sarahgarcias","@sarahgarcias")</f>
        <v>@sarahgarcias</v>
      </c>
      <c r="C26943" s="8" t="s">
        <v>2199</v>
      </c>
      <c r="D26943" s="8">
        <v>2888</v>
      </c>
      <c r="E26943" s="8">
        <v>0</v>
      </c>
      <c r="F26943" s="8">
        <v>296</v>
      </c>
    </row>
    <row r="26944" spans="1:6" ht="12.75">
      <c r="A26944" s="8">
        <v>43892.379733796297</v>
      </c>
      <c r="B26944" s="8" t="str">
        <f>HYPERLINK("https://twitter.com/Hayik02","@Hayik02")</f>
        <v>@Hayik02</v>
      </c>
      <c r="C26944" s="8" t="s">
        <v>2199</v>
      </c>
      <c r="D26944" s="8">
        <v>2888</v>
      </c>
      <c r="E26944" s="8">
        <v>0</v>
      </c>
      <c r="F26944" s="8">
        <v>275</v>
      </c>
    </row>
    <row r="26945" spans="1:6" ht="12.75">
      <c r="A26945" s="8">
        <v>43892.379652777774</v>
      </c>
      <c r="B26945" s="8" t="str">
        <f>HYPERLINK("https://twitter.com/hnfxx666","@hnfxx666")</f>
        <v>@hnfxx666</v>
      </c>
      <c r="C26945" s="8" t="s">
        <v>2199</v>
      </c>
      <c r="D26945" s="8">
        <v>2888</v>
      </c>
      <c r="E26945" s="8">
        <v>0</v>
      </c>
      <c r="F26945" s="8">
        <v>97</v>
      </c>
    </row>
    <row r="26946" spans="1:6" ht="12.75">
      <c r="A26946" s="8">
        <v>43892.379629629635</v>
      </c>
      <c r="B26946" s="8" t="str">
        <f>HYPERLINK("https://twitter.com/Pesa020219","@Pesa020219")</f>
        <v>@Pesa020219</v>
      </c>
      <c r="C26946" s="8" t="s">
        <v>3850</v>
      </c>
      <c r="D26946" s="8">
        <v>1230</v>
      </c>
      <c r="E26946" s="8">
        <v>0</v>
      </c>
      <c r="F26946" s="8">
        <v>860</v>
      </c>
    </row>
    <row r="26947" spans="1:6" ht="12.75">
      <c r="A26947" s="8">
        <v>43892.379560185189</v>
      </c>
      <c r="B26947" s="8" t="str">
        <f>HYPERLINK("https://twitter.com/metro24_co","@metro24_co")</f>
        <v>@metro24_co</v>
      </c>
      <c r="C26947" s="8" t="s">
        <v>10350</v>
      </c>
      <c r="D26947" s="8">
        <v>0</v>
      </c>
      <c r="E26947" s="8">
        <v>0</v>
      </c>
      <c r="F26947" s="8">
        <v>380</v>
      </c>
    </row>
    <row r="26948" spans="1:6" ht="12.75">
      <c r="A26948" s="8">
        <v>43892.379560185189</v>
      </c>
      <c r="B26948" s="8" t="str">
        <f>HYPERLINK("https://twitter.com/Sarah_Pndj","@Sarah_Pndj")</f>
        <v>@Sarah_Pndj</v>
      </c>
      <c r="C26948" s="8" t="s">
        <v>10347</v>
      </c>
      <c r="D26948" s="8">
        <v>4</v>
      </c>
      <c r="E26948" s="8">
        <v>0</v>
      </c>
      <c r="F26948" s="8">
        <v>27060</v>
      </c>
    </row>
    <row r="26949" spans="1:6" ht="12.75">
      <c r="A26949" s="8">
        <v>43892.379548611112</v>
      </c>
      <c r="B26949" s="8" t="str">
        <f>HYPERLINK("https://twitter.com/pikiran_rakyat","@pikiran_rakyat")</f>
        <v>@pikiran_rakyat</v>
      </c>
      <c r="C26949" s="8" t="s">
        <v>10351</v>
      </c>
      <c r="D26949" s="8">
        <v>0</v>
      </c>
      <c r="E26949" s="8">
        <v>0</v>
      </c>
      <c r="F26949" s="8">
        <v>413130</v>
      </c>
    </row>
    <row r="26950" spans="1:6" ht="12.75">
      <c r="A26950" s="8">
        <v>43892.379513888889</v>
      </c>
      <c r="B26950" s="8" t="str">
        <f>HYPERLINK("https://twitter.com/rizki_bachtiar","@rizki_bachtiar")</f>
        <v>@rizki_bachtiar</v>
      </c>
      <c r="C26950" s="8" t="s">
        <v>5732</v>
      </c>
      <c r="D26950" s="8">
        <v>898</v>
      </c>
      <c r="E26950" s="8">
        <v>0</v>
      </c>
      <c r="F26950" s="8">
        <v>192</v>
      </c>
    </row>
    <row r="26951" spans="1:6" ht="12.75">
      <c r="A26951" s="8">
        <v>43892.379479166666</v>
      </c>
      <c r="B26951" s="8" t="str">
        <f>HYPERLINK("https://twitter.com/yusiwisinar","@yusiwisinar")</f>
        <v>@yusiwisinar</v>
      </c>
      <c r="C26951" s="8" t="s">
        <v>5732</v>
      </c>
      <c r="D26951" s="8">
        <v>898</v>
      </c>
      <c r="E26951" s="8">
        <v>0</v>
      </c>
      <c r="F26951" s="8">
        <v>515</v>
      </c>
    </row>
    <row r="26952" spans="1:6" ht="12.75">
      <c r="A26952" s="8">
        <v>43892.379421296297</v>
      </c>
      <c r="B26952" s="8" t="str">
        <f>HYPERLINK("https://twitter.com/Masdjodi1","@Masdjodi1")</f>
        <v>@Masdjodi1</v>
      </c>
      <c r="C26952" s="8" t="s">
        <v>9910</v>
      </c>
      <c r="D26952" s="8">
        <v>109</v>
      </c>
      <c r="E26952" s="8">
        <v>0</v>
      </c>
      <c r="F26952" s="8">
        <v>703</v>
      </c>
    </row>
    <row r="26953" spans="1:6" ht="12.75">
      <c r="A26953" s="8">
        <v>43892.379398148143</v>
      </c>
      <c r="B26953" s="8" t="str">
        <f>HYPERLINK("https://twitter.com/bbungchan","@bbungchan")</f>
        <v>@bbungchan</v>
      </c>
      <c r="C26953" s="8" t="s">
        <v>2199</v>
      </c>
      <c r="D26953" s="8">
        <v>2888</v>
      </c>
      <c r="E26953" s="8">
        <v>0</v>
      </c>
      <c r="F26953" s="8">
        <v>3070</v>
      </c>
    </row>
    <row r="26954" spans="1:6" ht="12.75">
      <c r="A26954" s="8">
        <v>43892.379340277781</v>
      </c>
      <c r="B26954" s="8" t="str">
        <f>HYPERLINK("https://twitter.com/febry_alfat","@febry_alfat")</f>
        <v>@febry_alfat</v>
      </c>
      <c r="C26954" s="8" t="s">
        <v>5732</v>
      </c>
      <c r="D26954" s="8">
        <v>898</v>
      </c>
      <c r="E26954" s="8">
        <v>0</v>
      </c>
      <c r="F26954" s="8">
        <v>172</v>
      </c>
    </row>
    <row r="26955" spans="1:6" ht="12.75">
      <c r="A26955" s="8">
        <v>43892.379340277781</v>
      </c>
      <c r="B26955" s="8" t="str">
        <f>HYPERLINK("https://twitter.com/Aylrinrb","@Aylrinrb")</f>
        <v>@Aylrinrb</v>
      </c>
      <c r="C26955" s="8" t="s">
        <v>2199</v>
      </c>
      <c r="D26955" s="8">
        <v>2888</v>
      </c>
      <c r="E26955" s="8">
        <v>0</v>
      </c>
      <c r="F26955" s="8">
        <v>41</v>
      </c>
    </row>
    <row r="26956" spans="1:6" ht="12.75">
      <c r="A26956" s="8">
        <v>43892.379293981481</v>
      </c>
      <c r="B26956" s="8" t="str">
        <f>HYPERLINK("https://twitter.com/cariyduit","@cariyduit")</f>
        <v>@cariyduit</v>
      </c>
      <c r="C26956" s="8" t="s">
        <v>9919</v>
      </c>
      <c r="D26956" s="8">
        <v>32</v>
      </c>
      <c r="E26956" s="8">
        <v>0</v>
      </c>
      <c r="F26956" s="8">
        <v>421</v>
      </c>
    </row>
    <row r="26957" spans="1:6" ht="12.75">
      <c r="A26957" s="8">
        <v>43892.379282407404</v>
      </c>
      <c r="B26957" s="8" t="str">
        <f>HYPERLINK("https://twitter.com/adasiapasiapa","@adasiapasiapa")</f>
        <v>@adasiapasiapa</v>
      </c>
      <c r="C26957" s="8" t="s">
        <v>2199</v>
      </c>
      <c r="D26957" s="8">
        <v>2888</v>
      </c>
      <c r="E26957" s="8">
        <v>0</v>
      </c>
      <c r="F26957" s="8">
        <v>97</v>
      </c>
    </row>
    <row r="26958" spans="1:6" ht="12.75">
      <c r="A26958" s="8">
        <v>43892.379270833335</v>
      </c>
      <c r="B26958" s="8" t="str">
        <f>HYPERLINK("https://twitter.com/cutchrn","@cutchrn")</f>
        <v>@cutchrn</v>
      </c>
      <c r="C26958" s="8" t="s">
        <v>2199</v>
      </c>
      <c r="D26958" s="8">
        <v>2888</v>
      </c>
      <c r="E26958" s="8">
        <v>0</v>
      </c>
      <c r="F26958" s="8">
        <v>273</v>
      </c>
    </row>
    <row r="26959" spans="1:6" ht="12.75">
      <c r="A26959" s="8">
        <v>43892.379224537042</v>
      </c>
      <c r="B26959" s="8" t="str">
        <f>HYPERLINK("https://twitter.com/_wahyusaputro","@_wahyusaputro")</f>
        <v>@_wahyusaputro</v>
      </c>
      <c r="C26959" s="8" t="s">
        <v>5732</v>
      </c>
      <c r="D26959" s="8">
        <v>898</v>
      </c>
      <c r="E26959" s="8">
        <v>0</v>
      </c>
      <c r="F26959" s="8">
        <v>1872</v>
      </c>
    </row>
    <row r="26960" spans="1:6" ht="12.75">
      <c r="A26960" s="8">
        <v>43892.379155092596</v>
      </c>
      <c r="B26960" s="8" t="str">
        <f>HYPERLINK("https://twitter.com/deathbyluck13th","@deathbyluck13th")</f>
        <v>@deathbyluck13th</v>
      </c>
      <c r="C26960" s="8" t="s">
        <v>10347</v>
      </c>
      <c r="D26960" s="8">
        <v>4</v>
      </c>
      <c r="E26960" s="8">
        <v>0</v>
      </c>
      <c r="F26960" s="8">
        <v>407</v>
      </c>
    </row>
    <row r="26961" spans="1:6" ht="12.75">
      <c r="A26961" s="8">
        <v>43892.379027777773</v>
      </c>
      <c r="B26961" s="8" t="str">
        <f>HYPERLINK("https://twitter.com/djumelan","@djumelan")</f>
        <v>@djumelan</v>
      </c>
      <c r="C26961" s="8" t="s">
        <v>10279</v>
      </c>
      <c r="D26961" s="8">
        <v>61</v>
      </c>
      <c r="E26961" s="8">
        <v>0</v>
      </c>
      <c r="F26961" s="8">
        <v>343</v>
      </c>
    </row>
    <row r="26962" spans="1:6" ht="12.75">
      <c r="A26962" s="8">
        <v>43892.378958333335</v>
      </c>
      <c r="B26962" s="8" t="str">
        <f>HYPERLINK("https://twitter.com/mdewiastari","@mdewiastari")</f>
        <v>@mdewiastari</v>
      </c>
      <c r="C26962" s="8" t="s">
        <v>2199</v>
      </c>
      <c r="D26962" s="8">
        <v>2888</v>
      </c>
      <c r="E26962" s="8">
        <v>0</v>
      </c>
      <c r="F26962" s="8">
        <v>976</v>
      </c>
    </row>
    <row r="26963" spans="1:6" ht="12.75">
      <c r="A26963" s="8">
        <v>43892.378958333335</v>
      </c>
      <c r="B26963" s="8" t="str">
        <f>HYPERLINK("https://twitter.com/MuhSaIrman","@MuhSaIrman")</f>
        <v>@MuhSaIrman</v>
      </c>
      <c r="C26963" s="8" t="s">
        <v>9587</v>
      </c>
      <c r="D26963" s="8">
        <v>165</v>
      </c>
      <c r="E26963" s="8">
        <v>0</v>
      </c>
      <c r="F26963" s="8">
        <v>927</v>
      </c>
    </row>
    <row r="26964" spans="1:6" ht="12.75">
      <c r="A26964" s="8">
        <v>43892.378923611112</v>
      </c>
      <c r="B26964" s="8" t="str">
        <f>HYPERLINK("https://twitter.com/Moonlightsyy","@Moonlightsyy")</f>
        <v>@Moonlightsyy</v>
      </c>
      <c r="C26964" s="8" t="s">
        <v>2199</v>
      </c>
      <c r="D26964" s="8">
        <v>2888</v>
      </c>
      <c r="E26964" s="8">
        <v>0</v>
      </c>
      <c r="F26964" s="8">
        <v>87</v>
      </c>
    </row>
    <row r="26965" spans="1:6" ht="12.75">
      <c r="A26965" s="8">
        <v>43892.378912037035</v>
      </c>
      <c r="B26965" s="8" t="str">
        <f>HYPERLINK("https://twitter.com/41chickenlittle","@41chickenlittle")</f>
        <v>@41chickenlittle</v>
      </c>
      <c r="C26965" s="8" t="s">
        <v>10352</v>
      </c>
      <c r="D26965" s="8">
        <v>0</v>
      </c>
      <c r="E26965" s="8">
        <v>0</v>
      </c>
      <c r="F26965" s="8">
        <v>67</v>
      </c>
    </row>
    <row r="26966" spans="1:6" ht="12.75">
      <c r="A26966" s="8">
        <v>43892.378877314812</v>
      </c>
      <c r="B26966" s="8" t="str">
        <f>HYPERLINK("https://twitter.com/Maya070716","@Maya070716")</f>
        <v>@Maya070716</v>
      </c>
      <c r="C26966" s="8" t="s">
        <v>3648</v>
      </c>
      <c r="D26966" s="8">
        <v>166</v>
      </c>
      <c r="E26966" s="8">
        <v>0</v>
      </c>
      <c r="F26966" s="8">
        <v>54</v>
      </c>
    </row>
    <row r="26967" spans="1:6" ht="12.75">
      <c r="A26967" s="8">
        <v>43892.378877314812</v>
      </c>
      <c r="B26967" s="8" t="str">
        <f>HYPERLINK("https://twitter.com/RamliRizal","@RamliRizal")</f>
        <v>@RamliRizal</v>
      </c>
      <c r="C26967" s="8" t="s">
        <v>9910</v>
      </c>
      <c r="D26967" s="8">
        <v>109</v>
      </c>
      <c r="E26967" s="8">
        <v>0</v>
      </c>
      <c r="F26967" s="8">
        <v>505118</v>
      </c>
    </row>
    <row r="26968" spans="1:6" ht="12.75">
      <c r="A26968" s="8">
        <v>43892.378865740742</v>
      </c>
      <c r="B26968" s="8" t="str">
        <f>HYPERLINK("https://twitter.com/alinejimmy","@alinejimmy")</f>
        <v>@alinejimmy</v>
      </c>
      <c r="C26968" s="8" t="s">
        <v>2199</v>
      </c>
      <c r="D26968" s="8">
        <v>2888</v>
      </c>
      <c r="E26968" s="8">
        <v>0</v>
      </c>
      <c r="F26968" s="8">
        <v>260</v>
      </c>
    </row>
    <row r="26969" spans="1:6" ht="12.75">
      <c r="A26969" s="8">
        <v>43892.378865740742</v>
      </c>
      <c r="B26969" s="8" t="str">
        <f>HYPERLINK("https://twitter.com/rlawns3730","@rlawns3730")</f>
        <v>@rlawns3730</v>
      </c>
      <c r="C26969" s="8" t="s">
        <v>2199</v>
      </c>
      <c r="D26969" s="8">
        <v>2888</v>
      </c>
      <c r="E26969" s="8">
        <v>0</v>
      </c>
      <c r="F26969" s="8">
        <v>316</v>
      </c>
    </row>
    <row r="26970" spans="1:6" ht="12.75">
      <c r="A26970" s="8">
        <v>43892.378865740742</v>
      </c>
      <c r="B26970" s="8" t="str">
        <f>HYPERLINK("https://twitter.com/Aldo42128251","@Aldo42128251")</f>
        <v>@Aldo42128251</v>
      </c>
      <c r="C26970" s="8" t="s">
        <v>9153</v>
      </c>
      <c r="D26970" s="8">
        <v>28</v>
      </c>
      <c r="E26970" s="8">
        <v>0</v>
      </c>
      <c r="F26970" s="8">
        <v>247</v>
      </c>
    </row>
    <row r="26971" spans="1:6" ht="12.75">
      <c r="A26971" s="8">
        <v>43892.378865740742</v>
      </c>
      <c r="B26971" s="8" t="str">
        <f>HYPERLINK("https://twitter.com/33nbee","@33nbee")</f>
        <v>@33nbee</v>
      </c>
      <c r="C26971" s="8" t="s">
        <v>10353</v>
      </c>
      <c r="D26971" s="8">
        <v>0</v>
      </c>
      <c r="E26971" s="8">
        <v>0</v>
      </c>
      <c r="F26971" s="8">
        <v>55</v>
      </c>
    </row>
    <row r="26972" spans="1:6" ht="12.75">
      <c r="A26972" s="8">
        <v>43892.378854166665</v>
      </c>
      <c r="B26972" s="8" t="str">
        <f>HYPERLINK("https://twitter.com/BobyMaranda","@BobyMaranda")</f>
        <v>@BobyMaranda</v>
      </c>
      <c r="C26972" s="8" t="s">
        <v>3648</v>
      </c>
      <c r="D26972" s="8">
        <v>166</v>
      </c>
      <c r="E26972" s="8">
        <v>0</v>
      </c>
      <c r="F26972" s="8">
        <v>728</v>
      </c>
    </row>
    <row r="26973" spans="1:6" ht="12.75">
      <c r="A26973" s="8">
        <v>43892.378842592589</v>
      </c>
      <c r="B26973" s="8" t="str">
        <f>HYPERLINK("https://twitter.com/Baliantaranews","@Baliantaranews")</f>
        <v>@Baliantaranews</v>
      </c>
      <c r="C26973" s="8" t="s">
        <v>10354</v>
      </c>
      <c r="D26973" s="8">
        <v>1</v>
      </c>
      <c r="E26973" s="8">
        <v>0</v>
      </c>
      <c r="F26973" s="8">
        <v>741</v>
      </c>
    </row>
    <row r="26974" spans="1:6" ht="12.75">
      <c r="A26974" s="8">
        <v>43892.378831018519</v>
      </c>
      <c r="B26974" s="8" t="str">
        <f>HYPERLINK("https://twitter.com/fransiskussbayu","@fransiskussbayu")</f>
        <v>@fransiskussbayu</v>
      </c>
      <c r="C26974" s="8" t="s">
        <v>2199</v>
      </c>
      <c r="D26974" s="8">
        <v>2888</v>
      </c>
      <c r="E26974" s="8">
        <v>0</v>
      </c>
      <c r="F26974" s="8">
        <v>368</v>
      </c>
    </row>
    <row r="26975" spans="1:6" ht="12.75">
      <c r="A26975" s="8">
        <v>43892.378831018519</v>
      </c>
      <c r="B26975" s="8" t="str">
        <f>HYPERLINK("https://twitter.com/antarasumbar","@antarasumbar")</f>
        <v>@antarasumbar</v>
      </c>
      <c r="C26975" s="8" t="s">
        <v>10355</v>
      </c>
      <c r="D26975" s="8">
        <v>0</v>
      </c>
      <c r="E26975" s="8">
        <v>0</v>
      </c>
      <c r="F26975" s="8">
        <v>9110</v>
      </c>
    </row>
    <row r="26976" spans="1:6" ht="12.75">
      <c r="A26976" s="8">
        <v>43892.378784722227</v>
      </c>
      <c r="B26976" s="8" t="str">
        <f>HYPERLINK("https://twitter.com/cariyduit","@cariyduit")</f>
        <v>@cariyduit</v>
      </c>
      <c r="C26976" s="8" t="s">
        <v>2199</v>
      </c>
      <c r="D26976" s="8">
        <v>2888</v>
      </c>
      <c r="E26976" s="8">
        <v>0</v>
      </c>
      <c r="F26976" s="8">
        <v>421</v>
      </c>
    </row>
    <row r="26977" spans="1:6" ht="12.75">
      <c r="A26977" s="8">
        <v>43892.37871527778</v>
      </c>
      <c r="B26977" s="8" t="str">
        <f>HYPERLINK("https://twitter.com/bamban9s","@bamban9s")</f>
        <v>@bamban9s</v>
      </c>
      <c r="C26977" s="8" t="s">
        <v>2199</v>
      </c>
      <c r="D26977" s="8">
        <v>2888</v>
      </c>
      <c r="E26977" s="8">
        <v>0</v>
      </c>
      <c r="F26977" s="8">
        <v>864</v>
      </c>
    </row>
    <row r="26978" spans="1:6" ht="12.75">
      <c r="A26978" s="8">
        <v>43892.378564814819</v>
      </c>
      <c r="B26978" s="8" t="str">
        <f>HYPERLINK("https://twitter.com/OgiiOgiii","@OgiiOgiii")</f>
        <v>@OgiiOgiii</v>
      </c>
      <c r="C26978" s="8" t="s">
        <v>9238</v>
      </c>
      <c r="D26978" s="8">
        <v>151</v>
      </c>
      <c r="E26978" s="8">
        <v>0</v>
      </c>
      <c r="F26978" s="8">
        <v>1002</v>
      </c>
    </row>
    <row r="26979" spans="1:6" ht="12.75">
      <c r="A26979" s="8">
        <v>43892.378518518519</v>
      </c>
      <c r="B26979" s="8" t="str">
        <f>HYPERLINK("https://twitter.com/ResTarakan","@ResTarakan")</f>
        <v>@ResTarakan</v>
      </c>
      <c r="C26979" s="8" t="s">
        <v>10356</v>
      </c>
      <c r="D26979" s="8">
        <v>0</v>
      </c>
      <c r="E26979" s="8">
        <v>0</v>
      </c>
      <c r="F26979" s="8">
        <v>0</v>
      </c>
    </row>
    <row r="26980" spans="1:6" ht="12.75">
      <c r="A26980" s="8">
        <v>43892.340231481481</v>
      </c>
      <c r="B26980" s="8" t="str">
        <f>HYPERLINK("https://twitter.com/aliflapasere","@aliflapasere")</f>
        <v>@aliflapasere</v>
      </c>
      <c r="C26980" s="8" t="s">
        <v>3850</v>
      </c>
      <c r="D26980" s="8">
        <v>1185</v>
      </c>
      <c r="E26980" s="8">
        <v>0</v>
      </c>
      <c r="F26980" s="8">
        <v>329</v>
      </c>
    </row>
    <row r="26981" spans="1:6" ht="12.75">
      <c r="A26981" s="8">
        <v>43892.340138888889</v>
      </c>
      <c r="B26981" s="8" t="str">
        <f>HYPERLINK("https://twitter.com/menurutsaya2","@menurutsaya2")</f>
        <v>@menurutsaya2</v>
      </c>
      <c r="C26981" s="8" t="s">
        <v>10357</v>
      </c>
      <c r="D26981" s="8">
        <v>0</v>
      </c>
      <c r="E26981" s="8">
        <v>0</v>
      </c>
      <c r="F26981" s="8">
        <v>1</v>
      </c>
    </row>
    <row r="26982" spans="1:6" ht="12.75">
      <c r="A26982" s="8">
        <v>43892.340081018519</v>
      </c>
      <c r="B26982" s="8" t="str">
        <f>HYPERLINK("https://twitter.com/kholismuh11","@kholismuh11")</f>
        <v>@kholismuh11</v>
      </c>
      <c r="C26982" s="8" t="s">
        <v>2199</v>
      </c>
      <c r="D26982" s="8">
        <v>2369</v>
      </c>
      <c r="E26982" s="8">
        <v>0</v>
      </c>
      <c r="F26982" s="8">
        <v>494</v>
      </c>
    </row>
    <row r="26983" spans="1:6" ht="12.75">
      <c r="A26983" s="8">
        <v>43892.340057870373</v>
      </c>
      <c r="B26983" s="8" t="str">
        <f>HYPERLINK("https://twitter.com/wokwokwok3x","@wokwokwok3x")</f>
        <v>@wokwokwok3x</v>
      </c>
      <c r="C26983" s="8" t="s">
        <v>3850</v>
      </c>
      <c r="D26983" s="8">
        <v>1185</v>
      </c>
      <c r="E26983" s="8">
        <v>0</v>
      </c>
      <c r="F26983" s="8">
        <v>503</v>
      </c>
    </row>
    <row r="26984" spans="1:6" ht="12.75">
      <c r="A26984" s="8">
        <v>43892.340046296296</v>
      </c>
      <c r="B26984" s="8" t="str">
        <f>HYPERLINK("https://twitter.com/__MV_llestari__","@__MV_llestari__")</f>
        <v>@__MV_llestari__</v>
      </c>
      <c r="C26984" s="8" t="s">
        <v>10358</v>
      </c>
      <c r="D26984" s="8">
        <v>1</v>
      </c>
      <c r="E26984" s="8">
        <v>0</v>
      </c>
      <c r="F26984" s="8">
        <v>9124</v>
      </c>
    </row>
    <row r="26985" spans="1:6" ht="12.75">
      <c r="A26985" s="8">
        <v>43892.34003472222</v>
      </c>
      <c r="B26985" s="8" t="str">
        <f>HYPERLINK("https://twitter.com/radhityaK","@radhityaK")</f>
        <v>@radhityaK</v>
      </c>
      <c r="C26985" s="8" t="s">
        <v>2199</v>
      </c>
      <c r="D26985" s="8">
        <v>2369</v>
      </c>
      <c r="E26985" s="8">
        <v>0</v>
      </c>
      <c r="F26985" s="8">
        <v>163</v>
      </c>
    </row>
    <row r="26986" spans="1:6" ht="12.75">
      <c r="A26986" s="8">
        <v>43892.34003472222</v>
      </c>
      <c r="B26986" s="8" t="str">
        <f>HYPERLINK("https://twitter.com/Beebayu1","@Beebayu1")</f>
        <v>@Beebayu1</v>
      </c>
      <c r="C26986" s="8" t="s">
        <v>5732</v>
      </c>
      <c r="D26986" s="8">
        <v>763</v>
      </c>
      <c r="E26986" s="8">
        <v>0</v>
      </c>
      <c r="F26986" s="8">
        <v>733</v>
      </c>
    </row>
    <row r="26987" spans="1:6" ht="12.75">
      <c r="A26987" s="8">
        <v>43892.33966435185</v>
      </c>
      <c r="B26987" s="8" t="str">
        <f>HYPERLINK("https://twitter.com/LaRose78992426","@LaRose78992426")</f>
        <v>@LaRose78992426</v>
      </c>
      <c r="C26987" s="8" t="s">
        <v>10174</v>
      </c>
      <c r="D26987" s="8">
        <v>36</v>
      </c>
      <c r="E26987" s="8">
        <v>0</v>
      </c>
      <c r="F26987" s="8">
        <v>273</v>
      </c>
    </row>
    <row r="26988" spans="1:6" ht="12.75">
      <c r="A26988" s="8">
        <v>43892.33966435185</v>
      </c>
      <c r="B26988" s="8" t="str">
        <f>HYPERLINK("https://twitter.com/SunardiGiman1","@SunardiGiman1")</f>
        <v>@SunardiGiman1</v>
      </c>
      <c r="C26988" s="8" t="s">
        <v>5732</v>
      </c>
      <c r="D26988" s="8">
        <v>763</v>
      </c>
      <c r="E26988" s="8">
        <v>0</v>
      </c>
      <c r="F26988" s="8">
        <v>1069</v>
      </c>
    </row>
    <row r="26989" spans="1:6" ht="12.75">
      <c r="A26989" s="8">
        <v>43892.33965277778</v>
      </c>
      <c r="B26989" s="8" t="str">
        <f>HYPERLINK("https://twitter.com/untungsulistiyo","@untungsulistiyo")</f>
        <v>@untungsulistiyo</v>
      </c>
      <c r="C26989" s="8" t="s">
        <v>5732</v>
      </c>
      <c r="D26989" s="8">
        <v>763</v>
      </c>
      <c r="E26989" s="8">
        <v>0</v>
      </c>
      <c r="F26989" s="8">
        <v>236</v>
      </c>
    </row>
    <row r="26990" spans="1:6" ht="12.75">
      <c r="A26990" s="8">
        <v>43892.339641203704</v>
      </c>
      <c r="B26990" s="8" t="str">
        <f>HYPERLINK("https://twitter.com/Abdulla39860063","@Abdulla39860063")</f>
        <v>@Abdulla39860063</v>
      </c>
      <c r="C26990" s="8" t="s">
        <v>10359</v>
      </c>
      <c r="D26990" s="8">
        <v>2</v>
      </c>
      <c r="E26990" s="8">
        <v>0</v>
      </c>
      <c r="F26990" s="8">
        <v>29</v>
      </c>
    </row>
    <row r="26991" spans="1:6" ht="12.75">
      <c r="A26991" s="8">
        <v>43892.339467592596</v>
      </c>
      <c r="B26991" s="8" t="str">
        <f>HYPERLINK("https://twitter.com/dewiwulandari80","@dewiwulandari80")</f>
        <v>@dewiwulandari80</v>
      </c>
      <c r="C26991" s="8" t="s">
        <v>5732</v>
      </c>
      <c r="D26991" s="8">
        <v>763</v>
      </c>
      <c r="E26991" s="8">
        <v>0</v>
      </c>
      <c r="F26991" s="8">
        <v>1318</v>
      </c>
    </row>
    <row r="26992" spans="1:6" ht="12.75">
      <c r="A26992" s="8">
        <v>43892.339444444442</v>
      </c>
      <c r="B26992" s="8" t="str">
        <f>HYPERLINK("https://twitter.com/dwicaaw","@dwicaaw")</f>
        <v>@dwicaaw</v>
      </c>
      <c r="C26992" s="8" t="s">
        <v>2199</v>
      </c>
      <c r="D26992" s="8">
        <v>2369</v>
      </c>
      <c r="E26992" s="8">
        <v>0</v>
      </c>
      <c r="F26992" s="8">
        <v>406</v>
      </c>
    </row>
    <row r="26993" spans="1:6" ht="12.75">
      <c r="A26993" s="8">
        <v>43892.339421296296</v>
      </c>
      <c r="B26993" s="8" t="str">
        <f>HYPERLINK("https://twitter.com/GigVantasma","@GigVantasma")</f>
        <v>@GigVantasma</v>
      </c>
      <c r="C26993" s="8" t="s">
        <v>2199</v>
      </c>
      <c r="D26993" s="8">
        <v>2369</v>
      </c>
      <c r="E26993" s="8">
        <v>0</v>
      </c>
      <c r="F26993" s="8">
        <v>154</v>
      </c>
    </row>
    <row r="26994" spans="1:6" ht="12.75">
      <c r="A26994" s="8">
        <v>43892.339398148149</v>
      </c>
      <c r="B26994" s="8" t="str">
        <f>HYPERLINK("https://twitter.com/BondMubin","@BondMubin")</f>
        <v>@BondMubin</v>
      </c>
      <c r="C26994" s="8" t="s">
        <v>10360</v>
      </c>
      <c r="D26994" s="8">
        <v>26</v>
      </c>
      <c r="E26994" s="8">
        <v>0</v>
      </c>
      <c r="F26994" s="8">
        <v>528</v>
      </c>
    </row>
    <row r="26995" spans="1:6" ht="12.75">
      <c r="A26995" s="8">
        <v>43892.339351851857</v>
      </c>
      <c r="B26995" s="8" t="str">
        <f>HYPERLINK("https://twitter.com/bobbykemhay","@bobbykemhay")</f>
        <v>@bobbykemhay</v>
      </c>
      <c r="C26995" s="8" t="s">
        <v>10361</v>
      </c>
      <c r="D26995" s="8">
        <v>3</v>
      </c>
      <c r="E26995" s="8">
        <v>0</v>
      </c>
      <c r="F26995" s="8">
        <v>260</v>
      </c>
    </row>
    <row r="26996" spans="1:6" ht="12.75">
      <c r="A26996" s="8">
        <v>43892.33929398148</v>
      </c>
      <c r="B26996" s="8" t="str">
        <f>HYPERLINK("https://twitter.com/disapakali","@disapakali")</f>
        <v>@disapakali</v>
      </c>
      <c r="C26996" s="8" t="s">
        <v>2199</v>
      </c>
      <c r="D26996" s="8">
        <v>2369</v>
      </c>
      <c r="E26996" s="8">
        <v>0</v>
      </c>
      <c r="F26996" s="8">
        <v>756</v>
      </c>
    </row>
    <row r="26997" spans="1:6" ht="12.75">
      <c r="A26997" s="8">
        <v>43892.339247685188</v>
      </c>
      <c r="B26997" s="8" t="str">
        <f>HYPERLINK("https://twitter.com/sukatanyaj","@sukatanyaj")</f>
        <v>@sukatanyaj</v>
      </c>
      <c r="C26997" s="8" t="s">
        <v>6764</v>
      </c>
      <c r="D26997" s="8">
        <v>2</v>
      </c>
      <c r="E26997" s="8">
        <v>0</v>
      </c>
      <c r="F26997" s="8">
        <v>5687</v>
      </c>
    </row>
    <row r="26998" spans="1:6" ht="12.75">
      <c r="A26998" s="8">
        <v>43892.339224537034</v>
      </c>
      <c r="B26998" s="8" t="str">
        <f>HYPERLINK("https://twitter.com/meong_94","@meong_94")</f>
        <v>@meong_94</v>
      </c>
      <c r="C26998" s="8" t="s">
        <v>2199</v>
      </c>
      <c r="D26998" s="8">
        <v>2369</v>
      </c>
      <c r="E26998" s="8">
        <v>0</v>
      </c>
      <c r="F26998" s="8">
        <v>12</v>
      </c>
    </row>
    <row r="26999" spans="1:6" ht="12.75">
      <c r="A26999" s="8">
        <v>43892.339201388888</v>
      </c>
      <c r="B26999" s="8" t="str">
        <f>HYPERLINK("https://twitter.com/YusufNusantara1","@YusufNusantara1")</f>
        <v>@YusufNusantara1</v>
      </c>
      <c r="C26999" s="8" t="s">
        <v>10174</v>
      </c>
      <c r="D26999" s="8">
        <v>36</v>
      </c>
      <c r="E26999" s="8">
        <v>0</v>
      </c>
      <c r="F26999" s="8">
        <v>752</v>
      </c>
    </row>
    <row r="27000" spans="1:6" ht="12.75">
      <c r="A27000" s="8">
        <v>43892.339143518519</v>
      </c>
      <c r="B27000" s="8" t="str">
        <f>HYPERLINK("https://twitter.com/garisterdepan","@garisterdepan")</f>
        <v>@garisterdepan</v>
      </c>
      <c r="C27000" s="8" t="s">
        <v>2199</v>
      </c>
      <c r="D27000" s="8">
        <v>2369</v>
      </c>
      <c r="E27000" s="8">
        <v>0</v>
      </c>
      <c r="F27000" s="8">
        <v>827</v>
      </c>
    </row>
    <row r="27001" spans="1:6" ht="12.75">
      <c r="A27001" s="8">
        <v>43892.339108796295</v>
      </c>
      <c r="B27001" s="8" t="str">
        <f>HYPERLINK("https://twitter.com/baveto","@baveto")</f>
        <v>@baveto</v>
      </c>
      <c r="C27001" s="8" t="s">
        <v>2199</v>
      </c>
      <c r="D27001" s="8">
        <v>2369</v>
      </c>
      <c r="E27001" s="8">
        <v>0</v>
      </c>
      <c r="F27001" s="8">
        <v>663</v>
      </c>
    </row>
    <row r="27002" spans="1:6" ht="12.75">
      <c r="A27002" s="8">
        <v>43892.33902777778</v>
      </c>
      <c r="B27002" s="8" t="str">
        <f>HYPERLINK("https://twitter.com/_sugarrbaby","@_sugarrbaby")</f>
        <v>@_sugarrbaby</v>
      </c>
      <c r="C27002" s="8" t="s">
        <v>2199</v>
      </c>
      <c r="D27002" s="8">
        <v>2369</v>
      </c>
      <c r="E27002" s="8">
        <v>0</v>
      </c>
      <c r="F27002" s="8">
        <v>135</v>
      </c>
    </row>
    <row r="27003" spans="1:6" ht="12.75">
      <c r="A27003" s="8">
        <v>43892.339004629626</v>
      </c>
      <c r="B27003" s="8" t="str">
        <f>HYPERLINK("https://twitter.com/rillamaria_","@rillamaria_")</f>
        <v>@rillamaria_</v>
      </c>
      <c r="C27003" s="8" t="s">
        <v>4990</v>
      </c>
      <c r="D27003" s="8">
        <v>279</v>
      </c>
      <c r="E27003" s="8">
        <v>0</v>
      </c>
      <c r="F27003" s="8">
        <v>1311</v>
      </c>
    </row>
    <row r="27004" spans="1:6" ht="12.75">
      <c r="A27004" s="8">
        <v>43892.338993055557</v>
      </c>
      <c r="B27004" s="8" t="str">
        <f>HYPERLINK("https://twitter.com/oddlykirishima","@oddlykirishima")</f>
        <v>@oddlykirishima</v>
      </c>
      <c r="C27004" s="8" t="s">
        <v>2199</v>
      </c>
      <c r="D27004" s="8">
        <v>2369</v>
      </c>
      <c r="E27004" s="8">
        <v>0</v>
      </c>
      <c r="F27004" s="8">
        <v>4684</v>
      </c>
    </row>
    <row r="27005" spans="1:6" ht="12.75">
      <c r="A27005" s="8">
        <v>43892.338946759264</v>
      </c>
      <c r="B27005" s="8" t="str">
        <f>HYPERLINK("https://twitter.com/bukanbiduan","@bukanbiduan")</f>
        <v>@bukanbiduan</v>
      </c>
      <c r="C27005" s="8" t="s">
        <v>3038</v>
      </c>
      <c r="D27005" s="8">
        <v>24</v>
      </c>
      <c r="E27005" s="8">
        <v>0</v>
      </c>
      <c r="F27005" s="8">
        <v>21</v>
      </c>
    </row>
    <row r="27006" spans="1:6" ht="12.75">
      <c r="A27006" s="8">
        <v>43892.33893518518</v>
      </c>
      <c r="B27006" s="8" t="str">
        <f>HYPERLINK("https://twitter.com/AndreanDjiun","@AndreanDjiun")</f>
        <v>@AndreanDjiun</v>
      </c>
      <c r="C27006" s="8" t="s">
        <v>2199</v>
      </c>
      <c r="D27006" s="8">
        <v>2369</v>
      </c>
      <c r="E27006" s="8">
        <v>0</v>
      </c>
      <c r="F27006" s="8">
        <v>78</v>
      </c>
    </row>
    <row r="27007" spans="1:6" ht="12.75">
      <c r="A27007" s="8">
        <v>43892.338912037041</v>
      </c>
      <c r="B27007" s="8" t="str">
        <f>HYPERLINK("https://twitter.com/em0hhh","@em0hhh")</f>
        <v>@em0hhh</v>
      </c>
      <c r="C27007" s="8" t="s">
        <v>2199</v>
      </c>
      <c r="D27007" s="8">
        <v>2369</v>
      </c>
      <c r="E27007" s="8">
        <v>0</v>
      </c>
      <c r="F27007" s="8">
        <v>554</v>
      </c>
    </row>
    <row r="27008" spans="1:6" ht="12.75">
      <c r="A27008" s="8">
        <v>43892.338877314818</v>
      </c>
      <c r="B27008" s="8" t="str">
        <f>HYPERLINK("https://twitter.com/Wayantedii3","@Wayantedii3")</f>
        <v>@Wayantedii3</v>
      </c>
      <c r="C27008" s="8" t="s">
        <v>2199</v>
      </c>
      <c r="D27008" s="8">
        <v>2369</v>
      </c>
      <c r="E27008" s="8">
        <v>0</v>
      </c>
      <c r="F27008" s="8">
        <v>2</v>
      </c>
    </row>
    <row r="27009" spans="1:6" ht="12.75">
      <c r="A27009" s="8">
        <v>43892.338865740741</v>
      </c>
      <c r="B27009" s="8" t="str">
        <f>HYPERLINK("https://twitter.com/sfyn_sandalista","@sfyn_sandalista")</f>
        <v>@sfyn_sandalista</v>
      </c>
      <c r="C27009" s="8" t="s">
        <v>3648</v>
      </c>
      <c r="D27009" s="8">
        <v>153</v>
      </c>
      <c r="E27009" s="8">
        <v>0</v>
      </c>
      <c r="F27009" s="8">
        <v>378</v>
      </c>
    </row>
    <row r="27010" spans="1:6" ht="12.75">
      <c r="A27010" s="8">
        <v>43892.33871527778</v>
      </c>
      <c r="B27010" s="8" t="str">
        <f>HYPERLINK("https://twitter.com/apuyman1","@apuyman1")</f>
        <v>@apuyman1</v>
      </c>
      <c r="C27010" s="8" t="s">
        <v>10279</v>
      </c>
      <c r="D27010" s="8">
        <v>49</v>
      </c>
      <c r="E27010" s="8">
        <v>0</v>
      </c>
      <c r="F27010" s="8">
        <v>595</v>
      </c>
    </row>
    <row r="27011" spans="1:6" ht="12.75">
      <c r="A27011" s="8">
        <v>43892.33865740741</v>
      </c>
      <c r="B27011" s="8" t="str">
        <f>HYPERLINK("https://twitter.com/DeviiRu","@DeviiRu")</f>
        <v>@DeviiRu</v>
      </c>
      <c r="C27011" s="8" t="s">
        <v>2199</v>
      </c>
      <c r="D27011" s="8">
        <v>2369</v>
      </c>
      <c r="E27011" s="8">
        <v>0</v>
      </c>
      <c r="F27011" s="8">
        <v>362</v>
      </c>
    </row>
    <row r="27012" spans="1:6" ht="12.75">
      <c r="A27012" s="8">
        <v>43892.338576388887</v>
      </c>
      <c r="B27012" s="8" t="str">
        <f>HYPERLINK("https://twitter.com/Maranatha_Sibrn","@Maranatha_Sibrn")</f>
        <v>@Maranatha_Sibrn</v>
      </c>
      <c r="C27012" s="8" t="s">
        <v>8962</v>
      </c>
      <c r="D27012" s="8">
        <v>213</v>
      </c>
      <c r="E27012" s="8">
        <v>0</v>
      </c>
      <c r="F27012" s="8">
        <v>4509</v>
      </c>
    </row>
    <row r="27013" spans="1:6" ht="12.75">
      <c r="A27013" s="8">
        <v>43892.338483796295</v>
      </c>
      <c r="B27013" s="8" t="str">
        <f>HYPERLINK("https://twitter.com/itsyuliando","@itsyuliando")</f>
        <v>@itsyuliando</v>
      </c>
      <c r="C27013" s="8" t="s">
        <v>2199</v>
      </c>
      <c r="D27013" s="8">
        <v>2369</v>
      </c>
      <c r="E27013" s="8">
        <v>0</v>
      </c>
      <c r="F27013" s="8">
        <v>386</v>
      </c>
    </row>
    <row r="27014" spans="1:6" ht="12.75">
      <c r="A27014" s="8">
        <v>43892.338460648149</v>
      </c>
      <c r="B27014" s="8" t="str">
        <f>HYPERLINK("https://twitter.com/ValentRN","@ValentRN")</f>
        <v>@ValentRN</v>
      </c>
      <c r="C27014" s="8" t="s">
        <v>2199</v>
      </c>
      <c r="D27014" s="8">
        <v>2369</v>
      </c>
      <c r="E27014" s="8">
        <v>0</v>
      </c>
      <c r="F27014" s="8">
        <v>167</v>
      </c>
    </row>
    <row r="27015" spans="1:6" ht="12.75">
      <c r="A27015" s="8">
        <v>43892.338437500002</v>
      </c>
      <c r="B27015" s="8" t="str">
        <f>HYPERLINK("https://twitter.com/idntimes","@idntimes")</f>
        <v>@idntimes</v>
      </c>
      <c r="C27015" s="8" t="s">
        <v>10362</v>
      </c>
      <c r="D27015" s="8">
        <v>0</v>
      </c>
      <c r="E27015" s="8">
        <v>0</v>
      </c>
      <c r="F27015" s="8">
        <v>393731</v>
      </c>
    </row>
    <row r="27016" spans="1:6" ht="12.75">
      <c r="A27016" s="8">
        <v>43892.338321759264</v>
      </c>
      <c r="B27016" s="8" t="str">
        <f>HYPERLINK("https://twitter.com/fzluthfi","@fzluthfi")</f>
        <v>@fzluthfi</v>
      </c>
      <c r="C27016" s="8" t="s">
        <v>10363</v>
      </c>
      <c r="D27016" s="8">
        <v>22</v>
      </c>
      <c r="E27016" s="8">
        <v>0</v>
      </c>
      <c r="F27016" s="8">
        <v>124</v>
      </c>
    </row>
    <row r="27017" spans="1:6" ht="12.75">
      <c r="A27017" s="8">
        <v>43892.338287037041</v>
      </c>
      <c r="B27017" s="8" t="str">
        <f>HYPERLINK("https://twitter.com/Maya_Bifi","@Maya_Bifi")</f>
        <v>@Maya_Bifi</v>
      </c>
      <c r="C27017" s="8" t="s">
        <v>6764</v>
      </c>
      <c r="D27017" s="8">
        <v>2</v>
      </c>
      <c r="E27017" s="8">
        <v>0</v>
      </c>
      <c r="F27017" s="8">
        <v>669</v>
      </c>
    </row>
    <row r="27018" spans="1:6" ht="12.75">
      <c r="A27018" s="8">
        <v>43892.338275462964</v>
      </c>
      <c r="B27018" s="8" t="str">
        <f>HYPERLINK("https://twitter.com/GoblokMasBebas","@GoblokMasBebas")</f>
        <v>@GoblokMasBebas</v>
      </c>
      <c r="C27018" s="8" t="s">
        <v>3850</v>
      </c>
      <c r="D27018" s="8">
        <v>1185</v>
      </c>
      <c r="E27018" s="8">
        <v>0</v>
      </c>
      <c r="F27018" s="8">
        <v>270</v>
      </c>
    </row>
    <row r="27019" spans="1:6" ht="12.75">
      <c r="A27019" s="8">
        <v>43892.338263888887</v>
      </c>
      <c r="B27019" s="8" t="str">
        <f>HYPERLINK("https://twitter.com/yvdithav","@yvdithav")</f>
        <v>@yvdithav</v>
      </c>
      <c r="C27019" s="8" t="s">
        <v>2199</v>
      </c>
      <c r="D27019" s="8">
        <v>2369</v>
      </c>
      <c r="E27019" s="8">
        <v>0</v>
      </c>
      <c r="F27019" s="8">
        <v>49</v>
      </c>
    </row>
    <row r="27020" spans="1:6" ht="12.75">
      <c r="A27020" s="8">
        <v>43892.338171296295</v>
      </c>
      <c r="B27020" s="8" t="str">
        <f>HYPERLINK("https://twitter.com/rojundi_pedist","@rojundi_pedist")</f>
        <v>@rojundi_pedist</v>
      </c>
      <c r="C27020" s="8" t="s">
        <v>5732</v>
      </c>
      <c r="D27020" s="8">
        <v>762</v>
      </c>
      <c r="E27020" s="8">
        <v>0</v>
      </c>
      <c r="F27020" s="8">
        <v>129</v>
      </c>
    </row>
    <row r="27021" spans="1:6" ht="12.75">
      <c r="A27021" s="8">
        <v>43892.338101851856</v>
      </c>
      <c r="B27021" s="8" t="str">
        <f>HYPERLINK("https://twitter.com/mpilora","@mpilora")</f>
        <v>@mpilora</v>
      </c>
      <c r="C27021" s="8" t="s">
        <v>2199</v>
      </c>
      <c r="D27021" s="8">
        <v>2369</v>
      </c>
      <c r="E27021" s="8">
        <v>0</v>
      </c>
      <c r="F27021" s="8">
        <v>29</v>
      </c>
    </row>
    <row r="27022" spans="1:6" ht="12.75">
      <c r="A27022" s="8">
        <v>43892.33803240741</v>
      </c>
      <c r="B27022" s="8" t="str">
        <f>HYPERLINK("https://twitter.com/dedentr","@dedentr")</f>
        <v>@dedentr</v>
      </c>
      <c r="C27022" s="8" t="s">
        <v>9130</v>
      </c>
      <c r="D27022" s="8">
        <v>285</v>
      </c>
      <c r="E27022" s="8">
        <v>0</v>
      </c>
      <c r="F27022" s="8">
        <v>917</v>
      </c>
    </row>
    <row r="27023" spans="1:6" ht="12.75">
      <c r="A27023" s="8">
        <v>43892.338009259256</v>
      </c>
      <c r="B27023" s="8" t="str">
        <f>HYPERLINK("https://twitter.com/heruw95","@heruw95")</f>
        <v>@heruw95</v>
      </c>
      <c r="C27023" s="8" t="s">
        <v>3850</v>
      </c>
      <c r="D27023" s="8">
        <v>1185</v>
      </c>
      <c r="E27023" s="8">
        <v>0</v>
      </c>
      <c r="F27023" s="8">
        <v>2259</v>
      </c>
    </row>
    <row r="27024" spans="1:6" ht="12.75">
      <c r="A27024" s="8">
        <v>43892.337962962964</v>
      </c>
      <c r="B27024" s="8" t="str">
        <f>HYPERLINK("https://twitter.com/hepiyer","@hepiyer")</f>
        <v>@hepiyer</v>
      </c>
      <c r="C27024" s="8" t="s">
        <v>2199</v>
      </c>
      <c r="D27024" s="8">
        <v>2369</v>
      </c>
      <c r="E27024" s="8">
        <v>0</v>
      </c>
      <c r="F27024" s="8">
        <v>19</v>
      </c>
    </row>
    <row r="27025" spans="1:6" ht="12.75">
      <c r="A27025" s="8">
        <v>43892.337905092594</v>
      </c>
      <c r="B27025" s="8" t="str">
        <f>HYPERLINK("https://twitter.com/idayu_wien","@idayu_wien")</f>
        <v>@idayu_wien</v>
      </c>
      <c r="C27025" s="8" t="s">
        <v>5732</v>
      </c>
      <c r="D27025" s="8">
        <v>763</v>
      </c>
      <c r="E27025" s="8">
        <v>0</v>
      </c>
      <c r="F27025" s="8">
        <v>1367</v>
      </c>
    </row>
    <row r="27026" spans="1:6" ht="12.75">
      <c r="A27026" s="8">
        <v>43892.337800925925</v>
      </c>
      <c r="B27026" s="8" t="str">
        <f>HYPERLINK("https://twitter.com/ivhan_low","@ivhan_low")</f>
        <v>@ivhan_low</v>
      </c>
      <c r="C27026" s="8" t="s">
        <v>10364</v>
      </c>
      <c r="D27026" s="8">
        <v>0</v>
      </c>
      <c r="E27026" s="8">
        <v>0</v>
      </c>
      <c r="F27026" s="8">
        <v>1426</v>
      </c>
    </row>
    <row r="27027" spans="1:6" ht="12.75">
      <c r="A27027" s="8">
        <v>43892.337557870371</v>
      </c>
      <c r="B27027" s="8" t="str">
        <f>HYPERLINK("https://twitter.com/desy_faridha","@desy_faridha")</f>
        <v>@desy_faridha</v>
      </c>
      <c r="C27027" s="8" t="s">
        <v>2199</v>
      </c>
      <c r="D27027" s="8">
        <v>2369</v>
      </c>
      <c r="E27027" s="8">
        <v>0</v>
      </c>
      <c r="F27027" s="8">
        <v>304</v>
      </c>
    </row>
    <row r="27028" spans="1:6" ht="12.75">
      <c r="A27028" s="8">
        <v>43892.337546296301</v>
      </c>
      <c r="B27028" s="8" t="str">
        <f>HYPERLINK("https://twitter.com/permadiaktivis","@permadiaktivis")</f>
        <v>@permadiaktivis</v>
      </c>
      <c r="C27028" s="8" t="s">
        <v>10365</v>
      </c>
      <c r="D27028" s="8">
        <v>0</v>
      </c>
      <c r="E27028" s="8">
        <v>1</v>
      </c>
      <c r="F27028" s="8">
        <v>119815</v>
      </c>
    </row>
    <row r="27029" spans="1:6" ht="12.75">
      <c r="A27029" s="8">
        <v>43892.337430555555</v>
      </c>
      <c r="B27029" s="8" t="str">
        <f>HYPERLINK("https://twitter.com/heybibIeu","@heybibIeu")</f>
        <v>@heybibIeu</v>
      </c>
      <c r="C27029" s="8" t="s">
        <v>2199</v>
      </c>
      <c r="D27029" s="8">
        <v>2369</v>
      </c>
      <c r="E27029" s="8">
        <v>0</v>
      </c>
      <c r="F27029" s="8">
        <v>3721</v>
      </c>
    </row>
    <row r="27030" spans="1:6" ht="12.75">
      <c r="A27030" s="8">
        <v>43892.337372685186</v>
      </c>
      <c r="B27030" s="8" t="str">
        <f>HYPERLINK("https://twitter.com/liefux","@liefux")</f>
        <v>@liefux</v>
      </c>
      <c r="C27030" s="8" t="s">
        <v>2199</v>
      </c>
      <c r="D27030" s="8">
        <v>2369</v>
      </c>
      <c r="E27030" s="8">
        <v>0</v>
      </c>
      <c r="F27030" s="8">
        <v>365</v>
      </c>
    </row>
    <row r="27031" spans="1:6" ht="12.75">
      <c r="A27031" s="8">
        <v>43892.337372685186</v>
      </c>
      <c r="B27031" s="8" t="str">
        <f>HYPERLINK("https://twitter.com/ivhan_low","@ivhan_low")</f>
        <v>@ivhan_low</v>
      </c>
      <c r="C27031" s="8" t="s">
        <v>10366</v>
      </c>
      <c r="D27031" s="8">
        <v>0</v>
      </c>
      <c r="E27031" s="8">
        <v>1</v>
      </c>
      <c r="F27031" s="8">
        <v>1426</v>
      </c>
    </row>
    <row r="27032" spans="1:6" ht="12.75">
      <c r="A27032" s="8">
        <v>43892.337372685186</v>
      </c>
      <c r="B27032" s="8" t="str">
        <f>HYPERLINK("https://twitter.com/ZaenalF59329238","@ZaenalF59329238")</f>
        <v>@ZaenalF59329238</v>
      </c>
      <c r="C27032" s="8" t="s">
        <v>9153</v>
      </c>
      <c r="D27032" s="8">
        <v>2</v>
      </c>
      <c r="E27032" s="8">
        <v>0</v>
      </c>
      <c r="F27032" s="8">
        <v>153</v>
      </c>
    </row>
    <row r="27033" spans="1:6" ht="12.75">
      <c r="A27033" s="8">
        <v>43892.337337962963</v>
      </c>
      <c r="B27033" s="8" t="str">
        <f>HYPERLINK("https://twitter.com/nemosyus","@nemosyus")</f>
        <v>@nemosyus</v>
      </c>
      <c r="C27033" s="8" t="s">
        <v>4150</v>
      </c>
      <c r="D27033" s="8">
        <v>170</v>
      </c>
      <c r="E27033" s="8">
        <v>0</v>
      </c>
      <c r="F27033" s="8">
        <v>520</v>
      </c>
    </row>
    <row r="27034" spans="1:6" ht="12.75">
      <c r="A27034" s="8">
        <v>43892.337199074071</v>
      </c>
      <c r="B27034" s="8" t="str">
        <f>HYPERLINK("https://twitter.com/ctrl_shiftdesc","@ctrl_shiftdesc")</f>
        <v>@ctrl_shiftdesc</v>
      </c>
      <c r="C27034" s="8" t="s">
        <v>2199</v>
      </c>
      <c r="D27034" s="8">
        <v>2369</v>
      </c>
      <c r="E27034" s="8">
        <v>0</v>
      </c>
      <c r="F27034" s="8">
        <v>98</v>
      </c>
    </row>
    <row r="27035" spans="1:6" ht="12.75">
      <c r="A27035" s="8">
        <v>43892.337175925924</v>
      </c>
      <c r="B27035" s="8" t="str">
        <f>HYPERLINK("https://twitter.com/rahmatwiras","@rahmatwiras")</f>
        <v>@rahmatwiras</v>
      </c>
      <c r="C27035" s="8" t="s">
        <v>2199</v>
      </c>
      <c r="D27035" s="8">
        <v>2369</v>
      </c>
      <c r="E27035" s="8">
        <v>0</v>
      </c>
      <c r="F27035" s="8">
        <v>303</v>
      </c>
    </row>
    <row r="27036" spans="1:6" ht="12.75">
      <c r="A27036" s="8">
        <v>43892.337164351848</v>
      </c>
      <c r="B27036" s="8" t="str">
        <f>HYPERLINK("https://twitter.com/oevank","@oevank")</f>
        <v>@oevank</v>
      </c>
      <c r="C27036" s="8" t="s">
        <v>2199</v>
      </c>
      <c r="D27036" s="8">
        <v>2369</v>
      </c>
      <c r="E27036" s="8">
        <v>0</v>
      </c>
      <c r="F27036" s="8">
        <v>2874</v>
      </c>
    </row>
    <row r="27037" spans="1:6" ht="12.75">
      <c r="A27037" s="8">
        <v>43892.337141203709</v>
      </c>
      <c r="B27037" s="8" t="str">
        <f>HYPERLINK("https://twitter.com/thikathy","@thikathy")</f>
        <v>@thikathy</v>
      </c>
      <c r="C27037" s="8" t="s">
        <v>1749</v>
      </c>
      <c r="D27037" s="8">
        <v>49</v>
      </c>
      <c r="E27037" s="8">
        <v>0</v>
      </c>
      <c r="F27037" s="8">
        <v>1602</v>
      </c>
    </row>
    <row r="27038" spans="1:6" ht="12.75">
      <c r="A27038" s="8">
        <v>43892.337118055555</v>
      </c>
      <c r="B27038" s="8" t="str">
        <f>HYPERLINK("https://twitter.com/Upik1610","@Upik1610")</f>
        <v>@Upik1610</v>
      </c>
      <c r="C27038" s="8" t="s">
        <v>4150</v>
      </c>
      <c r="D27038" s="8">
        <v>170</v>
      </c>
      <c r="E27038" s="8">
        <v>0</v>
      </c>
      <c r="F27038" s="8">
        <v>815</v>
      </c>
    </row>
    <row r="27039" spans="1:6" ht="12.75">
      <c r="A27039" s="8">
        <v>43892.337071759262</v>
      </c>
      <c r="B27039" s="8" t="str">
        <f>HYPERLINK("https://twitter.com/thikathy","@thikathy")</f>
        <v>@thikathy</v>
      </c>
      <c r="C27039" s="8" t="s">
        <v>2995</v>
      </c>
      <c r="D27039" s="8">
        <v>37</v>
      </c>
      <c r="E27039" s="8">
        <v>0</v>
      </c>
      <c r="F27039" s="8">
        <v>1602</v>
      </c>
    </row>
    <row r="27040" spans="1:6" ht="12.75">
      <c r="A27040" s="8">
        <v>43892.337060185186</v>
      </c>
      <c r="B27040" s="8" t="str">
        <f>HYPERLINK("https://twitter.com/upress2","@upress2")</f>
        <v>@upress2</v>
      </c>
      <c r="C27040" s="8" t="s">
        <v>10367</v>
      </c>
      <c r="D27040" s="8">
        <v>0</v>
      </c>
      <c r="E27040" s="8">
        <v>0</v>
      </c>
      <c r="F27040" s="8">
        <v>927</v>
      </c>
    </row>
    <row r="27041" spans="1:6" ht="12.75">
      <c r="A27041" s="8">
        <v>43892.337048611109</v>
      </c>
      <c r="B27041" s="8" t="str">
        <f>HYPERLINK("https://twitter.com/patheticcbabe","@patheticcbabe")</f>
        <v>@patheticcbabe</v>
      </c>
      <c r="C27041" s="8" t="s">
        <v>2199</v>
      </c>
      <c r="D27041" s="8">
        <v>2369</v>
      </c>
      <c r="E27041" s="8">
        <v>0</v>
      </c>
      <c r="F27041" s="8">
        <v>500</v>
      </c>
    </row>
    <row r="27042" spans="1:6" ht="12.75">
      <c r="A27042" s="8">
        <v>43892.33693287037</v>
      </c>
      <c r="B27042" s="8" t="str">
        <f>HYPERLINK("https://twitter.com/_ArsyaBesar","@_ArsyaBesar")</f>
        <v>@_ArsyaBesar</v>
      </c>
      <c r="C27042" s="8" t="s">
        <v>7704</v>
      </c>
      <c r="D27042" s="8">
        <v>261</v>
      </c>
      <c r="E27042" s="8">
        <v>0</v>
      </c>
      <c r="F27042" s="8">
        <v>1917</v>
      </c>
    </row>
    <row r="27043" spans="1:6" ht="12.75">
      <c r="A27043" s="8">
        <v>43892.336840277778</v>
      </c>
      <c r="B27043" s="8" t="str">
        <f>HYPERLINK("https://twitter.com/KontanNews","@KontanNews")</f>
        <v>@KontanNews</v>
      </c>
      <c r="C27043" s="8" t="s">
        <v>10368</v>
      </c>
      <c r="D27043" s="8">
        <v>0</v>
      </c>
      <c r="E27043" s="8">
        <v>0</v>
      </c>
      <c r="F27043" s="8">
        <v>317779</v>
      </c>
    </row>
    <row r="27044" spans="1:6" ht="12.75">
      <c r="A27044" s="8">
        <v>43892.336747685185</v>
      </c>
      <c r="B27044" s="8" t="str">
        <f>HYPERLINK("https://twitter.com/hello_skyy","@hello_skyy")</f>
        <v>@hello_skyy</v>
      </c>
      <c r="C27044" s="8" t="s">
        <v>2199</v>
      </c>
      <c r="D27044" s="8">
        <v>2369</v>
      </c>
      <c r="E27044" s="8">
        <v>0</v>
      </c>
      <c r="F27044" s="8">
        <v>267</v>
      </c>
    </row>
    <row r="27045" spans="1:6" ht="12.75">
      <c r="A27045" s="8">
        <v>43892.336736111116</v>
      </c>
      <c r="B27045" s="8" t="str">
        <f>HYPERLINK("https://twitter.com/dedentr","@dedentr")</f>
        <v>@dedentr</v>
      </c>
      <c r="C27045" s="8" t="s">
        <v>3850</v>
      </c>
      <c r="D27045" s="8">
        <v>1185</v>
      </c>
      <c r="E27045" s="8">
        <v>0</v>
      </c>
      <c r="F27045" s="8">
        <v>917</v>
      </c>
    </row>
    <row r="27046" spans="1:6" ht="12.75">
      <c r="A27046" s="8">
        <v>43892.336736111116</v>
      </c>
      <c r="B27046" s="8" t="str">
        <f>HYPERLINK("https://twitter.com/Maranatha_Sibrn","@Maranatha_Sibrn")</f>
        <v>@Maranatha_Sibrn</v>
      </c>
      <c r="C27046" s="8" t="s">
        <v>10369</v>
      </c>
      <c r="D27046" s="8">
        <v>77</v>
      </c>
      <c r="E27046" s="8">
        <v>0</v>
      </c>
      <c r="F27046" s="8">
        <v>4509</v>
      </c>
    </row>
    <row r="27047" spans="1:6" ht="12.75">
      <c r="A27047" s="8">
        <v>43892.336712962962</v>
      </c>
      <c r="B27047" s="8" t="str">
        <f>HYPERLINK("https://twitter.com/xxumanq","@xxumanq")</f>
        <v>@xxumanq</v>
      </c>
      <c r="C27047" s="8" t="s">
        <v>2199</v>
      </c>
      <c r="D27047" s="8">
        <v>2369</v>
      </c>
      <c r="E27047" s="8">
        <v>0</v>
      </c>
      <c r="F27047" s="8">
        <v>964</v>
      </c>
    </row>
    <row r="27048" spans="1:6" ht="12.75">
      <c r="A27048" s="8">
        <v>43892.336712962962</v>
      </c>
      <c r="B27048" s="8" t="str">
        <f>HYPERLINK("https://twitter.com/JannesHutajulu","@JannesHutajulu")</f>
        <v>@JannesHutajulu</v>
      </c>
      <c r="C27048" s="8" t="s">
        <v>9238</v>
      </c>
      <c r="D27048" s="8">
        <v>139</v>
      </c>
      <c r="E27048" s="8">
        <v>0</v>
      </c>
      <c r="F27048" s="8">
        <v>2418</v>
      </c>
    </row>
    <row r="27049" spans="1:6" ht="12.75">
      <c r="A27049" s="8">
        <v>43892.336643518516</v>
      </c>
      <c r="B27049" s="8" t="str">
        <f>HYPERLINK("https://twitter.com/thikathy","@thikathy")</f>
        <v>@thikathy</v>
      </c>
      <c r="C27049" s="8" t="s">
        <v>9238</v>
      </c>
      <c r="D27049" s="8">
        <v>139</v>
      </c>
      <c r="E27049" s="8">
        <v>0</v>
      </c>
      <c r="F27049" s="8">
        <v>1602</v>
      </c>
    </row>
    <row r="27050" spans="1:6" ht="12.75">
      <c r="A27050" s="8">
        <v>43892.336539351847</v>
      </c>
      <c r="B27050" s="8" t="str">
        <f>HYPERLINK("https://twitter.com/meilaprachasiwi","@meilaprachasiwi")</f>
        <v>@meilaprachasiwi</v>
      </c>
      <c r="C27050" s="8" t="s">
        <v>2199</v>
      </c>
      <c r="D27050" s="8">
        <v>2369</v>
      </c>
      <c r="E27050" s="8">
        <v>0</v>
      </c>
      <c r="F27050" s="8">
        <v>1121</v>
      </c>
    </row>
    <row r="27051" spans="1:6" ht="12.75">
      <c r="A27051" s="8">
        <v>43892.336527777778</v>
      </c>
      <c r="B27051" s="8" t="str">
        <f>HYPERLINK("https://twitter.com/JulJul13","@JulJul13")</f>
        <v>@JulJul13</v>
      </c>
      <c r="C27051" s="8" t="s">
        <v>2199</v>
      </c>
      <c r="D27051" s="8">
        <v>2369</v>
      </c>
      <c r="E27051" s="8">
        <v>0</v>
      </c>
      <c r="F27051" s="8">
        <v>525</v>
      </c>
    </row>
    <row r="27052" spans="1:6" ht="12.75">
      <c r="A27052" s="8">
        <v>43892.336446759262</v>
      </c>
      <c r="B27052" s="8" t="str">
        <f>HYPERLINK("https://twitter.com/riaapppp","@riaapppp")</f>
        <v>@riaapppp</v>
      </c>
      <c r="C27052" s="8" t="s">
        <v>10370</v>
      </c>
      <c r="D27052" s="8">
        <v>0</v>
      </c>
      <c r="E27052" s="8">
        <v>0</v>
      </c>
      <c r="F27052" s="8">
        <v>509</v>
      </c>
    </row>
    <row r="27053" spans="1:6" ht="12.75">
      <c r="A27053" s="8">
        <v>43892.336400462962</v>
      </c>
      <c r="B27053" s="8" t="str">
        <f>HYPERLINK("https://twitter.com/Brok0908","@Brok0908")</f>
        <v>@Brok0908</v>
      </c>
      <c r="C27053" s="8" t="s">
        <v>3850</v>
      </c>
      <c r="D27053" s="8">
        <v>1185</v>
      </c>
      <c r="E27053" s="8">
        <v>0</v>
      </c>
      <c r="F27053" s="8">
        <v>58</v>
      </c>
    </row>
    <row r="27054" spans="1:6" ht="12.75">
      <c r="A27054" s="8">
        <v>43892.336377314816</v>
      </c>
      <c r="B27054" s="8" t="str">
        <f>HYPERLINK("https://twitter.com/id_aksi","@id_aksi")</f>
        <v>@id_aksi</v>
      </c>
      <c r="C27054" s="8" t="s">
        <v>10371</v>
      </c>
      <c r="D27054" s="8">
        <v>0</v>
      </c>
      <c r="E27054" s="8">
        <v>0</v>
      </c>
      <c r="F27054" s="8">
        <v>80</v>
      </c>
    </row>
    <row r="27055" spans="1:6" ht="12.75">
      <c r="A27055" s="8">
        <v>43892.33625</v>
      </c>
      <c r="B27055" s="8" t="str">
        <f>HYPERLINK("https://twitter.com/jejejejelo","@jejejejelo")</f>
        <v>@jejejejelo</v>
      </c>
      <c r="C27055" s="8" t="s">
        <v>2199</v>
      </c>
      <c r="D27055" s="8">
        <v>2369</v>
      </c>
      <c r="E27055" s="8">
        <v>0</v>
      </c>
      <c r="F27055" s="8">
        <v>1397</v>
      </c>
    </row>
    <row r="27056" spans="1:6" ht="12.75">
      <c r="A27056" s="8">
        <v>43892.336238425924</v>
      </c>
      <c r="B27056" s="8" t="str">
        <f>HYPERLINK("https://twitter.com/agusft38","@agusft38")</f>
        <v>@agusft38</v>
      </c>
      <c r="C27056" s="8" t="s">
        <v>4150</v>
      </c>
      <c r="D27056" s="8">
        <v>170</v>
      </c>
      <c r="E27056" s="8">
        <v>0</v>
      </c>
      <c r="F27056" s="8">
        <v>55</v>
      </c>
    </row>
    <row r="27057" spans="1:6" ht="12.75">
      <c r="A27057" s="8">
        <v>43892.336226851854</v>
      </c>
      <c r="B27057" s="8" t="str">
        <f>HYPERLINK("https://twitter.com/bravoR22_","@bravoR22_")</f>
        <v>@bravoR22_</v>
      </c>
      <c r="C27057" s="8" t="s">
        <v>4150</v>
      </c>
      <c r="D27057" s="8">
        <v>170</v>
      </c>
      <c r="E27057" s="8">
        <v>0</v>
      </c>
      <c r="F27057" s="8">
        <v>517</v>
      </c>
    </row>
    <row r="27058" spans="1:6" ht="12.75">
      <c r="A27058" s="8">
        <v>43892.336157407408</v>
      </c>
      <c r="B27058" s="8" t="str">
        <f>HYPERLINK("https://twitter.com/cynthiacdw","@cynthiacdw")</f>
        <v>@cynthiacdw</v>
      </c>
      <c r="C27058" s="8" t="s">
        <v>2272</v>
      </c>
      <c r="D27058" s="8">
        <v>942</v>
      </c>
      <c r="E27058" s="8">
        <v>0</v>
      </c>
      <c r="F27058" s="8">
        <v>769</v>
      </c>
    </row>
    <row r="27059" spans="1:6" ht="12.75">
      <c r="A27059" s="8">
        <v>43892.336053240739</v>
      </c>
      <c r="B27059" s="8" t="str">
        <f>HYPERLINK("https://twitter.com/biterlopdhito_","@biterlopdhito_")</f>
        <v>@biterlopdhito_</v>
      </c>
      <c r="C27059" s="8" t="s">
        <v>2995</v>
      </c>
      <c r="D27059" s="8">
        <v>37</v>
      </c>
      <c r="E27059" s="8">
        <v>0</v>
      </c>
      <c r="F27059" s="8">
        <v>836</v>
      </c>
    </row>
    <row r="27060" spans="1:6" ht="12.75">
      <c r="A27060" s="8">
        <v>43892.336041666669</v>
      </c>
      <c r="B27060" s="8" t="str">
        <f>HYPERLINK("https://twitter.com/sfairuzzr","@sfairuzzr")</f>
        <v>@sfairuzzr</v>
      </c>
      <c r="C27060" s="8" t="s">
        <v>10192</v>
      </c>
      <c r="D27060" s="8">
        <v>13</v>
      </c>
      <c r="E27060" s="8">
        <v>0</v>
      </c>
      <c r="F27060" s="8">
        <v>61</v>
      </c>
    </row>
    <row r="27061" spans="1:6" ht="12.75">
      <c r="A27061" s="8">
        <v>43892.336006944446</v>
      </c>
      <c r="B27061" s="8" t="str">
        <f>HYPERLINK("https://twitter.com/biterlopdhito_","@biterlopdhito_")</f>
        <v>@biterlopdhito_</v>
      </c>
      <c r="C27061" s="8" t="s">
        <v>1749</v>
      </c>
      <c r="D27061" s="8">
        <v>49</v>
      </c>
      <c r="E27061" s="8">
        <v>0</v>
      </c>
      <c r="F27061" s="8">
        <v>836</v>
      </c>
    </row>
    <row r="27062" spans="1:6" ht="12.75">
      <c r="A27062" s="8">
        <v>43892.335995370369</v>
      </c>
      <c r="B27062" s="8" t="str">
        <f>HYPERLINK("https://twitter.com/thikathy","@thikathy")</f>
        <v>@thikathy</v>
      </c>
      <c r="C27062" s="8" t="s">
        <v>2199</v>
      </c>
      <c r="D27062" s="8">
        <v>2369</v>
      </c>
      <c r="E27062" s="8">
        <v>0</v>
      </c>
      <c r="F27062" s="8">
        <v>1602</v>
      </c>
    </row>
    <row r="27063" spans="1:6" ht="12.75">
      <c r="A27063" s="8">
        <v>43892.335972222223</v>
      </c>
      <c r="B27063" s="8" t="str">
        <f>HYPERLINK("https://twitter.com/AhmadJu50808561","@AhmadJu50808561")</f>
        <v>@AhmadJu50808561</v>
      </c>
      <c r="C27063" s="8" t="s">
        <v>5732</v>
      </c>
      <c r="D27063" s="8">
        <v>763</v>
      </c>
      <c r="E27063" s="8">
        <v>0</v>
      </c>
      <c r="F27063" s="8">
        <v>211</v>
      </c>
    </row>
    <row r="27064" spans="1:6" ht="12.75">
      <c r="A27064" s="8">
        <v>43892.335960648154</v>
      </c>
      <c r="B27064" s="8" t="str">
        <f>HYPERLINK("https://twitter.com/harisuwarso2","@harisuwarso2")</f>
        <v>@harisuwarso2</v>
      </c>
      <c r="C27064" s="8" t="s">
        <v>5732</v>
      </c>
      <c r="D27064" s="8">
        <v>763</v>
      </c>
      <c r="E27064" s="8">
        <v>0</v>
      </c>
      <c r="F27064" s="8">
        <v>1227</v>
      </c>
    </row>
    <row r="27065" spans="1:6" ht="12.75">
      <c r="A27065" s="8">
        <v>43892.3359375</v>
      </c>
      <c r="B27065" s="8" t="str">
        <f>HYPERLINK("https://twitter.com/semerdekakusaja","@semerdekakusaja")</f>
        <v>@semerdekakusaja</v>
      </c>
      <c r="C27065" s="8" t="s">
        <v>2199</v>
      </c>
      <c r="D27065" s="8">
        <v>2369</v>
      </c>
      <c r="E27065" s="8">
        <v>0</v>
      </c>
      <c r="F27065" s="8">
        <v>270</v>
      </c>
    </row>
    <row r="27066" spans="1:6" ht="12.75">
      <c r="A27066" s="8">
        <v>43892.33592592593</v>
      </c>
      <c r="B27066" s="8" t="str">
        <f>HYPERLINK("https://twitter.com/sopansantun55","@sopansantun55")</f>
        <v>@sopansantun55</v>
      </c>
      <c r="C27066" s="8" t="s">
        <v>9238</v>
      </c>
      <c r="D27066" s="8">
        <v>139</v>
      </c>
      <c r="E27066" s="8">
        <v>0</v>
      </c>
      <c r="F27066" s="8">
        <v>544</v>
      </c>
    </row>
    <row r="27067" spans="1:6" ht="12.75">
      <c r="A27067" s="8">
        <v>43892.335902777777</v>
      </c>
      <c r="B27067" s="8" t="str">
        <f>HYPERLINK("https://twitter.com/rendrarez","@rendrarez")</f>
        <v>@rendrarez</v>
      </c>
      <c r="C27067" s="8" t="s">
        <v>6542</v>
      </c>
      <c r="D27067" s="8">
        <v>177</v>
      </c>
      <c r="E27067" s="8">
        <v>0</v>
      </c>
      <c r="F27067" s="8">
        <v>275</v>
      </c>
    </row>
    <row r="27068" spans="1:6" ht="12.75">
      <c r="A27068" s="8">
        <v>43892.335798611108</v>
      </c>
      <c r="B27068" s="8" t="str">
        <f>HYPERLINK("https://twitter.com/daelyshit","@daelyshit")</f>
        <v>@daelyshit</v>
      </c>
      <c r="C27068" s="8" t="s">
        <v>2199</v>
      </c>
      <c r="D27068" s="8">
        <v>2369</v>
      </c>
      <c r="E27068" s="8">
        <v>0</v>
      </c>
      <c r="F27068" s="8">
        <v>156</v>
      </c>
    </row>
    <row r="27069" spans="1:6" ht="12.75">
      <c r="A27069" s="8">
        <v>43892.335775462961</v>
      </c>
      <c r="B27069" s="8" t="str">
        <f>HYPERLINK("https://twitter.com/PHILUOCALIST","@PHILUOCALIST")</f>
        <v>@PHILUOCALIST</v>
      </c>
      <c r="C27069" s="8" t="s">
        <v>2199</v>
      </c>
      <c r="D27069" s="8">
        <v>2369</v>
      </c>
      <c r="E27069" s="8">
        <v>0</v>
      </c>
      <c r="F27069" s="8">
        <v>416</v>
      </c>
    </row>
    <row r="27070" spans="1:6" ht="12.75">
      <c r="A27070" s="8">
        <v>43892.335740740746</v>
      </c>
      <c r="B27070" s="8" t="str">
        <f>HYPERLINK("https://twitter.com/OpanMin0n","@OpanMin0n")</f>
        <v>@OpanMin0n</v>
      </c>
      <c r="C27070" s="8" t="s">
        <v>9153</v>
      </c>
      <c r="D27070" s="8">
        <v>2</v>
      </c>
      <c r="E27070" s="8">
        <v>0</v>
      </c>
      <c r="F27070" s="8">
        <v>5714</v>
      </c>
    </row>
    <row r="27071" spans="1:6" ht="12.75">
      <c r="A27071" s="8">
        <v>43892.335717592592</v>
      </c>
      <c r="B27071" s="8" t="str">
        <f>HYPERLINK("https://twitter.com/LuckyMufhara","@LuckyMufhara")</f>
        <v>@LuckyMufhara</v>
      </c>
      <c r="C27071" s="8" t="s">
        <v>5732</v>
      </c>
      <c r="D27071" s="8">
        <v>763</v>
      </c>
      <c r="E27071" s="8">
        <v>0</v>
      </c>
      <c r="F27071" s="8">
        <v>221</v>
      </c>
    </row>
    <row r="27072" spans="1:6" ht="12.75">
      <c r="A27072" s="8">
        <v>43892.335706018523</v>
      </c>
      <c r="B27072" s="8" t="str">
        <f>HYPERLINK("https://twitter.com/AndyWu007","@AndyWu007")</f>
        <v>@AndyWu007</v>
      </c>
      <c r="C27072" s="8" t="s">
        <v>10372</v>
      </c>
      <c r="D27072" s="8">
        <v>0</v>
      </c>
      <c r="E27072" s="8">
        <v>0</v>
      </c>
      <c r="F27072" s="8">
        <v>226</v>
      </c>
    </row>
    <row r="27073" spans="1:6" ht="12.75">
      <c r="A27073" s="8">
        <v>43892.3356712963</v>
      </c>
      <c r="B27073" s="8" t="str">
        <f>HYPERLINK("https://twitter.com/damianusdalita6","@damianusdalita6")</f>
        <v>@damianusdalita6</v>
      </c>
      <c r="C27073" s="8" t="s">
        <v>4150</v>
      </c>
      <c r="D27073" s="8">
        <v>170</v>
      </c>
      <c r="E27073" s="8">
        <v>0</v>
      </c>
      <c r="F27073" s="8">
        <v>2413</v>
      </c>
    </row>
    <row r="27074" spans="1:6" ht="12.75">
      <c r="A27074" s="8">
        <v>43892.335659722223</v>
      </c>
      <c r="B27074" s="8" t="str">
        <f>HYPERLINK("https://twitter.com/diandragl","@diandragl")</f>
        <v>@diandragl</v>
      </c>
      <c r="C27074" s="8" t="s">
        <v>2199</v>
      </c>
      <c r="D27074" s="8">
        <v>2369</v>
      </c>
      <c r="E27074" s="8">
        <v>0</v>
      </c>
      <c r="F27074" s="8">
        <v>762</v>
      </c>
    </row>
    <row r="27075" spans="1:6" ht="12.75">
      <c r="A27075" s="8">
        <v>43892.335648148146</v>
      </c>
      <c r="B27075" s="8" t="str">
        <f>HYPERLINK("https://twitter.com/groompycat","@groompycat")</f>
        <v>@groompycat</v>
      </c>
      <c r="C27075" s="8" t="s">
        <v>2199</v>
      </c>
      <c r="D27075" s="8">
        <v>2369</v>
      </c>
      <c r="E27075" s="8">
        <v>0</v>
      </c>
      <c r="F27075" s="8">
        <v>2844</v>
      </c>
    </row>
    <row r="27076" spans="1:6" ht="12.75">
      <c r="A27076" s="8">
        <v>43892.335625</v>
      </c>
      <c r="B27076" s="8" t="str">
        <f>HYPERLINK("https://twitter.com/ANTARASumsel","@ANTARASumsel")</f>
        <v>@ANTARASumsel</v>
      </c>
      <c r="C27076" s="8" t="s">
        <v>10355</v>
      </c>
      <c r="D27076" s="8">
        <v>0</v>
      </c>
      <c r="E27076" s="8">
        <v>0</v>
      </c>
      <c r="F27076" s="8">
        <v>1110</v>
      </c>
    </row>
    <row r="27077" spans="1:6" ht="12.75">
      <c r="A27077" s="8">
        <v>43892.33556712963</v>
      </c>
      <c r="B27077" s="8" t="str">
        <f>HYPERLINK("https://twitter.com/FiNYO_ROCK","@FiNYO_ROCK")</f>
        <v>@FiNYO_ROCK</v>
      </c>
      <c r="C27077" s="8" t="s">
        <v>2199</v>
      </c>
      <c r="D27077" s="8">
        <v>2369</v>
      </c>
      <c r="E27077" s="8">
        <v>0</v>
      </c>
      <c r="F27077" s="8">
        <v>248</v>
      </c>
    </row>
    <row r="27078" spans="1:6" ht="12.75">
      <c r="A27078" s="8">
        <v>43892.335439814815</v>
      </c>
      <c r="B27078" s="8" t="str">
        <f>HYPERLINK("https://twitter.com/pei_prillie","@pei_prillie")</f>
        <v>@pei_prillie</v>
      </c>
      <c r="C27078" s="8" t="s">
        <v>10373</v>
      </c>
      <c r="D27078" s="8">
        <v>0</v>
      </c>
      <c r="E27078" s="8">
        <v>0</v>
      </c>
      <c r="F27078" s="8">
        <v>34</v>
      </c>
    </row>
    <row r="27079" spans="1:6" ht="12.75">
      <c r="A27079" s="8">
        <v>43892.335439814815</v>
      </c>
      <c r="B27079" s="8" t="str">
        <f>HYPERLINK("https://twitter.com/patrickharimo","@patrickharimo")</f>
        <v>@patrickharimo</v>
      </c>
      <c r="C27079" s="8" t="s">
        <v>10288</v>
      </c>
      <c r="D27079" s="8">
        <v>74</v>
      </c>
      <c r="E27079" s="8">
        <v>0</v>
      </c>
      <c r="F27079" s="8">
        <v>3112</v>
      </c>
    </row>
    <row r="27080" spans="1:6" ht="12.75">
      <c r="A27080" s="8">
        <v>43892.298379629632</v>
      </c>
      <c r="B27080" s="8" t="str">
        <f>HYPERLINK("https://twitter.com/Sudarso11127832","@Sudarso11127832")</f>
        <v>@Sudarso11127832</v>
      </c>
      <c r="C27080" s="8" t="s">
        <v>9130</v>
      </c>
      <c r="D27080" s="8">
        <v>273</v>
      </c>
      <c r="E27080" s="8">
        <v>0</v>
      </c>
      <c r="F27080" s="8">
        <v>95</v>
      </c>
    </row>
    <row r="27081" spans="1:6" ht="12.75">
      <c r="A27081" s="8">
        <v>43892.298356481479</v>
      </c>
      <c r="B27081" s="8" t="str">
        <f>HYPERLINK("https://twitter.com/HendarwatiH","@HendarwatiH")</f>
        <v>@HendarwatiH</v>
      </c>
      <c r="C27081" s="8" t="s">
        <v>8962</v>
      </c>
      <c r="D27081" s="8">
        <v>191</v>
      </c>
      <c r="E27081" s="8">
        <v>0</v>
      </c>
      <c r="F27081" s="8">
        <v>2180</v>
      </c>
    </row>
    <row r="27082" spans="1:6" ht="12.75">
      <c r="A27082" s="8">
        <v>43892.298067129625</v>
      </c>
      <c r="B27082" s="8" t="str">
        <f>HYPERLINK("https://twitter.com/fuad_kohar","@fuad_kohar")</f>
        <v>@fuad_kohar</v>
      </c>
      <c r="C27082" s="8" t="s">
        <v>10363</v>
      </c>
      <c r="D27082" s="8">
        <v>6</v>
      </c>
      <c r="E27082" s="8">
        <v>0</v>
      </c>
      <c r="F27082" s="8">
        <v>323</v>
      </c>
    </row>
    <row r="27083" spans="1:6" ht="12.75">
      <c r="A27083" s="8">
        <v>43892.298067129625</v>
      </c>
      <c r="B27083" s="8" t="str">
        <f>HYPERLINK("https://twitter.com/Ardi22M","@Ardi22M")</f>
        <v>@Ardi22M</v>
      </c>
      <c r="C27083" s="8" t="s">
        <v>10363</v>
      </c>
      <c r="D27083" s="8">
        <v>6</v>
      </c>
      <c r="E27083" s="8">
        <v>0</v>
      </c>
      <c r="F27083" s="8">
        <v>636</v>
      </c>
    </row>
    <row r="27084" spans="1:6" ht="12.75">
      <c r="A27084" s="8">
        <v>43892.298043981486</v>
      </c>
      <c r="B27084" s="8" t="str">
        <f>HYPERLINK("https://twitter.com/ekarahmadini","@ekarahmadini")</f>
        <v>@ekarahmadini</v>
      </c>
      <c r="C27084" s="8" t="s">
        <v>2199</v>
      </c>
      <c r="D27084" s="8">
        <v>1960</v>
      </c>
      <c r="E27084" s="8">
        <v>0</v>
      </c>
      <c r="F27084" s="8">
        <v>451</v>
      </c>
    </row>
    <row r="27085" spans="1:6" ht="12.75">
      <c r="A27085" s="8">
        <v>43892.297962962963</v>
      </c>
      <c r="B27085" s="8" t="str">
        <f>HYPERLINK("https://twitter.com/HennyD74","@HennyD74")</f>
        <v>@HennyD74</v>
      </c>
      <c r="C27085" s="8" t="s">
        <v>10374</v>
      </c>
      <c r="D27085" s="8">
        <v>0</v>
      </c>
      <c r="E27085" s="8">
        <v>0</v>
      </c>
      <c r="F27085" s="8">
        <v>2728</v>
      </c>
    </row>
    <row r="27086" spans="1:6" ht="12.75">
      <c r="A27086" s="8">
        <v>43892.297916666663</v>
      </c>
      <c r="B27086" s="8" t="str">
        <f>HYPERLINK("https://twitter.com/udahdibilangin","@udahdibilangin")</f>
        <v>@udahdibilangin</v>
      </c>
      <c r="C27086" s="8" t="s">
        <v>2199</v>
      </c>
      <c r="D27086" s="8">
        <v>1960</v>
      </c>
      <c r="E27086" s="8">
        <v>0</v>
      </c>
      <c r="F27086" s="8">
        <v>191</v>
      </c>
    </row>
    <row r="27087" spans="1:6" ht="12.75">
      <c r="A27087" s="8">
        <v>43892.297847222224</v>
      </c>
      <c r="B27087" s="8" t="str">
        <f>HYPERLINK("https://twitter.com/syounren","@syounren")</f>
        <v>@syounren</v>
      </c>
      <c r="C27087" s="8" t="s">
        <v>8962</v>
      </c>
      <c r="D27087" s="8">
        <v>191</v>
      </c>
      <c r="E27087" s="8">
        <v>0</v>
      </c>
      <c r="F27087" s="8">
        <v>584</v>
      </c>
    </row>
    <row r="27088" spans="1:6" ht="12.75">
      <c r="A27088" s="8">
        <v>43892.297766203701</v>
      </c>
      <c r="B27088" s="8" t="str">
        <f>HYPERLINK("https://twitter.com/ChristWamea","@ChristWamea")</f>
        <v>@ChristWamea</v>
      </c>
      <c r="C27088" s="8" t="s">
        <v>10363</v>
      </c>
      <c r="D27088" s="8">
        <v>6</v>
      </c>
      <c r="E27088" s="8">
        <v>0</v>
      </c>
      <c r="F27088" s="8">
        <v>28988</v>
      </c>
    </row>
    <row r="27089" spans="1:6" ht="12.75">
      <c r="A27089" s="8">
        <v>43892.297731481478</v>
      </c>
      <c r="B27089" s="8" t="str">
        <f>HYPERLINK("https://twitter.com/SuramaduJingga","@SuramaduJingga")</f>
        <v>@SuramaduJingga</v>
      </c>
      <c r="C27089" s="8" t="s">
        <v>10279</v>
      </c>
      <c r="D27089" s="8">
        <v>33</v>
      </c>
      <c r="E27089" s="8">
        <v>0</v>
      </c>
      <c r="F27089" s="8">
        <v>628</v>
      </c>
    </row>
    <row r="27090" spans="1:6" ht="12.75">
      <c r="A27090" s="8">
        <v>43892.297650462962</v>
      </c>
      <c r="B27090" s="8" t="str">
        <f>HYPERLINK("https://twitter.com/bungsulananggg","@bungsulananggg")</f>
        <v>@bungsulananggg</v>
      </c>
      <c r="C27090" s="8" t="s">
        <v>8962</v>
      </c>
      <c r="D27090" s="8">
        <v>191</v>
      </c>
      <c r="E27090" s="8">
        <v>0</v>
      </c>
      <c r="F27090" s="8">
        <v>32050</v>
      </c>
    </row>
    <row r="27091" spans="1:6" ht="12.75">
      <c r="A27091" s="8">
        <v>43892.297615740739</v>
      </c>
      <c r="B27091" s="8" t="str">
        <f>HYPERLINK("https://twitter.com/ImsieHS","@ImsieHS")</f>
        <v>@ImsieHS</v>
      </c>
      <c r="C27091" s="8" t="s">
        <v>2199</v>
      </c>
      <c r="D27091" s="8">
        <v>1960</v>
      </c>
      <c r="E27091" s="8">
        <v>0</v>
      </c>
      <c r="F27091" s="8">
        <v>406</v>
      </c>
    </row>
    <row r="27092" spans="1:6" ht="12.75">
      <c r="A27092" s="8">
        <v>43892.297615740739</v>
      </c>
      <c r="B27092" s="8" t="str">
        <f>HYPERLINK("https://twitter.com/HeriPurwanto99","@HeriPurwanto99")</f>
        <v>@HeriPurwanto99</v>
      </c>
      <c r="C27092" s="8" t="s">
        <v>9919</v>
      </c>
      <c r="D27092" s="8">
        <v>17</v>
      </c>
      <c r="E27092" s="8">
        <v>0</v>
      </c>
      <c r="F27092" s="8">
        <v>128</v>
      </c>
    </row>
    <row r="27093" spans="1:6" ht="12.75">
      <c r="A27093" s="8">
        <v>43892.297569444447</v>
      </c>
      <c r="B27093" s="8" t="str">
        <f>HYPERLINK("https://twitter.com/Agust30888907","@Agust30888907")</f>
        <v>@Agust30888907</v>
      </c>
      <c r="C27093" s="8" t="s">
        <v>10375</v>
      </c>
      <c r="D27093" s="8">
        <v>53</v>
      </c>
      <c r="E27093" s="8">
        <v>0</v>
      </c>
      <c r="F27093" s="8">
        <v>423</v>
      </c>
    </row>
    <row r="27094" spans="1:6" ht="12.75">
      <c r="A27094" s="8">
        <v>43892.29755787037</v>
      </c>
      <c r="B27094" s="8" t="str">
        <f>HYPERLINK("https://twitter.com/ovrtheskyline","@ovrtheskyline")</f>
        <v>@ovrtheskyline</v>
      </c>
      <c r="C27094" s="8" t="s">
        <v>2199</v>
      </c>
      <c r="D27094" s="8">
        <v>1960</v>
      </c>
      <c r="E27094" s="8">
        <v>0</v>
      </c>
      <c r="F27094" s="8">
        <v>322</v>
      </c>
    </row>
    <row r="27095" spans="1:6" ht="12.75">
      <c r="A27095" s="8">
        <v>43892.297546296293</v>
      </c>
      <c r="B27095" s="8" t="str">
        <f>HYPERLINK("https://twitter.com/Belalabela11","@Belalabela11")</f>
        <v>@Belalabela11</v>
      </c>
      <c r="C27095" s="8" t="s">
        <v>2199</v>
      </c>
      <c r="D27095" s="8">
        <v>1960</v>
      </c>
      <c r="E27095" s="8">
        <v>0</v>
      </c>
      <c r="F27095" s="8">
        <v>570</v>
      </c>
    </row>
    <row r="27096" spans="1:6" ht="12.75">
      <c r="A27096" s="8">
        <v>43892.29751157407</v>
      </c>
      <c r="B27096" s="8" t="str">
        <f>HYPERLINK("https://twitter.com/PanaYt","@PanaYt")</f>
        <v>@PanaYt</v>
      </c>
      <c r="C27096" s="8" t="s">
        <v>7766</v>
      </c>
      <c r="D27096" s="8">
        <v>30</v>
      </c>
      <c r="E27096" s="8">
        <v>0</v>
      </c>
      <c r="F27096" s="8">
        <v>774</v>
      </c>
    </row>
    <row r="27097" spans="1:6" ht="12.75">
      <c r="A27097" s="8">
        <v>43892.29751157407</v>
      </c>
      <c r="B27097" s="8" t="str">
        <f>HYPERLINK("https://twitter.com/xokjh30","@xokjh30")</f>
        <v>@xokjh30</v>
      </c>
      <c r="C27097" s="8" t="s">
        <v>10376</v>
      </c>
      <c r="D27097" s="8">
        <v>0</v>
      </c>
      <c r="E27097" s="8">
        <v>0</v>
      </c>
      <c r="F27097" s="8">
        <v>227</v>
      </c>
    </row>
    <row r="27098" spans="1:6" ht="12.75">
      <c r="A27098" s="8">
        <v>43892.297465277778</v>
      </c>
      <c r="B27098" s="8" t="str">
        <f>HYPERLINK("https://twitter.com/pinapplechata","@pinapplechata")</f>
        <v>@pinapplechata</v>
      </c>
      <c r="C27098" s="8" t="s">
        <v>2199</v>
      </c>
      <c r="D27098" s="8">
        <v>1960</v>
      </c>
      <c r="E27098" s="8">
        <v>0</v>
      </c>
      <c r="F27098" s="8">
        <v>32</v>
      </c>
    </row>
    <row r="27099" spans="1:6" ht="12.75">
      <c r="A27099" s="8">
        <v>43892.297361111108</v>
      </c>
      <c r="B27099" s="8" t="str">
        <f>HYPERLINK("https://twitter.com/pendividia","@pendividia")</f>
        <v>@pendividia</v>
      </c>
      <c r="C27099" s="8" t="s">
        <v>4150</v>
      </c>
      <c r="D27099" s="8">
        <v>127</v>
      </c>
      <c r="E27099" s="8">
        <v>0</v>
      </c>
      <c r="F27099" s="8">
        <v>601</v>
      </c>
    </row>
    <row r="27100" spans="1:6" ht="12.75">
      <c r="A27100" s="8">
        <v>43892.297361111108</v>
      </c>
      <c r="B27100" s="8" t="str">
        <f>HYPERLINK("https://twitter.com/bonbonbon90","@bonbonbon90")</f>
        <v>@bonbonbon90</v>
      </c>
      <c r="C27100" s="8" t="s">
        <v>7686</v>
      </c>
      <c r="D27100" s="8">
        <v>953</v>
      </c>
      <c r="E27100" s="8">
        <v>0</v>
      </c>
      <c r="F27100" s="8">
        <v>474</v>
      </c>
    </row>
    <row r="27101" spans="1:6" ht="12.75">
      <c r="A27101" s="8">
        <v>43892.297326388885</v>
      </c>
      <c r="B27101" s="8" t="str">
        <f>HYPERLINK("https://twitter.com/SulaimanLeni","@SulaimanLeni")</f>
        <v>@SulaimanLeni</v>
      </c>
      <c r="C27101" s="8" t="s">
        <v>9587</v>
      </c>
      <c r="D27101" s="8">
        <v>151</v>
      </c>
      <c r="E27101" s="8">
        <v>0</v>
      </c>
      <c r="F27101" s="8">
        <v>90</v>
      </c>
    </row>
    <row r="27102" spans="1:6" ht="12.75">
      <c r="A27102" s="8">
        <v>43892.297326388885</v>
      </c>
      <c r="B27102" s="8" t="str">
        <f>HYPERLINK("https://twitter.com/Voirmountagnes","@Voirmountagnes")</f>
        <v>@Voirmountagnes</v>
      </c>
      <c r="C27102" s="8" t="s">
        <v>5732</v>
      </c>
      <c r="D27102" s="8">
        <v>631</v>
      </c>
      <c r="E27102" s="8">
        <v>0</v>
      </c>
      <c r="F27102" s="8">
        <v>527</v>
      </c>
    </row>
    <row r="27103" spans="1:6" ht="12.75">
      <c r="A27103" s="8">
        <v>43892.297256944439</v>
      </c>
      <c r="B27103" s="8" t="str">
        <f>HYPERLINK("https://twitter.com/platoniiiic","@platoniiiic")</f>
        <v>@platoniiiic</v>
      </c>
      <c r="C27103" s="8" t="s">
        <v>2199</v>
      </c>
      <c r="D27103" s="8">
        <v>1960</v>
      </c>
      <c r="E27103" s="8">
        <v>0</v>
      </c>
      <c r="F27103" s="8">
        <v>552</v>
      </c>
    </row>
    <row r="27104" spans="1:6" ht="12.75">
      <c r="A27104" s="8">
        <v>43892.297175925924</v>
      </c>
      <c r="B27104" s="8" t="str">
        <f>HYPERLINK("https://twitter.com/KaoruHamadaa","@KaoruHamadaa")</f>
        <v>@KaoruHamadaa</v>
      </c>
      <c r="C27104" s="8" t="s">
        <v>2199</v>
      </c>
      <c r="D27104" s="8">
        <v>1960</v>
      </c>
      <c r="E27104" s="8">
        <v>0</v>
      </c>
      <c r="F27104" s="8">
        <v>546</v>
      </c>
    </row>
    <row r="27105" spans="1:6" ht="12.75">
      <c r="A27105" s="8">
        <v>43892.297060185185</v>
      </c>
      <c r="B27105" s="8" t="str">
        <f>HYPERLINK("https://twitter.com/Febyval22","@Febyval22")</f>
        <v>@Febyval22</v>
      </c>
      <c r="C27105" s="8" t="s">
        <v>5732</v>
      </c>
      <c r="D27105" s="8">
        <v>631</v>
      </c>
      <c r="E27105" s="8">
        <v>0</v>
      </c>
      <c r="F27105" s="8">
        <v>298</v>
      </c>
    </row>
    <row r="27106" spans="1:6" ht="12.75">
      <c r="A27106" s="8">
        <v>43892.297048611115</v>
      </c>
      <c r="B27106" s="8" t="str">
        <f>HYPERLINK("https://twitter.com/jongdaeea21","@jongdaeea21")</f>
        <v>@jongdaeea21</v>
      </c>
      <c r="C27106" s="8" t="s">
        <v>2199</v>
      </c>
      <c r="D27106" s="8">
        <v>1960</v>
      </c>
      <c r="E27106" s="8">
        <v>0</v>
      </c>
      <c r="F27106" s="8">
        <v>1286</v>
      </c>
    </row>
    <row r="27107" spans="1:6" ht="12.75">
      <c r="A27107" s="8">
        <v>43892.296898148154</v>
      </c>
      <c r="B27107" s="8" t="str">
        <f>HYPERLINK("https://twitter.com/ohorellaichal","@ohorellaichal")</f>
        <v>@ohorellaichal</v>
      </c>
      <c r="C27107" s="8" t="s">
        <v>2199</v>
      </c>
      <c r="D27107" s="8">
        <v>1960</v>
      </c>
      <c r="E27107" s="8">
        <v>0</v>
      </c>
      <c r="F27107" s="8">
        <v>1124</v>
      </c>
    </row>
    <row r="27108" spans="1:6" ht="12.75">
      <c r="A27108" s="8">
        <v>43892.296805555554</v>
      </c>
      <c r="B27108" s="8" t="str">
        <f>HYPERLINK("https://twitter.com/radjadilaut1","@radjadilaut1")</f>
        <v>@radjadilaut1</v>
      </c>
      <c r="C27108" s="8" t="s">
        <v>10377</v>
      </c>
      <c r="D27108" s="8">
        <v>12</v>
      </c>
      <c r="E27108" s="8">
        <v>0</v>
      </c>
      <c r="F27108" s="8">
        <v>658</v>
      </c>
    </row>
    <row r="27109" spans="1:6" ht="12.75">
      <c r="A27109" s="8">
        <v>43892.296759259261</v>
      </c>
      <c r="B27109" s="8" t="str">
        <f>HYPERLINK("https://twitter.com/HeriPurwanto99","@HeriPurwanto99")</f>
        <v>@HeriPurwanto99</v>
      </c>
      <c r="C27109" s="8" t="s">
        <v>5803</v>
      </c>
      <c r="D27109" s="8">
        <v>30</v>
      </c>
      <c r="E27109" s="8">
        <v>0</v>
      </c>
      <c r="F27109" s="8">
        <v>128</v>
      </c>
    </row>
    <row r="27110" spans="1:6" ht="12.75">
      <c r="A27110" s="8">
        <v>43892.296701388885</v>
      </c>
      <c r="B27110" s="8" t="str">
        <f>HYPERLINK("https://twitter.com/vidyamyp","@vidyamyp")</f>
        <v>@vidyamyp</v>
      </c>
      <c r="C27110" s="8" t="s">
        <v>2199</v>
      </c>
      <c r="D27110" s="8">
        <v>1960</v>
      </c>
      <c r="E27110" s="8">
        <v>0</v>
      </c>
      <c r="F27110" s="8">
        <v>230</v>
      </c>
    </row>
    <row r="27111" spans="1:6" ht="12.75">
      <c r="A27111" s="8">
        <v>43892.2966087963</v>
      </c>
      <c r="B27111" s="8" t="str">
        <f>HYPERLINK("https://twitter.com/Hanifah933","@Hanifah933")</f>
        <v>@Hanifah933</v>
      </c>
      <c r="C27111" s="8" t="s">
        <v>10378</v>
      </c>
      <c r="D27111" s="8">
        <v>1</v>
      </c>
      <c r="E27111" s="8">
        <v>0</v>
      </c>
      <c r="F27111" s="8">
        <v>7131</v>
      </c>
    </row>
    <row r="27112" spans="1:6" ht="12.75">
      <c r="A27112" s="8">
        <v>43892.296574074076</v>
      </c>
      <c r="B27112" s="8" t="str">
        <f>HYPERLINK("https://twitter.com/endah_teresia","@endah_teresia")</f>
        <v>@endah_teresia</v>
      </c>
      <c r="C27112" s="8" t="s">
        <v>2199</v>
      </c>
      <c r="D27112" s="8">
        <v>1960</v>
      </c>
      <c r="E27112" s="8">
        <v>0</v>
      </c>
      <c r="F27112" s="8">
        <v>24</v>
      </c>
    </row>
    <row r="27113" spans="1:6" ht="12.75">
      <c r="A27113" s="8">
        <v>43892.2965162037</v>
      </c>
      <c r="B27113" s="8" t="str">
        <f>HYPERLINK("https://twitter.com/upinLm","@upinLm")</f>
        <v>@upinLm</v>
      </c>
      <c r="C27113" s="8" t="s">
        <v>10279</v>
      </c>
      <c r="D27113" s="8">
        <v>33</v>
      </c>
      <c r="E27113" s="8">
        <v>0</v>
      </c>
      <c r="F27113" s="8">
        <v>139</v>
      </c>
    </row>
    <row r="27114" spans="1:6" ht="12.75">
      <c r="A27114" s="8">
        <v>43892.2965162037</v>
      </c>
      <c r="B27114" s="8" t="str">
        <f>HYPERLINK("https://twitter.com/Hariz935","@Hariz935")</f>
        <v>@Hariz935</v>
      </c>
      <c r="C27114" s="8" t="s">
        <v>5732</v>
      </c>
      <c r="D27114" s="8">
        <v>631</v>
      </c>
      <c r="E27114" s="8">
        <v>0</v>
      </c>
      <c r="F27114" s="8">
        <v>230</v>
      </c>
    </row>
    <row r="27115" spans="1:6" ht="12.75">
      <c r="A27115" s="8">
        <v>43892.29650462963</v>
      </c>
      <c r="B27115" s="8" t="str">
        <f>HYPERLINK("https://twitter.com/RinaldiFCH","@RinaldiFCH")</f>
        <v>@RinaldiFCH</v>
      </c>
      <c r="C27115" s="8" t="s">
        <v>2199</v>
      </c>
      <c r="D27115" s="8">
        <v>1960</v>
      </c>
      <c r="E27115" s="8">
        <v>0</v>
      </c>
      <c r="F27115" s="8">
        <v>351</v>
      </c>
    </row>
    <row r="27116" spans="1:6" ht="12.75">
      <c r="A27116" s="8">
        <v>43892.296412037038</v>
      </c>
      <c r="B27116" s="8" t="str">
        <f>HYPERLINK("https://twitter.com/metabp","@metabp")</f>
        <v>@metabp</v>
      </c>
      <c r="C27116" s="8" t="s">
        <v>2199</v>
      </c>
      <c r="D27116" s="8">
        <v>1960</v>
      </c>
      <c r="E27116" s="8">
        <v>0</v>
      </c>
      <c r="F27116" s="8">
        <v>706</v>
      </c>
    </row>
    <row r="27117" spans="1:6" ht="12.75">
      <c r="A27117" s="8">
        <v>43892.296377314815</v>
      </c>
      <c r="B27117" s="8" t="str">
        <f>HYPERLINK("https://twitter.com/Nadyadiyah","@Nadyadiyah")</f>
        <v>@Nadyadiyah</v>
      </c>
      <c r="C27117" s="8" t="s">
        <v>2199</v>
      </c>
      <c r="D27117" s="8">
        <v>1960</v>
      </c>
      <c r="E27117" s="8">
        <v>0</v>
      </c>
      <c r="F27117" s="8">
        <v>824</v>
      </c>
    </row>
    <row r="27118" spans="1:6" ht="12.75">
      <c r="A27118" s="8">
        <v>43892.296365740738</v>
      </c>
      <c r="B27118" s="8" t="str">
        <f>HYPERLINK("https://twitter.com/isthisdanar","@isthisdanar")</f>
        <v>@isthisdanar</v>
      </c>
      <c r="C27118" s="8" t="s">
        <v>2199</v>
      </c>
      <c r="D27118" s="8">
        <v>1960</v>
      </c>
      <c r="E27118" s="8">
        <v>0</v>
      </c>
      <c r="F27118" s="8">
        <v>13788</v>
      </c>
    </row>
    <row r="27119" spans="1:6" ht="12.75">
      <c r="A27119" s="8">
        <v>43892.296273148153</v>
      </c>
      <c r="B27119" s="8" t="str">
        <f>HYPERLINK("https://twitter.com/morrossis","@morrossis")</f>
        <v>@morrossis</v>
      </c>
      <c r="C27119" s="8" t="s">
        <v>2199</v>
      </c>
      <c r="D27119" s="8">
        <v>1960</v>
      </c>
      <c r="E27119" s="8">
        <v>0</v>
      </c>
      <c r="F27119" s="8">
        <v>551</v>
      </c>
    </row>
    <row r="27120" spans="1:6" ht="12.75">
      <c r="A27120" s="8">
        <v>43892.296226851853</v>
      </c>
      <c r="B27120" s="8" t="str">
        <f>HYPERLINK("https://twitter.com/Bonar_Sipayung","@Bonar_Sipayung")</f>
        <v>@Bonar_Sipayung</v>
      </c>
      <c r="C27120" s="8" t="s">
        <v>2199</v>
      </c>
      <c r="D27120" s="8">
        <v>1960</v>
      </c>
      <c r="E27120" s="8">
        <v>0</v>
      </c>
      <c r="F27120" s="8">
        <v>1911</v>
      </c>
    </row>
    <row r="27121" spans="1:6" ht="12.75">
      <c r="A27121" s="8">
        <v>43892.296157407407</v>
      </c>
      <c r="B27121" s="8" t="str">
        <f>HYPERLINK("https://twitter.com/justbob616","@justbob616")</f>
        <v>@justbob616</v>
      </c>
      <c r="C27121" s="8" t="s">
        <v>4150</v>
      </c>
      <c r="D27121" s="8">
        <v>127</v>
      </c>
      <c r="E27121" s="8">
        <v>0</v>
      </c>
      <c r="F27121" s="8">
        <v>875</v>
      </c>
    </row>
    <row r="27122" spans="1:6" ht="12.75">
      <c r="A27122" s="8">
        <v>43892.296006944445</v>
      </c>
      <c r="B27122" s="8" t="str">
        <f>HYPERLINK("https://twitter.com/KusrinMemet1","@KusrinMemet1")</f>
        <v>@KusrinMemet1</v>
      </c>
      <c r="C27122" s="8" t="s">
        <v>10279</v>
      </c>
      <c r="D27122" s="8">
        <v>33</v>
      </c>
      <c r="E27122" s="8">
        <v>0</v>
      </c>
      <c r="F27122" s="8">
        <v>1639</v>
      </c>
    </row>
    <row r="27123" spans="1:6" ht="12.75">
      <c r="A27123" s="8">
        <v>43892.295972222222</v>
      </c>
      <c r="B27123" s="8" t="str">
        <f>HYPERLINK("https://twitter.com/ssuryoseptono","@ssuryoseptono")</f>
        <v>@ssuryoseptono</v>
      </c>
      <c r="C27123" s="8" t="s">
        <v>9238</v>
      </c>
      <c r="D27123" s="8">
        <v>121</v>
      </c>
      <c r="E27123" s="8">
        <v>0</v>
      </c>
      <c r="F27123" s="8">
        <v>1400</v>
      </c>
    </row>
    <row r="27124" spans="1:6" ht="12.75">
      <c r="A27124" s="8">
        <v>43892.295844907407</v>
      </c>
      <c r="B27124" s="8" t="str">
        <f>HYPERLINK("https://twitter.com/HeriPurwanto99","@HeriPurwanto99")</f>
        <v>@HeriPurwanto99</v>
      </c>
      <c r="C27124" s="8" t="s">
        <v>2995</v>
      </c>
      <c r="D27124" s="8">
        <v>26</v>
      </c>
      <c r="E27124" s="8">
        <v>0</v>
      </c>
      <c r="F27124" s="8">
        <v>128</v>
      </c>
    </row>
    <row r="27125" spans="1:6" ht="12.75">
      <c r="A27125" s="8">
        <v>43892.29582175926</v>
      </c>
      <c r="B27125" s="8" t="str">
        <f>HYPERLINK("https://twitter.com/trysadewo","@trysadewo")</f>
        <v>@trysadewo</v>
      </c>
      <c r="C27125" s="8" t="s">
        <v>5732</v>
      </c>
      <c r="D27125" s="8">
        <v>631</v>
      </c>
      <c r="E27125" s="8">
        <v>0</v>
      </c>
      <c r="F27125" s="8">
        <v>362</v>
      </c>
    </row>
    <row r="27126" spans="1:6" ht="12.75">
      <c r="A27126" s="8">
        <v>43892.295787037037</v>
      </c>
      <c r="B27126" s="8" t="str">
        <f>HYPERLINK("https://twitter.com/johanesagung","@johanesagung")</f>
        <v>@johanesagung</v>
      </c>
      <c r="C27126" s="8" t="s">
        <v>2272</v>
      </c>
      <c r="D27126" s="8">
        <v>927</v>
      </c>
      <c r="E27126" s="8">
        <v>0</v>
      </c>
      <c r="F27126" s="8">
        <v>548</v>
      </c>
    </row>
    <row r="27127" spans="1:6" ht="12.75">
      <c r="A27127" s="8">
        <v>43892.295763888891</v>
      </c>
      <c r="B27127" s="8" t="str">
        <f>HYPERLINK("https://twitter.com/SuwitoRobby","@SuwitoRobby")</f>
        <v>@SuwitoRobby</v>
      </c>
      <c r="C27127" s="8" t="s">
        <v>7704</v>
      </c>
      <c r="D27127" s="8">
        <v>256</v>
      </c>
      <c r="E27127" s="8">
        <v>0</v>
      </c>
      <c r="F27127" s="8">
        <v>2984</v>
      </c>
    </row>
    <row r="27128" spans="1:6" ht="12.75">
      <c r="A27128" s="8">
        <v>43892.295752314814</v>
      </c>
      <c r="B27128" s="8" t="str">
        <f>HYPERLINK("https://twitter.com/BeritaCenter","@BeritaCenter")</f>
        <v>@BeritaCenter</v>
      </c>
      <c r="C27128" s="8" t="s">
        <v>10379</v>
      </c>
      <c r="D27128" s="8">
        <v>0</v>
      </c>
      <c r="E27128" s="8">
        <v>0</v>
      </c>
      <c r="F27128" s="8">
        <v>9426</v>
      </c>
    </row>
    <row r="27129" spans="1:6" ht="12.75">
      <c r="A27129" s="8">
        <v>43892.295729166668</v>
      </c>
      <c r="B27129" s="8" t="str">
        <f>HYPERLINK("https://twitter.com/olapdamanik","@olapdamanik")</f>
        <v>@olapdamanik</v>
      </c>
      <c r="C27129" s="8" t="s">
        <v>2199</v>
      </c>
      <c r="D27129" s="8">
        <v>1960</v>
      </c>
      <c r="E27129" s="8">
        <v>0</v>
      </c>
      <c r="F27129" s="8">
        <v>1112</v>
      </c>
    </row>
    <row r="27130" spans="1:6" ht="12.75">
      <c r="A27130" s="8">
        <v>43892.295706018514</v>
      </c>
      <c r="B27130" s="8" t="str">
        <f>HYPERLINK("https://twitter.com/damario04","@damario04")</f>
        <v>@damario04</v>
      </c>
      <c r="C27130" s="8" t="s">
        <v>166</v>
      </c>
      <c r="D27130" s="8">
        <v>0</v>
      </c>
      <c r="E27130" s="8">
        <v>0</v>
      </c>
      <c r="F27130" s="8">
        <v>403</v>
      </c>
    </row>
    <row r="27131" spans="1:6" ht="12.75">
      <c r="A27131" s="8">
        <v>43892.295648148152</v>
      </c>
      <c r="B27131" s="8" t="str">
        <f>HYPERLINK("https://twitter.com/IlhamFA_","@IlhamFA_")</f>
        <v>@IlhamFA_</v>
      </c>
      <c r="C27131" s="8" t="s">
        <v>10380</v>
      </c>
      <c r="D27131" s="8">
        <v>0</v>
      </c>
      <c r="E27131" s="8">
        <v>0</v>
      </c>
      <c r="F27131" s="8">
        <v>436</v>
      </c>
    </row>
    <row r="27132" spans="1:6" ht="12.75">
      <c r="A27132" s="8">
        <v>43892.295601851853</v>
      </c>
      <c r="B27132" s="8" t="str">
        <f>HYPERLINK("https://twitter.com/rainyta03","@rainyta03")</f>
        <v>@rainyta03</v>
      </c>
      <c r="C27132" s="8" t="s">
        <v>10108</v>
      </c>
      <c r="D27132" s="8">
        <v>9</v>
      </c>
      <c r="E27132" s="8">
        <v>0</v>
      </c>
      <c r="F27132" s="8">
        <v>204</v>
      </c>
    </row>
    <row r="27133" spans="1:6" ht="12.75">
      <c r="A27133" s="8">
        <v>43892.295474537037</v>
      </c>
      <c r="B27133" s="8" t="str">
        <f>HYPERLINK("https://twitter.com/YanuarAzhar1170","@YanuarAzhar1170")</f>
        <v>@YanuarAzhar1170</v>
      </c>
      <c r="C27133" s="8" t="s">
        <v>3850</v>
      </c>
      <c r="D27133" s="8">
        <v>1132</v>
      </c>
      <c r="E27133" s="8">
        <v>0</v>
      </c>
      <c r="F27133" s="8">
        <v>673</v>
      </c>
    </row>
    <row r="27134" spans="1:6" ht="12.75">
      <c r="A27134" s="8">
        <v>43892.295428240745</v>
      </c>
      <c r="B27134" s="8" t="str">
        <f>HYPERLINK("https://twitter.com/zeinamegot","@zeinamegot")</f>
        <v>@zeinamegot</v>
      </c>
      <c r="C27134" s="8" t="s">
        <v>10363</v>
      </c>
      <c r="D27134" s="8">
        <v>6</v>
      </c>
      <c r="E27134" s="8">
        <v>0</v>
      </c>
      <c r="F27134" s="8">
        <v>624</v>
      </c>
    </row>
    <row r="27135" spans="1:6" ht="12.75">
      <c r="A27135" s="8">
        <v>43892.295428240745</v>
      </c>
      <c r="B27135" s="8" t="str">
        <f>HYPERLINK("https://twitter.com/InspirasiBisni4","@InspirasiBisni4")</f>
        <v>@InspirasiBisni4</v>
      </c>
      <c r="C27135" s="8" t="s">
        <v>10381</v>
      </c>
      <c r="D27135" s="8">
        <v>5</v>
      </c>
      <c r="E27135" s="8">
        <v>0</v>
      </c>
      <c r="F27135" s="8">
        <v>1173</v>
      </c>
    </row>
    <row r="27136" spans="1:6" ht="12.75">
      <c r="A27136" s="8">
        <v>43892.295416666668</v>
      </c>
      <c r="B27136" s="8" t="str">
        <f>HYPERLINK("https://twitter.com/Vers_chub","@Vers_chub")</f>
        <v>@Vers_chub</v>
      </c>
      <c r="C27136" s="8" t="s">
        <v>7686</v>
      </c>
      <c r="D27136" s="8">
        <v>953</v>
      </c>
      <c r="E27136" s="8">
        <v>0</v>
      </c>
      <c r="F27136" s="8">
        <v>535</v>
      </c>
    </row>
    <row r="27137" spans="1:6" ht="12.75">
      <c r="A27137" s="8">
        <v>43892.295324074075</v>
      </c>
      <c r="B27137" s="8" t="str">
        <f>HYPERLINK("https://twitter.com/ridgebake145","@ridgebake145")</f>
        <v>@ridgebake145</v>
      </c>
      <c r="C27137" s="8" t="s">
        <v>2199</v>
      </c>
      <c r="D27137" s="8">
        <v>1960</v>
      </c>
      <c r="E27137" s="8">
        <v>0</v>
      </c>
      <c r="F27137" s="8">
        <v>1884</v>
      </c>
    </row>
    <row r="27138" spans="1:6" ht="12.75">
      <c r="A27138" s="8">
        <v>43892.295312499999</v>
      </c>
      <c r="B27138" s="8" t="str">
        <f>HYPERLINK("https://twitter.com/adagioBabe","@adagioBabe")</f>
        <v>@adagioBabe</v>
      </c>
      <c r="C27138" s="8" t="s">
        <v>2199</v>
      </c>
      <c r="D27138" s="8">
        <v>1960</v>
      </c>
      <c r="E27138" s="8">
        <v>0</v>
      </c>
      <c r="F27138" s="8">
        <v>347</v>
      </c>
    </row>
    <row r="27139" spans="1:6" ht="12.75">
      <c r="A27139" s="8">
        <v>43892.295254629629</v>
      </c>
      <c r="B27139" s="8" t="str">
        <f>HYPERLINK("https://twitter.com/upinLm","@upinLm")</f>
        <v>@upinLm</v>
      </c>
      <c r="C27139" s="8" t="s">
        <v>5732</v>
      </c>
      <c r="D27139" s="8">
        <v>631</v>
      </c>
      <c r="E27139" s="8">
        <v>0</v>
      </c>
      <c r="F27139" s="8">
        <v>139</v>
      </c>
    </row>
    <row r="27140" spans="1:6" ht="12.75">
      <c r="A27140" s="8">
        <v>43892.295219907406</v>
      </c>
      <c r="B27140" s="8" t="str">
        <f>HYPERLINK("https://twitter.com/abadidyok","@abadidyok")</f>
        <v>@abadidyok</v>
      </c>
      <c r="C27140" s="8" t="s">
        <v>2199</v>
      </c>
      <c r="D27140" s="8">
        <v>1960</v>
      </c>
      <c r="E27140" s="8">
        <v>0</v>
      </c>
      <c r="F27140" s="8">
        <v>209</v>
      </c>
    </row>
    <row r="27141" spans="1:6" ht="12.75">
      <c r="A27141" s="8">
        <v>43892.295173611114</v>
      </c>
      <c r="B27141" s="8" t="str">
        <f>HYPERLINK("https://twitter.com/Siledon","@Siledon")</f>
        <v>@Siledon</v>
      </c>
      <c r="C27141" s="8" t="s">
        <v>2199</v>
      </c>
      <c r="D27141" s="8">
        <v>1960</v>
      </c>
      <c r="E27141" s="8">
        <v>0</v>
      </c>
      <c r="F27141" s="8">
        <v>23</v>
      </c>
    </row>
    <row r="27142" spans="1:6" ht="12.75">
      <c r="A27142" s="8">
        <v>43892.295162037037</v>
      </c>
      <c r="B27142" s="8" t="str">
        <f>HYPERLINK("https://twitter.com/evereeze","@evereeze")</f>
        <v>@evereeze</v>
      </c>
      <c r="C27142" s="8" t="s">
        <v>10382</v>
      </c>
      <c r="D27142" s="8">
        <v>1</v>
      </c>
      <c r="E27142" s="8">
        <v>0</v>
      </c>
      <c r="F27142" s="8">
        <v>305</v>
      </c>
    </row>
    <row r="27143" spans="1:6" ht="12.75">
      <c r="A27143" s="8">
        <v>43892.295023148152</v>
      </c>
      <c r="B27143" s="8" t="str">
        <f>HYPERLINK("https://twitter.com/Genta57027194","@Genta57027194")</f>
        <v>@Genta57027194</v>
      </c>
      <c r="C27143" s="8" t="s">
        <v>9238</v>
      </c>
      <c r="D27143" s="8">
        <v>121</v>
      </c>
      <c r="E27143" s="8">
        <v>0</v>
      </c>
      <c r="F27143" s="8">
        <v>171</v>
      </c>
    </row>
    <row r="27144" spans="1:6" ht="12.75">
      <c r="A27144" s="8">
        <v>43892.295023148152</v>
      </c>
      <c r="B27144" s="8" t="str">
        <f>HYPERLINK("https://twitter.com/HeriPurwanto99","@HeriPurwanto99")</f>
        <v>@HeriPurwanto99</v>
      </c>
      <c r="C27144" s="8" t="s">
        <v>1749</v>
      </c>
      <c r="D27144" s="8">
        <v>33</v>
      </c>
      <c r="E27144" s="8">
        <v>0</v>
      </c>
      <c r="F27144" s="8">
        <v>128</v>
      </c>
    </row>
    <row r="27145" spans="1:6" ht="12.75">
      <c r="A27145" s="8">
        <v>43892.294976851852</v>
      </c>
      <c r="B27145" s="8" t="str">
        <f>HYPERLINK("https://twitter.com/stepenriccardo","@stepenriccardo")</f>
        <v>@stepenriccardo</v>
      </c>
      <c r="C27145" s="8" t="s">
        <v>10363</v>
      </c>
      <c r="D27145" s="8">
        <v>6</v>
      </c>
      <c r="E27145" s="8">
        <v>0</v>
      </c>
      <c r="F27145" s="8">
        <v>73</v>
      </c>
    </row>
    <row r="27146" spans="1:6" ht="12.75">
      <c r="A27146" s="8">
        <v>43892.294942129629</v>
      </c>
      <c r="B27146" s="8" t="str">
        <f>HYPERLINK("https://twitter.com/RudySt6","@RudySt6")</f>
        <v>@RudySt6</v>
      </c>
      <c r="C27146" s="8" t="s">
        <v>5732</v>
      </c>
      <c r="D27146" s="8">
        <v>631</v>
      </c>
      <c r="E27146" s="8">
        <v>0</v>
      </c>
      <c r="F27146" s="8">
        <v>367</v>
      </c>
    </row>
    <row r="27147" spans="1:6" ht="12.75">
      <c r="A27147" s="8">
        <v>43892.294942129629</v>
      </c>
      <c r="B27147" s="8" t="str">
        <f>HYPERLINK("https://twitter.com/gregoriusks","@gregoriusks")</f>
        <v>@gregoriusks</v>
      </c>
      <c r="C27147" s="8" t="s">
        <v>2199</v>
      </c>
      <c r="D27147" s="8">
        <v>1960</v>
      </c>
      <c r="E27147" s="8">
        <v>0</v>
      </c>
      <c r="F27147" s="8">
        <v>142</v>
      </c>
    </row>
    <row r="27148" spans="1:6" ht="12.75">
      <c r="A27148" s="8">
        <v>43892.294571759259</v>
      </c>
      <c r="B27148" s="8" t="str">
        <f>HYPERLINK("https://twitter.com/adito_panji","@adito_panji")</f>
        <v>@adito_panji</v>
      </c>
      <c r="C27148" s="8" t="s">
        <v>5732</v>
      </c>
      <c r="D27148" s="8">
        <v>631</v>
      </c>
      <c r="E27148" s="8">
        <v>0</v>
      </c>
      <c r="F27148" s="8">
        <v>86</v>
      </c>
    </row>
    <row r="27149" spans="1:6" ht="12.75">
      <c r="A27149" s="8">
        <v>43892.294467592597</v>
      </c>
      <c r="B27149" s="8" t="str">
        <f>HYPERLINK("https://twitter.com/kompascom","@kompascom")</f>
        <v>@kompascom</v>
      </c>
      <c r="C27149" s="8" t="s">
        <v>10383</v>
      </c>
      <c r="D27149" s="8">
        <v>6</v>
      </c>
      <c r="E27149" s="8">
        <v>6</v>
      </c>
      <c r="F27149" s="8">
        <v>7520925</v>
      </c>
    </row>
    <row r="27150" spans="1:6" ht="12.75">
      <c r="A27150" s="8">
        <v>43892.294456018513</v>
      </c>
      <c r="B27150" s="8" t="str">
        <f>HYPERLINK("https://twitter.com/indrawanh","@indrawanh")</f>
        <v>@indrawanh</v>
      </c>
      <c r="C27150" s="8" t="s">
        <v>2199</v>
      </c>
      <c r="D27150" s="8">
        <v>1960</v>
      </c>
      <c r="E27150" s="8">
        <v>0</v>
      </c>
      <c r="F27150" s="8">
        <v>257</v>
      </c>
    </row>
    <row r="27151" spans="1:6" ht="12.75">
      <c r="A27151" s="8">
        <v>43892.294409722221</v>
      </c>
      <c r="B27151" s="8" t="str">
        <f>HYPERLINK("https://twitter.com/akunsudi","@akunsudi")</f>
        <v>@akunsudi</v>
      </c>
      <c r="C27151" s="8" t="s">
        <v>10384</v>
      </c>
      <c r="D27151" s="8">
        <v>2</v>
      </c>
      <c r="E27151" s="8">
        <v>0</v>
      </c>
      <c r="F27151" s="8">
        <v>1324</v>
      </c>
    </row>
    <row r="27152" spans="1:6" ht="12.75">
      <c r="A27152" s="8">
        <v>43892.294259259259</v>
      </c>
      <c r="B27152" s="8" t="str">
        <f>HYPERLINK("https://twitter.com/michyeogane","@michyeogane")</f>
        <v>@michyeogane</v>
      </c>
      <c r="C27152" s="8" t="s">
        <v>5803</v>
      </c>
      <c r="D27152" s="8">
        <v>30</v>
      </c>
      <c r="E27152" s="8">
        <v>0</v>
      </c>
      <c r="F27152" s="8">
        <v>316</v>
      </c>
    </row>
    <row r="27153" spans="1:6" ht="12.75">
      <c r="A27153" s="8">
        <v>43892.294166666667</v>
      </c>
      <c r="B27153" s="8" t="str">
        <f>HYPERLINK("https://twitter.com/CristiantJohan","@CristiantJohan")</f>
        <v>@CristiantJohan</v>
      </c>
      <c r="C27153" s="8" t="s">
        <v>2199</v>
      </c>
      <c r="D27153" s="8">
        <v>1960</v>
      </c>
      <c r="E27153" s="8">
        <v>0</v>
      </c>
      <c r="F27153" s="8">
        <v>200</v>
      </c>
    </row>
    <row r="27154" spans="1:6" ht="12.75">
      <c r="A27154" s="8">
        <v>43892.29415509259</v>
      </c>
      <c r="B27154" s="8" t="str">
        <f>HYPERLINK("https://twitter.com/gfaithlee","@gfaithlee")</f>
        <v>@gfaithlee</v>
      </c>
      <c r="C27154" s="8" t="s">
        <v>9238</v>
      </c>
      <c r="D27154" s="8">
        <v>121</v>
      </c>
      <c r="E27154" s="8">
        <v>0</v>
      </c>
      <c r="F27154" s="8">
        <v>150</v>
      </c>
    </row>
    <row r="27155" spans="1:6" ht="12.75">
      <c r="A27155" s="8">
        <v>43892.29414351852</v>
      </c>
      <c r="B27155" s="8" t="str">
        <f>HYPERLINK("https://twitter.com/michyeogane","@michyeogane")</f>
        <v>@michyeogane</v>
      </c>
      <c r="C27155" s="8" t="s">
        <v>2199</v>
      </c>
      <c r="D27155" s="8">
        <v>1960</v>
      </c>
      <c r="E27155" s="8">
        <v>0</v>
      </c>
      <c r="F27155" s="8">
        <v>316</v>
      </c>
    </row>
    <row r="27156" spans="1:6" ht="12.75">
      <c r="A27156" s="8">
        <v>43892.294108796297</v>
      </c>
      <c r="B27156" s="8" t="str">
        <f>HYPERLINK("https://twitter.com/CikiKimi","@CikiKimi")</f>
        <v>@CikiKimi</v>
      </c>
      <c r="C27156" s="8" t="s">
        <v>5732</v>
      </c>
      <c r="D27156" s="8">
        <v>631</v>
      </c>
      <c r="E27156" s="8">
        <v>0</v>
      </c>
      <c r="F27156" s="8">
        <v>40</v>
      </c>
    </row>
    <row r="27157" spans="1:6" ht="12.75">
      <c r="A27157" s="8">
        <v>43892.294027777782</v>
      </c>
      <c r="B27157" s="8" t="str">
        <f>HYPERLINK("https://twitter.com/anjarisme","@anjarisme")</f>
        <v>@anjarisme</v>
      </c>
      <c r="C27157" s="8" t="s">
        <v>8917</v>
      </c>
      <c r="D27157" s="8">
        <v>78</v>
      </c>
      <c r="E27157" s="8">
        <v>0</v>
      </c>
      <c r="F27157" s="8">
        <v>10723</v>
      </c>
    </row>
    <row r="27158" spans="1:6" ht="12.75">
      <c r="A27158" s="8">
        <v>43892.293993055559</v>
      </c>
      <c r="B27158" s="8" t="str">
        <f>HYPERLINK("https://twitter.com/dehap3","@dehap3")</f>
        <v>@dehap3</v>
      </c>
      <c r="C27158" s="8" t="s">
        <v>10385</v>
      </c>
      <c r="D27158" s="8">
        <v>0</v>
      </c>
      <c r="E27158" s="8">
        <v>0</v>
      </c>
      <c r="F27158" s="8">
        <v>328</v>
      </c>
    </row>
    <row r="27159" spans="1:6" ht="12.75">
      <c r="A27159" s="8">
        <v>43892.293981481482</v>
      </c>
      <c r="B27159" s="8" t="str">
        <f>HYPERLINK("https://twitter.com/kadarusman_us","@kadarusman_us")</f>
        <v>@kadarusman_us</v>
      </c>
      <c r="C27159" s="8" t="s">
        <v>3850</v>
      </c>
      <c r="D27159" s="8">
        <v>1132</v>
      </c>
      <c r="E27159" s="8">
        <v>0</v>
      </c>
      <c r="F27159" s="8">
        <v>468</v>
      </c>
    </row>
    <row r="27160" spans="1:6" ht="12.75">
      <c r="A27160" s="8">
        <v>43892.293969907405</v>
      </c>
      <c r="B27160" s="8" t="str">
        <f>HYPERLINK("https://twitter.com/Nyiak_Gadang","@Nyiak_Gadang")</f>
        <v>@Nyiak_Gadang</v>
      </c>
      <c r="C27160" s="8" t="s">
        <v>3850</v>
      </c>
      <c r="D27160" s="8">
        <v>1132</v>
      </c>
      <c r="E27160" s="8">
        <v>0</v>
      </c>
      <c r="F27160" s="8">
        <v>345</v>
      </c>
    </row>
    <row r="27161" spans="1:6" ht="12.75">
      <c r="A27161" s="8">
        <v>43892.293923611112</v>
      </c>
      <c r="B27161" s="8" t="str">
        <f>HYPERLINK("https://twitter.com/OldJoe771","@OldJoe771")</f>
        <v>@OldJoe771</v>
      </c>
      <c r="C27161" s="8" t="s">
        <v>5732</v>
      </c>
      <c r="D27161" s="8">
        <v>631</v>
      </c>
      <c r="E27161" s="8">
        <v>0</v>
      </c>
      <c r="F27161" s="8">
        <v>330</v>
      </c>
    </row>
    <row r="27162" spans="1:6" ht="12.75">
      <c r="A27162" s="8">
        <v>43892.293912037036</v>
      </c>
      <c r="B27162" s="8" t="str">
        <f>HYPERLINK("https://twitter.com/mynameindra","@mynameindra")</f>
        <v>@mynameindra</v>
      </c>
      <c r="C27162" s="8" t="s">
        <v>10279</v>
      </c>
      <c r="D27162" s="8">
        <v>33</v>
      </c>
      <c r="E27162" s="8">
        <v>0</v>
      </c>
      <c r="F27162" s="8">
        <v>92</v>
      </c>
    </row>
    <row r="27163" spans="1:6" ht="12.75">
      <c r="A27163" s="8">
        <v>43892.293854166666</v>
      </c>
      <c r="B27163" s="8" t="str">
        <f>HYPERLINK("https://twitter.com/HeriPurwanto99","@HeriPurwanto99")</f>
        <v>@HeriPurwanto99</v>
      </c>
      <c r="C27163" s="8" t="s">
        <v>10386</v>
      </c>
      <c r="D27163" s="8">
        <v>2</v>
      </c>
      <c r="E27163" s="8">
        <v>0</v>
      </c>
      <c r="F27163" s="8">
        <v>128</v>
      </c>
    </row>
    <row r="27164" spans="1:6" ht="12.75">
      <c r="A27164" s="8">
        <v>43892.293749999997</v>
      </c>
      <c r="B27164" s="8" t="str">
        <f>HYPERLINK("https://twitter.com/Ardiwidyatmaka","@Ardiwidyatmaka")</f>
        <v>@Ardiwidyatmaka</v>
      </c>
      <c r="C27164" s="8" t="s">
        <v>2199</v>
      </c>
      <c r="D27164" s="8">
        <v>1960</v>
      </c>
      <c r="E27164" s="8">
        <v>0</v>
      </c>
      <c r="F27164" s="8">
        <v>216</v>
      </c>
    </row>
    <row r="27165" spans="1:6" ht="12.75">
      <c r="A27165" s="8">
        <v>43892.293622685189</v>
      </c>
      <c r="B27165" s="8" t="str">
        <f>HYPERLINK("https://twitter.com/kukenez","@kukenez")</f>
        <v>@kukenez</v>
      </c>
      <c r="C27165" s="8" t="s">
        <v>2199</v>
      </c>
      <c r="D27165" s="8">
        <v>1960</v>
      </c>
      <c r="E27165" s="8">
        <v>0</v>
      </c>
      <c r="F27165" s="8">
        <v>114</v>
      </c>
    </row>
    <row r="27166" spans="1:6" ht="12.75">
      <c r="A27166" s="8">
        <v>43892.293587962966</v>
      </c>
      <c r="B27166" s="8" t="str">
        <f>HYPERLINK("https://twitter.com/evaniaach","@evaniaach")</f>
        <v>@evaniaach</v>
      </c>
      <c r="C27166" s="8" t="s">
        <v>2199</v>
      </c>
      <c r="D27166" s="8">
        <v>1960</v>
      </c>
      <c r="E27166" s="8">
        <v>0</v>
      </c>
      <c r="F27166" s="8">
        <v>435</v>
      </c>
    </row>
    <row r="27167" spans="1:6" ht="12.75">
      <c r="A27167" s="8">
        <v>43892.293472222227</v>
      </c>
      <c r="B27167" s="8" t="str">
        <f>HYPERLINK("https://twitter.com/Genta57027194","@Genta57027194")</f>
        <v>@Genta57027194</v>
      </c>
      <c r="C27167" s="8" t="s">
        <v>4150</v>
      </c>
      <c r="D27167" s="8">
        <v>127</v>
      </c>
      <c r="E27167" s="8">
        <v>0</v>
      </c>
      <c r="F27167" s="8">
        <v>171</v>
      </c>
    </row>
    <row r="27168" spans="1:6" ht="12.75">
      <c r="A27168" s="8">
        <v>43892.293391203704</v>
      </c>
      <c r="B27168" s="8" t="str">
        <f>HYPERLINK("https://twitter.com/miyamin48","@miyamin48")</f>
        <v>@miyamin48</v>
      </c>
      <c r="C27168" s="8" t="s">
        <v>2199</v>
      </c>
      <c r="D27168" s="8">
        <v>1960</v>
      </c>
      <c r="E27168" s="8">
        <v>0</v>
      </c>
      <c r="F27168" s="8">
        <v>324</v>
      </c>
    </row>
    <row r="27169" spans="1:6" ht="12.75">
      <c r="A27169" s="8">
        <v>43892.293368055558</v>
      </c>
      <c r="B27169" s="8" t="str">
        <f>HYPERLINK("https://twitter.com/dtitusindri","@dtitusindri")</f>
        <v>@dtitusindri</v>
      </c>
      <c r="C27169" s="8" t="s">
        <v>3038</v>
      </c>
      <c r="D27169" s="8">
        <v>3</v>
      </c>
      <c r="E27169" s="8">
        <v>0</v>
      </c>
      <c r="F27169" s="8">
        <v>368</v>
      </c>
    </row>
    <row r="27170" spans="1:6" ht="12.75">
      <c r="A27170" s="8">
        <v>43892.293310185181</v>
      </c>
      <c r="B27170" s="8" t="str">
        <f>HYPERLINK("https://twitter.com/hamzahsyahputra","@hamzahsyahputra")</f>
        <v>@hamzahsyahputra</v>
      </c>
      <c r="C27170" s="8" t="s">
        <v>5732</v>
      </c>
      <c r="D27170" s="8">
        <v>631</v>
      </c>
      <c r="E27170" s="8">
        <v>0</v>
      </c>
      <c r="F27170" s="8">
        <v>739</v>
      </c>
    </row>
    <row r="27171" spans="1:6" ht="12.75">
      <c r="A27171" s="8">
        <v>43892.293252314819</v>
      </c>
      <c r="B27171" s="8" t="str">
        <f>HYPERLINK("https://twitter.com/andrejamiee","@andrejamiee")</f>
        <v>@andrejamiee</v>
      </c>
      <c r="C27171" s="8" t="s">
        <v>2199</v>
      </c>
      <c r="D27171" s="8">
        <v>1960</v>
      </c>
      <c r="E27171" s="8">
        <v>0</v>
      </c>
      <c r="F27171" s="8">
        <v>513</v>
      </c>
    </row>
    <row r="27172" spans="1:6" ht="12.75">
      <c r="A27172" s="8">
        <v>43892.293206018519</v>
      </c>
      <c r="B27172" s="8" t="str">
        <f>HYPERLINK("https://twitter.com/hotel_tugujogja","@hotel_tugujogja")</f>
        <v>@hotel_tugujogja</v>
      </c>
      <c r="C27172" s="8" t="s">
        <v>5732</v>
      </c>
      <c r="D27172" s="8">
        <v>631</v>
      </c>
      <c r="E27172" s="8">
        <v>0</v>
      </c>
      <c r="F27172" s="8">
        <v>339</v>
      </c>
    </row>
    <row r="27173" spans="1:6" ht="12.75">
      <c r="A27173" s="8">
        <v>43892.293171296296</v>
      </c>
      <c r="B27173" s="8" t="str">
        <f>HYPERLINK("https://twitter.com/sudiandoyoVaVic","@sudiandoyoVaVic")</f>
        <v>@sudiandoyoVaVic</v>
      </c>
      <c r="C27173" s="8" t="s">
        <v>2199</v>
      </c>
      <c r="D27173" s="8">
        <v>1960</v>
      </c>
      <c r="E27173" s="8">
        <v>0</v>
      </c>
      <c r="F27173" s="8">
        <v>293</v>
      </c>
    </row>
    <row r="27174" spans="1:6" ht="12.75">
      <c r="A27174" s="8">
        <v>43892.29315972222</v>
      </c>
      <c r="B27174" s="8" t="str">
        <f>HYPERLINK("https://twitter.com/inonk61460581","@inonk61460581")</f>
        <v>@inonk61460581</v>
      </c>
      <c r="C27174" s="8" t="s">
        <v>2199</v>
      </c>
      <c r="D27174" s="8">
        <v>1960</v>
      </c>
      <c r="E27174" s="8">
        <v>0</v>
      </c>
      <c r="F27174" s="8">
        <v>23</v>
      </c>
    </row>
    <row r="27175" spans="1:6" ht="12.75">
      <c r="A27175" s="8">
        <v>43892.293124999997</v>
      </c>
      <c r="B27175" s="8" t="str">
        <f>HYPERLINK("https://twitter.com/oprahfanspage","@oprahfanspage")</f>
        <v>@oprahfanspage</v>
      </c>
      <c r="C27175" s="8" t="s">
        <v>2199</v>
      </c>
      <c r="D27175" s="8">
        <v>1960</v>
      </c>
      <c r="E27175" s="8">
        <v>0</v>
      </c>
      <c r="F27175" s="8">
        <v>114</v>
      </c>
    </row>
    <row r="27176" spans="1:6" ht="12.75">
      <c r="A27176" s="8">
        <v>43892.29310185185</v>
      </c>
      <c r="B27176" s="8" t="str">
        <f>HYPERLINK("https://twitter.com/ARahmansyah79","@ARahmansyah79")</f>
        <v>@ARahmansyah79</v>
      </c>
      <c r="C27176" s="8" t="s">
        <v>3850</v>
      </c>
      <c r="D27176" s="8">
        <v>1132</v>
      </c>
      <c r="E27176" s="8">
        <v>0</v>
      </c>
      <c r="F27176" s="8">
        <v>786</v>
      </c>
    </row>
    <row r="27177" spans="1:6" ht="12.75">
      <c r="A27177" s="8">
        <v>43892.29305555555</v>
      </c>
      <c r="B27177" s="8" t="str">
        <f>HYPERLINK("https://twitter.com/IradibyoRatih","@IradibyoRatih")</f>
        <v>@IradibyoRatih</v>
      </c>
      <c r="C27177" s="8" t="s">
        <v>5732</v>
      </c>
      <c r="D27177" s="8">
        <v>631</v>
      </c>
      <c r="E27177" s="8">
        <v>0</v>
      </c>
      <c r="F27177" s="8">
        <v>558</v>
      </c>
    </row>
    <row r="27178" spans="1:6" ht="12.75">
      <c r="A27178" s="8">
        <v>43892.293043981481</v>
      </c>
      <c r="B27178" s="8" t="str">
        <f>HYPERLINK("https://twitter.com/syariefh","@syariefh")</f>
        <v>@syariefh</v>
      </c>
      <c r="C27178" s="8" t="s">
        <v>5732</v>
      </c>
      <c r="D27178" s="8">
        <v>631</v>
      </c>
      <c r="E27178" s="8">
        <v>0</v>
      </c>
      <c r="F27178" s="8">
        <v>250</v>
      </c>
    </row>
    <row r="27179" spans="1:6" ht="12.75">
      <c r="A27179" s="8">
        <v>43892.292962962965</v>
      </c>
      <c r="B27179" s="8" t="str">
        <f>HYPERLINK("https://twitter.com/fachri_kh","@fachri_kh")</f>
        <v>@fachri_kh</v>
      </c>
      <c r="C27179" s="8" t="s">
        <v>3850</v>
      </c>
      <c r="D27179" s="8">
        <v>1132</v>
      </c>
      <c r="E27179" s="8">
        <v>0</v>
      </c>
      <c r="F27179" s="8">
        <v>4153</v>
      </c>
    </row>
    <row r="27180" spans="1:6" ht="12.75">
      <c r="A27180" s="8">
        <v>43892.256851851853</v>
      </c>
      <c r="B27180" s="8" t="str">
        <f>HYPERLINK("https://twitter.com/DodoyMang","@DodoyMang")</f>
        <v>@DodoyMang</v>
      </c>
      <c r="C27180" s="8" t="s">
        <v>5732</v>
      </c>
      <c r="D27180" s="8">
        <v>502</v>
      </c>
      <c r="E27180" s="8">
        <v>0</v>
      </c>
      <c r="F27180" s="8">
        <v>24</v>
      </c>
    </row>
    <row r="27181" spans="1:6" ht="12.75">
      <c r="A27181" s="8">
        <v>43892.256782407407</v>
      </c>
      <c r="B27181" s="8" t="str">
        <f>HYPERLINK("https://twitter.com/wotdehell","@wotdehell")</f>
        <v>@wotdehell</v>
      </c>
      <c r="C27181" s="8" t="s">
        <v>5732</v>
      </c>
      <c r="D27181" s="8">
        <v>502</v>
      </c>
      <c r="E27181" s="8">
        <v>0</v>
      </c>
      <c r="F27181" s="8">
        <v>612</v>
      </c>
    </row>
    <row r="27182" spans="1:6" ht="12.75">
      <c r="A27182" s="8">
        <v>43892.256770833337</v>
      </c>
      <c r="B27182" s="8" t="str">
        <f>HYPERLINK("https://twitter.com/LusiHQ","@LusiHQ")</f>
        <v>@LusiHQ</v>
      </c>
      <c r="C27182" s="8" t="s">
        <v>10387</v>
      </c>
      <c r="D27182" s="8">
        <v>15</v>
      </c>
      <c r="E27182" s="8">
        <v>0</v>
      </c>
      <c r="F27182" s="8">
        <v>17917</v>
      </c>
    </row>
    <row r="27183" spans="1:6" ht="12.75">
      <c r="A27183" s="8">
        <v>43892.256747685184</v>
      </c>
      <c r="B27183" s="8" t="str">
        <f>HYPERLINK("https://twitter.com/GreatSpiderman7","@GreatSpiderman7")</f>
        <v>@GreatSpiderman7</v>
      </c>
      <c r="C27183" s="8" t="s">
        <v>9587</v>
      </c>
      <c r="D27183" s="8">
        <v>139</v>
      </c>
      <c r="E27183" s="8">
        <v>0</v>
      </c>
      <c r="F27183" s="8">
        <v>198</v>
      </c>
    </row>
    <row r="27184" spans="1:6" ht="12.75">
      <c r="A27184" s="8">
        <v>43892.256712962961</v>
      </c>
      <c r="B27184" s="8" t="str">
        <f>HYPERLINK("https://twitter.com/wikesand","@wikesand")</f>
        <v>@wikesand</v>
      </c>
      <c r="C27184" s="8" t="s">
        <v>5732</v>
      </c>
      <c r="D27184" s="8">
        <v>502</v>
      </c>
      <c r="E27184" s="8">
        <v>0</v>
      </c>
      <c r="F27184" s="8">
        <v>163</v>
      </c>
    </row>
    <row r="27185" spans="1:6" ht="12.75">
      <c r="A27185" s="8">
        <v>43892.256481481483</v>
      </c>
      <c r="B27185" s="8" t="str">
        <f>HYPERLINK("https://twitter.com/iya_zeyeng","@iya_zeyeng")</f>
        <v>@iya_zeyeng</v>
      </c>
      <c r="C27185" s="8" t="s">
        <v>2199</v>
      </c>
      <c r="D27185" s="8">
        <v>1661</v>
      </c>
      <c r="E27185" s="8">
        <v>0</v>
      </c>
      <c r="F27185" s="8">
        <v>2572</v>
      </c>
    </row>
    <row r="27186" spans="1:6" ht="12.75">
      <c r="A27186" s="8">
        <v>43892.256377314814</v>
      </c>
      <c r="B27186" s="8" t="str">
        <f>HYPERLINK("https://twitter.com/dadanherdhi","@dadanherdhi")</f>
        <v>@dadanherdhi</v>
      </c>
      <c r="C27186" s="8" t="s">
        <v>10388</v>
      </c>
      <c r="D27186" s="8">
        <v>18</v>
      </c>
      <c r="E27186" s="8">
        <v>0</v>
      </c>
      <c r="F27186" s="8">
        <v>139</v>
      </c>
    </row>
    <row r="27187" spans="1:6" ht="12.75">
      <c r="A27187" s="8">
        <v>43892.256284722222</v>
      </c>
      <c r="B27187" s="8" t="str">
        <f>HYPERLINK("https://twitter.com/Temulaw71417452","@Temulaw71417452")</f>
        <v>@Temulaw71417452</v>
      </c>
      <c r="C27187" s="8" t="s">
        <v>10389</v>
      </c>
      <c r="D27187" s="8">
        <v>0</v>
      </c>
      <c r="E27187" s="8">
        <v>0</v>
      </c>
      <c r="F27187" s="8">
        <v>34</v>
      </c>
    </row>
    <row r="27188" spans="1:6" ht="12.75">
      <c r="A27188" s="8">
        <v>43892.256261574075</v>
      </c>
      <c r="B27188" s="8" t="str">
        <f>HYPERLINK("https://twitter.com/Putra_F4jar","@Putra_F4jar")</f>
        <v>@Putra_F4jar</v>
      </c>
      <c r="C27188" s="8" t="s">
        <v>3850</v>
      </c>
      <c r="D27188" s="8">
        <v>1084</v>
      </c>
      <c r="E27188" s="8">
        <v>0</v>
      </c>
      <c r="F27188" s="8">
        <v>2978</v>
      </c>
    </row>
    <row r="27189" spans="1:6" ht="12.75">
      <c r="A27189" s="8">
        <v>43892.256249999999</v>
      </c>
      <c r="B27189" s="8" t="str">
        <f>HYPERLINK("https://twitter.com/nadrpalupi","@nadrpalupi")</f>
        <v>@nadrpalupi</v>
      </c>
      <c r="C27189" s="8" t="s">
        <v>9238</v>
      </c>
      <c r="D27189" s="8">
        <v>113</v>
      </c>
      <c r="E27189" s="8">
        <v>0</v>
      </c>
      <c r="F27189" s="8">
        <v>1233</v>
      </c>
    </row>
    <row r="27190" spans="1:6" ht="12.75">
      <c r="A27190" s="8">
        <v>43892.256203703699</v>
      </c>
      <c r="B27190" s="8" t="str">
        <f>HYPERLINK("https://twitter.com/Darmalik3","@Darmalik3")</f>
        <v>@Darmalik3</v>
      </c>
      <c r="C27190" s="8" t="s">
        <v>2199</v>
      </c>
      <c r="D27190" s="8">
        <v>1661</v>
      </c>
      <c r="E27190" s="8">
        <v>0</v>
      </c>
      <c r="F27190" s="8">
        <v>1719</v>
      </c>
    </row>
    <row r="27191" spans="1:6" ht="12.75">
      <c r="A27191" s="8">
        <v>43892.25613425926</v>
      </c>
      <c r="B27191" s="8" t="str">
        <f>HYPERLINK("https://twitter.com/Saftaramadonn","@Saftaramadonn")</f>
        <v>@Saftaramadonn</v>
      </c>
      <c r="C27191" s="8" t="s">
        <v>2199</v>
      </c>
      <c r="D27191" s="8">
        <v>1661</v>
      </c>
      <c r="E27191" s="8">
        <v>0</v>
      </c>
      <c r="F27191" s="8">
        <v>83</v>
      </c>
    </row>
    <row r="27192" spans="1:6" ht="12.75">
      <c r="A27192" s="8">
        <v>43892.256030092598</v>
      </c>
      <c r="B27192" s="8" t="str">
        <f>HYPERLINK("https://twitter.com/RMusrod","@RMusrod")</f>
        <v>@RMusrod</v>
      </c>
      <c r="C27192" s="8" t="s">
        <v>10390</v>
      </c>
      <c r="D27192" s="8">
        <v>6</v>
      </c>
      <c r="E27192" s="8">
        <v>0</v>
      </c>
      <c r="F27192" s="8">
        <v>1121</v>
      </c>
    </row>
    <row r="27193" spans="1:6" ht="12.75">
      <c r="A27193" s="8">
        <v>43892.255787037036</v>
      </c>
      <c r="B27193" s="8" t="str">
        <f>HYPERLINK("https://twitter.com/AidaManis6","@AidaManis6")</f>
        <v>@AidaManis6</v>
      </c>
      <c r="C27193" s="8" t="s">
        <v>10375</v>
      </c>
      <c r="D27193" s="8">
        <v>46</v>
      </c>
      <c r="E27193" s="8">
        <v>0</v>
      </c>
      <c r="F27193" s="8">
        <v>391</v>
      </c>
    </row>
    <row r="27194" spans="1:6" ht="12.75">
      <c r="A27194" s="8">
        <v>43892.25576388889</v>
      </c>
      <c r="B27194" s="8" t="str">
        <f>HYPERLINK("https://twitter.com/Aan75657516","@Aan75657516")</f>
        <v>@Aan75657516</v>
      </c>
      <c r="C27194" s="8" t="s">
        <v>9910</v>
      </c>
      <c r="D27194" s="8">
        <v>63</v>
      </c>
      <c r="E27194" s="8">
        <v>0</v>
      </c>
      <c r="F27194" s="8">
        <v>103</v>
      </c>
    </row>
    <row r="27195" spans="1:6" ht="12.75">
      <c r="A27195" s="8">
        <v>43892.255659722221</v>
      </c>
      <c r="B27195" s="8" t="str">
        <f>HYPERLINK("https://twitter.com/SarinaDamay18","@SarinaDamay18")</f>
        <v>@SarinaDamay18</v>
      </c>
      <c r="C27195" s="8" t="s">
        <v>10391</v>
      </c>
      <c r="D27195" s="8">
        <v>126</v>
      </c>
      <c r="E27195" s="8">
        <v>0</v>
      </c>
      <c r="F27195" s="8">
        <v>8</v>
      </c>
    </row>
    <row r="27196" spans="1:6" ht="12.75">
      <c r="A27196" s="8">
        <v>43892.255509259259</v>
      </c>
      <c r="B27196" s="8" t="str">
        <f>HYPERLINK("https://twitter.com/Lambo47340642","@Lambo47340642")</f>
        <v>@Lambo47340642</v>
      </c>
      <c r="C27196" s="8" t="s">
        <v>10392</v>
      </c>
      <c r="D27196" s="8">
        <v>0</v>
      </c>
      <c r="E27196" s="8">
        <v>0</v>
      </c>
      <c r="F27196" s="8">
        <v>3</v>
      </c>
    </row>
    <row r="27197" spans="1:6" ht="12.75">
      <c r="A27197" s="8">
        <v>43892.255486111113</v>
      </c>
      <c r="B27197" s="8" t="str">
        <f>HYPERLINK("https://twitter.com/dimas0720","@dimas0720")</f>
        <v>@dimas0720</v>
      </c>
      <c r="C27197" s="8" t="s">
        <v>2199</v>
      </c>
      <c r="D27197" s="8">
        <v>1661</v>
      </c>
      <c r="E27197" s="8">
        <v>0</v>
      </c>
      <c r="F27197" s="8">
        <v>184</v>
      </c>
    </row>
    <row r="27198" spans="1:6" ht="12.75">
      <c r="A27198" s="8">
        <v>43892.25545138889</v>
      </c>
      <c r="B27198" s="8" t="str">
        <f>HYPERLINK("https://twitter.com/endah_asmo","@endah_asmo")</f>
        <v>@endah_asmo</v>
      </c>
      <c r="C27198" s="8" t="s">
        <v>2199</v>
      </c>
      <c r="D27198" s="8">
        <v>1661</v>
      </c>
      <c r="E27198" s="8">
        <v>0</v>
      </c>
      <c r="F27198" s="8">
        <v>652</v>
      </c>
    </row>
    <row r="27199" spans="1:6" ht="12.75">
      <c r="A27199" s="8">
        <v>43892.255381944444</v>
      </c>
      <c r="B27199" s="8" t="str">
        <f>HYPERLINK("https://twitter.com/AstriedMyr","@AstriedMyr")</f>
        <v>@AstriedMyr</v>
      </c>
      <c r="C27199" s="8" t="s">
        <v>2199</v>
      </c>
      <c r="D27199" s="8">
        <v>1661</v>
      </c>
      <c r="E27199" s="8">
        <v>0</v>
      </c>
      <c r="F27199" s="8">
        <v>623</v>
      </c>
    </row>
    <row r="27200" spans="1:6" ht="12.75">
      <c r="A27200" s="8">
        <v>43892.255370370374</v>
      </c>
      <c r="B27200" s="8" t="str">
        <f>HYPERLINK("https://twitter.com/littlehunnybaby","@littlehunnybaby")</f>
        <v>@littlehunnybaby</v>
      </c>
      <c r="C27200" s="8" t="s">
        <v>2199</v>
      </c>
      <c r="D27200" s="8">
        <v>1661</v>
      </c>
      <c r="E27200" s="8">
        <v>0</v>
      </c>
      <c r="F27200" s="8">
        <v>248</v>
      </c>
    </row>
    <row r="27201" spans="1:6" ht="12.75">
      <c r="A27201" s="8">
        <v>43892.255277777775</v>
      </c>
      <c r="B27201" s="8" t="str">
        <f>HYPERLINK("https://twitter.com/yayaudasih","@yayaudasih")</f>
        <v>@yayaudasih</v>
      </c>
      <c r="C27201" s="8" t="s">
        <v>2199</v>
      </c>
      <c r="D27201" s="8">
        <v>1661</v>
      </c>
      <c r="E27201" s="8">
        <v>0</v>
      </c>
      <c r="F27201" s="8">
        <v>182</v>
      </c>
    </row>
    <row r="27202" spans="1:6" ht="12.75">
      <c r="A27202" s="8">
        <v>43892.255173611113</v>
      </c>
      <c r="B27202" s="8" t="str">
        <f>HYPERLINK("https://twitter.com/Mahmud30598789","@Mahmud30598789")</f>
        <v>@Mahmud30598789</v>
      </c>
      <c r="C27202" s="8" t="s">
        <v>3850</v>
      </c>
      <c r="D27202" s="8">
        <v>1084</v>
      </c>
      <c r="E27202" s="8">
        <v>0</v>
      </c>
      <c r="F27202" s="8">
        <v>120</v>
      </c>
    </row>
    <row r="27203" spans="1:6" ht="12.75">
      <c r="A27203" s="8">
        <v>43892.255173611113</v>
      </c>
      <c r="B27203" s="8" t="str">
        <f>HYPERLINK("https://twitter.com/__MV_llestari__","@__MV_llestari__")</f>
        <v>@__MV_llestari__</v>
      </c>
      <c r="C27203" s="8" t="s">
        <v>10393</v>
      </c>
      <c r="D27203" s="8">
        <v>1</v>
      </c>
      <c r="E27203" s="8">
        <v>0</v>
      </c>
      <c r="F27203" s="8">
        <v>9123</v>
      </c>
    </row>
    <row r="27204" spans="1:6" ht="12.75">
      <c r="A27204" s="8">
        <v>43892.255000000005</v>
      </c>
      <c r="B27204" s="8" t="str">
        <f>HYPERLINK("https://twitter.com/friska_tin","@friska_tin")</f>
        <v>@friska_tin</v>
      </c>
      <c r="C27204" s="8" t="s">
        <v>2199</v>
      </c>
      <c r="D27204" s="8">
        <v>1661</v>
      </c>
      <c r="E27204" s="8">
        <v>0</v>
      </c>
      <c r="F27204" s="8">
        <v>56</v>
      </c>
    </row>
    <row r="27205" spans="1:6" ht="12.75">
      <c r="A27205" s="8">
        <v>43892.255000000005</v>
      </c>
      <c r="B27205" s="8" t="str">
        <f>HYPERLINK("https://twitter.com/CepoexR","@CepoexR")</f>
        <v>@CepoexR</v>
      </c>
      <c r="C27205" s="8" t="s">
        <v>10394</v>
      </c>
      <c r="D27205" s="8">
        <v>70</v>
      </c>
      <c r="E27205" s="8">
        <v>0</v>
      </c>
      <c r="F27205" s="8">
        <v>1515</v>
      </c>
    </row>
    <row r="27206" spans="1:6" ht="12.75">
      <c r="A27206" s="8">
        <v>43892.254826388889</v>
      </c>
      <c r="B27206" s="8" t="str">
        <f>HYPERLINK("https://twitter.com/RiyadiAtmodjo","@RiyadiAtmodjo")</f>
        <v>@RiyadiAtmodjo</v>
      </c>
      <c r="C27206" s="8" t="s">
        <v>8962</v>
      </c>
      <c r="D27206" s="8">
        <v>169</v>
      </c>
      <c r="E27206" s="8">
        <v>0</v>
      </c>
      <c r="F27206" s="8">
        <v>1112</v>
      </c>
    </row>
    <row r="27207" spans="1:6" ht="12.75">
      <c r="A27207" s="8">
        <v>43892.254733796297</v>
      </c>
      <c r="B27207" s="8" t="str">
        <f>HYPERLINK("https://twitter.com/Tioo_pakusadewo","@Tioo_pakusadewo")</f>
        <v>@Tioo_pakusadewo</v>
      </c>
      <c r="C27207" s="8" t="s">
        <v>3648</v>
      </c>
      <c r="D27207" s="8">
        <v>133</v>
      </c>
      <c r="E27207" s="8">
        <v>0</v>
      </c>
      <c r="F27207" s="8">
        <v>129</v>
      </c>
    </row>
    <row r="27208" spans="1:6" ht="12.75">
      <c r="A27208" s="8">
        <v>43892.25472222222</v>
      </c>
      <c r="B27208" s="8" t="str">
        <f>HYPERLINK("https://twitter.com/putriref","@putriref")</f>
        <v>@putriref</v>
      </c>
      <c r="C27208" s="8" t="s">
        <v>2199</v>
      </c>
      <c r="D27208" s="8">
        <v>1661</v>
      </c>
      <c r="E27208" s="8">
        <v>0</v>
      </c>
      <c r="F27208" s="8">
        <v>1721</v>
      </c>
    </row>
    <row r="27209" spans="1:6" ht="12.75">
      <c r="A27209" s="8">
        <v>43892.254675925928</v>
      </c>
      <c r="B27209" s="8" t="str">
        <f>HYPERLINK("https://twitter.com/IbrZ1rv","@IbrZ1rv")</f>
        <v>@IbrZ1rv</v>
      </c>
      <c r="C27209" s="8" t="s">
        <v>10395</v>
      </c>
      <c r="D27209" s="8">
        <v>2</v>
      </c>
      <c r="E27209" s="8">
        <v>0</v>
      </c>
      <c r="F27209" s="8">
        <v>2872</v>
      </c>
    </row>
    <row r="27210" spans="1:6" ht="12.75">
      <c r="A27210" s="8">
        <v>43892.254618055551</v>
      </c>
      <c r="B27210" s="8" t="str">
        <f>HYPERLINK("https://twitter.com/ichi_fm","@ichi_fm")</f>
        <v>@ichi_fm</v>
      </c>
      <c r="C27210" s="8" t="s">
        <v>2199</v>
      </c>
      <c r="D27210" s="8">
        <v>1661</v>
      </c>
      <c r="E27210" s="8">
        <v>0</v>
      </c>
      <c r="F27210" s="8">
        <v>1137</v>
      </c>
    </row>
    <row r="27211" spans="1:6" ht="12.75">
      <c r="A27211" s="8">
        <v>43892.254594907412</v>
      </c>
      <c r="B27211" s="8" t="str">
        <f>HYPERLINK("https://twitter.com/dwytono","@dwytono")</f>
        <v>@dwytono</v>
      </c>
      <c r="C27211" s="8" t="s">
        <v>10396</v>
      </c>
      <c r="D27211" s="8">
        <v>3</v>
      </c>
      <c r="E27211" s="8">
        <v>0</v>
      </c>
      <c r="F27211" s="8">
        <v>1858</v>
      </c>
    </row>
    <row r="27212" spans="1:6" ht="12.75">
      <c r="A27212" s="8">
        <v>43892.254571759258</v>
      </c>
      <c r="B27212" s="8" t="str">
        <f>HYPERLINK("https://twitter.com/SulaimanLeni","@SulaimanLeni")</f>
        <v>@SulaimanLeni</v>
      </c>
      <c r="C27212" s="8" t="s">
        <v>9130</v>
      </c>
      <c r="D27212" s="8">
        <v>263</v>
      </c>
      <c r="E27212" s="8">
        <v>0</v>
      </c>
      <c r="F27212" s="8">
        <v>89</v>
      </c>
    </row>
    <row r="27213" spans="1:6" ht="12.75">
      <c r="A27213" s="8">
        <v>43892.254548611112</v>
      </c>
      <c r="B27213" s="8" t="str">
        <f>HYPERLINK("https://twitter.com/soloposdotcom","@soloposdotcom")</f>
        <v>@soloposdotcom</v>
      </c>
      <c r="C27213" s="8" t="s">
        <v>10397</v>
      </c>
      <c r="D27213" s="8">
        <v>0</v>
      </c>
      <c r="E27213" s="8">
        <v>0</v>
      </c>
      <c r="F27213" s="8">
        <v>59918</v>
      </c>
    </row>
    <row r="27214" spans="1:6" ht="12.75">
      <c r="A27214" s="8">
        <v>43892.254444444443</v>
      </c>
      <c r="B27214" s="8" t="str">
        <f>HYPERLINK("https://twitter.com/lrnzlms","@lrnzlms")</f>
        <v>@lrnzlms</v>
      </c>
      <c r="C27214" s="8" t="s">
        <v>2199</v>
      </c>
      <c r="D27214" s="8">
        <v>1661</v>
      </c>
      <c r="E27214" s="8">
        <v>0</v>
      </c>
      <c r="F27214" s="8">
        <v>597</v>
      </c>
    </row>
    <row r="27215" spans="1:6" ht="12.75">
      <c r="A27215" s="8">
        <v>43892.254409722227</v>
      </c>
      <c r="B27215" s="8" t="str">
        <f>HYPERLINK("https://twitter.com/Jono_Fortunate","@Jono_Fortunate")</f>
        <v>@Jono_Fortunate</v>
      </c>
      <c r="C27215" s="8" t="s">
        <v>10398</v>
      </c>
      <c r="D27215" s="8">
        <v>0</v>
      </c>
      <c r="E27215" s="8">
        <v>0</v>
      </c>
      <c r="F27215" s="8">
        <v>626</v>
      </c>
    </row>
    <row r="27216" spans="1:6" ht="12.75">
      <c r="A27216" s="8">
        <v>43892.254259259258</v>
      </c>
      <c r="B27216" s="8" t="str">
        <f>HYPERLINK("https://twitter.com/2rstnt","@2rstnt")</f>
        <v>@2rstnt</v>
      </c>
      <c r="C27216" s="8" t="s">
        <v>2995</v>
      </c>
      <c r="D27216" s="8">
        <v>24</v>
      </c>
      <c r="E27216" s="8">
        <v>0</v>
      </c>
      <c r="F27216" s="8">
        <v>688</v>
      </c>
    </row>
    <row r="27217" spans="1:6" ht="12.75">
      <c r="A27217" s="8">
        <v>43892.254236111112</v>
      </c>
      <c r="B27217" s="8" t="str">
        <f>HYPERLINK("https://twitter.com/pakdedungpret","@pakdedungpret")</f>
        <v>@pakdedungpret</v>
      </c>
      <c r="C27217" s="8" t="s">
        <v>2199</v>
      </c>
      <c r="D27217" s="8">
        <v>1661</v>
      </c>
      <c r="E27217" s="8">
        <v>0</v>
      </c>
      <c r="F27217" s="8">
        <v>316</v>
      </c>
    </row>
    <row r="27218" spans="1:6" ht="12.75">
      <c r="A27218" s="8">
        <v>43892.254166666666</v>
      </c>
      <c r="B27218" s="8" t="str">
        <f>HYPERLINK("https://twitter.com/2rstnt","@2rstnt")</f>
        <v>@2rstnt</v>
      </c>
      <c r="C27218" s="8" t="s">
        <v>2199</v>
      </c>
      <c r="D27218" s="8">
        <v>1661</v>
      </c>
      <c r="E27218" s="8">
        <v>0</v>
      </c>
      <c r="F27218" s="8">
        <v>688</v>
      </c>
    </row>
    <row r="27219" spans="1:6" ht="12.75">
      <c r="A27219" s="8">
        <v>43892.254131944443</v>
      </c>
      <c r="B27219" s="8" t="str">
        <f>HYPERLINK("https://twitter.com/puturadion","@puturadion")</f>
        <v>@puturadion</v>
      </c>
      <c r="C27219" s="8" t="s">
        <v>9238</v>
      </c>
      <c r="D27219" s="8">
        <v>113</v>
      </c>
      <c r="E27219" s="8">
        <v>0</v>
      </c>
      <c r="F27219" s="8">
        <v>253</v>
      </c>
    </row>
    <row r="27220" spans="1:6" ht="12.75">
      <c r="A27220" s="8">
        <v>43892.254131944443</v>
      </c>
      <c r="B27220" s="8" t="str">
        <f>HYPERLINK("https://twitter.com/tiaramoniccc","@tiaramoniccc")</f>
        <v>@tiaramoniccc</v>
      </c>
      <c r="C27220" s="8" t="s">
        <v>3850</v>
      </c>
      <c r="D27220" s="8">
        <v>1084</v>
      </c>
      <c r="E27220" s="8">
        <v>0</v>
      </c>
      <c r="F27220" s="8">
        <v>1391</v>
      </c>
    </row>
    <row r="27221" spans="1:6" ht="12.75">
      <c r="A27221" s="8">
        <v>43892.25408564815</v>
      </c>
      <c r="B27221" s="8" t="str">
        <f>HYPERLINK("https://twitter.com/anindyanurindah","@anindyanurindah")</f>
        <v>@anindyanurindah</v>
      </c>
      <c r="C27221" s="8" t="s">
        <v>2199</v>
      </c>
      <c r="D27221" s="8">
        <v>1661</v>
      </c>
      <c r="E27221" s="8">
        <v>0</v>
      </c>
      <c r="F27221" s="8">
        <v>2192</v>
      </c>
    </row>
    <row r="27222" spans="1:6" ht="12.75">
      <c r="A27222" s="8">
        <v>43892.254050925927</v>
      </c>
      <c r="B27222" s="8" t="str">
        <f>HYPERLINK("https://twitter.com/Opsir_nata","@Opsir_nata")</f>
        <v>@Opsir_nata</v>
      </c>
      <c r="C27222" s="8" t="s">
        <v>3850</v>
      </c>
      <c r="D27222" s="8">
        <v>1084</v>
      </c>
      <c r="E27222" s="8">
        <v>0</v>
      </c>
      <c r="F27222" s="8">
        <v>834</v>
      </c>
    </row>
    <row r="27223" spans="1:6" ht="12.75">
      <c r="A27223" s="8">
        <v>43892.253946759258</v>
      </c>
      <c r="B27223" s="8" t="str">
        <f>HYPERLINK("https://twitter.com/bintangbete","@bintangbete")</f>
        <v>@bintangbete</v>
      </c>
      <c r="C27223" s="8" t="s">
        <v>2199</v>
      </c>
      <c r="D27223" s="8">
        <v>1661</v>
      </c>
      <c r="E27223" s="8">
        <v>0</v>
      </c>
      <c r="F27223" s="8">
        <v>66695</v>
      </c>
    </row>
    <row r="27224" spans="1:6" ht="12.75">
      <c r="A27224" s="8">
        <v>43892.253784722227</v>
      </c>
      <c r="B27224" s="8" t="str">
        <f>HYPERLINK("https://twitter.com/octabre","@octabre")</f>
        <v>@octabre</v>
      </c>
      <c r="C27224" s="8" t="s">
        <v>10399</v>
      </c>
      <c r="D27224" s="8">
        <v>21</v>
      </c>
      <c r="E27224" s="8">
        <v>0</v>
      </c>
      <c r="F27224" s="8">
        <v>7</v>
      </c>
    </row>
    <row r="27225" spans="1:6" ht="12.75">
      <c r="A27225" s="8">
        <v>43892.253750000003</v>
      </c>
      <c r="B27225" s="8" t="str">
        <f>HYPERLINK("https://twitter.com/SulaimanLeni","@SulaimanLeni")</f>
        <v>@SulaimanLeni</v>
      </c>
      <c r="C27225" s="8" t="s">
        <v>3850</v>
      </c>
      <c r="D27225" s="8">
        <v>1084</v>
      </c>
      <c r="E27225" s="8">
        <v>0</v>
      </c>
      <c r="F27225" s="8">
        <v>89</v>
      </c>
    </row>
    <row r="27226" spans="1:6" ht="12.75">
      <c r="A27226" s="8">
        <v>43892.253680555557</v>
      </c>
      <c r="B27226" s="8" t="str">
        <f>HYPERLINK("https://twitter.com/ayah_9Garislucu","@ayah_9Garislucu")</f>
        <v>@ayah_9Garislucu</v>
      </c>
      <c r="C27226" s="8" t="s">
        <v>10400</v>
      </c>
      <c r="D27226" s="8">
        <v>1</v>
      </c>
      <c r="E27226" s="8">
        <v>2</v>
      </c>
      <c r="F27226" s="8">
        <v>7232</v>
      </c>
    </row>
    <row r="27227" spans="1:6" ht="12.75">
      <c r="A27227" s="8">
        <v>43892.253553240742</v>
      </c>
      <c r="B27227" s="8" t="str">
        <f>HYPERLINK("https://twitter.com/nhermawa","@nhermawa")</f>
        <v>@nhermawa</v>
      </c>
      <c r="C27227" s="8" t="s">
        <v>2199</v>
      </c>
      <c r="D27227" s="8">
        <v>1661</v>
      </c>
      <c r="E27227" s="8">
        <v>0</v>
      </c>
      <c r="F27227" s="8">
        <v>1076</v>
      </c>
    </row>
    <row r="27228" spans="1:6" ht="12.75">
      <c r="A27228" s="8">
        <v>43892.253449074073</v>
      </c>
      <c r="B27228" s="8" t="str">
        <f>HYPERLINK("https://twitter.com/Hendy_Abel","@Hendy_Abel")</f>
        <v>@Hendy_Abel</v>
      </c>
      <c r="C27228" s="8" t="s">
        <v>3850</v>
      </c>
      <c r="D27228" s="8">
        <v>1084</v>
      </c>
      <c r="E27228" s="8">
        <v>0</v>
      </c>
      <c r="F27228" s="8">
        <v>330</v>
      </c>
    </row>
    <row r="27229" spans="1:6" ht="12.75">
      <c r="A27229" s="8">
        <v>43892.253425925926</v>
      </c>
      <c r="B27229" s="8" t="str">
        <f>HYPERLINK("https://twitter.com/octabre","@octabre")</f>
        <v>@octabre</v>
      </c>
      <c r="C27229" s="8" t="s">
        <v>10279</v>
      </c>
      <c r="D27229" s="8">
        <v>13</v>
      </c>
      <c r="E27229" s="8">
        <v>0</v>
      </c>
      <c r="F27229" s="8">
        <v>7</v>
      </c>
    </row>
    <row r="27230" spans="1:6" ht="12.75">
      <c r="A27230" s="8">
        <v>43892.253425925926</v>
      </c>
      <c r="B27230" s="8" t="str">
        <f>HYPERLINK("https://twitter.com/acolorfulmess_","@acolorfulmess_")</f>
        <v>@acolorfulmess_</v>
      </c>
      <c r="C27230" s="8" t="s">
        <v>2199</v>
      </c>
      <c r="D27230" s="8">
        <v>1661</v>
      </c>
      <c r="E27230" s="8">
        <v>0</v>
      </c>
      <c r="F27230" s="8">
        <v>495</v>
      </c>
    </row>
    <row r="27231" spans="1:6" ht="12.75">
      <c r="A27231" s="8">
        <v>43892.253310185188</v>
      </c>
      <c r="B27231" s="8" t="str">
        <f>HYPERLINK("https://twitter.com/kasman_vandi","@kasman_vandi")</f>
        <v>@kasman_vandi</v>
      </c>
      <c r="C27231" s="8" t="s">
        <v>10401</v>
      </c>
      <c r="D27231" s="8">
        <v>0</v>
      </c>
      <c r="E27231" s="8">
        <v>0</v>
      </c>
      <c r="F27231" s="8">
        <v>911</v>
      </c>
    </row>
    <row r="27232" spans="1:6" ht="12.75">
      <c r="A27232" s="8">
        <v>43892.253310185188</v>
      </c>
      <c r="B27232" s="8" t="str">
        <f>HYPERLINK("https://twitter.com/ayah_kin","@ayah_kin")</f>
        <v>@ayah_kin</v>
      </c>
      <c r="C27232" s="8" t="s">
        <v>3850</v>
      </c>
      <c r="D27232" s="8">
        <v>1084</v>
      </c>
      <c r="E27232" s="8">
        <v>0</v>
      </c>
      <c r="F27232" s="8">
        <v>503</v>
      </c>
    </row>
    <row r="27233" spans="1:6" ht="12.75">
      <c r="A27233" s="8">
        <v>43892.253229166672</v>
      </c>
      <c r="B27233" s="8" t="str">
        <f>HYPERLINK("https://twitter.com/ipak_hana","@ipak_hana")</f>
        <v>@ipak_hana</v>
      </c>
      <c r="C27233" s="8" t="s">
        <v>3850</v>
      </c>
      <c r="D27233" s="8">
        <v>1084</v>
      </c>
      <c r="E27233" s="8">
        <v>0</v>
      </c>
      <c r="F27233" s="8">
        <v>283</v>
      </c>
    </row>
    <row r="27234" spans="1:6" ht="12.75">
      <c r="A27234" s="8">
        <v>43892.253217592588</v>
      </c>
      <c r="B27234" s="8" t="str">
        <f>HYPERLINK("https://twitter.com/nciscaa","@nciscaa")</f>
        <v>@nciscaa</v>
      </c>
      <c r="C27234" s="8" t="s">
        <v>2199</v>
      </c>
      <c r="D27234" s="8">
        <v>1661</v>
      </c>
      <c r="E27234" s="8">
        <v>0</v>
      </c>
      <c r="F27234" s="8">
        <v>652</v>
      </c>
    </row>
    <row r="27235" spans="1:6" ht="12.75">
      <c r="A27235" s="8">
        <v>43892.253182870365</v>
      </c>
      <c r="B27235" s="8" t="str">
        <f>HYPERLINK("https://twitter.com/xuitpie","@xuitpie")</f>
        <v>@xuitpie</v>
      </c>
      <c r="C27235" s="8" t="s">
        <v>2995</v>
      </c>
      <c r="D27235" s="8">
        <v>24</v>
      </c>
      <c r="E27235" s="8">
        <v>0</v>
      </c>
      <c r="F27235" s="8">
        <v>53</v>
      </c>
    </row>
    <row r="27236" spans="1:6" ht="12.75">
      <c r="A27236" s="8">
        <v>43892.253125000003</v>
      </c>
      <c r="B27236" s="8" t="str">
        <f>HYPERLINK("https://twitter.com/arena51","@arena51")</f>
        <v>@arena51</v>
      </c>
      <c r="C27236" s="8" t="s">
        <v>10402</v>
      </c>
      <c r="D27236" s="8">
        <v>1</v>
      </c>
      <c r="E27236" s="8">
        <v>0</v>
      </c>
      <c r="F27236" s="8">
        <v>1806</v>
      </c>
    </row>
    <row r="27237" spans="1:6" ht="12.75">
      <c r="A27237" s="8">
        <v>43892.253113425926</v>
      </c>
      <c r="B27237" s="8" t="str">
        <f>HYPERLINK("https://twitter.com/artiningrum","@artiningrum")</f>
        <v>@artiningrum</v>
      </c>
      <c r="C27237" s="8" t="s">
        <v>2199</v>
      </c>
      <c r="D27237" s="8">
        <v>1661</v>
      </c>
      <c r="E27237" s="8">
        <v>0</v>
      </c>
      <c r="F27237" s="8">
        <v>226</v>
      </c>
    </row>
    <row r="27238" spans="1:6" ht="12.75">
      <c r="A27238" s="8">
        <v>43892.253101851849</v>
      </c>
      <c r="B27238" s="8" t="str">
        <f>HYPERLINK("https://twitter.com/Andri49994343","@Andri49994343")</f>
        <v>@Andri49994343</v>
      </c>
      <c r="C27238" s="8" t="s">
        <v>1750</v>
      </c>
      <c r="D27238" s="8">
        <v>3</v>
      </c>
      <c r="E27238" s="8">
        <v>0</v>
      </c>
      <c r="F27238" s="8">
        <v>26</v>
      </c>
    </row>
    <row r="27239" spans="1:6" ht="12.75">
      <c r="A27239" s="8">
        <v>43892.253078703703</v>
      </c>
      <c r="B27239" s="8" t="str">
        <f>HYPERLINK("https://twitter.com/sofianikasuma","@sofianikasuma")</f>
        <v>@sofianikasuma</v>
      </c>
      <c r="C27239" s="8" t="s">
        <v>5732</v>
      </c>
      <c r="D27239" s="8">
        <v>502</v>
      </c>
      <c r="E27239" s="8">
        <v>0</v>
      </c>
      <c r="F27239" s="8">
        <v>541</v>
      </c>
    </row>
    <row r="27240" spans="1:6" ht="12.75">
      <c r="A27240" s="8">
        <v>43892.253032407403</v>
      </c>
      <c r="B27240" s="8" t="str">
        <f>HYPERLINK("https://twitter.com/mulyatikaral","@mulyatikaral")</f>
        <v>@mulyatikaral</v>
      </c>
      <c r="C27240" s="8" t="s">
        <v>5732</v>
      </c>
      <c r="D27240" s="8">
        <v>502</v>
      </c>
      <c r="E27240" s="8">
        <v>0</v>
      </c>
      <c r="F27240" s="8">
        <v>477</v>
      </c>
    </row>
    <row r="27241" spans="1:6" ht="12.75">
      <c r="A27241" s="8">
        <v>43892.252916666665</v>
      </c>
      <c r="B27241" s="8" t="str">
        <f>HYPERLINK("https://twitter.com/rich146754","@rich146754")</f>
        <v>@rich146754</v>
      </c>
      <c r="C27241" s="8" t="s">
        <v>2199</v>
      </c>
      <c r="D27241" s="8">
        <v>1661</v>
      </c>
      <c r="E27241" s="8">
        <v>0</v>
      </c>
      <c r="F27241" s="8">
        <v>463</v>
      </c>
    </row>
    <row r="27242" spans="1:6" ht="12.75">
      <c r="A27242" s="8">
        <v>43892.252812499995</v>
      </c>
      <c r="B27242" s="8" t="str">
        <f>HYPERLINK("https://twitter.com/suaradotcom","@suaradotcom")</f>
        <v>@suaradotcom</v>
      </c>
      <c r="C27242" s="8" t="s">
        <v>10403</v>
      </c>
      <c r="D27242" s="8">
        <v>0</v>
      </c>
      <c r="E27242" s="8">
        <v>0</v>
      </c>
      <c r="F27242" s="8">
        <v>24305</v>
      </c>
    </row>
    <row r="27243" spans="1:6" ht="12.75">
      <c r="A27243" s="8">
        <v>43892.25277777778</v>
      </c>
      <c r="B27243" s="8" t="str">
        <f>HYPERLINK("https://twitter.com/xuitpie","@xuitpie")</f>
        <v>@xuitpie</v>
      </c>
      <c r="C27243" s="8" t="s">
        <v>2199</v>
      </c>
      <c r="D27243" s="8">
        <v>1661</v>
      </c>
      <c r="E27243" s="8">
        <v>0</v>
      </c>
      <c r="F27243" s="8">
        <v>53</v>
      </c>
    </row>
    <row r="27244" spans="1:6" ht="12.75">
      <c r="A27244" s="8">
        <v>43892.252766203703</v>
      </c>
      <c r="B27244" s="8" t="str">
        <f>HYPERLINK("https://twitter.com/Widiantoro","@Widiantoro")</f>
        <v>@Widiantoro</v>
      </c>
      <c r="C27244" s="8" t="s">
        <v>2199</v>
      </c>
      <c r="D27244" s="8">
        <v>1661</v>
      </c>
      <c r="E27244" s="8">
        <v>0</v>
      </c>
      <c r="F27244" s="8">
        <v>209</v>
      </c>
    </row>
    <row r="27245" spans="1:6" ht="12.75">
      <c r="A27245" s="8">
        <v>43892.252685185187</v>
      </c>
      <c r="B27245" s="8" t="str">
        <f>HYPERLINK("https://twitter.com/sea9sky9","@sea9sky9")</f>
        <v>@sea9sky9</v>
      </c>
      <c r="C27245" s="8" t="s">
        <v>2199</v>
      </c>
      <c r="D27245" s="8">
        <v>1661</v>
      </c>
      <c r="E27245" s="8">
        <v>0</v>
      </c>
      <c r="F27245" s="8">
        <v>61</v>
      </c>
    </row>
    <row r="27246" spans="1:6" ht="12.75">
      <c r="A27246" s="8">
        <v>43892.252662037034</v>
      </c>
      <c r="B27246" s="8" t="str">
        <f>HYPERLINK("https://twitter.com/primavidia","@primavidia")</f>
        <v>@primavidia</v>
      </c>
      <c r="C27246" s="8" t="s">
        <v>10404</v>
      </c>
      <c r="D27246" s="8">
        <v>288</v>
      </c>
      <c r="E27246" s="8">
        <v>0</v>
      </c>
      <c r="F27246" s="8">
        <v>181</v>
      </c>
    </row>
    <row r="27247" spans="1:6" ht="12.75">
      <c r="A27247" s="8">
        <v>43892.252546296295</v>
      </c>
      <c r="B27247" s="8" t="str">
        <f>HYPERLINK("https://twitter.com/MukhlisSaptono","@MukhlisSaptono")</f>
        <v>@MukhlisSaptono</v>
      </c>
      <c r="C27247" s="8" t="s">
        <v>9587</v>
      </c>
      <c r="D27247" s="8">
        <v>139</v>
      </c>
      <c r="E27247" s="8">
        <v>0</v>
      </c>
      <c r="F27247" s="8">
        <v>121</v>
      </c>
    </row>
    <row r="27248" spans="1:6" ht="12.75">
      <c r="A27248" s="8">
        <v>43892.252500000002</v>
      </c>
      <c r="B27248" s="8" t="str">
        <f>HYPERLINK("https://twitter.com/siduuul","@siduuul")</f>
        <v>@siduuul</v>
      </c>
      <c r="C27248" s="8" t="s">
        <v>2199</v>
      </c>
      <c r="D27248" s="8">
        <v>1661</v>
      </c>
      <c r="E27248" s="8">
        <v>0</v>
      </c>
      <c r="F27248" s="8">
        <v>768</v>
      </c>
    </row>
    <row r="27249" spans="1:6" ht="12.75">
      <c r="A27249" s="8">
        <v>43892.252418981487</v>
      </c>
      <c r="B27249" s="8" t="str">
        <f>HYPERLINK("https://twitter.com/arena51","@arena51")</f>
        <v>@arena51</v>
      </c>
      <c r="C27249" s="8" t="s">
        <v>9587</v>
      </c>
      <c r="D27249" s="8">
        <v>139</v>
      </c>
      <c r="E27249" s="8">
        <v>0</v>
      </c>
      <c r="F27249" s="8">
        <v>1806</v>
      </c>
    </row>
    <row r="27250" spans="1:6" ht="12.75">
      <c r="A27250" s="8">
        <v>43892.252384259264</v>
      </c>
      <c r="B27250" s="8" t="str">
        <f>HYPERLINK("https://twitter.com/Indangbayu1","@Indangbayu1")</f>
        <v>@Indangbayu1</v>
      </c>
      <c r="C27250" s="8" t="s">
        <v>8962</v>
      </c>
      <c r="D27250" s="8">
        <v>169</v>
      </c>
      <c r="E27250" s="8">
        <v>0</v>
      </c>
      <c r="F27250" s="8">
        <v>1039</v>
      </c>
    </row>
    <row r="27251" spans="1:6" ht="12.75">
      <c r="A27251" s="8">
        <v>43892.252372685187</v>
      </c>
      <c r="B27251" s="8" t="str">
        <f>HYPERLINK("https://twitter.com/YuliusNurendra","@YuliusNurendra")</f>
        <v>@YuliusNurendra</v>
      </c>
      <c r="C27251" s="8" t="s">
        <v>2199</v>
      </c>
      <c r="D27251" s="8">
        <v>1661</v>
      </c>
      <c r="E27251" s="8">
        <v>0</v>
      </c>
      <c r="F27251" s="8">
        <v>138</v>
      </c>
    </row>
    <row r="27252" spans="1:6" ht="12.75">
      <c r="A27252" s="8">
        <v>43892.252303240741</v>
      </c>
      <c r="B27252" s="8" t="str">
        <f>HYPERLINK("https://twitter.com/MFBWZR","@MFBWZR")</f>
        <v>@MFBWZR</v>
      </c>
      <c r="C27252" s="8" t="s">
        <v>9910</v>
      </c>
      <c r="D27252" s="8">
        <v>63</v>
      </c>
      <c r="E27252" s="8">
        <v>0</v>
      </c>
      <c r="F27252" s="8">
        <v>404</v>
      </c>
    </row>
    <row r="27253" spans="1:6" ht="12.75">
      <c r="A27253" s="8">
        <v>43892.252256944441</v>
      </c>
      <c r="B27253" s="8" t="str">
        <f>HYPERLINK("https://twitter.com/Jmr36871","@Jmr36871")</f>
        <v>@Jmr36871</v>
      </c>
      <c r="C27253" s="8" t="s">
        <v>10405</v>
      </c>
      <c r="D27253" s="8">
        <v>0</v>
      </c>
      <c r="E27253" s="8">
        <v>0</v>
      </c>
      <c r="F27253" s="8">
        <v>44</v>
      </c>
    </row>
    <row r="27254" spans="1:6" ht="12.75">
      <c r="A27254" s="8">
        <v>43892.252210648148</v>
      </c>
      <c r="B27254" s="8" t="str">
        <f>HYPERLINK("https://twitter.com/roedijanto","@roedijanto")</f>
        <v>@roedijanto</v>
      </c>
      <c r="C27254" s="8" t="s">
        <v>10406</v>
      </c>
      <c r="D27254" s="8">
        <v>1</v>
      </c>
      <c r="E27254" s="8">
        <v>0</v>
      </c>
      <c r="F27254" s="8">
        <v>153</v>
      </c>
    </row>
    <row r="27255" spans="1:6" ht="12.75">
      <c r="A27255" s="8">
        <v>43892.252210648148</v>
      </c>
      <c r="B27255" s="8" t="str">
        <f>HYPERLINK("https://twitter.com/knicktrbronk","@knicktrbronk")</f>
        <v>@knicktrbronk</v>
      </c>
      <c r="C27255" s="8" t="s">
        <v>4990</v>
      </c>
      <c r="D27255" s="8">
        <v>231</v>
      </c>
      <c r="E27255" s="8">
        <v>0</v>
      </c>
      <c r="F27255" s="8">
        <v>131</v>
      </c>
    </row>
    <row r="27256" spans="1:6" ht="12.75">
      <c r="A27256" s="8">
        <v>43892.252164351856</v>
      </c>
      <c r="B27256" s="8" t="str">
        <f>HYPERLINK("https://twitter.com/bucinkochengg","@bucinkochengg")</f>
        <v>@bucinkochengg</v>
      </c>
      <c r="C27256" s="8" t="s">
        <v>2199</v>
      </c>
      <c r="D27256" s="8">
        <v>1661</v>
      </c>
      <c r="E27256" s="8">
        <v>0</v>
      </c>
      <c r="F27256" s="8">
        <v>342</v>
      </c>
    </row>
    <row r="27257" spans="1:6" ht="12.75">
      <c r="A27257" s="8">
        <v>43892.252141203702</v>
      </c>
      <c r="B27257" s="8" t="str">
        <f>HYPERLINK("https://twitter.com/kartikonur_s","@kartikonur_s")</f>
        <v>@kartikonur_s</v>
      </c>
      <c r="C27257" s="8" t="s">
        <v>5732</v>
      </c>
      <c r="D27257" s="8">
        <v>502</v>
      </c>
      <c r="E27257" s="8">
        <v>0</v>
      </c>
      <c r="F27257" s="8">
        <v>339</v>
      </c>
    </row>
    <row r="27258" spans="1:6" ht="12.75">
      <c r="A27258" s="8">
        <v>43892.25209490741</v>
      </c>
      <c r="B27258" s="8" t="str">
        <f>HYPERLINK("https://twitter.com/holyhaien","@holyhaien")</f>
        <v>@holyhaien</v>
      </c>
      <c r="C27258" s="8" t="s">
        <v>2199</v>
      </c>
      <c r="D27258" s="8">
        <v>1661</v>
      </c>
      <c r="E27258" s="8">
        <v>0</v>
      </c>
      <c r="F27258" s="8">
        <v>92</v>
      </c>
    </row>
    <row r="27259" spans="1:6" ht="12.75">
      <c r="A27259" s="8">
        <v>43892.25204861111</v>
      </c>
      <c r="B27259" s="8" t="str">
        <f>HYPERLINK("https://twitter.com/erizair","@erizair")</f>
        <v>@erizair</v>
      </c>
      <c r="C27259" s="8" t="s">
        <v>3648</v>
      </c>
      <c r="D27259" s="8">
        <v>133</v>
      </c>
      <c r="E27259" s="8">
        <v>0</v>
      </c>
      <c r="F27259" s="8">
        <v>375</v>
      </c>
    </row>
    <row r="27260" spans="1:6" ht="12.75">
      <c r="A27260" s="8">
        <v>43892.251979166671</v>
      </c>
      <c r="B27260" s="8" t="str">
        <f>HYPERLINK("https://twitter.com/hiimYN","@hiimYN")</f>
        <v>@hiimYN</v>
      </c>
      <c r="C27260" s="8" t="s">
        <v>10407</v>
      </c>
      <c r="D27260" s="8">
        <v>0</v>
      </c>
      <c r="E27260" s="8">
        <v>0</v>
      </c>
      <c r="F27260" s="8">
        <v>333</v>
      </c>
    </row>
    <row r="27261" spans="1:6" ht="12.75">
      <c r="A27261" s="8">
        <v>43892.251932870371</v>
      </c>
      <c r="B27261" s="8" t="str">
        <f>HYPERLINK("https://twitter.com/djankrik86","@djankrik86")</f>
        <v>@djankrik86</v>
      </c>
      <c r="C27261" s="8" t="s">
        <v>8190</v>
      </c>
      <c r="D27261" s="8">
        <v>283</v>
      </c>
      <c r="E27261" s="8">
        <v>0</v>
      </c>
      <c r="F27261" s="8">
        <v>107</v>
      </c>
    </row>
    <row r="27262" spans="1:6" ht="12.75">
      <c r="A27262" s="8">
        <v>43892.251886574071</v>
      </c>
      <c r="B27262" s="8" t="str">
        <f>HYPERLINK("https://twitter.com/Indangbayu1","@Indangbayu1")</f>
        <v>@Indangbayu1</v>
      </c>
      <c r="C27262" s="8" t="s">
        <v>2199</v>
      </c>
      <c r="D27262" s="8">
        <v>1661</v>
      </c>
      <c r="E27262" s="8">
        <v>0</v>
      </c>
      <c r="F27262" s="8">
        <v>1039</v>
      </c>
    </row>
    <row r="27263" spans="1:6" ht="12.75">
      <c r="A27263" s="8">
        <v>43892.251747685186</v>
      </c>
      <c r="B27263" s="8" t="str">
        <f>HYPERLINK("https://twitter.com/shennieshenn","@shennieshenn")</f>
        <v>@shennieshenn</v>
      </c>
      <c r="C27263" s="8" t="s">
        <v>4990</v>
      </c>
      <c r="D27263" s="8">
        <v>231</v>
      </c>
      <c r="E27263" s="8">
        <v>0</v>
      </c>
      <c r="F27263" s="8">
        <v>255</v>
      </c>
    </row>
    <row r="27264" spans="1:6" ht="12.75">
      <c r="A27264" s="8">
        <v>43892.25172453704</v>
      </c>
      <c r="B27264" s="8" t="str">
        <f>HYPERLINK("https://twitter.com/alifiasyyf","@alifiasyyf")</f>
        <v>@alifiasyyf</v>
      </c>
      <c r="C27264" s="8" t="s">
        <v>2199</v>
      </c>
      <c r="D27264" s="8">
        <v>1661</v>
      </c>
      <c r="E27264" s="8">
        <v>0</v>
      </c>
      <c r="F27264" s="8">
        <v>9892</v>
      </c>
    </row>
    <row r="27265" spans="1:6" ht="12.75">
      <c r="A27265" s="8">
        <v>43892.251504629632</v>
      </c>
      <c r="B27265" s="8" t="str">
        <f>HYPERLINK("https://twitter.com/suzli05","@suzli05")</f>
        <v>@suzli05</v>
      </c>
      <c r="C27265" s="8" t="s">
        <v>9910</v>
      </c>
      <c r="D27265" s="8">
        <v>63</v>
      </c>
      <c r="E27265" s="8">
        <v>0</v>
      </c>
      <c r="F27265" s="8">
        <v>3142</v>
      </c>
    </row>
    <row r="27266" spans="1:6" ht="12.75">
      <c r="A27266" s="8">
        <v>43892.251504629632</v>
      </c>
      <c r="B27266" s="8" t="str">
        <f>HYPERLINK("https://twitter.com/ekiprastanti","@ekiprastanti")</f>
        <v>@ekiprastanti</v>
      </c>
      <c r="C27266" s="8" t="s">
        <v>10408</v>
      </c>
      <c r="D27266" s="8">
        <v>0</v>
      </c>
      <c r="E27266" s="8">
        <v>0</v>
      </c>
      <c r="F27266" s="8">
        <v>272</v>
      </c>
    </row>
    <row r="27267" spans="1:6" ht="12.75">
      <c r="A27267" s="8">
        <v>43892.251400462963</v>
      </c>
      <c r="B27267" s="8" t="str">
        <f>HYPERLINK("https://twitter.com/JeshenHong","@JeshenHong")</f>
        <v>@JeshenHong</v>
      </c>
      <c r="C27267" s="8" t="s">
        <v>10409</v>
      </c>
      <c r="D27267" s="8">
        <v>0</v>
      </c>
      <c r="E27267" s="8">
        <v>0</v>
      </c>
      <c r="F27267" s="8">
        <v>641</v>
      </c>
    </row>
    <row r="27268" spans="1:6" ht="12.75">
      <c r="A27268" s="8">
        <v>43892.251250000001</v>
      </c>
      <c r="B27268" s="8" t="str">
        <f>HYPERLINK("https://twitter.com/diana_naw","@diana_naw")</f>
        <v>@diana_naw</v>
      </c>
      <c r="C27268" s="8" t="s">
        <v>6542</v>
      </c>
      <c r="D27268" s="8">
        <v>168</v>
      </c>
      <c r="E27268" s="8">
        <v>0</v>
      </c>
      <c r="F27268" s="8">
        <v>147</v>
      </c>
    </row>
    <row r="27269" spans="1:6" ht="12.75">
      <c r="A27269" s="8">
        <v>43892.251122685186</v>
      </c>
      <c r="B27269" s="8" t="str">
        <f>HYPERLINK("https://twitter.com/Iradat23","@Iradat23")</f>
        <v>@Iradat23</v>
      </c>
      <c r="C27269" s="8" t="s">
        <v>2199</v>
      </c>
      <c r="D27269" s="8">
        <v>1661</v>
      </c>
      <c r="E27269" s="8">
        <v>0</v>
      </c>
      <c r="F27269" s="8">
        <v>482</v>
      </c>
    </row>
    <row r="27270" spans="1:6" ht="12.75">
      <c r="A27270" s="8">
        <v>43892.251122685186</v>
      </c>
      <c r="B27270" s="8" t="str">
        <f>HYPERLINK("https://twitter.com/Nyanyian_jiw4","@Nyanyian_jiw4")</f>
        <v>@Nyanyian_jiw4</v>
      </c>
      <c r="C27270" s="8" t="s">
        <v>10410</v>
      </c>
      <c r="D27270" s="8">
        <v>19</v>
      </c>
      <c r="E27270" s="8">
        <v>0</v>
      </c>
      <c r="F27270" s="8">
        <v>3499</v>
      </c>
    </row>
    <row r="27271" spans="1:6" ht="12.75">
      <c r="A27271" s="8">
        <v>43892.250949074078</v>
      </c>
      <c r="B27271" s="8" t="str">
        <f>HYPERLINK("https://twitter.com/kekasihcibot","@kekasihcibot")</f>
        <v>@kekasihcibot</v>
      </c>
      <c r="C27271" s="8" t="s">
        <v>2199</v>
      </c>
      <c r="D27271" s="8">
        <v>1661</v>
      </c>
      <c r="E27271" s="8">
        <v>0</v>
      </c>
      <c r="F27271" s="8">
        <v>1824</v>
      </c>
    </row>
    <row r="27272" spans="1:6" ht="12.75">
      <c r="A27272" s="8">
        <v>43892.250937500001</v>
      </c>
      <c r="B27272" s="8" t="str">
        <f>HYPERLINK("https://twitter.com/imigransorga","@imigransorga")</f>
        <v>@imigransorga</v>
      </c>
      <c r="C27272" s="8" t="s">
        <v>2199</v>
      </c>
      <c r="D27272" s="8">
        <v>1661</v>
      </c>
      <c r="E27272" s="8">
        <v>0</v>
      </c>
      <c r="F27272" s="8">
        <v>156</v>
      </c>
    </row>
    <row r="27273" spans="1:6" ht="12.75">
      <c r="A27273" s="8">
        <v>43892.250914351855</v>
      </c>
      <c r="B27273" s="8" t="str">
        <f>HYPERLINK("https://twitter.com/SuperNopi","@SuperNopi")</f>
        <v>@SuperNopi</v>
      </c>
      <c r="C27273" s="8" t="s">
        <v>2199</v>
      </c>
      <c r="D27273" s="8">
        <v>1661</v>
      </c>
      <c r="E27273" s="8">
        <v>0</v>
      </c>
      <c r="F27273" s="8">
        <v>128</v>
      </c>
    </row>
    <row r="27274" spans="1:6" ht="12.75">
      <c r="A27274" s="8">
        <v>43892.250821759255</v>
      </c>
      <c r="B27274" s="8" t="str">
        <f>HYPERLINK("https://twitter.com/yourqueenesther","@yourqueenesther")</f>
        <v>@yourqueenesther</v>
      </c>
      <c r="C27274" s="8" t="s">
        <v>10411</v>
      </c>
      <c r="D27274" s="8">
        <v>39</v>
      </c>
      <c r="E27274" s="8">
        <v>0</v>
      </c>
      <c r="F27274" s="8">
        <v>129</v>
      </c>
    </row>
    <row r="27275" spans="1:6" ht="12.75">
      <c r="A27275" s="8">
        <v>43892.250706018516</v>
      </c>
      <c r="B27275" s="8" t="str">
        <f>HYPERLINK("https://twitter.com/_rahasia__","@_rahasia__")</f>
        <v>@_rahasia__</v>
      </c>
      <c r="C27275" s="8" t="s">
        <v>2199</v>
      </c>
      <c r="D27275" s="8">
        <v>1661</v>
      </c>
      <c r="E27275" s="8">
        <v>0</v>
      </c>
      <c r="F27275" s="8">
        <v>103</v>
      </c>
    </row>
    <row r="27276" spans="1:6" ht="12.75">
      <c r="A27276" s="8">
        <v>43892.250694444447</v>
      </c>
      <c r="B27276" s="8" t="str">
        <f>HYPERLINK("https://twitter.com/benhilnet","@benhilnet")</f>
        <v>@benhilnet</v>
      </c>
      <c r="C27276" s="8" t="s">
        <v>10412</v>
      </c>
      <c r="D27276" s="8">
        <v>0</v>
      </c>
      <c r="E27276" s="8">
        <v>0</v>
      </c>
      <c r="F27276" s="8">
        <v>245</v>
      </c>
    </row>
    <row r="27277" spans="1:6" ht="12.75">
      <c r="A27277" s="8">
        <v>43892.250555555554</v>
      </c>
      <c r="B27277" s="8" t="str">
        <f>HYPERLINK("https://twitter.com/koewe_soes","@koewe_soes")</f>
        <v>@koewe_soes</v>
      </c>
      <c r="C27277" s="8" t="s">
        <v>8851</v>
      </c>
      <c r="D27277" s="8">
        <v>29</v>
      </c>
      <c r="E27277" s="8">
        <v>0</v>
      </c>
      <c r="F27277" s="8">
        <v>174</v>
      </c>
    </row>
    <row r="27278" spans="1:6" ht="12.75">
      <c r="A27278" s="8">
        <v>43892.250555555554</v>
      </c>
      <c r="B27278" s="8" t="str">
        <f>HYPERLINK("https://twitter.com/Encexferry1","@Encexferry1")</f>
        <v>@Encexferry1</v>
      </c>
      <c r="C27278" s="8" t="s">
        <v>6542</v>
      </c>
      <c r="D27278" s="8">
        <v>168</v>
      </c>
      <c r="E27278" s="8">
        <v>0</v>
      </c>
      <c r="F27278" s="8">
        <v>24</v>
      </c>
    </row>
    <row r="27279" spans="1:6" ht="12.75">
      <c r="A27279" s="8">
        <v>43892.250474537039</v>
      </c>
      <c r="B27279" s="8" t="str">
        <f>HYPERLINK("https://twitter.com/555masteng","@555masteng")</f>
        <v>@555masteng</v>
      </c>
      <c r="C27279" s="8" t="s">
        <v>10413</v>
      </c>
      <c r="D27279" s="8">
        <v>35</v>
      </c>
      <c r="E27279" s="8">
        <v>0</v>
      </c>
      <c r="F27279" s="8">
        <v>5549</v>
      </c>
    </row>
    <row r="27280" spans="1:6" ht="12.75">
      <c r="A27280" s="8">
        <v>43892.215162037042</v>
      </c>
      <c r="B27280" s="8" t="str">
        <f>HYPERLINK("https://twitter.com/AyubeeB","@AyubeeB")</f>
        <v>@AyubeeB</v>
      </c>
      <c r="C27280" s="8" t="s">
        <v>10414</v>
      </c>
      <c r="D27280" s="8">
        <v>0</v>
      </c>
      <c r="E27280" s="8">
        <v>0</v>
      </c>
      <c r="F27280" s="8">
        <v>1257</v>
      </c>
    </row>
    <row r="27281" spans="1:6" ht="12.75">
      <c r="A27281" s="8">
        <v>43892.214837962965</v>
      </c>
      <c r="B27281" s="8" t="str">
        <f>HYPERLINK("https://twitter.com/harimerdeka7","@harimerdeka7")</f>
        <v>@harimerdeka7</v>
      </c>
      <c r="C27281" s="8" t="s">
        <v>3850</v>
      </c>
      <c r="D27281" s="8">
        <v>1014</v>
      </c>
      <c r="E27281" s="8">
        <v>0</v>
      </c>
      <c r="F27281" s="8">
        <v>1041</v>
      </c>
    </row>
    <row r="27282" spans="1:6" ht="12.75">
      <c r="A27282" s="8">
        <v>43892.214837962965</v>
      </c>
      <c r="B27282" s="8" t="str">
        <f>HYPERLINK("https://twitter.com/widhi_hyang","@widhi_hyang")</f>
        <v>@widhi_hyang</v>
      </c>
      <c r="C27282" s="8" t="s">
        <v>6542</v>
      </c>
      <c r="D27282" s="8">
        <v>160</v>
      </c>
      <c r="E27282" s="8">
        <v>0</v>
      </c>
      <c r="F27282" s="8">
        <v>1</v>
      </c>
    </row>
    <row r="27283" spans="1:6" ht="12.75">
      <c r="A27283" s="8">
        <v>43892.214675925927</v>
      </c>
      <c r="B27283" s="8" t="str">
        <f>HYPERLINK("https://twitter.com/KosmetikDinda","@KosmetikDinda")</f>
        <v>@KosmetikDinda</v>
      </c>
      <c r="C27283" s="8" t="s">
        <v>10415</v>
      </c>
      <c r="D27283" s="8">
        <v>3</v>
      </c>
      <c r="E27283" s="8">
        <v>0</v>
      </c>
      <c r="F27283" s="8">
        <v>1291</v>
      </c>
    </row>
    <row r="27284" spans="1:6" ht="12.75">
      <c r="A27284" s="8">
        <v>43892.214502314819</v>
      </c>
      <c r="B27284" s="8" t="str">
        <f>HYPERLINK("https://twitter.com/revellboi","@revellboi")</f>
        <v>@revellboi</v>
      </c>
      <c r="C27284" s="8" t="s">
        <v>2199</v>
      </c>
      <c r="D27284" s="8">
        <v>1503</v>
      </c>
      <c r="E27284" s="8">
        <v>0</v>
      </c>
      <c r="F27284" s="8">
        <v>561</v>
      </c>
    </row>
    <row r="27285" spans="1:6" ht="12.75">
      <c r="A27285" s="8">
        <v>43892.214502314819</v>
      </c>
      <c r="B27285" s="8" t="str">
        <f>HYPERLINK("https://twitter.com/fans_ayanami","@fans_ayanami")</f>
        <v>@fans_ayanami</v>
      </c>
      <c r="C27285" s="8" t="s">
        <v>3850</v>
      </c>
      <c r="D27285" s="8">
        <v>1014</v>
      </c>
      <c r="E27285" s="8">
        <v>0</v>
      </c>
      <c r="F27285" s="8">
        <v>452</v>
      </c>
    </row>
    <row r="27286" spans="1:6" ht="12.75">
      <c r="A27286" s="8">
        <v>43892.214479166665</v>
      </c>
      <c r="B27286" s="8" t="str">
        <f>HYPERLINK("https://twitter.com/kopral_jon00","@kopral_jon00")</f>
        <v>@kopral_jon00</v>
      </c>
      <c r="C27286" s="8" t="s">
        <v>5732</v>
      </c>
      <c r="D27286" s="8">
        <v>417</v>
      </c>
      <c r="E27286" s="8">
        <v>0</v>
      </c>
      <c r="F27286" s="8">
        <v>813</v>
      </c>
    </row>
    <row r="27287" spans="1:6" ht="12.75">
      <c r="A27287" s="8">
        <v>43892.214479166665</v>
      </c>
      <c r="B27287" s="8" t="str">
        <f>HYPERLINK("https://twitter.com/Diens06076327","@Diens06076327")</f>
        <v>@Diens06076327</v>
      </c>
      <c r="C27287" s="8" t="s">
        <v>7437</v>
      </c>
      <c r="D27287" s="8">
        <v>488</v>
      </c>
      <c r="E27287" s="8">
        <v>0</v>
      </c>
      <c r="F27287" s="8">
        <v>4</v>
      </c>
    </row>
    <row r="27288" spans="1:6" ht="12.75">
      <c r="A27288" s="8">
        <v>43892.214398148149</v>
      </c>
      <c r="B27288" s="8" t="str">
        <f>HYPERLINK("https://twitter.com/melatihnm","@melatihnm")</f>
        <v>@melatihnm</v>
      </c>
      <c r="C27288" s="8" t="s">
        <v>2199</v>
      </c>
      <c r="D27288" s="8">
        <v>1503</v>
      </c>
      <c r="E27288" s="8">
        <v>0</v>
      </c>
      <c r="F27288" s="8">
        <v>757</v>
      </c>
    </row>
    <row r="27289" spans="1:6" ht="12.75">
      <c r="A27289" s="8">
        <v>43892.214224537034</v>
      </c>
      <c r="B27289" s="8" t="str">
        <f>HYPERLINK("https://twitter.com/RatnaRa64539974","@RatnaRa64539974")</f>
        <v>@RatnaRa64539974</v>
      </c>
      <c r="C27289" s="8" t="s">
        <v>9238</v>
      </c>
      <c r="D27289" s="8">
        <v>101</v>
      </c>
      <c r="E27289" s="8">
        <v>0</v>
      </c>
      <c r="F27289" s="8">
        <v>841</v>
      </c>
    </row>
    <row r="27290" spans="1:6" ht="12.75">
      <c r="A27290" s="8">
        <v>43892.214224537034</v>
      </c>
      <c r="B27290" s="8" t="str">
        <f>HYPERLINK("https://twitter.com/FSariandi","@FSariandi")</f>
        <v>@FSariandi</v>
      </c>
      <c r="C27290" s="8" t="s">
        <v>5732</v>
      </c>
      <c r="D27290" s="8">
        <v>417</v>
      </c>
      <c r="E27290" s="8">
        <v>0</v>
      </c>
      <c r="F27290" s="8">
        <v>314</v>
      </c>
    </row>
    <row r="27291" spans="1:6" ht="12.75">
      <c r="A27291" s="8">
        <v>43892.214166666672</v>
      </c>
      <c r="B27291" s="8" t="str">
        <f>HYPERLINK("https://twitter.com/puffywombat","@puffywombat")</f>
        <v>@puffywombat</v>
      </c>
      <c r="C27291" s="8" t="s">
        <v>2199</v>
      </c>
      <c r="D27291" s="8">
        <v>1503</v>
      </c>
      <c r="E27291" s="8">
        <v>0</v>
      </c>
      <c r="F27291" s="8">
        <v>10</v>
      </c>
    </row>
    <row r="27292" spans="1:6" ht="12.75">
      <c r="A27292" s="8">
        <v>43892.214085648149</v>
      </c>
      <c r="B27292" s="8" t="str">
        <f>HYPERLINK("https://twitter.com/kopral_jon00","@kopral_jon00")</f>
        <v>@kopral_jon00</v>
      </c>
      <c r="C27292" s="8" t="s">
        <v>9910</v>
      </c>
      <c r="D27292" s="8">
        <v>50</v>
      </c>
      <c r="E27292" s="8">
        <v>0</v>
      </c>
      <c r="F27292" s="8">
        <v>813</v>
      </c>
    </row>
    <row r="27293" spans="1:6" ht="12.75">
      <c r="A27293" s="8">
        <v>43892.213888888888</v>
      </c>
      <c r="B27293" s="8" t="str">
        <f>HYPERLINK("https://twitter.com/sandyprasetya","@sandyprasetya")</f>
        <v>@sandyprasetya</v>
      </c>
      <c r="C27293" s="8" t="s">
        <v>2272</v>
      </c>
      <c r="D27293" s="8">
        <v>890</v>
      </c>
      <c r="E27293" s="8">
        <v>0</v>
      </c>
      <c r="F27293" s="8">
        <v>884</v>
      </c>
    </row>
    <row r="27294" spans="1:6" ht="12.75">
      <c r="A27294" s="8">
        <v>43892.213854166665</v>
      </c>
      <c r="B27294" s="8" t="str">
        <f>HYPERLINK("https://twitter.com/mulyatikaral","@mulyatikaral")</f>
        <v>@mulyatikaral</v>
      </c>
      <c r="C27294" s="8" t="s">
        <v>4990</v>
      </c>
      <c r="D27294" s="8">
        <v>210</v>
      </c>
      <c r="E27294" s="8">
        <v>0</v>
      </c>
      <c r="F27294" s="8">
        <v>477</v>
      </c>
    </row>
    <row r="27295" spans="1:6" ht="12.75">
      <c r="A27295" s="8">
        <v>43892.213807870372</v>
      </c>
      <c r="B27295" s="8" t="str">
        <f>HYPERLINK("https://twitter.com/ishano80","@ishano80")</f>
        <v>@ishano80</v>
      </c>
      <c r="C27295" s="8" t="s">
        <v>5732</v>
      </c>
      <c r="D27295" s="8">
        <v>417</v>
      </c>
      <c r="E27295" s="8">
        <v>0</v>
      </c>
      <c r="F27295" s="8">
        <v>2359</v>
      </c>
    </row>
    <row r="27296" spans="1:6" ht="12.75">
      <c r="A27296" s="8">
        <v>43892.213796296295</v>
      </c>
      <c r="B27296" s="8" t="str">
        <f>HYPERLINK("https://twitter.com/AyubeeB","@AyubeeB")</f>
        <v>@AyubeeB</v>
      </c>
      <c r="C27296" s="8" t="s">
        <v>10416</v>
      </c>
      <c r="D27296" s="8">
        <v>0</v>
      </c>
      <c r="E27296" s="8">
        <v>0</v>
      </c>
      <c r="F27296" s="8">
        <v>1257</v>
      </c>
    </row>
    <row r="27297" spans="1:6" ht="12.75">
      <c r="A27297" s="8">
        <v>43892.213761574079</v>
      </c>
      <c r="B27297" s="8" t="str">
        <f>HYPERLINK("https://twitter.com/me_zhu__Yusra","@me_zhu__Yusra")</f>
        <v>@me_zhu__Yusra</v>
      </c>
      <c r="C27297" s="8" t="s">
        <v>10417</v>
      </c>
      <c r="D27297" s="8">
        <v>0</v>
      </c>
      <c r="E27297" s="8">
        <v>0</v>
      </c>
      <c r="F27297" s="8">
        <v>3176</v>
      </c>
    </row>
    <row r="27298" spans="1:6" ht="12.75">
      <c r="A27298" s="8">
        <v>43892.213738425926</v>
      </c>
      <c r="B27298" s="8" t="str">
        <f>HYPERLINK("https://twitter.com/akuratco","@akuratco")</f>
        <v>@akuratco</v>
      </c>
      <c r="C27298" s="8" t="s">
        <v>10418</v>
      </c>
      <c r="D27298" s="8">
        <v>0</v>
      </c>
      <c r="E27298" s="8">
        <v>0</v>
      </c>
      <c r="F27298" s="8">
        <v>8428</v>
      </c>
    </row>
    <row r="27299" spans="1:6" ht="12.75">
      <c r="A27299" s="8">
        <v>43892.213692129633</v>
      </c>
      <c r="B27299" s="8" t="str">
        <f>HYPERLINK("https://twitter.com/Arri_Hrp","@Arri_Hrp")</f>
        <v>@Arri_Hrp</v>
      </c>
      <c r="C27299" s="8" t="s">
        <v>10419</v>
      </c>
      <c r="D27299" s="8">
        <v>0</v>
      </c>
      <c r="E27299" s="8">
        <v>0</v>
      </c>
      <c r="F27299" s="8">
        <v>179</v>
      </c>
    </row>
    <row r="27300" spans="1:6" ht="12.75">
      <c r="A27300" s="8">
        <v>43892.213680555556</v>
      </c>
      <c r="B27300" s="8" t="str">
        <f>HYPERLINK("https://twitter.com/DedehKu95290849","@DedehKu95290849")</f>
        <v>@DedehKu95290849</v>
      </c>
      <c r="C27300" s="8" t="s">
        <v>3850</v>
      </c>
      <c r="D27300" s="8">
        <v>1014</v>
      </c>
      <c r="E27300" s="8">
        <v>0</v>
      </c>
      <c r="F27300" s="8">
        <v>423</v>
      </c>
    </row>
    <row r="27301" spans="1:6" ht="12.75">
      <c r="A27301" s="8">
        <v>43892.21366898148</v>
      </c>
      <c r="B27301" s="8" t="str">
        <f>HYPERLINK("https://twitter.com/mhilmank","@mhilmank")</f>
        <v>@mhilmank</v>
      </c>
      <c r="C27301" s="8" t="s">
        <v>5732</v>
      </c>
      <c r="D27301" s="8">
        <v>417</v>
      </c>
      <c r="E27301" s="8">
        <v>0</v>
      </c>
      <c r="F27301" s="8">
        <v>77</v>
      </c>
    </row>
    <row r="27302" spans="1:6" ht="12.75">
      <c r="A27302" s="8">
        <v>43892.21365740741</v>
      </c>
      <c r="B27302" s="8" t="str">
        <f>HYPERLINK("https://twitter.com/SasqiaRVY","@SasqiaRVY")</f>
        <v>@SasqiaRVY</v>
      </c>
      <c r="C27302" s="8" t="s">
        <v>2199</v>
      </c>
      <c r="D27302" s="8">
        <v>1503</v>
      </c>
      <c r="E27302" s="8">
        <v>0</v>
      </c>
      <c r="F27302" s="8">
        <v>369</v>
      </c>
    </row>
    <row r="27303" spans="1:6" ht="12.75">
      <c r="A27303" s="8">
        <v>43892.213541666672</v>
      </c>
      <c r="B27303" s="8" t="str">
        <f>HYPERLINK("https://twitter.com/rakhmania","@rakhmania")</f>
        <v>@rakhmania</v>
      </c>
      <c r="C27303" s="8" t="s">
        <v>2199</v>
      </c>
      <c r="D27303" s="8">
        <v>1503</v>
      </c>
      <c r="E27303" s="8">
        <v>0</v>
      </c>
      <c r="F27303" s="8">
        <v>233</v>
      </c>
    </row>
    <row r="27304" spans="1:6" ht="12.75">
      <c r="A27304" s="8">
        <v>43892.213530092587</v>
      </c>
      <c r="B27304" s="8" t="str">
        <f>HYPERLINK("https://twitter.com/marSyaheedAS","@marSyaheedAS")</f>
        <v>@marSyaheedAS</v>
      </c>
      <c r="C27304" s="8" t="s">
        <v>9910</v>
      </c>
      <c r="D27304" s="8">
        <v>50</v>
      </c>
      <c r="E27304" s="8">
        <v>0</v>
      </c>
      <c r="F27304" s="8">
        <v>1940</v>
      </c>
    </row>
    <row r="27305" spans="1:6" ht="12.75">
      <c r="A27305" s="8">
        <v>43892.213263888887</v>
      </c>
      <c r="B27305" s="8" t="str">
        <f>HYPERLINK("https://twitter.com/YusufSo90734482","@YusufSo90734482")</f>
        <v>@YusufSo90734482</v>
      </c>
      <c r="C27305" s="8" t="s">
        <v>10420</v>
      </c>
      <c r="D27305" s="8">
        <v>12</v>
      </c>
      <c r="E27305" s="8">
        <v>0</v>
      </c>
      <c r="F27305" s="8">
        <v>684</v>
      </c>
    </row>
    <row r="27306" spans="1:6" ht="12.75">
      <c r="A27306" s="8">
        <v>43892.213078703702</v>
      </c>
      <c r="B27306" s="8" t="str">
        <f>HYPERLINK("https://twitter.com/AChaeruman","@AChaeruman")</f>
        <v>@AChaeruman</v>
      </c>
      <c r="C27306" s="8" t="s">
        <v>5732</v>
      </c>
      <c r="D27306" s="8">
        <v>417</v>
      </c>
      <c r="E27306" s="8">
        <v>0</v>
      </c>
      <c r="F27306" s="8">
        <v>240</v>
      </c>
    </row>
    <row r="27307" spans="1:6" ht="12.75">
      <c r="A27307" s="8">
        <v>43892.213067129633</v>
      </c>
      <c r="B27307" s="8" t="str">
        <f>HYPERLINK("https://twitter.com/hendradiba","@hendradiba")</f>
        <v>@hendradiba</v>
      </c>
      <c r="C27307" s="8" t="s">
        <v>5732</v>
      </c>
      <c r="D27307" s="8">
        <v>417</v>
      </c>
      <c r="E27307" s="8">
        <v>0</v>
      </c>
      <c r="F27307" s="8">
        <v>499</v>
      </c>
    </row>
    <row r="27308" spans="1:6" ht="12.75">
      <c r="A27308" s="8">
        <v>43892.213067129633</v>
      </c>
      <c r="B27308" s="8" t="str">
        <f>HYPERLINK("https://twitter.com/heyitsaldy","@heyitsaldy")</f>
        <v>@heyitsaldy</v>
      </c>
      <c r="C27308" s="8" t="s">
        <v>10421</v>
      </c>
      <c r="D27308" s="8">
        <v>0</v>
      </c>
      <c r="E27308" s="8">
        <v>0</v>
      </c>
      <c r="F27308" s="8">
        <v>223</v>
      </c>
    </row>
    <row r="27309" spans="1:6" ht="12.75">
      <c r="A27309" s="8">
        <v>43892.212997685187</v>
      </c>
      <c r="B27309" s="8" t="str">
        <f>HYPERLINK("https://twitter.com/elkrova","@elkrova")</f>
        <v>@elkrova</v>
      </c>
      <c r="C27309" s="8" t="s">
        <v>9238</v>
      </c>
      <c r="D27309" s="8">
        <v>101</v>
      </c>
      <c r="E27309" s="8">
        <v>0</v>
      </c>
      <c r="F27309" s="8">
        <v>10529</v>
      </c>
    </row>
    <row r="27310" spans="1:6" ht="12.75">
      <c r="A27310" s="8">
        <v>43892.212951388894</v>
      </c>
      <c r="B27310" s="8" t="str">
        <f>HYPERLINK("https://twitter.com/HRS212_","@HRS212_")</f>
        <v>@HRS212_</v>
      </c>
      <c r="C27310" s="8" t="s">
        <v>5732</v>
      </c>
      <c r="D27310" s="8">
        <v>417</v>
      </c>
      <c r="E27310" s="8">
        <v>0</v>
      </c>
      <c r="F27310" s="8">
        <v>697</v>
      </c>
    </row>
    <row r="27311" spans="1:6" ht="12.75">
      <c r="A27311" s="8">
        <v>43892.212824074071</v>
      </c>
      <c r="B27311" s="8" t="str">
        <f>HYPERLINK("https://twitter.com/elkrova","@elkrova")</f>
        <v>@elkrova</v>
      </c>
      <c r="C27311" s="8" t="s">
        <v>2199</v>
      </c>
      <c r="D27311" s="8">
        <v>1503</v>
      </c>
      <c r="E27311" s="8">
        <v>0</v>
      </c>
      <c r="F27311" s="8">
        <v>10529</v>
      </c>
    </row>
    <row r="27312" spans="1:6" ht="12.75">
      <c r="A27312" s="8">
        <v>43892.212500000001</v>
      </c>
      <c r="B27312" s="8" t="str">
        <f>HYPERLINK("https://twitter.com/sedang_rebahan","@sedang_rebahan")</f>
        <v>@sedang_rebahan</v>
      </c>
      <c r="C27312" s="8" t="s">
        <v>2199</v>
      </c>
      <c r="D27312" s="8">
        <v>1503</v>
      </c>
      <c r="E27312" s="8">
        <v>0</v>
      </c>
      <c r="F27312" s="8">
        <v>158</v>
      </c>
    </row>
    <row r="27313" spans="1:6" ht="12.75">
      <c r="A27313" s="8">
        <v>43892.212314814809</v>
      </c>
      <c r="B27313" s="8" t="str">
        <f>HYPERLINK("https://twitter.com/FianChristian_","@FianChristian_")</f>
        <v>@FianChristian_</v>
      </c>
      <c r="C27313" s="8" t="s">
        <v>2199</v>
      </c>
      <c r="D27313" s="8">
        <v>1503</v>
      </c>
      <c r="E27313" s="8">
        <v>0</v>
      </c>
      <c r="F27313" s="8">
        <v>520</v>
      </c>
    </row>
    <row r="27314" spans="1:6" ht="12.75">
      <c r="A27314" s="8">
        <v>43892.212245370371</v>
      </c>
      <c r="B27314" s="8" t="str">
        <f>HYPERLINK("https://twitter.com/SRH_Yani","@SRH_Yani")</f>
        <v>@SRH_Yani</v>
      </c>
      <c r="C27314" s="8" t="s">
        <v>5732</v>
      </c>
      <c r="D27314" s="8">
        <v>417</v>
      </c>
      <c r="E27314" s="8">
        <v>0</v>
      </c>
      <c r="F27314" s="8">
        <v>319</v>
      </c>
    </row>
    <row r="27315" spans="1:6" ht="12.75">
      <c r="A27315" s="8">
        <v>43892.212175925924</v>
      </c>
      <c r="B27315" s="8" t="str">
        <f>HYPERLINK("https://twitter.com/anamsemesta","@anamsemesta")</f>
        <v>@anamsemesta</v>
      </c>
      <c r="C27315" s="8" t="s">
        <v>2199</v>
      </c>
      <c r="D27315" s="8">
        <v>1503</v>
      </c>
      <c r="E27315" s="8">
        <v>0</v>
      </c>
      <c r="F27315" s="8">
        <v>471</v>
      </c>
    </row>
    <row r="27316" spans="1:6" ht="12.75">
      <c r="A27316" s="8">
        <v>43892.212083333332</v>
      </c>
      <c r="B27316" s="8" t="str">
        <f>HYPERLINK("https://twitter.com/JokoFighter01","@JokoFighter01")</f>
        <v>@JokoFighter01</v>
      </c>
      <c r="C27316" s="8" t="s">
        <v>2199</v>
      </c>
      <c r="D27316" s="8">
        <v>1503</v>
      </c>
      <c r="E27316" s="8">
        <v>0</v>
      </c>
      <c r="F27316" s="8">
        <v>539</v>
      </c>
    </row>
    <row r="27317" spans="1:6" ht="12.75">
      <c r="A27317" s="8">
        <v>43892.212060185186</v>
      </c>
      <c r="B27317" s="8" t="str">
        <f>HYPERLINK("https://twitter.com/_CHlS_","@_CHlS_")</f>
        <v>@_CHlS_</v>
      </c>
      <c r="C27317" s="8" t="s">
        <v>3850</v>
      </c>
      <c r="D27317" s="8">
        <v>1014</v>
      </c>
      <c r="E27317" s="8">
        <v>0</v>
      </c>
      <c r="F27317" s="8">
        <v>2828</v>
      </c>
    </row>
    <row r="27318" spans="1:6" ht="12.75">
      <c r="A27318" s="8">
        <v>43892.211759259255</v>
      </c>
      <c r="B27318" s="8" t="str">
        <f>HYPERLINK("https://twitter.com/fans_ayanami","@fans_ayanami")</f>
        <v>@fans_ayanami</v>
      </c>
      <c r="C27318" s="8" t="s">
        <v>5732</v>
      </c>
      <c r="D27318" s="8">
        <v>417</v>
      </c>
      <c r="E27318" s="8">
        <v>0</v>
      </c>
      <c r="F27318" s="8">
        <v>452</v>
      </c>
    </row>
    <row r="27319" spans="1:6" ht="12.75">
      <c r="A27319" s="8">
        <v>43892.211550925931</v>
      </c>
      <c r="B27319" s="8" t="str">
        <f>HYPERLINK("https://twitter.com/nonnbanon","@nonnbanon")</f>
        <v>@nonnbanon</v>
      </c>
      <c r="C27319" s="8" t="s">
        <v>3850</v>
      </c>
      <c r="D27319" s="8">
        <v>1014</v>
      </c>
      <c r="E27319" s="8">
        <v>0</v>
      </c>
      <c r="F27319" s="8">
        <v>614</v>
      </c>
    </row>
    <row r="27320" spans="1:6" ht="12.75">
      <c r="A27320" s="8">
        <v>43892.211273148147</v>
      </c>
      <c r="B27320" s="8" t="str">
        <f>HYPERLINK("https://twitter.com/JokoFighter01","@JokoFighter01")</f>
        <v>@JokoFighter01</v>
      </c>
      <c r="C27320" s="8" t="s">
        <v>10422</v>
      </c>
      <c r="D27320" s="8">
        <v>22</v>
      </c>
      <c r="E27320" s="8">
        <v>0</v>
      </c>
      <c r="F27320" s="8">
        <v>539</v>
      </c>
    </row>
    <row r="27321" spans="1:6" ht="12.75">
      <c r="A27321" s="8">
        <v>43892.211006944446</v>
      </c>
      <c r="B27321" s="8" t="str">
        <f>HYPERLINK("https://twitter.com/Julian303","@Julian303")</f>
        <v>@Julian303</v>
      </c>
      <c r="C27321" s="8" t="s">
        <v>5732</v>
      </c>
      <c r="D27321" s="8">
        <v>417</v>
      </c>
      <c r="E27321" s="8">
        <v>0</v>
      </c>
      <c r="F27321" s="8">
        <v>1416</v>
      </c>
    </row>
    <row r="27322" spans="1:6" ht="12.75">
      <c r="A27322" s="8">
        <v>43892.2106712963</v>
      </c>
      <c r="B27322" s="8" t="str">
        <f>HYPERLINK("https://twitter.com/MommaBear0716","@MommaBear0716")</f>
        <v>@MommaBear0716</v>
      </c>
      <c r="C27322" s="8" t="s">
        <v>2199</v>
      </c>
      <c r="D27322" s="8">
        <v>1503</v>
      </c>
      <c r="E27322" s="8">
        <v>0</v>
      </c>
      <c r="F27322" s="8">
        <v>16</v>
      </c>
    </row>
    <row r="27323" spans="1:6" ht="12.75">
      <c r="A27323" s="8">
        <v>43892.21056712963</v>
      </c>
      <c r="B27323" s="8" t="str">
        <f>HYPERLINK("https://twitter.com/Msdinar","@Msdinar")</f>
        <v>@Msdinar</v>
      </c>
      <c r="C27323" s="8" t="s">
        <v>5732</v>
      </c>
      <c r="D27323" s="8">
        <v>417</v>
      </c>
      <c r="E27323" s="8">
        <v>0</v>
      </c>
      <c r="F27323" s="8">
        <v>260</v>
      </c>
    </row>
    <row r="27324" spans="1:6" ht="12.75">
      <c r="A27324" s="8">
        <v>43892.210416666669</v>
      </c>
      <c r="B27324" s="8" t="str">
        <f>HYPERLINK("https://twitter.com/AyubeeB","@AyubeeB")</f>
        <v>@AyubeeB</v>
      </c>
      <c r="C27324" s="8" t="s">
        <v>10423</v>
      </c>
      <c r="D27324" s="8">
        <v>0</v>
      </c>
      <c r="E27324" s="8">
        <v>0</v>
      </c>
      <c r="F27324" s="8">
        <v>1257</v>
      </c>
    </row>
    <row r="27325" spans="1:6" ht="12.75">
      <c r="A27325" s="8">
        <v>43892.209861111114</v>
      </c>
      <c r="B27325" s="8" t="str">
        <f>HYPERLINK("https://twitter.com/cheagusto","@cheagusto")</f>
        <v>@cheagusto</v>
      </c>
      <c r="C27325" s="8" t="s">
        <v>10424</v>
      </c>
      <c r="D27325" s="8">
        <v>0</v>
      </c>
      <c r="E27325" s="8">
        <v>0</v>
      </c>
      <c r="F27325" s="8">
        <v>0</v>
      </c>
    </row>
    <row r="27326" spans="1:6" ht="12.75">
      <c r="A27326" s="8">
        <v>43892.209861111114</v>
      </c>
      <c r="B27326" s="8" t="str">
        <f>HYPERLINK("https://twitter.com/iwans_setiawan","@iwans_setiawan")</f>
        <v>@iwans_setiawan</v>
      </c>
      <c r="C27326" s="8" t="s">
        <v>3850</v>
      </c>
      <c r="D27326" s="8">
        <v>1014</v>
      </c>
      <c r="E27326" s="8">
        <v>0</v>
      </c>
      <c r="F27326" s="8">
        <v>306</v>
      </c>
    </row>
    <row r="27327" spans="1:6" ht="12.75">
      <c r="A27327" s="8">
        <v>43892.20957175926</v>
      </c>
      <c r="B27327" s="8" t="str">
        <f>HYPERLINK("https://twitter.com/cumakicaukacau","@cumakicaukacau")</f>
        <v>@cumakicaukacau</v>
      </c>
      <c r="C27327" s="8" t="s">
        <v>2199</v>
      </c>
      <c r="D27327" s="8">
        <v>1503</v>
      </c>
      <c r="E27327" s="8">
        <v>0</v>
      </c>
      <c r="F27327" s="8">
        <v>147</v>
      </c>
    </row>
    <row r="27328" spans="1:6" ht="12.75">
      <c r="A27328" s="8">
        <v>43892.20930555556</v>
      </c>
      <c r="B27328" s="8" t="str">
        <f>HYPERLINK("https://twitter.com/tanoetomo","@tanoetomo")</f>
        <v>@tanoetomo</v>
      </c>
      <c r="C27328" s="8" t="s">
        <v>2199</v>
      </c>
      <c r="D27328" s="8">
        <v>1503</v>
      </c>
      <c r="E27328" s="8">
        <v>0</v>
      </c>
      <c r="F27328" s="8">
        <v>67</v>
      </c>
    </row>
    <row r="27329" spans="1:6" ht="12.75">
      <c r="A27329" s="8">
        <v>43892.209282407406</v>
      </c>
      <c r="B27329" s="8" t="str">
        <f>HYPERLINK("https://twitter.com/yuwono_16","@yuwono_16")</f>
        <v>@yuwono_16</v>
      </c>
      <c r="C27329" s="8" t="s">
        <v>2199</v>
      </c>
      <c r="D27329" s="8">
        <v>1503</v>
      </c>
      <c r="E27329" s="8">
        <v>0</v>
      </c>
      <c r="F27329" s="8">
        <v>156</v>
      </c>
    </row>
    <row r="27330" spans="1:6" ht="12.75">
      <c r="A27330" s="8">
        <v>43892.208680555559</v>
      </c>
      <c r="B27330" s="8" t="str">
        <f>HYPERLINK("https://twitter.com/Sjaechu","@Sjaechu")</f>
        <v>@Sjaechu</v>
      </c>
      <c r="C27330" s="8" t="s">
        <v>5732</v>
      </c>
      <c r="D27330" s="8">
        <v>417</v>
      </c>
      <c r="E27330" s="8">
        <v>0</v>
      </c>
      <c r="F27330" s="8">
        <v>5803</v>
      </c>
    </row>
    <row r="27331" spans="1:6" ht="12.75">
      <c r="A27331" s="8">
        <v>43892.208634259259</v>
      </c>
      <c r="B27331" s="8" t="str">
        <f>HYPERLINK("https://twitter.com/marSyaheedAS","@marSyaheedAS")</f>
        <v>@marSyaheedAS</v>
      </c>
      <c r="C27331" s="8" t="s">
        <v>5732</v>
      </c>
      <c r="D27331" s="8">
        <v>417</v>
      </c>
      <c r="E27331" s="8">
        <v>0</v>
      </c>
      <c r="F27331" s="8">
        <v>1940</v>
      </c>
    </row>
    <row r="27332" spans="1:6" ht="12.75">
      <c r="A27332" s="8">
        <v>43892.208437499998</v>
      </c>
      <c r="B27332" s="8" t="str">
        <f>HYPERLINK("https://twitter.com/astifistasari","@astifistasari")</f>
        <v>@astifistasari</v>
      </c>
      <c r="C27332" s="8" t="s">
        <v>2199</v>
      </c>
      <c r="D27332" s="8">
        <v>1503</v>
      </c>
      <c r="E27332" s="8">
        <v>0</v>
      </c>
      <c r="F27332" s="8">
        <v>473</v>
      </c>
    </row>
    <row r="27333" spans="1:6" ht="12.75">
      <c r="A27333" s="8">
        <v>43892.208356481482</v>
      </c>
      <c r="B27333" s="8" t="str">
        <f t="shared" ref="B27333:B27334" si="361">HYPERLINK("https://twitter.com/AyubeeB","@AyubeeB")</f>
        <v>@AyubeeB</v>
      </c>
      <c r="C27333" s="8" t="s">
        <v>10425</v>
      </c>
      <c r="D27333" s="8">
        <v>0</v>
      </c>
      <c r="E27333" s="8">
        <v>0</v>
      </c>
      <c r="F27333" s="8">
        <v>1257</v>
      </c>
    </row>
    <row r="27334" spans="1:6" ht="12.75">
      <c r="A27334" s="8">
        <v>43892.208356481482</v>
      </c>
      <c r="B27334" s="8" t="str">
        <f t="shared" si="361"/>
        <v>@AyubeeB</v>
      </c>
      <c r="C27334" s="8" t="s">
        <v>10426</v>
      </c>
      <c r="D27334" s="8">
        <v>0</v>
      </c>
      <c r="E27334" s="8">
        <v>0</v>
      </c>
      <c r="F27334" s="8">
        <v>1257</v>
      </c>
    </row>
    <row r="27335" spans="1:6" ht="12.75">
      <c r="A27335" s="8">
        <v>43892.208287037036</v>
      </c>
      <c r="B27335" s="8" t="str">
        <f>HYPERLINK("https://twitter.com/_CHlS_","@_CHlS_")</f>
        <v>@_CHlS_</v>
      </c>
      <c r="C27335" s="8" t="s">
        <v>10261</v>
      </c>
      <c r="D27335" s="8">
        <v>8</v>
      </c>
      <c r="E27335" s="8">
        <v>0</v>
      </c>
      <c r="F27335" s="8">
        <v>2828</v>
      </c>
    </row>
    <row r="27336" spans="1:6" ht="12.75">
      <c r="A27336" s="8">
        <v>43892.208287037036</v>
      </c>
      <c r="B27336" s="8" t="str">
        <f>HYPERLINK("https://twitter.com/tonnyhidayat","@tonnyhidayat")</f>
        <v>@tonnyhidayat</v>
      </c>
      <c r="C27336" s="8" t="s">
        <v>5732</v>
      </c>
      <c r="D27336" s="8">
        <v>417</v>
      </c>
      <c r="E27336" s="8">
        <v>0</v>
      </c>
      <c r="F27336" s="8">
        <v>209</v>
      </c>
    </row>
    <row r="27337" spans="1:6" ht="12.75">
      <c r="A27337" s="8">
        <v>43892.208252314813</v>
      </c>
      <c r="B27337" s="8" t="str">
        <f>HYPERLINK("https://twitter.com/Sabilillah_Pua","@Sabilillah_Pua")</f>
        <v>@Sabilillah_Pua</v>
      </c>
      <c r="C27337" s="8" t="s">
        <v>5732</v>
      </c>
      <c r="D27337" s="8">
        <v>417</v>
      </c>
      <c r="E27337" s="8">
        <v>0</v>
      </c>
      <c r="F27337" s="8">
        <v>2347</v>
      </c>
    </row>
    <row r="27338" spans="1:6" ht="12.75">
      <c r="A27338" s="8">
        <v>43892.208090277782</v>
      </c>
      <c r="B27338" s="8" t="str">
        <f>HYPERLINK("https://twitter.com/_CHlS_","@_CHlS_")</f>
        <v>@_CHlS_</v>
      </c>
      <c r="C27338" s="8" t="s">
        <v>10427</v>
      </c>
      <c r="D27338" s="8">
        <v>5</v>
      </c>
      <c r="E27338" s="8">
        <v>0</v>
      </c>
      <c r="F27338" s="8">
        <v>2828</v>
      </c>
    </row>
    <row r="27339" spans="1:6" ht="12.75">
      <c r="A27339" s="8">
        <v>43892.208032407405</v>
      </c>
      <c r="B27339" s="8" t="str">
        <f>HYPERLINK("https://twitter.com/Tata_asvv","@Tata_asvv")</f>
        <v>@Tata_asvv</v>
      </c>
      <c r="C27339" s="8" t="s">
        <v>2199</v>
      </c>
      <c r="D27339" s="8">
        <v>1503</v>
      </c>
      <c r="E27339" s="8">
        <v>0</v>
      </c>
      <c r="F27339" s="8">
        <v>10</v>
      </c>
    </row>
    <row r="27340" spans="1:6" ht="12.75">
      <c r="A27340" s="8">
        <v>43892.207615740743</v>
      </c>
      <c r="B27340" s="8" t="str">
        <f>HYPERLINK("https://twitter.com/min_surya","@min_surya")</f>
        <v>@min_surya</v>
      </c>
      <c r="C27340" s="8" t="s">
        <v>2199</v>
      </c>
      <c r="D27340" s="8">
        <v>1503</v>
      </c>
      <c r="E27340" s="8">
        <v>0</v>
      </c>
      <c r="F27340" s="8">
        <v>569</v>
      </c>
    </row>
    <row r="27341" spans="1:6" ht="12.75">
      <c r="A27341" s="8">
        <v>43892.207546296297</v>
      </c>
      <c r="B27341" s="8" t="str">
        <f>HYPERLINK("https://twitter.com/andimoes","@andimoes")</f>
        <v>@andimoes</v>
      </c>
      <c r="C27341" s="8" t="s">
        <v>3850</v>
      </c>
      <c r="D27341" s="8">
        <v>1014</v>
      </c>
      <c r="E27341" s="8">
        <v>0</v>
      </c>
      <c r="F27341" s="8">
        <v>188</v>
      </c>
    </row>
    <row r="27342" spans="1:6" ht="12.75">
      <c r="A27342" s="8">
        <v>43892.207430555558</v>
      </c>
      <c r="B27342" s="8" t="str">
        <f>HYPERLINK("https://twitter.com/deAr_idir","@deAr_idir")</f>
        <v>@deAr_idir</v>
      </c>
      <c r="C27342" s="8" t="s">
        <v>5732</v>
      </c>
      <c r="D27342" s="8">
        <v>417</v>
      </c>
      <c r="E27342" s="8">
        <v>0</v>
      </c>
      <c r="F27342" s="8">
        <v>341</v>
      </c>
    </row>
    <row r="27343" spans="1:6" ht="12.75">
      <c r="A27343" s="8">
        <v>43892.207349537042</v>
      </c>
      <c r="B27343" s="8" t="str">
        <f>HYPERLINK("https://twitter.com/AmsyariMuadz","@AmsyariMuadz")</f>
        <v>@AmsyariMuadz</v>
      </c>
      <c r="C27343" s="8" t="s">
        <v>10428</v>
      </c>
      <c r="D27343" s="8">
        <v>0</v>
      </c>
      <c r="E27343" s="8">
        <v>0</v>
      </c>
      <c r="F27343" s="8">
        <v>77</v>
      </c>
    </row>
    <row r="27344" spans="1:6" ht="12.75">
      <c r="A27344" s="8">
        <v>43892.20722222222</v>
      </c>
      <c r="B27344" s="8" t="str">
        <f>HYPERLINK("https://twitter.com/JOKOAS","@JOKOAS")</f>
        <v>@JOKOAS</v>
      </c>
      <c r="C27344" s="8" t="s">
        <v>5732</v>
      </c>
      <c r="D27344" s="8">
        <v>417</v>
      </c>
      <c r="E27344" s="8">
        <v>0</v>
      </c>
      <c r="F27344" s="8">
        <v>1057</v>
      </c>
    </row>
    <row r="27345" spans="1:6" ht="12.75">
      <c r="A27345" s="8">
        <v>43892.207199074073</v>
      </c>
      <c r="B27345" s="8" t="str">
        <f>HYPERLINK("https://twitter.com/GateJannah","@GateJannah")</f>
        <v>@GateJannah</v>
      </c>
      <c r="C27345" s="8" t="s">
        <v>10245</v>
      </c>
      <c r="D27345" s="8">
        <v>5</v>
      </c>
      <c r="E27345" s="8">
        <v>0</v>
      </c>
      <c r="F27345" s="8">
        <v>921</v>
      </c>
    </row>
    <row r="27346" spans="1:6" ht="12.75">
      <c r="A27346" s="8">
        <v>43892.207048611112</v>
      </c>
      <c r="B27346" s="8" t="str">
        <f>HYPERLINK("https://twitter.com/LegendArmour","@LegendArmour")</f>
        <v>@LegendArmour</v>
      </c>
      <c r="C27346" s="8" t="s">
        <v>10429</v>
      </c>
      <c r="D27346" s="8">
        <v>4</v>
      </c>
      <c r="E27346" s="8">
        <v>0</v>
      </c>
      <c r="F27346" s="8">
        <v>240</v>
      </c>
    </row>
    <row r="27347" spans="1:6" ht="12.75">
      <c r="A27347" s="8">
        <v>43892.206909722227</v>
      </c>
      <c r="B27347" s="8" t="str">
        <f>HYPERLINK("https://twitter.com/bucin_micinn","@bucin_micinn")</f>
        <v>@bucin_micinn</v>
      </c>
      <c r="C27347" s="8" t="s">
        <v>2199</v>
      </c>
      <c r="D27347" s="8">
        <v>1503</v>
      </c>
      <c r="E27347" s="8">
        <v>0</v>
      </c>
      <c r="F27347" s="8">
        <v>1854</v>
      </c>
    </row>
    <row r="27348" spans="1:6" ht="12.75">
      <c r="A27348" s="8">
        <v>43892.206793981481</v>
      </c>
      <c r="B27348" s="8" t="str">
        <f>HYPERLINK("https://twitter.com/HZanzami","@HZanzami")</f>
        <v>@HZanzami</v>
      </c>
      <c r="C27348" s="8" t="s">
        <v>3850</v>
      </c>
      <c r="D27348" s="8">
        <v>1014</v>
      </c>
      <c r="E27348" s="8">
        <v>0</v>
      </c>
      <c r="F27348" s="8">
        <v>332</v>
      </c>
    </row>
    <row r="27349" spans="1:6" ht="12.75">
      <c r="A27349" s="8">
        <v>43892.206516203703</v>
      </c>
      <c r="B27349" s="8" t="str">
        <f>HYPERLINK("https://twitter.com/gaaambul","@gaaambul")</f>
        <v>@gaaambul</v>
      </c>
      <c r="C27349" s="8" t="s">
        <v>2199</v>
      </c>
      <c r="D27349" s="8">
        <v>1503</v>
      </c>
      <c r="E27349" s="8">
        <v>0</v>
      </c>
      <c r="F27349" s="8">
        <v>1288</v>
      </c>
    </row>
    <row r="27350" spans="1:6" ht="12.75">
      <c r="A27350" s="8">
        <v>43892.206284722226</v>
      </c>
      <c r="B27350" s="8" t="str">
        <f>HYPERLINK("https://twitter.com/TiaSari_93","@TiaSari_93")</f>
        <v>@TiaSari_93</v>
      </c>
      <c r="C27350" s="8" t="s">
        <v>8917</v>
      </c>
      <c r="D27350" s="8">
        <v>72</v>
      </c>
      <c r="E27350" s="8">
        <v>0</v>
      </c>
      <c r="F27350" s="8">
        <v>363</v>
      </c>
    </row>
    <row r="27351" spans="1:6" ht="12.75">
      <c r="A27351" s="8">
        <v>43892.206145833334</v>
      </c>
      <c r="B27351" s="8" t="str">
        <f>HYPERLINK("https://twitter.com/Bobby4574676035","@Bobby4574676035")</f>
        <v>@Bobby4574676035</v>
      </c>
      <c r="C27351" s="8" t="s">
        <v>3850</v>
      </c>
      <c r="D27351" s="8">
        <v>1014</v>
      </c>
      <c r="E27351" s="8">
        <v>0</v>
      </c>
      <c r="F27351" s="8">
        <v>169</v>
      </c>
    </row>
    <row r="27352" spans="1:6" ht="12.75">
      <c r="A27352" s="8">
        <v>43892.206099537041</v>
      </c>
      <c r="B27352" s="8" t="str">
        <f>HYPERLINK("https://twitter.com/___CIMOL_Q7R","@___CIMOL_Q7R")</f>
        <v>@___CIMOL_Q7R</v>
      </c>
      <c r="C27352" s="8" t="s">
        <v>10430</v>
      </c>
      <c r="D27352" s="8">
        <v>0</v>
      </c>
      <c r="E27352" s="8">
        <v>0</v>
      </c>
      <c r="F27352" s="8">
        <v>8522</v>
      </c>
    </row>
    <row r="27353" spans="1:6" ht="12.75">
      <c r="A27353" s="8">
        <v>43892.205972222218</v>
      </c>
      <c r="B27353" s="8" t="str">
        <f>HYPERLINK("https://twitter.com/_therma_","@_therma_")</f>
        <v>@_therma_</v>
      </c>
      <c r="C27353" s="8" t="s">
        <v>10261</v>
      </c>
      <c r="D27353" s="8">
        <v>8</v>
      </c>
      <c r="E27353" s="8">
        <v>0</v>
      </c>
      <c r="F27353" s="8">
        <v>4535</v>
      </c>
    </row>
    <row r="27354" spans="1:6" ht="12.75">
      <c r="A27354" s="8">
        <v>43892.205960648149</v>
      </c>
      <c r="B27354" s="8" t="str">
        <f>HYPERLINK("https://twitter.com/GraceRonal","@GraceRonal")</f>
        <v>@GraceRonal</v>
      </c>
      <c r="C27354" s="8" t="s">
        <v>10431</v>
      </c>
      <c r="D27354" s="8">
        <v>4</v>
      </c>
      <c r="E27354" s="8">
        <v>0</v>
      </c>
      <c r="F27354" s="8">
        <v>93</v>
      </c>
    </row>
    <row r="27355" spans="1:6" ht="12.75">
      <c r="A27355" s="8">
        <v>43892.205949074079</v>
      </c>
      <c r="B27355" s="8" t="str">
        <f>HYPERLINK("https://twitter.com/fredieka","@fredieka")</f>
        <v>@fredieka</v>
      </c>
      <c r="C27355" s="8" t="s">
        <v>2199</v>
      </c>
      <c r="D27355" s="8">
        <v>1503</v>
      </c>
      <c r="E27355" s="8">
        <v>0</v>
      </c>
      <c r="F27355" s="8">
        <v>629</v>
      </c>
    </row>
    <row r="27356" spans="1:6" ht="12.75">
      <c r="A27356" s="8">
        <v>43892.205925925926</v>
      </c>
      <c r="B27356" s="8" t="str">
        <f>HYPERLINK("https://twitter.com/Bobby4574676035","@Bobby4574676035")</f>
        <v>@Bobby4574676035</v>
      </c>
      <c r="C27356" s="8" t="s">
        <v>10295</v>
      </c>
      <c r="D27356" s="8">
        <v>73</v>
      </c>
      <c r="E27356" s="8">
        <v>0</v>
      </c>
      <c r="F27356" s="8">
        <v>169</v>
      </c>
    </row>
    <row r="27357" spans="1:6" ht="12.75">
      <c r="A27357" s="8">
        <v>43892.205821759257</v>
      </c>
      <c r="B27357" s="8" t="str">
        <f>HYPERLINK("https://twitter.com/_therma_","@_therma_")</f>
        <v>@_therma_</v>
      </c>
      <c r="C27357" s="8" t="s">
        <v>10427</v>
      </c>
      <c r="D27357" s="8">
        <v>5</v>
      </c>
      <c r="E27357" s="8">
        <v>0</v>
      </c>
      <c r="F27357" s="8">
        <v>4535</v>
      </c>
    </row>
    <row r="27358" spans="1:6" ht="12.75">
      <c r="A27358" s="8">
        <v>43892.205671296295</v>
      </c>
      <c r="B27358" s="8" t="str">
        <f>HYPERLINK("https://twitter.com/Ancodoank","@Ancodoank")</f>
        <v>@Ancodoank</v>
      </c>
      <c r="C27358" s="8" t="s">
        <v>2199</v>
      </c>
      <c r="D27358" s="8">
        <v>1503</v>
      </c>
      <c r="E27358" s="8">
        <v>0</v>
      </c>
      <c r="F27358" s="8">
        <v>424</v>
      </c>
    </row>
    <row r="27359" spans="1:6" ht="12.75">
      <c r="A27359" s="8">
        <v>43892.205671296295</v>
      </c>
      <c r="B27359" s="8" t="str">
        <f>HYPERLINK("https://twitter.com/AnaGonzag4","@AnaGonzag4")</f>
        <v>@AnaGonzag4</v>
      </c>
      <c r="C27359" s="8" t="s">
        <v>10432</v>
      </c>
      <c r="D27359" s="8">
        <v>0</v>
      </c>
      <c r="E27359" s="8">
        <v>0</v>
      </c>
      <c r="F27359" s="8">
        <v>220</v>
      </c>
    </row>
    <row r="27360" spans="1:6" ht="12.75">
      <c r="A27360" s="8">
        <v>43892.205520833333</v>
      </c>
      <c r="B27360" s="8" t="str">
        <f>HYPERLINK("https://twitter.com/MeliSusiana","@MeliSusiana")</f>
        <v>@MeliSusiana</v>
      </c>
      <c r="C27360" s="8" t="s">
        <v>5732</v>
      </c>
      <c r="D27360" s="8">
        <v>417</v>
      </c>
      <c r="E27360" s="8">
        <v>0</v>
      </c>
      <c r="F27360" s="8">
        <v>490</v>
      </c>
    </row>
    <row r="27361" spans="1:6" ht="12.75">
      <c r="A27361" s="8">
        <v>43892.205520833333</v>
      </c>
      <c r="B27361" s="8" t="str">
        <f t="shared" ref="B27361:B27362" si="362">HYPERLINK("https://twitter.com/marSyaheedAS","@marSyaheedAS")</f>
        <v>@marSyaheedAS</v>
      </c>
      <c r="C27361" s="8" t="s">
        <v>4990</v>
      </c>
      <c r="D27361" s="8">
        <v>210</v>
      </c>
      <c r="E27361" s="8">
        <v>0</v>
      </c>
      <c r="F27361" s="8">
        <v>1940</v>
      </c>
    </row>
    <row r="27362" spans="1:6" ht="12.75">
      <c r="A27362" s="8">
        <v>43892.205381944441</v>
      </c>
      <c r="B27362" s="8" t="str">
        <f t="shared" si="362"/>
        <v>@marSyaheedAS</v>
      </c>
      <c r="C27362" s="8" t="s">
        <v>3850</v>
      </c>
      <c r="D27362" s="8">
        <v>1014</v>
      </c>
      <c r="E27362" s="8">
        <v>0</v>
      </c>
      <c r="F27362" s="8">
        <v>1940</v>
      </c>
    </row>
    <row r="27363" spans="1:6" ht="12.75">
      <c r="A27363" s="8">
        <v>43892.205300925925</v>
      </c>
      <c r="B27363" s="8" t="str">
        <f>HYPERLINK("https://twitter.com/nononoviia","@nononoviia")</f>
        <v>@nononoviia</v>
      </c>
      <c r="C27363" s="8" t="s">
        <v>2199</v>
      </c>
      <c r="D27363" s="8">
        <v>1503</v>
      </c>
      <c r="E27363" s="8">
        <v>0</v>
      </c>
      <c r="F27363" s="8">
        <v>684</v>
      </c>
    </row>
    <row r="27364" spans="1:6" ht="12.75">
      <c r="A27364" s="8">
        <v>43892.205138888894</v>
      </c>
      <c r="B27364" s="8" t="str">
        <f>HYPERLINK("https://twitter.com/UjangSpn","@UjangSpn")</f>
        <v>@UjangSpn</v>
      </c>
      <c r="C27364" s="8" t="s">
        <v>5732</v>
      </c>
      <c r="D27364" s="8">
        <v>417</v>
      </c>
      <c r="E27364" s="8">
        <v>0</v>
      </c>
      <c r="F27364" s="8">
        <v>524</v>
      </c>
    </row>
    <row r="27365" spans="1:6" ht="12.75">
      <c r="A27365" s="8">
        <v>43892.20512731481</v>
      </c>
      <c r="B27365" s="8" t="str">
        <f>HYPERLINK("https://twitter.com/adabaesa","@adabaesa")</f>
        <v>@adabaesa</v>
      </c>
      <c r="C27365" s="8" t="s">
        <v>2199</v>
      </c>
      <c r="D27365" s="8">
        <v>1503</v>
      </c>
      <c r="E27365" s="8">
        <v>0</v>
      </c>
      <c r="F27365" s="8">
        <v>334</v>
      </c>
    </row>
    <row r="27366" spans="1:6" ht="12.75">
      <c r="A27366" s="8">
        <v>43892.204768518517</v>
      </c>
      <c r="B27366" s="8" t="str">
        <f>HYPERLINK("https://twitter.com/marclarq","@marclarq")</f>
        <v>@marclarq</v>
      </c>
      <c r="C27366" s="8" t="s">
        <v>2199</v>
      </c>
      <c r="D27366" s="8">
        <v>1503</v>
      </c>
      <c r="E27366" s="8">
        <v>0</v>
      </c>
      <c r="F27366" s="8">
        <v>79</v>
      </c>
    </row>
    <row r="27367" spans="1:6" ht="12.75">
      <c r="A27367" s="8">
        <v>43892.204629629632</v>
      </c>
      <c r="B27367" s="8" t="str">
        <f>HYPERLINK("https://twitter.com/eli_omy","@eli_omy")</f>
        <v>@eli_omy</v>
      </c>
      <c r="C27367" s="8" t="s">
        <v>10288</v>
      </c>
      <c r="D27367" s="8">
        <v>62</v>
      </c>
      <c r="E27367" s="8">
        <v>0</v>
      </c>
      <c r="F27367" s="8">
        <v>1074</v>
      </c>
    </row>
    <row r="27368" spans="1:6" ht="12.75">
      <c r="A27368" s="8">
        <v>43892.204560185186</v>
      </c>
      <c r="B27368" s="8" t="str">
        <f>HYPERLINK("https://twitter.com/theSOWONG","@theSOWONG")</f>
        <v>@theSOWONG</v>
      </c>
      <c r="C27368" s="8" t="s">
        <v>9238</v>
      </c>
      <c r="D27368" s="8">
        <v>101</v>
      </c>
      <c r="E27368" s="8">
        <v>0</v>
      </c>
      <c r="F27368" s="8">
        <v>526</v>
      </c>
    </row>
    <row r="27369" spans="1:6" ht="12.75">
      <c r="A27369" s="8">
        <v>43892.204467592594</v>
      </c>
      <c r="B27369" s="8" t="str">
        <f>HYPERLINK("https://twitter.com/nidazhfr","@nidazhfr")</f>
        <v>@nidazhfr</v>
      </c>
      <c r="C27369" s="8" t="s">
        <v>2199</v>
      </c>
      <c r="D27369" s="8">
        <v>1503</v>
      </c>
      <c r="E27369" s="8">
        <v>0</v>
      </c>
      <c r="F27369" s="8">
        <v>551</v>
      </c>
    </row>
    <row r="27370" spans="1:6" ht="12.75">
      <c r="A27370" s="8">
        <v>43892.204282407409</v>
      </c>
      <c r="B27370" s="8" t="str">
        <f>HYPERLINK("https://twitter.com/eli_omy","@eli_omy")</f>
        <v>@eli_omy</v>
      </c>
      <c r="C27370" s="8" t="s">
        <v>8962</v>
      </c>
      <c r="D27370" s="8">
        <v>152</v>
      </c>
      <c r="E27370" s="8">
        <v>0</v>
      </c>
      <c r="F27370" s="8">
        <v>1074</v>
      </c>
    </row>
    <row r="27371" spans="1:6" ht="12.75">
      <c r="A27371" s="8">
        <v>43892.204270833332</v>
      </c>
      <c r="B27371" s="8" t="str">
        <f>HYPERLINK("https://twitter.com/AhmadBi76989398","@AhmadBi76989398")</f>
        <v>@AhmadBi76989398</v>
      </c>
      <c r="C27371" s="8" t="s">
        <v>3850</v>
      </c>
      <c r="D27371" s="8">
        <v>1014</v>
      </c>
      <c r="E27371" s="8">
        <v>0</v>
      </c>
      <c r="F27371" s="8">
        <v>541</v>
      </c>
    </row>
    <row r="27372" spans="1:6" ht="12.75">
      <c r="A27372" s="8">
        <v>43892.204259259262</v>
      </c>
      <c r="B27372" s="8" t="str">
        <f>HYPERLINK("https://twitter.com/Realitarakyat01","@Realitarakyat01")</f>
        <v>@Realitarakyat01</v>
      </c>
      <c r="C27372" s="8" t="s">
        <v>10433</v>
      </c>
      <c r="D27372" s="8">
        <v>0</v>
      </c>
      <c r="E27372" s="8">
        <v>0</v>
      </c>
      <c r="F27372" s="8">
        <v>126</v>
      </c>
    </row>
    <row r="27373" spans="1:6" ht="12.75">
      <c r="A27373" s="8">
        <v>43892.204259259262</v>
      </c>
      <c r="B27373" s="8" t="str">
        <f>HYPERLINK("https://twitter.com/dimasyuditia","@dimasyuditia")</f>
        <v>@dimasyuditia</v>
      </c>
      <c r="C27373" s="8" t="s">
        <v>2199</v>
      </c>
      <c r="D27373" s="8">
        <v>1503</v>
      </c>
      <c r="E27373" s="8">
        <v>0</v>
      </c>
      <c r="F27373" s="8">
        <v>320</v>
      </c>
    </row>
    <row r="27374" spans="1:6" ht="12.75">
      <c r="A27374" s="8">
        <v>43892.20417824074</v>
      </c>
      <c r="B27374" s="8" t="str">
        <f>HYPERLINK("https://twitter.com/AyubeeB","@AyubeeB")</f>
        <v>@AyubeeB</v>
      </c>
      <c r="C27374" s="8" t="s">
        <v>4990</v>
      </c>
      <c r="D27374" s="8">
        <v>210</v>
      </c>
      <c r="E27374" s="8">
        <v>0</v>
      </c>
      <c r="F27374" s="8">
        <v>1257</v>
      </c>
    </row>
    <row r="27375" spans="1:6" ht="12.75">
      <c r="A27375" s="8">
        <v>43892.204027777778</v>
      </c>
      <c r="B27375" s="8" t="str">
        <f>HYPERLINK("https://twitter.com/66fathur","@66fathur")</f>
        <v>@66fathur</v>
      </c>
      <c r="C27375" s="8" t="s">
        <v>5732</v>
      </c>
      <c r="D27375" s="8">
        <v>417</v>
      </c>
      <c r="E27375" s="8">
        <v>0</v>
      </c>
      <c r="F27375" s="8">
        <v>337</v>
      </c>
    </row>
    <row r="27376" spans="1:6" ht="12.75">
      <c r="A27376" s="8">
        <v>43892.203946759255</v>
      </c>
      <c r="B27376" s="8" t="str">
        <f>HYPERLINK("https://twitter.com/gannang","@gannang")</f>
        <v>@gannang</v>
      </c>
      <c r="C27376" s="8" t="s">
        <v>2199</v>
      </c>
      <c r="D27376" s="8">
        <v>1503</v>
      </c>
      <c r="E27376" s="8">
        <v>0</v>
      </c>
      <c r="F27376" s="8">
        <v>538</v>
      </c>
    </row>
    <row r="27377" spans="1:6" ht="12.75">
      <c r="A27377" s="8">
        <v>43892.203182870369</v>
      </c>
      <c r="B27377" s="8" t="str">
        <f>HYPERLINK("https://twitter.com/JhondoexlxG","@JhondoexlxG")</f>
        <v>@JhondoexlxG</v>
      </c>
      <c r="C27377" s="8" t="s">
        <v>10420</v>
      </c>
      <c r="D27377" s="8">
        <v>12</v>
      </c>
      <c r="E27377" s="8">
        <v>0</v>
      </c>
      <c r="F27377" s="8">
        <v>509</v>
      </c>
    </row>
    <row r="27378" spans="1:6" ht="12.75">
      <c r="A27378" s="8">
        <v>43892.203171296293</v>
      </c>
      <c r="B27378" s="8" t="str">
        <f>HYPERLINK("https://twitter.com/susidiansafitri","@susidiansafitri")</f>
        <v>@susidiansafitri</v>
      </c>
      <c r="C27378" s="8" t="s">
        <v>10434</v>
      </c>
      <c r="D27378" s="8">
        <v>5</v>
      </c>
      <c r="E27378" s="8">
        <v>0</v>
      </c>
      <c r="F27378" s="8">
        <v>2054</v>
      </c>
    </row>
    <row r="27379" spans="1:6" ht="12.75">
      <c r="A27379" s="8">
        <v>43892.203125</v>
      </c>
      <c r="B27379" s="8" t="str">
        <f>HYPERLINK("https://twitter.com/purba_johanes","@purba_johanes")</f>
        <v>@purba_johanes</v>
      </c>
      <c r="C27379" s="8" t="s">
        <v>2199</v>
      </c>
      <c r="D27379" s="8">
        <v>1503</v>
      </c>
      <c r="E27379" s="8">
        <v>0</v>
      </c>
      <c r="F27379" s="8">
        <v>119</v>
      </c>
    </row>
    <row r="27380" spans="1:6" ht="12.75">
      <c r="A27380" s="8">
        <v>43892.172789351855</v>
      </c>
      <c r="B27380" s="8" t="str">
        <f>HYPERLINK("https://twitter.com/BebasMerdeka_04","@BebasMerdeka_04")</f>
        <v>@BebasMerdeka_04</v>
      </c>
      <c r="C27380" s="8" t="s">
        <v>5732</v>
      </c>
      <c r="D27380" s="8">
        <v>362</v>
      </c>
      <c r="E27380" s="8">
        <v>0</v>
      </c>
      <c r="F27380" s="8">
        <v>129</v>
      </c>
    </row>
    <row r="27381" spans="1:6" ht="12.75">
      <c r="A27381" s="8">
        <v>43892.172777777778</v>
      </c>
      <c r="B27381" s="8" t="str">
        <f>HYPERLINK("https://twitter.com/AmmaApri","@AmmaApri")</f>
        <v>@AmmaApri</v>
      </c>
      <c r="C27381" s="8" t="s">
        <v>8470</v>
      </c>
      <c r="D27381" s="8">
        <v>0</v>
      </c>
      <c r="E27381" s="8">
        <v>0</v>
      </c>
      <c r="F27381" s="8">
        <v>310</v>
      </c>
    </row>
    <row r="27382" spans="1:6" ht="12.75">
      <c r="A27382" s="8">
        <v>43892.172743055555</v>
      </c>
      <c r="B27382" s="8" t="str">
        <f>HYPERLINK("https://twitter.com/michaelmikeXo","@michaelmikeXo")</f>
        <v>@michaelmikeXo</v>
      </c>
      <c r="C27382" s="8" t="s">
        <v>2199</v>
      </c>
      <c r="D27382" s="8">
        <v>1426</v>
      </c>
      <c r="E27382" s="8">
        <v>0</v>
      </c>
      <c r="F27382" s="8">
        <v>843</v>
      </c>
    </row>
    <row r="27383" spans="1:6" ht="12.75">
      <c r="A27383" s="8">
        <v>43892.172673611116</v>
      </c>
      <c r="B27383" s="8" t="str">
        <f>HYPERLINK("https://twitter.com/Abdussa78534939","@Abdussa78534939")</f>
        <v>@Abdussa78534939</v>
      </c>
      <c r="C27383" s="8" t="s">
        <v>10435</v>
      </c>
      <c r="D27383" s="8">
        <v>30</v>
      </c>
      <c r="E27383" s="8">
        <v>0</v>
      </c>
      <c r="F27383" s="8">
        <v>134</v>
      </c>
    </row>
    <row r="27384" spans="1:6" ht="12.75">
      <c r="A27384" s="8">
        <v>43892.172592592593</v>
      </c>
      <c r="B27384" s="8" t="str">
        <f>HYPERLINK("https://twitter.com/davidariyanto","@davidariyanto")</f>
        <v>@davidariyanto</v>
      </c>
      <c r="C27384" s="8" t="s">
        <v>5732</v>
      </c>
      <c r="D27384" s="8">
        <v>362</v>
      </c>
      <c r="E27384" s="8">
        <v>0</v>
      </c>
      <c r="F27384" s="8">
        <v>447</v>
      </c>
    </row>
    <row r="27385" spans="1:6" ht="12.75">
      <c r="A27385" s="8">
        <v>43892.172592592593</v>
      </c>
      <c r="B27385" s="8" t="str">
        <f>HYPERLINK("https://twitter.com/wjpjp","@wjpjp")</f>
        <v>@wjpjp</v>
      </c>
      <c r="C27385" s="8" t="s">
        <v>4150</v>
      </c>
      <c r="D27385" s="8">
        <v>86</v>
      </c>
      <c r="E27385" s="8">
        <v>0</v>
      </c>
      <c r="F27385" s="8">
        <v>392</v>
      </c>
    </row>
    <row r="27386" spans="1:6" ht="12.75">
      <c r="A27386" s="8">
        <v>43892.172407407408</v>
      </c>
      <c r="B27386" s="8" t="str">
        <f>HYPERLINK("https://twitter.com/msmoody99","@msmoody99")</f>
        <v>@msmoody99</v>
      </c>
      <c r="C27386" s="8" t="s">
        <v>10436</v>
      </c>
      <c r="D27386" s="8">
        <v>0</v>
      </c>
      <c r="E27386" s="8">
        <v>0</v>
      </c>
      <c r="F27386" s="8">
        <v>658</v>
      </c>
    </row>
    <row r="27387" spans="1:6" ht="12.75">
      <c r="A27387" s="8">
        <v>43892.172303240739</v>
      </c>
      <c r="B27387" s="8" t="str">
        <f>HYPERLINK("https://twitter.com/Abdussa78534939","@Abdussa78534939")</f>
        <v>@Abdussa78534939</v>
      </c>
      <c r="C27387" s="8" t="s">
        <v>9238</v>
      </c>
      <c r="D27387" s="8">
        <v>93</v>
      </c>
      <c r="E27387" s="8">
        <v>0</v>
      </c>
      <c r="F27387" s="8">
        <v>134</v>
      </c>
    </row>
    <row r="27388" spans="1:6" ht="12.75">
      <c r="A27388" s="8">
        <v>43892.171770833331</v>
      </c>
      <c r="B27388" s="8" t="str">
        <f>HYPERLINK("https://twitter.com/rzzkyc","@rzzkyc")</f>
        <v>@rzzkyc</v>
      </c>
      <c r="C27388" s="8" t="s">
        <v>2199</v>
      </c>
      <c r="D27388" s="8">
        <v>1426</v>
      </c>
      <c r="E27388" s="8">
        <v>0</v>
      </c>
      <c r="F27388" s="8">
        <v>46</v>
      </c>
    </row>
    <row r="27389" spans="1:6" ht="12.75">
      <c r="A27389" s="8">
        <v>43892.171666666662</v>
      </c>
      <c r="B27389" s="8" t="str">
        <f>HYPERLINK("https://twitter.com/gebx","@gebx")</f>
        <v>@gebx</v>
      </c>
      <c r="C27389" s="8" t="s">
        <v>2199</v>
      </c>
      <c r="D27389" s="8">
        <v>1426</v>
      </c>
      <c r="E27389" s="8">
        <v>0</v>
      </c>
      <c r="F27389" s="8">
        <v>942</v>
      </c>
    </row>
    <row r="27390" spans="1:6" ht="12.75">
      <c r="A27390" s="8">
        <v>43892.171469907407</v>
      </c>
      <c r="B27390" s="8" t="str">
        <f>HYPERLINK("https://twitter.com/estywukak","@estywukak")</f>
        <v>@estywukak</v>
      </c>
      <c r="C27390" s="8" t="s">
        <v>9238</v>
      </c>
      <c r="D27390" s="8">
        <v>93</v>
      </c>
      <c r="E27390" s="8">
        <v>0</v>
      </c>
      <c r="F27390" s="8">
        <v>1303</v>
      </c>
    </row>
    <row r="27391" spans="1:6" ht="12.75">
      <c r="A27391" s="8">
        <v>43892.171469907407</v>
      </c>
      <c r="B27391" s="8" t="str">
        <f>HYPERLINK("https://twitter.com/gunoto7","@gunoto7")</f>
        <v>@gunoto7</v>
      </c>
      <c r="C27391" s="8" t="s">
        <v>4150</v>
      </c>
      <c r="D27391" s="8">
        <v>86</v>
      </c>
      <c r="E27391" s="8">
        <v>0</v>
      </c>
      <c r="F27391" s="8">
        <v>2787</v>
      </c>
    </row>
    <row r="27392" spans="1:6" ht="12.75">
      <c r="A27392" s="8">
        <v>43892.171342592592</v>
      </c>
      <c r="B27392" s="8" t="str">
        <f>HYPERLINK("https://twitter.com/zhibung","@zhibung")</f>
        <v>@zhibung</v>
      </c>
      <c r="C27392" s="8" t="s">
        <v>10437</v>
      </c>
      <c r="D27392" s="8">
        <v>0</v>
      </c>
      <c r="E27392" s="8">
        <v>0</v>
      </c>
      <c r="F27392" s="8">
        <v>1211</v>
      </c>
    </row>
    <row r="27393" spans="1:6" ht="12.75">
      <c r="A27393" s="8">
        <v>43892.170949074076</v>
      </c>
      <c r="B27393" s="8" t="str">
        <f>HYPERLINK("https://twitter.com/Jiwanggapraja","@Jiwanggapraja")</f>
        <v>@Jiwanggapraja</v>
      </c>
      <c r="C27393" s="8" t="s">
        <v>3850</v>
      </c>
      <c r="D27393" s="8">
        <v>986</v>
      </c>
      <c r="E27393" s="8">
        <v>0</v>
      </c>
      <c r="F27393" s="8">
        <v>539</v>
      </c>
    </row>
    <row r="27394" spans="1:6" ht="12.75">
      <c r="A27394" s="8">
        <v>43892.170856481476</v>
      </c>
      <c r="B27394" s="8" t="str">
        <f>HYPERLINK("https://twitter.com/mynewsindo","@mynewsindo")</f>
        <v>@mynewsindo</v>
      </c>
      <c r="C27394" s="8" t="s">
        <v>10438</v>
      </c>
      <c r="D27394" s="8">
        <v>0</v>
      </c>
      <c r="E27394" s="8">
        <v>0</v>
      </c>
      <c r="F27394" s="8">
        <v>154</v>
      </c>
    </row>
    <row r="27395" spans="1:6" ht="12.75">
      <c r="A27395" s="8">
        <v>43892.170682870375</v>
      </c>
      <c r="B27395" s="8" t="str">
        <f>HYPERLINK("https://twitter.com/Socotra10603047","@Socotra10603047")</f>
        <v>@Socotra10603047</v>
      </c>
      <c r="C27395" s="8" t="s">
        <v>10434</v>
      </c>
      <c r="D27395" s="8">
        <v>4</v>
      </c>
      <c r="E27395" s="8">
        <v>0</v>
      </c>
      <c r="F27395" s="8">
        <v>5263</v>
      </c>
    </row>
    <row r="27396" spans="1:6" ht="12.75">
      <c r="A27396" s="8">
        <v>43892.17024305556</v>
      </c>
      <c r="B27396" s="8" t="str">
        <f>HYPERLINK("https://twitter.com/nengit80","@nengit80")</f>
        <v>@nengit80</v>
      </c>
      <c r="C27396" s="8" t="s">
        <v>10349</v>
      </c>
      <c r="D27396" s="8">
        <v>5</v>
      </c>
      <c r="E27396" s="8">
        <v>0</v>
      </c>
      <c r="F27396" s="8">
        <v>578</v>
      </c>
    </row>
    <row r="27397" spans="1:6" ht="12.75">
      <c r="A27397" s="8">
        <v>43892.169317129628</v>
      </c>
      <c r="B27397" s="8" t="str">
        <f>HYPERLINK("https://twitter.com/homoerectus___","@homoerectus___")</f>
        <v>@homoerectus___</v>
      </c>
      <c r="C27397" s="8" t="s">
        <v>10439</v>
      </c>
      <c r="D27397" s="8">
        <v>5</v>
      </c>
      <c r="E27397" s="8">
        <v>0</v>
      </c>
      <c r="F27397" s="8">
        <v>1004</v>
      </c>
    </row>
    <row r="27398" spans="1:6" ht="12.75">
      <c r="A27398" s="8">
        <v>43892.168807870374</v>
      </c>
      <c r="B27398" s="8" t="str">
        <f>HYPERLINK("https://twitter.com/arizaraditya","@arizaraditya")</f>
        <v>@arizaraditya</v>
      </c>
      <c r="C27398" s="8" t="s">
        <v>2199</v>
      </c>
      <c r="D27398" s="8">
        <v>1426</v>
      </c>
      <c r="E27398" s="8">
        <v>0</v>
      </c>
      <c r="F27398" s="8">
        <v>588</v>
      </c>
    </row>
    <row r="27399" spans="1:6" ht="12.75">
      <c r="A27399" s="8">
        <v>43892.168495370366</v>
      </c>
      <c r="B27399" s="8" t="str">
        <f>HYPERLINK("https://twitter.com/NyiGiri","@NyiGiri")</f>
        <v>@NyiGiri</v>
      </c>
      <c r="C27399" s="8" t="s">
        <v>10292</v>
      </c>
      <c r="D27399" s="8">
        <v>19</v>
      </c>
      <c r="E27399" s="8">
        <v>0</v>
      </c>
      <c r="F27399" s="8">
        <v>4495</v>
      </c>
    </row>
    <row r="27400" spans="1:6" ht="12.75">
      <c r="A27400" s="8">
        <v>43892.168240740742</v>
      </c>
      <c r="B27400" s="8" t="str">
        <f>HYPERLINK("https://twitter.com/BillTemporo","@BillTemporo")</f>
        <v>@BillTemporo</v>
      </c>
      <c r="C27400" s="8" t="s">
        <v>323</v>
      </c>
      <c r="D27400" s="8">
        <v>0</v>
      </c>
      <c r="E27400" s="8">
        <v>0</v>
      </c>
      <c r="F27400" s="8">
        <v>11</v>
      </c>
    </row>
    <row r="27401" spans="1:6" ht="12.75">
      <c r="A27401" s="8">
        <v>43892.168229166666</v>
      </c>
      <c r="B27401" s="8" t="str">
        <f>HYPERLINK("https://twitter.com/andrewalang69","@andrewalang69")</f>
        <v>@andrewalang69</v>
      </c>
      <c r="C27401" s="8" t="s">
        <v>5732</v>
      </c>
      <c r="D27401" s="8">
        <v>362</v>
      </c>
      <c r="E27401" s="8">
        <v>0</v>
      </c>
      <c r="F27401" s="8">
        <v>454</v>
      </c>
    </row>
    <row r="27402" spans="1:6" ht="12.75">
      <c r="A27402" s="8">
        <v>43892.168206018519</v>
      </c>
      <c r="B27402" s="8" t="str">
        <f>HYPERLINK("https://twitter.com/no_punggung8","@no_punggung8")</f>
        <v>@no_punggung8</v>
      </c>
      <c r="C27402" s="8" t="s">
        <v>10440</v>
      </c>
      <c r="D27402" s="8">
        <v>0</v>
      </c>
      <c r="E27402" s="8">
        <v>0</v>
      </c>
      <c r="F27402" s="8">
        <v>188</v>
      </c>
    </row>
    <row r="27403" spans="1:6" ht="12.75">
      <c r="A27403" s="8">
        <v>43892.168206018519</v>
      </c>
      <c r="B27403" s="8" t="str">
        <f>HYPERLINK("https://twitter.com/wennvar1","@wennvar1")</f>
        <v>@wennvar1</v>
      </c>
      <c r="C27403" s="8" t="s">
        <v>8962</v>
      </c>
      <c r="D27403" s="8">
        <v>149</v>
      </c>
      <c r="E27403" s="8">
        <v>0</v>
      </c>
      <c r="F27403" s="8">
        <v>2349</v>
      </c>
    </row>
    <row r="27404" spans="1:6" ht="12.75">
      <c r="A27404" s="8">
        <v>43892.167951388888</v>
      </c>
      <c r="B27404" s="8" t="str">
        <f>HYPERLINK("https://twitter.com/mentosbiru69","@mentosbiru69")</f>
        <v>@mentosbiru69</v>
      </c>
      <c r="C27404" s="8" t="s">
        <v>2199</v>
      </c>
      <c r="D27404" s="8">
        <v>1426</v>
      </c>
      <c r="E27404" s="8">
        <v>0</v>
      </c>
      <c r="F27404" s="8">
        <v>74</v>
      </c>
    </row>
    <row r="27405" spans="1:6" ht="12.75">
      <c r="A27405" s="8">
        <v>43892.166990740741</v>
      </c>
      <c r="B27405" s="8" t="str">
        <f>HYPERLINK("https://twitter.com/Chapyopyo","@Chapyopyo")</f>
        <v>@Chapyopyo</v>
      </c>
      <c r="C27405" s="8" t="s">
        <v>2199</v>
      </c>
      <c r="D27405" s="8">
        <v>1426</v>
      </c>
      <c r="E27405" s="8">
        <v>0</v>
      </c>
      <c r="F27405" s="8">
        <v>233</v>
      </c>
    </row>
    <row r="27406" spans="1:6" ht="12.75">
      <c r="A27406" s="8">
        <v>43892.16679398148</v>
      </c>
      <c r="B27406" s="8" t="str">
        <f>HYPERLINK("https://twitter.com/pantaonenet","@pantaonenet")</f>
        <v>@pantaonenet</v>
      </c>
      <c r="C27406" s="8" t="s">
        <v>2199</v>
      </c>
      <c r="D27406" s="8">
        <v>1426</v>
      </c>
      <c r="E27406" s="8">
        <v>0</v>
      </c>
      <c r="F27406" s="8">
        <v>552</v>
      </c>
    </row>
    <row r="27407" spans="1:6" ht="12.75">
      <c r="A27407" s="8">
        <v>43892.166701388887</v>
      </c>
      <c r="B27407" s="8" t="str">
        <f>HYPERLINK("https://twitter.com/HRMalik12","@HRMalik12")</f>
        <v>@HRMalik12</v>
      </c>
      <c r="C27407" s="8" t="s">
        <v>9238</v>
      </c>
      <c r="D27407" s="8">
        <v>93</v>
      </c>
      <c r="E27407" s="8">
        <v>0</v>
      </c>
      <c r="F27407" s="8">
        <v>249</v>
      </c>
    </row>
    <row r="27408" spans="1:6" ht="12.75">
      <c r="A27408" s="8">
        <v>43892.166666666672</v>
      </c>
      <c r="B27408" s="8" t="str">
        <f>HYPERLINK("https://twitter.com/GTVID_News","@GTVID_News")</f>
        <v>@GTVID_News</v>
      </c>
      <c r="C27408" s="8" t="s">
        <v>10441</v>
      </c>
      <c r="D27408" s="8">
        <v>0</v>
      </c>
      <c r="E27408" s="8">
        <v>0</v>
      </c>
      <c r="F27408" s="8">
        <v>10805</v>
      </c>
    </row>
    <row r="27409" spans="1:6" ht="12.75">
      <c r="A27409" s="8">
        <v>43892.166608796295</v>
      </c>
      <c r="B27409" s="8" t="str">
        <f>HYPERLINK("https://twitter.com/Rojali76058096","@Rojali76058096")</f>
        <v>@Rojali76058096</v>
      </c>
      <c r="C27409" s="8" t="s">
        <v>3850</v>
      </c>
      <c r="D27409" s="8">
        <v>986</v>
      </c>
      <c r="E27409" s="8">
        <v>0</v>
      </c>
      <c r="F27409" s="8">
        <v>75</v>
      </c>
    </row>
    <row r="27410" spans="1:6" ht="12.75">
      <c r="A27410" s="8">
        <v>43892.166122685187</v>
      </c>
      <c r="B27410" s="8" t="str">
        <f>HYPERLINK("https://twitter.com/MAliSubhan2","@MAliSubhan2")</f>
        <v>@MAliSubhan2</v>
      </c>
      <c r="C27410" s="8" t="s">
        <v>10442</v>
      </c>
      <c r="D27410" s="8">
        <v>20</v>
      </c>
      <c r="E27410" s="8">
        <v>0</v>
      </c>
      <c r="F27410" s="8">
        <v>1232</v>
      </c>
    </row>
    <row r="27411" spans="1:6" ht="12.75">
      <c r="A27411" s="8">
        <v>43892.166087962964</v>
      </c>
      <c r="B27411" s="8" t="str">
        <f>HYPERLINK("https://twitter.com/nazieb","@nazieb")</f>
        <v>@nazieb</v>
      </c>
      <c r="C27411" s="8" t="s">
        <v>2199</v>
      </c>
      <c r="D27411" s="8">
        <v>1426</v>
      </c>
      <c r="E27411" s="8">
        <v>0</v>
      </c>
      <c r="F27411" s="8">
        <v>1174</v>
      </c>
    </row>
    <row r="27412" spans="1:6" ht="12.75">
      <c r="A27412" s="8">
        <v>43892.166030092594</v>
      </c>
      <c r="B27412" s="8" t="str">
        <f>HYPERLINK("https://twitter.com/NegriMerahPutih","@NegriMerahPutih")</f>
        <v>@NegriMerahPutih</v>
      </c>
      <c r="C27412" s="8" t="s">
        <v>10443</v>
      </c>
      <c r="D27412" s="8">
        <v>87</v>
      </c>
      <c r="E27412" s="8">
        <v>0</v>
      </c>
      <c r="F27412" s="8">
        <v>1412</v>
      </c>
    </row>
    <row r="27413" spans="1:6" ht="12.75">
      <c r="A27413" s="8">
        <v>43892.165601851855</v>
      </c>
      <c r="B27413" s="8" t="str">
        <f>HYPERLINK("https://twitter.com/velatte_","@velatte_")</f>
        <v>@velatte_</v>
      </c>
      <c r="C27413" s="8" t="s">
        <v>2995</v>
      </c>
      <c r="D27413" s="8">
        <v>17</v>
      </c>
      <c r="E27413" s="8">
        <v>0</v>
      </c>
      <c r="F27413" s="8">
        <v>150</v>
      </c>
    </row>
    <row r="27414" spans="1:6" ht="12.75">
      <c r="A27414" s="8">
        <v>43892.165300925924</v>
      </c>
      <c r="B27414" s="8" t="str">
        <f>HYPERLINK("https://twitter.com/HenrySantika","@HenrySantika")</f>
        <v>@HenrySantika</v>
      </c>
      <c r="C27414" s="8" t="s">
        <v>10444</v>
      </c>
      <c r="D27414" s="8">
        <v>0</v>
      </c>
      <c r="E27414" s="8">
        <v>0</v>
      </c>
      <c r="F27414" s="8">
        <v>94</v>
      </c>
    </row>
    <row r="27415" spans="1:6" ht="12.75">
      <c r="A27415" s="8">
        <v>43892.165196759262</v>
      </c>
      <c r="B27415" s="8" t="str">
        <f>HYPERLINK("https://twitter.com/abdulrosyid417","@abdulrosyid417")</f>
        <v>@abdulrosyid417</v>
      </c>
      <c r="C27415" s="8" t="s">
        <v>4990</v>
      </c>
      <c r="D27415" s="8">
        <v>192</v>
      </c>
      <c r="E27415" s="8">
        <v>0</v>
      </c>
      <c r="F27415" s="8">
        <v>74</v>
      </c>
    </row>
    <row r="27416" spans="1:6" ht="12.75">
      <c r="A27416" s="8">
        <v>43892.165162037039</v>
      </c>
      <c r="B27416" s="8" t="str">
        <f>HYPERLINK("https://twitter.com/maximus_syukur","@maximus_syukur")</f>
        <v>@maximus_syukur</v>
      </c>
      <c r="C27416" s="8" t="s">
        <v>2199</v>
      </c>
      <c r="D27416" s="8">
        <v>1426</v>
      </c>
      <c r="E27416" s="8">
        <v>0</v>
      </c>
      <c r="F27416" s="8">
        <v>1571</v>
      </c>
    </row>
    <row r="27417" spans="1:6" ht="12.75">
      <c r="A27417" s="8">
        <v>43892.165046296301</v>
      </c>
      <c r="B27417" s="8" t="str">
        <f>HYPERLINK("https://twitter.com/LqrdTo","@LqrdTo")</f>
        <v>@LqrdTo</v>
      </c>
      <c r="C27417" s="8" t="s">
        <v>10445</v>
      </c>
      <c r="D27417" s="8">
        <v>0</v>
      </c>
      <c r="E27417" s="8">
        <v>0</v>
      </c>
      <c r="F27417" s="8">
        <v>194</v>
      </c>
    </row>
    <row r="27418" spans="1:6" ht="12.75">
      <c r="A27418" s="8">
        <v>43892.164872685185</v>
      </c>
      <c r="B27418" s="8" t="str">
        <f>HYPERLINK("https://twitter.com/firakyana","@firakyana")</f>
        <v>@firakyana</v>
      </c>
      <c r="C27418" s="8" t="s">
        <v>10446</v>
      </c>
      <c r="D27418" s="8">
        <v>0</v>
      </c>
      <c r="E27418" s="8">
        <v>0</v>
      </c>
      <c r="F27418" s="8">
        <v>151</v>
      </c>
    </row>
    <row r="27419" spans="1:6" ht="12.75">
      <c r="A27419" s="8">
        <v>43892.164849537032</v>
      </c>
      <c r="B27419" s="8" t="str">
        <f t="shared" ref="B27419:B27420" si="363">HYPERLINK("https://twitter.com/721Mubarok","@721Mubarok")</f>
        <v>@721Mubarok</v>
      </c>
      <c r="C27419" s="8" t="s">
        <v>10447</v>
      </c>
      <c r="D27419" s="8">
        <v>38</v>
      </c>
      <c r="E27419" s="8">
        <v>0</v>
      </c>
      <c r="F27419" s="8">
        <v>2629</v>
      </c>
    </row>
    <row r="27420" spans="1:6" ht="12.75">
      <c r="A27420" s="8">
        <v>43892.164675925931</v>
      </c>
      <c r="B27420" s="8" t="str">
        <f t="shared" si="363"/>
        <v>@721Mubarok</v>
      </c>
      <c r="C27420" s="8" t="s">
        <v>10375</v>
      </c>
      <c r="D27420" s="8">
        <v>39</v>
      </c>
      <c r="E27420" s="8">
        <v>0</v>
      </c>
      <c r="F27420" s="8">
        <v>2629</v>
      </c>
    </row>
    <row r="27421" spans="1:6" ht="12.75">
      <c r="A27421" s="8">
        <v>43892.164675925931</v>
      </c>
      <c r="B27421" s="8" t="str">
        <f t="shared" ref="B27421:B27422" si="364">HYPERLINK("https://twitter.com/mudha_satriya","@mudha_satriya")</f>
        <v>@mudha_satriya</v>
      </c>
      <c r="C27421" s="8" t="s">
        <v>10448</v>
      </c>
      <c r="D27421" s="8">
        <v>7</v>
      </c>
      <c r="E27421" s="8">
        <v>0</v>
      </c>
      <c r="F27421" s="8">
        <v>1878</v>
      </c>
    </row>
    <row r="27422" spans="1:6" ht="12.75">
      <c r="A27422" s="8">
        <v>43892.164618055554</v>
      </c>
      <c r="B27422" s="8" t="str">
        <f t="shared" si="364"/>
        <v>@mudha_satriya</v>
      </c>
      <c r="C27422" s="8" t="s">
        <v>10411</v>
      </c>
      <c r="D27422" s="8">
        <v>38</v>
      </c>
      <c r="E27422" s="8">
        <v>0</v>
      </c>
      <c r="F27422" s="8">
        <v>1878</v>
      </c>
    </row>
    <row r="27423" spans="1:6" ht="12.75">
      <c r="A27423" s="8">
        <v>43892.164583333331</v>
      </c>
      <c r="B27423" s="8" t="str">
        <f>HYPERLINK("https://twitter.com/NyiGiri","@NyiGiri")</f>
        <v>@NyiGiri</v>
      </c>
      <c r="C27423" s="8" t="s">
        <v>10288</v>
      </c>
      <c r="D27423" s="8">
        <v>58</v>
      </c>
      <c r="E27423" s="8">
        <v>0</v>
      </c>
      <c r="F27423" s="8">
        <v>4495</v>
      </c>
    </row>
    <row r="27424" spans="1:6" ht="12.75">
      <c r="A27424" s="8">
        <v>43892.164548611108</v>
      </c>
      <c r="B27424" s="8" t="str">
        <f>HYPERLINK("https://twitter.com/zaul_zaki","@zaul_zaki")</f>
        <v>@zaul_zaki</v>
      </c>
      <c r="C27424" s="8" t="s">
        <v>4990</v>
      </c>
      <c r="D27424" s="8">
        <v>192</v>
      </c>
      <c r="E27424" s="8">
        <v>0</v>
      </c>
      <c r="F27424" s="8">
        <v>573</v>
      </c>
    </row>
    <row r="27425" spans="1:6" ht="12.75">
      <c r="A27425" s="8">
        <v>43892.164467592593</v>
      </c>
      <c r="B27425" s="8" t="str">
        <f>HYPERLINK("https://twitter.com/y_g_m_r_","@y_g_m_r_")</f>
        <v>@y_g_m_r_</v>
      </c>
      <c r="C27425" s="8" t="s">
        <v>9910</v>
      </c>
      <c r="D27425" s="8">
        <v>42</v>
      </c>
      <c r="E27425" s="8">
        <v>0</v>
      </c>
      <c r="F27425" s="8">
        <v>537</v>
      </c>
    </row>
    <row r="27426" spans="1:6" ht="12.75">
      <c r="A27426" s="8">
        <v>43892.1644212963</v>
      </c>
      <c r="B27426" s="8" t="str">
        <f>HYPERLINK("https://twitter.com/_sosiru","@_sosiru")</f>
        <v>@_sosiru</v>
      </c>
      <c r="C27426" s="8" t="s">
        <v>7704</v>
      </c>
      <c r="D27426" s="8">
        <v>247</v>
      </c>
      <c r="E27426" s="8">
        <v>0</v>
      </c>
      <c r="F27426" s="8">
        <v>474</v>
      </c>
    </row>
    <row r="27427" spans="1:6" ht="12.75">
      <c r="A27427" s="8">
        <v>43892.164398148147</v>
      </c>
      <c r="B27427" s="8" t="str">
        <f>HYPERLINK("https://twitter.com/DiumahM","@DiumahM")</f>
        <v>@DiumahM</v>
      </c>
      <c r="C27427" s="8" t="s">
        <v>9238</v>
      </c>
      <c r="D27427" s="8">
        <v>93</v>
      </c>
      <c r="E27427" s="8">
        <v>0</v>
      </c>
      <c r="F27427" s="8">
        <v>52</v>
      </c>
    </row>
    <row r="27428" spans="1:6" ht="12.75">
      <c r="A27428" s="8">
        <v>43892.164085648154</v>
      </c>
      <c r="B27428" s="8" t="str">
        <f>HYPERLINK("https://twitter.com/Ameeramantikah","@Ameeramantikah")</f>
        <v>@Ameeramantikah</v>
      </c>
      <c r="C27428" s="8" t="s">
        <v>4990</v>
      </c>
      <c r="D27428" s="8">
        <v>192</v>
      </c>
      <c r="E27428" s="8">
        <v>0</v>
      </c>
      <c r="F27428" s="8">
        <v>1177</v>
      </c>
    </row>
    <row r="27429" spans="1:6" ht="12.75">
      <c r="A27429" s="8">
        <v>43892.16375</v>
      </c>
      <c r="B27429" s="8" t="str">
        <f>HYPERLINK("https://twitter.com/mudha_satriya","@mudha_satriya")</f>
        <v>@mudha_satriya</v>
      </c>
      <c r="C27429" s="8" t="s">
        <v>8917</v>
      </c>
      <c r="D27429" s="8">
        <v>70</v>
      </c>
      <c r="E27429" s="8">
        <v>0</v>
      </c>
      <c r="F27429" s="8">
        <v>1878</v>
      </c>
    </row>
    <row r="27430" spans="1:6" ht="12.75">
      <c r="A27430" s="8">
        <v>43892.163252314815</v>
      </c>
      <c r="B27430" s="8" t="str">
        <f>HYPERLINK("https://twitter.com/gunoto7","@gunoto7")</f>
        <v>@gunoto7</v>
      </c>
      <c r="C27430" s="8" t="s">
        <v>10449</v>
      </c>
      <c r="D27430" s="8">
        <v>73</v>
      </c>
      <c r="E27430" s="8">
        <v>0</v>
      </c>
      <c r="F27430" s="8">
        <v>2787</v>
      </c>
    </row>
    <row r="27431" spans="1:6" ht="12.75">
      <c r="A27431" s="8">
        <v>43892.162870370375</v>
      </c>
      <c r="B27431" s="8" t="str">
        <f>HYPERLINK("https://twitter.com/CiwamP","@CiwamP")</f>
        <v>@CiwamP</v>
      </c>
      <c r="C27431" s="8" t="s">
        <v>4150</v>
      </c>
      <c r="D27431" s="8">
        <v>86</v>
      </c>
      <c r="E27431" s="8">
        <v>0</v>
      </c>
      <c r="F27431" s="8">
        <v>580</v>
      </c>
    </row>
    <row r="27432" spans="1:6" ht="12.75">
      <c r="A27432" s="8">
        <v>43892.162731481483</v>
      </c>
      <c r="B27432" s="8" t="str">
        <f>HYPERLINK("https://twitter.com/AjikWah","@AjikWah")</f>
        <v>@AjikWah</v>
      </c>
      <c r="C27432" s="8" t="s">
        <v>2199</v>
      </c>
      <c r="D27432" s="8">
        <v>1426</v>
      </c>
      <c r="E27432" s="8">
        <v>0</v>
      </c>
      <c r="F27432" s="8">
        <v>1192</v>
      </c>
    </row>
    <row r="27433" spans="1:6" ht="12.75">
      <c r="A27433" s="8">
        <v>43892.162442129629</v>
      </c>
      <c r="B27433" s="8" t="str">
        <f>HYPERLINK("https://twitter.com/Isis_cardoso16","@Isis_cardoso16")</f>
        <v>@Isis_cardoso16</v>
      </c>
      <c r="C27433" s="8" t="s">
        <v>10450</v>
      </c>
      <c r="D27433" s="8">
        <v>808</v>
      </c>
      <c r="E27433" s="8">
        <v>0</v>
      </c>
      <c r="F27433" s="8">
        <v>835</v>
      </c>
    </row>
    <row r="27434" spans="1:6" ht="12.75">
      <c r="A27434" s="8">
        <v>43892.162407407406</v>
      </c>
      <c r="B27434" s="8" t="str">
        <f>HYPERLINK("https://twitter.com/KavindraOemar","@KavindraOemar")</f>
        <v>@KavindraOemar</v>
      </c>
      <c r="C27434" s="8" t="s">
        <v>5732</v>
      </c>
      <c r="D27434" s="8">
        <v>362</v>
      </c>
      <c r="E27434" s="8">
        <v>0</v>
      </c>
      <c r="F27434" s="8">
        <v>3707</v>
      </c>
    </row>
    <row r="27435" spans="1:6" ht="12.75">
      <c r="A27435" s="8">
        <v>43892.162326388891</v>
      </c>
      <c r="B27435" s="8" t="str">
        <f>HYPERLINK("https://twitter.com/beatrice_health","@beatrice_health")</f>
        <v>@beatrice_health</v>
      </c>
      <c r="C27435" s="8" t="s">
        <v>10451</v>
      </c>
      <c r="D27435" s="8">
        <v>5</v>
      </c>
      <c r="E27435" s="8">
        <v>0</v>
      </c>
      <c r="F27435" s="8">
        <v>466</v>
      </c>
    </row>
    <row r="27436" spans="1:6" ht="12.75">
      <c r="A27436" s="8">
        <v>43892.162291666667</v>
      </c>
      <c r="B27436" s="8" t="str">
        <f>HYPERLINK("https://twitter.com/sueb_soleh","@sueb_soleh")</f>
        <v>@sueb_soleh</v>
      </c>
      <c r="C27436" s="8" t="s">
        <v>10451</v>
      </c>
      <c r="D27436" s="8">
        <v>5</v>
      </c>
      <c r="E27436" s="8">
        <v>0</v>
      </c>
      <c r="F27436" s="8">
        <v>713</v>
      </c>
    </row>
    <row r="27437" spans="1:6" ht="12.75">
      <c r="A27437" s="8">
        <v>43892.162152777775</v>
      </c>
      <c r="B27437" s="8" t="str">
        <f>HYPERLINK("https://twitter.com/bona_rong2","@bona_rong2")</f>
        <v>@bona_rong2</v>
      </c>
      <c r="C27437" s="8" t="s">
        <v>3850</v>
      </c>
      <c r="D27437" s="8">
        <v>986</v>
      </c>
      <c r="E27437" s="8">
        <v>0</v>
      </c>
      <c r="F27437" s="8">
        <v>661</v>
      </c>
    </row>
    <row r="27438" spans="1:6" ht="12.75">
      <c r="A27438" s="8">
        <v>43892.161863425921</v>
      </c>
      <c r="B27438" s="8" t="str">
        <f>HYPERLINK("https://twitter.com/NIC_BARN","@NIC_BARN")</f>
        <v>@NIC_BARN</v>
      </c>
      <c r="C27438" s="8" t="s">
        <v>2199</v>
      </c>
      <c r="D27438" s="8">
        <v>1426</v>
      </c>
      <c r="E27438" s="8">
        <v>0</v>
      </c>
      <c r="F27438" s="8">
        <v>1758</v>
      </c>
    </row>
    <row r="27439" spans="1:6" ht="12.75">
      <c r="A27439" s="8">
        <v>43892.161759259259</v>
      </c>
      <c r="B27439" s="8" t="str">
        <f>HYPERLINK("https://twitter.com/NegriMerahPutih","@NegriMerahPutih")</f>
        <v>@NegriMerahPutih</v>
      </c>
      <c r="C27439" s="8" t="s">
        <v>10295</v>
      </c>
      <c r="D27439" s="8">
        <v>67</v>
      </c>
      <c r="E27439" s="8">
        <v>0</v>
      </c>
      <c r="F27439" s="8">
        <v>1412</v>
      </c>
    </row>
    <row r="27440" spans="1:6" ht="12.75">
      <c r="A27440" s="8">
        <v>43892.161724537036</v>
      </c>
      <c r="B27440" s="8" t="str">
        <f>HYPERLINK("https://twitter.com/CandraRachmad","@CandraRachmad")</f>
        <v>@CandraRachmad</v>
      </c>
      <c r="C27440" s="8" t="s">
        <v>5732</v>
      </c>
      <c r="D27440" s="8">
        <v>362</v>
      </c>
      <c r="E27440" s="8">
        <v>0</v>
      </c>
      <c r="F27440" s="8">
        <v>165</v>
      </c>
    </row>
    <row r="27441" spans="1:6" ht="12.75">
      <c r="A27441" s="8">
        <v>43892.161643518513</v>
      </c>
      <c r="B27441" s="8" t="str">
        <f>HYPERLINK("https://twitter.com/arifijanto","@arifijanto")</f>
        <v>@arifijanto</v>
      </c>
      <c r="C27441" s="8" t="s">
        <v>5732</v>
      </c>
      <c r="D27441" s="8">
        <v>362</v>
      </c>
      <c r="E27441" s="8">
        <v>0</v>
      </c>
      <c r="F27441" s="8">
        <v>56</v>
      </c>
    </row>
    <row r="27442" spans="1:6" ht="12.75">
      <c r="A27442" s="8">
        <v>43892.161458333328</v>
      </c>
      <c r="B27442" s="8" t="str">
        <f>HYPERLINK("https://twitter.com/BaskaraJabbar","@BaskaraJabbar")</f>
        <v>@BaskaraJabbar</v>
      </c>
      <c r="C27442" s="8" t="s">
        <v>3648</v>
      </c>
      <c r="D27442" s="8">
        <v>119</v>
      </c>
      <c r="E27442" s="8">
        <v>0</v>
      </c>
      <c r="F27442" s="8">
        <v>68</v>
      </c>
    </row>
    <row r="27443" spans="1:6" ht="12.75">
      <c r="A27443" s="8">
        <v>43892.16128472222</v>
      </c>
      <c r="B27443" s="8" t="str">
        <f>HYPERLINK("https://twitter.com/ESputra95","@ESputra95")</f>
        <v>@ESputra95</v>
      </c>
      <c r="C27443" s="8" t="s">
        <v>9910</v>
      </c>
      <c r="D27443" s="8">
        <v>42</v>
      </c>
      <c r="E27443" s="8">
        <v>0</v>
      </c>
      <c r="F27443" s="8">
        <v>139</v>
      </c>
    </row>
    <row r="27444" spans="1:6" ht="12.75">
      <c r="A27444" s="8">
        <v>43892.161192129628</v>
      </c>
      <c r="B27444" s="8" t="str">
        <f>HYPERLINK("https://twitter.com/aldy_mw","@aldy_mw")</f>
        <v>@aldy_mw</v>
      </c>
      <c r="C27444" s="8" t="s">
        <v>10295</v>
      </c>
      <c r="D27444" s="8">
        <v>67</v>
      </c>
      <c r="E27444" s="8">
        <v>0</v>
      </c>
      <c r="F27444" s="8">
        <v>1319</v>
      </c>
    </row>
    <row r="27445" spans="1:6" ht="12.75">
      <c r="A27445" s="8">
        <v>43892.161168981482</v>
      </c>
      <c r="B27445" s="8" t="str">
        <f>HYPERLINK("https://twitter.com/arifijanto","@arifijanto")</f>
        <v>@arifijanto</v>
      </c>
      <c r="C27445" s="8" t="s">
        <v>3850</v>
      </c>
      <c r="D27445" s="8">
        <v>986</v>
      </c>
      <c r="E27445" s="8">
        <v>0</v>
      </c>
      <c r="F27445" s="8">
        <v>56</v>
      </c>
    </row>
    <row r="27446" spans="1:6" ht="12.75">
      <c r="A27446" s="8">
        <v>43892.160868055551</v>
      </c>
      <c r="B27446" s="8" t="str">
        <f>HYPERLINK("https://twitter.com/n_sumerry","@n_sumerry")</f>
        <v>@n_sumerry</v>
      </c>
      <c r="C27446" s="8" t="s">
        <v>3850</v>
      </c>
      <c r="D27446" s="8">
        <v>986</v>
      </c>
      <c r="E27446" s="8">
        <v>0</v>
      </c>
      <c r="F27446" s="8">
        <v>182</v>
      </c>
    </row>
    <row r="27447" spans="1:6" ht="12.75">
      <c r="A27447" s="8">
        <v>43892.160868055551</v>
      </c>
      <c r="B27447" s="8" t="str">
        <f>HYPERLINK("https://twitter.com/witokotoko","@witokotoko")</f>
        <v>@witokotoko</v>
      </c>
      <c r="C27447" s="8" t="s">
        <v>7704</v>
      </c>
      <c r="D27447" s="8">
        <v>247</v>
      </c>
      <c r="E27447" s="8">
        <v>0</v>
      </c>
      <c r="F27447" s="8">
        <v>246</v>
      </c>
    </row>
    <row r="27448" spans="1:6" ht="12.75">
      <c r="A27448" s="8">
        <v>43892.160821759258</v>
      </c>
      <c r="B27448" s="8" t="str">
        <f t="shared" ref="B27448:B27449" si="365">HYPERLINK("https://twitter.com/remajapkc","@remajapkc")</f>
        <v>@remajapkc</v>
      </c>
      <c r="C27448" s="8" t="s">
        <v>10452</v>
      </c>
      <c r="D27448" s="8">
        <v>0</v>
      </c>
      <c r="E27448" s="8">
        <v>0</v>
      </c>
      <c r="F27448" s="8">
        <v>54</v>
      </c>
    </row>
    <row r="27449" spans="1:6" ht="12.75">
      <c r="A27449" s="8">
        <v>43892.160810185189</v>
      </c>
      <c r="B27449" s="8" t="str">
        <f t="shared" si="365"/>
        <v>@remajapkc</v>
      </c>
      <c r="C27449" s="8" t="s">
        <v>10453</v>
      </c>
      <c r="D27449" s="8">
        <v>0</v>
      </c>
      <c r="E27449" s="8">
        <v>0</v>
      </c>
      <c r="F27449" s="8">
        <v>54</v>
      </c>
    </row>
    <row r="27450" spans="1:6" ht="12.75">
      <c r="A27450" s="8">
        <v>43892.160787037035</v>
      </c>
      <c r="B27450" s="8" t="str">
        <f>HYPERLINK("https://twitter.com/Sagemuly","@Sagemuly")</f>
        <v>@Sagemuly</v>
      </c>
      <c r="C27450" s="8" t="s">
        <v>10454</v>
      </c>
      <c r="D27450" s="8">
        <v>5</v>
      </c>
      <c r="E27450" s="8">
        <v>0</v>
      </c>
      <c r="F27450" s="8">
        <v>91</v>
      </c>
    </row>
    <row r="27451" spans="1:6" ht="12.75">
      <c r="A27451" s="8">
        <v>43892.160729166666</v>
      </c>
      <c r="B27451" s="8" t="str">
        <f>HYPERLINK("https://twitter.com/Kumaan","@Kumaan")</f>
        <v>@Kumaan</v>
      </c>
      <c r="C27451" s="8" t="s">
        <v>2199</v>
      </c>
      <c r="D27451" s="8">
        <v>1426</v>
      </c>
      <c r="E27451" s="8">
        <v>0</v>
      </c>
      <c r="F27451" s="8">
        <v>3147</v>
      </c>
    </row>
    <row r="27452" spans="1:6" ht="12.75">
      <c r="A27452" s="8">
        <v>43892.160601851851</v>
      </c>
      <c r="B27452" s="8" t="str">
        <f>HYPERLINK("https://twitter.com/viskaya","@viskaya")</f>
        <v>@viskaya</v>
      </c>
      <c r="C27452" s="8" t="s">
        <v>5732</v>
      </c>
      <c r="D27452" s="8">
        <v>362</v>
      </c>
      <c r="E27452" s="8">
        <v>0</v>
      </c>
      <c r="F27452" s="8">
        <v>782</v>
      </c>
    </row>
    <row r="27453" spans="1:6" ht="12.75">
      <c r="A27453" s="8">
        <v>43892.160590277781</v>
      </c>
      <c r="B27453" s="8" t="str">
        <f>HYPERLINK("https://twitter.com/RTabuti","@RTabuti")</f>
        <v>@RTabuti</v>
      </c>
      <c r="C27453" s="8" t="s">
        <v>2199</v>
      </c>
      <c r="D27453" s="8">
        <v>1426</v>
      </c>
      <c r="E27453" s="8">
        <v>0</v>
      </c>
      <c r="F27453" s="8">
        <v>404</v>
      </c>
    </row>
    <row r="27454" spans="1:6" ht="12.75">
      <c r="A27454" s="8">
        <v>43892.160358796296</v>
      </c>
      <c r="B27454" s="8" t="str">
        <f>HYPERLINK("https://twitter.com/HenrySantika","@HenrySantika")</f>
        <v>@HenrySantika</v>
      </c>
      <c r="C27454" s="8" t="s">
        <v>10455</v>
      </c>
      <c r="D27454" s="8">
        <v>0</v>
      </c>
      <c r="E27454" s="8">
        <v>0</v>
      </c>
      <c r="F27454" s="8">
        <v>94</v>
      </c>
    </row>
    <row r="27455" spans="1:6" ht="12.75">
      <c r="A27455" s="8">
        <v>43892.160300925927</v>
      </c>
      <c r="B27455" s="8" t="str">
        <f>HYPERLINK("https://twitter.com/rusydifi","@rusydifi")</f>
        <v>@rusydifi</v>
      </c>
      <c r="C27455" s="8" t="s">
        <v>2199</v>
      </c>
      <c r="D27455" s="8">
        <v>1426</v>
      </c>
      <c r="E27455" s="8">
        <v>0</v>
      </c>
      <c r="F27455" s="8">
        <v>402</v>
      </c>
    </row>
    <row r="27456" spans="1:6" ht="12.75">
      <c r="A27456" s="8">
        <v>43892.160196759258</v>
      </c>
      <c r="B27456" s="8" t="str">
        <f>HYPERLINK("https://twitter.com/ganar_afin","@ganar_afin")</f>
        <v>@ganar_afin</v>
      </c>
      <c r="C27456" s="8" t="s">
        <v>5732</v>
      </c>
      <c r="D27456" s="8">
        <v>362</v>
      </c>
      <c r="E27456" s="8">
        <v>0</v>
      </c>
      <c r="F27456" s="8">
        <v>221</v>
      </c>
    </row>
    <row r="27457" spans="1:6" ht="12.75">
      <c r="A27457" s="8">
        <v>43892.160150462965</v>
      </c>
      <c r="B27457" s="8" t="str">
        <f>HYPERLINK("https://twitter.com/balebay","@balebay")</f>
        <v>@balebay</v>
      </c>
      <c r="C27457" s="8" t="s">
        <v>2199</v>
      </c>
      <c r="D27457" s="8">
        <v>1426</v>
      </c>
      <c r="E27457" s="8">
        <v>0</v>
      </c>
      <c r="F27457" s="8">
        <v>184</v>
      </c>
    </row>
    <row r="27458" spans="1:6" ht="12.75">
      <c r="A27458" s="8">
        <v>43892.160104166665</v>
      </c>
      <c r="B27458" s="8" t="str">
        <f>HYPERLINK("https://twitter.com/winarno4551","@winarno4551")</f>
        <v>@winarno4551</v>
      </c>
      <c r="C27458" s="8" t="s">
        <v>10456</v>
      </c>
      <c r="D27458" s="8">
        <v>47</v>
      </c>
      <c r="E27458" s="8">
        <v>0</v>
      </c>
      <c r="F27458" s="8">
        <v>1098</v>
      </c>
    </row>
    <row r="27459" spans="1:6" ht="12.75">
      <c r="A27459" s="8">
        <v>43892.16002314815</v>
      </c>
      <c r="B27459" s="8" t="str">
        <f>HYPERLINK("https://twitter.com/infoajus","@infoajus")</f>
        <v>@infoajus</v>
      </c>
      <c r="C27459" s="8" t="s">
        <v>2199</v>
      </c>
      <c r="D27459" s="8">
        <v>1426</v>
      </c>
      <c r="E27459" s="8">
        <v>0</v>
      </c>
      <c r="F27459" s="8">
        <v>748</v>
      </c>
    </row>
    <row r="27460" spans="1:6" ht="12.75">
      <c r="A27460" s="8">
        <v>43892.159918981481</v>
      </c>
      <c r="B27460" s="8" t="str">
        <f>HYPERLINK("https://twitter.com/eko_is_oke","@eko_is_oke")</f>
        <v>@eko_is_oke</v>
      </c>
      <c r="C27460" s="8" t="s">
        <v>5732</v>
      </c>
      <c r="D27460" s="8">
        <v>362</v>
      </c>
      <c r="E27460" s="8">
        <v>0</v>
      </c>
      <c r="F27460" s="8">
        <v>376</v>
      </c>
    </row>
    <row r="27461" spans="1:6" ht="12.75">
      <c r="A27461" s="8">
        <v>43892.159918981481</v>
      </c>
      <c r="B27461" s="8" t="str">
        <f>HYPERLINK("https://twitter.com/wenriezal","@wenriezal")</f>
        <v>@wenriezal</v>
      </c>
      <c r="C27461" s="8" t="s">
        <v>2995</v>
      </c>
      <c r="D27461" s="8">
        <v>17</v>
      </c>
      <c r="E27461" s="8">
        <v>0</v>
      </c>
      <c r="F27461" s="8">
        <v>509</v>
      </c>
    </row>
    <row r="27462" spans="1:6" ht="12.75">
      <c r="A27462" s="8">
        <v>43892.159872685181</v>
      </c>
      <c r="B27462" s="8" t="str">
        <f>HYPERLINK("https://twitter.com/JohnIrwan4","@JohnIrwan4")</f>
        <v>@JohnIrwan4</v>
      </c>
      <c r="C27462" s="8" t="s">
        <v>10457</v>
      </c>
      <c r="D27462" s="8">
        <v>1</v>
      </c>
      <c r="E27462" s="8">
        <v>0</v>
      </c>
      <c r="F27462" s="8">
        <v>2578</v>
      </c>
    </row>
    <row r="27463" spans="1:6" ht="12.75">
      <c r="A27463" s="8">
        <v>43892.159803240742</v>
      </c>
      <c r="B27463" s="8" t="str">
        <f>HYPERLINK("https://twitter.com/sejongjongieee","@sejongjongieee")</f>
        <v>@sejongjongieee</v>
      </c>
      <c r="C27463" s="8" t="s">
        <v>2199</v>
      </c>
      <c r="D27463" s="8">
        <v>1426</v>
      </c>
      <c r="E27463" s="8">
        <v>0</v>
      </c>
      <c r="F27463" s="8">
        <v>148</v>
      </c>
    </row>
    <row r="27464" spans="1:6" ht="12.75">
      <c r="A27464" s="8">
        <v>43892.159791666665</v>
      </c>
      <c r="B27464" s="8" t="str">
        <f>HYPERLINK("https://twitter.com/kangdarat","@kangdarat")</f>
        <v>@kangdarat</v>
      </c>
      <c r="C27464" s="8" t="s">
        <v>5732</v>
      </c>
      <c r="D27464" s="8">
        <v>362</v>
      </c>
      <c r="E27464" s="8">
        <v>0</v>
      </c>
      <c r="F27464" s="8">
        <v>107</v>
      </c>
    </row>
    <row r="27465" spans="1:6" ht="12.75">
      <c r="A27465" s="8">
        <v>43892.159756944442</v>
      </c>
      <c r="B27465" s="8" t="str">
        <f>HYPERLINK("https://twitter.com/pertiwi_uli","@pertiwi_uli")</f>
        <v>@pertiwi_uli</v>
      </c>
      <c r="C27465" s="8" t="s">
        <v>10458</v>
      </c>
      <c r="D27465" s="8">
        <v>0</v>
      </c>
      <c r="E27465" s="8">
        <v>0</v>
      </c>
      <c r="F27465" s="8">
        <v>23</v>
      </c>
    </row>
    <row r="27466" spans="1:6" ht="12.75">
      <c r="A27466" s="8">
        <v>43892.159432870365</v>
      </c>
      <c r="B27466" s="8" t="str">
        <f>HYPERLINK("https://twitter.com/ReckyKun","@ReckyKun")</f>
        <v>@ReckyKun</v>
      </c>
      <c r="C27466" s="8" t="s">
        <v>5732</v>
      </c>
      <c r="D27466" s="8">
        <v>362</v>
      </c>
      <c r="E27466" s="8">
        <v>0</v>
      </c>
      <c r="F27466" s="8">
        <v>295</v>
      </c>
    </row>
    <row r="27467" spans="1:6" ht="12.75">
      <c r="A27467" s="8">
        <v>43892.159166666665</v>
      </c>
      <c r="B27467" s="8" t="str">
        <f>HYPERLINK("https://twitter.com/Rachmatron","@Rachmatron")</f>
        <v>@Rachmatron</v>
      </c>
      <c r="C27467" s="8" t="s">
        <v>2199</v>
      </c>
      <c r="D27467" s="8">
        <v>1426</v>
      </c>
      <c r="E27467" s="8">
        <v>0</v>
      </c>
      <c r="F27467" s="8">
        <v>876</v>
      </c>
    </row>
    <row r="27468" spans="1:6" ht="12.75">
      <c r="A27468" s="8">
        <v>43892.159120370372</v>
      </c>
      <c r="B27468" s="8" t="str">
        <f>HYPERLINK("https://twitter.com/Innttaaann","@Innttaaann")</f>
        <v>@Innttaaann</v>
      </c>
      <c r="C27468" s="8" t="s">
        <v>10459</v>
      </c>
      <c r="D27468" s="8">
        <v>0</v>
      </c>
      <c r="E27468" s="8">
        <v>0</v>
      </c>
      <c r="F27468" s="8">
        <v>353</v>
      </c>
    </row>
    <row r="27469" spans="1:6" ht="12.75">
      <c r="A27469" s="8">
        <v>43892.158692129626</v>
      </c>
      <c r="B27469" s="8" t="str">
        <f>HYPERLINK("https://twitter.com/eijk82","@eijk82")</f>
        <v>@eijk82</v>
      </c>
      <c r="C27469" s="8" t="s">
        <v>9130</v>
      </c>
      <c r="D27469" s="8">
        <v>237</v>
      </c>
      <c r="E27469" s="8">
        <v>0</v>
      </c>
      <c r="F27469" s="8">
        <v>755</v>
      </c>
    </row>
    <row r="27470" spans="1:6" ht="12.75">
      <c r="A27470" s="8">
        <v>43892.158680555556</v>
      </c>
      <c r="B27470" s="8" t="str">
        <f>HYPERLINK("https://twitter.com/Salman_alfarIsl","@Salman_alfarIsl")</f>
        <v>@Salman_alfarIsl</v>
      </c>
      <c r="C27470" s="8" t="s">
        <v>5732</v>
      </c>
      <c r="D27470" s="8">
        <v>362</v>
      </c>
      <c r="E27470" s="8">
        <v>0</v>
      </c>
      <c r="F27470" s="8">
        <v>121</v>
      </c>
    </row>
    <row r="27471" spans="1:6" ht="12.75">
      <c r="A27471" s="8">
        <v>43892.158645833333</v>
      </c>
      <c r="B27471" s="8" t="str">
        <f>HYPERLINK("https://twitter.com/ok_tata","@ok_tata")</f>
        <v>@ok_tata</v>
      </c>
      <c r="C27471" s="8" t="s">
        <v>2199</v>
      </c>
      <c r="D27471" s="8">
        <v>1426</v>
      </c>
      <c r="E27471" s="8">
        <v>0</v>
      </c>
      <c r="F27471" s="8">
        <v>41</v>
      </c>
    </row>
    <row r="27472" spans="1:6" ht="12.75">
      <c r="A27472" s="8">
        <v>43892.157997685186</v>
      </c>
      <c r="B27472" s="8" t="str">
        <f>HYPERLINK("https://twitter.com/YudhaCarolus","@YudhaCarolus")</f>
        <v>@YudhaCarolus</v>
      </c>
      <c r="C27472" s="8" t="s">
        <v>2199</v>
      </c>
      <c r="D27472" s="8">
        <v>1426</v>
      </c>
      <c r="E27472" s="8">
        <v>0</v>
      </c>
      <c r="F27472" s="8">
        <v>17</v>
      </c>
    </row>
    <row r="27473" spans="1:6" ht="12.75">
      <c r="A27473" s="8">
        <v>43892.157800925925</v>
      </c>
      <c r="B27473" s="8" t="str">
        <f>HYPERLINK("https://twitter.com/bjf_revival","@bjf_revival")</f>
        <v>@bjf_revival</v>
      </c>
      <c r="C27473" s="8" t="s">
        <v>3850</v>
      </c>
      <c r="D27473" s="8">
        <v>986</v>
      </c>
      <c r="E27473" s="8">
        <v>0</v>
      </c>
      <c r="F27473" s="8">
        <v>743</v>
      </c>
    </row>
    <row r="27474" spans="1:6" ht="12.75">
      <c r="A27474" s="8">
        <v>43892.157743055555</v>
      </c>
      <c r="B27474" s="8" t="str">
        <f>HYPERLINK("https://twitter.com/Rizky0220421439","@Rizky0220421439")</f>
        <v>@Rizky0220421439</v>
      </c>
      <c r="C27474" s="8" t="s">
        <v>4150</v>
      </c>
      <c r="D27474" s="8">
        <v>86</v>
      </c>
      <c r="E27474" s="8">
        <v>0</v>
      </c>
      <c r="F27474" s="8">
        <v>1612</v>
      </c>
    </row>
    <row r="27475" spans="1:6" ht="12.75">
      <c r="A27475" s="8">
        <v>43892.157037037032</v>
      </c>
      <c r="B27475" s="8" t="str">
        <f>HYPERLINK("https://twitter.com/SelamatBakumpa2","@SelamatBakumpa2")</f>
        <v>@SelamatBakumpa2</v>
      </c>
      <c r="C27475" s="8" t="s">
        <v>5732</v>
      </c>
      <c r="D27475" s="8">
        <v>362</v>
      </c>
      <c r="E27475" s="8">
        <v>0</v>
      </c>
      <c r="F27475" s="8">
        <v>157</v>
      </c>
    </row>
    <row r="27476" spans="1:6" ht="12.75">
      <c r="A27476" s="8">
        <v>43892.156550925924</v>
      </c>
      <c r="B27476" s="8" t="str">
        <f>HYPERLINK("https://twitter.com/CiwamP","@CiwamP")</f>
        <v>@CiwamP</v>
      </c>
      <c r="C27476" s="8" t="s">
        <v>2199</v>
      </c>
      <c r="D27476" s="8">
        <v>1426</v>
      </c>
      <c r="E27476" s="8">
        <v>0</v>
      </c>
      <c r="F27476" s="8">
        <v>580</v>
      </c>
    </row>
    <row r="27477" spans="1:6" ht="12.75">
      <c r="A27477" s="8">
        <v>43892.156319444446</v>
      </c>
      <c r="B27477" s="8" t="str">
        <f>HYPERLINK("https://twitter.com/OfficialMNCNews","@OfficialMNCNews")</f>
        <v>@OfficialMNCNews</v>
      </c>
      <c r="C27477" s="8" t="s">
        <v>10460</v>
      </c>
      <c r="D27477" s="8">
        <v>0</v>
      </c>
      <c r="E27477" s="8">
        <v>0</v>
      </c>
      <c r="F27477" s="8">
        <v>154</v>
      </c>
    </row>
    <row r="27478" spans="1:6" ht="12.75">
      <c r="A27478" s="8">
        <v>43892.15626157407</v>
      </c>
      <c r="B27478" s="8" t="str">
        <f>HYPERLINK("https://twitter.com/rmol_id","@rmol_id")</f>
        <v>@rmol_id</v>
      </c>
      <c r="C27478" s="8" t="s">
        <v>10461</v>
      </c>
      <c r="D27478" s="8">
        <v>0</v>
      </c>
      <c r="E27478" s="8">
        <v>1</v>
      </c>
      <c r="F27478" s="8">
        <v>168102</v>
      </c>
    </row>
    <row r="27479" spans="1:6" ht="12.75">
      <c r="A27479" s="8">
        <v>43892.156192129631</v>
      </c>
      <c r="B27479" s="8" t="str">
        <f>HYPERLINK("https://twitter.com/Sastroklengsre1","@Sastroklengsre1")</f>
        <v>@Sastroklengsre1</v>
      </c>
      <c r="C27479" s="8" t="s">
        <v>10462</v>
      </c>
      <c r="D27479" s="8">
        <v>1</v>
      </c>
      <c r="E27479" s="8">
        <v>0</v>
      </c>
      <c r="F27479" s="8">
        <v>2905</v>
      </c>
    </row>
    <row r="27480" spans="1:6" ht="12.75">
      <c r="A27480" s="8">
        <v>43892.131550925929</v>
      </c>
      <c r="B27480" s="8" t="str">
        <f>HYPERLINK("https://twitter.com/xxcihuyyy","@xxcihuyyy")</f>
        <v>@xxcihuyyy</v>
      </c>
      <c r="C27480" s="8" t="s">
        <v>2199</v>
      </c>
      <c r="D27480" s="8">
        <v>1365</v>
      </c>
      <c r="E27480" s="8">
        <v>0</v>
      </c>
      <c r="F27480" s="8">
        <v>92</v>
      </c>
    </row>
    <row r="27481" spans="1:6" ht="12.75">
      <c r="A27481" s="8">
        <v>43892.13144675926</v>
      </c>
      <c r="B27481" s="8" t="str">
        <f>HYPERLINK("https://twitter.com/F11Aly","@F11Aly")</f>
        <v>@F11Aly</v>
      </c>
      <c r="C27481" s="8" t="s">
        <v>10463</v>
      </c>
      <c r="D27481" s="8">
        <v>44</v>
      </c>
      <c r="E27481" s="8">
        <v>0</v>
      </c>
      <c r="F27481" s="8">
        <v>12</v>
      </c>
    </row>
    <row r="27482" spans="1:6" ht="12.75">
      <c r="A27482" s="8">
        <v>43892.131342592591</v>
      </c>
      <c r="B27482" s="8" t="str">
        <f>HYPERLINK("https://twitter.com/adriankusaihir1","@adriankusaihir1")</f>
        <v>@adriankusaihir1</v>
      </c>
      <c r="C27482" s="8" t="s">
        <v>10464</v>
      </c>
      <c r="D27482" s="8">
        <v>0</v>
      </c>
      <c r="E27482" s="8">
        <v>0</v>
      </c>
      <c r="F27482" s="8">
        <v>166</v>
      </c>
    </row>
    <row r="27483" spans="1:6" ht="12.75">
      <c r="A27483" s="8">
        <v>43892.131076388891</v>
      </c>
      <c r="B27483" s="8" t="str">
        <f>HYPERLINK("https://twitter.com/WargaJurnal","@WargaJurnal")</f>
        <v>@WargaJurnal</v>
      </c>
      <c r="C27483" s="8" t="s">
        <v>10465</v>
      </c>
      <c r="D27483" s="8">
        <v>0</v>
      </c>
      <c r="E27483" s="8">
        <v>0</v>
      </c>
      <c r="F27483" s="8">
        <v>257</v>
      </c>
    </row>
    <row r="27484" spans="1:6" ht="12.75">
      <c r="A27484" s="8">
        <v>43892.131041666667</v>
      </c>
      <c r="B27484" s="8" t="str">
        <f>HYPERLINK("https://twitter.com/ChristiWidi","@ChristiWidi")</f>
        <v>@ChristiWidi</v>
      </c>
      <c r="C27484" s="8" t="s">
        <v>2199</v>
      </c>
      <c r="D27484" s="8">
        <v>1365</v>
      </c>
      <c r="E27484" s="8">
        <v>0</v>
      </c>
      <c r="F27484" s="8">
        <v>29</v>
      </c>
    </row>
    <row r="27485" spans="1:6" ht="12.75">
      <c r="A27485" s="8">
        <v>43892.130902777775</v>
      </c>
      <c r="B27485" s="8" t="str">
        <f>HYPERLINK("https://twitter.com/kalaMMaya","@kalaMMaya")</f>
        <v>@kalaMMaya</v>
      </c>
      <c r="C27485" s="8" t="s">
        <v>2199</v>
      </c>
      <c r="D27485" s="8">
        <v>1365</v>
      </c>
      <c r="E27485" s="8">
        <v>0</v>
      </c>
      <c r="F27485" s="8">
        <v>108</v>
      </c>
    </row>
    <row r="27486" spans="1:6" ht="12.75">
      <c r="A27486" s="8">
        <v>43892.130613425921</v>
      </c>
      <c r="B27486" s="8" t="str">
        <f>HYPERLINK("https://twitter.com/Mang_Aldo","@Mang_Aldo")</f>
        <v>@Mang_Aldo</v>
      </c>
      <c r="C27486" s="8" t="s">
        <v>4235</v>
      </c>
      <c r="D27486" s="8">
        <v>1662</v>
      </c>
      <c r="E27486" s="8">
        <v>0</v>
      </c>
      <c r="F27486" s="8">
        <v>479</v>
      </c>
    </row>
    <row r="27487" spans="1:6" ht="12.75">
      <c r="A27487" s="8">
        <v>43892.13013888889</v>
      </c>
      <c r="B27487" s="8" t="str">
        <f>HYPERLINK("https://twitter.com/Adot1998","@Adot1998")</f>
        <v>@Adot1998</v>
      </c>
      <c r="C27487" s="8" t="s">
        <v>10466</v>
      </c>
      <c r="D27487" s="8">
        <v>0</v>
      </c>
      <c r="E27487" s="8">
        <v>0</v>
      </c>
      <c r="F27487" s="8">
        <v>15543</v>
      </c>
    </row>
    <row r="27488" spans="1:6" ht="12.75">
      <c r="A27488" s="8">
        <v>43892.130057870367</v>
      </c>
      <c r="B27488" s="8" t="str">
        <f t="shared" ref="B27488:B27489" si="366">HYPERLINK("https://twitter.com/_linimasa","@_linimasa")</f>
        <v>@_linimasa</v>
      </c>
      <c r="C27488" s="8" t="s">
        <v>10369</v>
      </c>
      <c r="D27488" s="8">
        <v>68</v>
      </c>
      <c r="E27488" s="8">
        <v>0</v>
      </c>
      <c r="F27488" s="8">
        <v>1</v>
      </c>
    </row>
    <row r="27489" spans="1:6" ht="12.75">
      <c r="A27489" s="8">
        <v>43892.129629629635</v>
      </c>
      <c r="B27489" s="8" t="str">
        <f t="shared" si="366"/>
        <v>@_linimasa</v>
      </c>
      <c r="C27489" s="8" t="s">
        <v>10467</v>
      </c>
      <c r="D27489" s="8">
        <v>37</v>
      </c>
      <c r="E27489" s="8">
        <v>0</v>
      </c>
      <c r="F27489" s="8">
        <v>1</v>
      </c>
    </row>
    <row r="27490" spans="1:6" ht="12.75">
      <c r="A27490" s="8">
        <v>43892.129444444443</v>
      </c>
      <c r="B27490" s="8" t="str">
        <f>HYPERLINK("https://twitter.com/drilesmana_","@drilesmana_")</f>
        <v>@drilesmana_</v>
      </c>
      <c r="C27490" s="8" t="s">
        <v>3648</v>
      </c>
      <c r="D27490" s="8">
        <v>116</v>
      </c>
      <c r="E27490" s="8">
        <v>0</v>
      </c>
      <c r="F27490" s="8">
        <v>95</v>
      </c>
    </row>
    <row r="27491" spans="1:6" ht="12.75">
      <c r="A27491" s="8">
        <v>43892.129375000004</v>
      </c>
      <c r="B27491" s="8" t="str">
        <f>HYPERLINK("https://twitter.com/7endralKad_run","@7endralKad_run")</f>
        <v>@7endralKad_run</v>
      </c>
      <c r="C27491" s="8" t="s">
        <v>10468</v>
      </c>
      <c r="D27491" s="8">
        <v>35</v>
      </c>
      <c r="E27491" s="8">
        <v>0</v>
      </c>
      <c r="F27491" s="8">
        <v>780</v>
      </c>
    </row>
    <row r="27492" spans="1:6" ht="12.75">
      <c r="A27492" s="8">
        <v>43892.128761574073</v>
      </c>
      <c r="B27492" s="8" t="str">
        <f>HYPERLINK("https://twitter.com/mamankunjeri","@mamankunjeri")</f>
        <v>@mamankunjeri</v>
      </c>
      <c r="C27492" s="8" t="s">
        <v>2199</v>
      </c>
      <c r="D27492" s="8">
        <v>1365</v>
      </c>
      <c r="E27492" s="8">
        <v>0</v>
      </c>
      <c r="F27492" s="8">
        <v>1138</v>
      </c>
    </row>
    <row r="27493" spans="1:6" ht="12.75">
      <c r="A27493" s="8">
        <v>43892.128587962958</v>
      </c>
      <c r="B27493" s="8" t="str">
        <f>HYPERLINK("https://twitter.com/rahminova2","@rahminova2")</f>
        <v>@rahminova2</v>
      </c>
      <c r="C27493" s="8" t="s">
        <v>5732</v>
      </c>
      <c r="D27493" s="8">
        <v>325</v>
      </c>
      <c r="E27493" s="8">
        <v>0</v>
      </c>
      <c r="F27493" s="8">
        <v>1300</v>
      </c>
    </row>
    <row r="27494" spans="1:6" ht="12.75">
      <c r="A27494" s="8">
        <v>43892.128414351857</v>
      </c>
      <c r="B27494" s="8" t="str">
        <f>HYPERLINK("https://twitter.com/NyiGiri","@NyiGiri")</f>
        <v>@NyiGiri</v>
      </c>
      <c r="C27494" s="8" t="s">
        <v>10468</v>
      </c>
      <c r="D27494" s="8">
        <v>35</v>
      </c>
      <c r="E27494" s="8">
        <v>0</v>
      </c>
      <c r="F27494" s="8">
        <v>4497</v>
      </c>
    </row>
    <row r="27495" spans="1:6" ht="12.75">
      <c r="A27495" s="8">
        <v>43892.128379629634</v>
      </c>
      <c r="B27495" s="8" t="str">
        <f>HYPERLINK("https://twitter.com/inosensiustito","@inosensiustito")</f>
        <v>@inosensiustito</v>
      </c>
      <c r="C27495" s="8" t="s">
        <v>10469</v>
      </c>
      <c r="D27495" s="8">
        <v>2</v>
      </c>
      <c r="E27495" s="8">
        <v>0</v>
      </c>
      <c r="F27495" s="8">
        <v>410</v>
      </c>
    </row>
    <row r="27496" spans="1:6" ht="12.75">
      <c r="A27496" s="8">
        <v>43892.126597222217</v>
      </c>
      <c r="B27496" s="8" t="str">
        <f>HYPERLINK("https://twitter.com/BillTemporo","@BillTemporo")</f>
        <v>@BillTemporo</v>
      </c>
      <c r="C27496" s="8" t="s">
        <v>384</v>
      </c>
      <c r="D27496" s="8">
        <v>0</v>
      </c>
      <c r="E27496" s="8">
        <v>0</v>
      </c>
      <c r="F27496" s="8">
        <v>11</v>
      </c>
    </row>
    <row r="27497" spans="1:6" ht="12.75">
      <c r="A27497" s="8">
        <v>43892.126539351855</v>
      </c>
      <c r="B27497" s="8" t="str">
        <f>HYPERLINK("https://twitter.com/sagakom","@sagakom")</f>
        <v>@sagakom</v>
      </c>
      <c r="C27497" s="8" t="s">
        <v>10470</v>
      </c>
      <c r="D27497" s="8">
        <v>0</v>
      </c>
      <c r="E27497" s="8">
        <v>0</v>
      </c>
      <c r="F27497" s="8">
        <v>285</v>
      </c>
    </row>
    <row r="27498" spans="1:6" ht="12.75">
      <c r="A27498" s="8">
        <v>43892.126516203702</v>
      </c>
      <c r="B27498" s="8" t="str">
        <f>HYPERLINK("https://twitter.com/ochotootmors","@ochotootmors")</f>
        <v>@ochotootmors</v>
      </c>
      <c r="C27498" s="8" t="s">
        <v>2199</v>
      </c>
      <c r="D27498" s="8">
        <v>1365</v>
      </c>
      <c r="E27498" s="8">
        <v>0</v>
      </c>
      <c r="F27498" s="8">
        <v>712</v>
      </c>
    </row>
    <row r="27499" spans="1:6" ht="12.75">
      <c r="A27499" s="8">
        <v>43892.126388888893</v>
      </c>
      <c r="B27499" s="8" t="str">
        <f>HYPERLINK("https://twitter.com/dedirahimuddin","@dedirahimuddin")</f>
        <v>@dedirahimuddin</v>
      </c>
      <c r="C27499" s="8" t="s">
        <v>3850</v>
      </c>
      <c r="D27499" s="8">
        <v>969</v>
      </c>
      <c r="E27499" s="8">
        <v>0</v>
      </c>
      <c r="F27499" s="8">
        <v>528</v>
      </c>
    </row>
    <row r="27500" spans="1:6" ht="12.75">
      <c r="A27500" s="8">
        <v>43892.12635416667</v>
      </c>
      <c r="B27500" s="8" t="str">
        <f t="shared" ref="B27500:B27501" si="367">HYPERLINK("https://twitter.com/sagakom","@sagakom")</f>
        <v>@sagakom</v>
      </c>
      <c r="C27500" s="8" t="s">
        <v>10471</v>
      </c>
      <c r="D27500" s="8">
        <v>0</v>
      </c>
      <c r="E27500" s="8">
        <v>0</v>
      </c>
      <c r="F27500" s="8">
        <v>285</v>
      </c>
    </row>
    <row r="27501" spans="1:6" ht="12.75">
      <c r="A27501" s="8">
        <v>43892.126342592594</v>
      </c>
      <c r="B27501" s="8" t="str">
        <f t="shared" si="367"/>
        <v>@sagakom</v>
      </c>
      <c r="C27501" s="8" t="s">
        <v>10472</v>
      </c>
      <c r="D27501" s="8">
        <v>0</v>
      </c>
      <c r="E27501" s="8">
        <v>0</v>
      </c>
      <c r="F27501" s="8">
        <v>285</v>
      </c>
    </row>
    <row r="27502" spans="1:6" ht="12.75">
      <c r="A27502" s="8">
        <v>43892.126284722224</v>
      </c>
      <c r="B27502" s="8" t="str">
        <f>HYPERLINK("https://twitter.com/dedirahimuddin","@dedirahimuddin")</f>
        <v>@dedirahimuddin</v>
      </c>
      <c r="C27502" s="8" t="s">
        <v>4990</v>
      </c>
      <c r="D27502" s="8">
        <v>183</v>
      </c>
      <c r="E27502" s="8">
        <v>0</v>
      </c>
      <c r="F27502" s="8">
        <v>528</v>
      </c>
    </row>
    <row r="27503" spans="1:6" ht="12.75">
      <c r="A27503" s="8">
        <v>43892.126122685186</v>
      </c>
      <c r="B27503" s="8" t="str">
        <f>HYPERLINK("https://twitter.com/sagakom","@sagakom")</f>
        <v>@sagakom</v>
      </c>
      <c r="C27503" s="8" t="s">
        <v>10473</v>
      </c>
      <c r="D27503" s="8">
        <v>0</v>
      </c>
      <c r="E27503" s="8">
        <v>0</v>
      </c>
      <c r="F27503" s="8">
        <v>285</v>
      </c>
    </row>
    <row r="27504" spans="1:6" ht="12.75">
      <c r="A27504" s="8">
        <v>43892.126111111109</v>
      </c>
      <c r="B27504" s="8" t="str">
        <f>HYPERLINK("https://twitter.com/KongReds","@KongReds")</f>
        <v>@KongReds</v>
      </c>
      <c r="C27504" s="8" t="s">
        <v>2199</v>
      </c>
      <c r="D27504" s="8">
        <v>1365</v>
      </c>
      <c r="E27504" s="8">
        <v>0</v>
      </c>
      <c r="F27504" s="8">
        <v>1102</v>
      </c>
    </row>
    <row r="27505" spans="1:6" ht="12.75">
      <c r="A27505" s="8">
        <v>43892.126087962963</v>
      </c>
      <c r="B27505" s="8" t="str">
        <f>HYPERLINK("https://twitter.com/pujyhartono","@pujyhartono")</f>
        <v>@pujyhartono</v>
      </c>
      <c r="C27505" s="8" t="s">
        <v>5732</v>
      </c>
      <c r="D27505" s="8">
        <v>325</v>
      </c>
      <c r="E27505" s="8">
        <v>0</v>
      </c>
      <c r="F27505" s="8">
        <v>413</v>
      </c>
    </row>
    <row r="27506" spans="1:6" ht="12.75">
      <c r="A27506" s="8">
        <v>43892.12605324074</v>
      </c>
      <c r="B27506" s="8" t="str">
        <f>HYPERLINK("https://twitter.com/GruncyGrunc","@GruncyGrunc")</f>
        <v>@GruncyGrunc</v>
      </c>
      <c r="C27506" s="8" t="s">
        <v>9587</v>
      </c>
      <c r="D27506" s="8">
        <v>114</v>
      </c>
      <c r="E27506" s="8">
        <v>0</v>
      </c>
      <c r="F27506" s="8">
        <v>107</v>
      </c>
    </row>
    <row r="27507" spans="1:6" ht="12.75">
      <c r="A27507" s="8">
        <v>43892.125567129631</v>
      </c>
      <c r="B27507" s="8" t="str">
        <f>HYPERLINK("https://twitter.com/LahAkuKenapa","@LahAkuKenapa")</f>
        <v>@LahAkuKenapa</v>
      </c>
      <c r="C27507" s="8" t="s">
        <v>10360</v>
      </c>
      <c r="D27507" s="8">
        <v>25</v>
      </c>
      <c r="E27507" s="8">
        <v>0</v>
      </c>
      <c r="F27507" s="8">
        <v>4508</v>
      </c>
    </row>
    <row r="27508" spans="1:6" ht="12.75">
      <c r="A27508" s="8">
        <v>43892.125520833331</v>
      </c>
      <c r="B27508" s="8" t="str">
        <f>HYPERLINK("https://twitter.com/netizengoblok","@netizengoblok")</f>
        <v>@netizengoblok</v>
      </c>
      <c r="C27508" s="8" t="s">
        <v>2272</v>
      </c>
      <c r="D27508" s="8">
        <v>885</v>
      </c>
      <c r="E27508" s="8">
        <v>0</v>
      </c>
      <c r="F27508" s="8">
        <v>129</v>
      </c>
    </row>
    <row r="27509" spans="1:6" ht="12.75">
      <c r="A27509" s="8">
        <v>43892.125196759254</v>
      </c>
      <c r="B27509" s="8" t="str">
        <f>HYPERLINK("https://twitter.com/aburayya1","@aburayya1")</f>
        <v>@aburayya1</v>
      </c>
      <c r="C27509" s="8" t="s">
        <v>4990</v>
      </c>
      <c r="D27509" s="8">
        <v>183</v>
      </c>
      <c r="E27509" s="8">
        <v>0</v>
      </c>
      <c r="F27509" s="8">
        <v>83</v>
      </c>
    </row>
    <row r="27510" spans="1:6" ht="12.75">
      <c r="A27510" s="8">
        <v>43892.125</v>
      </c>
      <c r="B27510" s="8" t="str">
        <f>HYPERLINK("https://twitter.com/Lintas_MNCTV","@Lintas_MNCTV")</f>
        <v>@Lintas_MNCTV</v>
      </c>
      <c r="C27510" s="8" t="s">
        <v>10474</v>
      </c>
      <c r="D27510" s="8">
        <v>0</v>
      </c>
      <c r="E27510" s="8">
        <v>0</v>
      </c>
      <c r="F27510" s="8">
        <v>35908</v>
      </c>
    </row>
    <row r="27511" spans="1:6" ht="12.75">
      <c r="A27511" s="8">
        <v>43892.124664351853</v>
      </c>
      <c r="B27511" s="8" t="str">
        <f>HYPERLINK("https://twitter.com/harryfadil","@harryfadil")</f>
        <v>@harryfadil</v>
      </c>
      <c r="C27511" s="8" t="s">
        <v>2199</v>
      </c>
      <c r="D27511" s="8">
        <v>1365</v>
      </c>
      <c r="E27511" s="8">
        <v>0</v>
      </c>
      <c r="F27511" s="8">
        <v>1258</v>
      </c>
    </row>
    <row r="27512" spans="1:6" ht="12.75">
      <c r="A27512" s="8">
        <v>43892.124594907407</v>
      </c>
      <c r="B27512" s="8" t="str">
        <f>HYPERLINK("https://twitter.com/alex_hunter146","@alex_hunter146")</f>
        <v>@alex_hunter146</v>
      </c>
      <c r="C27512" s="8" t="s">
        <v>10475</v>
      </c>
      <c r="D27512" s="8">
        <v>0</v>
      </c>
      <c r="E27512" s="8">
        <v>0</v>
      </c>
      <c r="F27512" s="8">
        <v>1514</v>
      </c>
    </row>
    <row r="27513" spans="1:6" ht="12.75">
      <c r="A27513" s="8">
        <v>43892.124259259261</v>
      </c>
      <c r="B27513" s="8" t="str">
        <f>HYPERLINK("https://twitter.com/nuhesbby","@nuhesbby")</f>
        <v>@nuhesbby</v>
      </c>
      <c r="C27513" s="8" t="s">
        <v>2199</v>
      </c>
      <c r="D27513" s="8">
        <v>1365</v>
      </c>
      <c r="E27513" s="8">
        <v>0</v>
      </c>
      <c r="F27513" s="8">
        <v>459</v>
      </c>
    </row>
    <row r="27514" spans="1:6" ht="12.75">
      <c r="A27514" s="8">
        <v>43892.124178240745</v>
      </c>
      <c r="B27514" s="8" t="str">
        <f>HYPERLINK("https://twitter.com/dinmul","@dinmul")</f>
        <v>@dinmul</v>
      </c>
      <c r="C27514" s="8" t="s">
        <v>10404</v>
      </c>
      <c r="D27514" s="8">
        <v>279</v>
      </c>
      <c r="E27514" s="8">
        <v>0</v>
      </c>
      <c r="F27514" s="8">
        <v>1062</v>
      </c>
    </row>
    <row r="27515" spans="1:6" ht="12.75">
      <c r="A27515" s="8">
        <v>43892.124131944445</v>
      </c>
      <c r="B27515" s="8" t="str">
        <f>HYPERLINK("https://twitter.com/_seleraku_","@_seleraku_")</f>
        <v>@_seleraku_</v>
      </c>
      <c r="C27515" s="8" t="s">
        <v>2199</v>
      </c>
      <c r="D27515" s="8">
        <v>1365</v>
      </c>
      <c r="E27515" s="8">
        <v>0</v>
      </c>
      <c r="F27515" s="8">
        <v>61</v>
      </c>
    </row>
    <row r="27516" spans="1:6" ht="12.75">
      <c r="A27516" s="8">
        <v>43892.124050925922</v>
      </c>
      <c r="B27516" s="8" t="str">
        <f>HYPERLINK("https://twitter.com/gmfahs","@gmfahs")</f>
        <v>@gmfahs</v>
      </c>
      <c r="C27516" s="8" t="s">
        <v>2199</v>
      </c>
      <c r="D27516" s="8">
        <v>1365</v>
      </c>
      <c r="E27516" s="8">
        <v>0</v>
      </c>
      <c r="F27516" s="8">
        <v>3490</v>
      </c>
    </row>
    <row r="27517" spans="1:6" ht="12.75">
      <c r="A27517" s="8">
        <v>43892.123715277776</v>
      </c>
      <c r="B27517" s="8" t="str">
        <f>HYPERLINK("https://twitter.com/03_10_98","@03_10_98")</f>
        <v>@03_10_98</v>
      </c>
      <c r="C27517" s="8" t="s">
        <v>10476</v>
      </c>
      <c r="D27517" s="8">
        <v>0</v>
      </c>
      <c r="E27517" s="8">
        <v>0</v>
      </c>
      <c r="F27517" s="8">
        <v>2</v>
      </c>
    </row>
    <row r="27518" spans="1:6" ht="12.75">
      <c r="A27518" s="8">
        <v>43892.123136574075</v>
      </c>
      <c r="B27518" s="8" t="str">
        <f>HYPERLINK("https://twitter.com/Arifin2Zainal","@Arifin2Zainal")</f>
        <v>@Arifin2Zainal</v>
      </c>
      <c r="C27518" s="8" t="s">
        <v>10261</v>
      </c>
      <c r="D27518" s="8">
        <v>4</v>
      </c>
      <c r="E27518" s="8">
        <v>0</v>
      </c>
      <c r="F27518" s="8">
        <v>1866</v>
      </c>
    </row>
    <row r="27519" spans="1:6" ht="12.75">
      <c r="A27519" s="8">
        <v>43892.122928240744</v>
      </c>
      <c r="B27519" s="8" t="str">
        <f>HYPERLINK("https://twitter.com/Fajar_RAR","@Fajar_RAR")</f>
        <v>@Fajar_RAR</v>
      </c>
      <c r="C27519" s="8" t="s">
        <v>9130</v>
      </c>
      <c r="D27519" s="8">
        <v>234</v>
      </c>
      <c r="E27519" s="8">
        <v>0</v>
      </c>
      <c r="F27519" s="8">
        <v>642</v>
      </c>
    </row>
    <row r="27520" spans="1:6" ht="12.75">
      <c r="A27520" s="8">
        <v>43892.122708333336</v>
      </c>
      <c r="B27520" s="8" t="str">
        <f>HYPERLINK("https://twitter.com/FernianHaeHaean","@FernianHaeHaean")</f>
        <v>@FernianHaeHaean</v>
      </c>
      <c r="C27520" s="8" t="s">
        <v>3850</v>
      </c>
      <c r="D27520" s="8">
        <v>969</v>
      </c>
      <c r="E27520" s="8">
        <v>0</v>
      </c>
      <c r="F27520" s="8">
        <v>238</v>
      </c>
    </row>
    <row r="27521" spans="1:6" ht="12.75">
      <c r="A27521" s="8">
        <v>43892.122592592597</v>
      </c>
      <c r="B27521" s="8" t="str">
        <f>HYPERLINK("https://twitter.com/becak125cc","@becak125cc")</f>
        <v>@becak125cc</v>
      </c>
      <c r="C27521" s="8" t="s">
        <v>10467</v>
      </c>
      <c r="D27521" s="8">
        <v>37</v>
      </c>
      <c r="E27521" s="8">
        <v>0</v>
      </c>
      <c r="F27521" s="8">
        <v>543</v>
      </c>
    </row>
    <row r="27522" spans="1:6" ht="12.75">
      <c r="A27522" s="8">
        <v>43892.122581018513</v>
      </c>
      <c r="B27522" s="8" t="str">
        <f>HYPERLINK("https://twitter.com/Anthonderato","@Anthonderato")</f>
        <v>@Anthonderato</v>
      </c>
      <c r="C27522" s="8" t="s">
        <v>4990</v>
      </c>
      <c r="D27522" s="8">
        <v>183</v>
      </c>
      <c r="E27522" s="8">
        <v>0</v>
      </c>
      <c r="F27522" s="8">
        <v>721</v>
      </c>
    </row>
    <row r="27523" spans="1:6" ht="12.75">
      <c r="A27523" s="8">
        <v>43892.122465277775</v>
      </c>
      <c r="B27523" s="8" t="str">
        <f>HYPERLINK("https://twitter.com/Fajar_RAR","@Fajar_RAR")</f>
        <v>@Fajar_RAR</v>
      </c>
      <c r="C27523" s="8" t="s">
        <v>9587</v>
      </c>
      <c r="D27523" s="8">
        <v>114</v>
      </c>
      <c r="E27523" s="8">
        <v>0</v>
      </c>
      <c r="F27523" s="8">
        <v>642</v>
      </c>
    </row>
    <row r="27524" spans="1:6" ht="12.75">
      <c r="A27524" s="8">
        <v>43892.122083333335</v>
      </c>
      <c r="B27524" s="8" t="str">
        <f>HYPERLINK("https://twitter.com/ricowahyudi","@ricowahyudi")</f>
        <v>@ricowahyudi</v>
      </c>
      <c r="C27524" s="8" t="s">
        <v>5732</v>
      </c>
      <c r="D27524" s="8">
        <v>325</v>
      </c>
      <c r="E27524" s="8">
        <v>0</v>
      </c>
      <c r="F27524" s="8">
        <v>929</v>
      </c>
    </row>
    <row r="27525" spans="1:6" ht="12.75">
      <c r="A27525" s="8">
        <v>43892.121944444443</v>
      </c>
      <c r="B27525" s="8" t="str">
        <f>HYPERLINK("https://twitter.com/FithriaNasda","@FithriaNasda")</f>
        <v>@FithriaNasda</v>
      </c>
      <c r="C27525" s="8" t="s">
        <v>9729</v>
      </c>
      <c r="D27525" s="8">
        <v>116</v>
      </c>
      <c r="E27525" s="8">
        <v>0</v>
      </c>
      <c r="F27525" s="8">
        <v>542</v>
      </c>
    </row>
    <row r="27526" spans="1:6" ht="12.75">
      <c r="A27526" s="8">
        <v>43892.121759259258</v>
      </c>
      <c r="B27526" s="8" t="str">
        <f>HYPERLINK("https://twitter.com/SangJelajah","@SangJelajah")</f>
        <v>@SangJelajah</v>
      </c>
      <c r="C27526" s="8" t="s">
        <v>5732</v>
      </c>
      <c r="D27526" s="8">
        <v>325</v>
      </c>
      <c r="E27526" s="8">
        <v>0</v>
      </c>
      <c r="F27526" s="8">
        <v>445</v>
      </c>
    </row>
    <row r="27527" spans="1:6" ht="12.75">
      <c r="A27527" s="8">
        <v>43892.121099537035</v>
      </c>
      <c r="B27527" s="8" t="str">
        <f>HYPERLINK("https://twitter.com/_me_name","@_me_name")</f>
        <v>@_me_name</v>
      </c>
      <c r="C27527" s="8" t="s">
        <v>10477</v>
      </c>
      <c r="D27527" s="8">
        <v>11</v>
      </c>
      <c r="E27527" s="8">
        <v>0</v>
      </c>
      <c r="F27527" s="8">
        <v>90</v>
      </c>
    </row>
    <row r="27528" spans="1:6" ht="12.75">
      <c r="A27528" s="8">
        <v>43892.12096064815</v>
      </c>
      <c r="B27528" s="8" t="str">
        <f>HYPERLINK("https://twitter.com/Parkomburate","@Parkomburate")</f>
        <v>@Parkomburate</v>
      </c>
      <c r="C27528" s="8" t="s">
        <v>10478</v>
      </c>
      <c r="D27528" s="8">
        <v>1</v>
      </c>
      <c r="E27528" s="8">
        <v>0</v>
      </c>
      <c r="F27528" s="8">
        <v>239</v>
      </c>
    </row>
    <row r="27529" spans="1:6" ht="12.75">
      <c r="A27529" s="8">
        <v>43892.120729166665</v>
      </c>
      <c r="B27529" s="8" t="str">
        <f>HYPERLINK("https://twitter.com/adriankusaihir1","@adriankusaihir1")</f>
        <v>@adriankusaihir1</v>
      </c>
      <c r="C27529" s="8" t="s">
        <v>10479</v>
      </c>
      <c r="D27529" s="8">
        <v>0</v>
      </c>
      <c r="E27529" s="8">
        <v>0</v>
      </c>
      <c r="F27529" s="8">
        <v>166</v>
      </c>
    </row>
    <row r="27530" spans="1:6" ht="12.75">
      <c r="A27530" s="8">
        <v>43892.120428240742</v>
      </c>
      <c r="B27530" s="8" t="str">
        <f>HYPERLINK("https://twitter.com/TrioMacari2000","@TrioMacari2000")</f>
        <v>@TrioMacari2000</v>
      </c>
      <c r="C27530" s="8" t="s">
        <v>9587</v>
      </c>
      <c r="D27530" s="8">
        <v>114</v>
      </c>
      <c r="E27530" s="8">
        <v>0</v>
      </c>
      <c r="F27530" s="8">
        <v>6528</v>
      </c>
    </row>
    <row r="27531" spans="1:6" ht="12.75">
      <c r="A27531" s="8">
        <v>43892.119502314818</v>
      </c>
      <c r="B27531" s="8" t="str">
        <f>HYPERLINK("https://twitter.com/Shellahibono","@Shellahibono")</f>
        <v>@Shellahibono</v>
      </c>
      <c r="C27531" s="8" t="s">
        <v>2199</v>
      </c>
      <c r="D27531" s="8">
        <v>1365</v>
      </c>
      <c r="E27531" s="8">
        <v>0</v>
      </c>
      <c r="F27531" s="8">
        <v>80</v>
      </c>
    </row>
    <row r="27532" spans="1:6" ht="12.75">
      <c r="A27532" s="8">
        <v>43892.119317129633</v>
      </c>
      <c r="B27532" s="8" t="str">
        <f>HYPERLINK("https://twitter.com/7endralKad_run","@7endralKad_run")</f>
        <v>@7endralKad_run</v>
      </c>
      <c r="C27532" s="8" t="s">
        <v>10480</v>
      </c>
      <c r="D27532" s="8">
        <v>1</v>
      </c>
      <c r="E27532" s="8">
        <v>1</v>
      </c>
      <c r="F27532" s="8">
        <v>780</v>
      </c>
    </row>
    <row r="27533" spans="1:6" ht="12.75">
      <c r="A27533" s="8">
        <v>43892.119259259256</v>
      </c>
      <c r="B27533" s="8" t="str">
        <f>HYPERLINK("https://twitter.com/suryacakung","@suryacakung")</f>
        <v>@suryacakung</v>
      </c>
      <c r="C27533" s="8" t="s">
        <v>5732</v>
      </c>
      <c r="D27533" s="8">
        <v>325</v>
      </c>
      <c r="E27533" s="8">
        <v>0</v>
      </c>
      <c r="F27533" s="8">
        <v>581</v>
      </c>
    </row>
    <row r="27534" spans="1:6" ht="12.75">
      <c r="A27534" s="8">
        <v>43892.119247685187</v>
      </c>
      <c r="B27534" s="8" t="str">
        <f>HYPERLINK("https://twitter.com/ndmendez13","@ndmendez13")</f>
        <v>@ndmendez13</v>
      </c>
      <c r="C27534" s="8" t="s">
        <v>5732</v>
      </c>
      <c r="D27534" s="8">
        <v>325</v>
      </c>
      <c r="E27534" s="8">
        <v>0</v>
      </c>
      <c r="F27534" s="8">
        <v>351</v>
      </c>
    </row>
    <row r="27535" spans="1:6" ht="12.75">
      <c r="A27535" s="8">
        <v>43892.119166666671</v>
      </c>
      <c r="B27535" s="8" t="str">
        <f>HYPERLINK("https://twitter.com/nrudinugroho98","@nrudinugroho98")</f>
        <v>@nrudinugroho98</v>
      </c>
      <c r="C27535" s="8" t="s">
        <v>2199</v>
      </c>
      <c r="D27535" s="8">
        <v>1365</v>
      </c>
      <c r="E27535" s="8">
        <v>0</v>
      </c>
      <c r="F27535" s="8">
        <v>48</v>
      </c>
    </row>
    <row r="27536" spans="1:6" ht="12.75">
      <c r="A27536" s="8">
        <v>43892.119120370371</v>
      </c>
      <c r="B27536" s="8" t="str">
        <f>HYPERLINK("https://twitter.com/FireBirdFeniks","@FireBirdFeniks")</f>
        <v>@FireBirdFeniks</v>
      </c>
      <c r="C27536" s="8" t="s">
        <v>10481</v>
      </c>
      <c r="D27536" s="8">
        <v>204</v>
      </c>
      <c r="E27536" s="8">
        <v>0</v>
      </c>
      <c r="F27536" s="8">
        <v>1768</v>
      </c>
    </row>
    <row r="27537" spans="1:6" ht="12.75">
      <c r="A27537" s="8">
        <v>43892.119097222225</v>
      </c>
      <c r="B27537" s="8" t="str">
        <f>HYPERLINK("https://twitter.com/dini_andin14","@dini_andin14")</f>
        <v>@dini_andin14</v>
      </c>
      <c r="C27537" s="8" t="s">
        <v>10456</v>
      </c>
      <c r="D27537" s="8">
        <v>44</v>
      </c>
      <c r="E27537" s="8">
        <v>0</v>
      </c>
      <c r="F27537" s="8">
        <v>133</v>
      </c>
    </row>
    <row r="27538" spans="1:6" ht="12.75">
      <c r="A27538" s="8">
        <v>43892.118888888886</v>
      </c>
      <c r="B27538" s="8" t="str">
        <f>HYPERLINK("https://twitter.com/ahar_1379","@ahar_1379")</f>
        <v>@ahar_1379</v>
      </c>
      <c r="C27538" s="8" t="s">
        <v>2199</v>
      </c>
      <c r="D27538" s="8">
        <v>1365</v>
      </c>
      <c r="E27538" s="8">
        <v>0</v>
      </c>
      <c r="F27538" s="8">
        <v>231</v>
      </c>
    </row>
    <row r="27539" spans="1:6" ht="12.75">
      <c r="A27539" s="8">
        <v>43892.118877314817</v>
      </c>
      <c r="B27539" s="8" t="str">
        <f>HYPERLINK("https://twitter.com/Suyarno13","@Suyarno13")</f>
        <v>@Suyarno13</v>
      </c>
      <c r="C27539" s="8" t="s">
        <v>4990</v>
      </c>
      <c r="D27539" s="8">
        <v>183</v>
      </c>
      <c r="E27539" s="8">
        <v>0</v>
      </c>
      <c r="F27539" s="8">
        <v>257</v>
      </c>
    </row>
    <row r="27540" spans="1:6" ht="12.75">
      <c r="A27540" s="8">
        <v>43892.118321759262</v>
      </c>
      <c r="B27540" s="8" t="str">
        <f>HYPERLINK("https://twitter.com/abdulrosyid417","@abdulrosyid417")</f>
        <v>@abdulrosyid417</v>
      </c>
      <c r="C27540" s="8" t="s">
        <v>10482</v>
      </c>
      <c r="D27540" s="8">
        <v>29</v>
      </c>
      <c r="E27540" s="8">
        <v>0</v>
      </c>
      <c r="F27540" s="8">
        <v>74</v>
      </c>
    </row>
    <row r="27541" spans="1:6" ht="12.75">
      <c r="A27541" s="8">
        <v>43892.118206018524</v>
      </c>
      <c r="B27541" s="8" t="str">
        <f>HYPERLINK("https://twitter.com/teathetics","@teathetics")</f>
        <v>@teathetics</v>
      </c>
      <c r="C27541" s="8" t="s">
        <v>2199</v>
      </c>
      <c r="D27541" s="8">
        <v>1365</v>
      </c>
      <c r="E27541" s="8">
        <v>0</v>
      </c>
      <c r="F27541" s="8">
        <v>707</v>
      </c>
    </row>
    <row r="27542" spans="1:6" ht="12.75">
      <c r="A27542" s="8">
        <v>43892.117951388893</v>
      </c>
      <c r="B27542" s="8" t="str">
        <f>HYPERLINK("https://twitter.com/KoRuss4","@KoRuss4")</f>
        <v>@KoRuss4</v>
      </c>
      <c r="C27542" s="8" t="s">
        <v>10483</v>
      </c>
      <c r="D27542" s="8">
        <v>0</v>
      </c>
      <c r="E27542" s="8">
        <v>0</v>
      </c>
      <c r="F27542" s="8">
        <v>12</v>
      </c>
    </row>
    <row r="27543" spans="1:6" ht="12.75">
      <c r="A27543" s="8">
        <v>43892.11791666667</v>
      </c>
      <c r="B27543" s="8" t="str">
        <f>HYPERLINK("https://twitter.com/zanudin86","@zanudin86")</f>
        <v>@zanudin86</v>
      </c>
      <c r="C27543" s="8" t="s">
        <v>10288</v>
      </c>
      <c r="D27543" s="8">
        <v>55</v>
      </c>
      <c r="E27543" s="8">
        <v>0</v>
      </c>
      <c r="F27543" s="8">
        <v>329</v>
      </c>
    </row>
    <row r="27544" spans="1:6" ht="12.75">
      <c r="A27544" s="8">
        <v>43892.117685185185</v>
      </c>
      <c r="B27544" s="8" t="str">
        <f>HYPERLINK("https://twitter.com/IrvanMaul241100","@IrvanMaul241100")</f>
        <v>@IrvanMaul241100</v>
      </c>
      <c r="C27544" s="8" t="s">
        <v>3648</v>
      </c>
      <c r="D27544" s="8">
        <v>116</v>
      </c>
      <c r="E27544" s="8">
        <v>0</v>
      </c>
      <c r="F27544" s="8">
        <v>103</v>
      </c>
    </row>
    <row r="27545" spans="1:6" ht="12.75">
      <c r="A27545" s="8">
        <v>43892.117442129631</v>
      </c>
      <c r="B27545" s="8" t="str">
        <f>HYPERLINK("https://twitter.com/tumbzr","@tumbzr")</f>
        <v>@tumbzr</v>
      </c>
      <c r="C27545" s="8" t="s">
        <v>2199</v>
      </c>
      <c r="D27545" s="8">
        <v>1365</v>
      </c>
      <c r="E27545" s="8">
        <v>0</v>
      </c>
      <c r="F27545" s="8">
        <v>7314</v>
      </c>
    </row>
    <row r="27546" spans="1:6" ht="12.75">
      <c r="A27546" s="8">
        <v>43892.116863425923</v>
      </c>
      <c r="B27546" s="8" t="str">
        <f>HYPERLINK("https://twitter.com/FireBirdFeniks","@FireBirdFeniks")</f>
        <v>@FireBirdFeniks</v>
      </c>
      <c r="C27546" s="8" t="s">
        <v>10360</v>
      </c>
      <c r="D27546" s="8">
        <v>25</v>
      </c>
      <c r="E27546" s="8">
        <v>0</v>
      </c>
      <c r="F27546" s="8">
        <v>1768</v>
      </c>
    </row>
    <row r="27547" spans="1:6" ht="12.75">
      <c r="A27547" s="8">
        <v>43892.1168287037</v>
      </c>
      <c r="B27547" s="8" t="str">
        <f>HYPERLINK("https://twitter.com/Aintyababe","@Aintyababe")</f>
        <v>@Aintyababe</v>
      </c>
      <c r="C27547" s="8" t="s">
        <v>2199</v>
      </c>
      <c r="D27547" s="8">
        <v>1365</v>
      </c>
      <c r="E27547" s="8">
        <v>0</v>
      </c>
      <c r="F27547" s="8">
        <v>53</v>
      </c>
    </row>
    <row r="27548" spans="1:6" ht="12.75">
      <c r="A27548" s="8">
        <v>43892.116782407407</v>
      </c>
      <c r="B27548" s="8" t="str">
        <f>HYPERLINK("https://twitter.com/Arifin2Zainal","@Arifin2Zainal")</f>
        <v>@Arifin2Zainal</v>
      </c>
      <c r="C27548" s="8" t="s">
        <v>5732</v>
      </c>
      <c r="D27548" s="8">
        <v>325</v>
      </c>
      <c r="E27548" s="8">
        <v>0</v>
      </c>
      <c r="F27548" s="8">
        <v>1866</v>
      </c>
    </row>
    <row r="27549" spans="1:6" ht="12.75">
      <c r="A27549" s="8">
        <v>43892.116724537038</v>
      </c>
      <c r="B27549" s="8" t="str">
        <f>HYPERLINK("https://twitter.com/fuckkkkkkkky","@fuckkkkkkkky")</f>
        <v>@fuckkkkkkkky</v>
      </c>
      <c r="C27549" s="8" t="s">
        <v>2199</v>
      </c>
      <c r="D27549" s="8">
        <v>1365</v>
      </c>
      <c r="E27549" s="8">
        <v>0</v>
      </c>
      <c r="F27549" s="8">
        <v>127</v>
      </c>
    </row>
    <row r="27550" spans="1:6" ht="12.75">
      <c r="A27550" s="8">
        <v>43892.116145833337</v>
      </c>
      <c r="B27550" s="8" t="str">
        <f>HYPERLINK("https://twitter.com/herdiman29","@herdiman29")</f>
        <v>@herdiman29</v>
      </c>
      <c r="C27550" s="8" t="s">
        <v>5732</v>
      </c>
      <c r="D27550" s="8">
        <v>325</v>
      </c>
      <c r="E27550" s="8">
        <v>0</v>
      </c>
      <c r="F27550" s="8">
        <v>977</v>
      </c>
    </row>
    <row r="27551" spans="1:6" ht="12.75">
      <c r="A27551" s="8">
        <v>43892.116018518514</v>
      </c>
      <c r="B27551" s="8" t="str">
        <f>HYPERLINK("https://twitter.com/Fajar_RAR","@Fajar_RAR")</f>
        <v>@Fajar_RAR</v>
      </c>
      <c r="C27551" s="8" t="s">
        <v>9729</v>
      </c>
      <c r="D27551" s="8">
        <v>116</v>
      </c>
      <c r="E27551" s="8">
        <v>0</v>
      </c>
      <c r="F27551" s="8">
        <v>642</v>
      </c>
    </row>
    <row r="27552" spans="1:6" ht="12.75">
      <c r="A27552" s="8">
        <v>43892.115717592591</v>
      </c>
      <c r="B27552" s="8" t="str">
        <f>HYPERLINK("https://twitter.com/moodymuds","@moodymuds")</f>
        <v>@moodymuds</v>
      </c>
      <c r="C27552" s="8" t="s">
        <v>10439</v>
      </c>
      <c r="D27552" s="8">
        <v>4</v>
      </c>
      <c r="E27552" s="8">
        <v>0</v>
      </c>
      <c r="F27552" s="8">
        <v>1961</v>
      </c>
    </row>
    <row r="27553" spans="1:6" ht="12.75">
      <c r="A27553" s="8">
        <v>43892.115405092598</v>
      </c>
      <c r="B27553" s="8" t="str">
        <f>HYPERLINK("https://twitter.com/havai2nd","@havai2nd")</f>
        <v>@havai2nd</v>
      </c>
      <c r="C27553" s="8" t="s">
        <v>2199</v>
      </c>
      <c r="D27553" s="8">
        <v>1365</v>
      </c>
      <c r="E27553" s="8">
        <v>0</v>
      </c>
      <c r="F27553" s="8">
        <v>34</v>
      </c>
    </row>
    <row r="27554" spans="1:6" ht="12.75">
      <c r="A27554" s="8">
        <v>43892.11519675926</v>
      </c>
      <c r="B27554" s="8" t="str">
        <f>HYPERLINK("https://twitter.com/Eddy211281","@Eddy211281")</f>
        <v>@Eddy211281</v>
      </c>
      <c r="C27554" s="8" t="s">
        <v>2199</v>
      </c>
      <c r="D27554" s="8">
        <v>1365</v>
      </c>
      <c r="E27554" s="8">
        <v>0</v>
      </c>
      <c r="F27554" s="8">
        <v>158</v>
      </c>
    </row>
    <row r="27555" spans="1:6" ht="12.75">
      <c r="A27555" s="8">
        <v>43892.114178240736</v>
      </c>
      <c r="B27555" s="8" t="str">
        <f>HYPERLINK("https://twitter.com/nordlane_","@nordlane_")</f>
        <v>@nordlane_</v>
      </c>
      <c r="C27555" s="8" t="s">
        <v>2199</v>
      </c>
      <c r="D27555" s="8">
        <v>1365</v>
      </c>
      <c r="E27555" s="8">
        <v>0</v>
      </c>
      <c r="F27555" s="8">
        <v>961</v>
      </c>
    </row>
    <row r="27556" spans="1:6" ht="12.75">
      <c r="A27556" s="8">
        <v>43892.113715277781</v>
      </c>
      <c r="B27556" s="8" t="str">
        <f>HYPERLINK("https://twitter.com/alberthin_lucas","@alberthin_lucas")</f>
        <v>@alberthin_lucas</v>
      </c>
      <c r="C27556" s="8" t="s">
        <v>1749</v>
      </c>
      <c r="D27556" s="8">
        <v>17</v>
      </c>
      <c r="E27556" s="8">
        <v>0</v>
      </c>
      <c r="F27556" s="8">
        <v>718</v>
      </c>
    </row>
    <row r="27557" spans="1:6" ht="12.75">
      <c r="A27557" s="8">
        <v>43892.113611111112</v>
      </c>
      <c r="B27557" s="8" t="str">
        <f>HYPERLINK("https://twitter.com/simandjuntak__","@simandjuntak__")</f>
        <v>@simandjuntak__</v>
      </c>
      <c r="C27557" s="8" t="s">
        <v>2199</v>
      </c>
      <c r="D27557" s="8">
        <v>1365</v>
      </c>
      <c r="E27557" s="8">
        <v>0</v>
      </c>
      <c r="F27557" s="8">
        <v>58</v>
      </c>
    </row>
    <row r="27558" spans="1:6" ht="12.75">
      <c r="A27558" s="8">
        <v>43892.113009259258</v>
      </c>
      <c r="B27558" s="8" t="str">
        <f>HYPERLINK("https://twitter.com/Kabar_Tangsel","@Kabar_Tangsel")</f>
        <v>@Kabar_Tangsel</v>
      </c>
      <c r="C27558" s="8" t="s">
        <v>10484</v>
      </c>
      <c r="D27558" s="8">
        <v>0</v>
      </c>
      <c r="E27558" s="8">
        <v>0</v>
      </c>
      <c r="F27558" s="8">
        <v>14955</v>
      </c>
    </row>
    <row r="27559" spans="1:6" ht="12.75">
      <c r="A27559" s="8">
        <v>43892.112939814819</v>
      </c>
      <c r="B27559" s="8" t="str">
        <f>HYPERLINK("https://twitter.com/TDzaraif","@TDzaraif")</f>
        <v>@TDzaraif</v>
      </c>
      <c r="C27559" s="8" t="s">
        <v>4000</v>
      </c>
      <c r="D27559" s="8">
        <v>34</v>
      </c>
      <c r="E27559" s="8">
        <v>0</v>
      </c>
      <c r="F27559" s="8">
        <v>37</v>
      </c>
    </row>
    <row r="27560" spans="1:6" ht="12.75">
      <c r="A27560" s="8">
        <v>43892.112604166672</v>
      </c>
      <c r="B27560" s="8" t="str">
        <f>HYPERLINK("https://twitter.com/imannn_97","@imannn_97")</f>
        <v>@imannn_97</v>
      </c>
      <c r="C27560" s="8" t="s">
        <v>2199</v>
      </c>
      <c r="D27560" s="8">
        <v>1365</v>
      </c>
      <c r="E27560" s="8">
        <v>0</v>
      </c>
      <c r="F27560" s="8">
        <v>663</v>
      </c>
    </row>
    <row r="27561" spans="1:6" ht="12.75">
      <c r="A27561" s="8">
        <v>43892.112291666665</v>
      </c>
      <c r="B27561" s="8" t="str">
        <f>HYPERLINK("https://twitter.com/MoeslimWay","@MoeslimWay")</f>
        <v>@MoeslimWay</v>
      </c>
      <c r="C27561" s="8" t="s">
        <v>3850</v>
      </c>
      <c r="D27561" s="8">
        <v>969</v>
      </c>
      <c r="E27561" s="8">
        <v>0</v>
      </c>
      <c r="F27561" s="8">
        <v>141985</v>
      </c>
    </row>
    <row r="27562" spans="1:6" ht="12.75">
      <c r="A27562" s="8">
        <v>43892.111597222218</v>
      </c>
      <c r="B27562" s="8" t="str">
        <f>HYPERLINK("https://twitter.com/fhhary","@fhhary")</f>
        <v>@fhhary</v>
      </c>
      <c r="C27562" s="8" t="s">
        <v>10468</v>
      </c>
      <c r="D27562" s="8">
        <v>35</v>
      </c>
      <c r="E27562" s="8">
        <v>0</v>
      </c>
      <c r="F27562" s="8">
        <v>24</v>
      </c>
    </row>
    <row r="27563" spans="1:6" ht="12.75">
      <c r="A27563" s="8">
        <v>43892.111250000002</v>
      </c>
      <c r="B27563" s="8" t="str">
        <f>HYPERLINK("https://twitter.com/kirulanglo","@kirulanglo")</f>
        <v>@kirulanglo</v>
      </c>
      <c r="C27563" s="8" t="s">
        <v>10375</v>
      </c>
      <c r="D27563" s="8">
        <v>37</v>
      </c>
      <c r="E27563" s="8">
        <v>0</v>
      </c>
      <c r="F27563" s="8">
        <v>1956</v>
      </c>
    </row>
    <row r="27564" spans="1:6" ht="12.75">
      <c r="A27564" s="8">
        <v>43892.110925925925</v>
      </c>
      <c r="B27564" s="8" t="str">
        <f>HYPERLINK("https://twitter.com/kuaajajaalajuja","@kuaajajaalajuja")</f>
        <v>@kuaajajaalajuja</v>
      </c>
      <c r="C27564" s="8" t="s">
        <v>9729</v>
      </c>
      <c r="D27564" s="8">
        <v>116</v>
      </c>
      <c r="E27564" s="8">
        <v>0</v>
      </c>
      <c r="F27564" s="8">
        <v>268</v>
      </c>
    </row>
    <row r="27565" spans="1:6" ht="12.75">
      <c r="A27565" s="8">
        <v>43892.110567129625</v>
      </c>
      <c r="B27565" s="8" t="str">
        <f>HYPERLINK("https://twitter.com/shandityaf","@shandityaf")</f>
        <v>@shandityaf</v>
      </c>
      <c r="C27565" s="8" t="s">
        <v>2199</v>
      </c>
      <c r="D27565" s="8">
        <v>1365</v>
      </c>
      <c r="E27565" s="8">
        <v>0</v>
      </c>
      <c r="F27565" s="8">
        <v>2567</v>
      </c>
    </row>
    <row r="27566" spans="1:6" ht="12.75">
      <c r="A27566" s="8">
        <v>43892.110335648147</v>
      </c>
      <c r="B27566" s="8" t="str">
        <f>HYPERLINK("https://twitter.com/Danimas19","@Danimas19")</f>
        <v>@Danimas19</v>
      </c>
      <c r="C27566" s="8" t="s">
        <v>10111</v>
      </c>
      <c r="D27566" s="8">
        <v>116</v>
      </c>
      <c r="E27566" s="8">
        <v>0</v>
      </c>
      <c r="F27566" s="8">
        <v>68</v>
      </c>
    </row>
    <row r="27567" spans="1:6" ht="12.75">
      <c r="A27567" s="8">
        <v>43892.110231481478</v>
      </c>
      <c r="B27567" s="8" t="str">
        <f>HYPERLINK("https://twitter.com/_freakend","@_freakend")</f>
        <v>@_freakend</v>
      </c>
      <c r="C27567" s="8" t="s">
        <v>2199</v>
      </c>
      <c r="D27567" s="8">
        <v>1365</v>
      </c>
      <c r="E27567" s="8">
        <v>0</v>
      </c>
      <c r="F27567" s="8">
        <v>2345</v>
      </c>
    </row>
    <row r="27568" spans="1:6" ht="12.75">
      <c r="A27568" s="8">
        <v>43892.110196759255</v>
      </c>
      <c r="B27568" s="8" t="str">
        <f>HYPERLINK("https://twitter.com/aburayya1","@aburayya1")</f>
        <v>@aburayya1</v>
      </c>
      <c r="C27568" s="8" t="s">
        <v>5732</v>
      </c>
      <c r="D27568" s="8">
        <v>325</v>
      </c>
      <c r="E27568" s="8">
        <v>0</v>
      </c>
      <c r="F27568" s="8">
        <v>83</v>
      </c>
    </row>
    <row r="27569" spans="1:6" ht="12.75">
      <c r="A27569" s="8">
        <v>43892.110115740739</v>
      </c>
      <c r="B27569" s="8" t="str">
        <f>HYPERLINK("https://twitter.com/sidooeellll","@sidooeellll")</f>
        <v>@sidooeellll</v>
      </c>
      <c r="C27569" s="8" t="s">
        <v>2199</v>
      </c>
      <c r="D27569" s="8">
        <v>1365</v>
      </c>
      <c r="E27569" s="8">
        <v>0</v>
      </c>
      <c r="F27569" s="8">
        <v>618</v>
      </c>
    </row>
    <row r="27570" spans="1:6" ht="12.75">
      <c r="A27570" s="8">
        <v>43892.109548611115</v>
      </c>
      <c r="B27570" s="8" t="str">
        <f>HYPERLINK("https://twitter.com/Tiyasyoungapril","@Tiyasyoungapril")</f>
        <v>@Tiyasyoungapril</v>
      </c>
      <c r="C27570" s="8" t="s">
        <v>5732</v>
      </c>
      <c r="D27570" s="8">
        <v>325</v>
      </c>
      <c r="E27570" s="8">
        <v>0</v>
      </c>
      <c r="F27570" s="8">
        <v>305</v>
      </c>
    </row>
    <row r="27571" spans="1:6" ht="12.75">
      <c r="A27571" s="8">
        <v>43892.109490740739</v>
      </c>
      <c r="B27571" s="8" t="str">
        <f>HYPERLINK("https://twitter.com/CahNdes0bgt","@CahNdes0bgt")</f>
        <v>@CahNdes0bgt</v>
      </c>
      <c r="C27571" s="8" t="s">
        <v>2199</v>
      </c>
      <c r="D27571" s="8">
        <v>1365</v>
      </c>
      <c r="E27571" s="8">
        <v>0</v>
      </c>
      <c r="F27571" s="8">
        <v>1065</v>
      </c>
    </row>
    <row r="27572" spans="1:6" ht="12.75">
      <c r="A27572" s="8">
        <v>43892.109201388885</v>
      </c>
      <c r="B27572" s="8" t="str">
        <f>HYPERLINK("https://twitter.com/MVVZ3","@MVVZ3")</f>
        <v>@MVVZ3</v>
      </c>
      <c r="C27572" s="8" t="s">
        <v>10295</v>
      </c>
      <c r="D27572" s="8">
        <v>65</v>
      </c>
      <c r="E27572" s="8">
        <v>0</v>
      </c>
      <c r="F27572" s="8">
        <v>1062</v>
      </c>
    </row>
    <row r="27573" spans="1:6" ht="12.75">
      <c r="A27573" s="8">
        <v>43892.109074074076</v>
      </c>
      <c r="B27573" s="8" t="str">
        <f>HYPERLINK("https://twitter.com/astrojoy11","@astrojoy11")</f>
        <v>@astrojoy11</v>
      </c>
      <c r="C27573" s="8" t="s">
        <v>3850</v>
      </c>
      <c r="D27573" s="8">
        <v>969</v>
      </c>
      <c r="E27573" s="8">
        <v>0</v>
      </c>
      <c r="F27573" s="8">
        <v>470</v>
      </c>
    </row>
    <row r="27574" spans="1:6" ht="12.75">
      <c r="A27574" s="8">
        <v>43892.108923611115</v>
      </c>
      <c r="B27574" s="8" t="str">
        <f>HYPERLINK("https://twitter.com/MinkaShodiq","@MinkaShodiq")</f>
        <v>@MinkaShodiq</v>
      </c>
      <c r="C27574" s="8" t="s">
        <v>10288</v>
      </c>
      <c r="D27574" s="8">
        <v>55</v>
      </c>
      <c r="E27574" s="8">
        <v>0</v>
      </c>
      <c r="F27574" s="8">
        <v>1516</v>
      </c>
    </row>
    <row r="27575" spans="1:6" ht="12.75">
      <c r="A27575" s="8">
        <v>43892.108541666668</v>
      </c>
      <c r="B27575" s="8" t="str">
        <f>HYPERLINK("https://twitter.com/aditpradikaa","@aditpradikaa")</f>
        <v>@aditpradikaa</v>
      </c>
      <c r="C27575" s="8" t="s">
        <v>2199</v>
      </c>
      <c r="D27575" s="8">
        <v>1365</v>
      </c>
      <c r="E27575" s="8">
        <v>0</v>
      </c>
      <c r="F27575" s="8">
        <v>458</v>
      </c>
    </row>
    <row r="27576" spans="1:6" ht="12.75">
      <c r="A27576" s="8">
        <v>43892.108391203699</v>
      </c>
      <c r="B27576" s="8" t="str">
        <f>HYPERLINK("https://twitter.com/wijaya_48","@wijaya_48")</f>
        <v>@wijaya_48</v>
      </c>
      <c r="C27576" s="8" t="s">
        <v>10369</v>
      </c>
      <c r="D27576" s="8">
        <v>68</v>
      </c>
      <c r="E27576" s="8">
        <v>0</v>
      </c>
      <c r="F27576" s="8">
        <v>382</v>
      </c>
    </row>
    <row r="27577" spans="1:6" ht="12.75">
      <c r="A27577" s="8">
        <v>43892.10836805556</v>
      </c>
      <c r="B27577" s="8" t="str">
        <f>HYPERLINK("https://twitter.com/martintambunan","@martintambunan")</f>
        <v>@martintambunan</v>
      </c>
      <c r="C27577" s="8" t="s">
        <v>9238</v>
      </c>
      <c r="D27577" s="8">
        <v>87</v>
      </c>
      <c r="E27577" s="8">
        <v>0</v>
      </c>
      <c r="F27577" s="8">
        <v>655</v>
      </c>
    </row>
    <row r="27578" spans="1:6" ht="12.75">
      <c r="A27578" s="8">
        <v>43892.107777777783</v>
      </c>
      <c r="B27578" s="8" t="str">
        <f>HYPERLINK("https://twitter.com/Alie_Fahnoor","@Alie_Fahnoor")</f>
        <v>@Alie_Fahnoor</v>
      </c>
      <c r="C27578" s="8" t="s">
        <v>9729</v>
      </c>
      <c r="D27578" s="8">
        <v>116</v>
      </c>
      <c r="E27578" s="8">
        <v>0</v>
      </c>
      <c r="F27578" s="8">
        <v>458</v>
      </c>
    </row>
    <row r="27579" spans="1:6" ht="12.75">
      <c r="A27579" s="8">
        <v>43892.107673611114</v>
      </c>
      <c r="B27579" s="8" t="str">
        <f>HYPERLINK("https://twitter.com/hasanahnur088","@hasanahnur088")</f>
        <v>@hasanahnur088</v>
      </c>
      <c r="C27579" s="8" t="s">
        <v>10439</v>
      </c>
      <c r="D27579" s="8">
        <v>4</v>
      </c>
      <c r="E27579" s="8">
        <v>0</v>
      </c>
      <c r="F27579" s="8">
        <v>232</v>
      </c>
    </row>
    <row r="27580" spans="1:6" ht="12.75">
      <c r="A27580" s="8">
        <v>43892.090150462958</v>
      </c>
      <c r="B27580" s="8" t="str">
        <f>HYPERLINK("https://twitter.com/kidouluvme","@kidouluvme")</f>
        <v>@kidouluvme</v>
      </c>
      <c r="C27580" s="8" t="s">
        <v>2199</v>
      </c>
      <c r="D27580" s="8">
        <v>1301</v>
      </c>
      <c r="E27580" s="8">
        <v>0</v>
      </c>
      <c r="F27580" s="8">
        <v>268</v>
      </c>
    </row>
    <row r="27581" spans="1:6" ht="12.75">
      <c r="A27581" s="8">
        <v>43892.090092592596</v>
      </c>
      <c r="B27581" s="8" t="str">
        <f>HYPERLINK("https://twitter.com/becak125cc","@becak125cc")</f>
        <v>@becak125cc</v>
      </c>
      <c r="C27581" s="8" t="s">
        <v>10174</v>
      </c>
      <c r="D27581" s="8">
        <v>17</v>
      </c>
      <c r="E27581" s="8">
        <v>0</v>
      </c>
      <c r="F27581" s="8">
        <v>542</v>
      </c>
    </row>
    <row r="27582" spans="1:6" ht="12.75">
      <c r="A27582" s="8">
        <v>43892.09003472222</v>
      </c>
      <c r="B27582" s="8" t="str">
        <f>HYPERLINK("https://twitter.com/sanpelangi","@sanpelangi")</f>
        <v>@sanpelangi</v>
      </c>
      <c r="C27582" s="8" t="s">
        <v>9130</v>
      </c>
      <c r="D27582" s="8">
        <v>226</v>
      </c>
      <c r="E27582" s="8">
        <v>0</v>
      </c>
      <c r="F27582" s="8">
        <v>196</v>
      </c>
    </row>
    <row r="27583" spans="1:6" ht="12.75">
      <c r="A27583" s="8">
        <v>43892.090011574073</v>
      </c>
      <c r="B27583" s="8" t="str">
        <f>HYPERLINK("https://twitter.com/elmira_alkha","@elmira_alkha")</f>
        <v>@elmira_alkha</v>
      </c>
      <c r="C27583" s="8" t="s">
        <v>2199</v>
      </c>
      <c r="D27583" s="8">
        <v>1301</v>
      </c>
      <c r="E27583" s="8">
        <v>0</v>
      </c>
      <c r="F27583" s="8">
        <v>552</v>
      </c>
    </row>
    <row r="27584" spans="1:6" ht="12.75">
      <c r="A27584" s="8">
        <v>43892.090011574073</v>
      </c>
      <c r="B27584" s="8" t="str">
        <f>HYPERLINK("https://twitter.com/IsmiHrtanti","@IsmiHrtanti")</f>
        <v>@IsmiHrtanti</v>
      </c>
      <c r="C27584" s="8" t="s">
        <v>2199</v>
      </c>
      <c r="D27584" s="8">
        <v>1301</v>
      </c>
      <c r="E27584" s="8">
        <v>0</v>
      </c>
      <c r="F27584" s="8">
        <v>2169</v>
      </c>
    </row>
    <row r="27585" spans="1:6" ht="12.75">
      <c r="A27585" s="8">
        <v>43892.089733796296</v>
      </c>
      <c r="B27585" s="8" t="str">
        <f>HYPERLINK("https://twitter.com/kidouluvme","@kidouluvme")</f>
        <v>@kidouluvme</v>
      </c>
      <c r="C27585" s="8" t="s">
        <v>1749</v>
      </c>
      <c r="D27585" s="8">
        <v>16</v>
      </c>
      <c r="E27585" s="8">
        <v>0</v>
      </c>
      <c r="F27585" s="8">
        <v>268</v>
      </c>
    </row>
    <row r="27586" spans="1:6" ht="12.75">
      <c r="A27586" s="8">
        <v>43892.089641203704</v>
      </c>
      <c r="B27586" s="8" t="str">
        <f>HYPERLINK("https://twitter.com/gubernursolomon","@gubernursolomon")</f>
        <v>@gubernursolomon</v>
      </c>
      <c r="C27586" s="8" t="s">
        <v>2199</v>
      </c>
      <c r="D27586" s="8">
        <v>1301</v>
      </c>
      <c r="E27586" s="8">
        <v>0</v>
      </c>
      <c r="F27586" s="8">
        <v>61</v>
      </c>
    </row>
    <row r="27587" spans="1:6" ht="12.75">
      <c r="A27587" s="8">
        <v>43892.089467592596</v>
      </c>
      <c r="B27587" s="8" t="str">
        <f>HYPERLINK("https://twitter.com/mugirahayup","@mugirahayup")</f>
        <v>@mugirahayup</v>
      </c>
      <c r="C27587" s="8" t="s">
        <v>10485</v>
      </c>
      <c r="D27587" s="8">
        <v>7</v>
      </c>
      <c r="E27587" s="8">
        <v>0</v>
      </c>
      <c r="F27587" s="8">
        <v>684</v>
      </c>
    </row>
    <row r="27588" spans="1:6" ht="12.75">
      <c r="A27588" s="8">
        <v>43892.088912037041</v>
      </c>
      <c r="B27588" s="8" t="str">
        <f>HYPERLINK("https://twitter.com/7endralKad_run","@7endralKad_run")</f>
        <v>@7endralKad_run</v>
      </c>
      <c r="C27588" s="8" t="s">
        <v>10486</v>
      </c>
      <c r="D27588" s="8">
        <v>1</v>
      </c>
      <c r="E27588" s="8">
        <v>0</v>
      </c>
      <c r="F27588" s="8">
        <v>780</v>
      </c>
    </row>
    <row r="27589" spans="1:6" ht="12.75">
      <c r="A27589" s="8">
        <v>43892.088854166665</v>
      </c>
      <c r="B27589" s="8" t="str">
        <f>HYPERLINK("https://twitter.com/ElvinaFazilla","@ElvinaFazilla")</f>
        <v>@ElvinaFazilla</v>
      </c>
      <c r="C27589" s="8" t="s">
        <v>10487</v>
      </c>
      <c r="D27589" s="8">
        <v>11</v>
      </c>
      <c r="E27589" s="8">
        <v>0</v>
      </c>
      <c r="F27589" s="8">
        <v>1930</v>
      </c>
    </row>
    <row r="27590" spans="1:6" ht="12.75">
      <c r="A27590" s="8">
        <v>43892.088842592595</v>
      </c>
      <c r="B27590" s="8" t="str">
        <f>HYPERLINK("https://twitter.com/SantaiSlurrrr","@SantaiSlurrrr")</f>
        <v>@SantaiSlurrrr</v>
      </c>
      <c r="C27590" s="8" t="s">
        <v>10488</v>
      </c>
      <c r="D27590" s="8">
        <v>22</v>
      </c>
      <c r="E27590" s="8">
        <v>0</v>
      </c>
      <c r="F27590" s="8">
        <v>97</v>
      </c>
    </row>
    <row r="27591" spans="1:6" ht="12.75">
      <c r="A27591" s="8">
        <v>43892.088761574079</v>
      </c>
      <c r="B27591" s="8" t="str">
        <f>HYPERLINK("https://twitter.com/7endralKad_run","@7endralKad_run")</f>
        <v>@7endralKad_run</v>
      </c>
      <c r="C27591" s="8" t="s">
        <v>10489</v>
      </c>
      <c r="D27591" s="8">
        <v>1</v>
      </c>
      <c r="E27591" s="8">
        <v>1</v>
      </c>
      <c r="F27591" s="8">
        <v>780</v>
      </c>
    </row>
    <row r="27592" spans="1:6" ht="12.75">
      <c r="A27592" s="8">
        <v>43892.088761574079</v>
      </c>
      <c r="B27592" s="8" t="str">
        <f>HYPERLINK("https://twitter.com/Kisame34619419","@Kisame34619419")</f>
        <v>@Kisame34619419</v>
      </c>
      <c r="C27592" s="8" t="s">
        <v>10490</v>
      </c>
      <c r="D27592" s="8">
        <v>0</v>
      </c>
      <c r="E27592" s="8">
        <v>0</v>
      </c>
      <c r="F27592" s="8">
        <v>0</v>
      </c>
    </row>
    <row r="27593" spans="1:6" ht="12.75">
      <c r="A27593" s="8">
        <v>43892.088356481487</v>
      </c>
      <c r="B27593" s="8" t="str">
        <f>HYPERLINK("https://twitter.com/septiandriant0","@septiandriant0")</f>
        <v>@septiandriant0</v>
      </c>
      <c r="C27593" s="8" t="s">
        <v>2199</v>
      </c>
      <c r="D27593" s="8">
        <v>1301</v>
      </c>
      <c r="E27593" s="8">
        <v>0</v>
      </c>
      <c r="F27593" s="8">
        <v>416</v>
      </c>
    </row>
    <row r="27594" spans="1:6" ht="12.75">
      <c r="A27594" s="8">
        <v>43892.088136574079</v>
      </c>
      <c r="B27594" s="8" t="str">
        <f>HYPERLINK("https://twitter.com/topinfo_id","@topinfo_id")</f>
        <v>@topinfo_id</v>
      </c>
      <c r="C27594" s="8" t="s">
        <v>10470</v>
      </c>
      <c r="D27594" s="8">
        <v>0</v>
      </c>
      <c r="E27594" s="8">
        <v>0</v>
      </c>
      <c r="F27594" s="8">
        <v>26</v>
      </c>
    </row>
    <row r="27595" spans="1:6" ht="12.75">
      <c r="A27595" s="8">
        <v>43892.08803240741</v>
      </c>
      <c r="B27595" s="8" t="str">
        <f>HYPERLINK("https://twitter.com/AJGAlam","@AJGAlam")</f>
        <v>@AJGAlam</v>
      </c>
      <c r="C27595" s="8" t="s">
        <v>2199</v>
      </c>
      <c r="D27595" s="8">
        <v>1301</v>
      </c>
      <c r="E27595" s="8">
        <v>0</v>
      </c>
      <c r="F27595" s="8">
        <v>493</v>
      </c>
    </row>
    <row r="27596" spans="1:6" ht="12.75">
      <c r="A27596" s="8">
        <v>43892.087766203702</v>
      </c>
      <c r="B27596" s="8" t="str">
        <f>HYPERLINK("https://twitter.com/ednytendean","@ednytendean")</f>
        <v>@ednytendean</v>
      </c>
      <c r="C27596" s="8" t="s">
        <v>10449</v>
      </c>
      <c r="D27596" s="8">
        <v>69</v>
      </c>
      <c r="E27596" s="8">
        <v>0</v>
      </c>
      <c r="F27596" s="8">
        <v>1039</v>
      </c>
    </row>
    <row r="27597" spans="1:6" ht="12.75">
      <c r="A27597" s="8">
        <v>43892.087696759263</v>
      </c>
      <c r="B27597" s="8" t="str">
        <f>HYPERLINK("https://twitter.com/friedshallot","@friedshallot")</f>
        <v>@friedshallot</v>
      </c>
      <c r="C27597" s="8" t="s">
        <v>2199</v>
      </c>
      <c r="D27597" s="8">
        <v>1301</v>
      </c>
      <c r="E27597" s="8">
        <v>0</v>
      </c>
      <c r="F27597" s="8">
        <v>718</v>
      </c>
    </row>
    <row r="27598" spans="1:6" ht="12.75">
      <c r="A27598" s="8">
        <v>43892.087546296301</v>
      </c>
      <c r="B27598" s="8" t="str">
        <f>HYPERLINK("https://twitter.com/Kecoakterbangzz","@Kecoakterbangzz")</f>
        <v>@Kecoakterbangzz</v>
      </c>
      <c r="C27598" s="8" t="s">
        <v>2199</v>
      </c>
      <c r="D27598" s="8">
        <v>1301</v>
      </c>
      <c r="E27598" s="8">
        <v>0</v>
      </c>
      <c r="F27598" s="8">
        <v>13</v>
      </c>
    </row>
    <row r="27599" spans="1:6" ht="12.75">
      <c r="A27599" s="8">
        <v>43892.087453703702</v>
      </c>
      <c r="B27599" s="8" t="str">
        <f>HYPERLINK("https://twitter.com/nniar93","@nniar93")</f>
        <v>@nniar93</v>
      </c>
      <c r="C27599" s="8" t="s">
        <v>3850</v>
      </c>
      <c r="D27599" s="8">
        <v>957</v>
      </c>
      <c r="E27599" s="8">
        <v>0</v>
      </c>
      <c r="F27599" s="8">
        <v>531</v>
      </c>
    </row>
    <row r="27600" spans="1:6" ht="12.75">
      <c r="A27600" s="8">
        <v>43892.087395833332</v>
      </c>
      <c r="B27600" s="8" t="str">
        <f>HYPERLINK("https://twitter.com/TurahJoni","@TurahJoni")</f>
        <v>@TurahJoni</v>
      </c>
      <c r="C27600" s="8" t="s">
        <v>4150</v>
      </c>
      <c r="D27600" s="8">
        <v>76</v>
      </c>
      <c r="E27600" s="8">
        <v>0</v>
      </c>
      <c r="F27600" s="8">
        <v>1189</v>
      </c>
    </row>
    <row r="27601" spans="1:6" ht="12.75">
      <c r="A27601" s="8">
        <v>43892.087314814809</v>
      </c>
      <c r="B27601" s="8" t="str">
        <f>HYPERLINK("https://twitter.com/anto_bayu","@anto_bayu")</f>
        <v>@anto_bayu</v>
      </c>
      <c r="C27601" s="8" t="s">
        <v>2199</v>
      </c>
      <c r="D27601" s="8">
        <v>1301</v>
      </c>
      <c r="E27601" s="8">
        <v>0</v>
      </c>
      <c r="F27601" s="8">
        <v>217</v>
      </c>
    </row>
    <row r="27602" spans="1:6" ht="12.75">
      <c r="A27602" s="8">
        <v>43892.087314814809</v>
      </c>
      <c r="B27602" s="8" t="str">
        <f>HYPERLINK("https://twitter.com/mas_dikin786","@mas_dikin786")</f>
        <v>@mas_dikin786</v>
      </c>
      <c r="C27602" s="8" t="s">
        <v>10491</v>
      </c>
      <c r="D27602" s="8">
        <v>3</v>
      </c>
      <c r="E27602" s="8">
        <v>0</v>
      </c>
      <c r="F27602" s="8">
        <v>97</v>
      </c>
    </row>
    <row r="27603" spans="1:6" ht="12.75">
      <c r="A27603" s="8">
        <v>43892.087141203709</v>
      </c>
      <c r="B27603" s="8" t="str">
        <f>HYPERLINK("https://twitter.com/otak_iblis","@otak_iblis")</f>
        <v>@otak_iblis</v>
      </c>
      <c r="C27603" s="8" t="s">
        <v>2199</v>
      </c>
      <c r="D27603" s="8">
        <v>1301</v>
      </c>
      <c r="E27603" s="8">
        <v>0</v>
      </c>
      <c r="F27603" s="8">
        <v>730</v>
      </c>
    </row>
    <row r="27604" spans="1:6" ht="12.75">
      <c r="A27604" s="8">
        <v>43892.087002314816</v>
      </c>
      <c r="B27604" s="8" t="str">
        <f>HYPERLINK("https://twitter.com/addy_lantang","@addy_lantang")</f>
        <v>@addy_lantang</v>
      </c>
      <c r="C27604" s="8" t="s">
        <v>2199</v>
      </c>
      <c r="D27604" s="8">
        <v>1301</v>
      </c>
      <c r="E27604" s="8">
        <v>0</v>
      </c>
      <c r="F27604" s="8">
        <v>9</v>
      </c>
    </row>
    <row r="27605" spans="1:6" ht="12.75">
      <c r="A27605" s="8">
        <v>43892.08693287037</v>
      </c>
      <c r="B27605" s="8" t="str">
        <f>HYPERLINK("https://twitter.com/rdf0201","@rdf0201")</f>
        <v>@rdf0201</v>
      </c>
      <c r="C27605" s="8" t="s">
        <v>2199</v>
      </c>
      <c r="D27605" s="8">
        <v>1301</v>
      </c>
      <c r="E27605" s="8">
        <v>0</v>
      </c>
      <c r="F27605" s="8">
        <v>232</v>
      </c>
    </row>
    <row r="27606" spans="1:6" ht="12.75">
      <c r="A27606" s="8">
        <v>43892.086724537032</v>
      </c>
      <c r="B27606" s="8" t="str">
        <f>HYPERLINK("https://twitter.com/sukabbanjar","@sukabbanjar")</f>
        <v>@sukabbanjar</v>
      </c>
      <c r="C27606" s="8" t="s">
        <v>2199</v>
      </c>
      <c r="D27606" s="8">
        <v>1301</v>
      </c>
      <c r="E27606" s="8">
        <v>0</v>
      </c>
      <c r="F27606" s="8">
        <v>30</v>
      </c>
    </row>
    <row r="27607" spans="1:6" ht="12.75">
      <c r="A27607" s="8">
        <v>43892.086342592593</v>
      </c>
      <c r="B27607" s="8" t="str">
        <f>HYPERLINK("https://twitter.com/brokolilady","@brokolilady")</f>
        <v>@brokolilady</v>
      </c>
      <c r="C27607" s="8" t="s">
        <v>10492</v>
      </c>
      <c r="D27607" s="8">
        <v>0</v>
      </c>
      <c r="E27607" s="8">
        <v>0</v>
      </c>
      <c r="F27607" s="8">
        <v>1496</v>
      </c>
    </row>
    <row r="27608" spans="1:6" ht="12.75">
      <c r="A27608" s="8">
        <v>43892.086238425924</v>
      </c>
      <c r="B27608" s="8" t="str">
        <f>HYPERLINK("https://twitter.com/yurikoimut","@yurikoimut")</f>
        <v>@yurikoimut</v>
      </c>
      <c r="C27608" s="8" t="s">
        <v>10456</v>
      </c>
      <c r="D27608" s="8">
        <v>40</v>
      </c>
      <c r="E27608" s="8">
        <v>0</v>
      </c>
      <c r="F27608" s="8">
        <v>3646</v>
      </c>
    </row>
    <row r="27609" spans="1:6" ht="12.75">
      <c r="A27609" s="8">
        <v>43892.086215277777</v>
      </c>
      <c r="B27609" s="8" t="str">
        <f>HYPERLINK("https://twitter.com/MuhammadIsaMusa","@MuhammadIsaMusa")</f>
        <v>@MuhammadIsaMusa</v>
      </c>
      <c r="C27609" s="8" t="s">
        <v>4990</v>
      </c>
      <c r="D27609" s="8">
        <v>176</v>
      </c>
      <c r="E27609" s="8">
        <v>0</v>
      </c>
      <c r="F27609" s="8">
        <v>229</v>
      </c>
    </row>
    <row r="27610" spans="1:6" ht="12.75">
      <c r="A27610" s="8">
        <v>43892.086111111115</v>
      </c>
      <c r="B27610" s="8" t="str">
        <f>HYPERLINK("https://twitter.com/dharmaayunagari","@dharmaayunagari")</f>
        <v>@dharmaayunagari</v>
      </c>
      <c r="C27610" s="8" t="s">
        <v>10493</v>
      </c>
      <c r="D27610" s="8">
        <v>0</v>
      </c>
      <c r="E27610" s="8">
        <v>0</v>
      </c>
      <c r="F27610" s="8">
        <v>422</v>
      </c>
    </row>
    <row r="27611" spans="1:6" ht="12.75">
      <c r="A27611" s="8">
        <v>43892.086076388892</v>
      </c>
      <c r="B27611" s="8" t="str">
        <f>HYPERLINK("https://twitter.com/KimasSinting","@KimasSinting")</f>
        <v>@KimasSinting</v>
      </c>
      <c r="C27611" s="8" t="s">
        <v>2199</v>
      </c>
      <c r="D27611" s="8">
        <v>1301</v>
      </c>
      <c r="E27611" s="8">
        <v>0</v>
      </c>
      <c r="F27611" s="8">
        <v>463</v>
      </c>
    </row>
    <row r="27612" spans="1:6" ht="12.75">
      <c r="A27612" s="8">
        <v>43892.08592592593</v>
      </c>
      <c r="B27612" s="8" t="str">
        <f>HYPERLINK("https://twitter.com/bardiz12","@bardiz12")</f>
        <v>@bardiz12</v>
      </c>
      <c r="C27612" s="8" t="s">
        <v>2199</v>
      </c>
      <c r="D27612" s="8">
        <v>1301</v>
      </c>
      <c r="E27612" s="8">
        <v>0</v>
      </c>
      <c r="F27612" s="8">
        <v>24187</v>
      </c>
    </row>
    <row r="27613" spans="1:6" ht="12.75">
      <c r="A27613" s="8">
        <v>43892.085914351846</v>
      </c>
      <c r="B27613" s="8" t="str">
        <f>HYPERLINK("https://twitter.com/Suyarno13","@Suyarno13")</f>
        <v>@Suyarno13</v>
      </c>
      <c r="C27613" s="8" t="s">
        <v>5732</v>
      </c>
      <c r="D27613" s="8">
        <v>301</v>
      </c>
      <c r="E27613" s="8">
        <v>0</v>
      </c>
      <c r="F27613" s="8">
        <v>257</v>
      </c>
    </row>
    <row r="27614" spans="1:6" ht="12.75">
      <c r="A27614" s="8">
        <v>43892.085601851853</v>
      </c>
      <c r="B27614" s="8" t="str">
        <f>HYPERLINK("https://twitter.com/patbnc","@patbnc")</f>
        <v>@patbnc</v>
      </c>
      <c r="C27614" s="8" t="s">
        <v>2199</v>
      </c>
      <c r="D27614" s="8">
        <v>1301</v>
      </c>
      <c r="E27614" s="8">
        <v>0</v>
      </c>
      <c r="F27614" s="8">
        <v>519</v>
      </c>
    </row>
    <row r="27615" spans="1:6" ht="12.75">
      <c r="A27615" s="8">
        <v>43892.08556712963</v>
      </c>
      <c r="B27615" s="8" t="str">
        <f>HYPERLINK("https://twitter.com/erpe30","@erpe30")</f>
        <v>@erpe30</v>
      </c>
      <c r="C27615" s="8" t="s">
        <v>6542</v>
      </c>
      <c r="D27615" s="8">
        <v>156</v>
      </c>
      <c r="E27615" s="8">
        <v>0</v>
      </c>
      <c r="F27615" s="8">
        <v>273</v>
      </c>
    </row>
    <row r="27616" spans="1:6" ht="12.75">
      <c r="A27616" s="8">
        <v>43892.085520833338</v>
      </c>
      <c r="B27616" s="8" t="str">
        <f>HYPERLINK("https://twitter.com/dharmaayunagari","@dharmaayunagari")</f>
        <v>@dharmaayunagari</v>
      </c>
      <c r="C27616" s="8" t="s">
        <v>10493</v>
      </c>
      <c r="D27616" s="8">
        <v>0</v>
      </c>
      <c r="E27616" s="8">
        <v>0</v>
      </c>
      <c r="F27616" s="8">
        <v>422</v>
      </c>
    </row>
    <row r="27617" spans="1:6" ht="12.75">
      <c r="A27617" s="8">
        <v>43892.085509259261</v>
      </c>
      <c r="B27617" s="8" t="str">
        <f>HYPERLINK("https://twitter.com/adriankusaihir1","@adriankusaihir1")</f>
        <v>@adriankusaihir1</v>
      </c>
      <c r="C27617" s="8" t="s">
        <v>10494</v>
      </c>
      <c r="D27617" s="8">
        <v>0</v>
      </c>
      <c r="E27617" s="8">
        <v>0</v>
      </c>
      <c r="F27617" s="8">
        <v>166</v>
      </c>
    </row>
    <row r="27618" spans="1:6" ht="12.75">
      <c r="A27618" s="8">
        <v>43892.085312499999</v>
      </c>
      <c r="B27618" s="8" t="str">
        <f>HYPERLINK("https://twitter.com/7endralKad_run","@7endralKad_run")</f>
        <v>@7endralKad_run</v>
      </c>
      <c r="C27618" s="8" t="s">
        <v>10495</v>
      </c>
      <c r="D27618" s="8">
        <v>1</v>
      </c>
      <c r="E27618" s="8">
        <v>0</v>
      </c>
      <c r="F27618" s="8">
        <v>780</v>
      </c>
    </row>
    <row r="27619" spans="1:6" ht="12.75">
      <c r="A27619" s="8">
        <v>43892.085196759261</v>
      </c>
      <c r="B27619" s="8" t="str">
        <f>HYPERLINK("https://twitter.com/moongoaway","@moongoaway")</f>
        <v>@moongoaway</v>
      </c>
      <c r="C27619" s="8" t="s">
        <v>2199</v>
      </c>
      <c r="D27619" s="8">
        <v>1301</v>
      </c>
      <c r="E27619" s="8">
        <v>0</v>
      </c>
      <c r="F27619" s="8">
        <v>363</v>
      </c>
    </row>
    <row r="27620" spans="1:6" ht="12.75">
      <c r="A27620" s="8">
        <v>43892.085162037038</v>
      </c>
      <c r="B27620" s="8" t="str">
        <f>HYPERLINK("https://twitter.com/7endralKad_run","@7endralKad_run")</f>
        <v>@7endralKad_run</v>
      </c>
      <c r="C27620" s="8" t="s">
        <v>10496</v>
      </c>
      <c r="D27620" s="8">
        <v>1</v>
      </c>
      <c r="E27620" s="8">
        <v>1</v>
      </c>
      <c r="F27620" s="8">
        <v>780</v>
      </c>
    </row>
    <row r="27621" spans="1:6" ht="12.75">
      <c r="A27621" s="8">
        <v>43892.085115740745</v>
      </c>
      <c r="B27621" s="8" t="str">
        <f>HYPERLINK("https://twitter.com/brokolilady","@brokolilady")</f>
        <v>@brokolilady</v>
      </c>
      <c r="C27621" s="8" t="s">
        <v>10497</v>
      </c>
      <c r="D27621" s="8">
        <v>0</v>
      </c>
      <c r="E27621" s="8">
        <v>0</v>
      </c>
      <c r="F27621" s="8">
        <v>1496</v>
      </c>
    </row>
    <row r="27622" spans="1:6" ht="12.75">
      <c r="A27622" s="8">
        <v>43892.085092592592</v>
      </c>
      <c r="B27622" s="8" t="str">
        <f>HYPERLINK("https://twitter.com/jaya_santika","@jaya_santika")</f>
        <v>@jaya_santika</v>
      </c>
      <c r="C27622" s="8" t="s">
        <v>2199</v>
      </c>
      <c r="D27622" s="8">
        <v>1301</v>
      </c>
      <c r="E27622" s="8">
        <v>0</v>
      </c>
      <c r="F27622" s="8">
        <v>262</v>
      </c>
    </row>
    <row r="27623" spans="1:6" ht="12.75">
      <c r="A27623" s="8">
        <v>43892.084814814814</v>
      </c>
      <c r="B27623" s="8" t="str">
        <f>HYPERLINK("https://twitter.com/dubie_tina","@dubie_tina")</f>
        <v>@dubie_tina</v>
      </c>
      <c r="C27623" s="8" t="s">
        <v>10315</v>
      </c>
      <c r="D27623" s="8">
        <v>1</v>
      </c>
      <c r="E27623" s="8">
        <v>0</v>
      </c>
      <c r="F27623" s="8">
        <v>1064</v>
      </c>
    </row>
    <row r="27624" spans="1:6" ht="12.75">
      <c r="A27624" s="8">
        <v>43892.08421296296</v>
      </c>
      <c r="B27624" s="8" t="str">
        <f>HYPERLINK("https://twitter.com/mat_rifqi","@mat_rifqi")</f>
        <v>@mat_rifqi</v>
      </c>
      <c r="C27624" s="8" t="s">
        <v>3850</v>
      </c>
      <c r="D27624" s="8">
        <v>957</v>
      </c>
      <c r="E27624" s="8">
        <v>0</v>
      </c>
      <c r="F27624" s="8">
        <v>1320</v>
      </c>
    </row>
    <row r="27625" spans="1:6" ht="12.75">
      <c r="A27625" s="8">
        <v>43892.083472222221</v>
      </c>
      <c r="B27625" s="8" t="str">
        <f>HYPERLINK("https://twitter.com/murderthebeats","@murderthebeats")</f>
        <v>@murderthebeats</v>
      </c>
      <c r="C27625" s="8" t="s">
        <v>2199</v>
      </c>
      <c r="D27625" s="8">
        <v>1301</v>
      </c>
      <c r="E27625" s="8">
        <v>0</v>
      </c>
      <c r="F27625" s="8">
        <v>74</v>
      </c>
    </row>
    <row r="27626" spans="1:6" ht="12.75">
      <c r="A27626" s="8">
        <v>43892.083344907413</v>
      </c>
      <c r="B27626" s="8" t="str">
        <f>HYPERLINK("https://twitter.com/WargaJurnal","@WargaJurnal")</f>
        <v>@WargaJurnal</v>
      </c>
      <c r="C27626" s="8" t="s">
        <v>10498</v>
      </c>
      <c r="D27626" s="8">
        <v>0</v>
      </c>
      <c r="E27626" s="8">
        <v>0</v>
      </c>
      <c r="F27626" s="8">
        <v>257</v>
      </c>
    </row>
    <row r="27627" spans="1:6" ht="12.75">
      <c r="A27627" s="8">
        <v>43892.08326388889</v>
      </c>
      <c r="B27627" s="8" t="str">
        <f>HYPERLINK("https://twitter.com/ElvinaFazilla","@ElvinaFazilla")</f>
        <v>@ElvinaFazilla</v>
      </c>
      <c r="C27627" s="8" t="s">
        <v>10369</v>
      </c>
      <c r="D27627" s="8">
        <v>66</v>
      </c>
      <c r="E27627" s="8">
        <v>0</v>
      </c>
      <c r="F27627" s="8">
        <v>1930</v>
      </c>
    </row>
    <row r="27628" spans="1:6" ht="12.75">
      <c r="A27628" s="8">
        <v>43892.083078703705</v>
      </c>
      <c r="B27628" s="8" t="str">
        <f t="shared" ref="B27628:B27629" si="368">HYPERLINK("https://twitter.com/7endralKad_run","@7endralKad_run")</f>
        <v>@7endralKad_run</v>
      </c>
      <c r="C27628" s="8" t="s">
        <v>10499</v>
      </c>
      <c r="D27628" s="8">
        <v>1</v>
      </c>
      <c r="E27628" s="8">
        <v>0</v>
      </c>
      <c r="F27628" s="8">
        <v>780</v>
      </c>
    </row>
    <row r="27629" spans="1:6" ht="12.75">
      <c r="A27629" s="8">
        <v>43892.08289351852</v>
      </c>
      <c r="B27629" s="8" t="str">
        <f t="shared" si="368"/>
        <v>@7endralKad_run</v>
      </c>
      <c r="C27629" s="8" t="s">
        <v>10500</v>
      </c>
      <c r="D27629" s="8">
        <v>1</v>
      </c>
      <c r="E27629" s="8">
        <v>1</v>
      </c>
      <c r="F27629" s="8">
        <v>780</v>
      </c>
    </row>
    <row r="27630" spans="1:6" ht="12.75">
      <c r="A27630" s="8">
        <v>43892.082314814819</v>
      </c>
      <c r="B27630" s="8" t="str">
        <f>HYPERLINK("https://twitter.com/rachell_za","@rachell_za")</f>
        <v>@rachell_za</v>
      </c>
      <c r="C27630" s="8" t="s">
        <v>10501</v>
      </c>
      <c r="D27630" s="8">
        <v>0</v>
      </c>
      <c r="E27630" s="8">
        <v>0</v>
      </c>
      <c r="F27630" s="8">
        <v>104</v>
      </c>
    </row>
    <row r="27631" spans="1:6" ht="12.75">
      <c r="A27631" s="8">
        <v>43892.082314814819</v>
      </c>
      <c r="B27631" s="8" t="str">
        <f>HYPERLINK("https://twitter.com/suaradotcom","@suaradotcom")</f>
        <v>@suaradotcom</v>
      </c>
      <c r="C27631" s="8" t="s">
        <v>10502</v>
      </c>
      <c r="D27631" s="8">
        <v>0</v>
      </c>
      <c r="E27631" s="8">
        <v>0</v>
      </c>
      <c r="F27631" s="8">
        <v>24304</v>
      </c>
    </row>
    <row r="27632" spans="1:6" ht="12.75">
      <c r="A27632" s="8">
        <v>43892.082314814819</v>
      </c>
      <c r="B27632" s="8" t="str">
        <f>HYPERLINK("https://twitter.com/rachell_za","@rachell_za")</f>
        <v>@rachell_za</v>
      </c>
      <c r="C27632" s="8" t="s">
        <v>10503</v>
      </c>
      <c r="D27632" s="8">
        <v>0</v>
      </c>
      <c r="E27632" s="8">
        <v>0</v>
      </c>
      <c r="F27632" s="8">
        <v>104</v>
      </c>
    </row>
    <row r="27633" spans="1:6" ht="12.75">
      <c r="A27633" s="8">
        <v>43892.082268518519</v>
      </c>
      <c r="B27633" s="8" t="str">
        <f>HYPERLINK("https://twitter.com/Cleaningindo","@Cleaningindo")</f>
        <v>@Cleaningindo</v>
      </c>
      <c r="C27633" s="8" t="s">
        <v>6542</v>
      </c>
      <c r="D27633" s="8">
        <v>156</v>
      </c>
      <c r="E27633" s="8">
        <v>0</v>
      </c>
      <c r="F27633" s="8">
        <v>163</v>
      </c>
    </row>
    <row r="27634" spans="1:6" ht="12.75">
      <c r="A27634" s="8">
        <v>43892.082141203704</v>
      </c>
      <c r="B27634" s="8" t="str">
        <f>HYPERLINK("https://twitter.com/sukatanyaj","@sukatanyaj")</f>
        <v>@sukatanyaj</v>
      </c>
      <c r="C27634" s="8" t="s">
        <v>9587</v>
      </c>
      <c r="D27634" s="8">
        <v>109</v>
      </c>
      <c r="E27634" s="8">
        <v>0</v>
      </c>
      <c r="F27634" s="8">
        <v>5686</v>
      </c>
    </row>
    <row r="27635" spans="1:6" ht="12.75">
      <c r="A27635" s="8">
        <v>43892.081956018519</v>
      </c>
      <c r="B27635" s="8" t="str">
        <f>HYPERLINK("https://twitter.com/topinfo_id","@topinfo_id")</f>
        <v>@topinfo_id</v>
      </c>
      <c r="C27635" s="8" t="s">
        <v>10471</v>
      </c>
      <c r="D27635" s="8">
        <v>0</v>
      </c>
      <c r="E27635" s="8">
        <v>0</v>
      </c>
      <c r="F27635" s="8">
        <v>26</v>
      </c>
    </row>
    <row r="27636" spans="1:6" ht="12.75">
      <c r="A27636" s="8">
        <v>43892.081736111111</v>
      </c>
      <c r="B27636" s="8" t="str">
        <f>HYPERLINK("https://twitter.com/AbolichdZ","@AbolichdZ")</f>
        <v>@AbolichdZ</v>
      </c>
      <c r="C27636" s="8" t="s">
        <v>10427</v>
      </c>
      <c r="D27636" s="8">
        <v>2</v>
      </c>
      <c r="E27636" s="8">
        <v>0</v>
      </c>
      <c r="F27636" s="8">
        <v>844</v>
      </c>
    </row>
    <row r="27637" spans="1:6" ht="12.75">
      <c r="A27637" s="8">
        <v>43892.081527777773</v>
      </c>
      <c r="B27637" s="8" t="str">
        <f>HYPERLINK("https://twitter.com/Dedek_Afriant","@Dedek_Afriant")</f>
        <v>@Dedek_Afriant</v>
      </c>
      <c r="C27637" s="8" t="s">
        <v>5732</v>
      </c>
      <c r="D27637" s="8">
        <v>301</v>
      </c>
      <c r="E27637" s="8">
        <v>0</v>
      </c>
      <c r="F27637" s="8">
        <v>148</v>
      </c>
    </row>
    <row r="27638" spans="1:6" ht="12.75">
      <c r="A27638" s="8">
        <v>43892.081377314811</v>
      </c>
      <c r="B27638" s="8" t="str">
        <f>HYPERLINK("https://twitter.com/Nissa_Dcrow","@Nissa_Dcrow")</f>
        <v>@Nissa_Dcrow</v>
      </c>
      <c r="C27638" s="8" t="s">
        <v>3850</v>
      </c>
      <c r="D27638" s="8">
        <v>957</v>
      </c>
      <c r="E27638" s="8">
        <v>0</v>
      </c>
      <c r="F27638" s="8">
        <v>167</v>
      </c>
    </row>
    <row r="27639" spans="1:6" ht="12.75">
      <c r="A27639" s="8">
        <v>43892.081134259264</v>
      </c>
      <c r="B27639" s="8" t="str">
        <f>HYPERLINK("https://twitter.com/litolkyuni","@litolkyuni")</f>
        <v>@litolkyuni</v>
      </c>
      <c r="C27639" s="8" t="s">
        <v>2199</v>
      </c>
      <c r="D27639" s="8">
        <v>1301</v>
      </c>
      <c r="E27639" s="8">
        <v>0</v>
      </c>
      <c r="F27639" s="8">
        <v>625</v>
      </c>
    </row>
    <row r="27640" spans="1:6" ht="12.75">
      <c r="A27640" s="8">
        <v>43892.080949074079</v>
      </c>
      <c r="B27640" s="8" t="str">
        <f>HYPERLINK("https://twitter.com/adeadag1","@adeadag1")</f>
        <v>@adeadag1</v>
      </c>
      <c r="C27640" s="8" t="s">
        <v>5732</v>
      </c>
      <c r="D27640" s="8">
        <v>301</v>
      </c>
      <c r="E27640" s="8">
        <v>0</v>
      </c>
      <c r="F27640" s="8">
        <v>615</v>
      </c>
    </row>
    <row r="27641" spans="1:6" ht="12.75">
      <c r="A27641" s="8">
        <v>43892.080949074079</v>
      </c>
      <c r="B27641" s="8" t="str">
        <f>HYPERLINK("https://twitter.com/NawalaKarsa","@NawalaKarsa")</f>
        <v>@NawalaKarsa</v>
      </c>
      <c r="C27641" s="8" t="s">
        <v>10504</v>
      </c>
      <c r="D27641" s="8">
        <v>0</v>
      </c>
      <c r="E27641" s="8">
        <v>0</v>
      </c>
      <c r="F27641" s="8">
        <v>281</v>
      </c>
    </row>
    <row r="27642" spans="1:6" ht="12.75">
      <c r="A27642" s="8">
        <v>43892.080925925926</v>
      </c>
      <c r="B27642" s="8" t="str">
        <f>HYPERLINK("https://twitter.com/toptnt","@toptnt")</f>
        <v>@toptnt</v>
      </c>
      <c r="C27642" s="8" t="s">
        <v>9238</v>
      </c>
      <c r="D27642" s="8">
        <v>84</v>
      </c>
      <c r="E27642" s="8">
        <v>0</v>
      </c>
      <c r="F27642" s="8">
        <v>706</v>
      </c>
    </row>
    <row r="27643" spans="1:6" ht="12.75">
      <c r="A27643" s="8">
        <v>43892.080925925926</v>
      </c>
      <c r="B27643" s="8" t="str">
        <f>HYPERLINK("https://twitter.com/cutamaharnen","@cutamaharnen")</f>
        <v>@cutamaharnen</v>
      </c>
      <c r="C27643" s="8" t="s">
        <v>2199</v>
      </c>
      <c r="D27643" s="8">
        <v>1301</v>
      </c>
      <c r="E27643" s="8">
        <v>0</v>
      </c>
      <c r="F27643" s="8">
        <v>713</v>
      </c>
    </row>
    <row r="27644" spans="1:6" ht="12.75">
      <c r="A27644" s="8">
        <v>43892.08079861111</v>
      </c>
      <c r="B27644" s="8" t="str">
        <f>HYPERLINK("https://twitter.com/Ichwanzein","@Ichwanzein")</f>
        <v>@Ichwanzein</v>
      </c>
      <c r="C27644" s="8" t="s">
        <v>4990</v>
      </c>
      <c r="D27644" s="8">
        <v>176</v>
      </c>
      <c r="E27644" s="8">
        <v>0</v>
      </c>
      <c r="F27644" s="8">
        <v>771</v>
      </c>
    </row>
    <row r="27645" spans="1:6" ht="12.75">
      <c r="A27645" s="8">
        <v>43892.080752314811</v>
      </c>
      <c r="B27645" s="8" t="str">
        <f>HYPERLINK("https://twitter.com/Patriccckk_","@Patriccckk_")</f>
        <v>@Patriccckk_</v>
      </c>
      <c r="C27645" s="8" t="s">
        <v>2199</v>
      </c>
      <c r="D27645" s="8">
        <v>1301</v>
      </c>
      <c r="E27645" s="8">
        <v>0</v>
      </c>
      <c r="F27645" s="8">
        <v>181</v>
      </c>
    </row>
    <row r="27646" spans="1:6" ht="12.75">
      <c r="A27646" s="8">
        <v>43892.080729166672</v>
      </c>
      <c r="B27646" s="8" t="str">
        <f>HYPERLINK("https://twitter.com/Shekhawat_Sahab","@Shekhawat_Sahab")</f>
        <v>@Shekhawat_Sahab</v>
      </c>
      <c r="C27646" s="8" t="s">
        <v>10505</v>
      </c>
      <c r="D27646" s="8">
        <v>0</v>
      </c>
      <c r="E27646" s="8">
        <v>0</v>
      </c>
      <c r="F27646" s="8">
        <v>8</v>
      </c>
    </row>
    <row r="27647" spans="1:6" ht="12.75">
      <c r="A27647" s="8">
        <v>43892.080613425926</v>
      </c>
      <c r="B27647" s="8" t="str">
        <f>HYPERLINK("https://twitter.com/dirga_90","@dirga_90")</f>
        <v>@dirga_90</v>
      </c>
      <c r="C27647" s="8" t="s">
        <v>3850</v>
      </c>
      <c r="D27647" s="8">
        <v>957</v>
      </c>
      <c r="E27647" s="8">
        <v>0</v>
      </c>
      <c r="F27647" s="8">
        <v>534</v>
      </c>
    </row>
    <row r="27648" spans="1:6" ht="12.75">
      <c r="A27648" s="8">
        <v>43892.080532407403</v>
      </c>
      <c r="B27648" s="8" t="str">
        <f>HYPERLINK("https://twitter.com/MArraihan","@MArraihan")</f>
        <v>@MArraihan</v>
      </c>
      <c r="C27648" s="8" t="s">
        <v>10506</v>
      </c>
      <c r="D27648" s="8">
        <v>0</v>
      </c>
      <c r="E27648" s="8">
        <v>0</v>
      </c>
      <c r="F27648" s="8">
        <v>139</v>
      </c>
    </row>
    <row r="27649" spans="1:6" ht="12.75">
      <c r="A27649" s="8">
        <v>43892.080277777779</v>
      </c>
      <c r="B27649" s="8" t="str">
        <f>HYPERLINK("https://twitter.com/inilahdotcom","@inilahdotcom")</f>
        <v>@inilahdotcom</v>
      </c>
      <c r="C27649" s="8" t="s">
        <v>10507</v>
      </c>
      <c r="D27649" s="8">
        <v>0</v>
      </c>
      <c r="E27649" s="8">
        <v>0</v>
      </c>
      <c r="F27649" s="8">
        <v>367318</v>
      </c>
    </row>
    <row r="27650" spans="1:6" ht="12.75">
      <c r="A27650" s="8">
        <v>43892.080266203702</v>
      </c>
      <c r="B27650" s="8" t="str">
        <f>HYPERLINK("https://twitter.com/dasojie","@dasojie")</f>
        <v>@dasojie</v>
      </c>
      <c r="C27650" s="8" t="s">
        <v>2199</v>
      </c>
      <c r="D27650" s="8">
        <v>1301</v>
      </c>
      <c r="E27650" s="8">
        <v>0</v>
      </c>
      <c r="F27650" s="8">
        <v>698</v>
      </c>
    </row>
    <row r="27651" spans="1:6" ht="12.75">
      <c r="A27651" s="8">
        <v>43892.080150462964</v>
      </c>
      <c r="B27651" s="8" t="str">
        <f>HYPERLINK("https://twitter.com/rayhan_haqi","@rayhan_haqi")</f>
        <v>@rayhan_haqi</v>
      </c>
      <c r="C27651" s="8" t="s">
        <v>10508</v>
      </c>
      <c r="D27651" s="8">
        <v>0</v>
      </c>
      <c r="E27651" s="8">
        <v>0</v>
      </c>
      <c r="F27651" s="8">
        <v>69</v>
      </c>
    </row>
    <row r="27652" spans="1:6" ht="12.75">
      <c r="A27652" s="8">
        <v>43892.08011574074</v>
      </c>
      <c r="B27652" s="8" t="str">
        <f>HYPERLINK("https://twitter.com/UAsysa","@UAsysa")</f>
        <v>@UAsysa</v>
      </c>
      <c r="C27652" s="8" t="s">
        <v>10404</v>
      </c>
      <c r="D27652" s="8">
        <v>278</v>
      </c>
      <c r="E27652" s="8">
        <v>0</v>
      </c>
      <c r="F27652" s="8">
        <v>570</v>
      </c>
    </row>
    <row r="27653" spans="1:6" ht="12.75">
      <c r="A27653" s="8">
        <v>43892.080069444448</v>
      </c>
      <c r="B27653" s="8" t="str">
        <f>HYPERLINK("https://twitter.com/AyunindyaRizkya","@AyunindyaRizkya")</f>
        <v>@AyunindyaRizkya</v>
      </c>
      <c r="C27653" s="8" t="s">
        <v>10174</v>
      </c>
      <c r="D27653" s="8">
        <v>17</v>
      </c>
      <c r="E27653" s="8">
        <v>0</v>
      </c>
      <c r="F27653" s="8">
        <v>3562</v>
      </c>
    </row>
    <row r="27654" spans="1:6" ht="12.75">
      <c r="A27654" s="8">
        <v>43892.079942129625</v>
      </c>
      <c r="B27654" s="8" t="str">
        <f>HYPERLINK("https://twitter.com/UAsysa","@UAsysa")</f>
        <v>@UAsysa</v>
      </c>
      <c r="C27654" s="8" t="s">
        <v>9130</v>
      </c>
      <c r="D27654" s="8">
        <v>226</v>
      </c>
      <c r="E27654" s="8">
        <v>0</v>
      </c>
      <c r="F27654" s="8">
        <v>570</v>
      </c>
    </row>
    <row r="27655" spans="1:6" ht="12.75">
      <c r="A27655" s="8">
        <v>43892.079606481479</v>
      </c>
      <c r="B27655" s="8" t="str">
        <f>HYPERLINK("https://twitter.com/Sir_Tyan","@Sir_Tyan")</f>
        <v>@Sir_Tyan</v>
      </c>
      <c r="C27655" s="8" t="s">
        <v>2199</v>
      </c>
      <c r="D27655" s="8">
        <v>1301</v>
      </c>
      <c r="E27655" s="8">
        <v>0</v>
      </c>
      <c r="F27655" s="8">
        <v>796</v>
      </c>
    </row>
    <row r="27656" spans="1:6" ht="12.75">
      <c r="A27656" s="8">
        <v>43892.079560185186</v>
      </c>
      <c r="B27656" s="8" t="str">
        <f>HYPERLINK("https://twitter.com/alrezki","@alrezki")</f>
        <v>@alrezki</v>
      </c>
      <c r="C27656" s="8" t="s">
        <v>3648</v>
      </c>
      <c r="D27656" s="8">
        <v>109</v>
      </c>
      <c r="E27656" s="8">
        <v>0</v>
      </c>
      <c r="F27656" s="8">
        <v>320</v>
      </c>
    </row>
    <row r="27657" spans="1:6" ht="12.75">
      <c r="A27657" s="8">
        <v>43892.079502314809</v>
      </c>
      <c r="B27657" s="8" t="str">
        <f>HYPERLINK("https://twitter.com/gunoto7","@gunoto7")</f>
        <v>@gunoto7</v>
      </c>
      <c r="C27657" s="8" t="s">
        <v>9238</v>
      </c>
      <c r="D27657" s="8">
        <v>84</v>
      </c>
      <c r="E27657" s="8">
        <v>0</v>
      </c>
      <c r="F27657" s="8">
        <v>2786</v>
      </c>
    </row>
    <row r="27658" spans="1:6" ht="12.75">
      <c r="A27658" s="8">
        <v>43892.07947916667</v>
      </c>
      <c r="B27658" s="8" t="str">
        <f>HYPERLINK("https://twitter.com/goldstar41","@goldstar41")</f>
        <v>@goldstar41</v>
      </c>
      <c r="C27658" s="8" t="s">
        <v>10111</v>
      </c>
      <c r="D27658" s="8">
        <v>114</v>
      </c>
      <c r="E27658" s="8">
        <v>0</v>
      </c>
      <c r="F27658" s="8">
        <v>2089</v>
      </c>
    </row>
    <row r="27659" spans="1:6" ht="12.75">
      <c r="A27659" s="8">
        <v>43892.079398148147</v>
      </c>
      <c r="B27659" s="8" t="str">
        <f>HYPERLINK("https://twitter.com/komangastraa","@komangastraa")</f>
        <v>@komangastraa</v>
      </c>
      <c r="C27659" s="8" t="s">
        <v>10481</v>
      </c>
      <c r="D27659" s="8">
        <v>203</v>
      </c>
      <c r="E27659" s="8">
        <v>0</v>
      </c>
      <c r="F27659" s="8">
        <v>54945</v>
      </c>
    </row>
    <row r="27660" spans="1:6" ht="12.75">
      <c r="A27660" s="8">
        <v>43892.079212962963</v>
      </c>
      <c r="B27660" s="8" t="str">
        <f>HYPERLINK("https://twitter.com/Kicau_Kepri","@Kicau_Kepri")</f>
        <v>@Kicau_Kepri</v>
      </c>
      <c r="C27660" s="8" t="s">
        <v>10509</v>
      </c>
      <c r="D27660" s="8">
        <v>0</v>
      </c>
      <c r="E27660" s="8">
        <v>0</v>
      </c>
      <c r="F27660" s="8">
        <v>224</v>
      </c>
    </row>
    <row r="27661" spans="1:6" ht="12.75">
      <c r="A27661" s="8">
        <v>43892.07917824074</v>
      </c>
      <c r="B27661" s="8" t="str">
        <f>HYPERLINK("https://twitter.com/RakjatDjelataaa","@RakjatDjelataaa")</f>
        <v>@RakjatDjelataaa</v>
      </c>
      <c r="C27661" s="8" t="s">
        <v>5732</v>
      </c>
      <c r="D27661" s="8">
        <v>301</v>
      </c>
      <c r="E27661" s="8">
        <v>0</v>
      </c>
      <c r="F27661" s="8">
        <v>385</v>
      </c>
    </row>
    <row r="27662" spans="1:6" ht="12.75">
      <c r="A27662" s="8">
        <v>43892.079085648147</v>
      </c>
      <c r="B27662" s="8" t="str">
        <f>HYPERLINK("https://twitter.com/_Kikoenaktau","@_Kikoenaktau")</f>
        <v>@_Kikoenaktau</v>
      </c>
      <c r="C27662" s="8" t="s">
        <v>5732</v>
      </c>
      <c r="D27662" s="8">
        <v>301</v>
      </c>
      <c r="E27662" s="8">
        <v>0</v>
      </c>
      <c r="F27662" s="8">
        <v>104</v>
      </c>
    </row>
    <row r="27663" spans="1:6" ht="12.75">
      <c r="A27663" s="8">
        <v>43892.078796296293</v>
      </c>
      <c r="B27663" s="8" t="str">
        <f>HYPERLINK("https://twitter.com/Tana_Nova","@Tana_Nova")</f>
        <v>@Tana_Nova</v>
      </c>
      <c r="C27663" s="8" t="s">
        <v>10510</v>
      </c>
      <c r="D27663" s="8">
        <v>23</v>
      </c>
      <c r="E27663" s="8">
        <v>0</v>
      </c>
      <c r="F27663" s="8">
        <v>252</v>
      </c>
    </row>
    <row r="27664" spans="1:6" ht="12.75">
      <c r="A27664" s="8">
        <v>43892.078715277778</v>
      </c>
      <c r="B27664" s="8" t="str">
        <f>HYPERLINK("https://twitter.com/Aztrans_Yogya","@Aztrans_Yogya")</f>
        <v>@Aztrans_Yogya</v>
      </c>
      <c r="C27664" s="8" t="s">
        <v>10511</v>
      </c>
      <c r="D27664" s="8">
        <v>0</v>
      </c>
      <c r="E27664" s="8">
        <v>0</v>
      </c>
      <c r="F27664" s="8">
        <v>1237</v>
      </c>
    </row>
    <row r="27665" spans="1:6" ht="12.75">
      <c r="A27665" s="8">
        <v>43892.078657407408</v>
      </c>
      <c r="B27665" s="8" t="str">
        <f>HYPERLINK("https://twitter.com/EkoSeputro13","@EkoSeputro13")</f>
        <v>@EkoSeputro13</v>
      </c>
      <c r="C27665" s="8" t="s">
        <v>10512</v>
      </c>
      <c r="D27665" s="8">
        <v>1</v>
      </c>
      <c r="E27665" s="8">
        <v>0</v>
      </c>
      <c r="F27665" s="8">
        <v>2186</v>
      </c>
    </row>
    <row r="27666" spans="1:6" ht="12.75">
      <c r="A27666" s="8">
        <v>43892.078657407408</v>
      </c>
      <c r="B27666" s="8" t="str">
        <f t="shared" ref="B27666:B27668" si="369">HYPERLINK("https://twitter.com/happyramenn","@happyramenn")</f>
        <v>@happyramenn</v>
      </c>
      <c r="C27666" s="8" t="s">
        <v>9919</v>
      </c>
      <c r="D27666" s="8">
        <v>7</v>
      </c>
      <c r="E27666" s="8">
        <v>0</v>
      </c>
      <c r="F27666" s="8">
        <v>71</v>
      </c>
    </row>
    <row r="27667" spans="1:6" ht="12.75">
      <c r="A27667" s="8">
        <v>43892.078576388885</v>
      </c>
      <c r="B27667" s="8" t="str">
        <f t="shared" si="369"/>
        <v>@happyramenn</v>
      </c>
      <c r="C27667" s="8" t="s">
        <v>5803</v>
      </c>
      <c r="D27667" s="8">
        <v>22</v>
      </c>
      <c r="E27667" s="8">
        <v>0</v>
      </c>
      <c r="F27667" s="8">
        <v>71</v>
      </c>
    </row>
    <row r="27668" spans="1:6" ht="12.75">
      <c r="A27668" s="8">
        <v>43892.078530092593</v>
      </c>
      <c r="B27668" s="8" t="str">
        <f t="shared" si="369"/>
        <v>@happyramenn</v>
      </c>
      <c r="C27668" s="8" t="s">
        <v>1749</v>
      </c>
      <c r="D27668" s="8">
        <v>16</v>
      </c>
      <c r="E27668" s="8">
        <v>0</v>
      </c>
      <c r="F27668" s="8">
        <v>71</v>
      </c>
    </row>
    <row r="27669" spans="1:6" ht="12.75">
      <c r="A27669" s="8">
        <v>43892.0784837963</v>
      </c>
      <c r="B27669" s="8" t="str">
        <f>HYPERLINK("https://twitter.com/van_ontjheid","@van_ontjheid")</f>
        <v>@van_ontjheid</v>
      </c>
      <c r="C27669" s="8" t="s">
        <v>6883</v>
      </c>
      <c r="D27669" s="8">
        <v>54</v>
      </c>
      <c r="E27669" s="8">
        <v>0</v>
      </c>
      <c r="F27669" s="8">
        <v>455</v>
      </c>
    </row>
    <row r="27670" spans="1:6" ht="12.75">
      <c r="A27670" s="8">
        <v>43892.078356481477</v>
      </c>
      <c r="B27670" s="8" t="str">
        <f>HYPERLINK("https://twitter.com/Nala_Wijaya_","@Nala_Wijaya_")</f>
        <v>@Nala_Wijaya_</v>
      </c>
      <c r="C27670" s="8" t="s">
        <v>2199</v>
      </c>
      <c r="D27670" s="8">
        <v>1301</v>
      </c>
      <c r="E27670" s="8">
        <v>0</v>
      </c>
      <c r="F27670" s="8">
        <v>84</v>
      </c>
    </row>
    <row r="27671" spans="1:6" ht="12.75">
      <c r="A27671" s="8">
        <v>43892.078298611115</v>
      </c>
      <c r="B27671" s="8" t="str">
        <f>HYPERLINK("https://twitter.com/DrSachinJain4","@DrSachinJain4")</f>
        <v>@DrSachinJain4</v>
      </c>
      <c r="C27671" s="8" t="s">
        <v>10513</v>
      </c>
      <c r="D27671" s="8">
        <v>1</v>
      </c>
      <c r="E27671" s="8">
        <v>0</v>
      </c>
      <c r="F27671" s="8">
        <v>46</v>
      </c>
    </row>
    <row r="27672" spans="1:6" ht="12.75">
      <c r="A27672" s="8">
        <v>43892.078148148154</v>
      </c>
      <c r="B27672" s="8" t="str">
        <f>HYPERLINK("https://twitter.com/yukullt","@yukullt")</f>
        <v>@yukullt</v>
      </c>
      <c r="C27672" s="8" t="s">
        <v>10439</v>
      </c>
      <c r="D27672" s="8">
        <v>1</v>
      </c>
      <c r="E27672" s="8">
        <v>0</v>
      </c>
      <c r="F27672" s="8">
        <v>297</v>
      </c>
    </row>
    <row r="27673" spans="1:6" ht="12.75">
      <c r="A27673" s="8">
        <v>43892.077731481477</v>
      </c>
      <c r="B27673" s="8" t="str">
        <f>HYPERLINK("https://twitter.com/arimbisekarr","@arimbisekarr")</f>
        <v>@arimbisekarr</v>
      </c>
      <c r="C27673" s="8" t="s">
        <v>2199</v>
      </c>
      <c r="D27673" s="8">
        <v>1301</v>
      </c>
      <c r="E27673" s="8">
        <v>0</v>
      </c>
      <c r="F27673" s="8">
        <v>603</v>
      </c>
    </row>
    <row r="27674" spans="1:6" ht="12.75">
      <c r="A27674" s="8">
        <v>43892.077453703707</v>
      </c>
      <c r="B27674" s="8" t="str">
        <f>HYPERLINK("https://twitter.com/ElangPanca_","@ElangPanca_")</f>
        <v>@ElangPanca_</v>
      </c>
      <c r="C27674" s="8" t="s">
        <v>2199</v>
      </c>
      <c r="D27674" s="8">
        <v>1301</v>
      </c>
      <c r="E27674" s="8">
        <v>0</v>
      </c>
      <c r="F27674" s="8">
        <v>273</v>
      </c>
    </row>
    <row r="27675" spans="1:6" ht="12.75">
      <c r="A27675" s="8">
        <v>43892.077210648145</v>
      </c>
      <c r="B27675" s="8" t="str">
        <f>HYPERLINK("https://twitter.com/abie_aqila","@abie_aqila")</f>
        <v>@abie_aqila</v>
      </c>
      <c r="C27675" s="8" t="s">
        <v>3850</v>
      </c>
      <c r="D27675" s="8">
        <v>957</v>
      </c>
      <c r="E27675" s="8">
        <v>0</v>
      </c>
      <c r="F27675" s="8">
        <v>158</v>
      </c>
    </row>
    <row r="27676" spans="1:6" ht="12.75">
      <c r="A27676" s="8">
        <v>43892.077175925922</v>
      </c>
      <c r="B27676" s="8" t="str">
        <f>HYPERLINK("https://twitter.com/khalidmaulanaaa","@khalidmaulanaaa")</f>
        <v>@khalidmaulanaaa</v>
      </c>
      <c r="C27676" s="8" t="s">
        <v>2199</v>
      </c>
      <c r="D27676" s="8">
        <v>1301</v>
      </c>
      <c r="E27676" s="8">
        <v>0</v>
      </c>
      <c r="F27676" s="8">
        <v>142</v>
      </c>
    </row>
    <row r="27677" spans="1:6" ht="12.75">
      <c r="A27677" s="8">
        <v>43892.076932870375</v>
      </c>
      <c r="B27677" s="8" t="str">
        <f>HYPERLINK("https://twitter.com/yudhapati88","@yudhapati88")</f>
        <v>@yudhapati88</v>
      </c>
      <c r="C27677" s="8" t="s">
        <v>10514</v>
      </c>
      <c r="D27677" s="8">
        <v>0</v>
      </c>
      <c r="E27677" s="8">
        <v>2</v>
      </c>
      <c r="F27677" s="8">
        <v>3438</v>
      </c>
    </row>
    <row r="27678" spans="1:6" ht="12.75">
      <c r="A27678" s="8">
        <v>43892.076898148152</v>
      </c>
      <c r="B27678" s="8" t="str">
        <f>HYPERLINK("https://twitter.com/wrisanebungtomo","@wrisanebungtomo")</f>
        <v>@wrisanebungtomo</v>
      </c>
      <c r="C27678" s="8" t="s">
        <v>5732</v>
      </c>
      <c r="D27678" s="8">
        <v>301</v>
      </c>
      <c r="E27678" s="8">
        <v>0</v>
      </c>
      <c r="F27678" s="8">
        <v>76</v>
      </c>
    </row>
    <row r="27679" spans="1:6" ht="12.75">
      <c r="A27679" s="8">
        <v>43892.076689814814</v>
      </c>
      <c r="B27679" s="8" t="str">
        <f>HYPERLINK("https://twitter.com/gunoto7","@gunoto7")</f>
        <v>@gunoto7</v>
      </c>
      <c r="C27679" s="8" t="s">
        <v>2199</v>
      </c>
      <c r="D27679" s="8">
        <v>1301</v>
      </c>
      <c r="E27679" s="8">
        <v>0</v>
      </c>
      <c r="F27679" s="8">
        <v>2786</v>
      </c>
    </row>
    <row r="27680" spans="1:6" ht="12.75">
      <c r="A27680" s="8">
        <v>43892.048518518517</v>
      </c>
      <c r="B27680" s="8" t="str">
        <f>HYPERLINK("https://twitter.com/andkfbry","@andkfbry")</f>
        <v>@andkfbry</v>
      </c>
      <c r="C27680" s="8" t="s">
        <v>10515</v>
      </c>
      <c r="D27680" s="8">
        <v>0</v>
      </c>
      <c r="E27680" s="8">
        <v>0</v>
      </c>
      <c r="F27680" s="8">
        <v>227</v>
      </c>
    </row>
    <row r="27681" spans="1:6" ht="12.75">
      <c r="A27681" s="8">
        <v>43892.048483796301</v>
      </c>
      <c r="B27681" s="8" t="str">
        <f>HYPERLINK("https://twitter.com/sincera_Fajar","@sincera_Fajar")</f>
        <v>@sincera_Fajar</v>
      </c>
      <c r="C27681" s="8" t="s">
        <v>8851</v>
      </c>
      <c r="D27681" s="8">
        <v>27</v>
      </c>
      <c r="E27681" s="8">
        <v>0</v>
      </c>
      <c r="F27681" s="8">
        <v>731</v>
      </c>
    </row>
    <row r="27682" spans="1:6" ht="12.75">
      <c r="A27682" s="8">
        <v>43892.048032407409</v>
      </c>
      <c r="B27682" s="8" t="str">
        <f>HYPERLINK("https://twitter.com/muel_power","@muel_power")</f>
        <v>@muel_power</v>
      </c>
      <c r="C27682" s="8" t="s">
        <v>10516</v>
      </c>
      <c r="D27682" s="8">
        <v>0</v>
      </c>
      <c r="E27682" s="8">
        <v>0</v>
      </c>
      <c r="F27682" s="8">
        <v>1641</v>
      </c>
    </row>
    <row r="27683" spans="1:6" ht="12.75">
      <c r="A27683" s="8">
        <v>43892.047997685186</v>
      </c>
      <c r="B27683" s="8" t="str">
        <f>HYPERLINK("https://twitter.com/airtuakk","@airtuakk")</f>
        <v>@airtuakk</v>
      </c>
      <c r="C27683" s="8" t="s">
        <v>2199</v>
      </c>
      <c r="D27683" s="8">
        <v>1196</v>
      </c>
      <c r="E27683" s="8">
        <v>0</v>
      </c>
      <c r="F27683" s="8">
        <v>99</v>
      </c>
    </row>
    <row r="27684" spans="1:6" ht="12.75">
      <c r="A27684" s="8">
        <v>43892.047858796301</v>
      </c>
      <c r="B27684" s="8" t="str">
        <f>HYPERLINK("https://twitter.com/nohemy_isis","@nohemy_isis")</f>
        <v>@nohemy_isis</v>
      </c>
      <c r="C27684" s="8" t="s">
        <v>10517</v>
      </c>
      <c r="D27684" s="8">
        <v>0</v>
      </c>
      <c r="E27684" s="8">
        <v>0</v>
      </c>
      <c r="F27684" s="8">
        <v>221</v>
      </c>
    </row>
    <row r="27685" spans="1:6" ht="12.75">
      <c r="A27685" s="8">
        <v>43892.047754629632</v>
      </c>
      <c r="B27685" s="8" t="str">
        <f>HYPERLINK("https://twitter.com/little_BoyII","@little_BoyII")</f>
        <v>@little_BoyII</v>
      </c>
      <c r="C27685" s="8" t="s">
        <v>10518</v>
      </c>
      <c r="D27685" s="8">
        <v>7</v>
      </c>
      <c r="E27685" s="8">
        <v>0</v>
      </c>
      <c r="F27685" s="8">
        <v>270</v>
      </c>
    </row>
    <row r="27686" spans="1:6" ht="12.75">
      <c r="A27686" s="8">
        <v>43892.047627314816</v>
      </c>
      <c r="B27686" s="8" t="str">
        <f>HYPERLINK("https://twitter.com/zuriswanfajri","@zuriswanfajri")</f>
        <v>@zuriswanfajri</v>
      </c>
      <c r="C27686" s="8" t="s">
        <v>3850</v>
      </c>
      <c r="D27686" s="8">
        <v>939</v>
      </c>
      <c r="E27686" s="8">
        <v>0</v>
      </c>
      <c r="F27686" s="8">
        <v>4446</v>
      </c>
    </row>
    <row r="27687" spans="1:6" ht="12.75">
      <c r="A27687" s="8">
        <v>43892.047627314816</v>
      </c>
      <c r="B27687" s="8" t="str">
        <f>HYPERLINK("https://twitter.com/TokUrang","@TokUrang")</f>
        <v>@TokUrang</v>
      </c>
      <c r="C27687" s="8" t="s">
        <v>10288</v>
      </c>
      <c r="D27687" s="8">
        <v>51</v>
      </c>
      <c r="E27687" s="8">
        <v>0</v>
      </c>
      <c r="F27687" s="8">
        <v>1699</v>
      </c>
    </row>
    <row r="27688" spans="1:6" ht="12.75">
      <c r="A27688" s="8">
        <v>43892.04760416667</v>
      </c>
      <c r="B27688" s="8" t="str">
        <f>HYPERLINK("https://twitter.com/PenyairRadikal","@PenyairRadikal")</f>
        <v>@PenyairRadikal</v>
      </c>
      <c r="C27688" s="8" t="s">
        <v>5732</v>
      </c>
      <c r="D27688" s="8">
        <v>276</v>
      </c>
      <c r="E27688" s="8">
        <v>0</v>
      </c>
      <c r="F27688" s="8">
        <v>122</v>
      </c>
    </row>
    <row r="27689" spans="1:6" ht="12.75">
      <c r="A27689" s="8">
        <v>43892.047581018516</v>
      </c>
      <c r="B27689" s="8" t="str">
        <f>HYPERLINK("https://twitter.com/rimasikinaja","@rimasikinaja")</f>
        <v>@rimasikinaja</v>
      </c>
      <c r="C27689" s="8" t="s">
        <v>6542</v>
      </c>
      <c r="D27689" s="8">
        <v>148</v>
      </c>
      <c r="E27689" s="8">
        <v>0</v>
      </c>
      <c r="F27689" s="8">
        <v>1394</v>
      </c>
    </row>
    <row r="27690" spans="1:6" ht="12.75">
      <c r="A27690" s="8">
        <v>43892.047453703708</v>
      </c>
      <c r="B27690" s="8" t="str">
        <f>HYPERLINK("https://twitter.com/EkoSeputro13","@EkoSeputro13")</f>
        <v>@EkoSeputro13</v>
      </c>
      <c r="C27690" s="8" t="s">
        <v>10519</v>
      </c>
      <c r="D27690" s="8">
        <v>0</v>
      </c>
      <c r="E27690" s="8">
        <v>0</v>
      </c>
      <c r="F27690" s="8">
        <v>2185</v>
      </c>
    </row>
    <row r="27691" spans="1:6" ht="12.75">
      <c r="A27691" s="8">
        <v>43892.047013888892</v>
      </c>
      <c r="B27691" s="8" t="str">
        <f>HYPERLINK("https://twitter.com/hermana_t","@hermana_t")</f>
        <v>@hermana_t</v>
      </c>
      <c r="C27691" s="8" t="s">
        <v>10520</v>
      </c>
      <c r="D27691" s="8">
        <v>0</v>
      </c>
      <c r="E27691" s="8">
        <v>1</v>
      </c>
      <c r="F27691" s="8">
        <v>10702</v>
      </c>
    </row>
    <row r="27692" spans="1:6" ht="12.75">
      <c r="A27692" s="8">
        <v>43892.046956018516</v>
      </c>
      <c r="B27692" s="8" t="str">
        <f>HYPERLINK("https://twitter.com/mzdkr","@mzdkr")</f>
        <v>@mzdkr</v>
      </c>
      <c r="C27692" s="8" t="s">
        <v>9130</v>
      </c>
      <c r="D27692" s="8">
        <v>222</v>
      </c>
      <c r="E27692" s="8">
        <v>0</v>
      </c>
      <c r="F27692" s="8">
        <v>416</v>
      </c>
    </row>
    <row r="27693" spans="1:6" ht="12.75">
      <c r="A27693" s="8">
        <v>43892.046932870369</v>
      </c>
      <c r="B27693" s="8" t="str">
        <f>HYPERLINK("https://twitter.com/DJXdiE1","@DJXdiE1")</f>
        <v>@DJXdiE1</v>
      </c>
      <c r="C27693" s="8" t="s">
        <v>10521</v>
      </c>
      <c r="D27693" s="8">
        <v>19</v>
      </c>
      <c r="E27693" s="8">
        <v>0</v>
      </c>
      <c r="F27693" s="8">
        <v>118</v>
      </c>
    </row>
    <row r="27694" spans="1:6" ht="12.75">
      <c r="A27694" s="8">
        <v>43892.046828703707</v>
      </c>
      <c r="B27694" s="8" t="str">
        <f>HYPERLINK("https://twitter.com/annie_jane249","@annie_jane249")</f>
        <v>@annie_jane249</v>
      </c>
      <c r="C27694" s="8" t="s">
        <v>10411</v>
      </c>
      <c r="D27694" s="8">
        <v>32</v>
      </c>
      <c r="E27694" s="8">
        <v>0</v>
      </c>
      <c r="F27694" s="8">
        <v>292</v>
      </c>
    </row>
    <row r="27695" spans="1:6" ht="12.75">
      <c r="A27695" s="8">
        <v>43892.046793981484</v>
      </c>
      <c r="B27695" s="8" t="str">
        <f>HYPERLINK("https://twitter.com/Official_OGI","@Official_OGI")</f>
        <v>@Official_OGI</v>
      </c>
      <c r="C27695" s="8" t="s">
        <v>7704</v>
      </c>
      <c r="D27695" s="8">
        <v>237</v>
      </c>
      <c r="E27695" s="8">
        <v>0</v>
      </c>
      <c r="F27695" s="8">
        <v>1128</v>
      </c>
    </row>
    <row r="27696" spans="1:6" ht="12.75">
      <c r="A27696" s="8">
        <v>43892.046782407408</v>
      </c>
      <c r="B27696" s="8" t="str">
        <f>HYPERLINK("https://twitter.com/reza_maulana99","@reza_maulana99")</f>
        <v>@reza_maulana99</v>
      </c>
      <c r="C27696" s="8" t="s">
        <v>1749</v>
      </c>
      <c r="D27696" s="8">
        <v>12</v>
      </c>
      <c r="E27696" s="8">
        <v>0</v>
      </c>
      <c r="F27696" s="8">
        <v>172</v>
      </c>
    </row>
    <row r="27697" spans="1:6" ht="12.75">
      <c r="A27697" s="8">
        <v>43892.046666666662</v>
      </c>
      <c r="B27697" s="8" t="str">
        <f>HYPERLINK("https://twitter.com/Rizal_Valen76","@Rizal_Valen76")</f>
        <v>@Rizal_Valen76</v>
      </c>
      <c r="C27697" s="8" t="s">
        <v>10522</v>
      </c>
      <c r="D27697" s="8">
        <v>1</v>
      </c>
      <c r="E27697" s="8">
        <v>1</v>
      </c>
      <c r="F27697" s="8">
        <v>2830</v>
      </c>
    </row>
    <row r="27698" spans="1:6" ht="12.75">
      <c r="A27698" s="8">
        <v>43892.0466087963</v>
      </c>
      <c r="B27698" s="8" t="str">
        <f>HYPERLINK("https://twitter.com/SaatTobat","@SaatTobat")</f>
        <v>@SaatTobat</v>
      </c>
      <c r="C27698" s="8" t="s">
        <v>9238</v>
      </c>
      <c r="D27698" s="8">
        <v>80</v>
      </c>
      <c r="E27698" s="8">
        <v>0</v>
      </c>
      <c r="F27698" s="8">
        <v>1419</v>
      </c>
    </row>
    <row r="27699" spans="1:6" ht="12.75">
      <c r="A27699" s="8">
        <v>43892.046527777777</v>
      </c>
      <c r="B27699" s="8" t="str">
        <f>HYPERLINK("https://twitter.com/willyfawzi","@willyfawzi")</f>
        <v>@willyfawzi</v>
      </c>
      <c r="C27699" s="8" t="s">
        <v>9130</v>
      </c>
      <c r="D27699" s="8">
        <v>222</v>
      </c>
      <c r="E27699" s="8">
        <v>0</v>
      </c>
      <c r="F27699" s="8">
        <v>0</v>
      </c>
    </row>
    <row r="27700" spans="1:6" ht="12.75">
      <c r="A27700" s="8">
        <v>43892.046319444446</v>
      </c>
      <c r="B27700" s="8" t="str">
        <f>HYPERLINK("https://twitter.com/ardhirosyadi","@ardhirosyadi")</f>
        <v>@ardhirosyadi</v>
      </c>
      <c r="C27700" s="8" t="s">
        <v>5732</v>
      </c>
      <c r="D27700" s="8">
        <v>276</v>
      </c>
      <c r="E27700" s="8">
        <v>0</v>
      </c>
      <c r="F27700" s="8">
        <v>279</v>
      </c>
    </row>
    <row r="27701" spans="1:6" ht="12.75">
      <c r="A27701" s="8">
        <v>43892.046307870369</v>
      </c>
      <c r="B27701" s="8" t="str">
        <f>HYPERLINK("https://twitter.com/cekmint_sabang","@cekmint_sabang")</f>
        <v>@cekmint_sabang</v>
      </c>
      <c r="C27701" s="8" t="s">
        <v>10518</v>
      </c>
      <c r="D27701" s="8">
        <v>7</v>
      </c>
      <c r="E27701" s="8">
        <v>0</v>
      </c>
      <c r="F27701" s="8">
        <v>313</v>
      </c>
    </row>
    <row r="27702" spans="1:6" ht="12.75">
      <c r="A27702" s="8">
        <v>43892.046180555553</v>
      </c>
      <c r="B27702" s="8" t="str">
        <f>HYPERLINK("https://twitter.com/herifals89","@herifals89")</f>
        <v>@herifals89</v>
      </c>
      <c r="C27702" s="8" t="s">
        <v>7766</v>
      </c>
      <c r="D27702" s="8">
        <v>29</v>
      </c>
      <c r="E27702" s="8">
        <v>0</v>
      </c>
      <c r="F27702" s="8">
        <v>11</v>
      </c>
    </row>
    <row r="27703" spans="1:6" ht="12.75">
      <c r="A27703" s="8">
        <v>43892.046157407407</v>
      </c>
      <c r="B27703" s="8" t="str">
        <f>HYPERLINK("https://twitter.com/Candraasmara85","@Candraasmara85")</f>
        <v>@Candraasmara85</v>
      </c>
      <c r="C27703" s="8" t="s">
        <v>10481</v>
      </c>
      <c r="D27703" s="8">
        <v>199</v>
      </c>
      <c r="E27703" s="8">
        <v>0</v>
      </c>
      <c r="F27703" s="8">
        <v>10649</v>
      </c>
    </row>
    <row r="27704" spans="1:6" ht="12.75">
      <c r="A27704" s="8">
        <v>43892.045937499999</v>
      </c>
      <c r="B27704" s="8" t="str">
        <f>HYPERLINK("https://twitter.com/SaatTobat","@SaatTobat")</f>
        <v>@SaatTobat</v>
      </c>
      <c r="C27704" s="8" t="s">
        <v>1749</v>
      </c>
      <c r="D27704" s="8">
        <v>12</v>
      </c>
      <c r="E27704" s="8">
        <v>0</v>
      </c>
      <c r="F27704" s="8">
        <v>1419</v>
      </c>
    </row>
    <row r="27705" spans="1:6" ht="12.75">
      <c r="A27705" s="8">
        <v>43892.045856481476</v>
      </c>
      <c r="B27705" s="8" t="str">
        <f>HYPERLINK("https://twitter.com/soloposdotcom","@soloposdotcom")</f>
        <v>@soloposdotcom</v>
      </c>
      <c r="C27705" s="8" t="s">
        <v>10523</v>
      </c>
      <c r="D27705" s="8">
        <v>0</v>
      </c>
      <c r="E27705" s="8">
        <v>0</v>
      </c>
      <c r="F27705" s="8">
        <v>59918</v>
      </c>
    </row>
    <row r="27706" spans="1:6" ht="12.75">
      <c r="A27706" s="8">
        <v>43892.045833333337</v>
      </c>
      <c r="B27706" s="8" t="str">
        <f>HYPERLINK("https://twitter.com/weirdfancier","@weirdfancier")</f>
        <v>@weirdfancier</v>
      </c>
      <c r="C27706" s="8" t="s">
        <v>2199</v>
      </c>
      <c r="D27706" s="8">
        <v>1196</v>
      </c>
      <c r="E27706" s="8">
        <v>0</v>
      </c>
      <c r="F27706" s="8">
        <v>457</v>
      </c>
    </row>
    <row r="27707" spans="1:6" ht="12.75">
      <c r="A27707" s="8">
        <v>43892.045775462961</v>
      </c>
      <c r="B27707" s="8" t="str">
        <f>HYPERLINK("https://twitter.com/sincera_Fajar","@sincera_Fajar")</f>
        <v>@sincera_Fajar</v>
      </c>
      <c r="C27707" s="8" t="s">
        <v>2199</v>
      </c>
      <c r="D27707" s="8">
        <v>1196</v>
      </c>
      <c r="E27707" s="8">
        <v>0</v>
      </c>
      <c r="F27707" s="8">
        <v>731</v>
      </c>
    </row>
    <row r="27708" spans="1:6" ht="12.75">
      <c r="A27708" s="8">
        <v>43892.045706018514</v>
      </c>
      <c r="B27708" s="8" t="str">
        <f>HYPERLINK("https://twitter.com/reza_maulana99","@reza_maulana99")</f>
        <v>@reza_maulana99</v>
      </c>
      <c r="C27708" s="8" t="s">
        <v>2199</v>
      </c>
      <c r="D27708" s="8">
        <v>1196</v>
      </c>
      <c r="E27708" s="8">
        <v>0</v>
      </c>
      <c r="F27708" s="8">
        <v>172</v>
      </c>
    </row>
    <row r="27709" spans="1:6" ht="12.75">
      <c r="A27709" s="8">
        <v>43892.045682870375</v>
      </c>
      <c r="B27709" s="8" t="str">
        <f>HYPERLINK("https://twitter.com/wahyuutomos","@wahyuutomos")</f>
        <v>@wahyuutomos</v>
      </c>
      <c r="C27709" s="8" t="s">
        <v>2199</v>
      </c>
      <c r="D27709" s="8">
        <v>1196</v>
      </c>
      <c r="E27709" s="8">
        <v>0</v>
      </c>
      <c r="F27709" s="8">
        <v>125</v>
      </c>
    </row>
    <row r="27710" spans="1:6" ht="12.75">
      <c r="A27710" s="8">
        <v>43892.045648148152</v>
      </c>
      <c r="B27710" s="8" t="str">
        <f>HYPERLINK("https://twitter.com/andikaputra92","@andikaputra92")</f>
        <v>@andikaputra92</v>
      </c>
      <c r="C27710" s="8" t="s">
        <v>9587</v>
      </c>
      <c r="D27710" s="8">
        <v>106</v>
      </c>
      <c r="E27710" s="8">
        <v>0</v>
      </c>
      <c r="F27710" s="8">
        <v>481</v>
      </c>
    </row>
    <row r="27711" spans="1:6" ht="12.75">
      <c r="A27711" s="8">
        <v>43892.045590277776</v>
      </c>
      <c r="B27711" s="8" t="str">
        <f>HYPERLINK("https://twitter.com/fuad_fadhillah","@fuad_fadhillah")</f>
        <v>@fuad_fadhillah</v>
      </c>
      <c r="C27711" s="8" t="s">
        <v>2199</v>
      </c>
      <c r="D27711" s="8">
        <v>1196</v>
      </c>
      <c r="E27711" s="8">
        <v>0</v>
      </c>
      <c r="F27711" s="8">
        <v>599</v>
      </c>
    </row>
    <row r="27712" spans="1:6" ht="12.75">
      <c r="A27712" s="8">
        <v>43892.045428240745</v>
      </c>
      <c r="B27712" s="8" t="str">
        <f>HYPERLINK("https://twitter.com/Abrata73647759","@Abrata73647759")</f>
        <v>@Abrata73647759</v>
      </c>
      <c r="C27712" s="8" t="s">
        <v>10481</v>
      </c>
      <c r="D27712" s="8">
        <v>199</v>
      </c>
      <c r="E27712" s="8">
        <v>0</v>
      </c>
      <c r="F27712" s="8">
        <v>63</v>
      </c>
    </row>
    <row r="27713" spans="1:6" ht="12.75">
      <c r="A27713" s="8">
        <v>43892.045335648145</v>
      </c>
      <c r="B27713" s="8" t="str">
        <f>HYPERLINK("https://twitter.com/SaatTobat","@SaatTobat")</f>
        <v>@SaatTobat</v>
      </c>
      <c r="C27713" s="8" t="s">
        <v>2199</v>
      </c>
      <c r="D27713" s="8">
        <v>1196</v>
      </c>
      <c r="E27713" s="8">
        <v>0</v>
      </c>
      <c r="F27713" s="8">
        <v>1419</v>
      </c>
    </row>
    <row r="27714" spans="1:6" ht="12.75">
      <c r="A27714" s="8">
        <v>43892.045324074075</v>
      </c>
      <c r="B27714" s="8" t="str">
        <f>HYPERLINK("https://twitter.com/tocakempong","@tocakempong")</f>
        <v>@tocakempong</v>
      </c>
      <c r="C27714" s="8" t="s">
        <v>3850</v>
      </c>
      <c r="D27714" s="8">
        <v>939</v>
      </c>
      <c r="E27714" s="8">
        <v>0</v>
      </c>
      <c r="F27714" s="8">
        <v>5148</v>
      </c>
    </row>
    <row r="27715" spans="1:6" ht="12.75">
      <c r="A27715" s="8">
        <v>43892.045300925922</v>
      </c>
      <c r="B27715" s="8" t="str">
        <f>HYPERLINK("https://twitter.com/MimMimaciaen","@MimMimaciaen")</f>
        <v>@MimMimaciaen</v>
      </c>
      <c r="C27715" s="8" t="s">
        <v>8917</v>
      </c>
      <c r="D27715" s="8">
        <v>63</v>
      </c>
      <c r="E27715" s="8">
        <v>0</v>
      </c>
      <c r="F27715" s="8">
        <v>4130</v>
      </c>
    </row>
    <row r="27716" spans="1:6" ht="12.75">
      <c r="A27716" s="8">
        <v>43892.045092592598</v>
      </c>
      <c r="B27716" s="8" t="str">
        <f>HYPERLINK("https://twitter.com/alexa_alie","@alexa_alie")</f>
        <v>@alexa_alie</v>
      </c>
      <c r="C27716" s="8" t="s">
        <v>10375</v>
      </c>
      <c r="D27716" s="8">
        <v>33</v>
      </c>
      <c r="E27716" s="8">
        <v>0</v>
      </c>
      <c r="F27716" s="8">
        <v>33</v>
      </c>
    </row>
    <row r="27717" spans="1:6" ht="12.75">
      <c r="A27717" s="8">
        <v>43892.045092592598</v>
      </c>
      <c r="B27717" s="8" t="str">
        <f>HYPERLINK("https://twitter.com/SaatTobat","@SaatTobat")</f>
        <v>@SaatTobat</v>
      </c>
      <c r="C27717" s="8" t="s">
        <v>10524</v>
      </c>
      <c r="D27717" s="8">
        <v>2</v>
      </c>
      <c r="E27717" s="8">
        <v>0</v>
      </c>
      <c r="F27717" s="8">
        <v>1419</v>
      </c>
    </row>
    <row r="27718" spans="1:6" ht="12.75">
      <c r="A27718" s="8">
        <v>43892.045081018514</v>
      </c>
      <c r="B27718" s="8" t="str">
        <f>HYPERLINK("https://twitter.com/maquinaldo","@maquinaldo")</f>
        <v>@maquinaldo</v>
      </c>
      <c r="C27718" s="8" t="s">
        <v>3648</v>
      </c>
      <c r="D27718" s="8">
        <v>100</v>
      </c>
      <c r="E27718" s="8">
        <v>0</v>
      </c>
      <c r="F27718" s="8">
        <v>432</v>
      </c>
    </row>
    <row r="27719" spans="1:6" ht="12.75">
      <c r="A27719" s="8">
        <v>43892.045023148152</v>
      </c>
      <c r="B27719" s="8" t="str">
        <f>HYPERLINK("https://twitter.com/BuleFrans","@BuleFrans")</f>
        <v>@BuleFrans</v>
      </c>
      <c r="C27719" s="8" t="s">
        <v>9729</v>
      </c>
      <c r="D27719" s="8">
        <v>108</v>
      </c>
      <c r="E27719" s="8">
        <v>0</v>
      </c>
      <c r="F27719" s="8">
        <v>48</v>
      </c>
    </row>
    <row r="27720" spans="1:6" ht="12.75">
      <c r="A27720" s="8">
        <v>43892.044942129629</v>
      </c>
      <c r="B27720" s="8" t="str">
        <f>HYPERLINK("https://twitter.com/haris96","@haris96")</f>
        <v>@haris96</v>
      </c>
      <c r="C27720" s="8" t="s">
        <v>10525</v>
      </c>
      <c r="D27720" s="8">
        <v>0</v>
      </c>
      <c r="E27720" s="8">
        <v>0</v>
      </c>
      <c r="F27720" s="8">
        <v>824</v>
      </c>
    </row>
    <row r="27721" spans="1:6" ht="12.75">
      <c r="A27721" s="8">
        <v>43892.044699074075</v>
      </c>
      <c r="B27721" s="8" t="str">
        <f>HYPERLINK("https://twitter.com/dwytono","@dwytono")</f>
        <v>@dwytono</v>
      </c>
      <c r="C27721" s="8" t="s">
        <v>10518</v>
      </c>
      <c r="D27721" s="8">
        <v>7</v>
      </c>
      <c r="E27721" s="8">
        <v>0</v>
      </c>
      <c r="F27721" s="8">
        <v>1859</v>
      </c>
    </row>
    <row r="27722" spans="1:6" ht="12.75">
      <c r="A27722" s="8">
        <v>43892.044525462959</v>
      </c>
      <c r="B27722" s="8" t="str">
        <f>HYPERLINK("https://twitter.com/moodyan_","@moodyan_")</f>
        <v>@moodyan_</v>
      </c>
      <c r="C27722" s="8" t="s">
        <v>10526</v>
      </c>
      <c r="D27722" s="8">
        <v>5</v>
      </c>
      <c r="E27722" s="8">
        <v>0</v>
      </c>
      <c r="F27722" s="8">
        <v>462</v>
      </c>
    </row>
    <row r="27723" spans="1:6" ht="12.75">
      <c r="A27723" s="8">
        <v>43892.044490740736</v>
      </c>
      <c r="B27723" s="8" t="str">
        <f>HYPERLINK("https://twitter.com/DetaqDenny","@DetaqDenny")</f>
        <v>@DetaqDenny</v>
      </c>
      <c r="C27723" s="8" t="s">
        <v>10481</v>
      </c>
      <c r="D27723" s="8">
        <v>199</v>
      </c>
      <c r="E27723" s="8">
        <v>0</v>
      </c>
      <c r="F27723" s="8">
        <v>605</v>
      </c>
    </row>
    <row r="27724" spans="1:6" ht="12.75">
      <c r="A27724" s="8">
        <v>43892.044409722221</v>
      </c>
      <c r="B27724" s="8" t="str">
        <f>HYPERLINK("https://twitter.com/SaatTobat","@SaatTobat")</f>
        <v>@SaatTobat</v>
      </c>
      <c r="C27724" s="8" t="s">
        <v>10288</v>
      </c>
      <c r="D27724" s="8">
        <v>51</v>
      </c>
      <c r="E27724" s="8">
        <v>0</v>
      </c>
      <c r="F27724" s="8">
        <v>1419</v>
      </c>
    </row>
    <row r="27725" spans="1:6" ht="12.75">
      <c r="A27725" s="8">
        <v>43892.044398148151</v>
      </c>
      <c r="B27725" s="8" t="str">
        <f>HYPERLINK("https://twitter.com/Deedee_BR77","@Deedee_BR77")</f>
        <v>@Deedee_BR77</v>
      </c>
      <c r="C27725" s="8" t="s">
        <v>3850</v>
      </c>
      <c r="D27725" s="8">
        <v>939</v>
      </c>
      <c r="E27725" s="8">
        <v>0</v>
      </c>
      <c r="F27725" s="8">
        <v>300</v>
      </c>
    </row>
    <row r="27726" spans="1:6" ht="12.75">
      <c r="A27726" s="8">
        <v>43892.044236111113</v>
      </c>
      <c r="B27726" s="8" t="str">
        <f>HYPERLINK("https://twitter.com/jordyreynhard","@jordyreynhard")</f>
        <v>@jordyreynhard</v>
      </c>
      <c r="C27726" s="8" t="s">
        <v>2199</v>
      </c>
      <c r="D27726" s="8">
        <v>1196</v>
      </c>
      <c r="E27726" s="8">
        <v>0</v>
      </c>
      <c r="F27726" s="8">
        <v>117</v>
      </c>
    </row>
    <row r="27727" spans="1:6" ht="12.75">
      <c r="A27727" s="8">
        <v>43892.04420138889</v>
      </c>
      <c r="B27727" s="8" t="str">
        <f>HYPERLINK("https://twitter.com/topinfo_id","@topinfo_id")</f>
        <v>@topinfo_id</v>
      </c>
      <c r="C27727" s="8" t="s">
        <v>10473</v>
      </c>
      <c r="D27727" s="8">
        <v>0</v>
      </c>
      <c r="E27727" s="8">
        <v>0</v>
      </c>
      <c r="F27727" s="8">
        <v>26</v>
      </c>
    </row>
    <row r="27728" spans="1:6" ht="12.75">
      <c r="A27728" s="8">
        <v>43892.044166666667</v>
      </c>
      <c r="B27728" s="8" t="str">
        <f>HYPERLINK("https://twitter.com/AndySastrawina1","@AndySastrawina1")</f>
        <v>@AndySastrawina1</v>
      </c>
      <c r="C27728" s="8" t="s">
        <v>2199</v>
      </c>
      <c r="D27728" s="8">
        <v>1196</v>
      </c>
      <c r="E27728" s="8">
        <v>0</v>
      </c>
      <c r="F27728" s="8">
        <v>2002</v>
      </c>
    </row>
    <row r="27729" spans="1:6" ht="12.75">
      <c r="A27729" s="8">
        <v>43892.044074074074</v>
      </c>
      <c r="B27729" s="8" t="str">
        <f>HYPERLINK("https://twitter.com/hernowosky","@hernowosky")</f>
        <v>@hernowosky</v>
      </c>
      <c r="C27729" s="8" t="s">
        <v>5732</v>
      </c>
      <c r="D27729" s="8">
        <v>276</v>
      </c>
      <c r="E27729" s="8">
        <v>0</v>
      </c>
      <c r="F27729" s="8">
        <v>700</v>
      </c>
    </row>
    <row r="27730" spans="1:6" ht="12.75">
      <c r="A27730" s="8">
        <v>43892.044027777782</v>
      </c>
      <c r="B27730" s="8" t="str">
        <f>HYPERLINK("https://twitter.com/gowestmor","@gowestmor")</f>
        <v>@gowestmor</v>
      </c>
      <c r="C27730" s="8" t="s">
        <v>9238</v>
      </c>
      <c r="D27730" s="8">
        <v>80</v>
      </c>
      <c r="E27730" s="8">
        <v>0</v>
      </c>
      <c r="F27730" s="8">
        <v>1587</v>
      </c>
    </row>
    <row r="27731" spans="1:6" ht="12.75">
      <c r="A27731" s="8">
        <v>43892.043981481482</v>
      </c>
      <c r="B27731" s="8" t="str">
        <f>HYPERLINK("https://twitter.com/AlfitTanjung","@AlfitTanjung")</f>
        <v>@AlfitTanjung</v>
      </c>
      <c r="C27731" s="8" t="s">
        <v>3850</v>
      </c>
      <c r="D27731" s="8">
        <v>939</v>
      </c>
      <c r="E27731" s="8">
        <v>0</v>
      </c>
      <c r="F27731" s="8">
        <v>953</v>
      </c>
    </row>
    <row r="27732" spans="1:6" ht="12.75">
      <c r="A27732" s="8">
        <v>43892.043969907405</v>
      </c>
      <c r="B27732" s="8" t="str">
        <f>HYPERLINK("https://twitter.com/serinaissance","@serinaissance")</f>
        <v>@serinaissance</v>
      </c>
      <c r="C27732" s="8" t="s">
        <v>2199</v>
      </c>
      <c r="D27732" s="8">
        <v>1196</v>
      </c>
      <c r="E27732" s="8">
        <v>0</v>
      </c>
      <c r="F27732" s="8">
        <v>960</v>
      </c>
    </row>
    <row r="27733" spans="1:6" ht="12.75">
      <c r="A27733" s="8">
        <v>43892.043946759259</v>
      </c>
      <c r="B27733" s="8" t="str">
        <f>HYPERLINK("https://twitter.com/winwinwinrt_","@winwinwinrt_")</f>
        <v>@winwinwinrt_</v>
      </c>
      <c r="C27733" s="8" t="s">
        <v>2199</v>
      </c>
      <c r="D27733" s="8">
        <v>1196</v>
      </c>
      <c r="E27733" s="8">
        <v>0</v>
      </c>
      <c r="F27733" s="8">
        <v>66</v>
      </c>
    </row>
    <row r="27734" spans="1:6" ht="12.75">
      <c r="A27734" s="8">
        <v>43892.043946759259</v>
      </c>
      <c r="B27734" s="8" t="str">
        <f>HYPERLINK("https://twitter.com/harsono_afen_","@harsono_afen_")</f>
        <v>@harsono_afen_</v>
      </c>
      <c r="C27734" s="8" t="s">
        <v>10527</v>
      </c>
      <c r="D27734" s="8">
        <v>2</v>
      </c>
      <c r="E27734" s="8">
        <v>0</v>
      </c>
      <c r="F27734" s="8">
        <v>1634</v>
      </c>
    </row>
    <row r="27735" spans="1:6" ht="12.75">
      <c r="A27735" s="8">
        <v>43892.043900462959</v>
      </c>
      <c r="B27735" s="8" t="str">
        <f>HYPERLINK("https://twitter.com/yanu_sojo","@yanu_sojo")</f>
        <v>@yanu_sojo</v>
      </c>
      <c r="C27735" s="8" t="s">
        <v>2199</v>
      </c>
      <c r="D27735" s="8">
        <v>1196</v>
      </c>
      <c r="E27735" s="8">
        <v>0</v>
      </c>
      <c r="F27735" s="8">
        <v>250</v>
      </c>
    </row>
    <row r="27736" spans="1:6" ht="12.75">
      <c r="A27736" s="8">
        <v>43892.043807870374</v>
      </c>
      <c r="B27736" s="8" t="str">
        <f>HYPERLINK("https://twitter.com/Penangkalnegat1","@Penangkalnegat1")</f>
        <v>@Penangkalnegat1</v>
      </c>
      <c r="C27736" s="8" t="s">
        <v>2199</v>
      </c>
      <c r="D27736" s="8">
        <v>1196</v>
      </c>
      <c r="E27736" s="8">
        <v>0</v>
      </c>
      <c r="F27736" s="8">
        <v>343</v>
      </c>
    </row>
    <row r="27737" spans="1:6" ht="12.75">
      <c r="A27737" s="8">
        <v>43892.043749999997</v>
      </c>
      <c r="B27737" s="8" t="str">
        <f>HYPERLINK("https://twitter.com/JantoLatief3","@JantoLatief3")</f>
        <v>@JantoLatief3</v>
      </c>
      <c r="C27737" s="8" t="s">
        <v>10528</v>
      </c>
      <c r="D27737" s="8">
        <v>20</v>
      </c>
      <c r="E27737" s="8">
        <v>0</v>
      </c>
      <c r="F27737" s="8">
        <v>1656</v>
      </c>
    </row>
    <row r="27738" spans="1:6" ht="12.75">
      <c r="A27738" s="8">
        <v>43892.043668981481</v>
      </c>
      <c r="B27738" s="8" t="str">
        <f>HYPERLINK("https://twitter.com/Deedee_BR77","@Deedee_BR77")</f>
        <v>@Deedee_BR77</v>
      </c>
      <c r="C27738" s="8" t="s">
        <v>5732</v>
      </c>
      <c r="D27738" s="8">
        <v>276</v>
      </c>
      <c r="E27738" s="8">
        <v>0</v>
      </c>
      <c r="F27738" s="8">
        <v>300</v>
      </c>
    </row>
    <row r="27739" spans="1:6" ht="12.75">
      <c r="A27739" s="8">
        <v>43892.043541666666</v>
      </c>
      <c r="B27739" s="8" t="str">
        <f>HYPERLINK("https://twitter.com/PartBurungGalak","@PartBurungGalak")</f>
        <v>@PartBurungGalak</v>
      </c>
      <c r="C27739" s="8" t="s">
        <v>9238</v>
      </c>
      <c r="D27739" s="8">
        <v>80</v>
      </c>
      <c r="E27739" s="8">
        <v>0</v>
      </c>
      <c r="F27739" s="8">
        <v>7105</v>
      </c>
    </row>
    <row r="27740" spans="1:6" ht="12.75">
      <c r="A27740" s="8">
        <v>43892.043483796297</v>
      </c>
      <c r="B27740" s="8" t="str">
        <f>HYPERLINK("https://twitter.com/destynrc","@destynrc")</f>
        <v>@destynrc</v>
      </c>
      <c r="C27740" s="8" t="s">
        <v>10529</v>
      </c>
      <c r="D27740" s="8">
        <v>0</v>
      </c>
      <c r="E27740" s="8">
        <v>0</v>
      </c>
      <c r="F27740" s="8">
        <v>2929</v>
      </c>
    </row>
    <row r="27741" spans="1:6" ht="12.75">
      <c r="A27741" s="8">
        <v>43892.043402777781</v>
      </c>
      <c r="B27741" s="8" t="str">
        <f>HYPERLINK("https://twitter.com/Hade_Grande","@Hade_Grande")</f>
        <v>@Hade_Grande</v>
      </c>
      <c r="C27741" s="8" t="s">
        <v>10333</v>
      </c>
      <c r="D27741" s="8">
        <v>30</v>
      </c>
      <c r="E27741" s="8">
        <v>0</v>
      </c>
      <c r="F27741" s="8">
        <v>528</v>
      </c>
    </row>
    <row r="27742" spans="1:6" ht="12.75">
      <c r="A27742" s="8">
        <v>43892.043333333335</v>
      </c>
      <c r="B27742" s="8" t="str">
        <f>HYPERLINK("https://twitter.com/ameeeeeng","@ameeeeeng")</f>
        <v>@ameeeeeng</v>
      </c>
      <c r="C27742" s="8" t="s">
        <v>2199</v>
      </c>
      <c r="D27742" s="8">
        <v>1196</v>
      </c>
      <c r="E27742" s="8">
        <v>0</v>
      </c>
      <c r="F27742" s="8">
        <v>723</v>
      </c>
    </row>
    <row r="27743" spans="1:6" ht="12.75">
      <c r="A27743" s="8">
        <v>43892.043275462958</v>
      </c>
      <c r="B27743" s="8" t="str">
        <f>HYPERLINK("https://twitter.com/GLHPRMN","@GLHPRMN")</f>
        <v>@GLHPRMN</v>
      </c>
      <c r="C27743" s="8" t="s">
        <v>5732</v>
      </c>
      <c r="D27743" s="8">
        <v>276</v>
      </c>
      <c r="E27743" s="8">
        <v>0</v>
      </c>
      <c r="F27743" s="8">
        <v>531</v>
      </c>
    </row>
    <row r="27744" spans="1:6" ht="12.75">
      <c r="A27744" s="8">
        <v>43892.043263888889</v>
      </c>
      <c r="B27744" s="8" t="str">
        <f>HYPERLINK("https://twitter.com/momsXabmlq_","@momsXabmlq_")</f>
        <v>@momsXabmlq_</v>
      </c>
      <c r="C27744" s="8" t="s">
        <v>2199</v>
      </c>
      <c r="D27744" s="8">
        <v>1196</v>
      </c>
      <c r="E27744" s="8">
        <v>0</v>
      </c>
      <c r="F27744" s="8">
        <v>62</v>
      </c>
    </row>
    <row r="27745" spans="1:6" ht="12.75">
      <c r="A27745" s="8">
        <v>43892.043124999997</v>
      </c>
      <c r="B27745" s="8" t="str">
        <f>HYPERLINK("https://twitter.com/doyokijay","@doyokijay")</f>
        <v>@doyokijay</v>
      </c>
      <c r="C27745" s="8" t="s">
        <v>10111</v>
      </c>
      <c r="D27745" s="8">
        <v>112</v>
      </c>
      <c r="E27745" s="8">
        <v>0</v>
      </c>
      <c r="F27745" s="8">
        <v>318</v>
      </c>
    </row>
    <row r="27746" spans="1:6" ht="12.75">
      <c r="A27746" s="8">
        <v>43892.04310185185</v>
      </c>
      <c r="B27746" s="8" t="str">
        <f>HYPERLINK("https://twitter.com/Gusti_pNyu","@Gusti_pNyu")</f>
        <v>@Gusti_pNyu</v>
      </c>
      <c r="C27746" s="8" t="s">
        <v>2199</v>
      </c>
      <c r="D27746" s="8">
        <v>1196</v>
      </c>
      <c r="E27746" s="8">
        <v>0</v>
      </c>
      <c r="F27746" s="8">
        <v>333</v>
      </c>
    </row>
    <row r="27747" spans="1:6" ht="12.75">
      <c r="A27747" s="8">
        <v>43892.04310185185</v>
      </c>
      <c r="B27747" s="8" t="str">
        <f>HYPERLINK("https://twitter.com/Morvin02104657","@Morvin02104657")</f>
        <v>@Morvin02104657</v>
      </c>
      <c r="C27747" s="8" t="s">
        <v>10375</v>
      </c>
      <c r="D27747" s="8">
        <v>33</v>
      </c>
      <c r="E27747" s="8">
        <v>0</v>
      </c>
      <c r="F27747" s="8">
        <v>20</v>
      </c>
    </row>
    <row r="27748" spans="1:6" ht="12.75">
      <c r="A27748" s="8">
        <v>43892.042962962965</v>
      </c>
      <c r="B27748" s="8" t="str">
        <f>HYPERLINK("https://twitter.com/rang_simabua","@rang_simabua")</f>
        <v>@rang_simabua</v>
      </c>
      <c r="C27748" s="8" t="s">
        <v>5732</v>
      </c>
      <c r="D27748" s="8">
        <v>276</v>
      </c>
      <c r="E27748" s="8">
        <v>0</v>
      </c>
      <c r="F27748" s="8">
        <v>7866</v>
      </c>
    </row>
    <row r="27749" spans="1:6" ht="12.75">
      <c r="A27749" s="8">
        <v>43892.042754629627</v>
      </c>
      <c r="B27749" s="8" t="str">
        <f t="shared" ref="B27749:B27752" si="370">HYPERLINK("https://twitter.com/destynrc","@destynrc")</f>
        <v>@destynrc</v>
      </c>
      <c r="C27749" s="8" t="s">
        <v>9919</v>
      </c>
      <c r="D27749" s="8">
        <v>6</v>
      </c>
      <c r="E27749" s="8">
        <v>0</v>
      </c>
      <c r="F27749" s="8">
        <v>2929</v>
      </c>
    </row>
    <row r="27750" spans="1:6" ht="12.75">
      <c r="A27750" s="8">
        <v>43892.042638888888</v>
      </c>
      <c r="B27750" s="8" t="str">
        <f t="shared" si="370"/>
        <v>@destynrc</v>
      </c>
      <c r="C27750" s="8" t="s">
        <v>5803</v>
      </c>
      <c r="D27750" s="8">
        <v>21</v>
      </c>
      <c r="E27750" s="8">
        <v>0</v>
      </c>
      <c r="F27750" s="8">
        <v>2929</v>
      </c>
    </row>
    <row r="27751" spans="1:6" ht="12.75">
      <c r="A27751" s="8">
        <v>43892.042581018519</v>
      </c>
      <c r="B27751" s="8" t="str">
        <f t="shared" si="370"/>
        <v>@destynrc</v>
      </c>
      <c r="C27751" s="8" t="s">
        <v>2995</v>
      </c>
      <c r="D27751" s="8">
        <v>13</v>
      </c>
      <c r="E27751" s="8">
        <v>0</v>
      </c>
      <c r="F27751" s="8">
        <v>2929</v>
      </c>
    </row>
    <row r="27752" spans="1:6" ht="12.75">
      <c r="A27752" s="8">
        <v>43892.042557870373</v>
      </c>
      <c r="B27752" s="8" t="str">
        <f t="shared" si="370"/>
        <v>@destynrc</v>
      </c>
      <c r="C27752" s="8" t="s">
        <v>1749</v>
      </c>
      <c r="D27752" s="8">
        <v>12</v>
      </c>
      <c r="E27752" s="8">
        <v>0</v>
      </c>
      <c r="F27752" s="8">
        <v>2929</v>
      </c>
    </row>
    <row r="27753" spans="1:6" ht="12.75">
      <c r="A27753" s="8">
        <v>43892.042511574073</v>
      </c>
      <c r="B27753" s="8" t="str">
        <f>HYPERLINK("https://twitter.com/mr_mamatto","@mr_mamatto")</f>
        <v>@mr_mamatto</v>
      </c>
      <c r="C27753" s="8" t="s">
        <v>10530</v>
      </c>
      <c r="D27753" s="8">
        <v>13</v>
      </c>
      <c r="E27753" s="8">
        <v>0</v>
      </c>
      <c r="F27753" s="8">
        <v>222</v>
      </c>
    </row>
    <row r="27754" spans="1:6" ht="12.75">
      <c r="A27754" s="8">
        <v>43892.042407407411</v>
      </c>
      <c r="B27754" s="8" t="str">
        <f>HYPERLINK("https://twitter.com/feelsofar","@feelsofar")</f>
        <v>@feelsofar</v>
      </c>
      <c r="C27754" s="8" t="s">
        <v>3648</v>
      </c>
      <c r="D27754" s="8">
        <v>100</v>
      </c>
      <c r="E27754" s="8">
        <v>0</v>
      </c>
      <c r="F27754" s="8">
        <v>5116</v>
      </c>
    </row>
    <row r="27755" spans="1:6" ht="12.75">
      <c r="A27755" s="8">
        <v>43892.042384259257</v>
      </c>
      <c r="B27755" s="8" t="str">
        <f>HYPERLINK("https://twitter.com/okezonenews","@okezonenews")</f>
        <v>@okezonenews</v>
      </c>
      <c r="C27755" s="8" t="s">
        <v>10531</v>
      </c>
      <c r="D27755" s="8">
        <v>1</v>
      </c>
      <c r="E27755" s="8">
        <v>0</v>
      </c>
      <c r="F27755" s="8">
        <v>1744172</v>
      </c>
    </row>
    <row r="27756" spans="1:6" ht="12.75">
      <c r="A27756" s="8">
        <v>43892.042210648149</v>
      </c>
      <c r="B27756" s="8" t="str">
        <f>HYPERLINK("https://twitter.com/dhesmond4","@dhesmond4")</f>
        <v>@dhesmond4</v>
      </c>
      <c r="C27756" s="8" t="s">
        <v>10295</v>
      </c>
      <c r="D27756" s="8">
        <v>58</v>
      </c>
      <c r="E27756" s="8">
        <v>0</v>
      </c>
      <c r="F27756" s="8">
        <v>918</v>
      </c>
    </row>
    <row r="27757" spans="1:6" ht="12.75">
      <c r="A27757" s="8">
        <v>43892.042164351849</v>
      </c>
      <c r="B27757" s="8" t="str">
        <f>HYPERLINK("https://twitter.com/WantoroArt","@WantoroArt")</f>
        <v>@WantoroArt</v>
      </c>
      <c r="C27757" s="8" t="s">
        <v>3850</v>
      </c>
      <c r="D27757" s="8">
        <v>939</v>
      </c>
      <c r="E27757" s="8">
        <v>0</v>
      </c>
      <c r="F27757" s="8">
        <v>93</v>
      </c>
    </row>
    <row r="27758" spans="1:6" ht="12.75">
      <c r="A27758" s="8">
        <v>43892.04215277778</v>
      </c>
      <c r="B27758" s="8" t="str">
        <f>HYPERLINK("https://twitter.com/dhesmond4","@dhesmond4")</f>
        <v>@dhesmond4</v>
      </c>
      <c r="C27758" s="8" t="s">
        <v>9130</v>
      </c>
      <c r="D27758" s="8">
        <v>222</v>
      </c>
      <c r="E27758" s="8">
        <v>0</v>
      </c>
      <c r="F27758" s="8">
        <v>918</v>
      </c>
    </row>
    <row r="27759" spans="1:6" ht="12.75">
      <c r="A27759" s="8">
        <v>43892.04206018518</v>
      </c>
      <c r="B27759" s="8" t="str">
        <f>HYPERLINK("https://twitter.com/gnetimthy","@gnetimthy")</f>
        <v>@gnetimthy</v>
      </c>
      <c r="C27759" s="8" t="s">
        <v>2199</v>
      </c>
      <c r="D27759" s="8">
        <v>1196</v>
      </c>
      <c r="E27759" s="8">
        <v>0</v>
      </c>
      <c r="F27759" s="8">
        <v>271</v>
      </c>
    </row>
    <row r="27760" spans="1:6" ht="12.75">
      <c r="A27760" s="8">
        <v>43892.042002314818</v>
      </c>
      <c r="B27760" s="8" t="str">
        <f>HYPERLINK("https://twitter.com/Lya_Billy","@Lya_Billy")</f>
        <v>@Lya_Billy</v>
      </c>
      <c r="C27760" s="8" t="s">
        <v>2199</v>
      </c>
      <c r="D27760" s="8">
        <v>1196</v>
      </c>
      <c r="E27760" s="8">
        <v>0</v>
      </c>
      <c r="F27760" s="8">
        <v>158</v>
      </c>
    </row>
    <row r="27761" spans="1:6" ht="12.75">
      <c r="A27761" s="8">
        <v>43892.041967592595</v>
      </c>
      <c r="B27761" s="8" t="str">
        <f>HYPERLINK("https://twitter.com/dadanmarthian","@dadanmarthian")</f>
        <v>@dadanmarthian</v>
      </c>
      <c r="C27761" s="8" t="s">
        <v>5732</v>
      </c>
      <c r="D27761" s="8">
        <v>276</v>
      </c>
      <c r="E27761" s="8">
        <v>0</v>
      </c>
      <c r="F27761" s="8">
        <v>1089</v>
      </c>
    </row>
    <row r="27762" spans="1:6" ht="12.75">
      <c r="A27762" s="8">
        <v>43892.04178240741</v>
      </c>
      <c r="B27762" s="8" t="str">
        <f>HYPERLINK("https://twitter.com/mzdkr","@mzdkr")</f>
        <v>@mzdkr</v>
      </c>
      <c r="C27762" s="8" t="s">
        <v>10518</v>
      </c>
      <c r="D27762" s="8">
        <v>7</v>
      </c>
      <c r="E27762" s="8">
        <v>0</v>
      </c>
      <c r="F27762" s="8">
        <v>416</v>
      </c>
    </row>
    <row r="27763" spans="1:6" ht="12.75">
      <c r="A27763" s="8">
        <v>43892.041712962964</v>
      </c>
      <c r="B27763" s="8" t="str">
        <f>HYPERLINK("https://twitter.com/fajarak_","@fajarak_")</f>
        <v>@fajarak_</v>
      </c>
      <c r="C27763" s="8" t="s">
        <v>8917</v>
      </c>
      <c r="D27763" s="8">
        <v>63</v>
      </c>
      <c r="E27763" s="8">
        <v>0</v>
      </c>
      <c r="F27763" s="8">
        <v>361</v>
      </c>
    </row>
    <row r="27764" spans="1:6" ht="12.75">
      <c r="A27764" s="8">
        <v>43892.041620370372</v>
      </c>
      <c r="B27764" s="8" t="str">
        <f>HYPERLINK("https://twitter.com/RobbyHens","@RobbyHens")</f>
        <v>@RobbyHens</v>
      </c>
      <c r="C27764" s="8" t="s">
        <v>2199</v>
      </c>
      <c r="D27764" s="8">
        <v>1196</v>
      </c>
      <c r="E27764" s="8">
        <v>0</v>
      </c>
      <c r="F27764" s="8">
        <v>146</v>
      </c>
    </row>
    <row r="27765" spans="1:6" ht="12.75">
      <c r="A27765" s="8">
        <v>43892.041469907403</v>
      </c>
      <c r="B27765" s="8" t="str">
        <f>HYPERLINK("https://twitter.com/vabulousveby","@vabulousveby")</f>
        <v>@vabulousveby</v>
      </c>
      <c r="C27765" s="8" t="s">
        <v>9130</v>
      </c>
      <c r="D27765" s="8">
        <v>222</v>
      </c>
      <c r="E27765" s="8">
        <v>0</v>
      </c>
      <c r="F27765" s="8">
        <v>117</v>
      </c>
    </row>
    <row r="27766" spans="1:6" ht="12.75">
      <c r="A27766" s="8">
        <v>43892.040983796294</v>
      </c>
      <c r="B27766" s="8" t="str">
        <f>HYPERLINK("https://twitter.com/sheyul_syh","@sheyul_syh")</f>
        <v>@sheyul_syh</v>
      </c>
      <c r="C27766" s="8" t="s">
        <v>2199</v>
      </c>
      <c r="D27766" s="8">
        <v>1196</v>
      </c>
      <c r="E27766" s="8">
        <v>0</v>
      </c>
      <c r="F27766" s="8">
        <v>47</v>
      </c>
    </row>
    <row r="27767" spans="1:6" ht="12.75">
      <c r="A27767" s="8">
        <v>43892.040949074071</v>
      </c>
      <c r="B27767" s="8" t="str">
        <f>HYPERLINK("https://twitter.com/r3nDYwJy","@r3nDYwJy")</f>
        <v>@r3nDYwJy</v>
      </c>
      <c r="C27767" s="8" t="s">
        <v>9238</v>
      </c>
      <c r="D27767" s="8">
        <v>80</v>
      </c>
      <c r="E27767" s="8">
        <v>0</v>
      </c>
      <c r="F27767" s="8">
        <v>1637</v>
      </c>
    </row>
    <row r="27768" spans="1:6" ht="12.75">
      <c r="A27768" s="8">
        <v>43892.040891203702</v>
      </c>
      <c r="B27768" s="8" t="str">
        <f>HYPERLINK("https://twitter.com/dirhand","@dirhand")</f>
        <v>@dirhand</v>
      </c>
      <c r="C27768" s="8" t="s">
        <v>4990</v>
      </c>
      <c r="D27768" s="8">
        <v>169</v>
      </c>
      <c r="E27768" s="8">
        <v>0</v>
      </c>
      <c r="F27768" s="8">
        <v>326</v>
      </c>
    </row>
    <row r="27769" spans="1:6" ht="12.75">
      <c r="A27769" s="8">
        <v>43892.040810185186</v>
      </c>
      <c r="B27769" s="8" t="str">
        <f>HYPERLINK("https://twitter.com/Clariss04703904","@Clariss04703904")</f>
        <v>@Clariss04703904</v>
      </c>
      <c r="C27769" s="8" t="s">
        <v>10456</v>
      </c>
      <c r="D27769" s="8">
        <v>34</v>
      </c>
      <c r="E27769" s="8">
        <v>0</v>
      </c>
      <c r="F27769" s="8">
        <v>3</v>
      </c>
    </row>
    <row r="27770" spans="1:6" ht="12.75">
      <c r="A27770" s="8">
        <v>43892.040798611109</v>
      </c>
      <c r="B27770" s="8" t="str">
        <f>HYPERLINK("https://twitter.com/febryarp","@febryarp")</f>
        <v>@febryarp</v>
      </c>
      <c r="C27770" s="8" t="s">
        <v>10518</v>
      </c>
      <c r="D27770" s="8">
        <v>7</v>
      </c>
      <c r="E27770" s="8">
        <v>0</v>
      </c>
      <c r="F27770" s="8">
        <v>601</v>
      </c>
    </row>
    <row r="27771" spans="1:6" ht="12.75">
      <c r="A27771" s="8">
        <v>43892.040798611109</v>
      </c>
      <c r="B27771" s="8" t="str">
        <f>HYPERLINK("https://twitter.com/helloiamcal","@helloiamcal")</f>
        <v>@helloiamcal</v>
      </c>
      <c r="C27771" s="8" t="s">
        <v>8917</v>
      </c>
      <c r="D27771" s="8">
        <v>63</v>
      </c>
      <c r="E27771" s="8">
        <v>0</v>
      </c>
      <c r="F27771" s="8">
        <v>66</v>
      </c>
    </row>
    <row r="27772" spans="1:6" ht="12.75">
      <c r="A27772" s="8">
        <v>43892.040706018517</v>
      </c>
      <c r="B27772" s="8" t="str">
        <f>HYPERLINK("https://twitter.com/willyfawzi","@willyfawzi")</f>
        <v>@willyfawzi</v>
      </c>
      <c r="C27772" s="8" t="s">
        <v>10518</v>
      </c>
      <c r="D27772" s="8">
        <v>7</v>
      </c>
      <c r="E27772" s="8">
        <v>0</v>
      </c>
      <c r="F27772" s="8">
        <v>0</v>
      </c>
    </row>
    <row r="27773" spans="1:6" ht="12.75">
      <c r="A27773" s="8">
        <v>43892.040659722217</v>
      </c>
      <c r="B27773" s="8" t="str">
        <f>HYPERLINK("https://twitter.com/Haluan_","@Haluan_")</f>
        <v>@Haluan_</v>
      </c>
      <c r="C27773" s="8" t="s">
        <v>10532</v>
      </c>
      <c r="D27773" s="8">
        <v>0</v>
      </c>
      <c r="E27773" s="8">
        <v>0</v>
      </c>
      <c r="F27773" s="8">
        <v>1507</v>
      </c>
    </row>
    <row r="27774" spans="1:6" ht="12.75">
      <c r="A27774" s="8">
        <v>43892.040648148148</v>
      </c>
      <c r="B27774" s="8" t="str">
        <f>HYPERLINK("https://twitter.com/MderryA","@MderryA")</f>
        <v>@MderryA</v>
      </c>
      <c r="C27774" s="8" t="s">
        <v>3850</v>
      </c>
      <c r="D27774" s="8">
        <v>939</v>
      </c>
      <c r="E27774" s="8">
        <v>0</v>
      </c>
      <c r="F27774" s="8">
        <v>1538</v>
      </c>
    </row>
    <row r="27775" spans="1:6" ht="12.75">
      <c r="A27775" s="8">
        <v>43892.040613425925</v>
      </c>
      <c r="B27775" s="8" t="str">
        <f>HYPERLINK("https://twitter.com/indahooc","@indahooc")</f>
        <v>@indahooc</v>
      </c>
      <c r="C27775" s="8" t="s">
        <v>8096</v>
      </c>
      <c r="D27775" s="8">
        <v>98</v>
      </c>
      <c r="E27775" s="8">
        <v>0</v>
      </c>
      <c r="F27775" s="8">
        <v>16</v>
      </c>
    </row>
    <row r="27776" spans="1:6" ht="12.75">
      <c r="A27776" s="8">
        <v>43892.040601851855</v>
      </c>
      <c r="B27776" s="8" t="str">
        <f>HYPERLINK("https://twitter.com/yohanadameria","@yohanadameria")</f>
        <v>@yohanadameria</v>
      </c>
      <c r="C27776" s="8" t="s">
        <v>2199</v>
      </c>
      <c r="D27776" s="8">
        <v>1196</v>
      </c>
      <c r="E27776" s="8">
        <v>0</v>
      </c>
      <c r="F27776" s="8">
        <v>532</v>
      </c>
    </row>
    <row r="27777" spans="1:6" ht="12.75">
      <c r="A27777" s="8">
        <v>43892.040567129632</v>
      </c>
      <c r="B27777" s="8" t="str">
        <f>HYPERLINK("https://twitter.com/SinagaMazmur","@SinagaMazmur")</f>
        <v>@SinagaMazmur</v>
      </c>
      <c r="C27777" s="8" t="s">
        <v>9238</v>
      </c>
      <c r="D27777" s="8">
        <v>80</v>
      </c>
      <c r="E27777" s="8">
        <v>0</v>
      </c>
      <c r="F27777" s="8">
        <v>3</v>
      </c>
    </row>
    <row r="27778" spans="1:6" ht="12.75">
      <c r="A27778" s="8">
        <v>43892.040532407409</v>
      </c>
      <c r="B27778" s="8" t="str">
        <f>HYPERLINK("https://twitter.com/bukansjwsjw","@bukansjwsjw")</f>
        <v>@bukansjwsjw</v>
      </c>
      <c r="C27778" s="8" t="s">
        <v>2199</v>
      </c>
      <c r="D27778" s="8">
        <v>1196</v>
      </c>
      <c r="E27778" s="8">
        <v>0</v>
      </c>
      <c r="F27778" s="8">
        <v>274</v>
      </c>
    </row>
    <row r="27779" spans="1:6" ht="12.75">
      <c r="A27779" s="8">
        <v>43892.040497685186</v>
      </c>
      <c r="B27779" s="8" t="str">
        <f>HYPERLINK("https://twitter.com/abumalikha0528","@abumalikha0528")</f>
        <v>@abumalikha0528</v>
      </c>
      <c r="C27779" s="8" t="s">
        <v>9130</v>
      </c>
      <c r="D27779" s="8">
        <v>222</v>
      </c>
      <c r="E27779" s="8">
        <v>0</v>
      </c>
      <c r="F27779" s="8">
        <v>886</v>
      </c>
    </row>
    <row r="27780" spans="1:6" ht="12.75">
      <c r="A27780" s="8">
        <v>43892.006770833337</v>
      </c>
      <c r="B27780" s="8" t="str">
        <f>HYPERLINK("https://twitter.com/arbiwiratama","@arbiwiratama")</f>
        <v>@arbiwiratama</v>
      </c>
      <c r="C27780" s="8" t="s">
        <v>3850</v>
      </c>
      <c r="D27780" s="8">
        <v>886</v>
      </c>
      <c r="E27780" s="8">
        <v>0</v>
      </c>
      <c r="F27780" s="8">
        <v>197</v>
      </c>
    </row>
    <row r="27781" spans="1:6" ht="12.75">
      <c r="A27781" s="8">
        <v>43892.006608796291</v>
      </c>
      <c r="B27781" s="8" t="str">
        <f>HYPERLINK("https://twitter.com/IjoR3aK","@IjoR3aK")</f>
        <v>@IjoR3aK</v>
      </c>
      <c r="C27781" s="8" t="s">
        <v>4150</v>
      </c>
      <c r="D27781" s="8">
        <v>66</v>
      </c>
      <c r="E27781" s="8">
        <v>0</v>
      </c>
      <c r="F27781" s="8">
        <v>18</v>
      </c>
    </row>
    <row r="27782" spans="1:6" ht="12.75">
      <c r="A27782" s="8">
        <v>43892.006597222222</v>
      </c>
      <c r="B27782" s="8" t="str">
        <f>HYPERLINK("https://twitter.com/rafsa_08","@rafsa_08")</f>
        <v>@rafsa_08</v>
      </c>
      <c r="C27782" s="8" t="s">
        <v>4990</v>
      </c>
      <c r="D27782" s="8">
        <v>152</v>
      </c>
      <c r="E27782" s="8">
        <v>0</v>
      </c>
      <c r="F27782" s="8">
        <v>424</v>
      </c>
    </row>
    <row r="27783" spans="1:6" ht="12.75">
      <c r="A27783" s="8">
        <v>43892.006562499999</v>
      </c>
      <c r="B27783" s="8" t="str">
        <f>HYPERLINK("https://twitter.com/Teguh83076862","@Teguh83076862")</f>
        <v>@Teguh83076862</v>
      </c>
      <c r="C27783" s="8" t="s">
        <v>10533</v>
      </c>
      <c r="D27783" s="8">
        <v>0</v>
      </c>
      <c r="E27783" s="8">
        <v>0</v>
      </c>
      <c r="F27783" s="8">
        <v>2</v>
      </c>
    </row>
    <row r="27784" spans="1:6" ht="12.75">
      <c r="A27784" s="8">
        <v>43892.006504629629</v>
      </c>
      <c r="B27784" s="8" t="str">
        <f>HYPERLINK("https://twitter.com/ben_juventino","@ben_juventino")</f>
        <v>@ben_juventino</v>
      </c>
      <c r="C27784" s="8" t="s">
        <v>10534</v>
      </c>
      <c r="D27784" s="8">
        <v>0</v>
      </c>
      <c r="E27784" s="8">
        <v>0</v>
      </c>
      <c r="F27784" s="8">
        <v>210</v>
      </c>
    </row>
    <row r="27785" spans="1:6" ht="12.75">
      <c r="A27785" s="8">
        <v>43892.006365740745</v>
      </c>
      <c r="B27785" s="8" t="str">
        <f>HYPERLINK("https://twitter.com/95jooo","@95jooo")</f>
        <v>@95jooo</v>
      </c>
      <c r="C27785" s="8" t="s">
        <v>2199</v>
      </c>
      <c r="D27785" s="8">
        <v>1058</v>
      </c>
      <c r="E27785" s="8">
        <v>0</v>
      </c>
      <c r="F27785" s="8">
        <v>184</v>
      </c>
    </row>
    <row r="27786" spans="1:6" ht="12.75">
      <c r="A27786" s="8">
        <v>43892.006284722222</v>
      </c>
      <c r="B27786" s="8" t="str">
        <f>HYPERLINK("https://twitter.com/M453h47","@M453h47")</f>
        <v>@M453h47</v>
      </c>
      <c r="C27786" s="8" t="s">
        <v>9910</v>
      </c>
      <c r="D27786" s="8">
        <v>22</v>
      </c>
      <c r="E27786" s="8">
        <v>0</v>
      </c>
      <c r="F27786" s="8">
        <v>238</v>
      </c>
    </row>
    <row r="27787" spans="1:6" ht="12.75">
      <c r="A27787" s="8">
        <v>43892.006215277783</v>
      </c>
      <c r="B27787" s="8" t="str">
        <f>HYPERLINK("https://twitter.com/belindatrifosa","@belindatrifosa")</f>
        <v>@belindatrifosa</v>
      </c>
      <c r="C27787" s="8" t="s">
        <v>2199</v>
      </c>
      <c r="D27787" s="8">
        <v>1058</v>
      </c>
      <c r="E27787" s="8">
        <v>0</v>
      </c>
      <c r="F27787" s="8">
        <v>289</v>
      </c>
    </row>
    <row r="27788" spans="1:6" ht="12.75">
      <c r="A27788" s="8">
        <v>43892.006168981483</v>
      </c>
      <c r="B27788" s="8" t="str">
        <f>HYPERLINK("https://twitter.com/KeyshaAdinda5","@KeyshaAdinda5")</f>
        <v>@KeyshaAdinda5</v>
      </c>
      <c r="C27788" s="8" t="s">
        <v>10535</v>
      </c>
      <c r="D27788" s="8">
        <v>13</v>
      </c>
      <c r="E27788" s="8">
        <v>0</v>
      </c>
      <c r="F27788" s="8">
        <v>4689</v>
      </c>
    </row>
    <row r="27789" spans="1:6" ht="12.75">
      <c r="A27789" s="8">
        <v>43892.006157407406</v>
      </c>
      <c r="B27789" s="8" t="str">
        <f>HYPERLINK("https://twitter.com/arunjdk","@arunjdk")</f>
        <v>@arunjdk</v>
      </c>
      <c r="C27789" s="8" t="s">
        <v>2199</v>
      </c>
      <c r="D27789" s="8">
        <v>1058</v>
      </c>
      <c r="E27789" s="8">
        <v>0</v>
      </c>
      <c r="F27789" s="8">
        <v>535</v>
      </c>
    </row>
    <row r="27790" spans="1:6" ht="12.75">
      <c r="A27790" s="8">
        <v>43892.006145833337</v>
      </c>
      <c r="B27790" s="8" t="str">
        <f>HYPERLINK("https://twitter.com/tetsu0724d","@tetsu0724d")</f>
        <v>@tetsu0724d</v>
      </c>
      <c r="C27790" s="8" t="s">
        <v>10536</v>
      </c>
      <c r="D27790" s="8">
        <v>4</v>
      </c>
      <c r="E27790" s="8">
        <v>0</v>
      </c>
      <c r="F27790" s="8">
        <v>0</v>
      </c>
    </row>
    <row r="27791" spans="1:6" ht="12.75">
      <c r="A27791" s="8">
        <v>43892.006122685183</v>
      </c>
      <c r="B27791" s="8" t="str">
        <f>HYPERLINK("https://twitter.com/MazzShan","@MazzShan")</f>
        <v>@MazzShan</v>
      </c>
      <c r="C27791" s="8" t="s">
        <v>2199</v>
      </c>
      <c r="D27791" s="8">
        <v>1058</v>
      </c>
      <c r="E27791" s="8">
        <v>0</v>
      </c>
      <c r="F27791" s="8">
        <v>632</v>
      </c>
    </row>
    <row r="27792" spans="1:6" ht="12.75">
      <c r="A27792" s="8">
        <v>43892.006041666667</v>
      </c>
      <c r="B27792" s="8" t="str">
        <f>HYPERLINK("https://twitter.com/fransucipto","@fransucipto")</f>
        <v>@fransucipto</v>
      </c>
      <c r="C27792" s="8" t="s">
        <v>5732</v>
      </c>
      <c r="D27792" s="8">
        <v>214</v>
      </c>
      <c r="E27792" s="8">
        <v>0</v>
      </c>
      <c r="F27792" s="8">
        <v>272</v>
      </c>
    </row>
    <row r="27793" spans="1:6" ht="12.75">
      <c r="A27793" s="8">
        <v>43892.005937499998</v>
      </c>
      <c r="B27793" s="8" t="str">
        <f>HYPERLINK("https://twitter.com/subchi20","@subchi20")</f>
        <v>@subchi20</v>
      </c>
      <c r="C27793" s="8" t="s">
        <v>3850</v>
      </c>
      <c r="D27793" s="8">
        <v>886</v>
      </c>
      <c r="E27793" s="8">
        <v>0</v>
      </c>
      <c r="F27793" s="8">
        <v>886</v>
      </c>
    </row>
    <row r="27794" spans="1:6" ht="12.75">
      <c r="A27794" s="8">
        <v>43892.005902777775</v>
      </c>
      <c r="B27794" s="8" t="str">
        <f>HYPERLINK("https://twitter.com/SydSalesman","@SydSalesman")</f>
        <v>@SydSalesman</v>
      </c>
      <c r="C27794" s="8" t="s">
        <v>10111</v>
      </c>
      <c r="D27794" s="8">
        <v>106</v>
      </c>
      <c r="E27794" s="8">
        <v>0</v>
      </c>
      <c r="F27794" s="8">
        <v>6278</v>
      </c>
    </row>
    <row r="27795" spans="1:6" ht="12.75">
      <c r="A27795" s="8">
        <v>43892.005902777775</v>
      </c>
      <c r="B27795" s="8" t="str">
        <f>HYPERLINK("https://twitter.com/borispaga","@borispaga")</f>
        <v>@borispaga</v>
      </c>
      <c r="C27795" s="8" t="s">
        <v>2199</v>
      </c>
      <c r="D27795" s="8">
        <v>1058</v>
      </c>
      <c r="E27795" s="8">
        <v>0</v>
      </c>
      <c r="F27795" s="8">
        <v>450</v>
      </c>
    </row>
    <row r="27796" spans="1:6" ht="12.75">
      <c r="A27796" s="8">
        <v>43892.005856481483</v>
      </c>
      <c r="B27796" s="8" t="str">
        <f>HYPERLINK("https://twitter.com/frrzx","@frrzx")</f>
        <v>@frrzx</v>
      </c>
      <c r="C27796" s="8" t="s">
        <v>2272</v>
      </c>
      <c r="D27796" s="8">
        <v>873</v>
      </c>
      <c r="E27796" s="8">
        <v>0</v>
      </c>
      <c r="F27796" s="8">
        <v>478</v>
      </c>
    </row>
    <row r="27797" spans="1:6" ht="12.75">
      <c r="A27797" s="8">
        <v>43892.005706018521</v>
      </c>
      <c r="B27797" s="8" t="str">
        <f>HYPERLINK("https://twitter.com/MasfarGazali","@MasfarGazali")</f>
        <v>@MasfarGazali</v>
      </c>
      <c r="C27797" s="8" t="s">
        <v>3850</v>
      </c>
      <c r="D27797" s="8">
        <v>886</v>
      </c>
      <c r="E27797" s="8">
        <v>0</v>
      </c>
      <c r="F27797" s="8">
        <v>1971</v>
      </c>
    </row>
    <row r="27798" spans="1:6" ht="12.75">
      <c r="A27798" s="8">
        <v>43892.005648148144</v>
      </c>
      <c r="B27798" s="8" t="str">
        <f>HYPERLINK("https://twitter.com/GuptaGautama","@GuptaGautama")</f>
        <v>@GuptaGautama</v>
      </c>
      <c r="C27798" s="8" t="s">
        <v>2199</v>
      </c>
      <c r="D27798" s="8">
        <v>1058</v>
      </c>
      <c r="E27798" s="8">
        <v>0</v>
      </c>
      <c r="F27798" s="8">
        <v>877</v>
      </c>
    </row>
    <row r="27799" spans="1:6" ht="12.75">
      <c r="A27799" s="8">
        <v>43892.005636574075</v>
      </c>
      <c r="B27799" s="8" t="str">
        <f>HYPERLINK("https://twitter.com/MasfarGazali","@MasfarGazali")</f>
        <v>@MasfarGazali</v>
      </c>
      <c r="C27799" s="8" t="s">
        <v>10261</v>
      </c>
      <c r="D27799" s="8">
        <v>1</v>
      </c>
      <c r="E27799" s="8">
        <v>0</v>
      </c>
      <c r="F27799" s="8">
        <v>1971</v>
      </c>
    </row>
    <row r="27800" spans="1:6" ht="12.75">
      <c r="A27800" s="8">
        <v>43892.005532407406</v>
      </c>
      <c r="B27800" s="8" t="str">
        <f>HYPERLINK("https://twitter.com/gembira683101","@gembira683101")</f>
        <v>@gembira683101</v>
      </c>
      <c r="C27800" s="8" t="s">
        <v>2199</v>
      </c>
      <c r="D27800" s="8">
        <v>1058</v>
      </c>
      <c r="E27800" s="8">
        <v>0</v>
      </c>
      <c r="F27800" s="8">
        <v>246</v>
      </c>
    </row>
    <row r="27801" spans="1:6" ht="12.75">
      <c r="A27801" s="8">
        <v>43892.005439814813</v>
      </c>
      <c r="B27801" s="8" t="str">
        <f>HYPERLINK("https://twitter.com/Galihzainur1","@Galihzainur1")</f>
        <v>@Galihzainur1</v>
      </c>
      <c r="C27801" s="8" t="s">
        <v>10435</v>
      </c>
      <c r="D27801" s="8">
        <v>26</v>
      </c>
      <c r="E27801" s="8">
        <v>0</v>
      </c>
      <c r="F27801" s="8">
        <v>2566</v>
      </c>
    </row>
    <row r="27802" spans="1:6" ht="12.75">
      <c r="A27802" s="8">
        <v>43892.005416666667</v>
      </c>
      <c r="B27802" s="8" t="str">
        <f>HYPERLINK("https://twitter.com/Sastroklengsre1","@Sastroklengsre1")</f>
        <v>@Sastroklengsre1</v>
      </c>
      <c r="C27802" s="8" t="s">
        <v>10537</v>
      </c>
      <c r="D27802" s="8">
        <v>0</v>
      </c>
      <c r="E27802" s="8">
        <v>0</v>
      </c>
      <c r="F27802" s="8">
        <v>2887</v>
      </c>
    </row>
    <row r="27803" spans="1:6" ht="12.75">
      <c r="A27803" s="8">
        <v>43892.005393518513</v>
      </c>
      <c r="B27803" s="8" t="str">
        <f>HYPERLINK("https://twitter.com/antaranews","@antaranews")</f>
        <v>@antaranews</v>
      </c>
      <c r="C27803" s="8" t="s">
        <v>10538</v>
      </c>
      <c r="D27803" s="8">
        <v>1</v>
      </c>
      <c r="E27803" s="8">
        <v>1</v>
      </c>
      <c r="F27803" s="8">
        <v>1105954</v>
      </c>
    </row>
    <row r="27804" spans="1:6" ht="12.75">
      <c r="A27804" s="8">
        <v>43892.005381944444</v>
      </c>
      <c r="B27804" s="8" t="str">
        <f>HYPERLINK("https://twitter.com/dananjav","@dananjav")</f>
        <v>@dananjav</v>
      </c>
      <c r="C27804" s="8" t="s">
        <v>2199</v>
      </c>
      <c r="D27804" s="8">
        <v>1058</v>
      </c>
      <c r="E27804" s="8">
        <v>0</v>
      </c>
      <c r="F27804" s="8">
        <v>451</v>
      </c>
    </row>
    <row r="27805" spans="1:6" ht="12.75">
      <c r="A27805" s="8">
        <v>43892.005312499998</v>
      </c>
      <c r="B27805" s="8" t="str">
        <f>HYPERLINK("https://twitter.com/farhaantwo7","@farhaantwo7")</f>
        <v>@farhaantwo7</v>
      </c>
      <c r="C27805" s="8" t="s">
        <v>10539</v>
      </c>
      <c r="D27805" s="8">
        <v>0</v>
      </c>
      <c r="E27805" s="8">
        <v>0</v>
      </c>
      <c r="F27805" s="8">
        <v>31</v>
      </c>
    </row>
    <row r="27806" spans="1:6" ht="12.75">
      <c r="A27806" s="8">
        <v>43892.005266203705</v>
      </c>
      <c r="B27806" s="8" t="str">
        <f>HYPERLINK("https://twitter.com/abanglurus","@abanglurus")</f>
        <v>@abanglurus</v>
      </c>
      <c r="C27806" s="8" t="s">
        <v>10295</v>
      </c>
      <c r="D27806" s="8">
        <v>51</v>
      </c>
      <c r="E27806" s="8">
        <v>0</v>
      </c>
      <c r="F27806" s="8">
        <v>160</v>
      </c>
    </row>
    <row r="27807" spans="1:6" ht="12.75">
      <c r="A27807" s="8">
        <v>43892.005196759259</v>
      </c>
      <c r="B27807" s="8" t="str">
        <f>HYPERLINK("https://twitter.com/mnsurbakti","@mnsurbakti")</f>
        <v>@mnsurbakti</v>
      </c>
      <c r="C27807" s="8" t="s">
        <v>3850</v>
      </c>
      <c r="D27807" s="8">
        <v>886</v>
      </c>
      <c r="E27807" s="8">
        <v>0</v>
      </c>
      <c r="F27807" s="8">
        <v>577</v>
      </c>
    </row>
    <row r="27808" spans="1:6" ht="12.75">
      <c r="A27808" s="8">
        <v>43892.005150462966</v>
      </c>
      <c r="B27808" s="8" t="str">
        <f>HYPERLINK("https://twitter.com/joen_boy","@joen_boy")</f>
        <v>@joen_boy</v>
      </c>
      <c r="C27808" s="8" t="s">
        <v>5732</v>
      </c>
      <c r="D27808" s="8">
        <v>214</v>
      </c>
      <c r="E27808" s="8">
        <v>0</v>
      </c>
      <c r="F27808" s="8">
        <v>48</v>
      </c>
    </row>
    <row r="27809" spans="1:6" ht="12.75">
      <c r="A27809" s="8">
        <v>43892.00513888889</v>
      </c>
      <c r="B27809" s="8" t="str">
        <f>HYPERLINK("https://twitter.com/bisgiljir","@bisgiljir")</f>
        <v>@bisgiljir</v>
      </c>
      <c r="C27809" s="8" t="s">
        <v>10540</v>
      </c>
      <c r="D27809" s="8">
        <v>0</v>
      </c>
      <c r="E27809" s="8">
        <v>0</v>
      </c>
      <c r="F27809" s="8">
        <v>205</v>
      </c>
    </row>
    <row r="27810" spans="1:6" ht="12.75">
      <c r="A27810" s="8">
        <v>43892.004988425921</v>
      </c>
      <c r="B27810" s="8" t="str">
        <f>HYPERLINK("https://twitter.com/duta_kurniawan","@duta_kurniawan")</f>
        <v>@duta_kurniawan</v>
      </c>
      <c r="C27810" s="8" t="s">
        <v>9130</v>
      </c>
      <c r="D27810" s="8">
        <v>209</v>
      </c>
      <c r="E27810" s="8">
        <v>0</v>
      </c>
      <c r="F27810" s="8">
        <v>4970</v>
      </c>
    </row>
    <row r="27811" spans="1:6" ht="12.75">
      <c r="A27811" s="8">
        <v>43892.004918981482</v>
      </c>
      <c r="B27811" s="8" t="str">
        <f>HYPERLINK("https://twitter.com/ivooxid","@ivooxid")</f>
        <v>@ivooxid</v>
      </c>
      <c r="C27811" s="8" t="s">
        <v>10541</v>
      </c>
      <c r="D27811" s="8">
        <v>0</v>
      </c>
      <c r="E27811" s="8">
        <v>0</v>
      </c>
      <c r="F27811" s="8">
        <v>1437</v>
      </c>
    </row>
    <row r="27812" spans="1:6" ht="12.75">
      <c r="A27812" s="8">
        <v>43892.004907407405</v>
      </c>
      <c r="B27812" s="8" t="str">
        <f>HYPERLINK("https://twitter.com/ebi_ura","@ebi_ura")</f>
        <v>@ebi_ura</v>
      </c>
      <c r="C27812" s="8" t="s">
        <v>5732</v>
      </c>
      <c r="D27812" s="8">
        <v>214</v>
      </c>
      <c r="E27812" s="8">
        <v>0</v>
      </c>
      <c r="F27812" s="8">
        <v>188</v>
      </c>
    </row>
    <row r="27813" spans="1:6" ht="12.75">
      <c r="A27813" s="8">
        <v>43892.004756944443</v>
      </c>
      <c r="B27813" s="8" t="str">
        <f>HYPERLINK("https://twitter.com/breadcaine","@breadcaine")</f>
        <v>@breadcaine</v>
      </c>
      <c r="C27813" s="8" t="s">
        <v>2199</v>
      </c>
      <c r="D27813" s="8">
        <v>1058</v>
      </c>
      <c r="E27813" s="8">
        <v>0</v>
      </c>
      <c r="F27813" s="8">
        <v>55</v>
      </c>
    </row>
    <row r="27814" spans="1:6" ht="12.75">
      <c r="A27814" s="8">
        <v>43892.004699074074</v>
      </c>
      <c r="B27814" s="8" t="str">
        <f>HYPERLINK("https://twitter.com/Metro_TV","@Metro_TV")</f>
        <v>@Metro_TV</v>
      </c>
      <c r="C27814" s="8" t="s">
        <v>10542</v>
      </c>
      <c r="D27814" s="8">
        <v>0</v>
      </c>
      <c r="E27814" s="8">
        <v>3</v>
      </c>
      <c r="F27814" s="8">
        <v>10515214</v>
      </c>
    </row>
    <row r="27815" spans="1:6" ht="12.75">
      <c r="A27815" s="8">
        <v>43892.004664351851</v>
      </c>
      <c r="B27815" s="8" t="str">
        <f>HYPERLINK("https://twitter.com/Fadil38579039","@Fadil38579039")</f>
        <v>@Fadil38579039</v>
      </c>
      <c r="C27815" s="8" t="s">
        <v>4990</v>
      </c>
      <c r="D27815" s="8">
        <v>152</v>
      </c>
      <c r="E27815" s="8">
        <v>0</v>
      </c>
      <c r="F27815" s="8">
        <v>466</v>
      </c>
    </row>
    <row r="27816" spans="1:6" ht="12.75">
      <c r="A27816" s="8">
        <v>43892.004525462966</v>
      </c>
      <c r="B27816" s="8" t="str">
        <f>HYPERLINK("https://twitter.com/padangekspres","@padangekspres")</f>
        <v>@padangekspres</v>
      </c>
      <c r="C27816" s="8" t="s">
        <v>10543</v>
      </c>
      <c r="D27816" s="8">
        <v>0</v>
      </c>
      <c r="E27816" s="8">
        <v>0</v>
      </c>
      <c r="F27816" s="8">
        <v>25294</v>
      </c>
    </row>
    <row r="27817" spans="1:6" ht="12.75">
      <c r="A27817" s="8">
        <v>43892.004490740743</v>
      </c>
      <c r="B27817" s="8" t="str">
        <f>HYPERLINK("https://twitter.com/muel_power","@muel_power")</f>
        <v>@muel_power</v>
      </c>
      <c r="C27817" s="8" t="s">
        <v>10544</v>
      </c>
      <c r="D27817" s="8">
        <v>0</v>
      </c>
      <c r="E27817" s="8">
        <v>0</v>
      </c>
      <c r="F27817" s="8">
        <v>1640</v>
      </c>
    </row>
    <row r="27818" spans="1:6" ht="12.75">
      <c r="A27818" s="8">
        <v>43892.004189814819</v>
      </c>
      <c r="B27818" s="8" t="str">
        <f>HYPERLINK("https://twitter.com/germantantra","@germantantra")</f>
        <v>@germantantra</v>
      </c>
      <c r="C27818" s="8" t="s">
        <v>10174</v>
      </c>
      <c r="D27818" s="8">
        <v>12</v>
      </c>
      <c r="E27818" s="8">
        <v>0</v>
      </c>
      <c r="F27818" s="8">
        <v>142</v>
      </c>
    </row>
    <row r="27819" spans="1:6" ht="12.75">
      <c r="A27819" s="8">
        <v>43892.004155092596</v>
      </c>
      <c r="B27819" s="8" t="str">
        <f>HYPERLINK("https://twitter.com/Puti_Chanie","@Puti_Chanie")</f>
        <v>@Puti_Chanie</v>
      </c>
      <c r="C27819" s="8" t="s">
        <v>3850</v>
      </c>
      <c r="D27819" s="8">
        <v>886</v>
      </c>
      <c r="E27819" s="8">
        <v>0</v>
      </c>
      <c r="F27819" s="8">
        <v>2828</v>
      </c>
    </row>
    <row r="27820" spans="1:6" ht="12.75">
      <c r="A27820" s="8">
        <v>43892.004108796296</v>
      </c>
      <c r="B27820" s="8" t="str">
        <f>HYPERLINK("https://twitter.com/ariharimurti","@ariharimurti")</f>
        <v>@ariharimurti</v>
      </c>
      <c r="C27820" s="8" t="s">
        <v>2199</v>
      </c>
      <c r="D27820" s="8">
        <v>1058</v>
      </c>
      <c r="E27820" s="8">
        <v>0</v>
      </c>
      <c r="F27820" s="8">
        <v>106</v>
      </c>
    </row>
    <row r="27821" spans="1:6" ht="12.75">
      <c r="A27821" s="8">
        <v>43892.004074074073</v>
      </c>
      <c r="B27821" s="8" t="str">
        <f>HYPERLINK("https://twitter.com/ZarkasihSilma","@ZarkasihSilma")</f>
        <v>@ZarkasihSilma</v>
      </c>
      <c r="C27821" s="8" t="s">
        <v>6863</v>
      </c>
      <c r="D27821" s="8">
        <v>349</v>
      </c>
      <c r="E27821" s="8">
        <v>0</v>
      </c>
      <c r="F27821" s="8">
        <v>1141</v>
      </c>
    </row>
    <row r="27822" spans="1:6" ht="12.75">
      <c r="A27822" s="8">
        <v>43892.003946759258</v>
      </c>
      <c r="B27822" s="8" t="str">
        <f>HYPERLINK("https://twitter.com/Naruzaky","@Naruzaky")</f>
        <v>@Naruzaky</v>
      </c>
      <c r="C27822" s="8" t="s">
        <v>10404</v>
      </c>
      <c r="D27822" s="8">
        <v>268</v>
      </c>
      <c r="E27822" s="8">
        <v>0</v>
      </c>
      <c r="F27822" s="8">
        <v>417</v>
      </c>
    </row>
    <row r="27823" spans="1:6" ht="12.75">
      <c r="A27823" s="8">
        <v>43892.003935185188</v>
      </c>
      <c r="B27823" s="8" t="str">
        <f>HYPERLINK("https://twitter.com/luqman78","@luqman78")</f>
        <v>@luqman78</v>
      </c>
      <c r="C27823" s="8" t="s">
        <v>10404</v>
      </c>
      <c r="D27823" s="8">
        <v>268</v>
      </c>
      <c r="E27823" s="8">
        <v>0</v>
      </c>
      <c r="F27823" s="8">
        <v>292</v>
      </c>
    </row>
    <row r="27824" spans="1:6" ht="12.75">
      <c r="A27824" s="8">
        <v>43892.003935185188</v>
      </c>
      <c r="B27824" s="8" t="str">
        <f>HYPERLINK("https://twitter.com/Ghintaf","@Ghintaf")</f>
        <v>@Ghintaf</v>
      </c>
      <c r="C27824" s="8" t="s">
        <v>10411</v>
      </c>
      <c r="D27824" s="8">
        <v>15</v>
      </c>
      <c r="E27824" s="8">
        <v>0</v>
      </c>
      <c r="F27824" s="8">
        <v>840</v>
      </c>
    </row>
    <row r="27825" spans="1:6" ht="12.75">
      <c r="A27825" s="8">
        <v>43892.003923611112</v>
      </c>
      <c r="B27825" s="8" t="str">
        <f>HYPERLINK("https://twitter.com/silvesterangie","@silvesterangie")</f>
        <v>@silvesterangie</v>
      </c>
      <c r="C27825" s="8" t="s">
        <v>2199</v>
      </c>
      <c r="D27825" s="8">
        <v>1058</v>
      </c>
      <c r="E27825" s="8">
        <v>0</v>
      </c>
      <c r="F27825" s="8">
        <v>251</v>
      </c>
    </row>
    <row r="27826" spans="1:6" ht="12.75">
      <c r="A27826" s="8">
        <v>43892.003784722227</v>
      </c>
      <c r="B27826" s="8" t="str">
        <f>HYPERLINK("https://twitter.com/medcom_id","@medcom_id")</f>
        <v>@medcom_id</v>
      </c>
      <c r="C27826" s="8" t="s">
        <v>10545</v>
      </c>
      <c r="D27826" s="8">
        <v>0</v>
      </c>
      <c r="E27826" s="8">
        <v>0</v>
      </c>
      <c r="F27826" s="8">
        <v>18415</v>
      </c>
    </row>
    <row r="27827" spans="1:6" ht="12.75">
      <c r="A27827" s="8">
        <v>43892.00372685185</v>
      </c>
      <c r="B27827" s="8" t="str">
        <f>HYPERLINK("https://twitter.com/M5yank","@M5yank")</f>
        <v>@M5yank</v>
      </c>
      <c r="C27827" s="8" t="s">
        <v>5732</v>
      </c>
      <c r="D27827" s="8">
        <v>214</v>
      </c>
      <c r="E27827" s="8">
        <v>0</v>
      </c>
      <c r="F27827" s="8">
        <v>2265</v>
      </c>
    </row>
    <row r="27828" spans="1:6" ht="12.75">
      <c r="A27828" s="8">
        <v>43892.00372685185</v>
      </c>
      <c r="B27828" s="8" t="str">
        <f>HYPERLINK("https://twitter.com/AbuMahana","@AbuMahana")</f>
        <v>@AbuMahana</v>
      </c>
      <c r="C27828" s="8" t="s">
        <v>10377</v>
      </c>
      <c r="D27828" s="8">
        <v>10</v>
      </c>
      <c r="E27828" s="8">
        <v>0</v>
      </c>
      <c r="F27828" s="8">
        <v>185</v>
      </c>
    </row>
    <row r="27829" spans="1:6" ht="12.75">
      <c r="A27829" s="8">
        <v>43892.003692129627</v>
      </c>
      <c r="B27829" s="8" t="str">
        <f>HYPERLINK("https://twitter.com/thedufresne","@thedufresne")</f>
        <v>@thedufresne</v>
      </c>
      <c r="C27829" s="8" t="s">
        <v>5732</v>
      </c>
      <c r="D27829" s="8">
        <v>214</v>
      </c>
      <c r="E27829" s="8">
        <v>0</v>
      </c>
      <c r="F27829" s="8">
        <v>13516</v>
      </c>
    </row>
    <row r="27830" spans="1:6" ht="12.75">
      <c r="A27830" s="8">
        <v>43892.003668981481</v>
      </c>
      <c r="B27830" s="8" t="str">
        <f>HYPERLINK("https://twitter.com/parampalaladin1","@parampalaladin1")</f>
        <v>@parampalaladin1</v>
      </c>
      <c r="C27830" s="8" t="s">
        <v>2199</v>
      </c>
      <c r="D27830" s="8">
        <v>1058</v>
      </c>
      <c r="E27830" s="8">
        <v>0</v>
      </c>
      <c r="F27830" s="8">
        <v>15</v>
      </c>
    </row>
    <row r="27831" spans="1:6" ht="12.75">
      <c r="A27831" s="8">
        <v>43892.003587962958</v>
      </c>
      <c r="B27831" s="8" t="str">
        <f>HYPERLINK("https://twitter.com/Dadodad59834626","@Dadodad59834626")</f>
        <v>@Dadodad59834626</v>
      </c>
      <c r="C27831" s="8" t="s">
        <v>5732</v>
      </c>
      <c r="D27831" s="8">
        <v>214</v>
      </c>
      <c r="E27831" s="8">
        <v>0</v>
      </c>
      <c r="F27831" s="8">
        <v>316</v>
      </c>
    </row>
    <row r="27832" spans="1:6" ht="12.75">
      <c r="A27832" s="8">
        <v>43892.003576388888</v>
      </c>
      <c r="B27832" s="8" t="str">
        <f>HYPERLINK("https://twitter.com/HarisSekipi","@HarisSekipi")</f>
        <v>@HarisSekipi</v>
      </c>
      <c r="C27832" s="8" t="s">
        <v>10375</v>
      </c>
      <c r="D27832" s="8">
        <v>28</v>
      </c>
      <c r="E27832" s="8">
        <v>0</v>
      </c>
      <c r="F27832" s="8">
        <v>3069</v>
      </c>
    </row>
    <row r="27833" spans="1:6" ht="12.75">
      <c r="A27833" s="8">
        <v>43892.003530092596</v>
      </c>
      <c r="B27833" s="8" t="str">
        <f>HYPERLINK("https://twitter.com/Dproperty5","@Dproperty5")</f>
        <v>@Dproperty5</v>
      </c>
      <c r="C27833" s="8" t="s">
        <v>10546</v>
      </c>
      <c r="D27833" s="8">
        <v>0</v>
      </c>
      <c r="E27833" s="8">
        <v>0</v>
      </c>
      <c r="F27833" s="8">
        <v>6</v>
      </c>
    </row>
    <row r="27834" spans="1:6" ht="12.75">
      <c r="A27834" s="8">
        <v>43892.003298611111</v>
      </c>
      <c r="B27834" s="8" t="str">
        <f>HYPERLINK("https://twitter.com/tambossnafu","@tambossnafu")</f>
        <v>@tambossnafu</v>
      </c>
      <c r="C27834" s="8" t="s">
        <v>2199</v>
      </c>
      <c r="D27834" s="8">
        <v>1058</v>
      </c>
      <c r="E27834" s="8">
        <v>0</v>
      </c>
      <c r="F27834" s="8">
        <v>270</v>
      </c>
    </row>
    <row r="27835" spans="1:6" ht="12.75">
      <c r="A27835" s="8">
        <v>43892.003263888888</v>
      </c>
      <c r="B27835" s="8" t="str">
        <f>HYPERLINK("https://twitter.com/arigmpt","@arigmpt")</f>
        <v>@arigmpt</v>
      </c>
      <c r="C27835" s="8" t="s">
        <v>10547</v>
      </c>
      <c r="D27835" s="8">
        <v>0</v>
      </c>
      <c r="E27835" s="8">
        <v>0</v>
      </c>
      <c r="F27835" s="8">
        <v>35</v>
      </c>
    </row>
    <row r="27836" spans="1:6" ht="12.75">
      <c r="A27836" s="8">
        <v>43892.003206018519</v>
      </c>
      <c r="B27836" s="8" t="str">
        <f>HYPERLINK("https://twitter.com/AbiQorie","@AbiQorie")</f>
        <v>@AbiQorie</v>
      </c>
      <c r="C27836" s="8" t="s">
        <v>5732</v>
      </c>
      <c r="D27836" s="8">
        <v>214</v>
      </c>
      <c r="E27836" s="8">
        <v>0</v>
      </c>
      <c r="F27836" s="8">
        <v>166</v>
      </c>
    </row>
    <row r="27837" spans="1:6" ht="12.75">
      <c r="A27837" s="8">
        <v>43892.003125000003</v>
      </c>
      <c r="B27837" s="8" t="str">
        <f>HYPERLINK("https://twitter.com/asmadajoel","@asmadajoel")</f>
        <v>@asmadajoel</v>
      </c>
      <c r="C27837" s="8" t="s">
        <v>10548</v>
      </c>
      <c r="D27837" s="8">
        <v>1</v>
      </c>
      <c r="E27837" s="8">
        <v>0</v>
      </c>
      <c r="F27837" s="8">
        <v>3508</v>
      </c>
    </row>
    <row r="27838" spans="1:6" ht="12.75">
      <c r="A27838" s="8">
        <v>43892.003020833334</v>
      </c>
      <c r="B27838" s="8" t="str">
        <f>HYPERLINK("https://twitter.com/Antara_Jabar","@Antara_Jabar")</f>
        <v>@Antara_Jabar</v>
      </c>
      <c r="C27838" s="8" t="s">
        <v>10549</v>
      </c>
      <c r="D27838" s="8">
        <v>0</v>
      </c>
      <c r="E27838" s="8">
        <v>0</v>
      </c>
      <c r="F27838" s="8">
        <v>1627</v>
      </c>
    </row>
    <row r="27839" spans="1:6" ht="12.75">
      <c r="A27839" s="8">
        <v>43892.003009259264</v>
      </c>
      <c r="B27839" s="8" t="str">
        <f>HYPERLINK("https://twitter.com/SemboyanR","@SemboyanR")</f>
        <v>@SemboyanR</v>
      </c>
      <c r="C27839" s="8" t="s">
        <v>7704</v>
      </c>
      <c r="D27839" s="8">
        <v>234</v>
      </c>
      <c r="E27839" s="8">
        <v>0</v>
      </c>
      <c r="F27839" s="8">
        <v>1298</v>
      </c>
    </row>
    <row r="27840" spans="1:6" ht="12.75">
      <c r="A27840" s="8">
        <v>43892.002962962964</v>
      </c>
      <c r="B27840" s="8" t="str">
        <f>HYPERLINK("https://twitter.com/capekgw1","@capekgw1")</f>
        <v>@capekgw1</v>
      </c>
      <c r="C27840" s="8" t="s">
        <v>9919</v>
      </c>
      <c r="D27840" s="8">
        <v>4</v>
      </c>
      <c r="E27840" s="8">
        <v>0</v>
      </c>
      <c r="F27840" s="8">
        <v>202</v>
      </c>
    </row>
    <row r="27841" spans="1:6" ht="12.75">
      <c r="A27841" s="8">
        <v>43892.00277777778</v>
      </c>
      <c r="B27841" s="8" t="str">
        <f>HYPERLINK("https://twitter.com/nzrethski","@nzrethski")</f>
        <v>@nzrethski</v>
      </c>
      <c r="C27841" s="8" t="s">
        <v>2199</v>
      </c>
      <c r="D27841" s="8">
        <v>1058</v>
      </c>
      <c r="E27841" s="8">
        <v>0</v>
      </c>
      <c r="F27841" s="8">
        <v>971</v>
      </c>
    </row>
    <row r="27842" spans="1:6" ht="12.75">
      <c r="A27842" s="8">
        <v>43892.00277777778</v>
      </c>
      <c r="B27842" s="8" t="str">
        <f t="shared" ref="B27842:B27843" si="371">HYPERLINK("https://twitter.com/capekgw1","@capekgw1")</f>
        <v>@capekgw1</v>
      </c>
      <c r="C27842" s="8" t="s">
        <v>9238</v>
      </c>
      <c r="D27842" s="8">
        <v>70</v>
      </c>
      <c r="E27842" s="8">
        <v>0</v>
      </c>
      <c r="F27842" s="8">
        <v>202</v>
      </c>
    </row>
    <row r="27843" spans="1:6" ht="12.75">
      <c r="A27843" s="8">
        <v>43892.002604166672</v>
      </c>
      <c r="B27843" s="8" t="str">
        <f t="shared" si="371"/>
        <v>@capekgw1</v>
      </c>
      <c r="C27843" s="8" t="s">
        <v>2995</v>
      </c>
      <c r="D27843" s="8">
        <v>10</v>
      </c>
      <c r="E27843" s="8">
        <v>0</v>
      </c>
      <c r="F27843" s="8">
        <v>202</v>
      </c>
    </row>
    <row r="27844" spans="1:6" ht="12.75">
      <c r="A27844" s="8">
        <v>43892.002569444448</v>
      </c>
      <c r="B27844" s="8" t="str">
        <f>HYPERLINK("https://twitter.com/Fadil38579039","@Fadil38579039")</f>
        <v>@Fadil38579039</v>
      </c>
      <c r="C27844" s="8" t="s">
        <v>3850</v>
      </c>
      <c r="D27844" s="8">
        <v>886</v>
      </c>
      <c r="E27844" s="8">
        <v>0</v>
      </c>
      <c r="F27844" s="8">
        <v>466</v>
      </c>
    </row>
    <row r="27845" spans="1:6" ht="12.75">
      <c r="A27845" s="8">
        <v>43892.002476851849</v>
      </c>
      <c r="B27845" s="8" t="str">
        <f>HYPERLINK("https://twitter.com/ndrewreksa","@ndrewreksa")</f>
        <v>@ndrewreksa</v>
      </c>
      <c r="C27845" s="8" t="s">
        <v>8851</v>
      </c>
      <c r="D27845" s="8">
        <v>25</v>
      </c>
      <c r="E27845" s="8">
        <v>0</v>
      </c>
      <c r="F27845" s="8">
        <v>1216</v>
      </c>
    </row>
    <row r="27846" spans="1:6" ht="12.75">
      <c r="A27846" s="8">
        <v>43892.002349537041</v>
      </c>
      <c r="B27846" s="8" t="str">
        <f>HYPERLINK("https://twitter.com/muel_power","@muel_power")</f>
        <v>@muel_power</v>
      </c>
      <c r="C27846" s="8" t="s">
        <v>10550</v>
      </c>
      <c r="D27846" s="8">
        <v>0</v>
      </c>
      <c r="E27846" s="8">
        <v>1</v>
      </c>
      <c r="F27846" s="8">
        <v>1640</v>
      </c>
    </row>
    <row r="27847" spans="1:6" ht="12.75">
      <c r="A27847" s="8">
        <v>43892.002303240741</v>
      </c>
      <c r="B27847" s="8" t="str">
        <f>HYPERLINK("https://twitter.com/aprillipaiva","@aprillipaiva")</f>
        <v>@aprillipaiva</v>
      </c>
      <c r="C27847" s="8" t="s">
        <v>6542</v>
      </c>
      <c r="D27847" s="8">
        <v>142</v>
      </c>
      <c r="E27847" s="8">
        <v>0</v>
      </c>
      <c r="F27847" s="8">
        <v>54</v>
      </c>
    </row>
    <row r="27848" spans="1:6" ht="12.75">
      <c r="A27848" s="8">
        <v>43892.002291666664</v>
      </c>
      <c r="B27848" s="8" t="str">
        <f>HYPERLINK("https://twitter.com/topinfo_id","@topinfo_id")</f>
        <v>@topinfo_id</v>
      </c>
      <c r="C27848" s="8" t="s">
        <v>10551</v>
      </c>
      <c r="D27848" s="8">
        <v>0</v>
      </c>
      <c r="E27848" s="8">
        <v>0</v>
      </c>
      <c r="F27848" s="8">
        <v>26</v>
      </c>
    </row>
    <row r="27849" spans="1:6" ht="12.75">
      <c r="A27849" s="8">
        <v>43892.002256944441</v>
      </c>
      <c r="B27849" s="8" t="str">
        <f>HYPERLINK("https://twitter.com/MaulanaIzzul2","@MaulanaIzzul2")</f>
        <v>@MaulanaIzzul2</v>
      </c>
      <c r="C27849" s="8" t="s">
        <v>2199</v>
      </c>
      <c r="D27849" s="8">
        <v>1058</v>
      </c>
      <c r="E27849" s="8">
        <v>0</v>
      </c>
      <c r="F27849" s="8">
        <v>22</v>
      </c>
    </row>
    <row r="27850" spans="1:6" ht="12.75">
      <c r="A27850" s="8">
        <v>43892.002210648148</v>
      </c>
      <c r="B27850" s="8" t="str">
        <f>HYPERLINK("https://twitter.com/balapanji","@balapanji")</f>
        <v>@balapanji</v>
      </c>
      <c r="C27850" s="8" t="s">
        <v>2199</v>
      </c>
      <c r="D27850" s="8">
        <v>1058</v>
      </c>
      <c r="E27850" s="8">
        <v>0</v>
      </c>
      <c r="F27850" s="8">
        <v>57</v>
      </c>
    </row>
    <row r="27851" spans="1:6" ht="12.75">
      <c r="A27851" s="8">
        <v>43892.002071759256</v>
      </c>
      <c r="B27851" s="8" t="str">
        <f>HYPERLINK("https://twitter.com/Dadodad59834626","@Dadodad59834626")</f>
        <v>@Dadodad59834626</v>
      </c>
      <c r="C27851" s="8" t="s">
        <v>10284</v>
      </c>
      <c r="D27851" s="8">
        <v>5</v>
      </c>
      <c r="E27851" s="8">
        <v>0</v>
      </c>
      <c r="F27851" s="8">
        <v>316</v>
      </c>
    </row>
    <row r="27852" spans="1:6" ht="12.75">
      <c r="A27852" s="8">
        <v>43892.002071759256</v>
      </c>
      <c r="B27852" s="8" t="str">
        <f>HYPERLINK("https://twitter.com/MasfarGazali","@MasfarGazali")</f>
        <v>@MasfarGazali</v>
      </c>
      <c r="C27852" s="8" t="s">
        <v>9910</v>
      </c>
      <c r="D27852" s="8">
        <v>22</v>
      </c>
      <c r="E27852" s="8">
        <v>0</v>
      </c>
      <c r="F27852" s="8">
        <v>1971</v>
      </c>
    </row>
    <row r="27853" spans="1:6" ht="12.75">
      <c r="A27853" s="8">
        <v>43892.001967592594</v>
      </c>
      <c r="B27853" s="8" t="str">
        <f>HYPERLINK("https://twitter.com/RinaldoNandhi","@RinaldoNandhi")</f>
        <v>@RinaldoNandhi</v>
      </c>
      <c r="C27853" s="8" t="s">
        <v>10552</v>
      </c>
      <c r="D27853" s="8">
        <v>7</v>
      </c>
      <c r="E27853" s="8">
        <v>0</v>
      </c>
      <c r="F27853" s="8">
        <v>146</v>
      </c>
    </row>
    <row r="27854" spans="1:6" ht="12.75">
      <c r="A27854" s="8">
        <v>43892.001909722225</v>
      </c>
      <c r="B27854" s="8" t="str">
        <f>HYPERLINK("https://twitter.com/WondoPkl","@WondoPkl")</f>
        <v>@WondoPkl</v>
      </c>
      <c r="C27854" s="8" t="s">
        <v>3850</v>
      </c>
      <c r="D27854" s="8">
        <v>886</v>
      </c>
      <c r="E27854" s="8">
        <v>0</v>
      </c>
      <c r="F27854" s="8">
        <v>135</v>
      </c>
    </row>
    <row r="27855" spans="1:6" ht="12.75">
      <c r="A27855" s="8">
        <v>43892.001898148148</v>
      </c>
      <c r="B27855" s="8" t="str">
        <f>HYPERLINK("https://twitter.com/isis_artusi","@isis_artusi")</f>
        <v>@isis_artusi</v>
      </c>
      <c r="C27855" s="8" t="s">
        <v>10553</v>
      </c>
      <c r="D27855" s="8">
        <v>0</v>
      </c>
      <c r="E27855" s="8">
        <v>0</v>
      </c>
      <c r="F27855" s="8">
        <v>921</v>
      </c>
    </row>
    <row r="27856" spans="1:6" ht="12.75">
      <c r="A27856" s="8">
        <v>43892.001782407402</v>
      </c>
      <c r="B27856" s="8" t="str">
        <f>HYPERLINK("https://twitter.com/WargaJurnal","@WargaJurnal")</f>
        <v>@WargaJurnal</v>
      </c>
      <c r="C27856" s="8" t="s">
        <v>10554</v>
      </c>
      <c r="D27856" s="8">
        <v>0</v>
      </c>
      <c r="E27856" s="8">
        <v>0</v>
      </c>
      <c r="F27856" s="8">
        <v>257</v>
      </c>
    </row>
    <row r="27857" spans="1:6" ht="12.75">
      <c r="A27857" s="8">
        <v>43892.001770833333</v>
      </c>
      <c r="B27857" s="8" t="str">
        <f>HYPERLINK("https://twitter.com/JimieTjung","@JimieTjung")</f>
        <v>@JimieTjung</v>
      </c>
      <c r="C27857" s="8" t="s">
        <v>2199</v>
      </c>
      <c r="D27857" s="8">
        <v>1058</v>
      </c>
      <c r="E27857" s="8">
        <v>0</v>
      </c>
      <c r="F27857" s="8">
        <v>135</v>
      </c>
    </row>
    <row r="27858" spans="1:6" ht="12.75">
      <c r="A27858" s="8">
        <v>43892.001747685186</v>
      </c>
      <c r="B27858" s="8" t="str">
        <f>HYPERLINK("https://twitter.com/Rachman19661","@Rachman19661")</f>
        <v>@Rachman19661</v>
      </c>
      <c r="C27858" s="8" t="s">
        <v>10555</v>
      </c>
      <c r="D27858" s="8">
        <v>5</v>
      </c>
      <c r="E27858" s="8">
        <v>0</v>
      </c>
      <c r="F27858" s="8">
        <v>1236</v>
      </c>
    </row>
    <row r="27859" spans="1:6" ht="12.75">
      <c r="A27859" s="8">
        <v>43892.001655092594</v>
      </c>
      <c r="B27859" s="8" t="str">
        <f>HYPERLINK("https://twitter.com/theSOWONG","@theSOWONG")</f>
        <v>@theSOWONG</v>
      </c>
      <c r="C27859" s="8" t="s">
        <v>2199</v>
      </c>
      <c r="D27859" s="8">
        <v>1058</v>
      </c>
      <c r="E27859" s="8">
        <v>0</v>
      </c>
      <c r="F27859" s="8">
        <v>525</v>
      </c>
    </row>
    <row r="27860" spans="1:6" ht="12.75">
      <c r="A27860" s="8">
        <v>43892.001643518517</v>
      </c>
      <c r="B27860" s="8" t="str">
        <f>HYPERLINK("https://twitter.com/capekgw1","@capekgw1")</f>
        <v>@capekgw1</v>
      </c>
      <c r="C27860" s="8" t="s">
        <v>2199</v>
      </c>
      <c r="D27860" s="8">
        <v>1058</v>
      </c>
      <c r="E27860" s="8">
        <v>0</v>
      </c>
      <c r="F27860" s="8">
        <v>202</v>
      </c>
    </row>
    <row r="27861" spans="1:6" ht="12.75">
      <c r="A27861" s="8">
        <v>43892.001527777778</v>
      </c>
      <c r="B27861" s="8" t="str">
        <f t="shared" ref="B27861:B27862" si="372">HYPERLINK("https://twitter.com/sagakom","@sagakom")</f>
        <v>@sagakom</v>
      </c>
      <c r="C27861" s="8" t="s">
        <v>10556</v>
      </c>
      <c r="D27861" s="8">
        <v>0</v>
      </c>
      <c r="E27861" s="8">
        <v>0</v>
      </c>
      <c r="F27861" s="8">
        <v>285</v>
      </c>
    </row>
    <row r="27862" spans="1:6" ht="12.75">
      <c r="A27862" s="8">
        <v>43892.001527777778</v>
      </c>
      <c r="B27862" s="8" t="str">
        <f t="shared" si="372"/>
        <v>@sagakom</v>
      </c>
      <c r="C27862" s="8" t="s">
        <v>10557</v>
      </c>
      <c r="D27862" s="8">
        <v>0</v>
      </c>
      <c r="E27862" s="8">
        <v>0</v>
      </c>
      <c r="F27862" s="8">
        <v>285</v>
      </c>
    </row>
    <row r="27863" spans="1:6" ht="12.75">
      <c r="A27863" s="8">
        <v>43892.001504629632</v>
      </c>
      <c r="B27863" s="8" t="str">
        <f>HYPERLINK("https://twitter.com/tjhinfar21","@tjhinfar21")</f>
        <v>@tjhinfar21</v>
      </c>
      <c r="C27863" s="8" t="s">
        <v>10375</v>
      </c>
      <c r="D27863" s="8">
        <v>28</v>
      </c>
      <c r="E27863" s="8">
        <v>0</v>
      </c>
      <c r="F27863" s="8">
        <v>16537</v>
      </c>
    </row>
    <row r="27864" spans="1:6" ht="12.75">
      <c r="A27864" s="8">
        <v>43892.001493055555</v>
      </c>
      <c r="B27864" s="8" t="str">
        <f>HYPERLINK("https://twitter.com/KRobet02","@KRobet02")</f>
        <v>@KRobet02</v>
      </c>
      <c r="C27864" s="8" t="s">
        <v>5732</v>
      </c>
      <c r="D27864" s="8">
        <v>214</v>
      </c>
      <c r="E27864" s="8">
        <v>0</v>
      </c>
      <c r="F27864" s="8">
        <v>276</v>
      </c>
    </row>
    <row r="27865" spans="1:6" ht="12.75">
      <c r="A27865" s="8">
        <v>43892.001331018517</v>
      </c>
      <c r="B27865" s="8" t="str">
        <f>HYPERLINK("https://twitter.com/samoederaharapa","@samoederaharapa")</f>
        <v>@samoederaharapa</v>
      </c>
      <c r="C27865" s="8" t="s">
        <v>10558</v>
      </c>
      <c r="D27865" s="8">
        <v>3</v>
      </c>
      <c r="E27865" s="8">
        <v>0</v>
      </c>
      <c r="F27865" s="8">
        <v>221</v>
      </c>
    </row>
    <row r="27866" spans="1:6" ht="12.75">
      <c r="A27866" s="8">
        <v>43892.001284722224</v>
      </c>
      <c r="B27866" s="8" t="str">
        <f>HYPERLINK("https://twitter.com/currykarre","@currykarre")</f>
        <v>@currykarre</v>
      </c>
      <c r="C27866" s="8" t="s">
        <v>2199</v>
      </c>
      <c r="D27866" s="8">
        <v>1058</v>
      </c>
      <c r="E27866" s="8">
        <v>0</v>
      </c>
      <c r="F27866" s="8">
        <v>55</v>
      </c>
    </row>
    <row r="27867" spans="1:6" ht="12.75">
      <c r="A27867" s="8">
        <v>43892.001284722224</v>
      </c>
      <c r="B27867" s="8" t="str">
        <f>HYPERLINK("https://twitter.com/wongFFwong","@wongFFwong")</f>
        <v>@wongFFwong</v>
      </c>
      <c r="C27867" s="8" t="s">
        <v>10559</v>
      </c>
      <c r="D27867" s="8">
        <v>2</v>
      </c>
      <c r="E27867" s="8">
        <v>0</v>
      </c>
      <c r="F27867" s="8">
        <v>169</v>
      </c>
    </row>
    <row r="27868" spans="1:6" ht="12.75">
      <c r="A27868" s="8">
        <v>43892.001180555555</v>
      </c>
      <c r="B27868" s="8" t="str">
        <f>HYPERLINK("https://twitter.com/dheanHG","@dheanHG")</f>
        <v>@dheanHG</v>
      </c>
      <c r="C27868" s="8" t="s">
        <v>10560</v>
      </c>
      <c r="D27868" s="8">
        <v>1</v>
      </c>
      <c r="E27868" s="8">
        <v>0</v>
      </c>
      <c r="F27868" s="8">
        <v>482</v>
      </c>
    </row>
    <row r="27869" spans="1:6" ht="12.75">
      <c r="A27869" s="8">
        <v>43892.001180555555</v>
      </c>
      <c r="B27869" s="8" t="str">
        <f>HYPERLINK("https://twitter.com/A1sySum4r","@A1sySum4r")</f>
        <v>@A1sySum4r</v>
      </c>
      <c r="C27869" s="8" t="s">
        <v>5732</v>
      </c>
      <c r="D27869" s="8">
        <v>214</v>
      </c>
      <c r="E27869" s="8">
        <v>0</v>
      </c>
      <c r="F27869" s="8">
        <v>1170</v>
      </c>
    </row>
    <row r="27870" spans="1:6" ht="12.75">
      <c r="A27870" s="8">
        <v>43892.001168981486</v>
      </c>
      <c r="B27870" s="8" t="str">
        <f>HYPERLINK("https://twitter.com/capekgw1","@capekgw1")</f>
        <v>@capekgw1</v>
      </c>
      <c r="C27870" s="8" t="s">
        <v>8962</v>
      </c>
      <c r="D27870" s="8">
        <v>131</v>
      </c>
      <c r="E27870" s="8">
        <v>0</v>
      </c>
      <c r="F27870" s="8">
        <v>202</v>
      </c>
    </row>
    <row r="27871" spans="1:6" ht="12.75">
      <c r="A27871" s="8">
        <v>43892.001122685186</v>
      </c>
      <c r="B27871" s="8" t="str">
        <f>HYPERLINK("https://twitter.com/topinfo_id","@topinfo_id")</f>
        <v>@topinfo_id</v>
      </c>
      <c r="C27871" s="8" t="s">
        <v>10561</v>
      </c>
      <c r="D27871" s="8">
        <v>0</v>
      </c>
      <c r="E27871" s="8">
        <v>0</v>
      </c>
      <c r="F27871" s="8">
        <v>26</v>
      </c>
    </row>
    <row r="27872" spans="1:6" ht="12.75">
      <c r="A27872" s="8">
        <v>43892.000937500001</v>
      </c>
      <c r="B27872" s="8" t="str">
        <f t="shared" ref="B27872:B27873" si="373">HYPERLINK("https://twitter.com/nara_killjoy","@nara_killjoy")</f>
        <v>@nara_killjoy</v>
      </c>
      <c r="C27872" s="8" t="s">
        <v>10386</v>
      </c>
      <c r="D27872" s="8">
        <v>1</v>
      </c>
      <c r="E27872" s="8">
        <v>0</v>
      </c>
      <c r="F27872" s="8">
        <v>710</v>
      </c>
    </row>
    <row r="27873" spans="1:6" ht="12.75">
      <c r="A27873" s="8">
        <v>43892.000925925924</v>
      </c>
      <c r="B27873" s="8" t="str">
        <f t="shared" si="373"/>
        <v>@nara_killjoy</v>
      </c>
      <c r="C27873" s="8" t="s">
        <v>2199</v>
      </c>
      <c r="D27873" s="8">
        <v>1058</v>
      </c>
      <c r="E27873" s="8">
        <v>0</v>
      </c>
      <c r="F27873" s="8">
        <v>710</v>
      </c>
    </row>
    <row r="27874" spans="1:6" ht="12.75">
      <c r="A27874" s="8">
        <v>43892.000833333332</v>
      </c>
      <c r="B27874" s="8" t="str">
        <f>HYPERLINK("https://twitter.com/adhet11a","@adhet11a")</f>
        <v>@adhet11a</v>
      </c>
      <c r="C27874" s="8" t="s">
        <v>3850</v>
      </c>
      <c r="D27874" s="8">
        <v>886</v>
      </c>
      <c r="E27874" s="8">
        <v>0</v>
      </c>
      <c r="F27874" s="8">
        <v>230</v>
      </c>
    </row>
    <row r="27875" spans="1:6" ht="12.75">
      <c r="A27875" s="8">
        <v>43892.000671296293</v>
      </c>
      <c r="B27875" s="8" t="str">
        <f>HYPERLINK("https://twitter.com/muel_power","@muel_power")</f>
        <v>@muel_power</v>
      </c>
      <c r="C27875" s="8" t="s">
        <v>10562</v>
      </c>
      <c r="D27875" s="8">
        <v>0</v>
      </c>
      <c r="E27875" s="8">
        <v>0</v>
      </c>
      <c r="F27875" s="8">
        <v>1640</v>
      </c>
    </row>
    <row r="27876" spans="1:6" ht="12.75">
      <c r="A27876" s="8">
        <v>43892.000648148147</v>
      </c>
      <c r="B27876" s="8" t="str">
        <f>HYPERLINK("https://twitter.com/Gudang_Survivor","@Gudang_Survivor")</f>
        <v>@Gudang_Survivor</v>
      </c>
      <c r="C27876" s="8" t="s">
        <v>4150</v>
      </c>
      <c r="D27876" s="8">
        <v>66</v>
      </c>
      <c r="E27876" s="8">
        <v>0</v>
      </c>
      <c r="F27876" s="8">
        <v>236</v>
      </c>
    </row>
    <row r="27877" spans="1:6" ht="12.75">
      <c r="A27877" s="8">
        <v>43892.000648148147</v>
      </c>
      <c r="B27877" s="8" t="str">
        <f>HYPERLINK("https://twitter.com/rattlesneik","@rattlesneik")</f>
        <v>@rattlesneik</v>
      </c>
      <c r="C27877" s="8" t="s">
        <v>10563</v>
      </c>
      <c r="D27877" s="8">
        <v>25</v>
      </c>
      <c r="E27877" s="8">
        <v>0</v>
      </c>
      <c r="F27877" s="8">
        <v>414</v>
      </c>
    </row>
    <row r="27878" spans="1:6" ht="12.75">
      <c r="A27878" s="8">
        <v>43892.00063657407</v>
      </c>
      <c r="B27878" s="8" t="str">
        <f>HYPERLINK("https://twitter.com/CorneliaMegaa","@CorneliaMegaa")</f>
        <v>@CorneliaMegaa</v>
      </c>
      <c r="C27878" s="8" t="s">
        <v>10411</v>
      </c>
      <c r="D27878" s="8">
        <v>15</v>
      </c>
      <c r="E27878" s="8">
        <v>0</v>
      </c>
      <c r="F27878" s="8">
        <v>481</v>
      </c>
    </row>
    <row r="27879" spans="1:6" ht="12.75">
      <c r="A27879" s="8">
        <v>43892.000578703708</v>
      </c>
      <c r="B27879" s="8" t="str">
        <f>HYPERLINK("https://twitter.com/is_pelssy","@is_pelssy")</f>
        <v>@is_pelssy</v>
      </c>
      <c r="C27879" s="8" t="s">
        <v>5732</v>
      </c>
      <c r="D27879" s="8">
        <v>214</v>
      </c>
      <c r="E27879" s="8">
        <v>0</v>
      </c>
      <c r="F27879" s="8">
        <v>4702</v>
      </c>
    </row>
    <row r="27880" spans="1:6" ht="12.75">
      <c r="A27880" s="8">
        <v>43891.965150462958</v>
      </c>
      <c r="B27880" s="8" t="str">
        <f>HYPERLINK("https://twitter.com/_aristh","@_aristh")</f>
        <v>@_aristh</v>
      </c>
      <c r="C27880" s="8" t="s">
        <v>9910</v>
      </c>
      <c r="D27880" s="8">
        <v>6</v>
      </c>
      <c r="E27880" s="8">
        <v>0</v>
      </c>
      <c r="F27880" s="8">
        <v>593</v>
      </c>
    </row>
    <row r="27881" spans="1:6" ht="12.75">
      <c r="A27881" s="8">
        <v>43891.965104166666</v>
      </c>
      <c r="B27881" s="8" t="str">
        <f>HYPERLINK("https://twitter.com/hilyatul_afifah","@hilyatul_afifah")</f>
        <v>@hilyatul_afifah</v>
      </c>
      <c r="C27881" s="8" t="s">
        <v>10564</v>
      </c>
      <c r="D27881" s="8">
        <v>4</v>
      </c>
      <c r="E27881" s="8">
        <v>0</v>
      </c>
      <c r="F27881" s="8">
        <v>364</v>
      </c>
    </row>
    <row r="27882" spans="1:6" ht="12.75">
      <c r="A27882" s="8">
        <v>43891.965081018519</v>
      </c>
      <c r="B27882" s="8" t="str">
        <f>HYPERLINK("https://twitter.com/Metro_TV","@Metro_TV")</f>
        <v>@Metro_TV</v>
      </c>
      <c r="C27882" s="8" t="s">
        <v>10565</v>
      </c>
      <c r="D27882" s="8">
        <v>0</v>
      </c>
      <c r="E27882" s="8">
        <v>0</v>
      </c>
      <c r="F27882" s="8">
        <v>10515176</v>
      </c>
    </row>
    <row r="27883" spans="1:6" ht="12.75">
      <c r="A27883" s="8">
        <v>43891.965081018519</v>
      </c>
      <c r="B27883" s="8" t="str">
        <f>HYPERLINK("https://twitter.com/KompasTV","@KompasTV")</f>
        <v>@KompasTV</v>
      </c>
      <c r="C27883" s="8" t="s">
        <v>10566</v>
      </c>
      <c r="D27883" s="8">
        <v>1</v>
      </c>
      <c r="E27883" s="8">
        <v>1</v>
      </c>
      <c r="F27883" s="8">
        <v>2952819</v>
      </c>
    </row>
    <row r="27884" spans="1:6" ht="12.75">
      <c r="A27884" s="8">
        <v>43891.965069444443</v>
      </c>
      <c r="B27884" s="8" t="str">
        <f>HYPERLINK("https://twitter.com/hilyatul_afifah","@hilyatul_afifah")</f>
        <v>@hilyatul_afifah</v>
      </c>
      <c r="C27884" s="8" t="s">
        <v>10567</v>
      </c>
      <c r="D27884" s="8">
        <v>5</v>
      </c>
      <c r="E27884" s="8">
        <v>0</v>
      </c>
      <c r="F27884" s="8">
        <v>364</v>
      </c>
    </row>
    <row r="27885" spans="1:6" ht="12.75">
      <c r="A27885" s="8">
        <v>43891.965046296296</v>
      </c>
      <c r="B27885" s="8" t="str">
        <f>HYPERLINK("https://twitter.com/susiloandrianto","@susiloandrianto")</f>
        <v>@susiloandrianto</v>
      </c>
      <c r="C27885" s="8" t="s">
        <v>4150</v>
      </c>
      <c r="D27885" s="8">
        <v>50</v>
      </c>
      <c r="E27885" s="8">
        <v>0</v>
      </c>
      <c r="F27885" s="8">
        <v>43</v>
      </c>
    </row>
    <row r="27886" spans="1:6" ht="12.75">
      <c r="A27886" s="8">
        <v>43891.965046296296</v>
      </c>
      <c r="B27886" s="8" t="str">
        <f>HYPERLINK("https://twitter.com/SantiLim14","@SantiLim14")</f>
        <v>@SantiLim14</v>
      </c>
      <c r="C27886" s="8" t="s">
        <v>10288</v>
      </c>
      <c r="D27886" s="8">
        <v>31</v>
      </c>
      <c r="E27886" s="8">
        <v>0</v>
      </c>
      <c r="F27886" s="8">
        <v>4067</v>
      </c>
    </row>
    <row r="27887" spans="1:6" ht="12.75">
      <c r="A27887" s="8">
        <v>43891.96502314815</v>
      </c>
      <c r="B27887" s="8" t="str">
        <f>HYPERLINK("https://twitter.com/hilyatul_afifah","@hilyatul_afifah")</f>
        <v>@hilyatul_afifah</v>
      </c>
      <c r="C27887" s="8" t="s">
        <v>10477</v>
      </c>
      <c r="D27887" s="8">
        <v>9</v>
      </c>
      <c r="E27887" s="8">
        <v>0</v>
      </c>
      <c r="F27887" s="8">
        <v>364</v>
      </c>
    </row>
    <row r="27888" spans="1:6" ht="12.75">
      <c r="A27888" s="8">
        <v>43891.965011574073</v>
      </c>
      <c r="B27888" s="8" t="str">
        <f>HYPERLINK("https://twitter.com/dewi_darmawati","@dewi_darmawati")</f>
        <v>@dewi_darmawati</v>
      </c>
      <c r="C27888" s="8" t="s">
        <v>10568</v>
      </c>
      <c r="D27888" s="8">
        <v>39</v>
      </c>
      <c r="E27888" s="8">
        <v>0</v>
      </c>
      <c r="F27888" s="8">
        <v>4352</v>
      </c>
    </row>
    <row r="27889" spans="1:6" ht="12.75">
      <c r="A27889" s="8">
        <v>43891.964988425927</v>
      </c>
      <c r="B27889" s="8" t="str">
        <f>HYPERLINK("https://twitter.com/hilyatul_afifah","@hilyatul_afifah")</f>
        <v>@hilyatul_afifah</v>
      </c>
      <c r="C27889" s="8" t="s">
        <v>10569</v>
      </c>
      <c r="D27889" s="8">
        <v>4</v>
      </c>
      <c r="E27889" s="8">
        <v>0</v>
      </c>
      <c r="F27889" s="8">
        <v>364</v>
      </c>
    </row>
    <row r="27890" spans="1:6" ht="12.75">
      <c r="A27890" s="8">
        <v>43891.964942129634</v>
      </c>
      <c r="B27890" s="8" t="str">
        <f>HYPERLINK("https://twitter.com/Anggi14Dewi","@Anggi14Dewi")</f>
        <v>@Anggi14Dewi</v>
      </c>
      <c r="C27890" s="8" t="s">
        <v>10570</v>
      </c>
      <c r="D27890" s="8">
        <v>5</v>
      </c>
      <c r="E27890" s="8">
        <v>0</v>
      </c>
      <c r="F27890" s="8">
        <v>2268</v>
      </c>
    </row>
    <row r="27891" spans="1:6" ht="12.75">
      <c r="A27891" s="8">
        <v>43891.964872685188</v>
      </c>
      <c r="B27891" s="8" t="str">
        <f>HYPERLINK("https://twitter.com/Teh__L","@Teh__L")</f>
        <v>@Teh__L</v>
      </c>
      <c r="C27891" s="8" t="s">
        <v>2199</v>
      </c>
      <c r="D27891" s="8">
        <v>892</v>
      </c>
      <c r="E27891" s="8">
        <v>0</v>
      </c>
      <c r="F27891" s="8">
        <v>1249</v>
      </c>
    </row>
    <row r="27892" spans="1:6" ht="12.75">
      <c r="A27892" s="8">
        <v>43891.964872685188</v>
      </c>
      <c r="B27892" s="8" t="str">
        <f>HYPERLINK("https://twitter.com/Joungky_Ran","@Joungky_Ran")</f>
        <v>@Joungky_Ran</v>
      </c>
      <c r="C27892" s="8" t="s">
        <v>2199</v>
      </c>
      <c r="D27892" s="8">
        <v>892</v>
      </c>
      <c r="E27892" s="8">
        <v>0</v>
      </c>
      <c r="F27892" s="8">
        <v>94</v>
      </c>
    </row>
    <row r="27893" spans="1:6" ht="12.75">
      <c r="A27893" s="8">
        <v>43891.964849537035</v>
      </c>
      <c r="B27893" s="8" t="str">
        <f>HYPERLINK("https://twitter.com/c00lz_me","@c00lz_me")</f>
        <v>@c00lz_me</v>
      </c>
      <c r="C27893" s="8" t="s">
        <v>10411</v>
      </c>
      <c r="D27893" s="8">
        <v>1</v>
      </c>
      <c r="E27893" s="8">
        <v>0</v>
      </c>
      <c r="F27893" s="8">
        <v>11</v>
      </c>
    </row>
    <row r="27894" spans="1:6" ht="12.75">
      <c r="A27894" s="8">
        <v>43891.964837962965</v>
      </c>
      <c r="B27894" s="8" t="str">
        <f>HYPERLINK("https://twitter.com/WaliFarah6","@WaliFarah6")</f>
        <v>@WaliFarah6</v>
      </c>
      <c r="C27894" s="8" t="s">
        <v>10571</v>
      </c>
      <c r="D27894" s="8">
        <v>0</v>
      </c>
      <c r="E27894" s="8">
        <v>0</v>
      </c>
      <c r="F27894" s="8">
        <v>2147</v>
      </c>
    </row>
    <row r="27895" spans="1:6" ht="12.75">
      <c r="A27895" s="8">
        <v>43891.96475694445</v>
      </c>
      <c r="B27895" s="8" t="str">
        <f>HYPERLINK("https://twitter.com/BiyaSabrina1","@BiyaSabrina1")</f>
        <v>@BiyaSabrina1</v>
      </c>
      <c r="C27895" s="8" t="s">
        <v>10572</v>
      </c>
      <c r="D27895" s="8">
        <v>0</v>
      </c>
      <c r="E27895" s="8">
        <v>0</v>
      </c>
      <c r="F27895" s="8">
        <v>86</v>
      </c>
    </row>
    <row r="27896" spans="1:6" ht="12.75">
      <c r="A27896" s="8">
        <v>43891.96466435185</v>
      </c>
      <c r="B27896" s="8" t="str">
        <f>HYPERLINK("https://twitter.com/hilyatul_afifah","@hilyatul_afifah")</f>
        <v>@hilyatul_afifah</v>
      </c>
      <c r="C27896" s="8" t="s">
        <v>10573</v>
      </c>
      <c r="D27896" s="8">
        <v>3</v>
      </c>
      <c r="E27896" s="8">
        <v>0</v>
      </c>
      <c r="F27896" s="8">
        <v>364</v>
      </c>
    </row>
    <row r="27897" spans="1:6" ht="12.75">
      <c r="A27897" s="8">
        <v>43891.96465277778</v>
      </c>
      <c r="B27897" s="8" t="str">
        <f>HYPERLINK("https://twitter.com/SilitongaEfraim","@SilitongaEfraim")</f>
        <v>@SilitongaEfraim</v>
      </c>
      <c r="C27897" s="8" t="s">
        <v>10574</v>
      </c>
      <c r="D27897" s="8">
        <v>4</v>
      </c>
      <c r="E27897" s="8">
        <v>0</v>
      </c>
      <c r="F27897" s="8">
        <v>2077</v>
      </c>
    </row>
    <row r="27898" spans="1:6" ht="12.75">
      <c r="A27898" s="8">
        <v>43891.964560185181</v>
      </c>
      <c r="B27898" s="8" t="str">
        <f>HYPERLINK("https://twitter.com/hilyatul_afifah","@hilyatul_afifah")</f>
        <v>@hilyatul_afifah</v>
      </c>
      <c r="C27898" s="8" t="s">
        <v>10575</v>
      </c>
      <c r="D27898" s="8">
        <v>5</v>
      </c>
      <c r="E27898" s="8">
        <v>0</v>
      </c>
      <c r="F27898" s="8">
        <v>364</v>
      </c>
    </row>
    <row r="27899" spans="1:6" ht="12.75">
      <c r="A27899" s="8">
        <v>43891.964525462958</v>
      </c>
      <c r="B27899" s="8" t="str">
        <f>HYPERLINK("https://twitter.com/RyanBayCan","@RyanBayCan")</f>
        <v>@RyanBayCan</v>
      </c>
      <c r="C27899" s="8" t="s">
        <v>10468</v>
      </c>
      <c r="D27899" s="8">
        <v>23</v>
      </c>
      <c r="E27899" s="8">
        <v>0</v>
      </c>
      <c r="F27899" s="8">
        <v>3041</v>
      </c>
    </row>
    <row r="27900" spans="1:6" ht="12.75">
      <c r="A27900" s="8">
        <v>43891.964513888888</v>
      </c>
      <c r="B27900" s="8" t="str">
        <f>HYPERLINK("https://twitter.com/hilyatul_afifah","@hilyatul_afifah")</f>
        <v>@hilyatul_afifah</v>
      </c>
      <c r="C27900" s="8" t="s">
        <v>10576</v>
      </c>
      <c r="D27900" s="8">
        <v>6</v>
      </c>
      <c r="E27900" s="8">
        <v>0</v>
      </c>
      <c r="F27900" s="8">
        <v>364</v>
      </c>
    </row>
    <row r="27901" spans="1:6" ht="12.75">
      <c r="A27901" s="8">
        <v>43891.964502314819</v>
      </c>
      <c r="B27901" s="8" t="str">
        <f>HYPERLINK("https://twitter.com/haruyataby","@haruyataby")</f>
        <v>@haruyataby</v>
      </c>
      <c r="C27901" s="8" t="s">
        <v>10577</v>
      </c>
      <c r="D27901" s="8">
        <v>122</v>
      </c>
      <c r="E27901" s="8">
        <v>0</v>
      </c>
      <c r="F27901" s="8">
        <v>1463</v>
      </c>
    </row>
    <row r="27902" spans="1:6" ht="12.75">
      <c r="A27902" s="8">
        <v>43891.964502314819</v>
      </c>
      <c r="B27902" s="8" t="str">
        <f>HYPERLINK("https://twitter.com/Paulus_willy","@Paulus_willy")</f>
        <v>@Paulus_willy</v>
      </c>
      <c r="C27902" s="8" t="s">
        <v>10578</v>
      </c>
      <c r="D27902" s="8">
        <v>29</v>
      </c>
      <c r="E27902" s="8">
        <v>0</v>
      </c>
      <c r="F27902" s="8">
        <v>1887</v>
      </c>
    </row>
    <row r="27903" spans="1:6" ht="12.75">
      <c r="A27903" s="8">
        <v>43891.964467592596</v>
      </c>
      <c r="B27903" s="8" t="str">
        <f>HYPERLINK("https://twitter.com/Yasriza99127186","@Yasriza99127186")</f>
        <v>@Yasriza99127186</v>
      </c>
      <c r="C27903" s="8" t="s">
        <v>7704</v>
      </c>
      <c r="D27903" s="8">
        <v>222</v>
      </c>
      <c r="E27903" s="8">
        <v>0</v>
      </c>
      <c r="F27903" s="8">
        <v>13</v>
      </c>
    </row>
    <row r="27904" spans="1:6" ht="12.75">
      <c r="A27904" s="8">
        <v>43891.964467592596</v>
      </c>
      <c r="B27904" s="8" t="str">
        <f>HYPERLINK("https://twitter.com/faizruzain","@faizruzain")</f>
        <v>@faizruzain</v>
      </c>
      <c r="C27904" s="8" t="s">
        <v>2199</v>
      </c>
      <c r="D27904" s="8">
        <v>892</v>
      </c>
      <c r="E27904" s="8">
        <v>0</v>
      </c>
      <c r="F27904" s="8">
        <v>179</v>
      </c>
    </row>
    <row r="27905" spans="1:6" ht="12.75">
      <c r="A27905" s="8">
        <v>43891.964456018519</v>
      </c>
      <c r="B27905" s="8" t="str">
        <f>HYPERLINK("https://twitter.com/AlichgunturMs1","@AlichgunturMs1")</f>
        <v>@AlichgunturMs1</v>
      </c>
      <c r="C27905" s="8" t="s">
        <v>10577</v>
      </c>
      <c r="D27905" s="8">
        <v>122</v>
      </c>
      <c r="E27905" s="8">
        <v>0</v>
      </c>
      <c r="F27905" s="8">
        <v>1055</v>
      </c>
    </row>
    <row r="27906" spans="1:6" ht="12.75">
      <c r="A27906" s="8">
        <v>43891.964432870373</v>
      </c>
      <c r="B27906" s="8" t="str">
        <f>HYPERLINK("https://twitter.com/SydSalesman","@SydSalesman")</f>
        <v>@SydSalesman</v>
      </c>
      <c r="C27906" s="8" t="s">
        <v>9238</v>
      </c>
      <c r="D27906" s="8">
        <v>56</v>
      </c>
      <c r="E27906" s="8">
        <v>0</v>
      </c>
      <c r="F27906" s="8">
        <v>6278</v>
      </c>
    </row>
    <row r="27907" spans="1:6" ht="12.75">
      <c r="A27907" s="8">
        <v>43891.964432870373</v>
      </c>
      <c r="B27907" s="8" t="str">
        <f>HYPERLINK("https://twitter.com/jodaya_56","@jodaya_56")</f>
        <v>@jodaya_56</v>
      </c>
      <c r="C27907" s="8" t="s">
        <v>2199</v>
      </c>
      <c r="D27907" s="8">
        <v>892</v>
      </c>
      <c r="E27907" s="8">
        <v>0</v>
      </c>
      <c r="F27907" s="8">
        <v>583</v>
      </c>
    </row>
    <row r="27908" spans="1:6" ht="12.75">
      <c r="A27908" s="8">
        <v>43891.964421296296</v>
      </c>
      <c r="B27908" s="8" t="str">
        <f>HYPERLINK("https://twitter.com/hilyatul_afifah","@hilyatul_afifah")</f>
        <v>@hilyatul_afifah</v>
      </c>
      <c r="C27908" s="8" t="s">
        <v>10579</v>
      </c>
      <c r="D27908" s="8">
        <v>13</v>
      </c>
      <c r="E27908" s="8">
        <v>0</v>
      </c>
      <c r="F27908" s="8">
        <v>364</v>
      </c>
    </row>
    <row r="27909" spans="1:6" ht="12.75">
      <c r="A27909" s="8">
        <v>43891.964421296296</v>
      </c>
      <c r="B27909" s="8" t="str">
        <f>HYPERLINK("https://twitter.com/RadioElshinta","@RadioElshinta")</f>
        <v>@RadioElshinta</v>
      </c>
      <c r="C27909" s="8" t="s">
        <v>10580</v>
      </c>
      <c r="D27909" s="8">
        <v>0</v>
      </c>
      <c r="E27909" s="8">
        <v>0</v>
      </c>
      <c r="F27909" s="8">
        <v>3636229</v>
      </c>
    </row>
    <row r="27910" spans="1:6" ht="12.75">
      <c r="A27910" s="8">
        <v>43891.964409722219</v>
      </c>
      <c r="B27910" s="8" t="str">
        <f>HYPERLINK("https://twitter.com/55kaying","@55kaying")</f>
        <v>@55kaying</v>
      </c>
      <c r="C27910" s="8" t="s">
        <v>2199</v>
      </c>
      <c r="D27910" s="8">
        <v>892</v>
      </c>
      <c r="E27910" s="8">
        <v>0</v>
      </c>
      <c r="F27910" s="8">
        <v>310</v>
      </c>
    </row>
    <row r="27911" spans="1:6" ht="12.75">
      <c r="A27911" s="8">
        <v>43891.964386574073</v>
      </c>
      <c r="B27911" s="8" t="str">
        <f>HYPERLINK("https://twitter.com/antonkerenz1","@antonkerenz1")</f>
        <v>@antonkerenz1</v>
      </c>
      <c r="C27911" s="8" t="s">
        <v>5732</v>
      </c>
      <c r="D27911" s="8">
        <v>107</v>
      </c>
      <c r="E27911" s="8">
        <v>0</v>
      </c>
      <c r="F27911" s="8">
        <v>1537</v>
      </c>
    </row>
    <row r="27912" spans="1:6" ht="12.75">
      <c r="A27912" s="8">
        <v>43891.964386574073</v>
      </c>
      <c r="B27912" s="8" t="str">
        <f>HYPERLINK("https://twitter.com/HaiChairul","@HaiChairul")</f>
        <v>@HaiChairul</v>
      </c>
      <c r="C27912" s="8" t="s">
        <v>5732</v>
      </c>
      <c r="D27912" s="8">
        <v>107</v>
      </c>
      <c r="E27912" s="8">
        <v>0</v>
      </c>
      <c r="F27912" s="8">
        <v>230</v>
      </c>
    </row>
    <row r="27913" spans="1:6" ht="12.75">
      <c r="A27913" s="8">
        <v>43891.964374999996</v>
      </c>
      <c r="B27913" s="8" t="str">
        <f>HYPERLINK("https://twitter.com/SaputraBerman","@SaputraBerman")</f>
        <v>@SaputraBerman</v>
      </c>
      <c r="C27913" s="8" t="s">
        <v>10581</v>
      </c>
      <c r="D27913" s="8">
        <v>0</v>
      </c>
      <c r="E27913" s="8">
        <v>0</v>
      </c>
      <c r="F27913" s="8">
        <v>76</v>
      </c>
    </row>
    <row r="27914" spans="1:6" ht="12.75">
      <c r="A27914" s="8">
        <v>43891.964317129634</v>
      </c>
      <c r="B27914" s="8" t="str">
        <f>HYPERLINK("https://twitter.com/hilyatul_afifah","@hilyatul_afifah")</f>
        <v>@hilyatul_afifah</v>
      </c>
      <c r="C27914" s="8" t="s">
        <v>10582</v>
      </c>
      <c r="D27914" s="8">
        <v>6</v>
      </c>
      <c r="E27914" s="8">
        <v>0</v>
      </c>
      <c r="F27914" s="8">
        <v>364</v>
      </c>
    </row>
    <row r="27915" spans="1:6" ht="12.75">
      <c r="A27915" s="8">
        <v>43891.964270833334</v>
      </c>
      <c r="B27915" s="8" t="str">
        <f>HYPERLINK("https://twitter.com/GreenVodka2","@GreenVodka2")</f>
        <v>@GreenVodka2</v>
      </c>
      <c r="C27915" s="8" t="s">
        <v>10577</v>
      </c>
      <c r="D27915" s="8">
        <v>122</v>
      </c>
      <c r="E27915" s="8">
        <v>0</v>
      </c>
      <c r="F27915" s="8">
        <v>15</v>
      </c>
    </row>
    <row r="27916" spans="1:6" ht="12.75">
      <c r="A27916" s="8">
        <v>43891.964270833334</v>
      </c>
      <c r="B27916" s="8" t="str">
        <f>HYPERLINK("https://twitter.com/Santoso_W83","@Santoso_W83")</f>
        <v>@Santoso_W83</v>
      </c>
      <c r="C27916" s="8" t="s">
        <v>2199</v>
      </c>
      <c r="D27916" s="8">
        <v>892</v>
      </c>
      <c r="E27916" s="8">
        <v>0</v>
      </c>
      <c r="F27916" s="8">
        <v>254</v>
      </c>
    </row>
    <row r="27917" spans="1:6" ht="12.75">
      <c r="A27917" s="8">
        <v>43891.964270833334</v>
      </c>
      <c r="B27917" s="8" t="str">
        <f>HYPERLINK("https://twitter.com/Beritabaruco","@Beritabaruco")</f>
        <v>@Beritabaruco</v>
      </c>
      <c r="C27917" s="8" t="s">
        <v>10583</v>
      </c>
      <c r="D27917" s="8">
        <v>0</v>
      </c>
      <c r="E27917" s="8">
        <v>0</v>
      </c>
      <c r="F27917" s="8">
        <v>188</v>
      </c>
    </row>
    <row r="27918" spans="1:6" ht="12.75">
      <c r="A27918" s="8">
        <v>43891.964259259257</v>
      </c>
      <c r="B27918" s="8" t="str">
        <f>HYPERLINK("https://twitter.com/Bewolf_new","@Bewolf_new")</f>
        <v>@Bewolf_new</v>
      </c>
      <c r="C27918" s="8" t="s">
        <v>5732</v>
      </c>
      <c r="D27918" s="8">
        <v>107</v>
      </c>
      <c r="E27918" s="8">
        <v>0</v>
      </c>
      <c r="F27918" s="8">
        <v>256</v>
      </c>
    </row>
    <row r="27919" spans="1:6" ht="12.75">
      <c r="A27919" s="8">
        <v>43891.964236111111</v>
      </c>
      <c r="B27919" s="8" t="str">
        <f>HYPERLINK("https://twitter.com/MudasirRomini","@MudasirRomini")</f>
        <v>@MudasirRomini</v>
      </c>
      <c r="C27919" s="8" t="s">
        <v>10288</v>
      </c>
      <c r="D27919" s="8">
        <v>31</v>
      </c>
      <c r="E27919" s="8">
        <v>0</v>
      </c>
      <c r="F27919" s="8">
        <v>7859</v>
      </c>
    </row>
    <row r="27920" spans="1:6" ht="12.75">
      <c r="A27920" s="8">
        <v>43891.964236111111</v>
      </c>
      <c r="B27920" s="8" t="str">
        <f>HYPERLINK("https://twitter.com/coinceavec8994_","@coinceavec8994_")</f>
        <v>@coinceavec8994_</v>
      </c>
      <c r="C27920" s="8" t="s">
        <v>2199</v>
      </c>
      <c r="D27920" s="8">
        <v>892</v>
      </c>
      <c r="E27920" s="8">
        <v>0</v>
      </c>
      <c r="F27920" s="8">
        <v>1356</v>
      </c>
    </row>
    <row r="27921" spans="1:6" ht="12.75">
      <c r="A27921" s="8">
        <v>43891.964224537034</v>
      </c>
      <c r="B27921" s="8" t="str">
        <f>HYPERLINK("https://twitter.com/hilyatul_afifah","@hilyatul_afifah")</f>
        <v>@hilyatul_afifah</v>
      </c>
      <c r="C27921" s="8" t="s">
        <v>10246</v>
      </c>
      <c r="D27921" s="8">
        <v>15</v>
      </c>
      <c r="E27921" s="8">
        <v>0</v>
      </c>
      <c r="F27921" s="8">
        <v>364</v>
      </c>
    </row>
    <row r="27922" spans="1:6" ht="12.75">
      <c r="A27922" s="8">
        <v>43891.964224537034</v>
      </c>
      <c r="B27922" s="8" t="str">
        <f>HYPERLINK("https://twitter.com/yetarum","@yetarum")</f>
        <v>@yetarum</v>
      </c>
      <c r="C27922" s="8" t="s">
        <v>10288</v>
      </c>
      <c r="D27922" s="8">
        <v>31</v>
      </c>
      <c r="E27922" s="8">
        <v>0</v>
      </c>
      <c r="F27922" s="8">
        <v>509</v>
      </c>
    </row>
    <row r="27923" spans="1:6" ht="12.75">
      <c r="A27923" s="8">
        <v>43891.964178240742</v>
      </c>
      <c r="B27923" s="8" t="str">
        <f>HYPERLINK("https://twitter.com/BiyaSabrina1","@BiyaSabrina1")</f>
        <v>@BiyaSabrina1</v>
      </c>
      <c r="C27923" s="8" t="s">
        <v>10584</v>
      </c>
      <c r="D27923" s="8">
        <v>0</v>
      </c>
      <c r="E27923" s="8">
        <v>0</v>
      </c>
      <c r="F27923" s="8">
        <v>86</v>
      </c>
    </row>
    <row r="27924" spans="1:6" ht="12.75">
      <c r="A27924" s="8">
        <v>43891.964178240742</v>
      </c>
      <c r="B27924" s="8" t="str">
        <f>HYPERLINK("https://twitter.com/bagaspati168","@bagaspati168")</f>
        <v>@bagaspati168</v>
      </c>
      <c r="C27924" s="8" t="s">
        <v>10449</v>
      </c>
      <c r="D27924" s="8">
        <v>59</v>
      </c>
      <c r="E27924" s="8">
        <v>0</v>
      </c>
      <c r="F27924" s="8">
        <v>216</v>
      </c>
    </row>
    <row r="27925" spans="1:6" ht="12.75">
      <c r="A27925" s="8">
        <v>43891.964155092588</v>
      </c>
      <c r="B27925" s="8" t="str">
        <f>HYPERLINK("https://twitter.com/hilyatul_afifah","@hilyatul_afifah")</f>
        <v>@hilyatul_afifah</v>
      </c>
      <c r="C27925" s="8" t="s">
        <v>10585</v>
      </c>
      <c r="D27925" s="8">
        <v>7</v>
      </c>
      <c r="E27925" s="8">
        <v>0</v>
      </c>
      <c r="F27925" s="8">
        <v>364</v>
      </c>
    </row>
    <row r="27926" spans="1:6" ht="12.75">
      <c r="A27926" s="8">
        <v>43891.964143518519</v>
      </c>
      <c r="B27926" s="8" t="str">
        <f>HYPERLINK("https://twitter.com/eememelie","@eememelie")</f>
        <v>@eememelie</v>
      </c>
      <c r="C27926" s="8" t="s">
        <v>6542</v>
      </c>
      <c r="D27926" s="8">
        <v>121</v>
      </c>
      <c r="E27926" s="8">
        <v>0</v>
      </c>
      <c r="F27926" s="8">
        <v>209</v>
      </c>
    </row>
    <row r="27927" spans="1:6" ht="12.75">
      <c r="A27927" s="8">
        <v>43891.964120370365</v>
      </c>
      <c r="B27927" s="8" t="str">
        <f t="shared" ref="B27927:B27928" si="374">HYPERLINK("https://twitter.com/hilyatul_afifah","@hilyatul_afifah")</f>
        <v>@hilyatul_afifah</v>
      </c>
      <c r="C27927" s="8" t="s">
        <v>10586</v>
      </c>
      <c r="D27927" s="8">
        <v>2</v>
      </c>
      <c r="E27927" s="8">
        <v>0</v>
      </c>
      <c r="F27927" s="8">
        <v>364</v>
      </c>
    </row>
    <row r="27928" spans="1:6" ht="12.75">
      <c r="A27928" s="8">
        <v>43891.964074074072</v>
      </c>
      <c r="B27928" s="8" t="str">
        <f t="shared" si="374"/>
        <v>@hilyatul_afifah</v>
      </c>
      <c r="C27928" s="8" t="s">
        <v>10587</v>
      </c>
      <c r="D27928" s="8">
        <v>4</v>
      </c>
      <c r="E27928" s="8">
        <v>0</v>
      </c>
      <c r="F27928" s="8">
        <v>364</v>
      </c>
    </row>
    <row r="27929" spans="1:6" ht="12.75">
      <c r="A27929" s="8">
        <v>43891.964062500003</v>
      </c>
      <c r="B27929" s="8" t="str">
        <f>HYPERLINK("https://twitter.com/SydSalesman","@SydSalesman")</f>
        <v>@SydSalesman</v>
      </c>
      <c r="C27929" s="8" t="s">
        <v>2199</v>
      </c>
      <c r="D27929" s="8">
        <v>892</v>
      </c>
      <c r="E27929" s="8">
        <v>0</v>
      </c>
      <c r="F27929" s="8">
        <v>6278</v>
      </c>
    </row>
    <row r="27930" spans="1:6" ht="12.75">
      <c r="A27930" s="8">
        <v>43891.96398148148</v>
      </c>
      <c r="B27930" s="8" t="str">
        <f>HYPERLINK("https://twitter.com/Rizal_Valen76","@Rizal_Valen76")</f>
        <v>@Rizal_Valen76</v>
      </c>
      <c r="C27930" s="8" t="s">
        <v>8962</v>
      </c>
      <c r="D27930" s="8">
        <v>110</v>
      </c>
      <c r="E27930" s="8">
        <v>0</v>
      </c>
      <c r="F27930" s="8">
        <v>2831</v>
      </c>
    </row>
    <row r="27931" spans="1:6" ht="12.75">
      <c r="A27931" s="8">
        <v>43891.963923611111</v>
      </c>
      <c r="B27931" s="8" t="str">
        <f>HYPERLINK("https://twitter.com/lleteayong","@lleteayong")</f>
        <v>@lleteayong</v>
      </c>
      <c r="C27931" s="8" t="s">
        <v>10263</v>
      </c>
      <c r="D27931" s="8">
        <v>14</v>
      </c>
      <c r="E27931" s="8">
        <v>0</v>
      </c>
      <c r="F27931" s="8">
        <v>195</v>
      </c>
    </row>
    <row r="27932" spans="1:6" ht="12.75">
      <c r="A27932" s="8">
        <v>43891.963842592595</v>
      </c>
      <c r="B27932" s="8" t="str">
        <f>HYPERLINK("https://twitter.com/adingku_10","@adingku_10")</f>
        <v>@adingku_10</v>
      </c>
      <c r="C27932" s="8" t="s">
        <v>10588</v>
      </c>
      <c r="D27932" s="8">
        <v>1</v>
      </c>
      <c r="E27932" s="8">
        <v>0</v>
      </c>
      <c r="F27932" s="8">
        <v>101</v>
      </c>
    </row>
    <row r="27933" spans="1:6" ht="12.75">
      <c r="A27933" s="8">
        <v>43891.963831018518</v>
      </c>
      <c r="B27933" s="8" t="str">
        <f>HYPERLINK("https://twitter.com/ajusttinna","@ajusttinna")</f>
        <v>@ajusttinna</v>
      </c>
      <c r="C27933" s="8" t="s">
        <v>10589</v>
      </c>
      <c r="D27933" s="8">
        <v>4</v>
      </c>
      <c r="E27933" s="8">
        <v>0</v>
      </c>
      <c r="F27933" s="8">
        <v>286</v>
      </c>
    </row>
    <row r="27934" spans="1:6" ht="12.75">
      <c r="A27934" s="8">
        <v>43891.963796296295</v>
      </c>
      <c r="B27934" s="8" t="str">
        <f t="shared" ref="B27934:B27935" si="375">HYPERLINK("https://twitter.com/hilyatul_afifah","@hilyatul_afifah")</f>
        <v>@hilyatul_afifah</v>
      </c>
      <c r="C27934" s="8" t="s">
        <v>10590</v>
      </c>
      <c r="D27934" s="8">
        <v>7</v>
      </c>
      <c r="E27934" s="8">
        <v>0</v>
      </c>
      <c r="F27934" s="8">
        <v>364</v>
      </c>
    </row>
    <row r="27935" spans="1:6" ht="12.75">
      <c r="A27935" s="8">
        <v>43891.963761574079</v>
      </c>
      <c r="B27935" s="8" t="str">
        <f t="shared" si="375"/>
        <v>@hilyatul_afifah</v>
      </c>
      <c r="C27935" s="8" t="s">
        <v>10410</v>
      </c>
      <c r="D27935" s="8">
        <v>15</v>
      </c>
      <c r="E27935" s="8">
        <v>0</v>
      </c>
      <c r="F27935" s="8">
        <v>364</v>
      </c>
    </row>
    <row r="27936" spans="1:6" ht="12.75">
      <c r="A27936" s="8">
        <v>43891.963749999995</v>
      </c>
      <c r="B27936" s="8" t="str">
        <f>HYPERLINK("https://twitter.com/essechange8","@essechange8")</f>
        <v>@essechange8</v>
      </c>
      <c r="C27936" s="8" t="s">
        <v>4150</v>
      </c>
      <c r="D27936" s="8">
        <v>50</v>
      </c>
      <c r="E27936" s="8">
        <v>0</v>
      </c>
      <c r="F27936" s="8">
        <v>54</v>
      </c>
    </row>
    <row r="27937" spans="1:6" ht="12.75">
      <c r="A27937" s="8">
        <v>43891.963726851856</v>
      </c>
      <c r="B27937" s="8" t="str">
        <f>HYPERLINK("https://twitter.com/BimoMangkulang1","@BimoMangkulang1")</f>
        <v>@BimoMangkulang1</v>
      </c>
      <c r="C27937" s="8" t="s">
        <v>10591</v>
      </c>
      <c r="D27937" s="8">
        <v>22</v>
      </c>
      <c r="E27937" s="8">
        <v>0</v>
      </c>
      <c r="F27937" s="8">
        <v>286</v>
      </c>
    </row>
    <row r="27938" spans="1:6" ht="12.75">
      <c r="A27938" s="8">
        <v>43891.96371527778</v>
      </c>
      <c r="B27938" s="8" t="str">
        <f>HYPERLINK("https://twitter.com/hilyatul_afifah","@hilyatul_afifah")</f>
        <v>@hilyatul_afifah</v>
      </c>
      <c r="C27938" s="8" t="s">
        <v>10592</v>
      </c>
      <c r="D27938" s="8">
        <v>4</v>
      </c>
      <c r="E27938" s="8">
        <v>0</v>
      </c>
      <c r="F27938" s="8">
        <v>364</v>
      </c>
    </row>
    <row r="27939" spans="1:6" ht="12.75">
      <c r="A27939" s="8">
        <v>43891.96371527778</v>
      </c>
      <c r="B27939" s="8" t="str">
        <f>HYPERLINK("https://twitter.com/Deqita1","@Deqita1")</f>
        <v>@Deqita1</v>
      </c>
      <c r="C27939" s="8" t="s">
        <v>2199</v>
      </c>
      <c r="D27939" s="8">
        <v>892</v>
      </c>
      <c r="E27939" s="8">
        <v>0</v>
      </c>
      <c r="F27939" s="8">
        <v>19</v>
      </c>
    </row>
    <row r="27940" spans="1:6" ht="12.75">
      <c r="A27940" s="8">
        <v>43891.963703703703</v>
      </c>
      <c r="B27940" s="8" t="str">
        <f>HYPERLINK("https://twitter.com/yoikhuaku","@yoikhuaku")</f>
        <v>@yoikhuaku</v>
      </c>
      <c r="C27940" s="8" t="s">
        <v>10577</v>
      </c>
      <c r="D27940" s="8">
        <v>122</v>
      </c>
      <c r="E27940" s="8">
        <v>0</v>
      </c>
      <c r="F27940" s="8">
        <v>54</v>
      </c>
    </row>
    <row r="27941" spans="1:6" ht="12.75">
      <c r="A27941" s="8">
        <v>43891.963692129633</v>
      </c>
      <c r="B27941" s="8" t="str">
        <f>HYPERLINK("https://twitter.com/wiwigaga_","@wiwigaga_")</f>
        <v>@wiwigaga_</v>
      </c>
      <c r="C27941" s="8" t="s">
        <v>2199</v>
      </c>
      <c r="D27941" s="8">
        <v>892</v>
      </c>
      <c r="E27941" s="8">
        <v>0</v>
      </c>
      <c r="F27941" s="8">
        <v>654</v>
      </c>
    </row>
    <row r="27942" spans="1:6" ht="12.75">
      <c r="A27942" s="8">
        <v>43891.96365740741</v>
      </c>
      <c r="B27942" s="8" t="str">
        <f>HYPERLINK("https://twitter.com/gibranfausta","@gibranfausta")</f>
        <v>@gibranfausta</v>
      </c>
      <c r="C27942" s="8" t="s">
        <v>2199</v>
      </c>
      <c r="D27942" s="8">
        <v>892</v>
      </c>
      <c r="E27942" s="8">
        <v>0</v>
      </c>
      <c r="F27942" s="8">
        <v>393</v>
      </c>
    </row>
    <row r="27943" spans="1:6" ht="12.75">
      <c r="A27943" s="8">
        <v>43891.963622685187</v>
      </c>
      <c r="B27943" s="8" t="str">
        <f>HYPERLINK("https://twitter.com/hilyatul_afifah","@hilyatul_afifah")</f>
        <v>@hilyatul_afifah</v>
      </c>
      <c r="C27943" s="8" t="s">
        <v>10593</v>
      </c>
      <c r="D27943" s="8">
        <v>2</v>
      </c>
      <c r="E27943" s="8">
        <v>0</v>
      </c>
      <c r="F27943" s="8">
        <v>364</v>
      </c>
    </row>
    <row r="27944" spans="1:6" ht="12.75">
      <c r="A27944" s="8">
        <v>43891.963622685187</v>
      </c>
      <c r="B27944" s="8" t="str">
        <f>HYPERLINK("https://twitter.com/RAryaKencana","@RAryaKencana")</f>
        <v>@RAryaKencana</v>
      </c>
      <c r="C27944" s="8" t="s">
        <v>2199</v>
      </c>
      <c r="D27944" s="8">
        <v>892</v>
      </c>
      <c r="E27944" s="8">
        <v>0</v>
      </c>
      <c r="F27944" s="8">
        <v>81</v>
      </c>
    </row>
    <row r="27945" spans="1:6" ht="12.75">
      <c r="A27945" s="8">
        <v>43891.96361111111</v>
      </c>
      <c r="B27945" s="8" t="str">
        <f>HYPERLINK("https://twitter.com/TeddyIrjaya","@TeddyIrjaya")</f>
        <v>@TeddyIrjaya</v>
      </c>
      <c r="C27945" s="8" t="s">
        <v>10576</v>
      </c>
      <c r="D27945" s="8">
        <v>6</v>
      </c>
      <c r="E27945" s="8">
        <v>0</v>
      </c>
      <c r="F27945" s="8">
        <v>690</v>
      </c>
    </row>
    <row r="27946" spans="1:6" ht="12.75">
      <c r="A27946" s="8">
        <v>43891.963587962964</v>
      </c>
      <c r="B27946" s="8" t="str">
        <f>HYPERLINK("https://twitter.com/hilyatul_afifah","@hilyatul_afifah")</f>
        <v>@hilyatul_afifah</v>
      </c>
      <c r="C27946" s="8" t="s">
        <v>10594</v>
      </c>
      <c r="D27946" s="8">
        <v>6</v>
      </c>
      <c r="E27946" s="8">
        <v>0</v>
      </c>
      <c r="F27946" s="8">
        <v>364</v>
      </c>
    </row>
    <row r="27947" spans="1:6" ht="12.75">
      <c r="A27947" s="8">
        <v>43891.963564814811</v>
      </c>
      <c r="B27947" s="8" t="str">
        <f>HYPERLINK("https://twitter.com/fransfranday","@fransfranday")</f>
        <v>@fransfranday</v>
      </c>
      <c r="C27947" s="8" t="s">
        <v>4150</v>
      </c>
      <c r="D27947" s="8">
        <v>50</v>
      </c>
      <c r="E27947" s="8">
        <v>0</v>
      </c>
      <c r="F27947" s="8">
        <v>148</v>
      </c>
    </row>
    <row r="27948" spans="1:6" ht="12.75">
      <c r="A27948" s="8">
        <v>43891.963553240741</v>
      </c>
      <c r="B27948" s="8" t="str">
        <f t="shared" ref="B27948:B27950" si="376">HYPERLINK("https://twitter.com/hilyatul_afifah","@hilyatul_afifah")</f>
        <v>@hilyatul_afifah</v>
      </c>
      <c r="C27948" s="8" t="s">
        <v>10595</v>
      </c>
      <c r="D27948" s="8">
        <v>14</v>
      </c>
      <c r="E27948" s="8">
        <v>0</v>
      </c>
      <c r="F27948" s="8">
        <v>364</v>
      </c>
    </row>
    <row r="27949" spans="1:6" ht="12.75">
      <c r="A27949" s="8">
        <v>43891.963506944448</v>
      </c>
      <c r="B27949" s="8" t="str">
        <f t="shared" si="376"/>
        <v>@hilyatul_afifah</v>
      </c>
      <c r="C27949" s="8" t="s">
        <v>10596</v>
      </c>
      <c r="D27949" s="8">
        <v>8</v>
      </c>
      <c r="E27949" s="8">
        <v>0</v>
      </c>
      <c r="F27949" s="8">
        <v>364</v>
      </c>
    </row>
    <row r="27950" spans="1:6" ht="12.75">
      <c r="A27950" s="8">
        <v>43891.963472222225</v>
      </c>
      <c r="B27950" s="8" t="str">
        <f t="shared" si="376"/>
        <v>@hilyatul_afifah</v>
      </c>
      <c r="C27950" s="8" t="s">
        <v>10597</v>
      </c>
      <c r="D27950" s="8">
        <v>10</v>
      </c>
      <c r="E27950" s="8">
        <v>0</v>
      </c>
      <c r="F27950" s="8">
        <v>364</v>
      </c>
    </row>
    <row r="27951" spans="1:6" ht="12.75">
      <c r="A27951" s="8">
        <v>43891.963472222225</v>
      </c>
      <c r="B27951" s="8" t="str">
        <f>HYPERLINK("https://twitter.com/galaksicomputer","@galaksicomputer")</f>
        <v>@galaksicomputer</v>
      </c>
      <c r="C27951" s="8" t="s">
        <v>9729</v>
      </c>
      <c r="D27951" s="8">
        <v>97</v>
      </c>
      <c r="E27951" s="8">
        <v>0</v>
      </c>
      <c r="F27951" s="8">
        <v>598</v>
      </c>
    </row>
    <row r="27952" spans="1:6" ht="12.75">
      <c r="A27952" s="8">
        <v>43891.963460648149</v>
      </c>
      <c r="B27952" s="8" t="str">
        <f>HYPERLINK("https://twitter.com/CYudas","@CYudas")</f>
        <v>@CYudas</v>
      </c>
      <c r="C27952" s="8" t="s">
        <v>3648</v>
      </c>
      <c r="D27952" s="8">
        <v>77</v>
      </c>
      <c r="E27952" s="8">
        <v>0</v>
      </c>
      <c r="F27952" s="8">
        <v>42</v>
      </c>
    </row>
    <row r="27953" spans="1:6" ht="12.75">
      <c r="A27953" s="8">
        <v>43891.963425925926</v>
      </c>
      <c r="B27953" s="8" t="str">
        <f>HYPERLINK("https://twitter.com/mrchill__","@mrchill__")</f>
        <v>@mrchill__</v>
      </c>
      <c r="C27953" s="8" t="s">
        <v>10598</v>
      </c>
      <c r="D27953" s="8">
        <v>2</v>
      </c>
      <c r="E27953" s="8">
        <v>0</v>
      </c>
      <c r="F27953" s="8">
        <v>386</v>
      </c>
    </row>
    <row r="27954" spans="1:6" ht="12.75">
      <c r="A27954" s="8">
        <v>43891.963356481487</v>
      </c>
      <c r="B27954" s="8" t="str">
        <f>HYPERLINK("https://twitter.com/Metro_TV","@Metro_TV")</f>
        <v>@Metro_TV</v>
      </c>
      <c r="C27954" s="8" t="s">
        <v>10599</v>
      </c>
      <c r="D27954" s="8">
        <v>1</v>
      </c>
      <c r="E27954" s="8">
        <v>2</v>
      </c>
      <c r="F27954" s="8">
        <v>10515176</v>
      </c>
    </row>
    <row r="27955" spans="1:6" ht="12.75">
      <c r="A27955" s="8">
        <v>43891.963275462964</v>
      </c>
      <c r="B27955" s="8" t="str">
        <f>HYPERLINK("https://twitter.com/kusuma_kinan","@kusuma_kinan")</f>
        <v>@kusuma_kinan</v>
      </c>
      <c r="C27955" s="8" t="s">
        <v>5732</v>
      </c>
      <c r="D27955" s="8">
        <v>107</v>
      </c>
      <c r="E27955" s="8">
        <v>0</v>
      </c>
      <c r="F27955" s="8">
        <v>660</v>
      </c>
    </row>
    <row r="27956" spans="1:6" ht="12.75">
      <c r="A27956" s="8">
        <v>43891.963275462964</v>
      </c>
      <c r="B27956" s="8" t="str">
        <f>HYPERLINK("https://twitter.com/BimoMangkulang1","@BimoMangkulang1")</f>
        <v>@BimoMangkulang1</v>
      </c>
      <c r="C27956" s="8" t="s">
        <v>10600</v>
      </c>
      <c r="D27956" s="8">
        <v>301</v>
      </c>
      <c r="E27956" s="8">
        <v>0</v>
      </c>
      <c r="F27956" s="8">
        <v>286</v>
      </c>
    </row>
    <row r="27957" spans="1:6" ht="12.75">
      <c r="A27957" s="8">
        <v>43891.963263888887</v>
      </c>
      <c r="B27957" s="8" t="str">
        <f>HYPERLINK("https://twitter.com/KomedianGL","@KomedianGL")</f>
        <v>@KomedianGL</v>
      </c>
      <c r="C27957" s="8" t="s">
        <v>10288</v>
      </c>
      <c r="D27957" s="8">
        <v>31</v>
      </c>
      <c r="E27957" s="8">
        <v>0</v>
      </c>
      <c r="F27957" s="8">
        <v>67</v>
      </c>
    </row>
    <row r="27958" spans="1:6" ht="12.75">
      <c r="A27958" s="8">
        <v>43891.963240740741</v>
      </c>
      <c r="B27958" s="8" t="str">
        <f>HYPERLINK("https://twitter.com/sonebliss","@sonebliss")</f>
        <v>@sonebliss</v>
      </c>
      <c r="C27958" s="8" t="s">
        <v>2199</v>
      </c>
      <c r="D27958" s="8">
        <v>892</v>
      </c>
      <c r="E27958" s="8">
        <v>0</v>
      </c>
      <c r="F27958" s="8">
        <v>596</v>
      </c>
    </row>
    <row r="27959" spans="1:6" ht="12.75">
      <c r="A27959" s="8">
        <v>43891.963229166664</v>
      </c>
      <c r="B27959" s="8" t="str">
        <f>HYPERLINK("https://twitter.com/hilyatul_afifah","@hilyatul_afifah")</f>
        <v>@hilyatul_afifah</v>
      </c>
      <c r="C27959" s="8" t="s">
        <v>10601</v>
      </c>
      <c r="D27959" s="8">
        <v>14</v>
      </c>
      <c r="E27959" s="8">
        <v>0</v>
      </c>
      <c r="F27959" s="8">
        <v>364</v>
      </c>
    </row>
    <row r="27960" spans="1:6" ht="12.75">
      <c r="A27960" s="8">
        <v>43891.963159722218</v>
      </c>
      <c r="B27960" s="8" t="str">
        <f>HYPERLINK("https://twitter.com/Tersirat1","@Tersirat1")</f>
        <v>@Tersirat1</v>
      </c>
      <c r="C27960" s="8" t="s">
        <v>2199</v>
      </c>
      <c r="D27960" s="8">
        <v>892</v>
      </c>
      <c r="E27960" s="8">
        <v>0</v>
      </c>
      <c r="F27960" s="8">
        <v>34</v>
      </c>
    </row>
    <row r="27961" spans="1:6" ht="12.75">
      <c r="A27961" s="8">
        <v>43891.963124999995</v>
      </c>
      <c r="B27961" s="8" t="str">
        <f t="shared" ref="B27961:B27962" si="377">HYPERLINK("https://twitter.com/hilyatul_afifah","@hilyatul_afifah")</f>
        <v>@hilyatul_afifah</v>
      </c>
      <c r="C27961" s="8" t="s">
        <v>10528</v>
      </c>
      <c r="D27961" s="8">
        <v>14</v>
      </c>
      <c r="E27961" s="8">
        <v>0</v>
      </c>
      <c r="F27961" s="8">
        <v>364</v>
      </c>
    </row>
    <row r="27962" spans="1:6" ht="12.75">
      <c r="A27962" s="8">
        <v>43891.963067129633</v>
      </c>
      <c r="B27962" s="8" t="str">
        <f t="shared" si="377"/>
        <v>@hilyatul_afifah</v>
      </c>
      <c r="C27962" s="8" t="s">
        <v>10602</v>
      </c>
      <c r="D27962" s="8">
        <v>14</v>
      </c>
      <c r="E27962" s="8">
        <v>0</v>
      </c>
      <c r="F27962" s="8">
        <v>364</v>
      </c>
    </row>
    <row r="27963" spans="1:6" ht="12.75">
      <c r="A27963" s="8">
        <v>43891.963055555556</v>
      </c>
      <c r="B27963" s="8" t="str">
        <f>HYPERLINK("https://twitter.com/Ismalyaa","@Ismalyaa")</f>
        <v>@Ismalyaa</v>
      </c>
      <c r="C27963" s="8" t="s">
        <v>2199</v>
      </c>
      <c r="D27963" s="8">
        <v>892</v>
      </c>
      <c r="E27963" s="8">
        <v>0</v>
      </c>
      <c r="F27963" s="8">
        <v>358</v>
      </c>
    </row>
    <row r="27964" spans="1:6" ht="12.75">
      <c r="A27964" s="8">
        <v>43891.96298611111</v>
      </c>
      <c r="B27964" s="8" t="str">
        <f>HYPERLINK("https://twitter.com/AyunindyaRizkya","@AyunindyaRizkya")</f>
        <v>@AyunindyaRizkya</v>
      </c>
      <c r="C27964" s="8" t="s">
        <v>10568</v>
      </c>
      <c r="D27964" s="8">
        <v>39</v>
      </c>
      <c r="E27964" s="8">
        <v>0</v>
      </c>
      <c r="F27964" s="8">
        <v>3563</v>
      </c>
    </row>
    <row r="27965" spans="1:6" ht="12.75">
      <c r="A27965" s="8">
        <v>43891.962974537033</v>
      </c>
      <c r="B27965" s="8" t="str">
        <f>HYPERLINK("https://twitter.com/hilyatul_afifah","@hilyatul_afifah")</f>
        <v>@hilyatul_afifah</v>
      </c>
      <c r="C27965" s="8" t="s">
        <v>10468</v>
      </c>
      <c r="D27965" s="8">
        <v>23</v>
      </c>
      <c r="E27965" s="8">
        <v>0</v>
      </c>
      <c r="F27965" s="8">
        <v>364</v>
      </c>
    </row>
    <row r="27966" spans="1:6" ht="12.75">
      <c r="A27966" s="8">
        <v>43891.962893518517</v>
      </c>
      <c r="B27966" s="8" t="str">
        <f>HYPERLINK("https://twitter.com/Adysaurus","@Adysaurus")</f>
        <v>@Adysaurus</v>
      </c>
      <c r="C27966" s="8" t="s">
        <v>10603</v>
      </c>
      <c r="D27966" s="8">
        <v>0</v>
      </c>
      <c r="E27966" s="8">
        <v>0</v>
      </c>
      <c r="F27966" s="8">
        <v>5900</v>
      </c>
    </row>
    <row r="27967" spans="1:6" ht="12.75">
      <c r="A27967" s="8">
        <v>43891.962870370371</v>
      </c>
      <c r="B27967" s="8" t="str">
        <f>HYPERLINK("https://twitter.com/kusuma_kinan","@kusuma_kinan")</f>
        <v>@kusuma_kinan</v>
      </c>
      <c r="C27967" s="8" t="s">
        <v>3850</v>
      </c>
      <c r="D27967" s="8">
        <v>819</v>
      </c>
      <c r="E27967" s="8">
        <v>0</v>
      </c>
      <c r="F27967" s="8">
        <v>660</v>
      </c>
    </row>
    <row r="27968" spans="1:6" ht="12.75">
      <c r="A27968" s="8">
        <v>43891.962835648148</v>
      </c>
      <c r="B27968" s="8" t="str">
        <f>HYPERLINK("https://twitter.com/hilyatul_afifah","@hilyatul_afifah")</f>
        <v>@hilyatul_afifah</v>
      </c>
      <c r="C27968" s="8" t="s">
        <v>10604</v>
      </c>
      <c r="D27968" s="8">
        <v>23</v>
      </c>
      <c r="E27968" s="8">
        <v>0</v>
      </c>
      <c r="F27968" s="8">
        <v>364</v>
      </c>
    </row>
    <row r="27969" spans="1:6" ht="12.75">
      <c r="A27969" s="8">
        <v>43891.962719907402</v>
      </c>
      <c r="B27969" s="8" t="str">
        <f>HYPERLINK("https://twitter.com/Bosschaid","@Bosschaid")</f>
        <v>@Bosschaid</v>
      </c>
      <c r="C27969" s="8" t="s">
        <v>10605</v>
      </c>
      <c r="D27969" s="8">
        <v>0</v>
      </c>
      <c r="E27969" s="8">
        <v>0</v>
      </c>
      <c r="F27969" s="8">
        <v>55</v>
      </c>
    </row>
    <row r="27970" spans="1:6" ht="12.75">
      <c r="A27970" s="8">
        <v>43891.962719907402</v>
      </c>
      <c r="B27970" s="8" t="str">
        <f>HYPERLINK("https://twitter.com/hilyatul_afifah","@hilyatul_afifah")</f>
        <v>@hilyatul_afifah</v>
      </c>
      <c r="C27970" s="8" t="s">
        <v>10577</v>
      </c>
      <c r="D27970" s="8">
        <v>122</v>
      </c>
      <c r="E27970" s="8">
        <v>0</v>
      </c>
      <c r="F27970" s="8">
        <v>364</v>
      </c>
    </row>
    <row r="27971" spans="1:6" ht="12.75">
      <c r="A27971" s="8">
        <v>43891.962673611109</v>
      </c>
      <c r="B27971" s="8" t="str">
        <f>HYPERLINK("https://twitter.com/hinsomer","@hinsomer")</f>
        <v>@hinsomer</v>
      </c>
      <c r="C27971" s="8" t="s">
        <v>10598</v>
      </c>
      <c r="D27971" s="8">
        <v>2</v>
      </c>
      <c r="E27971" s="8">
        <v>0</v>
      </c>
      <c r="F27971" s="8">
        <v>485</v>
      </c>
    </row>
    <row r="27972" spans="1:6" ht="12.75">
      <c r="A27972" s="8">
        <v>43891.962638888886</v>
      </c>
      <c r="B27972" s="8" t="str">
        <f>HYPERLINK("https://twitter.com/deemaz85","@deemaz85")</f>
        <v>@deemaz85</v>
      </c>
      <c r="C27972" s="8" t="s">
        <v>5732</v>
      </c>
      <c r="D27972" s="8">
        <v>107</v>
      </c>
      <c r="E27972" s="8">
        <v>0</v>
      </c>
      <c r="F27972" s="8">
        <v>534</v>
      </c>
    </row>
    <row r="27973" spans="1:6" ht="12.75">
      <c r="A27973" s="8">
        <v>43891.96256944444</v>
      </c>
      <c r="B27973" s="8" t="str">
        <f>HYPERLINK("https://twitter.com/Hendra_Abah","@Hendra_Abah")</f>
        <v>@Hendra_Abah</v>
      </c>
      <c r="C27973" s="8" t="s">
        <v>10606</v>
      </c>
      <c r="D27973" s="8">
        <v>0</v>
      </c>
      <c r="E27973" s="8">
        <v>0</v>
      </c>
      <c r="F27973" s="8">
        <v>220</v>
      </c>
    </row>
    <row r="27974" spans="1:6" ht="12.75">
      <c r="A27974" s="8">
        <v>43891.962557870371</v>
      </c>
      <c r="B27974" s="8" t="str">
        <f>HYPERLINK("https://twitter.com/Dony1933","@Dony1933")</f>
        <v>@Dony1933</v>
      </c>
      <c r="C27974" s="8" t="s">
        <v>3850</v>
      </c>
      <c r="D27974" s="8">
        <v>819</v>
      </c>
      <c r="E27974" s="8">
        <v>0</v>
      </c>
      <c r="F27974" s="8">
        <v>2055</v>
      </c>
    </row>
    <row r="27975" spans="1:6" ht="12.75">
      <c r="A27975" s="8">
        <v>43891.962476851855</v>
      </c>
      <c r="B27975" s="8" t="str">
        <f t="shared" ref="B27975:B27976" si="378">HYPERLINK("https://twitter.com/hilyatul_afifah","@hilyatul_afifah")</f>
        <v>@hilyatul_afifah</v>
      </c>
      <c r="C27975" s="8" t="s">
        <v>10607</v>
      </c>
      <c r="D27975" s="8">
        <v>1</v>
      </c>
      <c r="E27975" s="8">
        <v>0</v>
      </c>
      <c r="F27975" s="8">
        <v>364</v>
      </c>
    </row>
    <row r="27976" spans="1:6" ht="12.75">
      <c r="A27976" s="8">
        <v>43891.962442129632</v>
      </c>
      <c r="B27976" s="8" t="str">
        <f t="shared" si="378"/>
        <v>@hilyatul_afifah</v>
      </c>
      <c r="C27976" s="8" t="s">
        <v>10608</v>
      </c>
      <c r="D27976" s="8">
        <v>2</v>
      </c>
      <c r="E27976" s="8">
        <v>0</v>
      </c>
      <c r="F27976" s="8">
        <v>364</v>
      </c>
    </row>
    <row r="27977" spans="1:6" ht="12.75">
      <c r="A27977" s="8">
        <v>43891.962407407409</v>
      </c>
      <c r="B27977" s="8" t="str">
        <f>HYPERLINK("https://twitter.com/adriansyahnaite","@adriansyahnaite")</f>
        <v>@adriansyahnaite</v>
      </c>
      <c r="C27977" s="8" t="s">
        <v>9729</v>
      </c>
      <c r="D27977" s="8">
        <v>97</v>
      </c>
      <c r="E27977" s="8">
        <v>0</v>
      </c>
      <c r="F27977" s="8">
        <v>315</v>
      </c>
    </row>
    <row r="27978" spans="1:6" ht="12.75">
      <c r="A27978" s="8">
        <v>43891.962361111116</v>
      </c>
      <c r="B27978" s="8" t="str">
        <f>HYPERLINK("https://twitter.com/hilyatul_afifah","@hilyatul_afifah")</f>
        <v>@hilyatul_afifah</v>
      </c>
      <c r="C27978" s="8" t="s">
        <v>10609</v>
      </c>
      <c r="D27978" s="8">
        <v>1</v>
      </c>
      <c r="E27978" s="8">
        <v>0</v>
      </c>
      <c r="F27978" s="8">
        <v>364</v>
      </c>
    </row>
    <row r="27979" spans="1:6" ht="12.75">
      <c r="A27979" s="8">
        <v>43891.962361111116</v>
      </c>
      <c r="B27979" s="8" t="str">
        <f>HYPERLINK("https://twitter.com/sevie_kurnia","@sevie_kurnia")</f>
        <v>@sevie_kurnia</v>
      </c>
      <c r="C27979" s="8" t="s">
        <v>10443</v>
      </c>
      <c r="D27979" s="8">
        <v>79</v>
      </c>
      <c r="E27979" s="8">
        <v>0</v>
      </c>
      <c r="F27979" s="8">
        <v>96</v>
      </c>
    </row>
    <row r="27980" spans="1:6" ht="12.75">
      <c r="A27980" s="8">
        <v>43891.923472222217</v>
      </c>
      <c r="B27980" s="8" t="str">
        <f>HYPERLINK("https://twitter.com/ozhan_ammary","@ozhan_ammary")</f>
        <v>@ozhan_ammary</v>
      </c>
      <c r="C27980" s="8" t="s">
        <v>2199</v>
      </c>
      <c r="D27980" s="8">
        <v>599</v>
      </c>
      <c r="E27980" s="8">
        <v>0</v>
      </c>
      <c r="F27980" s="8">
        <v>542</v>
      </c>
    </row>
    <row r="27981" spans="1:6" ht="12.75">
      <c r="A27981" s="8">
        <v>43891.923425925925</v>
      </c>
      <c r="B27981" s="8" t="str">
        <f>HYPERLINK("https://twitter.com/DoniSuitela","@DoniSuitela")</f>
        <v>@DoniSuitela</v>
      </c>
      <c r="C27981" s="8" t="s">
        <v>2199</v>
      </c>
      <c r="D27981" s="8">
        <v>599</v>
      </c>
      <c r="E27981" s="8">
        <v>0</v>
      </c>
      <c r="F27981" s="8">
        <v>113</v>
      </c>
    </row>
    <row r="27982" spans="1:6" ht="12.75">
      <c r="A27982" s="8">
        <v>43891.923425925925</v>
      </c>
      <c r="B27982" s="8" t="str">
        <f t="shared" ref="B27982:B27983" si="379">HYPERLINK("https://twitter.com/panggilkepuluu","@panggilkepuluu")</f>
        <v>@panggilkepuluu</v>
      </c>
      <c r="C27982" s="8" t="s">
        <v>2995</v>
      </c>
      <c r="D27982" s="8">
        <v>3</v>
      </c>
      <c r="E27982" s="8">
        <v>0</v>
      </c>
      <c r="F27982" s="8">
        <v>739</v>
      </c>
    </row>
    <row r="27983" spans="1:6" ht="12.75">
      <c r="A27983" s="8">
        <v>43891.923402777778</v>
      </c>
      <c r="B27983" s="8" t="str">
        <f t="shared" si="379"/>
        <v>@panggilkepuluu</v>
      </c>
      <c r="C27983" s="8" t="s">
        <v>9919</v>
      </c>
      <c r="D27983" s="8">
        <v>3</v>
      </c>
      <c r="E27983" s="8">
        <v>0</v>
      </c>
      <c r="F27983" s="8">
        <v>739</v>
      </c>
    </row>
    <row r="27984" spans="1:6" ht="12.75">
      <c r="A27984" s="8">
        <v>43891.923379629632</v>
      </c>
      <c r="B27984" s="8" t="str">
        <f>HYPERLINK("https://twitter.com/Joranpulungan","@Joranpulungan")</f>
        <v>@Joranpulungan</v>
      </c>
      <c r="C27984" s="8" t="s">
        <v>3850</v>
      </c>
      <c r="D27984" s="8">
        <v>732</v>
      </c>
      <c r="E27984" s="8">
        <v>0</v>
      </c>
      <c r="F27984" s="8">
        <v>75</v>
      </c>
    </row>
    <row r="27985" spans="1:6" ht="12.75">
      <c r="A27985" s="8">
        <v>43891.923321759255</v>
      </c>
      <c r="B27985" s="8" t="str">
        <f>HYPERLINK("https://twitter.com/555masteng","@555masteng")</f>
        <v>@555masteng</v>
      </c>
      <c r="C27985" s="8" t="s">
        <v>10375</v>
      </c>
      <c r="D27985" s="8">
        <v>3</v>
      </c>
      <c r="E27985" s="8">
        <v>0</v>
      </c>
      <c r="F27985" s="8">
        <v>5534</v>
      </c>
    </row>
    <row r="27986" spans="1:6" ht="12.75">
      <c r="A27986" s="8">
        <v>43891.923287037032</v>
      </c>
      <c r="B27986" s="8" t="str">
        <f>HYPERLINK("https://twitter.com/lionelacrisa_","@lionelacrisa_")</f>
        <v>@lionelacrisa_</v>
      </c>
      <c r="C27986" s="8" t="s">
        <v>2199</v>
      </c>
      <c r="D27986" s="8">
        <v>599</v>
      </c>
      <c r="E27986" s="8">
        <v>0</v>
      </c>
      <c r="F27986" s="8">
        <v>94</v>
      </c>
    </row>
    <row r="27987" spans="1:6" ht="12.75">
      <c r="A27987" s="8">
        <v>43891.923275462963</v>
      </c>
      <c r="B27987" s="8" t="str">
        <f>HYPERLINK("https://twitter.com/sirajapadoha","@sirajapadoha")</f>
        <v>@sirajapadoha</v>
      </c>
      <c r="C27987" s="8" t="s">
        <v>10610</v>
      </c>
      <c r="D27987" s="8">
        <v>2</v>
      </c>
      <c r="E27987" s="8">
        <v>0</v>
      </c>
      <c r="F27987" s="8">
        <v>2476</v>
      </c>
    </row>
    <row r="27988" spans="1:6" ht="12.75">
      <c r="A27988" s="8">
        <v>43891.923263888893</v>
      </c>
      <c r="B27988" s="8" t="str">
        <f>HYPERLINK("https://twitter.com/ISIS_Balik_NO","@ISIS_Balik_NO")</f>
        <v>@ISIS_Balik_NO</v>
      </c>
      <c r="C27988" s="8" t="s">
        <v>10611</v>
      </c>
      <c r="D27988" s="8">
        <v>0</v>
      </c>
      <c r="E27988" s="8">
        <v>0</v>
      </c>
      <c r="F27988" s="8">
        <v>6090</v>
      </c>
    </row>
    <row r="27989" spans="1:6" ht="12.75">
      <c r="A27989" s="8">
        <v>43891.923252314809</v>
      </c>
      <c r="B27989" s="8" t="str">
        <f>HYPERLINK("https://twitter.com/Zamriardi2","@Zamriardi2")</f>
        <v>@Zamriardi2</v>
      </c>
      <c r="C27989" s="8" t="s">
        <v>10612</v>
      </c>
      <c r="D27989" s="8">
        <v>20</v>
      </c>
      <c r="E27989" s="8">
        <v>0</v>
      </c>
      <c r="F27989" s="8">
        <v>11</v>
      </c>
    </row>
    <row r="27990" spans="1:6" ht="12.75">
      <c r="A27990" s="8">
        <v>43891.923182870371</v>
      </c>
      <c r="B27990" s="8" t="str">
        <f>HYPERLINK("https://twitter.com/7endralKad_run","@7endralKad_run")</f>
        <v>@7endralKad_run</v>
      </c>
      <c r="C27990" s="8" t="s">
        <v>10613</v>
      </c>
      <c r="D27990" s="8">
        <v>1</v>
      </c>
      <c r="E27990" s="8">
        <v>0</v>
      </c>
      <c r="F27990" s="8">
        <v>775</v>
      </c>
    </row>
    <row r="27991" spans="1:6" ht="12.75">
      <c r="A27991" s="8">
        <v>43891.923171296294</v>
      </c>
      <c r="B27991" s="8" t="str">
        <f t="shared" ref="B27991:B27992" si="380">HYPERLINK("https://twitter.com/sirajapadoha","@sirajapadoha")</f>
        <v>@sirajapadoha</v>
      </c>
      <c r="C27991" s="8" t="s">
        <v>10614</v>
      </c>
      <c r="D27991" s="8">
        <v>2</v>
      </c>
      <c r="E27991" s="8">
        <v>0</v>
      </c>
      <c r="F27991" s="8">
        <v>2476</v>
      </c>
    </row>
    <row r="27992" spans="1:6" ht="12.75">
      <c r="A27992" s="8">
        <v>43891.923136574071</v>
      </c>
      <c r="B27992" s="8" t="str">
        <f t="shared" si="380"/>
        <v>@sirajapadoha</v>
      </c>
      <c r="C27992" s="8" t="s">
        <v>10615</v>
      </c>
      <c r="D27992" s="8">
        <v>2</v>
      </c>
      <c r="E27992" s="8">
        <v>0</v>
      </c>
      <c r="F27992" s="8">
        <v>2476</v>
      </c>
    </row>
    <row r="27993" spans="1:6" ht="12.75">
      <c r="A27993" s="8">
        <v>43891.923125000001</v>
      </c>
      <c r="B27993" s="8" t="str">
        <f>HYPERLINK("https://twitter.com/panggilkepuluu","@panggilkepuluu")</f>
        <v>@panggilkepuluu</v>
      </c>
      <c r="C27993" s="8" t="s">
        <v>10526</v>
      </c>
      <c r="D27993" s="8">
        <v>4</v>
      </c>
      <c r="E27993" s="8">
        <v>0</v>
      </c>
      <c r="F27993" s="8">
        <v>739</v>
      </c>
    </row>
    <row r="27994" spans="1:6" ht="12.75">
      <c r="A27994" s="8">
        <v>43891.923101851848</v>
      </c>
      <c r="B27994" s="8" t="str">
        <f>HYPERLINK("https://twitter.com/tua_serdadu","@tua_serdadu")</f>
        <v>@tua_serdadu</v>
      </c>
      <c r="C27994" s="8" t="s">
        <v>10616</v>
      </c>
      <c r="D27994" s="8">
        <v>3</v>
      </c>
      <c r="E27994" s="8">
        <v>0</v>
      </c>
      <c r="F27994" s="8">
        <v>1055</v>
      </c>
    </row>
    <row r="27995" spans="1:6" ht="12.75">
      <c r="A27995" s="8">
        <v>43891.923101851848</v>
      </c>
      <c r="B27995" s="8" t="str">
        <f>HYPERLINK("https://twitter.com/7endralKad_run","@7endralKad_run")</f>
        <v>@7endralKad_run</v>
      </c>
      <c r="C27995" s="8" t="s">
        <v>10615</v>
      </c>
      <c r="D27995" s="8">
        <v>2</v>
      </c>
      <c r="E27995" s="8">
        <v>0</v>
      </c>
      <c r="F27995" s="8">
        <v>775</v>
      </c>
    </row>
    <row r="27996" spans="1:6" ht="12.75">
      <c r="A27996" s="8">
        <v>43891.923055555555</v>
      </c>
      <c r="B27996" s="8" t="str">
        <f>HYPERLINK("https://twitter.com/panggilkepuluu","@panggilkepuluu")</f>
        <v>@panggilkepuluu</v>
      </c>
      <c r="C27996" s="8" t="s">
        <v>5803</v>
      </c>
      <c r="D27996" s="8">
        <v>10</v>
      </c>
      <c r="E27996" s="8">
        <v>0</v>
      </c>
      <c r="F27996" s="8">
        <v>739</v>
      </c>
    </row>
    <row r="27997" spans="1:6" ht="12.75">
      <c r="A27997" s="8">
        <v>43891.923020833332</v>
      </c>
      <c r="B27997" s="8" t="str">
        <f>HYPERLINK("https://twitter.com/ForianaToto","@ForianaToto")</f>
        <v>@ForianaToto</v>
      </c>
      <c r="C27997" s="8" t="s">
        <v>10375</v>
      </c>
      <c r="D27997" s="8">
        <v>3</v>
      </c>
      <c r="E27997" s="8">
        <v>0</v>
      </c>
      <c r="F27997" s="8">
        <v>652</v>
      </c>
    </row>
    <row r="27998" spans="1:6" ht="12.75">
      <c r="A27998" s="8">
        <v>43891.922997685186</v>
      </c>
      <c r="B27998" s="8" t="str">
        <f>HYPERLINK("https://twitter.com/danisurya_putra","@danisurya_putra")</f>
        <v>@danisurya_putra</v>
      </c>
      <c r="C27998" s="8" t="s">
        <v>10577</v>
      </c>
      <c r="D27998" s="8">
        <v>75</v>
      </c>
      <c r="E27998" s="8">
        <v>0</v>
      </c>
      <c r="F27998" s="8">
        <v>23</v>
      </c>
    </row>
    <row r="27999" spans="1:6" ht="12.75">
      <c r="A27999" s="8">
        <v>43891.922986111109</v>
      </c>
      <c r="B27999" s="8" t="str">
        <f>HYPERLINK("https://twitter.com/panggilkepuluu","@panggilkepuluu")</f>
        <v>@panggilkepuluu</v>
      </c>
      <c r="C27999" s="8" t="s">
        <v>10617</v>
      </c>
      <c r="D27999" s="8">
        <v>2</v>
      </c>
      <c r="E27999" s="8">
        <v>0</v>
      </c>
      <c r="F27999" s="8">
        <v>739</v>
      </c>
    </row>
    <row r="28000" spans="1:6" ht="12.75">
      <c r="A28000" s="8">
        <v>43891.922974537039</v>
      </c>
      <c r="B28000" s="8" t="str">
        <f>HYPERLINK("https://twitter.com/waieentiou","@waieentiou")</f>
        <v>@waieentiou</v>
      </c>
      <c r="C28000" s="8" t="s">
        <v>9130</v>
      </c>
      <c r="D28000" s="8">
        <v>168</v>
      </c>
      <c r="E28000" s="8">
        <v>0</v>
      </c>
      <c r="F28000" s="8">
        <v>231</v>
      </c>
    </row>
    <row r="28001" spans="1:6" ht="12.75">
      <c r="A28001" s="8">
        <v>43891.922962962963</v>
      </c>
      <c r="B28001" s="8" t="str">
        <f>HYPERLINK("https://twitter.com/LeoSiraitGondro","@LeoSiraitGondro")</f>
        <v>@LeoSiraitGondro</v>
      </c>
      <c r="C28001" s="8" t="s">
        <v>2199</v>
      </c>
      <c r="D28001" s="8">
        <v>599</v>
      </c>
      <c r="E28001" s="8">
        <v>0</v>
      </c>
      <c r="F28001" s="8">
        <v>278</v>
      </c>
    </row>
    <row r="28002" spans="1:6" ht="12.75">
      <c r="A28002" s="8">
        <v>43891.922939814816</v>
      </c>
      <c r="B28002" s="8" t="str">
        <f>HYPERLINK("https://twitter.com/ResintaSitio","@ResintaSitio")</f>
        <v>@ResintaSitio</v>
      </c>
      <c r="C28002" s="8" t="s">
        <v>2199</v>
      </c>
      <c r="D28002" s="8">
        <v>599</v>
      </c>
      <c r="E28002" s="8">
        <v>0</v>
      </c>
      <c r="F28002" s="8">
        <v>1335</v>
      </c>
    </row>
    <row r="28003" spans="1:6" ht="12.75">
      <c r="A28003" s="8">
        <v>43891.92292824074</v>
      </c>
      <c r="B28003" s="8" t="str">
        <f>HYPERLINK("https://twitter.com/7endralKad_run","@7endralKad_run")</f>
        <v>@7endralKad_run</v>
      </c>
      <c r="C28003" s="8" t="s">
        <v>10618</v>
      </c>
      <c r="D28003" s="8">
        <v>1</v>
      </c>
      <c r="E28003" s="8">
        <v>1</v>
      </c>
      <c r="F28003" s="8">
        <v>775</v>
      </c>
    </row>
    <row r="28004" spans="1:6" ht="12.75">
      <c r="A28004" s="8">
        <v>43891.922847222224</v>
      </c>
      <c r="B28004" s="8" t="str">
        <f>HYPERLINK("https://twitter.com/Jchengky1","@Jchengky1")</f>
        <v>@Jchengky1</v>
      </c>
      <c r="C28004" s="8" t="s">
        <v>2199</v>
      </c>
      <c r="D28004" s="8">
        <v>599</v>
      </c>
      <c r="E28004" s="8">
        <v>0</v>
      </c>
      <c r="F28004" s="8">
        <v>213</v>
      </c>
    </row>
    <row r="28005" spans="1:6" ht="12.75">
      <c r="A28005" s="8">
        <v>43891.922777777778</v>
      </c>
      <c r="B28005" s="8" t="str">
        <f>HYPERLINK("https://twitter.com/suradiparlan5","@suradiparlan5")</f>
        <v>@suradiparlan5</v>
      </c>
      <c r="C28005" s="8" t="s">
        <v>8190</v>
      </c>
      <c r="D28005" s="8">
        <v>282</v>
      </c>
      <c r="E28005" s="8">
        <v>0</v>
      </c>
      <c r="F28005" s="8">
        <v>1391</v>
      </c>
    </row>
    <row r="28006" spans="1:6" ht="12.75">
      <c r="A28006" s="8">
        <v>43891.922766203701</v>
      </c>
      <c r="B28006" s="8" t="str">
        <f>HYPERLINK("https://twitter.com/ISIS_Balik_NO","@ISIS_Balik_NO")</f>
        <v>@ISIS_Balik_NO</v>
      </c>
      <c r="C28006" s="8" t="s">
        <v>10619</v>
      </c>
      <c r="D28006" s="8">
        <v>524</v>
      </c>
      <c r="E28006" s="8">
        <v>0</v>
      </c>
      <c r="F28006" s="8">
        <v>6090</v>
      </c>
    </row>
    <row r="28007" spans="1:6" ht="12.75">
      <c r="A28007" s="8">
        <v>43891.922731481478</v>
      </c>
      <c r="B28007" s="8" t="str">
        <f>HYPERLINK("https://twitter.com/tua_serdadu","@tua_serdadu")</f>
        <v>@tua_serdadu</v>
      </c>
      <c r="C28007" s="8" t="s">
        <v>10620</v>
      </c>
      <c r="D28007" s="8">
        <v>2</v>
      </c>
      <c r="E28007" s="8">
        <v>0</v>
      </c>
      <c r="F28007" s="8">
        <v>1055</v>
      </c>
    </row>
    <row r="28008" spans="1:6" ht="12.75">
      <c r="A28008" s="8">
        <v>43891.922673611116</v>
      </c>
      <c r="B28008" s="8" t="str">
        <f>HYPERLINK("https://twitter.com/kentangcrispyy","@kentangcrispyy")</f>
        <v>@kentangcrispyy</v>
      </c>
      <c r="C28008" s="8" t="s">
        <v>2272</v>
      </c>
      <c r="D28008" s="8">
        <v>839</v>
      </c>
      <c r="E28008" s="8">
        <v>0</v>
      </c>
      <c r="F28008" s="8">
        <v>388</v>
      </c>
    </row>
    <row r="28009" spans="1:6" ht="12.75">
      <c r="A28009" s="8">
        <v>43891.922638888893</v>
      </c>
      <c r="B28009" s="8" t="str">
        <f>HYPERLINK("https://twitter.com/tua_serdadu","@tua_serdadu")</f>
        <v>@tua_serdadu</v>
      </c>
      <c r="C28009" s="8" t="s">
        <v>10621</v>
      </c>
      <c r="D28009" s="8">
        <v>3</v>
      </c>
      <c r="E28009" s="8">
        <v>0</v>
      </c>
      <c r="F28009" s="8">
        <v>1055</v>
      </c>
    </row>
    <row r="28010" spans="1:6" ht="12.75">
      <c r="A28010" s="8">
        <v>43891.92260416667</v>
      </c>
      <c r="B28010" s="8" t="str">
        <f>HYPERLINK("https://twitter.com/DeadlockHeaven","@DeadlockHeaven")</f>
        <v>@DeadlockHeaven</v>
      </c>
      <c r="C28010" s="8" t="s">
        <v>2199</v>
      </c>
      <c r="D28010" s="8">
        <v>599</v>
      </c>
      <c r="E28010" s="8">
        <v>0</v>
      </c>
      <c r="F28010" s="8">
        <v>6562</v>
      </c>
    </row>
    <row r="28011" spans="1:6" ht="12.75">
      <c r="A28011" s="8">
        <v>43891.92260416667</v>
      </c>
      <c r="B28011" s="8" t="str">
        <f>HYPERLINK("https://twitter.com/IndonesiaThemis","@IndonesiaThemis")</f>
        <v>@IndonesiaThemis</v>
      </c>
      <c r="C28011" s="8" t="s">
        <v>10375</v>
      </c>
      <c r="D28011" s="8">
        <v>3</v>
      </c>
      <c r="E28011" s="8">
        <v>0</v>
      </c>
      <c r="F28011" s="8">
        <v>4374</v>
      </c>
    </row>
    <row r="28012" spans="1:6" ht="12.75">
      <c r="A28012" s="8">
        <v>43891.922581018516</v>
      </c>
      <c r="B28012" s="8" t="str">
        <f>HYPERLINK("https://twitter.com/LordExplosion0","@LordExplosion0")</f>
        <v>@LordExplosion0</v>
      </c>
      <c r="C28012" s="8" t="s">
        <v>6542</v>
      </c>
      <c r="D28012" s="8">
        <v>101</v>
      </c>
      <c r="E28012" s="8">
        <v>0</v>
      </c>
      <c r="F28012" s="8">
        <v>8</v>
      </c>
    </row>
    <row r="28013" spans="1:6" ht="12.75">
      <c r="A28013" s="8">
        <v>43891.922523148147</v>
      </c>
      <c r="B28013" s="8" t="str">
        <f>HYPERLINK("https://twitter.com/usirro","@usirro")</f>
        <v>@usirro</v>
      </c>
      <c r="C28013" s="8" t="s">
        <v>10399</v>
      </c>
      <c r="D28013" s="8">
        <v>10</v>
      </c>
      <c r="E28013" s="8">
        <v>0</v>
      </c>
      <c r="F28013" s="8">
        <v>1056</v>
      </c>
    </row>
    <row r="28014" spans="1:6" ht="12.75">
      <c r="A28014" s="8">
        <v>43891.922500000001</v>
      </c>
      <c r="B28014" s="8" t="str">
        <f>HYPERLINK("https://twitter.com/perhatiandarimu","@perhatiandarimu")</f>
        <v>@perhatiandarimu</v>
      </c>
      <c r="C28014" s="8" t="s">
        <v>2199</v>
      </c>
      <c r="D28014" s="8">
        <v>599</v>
      </c>
      <c r="E28014" s="8">
        <v>0</v>
      </c>
      <c r="F28014" s="8">
        <v>13</v>
      </c>
    </row>
    <row r="28015" spans="1:6" ht="12.75">
      <c r="A28015" s="8">
        <v>43891.922488425931</v>
      </c>
      <c r="B28015" s="8" t="str">
        <f>HYPERLINK("https://twitter.com/wni_jmsri","@wni_jmsri")</f>
        <v>@wni_jmsri</v>
      </c>
      <c r="C28015" s="8" t="s">
        <v>10622</v>
      </c>
      <c r="D28015" s="8">
        <v>0</v>
      </c>
      <c r="E28015" s="8">
        <v>0</v>
      </c>
      <c r="F28015" s="8">
        <v>202</v>
      </c>
    </row>
    <row r="28016" spans="1:6" ht="12.75">
      <c r="A28016" s="8">
        <v>43891.922465277778</v>
      </c>
      <c r="B28016" s="8" t="str">
        <f>HYPERLINK("https://twitter.com/ozoewii_","@ozoewii_")</f>
        <v>@ozoewii_</v>
      </c>
      <c r="C28016" s="8" t="s">
        <v>10399</v>
      </c>
      <c r="D28016" s="8">
        <v>10</v>
      </c>
      <c r="E28016" s="8">
        <v>0</v>
      </c>
      <c r="F28016" s="8">
        <v>3</v>
      </c>
    </row>
    <row r="28017" spans="1:6" ht="12.75">
      <c r="A28017" s="8">
        <v>43891.922453703708</v>
      </c>
      <c r="B28017" s="8" t="str">
        <f>HYPERLINK("https://twitter.com/septisw_","@septisw_")</f>
        <v>@septisw_</v>
      </c>
      <c r="C28017" s="8" t="s">
        <v>3850</v>
      </c>
      <c r="D28017" s="8">
        <v>732</v>
      </c>
      <c r="E28017" s="8">
        <v>0</v>
      </c>
      <c r="F28017" s="8">
        <v>132</v>
      </c>
    </row>
    <row r="28018" spans="1:6" ht="12.75">
      <c r="A28018" s="8">
        <v>43891.922384259262</v>
      </c>
      <c r="B28018" s="8" t="str">
        <f>HYPERLINK("https://twitter.com/Edvangelion_","@Edvangelion_")</f>
        <v>@Edvangelion_</v>
      </c>
      <c r="C28018" s="8" t="s">
        <v>10577</v>
      </c>
      <c r="D28018" s="8">
        <v>75</v>
      </c>
      <c r="E28018" s="8">
        <v>0</v>
      </c>
      <c r="F28018" s="8">
        <v>295</v>
      </c>
    </row>
    <row r="28019" spans="1:6" ht="12.75">
      <c r="A28019" s="8">
        <v>43891.922337962962</v>
      </c>
      <c r="B28019" s="8" t="str">
        <f>HYPERLINK("https://twitter.com/tua_serdadu","@tua_serdadu")</f>
        <v>@tua_serdadu</v>
      </c>
      <c r="C28019" s="8" t="s">
        <v>10288</v>
      </c>
      <c r="D28019" s="8">
        <v>9</v>
      </c>
      <c r="E28019" s="8">
        <v>0</v>
      </c>
      <c r="F28019" s="8">
        <v>1055</v>
      </c>
    </row>
    <row r="28020" spans="1:6" ht="12.75">
      <c r="A28020" s="8">
        <v>43891.922291666662</v>
      </c>
      <c r="B28020" s="8" t="str">
        <f>HYPERLINK("https://twitter.com/aya_ddt","@aya_ddt")</f>
        <v>@aya_ddt</v>
      </c>
      <c r="C28020" s="8" t="s">
        <v>2199</v>
      </c>
      <c r="D28020" s="8">
        <v>599</v>
      </c>
      <c r="E28020" s="8">
        <v>0</v>
      </c>
      <c r="F28020" s="8">
        <v>436</v>
      </c>
    </row>
    <row r="28021" spans="1:6" ht="12.75">
      <c r="A28021" s="8">
        <v>43891.922210648147</v>
      </c>
      <c r="B28021" s="8" t="str">
        <f>HYPERLINK("https://twitter.com/C_AjiMahameru52","@C_AjiMahameru52")</f>
        <v>@C_AjiMahameru52</v>
      </c>
      <c r="C28021" s="8" t="s">
        <v>10568</v>
      </c>
      <c r="D28021" s="8">
        <v>32</v>
      </c>
      <c r="E28021" s="8">
        <v>0</v>
      </c>
      <c r="F28021" s="8">
        <v>3115</v>
      </c>
    </row>
    <row r="28022" spans="1:6" ht="12.75">
      <c r="A28022" s="8">
        <v>43891.922210648147</v>
      </c>
      <c r="B28022" s="8" t="str">
        <f>HYPERLINK("https://twitter.com/ISIS_Balik_NO","@ISIS_Balik_NO")</f>
        <v>@ISIS_Balik_NO</v>
      </c>
      <c r="C28022" s="8" t="s">
        <v>10623</v>
      </c>
      <c r="D28022" s="8">
        <v>0</v>
      </c>
      <c r="E28022" s="8">
        <v>0</v>
      </c>
      <c r="F28022" s="8">
        <v>6090</v>
      </c>
    </row>
    <row r="28023" spans="1:6" ht="12.75">
      <c r="A28023" s="8">
        <v>43891.9221875</v>
      </c>
      <c r="B28023" s="8" t="str">
        <f>HYPERLINK("https://twitter.com/neocyclopentana","@neocyclopentana")</f>
        <v>@neocyclopentana</v>
      </c>
      <c r="C28023" s="8" t="s">
        <v>9587</v>
      </c>
      <c r="D28023" s="8">
        <v>85</v>
      </c>
      <c r="E28023" s="8">
        <v>0</v>
      </c>
      <c r="F28023" s="8">
        <v>276</v>
      </c>
    </row>
    <row r="28024" spans="1:6" ht="12.75">
      <c r="A28024" s="8">
        <v>43891.922152777777</v>
      </c>
      <c r="B28024" s="8" t="str">
        <f>HYPERLINK("https://twitter.com/hamka_sutra","@hamka_sutra")</f>
        <v>@hamka_sutra</v>
      </c>
      <c r="C28024" s="8" t="s">
        <v>10624</v>
      </c>
      <c r="D28024" s="8">
        <v>3</v>
      </c>
      <c r="E28024" s="8">
        <v>7</v>
      </c>
      <c r="F28024" s="8">
        <v>9992</v>
      </c>
    </row>
    <row r="28025" spans="1:6" ht="12.75">
      <c r="A28025" s="8">
        <v>43891.921990740739</v>
      </c>
      <c r="B28025" s="8" t="str">
        <f>HYPERLINK("https://twitter.com/seungnia","@seungnia")</f>
        <v>@seungnia</v>
      </c>
      <c r="C28025" s="8" t="s">
        <v>2199</v>
      </c>
      <c r="D28025" s="8">
        <v>599</v>
      </c>
      <c r="E28025" s="8">
        <v>0</v>
      </c>
      <c r="F28025" s="8">
        <v>423</v>
      </c>
    </row>
    <row r="28026" spans="1:6" ht="12.75">
      <c r="A28026" s="8">
        <v>43891.921990740739</v>
      </c>
      <c r="B28026" s="8" t="str">
        <f>HYPERLINK("https://twitter.com/saepudin1000","@saepudin1000")</f>
        <v>@saepudin1000</v>
      </c>
      <c r="C28026" s="8" t="s">
        <v>10625</v>
      </c>
      <c r="D28026" s="8">
        <v>0</v>
      </c>
      <c r="E28026" s="8">
        <v>0</v>
      </c>
      <c r="F28026" s="8">
        <v>390</v>
      </c>
    </row>
    <row r="28027" spans="1:6" ht="12.75">
      <c r="A28027" s="8">
        <v>43891.921932870369</v>
      </c>
      <c r="B28027" s="8" t="str">
        <f>HYPERLINK("https://twitter.com/Tauffannn","@Tauffannn")</f>
        <v>@Tauffannn</v>
      </c>
      <c r="C28027" s="8" t="s">
        <v>10626</v>
      </c>
      <c r="D28027" s="8">
        <v>7</v>
      </c>
      <c r="E28027" s="8">
        <v>0</v>
      </c>
      <c r="F28027" s="8">
        <v>2625</v>
      </c>
    </row>
    <row r="28028" spans="1:6" ht="12.75">
      <c r="A28028" s="8">
        <v>43891.921875</v>
      </c>
      <c r="B28028" s="8" t="str">
        <f>HYPERLINK("https://twitter.com/JM_Bloh__4ever","@JM_Bloh__4ever")</f>
        <v>@JM_Bloh__4ever</v>
      </c>
      <c r="C28028" s="8" t="s">
        <v>10295</v>
      </c>
      <c r="D28028" s="8">
        <v>31</v>
      </c>
      <c r="E28028" s="8">
        <v>0</v>
      </c>
      <c r="F28028" s="8">
        <v>858</v>
      </c>
    </row>
    <row r="28029" spans="1:6" ht="12.75">
      <c r="A28029" s="8">
        <v>43891.92186342593</v>
      </c>
      <c r="B28029" s="8" t="str">
        <f>HYPERLINK("https://twitter.com/AgoesAguss","@AgoesAguss")</f>
        <v>@AgoesAguss</v>
      </c>
      <c r="C28029" s="8" t="s">
        <v>10627</v>
      </c>
      <c r="D28029" s="8">
        <v>0</v>
      </c>
      <c r="E28029" s="8">
        <v>0</v>
      </c>
      <c r="F28029" s="8">
        <v>1375</v>
      </c>
    </row>
    <row r="28030" spans="1:6" ht="12.75">
      <c r="A28030" s="8">
        <v>43891.921770833331</v>
      </c>
      <c r="B28030" s="8" t="str">
        <f>HYPERLINK("https://twitter.com/triwasono70","@triwasono70")</f>
        <v>@triwasono70</v>
      </c>
      <c r="C28030" s="8" t="s">
        <v>10568</v>
      </c>
      <c r="D28030" s="8">
        <v>32</v>
      </c>
      <c r="E28030" s="8">
        <v>0</v>
      </c>
      <c r="F28030" s="8">
        <v>5661</v>
      </c>
    </row>
    <row r="28031" spans="1:6" ht="12.75">
      <c r="A28031" s="8">
        <v>43891.921770833331</v>
      </c>
      <c r="B28031" s="8" t="str">
        <f>HYPERLINK("https://twitter.com/Purwant81256015","@Purwant81256015")</f>
        <v>@Purwant81256015</v>
      </c>
      <c r="C28031" s="8" t="s">
        <v>10246</v>
      </c>
      <c r="D28031" s="8">
        <v>13</v>
      </c>
      <c r="E28031" s="8">
        <v>0</v>
      </c>
      <c r="F28031" s="8">
        <v>65</v>
      </c>
    </row>
    <row r="28032" spans="1:6" ht="12.75">
      <c r="A28032" s="8">
        <v>43891.921770833331</v>
      </c>
      <c r="B28032" s="8" t="str">
        <f>HYPERLINK("https://twitter.com/syarifptk","@syarifptk")</f>
        <v>@syarifptk</v>
      </c>
      <c r="C28032" s="8" t="s">
        <v>9587</v>
      </c>
      <c r="D28032" s="8">
        <v>85</v>
      </c>
      <c r="E28032" s="8">
        <v>0</v>
      </c>
      <c r="F28032" s="8">
        <v>1510</v>
      </c>
    </row>
    <row r="28033" spans="1:6" ht="12.75">
      <c r="A28033" s="8">
        <v>43891.921747685185</v>
      </c>
      <c r="B28033" s="8" t="str">
        <f>HYPERLINK("https://twitter.com/allanespe","@allanespe")</f>
        <v>@allanespe</v>
      </c>
      <c r="C28033" s="8" t="s">
        <v>10174</v>
      </c>
      <c r="D28033" s="8">
        <v>7</v>
      </c>
      <c r="E28033" s="8">
        <v>0</v>
      </c>
      <c r="F28033" s="8">
        <v>8686</v>
      </c>
    </row>
    <row r="28034" spans="1:6" ht="12.75">
      <c r="A28034" s="8">
        <v>43891.921724537038</v>
      </c>
      <c r="B28034" s="8" t="str">
        <f>HYPERLINK("https://twitter.com/ISIS_Balik_NO","@ISIS_Balik_NO")</f>
        <v>@ISIS_Balik_NO</v>
      </c>
      <c r="C28034" s="8" t="s">
        <v>10628</v>
      </c>
      <c r="D28034" s="8">
        <v>0</v>
      </c>
      <c r="E28034" s="8">
        <v>0</v>
      </c>
      <c r="F28034" s="8">
        <v>6090</v>
      </c>
    </row>
    <row r="28035" spans="1:6" ht="12.75">
      <c r="A28035" s="8">
        <v>43891.921643518523</v>
      </c>
      <c r="B28035" s="8" t="str">
        <f>HYPERLINK("https://twitter.com/lulukhodijah","@lulukhodijah")</f>
        <v>@lulukhodijah</v>
      </c>
      <c r="C28035" s="8" t="s">
        <v>10510</v>
      </c>
      <c r="D28035" s="8">
        <v>22</v>
      </c>
      <c r="E28035" s="8">
        <v>0</v>
      </c>
      <c r="F28035" s="8">
        <v>1702</v>
      </c>
    </row>
    <row r="28036" spans="1:6" ht="12.75">
      <c r="A28036" s="8">
        <v>43891.9216087963</v>
      </c>
      <c r="B28036" s="8" t="str">
        <f>HYPERLINK("https://twitter.com/akuluka","@akuluka")</f>
        <v>@akuluka</v>
      </c>
      <c r="C28036" s="8" t="s">
        <v>3648</v>
      </c>
      <c r="D28036" s="8">
        <v>48</v>
      </c>
      <c r="E28036" s="8">
        <v>0</v>
      </c>
      <c r="F28036" s="8">
        <v>1738</v>
      </c>
    </row>
    <row r="28037" spans="1:6" ht="12.75">
      <c r="A28037" s="8">
        <v>43891.9216087963</v>
      </c>
      <c r="B28037" s="8" t="str">
        <f>HYPERLINK("https://twitter.com/Caz04628308","@Caz04628308")</f>
        <v>@Caz04628308</v>
      </c>
      <c r="C28037" s="8" t="s">
        <v>10399</v>
      </c>
      <c r="D28037" s="8">
        <v>10</v>
      </c>
      <c r="E28037" s="8">
        <v>0</v>
      </c>
      <c r="F28037" s="8">
        <v>1</v>
      </c>
    </row>
    <row r="28038" spans="1:6" ht="12.75">
      <c r="A28038" s="8">
        <v>43891.921493055561</v>
      </c>
      <c r="B28038" s="8" t="str">
        <f>HYPERLINK("https://twitter.com/ekinung","@ekinung")</f>
        <v>@ekinung</v>
      </c>
      <c r="C28038" s="8" t="s">
        <v>2199</v>
      </c>
      <c r="D28038" s="8">
        <v>599</v>
      </c>
      <c r="E28038" s="8">
        <v>0</v>
      </c>
      <c r="F28038" s="8">
        <v>93</v>
      </c>
    </row>
    <row r="28039" spans="1:6" ht="12.75">
      <c r="A28039" s="8">
        <v>43891.921469907407</v>
      </c>
      <c r="B28039" s="8" t="str">
        <f>HYPERLINK("https://twitter.com/Girinaldi3","@Girinaldi3")</f>
        <v>@Girinaldi3</v>
      </c>
      <c r="C28039" s="8" t="s">
        <v>10295</v>
      </c>
      <c r="D28039" s="8">
        <v>31</v>
      </c>
      <c r="E28039" s="8">
        <v>0</v>
      </c>
      <c r="F28039" s="8">
        <v>287</v>
      </c>
    </row>
    <row r="28040" spans="1:6" ht="12.75">
      <c r="A28040" s="8">
        <v>43891.921446759261</v>
      </c>
      <c r="B28040" s="8" t="str">
        <f>HYPERLINK("https://twitter.com/kaklentii","@kaklentii")</f>
        <v>@kaklentii</v>
      </c>
      <c r="C28040" s="8" t="s">
        <v>10629</v>
      </c>
      <c r="D28040" s="8">
        <v>0</v>
      </c>
      <c r="E28040" s="8">
        <v>0</v>
      </c>
      <c r="F28040" s="8">
        <v>152</v>
      </c>
    </row>
    <row r="28041" spans="1:6" ht="12.75">
      <c r="A28041" s="8">
        <v>43891.921435185184</v>
      </c>
      <c r="B28041" s="8" t="str">
        <f>HYPERLINK("https://twitter.com/ISIS_Balik_NO","@ISIS_Balik_NO")</f>
        <v>@ISIS_Balik_NO</v>
      </c>
      <c r="C28041" s="8" t="s">
        <v>10630</v>
      </c>
      <c r="D28041" s="8">
        <v>280</v>
      </c>
      <c r="E28041" s="8">
        <v>0</v>
      </c>
      <c r="F28041" s="8">
        <v>6090</v>
      </c>
    </row>
    <row r="28042" spans="1:6" ht="12.75">
      <c r="A28042" s="8">
        <v>43891.921435185184</v>
      </c>
      <c r="B28042" s="8" t="str">
        <f>HYPERLINK("https://twitter.com/fitratama","@fitratama")</f>
        <v>@fitratama</v>
      </c>
      <c r="C28042" s="8" t="s">
        <v>10631</v>
      </c>
      <c r="D28042" s="8">
        <v>0</v>
      </c>
      <c r="E28042" s="8">
        <v>0</v>
      </c>
      <c r="F28042" s="8">
        <v>415</v>
      </c>
    </row>
    <row r="28043" spans="1:6" ht="12.75">
      <c r="A28043" s="8">
        <v>43891.921423611115</v>
      </c>
      <c r="B28043" s="8" t="str">
        <f>HYPERLINK("https://twitter.com/triwasono70","@triwasono70")</f>
        <v>@triwasono70</v>
      </c>
      <c r="C28043" s="8" t="s">
        <v>10174</v>
      </c>
      <c r="D28043" s="8">
        <v>7</v>
      </c>
      <c r="E28043" s="8">
        <v>0</v>
      </c>
      <c r="F28043" s="8">
        <v>5661</v>
      </c>
    </row>
    <row r="28044" spans="1:6" ht="12.75">
      <c r="A28044" s="8">
        <v>43891.921284722222</v>
      </c>
      <c r="B28044" s="8" t="str">
        <f>HYPERLINK("https://twitter.com/syarifptk","@syarifptk")</f>
        <v>@syarifptk</v>
      </c>
      <c r="C28044" s="8" t="s">
        <v>9130</v>
      </c>
      <c r="D28044" s="8">
        <v>168</v>
      </c>
      <c r="E28044" s="8">
        <v>0</v>
      </c>
      <c r="F28044" s="8">
        <v>1510</v>
      </c>
    </row>
    <row r="28045" spans="1:6" ht="12.75">
      <c r="A28045" s="8">
        <v>43891.921261574069</v>
      </c>
      <c r="B28045" s="8" t="str">
        <f>HYPERLINK("https://twitter.com/7endralKad_run","@7endralKad_run")</f>
        <v>@7endralKad_run</v>
      </c>
      <c r="C28045" s="8" t="s">
        <v>10632</v>
      </c>
      <c r="D28045" s="8">
        <v>2</v>
      </c>
      <c r="E28045" s="8">
        <v>1</v>
      </c>
      <c r="F28045" s="8">
        <v>775</v>
      </c>
    </row>
    <row r="28046" spans="1:6" ht="12.75">
      <c r="A28046" s="8">
        <v>43891.921249999999</v>
      </c>
      <c r="B28046" s="8" t="str">
        <f>HYPERLINK("https://twitter.com/Oktav_Kendar","@Oktav_Kendar")</f>
        <v>@Oktav_Kendar</v>
      </c>
      <c r="C28046" s="8" t="s">
        <v>2199</v>
      </c>
      <c r="D28046" s="8">
        <v>599</v>
      </c>
      <c r="E28046" s="8">
        <v>0</v>
      </c>
      <c r="F28046" s="8">
        <v>233</v>
      </c>
    </row>
    <row r="28047" spans="1:6" ht="12.75">
      <c r="A28047" s="8">
        <v>43891.92119212963</v>
      </c>
      <c r="B28047" s="8" t="str">
        <f>HYPERLINK("https://twitter.com/rinasuparto","@rinasuparto")</f>
        <v>@rinasuparto</v>
      </c>
      <c r="C28047" s="8" t="s">
        <v>2199</v>
      </c>
      <c r="D28047" s="8">
        <v>599</v>
      </c>
      <c r="E28047" s="8">
        <v>0</v>
      </c>
      <c r="F28047" s="8">
        <v>577</v>
      </c>
    </row>
    <row r="28048" spans="1:6" ht="12.75">
      <c r="A28048" s="8">
        <v>43891.921099537038</v>
      </c>
      <c r="B28048" s="8" t="str">
        <f>HYPERLINK("https://twitter.com/Oktav_Kendar","@Oktav_Kendar")</f>
        <v>@Oktav_Kendar</v>
      </c>
      <c r="C28048" s="8" t="s">
        <v>1749</v>
      </c>
      <c r="D28048" s="8">
        <v>5</v>
      </c>
      <c r="E28048" s="8">
        <v>0</v>
      </c>
      <c r="F28048" s="8">
        <v>233</v>
      </c>
    </row>
    <row r="28049" spans="1:6" ht="12.75">
      <c r="A28049" s="8">
        <v>43891.921064814815</v>
      </c>
      <c r="B28049" s="8" t="str">
        <f>HYPERLINK("https://twitter.com/anaesterlin","@anaesterlin")</f>
        <v>@anaesterlin</v>
      </c>
      <c r="C28049" s="8" t="s">
        <v>2199</v>
      </c>
      <c r="D28049" s="8">
        <v>599</v>
      </c>
      <c r="E28049" s="8">
        <v>0</v>
      </c>
      <c r="F28049" s="8">
        <v>1886</v>
      </c>
    </row>
    <row r="28050" spans="1:6" ht="12.75">
      <c r="A28050" s="8">
        <v>43891.921041666668</v>
      </c>
      <c r="B28050" s="8" t="str">
        <f>HYPERLINK("https://twitter.com/pinguingyu","@pinguingyu")</f>
        <v>@pinguingyu</v>
      </c>
      <c r="C28050" s="8" t="s">
        <v>3850</v>
      </c>
      <c r="D28050" s="8">
        <v>732</v>
      </c>
      <c r="E28050" s="8">
        <v>0</v>
      </c>
      <c r="F28050" s="8">
        <v>601</v>
      </c>
    </row>
    <row r="28051" spans="1:6" ht="12.75">
      <c r="A28051" s="8">
        <v>43891.921018518522</v>
      </c>
      <c r="B28051" s="8" t="str">
        <f>HYPERLINK("https://twitter.com/eksanarindra","@eksanarindra")</f>
        <v>@eksanarindra</v>
      </c>
      <c r="C28051" s="8" t="s">
        <v>2199</v>
      </c>
      <c r="D28051" s="8">
        <v>599</v>
      </c>
      <c r="E28051" s="8">
        <v>0</v>
      </c>
      <c r="F28051" s="8">
        <v>1069</v>
      </c>
    </row>
    <row r="28052" spans="1:6" ht="12.75">
      <c r="A28052" s="8">
        <v>43891.920995370368</v>
      </c>
      <c r="B28052" s="8" t="str">
        <f>HYPERLINK("https://twitter.com/tua_serdadu","@tua_serdadu")</f>
        <v>@tua_serdadu</v>
      </c>
      <c r="C28052" s="8" t="s">
        <v>10633</v>
      </c>
      <c r="D28052" s="8">
        <v>4</v>
      </c>
      <c r="E28052" s="8">
        <v>0</v>
      </c>
      <c r="F28052" s="8">
        <v>1055</v>
      </c>
    </row>
    <row r="28053" spans="1:6" ht="12.75">
      <c r="A28053" s="8">
        <v>43891.920983796299</v>
      </c>
      <c r="B28053" s="8" t="str">
        <f>HYPERLINK("https://twitter.com/krsnngrh","@krsnngrh")</f>
        <v>@krsnngrh</v>
      </c>
      <c r="C28053" s="8" t="s">
        <v>2199</v>
      </c>
      <c r="D28053" s="8">
        <v>599</v>
      </c>
      <c r="E28053" s="8">
        <v>0</v>
      </c>
      <c r="F28053" s="8">
        <v>923</v>
      </c>
    </row>
    <row r="28054" spans="1:6" ht="12.75">
      <c r="A28054" s="8">
        <v>43891.920960648145</v>
      </c>
      <c r="B28054" s="8" t="str">
        <f>HYPERLINK("https://twitter.com/tua_serdadu","@tua_serdadu")</f>
        <v>@tua_serdadu</v>
      </c>
      <c r="C28054" s="8" t="s">
        <v>10634</v>
      </c>
      <c r="D28054" s="8">
        <v>7</v>
      </c>
      <c r="E28054" s="8">
        <v>0</v>
      </c>
      <c r="F28054" s="8">
        <v>1055</v>
      </c>
    </row>
    <row r="28055" spans="1:6" ht="12.75">
      <c r="A28055" s="8">
        <v>43891.920925925922</v>
      </c>
      <c r="B28055" s="8" t="str">
        <f>HYPERLINK("https://twitter.com/paskal_17","@paskal_17")</f>
        <v>@paskal_17</v>
      </c>
      <c r="C28055" s="8" t="s">
        <v>2199</v>
      </c>
      <c r="D28055" s="8">
        <v>599</v>
      </c>
      <c r="E28055" s="8">
        <v>0</v>
      </c>
      <c r="F28055" s="8">
        <v>417</v>
      </c>
    </row>
    <row r="28056" spans="1:6" ht="12.75">
      <c r="A28056" s="8">
        <v>43891.920914351853</v>
      </c>
      <c r="B28056" s="8" t="str">
        <f>HYPERLINK("https://twitter.com/tua_serdadu","@tua_serdadu")</f>
        <v>@tua_serdadu</v>
      </c>
      <c r="C28056" s="8" t="s">
        <v>10635</v>
      </c>
      <c r="D28056" s="8">
        <v>7</v>
      </c>
      <c r="E28056" s="8">
        <v>0</v>
      </c>
      <c r="F28056" s="8">
        <v>1055</v>
      </c>
    </row>
    <row r="28057" spans="1:6" ht="12.75">
      <c r="A28057" s="8">
        <v>43891.92087962963</v>
      </c>
      <c r="B28057" s="8" t="str">
        <f>HYPERLINK("https://twitter.com/WildaAmalia_L","@WildaAmalia_L")</f>
        <v>@WildaAmalia_L</v>
      </c>
      <c r="C28057" s="8" t="s">
        <v>10636</v>
      </c>
      <c r="D28057" s="8">
        <v>0</v>
      </c>
      <c r="E28057" s="8">
        <v>0</v>
      </c>
      <c r="F28057" s="8">
        <v>343</v>
      </c>
    </row>
    <row r="28058" spans="1:6" ht="12.75">
      <c r="A28058" s="8">
        <v>43891.92087962963</v>
      </c>
      <c r="B28058" s="8" t="str">
        <f>HYPERLINK("https://twitter.com/Danimas19","@Danimas19")</f>
        <v>@Danimas19</v>
      </c>
      <c r="C28058" s="8" t="s">
        <v>2199</v>
      </c>
      <c r="D28058" s="8">
        <v>599</v>
      </c>
      <c r="E28058" s="8">
        <v>0</v>
      </c>
      <c r="F28058" s="8">
        <v>66</v>
      </c>
    </row>
    <row r="28059" spans="1:6" ht="12.75">
      <c r="A28059" s="8">
        <v>43891.92087962963</v>
      </c>
      <c r="B28059" s="8" t="str">
        <f>HYPERLINK("https://twitter.com/tua_serdadu","@tua_serdadu")</f>
        <v>@tua_serdadu</v>
      </c>
      <c r="C28059" s="8" t="s">
        <v>10637</v>
      </c>
      <c r="D28059" s="8">
        <v>7</v>
      </c>
      <c r="E28059" s="8">
        <v>0</v>
      </c>
      <c r="F28059" s="8">
        <v>1055</v>
      </c>
    </row>
    <row r="28060" spans="1:6" ht="12.75">
      <c r="A28060" s="8">
        <v>43891.92086805556</v>
      </c>
      <c r="B28060" s="8" t="str">
        <f>HYPERLINK("https://twitter.com/paskal_17","@paskal_17")</f>
        <v>@paskal_17</v>
      </c>
      <c r="C28060" s="8" t="s">
        <v>10617</v>
      </c>
      <c r="D28060" s="8">
        <v>2</v>
      </c>
      <c r="E28060" s="8">
        <v>0</v>
      </c>
      <c r="F28060" s="8">
        <v>417</v>
      </c>
    </row>
    <row r="28061" spans="1:6" ht="12.75">
      <c r="A28061" s="8">
        <v>43891.920787037037</v>
      </c>
      <c r="B28061" s="8" t="str">
        <f>HYPERLINK("https://twitter.com/tua_serdadu","@tua_serdadu")</f>
        <v>@tua_serdadu</v>
      </c>
      <c r="C28061" s="8" t="s">
        <v>10638</v>
      </c>
      <c r="D28061" s="8">
        <v>34</v>
      </c>
      <c r="E28061" s="8">
        <v>0</v>
      </c>
      <c r="F28061" s="8">
        <v>1055</v>
      </c>
    </row>
    <row r="28062" spans="1:6" ht="12.75">
      <c r="A28062" s="8">
        <v>43891.920729166668</v>
      </c>
      <c r="B28062" s="8" t="str">
        <f>HYPERLINK("https://twitter.com/dewi_darmawati","@dewi_darmawati")</f>
        <v>@dewi_darmawati</v>
      </c>
      <c r="C28062" s="8" t="s">
        <v>10288</v>
      </c>
      <c r="D28062" s="8">
        <v>9</v>
      </c>
      <c r="E28062" s="8">
        <v>0</v>
      </c>
      <c r="F28062" s="8">
        <v>4351</v>
      </c>
    </row>
    <row r="28063" spans="1:6" ht="12.75">
      <c r="A28063" s="8">
        <v>43891.920729166668</v>
      </c>
      <c r="B28063" s="8" t="str">
        <f>HYPERLINK("https://twitter.com/SutrisnoYohanes","@SutrisnoYohanes")</f>
        <v>@SutrisnoYohanes</v>
      </c>
      <c r="C28063" s="8" t="s">
        <v>2199</v>
      </c>
      <c r="D28063" s="8">
        <v>599</v>
      </c>
      <c r="E28063" s="8">
        <v>0</v>
      </c>
      <c r="F28063" s="8">
        <v>4878</v>
      </c>
    </row>
    <row r="28064" spans="1:6" ht="12.75">
      <c r="A28064" s="8">
        <v>43891.920694444445</v>
      </c>
      <c r="B28064" s="8" t="str">
        <f>HYPERLINK("https://twitter.com/Alam_bicara","@Alam_bicara")</f>
        <v>@Alam_bicara</v>
      </c>
      <c r="C28064" s="8" t="s">
        <v>6836</v>
      </c>
      <c r="D28064" s="8">
        <v>635</v>
      </c>
      <c r="E28064" s="8">
        <v>0</v>
      </c>
      <c r="F28064" s="8">
        <v>649</v>
      </c>
    </row>
    <row r="28065" spans="1:6" ht="12.75">
      <c r="A28065" s="8">
        <v>43891.920659722222</v>
      </c>
      <c r="B28065" s="8" t="str">
        <f>HYPERLINK("https://twitter.com/sarrikusuma","@sarrikusuma")</f>
        <v>@sarrikusuma</v>
      </c>
      <c r="C28065" s="8" t="s">
        <v>2272</v>
      </c>
      <c r="D28065" s="8">
        <v>839</v>
      </c>
      <c r="E28065" s="8">
        <v>0</v>
      </c>
      <c r="F28065" s="8">
        <v>424</v>
      </c>
    </row>
    <row r="28066" spans="1:6" ht="12.75">
      <c r="A28066" s="8">
        <v>43891.920659722222</v>
      </c>
      <c r="B28066" s="8" t="str">
        <f>HYPERLINK("https://twitter.com/Afanwicaks","@Afanwicaks")</f>
        <v>@Afanwicaks</v>
      </c>
      <c r="C28066" s="8" t="s">
        <v>3850</v>
      </c>
      <c r="D28066" s="8">
        <v>732</v>
      </c>
      <c r="E28066" s="8">
        <v>0</v>
      </c>
      <c r="F28066" s="8">
        <v>1064</v>
      </c>
    </row>
    <row r="28067" spans="1:6" ht="12.75">
      <c r="A28067" s="8">
        <v>43891.920624999999</v>
      </c>
      <c r="B28067" s="8" t="str">
        <f>HYPERLINK("https://twitter.com/TelurKanguru","@TelurKanguru")</f>
        <v>@TelurKanguru</v>
      </c>
      <c r="C28067" s="8" t="s">
        <v>2199</v>
      </c>
      <c r="D28067" s="8">
        <v>599</v>
      </c>
      <c r="E28067" s="8">
        <v>0</v>
      </c>
      <c r="F28067" s="8">
        <v>31</v>
      </c>
    </row>
    <row r="28068" spans="1:6" ht="12.75">
      <c r="A28068" s="8">
        <v>43891.920590277776</v>
      </c>
      <c r="B28068" s="8" t="str">
        <f>HYPERLINK("https://twitter.com/resyad_alby","@resyad_alby")</f>
        <v>@resyad_alby</v>
      </c>
      <c r="C28068" s="8" t="s">
        <v>3850</v>
      </c>
      <c r="D28068" s="8">
        <v>732</v>
      </c>
      <c r="E28068" s="8">
        <v>0</v>
      </c>
      <c r="F28068" s="8">
        <v>147</v>
      </c>
    </row>
    <row r="28069" spans="1:6" ht="12.75">
      <c r="A28069" s="8">
        <v>43891.920555555553</v>
      </c>
      <c r="B28069" s="8" t="str">
        <f>HYPERLINK("https://twitter.com/crueelzummer_","@crueelzummer_")</f>
        <v>@crueelzummer_</v>
      </c>
      <c r="C28069" s="8" t="s">
        <v>4990</v>
      </c>
      <c r="D28069" s="8">
        <v>99</v>
      </c>
      <c r="E28069" s="8">
        <v>0</v>
      </c>
      <c r="F28069" s="8">
        <v>586</v>
      </c>
    </row>
    <row r="28070" spans="1:6" ht="12.75">
      <c r="A28070" s="8">
        <v>43891.92052083333</v>
      </c>
      <c r="B28070" s="8" t="str">
        <f>HYPERLINK("https://twitter.com/Yadi33653534","@Yadi33653534")</f>
        <v>@Yadi33653534</v>
      </c>
      <c r="C28070" s="8" t="s">
        <v>10399</v>
      </c>
      <c r="D28070" s="8">
        <v>10</v>
      </c>
      <c r="E28070" s="8">
        <v>0</v>
      </c>
      <c r="F28070" s="8">
        <v>569</v>
      </c>
    </row>
    <row r="28071" spans="1:6" ht="12.75">
      <c r="A28071" s="8">
        <v>43891.920497685191</v>
      </c>
      <c r="B28071" s="8" t="str">
        <f>HYPERLINK("https://twitter.com/911comand","@911comand")</f>
        <v>@911comand</v>
      </c>
      <c r="C28071" s="8" t="s">
        <v>10174</v>
      </c>
      <c r="D28071" s="8">
        <v>7</v>
      </c>
      <c r="E28071" s="8">
        <v>0</v>
      </c>
      <c r="F28071" s="8">
        <v>1852</v>
      </c>
    </row>
    <row r="28072" spans="1:6" ht="12.75">
      <c r="A28072" s="8">
        <v>43891.920474537037</v>
      </c>
      <c r="B28072" s="8" t="str">
        <f>HYPERLINK("https://twitter.com/jjsengui","@jjsengui")</f>
        <v>@jjsengui</v>
      </c>
      <c r="C28072" s="8" t="s">
        <v>10616</v>
      </c>
      <c r="D28072" s="8">
        <v>3</v>
      </c>
      <c r="E28072" s="8">
        <v>0</v>
      </c>
      <c r="F28072" s="8">
        <v>855</v>
      </c>
    </row>
    <row r="28073" spans="1:6" ht="12.75">
      <c r="A28073" s="8">
        <v>43891.920266203699</v>
      </c>
      <c r="B28073" s="8" t="str">
        <f>HYPERLINK("https://twitter.com/ManumpakM","@ManumpakM")</f>
        <v>@ManumpakM</v>
      </c>
      <c r="C28073" s="8" t="s">
        <v>2199</v>
      </c>
      <c r="D28073" s="8">
        <v>599</v>
      </c>
      <c r="E28073" s="8">
        <v>0</v>
      </c>
      <c r="F28073" s="8">
        <v>11898</v>
      </c>
    </row>
    <row r="28074" spans="1:6" ht="12.75">
      <c r="A28074" s="8">
        <v>43891.920266203699</v>
      </c>
      <c r="B28074" s="8" t="str">
        <f>HYPERLINK("https://twitter.com/iapamuji","@iapamuji")</f>
        <v>@iapamuji</v>
      </c>
      <c r="C28074" s="8" t="s">
        <v>7704</v>
      </c>
      <c r="D28074" s="8">
        <v>214</v>
      </c>
      <c r="E28074" s="8">
        <v>0</v>
      </c>
      <c r="F28074" s="8">
        <v>199</v>
      </c>
    </row>
    <row r="28075" spans="1:6" ht="12.75">
      <c r="A28075" s="8">
        <v>43891.920254629629</v>
      </c>
      <c r="B28075" s="8" t="str">
        <f t="shared" ref="B28075:B28076" si="381">HYPERLINK("https://twitter.com/ngeTweetAja","@ngeTweetAja")</f>
        <v>@ngeTweetAja</v>
      </c>
      <c r="C28075" s="8" t="s">
        <v>10526</v>
      </c>
      <c r="D28075" s="8">
        <v>4</v>
      </c>
      <c r="E28075" s="8">
        <v>0</v>
      </c>
      <c r="F28075" s="8">
        <v>4328</v>
      </c>
    </row>
    <row r="28076" spans="1:6" ht="12.75">
      <c r="A28076" s="8">
        <v>43891.920219907406</v>
      </c>
      <c r="B28076" s="8" t="str">
        <f t="shared" si="381"/>
        <v>@ngeTweetAja</v>
      </c>
      <c r="C28076" s="8" t="s">
        <v>9919</v>
      </c>
      <c r="D28076" s="8">
        <v>3</v>
      </c>
      <c r="E28076" s="8">
        <v>0</v>
      </c>
      <c r="F28076" s="8">
        <v>4328</v>
      </c>
    </row>
    <row r="28077" spans="1:6" ht="12.75">
      <c r="A28077" s="8">
        <v>43891.92019675926</v>
      </c>
      <c r="B28077" s="8" t="str">
        <f>HYPERLINK("https://twitter.com/crownhunters","@crownhunters")</f>
        <v>@crownhunters</v>
      </c>
      <c r="C28077" s="8" t="s">
        <v>2199</v>
      </c>
      <c r="D28077" s="8">
        <v>599</v>
      </c>
      <c r="E28077" s="8">
        <v>0</v>
      </c>
      <c r="F28077" s="8">
        <v>1139</v>
      </c>
    </row>
    <row r="28078" spans="1:6" ht="12.75">
      <c r="A28078" s="8">
        <v>43891.920173611114</v>
      </c>
      <c r="B28078" s="8" t="str">
        <f>HYPERLINK("https://twitter.com/ngeTweetAja","@ngeTweetAja")</f>
        <v>@ngeTweetAja</v>
      </c>
      <c r="C28078" s="8" t="s">
        <v>5803</v>
      </c>
      <c r="D28078" s="8">
        <v>10</v>
      </c>
      <c r="E28078" s="8">
        <v>0</v>
      </c>
      <c r="F28078" s="8">
        <v>4328</v>
      </c>
    </row>
    <row r="28079" spans="1:6" ht="12.75">
      <c r="A28079" s="8">
        <v>43891.88181712963</v>
      </c>
      <c r="B28079" s="8" t="str">
        <f>HYPERLINK("https://twitter.com/NFilhaqq","@NFilhaqq")</f>
        <v>@NFilhaqq</v>
      </c>
      <c r="C28079" s="8" t="s">
        <v>10639</v>
      </c>
      <c r="D28079" s="8">
        <v>0</v>
      </c>
      <c r="E28079" s="8">
        <v>0</v>
      </c>
      <c r="F28079" s="8">
        <v>382</v>
      </c>
    </row>
    <row r="28080" spans="1:6" ht="12.75">
      <c r="A28080" s="8">
        <v>43891.88181712963</v>
      </c>
      <c r="B28080" s="8" t="str">
        <f>HYPERLINK("https://twitter.com/chienajm","@chienajm")</f>
        <v>@chienajm</v>
      </c>
      <c r="C28080" s="8" t="s">
        <v>10640</v>
      </c>
      <c r="D28080" s="8">
        <v>0</v>
      </c>
      <c r="E28080" s="8">
        <v>0</v>
      </c>
      <c r="F28080" s="8">
        <v>3</v>
      </c>
    </row>
    <row r="28081" spans="1:6" ht="12.75">
      <c r="A28081" s="8">
        <v>43891.881770833337</v>
      </c>
      <c r="B28081" s="8" t="str">
        <f>HYPERLINK("https://twitter.com/SilitongaEfraim","@SilitongaEfraim")</f>
        <v>@SilitongaEfraim</v>
      </c>
      <c r="C28081" s="8" t="s">
        <v>9238</v>
      </c>
      <c r="D28081" s="8">
        <v>27</v>
      </c>
      <c r="E28081" s="8">
        <v>0</v>
      </c>
      <c r="F28081" s="8">
        <v>2076</v>
      </c>
    </row>
    <row r="28082" spans="1:6" ht="12.75">
      <c r="A28082" s="8">
        <v>43891.881747685184</v>
      </c>
      <c r="B28082" s="8" t="str">
        <f>HYPERLINK("https://twitter.com/R036__r","@R036__r")</f>
        <v>@R036__r</v>
      </c>
      <c r="C28082" s="8" t="s">
        <v>10577</v>
      </c>
      <c r="D28082" s="8">
        <v>13</v>
      </c>
      <c r="E28082" s="8">
        <v>0</v>
      </c>
      <c r="F28082" s="8">
        <v>4567</v>
      </c>
    </row>
    <row r="28083" spans="1:6" ht="12.75">
      <c r="A28083" s="8">
        <v>43891.881736111114</v>
      </c>
      <c r="B28083" s="8" t="str">
        <f>HYPERLINK("https://twitter.com/astri4ndini","@astri4ndini")</f>
        <v>@astri4ndini</v>
      </c>
      <c r="C28083" s="8" t="s">
        <v>10641</v>
      </c>
      <c r="D28083" s="8">
        <v>0</v>
      </c>
      <c r="E28083" s="8">
        <v>0</v>
      </c>
      <c r="F28083" s="8">
        <v>1986</v>
      </c>
    </row>
    <row r="28084" spans="1:6" ht="12.75">
      <c r="A28084" s="8">
        <v>43891.881724537037</v>
      </c>
      <c r="B28084" s="8" t="str">
        <f>HYPERLINK("https://twitter.com/BudakBadung11","@BudakBadung11")</f>
        <v>@BudakBadung11</v>
      </c>
      <c r="C28084" s="8" t="s">
        <v>10528</v>
      </c>
      <c r="D28084" s="8">
        <v>6</v>
      </c>
      <c r="E28084" s="8">
        <v>0</v>
      </c>
      <c r="F28084" s="8">
        <v>5</v>
      </c>
    </row>
    <row r="28085" spans="1:6" ht="12.75">
      <c r="A28085" s="8">
        <v>43891.881678240738</v>
      </c>
      <c r="B28085" s="8" t="str">
        <f>HYPERLINK("https://twitter.com/firdaaul","@firdaaul")</f>
        <v>@firdaaul</v>
      </c>
      <c r="C28085" s="8" t="s">
        <v>2272</v>
      </c>
      <c r="D28085" s="8">
        <v>813</v>
      </c>
      <c r="E28085" s="8">
        <v>0</v>
      </c>
      <c r="F28085" s="8">
        <v>395</v>
      </c>
    </row>
    <row r="28086" spans="1:6" ht="12.75">
      <c r="A28086" s="8">
        <v>43891.881666666668</v>
      </c>
      <c r="B28086" s="8" t="str">
        <f>HYPERLINK("https://twitter.com/NurazizaShima","@NurazizaShima")</f>
        <v>@NurazizaShima</v>
      </c>
      <c r="C28086" s="8" t="s">
        <v>10642</v>
      </c>
      <c r="D28086" s="8">
        <v>0</v>
      </c>
      <c r="E28086" s="8">
        <v>0</v>
      </c>
      <c r="F28086" s="8">
        <v>724</v>
      </c>
    </row>
    <row r="28087" spans="1:6" ht="12.75">
      <c r="A28087" s="8">
        <v>43891.881643518514</v>
      </c>
      <c r="B28087" s="8" t="str">
        <f>HYPERLINK("https://twitter.com/RaisaSukainah","@RaisaSukainah")</f>
        <v>@RaisaSukainah</v>
      </c>
      <c r="C28087" s="8" t="s">
        <v>10643</v>
      </c>
      <c r="D28087" s="8">
        <v>0</v>
      </c>
      <c r="E28087" s="8">
        <v>0</v>
      </c>
      <c r="F28087" s="8">
        <v>368</v>
      </c>
    </row>
    <row r="28088" spans="1:6" ht="12.75">
      <c r="A28088" s="8">
        <v>43891.881643518514</v>
      </c>
      <c r="B28088" s="8" t="str">
        <f>HYPERLINK("https://twitter.com/jesuisbita","@jesuisbita")</f>
        <v>@jesuisbita</v>
      </c>
      <c r="C28088" s="8" t="s">
        <v>2199</v>
      </c>
      <c r="D28088" s="8">
        <v>296</v>
      </c>
      <c r="E28088" s="8">
        <v>0</v>
      </c>
      <c r="F28088" s="8">
        <v>963</v>
      </c>
    </row>
    <row r="28089" spans="1:6" ht="12.75">
      <c r="A28089" s="8">
        <v>43891.881597222222</v>
      </c>
      <c r="B28089" s="8" t="str">
        <f>HYPERLINK("https://twitter.com/daeraymaitri","@daeraymaitri")</f>
        <v>@daeraymaitri</v>
      </c>
      <c r="C28089" s="8" t="s">
        <v>2199</v>
      </c>
      <c r="D28089" s="8">
        <v>296</v>
      </c>
      <c r="E28089" s="8">
        <v>0</v>
      </c>
      <c r="F28089" s="8">
        <v>1040</v>
      </c>
    </row>
    <row r="28090" spans="1:6" ht="12.75">
      <c r="A28090" s="8">
        <v>43891.881516203706</v>
      </c>
      <c r="B28090" s="8" t="str">
        <f>HYPERLINK("https://twitter.com/RaisaSukainah","@RaisaSukainah")</f>
        <v>@RaisaSukainah</v>
      </c>
      <c r="C28090" s="8" t="s">
        <v>10644</v>
      </c>
      <c r="D28090" s="8">
        <v>0</v>
      </c>
      <c r="E28090" s="8">
        <v>0</v>
      </c>
      <c r="F28090" s="8">
        <v>368</v>
      </c>
    </row>
    <row r="28091" spans="1:6" ht="12.75">
      <c r="A28091" s="8">
        <v>43891.881504629629</v>
      </c>
      <c r="B28091" s="8" t="str">
        <f>HYPERLINK("https://twitter.com/trinugroho162","@trinugroho162")</f>
        <v>@trinugroho162</v>
      </c>
      <c r="C28091" s="8" t="s">
        <v>7704</v>
      </c>
      <c r="D28091" s="8">
        <v>195</v>
      </c>
      <c r="E28091" s="8">
        <v>0</v>
      </c>
      <c r="F28091" s="8">
        <v>1701</v>
      </c>
    </row>
    <row r="28092" spans="1:6" ht="12.75">
      <c r="A28092" s="8">
        <v>43891.881469907406</v>
      </c>
      <c r="B28092" s="8" t="str">
        <f>HYPERLINK("https://twitter.com/APalestin42","@APalestin42")</f>
        <v>@APalestin42</v>
      </c>
      <c r="C28092" s="8" t="s">
        <v>10435</v>
      </c>
      <c r="D28092" s="8">
        <v>2</v>
      </c>
      <c r="E28092" s="8">
        <v>0</v>
      </c>
      <c r="F28092" s="8">
        <v>311</v>
      </c>
    </row>
    <row r="28093" spans="1:6" ht="12.75">
      <c r="A28093" s="8">
        <v>43891.88145833333</v>
      </c>
      <c r="B28093" s="8" t="str">
        <f>HYPERLINK("https://twitter.com/Tanhani","@Tanhani")</f>
        <v>@Tanhani</v>
      </c>
      <c r="C28093" s="8" t="s">
        <v>2199</v>
      </c>
      <c r="D28093" s="8">
        <v>296</v>
      </c>
      <c r="E28093" s="8">
        <v>0</v>
      </c>
      <c r="F28093" s="8">
        <v>61</v>
      </c>
    </row>
    <row r="28094" spans="1:6" ht="12.75">
      <c r="A28094" s="8">
        <v>43891.881400462968</v>
      </c>
      <c r="B28094" s="8" t="str">
        <f>HYPERLINK("https://twitter.com/CastilloJoshima","@CastilloJoshima")</f>
        <v>@CastilloJoshima</v>
      </c>
      <c r="C28094" s="8" t="s">
        <v>10645</v>
      </c>
      <c r="D28094" s="8">
        <v>0</v>
      </c>
      <c r="E28094" s="8">
        <v>0</v>
      </c>
      <c r="F28094" s="8">
        <v>5438</v>
      </c>
    </row>
    <row r="28095" spans="1:6" ht="12.75">
      <c r="A28095" s="8">
        <v>43891.881388888884</v>
      </c>
      <c r="B28095" s="8" t="str">
        <f>HYPERLINK("https://twitter.com/sebuah_anagram","@sebuah_anagram")</f>
        <v>@sebuah_anagram</v>
      </c>
      <c r="C28095" s="8" t="s">
        <v>10646</v>
      </c>
      <c r="D28095" s="8">
        <v>0</v>
      </c>
      <c r="E28095" s="8">
        <v>0</v>
      </c>
      <c r="F28095" s="8">
        <v>694</v>
      </c>
    </row>
    <row r="28096" spans="1:6" ht="12.75">
      <c r="A28096" s="8">
        <v>43891.881377314814</v>
      </c>
      <c r="B28096" s="8" t="str">
        <f>HYPERLINK("https://twitter.com/NurazizaShima","@NurazizaShima")</f>
        <v>@NurazizaShima</v>
      </c>
      <c r="C28096" s="8" t="s">
        <v>10641</v>
      </c>
      <c r="D28096" s="8">
        <v>0</v>
      </c>
      <c r="E28096" s="8">
        <v>0</v>
      </c>
      <c r="F28096" s="8">
        <v>724</v>
      </c>
    </row>
    <row r="28097" spans="1:6" ht="12.75">
      <c r="A28097" s="8">
        <v>43891.881354166668</v>
      </c>
      <c r="B28097" s="8" t="str">
        <f>HYPERLINK("https://twitter.com/NFilhaqq","@NFilhaqq")</f>
        <v>@NFilhaqq</v>
      </c>
      <c r="C28097" s="8" t="s">
        <v>10647</v>
      </c>
      <c r="D28097" s="8">
        <v>0</v>
      </c>
      <c r="E28097" s="8">
        <v>0</v>
      </c>
      <c r="F28097" s="8">
        <v>382</v>
      </c>
    </row>
    <row r="28098" spans="1:6" ht="12.75">
      <c r="A28098" s="8">
        <v>43891.881331018521</v>
      </c>
      <c r="B28098" s="8" t="str">
        <f>HYPERLINK("https://twitter.com/yushi_mrs","@yushi_mrs")</f>
        <v>@yushi_mrs</v>
      </c>
      <c r="C28098" s="8" t="s">
        <v>4990</v>
      </c>
      <c r="D28098" s="8">
        <v>62</v>
      </c>
      <c r="E28098" s="8">
        <v>0</v>
      </c>
      <c r="F28098" s="8">
        <v>275</v>
      </c>
    </row>
    <row r="28099" spans="1:6" ht="12.75">
      <c r="A28099" s="8">
        <v>43891.881319444445</v>
      </c>
      <c r="B28099" s="8" t="str">
        <f>HYPERLINK("https://twitter.com/SarRach23","@SarRach23")</f>
        <v>@SarRach23</v>
      </c>
      <c r="C28099" s="8" t="s">
        <v>10648</v>
      </c>
      <c r="D28099" s="8">
        <v>1</v>
      </c>
      <c r="E28099" s="8">
        <v>0</v>
      </c>
      <c r="F28099" s="8">
        <v>1360</v>
      </c>
    </row>
    <row r="28100" spans="1:6" ht="12.75">
      <c r="A28100" s="8">
        <v>43891.881319444445</v>
      </c>
      <c r="B28100" s="8" t="str">
        <f>HYPERLINK("https://twitter.com/bujrad69","@bujrad69")</f>
        <v>@bujrad69</v>
      </c>
      <c r="C28100" s="8" t="s">
        <v>2199</v>
      </c>
      <c r="D28100" s="8">
        <v>296</v>
      </c>
      <c r="E28100" s="8">
        <v>0</v>
      </c>
      <c r="F28100" s="8">
        <v>643</v>
      </c>
    </row>
    <row r="28101" spans="1:6" ht="12.75">
      <c r="A28101" s="8">
        <v>43891.881307870368</v>
      </c>
      <c r="B28101" s="8" t="str">
        <f>HYPERLINK("https://twitter.com/_winnersss","@_winnersss")</f>
        <v>@_winnersss</v>
      </c>
      <c r="C28101" s="8" t="s">
        <v>10337</v>
      </c>
      <c r="D28101" s="8">
        <v>0</v>
      </c>
      <c r="E28101" s="8">
        <v>0</v>
      </c>
      <c r="F28101" s="8">
        <v>8</v>
      </c>
    </row>
    <row r="28102" spans="1:6" ht="12.75">
      <c r="A28102" s="8">
        <v>43891.881307870368</v>
      </c>
      <c r="B28102" s="8" t="str">
        <f>HYPERLINK("https://twitter.com/m_yodan","@m_yodan")</f>
        <v>@m_yodan</v>
      </c>
      <c r="C28102" s="8" t="s">
        <v>3850</v>
      </c>
      <c r="D28102" s="8">
        <v>635</v>
      </c>
      <c r="E28102" s="8">
        <v>0</v>
      </c>
      <c r="F28102" s="8">
        <v>340</v>
      </c>
    </row>
    <row r="28103" spans="1:6" ht="12.75">
      <c r="A28103" s="8">
        <v>43891.881261574075</v>
      </c>
      <c r="B28103" s="8" t="str">
        <f>HYPERLINK("https://twitter.com/AdawiyahHotijah","@AdawiyahHotijah")</f>
        <v>@AdawiyahHotijah</v>
      </c>
      <c r="C28103" s="8" t="s">
        <v>3850</v>
      </c>
      <c r="D28103" s="8">
        <v>635</v>
      </c>
      <c r="E28103" s="8">
        <v>0</v>
      </c>
      <c r="F28103" s="8">
        <v>78</v>
      </c>
    </row>
    <row r="28104" spans="1:6" ht="12.75">
      <c r="A28104" s="8">
        <v>43891.881261574075</v>
      </c>
      <c r="B28104" s="8" t="str">
        <f>HYPERLINK("https://twitter.com/SarRach23","@SarRach23")</f>
        <v>@SarRach23</v>
      </c>
      <c r="C28104" s="8" t="s">
        <v>10649</v>
      </c>
      <c r="D28104" s="8">
        <v>3</v>
      </c>
      <c r="E28104" s="8">
        <v>0</v>
      </c>
      <c r="F28104" s="8">
        <v>1360</v>
      </c>
    </row>
    <row r="28105" spans="1:6" ht="12.75">
      <c r="A28105" s="8">
        <v>43891.881238425922</v>
      </c>
      <c r="B28105" s="8" t="str">
        <f>HYPERLINK("https://twitter.com/NurazizaShima","@NurazizaShima")</f>
        <v>@NurazizaShima</v>
      </c>
      <c r="C28105" s="8" t="s">
        <v>10650</v>
      </c>
      <c r="D28105" s="8">
        <v>0</v>
      </c>
      <c r="E28105" s="8">
        <v>0</v>
      </c>
      <c r="F28105" s="8">
        <v>724</v>
      </c>
    </row>
    <row r="28106" spans="1:6" ht="12.75">
      <c r="A28106" s="8">
        <v>43891.881226851852</v>
      </c>
      <c r="B28106" s="8" t="str">
        <f>HYPERLINK("https://twitter.com/NFilhaqq","@NFilhaqq")</f>
        <v>@NFilhaqq</v>
      </c>
      <c r="C28106" s="8" t="s">
        <v>10651</v>
      </c>
      <c r="D28106" s="8">
        <v>0</v>
      </c>
      <c r="E28106" s="8">
        <v>0</v>
      </c>
      <c r="F28106" s="8">
        <v>382</v>
      </c>
    </row>
    <row r="28107" spans="1:6" ht="12.75">
      <c r="A28107" s="8">
        <v>43891.881203703699</v>
      </c>
      <c r="B28107" s="8" t="str">
        <f>HYPERLINK("https://twitter.com/RaisaSukainah","@RaisaSukainah")</f>
        <v>@RaisaSukainah</v>
      </c>
      <c r="C28107" s="8" t="s">
        <v>10652</v>
      </c>
      <c r="D28107" s="8">
        <v>0</v>
      </c>
      <c r="E28107" s="8">
        <v>0</v>
      </c>
      <c r="F28107" s="8">
        <v>368</v>
      </c>
    </row>
    <row r="28108" spans="1:6" ht="12.75">
      <c r="A28108" s="8">
        <v>43891.88118055556</v>
      </c>
      <c r="B28108" s="8" t="str">
        <f>HYPERLINK("https://twitter.com/avia_noer","@avia_noer")</f>
        <v>@avia_noer</v>
      </c>
      <c r="C28108" s="8" t="s">
        <v>10442</v>
      </c>
      <c r="D28108" s="8">
        <v>13</v>
      </c>
      <c r="E28108" s="8">
        <v>0</v>
      </c>
      <c r="F28108" s="8">
        <v>567</v>
      </c>
    </row>
    <row r="28109" spans="1:6" ht="12.75">
      <c r="A28109" s="8">
        <v>43891.88113425926</v>
      </c>
      <c r="B28109" s="8" t="str">
        <f>HYPERLINK("https://twitter.com/hilyatul_afifah","@hilyatul_afifah")</f>
        <v>@hilyatul_afifah</v>
      </c>
      <c r="C28109" s="8" t="s">
        <v>10487</v>
      </c>
      <c r="D28109" s="8">
        <v>5</v>
      </c>
      <c r="E28109" s="8">
        <v>0</v>
      </c>
      <c r="F28109" s="8">
        <v>363</v>
      </c>
    </row>
    <row r="28110" spans="1:6" ht="12.75">
      <c r="A28110" s="8">
        <v>43891.881099537037</v>
      </c>
      <c r="B28110" s="8" t="str">
        <f>HYPERLINK("https://twitter.com/hemaviton99","@hemaviton99")</f>
        <v>@hemaviton99</v>
      </c>
      <c r="C28110" s="8" t="s">
        <v>10577</v>
      </c>
      <c r="D28110" s="8">
        <v>13</v>
      </c>
      <c r="E28110" s="8">
        <v>0</v>
      </c>
      <c r="F28110" s="8">
        <v>5240</v>
      </c>
    </row>
    <row r="28111" spans="1:6" ht="12.75">
      <c r="A28111" s="8">
        <v>43891.881006944444</v>
      </c>
      <c r="B28111" s="8" t="str">
        <f>HYPERLINK("https://twitter.com/t0pijerami","@t0pijerami")</f>
        <v>@t0pijerami</v>
      </c>
      <c r="C28111" s="8" t="s">
        <v>2199</v>
      </c>
      <c r="D28111" s="8">
        <v>296</v>
      </c>
      <c r="E28111" s="8">
        <v>0</v>
      </c>
      <c r="F28111" s="8">
        <v>286</v>
      </c>
    </row>
    <row r="28112" spans="1:6" ht="12.75">
      <c r="A28112" s="8">
        <v>43891.880972222221</v>
      </c>
      <c r="B28112" s="8" t="str">
        <f>HYPERLINK("https://twitter.com/AsriJeka","@AsriJeka")</f>
        <v>@AsriJeka</v>
      </c>
      <c r="C28112" s="8" t="s">
        <v>9130</v>
      </c>
      <c r="D28112" s="8">
        <v>138</v>
      </c>
      <c r="E28112" s="8">
        <v>0</v>
      </c>
      <c r="F28112" s="8">
        <v>217</v>
      </c>
    </row>
    <row r="28113" spans="1:6" ht="12.75">
      <c r="A28113" s="8">
        <v>43891.880960648152</v>
      </c>
      <c r="B28113" s="8" t="str">
        <f>HYPERLINK("https://twitter.com/SKaspani_ong","@SKaspani_ong")</f>
        <v>@SKaspani_ong</v>
      </c>
      <c r="C28113" s="8" t="s">
        <v>10577</v>
      </c>
      <c r="D28113" s="8">
        <v>13</v>
      </c>
      <c r="E28113" s="8">
        <v>0</v>
      </c>
      <c r="F28113" s="8">
        <v>4770</v>
      </c>
    </row>
    <row r="28114" spans="1:6" ht="12.75">
      <c r="A28114" s="8">
        <v>43891.880949074075</v>
      </c>
      <c r="B28114" s="8" t="str">
        <f>HYPERLINK("https://twitter.com/ambar7475","@ambar7475")</f>
        <v>@ambar7475</v>
      </c>
      <c r="C28114" s="8" t="s">
        <v>10463</v>
      </c>
      <c r="D28114" s="8">
        <v>34</v>
      </c>
      <c r="E28114" s="8">
        <v>0</v>
      </c>
      <c r="F28114" s="8">
        <v>2172</v>
      </c>
    </row>
    <row r="28115" spans="1:6" ht="12.75">
      <c r="A28115" s="8">
        <v>43891.880949074075</v>
      </c>
      <c r="B28115" s="8" t="str">
        <f>HYPERLINK("https://twitter.com/NFilhaqq","@NFilhaqq")</f>
        <v>@NFilhaqq</v>
      </c>
      <c r="C28115" s="8" t="s">
        <v>10653</v>
      </c>
      <c r="D28115" s="8">
        <v>0</v>
      </c>
      <c r="E28115" s="8">
        <v>0</v>
      </c>
      <c r="F28115" s="8">
        <v>382</v>
      </c>
    </row>
    <row r="28116" spans="1:6" ht="12.75">
      <c r="A28116" s="8">
        <v>43891.880891203706</v>
      </c>
      <c r="B28116" s="8" t="str">
        <f>HYPERLINK("https://twitter.com/amalial59210614","@amalial59210614")</f>
        <v>@amalial59210614</v>
      </c>
      <c r="C28116" s="8" t="s">
        <v>10654</v>
      </c>
      <c r="D28116" s="8">
        <v>0</v>
      </c>
      <c r="E28116" s="8">
        <v>0</v>
      </c>
      <c r="F28116" s="8">
        <v>265</v>
      </c>
    </row>
    <row r="28117" spans="1:6" ht="12.75">
      <c r="A28117" s="8">
        <v>43891.880856481483</v>
      </c>
      <c r="B28117" s="8" t="str">
        <f>HYPERLINK("https://twitter.com/hkuntjang","@hkuntjang")</f>
        <v>@hkuntjang</v>
      </c>
      <c r="C28117" s="8" t="s">
        <v>2199</v>
      </c>
      <c r="D28117" s="8">
        <v>296</v>
      </c>
      <c r="E28117" s="8">
        <v>0</v>
      </c>
      <c r="F28117" s="8">
        <v>89</v>
      </c>
    </row>
    <row r="28118" spans="1:6" ht="12.75">
      <c r="A28118" s="8">
        <v>43891.880798611106</v>
      </c>
      <c r="B28118" s="8" t="str">
        <f>HYPERLINK("https://twitter.com/akhiy_aduy","@akhiy_aduy")</f>
        <v>@akhiy_aduy</v>
      </c>
      <c r="C28118" s="8" t="s">
        <v>10655</v>
      </c>
      <c r="D28118" s="8">
        <v>0</v>
      </c>
      <c r="E28118" s="8">
        <v>0</v>
      </c>
      <c r="F28118" s="8">
        <v>185</v>
      </c>
    </row>
    <row r="28119" spans="1:6" ht="12.75">
      <c r="A28119" s="8">
        <v>43891.880798611106</v>
      </c>
      <c r="B28119" s="8" t="str">
        <f>HYPERLINK("https://twitter.com/silaturahmi03","@silaturahmi03")</f>
        <v>@silaturahmi03</v>
      </c>
      <c r="C28119" s="8" t="s">
        <v>10404</v>
      </c>
      <c r="D28119" s="8">
        <v>224</v>
      </c>
      <c r="E28119" s="8">
        <v>0</v>
      </c>
      <c r="F28119" s="8">
        <v>238</v>
      </c>
    </row>
    <row r="28120" spans="1:6" ht="12.75">
      <c r="A28120" s="8">
        <v>43891.880787037036</v>
      </c>
      <c r="B28120" s="8" t="str">
        <f>HYPERLINK("https://twitter.com/NFilhaqq","@NFilhaqq")</f>
        <v>@NFilhaqq</v>
      </c>
      <c r="C28120" s="8" t="s">
        <v>10656</v>
      </c>
      <c r="D28120" s="8">
        <v>0</v>
      </c>
      <c r="E28120" s="8">
        <v>0</v>
      </c>
      <c r="F28120" s="8">
        <v>382</v>
      </c>
    </row>
    <row r="28121" spans="1:6" ht="12.75">
      <c r="A28121" s="8">
        <v>43891.880729166667</v>
      </c>
      <c r="B28121" s="8" t="str">
        <f>HYPERLINK("https://twitter.com/DwiMikrobiologi","@DwiMikrobiologi")</f>
        <v>@DwiMikrobiologi</v>
      </c>
      <c r="C28121" s="8" t="s">
        <v>10657</v>
      </c>
      <c r="D28121" s="8">
        <v>25</v>
      </c>
      <c r="E28121" s="8">
        <v>0</v>
      </c>
      <c r="F28121" s="8">
        <v>212</v>
      </c>
    </row>
    <row r="28122" spans="1:6" ht="12.75">
      <c r="A28122" s="8">
        <v>43891.880659722221</v>
      </c>
      <c r="B28122" s="8" t="str">
        <f>HYPERLINK("https://twitter.com/IdaAyuMadeOkaA1","@IdaAyuMadeOkaA1")</f>
        <v>@IdaAyuMadeOkaA1</v>
      </c>
      <c r="C28122" s="8" t="s">
        <v>10447</v>
      </c>
      <c r="D28122" s="8">
        <v>26</v>
      </c>
      <c r="E28122" s="8">
        <v>0</v>
      </c>
      <c r="F28122" s="8">
        <v>234</v>
      </c>
    </row>
    <row r="28123" spans="1:6" ht="12.75">
      <c r="A28123" s="8">
        <v>43891.880636574075</v>
      </c>
      <c r="B28123" s="8" t="str">
        <f>HYPERLINK("https://twitter.com/K83_TheCoffee","@K83_TheCoffee")</f>
        <v>@K83_TheCoffee</v>
      </c>
      <c r="C28123" s="8" t="s">
        <v>9130</v>
      </c>
      <c r="D28123" s="8">
        <v>138</v>
      </c>
      <c r="E28123" s="8">
        <v>0</v>
      </c>
      <c r="F28123" s="8">
        <v>5882</v>
      </c>
    </row>
    <row r="28124" spans="1:6" ht="12.75">
      <c r="A28124" s="8">
        <v>43891.880613425921</v>
      </c>
      <c r="B28124" s="8" t="str">
        <f>HYPERLINK("https://twitter.com/LaingenLisa","@LaingenLisa")</f>
        <v>@LaingenLisa</v>
      </c>
      <c r="C28124" s="8" t="s">
        <v>10477</v>
      </c>
      <c r="D28124" s="8">
        <v>8</v>
      </c>
      <c r="E28124" s="8">
        <v>0</v>
      </c>
      <c r="F28124" s="8">
        <v>3495</v>
      </c>
    </row>
    <row r="28125" spans="1:6" ht="12.75">
      <c r="A28125" s="8">
        <v>43891.880590277782</v>
      </c>
      <c r="B28125" s="8" t="str">
        <f>HYPERLINK("https://twitter.com/triwasono70","@triwasono70")</f>
        <v>@triwasono70</v>
      </c>
      <c r="C28125" s="8" t="s">
        <v>10435</v>
      </c>
      <c r="D28125" s="8">
        <v>2</v>
      </c>
      <c r="E28125" s="8">
        <v>0</v>
      </c>
      <c r="F28125" s="8">
        <v>5661</v>
      </c>
    </row>
    <row r="28126" spans="1:6" ht="12.75">
      <c r="A28126" s="8">
        <v>43891.880555555559</v>
      </c>
      <c r="B28126" s="8" t="str">
        <f>HYPERLINK("https://twitter.com/LaingenLisa","@LaingenLisa")</f>
        <v>@LaingenLisa</v>
      </c>
      <c r="C28126" s="8" t="s">
        <v>10658</v>
      </c>
      <c r="D28126" s="8">
        <v>3</v>
      </c>
      <c r="E28126" s="8">
        <v>0</v>
      </c>
      <c r="F28126" s="8">
        <v>3495</v>
      </c>
    </row>
    <row r="28127" spans="1:6" ht="12.75">
      <c r="A28127" s="8">
        <v>43891.880520833336</v>
      </c>
      <c r="B28127" s="8" t="str">
        <f>HYPERLINK("https://twitter.com/amalial59210614","@amalial59210614")</f>
        <v>@amalial59210614</v>
      </c>
      <c r="C28127" s="8" t="s">
        <v>10659</v>
      </c>
      <c r="D28127" s="8">
        <v>0</v>
      </c>
      <c r="E28127" s="8">
        <v>0</v>
      </c>
      <c r="F28127" s="8">
        <v>265</v>
      </c>
    </row>
    <row r="28128" spans="1:6" ht="12.75">
      <c r="A28128" s="8">
        <v>43891.880486111113</v>
      </c>
      <c r="B28128" s="8" t="str">
        <f>HYPERLINK("https://twitter.com/hemaviton99","@hemaviton99")</f>
        <v>@hemaviton99</v>
      </c>
      <c r="C28128" s="8" t="s">
        <v>10660</v>
      </c>
      <c r="D28128" s="8">
        <v>0</v>
      </c>
      <c r="E28128" s="8">
        <v>0</v>
      </c>
      <c r="F28128" s="8">
        <v>5240</v>
      </c>
    </row>
    <row r="28129" spans="1:6" ht="12.75">
      <c r="A28129" s="8">
        <v>43891.880486111113</v>
      </c>
      <c r="B28129" s="8" t="str">
        <f>HYPERLINK("https://twitter.com/elninn","@elninn")</f>
        <v>@elninn</v>
      </c>
      <c r="C28129" s="8" t="s">
        <v>10481</v>
      </c>
      <c r="D28129" s="8">
        <v>173</v>
      </c>
      <c r="E28129" s="8">
        <v>0</v>
      </c>
      <c r="F28129" s="8">
        <v>3777</v>
      </c>
    </row>
    <row r="28130" spans="1:6" ht="12.75">
      <c r="A28130" s="8">
        <v>43891.880474537036</v>
      </c>
      <c r="B28130" s="8" t="str">
        <f>HYPERLINK("https://twitter.com/tjhinfar21","@tjhinfar21")</f>
        <v>@tjhinfar21</v>
      </c>
      <c r="C28130" s="8" t="s">
        <v>10568</v>
      </c>
      <c r="D28130" s="8">
        <v>17</v>
      </c>
      <c r="E28130" s="8">
        <v>0</v>
      </c>
      <c r="F28130" s="8">
        <v>16504</v>
      </c>
    </row>
    <row r="28131" spans="1:6" ht="12.75">
      <c r="A28131" s="8">
        <v>43891.88045138889</v>
      </c>
      <c r="B28131" s="8" t="str">
        <f>HYPERLINK("https://twitter.com/NurazizaShima","@NurazizaShima")</f>
        <v>@NurazizaShima</v>
      </c>
      <c r="C28131" s="8" t="s">
        <v>10568</v>
      </c>
      <c r="D28131" s="8">
        <v>17</v>
      </c>
      <c r="E28131" s="8">
        <v>0</v>
      </c>
      <c r="F28131" s="8">
        <v>724</v>
      </c>
    </row>
    <row r="28132" spans="1:6" ht="12.75">
      <c r="A28132" s="8">
        <v>43891.880405092597</v>
      </c>
      <c r="B28132" s="8" t="str">
        <f>HYPERLINK("https://twitter.com/upla28","@upla28")</f>
        <v>@upla28</v>
      </c>
      <c r="C28132" s="8" t="s">
        <v>6542</v>
      </c>
      <c r="D28132" s="8">
        <v>77</v>
      </c>
      <c r="E28132" s="8">
        <v>0</v>
      </c>
      <c r="F28132" s="8">
        <v>741</v>
      </c>
    </row>
    <row r="28133" spans="1:6" ht="12.75">
      <c r="A28133" s="8">
        <v>43891.880393518513</v>
      </c>
      <c r="B28133" s="8" t="str">
        <f>HYPERLINK("https://twitter.com/desfandri","@desfandri")</f>
        <v>@desfandri</v>
      </c>
      <c r="C28133" s="8" t="s">
        <v>10661</v>
      </c>
      <c r="D28133" s="8">
        <v>0</v>
      </c>
      <c r="E28133" s="8">
        <v>0</v>
      </c>
      <c r="F28133" s="8">
        <v>159</v>
      </c>
    </row>
    <row r="28134" spans="1:6" ht="12.75">
      <c r="A28134" s="8">
        <v>43891.880381944444</v>
      </c>
      <c r="B28134" s="8" t="str">
        <f>HYPERLINK("https://twitter.com/AyunindyaRizkya","@AyunindyaRizkya")</f>
        <v>@AyunindyaRizkya</v>
      </c>
      <c r="C28134" s="8" t="s">
        <v>10658</v>
      </c>
      <c r="D28134" s="8">
        <v>3</v>
      </c>
      <c r="E28134" s="8">
        <v>0</v>
      </c>
      <c r="F28134" s="8">
        <v>3560</v>
      </c>
    </row>
    <row r="28135" spans="1:6" ht="12.75">
      <c r="A28135" s="8">
        <v>43891.880277777775</v>
      </c>
      <c r="B28135" s="8" t="str">
        <f>HYPERLINK("https://twitter.com/bunk_sh","@bunk_sh")</f>
        <v>@bunk_sh</v>
      </c>
      <c r="C28135" s="8" t="s">
        <v>10295</v>
      </c>
      <c r="D28135" s="8">
        <v>19</v>
      </c>
      <c r="E28135" s="8">
        <v>0</v>
      </c>
      <c r="F28135" s="8">
        <v>366</v>
      </c>
    </row>
    <row r="28136" spans="1:6" ht="12.75">
      <c r="A28136" s="8">
        <v>43891.880277777775</v>
      </c>
      <c r="B28136" s="8" t="str">
        <f>HYPERLINK("https://twitter.com/desfandri","@desfandri")</f>
        <v>@desfandri</v>
      </c>
      <c r="C28136" s="8" t="s">
        <v>10662</v>
      </c>
      <c r="D28136" s="8">
        <v>0</v>
      </c>
      <c r="E28136" s="8">
        <v>0</v>
      </c>
      <c r="F28136" s="8">
        <v>159</v>
      </c>
    </row>
    <row r="28137" spans="1:6" ht="12.75">
      <c r="A28137" s="8">
        <v>43891.880185185189</v>
      </c>
      <c r="B28137" s="8" t="str">
        <f>HYPERLINK("https://twitter.com/NFilhaqq","@NFilhaqq")</f>
        <v>@NFilhaqq</v>
      </c>
      <c r="C28137" s="8" t="s">
        <v>10663</v>
      </c>
      <c r="D28137" s="8">
        <v>0</v>
      </c>
      <c r="E28137" s="8">
        <v>0</v>
      </c>
      <c r="F28137" s="8">
        <v>382</v>
      </c>
    </row>
    <row r="28138" spans="1:6" ht="12.75">
      <c r="A28138" s="8">
        <v>43891.880185185189</v>
      </c>
      <c r="B28138" s="8" t="str">
        <f>HYPERLINK("https://twitter.com/cakrabirawa186","@cakrabirawa186")</f>
        <v>@cakrabirawa186</v>
      </c>
      <c r="C28138" s="8" t="s">
        <v>10664</v>
      </c>
      <c r="D28138" s="8">
        <v>0</v>
      </c>
      <c r="E28138" s="8">
        <v>0</v>
      </c>
      <c r="F28138" s="8">
        <v>1036</v>
      </c>
    </row>
    <row r="28139" spans="1:6" ht="12.75">
      <c r="A28139" s="8">
        <v>43891.880046296297</v>
      </c>
      <c r="B28139" s="8" t="str">
        <f>HYPERLINK("https://twitter.com/fi_AgNov_11","@fi_AgNov_11")</f>
        <v>@fi_AgNov_11</v>
      </c>
      <c r="C28139" s="8" t="s">
        <v>10481</v>
      </c>
      <c r="D28139" s="8">
        <v>173</v>
      </c>
      <c r="E28139" s="8">
        <v>0</v>
      </c>
      <c r="F28139" s="8">
        <v>337</v>
      </c>
    </row>
    <row r="28140" spans="1:6" ht="12.75">
      <c r="A28140" s="8">
        <v>43891.88003472222</v>
      </c>
      <c r="B28140" s="8" t="str">
        <f>HYPERLINK("https://twitter.com/po_heng","@po_heng")</f>
        <v>@po_heng</v>
      </c>
      <c r="C28140" s="8" t="s">
        <v>10665</v>
      </c>
      <c r="D28140" s="8">
        <v>0</v>
      </c>
      <c r="E28140" s="8">
        <v>1</v>
      </c>
      <c r="F28140" s="8">
        <v>582</v>
      </c>
    </row>
    <row r="28141" spans="1:6" ht="12.75">
      <c r="A28141" s="8">
        <v>43891.880000000005</v>
      </c>
      <c r="B28141" s="8" t="str">
        <f>HYPERLINK("https://twitter.com/SukhendroPragul","@SukhendroPragul")</f>
        <v>@SukhendroPragul</v>
      </c>
      <c r="C28141" s="8" t="s">
        <v>10658</v>
      </c>
      <c r="D28141" s="8">
        <v>3</v>
      </c>
      <c r="E28141" s="8">
        <v>0</v>
      </c>
      <c r="F28141" s="8">
        <v>2016</v>
      </c>
    </row>
    <row r="28142" spans="1:6" ht="12.75">
      <c r="A28142" s="8">
        <v>43891.879988425921</v>
      </c>
      <c r="B28142" s="8" t="str">
        <f>HYPERLINK("https://twitter.com/nana040461","@nana040461")</f>
        <v>@nana040461</v>
      </c>
      <c r="C28142" s="8" t="s">
        <v>10666</v>
      </c>
      <c r="D28142" s="8">
        <v>2</v>
      </c>
      <c r="E28142" s="8">
        <v>0</v>
      </c>
      <c r="F28142" s="8">
        <v>1880</v>
      </c>
    </row>
    <row r="28143" spans="1:6" ht="12.75">
      <c r="A28143" s="8">
        <v>43891.879976851851</v>
      </c>
      <c r="B28143" s="8" t="str">
        <f>HYPERLINK("https://twitter.com/AsheelaB","@AsheelaB")</f>
        <v>@AsheelaB</v>
      </c>
      <c r="C28143" s="8" t="s">
        <v>10667</v>
      </c>
      <c r="D28143" s="8">
        <v>0</v>
      </c>
      <c r="E28143" s="8">
        <v>0</v>
      </c>
      <c r="F28143" s="8">
        <v>549</v>
      </c>
    </row>
    <row r="28144" spans="1:6" ht="12.75">
      <c r="A28144" s="8">
        <v>43891.879976851851</v>
      </c>
      <c r="B28144" s="8" t="str">
        <f>HYPERLINK("https://twitter.com/AnggitaManohara","@AnggitaManohara")</f>
        <v>@AnggitaManohara</v>
      </c>
      <c r="C28144" s="8" t="s">
        <v>10528</v>
      </c>
      <c r="D28144" s="8">
        <v>6</v>
      </c>
      <c r="E28144" s="8">
        <v>0</v>
      </c>
      <c r="F28144" s="8">
        <v>2616</v>
      </c>
    </row>
    <row r="28145" spans="1:6" ht="12.75">
      <c r="A28145" s="8">
        <v>43891.879965277782</v>
      </c>
      <c r="B28145" s="8" t="str">
        <f>HYPERLINK("https://twitter.com/ofhelianthus","@ofhelianthus")</f>
        <v>@ofhelianthus</v>
      </c>
      <c r="C28145" s="8" t="s">
        <v>2199</v>
      </c>
      <c r="D28145" s="8">
        <v>296</v>
      </c>
      <c r="E28145" s="8">
        <v>0</v>
      </c>
      <c r="F28145" s="8">
        <v>28</v>
      </c>
    </row>
    <row r="28146" spans="1:6" ht="12.75">
      <c r="A28146" s="8">
        <v>43891.879953703705</v>
      </c>
      <c r="B28146" s="8" t="str">
        <f>HYPERLINK("https://twitter.com/dirgantra00","@dirgantra00")</f>
        <v>@dirgantra00</v>
      </c>
      <c r="C28146" s="8" t="s">
        <v>10246</v>
      </c>
      <c r="D28146" s="8">
        <v>8</v>
      </c>
      <c r="E28146" s="8">
        <v>0</v>
      </c>
      <c r="F28146" s="8">
        <v>976</v>
      </c>
    </row>
    <row r="28147" spans="1:6" ht="12.75">
      <c r="A28147" s="8">
        <v>43891.879930555559</v>
      </c>
      <c r="B28147" s="8" t="str">
        <f>HYPERLINK("https://twitter.com/Wongawam08","@Wongawam08")</f>
        <v>@Wongawam08</v>
      </c>
      <c r="C28147" s="8" t="s">
        <v>9130</v>
      </c>
      <c r="D28147" s="8">
        <v>138</v>
      </c>
      <c r="E28147" s="8">
        <v>0</v>
      </c>
      <c r="F28147" s="8">
        <v>488</v>
      </c>
    </row>
    <row r="28148" spans="1:6" ht="12.75">
      <c r="A28148" s="8">
        <v>43891.879918981482</v>
      </c>
      <c r="B28148" s="8" t="str">
        <f>HYPERLINK("https://twitter.com/dirgantra00","@dirgantra00")</f>
        <v>@dirgantra00</v>
      </c>
      <c r="C28148" s="8" t="s">
        <v>10668</v>
      </c>
      <c r="D28148" s="8">
        <v>1</v>
      </c>
      <c r="E28148" s="8">
        <v>0</v>
      </c>
      <c r="F28148" s="8">
        <v>976</v>
      </c>
    </row>
    <row r="28149" spans="1:6" ht="12.75">
      <c r="A28149" s="8">
        <v>43891.879895833335</v>
      </c>
      <c r="B28149" s="8" t="str">
        <f>HYPERLINK("https://twitter.com/Jackielanesra","@Jackielanesra")</f>
        <v>@Jackielanesra</v>
      </c>
      <c r="C28149" s="8" t="s">
        <v>2199</v>
      </c>
      <c r="D28149" s="8">
        <v>296</v>
      </c>
      <c r="E28149" s="8">
        <v>0</v>
      </c>
      <c r="F28149" s="8">
        <v>323</v>
      </c>
    </row>
    <row r="28150" spans="1:6" ht="12.75">
      <c r="A28150" s="8">
        <v>43891.879895833335</v>
      </c>
      <c r="B28150" s="8" t="str">
        <f>HYPERLINK("https://twitter.com/merdekadotcom","@merdekadotcom")</f>
        <v>@merdekadotcom</v>
      </c>
      <c r="C28150" s="8" t="s">
        <v>10669</v>
      </c>
      <c r="D28150" s="8">
        <v>0</v>
      </c>
      <c r="E28150" s="8">
        <v>0</v>
      </c>
      <c r="F28150" s="8">
        <v>231283</v>
      </c>
    </row>
    <row r="28151" spans="1:6" ht="12.75">
      <c r="A28151" s="8">
        <v>43891.879861111112</v>
      </c>
      <c r="B28151" s="8" t="str">
        <f>HYPERLINK("https://twitter.com/sujatmi01570130","@sujatmi01570130")</f>
        <v>@sujatmi01570130</v>
      </c>
      <c r="C28151" s="8" t="s">
        <v>10670</v>
      </c>
      <c r="D28151" s="8">
        <v>1</v>
      </c>
      <c r="E28151" s="8">
        <v>0</v>
      </c>
      <c r="F28151" s="8">
        <v>20</v>
      </c>
    </row>
    <row r="28152" spans="1:6" ht="12.75">
      <c r="A28152" s="8">
        <v>43891.879861111112</v>
      </c>
      <c r="B28152" s="8" t="str">
        <f>HYPERLINK("https://twitter.com/NurazizaShima","@NurazizaShima")</f>
        <v>@NurazizaShima</v>
      </c>
      <c r="C28152" s="8" t="s">
        <v>10671</v>
      </c>
      <c r="D28152" s="8">
        <v>0</v>
      </c>
      <c r="E28152" s="8">
        <v>0</v>
      </c>
      <c r="F28152" s="8">
        <v>724</v>
      </c>
    </row>
    <row r="28153" spans="1:6" ht="12.75">
      <c r="A28153" s="8">
        <v>43891.879837962959</v>
      </c>
      <c r="B28153" s="8" t="str">
        <f>HYPERLINK("https://twitter.com/erikmbah","@erikmbah")</f>
        <v>@erikmbah</v>
      </c>
      <c r="C28153" s="8" t="s">
        <v>3850</v>
      </c>
      <c r="D28153" s="8">
        <v>635</v>
      </c>
      <c r="E28153" s="8">
        <v>0</v>
      </c>
      <c r="F28153" s="8">
        <v>250</v>
      </c>
    </row>
    <row r="28154" spans="1:6" ht="12.75">
      <c r="A28154" s="8">
        <v>43891.879803240736</v>
      </c>
      <c r="B28154" s="8" t="str">
        <f>HYPERLINK("https://twitter.com/amanda_batrisya","@amanda_batrisya")</f>
        <v>@amanda_batrisya</v>
      </c>
      <c r="C28154" s="8" t="s">
        <v>7836</v>
      </c>
      <c r="D28154" s="8">
        <v>7</v>
      </c>
      <c r="E28154" s="8">
        <v>0</v>
      </c>
      <c r="F28154" s="8">
        <v>1021</v>
      </c>
    </row>
    <row r="28155" spans="1:6" ht="12.75">
      <c r="A28155" s="8">
        <v>43891.879791666666</v>
      </c>
      <c r="B28155" s="8" t="str">
        <f>HYPERLINK("https://twitter.com/Amaliza8","@Amaliza8")</f>
        <v>@Amaliza8</v>
      </c>
      <c r="C28155" s="8" t="s">
        <v>7836</v>
      </c>
      <c r="D28155" s="8">
        <v>7</v>
      </c>
      <c r="E28155" s="8">
        <v>0</v>
      </c>
      <c r="F28155" s="8">
        <v>3</v>
      </c>
    </row>
    <row r="28156" spans="1:6" ht="12.75">
      <c r="A28156" s="8">
        <v>43891.879756944443</v>
      </c>
      <c r="B28156" s="8" t="str">
        <f>HYPERLINK("https://twitter.com/auliarsm","@auliarsm")</f>
        <v>@auliarsm</v>
      </c>
      <c r="C28156" s="8" t="s">
        <v>2199</v>
      </c>
      <c r="D28156" s="8">
        <v>296</v>
      </c>
      <c r="E28156" s="8">
        <v>0</v>
      </c>
      <c r="F28156" s="8">
        <v>892</v>
      </c>
    </row>
    <row r="28157" spans="1:6" ht="12.75">
      <c r="A28157" s="8">
        <v>43891.879745370374</v>
      </c>
      <c r="B28157" s="8" t="str">
        <f>HYPERLINK("https://twitter.com/RaisaSukainah","@RaisaSukainah")</f>
        <v>@RaisaSukainah</v>
      </c>
      <c r="C28157" s="8" t="s">
        <v>10672</v>
      </c>
      <c r="D28157" s="8">
        <v>0</v>
      </c>
      <c r="E28157" s="8">
        <v>0</v>
      </c>
      <c r="F28157" s="8">
        <v>368</v>
      </c>
    </row>
    <row r="28158" spans="1:6" ht="12.75">
      <c r="A28158" s="8">
        <v>43891.879699074074</v>
      </c>
      <c r="B28158" s="8" t="str">
        <f>HYPERLINK("https://twitter.com/LaingenLisa","@LaingenLisa")</f>
        <v>@LaingenLisa</v>
      </c>
      <c r="C28158" s="8" t="s">
        <v>10528</v>
      </c>
      <c r="D28158" s="8">
        <v>6</v>
      </c>
      <c r="E28158" s="8">
        <v>0</v>
      </c>
      <c r="F28158" s="8">
        <v>3495</v>
      </c>
    </row>
    <row r="28159" spans="1:6" ht="12.75">
      <c r="A28159" s="8">
        <v>43891.879687499997</v>
      </c>
      <c r="B28159" s="8" t="str">
        <f>HYPERLINK("https://twitter.com/gunadi_cla10","@gunadi_cla10")</f>
        <v>@gunadi_cla10</v>
      </c>
      <c r="C28159" s="8" t="s">
        <v>10673</v>
      </c>
      <c r="D28159" s="8">
        <v>0</v>
      </c>
      <c r="E28159" s="8">
        <v>0</v>
      </c>
      <c r="F28159" s="8">
        <v>618</v>
      </c>
    </row>
    <row r="28160" spans="1:6" ht="12.75">
      <c r="A28160" s="8">
        <v>43891.879675925928</v>
      </c>
      <c r="B28160" s="8" t="str">
        <f>HYPERLINK("https://twitter.com/NurazizaShima","@NurazizaShima")</f>
        <v>@NurazizaShima</v>
      </c>
      <c r="C28160" s="8" t="s">
        <v>10674</v>
      </c>
      <c r="D28160" s="8">
        <v>0</v>
      </c>
      <c r="E28160" s="8">
        <v>0</v>
      </c>
      <c r="F28160" s="8">
        <v>724</v>
      </c>
    </row>
    <row r="28161" spans="1:6" ht="12.75">
      <c r="A28161" s="8">
        <v>43891.879652777774</v>
      </c>
      <c r="B28161" s="8" t="str">
        <f>HYPERLINK("https://twitter.com/kisbet_","@kisbet_")</f>
        <v>@kisbet_</v>
      </c>
      <c r="C28161" s="8" t="s">
        <v>2199</v>
      </c>
      <c r="D28161" s="8">
        <v>296</v>
      </c>
      <c r="E28161" s="8">
        <v>0</v>
      </c>
      <c r="F28161" s="8">
        <v>13916</v>
      </c>
    </row>
    <row r="28162" spans="1:6" ht="12.75">
      <c r="A28162" s="8">
        <v>43891.879629629635</v>
      </c>
      <c r="B28162" s="8" t="str">
        <f>HYPERLINK("https://twitter.com/pearl_kdy","@pearl_kdy")</f>
        <v>@pearl_kdy</v>
      </c>
      <c r="C28162" s="8" t="s">
        <v>10263</v>
      </c>
      <c r="D28162" s="8">
        <v>4</v>
      </c>
      <c r="E28162" s="8">
        <v>0</v>
      </c>
      <c r="F28162" s="8">
        <v>63</v>
      </c>
    </row>
    <row r="28163" spans="1:6" ht="12.75">
      <c r="A28163" s="8">
        <v>43891.879618055551</v>
      </c>
      <c r="B28163" s="8" t="str">
        <f>HYPERLINK("https://twitter.com/laurensiakoen","@laurensiakoen")</f>
        <v>@laurensiakoen</v>
      </c>
      <c r="C28163" s="8" t="s">
        <v>2199</v>
      </c>
      <c r="D28163" s="8">
        <v>296</v>
      </c>
      <c r="E28163" s="8">
        <v>0</v>
      </c>
      <c r="F28163" s="8">
        <v>551</v>
      </c>
    </row>
    <row r="28164" spans="1:6" ht="12.75">
      <c r="A28164" s="8">
        <v>43891.879583333328</v>
      </c>
      <c r="B28164" s="8" t="str">
        <f>HYPERLINK("https://twitter.com/RaisaSukainah","@RaisaSukainah")</f>
        <v>@RaisaSukainah</v>
      </c>
      <c r="C28164" s="8" t="s">
        <v>10675</v>
      </c>
      <c r="D28164" s="8">
        <v>0</v>
      </c>
      <c r="E28164" s="8">
        <v>0</v>
      </c>
      <c r="F28164" s="8">
        <v>368</v>
      </c>
    </row>
    <row r="28165" spans="1:6" ht="12.75">
      <c r="A28165" s="8">
        <v>43891.879571759258</v>
      </c>
      <c r="B28165" s="8" t="str">
        <f>HYPERLINK("https://twitter.com/Dindon16","@Dindon16")</f>
        <v>@Dindon16</v>
      </c>
      <c r="C28165" s="8" t="s">
        <v>3850</v>
      </c>
      <c r="D28165" s="8">
        <v>635</v>
      </c>
      <c r="E28165" s="8">
        <v>0</v>
      </c>
      <c r="F28165" s="8">
        <v>309</v>
      </c>
    </row>
    <row r="28166" spans="1:6" ht="12.75">
      <c r="A28166" s="8">
        <v>43891.879502314812</v>
      </c>
      <c r="B28166" s="8" t="str">
        <f>HYPERLINK("https://twitter.com/KeyshaAdinda5","@KeyshaAdinda5")</f>
        <v>@KeyshaAdinda5</v>
      </c>
      <c r="C28166" s="8" t="s">
        <v>10568</v>
      </c>
      <c r="D28166" s="8">
        <v>17</v>
      </c>
      <c r="E28166" s="8">
        <v>0</v>
      </c>
      <c r="F28166" s="8">
        <v>4674</v>
      </c>
    </row>
    <row r="28167" spans="1:6" ht="12.75">
      <c r="A28167" s="8">
        <v>43891.879479166666</v>
      </c>
      <c r="B28167" s="8" t="str">
        <f>HYPERLINK("https://twitter.com/annainggi","@annainggi")</f>
        <v>@annainggi</v>
      </c>
      <c r="C28167" s="8" t="s">
        <v>10676</v>
      </c>
      <c r="D28167" s="8">
        <v>0</v>
      </c>
      <c r="E28167" s="8">
        <v>1</v>
      </c>
      <c r="F28167" s="8">
        <v>917</v>
      </c>
    </row>
    <row r="28168" spans="1:6" ht="12.75">
      <c r="A28168" s="8">
        <v>43891.87945601852</v>
      </c>
      <c r="B28168" s="8" t="str">
        <f>HYPERLINK("https://twitter.com/NurazizaShima","@NurazizaShima")</f>
        <v>@NurazizaShima</v>
      </c>
      <c r="C28168" s="8" t="s">
        <v>10677</v>
      </c>
      <c r="D28168" s="8">
        <v>0</v>
      </c>
      <c r="E28168" s="8">
        <v>0</v>
      </c>
      <c r="F28168" s="8">
        <v>724</v>
      </c>
    </row>
    <row r="28169" spans="1:6" ht="12.75">
      <c r="A28169" s="8">
        <v>43891.879444444443</v>
      </c>
      <c r="B28169" s="8" t="str">
        <f>HYPERLINK("https://twitter.com/RaisaSukainah","@RaisaSukainah")</f>
        <v>@RaisaSukainah</v>
      </c>
      <c r="C28169" s="8" t="s">
        <v>10678</v>
      </c>
      <c r="D28169" s="8">
        <v>0</v>
      </c>
      <c r="E28169" s="8">
        <v>0</v>
      </c>
      <c r="F28169" s="8">
        <v>368</v>
      </c>
    </row>
    <row r="28170" spans="1:6" ht="12.75">
      <c r="A28170" s="8">
        <v>43891.879432870366</v>
      </c>
      <c r="B28170" s="8" t="str">
        <f>HYPERLINK("https://twitter.com/novtuss","@novtuss")</f>
        <v>@novtuss</v>
      </c>
      <c r="C28170" s="8" t="s">
        <v>2199</v>
      </c>
      <c r="D28170" s="8">
        <v>296</v>
      </c>
      <c r="E28170" s="8">
        <v>0</v>
      </c>
      <c r="F28170" s="8">
        <v>1242</v>
      </c>
    </row>
    <row r="28171" spans="1:6" ht="12.75">
      <c r="A28171" s="8">
        <v>43891.879421296297</v>
      </c>
      <c r="B28171" s="8" t="str">
        <f>HYPERLINK("https://twitter.com/LaingenLisa","@LaingenLisa")</f>
        <v>@LaingenLisa</v>
      </c>
      <c r="C28171" s="8" t="s">
        <v>10679</v>
      </c>
      <c r="D28171" s="8">
        <v>5</v>
      </c>
      <c r="E28171" s="8">
        <v>0</v>
      </c>
      <c r="F28171" s="8">
        <v>3495</v>
      </c>
    </row>
    <row r="28172" spans="1:6" ht="12.75">
      <c r="A28172" s="8">
        <v>43891.879351851851</v>
      </c>
      <c r="B28172" s="8" t="str">
        <f>HYPERLINK("https://twitter.com/AyunindyaRizkya","@AyunindyaRizkya")</f>
        <v>@AyunindyaRizkya</v>
      </c>
      <c r="C28172" s="8" t="s">
        <v>10528</v>
      </c>
      <c r="D28172" s="8">
        <v>6</v>
      </c>
      <c r="E28172" s="8">
        <v>0</v>
      </c>
      <c r="F28172" s="8">
        <v>3560</v>
      </c>
    </row>
    <row r="28173" spans="1:6" ht="12.75">
      <c r="A28173" s="8">
        <v>43891.879328703704</v>
      </c>
      <c r="B28173" s="8" t="str">
        <f>HYPERLINK("https://twitter.com/Cak_Hariy","@Cak_Hariy")</f>
        <v>@Cak_Hariy</v>
      </c>
      <c r="C28173" s="8" t="s">
        <v>10680</v>
      </c>
      <c r="D28173" s="8">
        <v>3</v>
      </c>
      <c r="E28173" s="8">
        <v>1</v>
      </c>
      <c r="F28173" s="8">
        <v>5307</v>
      </c>
    </row>
    <row r="28174" spans="1:6" ht="12.75">
      <c r="A28174" s="8">
        <v>43891.879328703704</v>
      </c>
      <c r="B28174" s="8" t="str">
        <f>HYPERLINK("https://twitter.com/NFilhaqq","@NFilhaqq")</f>
        <v>@NFilhaqq</v>
      </c>
      <c r="C28174" s="8" t="s">
        <v>10681</v>
      </c>
      <c r="D28174" s="8">
        <v>0</v>
      </c>
      <c r="E28174" s="8">
        <v>0</v>
      </c>
      <c r="F28174" s="8">
        <v>382</v>
      </c>
    </row>
    <row r="28175" spans="1:6" ht="12.75">
      <c r="A28175" s="8">
        <v>43891.879317129627</v>
      </c>
      <c r="B28175" s="8" t="str">
        <f>HYPERLINK("https://twitter.com/TambengBagong","@TambengBagong")</f>
        <v>@TambengBagong</v>
      </c>
      <c r="C28175" s="8" t="s">
        <v>10477</v>
      </c>
      <c r="D28175" s="8">
        <v>8</v>
      </c>
      <c r="E28175" s="8">
        <v>0</v>
      </c>
      <c r="F28175" s="8">
        <v>129</v>
      </c>
    </row>
    <row r="28176" spans="1:6" ht="12.75">
      <c r="A28176" s="8">
        <v>43891.879305555558</v>
      </c>
      <c r="B28176" s="8" t="str">
        <f>HYPERLINK("https://twitter.com/RaisaSukainah","@RaisaSukainah")</f>
        <v>@RaisaSukainah</v>
      </c>
      <c r="C28176" s="8" t="s">
        <v>10682</v>
      </c>
      <c r="D28176" s="8">
        <v>1</v>
      </c>
      <c r="E28176" s="8">
        <v>0</v>
      </c>
      <c r="F28176" s="8">
        <v>368</v>
      </c>
    </row>
    <row r="28177" spans="1:6" ht="12.75">
      <c r="A28177" s="8">
        <v>43891.879305555558</v>
      </c>
      <c r="B28177" s="8" t="str">
        <f>HYPERLINK("https://twitter.com/AnakLolina","@AnakLolina")</f>
        <v>@AnakLolina</v>
      </c>
      <c r="C28177" s="8" t="s">
        <v>10369</v>
      </c>
      <c r="D28177" s="8">
        <v>22</v>
      </c>
      <c r="E28177" s="8">
        <v>0</v>
      </c>
      <c r="F28177" s="8">
        <v>15057</v>
      </c>
    </row>
    <row r="28178" spans="1:6" ht="12.75">
      <c r="A28178" s="8">
        <v>43891.879282407404</v>
      </c>
      <c r="B28178" s="8" t="str">
        <f>HYPERLINK("https://twitter.com/TambengBagong","@TambengBagong")</f>
        <v>@TambengBagong</v>
      </c>
      <c r="C28178" s="8" t="s">
        <v>10683</v>
      </c>
      <c r="D28178" s="8">
        <v>2</v>
      </c>
      <c r="E28178" s="8">
        <v>0</v>
      </c>
      <c r="F28178" s="8">
        <v>129</v>
      </c>
    </row>
    <row r="28179" spans="1:6" ht="12.75">
      <c r="A28179" s="8">
        <v>43891.840196759258</v>
      </c>
      <c r="B28179" s="8" t="str">
        <f>HYPERLINK("https://twitter.com/ikearyn","@ikearyn")</f>
        <v>@ikearyn</v>
      </c>
      <c r="C28179" s="8" t="s">
        <v>10684</v>
      </c>
      <c r="D28179" s="8">
        <v>64</v>
      </c>
      <c r="E28179" s="8">
        <v>0</v>
      </c>
      <c r="F28179" s="8">
        <v>62</v>
      </c>
    </row>
    <row r="28180" spans="1:6" ht="12.75">
      <c r="A28180" s="8">
        <v>43891.840173611112</v>
      </c>
      <c r="B28180" s="8" t="str">
        <f>HYPERLINK("https://twitter.com/HardiantiKirana","@HardiantiKirana")</f>
        <v>@HardiantiKirana</v>
      </c>
      <c r="C28180" s="8" t="s">
        <v>10685</v>
      </c>
      <c r="D28180" s="8">
        <v>0</v>
      </c>
      <c r="E28180" s="8">
        <v>0</v>
      </c>
      <c r="F28180" s="8">
        <v>1920</v>
      </c>
    </row>
    <row r="28181" spans="1:6" ht="12.75">
      <c r="A28181" s="8">
        <v>43891.840173611112</v>
      </c>
      <c r="B28181" s="8" t="str">
        <f>HYPERLINK("https://twitter.com/windiahabiba","@windiahabiba")</f>
        <v>@windiahabiba</v>
      </c>
      <c r="C28181" s="8" t="s">
        <v>2272</v>
      </c>
      <c r="D28181" s="8">
        <v>792</v>
      </c>
      <c r="E28181" s="8">
        <v>0</v>
      </c>
      <c r="F28181" s="8">
        <v>465</v>
      </c>
    </row>
    <row r="28182" spans="1:6" ht="12.75">
      <c r="A28182" s="8">
        <v>43891.840150462958</v>
      </c>
      <c r="B28182" s="8" t="str">
        <f>HYPERLINK("https://twitter.com/JuliAritonang3","@JuliAritonang3")</f>
        <v>@JuliAritonang3</v>
      </c>
      <c r="C28182" s="8" t="s">
        <v>3850</v>
      </c>
      <c r="D28182" s="8">
        <v>512</v>
      </c>
      <c r="E28182" s="8">
        <v>0</v>
      </c>
      <c r="F28182" s="8">
        <v>213</v>
      </c>
    </row>
    <row r="28183" spans="1:6" ht="12.75">
      <c r="A28183" s="8">
        <v>43891.840127314819</v>
      </c>
      <c r="B28183" s="8" t="str">
        <f>HYPERLINK("https://twitter.com/X_SamURay63","@X_SamURay63")</f>
        <v>@X_SamURay63</v>
      </c>
      <c r="C28183" s="8" t="s">
        <v>3850</v>
      </c>
      <c r="D28183" s="8">
        <v>512</v>
      </c>
      <c r="E28183" s="8">
        <v>0</v>
      </c>
      <c r="F28183" s="8">
        <v>3917</v>
      </c>
    </row>
    <row r="28184" spans="1:6" ht="12.75">
      <c r="A28184" s="8">
        <v>43891.840092592596</v>
      </c>
      <c r="B28184" s="8" t="str">
        <f>HYPERLINK("https://twitter.com/BudakBadung11","@BudakBadung11")</f>
        <v>@BudakBadung11</v>
      </c>
      <c r="C28184" s="8" t="s">
        <v>10686</v>
      </c>
      <c r="D28184" s="8">
        <v>8</v>
      </c>
      <c r="E28184" s="8">
        <v>0</v>
      </c>
      <c r="F28184" s="8">
        <v>1</v>
      </c>
    </row>
    <row r="28185" spans="1:6" ht="12.75">
      <c r="A28185" s="8">
        <v>43891.840081018519</v>
      </c>
      <c r="B28185" s="8" t="str">
        <f>HYPERLINK("https://twitter.com/AsheelaB","@AsheelaB")</f>
        <v>@AsheelaB</v>
      </c>
      <c r="C28185" s="8" t="s">
        <v>10687</v>
      </c>
      <c r="D28185" s="8">
        <v>0</v>
      </c>
      <c r="E28185" s="8">
        <v>0</v>
      </c>
      <c r="F28185" s="8">
        <v>546</v>
      </c>
    </row>
    <row r="28186" spans="1:6" ht="12.75">
      <c r="A28186" s="8">
        <v>43891.84003472222</v>
      </c>
      <c r="B28186" s="8" t="str">
        <f>HYPERLINK("https://twitter.com/aldeb0402","@aldeb0402")</f>
        <v>@aldeb0402</v>
      </c>
      <c r="C28186" s="8" t="s">
        <v>10688</v>
      </c>
      <c r="D28186" s="8">
        <v>3</v>
      </c>
      <c r="E28186" s="8">
        <v>0</v>
      </c>
      <c r="F28186" s="8">
        <v>183</v>
      </c>
    </row>
    <row r="28187" spans="1:6" ht="12.75">
      <c r="A28187" s="8">
        <v>43891.83997685185</v>
      </c>
      <c r="B28187" s="8" t="str">
        <f>HYPERLINK("https://twitter.com/KeyshaAdinda5","@KeyshaAdinda5")</f>
        <v>@KeyshaAdinda5</v>
      </c>
      <c r="C28187" s="8" t="s">
        <v>10689</v>
      </c>
      <c r="D28187" s="8">
        <v>13</v>
      </c>
      <c r="E28187" s="8">
        <v>0</v>
      </c>
      <c r="F28187" s="8">
        <v>4657</v>
      </c>
    </row>
    <row r="28188" spans="1:6" ht="12.75">
      <c r="A28188" s="8">
        <v>43891.839942129634</v>
      </c>
      <c r="B28188" s="8" t="str">
        <f>HYPERLINK("https://twitter.com/BudakBadung11","@BudakBadung11")</f>
        <v>@BudakBadung11</v>
      </c>
      <c r="C28188" s="8" t="s">
        <v>10690</v>
      </c>
      <c r="D28188" s="8">
        <v>10</v>
      </c>
      <c r="E28188" s="8">
        <v>0</v>
      </c>
      <c r="F28188" s="8">
        <v>1</v>
      </c>
    </row>
    <row r="28189" spans="1:6" ht="12.75">
      <c r="A28189" s="8">
        <v>43891.839918981481</v>
      </c>
      <c r="B28189" s="8" t="str">
        <f>HYPERLINK("https://twitter.com/BabeMude","@BabeMude")</f>
        <v>@BabeMude</v>
      </c>
      <c r="C28189" s="8" t="s">
        <v>10691</v>
      </c>
      <c r="D28189" s="8">
        <v>0</v>
      </c>
      <c r="E28189" s="8">
        <v>0</v>
      </c>
      <c r="F28189" s="8">
        <v>4687</v>
      </c>
    </row>
    <row r="28190" spans="1:6" ht="12.75">
      <c r="A28190" s="8">
        <v>43891.839918981481</v>
      </c>
      <c r="B28190" s="8" t="str">
        <f>HYPERLINK("https://twitter.com/AgungBasoeki","@AgungBasoeki")</f>
        <v>@AgungBasoeki</v>
      </c>
      <c r="C28190" s="8" t="s">
        <v>6542</v>
      </c>
      <c r="D28190" s="8">
        <v>49</v>
      </c>
      <c r="E28190" s="8">
        <v>0</v>
      </c>
      <c r="F28190" s="8">
        <v>218</v>
      </c>
    </row>
    <row r="28191" spans="1:6" ht="12.75">
      <c r="A28191" s="8">
        <v>43891.839872685188</v>
      </c>
      <c r="B28191" s="8" t="str">
        <f>HYPERLINK("https://twitter.com/KeyshaAdinda5","@KeyshaAdinda5")</f>
        <v>@KeyshaAdinda5</v>
      </c>
      <c r="C28191" s="8" t="s">
        <v>10692</v>
      </c>
      <c r="D28191" s="8">
        <v>1</v>
      </c>
      <c r="E28191" s="8">
        <v>0</v>
      </c>
      <c r="F28191" s="8">
        <v>4657</v>
      </c>
    </row>
    <row r="28192" spans="1:6" ht="12.75">
      <c r="A28192" s="8">
        <v>43891.839861111112</v>
      </c>
      <c r="B28192" s="8" t="str">
        <f>HYPERLINK("https://twitter.com/IdoCaur","@IdoCaur")</f>
        <v>@IdoCaur</v>
      </c>
      <c r="C28192" s="8" t="s">
        <v>10671</v>
      </c>
      <c r="D28192" s="8">
        <v>0</v>
      </c>
      <c r="E28192" s="8">
        <v>0</v>
      </c>
      <c r="F28192" s="8">
        <v>619</v>
      </c>
    </row>
    <row r="28193" spans="1:6" ht="12.75">
      <c r="A28193" s="8">
        <v>43891.839814814812</v>
      </c>
      <c r="B28193" s="8" t="str">
        <f>HYPERLINK("https://twitter.com/_MasHarry","@_MasHarry")</f>
        <v>@_MasHarry</v>
      </c>
      <c r="C28193" s="8" t="s">
        <v>2199</v>
      </c>
      <c r="D28193" s="8">
        <v>105</v>
      </c>
      <c r="E28193" s="8">
        <v>0</v>
      </c>
      <c r="F28193" s="8">
        <v>164</v>
      </c>
    </row>
    <row r="28194" spans="1:6" ht="12.75">
      <c r="A28194" s="8">
        <v>43891.839791666665</v>
      </c>
      <c r="B28194" s="8" t="str">
        <f>HYPERLINK("https://twitter.com/Dewie34292319","@Dewie34292319")</f>
        <v>@Dewie34292319</v>
      </c>
      <c r="C28194" s="8" t="s">
        <v>10482</v>
      </c>
      <c r="D28194" s="8">
        <v>7</v>
      </c>
      <c r="E28194" s="8">
        <v>0</v>
      </c>
      <c r="F28194" s="8">
        <v>1790</v>
      </c>
    </row>
    <row r="28195" spans="1:6" ht="12.75">
      <c r="A28195" s="8">
        <v>43891.839745370366</v>
      </c>
      <c r="B28195" s="8" t="str">
        <f>HYPERLINK("https://twitter.com/amalial59210614","@amalial59210614")</f>
        <v>@amalial59210614</v>
      </c>
      <c r="C28195" s="8" t="s">
        <v>10693</v>
      </c>
      <c r="D28195" s="8">
        <v>0</v>
      </c>
      <c r="E28195" s="8">
        <v>0</v>
      </c>
      <c r="F28195" s="8">
        <v>266</v>
      </c>
    </row>
    <row r="28196" spans="1:6" ht="12.75">
      <c r="A28196" s="8">
        <v>43891.839745370366</v>
      </c>
      <c r="B28196" s="8" t="str">
        <f>HYPERLINK("https://twitter.com/AsheelaB","@AsheelaB")</f>
        <v>@AsheelaB</v>
      </c>
      <c r="C28196" s="8" t="s">
        <v>10694</v>
      </c>
      <c r="D28196" s="8">
        <v>0</v>
      </c>
      <c r="E28196" s="8">
        <v>0</v>
      </c>
      <c r="F28196" s="8">
        <v>546</v>
      </c>
    </row>
    <row r="28197" spans="1:6" ht="12.75">
      <c r="A28197" s="8">
        <v>43891.839745370366</v>
      </c>
      <c r="B28197" s="8" t="str">
        <f>HYPERLINK("https://twitter.com/IdoCaur","@IdoCaur")</f>
        <v>@IdoCaur</v>
      </c>
      <c r="C28197" s="8" t="s">
        <v>10650</v>
      </c>
      <c r="D28197" s="8">
        <v>0</v>
      </c>
      <c r="E28197" s="8">
        <v>0</v>
      </c>
      <c r="F28197" s="8">
        <v>619</v>
      </c>
    </row>
    <row r="28198" spans="1:6" ht="12.75">
      <c r="A28198" s="8">
        <v>43891.839745370366</v>
      </c>
      <c r="B28198" s="8" t="str">
        <f>HYPERLINK("https://twitter.com/rubiavianto","@rubiavianto")</f>
        <v>@rubiavianto</v>
      </c>
      <c r="C28198" s="8" t="s">
        <v>10689</v>
      </c>
      <c r="D28198" s="8">
        <v>13</v>
      </c>
      <c r="E28198" s="8">
        <v>0</v>
      </c>
      <c r="F28198" s="8">
        <v>3220</v>
      </c>
    </row>
    <row r="28199" spans="1:6" ht="12.75">
      <c r="A28199" s="8">
        <v>43891.839722222227</v>
      </c>
      <c r="B28199" s="8" t="str">
        <f>HYPERLINK("https://twitter.com/Nouna_jessica94","@Nouna_jessica94")</f>
        <v>@Nouna_jessica94</v>
      </c>
      <c r="C28199" s="8" t="s">
        <v>10695</v>
      </c>
      <c r="D28199" s="8">
        <v>1</v>
      </c>
      <c r="E28199" s="8">
        <v>1</v>
      </c>
      <c r="F28199" s="8">
        <v>14243</v>
      </c>
    </row>
    <row r="28200" spans="1:6" ht="12.75">
      <c r="A28200" s="8">
        <v>43891.83966435185</v>
      </c>
      <c r="B28200" s="8" t="str">
        <f>HYPERLINK("https://twitter.com/alenhson","@alenhson")</f>
        <v>@alenhson</v>
      </c>
      <c r="C28200" s="8" t="s">
        <v>10689</v>
      </c>
      <c r="D28200" s="8">
        <v>13</v>
      </c>
      <c r="E28200" s="8">
        <v>0</v>
      </c>
      <c r="F28200" s="8">
        <v>2086</v>
      </c>
    </row>
    <row r="28201" spans="1:6" ht="12.75">
      <c r="A28201" s="8">
        <v>43891.83965277778</v>
      </c>
      <c r="B28201" s="8" t="str">
        <f>HYPERLINK("https://twitter.com/NVELW","@NVELW")</f>
        <v>@NVELW</v>
      </c>
      <c r="C28201" s="8" t="s">
        <v>6542</v>
      </c>
      <c r="D28201" s="8">
        <v>49</v>
      </c>
      <c r="E28201" s="8">
        <v>0</v>
      </c>
      <c r="F28201" s="8">
        <v>11</v>
      </c>
    </row>
    <row r="28202" spans="1:6" ht="12.75">
      <c r="A28202" s="8">
        <v>43891.839629629627</v>
      </c>
      <c r="B28202" s="8" t="str">
        <f>HYPERLINK("https://twitter.com/KeyshaAdinda5","@KeyshaAdinda5")</f>
        <v>@KeyshaAdinda5</v>
      </c>
      <c r="C28202" s="8" t="s">
        <v>10463</v>
      </c>
      <c r="D28202" s="8">
        <v>7</v>
      </c>
      <c r="E28202" s="8">
        <v>0</v>
      </c>
      <c r="F28202" s="8">
        <v>4657</v>
      </c>
    </row>
    <row r="28203" spans="1:6" ht="12.75">
      <c r="A28203" s="8">
        <v>43891.839629629627</v>
      </c>
      <c r="B28203" s="8" t="str">
        <f>HYPERLINK("https://twitter.com/taufannurcahyo","@taufannurcahyo")</f>
        <v>@taufannurcahyo</v>
      </c>
      <c r="C28203" s="8" t="s">
        <v>9587</v>
      </c>
      <c r="D28203" s="8">
        <v>41</v>
      </c>
      <c r="E28203" s="8">
        <v>0</v>
      </c>
      <c r="F28203" s="8">
        <v>361</v>
      </c>
    </row>
    <row r="28204" spans="1:6" ht="12.75">
      <c r="A28204" s="8">
        <v>43891.839618055557</v>
      </c>
      <c r="B28204" s="8" t="str">
        <f>HYPERLINK("https://twitter.com/candraiger","@candraiger")</f>
        <v>@candraiger</v>
      </c>
      <c r="C28204" s="8" t="s">
        <v>2199</v>
      </c>
      <c r="D28204" s="8">
        <v>105</v>
      </c>
      <c r="E28204" s="8">
        <v>0</v>
      </c>
      <c r="F28204" s="8">
        <v>615</v>
      </c>
    </row>
    <row r="28205" spans="1:6" ht="12.75">
      <c r="A28205" s="8">
        <v>43891.839618055557</v>
      </c>
      <c r="B28205" s="8" t="str">
        <f>HYPERLINK("https://twitter.com/Quntuz","@Quntuz")</f>
        <v>@Quntuz</v>
      </c>
      <c r="C28205" s="8" t="s">
        <v>10689</v>
      </c>
      <c r="D28205" s="8">
        <v>13</v>
      </c>
      <c r="E28205" s="8">
        <v>0</v>
      </c>
      <c r="F28205" s="8">
        <v>6070</v>
      </c>
    </row>
    <row r="28206" spans="1:6" ht="12.75">
      <c r="A28206" s="8">
        <v>43891.839606481481</v>
      </c>
      <c r="B28206" s="8" t="str">
        <f>HYPERLINK("https://twitter.com/ditjenkesmas","@ditjenkesmas")</f>
        <v>@ditjenkesmas</v>
      </c>
      <c r="C28206" s="8" t="s">
        <v>10020</v>
      </c>
      <c r="D28206" s="8">
        <v>16</v>
      </c>
      <c r="E28206" s="8">
        <v>0</v>
      </c>
      <c r="F28206" s="8">
        <v>7189</v>
      </c>
    </row>
    <row r="28207" spans="1:6" ht="12.75">
      <c r="A28207" s="8">
        <v>43891.839594907404</v>
      </c>
      <c r="B28207" s="8" t="str">
        <f>HYPERLINK("https://twitter.com/IdoCaur","@IdoCaur")</f>
        <v>@IdoCaur</v>
      </c>
      <c r="C28207" s="8" t="s">
        <v>10642</v>
      </c>
      <c r="D28207" s="8">
        <v>0</v>
      </c>
      <c r="E28207" s="8">
        <v>0</v>
      </c>
      <c r="F28207" s="8">
        <v>619</v>
      </c>
    </row>
    <row r="28208" spans="1:6" ht="12.75">
      <c r="A28208" s="8">
        <v>43891.839571759258</v>
      </c>
      <c r="B28208" s="8" t="str">
        <f>HYPERLINK("https://twitter.com/Hfnz9","@Hfnz9")</f>
        <v>@Hfnz9</v>
      </c>
      <c r="C28208" s="8" t="s">
        <v>10696</v>
      </c>
      <c r="D28208" s="8">
        <v>0</v>
      </c>
      <c r="E28208" s="8">
        <v>0</v>
      </c>
      <c r="F28208" s="8">
        <v>1154</v>
      </c>
    </row>
    <row r="28209" spans="1:6" ht="12.75">
      <c r="A28209" s="8">
        <v>43891.839548611111</v>
      </c>
      <c r="B28209" s="8" t="str">
        <f>HYPERLINK("https://twitter.com/MaryamAleya","@MaryamAleya")</f>
        <v>@MaryamAleya</v>
      </c>
      <c r="C28209" s="8" t="s">
        <v>10111</v>
      </c>
      <c r="D28209" s="8">
        <v>33</v>
      </c>
      <c r="E28209" s="8">
        <v>0</v>
      </c>
      <c r="F28209" s="8">
        <v>1665</v>
      </c>
    </row>
    <row r="28210" spans="1:6" ht="12.75">
      <c r="A28210" s="8">
        <v>43891.839513888888</v>
      </c>
      <c r="B28210" s="8" t="str">
        <f>HYPERLINK("https://twitter.com/relawanperak2","@relawanperak2")</f>
        <v>@relawanperak2</v>
      </c>
      <c r="C28210" s="8" t="s">
        <v>10447</v>
      </c>
      <c r="D28210" s="8">
        <v>18</v>
      </c>
      <c r="E28210" s="8">
        <v>0</v>
      </c>
      <c r="F28210" s="8">
        <v>2450</v>
      </c>
    </row>
    <row r="28211" spans="1:6" ht="12.75">
      <c r="A28211" s="8">
        <v>43891.839513888888</v>
      </c>
      <c r="B28211" s="8" t="str">
        <f>HYPERLINK("https://twitter.com/kampoengasri","@kampoengasri")</f>
        <v>@kampoengasri</v>
      </c>
      <c r="C28211" s="8" t="s">
        <v>2199</v>
      </c>
      <c r="D28211" s="8">
        <v>105</v>
      </c>
      <c r="E28211" s="8">
        <v>0</v>
      </c>
      <c r="F28211" s="8">
        <v>125</v>
      </c>
    </row>
    <row r="28212" spans="1:6" ht="12.75">
      <c r="A28212" s="8">
        <v>43891.839513888888</v>
      </c>
      <c r="B28212" s="8" t="str">
        <f>HYPERLINK("https://twitter.com/IdoCaur","@IdoCaur")</f>
        <v>@IdoCaur</v>
      </c>
      <c r="C28212" s="8" t="s">
        <v>10641</v>
      </c>
      <c r="D28212" s="8">
        <v>0</v>
      </c>
      <c r="E28212" s="8">
        <v>0</v>
      </c>
      <c r="F28212" s="8">
        <v>619</v>
      </c>
    </row>
    <row r="28213" spans="1:6" ht="12.75">
      <c r="A28213" s="8">
        <v>43891.839479166665</v>
      </c>
      <c r="B28213" s="8" t="str">
        <f>HYPERLINK("https://twitter.com/wangi_bhumi","@wangi_bhumi")</f>
        <v>@wangi_bhumi</v>
      </c>
      <c r="C28213" s="8" t="s">
        <v>10111</v>
      </c>
      <c r="D28213" s="8">
        <v>33</v>
      </c>
      <c r="E28213" s="8">
        <v>0</v>
      </c>
      <c r="F28213" s="8">
        <v>2334</v>
      </c>
    </row>
    <row r="28214" spans="1:6" ht="12.75">
      <c r="A28214" s="8">
        <v>43891.839479166665</v>
      </c>
      <c r="B28214" s="8" t="str">
        <f>HYPERLINK("https://twitter.com/RsRs26767107","@RsRs26767107")</f>
        <v>@RsRs26767107</v>
      </c>
      <c r="C28214" s="8" t="s">
        <v>10481</v>
      </c>
      <c r="D28214" s="8">
        <v>159</v>
      </c>
      <c r="E28214" s="8">
        <v>0</v>
      </c>
      <c r="F28214" s="8">
        <v>30</v>
      </c>
    </row>
    <row r="28215" spans="1:6" ht="12.75">
      <c r="A28215" s="8">
        <v>43891.839467592596</v>
      </c>
      <c r="B28215" s="8" t="str">
        <f>HYPERLINK("https://twitter.com/astri4ndini","@astri4ndini")</f>
        <v>@astri4ndini</v>
      </c>
      <c r="C28215" s="8" t="s">
        <v>10697</v>
      </c>
      <c r="D28215" s="8">
        <v>0</v>
      </c>
      <c r="E28215" s="8">
        <v>0</v>
      </c>
      <c r="F28215" s="8">
        <v>1986</v>
      </c>
    </row>
    <row r="28216" spans="1:6" ht="12.75">
      <c r="A28216" s="8">
        <v>43891.839409722219</v>
      </c>
      <c r="B28216" s="8" t="str">
        <f>HYPERLINK("https://twitter.com/BadriaNaila","@BadriaNaila")</f>
        <v>@BadriaNaila</v>
      </c>
      <c r="C28216" s="8" t="s">
        <v>10641</v>
      </c>
      <c r="D28216" s="8">
        <v>0</v>
      </c>
      <c r="E28216" s="8">
        <v>0</v>
      </c>
      <c r="F28216" s="8">
        <v>557</v>
      </c>
    </row>
    <row r="28217" spans="1:6" ht="12.75">
      <c r="A28217" s="8">
        <v>43891.839409722219</v>
      </c>
      <c r="B28217" s="8" t="str">
        <f>HYPERLINK("https://twitter.com/cdamayantis","@cdamayantis")</f>
        <v>@cdamayantis</v>
      </c>
      <c r="C28217" s="8" t="s">
        <v>10698</v>
      </c>
      <c r="D28217" s="8">
        <v>0</v>
      </c>
      <c r="E28217" s="8">
        <v>0</v>
      </c>
      <c r="F28217" s="8">
        <v>82</v>
      </c>
    </row>
    <row r="28218" spans="1:6" ht="12.75">
      <c r="A28218" s="8">
        <v>43891.839386574073</v>
      </c>
      <c r="B28218" s="8" t="str">
        <f>HYPERLINK("https://twitter.com/ayah_9Garislucu","@ayah_9Garislucu")</f>
        <v>@ayah_9Garislucu</v>
      </c>
      <c r="C28218" s="8" t="s">
        <v>10449</v>
      </c>
      <c r="D28218" s="8">
        <v>1</v>
      </c>
      <c r="E28218" s="8">
        <v>0</v>
      </c>
      <c r="F28218" s="8">
        <v>7165</v>
      </c>
    </row>
    <row r="28219" spans="1:6" ht="12.75">
      <c r="A28219" s="8">
        <v>43891.839374999996</v>
      </c>
      <c r="B28219" s="8" t="str">
        <f>HYPERLINK("https://twitter.com/RaisaSukainah","@RaisaSukainah")</f>
        <v>@RaisaSukainah</v>
      </c>
      <c r="C28219" s="8" t="s">
        <v>10699</v>
      </c>
      <c r="D28219" s="8">
        <v>0</v>
      </c>
      <c r="E28219" s="8">
        <v>0</v>
      </c>
      <c r="F28219" s="8">
        <v>363</v>
      </c>
    </row>
    <row r="28220" spans="1:6" ht="12.75">
      <c r="A28220" s="8">
        <v>43891.839340277773</v>
      </c>
      <c r="B28220" s="8" t="str">
        <f>HYPERLINK("https://twitter.com/Jackjackaljugja","@Jackjackaljugja")</f>
        <v>@Jackjackaljugja</v>
      </c>
      <c r="C28220" s="8" t="s">
        <v>9130</v>
      </c>
      <c r="D28220" s="8">
        <v>90</v>
      </c>
      <c r="E28220" s="8">
        <v>0</v>
      </c>
      <c r="F28220" s="8">
        <v>614</v>
      </c>
    </row>
    <row r="28221" spans="1:6" ht="12.75">
      <c r="A28221" s="8">
        <v>43891.83929398148</v>
      </c>
      <c r="B28221" s="8" t="str">
        <f>HYPERLINK("https://twitter.com/jjsengui","@jjsengui")</f>
        <v>@jjsengui</v>
      </c>
      <c r="C28221" s="8" t="s">
        <v>10689</v>
      </c>
      <c r="D28221" s="8">
        <v>13</v>
      </c>
      <c r="E28221" s="8">
        <v>0</v>
      </c>
      <c r="F28221" s="8">
        <v>854</v>
      </c>
    </row>
    <row r="28222" spans="1:6" ht="12.75">
      <c r="A28222" s="8">
        <v>43891.83929398148</v>
      </c>
      <c r="B28222" s="8" t="str">
        <f>HYPERLINK("https://twitter.com/AsheelaB","@AsheelaB")</f>
        <v>@AsheelaB</v>
      </c>
      <c r="C28222" s="8" t="s">
        <v>10700</v>
      </c>
      <c r="D28222" s="8">
        <v>0</v>
      </c>
      <c r="E28222" s="8">
        <v>0</v>
      </c>
      <c r="F28222" s="8">
        <v>546</v>
      </c>
    </row>
    <row r="28223" spans="1:6" ht="12.75">
      <c r="A28223" s="8">
        <v>43891.839178240742</v>
      </c>
      <c r="B28223" s="8" t="str">
        <f t="shared" ref="B28223:B28224" si="382">HYPERLINK("https://twitter.com/zara_melia","@zara_melia")</f>
        <v>@zara_melia</v>
      </c>
      <c r="C28223" s="8" t="s">
        <v>10689</v>
      </c>
      <c r="D28223" s="8">
        <v>13</v>
      </c>
      <c r="E28223" s="8">
        <v>0</v>
      </c>
      <c r="F28223" s="8">
        <v>703</v>
      </c>
    </row>
    <row r="28224" spans="1:6" ht="12.75">
      <c r="A28224" s="8">
        <v>43891.839120370365</v>
      </c>
      <c r="B28224" s="8" t="str">
        <f t="shared" si="382"/>
        <v>@zara_melia</v>
      </c>
      <c r="C28224" s="8" t="s">
        <v>6986</v>
      </c>
      <c r="D28224" s="8">
        <v>11</v>
      </c>
      <c r="E28224" s="8">
        <v>0</v>
      </c>
      <c r="F28224" s="8">
        <v>703</v>
      </c>
    </row>
    <row r="28225" spans="1:6" ht="12.75">
      <c r="A28225" s="8">
        <v>43891.839097222226</v>
      </c>
      <c r="B28225" s="8" t="str">
        <f>HYPERLINK("https://twitter.com/astri4ndini","@astri4ndini")</f>
        <v>@astri4ndini</v>
      </c>
      <c r="C28225" s="8" t="s">
        <v>10701</v>
      </c>
      <c r="D28225" s="8">
        <v>0</v>
      </c>
      <c r="E28225" s="8">
        <v>0</v>
      </c>
      <c r="F28225" s="8">
        <v>1986</v>
      </c>
    </row>
    <row r="28226" spans="1:6" ht="12.75">
      <c r="A28226" s="8">
        <v>43891.839085648149</v>
      </c>
      <c r="B28226" s="8" t="str">
        <f>HYPERLINK("https://twitter.com/psanggasantosa","@psanggasantosa")</f>
        <v>@psanggasantosa</v>
      </c>
      <c r="C28226" s="8" t="s">
        <v>2199</v>
      </c>
      <c r="D28226" s="8">
        <v>105</v>
      </c>
      <c r="E28226" s="8">
        <v>0</v>
      </c>
      <c r="F28226" s="8">
        <v>294</v>
      </c>
    </row>
    <row r="28227" spans="1:6" ht="12.75">
      <c r="A28227" s="8">
        <v>43891.839062500003</v>
      </c>
      <c r="B28227" s="8" t="str">
        <f>HYPERLINK("https://twitter.com/BudakBadung11","@BudakBadung11")</f>
        <v>@BudakBadung11</v>
      </c>
      <c r="C28227" s="8" t="s">
        <v>10702</v>
      </c>
      <c r="D28227" s="8">
        <v>13</v>
      </c>
      <c r="E28227" s="8">
        <v>0</v>
      </c>
      <c r="F28227" s="8">
        <v>1</v>
      </c>
    </row>
    <row r="28228" spans="1:6" ht="12.75">
      <c r="A28228" s="8">
        <v>43891.839050925926</v>
      </c>
      <c r="B28228" s="8" t="str">
        <f>HYPERLINK("https://twitter.com/AsheelaB","@AsheelaB")</f>
        <v>@AsheelaB</v>
      </c>
      <c r="C28228" s="8" t="s">
        <v>10703</v>
      </c>
      <c r="D28228" s="8">
        <v>0</v>
      </c>
      <c r="E28228" s="8">
        <v>0</v>
      </c>
      <c r="F28228" s="8">
        <v>546</v>
      </c>
    </row>
    <row r="28229" spans="1:6" ht="12.75">
      <c r="A28229" s="8">
        <v>43891.839039351849</v>
      </c>
      <c r="B28229" s="8" t="str">
        <f>HYPERLINK("https://twitter.com/RaisaSukainah","@RaisaSukainah")</f>
        <v>@RaisaSukainah</v>
      </c>
      <c r="C28229" s="8" t="s">
        <v>10704</v>
      </c>
      <c r="D28229" s="8">
        <v>0</v>
      </c>
      <c r="E28229" s="8">
        <v>0</v>
      </c>
      <c r="F28229" s="8">
        <v>363</v>
      </c>
    </row>
    <row r="28230" spans="1:6" ht="12.75">
      <c r="A28230" s="8">
        <v>43891.83898148148</v>
      </c>
      <c r="B28230" s="8" t="str">
        <f>HYPERLINK("https://twitter.com/AEPishere","@AEPishere")</f>
        <v>@AEPishere</v>
      </c>
      <c r="C28230" s="8" t="s">
        <v>10633</v>
      </c>
      <c r="D28230" s="8">
        <v>3</v>
      </c>
      <c r="E28230" s="8">
        <v>0</v>
      </c>
      <c r="F28230" s="8">
        <v>3012</v>
      </c>
    </row>
    <row r="28231" spans="1:6" ht="12.75">
      <c r="A28231" s="8">
        <v>43891.83898148148</v>
      </c>
      <c r="B28231" s="8" t="str">
        <f>HYPERLINK("https://twitter.com/zara_melia","@zara_melia")</f>
        <v>@zara_melia</v>
      </c>
      <c r="C28231" s="8" t="s">
        <v>10111</v>
      </c>
      <c r="D28231" s="8">
        <v>33</v>
      </c>
      <c r="E28231" s="8">
        <v>0</v>
      </c>
      <c r="F28231" s="8">
        <v>703</v>
      </c>
    </row>
    <row r="28232" spans="1:6" ht="12.75">
      <c r="A28232" s="8">
        <v>43891.838958333334</v>
      </c>
      <c r="B28232" s="8" t="str">
        <f t="shared" ref="B28232:B28233" si="383">HYPERLINK("https://twitter.com/AEPishere","@AEPishere")</f>
        <v>@AEPishere</v>
      </c>
      <c r="C28232" s="8" t="s">
        <v>10634</v>
      </c>
      <c r="D28232" s="8">
        <v>5</v>
      </c>
      <c r="E28232" s="8">
        <v>0</v>
      </c>
      <c r="F28232" s="8">
        <v>3012</v>
      </c>
    </row>
    <row r="28233" spans="1:6" ht="12.75">
      <c r="A28233" s="8">
        <v>43891.838900462964</v>
      </c>
      <c r="B28233" s="8" t="str">
        <f t="shared" si="383"/>
        <v>@AEPishere</v>
      </c>
      <c r="C28233" s="8" t="s">
        <v>10637</v>
      </c>
      <c r="D28233" s="8">
        <v>6</v>
      </c>
      <c r="E28233" s="8">
        <v>0</v>
      </c>
      <c r="F28233" s="8">
        <v>3012</v>
      </c>
    </row>
    <row r="28234" spans="1:6" ht="12.75">
      <c r="A28234" s="8">
        <v>43891.838888888888</v>
      </c>
      <c r="B28234" s="8" t="str">
        <f>HYPERLINK("https://twitter.com/rqlabigail","@rqlabigail")</f>
        <v>@rqlabigail</v>
      </c>
      <c r="C28234" s="8" t="s">
        <v>10705</v>
      </c>
      <c r="D28234" s="8">
        <v>0</v>
      </c>
      <c r="E28234" s="8">
        <v>0</v>
      </c>
      <c r="F28234" s="8">
        <v>4</v>
      </c>
    </row>
    <row r="28235" spans="1:6" ht="12.75">
      <c r="A28235" s="8">
        <v>43891.838865740741</v>
      </c>
      <c r="B28235" s="8" t="str">
        <f>HYPERLINK("https://twitter.com/AEPishere","@AEPishere")</f>
        <v>@AEPishere</v>
      </c>
      <c r="C28235" s="8" t="s">
        <v>10638</v>
      </c>
      <c r="D28235" s="8">
        <v>29</v>
      </c>
      <c r="E28235" s="8">
        <v>0</v>
      </c>
      <c r="F28235" s="8">
        <v>3012</v>
      </c>
    </row>
    <row r="28236" spans="1:6" ht="12.75">
      <c r="A28236" s="8">
        <v>43891.838854166665</v>
      </c>
      <c r="B28236" s="8" t="str">
        <f>HYPERLINK("https://twitter.com/Quntuz","@Quntuz")</f>
        <v>@Quntuz</v>
      </c>
      <c r="C28236" s="8" t="s">
        <v>10706</v>
      </c>
      <c r="D28236" s="8">
        <v>0</v>
      </c>
      <c r="E28236" s="8">
        <v>1</v>
      </c>
      <c r="F28236" s="8">
        <v>6070</v>
      </c>
    </row>
    <row r="28237" spans="1:6" ht="12.75">
      <c r="A28237" s="8">
        <v>43891.838842592595</v>
      </c>
      <c r="B28237" s="8" t="str">
        <f>HYPERLINK("https://twitter.com/th_71brave","@th_71brave")</f>
        <v>@th_71brave</v>
      </c>
      <c r="C28237" s="8" t="s">
        <v>3850</v>
      </c>
      <c r="D28237" s="8">
        <v>512</v>
      </c>
      <c r="E28237" s="8">
        <v>0</v>
      </c>
      <c r="F28237" s="8">
        <v>144</v>
      </c>
    </row>
    <row r="28238" spans="1:6" ht="12.75">
      <c r="A28238" s="8">
        <v>43891.838831018518</v>
      </c>
      <c r="B28238" s="8" t="str">
        <f>HYPERLINK("https://twitter.com/BadriaNaila","@BadriaNaila")</f>
        <v>@BadriaNaila</v>
      </c>
      <c r="C28238" s="8" t="s">
        <v>10650</v>
      </c>
      <c r="D28238" s="8">
        <v>0</v>
      </c>
      <c r="E28238" s="8">
        <v>0</v>
      </c>
      <c r="F28238" s="8">
        <v>557</v>
      </c>
    </row>
    <row r="28239" spans="1:6" ht="12.75">
      <c r="A28239" s="8">
        <v>43891.838807870372</v>
      </c>
      <c r="B28239" s="8" t="str">
        <f>HYPERLINK("https://twitter.com/AEPishere","@AEPishere")</f>
        <v>@AEPishere</v>
      </c>
      <c r="C28239" s="8" t="s">
        <v>10635</v>
      </c>
      <c r="D28239" s="8">
        <v>6</v>
      </c>
      <c r="E28239" s="8">
        <v>0</v>
      </c>
      <c r="F28239" s="8">
        <v>3012</v>
      </c>
    </row>
    <row r="28240" spans="1:6" ht="12.75">
      <c r="A28240" s="8">
        <v>43891.838749999995</v>
      </c>
      <c r="B28240" s="8" t="str">
        <f>HYPERLINK("https://twitter.com/Kareen_Sadaf","@Kareen_Sadaf")</f>
        <v>@Kareen_Sadaf</v>
      </c>
      <c r="C28240" s="8" t="s">
        <v>10111</v>
      </c>
      <c r="D28240" s="8">
        <v>33</v>
      </c>
      <c r="E28240" s="8">
        <v>0</v>
      </c>
      <c r="F28240" s="8">
        <v>1291</v>
      </c>
    </row>
    <row r="28241" spans="1:6" ht="12.75">
      <c r="A28241" s="8">
        <v>43891.838738425926</v>
      </c>
      <c r="B28241" s="8" t="str">
        <f>HYPERLINK("https://twitter.com/BadriaNaila","@BadriaNaila")</f>
        <v>@BadriaNaila</v>
      </c>
      <c r="C28241" s="8" t="s">
        <v>10671</v>
      </c>
      <c r="D28241" s="8">
        <v>0</v>
      </c>
      <c r="E28241" s="8">
        <v>0</v>
      </c>
      <c r="F28241" s="8">
        <v>557</v>
      </c>
    </row>
    <row r="28242" spans="1:6" ht="12.75">
      <c r="A28242" s="8">
        <v>43891.838726851856</v>
      </c>
      <c r="B28242" s="8" t="str">
        <f>HYPERLINK("https://twitter.com/ambar7475","@ambar7475")</f>
        <v>@ambar7475</v>
      </c>
      <c r="C28242" s="8" t="s">
        <v>10707</v>
      </c>
      <c r="D28242" s="8">
        <v>1</v>
      </c>
      <c r="E28242" s="8">
        <v>0</v>
      </c>
      <c r="F28242" s="8">
        <v>2172</v>
      </c>
    </row>
    <row r="28243" spans="1:6" ht="12.75">
      <c r="A28243" s="8">
        <v>43891.838680555556</v>
      </c>
      <c r="B28243" s="8" t="str">
        <f>HYPERLINK("https://twitter.com/oprasisenyap","@oprasisenyap")</f>
        <v>@oprasisenyap</v>
      </c>
      <c r="C28243" s="8" t="s">
        <v>10708</v>
      </c>
      <c r="D28243" s="8">
        <v>1</v>
      </c>
      <c r="E28243" s="8">
        <v>0</v>
      </c>
      <c r="F28243" s="8">
        <v>83</v>
      </c>
    </row>
    <row r="28244" spans="1:6" ht="12.75">
      <c r="A28244" s="8">
        <v>43891.838622685187</v>
      </c>
      <c r="B28244" s="8" t="str">
        <f>HYPERLINK("https://twitter.com/ronihalim46","@ronihalim46")</f>
        <v>@ronihalim46</v>
      </c>
      <c r="C28244" s="8" t="s">
        <v>2199</v>
      </c>
      <c r="D28244" s="8">
        <v>105</v>
      </c>
      <c r="E28244" s="8">
        <v>0</v>
      </c>
      <c r="F28244" s="8">
        <v>68</v>
      </c>
    </row>
    <row r="28245" spans="1:6" ht="12.75">
      <c r="A28245" s="8">
        <v>43891.83861111111</v>
      </c>
      <c r="B28245" s="8" t="str">
        <f>HYPERLINK("https://twitter.com/AsheelaB","@AsheelaB")</f>
        <v>@AsheelaB</v>
      </c>
      <c r="C28245" s="8" t="s">
        <v>10709</v>
      </c>
      <c r="D28245" s="8">
        <v>0</v>
      </c>
      <c r="E28245" s="8">
        <v>0</v>
      </c>
      <c r="F28245" s="8">
        <v>546</v>
      </c>
    </row>
    <row r="28246" spans="1:6" ht="12.75">
      <c r="A28246" s="8">
        <v>43891.838587962964</v>
      </c>
      <c r="B28246" s="8" t="str">
        <f>HYPERLINK("https://twitter.com/Kareen_Sadaf","@Kareen_Sadaf")</f>
        <v>@Kareen_Sadaf</v>
      </c>
      <c r="C28246" s="8" t="s">
        <v>10612</v>
      </c>
      <c r="D28246" s="8">
        <v>7</v>
      </c>
      <c r="E28246" s="8">
        <v>0</v>
      </c>
      <c r="F28246" s="8">
        <v>1291</v>
      </c>
    </row>
    <row r="28247" spans="1:6" ht="12.75">
      <c r="A28247" s="8">
        <v>43891.838564814811</v>
      </c>
      <c r="B28247" s="8" t="str">
        <f>HYPERLINK("https://twitter.com/APalestin42","@APalestin42")</f>
        <v>@APalestin42</v>
      </c>
      <c r="C28247" s="8" t="s">
        <v>10689</v>
      </c>
      <c r="D28247" s="8">
        <v>13</v>
      </c>
      <c r="E28247" s="8">
        <v>0</v>
      </c>
      <c r="F28247" s="8">
        <v>310</v>
      </c>
    </row>
    <row r="28248" spans="1:6" ht="12.75">
      <c r="A28248" s="8">
        <v>43891.838518518518</v>
      </c>
      <c r="B28248" s="8" t="str">
        <f>HYPERLINK("https://twitter.com/yourqueenesther","@yourqueenesther")</f>
        <v>@yourqueenesther</v>
      </c>
      <c r="C28248" s="8" t="s">
        <v>10020</v>
      </c>
      <c r="D28248" s="8">
        <v>16</v>
      </c>
      <c r="E28248" s="8">
        <v>0</v>
      </c>
      <c r="F28248" s="8">
        <v>129</v>
      </c>
    </row>
    <row r="28249" spans="1:6" ht="12.75">
      <c r="A28249" s="8">
        <v>43891.838495370372</v>
      </c>
      <c r="B28249" s="8" t="str">
        <f>HYPERLINK("https://twitter.com/APalestin42","@APalestin42")</f>
        <v>@APalestin42</v>
      </c>
      <c r="C28249" s="8" t="s">
        <v>10710</v>
      </c>
      <c r="D28249" s="8">
        <v>0</v>
      </c>
      <c r="E28249" s="8">
        <v>0</v>
      </c>
      <c r="F28249" s="8">
        <v>310</v>
      </c>
    </row>
    <row r="28250" spans="1:6" ht="12.75">
      <c r="A28250" s="8">
        <v>43891.838460648149</v>
      </c>
      <c r="B28250" s="8" t="str">
        <f>HYPERLINK("https://twitter.com/tiushan","@tiushan")</f>
        <v>@tiushan</v>
      </c>
      <c r="C28250" s="8" t="s">
        <v>2199</v>
      </c>
      <c r="D28250" s="8">
        <v>105</v>
      </c>
      <c r="E28250" s="8">
        <v>0</v>
      </c>
      <c r="F28250" s="8">
        <v>180</v>
      </c>
    </row>
    <row r="28251" spans="1:6" ht="12.75">
      <c r="A28251" s="8">
        <v>43891.838460648149</v>
      </c>
      <c r="B28251" s="8" t="str">
        <f>HYPERLINK("https://twitter.com/WawaJamilah","@WawaJamilah")</f>
        <v>@WawaJamilah</v>
      </c>
      <c r="C28251" s="8" t="s">
        <v>10684</v>
      </c>
      <c r="D28251" s="8">
        <v>64</v>
      </c>
      <c r="E28251" s="8">
        <v>0</v>
      </c>
      <c r="F28251" s="8">
        <v>603</v>
      </c>
    </row>
    <row r="28252" spans="1:6" ht="12.75">
      <c r="A28252" s="8">
        <v>43891.838460648149</v>
      </c>
      <c r="B28252" s="8" t="str">
        <f>HYPERLINK("https://twitter.com/BadriaNaila","@BadriaNaila")</f>
        <v>@BadriaNaila</v>
      </c>
      <c r="C28252" s="8" t="s">
        <v>10711</v>
      </c>
      <c r="D28252" s="8">
        <v>0</v>
      </c>
      <c r="E28252" s="8">
        <v>0</v>
      </c>
      <c r="F28252" s="8">
        <v>557</v>
      </c>
    </row>
    <row r="28253" spans="1:6" ht="12.75">
      <c r="A28253" s="8">
        <v>43891.838333333333</v>
      </c>
      <c r="B28253" s="8" t="str">
        <f>HYPERLINK("https://twitter.com/8ab2cad1a73d4fe","@8ab2cad1a73d4fe")</f>
        <v>@8ab2cad1a73d4fe</v>
      </c>
      <c r="C28253" s="8" t="s">
        <v>10404</v>
      </c>
      <c r="D28253" s="8">
        <v>198</v>
      </c>
      <c r="E28253" s="8">
        <v>0</v>
      </c>
      <c r="F28253" s="8">
        <v>466</v>
      </c>
    </row>
    <row r="28254" spans="1:6" ht="12.75">
      <c r="A28254" s="8">
        <v>43891.838321759264</v>
      </c>
      <c r="B28254" s="8" t="str">
        <f>HYPERLINK("https://twitter.com/EnricoAlezandro","@EnricoAlezandro")</f>
        <v>@EnricoAlezandro</v>
      </c>
      <c r="C28254" s="8" t="s">
        <v>9587</v>
      </c>
      <c r="D28254" s="8">
        <v>41</v>
      </c>
      <c r="E28254" s="8">
        <v>0</v>
      </c>
      <c r="F28254" s="8">
        <v>473</v>
      </c>
    </row>
    <row r="28255" spans="1:6" ht="12.75">
      <c r="A28255" s="8">
        <v>43891.838263888887</v>
      </c>
      <c r="B28255" s="8" t="str">
        <f>HYPERLINK("https://twitter.com/RaisaSukainah","@RaisaSukainah")</f>
        <v>@RaisaSukainah</v>
      </c>
      <c r="C28255" s="8" t="s">
        <v>10712</v>
      </c>
      <c r="D28255" s="8">
        <v>0</v>
      </c>
      <c r="E28255" s="8">
        <v>0</v>
      </c>
      <c r="F28255" s="8">
        <v>363</v>
      </c>
    </row>
    <row r="28256" spans="1:6" ht="12.75">
      <c r="A28256" s="8">
        <v>43891.838206018518</v>
      </c>
      <c r="B28256" s="8" t="str">
        <f>HYPERLINK("https://twitter.com/mybelover12","@mybelover12")</f>
        <v>@mybelover12</v>
      </c>
      <c r="C28256" s="8" t="s">
        <v>3850</v>
      </c>
      <c r="D28256" s="8">
        <v>512</v>
      </c>
      <c r="E28256" s="8">
        <v>0</v>
      </c>
      <c r="F28256" s="8">
        <v>882</v>
      </c>
    </row>
    <row r="28257" spans="1:6" ht="12.75">
      <c r="A28257" s="8">
        <v>43891.838194444441</v>
      </c>
      <c r="B28257" s="8" t="str">
        <f>HYPERLINK("https://twitter.com/tjhinfar21","@tjhinfar21")</f>
        <v>@tjhinfar21</v>
      </c>
      <c r="C28257" s="8" t="s">
        <v>10111</v>
      </c>
      <c r="D28257" s="8">
        <v>33</v>
      </c>
      <c r="E28257" s="8">
        <v>0</v>
      </c>
      <c r="F28257" s="8">
        <v>16492</v>
      </c>
    </row>
    <row r="28258" spans="1:6" ht="12.75">
      <c r="A28258" s="8">
        <v>43891.838113425925</v>
      </c>
      <c r="B28258" s="8" t="str">
        <f>HYPERLINK("https://twitter.com/republikaonline","@republikaonline")</f>
        <v>@republikaonline</v>
      </c>
      <c r="C28258" s="8" t="s">
        <v>10713</v>
      </c>
      <c r="D28258" s="8">
        <v>1</v>
      </c>
      <c r="E28258" s="8">
        <v>2</v>
      </c>
      <c r="F28258" s="8">
        <v>1216495</v>
      </c>
    </row>
    <row r="28259" spans="1:6" ht="12.75">
      <c r="A28259" s="8">
        <v>43891.838090277779</v>
      </c>
      <c r="B28259" s="8" t="str">
        <f>HYPERLINK("https://twitter.com/astri4ndini","@astri4ndini")</f>
        <v>@astri4ndini</v>
      </c>
      <c r="C28259" s="8" t="s">
        <v>10714</v>
      </c>
      <c r="D28259" s="8">
        <v>0</v>
      </c>
      <c r="E28259" s="8">
        <v>0</v>
      </c>
      <c r="F28259" s="8">
        <v>1986</v>
      </c>
    </row>
    <row r="28260" spans="1:6" ht="12.75">
      <c r="A28260" s="8">
        <v>43891.838055555556</v>
      </c>
      <c r="B28260" s="8" t="str">
        <f>HYPERLINK("https://twitter.com/Thejak_Milan","@Thejak_Milan")</f>
        <v>@Thejak_Milan</v>
      </c>
      <c r="C28260" s="8" t="s">
        <v>10443</v>
      </c>
      <c r="D28260" s="8">
        <v>65</v>
      </c>
      <c r="E28260" s="8">
        <v>0</v>
      </c>
      <c r="F28260" s="8">
        <v>451</v>
      </c>
    </row>
    <row r="28261" spans="1:6" ht="12.75">
      <c r="A28261" s="8">
        <v>43891.83798611111</v>
      </c>
      <c r="B28261" s="8" t="str">
        <f>HYPERLINK("https://twitter.com/APalestin42","@APalestin42")</f>
        <v>@APalestin42</v>
      </c>
      <c r="C28261" s="8" t="s">
        <v>10701</v>
      </c>
      <c r="D28261" s="8">
        <v>0</v>
      </c>
      <c r="E28261" s="8">
        <v>0</v>
      </c>
      <c r="F28261" s="8">
        <v>310</v>
      </c>
    </row>
    <row r="28262" spans="1:6" ht="12.75">
      <c r="A28262" s="8">
        <v>43891.83792824074</v>
      </c>
      <c r="B28262" s="8" t="str">
        <f>HYPERLINK("https://twitter.com/ElvinaFazilla","@ElvinaFazilla")</f>
        <v>@ElvinaFazilla</v>
      </c>
      <c r="C28262" s="8" t="s">
        <v>10111</v>
      </c>
      <c r="D28262" s="8">
        <v>33</v>
      </c>
      <c r="E28262" s="8">
        <v>0</v>
      </c>
      <c r="F28262" s="8">
        <v>1929</v>
      </c>
    </row>
    <row r="28263" spans="1:6" ht="12.75">
      <c r="A28263" s="8">
        <v>43891.837905092594</v>
      </c>
      <c r="B28263" s="8" t="str">
        <f>HYPERLINK("https://twitter.com/astri4ndini","@astri4ndini")</f>
        <v>@astri4ndini</v>
      </c>
      <c r="C28263" s="8" t="s">
        <v>10715</v>
      </c>
      <c r="D28263" s="8">
        <v>0</v>
      </c>
      <c r="E28263" s="8">
        <v>0</v>
      </c>
      <c r="F28263" s="8">
        <v>1986</v>
      </c>
    </row>
    <row r="28264" spans="1:6" ht="12.75">
      <c r="A28264" s="8">
        <v>43891.837812500002</v>
      </c>
      <c r="B28264" s="8" t="str">
        <f>HYPERLINK("https://twitter.com/AsheelaB","@AsheelaB")</f>
        <v>@AsheelaB</v>
      </c>
      <c r="C28264" s="8" t="s">
        <v>10697</v>
      </c>
      <c r="D28264" s="8">
        <v>0</v>
      </c>
      <c r="E28264" s="8">
        <v>0</v>
      </c>
      <c r="F28264" s="8">
        <v>546</v>
      </c>
    </row>
    <row r="28265" spans="1:6" ht="12.75">
      <c r="A28265" s="8">
        <v>43891.837800925925</v>
      </c>
      <c r="B28265" s="8" t="str">
        <f>HYPERLINK("https://twitter.com/AyunindyaRizkya","@AyunindyaRizkya")</f>
        <v>@AyunindyaRizkya</v>
      </c>
      <c r="C28265" s="8" t="s">
        <v>10716</v>
      </c>
      <c r="D28265" s="8">
        <v>2</v>
      </c>
      <c r="E28265" s="8">
        <v>0</v>
      </c>
      <c r="F28265" s="8">
        <v>3559</v>
      </c>
    </row>
    <row r="28266" spans="1:6" ht="12.75">
      <c r="A28266" s="8">
        <v>43891.837766203702</v>
      </c>
      <c r="B28266" s="8" t="str">
        <f>HYPERLINK("https://twitter.com/IdoCaur","@IdoCaur")</f>
        <v>@IdoCaur</v>
      </c>
      <c r="C28266" s="8" t="s">
        <v>10674</v>
      </c>
      <c r="D28266" s="8">
        <v>0</v>
      </c>
      <c r="E28266" s="8">
        <v>0</v>
      </c>
      <c r="F28266" s="8">
        <v>619</v>
      </c>
    </row>
    <row r="28267" spans="1:6" ht="12.75">
      <c r="A28267" s="8">
        <v>43891.837743055556</v>
      </c>
      <c r="B28267" s="8" t="str">
        <f>HYPERLINK("https://twitter.com/BudakBadung11","@BudakBadung11")</f>
        <v>@BudakBadung11</v>
      </c>
      <c r="C28267" s="8" t="s">
        <v>10111</v>
      </c>
      <c r="D28267" s="8">
        <v>33</v>
      </c>
      <c r="E28267" s="8">
        <v>0</v>
      </c>
      <c r="F28267" s="8">
        <v>1</v>
      </c>
    </row>
    <row r="28268" spans="1:6" ht="12.75">
      <c r="A28268" s="8">
        <v>43891.837743055556</v>
      </c>
      <c r="B28268" s="8" t="str">
        <f>HYPERLINK("https://twitter.com/Chaterinee_08","@Chaterinee_08")</f>
        <v>@Chaterinee_08</v>
      </c>
      <c r="C28268" s="8" t="s">
        <v>10689</v>
      </c>
      <c r="D28268" s="8">
        <v>13</v>
      </c>
      <c r="E28268" s="8">
        <v>0</v>
      </c>
      <c r="F28268" s="8">
        <v>8746</v>
      </c>
    </row>
    <row r="28269" spans="1:6" ht="12.75">
      <c r="A28269" s="8">
        <v>43891.837719907402</v>
      </c>
      <c r="B28269" s="8" t="str">
        <f>HYPERLINK("https://twitter.com/AyunindyaRizkya","@AyunindyaRizkya")</f>
        <v>@AyunindyaRizkya</v>
      </c>
      <c r="C28269" s="8" t="s">
        <v>10688</v>
      </c>
      <c r="D28269" s="8">
        <v>3</v>
      </c>
      <c r="E28269" s="8">
        <v>0</v>
      </c>
      <c r="F28269" s="8">
        <v>3559</v>
      </c>
    </row>
    <row r="28270" spans="1:6" ht="12.75">
      <c r="A28270" s="8">
        <v>43891.837673611109</v>
      </c>
      <c r="B28270" s="8" t="str">
        <f>HYPERLINK("https://twitter.com/Chaterinee_08","@Chaterinee_08")</f>
        <v>@Chaterinee_08</v>
      </c>
      <c r="C28270" s="8" t="s">
        <v>10463</v>
      </c>
      <c r="D28270" s="8">
        <v>7</v>
      </c>
      <c r="E28270" s="8">
        <v>0</v>
      </c>
      <c r="F28270" s="8">
        <v>8746</v>
      </c>
    </row>
    <row r="28271" spans="1:6" ht="12.75">
      <c r="A28271" s="8">
        <v>43891.837650462963</v>
      </c>
      <c r="B28271" s="8" t="str">
        <f>HYPERLINK("https://twitter.com/APalestin42","@APalestin42")</f>
        <v>@APalestin42</v>
      </c>
      <c r="C28271" s="8" t="s">
        <v>10717</v>
      </c>
      <c r="D28271" s="8">
        <v>0</v>
      </c>
      <c r="E28271" s="8">
        <v>0</v>
      </c>
      <c r="F28271" s="8">
        <v>310</v>
      </c>
    </row>
    <row r="28272" spans="1:6" ht="12.75">
      <c r="A28272" s="8">
        <v>43891.837627314817</v>
      </c>
      <c r="B28272" s="8" t="str">
        <f>HYPERLINK("https://twitter.com/rubiavianto","@rubiavianto")</f>
        <v>@rubiavianto</v>
      </c>
      <c r="C28272" s="8" t="s">
        <v>10111</v>
      </c>
      <c r="D28272" s="8">
        <v>33</v>
      </c>
      <c r="E28272" s="8">
        <v>0</v>
      </c>
      <c r="F28272" s="8">
        <v>3220</v>
      </c>
    </row>
    <row r="28273" spans="1:6" ht="12.75">
      <c r="A28273" s="8">
        <v>43891.837604166663</v>
      </c>
      <c r="B28273" s="8" t="str">
        <f>HYPERLINK("https://twitter.com/IdoCaur","@IdoCaur")</f>
        <v>@IdoCaur</v>
      </c>
      <c r="C28273" s="8" t="s">
        <v>10677</v>
      </c>
      <c r="D28273" s="8">
        <v>0</v>
      </c>
      <c r="E28273" s="8">
        <v>0</v>
      </c>
      <c r="F28273" s="8">
        <v>619</v>
      </c>
    </row>
    <row r="28274" spans="1:6" ht="12.75">
      <c r="A28274" s="8">
        <v>43891.837604166663</v>
      </c>
      <c r="B28274" s="8" t="str">
        <f>HYPERLINK("https://twitter.com/ambar7475","@ambar7475")</f>
        <v>@ambar7475</v>
      </c>
      <c r="C28274" s="8" t="s">
        <v>10718</v>
      </c>
      <c r="D28274" s="8">
        <v>1</v>
      </c>
      <c r="E28274" s="8">
        <v>0</v>
      </c>
      <c r="F28274" s="8">
        <v>2172</v>
      </c>
    </row>
    <row r="28275" spans="1:6" ht="12.75">
      <c r="A28275" s="8">
        <v>43891.837581018517</v>
      </c>
      <c r="B28275" s="8" t="str">
        <f>HYPERLINK("https://twitter.com/AEPishere","@AEPishere")</f>
        <v>@AEPishere</v>
      </c>
      <c r="C28275" s="8" t="s">
        <v>10719</v>
      </c>
      <c r="D28275" s="8">
        <v>9</v>
      </c>
      <c r="E28275" s="8">
        <v>0</v>
      </c>
      <c r="F28275" s="8">
        <v>3012</v>
      </c>
    </row>
    <row r="28276" spans="1:6" ht="12.75">
      <c r="A28276" s="8">
        <v>43891.798425925925</v>
      </c>
      <c r="B28276" s="8" t="str">
        <f>HYPERLINK("https://twitter.com/artsbyabram","@artsbyabram")</f>
        <v>@artsbyabram</v>
      </c>
      <c r="C28276" s="8" t="s">
        <v>2272</v>
      </c>
      <c r="D28276" s="8">
        <v>778</v>
      </c>
      <c r="E28276" s="8">
        <v>0</v>
      </c>
      <c r="F28276" s="8">
        <v>33</v>
      </c>
    </row>
    <row r="28277" spans="1:6" ht="12.75">
      <c r="A28277" s="8">
        <v>43891.798402777778</v>
      </c>
      <c r="B28277" s="8" t="str">
        <f>HYPERLINK("https://twitter.com/NES40135128","@NES40135128")</f>
        <v>@NES40135128</v>
      </c>
      <c r="C28277" s="8" t="s">
        <v>10633</v>
      </c>
      <c r="D28277" s="8">
        <v>1</v>
      </c>
      <c r="E28277" s="8">
        <v>0</v>
      </c>
      <c r="F28277" s="8">
        <v>477</v>
      </c>
    </row>
    <row r="28278" spans="1:6" ht="12.75">
      <c r="A28278" s="8">
        <v>43891.798402777778</v>
      </c>
      <c r="B28278" s="8" t="str">
        <f>HYPERLINK("https://twitter.com/duanhanwu","@duanhanwu")</f>
        <v>@duanhanwu</v>
      </c>
      <c r="C28278" s="8" t="s">
        <v>10720</v>
      </c>
      <c r="D28278" s="8">
        <v>0</v>
      </c>
      <c r="E28278" s="8">
        <v>0</v>
      </c>
      <c r="F28278" s="8">
        <v>22</v>
      </c>
    </row>
    <row r="28279" spans="1:6" ht="12.75">
      <c r="A28279" s="8">
        <v>43891.798379629632</v>
      </c>
      <c r="B28279" s="8" t="str">
        <f>HYPERLINK("https://twitter.com/noteiqbal","@noteiqbal")</f>
        <v>@noteiqbal</v>
      </c>
      <c r="C28279" s="8" t="s">
        <v>3850</v>
      </c>
      <c r="D28279" s="8">
        <v>399</v>
      </c>
      <c r="E28279" s="8">
        <v>0</v>
      </c>
      <c r="F28279" s="8">
        <v>4531</v>
      </c>
    </row>
    <row r="28280" spans="1:6" ht="12.75">
      <c r="A28280" s="8">
        <v>43891.798356481479</v>
      </c>
      <c r="B28280" s="8" t="str">
        <f t="shared" ref="B28280:B28281" si="384">HYPERLINK("https://twitter.com/NES40135128","@NES40135128")</f>
        <v>@NES40135128</v>
      </c>
      <c r="C28280" s="8" t="s">
        <v>10634</v>
      </c>
      <c r="D28280" s="8">
        <v>4</v>
      </c>
      <c r="E28280" s="8">
        <v>0</v>
      </c>
      <c r="F28280" s="8">
        <v>477</v>
      </c>
    </row>
    <row r="28281" spans="1:6" ht="12.75">
      <c r="A28281" s="8">
        <v>43891.79822916667</v>
      </c>
      <c r="B28281" s="8" t="str">
        <f t="shared" si="384"/>
        <v>@NES40135128</v>
      </c>
      <c r="C28281" s="8" t="s">
        <v>10637</v>
      </c>
      <c r="D28281" s="8">
        <v>5</v>
      </c>
      <c r="E28281" s="8">
        <v>0</v>
      </c>
      <c r="F28281" s="8">
        <v>477</v>
      </c>
    </row>
    <row r="28282" spans="1:6" ht="12.75">
      <c r="A28282" s="8">
        <v>43891.798206018517</v>
      </c>
      <c r="B28282" s="8" t="str">
        <f>HYPERLINK("https://twitter.com/aku_gadis_bukan","@aku_gadis_bukan")</f>
        <v>@aku_gadis_bukan</v>
      </c>
      <c r="C28282" s="8" t="s">
        <v>10721</v>
      </c>
      <c r="D28282" s="8">
        <v>157</v>
      </c>
      <c r="E28282" s="8">
        <v>0</v>
      </c>
      <c r="F28282" s="8">
        <v>38</v>
      </c>
    </row>
    <row r="28283" spans="1:6" ht="12.75">
      <c r="A28283" s="8">
        <v>43891.798194444447</v>
      </c>
      <c r="B28283" s="8" t="str">
        <f>HYPERLINK("https://twitter.com/agusboy_1973","@agusboy_1973")</f>
        <v>@agusboy_1973</v>
      </c>
      <c r="C28283" s="8" t="s">
        <v>9729</v>
      </c>
      <c r="D28283" s="8">
        <v>45</v>
      </c>
      <c r="E28283" s="8">
        <v>0</v>
      </c>
      <c r="F28283" s="8">
        <v>4793</v>
      </c>
    </row>
    <row r="28284" spans="1:6" ht="12.75">
      <c r="A28284" s="8">
        <v>43891.798125000001</v>
      </c>
      <c r="B28284" s="8" t="str">
        <f>HYPERLINK("https://twitter.com/NES40135128","@NES40135128")</f>
        <v>@NES40135128</v>
      </c>
      <c r="C28284" s="8" t="s">
        <v>10638</v>
      </c>
      <c r="D28284" s="8">
        <v>27</v>
      </c>
      <c r="E28284" s="8">
        <v>0</v>
      </c>
      <c r="F28284" s="8">
        <v>477</v>
      </c>
    </row>
    <row r="28285" spans="1:6" ht="12.75">
      <c r="A28285" s="8">
        <v>43891.797754629632</v>
      </c>
      <c r="B28285" s="8" t="str">
        <f>HYPERLINK("https://twitter.com/veraagustian_","@veraagustian_")</f>
        <v>@veraagustian_</v>
      </c>
      <c r="C28285" s="8" t="s">
        <v>10020</v>
      </c>
      <c r="D28285" s="8">
        <v>5</v>
      </c>
      <c r="E28285" s="8">
        <v>0</v>
      </c>
      <c r="F28285" s="8">
        <v>3204</v>
      </c>
    </row>
    <row r="28286" spans="1:6" ht="12.75">
      <c r="A28286" s="8">
        <v>43891.797673611116</v>
      </c>
      <c r="B28286" s="8" t="str">
        <f>HYPERLINK("https://twitter.com/Fredy_Santana01","@Fredy_Santana01")</f>
        <v>@Fredy_Santana01</v>
      </c>
      <c r="C28286" s="8" t="s">
        <v>10722</v>
      </c>
      <c r="D28286" s="8">
        <v>116</v>
      </c>
      <c r="E28286" s="8">
        <v>0</v>
      </c>
      <c r="F28286" s="8">
        <v>1702</v>
      </c>
    </row>
    <row r="28287" spans="1:6" ht="12.75">
      <c r="A28287" s="8">
        <v>43891.797673611116</v>
      </c>
      <c r="B28287" s="8" t="str">
        <f>HYPERLINK("https://twitter.com/Indra98800969","@Indra98800969")</f>
        <v>@Indra98800969</v>
      </c>
      <c r="C28287" s="8" t="s">
        <v>9130</v>
      </c>
      <c r="D28287" s="8">
        <v>56</v>
      </c>
      <c r="E28287" s="8">
        <v>0</v>
      </c>
      <c r="F28287" s="8">
        <v>88</v>
      </c>
    </row>
    <row r="28288" spans="1:6" ht="12.75">
      <c r="A28288" s="8">
        <v>43891.797662037032</v>
      </c>
      <c r="B28288" s="8" t="str">
        <f>HYPERLINK("https://twitter.com/h_syarief","@h_syarief")</f>
        <v>@h_syarief</v>
      </c>
      <c r="C28288" s="8" t="s">
        <v>3850</v>
      </c>
      <c r="D28288" s="8">
        <v>399</v>
      </c>
      <c r="E28288" s="8">
        <v>0</v>
      </c>
      <c r="F28288" s="8">
        <v>1059</v>
      </c>
    </row>
    <row r="28289" spans="1:6" ht="12.75">
      <c r="A28289" s="8">
        <v>43891.797627314816</v>
      </c>
      <c r="B28289" s="8" t="str">
        <f>HYPERLINK("https://twitter.com/pangesstika","@pangesstika")</f>
        <v>@pangesstika</v>
      </c>
      <c r="C28289" s="8" t="s">
        <v>10723</v>
      </c>
      <c r="D28289" s="8">
        <v>0</v>
      </c>
      <c r="E28289" s="8">
        <v>0</v>
      </c>
      <c r="F28289" s="8">
        <v>458</v>
      </c>
    </row>
    <row r="28290" spans="1:6" ht="12.75">
      <c r="A28290" s="8">
        <v>43891.797546296293</v>
      </c>
      <c r="B28290" s="8" t="str">
        <f>HYPERLINK("https://twitter.com/marSyaheedAS","@marSyaheedAS")</f>
        <v>@marSyaheedAS</v>
      </c>
      <c r="C28290" s="8" t="s">
        <v>9130</v>
      </c>
      <c r="D28290" s="8">
        <v>56</v>
      </c>
      <c r="E28290" s="8">
        <v>0</v>
      </c>
      <c r="F28290" s="8">
        <v>1941</v>
      </c>
    </row>
    <row r="28291" spans="1:6" ht="12.75">
      <c r="A28291" s="8">
        <v>43891.797465277778</v>
      </c>
      <c r="B28291" s="8" t="str">
        <f>HYPERLINK("https://twitter.com/onomsalam2pas","@onomsalam2pas")</f>
        <v>@onomsalam2pas</v>
      </c>
      <c r="C28291" s="8" t="s">
        <v>3850</v>
      </c>
      <c r="D28291" s="8">
        <v>399</v>
      </c>
      <c r="E28291" s="8">
        <v>0</v>
      </c>
      <c r="F28291" s="8">
        <v>475</v>
      </c>
    </row>
    <row r="28292" spans="1:6" ht="12.75">
      <c r="A28292" s="8">
        <v>43891.797384259262</v>
      </c>
      <c r="B28292" s="8" t="str">
        <f>HYPERLINK("https://twitter.com/s_mulyatie","@s_mulyatie")</f>
        <v>@s_mulyatie</v>
      </c>
      <c r="C28292" s="8" t="s">
        <v>3850</v>
      </c>
      <c r="D28292" s="8">
        <v>399</v>
      </c>
      <c r="E28292" s="8">
        <v>0</v>
      </c>
      <c r="F28292" s="8">
        <v>1662</v>
      </c>
    </row>
    <row r="28293" spans="1:6" ht="12.75">
      <c r="A28293" s="8">
        <v>43891.797361111108</v>
      </c>
      <c r="B28293" s="8" t="str">
        <f>HYPERLINK("https://twitter.com/Om_Datuk","@Om_Datuk")</f>
        <v>@Om_Datuk</v>
      </c>
      <c r="C28293" s="8" t="s">
        <v>10724</v>
      </c>
      <c r="D28293" s="8">
        <v>2</v>
      </c>
      <c r="E28293" s="8">
        <v>0</v>
      </c>
      <c r="F28293" s="8">
        <v>668</v>
      </c>
    </row>
    <row r="28294" spans="1:6" ht="12.75">
      <c r="A28294" s="8">
        <v>43891.79724537037</v>
      </c>
      <c r="B28294" s="8" t="str">
        <f>HYPERLINK("https://twitter.com/tempodotco","@tempodotco")</f>
        <v>@tempodotco</v>
      </c>
      <c r="C28294" s="8" t="s">
        <v>10725</v>
      </c>
      <c r="D28294" s="8">
        <v>1</v>
      </c>
      <c r="E28294" s="8">
        <v>3</v>
      </c>
      <c r="F28294" s="8">
        <v>1713370</v>
      </c>
    </row>
    <row r="28295" spans="1:6" ht="12.75">
      <c r="A28295" s="8">
        <v>43891.797025462962</v>
      </c>
      <c r="B28295" s="8" t="str">
        <f>HYPERLINK("https://twitter.com/AndresOctafians","@AndresOctafians")</f>
        <v>@AndresOctafians</v>
      </c>
      <c r="C28295" s="8" t="s">
        <v>3850</v>
      </c>
      <c r="D28295" s="8">
        <v>399</v>
      </c>
      <c r="E28295" s="8">
        <v>0</v>
      </c>
      <c r="F28295" s="8">
        <v>61</v>
      </c>
    </row>
    <row r="28296" spans="1:6" ht="12.75">
      <c r="A28296" s="8">
        <v>43891.796979166669</v>
      </c>
      <c r="B28296" s="8" t="str">
        <f>HYPERLINK("https://twitter.com/M453h47","@M453h47")</f>
        <v>@M453h47</v>
      </c>
      <c r="C28296" s="8" t="s">
        <v>9130</v>
      </c>
      <c r="D28296" s="8">
        <v>56</v>
      </c>
      <c r="E28296" s="8">
        <v>0</v>
      </c>
      <c r="F28296" s="8">
        <v>239</v>
      </c>
    </row>
    <row r="28297" spans="1:6" ht="12.75">
      <c r="A28297" s="8">
        <v>43891.796817129631</v>
      </c>
      <c r="B28297" s="8" t="str">
        <f>HYPERLINK("https://twitter.com/areksosmed","@areksosmed")</f>
        <v>@areksosmed</v>
      </c>
      <c r="C28297" s="8" t="s">
        <v>10447</v>
      </c>
      <c r="D28297" s="8">
        <v>10</v>
      </c>
      <c r="E28297" s="8">
        <v>0</v>
      </c>
      <c r="F28297" s="8">
        <v>1238</v>
      </c>
    </row>
    <row r="28298" spans="1:6" ht="12.75">
      <c r="A28298" s="8">
        <v>43891.796782407408</v>
      </c>
      <c r="B28298" s="8" t="str">
        <f>HYPERLINK("https://twitter.com/drpriono","@drpriono")</f>
        <v>@drpriono</v>
      </c>
      <c r="C28298" s="8" t="s">
        <v>10726</v>
      </c>
      <c r="D28298" s="8">
        <v>0</v>
      </c>
      <c r="E28298" s="8">
        <v>0</v>
      </c>
      <c r="F28298" s="8">
        <v>504</v>
      </c>
    </row>
    <row r="28299" spans="1:6" ht="12.75">
      <c r="A28299" s="8">
        <v>43891.796597222223</v>
      </c>
      <c r="B28299" s="8" t="str">
        <f>HYPERLINK("https://twitter.com/YMStanjuang","@YMStanjuang")</f>
        <v>@YMStanjuang</v>
      </c>
      <c r="C28299" s="8" t="s">
        <v>10722</v>
      </c>
      <c r="D28299" s="8">
        <v>116</v>
      </c>
      <c r="E28299" s="8">
        <v>0</v>
      </c>
      <c r="F28299" s="8">
        <v>65</v>
      </c>
    </row>
    <row r="28300" spans="1:6" ht="12.75">
      <c r="A28300" s="8">
        <v>43891.796585648146</v>
      </c>
      <c r="B28300" s="8" t="str">
        <f>HYPERLINK("https://twitter.com/alhaquemeenuh","@alhaquemeenuh")</f>
        <v>@alhaquemeenuh</v>
      </c>
      <c r="C28300" s="8" t="s">
        <v>10727</v>
      </c>
      <c r="D28300" s="8">
        <v>0</v>
      </c>
      <c r="E28300" s="8">
        <v>0</v>
      </c>
      <c r="F28300" s="8">
        <v>62</v>
      </c>
    </row>
    <row r="28301" spans="1:6" ht="12.75">
      <c r="A28301" s="8">
        <v>43891.79650462963</v>
      </c>
      <c r="B28301" s="8" t="str">
        <f>HYPERLINK("https://twitter.com/MYembassyRome","@MYembassyRome")</f>
        <v>@MYembassyRome</v>
      </c>
      <c r="C28301" s="8" t="s">
        <v>4000</v>
      </c>
      <c r="D28301" s="8">
        <v>25</v>
      </c>
      <c r="E28301" s="8">
        <v>0</v>
      </c>
      <c r="F28301" s="8">
        <v>1056</v>
      </c>
    </row>
    <row r="28302" spans="1:6" ht="12.75">
      <c r="A28302" s="8">
        <v>43891.796400462961</v>
      </c>
      <c r="B28302" s="8" t="str">
        <f>HYPERLINK("https://twitter.com/uIatbuIu","@uIatbuIu")</f>
        <v>@uIatbuIu</v>
      </c>
      <c r="C28302" s="8" t="s">
        <v>10728</v>
      </c>
      <c r="D28302" s="8">
        <v>0</v>
      </c>
      <c r="E28302" s="8">
        <v>0</v>
      </c>
      <c r="F28302" s="8">
        <v>49</v>
      </c>
    </row>
    <row r="28303" spans="1:6" ht="12.75">
      <c r="A28303" s="8">
        <v>43891.796354166669</v>
      </c>
      <c r="B28303" s="8" t="str">
        <f>HYPERLINK("https://twitter.com/McSofyan","@McSofyan")</f>
        <v>@McSofyan</v>
      </c>
      <c r="C28303" s="8" t="s">
        <v>3850</v>
      </c>
      <c r="D28303" s="8">
        <v>399</v>
      </c>
      <c r="E28303" s="8">
        <v>0</v>
      </c>
      <c r="F28303" s="8">
        <v>432</v>
      </c>
    </row>
    <row r="28304" spans="1:6" ht="12.75">
      <c r="A28304" s="8">
        <v>43891.796203703707</v>
      </c>
      <c r="B28304" s="8" t="str">
        <f>HYPERLINK("https://twitter.com/Baliantaranews","@Baliantaranews")</f>
        <v>@Baliantaranews</v>
      </c>
      <c r="C28304" s="8" t="s">
        <v>10729</v>
      </c>
      <c r="D28304" s="8">
        <v>1</v>
      </c>
      <c r="E28304" s="8">
        <v>0</v>
      </c>
      <c r="F28304" s="8">
        <v>740</v>
      </c>
    </row>
    <row r="28305" spans="1:6" ht="12.75">
      <c r="A28305" s="8">
        <v>43891.79614583333</v>
      </c>
      <c r="B28305" s="8" t="str">
        <f>HYPERLINK("https://twitter.com/SultanAgunk","@SultanAgunk")</f>
        <v>@SultanAgunk</v>
      </c>
      <c r="C28305" s="8" t="s">
        <v>4990</v>
      </c>
      <c r="D28305" s="8">
        <v>13</v>
      </c>
      <c r="E28305" s="8">
        <v>0</v>
      </c>
      <c r="F28305" s="8">
        <v>1423</v>
      </c>
    </row>
    <row r="28306" spans="1:6" ht="12.75">
      <c r="A28306" s="8">
        <v>43891.796122685184</v>
      </c>
      <c r="B28306" s="8" t="str">
        <f>HYPERLINK("https://twitter.com/2019jkwsaja","@2019jkwsaja")</f>
        <v>@2019jkwsaja</v>
      </c>
      <c r="C28306" s="8" t="s">
        <v>10020</v>
      </c>
      <c r="D28306" s="8">
        <v>5</v>
      </c>
      <c r="E28306" s="8">
        <v>0</v>
      </c>
      <c r="F28306" s="8">
        <v>2591</v>
      </c>
    </row>
    <row r="28307" spans="1:6" ht="12.75">
      <c r="A28307" s="8">
        <v>43891.796006944445</v>
      </c>
      <c r="B28307" s="8" t="str">
        <f>HYPERLINK("https://twitter.com/ZupersoepriE","@ZupersoepriE")</f>
        <v>@ZupersoepriE</v>
      </c>
      <c r="C28307" s="8" t="s">
        <v>3850</v>
      </c>
      <c r="D28307" s="8">
        <v>399</v>
      </c>
      <c r="E28307" s="8">
        <v>0</v>
      </c>
      <c r="F28307" s="8">
        <v>82</v>
      </c>
    </row>
    <row r="28308" spans="1:6" ht="12.75">
      <c r="A28308" s="8">
        <v>43891.795937499999</v>
      </c>
      <c r="B28308" s="8" t="str">
        <f>HYPERLINK("https://twitter.com/demokrasicoid","@demokrasicoid")</f>
        <v>@demokrasicoid</v>
      </c>
      <c r="C28308" s="8" t="s">
        <v>10730</v>
      </c>
      <c r="D28308" s="8">
        <v>0</v>
      </c>
      <c r="E28308" s="8">
        <v>0</v>
      </c>
      <c r="F28308" s="8">
        <v>22838</v>
      </c>
    </row>
    <row r="28309" spans="1:6" ht="12.75">
      <c r="A28309" s="8">
        <v>43891.795902777776</v>
      </c>
      <c r="B28309" s="8" t="str">
        <f>HYPERLINK("https://twitter.com/antaranews_bali","@antaranews_bali")</f>
        <v>@antaranews_bali</v>
      </c>
      <c r="C28309" s="8" t="s">
        <v>10731</v>
      </c>
      <c r="D28309" s="8">
        <v>1</v>
      </c>
      <c r="E28309" s="8">
        <v>0</v>
      </c>
      <c r="F28309" s="8">
        <v>4937</v>
      </c>
    </row>
    <row r="28310" spans="1:6" ht="12.75">
      <c r="A28310" s="8">
        <v>43891.79587962963</v>
      </c>
      <c r="B28310" s="8" t="str">
        <f>HYPERLINK("https://twitter.com/de_kvn2","@de_kvn2")</f>
        <v>@de_kvn2</v>
      </c>
      <c r="C28310" s="8" t="s">
        <v>10481</v>
      </c>
      <c r="D28310" s="8">
        <v>146</v>
      </c>
      <c r="E28310" s="8">
        <v>0</v>
      </c>
      <c r="F28310" s="8">
        <v>279</v>
      </c>
    </row>
    <row r="28311" spans="1:6" ht="12.75">
      <c r="A28311" s="8">
        <v>43891.795717592591</v>
      </c>
      <c r="B28311" s="8" t="str">
        <f>HYPERLINK("https://twitter.com/okezonenews","@okezonenews")</f>
        <v>@okezonenews</v>
      </c>
      <c r="C28311" s="8" t="s">
        <v>10732</v>
      </c>
      <c r="D28311" s="8">
        <v>0</v>
      </c>
      <c r="E28311" s="8">
        <v>1</v>
      </c>
      <c r="F28311" s="8">
        <v>1744165</v>
      </c>
    </row>
    <row r="28312" spans="1:6" ht="12.75">
      <c r="A28312" s="8">
        <v>43891.795706018514</v>
      </c>
      <c r="B28312" s="8" t="str">
        <f>HYPERLINK("https://twitter.com/mdkoir","@mdkoir")</f>
        <v>@mdkoir</v>
      </c>
      <c r="C28312" s="8" t="s">
        <v>4990</v>
      </c>
      <c r="D28312" s="8">
        <v>13</v>
      </c>
      <c r="E28312" s="8">
        <v>0</v>
      </c>
      <c r="F28312" s="8">
        <v>528</v>
      </c>
    </row>
    <row r="28313" spans="1:6" ht="12.75">
      <c r="A28313" s="8">
        <v>43891.795659722222</v>
      </c>
      <c r="B28313" s="8" t="str">
        <f>HYPERLINK("https://twitter.com/Elinlinlon","@Elinlinlon")</f>
        <v>@Elinlinlon</v>
      </c>
      <c r="C28313" s="8" t="s">
        <v>10020</v>
      </c>
      <c r="D28313" s="8">
        <v>5</v>
      </c>
      <c r="E28313" s="8">
        <v>0</v>
      </c>
      <c r="F28313" s="8">
        <v>523</v>
      </c>
    </row>
    <row r="28314" spans="1:6" ht="12.75">
      <c r="A28314" s="8">
        <v>43891.795624999999</v>
      </c>
      <c r="B28314" s="8" t="str">
        <f>HYPERLINK("https://twitter.com/B_A_T_212","@B_A_T_212")</f>
        <v>@B_A_T_212</v>
      </c>
      <c r="C28314" s="8" t="s">
        <v>9130</v>
      </c>
      <c r="D28314" s="8">
        <v>56</v>
      </c>
      <c r="E28314" s="8">
        <v>0</v>
      </c>
      <c r="F28314" s="8">
        <v>1873</v>
      </c>
    </row>
    <row r="28315" spans="1:6" ht="12.75">
      <c r="A28315" s="8">
        <v>43891.795613425929</v>
      </c>
      <c r="B28315" s="8" t="str">
        <f>HYPERLINK("https://twitter.com/rqlabigail","@rqlabigail")</f>
        <v>@rqlabigail</v>
      </c>
      <c r="C28315" s="8" t="s">
        <v>10733</v>
      </c>
      <c r="D28315" s="8">
        <v>11</v>
      </c>
      <c r="E28315" s="8">
        <v>0</v>
      </c>
      <c r="F28315" s="8">
        <v>4</v>
      </c>
    </row>
    <row r="28316" spans="1:6" ht="12.75">
      <c r="A28316" s="8">
        <v>43891.795613425929</v>
      </c>
      <c r="B28316" s="8" t="str">
        <f>HYPERLINK("https://twitter.com/holerise","@holerise")</f>
        <v>@holerise</v>
      </c>
      <c r="C28316" s="8" t="s">
        <v>10684</v>
      </c>
      <c r="D28316" s="8">
        <v>35</v>
      </c>
      <c r="E28316" s="8">
        <v>0</v>
      </c>
      <c r="F28316" s="8">
        <v>883</v>
      </c>
    </row>
    <row r="28317" spans="1:6" ht="12.75">
      <c r="A28317" s="8">
        <v>43891.795486111107</v>
      </c>
      <c r="B28317" s="8" t="str">
        <f>HYPERLINK("https://twitter.com/Dadodad59834626","@Dadodad59834626")</f>
        <v>@Dadodad59834626</v>
      </c>
      <c r="C28317" s="8" t="s">
        <v>10443</v>
      </c>
      <c r="D28317" s="8">
        <v>59</v>
      </c>
      <c r="E28317" s="8">
        <v>0</v>
      </c>
      <c r="F28317" s="8">
        <v>308</v>
      </c>
    </row>
    <row r="28318" spans="1:6" ht="12.75">
      <c r="A28318" s="8">
        <v>43891.795486111107</v>
      </c>
      <c r="B28318" s="8" t="str">
        <f>HYPERLINK("https://twitter.com/diaryaca","@diaryaca")</f>
        <v>@diaryaca</v>
      </c>
      <c r="C28318" s="8" t="s">
        <v>10684</v>
      </c>
      <c r="D28318" s="8">
        <v>35</v>
      </c>
      <c r="E28318" s="8">
        <v>0</v>
      </c>
      <c r="F28318" s="8">
        <v>8331</v>
      </c>
    </row>
    <row r="28319" spans="1:6" ht="12.75">
      <c r="A28319" s="8">
        <v>43891.795462962968</v>
      </c>
      <c r="B28319" s="8" t="str">
        <f>HYPERLINK("https://twitter.com/rqlabigail","@rqlabigail")</f>
        <v>@rqlabigail</v>
      </c>
      <c r="C28319" s="8" t="s">
        <v>10734</v>
      </c>
      <c r="D28319" s="8">
        <v>5</v>
      </c>
      <c r="E28319" s="8">
        <v>0</v>
      </c>
      <c r="F28319" s="8">
        <v>4</v>
      </c>
    </row>
    <row r="28320" spans="1:6" ht="12.75">
      <c r="A28320" s="8">
        <v>43891.795462962968</v>
      </c>
      <c r="B28320" s="8" t="str">
        <f>HYPERLINK("https://twitter.com/qm4n76","@qm4n76")</f>
        <v>@qm4n76</v>
      </c>
      <c r="C28320" s="8" t="s">
        <v>4990</v>
      </c>
      <c r="D28320" s="8">
        <v>13</v>
      </c>
      <c r="E28320" s="8">
        <v>0</v>
      </c>
      <c r="F28320" s="8">
        <v>673</v>
      </c>
    </row>
    <row r="28321" spans="1:6" ht="12.75">
      <c r="A28321" s="8">
        <v>43891.795451388884</v>
      </c>
      <c r="B28321" s="8" t="str">
        <f>HYPERLINK("https://twitter.com/dmwsdq","@dmwsdq")</f>
        <v>@dmwsdq</v>
      </c>
      <c r="C28321" s="8" t="s">
        <v>10735</v>
      </c>
      <c r="D28321" s="8">
        <v>0</v>
      </c>
      <c r="E28321" s="8">
        <v>0</v>
      </c>
      <c r="F28321" s="8">
        <v>904</v>
      </c>
    </row>
    <row r="28322" spans="1:6" ht="12.75">
      <c r="A28322" s="8">
        <v>43891.795428240745</v>
      </c>
      <c r="B28322" s="8" t="str">
        <f>HYPERLINK("https://twitter.com/Dunia__Sekejap","@Dunia__Sekejap")</f>
        <v>@Dunia__Sekejap</v>
      </c>
      <c r="C28322" s="8" t="s">
        <v>4990</v>
      </c>
      <c r="D28322" s="8">
        <v>13</v>
      </c>
      <c r="E28322" s="8">
        <v>0</v>
      </c>
      <c r="F28322" s="8">
        <v>2519</v>
      </c>
    </row>
    <row r="28323" spans="1:6" ht="12.75">
      <c r="A28323" s="8">
        <v>43891.795405092591</v>
      </c>
      <c r="B28323" s="8" t="str">
        <f>HYPERLINK("https://twitter.com/GUSBENSOK","@GUSBENSOK")</f>
        <v>@GUSBENSOK</v>
      </c>
      <c r="C28323" s="8" t="s">
        <v>3850</v>
      </c>
      <c r="D28323" s="8">
        <v>399</v>
      </c>
      <c r="E28323" s="8">
        <v>0</v>
      </c>
      <c r="F28323" s="8">
        <v>2054</v>
      </c>
    </row>
    <row r="28324" spans="1:6" ht="12.75">
      <c r="A28324" s="8">
        <v>43891.795335648145</v>
      </c>
      <c r="B28324" s="8" t="str">
        <f>HYPERLINK("https://twitter.com/Aq64987848","@Aq64987848")</f>
        <v>@Aq64987848</v>
      </c>
      <c r="C28324" s="8" t="s">
        <v>7704</v>
      </c>
      <c r="D28324" s="8">
        <v>151</v>
      </c>
      <c r="E28324" s="8">
        <v>0</v>
      </c>
      <c r="F28324" s="8">
        <v>143</v>
      </c>
    </row>
    <row r="28325" spans="1:6" ht="12.75">
      <c r="A28325" s="8">
        <v>43891.795324074075</v>
      </c>
      <c r="B28325" s="8" t="str">
        <f>HYPERLINK("https://twitter.com/Toyeb43686631","@Toyeb43686631")</f>
        <v>@Toyeb43686631</v>
      </c>
      <c r="C28325" s="8" t="s">
        <v>4990</v>
      </c>
      <c r="D28325" s="8">
        <v>13</v>
      </c>
      <c r="E28325" s="8">
        <v>0</v>
      </c>
      <c r="F28325" s="8">
        <v>1451</v>
      </c>
    </row>
    <row r="28326" spans="1:6" ht="12.75">
      <c r="A28326" s="8">
        <v>43891.79524305556</v>
      </c>
      <c r="B28326" s="8" t="str">
        <f>HYPERLINK("https://twitter.com/P_Eneste","@P_Eneste")</f>
        <v>@P_Eneste</v>
      </c>
      <c r="C28326" s="8" t="s">
        <v>10736</v>
      </c>
      <c r="D28326" s="8">
        <v>0</v>
      </c>
      <c r="E28326" s="8">
        <v>0</v>
      </c>
      <c r="F28326" s="8">
        <v>1399</v>
      </c>
    </row>
    <row r="28327" spans="1:6" ht="12.75">
      <c r="A28327" s="8">
        <v>43891.79519675926</v>
      </c>
      <c r="B28327" s="8" t="str">
        <f>HYPERLINK("https://twitter.com/AdjiEins","@AdjiEins")</f>
        <v>@AdjiEins</v>
      </c>
      <c r="C28327" s="8" t="s">
        <v>3850</v>
      </c>
      <c r="D28327" s="8">
        <v>399</v>
      </c>
      <c r="E28327" s="8">
        <v>0</v>
      </c>
      <c r="F28327" s="8">
        <v>3194</v>
      </c>
    </row>
    <row r="28328" spans="1:6" ht="12.75">
      <c r="A28328" s="8">
        <v>43891.795162037037</v>
      </c>
      <c r="B28328" s="8" t="str">
        <f>HYPERLINK("https://twitter.com/rqlabigail","@rqlabigail")</f>
        <v>@rqlabigail</v>
      </c>
      <c r="C28328" s="8" t="s">
        <v>10737</v>
      </c>
      <c r="D28328" s="8">
        <v>13</v>
      </c>
      <c r="E28328" s="8">
        <v>0</v>
      </c>
      <c r="F28328" s="8">
        <v>4</v>
      </c>
    </row>
    <row r="28329" spans="1:6" ht="12.75">
      <c r="A28329" s="8">
        <v>43891.795138888891</v>
      </c>
      <c r="B28329" s="8" t="str">
        <f>HYPERLINK("https://twitter.com/Abraham91108815","@Abraham91108815")</f>
        <v>@Abraham91108815</v>
      </c>
      <c r="C28329" s="8" t="s">
        <v>9729</v>
      </c>
      <c r="D28329" s="8">
        <v>45</v>
      </c>
      <c r="E28329" s="8">
        <v>0</v>
      </c>
      <c r="F28329" s="8">
        <v>52</v>
      </c>
    </row>
    <row r="28330" spans="1:6" ht="12.75">
      <c r="A28330" s="8">
        <v>43891.795104166667</v>
      </c>
      <c r="B28330" s="8" t="str">
        <f>HYPERLINK("https://twitter.com/rqlabigail","@rqlabigail")</f>
        <v>@rqlabigail</v>
      </c>
      <c r="C28330" s="8" t="s">
        <v>10738</v>
      </c>
      <c r="D28330" s="8">
        <v>4</v>
      </c>
      <c r="E28330" s="8">
        <v>0</v>
      </c>
      <c r="F28330" s="8">
        <v>4</v>
      </c>
    </row>
    <row r="28331" spans="1:6" ht="12.75">
      <c r="A28331" s="8">
        <v>43891.795069444444</v>
      </c>
      <c r="B28331" s="8" t="str">
        <f>HYPERLINK("https://twitter.com/Fariz_Davin","@Fariz_Davin")</f>
        <v>@Fariz_Davin</v>
      </c>
      <c r="C28331" s="8" t="s">
        <v>3850</v>
      </c>
      <c r="D28331" s="8">
        <v>399</v>
      </c>
      <c r="E28331" s="8">
        <v>0</v>
      </c>
      <c r="F28331" s="8">
        <v>1135</v>
      </c>
    </row>
    <row r="28332" spans="1:6" ht="12.75">
      <c r="A28332" s="8">
        <v>43891.79488425926</v>
      </c>
      <c r="B28332" s="8" t="str">
        <f>HYPERLINK("https://twitter.com/adriankusaihir1","@adriankusaihir1")</f>
        <v>@adriankusaihir1</v>
      </c>
      <c r="C28332" s="8" t="s">
        <v>10739</v>
      </c>
      <c r="D28332" s="8">
        <v>0</v>
      </c>
      <c r="E28332" s="8">
        <v>0</v>
      </c>
      <c r="F28332" s="8">
        <v>164</v>
      </c>
    </row>
    <row r="28333" spans="1:6" ht="12.75">
      <c r="A28333" s="8">
        <v>43891.794745370367</v>
      </c>
      <c r="B28333" s="8" t="str">
        <f>HYPERLINK("https://twitter.com/azhari_rangguci","@azhari_rangguci")</f>
        <v>@azhari_rangguci</v>
      </c>
      <c r="C28333" s="8" t="s">
        <v>3850</v>
      </c>
      <c r="D28333" s="8">
        <v>399</v>
      </c>
      <c r="E28333" s="8">
        <v>0</v>
      </c>
      <c r="F28333" s="8">
        <v>129</v>
      </c>
    </row>
    <row r="28334" spans="1:6" ht="12.75">
      <c r="A28334" s="8">
        <v>43891.794733796298</v>
      </c>
      <c r="B28334" s="8" t="str">
        <f>HYPERLINK("https://twitter.com/ItsMyRealQuotes","@ItsMyRealQuotes")</f>
        <v>@ItsMyRealQuotes</v>
      </c>
      <c r="C28334" s="8" t="s">
        <v>10737</v>
      </c>
      <c r="D28334" s="8">
        <v>13</v>
      </c>
      <c r="E28334" s="8">
        <v>0</v>
      </c>
      <c r="F28334" s="8">
        <v>186216</v>
      </c>
    </row>
    <row r="28335" spans="1:6" ht="12.75">
      <c r="A28335" s="8">
        <v>43891.794699074075</v>
      </c>
      <c r="B28335" s="8" t="str">
        <f>HYPERLINK("https://twitter.com/Ahmed_li_24","@Ahmed_li_24")</f>
        <v>@Ahmed_li_24</v>
      </c>
      <c r="C28335" s="8" t="s">
        <v>6836</v>
      </c>
      <c r="D28335" s="8">
        <v>633</v>
      </c>
      <c r="E28335" s="8">
        <v>0</v>
      </c>
      <c r="F28335" s="8">
        <v>905</v>
      </c>
    </row>
    <row r="28336" spans="1:6" ht="12.75">
      <c r="A28336" s="8">
        <v>43891.794675925921</v>
      </c>
      <c r="B28336" s="8" t="str">
        <f>HYPERLINK("https://twitter.com/WhereAbu","@WhereAbu")</f>
        <v>@WhereAbu</v>
      </c>
      <c r="C28336" s="8" t="s">
        <v>7704</v>
      </c>
      <c r="D28336" s="8">
        <v>151</v>
      </c>
      <c r="E28336" s="8">
        <v>0</v>
      </c>
      <c r="F28336" s="8">
        <v>471</v>
      </c>
    </row>
    <row r="28337" spans="1:6" ht="12.75">
      <c r="A28337" s="8">
        <v>43891.794664351852</v>
      </c>
      <c r="B28337" s="8" t="str">
        <f>HYPERLINK("https://twitter.com/ItsMyRealQuotes","@ItsMyRealQuotes")</f>
        <v>@ItsMyRealQuotes</v>
      </c>
      <c r="C28337" s="8" t="s">
        <v>10738</v>
      </c>
      <c r="D28337" s="8">
        <v>4</v>
      </c>
      <c r="E28337" s="8">
        <v>0</v>
      </c>
      <c r="F28337" s="8">
        <v>186216</v>
      </c>
    </row>
    <row r="28338" spans="1:6" ht="12.75">
      <c r="A28338" s="8">
        <v>43891.794618055559</v>
      </c>
      <c r="B28338" s="8" t="str">
        <f>HYPERLINK("https://twitter.com/KemenkesRI","@KemenkesRI")</f>
        <v>@KemenkesRI</v>
      </c>
      <c r="C28338" s="8" t="s">
        <v>10740</v>
      </c>
      <c r="D28338" s="8">
        <v>5</v>
      </c>
      <c r="E28338" s="8">
        <v>11</v>
      </c>
      <c r="F28338" s="8">
        <v>251751</v>
      </c>
    </row>
    <row r="28339" spans="1:6" ht="12.75">
      <c r="A28339" s="8">
        <v>43891.794583333336</v>
      </c>
      <c r="B28339" s="8" t="str">
        <f>HYPERLINK("https://twitter.com/mus_tanjung","@mus_tanjung")</f>
        <v>@mus_tanjung</v>
      </c>
      <c r="C28339" s="8" t="s">
        <v>4990</v>
      </c>
      <c r="D28339" s="8">
        <v>13</v>
      </c>
      <c r="E28339" s="8">
        <v>0</v>
      </c>
      <c r="F28339" s="8">
        <v>2577</v>
      </c>
    </row>
    <row r="28340" spans="1:6" ht="12.75">
      <c r="A28340" s="8">
        <v>43891.794583333336</v>
      </c>
      <c r="B28340" s="8" t="str">
        <f>HYPERLINK("https://twitter.com/arunsoerja","@arunsoerja")</f>
        <v>@arunsoerja</v>
      </c>
      <c r="C28340" s="8" t="s">
        <v>2272</v>
      </c>
      <c r="D28340" s="8">
        <v>778</v>
      </c>
      <c r="E28340" s="8">
        <v>0</v>
      </c>
      <c r="F28340" s="8">
        <v>317</v>
      </c>
    </row>
    <row r="28341" spans="1:6" ht="12.75">
      <c r="A28341" s="8">
        <v>43891.794490740736</v>
      </c>
      <c r="B28341" s="8" t="str">
        <f>HYPERLINK("https://twitter.com/10_Setiaji","@10_Setiaji")</f>
        <v>@10_Setiaji</v>
      </c>
      <c r="C28341" s="8" t="s">
        <v>10722</v>
      </c>
      <c r="D28341" s="8">
        <v>116</v>
      </c>
      <c r="E28341" s="8">
        <v>0</v>
      </c>
      <c r="F28341" s="8">
        <v>111</v>
      </c>
    </row>
    <row r="28342" spans="1:6" ht="12.75">
      <c r="A28342" s="8">
        <v>43891.794467592597</v>
      </c>
      <c r="B28342" s="8" t="str">
        <f>HYPERLINK("https://twitter.com/oktorinaldoo","@oktorinaldoo")</f>
        <v>@oktorinaldoo</v>
      </c>
      <c r="C28342" s="8" t="s">
        <v>10741</v>
      </c>
      <c r="D28342" s="8">
        <v>6</v>
      </c>
      <c r="E28342" s="8">
        <v>0</v>
      </c>
      <c r="F28342" s="8">
        <v>63</v>
      </c>
    </row>
    <row r="28343" spans="1:6" ht="12.75">
      <c r="A28343" s="8">
        <v>43891.794467592597</v>
      </c>
      <c r="B28343" s="8" t="str">
        <f>HYPERLINK("https://twitter.com/rmoljabar","@rmoljabar")</f>
        <v>@rmoljabar</v>
      </c>
      <c r="C28343" s="8" t="s">
        <v>10742</v>
      </c>
      <c r="D28343" s="8">
        <v>0</v>
      </c>
      <c r="E28343" s="8">
        <v>0</v>
      </c>
      <c r="F28343" s="8">
        <v>6042</v>
      </c>
    </row>
    <row r="28344" spans="1:6" ht="12.75">
      <c r="A28344" s="8">
        <v>43891.794178240743</v>
      </c>
      <c r="B28344" s="8" t="str">
        <f>HYPERLINK("https://twitter.com/mugiya_wardhany","@mugiya_wardhany")</f>
        <v>@mugiya_wardhany</v>
      </c>
      <c r="C28344" s="8" t="s">
        <v>3850</v>
      </c>
      <c r="D28344" s="8">
        <v>399</v>
      </c>
      <c r="E28344" s="8">
        <v>0</v>
      </c>
      <c r="F28344" s="8">
        <v>1674</v>
      </c>
    </row>
    <row r="28345" spans="1:6" ht="12.75">
      <c r="A28345" s="8">
        <v>43891.794085648144</v>
      </c>
      <c r="B28345" s="8" t="str">
        <f>HYPERLINK("https://twitter.com/kangewink","@kangewink")</f>
        <v>@kangewink</v>
      </c>
      <c r="C28345" s="8" t="s">
        <v>10743</v>
      </c>
      <c r="D28345" s="8">
        <v>180</v>
      </c>
      <c r="E28345" s="8">
        <v>0</v>
      </c>
      <c r="F28345" s="8">
        <v>142</v>
      </c>
    </row>
    <row r="28346" spans="1:6" ht="12.75">
      <c r="A28346" s="8">
        <v>43891.793993055559</v>
      </c>
      <c r="B28346" s="8" t="str">
        <f>HYPERLINK("https://twitter.com/Anggun46484034","@Anggun46484034")</f>
        <v>@Anggun46484034</v>
      </c>
      <c r="C28346" s="8" t="s">
        <v>3850</v>
      </c>
      <c r="D28346" s="8">
        <v>399</v>
      </c>
      <c r="E28346" s="8">
        <v>0</v>
      </c>
      <c r="F28346" s="8">
        <v>846</v>
      </c>
    </row>
    <row r="28347" spans="1:6" ht="12.75">
      <c r="A28347" s="8">
        <v>43891.793969907405</v>
      </c>
      <c r="B28347" s="8" t="str">
        <f>HYPERLINK("https://twitter.com/atjehsultanate","@atjehsultanate")</f>
        <v>@atjehsultanate</v>
      </c>
      <c r="C28347" s="8" t="s">
        <v>10521</v>
      </c>
      <c r="D28347" s="8">
        <v>1</v>
      </c>
      <c r="E28347" s="8">
        <v>0</v>
      </c>
      <c r="F28347" s="8">
        <v>11552</v>
      </c>
    </row>
    <row r="28348" spans="1:6" ht="12.75">
      <c r="A28348" s="8">
        <v>43891.793715277774</v>
      </c>
      <c r="B28348" s="8" t="str">
        <f>HYPERLINK("https://twitter.com/qorynf","@qorynf")</f>
        <v>@qorynf</v>
      </c>
      <c r="C28348" s="8" t="s">
        <v>4990</v>
      </c>
      <c r="D28348" s="8">
        <v>13</v>
      </c>
      <c r="E28348" s="8">
        <v>0</v>
      </c>
      <c r="F28348" s="8">
        <v>461</v>
      </c>
    </row>
    <row r="28349" spans="1:6" ht="12.75">
      <c r="A28349" s="8">
        <v>43891.793622685189</v>
      </c>
      <c r="B28349" s="8" t="str">
        <f>HYPERLINK("https://twitter.com/CandraRachmad","@CandraRachmad")</f>
        <v>@CandraRachmad</v>
      </c>
      <c r="C28349" s="8" t="s">
        <v>10404</v>
      </c>
      <c r="D28349" s="8">
        <v>183</v>
      </c>
      <c r="E28349" s="8">
        <v>0</v>
      </c>
      <c r="F28349" s="8">
        <v>165</v>
      </c>
    </row>
    <row r="28350" spans="1:6" ht="12.75">
      <c r="A28350" s="8">
        <v>43891.793599537035</v>
      </c>
      <c r="B28350" s="8" t="str">
        <f>HYPERLINK("https://twitter.com/anantanurizki","@anantanurizki")</f>
        <v>@anantanurizki</v>
      </c>
      <c r="C28350" s="8" t="s">
        <v>6542</v>
      </c>
      <c r="D28350" s="8">
        <v>31</v>
      </c>
      <c r="E28350" s="8">
        <v>0</v>
      </c>
      <c r="F28350" s="8">
        <v>591</v>
      </c>
    </row>
    <row r="28351" spans="1:6" ht="12.75">
      <c r="A28351" s="8">
        <v>43891.793576388889</v>
      </c>
      <c r="B28351" s="8" t="str">
        <f>HYPERLINK("https://twitter.com/herdianto_edy","@herdianto_edy")</f>
        <v>@herdianto_edy</v>
      </c>
      <c r="C28351" s="8" t="s">
        <v>10744</v>
      </c>
      <c r="D28351" s="8">
        <v>0</v>
      </c>
      <c r="E28351" s="8">
        <v>1</v>
      </c>
      <c r="F28351" s="8">
        <v>560</v>
      </c>
    </row>
    <row r="28352" spans="1:6" ht="12.75">
      <c r="A28352" s="8">
        <v>43891.793530092589</v>
      </c>
      <c r="B28352" s="8" t="str">
        <f>HYPERLINK("https://twitter.com/aniek26551407","@aniek26551407")</f>
        <v>@aniek26551407</v>
      </c>
      <c r="C28352" s="8" t="s">
        <v>9130</v>
      </c>
      <c r="D28352" s="8">
        <v>56</v>
      </c>
      <c r="E28352" s="8">
        <v>0</v>
      </c>
      <c r="F28352" s="8">
        <v>574</v>
      </c>
    </row>
    <row r="28353" spans="1:6" ht="12.75">
      <c r="A28353" s="8">
        <v>43891.793506944443</v>
      </c>
      <c r="B28353" s="8" t="str">
        <f>HYPERLINK("https://twitter.com/CandraRachmad","@CandraRachmad")</f>
        <v>@CandraRachmad</v>
      </c>
      <c r="C28353" s="8" t="s">
        <v>10722</v>
      </c>
      <c r="D28353" s="8">
        <v>116</v>
      </c>
      <c r="E28353" s="8">
        <v>0</v>
      </c>
      <c r="F28353" s="8">
        <v>165</v>
      </c>
    </row>
    <row r="28354" spans="1:6" ht="12.75">
      <c r="A28354" s="8">
        <v>43891.793495370366</v>
      </c>
      <c r="B28354" s="8" t="str">
        <f>HYPERLINK("https://twitter.com/faried58022486","@faried58022486")</f>
        <v>@faried58022486</v>
      </c>
      <c r="C28354" s="8" t="s">
        <v>3850</v>
      </c>
      <c r="D28354" s="8">
        <v>399</v>
      </c>
      <c r="E28354" s="8">
        <v>0</v>
      </c>
      <c r="F28354" s="8">
        <v>1302</v>
      </c>
    </row>
    <row r="28355" spans="1:6" ht="12.75">
      <c r="A28355" s="8">
        <v>43891.793240740742</v>
      </c>
      <c r="B28355" s="8" t="str">
        <f>HYPERLINK("https://twitter.com/cukadapur","@cukadapur")</f>
        <v>@cukadapur</v>
      </c>
      <c r="C28355" s="8" t="s">
        <v>2272</v>
      </c>
      <c r="D28355" s="8">
        <v>778</v>
      </c>
      <c r="E28355" s="8">
        <v>0</v>
      </c>
      <c r="F28355" s="8">
        <v>1585</v>
      </c>
    </row>
    <row r="28356" spans="1:6" ht="12.75">
      <c r="A28356" s="8">
        <v>43891.793194444443</v>
      </c>
      <c r="B28356" s="8" t="str">
        <f>HYPERLINK("https://twitter.com/DP_1moet","@DP_1moet")</f>
        <v>@DP_1moet</v>
      </c>
      <c r="C28356" s="8" t="s">
        <v>10447</v>
      </c>
      <c r="D28356" s="8">
        <v>10</v>
      </c>
      <c r="E28356" s="8">
        <v>0</v>
      </c>
      <c r="F28356" s="8">
        <v>3912</v>
      </c>
    </row>
    <row r="28357" spans="1:6" ht="12.75">
      <c r="A28357" s="8">
        <v>43891.793171296296</v>
      </c>
      <c r="B28357" s="8" t="str">
        <f>HYPERLINK("https://twitter.com/4_devout","@4_devout")</f>
        <v>@4_devout</v>
      </c>
      <c r="C28357" s="8" t="s">
        <v>10481</v>
      </c>
      <c r="D28357" s="8">
        <v>146</v>
      </c>
      <c r="E28357" s="8">
        <v>0</v>
      </c>
      <c r="F28357" s="8">
        <v>607</v>
      </c>
    </row>
    <row r="28358" spans="1:6" ht="12.75">
      <c r="A28358" s="8">
        <v>43891.79305555555</v>
      </c>
      <c r="B28358" s="8" t="str">
        <f>HYPERLINK("https://twitter.com/yihaayihiiAK","@yihaayihiiAK")</f>
        <v>@yihaayihiiAK</v>
      </c>
      <c r="C28358" s="8" t="s">
        <v>4990</v>
      </c>
      <c r="D28358" s="8">
        <v>13</v>
      </c>
      <c r="E28358" s="8">
        <v>0</v>
      </c>
      <c r="F28358" s="8">
        <v>1537</v>
      </c>
    </row>
    <row r="28359" spans="1:6" ht="12.75">
      <c r="A28359" s="8">
        <v>43891.793043981481</v>
      </c>
      <c r="B28359" s="8" t="str">
        <f>HYPERLINK("https://twitter.com/Alka27676773","@Alka27676773")</f>
        <v>@Alka27676773</v>
      </c>
      <c r="C28359" s="8" t="s">
        <v>7704</v>
      </c>
      <c r="D28359" s="8">
        <v>151</v>
      </c>
      <c r="E28359" s="8">
        <v>0</v>
      </c>
      <c r="F28359" s="8">
        <v>48</v>
      </c>
    </row>
    <row r="28360" spans="1:6" ht="12.75">
      <c r="A28360" s="8">
        <v>43891.793032407411</v>
      </c>
      <c r="B28360" s="8" t="str">
        <f>HYPERLINK("https://twitter.com/HildambaanAllah","@HildambaanAllah")</f>
        <v>@HildambaanAllah</v>
      </c>
      <c r="C28360" s="8" t="s">
        <v>10684</v>
      </c>
      <c r="D28360" s="8">
        <v>35</v>
      </c>
      <c r="E28360" s="8">
        <v>0</v>
      </c>
      <c r="F28360" s="8">
        <v>139</v>
      </c>
    </row>
    <row r="28361" spans="1:6" ht="12.75">
      <c r="A28361" s="8">
        <v>43891.792986111112</v>
      </c>
      <c r="B28361" s="8" t="str">
        <f>HYPERLINK("https://twitter.com/sofia_sudarma","@sofia_sudarma")</f>
        <v>@sofia_sudarma</v>
      </c>
      <c r="C28361" s="8" t="s">
        <v>8321</v>
      </c>
      <c r="D28361" s="8">
        <v>50</v>
      </c>
      <c r="E28361" s="8">
        <v>0</v>
      </c>
      <c r="F28361" s="8">
        <v>858</v>
      </c>
    </row>
    <row r="28362" spans="1:6" ht="12.75">
      <c r="A28362" s="8">
        <v>43891.792743055557</v>
      </c>
      <c r="B28362" s="8" t="str">
        <f>HYPERLINK("https://twitter.com/CandraRachmad","@CandraRachmad")</f>
        <v>@CandraRachmad</v>
      </c>
      <c r="C28362" s="8" t="s">
        <v>3850</v>
      </c>
      <c r="D28362" s="8">
        <v>399</v>
      </c>
      <c r="E28362" s="8">
        <v>0</v>
      </c>
      <c r="F28362" s="8">
        <v>165</v>
      </c>
    </row>
    <row r="28363" spans="1:6" ht="12.75">
      <c r="A28363" s="8">
        <v>43891.792557870373</v>
      </c>
      <c r="B28363" s="8" t="str">
        <f>HYPERLINK("https://twitter.com/sofia_sudarma","@sofia_sudarma")</f>
        <v>@sofia_sudarma</v>
      </c>
      <c r="C28363" s="8" t="s">
        <v>10745</v>
      </c>
      <c r="D28363" s="8">
        <v>4</v>
      </c>
      <c r="E28363" s="8">
        <v>0</v>
      </c>
      <c r="F28363" s="8">
        <v>858</v>
      </c>
    </row>
    <row r="28364" spans="1:6" ht="12.75">
      <c r="A28364" s="8">
        <v>43891.792349537034</v>
      </c>
      <c r="B28364" s="8" t="str">
        <f>HYPERLINK("https://twitter.com/faried58022486","@faried58022486")</f>
        <v>@faried58022486</v>
      </c>
      <c r="C28364" s="8" t="s">
        <v>9130</v>
      </c>
      <c r="D28364" s="8">
        <v>56</v>
      </c>
      <c r="E28364" s="8">
        <v>0</v>
      </c>
      <c r="F28364" s="8">
        <v>1302</v>
      </c>
    </row>
    <row r="28365" spans="1:6" ht="12.75">
      <c r="A28365" s="8">
        <v>43891.792291666672</v>
      </c>
      <c r="B28365" s="8" t="str">
        <f>HYPERLINK("https://twitter.com/BudhyNurgianto","@BudhyNurgianto")</f>
        <v>@BudhyNurgianto</v>
      </c>
      <c r="C28365" s="8" t="s">
        <v>10746</v>
      </c>
      <c r="D28365" s="8">
        <v>0</v>
      </c>
      <c r="E28365" s="8">
        <v>0</v>
      </c>
      <c r="F28365" s="8">
        <v>771</v>
      </c>
    </row>
    <row r="28366" spans="1:6" ht="12.75">
      <c r="A28366" s="8">
        <v>43891.792245370365</v>
      </c>
      <c r="B28366" s="8" t="str">
        <f>HYPERLINK("https://twitter.com/adriankusaihir1","@adriankusaihir1")</f>
        <v>@adriankusaihir1</v>
      </c>
      <c r="C28366" s="8" t="s">
        <v>10747</v>
      </c>
      <c r="D28366" s="8">
        <v>0</v>
      </c>
      <c r="E28366" s="8">
        <v>0</v>
      </c>
      <c r="F28366" s="8">
        <v>164</v>
      </c>
    </row>
    <row r="28367" spans="1:6" ht="12.75">
      <c r="A28367" s="8">
        <v>43891.792094907403</v>
      </c>
      <c r="B28367" s="8" t="str">
        <f>HYPERLINK("https://twitter.com/KasandraCintaMu","@KasandraCintaMu")</f>
        <v>@KasandraCintaMu</v>
      </c>
      <c r="C28367" s="8" t="s">
        <v>3850</v>
      </c>
      <c r="D28367" s="8">
        <v>399</v>
      </c>
      <c r="E28367" s="8">
        <v>0</v>
      </c>
      <c r="F28367" s="8">
        <v>174</v>
      </c>
    </row>
    <row r="28368" spans="1:6" ht="12.75">
      <c r="A28368" s="8">
        <v>43891.79184027778</v>
      </c>
      <c r="B28368" s="8" t="str">
        <f>HYPERLINK("https://twitter.com/sofia_sudarma","@sofia_sudarma")</f>
        <v>@sofia_sudarma</v>
      </c>
      <c r="C28368" s="8" t="s">
        <v>10748</v>
      </c>
      <c r="D28368" s="8">
        <v>4</v>
      </c>
      <c r="E28368" s="8">
        <v>0</v>
      </c>
      <c r="F28368" s="8">
        <v>858</v>
      </c>
    </row>
    <row r="28369" spans="1:6" ht="12.75">
      <c r="A28369" s="8">
        <v>43891.79178240741</v>
      </c>
      <c r="B28369" s="8" t="str">
        <f>HYPERLINK("https://twitter.com/Markonah76","@Markonah76")</f>
        <v>@Markonah76</v>
      </c>
      <c r="C28369" s="8" t="s">
        <v>10447</v>
      </c>
      <c r="D28369" s="8">
        <v>10</v>
      </c>
      <c r="E28369" s="8">
        <v>0</v>
      </c>
      <c r="F28369" s="8">
        <v>10615</v>
      </c>
    </row>
    <row r="28370" spans="1:6" ht="12.75">
      <c r="A28370" s="8">
        <v>43891.791666666672</v>
      </c>
      <c r="B28370" s="8" t="str">
        <f>HYPERLINK("https://twitter.com/maklumatID","@maklumatID")</f>
        <v>@maklumatID</v>
      </c>
      <c r="C28370" s="8" t="s">
        <v>10749</v>
      </c>
      <c r="D28370" s="8">
        <v>0</v>
      </c>
      <c r="E28370" s="8">
        <v>0</v>
      </c>
      <c r="F28370" s="8">
        <v>80</v>
      </c>
    </row>
    <row r="28371" spans="1:6" ht="12.75">
      <c r="A28371" s="8">
        <v>43891.791481481487</v>
      </c>
      <c r="B28371" s="8" t="str">
        <f>HYPERLINK("https://twitter.com/lutfimuhamad008","@lutfimuhamad008")</f>
        <v>@lutfimuhamad008</v>
      </c>
      <c r="C28371" s="8" t="s">
        <v>10724</v>
      </c>
      <c r="D28371" s="8">
        <v>2</v>
      </c>
      <c r="E28371" s="8">
        <v>0</v>
      </c>
      <c r="F28371" s="8">
        <v>3890</v>
      </c>
    </row>
    <row r="28372" spans="1:6" ht="12.75">
      <c r="A28372" s="8">
        <v>43891.791446759264</v>
      </c>
      <c r="B28372" s="8" t="str">
        <f>HYPERLINK("https://twitter.com/allanespe","@allanespe")</f>
        <v>@allanespe</v>
      </c>
      <c r="C28372" s="8" t="s">
        <v>10578</v>
      </c>
      <c r="D28372" s="8">
        <v>13</v>
      </c>
      <c r="E28372" s="8">
        <v>0</v>
      </c>
      <c r="F28372" s="8">
        <v>8678</v>
      </c>
    </row>
    <row r="28373" spans="1:6" ht="12.75">
      <c r="A28373" s="8">
        <v>43891.791377314818</v>
      </c>
      <c r="B28373" s="8" t="str">
        <f>HYPERLINK("https://twitter.com/yasminnuraz","@yasminnuraz")</f>
        <v>@yasminnuraz</v>
      </c>
      <c r="C28373" s="8" t="s">
        <v>2272</v>
      </c>
      <c r="D28373" s="8">
        <v>778</v>
      </c>
      <c r="E28373" s="8">
        <v>0</v>
      </c>
      <c r="F28373" s="8">
        <v>2</v>
      </c>
    </row>
    <row r="28374" spans="1:6" ht="12.75">
      <c r="A28374" s="8">
        <v>43891.791296296295</v>
      </c>
      <c r="B28374" s="8" t="str">
        <f>HYPERLINK("https://twitter.com/RasyidR63645075","@RasyidR63645075")</f>
        <v>@RasyidR63645075</v>
      </c>
      <c r="C28374" s="8" t="s">
        <v>4990</v>
      </c>
      <c r="D28374" s="8">
        <v>13</v>
      </c>
      <c r="E28374" s="8">
        <v>0</v>
      </c>
      <c r="F28374" s="8">
        <v>74</v>
      </c>
    </row>
    <row r="28375" spans="1:6" ht="12.75">
      <c r="A28375" s="8">
        <v>43891.791238425925</v>
      </c>
      <c r="B28375" s="8" t="str">
        <f>HYPERLINK("https://twitter.com/jokosantoso099","@jokosantoso099")</f>
        <v>@jokosantoso099</v>
      </c>
      <c r="C28375" s="8" t="s">
        <v>4235</v>
      </c>
      <c r="D28375" s="8">
        <v>1648</v>
      </c>
      <c r="E28375" s="8">
        <v>0</v>
      </c>
      <c r="F28375" s="8">
        <v>513</v>
      </c>
    </row>
    <row r="28376" spans="1:6" ht="12.75">
      <c r="A28376" s="8">
        <v>43891.756851851853</v>
      </c>
      <c r="B28376" s="8" t="str">
        <f>HYPERLINK("https://twitter.com/Mamangku2","@Mamangku2")</f>
        <v>@Mamangku2</v>
      </c>
      <c r="C28376" s="8" t="s">
        <v>10600</v>
      </c>
      <c r="D28376" s="8">
        <v>296</v>
      </c>
      <c r="E28376" s="8">
        <v>0</v>
      </c>
      <c r="F28376" s="8">
        <v>47</v>
      </c>
    </row>
    <row r="28377" spans="1:6" ht="12.75">
      <c r="A28377" s="8">
        <v>43891.756516203706</v>
      </c>
      <c r="B28377" s="8" t="str">
        <f>HYPERLINK("https://twitter.com/IwaDirja","@IwaDirja")</f>
        <v>@IwaDirja</v>
      </c>
      <c r="C28377" s="8" t="s">
        <v>3850</v>
      </c>
      <c r="D28377" s="8">
        <v>307</v>
      </c>
      <c r="E28377" s="8">
        <v>0</v>
      </c>
      <c r="F28377" s="8">
        <v>482</v>
      </c>
    </row>
    <row r="28378" spans="1:6" ht="12.75">
      <c r="A28378" s="8">
        <v>43891.756481481483</v>
      </c>
      <c r="B28378" s="8" t="str">
        <f>HYPERLINK("https://twitter.com/dyonisk","@dyonisk")</f>
        <v>@dyonisk</v>
      </c>
      <c r="C28378" s="8" t="s">
        <v>7704</v>
      </c>
      <c r="D28378" s="8">
        <v>124</v>
      </c>
      <c r="E28378" s="8">
        <v>0</v>
      </c>
      <c r="F28378" s="8">
        <v>567</v>
      </c>
    </row>
    <row r="28379" spans="1:6" ht="12.75">
      <c r="A28379" s="8">
        <v>43891.756400462968</v>
      </c>
      <c r="B28379" s="8" t="str">
        <f>HYPERLINK("https://twitter.com/deddyhariadi","@deddyhariadi")</f>
        <v>@deddyhariadi</v>
      </c>
      <c r="C28379" s="8" t="s">
        <v>10750</v>
      </c>
      <c r="D28379" s="8">
        <v>1</v>
      </c>
      <c r="E28379" s="8">
        <v>0</v>
      </c>
      <c r="F28379" s="8">
        <v>379</v>
      </c>
    </row>
    <row r="28380" spans="1:6" ht="12.75">
      <c r="A28380" s="8">
        <v>43891.756249999999</v>
      </c>
      <c r="B28380" s="8" t="str">
        <f>HYPERLINK("https://twitter.com/Mamangku2","@Mamangku2")</f>
        <v>@Mamangku2</v>
      </c>
      <c r="C28380" s="8" t="s">
        <v>10751</v>
      </c>
      <c r="D28380" s="8">
        <v>2</v>
      </c>
      <c r="E28380" s="8">
        <v>0</v>
      </c>
      <c r="F28380" s="8">
        <v>47</v>
      </c>
    </row>
    <row r="28381" spans="1:6" ht="12.75">
      <c r="A28381" s="8">
        <v>43891.756145833337</v>
      </c>
      <c r="B28381" s="8" t="str">
        <f>HYPERLINK("https://twitter.com/muhtauf09","@muhtauf09")</f>
        <v>@muhtauf09</v>
      </c>
      <c r="C28381" s="8" t="s">
        <v>3850</v>
      </c>
      <c r="D28381" s="8">
        <v>307</v>
      </c>
      <c r="E28381" s="8">
        <v>0</v>
      </c>
      <c r="F28381" s="8">
        <v>672</v>
      </c>
    </row>
    <row r="28382" spans="1:6" ht="12.75">
      <c r="A28382" s="8">
        <v>43891.75608796296</v>
      </c>
      <c r="B28382" s="8" t="str">
        <f>HYPERLINK("https://twitter.com/nurhikmahib","@nurhikmahib")</f>
        <v>@nurhikmahib</v>
      </c>
      <c r="C28382" s="8" t="s">
        <v>7704</v>
      </c>
      <c r="D28382" s="8">
        <v>124</v>
      </c>
      <c r="E28382" s="8">
        <v>0</v>
      </c>
      <c r="F28382" s="8">
        <v>457</v>
      </c>
    </row>
    <row r="28383" spans="1:6" ht="12.75">
      <c r="A28383" s="8">
        <v>43891.756053240737</v>
      </c>
      <c r="B28383" s="8" t="str">
        <f>HYPERLINK("https://twitter.com/ajipaf","@ajipaf")</f>
        <v>@ajipaf</v>
      </c>
      <c r="C28383" s="8" t="s">
        <v>3850</v>
      </c>
      <c r="D28383" s="8">
        <v>307</v>
      </c>
      <c r="E28383" s="8">
        <v>0</v>
      </c>
      <c r="F28383" s="8">
        <v>739</v>
      </c>
    </row>
    <row r="28384" spans="1:6" ht="12.75">
      <c r="A28384" s="8">
        <v>43891.75581018519</v>
      </c>
      <c r="B28384" s="8" t="str">
        <f>HYPERLINK("https://twitter.com/antarafoto","@antarafoto")</f>
        <v>@antarafoto</v>
      </c>
      <c r="C28384" s="8" t="s">
        <v>10752</v>
      </c>
      <c r="D28384" s="8">
        <v>0</v>
      </c>
      <c r="E28384" s="8">
        <v>0</v>
      </c>
      <c r="F28384" s="8">
        <v>8750</v>
      </c>
    </row>
    <row r="28385" spans="1:6" ht="12.75">
      <c r="A28385" s="8">
        <v>43891.755775462967</v>
      </c>
      <c r="B28385" s="8" t="str">
        <f>HYPERLINK("https://twitter.com/Rahmatinabioria","@Rahmatinabioria")</f>
        <v>@Rahmatinabioria</v>
      </c>
      <c r="C28385" s="8" t="s">
        <v>10684</v>
      </c>
      <c r="D28385" s="8">
        <v>9</v>
      </c>
      <c r="E28385" s="8">
        <v>0</v>
      </c>
      <c r="F28385" s="8">
        <v>274</v>
      </c>
    </row>
    <row r="28386" spans="1:6" ht="12.75">
      <c r="A28386" s="8">
        <v>43891.755578703705</v>
      </c>
      <c r="B28386" s="8" t="str">
        <f>HYPERLINK("https://twitter.com/__SisiLusipara","@__SisiLusipara")</f>
        <v>@__SisiLusipara</v>
      </c>
      <c r="C28386" s="8" t="s">
        <v>10346</v>
      </c>
      <c r="D28386" s="8">
        <v>3</v>
      </c>
      <c r="E28386" s="8">
        <v>0</v>
      </c>
      <c r="F28386" s="8">
        <v>4376</v>
      </c>
    </row>
    <row r="28387" spans="1:6" ht="12.75">
      <c r="A28387" s="8">
        <v>43891.755474537036</v>
      </c>
      <c r="B28387" s="8" t="str">
        <f>HYPERLINK("https://twitter.com/BiLLYKHAERUDIN","@BiLLYKHAERUDIN")</f>
        <v>@BiLLYKHAERUDIN</v>
      </c>
      <c r="C28387" s="8" t="s">
        <v>10753</v>
      </c>
      <c r="D28387" s="8">
        <v>2</v>
      </c>
      <c r="E28387" s="8">
        <v>1</v>
      </c>
      <c r="F28387" s="8">
        <v>51839</v>
      </c>
    </row>
    <row r="28388" spans="1:6" ht="12.75">
      <c r="A28388" s="8">
        <v>43891.755439814813</v>
      </c>
      <c r="B28388" s="8" t="str">
        <f>HYPERLINK("https://twitter.com/purnomo_jati1","@purnomo_jati1")</f>
        <v>@purnomo_jati1</v>
      </c>
      <c r="C28388" s="8" t="s">
        <v>10481</v>
      </c>
      <c r="D28388" s="8">
        <v>134</v>
      </c>
      <c r="E28388" s="8">
        <v>0</v>
      </c>
      <c r="F28388" s="8">
        <v>338</v>
      </c>
    </row>
    <row r="28389" spans="1:6" ht="12.75">
      <c r="A28389" s="8">
        <v>43891.755428240736</v>
      </c>
      <c r="B28389" s="8" t="str">
        <f>HYPERLINK("https://twitter.com/kanuhate","@kanuhate")</f>
        <v>@kanuhate</v>
      </c>
      <c r="C28389" s="8" t="s">
        <v>7704</v>
      </c>
      <c r="D28389" s="8">
        <v>124</v>
      </c>
      <c r="E28389" s="8">
        <v>0</v>
      </c>
      <c r="F28389" s="8">
        <v>748</v>
      </c>
    </row>
    <row r="28390" spans="1:6" ht="12.75">
      <c r="A28390" s="8">
        <v>43891.755243055552</v>
      </c>
      <c r="B28390" s="8" t="str">
        <f>HYPERLINK("https://twitter.com/gilanugrahp","@gilanugrahp")</f>
        <v>@gilanugrahp</v>
      </c>
      <c r="C28390" s="8" t="s">
        <v>7704</v>
      </c>
      <c r="D28390" s="8">
        <v>124</v>
      </c>
      <c r="E28390" s="8">
        <v>0</v>
      </c>
      <c r="F28390" s="8">
        <v>576</v>
      </c>
    </row>
    <row r="28391" spans="1:6" ht="12.75">
      <c r="A28391" s="8">
        <v>43891.755196759259</v>
      </c>
      <c r="B28391" s="8" t="str">
        <f>HYPERLINK("https://twitter.com/saptyapp","@saptyapp")</f>
        <v>@saptyapp</v>
      </c>
      <c r="C28391" s="8" t="s">
        <v>2272</v>
      </c>
      <c r="D28391" s="8">
        <v>757</v>
      </c>
      <c r="E28391" s="8">
        <v>0</v>
      </c>
      <c r="F28391" s="8">
        <v>77</v>
      </c>
    </row>
    <row r="28392" spans="1:6" ht="12.75">
      <c r="A28392" s="8">
        <v>43891.755173611113</v>
      </c>
      <c r="B28392" s="8" t="str">
        <f>HYPERLINK("https://twitter.com/Mamangku2","@Mamangku2")</f>
        <v>@Mamangku2</v>
      </c>
      <c r="C28392" s="8" t="s">
        <v>10754</v>
      </c>
      <c r="D28392" s="8">
        <v>33</v>
      </c>
      <c r="E28392" s="8">
        <v>0</v>
      </c>
      <c r="F28392" s="8">
        <v>47</v>
      </c>
    </row>
    <row r="28393" spans="1:6" ht="12.75">
      <c r="A28393" s="8">
        <v>43891.754988425921</v>
      </c>
      <c r="B28393" s="8" t="str">
        <f>HYPERLINK("https://twitter.com/ahlisorgaa","@ahlisorgaa")</f>
        <v>@ahlisorgaa</v>
      </c>
      <c r="C28393" s="8" t="s">
        <v>6542</v>
      </c>
      <c r="D28393" s="8">
        <v>5</v>
      </c>
      <c r="E28393" s="8">
        <v>0</v>
      </c>
      <c r="F28393" s="8">
        <v>12</v>
      </c>
    </row>
    <row r="28394" spans="1:6" ht="12.75">
      <c r="A28394" s="8">
        <v>43891.754849537036</v>
      </c>
      <c r="B28394" s="8" t="str">
        <f>HYPERLINK("https://twitter.com/Oj0dum3h","@Oj0dum3h")</f>
        <v>@Oj0dum3h</v>
      </c>
      <c r="C28394" s="8" t="s">
        <v>3850</v>
      </c>
      <c r="D28394" s="8">
        <v>307</v>
      </c>
      <c r="E28394" s="8">
        <v>0</v>
      </c>
      <c r="F28394" s="8">
        <v>2602</v>
      </c>
    </row>
    <row r="28395" spans="1:6" ht="12.75">
      <c r="A28395" s="8">
        <v>43891.754837962959</v>
      </c>
      <c r="B28395" s="8" t="str">
        <f>HYPERLINK("https://twitter.com/ephraym8","@ephraym8")</f>
        <v>@ephraym8</v>
      </c>
      <c r="C28395" s="8" t="s">
        <v>10481</v>
      </c>
      <c r="D28395" s="8">
        <v>134</v>
      </c>
      <c r="E28395" s="8">
        <v>0</v>
      </c>
      <c r="F28395" s="8">
        <v>1181</v>
      </c>
    </row>
    <row r="28396" spans="1:6" ht="12.75">
      <c r="A28396" s="8">
        <v>43891.75481481482</v>
      </c>
      <c r="B28396" s="8" t="str">
        <f>HYPERLINK("https://twitter.com/al_kahfi_ind","@al_kahfi_ind")</f>
        <v>@al_kahfi_ind</v>
      </c>
      <c r="C28396" s="8" t="s">
        <v>10755</v>
      </c>
      <c r="D28396" s="8">
        <v>707</v>
      </c>
      <c r="E28396" s="8">
        <v>0</v>
      </c>
      <c r="F28396" s="8">
        <v>103</v>
      </c>
    </row>
    <row r="28397" spans="1:6" ht="12.75">
      <c r="A28397" s="8">
        <v>43891.754780092597</v>
      </c>
      <c r="B28397" s="8" t="str">
        <f>HYPERLINK("https://twitter.com/asetiaji","@asetiaji")</f>
        <v>@asetiaji</v>
      </c>
      <c r="C28397" s="8" t="s">
        <v>7704</v>
      </c>
      <c r="D28397" s="8">
        <v>124</v>
      </c>
      <c r="E28397" s="8">
        <v>0</v>
      </c>
      <c r="F28397" s="8">
        <v>607</v>
      </c>
    </row>
    <row r="28398" spans="1:6" ht="12.75">
      <c r="A28398" s="8">
        <v>43891.754675925928</v>
      </c>
      <c r="B28398" s="8" t="str">
        <f>HYPERLINK("https://twitter.com/budi1439h","@budi1439h")</f>
        <v>@budi1439h</v>
      </c>
      <c r="C28398" s="8" t="s">
        <v>10638</v>
      </c>
      <c r="D28398" s="8">
        <v>20</v>
      </c>
      <c r="E28398" s="8">
        <v>0</v>
      </c>
      <c r="F28398" s="8">
        <v>5059</v>
      </c>
    </row>
    <row r="28399" spans="1:6" ht="12.75">
      <c r="A28399" s="8">
        <v>43891.754652777774</v>
      </c>
      <c r="B28399" s="8" t="str">
        <f>HYPERLINK("https://twitter.com/Renita23004881","@Renita23004881")</f>
        <v>@Renita23004881</v>
      </c>
      <c r="C28399" s="8" t="s">
        <v>10756</v>
      </c>
      <c r="D28399" s="8">
        <v>0</v>
      </c>
      <c r="E28399" s="8">
        <v>0</v>
      </c>
      <c r="F28399" s="8">
        <v>2789</v>
      </c>
    </row>
    <row r="28400" spans="1:6" ht="12.75">
      <c r="A28400" s="8">
        <v>43891.75445601852</v>
      </c>
      <c r="B28400" s="8" t="str">
        <f>HYPERLINK("https://twitter.com/Rock7214","@Rock7214")</f>
        <v>@Rock7214</v>
      </c>
      <c r="C28400" s="8" t="s">
        <v>10757</v>
      </c>
      <c r="D28400" s="8">
        <v>22</v>
      </c>
      <c r="E28400" s="8">
        <v>0</v>
      </c>
      <c r="F28400" s="8">
        <v>17</v>
      </c>
    </row>
    <row r="28401" spans="1:6" ht="12.75">
      <c r="A28401" s="8">
        <v>43891.754421296297</v>
      </c>
      <c r="B28401" s="8" t="str">
        <f>HYPERLINK("https://twitter.com/MJoeJoef1","@MJoeJoef1")</f>
        <v>@MJoeJoef1</v>
      </c>
      <c r="C28401" s="8" t="s">
        <v>10394</v>
      </c>
      <c r="D28401" s="8">
        <v>38</v>
      </c>
      <c r="E28401" s="8">
        <v>0</v>
      </c>
      <c r="F28401" s="8">
        <v>594</v>
      </c>
    </row>
    <row r="28402" spans="1:6" ht="12.75">
      <c r="A28402" s="8">
        <v>43891.754421296297</v>
      </c>
      <c r="B28402" s="8" t="str">
        <f>HYPERLINK("https://twitter.com/aikido_bushido","@aikido_bushido")</f>
        <v>@aikido_bushido</v>
      </c>
      <c r="C28402" s="8" t="s">
        <v>10422</v>
      </c>
      <c r="D28402" s="8">
        <v>10</v>
      </c>
      <c r="E28402" s="8">
        <v>0</v>
      </c>
      <c r="F28402" s="8">
        <v>710</v>
      </c>
    </row>
    <row r="28403" spans="1:6" ht="12.75">
      <c r="A28403" s="8">
        <v>43891.754351851851</v>
      </c>
      <c r="B28403" s="8" t="str">
        <f>HYPERLINK("https://twitter.com/AryaWBPinatih47","@AryaWBPinatih47")</f>
        <v>@AryaWBPinatih47</v>
      </c>
      <c r="C28403" s="8" t="s">
        <v>10394</v>
      </c>
      <c r="D28403" s="8">
        <v>38</v>
      </c>
      <c r="E28403" s="8">
        <v>0</v>
      </c>
      <c r="F28403" s="8">
        <v>2320</v>
      </c>
    </row>
    <row r="28404" spans="1:6" ht="12.75">
      <c r="A28404" s="8">
        <v>43891.754062499997</v>
      </c>
      <c r="B28404" s="8" t="str">
        <f>HYPERLINK("https://twitter.com/MJoeJoef1","@MJoeJoef1")</f>
        <v>@MJoeJoef1</v>
      </c>
      <c r="C28404" s="8" t="s">
        <v>10443</v>
      </c>
      <c r="D28404" s="8">
        <v>56</v>
      </c>
      <c r="E28404" s="8">
        <v>0</v>
      </c>
      <c r="F28404" s="8">
        <v>594</v>
      </c>
    </row>
    <row r="28405" spans="1:6" ht="12.75">
      <c r="A28405" s="8">
        <v>43891.753958333335</v>
      </c>
      <c r="B28405" s="8" t="str">
        <f>HYPERLINK("https://twitter.com/AryaWBPinatih47","@AryaWBPinatih47")</f>
        <v>@AryaWBPinatih47</v>
      </c>
      <c r="C28405" s="8" t="s">
        <v>10758</v>
      </c>
      <c r="D28405" s="8">
        <v>3</v>
      </c>
      <c r="E28405" s="8">
        <v>0</v>
      </c>
      <c r="F28405" s="8">
        <v>2320</v>
      </c>
    </row>
    <row r="28406" spans="1:6" ht="12.75">
      <c r="A28406" s="8">
        <v>43891.753958333335</v>
      </c>
      <c r="B28406" s="8" t="str">
        <f>HYPERLINK("https://twitter.com/mudowicaksono","@mudowicaksono")</f>
        <v>@mudowicaksono</v>
      </c>
      <c r="C28406" s="8" t="s">
        <v>7437</v>
      </c>
      <c r="D28406" s="8">
        <v>468</v>
      </c>
      <c r="E28406" s="8">
        <v>0</v>
      </c>
      <c r="F28406" s="8">
        <v>360</v>
      </c>
    </row>
    <row r="28407" spans="1:6" ht="12.75">
      <c r="A28407" s="8">
        <v>43891.753946759258</v>
      </c>
      <c r="B28407" s="8" t="str">
        <f>HYPERLINK("https://twitter.com/SOnthefire","@SOnthefire")</f>
        <v>@SOnthefire</v>
      </c>
      <c r="C28407" s="8" t="s">
        <v>7704</v>
      </c>
      <c r="D28407" s="8">
        <v>124</v>
      </c>
      <c r="E28407" s="8">
        <v>0</v>
      </c>
      <c r="F28407" s="8">
        <v>36</v>
      </c>
    </row>
    <row r="28408" spans="1:6" ht="12.75">
      <c r="A28408" s="8">
        <v>43891.753946759258</v>
      </c>
      <c r="B28408" s="8" t="str">
        <f>HYPERLINK("https://twitter.com/DevinRmd","@DevinRmd")</f>
        <v>@DevinRmd</v>
      </c>
      <c r="C28408" s="8" t="s">
        <v>10759</v>
      </c>
      <c r="D28408" s="8">
        <v>1</v>
      </c>
      <c r="E28408" s="8">
        <v>0</v>
      </c>
      <c r="F28408" s="8">
        <v>911</v>
      </c>
    </row>
    <row r="28409" spans="1:6" ht="12.75">
      <c r="A28409" s="8">
        <v>43891.753935185188</v>
      </c>
      <c r="B28409" s="8" t="str">
        <f>HYPERLINK("https://twitter.com/aryakamto","@aryakamto")</f>
        <v>@aryakamto</v>
      </c>
      <c r="C28409" s="8" t="s">
        <v>3850</v>
      </c>
      <c r="D28409" s="8">
        <v>307</v>
      </c>
      <c r="E28409" s="8">
        <v>0</v>
      </c>
      <c r="F28409" s="8">
        <v>119</v>
      </c>
    </row>
    <row r="28410" spans="1:6" ht="12.75">
      <c r="A28410" s="8">
        <v>43891.753784722227</v>
      </c>
      <c r="B28410" s="8" t="str">
        <f>HYPERLINK("https://twitter.com/icungkazepp","@icungkazepp")</f>
        <v>@icungkazepp</v>
      </c>
      <c r="C28410" s="8" t="s">
        <v>3850</v>
      </c>
      <c r="D28410" s="8">
        <v>307</v>
      </c>
      <c r="E28410" s="8">
        <v>0</v>
      </c>
      <c r="F28410" s="8">
        <v>1708</v>
      </c>
    </row>
    <row r="28411" spans="1:6" ht="12.75">
      <c r="A28411" s="8">
        <v>43891.753761574073</v>
      </c>
      <c r="B28411" s="8" t="str">
        <f>HYPERLINK("https://twitter.com/p4pi11on","@p4pi11on")</f>
        <v>@p4pi11on</v>
      </c>
      <c r="C28411" s="8" t="s">
        <v>9587</v>
      </c>
      <c r="D28411" s="8">
        <v>24</v>
      </c>
      <c r="E28411" s="8">
        <v>0</v>
      </c>
      <c r="F28411" s="8">
        <v>1123</v>
      </c>
    </row>
    <row r="28412" spans="1:6" ht="12.75">
      <c r="A28412" s="8">
        <v>43891.753692129627</v>
      </c>
      <c r="B28412" s="8" t="str">
        <f>HYPERLINK("https://twitter.com/AlterEgo268","@AlterEgo268")</f>
        <v>@AlterEgo268</v>
      </c>
      <c r="C28412" s="8" t="s">
        <v>2272</v>
      </c>
      <c r="D28412" s="8">
        <v>757</v>
      </c>
      <c r="E28412" s="8">
        <v>0</v>
      </c>
      <c r="F28412" s="8">
        <v>545</v>
      </c>
    </row>
    <row r="28413" spans="1:6" ht="12.75">
      <c r="A28413" s="8">
        <v>43891.753634259258</v>
      </c>
      <c r="B28413" s="8" t="str">
        <f>HYPERLINK("https://twitter.com/untungPWIRnekad","@untungPWIRnekad")</f>
        <v>@untungPWIRnekad</v>
      </c>
      <c r="C28413" s="8" t="s">
        <v>3850</v>
      </c>
      <c r="D28413" s="8">
        <v>307</v>
      </c>
      <c r="E28413" s="8">
        <v>0</v>
      </c>
      <c r="F28413" s="8">
        <v>298</v>
      </c>
    </row>
    <row r="28414" spans="1:6" ht="12.75">
      <c r="A28414" s="8">
        <v>43891.753518518519</v>
      </c>
      <c r="B28414" s="8" t="str">
        <f>HYPERLINK("https://twitter.com/KontanNews","@KontanNews")</f>
        <v>@KontanNews</v>
      </c>
      <c r="C28414" s="8" t="s">
        <v>10760</v>
      </c>
      <c r="D28414" s="8">
        <v>0</v>
      </c>
      <c r="E28414" s="8">
        <v>1</v>
      </c>
      <c r="F28414" s="8">
        <v>317728</v>
      </c>
    </row>
    <row r="28415" spans="1:6" ht="12.75">
      <c r="A28415" s="8">
        <v>43891.753379629634</v>
      </c>
      <c r="B28415" s="8" t="str">
        <f>HYPERLINK("https://twitter.com/habibthink","@habibthink")</f>
        <v>@habibthink</v>
      </c>
      <c r="C28415" s="8" t="s">
        <v>6542</v>
      </c>
      <c r="D28415" s="8">
        <v>5</v>
      </c>
      <c r="E28415" s="8">
        <v>0</v>
      </c>
      <c r="F28415" s="8">
        <v>180584</v>
      </c>
    </row>
    <row r="28416" spans="1:6" ht="12.75">
      <c r="A28416" s="8">
        <v>43891.753321759257</v>
      </c>
      <c r="B28416" s="8" t="str">
        <f>HYPERLINK("https://twitter.com/liranti","@liranti")</f>
        <v>@liranti</v>
      </c>
      <c r="C28416" s="8" t="s">
        <v>10761</v>
      </c>
      <c r="D28416" s="8">
        <v>2</v>
      </c>
      <c r="E28416" s="8">
        <v>0</v>
      </c>
      <c r="F28416" s="8">
        <v>531</v>
      </c>
    </row>
    <row r="28417" spans="1:6" ht="12.75">
      <c r="A28417" s="8">
        <v>43891.753321759257</v>
      </c>
      <c r="B28417" s="8" t="str">
        <f>HYPERLINK("https://twitter.com/hendra69425463","@hendra69425463")</f>
        <v>@hendra69425463</v>
      </c>
      <c r="C28417" s="8" t="s">
        <v>3850</v>
      </c>
      <c r="D28417" s="8">
        <v>307</v>
      </c>
      <c r="E28417" s="8">
        <v>0</v>
      </c>
      <c r="F28417" s="8">
        <v>186</v>
      </c>
    </row>
    <row r="28418" spans="1:6" ht="12.75">
      <c r="A28418" s="8">
        <v>43891.753298611111</v>
      </c>
      <c r="B28418" s="8" t="str">
        <f>HYPERLINK("https://twitter.com/rianntears","@rianntears")</f>
        <v>@rianntears</v>
      </c>
      <c r="C28418" s="8" t="s">
        <v>10404</v>
      </c>
      <c r="D28418" s="8">
        <v>164</v>
      </c>
      <c r="E28418" s="8">
        <v>0</v>
      </c>
      <c r="F28418" s="8">
        <v>1309</v>
      </c>
    </row>
    <row r="28419" spans="1:6" ht="12.75">
      <c r="A28419" s="8">
        <v>43891.753298611111</v>
      </c>
      <c r="B28419" s="8" t="str">
        <f>HYPERLINK("https://twitter.com/why0e","@why0e")</f>
        <v>@why0e</v>
      </c>
      <c r="C28419" s="8" t="s">
        <v>3850</v>
      </c>
      <c r="D28419" s="8">
        <v>307</v>
      </c>
      <c r="E28419" s="8">
        <v>0</v>
      </c>
      <c r="F28419" s="8">
        <v>332</v>
      </c>
    </row>
    <row r="28420" spans="1:6" ht="12.75">
      <c r="A28420" s="8">
        <v>43891.753287037034</v>
      </c>
      <c r="B28420" s="8" t="str">
        <f>HYPERLINK("https://twitter.com/djaya_karta","@djaya_karta")</f>
        <v>@djaya_karta</v>
      </c>
      <c r="C28420" s="8" t="s">
        <v>9130</v>
      </c>
      <c r="D28420" s="8">
        <v>18</v>
      </c>
      <c r="E28420" s="8">
        <v>0</v>
      </c>
      <c r="F28420" s="8">
        <v>212</v>
      </c>
    </row>
    <row r="28421" spans="1:6" ht="12.75">
      <c r="A28421" s="8">
        <v>43891.753240740742</v>
      </c>
      <c r="B28421" s="8" t="str">
        <f>HYPERLINK("https://twitter.com/republikaonline","@republikaonline")</f>
        <v>@republikaonline</v>
      </c>
      <c r="C28421" s="8" t="s">
        <v>10762</v>
      </c>
      <c r="D28421" s="8">
        <v>1</v>
      </c>
      <c r="E28421" s="8">
        <v>1</v>
      </c>
      <c r="F28421" s="8">
        <v>1216420</v>
      </c>
    </row>
    <row r="28422" spans="1:6" ht="12.75">
      <c r="A28422" s="8">
        <v>43891.753148148149</v>
      </c>
      <c r="B28422" s="8" t="str">
        <f>HYPERLINK("https://twitter.com/hariadhi84","@hariadhi84")</f>
        <v>@hariadhi84</v>
      </c>
      <c r="C28422" s="8" t="s">
        <v>10719</v>
      </c>
      <c r="D28422" s="8">
        <v>4</v>
      </c>
      <c r="E28422" s="8">
        <v>0</v>
      </c>
      <c r="F28422" s="8">
        <v>10865</v>
      </c>
    </row>
    <row r="28423" spans="1:6" ht="12.75">
      <c r="A28423" s="8">
        <v>43891.753113425926</v>
      </c>
      <c r="B28423" s="8" t="str">
        <f>HYPERLINK("https://twitter.com/dakwahpost","@dakwahpost")</f>
        <v>@dakwahpost</v>
      </c>
      <c r="C28423" s="8" t="s">
        <v>10763</v>
      </c>
      <c r="D28423" s="8">
        <v>0</v>
      </c>
      <c r="E28423" s="8">
        <v>0</v>
      </c>
      <c r="F28423" s="8">
        <v>764</v>
      </c>
    </row>
    <row r="28424" spans="1:6" ht="12.75">
      <c r="A28424" s="8">
        <v>43891.753113425926</v>
      </c>
      <c r="B28424" s="8" t="str">
        <f>HYPERLINK("https://twitter.com/kicepkicep","@kicepkicep")</f>
        <v>@kicepkicep</v>
      </c>
      <c r="C28424" s="8" t="s">
        <v>9587</v>
      </c>
      <c r="D28424" s="8">
        <v>24</v>
      </c>
      <c r="E28424" s="8">
        <v>0</v>
      </c>
      <c r="F28424" s="8">
        <v>1249</v>
      </c>
    </row>
    <row r="28425" spans="1:6" ht="12.75">
      <c r="A28425" s="8">
        <v>43891.753055555557</v>
      </c>
      <c r="B28425" s="8" t="str">
        <f>HYPERLINK("https://twitter.com/JayaNasih","@JayaNasih")</f>
        <v>@JayaNasih</v>
      </c>
      <c r="C28425" s="8" t="s">
        <v>3850</v>
      </c>
      <c r="D28425" s="8">
        <v>307</v>
      </c>
      <c r="E28425" s="8">
        <v>0</v>
      </c>
      <c r="F28425" s="8">
        <v>203</v>
      </c>
    </row>
    <row r="28426" spans="1:6" ht="12.75">
      <c r="A28426" s="8">
        <v>43891.753009259264</v>
      </c>
      <c r="B28426" s="8" t="str">
        <f>HYPERLINK("https://twitter.com/Wongnde62842615","@Wongnde62842615")</f>
        <v>@Wongnde62842615</v>
      </c>
      <c r="C28426" s="8" t="s">
        <v>3850</v>
      </c>
      <c r="D28426" s="8">
        <v>307</v>
      </c>
      <c r="E28426" s="8">
        <v>0</v>
      </c>
      <c r="F28426" s="8">
        <v>90</v>
      </c>
    </row>
    <row r="28427" spans="1:6" ht="12.75">
      <c r="A28427" s="8">
        <v>43891.752962962964</v>
      </c>
      <c r="B28427" s="8" t="str">
        <f>HYPERLINK("https://twitter.com/Ngehi_Lawu","@Ngehi_Lawu")</f>
        <v>@Ngehi_Lawu</v>
      </c>
      <c r="C28427" s="8" t="s">
        <v>9587</v>
      </c>
      <c r="D28427" s="8">
        <v>24</v>
      </c>
      <c r="E28427" s="8">
        <v>0</v>
      </c>
      <c r="F28427" s="8">
        <v>5027</v>
      </c>
    </row>
    <row r="28428" spans="1:6" ht="12.75">
      <c r="A28428" s="8">
        <v>43891.752916666665</v>
      </c>
      <c r="B28428" s="8" t="str">
        <f>HYPERLINK("https://twitter.com/Amahmuna3","@Amahmuna3")</f>
        <v>@Amahmuna3</v>
      </c>
      <c r="C28428" s="8" t="s">
        <v>10764</v>
      </c>
      <c r="D28428" s="8">
        <v>0</v>
      </c>
      <c r="E28428" s="8">
        <v>0</v>
      </c>
      <c r="F28428" s="8">
        <v>2198</v>
      </c>
    </row>
    <row r="28429" spans="1:6" ht="12.75">
      <c r="A28429" s="8">
        <v>43891.752835648149</v>
      </c>
      <c r="B28429" s="8" t="str">
        <f>HYPERLINK("https://twitter.com/Haluan_","@Haluan_")</f>
        <v>@Haluan_</v>
      </c>
      <c r="C28429" s="8" t="s">
        <v>10765</v>
      </c>
      <c r="D28429" s="8">
        <v>0</v>
      </c>
      <c r="E28429" s="8">
        <v>0</v>
      </c>
      <c r="F28429" s="8">
        <v>1507</v>
      </c>
    </row>
    <row r="28430" spans="1:6" ht="12.75">
      <c r="A28430" s="8">
        <v>43891.752395833333</v>
      </c>
      <c r="B28430" s="8" t="str">
        <f>HYPERLINK("https://twitter.com/YoyokSubandriy3","@YoyokSubandriy3")</f>
        <v>@YoyokSubandriy3</v>
      </c>
      <c r="C28430" s="8" t="s">
        <v>10766</v>
      </c>
      <c r="D28430" s="8">
        <v>3</v>
      </c>
      <c r="E28430" s="8">
        <v>0</v>
      </c>
      <c r="F28430" s="8">
        <v>1387</v>
      </c>
    </row>
    <row r="28431" spans="1:6" ht="12.75">
      <c r="A28431" s="8">
        <v>43891.75209490741</v>
      </c>
      <c r="B28431" s="8" t="str">
        <f>HYPERLINK("https://twitter.com/VIVAcoid","@VIVAcoid")</f>
        <v>@VIVAcoid</v>
      </c>
      <c r="C28431" s="8" t="s">
        <v>10761</v>
      </c>
      <c r="D28431" s="8">
        <v>2</v>
      </c>
      <c r="E28431" s="8">
        <v>0</v>
      </c>
      <c r="F28431" s="8">
        <v>4173772</v>
      </c>
    </row>
    <row r="28432" spans="1:6" ht="12.75">
      <c r="A28432" s="8">
        <v>43891.75204861111</v>
      </c>
      <c r="B28432" s="8" t="str">
        <f>HYPERLINK("https://twitter.com/AdiSapu21498851","@AdiSapu21498851")</f>
        <v>@AdiSapu21498851</v>
      </c>
      <c r="C28432" s="8" t="s">
        <v>3850</v>
      </c>
      <c r="D28432" s="8">
        <v>307</v>
      </c>
      <c r="E28432" s="8">
        <v>0</v>
      </c>
      <c r="F28432" s="8">
        <v>395</v>
      </c>
    </row>
    <row r="28433" spans="1:6" ht="12.75">
      <c r="A28433" s="8">
        <v>43891.751932870371</v>
      </c>
      <c r="B28433" s="8" t="str">
        <f>HYPERLINK("https://twitter.com/AboenkYamin","@AboenkYamin")</f>
        <v>@AboenkYamin</v>
      </c>
      <c r="C28433" s="8" t="s">
        <v>10404</v>
      </c>
      <c r="D28433" s="8">
        <v>164</v>
      </c>
      <c r="E28433" s="8">
        <v>0</v>
      </c>
      <c r="F28433" s="8">
        <v>915</v>
      </c>
    </row>
    <row r="28434" spans="1:6" ht="12.75">
      <c r="A28434" s="8">
        <v>43891.751886574071</v>
      </c>
      <c r="B28434" s="8" t="str">
        <f>HYPERLINK("https://twitter.com/victormadjid","@victormadjid")</f>
        <v>@victormadjid</v>
      </c>
      <c r="C28434" s="8" t="s">
        <v>7704</v>
      </c>
      <c r="D28434" s="8">
        <v>124</v>
      </c>
      <c r="E28434" s="8">
        <v>0</v>
      </c>
      <c r="F28434" s="8">
        <v>65</v>
      </c>
    </row>
    <row r="28435" spans="1:6" ht="12.75">
      <c r="A28435" s="8">
        <v>43891.751747685186</v>
      </c>
      <c r="B28435" s="8" t="str">
        <f>HYPERLINK("https://twitter.com/topinfo_id","@topinfo_id")</f>
        <v>@topinfo_id</v>
      </c>
      <c r="C28435" s="8" t="s">
        <v>10767</v>
      </c>
      <c r="D28435" s="8">
        <v>0</v>
      </c>
      <c r="E28435" s="8">
        <v>0</v>
      </c>
      <c r="F28435" s="8">
        <v>25</v>
      </c>
    </row>
    <row r="28436" spans="1:6" ht="12.75">
      <c r="A28436" s="8">
        <v>43891.75172453704</v>
      </c>
      <c r="B28436" s="8" t="str">
        <f>HYPERLINK("https://twitter.com/genefer_maikel","@genefer_maikel")</f>
        <v>@genefer_maikel</v>
      </c>
      <c r="C28436" s="8" t="s">
        <v>10768</v>
      </c>
      <c r="D28436" s="8">
        <v>0</v>
      </c>
      <c r="E28436" s="8">
        <v>0</v>
      </c>
      <c r="F28436" s="8">
        <v>5543</v>
      </c>
    </row>
    <row r="28437" spans="1:6" ht="12.75">
      <c r="A28437" s="8">
        <v>43891.751655092594</v>
      </c>
      <c r="B28437" s="8" t="str">
        <f>HYPERLINK("https://twitter.com/sissyfebrina","@sissyfebrina")</f>
        <v>@sissyfebrina</v>
      </c>
      <c r="C28437" s="8" t="s">
        <v>10738</v>
      </c>
      <c r="D28437" s="8">
        <v>2</v>
      </c>
      <c r="E28437" s="8">
        <v>0</v>
      </c>
      <c r="F28437" s="8">
        <v>9</v>
      </c>
    </row>
    <row r="28438" spans="1:6" ht="12.75">
      <c r="A28438" s="8">
        <v>43891.751550925925</v>
      </c>
      <c r="B28438" s="8" t="str">
        <f>HYPERLINK("https://twitter.com/ChoiruddinAsyar","@ChoiruddinAsyar")</f>
        <v>@ChoiruddinAsyar</v>
      </c>
      <c r="C28438" s="8" t="s">
        <v>10769</v>
      </c>
      <c r="D28438" s="8">
        <v>0</v>
      </c>
      <c r="E28438" s="8">
        <v>0</v>
      </c>
      <c r="F28438" s="8">
        <v>154</v>
      </c>
    </row>
    <row r="28439" spans="1:6" ht="12.75">
      <c r="A28439" s="8">
        <v>43891.751527777778</v>
      </c>
      <c r="B28439" s="8" t="str">
        <f>HYPERLINK("https://twitter.com/Kimi58486332","@Kimi58486332")</f>
        <v>@Kimi58486332</v>
      </c>
      <c r="C28439" s="8" t="s">
        <v>10770</v>
      </c>
      <c r="D28439" s="8">
        <v>0</v>
      </c>
      <c r="E28439" s="8">
        <v>0</v>
      </c>
      <c r="F28439" s="8">
        <v>20</v>
      </c>
    </row>
    <row r="28440" spans="1:6" ht="12.75">
      <c r="A28440" s="8">
        <v>43891.751516203702</v>
      </c>
      <c r="B28440" s="8" t="str">
        <f>HYPERLINK("https://twitter.com/iNewsID","@iNewsID")</f>
        <v>@iNewsID</v>
      </c>
      <c r="C28440" s="8" t="s">
        <v>10771</v>
      </c>
      <c r="D28440" s="8">
        <v>0</v>
      </c>
      <c r="E28440" s="8">
        <v>0</v>
      </c>
      <c r="F28440" s="8">
        <v>1344</v>
      </c>
    </row>
    <row r="28441" spans="1:6" ht="12.75">
      <c r="A28441" s="8">
        <v>43891.751423611116</v>
      </c>
      <c r="B28441" s="8" t="str">
        <f>HYPERLINK("https://twitter.com/vivanewscom","@vivanewscom")</f>
        <v>@vivanewscom</v>
      </c>
      <c r="C28441" s="8" t="s">
        <v>10772</v>
      </c>
      <c r="D28441" s="8">
        <v>2</v>
      </c>
      <c r="E28441" s="8">
        <v>2</v>
      </c>
      <c r="F28441" s="8">
        <v>4571</v>
      </c>
    </row>
    <row r="28442" spans="1:6" ht="12.75">
      <c r="A28442" s="8">
        <v>43891.751273148147</v>
      </c>
      <c r="B28442" s="8" t="str">
        <f>HYPERLINK("https://twitter.com/yuli_aputri","@yuli_aputri")</f>
        <v>@yuli_aputri</v>
      </c>
      <c r="C28442" s="8" t="s">
        <v>3850</v>
      </c>
      <c r="D28442" s="8">
        <v>307</v>
      </c>
      <c r="E28442" s="8">
        <v>0</v>
      </c>
      <c r="F28442" s="8">
        <v>469</v>
      </c>
    </row>
    <row r="28443" spans="1:6" ht="12.75">
      <c r="A28443" s="8">
        <v>43891.751215277778</v>
      </c>
      <c r="B28443" s="8" t="str">
        <f>HYPERLINK("https://twitter.com/vin_aca","@vin_aca")</f>
        <v>@vin_aca</v>
      </c>
      <c r="C28443" s="8" t="s">
        <v>3850</v>
      </c>
      <c r="D28443" s="8">
        <v>307</v>
      </c>
      <c r="E28443" s="8">
        <v>0</v>
      </c>
      <c r="F28443" s="8">
        <v>510</v>
      </c>
    </row>
    <row r="28444" spans="1:6" ht="12.75">
      <c r="A28444" s="8">
        <v>43891.751145833332</v>
      </c>
      <c r="B28444" s="8" t="str">
        <f>HYPERLINK("https://twitter.com/waherbot","@waherbot")</f>
        <v>@waherbot</v>
      </c>
      <c r="C28444" s="8" t="s">
        <v>7704</v>
      </c>
      <c r="D28444" s="8">
        <v>124</v>
      </c>
      <c r="E28444" s="8">
        <v>0</v>
      </c>
      <c r="F28444" s="8">
        <v>213</v>
      </c>
    </row>
    <row r="28445" spans="1:6" ht="12.75">
      <c r="A28445" s="8">
        <v>43891.750972222224</v>
      </c>
      <c r="B28445" s="8" t="str">
        <f>HYPERLINK("https://twitter.com/AnisHudaya","@AnisHudaya")</f>
        <v>@AnisHudaya</v>
      </c>
      <c r="C28445" s="8" t="s">
        <v>10773</v>
      </c>
      <c r="D28445" s="8">
        <v>279</v>
      </c>
      <c r="E28445" s="8">
        <v>0</v>
      </c>
      <c r="F28445" s="8">
        <v>1811</v>
      </c>
    </row>
    <row r="28446" spans="1:6" ht="12.75">
      <c r="A28446" s="8">
        <v>43891.750960648147</v>
      </c>
      <c r="B28446" s="8" t="str">
        <f>HYPERLINK("https://twitter.com/hendra_ns","@hendra_ns")</f>
        <v>@hendra_ns</v>
      </c>
      <c r="C28446" s="8" t="s">
        <v>10774</v>
      </c>
      <c r="D28446" s="8">
        <v>0</v>
      </c>
      <c r="E28446" s="8">
        <v>0</v>
      </c>
      <c r="F28446" s="8">
        <v>2873</v>
      </c>
    </row>
    <row r="28447" spans="1:6" ht="12.75">
      <c r="A28447" s="8">
        <v>43891.750949074078</v>
      </c>
      <c r="B28447" s="8" t="str">
        <f>HYPERLINK("https://twitter.com/singgih_always","@singgih_always")</f>
        <v>@singgih_always</v>
      </c>
      <c r="C28447" s="8" t="s">
        <v>3850</v>
      </c>
      <c r="D28447" s="8">
        <v>307</v>
      </c>
      <c r="E28447" s="8">
        <v>0</v>
      </c>
      <c r="F28447" s="8">
        <v>790</v>
      </c>
    </row>
    <row r="28448" spans="1:6" ht="12.75">
      <c r="A28448" s="8">
        <v>43891.750925925924</v>
      </c>
      <c r="B28448" s="8" t="str">
        <f>HYPERLINK("https://twitter.com/MasAde8800","@MasAde8800")</f>
        <v>@MasAde8800</v>
      </c>
      <c r="C28448" s="8" t="s">
        <v>10684</v>
      </c>
      <c r="D28448" s="8">
        <v>9</v>
      </c>
      <c r="E28448" s="8">
        <v>0</v>
      </c>
      <c r="F28448" s="8">
        <v>281</v>
      </c>
    </row>
    <row r="28449" spans="1:6" ht="12.75">
      <c r="A28449" s="8">
        <v>43891.750856481478</v>
      </c>
      <c r="B28449" s="8" t="str">
        <f>HYPERLINK("https://twitter.com/Darmalik3","@Darmalik3")</f>
        <v>@Darmalik3</v>
      </c>
      <c r="C28449" s="8" t="s">
        <v>8096</v>
      </c>
      <c r="D28449" s="8">
        <v>88</v>
      </c>
      <c r="E28449" s="8">
        <v>0</v>
      </c>
      <c r="F28449" s="8">
        <v>1717</v>
      </c>
    </row>
    <row r="28450" spans="1:6" ht="12.75">
      <c r="A28450" s="8">
        <v>43891.750856481478</v>
      </c>
      <c r="B28450" s="8" t="str">
        <f>HYPERLINK("https://twitter.com/MYS_oishi1026","@MYS_oishi1026")</f>
        <v>@MYS_oishi1026</v>
      </c>
      <c r="C28450" s="8" t="s">
        <v>8484</v>
      </c>
      <c r="D28450" s="8">
        <v>1055</v>
      </c>
      <c r="E28450" s="8">
        <v>0</v>
      </c>
      <c r="F28450" s="8">
        <v>527</v>
      </c>
    </row>
    <row r="28451" spans="1:6" ht="12.75">
      <c r="A28451" s="8">
        <v>43891.750833333332</v>
      </c>
      <c r="B28451" s="8" t="str">
        <f>HYPERLINK("https://twitter.com/sarisetiawaty","@sarisetiawaty")</f>
        <v>@sarisetiawaty</v>
      </c>
      <c r="C28451" s="8" t="s">
        <v>10443</v>
      </c>
      <c r="D28451" s="8">
        <v>56</v>
      </c>
      <c r="E28451" s="8">
        <v>0</v>
      </c>
      <c r="F28451" s="8">
        <v>584</v>
      </c>
    </row>
    <row r="28452" spans="1:6" ht="12.75">
      <c r="A28452" s="8">
        <v>43891.75072916667</v>
      </c>
      <c r="B28452" s="8" t="str">
        <f>HYPERLINK("https://twitter.com/mh3ds","@mh3ds")</f>
        <v>@mh3ds</v>
      </c>
      <c r="C28452" s="8" t="s">
        <v>9130</v>
      </c>
      <c r="D28452" s="8">
        <v>18</v>
      </c>
      <c r="E28452" s="8">
        <v>0</v>
      </c>
      <c r="F28452" s="8">
        <v>337</v>
      </c>
    </row>
    <row r="28453" spans="1:6" ht="12.75">
      <c r="A28453" s="8">
        <v>43891.750671296293</v>
      </c>
      <c r="B28453" s="8" t="str">
        <f>HYPERLINK("https://twitter.com/Widiiutomo","@Widiiutomo")</f>
        <v>@Widiiutomo</v>
      </c>
      <c r="C28453" s="8" t="s">
        <v>7704</v>
      </c>
      <c r="D28453" s="8">
        <v>124</v>
      </c>
      <c r="E28453" s="8">
        <v>0</v>
      </c>
      <c r="F28453" s="8">
        <v>326</v>
      </c>
    </row>
    <row r="28454" spans="1:6" ht="12.75">
      <c r="A28454" s="8">
        <v>43891.750648148147</v>
      </c>
      <c r="B28454" s="8" t="str">
        <f>HYPERLINK("https://twitter.com/deddyhariadi","@deddyhariadi")</f>
        <v>@deddyhariadi</v>
      </c>
      <c r="C28454" s="8" t="s">
        <v>10719</v>
      </c>
      <c r="D28454" s="8">
        <v>4</v>
      </c>
      <c r="E28454" s="8">
        <v>0</v>
      </c>
      <c r="F28454" s="8">
        <v>379</v>
      </c>
    </row>
    <row r="28455" spans="1:6" ht="12.75">
      <c r="A28455" s="8">
        <v>43891.750474537039</v>
      </c>
      <c r="B28455" s="8" t="str">
        <f>HYPERLINK("https://twitter.com/iim666","@iim666")</f>
        <v>@iim666</v>
      </c>
      <c r="C28455" s="8" t="s">
        <v>9130</v>
      </c>
      <c r="D28455" s="8">
        <v>18</v>
      </c>
      <c r="E28455" s="8">
        <v>0</v>
      </c>
      <c r="F28455" s="8">
        <v>318</v>
      </c>
    </row>
    <row r="28456" spans="1:6" ht="12.75">
      <c r="A28456" s="8">
        <v>43891.750474537039</v>
      </c>
      <c r="B28456" s="8" t="str">
        <f>HYPERLINK("https://twitter.com/adysiswanto12","@adysiswanto12")</f>
        <v>@adysiswanto12</v>
      </c>
      <c r="C28456" s="8" t="s">
        <v>10775</v>
      </c>
      <c r="D28456" s="8">
        <v>0</v>
      </c>
      <c r="E28456" s="8">
        <v>2</v>
      </c>
      <c r="F28456" s="8">
        <v>369</v>
      </c>
    </row>
    <row r="28457" spans="1:6" ht="12.75">
      <c r="A28457" s="8">
        <v>43891.750300925924</v>
      </c>
      <c r="B28457" s="8" t="str">
        <f>HYPERLINK("https://twitter.com/aassriiee","@aassriiee")</f>
        <v>@aassriiee</v>
      </c>
      <c r="C28457" s="8" t="s">
        <v>10404</v>
      </c>
      <c r="D28457" s="8">
        <v>164</v>
      </c>
      <c r="E28457" s="8">
        <v>0</v>
      </c>
      <c r="F28457" s="8">
        <v>257</v>
      </c>
    </row>
    <row r="28458" spans="1:6" ht="12.75">
      <c r="A28458" s="8">
        <v>43891.750300925924</v>
      </c>
      <c r="B28458" s="8" t="str">
        <f>HYPERLINK("https://twitter.com/SukurWong","@SukurWong")</f>
        <v>@SukurWong</v>
      </c>
      <c r="C28458" s="8" t="s">
        <v>10404</v>
      </c>
      <c r="D28458" s="8">
        <v>164</v>
      </c>
      <c r="E28458" s="8">
        <v>0</v>
      </c>
      <c r="F28458" s="8">
        <v>190</v>
      </c>
    </row>
    <row r="28459" spans="1:6" ht="12.75">
      <c r="A28459" s="8">
        <v>43891.750046296293</v>
      </c>
      <c r="B28459" s="8" t="str">
        <f>HYPERLINK("https://twitter.com/KompasTV","@KompasTV")</f>
        <v>@KompasTV</v>
      </c>
      <c r="C28459" s="8" t="s">
        <v>10776</v>
      </c>
      <c r="D28459" s="8">
        <v>0</v>
      </c>
      <c r="E28459" s="8">
        <v>1</v>
      </c>
      <c r="F28459" s="8">
        <v>2952593</v>
      </c>
    </row>
    <row r="28460" spans="1:6" ht="12.75">
      <c r="A28460" s="8">
        <v>43891.750046296293</v>
      </c>
      <c r="B28460" s="8" t="str">
        <f>HYPERLINK("https://twitter.com/Fisabil49338483","@Fisabil49338483")</f>
        <v>@Fisabil49338483</v>
      </c>
      <c r="C28460" s="8" t="s">
        <v>3850</v>
      </c>
      <c r="D28460" s="8">
        <v>307</v>
      </c>
      <c r="E28460" s="8">
        <v>0</v>
      </c>
      <c r="F28460" s="8">
        <v>810</v>
      </c>
    </row>
    <row r="28461" spans="1:6" ht="12.75">
      <c r="A28461" s="8">
        <v>43891.750046296293</v>
      </c>
      <c r="B28461" s="8" t="str">
        <f>HYPERLINK("https://twitter.com/__MV_llestari__","@__MV_llestari__")</f>
        <v>@__MV_llestari__</v>
      </c>
      <c r="C28461" s="8" t="s">
        <v>10777</v>
      </c>
      <c r="D28461" s="8">
        <v>1</v>
      </c>
      <c r="E28461" s="8">
        <v>0</v>
      </c>
      <c r="F28461" s="8">
        <v>9112</v>
      </c>
    </row>
    <row r="28462" spans="1:6" ht="12.75">
      <c r="A28462" s="8">
        <v>43891.749976851846</v>
      </c>
      <c r="B28462" s="8" t="str">
        <f>HYPERLINK("https://twitter.com/C41__5R","@C41__5R")</f>
        <v>@C41__5R</v>
      </c>
      <c r="C28462" s="8" t="s">
        <v>10778</v>
      </c>
      <c r="D28462" s="8">
        <v>0</v>
      </c>
      <c r="E28462" s="8">
        <v>0</v>
      </c>
      <c r="F28462" s="8">
        <v>575</v>
      </c>
    </row>
    <row r="28463" spans="1:6" ht="12.75">
      <c r="A28463" s="8">
        <v>43891.749942129631</v>
      </c>
      <c r="B28463" s="8" t="str">
        <f>HYPERLINK("https://twitter.com/margareta_vania","@margareta_vania")</f>
        <v>@margareta_vania</v>
      </c>
      <c r="C28463" s="8" t="s">
        <v>2272</v>
      </c>
      <c r="D28463" s="8">
        <v>757</v>
      </c>
      <c r="E28463" s="8">
        <v>0</v>
      </c>
      <c r="F28463" s="8">
        <v>851</v>
      </c>
    </row>
    <row r="28464" spans="1:6" ht="12.75">
      <c r="A28464" s="8">
        <v>43891.749618055561</v>
      </c>
      <c r="B28464" s="8" t="str">
        <f>HYPERLINK("https://twitter.com/DarmaDa89934536","@DarmaDa89934536")</f>
        <v>@DarmaDa89934536</v>
      </c>
      <c r="C28464" s="8" t="s">
        <v>10779</v>
      </c>
      <c r="D28464" s="8">
        <v>20</v>
      </c>
      <c r="E28464" s="8">
        <v>0</v>
      </c>
      <c r="F28464" s="8">
        <v>312</v>
      </c>
    </row>
    <row r="28465" spans="1:6" ht="12.75">
      <c r="A28465" s="8">
        <v>43891.749398148153</v>
      </c>
      <c r="B28465" s="8" t="str">
        <f>HYPERLINK("https://twitter.com/WesWancine","@WesWancine")</f>
        <v>@WesWancine</v>
      </c>
      <c r="C28465" s="8" t="s">
        <v>3850</v>
      </c>
      <c r="D28465" s="8">
        <v>307</v>
      </c>
      <c r="E28465" s="8">
        <v>0</v>
      </c>
      <c r="F28465" s="8">
        <v>734</v>
      </c>
    </row>
    <row r="28466" spans="1:6" ht="12.75">
      <c r="A28466" s="8">
        <v>43891.74927083333</v>
      </c>
      <c r="B28466" s="8" t="str">
        <f>HYPERLINK("https://twitter.com/Widyo81940574","@Widyo81940574")</f>
        <v>@Widyo81940574</v>
      </c>
      <c r="C28466" s="8" t="s">
        <v>10722</v>
      </c>
      <c r="D28466" s="8">
        <v>86</v>
      </c>
      <c r="E28466" s="8">
        <v>0</v>
      </c>
      <c r="F28466" s="8">
        <v>127</v>
      </c>
    </row>
    <row r="28467" spans="1:6" ht="12.75">
      <c r="A28467" s="8">
        <v>43891.749259259261</v>
      </c>
      <c r="B28467" s="8" t="str">
        <f>HYPERLINK("https://twitter.com/kemenkopmk","@kemenkopmk")</f>
        <v>@kemenkopmk</v>
      </c>
      <c r="C28467" s="8" t="s">
        <v>10780</v>
      </c>
      <c r="D28467" s="8">
        <v>1</v>
      </c>
      <c r="E28467" s="8">
        <v>2</v>
      </c>
      <c r="F28467" s="8">
        <v>130288</v>
      </c>
    </row>
    <row r="28468" spans="1:6" ht="12.75">
      <c r="A28468" s="8">
        <v>43891.749201388884</v>
      </c>
      <c r="B28468" s="8" t="str">
        <f>HYPERLINK("https://twitter.com/RakyatB72107070","@RakyatB72107070")</f>
        <v>@RakyatB72107070</v>
      </c>
      <c r="C28468" s="8" t="s">
        <v>10779</v>
      </c>
      <c r="D28468" s="8">
        <v>20</v>
      </c>
      <c r="E28468" s="8">
        <v>0</v>
      </c>
      <c r="F28468" s="8">
        <v>339</v>
      </c>
    </row>
    <row r="28469" spans="1:6" ht="12.75">
      <c r="A28469" s="8">
        <v>43891.749166666668</v>
      </c>
      <c r="B28469" s="8" t="str">
        <f>HYPERLINK("https://twitter.com/AmmaApri","@AmmaApri")</f>
        <v>@AmmaApri</v>
      </c>
      <c r="C28469" s="8" t="s">
        <v>10781</v>
      </c>
      <c r="D28469" s="8">
        <v>3</v>
      </c>
      <c r="E28469" s="8">
        <v>0</v>
      </c>
      <c r="F28469" s="8">
        <v>303</v>
      </c>
    </row>
    <row r="28470" spans="1:6" ht="12.75">
      <c r="A28470" s="8">
        <v>43891.749050925922</v>
      </c>
      <c r="B28470" s="8" t="str">
        <f>HYPERLINK("https://twitter.com/MYEmbSarajevo","@MYEmbSarajevo")</f>
        <v>@MYEmbSarajevo</v>
      </c>
      <c r="C28470" s="8" t="s">
        <v>4000</v>
      </c>
      <c r="D28470" s="8">
        <v>22</v>
      </c>
      <c r="E28470" s="8">
        <v>0</v>
      </c>
      <c r="F28470" s="8">
        <v>432</v>
      </c>
    </row>
    <row r="28471" spans="1:6" ht="12.75">
      <c r="A28471" s="8">
        <v>43891.748981481476</v>
      </c>
      <c r="B28471" s="8" t="str">
        <f>HYPERLINK("https://twitter.com/RakyatB72107070","@RakyatB72107070")</f>
        <v>@RakyatB72107070</v>
      </c>
      <c r="C28471" s="8" t="s">
        <v>10404</v>
      </c>
      <c r="D28471" s="8">
        <v>164</v>
      </c>
      <c r="E28471" s="8">
        <v>0</v>
      </c>
      <c r="F28471" s="8">
        <v>339</v>
      </c>
    </row>
    <row r="28472" spans="1:6" ht="12.75">
      <c r="A28472" s="8">
        <v>43891.748935185184</v>
      </c>
      <c r="B28472" s="8" t="str">
        <f>HYPERLINK("https://twitter.com/JossSudaryanto","@JossSudaryanto")</f>
        <v>@JossSudaryanto</v>
      </c>
      <c r="C28472" s="8" t="s">
        <v>10600</v>
      </c>
      <c r="D28472" s="8">
        <v>296</v>
      </c>
      <c r="E28472" s="8">
        <v>0</v>
      </c>
      <c r="F28472" s="8">
        <v>19</v>
      </c>
    </row>
    <row r="28473" spans="1:6" ht="12.75">
      <c r="A28473" s="8">
        <v>43891.748923611114</v>
      </c>
      <c r="B28473" s="8" t="str">
        <f>HYPERLINK("https://twitter.com/rusdian01796366","@rusdian01796366")</f>
        <v>@rusdian01796366</v>
      </c>
      <c r="C28473" s="8" t="s">
        <v>9130</v>
      </c>
      <c r="D28473" s="8">
        <v>18</v>
      </c>
      <c r="E28473" s="8">
        <v>0</v>
      </c>
      <c r="F28473" s="8">
        <v>749</v>
      </c>
    </row>
    <row r="28474" spans="1:6" ht="12.75">
      <c r="A28474" s="8">
        <v>43891.748888888891</v>
      </c>
      <c r="B28474" s="8" t="str">
        <f>HYPERLINK("https://twitter.com/angelmaximilan","@angelmaximilan")</f>
        <v>@angelmaximilan</v>
      </c>
      <c r="C28474" s="8" t="s">
        <v>10782</v>
      </c>
      <c r="D28474" s="8">
        <v>2</v>
      </c>
      <c r="E28474" s="8">
        <v>0</v>
      </c>
      <c r="F28474" s="8">
        <v>6445</v>
      </c>
    </row>
    <row r="28475" spans="1:6" ht="12.75">
      <c r="A28475" s="8">
        <v>43891.748877314814</v>
      </c>
      <c r="B28475" s="8" t="str">
        <f>HYPERLINK("https://twitter.com/RakyatB72107070","@RakyatB72107070")</f>
        <v>@RakyatB72107070</v>
      </c>
      <c r="C28475" s="8" t="s">
        <v>10722</v>
      </c>
      <c r="D28475" s="8">
        <v>86</v>
      </c>
      <c r="E28475" s="8">
        <v>0</v>
      </c>
      <c r="F28475" s="8">
        <v>339</v>
      </c>
    </row>
    <row r="28476" spans="1:6" ht="12.75">
      <c r="A28476" s="8">
        <v>43891.715081018519</v>
      </c>
      <c r="B28476" s="8" t="str">
        <f>HYPERLINK("https://twitter.com/duhmnas3","@duhmnas3")</f>
        <v>@duhmnas3</v>
      </c>
      <c r="C28476" s="8" t="s">
        <v>10783</v>
      </c>
      <c r="D28476" s="8">
        <v>0</v>
      </c>
      <c r="E28476" s="8">
        <v>0</v>
      </c>
      <c r="F28476" s="8">
        <v>1533</v>
      </c>
    </row>
    <row r="28477" spans="1:6" ht="12.75">
      <c r="A28477" s="8">
        <v>43891.71466435185</v>
      </c>
      <c r="B28477" s="8" t="str">
        <f t="shared" ref="B28477:B28478" si="385">HYPERLINK("https://twitter.com/bknmanusia42961","@bknmanusia42961")</f>
        <v>@bknmanusia42961</v>
      </c>
      <c r="C28477" s="8" t="s">
        <v>10333</v>
      </c>
      <c r="D28477" s="8">
        <v>5</v>
      </c>
      <c r="E28477" s="8">
        <v>0</v>
      </c>
      <c r="F28477" s="8">
        <v>69</v>
      </c>
    </row>
    <row r="28478" spans="1:6" ht="12.75">
      <c r="A28478" s="8">
        <v>43891.714548611111</v>
      </c>
      <c r="B28478" s="8" t="str">
        <f t="shared" si="385"/>
        <v>@bknmanusia42961</v>
      </c>
      <c r="C28478" s="8" t="s">
        <v>3850</v>
      </c>
      <c r="D28478" s="8">
        <v>182</v>
      </c>
      <c r="E28478" s="8">
        <v>0</v>
      </c>
      <c r="F28478" s="8">
        <v>69</v>
      </c>
    </row>
    <row r="28479" spans="1:6" ht="12.75">
      <c r="A28479" s="8">
        <v>43891.714490740742</v>
      </c>
      <c r="B28479" s="8" t="str">
        <f>HYPERLINK("https://twitter.com/pencari_fact","@pencari_fact")</f>
        <v>@pencari_fact</v>
      </c>
      <c r="C28479" s="8" t="s">
        <v>9729</v>
      </c>
      <c r="D28479" s="8">
        <v>9</v>
      </c>
      <c r="E28479" s="8">
        <v>0</v>
      </c>
      <c r="F28479" s="8">
        <v>261</v>
      </c>
    </row>
    <row r="28480" spans="1:6" ht="12.75">
      <c r="A28480" s="8">
        <v>43891.714490740742</v>
      </c>
      <c r="B28480" s="8" t="str">
        <f>HYPERLINK("https://twitter.com/jaya1perkasa","@jaya1perkasa")</f>
        <v>@jaya1perkasa</v>
      </c>
      <c r="C28480" s="8" t="s">
        <v>10784</v>
      </c>
      <c r="D28480" s="8">
        <v>1</v>
      </c>
      <c r="E28480" s="8">
        <v>0</v>
      </c>
      <c r="F28480" s="8">
        <v>624</v>
      </c>
    </row>
    <row r="28481" spans="1:6" ht="12.75">
      <c r="A28481" s="8">
        <v>43891.714444444442</v>
      </c>
      <c r="B28481" s="8" t="str">
        <f>HYPERLINK("https://twitter.com/kandargalang","@kandargalang")</f>
        <v>@kandargalang</v>
      </c>
      <c r="C28481" s="8" t="s">
        <v>10785</v>
      </c>
      <c r="D28481" s="8">
        <v>2</v>
      </c>
      <c r="E28481" s="8">
        <v>0</v>
      </c>
      <c r="F28481" s="8">
        <v>16778</v>
      </c>
    </row>
    <row r="28482" spans="1:6" ht="12.75">
      <c r="A28482" s="8">
        <v>43891.714432870373</v>
      </c>
      <c r="B28482" s="8" t="str">
        <f>HYPERLINK("https://twitter.com/PuluMusada","@PuluMusada")</f>
        <v>@PuluMusada</v>
      </c>
      <c r="C28482" s="8" t="s">
        <v>7704</v>
      </c>
      <c r="D28482" s="8">
        <v>71</v>
      </c>
      <c r="E28482" s="8">
        <v>0</v>
      </c>
      <c r="F28482" s="8">
        <v>593</v>
      </c>
    </row>
    <row r="28483" spans="1:6" ht="12.75">
      <c r="A28483" s="8">
        <v>43891.714340277773</v>
      </c>
      <c r="B28483" s="8" t="str">
        <f>HYPERLINK("https://twitter.com/Jacky92853846","@Jacky92853846")</f>
        <v>@Jacky92853846</v>
      </c>
      <c r="C28483" s="8" t="s">
        <v>3850</v>
      </c>
      <c r="D28483" s="8">
        <v>182</v>
      </c>
      <c r="E28483" s="8">
        <v>0</v>
      </c>
      <c r="F28483" s="8">
        <v>1332</v>
      </c>
    </row>
    <row r="28484" spans="1:6" ht="12.75">
      <c r="A28484" s="8">
        <v>43891.714259259257</v>
      </c>
      <c r="B28484" s="8" t="str">
        <f>HYPERLINK("https://twitter.com/joe_bon_two","@joe_bon_two")</f>
        <v>@joe_bon_two</v>
      </c>
      <c r="C28484" s="8" t="s">
        <v>10786</v>
      </c>
      <c r="D28484" s="8">
        <v>1</v>
      </c>
      <c r="E28484" s="8">
        <v>0</v>
      </c>
      <c r="F28484" s="8">
        <v>1098</v>
      </c>
    </row>
    <row r="28485" spans="1:6" ht="12.75">
      <c r="A28485" s="8">
        <v>43891.714247685188</v>
      </c>
      <c r="B28485" s="8" t="str">
        <f>HYPERLINK("https://twitter.com/DudyDam_","@DudyDam_")</f>
        <v>@DudyDam_</v>
      </c>
      <c r="C28485" s="8" t="s">
        <v>9729</v>
      </c>
      <c r="D28485" s="8">
        <v>9</v>
      </c>
      <c r="E28485" s="8">
        <v>0</v>
      </c>
      <c r="F28485" s="8">
        <v>1805</v>
      </c>
    </row>
    <row r="28486" spans="1:6" ht="12.75">
      <c r="A28486" s="8">
        <v>43891.714224537034</v>
      </c>
      <c r="B28486" s="8" t="str">
        <f>HYPERLINK("https://twitter.com/RekkyAr","@RekkyAr")</f>
        <v>@RekkyAr</v>
      </c>
      <c r="C28486" s="8" t="s">
        <v>7704</v>
      </c>
      <c r="D28486" s="8">
        <v>71</v>
      </c>
      <c r="E28486" s="8">
        <v>0</v>
      </c>
      <c r="F28486" s="8">
        <v>526</v>
      </c>
    </row>
    <row r="28487" spans="1:6" ht="12.75">
      <c r="A28487" s="8">
        <v>43891.714189814811</v>
      </c>
      <c r="B28487" s="8" t="str">
        <f>HYPERLINK("https://twitter.com/__interlac_","@__interlac_")</f>
        <v>@__interlac_</v>
      </c>
      <c r="C28487" s="8" t="s">
        <v>10785</v>
      </c>
      <c r="D28487" s="8">
        <v>2</v>
      </c>
      <c r="E28487" s="8">
        <v>0</v>
      </c>
      <c r="F28487" s="8">
        <v>7041</v>
      </c>
    </row>
    <row r="28488" spans="1:6" ht="12.75">
      <c r="A28488" s="8">
        <v>43891.71398148148</v>
      </c>
      <c r="B28488" s="8" t="str">
        <f>HYPERLINK("https://twitter.com/bon_nugroho","@bon_nugroho")</f>
        <v>@bon_nugroho</v>
      </c>
      <c r="C28488" s="8" t="s">
        <v>9729</v>
      </c>
      <c r="D28488" s="8">
        <v>9</v>
      </c>
      <c r="E28488" s="8">
        <v>0</v>
      </c>
      <c r="F28488" s="8">
        <v>495</v>
      </c>
    </row>
    <row r="28489" spans="1:6" ht="12.75">
      <c r="A28489" s="8">
        <v>43891.713969907403</v>
      </c>
      <c r="B28489" s="8" t="str">
        <f>HYPERLINK("https://twitter.com/PengusahaID","@PengusahaID")</f>
        <v>@PengusahaID</v>
      </c>
      <c r="C28489" s="8" t="s">
        <v>10787</v>
      </c>
      <c r="D28489" s="8">
        <v>11</v>
      </c>
      <c r="E28489" s="8">
        <v>0</v>
      </c>
      <c r="F28489" s="8">
        <v>6242</v>
      </c>
    </row>
    <row r="28490" spans="1:6" ht="12.75">
      <c r="A28490" s="8">
        <v>43891.713912037041</v>
      </c>
      <c r="B28490" s="8" t="str">
        <f>HYPERLINK("https://twitter.com/KompasTV","@KompasTV")</f>
        <v>@KompasTV</v>
      </c>
      <c r="C28490" s="8" t="s">
        <v>10788</v>
      </c>
      <c r="D28490" s="8">
        <v>0</v>
      </c>
      <c r="E28490" s="8">
        <v>1</v>
      </c>
      <c r="F28490" s="8">
        <v>2952550</v>
      </c>
    </row>
    <row r="28491" spans="1:6" ht="12.75">
      <c r="A28491" s="8">
        <v>43891.713912037041</v>
      </c>
      <c r="B28491" s="8" t="str">
        <f>HYPERLINK("https://twitter.com/NKRI_NTBSasambo","@NKRI_NTBSasambo")</f>
        <v>@NKRI_NTBSasambo</v>
      </c>
      <c r="C28491" s="8" t="s">
        <v>3850</v>
      </c>
      <c r="D28491" s="8">
        <v>182</v>
      </c>
      <c r="E28491" s="8">
        <v>0</v>
      </c>
      <c r="F28491" s="8">
        <v>4231</v>
      </c>
    </row>
    <row r="28492" spans="1:6" ht="12.75">
      <c r="A28492" s="8">
        <v>43891.713506944448</v>
      </c>
      <c r="B28492" s="8" t="str">
        <f>HYPERLINK("https://twitter.com/dagelan_dunia","@dagelan_dunia")</f>
        <v>@dagelan_dunia</v>
      </c>
      <c r="C28492" s="8" t="s">
        <v>3850</v>
      </c>
      <c r="D28492" s="8">
        <v>182</v>
      </c>
      <c r="E28492" s="8">
        <v>0</v>
      </c>
      <c r="F28492" s="8">
        <v>200</v>
      </c>
    </row>
    <row r="28493" spans="1:6" ht="12.75">
      <c r="A28493" s="8">
        <v>43891.713472222225</v>
      </c>
      <c r="B28493" s="8" t="str">
        <f>HYPERLINK("https://twitter.com/Kimi58486332","@Kimi58486332")</f>
        <v>@Kimi58486332</v>
      </c>
      <c r="C28493" s="8" t="s">
        <v>10789</v>
      </c>
      <c r="D28493" s="8">
        <v>0</v>
      </c>
      <c r="E28493" s="8">
        <v>0</v>
      </c>
      <c r="F28493" s="8">
        <v>20</v>
      </c>
    </row>
    <row r="28494" spans="1:6" ht="12.75">
      <c r="A28494" s="8">
        <v>43891.713402777779</v>
      </c>
      <c r="B28494" s="8" t="str">
        <f>HYPERLINK("https://twitter.com/kkvrindhavan","@kkvrindhavan")</f>
        <v>@kkvrindhavan</v>
      </c>
      <c r="C28494" s="8" t="s">
        <v>9729</v>
      </c>
      <c r="D28494" s="8">
        <v>9</v>
      </c>
      <c r="E28494" s="8">
        <v>0</v>
      </c>
      <c r="F28494" s="8">
        <v>1723</v>
      </c>
    </row>
    <row r="28495" spans="1:6" ht="12.75">
      <c r="A28495" s="8">
        <v>43891.713275462964</v>
      </c>
      <c r="B28495" s="8" t="str">
        <f>HYPERLINK("https://twitter.com/PresidenKopi","@PresidenKopi")</f>
        <v>@PresidenKopi</v>
      </c>
      <c r="C28495" s="8" t="s">
        <v>10790</v>
      </c>
      <c r="D28495" s="8">
        <v>2</v>
      </c>
      <c r="E28495" s="8">
        <v>1</v>
      </c>
      <c r="F28495" s="8">
        <v>7541</v>
      </c>
    </row>
    <row r="28496" spans="1:6" ht="12.75">
      <c r="A28496" s="8">
        <v>43891.713009259256</v>
      </c>
      <c r="B28496" s="8" t="str">
        <f>HYPERLINK("https://twitter.com/Mia_Anturi","@Mia_Anturi")</f>
        <v>@Mia_Anturi</v>
      </c>
      <c r="C28496" s="8" t="s">
        <v>10791</v>
      </c>
      <c r="D28496" s="8">
        <v>7</v>
      </c>
      <c r="E28496" s="8">
        <v>0</v>
      </c>
      <c r="F28496" s="8">
        <v>484</v>
      </c>
    </row>
    <row r="28497" spans="1:6" ht="12.75">
      <c r="A28497" s="8">
        <v>43891.712916666671</v>
      </c>
      <c r="B28497" s="8" t="str">
        <f>HYPERLINK("https://twitter.com/marigafie","@marigafie")</f>
        <v>@marigafie</v>
      </c>
      <c r="C28497" s="8" t="s">
        <v>9558</v>
      </c>
      <c r="D28497" s="8">
        <v>20</v>
      </c>
      <c r="E28497" s="8">
        <v>0</v>
      </c>
      <c r="F28497" s="8">
        <v>10</v>
      </c>
    </row>
    <row r="28498" spans="1:6" ht="12.75">
      <c r="A28498" s="8">
        <v>43891.712893518517</v>
      </c>
      <c r="B28498" s="8" t="str">
        <f>HYPERLINK("https://twitter.com/jiromerciano","@jiromerciano")</f>
        <v>@jiromerciano</v>
      </c>
      <c r="C28498" s="8" t="s">
        <v>3850</v>
      </c>
      <c r="D28498" s="8">
        <v>182</v>
      </c>
      <c r="E28498" s="8">
        <v>0</v>
      </c>
      <c r="F28498" s="8">
        <v>1589</v>
      </c>
    </row>
    <row r="28499" spans="1:6" ht="12.75">
      <c r="A28499" s="8">
        <v>43891.712870370371</v>
      </c>
      <c r="B28499" s="8" t="str">
        <f>HYPERLINK("https://twitter.com/donnyysetiawan","@donnyysetiawan")</f>
        <v>@donnyysetiawan</v>
      </c>
      <c r="C28499" s="8" t="s">
        <v>10333</v>
      </c>
      <c r="D28499" s="8">
        <v>5</v>
      </c>
      <c r="E28499" s="8">
        <v>0</v>
      </c>
      <c r="F28499" s="8">
        <v>655</v>
      </c>
    </row>
    <row r="28500" spans="1:6" ht="12.75">
      <c r="A28500" s="8">
        <v>43891.712604166663</v>
      </c>
      <c r="B28500" s="8" t="str">
        <f>HYPERLINK("https://twitter.com/igobz03","@igobz03")</f>
        <v>@igobz03</v>
      </c>
      <c r="C28500" s="8" t="s">
        <v>3850</v>
      </c>
      <c r="D28500" s="8">
        <v>182</v>
      </c>
      <c r="E28500" s="8">
        <v>0</v>
      </c>
      <c r="F28500" s="8">
        <v>1003</v>
      </c>
    </row>
    <row r="28501" spans="1:6" ht="12.75">
      <c r="A28501" s="8">
        <v>43891.712546296301</v>
      </c>
      <c r="B28501" s="8" t="str">
        <f>HYPERLINK("https://twitter.com/kompascom","@kompascom")</f>
        <v>@kompascom</v>
      </c>
      <c r="C28501" s="8" t="s">
        <v>10792</v>
      </c>
      <c r="D28501" s="8">
        <v>0</v>
      </c>
      <c r="E28501" s="8">
        <v>2</v>
      </c>
      <c r="F28501" s="8">
        <v>7520118</v>
      </c>
    </row>
    <row r="28502" spans="1:6" ht="12.75">
      <c r="A28502" s="8">
        <v>43891.712488425925</v>
      </c>
      <c r="B28502" s="8" t="str">
        <f>HYPERLINK("https://twitter.com/zulhendribasri2","@zulhendribasri2")</f>
        <v>@zulhendribasri2</v>
      </c>
      <c r="C28502" s="8" t="s">
        <v>7704</v>
      </c>
      <c r="D28502" s="8">
        <v>71</v>
      </c>
      <c r="E28502" s="8">
        <v>0</v>
      </c>
      <c r="F28502" s="8">
        <v>1673</v>
      </c>
    </row>
    <row r="28503" spans="1:6" ht="12.75">
      <c r="A28503" s="8">
        <v>43891.712453703702</v>
      </c>
      <c r="B28503" s="8" t="str">
        <f>HYPERLINK("https://twitter.com/brad_ridwan","@brad_ridwan")</f>
        <v>@brad_ridwan</v>
      </c>
      <c r="C28503" s="8" t="s">
        <v>3850</v>
      </c>
      <c r="D28503" s="8">
        <v>182</v>
      </c>
      <c r="E28503" s="8">
        <v>0</v>
      </c>
      <c r="F28503" s="8">
        <v>439</v>
      </c>
    </row>
    <row r="28504" spans="1:6" ht="12.75">
      <c r="A28504" s="8">
        <v>43891.712349537032</v>
      </c>
      <c r="B28504" s="8" t="str">
        <f>HYPERLINK("https://twitter.com/ray_slamet","@ray_slamet")</f>
        <v>@ray_slamet</v>
      </c>
      <c r="C28504" s="8" t="s">
        <v>10787</v>
      </c>
      <c r="D28504" s="8">
        <v>11</v>
      </c>
      <c r="E28504" s="8">
        <v>0</v>
      </c>
      <c r="F28504" s="8">
        <v>844</v>
      </c>
    </row>
    <row r="28505" spans="1:6" ht="12.75">
      <c r="A28505" s="8">
        <v>43891.712349537032</v>
      </c>
      <c r="B28505" s="8" t="str">
        <f>HYPERLINK("https://twitter.com/panji_kartolo17","@panji_kartolo17")</f>
        <v>@panji_kartolo17</v>
      </c>
      <c r="C28505" s="8" t="s">
        <v>10793</v>
      </c>
      <c r="D28505" s="8">
        <v>5</v>
      </c>
      <c r="E28505" s="8">
        <v>0</v>
      </c>
      <c r="F28505" s="8">
        <v>364</v>
      </c>
    </row>
    <row r="28506" spans="1:6" ht="12.75">
      <c r="A28506" s="8">
        <v>43891.71230324074</v>
      </c>
      <c r="B28506" s="8" t="str">
        <f>HYPERLINK("https://twitter.com/ronald192708","@ronald192708")</f>
        <v>@ronald192708</v>
      </c>
      <c r="C28506" s="8" t="s">
        <v>10794</v>
      </c>
      <c r="D28506" s="8">
        <v>0</v>
      </c>
      <c r="E28506" s="8">
        <v>0</v>
      </c>
      <c r="F28506" s="8">
        <v>104</v>
      </c>
    </row>
    <row r="28507" spans="1:6" ht="12.75">
      <c r="A28507" s="8">
        <v>43891.712268518517</v>
      </c>
      <c r="B28507" s="8" t="str">
        <f>HYPERLINK("https://twitter.com/BayuKhrisna14","@BayuKhrisna14")</f>
        <v>@BayuKhrisna14</v>
      </c>
      <c r="C28507" s="8" t="s">
        <v>2272</v>
      </c>
      <c r="D28507" s="8">
        <v>738</v>
      </c>
      <c r="E28507" s="8">
        <v>0</v>
      </c>
      <c r="F28507" s="8">
        <v>623</v>
      </c>
    </row>
    <row r="28508" spans="1:6" ht="12.75">
      <c r="A28508" s="8">
        <v>43891.712164351848</v>
      </c>
      <c r="B28508" s="8" t="str">
        <f>HYPERLINK("https://twitter.com/lensaRTV","@lensaRTV")</f>
        <v>@lensaRTV</v>
      </c>
      <c r="C28508" s="8" t="s">
        <v>10795</v>
      </c>
      <c r="D28508" s="8">
        <v>1</v>
      </c>
      <c r="E28508" s="8">
        <v>0</v>
      </c>
      <c r="F28508" s="8">
        <v>9509</v>
      </c>
    </row>
    <row r="28509" spans="1:6" ht="12.75">
      <c r="A28509" s="8">
        <v>43891.712106481486</v>
      </c>
      <c r="B28509" s="8" t="str">
        <f>HYPERLINK("https://twitter.com/SJMelisa","@SJMelisa")</f>
        <v>@SJMelisa</v>
      </c>
      <c r="C28509" s="8" t="s">
        <v>2272</v>
      </c>
      <c r="D28509" s="8">
        <v>738</v>
      </c>
      <c r="E28509" s="8">
        <v>0</v>
      </c>
      <c r="F28509" s="8">
        <v>245</v>
      </c>
    </row>
    <row r="28510" spans="1:6" ht="12.75">
      <c r="A28510" s="8">
        <v>43891.712060185186</v>
      </c>
      <c r="B28510" s="8" t="str">
        <f>HYPERLINK("https://twitter.com/rahmatyaaa","@rahmatyaaa")</f>
        <v>@rahmatyaaa</v>
      </c>
      <c r="C28510" s="8" t="s">
        <v>7704</v>
      </c>
      <c r="D28510" s="8">
        <v>71</v>
      </c>
      <c r="E28510" s="8">
        <v>0</v>
      </c>
      <c r="F28510" s="8">
        <v>319</v>
      </c>
    </row>
    <row r="28511" spans="1:6" ht="12.75">
      <c r="A28511" s="8">
        <v>43891.712002314816</v>
      </c>
      <c r="B28511" s="8" t="str">
        <f>HYPERLINK("https://twitter.com/Sastroklengsre1","@Sastroklengsre1")</f>
        <v>@Sastroklengsre1</v>
      </c>
      <c r="C28511" s="8" t="s">
        <v>10360</v>
      </c>
      <c r="D28511" s="8">
        <v>14</v>
      </c>
      <c r="E28511" s="8">
        <v>0</v>
      </c>
      <c r="F28511" s="8">
        <v>2839</v>
      </c>
    </row>
    <row r="28512" spans="1:6" ht="12.75">
      <c r="A28512" s="8">
        <v>43891.71199074074</v>
      </c>
      <c r="B28512" s="8" t="str">
        <f>HYPERLINK("https://twitter.com/Benysap73692697","@Benysap73692697")</f>
        <v>@Benysap73692697</v>
      </c>
      <c r="C28512" s="8" t="s">
        <v>10796</v>
      </c>
      <c r="D28512" s="8">
        <v>14</v>
      </c>
      <c r="E28512" s="8">
        <v>0</v>
      </c>
      <c r="F28512" s="8">
        <v>246</v>
      </c>
    </row>
    <row r="28513" spans="1:6" ht="12.75">
      <c r="A28513" s="8">
        <v>43891.711793981478</v>
      </c>
      <c r="B28513" s="8" t="str">
        <f>HYPERLINK("https://twitter.com/YudiHerlamban13","@YudiHerlamban13")</f>
        <v>@YudiHerlamban13</v>
      </c>
      <c r="C28513" s="8" t="s">
        <v>10600</v>
      </c>
      <c r="D28513" s="8">
        <v>293</v>
      </c>
      <c r="E28513" s="8">
        <v>0</v>
      </c>
      <c r="F28513" s="8">
        <v>75</v>
      </c>
    </row>
    <row r="28514" spans="1:6" ht="12.75">
      <c r="A28514" s="8">
        <v>43891.711770833332</v>
      </c>
      <c r="B28514" s="8" t="str">
        <f>HYPERLINK("https://twitter.com/uganprayoga","@uganprayoga")</f>
        <v>@uganprayoga</v>
      </c>
      <c r="C28514" s="8" t="s">
        <v>10787</v>
      </c>
      <c r="D28514" s="8">
        <v>11</v>
      </c>
      <c r="E28514" s="8">
        <v>0</v>
      </c>
      <c r="F28514" s="8">
        <v>274</v>
      </c>
    </row>
    <row r="28515" spans="1:6" ht="12.75">
      <c r="A28515" s="8">
        <v>43891.711643518516</v>
      </c>
      <c r="B28515" s="8" t="str">
        <f>HYPERLINK("https://twitter.com/EllephantzD","@EllephantzD")</f>
        <v>@EllephantzD</v>
      </c>
      <c r="C28515" s="8" t="s">
        <v>3850</v>
      </c>
      <c r="D28515" s="8">
        <v>182</v>
      </c>
      <c r="E28515" s="8">
        <v>0</v>
      </c>
      <c r="F28515" s="8">
        <v>216</v>
      </c>
    </row>
    <row r="28516" spans="1:6" ht="12.75">
      <c r="A28516" s="8">
        <v>43891.7112962963</v>
      </c>
      <c r="B28516" s="8" t="str">
        <f>HYPERLINK("https://twitter.com/SinghTvitter","@SinghTvitter")</f>
        <v>@SinghTvitter</v>
      </c>
      <c r="C28516" s="8" t="s">
        <v>10797</v>
      </c>
      <c r="D28516" s="8">
        <v>0</v>
      </c>
      <c r="E28516" s="8">
        <v>0</v>
      </c>
      <c r="F28516" s="8">
        <v>1190</v>
      </c>
    </row>
    <row r="28517" spans="1:6" ht="12.75">
      <c r="A28517" s="8">
        <v>43891.7112037037</v>
      </c>
      <c r="B28517" s="8" t="str">
        <f>HYPERLINK("https://twitter.com/jawapos","@jawapos")</f>
        <v>@jawapos</v>
      </c>
      <c r="C28517" s="8" t="s">
        <v>10798</v>
      </c>
      <c r="D28517" s="8">
        <v>0</v>
      </c>
      <c r="E28517" s="8">
        <v>0</v>
      </c>
      <c r="F28517" s="8">
        <v>124277</v>
      </c>
    </row>
    <row r="28518" spans="1:6" ht="12.75">
      <c r="A28518" s="8">
        <v>43891.7112037037</v>
      </c>
      <c r="B28518" s="8" t="str">
        <f>HYPERLINK("https://twitter.com/IDM1303","@IDM1303")</f>
        <v>@IDM1303</v>
      </c>
      <c r="C28518" s="8" t="s">
        <v>3850</v>
      </c>
      <c r="D28518" s="8">
        <v>182</v>
      </c>
      <c r="E28518" s="8">
        <v>0</v>
      </c>
      <c r="F28518" s="8">
        <v>298</v>
      </c>
    </row>
    <row r="28519" spans="1:6" ht="12.75">
      <c r="A28519" s="8">
        <v>43891.711168981477</v>
      </c>
      <c r="B28519" s="8" t="str">
        <f>HYPERLINK("https://twitter.com/faridariadno","@faridariadno")</f>
        <v>@faridariadno</v>
      </c>
      <c r="C28519" s="8" t="s">
        <v>7704</v>
      </c>
      <c r="D28519" s="8">
        <v>71</v>
      </c>
      <c r="E28519" s="8">
        <v>0</v>
      </c>
      <c r="F28519" s="8">
        <v>732</v>
      </c>
    </row>
    <row r="28520" spans="1:6" ht="12.75">
      <c r="A28520" s="8">
        <v>43891.711134259254</v>
      </c>
      <c r="B28520" s="8" t="str">
        <f>HYPERLINK("https://twitter.com/karwito_pia","@karwito_pia")</f>
        <v>@karwito_pia</v>
      </c>
      <c r="C28520" s="8" t="s">
        <v>10743</v>
      </c>
      <c r="D28520" s="8">
        <v>179</v>
      </c>
      <c r="E28520" s="8">
        <v>0</v>
      </c>
      <c r="F28520" s="8">
        <v>115</v>
      </c>
    </row>
    <row r="28521" spans="1:6" ht="12.75">
      <c r="A28521" s="8">
        <v>43891.711076388892</v>
      </c>
      <c r="B28521" s="8" t="str">
        <f>HYPERLINK("https://twitter.com/samrenoes","@samrenoes")</f>
        <v>@samrenoes</v>
      </c>
      <c r="C28521" s="8" t="s">
        <v>7437</v>
      </c>
      <c r="D28521" s="8">
        <v>458</v>
      </c>
      <c r="E28521" s="8">
        <v>0</v>
      </c>
      <c r="F28521" s="8">
        <v>66</v>
      </c>
    </row>
    <row r="28522" spans="1:6" ht="12.75">
      <c r="A28522" s="8">
        <v>43891.711064814815</v>
      </c>
      <c r="B28522" s="8" t="str">
        <f>HYPERLINK("https://twitter.com/sayangicom","@sayangicom")</f>
        <v>@sayangicom</v>
      </c>
      <c r="C28522" s="8" t="s">
        <v>10799</v>
      </c>
      <c r="D28522" s="8">
        <v>0</v>
      </c>
      <c r="E28522" s="8">
        <v>0</v>
      </c>
      <c r="F28522" s="8">
        <v>1564</v>
      </c>
    </row>
    <row r="28523" spans="1:6" ht="12.75">
      <c r="A28523" s="8">
        <v>43891.711006944446</v>
      </c>
      <c r="B28523" s="8" t="str">
        <f>HYPERLINK("https://twitter.com/PramSada","@PramSada")</f>
        <v>@PramSada</v>
      </c>
      <c r="C28523" s="8" t="s">
        <v>2272</v>
      </c>
      <c r="D28523" s="8">
        <v>738</v>
      </c>
      <c r="E28523" s="8">
        <v>0</v>
      </c>
      <c r="F28523" s="8">
        <v>367</v>
      </c>
    </row>
    <row r="28524" spans="1:6" ht="12.75">
      <c r="A28524" s="8">
        <v>43891.710891203707</v>
      </c>
      <c r="B28524" s="8" t="str">
        <f>HYPERLINK("https://twitter.com/AbiFarhan51","@AbiFarhan51")</f>
        <v>@AbiFarhan51</v>
      </c>
      <c r="C28524" s="8" t="s">
        <v>3850</v>
      </c>
      <c r="D28524" s="8">
        <v>182</v>
      </c>
      <c r="E28524" s="8">
        <v>0</v>
      </c>
      <c r="F28524" s="8">
        <v>234</v>
      </c>
    </row>
    <row r="28525" spans="1:6" ht="12.75">
      <c r="A28525" s="8">
        <v>43891.710729166662</v>
      </c>
      <c r="B28525" s="8" t="str">
        <f>HYPERLINK("https://twitter.com/nasiro13182237","@nasiro13182237")</f>
        <v>@nasiro13182237</v>
      </c>
      <c r="C28525" s="8" t="s">
        <v>10800</v>
      </c>
      <c r="D28525" s="8">
        <v>0</v>
      </c>
      <c r="E28525" s="8">
        <v>0</v>
      </c>
      <c r="F28525" s="8">
        <v>13</v>
      </c>
    </row>
    <row r="28526" spans="1:6" ht="12.75">
      <c r="A28526" s="8">
        <v>43891.710717592592</v>
      </c>
      <c r="B28526" s="8" t="str">
        <f>HYPERLINK("https://twitter.com/tani_suara","@tani_suara")</f>
        <v>@tani_suara</v>
      </c>
      <c r="C28526" s="8" t="s">
        <v>10801</v>
      </c>
      <c r="D28526" s="8">
        <v>0</v>
      </c>
      <c r="E28526" s="8">
        <v>0</v>
      </c>
      <c r="F28526" s="8">
        <v>74</v>
      </c>
    </row>
    <row r="28527" spans="1:6" ht="12.75">
      <c r="A28527" s="8">
        <v>43891.710706018523</v>
      </c>
      <c r="B28527" s="8" t="str">
        <f>HYPERLINK("https://twitter.com/FernianHaeHaean","@FernianHaeHaean")</f>
        <v>@FernianHaeHaean</v>
      </c>
      <c r="C28527" s="8" t="s">
        <v>7704</v>
      </c>
      <c r="D28527" s="8">
        <v>71</v>
      </c>
      <c r="E28527" s="8">
        <v>0</v>
      </c>
      <c r="F28527" s="8">
        <v>231</v>
      </c>
    </row>
    <row r="28528" spans="1:6" ht="12.75">
      <c r="A28528" s="8">
        <v>43891.710682870369</v>
      </c>
      <c r="B28528" s="8" t="str">
        <f>HYPERLINK("https://twitter.com/YudiHerlamban13","@YudiHerlamban13")</f>
        <v>@YudiHerlamban13</v>
      </c>
      <c r="C28528" s="8" t="s">
        <v>7686</v>
      </c>
      <c r="D28528" s="8">
        <v>934</v>
      </c>
      <c r="E28528" s="8">
        <v>0</v>
      </c>
      <c r="F28528" s="8">
        <v>75</v>
      </c>
    </row>
    <row r="28529" spans="1:6" ht="12.75">
      <c r="A28529" s="8">
        <v>43891.7106712963</v>
      </c>
      <c r="B28529" s="8" t="str">
        <f>HYPERLINK("https://twitter.com/Nurhadi9913","@Nurhadi9913")</f>
        <v>@Nurhadi9913</v>
      </c>
      <c r="C28529" s="8" t="s">
        <v>3850</v>
      </c>
      <c r="D28529" s="8">
        <v>182</v>
      </c>
      <c r="E28529" s="8">
        <v>0</v>
      </c>
      <c r="F28529" s="8">
        <v>152</v>
      </c>
    </row>
    <row r="28530" spans="1:6" ht="12.75">
      <c r="A28530" s="8">
        <v>43891.710625</v>
      </c>
      <c r="B28530" s="8" t="str">
        <f>HYPERLINK("https://twitter.com/omaknoang","@omaknoang")</f>
        <v>@omaknoang</v>
      </c>
      <c r="C28530" s="8" t="s">
        <v>9729</v>
      </c>
      <c r="D28530" s="8">
        <v>9</v>
      </c>
      <c r="E28530" s="8">
        <v>0</v>
      </c>
      <c r="F28530" s="8">
        <v>309</v>
      </c>
    </row>
    <row r="28531" spans="1:6" ht="12.75">
      <c r="A28531" s="8">
        <v>43891.710613425923</v>
      </c>
      <c r="B28531" s="8" t="str">
        <f>HYPERLINK("https://twitter.com/alex_hunter146","@alex_hunter146")</f>
        <v>@alex_hunter146</v>
      </c>
      <c r="C28531" s="8" t="s">
        <v>10802</v>
      </c>
      <c r="D28531" s="8">
        <v>0</v>
      </c>
      <c r="E28531" s="8">
        <v>1</v>
      </c>
      <c r="F28531" s="8">
        <v>1508</v>
      </c>
    </row>
    <row r="28532" spans="1:6" ht="12.75">
      <c r="A28532" s="8">
        <v>43891.710509259261</v>
      </c>
      <c r="B28532" s="8" t="str">
        <f>HYPERLINK("https://twitter.com/covesiacom","@covesiacom")</f>
        <v>@covesiacom</v>
      </c>
      <c r="C28532" s="8" t="s">
        <v>10803</v>
      </c>
      <c r="D28532" s="8">
        <v>0</v>
      </c>
      <c r="E28532" s="8">
        <v>0</v>
      </c>
      <c r="F28532" s="8">
        <v>6173</v>
      </c>
    </row>
    <row r="28533" spans="1:6" ht="12.75">
      <c r="A28533" s="8">
        <v>43891.710486111115</v>
      </c>
      <c r="B28533" s="8" t="str">
        <f>HYPERLINK("https://twitter.com/winsoul64","@winsoul64")</f>
        <v>@winsoul64</v>
      </c>
      <c r="C28533" s="8" t="s">
        <v>10404</v>
      </c>
      <c r="D28533" s="8">
        <v>132</v>
      </c>
      <c r="E28533" s="8">
        <v>0</v>
      </c>
      <c r="F28533" s="8">
        <v>210</v>
      </c>
    </row>
    <row r="28534" spans="1:6" ht="12.75">
      <c r="A28534" s="8">
        <v>43891.71030092593</v>
      </c>
      <c r="B28534" s="8" t="str">
        <f>HYPERLINK("https://twitter.com/Duran92146738","@Duran92146738")</f>
        <v>@Duran92146738</v>
      </c>
      <c r="C28534" s="8" t="s">
        <v>8096</v>
      </c>
      <c r="D28534" s="8">
        <v>83</v>
      </c>
      <c r="E28534" s="8">
        <v>0</v>
      </c>
      <c r="F28534" s="8">
        <v>29</v>
      </c>
    </row>
    <row r="28535" spans="1:6" ht="12.75">
      <c r="A28535" s="8">
        <v>43891.710162037038</v>
      </c>
      <c r="B28535" s="8" t="str">
        <f>HYPERLINK("https://twitter.com/najwa2_nashwan1","@najwa2_nashwan1")</f>
        <v>@najwa2_nashwan1</v>
      </c>
      <c r="C28535" s="8" t="s">
        <v>3850</v>
      </c>
      <c r="D28535" s="8">
        <v>182</v>
      </c>
      <c r="E28535" s="8">
        <v>0</v>
      </c>
      <c r="F28535" s="8">
        <v>508</v>
      </c>
    </row>
    <row r="28536" spans="1:6" ht="12.75">
      <c r="A28536" s="8">
        <v>43891.710138888884</v>
      </c>
      <c r="B28536" s="8" t="str">
        <f>HYPERLINK("https://twitter.com/AmmaApri","@AmmaApri")</f>
        <v>@AmmaApri</v>
      </c>
      <c r="C28536" s="8" t="s">
        <v>10804</v>
      </c>
      <c r="D28536" s="8">
        <v>2</v>
      </c>
      <c r="E28536" s="8">
        <v>0</v>
      </c>
      <c r="F28536" s="8">
        <v>301</v>
      </c>
    </row>
    <row r="28537" spans="1:6" ht="12.75">
      <c r="A28537" s="8">
        <v>43891.710081018522</v>
      </c>
      <c r="B28537" s="8" t="str">
        <f>HYPERLINK("https://twitter.com/rifkiabdulfahmi","@rifkiabdulfahmi")</f>
        <v>@rifkiabdulfahmi</v>
      </c>
      <c r="C28537" s="8" t="s">
        <v>7704</v>
      </c>
      <c r="D28537" s="8">
        <v>71</v>
      </c>
      <c r="E28537" s="8">
        <v>0</v>
      </c>
      <c r="F28537" s="8">
        <v>732</v>
      </c>
    </row>
    <row r="28538" spans="1:6" ht="12.75">
      <c r="A28538" s="8">
        <v>43891.710011574076</v>
      </c>
      <c r="B28538" s="8" t="str">
        <f>HYPERLINK("https://twitter.com/Pamalayu10","@Pamalayu10")</f>
        <v>@Pamalayu10</v>
      </c>
      <c r="C28538" s="8" t="s">
        <v>3850</v>
      </c>
      <c r="D28538" s="8">
        <v>182</v>
      </c>
      <c r="E28538" s="8">
        <v>0</v>
      </c>
      <c r="F28538" s="8">
        <v>824</v>
      </c>
    </row>
    <row r="28539" spans="1:6" ht="12.75">
      <c r="A28539" s="8">
        <v>43891.709976851853</v>
      </c>
      <c r="B28539" s="8" t="str">
        <f>HYPERLINK("https://twitter.com/PradityaBeni","@PradityaBeni")</f>
        <v>@PradityaBeni</v>
      </c>
      <c r="C28539" s="8" t="s">
        <v>10722</v>
      </c>
      <c r="D28539" s="8">
        <v>61</v>
      </c>
      <c r="E28539" s="8">
        <v>0</v>
      </c>
      <c r="F28539" s="8">
        <v>1298</v>
      </c>
    </row>
    <row r="28540" spans="1:6" ht="12.75">
      <c r="A28540" s="8">
        <v>43891.709791666668</v>
      </c>
      <c r="B28540" s="8" t="str">
        <f>HYPERLINK("https://twitter.com/abanglurus","@abanglurus")</f>
        <v>@abanglurus</v>
      </c>
      <c r="C28540" s="8" t="s">
        <v>3850</v>
      </c>
      <c r="D28540" s="8">
        <v>182</v>
      </c>
      <c r="E28540" s="8">
        <v>0</v>
      </c>
      <c r="F28540" s="8">
        <v>159</v>
      </c>
    </row>
    <row r="28541" spans="1:6" ht="12.75">
      <c r="A28541" s="8">
        <v>43891.709791666668</v>
      </c>
      <c r="B28541" s="8" t="str">
        <f>HYPERLINK("https://twitter.com/PradityaBeni","@PradityaBeni")</f>
        <v>@PradityaBeni</v>
      </c>
      <c r="C28541" s="8" t="s">
        <v>10404</v>
      </c>
      <c r="D28541" s="8">
        <v>132</v>
      </c>
      <c r="E28541" s="8">
        <v>0</v>
      </c>
      <c r="F28541" s="8">
        <v>1298</v>
      </c>
    </row>
    <row r="28542" spans="1:6" ht="12.75">
      <c r="A28542" s="8">
        <v>43891.709780092591</v>
      </c>
      <c r="B28542" s="8" t="str">
        <f>HYPERLINK("https://twitter.com/ddarpen","@ddarpen")</f>
        <v>@ddarpen</v>
      </c>
      <c r="C28542" s="8" t="s">
        <v>3850</v>
      </c>
      <c r="D28542" s="8">
        <v>182</v>
      </c>
      <c r="E28542" s="8">
        <v>0</v>
      </c>
      <c r="F28542" s="8">
        <v>299</v>
      </c>
    </row>
    <row r="28543" spans="1:6" ht="12.75">
      <c r="A28543" s="8">
        <v>43891.709733796291</v>
      </c>
      <c r="B28543" s="8" t="str">
        <f>HYPERLINK("https://twitter.com/CakMan70489610","@CakMan70489610")</f>
        <v>@CakMan70489610</v>
      </c>
      <c r="C28543" s="8" t="s">
        <v>10722</v>
      </c>
      <c r="D28543" s="8">
        <v>61</v>
      </c>
      <c r="E28543" s="8">
        <v>0</v>
      </c>
      <c r="F28543" s="8">
        <v>523</v>
      </c>
    </row>
    <row r="28544" spans="1:6" ht="12.75">
      <c r="A28544" s="8">
        <v>43891.709687499999</v>
      </c>
      <c r="B28544" s="8" t="str">
        <f>HYPERLINK("https://twitter.com/Tasawuf_Klasik","@Tasawuf_Klasik")</f>
        <v>@Tasawuf_Klasik</v>
      </c>
      <c r="C28544" s="8" t="s">
        <v>9729</v>
      </c>
      <c r="D28544" s="8">
        <v>9</v>
      </c>
      <c r="E28544" s="8">
        <v>0</v>
      </c>
      <c r="F28544" s="8">
        <v>585</v>
      </c>
    </row>
    <row r="28545" spans="1:6" ht="12.75">
      <c r="A28545" s="8">
        <v>43891.709675925929</v>
      </c>
      <c r="B28545" s="8" t="str">
        <f>HYPERLINK("https://twitter.com/why0e","@why0e")</f>
        <v>@why0e</v>
      </c>
      <c r="C28545" s="8" t="s">
        <v>10722</v>
      </c>
      <c r="D28545" s="8">
        <v>61</v>
      </c>
      <c r="E28545" s="8">
        <v>0</v>
      </c>
      <c r="F28545" s="8">
        <v>324</v>
      </c>
    </row>
    <row r="28546" spans="1:6" ht="12.75">
      <c r="A28546" s="8">
        <v>43891.709652777776</v>
      </c>
      <c r="B28546" s="8" t="str">
        <f>HYPERLINK("https://twitter.com/ray_slamet","@ray_slamet")</f>
        <v>@ray_slamet</v>
      </c>
      <c r="C28546" s="8" t="s">
        <v>9729</v>
      </c>
      <c r="D28546" s="8">
        <v>9</v>
      </c>
      <c r="E28546" s="8">
        <v>0</v>
      </c>
      <c r="F28546" s="8">
        <v>844</v>
      </c>
    </row>
    <row r="28547" spans="1:6" ht="12.75">
      <c r="A28547" s="8">
        <v>43891.709502314814</v>
      </c>
      <c r="B28547" s="8" t="str">
        <f>HYPERLINK("https://twitter.com/Arif_Kachef","@Arif_Kachef")</f>
        <v>@Arif_Kachef</v>
      </c>
      <c r="C28547" s="8" t="s">
        <v>10805</v>
      </c>
      <c r="D28547" s="8">
        <v>4</v>
      </c>
      <c r="E28547" s="8">
        <v>0</v>
      </c>
      <c r="F28547" s="8">
        <v>423</v>
      </c>
    </row>
    <row r="28548" spans="1:6" ht="12.75">
      <c r="A28548" s="8">
        <v>43891.709490740745</v>
      </c>
      <c r="B28548" s="8" t="str">
        <f>HYPERLINK("https://twitter.com/rakyatpilih02","@rakyatpilih02")</f>
        <v>@rakyatpilih02</v>
      </c>
      <c r="C28548" s="8" t="s">
        <v>10722</v>
      </c>
      <c r="D28548" s="8">
        <v>61</v>
      </c>
      <c r="E28548" s="8">
        <v>0</v>
      </c>
      <c r="F28548" s="8">
        <v>308</v>
      </c>
    </row>
    <row r="28549" spans="1:6" ht="12.75">
      <c r="A28549" s="8">
        <v>43891.709351851852</v>
      </c>
      <c r="B28549" s="8" t="str">
        <f>HYPERLINK("https://twitter.com/HenriSa06170683","@HenriSa06170683")</f>
        <v>@HenriSa06170683</v>
      </c>
      <c r="C28549" s="8" t="s">
        <v>3850</v>
      </c>
      <c r="D28549" s="8">
        <v>182</v>
      </c>
      <c r="E28549" s="8">
        <v>0</v>
      </c>
      <c r="F28549" s="8">
        <v>129</v>
      </c>
    </row>
    <row r="28550" spans="1:6" ht="12.75">
      <c r="A28550" s="8">
        <v>43891.709201388891</v>
      </c>
      <c r="B28550" s="8" t="str">
        <f>HYPERLINK("https://twitter.com/AbdurachmanAl","@AbdurachmanAl")</f>
        <v>@AbdurachmanAl</v>
      </c>
      <c r="C28550" s="8" t="s">
        <v>10806</v>
      </c>
      <c r="D28550" s="8">
        <v>0</v>
      </c>
      <c r="E28550" s="8">
        <v>0</v>
      </c>
      <c r="F28550" s="8">
        <v>160</v>
      </c>
    </row>
    <row r="28551" spans="1:6" ht="12.75">
      <c r="A28551" s="8">
        <v>43891.709155092598</v>
      </c>
      <c r="B28551" s="8" t="str">
        <f>HYPERLINK("https://twitter.com/bloekoetoeq","@bloekoetoeq")</f>
        <v>@bloekoetoeq</v>
      </c>
      <c r="C28551" s="8" t="s">
        <v>10807</v>
      </c>
      <c r="D28551" s="8">
        <v>3</v>
      </c>
      <c r="E28551" s="8">
        <v>0</v>
      </c>
      <c r="F28551" s="8">
        <v>477</v>
      </c>
    </row>
    <row r="28552" spans="1:6" ht="12.75">
      <c r="A28552" s="8">
        <v>43891.709050925929</v>
      </c>
      <c r="B28552" s="8" t="str">
        <f>HYPERLINK("https://twitter.com/jaya1perkasa","@jaya1perkasa")</f>
        <v>@jaya1perkasa</v>
      </c>
      <c r="C28552" s="8" t="s">
        <v>10787</v>
      </c>
      <c r="D28552" s="8">
        <v>11</v>
      </c>
      <c r="E28552" s="8">
        <v>0</v>
      </c>
      <c r="F28552" s="8">
        <v>624</v>
      </c>
    </row>
    <row r="28553" spans="1:6" ht="12.75">
      <c r="A28553" s="8">
        <v>43891.709004629629</v>
      </c>
      <c r="B28553" s="8" t="str">
        <f>HYPERLINK("https://twitter.com/yudsus","@yudsus")</f>
        <v>@yudsus</v>
      </c>
      <c r="C28553" s="8" t="s">
        <v>5900</v>
      </c>
      <c r="D28553" s="8">
        <v>9</v>
      </c>
      <c r="E28553" s="8">
        <v>0</v>
      </c>
      <c r="F28553" s="8">
        <v>1264</v>
      </c>
    </row>
    <row r="28554" spans="1:6" ht="12.75">
      <c r="A28554" s="8">
        <v>43891.708981481483</v>
      </c>
      <c r="B28554" s="8" t="str">
        <f>HYPERLINK("https://twitter.com/onsrgst","@onsrgst")</f>
        <v>@onsrgst</v>
      </c>
      <c r="C28554" s="8" t="s">
        <v>10808</v>
      </c>
      <c r="D28554" s="8">
        <v>0</v>
      </c>
      <c r="E28554" s="8">
        <v>0</v>
      </c>
      <c r="F28554" s="8">
        <v>86</v>
      </c>
    </row>
    <row r="28555" spans="1:6" ht="12.75">
      <c r="A28555" s="8">
        <v>43891.70888888889</v>
      </c>
      <c r="B28555" s="8" t="str">
        <f>HYPERLINK("https://twitter.com/djaya_karta","@djaya_karta")</f>
        <v>@djaya_karta</v>
      </c>
      <c r="C28555" s="8" t="s">
        <v>10333</v>
      </c>
      <c r="D28555" s="8">
        <v>5</v>
      </c>
      <c r="E28555" s="8">
        <v>0</v>
      </c>
      <c r="F28555" s="8">
        <v>212</v>
      </c>
    </row>
    <row r="28556" spans="1:6" ht="12.75">
      <c r="A28556" s="8">
        <v>43891.708877314813</v>
      </c>
      <c r="B28556" s="8" t="str">
        <f>HYPERLINK("https://twitter.com/Rahmatmakmuri","@Rahmatmakmuri")</f>
        <v>@Rahmatmakmuri</v>
      </c>
      <c r="C28556" s="8" t="s">
        <v>10404</v>
      </c>
      <c r="D28556" s="8">
        <v>132</v>
      </c>
      <c r="E28556" s="8">
        <v>0</v>
      </c>
      <c r="F28556" s="8">
        <v>258</v>
      </c>
    </row>
    <row r="28557" spans="1:6" ht="12.75">
      <c r="A28557" s="8">
        <v>43891.708773148144</v>
      </c>
      <c r="B28557" s="8" t="str">
        <f>HYPERLINK("https://twitter.com/paijodirajo","@paijodirajo")</f>
        <v>@paijodirajo</v>
      </c>
      <c r="C28557" s="8" t="s">
        <v>7704</v>
      </c>
      <c r="D28557" s="8">
        <v>71</v>
      </c>
      <c r="E28557" s="8">
        <v>0</v>
      </c>
      <c r="F28557" s="8">
        <v>8036</v>
      </c>
    </row>
    <row r="28558" spans="1:6" ht="12.75">
      <c r="A28558" s="8">
        <v>43891.708750000005</v>
      </c>
      <c r="B28558" s="8" t="str">
        <f>HYPERLINK("https://twitter.com/KompasTV","@KompasTV")</f>
        <v>@KompasTV</v>
      </c>
      <c r="C28558" s="8" t="s">
        <v>10809</v>
      </c>
      <c r="D28558" s="8">
        <v>0</v>
      </c>
      <c r="E28558" s="8">
        <v>1</v>
      </c>
      <c r="F28558" s="8">
        <v>2952550</v>
      </c>
    </row>
    <row r="28559" spans="1:6" ht="12.75">
      <c r="A28559" s="8">
        <v>43891.708726851852</v>
      </c>
      <c r="B28559" s="8" t="str">
        <f>HYPERLINK("https://twitter.com/PanjatTukang","@PanjatTukang")</f>
        <v>@PanjatTukang</v>
      </c>
      <c r="C28559" s="8" t="s">
        <v>3850</v>
      </c>
      <c r="D28559" s="8">
        <v>182</v>
      </c>
      <c r="E28559" s="8">
        <v>0</v>
      </c>
      <c r="F28559" s="8">
        <v>198</v>
      </c>
    </row>
    <row r="28560" spans="1:6" ht="12.75">
      <c r="A28560" s="8">
        <v>43891.708506944444</v>
      </c>
      <c r="B28560" s="8" t="str">
        <f>HYPERLINK("https://twitter.com/pejoeang71","@pejoeang71")</f>
        <v>@pejoeang71</v>
      </c>
      <c r="C28560" s="8" t="s">
        <v>3850</v>
      </c>
      <c r="D28560" s="8">
        <v>182</v>
      </c>
      <c r="E28560" s="8">
        <v>0</v>
      </c>
      <c r="F28560" s="8">
        <v>208</v>
      </c>
    </row>
    <row r="28561" spans="1:6" ht="12.75">
      <c r="A28561" s="8">
        <v>43891.708449074074</v>
      </c>
      <c r="B28561" s="8" t="str">
        <f>HYPERLINK("https://twitter.com/Arisyanabassama","@Arisyanabassama")</f>
        <v>@Arisyanabassama</v>
      </c>
      <c r="C28561" s="8" t="s">
        <v>3850</v>
      </c>
      <c r="D28561" s="8">
        <v>182</v>
      </c>
      <c r="E28561" s="8">
        <v>0</v>
      </c>
      <c r="F28561" s="8">
        <v>400</v>
      </c>
    </row>
    <row r="28562" spans="1:6" ht="12.75">
      <c r="A28562" s="8">
        <v>43891.708437499998</v>
      </c>
      <c r="B28562" s="8" t="str">
        <f>HYPERLINK("https://twitter.com/risyarahmalia","@risyarahmalia")</f>
        <v>@risyarahmalia</v>
      </c>
      <c r="C28562" s="8" t="s">
        <v>10810</v>
      </c>
      <c r="D28562" s="8">
        <v>0</v>
      </c>
      <c r="E28562" s="8">
        <v>0</v>
      </c>
      <c r="F28562" s="8">
        <v>506</v>
      </c>
    </row>
    <row r="28563" spans="1:6" ht="12.75">
      <c r="A28563" s="8">
        <v>43891.708425925928</v>
      </c>
      <c r="B28563" s="8" t="str">
        <f>HYPERLINK("https://twitter.com/squallchou_e1","@squallchou_e1")</f>
        <v>@squallchou_e1</v>
      </c>
      <c r="C28563" s="8" t="s">
        <v>10811</v>
      </c>
      <c r="D28563" s="8">
        <v>283</v>
      </c>
      <c r="E28563" s="8">
        <v>0</v>
      </c>
      <c r="F28563" s="8">
        <v>175</v>
      </c>
    </row>
    <row r="28564" spans="1:6" ht="12.75">
      <c r="A28564" s="8">
        <v>43891.708391203705</v>
      </c>
      <c r="B28564" s="8" t="str">
        <f>HYPERLINK("https://twitter.com/HeriRiva75","@HeriRiva75")</f>
        <v>@HeriRiva75</v>
      </c>
      <c r="C28564" s="8" t="s">
        <v>3850</v>
      </c>
      <c r="D28564" s="8">
        <v>182</v>
      </c>
      <c r="E28564" s="8">
        <v>0</v>
      </c>
      <c r="F28564" s="8">
        <v>458</v>
      </c>
    </row>
    <row r="28565" spans="1:6" ht="12.75">
      <c r="A28565" s="8">
        <v>43891.708379629628</v>
      </c>
      <c r="B28565" s="8" t="str">
        <f>HYPERLINK("https://twitter.com/Rahmatmakmuri","@Rahmatmakmuri")</f>
        <v>@Rahmatmakmuri</v>
      </c>
      <c r="C28565" s="8" t="s">
        <v>3850</v>
      </c>
      <c r="D28565" s="8">
        <v>182</v>
      </c>
      <c r="E28565" s="8">
        <v>0</v>
      </c>
      <c r="F28565" s="8">
        <v>258</v>
      </c>
    </row>
    <row r="28566" spans="1:6" ht="12.75">
      <c r="A28566" s="8">
        <v>43891.708379629628</v>
      </c>
      <c r="B28566" s="8" t="str">
        <f>HYPERLINK("https://twitter.com/KontanNews","@KontanNews")</f>
        <v>@KontanNews</v>
      </c>
      <c r="C28566" s="8" t="s">
        <v>10812</v>
      </c>
      <c r="D28566" s="8">
        <v>0</v>
      </c>
      <c r="E28566" s="8">
        <v>0</v>
      </c>
      <c r="F28566" s="8">
        <v>317731</v>
      </c>
    </row>
    <row r="28567" spans="1:6" ht="12.75">
      <c r="A28567" s="8">
        <v>43891.708182870367</v>
      </c>
      <c r="B28567" s="8" t="str">
        <f>HYPERLINK("https://twitter.com/abinyadzaky","@abinyadzaky")</f>
        <v>@abinyadzaky</v>
      </c>
      <c r="C28567" s="8" t="s">
        <v>10404</v>
      </c>
      <c r="D28567" s="8">
        <v>132</v>
      </c>
      <c r="E28567" s="8">
        <v>0</v>
      </c>
      <c r="F28567" s="8">
        <v>92</v>
      </c>
    </row>
    <row r="28568" spans="1:6" ht="12.75">
      <c r="A28568" s="8">
        <v>43891.708171296297</v>
      </c>
      <c r="B28568" s="8" t="str">
        <f>HYPERLINK("https://twitter.com/mulyaningsi9","@mulyaningsi9")</f>
        <v>@mulyaningsi9</v>
      </c>
      <c r="C28568" s="8" t="s">
        <v>10813</v>
      </c>
      <c r="D28568" s="8">
        <v>2</v>
      </c>
      <c r="E28568" s="8">
        <v>0</v>
      </c>
      <c r="F28568" s="8">
        <v>67</v>
      </c>
    </row>
    <row r="28569" spans="1:6" ht="12.75">
      <c r="A28569" s="8">
        <v>43891.707974537036</v>
      </c>
      <c r="B28569" s="8" t="str">
        <f>HYPERLINK("https://twitter.com/buter_boemi","@buter_boemi")</f>
        <v>@buter_boemi</v>
      </c>
      <c r="C28569" s="8" t="s">
        <v>10481</v>
      </c>
      <c r="D28569" s="8">
        <v>124</v>
      </c>
      <c r="E28569" s="8">
        <v>0</v>
      </c>
      <c r="F28569" s="8">
        <v>486</v>
      </c>
    </row>
    <row r="28570" spans="1:6" ht="12.75">
      <c r="A28570" s="8">
        <v>43891.707754629635</v>
      </c>
      <c r="B28570" s="8" t="str">
        <f>HYPERLINK("https://twitter.com/kandargalang","@kandargalang")</f>
        <v>@kandargalang</v>
      </c>
      <c r="C28570" s="8" t="s">
        <v>9729</v>
      </c>
      <c r="D28570" s="8">
        <v>9</v>
      </c>
      <c r="E28570" s="8">
        <v>0</v>
      </c>
      <c r="F28570" s="8">
        <v>16778</v>
      </c>
    </row>
    <row r="28571" spans="1:6" ht="12.75">
      <c r="A28571" s="8">
        <v>43891.707696759258</v>
      </c>
      <c r="B28571" s="8" t="str">
        <f>HYPERLINK("https://twitter.com/AlSubahri","@AlSubahri")</f>
        <v>@AlSubahri</v>
      </c>
      <c r="C28571" s="8" t="s">
        <v>10787</v>
      </c>
      <c r="D28571" s="8">
        <v>11</v>
      </c>
      <c r="E28571" s="8">
        <v>0</v>
      </c>
      <c r="F28571" s="8">
        <v>183</v>
      </c>
    </row>
    <row r="28572" spans="1:6" ht="12.75">
      <c r="A28572" s="8">
        <v>43891.707696759258</v>
      </c>
      <c r="B28572" s="8" t="str">
        <f>HYPERLINK("https://twitter.com/sofian_tampu","@sofian_tampu")</f>
        <v>@sofian_tampu</v>
      </c>
      <c r="C28572" s="8" t="s">
        <v>10481</v>
      </c>
      <c r="D28572" s="8">
        <v>124</v>
      </c>
      <c r="E28572" s="8">
        <v>0</v>
      </c>
      <c r="F28572" s="8">
        <v>587</v>
      </c>
    </row>
    <row r="28573" spans="1:6" ht="12.75">
      <c r="A28573" s="8">
        <v>43891.707650462966</v>
      </c>
      <c r="B28573" s="8" t="str">
        <f>HYPERLINK("https://twitter.com/5up4125up412","@5up4125up412")</f>
        <v>@5up4125up412</v>
      </c>
      <c r="C28573" s="8" t="s">
        <v>10443</v>
      </c>
      <c r="D28573" s="8">
        <v>52</v>
      </c>
      <c r="E28573" s="8">
        <v>0</v>
      </c>
      <c r="F28573" s="8">
        <v>767</v>
      </c>
    </row>
    <row r="28574" spans="1:6" ht="12.75">
      <c r="A28574" s="8">
        <v>43891.707557870366</v>
      </c>
      <c r="B28574" s="8" t="str">
        <f>HYPERLINK("https://twitter.com/MJoeJoef1","@MJoeJoef1")</f>
        <v>@MJoeJoef1</v>
      </c>
      <c r="C28574" s="8" t="s">
        <v>10404</v>
      </c>
      <c r="D28574" s="8">
        <v>132</v>
      </c>
      <c r="E28574" s="8">
        <v>0</v>
      </c>
      <c r="F28574" s="8">
        <v>594</v>
      </c>
    </row>
    <row r="28575" spans="1:6" ht="12.75">
      <c r="A28575" s="8">
        <v>43891.707314814819</v>
      </c>
      <c r="B28575" s="8" t="str">
        <f>HYPERLINK("https://twitter.com/ZAEffendy","@ZAEffendy")</f>
        <v>@ZAEffendy</v>
      </c>
      <c r="C28575" s="8" t="s">
        <v>10814</v>
      </c>
      <c r="D28575" s="8">
        <v>9</v>
      </c>
      <c r="E28575" s="8">
        <v>11</v>
      </c>
      <c r="F28575" s="8">
        <v>59954</v>
      </c>
    </row>
    <row r="28576" spans="1:6" ht="12.75">
      <c r="A28576" s="8">
        <v>43891.67350694444</v>
      </c>
      <c r="B28576" s="8" t="str">
        <f>HYPERLINK("https://twitter.com/harsya_mursyid","@harsya_mursyid")</f>
        <v>@harsya_mursyid</v>
      </c>
      <c r="C28576" s="8" t="s">
        <v>10394</v>
      </c>
      <c r="D28576" s="8">
        <v>15</v>
      </c>
      <c r="E28576" s="8">
        <v>0</v>
      </c>
      <c r="F28576" s="8">
        <v>311</v>
      </c>
    </row>
    <row r="28577" spans="1:6" ht="12.75">
      <c r="A28577" s="8">
        <v>43891.673449074078</v>
      </c>
      <c r="B28577" s="8" t="str">
        <f>HYPERLINK("https://twitter.com/v_aji","@v_aji")</f>
        <v>@v_aji</v>
      </c>
      <c r="C28577" s="8" t="s">
        <v>9587</v>
      </c>
      <c r="D28577" s="8">
        <v>6</v>
      </c>
      <c r="E28577" s="8">
        <v>0</v>
      </c>
      <c r="F28577" s="8">
        <v>220</v>
      </c>
    </row>
    <row r="28578" spans="1:6" ht="12.75">
      <c r="A28578" s="8">
        <v>43891.673344907409</v>
      </c>
      <c r="B28578" s="8" t="str">
        <f>HYPERLINK("https://twitter.com/tijabar","@tijabar")</f>
        <v>@tijabar</v>
      </c>
      <c r="C28578" s="8" t="s">
        <v>10815</v>
      </c>
      <c r="D28578" s="8">
        <v>8</v>
      </c>
      <c r="E28578" s="8">
        <v>0</v>
      </c>
      <c r="F28578" s="8">
        <v>58546</v>
      </c>
    </row>
    <row r="28579" spans="1:6" ht="12.75">
      <c r="A28579" s="8">
        <v>43891.673298611116</v>
      </c>
      <c r="B28579" s="8" t="str">
        <f>HYPERLINK("https://twitter.com/anjarw","@anjarw")</f>
        <v>@anjarw</v>
      </c>
      <c r="C28579" s="8" t="s">
        <v>10816</v>
      </c>
      <c r="D28579" s="8">
        <v>62</v>
      </c>
      <c r="E28579" s="8">
        <v>0</v>
      </c>
      <c r="F28579" s="8">
        <v>450</v>
      </c>
    </row>
    <row r="28580" spans="1:6" ht="12.75">
      <c r="A28580" s="8">
        <v>43891.673287037032</v>
      </c>
      <c r="B28580" s="8" t="str">
        <f>HYPERLINK("https://twitter.com/ISIS_Balik_NO","@ISIS_Balik_NO")</f>
        <v>@ISIS_Balik_NO</v>
      </c>
      <c r="C28580" s="8" t="s">
        <v>10817</v>
      </c>
      <c r="D28580" s="8">
        <v>0</v>
      </c>
      <c r="E28580" s="8">
        <v>0</v>
      </c>
      <c r="F28580" s="8">
        <v>6091</v>
      </c>
    </row>
    <row r="28581" spans="1:6" ht="12.75">
      <c r="A28581" s="8">
        <v>43891.673136574071</v>
      </c>
      <c r="B28581" s="8" t="str">
        <f>HYPERLINK("https://twitter.com/ariflukmanbdg","@ariflukmanbdg")</f>
        <v>@ariflukmanbdg</v>
      </c>
      <c r="C28581" s="8" t="s">
        <v>7704</v>
      </c>
      <c r="D28581" s="8">
        <v>12</v>
      </c>
      <c r="E28581" s="8">
        <v>0</v>
      </c>
      <c r="F28581" s="8">
        <v>692</v>
      </c>
    </row>
    <row r="28582" spans="1:6" ht="12.75">
      <c r="A28582" s="8">
        <v>43891.672986111109</v>
      </c>
      <c r="B28582" s="8" t="str">
        <f>HYPERLINK("https://twitter.com/Novandri86R","@Novandri86R")</f>
        <v>@Novandri86R</v>
      </c>
      <c r="C28582" s="8" t="s">
        <v>10818</v>
      </c>
      <c r="D28582" s="8">
        <v>1</v>
      </c>
      <c r="E28582" s="8">
        <v>0</v>
      </c>
      <c r="F28582" s="8">
        <v>761</v>
      </c>
    </row>
    <row r="28583" spans="1:6" ht="12.75">
      <c r="A28583" s="8">
        <v>43891.672916666663</v>
      </c>
      <c r="B28583" s="8" t="str">
        <f>HYPERLINK("https://twitter.com/yundasari","@yundasari")</f>
        <v>@yundasari</v>
      </c>
      <c r="C28583" s="8" t="s">
        <v>10404</v>
      </c>
      <c r="D28583" s="8">
        <v>80</v>
      </c>
      <c r="E28583" s="8">
        <v>0</v>
      </c>
      <c r="F28583" s="8">
        <v>669</v>
      </c>
    </row>
    <row r="28584" spans="1:6" ht="12.75">
      <c r="A28584" s="8">
        <v>43891.672812500001</v>
      </c>
      <c r="B28584" s="8" t="str">
        <f>HYPERLINK("https://twitter.com/Irwanfeua","@Irwanfeua")</f>
        <v>@Irwanfeua</v>
      </c>
      <c r="C28584" s="8" t="s">
        <v>10404</v>
      </c>
      <c r="D28584" s="8">
        <v>80</v>
      </c>
      <c r="E28584" s="8">
        <v>0</v>
      </c>
      <c r="F28584" s="8">
        <v>510</v>
      </c>
    </row>
    <row r="28585" spans="1:6" ht="12.75">
      <c r="A28585" s="8">
        <v>43891.672546296293</v>
      </c>
      <c r="B28585" s="8" t="str">
        <f>HYPERLINK("https://twitter.com/zonasubang","@zonasubang")</f>
        <v>@zonasubang</v>
      </c>
      <c r="C28585" s="8" t="s">
        <v>10819</v>
      </c>
      <c r="D28585" s="8">
        <v>1</v>
      </c>
      <c r="E28585" s="8">
        <v>0</v>
      </c>
      <c r="F28585" s="8">
        <v>17617</v>
      </c>
    </row>
    <row r="28586" spans="1:6" ht="12.75">
      <c r="A28586" s="8">
        <v>43891.672395833331</v>
      </c>
      <c r="B28586" s="8" t="str">
        <f>HYPERLINK("https://twitter.com/MemehRahmawati","@MemehRahmawati")</f>
        <v>@MemehRahmawati</v>
      </c>
      <c r="C28586" s="8" t="s">
        <v>10404</v>
      </c>
      <c r="D28586" s="8">
        <v>80</v>
      </c>
      <c r="E28586" s="8">
        <v>0</v>
      </c>
      <c r="F28586" s="8">
        <v>1298</v>
      </c>
    </row>
    <row r="28587" spans="1:6" ht="12.75">
      <c r="A28587" s="8">
        <v>43891.672337962962</v>
      </c>
      <c r="B28587" s="8" t="str">
        <f>HYPERLINK("https://twitter.com/Muhamma12807382","@Muhamma12807382")</f>
        <v>@Muhamma12807382</v>
      </c>
      <c r="C28587" s="8" t="s">
        <v>3850</v>
      </c>
      <c r="D28587" s="8">
        <v>63</v>
      </c>
      <c r="E28587" s="8">
        <v>0</v>
      </c>
      <c r="F28587" s="8">
        <v>452</v>
      </c>
    </row>
    <row r="28588" spans="1:6" ht="12.75">
      <c r="A28588" s="8">
        <v>43891.672314814816</v>
      </c>
      <c r="B28588" s="8" t="str">
        <f>HYPERLINK("https://twitter.com/DevinRmd","@DevinRmd")</f>
        <v>@DevinRmd</v>
      </c>
      <c r="C28588" s="8" t="s">
        <v>3850</v>
      </c>
      <c r="D28588" s="8">
        <v>63</v>
      </c>
      <c r="E28588" s="8">
        <v>0</v>
      </c>
      <c r="F28588" s="8">
        <v>911</v>
      </c>
    </row>
    <row r="28589" spans="1:6" ht="12.75">
      <c r="A28589" s="8">
        <v>43891.672199074077</v>
      </c>
      <c r="B28589" s="8" t="str">
        <f>HYPERLINK("https://twitter.com/DukeCondet","@DukeCondet")</f>
        <v>@DukeCondet</v>
      </c>
      <c r="C28589" s="8" t="s">
        <v>3850</v>
      </c>
      <c r="D28589" s="8">
        <v>63</v>
      </c>
      <c r="E28589" s="8">
        <v>0</v>
      </c>
      <c r="F28589" s="8">
        <v>13914</v>
      </c>
    </row>
    <row r="28590" spans="1:6" ht="12.75">
      <c r="A28590" s="8">
        <v>43891.672071759254</v>
      </c>
      <c r="B28590" s="8" t="str">
        <f>HYPERLINK("https://twitter.com/BJOeing","@BJOeing")</f>
        <v>@BJOeing</v>
      </c>
      <c r="C28590" s="8" t="s">
        <v>9587</v>
      </c>
      <c r="D28590" s="8">
        <v>6</v>
      </c>
      <c r="E28590" s="8">
        <v>0</v>
      </c>
      <c r="F28590" s="8">
        <v>561</v>
      </c>
    </row>
    <row r="28591" spans="1:6" ht="12.75">
      <c r="A28591" s="8">
        <v>43891.672013888892</v>
      </c>
      <c r="B28591" s="8" t="str">
        <f>HYPERLINK("https://twitter.com/iamfearperson","@iamfearperson")</f>
        <v>@iamfearperson</v>
      </c>
      <c r="C28591" s="8" t="s">
        <v>10820</v>
      </c>
      <c r="D28591" s="8">
        <v>0</v>
      </c>
      <c r="E28591" s="8">
        <v>0</v>
      </c>
      <c r="F28591" s="8">
        <v>1276</v>
      </c>
    </row>
    <row r="28592" spans="1:6" ht="12.75">
      <c r="A28592" s="8">
        <v>43891.671990740739</v>
      </c>
      <c r="B28592" s="8" t="str">
        <f>HYPERLINK("https://twitter.com/sorotnews","@sorotnews")</f>
        <v>@sorotnews</v>
      </c>
      <c r="C28592" s="8" t="s">
        <v>10821</v>
      </c>
      <c r="D28592" s="8">
        <v>0</v>
      </c>
      <c r="E28592" s="8">
        <v>0</v>
      </c>
      <c r="F28592" s="8">
        <v>3711</v>
      </c>
    </row>
    <row r="28593" spans="1:6" ht="12.75">
      <c r="A28593" s="8">
        <v>43891.671909722223</v>
      </c>
      <c r="B28593" s="8" t="str">
        <f>HYPERLINK("https://twitter.com/anayrus7","@anayrus7")</f>
        <v>@anayrus7</v>
      </c>
      <c r="C28593" s="8" t="s">
        <v>3850</v>
      </c>
      <c r="D28593" s="8">
        <v>63</v>
      </c>
      <c r="E28593" s="8">
        <v>0</v>
      </c>
      <c r="F28593" s="8">
        <v>259</v>
      </c>
    </row>
    <row r="28594" spans="1:6" ht="12.75">
      <c r="A28594" s="8">
        <v>43891.671898148154</v>
      </c>
      <c r="B28594" s="8" t="str">
        <f>HYPERLINK("https://twitter.com/yosstory","@yosstory")</f>
        <v>@yosstory</v>
      </c>
      <c r="C28594" s="8" t="s">
        <v>5900</v>
      </c>
      <c r="D28594" s="8">
        <v>7</v>
      </c>
      <c r="E28594" s="8">
        <v>0</v>
      </c>
      <c r="F28594" s="8">
        <v>1158</v>
      </c>
    </row>
    <row r="28595" spans="1:6" ht="12.75">
      <c r="A28595" s="8">
        <v>43891.671898148154</v>
      </c>
      <c r="B28595" s="8" t="str">
        <f>HYPERLINK("https://twitter.com/Baliantaranews","@Baliantaranews")</f>
        <v>@Baliantaranews</v>
      </c>
      <c r="C28595" s="8" t="s">
        <v>10822</v>
      </c>
      <c r="D28595" s="8">
        <v>1</v>
      </c>
      <c r="E28595" s="8">
        <v>0</v>
      </c>
      <c r="F28595" s="8">
        <v>739</v>
      </c>
    </row>
    <row r="28596" spans="1:6" ht="12.75">
      <c r="A28596" s="8">
        <v>43891.67188657407</v>
      </c>
      <c r="B28596" s="8" t="str">
        <f>HYPERLINK("https://twitter.com/basalemax","@basalemax")</f>
        <v>@basalemax</v>
      </c>
      <c r="C28596" s="8" t="s">
        <v>10404</v>
      </c>
      <c r="D28596" s="8">
        <v>80</v>
      </c>
      <c r="E28596" s="8">
        <v>0</v>
      </c>
      <c r="F28596" s="8">
        <v>202</v>
      </c>
    </row>
    <row r="28597" spans="1:6" ht="12.75">
      <c r="A28597" s="8">
        <v>43891.671712962961</v>
      </c>
      <c r="B28597" s="8" t="str">
        <f>HYPERLINK("https://twitter.com/yosstory","@yosstory")</f>
        <v>@yosstory</v>
      </c>
      <c r="C28597" s="8" t="s">
        <v>7704</v>
      </c>
      <c r="D28597" s="8">
        <v>12</v>
      </c>
      <c r="E28597" s="8">
        <v>0</v>
      </c>
      <c r="F28597" s="8">
        <v>1158</v>
      </c>
    </row>
    <row r="28598" spans="1:6" ht="12.75">
      <c r="A28598" s="8">
        <v>43891.671701388885</v>
      </c>
      <c r="B28598" s="8" t="str">
        <f>HYPERLINK("https://twitter.com/RelawanNusanta1","@RelawanNusanta1")</f>
        <v>@RelawanNusanta1</v>
      </c>
      <c r="C28598" s="8" t="s">
        <v>10823</v>
      </c>
      <c r="D28598" s="8">
        <v>5</v>
      </c>
      <c r="E28598" s="8">
        <v>0</v>
      </c>
      <c r="F28598" s="8">
        <v>1349</v>
      </c>
    </row>
    <row r="28599" spans="1:6" ht="12.75">
      <c r="A28599" s="8">
        <v>43891.671550925923</v>
      </c>
      <c r="B28599" s="8" t="str">
        <f>HYPERLINK("https://twitter.com/antaranews_bali","@antaranews_bali")</f>
        <v>@antaranews_bali</v>
      </c>
      <c r="C28599" s="8" t="s">
        <v>10824</v>
      </c>
      <c r="D28599" s="8">
        <v>1</v>
      </c>
      <c r="E28599" s="8">
        <v>0</v>
      </c>
      <c r="F28599" s="8">
        <v>4937</v>
      </c>
    </row>
    <row r="28600" spans="1:6" ht="12.75">
      <c r="A28600" s="8">
        <v>43891.6715162037</v>
      </c>
      <c r="B28600" s="8" t="str">
        <f>HYPERLINK("https://twitter.com/ivooxid","@ivooxid")</f>
        <v>@ivooxid</v>
      </c>
      <c r="C28600" s="8" t="s">
        <v>10825</v>
      </c>
      <c r="D28600" s="8">
        <v>0</v>
      </c>
      <c r="E28600" s="8">
        <v>0</v>
      </c>
      <c r="F28600" s="8">
        <v>1436</v>
      </c>
    </row>
    <row r="28601" spans="1:6" ht="12.75">
      <c r="A28601" s="8">
        <v>43891.670995370368</v>
      </c>
      <c r="B28601" s="8" t="str">
        <f>HYPERLINK("https://twitter.com/TjahjadiJudono","@TjahjadiJudono")</f>
        <v>@TjahjadiJudono</v>
      </c>
      <c r="C28601" s="8" t="s">
        <v>10826</v>
      </c>
      <c r="D28601" s="8">
        <v>3</v>
      </c>
      <c r="E28601" s="8">
        <v>0</v>
      </c>
      <c r="F28601" s="8">
        <v>1030</v>
      </c>
    </row>
    <row r="28602" spans="1:6" ht="12.75">
      <c r="A28602" s="8">
        <v>43891.670937499999</v>
      </c>
      <c r="B28602" s="8" t="str">
        <f>HYPERLINK("https://twitter.com/NgkongRoses","@NgkongRoses")</f>
        <v>@NgkongRoses</v>
      </c>
      <c r="C28602" s="8" t="s">
        <v>10823</v>
      </c>
      <c r="D28602" s="8">
        <v>5</v>
      </c>
      <c r="E28602" s="8">
        <v>0</v>
      </c>
      <c r="F28602" s="8">
        <v>9533</v>
      </c>
    </row>
    <row r="28603" spans="1:6" ht="12.75">
      <c r="A28603" s="8">
        <v>43891.670937499999</v>
      </c>
      <c r="B28603" s="8" t="str">
        <f>HYPERLINK("https://twitter.com/Geligeliah","@Geligeliah")</f>
        <v>@Geligeliah</v>
      </c>
      <c r="C28603" s="8" t="s">
        <v>10827</v>
      </c>
      <c r="D28603" s="8">
        <v>0</v>
      </c>
      <c r="E28603" s="8">
        <v>0</v>
      </c>
      <c r="F28603" s="8">
        <v>1</v>
      </c>
    </row>
    <row r="28604" spans="1:6" ht="12.75">
      <c r="A28604" s="8">
        <v>43891.67086805556</v>
      </c>
      <c r="B28604" s="8" t="str">
        <f>HYPERLINK("https://twitter.com/Saiyo2N","@Saiyo2N")</f>
        <v>@Saiyo2N</v>
      </c>
      <c r="C28604" s="8" t="s">
        <v>3850</v>
      </c>
      <c r="D28604" s="8">
        <v>63</v>
      </c>
      <c r="E28604" s="8">
        <v>0</v>
      </c>
      <c r="F28604" s="8">
        <v>61</v>
      </c>
    </row>
    <row r="28605" spans="1:6" ht="12.75">
      <c r="A28605" s="8">
        <v>43891.670590277776</v>
      </c>
      <c r="B28605" s="8" t="str">
        <f>HYPERLINK("https://twitter.com/BabeMude","@BabeMude")</f>
        <v>@BabeMude</v>
      </c>
      <c r="C28605" s="8" t="s">
        <v>10828</v>
      </c>
      <c r="D28605" s="8">
        <v>1</v>
      </c>
      <c r="E28605" s="8">
        <v>0</v>
      </c>
      <c r="F28605" s="8">
        <v>4681</v>
      </c>
    </row>
    <row r="28606" spans="1:6" ht="12.75">
      <c r="A28606" s="8">
        <v>43891.67052083333</v>
      </c>
      <c r="B28606" s="8" t="str">
        <f>HYPERLINK("https://twitter.com/bagaskece","@bagaskece")</f>
        <v>@bagaskece</v>
      </c>
      <c r="C28606" s="8" t="s">
        <v>10829</v>
      </c>
      <c r="D28606" s="8">
        <v>0</v>
      </c>
      <c r="E28606" s="8">
        <v>0</v>
      </c>
      <c r="F28606" s="8">
        <v>432</v>
      </c>
    </row>
    <row r="28607" spans="1:6" ht="12.75">
      <c r="A28607" s="8">
        <v>43891.670486111107</v>
      </c>
      <c r="B28607" s="8" t="str">
        <f>HYPERLINK("https://twitter.com/mayafarrell21","@mayafarrell21")</f>
        <v>@mayafarrell21</v>
      </c>
      <c r="C28607" s="8" t="s">
        <v>10404</v>
      </c>
      <c r="D28607" s="8">
        <v>80</v>
      </c>
      <c r="E28607" s="8">
        <v>0</v>
      </c>
      <c r="F28607" s="8">
        <v>944</v>
      </c>
    </row>
    <row r="28608" spans="1:6" ht="12.75">
      <c r="A28608" s="8">
        <v>43891.670474537037</v>
      </c>
      <c r="B28608" s="8" t="str">
        <f>HYPERLINK("https://twitter.com/raihanadi5","@raihanadi5")</f>
        <v>@raihanadi5</v>
      </c>
      <c r="C28608" s="8" t="s">
        <v>7704</v>
      </c>
      <c r="D28608" s="8">
        <v>12</v>
      </c>
      <c r="E28608" s="8">
        <v>0</v>
      </c>
      <c r="F28608" s="8">
        <v>526</v>
      </c>
    </row>
    <row r="28609" spans="1:6" ht="12.75">
      <c r="A28609" s="8">
        <v>43891.670428240745</v>
      </c>
      <c r="B28609" s="8" t="str">
        <f>HYPERLINK("https://twitter.com/jigrek","@jigrek")</f>
        <v>@jigrek</v>
      </c>
      <c r="C28609" s="8" t="s">
        <v>2272</v>
      </c>
      <c r="D28609" s="8">
        <v>712</v>
      </c>
      <c r="E28609" s="8">
        <v>0</v>
      </c>
      <c r="F28609" s="8">
        <v>232</v>
      </c>
    </row>
    <row r="28610" spans="1:6" ht="12.75">
      <c r="A28610" s="8">
        <v>43891.670358796298</v>
      </c>
      <c r="B28610" s="8" t="str">
        <f>HYPERLINK("https://twitter.com/MMJPRTM","@MMJPRTM")</f>
        <v>@MMJPRTM</v>
      </c>
      <c r="C28610" s="8" t="s">
        <v>7704</v>
      </c>
      <c r="D28610" s="8">
        <v>12</v>
      </c>
      <c r="E28610" s="8">
        <v>0</v>
      </c>
      <c r="F28610" s="8">
        <v>128</v>
      </c>
    </row>
    <row r="28611" spans="1:6" ht="12.75">
      <c r="A28611" s="8">
        <v>43891.670208333337</v>
      </c>
      <c r="B28611" s="8" t="str">
        <f>HYPERLINK("https://twitter.com/DjoearaM","@DjoearaM")</f>
        <v>@DjoearaM</v>
      </c>
      <c r="C28611" s="8" t="s">
        <v>10830</v>
      </c>
      <c r="D28611" s="8">
        <v>0</v>
      </c>
      <c r="E28611" s="8">
        <v>0</v>
      </c>
      <c r="F28611" s="8">
        <v>0</v>
      </c>
    </row>
    <row r="28612" spans="1:6" ht="12.75">
      <c r="A28612" s="8">
        <v>43891.670092592598</v>
      </c>
      <c r="B28612" s="8" t="str">
        <f>HYPERLINK("https://twitter.com/hi_fiq","@hi_fiq")</f>
        <v>@hi_fiq</v>
      </c>
      <c r="C28612" s="8" t="s">
        <v>7704</v>
      </c>
      <c r="D28612" s="8">
        <v>12</v>
      </c>
      <c r="E28612" s="8">
        <v>0</v>
      </c>
      <c r="F28612" s="8">
        <v>935</v>
      </c>
    </row>
    <row r="28613" spans="1:6" ht="12.75">
      <c r="A28613" s="8">
        <v>43891.669918981483</v>
      </c>
      <c r="B28613" s="8" t="str">
        <f>HYPERLINK("https://twitter.com/Sekarberbunga1","@Sekarberbunga1")</f>
        <v>@Sekarberbunga1</v>
      </c>
      <c r="C28613" s="8" t="s">
        <v>10816</v>
      </c>
      <c r="D28613" s="8">
        <v>62</v>
      </c>
      <c r="E28613" s="8">
        <v>0</v>
      </c>
      <c r="F28613" s="8">
        <v>111</v>
      </c>
    </row>
    <row r="28614" spans="1:6" ht="12.75">
      <c r="A28614" s="8">
        <v>43891.669895833329</v>
      </c>
      <c r="B28614" s="8" t="str">
        <f>HYPERLINK("https://twitter.com/FernandaRaihan","@FernandaRaihan")</f>
        <v>@FernandaRaihan</v>
      </c>
      <c r="C28614" s="8" t="s">
        <v>7704</v>
      </c>
      <c r="D28614" s="8">
        <v>12</v>
      </c>
      <c r="E28614" s="8">
        <v>0</v>
      </c>
      <c r="F28614" s="8">
        <v>2049</v>
      </c>
    </row>
    <row r="28615" spans="1:6" ht="12.75">
      <c r="A28615" s="8">
        <v>43891.669837962967</v>
      </c>
      <c r="B28615" s="8" t="str">
        <f>HYPERLINK("https://twitter.com/bukuberbagi100","@bukuberbagi100")</f>
        <v>@bukuberbagi100</v>
      </c>
      <c r="C28615" s="8" t="s">
        <v>10815</v>
      </c>
      <c r="D28615" s="8">
        <v>8</v>
      </c>
      <c r="E28615" s="8">
        <v>0</v>
      </c>
      <c r="F28615" s="8">
        <v>133</v>
      </c>
    </row>
    <row r="28616" spans="1:6" ht="12.75">
      <c r="A28616" s="8">
        <v>43891.66982638889</v>
      </c>
      <c r="B28616" s="8" t="str">
        <f>HYPERLINK("https://twitter.com/radarbangsa_com","@radarbangsa_com")</f>
        <v>@radarbangsa_com</v>
      </c>
      <c r="C28616" s="8" t="s">
        <v>10831</v>
      </c>
      <c r="D28616" s="8">
        <v>1</v>
      </c>
      <c r="E28616" s="8">
        <v>0</v>
      </c>
      <c r="F28616" s="8">
        <v>2253</v>
      </c>
    </row>
    <row r="28617" spans="1:6" ht="12.75">
      <c r="A28617" s="8">
        <v>43891.669710648144</v>
      </c>
      <c r="B28617" s="8" t="str">
        <f>HYPERLINK("https://twitter.com/insanirahmi","@insanirahmi")</f>
        <v>@insanirahmi</v>
      </c>
      <c r="C28617" s="8" t="s">
        <v>10754</v>
      </c>
      <c r="D28617" s="8">
        <v>30</v>
      </c>
      <c r="E28617" s="8">
        <v>0</v>
      </c>
      <c r="F28617" s="8">
        <v>305</v>
      </c>
    </row>
    <row r="28618" spans="1:6" ht="12.75">
      <c r="A28618" s="8">
        <v>43891.669687500005</v>
      </c>
      <c r="B28618" s="8" t="str">
        <f>HYPERLINK("https://twitter.com/Alie_Fahnoor","@Alie_Fahnoor")</f>
        <v>@Alie_Fahnoor</v>
      </c>
      <c r="C28618" s="8" t="s">
        <v>10404</v>
      </c>
      <c r="D28618" s="8">
        <v>80</v>
      </c>
      <c r="E28618" s="8">
        <v>0</v>
      </c>
      <c r="F28618" s="8">
        <v>460</v>
      </c>
    </row>
    <row r="28619" spans="1:6" ht="12.75">
      <c r="A28619" s="8">
        <v>43891.669629629629</v>
      </c>
      <c r="B28619" s="8" t="str">
        <f>HYPERLINK("https://twitter.com/ISIS_Balik_NO","@ISIS_Balik_NO")</f>
        <v>@ISIS_Balik_NO</v>
      </c>
      <c r="C28619" s="8" t="s">
        <v>10832</v>
      </c>
      <c r="D28619" s="8">
        <v>17</v>
      </c>
      <c r="E28619" s="8">
        <v>0</v>
      </c>
      <c r="F28619" s="8">
        <v>6091</v>
      </c>
    </row>
    <row r="28620" spans="1:6" ht="12.75">
      <c r="A28620" s="8">
        <v>43891.669571759259</v>
      </c>
      <c r="B28620" s="8" t="str">
        <f>HYPERLINK("https://twitter.com/Alie_Fahnoor","@Alie_Fahnoor")</f>
        <v>@Alie_Fahnoor</v>
      </c>
      <c r="C28620" s="8" t="s">
        <v>9587</v>
      </c>
      <c r="D28620" s="8">
        <v>6</v>
      </c>
      <c r="E28620" s="8">
        <v>0</v>
      </c>
      <c r="F28620" s="8">
        <v>460</v>
      </c>
    </row>
    <row r="28621" spans="1:6" ht="12.75">
      <c r="A28621" s="8">
        <v>43891.669571759259</v>
      </c>
      <c r="B28621" s="8" t="str">
        <f>HYPERLINK("https://twitter.com/kbenaranHakiki","@kbenaranHakiki")</f>
        <v>@kbenaranHakiki</v>
      </c>
      <c r="C28621" s="8" t="s">
        <v>10722</v>
      </c>
      <c r="D28621" s="8">
        <v>30</v>
      </c>
      <c r="E28621" s="8">
        <v>0</v>
      </c>
      <c r="F28621" s="8">
        <v>1394</v>
      </c>
    </row>
    <row r="28622" spans="1:6" ht="12.75">
      <c r="A28622" s="8">
        <v>43891.669467592597</v>
      </c>
      <c r="B28622" s="8" t="str">
        <f>HYPERLINK("https://twitter.com/newsmerahputih","@newsmerahputih")</f>
        <v>@newsmerahputih</v>
      </c>
      <c r="C28622" s="8" t="s">
        <v>10833</v>
      </c>
      <c r="D28622" s="8">
        <v>0</v>
      </c>
      <c r="E28622" s="8">
        <v>0</v>
      </c>
      <c r="F28622" s="8">
        <v>8746</v>
      </c>
    </row>
    <row r="28623" spans="1:6" ht="12.75">
      <c r="A28623" s="8">
        <v>43891.669421296298</v>
      </c>
      <c r="B28623" s="8" t="str">
        <f>HYPERLINK("https://twitter.com/Hasan_2103","@Hasan_2103")</f>
        <v>@Hasan_2103</v>
      </c>
      <c r="C28623" s="8" t="s">
        <v>10834</v>
      </c>
      <c r="D28623" s="8">
        <v>0</v>
      </c>
      <c r="E28623" s="8">
        <v>0</v>
      </c>
      <c r="F28623" s="8">
        <v>923</v>
      </c>
    </row>
    <row r="28624" spans="1:6" ht="12.75">
      <c r="A28624" s="8">
        <v>43891.669398148151</v>
      </c>
      <c r="B28624" s="8" t="str">
        <f>HYPERLINK("https://twitter.com/Muhamma11794190","@Muhamma11794190")</f>
        <v>@Muhamma11794190</v>
      </c>
      <c r="C28624" s="8" t="s">
        <v>3850</v>
      </c>
      <c r="D28624" s="8">
        <v>63</v>
      </c>
      <c r="E28624" s="8">
        <v>0</v>
      </c>
      <c r="F28624" s="8">
        <v>33</v>
      </c>
    </row>
    <row r="28625" spans="1:6" ht="12.75">
      <c r="A28625" s="8">
        <v>43891.669016203705</v>
      </c>
      <c r="B28625" s="8" t="str">
        <f>HYPERLINK("https://twitter.com/aihaibaraq","@aihaibaraq")</f>
        <v>@aihaibaraq</v>
      </c>
      <c r="C28625" s="8" t="s">
        <v>3850</v>
      </c>
      <c r="D28625" s="8">
        <v>63</v>
      </c>
      <c r="E28625" s="8">
        <v>0</v>
      </c>
      <c r="F28625" s="8">
        <v>245</v>
      </c>
    </row>
    <row r="28626" spans="1:6" ht="12.75">
      <c r="A28626" s="8">
        <v>43891.668935185182</v>
      </c>
      <c r="B28626" s="8" t="str">
        <f>HYPERLINK("https://twitter.com/hendry_martien","@hendry_martien")</f>
        <v>@hendry_martien</v>
      </c>
      <c r="C28626" s="8" t="s">
        <v>10835</v>
      </c>
      <c r="D28626" s="8">
        <v>3</v>
      </c>
      <c r="E28626" s="8">
        <v>0</v>
      </c>
      <c r="F28626" s="8">
        <v>639</v>
      </c>
    </row>
    <row r="28627" spans="1:6" ht="12.75">
      <c r="A28627" s="8">
        <v>43891.668923611112</v>
      </c>
      <c r="B28627" s="8" t="str">
        <f>HYPERLINK("https://twitter.com/FuckDajjal","@FuckDajjal")</f>
        <v>@FuckDajjal</v>
      </c>
      <c r="C28627" s="8" t="s">
        <v>3850</v>
      </c>
      <c r="D28627" s="8">
        <v>63</v>
      </c>
      <c r="E28627" s="8">
        <v>0</v>
      </c>
      <c r="F28627" s="8">
        <v>206</v>
      </c>
    </row>
    <row r="28628" spans="1:6" ht="12.75">
      <c r="A28628" s="8">
        <v>43891.66883101852</v>
      </c>
      <c r="B28628" s="8" t="str">
        <f>HYPERLINK("https://twitter.com/Rama89584219","@Rama89584219")</f>
        <v>@Rama89584219</v>
      </c>
      <c r="C28628" s="8" t="s">
        <v>10836</v>
      </c>
      <c r="D28628" s="8">
        <v>0</v>
      </c>
      <c r="E28628" s="8">
        <v>0</v>
      </c>
      <c r="F28628" s="8">
        <v>1</v>
      </c>
    </row>
    <row r="28629" spans="1:6" ht="12.75">
      <c r="A28629" s="8">
        <v>43891.668715277774</v>
      </c>
      <c r="B28629" s="8" t="str">
        <f>HYPERLINK("https://twitter.com/Barna_byo","@Barna_byo")</f>
        <v>@Barna_byo</v>
      </c>
      <c r="C28629" s="8" t="s">
        <v>10481</v>
      </c>
      <c r="D28629" s="8">
        <v>115</v>
      </c>
      <c r="E28629" s="8">
        <v>0</v>
      </c>
      <c r="F28629" s="8">
        <v>7877</v>
      </c>
    </row>
    <row r="28630" spans="1:6" ht="12.75">
      <c r="A28630" s="8">
        <v>43891.668680555551</v>
      </c>
      <c r="B28630" s="8" t="str">
        <f>HYPERLINK("https://twitter.com/WawanJuniawan15","@WawanJuniawan15")</f>
        <v>@WawanJuniawan15</v>
      </c>
      <c r="C28630" s="8" t="s">
        <v>7704</v>
      </c>
      <c r="D28630" s="8">
        <v>12</v>
      </c>
      <c r="E28630" s="8">
        <v>0</v>
      </c>
      <c r="F28630" s="8">
        <v>11</v>
      </c>
    </row>
    <row r="28631" spans="1:6" ht="12.75">
      <c r="A28631" s="8">
        <v>43891.668483796297</v>
      </c>
      <c r="B28631" s="8" t="str">
        <f>HYPERLINK("https://twitter.com/Syafria38452014","@Syafria38452014")</f>
        <v>@Syafria38452014</v>
      </c>
      <c r="C28631" s="8" t="s">
        <v>10404</v>
      </c>
      <c r="D28631" s="8">
        <v>80</v>
      </c>
      <c r="E28631" s="8">
        <v>0</v>
      </c>
      <c r="F28631" s="8">
        <v>330</v>
      </c>
    </row>
    <row r="28632" spans="1:6" ht="12.75">
      <c r="A28632" s="8">
        <v>43891.668460648143</v>
      </c>
      <c r="B28632" s="8" t="str">
        <f>HYPERLINK("https://twitter.com/BungDimaz","@BungDimaz")</f>
        <v>@BungDimaz</v>
      </c>
      <c r="C28632" s="8" t="s">
        <v>9558</v>
      </c>
      <c r="D28632" s="8">
        <v>19</v>
      </c>
      <c r="E28632" s="8">
        <v>0</v>
      </c>
      <c r="F28632" s="8">
        <v>107</v>
      </c>
    </row>
    <row r="28633" spans="1:6" ht="12.75">
      <c r="A28633" s="8">
        <v>43891.668402777781</v>
      </c>
      <c r="B28633" s="8" t="str">
        <f t="shared" ref="B28633:B28634" si="386">HYPERLINK("https://twitter.com/beatrice_health","@beatrice_health")</f>
        <v>@beatrice_health</v>
      </c>
      <c r="C28633" s="8" t="s">
        <v>10793</v>
      </c>
      <c r="D28633" s="8">
        <v>4</v>
      </c>
      <c r="E28633" s="8">
        <v>0</v>
      </c>
      <c r="F28633" s="8">
        <v>460</v>
      </c>
    </row>
    <row r="28634" spans="1:6" ht="12.75">
      <c r="A28634" s="8">
        <v>43891.668391203704</v>
      </c>
      <c r="B28634" s="8" t="str">
        <f t="shared" si="386"/>
        <v>@beatrice_health</v>
      </c>
      <c r="C28634" s="8" t="s">
        <v>3850</v>
      </c>
      <c r="D28634" s="8">
        <v>63</v>
      </c>
      <c r="E28634" s="8">
        <v>0</v>
      </c>
      <c r="F28634" s="8">
        <v>460</v>
      </c>
    </row>
    <row r="28635" spans="1:6" ht="12.75">
      <c r="A28635" s="8">
        <v>43891.668368055558</v>
      </c>
      <c r="B28635" s="8" t="str">
        <f>HYPERLINK("https://twitter.com/Ssiisstaa","@Ssiisstaa")</f>
        <v>@Ssiisstaa</v>
      </c>
      <c r="C28635" s="8" t="s">
        <v>3850</v>
      </c>
      <c r="D28635" s="8">
        <v>63</v>
      </c>
      <c r="E28635" s="8">
        <v>0</v>
      </c>
      <c r="F28635" s="8">
        <v>415</v>
      </c>
    </row>
    <row r="28636" spans="1:6" ht="12.75">
      <c r="A28636" s="8">
        <v>43891.668368055558</v>
      </c>
      <c r="B28636" s="8" t="str">
        <f>HYPERLINK("https://twitter.com/riza_apriyant","@riza_apriyant")</f>
        <v>@riza_apriyant</v>
      </c>
      <c r="C28636" s="8" t="s">
        <v>10793</v>
      </c>
      <c r="D28636" s="8">
        <v>4</v>
      </c>
      <c r="E28636" s="8">
        <v>0</v>
      </c>
      <c r="F28636" s="8">
        <v>186</v>
      </c>
    </row>
    <row r="28637" spans="1:6" ht="12.75">
      <c r="A28637" s="8">
        <v>43891.668344907404</v>
      </c>
      <c r="B28637" s="8" t="str">
        <f>HYPERLINK("https://twitter.com/UnitedAsk","@UnitedAsk")</f>
        <v>@UnitedAsk</v>
      </c>
      <c r="C28637" s="8" t="s">
        <v>7704</v>
      </c>
      <c r="D28637" s="8">
        <v>12</v>
      </c>
      <c r="E28637" s="8">
        <v>0</v>
      </c>
      <c r="F28637" s="8">
        <v>21508</v>
      </c>
    </row>
    <row r="28638" spans="1:6" ht="12.75">
      <c r="A28638" s="8">
        <v>43891.668043981481</v>
      </c>
      <c r="B28638" s="8" t="str">
        <f>HYPERLINK("https://twitter.com/adisumargono","@adisumargono")</f>
        <v>@adisumargono</v>
      </c>
      <c r="C28638" s="8" t="s">
        <v>7704</v>
      </c>
      <c r="D28638" s="8">
        <v>12</v>
      </c>
      <c r="E28638" s="8">
        <v>0</v>
      </c>
      <c r="F28638" s="8">
        <v>599</v>
      </c>
    </row>
    <row r="28639" spans="1:6" ht="12.75">
      <c r="A28639" s="8">
        <v>43891.667974537035</v>
      </c>
      <c r="B28639" s="8" t="str">
        <f>HYPERLINK("https://twitter.com/yasikamahendra","@yasikamahendra")</f>
        <v>@yasikamahendra</v>
      </c>
      <c r="C28639" s="8" t="s">
        <v>10816</v>
      </c>
      <c r="D28639" s="8">
        <v>62</v>
      </c>
      <c r="E28639" s="8">
        <v>0</v>
      </c>
      <c r="F28639" s="8">
        <v>1109</v>
      </c>
    </row>
    <row r="28640" spans="1:6" ht="12.75">
      <c r="A28640" s="8">
        <v>43891.66783564815</v>
      </c>
      <c r="B28640" s="8" t="str">
        <f>HYPERLINK("https://twitter.com/na_sth","@na_sth")</f>
        <v>@na_sth</v>
      </c>
      <c r="C28640" s="8" t="s">
        <v>7704</v>
      </c>
      <c r="D28640" s="8">
        <v>12</v>
      </c>
      <c r="E28640" s="8">
        <v>0</v>
      </c>
      <c r="F28640" s="8">
        <v>579</v>
      </c>
    </row>
    <row r="28641" spans="1:6" ht="12.75">
      <c r="A28641" s="8">
        <v>43891.667534722219</v>
      </c>
      <c r="B28641" s="8" t="str">
        <f>HYPERLINK("https://twitter.com/Apni","@Apni")</f>
        <v>@Apni</v>
      </c>
      <c r="C28641" s="8" t="s">
        <v>10837</v>
      </c>
      <c r="D28641" s="8">
        <v>12</v>
      </c>
      <c r="E28641" s="8">
        <v>18</v>
      </c>
      <c r="F28641" s="8">
        <v>14185</v>
      </c>
    </row>
    <row r="28642" spans="1:6" ht="12.75">
      <c r="A28642" s="8">
        <v>43891.667384259257</v>
      </c>
      <c r="B28642" s="8" t="str">
        <f>HYPERLINK("https://twitter.com/henrysimanjun13","@henrysimanjun13")</f>
        <v>@henrysimanjun13</v>
      </c>
      <c r="C28642" s="8" t="s">
        <v>10838</v>
      </c>
      <c r="D28642" s="8">
        <v>0</v>
      </c>
      <c r="E28642" s="8">
        <v>0</v>
      </c>
      <c r="F28642" s="8">
        <v>1</v>
      </c>
    </row>
    <row r="28643" spans="1:6" ht="12.75">
      <c r="A28643" s="8">
        <v>43891.667303240742</v>
      </c>
      <c r="B28643" s="8" t="str">
        <f>HYPERLINK("https://twitter.com/sore_senja00","@sore_senja00")</f>
        <v>@sore_senja00</v>
      </c>
      <c r="C28643" s="8" t="s">
        <v>5234</v>
      </c>
      <c r="D28643" s="8">
        <v>0</v>
      </c>
      <c r="E28643" s="8">
        <v>0</v>
      </c>
      <c r="F28643" s="8">
        <v>1</v>
      </c>
    </row>
    <row r="28644" spans="1:6" ht="12.75">
      <c r="A28644" s="8">
        <v>43891.667071759264</v>
      </c>
      <c r="B28644" s="8" t="str">
        <f>HYPERLINK("https://twitter.com/ISIS_Balik_NO","@ISIS_Balik_NO")</f>
        <v>@ISIS_Balik_NO</v>
      </c>
      <c r="C28644" s="8" t="s">
        <v>10839</v>
      </c>
      <c r="D28644" s="8">
        <v>63</v>
      </c>
      <c r="E28644" s="8">
        <v>0</v>
      </c>
      <c r="F28644" s="8">
        <v>6091</v>
      </c>
    </row>
    <row r="28645" spans="1:6" ht="12.75">
      <c r="A28645" s="8">
        <v>43891.667037037041</v>
      </c>
      <c r="B28645" s="8" t="str">
        <f>HYPERLINK("https://twitter.com/HeartOds","@HeartOds")</f>
        <v>@HeartOds</v>
      </c>
      <c r="C28645" s="8" t="s">
        <v>3850</v>
      </c>
      <c r="D28645" s="8">
        <v>63</v>
      </c>
      <c r="E28645" s="8">
        <v>0</v>
      </c>
      <c r="F28645" s="8">
        <v>1084</v>
      </c>
    </row>
    <row r="28646" spans="1:6" ht="12.75">
      <c r="A28646" s="8">
        <v>43891.667037037041</v>
      </c>
      <c r="B28646" s="8" t="str">
        <f>HYPERLINK("https://twitter.com/SydSalesman","@SydSalesman")</f>
        <v>@SydSalesman</v>
      </c>
      <c r="C28646" s="8" t="s">
        <v>10481</v>
      </c>
      <c r="D28646" s="8">
        <v>115</v>
      </c>
      <c r="E28646" s="8">
        <v>0</v>
      </c>
      <c r="F28646" s="8">
        <v>6282</v>
      </c>
    </row>
    <row r="28647" spans="1:6" ht="12.75">
      <c r="A28647" s="8">
        <v>43891.667002314818</v>
      </c>
      <c r="B28647" s="8" t="str">
        <f>HYPERLINK("https://twitter.com/CukongLaut","@CukongLaut")</f>
        <v>@CukongLaut</v>
      </c>
      <c r="C28647" s="8" t="s">
        <v>10600</v>
      </c>
      <c r="D28647" s="8">
        <v>289</v>
      </c>
      <c r="E28647" s="8">
        <v>0</v>
      </c>
      <c r="F28647" s="8">
        <v>164</v>
      </c>
    </row>
    <row r="28648" spans="1:6" ht="12.75">
      <c r="A28648" s="8">
        <v>43891.66679398148</v>
      </c>
      <c r="B28648" s="8" t="str">
        <f>HYPERLINK("https://twitter.com/Rizki44874585","@Rizki44874585")</f>
        <v>@Rizki44874585</v>
      </c>
      <c r="C28648" s="8" t="s">
        <v>10840</v>
      </c>
      <c r="D28648" s="8">
        <v>0</v>
      </c>
      <c r="E28648" s="8">
        <v>0</v>
      </c>
      <c r="F28648" s="8">
        <v>9615</v>
      </c>
    </row>
    <row r="28649" spans="1:6" ht="12.75">
      <c r="A28649" s="8">
        <v>43891.666724537034</v>
      </c>
      <c r="B28649" s="8" t="str">
        <f t="shared" ref="B28649:B28650" si="387">HYPERLINK("https://twitter.com/ISIS_Balik_NO","@ISIS_Balik_NO")</f>
        <v>@ISIS_Balik_NO</v>
      </c>
      <c r="C28649" s="8" t="s">
        <v>10841</v>
      </c>
      <c r="D28649" s="8">
        <v>0</v>
      </c>
      <c r="E28649" s="8">
        <v>1</v>
      </c>
      <c r="F28649" s="8">
        <v>6091</v>
      </c>
    </row>
    <row r="28650" spans="1:6" ht="12.75">
      <c r="A28650" s="8">
        <v>43891.666249999995</v>
      </c>
      <c r="B28650" s="8" t="str">
        <f t="shared" si="387"/>
        <v>@ISIS_Balik_NO</v>
      </c>
      <c r="C28650" s="8" t="s">
        <v>10842</v>
      </c>
      <c r="D28650" s="8">
        <v>0</v>
      </c>
      <c r="E28650" s="8">
        <v>0</v>
      </c>
      <c r="F28650" s="8">
        <v>6091</v>
      </c>
    </row>
    <row r="28651" spans="1:6" ht="12.75">
      <c r="A28651" s="8">
        <v>43891.666238425925</v>
      </c>
      <c r="B28651" s="8" t="str">
        <f>HYPERLINK("https://twitter.com/beatrice_health","@beatrice_health")</f>
        <v>@beatrice_health</v>
      </c>
      <c r="C28651" s="8" t="s">
        <v>9587</v>
      </c>
      <c r="D28651" s="8">
        <v>6</v>
      </c>
      <c r="E28651" s="8">
        <v>0</v>
      </c>
      <c r="F28651" s="8">
        <v>460</v>
      </c>
    </row>
    <row r="28652" spans="1:6" ht="12.75">
      <c r="A28652" s="8">
        <v>43891.666203703702</v>
      </c>
      <c r="B28652" s="8" t="str">
        <f>HYPERLINK("https://twitter.com/BangPitung_AJW","@BangPitung_AJW")</f>
        <v>@BangPitung_AJW</v>
      </c>
      <c r="C28652" s="8" t="s">
        <v>9587</v>
      </c>
      <c r="D28652" s="8">
        <v>6</v>
      </c>
      <c r="E28652" s="8">
        <v>0</v>
      </c>
      <c r="F28652" s="8">
        <v>6464</v>
      </c>
    </row>
    <row r="28653" spans="1:6" ht="12.75">
      <c r="A28653" s="8">
        <v>43891.666006944448</v>
      </c>
      <c r="B28653" s="8" t="str">
        <f>HYPERLINK("https://twitter.com/itscoconutmilk","@itscoconutmilk")</f>
        <v>@itscoconutmilk</v>
      </c>
      <c r="C28653" s="8" t="s">
        <v>10843</v>
      </c>
      <c r="D28653" s="8">
        <v>5</v>
      </c>
      <c r="E28653" s="8">
        <v>0</v>
      </c>
      <c r="F28653" s="8">
        <v>132</v>
      </c>
    </row>
    <row r="28654" spans="1:6" ht="12.75">
      <c r="A28654" s="8">
        <v>43891.665983796294</v>
      </c>
      <c r="B28654" s="8" t="str">
        <f>HYPERLINK("https://twitter.com/indragiri313","@indragiri313")</f>
        <v>@indragiri313</v>
      </c>
      <c r="C28654" s="8" t="s">
        <v>9587</v>
      </c>
      <c r="D28654" s="8">
        <v>6</v>
      </c>
      <c r="E28654" s="8">
        <v>0</v>
      </c>
      <c r="F28654" s="8">
        <v>973</v>
      </c>
    </row>
    <row r="28655" spans="1:6" ht="12.75">
      <c r="A28655" s="8">
        <v>43891.665810185186</v>
      </c>
      <c r="B28655" s="8" t="str">
        <f>HYPERLINK("https://twitter.com/kicepkicep","@kicepkicep")</f>
        <v>@kicepkicep</v>
      </c>
      <c r="C28655" s="8" t="s">
        <v>10404</v>
      </c>
      <c r="D28655" s="8">
        <v>80</v>
      </c>
      <c r="E28655" s="8">
        <v>0</v>
      </c>
      <c r="F28655" s="8">
        <v>1249</v>
      </c>
    </row>
    <row r="28656" spans="1:6" ht="12.75">
      <c r="A28656" s="8">
        <v>43891.665752314817</v>
      </c>
      <c r="B28656" s="8" t="str">
        <f>HYPERLINK("https://twitter.com/CGazee","@CGazee")</f>
        <v>@CGazee</v>
      </c>
      <c r="C28656" s="8" t="s">
        <v>10844</v>
      </c>
      <c r="D28656" s="8">
        <v>0</v>
      </c>
      <c r="E28656" s="8">
        <v>0</v>
      </c>
      <c r="F28656" s="8">
        <v>0</v>
      </c>
    </row>
    <row r="28657" spans="1:6" ht="12.75">
      <c r="A28657" s="8">
        <v>43891.665520833332</v>
      </c>
      <c r="B28657" s="8" t="str">
        <f>HYPERLINK("https://twitter.com/ridhatobing","@ridhatobing")</f>
        <v>@ridhatobing</v>
      </c>
      <c r="C28657" s="8" t="s">
        <v>8917</v>
      </c>
      <c r="D28657" s="8">
        <v>33</v>
      </c>
      <c r="E28657" s="8">
        <v>0</v>
      </c>
      <c r="F28657" s="8">
        <v>442</v>
      </c>
    </row>
    <row r="28658" spans="1:6" ht="12.75">
      <c r="A28658" s="8">
        <v>43891.665497685186</v>
      </c>
      <c r="B28658" s="8" t="str">
        <f>HYPERLINK("https://twitter.com/rita_nada","@rita_nada")</f>
        <v>@rita_nada</v>
      </c>
      <c r="C28658" s="8" t="s">
        <v>10845</v>
      </c>
      <c r="D28658" s="8">
        <v>0</v>
      </c>
      <c r="E28658" s="8">
        <v>0</v>
      </c>
      <c r="F28658" s="8">
        <v>0</v>
      </c>
    </row>
    <row r="28659" spans="1:6" ht="12.75">
      <c r="A28659" s="8">
        <v>43891.665277777778</v>
      </c>
      <c r="B28659" s="8" t="str">
        <f>HYPERLINK("https://twitter.com/ovanz521","@ovanz521")</f>
        <v>@ovanz521</v>
      </c>
      <c r="C28659" s="8" t="s">
        <v>8096</v>
      </c>
      <c r="D28659" s="8">
        <v>79</v>
      </c>
      <c r="E28659" s="8">
        <v>0</v>
      </c>
      <c r="F28659" s="8">
        <v>340</v>
      </c>
    </row>
    <row r="28660" spans="1:6" ht="12.75">
      <c r="A28660" s="8">
        <v>43891.665243055555</v>
      </c>
      <c r="B28660" s="8" t="str">
        <f>HYPERLINK("https://twitter.com/aditdemarco","@aditdemarco")</f>
        <v>@aditdemarco</v>
      </c>
      <c r="C28660" s="8" t="s">
        <v>10404</v>
      </c>
      <c r="D28660" s="8">
        <v>80</v>
      </c>
      <c r="E28660" s="8">
        <v>0</v>
      </c>
      <c r="F28660" s="8">
        <v>430</v>
      </c>
    </row>
    <row r="28661" spans="1:6" ht="12.75">
      <c r="A28661" s="8">
        <v>43891.665208333332</v>
      </c>
      <c r="B28661" s="8" t="str">
        <f>HYPERLINK("https://twitter.com/AliObeng","@AliObeng")</f>
        <v>@AliObeng</v>
      </c>
      <c r="C28661" s="8" t="s">
        <v>10481</v>
      </c>
      <c r="D28661" s="8">
        <v>115</v>
      </c>
      <c r="E28661" s="8">
        <v>0</v>
      </c>
      <c r="F28661" s="8">
        <v>3795</v>
      </c>
    </row>
    <row r="28662" spans="1:6" ht="12.75">
      <c r="A28662" s="8">
        <v>43891.665185185186</v>
      </c>
      <c r="B28662" s="8" t="str">
        <f>HYPERLINK("https://twitter.com/dylanalhadi","@dylanalhadi")</f>
        <v>@dylanalhadi</v>
      </c>
      <c r="C28662" s="8" t="s">
        <v>5900</v>
      </c>
      <c r="D28662" s="8">
        <v>7</v>
      </c>
      <c r="E28662" s="8">
        <v>0</v>
      </c>
      <c r="F28662" s="8">
        <v>1389</v>
      </c>
    </row>
    <row r="28663" spans="1:6" ht="12.75">
      <c r="A28663" s="8">
        <v>43891.665173611109</v>
      </c>
      <c r="B28663" s="8" t="str">
        <f>HYPERLINK("https://twitter.com/Mala_1920","@Mala_1920")</f>
        <v>@Mala_1920</v>
      </c>
      <c r="C28663" s="8" t="s">
        <v>10804</v>
      </c>
      <c r="D28663" s="8">
        <v>1</v>
      </c>
      <c r="E28663" s="8">
        <v>0</v>
      </c>
      <c r="F28663" s="8">
        <v>280</v>
      </c>
    </row>
    <row r="28664" spans="1:6" ht="12.75">
      <c r="A28664" s="8">
        <v>43891.665162037039</v>
      </c>
      <c r="B28664" s="8" t="str">
        <f>HYPERLINK("https://twitter.com/Agungfi61174858","@Agungfi61174858")</f>
        <v>@Agungfi61174858</v>
      </c>
      <c r="C28664" s="8" t="s">
        <v>10846</v>
      </c>
      <c r="D28664" s="8">
        <v>6</v>
      </c>
      <c r="E28664" s="8">
        <v>0</v>
      </c>
      <c r="F28664" s="8">
        <v>25</v>
      </c>
    </row>
    <row r="28665" spans="1:6" ht="12.75">
      <c r="A28665" s="8">
        <v>43891.664988425924</v>
      </c>
      <c r="B28665" s="8" t="str">
        <f>HYPERLINK("https://twitter.com/Gatama19","@Gatama19")</f>
        <v>@Gatama19</v>
      </c>
      <c r="C28665" s="8" t="s">
        <v>10404</v>
      </c>
      <c r="D28665" s="8">
        <v>80</v>
      </c>
      <c r="E28665" s="8">
        <v>0</v>
      </c>
      <c r="F28665" s="8">
        <v>598</v>
      </c>
    </row>
    <row r="28666" spans="1:6" ht="12.75">
      <c r="A28666" s="8">
        <v>43891.664884259255</v>
      </c>
      <c r="B28666" s="8" t="str">
        <f>HYPERLINK("https://twitter.com/ImamBukhori7701","@ImamBukhori7701")</f>
        <v>@ImamBukhori7701</v>
      </c>
      <c r="C28666" s="8" t="s">
        <v>10404</v>
      </c>
      <c r="D28666" s="8">
        <v>80</v>
      </c>
      <c r="E28666" s="8">
        <v>0</v>
      </c>
      <c r="F28666" s="8">
        <v>1093</v>
      </c>
    </row>
    <row r="28667" spans="1:6" ht="12.75">
      <c r="A28667" s="8">
        <v>43891.664849537032</v>
      </c>
      <c r="B28667" s="8" t="str">
        <f>HYPERLINK("https://twitter.com/AllSamnun","@AllSamnun")</f>
        <v>@AllSamnun</v>
      </c>
      <c r="C28667" s="8" t="s">
        <v>10404</v>
      </c>
      <c r="D28667" s="8">
        <v>80</v>
      </c>
      <c r="E28667" s="8">
        <v>0</v>
      </c>
      <c r="F28667" s="8">
        <v>837</v>
      </c>
    </row>
    <row r="28668" spans="1:6" ht="12.75">
      <c r="A28668" s="8">
        <v>43891.664826388893</v>
      </c>
      <c r="B28668" s="8" t="str">
        <f>HYPERLINK("https://twitter.com/Kazuma_Yagami15","@Kazuma_Yagami15")</f>
        <v>@Kazuma_Yagami15</v>
      </c>
      <c r="C28668" s="8" t="s">
        <v>7437</v>
      </c>
      <c r="D28668" s="8">
        <v>455</v>
      </c>
      <c r="E28668" s="8">
        <v>0</v>
      </c>
      <c r="F28668" s="8">
        <v>5</v>
      </c>
    </row>
    <row r="28669" spans="1:6" ht="12.75">
      <c r="A28669" s="8">
        <v>43891.66479166667</v>
      </c>
      <c r="B28669" s="8" t="str">
        <f>HYPERLINK("https://twitter.com/Kimi58486332","@Kimi58486332")</f>
        <v>@Kimi58486332</v>
      </c>
      <c r="C28669" s="8" t="s">
        <v>10847</v>
      </c>
      <c r="D28669" s="8">
        <v>0</v>
      </c>
      <c r="E28669" s="8">
        <v>0</v>
      </c>
      <c r="F28669" s="8">
        <v>20</v>
      </c>
    </row>
    <row r="28670" spans="1:6" ht="12.75">
      <c r="A28670" s="8">
        <v>43891.664583333331</v>
      </c>
      <c r="B28670" s="8" t="str">
        <f t="shared" ref="B28670:B28674" si="388">HYPERLINK("https://twitter.com/cutsarah","@cutsarah")</f>
        <v>@cutsarah</v>
      </c>
      <c r="C28670" s="8" t="s">
        <v>10848</v>
      </c>
      <c r="D28670" s="8">
        <v>0</v>
      </c>
      <c r="E28670" s="8">
        <v>2</v>
      </c>
      <c r="F28670" s="8">
        <v>123</v>
      </c>
    </row>
    <row r="28671" spans="1:6" ht="12.75">
      <c r="A28671" s="8">
        <v>43891.664548611108</v>
      </c>
      <c r="B28671" s="8" t="str">
        <f t="shared" si="388"/>
        <v>@cutsarah</v>
      </c>
      <c r="C28671" s="8" t="s">
        <v>10849</v>
      </c>
      <c r="D28671" s="8">
        <v>0</v>
      </c>
      <c r="E28671" s="8">
        <v>1</v>
      </c>
      <c r="F28671" s="8">
        <v>123</v>
      </c>
    </row>
    <row r="28672" spans="1:6" ht="12.75">
      <c r="A28672" s="8">
        <v>43891.66443287037</v>
      </c>
      <c r="B28672" s="8" t="str">
        <f t="shared" si="388"/>
        <v>@cutsarah</v>
      </c>
      <c r="C28672" s="8" t="s">
        <v>10850</v>
      </c>
      <c r="D28672" s="8">
        <v>0</v>
      </c>
      <c r="E28672" s="8">
        <v>0</v>
      </c>
      <c r="F28672" s="8">
        <v>123</v>
      </c>
    </row>
    <row r="28673" spans="1:6" ht="12.75">
      <c r="A28673" s="8">
        <v>43891.664259259254</v>
      </c>
      <c r="B28673" s="8" t="str">
        <f t="shared" si="388"/>
        <v>@cutsarah</v>
      </c>
      <c r="C28673" s="8" t="s">
        <v>10851</v>
      </c>
      <c r="D28673" s="8">
        <v>0</v>
      </c>
      <c r="E28673" s="8">
        <v>0</v>
      </c>
      <c r="F28673" s="8">
        <v>123</v>
      </c>
    </row>
    <row r="28674" spans="1:6" ht="12.75">
      <c r="A28674" s="8">
        <v>43891.664189814815</v>
      </c>
      <c r="B28674" s="8" t="str">
        <f t="shared" si="388"/>
        <v>@cutsarah</v>
      </c>
      <c r="C28674" s="8" t="s">
        <v>10852</v>
      </c>
      <c r="D28674" s="8">
        <v>0</v>
      </c>
      <c r="E28674" s="8">
        <v>0</v>
      </c>
      <c r="F28674" s="8">
        <v>123</v>
      </c>
    </row>
    <row r="28675" spans="1:6" ht="12.75">
      <c r="A28675" s="8">
        <v>43891.631840277776</v>
      </c>
      <c r="B28675" s="8" t="str">
        <f>HYPERLINK("https://twitter.com/Stevaniehuangg","@Stevaniehuangg")</f>
        <v>@Stevaniehuangg</v>
      </c>
      <c r="C28675" s="8" t="s">
        <v>10853</v>
      </c>
      <c r="D28675" s="8">
        <v>0</v>
      </c>
      <c r="E28675" s="8">
        <v>0</v>
      </c>
      <c r="F28675" s="8">
        <v>58920</v>
      </c>
    </row>
    <row r="28676" spans="1:6" ht="12.75">
      <c r="A28676" s="8">
        <v>43891.631701388891</v>
      </c>
      <c r="B28676" s="8" t="str">
        <f t="shared" ref="B28676:B28677" si="389">HYPERLINK("https://twitter.com/hidupnanindah","@hidupnanindah")</f>
        <v>@hidupnanindah</v>
      </c>
      <c r="C28676" s="8" t="s">
        <v>10854</v>
      </c>
      <c r="D28676" s="8">
        <v>6</v>
      </c>
      <c r="E28676" s="8">
        <v>0</v>
      </c>
      <c r="F28676" s="8">
        <v>14997</v>
      </c>
    </row>
    <row r="28677" spans="1:6" ht="12.75">
      <c r="A28677" s="8">
        <v>43891.631678240738</v>
      </c>
      <c r="B28677" s="8" t="str">
        <f t="shared" si="389"/>
        <v>@hidupnanindah</v>
      </c>
      <c r="C28677" s="8" t="s">
        <v>10855</v>
      </c>
      <c r="D28677" s="8">
        <v>4</v>
      </c>
      <c r="E28677" s="8">
        <v>0</v>
      </c>
      <c r="F28677" s="8">
        <v>14997</v>
      </c>
    </row>
    <row r="28678" spans="1:6" ht="12.75">
      <c r="A28678" s="8">
        <v>43891.631585648152</v>
      </c>
      <c r="B28678" s="8" t="str">
        <f>HYPERLINK("https://twitter.com/antarajatimcom","@antarajatimcom")</f>
        <v>@antarajatimcom</v>
      </c>
      <c r="C28678" s="8" t="s">
        <v>10856</v>
      </c>
      <c r="D28678" s="8">
        <v>0</v>
      </c>
      <c r="E28678" s="8">
        <v>0</v>
      </c>
      <c r="F28678" s="8">
        <v>845</v>
      </c>
    </row>
    <row r="28679" spans="1:6" ht="12.75">
      <c r="A28679" s="8">
        <v>43891.631562499999</v>
      </c>
      <c r="B28679" s="8" t="str">
        <f t="shared" ref="B28679:B28681" si="390">HYPERLINK("https://twitter.com/hidupnanindah","@hidupnanindah")</f>
        <v>@hidupnanindah</v>
      </c>
      <c r="C28679" s="8" t="s">
        <v>10857</v>
      </c>
      <c r="D28679" s="8">
        <v>1</v>
      </c>
      <c r="E28679" s="8">
        <v>0</v>
      </c>
      <c r="F28679" s="8">
        <v>14997</v>
      </c>
    </row>
    <row r="28680" spans="1:6" ht="12.75">
      <c r="A28680" s="8">
        <v>43891.631354166668</v>
      </c>
      <c r="B28680" s="8" t="str">
        <f t="shared" si="390"/>
        <v>@hidupnanindah</v>
      </c>
      <c r="C28680" s="8" t="s">
        <v>10858</v>
      </c>
      <c r="D28680" s="8">
        <v>1</v>
      </c>
      <c r="E28680" s="8">
        <v>0</v>
      </c>
      <c r="F28680" s="8">
        <v>14997</v>
      </c>
    </row>
    <row r="28681" spans="1:6" ht="12.75">
      <c r="A28681" s="8">
        <v>43891.631261574075</v>
      </c>
      <c r="B28681" s="8" t="str">
        <f t="shared" si="390"/>
        <v>@hidupnanindah</v>
      </c>
      <c r="C28681" s="8" t="s">
        <v>10859</v>
      </c>
      <c r="D28681" s="8">
        <v>3</v>
      </c>
      <c r="E28681" s="8">
        <v>0</v>
      </c>
      <c r="F28681" s="8">
        <v>14997</v>
      </c>
    </row>
    <row r="28682" spans="1:6" ht="12.75">
      <c r="A28682" s="8">
        <v>43891.631226851852</v>
      </c>
      <c r="B28682" s="8" t="str">
        <f>HYPERLINK("https://twitter.com/NgaritCommunity","@NgaritCommunity")</f>
        <v>@NgaritCommunity</v>
      </c>
      <c r="C28682" s="8" t="s">
        <v>10860</v>
      </c>
      <c r="D28682" s="8">
        <v>0</v>
      </c>
      <c r="E28682" s="8">
        <v>0</v>
      </c>
      <c r="F28682" s="8">
        <v>455</v>
      </c>
    </row>
    <row r="28683" spans="1:6" ht="12.75">
      <c r="A28683" s="8">
        <v>43891.630856481483</v>
      </c>
      <c r="B28683" s="8" t="str">
        <f>HYPERLINK("https://twitter.com/hidupnanindah","@hidupnanindah")</f>
        <v>@hidupnanindah</v>
      </c>
      <c r="C28683" s="8" t="s">
        <v>10861</v>
      </c>
      <c r="D28683" s="8">
        <v>4</v>
      </c>
      <c r="E28683" s="8">
        <v>0</v>
      </c>
      <c r="F28683" s="8">
        <v>14997</v>
      </c>
    </row>
    <row r="28684" spans="1:6" ht="12.75">
      <c r="A28684" s="8">
        <v>43891.630856481483</v>
      </c>
      <c r="B28684" s="8" t="str">
        <f>HYPERLINK("https://twitter.com/meforvictory","@meforvictory")</f>
        <v>@meforvictory</v>
      </c>
      <c r="C28684" s="8" t="s">
        <v>2272</v>
      </c>
      <c r="D28684" s="8">
        <v>675</v>
      </c>
      <c r="E28684" s="8">
        <v>0</v>
      </c>
      <c r="F28684" s="8">
        <v>104</v>
      </c>
    </row>
    <row r="28685" spans="1:6" ht="12.75">
      <c r="A28685" s="8">
        <v>43891.630844907406</v>
      </c>
      <c r="B28685" s="8" t="str">
        <f>HYPERLINK("https://twitter.com/antarajatimcom","@antarajatimcom")</f>
        <v>@antarajatimcom</v>
      </c>
      <c r="C28685" s="8" t="s">
        <v>10862</v>
      </c>
      <c r="D28685" s="8">
        <v>0</v>
      </c>
      <c r="E28685" s="8">
        <v>0</v>
      </c>
      <c r="F28685" s="8">
        <v>845</v>
      </c>
    </row>
    <row r="28686" spans="1:6" ht="12.75">
      <c r="A28686" s="8">
        <v>43891.63082175926</v>
      </c>
      <c r="B28686" s="8" t="str">
        <f>HYPERLINK("https://twitter.com/hidupnanindah","@hidupnanindah")</f>
        <v>@hidupnanindah</v>
      </c>
      <c r="C28686" s="8" t="s">
        <v>10863</v>
      </c>
      <c r="D28686" s="8">
        <v>6</v>
      </c>
      <c r="E28686" s="8">
        <v>0</v>
      </c>
      <c r="F28686" s="8">
        <v>14997</v>
      </c>
    </row>
    <row r="28687" spans="1:6" ht="12.75">
      <c r="A28687" s="8">
        <v>43891.630590277782</v>
      </c>
      <c r="B28687" s="8" t="str">
        <f>HYPERLINK("https://twitter.com/dadanherdhi","@dadanherdhi")</f>
        <v>@dadanherdhi</v>
      </c>
      <c r="C28687" s="8" t="s">
        <v>10481</v>
      </c>
      <c r="D28687" s="8">
        <v>104</v>
      </c>
      <c r="E28687" s="8">
        <v>0</v>
      </c>
      <c r="F28687" s="8">
        <v>138</v>
      </c>
    </row>
    <row r="28688" spans="1:6" ht="12.75">
      <c r="A28688" s="8">
        <v>43891.629282407404</v>
      </c>
      <c r="B28688" s="8" t="str">
        <f>HYPERLINK("https://twitter.com/topinfo_id","@topinfo_id")</f>
        <v>@topinfo_id</v>
      </c>
      <c r="C28688" s="8" t="s">
        <v>10864</v>
      </c>
      <c r="D28688" s="8">
        <v>0</v>
      </c>
      <c r="E28688" s="8">
        <v>0</v>
      </c>
      <c r="F28688" s="8">
        <v>23</v>
      </c>
    </row>
    <row r="28689" spans="1:6" ht="12.75">
      <c r="A28689" s="8">
        <v>43891.629236111112</v>
      </c>
      <c r="B28689" s="8" t="str">
        <f>HYPERLINK("https://twitter.com/gwdatanglagih","@gwdatanglagih")</f>
        <v>@gwdatanglagih</v>
      </c>
      <c r="C28689" s="8" t="s">
        <v>10481</v>
      </c>
      <c r="D28689" s="8">
        <v>104</v>
      </c>
      <c r="E28689" s="8">
        <v>0</v>
      </c>
      <c r="F28689" s="8">
        <v>484</v>
      </c>
    </row>
    <row r="28690" spans="1:6" ht="12.75">
      <c r="A28690" s="8">
        <v>43891.628611111111</v>
      </c>
      <c r="B28690" s="8" t="str">
        <f>HYPERLINK("https://twitter.com/Soleh64268085","@Soleh64268085")</f>
        <v>@Soleh64268085</v>
      </c>
      <c r="C28690" s="8" t="s">
        <v>10865</v>
      </c>
      <c r="D28690" s="8">
        <v>1</v>
      </c>
      <c r="E28690" s="8">
        <v>0</v>
      </c>
      <c r="F28690" s="8">
        <v>868</v>
      </c>
    </row>
    <row r="28691" spans="1:6" ht="12.75">
      <c r="A28691" s="8">
        <v>43891.628576388888</v>
      </c>
      <c r="B28691" s="8" t="str">
        <f>HYPERLINK("https://twitter.com/ari_wirajaya","@ari_wirajaya")</f>
        <v>@ari_wirajaya</v>
      </c>
      <c r="C28691" s="8" t="s">
        <v>10866</v>
      </c>
      <c r="D28691" s="8">
        <v>1</v>
      </c>
      <c r="E28691" s="8">
        <v>0</v>
      </c>
      <c r="F28691" s="8">
        <v>1305</v>
      </c>
    </row>
    <row r="28692" spans="1:6" ht="12.75">
      <c r="A28692" s="8">
        <v>43891.628506944442</v>
      </c>
      <c r="B28692" s="8" t="str">
        <f t="shared" ref="B28692:B28693" si="391">HYPERLINK("https://twitter.com/Indopolitika","@Indopolitika")</f>
        <v>@Indopolitika</v>
      </c>
      <c r="C28692" s="8" t="s">
        <v>10867</v>
      </c>
      <c r="D28692" s="8">
        <v>0</v>
      </c>
      <c r="E28692" s="8">
        <v>1</v>
      </c>
      <c r="F28692" s="8">
        <v>10592</v>
      </c>
    </row>
    <row r="28693" spans="1:6" ht="12.75">
      <c r="A28693" s="8">
        <v>43891.628252314811</v>
      </c>
      <c r="B28693" s="8" t="str">
        <f t="shared" si="391"/>
        <v>@Indopolitika</v>
      </c>
      <c r="C28693" s="8" t="s">
        <v>10868</v>
      </c>
      <c r="D28693" s="8">
        <v>0</v>
      </c>
      <c r="E28693" s="8">
        <v>0</v>
      </c>
      <c r="F28693" s="8">
        <v>10592</v>
      </c>
    </row>
    <row r="28694" spans="1:6" ht="12.75">
      <c r="A28694" s="8">
        <v>43891.628217592588</v>
      </c>
      <c r="B28694" s="8" t="str">
        <f>HYPERLINK("https://twitter.com/Galuhwijir","@Galuhwijir")</f>
        <v>@Galuhwijir</v>
      </c>
      <c r="C28694" s="8" t="s">
        <v>2272</v>
      </c>
      <c r="D28694" s="8">
        <v>675</v>
      </c>
      <c r="E28694" s="8">
        <v>0</v>
      </c>
      <c r="F28694" s="8">
        <v>354</v>
      </c>
    </row>
    <row r="28695" spans="1:6" ht="12.75">
      <c r="A28695" s="8">
        <v>43891.627974537041</v>
      </c>
      <c r="B28695" s="8" t="str">
        <f>HYPERLINK("https://twitter.com/ariandaniretno","@ariandaniretno")</f>
        <v>@ariandaniretno</v>
      </c>
      <c r="C28695" s="8" t="s">
        <v>10754</v>
      </c>
      <c r="D28695" s="8">
        <v>29</v>
      </c>
      <c r="E28695" s="8">
        <v>0</v>
      </c>
      <c r="F28695" s="8">
        <v>64</v>
      </c>
    </row>
    <row r="28696" spans="1:6" ht="12.75">
      <c r="A28696" s="8">
        <v>43891.627453703702</v>
      </c>
      <c r="B28696" s="8" t="str">
        <f>HYPERLINK("https://twitter.com/pikiran_rakyat","@pikiran_rakyat")</f>
        <v>@pikiran_rakyat</v>
      </c>
      <c r="C28696" s="8" t="s">
        <v>10869</v>
      </c>
      <c r="D28696" s="8">
        <v>0</v>
      </c>
      <c r="E28696" s="8">
        <v>0</v>
      </c>
      <c r="F28696" s="8">
        <v>413116</v>
      </c>
    </row>
    <row r="28697" spans="1:6" ht="12.75">
      <c r="A28697" s="8">
        <v>43891.627407407403</v>
      </c>
      <c r="B28697" s="8" t="str">
        <f>HYPERLINK("https://twitter.com/MT_Reborn","@MT_Reborn")</f>
        <v>@MT_Reborn</v>
      </c>
      <c r="C28697" s="8" t="s">
        <v>10870</v>
      </c>
      <c r="D28697" s="8">
        <v>0</v>
      </c>
      <c r="E28697" s="8">
        <v>1</v>
      </c>
      <c r="F28697" s="8">
        <v>8065</v>
      </c>
    </row>
    <row r="28698" spans="1:6" ht="12.75">
      <c r="A28698" s="8">
        <v>43891.627268518518</v>
      </c>
      <c r="B28698" s="8" t="str">
        <f>HYPERLINK("https://twitter.com/hendraputrasiag","@hendraputrasiag")</f>
        <v>@hendraputrasiag</v>
      </c>
      <c r="C28698" s="8" t="s">
        <v>10871</v>
      </c>
      <c r="D28698" s="8">
        <v>9</v>
      </c>
      <c r="E28698" s="8">
        <v>0</v>
      </c>
      <c r="F28698" s="8">
        <v>185</v>
      </c>
    </row>
    <row r="28699" spans="1:6" ht="12.75">
      <c r="A28699" s="8">
        <v>43891.627129629633</v>
      </c>
      <c r="B28699" s="8" t="str">
        <f>HYPERLINK("https://twitter.com/kondeceng","@kondeceng")</f>
        <v>@kondeceng</v>
      </c>
      <c r="C28699" s="8" t="s">
        <v>8096</v>
      </c>
      <c r="D28699" s="8">
        <v>73</v>
      </c>
      <c r="E28699" s="8">
        <v>0</v>
      </c>
      <c r="F28699" s="8">
        <v>1672</v>
      </c>
    </row>
    <row r="28700" spans="1:6" ht="12.75">
      <c r="A28700" s="8">
        <v>43891.626944444448</v>
      </c>
      <c r="B28700" s="8" t="str">
        <f>HYPERLINK("https://twitter.com/hamaro_id","@hamaro_id")</f>
        <v>@hamaro_id</v>
      </c>
      <c r="C28700" s="8" t="s">
        <v>10481</v>
      </c>
      <c r="D28700" s="8">
        <v>104</v>
      </c>
      <c r="E28700" s="8">
        <v>0</v>
      </c>
      <c r="F28700" s="8">
        <v>1678</v>
      </c>
    </row>
    <row r="28701" spans="1:6" ht="12.75">
      <c r="A28701" s="8">
        <v>43891.626898148148</v>
      </c>
      <c r="B28701" s="8" t="str">
        <f>HYPERLINK("https://twitter.com/nerdiwitchial","@nerdiwitchial")</f>
        <v>@nerdiwitchial</v>
      </c>
      <c r="C28701" s="8" t="s">
        <v>10872</v>
      </c>
      <c r="D28701" s="8">
        <v>0</v>
      </c>
      <c r="E28701" s="8">
        <v>0</v>
      </c>
      <c r="F28701" s="8">
        <v>524</v>
      </c>
    </row>
    <row r="28702" spans="1:6" ht="12.75">
      <c r="A28702" s="8">
        <v>43891.626817129625</v>
      </c>
      <c r="B28702" s="8" t="str">
        <f>HYPERLINK("https://twitter.com/rcydpra","@rcydpra")</f>
        <v>@rcydpra</v>
      </c>
      <c r="C28702" s="8" t="s">
        <v>2272</v>
      </c>
      <c r="D28702" s="8">
        <v>675</v>
      </c>
      <c r="E28702" s="8">
        <v>0</v>
      </c>
      <c r="F28702" s="8">
        <v>346</v>
      </c>
    </row>
    <row r="28703" spans="1:6" ht="12.75">
      <c r="A28703" s="8">
        <v>43891.626585648148</v>
      </c>
      <c r="B28703" s="8" t="str">
        <f>HYPERLINK("https://twitter.com/tedonkknodet_","@tedonkknodet_")</f>
        <v>@tedonkknodet_</v>
      </c>
      <c r="C28703" s="8" t="s">
        <v>2272</v>
      </c>
      <c r="D28703" s="8">
        <v>675</v>
      </c>
      <c r="E28703" s="8">
        <v>0</v>
      </c>
      <c r="F28703" s="8">
        <v>1164</v>
      </c>
    </row>
    <row r="28704" spans="1:6" ht="12.75">
      <c r="A28704" s="8">
        <v>43891.626400462963</v>
      </c>
      <c r="B28704" s="8" t="str">
        <f>HYPERLINK("https://twitter.com/JuniSentoso","@JuniSentoso")</f>
        <v>@JuniSentoso</v>
      </c>
      <c r="C28704" s="8" t="s">
        <v>10600</v>
      </c>
      <c r="D28704" s="8">
        <v>284</v>
      </c>
      <c r="E28704" s="8">
        <v>0</v>
      </c>
      <c r="F28704" s="8">
        <v>13</v>
      </c>
    </row>
    <row r="28705" spans="1:6" ht="12.75">
      <c r="A28705" s="8">
        <v>43891.626331018517</v>
      </c>
      <c r="B28705" s="8" t="str">
        <f>HYPERLINK("https://twitter.com/arbanik_ahmad","@arbanik_ahmad")</f>
        <v>@arbanik_ahmad</v>
      </c>
      <c r="C28705" s="8" t="s">
        <v>9768</v>
      </c>
      <c r="D28705" s="8">
        <v>108</v>
      </c>
      <c r="E28705" s="8">
        <v>0</v>
      </c>
      <c r="F28705" s="8">
        <v>126</v>
      </c>
    </row>
    <row r="28706" spans="1:6" ht="12.75">
      <c r="A28706" s="8">
        <v>43891.625856481478</v>
      </c>
      <c r="B28706" s="8" t="str">
        <f>HYPERLINK("https://twitter.com/DelmaJaya","@DelmaJaya")</f>
        <v>@DelmaJaya</v>
      </c>
      <c r="C28706" s="8" t="s">
        <v>10796</v>
      </c>
      <c r="D28706" s="8">
        <v>1</v>
      </c>
      <c r="E28706" s="8">
        <v>0</v>
      </c>
      <c r="F28706" s="8">
        <v>561</v>
      </c>
    </row>
    <row r="28707" spans="1:6" ht="12.75">
      <c r="A28707" s="8">
        <v>43891.625775462962</v>
      </c>
      <c r="B28707" s="8" t="str">
        <f>HYPERLINK("https://twitter.com/adepedia","@adepedia")</f>
        <v>@adepedia</v>
      </c>
      <c r="C28707" s="8" t="s">
        <v>10873</v>
      </c>
      <c r="D28707" s="8">
        <v>3</v>
      </c>
      <c r="E28707" s="8">
        <v>0</v>
      </c>
      <c r="F28707" s="8">
        <v>1840</v>
      </c>
    </row>
    <row r="28708" spans="1:6" ht="12.75">
      <c r="A28708" s="8">
        <v>43891.6247337963</v>
      </c>
      <c r="B28708" s="8" t="str">
        <f>HYPERLINK("https://twitter.com/wni_jmsri","@wni_jmsri")</f>
        <v>@wni_jmsri</v>
      </c>
      <c r="C28708" s="8" t="s">
        <v>10874</v>
      </c>
      <c r="D28708" s="8">
        <v>496</v>
      </c>
      <c r="E28708" s="8">
        <v>0</v>
      </c>
      <c r="F28708" s="8">
        <v>198</v>
      </c>
    </row>
    <row r="28709" spans="1:6" ht="12.75">
      <c r="A28709" s="8">
        <v>43891.624421296292</v>
      </c>
      <c r="B28709" s="8" t="str">
        <f>HYPERLINK("https://twitter.com/Lisawong10111","@Lisawong10111")</f>
        <v>@Lisawong10111</v>
      </c>
      <c r="C28709" s="8" t="s">
        <v>10755</v>
      </c>
      <c r="D28709" s="8">
        <v>706</v>
      </c>
      <c r="E28709" s="8">
        <v>0</v>
      </c>
      <c r="F28709" s="8">
        <v>3</v>
      </c>
    </row>
    <row r="28710" spans="1:6" ht="12.75">
      <c r="A28710" s="8">
        <v>43891.624409722222</v>
      </c>
      <c r="B28710" s="8" t="str">
        <f>HYPERLINK("https://twitter.com/banglintas","@banglintas")</f>
        <v>@banglintas</v>
      </c>
      <c r="C28710" s="8" t="s">
        <v>10875</v>
      </c>
      <c r="D28710" s="8">
        <v>0</v>
      </c>
      <c r="E28710" s="8">
        <v>0</v>
      </c>
      <c r="F28710" s="8">
        <v>54</v>
      </c>
    </row>
    <row r="28711" spans="1:6" ht="12.75">
      <c r="A28711" s="8">
        <v>43891.624293981484</v>
      </c>
      <c r="B28711" s="8" t="str">
        <f>HYPERLINK("https://twitter.com/kawananraja","@kawananraja")</f>
        <v>@kawananraja</v>
      </c>
      <c r="C28711" s="8" t="s">
        <v>10876</v>
      </c>
      <c r="D28711" s="8">
        <v>0</v>
      </c>
      <c r="E28711" s="8">
        <v>0</v>
      </c>
      <c r="F28711" s="8">
        <v>6158</v>
      </c>
    </row>
    <row r="28712" spans="1:6" ht="12.75">
      <c r="A28712" s="8">
        <v>43891.624236111107</v>
      </c>
      <c r="B28712" s="8" t="str">
        <f>HYPERLINK("https://twitter.com/eliaseen1","@eliaseen1")</f>
        <v>@eliaseen1</v>
      </c>
      <c r="C28712" s="8" t="s">
        <v>10877</v>
      </c>
      <c r="D28712" s="8">
        <v>0</v>
      </c>
      <c r="E28712" s="8">
        <v>0</v>
      </c>
      <c r="F28712" s="8">
        <v>248</v>
      </c>
    </row>
    <row r="28713" spans="1:6" ht="12.75">
      <c r="A28713" s="8">
        <v>43891.624143518522</v>
      </c>
      <c r="B28713" s="8" t="str">
        <f>HYPERLINK("https://twitter.com/zonadamai","@zonadamai")</f>
        <v>@zonadamai</v>
      </c>
      <c r="C28713" s="8" t="s">
        <v>10878</v>
      </c>
      <c r="D28713" s="8">
        <v>0</v>
      </c>
      <c r="E28713" s="8">
        <v>0</v>
      </c>
      <c r="F28713" s="8">
        <v>1104</v>
      </c>
    </row>
    <row r="28714" spans="1:6" ht="12.75">
      <c r="A28714" s="8">
        <v>43891.624131944445</v>
      </c>
      <c r="B28714" s="8" t="str">
        <f>HYPERLINK("https://twitter.com/MAHA51920783","@MAHA51920783")</f>
        <v>@MAHA51920783</v>
      </c>
      <c r="C28714" s="8" t="s">
        <v>10879</v>
      </c>
      <c r="D28714" s="8">
        <v>1</v>
      </c>
      <c r="E28714" s="8">
        <v>1</v>
      </c>
      <c r="F28714" s="8">
        <v>49</v>
      </c>
    </row>
    <row r="28715" spans="1:6" ht="12.75">
      <c r="A28715" s="8">
        <v>43891.623518518521</v>
      </c>
      <c r="B28715" s="8" t="str">
        <f>HYPERLINK("https://twitter.com/baimvote","@baimvote")</f>
        <v>@baimvote</v>
      </c>
      <c r="C28715" s="8" t="s">
        <v>7437</v>
      </c>
      <c r="D28715" s="8">
        <v>440</v>
      </c>
      <c r="E28715" s="8">
        <v>0</v>
      </c>
      <c r="F28715" s="8">
        <v>91</v>
      </c>
    </row>
    <row r="28716" spans="1:6" ht="12.75">
      <c r="A28716" s="8">
        <v>43891.623263888891</v>
      </c>
      <c r="B28716" s="8" t="str">
        <f>HYPERLINK("https://twitter.com/zonadamai","@zonadamai")</f>
        <v>@zonadamai</v>
      </c>
      <c r="C28716" s="8" t="s">
        <v>10880</v>
      </c>
      <c r="D28716" s="8">
        <v>0</v>
      </c>
      <c r="E28716" s="8">
        <v>0</v>
      </c>
      <c r="F28716" s="8">
        <v>1104</v>
      </c>
    </row>
    <row r="28717" spans="1:6" ht="12.75">
      <c r="A28717" s="8">
        <v>43891.623113425929</v>
      </c>
      <c r="B28717" s="8" t="str">
        <f>HYPERLINK("https://twitter.com/faridariadno","@faridariadno")</f>
        <v>@faridariadno</v>
      </c>
      <c r="C28717" s="8" t="s">
        <v>10881</v>
      </c>
      <c r="D28717" s="8">
        <v>2</v>
      </c>
      <c r="E28717" s="8">
        <v>0</v>
      </c>
      <c r="F28717" s="8">
        <v>732</v>
      </c>
    </row>
    <row r="28718" spans="1:6" ht="12.75">
      <c r="A28718" s="8">
        <v>43891.62290509259</v>
      </c>
      <c r="B28718" s="8" t="str">
        <f>HYPERLINK("https://twitter.com/wayankdy","@wayankdy")</f>
        <v>@wayankdy</v>
      </c>
      <c r="C28718" s="8" t="s">
        <v>10481</v>
      </c>
      <c r="D28718" s="8">
        <v>104</v>
      </c>
      <c r="E28718" s="8">
        <v>0</v>
      </c>
      <c r="F28718" s="8">
        <v>1637</v>
      </c>
    </row>
    <row r="28719" spans="1:6" ht="12.75">
      <c r="A28719" s="8">
        <v>43891.622442129628</v>
      </c>
      <c r="B28719" s="8" t="str">
        <f>HYPERLINK("https://twitter.com/obiemyhabibie","@obiemyhabibie")</f>
        <v>@obiemyhabibie</v>
      </c>
      <c r="C28719" s="8" t="s">
        <v>10882</v>
      </c>
      <c r="D28719" s="8">
        <v>0</v>
      </c>
      <c r="E28719" s="8">
        <v>1</v>
      </c>
      <c r="F28719" s="8">
        <v>348</v>
      </c>
    </row>
    <row r="28720" spans="1:6" ht="12.75">
      <c r="A28720" s="8">
        <v>43891.622071759259</v>
      </c>
      <c r="B28720" s="8" t="str">
        <f>HYPERLINK("https://twitter.com/kafara666","@kafara666")</f>
        <v>@kafara666</v>
      </c>
      <c r="C28720" s="8" t="s">
        <v>7437</v>
      </c>
      <c r="D28720" s="8">
        <v>440</v>
      </c>
      <c r="E28720" s="8">
        <v>0</v>
      </c>
      <c r="F28720" s="8">
        <v>72</v>
      </c>
    </row>
    <row r="28721" spans="1:6" ht="12.75">
      <c r="A28721" s="8">
        <v>43891.621840277774</v>
      </c>
      <c r="B28721" s="8" t="str">
        <f>HYPERLINK("https://twitter.com/okamaul","@okamaul")</f>
        <v>@okamaul</v>
      </c>
      <c r="C28721" s="8" t="s">
        <v>2272</v>
      </c>
      <c r="D28721" s="8">
        <v>675</v>
      </c>
      <c r="E28721" s="8">
        <v>0</v>
      </c>
      <c r="F28721" s="8">
        <v>233</v>
      </c>
    </row>
    <row r="28722" spans="1:6" ht="12.75">
      <c r="A28722" s="8">
        <v>43891.621712962966</v>
      </c>
      <c r="B28722" s="8" t="str">
        <f>HYPERLINK("https://twitter.com/oktashin","@oktashin")</f>
        <v>@oktashin</v>
      </c>
      <c r="C28722" s="8" t="s">
        <v>10873</v>
      </c>
      <c r="D28722" s="8">
        <v>3</v>
      </c>
      <c r="E28722" s="8">
        <v>0</v>
      </c>
      <c r="F28722" s="8">
        <v>227</v>
      </c>
    </row>
    <row r="28723" spans="1:6" ht="12.75">
      <c r="A28723" s="8">
        <v>43891.621712962966</v>
      </c>
      <c r="B28723" s="8" t="str">
        <f>HYPERLINK("https://twitter.com/RichelleEdita","@RichelleEdita")</f>
        <v>@RichelleEdita</v>
      </c>
      <c r="C28723" s="8" t="s">
        <v>10481</v>
      </c>
      <c r="D28723" s="8">
        <v>104</v>
      </c>
      <c r="E28723" s="8">
        <v>0</v>
      </c>
      <c r="F28723" s="8">
        <v>839</v>
      </c>
    </row>
    <row r="28724" spans="1:6" ht="12.75">
      <c r="A28724" s="8">
        <v>43891.621712962966</v>
      </c>
      <c r="B28724" s="8" t="str">
        <f>HYPERLINK("https://twitter.com/irfianinra","@irfianinra")</f>
        <v>@irfianinra</v>
      </c>
      <c r="C28724" s="8" t="s">
        <v>2272</v>
      </c>
      <c r="D28724" s="8">
        <v>675</v>
      </c>
      <c r="E28724" s="8">
        <v>0</v>
      </c>
      <c r="F28724" s="8">
        <v>281</v>
      </c>
    </row>
    <row r="28725" spans="1:6" ht="12.75">
      <c r="A28725" s="8">
        <v>43891.621168981481</v>
      </c>
      <c r="B28725" s="8" t="str">
        <f>HYPERLINK("https://twitter.com/theconjaering","@theconjaering")</f>
        <v>@theconjaering</v>
      </c>
      <c r="C28725" s="8" t="s">
        <v>2272</v>
      </c>
      <c r="D28725" s="8">
        <v>675</v>
      </c>
      <c r="E28725" s="8">
        <v>0</v>
      </c>
      <c r="F28725" s="8">
        <v>309</v>
      </c>
    </row>
    <row r="28726" spans="1:6" ht="12.75">
      <c r="A28726" s="8">
        <v>43891.621157407411</v>
      </c>
      <c r="B28726" s="8" t="str">
        <f>HYPERLINK("https://twitter.com/EdiKeceput","@EdiKeceput")</f>
        <v>@EdiKeceput</v>
      </c>
      <c r="C28726" s="8" t="s">
        <v>10883</v>
      </c>
      <c r="D28726" s="8">
        <v>0</v>
      </c>
      <c r="E28726" s="8">
        <v>0</v>
      </c>
      <c r="F28726" s="8">
        <v>485</v>
      </c>
    </row>
    <row r="28727" spans="1:6" ht="12.75">
      <c r="A28727" s="8">
        <v>43891.620856481481</v>
      </c>
      <c r="B28727" s="8" t="str">
        <f t="shared" ref="B28727:B28728" si="392">HYPERLINK("https://twitter.com/tempodotco","@tempodotco")</f>
        <v>@tempodotco</v>
      </c>
      <c r="C28727" s="8" t="s">
        <v>10884</v>
      </c>
      <c r="D28727" s="8">
        <v>2</v>
      </c>
      <c r="E28727" s="8">
        <v>3</v>
      </c>
      <c r="F28727" s="8">
        <v>1713378</v>
      </c>
    </row>
    <row r="28728" spans="1:6" ht="12.75">
      <c r="A28728" s="8">
        <v>43891.620844907404</v>
      </c>
      <c r="B28728" s="8" t="str">
        <f t="shared" si="392"/>
        <v>@tempodotco</v>
      </c>
      <c r="C28728" s="8" t="s">
        <v>10885</v>
      </c>
      <c r="D28728" s="8">
        <v>3</v>
      </c>
      <c r="E28728" s="8">
        <v>2</v>
      </c>
      <c r="F28728" s="8">
        <v>1713378</v>
      </c>
    </row>
    <row r="28729" spans="1:6" ht="12.75">
      <c r="A28729" s="8">
        <v>43891.620486111111</v>
      </c>
      <c r="B28729" s="8" t="str">
        <f>HYPERLINK("https://twitter.com/EdiKeceput","@EdiKeceput")</f>
        <v>@EdiKeceput</v>
      </c>
      <c r="C28729" s="8" t="s">
        <v>4235</v>
      </c>
      <c r="D28729" s="8">
        <v>1639</v>
      </c>
      <c r="E28729" s="8">
        <v>0</v>
      </c>
      <c r="F28729" s="8">
        <v>485</v>
      </c>
    </row>
    <row r="28730" spans="1:6" ht="12.75">
      <c r="A28730" s="8">
        <v>43891.620266203703</v>
      </c>
      <c r="B28730" s="8" t="str">
        <f>HYPERLINK("https://twitter.com/BasilSakti","@BasilSakti")</f>
        <v>@BasilSakti</v>
      </c>
      <c r="C28730" s="8" t="s">
        <v>10481</v>
      </c>
      <c r="D28730" s="8">
        <v>104</v>
      </c>
      <c r="E28730" s="8">
        <v>0</v>
      </c>
      <c r="F28730" s="8">
        <v>202</v>
      </c>
    </row>
    <row r="28731" spans="1:6" ht="12.75">
      <c r="A28731" s="8">
        <v>43891.62018518518</v>
      </c>
      <c r="B28731" s="8" t="str">
        <f>HYPERLINK("https://twitter.com/Zack_lpg01","@Zack_lpg01")</f>
        <v>@Zack_lpg01</v>
      </c>
      <c r="C28731" s="8" t="s">
        <v>7437</v>
      </c>
      <c r="D28731" s="8">
        <v>440</v>
      </c>
      <c r="E28731" s="8">
        <v>0</v>
      </c>
      <c r="F28731" s="8">
        <v>2907</v>
      </c>
    </row>
    <row r="28732" spans="1:6" ht="12.75">
      <c r="A28732" s="8">
        <v>43891.619803240741</v>
      </c>
      <c r="B28732" s="8" t="str">
        <f>HYPERLINK("https://twitter.com/kompascom","@kompascom")</f>
        <v>@kompascom</v>
      </c>
      <c r="C28732" s="8" t="s">
        <v>10886</v>
      </c>
      <c r="D28732" s="8">
        <v>1</v>
      </c>
      <c r="E28732" s="8">
        <v>6</v>
      </c>
      <c r="F28732" s="8">
        <v>7519995</v>
      </c>
    </row>
    <row r="28733" spans="1:6" ht="12.75">
      <c r="A28733" s="8">
        <v>43891.619641203702</v>
      </c>
      <c r="B28733" s="8" t="str">
        <f>HYPERLINK("https://twitter.com/SartonoHutomo","@SartonoHutomo")</f>
        <v>@SartonoHutomo</v>
      </c>
      <c r="C28733" s="8" t="s">
        <v>10887</v>
      </c>
      <c r="D28733" s="8">
        <v>1</v>
      </c>
      <c r="E28733" s="8">
        <v>0</v>
      </c>
      <c r="F28733" s="8">
        <v>4126</v>
      </c>
    </row>
    <row r="28734" spans="1:6" ht="12.75">
      <c r="A28734" s="8">
        <v>43891.618692129632</v>
      </c>
      <c r="B28734" s="8" t="str">
        <f>HYPERLINK("https://twitter.com/dionbangsat","@dionbangsat")</f>
        <v>@dionbangsat</v>
      </c>
      <c r="C28734" s="8" t="s">
        <v>10888</v>
      </c>
      <c r="D28734" s="8">
        <v>0</v>
      </c>
      <c r="E28734" s="8">
        <v>0</v>
      </c>
      <c r="F28734" s="8">
        <v>6430</v>
      </c>
    </row>
    <row r="28735" spans="1:6" ht="12.75">
      <c r="A28735" s="8">
        <v>43891.618680555555</v>
      </c>
      <c r="B28735" s="8" t="str">
        <f>HYPERLINK("https://twitter.com/Sastroklengsre1","@Sastroklengsre1")</f>
        <v>@Sastroklengsre1</v>
      </c>
      <c r="C28735" s="8" t="s">
        <v>10481</v>
      </c>
      <c r="D28735" s="8">
        <v>104</v>
      </c>
      <c r="E28735" s="8">
        <v>0</v>
      </c>
      <c r="F28735" s="8">
        <v>2830</v>
      </c>
    </row>
    <row r="28736" spans="1:6" ht="12.75">
      <c r="A28736" s="8">
        <v>43891.61819444444</v>
      </c>
      <c r="B28736" s="8" t="str">
        <f>HYPERLINK("https://twitter.com/Yossibenhur","@Yossibenhur")</f>
        <v>@Yossibenhur</v>
      </c>
      <c r="C28736" s="8" t="s">
        <v>10481</v>
      </c>
      <c r="D28736" s="8">
        <v>104</v>
      </c>
      <c r="E28736" s="8">
        <v>0</v>
      </c>
      <c r="F28736" s="8">
        <v>65</v>
      </c>
    </row>
    <row r="28737" spans="1:6" ht="12.75">
      <c r="A28737" s="8">
        <v>43891.61818287037</v>
      </c>
      <c r="B28737" s="8" t="str">
        <f>HYPERLINK("https://twitter.com/baysulist","@baysulist")</f>
        <v>@baysulist</v>
      </c>
      <c r="C28737" s="8" t="s">
        <v>10889</v>
      </c>
      <c r="D28737" s="8">
        <v>8</v>
      </c>
      <c r="E28737" s="8">
        <v>0</v>
      </c>
      <c r="F28737" s="8">
        <v>466</v>
      </c>
    </row>
    <row r="28738" spans="1:6" ht="12.75">
      <c r="A28738" s="8">
        <v>43891.618101851855</v>
      </c>
      <c r="B28738" s="8" t="str">
        <f>HYPERLINK("https://twitter.com/keziasaudale","@keziasaudale")</f>
        <v>@keziasaudale</v>
      </c>
      <c r="C28738" s="8" t="s">
        <v>10843</v>
      </c>
      <c r="D28738" s="8">
        <v>4</v>
      </c>
      <c r="E28738" s="8">
        <v>0</v>
      </c>
      <c r="F28738" s="8">
        <v>941</v>
      </c>
    </row>
    <row r="28739" spans="1:6" ht="12.75">
      <c r="A28739" s="8">
        <v>43891.61782407407</v>
      </c>
      <c r="B28739" s="8" t="str">
        <f>HYPERLINK("https://twitter.com/John_Muhan","@John_Muhan")</f>
        <v>@John_Muhan</v>
      </c>
      <c r="C28739" s="8" t="s">
        <v>10890</v>
      </c>
      <c r="D28739" s="8">
        <v>1</v>
      </c>
      <c r="E28739" s="8">
        <v>0</v>
      </c>
      <c r="F28739" s="8">
        <v>800</v>
      </c>
    </row>
    <row r="28740" spans="1:6" ht="12.75">
      <c r="A28740" s="8">
        <v>43891.617731481485</v>
      </c>
      <c r="B28740" s="8" t="str">
        <f>HYPERLINK("https://twitter.com/AchaThis","@AchaThis")</f>
        <v>@AchaThis</v>
      </c>
      <c r="C28740" s="8" t="s">
        <v>2272</v>
      </c>
      <c r="D28740" s="8">
        <v>675</v>
      </c>
      <c r="E28740" s="8">
        <v>0</v>
      </c>
      <c r="F28740" s="8">
        <v>3</v>
      </c>
    </row>
    <row r="28741" spans="1:6" ht="12.75">
      <c r="A28741" s="8">
        <v>43891.617523148147</v>
      </c>
      <c r="B28741" s="8" t="str">
        <f>HYPERLINK("https://twitter.com/Aquaporin_","@Aquaporin_")</f>
        <v>@Aquaporin_</v>
      </c>
      <c r="C28741" s="8" t="s">
        <v>7437</v>
      </c>
      <c r="D28741" s="8">
        <v>440</v>
      </c>
      <c r="E28741" s="8">
        <v>0</v>
      </c>
      <c r="F28741" s="8">
        <v>309</v>
      </c>
    </row>
    <row r="28742" spans="1:6" ht="12.75">
      <c r="A28742" s="8">
        <v>43891.617372685185</v>
      </c>
      <c r="B28742" s="8" t="str">
        <f>HYPERLINK("https://twitter.com/suaradotcom","@suaradotcom")</f>
        <v>@suaradotcom</v>
      </c>
      <c r="C28742" s="8" t="s">
        <v>10891</v>
      </c>
      <c r="D28742" s="8">
        <v>0</v>
      </c>
      <c r="E28742" s="8">
        <v>0</v>
      </c>
      <c r="F28742" s="8">
        <v>24288</v>
      </c>
    </row>
    <row r="28743" spans="1:6" ht="12.75">
      <c r="A28743" s="8">
        <v>43891.617118055554</v>
      </c>
      <c r="B28743" s="8" t="str">
        <f>HYPERLINK("https://twitter.com/bimacristofer","@bimacristofer")</f>
        <v>@bimacristofer</v>
      </c>
      <c r="C28743" s="8" t="s">
        <v>10892</v>
      </c>
      <c r="D28743" s="8">
        <v>1</v>
      </c>
      <c r="E28743" s="8">
        <v>0</v>
      </c>
      <c r="F28743" s="8">
        <v>240</v>
      </c>
    </row>
    <row r="28744" spans="1:6" ht="12.75">
      <c r="A28744" s="8">
        <v>43891.616481481484</v>
      </c>
      <c r="B28744" s="8" t="str">
        <f>HYPERLINK("https://twitter.com/topinfo_id","@topinfo_id")</f>
        <v>@topinfo_id</v>
      </c>
      <c r="C28744" s="8" t="s">
        <v>10893</v>
      </c>
      <c r="D28744" s="8">
        <v>0</v>
      </c>
      <c r="E28744" s="8">
        <v>0</v>
      </c>
      <c r="F28744" s="8">
        <v>23</v>
      </c>
    </row>
    <row r="28745" spans="1:6" ht="12.75">
      <c r="A28745" s="8">
        <v>43891.616319444445</v>
      </c>
      <c r="B28745" s="8" t="str">
        <f>HYPERLINK("https://twitter.com/Hendrythierrry","@Hendrythierrry")</f>
        <v>@Hendrythierrry</v>
      </c>
      <c r="C28745" s="8" t="s">
        <v>10894</v>
      </c>
      <c r="D28745" s="8">
        <v>22</v>
      </c>
      <c r="E28745" s="8">
        <v>0</v>
      </c>
      <c r="F28745" s="8">
        <v>75</v>
      </c>
    </row>
    <row r="28746" spans="1:6" ht="12.75">
      <c r="A28746" s="8">
        <v>43891.616249999999</v>
      </c>
      <c r="B28746" s="8" t="str">
        <f>HYPERLINK("https://twitter.com/teppiepersz","@teppiepersz")</f>
        <v>@teppiepersz</v>
      </c>
      <c r="C28746" s="8" t="s">
        <v>10481</v>
      </c>
      <c r="D28746" s="8">
        <v>104</v>
      </c>
      <c r="E28746" s="8">
        <v>0</v>
      </c>
      <c r="F28746" s="8">
        <v>186</v>
      </c>
    </row>
    <row r="28747" spans="1:6" ht="12.75">
      <c r="A28747" s="8">
        <v>43891.616030092591</v>
      </c>
      <c r="B28747" s="8" t="str">
        <f>HYPERLINK("https://twitter.com/StanTFelix","@StanTFelix")</f>
        <v>@StanTFelix</v>
      </c>
      <c r="C28747" s="8" t="s">
        <v>2272</v>
      </c>
      <c r="D28747" s="8">
        <v>675</v>
      </c>
      <c r="E28747" s="8">
        <v>0</v>
      </c>
      <c r="F28747" s="8">
        <v>589</v>
      </c>
    </row>
    <row r="28748" spans="1:6" ht="12.75">
      <c r="A28748" s="8">
        <v>43891.615636574075</v>
      </c>
      <c r="B28748" s="8" t="str">
        <f>HYPERLINK("https://twitter.com/IrfanRaazHadi","@IrfanRaazHadi")</f>
        <v>@IrfanRaazHadi</v>
      </c>
      <c r="C28748" s="8" t="s">
        <v>10895</v>
      </c>
      <c r="D28748" s="8">
        <v>1</v>
      </c>
      <c r="E28748" s="8">
        <v>0</v>
      </c>
      <c r="F28748" s="8">
        <v>6727</v>
      </c>
    </row>
    <row r="28749" spans="1:6" ht="12.75">
      <c r="A28749" s="8">
        <v>43891.615439814814</v>
      </c>
      <c r="B28749" s="8" t="str">
        <f>HYPERLINK("https://twitter.com/daningnk","@daningnk")</f>
        <v>@daningnk</v>
      </c>
      <c r="C28749" s="8" t="s">
        <v>2272</v>
      </c>
      <c r="D28749" s="8">
        <v>675</v>
      </c>
      <c r="E28749" s="8">
        <v>0</v>
      </c>
      <c r="F28749" s="8">
        <v>122</v>
      </c>
    </row>
    <row r="28750" spans="1:6" ht="12.75">
      <c r="A28750" s="8">
        <v>43891.615347222221</v>
      </c>
      <c r="B28750" s="8" t="str">
        <f>HYPERLINK("https://twitter.com/suwung01","@suwung01")</f>
        <v>@suwung01</v>
      </c>
      <c r="C28750" s="8" t="s">
        <v>9558</v>
      </c>
      <c r="D28750" s="8">
        <v>16</v>
      </c>
      <c r="E28750" s="8">
        <v>0</v>
      </c>
      <c r="F28750" s="8">
        <v>82</v>
      </c>
    </row>
    <row r="28751" spans="1:6" ht="12.75">
      <c r="A28751" s="8">
        <v>43891.615231481483</v>
      </c>
      <c r="B28751" s="8" t="str">
        <f>HYPERLINK("https://twitter.com/vianita_afifah","@vianita_afifah")</f>
        <v>@vianita_afifah</v>
      </c>
      <c r="C28751" s="8" t="s">
        <v>2272</v>
      </c>
      <c r="D28751" s="8">
        <v>675</v>
      </c>
      <c r="E28751" s="8">
        <v>0</v>
      </c>
      <c r="F28751" s="8">
        <v>835</v>
      </c>
    </row>
    <row r="28752" spans="1:6" ht="12.75">
      <c r="A28752" s="8">
        <v>43891.61518518519</v>
      </c>
      <c r="B28752" s="8" t="str">
        <f>HYPERLINK("https://twitter.com/zivarazalea15","@zivarazalea15")</f>
        <v>@zivarazalea15</v>
      </c>
      <c r="C28752" s="8" t="s">
        <v>10896</v>
      </c>
      <c r="D28752" s="8">
        <v>0</v>
      </c>
      <c r="E28752" s="8">
        <v>0</v>
      </c>
      <c r="F28752" s="8">
        <v>913</v>
      </c>
    </row>
    <row r="28753" spans="1:6" ht="12.75">
      <c r="A28753" s="8">
        <v>43891.614988425921</v>
      </c>
      <c r="B28753" s="8" t="str">
        <f>HYPERLINK("https://twitter.com/sixjournee","@sixjournee")</f>
        <v>@sixjournee</v>
      </c>
      <c r="C28753" s="8" t="s">
        <v>10897</v>
      </c>
      <c r="D28753" s="8">
        <v>4539</v>
      </c>
      <c r="E28753" s="8">
        <v>0</v>
      </c>
      <c r="F28753" s="8">
        <v>681</v>
      </c>
    </row>
    <row r="28754" spans="1:6" ht="12.75">
      <c r="A28754" s="8">
        <v>43891.614895833336</v>
      </c>
      <c r="B28754" s="8" t="str">
        <f>HYPERLINK("https://twitter.com/sauban_mirza","@sauban_mirza")</f>
        <v>@sauban_mirza</v>
      </c>
      <c r="C28754" s="8" t="s">
        <v>10898</v>
      </c>
      <c r="D28754" s="8">
        <v>1</v>
      </c>
      <c r="E28754" s="8">
        <v>0</v>
      </c>
      <c r="F28754" s="8">
        <v>22</v>
      </c>
    </row>
    <row r="28755" spans="1:6" ht="12.75">
      <c r="A28755" s="8">
        <v>43891.614583333328</v>
      </c>
      <c r="B28755" s="8" t="str">
        <f>HYPERLINK("https://twitter.com/idetopia","@idetopia")</f>
        <v>@idetopia</v>
      </c>
      <c r="C28755" s="8" t="s">
        <v>10899</v>
      </c>
      <c r="D28755" s="8">
        <v>0</v>
      </c>
      <c r="E28755" s="8">
        <v>0</v>
      </c>
      <c r="F28755" s="8">
        <v>88328</v>
      </c>
    </row>
    <row r="28756" spans="1:6" ht="12.75">
      <c r="A28756" s="8">
        <v>43891.614166666666</v>
      </c>
      <c r="B28756" s="8" t="str">
        <f>HYPERLINK("https://twitter.com/RivaldiZakie","@RivaldiZakie")</f>
        <v>@RivaldiZakie</v>
      </c>
      <c r="C28756" s="8" t="s">
        <v>8917</v>
      </c>
      <c r="D28756" s="8">
        <v>24</v>
      </c>
      <c r="E28756" s="8">
        <v>0</v>
      </c>
      <c r="F28756" s="8">
        <v>16</v>
      </c>
    </row>
    <row r="28757" spans="1:6" ht="12.75">
      <c r="A28757" s="8">
        <v>43891.61347222222</v>
      </c>
      <c r="B28757" s="8" t="str">
        <f>HYPERLINK("https://twitter.com/Sandy_ervandi","@Sandy_ervandi")</f>
        <v>@Sandy_ervandi</v>
      </c>
      <c r="C28757" s="8" t="s">
        <v>10600</v>
      </c>
      <c r="D28757" s="8">
        <v>284</v>
      </c>
      <c r="E28757" s="8">
        <v>0</v>
      </c>
      <c r="F28757" s="8">
        <v>99</v>
      </c>
    </row>
    <row r="28758" spans="1:6" ht="12.75">
      <c r="A28758" s="8">
        <v>43891.61346064815</v>
      </c>
      <c r="B28758" s="8" t="str">
        <f>HYPERLINK("https://twitter.com/YanHarahap","@YanHarahap")</f>
        <v>@YanHarahap</v>
      </c>
      <c r="C28758" s="8" t="s">
        <v>10900</v>
      </c>
      <c r="D28758" s="8">
        <v>1</v>
      </c>
      <c r="E28758" s="8">
        <v>1</v>
      </c>
      <c r="F28758" s="8">
        <v>5413</v>
      </c>
    </row>
    <row r="28759" spans="1:6" ht="12.75">
      <c r="A28759" s="8">
        <v>43891.613333333335</v>
      </c>
      <c r="B28759" s="8" t="str">
        <f>HYPERLINK("https://twitter.com/ZheeOmega","@ZheeOmega")</f>
        <v>@ZheeOmega</v>
      </c>
      <c r="C28759" s="8" t="s">
        <v>10530</v>
      </c>
      <c r="D28759" s="8">
        <v>9</v>
      </c>
      <c r="E28759" s="8">
        <v>0</v>
      </c>
      <c r="F28759" s="8">
        <v>17741</v>
      </c>
    </row>
    <row r="28760" spans="1:6" ht="12.75">
      <c r="A28760" s="8">
        <v>43891.613182870366</v>
      </c>
      <c r="B28760" s="8" t="str">
        <f>HYPERLINK("https://twitter.com/happyramenn","@happyramenn")</f>
        <v>@happyramenn</v>
      </c>
      <c r="C28760" s="8" t="s">
        <v>2272</v>
      </c>
      <c r="D28760" s="8">
        <v>675</v>
      </c>
      <c r="E28760" s="8">
        <v>0</v>
      </c>
      <c r="F28760" s="8">
        <v>71</v>
      </c>
    </row>
    <row r="28761" spans="1:6" ht="12.75">
      <c r="A28761" s="8">
        <v>43891.612939814819</v>
      </c>
      <c r="B28761" s="8" t="str">
        <f>HYPERLINK("https://twitter.com/A_Nasution81","@A_Nasution81")</f>
        <v>@A_Nasution81</v>
      </c>
      <c r="C28761" s="8" t="s">
        <v>10901</v>
      </c>
      <c r="D28761" s="8">
        <v>111</v>
      </c>
      <c r="E28761" s="8">
        <v>0</v>
      </c>
      <c r="F28761" s="8">
        <v>463</v>
      </c>
    </row>
    <row r="28762" spans="1:6" ht="12.75">
      <c r="A28762" s="8">
        <v>43891.612858796296</v>
      </c>
      <c r="B28762" s="8" t="str">
        <f>HYPERLINK("https://twitter.com/Antara_Jabar","@Antara_Jabar")</f>
        <v>@Antara_Jabar</v>
      </c>
      <c r="C28762" s="8" t="s">
        <v>10902</v>
      </c>
      <c r="D28762" s="8">
        <v>0</v>
      </c>
      <c r="E28762" s="8">
        <v>0</v>
      </c>
      <c r="F28762" s="8">
        <v>1626</v>
      </c>
    </row>
    <row r="28763" spans="1:6" ht="12.75">
      <c r="A28763" s="8">
        <v>43891.612812499996</v>
      </c>
      <c r="B28763" s="8" t="str">
        <f>HYPERLINK("https://twitter.com/imelisgood","@imelisgood")</f>
        <v>@imelisgood</v>
      </c>
      <c r="C28763" s="8" t="s">
        <v>2272</v>
      </c>
      <c r="D28763" s="8">
        <v>675</v>
      </c>
      <c r="E28763" s="8">
        <v>0</v>
      </c>
      <c r="F28763" s="8">
        <v>54</v>
      </c>
    </row>
    <row r="28764" spans="1:6" ht="12.75">
      <c r="A28764" s="8">
        <v>43891.612581018519</v>
      </c>
      <c r="B28764" s="8" t="str">
        <f>HYPERLINK("https://twitter.com/sabrinayukaa","@sabrinayukaa")</f>
        <v>@sabrinayukaa</v>
      </c>
      <c r="C28764" s="8" t="s">
        <v>10843</v>
      </c>
      <c r="D28764" s="8">
        <v>4</v>
      </c>
      <c r="E28764" s="8">
        <v>0</v>
      </c>
      <c r="F28764" s="8">
        <v>232</v>
      </c>
    </row>
    <row r="28765" spans="1:6" ht="12.75">
      <c r="A28765" s="8">
        <v>43891.612546296295</v>
      </c>
      <c r="B28765" s="8" t="str">
        <f>HYPERLINK("https://twitter.com/YanHarahap","@YanHarahap")</f>
        <v>@YanHarahap</v>
      </c>
      <c r="C28765" s="8" t="s">
        <v>10805</v>
      </c>
      <c r="D28765" s="8">
        <v>1</v>
      </c>
      <c r="E28765" s="8">
        <v>0</v>
      </c>
      <c r="F28765" s="8">
        <v>5413</v>
      </c>
    </row>
    <row r="28766" spans="1:6" ht="12.75">
      <c r="A28766" s="8">
        <v>43891.612407407403</v>
      </c>
      <c r="B28766" s="8" t="str">
        <f>HYPERLINK("https://twitter.com/ZheeOmega","@ZheeOmega")</f>
        <v>@ZheeOmega</v>
      </c>
      <c r="C28766" s="8" t="s">
        <v>5011</v>
      </c>
      <c r="D28766" s="8">
        <v>1</v>
      </c>
      <c r="E28766" s="8">
        <v>0</v>
      </c>
      <c r="F28766" s="8">
        <v>17741</v>
      </c>
    </row>
    <row r="28767" spans="1:6" ht="12.75">
      <c r="A28767" s="8">
        <v>43891.612337962964</v>
      </c>
      <c r="B28767" s="8" t="str">
        <f>HYPERLINK("https://twitter.com/ARazak87474186","@ARazak87474186")</f>
        <v>@ARazak87474186</v>
      </c>
      <c r="C28767" s="8" t="s">
        <v>8164</v>
      </c>
      <c r="D28767" s="8">
        <v>659</v>
      </c>
      <c r="E28767" s="8">
        <v>0</v>
      </c>
      <c r="F28767" s="8">
        <v>6</v>
      </c>
    </row>
    <row r="28768" spans="1:6" ht="12.75">
      <c r="A28768" s="8">
        <v>43891.612314814818</v>
      </c>
      <c r="B28768" s="8" t="str">
        <f>HYPERLINK("https://twitter.com/WenSid","@WenSid")</f>
        <v>@WenSid</v>
      </c>
      <c r="C28768" s="8" t="s">
        <v>10903</v>
      </c>
      <c r="D28768" s="8">
        <v>18</v>
      </c>
      <c r="E28768" s="8">
        <v>0</v>
      </c>
      <c r="F28768" s="8">
        <v>102</v>
      </c>
    </row>
    <row r="28769" spans="1:6" ht="12.75">
      <c r="A28769" s="8">
        <v>43891.612245370372</v>
      </c>
      <c r="B28769" s="8" t="str">
        <f>HYPERLINK("https://twitter.com/baksotnpbalung","@baksotnpbalung")</f>
        <v>@baksotnpbalung</v>
      </c>
      <c r="C28769" s="8" t="s">
        <v>2272</v>
      </c>
      <c r="D28769" s="8">
        <v>675</v>
      </c>
      <c r="E28769" s="8">
        <v>0</v>
      </c>
      <c r="F28769" s="8">
        <v>76</v>
      </c>
    </row>
    <row r="28770" spans="1:6" ht="12.75">
      <c r="A28770" s="8">
        <v>43891.612118055556</v>
      </c>
      <c r="B28770" s="8" t="str">
        <f>HYPERLINK("https://twitter.com/Hadisang70","@Hadisang70")</f>
        <v>@Hadisang70</v>
      </c>
      <c r="C28770" s="8" t="s">
        <v>8096</v>
      </c>
      <c r="D28770" s="8">
        <v>73</v>
      </c>
      <c r="E28770" s="8">
        <v>0</v>
      </c>
      <c r="F28770" s="8">
        <v>1202</v>
      </c>
    </row>
    <row r="28771" spans="1:6" ht="12.75">
      <c r="A28771" s="8">
        <v>43891.611909722225</v>
      </c>
      <c r="B28771" s="8" t="str">
        <f>HYPERLINK("https://twitter.com/ansiboi","@ansiboi")</f>
        <v>@ansiboi</v>
      </c>
      <c r="C28771" s="8" t="s">
        <v>10904</v>
      </c>
      <c r="D28771" s="8">
        <v>1</v>
      </c>
      <c r="E28771" s="8">
        <v>2</v>
      </c>
      <c r="F28771" s="8">
        <v>1624</v>
      </c>
    </row>
    <row r="28772" spans="1:6" ht="12.75">
      <c r="A28772" s="8">
        <v>43891.611782407403</v>
      </c>
      <c r="B28772" s="8" t="str">
        <f>HYPERLINK("https://twitter.com/ngupisantuy","@ngupisantuy")</f>
        <v>@ngupisantuy</v>
      </c>
      <c r="C28772" s="8" t="s">
        <v>10905</v>
      </c>
      <c r="D28772" s="8">
        <v>1</v>
      </c>
      <c r="E28772" s="8">
        <v>0</v>
      </c>
      <c r="F28772" s="8">
        <v>1661</v>
      </c>
    </row>
    <row r="28773" spans="1:6" ht="12.75">
      <c r="A28773" s="8">
        <v>43891.611608796295</v>
      </c>
      <c r="B28773" s="8" t="str">
        <f>HYPERLINK("https://twitter.com/yudhiskris","@yudhiskris")</f>
        <v>@yudhiskris</v>
      </c>
      <c r="C28773" s="8" t="s">
        <v>8917</v>
      </c>
      <c r="D28773" s="8">
        <v>24</v>
      </c>
      <c r="E28773" s="8">
        <v>0</v>
      </c>
      <c r="F28773" s="8">
        <v>176</v>
      </c>
    </row>
    <row r="28774" spans="1:6" ht="12.75">
      <c r="A28774" s="8">
        <v>43891.611412037033</v>
      </c>
      <c r="B28774" s="8" t="str">
        <f>HYPERLINK("https://twitter.com/medcom_id","@medcom_id")</f>
        <v>@medcom_id</v>
      </c>
      <c r="C28774" s="8" t="s">
        <v>10906</v>
      </c>
      <c r="D28774" s="8">
        <v>0</v>
      </c>
      <c r="E28774" s="8">
        <v>1</v>
      </c>
      <c r="F28774" s="8">
        <v>18403</v>
      </c>
    </row>
    <row r="28775" spans="1:6" ht="12.75">
      <c r="A28775" s="8">
        <v>43891.589675925927</v>
      </c>
      <c r="B28775" s="8" t="str">
        <f>HYPERLINK("https://twitter.com/daulatrakyat18","@daulatrakyat18")</f>
        <v>@daulatrakyat18</v>
      </c>
      <c r="C28775" s="8" t="s">
        <v>10907</v>
      </c>
      <c r="D28775" s="8">
        <v>0</v>
      </c>
      <c r="E28775" s="8">
        <v>0</v>
      </c>
      <c r="F28775" s="8">
        <v>92</v>
      </c>
    </row>
    <row r="28776" spans="1:6" ht="12.75">
      <c r="A28776" s="8">
        <v>43891.589583333334</v>
      </c>
      <c r="B28776" s="8" t="str">
        <f>HYPERLINK("https://twitter.com/Kimi58486332","@Kimi58486332")</f>
        <v>@Kimi58486332</v>
      </c>
      <c r="C28776" s="8" t="s">
        <v>10908</v>
      </c>
      <c r="D28776" s="8">
        <v>0</v>
      </c>
      <c r="E28776" s="8">
        <v>0</v>
      </c>
      <c r="F28776" s="8">
        <v>20</v>
      </c>
    </row>
    <row r="28777" spans="1:6" ht="12.75">
      <c r="A28777" s="8">
        <v>43891.589259259257</v>
      </c>
      <c r="B28777" s="8" t="str">
        <f>HYPERLINK("https://twitter.com/sam_weslly","@sam_weslly")</f>
        <v>@sam_weslly</v>
      </c>
      <c r="C28777" s="8" t="s">
        <v>2272</v>
      </c>
      <c r="D28777" s="8">
        <v>631</v>
      </c>
      <c r="E28777" s="8">
        <v>0</v>
      </c>
      <c r="F28777" s="8">
        <v>128</v>
      </c>
    </row>
    <row r="28778" spans="1:6" ht="12.75">
      <c r="A28778" s="8">
        <v>43891.589131944449</v>
      </c>
      <c r="B28778" s="8" t="str">
        <f>HYPERLINK("https://twitter.com/ISIS_Balik_NO","@ISIS_Balik_NO")</f>
        <v>@ISIS_Balik_NO</v>
      </c>
      <c r="C28778" s="8" t="s">
        <v>10909</v>
      </c>
      <c r="D28778" s="8">
        <v>0</v>
      </c>
      <c r="E28778" s="8">
        <v>0</v>
      </c>
      <c r="F28778" s="8">
        <v>6088</v>
      </c>
    </row>
    <row r="28779" spans="1:6" ht="12.75">
      <c r="A28779" s="8">
        <v>43891.58902777778</v>
      </c>
      <c r="B28779" s="8" t="str">
        <f>HYPERLINK("https://twitter.com/ris_staydmn","@ris_staydmn")</f>
        <v>@ris_staydmn</v>
      </c>
      <c r="C28779" s="8" t="s">
        <v>2272</v>
      </c>
      <c r="D28779" s="8">
        <v>631</v>
      </c>
      <c r="E28779" s="8">
        <v>0</v>
      </c>
      <c r="F28779" s="8">
        <v>2342</v>
      </c>
    </row>
    <row r="28780" spans="1:6" ht="12.75">
      <c r="A28780" s="8">
        <v>43891.588877314818</v>
      </c>
      <c r="B28780" s="8" t="str">
        <f>HYPERLINK("https://twitter.com/NKRI100persen","@NKRI100persen")</f>
        <v>@NKRI100persen</v>
      </c>
      <c r="C28780" s="8" t="s">
        <v>10481</v>
      </c>
      <c r="D28780" s="8">
        <v>91</v>
      </c>
      <c r="E28780" s="8">
        <v>0</v>
      </c>
      <c r="F28780" s="8">
        <v>501</v>
      </c>
    </row>
    <row r="28781" spans="1:6" ht="12.75">
      <c r="A28781" s="8">
        <v>43891.588854166665</v>
      </c>
      <c r="B28781" s="8" t="str">
        <f>HYPERLINK("https://twitter.com/Stoinkisme","@Stoinkisme")</f>
        <v>@Stoinkisme</v>
      </c>
      <c r="C28781" s="8" t="s">
        <v>10910</v>
      </c>
      <c r="D28781" s="8">
        <v>0</v>
      </c>
      <c r="E28781" s="8">
        <v>0</v>
      </c>
      <c r="F28781" s="8">
        <v>127</v>
      </c>
    </row>
    <row r="28782" spans="1:6" ht="12.75">
      <c r="A28782" s="8">
        <v>43891.588692129633</v>
      </c>
      <c r="B28782" s="8" t="str">
        <f>HYPERLINK("https://twitter.com/r_jumonjie","@r_jumonjie")</f>
        <v>@r_jumonjie</v>
      </c>
      <c r="C28782" s="8" t="s">
        <v>2272</v>
      </c>
      <c r="D28782" s="8">
        <v>631</v>
      </c>
      <c r="E28782" s="8">
        <v>0</v>
      </c>
      <c r="F28782" s="8">
        <v>226</v>
      </c>
    </row>
    <row r="28783" spans="1:6" ht="12.75">
      <c r="A28783" s="8">
        <v>43891.588645833333</v>
      </c>
      <c r="B28783" s="8" t="str">
        <f>HYPERLINK("https://twitter.com/epindriyanto","@epindriyanto")</f>
        <v>@epindriyanto</v>
      </c>
      <c r="C28783" s="8" t="s">
        <v>10846</v>
      </c>
      <c r="D28783" s="8">
        <v>5</v>
      </c>
      <c r="E28783" s="8">
        <v>0</v>
      </c>
      <c r="F28783" s="8">
        <v>2517</v>
      </c>
    </row>
    <row r="28784" spans="1:6" ht="12.75">
      <c r="A28784" s="8">
        <v>43891.588634259257</v>
      </c>
      <c r="B28784" s="8" t="str">
        <f>HYPERLINK("https://twitter.com/wni_jmsri","@wni_jmsri")</f>
        <v>@wni_jmsri</v>
      </c>
      <c r="C28784" s="8" t="s">
        <v>10911</v>
      </c>
      <c r="D28784" s="8">
        <v>570</v>
      </c>
      <c r="E28784" s="8">
        <v>0</v>
      </c>
      <c r="F28784" s="8">
        <v>198</v>
      </c>
    </row>
    <row r="28785" spans="1:6" ht="12.75">
      <c r="A28785" s="8">
        <v>43891.588530092587</v>
      </c>
      <c r="B28785" s="8" t="str">
        <f>HYPERLINK("https://twitter.com/Syrfhbfd","@Syrfhbfd")</f>
        <v>@Syrfhbfd</v>
      </c>
      <c r="C28785" s="8" t="s">
        <v>10912</v>
      </c>
      <c r="D28785" s="8">
        <v>1</v>
      </c>
      <c r="E28785" s="8">
        <v>0</v>
      </c>
      <c r="F28785" s="8">
        <v>816</v>
      </c>
    </row>
    <row r="28786" spans="1:6" ht="12.75">
      <c r="A28786" s="8">
        <v>43891.588275462964</v>
      </c>
      <c r="B28786" s="8" t="str">
        <f>HYPERLINK("https://twitter.com/salehdaulay","@salehdaulay")</f>
        <v>@salehdaulay</v>
      </c>
      <c r="C28786" s="8" t="s">
        <v>10913</v>
      </c>
      <c r="D28786" s="8">
        <v>0</v>
      </c>
      <c r="E28786" s="8">
        <v>0</v>
      </c>
      <c r="F28786" s="8">
        <v>4016</v>
      </c>
    </row>
    <row r="28787" spans="1:6" ht="12.75">
      <c r="A28787" s="8">
        <v>43891.588055555556</v>
      </c>
      <c r="B28787" s="8" t="str">
        <f>HYPERLINK("https://twitter.com/OccupySchagen","@OccupySchagen")</f>
        <v>@OccupySchagen</v>
      </c>
      <c r="C28787" s="8" t="s">
        <v>10914</v>
      </c>
      <c r="D28787" s="8">
        <v>16</v>
      </c>
      <c r="E28787" s="8">
        <v>0</v>
      </c>
      <c r="F28787" s="8">
        <v>8612</v>
      </c>
    </row>
    <row r="28788" spans="1:6" ht="12.75">
      <c r="A28788" s="8">
        <v>43891.58798611111</v>
      </c>
      <c r="B28788" s="8" t="str">
        <f>HYPERLINK("https://twitter.com/NgkongRoses","@NgkongRoses")</f>
        <v>@NgkongRoses</v>
      </c>
      <c r="C28788" s="8" t="s">
        <v>10871</v>
      </c>
      <c r="D28788" s="8">
        <v>7</v>
      </c>
      <c r="E28788" s="8">
        <v>0</v>
      </c>
      <c r="F28788" s="8">
        <v>9533</v>
      </c>
    </row>
    <row r="28789" spans="1:6" ht="12.75">
      <c r="A28789" s="8">
        <v>43891.587847222225</v>
      </c>
      <c r="B28789" s="8" t="str">
        <f>HYPERLINK("https://twitter.com/yunankingstar1","@yunankingstar1")</f>
        <v>@yunankingstar1</v>
      </c>
      <c r="C28789" s="8" t="s">
        <v>10915</v>
      </c>
      <c r="D28789" s="8">
        <v>0</v>
      </c>
      <c r="E28789" s="8">
        <v>0</v>
      </c>
      <c r="F28789" s="8">
        <v>44</v>
      </c>
    </row>
    <row r="28790" spans="1:6" ht="12.75">
      <c r="A28790" s="8">
        <v>43891.587789351848</v>
      </c>
      <c r="B28790" s="8" t="str">
        <f>HYPERLINK("https://twitter.com/idenyaedi","@idenyaedi")</f>
        <v>@idenyaedi</v>
      </c>
      <c r="C28790" s="8" t="s">
        <v>10916</v>
      </c>
      <c r="D28790" s="8">
        <v>12</v>
      </c>
      <c r="E28790" s="8">
        <v>0</v>
      </c>
      <c r="F28790" s="8">
        <v>209</v>
      </c>
    </row>
    <row r="28791" spans="1:6" ht="12.75">
      <c r="A28791" s="8">
        <v>43891.587685185186</v>
      </c>
      <c r="B28791" s="8" t="str">
        <f>HYPERLINK("https://twitter.com/Muhammadanggik","@Muhammadanggik")</f>
        <v>@Muhammadanggik</v>
      </c>
      <c r="C28791" s="8" t="s">
        <v>10360</v>
      </c>
      <c r="D28791" s="8">
        <v>11</v>
      </c>
      <c r="E28791" s="8">
        <v>0</v>
      </c>
      <c r="F28791" s="8">
        <v>828</v>
      </c>
    </row>
    <row r="28792" spans="1:6" ht="12.75">
      <c r="A28792" s="8">
        <v>43891.587604166663</v>
      </c>
      <c r="B28792" s="8" t="str">
        <f>HYPERLINK("https://twitter.com/berg6bieu","@berg6bieu")</f>
        <v>@berg6bieu</v>
      </c>
      <c r="C28792" s="8" t="s">
        <v>6883</v>
      </c>
      <c r="D28792" s="8">
        <v>51</v>
      </c>
      <c r="E28792" s="8">
        <v>0</v>
      </c>
      <c r="F28792" s="8">
        <v>4271</v>
      </c>
    </row>
    <row r="28793" spans="1:6" ht="12.75">
      <c r="A28793" s="8">
        <v>43891.587523148148</v>
      </c>
      <c r="B28793" s="8" t="str">
        <f>HYPERLINK("https://twitter.com/anjarisme","@anjarisme")</f>
        <v>@anjarisme</v>
      </c>
      <c r="C28793" s="8" t="s">
        <v>10917</v>
      </c>
      <c r="D28793" s="8">
        <v>1</v>
      </c>
      <c r="E28793" s="8">
        <v>0</v>
      </c>
      <c r="F28793" s="8">
        <v>10609</v>
      </c>
    </row>
    <row r="28794" spans="1:6" ht="12.75">
      <c r="A28794" s="8">
        <v>43891.587430555555</v>
      </c>
      <c r="B28794" s="8" t="str">
        <f>HYPERLINK("https://twitter.com/AliLenon1","@AliLenon1")</f>
        <v>@AliLenon1</v>
      </c>
      <c r="C28794" s="8" t="s">
        <v>10481</v>
      </c>
      <c r="D28794" s="8">
        <v>91</v>
      </c>
      <c r="E28794" s="8">
        <v>0</v>
      </c>
      <c r="F28794" s="8">
        <v>1250</v>
      </c>
    </row>
    <row r="28795" spans="1:6" ht="12.75">
      <c r="A28795" s="8">
        <v>43891.58730324074</v>
      </c>
      <c r="B28795" s="8" t="str">
        <f>HYPERLINK("https://twitter.com/Adrianto_Sama","@Adrianto_Sama")</f>
        <v>@Adrianto_Sama</v>
      </c>
      <c r="C28795" s="8" t="s">
        <v>10918</v>
      </c>
      <c r="D28795" s="8">
        <v>3</v>
      </c>
      <c r="E28795" s="8">
        <v>0</v>
      </c>
      <c r="F28795" s="8">
        <v>207</v>
      </c>
    </row>
    <row r="28796" spans="1:6" ht="12.75">
      <c r="A28796" s="8">
        <v>43891.587268518517</v>
      </c>
      <c r="B28796" s="8" t="str">
        <f>HYPERLINK("https://twitter.com/kakiangbagoes","@kakiangbagoes")</f>
        <v>@kakiangbagoes</v>
      </c>
      <c r="C28796" s="8" t="s">
        <v>10894</v>
      </c>
      <c r="D28796" s="8">
        <v>19</v>
      </c>
      <c r="E28796" s="8">
        <v>0</v>
      </c>
      <c r="F28796" s="8">
        <v>1167</v>
      </c>
    </row>
    <row r="28797" spans="1:6" ht="12.75">
      <c r="A28797" s="8">
        <v>43891.587187500001</v>
      </c>
      <c r="B28797" s="8" t="str">
        <f>HYPERLINK("https://twitter.com/PadelMm","@PadelMm")</f>
        <v>@PadelMm</v>
      </c>
      <c r="C28797" s="8" t="s">
        <v>7437</v>
      </c>
      <c r="D28797" s="8">
        <v>426</v>
      </c>
      <c r="E28797" s="8">
        <v>0</v>
      </c>
      <c r="F28797" s="8">
        <v>338</v>
      </c>
    </row>
    <row r="28798" spans="1:6" ht="12.75">
      <c r="A28798" s="8">
        <v>43891.587141203709</v>
      </c>
      <c r="B28798" s="8" t="str">
        <f>HYPERLINK("https://twitter.com/limemint0_0","@limemint0_0")</f>
        <v>@limemint0_0</v>
      </c>
      <c r="C28798" s="8" t="s">
        <v>2272</v>
      </c>
      <c r="D28798" s="8">
        <v>631</v>
      </c>
      <c r="E28798" s="8">
        <v>0</v>
      </c>
      <c r="F28798" s="8">
        <v>7</v>
      </c>
    </row>
    <row r="28799" spans="1:6" ht="12.75">
      <c r="A28799" s="8">
        <v>43891.586921296301</v>
      </c>
      <c r="B28799" s="8" t="str">
        <f>HYPERLINK("https://twitter.com/kurukunkun","@kurukunkun")</f>
        <v>@kurukunkun</v>
      </c>
      <c r="C28799" s="8" t="s">
        <v>10919</v>
      </c>
      <c r="D28799" s="8">
        <v>0</v>
      </c>
      <c r="E28799" s="8">
        <v>0</v>
      </c>
      <c r="F28799" s="8">
        <v>351</v>
      </c>
    </row>
    <row r="28800" spans="1:6" ht="12.75">
      <c r="A28800" s="8">
        <v>43891.586412037039</v>
      </c>
      <c r="B28800" s="8" t="str">
        <f>HYPERLINK("https://twitter.com/bindunada","@bindunada")</f>
        <v>@bindunada</v>
      </c>
      <c r="C28800" s="8" t="s">
        <v>10894</v>
      </c>
      <c r="D28800" s="8">
        <v>19</v>
      </c>
      <c r="E28800" s="8">
        <v>0</v>
      </c>
      <c r="F28800" s="8">
        <v>1072</v>
      </c>
    </row>
    <row r="28801" spans="1:6" ht="12.75">
      <c r="A28801" s="8">
        <v>43891.586192129631</v>
      </c>
      <c r="B28801" s="8" t="str">
        <f>HYPERLINK("https://twitter.com/SutanRajaHsb1","@SutanRajaHsb1")</f>
        <v>@SutanRajaHsb1</v>
      </c>
      <c r="C28801" s="8" t="s">
        <v>4235</v>
      </c>
      <c r="D28801" s="8">
        <v>1632</v>
      </c>
      <c r="E28801" s="8">
        <v>0</v>
      </c>
      <c r="F28801" s="8">
        <v>1001</v>
      </c>
    </row>
    <row r="28802" spans="1:6" ht="12.75">
      <c r="A28802" s="8">
        <v>43891.586111111115</v>
      </c>
      <c r="B28802" s="8" t="str">
        <f>HYPERLINK("https://twitter.com/rqlabigail","@rqlabigail")</f>
        <v>@rqlabigail</v>
      </c>
      <c r="C28802" s="8" t="s">
        <v>10920</v>
      </c>
      <c r="D28802" s="8">
        <v>0</v>
      </c>
      <c r="E28802" s="8">
        <v>0</v>
      </c>
      <c r="F28802" s="8">
        <v>4</v>
      </c>
    </row>
    <row r="28803" spans="1:6" ht="12.75">
      <c r="A28803" s="8">
        <v>43891.585914351846</v>
      </c>
      <c r="B28803" s="8" t="str">
        <f>HYPERLINK("https://twitter.com/rman46","@rman46")</f>
        <v>@rman46</v>
      </c>
      <c r="C28803" s="8" t="s">
        <v>10921</v>
      </c>
      <c r="D28803" s="8">
        <v>0</v>
      </c>
      <c r="E28803" s="8">
        <v>0</v>
      </c>
      <c r="F28803" s="8">
        <v>155</v>
      </c>
    </row>
    <row r="28804" spans="1:6" ht="12.75">
      <c r="A28804" s="8">
        <v>43891.585856481484</v>
      </c>
      <c r="B28804" s="8" t="str">
        <f>HYPERLINK("https://twitter.com/cintaadita","@cintaadita")</f>
        <v>@cintaadita</v>
      </c>
      <c r="C28804" s="8" t="s">
        <v>10922</v>
      </c>
      <c r="D28804" s="8">
        <v>0</v>
      </c>
      <c r="E28804" s="8">
        <v>0</v>
      </c>
      <c r="F28804" s="8">
        <v>244</v>
      </c>
    </row>
    <row r="28805" spans="1:6" ht="12.75">
      <c r="A28805" s="8">
        <v>43891.585729166662</v>
      </c>
      <c r="B28805" s="8" t="str">
        <f>HYPERLINK("https://twitter.com/pipinmarpaung","@pipinmarpaung")</f>
        <v>@pipinmarpaung</v>
      </c>
      <c r="C28805" s="8" t="s">
        <v>2272</v>
      </c>
      <c r="D28805" s="8">
        <v>631</v>
      </c>
      <c r="E28805" s="8">
        <v>0</v>
      </c>
      <c r="F28805" s="8">
        <v>678</v>
      </c>
    </row>
    <row r="28806" spans="1:6" ht="12.75">
      <c r="A28806" s="8">
        <v>43891.585706018523</v>
      </c>
      <c r="B28806" s="8" t="str">
        <f>HYPERLINK("https://twitter.com/deddyhariadi","@deddyhariadi")</f>
        <v>@deddyhariadi</v>
      </c>
      <c r="C28806" s="8" t="s">
        <v>8917</v>
      </c>
      <c r="D28806" s="8">
        <v>12</v>
      </c>
      <c r="E28806" s="8">
        <v>0</v>
      </c>
      <c r="F28806" s="8">
        <v>379</v>
      </c>
    </row>
    <row r="28807" spans="1:6" ht="12.75">
      <c r="A28807" s="8">
        <v>43891.58556712963</v>
      </c>
      <c r="B28807" s="8" t="str">
        <f>HYPERLINK("https://twitter.com/SydSalesman","@SydSalesman")</f>
        <v>@SydSalesman</v>
      </c>
      <c r="C28807" s="8" t="s">
        <v>10816</v>
      </c>
      <c r="D28807" s="8">
        <v>56</v>
      </c>
      <c r="E28807" s="8">
        <v>0</v>
      </c>
      <c r="F28807" s="8">
        <v>6281</v>
      </c>
    </row>
    <row r="28808" spans="1:6" ht="12.75">
      <c r="A28808" s="8">
        <v>43891.585127314815</v>
      </c>
      <c r="B28808" s="8" t="str">
        <f>HYPERLINK("https://twitter.com/algurlitma","@algurlitma")</f>
        <v>@algurlitma</v>
      </c>
      <c r="C28808" s="8" t="s">
        <v>2272</v>
      </c>
      <c r="D28808" s="8">
        <v>631</v>
      </c>
      <c r="E28808" s="8">
        <v>0</v>
      </c>
      <c r="F28808" s="8">
        <v>16</v>
      </c>
    </row>
    <row r="28809" spans="1:6" ht="12.75">
      <c r="A28809" s="8">
        <v>43891.585127314815</v>
      </c>
      <c r="B28809" s="8" t="str">
        <f>HYPERLINK("https://twitter.com/jktacct","@jktacct")</f>
        <v>@jktacct</v>
      </c>
      <c r="C28809" s="8" t="s">
        <v>7437</v>
      </c>
      <c r="D28809" s="8">
        <v>426</v>
      </c>
      <c r="E28809" s="8">
        <v>0</v>
      </c>
      <c r="F28809" s="8">
        <v>6</v>
      </c>
    </row>
    <row r="28810" spans="1:6" ht="12.75">
      <c r="A28810" s="8">
        <v>43891.585104166668</v>
      </c>
      <c r="B28810" s="8" t="str">
        <f>HYPERLINK("https://twitter.com/aulokta","@aulokta")</f>
        <v>@aulokta</v>
      </c>
      <c r="C28810" s="8" t="s">
        <v>2272</v>
      </c>
      <c r="D28810" s="8">
        <v>631</v>
      </c>
      <c r="E28810" s="8">
        <v>0</v>
      </c>
      <c r="F28810" s="8">
        <v>319</v>
      </c>
    </row>
    <row r="28811" spans="1:6" ht="12.75">
      <c r="A28811" s="8">
        <v>43891.585081018522</v>
      </c>
      <c r="B28811" s="8" t="str">
        <f>HYPERLINK("https://twitter.com/Stoinkisme","@Stoinkisme")</f>
        <v>@Stoinkisme</v>
      </c>
      <c r="C28811" s="8" t="s">
        <v>10923</v>
      </c>
      <c r="D28811" s="8">
        <v>0</v>
      </c>
      <c r="E28811" s="8">
        <v>0</v>
      </c>
      <c r="F28811" s="8">
        <v>127</v>
      </c>
    </row>
    <row r="28812" spans="1:6" ht="12.75">
      <c r="A28812" s="8">
        <v>43891.585023148145</v>
      </c>
      <c r="B28812" s="8" t="str">
        <f>HYPERLINK("https://twitter.com/BillTemporo","@BillTemporo")</f>
        <v>@BillTemporo</v>
      </c>
      <c r="C28812" s="8" t="s">
        <v>323</v>
      </c>
      <c r="D28812" s="8">
        <v>0</v>
      </c>
      <c r="E28812" s="8">
        <v>0</v>
      </c>
      <c r="F28812" s="8">
        <v>11</v>
      </c>
    </row>
    <row r="28813" spans="1:6" ht="12.75">
      <c r="A28813" s="8">
        <v>43891.584849537037</v>
      </c>
      <c r="B28813" s="8" t="str">
        <f>HYPERLINK("https://twitter.com/triwul82","@triwul82")</f>
        <v>@triwul82</v>
      </c>
      <c r="C28813" s="8" t="s">
        <v>10924</v>
      </c>
      <c r="D28813" s="8">
        <v>0</v>
      </c>
      <c r="E28813" s="8">
        <v>0</v>
      </c>
      <c r="F28813" s="8">
        <v>29156</v>
      </c>
    </row>
    <row r="28814" spans="1:6" ht="12.75">
      <c r="A28814" s="8">
        <v>43891.584791666668</v>
      </c>
      <c r="B28814" s="8" t="str">
        <f>HYPERLINK("https://twitter.com/mndcracked","@mndcracked")</f>
        <v>@mndcracked</v>
      </c>
      <c r="C28814" s="8" t="s">
        <v>2272</v>
      </c>
      <c r="D28814" s="8">
        <v>631</v>
      </c>
      <c r="E28814" s="8">
        <v>0</v>
      </c>
      <c r="F28814" s="8">
        <v>361</v>
      </c>
    </row>
    <row r="28815" spans="1:6" ht="12.75">
      <c r="A28815" s="8">
        <v>43891.584502314814</v>
      </c>
      <c r="B28815" s="8" t="str">
        <f>HYPERLINK("https://twitter.com/FarelmaxL","@FarelmaxL")</f>
        <v>@FarelmaxL</v>
      </c>
      <c r="C28815" s="8" t="s">
        <v>10481</v>
      </c>
      <c r="D28815" s="8">
        <v>91</v>
      </c>
      <c r="E28815" s="8">
        <v>0</v>
      </c>
      <c r="F28815" s="8">
        <v>1410</v>
      </c>
    </row>
    <row r="28816" spans="1:6" ht="12.75">
      <c r="A28816" s="8">
        <v>43891.584131944444</v>
      </c>
      <c r="B28816" s="8" t="str">
        <f>HYPERLINK("https://twitter.com/deddyhariadi","@deddyhariadi")</f>
        <v>@deddyhariadi</v>
      </c>
      <c r="C28816" s="8" t="s">
        <v>7686</v>
      </c>
      <c r="D28816" s="8">
        <v>925</v>
      </c>
      <c r="E28816" s="8">
        <v>0</v>
      </c>
      <c r="F28816" s="8">
        <v>379</v>
      </c>
    </row>
    <row r="28817" spans="1:6" ht="12.75">
      <c r="A28817" s="8">
        <v>43891.583634259259</v>
      </c>
      <c r="B28817" s="8" t="str">
        <f>HYPERLINK("https://twitter.com/wni_jmsri","@wni_jmsri")</f>
        <v>@wni_jmsri</v>
      </c>
      <c r="C28817" s="8" t="s">
        <v>10925</v>
      </c>
      <c r="D28817" s="8">
        <v>6</v>
      </c>
      <c r="E28817" s="8">
        <v>0</v>
      </c>
      <c r="F28817" s="8">
        <v>198</v>
      </c>
    </row>
    <row r="28818" spans="1:6" ht="12.75">
      <c r="A28818" s="8">
        <v>43891.582766203705</v>
      </c>
      <c r="B28818" s="8" t="str">
        <f>HYPERLINK("https://twitter.com/ISIS_Balik_NO","@ISIS_Balik_NO")</f>
        <v>@ISIS_Balik_NO</v>
      </c>
      <c r="C28818" s="8" t="s">
        <v>10926</v>
      </c>
      <c r="D28818" s="8">
        <v>343</v>
      </c>
      <c r="E28818" s="8">
        <v>0</v>
      </c>
      <c r="F28818" s="8">
        <v>6088</v>
      </c>
    </row>
    <row r="28819" spans="1:6" ht="12.75">
      <c r="A28819" s="8">
        <v>43891.582754629635</v>
      </c>
      <c r="B28819" s="8" t="str">
        <f>HYPERLINK("https://twitter.com/doyokijay","@doyokijay")</f>
        <v>@doyokijay</v>
      </c>
      <c r="C28819" s="8" t="s">
        <v>10927</v>
      </c>
      <c r="D28819" s="8">
        <v>1</v>
      </c>
      <c r="E28819" s="8">
        <v>0</v>
      </c>
      <c r="F28819" s="8">
        <v>316</v>
      </c>
    </row>
    <row r="28820" spans="1:6" ht="12.75">
      <c r="A28820" s="8">
        <v>43891.582569444443</v>
      </c>
      <c r="B28820" s="8" t="str">
        <f>HYPERLINK("https://twitter.com/05d95a682cea478","@05d95a682cea478")</f>
        <v>@05d95a682cea478</v>
      </c>
      <c r="C28820" s="8" t="s">
        <v>10928</v>
      </c>
      <c r="D28820" s="8">
        <v>0</v>
      </c>
      <c r="E28820" s="8">
        <v>1</v>
      </c>
      <c r="F28820" s="8">
        <v>14</v>
      </c>
    </row>
    <row r="28821" spans="1:6" ht="12.75">
      <c r="A28821" s="8">
        <v>43891.582523148143</v>
      </c>
      <c r="B28821" s="8" t="str">
        <f>HYPERLINK("https://twitter.com/SabarHutapea2","@SabarHutapea2")</f>
        <v>@SabarHutapea2</v>
      </c>
      <c r="C28821" s="8" t="s">
        <v>10929</v>
      </c>
      <c r="D28821" s="8">
        <v>0</v>
      </c>
      <c r="E28821" s="8">
        <v>0</v>
      </c>
      <c r="F28821" s="8">
        <v>63</v>
      </c>
    </row>
    <row r="28822" spans="1:6" ht="12.75">
      <c r="A28822" s="8">
        <v>43891.582291666666</v>
      </c>
      <c r="B28822" s="8" t="str">
        <f>HYPERLINK("https://twitter.com/michael_ondos","@michael_ondos")</f>
        <v>@michael_ondos</v>
      </c>
      <c r="C28822" s="8" t="s">
        <v>10930</v>
      </c>
      <c r="D28822" s="8">
        <v>4</v>
      </c>
      <c r="E28822" s="8">
        <v>0</v>
      </c>
      <c r="F28822" s="8">
        <v>881</v>
      </c>
    </row>
    <row r="28823" spans="1:6" ht="12.75">
      <c r="A28823" s="8">
        <v>43891.582256944443</v>
      </c>
      <c r="B28823" s="8" t="str">
        <f>HYPERLINK("https://twitter.com/mediaindonesia","@mediaindonesia")</f>
        <v>@mediaindonesia</v>
      </c>
      <c r="C28823" s="8" t="s">
        <v>10931</v>
      </c>
      <c r="D28823" s="8">
        <v>0</v>
      </c>
      <c r="E28823" s="8">
        <v>3</v>
      </c>
      <c r="F28823" s="8">
        <v>1419443</v>
      </c>
    </row>
    <row r="28824" spans="1:6" ht="12.75">
      <c r="A28824" s="8">
        <v>43891.582199074073</v>
      </c>
      <c r="B28824" s="8" t="str">
        <f>HYPERLINK("https://twitter.com/gus_von_diajie","@gus_von_diajie")</f>
        <v>@gus_von_diajie</v>
      </c>
      <c r="C28824" s="8" t="s">
        <v>10932</v>
      </c>
      <c r="D28824" s="8">
        <v>2</v>
      </c>
      <c r="E28824" s="8">
        <v>0</v>
      </c>
      <c r="F28824" s="8">
        <v>1181</v>
      </c>
    </row>
    <row r="28825" spans="1:6" ht="12.75">
      <c r="A28825" s="8">
        <v>43891.582187499997</v>
      </c>
      <c r="B28825" s="8" t="str">
        <f>HYPERLINK("https://twitter.com/mediaindonesia","@mediaindonesia")</f>
        <v>@mediaindonesia</v>
      </c>
      <c r="C28825" s="8" t="s">
        <v>10933</v>
      </c>
      <c r="D28825" s="8">
        <v>0</v>
      </c>
      <c r="E28825" s="8">
        <v>0</v>
      </c>
      <c r="F28825" s="8">
        <v>1419443</v>
      </c>
    </row>
    <row r="28826" spans="1:6" ht="12.75">
      <c r="A28826" s="8">
        <v>43891.582002314812</v>
      </c>
      <c r="B28826" s="8" t="str">
        <f>HYPERLINK("https://twitter.com/kumparan","@kumparan")</f>
        <v>@kumparan</v>
      </c>
      <c r="C28826" s="8" t="s">
        <v>10934</v>
      </c>
      <c r="D28826" s="8">
        <v>0</v>
      </c>
      <c r="E28826" s="8">
        <v>1</v>
      </c>
      <c r="F28826" s="8">
        <v>333217</v>
      </c>
    </row>
    <row r="28827" spans="1:6" ht="12.75">
      <c r="A28827" s="8">
        <v>43891.581979166665</v>
      </c>
      <c r="B28827" s="8" t="str">
        <f>HYPERLINK("https://twitter.com/ilmazidnaWTC","@ilmazidnaWTC")</f>
        <v>@ilmazidnaWTC</v>
      </c>
      <c r="C28827" s="8" t="s">
        <v>2272</v>
      </c>
      <c r="D28827" s="8">
        <v>631</v>
      </c>
      <c r="E28827" s="8">
        <v>0</v>
      </c>
      <c r="F28827" s="8">
        <v>2497</v>
      </c>
    </row>
    <row r="28828" spans="1:6" ht="12.75">
      <c r="A28828" s="8">
        <v>43891.581886574073</v>
      </c>
      <c r="B28828" s="8" t="str">
        <f>HYPERLINK("https://twitter.com/PutraPandu001","@PutraPandu001")</f>
        <v>@PutraPandu001</v>
      </c>
      <c r="C28828" s="8" t="s">
        <v>7437</v>
      </c>
      <c r="D28828" s="8">
        <v>426</v>
      </c>
      <c r="E28828" s="8">
        <v>0</v>
      </c>
      <c r="F28828" s="8">
        <v>7</v>
      </c>
    </row>
    <row r="28829" spans="1:6" ht="12.75">
      <c r="A28829" s="8">
        <v>43891.58184027778</v>
      </c>
      <c r="B28829" s="8" t="str">
        <f>HYPERLINK("https://twitter.com/bettie_bee","@bettie_bee")</f>
        <v>@bettie_bee</v>
      </c>
      <c r="C28829" s="8" t="s">
        <v>2272</v>
      </c>
      <c r="D28829" s="8">
        <v>631</v>
      </c>
      <c r="E28829" s="8">
        <v>0</v>
      </c>
      <c r="F28829" s="8">
        <v>171</v>
      </c>
    </row>
    <row r="28830" spans="1:6" ht="12.75">
      <c r="A28830" s="8">
        <v>43891.581273148149</v>
      </c>
      <c r="B28830" s="8" t="str">
        <f>HYPERLINK("https://twitter.com/sabhatansabiz","@sabhatansabiz")</f>
        <v>@sabhatansabiz</v>
      </c>
      <c r="C28830" s="8" t="s">
        <v>10935</v>
      </c>
      <c r="D28830" s="8">
        <v>2</v>
      </c>
      <c r="E28830" s="8">
        <v>0</v>
      </c>
      <c r="F28830" s="8">
        <v>1583</v>
      </c>
    </row>
    <row r="28831" spans="1:6" ht="12.75">
      <c r="A28831" s="8">
        <v>43891.581273148149</v>
      </c>
      <c r="B28831" s="8" t="str">
        <f>HYPERLINK("https://twitter.com/updatedotid","@updatedotid")</f>
        <v>@updatedotid</v>
      </c>
      <c r="C28831" s="8" t="s">
        <v>10935</v>
      </c>
      <c r="D28831" s="8">
        <v>2</v>
      </c>
      <c r="E28831" s="8">
        <v>0</v>
      </c>
      <c r="F28831" s="8">
        <v>1618</v>
      </c>
    </row>
    <row r="28832" spans="1:6" ht="12.75">
      <c r="A28832" s="8">
        <v>43891.581226851849</v>
      </c>
      <c r="B28832" s="8" t="str">
        <f>HYPERLINK("https://twitter.com/NhMujamal","@NhMujamal")</f>
        <v>@NhMujamal</v>
      </c>
      <c r="C28832" s="8" t="s">
        <v>10600</v>
      </c>
      <c r="D28832" s="8">
        <v>279</v>
      </c>
      <c r="E28832" s="8">
        <v>0</v>
      </c>
      <c r="F28832" s="8">
        <v>1038</v>
      </c>
    </row>
    <row r="28833" spans="1:6" ht="12.75">
      <c r="A28833" s="8">
        <v>43891.581180555557</v>
      </c>
      <c r="B28833" s="8" t="str">
        <f>HYPERLINK("https://twitter.com/MrsRachelIn","@MrsRachelIn")</f>
        <v>@MrsRachelIn</v>
      </c>
      <c r="C28833" s="8" t="s">
        <v>10936</v>
      </c>
      <c r="D28833" s="8">
        <v>2</v>
      </c>
      <c r="E28833" s="8">
        <v>1</v>
      </c>
      <c r="F28833" s="8">
        <v>3414</v>
      </c>
    </row>
    <row r="28834" spans="1:6" ht="12.75">
      <c r="A28834" s="8">
        <v>43891.581134259264</v>
      </c>
      <c r="B28834" s="8" t="str">
        <f>HYPERLINK("https://twitter.com/bagas_robotto","@bagas_robotto")</f>
        <v>@bagas_robotto</v>
      </c>
      <c r="C28834" s="8" t="s">
        <v>10600</v>
      </c>
      <c r="D28834" s="8">
        <v>279</v>
      </c>
      <c r="E28834" s="8">
        <v>0</v>
      </c>
      <c r="F28834" s="8">
        <v>67</v>
      </c>
    </row>
    <row r="28835" spans="1:6" ht="12.75">
      <c r="A28835" s="8">
        <v>43891.581076388888</v>
      </c>
      <c r="B28835" s="8" t="str">
        <f>HYPERLINK("https://twitter.com/TombolSi","@TombolSi")</f>
        <v>@TombolSi</v>
      </c>
      <c r="C28835" s="8" t="s">
        <v>8096</v>
      </c>
      <c r="D28835" s="8">
        <v>64</v>
      </c>
      <c r="E28835" s="8">
        <v>0</v>
      </c>
      <c r="F28835" s="8">
        <v>59</v>
      </c>
    </row>
    <row r="28836" spans="1:6" ht="12.75">
      <c r="A28836" s="8">
        <v>43891.581030092595</v>
      </c>
      <c r="B28836" s="8" t="str">
        <f>HYPERLINK("https://twitter.com/Rahwana060810","@Rahwana060810")</f>
        <v>@Rahwana060810</v>
      </c>
      <c r="C28836" s="8" t="s">
        <v>10937</v>
      </c>
      <c r="D28836" s="8">
        <v>3</v>
      </c>
      <c r="E28836" s="8">
        <v>0</v>
      </c>
      <c r="F28836" s="8">
        <v>2907</v>
      </c>
    </row>
    <row r="28837" spans="1:6" ht="12.75">
      <c r="A28837" s="8">
        <v>43891.580937499995</v>
      </c>
      <c r="B28837" s="8" t="str">
        <f>HYPERLINK("https://twitter.com/radar_malang","@radar_malang")</f>
        <v>@radar_malang</v>
      </c>
      <c r="C28837" s="8" t="s">
        <v>10938</v>
      </c>
      <c r="D28837" s="8">
        <v>2</v>
      </c>
      <c r="E28837" s="8">
        <v>0</v>
      </c>
      <c r="F28837" s="8">
        <v>108754</v>
      </c>
    </row>
    <row r="28838" spans="1:6" ht="12.75">
      <c r="A28838" s="8">
        <v>43891.580891203703</v>
      </c>
      <c r="B28838" s="8" t="str">
        <f>HYPERLINK("https://twitter.com/karmila_apaya","@karmila_apaya")</f>
        <v>@karmila_apaya</v>
      </c>
      <c r="C28838" s="8" t="s">
        <v>10930</v>
      </c>
      <c r="D28838" s="8">
        <v>4</v>
      </c>
      <c r="E28838" s="8">
        <v>0</v>
      </c>
      <c r="F28838" s="8">
        <v>1254</v>
      </c>
    </row>
    <row r="28839" spans="1:6" ht="12.75">
      <c r="A28839" s="8">
        <v>43891.580706018518</v>
      </c>
      <c r="B28839" s="8" t="str">
        <f>HYPERLINK("https://twitter.com/LaRose78992426","@LaRose78992426")</f>
        <v>@LaRose78992426</v>
      </c>
      <c r="C28839" s="8" t="s">
        <v>10939</v>
      </c>
      <c r="D28839" s="8">
        <v>214</v>
      </c>
      <c r="E28839" s="8">
        <v>0</v>
      </c>
      <c r="F28839" s="8">
        <v>272</v>
      </c>
    </row>
    <row r="28840" spans="1:6" ht="12.75">
      <c r="A28840" s="8">
        <v>43891.580474537041</v>
      </c>
      <c r="B28840" s="8" t="str">
        <f>HYPERLINK("https://twitter.com/republikaonline","@republikaonline")</f>
        <v>@republikaonline</v>
      </c>
      <c r="C28840" s="8" t="s">
        <v>10940</v>
      </c>
      <c r="D28840" s="8">
        <v>0</v>
      </c>
      <c r="E28840" s="8">
        <v>3</v>
      </c>
      <c r="F28840" s="8">
        <v>1216330</v>
      </c>
    </row>
    <row r="28841" spans="1:6" ht="12.75">
      <c r="A28841" s="8">
        <v>43891.580370370371</v>
      </c>
      <c r="B28841" s="8" t="str">
        <f>HYPERLINK("https://twitter.com/JiwasrayaGate","@JiwasrayaGate")</f>
        <v>@JiwasrayaGate</v>
      </c>
      <c r="C28841" s="8" t="s">
        <v>10941</v>
      </c>
      <c r="D28841" s="8">
        <v>0</v>
      </c>
      <c r="E28841" s="8">
        <v>5</v>
      </c>
      <c r="F28841" s="8">
        <v>4130</v>
      </c>
    </row>
    <row r="28842" spans="1:6" ht="12.75">
      <c r="A28842" s="8">
        <v>43891.58017361111</v>
      </c>
      <c r="B28842" s="8" t="str">
        <f>HYPERLINK("https://twitter.com/Abi_Usamah","@Abi_Usamah")</f>
        <v>@Abi_Usamah</v>
      </c>
      <c r="C28842" s="8" t="s">
        <v>4235</v>
      </c>
      <c r="D28842" s="8">
        <v>1632</v>
      </c>
      <c r="E28842" s="8">
        <v>0</v>
      </c>
      <c r="F28842" s="8">
        <v>1168</v>
      </c>
    </row>
    <row r="28843" spans="1:6" ht="12.75">
      <c r="A28843" s="8">
        <v>43891.580104166671</v>
      </c>
      <c r="B28843" s="8" t="str">
        <f>HYPERLINK("https://twitter.com/AbolicHD","@AbolicHD")</f>
        <v>@AbolicHD</v>
      </c>
      <c r="C28843" s="8" t="s">
        <v>10443</v>
      </c>
      <c r="D28843" s="8">
        <v>39</v>
      </c>
      <c r="E28843" s="8">
        <v>0</v>
      </c>
      <c r="F28843" s="8">
        <v>371</v>
      </c>
    </row>
    <row r="28844" spans="1:6" ht="12.75">
      <c r="A28844" s="8">
        <v>43891.580046296294</v>
      </c>
      <c r="B28844" s="8" t="str">
        <f>HYPERLINK("https://twitter.com/wongpegirikan","@wongpegirikan")</f>
        <v>@wongpegirikan</v>
      </c>
      <c r="C28844" s="8" t="s">
        <v>7437</v>
      </c>
      <c r="D28844" s="8">
        <v>426</v>
      </c>
      <c r="E28844" s="8">
        <v>0</v>
      </c>
      <c r="F28844" s="8">
        <v>166</v>
      </c>
    </row>
    <row r="28845" spans="1:6" ht="12.75">
      <c r="A28845" s="8">
        <v>43891.579826388886</v>
      </c>
      <c r="B28845" s="8" t="str">
        <f>HYPERLINK("https://twitter.com/apricityn","@apricityn")</f>
        <v>@apricityn</v>
      </c>
      <c r="C28845" s="8" t="s">
        <v>8917</v>
      </c>
      <c r="D28845" s="8">
        <v>12</v>
      </c>
      <c r="E28845" s="8">
        <v>0</v>
      </c>
      <c r="F28845" s="8">
        <v>114</v>
      </c>
    </row>
    <row r="28846" spans="1:6" ht="12.75">
      <c r="A28846" s="8">
        <v>43891.579791666663</v>
      </c>
      <c r="B28846" s="8" t="str">
        <f>HYPERLINK("https://twitter.com/amaliashr","@amaliashr")</f>
        <v>@amaliashr</v>
      </c>
      <c r="C28846" s="8" t="s">
        <v>2272</v>
      </c>
      <c r="D28846" s="8">
        <v>631</v>
      </c>
      <c r="E28846" s="8">
        <v>0</v>
      </c>
      <c r="F28846" s="8">
        <v>836</v>
      </c>
    </row>
    <row r="28847" spans="1:6" ht="12.75">
      <c r="A28847" s="8">
        <v>43891.579629629632</v>
      </c>
      <c r="B28847" s="8" t="str">
        <f>HYPERLINK("https://twitter.com/yunankingstar1","@yunankingstar1")</f>
        <v>@yunankingstar1</v>
      </c>
      <c r="C28847" s="8" t="s">
        <v>10942</v>
      </c>
      <c r="D28847" s="8">
        <v>0</v>
      </c>
      <c r="E28847" s="8">
        <v>0</v>
      </c>
      <c r="F28847" s="8">
        <v>44</v>
      </c>
    </row>
    <row r="28848" spans="1:6" ht="12.75">
      <c r="A28848" s="8">
        <v>43891.579606481479</v>
      </c>
      <c r="B28848" s="8" t="str">
        <f>HYPERLINK("https://twitter.com/menyon66","@menyon66")</f>
        <v>@menyon66</v>
      </c>
      <c r="C28848" s="8" t="s">
        <v>10600</v>
      </c>
      <c r="D28848" s="8">
        <v>279</v>
      </c>
      <c r="E28848" s="8">
        <v>0</v>
      </c>
      <c r="F28848" s="8">
        <v>75</v>
      </c>
    </row>
    <row r="28849" spans="1:6" ht="12.75">
      <c r="A28849" s="8">
        <v>43891.579432870371</v>
      </c>
      <c r="B28849" s="8" t="str">
        <f>HYPERLINK("https://twitter.com/wprasetyo73","@wprasetyo73")</f>
        <v>@wprasetyo73</v>
      </c>
      <c r="C28849" s="8" t="s">
        <v>10943</v>
      </c>
      <c r="D28849" s="8">
        <v>18</v>
      </c>
      <c r="E28849" s="8">
        <v>0</v>
      </c>
      <c r="F28849" s="8">
        <v>3173</v>
      </c>
    </row>
    <row r="28850" spans="1:6" ht="12.75">
      <c r="A28850" s="8">
        <v>43891.579386574071</v>
      </c>
      <c r="B28850" s="8" t="str">
        <f>HYPERLINK("https://twitter.com/sweetztrash","@sweetztrash")</f>
        <v>@sweetztrash</v>
      </c>
      <c r="C28850" s="8" t="s">
        <v>8917</v>
      </c>
      <c r="D28850" s="8">
        <v>12</v>
      </c>
      <c r="E28850" s="8">
        <v>0</v>
      </c>
      <c r="F28850" s="8">
        <v>163</v>
      </c>
    </row>
    <row r="28851" spans="1:6" ht="12.75">
      <c r="A28851" s="8">
        <v>43891.579259259262</v>
      </c>
      <c r="B28851" s="8" t="str">
        <f>HYPERLINK("https://twitter.com/rahmatiani","@rahmatiani")</f>
        <v>@rahmatiani</v>
      </c>
      <c r="C28851" s="8" t="s">
        <v>2272</v>
      </c>
      <c r="D28851" s="8">
        <v>631</v>
      </c>
      <c r="E28851" s="8">
        <v>0</v>
      </c>
      <c r="F28851" s="8">
        <v>524</v>
      </c>
    </row>
    <row r="28852" spans="1:6" ht="12.75">
      <c r="A28852" s="8">
        <v>43891.57913194444</v>
      </c>
      <c r="B28852" s="8" t="str">
        <f>HYPERLINK("https://twitter.com/wafdaNH","@wafdaNH")</f>
        <v>@wafdaNH</v>
      </c>
      <c r="C28852" s="8" t="s">
        <v>2272</v>
      </c>
      <c r="D28852" s="8">
        <v>631</v>
      </c>
      <c r="E28852" s="8">
        <v>0</v>
      </c>
      <c r="F28852" s="8">
        <v>535</v>
      </c>
    </row>
    <row r="28853" spans="1:6" ht="12.75">
      <c r="A28853" s="8">
        <v>43891.579108796301</v>
      </c>
      <c r="B28853" s="8" t="str">
        <f>HYPERLINK("https://twitter.com/letareo","@letareo")</f>
        <v>@letareo</v>
      </c>
      <c r="C28853" s="8" t="s">
        <v>8917</v>
      </c>
      <c r="D28853" s="8">
        <v>12</v>
      </c>
      <c r="E28853" s="8">
        <v>0</v>
      </c>
      <c r="F28853" s="8">
        <v>1061</v>
      </c>
    </row>
    <row r="28854" spans="1:6" ht="12.75">
      <c r="A28854" s="8">
        <v>43891.579062500001</v>
      </c>
      <c r="B28854" s="8" t="str">
        <f>HYPERLINK("https://twitter.com/herlambang_tan","@herlambang_tan")</f>
        <v>@herlambang_tan</v>
      </c>
      <c r="C28854" s="8" t="s">
        <v>10481</v>
      </c>
      <c r="D28854" s="8">
        <v>91</v>
      </c>
      <c r="E28854" s="8">
        <v>0</v>
      </c>
      <c r="F28854" s="8">
        <v>2401</v>
      </c>
    </row>
    <row r="28855" spans="1:6" ht="12.75">
      <c r="A28855" s="8">
        <v>43891.578946759255</v>
      </c>
      <c r="B28855" s="8" t="str">
        <f>HYPERLINK("https://twitter.com/mnshbfr","@mnshbfr")</f>
        <v>@mnshbfr</v>
      </c>
      <c r="C28855" s="8" t="s">
        <v>10918</v>
      </c>
      <c r="D28855" s="8">
        <v>3</v>
      </c>
      <c r="E28855" s="8">
        <v>0</v>
      </c>
      <c r="F28855" s="8">
        <v>341</v>
      </c>
    </row>
    <row r="28856" spans="1:6" ht="12.75">
      <c r="A28856" s="8">
        <v>43891.578831018516</v>
      </c>
      <c r="B28856" s="8" t="str">
        <f>HYPERLINK("https://twitter.com/amaliyoo__","@amaliyoo__")</f>
        <v>@amaliyoo__</v>
      </c>
      <c r="C28856" s="8" t="s">
        <v>8096</v>
      </c>
      <c r="D28856" s="8">
        <v>64</v>
      </c>
      <c r="E28856" s="8">
        <v>0</v>
      </c>
      <c r="F28856" s="8">
        <v>405</v>
      </c>
    </row>
    <row r="28857" spans="1:6" ht="12.75">
      <c r="A28857" s="8">
        <v>43891.578321759254</v>
      </c>
      <c r="B28857" s="8" t="str">
        <f>HYPERLINK("https://twitter.com/kentudoosh","@kentudoosh")</f>
        <v>@kentudoosh</v>
      </c>
      <c r="C28857" s="8" t="s">
        <v>8917</v>
      </c>
      <c r="D28857" s="8">
        <v>12</v>
      </c>
      <c r="E28857" s="8">
        <v>0</v>
      </c>
      <c r="F28857" s="8">
        <v>401</v>
      </c>
    </row>
    <row r="28858" spans="1:6" ht="12.75">
      <c r="A28858" s="8">
        <v>43891.578298611115</v>
      </c>
      <c r="B28858" s="8" t="str">
        <f>HYPERLINK("https://twitter.com/namiraanilam","@namiraanilam")</f>
        <v>@namiraanilam</v>
      </c>
      <c r="C28858" s="8" t="s">
        <v>2272</v>
      </c>
      <c r="D28858" s="8">
        <v>631</v>
      </c>
      <c r="E28858" s="8">
        <v>0</v>
      </c>
      <c r="F28858" s="8">
        <v>398</v>
      </c>
    </row>
    <row r="28859" spans="1:6" ht="12.75">
      <c r="A28859" s="8">
        <v>43891.578287037039</v>
      </c>
      <c r="B28859" s="8" t="str">
        <f>HYPERLINK("https://twitter.com/sswdystt","@sswdystt")</f>
        <v>@sswdystt</v>
      </c>
      <c r="C28859" s="8" t="s">
        <v>2272</v>
      </c>
      <c r="D28859" s="8">
        <v>631</v>
      </c>
      <c r="E28859" s="8">
        <v>0</v>
      </c>
      <c r="F28859" s="8">
        <v>13</v>
      </c>
    </row>
    <row r="28860" spans="1:6" ht="12.75">
      <c r="A28860" s="8">
        <v>43891.578206018516</v>
      </c>
      <c r="B28860" s="8" t="str">
        <f>HYPERLINK("https://twitter.com/Sandii2555","@Sandii2555")</f>
        <v>@Sandii2555</v>
      </c>
      <c r="C28860" s="8" t="s">
        <v>10443</v>
      </c>
      <c r="D28860" s="8">
        <v>39</v>
      </c>
      <c r="E28860" s="8">
        <v>0</v>
      </c>
      <c r="F28860" s="8">
        <v>201</v>
      </c>
    </row>
    <row r="28861" spans="1:6" ht="12.75">
      <c r="A28861" s="8">
        <v>43891.57811342593</v>
      </c>
      <c r="B28861" s="8" t="str">
        <f>HYPERLINK("https://twitter.com/Bellasyifa15_","@Bellasyifa15_")</f>
        <v>@Bellasyifa15_</v>
      </c>
      <c r="C28861" s="8" t="s">
        <v>2272</v>
      </c>
      <c r="D28861" s="8">
        <v>631</v>
      </c>
      <c r="E28861" s="8">
        <v>0</v>
      </c>
      <c r="F28861" s="8">
        <v>137</v>
      </c>
    </row>
    <row r="28862" spans="1:6" ht="12.75">
      <c r="A28862" s="8">
        <v>43891.577928240746</v>
      </c>
      <c r="B28862" s="8" t="str">
        <f>HYPERLINK("https://twitter.com/FiNYO_ROCK","@FiNYO_ROCK")</f>
        <v>@FiNYO_ROCK</v>
      </c>
      <c r="C28862" s="8" t="s">
        <v>7437</v>
      </c>
      <c r="D28862" s="8">
        <v>426</v>
      </c>
      <c r="E28862" s="8">
        <v>0</v>
      </c>
      <c r="F28862" s="8">
        <v>248</v>
      </c>
    </row>
    <row r="28863" spans="1:6" ht="12.75">
      <c r="A28863" s="8">
        <v>43891.577777777777</v>
      </c>
      <c r="B28863" s="8" t="str">
        <f>HYPERLINK("https://twitter.com/kompascom","@kompascom")</f>
        <v>@kompascom</v>
      </c>
      <c r="C28863" s="8" t="s">
        <v>10944</v>
      </c>
      <c r="D28863" s="8">
        <v>0</v>
      </c>
      <c r="E28863" s="8">
        <v>1</v>
      </c>
      <c r="F28863" s="8">
        <v>7519960</v>
      </c>
    </row>
    <row r="28864" spans="1:6" ht="12.75">
      <c r="A28864" s="8">
        <v>43891.5777662037</v>
      </c>
      <c r="B28864" s="8" t="str">
        <f>HYPERLINK("https://twitter.com/mewienahto","@mewienahto")</f>
        <v>@mewienahto</v>
      </c>
      <c r="C28864" s="8" t="s">
        <v>8917</v>
      </c>
      <c r="D28864" s="8">
        <v>12</v>
      </c>
      <c r="E28864" s="8">
        <v>0</v>
      </c>
      <c r="F28864" s="8">
        <v>547</v>
      </c>
    </row>
    <row r="28865" spans="1:6" ht="12.75">
      <c r="A28865" s="8">
        <v>43891.57775462963</v>
      </c>
      <c r="B28865" s="8" t="str">
        <f>HYPERLINK("https://twitter.com/gusticputra","@gusticputra")</f>
        <v>@gusticputra</v>
      </c>
      <c r="C28865" s="8" t="s">
        <v>2272</v>
      </c>
      <c r="D28865" s="8">
        <v>631</v>
      </c>
      <c r="E28865" s="8">
        <v>0</v>
      </c>
      <c r="F28865" s="8">
        <v>63</v>
      </c>
    </row>
    <row r="28866" spans="1:6" ht="12.75">
      <c r="A28866" s="8">
        <v>43891.577407407407</v>
      </c>
      <c r="B28866" s="8" t="str">
        <f>HYPERLINK("https://twitter.com/SlayerBeast3","@SlayerBeast3")</f>
        <v>@SlayerBeast3</v>
      </c>
      <c r="C28866" s="8" t="s">
        <v>10945</v>
      </c>
      <c r="D28866" s="8">
        <v>0</v>
      </c>
      <c r="E28866" s="8">
        <v>0</v>
      </c>
      <c r="F28866" s="8">
        <v>25</v>
      </c>
    </row>
    <row r="28867" spans="1:6" ht="12.75">
      <c r="A28867" s="8">
        <v>43891.577372685184</v>
      </c>
      <c r="B28867" s="8" t="str">
        <f>HYPERLINK("https://twitter.com/Laalunaa1","@Laalunaa1")</f>
        <v>@Laalunaa1</v>
      </c>
      <c r="C28867" s="8" t="s">
        <v>2272</v>
      </c>
      <c r="D28867" s="8">
        <v>631</v>
      </c>
      <c r="E28867" s="8">
        <v>0</v>
      </c>
      <c r="F28867" s="8">
        <v>927</v>
      </c>
    </row>
    <row r="28868" spans="1:6" ht="12.75">
      <c r="A28868" s="8">
        <v>43891.577326388884</v>
      </c>
      <c r="B28868" s="8" t="str">
        <f>HYPERLINK("https://twitter.com/Bias___","@Bias___")</f>
        <v>@Bias___</v>
      </c>
      <c r="C28868" s="8" t="s">
        <v>10946</v>
      </c>
      <c r="D28868" s="8">
        <v>3</v>
      </c>
      <c r="E28868" s="8">
        <v>0</v>
      </c>
      <c r="F28868" s="8">
        <v>602</v>
      </c>
    </row>
    <row r="28869" spans="1:6" ht="12.75">
      <c r="A28869" s="8">
        <v>43891.577164351853</v>
      </c>
      <c r="B28869" s="8" t="str">
        <f>HYPERLINK("https://twitter.com/IdEmbassy_Seoul","@IdEmbassy_Seoul")</f>
        <v>@IdEmbassy_Seoul</v>
      </c>
      <c r="C28869" s="8" t="s">
        <v>8917</v>
      </c>
      <c r="D28869" s="8">
        <v>12</v>
      </c>
      <c r="E28869" s="8">
        <v>0</v>
      </c>
      <c r="F28869" s="8">
        <v>3828</v>
      </c>
    </row>
    <row r="28870" spans="1:6" ht="12.75">
      <c r="A28870" s="8">
        <v>43891.577106481476</v>
      </c>
      <c r="B28870" s="8" t="str">
        <f>HYPERLINK("https://twitter.com/EkaS45254216","@EkaS45254216")</f>
        <v>@EkaS45254216</v>
      </c>
      <c r="C28870" s="8" t="s">
        <v>7437</v>
      </c>
      <c r="D28870" s="8">
        <v>426</v>
      </c>
      <c r="E28870" s="8">
        <v>0</v>
      </c>
      <c r="F28870" s="8">
        <v>3</v>
      </c>
    </row>
    <row r="28871" spans="1:6" ht="12.75">
      <c r="A28871" s="8">
        <v>43891.576805555553</v>
      </c>
      <c r="B28871" s="8" t="str">
        <f>HYPERLINK("https://twitter.com/Kemlu_RI","@Kemlu_RI")</f>
        <v>@Kemlu_RI</v>
      </c>
      <c r="C28871" s="8" t="s">
        <v>10947</v>
      </c>
      <c r="D28871" s="8">
        <v>12</v>
      </c>
      <c r="E28871" s="8">
        <v>17</v>
      </c>
      <c r="F28871" s="8">
        <v>170640</v>
      </c>
    </row>
    <row r="28872" spans="1:6" ht="12.75">
      <c r="A28872" s="8">
        <v>43891.576701388884</v>
      </c>
      <c r="B28872" s="8" t="str">
        <f>HYPERLINK("https://twitter.com/tvOneNews","@tvOneNews")</f>
        <v>@tvOneNews</v>
      </c>
      <c r="C28872" s="8" t="s">
        <v>10948</v>
      </c>
      <c r="D28872" s="8">
        <v>0</v>
      </c>
      <c r="E28872" s="8">
        <v>1</v>
      </c>
      <c r="F28872" s="8">
        <v>8724438</v>
      </c>
    </row>
    <row r="28873" spans="1:6" ht="12.75">
      <c r="A28873" s="8">
        <v>43891.576342592598</v>
      </c>
      <c r="B28873" s="8" t="str">
        <f>HYPERLINK("https://twitter.com/DcEliana","@DcEliana")</f>
        <v>@DcEliana</v>
      </c>
      <c r="C28873" s="8" t="s">
        <v>10481</v>
      </c>
      <c r="D28873" s="8">
        <v>91</v>
      </c>
      <c r="E28873" s="8">
        <v>0</v>
      </c>
      <c r="F28873" s="8">
        <v>153</v>
      </c>
    </row>
    <row r="28874" spans="1:6" ht="12.75">
      <c r="A28874" s="8">
        <v>43891.576331018514</v>
      </c>
      <c r="B28874" s="8" t="str">
        <f>HYPERLINK("https://twitter.com/Dansky77","@Dansky77")</f>
        <v>@Dansky77</v>
      </c>
      <c r="C28874" s="8" t="s">
        <v>10949</v>
      </c>
      <c r="D28874" s="8">
        <v>0</v>
      </c>
      <c r="E28874" s="8">
        <v>1</v>
      </c>
      <c r="F28874" s="8">
        <v>50</v>
      </c>
    </row>
    <row r="28875" spans="1:6" ht="12.75">
      <c r="A28875" s="8">
        <v>43891.548449074078</v>
      </c>
      <c r="B28875" s="8" t="str">
        <f>HYPERLINK("https://twitter.com/Albertilalang3","@Albertilalang3")</f>
        <v>@Albertilalang3</v>
      </c>
      <c r="C28875" s="8" t="s">
        <v>10600</v>
      </c>
      <c r="D28875" s="8">
        <v>276</v>
      </c>
      <c r="E28875" s="8">
        <v>0</v>
      </c>
      <c r="F28875" s="8">
        <v>34</v>
      </c>
    </row>
    <row r="28876" spans="1:6" ht="12.75">
      <c r="A28876" s="8">
        <v>43891.548217592594</v>
      </c>
      <c r="B28876" s="8" t="str">
        <f>HYPERLINK("https://twitter.com/ISIS_Balik_NO","@ISIS_Balik_NO")</f>
        <v>@ISIS_Balik_NO</v>
      </c>
      <c r="C28876" s="8" t="s">
        <v>10950</v>
      </c>
      <c r="D28876" s="8">
        <v>363</v>
      </c>
      <c r="E28876" s="8">
        <v>0</v>
      </c>
      <c r="F28876" s="8">
        <v>6084</v>
      </c>
    </row>
    <row r="28877" spans="1:6" ht="12.75">
      <c r="A28877" s="8">
        <v>43891.548171296294</v>
      </c>
      <c r="B28877" s="8" t="str">
        <f>HYPERLINK("https://twitter.com/AriniAyie","@AriniAyie")</f>
        <v>@AriniAyie</v>
      </c>
      <c r="C28877" s="8" t="s">
        <v>2272</v>
      </c>
      <c r="D28877" s="8">
        <v>579</v>
      </c>
      <c r="E28877" s="8">
        <v>0</v>
      </c>
      <c r="F28877" s="8">
        <v>402</v>
      </c>
    </row>
    <row r="28878" spans="1:6" ht="12.75">
      <c r="A28878" s="8">
        <v>43891.548078703709</v>
      </c>
      <c r="B28878" s="8" t="str">
        <f>HYPERLINK("https://twitter.com/germantantra","@germantantra")</f>
        <v>@germantantra</v>
      </c>
      <c r="C28878" s="8" t="s">
        <v>2951</v>
      </c>
      <c r="D28878" s="8">
        <v>1176</v>
      </c>
      <c r="E28878" s="8">
        <v>0</v>
      </c>
      <c r="F28878" s="8">
        <v>141</v>
      </c>
    </row>
    <row r="28879" spans="1:6" ht="12.75">
      <c r="A28879" s="8">
        <v>43891.547974537039</v>
      </c>
      <c r="B28879" s="8" t="str">
        <f>HYPERLINK("https://twitter.com/YusufNusantara1","@YusufNusantara1")</f>
        <v>@YusufNusantara1</v>
      </c>
      <c r="C28879" s="8" t="s">
        <v>8096</v>
      </c>
      <c r="D28879" s="8">
        <v>55</v>
      </c>
      <c r="E28879" s="8">
        <v>0</v>
      </c>
      <c r="F28879" s="8">
        <v>751</v>
      </c>
    </row>
    <row r="28880" spans="1:6" ht="12.75">
      <c r="A28880" s="8">
        <v>43891.547812500001</v>
      </c>
      <c r="B28880" s="8" t="str">
        <f>HYPERLINK("https://twitter.com/ISIS_Balik_NO","@ISIS_Balik_NO")</f>
        <v>@ISIS_Balik_NO</v>
      </c>
      <c r="C28880" s="8" t="s">
        <v>10951</v>
      </c>
      <c r="D28880" s="8">
        <v>63</v>
      </c>
      <c r="E28880" s="8">
        <v>0</v>
      </c>
      <c r="F28880" s="8">
        <v>6084</v>
      </c>
    </row>
    <row r="28881" spans="1:6" ht="12.75">
      <c r="A28881" s="8">
        <v>43891.547800925924</v>
      </c>
      <c r="B28881" s="8" t="str">
        <f>HYPERLINK("https://twitter.com/Yosa0516","@Yosa0516")</f>
        <v>@Yosa0516</v>
      </c>
      <c r="C28881" s="8" t="s">
        <v>7437</v>
      </c>
      <c r="D28881" s="8">
        <v>413</v>
      </c>
      <c r="E28881" s="8">
        <v>0</v>
      </c>
      <c r="F28881" s="8">
        <v>5</v>
      </c>
    </row>
    <row r="28882" spans="1:6" ht="12.75">
      <c r="A28882" s="8">
        <v>43891.547685185185</v>
      </c>
      <c r="B28882" s="8" t="str">
        <f>HYPERLINK("https://twitter.com/sandmanindo","@sandmanindo")</f>
        <v>@sandmanindo</v>
      </c>
      <c r="C28882" s="8" t="s">
        <v>10952</v>
      </c>
      <c r="D28882" s="8">
        <v>3</v>
      </c>
      <c r="E28882" s="8">
        <v>0</v>
      </c>
      <c r="F28882" s="8">
        <v>400</v>
      </c>
    </row>
    <row r="28883" spans="1:6" ht="12.75">
      <c r="A28883" s="8">
        <v>43891.54755787037</v>
      </c>
      <c r="B28883" s="8" t="str">
        <f>HYPERLINK("https://twitter.com/belindch","@belindch")</f>
        <v>@belindch</v>
      </c>
      <c r="C28883" s="8" t="s">
        <v>10953</v>
      </c>
      <c r="D28883" s="8">
        <v>1</v>
      </c>
      <c r="E28883" s="8">
        <v>0</v>
      </c>
      <c r="F28883" s="8">
        <v>6452</v>
      </c>
    </row>
    <row r="28884" spans="1:6" ht="12.75">
      <c r="A28884" s="8">
        <v>43891.547430555554</v>
      </c>
      <c r="B28884" s="8" t="str">
        <f>HYPERLINK("https://twitter.com/violinraki","@violinraki")</f>
        <v>@violinraki</v>
      </c>
      <c r="C28884" s="8" t="s">
        <v>10443</v>
      </c>
      <c r="D28884" s="8">
        <v>28</v>
      </c>
      <c r="E28884" s="8">
        <v>0</v>
      </c>
      <c r="F28884" s="8">
        <v>3350</v>
      </c>
    </row>
    <row r="28885" spans="1:6" ht="12.75">
      <c r="A28885" s="8">
        <v>43891.547291666662</v>
      </c>
      <c r="B28885" s="8" t="str">
        <f>HYPERLINK("https://twitter.com/ISIS_Balik_NO","@ISIS_Balik_NO")</f>
        <v>@ISIS_Balik_NO</v>
      </c>
      <c r="C28885" s="8" t="s">
        <v>10954</v>
      </c>
      <c r="D28885" s="8">
        <v>0</v>
      </c>
      <c r="E28885" s="8">
        <v>0</v>
      </c>
      <c r="F28885" s="8">
        <v>6084</v>
      </c>
    </row>
    <row r="28886" spans="1:6" ht="12.75">
      <c r="A28886" s="8">
        <v>43891.547280092593</v>
      </c>
      <c r="B28886" s="8" t="str">
        <f>HYPERLINK("https://twitter.com/nirmalaagain","@nirmalaagain")</f>
        <v>@nirmalaagain</v>
      </c>
      <c r="C28886" s="8" t="s">
        <v>10955</v>
      </c>
      <c r="D28886" s="8">
        <v>0</v>
      </c>
      <c r="E28886" s="8">
        <v>0</v>
      </c>
      <c r="F28886" s="8">
        <v>31</v>
      </c>
    </row>
    <row r="28887" spans="1:6" ht="12.75">
      <c r="A28887" s="8">
        <v>43891.547002314815</v>
      </c>
      <c r="B28887" s="8" t="str">
        <f t="shared" ref="B28887:B28888" si="393">HYPERLINK("https://twitter.com/ISIS_Balik_NO","@ISIS_Balik_NO")</f>
        <v>@ISIS_Balik_NO</v>
      </c>
      <c r="C28887" s="8" t="s">
        <v>10956</v>
      </c>
      <c r="D28887" s="8">
        <v>81</v>
      </c>
      <c r="E28887" s="8">
        <v>0</v>
      </c>
      <c r="F28887" s="8">
        <v>6084</v>
      </c>
    </row>
    <row r="28888" spans="1:6" ht="12.75">
      <c r="A28888" s="8">
        <v>43891.546898148154</v>
      </c>
      <c r="B28888" s="8" t="str">
        <f t="shared" si="393"/>
        <v>@ISIS_Balik_NO</v>
      </c>
      <c r="C28888" s="8" t="s">
        <v>10957</v>
      </c>
      <c r="D28888" s="8">
        <v>32</v>
      </c>
      <c r="E28888" s="8">
        <v>0</v>
      </c>
      <c r="F28888" s="8">
        <v>6084</v>
      </c>
    </row>
    <row r="28889" spans="1:6" ht="12.75">
      <c r="A28889" s="8">
        <v>43891.546828703707</v>
      </c>
      <c r="B28889" s="8" t="str">
        <f>HYPERLINK("https://twitter.com/Kimi58486332","@Kimi58486332")</f>
        <v>@Kimi58486332</v>
      </c>
      <c r="C28889" s="8" t="s">
        <v>10958</v>
      </c>
      <c r="D28889" s="8">
        <v>0</v>
      </c>
      <c r="E28889" s="8">
        <v>0</v>
      </c>
      <c r="F28889" s="8">
        <v>20</v>
      </c>
    </row>
    <row r="28890" spans="1:6" ht="12.75">
      <c r="A28890" s="8">
        <v>43891.546793981484</v>
      </c>
      <c r="B28890" s="8" t="str">
        <f>HYPERLINK("https://twitter.com/roysahadoen","@roysahadoen")</f>
        <v>@roysahadoen</v>
      </c>
      <c r="C28890" s="8" t="s">
        <v>10360</v>
      </c>
      <c r="D28890" s="8">
        <v>10</v>
      </c>
      <c r="E28890" s="8">
        <v>0</v>
      </c>
      <c r="F28890" s="8">
        <v>358</v>
      </c>
    </row>
    <row r="28891" spans="1:6" ht="12.75">
      <c r="A28891" s="8">
        <v>43891.546724537038</v>
      </c>
      <c r="B28891" s="8" t="str">
        <f>HYPERLINK("https://twitter.com/AlfaOmega0110","@AlfaOmega0110")</f>
        <v>@AlfaOmega0110</v>
      </c>
      <c r="C28891" s="8" t="s">
        <v>10959</v>
      </c>
      <c r="D28891" s="8">
        <v>0</v>
      </c>
      <c r="E28891" s="8">
        <v>0</v>
      </c>
      <c r="F28891" s="8">
        <v>1247</v>
      </c>
    </row>
    <row r="28892" spans="1:6" ht="12.75">
      <c r="A28892" s="8">
        <v>43891.546539351853</v>
      </c>
      <c r="B28892" s="8" t="str">
        <f>HYPERLINK("https://twitter.com/De_Ch4","@De_Ch4")</f>
        <v>@De_Ch4</v>
      </c>
      <c r="C28892" s="8" t="s">
        <v>10600</v>
      </c>
      <c r="D28892" s="8">
        <v>276</v>
      </c>
      <c r="E28892" s="8">
        <v>0</v>
      </c>
      <c r="F28892" s="8">
        <v>12972</v>
      </c>
    </row>
    <row r="28893" spans="1:6" ht="12.75">
      <c r="A28893" s="8">
        <v>43891.546388888892</v>
      </c>
      <c r="B28893" s="8" t="str">
        <f>HYPERLINK("https://twitter.com/ISIS_Balik_NO","@ISIS_Balik_NO")</f>
        <v>@ISIS_Balik_NO</v>
      </c>
      <c r="C28893" s="8" t="s">
        <v>10960</v>
      </c>
      <c r="D28893" s="8">
        <v>83</v>
      </c>
      <c r="E28893" s="8">
        <v>0</v>
      </c>
      <c r="F28893" s="8">
        <v>6084</v>
      </c>
    </row>
    <row r="28894" spans="1:6" ht="12.75">
      <c r="A28894" s="8">
        <v>43891.54619212963</v>
      </c>
      <c r="B28894" s="8" t="str">
        <f>HYPERLINK("https://twitter.com/rendrano","@rendrano")</f>
        <v>@rendrano</v>
      </c>
      <c r="C28894" s="8" t="s">
        <v>10961</v>
      </c>
      <c r="D28894" s="8">
        <v>8</v>
      </c>
      <c r="E28894" s="8">
        <v>0</v>
      </c>
      <c r="F28894" s="8">
        <v>453</v>
      </c>
    </row>
    <row r="28895" spans="1:6" ht="12.75">
      <c r="A28895" s="8">
        <v>43891.546111111107</v>
      </c>
      <c r="B28895" s="8" t="str">
        <f>HYPERLINK("https://twitter.com/ganiabd32363877","@ganiabd32363877")</f>
        <v>@ganiabd32363877</v>
      </c>
      <c r="C28895" s="8" t="s">
        <v>10962</v>
      </c>
      <c r="D28895" s="8">
        <v>0</v>
      </c>
      <c r="E28895" s="8">
        <v>0</v>
      </c>
      <c r="F28895" s="8">
        <v>193</v>
      </c>
    </row>
    <row r="28896" spans="1:6" ht="12.75">
      <c r="A28896" s="8">
        <v>43891.546099537038</v>
      </c>
      <c r="B28896" s="8" t="str">
        <f>HYPERLINK("https://twitter.com/MollyHS","@MollyHS")</f>
        <v>@MollyHS</v>
      </c>
      <c r="C28896" s="8" t="s">
        <v>2272</v>
      </c>
      <c r="D28896" s="8">
        <v>579</v>
      </c>
      <c r="E28896" s="8">
        <v>0</v>
      </c>
      <c r="F28896" s="8">
        <v>263</v>
      </c>
    </row>
    <row r="28897" spans="1:6" ht="12.75">
      <c r="A28897" s="8">
        <v>43891.545949074076</v>
      </c>
      <c r="B28897" s="8" t="str">
        <f>HYPERLINK("https://twitter.com/Jusuf_Ah","@Jusuf_Ah")</f>
        <v>@Jusuf_Ah</v>
      </c>
      <c r="C28897" s="8" t="s">
        <v>10600</v>
      </c>
      <c r="D28897" s="8">
        <v>276</v>
      </c>
      <c r="E28897" s="8">
        <v>0</v>
      </c>
      <c r="F28897" s="8">
        <v>750</v>
      </c>
    </row>
    <row r="28898" spans="1:6" ht="12.75">
      <c r="A28898" s="8">
        <v>43891.545902777776</v>
      </c>
      <c r="B28898" s="8" t="str">
        <f>HYPERLINK("https://twitter.com/mandorcarru","@mandorcarru")</f>
        <v>@mandorcarru</v>
      </c>
      <c r="C28898" s="8" t="s">
        <v>10963</v>
      </c>
      <c r="D28898" s="8">
        <v>0</v>
      </c>
      <c r="E28898" s="8">
        <v>0</v>
      </c>
      <c r="F28898" s="8">
        <v>587</v>
      </c>
    </row>
    <row r="28899" spans="1:6" ht="12.75">
      <c r="A28899" s="8">
        <v>43891.545405092591</v>
      </c>
      <c r="B28899" s="8" t="str">
        <f>HYPERLINK("https://twitter.com/ParthaSaderi","@ParthaSaderi")</f>
        <v>@ParthaSaderi</v>
      </c>
      <c r="C28899" s="8" t="s">
        <v>10964</v>
      </c>
      <c r="D28899" s="8">
        <v>0</v>
      </c>
      <c r="E28899" s="8">
        <v>0</v>
      </c>
      <c r="F28899" s="8">
        <v>5617</v>
      </c>
    </row>
    <row r="28900" spans="1:6" ht="12.75">
      <c r="A28900" s="8">
        <v>43891.545312499999</v>
      </c>
      <c r="B28900" s="8" t="str">
        <f>HYPERLINK("https://twitter.com/aandyrez","@aandyrez")</f>
        <v>@aandyrez</v>
      </c>
      <c r="C28900" s="8" t="s">
        <v>10889</v>
      </c>
      <c r="D28900" s="8">
        <v>2</v>
      </c>
      <c r="E28900" s="8">
        <v>0</v>
      </c>
      <c r="F28900" s="8">
        <v>253</v>
      </c>
    </row>
    <row r="28901" spans="1:6" ht="12.75">
      <c r="A28901" s="8">
        <v>43891.545289351852</v>
      </c>
      <c r="B28901" s="8" t="str">
        <f>HYPERLINK("https://twitter.com/Susanto13895819","@Susanto13895819")</f>
        <v>@Susanto13895819</v>
      </c>
      <c r="C28901" s="8" t="s">
        <v>10481</v>
      </c>
      <c r="D28901" s="8">
        <v>80</v>
      </c>
      <c r="E28901" s="8">
        <v>0</v>
      </c>
      <c r="F28901" s="8">
        <v>519</v>
      </c>
    </row>
    <row r="28902" spans="1:6" ht="12.75">
      <c r="A28902" s="8">
        <v>43891.545277777783</v>
      </c>
      <c r="B28902" s="8" t="str">
        <f>HYPERLINK("https://twitter.com/republikaonline","@republikaonline")</f>
        <v>@republikaonline</v>
      </c>
      <c r="C28902" s="8" t="s">
        <v>10965</v>
      </c>
      <c r="D28902" s="8">
        <v>0</v>
      </c>
      <c r="E28902" s="8">
        <v>0</v>
      </c>
      <c r="F28902" s="8">
        <v>1216302</v>
      </c>
    </row>
    <row r="28903" spans="1:6" ht="12.75">
      <c r="A28903" s="8">
        <v>43891.545034722221</v>
      </c>
      <c r="B28903" s="8" t="str">
        <f>HYPERLINK("https://twitter.com/ydkacrvl","@ydkacrvl")</f>
        <v>@ydkacrvl</v>
      </c>
      <c r="C28903" s="8" t="s">
        <v>10754</v>
      </c>
      <c r="D28903" s="8">
        <v>26</v>
      </c>
      <c r="E28903" s="8">
        <v>0</v>
      </c>
      <c r="F28903" s="8">
        <v>23</v>
      </c>
    </row>
    <row r="28904" spans="1:6" ht="12.75">
      <c r="A28904" s="8">
        <v>43891.544942129629</v>
      </c>
      <c r="B28904" s="8" t="str">
        <f>HYPERLINK("https://twitter.com/DenmasBedj0","@DenmasBedj0")</f>
        <v>@DenmasBedj0</v>
      </c>
      <c r="C28904" s="8" t="s">
        <v>10481</v>
      </c>
      <c r="D28904" s="8">
        <v>80</v>
      </c>
      <c r="E28904" s="8">
        <v>0</v>
      </c>
      <c r="F28904" s="8">
        <v>1878</v>
      </c>
    </row>
    <row r="28905" spans="1:6" ht="12.75">
      <c r="A28905" s="8">
        <v>43891.544340277775</v>
      </c>
      <c r="B28905" s="8" t="str">
        <f>HYPERLINK("https://twitter.com/dreizehana","@dreizehana")</f>
        <v>@dreizehana</v>
      </c>
      <c r="C28905" s="8" t="s">
        <v>2272</v>
      </c>
      <c r="D28905" s="8">
        <v>579</v>
      </c>
      <c r="E28905" s="8">
        <v>0</v>
      </c>
      <c r="F28905" s="8">
        <v>107</v>
      </c>
    </row>
    <row r="28906" spans="1:6" ht="12.75">
      <c r="A28906" s="8">
        <v>43891.544108796297</v>
      </c>
      <c r="B28906" s="8" t="str">
        <f>HYPERLINK("https://twitter.com/ryanxyz","@ryanxyz")</f>
        <v>@ryanxyz</v>
      </c>
      <c r="C28906" s="8" t="s">
        <v>10481</v>
      </c>
      <c r="D28906" s="8">
        <v>80</v>
      </c>
      <c r="E28906" s="8">
        <v>0</v>
      </c>
      <c r="F28906" s="8">
        <v>1217</v>
      </c>
    </row>
    <row r="28907" spans="1:6" ht="12.75">
      <c r="A28907" s="8">
        <v>43891.543935185182</v>
      </c>
      <c r="B28907" s="8" t="str">
        <f>HYPERLINK("https://twitter.com/novankris8","@novankris8")</f>
        <v>@novankris8</v>
      </c>
      <c r="C28907" s="8" t="s">
        <v>7437</v>
      </c>
      <c r="D28907" s="8">
        <v>413</v>
      </c>
      <c r="E28907" s="8">
        <v>0</v>
      </c>
      <c r="F28907" s="8">
        <v>78</v>
      </c>
    </row>
    <row r="28908" spans="1:6" ht="12.75">
      <c r="A28908" s="8">
        <v>43891.54378472222</v>
      </c>
      <c r="B28908" s="8" t="str">
        <f>HYPERLINK("https://twitter.com/De_Es_We","@De_Es_We")</f>
        <v>@De_Es_We</v>
      </c>
      <c r="C28908" s="8" t="s">
        <v>5900</v>
      </c>
      <c r="D28908" s="8">
        <v>3</v>
      </c>
      <c r="E28908" s="8">
        <v>0</v>
      </c>
      <c r="F28908" s="8">
        <v>629</v>
      </c>
    </row>
    <row r="28909" spans="1:6" ht="12.75">
      <c r="A28909" s="8">
        <v>43891.543773148151</v>
      </c>
      <c r="B28909" s="8" t="str">
        <f>HYPERLINK("https://twitter.com/NegeriTony","@NegeriTony")</f>
        <v>@NegeriTony</v>
      </c>
      <c r="C28909" s="8" t="s">
        <v>10755</v>
      </c>
      <c r="D28909" s="8">
        <v>705</v>
      </c>
      <c r="E28909" s="8">
        <v>0</v>
      </c>
      <c r="F28909" s="8">
        <v>3</v>
      </c>
    </row>
    <row r="28910" spans="1:6" ht="12.75">
      <c r="A28910" s="8">
        <v>43891.543726851851</v>
      </c>
      <c r="B28910" s="8" t="str">
        <f>HYPERLINK("https://twitter.com/ojeckerz","@ojeckerz")</f>
        <v>@ojeckerz</v>
      </c>
      <c r="C28910" s="8" t="s">
        <v>10481</v>
      </c>
      <c r="D28910" s="8">
        <v>80</v>
      </c>
      <c r="E28910" s="8">
        <v>0</v>
      </c>
      <c r="F28910" s="8">
        <v>248</v>
      </c>
    </row>
    <row r="28911" spans="1:6" ht="12.75">
      <c r="A28911" s="8">
        <v>43891.543425925927</v>
      </c>
      <c r="B28911" s="8" t="str">
        <f>HYPERLINK("https://twitter.com/BillTemporo","@BillTemporo")</f>
        <v>@BillTemporo</v>
      </c>
      <c r="C28911" s="8" t="s">
        <v>384</v>
      </c>
      <c r="D28911" s="8">
        <v>0</v>
      </c>
      <c r="E28911" s="8">
        <v>0</v>
      </c>
      <c r="F28911" s="8">
        <v>11</v>
      </c>
    </row>
    <row r="28912" spans="1:6" ht="12.75">
      <c r="A28912" s="8">
        <v>43891.543206018519</v>
      </c>
      <c r="B28912" s="8" t="str">
        <f>HYPERLINK("https://twitter.com/AmmaApri","@AmmaApri")</f>
        <v>@AmmaApri</v>
      </c>
      <c r="C28912" s="8" t="s">
        <v>10966</v>
      </c>
      <c r="D28912" s="8">
        <v>2</v>
      </c>
      <c r="E28912" s="8">
        <v>0</v>
      </c>
      <c r="F28912" s="8">
        <v>296</v>
      </c>
    </row>
    <row r="28913" spans="1:6" ht="12.75">
      <c r="A28913" s="8">
        <v>43891.54314814815</v>
      </c>
      <c r="B28913" s="8" t="str">
        <f>HYPERLINK("https://twitter.com/aulia2199","@aulia2199")</f>
        <v>@aulia2199</v>
      </c>
      <c r="C28913" s="8" t="s">
        <v>10600</v>
      </c>
      <c r="D28913" s="8">
        <v>276</v>
      </c>
      <c r="E28913" s="8">
        <v>0</v>
      </c>
      <c r="F28913" s="8">
        <v>125</v>
      </c>
    </row>
    <row r="28914" spans="1:6" ht="12.75">
      <c r="A28914" s="8">
        <v>43891.542986111112</v>
      </c>
      <c r="B28914" s="8" t="str">
        <f>HYPERLINK("https://twitter.com/sedangkan","@sedangkan")</f>
        <v>@sedangkan</v>
      </c>
      <c r="C28914" s="8" t="s">
        <v>10967</v>
      </c>
      <c r="D28914" s="8">
        <v>6</v>
      </c>
      <c r="E28914" s="8">
        <v>0</v>
      </c>
      <c r="F28914" s="8">
        <v>951</v>
      </c>
    </row>
    <row r="28915" spans="1:6" ht="12.75">
      <c r="A28915" s="8">
        <v>43891.542824074073</v>
      </c>
      <c r="B28915" s="8" t="str">
        <f>HYPERLINK("https://twitter.com/TatyBee_","@TatyBee_")</f>
        <v>@TatyBee_</v>
      </c>
      <c r="C28915" s="8" t="s">
        <v>2272</v>
      </c>
      <c r="D28915" s="8">
        <v>579</v>
      </c>
      <c r="E28915" s="8">
        <v>0</v>
      </c>
      <c r="F28915" s="8">
        <v>467</v>
      </c>
    </row>
    <row r="28916" spans="1:6" ht="12.75">
      <c r="A28916" s="8">
        <v>43891.542685185181</v>
      </c>
      <c r="B28916" s="8" t="str">
        <f>HYPERLINK("https://twitter.com/tmatocultivator","@tmatocultivator")</f>
        <v>@tmatocultivator</v>
      </c>
      <c r="C28916" s="8" t="s">
        <v>2272</v>
      </c>
      <c r="D28916" s="8">
        <v>579</v>
      </c>
      <c r="E28916" s="8">
        <v>0</v>
      </c>
      <c r="F28916" s="8">
        <v>104</v>
      </c>
    </row>
    <row r="28917" spans="1:6" ht="12.75">
      <c r="A28917" s="8">
        <v>43891.54210648148</v>
      </c>
      <c r="B28917" s="8" t="str">
        <f>HYPERLINK("https://twitter.com/chidaism","@chidaism")</f>
        <v>@chidaism</v>
      </c>
      <c r="C28917" s="8" t="s">
        <v>10600</v>
      </c>
      <c r="D28917" s="8">
        <v>276</v>
      </c>
      <c r="E28917" s="8">
        <v>0</v>
      </c>
      <c r="F28917" s="8">
        <v>943</v>
      </c>
    </row>
    <row r="28918" spans="1:6" ht="12.75">
      <c r="A28918" s="8">
        <v>43891.542037037041</v>
      </c>
      <c r="B28918" s="8" t="str">
        <f>HYPERLINK("https://twitter.com/syahruna_PD","@syahruna_PD")</f>
        <v>@syahruna_PD</v>
      </c>
      <c r="C28918" s="8" t="s">
        <v>8746</v>
      </c>
      <c r="D28918" s="8">
        <v>393</v>
      </c>
      <c r="E28918" s="8">
        <v>0</v>
      </c>
      <c r="F28918" s="8">
        <v>404</v>
      </c>
    </row>
    <row r="28919" spans="1:6" ht="12.75">
      <c r="A28919" s="8">
        <v>43891.542002314818</v>
      </c>
      <c r="B28919" s="8" t="str">
        <f>HYPERLINK("https://twitter.com/PutriSalatiga","@PutriSalatiga")</f>
        <v>@PutriSalatiga</v>
      </c>
      <c r="C28919" s="8" t="s">
        <v>7686</v>
      </c>
      <c r="D28919" s="8">
        <v>921</v>
      </c>
      <c r="E28919" s="8">
        <v>0</v>
      </c>
      <c r="F28919" s="8">
        <v>175</v>
      </c>
    </row>
    <row r="28920" spans="1:6" ht="12.75">
      <c r="A28920" s="8">
        <v>43891.541828703703</v>
      </c>
      <c r="B28920" s="8" t="str">
        <f>HYPERLINK("https://twitter.com/djohan_mailoa","@djohan_mailoa")</f>
        <v>@djohan_mailoa</v>
      </c>
      <c r="C28920" s="8" t="s">
        <v>10600</v>
      </c>
      <c r="D28920" s="8">
        <v>276</v>
      </c>
      <c r="E28920" s="8">
        <v>0</v>
      </c>
      <c r="F28920" s="8">
        <v>2378</v>
      </c>
    </row>
    <row r="28921" spans="1:6" ht="12.75">
      <c r="A28921" s="8">
        <v>43891.541805555556</v>
      </c>
      <c r="B28921" s="8" t="str">
        <f>HYPERLINK("https://twitter.com/Ale8a8a","@Ale8a8a")</f>
        <v>@Ale8a8a</v>
      </c>
      <c r="C28921" s="8" t="s">
        <v>10968</v>
      </c>
      <c r="D28921" s="8">
        <v>0</v>
      </c>
      <c r="E28921" s="8">
        <v>0</v>
      </c>
      <c r="F28921" s="8">
        <v>343</v>
      </c>
    </row>
    <row r="28922" spans="1:6" ht="12.75">
      <c r="A28922" s="8">
        <v>43891.541666666672</v>
      </c>
      <c r="B28922" s="8" t="str">
        <f>HYPERLINK("https://twitter.com/SeputariNews","@SeputariNews")</f>
        <v>@SeputariNews</v>
      </c>
      <c r="C28922" s="8" t="s">
        <v>10969</v>
      </c>
      <c r="D28922" s="8">
        <v>0</v>
      </c>
      <c r="E28922" s="8">
        <v>0</v>
      </c>
      <c r="F28922" s="8">
        <v>438694</v>
      </c>
    </row>
    <row r="28923" spans="1:6" ht="12.75">
      <c r="A28923" s="8">
        <v>43891.541412037041</v>
      </c>
      <c r="B28923" s="8" t="str">
        <f>HYPERLINK("https://twitter.com/hemaviton99","@hemaviton99")</f>
        <v>@hemaviton99</v>
      </c>
      <c r="C28923" s="8" t="s">
        <v>10970</v>
      </c>
      <c r="D28923" s="8">
        <v>1</v>
      </c>
      <c r="E28923" s="8">
        <v>0</v>
      </c>
      <c r="F28923" s="8">
        <v>5233</v>
      </c>
    </row>
    <row r="28924" spans="1:6" ht="12.75">
      <c r="A28924" s="8">
        <v>43891.541400462964</v>
      </c>
      <c r="B28924" s="8" t="str">
        <f>HYPERLINK("https://twitter.com/karyawantree","@karyawantree")</f>
        <v>@karyawantree</v>
      </c>
      <c r="C28924" s="8" t="s">
        <v>10971</v>
      </c>
      <c r="D28924" s="8">
        <v>27</v>
      </c>
      <c r="E28924" s="8">
        <v>0</v>
      </c>
      <c r="F28924" s="8">
        <v>1965</v>
      </c>
    </row>
    <row r="28925" spans="1:6" ht="12.75">
      <c r="A28925" s="8">
        <v>43891.541307870371</v>
      </c>
      <c r="B28925" s="8" t="str">
        <f>HYPERLINK("https://twitter.com/Galuhramadhania","@Galuhramadhania")</f>
        <v>@Galuhramadhania</v>
      </c>
      <c r="C28925" s="8" t="s">
        <v>9147</v>
      </c>
      <c r="D28925" s="8">
        <v>4</v>
      </c>
      <c r="E28925" s="8">
        <v>0</v>
      </c>
      <c r="F28925" s="8">
        <v>1967</v>
      </c>
    </row>
    <row r="28926" spans="1:6" ht="12.75">
      <c r="A28926" s="8">
        <v>43891.54106481481</v>
      </c>
      <c r="B28926" s="8" t="str">
        <f>HYPERLINK("https://twitter.com/YogaAdrianyoga6","@YogaAdrianyoga6")</f>
        <v>@YogaAdrianyoga6</v>
      </c>
      <c r="C28926" s="8" t="s">
        <v>10972</v>
      </c>
      <c r="D28926" s="8">
        <v>6</v>
      </c>
      <c r="E28926" s="8">
        <v>0</v>
      </c>
      <c r="F28926" s="8">
        <v>789</v>
      </c>
    </row>
    <row r="28927" spans="1:6" ht="12.75">
      <c r="A28927" s="8">
        <v>43891.540810185186</v>
      </c>
      <c r="B28927" s="8" t="str">
        <f>HYPERLINK("https://twitter.com/havanyusuf","@havanyusuf")</f>
        <v>@havanyusuf</v>
      </c>
      <c r="C28927" s="8" t="s">
        <v>2272</v>
      </c>
      <c r="D28927" s="8">
        <v>579</v>
      </c>
      <c r="E28927" s="8">
        <v>0</v>
      </c>
      <c r="F28927" s="8">
        <v>389</v>
      </c>
    </row>
    <row r="28928" spans="1:6" ht="12.75">
      <c r="A28928" s="8">
        <v>43891.540648148148</v>
      </c>
      <c r="B28928" s="8" t="str">
        <f>HYPERLINK("https://twitter.com/mediaindonesia","@mediaindonesia")</f>
        <v>@mediaindonesia</v>
      </c>
      <c r="C28928" s="8" t="s">
        <v>10973</v>
      </c>
      <c r="D28928" s="8">
        <v>1</v>
      </c>
      <c r="E28928" s="8">
        <v>5</v>
      </c>
      <c r="F28928" s="8">
        <v>1419446</v>
      </c>
    </row>
    <row r="28929" spans="1:6" ht="12.75">
      <c r="A28929" s="8">
        <v>43891.540347222224</v>
      </c>
      <c r="B28929" s="8" t="str">
        <f>HYPERLINK("https://twitter.com/topinfo_id","@topinfo_id")</f>
        <v>@topinfo_id</v>
      </c>
      <c r="C28929" s="8" t="s">
        <v>10974</v>
      </c>
      <c r="D28929" s="8">
        <v>0</v>
      </c>
      <c r="E28929" s="8">
        <v>0</v>
      </c>
      <c r="F28929" s="8">
        <v>23</v>
      </c>
    </row>
    <row r="28930" spans="1:6" ht="12.75">
      <c r="A28930" s="8">
        <v>43891.540300925924</v>
      </c>
      <c r="B28930" s="8" t="str">
        <f>HYPERLINK("https://twitter.com/Beritasatu","@Beritasatu")</f>
        <v>@Beritasatu</v>
      </c>
      <c r="C28930" s="8" t="s">
        <v>10975</v>
      </c>
      <c r="D28930" s="8">
        <v>0</v>
      </c>
      <c r="E28930" s="8">
        <v>1</v>
      </c>
      <c r="F28930" s="8">
        <v>616989</v>
      </c>
    </row>
    <row r="28931" spans="1:6" ht="12.75">
      <c r="A28931" s="8">
        <v>43891.540104166663</v>
      </c>
      <c r="B28931" s="8" t="str">
        <f>HYPERLINK("https://twitter.com/isworo63","@isworo63")</f>
        <v>@isworo63</v>
      </c>
      <c r="C28931" s="8" t="s">
        <v>10510</v>
      </c>
      <c r="D28931" s="8">
        <v>20</v>
      </c>
      <c r="E28931" s="8">
        <v>0</v>
      </c>
      <c r="F28931" s="8">
        <v>7</v>
      </c>
    </row>
    <row r="28932" spans="1:6" ht="12.75">
      <c r="A28932" s="8">
        <v>43891.540011574078</v>
      </c>
      <c r="B28932" s="8" t="str">
        <f>HYPERLINK("https://twitter.com/Borneo08","@Borneo08")</f>
        <v>@Borneo08</v>
      </c>
      <c r="C28932" s="8" t="s">
        <v>10971</v>
      </c>
      <c r="D28932" s="8">
        <v>27</v>
      </c>
      <c r="E28932" s="8">
        <v>0</v>
      </c>
      <c r="F28932" s="8">
        <v>1361</v>
      </c>
    </row>
    <row r="28933" spans="1:6" ht="12.75">
      <c r="A28933" s="8">
        <v>43891.539942129632</v>
      </c>
      <c r="B28933" s="8" t="str">
        <f>HYPERLINK("https://twitter.com/nuratisyahh","@nuratisyahh")</f>
        <v>@nuratisyahh</v>
      </c>
      <c r="C28933" s="8" t="s">
        <v>2272</v>
      </c>
      <c r="D28933" s="8">
        <v>579</v>
      </c>
      <c r="E28933" s="8">
        <v>0</v>
      </c>
      <c r="F28933" s="8">
        <v>407</v>
      </c>
    </row>
    <row r="28934" spans="1:6" ht="12.75">
      <c r="A28934" s="8">
        <v>43891.539814814816</v>
      </c>
      <c r="B28934" s="8" t="str">
        <f>HYPERLINK("https://twitter.com/ariati_indriani","@ariati_indriani")</f>
        <v>@ariati_indriani</v>
      </c>
      <c r="C28934" s="8" t="s">
        <v>10976</v>
      </c>
      <c r="D28934" s="8">
        <v>0</v>
      </c>
      <c r="E28934" s="8">
        <v>0</v>
      </c>
      <c r="F28934" s="8">
        <v>86</v>
      </c>
    </row>
    <row r="28935" spans="1:6" ht="12.75">
      <c r="A28935" s="8">
        <v>43891.539768518516</v>
      </c>
      <c r="B28935" s="8" t="str">
        <f>HYPERLINK("https://twitter.com/bayuilleano","@bayuilleano")</f>
        <v>@bayuilleano</v>
      </c>
      <c r="C28935" s="8" t="s">
        <v>10971</v>
      </c>
      <c r="D28935" s="8">
        <v>27</v>
      </c>
      <c r="E28935" s="8">
        <v>0</v>
      </c>
      <c r="F28935" s="8">
        <v>152</v>
      </c>
    </row>
    <row r="28936" spans="1:6" ht="12.75">
      <c r="A28936" s="8">
        <v>43891.539756944447</v>
      </c>
      <c r="B28936" s="8" t="str">
        <f>HYPERLINK("https://twitter.com/escincauhtm","@escincauhtm")</f>
        <v>@escincauhtm</v>
      </c>
      <c r="C28936" s="8" t="s">
        <v>2272</v>
      </c>
      <c r="D28936" s="8">
        <v>579</v>
      </c>
      <c r="E28936" s="8">
        <v>0</v>
      </c>
      <c r="F28936" s="8">
        <v>78</v>
      </c>
    </row>
    <row r="28937" spans="1:6" ht="12.75">
      <c r="A28937" s="8">
        <v>43891.539710648147</v>
      </c>
      <c r="B28937" s="8" t="str">
        <f>HYPERLINK("https://twitter.com/calonSKomAmin","@calonSKomAmin")</f>
        <v>@calonSKomAmin</v>
      </c>
      <c r="C28937" s="8" t="s">
        <v>2272</v>
      </c>
      <c r="D28937" s="8">
        <v>579</v>
      </c>
      <c r="E28937" s="8">
        <v>0</v>
      </c>
      <c r="F28937" s="8">
        <v>1026</v>
      </c>
    </row>
    <row r="28938" spans="1:6" ht="12.75">
      <c r="A28938" s="8">
        <v>43891.539606481485</v>
      </c>
      <c r="B28938" s="8" t="str">
        <f>HYPERLINK("https://twitter.com/hamvaallah","@hamvaallah")</f>
        <v>@hamvaallah</v>
      </c>
      <c r="C28938" s="8" t="s">
        <v>10977</v>
      </c>
      <c r="D28938" s="8">
        <v>0</v>
      </c>
      <c r="E28938" s="8">
        <v>0</v>
      </c>
      <c r="F28938" s="8">
        <v>19</v>
      </c>
    </row>
    <row r="28939" spans="1:6" ht="12.75">
      <c r="A28939" s="8">
        <v>43891.539548611108</v>
      </c>
      <c r="B28939" s="8" t="str">
        <f>HYPERLINK("https://twitter.com/Koces871","@Koces871")</f>
        <v>@Koces871</v>
      </c>
      <c r="C28939" s="8" t="s">
        <v>4235</v>
      </c>
      <c r="D28939" s="8">
        <v>1628</v>
      </c>
      <c r="E28939" s="8">
        <v>0</v>
      </c>
      <c r="F28939" s="8">
        <v>1721</v>
      </c>
    </row>
    <row r="28940" spans="1:6" ht="12.75">
      <c r="A28940" s="8">
        <v>43891.539502314816</v>
      </c>
      <c r="B28940" s="8" t="str">
        <f>HYPERLINK("https://twitter.com/FadhilN","@FadhilN")</f>
        <v>@FadhilN</v>
      </c>
      <c r="C28940" s="8" t="s">
        <v>2272</v>
      </c>
      <c r="D28940" s="8">
        <v>579</v>
      </c>
      <c r="E28940" s="8">
        <v>0</v>
      </c>
      <c r="F28940" s="8">
        <v>396</v>
      </c>
    </row>
    <row r="28941" spans="1:6" ht="12.75">
      <c r="A28941" s="8">
        <v>43891.539155092592</v>
      </c>
      <c r="B28941" s="8" t="str">
        <f t="shared" ref="B28941:B28942" si="394">HYPERLINK("https://twitter.com/sikecilmarmut","@sikecilmarmut")</f>
        <v>@sikecilmarmut</v>
      </c>
      <c r="C28941" s="8" t="s">
        <v>10978</v>
      </c>
      <c r="D28941" s="8">
        <v>1</v>
      </c>
      <c r="E28941" s="8">
        <v>0</v>
      </c>
      <c r="F28941" s="8">
        <v>2248</v>
      </c>
    </row>
    <row r="28942" spans="1:6" ht="12.75">
      <c r="A28942" s="8">
        <v>43891.539131944446</v>
      </c>
      <c r="B28942" s="8" t="str">
        <f t="shared" si="394"/>
        <v>@sikecilmarmut</v>
      </c>
      <c r="C28942" s="8" t="s">
        <v>10979</v>
      </c>
      <c r="D28942" s="8">
        <v>2</v>
      </c>
      <c r="E28942" s="8">
        <v>0</v>
      </c>
      <c r="F28942" s="8">
        <v>2248</v>
      </c>
    </row>
    <row r="28943" spans="1:6" ht="12.75">
      <c r="A28943" s="8">
        <v>43891.538807870369</v>
      </c>
      <c r="B28943" s="8" t="str">
        <f>HYPERLINK("https://twitter.com/tengil___","@tengil___")</f>
        <v>@tengil___</v>
      </c>
      <c r="C28943" s="8" t="s">
        <v>8096</v>
      </c>
      <c r="D28943" s="8">
        <v>55</v>
      </c>
      <c r="E28943" s="8">
        <v>0</v>
      </c>
      <c r="F28943" s="8">
        <v>533</v>
      </c>
    </row>
    <row r="28944" spans="1:6" ht="12.75">
      <c r="A28944" s="8">
        <v>43891.538449074069</v>
      </c>
      <c r="B28944" s="8" t="str">
        <f>HYPERLINK("https://twitter.com/kalangliwoo","@kalangliwoo")</f>
        <v>@kalangliwoo</v>
      </c>
      <c r="C28944" s="8" t="s">
        <v>10980</v>
      </c>
      <c r="D28944" s="8">
        <v>0</v>
      </c>
      <c r="E28944" s="8">
        <v>1</v>
      </c>
      <c r="F28944" s="8">
        <v>279</v>
      </c>
    </row>
    <row r="28945" spans="1:6" ht="12.75">
      <c r="A28945" s="8">
        <v>43891.538391203707</v>
      </c>
      <c r="B28945" s="8" t="str">
        <f>HYPERLINK("https://twitter.com/FelaOktaa","@FelaOktaa")</f>
        <v>@FelaOktaa</v>
      </c>
      <c r="C28945" s="8" t="s">
        <v>8096</v>
      </c>
      <c r="D28945" s="8">
        <v>55</v>
      </c>
      <c r="E28945" s="8">
        <v>0</v>
      </c>
      <c r="F28945" s="8">
        <v>680</v>
      </c>
    </row>
    <row r="28946" spans="1:6" ht="12.75">
      <c r="A28946" s="8">
        <v>43891.538101851853</v>
      </c>
      <c r="B28946" s="8" t="str">
        <f>HYPERLINK("https://twitter.com/Gunadi84380182","@Gunadi84380182")</f>
        <v>@Gunadi84380182</v>
      </c>
      <c r="C28946" s="8" t="s">
        <v>10481</v>
      </c>
      <c r="D28946" s="8">
        <v>80</v>
      </c>
      <c r="E28946" s="8">
        <v>0</v>
      </c>
      <c r="F28946" s="8">
        <v>74</v>
      </c>
    </row>
    <row r="28947" spans="1:6" ht="12.75">
      <c r="A28947" s="8">
        <v>43891.53805555556</v>
      </c>
      <c r="B28947" s="8" t="str">
        <f>HYPERLINK("https://twitter.com/FreeThinkerGL","@FreeThinkerGL")</f>
        <v>@FreeThinkerGL</v>
      </c>
      <c r="C28947" s="8" t="s">
        <v>10981</v>
      </c>
      <c r="D28947" s="8">
        <v>0</v>
      </c>
      <c r="E28947" s="8">
        <v>0</v>
      </c>
      <c r="F28947" s="8">
        <v>2211</v>
      </c>
    </row>
    <row r="28948" spans="1:6" ht="12.75">
      <c r="A28948" s="8">
        <v>43891.538020833337</v>
      </c>
      <c r="B28948" s="8" t="str">
        <f>HYPERLINK("https://twitter.com/adjie_pj","@adjie_pj")</f>
        <v>@adjie_pj</v>
      </c>
      <c r="C28948" s="8" t="s">
        <v>7437</v>
      </c>
      <c r="D28948" s="8">
        <v>413</v>
      </c>
      <c r="E28948" s="8">
        <v>0</v>
      </c>
      <c r="F28948" s="8">
        <v>23</v>
      </c>
    </row>
    <row r="28949" spans="1:6" ht="12.75">
      <c r="A28949" s="8">
        <v>43891.537986111114</v>
      </c>
      <c r="B28949" s="8" t="str">
        <f>HYPERLINK("https://twitter.com/ramyeond","@ramyeond")</f>
        <v>@ramyeond</v>
      </c>
      <c r="C28949" s="8" t="s">
        <v>2272</v>
      </c>
      <c r="D28949" s="8">
        <v>579</v>
      </c>
      <c r="E28949" s="8">
        <v>0</v>
      </c>
      <c r="F28949" s="8">
        <v>66</v>
      </c>
    </row>
    <row r="28950" spans="1:6" ht="12.75">
      <c r="A28950" s="8">
        <v>43891.537951388891</v>
      </c>
      <c r="B28950" s="8" t="str">
        <f>HYPERLINK("https://twitter.com/yamaneko88","@yamaneko88")</f>
        <v>@yamaneko88</v>
      </c>
      <c r="C28950" s="8" t="s">
        <v>10982</v>
      </c>
      <c r="D28950" s="8">
        <v>0</v>
      </c>
      <c r="E28950" s="8">
        <v>0</v>
      </c>
      <c r="F28950" s="8">
        <v>50</v>
      </c>
    </row>
    <row r="28951" spans="1:6" ht="12.75">
      <c r="A28951" s="8">
        <v>43891.537881944445</v>
      </c>
      <c r="B28951" s="8" t="str">
        <f>HYPERLINK("https://twitter.com/topinfo_id","@topinfo_id")</f>
        <v>@topinfo_id</v>
      </c>
      <c r="C28951" s="8" t="s">
        <v>10983</v>
      </c>
      <c r="D28951" s="8">
        <v>0</v>
      </c>
      <c r="E28951" s="8">
        <v>0</v>
      </c>
      <c r="F28951" s="8">
        <v>23</v>
      </c>
    </row>
    <row r="28952" spans="1:6" ht="12.75">
      <c r="A28952" s="8">
        <v>43891.537662037037</v>
      </c>
      <c r="B28952" s="8" t="str">
        <f>HYPERLINK("https://twitter.com/yudhapati88","@yudhapati88")</f>
        <v>@yudhapati88</v>
      </c>
      <c r="C28952" s="8" t="s">
        <v>10481</v>
      </c>
      <c r="D28952" s="8">
        <v>80</v>
      </c>
      <c r="E28952" s="8">
        <v>0</v>
      </c>
      <c r="F28952" s="8">
        <v>3438</v>
      </c>
    </row>
    <row r="28953" spans="1:6" ht="12.75">
      <c r="A28953" s="8">
        <v>43891.537349537037</v>
      </c>
      <c r="B28953" s="8" t="str">
        <f>HYPERLINK("https://twitter.com/kardustaiwan","@kardustaiwan")</f>
        <v>@kardustaiwan</v>
      </c>
      <c r="C28953" s="8" t="s">
        <v>10984</v>
      </c>
      <c r="D28953" s="8">
        <v>9</v>
      </c>
      <c r="E28953" s="8">
        <v>0</v>
      </c>
      <c r="F28953" s="8">
        <v>79</v>
      </c>
    </row>
    <row r="28954" spans="1:6" ht="12.75">
      <c r="A28954" s="8">
        <v>43891.537222222221</v>
      </c>
      <c r="B28954" s="8" t="str">
        <f>HYPERLINK("https://twitter.com/kiasleo","@kiasleo")</f>
        <v>@kiasleo</v>
      </c>
      <c r="C28954" s="8" t="s">
        <v>8096</v>
      </c>
      <c r="D28954" s="8">
        <v>55</v>
      </c>
      <c r="E28954" s="8">
        <v>0</v>
      </c>
      <c r="F28954" s="8">
        <v>632</v>
      </c>
    </row>
    <row r="28955" spans="1:6" ht="12.75">
      <c r="A28955" s="8">
        <v>43891.537106481483</v>
      </c>
      <c r="B28955" s="8" t="str">
        <f>HYPERLINK("https://twitter.com/cindy_mycellin","@cindy_mycellin")</f>
        <v>@cindy_mycellin</v>
      </c>
      <c r="C28955" s="8" t="s">
        <v>8096</v>
      </c>
      <c r="D28955" s="8">
        <v>55</v>
      </c>
      <c r="E28955" s="8">
        <v>0</v>
      </c>
      <c r="F28955" s="8">
        <v>68</v>
      </c>
    </row>
    <row r="28956" spans="1:6" ht="12.75">
      <c r="A28956" s="8">
        <v>43891.537106481483</v>
      </c>
      <c r="B28956" s="8" t="str">
        <f>HYPERLINK("https://twitter.com/Selian65280807","@Selian65280807")</f>
        <v>@Selian65280807</v>
      </c>
      <c r="C28956" s="8" t="s">
        <v>10443</v>
      </c>
      <c r="D28956" s="8">
        <v>28</v>
      </c>
      <c r="E28956" s="8">
        <v>0</v>
      </c>
      <c r="F28956" s="8">
        <v>1489</v>
      </c>
    </row>
    <row r="28957" spans="1:6" ht="12.75">
      <c r="A28957" s="8">
        <v>43891.537048611106</v>
      </c>
      <c r="B28957" s="8" t="str">
        <f>HYPERLINK("https://twitter.com/dimassetiaditya","@dimassetiaditya")</f>
        <v>@dimassetiaditya</v>
      </c>
      <c r="C28957" s="8" t="s">
        <v>7437</v>
      </c>
      <c r="D28957" s="8">
        <v>413</v>
      </c>
      <c r="E28957" s="8">
        <v>0</v>
      </c>
      <c r="F28957" s="8">
        <v>186</v>
      </c>
    </row>
    <row r="28958" spans="1:6" ht="12.75">
      <c r="A28958" s="8">
        <v>43891.536990740744</v>
      </c>
      <c r="B28958" s="8" t="str">
        <f>HYPERLINK("https://twitter.com/Mala_1920","@Mala_1920")</f>
        <v>@Mala_1920</v>
      </c>
      <c r="C28958" s="8" t="s">
        <v>10966</v>
      </c>
      <c r="D28958" s="8">
        <v>2</v>
      </c>
      <c r="E28958" s="8">
        <v>0</v>
      </c>
      <c r="F28958" s="8">
        <v>280</v>
      </c>
    </row>
    <row r="28959" spans="1:6" ht="12.75">
      <c r="A28959" s="8">
        <v>43891.536886574075</v>
      </c>
      <c r="B28959" s="8" t="str">
        <f>HYPERLINK("https://twitter.com/HendrawanSTB","@HendrawanSTB")</f>
        <v>@HendrawanSTB</v>
      </c>
      <c r="C28959" s="8" t="s">
        <v>2272</v>
      </c>
      <c r="D28959" s="8">
        <v>579</v>
      </c>
      <c r="E28959" s="8">
        <v>0</v>
      </c>
      <c r="F28959" s="8">
        <v>662</v>
      </c>
    </row>
    <row r="28960" spans="1:6" ht="12.75">
      <c r="A28960" s="8">
        <v>43891.536840277782</v>
      </c>
      <c r="B28960" s="8" t="str">
        <f>HYPERLINK("https://twitter.com/ahmadmunifarpa2","@ahmadmunifarpa2")</f>
        <v>@ahmadmunifarpa2</v>
      </c>
      <c r="C28960" s="8" t="s">
        <v>10985</v>
      </c>
      <c r="D28960" s="8">
        <v>0</v>
      </c>
      <c r="E28960" s="8">
        <v>0</v>
      </c>
      <c r="F28960" s="8">
        <v>7</v>
      </c>
    </row>
    <row r="28961" spans="1:6" ht="12.75">
      <c r="A28961" s="8">
        <v>43891.536840277782</v>
      </c>
      <c r="B28961" s="8" t="str">
        <f>HYPERLINK("https://twitter.com/sikecilmarmut","@sikecilmarmut")</f>
        <v>@sikecilmarmut</v>
      </c>
      <c r="C28961" s="8" t="s">
        <v>10984</v>
      </c>
      <c r="D28961" s="8">
        <v>9</v>
      </c>
      <c r="E28961" s="8">
        <v>0</v>
      </c>
      <c r="F28961" s="8">
        <v>2248</v>
      </c>
    </row>
    <row r="28962" spans="1:6" ht="12.75">
      <c r="A28962" s="8">
        <v>43891.536469907413</v>
      </c>
      <c r="B28962" s="8" t="str">
        <f>HYPERLINK("https://twitter.com/cadarmerah","@cadarmerah")</f>
        <v>@cadarmerah</v>
      </c>
      <c r="C28962" s="8" t="s">
        <v>10481</v>
      </c>
      <c r="D28962" s="8">
        <v>80</v>
      </c>
      <c r="E28962" s="8">
        <v>0</v>
      </c>
      <c r="F28962" s="8">
        <v>5665</v>
      </c>
    </row>
    <row r="28963" spans="1:6" ht="12.75">
      <c r="A28963" s="8">
        <v>43891.536192129628</v>
      </c>
      <c r="B28963" s="8" t="str">
        <f>HYPERLINK("https://twitter.com/umamamu_","@umamamu_")</f>
        <v>@umamamu_</v>
      </c>
      <c r="C28963" s="8" t="s">
        <v>10986</v>
      </c>
      <c r="D28963" s="8">
        <v>40</v>
      </c>
      <c r="E28963" s="8">
        <v>0</v>
      </c>
      <c r="F28963" s="8">
        <v>761</v>
      </c>
    </row>
    <row r="28964" spans="1:6" ht="12.75">
      <c r="A28964" s="8">
        <v>43891.535046296296</v>
      </c>
      <c r="B28964" s="8" t="str">
        <f>HYPERLINK("https://twitter.com/BeritaDekhoCom","@BeritaDekhoCom")</f>
        <v>@BeritaDekhoCom</v>
      </c>
      <c r="C28964" s="8" t="s">
        <v>10987</v>
      </c>
      <c r="D28964" s="8">
        <v>0</v>
      </c>
      <c r="E28964" s="8">
        <v>0</v>
      </c>
      <c r="F28964" s="8">
        <v>20</v>
      </c>
    </row>
    <row r="28965" spans="1:6" ht="12.75">
      <c r="A28965" s="8">
        <v>43891.534826388888</v>
      </c>
      <c r="B28965" s="8" t="str">
        <f>HYPERLINK("https://twitter.com/AniesSubianto","@AniesSubianto")</f>
        <v>@AniesSubianto</v>
      </c>
      <c r="C28965" s="8" t="s">
        <v>8096</v>
      </c>
      <c r="D28965" s="8">
        <v>55</v>
      </c>
      <c r="E28965" s="8">
        <v>0</v>
      </c>
      <c r="F28965" s="8">
        <v>406</v>
      </c>
    </row>
    <row r="28966" spans="1:6" ht="12.75">
      <c r="A28966" s="8">
        <v>43891.534675925926</v>
      </c>
      <c r="B28966" s="8" t="str">
        <f>HYPERLINK("https://twitter.com/HaryadiDadang","@HaryadiDadang")</f>
        <v>@HaryadiDadang</v>
      </c>
      <c r="C28966" s="8" t="s">
        <v>7437</v>
      </c>
      <c r="D28966" s="8">
        <v>413</v>
      </c>
      <c r="E28966" s="8">
        <v>0</v>
      </c>
      <c r="F28966" s="8">
        <v>9</v>
      </c>
    </row>
    <row r="28967" spans="1:6" ht="12.75">
      <c r="A28967" s="8">
        <v>43891.534432870365</v>
      </c>
      <c r="B28967" s="8" t="str">
        <f>HYPERLINK("https://twitter.com/AgungWidrajat","@AgungWidrajat")</f>
        <v>@AgungWidrajat</v>
      </c>
      <c r="C28967" s="8" t="s">
        <v>10816</v>
      </c>
      <c r="D28967" s="8">
        <v>50</v>
      </c>
      <c r="E28967" s="8">
        <v>0</v>
      </c>
      <c r="F28967" s="8">
        <v>2312</v>
      </c>
    </row>
    <row r="28968" spans="1:6" ht="12.75">
      <c r="A28968" s="8">
        <v>43891.53434027778</v>
      </c>
      <c r="B28968" s="8" t="str">
        <f>HYPERLINK("https://twitter.com/kalangliwoo","@kalangliwoo")</f>
        <v>@kalangliwoo</v>
      </c>
      <c r="C28968" s="8" t="s">
        <v>10988</v>
      </c>
      <c r="D28968" s="8">
        <v>0</v>
      </c>
      <c r="E28968" s="8">
        <v>0</v>
      </c>
      <c r="F28968" s="8">
        <v>279</v>
      </c>
    </row>
    <row r="28969" spans="1:6" ht="12.75">
      <c r="A28969" s="8">
        <v>43891.53429398148</v>
      </c>
      <c r="B28969" s="8" t="str">
        <f>HYPERLINK("https://twitter.com/poppynauky","@poppynauky")</f>
        <v>@poppynauky</v>
      </c>
      <c r="C28969" s="8" t="s">
        <v>8096</v>
      </c>
      <c r="D28969" s="8">
        <v>55</v>
      </c>
      <c r="E28969" s="8">
        <v>0</v>
      </c>
      <c r="F28969" s="8">
        <v>237</v>
      </c>
    </row>
    <row r="28970" spans="1:6" ht="12.75">
      <c r="A28970" s="8">
        <v>43891.534259259264</v>
      </c>
      <c r="B28970" s="8" t="str">
        <f>HYPERLINK("https://twitter.com/LuNa20410042","@LuNa20410042")</f>
        <v>@LuNa20410042</v>
      </c>
      <c r="C28970" s="8" t="s">
        <v>10443</v>
      </c>
      <c r="D28970" s="8">
        <v>28</v>
      </c>
      <c r="E28970" s="8">
        <v>0</v>
      </c>
      <c r="F28970" s="8">
        <v>415</v>
      </c>
    </row>
    <row r="28971" spans="1:6" ht="12.75">
      <c r="A28971" s="8">
        <v>43891.534120370372</v>
      </c>
      <c r="B28971" s="8" t="str">
        <f>HYPERLINK("https://twitter.com/mayonesbeku","@mayonesbeku")</f>
        <v>@mayonesbeku</v>
      </c>
      <c r="C28971" s="8" t="s">
        <v>2272</v>
      </c>
      <c r="D28971" s="8">
        <v>579</v>
      </c>
      <c r="E28971" s="8">
        <v>0</v>
      </c>
      <c r="F28971" s="8">
        <v>18</v>
      </c>
    </row>
    <row r="28972" spans="1:6" ht="12.75">
      <c r="A28972" s="8">
        <v>43891.534050925926</v>
      </c>
      <c r="B28972" s="8" t="str">
        <f>HYPERLINK("https://twitter.com/Data4Open","@Data4Open")</f>
        <v>@Data4Open</v>
      </c>
      <c r="C28972" s="8" t="s">
        <v>10989</v>
      </c>
      <c r="D28972" s="8">
        <v>1</v>
      </c>
      <c r="E28972" s="8">
        <v>0</v>
      </c>
      <c r="F28972" s="8">
        <v>134</v>
      </c>
    </row>
    <row r="28973" spans="1:6" ht="12.75">
      <c r="A28973" s="8">
        <v>43891.53402777778</v>
      </c>
      <c r="B28973" s="8" t="str">
        <f>HYPERLINK("https://twitter.com/nandatslnk","@nandatslnk")</f>
        <v>@nandatslnk</v>
      </c>
      <c r="C28973" s="8" t="s">
        <v>10990</v>
      </c>
      <c r="D28973" s="8">
        <v>0</v>
      </c>
      <c r="E28973" s="8">
        <v>0</v>
      </c>
      <c r="F28973" s="8">
        <v>4</v>
      </c>
    </row>
    <row r="28974" spans="1:6" ht="12.75">
      <c r="A28974" s="8">
        <v>43891.533668981487</v>
      </c>
      <c r="B28974" s="8" t="str">
        <f>HYPERLINK("https://twitter.com/ganjarpranowo","@ganjarpranowo")</f>
        <v>@ganjarpranowo</v>
      </c>
      <c r="C28974" s="8" t="s">
        <v>8096</v>
      </c>
      <c r="D28974" s="8">
        <v>55</v>
      </c>
      <c r="E28974" s="8">
        <v>0</v>
      </c>
      <c r="F28974" s="8">
        <v>1403596</v>
      </c>
    </row>
    <row r="28975" spans="1:6" ht="12.75">
      <c r="A28975" s="8">
        <v>43891.506840277776</v>
      </c>
      <c r="B28975" s="8" t="str">
        <f>HYPERLINK("https://twitter.com/nicktambunan","@nicktambunan")</f>
        <v>@nicktambunan</v>
      </c>
      <c r="C28975" s="8" t="s">
        <v>2272</v>
      </c>
      <c r="D28975" s="8">
        <v>501</v>
      </c>
      <c r="E28975" s="8">
        <v>0</v>
      </c>
      <c r="F28975" s="8">
        <v>1149</v>
      </c>
    </row>
    <row r="28976" spans="1:6" ht="12.75">
      <c r="A28976" s="8">
        <v>43891.506793981476</v>
      </c>
      <c r="B28976" s="8" t="str">
        <f>HYPERLINK("https://twitter.com/Pepi_AlPahlevi","@Pepi_AlPahlevi")</f>
        <v>@Pepi_AlPahlevi</v>
      </c>
      <c r="C28976" s="8" t="s">
        <v>10443</v>
      </c>
      <c r="D28976" s="8">
        <v>17</v>
      </c>
      <c r="E28976" s="8">
        <v>0</v>
      </c>
      <c r="F28976" s="8">
        <v>1269</v>
      </c>
    </row>
    <row r="28977" spans="1:6" ht="12.75">
      <c r="A28977" s="8">
        <v>43891.506469907406</v>
      </c>
      <c r="B28977" s="8" t="str">
        <f>HYPERLINK("https://twitter.com/bthree80","@bthree80")</f>
        <v>@bthree80</v>
      </c>
      <c r="C28977" s="8" t="s">
        <v>10991</v>
      </c>
      <c r="D28977" s="8">
        <v>2</v>
      </c>
      <c r="E28977" s="8">
        <v>0</v>
      </c>
      <c r="F28977" s="8">
        <v>1491</v>
      </c>
    </row>
    <row r="28978" spans="1:6" ht="12.75">
      <c r="A28978" s="8">
        <v>43891.506400462968</v>
      </c>
      <c r="B28978" s="8" t="str">
        <f>HYPERLINK("https://twitter.com/KiraraAmber","@KiraraAmber")</f>
        <v>@KiraraAmber</v>
      </c>
      <c r="C28978" s="8" t="s">
        <v>10992</v>
      </c>
      <c r="D28978" s="8">
        <v>1</v>
      </c>
      <c r="E28978" s="8">
        <v>0</v>
      </c>
      <c r="F28978" s="8">
        <v>2117</v>
      </c>
    </row>
    <row r="28979" spans="1:6" ht="12.75">
      <c r="A28979" s="8">
        <v>43891.506331018521</v>
      </c>
      <c r="B28979" s="8" t="str">
        <f>HYPERLINK("https://twitter.com/danangpelofr","@danangpelofr")</f>
        <v>@danangpelofr</v>
      </c>
      <c r="C28979" s="8" t="s">
        <v>2272</v>
      </c>
      <c r="D28979" s="8">
        <v>501</v>
      </c>
      <c r="E28979" s="8">
        <v>0</v>
      </c>
      <c r="F28979" s="8">
        <v>40</v>
      </c>
    </row>
    <row r="28980" spans="1:6" ht="12.75">
      <c r="A28980" s="8">
        <v>43891.506203703699</v>
      </c>
      <c r="B28980" s="8" t="str">
        <f>HYPERLINK("https://twitter.com/guhendulenlove","@guhendulenlove")</f>
        <v>@guhendulenlove</v>
      </c>
      <c r="C28980" s="8" t="s">
        <v>7437</v>
      </c>
      <c r="D28980" s="8">
        <v>402</v>
      </c>
      <c r="E28980" s="8">
        <v>0</v>
      </c>
      <c r="F28980" s="8">
        <v>376</v>
      </c>
    </row>
    <row r="28981" spans="1:6" ht="12.75">
      <c r="A28981" s="8">
        <v>43891.506192129629</v>
      </c>
      <c r="B28981" s="8" t="str">
        <f>HYPERLINK("https://twitter.com/K_Ompu","@K_Ompu")</f>
        <v>@K_Ompu</v>
      </c>
      <c r="C28981" s="8" t="s">
        <v>10816</v>
      </c>
      <c r="D28981" s="8">
        <v>44</v>
      </c>
      <c r="E28981" s="8">
        <v>0</v>
      </c>
      <c r="F28981" s="8">
        <v>156</v>
      </c>
    </row>
    <row r="28982" spans="1:6" ht="12.75">
      <c r="A28982" s="8">
        <v>43891.505902777775</v>
      </c>
      <c r="B28982" s="8" t="str">
        <f>HYPERLINK("https://twitter.com/Tarawinat4","@Tarawinat4")</f>
        <v>@Tarawinat4</v>
      </c>
      <c r="C28982" s="8" t="s">
        <v>10443</v>
      </c>
      <c r="D28982" s="8">
        <v>17</v>
      </c>
      <c r="E28982" s="8">
        <v>0</v>
      </c>
      <c r="F28982" s="8">
        <v>5413</v>
      </c>
    </row>
    <row r="28983" spans="1:6" ht="12.75">
      <c r="A28983" s="8">
        <v>43891.505879629629</v>
      </c>
      <c r="B28983" s="8" t="str">
        <f>HYPERLINK("https://twitter.com/zhibung","@zhibung")</f>
        <v>@zhibung</v>
      </c>
      <c r="C28983" s="8" t="s">
        <v>10993</v>
      </c>
      <c r="D28983" s="8">
        <v>0</v>
      </c>
      <c r="E28983" s="8">
        <v>0</v>
      </c>
      <c r="F28983" s="8">
        <v>1208</v>
      </c>
    </row>
    <row r="28984" spans="1:6" ht="12.75">
      <c r="A28984" s="8">
        <v>43891.505787037036</v>
      </c>
      <c r="B28984" s="8" t="str">
        <f>HYPERLINK("https://twitter.com/Kadalgurun1990","@Kadalgurun1990")</f>
        <v>@Kadalgurun1990</v>
      </c>
      <c r="C28984" s="8" t="s">
        <v>10894</v>
      </c>
      <c r="D28984" s="8">
        <v>17</v>
      </c>
      <c r="E28984" s="8">
        <v>0</v>
      </c>
      <c r="F28984" s="8">
        <v>450</v>
      </c>
    </row>
    <row r="28985" spans="1:6" ht="12.75">
      <c r="A28985" s="8">
        <v>43891.505706018521</v>
      </c>
      <c r="B28985" s="8" t="str">
        <f>HYPERLINK("https://twitter.com/myLucky0606","@myLucky0606")</f>
        <v>@myLucky0606</v>
      </c>
      <c r="C28985" s="8" t="s">
        <v>2272</v>
      </c>
      <c r="D28985" s="8">
        <v>501</v>
      </c>
      <c r="E28985" s="8">
        <v>0</v>
      </c>
      <c r="F28985" s="8">
        <v>833</v>
      </c>
    </row>
    <row r="28986" spans="1:6" ht="12.75">
      <c r="A28986" s="8">
        <v>43891.505567129629</v>
      </c>
      <c r="B28986" s="8" t="str">
        <f>HYPERLINK("https://twitter.com/Juni0r______305","@Juni0r______305")</f>
        <v>@Juni0r______305</v>
      </c>
      <c r="C28986" s="8" t="s">
        <v>10443</v>
      </c>
      <c r="D28986" s="8">
        <v>17</v>
      </c>
      <c r="E28986" s="8">
        <v>0</v>
      </c>
      <c r="F28986" s="8">
        <v>426</v>
      </c>
    </row>
    <row r="28987" spans="1:6" ht="12.75">
      <c r="A28987" s="8">
        <v>43891.505543981482</v>
      </c>
      <c r="B28987" s="8" t="str">
        <f>HYPERLINK("https://twitter.com/RadioElshinta","@RadioElshinta")</f>
        <v>@RadioElshinta</v>
      </c>
      <c r="C28987" s="8" t="s">
        <v>10994</v>
      </c>
      <c r="D28987" s="8">
        <v>1</v>
      </c>
      <c r="E28987" s="8">
        <v>1</v>
      </c>
      <c r="F28987" s="8">
        <v>3636133</v>
      </c>
    </row>
    <row r="28988" spans="1:6" ht="12.75">
      <c r="A28988" s="8">
        <v>43891.505509259259</v>
      </c>
      <c r="B28988" s="8" t="str">
        <f>HYPERLINK("https://twitter.com/shellasimbolon","@shellasimbolon")</f>
        <v>@shellasimbolon</v>
      </c>
      <c r="C28988" s="8" t="s">
        <v>2272</v>
      </c>
      <c r="D28988" s="8">
        <v>501</v>
      </c>
      <c r="E28988" s="8">
        <v>0</v>
      </c>
      <c r="F28988" s="8">
        <v>1203</v>
      </c>
    </row>
    <row r="28989" spans="1:6" ht="12.75">
      <c r="A28989" s="8">
        <v>43891.505486111113</v>
      </c>
      <c r="B28989" s="8" t="str">
        <f>HYPERLINK("https://twitter.com/LanangSudira1","@LanangSudira1")</f>
        <v>@LanangSudira1</v>
      </c>
      <c r="C28989" s="8" t="s">
        <v>10995</v>
      </c>
      <c r="D28989" s="8">
        <v>0</v>
      </c>
      <c r="E28989" s="8">
        <v>0</v>
      </c>
      <c r="F28989" s="8">
        <v>832</v>
      </c>
    </row>
    <row r="28990" spans="1:6" ht="12.75">
      <c r="A28990" s="8">
        <v>43891.505416666667</v>
      </c>
      <c r="B28990" s="8" t="str">
        <f>HYPERLINK("https://twitter.com/AlisonCandi","@AlisonCandi")</f>
        <v>@AlisonCandi</v>
      </c>
      <c r="C28990" s="8" t="s">
        <v>10846</v>
      </c>
      <c r="D28990" s="8">
        <v>4</v>
      </c>
      <c r="E28990" s="8">
        <v>0</v>
      </c>
      <c r="F28990" s="8">
        <v>46</v>
      </c>
    </row>
    <row r="28991" spans="1:6" ht="12.75">
      <c r="A28991" s="8">
        <v>43891.505057870367</v>
      </c>
      <c r="B28991" s="8" t="str">
        <f>HYPERLINK("https://twitter.com/donnyysetiawan","@donnyysetiawan")</f>
        <v>@donnyysetiawan</v>
      </c>
      <c r="C28991" s="8" t="s">
        <v>10443</v>
      </c>
      <c r="D28991" s="8">
        <v>17</v>
      </c>
      <c r="E28991" s="8">
        <v>0</v>
      </c>
      <c r="F28991" s="8">
        <v>653</v>
      </c>
    </row>
    <row r="28992" spans="1:6" ht="12.75">
      <c r="A28992" s="8">
        <v>43891.504942129628</v>
      </c>
      <c r="B28992" s="8" t="str">
        <f>HYPERLINK("https://twitter.com/estremarbun","@estremarbun")</f>
        <v>@estremarbun</v>
      </c>
      <c r="C28992" s="8" t="s">
        <v>2272</v>
      </c>
      <c r="D28992" s="8">
        <v>501</v>
      </c>
      <c r="E28992" s="8">
        <v>0</v>
      </c>
      <c r="F28992" s="8">
        <v>459</v>
      </c>
    </row>
    <row r="28993" spans="1:6" ht="12.75">
      <c r="A28993" s="8">
        <v>43891.504826388889</v>
      </c>
      <c r="B28993" s="8" t="str">
        <f>HYPERLINK("https://twitter.com/grassjelli","@grassjelli")</f>
        <v>@grassjelli</v>
      </c>
      <c r="C28993" s="8" t="s">
        <v>10996</v>
      </c>
      <c r="D28993" s="8">
        <v>0</v>
      </c>
      <c r="E28993" s="8">
        <v>0</v>
      </c>
      <c r="F28993" s="8">
        <v>992</v>
      </c>
    </row>
    <row r="28994" spans="1:6" ht="12.75">
      <c r="A28994" s="8">
        <v>43891.504594907412</v>
      </c>
      <c r="B28994" s="8" t="str">
        <f>HYPERLINK("https://twitter.com/rinkakuna","@rinkakuna")</f>
        <v>@rinkakuna</v>
      </c>
      <c r="C28994" s="8" t="s">
        <v>8746</v>
      </c>
      <c r="D28994" s="8">
        <v>392</v>
      </c>
      <c r="E28994" s="8">
        <v>0</v>
      </c>
      <c r="F28994" s="8">
        <v>631</v>
      </c>
    </row>
    <row r="28995" spans="1:6" ht="12.75">
      <c r="A28995" s="8">
        <v>43891.504583333328</v>
      </c>
      <c r="B28995" s="8" t="str">
        <f>HYPERLINK("https://twitter.com/ngupisantuy","@ngupisantuy")</f>
        <v>@ngupisantuy</v>
      </c>
      <c r="C28995" s="8" t="s">
        <v>10600</v>
      </c>
      <c r="D28995" s="8">
        <v>267</v>
      </c>
      <c r="E28995" s="8">
        <v>0</v>
      </c>
      <c r="F28995" s="8">
        <v>1659</v>
      </c>
    </row>
    <row r="28996" spans="1:6" ht="12.75">
      <c r="A28996" s="8">
        <v>43891.504050925927</v>
      </c>
      <c r="B28996" s="8" t="str">
        <f>HYPERLINK("https://twitter.com/torelicious","@torelicious")</f>
        <v>@torelicious</v>
      </c>
      <c r="C28996" s="8" t="s">
        <v>2272</v>
      </c>
      <c r="D28996" s="8">
        <v>501</v>
      </c>
      <c r="E28996" s="8">
        <v>0</v>
      </c>
      <c r="F28996" s="8">
        <v>1057</v>
      </c>
    </row>
    <row r="28997" spans="1:6" ht="12.75">
      <c r="A28997" s="8">
        <v>43891.503877314812</v>
      </c>
      <c r="B28997" s="8" t="str">
        <f>HYPERLINK("https://twitter.com/kondekturbus_","@kondekturbus_")</f>
        <v>@kondekturbus_</v>
      </c>
      <c r="C28997" s="8" t="s">
        <v>10536</v>
      </c>
      <c r="D28997" s="8">
        <v>2</v>
      </c>
      <c r="E28997" s="8">
        <v>0</v>
      </c>
      <c r="F28997" s="8">
        <v>14325</v>
      </c>
    </row>
    <row r="28998" spans="1:6" ht="12.75">
      <c r="A28998" s="8">
        <v>43891.503796296296</v>
      </c>
      <c r="B28998" s="8" t="str">
        <f>HYPERLINK("https://twitter.com/aidilsg","@aidilsg")</f>
        <v>@aidilsg</v>
      </c>
      <c r="C28998" s="8" t="s">
        <v>2272</v>
      </c>
      <c r="D28998" s="8">
        <v>501</v>
      </c>
      <c r="E28998" s="8">
        <v>0</v>
      </c>
      <c r="F28998" s="8">
        <v>157</v>
      </c>
    </row>
    <row r="28999" spans="1:6" ht="12.75">
      <c r="A28999" s="8">
        <v>43891.503738425927</v>
      </c>
      <c r="B28999" s="8" t="str">
        <f>HYPERLINK("https://twitter.com/Zebra_zxz","@Zebra_zxz")</f>
        <v>@Zebra_zxz</v>
      </c>
      <c r="C28999" s="8" t="s">
        <v>2272</v>
      </c>
      <c r="D28999" s="8">
        <v>501</v>
      </c>
      <c r="E28999" s="8">
        <v>0</v>
      </c>
      <c r="F28999" s="8">
        <v>119</v>
      </c>
    </row>
    <row r="29000" spans="1:6" ht="12.75">
      <c r="A29000" s="8">
        <v>43891.503518518519</v>
      </c>
      <c r="B29000" s="8" t="str">
        <f>HYPERLINK("https://twitter.com/MoonMacaroon27","@MoonMacaroon27")</f>
        <v>@MoonMacaroon27</v>
      </c>
      <c r="C29000" s="8" t="s">
        <v>10997</v>
      </c>
      <c r="D29000" s="8">
        <v>3</v>
      </c>
      <c r="E29000" s="8">
        <v>0</v>
      </c>
      <c r="F29000" s="8">
        <v>104</v>
      </c>
    </row>
    <row r="29001" spans="1:6" ht="12.75">
      <c r="A29001" s="8">
        <v>43891.502893518518</v>
      </c>
      <c r="B29001" s="8" t="str">
        <f>HYPERLINK("https://twitter.com/Sunyoto39120193","@Sunyoto39120193")</f>
        <v>@Sunyoto39120193</v>
      </c>
      <c r="C29001" s="8" t="s">
        <v>10998</v>
      </c>
      <c r="D29001" s="8">
        <v>0</v>
      </c>
      <c r="E29001" s="8">
        <v>0</v>
      </c>
      <c r="F29001" s="8">
        <v>42</v>
      </c>
    </row>
    <row r="29002" spans="1:6" ht="12.75">
      <c r="A29002" s="8">
        <v>43891.50277777778</v>
      </c>
      <c r="B29002" s="8" t="str">
        <f>HYPERLINK("https://twitter.com/julyanasimamora","@julyanasimamora")</f>
        <v>@julyanasimamora</v>
      </c>
      <c r="C29002" s="8" t="s">
        <v>10999</v>
      </c>
      <c r="D29002" s="8">
        <v>0</v>
      </c>
      <c r="E29002" s="8">
        <v>0</v>
      </c>
      <c r="F29002" s="8">
        <v>481</v>
      </c>
    </row>
    <row r="29003" spans="1:6" ht="12.75">
      <c r="A29003" s="8">
        <v>43891.50271990741</v>
      </c>
      <c r="B29003" s="8" t="str">
        <f>HYPERLINK("https://twitter.com/dionMomongan","@dionMomongan")</f>
        <v>@dionMomongan</v>
      </c>
      <c r="C29003" s="8" t="s">
        <v>10600</v>
      </c>
      <c r="D29003" s="8">
        <v>267</v>
      </c>
      <c r="E29003" s="8">
        <v>0</v>
      </c>
      <c r="F29003" s="8">
        <v>5084</v>
      </c>
    </row>
    <row r="29004" spans="1:6" ht="12.75">
      <c r="A29004" s="8">
        <v>43891.502314814818</v>
      </c>
      <c r="B29004" s="8" t="str">
        <f>HYPERLINK("https://twitter.com/DenameNoname","@DenameNoname")</f>
        <v>@DenameNoname</v>
      </c>
      <c r="C29004" s="8" t="s">
        <v>7686</v>
      </c>
      <c r="D29004" s="8">
        <v>917</v>
      </c>
      <c r="E29004" s="8">
        <v>0</v>
      </c>
      <c r="F29004" s="8">
        <v>135</v>
      </c>
    </row>
    <row r="29005" spans="1:6" ht="12.75">
      <c r="A29005" s="8">
        <v>43891.502141203702</v>
      </c>
      <c r="B29005" s="8" t="str">
        <f>HYPERLINK("https://twitter.com/skyincolour","@skyincolour")</f>
        <v>@skyincolour</v>
      </c>
      <c r="C29005" s="8" t="s">
        <v>10997</v>
      </c>
      <c r="D29005" s="8">
        <v>3</v>
      </c>
      <c r="E29005" s="8">
        <v>0</v>
      </c>
      <c r="F29005" s="8">
        <v>144</v>
      </c>
    </row>
    <row r="29006" spans="1:6" ht="12.75">
      <c r="A29006" s="8">
        <v>43891.502118055556</v>
      </c>
      <c r="B29006" s="8" t="str">
        <f>HYPERLINK("https://twitter.com/Buyuang13841239","@Buyuang13841239")</f>
        <v>@Buyuang13841239</v>
      </c>
      <c r="C29006" s="8" t="s">
        <v>11000</v>
      </c>
      <c r="D29006" s="8">
        <v>0</v>
      </c>
      <c r="E29006" s="8">
        <v>0</v>
      </c>
      <c r="F29006" s="8">
        <v>10</v>
      </c>
    </row>
    <row r="29007" spans="1:6" ht="12.75">
      <c r="A29007" s="8">
        <v>43891.501921296294</v>
      </c>
      <c r="B29007" s="8" t="str">
        <f>HYPERLINK("https://twitter.com/dionMomongan","@dionMomongan")</f>
        <v>@dionMomongan</v>
      </c>
      <c r="C29007" s="8" t="s">
        <v>10481</v>
      </c>
      <c r="D29007" s="8">
        <v>48</v>
      </c>
      <c r="E29007" s="8">
        <v>0</v>
      </c>
      <c r="F29007" s="8">
        <v>5084</v>
      </c>
    </row>
    <row r="29008" spans="1:6" ht="12.75">
      <c r="A29008" s="8">
        <v>43891.501643518517</v>
      </c>
      <c r="B29008" s="8" t="str">
        <f>HYPERLINK("https://twitter.com/OpanMin0n","@OpanMin0n")</f>
        <v>@OpanMin0n</v>
      </c>
      <c r="C29008" s="8" t="s">
        <v>10443</v>
      </c>
      <c r="D29008" s="8">
        <v>17</v>
      </c>
      <c r="E29008" s="8">
        <v>0</v>
      </c>
      <c r="F29008" s="8">
        <v>5716</v>
      </c>
    </row>
    <row r="29009" spans="1:6" ht="12.75">
      <c r="A29009" s="8">
        <v>43891.501643518517</v>
      </c>
      <c r="B29009" s="8" t="str">
        <f>HYPERLINK("https://twitter.com/ibnuRosyidi4","@ibnuRosyidi4")</f>
        <v>@ibnuRosyidi4</v>
      </c>
      <c r="C29009" s="8" t="s">
        <v>10600</v>
      </c>
      <c r="D29009" s="8">
        <v>267</v>
      </c>
      <c r="E29009" s="8">
        <v>0</v>
      </c>
      <c r="F29009" s="8">
        <v>48</v>
      </c>
    </row>
    <row r="29010" spans="1:6" ht="12.75">
      <c r="A29010" s="8">
        <v>43891.501585648148</v>
      </c>
      <c r="B29010" s="8" t="str">
        <f>HYPERLINK("https://twitter.com/anjarisme","@anjarisme")</f>
        <v>@anjarisme</v>
      </c>
      <c r="C29010" s="8" t="s">
        <v>11001</v>
      </c>
      <c r="D29010" s="8">
        <v>2</v>
      </c>
      <c r="E29010" s="8">
        <v>0</v>
      </c>
      <c r="F29010" s="8">
        <v>10588</v>
      </c>
    </row>
    <row r="29011" spans="1:6" ht="12.75">
      <c r="A29011" s="8">
        <v>43891.501527777778</v>
      </c>
      <c r="B29011" s="8" t="str">
        <f>HYPERLINK("https://twitter.com/Yudhistiraad1","@Yudhistiraad1")</f>
        <v>@Yudhistiraad1</v>
      </c>
      <c r="C29011" s="8" t="s">
        <v>11002</v>
      </c>
      <c r="D29011" s="8">
        <v>0</v>
      </c>
      <c r="E29011" s="8">
        <v>0</v>
      </c>
      <c r="F29011" s="8">
        <v>43</v>
      </c>
    </row>
    <row r="29012" spans="1:6" ht="12.75">
      <c r="A29012" s="8">
        <v>43891.501388888893</v>
      </c>
      <c r="B29012" s="8" t="str">
        <f>HYPERLINK("https://twitter.com/rqlabigail","@rqlabigail")</f>
        <v>@rqlabigail</v>
      </c>
      <c r="C29012" s="8" t="s">
        <v>11003</v>
      </c>
      <c r="D29012" s="8">
        <v>0</v>
      </c>
      <c r="E29012" s="8">
        <v>0</v>
      </c>
      <c r="F29012" s="8">
        <v>4</v>
      </c>
    </row>
    <row r="29013" spans="1:6" ht="12.75">
      <c r="A29013" s="8">
        <v>43891.501238425924</v>
      </c>
      <c r="B29013" s="8" t="str">
        <f>HYPERLINK("https://twitter.com/audindh","@audindh")</f>
        <v>@audindh</v>
      </c>
      <c r="C29013" s="8" t="s">
        <v>11004</v>
      </c>
      <c r="D29013" s="8">
        <v>0</v>
      </c>
      <c r="E29013" s="8">
        <v>0</v>
      </c>
      <c r="F29013" s="8">
        <v>1015</v>
      </c>
    </row>
    <row r="29014" spans="1:6" ht="12.75">
      <c r="A29014" s="8">
        <v>43891.501226851848</v>
      </c>
      <c r="B29014" s="8" t="str">
        <f>HYPERLINK("https://twitter.com/LanangSudira1","@LanangSudira1")</f>
        <v>@LanangSudira1</v>
      </c>
      <c r="C29014" s="8" t="s">
        <v>10536</v>
      </c>
      <c r="D29014" s="8">
        <v>2</v>
      </c>
      <c r="E29014" s="8">
        <v>0</v>
      </c>
      <c r="F29014" s="8">
        <v>832</v>
      </c>
    </row>
    <row r="29015" spans="1:6" ht="12.75">
      <c r="A29015" s="8">
        <v>43891.501157407409</v>
      </c>
      <c r="B29015" s="8" t="str">
        <f>HYPERLINK("https://twitter.com/RickyVSim","@RickyVSim")</f>
        <v>@RickyVSim</v>
      </c>
      <c r="C29015" s="8" t="s">
        <v>11005</v>
      </c>
      <c r="D29015" s="8">
        <v>0</v>
      </c>
      <c r="E29015" s="8">
        <v>0</v>
      </c>
      <c r="F29015" s="8">
        <v>547</v>
      </c>
    </row>
    <row r="29016" spans="1:6" ht="12.75">
      <c r="A29016" s="8">
        <v>43891.501041666663</v>
      </c>
      <c r="B29016" s="8" t="str">
        <f>HYPERLINK("https://twitter.com/TDoonal","@TDoonal")</f>
        <v>@TDoonal</v>
      </c>
      <c r="C29016" s="8" t="s">
        <v>11006</v>
      </c>
      <c r="D29016" s="8">
        <v>0</v>
      </c>
      <c r="E29016" s="8">
        <v>0</v>
      </c>
      <c r="F29016" s="8">
        <v>134</v>
      </c>
    </row>
    <row r="29017" spans="1:6" ht="12.75">
      <c r="A29017" s="8">
        <v>43891.500983796301</v>
      </c>
      <c r="B29017" s="8" t="str">
        <f>HYPERLINK("https://twitter.com/RizqiRomdhoni","@RizqiRomdhoni")</f>
        <v>@RizqiRomdhoni</v>
      </c>
      <c r="C29017" s="8" t="s">
        <v>7437</v>
      </c>
      <c r="D29017" s="8">
        <v>402</v>
      </c>
      <c r="E29017" s="8">
        <v>0</v>
      </c>
      <c r="F29017" s="8">
        <v>1797</v>
      </c>
    </row>
    <row r="29018" spans="1:6" ht="12.75">
      <c r="A29018" s="8">
        <v>43891.500937500001</v>
      </c>
      <c r="B29018" s="8" t="str">
        <f>HYPERLINK("https://twitter.com/Rikky_Alik","@Rikky_Alik")</f>
        <v>@Rikky_Alik</v>
      </c>
      <c r="C29018" s="8" t="s">
        <v>2272</v>
      </c>
      <c r="D29018" s="8">
        <v>501</v>
      </c>
      <c r="E29018" s="8">
        <v>0</v>
      </c>
      <c r="F29018" s="8">
        <v>940</v>
      </c>
    </row>
    <row r="29019" spans="1:6" ht="12.75">
      <c r="A29019" s="8">
        <v>43891.500833333332</v>
      </c>
      <c r="B29019" s="8" t="str">
        <f>HYPERLINK("https://twitter.com/pherasim","@pherasim")</f>
        <v>@pherasim</v>
      </c>
      <c r="C29019" s="8" t="s">
        <v>7437</v>
      </c>
      <c r="D29019" s="8">
        <v>402</v>
      </c>
      <c r="E29019" s="8">
        <v>0</v>
      </c>
      <c r="F29019" s="8">
        <v>252</v>
      </c>
    </row>
    <row r="29020" spans="1:6" ht="12.75">
      <c r="A29020" s="8">
        <v>43891.500625000001</v>
      </c>
      <c r="B29020" s="8" t="str">
        <f>HYPERLINK("https://twitter.com/seungnia","@seungnia")</f>
        <v>@seungnia</v>
      </c>
      <c r="C29020" s="8" t="s">
        <v>2272</v>
      </c>
      <c r="D29020" s="8">
        <v>501</v>
      </c>
      <c r="E29020" s="8">
        <v>0</v>
      </c>
      <c r="F29020" s="8">
        <v>423</v>
      </c>
    </row>
    <row r="29021" spans="1:6" ht="12.75">
      <c r="A29021" s="8">
        <v>43891.500590277778</v>
      </c>
      <c r="B29021" s="8" t="str">
        <f>HYPERLINK("https://twitter.com/BNPB_Indonesia","@BNPB_Indonesia")</f>
        <v>@BNPB_Indonesia</v>
      </c>
      <c r="C29021" s="8" t="s">
        <v>11007</v>
      </c>
      <c r="D29021" s="8">
        <v>2</v>
      </c>
      <c r="E29021" s="8">
        <v>5</v>
      </c>
      <c r="F29021" s="8">
        <v>228828</v>
      </c>
    </row>
    <row r="29022" spans="1:6" ht="12.75">
      <c r="A29022" s="8">
        <v>43891.500405092593</v>
      </c>
      <c r="B29022" s="8" t="str">
        <f>HYPERLINK("https://twitter.com/Yuko_idr","@Yuko_idr")</f>
        <v>@Yuko_idr</v>
      </c>
      <c r="C29022" s="8" t="s">
        <v>4235</v>
      </c>
      <c r="D29022" s="8">
        <v>1625</v>
      </c>
      <c r="E29022" s="8">
        <v>0</v>
      </c>
      <c r="F29022" s="8">
        <v>130</v>
      </c>
    </row>
    <row r="29023" spans="1:6" ht="12.75">
      <c r="A29023" s="8">
        <v>43891.500347222223</v>
      </c>
      <c r="B29023" s="8" t="str">
        <f>HYPERLINK("https://twitter.com/budhartono","@budhartono")</f>
        <v>@budhartono</v>
      </c>
      <c r="C29023" s="8" t="s">
        <v>10816</v>
      </c>
      <c r="D29023" s="8">
        <v>44</v>
      </c>
      <c r="E29023" s="8">
        <v>0</v>
      </c>
      <c r="F29023" s="8">
        <v>551</v>
      </c>
    </row>
    <row r="29024" spans="1:6" ht="12.75">
      <c r="A29024" s="8">
        <v>43891.500324074077</v>
      </c>
      <c r="B29024" s="8" t="str">
        <f>HYPERLINK("https://twitter.com/ArieKakiailatu","@ArieKakiailatu")</f>
        <v>@ArieKakiailatu</v>
      </c>
      <c r="C29024" s="8" t="s">
        <v>10481</v>
      </c>
      <c r="D29024" s="8">
        <v>48</v>
      </c>
      <c r="E29024" s="8">
        <v>0</v>
      </c>
      <c r="F29024" s="8">
        <v>187</v>
      </c>
    </row>
    <row r="29025" spans="1:6" ht="12.75">
      <c r="A29025" s="8">
        <v>43891.5003125</v>
      </c>
      <c r="B29025" s="8" t="str">
        <f>HYPERLINK("https://twitter.com/dindasf","@dindasf")</f>
        <v>@dindasf</v>
      </c>
      <c r="C29025" s="8" t="s">
        <v>2272</v>
      </c>
      <c r="D29025" s="8">
        <v>501</v>
      </c>
      <c r="E29025" s="8">
        <v>0</v>
      </c>
      <c r="F29025" s="8">
        <v>398</v>
      </c>
    </row>
    <row r="29026" spans="1:6" ht="12.75">
      <c r="A29026" s="8">
        <v>43891.500034722223</v>
      </c>
      <c r="B29026" s="8" t="str">
        <f>HYPERLINK("https://twitter.com/i_mokoginta","@i_mokoginta")</f>
        <v>@i_mokoginta</v>
      </c>
      <c r="C29026" s="8" t="s">
        <v>11008</v>
      </c>
      <c r="D29026" s="8">
        <v>0</v>
      </c>
      <c r="E29026" s="8">
        <v>0</v>
      </c>
      <c r="F29026" s="8">
        <v>2846</v>
      </c>
    </row>
    <row r="29027" spans="1:6" ht="12.75">
      <c r="A29027" s="8">
        <v>43891.5</v>
      </c>
      <c r="B29027" s="8" t="str">
        <f>HYPERLINK("https://twitter.com/GTVID_News","@GTVID_News")</f>
        <v>@GTVID_News</v>
      </c>
      <c r="C29027" s="8" t="s">
        <v>10969</v>
      </c>
      <c r="D29027" s="8">
        <v>0</v>
      </c>
      <c r="E29027" s="8">
        <v>0</v>
      </c>
      <c r="F29027" s="8">
        <v>10805</v>
      </c>
    </row>
    <row r="29028" spans="1:6" ht="12.75">
      <c r="A29028" s="8">
        <v>43891.5</v>
      </c>
      <c r="B29028" s="8" t="str">
        <f>HYPERLINK("https://twitter.com/SiJombloKreatif","@SiJombloKreatif")</f>
        <v>@SiJombloKreatif</v>
      </c>
      <c r="C29028" s="8" t="s">
        <v>11009</v>
      </c>
      <c r="D29028" s="8">
        <v>0</v>
      </c>
      <c r="E29028" s="8">
        <v>0</v>
      </c>
      <c r="F29028" s="8">
        <v>121749</v>
      </c>
    </row>
    <row r="29029" spans="1:6" ht="12.75">
      <c r="A29029" s="8">
        <v>43891.499895833331</v>
      </c>
      <c r="B29029" s="8" t="str">
        <f>HYPERLINK("https://twitter.com/notogog","@notogog")</f>
        <v>@notogog</v>
      </c>
      <c r="C29029" s="8" t="s">
        <v>4235</v>
      </c>
      <c r="D29029" s="8">
        <v>1625</v>
      </c>
      <c r="E29029" s="8">
        <v>0</v>
      </c>
      <c r="F29029" s="8">
        <v>2185</v>
      </c>
    </row>
    <row r="29030" spans="1:6" ht="12.75">
      <c r="A29030" s="8">
        <v>43891.499814814815</v>
      </c>
      <c r="B29030" s="8" t="str">
        <f t="shared" ref="B29030:B29031" si="395">HYPERLINK("https://twitter.com/ShyaReepah","@ShyaReepah")</f>
        <v>@ShyaReepah</v>
      </c>
      <c r="C29030" s="8" t="s">
        <v>10816</v>
      </c>
      <c r="D29030" s="8">
        <v>44</v>
      </c>
      <c r="E29030" s="8">
        <v>0</v>
      </c>
      <c r="F29030" s="8">
        <v>1025</v>
      </c>
    </row>
    <row r="29031" spans="1:6" ht="12.75">
      <c r="A29031" s="8">
        <v>43891.4997337963</v>
      </c>
      <c r="B29031" s="8" t="str">
        <f t="shared" si="395"/>
        <v>@ShyaReepah</v>
      </c>
      <c r="C29031" s="8" t="s">
        <v>11010</v>
      </c>
      <c r="D29031" s="8">
        <v>0</v>
      </c>
      <c r="E29031" s="8">
        <v>1</v>
      </c>
      <c r="F29031" s="8">
        <v>1025</v>
      </c>
    </row>
    <row r="29032" spans="1:6" ht="12.75">
      <c r="A29032" s="8">
        <v>43891.499699074076</v>
      </c>
      <c r="B29032" s="8" t="str">
        <f>HYPERLINK("https://twitter.com/withntiw","@withntiw")</f>
        <v>@withntiw</v>
      </c>
      <c r="C29032" s="8" t="s">
        <v>11011</v>
      </c>
      <c r="D29032" s="8">
        <v>0</v>
      </c>
      <c r="E29032" s="8">
        <v>0</v>
      </c>
      <c r="F29032" s="8">
        <v>16</v>
      </c>
    </row>
    <row r="29033" spans="1:6" ht="12.75">
      <c r="A29033" s="8">
        <v>43891.499594907407</v>
      </c>
      <c r="B29033" s="8" t="str">
        <f>HYPERLINK("https://twitter.com/DeryRy_","@DeryRy_")</f>
        <v>@DeryRy_</v>
      </c>
      <c r="C29033" s="8" t="s">
        <v>11012</v>
      </c>
      <c r="D29033" s="8">
        <v>3</v>
      </c>
      <c r="E29033" s="8">
        <v>0</v>
      </c>
      <c r="F29033" s="8">
        <v>147</v>
      </c>
    </row>
    <row r="29034" spans="1:6" ht="12.75">
      <c r="A29034" s="8">
        <v>43891.499178240745</v>
      </c>
      <c r="B29034" s="8" t="str">
        <f t="shared" ref="B29034:B29035" si="396">HYPERLINK("https://twitter.com/SiJombloKreatif","@SiJombloKreatif")</f>
        <v>@SiJombloKreatif</v>
      </c>
      <c r="C29034" s="8" t="s">
        <v>4785</v>
      </c>
      <c r="D29034" s="8">
        <v>503</v>
      </c>
      <c r="E29034" s="8">
        <v>0</v>
      </c>
      <c r="F29034" s="8">
        <v>121749</v>
      </c>
    </row>
    <row r="29035" spans="1:6" ht="12.75">
      <c r="A29035" s="8">
        <v>43891.499131944445</v>
      </c>
      <c r="B29035" s="8" t="str">
        <f t="shared" si="396"/>
        <v>@SiJombloKreatif</v>
      </c>
      <c r="C29035" s="8" t="s">
        <v>11013</v>
      </c>
      <c r="D29035" s="8">
        <v>2</v>
      </c>
      <c r="E29035" s="8">
        <v>0</v>
      </c>
      <c r="F29035" s="8">
        <v>121749</v>
      </c>
    </row>
    <row r="29036" spans="1:6" ht="12.75">
      <c r="A29036" s="8">
        <v>43891.499097222222</v>
      </c>
      <c r="B29036" s="8" t="str">
        <f>HYPERLINK("https://twitter.com/SangKelana_70","@SangKelana_70")</f>
        <v>@SangKelana_70</v>
      </c>
      <c r="C29036" s="8" t="s">
        <v>10871</v>
      </c>
      <c r="D29036" s="8">
        <v>5</v>
      </c>
      <c r="E29036" s="8">
        <v>0</v>
      </c>
      <c r="F29036" s="8">
        <v>3121</v>
      </c>
    </row>
    <row r="29037" spans="1:6" ht="12.75">
      <c r="A29037" s="8">
        <v>43891.498969907407</v>
      </c>
      <c r="B29037" s="8" t="str">
        <f>HYPERLINK("https://twitter.com/Prawitadisastra","@Prawitadisastra")</f>
        <v>@Prawitadisastra</v>
      </c>
      <c r="C29037" s="8" t="s">
        <v>10991</v>
      </c>
      <c r="D29037" s="8">
        <v>2</v>
      </c>
      <c r="E29037" s="8">
        <v>0</v>
      </c>
      <c r="F29037" s="8">
        <v>824</v>
      </c>
    </row>
    <row r="29038" spans="1:6" ht="12.75">
      <c r="A29038" s="8">
        <v>43891.498969907407</v>
      </c>
      <c r="B29038" s="8" t="str">
        <f>HYPERLINK("https://twitter.com/ayip_el","@ayip_el")</f>
        <v>@ayip_el</v>
      </c>
      <c r="C29038" s="8" t="s">
        <v>11014</v>
      </c>
      <c r="D29038" s="8">
        <v>2</v>
      </c>
      <c r="E29038" s="8">
        <v>0</v>
      </c>
      <c r="F29038" s="8">
        <v>183</v>
      </c>
    </row>
    <row r="29039" spans="1:6" ht="12.75">
      <c r="A29039" s="8">
        <v>43891.498935185184</v>
      </c>
      <c r="B29039" s="8" t="str">
        <f>HYPERLINK("https://twitter.com/shinningshree","@shinningshree")</f>
        <v>@shinningshree</v>
      </c>
      <c r="C29039" s="8" t="s">
        <v>11015</v>
      </c>
      <c r="D29039" s="8">
        <v>26</v>
      </c>
      <c r="E29039" s="8">
        <v>0</v>
      </c>
      <c r="F29039" s="8">
        <v>1918</v>
      </c>
    </row>
    <row r="29040" spans="1:6" ht="12.75">
      <c r="A29040" s="8">
        <v>43891.498796296291</v>
      </c>
      <c r="B29040" s="8" t="str">
        <f>HYPERLINK("https://twitter.com/YSis074","@YSis074")</f>
        <v>@YSis074</v>
      </c>
      <c r="C29040" s="8" t="s">
        <v>11016</v>
      </c>
      <c r="D29040" s="8">
        <v>0</v>
      </c>
      <c r="E29040" s="8">
        <v>0</v>
      </c>
      <c r="F29040" s="8">
        <v>2</v>
      </c>
    </row>
    <row r="29041" spans="1:6" ht="12.75">
      <c r="A29041" s="8">
        <v>43891.498379629629</v>
      </c>
      <c r="B29041" s="8" t="str">
        <f>HYPERLINK("https://twitter.com/SiJombloKreatif","@SiJombloKreatif")</f>
        <v>@SiJombloKreatif</v>
      </c>
      <c r="C29041" s="8" t="s">
        <v>11017</v>
      </c>
      <c r="D29041" s="8">
        <v>2</v>
      </c>
      <c r="E29041" s="8">
        <v>0</v>
      </c>
      <c r="F29041" s="8">
        <v>121749</v>
      </c>
    </row>
    <row r="29042" spans="1:6" ht="12.75">
      <c r="A29042" s="8">
        <v>43891.498032407406</v>
      </c>
      <c r="B29042" s="8" t="str">
        <f>HYPERLINK("https://twitter.com/budhartono","@budhartono")</f>
        <v>@budhartono</v>
      </c>
      <c r="C29042" s="8" t="s">
        <v>10481</v>
      </c>
      <c r="D29042" s="8">
        <v>48</v>
      </c>
      <c r="E29042" s="8">
        <v>0</v>
      </c>
      <c r="F29042" s="8">
        <v>551</v>
      </c>
    </row>
    <row r="29043" spans="1:6" ht="12.75">
      <c r="A29043" s="8">
        <v>43891.49799768519</v>
      </c>
      <c r="B29043" s="8" t="str">
        <f>HYPERLINK("https://twitter.com/AH26021967","@AH26021967")</f>
        <v>@AH26021967</v>
      </c>
      <c r="C29043" s="8" t="s">
        <v>11018</v>
      </c>
      <c r="D29043" s="8">
        <v>2</v>
      </c>
      <c r="E29043" s="8">
        <v>0</v>
      </c>
      <c r="F29043" s="8">
        <v>254</v>
      </c>
    </row>
    <row r="29044" spans="1:6" ht="12.75">
      <c r="A29044" s="8">
        <v>43891.497916666667</v>
      </c>
      <c r="B29044" s="8" t="str">
        <f>HYPERLINK("https://twitter.com/tuakacaptikus","@tuakacaptikus")</f>
        <v>@tuakacaptikus</v>
      </c>
      <c r="C29044" s="8" t="s">
        <v>11019</v>
      </c>
      <c r="D29044" s="8">
        <v>0</v>
      </c>
      <c r="E29044" s="8">
        <v>0</v>
      </c>
      <c r="F29044" s="8">
        <v>249</v>
      </c>
    </row>
    <row r="29045" spans="1:6" ht="12.75">
      <c r="A29045" s="8">
        <v>43891.497824074075</v>
      </c>
      <c r="B29045" s="8" t="str">
        <f>HYPERLINK("https://twitter.com/MuzlimIndonesia","@MuzlimIndonesia")</f>
        <v>@MuzlimIndonesia</v>
      </c>
      <c r="C29045" s="8" t="s">
        <v>11020</v>
      </c>
      <c r="D29045" s="8">
        <v>0</v>
      </c>
      <c r="E29045" s="8">
        <v>0</v>
      </c>
      <c r="F29045" s="8">
        <v>1868</v>
      </c>
    </row>
    <row r="29046" spans="1:6" ht="12.75">
      <c r="A29046" s="8">
        <v>43891.497546296298</v>
      </c>
      <c r="B29046" s="8" t="str">
        <f>HYPERLINK("https://twitter.com/evereeze","@evereeze")</f>
        <v>@evereeze</v>
      </c>
      <c r="C29046" s="8" t="s">
        <v>8746</v>
      </c>
      <c r="D29046" s="8">
        <v>392</v>
      </c>
      <c r="E29046" s="8">
        <v>0</v>
      </c>
      <c r="F29046" s="8">
        <v>305</v>
      </c>
    </row>
    <row r="29047" spans="1:6" ht="12.75">
      <c r="A29047" s="8">
        <v>43891.497511574074</v>
      </c>
      <c r="B29047" s="8" t="str">
        <f>HYPERLINK("https://twitter.com/drpriono","@drpriono")</f>
        <v>@drpriono</v>
      </c>
      <c r="C29047" s="8" t="s">
        <v>11021</v>
      </c>
      <c r="D29047" s="8">
        <v>0</v>
      </c>
      <c r="E29047" s="8">
        <v>0</v>
      </c>
      <c r="F29047" s="8">
        <v>502</v>
      </c>
    </row>
    <row r="29048" spans="1:6" ht="12.75">
      <c r="A29048" s="8">
        <v>43891.497395833328</v>
      </c>
      <c r="B29048" s="8" t="str">
        <f>HYPERLINK("https://twitter.com/jengsri_ss","@jengsri_ss")</f>
        <v>@jengsri_ss</v>
      </c>
      <c r="C29048" s="8" t="s">
        <v>10816</v>
      </c>
      <c r="D29048" s="8">
        <v>44</v>
      </c>
      <c r="E29048" s="8">
        <v>0</v>
      </c>
      <c r="F29048" s="8">
        <v>355</v>
      </c>
    </row>
    <row r="29049" spans="1:6" ht="12.75">
      <c r="A29049" s="8">
        <v>43891.497372685189</v>
      </c>
      <c r="B29049" s="8" t="str">
        <f>HYPERLINK("https://twitter.com/M_s_faisal","@M_s_faisal")</f>
        <v>@M_s_faisal</v>
      </c>
      <c r="C29049" s="8" t="s">
        <v>11022</v>
      </c>
      <c r="D29049" s="8">
        <v>0</v>
      </c>
      <c r="E29049" s="8">
        <v>1</v>
      </c>
      <c r="F29049" s="8">
        <v>34</v>
      </c>
    </row>
    <row r="29050" spans="1:6" ht="12.75">
      <c r="A29050" s="8">
        <v>43891.497210648144</v>
      </c>
      <c r="B29050" s="8" t="str">
        <f>HYPERLINK("https://twitter.com/kusumovina","@kusumovina")</f>
        <v>@kusumovina</v>
      </c>
      <c r="C29050" s="8" t="s">
        <v>8096</v>
      </c>
      <c r="D29050" s="8">
        <v>41</v>
      </c>
      <c r="E29050" s="8">
        <v>0</v>
      </c>
      <c r="F29050" s="8">
        <v>160</v>
      </c>
    </row>
    <row r="29051" spans="1:6" ht="12.75">
      <c r="A29051" s="8">
        <v>43891.497106481482</v>
      </c>
      <c r="B29051" s="8" t="str">
        <f>HYPERLINK("https://twitter.com/Firmanbudianap2","@Firmanbudianap2")</f>
        <v>@Firmanbudianap2</v>
      </c>
      <c r="C29051" s="8" t="s">
        <v>10997</v>
      </c>
      <c r="D29051" s="8">
        <v>3</v>
      </c>
      <c r="E29051" s="8">
        <v>0</v>
      </c>
      <c r="F29051" s="8">
        <v>172</v>
      </c>
    </row>
    <row r="29052" spans="1:6" ht="12.75">
      <c r="A29052" s="8">
        <v>43891.497060185182</v>
      </c>
      <c r="B29052" s="8" t="str">
        <f>HYPERLINK("https://twitter.com/aoi_usagi79","@aoi_usagi79")</f>
        <v>@aoi_usagi79</v>
      </c>
      <c r="C29052" s="8" t="s">
        <v>10816</v>
      </c>
      <c r="D29052" s="8">
        <v>44</v>
      </c>
      <c r="E29052" s="8">
        <v>0</v>
      </c>
      <c r="F29052" s="8">
        <v>369</v>
      </c>
    </row>
    <row r="29053" spans="1:6" ht="12.75">
      <c r="A29053" s="8">
        <v>43891.496712962966</v>
      </c>
      <c r="B29053" s="8" t="str">
        <f>HYPERLINK("https://twitter.com/atanoid","@atanoid")</f>
        <v>@atanoid</v>
      </c>
      <c r="C29053" s="8" t="s">
        <v>2272</v>
      </c>
      <c r="D29053" s="8">
        <v>501</v>
      </c>
      <c r="E29053" s="8">
        <v>0</v>
      </c>
      <c r="F29053" s="8">
        <v>313</v>
      </c>
    </row>
    <row r="29054" spans="1:6" ht="12.75">
      <c r="A29054" s="8">
        <v>43891.496562500004</v>
      </c>
      <c r="B29054" s="8" t="str">
        <f>HYPERLINK("https://twitter.com/rmol_id","@rmol_id")</f>
        <v>@rmol_id</v>
      </c>
      <c r="C29054" s="8" t="s">
        <v>11023</v>
      </c>
      <c r="D29054" s="8">
        <v>2</v>
      </c>
      <c r="E29054" s="8">
        <v>1</v>
      </c>
      <c r="F29054" s="8">
        <v>167834</v>
      </c>
    </row>
    <row r="29055" spans="1:6" ht="12.75">
      <c r="A29055" s="8">
        <v>43891.496539351851</v>
      </c>
      <c r="B29055" s="8" t="str">
        <f>HYPERLINK("https://twitter.com/didie_soeharto","@didie_soeharto")</f>
        <v>@didie_soeharto</v>
      </c>
      <c r="C29055" s="8" t="s">
        <v>10481</v>
      </c>
      <c r="D29055" s="8">
        <v>48</v>
      </c>
      <c r="E29055" s="8">
        <v>0</v>
      </c>
      <c r="F29055" s="8">
        <v>1228</v>
      </c>
    </row>
    <row r="29056" spans="1:6" ht="12.75">
      <c r="A29056" s="8">
        <v>43891.49627314815</v>
      </c>
      <c r="B29056" s="8" t="str">
        <f>HYPERLINK("https://twitter.com/JeChorale","@JeChorale")</f>
        <v>@JeChorale</v>
      </c>
      <c r="C29056" s="8" t="s">
        <v>2272</v>
      </c>
      <c r="D29056" s="8">
        <v>501</v>
      </c>
      <c r="E29056" s="8">
        <v>0</v>
      </c>
      <c r="F29056" s="8">
        <v>892</v>
      </c>
    </row>
    <row r="29057" spans="1:6" ht="12.75">
      <c r="A29057" s="8">
        <v>43891.496215277773</v>
      </c>
      <c r="B29057" s="8" t="str">
        <f>HYPERLINK("https://twitter.com/AriAs16981055","@AriAs16981055")</f>
        <v>@AriAs16981055</v>
      </c>
      <c r="C29057" s="8" t="s">
        <v>10871</v>
      </c>
      <c r="D29057" s="8">
        <v>5</v>
      </c>
      <c r="E29057" s="8">
        <v>0</v>
      </c>
      <c r="F29057" s="8">
        <v>323</v>
      </c>
    </row>
    <row r="29058" spans="1:6" ht="12.75">
      <c r="A29058" s="8">
        <v>43891.496134259258</v>
      </c>
      <c r="B29058" s="8" t="str">
        <f>HYPERLINK("https://twitter.com/YogoSulistianto","@YogoSulistianto")</f>
        <v>@YogoSulistianto</v>
      </c>
      <c r="C29058" s="8" t="s">
        <v>9558</v>
      </c>
      <c r="D29058" s="8">
        <v>10</v>
      </c>
      <c r="E29058" s="8">
        <v>0</v>
      </c>
      <c r="F29058" s="8">
        <v>357</v>
      </c>
    </row>
    <row r="29059" spans="1:6" ht="12.75">
      <c r="A29059" s="8">
        <v>43891.496122685188</v>
      </c>
      <c r="B29059" s="8" t="str">
        <f>HYPERLINK("https://twitter.com/dagadgetboi","@dagadgetboi")</f>
        <v>@dagadgetboi</v>
      </c>
      <c r="C29059" s="8" t="s">
        <v>10816</v>
      </c>
      <c r="D29059" s="8">
        <v>44</v>
      </c>
      <c r="E29059" s="8">
        <v>0</v>
      </c>
      <c r="F29059" s="8">
        <v>1081</v>
      </c>
    </row>
    <row r="29060" spans="1:6" ht="12.75">
      <c r="A29060" s="8">
        <v>43891.496053240742</v>
      </c>
      <c r="B29060" s="8" t="str">
        <f>HYPERLINK("https://twitter.com/ZulkifliDicky","@ZulkifliDicky")</f>
        <v>@ZulkifliDicky</v>
      </c>
      <c r="C29060" s="8" t="s">
        <v>11024</v>
      </c>
      <c r="D29060" s="8">
        <v>0</v>
      </c>
      <c r="E29060" s="8">
        <v>0</v>
      </c>
      <c r="F29060" s="8">
        <v>280</v>
      </c>
    </row>
    <row r="29061" spans="1:6" ht="12.75">
      <c r="A29061" s="8">
        <v>43891.49596064815</v>
      </c>
      <c r="B29061" s="8" t="str">
        <f>HYPERLINK("https://twitter.com/cgitasav","@cgitasav")</f>
        <v>@cgitasav</v>
      </c>
      <c r="C29061" s="8" t="s">
        <v>11025</v>
      </c>
      <c r="D29061" s="8">
        <v>0</v>
      </c>
      <c r="E29061" s="8">
        <v>0</v>
      </c>
      <c r="F29061" s="8">
        <v>684</v>
      </c>
    </row>
    <row r="29062" spans="1:6" ht="12.75">
      <c r="A29062" s="8">
        <v>43891.495694444442</v>
      </c>
      <c r="B29062" s="8" t="str">
        <f>HYPERLINK("https://twitter.com/Parapparaa","@Parapparaa")</f>
        <v>@Parapparaa</v>
      </c>
      <c r="C29062" s="8" t="s">
        <v>2272</v>
      </c>
      <c r="D29062" s="8">
        <v>501</v>
      </c>
      <c r="E29062" s="8">
        <v>0</v>
      </c>
      <c r="F29062" s="8">
        <v>86</v>
      </c>
    </row>
    <row r="29063" spans="1:6" ht="12.75">
      <c r="A29063" s="8">
        <v>43891.495659722219</v>
      </c>
      <c r="B29063" s="8" t="str">
        <f>HYPERLINK("https://twitter.com/KompasTV_Mks","@KompasTV_Mks")</f>
        <v>@KompasTV_Mks</v>
      </c>
      <c r="C29063" s="8" t="s">
        <v>11026</v>
      </c>
      <c r="D29063" s="8">
        <v>4</v>
      </c>
      <c r="E29063" s="8">
        <v>0</v>
      </c>
      <c r="F29063" s="8">
        <v>28848</v>
      </c>
    </row>
    <row r="29064" spans="1:6" ht="12.75">
      <c r="A29064" s="8">
        <v>43891.495659722219</v>
      </c>
      <c r="B29064" s="8" t="str">
        <f>HYPERLINK("https://twitter.com/Al_Firman_Kun","@Al_Firman_Kun")</f>
        <v>@Al_Firman_Kun</v>
      </c>
      <c r="C29064" s="8" t="s">
        <v>4235</v>
      </c>
      <c r="D29064" s="8">
        <v>1625</v>
      </c>
      <c r="E29064" s="8">
        <v>0</v>
      </c>
      <c r="F29064" s="8">
        <v>1163</v>
      </c>
    </row>
    <row r="29065" spans="1:6" ht="12.75">
      <c r="A29065" s="8">
        <v>43891.495173611111</v>
      </c>
      <c r="B29065" s="8" t="str">
        <f>HYPERLINK("https://twitter.com/itamiyaaw","@itamiyaaw")</f>
        <v>@itamiyaaw</v>
      </c>
      <c r="C29065" s="8" t="s">
        <v>2272</v>
      </c>
      <c r="D29065" s="8">
        <v>501</v>
      </c>
      <c r="E29065" s="8">
        <v>0</v>
      </c>
      <c r="F29065" s="8">
        <v>40</v>
      </c>
    </row>
    <row r="29066" spans="1:6" ht="12.75">
      <c r="A29066" s="8">
        <v>43891.495138888888</v>
      </c>
      <c r="B29066" s="8" t="str">
        <f>HYPERLINK("https://twitter.com/jusstme4u","@jusstme4u")</f>
        <v>@jusstme4u</v>
      </c>
      <c r="C29066" s="8" t="s">
        <v>11027</v>
      </c>
      <c r="D29066" s="8">
        <v>0</v>
      </c>
      <c r="E29066" s="8">
        <v>0</v>
      </c>
      <c r="F29066" s="8">
        <v>76778</v>
      </c>
    </row>
    <row r="29067" spans="1:6" ht="12.75">
      <c r="A29067" s="8">
        <v>43891.495069444441</v>
      </c>
      <c r="B29067" s="8" t="str">
        <f>HYPERLINK("https://twitter.com/fattidudee","@fattidudee")</f>
        <v>@fattidudee</v>
      </c>
      <c r="C29067" s="8" t="s">
        <v>2272</v>
      </c>
      <c r="D29067" s="8">
        <v>501</v>
      </c>
      <c r="E29067" s="8">
        <v>0</v>
      </c>
      <c r="F29067" s="8">
        <v>51</v>
      </c>
    </row>
    <row r="29068" spans="1:6" ht="12.75">
      <c r="A29068" s="8">
        <v>43891.49491898148</v>
      </c>
      <c r="B29068" s="8" t="str">
        <f>HYPERLINK("https://twitter.com/kisbet_","@kisbet_")</f>
        <v>@kisbet_</v>
      </c>
      <c r="C29068" s="8" t="s">
        <v>10816</v>
      </c>
      <c r="D29068" s="8">
        <v>44</v>
      </c>
      <c r="E29068" s="8">
        <v>0</v>
      </c>
      <c r="F29068" s="8">
        <v>13906</v>
      </c>
    </row>
    <row r="29069" spans="1:6" ht="12.75">
      <c r="A29069" s="8">
        <v>43891.494814814811</v>
      </c>
      <c r="B29069" s="8" t="str">
        <f>HYPERLINK("https://twitter.com/kompascom","@kompascom")</f>
        <v>@kompascom</v>
      </c>
      <c r="C29069" s="8" t="s">
        <v>11028</v>
      </c>
      <c r="D29069" s="8">
        <v>3</v>
      </c>
      <c r="E29069" s="8">
        <v>5</v>
      </c>
      <c r="F29069" s="8">
        <v>7519796</v>
      </c>
    </row>
    <row r="29070" spans="1:6" ht="12.75">
      <c r="A29070" s="8">
        <v>43891.494594907403</v>
      </c>
      <c r="B29070" s="8" t="str">
        <f>HYPERLINK("https://twitter.com/zustamjeporo","@zustamjeporo")</f>
        <v>@zustamjeporo</v>
      </c>
      <c r="C29070" s="8" t="s">
        <v>10600</v>
      </c>
      <c r="D29070" s="8">
        <v>267</v>
      </c>
      <c r="E29070" s="8">
        <v>0</v>
      </c>
      <c r="F29070" s="8">
        <v>350</v>
      </c>
    </row>
    <row r="29071" spans="1:6" ht="12.75">
      <c r="A29071" s="8">
        <v>43891.494432870371</v>
      </c>
      <c r="B29071" s="8" t="str">
        <f>HYPERLINK("https://twitter.com/SalmaBrecht","@SalmaBrecht")</f>
        <v>@SalmaBrecht</v>
      </c>
      <c r="C29071" s="8" t="s">
        <v>11029</v>
      </c>
      <c r="D29071" s="8">
        <v>0</v>
      </c>
      <c r="E29071" s="8">
        <v>2</v>
      </c>
      <c r="F29071" s="8">
        <v>13718</v>
      </c>
    </row>
    <row r="29072" spans="1:6" ht="12.75">
      <c r="A29072" s="8">
        <v>43891.494374999995</v>
      </c>
      <c r="B29072" s="8" t="str">
        <f>HYPERLINK("https://twitter.com/lycalya","@lycalya")</f>
        <v>@lycalya</v>
      </c>
      <c r="C29072" s="8" t="s">
        <v>10816</v>
      </c>
      <c r="D29072" s="8">
        <v>44</v>
      </c>
      <c r="E29072" s="8">
        <v>0</v>
      </c>
      <c r="F29072" s="8">
        <v>6180</v>
      </c>
    </row>
    <row r="29073" spans="1:6" ht="12.75">
      <c r="A29073" s="8">
        <v>43891.494270833333</v>
      </c>
      <c r="B29073" s="8" t="str">
        <f>HYPERLINK("https://twitter.com/marinafariza","@marinafariza")</f>
        <v>@marinafariza</v>
      </c>
      <c r="C29073" s="8" t="s">
        <v>2272</v>
      </c>
      <c r="D29073" s="8">
        <v>501</v>
      </c>
      <c r="E29073" s="8">
        <v>0</v>
      </c>
      <c r="F29073" s="8">
        <v>1427</v>
      </c>
    </row>
    <row r="29074" spans="1:6" ht="12.75">
      <c r="A29074" s="8">
        <v>43891.49417824074</v>
      </c>
      <c r="B29074" s="8" t="str">
        <f>HYPERLINK("https://twitter.com/agusft38","@agusft38")</f>
        <v>@agusft38</v>
      </c>
      <c r="C29074" s="8" t="s">
        <v>7686</v>
      </c>
      <c r="D29074" s="8">
        <v>917</v>
      </c>
      <c r="E29074" s="8">
        <v>0</v>
      </c>
      <c r="F29074" s="8">
        <v>55</v>
      </c>
    </row>
    <row r="29075" spans="1:6" ht="12.75">
      <c r="A29075" s="8">
        <v>43891.464733796296</v>
      </c>
      <c r="B29075" s="8" t="str">
        <f>HYPERLINK("https://twitter.com/SiJombloKreatif","@SiJombloKreatif")</f>
        <v>@SiJombloKreatif</v>
      </c>
      <c r="C29075" s="8" t="s">
        <v>11030</v>
      </c>
      <c r="D29075" s="8">
        <v>6</v>
      </c>
      <c r="E29075" s="8">
        <v>0</v>
      </c>
      <c r="F29075" s="8">
        <v>121750</v>
      </c>
    </row>
    <row r="29076" spans="1:6" ht="12.75">
      <c r="A29076" s="8">
        <v>43891.464722222227</v>
      </c>
      <c r="B29076" s="8" t="str">
        <f>HYPERLINK("https://twitter.com/haggaigracio","@haggaigracio")</f>
        <v>@haggaigracio</v>
      </c>
      <c r="C29076" s="8" t="s">
        <v>11031</v>
      </c>
      <c r="D29076" s="8">
        <v>0</v>
      </c>
      <c r="E29076" s="8">
        <v>0</v>
      </c>
      <c r="F29076" s="8">
        <v>501</v>
      </c>
    </row>
    <row r="29077" spans="1:6" ht="12.75">
      <c r="A29077" s="8">
        <v>43891.46466435185</v>
      </c>
      <c r="B29077" s="8" t="str">
        <f t="shared" ref="B29077:B29079" si="397">HYPERLINK("https://twitter.com/SiJombloKreatif","@SiJombloKreatif")</f>
        <v>@SiJombloKreatif</v>
      </c>
      <c r="C29077" s="8" t="s">
        <v>11032</v>
      </c>
      <c r="D29077" s="8">
        <v>5</v>
      </c>
      <c r="E29077" s="8">
        <v>0</v>
      </c>
      <c r="F29077" s="8">
        <v>121750</v>
      </c>
    </row>
    <row r="29078" spans="1:6" ht="12.75">
      <c r="A29078" s="8">
        <v>43891.464641203704</v>
      </c>
      <c r="B29078" s="8" t="str">
        <f t="shared" si="397"/>
        <v>@SiJombloKreatif</v>
      </c>
      <c r="C29078" s="8" t="s">
        <v>11033</v>
      </c>
      <c r="D29078" s="8">
        <v>2</v>
      </c>
      <c r="E29078" s="8">
        <v>0</v>
      </c>
      <c r="F29078" s="8">
        <v>121750</v>
      </c>
    </row>
    <row r="29079" spans="1:6" ht="12.75">
      <c r="A29079" s="8">
        <v>43891.464583333334</v>
      </c>
      <c r="B29079" s="8" t="str">
        <f t="shared" si="397"/>
        <v>@SiJombloKreatif</v>
      </c>
      <c r="C29079" s="8" t="s">
        <v>11034</v>
      </c>
      <c r="D29079" s="8">
        <v>5</v>
      </c>
      <c r="E29079" s="8">
        <v>0</v>
      </c>
      <c r="F29079" s="8">
        <v>121750</v>
      </c>
    </row>
    <row r="29080" spans="1:6" ht="12.75">
      <c r="A29080" s="8">
        <v>43891.464571759258</v>
      </c>
      <c r="B29080" s="8" t="str">
        <f>HYPERLINK("https://twitter.com/diezitoe","@diezitoe")</f>
        <v>@diezitoe</v>
      </c>
      <c r="C29080" s="8" t="s">
        <v>10443</v>
      </c>
      <c r="D29080" s="8">
        <v>1</v>
      </c>
      <c r="E29080" s="8">
        <v>0</v>
      </c>
      <c r="F29080" s="8">
        <v>411</v>
      </c>
    </row>
    <row r="29081" spans="1:6" ht="12.75">
      <c r="A29081" s="8">
        <v>43891.464560185181</v>
      </c>
      <c r="B29081" s="8" t="str">
        <f>HYPERLINK("https://twitter.com/icedfrappeu","@icedfrappeu")</f>
        <v>@icedfrappeu</v>
      </c>
      <c r="C29081" s="8" t="s">
        <v>2272</v>
      </c>
      <c r="D29081" s="8">
        <v>431</v>
      </c>
      <c r="E29081" s="8">
        <v>0</v>
      </c>
      <c r="F29081" s="8">
        <v>103</v>
      </c>
    </row>
    <row r="29082" spans="1:6" ht="12.75">
      <c r="A29082" s="8">
        <v>43891.464525462958</v>
      </c>
      <c r="B29082" s="8" t="str">
        <f>HYPERLINK("https://twitter.com/SiJombloKreatif","@SiJombloKreatif")</f>
        <v>@SiJombloKreatif</v>
      </c>
      <c r="C29082" s="8" t="s">
        <v>11035</v>
      </c>
      <c r="D29082" s="8">
        <v>2</v>
      </c>
      <c r="E29082" s="8">
        <v>0</v>
      </c>
      <c r="F29082" s="8">
        <v>121750</v>
      </c>
    </row>
    <row r="29083" spans="1:6" ht="12.75">
      <c r="A29083" s="8">
        <v>43891.464467592596</v>
      </c>
      <c r="B29083" s="8" t="str">
        <f>HYPERLINK("https://twitter.com/ary_wisesa","@ary_wisesa")</f>
        <v>@ary_wisesa</v>
      </c>
      <c r="C29083" s="8" t="s">
        <v>6836</v>
      </c>
      <c r="D29083" s="8">
        <v>617</v>
      </c>
      <c r="E29083" s="8">
        <v>0</v>
      </c>
      <c r="F29083" s="8">
        <v>94</v>
      </c>
    </row>
    <row r="29084" spans="1:6" ht="12.75">
      <c r="A29084" s="8">
        <v>43891.464386574073</v>
      </c>
      <c r="B29084" s="8" t="str">
        <f t="shared" ref="B29084:B29085" si="398">HYPERLINK("https://twitter.com/SiJombloKreatif","@SiJombloKreatif")</f>
        <v>@SiJombloKreatif</v>
      </c>
      <c r="C29084" s="8" t="s">
        <v>11036</v>
      </c>
      <c r="D29084" s="8">
        <v>2</v>
      </c>
      <c r="E29084" s="8">
        <v>0</v>
      </c>
      <c r="F29084" s="8">
        <v>121750</v>
      </c>
    </row>
    <row r="29085" spans="1:6" ht="12.75">
      <c r="A29085" s="8">
        <v>43891.464363425926</v>
      </c>
      <c r="B29085" s="8" t="str">
        <f t="shared" si="398"/>
        <v>@SiJombloKreatif</v>
      </c>
      <c r="C29085" s="8" t="s">
        <v>11037</v>
      </c>
      <c r="D29085" s="8">
        <v>4</v>
      </c>
      <c r="E29085" s="8">
        <v>0</v>
      </c>
      <c r="F29085" s="8">
        <v>121750</v>
      </c>
    </row>
    <row r="29086" spans="1:6" ht="12.75">
      <c r="A29086" s="8">
        <v>43891.46429398148</v>
      </c>
      <c r="B29086" s="8" t="str">
        <f>HYPERLINK("https://twitter.com/cafebiru88","@cafebiru88")</f>
        <v>@cafebiru88</v>
      </c>
      <c r="C29086" s="8" t="s">
        <v>10967</v>
      </c>
      <c r="D29086" s="8">
        <v>1</v>
      </c>
      <c r="E29086" s="8">
        <v>0</v>
      </c>
      <c r="F29086" s="8">
        <v>18024</v>
      </c>
    </row>
    <row r="29087" spans="1:6" ht="12.75">
      <c r="A29087" s="8">
        <v>43891.463958333334</v>
      </c>
      <c r="B29087" s="8" t="str">
        <f>HYPERLINK("https://twitter.com/Naufal_Bulexs","@Naufal_Bulexs")</f>
        <v>@Naufal_Bulexs</v>
      </c>
      <c r="C29087" s="8" t="s">
        <v>10552</v>
      </c>
      <c r="D29087" s="8">
        <v>4</v>
      </c>
      <c r="E29087" s="8">
        <v>0</v>
      </c>
      <c r="F29087" s="8">
        <v>220</v>
      </c>
    </row>
    <row r="29088" spans="1:6" ht="12.75">
      <c r="A29088" s="8">
        <v>43891.463738425926</v>
      </c>
      <c r="B29088" s="8" t="str">
        <f>HYPERLINK("https://twitter.com/GagakNeww2","@GagakNeww2")</f>
        <v>@GagakNeww2</v>
      </c>
      <c r="C29088" s="8" t="s">
        <v>11038</v>
      </c>
      <c r="D29088" s="8">
        <v>0</v>
      </c>
      <c r="E29088" s="8">
        <v>0</v>
      </c>
      <c r="F29088" s="8">
        <v>440</v>
      </c>
    </row>
    <row r="29089" spans="1:6" ht="12.75">
      <c r="A29089" s="8">
        <v>43891.463703703703</v>
      </c>
      <c r="B29089" s="8" t="str">
        <f>HYPERLINK("https://twitter.com/hidupnanindah","@hidupnanindah")</f>
        <v>@hidupnanindah</v>
      </c>
      <c r="C29089" s="8" t="s">
        <v>11039</v>
      </c>
      <c r="D29089" s="8">
        <v>2</v>
      </c>
      <c r="E29089" s="8">
        <v>0</v>
      </c>
      <c r="F29089" s="8">
        <v>14997</v>
      </c>
    </row>
    <row r="29090" spans="1:6" ht="12.75">
      <c r="A29090" s="8">
        <v>43891.463460648149</v>
      </c>
      <c r="B29090" s="8" t="str">
        <f>HYPERLINK("https://twitter.com/sawlsa","@sawlsa")</f>
        <v>@sawlsa</v>
      </c>
      <c r="C29090" s="8" t="s">
        <v>2272</v>
      </c>
      <c r="D29090" s="8">
        <v>431</v>
      </c>
      <c r="E29090" s="8">
        <v>0</v>
      </c>
      <c r="F29090" s="8">
        <v>631</v>
      </c>
    </row>
    <row r="29091" spans="1:6" ht="12.75">
      <c r="A29091" s="8">
        <v>43891.463449074072</v>
      </c>
      <c r="B29091" s="8" t="str">
        <f>HYPERLINK("https://twitter.com/cafebiru88","@cafebiru88")</f>
        <v>@cafebiru88</v>
      </c>
      <c r="C29091" s="8" t="s">
        <v>11040</v>
      </c>
      <c r="D29091" s="8">
        <v>2</v>
      </c>
      <c r="E29091" s="8">
        <v>0</v>
      </c>
      <c r="F29091" s="8">
        <v>18024</v>
      </c>
    </row>
    <row r="29092" spans="1:6" ht="12.75">
      <c r="A29092" s="8">
        <v>43891.463425925926</v>
      </c>
      <c r="B29092" s="8" t="str">
        <f>HYPERLINK("https://twitter.com/BoN_0_0_9","@BoN_0_0_9")</f>
        <v>@BoN_0_0_9</v>
      </c>
      <c r="C29092" s="8" t="s">
        <v>11041</v>
      </c>
      <c r="D29092" s="8">
        <v>1</v>
      </c>
      <c r="E29092" s="8">
        <v>3</v>
      </c>
      <c r="F29092" s="8">
        <v>4621</v>
      </c>
    </row>
    <row r="29093" spans="1:6" ht="12.75">
      <c r="A29093" s="8">
        <v>43891.463368055556</v>
      </c>
      <c r="B29093" s="8" t="str">
        <f>HYPERLINK("https://twitter.com/_wni_","@_wni_")</f>
        <v>@_wni_</v>
      </c>
      <c r="C29093" s="8" t="s">
        <v>11042</v>
      </c>
      <c r="D29093" s="8">
        <v>2744</v>
      </c>
      <c r="E29093" s="8">
        <v>0</v>
      </c>
      <c r="F29093" s="8">
        <v>13</v>
      </c>
    </row>
    <row r="29094" spans="1:6" ht="12.75">
      <c r="A29094" s="8">
        <v>43891.463055555556</v>
      </c>
      <c r="B29094" s="8" t="str">
        <f>HYPERLINK("https://twitter.com/cilok45","@cilok45")</f>
        <v>@cilok45</v>
      </c>
      <c r="C29094" s="8" t="s">
        <v>10530</v>
      </c>
      <c r="D29094" s="8">
        <v>7</v>
      </c>
      <c r="E29094" s="8">
        <v>0</v>
      </c>
      <c r="F29094" s="8">
        <v>12</v>
      </c>
    </row>
    <row r="29095" spans="1:6" ht="12.75">
      <c r="A29095" s="8">
        <v>43891.462754629625</v>
      </c>
      <c r="B29095" s="8" t="str">
        <f>HYPERLINK("https://twitter.com/dimzlolo","@dimzlolo")</f>
        <v>@dimzlolo</v>
      </c>
      <c r="C29095" s="8" t="s">
        <v>9558</v>
      </c>
      <c r="D29095" s="8">
        <v>3</v>
      </c>
      <c r="E29095" s="8">
        <v>0</v>
      </c>
      <c r="F29095" s="8">
        <v>464</v>
      </c>
    </row>
    <row r="29096" spans="1:6" ht="12.75">
      <c r="A29096" s="8">
        <v>43891.462696759263</v>
      </c>
      <c r="B29096" s="8" t="str">
        <f>HYPERLINK("https://twitter.com/KATADATAcoid","@KATADATAcoid")</f>
        <v>@KATADATAcoid</v>
      </c>
      <c r="C29096" s="8" t="s">
        <v>11043</v>
      </c>
      <c r="D29096" s="8">
        <v>0</v>
      </c>
      <c r="E29096" s="8">
        <v>0</v>
      </c>
      <c r="F29096" s="8">
        <v>41584</v>
      </c>
    </row>
    <row r="29097" spans="1:6" ht="12.75">
      <c r="A29097" s="8">
        <v>43891.462638888886</v>
      </c>
      <c r="B29097" s="8" t="str">
        <f>HYPERLINK("https://twitter.com/jusstme4u","@jusstme4u")</f>
        <v>@jusstme4u</v>
      </c>
      <c r="C29097" s="8" t="s">
        <v>11034</v>
      </c>
      <c r="D29097" s="8">
        <v>5</v>
      </c>
      <c r="E29097" s="8">
        <v>0</v>
      </c>
      <c r="F29097" s="8">
        <v>76778</v>
      </c>
    </row>
    <row r="29098" spans="1:6" ht="12.75">
      <c r="A29098" s="8">
        <v>43891.462418981479</v>
      </c>
      <c r="B29098" s="8" t="str">
        <f>HYPERLINK("https://twitter.com/nhdni","@nhdni")</f>
        <v>@nhdni</v>
      </c>
      <c r="C29098" s="8" t="s">
        <v>2272</v>
      </c>
      <c r="D29098" s="8">
        <v>431</v>
      </c>
      <c r="E29098" s="8">
        <v>0</v>
      </c>
      <c r="F29098" s="8">
        <v>937</v>
      </c>
    </row>
    <row r="29099" spans="1:6" ht="12.75">
      <c r="A29099" s="8">
        <v>43891.462280092594</v>
      </c>
      <c r="B29099" s="8" t="str">
        <f>HYPERLINK("https://twitter.com/Subakiwi","@Subakiwi")</f>
        <v>@Subakiwi</v>
      </c>
      <c r="C29099" s="8" t="s">
        <v>2272</v>
      </c>
      <c r="D29099" s="8">
        <v>431</v>
      </c>
      <c r="E29099" s="8">
        <v>0</v>
      </c>
      <c r="F29099" s="8">
        <v>31</v>
      </c>
    </row>
    <row r="29100" spans="1:6" ht="12.75">
      <c r="A29100" s="8">
        <v>43891.462152777778</v>
      </c>
      <c r="B29100" s="8" t="str">
        <f>HYPERLINK("https://twitter.com/deddyhariadi","@deddyhariadi")</f>
        <v>@deddyhariadi</v>
      </c>
      <c r="C29100" s="8" t="s">
        <v>10600</v>
      </c>
      <c r="D29100" s="8">
        <v>259</v>
      </c>
      <c r="E29100" s="8">
        <v>0</v>
      </c>
      <c r="F29100" s="8">
        <v>379</v>
      </c>
    </row>
    <row r="29101" spans="1:6" ht="12.75">
      <c r="A29101" s="8">
        <v>43891.462106481486</v>
      </c>
      <c r="B29101" s="8" t="str">
        <f>HYPERLINK("https://twitter.com/jusstme4u","@jusstme4u")</f>
        <v>@jusstme4u</v>
      </c>
      <c r="C29101" s="8" t="s">
        <v>11037</v>
      </c>
      <c r="D29101" s="8">
        <v>4</v>
      </c>
      <c r="E29101" s="8">
        <v>0</v>
      </c>
      <c r="F29101" s="8">
        <v>76778</v>
      </c>
    </row>
    <row r="29102" spans="1:6" ht="12.75">
      <c r="A29102" s="8">
        <v>43891.462060185186</v>
      </c>
      <c r="B29102" s="8" t="str">
        <f>HYPERLINK("https://twitter.com/SuburBur","@SuburBur")</f>
        <v>@SuburBur</v>
      </c>
      <c r="C29102" s="8" t="s">
        <v>10816</v>
      </c>
      <c r="D29102" s="8">
        <v>33</v>
      </c>
      <c r="E29102" s="8">
        <v>0</v>
      </c>
      <c r="F29102" s="8">
        <v>5962</v>
      </c>
    </row>
    <row r="29103" spans="1:6" ht="12.75">
      <c r="A29103" s="8">
        <v>43891.461875000001</v>
      </c>
      <c r="B29103" s="8" t="str">
        <f>HYPERLINK("https://twitter.com/jeetensingh","@jeetensingh")</f>
        <v>@jeetensingh</v>
      </c>
      <c r="C29103" s="8" t="s">
        <v>11044</v>
      </c>
      <c r="D29103" s="8">
        <v>1</v>
      </c>
      <c r="E29103" s="8">
        <v>0</v>
      </c>
      <c r="F29103" s="8">
        <v>80161</v>
      </c>
    </row>
    <row r="29104" spans="1:6" ht="12.75">
      <c r="A29104" s="8">
        <v>43891.461747685185</v>
      </c>
      <c r="B29104" s="8" t="str">
        <f t="shared" ref="B29104:B29106" si="399">HYPERLINK("https://twitter.com/healthyliveID","@healthyliveID")</f>
        <v>@healthyliveID</v>
      </c>
      <c r="C29104" s="8" t="s">
        <v>11045</v>
      </c>
      <c r="D29104" s="8">
        <v>1</v>
      </c>
      <c r="E29104" s="8">
        <v>0</v>
      </c>
      <c r="F29104" s="8">
        <v>45299</v>
      </c>
    </row>
    <row r="29105" spans="1:6" ht="12.75">
      <c r="A29105" s="8">
        <v>43891.461736111116</v>
      </c>
      <c r="B29105" s="8" t="str">
        <f t="shared" si="399"/>
        <v>@healthyliveID</v>
      </c>
      <c r="C29105" s="8" t="s">
        <v>11013</v>
      </c>
      <c r="D29105" s="8">
        <v>1</v>
      </c>
      <c r="E29105" s="8">
        <v>0</v>
      </c>
      <c r="F29105" s="8">
        <v>45299</v>
      </c>
    </row>
    <row r="29106" spans="1:6" ht="12.75">
      <c r="A29106" s="8">
        <v>43891.461689814816</v>
      </c>
      <c r="B29106" s="8" t="str">
        <f t="shared" si="399"/>
        <v>@healthyliveID</v>
      </c>
      <c r="C29106" s="8" t="s">
        <v>4785</v>
      </c>
      <c r="D29106" s="8">
        <v>502</v>
      </c>
      <c r="E29106" s="8">
        <v>0</v>
      </c>
      <c r="F29106" s="8">
        <v>45299</v>
      </c>
    </row>
    <row r="29107" spans="1:6" ht="12.75">
      <c r="A29107" s="8">
        <v>43891.461504629631</v>
      </c>
      <c r="B29107" s="8" t="str">
        <f>HYPERLINK("https://twitter.com/tedi_pirmansyah","@tedi_pirmansyah")</f>
        <v>@tedi_pirmansyah</v>
      </c>
      <c r="C29107" s="8" t="s">
        <v>10600</v>
      </c>
      <c r="D29107" s="8">
        <v>259</v>
      </c>
      <c r="E29107" s="8">
        <v>0</v>
      </c>
      <c r="F29107" s="8">
        <v>454</v>
      </c>
    </row>
    <row r="29108" spans="1:6" ht="12.75">
      <c r="A29108" s="8">
        <v>43891.461481481485</v>
      </c>
      <c r="B29108" s="8" t="str">
        <f>HYPERLINK("https://twitter.com/evitanug","@evitanug")</f>
        <v>@evitanug</v>
      </c>
      <c r="C29108" s="8" t="s">
        <v>9558</v>
      </c>
      <c r="D29108" s="8">
        <v>3</v>
      </c>
      <c r="E29108" s="8">
        <v>0</v>
      </c>
      <c r="F29108" s="8">
        <v>84</v>
      </c>
    </row>
    <row r="29109" spans="1:6" ht="12.75">
      <c r="A29109" s="8">
        <v>43891.461261574077</v>
      </c>
      <c r="B29109" s="8" t="str">
        <f>HYPERLINK("https://twitter.com/rqlabigail","@rqlabigail")</f>
        <v>@rqlabigail</v>
      </c>
      <c r="C29109" s="8" t="s">
        <v>11030</v>
      </c>
      <c r="D29109" s="8">
        <v>6</v>
      </c>
      <c r="E29109" s="8">
        <v>0</v>
      </c>
      <c r="F29109" s="8">
        <v>4</v>
      </c>
    </row>
    <row r="29110" spans="1:6" ht="12.75">
      <c r="A29110" s="8">
        <v>43891.461238425924</v>
      </c>
      <c r="B29110" s="8" t="str">
        <f>HYPERLINK("https://twitter.com/jam11malam","@jam11malam")</f>
        <v>@jam11malam</v>
      </c>
      <c r="C29110" s="8" t="s">
        <v>2272</v>
      </c>
      <c r="D29110" s="8">
        <v>431</v>
      </c>
      <c r="E29110" s="8">
        <v>0</v>
      </c>
      <c r="F29110" s="8">
        <v>87</v>
      </c>
    </row>
    <row r="29111" spans="1:6" ht="12.75">
      <c r="A29111" s="8">
        <v>43891.461099537039</v>
      </c>
      <c r="B29111" s="8" t="str">
        <f>HYPERLINK("https://twitter.com/yunankingstar1","@yunankingstar1")</f>
        <v>@yunankingstar1</v>
      </c>
      <c r="C29111" s="8" t="s">
        <v>11046</v>
      </c>
      <c r="D29111" s="8">
        <v>0</v>
      </c>
      <c r="E29111" s="8">
        <v>0</v>
      </c>
      <c r="F29111" s="8">
        <v>44</v>
      </c>
    </row>
    <row r="29112" spans="1:6" ht="12.75">
      <c r="A29112" s="8">
        <v>43891.461099537039</v>
      </c>
      <c r="B29112" s="8" t="str">
        <f>HYPERLINK("https://twitter.com/amalia_cindy","@amalia_cindy")</f>
        <v>@amalia_cindy</v>
      </c>
      <c r="C29112" s="8" t="s">
        <v>10754</v>
      </c>
      <c r="D29112" s="8">
        <v>20</v>
      </c>
      <c r="E29112" s="8">
        <v>0</v>
      </c>
      <c r="F29112" s="8">
        <v>5940</v>
      </c>
    </row>
    <row r="29113" spans="1:6" ht="12.75">
      <c r="A29113" s="8">
        <v>43891.461053240739</v>
      </c>
      <c r="B29113" s="8" t="str">
        <f>HYPERLINK("https://twitter.com/Carianaditya","@Carianaditya")</f>
        <v>@Carianaditya</v>
      </c>
      <c r="C29113" s="8" t="s">
        <v>2272</v>
      </c>
      <c r="D29113" s="8">
        <v>431</v>
      </c>
      <c r="E29113" s="8">
        <v>0</v>
      </c>
      <c r="F29113" s="8">
        <v>92</v>
      </c>
    </row>
    <row r="29114" spans="1:6" ht="12.75">
      <c r="A29114" s="8">
        <v>43891.461006944446</v>
      </c>
      <c r="B29114" s="8" t="str">
        <f>HYPERLINK("https://twitter.com/intansavhyraa","@intansavhyraa")</f>
        <v>@intansavhyraa</v>
      </c>
      <c r="C29114" s="8" t="s">
        <v>11047</v>
      </c>
      <c r="D29114" s="8">
        <v>1</v>
      </c>
      <c r="E29114" s="8">
        <v>0</v>
      </c>
      <c r="F29114" s="8">
        <v>866</v>
      </c>
    </row>
    <row r="29115" spans="1:6" ht="12.75">
      <c r="A29115" s="8">
        <v>43891.460891203707</v>
      </c>
      <c r="B29115" s="8" t="str">
        <f>HYPERLINK("https://twitter.com/cwochan","@cwochan")</f>
        <v>@cwochan</v>
      </c>
      <c r="C29115" s="8" t="s">
        <v>2272</v>
      </c>
      <c r="D29115" s="8">
        <v>431</v>
      </c>
      <c r="E29115" s="8">
        <v>0</v>
      </c>
      <c r="F29115" s="8">
        <v>65</v>
      </c>
    </row>
    <row r="29116" spans="1:6" ht="12.75">
      <c r="A29116" s="8">
        <v>43891.460763888885</v>
      </c>
      <c r="B29116" s="8" t="str">
        <f>HYPERLINK("https://twitter.com/AhmadKevinM","@AhmadKevinM")</f>
        <v>@AhmadKevinM</v>
      </c>
      <c r="C29116" s="8" t="s">
        <v>2272</v>
      </c>
      <c r="D29116" s="8">
        <v>431</v>
      </c>
      <c r="E29116" s="8">
        <v>0</v>
      </c>
      <c r="F29116" s="8">
        <v>275</v>
      </c>
    </row>
    <row r="29117" spans="1:6" ht="12.75">
      <c r="A29117" s="8">
        <v>43891.4605787037</v>
      </c>
      <c r="B29117" s="8" t="str">
        <f>HYPERLINK("https://twitter.com/lucielfia","@lucielfia")</f>
        <v>@lucielfia</v>
      </c>
      <c r="C29117" s="8" t="s">
        <v>2272</v>
      </c>
      <c r="D29117" s="8">
        <v>431</v>
      </c>
      <c r="E29117" s="8">
        <v>0</v>
      </c>
      <c r="F29117" s="8">
        <v>9</v>
      </c>
    </row>
    <row r="29118" spans="1:6" ht="12.75">
      <c r="A29118" s="8">
        <v>43891.460520833338</v>
      </c>
      <c r="B29118" s="8" t="str">
        <f>HYPERLINK("https://twitter.com/zainal78142749","@zainal78142749")</f>
        <v>@zainal78142749</v>
      </c>
      <c r="C29118" s="8" t="s">
        <v>7437</v>
      </c>
      <c r="D29118" s="8">
        <v>392</v>
      </c>
      <c r="E29118" s="8">
        <v>0</v>
      </c>
      <c r="F29118" s="8">
        <v>416</v>
      </c>
    </row>
    <row r="29119" spans="1:6" ht="12.75">
      <c r="A29119" s="8">
        <v>43891.460462962961</v>
      </c>
      <c r="B29119" s="8" t="str">
        <f>HYPERLINK("https://twitter.com/voaindonesia","@voaindonesia")</f>
        <v>@voaindonesia</v>
      </c>
      <c r="C29119" s="8" t="s">
        <v>11048</v>
      </c>
      <c r="D29119" s="8">
        <v>1</v>
      </c>
      <c r="E29119" s="8">
        <v>0</v>
      </c>
      <c r="F29119" s="8">
        <v>307876</v>
      </c>
    </row>
    <row r="29120" spans="1:6" ht="12.75">
      <c r="A29120" s="8">
        <v>43891.460115740745</v>
      </c>
      <c r="B29120" s="8" t="str">
        <f>HYPERLINK("https://twitter.com/koeswirocana","@koeswirocana")</f>
        <v>@koeswirocana</v>
      </c>
      <c r="C29120" s="8" t="s">
        <v>2272</v>
      </c>
      <c r="D29120" s="8">
        <v>431</v>
      </c>
      <c r="E29120" s="8">
        <v>0</v>
      </c>
      <c r="F29120" s="8">
        <v>609</v>
      </c>
    </row>
    <row r="29121" spans="1:6" ht="12.75">
      <c r="A29121" s="8">
        <v>43891.459861111114</v>
      </c>
      <c r="B29121" s="8" t="str">
        <f>HYPERLINK("https://twitter.com/forezy","@forezy")</f>
        <v>@forezy</v>
      </c>
      <c r="C29121" s="8" t="s">
        <v>7437</v>
      </c>
      <c r="D29121" s="8">
        <v>392</v>
      </c>
      <c r="E29121" s="8">
        <v>0</v>
      </c>
      <c r="F29121" s="8">
        <v>50</v>
      </c>
    </row>
    <row r="29122" spans="1:6" ht="12.75">
      <c r="A29122" s="8">
        <v>43891.459849537037</v>
      </c>
      <c r="B29122" s="8" t="str">
        <f>HYPERLINK("https://twitter.com/je_no_we","@je_no_we")</f>
        <v>@je_no_we</v>
      </c>
      <c r="C29122" s="8" t="s">
        <v>2272</v>
      </c>
      <c r="D29122" s="8">
        <v>431</v>
      </c>
      <c r="E29122" s="8">
        <v>0</v>
      </c>
      <c r="F29122" s="8">
        <v>376</v>
      </c>
    </row>
    <row r="29123" spans="1:6" ht="12.75">
      <c r="A29123" s="8">
        <v>43891.459803240738</v>
      </c>
      <c r="B29123" s="8" t="str">
        <f>HYPERLINK("https://twitter.com/ras_af06","@ras_af06")</f>
        <v>@ras_af06</v>
      </c>
      <c r="C29123" s="8" t="s">
        <v>10481</v>
      </c>
      <c r="D29123" s="8">
        <v>30</v>
      </c>
      <c r="E29123" s="8">
        <v>0</v>
      </c>
      <c r="F29123" s="8">
        <v>140</v>
      </c>
    </row>
    <row r="29124" spans="1:6" ht="12.75">
      <c r="A29124" s="8">
        <v>43891.459629629629</v>
      </c>
      <c r="B29124" s="8" t="str">
        <f>HYPERLINK("https://twitter.com/gulupedhot","@gulupedhot")</f>
        <v>@gulupedhot</v>
      </c>
      <c r="C29124" s="8" t="s">
        <v>4235</v>
      </c>
      <c r="D29124" s="8">
        <v>1619</v>
      </c>
      <c r="E29124" s="8">
        <v>0</v>
      </c>
      <c r="F29124" s="8">
        <v>246</v>
      </c>
    </row>
    <row r="29125" spans="1:6" ht="12.75">
      <c r="A29125" s="8">
        <v>43891.459618055553</v>
      </c>
      <c r="B29125" s="8" t="str">
        <f>HYPERLINK("https://twitter.com/IntiHarsojo","@IntiHarsojo")</f>
        <v>@IntiHarsojo</v>
      </c>
      <c r="C29125" s="8" t="s">
        <v>11049</v>
      </c>
      <c r="D29125" s="8">
        <v>0</v>
      </c>
      <c r="E29125" s="8">
        <v>0</v>
      </c>
      <c r="F29125" s="8">
        <v>197</v>
      </c>
    </row>
    <row r="29126" spans="1:6" ht="12.75">
      <c r="A29126" s="8">
        <v>43891.459594907406</v>
      </c>
      <c r="B29126" s="8" t="str">
        <f>HYPERLINK("https://twitter.com/HarisMlcn","@HarisMlcn")</f>
        <v>@HarisMlcn</v>
      </c>
      <c r="C29126" s="8" t="s">
        <v>7437</v>
      </c>
      <c r="D29126" s="8">
        <v>392</v>
      </c>
      <c r="E29126" s="8">
        <v>0</v>
      </c>
      <c r="F29126" s="8">
        <v>43</v>
      </c>
    </row>
    <row r="29127" spans="1:6" ht="12.75">
      <c r="A29127" s="8">
        <v>43891.459432870368</v>
      </c>
      <c r="B29127" s="8" t="str">
        <f>HYPERLINK("https://twitter.com/FatiinS_L","@FatiinS_L")</f>
        <v>@FatiinS_L</v>
      </c>
      <c r="C29127" s="8" t="s">
        <v>11050</v>
      </c>
      <c r="D29127" s="8">
        <v>3</v>
      </c>
      <c r="E29127" s="8">
        <v>0</v>
      </c>
      <c r="F29127" s="8">
        <v>16425</v>
      </c>
    </row>
    <row r="29128" spans="1:6" ht="12.75">
      <c r="A29128" s="8">
        <v>43891.459421296298</v>
      </c>
      <c r="B29128" s="8" t="str">
        <f>HYPERLINK("https://twitter.com/aryacokronegoro","@aryacokronegoro")</f>
        <v>@aryacokronegoro</v>
      </c>
      <c r="C29128" s="8" t="s">
        <v>11051</v>
      </c>
      <c r="D29128" s="8">
        <v>0</v>
      </c>
      <c r="E29128" s="8">
        <v>0</v>
      </c>
      <c r="F29128" s="8">
        <v>436</v>
      </c>
    </row>
    <row r="29129" spans="1:6" ht="12.75">
      <c r="A29129" s="8">
        <v>43891.459386574075</v>
      </c>
      <c r="B29129" s="8" t="str">
        <f>HYPERLINK("https://twitter.com/putraapurnomo","@putraapurnomo")</f>
        <v>@putraapurnomo</v>
      </c>
      <c r="C29129" s="8" t="s">
        <v>10754</v>
      </c>
      <c r="D29129" s="8">
        <v>20</v>
      </c>
      <c r="E29129" s="8">
        <v>0</v>
      </c>
      <c r="F29129" s="8">
        <v>420</v>
      </c>
    </row>
    <row r="29130" spans="1:6" ht="12.75">
      <c r="A29130" s="8">
        <v>43891.459363425922</v>
      </c>
      <c r="B29130" s="8" t="str">
        <f>HYPERLINK("https://twitter.com/FatiinS_L","@FatiinS_L")</f>
        <v>@FatiinS_L</v>
      </c>
      <c r="C29130" s="8" t="s">
        <v>11052</v>
      </c>
      <c r="D29130" s="8">
        <v>1</v>
      </c>
      <c r="E29130" s="8">
        <v>0</v>
      </c>
      <c r="F29130" s="8">
        <v>16425</v>
      </c>
    </row>
    <row r="29131" spans="1:6" ht="12.75">
      <c r="A29131" s="8">
        <v>43891.459282407406</v>
      </c>
      <c r="B29131" s="8" t="str">
        <f>HYPERLINK("https://twitter.com/presa_kautsar","@presa_kautsar")</f>
        <v>@presa_kautsar</v>
      </c>
      <c r="C29131" s="8" t="s">
        <v>4235</v>
      </c>
      <c r="D29131" s="8">
        <v>1619</v>
      </c>
      <c r="E29131" s="8">
        <v>0</v>
      </c>
      <c r="F29131" s="8">
        <v>164</v>
      </c>
    </row>
    <row r="29132" spans="1:6" ht="12.75">
      <c r="A29132" s="8">
        <v>43891.45893518519</v>
      </c>
      <c r="B29132" s="8" t="str">
        <f>HYPERLINK("https://twitter.com/raanwx","@raanwx")</f>
        <v>@raanwx</v>
      </c>
      <c r="C29132" s="8" t="s">
        <v>2272</v>
      </c>
      <c r="D29132" s="8">
        <v>431</v>
      </c>
      <c r="E29132" s="8">
        <v>0</v>
      </c>
      <c r="F29132" s="8">
        <v>381</v>
      </c>
    </row>
    <row r="29133" spans="1:6" ht="12.75">
      <c r="A29133" s="8">
        <v>43891.458865740744</v>
      </c>
      <c r="B29133" s="8" t="str">
        <f>HYPERLINK("https://twitter.com/PramanaListyo","@PramanaListyo")</f>
        <v>@PramanaListyo</v>
      </c>
      <c r="C29133" s="8" t="s">
        <v>7437</v>
      </c>
      <c r="D29133" s="8">
        <v>392</v>
      </c>
      <c r="E29133" s="8">
        <v>0</v>
      </c>
      <c r="F29133" s="8">
        <v>419</v>
      </c>
    </row>
    <row r="29134" spans="1:6" ht="12.75">
      <c r="A29134" s="8">
        <v>43891.458819444444</v>
      </c>
      <c r="B29134" s="8" t="str">
        <f>HYPERLINK("https://twitter.com/mimiweeka","@mimiweeka")</f>
        <v>@mimiweeka</v>
      </c>
      <c r="C29134" s="8" t="s">
        <v>11032</v>
      </c>
      <c r="D29134" s="8">
        <v>5</v>
      </c>
      <c r="E29134" s="8">
        <v>0</v>
      </c>
      <c r="F29134" s="8">
        <v>455</v>
      </c>
    </row>
    <row r="29135" spans="1:6" ht="12.75">
      <c r="A29135" s="8">
        <v>43891.458761574075</v>
      </c>
      <c r="B29135" s="8" t="str">
        <f>HYPERLINK("https://twitter.com/intansavhyraa","@intansavhyraa")</f>
        <v>@intansavhyraa</v>
      </c>
      <c r="C29135" s="8" t="s">
        <v>9558</v>
      </c>
      <c r="D29135" s="8">
        <v>3</v>
      </c>
      <c r="E29135" s="8">
        <v>0</v>
      </c>
      <c r="F29135" s="8">
        <v>866</v>
      </c>
    </row>
    <row r="29136" spans="1:6" ht="12.75">
      <c r="A29136" s="8">
        <v>43891.458703703705</v>
      </c>
      <c r="B29136" s="8" t="str">
        <f>HYPERLINK("https://twitter.com/polisi_peduli","@polisi_peduli")</f>
        <v>@polisi_peduli</v>
      </c>
      <c r="C29136" s="8" t="s">
        <v>11053</v>
      </c>
      <c r="D29136" s="8">
        <v>0</v>
      </c>
      <c r="E29136" s="8">
        <v>1</v>
      </c>
      <c r="F29136" s="8">
        <v>195</v>
      </c>
    </row>
    <row r="29137" spans="1:6" ht="12.75">
      <c r="A29137" s="8">
        <v>43891.458692129629</v>
      </c>
      <c r="B29137" s="8" t="str">
        <f>HYPERLINK("https://twitter.com/IdriwalMayusda","@IdriwalMayusda")</f>
        <v>@IdriwalMayusda</v>
      </c>
      <c r="C29137" s="8" t="s">
        <v>11054</v>
      </c>
      <c r="D29137" s="8">
        <v>0</v>
      </c>
      <c r="E29137" s="8">
        <v>0</v>
      </c>
      <c r="F29137" s="8">
        <v>970</v>
      </c>
    </row>
    <row r="29138" spans="1:6" ht="12.75">
      <c r="A29138" s="8">
        <v>43891.458634259259</v>
      </c>
      <c r="B29138" s="8" t="str">
        <f>HYPERLINK("https://twitter.com/voaindonesia","@voaindonesia")</f>
        <v>@voaindonesia</v>
      </c>
      <c r="C29138" s="8" t="s">
        <v>11055</v>
      </c>
      <c r="D29138" s="8">
        <v>3</v>
      </c>
      <c r="E29138" s="8">
        <v>3</v>
      </c>
      <c r="F29138" s="8">
        <v>307876</v>
      </c>
    </row>
    <row r="29139" spans="1:6" ht="12.75">
      <c r="A29139" s="8">
        <v>43891.458622685182</v>
      </c>
      <c r="B29139" s="8" t="str">
        <f>HYPERLINK("https://twitter.com/shercostaSCT","@shercostaSCT")</f>
        <v>@shercostaSCT</v>
      </c>
      <c r="C29139" s="8" t="s">
        <v>11056</v>
      </c>
      <c r="D29139" s="8">
        <v>0</v>
      </c>
      <c r="E29139" s="8">
        <v>0</v>
      </c>
      <c r="F29139" s="8">
        <v>33</v>
      </c>
    </row>
    <row r="29140" spans="1:6" ht="12.75">
      <c r="A29140" s="8">
        <v>43891.458622685182</v>
      </c>
      <c r="B29140" s="8" t="str">
        <f>HYPERLINK("https://twitter.com/minatoahfai","@minatoahfai")</f>
        <v>@minatoahfai</v>
      </c>
      <c r="C29140" s="8" t="s">
        <v>11012</v>
      </c>
      <c r="D29140" s="8">
        <v>2</v>
      </c>
      <c r="E29140" s="8">
        <v>0</v>
      </c>
      <c r="F29140" s="8">
        <v>60</v>
      </c>
    </row>
    <row r="29141" spans="1:6" ht="12.75">
      <c r="A29141" s="8">
        <v>43891.458622685182</v>
      </c>
      <c r="B29141" s="8" t="str">
        <f>HYPERLINK("https://twitter.com/WishnoeB","@WishnoeB")</f>
        <v>@WishnoeB</v>
      </c>
      <c r="C29141" s="8" t="s">
        <v>10894</v>
      </c>
      <c r="D29141" s="8">
        <v>13</v>
      </c>
      <c r="E29141" s="8">
        <v>0</v>
      </c>
      <c r="F29141" s="8">
        <v>367</v>
      </c>
    </row>
    <row r="29142" spans="1:6" ht="12.75">
      <c r="A29142" s="8">
        <v>43891.458553240736</v>
      </c>
      <c r="B29142" s="8" t="str">
        <f>HYPERLINK("https://twitter.com/Nadila_ID","@Nadila_ID")</f>
        <v>@Nadila_ID</v>
      </c>
      <c r="C29142" s="8" t="s">
        <v>11040</v>
      </c>
      <c r="D29142" s="8">
        <v>2</v>
      </c>
      <c r="E29142" s="8">
        <v>0</v>
      </c>
      <c r="F29142" s="8">
        <v>7242</v>
      </c>
    </row>
    <row r="29143" spans="1:6" ht="12.75">
      <c r="A29143" s="8">
        <v>43891.458495370374</v>
      </c>
      <c r="B29143" s="8" t="str">
        <f>HYPERLINK("https://twitter.com/intansavhyraa","@intansavhyraa")</f>
        <v>@intansavhyraa</v>
      </c>
      <c r="C29143" s="8" t="s">
        <v>11057</v>
      </c>
      <c r="D29143" s="8">
        <v>15</v>
      </c>
      <c r="E29143" s="8">
        <v>0</v>
      </c>
      <c r="F29143" s="8">
        <v>866</v>
      </c>
    </row>
    <row r="29144" spans="1:6" ht="12.75">
      <c r="A29144" s="8">
        <v>43891.458483796298</v>
      </c>
      <c r="B29144" s="8" t="str">
        <f>HYPERLINK("https://twitter.com/Nadila_ID","@Nadila_ID")</f>
        <v>@Nadila_ID</v>
      </c>
      <c r="C29144" s="8" t="s">
        <v>11037</v>
      </c>
      <c r="D29144" s="8">
        <v>4</v>
      </c>
      <c r="E29144" s="8">
        <v>0</v>
      </c>
      <c r="F29144" s="8">
        <v>7242</v>
      </c>
    </row>
    <row r="29145" spans="1:6" ht="12.75">
      <c r="A29145" s="8">
        <v>43891.458333333328</v>
      </c>
      <c r="B29145" s="8" t="str">
        <f>HYPERLINK("https://twitter.com/jusstme4u","@jusstme4u")</f>
        <v>@jusstme4u</v>
      </c>
      <c r="C29145" s="8" t="s">
        <v>11058</v>
      </c>
      <c r="D29145" s="8">
        <v>1</v>
      </c>
      <c r="E29145" s="8">
        <v>0</v>
      </c>
      <c r="F29145" s="8">
        <v>76778</v>
      </c>
    </row>
    <row r="29146" spans="1:6" ht="12.75">
      <c r="A29146" s="8">
        <v>43891.458333333328</v>
      </c>
      <c r="B29146" s="8" t="str">
        <f>HYPERLINK("https://twitter.com/ayyufriska","@ayyufriska")</f>
        <v>@ayyufriska</v>
      </c>
      <c r="C29146" s="8" t="s">
        <v>11059</v>
      </c>
      <c r="D29146" s="8">
        <v>1</v>
      </c>
      <c r="E29146" s="8">
        <v>0</v>
      </c>
      <c r="F29146" s="8">
        <v>16</v>
      </c>
    </row>
    <row r="29147" spans="1:6" ht="12.75">
      <c r="A29147" s="8">
        <v>43891.458310185189</v>
      </c>
      <c r="B29147" s="8" t="str">
        <f>HYPERLINK("https://twitter.com/ditapuspitarini","@ditapuspitarini")</f>
        <v>@ditapuspitarini</v>
      </c>
      <c r="C29147" s="8" t="s">
        <v>2272</v>
      </c>
      <c r="D29147" s="8">
        <v>431</v>
      </c>
      <c r="E29147" s="8">
        <v>0</v>
      </c>
      <c r="F29147" s="8">
        <v>210</v>
      </c>
    </row>
    <row r="29148" spans="1:6" ht="12.75">
      <c r="A29148" s="8">
        <v>43891.458148148144</v>
      </c>
      <c r="B29148" s="8" t="str">
        <f>HYPERLINK("https://twitter.com/Nadila_ID","@Nadila_ID")</f>
        <v>@Nadila_ID</v>
      </c>
      <c r="C29148" s="8" t="s">
        <v>11034</v>
      </c>
      <c r="D29148" s="8">
        <v>5</v>
      </c>
      <c r="E29148" s="8">
        <v>0</v>
      </c>
      <c r="F29148" s="8">
        <v>7242</v>
      </c>
    </row>
    <row r="29149" spans="1:6" ht="12.75">
      <c r="A29149" s="8">
        <v>43891.458136574074</v>
      </c>
      <c r="B29149" s="8" t="str">
        <f>HYPERLINK("https://twitter.com/Uni_Melinda","@Uni_Melinda")</f>
        <v>@Uni_Melinda</v>
      </c>
      <c r="C29149" s="8" t="s">
        <v>8096</v>
      </c>
      <c r="D29149" s="8">
        <v>38</v>
      </c>
      <c r="E29149" s="8">
        <v>0</v>
      </c>
      <c r="F29149" s="8">
        <v>99</v>
      </c>
    </row>
    <row r="29150" spans="1:6" ht="12.75">
      <c r="A29150" s="8">
        <v>43891.458113425921</v>
      </c>
      <c r="B29150" s="8" t="str">
        <f>HYPERLINK("https://twitter.com/Nadila_ID","@Nadila_ID")</f>
        <v>@Nadila_ID</v>
      </c>
      <c r="C29150" s="8" t="s">
        <v>11060</v>
      </c>
      <c r="D29150" s="8">
        <v>1</v>
      </c>
      <c r="E29150" s="8">
        <v>0</v>
      </c>
      <c r="F29150" s="8">
        <v>7242</v>
      </c>
    </row>
    <row r="29151" spans="1:6" ht="12.75">
      <c r="A29151" s="8">
        <v>43891.457800925928</v>
      </c>
      <c r="B29151" s="8" t="str">
        <f>HYPERLINK("https://twitter.com/AreniPratiwi","@AreniPratiwi")</f>
        <v>@AreniPratiwi</v>
      </c>
      <c r="C29151" s="8" t="s">
        <v>11061</v>
      </c>
      <c r="D29151" s="8">
        <v>0</v>
      </c>
      <c r="E29151" s="8">
        <v>0</v>
      </c>
      <c r="F29151" s="8">
        <v>445</v>
      </c>
    </row>
    <row r="29152" spans="1:6" ht="12.75">
      <c r="A29152" s="8">
        <v>43891.457777777774</v>
      </c>
      <c r="B29152" s="8" t="str">
        <f>HYPERLINK("https://twitter.com/mimiweeka","@mimiweeka")</f>
        <v>@mimiweeka</v>
      </c>
      <c r="C29152" s="8" t="s">
        <v>11062</v>
      </c>
      <c r="D29152" s="8">
        <v>1</v>
      </c>
      <c r="E29152" s="8">
        <v>0</v>
      </c>
      <c r="F29152" s="8">
        <v>455</v>
      </c>
    </row>
    <row r="29153" spans="1:6" ht="12.75">
      <c r="A29153" s="8">
        <v>43891.457754629635</v>
      </c>
      <c r="B29153" s="8" t="str">
        <f>HYPERLINK("https://twitter.com/ibrahim_khoir","@ibrahim_khoir")</f>
        <v>@ibrahim_khoir</v>
      </c>
      <c r="C29153" s="8" t="s">
        <v>6836</v>
      </c>
      <c r="D29153" s="8">
        <v>617</v>
      </c>
      <c r="E29153" s="8">
        <v>0</v>
      </c>
      <c r="F29153" s="8">
        <v>307</v>
      </c>
    </row>
    <row r="29154" spans="1:6" ht="12.75">
      <c r="A29154" s="8">
        <v>43891.457638888889</v>
      </c>
      <c r="B29154" s="8" t="str">
        <f>HYPERLINK("https://twitter.com/SiJombloKreatif","@SiJombloKreatif")</f>
        <v>@SiJombloKreatif</v>
      </c>
      <c r="C29154" s="8" t="s">
        <v>11063</v>
      </c>
      <c r="D29154" s="8">
        <v>1</v>
      </c>
      <c r="E29154" s="8">
        <v>0</v>
      </c>
      <c r="F29154" s="8">
        <v>121750</v>
      </c>
    </row>
    <row r="29155" spans="1:6" ht="12.75">
      <c r="A29155" s="8">
        <v>43891.45758101852</v>
      </c>
      <c r="B29155" s="8" t="str">
        <f t="shared" ref="B29155:B29158" si="400">HYPERLINK("https://twitter.com/selfieituindah","@selfieituindah")</f>
        <v>@selfieituindah</v>
      </c>
      <c r="C29155" s="8" t="s">
        <v>11050</v>
      </c>
      <c r="D29155" s="8">
        <v>3</v>
      </c>
      <c r="E29155" s="8">
        <v>0</v>
      </c>
      <c r="F29155" s="8">
        <v>21815</v>
      </c>
    </row>
    <row r="29156" spans="1:6" ht="12.75">
      <c r="A29156" s="8">
        <v>43891.457488425927</v>
      </c>
      <c r="B29156" s="8" t="str">
        <f t="shared" si="400"/>
        <v>@selfieituindah</v>
      </c>
      <c r="C29156" s="8" t="s">
        <v>11064</v>
      </c>
      <c r="D29156" s="8">
        <v>2</v>
      </c>
      <c r="E29156" s="8">
        <v>0</v>
      </c>
      <c r="F29156" s="8">
        <v>21815</v>
      </c>
    </row>
    <row r="29157" spans="1:6" ht="12.75">
      <c r="A29157" s="8">
        <v>43891.457453703704</v>
      </c>
      <c r="B29157" s="8" t="str">
        <f t="shared" si="400"/>
        <v>@selfieituindah</v>
      </c>
      <c r="C29157" s="8" t="s">
        <v>11034</v>
      </c>
      <c r="D29157" s="8">
        <v>5</v>
      </c>
      <c r="E29157" s="8">
        <v>0</v>
      </c>
      <c r="F29157" s="8">
        <v>21815</v>
      </c>
    </row>
    <row r="29158" spans="1:6" ht="12.75">
      <c r="A29158" s="8">
        <v>43891.457407407404</v>
      </c>
      <c r="B29158" s="8" t="str">
        <f t="shared" si="400"/>
        <v>@selfieituindah</v>
      </c>
      <c r="C29158" s="8" t="s">
        <v>11017</v>
      </c>
      <c r="D29158" s="8">
        <v>1</v>
      </c>
      <c r="E29158" s="8">
        <v>0</v>
      </c>
      <c r="F29158" s="8">
        <v>21815</v>
      </c>
    </row>
    <row r="29159" spans="1:6" ht="12.75">
      <c r="A29159" s="8">
        <v>43891.457407407404</v>
      </c>
      <c r="B29159" s="8" t="str">
        <f>HYPERLINK("https://twitter.com/apriliahnf","@apriliahnf")</f>
        <v>@apriliahnf</v>
      </c>
      <c r="C29159" s="8" t="s">
        <v>2272</v>
      </c>
      <c r="D29159" s="8">
        <v>431</v>
      </c>
      <c r="E29159" s="8">
        <v>0</v>
      </c>
      <c r="F29159" s="8">
        <v>620</v>
      </c>
    </row>
    <row r="29160" spans="1:6" ht="12.75">
      <c r="A29160" s="8">
        <v>43891.457372685181</v>
      </c>
      <c r="B29160" s="8" t="str">
        <f t="shared" ref="B29160:B29162" si="401">HYPERLINK("https://twitter.com/selfieituindah","@selfieituindah")</f>
        <v>@selfieituindah</v>
      </c>
      <c r="C29160" s="8" t="s">
        <v>11032</v>
      </c>
      <c r="D29160" s="8">
        <v>5</v>
      </c>
      <c r="E29160" s="8">
        <v>0</v>
      </c>
      <c r="F29160" s="8">
        <v>21815</v>
      </c>
    </row>
    <row r="29161" spans="1:6" ht="12.75">
      <c r="A29161" s="8">
        <v>43891.457337962958</v>
      </c>
      <c r="B29161" s="8" t="str">
        <f t="shared" si="401"/>
        <v>@selfieituindah</v>
      </c>
      <c r="C29161" s="8" t="s">
        <v>11039</v>
      </c>
      <c r="D29161" s="8">
        <v>2</v>
      </c>
      <c r="E29161" s="8">
        <v>0</v>
      </c>
      <c r="F29161" s="8">
        <v>21815</v>
      </c>
    </row>
    <row r="29162" spans="1:6" ht="12.75">
      <c r="A29162" s="8">
        <v>43891.457326388889</v>
      </c>
      <c r="B29162" s="8" t="str">
        <f t="shared" si="401"/>
        <v>@selfieituindah</v>
      </c>
      <c r="C29162" s="8" t="s">
        <v>11030</v>
      </c>
      <c r="D29162" s="8">
        <v>6</v>
      </c>
      <c r="E29162" s="8">
        <v>0</v>
      </c>
      <c r="F29162" s="8">
        <v>21815</v>
      </c>
    </row>
    <row r="29163" spans="1:6" ht="12.75">
      <c r="A29163" s="8">
        <v>43891.457037037035</v>
      </c>
      <c r="B29163" s="8" t="str">
        <f>HYPERLINK("https://twitter.com/PuspoThe","@PuspoThe")</f>
        <v>@PuspoThe</v>
      </c>
      <c r="C29163" s="8" t="s">
        <v>6708</v>
      </c>
      <c r="D29163" s="8">
        <v>46</v>
      </c>
      <c r="E29163" s="8">
        <v>0</v>
      </c>
      <c r="F29163" s="8">
        <v>70</v>
      </c>
    </row>
    <row r="29164" spans="1:6" ht="12.75">
      <c r="A29164" s="8">
        <v>43891.456932870366</v>
      </c>
      <c r="B29164" s="8" t="str">
        <f>HYPERLINK("https://twitter.com/ItsMyRealQuotes","@ItsMyRealQuotes")</f>
        <v>@ItsMyRealQuotes</v>
      </c>
      <c r="C29164" s="8" t="s">
        <v>11050</v>
      </c>
      <c r="D29164" s="8">
        <v>3</v>
      </c>
      <c r="E29164" s="8">
        <v>0</v>
      </c>
      <c r="F29164" s="8">
        <v>84132</v>
      </c>
    </row>
    <row r="29165" spans="1:6" ht="12.75">
      <c r="A29165" s="8">
        <v>43891.45689814815</v>
      </c>
      <c r="B29165" s="8" t="str">
        <f>HYPERLINK("https://twitter.com/dianliani","@dianliani")</f>
        <v>@dianliani</v>
      </c>
      <c r="C29165" s="8" t="s">
        <v>2272</v>
      </c>
      <c r="D29165" s="8">
        <v>431</v>
      </c>
      <c r="E29165" s="8">
        <v>0</v>
      </c>
      <c r="F29165" s="8">
        <v>568</v>
      </c>
    </row>
    <row r="29166" spans="1:6" ht="12.75">
      <c r="A29166" s="8">
        <v>43891.45685185185</v>
      </c>
      <c r="B29166" s="8" t="str">
        <f>HYPERLINK("https://twitter.com/ItsMyRealQuotes","@ItsMyRealQuotes")</f>
        <v>@ItsMyRealQuotes</v>
      </c>
      <c r="C29166" s="8" t="s">
        <v>11036</v>
      </c>
      <c r="D29166" s="8">
        <v>2</v>
      </c>
      <c r="E29166" s="8">
        <v>0</v>
      </c>
      <c r="F29166" s="8">
        <v>84132</v>
      </c>
    </row>
    <row r="29167" spans="1:6" ht="12.75">
      <c r="A29167" s="8">
        <v>43891.456689814819</v>
      </c>
      <c r="B29167" s="8" t="str">
        <f>HYPERLINK("https://twitter.com/rfistaas","@rfistaas")</f>
        <v>@rfistaas</v>
      </c>
      <c r="C29167" s="8" t="s">
        <v>2272</v>
      </c>
      <c r="D29167" s="8">
        <v>431</v>
      </c>
      <c r="E29167" s="8">
        <v>0</v>
      </c>
      <c r="F29167" s="8">
        <v>254</v>
      </c>
    </row>
    <row r="29168" spans="1:6" ht="12.75">
      <c r="A29168" s="8">
        <v>43891.456585648149</v>
      </c>
      <c r="B29168" s="8" t="str">
        <f t="shared" ref="B29168:B29170" si="402">HYPERLINK("https://twitter.com/ItsMyRealQuotes","@ItsMyRealQuotes")</f>
        <v>@ItsMyRealQuotes</v>
      </c>
      <c r="C29168" s="8" t="s">
        <v>11064</v>
      </c>
      <c r="D29168" s="8">
        <v>2</v>
      </c>
      <c r="E29168" s="8">
        <v>0</v>
      </c>
      <c r="F29168" s="8">
        <v>84132</v>
      </c>
    </row>
    <row r="29169" spans="1:6" ht="12.75">
      <c r="A29169" s="8">
        <v>43891.456562499996</v>
      </c>
      <c r="B29169" s="8" t="str">
        <f t="shared" si="402"/>
        <v>@ItsMyRealQuotes</v>
      </c>
      <c r="C29169" s="8" t="s">
        <v>11035</v>
      </c>
      <c r="D29169" s="8">
        <v>2</v>
      </c>
      <c r="E29169" s="8">
        <v>0</v>
      </c>
      <c r="F29169" s="8">
        <v>84132</v>
      </c>
    </row>
    <row r="29170" spans="1:6" ht="12.75">
      <c r="A29170" s="8">
        <v>43891.456331018519</v>
      </c>
      <c r="B29170" s="8" t="str">
        <f t="shared" si="402"/>
        <v>@ItsMyRealQuotes</v>
      </c>
      <c r="C29170" s="8" t="s">
        <v>11033</v>
      </c>
      <c r="D29170" s="8">
        <v>2</v>
      </c>
      <c r="E29170" s="8">
        <v>0</v>
      </c>
      <c r="F29170" s="8">
        <v>84132</v>
      </c>
    </row>
    <row r="29171" spans="1:6" ht="12.75">
      <c r="A29171" s="8">
        <v>43891.456331018519</v>
      </c>
      <c r="B29171" s="8" t="str">
        <f>HYPERLINK("https://twitter.com/intansavhyraa","@intansavhyraa")</f>
        <v>@intansavhyraa</v>
      </c>
      <c r="C29171" s="8" t="s">
        <v>11012</v>
      </c>
      <c r="D29171" s="8">
        <v>2</v>
      </c>
      <c r="E29171" s="8">
        <v>0</v>
      </c>
      <c r="F29171" s="8">
        <v>866</v>
      </c>
    </row>
    <row r="29172" spans="1:6" ht="12.75">
      <c r="A29172" s="8">
        <v>43891.456238425926</v>
      </c>
      <c r="B29172" s="8" t="str">
        <f>HYPERLINK("https://twitter.com/ItsMyRealQuotes","@ItsMyRealQuotes")</f>
        <v>@ItsMyRealQuotes</v>
      </c>
      <c r="C29172" s="8" t="s">
        <v>11030</v>
      </c>
      <c r="D29172" s="8">
        <v>6</v>
      </c>
      <c r="E29172" s="8">
        <v>0</v>
      </c>
      <c r="F29172" s="8">
        <v>84132</v>
      </c>
    </row>
    <row r="29173" spans="1:6" ht="12.75">
      <c r="A29173" s="8">
        <v>43891.45584490741</v>
      </c>
      <c r="B29173" s="8" t="str">
        <f>HYPERLINK("https://twitter.com/puhhac","@puhhac")</f>
        <v>@puhhac</v>
      </c>
      <c r="C29173" s="8" t="s">
        <v>11030</v>
      </c>
      <c r="D29173" s="8">
        <v>6</v>
      </c>
      <c r="E29173" s="8">
        <v>0</v>
      </c>
      <c r="F29173" s="8">
        <v>4</v>
      </c>
    </row>
    <row r="29174" spans="1:6" ht="12.75">
      <c r="A29174" s="8">
        <v>43891.455821759257</v>
      </c>
      <c r="B29174" s="8" t="str">
        <f>HYPERLINK("https://twitter.com/RinaaMuis","@RinaaMuis")</f>
        <v>@RinaaMuis</v>
      </c>
      <c r="C29174" s="8" t="s">
        <v>10481</v>
      </c>
      <c r="D29174" s="8">
        <v>30</v>
      </c>
      <c r="E29174" s="8">
        <v>0</v>
      </c>
      <c r="F29174" s="8">
        <v>47</v>
      </c>
    </row>
    <row r="29175" spans="1:6" ht="12.75">
      <c r="A29175" s="8">
        <v>43891.423449074078</v>
      </c>
      <c r="B29175" s="8" t="str">
        <f>HYPERLINK("https://twitter.com/UncleRain2","@UncleRain2")</f>
        <v>@UncleRain2</v>
      </c>
      <c r="C29175" s="8" t="s">
        <v>6836</v>
      </c>
      <c r="D29175" s="8">
        <v>609</v>
      </c>
      <c r="E29175" s="8">
        <v>0</v>
      </c>
      <c r="F29175" s="8">
        <v>674</v>
      </c>
    </row>
    <row r="29176" spans="1:6" ht="12.75">
      <c r="A29176" s="8">
        <v>43891.423333333332</v>
      </c>
      <c r="B29176" s="8" t="str">
        <f>HYPERLINK("https://twitter.com/ajimdafi","@ajimdafi")</f>
        <v>@ajimdafi</v>
      </c>
      <c r="C29176" s="8" t="s">
        <v>11065</v>
      </c>
      <c r="D29176" s="8">
        <v>0</v>
      </c>
      <c r="E29176" s="8">
        <v>0</v>
      </c>
      <c r="F29176" s="8">
        <v>1212</v>
      </c>
    </row>
    <row r="29177" spans="1:6" ht="12.75">
      <c r="A29177" s="8">
        <v>43891.423252314809</v>
      </c>
      <c r="B29177" s="8" t="str">
        <f>HYPERLINK("https://twitter.com/AniesSubianto","@AniesSubianto")</f>
        <v>@AniesSubianto</v>
      </c>
      <c r="C29177" s="8" t="s">
        <v>10894</v>
      </c>
      <c r="D29177" s="8">
        <v>4</v>
      </c>
      <c r="E29177" s="8">
        <v>0</v>
      </c>
      <c r="F29177" s="8">
        <v>404</v>
      </c>
    </row>
    <row r="29178" spans="1:6" ht="12.75">
      <c r="A29178" s="8">
        <v>43891.423101851848</v>
      </c>
      <c r="B29178" s="8" t="str">
        <f>HYPERLINK("https://twitter.com/Fathi32335628","@Fathi32335628")</f>
        <v>@Fathi32335628</v>
      </c>
      <c r="C29178" s="8" t="s">
        <v>11066</v>
      </c>
      <c r="D29178" s="8">
        <v>0</v>
      </c>
      <c r="E29178" s="8">
        <v>0</v>
      </c>
      <c r="F29178" s="8">
        <v>1</v>
      </c>
    </row>
    <row r="29179" spans="1:6" ht="12.75">
      <c r="A29179" s="8">
        <v>43891.423055555555</v>
      </c>
      <c r="B29179" s="8" t="str">
        <f>HYPERLINK("https://twitter.com/srkartika","@srkartika")</f>
        <v>@srkartika</v>
      </c>
      <c r="C29179" s="8" t="s">
        <v>2272</v>
      </c>
      <c r="D29179" s="8">
        <v>331</v>
      </c>
      <c r="E29179" s="8">
        <v>0</v>
      </c>
      <c r="F29179" s="8">
        <v>434</v>
      </c>
    </row>
    <row r="29180" spans="1:6" ht="12.75">
      <c r="A29180" s="8">
        <v>43891.422974537039</v>
      </c>
      <c r="B29180" s="8" t="str">
        <f>HYPERLINK("https://twitter.com/set140","@set140")</f>
        <v>@set140</v>
      </c>
      <c r="C29180" s="8" t="s">
        <v>10600</v>
      </c>
      <c r="D29180" s="8">
        <v>248</v>
      </c>
      <c r="E29180" s="8">
        <v>0</v>
      </c>
      <c r="F29180" s="8">
        <v>99</v>
      </c>
    </row>
    <row r="29181" spans="1:6" ht="12.75">
      <c r="A29181" s="8">
        <v>43891.422719907408</v>
      </c>
      <c r="B29181" s="8" t="str">
        <f>HYPERLINK("https://twitter.com/MariaTriastomo","@MariaTriastomo")</f>
        <v>@MariaTriastomo</v>
      </c>
      <c r="C29181" s="8" t="s">
        <v>10811</v>
      </c>
      <c r="D29181" s="8">
        <v>279</v>
      </c>
      <c r="E29181" s="8">
        <v>0</v>
      </c>
      <c r="F29181" s="8">
        <v>573</v>
      </c>
    </row>
    <row r="29182" spans="1:6" ht="12.75">
      <c r="A29182" s="8">
        <v>43891.42260416667</v>
      </c>
      <c r="B29182" s="8" t="str">
        <f>HYPERLINK("https://twitter.com/Reemeora1","@Reemeora1")</f>
        <v>@Reemeora1</v>
      </c>
      <c r="C29182" s="8" t="s">
        <v>11067</v>
      </c>
      <c r="D29182" s="8">
        <v>0</v>
      </c>
      <c r="E29182" s="8">
        <v>0</v>
      </c>
      <c r="F29182" s="8">
        <v>1367</v>
      </c>
    </row>
    <row r="29183" spans="1:6" ht="12.75">
      <c r="A29183" s="8">
        <v>43891.422581018516</v>
      </c>
      <c r="B29183" s="8" t="str">
        <f>HYPERLINK("https://twitter.com/dhearstntr","@dhearstntr")</f>
        <v>@dhearstntr</v>
      </c>
      <c r="C29183" s="8" t="s">
        <v>2272</v>
      </c>
      <c r="D29183" s="8">
        <v>331</v>
      </c>
      <c r="E29183" s="8">
        <v>0</v>
      </c>
      <c r="F29183" s="8">
        <v>177</v>
      </c>
    </row>
    <row r="29184" spans="1:6" ht="12.75">
      <c r="A29184" s="8">
        <v>43891.422442129631</v>
      </c>
      <c r="B29184" s="8" t="str">
        <f>HYPERLINK("https://twitter.com/alvinafisatulkh","@alvinafisatulkh")</f>
        <v>@alvinafisatulkh</v>
      </c>
      <c r="C29184" s="8" t="s">
        <v>2272</v>
      </c>
      <c r="D29184" s="8">
        <v>331</v>
      </c>
      <c r="E29184" s="8">
        <v>0</v>
      </c>
      <c r="F29184" s="8">
        <v>2268</v>
      </c>
    </row>
    <row r="29185" spans="1:6" ht="12.75">
      <c r="A29185" s="8">
        <v>43891.422384259262</v>
      </c>
      <c r="B29185" s="8" t="str">
        <f>HYPERLINK("https://twitter.com/absomad1","@absomad1")</f>
        <v>@absomad1</v>
      </c>
      <c r="C29185" s="8" t="s">
        <v>11068</v>
      </c>
      <c r="D29185" s="8">
        <v>267</v>
      </c>
      <c r="E29185" s="8">
        <v>0</v>
      </c>
      <c r="F29185" s="8">
        <v>238</v>
      </c>
    </row>
    <row r="29186" spans="1:6" ht="12.75">
      <c r="A29186" s="8">
        <v>43891.422384259262</v>
      </c>
      <c r="B29186" s="8" t="str">
        <f>HYPERLINK("https://twitter.com/sunivershine","@sunivershine")</f>
        <v>@sunivershine</v>
      </c>
      <c r="C29186" s="8" t="s">
        <v>2272</v>
      </c>
      <c r="D29186" s="8">
        <v>331</v>
      </c>
      <c r="E29186" s="8">
        <v>0</v>
      </c>
      <c r="F29186" s="8">
        <v>848</v>
      </c>
    </row>
    <row r="29187" spans="1:6" ht="12.75">
      <c r="A29187" s="8">
        <v>43891.422326388885</v>
      </c>
      <c r="B29187" s="8" t="str">
        <f>HYPERLINK("https://twitter.com/as_Smr","@as_Smr")</f>
        <v>@as_Smr</v>
      </c>
      <c r="C29187" s="8" t="s">
        <v>10811</v>
      </c>
      <c r="D29187" s="8">
        <v>279</v>
      </c>
      <c r="E29187" s="8">
        <v>0</v>
      </c>
      <c r="F29187" s="8">
        <v>151</v>
      </c>
    </row>
    <row r="29188" spans="1:6" ht="12.75">
      <c r="A29188" s="8">
        <v>43891.4221875</v>
      </c>
      <c r="B29188" s="8" t="str">
        <f>HYPERLINK("https://twitter.com/kbrimaputo","@kbrimaputo")</f>
        <v>@kbrimaputo</v>
      </c>
      <c r="C29188" s="8" t="s">
        <v>11069</v>
      </c>
      <c r="D29188" s="8">
        <v>24</v>
      </c>
      <c r="E29188" s="8">
        <v>0</v>
      </c>
      <c r="F29188" s="8">
        <v>316</v>
      </c>
    </row>
    <row r="29189" spans="1:6" ht="12.75">
      <c r="A29189" s="8">
        <v>43891.422164351854</v>
      </c>
      <c r="B29189" s="8" t="str">
        <f>HYPERLINK("https://twitter.com/HatuweSoleiman","@HatuweSoleiman")</f>
        <v>@HatuweSoleiman</v>
      </c>
      <c r="C29189" s="8" t="s">
        <v>11070</v>
      </c>
      <c r="D29189" s="8">
        <v>0</v>
      </c>
      <c r="E29189" s="8">
        <v>0</v>
      </c>
      <c r="F29189" s="8">
        <v>20</v>
      </c>
    </row>
    <row r="29190" spans="1:6" ht="12.75">
      <c r="A29190" s="8">
        <v>43891.422037037039</v>
      </c>
      <c r="B29190" s="8" t="str">
        <f>HYPERLINK("https://twitter.com/kbrimaputo","@kbrimaputo")</f>
        <v>@kbrimaputo</v>
      </c>
      <c r="C29190" s="8" t="s">
        <v>9248</v>
      </c>
      <c r="D29190" s="8">
        <v>24</v>
      </c>
      <c r="E29190" s="8">
        <v>0</v>
      </c>
      <c r="F29190" s="8">
        <v>316</v>
      </c>
    </row>
    <row r="29191" spans="1:6" ht="12.75">
      <c r="A29191" s="8">
        <v>43891.421979166669</v>
      </c>
      <c r="B29191" s="8" t="str">
        <f>HYPERLINK("https://twitter.com/jumadisakir","@jumadisakir")</f>
        <v>@jumadisakir</v>
      </c>
      <c r="C29191" s="8" t="s">
        <v>10894</v>
      </c>
      <c r="D29191" s="8">
        <v>4</v>
      </c>
      <c r="E29191" s="8">
        <v>0</v>
      </c>
      <c r="F29191" s="8">
        <v>915</v>
      </c>
    </row>
    <row r="29192" spans="1:6" ht="12.75">
      <c r="A29192" s="8">
        <v>43891.421932870369</v>
      </c>
      <c r="B29192" s="8" t="str">
        <f>HYPERLINK("https://twitter.com/Satriawannn","@Satriawannn")</f>
        <v>@Satriawannn</v>
      </c>
      <c r="C29192" s="8" t="s">
        <v>2272</v>
      </c>
      <c r="D29192" s="8">
        <v>331</v>
      </c>
      <c r="E29192" s="8">
        <v>0</v>
      </c>
      <c r="F29192" s="8">
        <v>43</v>
      </c>
    </row>
    <row r="29193" spans="1:6" ht="12.75">
      <c r="A29193" s="8">
        <v>43891.421701388885</v>
      </c>
      <c r="B29193" s="8" t="str">
        <f>HYPERLINK("https://twitter.com/KailPancing","@KailPancing")</f>
        <v>@KailPancing</v>
      </c>
      <c r="C29193" s="8" t="s">
        <v>11071</v>
      </c>
      <c r="D29193" s="8">
        <v>0</v>
      </c>
      <c r="E29193" s="8">
        <v>0</v>
      </c>
      <c r="F29193" s="8">
        <v>1088</v>
      </c>
    </row>
    <row r="29194" spans="1:6" ht="12.75">
      <c r="A29194" s="8">
        <v>43891.421643518523</v>
      </c>
      <c r="B29194" s="8" t="str">
        <f>HYPERLINK("https://twitter.com/Paltiwest","@Paltiwest")</f>
        <v>@Paltiwest</v>
      </c>
      <c r="C29194" s="8" t="s">
        <v>11072</v>
      </c>
      <c r="D29194" s="8">
        <v>4</v>
      </c>
      <c r="E29194" s="8">
        <v>4</v>
      </c>
      <c r="F29194" s="8">
        <v>10795</v>
      </c>
    </row>
    <row r="29195" spans="1:6" ht="12.75">
      <c r="A29195" s="8">
        <v>43891.420960648145</v>
      </c>
      <c r="B29195" s="8" t="str">
        <f>HYPERLINK("https://twitter.com/AndryAndreas9","@AndryAndreas9")</f>
        <v>@AndryAndreas9</v>
      </c>
      <c r="C29195" s="8" t="s">
        <v>11073</v>
      </c>
      <c r="D29195" s="8">
        <v>0</v>
      </c>
      <c r="E29195" s="8">
        <v>0</v>
      </c>
      <c r="F29195" s="8">
        <v>0</v>
      </c>
    </row>
    <row r="29196" spans="1:6" ht="12.75">
      <c r="A29196" s="8">
        <v>43891.420925925922</v>
      </c>
      <c r="B29196" s="8" t="str">
        <f>HYPERLINK("https://twitter.com/J_Mustofa","@J_Mustofa")</f>
        <v>@J_Mustofa</v>
      </c>
      <c r="C29196" s="8" t="s">
        <v>11074</v>
      </c>
      <c r="D29196" s="8">
        <v>7</v>
      </c>
      <c r="E29196" s="8">
        <v>0</v>
      </c>
      <c r="F29196" s="8">
        <v>1551</v>
      </c>
    </row>
    <row r="29197" spans="1:6" ht="12.75">
      <c r="A29197" s="8">
        <v>43891.420833333337</v>
      </c>
      <c r="B29197" s="8" t="str">
        <f>HYPERLINK("https://twitter.com/LaRose78992426","@LaRose78992426")</f>
        <v>@LaRose78992426</v>
      </c>
      <c r="C29197" s="8" t="s">
        <v>11075</v>
      </c>
      <c r="D29197" s="8">
        <v>96</v>
      </c>
      <c r="E29197" s="8">
        <v>0</v>
      </c>
      <c r="F29197" s="8">
        <v>272</v>
      </c>
    </row>
    <row r="29198" spans="1:6" ht="12.75">
      <c r="A29198" s="8">
        <v>43891.420648148152</v>
      </c>
      <c r="B29198" s="8" t="str">
        <f>HYPERLINK("https://twitter.com/anisajayanti_","@anisajayanti_")</f>
        <v>@anisajayanti_</v>
      </c>
      <c r="C29198" s="8" t="s">
        <v>11076</v>
      </c>
      <c r="D29198" s="8">
        <v>0</v>
      </c>
      <c r="E29198" s="8">
        <v>0</v>
      </c>
      <c r="F29198" s="8">
        <v>286</v>
      </c>
    </row>
    <row r="29199" spans="1:6" ht="12.75">
      <c r="A29199" s="8">
        <v>43891.420636574076</v>
      </c>
      <c r="B29199" s="8" t="str">
        <f>HYPERLINK("https://twitter.com/mgpramesti","@mgpramesti")</f>
        <v>@mgpramesti</v>
      </c>
      <c r="C29199" s="8" t="s">
        <v>2272</v>
      </c>
      <c r="D29199" s="8">
        <v>331</v>
      </c>
      <c r="E29199" s="8">
        <v>0</v>
      </c>
      <c r="F29199" s="8">
        <v>504</v>
      </c>
    </row>
    <row r="29200" spans="1:6" ht="12.75">
      <c r="A29200" s="8">
        <v>43891.420613425929</v>
      </c>
      <c r="B29200" s="8" t="str">
        <f>HYPERLINK("https://twitter.com/brijeshchaodhry","@brijeshchaodhry")</f>
        <v>@brijeshchaodhry</v>
      </c>
      <c r="C29200" s="8" t="s">
        <v>11015</v>
      </c>
      <c r="D29200" s="8">
        <v>23</v>
      </c>
      <c r="E29200" s="8">
        <v>0</v>
      </c>
      <c r="F29200" s="8">
        <v>615</v>
      </c>
    </row>
    <row r="29201" spans="1:6" ht="12.75">
      <c r="A29201" s="8">
        <v>43891.420486111107</v>
      </c>
      <c r="B29201" s="8" t="str">
        <f>HYPERLINK("https://twitter.com/pilaala","@pilaala")</f>
        <v>@pilaala</v>
      </c>
      <c r="C29201" s="8" t="s">
        <v>2272</v>
      </c>
      <c r="D29201" s="8">
        <v>331</v>
      </c>
      <c r="E29201" s="8">
        <v>0</v>
      </c>
      <c r="F29201" s="8">
        <v>750</v>
      </c>
    </row>
    <row r="29202" spans="1:6" ht="12.75">
      <c r="A29202" s="8">
        <v>43891.420231481483</v>
      </c>
      <c r="B29202" s="8" t="str">
        <f>HYPERLINK("https://twitter.com/urip_murup","@urip_murup")</f>
        <v>@urip_murup</v>
      </c>
      <c r="C29202" s="8" t="s">
        <v>10530</v>
      </c>
      <c r="D29202" s="8">
        <v>3</v>
      </c>
      <c r="E29202" s="8">
        <v>0</v>
      </c>
      <c r="F29202" s="8">
        <v>239</v>
      </c>
    </row>
    <row r="29203" spans="1:6" ht="12.75">
      <c r="A29203" s="8">
        <v>43891.420138888891</v>
      </c>
      <c r="B29203" s="8" t="str">
        <f>HYPERLINK("https://twitter.com/hidupnanindah","@hidupnanindah")</f>
        <v>@hidupnanindah</v>
      </c>
      <c r="C29203" s="8" t="s">
        <v>11077</v>
      </c>
      <c r="D29203" s="8">
        <v>0</v>
      </c>
      <c r="E29203" s="8">
        <v>0</v>
      </c>
      <c r="F29203" s="8">
        <v>14997</v>
      </c>
    </row>
    <row r="29204" spans="1:6" ht="12.75">
      <c r="A29204" s="8">
        <v>43891.419837962967</v>
      </c>
      <c r="B29204" s="8" t="str">
        <f>HYPERLINK("https://twitter.com/musashi_masabi","@musashi_masabi")</f>
        <v>@musashi_masabi</v>
      </c>
      <c r="C29204" s="8" t="s">
        <v>11078</v>
      </c>
      <c r="D29204" s="8">
        <v>0</v>
      </c>
      <c r="E29204" s="8">
        <v>0</v>
      </c>
      <c r="F29204" s="8">
        <v>1113</v>
      </c>
    </row>
    <row r="29205" spans="1:6" ht="12.75">
      <c r="A29205" s="8">
        <v>43891.419803240744</v>
      </c>
      <c r="B29205" s="8" t="str">
        <f>HYPERLINK("https://twitter.com/AbiAlisagaf","@AbiAlisagaf")</f>
        <v>@AbiAlisagaf</v>
      </c>
      <c r="C29205" s="8" t="s">
        <v>10600</v>
      </c>
      <c r="D29205" s="8">
        <v>248</v>
      </c>
      <c r="E29205" s="8">
        <v>0</v>
      </c>
      <c r="F29205" s="8">
        <v>47</v>
      </c>
    </row>
    <row r="29206" spans="1:6" ht="12.75">
      <c r="A29206" s="8">
        <v>43891.419791666667</v>
      </c>
      <c r="B29206" s="8" t="str">
        <f>HYPERLINK("https://twitter.com/SukhendroPragul","@SukhendroPragul")</f>
        <v>@SukhendroPragul</v>
      </c>
      <c r="C29206" s="8" t="s">
        <v>11079</v>
      </c>
      <c r="D29206" s="8">
        <v>1</v>
      </c>
      <c r="E29206" s="8">
        <v>0</v>
      </c>
      <c r="F29206" s="8">
        <v>2018</v>
      </c>
    </row>
    <row r="29207" spans="1:6" ht="12.75">
      <c r="A29207" s="8">
        <v>43891.419594907406</v>
      </c>
      <c r="B29207" s="8" t="str">
        <f>HYPERLINK("https://twitter.com/iNewsID","@iNewsID")</f>
        <v>@iNewsID</v>
      </c>
      <c r="C29207" s="8" t="s">
        <v>10969</v>
      </c>
      <c r="D29207" s="8">
        <v>0</v>
      </c>
      <c r="E29207" s="8">
        <v>0</v>
      </c>
      <c r="F29207" s="8">
        <v>1346</v>
      </c>
    </row>
    <row r="29208" spans="1:6" ht="12.75">
      <c r="A29208" s="8">
        <v>43891.41951388889</v>
      </c>
      <c r="B29208" s="8" t="str">
        <f>HYPERLINK("https://twitter.com/Bujangkaram1","@Bujangkaram1")</f>
        <v>@Bujangkaram1</v>
      </c>
      <c r="C29208" s="8" t="s">
        <v>11080</v>
      </c>
      <c r="D29208" s="8">
        <v>0</v>
      </c>
      <c r="E29208" s="8">
        <v>0</v>
      </c>
      <c r="F29208" s="8">
        <v>2</v>
      </c>
    </row>
    <row r="29209" spans="1:6" ht="12.75">
      <c r="A29209" s="8">
        <v>43891.419305555552</v>
      </c>
      <c r="B29209" s="8" t="str">
        <f>HYPERLINK("https://twitter.com/ismaeldoank","@ismaeldoank")</f>
        <v>@ismaeldoank</v>
      </c>
      <c r="C29209" s="8" t="s">
        <v>10755</v>
      </c>
      <c r="D29209" s="8">
        <v>703</v>
      </c>
      <c r="E29209" s="8">
        <v>0</v>
      </c>
      <c r="F29209" s="8">
        <v>45</v>
      </c>
    </row>
    <row r="29210" spans="1:6" ht="12.75">
      <c r="A29210" s="8">
        <v>43891.419131944444</v>
      </c>
      <c r="B29210" s="8" t="str">
        <f>HYPERLINK("https://twitter.com/meiganuhani","@meiganuhani")</f>
        <v>@meiganuhani</v>
      </c>
      <c r="C29210" s="8" t="s">
        <v>6708</v>
      </c>
      <c r="D29210" s="8">
        <v>45</v>
      </c>
      <c r="E29210" s="8">
        <v>0</v>
      </c>
      <c r="F29210" s="8">
        <v>409</v>
      </c>
    </row>
    <row r="29211" spans="1:6" ht="12.75">
      <c r="A29211" s="8">
        <v>43891.419027777782</v>
      </c>
      <c r="B29211" s="8" t="str">
        <f>HYPERLINK("https://twitter.com/SaktiMumpuni","@SaktiMumpuni")</f>
        <v>@SaktiMumpuni</v>
      </c>
      <c r="C29211" s="8" t="s">
        <v>7686</v>
      </c>
      <c r="D29211" s="8">
        <v>908</v>
      </c>
      <c r="E29211" s="8">
        <v>0</v>
      </c>
      <c r="F29211" s="8">
        <v>140</v>
      </c>
    </row>
    <row r="29212" spans="1:6" ht="12.75">
      <c r="A29212" s="8">
        <v>43891.418958333335</v>
      </c>
      <c r="B29212" s="8" t="str">
        <f>HYPERLINK("https://twitter.com/hartono_tratas","@hartono_tratas")</f>
        <v>@hartono_tratas</v>
      </c>
      <c r="C29212" s="8" t="s">
        <v>11081</v>
      </c>
      <c r="D29212" s="8">
        <v>0</v>
      </c>
      <c r="E29212" s="8">
        <v>0</v>
      </c>
      <c r="F29212" s="8">
        <v>227</v>
      </c>
    </row>
    <row r="29213" spans="1:6" ht="12.75">
      <c r="A29213" s="8">
        <v>43891.418935185182</v>
      </c>
      <c r="B29213" s="8" t="str">
        <f>HYPERLINK("https://twitter.com/OanTimor5","@OanTimor5")</f>
        <v>@OanTimor5</v>
      </c>
      <c r="C29213" s="8" t="s">
        <v>8096</v>
      </c>
      <c r="D29213" s="8">
        <v>35</v>
      </c>
      <c r="E29213" s="8">
        <v>0</v>
      </c>
      <c r="F29213" s="8">
        <v>75</v>
      </c>
    </row>
    <row r="29214" spans="1:6" ht="12.75">
      <c r="A29214" s="8">
        <v>43891.418842592597</v>
      </c>
      <c r="B29214" s="8" t="str">
        <f>HYPERLINK("https://twitter.com/yudhawirapp","@yudhawirapp")</f>
        <v>@yudhawirapp</v>
      </c>
      <c r="C29214" s="8" t="s">
        <v>11082</v>
      </c>
      <c r="D29214" s="8">
        <v>2</v>
      </c>
      <c r="E29214" s="8">
        <v>0</v>
      </c>
      <c r="F29214" s="8">
        <v>775</v>
      </c>
    </row>
    <row r="29215" spans="1:6" ht="12.75">
      <c r="A29215" s="8">
        <v>43891.418842592597</v>
      </c>
      <c r="B29215" s="8" t="str">
        <f>HYPERLINK("https://twitter.com/MBurian89","@MBurian89")</f>
        <v>@MBurian89</v>
      </c>
      <c r="C29215" s="8" t="s">
        <v>11083</v>
      </c>
      <c r="D29215" s="8">
        <v>0</v>
      </c>
      <c r="E29215" s="8">
        <v>0</v>
      </c>
      <c r="F29215" s="8">
        <v>15</v>
      </c>
    </row>
    <row r="29216" spans="1:6" ht="12.75">
      <c r="A29216" s="8">
        <v>43891.418819444443</v>
      </c>
      <c r="B29216" s="8" t="str">
        <f t="shared" ref="B29216:B29217" si="403">HYPERLINK("https://twitter.com/AlbertSolo2","@AlbertSolo2")</f>
        <v>@AlbertSolo2</v>
      </c>
      <c r="C29216" s="8" t="s">
        <v>11084</v>
      </c>
      <c r="D29216" s="8">
        <v>1</v>
      </c>
      <c r="E29216" s="8">
        <v>0</v>
      </c>
      <c r="F29216" s="8">
        <v>687</v>
      </c>
    </row>
    <row r="29217" spans="1:6" ht="12.75">
      <c r="A29217" s="8">
        <v>43891.418773148151</v>
      </c>
      <c r="B29217" s="8" t="str">
        <f t="shared" si="403"/>
        <v>@AlbertSolo2</v>
      </c>
      <c r="C29217" s="8" t="s">
        <v>11085</v>
      </c>
      <c r="D29217" s="8">
        <v>1</v>
      </c>
      <c r="E29217" s="8">
        <v>1</v>
      </c>
      <c r="F29217" s="8">
        <v>687</v>
      </c>
    </row>
    <row r="29218" spans="1:6" ht="12.75">
      <c r="A29218" s="8">
        <v>43891.418680555551</v>
      </c>
      <c r="B29218" s="8" t="str">
        <f>HYPERLINK("https://twitter.com/DemplonMak","@DemplonMak")</f>
        <v>@DemplonMak</v>
      </c>
      <c r="C29218" s="8" t="s">
        <v>7437</v>
      </c>
      <c r="D29218" s="8">
        <v>368</v>
      </c>
      <c r="E29218" s="8">
        <v>0</v>
      </c>
      <c r="F29218" s="8">
        <v>3268</v>
      </c>
    </row>
    <row r="29219" spans="1:6" ht="12.75">
      <c r="A29219" s="8">
        <v>43891.418298611112</v>
      </c>
      <c r="B29219" s="8" t="str">
        <f>HYPERLINK("https://twitter.com/aikananda","@aikananda")</f>
        <v>@aikananda</v>
      </c>
      <c r="C29219" s="8" t="s">
        <v>11086</v>
      </c>
      <c r="D29219" s="8">
        <v>29</v>
      </c>
      <c r="E29219" s="8">
        <v>0</v>
      </c>
      <c r="F29219" s="8">
        <v>88</v>
      </c>
    </row>
    <row r="29220" spans="1:6" ht="12.75">
      <c r="A29220" s="8">
        <v>43891.418078703704</v>
      </c>
      <c r="B29220" s="8" t="str">
        <f>HYPERLINK("https://twitter.com/syaharaniw","@syaharaniw")</f>
        <v>@syaharaniw</v>
      </c>
      <c r="C29220" s="8" t="s">
        <v>2272</v>
      </c>
      <c r="D29220" s="8">
        <v>331</v>
      </c>
      <c r="E29220" s="8">
        <v>0</v>
      </c>
      <c r="F29220" s="8">
        <v>238</v>
      </c>
    </row>
    <row r="29221" spans="1:6" ht="12.75">
      <c r="A29221" s="8">
        <v>43891.417858796296</v>
      </c>
      <c r="B29221" s="8" t="str">
        <f>HYPERLINK("https://twitter.com/LudiroMadu","@LudiroMadu")</f>
        <v>@LudiroMadu</v>
      </c>
      <c r="C29221" s="8" t="s">
        <v>8096</v>
      </c>
      <c r="D29221" s="8">
        <v>35</v>
      </c>
      <c r="E29221" s="8">
        <v>0</v>
      </c>
      <c r="F29221" s="8">
        <v>579</v>
      </c>
    </row>
    <row r="29222" spans="1:6" ht="12.75">
      <c r="A29222" s="8">
        <v>43891.417800925927</v>
      </c>
      <c r="B29222" s="8" t="str">
        <f>HYPERLINK("https://twitter.com/refraein","@refraein")</f>
        <v>@refraein</v>
      </c>
      <c r="C29222" s="8" t="s">
        <v>11087</v>
      </c>
      <c r="D29222" s="8">
        <v>0</v>
      </c>
      <c r="E29222" s="8">
        <v>0</v>
      </c>
      <c r="F29222" s="8">
        <v>52</v>
      </c>
    </row>
    <row r="29223" spans="1:6" ht="12.75">
      <c r="A29223" s="8">
        <v>43891.417604166665</v>
      </c>
      <c r="B29223" s="8" t="str">
        <f>HYPERLINK("https://twitter.com/Rifal1989","@Rifal1989")</f>
        <v>@Rifal1989</v>
      </c>
      <c r="C29223" s="8" t="s">
        <v>11088</v>
      </c>
      <c r="D29223" s="8">
        <v>12</v>
      </c>
      <c r="E29223" s="8">
        <v>0</v>
      </c>
      <c r="F29223" s="8">
        <v>503</v>
      </c>
    </row>
    <row r="29224" spans="1:6" ht="12.75">
      <c r="A29224" s="8">
        <v>43891.417546296296</v>
      </c>
      <c r="B29224" s="8" t="str">
        <f>HYPERLINK("https://twitter.com/febrianordinary","@febrianordinary")</f>
        <v>@febrianordinary</v>
      </c>
      <c r="C29224" s="8" t="s">
        <v>11089</v>
      </c>
      <c r="D29224" s="8">
        <v>0</v>
      </c>
      <c r="E29224" s="8">
        <v>0</v>
      </c>
      <c r="F29224" s="8">
        <v>356</v>
      </c>
    </row>
    <row r="29225" spans="1:6" ht="12.75">
      <c r="A29225" s="8">
        <v>43891.417499999996</v>
      </c>
      <c r="B29225" s="8" t="str">
        <f>HYPERLINK("https://twitter.com/ellise3107","@ellise3107")</f>
        <v>@ellise3107</v>
      </c>
      <c r="C29225" s="8" t="s">
        <v>2272</v>
      </c>
      <c r="D29225" s="8">
        <v>331</v>
      </c>
      <c r="E29225" s="8">
        <v>0</v>
      </c>
      <c r="F29225" s="8">
        <v>128</v>
      </c>
    </row>
    <row r="29226" spans="1:6" ht="12.75">
      <c r="A29226" s="8">
        <v>43891.417442129634</v>
      </c>
      <c r="B29226" s="8" t="str">
        <f>HYPERLINK("https://twitter.com/ericesohn","@ericesohn")</f>
        <v>@ericesohn</v>
      </c>
      <c r="C29226" s="8" t="s">
        <v>11090</v>
      </c>
      <c r="D29226" s="8">
        <v>0</v>
      </c>
      <c r="E29226" s="8">
        <v>0</v>
      </c>
      <c r="F29226" s="8">
        <v>402</v>
      </c>
    </row>
    <row r="29227" spans="1:6" ht="12.75">
      <c r="A29227" s="8">
        <v>43891.417395833334</v>
      </c>
      <c r="B29227" s="8" t="str">
        <f>HYPERLINK("https://twitter.com/SouthKlaten","@SouthKlaten")</f>
        <v>@SouthKlaten</v>
      </c>
      <c r="C29227" s="8" t="s">
        <v>7437</v>
      </c>
      <c r="D29227" s="8">
        <v>368</v>
      </c>
      <c r="E29227" s="8">
        <v>0</v>
      </c>
      <c r="F29227" s="8">
        <v>97</v>
      </c>
    </row>
    <row r="29228" spans="1:6" ht="12.75">
      <c r="A29228" s="8">
        <v>43891.417314814811</v>
      </c>
      <c r="B29228" s="8" t="str">
        <f>HYPERLINK("https://twitter.com/titianardhis","@titianardhis")</f>
        <v>@titianardhis</v>
      </c>
      <c r="C29228" s="8" t="s">
        <v>2272</v>
      </c>
      <c r="D29228" s="8">
        <v>331</v>
      </c>
      <c r="E29228" s="8">
        <v>0</v>
      </c>
      <c r="F29228" s="8">
        <v>599</v>
      </c>
    </row>
    <row r="29229" spans="1:6" ht="12.75">
      <c r="A29229" s="8">
        <v>43891.417222222226</v>
      </c>
      <c r="B29229" s="8" t="str">
        <f>HYPERLINK("https://twitter.com/yacovsoko","@yacovsoko")</f>
        <v>@yacovsoko</v>
      </c>
      <c r="C29229" s="8" t="s">
        <v>2272</v>
      </c>
      <c r="D29229" s="8">
        <v>331</v>
      </c>
      <c r="E29229" s="8">
        <v>0</v>
      </c>
      <c r="F29229" s="8">
        <v>178</v>
      </c>
    </row>
    <row r="29230" spans="1:6" ht="12.75">
      <c r="A29230" s="8">
        <v>43891.417175925926</v>
      </c>
      <c r="B29230" s="8" t="str">
        <f>HYPERLINK("https://twitter.com/KTabahawa","@KTabahawa")</f>
        <v>@KTabahawa</v>
      </c>
      <c r="C29230" s="8" t="s">
        <v>10530</v>
      </c>
      <c r="D29230" s="8">
        <v>3</v>
      </c>
      <c r="E29230" s="8">
        <v>0</v>
      </c>
      <c r="F29230" s="8">
        <v>968</v>
      </c>
    </row>
    <row r="29231" spans="1:6" ht="12.75">
      <c r="A29231" s="8">
        <v>43891.416944444441</v>
      </c>
      <c r="B29231" s="8" t="str">
        <f>HYPERLINK("https://twitter.com/nativedrinker","@nativedrinker")</f>
        <v>@nativedrinker</v>
      </c>
      <c r="C29231" s="8" t="s">
        <v>10600</v>
      </c>
      <c r="D29231" s="8">
        <v>248</v>
      </c>
      <c r="E29231" s="8">
        <v>0</v>
      </c>
      <c r="F29231" s="8">
        <v>25</v>
      </c>
    </row>
    <row r="29232" spans="1:6" ht="12.75">
      <c r="A29232" s="8">
        <v>43891.416898148149</v>
      </c>
      <c r="B29232" s="8" t="str">
        <f>HYPERLINK("https://twitter.com/meitaisme","@meitaisme")</f>
        <v>@meitaisme</v>
      </c>
      <c r="C29232" s="8" t="s">
        <v>2272</v>
      </c>
      <c r="D29232" s="8">
        <v>331</v>
      </c>
      <c r="E29232" s="8">
        <v>0</v>
      </c>
      <c r="F29232" s="8">
        <v>391</v>
      </c>
    </row>
    <row r="29233" spans="1:6" ht="12.75">
      <c r="A29233" s="8">
        <v>43891.416874999995</v>
      </c>
      <c r="B29233" s="8" t="str">
        <f>HYPERLINK("https://twitter.com/riansatya","@riansatya")</f>
        <v>@riansatya</v>
      </c>
      <c r="C29233" s="8" t="s">
        <v>2272</v>
      </c>
      <c r="D29233" s="8">
        <v>331</v>
      </c>
      <c r="E29233" s="8">
        <v>0</v>
      </c>
      <c r="F29233" s="8">
        <v>447</v>
      </c>
    </row>
    <row r="29234" spans="1:6" ht="12.75">
      <c r="A29234" s="8">
        <v>43891.416863425926</v>
      </c>
      <c r="B29234" s="8" t="str">
        <f>HYPERLINK("https://twitter.com/nuningcatursw","@nuningcatursw")</f>
        <v>@nuningcatursw</v>
      </c>
      <c r="C29234" s="8" t="s">
        <v>2272</v>
      </c>
      <c r="D29234" s="8">
        <v>331</v>
      </c>
      <c r="E29234" s="8">
        <v>0</v>
      </c>
      <c r="F29234" s="8">
        <v>45</v>
      </c>
    </row>
    <row r="29235" spans="1:6" ht="12.75">
      <c r="A29235" s="8">
        <v>43891.416666666672</v>
      </c>
      <c r="B29235" s="8" t="str">
        <f>HYPERLINK("https://twitter.com/ayyufriska","@ayyufriska")</f>
        <v>@ayyufriska</v>
      </c>
      <c r="C29235" s="8" t="s">
        <v>11091</v>
      </c>
      <c r="D29235" s="8">
        <v>0</v>
      </c>
      <c r="E29235" s="8">
        <v>0</v>
      </c>
      <c r="F29235" s="8">
        <v>16</v>
      </c>
    </row>
    <row r="29236" spans="1:6" ht="12.75">
      <c r="A29236" s="8">
        <v>43891.416666666672</v>
      </c>
      <c r="B29236" s="8" t="str">
        <f>HYPERLINK("https://twitter.com/erika_sugandi","@erika_sugandi")</f>
        <v>@erika_sugandi</v>
      </c>
      <c r="C29236" s="8" t="s">
        <v>11092</v>
      </c>
      <c r="D29236" s="8">
        <v>0</v>
      </c>
      <c r="E29236" s="8">
        <v>0</v>
      </c>
      <c r="F29236" s="8">
        <v>21</v>
      </c>
    </row>
    <row r="29237" spans="1:6" ht="12.75">
      <c r="A29237" s="8">
        <v>43891.416666666672</v>
      </c>
      <c r="B29237" s="8" t="str">
        <f>HYPERLINK("https://twitter.com/cilliasiregar","@cilliasiregar")</f>
        <v>@cilliasiregar</v>
      </c>
      <c r="C29237" s="8" t="s">
        <v>11093</v>
      </c>
      <c r="D29237" s="8">
        <v>0</v>
      </c>
      <c r="E29237" s="8">
        <v>0</v>
      </c>
      <c r="F29237" s="8">
        <v>6</v>
      </c>
    </row>
    <row r="29238" spans="1:6" ht="12.75">
      <c r="A29238" s="8">
        <v>43891.416620370372</v>
      </c>
      <c r="B29238" s="8" t="str">
        <f>HYPERLINK("https://twitter.com/aprisaan","@aprisaan")</f>
        <v>@aprisaan</v>
      </c>
      <c r="C29238" s="8" t="s">
        <v>2272</v>
      </c>
      <c r="D29238" s="8">
        <v>331</v>
      </c>
      <c r="E29238" s="8">
        <v>0</v>
      </c>
      <c r="F29238" s="8">
        <v>149</v>
      </c>
    </row>
    <row r="29239" spans="1:6" ht="12.75">
      <c r="A29239" s="8">
        <v>43891.41642361111</v>
      </c>
      <c r="B29239" s="8" t="str">
        <f>HYPERLINK("https://twitter.com/kenkenews","@kenkenews")</f>
        <v>@kenkenews</v>
      </c>
      <c r="C29239" s="8" t="s">
        <v>11094</v>
      </c>
      <c r="D29239" s="8">
        <v>0</v>
      </c>
      <c r="E29239" s="8">
        <v>0</v>
      </c>
      <c r="F29239" s="8">
        <v>158</v>
      </c>
    </row>
    <row r="29240" spans="1:6" ht="12.75">
      <c r="A29240" s="8">
        <v>43891.416342592594</v>
      </c>
      <c r="B29240" s="8" t="str">
        <f>HYPERLINK("https://twitter.com/GRLM1707","@GRLM1707")</f>
        <v>@GRLM1707</v>
      </c>
      <c r="C29240" s="8" t="s">
        <v>11095</v>
      </c>
      <c r="D29240" s="8">
        <v>1</v>
      </c>
      <c r="E29240" s="8">
        <v>1</v>
      </c>
      <c r="F29240" s="8">
        <v>7</v>
      </c>
    </row>
    <row r="29241" spans="1:6" ht="12.75">
      <c r="A29241" s="8">
        <v>43891.415879629625</v>
      </c>
      <c r="B29241" s="8" t="str">
        <f>HYPERLINK("https://twitter.com/kendanatamiz","@kendanatamiz")</f>
        <v>@kendanatamiz</v>
      </c>
      <c r="C29241" s="8" t="s">
        <v>2272</v>
      </c>
      <c r="D29241" s="8">
        <v>331</v>
      </c>
      <c r="E29241" s="8">
        <v>0</v>
      </c>
      <c r="F29241" s="8">
        <v>591</v>
      </c>
    </row>
    <row r="29242" spans="1:6" ht="12.75">
      <c r="A29242" s="8">
        <v>43891.415856481486</v>
      </c>
      <c r="B29242" s="8" t="str">
        <f>HYPERLINK("https://twitter.com/cnbcindonesia","@cnbcindonesia")</f>
        <v>@cnbcindonesia</v>
      </c>
      <c r="C29242" s="8" t="s">
        <v>11096</v>
      </c>
      <c r="D29242" s="8">
        <v>1</v>
      </c>
      <c r="E29242" s="8">
        <v>0</v>
      </c>
      <c r="F29242" s="8">
        <v>31150</v>
      </c>
    </row>
    <row r="29243" spans="1:6" ht="12.75">
      <c r="A29243" s="8">
        <v>43891.41574074074</v>
      </c>
      <c r="B29243" s="8" t="str">
        <f>HYPERLINK("https://twitter.com/ribkadel","@ribkadel")</f>
        <v>@ribkadel</v>
      </c>
      <c r="C29243" s="8" t="s">
        <v>2272</v>
      </c>
      <c r="D29243" s="8">
        <v>331</v>
      </c>
      <c r="E29243" s="8">
        <v>0</v>
      </c>
      <c r="F29243" s="8">
        <v>4187</v>
      </c>
    </row>
    <row r="29244" spans="1:6" ht="12.75">
      <c r="A29244" s="8">
        <v>43891.415636574078</v>
      </c>
      <c r="B29244" s="8" t="str">
        <f>HYPERLINK("https://twitter.com/hartono_tratas","@hartono_tratas")</f>
        <v>@hartono_tratas</v>
      </c>
      <c r="C29244" s="8" t="s">
        <v>11097</v>
      </c>
      <c r="D29244" s="8">
        <v>0</v>
      </c>
      <c r="E29244" s="8">
        <v>0</v>
      </c>
      <c r="F29244" s="8">
        <v>227</v>
      </c>
    </row>
    <row r="29245" spans="1:6" ht="12.75">
      <c r="A29245" s="8">
        <v>43891.415567129632</v>
      </c>
      <c r="B29245" s="8" t="str">
        <f>HYPERLINK("https://twitter.com/ayah678","@ayah678")</f>
        <v>@ayah678</v>
      </c>
      <c r="C29245" s="8" t="s">
        <v>7437</v>
      </c>
      <c r="D29245" s="8">
        <v>368</v>
      </c>
      <c r="E29245" s="8">
        <v>0</v>
      </c>
      <c r="F29245" s="8">
        <v>1372</v>
      </c>
    </row>
    <row r="29246" spans="1:6" ht="12.75">
      <c r="A29246" s="8">
        <v>43891.415555555555</v>
      </c>
      <c r="B29246" s="8" t="str">
        <f>HYPERLINK("https://twitter.com/zzzebra13","@zzzebra13")</f>
        <v>@zzzebra13</v>
      </c>
      <c r="C29246" s="8" t="s">
        <v>2272</v>
      </c>
      <c r="D29246" s="8">
        <v>331</v>
      </c>
      <c r="E29246" s="8">
        <v>0</v>
      </c>
      <c r="F29246" s="8">
        <v>812</v>
      </c>
    </row>
    <row r="29247" spans="1:6" ht="12.75">
      <c r="A29247" s="8">
        <v>43891.415497685186</v>
      </c>
      <c r="B29247" s="8" t="str">
        <f>HYPERLINK("https://twitter.com/AlbertSolo2","@AlbertSolo2")</f>
        <v>@AlbertSolo2</v>
      </c>
      <c r="C29247" s="8" t="s">
        <v>11098</v>
      </c>
      <c r="D29247" s="8">
        <v>1</v>
      </c>
      <c r="E29247" s="8">
        <v>0</v>
      </c>
      <c r="F29247" s="8">
        <v>687</v>
      </c>
    </row>
    <row r="29248" spans="1:6" ht="12.75">
      <c r="A29248" s="8">
        <v>43891.415439814809</v>
      </c>
      <c r="B29248" s="8" t="str">
        <f>HYPERLINK("https://twitter.com/onsrgst","@onsrgst")</f>
        <v>@onsrgst</v>
      </c>
      <c r="C29248" s="8" t="s">
        <v>11099</v>
      </c>
      <c r="D29248" s="8">
        <v>0</v>
      </c>
      <c r="E29248" s="8">
        <v>0</v>
      </c>
      <c r="F29248" s="8">
        <v>85</v>
      </c>
    </row>
    <row r="29249" spans="1:6" ht="12.75">
      <c r="A29249" s="8">
        <v>43891.415405092594</v>
      </c>
      <c r="B29249" s="8" t="str">
        <f>HYPERLINK("https://twitter.com/AlbertSolo2","@AlbertSolo2")</f>
        <v>@AlbertSolo2</v>
      </c>
      <c r="C29249" s="8" t="s">
        <v>11100</v>
      </c>
      <c r="D29249" s="8">
        <v>1</v>
      </c>
      <c r="E29249" s="8">
        <v>1</v>
      </c>
      <c r="F29249" s="8">
        <v>687</v>
      </c>
    </row>
    <row r="29250" spans="1:6" ht="12.75">
      <c r="A29250" s="8">
        <v>43891.415277777778</v>
      </c>
      <c r="B29250" s="8" t="str">
        <f>HYPERLINK("https://twitter.com/AtikahZahidah_","@AtikahZahidah_")</f>
        <v>@AtikahZahidah_</v>
      </c>
      <c r="C29250" s="8" t="s">
        <v>10939</v>
      </c>
      <c r="D29250" s="8">
        <v>213</v>
      </c>
      <c r="E29250" s="8">
        <v>0</v>
      </c>
      <c r="F29250" s="8">
        <v>3347</v>
      </c>
    </row>
    <row r="29251" spans="1:6" ht="12.75">
      <c r="A29251" s="8">
        <v>43891.415277777778</v>
      </c>
      <c r="B29251" s="8" t="str">
        <f>HYPERLINK("https://twitter.com/selfieituindah","@selfieituindah")</f>
        <v>@selfieituindah</v>
      </c>
      <c r="C29251" s="8" t="s">
        <v>11101</v>
      </c>
      <c r="D29251" s="8">
        <v>0</v>
      </c>
      <c r="E29251" s="8">
        <v>0</v>
      </c>
      <c r="F29251" s="8">
        <v>21815</v>
      </c>
    </row>
    <row r="29252" spans="1:6" ht="12.75">
      <c r="A29252" s="8">
        <v>43891.415254629625</v>
      </c>
      <c r="B29252" s="8" t="str">
        <f>HYPERLINK("https://twitter.com/TakIngatNamaApa","@TakIngatNamaApa")</f>
        <v>@TakIngatNamaApa</v>
      </c>
      <c r="C29252" s="8" t="s">
        <v>11102</v>
      </c>
      <c r="D29252" s="8">
        <v>570</v>
      </c>
      <c r="E29252" s="8">
        <v>0</v>
      </c>
      <c r="F29252" s="8">
        <v>134</v>
      </c>
    </row>
    <row r="29253" spans="1:6" ht="12.75">
      <c r="A29253" s="8">
        <v>43891.414942129632</v>
      </c>
      <c r="B29253" s="8" t="str">
        <f>HYPERLINK("https://twitter.com/pandugood39","@pandugood39")</f>
        <v>@pandugood39</v>
      </c>
      <c r="C29253" s="8" t="s">
        <v>11103</v>
      </c>
      <c r="D29253" s="8">
        <v>0</v>
      </c>
      <c r="E29253" s="8">
        <v>0</v>
      </c>
      <c r="F29253" s="8">
        <v>426</v>
      </c>
    </row>
    <row r="29254" spans="1:6" ht="12.75">
      <c r="A29254" s="8">
        <v>43891.414826388893</v>
      </c>
      <c r="B29254" s="8" t="str">
        <f>HYPERLINK("https://twitter.com/k4ng_C1reNG","@k4ng_C1reNG")</f>
        <v>@k4ng_C1reNG</v>
      </c>
      <c r="C29254" s="8" t="s">
        <v>10530</v>
      </c>
      <c r="D29254" s="8">
        <v>3</v>
      </c>
      <c r="E29254" s="8">
        <v>0</v>
      </c>
      <c r="F29254" s="8">
        <v>3925</v>
      </c>
    </row>
    <row r="29255" spans="1:6" ht="12.75">
      <c r="A29255" s="8">
        <v>43891.414537037039</v>
      </c>
      <c r="B29255" s="8" t="str">
        <f>HYPERLINK("https://twitter.com/mofirad","@mofirad")</f>
        <v>@mofirad</v>
      </c>
      <c r="C29255" s="8" t="s">
        <v>2272</v>
      </c>
      <c r="D29255" s="8">
        <v>331</v>
      </c>
      <c r="E29255" s="8">
        <v>0</v>
      </c>
      <c r="F29255" s="8">
        <v>410</v>
      </c>
    </row>
    <row r="29256" spans="1:6" ht="12.75">
      <c r="A29256" s="8">
        <v>43891.414259259254</v>
      </c>
      <c r="B29256" s="8" t="str">
        <f>HYPERLINK("https://twitter.com/syifaaaahh","@syifaaaahh")</f>
        <v>@syifaaaahh</v>
      </c>
      <c r="C29256" s="8" t="s">
        <v>2272</v>
      </c>
      <c r="D29256" s="8">
        <v>331</v>
      </c>
      <c r="E29256" s="8">
        <v>0</v>
      </c>
      <c r="F29256" s="8">
        <v>1427</v>
      </c>
    </row>
    <row r="29257" spans="1:6" ht="12.75">
      <c r="A29257" s="8">
        <v>43891.41407407407</v>
      </c>
      <c r="B29257" s="8" t="str">
        <f>HYPERLINK("https://twitter.com/GagakNeww2","@GagakNeww2")</f>
        <v>@GagakNeww2</v>
      </c>
      <c r="C29257" s="8" t="s">
        <v>11104</v>
      </c>
      <c r="D29257" s="8">
        <v>3</v>
      </c>
      <c r="E29257" s="8">
        <v>4</v>
      </c>
      <c r="F29257" s="8">
        <v>440</v>
      </c>
    </row>
    <row r="29258" spans="1:6" ht="12.75">
      <c r="A29258" s="8">
        <v>43891.413981481484</v>
      </c>
      <c r="B29258" s="8" t="str">
        <f>HYPERLINK("https://twitter.com/amoysilitonga","@amoysilitonga")</f>
        <v>@amoysilitonga</v>
      </c>
      <c r="C29258" s="8" t="s">
        <v>11105</v>
      </c>
      <c r="D29258" s="8">
        <v>184</v>
      </c>
      <c r="E29258" s="8">
        <v>0</v>
      </c>
      <c r="F29258" s="8">
        <v>206</v>
      </c>
    </row>
    <row r="29259" spans="1:6" ht="12.75">
      <c r="A29259" s="8">
        <v>43891.413587962961</v>
      </c>
      <c r="B29259" s="8" t="str">
        <f>HYPERLINK("https://twitter.com/LaingenLisa","@LaingenLisa")</f>
        <v>@LaingenLisa</v>
      </c>
      <c r="C29259" s="8" t="s">
        <v>10481</v>
      </c>
      <c r="D29259" s="8">
        <v>19</v>
      </c>
      <c r="E29259" s="8">
        <v>0</v>
      </c>
      <c r="F29259" s="8">
        <v>3496</v>
      </c>
    </row>
    <row r="29260" spans="1:6" ht="12.75">
      <c r="A29260" s="8">
        <v>43891.413321759261</v>
      </c>
      <c r="B29260" s="8" t="str">
        <f>HYPERLINK("https://twitter.com/iNewsID","@iNewsID")</f>
        <v>@iNewsID</v>
      </c>
      <c r="C29260" s="8" t="s">
        <v>11106</v>
      </c>
      <c r="D29260" s="8">
        <v>0</v>
      </c>
      <c r="E29260" s="8">
        <v>0</v>
      </c>
      <c r="F29260" s="8">
        <v>1346</v>
      </c>
    </row>
    <row r="29261" spans="1:6" ht="12.75">
      <c r="A29261" s="8">
        <v>43891.413263888884</v>
      </c>
      <c r="B29261" s="8" t="str">
        <f>HYPERLINK("https://twitter.com/Joyer_elf_","@Joyer_elf_")</f>
        <v>@Joyer_elf_</v>
      </c>
      <c r="C29261" s="8" t="s">
        <v>11107</v>
      </c>
      <c r="D29261" s="8">
        <v>0</v>
      </c>
      <c r="E29261" s="8">
        <v>0</v>
      </c>
      <c r="F29261" s="8">
        <v>305</v>
      </c>
    </row>
    <row r="29262" spans="1:6" ht="12.75">
      <c r="A29262" s="8">
        <v>43891.413206018522</v>
      </c>
      <c r="B29262" s="8" t="str">
        <f>HYPERLINK("https://twitter.com/muchtarkendari","@muchtarkendari")</f>
        <v>@muchtarkendari</v>
      </c>
      <c r="C29262" s="8" t="s">
        <v>10903</v>
      </c>
      <c r="D29262" s="8">
        <v>15</v>
      </c>
      <c r="E29262" s="8">
        <v>0</v>
      </c>
      <c r="F29262" s="8">
        <v>856</v>
      </c>
    </row>
    <row r="29263" spans="1:6" ht="12.75">
      <c r="A29263" s="8">
        <v>43891.413171296299</v>
      </c>
      <c r="B29263" s="8" t="str">
        <f>HYPERLINK("https://twitter.com/yorribriyan","@yorribriyan")</f>
        <v>@yorribriyan</v>
      </c>
      <c r="C29263" s="8" t="s">
        <v>2272</v>
      </c>
      <c r="D29263" s="8">
        <v>331</v>
      </c>
      <c r="E29263" s="8">
        <v>0</v>
      </c>
      <c r="F29263" s="8">
        <v>776</v>
      </c>
    </row>
    <row r="29264" spans="1:6" ht="12.75">
      <c r="A29264" s="8">
        <v>43891.413113425922</v>
      </c>
      <c r="B29264" s="8" t="str">
        <f>HYPERLINK("https://twitter.com/GnpfBullshit212","@GnpfBullshit212")</f>
        <v>@GnpfBullshit212</v>
      </c>
      <c r="C29264" s="8" t="s">
        <v>10939</v>
      </c>
      <c r="D29264" s="8">
        <v>213</v>
      </c>
      <c r="E29264" s="8">
        <v>0</v>
      </c>
      <c r="F29264" s="8">
        <v>1028</v>
      </c>
    </row>
    <row r="29265" spans="1:6" ht="12.75">
      <c r="A29265" s="8">
        <v>43891.413101851853</v>
      </c>
      <c r="B29265" s="8" t="str">
        <f>HYPERLINK("https://twitter.com/Boyzneboyzone","@Boyzneboyzone")</f>
        <v>@Boyzneboyzone</v>
      </c>
      <c r="C29265" s="8" t="s">
        <v>11108</v>
      </c>
      <c r="D29265" s="8">
        <v>0</v>
      </c>
      <c r="E29265" s="8">
        <v>0</v>
      </c>
      <c r="F29265" s="8">
        <v>2013</v>
      </c>
    </row>
    <row r="29266" spans="1:6" ht="12.75">
      <c r="A29266" s="8">
        <v>43891.412835648152</v>
      </c>
      <c r="B29266" s="8" t="str">
        <f>HYPERLINK("https://twitter.com/murryas","@murryas")</f>
        <v>@murryas</v>
      </c>
      <c r="C29266" s="8" t="s">
        <v>2272</v>
      </c>
      <c r="D29266" s="8">
        <v>331</v>
      </c>
      <c r="E29266" s="8">
        <v>0</v>
      </c>
      <c r="F29266" s="8">
        <v>307</v>
      </c>
    </row>
    <row r="29267" spans="1:6" ht="12.75">
      <c r="A29267" s="8">
        <v>43891.412766203706</v>
      </c>
      <c r="B29267" s="8" t="str">
        <f>HYPERLINK("https://twitter.com/annedenitaa","@annedenitaa")</f>
        <v>@annedenitaa</v>
      </c>
      <c r="C29267" s="8" t="s">
        <v>11109</v>
      </c>
      <c r="D29267" s="8">
        <v>59</v>
      </c>
      <c r="E29267" s="8">
        <v>0</v>
      </c>
      <c r="F29267" s="8">
        <v>274</v>
      </c>
    </row>
    <row r="29268" spans="1:6" ht="12.75">
      <c r="A29268" s="8">
        <v>43891.412650462968</v>
      </c>
      <c r="B29268" s="8" t="str">
        <f>HYPERLINK("https://twitter.com/Tio7Willy","@Tio7Willy")</f>
        <v>@Tio7Willy</v>
      </c>
      <c r="C29268" s="8" t="s">
        <v>10754</v>
      </c>
      <c r="D29268" s="8">
        <v>10</v>
      </c>
      <c r="E29268" s="8">
        <v>0</v>
      </c>
      <c r="F29268" s="8">
        <v>265</v>
      </c>
    </row>
    <row r="29269" spans="1:6" ht="12.75">
      <c r="A29269" s="8">
        <v>43891.412581018521</v>
      </c>
      <c r="B29269" s="8" t="str">
        <f>HYPERLINK("https://twitter.com/sheiszahra","@sheiszahra")</f>
        <v>@sheiszahra</v>
      </c>
      <c r="C29269" s="8" t="s">
        <v>10754</v>
      </c>
      <c r="D29269" s="8">
        <v>10</v>
      </c>
      <c r="E29269" s="8">
        <v>0</v>
      </c>
      <c r="F29269" s="8">
        <v>65</v>
      </c>
    </row>
    <row r="29270" spans="1:6" ht="12.75">
      <c r="A29270" s="8">
        <v>43891.412534722222</v>
      </c>
      <c r="B29270" s="8" t="str">
        <f>HYPERLINK("https://twitter.com/rumusgsheet","@rumusgsheet")</f>
        <v>@rumusgsheet</v>
      </c>
      <c r="C29270" s="8" t="s">
        <v>2272</v>
      </c>
      <c r="D29270" s="8">
        <v>331</v>
      </c>
      <c r="E29270" s="8">
        <v>0</v>
      </c>
      <c r="F29270" s="8">
        <v>93</v>
      </c>
    </row>
    <row r="29271" spans="1:6" ht="12.75">
      <c r="A29271" s="8">
        <v>43891.412361111114</v>
      </c>
      <c r="B29271" s="8" t="str">
        <f>HYPERLINK("https://twitter.com/lovenegeriku","@lovenegeriku")</f>
        <v>@lovenegeriku</v>
      </c>
      <c r="C29271" s="8" t="s">
        <v>10871</v>
      </c>
      <c r="D29271" s="8">
        <v>2</v>
      </c>
      <c r="E29271" s="8">
        <v>0</v>
      </c>
      <c r="F29271" s="8">
        <v>1649</v>
      </c>
    </row>
    <row r="29272" spans="1:6" ht="12.75">
      <c r="A29272" s="8">
        <v>43891.412314814814</v>
      </c>
      <c r="B29272" s="8" t="str">
        <f>HYPERLINK("https://twitter.com/LaRose78992426","@LaRose78992426")</f>
        <v>@LaRose78992426</v>
      </c>
      <c r="C29272" s="8" t="s">
        <v>10391</v>
      </c>
      <c r="D29272" s="8">
        <v>126</v>
      </c>
      <c r="E29272" s="8">
        <v>0</v>
      </c>
      <c r="F29272" s="8">
        <v>272</v>
      </c>
    </row>
    <row r="29273" spans="1:6" ht="12.75">
      <c r="A29273" s="8">
        <v>43891.412222222221</v>
      </c>
      <c r="B29273" s="8" t="str">
        <f>HYPERLINK("https://twitter.com/elHurryKoRn","@elHurryKoRn")</f>
        <v>@elHurryKoRn</v>
      </c>
      <c r="C29273" s="8" t="s">
        <v>10939</v>
      </c>
      <c r="D29273" s="8">
        <v>213</v>
      </c>
      <c r="E29273" s="8">
        <v>0</v>
      </c>
      <c r="F29273" s="8">
        <v>19455</v>
      </c>
    </row>
    <row r="29274" spans="1:6" ht="12.75">
      <c r="A29274" s="8">
        <v>43891.412199074075</v>
      </c>
      <c r="B29274" s="8" t="str">
        <f>HYPERLINK("https://twitter.com/ambargedon","@ambargedon")</f>
        <v>@ambargedon</v>
      </c>
      <c r="C29274" s="8" t="s">
        <v>11110</v>
      </c>
      <c r="D29274" s="8">
        <v>0</v>
      </c>
      <c r="E29274" s="8">
        <v>0</v>
      </c>
      <c r="F29274" s="8">
        <v>293</v>
      </c>
    </row>
    <row r="29275" spans="1:6" ht="12.75">
      <c r="A29275" s="8">
        <v>43891.381828703699</v>
      </c>
      <c r="B29275" s="8" t="str">
        <f>HYPERLINK("https://twitter.com/Rianada7","@Rianada7")</f>
        <v>@Rianada7</v>
      </c>
      <c r="C29275" s="8" t="s">
        <v>11111</v>
      </c>
      <c r="D29275" s="8">
        <v>0</v>
      </c>
      <c r="E29275" s="8">
        <v>0</v>
      </c>
      <c r="F29275" s="8">
        <v>128</v>
      </c>
    </row>
    <row r="29276" spans="1:6" ht="12.75">
      <c r="A29276" s="8">
        <v>43891.381782407407</v>
      </c>
      <c r="B29276" s="8" t="str">
        <f>HYPERLINK("https://twitter.com/Hasdung_HBS","@Hasdung_HBS")</f>
        <v>@Hasdung_HBS</v>
      </c>
      <c r="C29276" s="8" t="s">
        <v>11105</v>
      </c>
      <c r="D29276" s="8">
        <v>183</v>
      </c>
      <c r="E29276" s="8">
        <v>0</v>
      </c>
      <c r="F29276" s="8">
        <v>550</v>
      </c>
    </row>
    <row r="29277" spans="1:6" ht="12.75">
      <c r="A29277" s="8">
        <v>43891.381666666668</v>
      </c>
      <c r="B29277" s="8" t="str">
        <f>HYPERLINK("https://twitter.com/Agusta_515","@Agusta_515")</f>
        <v>@Agusta_515</v>
      </c>
      <c r="C29277" s="8" t="s">
        <v>11112</v>
      </c>
      <c r="D29277" s="8">
        <v>0</v>
      </c>
      <c r="E29277" s="8">
        <v>0</v>
      </c>
      <c r="F29277" s="8">
        <v>598</v>
      </c>
    </row>
    <row r="29278" spans="1:6" ht="12.75">
      <c r="A29278" s="8">
        <v>43891.381666666668</v>
      </c>
      <c r="B29278" s="8" t="str">
        <f>HYPERLINK("https://twitter.com/jokon2009","@jokon2009")</f>
        <v>@jokon2009</v>
      </c>
      <c r="C29278" s="8" t="s">
        <v>8746</v>
      </c>
      <c r="D29278" s="8">
        <v>385</v>
      </c>
      <c r="E29278" s="8">
        <v>0</v>
      </c>
      <c r="F29278" s="8">
        <v>1096</v>
      </c>
    </row>
    <row r="29279" spans="1:6" ht="12.75">
      <c r="A29279" s="8">
        <v>43891.381643518514</v>
      </c>
      <c r="B29279" s="8" t="str">
        <f>HYPERLINK("https://twitter.com/Muhamma23926958","@Muhamma23926958")</f>
        <v>@Muhamma23926958</v>
      </c>
      <c r="C29279" s="8" t="s">
        <v>11113</v>
      </c>
      <c r="D29279" s="8">
        <v>0</v>
      </c>
      <c r="E29279" s="8">
        <v>0</v>
      </c>
      <c r="F29279" s="8">
        <v>1</v>
      </c>
    </row>
    <row r="29280" spans="1:6" ht="12.75">
      <c r="A29280" s="8">
        <v>43891.381643518514</v>
      </c>
      <c r="B29280" s="8" t="str">
        <f>HYPERLINK("https://twitter.com/ragilsaputra645","@ragilsaputra645")</f>
        <v>@ragilsaputra645</v>
      </c>
      <c r="C29280" s="8" t="s">
        <v>11082</v>
      </c>
      <c r="D29280" s="8">
        <v>1</v>
      </c>
      <c r="E29280" s="8">
        <v>0</v>
      </c>
      <c r="F29280" s="8">
        <v>403</v>
      </c>
    </row>
    <row r="29281" spans="1:6" ht="12.75">
      <c r="A29281" s="8">
        <v>43891.381597222222</v>
      </c>
      <c r="B29281" s="8" t="str">
        <f>HYPERLINK("https://twitter.com/mylovely6pets","@mylovely6pets")</f>
        <v>@mylovely6pets</v>
      </c>
      <c r="C29281" s="8" t="s">
        <v>10939</v>
      </c>
      <c r="D29281" s="8">
        <v>208</v>
      </c>
      <c r="E29281" s="8">
        <v>0</v>
      </c>
      <c r="F29281" s="8">
        <v>77</v>
      </c>
    </row>
    <row r="29282" spans="1:6" ht="12.75">
      <c r="A29282" s="8">
        <v>43891.381585648152</v>
      </c>
      <c r="B29282" s="8" t="str">
        <f>HYPERLINK("https://twitter.com/AmitPandey__","@AmitPandey__")</f>
        <v>@AmitPandey__</v>
      </c>
      <c r="C29282" s="8" t="s">
        <v>11015</v>
      </c>
      <c r="D29282" s="8">
        <v>20</v>
      </c>
      <c r="E29282" s="8">
        <v>0</v>
      </c>
      <c r="F29282" s="8">
        <v>5457</v>
      </c>
    </row>
    <row r="29283" spans="1:6" ht="12.75">
      <c r="A29283" s="8">
        <v>43891.38144675926</v>
      </c>
      <c r="B29283" s="8" t="str">
        <f>HYPERLINK("https://twitter.com/hartono_tratas","@hartono_tratas")</f>
        <v>@hartono_tratas</v>
      </c>
      <c r="C29283" s="8" t="s">
        <v>11114</v>
      </c>
      <c r="D29283" s="8">
        <v>0</v>
      </c>
      <c r="E29283" s="8">
        <v>0</v>
      </c>
      <c r="F29283" s="8">
        <v>227</v>
      </c>
    </row>
    <row r="29284" spans="1:6" ht="12.75">
      <c r="A29284" s="8">
        <v>43891.38144675926</v>
      </c>
      <c r="B29284" s="8" t="str">
        <f>HYPERLINK("https://twitter.com/okezonenews","@okezonenews")</f>
        <v>@okezonenews</v>
      </c>
      <c r="C29284" s="8" t="s">
        <v>11115</v>
      </c>
      <c r="D29284" s="8">
        <v>0</v>
      </c>
      <c r="E29284" s="8">
        <v>0</v>
      </c>
      <c r="F29284" s="8">
        <v>1744139</v>
      </c>
    </row>
    <row r="29285" spans="1:6" ht="12.75">
      <c r="A29285" s="8">
        <v>43891.381435185191</v>
      </c>
      <c r="B29285" s="8" t="str">
        <f>HYPERLINK("https://twitter.com/bazokasmart","@bazokasmart")</f>
        <v>@bazokasmart</v>
      </c>
      <c r="C29285" s="8" t="s">
        <v>11116</v>
      </c>
      <c r="D29285" s="8">
        <v>0</v>
      </c>
      <c r="E29285" s="8">
        <v>0</v>
      </c>
      <c r="F29285" s="8">
        <v>277</v>
      </c>
    </row>
    <row r="29286" spans="1:6" ht="12.75">
      <c r="A29286" s="8">
        <v>43891.381435185191</v>
      </c>
      <c r="B29286" s="8" t="str">
        <f>HYPERLINK("https://twitter.com/daskentang","@daskentang")</f>
        <v>@daskentang</v>
      </c>
      <c r="C29286" s="8" t="s">
        <v>2272</v>
      </c>
      <c r="D29286" s="8">
        <v>243</v>
      </c>
      <c r="E29286" s="8">
        <v>0</v>
      </c>
      <c r="F29286" s="8">
        <v>307</v>
      </c>
    </row>
    <row r="29287" spans="1:6" ht="12.75">
      <c r="A29287" s="8">
        <v>43891.381388888884</v>
      </c>
      <c r="B29287" s="8" t="str">
        <f>HYPERLINK("https://twitter.com/zuhron1975","@zuhron1975")</f>
        <v>@zuhron1975</v>
      </c>
      <c r="C29287" s="8" t="s">
        <v>6836</v>
      </c>
      <c r="D29287" s="8">
        <v>599</v>
      </c>
      <c r="E29287" s="8">
        <v>0</v>
      </c>
      <c r="F29287" s="8">
        <v>1089</v>
      </c>
    </row>
    <row r="29288" spans="1:6" ht="12.75">
      <c r="A29288" s="8">
        <v>43891.381238425922</v>
      </c>
      <c r="B29288" s="8" t="str">
        <f>HYPERLINK("https://twitter.com/SDeanty","@SDeanty")</f>
        <v>@SDeanty</v>
      </c>
      <c r="C29288" s="8" t="s">
        <v>10811</v>
      </c>
      <c r="D29288" s="8">
        <v>274</v>
      </c>
      <c r="E29288" s="8">
        <v>0</v>
      </c>
      <c r="F29288" s="8">
        <v>241</v>
      </c>
    </row>
    <row r="29289" spans="1:6" ht="12.75">
      <c r="A29289" s="8">
        <v>43891.381145833337</v>
      </c>
      <c r="B29289" s="8" t="str">
        <f>HYPERLINK("https://twitter.com/dmskbn","@dmskbn")</f>
        <v>@dmskbn</v>
      </c>
      <c r="C29289" s="8" t="s">
        <v>7437</v>
      </c>
      <c r="D29289" s="8">
        <v>363</v>
      </c>
      <c r="E29289" s="8">
        <v>0</v>
      </c>
      <c r="F29289" s="8">
        <v>593</v>
      </c>
    </row>
    <row r="29290" spans="1:6" ht="12.75">
      <c r="A29290" s="8">
        <v>43891.380787037036</v>
      </c>
      <c r="B29290" s="8" t="str">
        <f>HYPERLINK("https://twitter.com/TiiuuL","@TiiuuL")</f>
        <v>@TiiuuL</v>
      </c>
      <c r="C29290" s="8" t="s">
        <v>11117</v>
      </c>
      <c r="D29290" s="8">
        <v>91</v>
      </c>
      <c r="E29290" s="8">
        <v>0</v>
      </c>
      <c r="F29290" s="8">
        <v>362</v>
      </c>
    </row>
    <row r="29291" spans="1:6" ht="12.75">
      <c r="A29291" s="8">
        <v>43891.380694444444</v>
      </c>
      <c r="B29291" s="8" t="str">
        <f>HYPERLINK("https://twitter.com/dimazBRK","@dimazBRK")</f>
        <v>@dimazBRK</v>
      </c>
      <c r="C29291" s="8" t="s">
        <v>2272</v>
      </c>
      <c r="D29291" s="8">
        <v>243</v>
      </c>
      <c r="E29291" s="8">
        <v>0</v>
      </c>
      <c r="F29291" s="8">
        <v>475</v>
      </c>
    </row>
    <row r="29292" spans="1:6" ht="12.75">
      <c r="A29292" s="8">
        <v>43891.380613425921</v>
      </c>
      <c r="B29292" s="8" t="str">
        <f>HYPERLINK("https://twitter.com/chapiderman","@chapiderman")</f>
        <v>@chapiderman</v>
      </c>
      <c r="C29292" s="8" t="s">
        <v>11118</v>
      </c>
      <c r="D29292" s="8">
        <v>0</v>
      </c>
      <c r="E29292" s="8">
        <v>0</v>
      </c>
      <c r="F29292" s="8">
        <v>317</v>
      </c>
    </row>
    <row r="29293" spans="1:6" ht="12.75">
      <c r="A29293" s="8">
        <v>43891.380509259259</v>
      </c>
      <c r="B29293" s="8" t="str">
        <f>HYPERLINK("https://twitter.com/Prabowo46330963","@Prabowo46330963")</f>
        <v>@Prabowo46330963</v>
      </c>
      <c r="C29293" s="8" t="s">
        <v>4235</v>
      </c>
      <c r="D29293" s="8">
        <v>1610</v>
      </c>
      <c r="E29293" s="8">
        <v>0</v>
      </c>
      <c r="F29293" s="8">
        <v>280</v>
      </c>
    </row>
    <row r="29294" spans="1:6" ht="12.75">
      <c r="A29294" s="8">
        <v>43891.380416666667</v>
      </c>
      <c r="B29294" s="8" t="str">
        <f>HYPERLINK("https://twitter.com/marcoichwan","@marcoichwan")</f>
        <v>@marcoichwan</v>
      </c>
      <c r="C29294" s="8" t="s">
        <v>2272</v>
      </c>
      <c r="D29294" s="8">
        <v>243</v>
      </c>
      <c r="E29294" s="8">
        <v>0</v>
      </c>
      <c r="F29294" s="8">
        <v>179</v>
      </c>
    </row>
    <row r="29295" spans="1:6" ht="12.75">
      <c r="A29295" s="8">
        <v>43891.380266203705</v>
      </c>
      <c r="B29295" s="8" t="str">
        <f>HYPERLINK("https://twitter.com/aadoels","@aadoels")</f>
        <v>@aadoels</v>
      </c>
      <c r="C29295" s="8" t="s">
        <v>11119</v>
      </c>
      <c r="D29295" s="8">
        <v>4</v>
      </c>
      <c r="E29295" s="8">
        <v>0</v>
      </c>
      <c r="F29295" s="8">
        <v>193</v>
      </c>
    </row>
    <row r="29296" spans="1:6" ht="12.75">
      <c r="A29296" s="8">
        <v>43891.380173611113</v>
      </c>
      <c r="B29296" s="8" t="str">
        <f>HYPERLINK("https://twitter.com/Mybetawi","@Mybetawi")</f>
        <v>@Mybetawi</v>
      </c>
      <c r="C29296" s="8" t="s">
        <v>11120</v>
      </c>
      <c r="D29296" s="8">
        <v>0</v>
      </c>
      <c r="E29296" s="8">
        <v>0</v>
      </c>
      <c r="F29296" s="8">
        <v>1112</v>
      </c>
    </row>
    <row r="29297" spans="1:6" ht="12.75">
      <c r="A29297" s="8">
        <v>43891.380046296297</v>
      </c>
      <c r="B29297" s="8" t="str">
        <f>HYPERLINK("https://twitter.com/AlvaroDeBazan2","@AlvaroDeBazan2")</f>
        <v>@AlvaroDeBazan2</v>
      </c>
      <c r="C29297" s="8" t="s">
        <v>11121</v>
      </c>
      <c r="D29297" s="8">
        <v>3</v>
      </c>
      <c r="E29297" s="8">
        <v>0</v>
      </c>
      <c r="F29297" s="8">
        <v>257</v>
      </c>
    </row>
    <row r="29298" spans="1:6" ht="12.75">
      <c r="A29298" s="8">
        <v>43891.379918981482</v>
      </c>
      <c r="B29298" s="8" t="str">
        <f>HYPERLINK("https://twitter.com/Hit_DX","@Hit_DX")</f>
        <v>@Hit_DX</v>
      </c>
      <c r="C29298" s="8" t="s">
        <v>11105</v>
      </c>
      <c r="D29298" s="8">
        <v>183</v>
      </c>
      <c r="E29298" s="8">
        <v>0</v>
      </c>
      <c r="F29298" s="8">
        <v>2504</v>
      </c>
    </row>
    <row r="29299" spans="1:6" ht="12.75">
      <c r="A29299" s="8">
        <v>43891.379861111112</v>
      </c>
      <c r="B29299" s="8" t="str">
        <f>HYPERLINK("https://twitter.com/sussssie","@sussssie")</f>
        <v>@sussssie</v>
      </c>
      <c r="C29299" s="8" t="s">
        <v>10811</v>
      </c>
      <c r="D29299" s="8">
        <v>274</v>
      </c>
      <c r="E29299" s="8">
        <v>0</v>
      </c>
      <c r="F29299" s="8">
        <v>1512</v>
      </c>
    </row>
    <row r="29300" spans="1:6" ht="12.75">
      <c r="A29300" s="8">
        <v>43891.379861111112</v>
      </c>
      <c r="B29300" s="8" t="str">
        <f>HYPERLINK("https://twitter.com/cilliasiregar","@cilliasiregar")</f>
        <v>@cilliasiregar</v>
      </c>
      <c r="C29300" s="8" t="s">
        <v>11122</v>
      </c>
      <c r="D29300" s="8">
        <v>0</v>
      </c>
      <c r="E29300" s="8">
        <v>0</v>
      </c>
      <c r="F29300" s="8">
        <v>6</v>
      </c>
    </row>
    <row r="29301" spans="1:6" ht="12.75">
      <c r="A29301" s="8">
        <v>43891.379861111112</v>
      </c>
      <c r="B29301" s="8" t="str">
        <f>HYPERLINK("https://twitter.com/hidupnanindah","@hidupnanindah")</f>
        <v>@hidupnanindah</v>
      </c>
      <c r="C29301" s="8" t="s">
        <v>11123</v>
      </c>
      <c r="D29301" s="8">
        <v>0</v>
      </c>
      <c r="E29301" s="8">
        <v>0</v>
      </c>
      <c r="F29301" s="8">
        <v>14998</v>
      </c>
    </row>
    <row r="29302" spans="1:6" ht="12.75">
      <c r="A29302" s="8">
        <v>43891.37981481482</v>
      </c>
      <c r="B29302" s="8" t="str">
        <f>HYPERLINK("https://twitter.com/graylight952","@graylight952")</f>
        <v>@graylight952</v>
      </c>
      <c r="C29302" s="8" t="s">
        <v>11124</v>
      </c>
      <c r="D29302" s="8">
        <v>0</v>
      </c>
      <c r="E29302" s="8">
        <v>0</v>
      </c>
      <c r="F29302" s="8">
        <v>4</v>
      </c>
    </row>
    <row r="29303" spans="1:6" ht="12.75">
      <c r="A29303" s="8">
        <v>43891.379513888889</v>
      </c>
      <c r="B29303" s="8" t="str">
        <f>HYPERLINK("https://twitter.com/hanhanni","@hanhanni")</f>
        <v>@hanhanni</v>
      </c>
      <c r="C29303" s="8" t="s">
        <v>2272</v>
      </c>
      <c r="D29303" s="8">
        <v>243</v>
      </c>
      <c r="E29303" s="8">
        <v>0</v>
      </c>
      <c r="F29303" s="8">
        <v>961</v>
      </c>
    </row>
    <row r="29304" spans="1:6" ht="12.75">
      <c r="A29304" s="8">
        <v>43891.379479166666</v>
      </c>
      <c r="B29304" s="8" t="str">
        <f>HYPERLINK("https://twitter.com/okadnyane","@okadnyane")</f>
        <v>@okadnyane</v>
      </c>
      <c r="C29304" s="8" t="s">
        <v>11125</v>
      </c>
      <c r="D29304" s="8">
        <v>0</v>
      </c>
      <c r="E29304" s="8">
        <v>0</v>
      </c>
      <c r="F29304" s="8">
        <v>10</v>
      </c>
    </row>
    <row r="29305" spans="1:6" ht="12.75">
      <c r="A29305" s="8">
        <v>43891.37899305555</v>
      </c>
      <c r="B29305" s="8" t="str">
        <f>HYPERLINK("https://twitter.com/Kita_NkRi","@Kita_NkRi")</f>
        <v>@Kita_NkRi</v>
      </c>
      <c r="C29305" s="8" t="s">
        <v>11126</v>
      </c>
      <c r="D29305" s="8">
        <v>0</v>
      </c>
      <c r="E29305" s="8">
        <v>0</v>
      </c>
      <c r="F29305" s="8">
        <v>128</v>
      </c>
    </row>
    <row r="29306" spans="1:6" ht="12.75">
      <c r="A29306" s="8">
        <v>43891.378888888888</v>
      </c>
      <c r="B29306" s="8" t="str">
        <f>HYPERLINK("https://twitter.com/baronko_chole","@baronko_chole")</f>
        <v>@baronko_chole</v>
      </c>
      <c r="C29306" s="8" t="s">
        <v>6836</v>
      </c>
      <c r="D29306" s="8">
        <v>599</v>
      </c>
      <c r="E29306" s="8">
        <v>0</v>
      </c>
      <c r="F29306" s="8">
        <v>171</v>
      </c>
    </row>
    <row r="29307" spans="1:6" ht="12.75">
      <c r="A29307" s="8">
        <v>43891.378877314812</v>
      </c>
      <c r="B29307" s="8" t="str">
        <f>HYPERLINK("https://twitter.com/ahmadrifai2409","@ahmadrifai2409")</f>
        <v>@ahmadrifai2409</v>
      </c>
      <c r="C29307" s="8" t="s">
        <v>7437</v>
      </c>
      <c r="D29307" s="8">
        <v>363</v>
      </c>
      <c r="E29307" s="8">
        <v>0</v>
      </c>
      <c r="F29307" s="8">
        <v>35</v>
      </c>
    </row>
    <row r="29308" spans="1:6" ht="12.75">
      <c r="A29308" s="8">
        <v>43891.378587962958</v>
      </c>
      <c r="B29308" s="8" t="str">
        <f>HYPERLINK("https://twitter.com/TumburMangiring","@TumburMangiring")</f>
        <v>@TumburMangiring</v>
      </c>
      <c r="C29308" s="8" t="s">
        <v>10811</v>
      </c>
      <c r="D29308" s="8">
        <v>274</v>
      </c>
      <c r="E29308" s="8">
        <v>0</v>
      </c>
      <c r="F29308" s="8">
        <v>91</v>
      </c>
    </row>
    <row r="29309" spans="1:6" ht="12.75">
      <c r="A29309" s="8">
        <v>43891.378576388888</v>
      </c>
      <c r="B29309" s="8" t="str">
        <f>HYPERLINK("https://twitter.com/johnbralink","@johnbralink")</f>
        <v>@johnbralink</v>
      </c>
      <c r="C29309" s="8" t="s">
        <v>8096</v>
      </c>
      <c r="D29309" s="8">
        <v>29</v>
      </c>
      <c r="E29309" s="8">
        <v>0</v>
      </c>
      <c r="F29309" s="8">
        <v>260</v>
      </c>
    </row>
    <row r="29310" spans="1:6" ht="12.75">
      <c r="A29310" s="8">
        <v>43891.378541666665</v>
      </c>
      <c r="B29310" s="8" t="str">
        <f>HYPERLINK("https://twitter.com/kadiyono","@kadiyono")</f>
        <v>@kadiyono</v>
      </c>
      <c r="C29310" s="8" t="s">
        <v>8096</v>
      </c>
      <c r="D29310" s="8">
        <v>29</v>
      </c>
      <c r="E29310" s="8">
        <v>0</v>
      </c>
      <c r="F29310" s="8">
        <v>1678</v>
      </c>
    </row>
    <row r="29311" spans="1:6" ht="12.75">
      <c r="A29311" s="8">
        <v>43891.378379629634</v>
      </c>
      <c r="B29311" s="8" t="str">
        <f>HYPERLINK("https://twitter.com/galuharjuni","@galuharjuni")</f>
        <v>@galuharjuni</v>
      </c>
      <c r="C29311" s="8" t="s">
        <v>11127</v>
      </c>
      <c r="D29311" s="8">
        <v>0</v>
      </c>
      <c r="E29311" s="8">
        <v>1</v>
      </c>
      <c r="F29311" s="8">
        <v>658</v>
      </c>
    </row>
    <row r="29312" spans="1:6" ht="12.75">
      <c r="A29312" s="8">
        <v>43891.37835648148</v>
      </c>
      <c r="B29312" s="8" t="str">
        <f>HYPERLINK("https://twitter.com/yakultgal","@yakultgal")</f>
        <v>@yakultgal</v>
      </c>
      <c r="C29312" s="8" t="s">
        <v>2272</v>
      </c>
      <c r="D29312" s="8">
        <v>243</v>
      </c>
      <c r="E29312" s="8">
        <v>0</v>
      </c>
      <c r="F29312" s="8">
        <v>0</v>
      </c>
    </row>
    <row r="29313" spans="1:6" ht="12.75">
      <c r="A29313" s="8">
        <v>43891.37835648148</v>
      </c>
      <c r="B29313" s="8" t="str">
        <f>HYPERLINK("https://twitter.com/dahyuwnz","@dahyuwnz")</f>
        <v>@dahyuwnz</v>
      </c>
      <c r="C29313" s="8" t="s">
        <v>11128</v>
      </c>
      <c r="D29313" s="8">
        <v>0</v>
      </c>
      <c r="E29313" s="8">
        <v>0</v>
      </c>
      <c r="F29313" s="8">
        <v>7990</v>
      </c>
    </row>
    <row r="29314" spans="1:6" ht="12.75">
      <c r="A29314" s="8">
        <v>43891.378310185188</v>
      </c>
      <c r="B29314" s="8" t="str">
        <f>HYPERLINK("https://twitter.com/GfPlat","@GfPlat")</f>
        <v>@GfPlat</v>
      </c>
      <c r="C29314" s="8" t="s">
        <v>11129</v>
      </c>
      <c r="D29314" s="8">
        <v>1</v>
      </c>
      <c r="E29314" s="8">
        <v>0</v>
      </c>
      <c r="F29314" s="8">
        <v>2865</v>
      </c>
    </row>
    <row r="29315" spans="1:6" ht="12.75">
      <c r="A29315" s="8">
        <v>43891.378229166672</v>
      </c>
      <c r="B29315" s="8" t="str">
        <f>HYPERLINK("https://twitter.com/AriePutraWijay1","@AriePutraWijay1")</f>
        <v>@AriePutraWijay1</v>
      </c>
      <c r="C29315" s="8" t="s">
        <v>11130</v>
      </c>
      <c r="D29315" s="8">
        <v>2</v>
      </c>
      <c r="E29315" s="8">
        <v>0</v>
      </c>
      <c r="F29315" s="8">
        <v>191</v>
      </c>
    </row>
    <row r="29316" spans="1:6" ht="12.75">
      <c r="A29316" s="8">
        <v>43891.378206018519</v>
      </c>
      <c r="B29316" s="8" t="str">
        <f>HYPERLINK("https://twitter.com/northeastnx","@northeastnx")</f>
        <v>@northeastnx</v>
      </c>
      <c r="C29316" s="8" t="s">
        <v>2272</v>
      </c>
      <c r="D29316" s="8">
        <v>243</v>
      </c>
      <c r="E29316" s="8">
        <v>0</v>
      </c>
      <c r="F29316" s="8">
        <v>113</v>
      </c>
    </row>
    <row r="29317" spans="1:6" ht="12.75">
      <c r="A29317" s="8">
        <v>43891.378113425926</v>
      </c>
      <c r="B29317" s="8" t="str">
        <f>HYPERLINK("https://twitter.com/januryanur1226","@januryanur1226")</f>
        <v>@januryanur1226</v>
      </c>
      <c r="C29317" s="8" t="s">
        <v>11131</v>
      </c>
      <c r="D29317" s="8">
        <v>0</v>
      </c>
      <c r="E29317" s="8">
        <v>1</v>
      </c>
      <c r="F29317" s="8">
        <v>1822</v>
      </c>
    </row>
    <row r="29318" spans="1:6" ht="12.75">
      <c r="A29318" s="8">
        <v>43891.378055555557</v>
      </c>
      <c r="B29318" s="8" t="str">
        <f>HYPERLINK("https://twitter.com/drpriono","@drpriono")</f>
        <v>@drpriono</v>
      </c>
      <c r="C29318" s="8" t="s">
        <v>11132</v>
      </c>
      <c r="D29318" s="8">
        <v>0</v>
      </c>
      <c r="E29318" s="8">
        <v>0</v>
      </c>
      <c r="F29318" s="8">
        <v>500</v>
      </c>
    </row>
    <row r="29319" spans="1:6" ht="12.75">
      <c r="A29319" s="8">
        <v>43891.377951388888</v>
      </c>
      <c r="B29319" s="8" t="str">
        <f>HYPERLINK("https://twitter.com/1104twt","@1104twt")</f>
        <v>@1104twt</v>
      </c>
      <c r="C29319" s="8" t="s">
        <v>593</v>
      </c>
      <c r="D29319" s="8">
        <v>461</v>
      </c>
      <c r="E29319" s="8">
        <v>0</v>
      </c>
      <c r="F29319" s="8">
        <v>1270</v>
      </c>
    </row>
    <row r="29320" spans="1:6" ht="12.75">
      <c r="A29320" s="8">
        <v>43891.377939814818</v>
      </c>
      <c r="B29320" s="8" t="str">
        <f>HYPERLINK("https://twitter.com/leksono_duto","@leksono_duto")</f>
        <v>@leksono_duto</v>
      </c>
      <c r="C29320" s="8" t="s">
        <v>11133</v>
      </c>
      <c r="D29320" s="8">
        <v>1</v>
      </c>
      <c r="E29320" s="8">
        <v>0</v>
      </c>
      <c r="F29320" s="8">
        <v>34</v>
      </c>
    </row>
    <row r="29321" spans="1:6" ht="12.75">
      <c r="A29321" s="8">
        <v>43891.377847222218</v>
      </c>
      <c r="B29321" s="8" t="str">
        <f>HYPERLINK("https://twitter.com/teapullll","@teapullll")</f>
        <v>@teapullll</v>
      </c>
      <c r="C29321" s="8" t="s">
        <v>2272</v>
      </c>
      <c r="D29321" s="8">
        <v>243</v>
      </c>
      <c r="E29321" s="8">
        <v>0</v>
      </c>
      <c r="F29321" s="8">
        <v>39</v>
      </c>
    </row>
    <row r="29322" spans="1:6" ht="12.75">
      <c r="A29322" s="8">
        <v>43891.377627314811</v>
      </c>
      <c r="B29322" s="8" t="str">
        <f>HYPERLINK("https://twitter.com/DjokaPratama21","@DjokaPratama21")</f>
        <v>@DjokaPratama21</v>
      </c>
      <c r="C29322" s="8" t="s">
        <v>11134</v>
      </c>
      <c r="D29322" s="8">
        <v>15</v>
      </c>
      <c r="E29322" s="8">
        <v>0</v>
      </c>
      <c r="F29322" s="8">
        <v>204</v>
      </c>
    </row>
    <row r="29323" spans="1:6" ht="12.75">
      <c r="A29323" s="8">
        <v>43891.377384259264</v>
      </c>
      <c r="B29323" s="8" t="str">
        <f>HYPERLINK("https://twitter.com/mpuanon","@mpuanon")</f>
        <v>@mpuanon</v>
      </c>
      <c r="C29323" s="8" t="s">
        <v>11135</v>
      </c>
      <c r="D29323" s="8">
        <v>1</v>
      </c>
      <c r="E29323" s="8">
        <v>0</v>
      </c>
      <c r="F29323" s="8">
        <v>21416</v>
      </c>
    </row>
    <row r="29324" spans="1:6" ht="12.75">
      <c r="A29324" s="8">
        <v>43891.377233796295</v>
      </c>
      <c r="B29324" s="8" t="str">
        <f>HYPERLINK("https://twitter.com/sekilasfajar","@sekilasfajar")</f>
        <v>@sekilasfajar</v>
      </c>
      <c r="C29324" s="8" t="s">
        <v>10754</v>
      </c>
      <c r="D29324" s="8">
        <v>6</v>
      </c>
      <c r="E29324" s="8">
        <v>0</v>
      </c>
      <c r="F29324" s="8">
        <v>91</v>
      </c>
    </row>
    <row r="29325" spans="1:6" ht="12.75">
      <c r="A29325" s="8">
        <v>43891.377187499995</v>
      </c>
      <c r="B29325" s="8" t="str">
        <f>HYPERLINK("https://twitter.com/pratiwidyamurti","@pratiwidyamurti")</f>
        <v>@pratiwidyamurti</v>
      </c>
      <c r="C29325" s="8" t="s">
        <v>11136</v>
      </c>
      <c r="D29325" s="8">
        <v>0</v>
      </c>
      <c r="E29325" s="8">
        <v>0</v>
      </c>
      <c r="F29325" s="8">
        <v>219</v>
      </c>
    </row>
    <row r="29326" spans="1:6" ht="12.75">
      <c r="A29326" s="8">
        <v>43891.376747685186</v>
      </c>
      <c r="B29326" s="8" t="str">
        <f>HYPERLINK("https://twitter.com/pida_erina","@pida_erina")</f>
        <v>@pida_erina</v>
      </c>
      <c r="C29326" s="8" t="s">
        <v>11137</v>
      </c>
      <c r="D29326" s="8">
        <v>0</v>
      </c>
      <c r="E29326" s="8">
        <v>0</v>
      </c>
      <c r="F29326" s="8">
        <v>1686</v>
      </c>
    </row>
    <row r="29327" spans="1:6" ht="12.75">
      <c r="A29327" s="8">
        <v>43891.37667824074</v>
      </c>
      <c r="B29327" s="8" t="str">
        <f>HYPERLINK("https://twitter.com/afgrum","@afgrum")</f>
        <v>@afgrum</v>
      </c>
      <c r="C29327" s="8" t="s">
        <v>2272</v>
      </c>
      <c r="D29327" s="8">
        <v>243</v>
      </c>
      <c r="E29327" s="8">
        <v>0</v>
      </c>
      <c r="F29327" s="8">
        <v>659</v>
      </c>
    </row>
    <row r="29328" spans="1:6" ht="12.75">
      <c r="A29328" s="8">
        <v>43891.376539351855</v>
      </c>
      <c r="B29328" s="8" t="str">
        <f>HYPERLINK("https://twitter.com/ninamiwaw","@ninamiwaw")</f>
        <v>@ninamiwaw</v>
      </c>
      <c r="C29328" s="8" t="s">
        <v>2272</v>
      </c>
      <c r="D29328" s="8">
        <v>243</v>
      </c>
      <c r="E29328" s="8">
        <v>0</v>
      </c>
      <c r="F29328" s="8">
        <v>1201</v>
      </c>
    </row>
    <row r="29329" spans="1:6" ht="12.75">
      <c r="A29329" s="8">
        <v>43891.376226851848</v>
      </c>
      <c r="B29329" s="8" t="str">
        <f>HYPERLINK("https://twitter.com/karnatjahyana","@karnatjahyana")</f>
        <v>@karnatjahyana</v>
      </c>
      <c r="C29329" s="8" t="s">
        <v>11138</v>
      </c>
      <c r="D29329" s="8">
        <v>0</v>
      </c>
      <c r="E29329" s="8">
        <v>0</v>
      </c>
      <c r="F29329" s="8">
        <v>2551</v>
      </c>
    </row>
    <row r="29330" spans="1:6" ht="12.75">
      <c r="A29330" s="8">
        <v>43891.376180555555</v>
      </c>
      <c r="B29330" s="8" t="str">
        <f>HYPERLINK("https://twitter.com/ErollG","@ErollG")</f>
        <v>@ErollG</v>
      </c>
      <c r="C29330" s="8" t="s">
        <v>11139</v>
      </c>
      <c r="D29330" s="8">
        <v>0</v>
      </c>
      <c r="E29330" s="8">
        <v>0</v>
      </c>
      <c r="F29330" s="8">
        <v>215</v>
      </c>
    </row>
    <row r="29331" spans="1:6" ht="12.75">
      <c r="A29331" s="8">
        <v>43891.375810185185</v>
      </c>
      <c r="B29331" s="8" t="str">
        <f>HYPERLINK("https://twitter.com/soeripsarap","@soeripsarap")</f>
        <v>@soeripsarap</v>
      </c>
      <c r="C29331" s="8" t="s">
        <v>11140</v>
      </c>
      <c r="D29331" s="8">
        <v>0</v>
      </c>
      <c r="E29331" s="8">
        <v>0</v>
      </c>
      <c r="F29331" s="8">
        <v>465</v>
      </c>
    </row>
    <row r="29332" spans="1:6" ht="12.75">
      <c r="A29332" s="8">
        <v>43891.375775462962</v>
      </c>
      <c r="B29332" s="8" t="str">
        <f>HYPERLINK("https://twitter.com/nurulmdn","@nurulmdn")</f>
        <v>@nurulmdn</v>
      </c>
      <c r="C29332" s="8" t="s">
        <v>2272</v>
      </c>
      <c r="D29332" s="8">
        <v>243</v>
      </c>
      <c r="E29332" s="8">
        <v>0</v>
      </c>
      <c r="F29332" s="8">
        <v>617</v>
      </c>
    </row>
    <row r="29333" spans="1:6" ht="12.75">
      <c r="A29333" s="8">
        <v>43891.375763888893</v>
      </c>
      <c r="B29333" s="8" t="str">
        <f>HYPERLINK("https://twitter.com/ethansstev","@ethansstev")</f>
        <v>@ethansstev</v>
      </c>
      <c r="C29333" s="8" t="s">
        <v>2272</v>
      </c>
      <c r="D29333" s="8">
        <v>243</v>
      </c>
      <c r="E29333" s="8">
        <v>0</v>
      </c>
      <c r="F29333" s="8">
        <v>868</v>
      </c>
    </row>
    <row r="29334" spans="1:6" ht="12.75">
      <c r="A29334" s="8">
        <v>43891.375451388885</v>
      </c>
      <c r="B29334" s="8" t="str">
        <f>HYPERLINK("https://twitter.com/Kania_MetroTV","@Kania_MetroTV")</f>
        <v>@Kania_MetroTV</v>
      </c>
      <c r="C29334" s="8" t="s">
        <v>11141</v>
      </c>
      <c r="D29334" s="8">
        <v>1</v>
      </c>
      <c r="E29334" s="8">
        <v>0</v>
      </c>
      <c r="F29334" s="8">
        <v>215770</v>
      </c>
    </row>
    <row r="29335" spans="1:6" ht="12.75">
      <c r="A29335" s="8">
        <v>43891.375277777777</v>
      </c>
      <c r="B29335" s="8" t="str">
        <f>HYPERLINK("https://twitter.com/tommymarten","@tommymarten")</f>
        <v>@tommymarten</v>
      </c>
      <c r="C29335" s="8" t="s">
        <v>7686</v>
      </c>
      <c r="D29335" s="8">
        <v>902</v>
      </c>
      <c r="E29335" s="8">
        <v>0</v>
      </c>
      <c r="F29335" s="8">
        <v>185</v>
      </c>
    </row>
    <row r="29336" spans="1:6" ht="12.75">
      <c r="A29336" s="8">
        <v>43891.375</v>
      </c>
      <c r="B29336" s="8" t="str">
        <f>HYPERLINK("https://twitter.com/sissyfebrina","@sissyfebrina")</f>
        <v>@sissyfebrina</v>
      </c>
      <c r="C29336" s="8" t="s">
        <v>11142</v>
      </c>
      <c r="D29336" s="8">
        <v>0</v>
      </c>
      <c r="E29336" s="8">
        <v>0</v>
      </c>
      <c r="F29336" s="8">
        <v>9</v>
      </c>
    </row>
    <row r="29337" spans="1:6" ht="12.75">
      <c r="A29337" s="8">
        <v>43891.375</v>
      </c>
      <c r="B29337" s="8" t="str">
        <f>HYPERLINK("https://twitter.com/OfficialiNewsTV","@OfficialiNewsTV")</f>
        <v>@OfficialiNewsTV</v>
      </c>
      <c r="C29337" s="8" t="s">
        <v>11143</v>
      </c>
      <c r="D29337" s="8">
        <v>1</v>
      </c>
      <c r="E29337" s="8">
        <v>0</v>
      </c>
      <c r="F29337" s="8">
        <v>96400</v>
      </c>
    </row>
    <row r="29338" spans="1:6" ht="12.75">
      <c r="A29338" s="8">
        <v>43891.374814814815</v>
      </c>
      <c r="B29338" s="8" t="str">
        <f>HYPERLINK("https://twitter.com/kardusbox08","@kardusbox08")</f>
        <v>@kardusbox08</v>
      </c>
      <c r="C29338" s="8" t="s">
        <v>11144</v>
      </c>
      <c r="D29338" s="8">
        <v>1</v>
      </c>
      <c r="E29338" s="8">
        <v>1</v>
      </c>
      <c r="F29338" s="8">
        <v>1759</v>
      </c>
    </row>
    <row r="29339" spans="1:6" ht="12.75">
      <c r="A29339" s="8">
        <v>43891.374722222223</v>
      </c>
      <c r="B29339" s="8" t="str">
        <f>HYPERLINK("https://twitter.com/AAOLion","@AAOLion")</f>
        <v>@AAOLion</v>
      </c>
      <c r="C29339" s="8" t="s">
        <v>11015</v>
      </c>
      <c r="D29339" s="8">
        <v>20</v>
      </c>
      <c r="E29339" s="8">
        <v>0</v>
      </c>
      <c r="F29339" s="8">
        <v>41700</v>
      </c>
    </row>
    <row r="29340" spans="1:6" ht="12.75">
      <c r="A29340" s="8">
        <v>43891.374525462961</v>
      </c>
      <c r="B29340" s="8" t="str">
        <f>HYPERLINK("https://twitter.com/melon_murdock13","@melon_murdock13")</f>
        <v>@melon_murdock13</v>
      </c>
      <c r="C29340" s="8" t="s">
        <v>11145</v>
      </c>
      <c r="D29340" s="8">
        <v>0</v>
      </c>
      <c r="E29340" s="8">
        <v>0</v>
      </c>
      <c r="F29340" s="8">
        <v>1188</v>
      </c>
    </row>
    <row r="29341" spans="1:6" ht="12.75">
      <c r="A29341" s="8">
        <v>43891.374398148153</v>
      </c>
      <c r="B29341" s="8" t="str">
        <f>HYPERLINK("https://twitter.com/kawaiipotat096","@kawaiipotat096")</f>
        <v>@kawaiipotat096</v>
      </c>
      <c r="C29341" s="8" t="s">
        <v>11146</v>
      </c>
      <c r="D29341" s="8">
        <v>0</v>
      </c>
      <c r="E29341" s="8">
        <v>0</v>
      </c>
      <c r="F29341" s="8">
        <v>845</v>
      </c>
    </row>
    <row r="29342" spans="1:6" ht="12.75">
      <c r="A29342" s="8">
        <v>43891.374236111107</v>
      </c>
      <c r="B29342" s="8" t="str">
        <f>HYPERLINK("https://twitter.com/panggilakumai","@panggilakumai")</f>
        <v>@panggilakumai</v>
      </c>
      <c r="C29342" s="8" t="s">
        <v>11147</v>
      </c>
      <c r="D29342" s="8">
        <v>0</v>
      </c>
      <c r="E29342" s="8">
        <v>0</v>
      </c>
      <c r="F29342" s="8">
        <v>201</v>
      </c>
    </row>
    <row r="29343" spans="1:6" ht="12.75">
      <c r="A29343" s="8">
        <v>43891.374166666668</v>
      </c>
      <c r="B29343" s="8" t="str">
        <f>HYPERLINK("https://twitter.com/alexmarwata","@alexmarwata")</f>
        <v>@alexmarwata</v>
      </c>
      <c r="C29343" s="8" t="s">
        <v>6708</v>
      </c>
      <c r="D29343" s="8">
        <v>43</v>
      </c>
      <c r="E29343" s="8">
        <v>0</v>
      </c>
      <c r="F29343" s="8">
        <v>286</v>
      </c>
    </row>
    <row r="29344" spans="1:6" ht="12.75">
      <c r="A29344" s="8">
        <v>43891.374027777776</v>
      </c>
      <c r="B29344" s="8" t="str">
        <f>HYPERLINK("https://twitter.com/adventyas","@adventyas")</f>
        <v>@adventyas</v>
      </c>
      <c r="C29344" s="8" t="s">
        <v>7686</v>
      </c>
      <c r="D29344" s="8">
        <v>902</v>
      </c>
      <c r="E29344" s="8">
        <v>0</v>
      </c>
      <c r="F29344" s="8">
        <v>427</v>
      </c>
    </row>
    <row r="29345" spans="1:6" ht="12.75">
      <c r="A29345" s="8">
        <v>43891.373402777783</v>
      </c>
      <c r="B29345" s="8" t="str">
        <f>HYPERLINK("https://twitter.com/adtaufiq","@adtaufiq")</f>
        <v>@adtaufiq</v>
      </c>
      <c r="C29345" s="8" t="s">
        <v>11130</v>
      </c>
      <c r="D29345" s="8">
        <v>2</v>
      </c>
      <c r="E29345" s="8">
        <v>0</v>
      </c>
      <c r="F29345" s="8">
        <v>8505</v>
      </c>
    </row>
    <row r="29346" spans="1:6" ht="12.75">
      <c r="A29346" s="8">
        <v>43891.37336805556</v>
      </c>
      <c r="B29346" s="8" t="str">
        <f>HYPERLINK("https://twitter.com/Tio7Willy","@Tio7Willy")</f>
        <v>@Tio7Willy</v>
      </c>
      <c r="C29346" s="8" t="s">
        <v>10939</v>
      </c>
      <c r="D29346" s="8">
        <v>208</v>
      </c>
      <c r="E29346" s="8">
        <v>0</v>
      </c>
      <c r="F29346" s="8">
        <v>265</v>
      </c>
    </row>
    <row r="29347" spans="1:6" ht="12.75">
      <c r="A29347" s="8">
        <v>43891.373032407406</v>
      </c>
      <c r="B29347" s="8" t="str">
        <f>HYPERLINK("https://twitter.com/Gudang_Survivor","@Gudang_Survivor")</f>
        <v>@Gudang_Survivor</v>
      </c>
      <c r="C29347" s="8" t="s">
        <v>7437</v>
      </c>
      <c r="D29347" s="8">
        <v>363</v>
      </c>
      <c r="E29347" s="8">
        <v>0</v>
      </c>
      <c r="F29347" s="8">
        <v>237</v>
      </c>
    </row>
    <row r="29348" spans="1:6" ht="12.75">
      <c r="A29348" s="8">
        <v>43891.372858796298</v>
      </c>
      <c r="B29348" s="8" t="str">
        <f>HYPERLINK("https://twitter.com/DhayatOscar1","@DhayatOscar1")</f>
        <v>@DhayatOscar1</v>
      </c>
      <c r="C29348" s="8" t="s">
        <v>6836</v>
      </c>
      <c r="D29348" s="8">
        <v>599</v>
      </c>
      <c r="E29348" s="8">
        <v>0</v>
      </c>
      <c r="F29348" s="8">
        <v>1083</v>
      </c>
    </row>
    <row r="29349" spans="1:6" ht="12.75">
      <c r="A29349" s="8">
        <v>43891.372800925921</v>
      </c>
      <c r="B29349" s="8" t="str">
        <f>HYPERLINK("https://twitter.com/walreds","@walreds")</f>
        <v>@walreds</v>
      </c>
      <c r="C29349" s="8" t="s">
        <v>6708</v>
      </c>
      <c r="D29349" s="8">
        <v>43</v>
      </c>
      <c r="E29349" s="8">
        <v>0</v>
      </c>
      <c r="F29349" s="8">
        <v>151</v>
      </c>
    </row>
    <row r="29350" spans="1:6" ht="12.75">
      <c r="A29350" s="8">
        <v>43891.372569444444</v>
      </c>
      <c r="B29350" s="8" t="str">
        <f>HYPERLINK("https://twitter.com/AlvaroDeBazan2","@AlvaroDeBazan2")</f>
        <v>@AlvaroDeBazan2</v>
      </c>
      <c r="C29350" s="8" t="s">
        <v>10754</v>
      </c>
      <c r="D29350" s="8">
        <v>6</v>
      </c>
      <c r="E29350" s="8">
        <v>0</v>
      </c>
      <c r="F29350" s="8">
        <v>257</v>
      </c>
    </row>
    <row r="29351" spans="1:6" ht="12.75">
      <c r="A29351" s="8">
        <v>43891.372465277775</v>
      </c>
      <c r="B29351" s="8" t="str">
        <f>HYPERLINK("https://twitter.com/MissDerpDark","@MissDerpDark")</f>
        <v>@MissDerpDark</v>
      </c>
      <c r="C29351" s="8" t="s">
        <v>2272</v>
      </c>
      <c r="D29351" s="8">
        <v>243</v>
      </c>
      <c r="E29351" s="8">
        <v>0</v>
      </c>
      <c r="F29351" s="8">
        <v>549</v>
      </c>
    </row>
    <row r="29352" spans="1:6" ht="12.75">
      <c r="A29352" s="8">
        <v>43891.372418981482</v>
      </c>
      <c r="B29352" s="8" t="str">
        <f>HYPERLINK("https://twitter.com/isis_munguia_","@isis_munguia_")</f>
        <v>@isis_munguia_</v>
      </c>
      <c r="C29352" s="8" t="s">
        <v>11148</v>
      </c>
      <c r="D29352" s="8">
        <v>0</v>
      </c>
      <c r="E29352" s="8">
        <v>0</v>
      </c>
      <c r="F29352" s="8">
        <v>37</v>
      </c>
    </row>
    <row r="29353" spans="1:6" ht="12.75">
      <c r="A29353" s="8">
        <v>43891.371932870374</v>
      </c>
      <c r="B29353" s="8" t="str">
        <f>HYPERLINK("https://twitter.com/wni_jmsri","@wni_jmsri")</f>
        <v>@wni_jmsri</v>
      </c>
      <c r="C29353" s="8" t="s">
        <v>11149</v>
      </c>
      <c r="D29353" s="8">
        <v>107</v>
      </c>
      <c r="E29353" s="8">
        <v>0</v>
      </c>
      <c r="F29353" s="8">
        <v>198</v>
      </c>
    </row>
    <row r="29354" spans="1:6" ht="12.75">
      <c r="A29354" s="8">
        <v>43891.371898148151</v>
      </c>
      <c r="B29354" s="8" t="str">
        <f>HYPERLINK("https://twitter.com/ndyArthrunZarra","@ndyArthrunZarra")</f>
        <v>@ndyArthrunZarra</v>
      </c>
      <c r="C29354" s="8" t="s">
        <v>11150</v>
      </c>
      <c r="D29354" s="8">
        <v>4</v>
      </c>
      <c r="E29354" s="8">
        <v>0</v>
      </c>
      <c r="F29354" s="8">
        <v>6238</v>
      </c>
    </row>
    <row r="29355" spans="1:6" ht="12.75">
      <c r="A29355" s="8">
        <v>43891.371805555551</v>
      </c>
      <c r="B29355" s="8" t="str">
        <f>HYPERLINK("https://twitter.com/Subadri20917452","@Subadri20917452")</f>
        <v>@Subadri20917452</v>
      </c>
      <c r="C29355" s="8" t="s">
        <v>7686</v>
      </c>
      <c r="D29355" s="8">
        <v>902</v>
      </c>
      <c r="E29355" s="8">
        <v>0</v>
      </c>
      <c r="F29355" s="8">
        <v>814</v>
      </c>
    </row>
    <row r="29356" spans="1:6" ht="12.75">
      <c r="A29356" s="8">
        <v>43891.371805555551</v>
      </c>
      <c r="B29356" s="8" t="str">
        <f>HYPERLINK("https://twitter.com/95jooo","@95jooo")</f>
        <v>@95jooo</v>
      </c>
      <c r="C29356" s="8" t="s">
        <v>2272</v>
      </c>
      <c r="D29356" s="8">
        <v>243</v>
      </c>
      <c r="E29356" s="8">
        <v>0</v>
      </c>
      <c r="F29356" s="8">
        <v>184</v>
      </c>
    </row>
    <row r="29357" spans="1:6" ht="12.75">
      <c r="A29357" s="8">
        <v>43891.371666666666</v>
      </c>
      <c r="B29357" s="8" t="str">
        <f>HYPERLINK("https://twitter.com/Tonim1908","@Tonim1908")</f>
        <v>@Tonim1908</v>
      </c>
      <c r="C29357" s="8" t="s">
        <v>11151</v>
      </c>
      <c r="D29357" s="8">
        <v>22</v>
      </c>
      <c r="E29357" s="8">
        <v>0</v>
      </c>
      <c r="F29357" s="8">
        <v>826</v>
      </c>
    </row>
    <row r="29358" spans="1:6" ht="12.75">
      <c r="A29358" s="8">
        <v>43891.371597222227</v>
      </c>
      <c r="B29358" s="8" t="str">
        <f>HYPERLINK("https://twitter.com/yudiwijayaa","@yudiwijayaa")</f>
        <v>@yudiwijayaa</v>
      </c>
      <c r="C29358" s="8" t="s">
        <v>11152</v>
      </c>
      <c r="D29358" s="8">
        <v>0</v>
      </c>
      <c r="E29358" s="8">
        <v>0</v>
      </c>
      <c r="F29358" s="8">
        <v>278</v>
      </c>
    </row>
    <row r="29359" spans="1:6" ht="12.75">
      <c r="A29359" s="8">
        <v>43891.371516203704</v>
      </c>
      <c r="B29359" s="8" t="str">
        <f>HYPERLINK("https://twitter.com/wisnunsiew","@wisnunsiew")</f>
        <v>@wisnunsiew</v>
      </c>
      <c r="C29359" s="8" t="s">
        <v>2272</v>
      </c>
      <c r="D29359" s="8">
        <v>243</v>
      </c>
      <c r="E29359" s="8">
        <v>0</v>
      </c>
      <c r="F29359" s="8">
        <v>108</v>
      </c>
    </row>
    <row r="29360" spans="1:6" ht="12.75">
      <c r="A29360" s="8">
        <v>43891.371342592596</v>
      </c>
      <c r="B29360" s="8" t="str">
        <f>HYPERLINK("https://twitter.com/wni_jmsri","@wni_jmsri")</f>
        <v>@wni_jmsri</v>
      </c>
      <c r="C29360" s="8" t="s">
        <v>11153</v>
      </c>
      <c r="D29360" s="8">
        <v>79</v>
      </c>
      <c r="E29360" s="8">
        <v>0</v>
      </c>
      <c r="F29360" s="8">
        <v>198</v>
      </c>
    </row>
    <row r="29361" spans="1:6" ht="12.75">
      <c r="A29361" s="8">
        <v>43891.371307870373</v>
      </c>
      <c r="B29361" s="8" t="str">
        <f>HYPERLINK("https://twitter.com/fajrwija","@fajrwija")</f>
        <v>@fajrwija</v>
      </c>
      <c r="C29361" s="8" t="s">
        <v>4235</v>
      </c>
      <c r="D29361" s="8">
        <v>1610</v>
      </c>
      <c r="E29361" s="8">
        <v>0</v>
      </c>
      <c r="F29361" s="8">
        <v>536</v>
      </c>
    </row>
    <row r="29362" spans="1:6" ht="12.75">
      <c r="A29362" s="8">
        <v>43891.371203703704</v>
      </c>
      <c r="B29362" s="8" t="str">
        <f>HYPERLINK("https://twitter.com/RonefZone","@RonefZone")</f>
        <v>@RonefZone</v>
      </c>
      <c r="C29362" s="8" t="s">
        <v>6836</v>
      </c>
      <c r="D29362" s="8">
        <v>599</v>
      </c>
      <c r="E29362" s="8">
        <v>0</v>
      </c>
      <c r="F29362" s="8">
        <v>315</v>
      </c>
    </row>
    <row r="29363" spans="1:6" ht="12.75">
      <c r="A29363" s="8">
        <v>43891.371203703704</v>
      </c>
      <c r="B29363" s="8" t="str">
        <f>HYPERLINK("https://twitter.com/aoi_usagi79","@aoi_usagi79")</f>
        <v>@aoi_usagi79</v>
      </c>
      <c r="C29363" s="8" t="s">
        <v>10754</v>
      </c>
      <c r="D29363" s="8">
        <v>6</v>
      </c>
      <c r="E29363" s="8">
        <v>0</v>
      </c>
      <c r="F29363" s="8">
        <v>370</v>
      </c>
    </row>
    <row r="29364" spans="1:6" ht="12.75">
      <c r="A29364" s="8">
        <v>43891.371076388888</v>
      </c>
      <c r="B29364" s="8" t="str">
        <f>HYPERLINK("https://twitter.com/vaniawr","@vaniawr")</f>
        <v>@vaniawr</v>
      </c>
      <c r="C29364" s="8" t="s">
        <v>2272</v>
      </c>
      <c r="D29364" s="8">
        <v>243</v>
      </c>
      <c r="E29364" s="8">
        <v>0</v>
      </c>
      <c r="F29364" s="8">
        <v>276</v>
      </c>
    </row>
    <row r="29365" spans="1:6" ht="12.75">
      <c r="A29365" s="8">
        <v>43891.370833333334</v>
      </c>
      <c r="B29365" s="8" t="str">
        <f>HYPERLINK("https://twitter.com/Hali__lintar","@Hali__lintar")</f>
        <v>@Hali__lintar</v>
      </c>
      <c r="C29365" s="8" t="s">
        <v>11154</v>
      </c>
      <c r="D29365" s="8">
        <v>2</v>
      </c>
      <c r="E29365" s="8">
        <v>1</v>
      </c>
      <c r="F29365" s="8">
        <v>9298</v>
      </c>
    </row>
    <row r="29366" spans="1:6" ht="12.75">
      <c r="A29366" s="8">
        <v>43891.370590277773</v>
      </c>
      <c r="B29366" s="8" t="str">
        <f>HYPERLINK("https://twitter.com/amanidelm","@amanidelm")</f>
        <v>@amanidelm</v>
      </c>
      <c r="C29366" s="8" t="s">
        <v>10986</v>
      </c>
      <c r="D29366" s="8">
        <v>32</v>
      </c>
      <c r="E29366" s="8">
        <v>0</v>
      </c>
      <c r="F29366" s="8">
        <v>2102</v>
      </c>
    </row>
    <row r="29367" spans="1:6" ht="12.75">
      <c r="A29367" s="8">
        <v>43891.370474537034</v>
      </c>
      <c r="B29367" s="8" t="str">
        <f>HYPERLINK("https://twitter.com/SgMarthin","@SgMarthin")</f>
        <v>@SgMarthin</v>
      </c>
      <c r="C29367" s="8" t="s">
        <v>8096</v>
      </c>
      <c r="D29367" s="8">
        <v>29</v>
      </c>
      <c r="E29367" s="8">
        <v>0</v>
      </c>
      <c r="F29367" s="8">
        <v>650</v>
      </c>
    </row>
    <row r="29368" spans="1:6" ht="12.75">
      <c r="A29368" s="8">
        <v>43891.370289351849</v>
      </c>
      <c r="B29368" s="8" t="str">
        <f>HYPERLINK("https://twitter.com/calvinyounglee","@calvinyounglee")</f>
        <v>@calvinyounglee</v>
      </c>
      <c r="C29368" s="8" t="s">
        <v>11155</v>
      </c>
      <c r="D29368" s="8">
        <v>46</v>
      </c>
      <c r="E29368" s="8">
        <v>0</v>
      </c>
      <c r="F29368" s="8">
        <v>402</v>
      </c>
    </row>
    <row r="29369" spans="1:6" ht="12.75">
      <c r="A29369" s="8">
        <v>43891.36986111111</v>
      </c>
      <c r="B29369" s="8" t="str">
        <f>HYPERLINK("https://twitter.com/hendrik66769665","@hendrik66769665")</f>
        <v>@hendrik66769665</v>
      </c>
      <c r="C29369" s="8" t="s">
        <v>11150</v>
      </c>
      <c r="D29369" s="8">
        <v>4</v>
      </c>
      <c r="E29369" s="8">
        <v>0</v>
      </c>
      <c r="F29369" s="8">
        <v>832</v>
      </c>
    </row>
    <row r="29370" spans="1:6" ht="12.75">
      <c r="A29370" s="8">
        <v>43891.369791666672</v>
      </c>
      <c r="B29370" s="8" t="str">
        <f>HYPERLINK("https://twitter.com/MegaSimarmata","@MegaSimarmata")</f>
        <v>@MegaSimarmata</v>
      </c>
      <c r="C29370" s="8" t="s">
        <v>8096</v>
      </c>
      <c r="D29370" s="8">
        <v>29</v>
      </c>
      <c r="E29370" s="8">
        <v>0</v>
      </c>
      <c r="F29370" s="8">
        <v>20513</v>
      </c>
    </row>
    <row r="29371" spans="1:6" ht="12.75">
      <c r="A29371" s="8">
        <v>43891.369780092587</v>
      </c>
      <c r="B29371" s="8" t="str">
        <f>HYPERLINK("https://twitter.com/RamsulSupertrum","@RamsulSupertrum")</f>
        <v>@RamsulSupertrum</v>
      </c>
      <c r="C29371" s="8" t="s">
        <v>10600</v>
      </c>
      <c r="D29371" s="8">
        <v>226</v>
      </c>
      <c r="E29371" s="8">
        <v>0</v>
      </c>
      <c r="F29371" s="8">
        <v>46</v>
      </c>
    </row>
    <row r="29372" spans="1:6" ht="12.75">
      <c r="A29372" s="8">
        <v>43891.369594907403</v>
      </c>
      <c r="B29372" s="8" t="str">
        <f>HYPERLINK("https://twitter.com/flyngdtchmn_","@flyngdtchmn_")</f>
        <v>@flyngdtchmn_</v>
      </c>
      <c r="C29372" s="8" t="s">
        <v>11156</v>
      </c>
      <c r="D29372" s="8">
        <v>0</v>
      </c>
      <c r="E29372" s="8">
        <v>0</v>
      </c>
      <c r="F29372" s="8">
        <v>3</v>
      </c>
    </row>
    <row r="29373" spans="1:6" ht="12.75">
      <c r="A29373" s="8">
        <v>43891.36954861111</v>
      </c>
      <c r="B29373" s="8" t="str">
        <f>HYPERLINK("https://twitter.com/rachflowy","@rachflowy")</f>
        <v>@rachflowy</v>
      </c>
      <c r="C29373" s="8" t="s">
        <v>11157</v>
      </c>
      <c r="D29373" s="8">
        <v>0</v>
      </c>
      <c r="E29373" s="8">
        <v>0</v>
      </c>
      <c r="F29373" s="8">
        <v>54</v>
      </c>
    </row>
    <row r="29374" spans="1:6" ht="12.75">
      <c r="A29374" s="8">
        <v>43891.369351851856</v>
      </c>
      <c r="B29374" s="8" t="str">
        <f>HYPERLINK("https://twitter.com/gr4c3_mf","@gr4c3_mf")</f>
        <v>@gr4c3_mf</v>
      </c>
      <c r="C29374" s="8" t="s">
        <v>10754</v>
      </c>
      <c r="D29374" s="8">
        <v>6</v>
      </c>
      <c r="E29374" s="8">
        <v>0</v>
      </c>
      <c r="F29374" s="8">
        <v>144</v>
      </c>
    </row>
    <row r="29375" spans="1:6" ht="12.75">
      <c r="A29375" s="8">
        <v>43891.339270833334</v>
      </c>
      <c r="B29375" s="8" t="str">
        <f>HYPERLINK("https://twitter.com/ricosiswandi","@ricosiswandi")</f>
        <v>@ricosiswandi</v>
      </c>
      <c r="C29375" s="8" t="s">
        <v>10816</v>
      </c>
      <c r="D29375" s="8">
        <v>23</v>
      </c>
      <c r="E29375" s="8">
        <v>0</v>
      </c>
      <c r="F29375" s="8">
        <v>2505</v>
      </c>
    </row>
    <row r="29376" spans="1:6" ht="12.75">
      <c r="A29376" s="8">
        <v>43891.339016203703</v>
      </c>
      <c r="B29376" s="8" t="str">
        <f>HYPERLINK("https://twitter.com/haikalh88272010","@haikalh88272010")</f>
        <v>@haikalh88272010</v>
      </c>
      <c r="C29376" s="8" t="s">
        <v>11158</v>
      </c>
      <c r="D29376" s="8">
        <v>0</v>
      </c>
      <c r="E29376" s="8">
        <v>0</v>
      </c>
      <c r="F29376" s="8">
        <v>2</v>
      </c>
    </row>
    <row r="29377" spans="1:6" ht="12.75">
      <c r="A29377" s="8">
        <v>43891.338946759264</v>
      </c>
      <c r="B29377" s="8" t="str">
        <f>HYPERLINK("https://twitter.com/Heri_aja","@Heri_aja")</f>
        <v>@Heri_aja</v>
      </c>
      <c r="C29377" s="8" t="s">
        <v>11159</v>
      </c>
      <c r="D29377" s="8">
        <v>2</v>
      </c>
      <c r="E29377" s="8">
        <v>0</v>
      </c>
      <c r="F29377" s="8">
        <v>1725</v>
      </c>
    </row>
    <row r="29378" spans="1:6" ht="12.75">
      <c r="A29378" s="8">
        <v>43891.338888888888</v>
      </c>
      <c r="B29378" s="8" t="str">
        <f>HYPERLINK("https://twitter.com/RezaMrc786","@RezaMrc786")</f>
        <v>@RezaMrc786</v>
      </c>
      <c r="C29378" s="8" t="s">
        <v>11160</v>
      </c>
      <c r="D29378" s="8">
        <v>14</v>
      </c>
      <c r="E29378" s="8">
        <v>0</v>
      </c>
      <c r="F29378" s="8">
        <v>298</v>
      </c>
    </row>
    <row r="29379" spans="1:6" ht="12.75">
      <c r="A29379" s="8">
        <v>43891.338807870372</v>
      </c>
      <c r="B29379" s="8" t="str">
        <f>HYPERLINK("https://twitter.com/pei_prillie","@pei_prillie")</f>
        <v>@pei_prillie</v>
      </c>
      <c r="C29379" s="8" t="s">
        <v>11161</v>
      </c>
      <c r="D29379" s="8">
        <v>6</v>
      </c>
      <c r="E29379" s="8">
        <v>0</v>
      </c>
      <c r="F29379" s="8">
        <v>33</v>
      </c>
    </row>
    <row r="29380" spans="1:6" ht="12.75">
      <c r="A29380" s="8">
        <v>43891.338749999995</v>
      </c>
      <c r="B29380" s="8" t="str">
        <f>HYPERLINK("https://twitter.com/Syindhu","@Syindhu")</f>
        <v>@Syindhu</v>
      </c>
      <c r="C29380" s="8" t="s">
        <v>11162</v>
      </c>
      <c r="D29380" s="8">
        <v>0</v>
      </c>
      <c r="E29380" s="8">
        <v>0</v>
      </c>
      <c r="F29380" s="8">
        <v>200</v>
      </c>
    </row>
    <row r="29381" spans="1:6" ht="12.75">
      <c r="A29381" s="8">
        <v>43891.338645833333</v>
      </c>
      <c r="B29381" s="8" t="str">
        <f>HYPERLINK("https://twitter.com/dehap3","@dehap3")</f>
        <v>@dehap3</v>
      </c>
      <c r="C29381" s="8" t="s">
        <v>10816</v>
      </c>
      <c r="D29381" s="8">
        <v>23</v>
      </c>
      <c r="E29381" s="8">
        <v>0</v>
      </c>
      <c r="F29381" s="8">
        <v>329</v>
      </c>
    </row>
    <row r="29382" spans="1:6" ht="12.75">
      <c r="A29382" s="8">
        <v>43891.338495370372</v>
      </c>
      <c r="B29382" s="8" t="str">
        <f>HYPERLINK("https://twitter.com/bodoaamaat","@bodoaamaat")</f>
        <v>@bodoaamaat</v>
      </c>
      <c r="C29382" s="8" t="s">
        <v>11163</v>
      </c>
      <c r="D29382" s="8">
        <v>0</v>
      </c>
      <c r="E29382" s="8">
        <v>0</v>
      </c>
      <c r="F29382" s="8">
        <v>464</v>
      </c>
    </row>
    <row r="29383" spans="1:6" ht="12.75">
      <c r="A29383" s="8">
        <v>43891.338449074072</v>
      </c>
      <c r="B29383" s="8" t="str">
        <f>HYPERLINK("https://twitter.com/rcbae2","@rcbae2")</f>
        <v>@rcbae2</v>
      </c>
      <c r="C29383" s="8" t="s">
        <v>11164</v>
      </c>
      <c r="D29383" s="8">
        <v>0</v>
      </c>
      <c r="E29383" s="8">
        <v>0</v>
      </c>
      <c r="F29383" s="8">
        <v>6</v>
      </c>
    </row>
    <row r="29384" spans="1:6" ht="12.75">
      <c r="A29384" s="8">
        <v>43891.338113425925</v>
      </c>
      <c r="B29384" s="8" t="str">
        <f>HYPERLINK("https://twitter.com/SOERYAWAD1","@SOERYAWAD1")</f>
        <v>@SOERYAWAD1</v>
      </c>
      <c r="C29384" s="8" t="s">
        <v>10816</v>
      </c>
      <c r="D29384" s="8">
        <v>23</v>
      </c>
      <c r="E29384" s="8">
        <v>0</v>
      </c>
      <c r="F29384" s="8">
        <v>568</v>
      </c>
    </row>
    <row r="29385" spans="1:6" ht="12.75">
      <c r="A29385" s="8">
        <v>43891.337164351848</v>
      </c>
      <c r="B29385" s="8" t="str">
        <f>HYPERLINK("https://twitter.com/RulyBbn","@RulyBbn")</f>
        <v>@RulyBbn</v>
      </c>
      <c r="C29385" s="8" t="s">
        <v>7437</v>
      </c>
      <c r="D29385" s="8">
        <v>353</v>
      </c>
      <c r="E29385" s="8">
        <v>0</v>
      </c>
      <c r="F29385" s="8">
        <v>18</v>
      </c>
    </row>
    <row r="29386" spans="1:6" ht="12.75">
      <c r="A29386" s="8">
        <v>43891.336608796293</v>
      </c>
      <c r="B29386" s="8" t="str">
        <f>HYPERLINK("https://twitter.com/ariefoundation","@ariefoundation")</f>
        <v>@ariefoundation</v>
      </c>
      <c r="C29386" s="8" t="s">
        <v>2272</v>
      </c>
      <c r="D29386" s="8">
        <v>175</v>
      </c>
      <c r="E29386" s="8">
        <v>0</v>
      </c>
      <c r="F29386" s="8">
        <v>1126</v>
      </c>
    </row>
    <row r="29387" spans="1:6" ht="12.75">
      <c r="A29387" s="8">
        <v>43891.336388888885</v>
      </c>
      <c r="B29387" s="8" t="str">
        <f>HYPERLINK("https://twitter.com/Teguhjoy1","@Teguhjoy1")</f>
        <v>@Teguhjoy1</v>
      </c>
      <c r="C29387" s="8" t="s">
        <v>11165</v>
      </c>
      <c r="D29387" s="8">
        <v>0</v>
      </c>
      <c r="E29387" s="8">
        <v>0</v>
      </c>
      <c r="F29387" s="8">
        <v>0</v>
      </c>
    </row>
    <row r="29388" spans="1:6" ht="12.75">
      <c r="A29388" s="8">
        <v>43891.336377314816</v>
      </c>
      <c r="B29388" s="8" t="str">
        <f>HYPERLINK("https://twitter.com/Linden_Dollar","@Linden_Dollar")</f>
        <v>@Linden_Dollar</v>
      </c>
      <c r="C29388" s="8" t="s">
        <v>11166</v>
      </c>
      <c r="D29388" s="8">
        <v>0</v>
      </c>
      <c r="E29388" s="8">
        <v>0</v>
      </c>
      <c r="F29388" s="8">
        <v>879</v>
      </c>
    </row>
    <row r="29389" spans="1:6" ht="12.75">
      <c r="A29389" s="8">
        <v>43891.336006944446</v>
      </c>
      <c r="B29389" s="8" t="str">
        <f>HYPERLINK("https://twitter.com/Mytrip19","@Mytrip19")</f>
        <v>@Mytrip19</v>
      </c>
      <c r="C29389" s="8" t="s">
        <v>9163</v>
      </c>
      <c r="D29389" s="8">
        <v>42</v>
      </c>
      <c r="E29389" s="8">
        <v>0</v>
      </c>
      <c r="F29389" s="8">
        <v>1770</v>
      </c>
    </row>
    <row r="29390" spans="1:6" ht="12.75">
      <c r="A29390" s="8">
        <v>43891.335868055554</v>
      </c>
      <c r="B29390" s="8" t="str">
        <f>HYPERLINK("https://twitter.com/zefri_s","@zefri_s")</f>
        <v>@zefri_s</v>
      </c>
      <c r="C29390" s="8" t="s">
        <v>8096</v>
      </c>
      <c r="D29390" s="8">
        <v>17</v>
      </c>
      <c r="E29390" s="8">
        <v>0</v>
      </c>
      <c r="F29390" s="8">
        <v>210</v>
      </c>
    </row>
    <row r="29391" spans="1:6" ht="12.75">
      <c r="A29391" s="8">
        <v>43891.335844907408</v>
      </c>
      <c r="B29391" s="8" t="str">
        <f>HYPERLINK("https://twitter.com/bramantareja","@bramantareja")</f>
        <v>@bramantareja</v>
      </c>
      <c r="C29391" s="8" t="s">
        <v>7686</v>
      </c>
      <c r="D29391" s="8">
        <v>888</v>
      </c>
      <c r="E29391" s="8">
        <v>0</v>
      </c>
      <c r="F29391" s="8">
        <v>497</v>
      </c>
    </row>
    <row r="29392" spans="1:6" ht="12.75">
      <c r="A29392" s="8">
        <v>43891.335798611108</v>
      </c>
      <c r="B29392" s="8" t="str">
        <f>HYPERLINK("https://twitter.com/ogleck666","@ogleck666")</f>
        <v>@ogleck666</v>
      </c>
      <c r="C29392" s="8" t="s">
        <v>11167</v>
      </c>
      <c r="D29392" s="8">
        <v>0</v>
      </c>
      <c r="E29392" s="8">
        <v>0</v>
      </c>
      <c r="F29392" s="8">
        <v>126</v>
      </c>
    </row>
    <row r="29393" spans="1:6" ht="12.75">
      <c r="A29393" s="8">
        <v>43891.335555555561</v>
      </c>
      <c r="B29393" s="8" t="str">
        <f t="shared" ref="B29393:B29394" si="404">HYPERLINK("https://twitter.com/AkuPamuji","@AkuPamuji")</f>
        <v>@AkuPamuji</v>
      </c>
      <c r="C29393" s="8" t="s">
        <v>11168</v>
      </c>
      <c r="D29393" s="8">
        <v>0</v>
      </c>
      <c r="E29393" s="8">
        <v>0</v>
      </c>
      <c r="F29393" s="8">
        <v>186</v>
      </c>
    </row>
    <row r="29394" spans="1:6" ht="12.75">
      <c r="A29394" s="8">
        <v>43891.335312499999</v>
      </c>
      <c r="B29394" s="8" t="str">
        <f t="shared" si="404"/>
        <v>@AkuPamuji</v>
      </c>
      <c r="C29394" s="8" t="s">
        <v>11169</v>
      </c>
      <c r="D29394" s="8">
        <v>0</v>
      </c>
      <c r="E29394" s="8">
        <v>0</v>
      </c>
      <c r="F29394" s="8">
        <v>186</v>
      </c>
    </row>
    <row r="29395" spans="1:6" ht="12.75">
      <c r="A29395" s="8">
        <v>43891.334525462968</v>
      </c>
      <c r="B29395" s="8" t="str">
        <f>HYPERLINK("https://twitter.com/prasetyadannyy1","@prasetyadannyy1")</f>
        <v>@prasetyadannyy1</v>
      </c>
      <c r="C29395" s="8" t="s">
        <v>11170</v>
      </c>
      <c r="D29395" s="8">
        <v>0</v>
      </c>
      <c r="E29395" s="8">
        <v>1</v>
      </c>
      <c r="F29395" s="8">
        <v>263</v>
      </c>
    </row>
    <row r="29396" spans="1:6" ht="12.75">
      <c r="A29396" s="8">
        <v>43891.334189814814</v>
      </c>
      <c r="B29396" s="8" t="str">
        <f>HYPERLINK("https://twitter.com/iwan2701","@iwan2701")</f>
        <v>@iwan2701</v>
      </c>
      <c r="C29396" s="8" t="s">
        <v>8096</v>
      </c>
      <c r="D29396" s="8">
        <v>17</v>
      </c>
      <c r="E29396" s="8">
        <v>0</v>
      </c>
      <c r="F29396" s="8">
        <v>246</v>
      </c>
    </row>
    <row r="29397" spans="1:6" ht="12.75">
      <c r="A29397" s="8">
        <v>43891.333993055552</v>
      </c>
      <c r="B29397" s="8" t="str">
        <f>HYPERLINK("https://twitter.com/rasumaputri","@rasumaputri")</f>
        <v>@rasumaputri</v>
      </c>
      <c r="C29397" s="8" t="s">
        <v>2272</v>
      </c>
      <c r="D29397" s="8">
        <v>175</v>
      </c>
      <c r="E29397" s="8">
        <v>0</v>
      </c>
      <c r="F29397" s="8">
        <v>694</v>
      </c>
    </row>
    <row r="29398" spans="1:6" ht="12.75">
      <c r="A29398" s="8">
        <v>43891.33393518519</v>
      </c>
      <c r="B29398" s="8" t="str">
        <f>HYPERLINK("https://twitter.com/10FL_DiL","@10FL_DiL")</f>
        <v>@10FL_DiL</v>
      </c>
      <c r="C29398" s="8" t="s">
        <v>11171</v>
      </c>
      <c r="D29398" s="8">
        <v>0</v>
      </c>
      <c r="E29398" s="8">
        <v>1</v>
      </c>
      <c r="F29398" s="8">
        <v>0</v>
      </c>
    </row>
    <row r="29399" spans="1:6" ht="12.75">
      <c r="A29399" s="8">
        <v>43891.333680555559</v>
      </c>
      <c r="B29399" s="8" t="str">
        <f>HYPERLINK("https://twitter.com/bdaksbh","@bdaksbh")</f>
        <v>@bdaksbh</v>
      </c>
      <c r="C29399" s="8" t="s">
        <v>2272</v>
      </c>
      <c r="D29399" s="8">
        <v>175</v>
      </c>
      <c r="E29399" s="8">
        <v>0</v>
      </c>
      <c r="F29399" s="8">
        <v>113</v>
      </c>
    </row>
    <row r="29400" spans="1:6" ht="12.75">
      <c r="A29400" s="8">
        <v>43891.333611111113</v>
      </c>
      <c r="B29400" s="8" t="str">
        <f>HYPERLINK("https://twitter.com/chewyoursins","@chewyoursins")</f>
        <v>@chewyoursins</v>
      </c>
      <c r="C29400" s="8" t="s">
        <v>10916</v>
      </c>
      <c r="D29400" s="8">
        <v>9</v>
      </c>
      <c r="E29400" s="8">
        <v>0</v>
      </c>
      <c r="F29400" s="8">
        <v>584</v>
      </c>
    </row>
    <row r="29401" spans="1:6" ht="12.75">
      <c r="A29401" s="8">
        <v>43891.333391203705</v>
      </c>
      <c r="B29401" s="8" t="str">
        <f>HYPERLINK("https://twitter.com/Banabail","@Banabail")</f>
        <v>@Banabail</v>
      </c>
      <c r="C29401" s="8" t="s">
        <v>2272</v>
      </c>
      <c r="D29401" s="8">
        <v>175</v>
      </c>
      <c r="E29401" s="8">
        <v>0</v>
      </c>
      <c r="F29401" s="8">
        <v>732</v>
      </c>
    </row>
    <row r="29402" spans="1:6" ht="12.75">
      <c r="A29402" s="8">
        <v>43891.333229166667</v>
      </c>
      <c r="B29402" s="8" t="str">
        <f>HYPERLINK("https://twitter.com/gonkcil","@gonkcil")</f>
        <v>@gonkcil</v>
      </c>
      <c r="C29402" s="8" t="s">
        <v>10939</v>
      </c>
      <c r="D29402" s="8">
        <v>204</v>
      </c>
      <c r="E29402" s="8">
        <v>0</v>
      </c>
      <c r="F29402" s="8">
        <v>148</v>
      </c>
    </row>
    <row r="29403" spans="1:6" ht="12.75">
      <c r="A29403" s="8">
        <v>43891.333229166667</v>
      </c>
      <c r="B29403" s="8" t="str">
        <f>HYPERLINK("https://twitter.com/haikalh88272010","@haikalh88272010")</f>
        <v>@haikalh88272010</v>
      </c>
      <c r="C29403" s="8" t="s">
        <v>11172</v>
      </c>
      <c r="D29403" s="8">
        <v>0</v>
      </c>
      <c r="E29403" s="8">
        <v>0</v>
      </c>
      <c r="F29403" s="8">
        <v>2</v>
      </c>
    </row>
    <row r="29404" spans="1:6" ht="12.75">
      <c r="A29404" s="8">
        <v>43891.33289351852</v>
      </c>
      <c r="B29404" s="8" t="str">
        <f>HYPERLINK("https://twitter.com/audipras","@audipras")</f>
        <v>@audipras</v>
      </c>
      <c r="C29404" s="8" t="s">
        <v>2272</v>
      </c>
      <c r="D29404" s="8">
        <v>175</v>
      </c>
      <c r="E29404" s="8">
        <v>0</v>
      </c>
      <c r="F29404" s="8">
        <v>767</v>
      </c>
    </row>
    <row r="29405" spans="1:6" ht="12.75">
      <c r="A29405" s="8">
        <v>43891.33284722222</v>
      </c>
      <c r="B29405" s="8" t="str">
        <f>HYPERLINK("https://twitter.com/axclrk","@axclrk")</f>
        <v>@axclrk</v>
      </c>
      <c r="C29405" s="8" t="s">
        <v>10816</v>
      </c>
      <c r="D29405" s="8">
        <v>23</v>
      </c>
      <c r="E29405" s="8">
        <v>0</v>
      </c>
      <c r="F29405" s="8">
        <v>3</v>
      </c>
    </row>
    <row r="29406" spans="1:6" ht="12.75">
      <c r="A29406" s="8">
        <v>43891.332777777774</v>
      </c>
      <c r="B29406" s="8" t="str">
        <f>HYPERLINK("https://twitter.com/abdulrosyid417","@abdulrosyid417")</f>
        <v>@abdulrosyid417</v>
      </c>
      <c r="C29406" s="8" t="s">
        <v>6836</v>
      </c>
      <c r="D29406" s="8">
        <v>592</v>
      </c>
      <c r="E29406" s="8">
        <v>0</v>
      </c>
      <c r="F29406" s="8">
        <v>74</v>
      </c>
    </row>
    <row r="29407" spans="1:6" ht="12.75">
      <c r="A29407" s="8">
        <v>43891.332361111112</v>
      </c>
      <c r="B29407" s="8" t="str">
        <f>HYPERLINK("https://twitter.com/sirajapadoha","@sirajapadoha")</f>
        <v>@sirajapadoha</v>
      </c>
      <c r="C29407" s="8" t="s">
        <v>10986</v>
      </c>
      <c r="D29407" s="8">
        <v>30</v>
      </c>
      <c r="E29407" s="8">
        <v>0</v>
      </c>
      <c r="F29407" s="8">
        <v>2474</v>
      </c>
    </row>
    <row r="29408" spans="1:6" ht="12.75">
      <c r="A29408" s="8">
        <v>43891.332337962958</v>
      </c>
      <c r="B29408" s="8" t="str">
        <f>HYPERLINK("https://twitter.com/utamip","@utamip")</f>
        <v>@utamip</v>
      </c>
      <c r="C29408" s="8" t="s">
        <v>2272</v>
      </c>
      <c r="D29408" s="8">
        <v>175</v>
      </c>
      <c r="E29408" s="8">
        <v>0</v>
      </c>
      <c r="F29408" s="8">
        <v>352</v>
      </c>
    </row>
    <row r="29409" spans="1:6" ht="12.75">
      <c r="A29409" s="8">
        <v>43891.332233796296</v>
      </c>
      <c r="B29409" s="8" t="str">
        <f>HYPERLINK("https://twitter.com/PolsekCikande","@PolsekCikande")</f>
        <v>@PolsekCikande</v>
      </c>
      <c r="C29409" s="8" t="s">
        <v>11173</v>
      </c>
      <c r="D29409" s="8">
        <v>0</v>
      </c>
      <c r="E29409" s="8">
        <v>0</v>
      </c>
      <c r="F29409" s="8">
        <v>1</v>
      </c>
    </row>
    <row r="29410" spans="1:6" ht="12.75">
      <c r="A29410" s="8">
        <v>43891.33211805555</v>
      </c>
      <c r="B29410" s="8" t="str">
        <f>HYPERLINK("https://twitter.com/haikalh88272010","@haikalh88272010")</f>
        <v>@haikalh88272010</v>
      </c>
      <c r="C29410" s="8" t="s">
        <v>11174</v>
      </c>
      <c r="D29410" s="8">
        <v>0</v>
      </c>
      <c r="E29410" s="8">
        <v>0</v>
      </c>
      <c r="F29410" s="8">
        <v>2</v>
      </c>
    </row>
    <row r="29411" spans="1:6" ht="12.75">
      <c r="A29411" s="8">
        <v>43891.33194444445</v>
      </c>
      <c r="B29411" s="8" t="str">
        <f>HYPERLINK("https://twitter.com/rahadiannn__","@rahadiannn__")</f>
        <v>@rahadiannn__</v>
      </c>
      <c r="C29411" s="8" t="s">
        <v>11175</v>
      </c>
      <c r="D29411" s="8">
        <v>2</v>
      </c>
      <c r="E29411" s="8">
        <v>0</v>
      </c>
      <c r="F29411" s="8">
        <v>13</v>
      </c>
    </row>
    <row r="29412" spans="1:6" ht="12.75">
      <c r="A29412" s="8">
        <v>43891.331516203703</v>
      </c>
      <c r="B29412" s="8" t="str">
        <f>HYPERLINK("https://twitter.com/citrabigail","@citrabigail")</f>
        <v>@citrabigail</v>
      </c>
      <c r="C29412" s="8" t="s">
        <v>2272</v>
      </c>
      <c r="D29412" s="8">
        <v>175</v>
      </c>
      <c r="E29412" s="8">
        <v>0</v>
      </c>
      <c r="F29412" s="8">
        <v>525</v>
      </c>
    </row>
    <row r="29413" spans="1:6" ht="12.75">
      <c r="A29413" s="8">
        <v>43891.331273148149</v>
      </c>
      <c r="B29413" s="8" t="str">
        <f>HYPERLINK("https://twitter.com/kurniawangrace1","@kurniawangrace1")</f>
        <v>@kurniawangrace1</v>
      </c>
      <c r="C29413" s="8" t="s">
        <v>7437</v>
      </c>
      <c r="D29413" s="8">
        <v>353</v>
      </c>
      <c r="E29413" s="8">
        <v>0</v>
      </c>
      <c r="F29413" s="8">
        <v>14</v>
      </c>
    </row>
    <row r="29414" spans="1:6" ht="12.75">
      <c r="A29414" s="8">
        <v>43891.330960648149</v>
      </c>
      <c r="B29414" s="8" t="str">
        <f>HYPERLINK("https://twitter.com/NScorpius","@NScorpius")</f>
        <v>@NScorpius</v>
      </c>
      <c r="C29414" s="8" t="s">
        <v>11176</v>
      </c>
      <c r="D29414" s="8">
        <v>0</v>
      </c>
      <c r="E29414" s="8">
        <v>0</v>
      </c>
      <c r="F29414" s="8">
        <v>2</v>
      </c>
    </row>
    <row r="29415" spans="1:6" ht="12.75">
      <c r="A29415" s="8">
        <v>43891.330763888887</v>
      </c>
      <c r="B29415" s="8" t="str">
        <f t="shared" ref="B29415:B29416" si="405">HYPERLINK("https://twitter.com/PolsekCikande","@PolsekCikande")</f>
        <v>@PolsekCikande</v>
      </c>
      <c r="C29415" s="8" t="s">
        <v>11173</v>
      </c>
      <c r="D29415" s="8">
        <v>0</v>
      </c>
      <c r="E29415" s="8">
        <v>0</v>
      </c>
      <c r="F29415" s="8">
        <v>1</v>
      </c>
    </row>
    <row r="29416" spans="1:6" ht="12.75">
      <c r="A29416" s="8">
        <v>43891.330439814818</v>
      </c>
      <c r="B29416" s="8" t="str">
        <f t="shared" si="405"/>
        <v>@PolsekCikande</v>
      </c>
      <c r="C29416" s="8" t="s">
        <v>11173</v>
      </c>
      <c r="D29416" s="8">
        <v>0</v>
      </c>
      <c r="E29416" s="8">
        <v>0</v>
      </c>
      <c r="F29416" s="8">
        <v>1</v>
      </c>
    </row>
    <row r="29417" spans="1:6" ht="12.75">
      <c r="A29417" s="8">
        <v>43891.330092592594</v>
      </c>
      <c r="B29417" s="8" t="str">
        <f>HYPERLINK("https://twitter.com/diponegros","@diponegros")</f>
        <v>@diponegros</v>
      </c>
      <c r="C29417" s="8" t="s">
        <v>6836</v>
      </c>
      <c r="D29417" s="8">
        <v>592</v>
      </c>
      <c r="E29417" s="8">
        <v>0</v>
      </c>
      <c r="F29417" s="8">
        <v>648</v>
      </c>
    </row>
    <row r="29418" spans="1:6" ht="12.75">
      <c r="A29418" s="8">
        <v>43891.330057870371</v>
      </c>
      <c r="B29418" s="8" t="str">
        <f>HYPERLINK("https://twitter.com/hemaviton99","@hemaviton99")</f>
        <v>@hemaviton99</v>
      </c>
      <c r="C29418" s="8" t="s">
        <v>10986</v>
      </c>
      <c r="D29418" s="8">
        <v>30</v>
      </c>
      <c r="E29418" s="8">
        <v>0</v>
      </c>
      <c r="F29418" s="8">
        <v>5214</v>
      </c>
    </row>
    <row r="29419" spans="1:6" ht="12.75">
      <c r="A29419" s="8">
        <v>43891.330011574071</v>
      </c>
      <c r="B29419" s="8" t="str">
        <f>HYPERLINK("https://twitter.com/sfrzl_","@sfrzl_")</f>
        <v>@sfrzl_</v>
      </c>
      <c r="C29419" s="8" t="s">
        <v>11088</v>
      </c>
      <c r="D29419" s="8">
        <v>6</v>
      </c>
      <c r="E29419" s="8">
        <v>0</v>
      </c>
      <c r="F29419" s="8">
        <v>436</v>
      </c>
    </row>
    <row r="29420" spans="1:6" ht="12.75">
      <c r="A29420" s="8">
        <v>43891.329872685186</v>
      </c>
      <c r="B29420" s="8" t="str">
        <f>HYPERLINK("https://twitter.com/haikalh88272010","@haikalh88272010")</f>
        <v>@haikalh88272010</v>
      </c>
      <c r="C29420" s="8" t="s">
        <v>11177</v>
      </c>
      <c r="D29420" s="8">
        <v>0</v>
      </c>
      <c r="E29420" s="8">
        <v>0</v>
      </c>
      <c r="F29420" s="8">
        <v>2</v>
      </c>
    </row>
    <row r="29421" spans="1:6" ht="12.75">
      <c r="A29421" s="8">
        <v>43891.329004629632</v>
      </c>
      <c r="B29421" s="8" t="str">
        <f>HYPERLINK("https://twitter.com/joindra_mylife","@joindra_mylife")</f>
        <v>@joindra_mylife</v>
      </c>
      <c r="C29421" s="8" t="s">
        <v>11178</v>
      </c>
      <c r="D29421" s="8">
        <v>0</v>
      </c>
      <c r="E29421" s="8">
        <v>0</v>
      </c>
      <c r="F29421" s="8">
        <v>105</v>
      </c>
    </row>
    <row r="29422" spans="1:6" ht="12.75">
      <c r="A29422" s="8">
        <v>43891.328969907408</v>
      </c>
      <c r="B29422" s="8" t="str">
        <f>HYPERLINK("https://twitter.com/tribunjabar","@tribunjabar")</f>
        <v>@tribunjabar</v>
      </c>
      <c r="C29422" s="8" t="s">
        <v>11179</v>
      </c>
      <c r="D29422" s="8">
        <v>1</v>
      </c>
      <c r="E29422" s="8">
        <v>0</v>
      </c>
      <c r="F29422" s="8">
        <v>63228</v>
      </c>
    </row>
    <row r="29423" spans="1:6" ht="12.75">
      <c r="A29423" s="8">
        <v>43891.328541666662</v>
      </c>
      <c r="B29423" s="8" t="str">
        <f>HYPERLINK("https://twitter.com/_maylaghayatri","@_maylaghayatri")</f>
        <v>@_maylaghayatri</v>
      </c>
      <c r="C29423" s="8" t="s">
        <v>11180</v>
      </c>
      <c r="D29423" s="8">
        <v>0</v>
      </c>
      <c r="E29423" s="8">
        <v>1</v>
      </c>
      <c r="F29423" s="8">
        <v>2328</v>
      </c>
    </row>
    <row r="29424" spans="1:6" ht="12.75">
      <c r="A29424" s="8">
        <v>43891.328414351854</v>
      </c>
      <c r="B29424" s="8" t="str">
        <f>HYPERLINK("https://twitter.com/_wni_","@_wni_")</f>
        <v>@_wni_</v>
      </c>
      <c r="C29424" s="8" t="s">
        <v>11181</v>
      </c>
      <c r="D29424" s="8">
        <v>734</v>
      </c>
      <c r="E29424" s="8">
        <v>0</v>
      </c>
      <c r="F29424" s="8">
        <v>12</v>
      </c>
    </row>
    <row r="29425" spans="1:6" ht="12.75">
      <c r="A29425" s="8">
        <v>43891.328067129631</v>
      </c>
      <c r="B29425" s="8" t="str">
        <f>HYPERLINK("https://twitter.com/yunari_atiss","@yunari_atiss")</f>
        <v>@yunari_atiss</v>
      </c>
      <c r="C29425" s="8" t="s">
        <v>4235</v>
      </c>
      <c r="D29425" s="8">
        <v>1603</v>
      </c>
      <c r="E29425" s="8">
        <v>0</v>
      </c>
      <c r="F29425" s="8">
        <v>607</v>
      </c>
    </row>
    <row r="29426" spans="1:6" ht="12.75">
      <c r="A29426" s="8">
        <v>43891.327881944446</v>
      </c>
      <c r="B29426" s="8" t="str">
        <f>HYPERLINK("https://twitter.com/ramadhantiya","@ramadhantiya")</f>
        <v>@ramadhantiya</v>
      </c>
      <c r="C29426" s="8" t="s">
        <v>11088</v>
      </c>
      <c r="D29426" s="8">
        <v>6</v>
      </c>
      <c r="E29426" s="8">
        <v>0</v>
      </c>
      <c r="F29426" s="8">
        <v>742</v>
      </c>
    </row>
    <row r="29427" spans="1:6" ht="12.75">
      <c r="A29427" s="8">
        <v>43891.327673611115</v>
      </c>
      <c r="B29427" s="8" t="str">
        <f>HYPERLINK("https://twitter.com/Fm98Sonora","@Fm98Sonora")</f>
        <v>@Fm98Sonora</v>
      </c>
      <c r="C29427" s="8" t="s">
        <v>11182</v>
      </c>
      <c r="D29427" s="8">
        <v>3</v>
      </c>
      <c r="E29427" s="8">
        <v>0</v>
      </c>
      <c r="F29427" s="8">
        <v>23</v>
      </c>
    </row>
    <row r="29428" spans="1:6" ht="12.75">
      <c r="A29428" s="8">
        <v>43891.32707175926</v>
      </c>
      <c r="B29428" s="8" t="str">
        <f>HYPERLINK("https://twitter.com/boboho378","@boboho378")</f>
        <v>@boboho378</v>
      </c>
      <c r="C29428" s="8" t="s">
        <v>7686</v>
      </c>
      <c r="D29428" s="8">
        <v>888</v>
      </c>
      <c r="E29428" s="8">
        <v>0</v>
      </c>
      <c r="F29428" s="8">
        <v>176</v>
      </c>
    </row>
    <row r="29429" spans="1:6" ht="12.75">
      <c r="A29429" s="8">
        <v>43891.32677083333</v>
      </c>
      <c r="B29429" s="8" t="str">
        <f>HYPERLINK("https://twitter.com/ino_cents","@ino_cents")</f>
        <v>@ino_cents</v>
      </c>
      <c r="C29429" s="8" t="s">
        <v>2272</v>
      </c>
      <c r="D29429" s="8">
        <v>175</v>
      </c>
      <c r="E29429" s="8">
        <v>0</v>
      </c>
      <c r="F29429" s="8">
        <v>1137</v>
      </c>
    </row>
    <row r="29430" spans="1:6" ht="12.75">
      <c r="A29430" s="8">
        <v>43891.326435185183</v>
      </c>
      <c r="B29430" s="8" t="str">
        <f>HYPERLINK("https://twitter.com/BanDeL1112","@BanDeL1112")</f>
        <v>@BanDeL1112</v>
      </c>
      <c r="C29430" s="8" t="s">
        <v>11183</v>
      </c>
      <c r="D29430" s="8">
        <v>330</v>
      </c>
      <c r="E29430" s="8">
        <v>0</v>
      </c>
      <c r="F29430" s="8">
        <v>1365</v>
      </c>
    </row>
    <row r="29431" spans="1:6" ht="12.75">
      <c r="A29431" s="8">
        <v>43891.325821759259</v>
      </c>
      <c r="B29431" s="8" t="str">
        <f>HYPERLINK("https://twitter.com/ngluyur0272","@ngluyur0272")</f>
        <v>@ngluyur0272</v>
      </c>
      <c r="C29431" s="8" t="s">
        <v>9163</v>
      </c>
      <c r="D29431" s="8">
        <v>42</v>
      </c>
      <c r="E29431" s="8">
        <v>0</v>
      </c>
      <c r="F29431" s="8">
        <v>1226</v>
      </c>
    </row>
    <row r="29432" spans="1:6" ht="12.75">
      <c r="A29432" s="8">
        <v>43891.325810185182</v>
      </c>
      <c r="B29432" s="8" t="str">
        <f>HYPERLINK("https://twitter.com/mlukmanr","@mlukmanr")</f>
        <v>@mlukmanr</v>
      </c>
      <c r="C29432" s="8" t="s">
        <v>11088</v>
      </c>
      <c r="D29432" s="8">
        <v>6</v>
      </c>
      <c r="E29432" s="8">
        <v>0</v>
      </c>
      <c r="F29432" s="8">
        <v>303</v>
      </c>
    </row>
    <row r="29433" spans="1:6" ht="12.75">
      <c r="A29433" s="8">
        <v>43891.325787037036</v>
      </c>
      <c r="B29433" s="8" t="str">
        <f>HYPERLINK("https://twitter.com/muktiadi1","@muktiadi1")</f>
        <v>@muktiadi1</v>
      </c>
      <c r="C29433" s="8" t="s">
        <v>10986</v>
      </c>
      <c r="D29433" s="8">
        <v>30</v>
      </c>
      <c r="E29433" s="8">
        <v>0</v>
      </c>
      <c r="F29433" s="8">
        <v>1256</v>
      </c>
    </row>
    <row r="29434" spans="1:6" ht="12.75">
      <c r="A29434" s="8">
        <v>43891.325613425928</v>
      </c>
      <c r="B29434" s="8" t="str">
        <f>HYPERLINK("https://twitter.com/OsmanHardjojo","@OsmanHardjojo")</f>
        <v>@OsmanHardjojo</v>
      </c>
      <c r="C29434" s="8" t="s">
        <v>2272</v>
      </c>
      <c r="D29434" s="8">
        <v>175</v>
      </c>
      <c r="E29434" s="8">
        <v>0</v>
      </c>
      <c r="F29434" s="8">
        <v>172</v>
      </c>
    </row>
    <row r="29435" spans="1:6" ht="12.75">
      <c r="A29435" s="8">
        <v>43891.325219907405</v>
      </c>
      <c r="B29435" s="8" t="str">
        <f>HYPERLINK("https://twitter.com/verowidya","@verowidya")</f>
        <v>@verowidya</v>
      </c>
      <c r="C29435" s="8" t="s">
        <v>2272</v>
      </c>
      <c r="D29435" s="8">
        <v>175</v>
      </c>
      <c r="E29435" s="8">
        <v>0</v>
      </c>
      <c r="F29435" s="8">
        <v>881</v>
      </c>
    </row>
    <row r="29436" spans="1:6" ht="12.75">
      <c r="A29436" s="8">
        <v>43891.325150462959</v>
      </c>
      <c r="B29436" s="8" t="str">
        <f>HYPERLINK("https://twitter.com/DjanChoek","@DjanChoek")</f>
        <v>@DjanChoek</v>
      </c>
      <c r="C29436" s="8" t="s">
        <v>11183</v>
      </c>
      <c r="D29436" s="8">
        <v>330</v>
      </c>
      <c r="E29436" s="8">
        <v>0</v>
      </c>
      <c r="F29436" s="8">
        <v>24739</v>
      </c>
    </row>
    <row r="29437" spans="1:6" ht="12.75">
      <c r="A29437" s="8">
        <v>43891.324872685189</v>
      </c>
      <c r="B29437" s="8" t="str">
        <f>HYPERLINK("https://twitter.com/Gregorius841","@Gregorius841")</f>
        <v>@Gregorius841</v>
      </c>
      <c r="C29437" s="8" t="s">
        <v>11184</v>
      </c>
      <c r="D29437" s="8">
        <v>7</v>
      </c>
      <c r="E29437" s="8">
        <v>0</v>
      </c>
      <c r="F29437" s="8">
        <v>3874</v>
      </c>
    </row>
    <row r="29438" spans="1:6" ht="12.75">
      <c r="A29438" s="8">
        <v>43891.324733796297</v>
      </c>
      <c r="B29438" s="8" t="str">
        <f>HYPERLINK("https://twitter.com/melprmtsr","@melprmtsr")</f>
        <v>@melprmtsr</v>
      </c>
      <c r="C29438" s="8" t="s">
        <v>2272</v>
      </c>
      <c r="D29438" s="8">
        <v>175</v>
      </c>
      <c r="E29438" s="8">
        <v>0</v>
      </c>
      <c r="F29438" s="8">
        <v>46</v>
      </c>
    </row>
    <row r="29439" spans="1:6" ht="12.75">
      <c r="A29439" s="8">
        <v>43891.324699074074</v>
      </c>
      <c r="B29439" s="8" t="str">
        <f>HYPERLINK("https://twitter.com/MikaBukan","@MikaBukan")</f>
        <v>@MikaBukan</v>
      </c>
      <c r="C29439" s="8" t="s">
        <v>2272</v>
      </c>
      <c r="D29439" s="8">
        <v>175</v>
      </c>
      <c r="E29439" s="8">
        <v>0</v>
      </c>
      <c r="F29439" s="8">
        <v>43</v>
      </c>
    </row>
    <row r="29440" spans="1:6" ht="12.75">
      <c r="A29440" s="8">
        <v>43891.324675925927</v>
      </c>
      <c r="B29440" s="8" t="str">
        <f>HYPERLINK("https://twitter.com/justbob616","@justbob616")</f>
        <v>@justbob616</v>
      </c>
      <c r="C29440" s="8" t="s">
        <v>8096</v>
      </c>
      <c r="D29440" s="8">
        <v>17</v>
      </c>
      <c r="E29440" s="8">
        <v>0</v>
      </c>
      <c r="F29440" s="8">
        <v>874</v>
      </c>
    </row>
    <row r="29441" spans="1:6" ht="12.75">
      <c r="A29441" s="8">
        <v>43891.324108796296</v>
      </c>
      <c r="B29441" s="8" t="str">
        <f>HYPERLINK("https://twitter.com/ALtheDiscreet","@ALtheDiscreet")</f>
        <v>@ALtheDiscreet</v>
      </c>
      <c r="C29441" s="8" t="s">
        <v>2272</v>
      </c>
      <c r="D29441" s="8">
        <v>175</v>
      </c>
      <c r="E29441" s="8">
        <v>0</v>
      </c>
      <c r="F29441" s="8">
        <v>1557</v>
      </c>
    </row>
    <row r="29442" spans="1:6" ht="12.75">
      <c r="A29442" s="8">
        <v>43891.324004629627</v>
      </c>
      <c r="B29442" s="8" t="str">
        <f>HYPERLINK("https://twitter.com/neocyclopentana","@neocyclopentana")</f>
        <v>@neocyclopentana</v>
      </c>
      <c r="C29442" s="8" t="s">
        <v>6836</v>
      </c>
      <c r="D29442" s="8">
        <v>592</v>
      </c>
      <c r="E29442" s="8">
        <v>0</v>
      </c>
      <c r="F29442" s="8">
        <v>275</v>
      </c>
    </row>
    <row r="29443" spans="1:6" ht="12.75">
      <c r="A29443" s="8">
        <v>43891.323865740742</v>
      </c>
      <c r="B29443" s="8" t="str">
        <f>HYPERLINK("https://twitter.com/zainala66","@zainala66")</f>
        <v>@zainala66</v>
      </c>
      <c r="C29443" s="8" t="s">
        <v>8096</v>
      </c>
      <c r="D29443" s="8">
        <v>17</v>
      </c>
      <c r="E29443" s="8">
        <v>0</v>
      </c>
      <c r="F29443" s="8">
        <v>151</v>
      </c>
    </row>
    <row r="29444" spans="1:6" ht="12.75">
      <c r="A29444" s="8">
        <v>43891.323275462964</v>
      </c>
      <c r="B29444" s="8" t="str">
        <f>HYPERLINK("https://twitter.com/donny_sy","@donny_sy")</f>
        <v>@donny_sy</v>
      </c>
      <c r="C29444" s="8" t="s">
        <v>10600</v>
      </c>
      <c r="D29444" s="8">
        <v>214</v>
      </c>
      <c r="E29444" s="8">
        <v>0</v>
      </c>
      <c r="F29444" s="8">
        <v>237</v>
      </c>
    </row>
    <row r="29445" spans="1:6" ht="12.75">
      <c r="A29445" s="8">
        <v>43891.323101851856</v>
      </c>
      <c r="B29445" s="8" t="str">
        <f>HYPERLINK("https://twitter.com/dps0106","@dps0106")</f>
        <v>@dps0106</v>
      </c>
      <c r="C29445" s="8" t="s">
        <v>11185</v>
      </c>
      <c r="D29445" s="8">
        <v>0</v>
      </c>
      <c r="E29445" s="8">
        <v>0</v>
      </c>
      <c r="F29445" s="8">
        <v>84</v>
      </c>
    </row>
    <row r="29446" spans="1:6" ht="12.75">
      <c r="A29446" s="8">
        <v>43891.322962962964</v>
      </c>
      <c r="B29446" s="8" t="str">
        <f>HYPERLINK("https://twitter.com/presidentyrex","@presidentyrex")</f>
        <v>@presidentyrex</v>
      </c>
      <c r="C29446" s="8" t="s">
        <v>11186</v>
      </c>
      <c r="D29446" s="8">
        <v>0</v>
      </c>
      <c r="E29446" s="8">
        <v>0</v>
      </c>
      <c r="F29446" s="8">
        <v>339</v>
      </c>
    </row>
    <row r="29447" spans="1:6" ht="12.75">
      <c r="A29447" s="8">
        <v>43891.322650462964</v>
      </c>
      <c r="B29447" s="8" t="str">
        <f>HYPERLINK("https://twitter.com/navyaaam","@navyaaam")</f>
        <v>@navyaaam</v>
      </c>
      <c r="C29447" s="8" t="s">
        <v>11187</v>
      </c>
      <c r="D29447" s="8">
        <v>1</v>
      </c>
      <c r="E29447" s="8">
        <v>0</v>
      </c>
      <c r="F29447" s="8">
        <v>426</v>
      </c>
    </row>
    <row r="29448" spans="1:6" ht="12.75">
      <c r="A29448" s="8">
        <v>43891.322627314818</v>
      </c>
      <c r="B29448" s="8" t="str">
        <f>HYPERLINK("https://twitter.com/ronysaragih","@ronysaragih")</f>
        <v>@ronysaragih</v>
      </c>
      <c r="C29448" s="8" t="s">
        <v>7686</v>
      </c>
      <c r="D29448" s="8">
        <v>888</v>
      </c>
      <c r="E29448" s="8">
        <v>0</v>
      </c>
      <c r="F29448" s="8">
        <v>180</v>
      </c>
    </row>
    <row r="29449" spans="1:6" ht="12.75">
      <c r="A29449" s="8">
        <v>43891.322476851856</v>
      </c>
      <c r="B29449" s="8" t="str">
        <f>HYPERLINK("https://twitter.com/gitalmrptr","@gitalmrptr")</f>
        <v>@gitalmrptr</v>
      </c>
      <c r="C29449" s="8" t="s">
        <v>2272</v>
      </c>
      <c r="D29449" s="8">
        <v>175</v>
      </c>
      <c r="E29449" s="8">
        <v>0</v>
      </c>
      <c r="F29449" s="8">
        <v>522</v>
      </c>
    </row>
    <row r="29450" spans="1:6" ht="12.75">
      <c r="A29450" s="8">
        <v>43891.322372685187</v>
      </c>
      <c r="B29450" s="8" t="str">
        <f>HYPERLINK("https://twitter.com/RAISYAELBIX1","@RAISYAELBIX1")</f>
        <v>@RAISYAELBIX1</v>
      </c>
      <c r="C29450" s="8" t="s">
        <v>11188</v>
      </c>
      <c r="D29450" s="8">
        <v>0</v>
      </c>
      <c r="E29450" s="8">
        <v>1</v>
      </c>
      <c r="F29450" s="8">
        <v>6285</v>
      </c>
    </row>
    <row r="29451" spans="1:6" ht="12.75">
      <c r="A29451" s="8">
        <v>43891.322013888886</v>
      </c>
      <c r="B29451" s="8" t="str">
        <f>HYPERLINK("https://twitter.com/indrawang","@indrawang")</f>
        <v>@indrawang</v>
      </c>
      <c r="C29451" s="8" t="s">
        <v>11189</v>
      </c>
      <c r="D29451" s="8">
        <v>1</v>
      </c>
      <c r="E29451" s="8">
        <v>0</v>
      </c>
      <c r="F29451" s="8">
        <v>1134</v>
      </c>
    </row>
    <row r="29452" spans="1:6" ht="12.75">
      <c r="A29452" s="8">
        <v>43891.32130787037</v>
      </c>
      <c r="B29452" s="8" t="str">
        <f>HYPERLINK("https://twitter.com/hermantwitt","@hermantwitt")</f>
        <v>@hermantwitt</v>
      </c>
      <c r="C29452" s="8" t="s">
        <v>11190</v>
      </c>
      <c r="D29452" s="8">
        <v>0</v>
      </c>
      <c r="E29452" s="8">
        <v>0</v>
      </c>
      <c r="F29452" s="8">
        <v>130</v>
      </c>
    </row>
    <row r="29453" spans="1:6" ht="12.75">
      <c r="A29453" s="8">
        <v>43891.321192129632</v>
      </c>
      <c r="B29453" s="8" t="str">
        <f>HYPERLINK("https://twitter.com/smartfmjogja","@smartfmjogja")</f>
        <v>@smartfmjogja</v>
      </c>
      <c r="C29453" s="8" t="s">
        <v>11191</v>
      </c>
      <c r="D29453" s="8">
        <v>0</v>
      </c>
      <c r="E29453" s="8">
        <v>0</v>
      </c>
      <c r="F29453" s="8">
        <v>7285</v>
      </c>
    </row>
    <row r="29454" spans="1:6" ht="12.75">
      <c r="A29454" s="8">
        <v>43891.321018518516</v>
      </c>
      <c r="B29454" s="8" t="str">
        <f>HYPERLINK("https://twitter.com/Agisnaramasa071","@Agisnaramasa071")</f>
        <v>@Agisnaramasa071</v>
      </c>
      <c r="C29454" s="8" t="s">
        <v>10510</v>
      </c>
      <c r="D29454" s="8">
        <v>14</v>
      </c>
      <c r="E29454" s="8">
        <v>0</v>
      </c>
      <c r="F29454" s="8">
        <v>1863</v>
      </c>
    </row>
    <row r="29455" spans="1:6" ht="12.75">
      <c r="A29455" s="8">
        <v>43891.320717592593</v>
      </c>
      <c r="B29455" s="8" t="str">
        <f>HYPERLINK("https://twitter.com/bolgem","@bolgem")</f>
        <v>@bolgem</v>
      </c>
      <c r="C29455" s="8" t="s">
        <v>7437</v>
      </c>
      <c r="D29455" s="8">
        <v>353</v>
      </c>
      <c r="E29455" s="8">
        <v>0</v>
      </c>
      <c r="F29455" s="8">
        <v>479</v>
      </c>
    </row>
    <row r="29456" spans="1:6" ht="12.75">
      <c r="A29456" s="8">
        <v>43891.320659722223</v>
      </c>
      <c r="B29456" s="8" t="str">
        <f>HYPERLINK("https://twitter.com/Laksmidf","@Laksmidf")</f>
        <v>@Laksmidf</v>
      </c>
      <c r="C29456" s="8" t="s">
        <v>11117</v>
      </c>
      <c r="D29456" s="8">
        <v>88</v>
      </c>
      <c r="E29456" s="8">
        <v>0</v>
      </c>
      <c r="F29456" s="8">
        <v>19</v>
      </c>
    </row>
    <row r="29457" spans="1:6" ht="12.75">
      <c r="A29457" s="8">
        <v>43891.320625</v>
      </c>
      <c r="B29457" s="8" t="str">
        <f>HYPERLINK("https://twitter.com/alkautsarderian","@alkautsarderian")</f>
        <v>@alkautsarderian</v>
      </c>
      <c r="C29457" s="8" t="s">
        <v>10600</v>
      </c>
      <c r="D29457" s="8">
        <v>214</v>
      </c>
      <c r="E29457" s="8">
        <v>0</v>
      </c>
      <c r="F29457" s="8">
        <v>89</v>
      </c>
    </row>
    <row r="29458" spans="1:6" ht="12.75">
      <c r="A29458" s="8">
        <v>43891.320613425924</v>
      </c>
      <c r="B29458" s="8" t="str">
        <f>HYPERLINK("https://twitter.com/heavenlypeach_","@heavenlypeach_")</f>
        <v>@heavenlypeach_</v>
      </c>
      <c r="C29458" s="8" t="s">
        <v>2272</v>
      </c>
      <c r="D29458" s="8">
        <v>175</v>
      </c>
      <c r="E29458" s="8">
        <v>0</v>
      </c>
      <c r="F29458" s="8">
        <v>52</v>
      </c>
    </row>
    <row r="29459" spans="1:6" ht="12.75">
      <c r="A29459" s="8">
        <v>43891.320532407408</v>
      </c>
      <c r="B29459" s="8" t="str">
        <f>HYPERLINK("https://twitter.com/jennyfebe","@jennyfebe")</f>
        <v>@jennyfebe</v>
      </c>
      <c r="C29459" s="8" t="s">
        <v>7686</v>
      </c>
      <c r="D29459" s="8">
        <v>888</v>
      </c>
      <c r="E29459" s="8">
        <v>0</v>
      </c>
      <c r="F29459" s="8">
        <v>463</v>
      </c>
    </row>
    <row r="29460" spans="1:6" ht="12.75">
      <c r="A29460" s="8">
        <v>43891.320393518516</v>
      </c>
      <c r="B29460" s="8" t="str">
        <f>HYPERLINK("https://twitter.com/ayudew11","@ayudew11")</f>
        <v>@ayudew11</v>
      </c>
      <c r="C29460" s="8" t="s">
        <v>8096</v>
      </c>
      <c r="D29460" s="8">
        <v>17</v>
      </c>
      <c r="E29460" s="8">
        <v>0</v>
      </c>
      <c r="F29460" s="8">
        <v>21</v>
      </c>
    </row>
    <row r="29461" spans="1:6" ht="12.75">
      <c r="A29461" s="8">
        <v>43891.320289351846</v>
      </c>
      <c r="B29461" s="8" t="str">
        <f>HYPERLINK("https://twitter.com/Taufiq56437165","@Taufiq56437165")</f>
        <v>@Taufiq56437165</v>
      </c>
      <c r="C29461" s="8" t="s">
        <v>10600</v>
      </c>
      <c r="D29461" s="8">
        <v>214</v>
      </c>
      <c r="E29461" s="8">
        <v>0</v>
      </c>
      <c r="F29461" s="8">
        <v>8</v>
      </c>
    </row>
    <row r="29462" spans="1:6" ht="12.75">
      <c r="A29462" s="8">
        <v>43891.320243055554</v>
      </c>
      <c r="B29462" s="8" t="str">
        <f>HYPERLINK("https://twitter.com/jennyfebe","@jennyfebe")</f>
        <v>@jennyfebe</v>
      </c>
      <c r="C29462" s="8" t="s">
        <v>11192</v>
      </c>
      <c r="D29462" s="8">
        <v>9</v>
      </c>
      <c r="E29462" s="8">
        <v>0</v>
      </c>
      <c r="F29462" s="8">
        <v>463</v>
      </c>
    </row>
    <row r="29463" spans="1:6" ht="12.75">
      <c r="A29463" s="8">
        <v>43891.319537037038</v>
      </c>
      <c r="B29463" s="8" t="str">
        <f>HYPERLINK("https://twitter.com/Ngehi_Lawu","@Ngehi_Lawu")</f>
        <v>@Ngehi_Lawu</v>
      </c>
      <c r="C29463" s="8" t="s">
        <v>10903</v>
      </c>
      <c r="D29463" s="8">
        <v>9</v>
      </c>
      <c r="E29463" s="8">
        <v>0</v>
      </c>
      <c r="F29463" s="8">
        <v>5025</v>
      </c>
    </row>
    <row r="29464" spans="1:6" ht="12.75">
      <c r="A29464" s="8">
        <v>43891.319409722222</v>
      </c>
      <c r="B29464" s="8" t="str">
        <f>HYPERLINK("https://twitter.com/SahabatMiramar","@SahabatMiramar")</f>
        <v>@SahabatMiramar</v>
      </c>
      <c r="C29464" s="8" t="s">
        <v>11193</v>
      </c>
      <c r="D29464" s="8">
        <v>0</v>
      </c>
      <c r="E29464" s="8">
        <v>2</v>
      </c>
      <c r="F29464" s="8">
        <v>152</v>
      </c>
    </row>
    <row r="29465" spans="1:6" ht="12.75">
      <c r="A29465" s="8">
        <v>43891.319050925929</v>
      </c>
      <c r="B29465" s="8" t="str">
        <f>HYPERLINK("https://twitter.com/Tonim1908","@Tonim1908")</f>
        <v>@Tonim1908</v>
      </c>
      <c r="C29465" s="8" t="s">
        <v>2272</v>
      </c>
      <c r="D29465" s="8">
        <v>175</v>
      </c>
      <c r="E29465" s="8">
        <v>0</v>
      </c>
      <c r="F29465" s="8">
        <v>826</v>
      </c>
    </row>
    <row r="29466" spans="1:6" ht="12.75">
      <c r="A29466" s="8">
        <v>43891.318252314813</v>
      </c>
      <c r="B29466" s="8" t="str">
        <f>HYPERLINK("https://twitter.com/sugiono_69","@sugiono_69")</f>
        <v>@sugiono_69</v>
      </c>
      <c r="C29466" s="8" t="s">
        <v>11194</v>
      </c>
      <c r="D29466" s="8">
        <v>6</v>
      </c>
      <c r="E29466" s="8">
        <v>0</v>
      </c>
      <c r="F29466" s="8">
        <v>672</v>
      </c>
    </row>
    <row r="29467" spans="1:6" ht="12.75">
      <c r="A29467" s="8">
        <v>43891.31795138889</v>
      </c>
      <c r="B29467" s="8" t="str">
        <f>HYPERLINK("https://twitter.com/MaizarMuhammad","@MaizarMuhammad")</f>
        <v>@MaizarMuhammad</v>
      </c>
      <c r="C29467" s="8" t="s">
        <v>11195</v>
      </c>
      <c r="D29467" s="8">
        <v>0</v>
      </c>
      <c r="E29467" s="8">
        <v>0</v>
      </c>
      <c r="F29467" s="8">
        <v>45</v>
      </c>
    </row>
    <row r="29468" spans="1:6" ht="12.75">
      <c r="A29468" s="8">
        <v>43891.31795138889</v>
      </c>
      <c r="B29468" s="8" t="str">
        <f>HYPERLINK("https://twitter.com/SunandarPS","@SunandarPS")</f>
        <v>@SunandarPS</v>
      </c>
      <c r="C29468" s="8" t="s">
        <v>8096</v>
      </c>
      <c r="D29468" s="8">
        <v>17</v>
      </c>
      <c r="E29468" s="8">
        <v>0</v>
      </c>
      <c r="F29468" s="8">
        <v>1092</v>
      </c>
    </row>
    <row r="29469" spans="1:6" ht="12.75">
      <c r="A29469" s="8">
        <v>43891.317731481482</v>
      </c>
      <c r="B29469" s="8" t="str">
        <f>HYPERLINK("https://twitter.com/Safina90875250","@Safina90875250")</f>
        <v>@Safina90875250</v>
      </c>
      <c r="C29469" s="8" t="s">
        <v>8190</v>
      </c>
      <c r="D29469" s="8">
        <v>269</v>
      </c>
      <c r="E29469" s="8">
        <v>0</v>
      </c>
      <c r="F29469" s="8">
        <v>22</v>
      </c>
    </row>
    <row r="29470" spans="1:6" ht="12.75">
      <c r="A29470" s="8">
        <v>43891.317569444444</v>
      </c>
      <c r="B29470" s="8" t="str">
        <f>HYPERLINK("https://twitter.com/kitabukansiapa2","@kitabukansiapa2")</f>
        <v>@kitabukansiapa2</v>
      </c>
      <c r="C29470" s="8" t="s">
        <v>11088</v>
      </c>
      <c r="D29470" s="8">
        <v>6</v>
      </c>
      <c r="E29470" s="8">
        <v>0</v>
      </c>
      <c r="F29470" s="8">
        <v>52</v>
      </c>
    </row>
    <row r="29471" spans="1:6" ht="12.75">
      <c r="A29471" s="8">
        <v>43891.317060185189</v>
      </c>
      <c r="B29471" s="8" t="str">
        <f>HYPERLINK("https://twitter.com/dawuhkami","@dawuhkami")</f>
        <v>@dawuhkami</v>
      </c>
      <c r="C29471" s="8" t="s">
        <v>10600</v>
      </c>
      <c r="D29471" s="8">
        <v>214</v>
      </c>
      <c r="E29471" s="8">
        <v>0</v>
      </c>
      <c r="F29471" s="8">
        <v>114</v>
      </c>
    </row>
    <row r="29472" spans="1:6" ht="12.75">
      <c r="A29472" s="8">
        <v>43891.316423611112</v>
      </c>
      <c r="B29472" s="8" t="str">
        <f>HYPERLINK("https://twitter.com/Budihar21525608","@Budihar21525608")</f>
        <v>@Budihar21525608</v>
      </c>
      <c r="C29472" s="8" t="s">
        <v>11086</v>
      </c>
      <c r="D29472" s="8">
        <v>23</v>
      </c>
      <c r="E29472" s="8">
        <v>0</v>
      </c>
      <c r="F29472" s="8">
        <v>6226</v>
      </c>
    </row>
    <row r="29473" spans="1:6" ht="12.75">
      <c r="A29473" s="8">
        <v>43891.315902777773</v>
      </c>
      <c r="B29473" s="8" t="str">
        <f>HYPERLINK("https://twitter.com/ganursidik","@ganursidik")</f>
        <v>@ganursidik</v>
      </c>
      <c r="C29473" s="8" t="s">
        <v>11196</v>
      </c>
      <c r="D29473" s="8">
        <v>0</v>
      </c>
      <c r="E29473" s="8">
        <v>1</v>
      </c>
      <c r="F29473" s="8">
        <v>28</v>
      </c>
    </row>
    <row r="29474" spans="1:6" ht="12.75">
      <c r="A29474" s="8">
        <v>43891.315844907411</v>
      </c>
      <c r="B29474" s="8" t="str">
        <f>HYPERLINK("https://twitter.com/Bagas36406270","@Bagas36406270")</f>
        <v>@Bagas36406270</v>
      </c>
      <c r="C29474" s="8" t="s">
        <v>10903</v>
      </c>
      <c r="D29474" s="8">
        <v>9</v>
      </c>
      <c r="E29474" s="8">
        <v>0</v>
      </c>
      <c r="F29474" s="8">
        <v>1287</v>
      </c>
    </row>
    <row r="29475" spans="1:6" ht="12.75">
      <c r="A29475" s="8">
        <v>43891.298449074078</v>
      </c>
      <c r="B29475" s="8" t="str">
        <f>HYPERLINK("https://twitter.com/Arbanat","@Arbanat")</f>
        <v>@Arbanat</v>
      </c>
      <c r="C29475" s="8" t="s">
        <v>10600</v>
      </c>
      <c r="D29475" s="8">
        <v>204</v>
      </c>
      <c r="E29475" s="8">
        <v>0</v>
      </c>
      <c r="F29475" s="8">
        <v>940</v>
      </c>
    </row>
    <row r="29476" spans="1:6" ht="12.75">
      <c r="A29476" s="8">
        <v>43891.297951388886</v>
      </c>
      <c r="B29476" s="8" t="str">
        <f>HYPERLINK("https://twitter.com/Gonopane1","@Gonopane1")</f>
        <v>@Gonopane1</v>
      </c>
      <c r="C29476" s="8" t="s">
        <v>11197</v>
      </c>
      <c r="D29476" s="8">
        <v>0</v>
      </c>
      <c r="E29476" s="8">
        <v>0</v>
      </c>
      <c r="F29476" s="8">
        <v>603</v>
      </c>
    </row>
    <row r="29477" spans="1:6" ht="12.75">
      <c r="A29477" s="8">
        <v>43891.297858796301</v>
      </c>
      <c r="B29477" s="8" t="str">
        <f>HYPERLINK("https://twitter.com/TyasFebrian","@TyasFebrian")</f>
        <v>@TyasFebrian</v>
      </c>
      <c r="C29477" s="8" t="s">
        <v>11198</v>
      </c>
      <c r="D29477" s="8">
        <v>0</v>
      </c>
      <c r="E29477" s="8">
        <v>0</v>
      </c>
      <c r="F29477" s="8">
        <v>168</v>
      </c>
    </row>
    <row r="29478" spans="1:6" ht="12.75">
      <c r="A29478" s="8">
        <v>43891.297766203701</v>
      </c>
      <c r="B29478" s="8" t="str">
        <f>HYPERLINK("https://twitter.com/mimiweeka","@mimiweeka")</f>
        <v>@mimiweeka</v>
      </c>
      <c r="C29478" s="8" t="s">
        <v>8096</v>
      </c>
      <c r="D29478" s="8">
        <v>7</v>
      </c>
      <c r="E29478" s="8">
        <v>0</v>
      </c>
      <c r="F29478" s="8">
        <v>455</v>
      </c>
    </row>
    <row r="29479" spans="1:6" ht="12.75">
      <c r="A29479" s="8">
        <v>43891.297708333332</v>
      </c>
      <c r="B29479" s="8" t="str">
        <f>HYPERLINK("https://twitter.com/hendryan_edy","@hendryan_edy")</f>
        <v>@hendryan_edy</v>
      </c>
      <c r="C29479" s="8" t="s">
        <v>11199</v>
      </c>
      <c r="D29479" s="8">
        <v>0</v>
      </c>
      <c r="E29479" s="8">
        <v>0</v>
      </c>
      <c r="F29479" s="8">
        <v>446</v>
      </c>
    </row>
    <row r="29480" spans="1:6" ht="12.75">
      <c r="A29480" s="8">
        <v>43891.29755787037</v>
      </c>
      <c r="B29480" s="8" t="str">
        <f>HYPERLINK("https://twitter.com/ety89yoyo","@ety89yoyo")</f>
        <v>@ety89yoyo</v>
      </c>
      <c r="C29480" s="8" t="s">
        <v>10600</v>
      </c>
      <c r="D29480" s="8">
        <v>204</v>
      </c>
      <c r="E29480" s="8">
        <v>0</v>
      </c>
      <c r="F29480" s="8">
        <v>348</v>
      </c>
    </row>
    <row r="29481" spans="1:6" ht="12.75">
      <c r="A29481" s="8">
        <v>43891.297372685185</v>
      </c>
      <c r="B29481" s="8" t="str">
        <f>HYPERLINK("https://twitter.com/BadjaNuswantara","@BadjaNuswantara")</f>
        <v>@BadjaNuswantara</v>
      </c>
      <c r="C29481" s="8" t="s">
        <v>11200</v>
      </c>
      <c r="D29481" s="8">
        <v>7</v>
      </c>
      <c r="E29481" s="8">
        <v>0</v>
      </c>
      <c r="F29481" s="8">
        <v>43516</v>
      </c>
    </row>
    <row r="29482" spans="1:6" ht="12.75">
      <c r="A29482" s="8">
        <v>43891.297280092593</v>
      </c>
      <c r="B29482" s="8" t="str">
        <f>HYPERLINK("https://twitter.com/JokoSus55968523","@JokoSus55968523")</f>
        <v>@JokoSus55968523</v>
      </c>
      <c r="C29482" s="8" t="s">
        <v>11201</v>
      </c>
      <c r="D29482" s="8">
        <v>3</v>
      </c>
      <c r="E29482" s="8">
        <v>0</v>
      </c>
      <c r="F29482" s="8">
        <v>26</v>
      </c>
    </row>
    <row r="29483" spans="1:6" ht="12.75">
      <c r="A29483" s="8">
        <v>43891.297199074077</v>
      </c>
      <c r="B29483" s="8" t="str">
        <f>HYPERLINK("https://twitter.com/octagel","@octagel")</f>
        <v>@octagel</v>
      </c>
      <c r="C29483" s="8" t="s">
        <v>2272</v>
      </c>
      <c r="D29483" s="8">
        <v>137</v>
      </c>
      <c r="E29483" s="8">
        <v>0</v>
      </c>
      <c r="F29483" s="8">
        <v>80</v>
      </c>
    </row>
    <row r="29484" spans="1:6" ht="12.75">
      <c r="A29484" s="8">
        <v>43891.297071759254</v>
      </c>
      <c r="B29484" s="8" t="str">
        <f>HYPERLINK("https://twitter.com/yudhapati88","@yudhapati88")</f>
        <v>@yudhapati88</v>
      </c>
      <c r="C29484" s="8" t="s">
        <v>11202</v>
      </c>
      <c r="D29484" s="8">
        <v>2</v>
      </c>
      <c r="E29484" s="8">
        <v>0</v>
      </c>
      <c r="F29484" s="8">
        <v>3435</v>
      </c>
    </row>
    <row r="29485" spans="1:6" ht="12.75">
      <c r="A29485" s="8">
        <v>43891.296909722223</v>
      </c>
      <c r="B29485" s="8" t="str">
        <f>HYPERLINK("https://twitter.com/CallOfDutyRI","@CallOfDutyRI")</f>
        <v>@CallOfDutyRI</v>
      </c>
      <c r="C29485" s="8" t="s">
        <v>11203</v>
      </c>
      <c r="D29485" s="8">
        <v>11</v>
      </c>
      <c r="E29485" s="8">
        <v>0</v>
      </c>
      <c r="F29485" s="8">
        <v>400</v>
      </c>
    </row>
    <row r="29486" spans="1:6" ht="12.75">
      <c r="A29486" s="8">
        <v>43891.296898148154</v>
      </c>
      <c r="B29486" s="8" t="str">
        <f>HYPERLINK("https://twitter.com/Oetaryo7","@Oetaryo7")</f>
        <v>@Oetaryo7</v>
      </c>
      <c r="C29486" s="8" t="s">
        <v>9163</v>
      </c>
      <c r="D29486" s="8">
        <v>40</v>
      </c>
      <c r="E29486" s="8">
        <v>0</v>
      </c>
      <c r="F29486" s="8">
        <v>2228</v>
      </c>
    </row>
    <row r="29487" spans="1:6" ht="12.75">
      <c r="A29487" s="8">
        <v>43891.296747685185</v>
      </c>
      <c r="B29487" s="8" t="str">
        <f>HYPERLINK("https://twitter.com/sherlydarmali","@sherlydarmali")</f>
        <v>@sherlydarmali</v>
      </c>
      <c r="C29487" s="8" t="s">
        <v>2272</v>
      </c>
      <c r="D29487" s="8">
        <v>137</v>
      </c>
      <c r="E29487" s="8">
        <v>0</v>
      </c>
      <c r="F29487" s="8">
        <v>563</v>
      </c>
    </row>
    <row r="29488" spans="1:6" ht="12.75">
      <c r="A29488" s="8">
        <v>43891.2965162037</v>
      </c>
      <c r="B29488" s="8" t="str">
        <f>HYPERLINK("https://twitter.com/akunsudi","@akunsudi")</f>
        <v>@akunsudi</v>
      </c>
      <c r="C29488" s="8" t="s">
        <v>8096</v>
      </c>
      <c r="D29488" s="8">
        <v>7</v>
      </c>
      <c r="E29488" s="8">
        <v>0</v>
      </c>
      <c r="F29488" s="8">
        <v>1323</v>
      </c>
    </row>
    <row r="29489" spans="1:6" ht="12.75">
      <c r="A29489" s="8">
        <v>43891.296226851853</v>
      </c>
      <c r="B29489" s="8" t="str">
        <f>HYPERLINK("https://twitter.com/khay_90","@khay_90")</f>
        <v>@khay_90</v>
      </c>
      <c r="C29489" s="8" t="s">
        <v>11105</v>
      </c>
      <c r="D29489" s="8">
        <v>176</v>
      </c>
      <c r="E29489" s="8">
        <v>0</v>
      </c>
      <c r="F29489" s="8">
        <v>137</v>
      </c>
    </row>
    <row r="29490" spans="1:6" ht="12.75">
      <c r="A29490" s="8">
        <v>43891.296157407407</v>
      </c>
      <c r="B29490" s="8" t="str">
        <f>HYPERLINK("https://twitter.com/mucht4r64","@mucht4r64")</f>
        <v>@mucht4r64</v>
      </c>
      <c r="C29490" s="8" t="s">
        <v>7686</v>
      </c>
      <c r="D29490" s="8">
        <v>876</v>
      </c>
      <c r="E29490" s="8">
        <v>0</v>
      </c>
      <c r="F29490" s="8">
        <v>115</v>
      </c>
    </row>
    <row r="29491" spans="1:6" ht="12.75">
      <c r="A29491" s="8">
        <v>43891.29614583333</v>
      </c>
      <c r="B29491" s="8" t="str">
        <f>HYPERLINK("https://twitter.com/BadjaNuswantara","@BadjaNuswantara")</f>
        <v>@BadjaNuswantara</v>
      </c>
      <c r="C29491" s="8" t="s">
        <v>8190</v>
      </c>
      <c r="D29491" s="8">
        <v>262</v>
      </c>
      <c r="E29491" s="8">
        <v>0</v>
      </c>
      <c r="F29491" s="8">
        <v>43516</v>
      </c>
    </row>
    <row r="29492" spans="1:6" ht="12.75">
      <c r="A29492" s="8">
        <v>43891.296041666668</v>
      </c>
      <c r="B29492" s="8" t="str">
        <f>HYPERLINK("https://twitter.com/TukangRT33","@TukangRT33")</f>
        <v>@TukangRT33</v>
      </c>
      <c r="C29492" s="8" t="s">
        <v>6836</v>
      </c>
      <c r="D29492" s="8">
        <v>580</v>
      </c>
      <c r="E29492" s="8">
        <v>0</v>
      </c>
      <c r="F29492" s="8">
        <v>298</v>
      </c>
    </row>
    <row r="29493" spans="1:6" ht="12.75">
      <c r="A29493" s="8">
        <v>43891.295752314814</v>
      </c>
      <c r="B29493" s="8" t="str">
        <f>HYPERLINK("https://twitter.com/opik_oman","@opik_oman")</f>
        <v>@opik_oman</v>
      </c>
      <c r="C29493" s="8" t="s">
        <v>11204</v>
      </c>
      <c r="D29493" s="8">
        <v>0</v>
      </c>
      <c r="E29493" s="8">
        <v>0</v>
      </c>
      <c r="F29493" s="8">
        <v>282</v>
      </c>
    </row>
    <row r="29494" spans="1:6" ht="12.75">
      <c r="A29494" s="8">
        <v>43891.295740740738</v>
      </c>
      <c r="B29494" s="8" t="str">
        <f>HYPERLINK("https://twitter.com/BadjaNuswantara","@BadjaNuswantara")</f>
        <v>@BadjaNuswantara</v>
      </c>
      <c r="C29494" s="8" t="s">
        <v>11151</v>
      </c>
      <c r="D29494" s="8">
        <v>19</v>
      </c>
      <c r="E29494" s="8">
        <v>0</v>
      </c>
      <c r="F29494" s="8">
        <v>43516</v>
      </c>
    </row>
    <row r="29495" spans="1:6" ht="12.75">
      <c r="A29495" s="8">
        <v>43891.295706018514</v>
      </c>
      <c r="B29495" s="8" t="str">
        <f>HYPERLINK("https://twitter.com/damario04","@damario04")</f>
        <v>@damario04</v>
      </c>
      <c r="C29495" s="8" t="s">
        <v>166</v>
      </c>
      <c r="D29495" s="8">
        <v>0</v>
      </c>
      <c r="E29495" s="8">
        <v>0</v>
      </c>
      <c r="F29495" s="8">
        <v>403</v>
      </c>
    </row>
    <row r="29496" spans="1:6" ht="12.75">
      <c r="A29496" s="8">
        <v>43891.295706018514</v>
      </c>
      <c r="B29496" s="8" t="str">
        <f>HYPERLINK("https://twitter.com/andraTM032","@andraTM032")</f>
        <v>@andraTM032</v>
      </c>
      <c r="C29496" s="8" t="s">
        <v>6836</v>
      </c>
      <c r="D29496" s="8">
        <v>580</v>
      </c>
      <c r="E29496" s="8">
        <v>0</v>
      </c>
      <c r="F29496" s="8">
        <v>831</v>
      </c>
    </row>
    <row r="29497" spans="1:6" ht="12.75">
      <c r="A29497" s="8">
        <v>43891.295682870375</v>
      </c>
      <c r="B29497" s="8" t="str">
        <f>HYPERLINK("https://twitter.com/aryokendhil1","@aryokendhil1")</f>
        <v>@aryokendhil1</v>
      </c>
      <c r="C29497" s="8" t="s">
        <v>8190</v>
      </c>
      <c r="D29497" s="8">
        <v>262</v>
      </c>
      <c r="E29497" s="8">
        <v>0</v>
      </c>
      <c r="F29497" s="8">
        <v>197</v>
      </c>
    </row>
    <row r="29498" spans="1:6" ht="12.75">
      <c r="A29498" s="8">
        <v>43891.295393518521</v>
      </c>
      <c r="B29498" s="8" t="str">
        <f>HYPERLINK("https://twitter.com/chaos_in_hell","@chaos_in_hell")</f>
        <v>@chaos_in_hell</v>
      </c>
      <c r="C29498" s="8" t="s">
        <v>2272</v>
      </c>
      <c r="D29498" s="8">
        <v>137</v>
      </c>
      <c r="E29498" s="8">
        <v>0</v>
      </c>
      <c r="F29498" s="8">
        <v>1180</v>
      </c>
    </row>
    <row r="29499" spans="1:6" ht="12.75">
      <c r="A29499" s="8">
        <v>43891.295300925922</v>
      </c>
      <c r="B29499" s="8" t="str">
        <f>HYPERLINK("https://twitter.com/Mulianur_Toana","@Mulianur_Toana")</f>
        <v>@Mulianur_Toana</v>
      </c>
      <c r="C29499" s="8" t="s">
        <v>10600</v>
      </c>
      <c r="D29499" s="8">
        <v>204</v>
      </c>
      <c r="E29499" s="8">
        <v>0</v>
      </c>
      <c r="F29499" s="8">
        <v>1029</v>
      </c>
    </row>
    <row r="29500" spans="1:6" ht="12.75">
      <c r="A29500" s="8">
        <v>43891.29519675926</v>
      </c>
      <c r="B29500" s="8" t="str">
        <f>HYPERLINK("https://twitter.com/gruep32","@gruep32")</f>
        <v>@gruep32</v>
      </c>
      <c r="C29500" s="8" t="s">
        <v>6836</v>
      </c>
      <c r="D29500" s="8">
        <v>580</v>
      </c>
      <c r="E29500" s="8">
        <v>0</v>
      </c>
      <c r="F29500" s="8">
        <v>398</v>
      </c>
    </row>
    <row r="29501" spans="1:6" ht="12.75">
      <c r="A29501" s="8">
        <v>43891.295185185183</v>
      </c>
      <c r="B29501" s="8" t="str">
        <f>HYPERLINK("https://twitter.com/pendividia","@pendividia")</f>
        <v>@pendividia</v>
      </c>
      <c r="C29501" s="8" t="s">
        <v>8096</v>
      </c>
      <c r="D29501" s="8">
        <v>7</v>
      </c>
      <c r="E29501" s="8">
        <v>0</v>
      </c>
      <c r="F29501" s="8">
        <v>602</v>
      </c>
    </row>
    <row r="29502" spans="1:6" ht="12.75">
      <c r="A29502" s="8">
        <v>43891.294965277775</v>
      </c>
      <c r="B29502" s="8" t="str">
        <f>HYPERLINK("https://twitter.com/74N4H","@74N4H")</f>
        <v>@74N4H</v>
      </c>
      <c r="C29502" s="8" t="s">
        <v>8096</v>
      </c>
      <c r="D29502" s="8">
        <v>7</v>
      </c>
      <c r="E29502" s="8">
        <v>0</v>
      </c>
      <c r="F29502" s="8">
        <v>1455</v>
      </c>
    </row>
    <row r="29503" spans="1:6" ht="12.75">
      <c r="A29503" s="8">
        <v>43891.294386574074</v>
      </c>
      <c r="B29503" s="8" t="str">
        <f>HYPERLINK("https://twitter.com/bayshut","@bayshut")</f>
        <v>@bayshut</v>
      </c>
      <c r="C29503" s="8" t="s">
        <v>2272</v>
      </c>
      <c r="D29503" s="8">
        <v>137</v>
      </c>
      <c r="E29503" s="8">
        <v>0</v>
      </c>
      <c r="F29503" s="8">
        <v>132</v>
      </c>
    </row>
    <row r="29504" spans="1:6" ht="12.75">
      <c r="A29504" s="8">
        <v>43891.294293981482</v>
      </c>
      <c r="B29504" s="8" t="str">
        <f>HYPERLINK("https://twitter.com/AlvaroDeBazan2","@AlvaroDeBazan2")</f>
        <v>@AlvaroDeBazan2</v>
      </c>
      <c r="C29504" s="8" t="s">
        <v>8096</v>
      </c>
      <c r="D29504" s="8">
        <v>7</v>
      </c>
      <c r="E29504" s="8">
        <v>0</v>
      </c>
      <c r="F29504" s="8">
        <v>257</v>
      </c>
    </row>
    <row r="29505" spans="1:6" ht="12.75">
      <c r="A29505" s="8">
        <v>43891.293460648143</v>
      </c>
      <c r="B29505" s="8" t="str">
        <f>HYPERLINK("https://twitter.com/JengIjo","@JengIjo")</f>
        <v>@JengIjo</v>
      </c>
      <c r="C29505" s="8" t="s">
        <v>10600</v>
      </c>
      <c r="D29505" s="8">
        <v>204</v>
      </c>
      <c r="E29505" s="8">
        <v>0</v>
      </c>
      <c r="F29505" s="8">
        <v>145</v>
      </c>
    </row>
    <row r="29506" spans="1:6" ht="12.75">
      <c r="A29506" s="8">
        <v>43891.293391203704</v>
      </c>
      <c r="B29506" s="8" t="str">
        <f t="shared" ref="B29506:B29507" si="406">HYPERLINK("https://twitter.com/yossydarmawan","@yossydarmawan")</f>
        <v>@yossydarmawan</v>
      </c>
      <c r="C29506" s="8" t="s">
        <v>10811</v>
      </c>
      <c r="D29506" s="8">
        <v>265</v>
      </c>
      <c r="E29506" s="8">
        <v>0</v>
      </c>
      <c r="F29506" s="8">
        <v>535</v>
      </c>
    </row>
    <row r="29507" spans="1:6" ht="12.75">
      <c r="A29507" s="8">
        <v>43891.29314814815</v>
      </c>
      <c r="B29507" s="8" t="str">
        <f t="shared" si="406"/>
        <v>@yossydarmawan</v>
      </c>
      <c r="C29507" s="8" t="s">
        <v>10939</v>
      </c>
      <c r="D29507" s="8">
        <v>200</v>
      </c>
      <c r="E29507" s="8">
        <v>0</v>
      </c>
      <c r="F29507" s="8">
        <v>535</v>
      </c>
    </row>
    <row r="29508" spans="1:6" ht="12.75">
      <c r="A29508" s="8">
        <v>43891.292349537034</v>
      </c>
      <c r="B29508" s="8" t="str">
        <f>HYPERLINK("https://twitter.com/ariemessi","@ariemessi")</f>
        <v>@ariemessi</v>
      </c>
      <c r="C29508" s="8" t="s">
        <v>10811</v>
      </c>
      <c r="D29508" s="8">
        <v>265</v>
      </c>
      <c r="E29508" s="8">
        <v>0</v>
      </c>
      <c r="F29508" s="8">
        <v>377</v>
      </c>
    </row>
    <row r="29509" spans="1:6" ht="12.75">
      <c r="A29509" s="8">
        <v>43891.292222222226</v>
      </c>
      <c r="B29509" s="8" t="str">
        <f>HYPERLINK("https://twitter.com/fadjroeL","@fadjroeL")</f>
        <v>@fadjroeL</v>
      </c>
      <c r="C29509" s="8" t="s">
        <v>11205</v>
      </c>
      <c r="D29509" s="8">
        <v>7</v>
      </c>
      <c r="E29509" s="8">
        <v>17</v>
      </c>
      <c r="F29509" s="8">
        <v>996264</v>
      </c>
    </row>
    <row r="29510" spans="1:6" ht="12.75">
      <c r="A29510" s="8">
        <v>43891.29115740741</v>
      </c>
      <c r="B29510" s="8" t="str">
        <f>HYPERLINK("https://twitter.com/FebyFoasa","@FebyFoasa")</f>
        <v>@FebyFoasa</v>
      </c>
      <c r="C29510" s="8" t="s">
        <v>10510</v>
      </c>
      <c r="D29510" s="8">
        <v>12</v>
      </c>
      <c r="E29510" s="8">
        <v>0</v>
      </c>
      <c r="F29510" s="8">
        <v>2611</v>
      </c>
    </row>
    <row r="29511" spans="1:6" ht="12.75">
      <c r="A29511" s="8">
        <v>43891.291145833333</v>
      </c>
      <c r="B29511" s="8" t="str">
        <f>HYPERLINK("https://twitter.com/droidBraker","@droidBraker")</f>
        <v>@droidBraker</v>
      </c>
      <c r="C29511" s="8" t="s">
        <v>10600</v>
      </c>
      <c r="D29511" s="8">
        <v>204</v>
      </c>
      <c r="E29511" s="8">
        <v>0</v>
      </c>
      <c r="F29511" s="8">
        <v>47</v>
      </c>
    </row>
    <row r="29512" spans="1:6" ht="12.75">
      <c r="A29512" s="8">
        <v>43891.291041666671</v>
      </c>
      <c r="B29512" s="8" t="str">
        <f>HYPERLINK("https://twitter.com/RAISYAELBIX1","@RAISYAELBIX1")</f>
        <v>@RAISYAELBIX1</v>
      </c>
      <c r="C29512" s="8" t="s">
        <v>11206</v>
      </c>
      <c r="D29512" s="8">
        <v>0</v>
      </c>
      <c r="E29512" s="8">
        <v>4</v>
      </c>
      <c r="F29512" s="8">
        <v>6286</v>
      </c>
    </row>
    <row r="29513" spans="1:6" ht="12.75">
      <c r="A29513" s="8">
        <v>43891.291041666671</v>
      </c>
      <c r="B29513" s="8" t="str">
        <f>HYPERLINK("https://twitter.com/haidar_rahmat","@haidar_rahmat")</f>
        <v>@haidar_rahmat</v>
      </c>
      <c r="C29513" s="8" t="s">
        <v>10510</v>
      </c>
      <c r="D29513" s="8">
        <v>12</v>
      </c>
      <c r="E29513" s="8">
        <v>0</v>
      </c>
      <c r="F29513" s="8">
        <v>735</v>
      </c>
    </row>
    <row r="29514" spans="1:6" ht="12.75">
      <c r="A29514" s="8">
        <v>43891.290949074071</v>
      </c>
      <c r="B29514" s="8" t="str">
        <f>HYPERLINK("https://twitter.com/NerdfromtheHerd","@NerdfromtheHerd")</f>
        <v>@NerdfromtheHerd</v>
      </c>
      <c r="C29514" s="8" t="s">
        <v>2272</v>
      </c>
      <c r="D29514" s="8">
        <v>137</v>
      </c>
      <c r="E29514" s="8">
        <v>0</v>
      </c>
      <c r="F29514" s="8">
        <v>509</v>
      </c>
    </row>
    <row r="29515" spans="1:6" ht="12.75">
      <c r="A29515" s="8">
        <v>43891.290821759263</v>
      </c>
      <c r="B29515" s="8" t="str">
        <f>HYPERLINK("https://twitter.com/Justrien2","@Justrien2")</f>
        <v>@Justrien2</v>
      </c>
      <c r="C29515" s="8" t="s">
        <v>11207</v>
      </c>
      <c r="D29515" s="8">
        <v>0</v>
      </c>
      <c r="E29515" s="8">
        <v>0</v>
      </c>
      <c r="F29515" s="8">
        <v>115</v>
      </c>
    </row>
    <row r="29516" spans="1:6" ht="12.75">
      <c r="A29516" s="8">
        <v>43891.290798611109</v>
      </c>
      <c r="B29516" s="8" t="str">
        <f>HYPERLINK("https://twitter.com/viwiy","@viwiy")</f>
        <v>@viwiy</v>
      </c>
      <c r="C29516" s="8" t="s">
        <v>11086</v>
      </c>
      <c r="D29516" s="8">
        <v>21</v>
      </c>
      <c r="E29516" s="8">
        <v>0</v>
      </c>
      <c r="F29516" s="8">
        <v>288</v>
      </c>
    </row>
    <row r="29517" spans="1:6" ht="12.75">
      <c r="A29517" s="8">
        <v>43891.290752314817</v>
      </c>
      <c r="B29517" s="8" t="str">
        <f>HYPERLINK("https://twitter.com/aasugoi","@aasugoi")</f>
        <v>@aasugoi</v>
      </c>
      <c r="C29517" s="8" t="s">
        <v>11208</v>
      </c>
      <c r="D29517" s="8">
        <v>0</v>
      </c>
      <c r="E29517" s="8">
        <v>0</v>
      </c>
      <c r="F29517" s="8">
        <v>429</v>
      </c>
    </row>
    <row r="29518" spans="1:6" ht="12.75">
      <c r="A29518" s="8">
        <v>43891.290439814809</v>
      </c>
      <c r="B29518" s="8" t="str">
        <f>HYPERLINK("https://twitter.com/mediaindonesia","@mediaindonesia")</f>
        <v>@mediaindonesia</v>
      </c>
      <c r="C29518" s="8" t="s">
        <v>11209</v>
      </c>
      <c r="D29518" s="8">
        <v>0</v>
      </c>
      <c r="E29518" s="8">
        <v>0</v>
      </c>
      <c r="F29518" s="8">
        <v>1419427</v>
      </c>
    </row>
    <row r="29519" spans="1:6" ht="12.75">
      <c r="A29519" s="8">
        <v>43891.29005787037</v>
      </c>
      <c r="B29519" s="8" t="str">
        <f>HYPERLINK("https://twitter.com/rizalkilasbalik","@rizalkilasbalik")</f>
        <v>@rizalkilasbalik</v>
      </c>
      <c r="C29519" s="8" t="s">
        <v>11109</v>
      </c>
      <c r="D29519" s="8">
        <v>57</v>
      </c>
      <c r="E29519" s="8">
        <v>0</v>
      </c>
      <c r="F29519" s="8">
        <v>1753</v>
      </c>
    </row>
    <row r="29520" spans="1:6" ht="12.75">
      <c r="A29520" s="8">
        <v>43891.290011574078</v>
      </c>
      <c r="B29520" s="8" t="str">
        <f>HYPERLINK("https://twitter.com/nanininaninna","@nanininaninna")</f>
        <v>@nanininaninna</v>
      </c>
      <c r="C29520" s="8" t="s">
        <v>11210</v>
      </c>
      <c r="D29520" s="8">
        <v>8</v>
      </c>
      <c r="E29520" s="8">
        <v>0</v>
      </c>
      <c r="F29520" s="8">
        <v>2746</v>
      </c>
    </row>
    <row r="29521" spans="1:6" ht="12.75">
      <c r="A29521" s="8">
        <v>43891.289861111116</v>
      </c>
      <c r="B29521" s="8" t="str">
        <f>HYPERLINK("https://twitter.com/ibhabnews","@ibhabnews")</f>
        <v>@ibhabnews</v>
      </c>
      <c r="C29521" s="8" t="s">
        <v>11211</v>
      </c>
      <c r="D29521" s="8">
        <v>0</v>
      </c>
      <c r="E29521" s="8">
        <v>0</v>
      </c>
      <c r="F29521" s="8">
        <v>32</v>
      </c>
    </row>
    <row r="29522" spans="1:6" ht="12.75">
      <c r="A29522" s="8">
        <v>43891.289247685185</v>
      </c>
      <c r="B29522" s="8" t="str">
        <f>HYPERLINK("https://twitter.com/tongsam_pah","@tongsam_pah")</f>
        <v>@tongsam_pah</v>
      </c>
      <c r="C29522" s="8" t="s">
        <v>11212</v>
      </c>
      <c r="D29522" s="8">
        <v>4</v>
      </c>
      <c r="E29522" s="8">
        <v>0</v>
      </c>
      <c r="F29522" s="8">
        <v>158</v>
      </c>
    </row>
    <row r="29523" spans="1:6" ht="12.75">
      <c r="A29523" s="8">
        <v>43891.289212962962</v>
      </c>
      <c r="B29523" s="8" t="str">
        <f>HYPERLINK("https://twitter.com/Gonopane1","@Gonopane1")</f>
        <v>@Gonopane1</v>
      </c>
      <c r="C29523" s="8" t="s">
        <v>11213</v>
      </c>
      <c r="D29523" s="8">
        <v>0</v>
      </c>
      <c r="E29523" s="8">
        <v>0</v>
      </c>
      <c r="F29523" s="8">
        <v>603</v>
      </c>
    </row>
    <row r="29524" spans="1:6" ht="12.75">
      <c r="A29524" s="8">
        <v>43891.289027777777</v>
      </c>
      <c r="B29524" s="8" t="str">
        <f>HYPERLINK("https://twitter.com/elzeinnn","@elzeinnn")</f>
        <v>@elzeinnn</v>
      </c>
      <c r="C29524" s="8" t="s">
        <v>11214</v>
      </c>
      <c r="D29524" s="8">
        <v>0</v>
      </c>
      <c r="E29524" s="8">
        <v>0</v>
      </c>
      <c r="F29524" s="8">
        <v>150</v>
      </c>
    </row>
    <row r="29525" spans="1:6" ht="12.75">
      <c r="A29525" s="8">
        <v>43891.288946759261</v>
      </c>
      <c r="B29525" s="8" t="str">
        <f>HYPERLINK("https://twitter.com/RangCebol","@RangCebol")</f>
        <v>@RangCebol</v>
      </c>
      <c r="C29525" s="8" t="s">
        <v>11215</v>
      </c>
      <c r="D29525" s="8">
        <v>0</v>
      </c>
      <c r="E29525" s="8">
        <v>0</v>
      </c>
      <c r="F29525" s="8">
        <v>21</v>
      </c>
    </row>
    <row r="29526" spans="1:6" ht="12.75">
      <c r="A29526" s="8">
        <v>43891.288819444446</v>
      </c>
      <c r="B29526" s="8" t="str">
        <f>HYPERLINK("https://twitter.com/ibam_suwandi","@ibam_suwandi")</f>
        <v>@ibam_suwandi</v>
      </c>
      <c r="C29526" s="8" t="s">
        <v>11216</v>
      </c>
      <c r="D29526" s="8">
        <v>0</v>
      </c>
      <c r="E29526" s="8">
        <v>0</v>
      </c>
      <c r="F29526" s="8">
        <v>104</v>
      </c>
    </row>
    <row r="29527" spans="1:6" ht="12.75">
      <c r="A29527" s="8">
        <v>43891.288634259261</v>
      </c>
      <c r="B29527" s="8" t="str">
        <f>HYPERLINK("https://twitter.com/Rifald16","@Rifald16")</f>
        <v>@Rifald16</v>
      </c>
      <c r="C29527" s="8" t="s">
        <v>7437</v>
      </c>
      <c r="D29527" s="8">
        <v>346</v>
      </c>
      <c r="E29527" s="8">
        <v>0</v>
      </c>
      <c r="F29527" s="8">
        <v>2</v>
      </c>
    </row>
    <row r="29528" spans="1:6" ht="12.75">
      <c r="A29528" s="8">
        <v>43891.28833333333</v>
      </c>
      <c r="B29528" s="8" t="str">
        <f>HYPERLINK("https://twitter.com/boother4ever","@boother4ever")</f>
        <v>@boother4ever</v>
      </c>
      <c r="C29528" s="8" t="s">
        <v>6836</v>
      </c>
      <c r="D29528" s="8">
        <v>580</v>
      </c>
      <c r="E29528" s="8">
        <v>0</v>
      </c>
      <c r="F29528" s="8">
        <v>718</v>
      </c>
    </row>
    <row r="29529" spans="1:6" ht="12.75">
      <c r="A29529" s="8">
        <v>43891.288298611107</v>
      </c>
      <c r="B29529" s="8" t="str">
        <f>HYPERLINK("https://twitter.com/suciharto","@suciharto")</f>
        <v>@suciharto</v>
      </c>
      <c r="C29529" s="8" t="s">
        <v>11217</v>
      </c>
      <c r="D29529" s="8">
        <v>43</v>
      </c>
      <c r="E29529" s="8">
        <v>0</v>
      </c>
      <c r="F29529" s="8">
        <v>1287</v>
      </c>
    </row>
    <row r="29530" spans="1:6" ht="12.75">
      <c r="A29530" s="8">
        <v>43891.288101851853</v>
      </c>
      <c r="B29530" s="8" t="str">
        <f>HYPERLINK("https://twitter.com/filiusmandin","@filiusmandin")</f>
        <v>@filiusmandin</v>
      </c>
      <c r="C29530" s="8" t="s">
        <v>6708</v>
      </c>
      <c r="D29530" s="8">
        <v>41</v>
      </c>
      <c r="E29530" s="8">
        <v>0</v>
      </c>
      <c r="F29530" s="8">
        <v>145</v>
      </c>
    </row>
    <row r="29531" spans="1:6" ht="12.75">
      <c r="A29531" s="8">
        <v>43891.288020833337</v>
      </c>
      <c r="B29531" s="8" t="str">
        <f>HYPERLINK("https://twitter.com/SugiMauk","@SugiMauk")</f>
        <v>@SugiMauk</v>
      </c>
      <c r="C29531" s="8" t="s">
        <v>10600</v>
      </c>
      <c r="D29531" s="8">
        <v>204</v>
      </c>
      <c r="E29531" s="8">
        <v>0</v>
      </c>
      <c r="F29531" s="8">
        <v>1540</v>
      </c>
    </row>
    <row r="29532" spans="1:6" ht="12.75">
      <c r="A29532" s="8">
        <v>43891.287685185191</v>
      </c>
      <c r="B29532" s="8" t="str">
        <f>HYPERLINK("https://twitter.com/amirsyahoke","@amirsyahoke")</f>
        <v>@amirsyahoke</v>
      </c>
      <c r="C29532" s="8" t="s">
        <v>11218</v>
      </c>
      <c r="D29532" s="8">
        <v>0</v>
      </c>
      <c r="E29532" s="8">
        <v>0</v>
      </c>
      <c r="F29532" s="8">
        <v>443</v>
      </c>
    </row>
    <row r="29533" spans="1:6" ht="12.75">
      <c r="A29533" s="8">
        <v>43891.287650462968</v>
      </c>
      <c r="B29533" s="8" t="str">
        <f>HYPERLINK("https://twitter.com/RReasoning","@RReasoning")</f>
        <v>@RReasoning</v>
      </c>
      <c r="C29533" s="8" t="s">
        <v>11219</v>
      </c>
      <c r="D29533" s="8">
        <v>0</v>
      </c>
      <c r="E29533" s="8">
        <v>1</v>
      </c>
      <c r="F29533" s="8">
        <v>606</v>
      </c>
    </row>
    <row r="29534" spans="1:6" ht="12.75">
      <c r="A29534" s="8">
        <v>43891.287592592591</v>
      </c>
      <c r="B29534" s="8" t="str">
        <f>HYPERLINK("https://twitter.com/Graini7","@Graini7")</f>
        <v>@Graini7</v>
      </c>
      <c r="C29534" s="8" t="s">
        <v>11220</v>
      </c>
      <c r="D29534" s="8">
        <v>0</v>
      </c>
      <c r="E29534" s="8">
        <v>0</v>
      </c>
      <c r="F29534" s="8">
        <v>11</v>
      </c>
    </row>
    <row r="29535" spans="1:6" ht="12.75">
      <c r="A29535" s="8">
        <v>43891.287222222221</v>
      </c>
      <c r="B29535" s="8" t="str">
        <f>HYPERLINK("https://twitter.com/poer705","@poer705")</f>
        <v>@poer705</v>
      </c>
      <c r="C29535" s="8" t="s">
        <v>7437</v>
      </c>
      <c r="D29535" s="8">
        <v>346</v>
      </c>
      <c r="E29535" s="8">
        <v>0</v>
      </c>
      <c r="F29535" s="8">
        <v>53</v>
      </c>
    </row>
    <row r="29536" spans="1:6" ht="12.75">
      <c r="A29536" s="8">
        <v>43891.287037037036</v>
      </c>
      <c r="B29536" s="8" t="str">
        <f>HYPERLINK("https://twitter.com/Puput72575656","@Puput72575656")</f>
        <v>@Puput72575656</v>
      </c>
      <c r="C29536" s="8" t="s">
        <v>11221</v>
      </c>
      <c r="D29536" s="8">
        <v>0</v>
      </c>
      <c r="E29536" s="8">
        <v>0</v>
      </c>
      <c r="F29536" s="8">
        <v>19</v>
      </c>
    </row>
    <row r="29537" spans="1:6" ht="12.75">
      <c r="A29537" s="8">
        <v>43891.286886574075</v>
      </c>
      <c r="B29537" s="8" t="str">
        <f>HYPERLINK("https://twitter.com/zainala66","@zainala66")</f>
        <v>@zainala66</v>
      </c>
      <c r="C29537" s="8" t="s">
        <v>11222</v>
      </c>
      <c r="D29537" s="8">
        <v>11</v>
      </c>
      <c r="E29537" s="8">
        <v>0</v>
      </c>
      <c r="F29537" s="8">
        <v>151</v>
      </c>
    </row>
    <row r="29538" spans="1:6" ht="12.75">
      <c r="A29538" s="8">
        <v>43891.286840277782</v>
      </c>
      <c r="B29538" s="8" t="str">
        <f>HYPERLINK("https://twitter.com/JakartaStar","@JakartaStar")</f>
        <v>@JakartaStar</v>
      </c>
      <c r="C29538" s="8" t="s">
        <v>11223</v>
      </c>
      <c r="D29538" s="8">
        <v>1</v>
      </c>
      <c r="E29538" s="8">
        <v>0</v>
      </c>
      <c r="F29538" s="8">
        <v>5680</v>
      </c>
    </row>
    <row r="29539" spans="1:6" ht="12.75">
      <c r="A29539" s="8">
        <v>43891.286666666667</v>
      </c>
      <c r="B29539" s="8" t="str">
        <f>HYPERLINK("https://twitter.com/dim_bleak13","@dim_bleak13")</f>
        <v>@dim_bleak13</v>
      </c>
      <c r="C29539" s="8" t="s">
        <v>7437</v>
      </c>
      <c r="D29539" s="8">
        <v>346</v>
      </c>
      <c r="E29539" s="8">
        <v>0</v>
      </c>
      <c r="F29539" s="8">
        <v>109</v>
      </c>
    </row>
    <row r="29540" spans="1:6" ht="12.75">
      <c r="A29540" s="8">
        <v>43891.286597222221</v>
      </c>
      <c r="B29540" s="8" t="str">
        <f>HYPERLINK("https://twitter.com/WawanSetioNugr1","@WawanSetioNugr1")</f>
        <v>@WawanSetioNugr1</v>
      </c>
      <c r="C29540" s="8" t="s">
        <v>10391</v>
      </c>
      <c r="D29540" s="8">
        <v>125</v>
      </c>
      <c r="E29540" s="8">
        <v>0</v>
      </c>
      <c r="F29540" s="8">
        <v>10</v>
      </c>
    </row>
    <row r="29541" spans="1:6" ht="12.75">
      <c r="A29541" s="8">
        <v>43891.286006944443</v>
      </c>
      <c r="B29541" s="8" t="str">
        <f>HYPERLINK("https://twitter.com/gustarialce","@gustarialce")</f>
        <v>@gustarialce</v>
      </c>
      <c r="C29541" s="8" t="s">
        <v>2272</v>
      </c>
      <c r="D29541" s="8">
        <v>137</v>
      </c>
      <c r="E29541" s="8">
        <v>0</v>
      </c>
      <c r="F29541" s="8">
        <v>394</v>
      </c>
    </row>
    <row r="29542" spans="1:6" ht="12.75">
      <c r="A29542" s="8">
        <v>43891.285590277781</v>
      </c>
      <c r="B29542" s="8" t="str">
        <f>HYPERLINK("https://twitter.com/KinaraSavinka","@KinaraSavinka")</f>
        <v>@KinaraSavinka</v>
      </c>
      <c r="C29542" s="8" t="s">
        <v>4235</v>
      </c>
      <c r="D29542" s="8">
        <v>1596</v>
      </c>
      <c r="E29542" s="8">
        <v>0</v>
      </c>
      <c r="F29542" s="8">
        <v>141</v>
      </c>
    </row>
    <row r="29543" spans="1:6" ht="12.75">
      <c r="A29543" s="8">
        <v>43891.285543981481</v>
      </c>
      <c r="B29543" s="8" t="str">
        <f>HYPERLINK("https://twitter.com/YogaAdrianyoga6","@YogaAdrianyoga6")</f>
        <v>@YogaAdrianyoga6</v>
      </c>
      <c r="C29543" s="8" t="s">
        <v>10939</v>
      </c>
      <c r="D29543" s="8">
        <v>200</v>
      </c>
      <c r="E29543" s="8">
        <v>0</v>
      </c>
      <c r="F29543" s="8">
        <v>789</v>
      </c>
    </row>
    <row r="29544" spans="1:6" ht="12.75">
      <c r="A29544" s="8">
        <v>43891.285451388889</v>
      </c>
      <c r="B29544" s="8" t="str">
        <f>HYPERLINK("https://twitter.com/de_kvn2","@de_kvn2")</f>
        <v>@de_kvn2</v>
      </c>
      <c r="C29544" s="8" t="s">
        <v>10811</v>
      </c>
      <c r="D29544" s="8">
        <v>265</v>
      </c>
      <c r="E29544" s="8">
        <v>0</v>
      </c>
      <c r="F29544" s="8">
        <v>279</v>
      </c>
    </row>
    <row r="29545" spans="1:6" ht="12.75">
      <c r="A29545" s="8">
        <v>43891.285011574073</v>
      </c>
      <c r="B29545" s="8" t="str">
        <f>HYPERLINK("https://twitter.com/topinfo_id","@topinfo_id")</f>
        <v>@topinfo_id</v>
      </c>
      <c r="C29545" s="8" t="s">
        <v>11224</v>
      </c>
      <c r="D29545" s="8">
        <v>0</v>
      </c>
      <c r="E29545" s="8">
        <v>0</v>
      </c>
      <c r="F29545" s="8">
        <v>22</v>
      </c>
    </row>
    <row r="29546" spans="1:6" ht="12.75">
      <c r="A29546" s="8">
        <v>43891.284907407404</v>
      </c>
      <c r="B29546" s="8" t="str">
        <f>HYPERLINK("https://twitter.com/__MV_llestari__","@__MV_llestari__")</f>
        <v>@__MV_llestari__</v>
      </c>
      <c r="C29546" s="8" t="s">
        <v>11225</v>
      </c>
      <c r="D29546" s="8">
        <v>1</v>
      </c>
      <c r="E29546" s="8">
        <v>0</v>
      </c>
      <c r="F29546" s="8">
        <v>9062</v>
      </c>
    </row>
    <row r="29547" spans="1:6" ht="12.75">
      <c r="A29547" s="8">
        <v>43891.284849537042</v>
      </c>
      <c r="B29547" s="8" t="str">
        <f>HYPERLINK("https://twitter.com/PASPAS05177012","@PASPAS05177012")</f>
        <v>@PASPAS05177012</v>
      </c>
      <c r="C29547" s="8" t="s">
        <v>8746</v>
      </c>
      <c r="D29547" s="8">
        <v>382</v>
      </c>
      <c r="E29547" s="8">
        <v>0</v>
      </c>
      <c r="F29547" s="8">
        <v>100</v>
      </c>
    </row>
    <row r="29548" spans="1:6" ht="12.75">
      <c r="A29548" s="8">
        <v>43891.284768518519</v>
      </c>
      <c r="B29548" s="8" t="str">
        <f>HYPERLINK("https://twitter.com/suaradotcom","@suaradotcom")</f>
        <v>@suaradotcom</v>
      </c>
      <c r="C29548" s="8" t="s">
        <v>11226</v>
      </c>
      <c r="D29548" s="8">
        <v>1</v>
      </c>
      <c r="E29548" s="8">
        <v>0</v>
      </c>
      <c r="F29548" s="8">
        <v>24284</v>
      </c>
    </row>
    <row r="29549" spans="1:6" ht="12.75">
      <c r="A29549" s="8">
        <v>43891.284629629634</v>
      </c>
      <c r="B29549" s="8" t="str">
        <f>HYPERLINK("https://twitter.com/Ninaind","@Ninaind")</f>
        <v>@Ninaind</v>
      </c>
      <c r="C29549" s="8" t="s">
        <v>11227</v>
      </c>
      <c r="D29549" s="8">
        <v>0</v>
      </c>
      <c r="E29549" s="8">
        <v>0</v>
      </c>
      <c r="F29549" s="8">
        <v>137</v>
      </c>
    </row>
    <row r="29550" spans="1:6" ht="12.75">
      <c r="A29550" s="8">
        <v>43891.284432870365</v>
      </c>
      <c r="B29550" s="8" t="str">
        <f>HYPERLINK("https://twitter.com/RAISYAELBIX1","@RAISYAELBIX1")</f>
        <v>@RAISYAELBIX1</v>
      </c>
      <c r="C29550" s="8" t="s">
        <v>11228</v>
      </c>
      <c r="D29550" s="8">
        <v>0</v>
      </c>
      <c r="E29550" s="8">
        <v>0</v>
      </c>
      <c r="F29550" s="8">
        <v>6286</v>
      </c>
    </row>
    <row r="29551" spans="1:6" ht="12.75">
      <c r="A29551" s="8">
        <v>43891.284421296295</v>
      </c>
      <c r="B29551" s="8" t="str">
        <f>HYPERLINK("https://twitter.com/nugrohorofil86","@nugrohorofil86")</f>
        <v>@nugrohorofil86</v>
      </c>
      <c r="C29551" s="8" t="s">
        <v>7437</v>
      </c>
      <c r="D29551" s="8">
        <v>346</v>
      </c>
      <c r="E29551" s="8">
        <v>0</v>
      </c>
      <c r="F29551" s="8">
        <v>71</v>
      </c>
    </row>
    <row r="29552" spans="1:6" ht="12.75">
      <c r="A29552" s="8">
        <v>43891.283831018518</v>
      </c>
      <c r="B29552" s="8" t="str">
        <f>HYPERLINK("https://twitter.com/IzzuddinRosyadi","@IzzuddinRosyadi")</f>
        <v>@IzzuddinRosyadi</v>
      </c>
      <c r="C29552" s="8" t="s">
        <v>4235</v>
      </c>
      <c r="D29552" s="8">
        <v>1596</v>
      </c>
      <c r="E29552" s="8">
        <v>0</v>
      </c>
      <c r="F29552" s="8">
        <v>139</v>
      </c>
    </row>
    <row r="29553" spans="1:6" ht="12.75">
      <c r="A29553" s="8">
        <v>43891.283692129626</v>
      </c>
      <c r="B29553" s="8" t="str">
        <f>HYPERLINK("https://twitter.com/ariemessi","@ariemessi")</f>
        <v>@ariemessi</v>
      </c>
      <c r="C29553" s="8" t="s">
        <v>10600</v>
      </c>
      <c r="D29553" s="8">
        <v>204</v>
      </c>
      <c r="E29553" s="8">
        <v>0</v>
      </c>
      <c r="F29553" s="8">
        <v>377</v>
      </c>
    </row>
    <row r="29554" spans="1:6" ht="12.75">
      <c r="A29554" s="8">
        <v>43891.283541666664</v>
      </c>
      <c r="B29554" s="8" t="str">
        <f>HYPERLINK("https://twitter.com/Thieryaryadi","@Thieryaryadi")</f>
        <v>@Thieryaryadi</v>
      </c>
      <c r="C29554" s="8" t="s">
        <v>11229</v>
      </c>
      <c r="D29554" s="8">
        <v>0</v>
      </c>
      <c r="E29554" s="8">
        <v>0</v>
      </c>
      <c r="F29554" s="8">
        <v>11</v>
      </c>
    </row>
    <row r="29555" spans="1:6" ht="12.75">
      <c r="A29555" s="8">
        <v>43891.283287037033</v>
      </c>
      <c r="B29555" s="8" t="str">
        <f>HYPERLINK("https://twitter.com/IndonesiaTani","@IndonesiaTani")</f>
        <v>@IndonesiaTani</v>
      </c>
      <c r="C29555" s="8" t="s">
        <v>11230</v>
      </c>
      <c r="D29555" s="8">
        <v>0</v>
      </c>
      <c r="E29555" s="8">
        <v>0</v>
      </c>
      <c r="F29555" s="8">
        <v>82</v>
      </c>
    </row>
    <row r="29556" spans="1:6" ht="12.75">
      <c r="A29556" s="8">
        <v>43891.283229166671</v>
      </c>
      <c r="B29556" s="8" t="str">
        <f>HYPERLINK("https://twitter.com/basuki_rakhmad","@basuki_rakhmad")</f>
        <v>@basuki_rakhmad</v>
      </c>
      <c r="C29556" s="8" t="s">
        <v>11231</v>
      </c>
      <c r="D29556" s="8">
        <v>0</v>
      </c>
      <c r="E29556" s="8">
        <v>2</v>
      </c>
      <c r="F29556" s="8">
        <v>2945</v>
      </c>
    </row>
    <row r="29557" spans="1:6" ht="12.75">
      <c r="A29557" s="8">
        <v>43891.283171296294</v>
      </c>
      <c r="B29557" s="8" t="str">
        <f>HYPERLINK("https://twitter.com/yogaozhi","@yogaozhi")</f>
        <v>@yogaozhi</v>
      </c>
      <c r="C29557" s="8" t="s">
        <v>7437</v>
      </c>
      <c r="D29557" s="8">
        <v>346</v>
      </c>
      <c r="E29557" s="8">
        <v>0</v>
      </c>
      <c r="F29557" s="8">
        <v>635</v>
      </c>
    </row>
    <row r="29558" spans="1:6" ht="12.75">
      <c r="A29558" s="8">
        <v>43891.282997685186</v>
      </c>
      <c r="B29558" s="8" t="str">
        <f>HYPERLINK("https://twitter.com/adhirodriguez","@adhirodriguez")</f>
        <v>@adhirodriguez</v>
      </c>
      <c r="C29558" s="8" t="s">
        <v>7437</v>
      </c>
      <c r="D29558" s="8">
        <v>346</v>
      </c>
      <c r="E29558" s="8">
        <v>0</v>
      </c>
      <c r="F29558" s="8">
        <v>311</v>
      </c>
    </row>
    <row r="29559" spans="1:6" ht="12.75">
      <c r="A29559" s="8">
        <v>43891.2815625</v>
      </c>
      <c r="B29559" s="8" t="str">
        <f>HYPERLINK("https://twitter.com/EL_Atheos","@EL_Atheos")</f>
        <v>@EL_Atheos</v>
      </c>
      <c r="C29559" s="8" t="s">
        <v>11202</v>
      </c>
      <c r="D29559" s="8">
        <v>2</v>
      </c>
      <c r="E29559" s="8">
        <v>0</v>
      </c>
      <c r="F29559" s="8">
        <v>2493</v>
      </c>
    </row>
    <row r="29560" spans="1:6" ht="12.75">
      <c r="A29560" s="8">
        <v>43891.28125</v>
      </c>
      <c r="B29560" s="8" t="str">
        <f>HYPERLINK("https://twitter.com/idetopia","@idetopia")</f>
        <v>@idetopia</v>
      </c>
      <c r="C29560" s="8" t="s">
        <v>11232</v>
      </c>
      <c r="D29560" s="8">
        <v>0</v>
      </c>
      <c r="E29560" s="8">
        <v>3</v>
      </c>
      <c r="F29560" s="8">
        <v>88330</v>
      </c>
    </row>
    <row r="29561" spans="1:6" ht="12.75">
      <c r="A29561" s="8">
        <v>43891.281006944446</v>
      </c>
      <c r="B29561" s="8" t="str">
        <f>HYPERLINK("https://twitter.com/ridhatobing","@ridhatobing")</f>
        <v>@ridhatobing</v>
      </c>
      <c r="C29561" s="8" t="s">
        <v>2272</v>
      </c>
      <c r="D29561" s="8">
        <v>137</v>
      </c>
      <c r="E29561" s="8">
        <v>0</v>
      </c>
      <c r="F29561" s="8">
        <v>443</v>
      </c>
    </row>
    <row r="29562" spans="1:6" ht="12.75">
      <c r="A29562" s="8">
        <v>43891.280775462961</v>
      </c>
      <c r="B29562" s="8" t="str">
        <f>HYPERLINK("https://twitter.com/BroBoroboro","@BroBoroboro")</f>
        <v>@BroBoroboro</v>
      </c>
      <c r="C29562" s="8" t="s">
        <v>6836</v>
      </c>
      <c r="D29562" s="8">
        <v>580</v>
      </c>
      <c r="E29562" s="8">
        <v>0</v>
      </c>
      <c r="F29562" s="8">
        <v>24</v>
      </c>
    </row>
    <row r="29563" spans="1:6" ht="12.75">
      <c r="A29563" s="8">
        <v>43891.280034722222</v>
      </c>
      <c r="B29563" s="8" t="str">
        <f>HYPERLINK("https://twitter.com/vitto_funk69","@vitto_funk69")</f>
        <v>@vitto_funk69</v>
      </c>
      <c r="C29563" s="8" t="s">
        <v>7686</v>
      </c>
      <c r="D29563" s="8">
        <v>876</v>
      </c>
      <c r="E29563" s="8">
        <v>0</v>
      </c>
      <c r="F29563" s="8">
        <v>19</v>
      </c>
    </row>
    <row r="29564" spans="1:6" ht="12.75">
      <c r="A29564" s="8">
        <v>43891.279849537037</v>
      </c>
      <c r="B29564" s="8" t="str">
        <f>HYPERLINK("https://twitter.com/adc1408","@adc1408")</f>
        <v>@adc1408</v>
      </c>
      <c r="C29564" s="8" t="s">
        <v>11233</v>
      </c>
      <c r="D29564" s="8">
        <v>1</v>
      </c>
      <c r="E29564" s="8">
        <v>0</v>
      </c>
      <c r="F29564" s="8">
        <v>92</v>
      </c>
    </row>
    <row r="29565" spans="1:6" ht="12.75">
      <c r="A29565" s="8">
        <v>43891.279791666668</v>
      </c>
      <c r="B29565" s="8" t="str">
        <f>HYPERLINK("https://twitter.com/Pastacrit","@Pastacrit")</f>
        <v>@Pastacrit</v>
      </c>
      <c r="C29565" s="8" t="s">
        <v>11234</v>
      </c>
      <c r="D29565" s="8">
        <v>0</v>
      </c>
      <c r="E29565" s="8">
        <v>0</v>
      </c>
      <c r="F29565" s="8">
        <v>179</v>
      </c>
    </row>
    <row r="29566" spans="1:6" ht="12.75">
      <c r="A29566" s="8">
        <v>43891.279756944445</v>
      </c>
      <c r="B29566" s="8" t="str">
        <f>HYPERLINK("https://twitter.com/Arianto10427511","@Arianto10427511")</f>
        <v>@Arianto10427511</v>
      </c>
      <c r="C29566" s="8" t="s">
        <v>6836</v>
      </c>
      <c r="D29566" s="8">
        <v>580</v>
      </c>
      <c r="E29566" s="8">
        <v>0</v>
      </c>
      <c r="F29566" s="8">
        <v>442</v>
      </c>
    </row>
    <row r="29567" spans="1:6" ht="12.75">
      <c r="A29567" s="8">
        <v>43891.279745370368</v>
      </c>
      <c r="B29567" s="8" t="str">
        <f>HYPERLINK("https://twitter.com/ansyori_riduan","@ansyori_riduan")</f>
        <v>@ansyori_riduan</v>
      </c>
      <c r="C29567" s="8" t="s">
        <v>11235</v>
      </c>
      <c r="D29567" s="8">
        <v>0</v>
      </c>
      <c r="E29567" s="8">
        <v>0</v>
      </c>
      <c r="F29567" s="8">
        <v>114</v>
      </c>
    </row>
    <row r="29568" spans="1:6" ht="12.75">
      <c r="A29568" s="8">
        <v>43891.27952546296</v>
      </c>
      <c r="B29568" s="8" t="str">
        <f>HYPERLINK("https://twitter.com/BetaMerahPutih","@BetaMerahPutih")</f>
        <v>@BetaMerahPutih</v>
      </c>
      <c r="C29568" s="8" t="s">
        <v>7437</v>
      </c>
      <c r="D29568" s="8">
        <v>346</v>
      </c>
      <c r="E29568" s="8">
        <v>0</v>
      </c>
      <c r="F29568" s="8">
        <v>56</v>
      </c>
    </row>
    <row r="29569" spans="1:6" ht="12.75">
      <c r="A29569" s="8">
        <v>43891.278958333336</v>
      </c>
      <c r="B29569" s="8" t="str">
        <f>HYPERLINK("https://twitter.com/TonsCrb","@TonsCrb")</f>
        <v>@TonsCrb</v>
      </c>
      <c r="C29569" s="8" t="s">
        <v>7437</v>
      </c>
      <c r="D29569" s="8">
        <v>346</v>
      </c>
      <c r="E29569" s="8">
        <v>0</v>
      </c>
      <c r="F29569" s="8">
        <v>5</v>
      </c>
    </row>
    <row r="29570" spans="1:6" ht="12.75">
      <c r="A29570" s="8">
        <v>43891.278819444444</v>
      </c>
      <c r="B29570" s="8" t="str">
        <f>HYPERLINK("https://twitter.com/okezonenews","@okezonenews")</f>
        <v>@okezonenews</v>
      </c>
      <c r="C29570" s="8" t="s">
        <v>11236</v>
      </c>
      <c r="D29570" s="8">
        <v>1</v>
      </c>
      <c r="E29570" s="8">
        <v>1</v>
      </c>
      <c r="F29570" s="8">
        <v>1744135</v>
      </c>
    </row>
    <row r="29571" spans="1:6" ht="12.75">
      <c r="A29571" s="8">
        <v>43891.278726851851</v>
      </c>
      <c r="B29571" s="8" t="str">
        <f>HYPERLINK("https://twitter.com/JajangRidwanK","@JajangRidwanK")</f>
        <v>@JajangRidwanK</v>
      </c>
      <c r="C29571" s="8" t="s">
        <v>11237</v>
      </c>
      <c r="D29571" s="8">
        <v>1</v>
      </c>
      <c r="E29571" s="8">
        <v>1</v>
      </c>
      <c r="F29571" s="8">
        <v>140</v>
      </c>
    </row>
    <row r="29572" spans="1:6" ht="12.75">
      <c r="A29572" s="8">
        <v>43891.278680555552</v>
      </c>
      <c r="B29572" s="8" t="str">
        <f>HYPERLINK("https://twitter.com/pleaseeestay","@pleaseeestay")</f>
        <v>@pleaseeestay</v>
      </c>
      <c r="C29572" s="8" t="s">
        <v>11238</v>
      </c>
      <c r="D29572" s="8">
        <v>0</v>
      </c>
      <c r="E29572" s="8">
        <v>0</v>
      </c>
      <c r="F29572" s="8">
        <v>202</v>
      </c>
    </row>
    <row r="29573" spans="1:6" ht="12.75">
      <c r="A29573" s="8">
        <v>43891.278541666667</v>
      </c>
      <c r="B29573" s="8" t="str">
        <f>HYPERLINK("https://twitter.com/muchtarkendari","@muchtarkendari")</f>
        <v>@muchtarkendari</v>
      </c>
      <c r="C29573" s="8" t="s">
        <v>6836</v>
      </c>
      <c r="D29573" s="8">
        <v>580</v>
      </c>
      <c r="E29573" s="8">
        <v>0</v>
      </c>
      <c r="F29573" s="8">
        <v>856</v>
      </c>
    </row>
    <row r="29574" spans="1:6" ht="12.75">
      <c r="A29574" s="8">
        <v>43891.278368055559</v>
      </c>
      <c r="B29574" s="8" t="str">
        <f>HYPERLINK("https://twitter.com/ISIS_Balik_NO","@ISIS_Balik_NO")</f>
        <v>@ISIS_Balik_NO</v>
      </c>
      <c r="C29574" s="8" t="s">
        <v>11239</v>
      </c>
      <c r="D29574" s="8">
        <v>0</v>
      </c>
      <c r="E29574" s="8">
        <v>1</v>
      </c>
      <c r="F29574" s="8">
        <v>6083</v>
      </c>
    </row>
    <row r="29575" spans="1:6" ht="12.75">
      <c r="A29575" s="8">
        <v>43891.256828703699</v>
      </c>
      <c r="B29575" s="8" t="str">
        <f>HYPERLINK("https://twitter.com/ento2plungker","@ento2plungker")</f>
        <v>@ento2plungker</v>
      </c>
      <c r="C29575" s="8" t="s">
        <v>11240</v>
      </c>
      <c r="D29575" s="8">
        <v>0</v>
      </c>
      <c r="E29575" s="8">
        <v>0</v>
      </c>
      <c r="F29575" s="8">
        <v>71</v>
      </c>
    </row>
    <row r="29576" spans="1:6" ht="12.75">
      <c r="A29576" s="8">
        <v>43891.256724537037</v>
      </c>
      <c r="B29576" s="8" t="str">
        <f>HYPERLINK("https://twitter.com/DebitErwanda","@DebitErwanda")</f>
        <v>@DebitErwanda</v>
      </c>
      <c r="C29576" s="8" t="s">
        <v>11241</v>
      </c>
      <c r="D29576" s="8">
        <v>0</v>
      </c>
      <c r="E29576" s="8">
        <v>0</v>
      </c>
      <c r="F29576" s="8">
        <v>70</v>
      </c>
    </row>
    <row r="29577" spans="1:6" ht="12.75">
      <c r="A29577" s="8">
        <v>43891.256620370375</v>
      </c>
      <c r="B29577" s="8" t="str">
        <f>HYPERLINK("https://twitter.com/vivanewscom","@vivanewscom")</f>
        <v>@vivanewscom</v>
      </c>
      <c r="C29577" s="8" t="s">
        <v>11242</v>
      </c>
      <c r="D29577" s="8">
        <v>0</v>
      </c>
      <c r="E29577" s="8">
        <v>0</v>
      </c>
      <c r="F29577" s="8">
        <v>4550</v>
      </c>
    </row>
    <row r="29578" spans="1:6" ht="12.75">
      <c r="A29578" s="8">
        <v>43891.256597222222</v>
      </c>
      <c r="B29578" s="8" t="str">
        <f>HYPERLINK("https://twitter.com/julerocks","@julerocks")</f>
        <v>@julerocks</v>
      </c>
      <c r="C29578" s="8" t="s">
        <v>11243</v>
      </c>
      <c r="D29578" s="8">
        <v>0</v>
      </c>
      <c r="E29578" s="8">
        <v>0</v>
      </c>
      <c r="F29578" s="8">
        <v>1082</v>
      </c>
    </row>
    <row r="29579" spans="1:6" ht="12.75">
      <c r="A29579" s="8">
        <v>43891.25645833333</v>
      </c>
      <c r="B29579" s="8" t="str">
        <f>HYPERLINK("https://twitter.com/beranikayaraya","@beranikayaraya")</f>
        <v>@beranikayaraya</v>
      </c>
      <c r="C29579" s="8" t="s">
        <v>9163</v>
      </c>
      <c r="D29579" s="8">
        <v>36</v>
      </c>
      <c r="E29579" s="8">
        <v>0</v>
      </c>
      <c r="F29579" s="8">
        <v>1590</v>
      </c>
    </row>
    <row r="29580" spans="1:6" ht="12.75">
      <c r="A29580" s="8">
        <v>43891.256377314814</v>
      </c>
      <c r="B29580" s="8" t="str">
        <f>HYPERLINK("https://twitter.com/Wedhusg66605580","@Wedhusg66605580")</f>
        <v>@Wedhusg66605580</v>
      </c>
      <c r="C29580" s="8" t="s">
        <v>9883</v>
      </c>
      <c r="D29580" s="8">
        <v>3</v>
      </c>
      <c r="E29580" s="8">
        <v>0</v>
      </c>
      <c r="F29580" s="8">
        <v>0</v>
      </c>
    </row>
    <row r="29581" spans="1:6" ht="12.75">
      <c r="A29581" s="8">
        <v>43891.256192129629</v>
      </c>
      <c r="B29581" s="8" t="str">
        <f>HYPERLINK("https://twitter.com/LutfiElFatih","@LutfiElFatih")</f>
        <v>@LutfiElFatih</v>
      </c>
      <c r="C29581" s="8" t="s">
        <v>6836</v>
      </c>
      <c r="D29581" s="8">
        <v>563</v>
      </c>
      <c r="E29581" s="8">
        <v>0</v>
      </c>
      <c r="F29581" s="8">
        <v>1123</v>
      </c>
    </row>
    <row r="29582" spans="1:6" ht="12.75">
      <c r="A29582" s="8">
        <v>43891.256145833337</v>
      </c>
      <c r="B29582" s="8" t="str">
        <f>HYPERLINK("https://twitter.com/isis_macedo10","@isis_macedo10")</f>
        <v>@isis_macedo10</v>
      </c>
      <c r="C29582" s="8" t="s">
        <v>11244</v>
      </c>
      <c r="D29582" s="8">
        <v>0</v>
      </c>
      <c r="E29582" s="8">
        <v>0</v>
      </c>
      <c r="F29582" s="8">
        <v>5270</v>
      </c>
    </row>
    <row r="29583" spans="1:6" ht="12.75">
      <c r="A29583" s="8">
        <v>43891.255567129629</v>
      </c>
      <c r="B29583" s="8" t="str">
        <f>HYPERLINK("https://twitter.com/monicamfr","@monicamfr")</f>
        <v>@monicamfr</v>
      </c>
      <c r="C29583" s="8" t="s">
        <v>2272</v>
      </c>
      <c r="D29583" s="8">
        <v>124</v>
      </c>
      <c r="E29583" s="8">
        <v>0</v>
      </c>
      <c r="F29583" s="8">
        <v>708</v>
      </c>
    </row>
    <row r="29584" spans="1:6" ht="12.75">
      <c r="A29584" s="8">
        <v>43891.255439814813</v>
      </c>
      <c r="B29584" s="8" t="str">
        <f>HYPERLINK("https://twitter.com/hi_salahudin","@hi_salahudin")</f>
        <v>@hi_salahudin</v>
      </c>
      <c r="C29584" s="8" t="s">
        <v>10510</v>
      </c>
      <c r="D29584" s="8">
        <v>8</v>
      </c>
      <c r="E29584" s="8">
        <v>0</v>
      </c>
      <c r="F29584" s="8">
        <v>1796</v>
      </c>
    </row>
    <row r="29585" spans="1:6" ht="12.75">
      <c r="A29585" s="8">
        <v>43891.255416666667</v>
      </c>
      <c r="B29585" s="8" t="str">
        <f>HYPERLINK("https://twitter.com/Lady_Zeebo","@Lady_Zeebo")</f>
        <v>@Lady_Zeebo</v>
      </c>
      <c r="C29585" s="8" t="s">
        <v>11161</v>
      </c>
      <c r="D29585" s="8">
        <v>1</v>
      </c>
      <c r="E29585" s="8">
        <v>0</v>
      </c>
      <c r="F29585" s="8">
        <v>7460</v>
      </c>
    </row>
    <row r="29586" spans="1:6" ht="12.75">
      <c r="A29586" s="8">
        <v>43891.255254629628</v>
      </c>
      <c r="B29586" s="8" t="str">
        <f>HYPERLINK("https://twitter.com/yukenabila","@yukenabila")</f>
        <v>@yukenabila</v>
      </c>
      <c r="C29586" s="8" t="s">
        <v>2272</v>
      </c>
      <c r="D29586" s="8">
        <v>124</v>
      </c>
      <c r="E29586" s="8">
        <v>0</v>
      </c>
      <c r="F29586" s="8">
        <v>458</v>
      </c>
    </row>
    <row r="29587" spans="1:6" ht="12.75">
      <c r="A29587" s="8">
        <v>43891.255104166667</v>
      </c>
      <c r="B29587" s="8" t="str">
        <f>HYPERLINK("https://twitter.com/iNewsID","@iNewsID")</f>
        <v>@iNewsID</v>
      </c>
      <c r="C29587" s="8" t="s">
        <v>11106</v>
      </c>
      <c r="D29587" s="8">
        <v>0</v>
      </c>
      <c r="E29587" s="8">
        <v>0</v>
      </c>
      <c r="F29587" s="8">
        <v>1346</v>
      </c>
    </row>
    <row r="29588" spans="1:6" ht="12.75">
      <c r="A29588" s="8">
        <v>43891.254710648151</v>
      </c>
      <c r="B29588" s="8" t="str">
        <f>HYPERLINK("https://twitter.com/f_yathir","@f_yathir")</f>
        <v>@f_yathir</v>
      </c>
      <c r="C29588" s="8" t="s">
        <v>10600</v>
      </c>
      <c r="D29588" s="8">
        <v>192</v>
      </c>
      <c r="E29588" s="8">
        <v>0</v>
      </c>
      <c r="F29588" s="8">
        <v>428</v>
      </c>
    </row>
    <row r="29589" spans="1:6" ht="12.75">
      <c r="A29589" s="8">
        <v>43891.25445601852</v>
      </c>
      <c r="B29589" s="8" t="str">
        <f>HYPERLINK("https://twitter.com/IndigoHawthorne","@IndigoHawthorne")</f>
        <v>@IndigoHawthorne</v>
      </c>
      <c r="C29589" s="8" t="s">
        <v>4785</v>
      </c>
      <c r="D29589" s="8">
        <v>501</v>
      </c>
      <c r="E29589" s="8">
        <v>0</v>
      </c>
      <c r="F29589" s="8">
        <v>3786</v>
      </c>
    </row>
    <row r="29590" spans="1:6" ht="12.75">
      <c r="A29590" s="8">
        <v>43891.254236111112</v>
      </c>
      <c r="B29590" s="8" t="str">
        <f>HYPERLINK("https://twitter.com/dewi_darmawati","@dewi_darmawati")</f>
        <v>@dewi_darmawati</v>
      </c>
      <c r="C29590" s="8" t="s">
        <v>11151</v>
      </c>
      <c r="D29590" s="8">
        <v>16</v>
      </c>
      <c r="E29590" s="8">
        <v>0</v>
      </c>
      <c r="F29590" s="8">
        <v>4352</v>
      </c>
    </row>
    <row r="29591" spans="1:6" ht="12.75">
      <c r="A29591" s="8">
        <v>43891.254212962958</v>
      </c>
      <c r="B29591" s="8" t="str">
        <f>HYPERLINK("https://twitter.com/jasmevcebong","@jasmevcebong")</f>
        <v>@jasmevcebong</v>
      </c>
      <c r="C29591" s="8" t="s">
        <v>4235</v>
      </c>
      <c r="D29591" s="8">
        <v>1595</v>
      </c>
      <c r="E29591" s="8">
        <v>0</v>
      </c>
      <c r="F29591" s="8">
        <v>650</v>
      </c>
    </row>
    <row r="29592" spans="1:6" ht="12.75">
      <c r="A29592" s="8">
        <v>43891.254201388889</v>
      </c>
      <c r="B29592" s="8" t="str">
        <f>HYPERLINK("https://twitter.com/Chikiajadong","@Chikiajadong")</f>
        <v>@Chikiajadong</v>
      </c>
      <c r="C29592" s="8" t="s">
        <v>11245</v>
      </c>
      <c r="D29592" s="8">
        <v>1</v>
      </c>
      <c r="E29592" s="8">
        <v>2</v>
      </c>
      <c r="F29592" s="8">
        <v>487</v>
      </c>
    </row>
    <row r="29593" spans="1:6" ht="12.75">
      <c r="A29593" s="8">
        <v>43891.253888888888</v>
      </c>
      <c r="B29593" s="8" t="str">
        <f>HYPERLINK("https://twitter.com/abbas96","@abbas96")</f>
        <v>@abbas96</v>
      </c>
      <c r="C29593" s="8" t="s">
        <v>4235</v>
      </c>
      <c r="D29593" s="8">
        <v>1595</v>
      </c>
      <c r="E29593" s="8">
        <v>0</v>
      </c>
      <c r="F29593" s="8">
        <v>27</v>
      </c>
    </row>
    <row r="29594" spans="1:6" ht="12.75">
      <c r="A29594" s="8">
        <v>43891.253831018519</v>
      </c>
      <c r="B29594" s="8" t="str">
        <f>HYPERLINK("https://twitter.com/IndigoHawthorne","@IndigoHawthorne")</f>
        <v>@IndigoHawthorne</v>
      </c>
      <c r="C29594" s="8" t="s">
        <v>11246</v>
      </c>
      <c r="D29594" s="8">
        <v>1</v>
      </c>
      <c r="E29594" s="8">
        <v>0</v>
      </c>
      <c r="F29594" s="8">
        <v>3786</v>
      </c>
    </row>
    <row r="29595" spans="1:6" ht="12.75">
      <c r="A29595" s="8">
        <v>43891.253784722227</v>
      </c>
      <c r="B29595" s="8" t="str">
        <f>HYPERLINK("https://twitter.com/medcom_id","@medcom_id")</f>
        <v>@medcom_id</v>
      </c>
      <c r="C29595" s="8" t="s">
        <v>11247</v>
      </c>
      <c r="D29595" s="8">
        <v>0</v>
      </c>
      <c r="E29595" s="8">
        <v>0</v>
      </c>
      <c r="F29595" s="8">
        <v>18395</v>
      </c>
    </row>
    <row r="29596" spans="1:6" ht="12.75">
      <c r="A29596" s="8">
        <v>43891.253344907411</v>
      </c>
      <c r="B29596" s="8" t="str">
        <f>HYPERLINK("https://twitter.com/tantijuly","@tantijuly")</f>
        <v>@tantijuly</v>
      </c>
      <c r="C29596" s="8" t="s">
        <v>11248</v>
      </c>
      <c r="D29596" s="8">
        <v>0</v>
      </c>
      <c r="E29596" s="8">
        <v>0</v>
      </c>
      <c r="F29596" s="8">
        <v>50</v>
      </c>
    </row>
    <row r="29597" spans="1:6" ht="12.75">
      <c r="A29597" s="8">
        <v>43891.253298611111</v>
      </c>
      <c r="B29597" s="8" t="str">
        <f>HYPERLINK("https://twitter.com/Paulispoal","@Paulispoal")</f>
        <v>@Paulispoal</v>
      </c>
      <c r="C29597" s="8" t="s">
        <v>6836</v>
      </c>
      <c r="D29597" s="8">
        <v>563</v>
      </c>
      <c r="E29597" s="8">
        <v>0</v>
      </c>
      <c r="F29597" s="8">
        <v>243</v>
      </c>
    </row>
    <row r="29598" spans="1:6" ht="12.75">
      <c r="A29598" s="8">
        <v>43891.253171296295</v>
      </c>
      <c r="B29598" s="8" t="str">
        <f t="shared" ref="B29598:B29599" si="407">HYPERLINK("https://twitter.com/IndigoHawthorne","@IndigoHawthorne")</f>
        <v>@IndigoHawthorne</v>
      </c>
      <c r="C29598" s="8" t="s">
        <v>11249</v>
      </c>
      <c r="D29598" s="8">
        <v>36</v>
      </c>
      <c r="E29598" s="8">
        <v>0</v>
      </c>
      <c r="F29598" s="8">
        <v>3786</v>
      </c>
    </row>
    <row r="29599" spans="1:6" ht="12.75">
      <c r="A29599" s="8">
        <v>43891.252534722225</v>
      </c>
      <c r="B29599" s="8" t="str">
        <f t="shared" si="407"/>
        <v>@IndigoHawthorne</v>
      </c>
      <c r="C29599" s="8" t="s">
        <v>11250</v>
      </c>
      <c r="D29599" s="8">
        <v>52</v>
      </c>
      <c r="E29599" s="8">
        <v>0</v>
      </c>
      <c r="F29599" s="8">
        <v>3786</v>
      </c>
    </row>
    <row r="29600" spans="1:6" ht="12.75">
      <c r="A29600" s="8">
        <v>43891.252407407403</v>
      </c>
      <c r="B29600" s="8" t="str">
        <f>HYPERLINK("https://twitter.com/cilok45","@cilok45")</f>
        <v>@cilok45</v>
      </c>
      <c r="C29600" s="8" t="s">
        <v>10600</v>
      </c>
      <c r="D29600" s="8">
        <v>192</v>
      </c>
      <c r="E29600" s="8">
        <v>0</v>
      </c>
      <c r="F29600" s="8">
        <v>12</v>
      </c>
    </row>
    <row r="29601" spans="1:6" ht="12.75">
      <c r="A29601" s="8">
        <v>43891.252384259264</v>
      </c>
      <c r="B29601" s="8" t="str">
        <f>HYPERLINK("https://twitter.com/Yantisyifa","@Yantisyifa")</f>
        <v>@Yantisyifa</v>
      </c>
      <c r="C29601" s="8" t="s">
        <v>4235</v>
      </c>
      <c r="D29601" s="8">
        <v>1595</v>
      </c>
      <c r="E29601" s="8">
        <v>0</v>
      </c>
      <c r="F29601" s="8">
        <v>613</v>
      </c>
    </row>
    <row r="29602" spans="1:6" ht="12.75">
      <c r="A29602" s="8">
        <v>43891.251712962963</v>
      </c>
      <c r="B29602" s="8" t="str">
        <f>HYPERLINK("https://twitter.com/IndigoHawthorne","@IndigoHawthorne")</f>
        <v>@IndigoHawthorne</v>
      </c>
      <c r="C29602" s="8" t="s">
        <v>4836</v>
      </c>
      <c r="D29602" s="8">
        <v>5419</v>
      </c>
      <c r="E29602" s="8">
        <v>0</v>
      </c>
      <c r="F29602" s="8">
        <v>3786</v>
      </c>
    </row>
    <row r="29603" spans="1:6" ht="12.75">
      <c r="A29603" s="8">
        <v>43891.251666666663</v>
      </c>
      <c r="B29603" s="8" t="str">
        <f>HYPERLINK("https://twitter.com/JokoFighter01","@JokoFighter01")</f>
        <v>@JokoFighter01</v>
      </c>
      <c r="C29603" s="8" t="s">
        <v>10600</v>
      </c>
      <c r="D29603" s="8">
        <v>192</v>
      </c>
      <c r="E29603" s="8">
        <v>0</v>
      </c>
      <c r="F29603" s="8">
        <v>539</v>
      </c>
    </row>
    <row r="29604" spans="1:6" ht="12.75">
      <c r="A29604" s="8">
        <v>43891.251481481479</v>
      </c>
      <c r="B29604" s="8" t="str">
        <f>HYPERLINK("https://twitter.com/KerongKerang","@KerongKerang")</f>
        <v>@KerongKerang</v>
      </c>
      <c r="C29604" s="8" t="s">
        <v>11251</v>
      </c>
      <c r="D29604" s="8">
        <v>0</v>
      </c>
      <c r="E29604" s="8">
        <v>0</v>
      </c>
      <c r="F29604" s="8">
        <v>120</v>
      </c>
    </row>
    <row r="29605" spans="1:6" ht="12.75">
      <c r="A29605" s="8">
        <v>43891.251458333332</v>
      </c>
      <c r="B29605" s="8" t="str">
        <f>HYPERLINK("https://twitter.com/kabarmuria","@kabarmuria")</f>
        <v>@kabarmuria</v>
      </c>
      <c r="C29605" s="8" t="s">
        <v>7437</v>
      </c>
      <c r="D29605" s="8">
        <v>335</v>
      </c>
      <c r="E29605" s="8">
        <v>0</v>
      </c>
      <c r="F29605" s="8">
        <v>6031</v>
      </c>
    </row>
    <row r="29606" spans="1:6" ht="12.75">
      <c r="A29606" s="8">
        <v>43891.251215277778</v>
      </c>
      <c r="B29606" s="8" t="str">
        <f>HYPERLINK("https://twitter.com/mas80n","@mas80n")</f>
        <v>@mas80n</v>
      </c>
      <c r="C29606" s="8" t="s">
        <v>8190</v>
      </c>
      <c r="D29606" s="8">
        <v>258</v>
      </c>
      <c r="E29606" s="8">
        <v>0</v>
      </c>
      <c r="F29606" s="8">
        <v>22</v>
      </c>
    </row>
    <row r="29607" spans="1:6" ht="12.75">
      <c r="A29607" s="8">
        <v>43891.250972222224</v>
      </c>
      <c r="B29607" s="8" t="str">
        <f>HYPERLINK("https://twitter.com/IrvanAUtama1","@IrvanAUtama1")</f>
        <v>@IrvanAUtama1</v>
      </c>
      <c r="C29607" s="8" t="s">
        <v>6836</v>
      </c>
      <c r="D29607" s="8">
        <v>563</v>
      </c>
      <c r="E29607" s="8">
        <v>0</v>
      </c>
      <c r="F29607" s="8">
        <v>92</v>
      </c>
    </row>
    <row r="29608" spans="1:6" ht="12.75">
      <c r="A29608" s="8">
        <v>43891.250451388885</v>
      </c>
      <c r="B29608" s="8" t="str">
        <f>HYPERLINK("https://twitter.com/CendolGudeg","@CendolGudeg")</f>
        <v>@CendolGudeg</v>
      </c>
      <c r="C29608" s="8" t="s">
        <v>11252</v>
      </c>
      <c r="D29608" s="8">
        <v>0</v>
      </c>
      <c r="E29608" s="8">
        <v>0</v>
      </c>
      <c r="F29608" s="8">
        <v>7</v>
      </c>
    </row>
    <row r="29609" spans="1:6" ht="12.75">
      <c r="A29609" s="8">
        <v>43891.25</v>
      </c>
      <c r="B29609" s="8" t="str">
        <f>HYPERLINK("https://twitter.com/ini_hafiz","@ini_hafiz")</f>
        <v>@ini_hafiz</v>
      </c>
      <c r="C29609" s="8" t="s">
        <v>11102</v>
      </c>
      <c r="D29609" s="8">
        <v>569</v>
      </c>
      <c r="E29609" s="8">
        <v>0</v>
      </c>
      <c r="F29609" s="8">
        <v>427</v>
      </c>
    </row>
    <row r="29610" spans="1:6" ht="12.75">
      <c r="A29610" s="8">
        <v>43891.249432870369</v>
      </c>
      <c r="B29610" s="8" t="str">
        <f>HYPERLINK("https://twitter.com/Tere_one34","@Tere_one34")</f>
        <v>@Tere_one34</v>
      </c>
      <c r="C29610" s="8" t="s">
        <v>8190</v>
      </c>
      <c r="D29610" s="8">
        <v>258</v>
      </c>
      <c r="E29610" s="8">
        <v>0</v>
      </c>
      <c r="F29610" s="8">
        <v>4547</v>
      </c>
    </row>
    <row r="29611" spans="1:6" ht="12.75">
      <c r="A29611" s="8">
        <v>43891.249259259261</v>
      </c>
      <c r="B29611" s="8" t="str">
        <f>HYPERLINK("https://twitter.com/IsSubadiyono","@IsSubadiyono")</f>
        <v>@IsSubadiyono</v>
      </c>
      <c r="C29611" s="8" t="s">
        <v>10811</v>
      </c>
      <c r="D29611" s="8">
        <v>261</v>
      </c>
      <c r="E29611" s="8">
        <v>0</v>
      </c>
      <c r="F29611" s="8">
        <v>129</v>
      </c>
    </row>
    <row r="29612" spans="1:6" ht="12.75">
      <c r="A29612" s="8">
        <v>43891.249201388884</v>
      </c>
      <c r="B29612" s="8" t="str">
        <f>HYPERLINK("https://twitter.com/gus55177350","@gus55177350")</f>
        <v>@gus55177350</v>
      </c>
      <c r="C29612" s="8" t="s">
        <v>10600</v>
      </c>
      <c r="D29612" s="8">
        <v>192</v>
      </c>
      <c r="E29612" s="8">
        <v>0</v>
      </c>
      <c r="F29612" s="8">
        <v>47</v>
      </c>
    </row>
    <row r="29613" spans="1:6" ht="12.75">
      <c r="A29613" s="8">
        <v>43891.249027777776</v>
      </c>
      <c r="B29613" s="8" t="str">
        <f>HYPERLINK("https://twitter.com/Totokalhaqq3","@Totokalhaqq3")</f>
        <v>@Totokalhaqq3</v>
      </c>
      <c r="C29613" s="8" t="s">
        <v>11253</v>
      </c>
      <c r="D29613" s="8">
        <v>0</v>
      </c>
      <c r="E29613" s="8">
        <v>1</v>
      </c>
      <c r="F29613" s="8">
        <v>1499</v>
      </c>
    </row>
    <row r="29614" spans="1:6" ht="12.75">
      <c r="A29614" s="8">
        <v>43891.248796296291</v>
      </c>
      <c r="B29614" s="8" t="str">
        <f>HYPERLINK("https://twitter.com/ekafiktri","@ekafiktri")</f>
        <v>@ekafiktri</v>
      </c>
      <c r="C29614" s="8" t="s">
        <v>11117</v>
      </c>
      <c r="D29614" s="8">
        <v>87</v>
      </c>
      <c r="E29614" s="8">
        <v>0</v>
      </c>
      <c r="F29614" s="8">
        <v>231</v>
      </c>
    </row>
    <row r="29615" spans="1:6" ht="12.75">
      <c r="A29615" s="8">
        <v>43891.248738425929</v>
      </c>
      <c r="B29615" s="8" t="str">
        <f>HYPERLINK("https://twitter.com/oleafya","@oleafya")</f>
        <v>@oleafya</v>
      </c>
      <c r="C29615" s="8" t="s">
        <v>2272</v>
      </c>
      <c r="D29615" s="8">
        <v>124</v>
      </c>
      <c r="E29615" s="8">
        <v>0</v>
      </c>
      <c r="F29615" s="8">
        <v>837</v>
      </c>
    </row>
    <row r="29616" spans="1:6" ht="12.75">
      <c r="A29616" s="8">
        <v>43891.248217592598</v>
      </c>
      <c r="B29616" s="8" t="str">
        <f>HYPERLINK("https://twitter.com/Jeff_Zain","@Jeff_Zain")</f>
        <v>@Jeff_Zain</v>
      </c>
      <c r="C29616" s="8" t="s">
        <v>7437</v>
      </c>
      <c r="D29616" s="8">
        <v>335</v>
      </c>
      <c r="E29616" s="8">
        <v>0</v>
      </c>
      <c r="F29616" s="8">
        <v>90</v>
      </c>
    </row>
    <row r="29617" spans="1:6" ht="12.75">
      <c r="A29617" s="8">
        <v>43891.247604166667</v>
      </c>
      <c r="B29617" s="8" t="str">
        <f>HYPERLINK("https://twitter.com/majoindonew","@majoindonew")</f>
        <v>@majoindonew</v>
      </c>
      <c r="C29617" s="8" t="s">
        <v>11254</v>
      </c>
      <c r="D29617" s="8">
        <v>0</v>
      </c>
      <c r="E29617" s="8">
        <v>0</v>
      </c>
      <c r="F29617" s="8">
        <v>13</v>
      </c>
    </row>
    <row r="29618" spans="1:6" ht="12.75">
      <c r="A29618" s="8">
        <v>43891.247199074074</v>
      </c>
      <c r="B29618" s="8" t="str">
        <f>HYPERLINK("https://twitter.com/ajahkali","@ajahkali")</f>
        <v>@ajahkali</v>
      </c>
      <c r="C29618" s="8" t="s">
        <v>11255</v>
      </c>
      <c r="D29618" s="8">
        <v>0</v>
      </c>
      <c r="E29618" s="8">
        <v>0</v>
      </c>
      <c r="F29618" s="8">
        <v>229</v>
      </c>
    </row>
    <row r="29619" spans="1:6" ht="12.75">
      <c r="A29619" s="8">
        <v>43891.246770833328</v>
      </c>
      <c r="B29619" s="8" t="str">
        <f>HYPERLINK("https://twitter.com/masbas90","@masbas90")</f>
        <v>@masbas90</v>
      </c>
      <c r="C29619" s="8" t="s">
        <v>11256</v>
      </c>
      <c r="D29619" s="8">
        <v>0</v>
      </c>
      <c r="E29619" s="8">
        <v>0</v>
      </c>
      <c r="F29619" s="8">
        <v>361</v>
      </c>
    </row>
    <row r="29620" spans="1:6" ht="12.75">
      <c r="A29620" s="8">
        <v>43891.246620370366</v>
      </c>
      <c r="B29620" s="8" t="str">
        <f>HYPERLINK("https://twitter.com/Cahkuwut","@Cahkuwut")</f>
        <v>@Cahkuwut</v>
      </c>
      <c r="C29620" s="8" t="s">
        <v>10811</v>
      </c>
      <c r="D29620" s="8">
        <v>261</v>
      </c>
      <c r="E29620" s="8">
        <v>0</v>
      </c>
      <c r="F29620" s="8">
        <v>679</v>
      </c>
    </row>
    <row r="29621" spans="1:6" ht="12.75">
      <c r="A29621" s="8">
        <v>43891.246562500004</v>
      </c>
      <c r="B29621" s="8" t="str">
        <f>HYPERLINK("https://twitter.com/DedehKu95290849","@DedehKu95290849")</f>
        <v>@DedehKu95290849</v>
      </c>
      <c r="C29621" s="8" t="s">
        <v>10510</v>
      </c>
      <c r="D29621" s="8">
        <v>8</v>
      </c>
      <c r="E29621" s="8">
        <v>0</v>
      </c>
      <c r="F29621" s="8">
        <v>423</v>
      </c>
    </row>
    <row r="29622" spans="1:6" ht="12.75">
      <c r="A29622" s="8">
        <v>43891.246435185181</v>
      </c>
      <c r="B29622" s="8" t="str">
        <f>HYPERLINK("https://twitter.com/gus_von_diajie","@gus_von_diajie")</f>
        <v>@gus_von_diajie</v>
      </c>
      <c r="C29622" s="8" t="s">
        <v>7686</v>
      </c>
      <c r="D29622" s="8">
        <v>870</v>
      </c>
      <c r="E29622" s="8">
        <v>0</v>
      </c>
      <c r="F29622" s="8">
        <v>1180</v>
      </c>
    </row>
    <row r="29623" spans="1:6" ht="12.75">
      <c r="A29623" s="8">
        <v>43891.246377314819</v>
      </c>
      <c r="B29623" s="8" t="str">
        <f>HYPERLINK("https://twitter.com/Cahkuwut","@Cahkuwut")</f>
        <v>@Cahkuwut</v>
      </c>
      <c r="C29623" s="8" t="s">
        <v>11257</v>
      </c>
      <c r="D29623" s="8">
        <v>0</v>
      </c>
      <c r="E29623" s="8">
        <v>0</v>
      </c>
      <c r="F29623" s="8">
        <v>679</v>
      </c>
    </row>
    <row r="29624" spans="1:6" ht="12.75">
      <c r="A29624" s="8">
        <v>43891.245682870373</v>
      </c>
      <c r="B29624" s="8" t="str">
        <f>HYPERLINK("https://twitter.com/dyonragil","@dyonragil")</f>
        <v>@dyonragil</v>
      </c>
      <c r="C29624" s="8" t="s">
        <v>7686</v>
      </c>
      <c r="D29624" s="8">
        <v>870</v>
      </c>
      <c r="E29624" s="8">
        <v>0</v>
      </c>
      <c r="F29624" s="8">
        <v>124</v>
      </c>
    </row>
    <row r="29625" spans="1:6" ht="12.75">
      <c r="A29625" s="8">
        <v>43891.245567129634</v>
      </c>
      <c r="B29625" s="8" t="str">
        <f>HYPERLINK("https://twitter.com/Cahkuwut","@Cahkuwut")</f>
        <v>@Cahkuwut</v>
      </c>
      <c r="C29625" s="8" t="s">
        <v>11075</v>
      </c>
      <c r="D29625" s="8">
        <v>87</v>
      </c>
      <c r="E29625" s="8">
        <v>0</v>
      </c>
      <c r="F29625" s="8">
        <v>679</v>
      </c>
    </row>
    <row r="29626" spans="1:6" ht="12.75">
      <c r="A29626" s="8">
        <v>43891.245451388888</v>
      </c>
      <c r="B29626" s="8" t="str">
        <f>HYPERLINK("https://twitter.com/Jeff_Zain","@Jeff_Zain")</f>
        <v>@Jeff_Zain</v>
      </c>
      <c r="C29626" s="8" t="s">
        <v>11258</v>
      </c>
      <c r="D29626" s="8">
        <v>31</v>
      </c>
      <c r="E29626" s="8">
        <v>0</v>
      </c>
      <c r="F29626" s="8">
        <v>90</v>
      </c>
    </row>
    <row r="29627" spans="1:6" ht="12.75">
      <c r="A29627" s="8">
        <v>43891.245208333334</v>
      </c>
      <c r="B29627" s="8" t="str">
        <f>HYPERLINK("https://twitter.com/Abudiman20","@Abudiman20")</f>
        <v>@Abudiman20</v>
      </c>
      <c r="C29627" s="8" t="s">
        <v>11259</v>
      </c>
      <c r="D29627" s="8">
        <v>0</v>
      </c>
      <c r="E29627" s="8">
        <v>0</v>
      </c>
      <c r="F29627" s="8">
        <v>465</v>
      </c>
    </row>
    <row r="29628" spans="1:6" ht="12.75">
      <c r="A29628" s="8">
        <v>43891.245046296295</v>
      </c>
      <c r="B29628" s="8" t="str">
        <f>HYPERLINK("https://twitter.com/rossyverona72","@rossyverona72")</f>
        <v>@rossyverona72</v>
      </c>
      <c r="C29628" s="8" t="s">
        <v>9248</v>
      </c>
      <c r="D29628" s="8">
        <v>23</v>
      </c>
      <c r="E29628" s="8">
        <v>0</v>
      </c>
      <c r="F29628" s="8">
        <v>114</v>
      </c>
    </row>
    <row r="29629" spans="1:6" ht="12.75">
      <c r="A29629" s="8">
        <v>43891.244803240741</v>
      </c>
      <c r="B29629" s="8" t="str">
        <f>HYPERLINK("https://twitter.com/dewi_darmawati","@dewi_darmawati")</f>
        <v>@dewi_darmawati</v>
      </c>
      <c r="C29629" s="8" t="s">
        <v>7686</v>
      </c>
      <c r="D29629" s="8">
        <v>870</v>
      </c>
      <c r="E29629" s="8">
        <v>0</v>
      </c>
      <c r="F29629" s="8">
        <v>4352</v>
      </c>
    </row>
    <row r="29630" spans="1:6" ht="12.75">
      <c r="A29630" s="8">
        <v>43891.244664351849</v>
      </c>
      <c r="B29630" s="8" t="str">
        <f>HYPERLINK("https://twitter.com/AlviNuari","@AlviNuari")</f>
        <v>@AlviNuari</v>
      </c>
      <c r="C29630" s="8" t="s">
        <v>7437</v>
      </c>
      <c r="D29630" s="8">
        <v>335</v>
      </c>
      <c r="E29630" s="8">
        <v>0</v>
      </c>
      <c r="F29630" s="8">
        <v>352</v>
      </c>
    </row>
    <row r="29631" spans="1:6" ht="12.75">
      <c r="A29631" s="8">
        <v>43891.244421296295</v>
      </c>
      <c r="B29631" s="8" t="str">
        <f>HYPERLINK("https://twitter.com/wilicatur","@wilicatur")</f>
        <v>@wilicatur</v>
      </c>
      <c r="C29631" s="8" t="s">
        <v>299</v>
      </c>
      <c r="D29631" s="8">
        <v>4749</v>
      </c>
      <c r="E29631" s="8">
        <v>0</v>
      </c>
      <c r="F29631" s="8">
        <v>8</v>
      </c>
    </row>
    <row r="29632" spans="1:6" ht="12.75">
      <c r="A29632" s="8">
        <v>43891.243125000001</v>
      </c>
      <c r="B29632" s="8" t="str">
        <f>HYPERLINK("https://twitter.com/KomedianGL","@KomedianGL")</f>
        <v>@KomedianGL</v>
      </c>
      <c r="C29632" s="8" t="s">
        <v>10986</v>
      </c>
      <c r="D29632" s="8">
        <v>26</v>
      </c>
      <c r="E29632" s="8">
        <v>0</v>
      </c>
      <c r="F29632" s="8">
        <v>66</v>
      </c>
    </row>
    <row r="29633" spans="1:6" ht="12.75">
      <c r="A29633" s="8">
        <v>43891.242939814816</v>
      </c>
      <c r="B29633" s="8" t="str">
        <f>HYPERLINK("https://twitter.com/bongkah_kau","@bongkah_kau")</f>
        <v>@bongkah_kau</v>
      </c>
      <c r="C29633" s="8" t="s">
        <v>11260</v>
      </c>
      <c r="D29633" s="8">
        <v>0</v>
      </c>
      <c r="E29633" s="8">
        <v>0</v>
      </c>
      <c r="F29633" s="8">
        <v>1092</v>
      </c>
    </row>
    <row r="29634" spans="1:6" ht="12.75">
      <c r="A29634" s="8">
        <v>43891.242858796293</v>
      </c>
      <c r="B29634" s="8" t="str">
        <f>HYPERLINK("https://twitter.com/abduljalilfc","@abduljalilfc")</f>
        <v>@abduljalilfc</v>
      </c>
      <c r="C29634" s="8" t="s">
        <v>10510</v>
      </c>
      <c r="D29634" s="8">
        <v>8</v>
      </c>
      <c r="E29634" s="8">
        <v>0</v>
      </c>
      <c r="F29634" s="8">
        <v>348</v>
      </c>
    </row>
    <row r="29635" spans="1:6" ht="12.75">
      <c r="A29635" s="8">
        <v>43891.242673611108</v>
      </c>
      <c r="B29635" s="8" t="str">
        <f>HYPERLINK("https://twitter.com/amaraya_bahy","@amaraya_bahy")</f>
        <v>@amaraya_bahy</v>
      </c>
      <c r="C29635" s="8" t="s">
        <v>7686</v>
      </c>
      <c r="D29635" s="8">
        <v>870</v>
      </c>
      <c r="E29635" s="8">
        <v>0</v>
      </c>
      <c r="F29635" s="8">
        <v>152</v>
      </c>
    </row>
    <row r="29636" spans="1:6" ht="12.75">
      <c r="A29636" s="8">
        <v>43891.2419212963</v>
      </c>
      <c r="B29636" s="8" t="str">
        <f>HYPERLINK("https://twitter.com/beruang_gembul","@beruang_gembul")</f>
        <v>@beruang_gembul</v>
      </c>
      <c r="C29636" s="8" t="s">
        <v>10811</v>
      </c>
      <c r="D29636" s="8">
        <v>261</v>
      </c>
      <c r="E29636" s="8">
        <v>0</v>
      </c>
      <c r="F29636" s="8">
        <v>117</v>
      </c>
    </row>
    <row r="29637" spans="1:6" ht="12.75">
      <c r="A29637" s="8">
        <v>43891.241701388892</v>
      </c>
      <c r="B29637" s="8" t="str">
        <f>HYPERLINK("https://twitter.com/yosrahakbauw","@yosrahakbauw")</f>
        <v>@yosrahakbauw</v>
      </c>
      <c r="C29637" s="8" t="s">
        <v>7437</v>
      </c>
      <c r="D29637" s="8">
        <v>335</v>
      </c>
      <c r="E29637" s="8">
        <v>0</v>
      </c>
      <c r="F29637" s="8">
        <v>7</v>
      </c>
    </row>
    <row r="29638" spans="1:6" ht="12.75">
      <c r="A29638" s="8">
        <v>43891.241574074069</v>
      </c>
      <c r="B29638" s="8" t="str">
        <f>HYPERLINK("https://twitter.com/HkKlaten","@HkKlaten")</f>
        <v>@HkKlaten</v>
      </c>
      <c r="C29638" s="8" t="s">
        <v>7437</v>
      </c>
      <c r="D29638" s="8">
        <v>335</v>
      </c>
      <c r="E29638" s="8">
        <v>0</v>
      </c>
      <c r="F29638" s="8">
        <v>15</v>
      </c>
    </row>
    <row r="29639" spans="1:6" ht="12.75">
      <c r="A29639" s="8">
        <v>43891.241377314815</v>
      </c>
      <c r="B29639" s="8" t="str">
        <f>HYPERLINK("https://twitter.com/MohammadRivai","@MohammadRivai")</f>
        <v>@MohammadRivai</v>
      </c>
      <c r="C29639" s="8" t="s">
        <v>6836</v>
      </c>
      <c r="D29639" s="8">
        <v>563</v>
      </c>
      <c r="E29639" s="8">
        <v>0</v>
      </c>
      <c r="F29639" s="8">
        <v>161</v>
      </c>
    </row>
    <row r="29640" spans="1:6" ht="12.75">
      <c r="A29640" s="8">
        <v>43891.241099537037</v>
      </c>
      <c r="B29640" s="8" t="str">
        <f>HYPERLINK("https://twitter.com/J_Aryoko","@J_Aryoko")</f>
        <v>@J_Aryoko</v>
      </c>
      <c r="C29640" s="8" t="s">
        <v>10591</v>
      </c>
      <c r="D29640" s="8">
        <v>19</v>
      </c>
      <c r="E29640" s="8">
        <v>0</v>
      </c>
      <c r="F29640" s="8">
        <v>1416</v>
      </c>
    </row>
    <row r="29641" spans="1:6" ht="12.75">
      <c r="A29641" s="8">
        <v>43891.241064814814</v>
      </c>
      <c r="B29641" s="8" t="str">
        <f>HYPERLINK("https://twitter.com/Eben_Haizer","@Eben_Haizer")</f>
        <v>@Eben_Haizer</v>
      </c>
      <c r="C29641" s="8" t="s">
        <v>11261</v>
      </c>
      <c r="D29641" s="8">
        <v>0</v>
      </c>
      <c r="E29641" s="8">
        <v>0</v>
      </c>
      <c r="F29641" s="8">
        <v>289</v>
      </c>
    </row>
    <row r="29642" spans="1:6" ht="12.75">
      <c r="A29642" s="8">
        <v>43891.241041666668</v>
      </c>
      <c r="B29642" s="8" t="str">
        <f>HYPERLINK("https://twitter.com/Jono_Fortunate","@Jono_Fortunate")</f>
        <v>@Jono_Fortunate</v>
      </c>
      <c r="C29642" s="8" t="s">
        <v>11262</v>
      </c>
      <c r="D29642" s="8">
        <v>8</v>
      </c>
      <c r="E29642" s="8">
        <v>0</v>
      </c>
      <c r="F29642" s="8">
        <v>615</v>
      </c>
    </row>
    <row r="29643" spans="1:6" ht="12.75">
      <c r="A29643" s="8">
        <v>43891.240983796291</v>
      </c>
      <c r="B29643" s="8" t="str">
        <f>HYPERLINK("https://twitter.com/BatamGue","@BatamGue")</f>
        <v>@BatamGue</v>
      </c>
      <c r="C29643" s="8" t="s">
        <v>7686</v>
      </c>
      <c r="D29643" s="8">
        <v>870</v>
      </c>
      <c r="E29643" s="8">
        <v>0</v>
      </c>
      <c r="F29643" s="8">
        <v>919</v>
      </c>
    </row>
    <row r="29644" spans="1:6" ht="12.75">
      <c r="A29644" s="8">
        <v>43891.240451388891</v>
      </c>
      <c r="B29644" s="8" t="str">
        <f>HYPERLINK("https://twitter.com/ArtiHar","@ArtiHar")</f>
        <v>@ArtiHar</v>
      </c>
      <c r="C29644" s="8" t="s">
        <v>7686</v>
      </c>
      <c r="D29644" s="8">
        <v>870</v>
      </c>
      <c r="E29644" s="8">
        <v>0</v>
      </c>
      <c r="F29644" s="8">
        <v>617</v>
      </c>
    </row>
    <row r="29645" spans="1:6" ht="12.75">
      <c r="A29645" s="8">
        <v>43891.240231481483</v>
      </c>
      <c r="B29645" s="8" t="str">
        <f>HYPERLINK("https://twitter.com/torelwisnu","@torelwisnu")</f>
        <v>@torelwisnu</v>
      </c>
      <c r="C29645" s="8" t="s">
        <v>11263</v>
      </c>
      <c r="D29645" s="8">
        <v>0</v>
      </c>
      <c r="E29645" s="8">
        <v>0</v>
      </c>
      <c r="F29645" s="8">
        <v>1347</v>
      </c>
    </row>
    <row r="29646" spans="1:6" ht="12.75">
      <c r="A29646" s="8">
        <v>43891.239814814813</v>
      </c>
      <c r="B29646" s="8" t="str">
        <f>HYPERLINK("https://twitter.com/denikov","@denikov")</f>
        <v>@denikov</v>
      </c>
      <c r="C29646" s="8" t="s">
        <v>10986</v>
      </c>
      <c r="D29646" s="8">
        <v>26</v>
      </c>
      <c r="E29646" s="8">
        <v>0</v>
      </c>
      <c r="F29646" s="8">
        <v>2923</v>
      </c>
    </row>
    <row r="29647" spans="1:6" ht="12.75">
      <c r="A29647" s="8">
        <v>43891.239178240736</v>
      </c>
      <c r="B29647" s="8" t="str">
        <f>HYPERLINK("https://twitter.com/NanaSuryacandra","@NanaSuryacandra")</f>
        <v>@NanaSuryacandra</v>
      </c>
      <c r="C29647" s="8" t="s">
        <v>10510</v>
      </c>
      <c r="D29647" s="8">
        <v>8</v>
      </c>
      <c r="E29647" s="8">
        <v>0</v>
      </c>
      <c r="F29647" s="8">
        <v>712</v>
      </c>
    </row>
    <row r="29648" spans="1:6" ht="12.75">
      <c r="A29648" s="8">
        <v>43891.238888888889</v>
      </c>
      <c r="B29648" s="8" t="str">
        <f>HYPERLINK("https://twitter.com/RajaAbsolut","@RajaAbsolut")</f>
        <v>@RajaAbsolut</v>
      </c>
      <c r="C29648" s="8" t="s">
        <v>10510</v>
      </c>
      <c r="D29648" s="8">
        <v>8</v>
      </c>
      <c r="E29648" s="8">
        <v>0</v>
      </c>
      <c r="F29648" s="8">
        <v>1948</v>
      </c>
    </row>
    <row r="29649" spans="1:6" ht="12.75">
      <c r="A29649" s="8">
        <v>43891.238587962958</v>
      </c>
      <c r="B29649" s="8" t="str">
        <f>HYPERLINK("https://twitter.com/klappykoe","@klappykoe")</f>
        <v>@klappykoe</v>
      </c>
      <c r="C29649" s="8" t="s">
        <v>6836</v>
      </c>
      <c r="D29649" s="8">
        <v>563</v>
      </c>
      <c r="E29649" s="8">
        <v>0</v>
      </c>
      <c r="F29649" s="8">
        <v>964</v>
      </c>
    </row>
    <row r="29650" spans="1:6" ht="12.75">
      <c r="A29650" s="8">
        <v>43891.238379629634</v>
      </c>
      <c r="B29650" s="8" t="str">
        <f>HYPERLINK("https://twitter.com/novitazenn","@novitazenn")</f>
        <v>@novitazenn</v>
      </c>
      <c r="C29650" s="8" t="s">
        <v>11264</v>
      </c>
      <c r="D29650" s="8">
        <v>0</v>
      </c>
      <c r="E29650" s="8">
        <v>0</v>
      </c>
      <c r="F29650" s="8">
        <v>449</v>
      </c>
    </row>
    <row r="29651" spans="1:6" ht="12.75">
      <c r="A29651" s="8">
        <v>43891.238379629634</v>
      </c>
      <c r="B29651" s="8" t="str">
        <f>HYPERLINK("https://twitter.com/dewi_darmawati","@dewi_darmawati")</f>
        <v>@dewi_darmawati</v>
      </c>
      <c r="C29651" s="8" t="s">
        <v>10986</v>
      </c>
      <c r="D29651" s="8">
        <v>26</v>
      </c>
      <c r="E29651" s="8">
        <v>0</v>
      </c>
      <c r="F29651" s="8">
        <v>4352</v>
      </c>
    </row>
    <row r="29652" spans="1:6" ht="12.75">
      <c r="A29652" s="8">
        <v>43891.238032407404</v>
      </c>
      <c r="B29652" s="8" t="str">
        <f>HYPERLINK("https://twitter.com/Ato04139675","@Ato04139675")</f>
        <v>@Ato04139675</v>
      </c>
      <c r="C29652" s="8" t="s">
        <v>10510</v>
      </c>
      <c r="D29652" s="8">
        <v>8</v>
      </c>
      <c r="E29652" s="8">
        <v>0</v>
      </c>
      <c r="F29652" s="8">
        <v>628</v>
      </c>
    </row>
    <row r="29653" spans="1:6" ht="12.75">
      <c r="A29653" s="8">
        <v>43891.23773148148</v>
      </c>
      <c r="B29653" s="8" t="str">
        <f>HYPERLINK("https://twitter.com/Maulida42410037","@Maulida42410037")</f>
        <v>@Maulida42410037</v>
      </c>
      <c r="C29653" s="8" t="s">
        <v>10939</v>
      </c>
      <c r="D29653" s="8">
        <v>193</v>
      </c>
      <c r="E29653" s="8">
        <v>0</v>
      </c>
      <c r="F29653" s="8">
        <v>61</v>
      </c>
    </row>
    <row r="29654" spans="1:6" ht="12.75">
      <c r="A29654" s="8">
        <v>43891.237407407403</v>
      </c>
      <c r="B29654" s="8" t="str">
        <f>HYPERLINK("https://twitter.com/DiumahM","@DiumahM")</f>
        <v>@DiumahM</v>
      </c>
      <c r="C29654" s="8" t="s">
        <v>10986</v>
      </c>
      <c r="D29654" s="8">
        <v>26</v>
      </c>
      <c r="E29654" s="8">
        <v>0</v>
      </c>
      <c r="F29654" s="8">
        <v>52</v>
      </c>
    </row>
    <row r="29655" spans="1:6" ht="12.75">
      <c r="A29655" s="8">
        <v>43891.23710648148</v>
      </c>
      <c r="B29655" s="8" t="str">
        <f>HYPERLINK("https://twitter.com/DediTeulih2016","@DediTeulih2016")</f>
        <v>@DediTeulih2016</v>
      </c>
      <c r="C29655" s="8" t="s">
        <v>10939</v>
      </c>
      <c r="D29655" s="8">
        <v>193</v>
      </c>
      <c r="E29655" s="8">
        <v>0</v>
      </c>
      <c r="F29655" s="8">
        <v>1879</v>
      </c>
    </row>
    <row r="29656" spans="1:6" ht="12.75">
      <c r="A29656" s="8">
        <v>43891.236990740741</v>
      </c>
      <c r="B29656" s="8" t="str">
        <f>HYPERLINK("https://twitter.com/syafrieddy","@syafrieddy")</f>
        <v>@syafrieddy</v>
      </c>
      <c r="C29656" s="8" t="s">
        <v>11265</v>
      </c>
      <c r="D29656" s="8">
        <v>2</v>
      </c>
      <c r="E29656" s="8">
        <v>0</v>
      </c>
      <c r="F29656" s="8">
        <v>404</v>
      </c>
    </row>
    <row r="29657" spans="1:6" ht="12.75">
      <c r="A29657" s="8">
        <v>43891.23646990741</v>
      </c>
      <c r="B29657" s="8" t="str">
        <f>HYPERLINK("https://twitter.com/CendolGudeg","@CendolGudeg")</f>
        <v>@CendolGudeg</v>
      </c>
      <c r="C29657" s="8" t="s">
        <v>11266</v>
      </c>
      <c r="D29657" s="8">
        <v>0</v>
      </c>
      <c r="E29657" s="8">
        <v>0</v>
      </c>
      <c r="F29657" s="8">
        <v>7</v>
      </c>
    </row>
    <row r="29658" spans="1:6" ht="12.75">
      <c r="A29658" s="8">
        <v>43891.236342592594</v>
      </c>
      <c r="B29658" s="8" t="str">
        <f>HYPERLINK("https://twitter.com/Riche_Chi","@Riche_Chi")</f>
        <v>@Riche_Chi</v>
      </c>
      <c r="C29658" s="8" t="s">
        <v>10510</v>
      </c>
      <c r="D29658" s="8">
        <v>8</v>
      </c>
      <c r="E29658" s="8">
        <v>0</v>
      </c>
      <c r="F29658" s="8">
        <v>1303</v>
      </c>
    </row>
    <row r="29659" spans="1:6" ht="12.75">
      <c r="A29659" s="8">
        <v>43891.235578703709</v>
      </c>
      <c r="B29659" s="8" t="str">
        <f>HYPERLINK("https://twitter.com/Puspen_TNI","@Puspen_TNI")</f>
        <v>@Puspen_TNI</v>
      </c>
      <c r="C29659" s="8" t="s">
        <v>11267</v>
      </c>
      <c r="D29659" s="8">
        <v>8</v>
      </c>
      <c r="E29659" s="8">
        <v>23</v>
      </c>
      <c r="F29659" s="8">
        <v>306784</v>
      </c>
    </row>
    <row r="29660" spans="1:6" ht="12.75">
      <c r="A29660" s="8">
        <v>43891.2347337963</v>
      </c>
      <c r="B29660" s="8" t="str">
        <f>HYPERLINK("https://twitter.com/rizal_alfarouqy","@rizal_alfarouqy")</f>
        <v>@rizal_alfarouqy</v>
      </c>
      <c r="C29660" s="8" t="s">
        <v>11155</v>
      </c>
      <c r="D29660" s="8">
        <v>43</v>
      </c>
      <c r="E29660" s="8">
        <v>0</v>
      </c>
      <c r="F29660" s="8">
        <v>451</v>
      </c>
    </row>
    <row r="29661" spans="1:6" ht="12.75">
      <c r="A29661" s="8">
        <v>43891.2341087963</v>
      </c>
      <c r="B29661" s="8" t="str">
        <f>HYPERLINK("https://twitter.com/bintang5576","@bintang5576")</f>
        <v>@bintang5576</v>
      </c>
      <c r="C29661" s="8" t="s">
        <v>8746</v>
      </c>
      <c r="D29661" s="8">
        <v>375</v>
      </c>
      <c r="E29661" s="8">
        <v>0</v>
      </c>
      <c r="F29661" s="8">
        <v>1608</v>
      </c>
    </row>
    <row r="29662" spans="1:6" ht="12.75">
      <c r="A29662" s="8">
        <v>43891.233773148153</v>
      </c>
      <c r="B29662" s="8" t="str">
        <f>HYPERLINK("https://twitter.com/retnomaslikhan","@retnomaslikhan")</f>
        <v>@retnomaslikhan</v>
      </c>
      <c r="C29662" s="8" t="s">
        <v>10939</v>
      </c>
      <c r="D29662" s="8">
        <v>193</v>
      </c>
      <c r="E29662" s="8">
        <v>0</v>
      </c>
      <c r="F29662" s="8">
        <v>505</v>
      </c>
    </row>
    <row r="29663" spans="1:6" ht="12.75">
      <c r="A29663" s="8">
        <v>43891.233136574076</v>
      </c>
      <c r="B29663" s="8" t="str">
        <f>HYPERLINK("https://twitter.com/germantantra","@germantantra")</f>
        <v>@germantantra</v>
      </c>
      <c r="C29663" s="8" t="s">
        <v>10600</v>
      </c>
      <c r="D29663" s="8">
        <v>192</v>
      </c>
      <c r="E29663" s="8">
        <v>0</v>
      </c>
      <c r="F29663" s="8">
        <v>139</v>
      </c>
    </row>
    <row r="29664" spans="1:6" ht="12.75">
      <c r="A29664" s="8">
        <v>43891.232824074075</v>
      </c>
      <c r="B29664" s="8" t="str">
        <f>HYPERLINK("https://twitter.com/ninaevayanti","@ninaevayanti")</f>
        <v>@ninaevayanti</v>
      </c>
      <c r="C29664" s="8" t="s">
        <v>11268</v>
      </c>
      <c r="D29664" s="8">
        <v>0</v>
      </c>
      <c r="E29664" s="8">
        <v>1</v>
      </c>
      <c r="F29664" s="8">
        <v>329</v>
      </c>
    </row>
    <row r="29665" spans="1:6" ht="12.75">
      <c r="A29665" s="8">
        <v>43891.232662037037</v>
      </c>
      <c r="B29665" s="8" t="str">
        <f>HYPERLINK("https://twitter.com/DenMas___","@DenMas___")</f>
        <v>@DenMas___</v>
      </c>
      <c r="C29665" s="8" t="s">
        <v>11269</v>
      </c>
      <c r="D29665" s="8">
        <v>0</v>
      </c>
      <c r="E29665" s="8">
        <v>0</v>
      </c>
      <c r="F29665" s="8">
        <v>133</v>
      </c>
    </row>
    <row r="29666" spans="1:6" ht="12.75">
      <c r="A29666" s="8">
        <v>43891.232361111106</v>
      </c>
      <c r="B29666" s="8" t="str">
        <f>HYPERLINK("https://twitter.com/Siskameilindaa_","@Siskameilindaa_")</f>
        <v>@Siskameilindaa_</v>
      </c>
      <c r="C29666" s="8" t="s">
        <v>1318</v>
      </c>
      <c r="D29666" s="8">
        <v>23246</v>
      </c>
      <c r="E29666" s="8">
        <v>0</v>
      </c>
      <c r="F29666" s="8">
        <v>145</v>
      </c>
    </row>
    <row r="29667" spans="1:6" ht="12.75">
      <c r="A29667" s="8">
        <v>43891.232245370367</v>
      </c>
      <c r="B29667" s="8" t="str">
        <f>HYPERLINK("https://twitter.com/manZ8687","@manZ8687")</f>
        <v>@manZ8687</v>
      </c>
      <c r="C29667" s="8" t="s">
        <v>6836</v>
      </c>
      <c r="D29667" s="8">
        <v>563</v>
      </c>
      <c r="E29667" s="8">
        <v>0</v>
      </c>
      <c r="F29667" s="8">
        <v>152</v>
      </c>
    </row>
    <row r="29668" spans="1:6" ht="12.75">
      <c r="A29668" s="8">
        <v>43891.231782407413</v>
      </c>
      <c r="B29668" s="8" t="str">
        <f>HYPERLINK("https://twitter.com/DeaslyLekatomp1","@DeaslyLekatomp1")</f>
        <v>@DeaslyLekatomp1</v>
      </c>
      <c r="C29668" s="8" t="s">
        <v>7437</v>
      </c>
      <c r="D29668" s="8">
        <v>335</v>
      </c>
      <c r="E29668" s="8">
        <v>0</v>
      </c>
      <c r="F29668" s="8">
        <v>0</v>
      </c>
    </row>
    <row r="29669" spans="1:6" ht="12.75">
      <c r="A29669" s="8">
        <v>43891.231435185182</v>
      </c>
      <c r="B29669" s="8" t="str">
        <f>HYPERLINK("https://twitter.com/lukmanalwahid","@lukmanalwahid")</f>
        <v>@lukmanalwahid</v>
      </c>
      <c r="C29669" s="8" t="s">
        <v>11270</v>
      </c>
      <c r="D29669" s="8">
        <v>0</v>
      </c>
      <c r="E29669" s="8">
        <v>0</v>
      </c>
      <c r="F29669" s="8">
        <v>300</v>
      </c>
    </row>
    <row r="29670" spans="1:6" ht="12.75">
      <c r="A29670" s="8">
        <v>43891.231354166666</v>
      </c>
      <c r="B29670" s="8" t="str">
        <f>HYPERLINK("https://twitter.com/Mbah_dibjo","@Mbah_dibjo")</f>
        <v>@Mbah_dibjo</v>
      </c>
      <c r="C29670" s="8" t="s">
        <v>10971</v>
      </c>
      <c r="D29670" s="8">
        <v>21</v>
      </c>
      <c r="E29670" s="8">
        <v>0</v>
      </c>
      <c r="F29670" s="8">
        <v>1883</v>
      </c>
    </row>
    <row r="29671" spans="1:6" ht="12.75">
      <c r="A29671" s="8">
        <v>43891.231180555551</v>
      </c>
      <c r="B29671" s="8" t="str">
        <f>HYPERLINK("https://twitter.com/abuy1978","@abuy1978")</f>
        <v>@abuy1978</v>
      </c>
      <c r="C29671" s="8" t="s">
        <v>10600</v>
      </c>
      <c r="D29671" s="8">
        <v>192</v>
      </c>
      <c r="E29671" s="8">
        <v>0</v>
      </c>
      <c r="F29671" s="8">
        <v>175</v>
      </c>
    </row>
    <row r="29672" spans="1:6" ht="12.75">
      <c r="A29672" s="8">
        <v>43891.231087962966</v>
      </c>
      <c r="B29672" s="8" t="str">
        <f>HYPERLINK("https://twitter.com/SANUSI_OK","@SANUSI_OK")</f>
        <v>@SANUSI_OK</v>
      </c>
      <c r="C29672" s="8" t="s">
        <v>6836</v>
      </c>
      <c r="D29672" s="8">
        <v>563</v>
      </c>
      <c r="E29672" s="8">
        <v>0</v>
      </c>
      <c r="F29672" s="8">
        <v>151</v>
      </c>
    </row>
    <row r="29673" spans="1:6" ht="12.75">
      <c r="A29673" s="8">
        <v>43891.230671296296</v>
      </c>
      <c r="B29673" s="8" t="str">
        <f>HYPERLINK("https://twitter.com/indovoices_com","@indovoices_com")</f>
        <v>@indovoices_com</v>
      </c>
      <c r="C29673" s="8" t="s">
        <v>11271</v>
      </c>
      <c r="D29673" s="8">
        <v>0</v>
      </c>
      <c r="E29673" s="8">
        <v>0</v>
      </c>
      <c r="F29673" s="8">
        <v>125</v>
      </c>
    </row>
    <row r="29674" spans="1:6" ht="12.75">
      <c r="A29674" s="8">
        <v>43891.230624999997</v>
      </c>
      <c r="B29674" s="8" t="str">
        <f>HYPERLINK("https://twitter.com/soenardo","@soenardo")</f>
        <v>@soenardo</v>
      </c>
      <c r="C29674" s="8" t="s">
        <v>11271</v>
      </c>
      <c r="D29674" s="8">
        <v>0</v>
      </c>
      <c r="E29674" s="8">
        <v>0</v>
      </c>
      <c r="F29674" s="8">
        <v>50</v>
      </c>
    </row>
    <row r="29675" spans="1:6" ht="12.75">
      <c r="A29675" s="8">
        <v>43891.215115740742</v>
      </c>
      <c r="B29675" s="8" t="str">
        <f>HYPERLINK("https://twitter.com/pimenimiklegi","@pimenimiklegi")</f>
        <v>@pimenimiklegi</v>
      </c>
      <c r="C29675" s="8" t="s">
        <v>7686</v>
      </c>
      <c r="D29675" s="8">
        <v>859</v>
      </c>
      <c r="E29675" s="8">
        <v>0</v>
      </c>
      <c r="F29675" s="8">
        <v>181</v>
      </c>
    </row>
    <row r="29676" spans="1:6" ht="12.75">
      <c r="A29676" s="8">
        <v>43891.214895833335</v>
      </c>
      <c r="B29676" s="8" t="str">
        <f>HYPERLINK("https://twitter.com/AAlfatih18","@AAlfatih18")</f>
        <v>@AAlfatih18</v>
      </c>
      <c r="C29676" s="8" t="s">
        <v>7437</v>
      </c>
      <c r="D29676" s="8">
        <v>329</v>
      </c>
      <c r="E29676" s="8">
        <v>0</v>
      </c>
      <c r="F29676" s="8">
        <v>19</v>
      </c>
    </row>
    <row r="29677" spans="1:6" ht="12.75">
      <c r="A29677" s="8">
        <v>43891.214872685188</v>
      </c>
      <c r="B29677" s="8" t="str">
        <f>HYPERLINK("https://twitter.com/osselow","@osselow")</f>
        <v>@osselow</v>
      </c>
      <c r="C29677" s="8" t="s">
        <v>6836</v>
      </c>
      <c r="D29677" s="8">
        <v>550</v>
      </c>
      <c r="E29677" s="8">
        <v>0</v>
      </c>
      <c r="F29677" s="8">
        <v>611</v>
      </c>
    </row>
    <row r="29678" spans="1:6" ht="12.75">
      <c r="A29678" s="8">
        <v>43891.214085648149</v>
      </c>
      <c r="B29678" s="8" t="str">
        <f>HYPERLINK("https://twitter.com/SunardiGiman1","@SunardiGiman1")</f>
        <v>@SunardiGiman1</v>
      </c>
      <c r="C29678" s="8" t="s">
        <v>6490</v>
      </c>
      <c r="D29678" s="8">
        <v>247</v>
      </c>
      <c r="E29678" s="8">
        <v>0</v>
      </c>
      <c r="F29678" s="8">
        <v>1072</v>
      </c>
    </row>
    <row r="29679" spans="1:6" ht="12.75">
      <c r="A29679" s="8">
        <v>43891.213738425926</v>
      </c>
      <c r="B29679" s="8" t="str">
        <f>HYPERLINK("https://twitter.com/AmiruddinRobo","@AmiruddinRobo")</f>
        <v>@AmiruddinRobo</v>
      </c>
      <c r="C29679" s="8" t="s">
        <v>7686</v>
      </c>
      <c r="D29679" s="8">
        <v>859</v>
      </c>
      <c r="E29679" s="8">
        <v>0</v>
      </c>
      <c r="F29679" s="8">
        <v>126</v>
      </c>
    </row>
    <row r="29680" spans="1:6" ht="12.75">
      <c r="A29680" s="8">
        <v>43891.213206018518</v>
      </c>
      <c r="B29680" s="8" t="str">
        <f>HYPERLINK("https://twitter.com/Cemonk_69","@Cemonk_69")</f>
        <v>@Cemonk_69</v>
      </c>
      <c r="C29680" s="8" t="s">
        <v>6836</v>
      </c>
      <c r="D29680" s="8">
        <v>550</v>
      </c>
      <c r="E29680" s="8">
        <v>0</v>
      </c>
      <c r="F29680" s="8">
        <v>568</v>
      </c>
    </row>
    <row r="29681" spans="1:6" ht="12.75">
      <c r="A29681" s="8">
        <v>43891.210046296299</v>
      </c>
      <c r="B29681" s="8" t="str">
        <f>HYPERLINK("https://twitter.com/isis_macedo10","@isis_macedo10")</f>
        <v>@isis_macedo10</v>
      </c>
      <c r="C29681" s="8" t="s">
        <v>11272</v>
      </c>
      <c r="D29681" s="8">
        <v>0</v>
      </c>
      <c r="E29681" s="8">
        <v>0</v>
      </c>
      <c r="F29681" s="8">
        <v>5269</v>
      </c>
    </row>
    <row r="29682" spans="1:6" ht="12.75">
      <c r="A29682" s="8">
        <v>43891.209710648152</v>
      </c>
      <c r="B29682" s="8" t="str">
        <f>HYPERLINK("https://twitter.com/HakimGarisLurus","@HakimGarisLurus")</f>
        <v>@HakimGarisLurus</v>
      </c>
      <c r="C29682" s="8" t="s">
        <v>10600</v>
      </c>
      <c r="D29682" s="8">
        <v>183</v>
      </c>
      <c r="E29682" s="8">
        <v>0</v>
      </c>
      <c r="F29682" s="8">
        <v>1453</v>
      </c>
    </row>
    <row r="29683" spans="1:6" ht="12.75">
      <c r="A29683" s="8">
        <v>43891.209699074076</v>
      </c>
      <c r="B29683" s="8" t="str">
        <f>HYPERLINK("https://twitter.com/herrystian","@herrystian")</f>
        <v>@herrystian</v>
      </c>
      <c r="C29683" s="8" t="s">
        <v>6836</v>
      </c>
      <c r="D29683" s="8">
        <v>550</v>
      </c>
      <c r="E29683" s="8">
        <v>0</v>
      </c>
      <c r="F29683" s="8">
        <v>1025</v>
      </c>
    </row>
    <row r="29684" spans="1:6" ht="12.75">
      <c r="A29684" s="8">
        <v>43891.208912037036</v>
      </c>
      <c r="B29684" s="8" t="str">
        <f t="shared" ref="B29684:B29685" si="408">HYPERLINK("https://twitter.com/becak125cc","@becak125cc")</f>
        <v>@becak125cc</v>
      </c>
      <c r="C29684" s="8" t="s">
        <v>11273</v>
      </c>
      <c r="D29684" s="8">
        <v>30</v>
      </c>
      <c r="E29684" s="8">
        <v>0</v>
      </c>
      <c r="F29684" s="8">
        <v>544</v>
      </c>
    </row>
    <row r="29685" spans="1:6" ht="12.75">
      <c r="A29685" s="8">
        <v>43891.207500000004</v>
      </c>
      <c r="B29685" s="8" t="str">
        <f t="shared" si="408"/>
        <v>@becak125cc</v>
      </c>
      <c r="C29685" s="8" t="s">
        <v>9163</v>
      </c>
      <c r="D29685" s="8">
        <v>35</v>
      </c>
      <c r="E29685" s="8">
        <v>0</v>
      </c>
      <c r="F29685" s="8">
        <v>544</v>
      </c>
    </row>
    <row r="29686" spans="1:6" ht="12.75">
      <c r="A29686" s="8">
        <v>43891.207337962958</v>
      </c>
      <c r="B29686" s="8" t="str">
        <f>HYPERLINK("https://twitter.com/heiibulbdog","@heiibulbdog")</f>
        <v>@heiibulbdog</v>
      </c>
      <c r="C29686" s="8" t="s">
        <v>11075</v>
      </c>
      <c r="D29686" s="8">
        <v>86</v>
      </c>
      <c r="E29686" s="8">
        <v>0</v>
      </c>
      <c r="F29686" s="8">
        <v>200</v>
      </c>
    </row>
    <row r="29687" spans="1:6" ht="12.75">
      <c r="A29687" s="8">
        <v>43891.206250000003</v>
      </c>
      <c r="B29687" s="8" t="str">
        <f>HYPERLINK("https://twitter.com/AAliwardana","@AAliwardana")</f>
        <v>@AAliwardana</v>
      </c>
      <c r="C29687" s="8" t="s">
        <v>10811</v>
      </c>
      <c r="D29687" s="8">
        <v>258</v>
      </c>
      <c r="E29687" s="8">
        <v>0</v>
      </c>
      <c r="F29687" s="8">
        <v>60</v>
      </c>
    </row>
    <row r="29688" spans="1:6" ht="12.75">
      <c r="A29688" s="8">
        <v>43891.20612268518</v>
      </c>
      <c r="B29688" s="8" t="str">
        <f>HYPERLINK("https://twitter.com/diroshi3770","@diroshi3770")</f>
        <v>@diroshi3770</v>
      </c>
      <c r="C29688" s="8" t="s">
        <v>7437</v>
      </c>
      <c r="D29688" s="8">
        <v>329</v>
      </c>
      <c r="E29688" s="8">
        <v>0</v>
      </c>
      <c r="F29688" s="8">
        <v>1132</v>
      </c>
    </row>
    <row r="29689" spans="1:6" ht="12.75">
      <c r="A29689" s="8">
        <v>43891.205613425926</v>
      </c>
      <c r="B29689" s="8" t="str">
        <f>HYPERLINK("https://twitter.com/AnthonySigalin1","@AnthonySigalin1")</f>
        <v>@AnthonySigalin1</v>
      </c>
      <c r="C29689" s="8" t="s">
        <v>11274</v>
      </c>
      <c r="D29689" s="8">
        <v>0</v>
      </c>
      <c r="E29689" s="8">
        <v>0</v>
      </c>
      <c r="F29689" s="8">
        <v>300</v>
      </c>
    </row>
    <row r="29690" spans="1:6" ht="12.75">
      <c r="A29690" s="8">
        <v>43891.205613425926</v>
      </c>
      <c r="B29690" s="8" t="str">
        <f>HYPERLINK("https://twitter.com/heiibulbdog","@heiibulbdog")</f>
        <v>@heiibulbdog</v>
      </c>
      <c r="C29690" s="8" t="s">
        <v>10939</v>
      </c>
      <c r="D29690" s="8">
        <v>189</v>
      </c>
      <c r="E29690" s="8">
        <v>0</v>
      </c>
      <c r="F29690" s="8">
        <v>200</v>
      </c>
    </row>
    <row r="29691" spans="1:6" ht="12.75">
      <c r="A29691" s="8">
        <v>43891.204768518517</v>
      </c>
      <c r="B29691" s="8" t="str">
        <f>HYPERLINK("https://twitter.com/becak125cc","@becak125cc")</f>
        <v>@becak125cc</v>
      </c>
      <c r="C29691" s="8" t="s">
        <v>11105</v>
      </c>
      <c r="D29691" s="8">
        <v>173</v>
      </c>
      <c r="E29691" s="8">
        <v>0</v>
      </c>
      <c r="F29691" s="8">
        <v>544</v>
      </c>
    </row>
    <row r="29692" spans="1:6" ht="12.75">
      <c r="A29692" s="8">
        <v>43891.2034837963</v>
      </c>
      <c r="B29692" s="8" t="str">
        <f>HYPERLINK("https://twitter.com/danimaksudi1","@danimaksudi1")</f>
        <v>@danimaksudi1</v>
      </c>
      <c r="C29692" s="8" t="s">
        <v>10986</v>
      </c>
      <c r="D29692" s="8">
        <v>22</v>
      </c>
      <c r="E29692" s="8">
        <v>0</v>
      </c>
      <c r="F29692" s="8">
        <v>340</v>
      </c>
    </row>
    <row r="29693" spans="1:6" ht="12.75">
      <c r="A29693" s="8">
        <v>43891.201331018514</v>
      </c>
      <c r="B29693" s="8" t="str">
        <f>HYPERLINK("https://twitter.com/josetya","@josetya")</f>
        <v>@josetya</v>
      </c>
      <c r="C29693" s="8" t="s">
        <v>11275</v>
      </c>
      <c r="D29693" s="8">
        <v>0</v>
      </c>
      <c r="E29693" s="8">
        <v>0</v>
      </c>
      <c r="F29693" s="8">
        <v>1199</v>
      </c>
    </row>
    <row r="29694" spans="1:6" ht="12.75">
      <c r="A29694" s="8">
        <v>43891.200949074075</v>
      </c>
      <c r="B29694" s="8" t="str">
        <f>HYPERLINK("https://twitter.com/Prasad09761484","@Prasad09761484")</f>
        <v>@Prasad09761484</v>
      </c>
      <c r="C29694" s="8" t="s">
        <v>11276</v>
      </c>
      <c r="D29694" s="8">
        <v>0</v>
      </c>
      <c r="E29694" s="8">
        <v>0</v>
      </c>
      <c r="F29694" s="8">
        <v>3</v>
      </c>
    </row>
    <row r="29695" spans="1:6" ht="12.75">
      <c r="A29695" s="8">
        <v>43891.200879629629</v>
      </c>
      <c r="B29695" s="8" t="str">
        <f>HYPERLINK("https://twitter.com/555masteng","@555masteng")</f>
        <v>@555masteng</v>
      </c>
      <c r="C29695" s="8" t="s">
        <v>10939</v>
      </c>
      <c r="D29695" s="8">
        <v>189</v>
      </c>
      <c r="E29695" s="8">
        <v>0</v>
      </c>
      <c r="F29695" s="8">
        <v>5526</v>
      </c>
    </row>
    <row r="29696" spans="1:6" ht="12.75">
      <c r="A29696" s="8">
        <v>43891.19940972222</v>
      </c>
      <c r="B29696" s="8" t="str">
        <f>HYPERLINK("https://twitter.com/fkoernia29","@fkoernia29")</f>
        <v>@fkoernia29</v>
      </c>
      <c r="C29696" s="8" t="s">
        <v>2272</v>
      </c>
      <c r="D29696" s="8">
        <v>121</v>
      </c>
      <c r="E29696" s="8">
        <v>0</v>
      </c>
      <c r="F29696" s="8">
        <v>232</v>
      </c>
    </row>
    <row r="29697" spans="1:6" ht="12.75">
      <c r="A29697" s="8">
        <v>43891.199016203704</v>
      </c>
      <c r="B29697" s="8" t="str">
        <f>HYPERLINK("https://twitter.com/hmamansu","@hmamansu")</f>
        <v>@hmamansu</v>
      </c>
      <c r="C29697" s="8" t="s">
        <v>7686</v>
      </c>
      <c r="D29697" s="8">
        <v>859</v>
      </c>
      <c r="E29697" s="8">
        <v>0</v>
      </c>
      <c r="F29697" s="8">
        <v>87</v>
      </c>
    </row>
    <row r="29698" spans="1:6" ht="12.75">
      <c r="A29698" s="8">
        <v>43891.198645833334</v>
      </c>
      <c r="B29698" s="8" t="str">
        <f t="shared" ref="B29698:B29699" si="409">HYPERLINK("https://twitter.com/WahabisLokal","@WahabisLokal")</f>
        <v>@WahabisLokal</v>
      </c>
      <c r="C29698" s="8" t="s">
        <v>11277</v>
      </c>
      <c r="D29698" s="8">
        <v>1</v>
      </c>
      <c r="E29698" s="8">
        <v>0</v>
      </c>
      <c r="F29698" s="8">
        <v>20296</v>
      </c>
    </row>
    <row r="29699" spans="1:6" ht="12.75">
      <c r="A29699" s="8">
        <v>43891.198564814811</v>
      </c>
      <c r="B29699" s="8" t="str">
        <f t="shared" si="409"/>
        <v>@WahabisLokal</v>
      </c>
      <c r="C29699" s="8" t="s">
        <v>11278</v>
      </c>
      <c r="D29699" s="8">
        <v>1</v>
      </c>
      <c r="E29699" s="8">
        <v>0</v>
      </c>
      <c r="F29699" s="8">
        <v>20296</v>
      </c>
    </row>
    <row r="29700" spans="1:6" ht="12.75">
      <c r="A29700" s="8">
        <v>43891.198206018518</v>
      </c>
      <c r="B29700" s="8" t="str">
        <f>HYPERLINK("https://twitter.com/valle_isis","@valle_isis")</f>
        <v>@valle_isis</v>
      </c>
      <c r="C29700" s="8" t="s">
        <v>11279</v>
      </c>
      <c r="D29700" s="8">
        <v>0</v>
      </c>
      <c r="E29700" s="8">
        <v>1</v>
      </c>
      <c r="F29700" s="8">
        <v>417</v>
      </c>
    </row>
    <row r="29701" spans="1:6" ht="12.75">
      <c r="A29701" s="8">
        <v>43891.198182870372</v>
      </c>
      <c r="B29701" s="8" t="str">
        <f>HYPERLINK("https://twitter.com/555masteng","@555masteng")</f>
        <v>@555masteng</v>
      </c>
      <c r="C29701" s="8" t="s">
        <v>11280</v>
      </c>
      <c r="D29701" s="8">
        <v>32</v>
      </c>
      <c r="E29701" s="8">
        <v>0</v>
      </c>
      <c r="F29701" s="8">
        <v>5526</v>
      </c>
    </row>
    <row r="29702" spans="1:6" ht="12.75">
      <c r="A29702" s="8">
        <v>43891.193148148144</v>
      </c>
      <c r="B29702" s="8" t="str">
        <f>HYPERLINK("https://twitter.com/BhataktaG","@BhataktaG")</f>
        <v>@BhataktaG</v>
      </c>
      <c r="C29702" s="8" t="s">
        <v>11281</v>
      </c>
      <c r="D29702" s="8">
        <v>0</v>
      </c>
      <c r="E29702" s="8">
        <v>0</v>
      </c>
      <c r="F29702" s="8">
        <v>2</v>
      </c>
    </row>
    <row r="29703" spans="1:6" ht="12.75">
      <c r="A29703" s="8">
        <v>43891.191921296297</v>
      </c>
      <c r="B29703" s="8" t="str">
        <f>HYPERLINK("https://twitter.com/himawannk","@himawannk")</f>
        <v>@himawannk</v>
      </c>
      <c r="C29703" s="8" t="s">
        <v>11282</v>
      </c>
      <c r="D29703" s="8">
        <v>0</v>
      </c>
      <c r="E29703" s="8">
        <v>1</v>
      </c>
      <c r="F29703" s="8">
        <v>12246</v>
      </c>
    </row>
    <row r="29704" spans="1:6" ht="12.75">
      <c r="A29704" s="8">
        <v>43891.191458333335</v>
      </c>
      <c r="B29704" s="8" t="str">
        <f>HYPERLINK("https://twitter.com/ryuhanggar","@ryuhanggar")</f>
        <v>@ryuhanggar</v>
      </c>
      <c r="C29704" s="8" t="s">
        <v>7437</v>
      </c>
      <c r="D29704" s="8">
        <v>329</v>
      </c>
      <c r="E29704" s="8">
        <v>0</v>
      </c>
      <c r="F29704" s="8">
        <v>26</v>
      </c>
    </row>
    <row r="29705" spans="1:6" ht="12.75">
      <c r="A29705" s="8">
        <v>43891.190127314811</v>
      </c>
      <c r="B29705" s="8" t="str">
        <f>HYPERLINK("https://twitter.com/hendrygontoro","@hendrygontoro")</f>
        <v>@hendrygontoro</v>
      </c>
      <c r="C29705" s="8" t="s">
        <v>11283</v>
      </c>
      <c r="D29705" s="8">
        <v>7</v>
      </c>
      <c r="E29705" s="8">
        <v>0</v>
      </c>
      <c r="F29705" s="8">
        <v>400</v>
      </c>
    </row>
    <row r="29706" spans="1:6" ht="12.75">
      <c r="A29706" s="8">
        <v>43891.190115740741</v>
      </c>
      <c r="B29706" s="8" t="str">
        <f>HYPERLINK("https://twitter.com/jjsengui","@jjsengui")</f>
        <v>@jjsengui</v>
      </c>
      <c r="C29706" s="8" t="s">
        <v>4836</v>
      </c>
      <c r="D29706" s="8">
        <v>5418</v>
      </c>
      <c r="E29706" s="8">
        <v>0</v>
      </c>
      <c r="F29706" s="8">
        <v>855</v>
      </c>
    </row>
    <row r="29707" spans="1:6" ht="12.75">
      <c r="A29707" s="8">
        <v>43891.189560185187</v>
      </c>
      <c r="B29707" s="8" t="str">
        <f>HYPERLINK("https://twitter.com/totok97564223","@totok97564223")</f>
        <v>@totok97564223</v>
      </c>
      <c r="C29707" s="8" t="s">
        <v>11075</v>
      </c>
      <c r="D29707" s="8">
        <v>86</v>
      </c>
      <c r="E29707" s="8">
        <v>0</v>
      </c>
      <c r="F29707" s="8">
        <v>146</v>
      </c>
    </row>
    <row r="29708" spans="1:6" ht="12.75">
      <c r="A29708" s="8">
        <v>43891.187893518523</v>
      </c>
      <c r="B29708" s="8" t="str">
        <f>HYPERLINK("https://twitter.com/beten5","@beten5")</f>
        <v>@beten5</v>
      </c>
      <c r="C29708" s="8" t="s">
        <v>11222</v>
      </c>
      <c r="D29708" s="8">
        <v>10</v>
      </c>
      <c r="E29708" s="8">
        <v>0</v>
      </c>
      <c r="F29708" s="8">
        <v>6</v>
      </c>
    </row>
    <row r="29709" spans="1:6" ht="12.75">
      <c r="A29709" s="8">
        <v>43891.18613425926</v>
      </c>
      <c r="B29709" s="8" t="str">
        <f>HYPERLINK("https://twitter.com/DewiTweetz","@DewiTweetz")</f>
        <v>@DewiTweetz</v>
      </c>
      <c r="C29709" s="8" t="s">
        <v>9768</v>
      </c>
      <c r="D29709" s="8">
        <v>107</v>
      </c>
      <c r="E29709" s="8">
        <v>0</v>
      </c>
      <c r="F29709" s="8">
        <v>60</v>
      </c>
    </row>
    <row r="29710" spans="1:6" ht="12.75">
      <c r="A29710" s="8">
        <v>43891.185949074075</v>
      </c>
      <c r="B29710" s="8" t="str">
        <f>HYPERLINK("https://twitter.com/totok97564223","@totok97564223")</f>
        <v>@totok97564223</v>
      </c>
      <c r="C29710" s="8" t="s">
        <v>11284</v>
      </c>
      <c r="D29710" s="8">
        <v>3</v>
      </c>
      <c r="E29710" s="8">
        <v>0</v>
      </c>
      <c r="F29710" s="8">
        <v>146</v>
      </c>
    </row>
    <row r="29711" spans="1:6" ht="12.75">
      <c r="A29711" s="8">
        <v>43891.18513888889</v>
      </c>
      <c r="B29711" s="8" t="str">
        <f>HYPERLINK("https://twitter.com/lightsaiba","@lightsaiba")</f>
        <v>@lightsaiba</v>
      </c>
      <c r="C29711" s="8" t="s">
        <v>2272</v>
      </c>
      <c r="D29711" s="8">
        <v>121</v>
      </c>
      <c r="E29711" s="8">
        <v>0</v>
      </c>
      <c r="F29711" s="8">
        <v>909</v>
      </c>
    </row>
    <row r="29712" spans="1:6" ht="12.75">
      <c r="A29712" s="8">
        <v>43891.184988425928</v>
      </c>
      <c r="B29712" s="8" t="str">
        <f>HYPERLINK("https://twitter.com/ZoelFawzie","@ZoelFawzie")</f>
        <v>@ZoelFawzie</v>
      </c>
      <c r="C29712" s="8" t="s">
        <v>11285</v>
      </c>
      <c r="D29712" s="8">
        <v>0</v>
      </c>
      <c r="E29712" s="8">
        <v>0</v>
      </c>
      <c r="F29712" s="8">
        <v>6052</v>
      </c>
    </row>
    <row r="29713" spans="1:6" ht="12.75">
      <c r="A29713" s="8">
        <v>43891.18482638889</v>
      </c>
      <c r="B29713" s="8" t="str">
        <f>HYPERLINK("https://twitter.com/aniani63118456","@aniani63118456")</f>
        <v>@aniani63118456</v>
      </c>
      <c r="C29713" s="8" t="s">
        <v>6836</v>
      </c>
      <c r="D29713" s="8">
        <v>550</v>
      </c>
      <c r="E29713" s="8">
        <v>0</v>
      </c>
      <c r="F29713" s="8">
        <v>492</v>
      </c>
    </row>
    <row r="29714" spans="1:6" ht="12.75">
      <c r="A29714" s="8">
        <v>43891.18478009259</v>
      </c>
      <c r="B29714" s="8" t="str">
        <f>HYPERLINK("https://twitter.com/totok97564223","@totok97564223")</f>
        <v>@totok97564223</v>
      </c>
      <c r="C29714" s="8" t="s">
        <v>11151</v>
      </c>
      <c r="D29714" s="8">
        <v>15</v>
      </c>
      <c r="E29714" s="8">
        <v>0</v>
      </c>
      <c r="F29714" s="8">
        <v>146</v>
      </c>
    </row>
    <row r="29715" spans="1:6" ht="12.75">
      <c r="A29715" s="8">
        <v>43891.183715277773</v>
      </c>
      <c r="B29715" s="8" t="str">
        <f>HYPERLINK("https://twitter.com/argatrisarmy","@argatrisarmy")</f>
        <v>@argatrisarmy</v>
      </c>
      <c r="C29715" s="8" t="s">
        <v>7686</v>
      </c>
      <c r="D29715" s="8">
        <v>859</v>
      </c>
      <c r="E29715" s="8">
        <v>0</v>
      </c>
      <c r="F29715" s="8">
        <v>147</v>
      </c>
    </row>
    <row r="29716" spans="1:6" ht="12.75">
      <c r="A29716" s="8">
        <v>43891.183298611111</v>
      </c>
      <c r="B29716" s="8" t="str">
        <f>HYPERLINK("https://twitter.com/antosinaga","@antosinaga")</f>
        <v>@antosinaga</v>
      </c>
      <c r="C29716" s="8" t="s">
        <v>2272</v>
      </c>
      <c r="D29716" s="8">
        <v>121</v>
      </c>
      <c r="E29716" s="8">
        <v>0</v>
      </c>
      <c r="F29716" s="8">
        <v>254</v>
      </c>
    </row>
    <row r="29717" spans="1:6" ht="12.75">
      <c r="A29717" s="8">
        <v>43891.18246527778</v>
      </c>
      <c r="B29717" s="8" t="str">
        <f>HYPERLINK("https://twitter.com/gabrielfirdian","@gabrielfirdian")</f>
        <v>@gabrielfirdian</v>
      </c>
      <c r="C29717" s="8" t="s">
        <v>10971</v>
      </c>
      <c r="D29717" s="8">
        <v>19</v>
      </c>
      <c r="E29717" s="8">
        <v>0</v>
      </c>
      <c r="F29717" s="8">
        <v>211</v>
      </c>
    </row>
    <row r="29718" spans="1:6" ht="12.75">
      <c r="A29718" s="8">
        <v>43891.181099537032</v>
      </c>
      <c r="B29718" s="8" t="str">
        <f>HYPERLINK("https://twitter.com/ngonlain","@ngonlain")</f>
        <v>@ngonlain</v>
      </c>
      <c r="C29718" s="8" t="s">
        <v>11159</v>
      </c>
      <c r="D29718" s="8">
        <v>1</v>
      </c>
      <c r="E29718" s="8">
        <v>0</v>
      </c>
      <c r="F29718" s="8">
        <v>2642</v>
      </c>
    </row>
    <row r="29719" spans="1:6" ht="12.75">
      <c r="A29719" s="8">
        <v>43891.180312500001</v>
      </c>
      <c r="B29719" s="8" t="str">
        <f>HYPERLINK("https://twitter.com/Marsose23","@Marsose23")</f>
        <v>@Marsose23</v>
      </c>
      <c r="C29719" s="8" t="s">
        <v>11286</v>
      </c>
      <c r="D29719" s="8">
        <v>0</v>
      </c>
      <c r="E29719" s="8">
        <v>0</v>
      </c>
      <c r="F29719" s="8">
        <v>272</v>
      </c>
    </row>
    <row r="29720" spans="1:6" ht="12.75">
      <c r="A29720" s="8">
        <v>43891.1799537037</v>
      </c>
      <c r="B29720" s="8" t="str">
        <f>HYPERLINK("https://twitter.com/CieAgriasari","@CieAgriasari")</f>
        <v>@CieAgriasari</v>
      </c>
      <c r="C29720" s="8" t="s">
        <v>7686</v>
      </c>
      <c r="D29720" s="8">
        <v>859</v>
      </c>
      <c r="E29720" s="8">
        <v>0</v>
      </c>
      <c r="F29720" s="8">
        <v>74</v>
      </c>
    </row>
    <row r="29721" spans="1:6" ht="12.75">
      <c r="A29721" s="8">
        <v>43891.179930555554</v>
      </c>
      <c r="B29721" s="8" t="str">
        <f>HYPERLINK("https://twitter.com/Ishigak33546331","@Ishigak33546331")</f>
        <v>@Ishigak33546331</v>
      </c>
      <c r="C29721" s="8" t="s">
        <v>10811</v>
      </c>
      <c r="D29721" s="8">
        <v>258</v>
      </c>
      <c r="E29721" s="8">
        <v>0</v>
      </c>
      <c r="F29721" s="8">
        <v>88</v>
      </c>
    </row>
    <row r="29722" spans="1:6" ht="12.75">
      <c r="A29722" s="8">
        <v>43891.179791666669</v>
      </c>
      <c r="B29722" s="8" t="str">
        <f>HYPERLINK("https://twitter.com/Bima040916","@Bima040916")</f>
        <v>@Bima040916</v>
      </c>
      <c r="C29722" s="8" t="s">
        <v>10600</v>
      </c>
      <c r="D29722" s="8">
        <v>183</v>
      </c>
      <c r="E29722" s="8">
        <v>0</v>
      </c>
      <c r="F29722" s="8">
        <v>1625</v>
      </c>
    </row>
    <row r="29723" spans="1:6" ht="12.75">
      <c r="A29723" s="8">
        <v>43891.178414351853</v>
      </c>
      <c r="B29723" s="8" t="str">
        <f>HYPERLINK("https://twitter.com/BasilSakti","@BasilSakti")</f>
        <v>@BasilSakti</v>
      </c>
      <c r="C29723" s="8" t="s">
        <v>7437</v>
      </c>
      <c r="D29723" s="8">
        <v>329</v>
      </c>
      <c r="E29723" s="8">
        <v>0</v>
      </c>
      <c r="F29723" s="8">
        <v>203</v>
      </c>
    </row>
    <row r="29724" spans="1:6" ht="12.75">
      <c r="A29724" s="8">
        <v>43891.175844907411</v>
      </c>
      <c r="B29724" s="8" t="str">
        <f>HYPERLINK("https://twitter.com/TK_nov66","@TK_nov66")</f>
        <v>@TK_nov66</v>
      </c>
      <c r="C29724" s="8" t="s">
        <v>11287</v>
      </c>
      <c r="D29724" s="8">
        <v>0</v>
      </c>
      <c r="E29724" s="8">
        <v>0</v>
      </c>
      <c r="F29724" s="8">
        <v>294</v>
      </c>
    </row>
    <row r="29725" spans="1:6" ht="12.75">
      <c r="A29725" s="8">
        <v>43891.175208333334</v>
      </c>
      <c r="B29725" s="8" t="str">
        <f>HYPERLINK("https://twitter.com/ISIS_Balik_NO","@ISIS_Balik_NO")</f>
        <v>@ISIS_Balik_NO</v>
      </c>
      <c r="C29725" s="8" t="s">
        <v>11288</v>
      </c>
      <c r="D29725" s="8">
        <v>0</v>
      </c>
      <c r="E29725" s="8">
        <v>0</v>
      </c>
      <c r="F29725" s="8">
        <v>6081</v>
      </c>
    </row>
    <row r="29726" spans="1:6" ht="12.75">
      <c r="A29726" s="8">
        <v>43891.17491898148</v>
      </c>
      <c r="B29726" s="8" t="str">
        <f>HYPERLINK("https://twitter.com/WantoroArt","@WantoroArt")</f>
        <v>@WantoroArt</v>
      </c>
      <c r="C29726" s="8" t="s">
        <v>6836</v>
      </c>
      <c r="D29726" s="8">
        <v>550</v>
      </c>
      <c r="E29726" s="8">
        <v>0</v>
      </c>
      <c r="F29726" s="8">
        <v>93</v>
      </c>
    </row>
    <row r="29727" spans="1:6" ht="12.75">
      <c r="A29727" s="8">
        <v>43891.172800925924</v>
      </c>
      <c r="B29727" s="8" t="str">
        <f>HYPERLINK("https://twitter.com/BasilSakti","@BasilSakti")</f>
        <v>@BasilSakti</v>
      </c>
      <c r="C29727" s="8" t="s">
        <v>7686</v>
      </c>
      <c r="D29727" s="8">
        <v>854</v>
      </c>
      <c r="E29727" s="8">
        <v>0</v>
      </c>
      <c r="F29727" s="8">
        <v>203</v>
      </c>
    </row>
    <row r="29728" spans="1:6" ht="12.75">
      <c r="A29728" s="8">
        <v>43891.171666666662</v>
      </c>
      <c r="B29728" s="8" t="str">
        <f>HYPERLINK("https://twitter.com/kyokupie","@kyokupie")</f>
        <v>@kyokupie</v>
      </c>
      <c r="C29728" s="8" t="s">
        <v>2272</v>
      </c>
      <c r="D29728" s="8">
        <v>117</v>
      </c>
      <c r="E29728" s="8">
        <v>0</v>
      </c>
      <c r="F29728" s="8">
        <v>177</v>
      </c>
    </row>
    <row r="29729" spans="1:6" ht="12.75">
      <c r="A29729" s="8">
        <v>43891.170590277776</v>
      </c>
      <c r="B29729" s="8" t="str">
        <f t="shared" ref="B29729:B29730" si="410">HYPERLINK("https://twitter.com/jjsengui","@jjsengui")</f>
        <v>@jjsengui</v>
      </c>
      <c r="C29729" s="8" t="s">
        <v>26</v>
      </c>
      <c r="D29729" s="8">
        <v>181</v>
      </c>
      <c r="E29729" s="8">
        <v>0</v>
      </c>
      <c r="F29729" s="8">
        <v>856</v>
      </c>
    </row>
    <row r="29730" spans="1:6" ht="12.75">
      <c r="A29730" s="8">
        <v>43891.170324074075</v>
      </c>
      <c r="B29730" s="8" t="str">
        <f t="shared" si="410"/>
        <v>@jjsengui</v>
      </c>
      <c r="C29730" s="8" t="s">
        <v>4785</v>
      </c>
      <c r="D29730" s="8">
        <v>500</v>
      </c>
      <c r="E29730" s="8">
        <v>0</v>
      </c>
      <c r="F29730" s="8">
        <v>856</v>
      </c>
    </row>
    <row r="29731" spans="1:6" ht="12.75">
      <c r="A29731" s="8">
        <v>43891.170254629629</v>
      </c>
      <c r="B29731" s="8" t="str">
        <f>HYPERLINK("https://twitter.com/EkoSeputro13","@EkoSeputro13")</f>
        <v>@EkoSeputro13</v>
      </c>
      <c r="C29731" s="8" t="s">
        <v>11289</v>
      </c>
      <c r="D29731" s="8">
        <v>0</v>
      </c>
      <c r="E29731" s="8">
        <v>1</v>
      </c>
      <c r="F29731" s="8">
        <v>2184</v>
      </c>
    </row>
    <row r="29732" spans="1:6" ht="12.75">
      <c r="A29732" s="8">
        <v>43891.169456018513</v>
      </c>
      <c r="B29732" s="8" t="str">
        <f>HYPERLINK("https://twitter.com/ebcdewi","@ebcdewi")</f>
        <v>@ebcdewi</v>
      </c>
      <c r="C29732" s="8" t="s">
        <v>2272</v>
      </c>
      <c r="D29732" s="8">
        <v>117</v>
      </c>
      <c r="E29732" s="8">
        <v>0</v>
      </c>
      <c r="F29732" s="8">
        <v>234</v>
      </c>
    </row>
    <row r="29733" spans="1:6" ht="12.75">
      <c r="A29733" s="8">
        <v>43891.169166666667</v>
      </c>
      <c r="B29733" s="8" t="str">
        <f>HYPERLINK("https://twitter.com/teukurival_","@teukurival_")</f>
        <v>@teukurival_</v>
      </c>
      <c r="C29733" s="8" t="s">
        <v>4235</v>
      </c>
      <c r="D29733" s="8">
        <v>1585</v>
      </c>
      <c r="E29733" s="8">
        <v>0</v>
      </c>
      <c r="F29733" s="8">
        <v>95</v>
      </c>
    </row>
    <row r="29734" spans="1:6" ht="12.75">
      <c r="A29734" s="8">
        <v>43891.16915509259</v>
      </c>
      <c r="B29734" s="8" t="str">
        <f>HYPERLINK("https://twitter.com/amsalOS","@amsalOS")</f>
        <v>@amsalOS</v>
      </c>
      <c r="C29734" s="8" t="s">
        <v>11290</v>
      </c>
      <c r="D29734" s="8">
        <v>0</v>
      </c>
      <c r="E29734" s="8">
        <v>0</v>
      </c>
      <c r="F29734" s="8">
        <v>438</v>
      </c>
    </row>
    <row r="29735" spans="1:6" ht="12.75">
      <c r="A29735" s="8">
        <v>43891.167870370366</v>
      </c>
      <c r="B29735" s="8" t="str">
        <f>HYPERLINK("https://twitter.com/Balakasadutt","@Balakasadutt")</f>
        <v>@Balakasadutt</v>
      </c>
      <c r="C29735" s="8" t="s">
        <v>6836</v>
      </c>
      <c r="D29735" s="8">
        <v>541</v>
      </c>
      <c r="E29735" s="8">
        <v>0</v>
      </c>
      <c r="F29735" s="8">
        <v>764</v>
      </c>
    </row>
    <row r="29736" spans="1:6" ht="12.75">
      <c r="A29736" s="8">
        <v>43891.167361111111</v>
      </c>
      <c r="B29736" s="8" t="str">
        <f>HYPERLINK("https://twitter.com/luthfiananta_dz","@luthfiananta_dz")</f>
        <v>@luthfiananta_dz</v>
      </c>
      <c r="C29736" s="8" t="s">
        <v>7686</v>
      </c>
      <c r="D29736" s="8">
        <v>854</v>
      </c>
      <c r="E29736" s="8">
        <v>0</v>
      </c>
      <c r="F29736" s="8">
        <v>898</v>
      </c>
    </row>
    <row r="29737" spans="1:6" ht="12.75">
      <c r="A29737" s="8">
        <v>43891.166562500002</v>
      </c>
      <c r="B29737" s="8" t="str">
        <f>HYPERLINK("https://twitter.com/fatihsyuhud","@fatihsyuhud")</f>
        <v>@fatihsyuhud</v>
      </c>
      <c r="C29737" s="8" t="s">
        <v>11291</v>
      </c>
      <c r="D29737" s="8">
        <v>0</v>
      </c>
      <c r="E29737" s="8">
        <v>0</v>
      </c>
      <c r="F29737" s="8">
        <v>11698</v>
      </c>
    </row>
    <row r="29738" spans="1:6" ht="12.75">
      <c r="A29738" s="8">
        <v>43891.166562500002</v>
      </c>
      <c r="B29738" s="8" t="str">
        <f>HYPERLINK("https://twitter.com/angenbagas","@angenbagas")</f>
        <v>@angenbagas</v>
      </c>
      <c r="C29738" s="8" t="s">
        <v>6836</v>
      </c>
      <c r="D29738" s="8">
        <v>541</v>
      </c>
      <c r="E29738" s="8">
        <v>0</v>
      </c>
      <c r="F29738" s="8">
        <v>209</v>
      </c>
    </row>
    <row r="29739" spans="1:6" ht="12.75">
      <c r="A29739" s="8">
        <v>43891.165914351848</v>
      </c>
      <c r="B29739" s="8" t="str">
        <f>HYPERLINK("https://twitter.com/toranaga3000","@toranaga3000")</f>
        <v>@toranaga3000</v>
      </c>
      <c r="C29739" s="8" t="s">
        <v>10552</v>
      </c>
      <c r="D29739" s="8">
        <v>2</v>
      </c>
      <c r="E29739" s="8">
        <v>0</v>
      </c>
      <c r="F29739" s="8">
        <v>2422</v>
      </c>
    </row>
    <row r="29740" spans="1:6" ht="12.75">
      <c r="A29740" s="8">
        <v>43891.164641203708</v>
      </c>
      <c r="B29740" s="8" t="str">
        <f>HYPERLINK("https://twitter.com/kembaracitta","@kembaracitta")</f>
        <v>@kembaracitta</v>
      </c>
      <c r="C29740" s="8" t="s">
        <v>11292</v>
      </c>
      <c r="D29740" s="8">
        <v>60</v>
      </c>
      <c r="E29740" s="8">
        <v>0</v>
      </c>
      <c r="F29740" s="8">
        <v>1765</v>
      </c>
    </row>
    <row r="29741" spans="1:6" ht="12.75">
      <c r="A29741" s="8">
        <v>43891.163807870369</v>
      </c>
      <c r="B29741" s="8" t="str">
        <f>HYPERLINK("https://twitter.com/Cang_BaimGL","@Cang_BaimGL")</f>
        <v>@Cang_BaimGL</v>
      </c>
      <c r="C29741" s="8" t="s">
        <v>11293</v>
      </c>
      <c r="D29741" s="8">
        <v>1</v>
      </c>
      <c r="E29741" s="8">
        <v>0</v>
      </c>
      <c r="F29741" s="8">
        <v>510</v>
      </c>
    </row>
    <row r="29742" spans="1:6" ht="12.75">
      <c r="A29742" s="8">
        <v>43891.163229166668</v>
      </c>
      <c r="B29742" s="8" t="str">
        <f>HYPERLINK("https://twitter.com/islamlib","@islamlib")</f>
        <v>@islamlib</v>
      </c>
      <c r="C29742" s="8" t="s">
        <v>10899</v>
      </c>
      <c r="D29742" s="8">
        <v>0</v>
      </c>
      <c r="E29742" s="8">
        <v>0</v>
      </c>
      <c r="F29742" s="8">
        <v>14304</v>
      </c>
    </row>
    <row r="29743" spans="1:6" ht="12.75">
      <c r="A29743" s="8">
        <v>43891.163043981476</v>
      </c>
      <c r="B29743" s="8" t="str">
        <f>HYPERLINK("https://twitter.com/endanghidayat","@endanghidayat")</f>
        <v>@endanghidayat</v>
      </c>
      <c r="C29743" s="8" t="s">
        <v>8746</v>
      </c>
      <c r="D29743" s="8">
        <v>375</v>
      </c>
      <c r="E29743" s="8">
        <v>0</v>
      </c>
      <c r="F29743" s="8">
        <v>644</v>
      </c>
    </row>
    <row r="29744" spans="1:6" ht="12.75">
      <c r="A29744" s="8">
        <v>43891.161747685182</v>
      </c>
      <c r="B29744" s="8" t="str">
        <f>HYPERLINK("https://twitter.com/Jokoumb64504158","@Jokoumb64504158")</f>
        <v>@Jokoumb64504158</v>
      </c>
      <c r="C29744" s="8" t="s">
        <v>11294</v>
      </c>
      <c r="D29744" s="8">
        <v>1</v>
      </c>
      <c r="E29744" s="8">
        <v>2</v>
      </c>
      <c r="F29744" s="8">
        <v>3705</v>
      </c>
    </row>
    <row r="29745" spans="1:6" ht="12.75">
      <c r="A29745" s="8">
        <v>43891.16024305555</v>
      </c>
      <c r="B29745" s="8" t="str">
        <f>HYPERLINK("https://twitter.com/CTeckyo","@CTeckyo")</f>
        <v>@CTeckyo</v>
      </c>
      <c r="C29745" s="8" t="s">
        <v>7686</v>
      </c>
      <c r="D29745" s="8">
        <v>854</v>
      </c>
      <c r="E29745" s="8">
        <v>0</v>
      </c>
      <c r="F29745" s="8">
        <v>159</v>
      </c>
    </row>
    <row r="29746" spans="1:6" ht="12.75">
      <c r="A29746" s="8">
        <v>43891.158229166671</v>
      </c>
      <c r="B29746" s="8" t="str">
        <f>HYPERLINK("https://twitter.com/riskywolterS","@riskywolterS")</f>
        <v>@riskywolterS</v>
      </c>
      <c r="C29746" s="8" t="s">
        <v>11295</v>
      </c>
      <c r="D29746" s="8">
        <v>2</v>
      </c>
      <c r="E29746" s="8">
        <v>0</v>
      </c>
      <c r="F29746" s="8">
        <v>157</v>
      </c>
    </row>
    <row r="29747" spans="1:6" ht="12.75">
      <c r="A29747" s="8">
        <v>43891.157291666663</v>
      </c>
      <c r="B29747" s="8" t="str">
        <f>HYPERLINK("https://twitter.com/DenmasDejan","@DenmasDejan")</f>
        <v>@DenmasDejan</v>
      </c>
      <c r="C29747" s="8" t="s">
        <v>2941</v>
      </c>
      <c r="D29747" s="8">
        <v>1093</v>
      </c>
      <c r="E29747" s="8">
        <v>0</v>
      </c>
      <c r="F29747" s="8">
        <v>275</v>
      </c>
    </row>
    <row r="29748" spans="1:6" ht="12.75">
      <c r="A29748" s="8">
        <v>43891.156967592593</v>
      </c>
      <c r="B29748" s="8" t="str">
        <f>HYPERLINK("https://twitter.com/hendraputrasiag","@hendraputrasiag")</f>
        <v>@hendraputrasiag</v>
      </c>
      <c r="C29748" s="8" t="s">
        <v>11105</v>
      </c>
      <c r="D29748" s="8">
        <v>172</v>
      </c>
      <c r="E29748" s="8">
        <v>0</v>
      </c>
      <c r="F29748" s="8">
        <v>185</v>
      </c>
    </row>
    <row r="29749" spans="1:6" ht="12.75">
      <c r="A29749" s="8">
        <v>43891.156956018516</v>
      </c>
      <c r="B29749" s="8" t="str">
        <f>HYPERLINK("https://twitter.com/anto787","@anto787")</f>
        <v>@anto787</v>
      </c>
      <c r="C29749" s="8" t="s">
        <v>7686</v>
      </c>
      <c r="D29749" s="8">
        <v>854</v>
      </c>
      <c r="E29749" s="8">
        <v>0</v>
      </c>
      <c r="F29749" s="8">
        <v>271</v>
      </c>
    </row>
    <row r="29750" spans="1:6" ht="12.75">
      <c r="A29750" s="8">
        <v>43891.156585648147</v>
      </c>
      <c r="B29750" s="8" t="str">
        <f>HYPERLINK("https://twitter.com/eric_joo1","@eric_joo1")</f>
        <v>@eric_joo1</v>
      </c>
      <c r="C29750" s="8" t="s">
        <v>11296</v>
      </c>
      <c r="D29750" s="8">
        <v>1</v>
      </c>
      <c r="E29750" s="8">
        <v>0</v>
      </c>
      <c r="F29750" s="8">
        <v>89</v>
      </c>
    </row>
    <row r="29751" spans="1:6" ht="12.75">
      <c r="A29751" s="8">
        <v>43891.156527777777</v>
      </c>
      <c r="B29751" s="8" t="str">
        <f>HYPERLINK("https://twitter.com/verich62","@verich62")</f>
        <v>@verich62</v>
      </c>
      <c r="C29751" s="8" t="s">
        <v>11297</v>
      </c>
      <c r="D29751" s="8">
        <v>0</v>
      </c>
      <c r="E29751" s="8">
        <v>0</v>
      </c>
      <c r="F29751" s="8">
        <v>17</v>
      </c>
    </row>
    <row r="29752" spans="1:6" ht="12.75">
      <c r="A29752" s="8">
        <v>43891.156527777777</v>
      </c>
      <c r="B29752" s="8" t="str">
        <f>HYPERLINK("https://twitter.com/RelawanUMKM","@RelawanUMKM")</f>
        <v>@RelawanUMKM</v>
      </c>
      <c r="C29752" s="8" t="s">
        <v>7686</v>
      </c>
      <c r="D29752" s="8">
        <v>854</v>
      </c>
      <c r="E29752" s="8">
        <v>0</v>
      </c>
      <c r="F29752" s="8">
        <v>388</v>
      </c>
    </row>
    <row r="29753" spans="1:6" ht="12.75">
      <c r="A29753" s="8">
        <v>43891.155775462961</v>
      </c>
      <c r="B29753" s="8" t="str">
        <f>HYPERLINK("https://twitter.com/ramenkering","@ramenkering")</f>
        <v>@ramenkering</v>
      </c>
      <c r="C29753" s="8" t="s">
        <v>10600</v>
      </c>
      <c r="D29753" s="8">
        <v>181</v>
      </c>
      <c r="E29753" s="8">
        <v>0</v>
      </c>
      <c r="F29753" s="8">
        <v>142</v>
      </c>
    </row>
    <row r="29754" spans="1:6" ht="12.75">
      <c r="A29754" s="8">
        <v>43891.155370370368</v>
      </c>
      <c r="B29754" s="8" t="str">
        <f>HYPERLINK("https://twitter.com/Maulida42410037","@Maulida42410037")</f>
        <v>@Maulida42410037</v>
      </c>
      <c r="C29754" s="8" t="s">
        <v>10600</v>
      </c>
      <c r="D29754" s="8">
        <v>181</v>
      </c>
      <c r="E29754" s="8">
        <v>0</v>
      </c>
      <c r="F29754" s="8">
        <v>61</v>
      </c>
    </row>
    <row r="29755" spans="1:6" ht="12.75">
      <c r="A29755" s="8">
        <v>43891.154837962968</v>
      </c>
      <c r="B29755" s="8" t="str">
        <f>HYPERLINK("https://twitter.com/Syafrizalgan","@Syafrizalgan")</f>
        <v>@Syafrizalgan</v>
      </c>
      <c r="C29755" s="8" t="s">
        <v>11298</v>
      </c>
      <c r="D29755" s="8">
        <v>0</v>
      </c>
      <c r="E29755" s="8">
        <v>0</v>
      </c>
      <c r="F29755" s="8">
        <v>52</v>
      </c>
    </row>
    <row r="29756" spans="1:6" ht="12.75">
      <c r="A29756" s="8">
        <v>43891.153680555552</v>
      </c>
      <c r="B29756" s="8" t="str">
        <f>HYPERLINK("https://twitter.com/Kadalgurun1990","@Kadalgurun1990")</f>
        <v>@Kadalgurun1990</v>
      </c>
      <c r="C29756" s="8" t="s">
        <v>7686</v>
      </c>
      <c r="D29756" s="8">
        <v>854</v>
      </c>
      <c r="E29756" s="8">
        <v>0</v>
      </c>
      <c r="F29756" s="8">
        <v>448</v>
      </c>
    </row>
    <row r="29757" spans="1:6" ht="12.75">
      <c r="A29757" s="8">
        <v>43891.153298611112</v>
      </c>
      <c r="B29757" s="8" t="str">
        <f t="shared" ref="B29757:B29758" si="411">HYPERLINK("https://twitter.com/AGUSINDONESIA2","@AGUSINDONESIA2")</f>
        <v>@AGUSINDONESIA2</v>
      </c>
      <c r="C29757" s="8" t="s">
        <v>11299</v>
      </c>
      <c r="D29757" s="8">
        <v>1</v>
      </c>
      <c r="E29757" s="8">
        <v>0</v>
      </c>
      <c r="F29757" s="8">
        <v>418</v>
      </c>
    </row>
    <row r="29758" spans="1:6" ht="12.75">
      <c r="A29758" s="8">
        <v>43891.152974537035</v>
      </c>
      <c r="B29758" s="8" t="str">
        <f t="shared" si="411"/>
        <v>@AGUSINDONESIA2</v>
      </c>
      <c r="C29758" s="8" t="s">
        <v>10986</v>
      </c>
      <c r="D29758" s="8">
        <v>21</v>
      </c>
      <c r="E29758" s="8">
        <v>0</v>
      </c>
      <c r="F29758" s="8">
        <v>418</v>
      </c>
    </row>
    <row r="29759" spans="1:6" ht="12.75">
      <c r="A29759" s="8">
        <v>43891.152800925927</v>
      </c>
      <c r="B29759" s="8" t="str">
        <f>HYPERLINK("https://twitter.com/Mbut_Ahh","@Mbut_Ahh")</f>
        <v>@Mbut_Ahh</v>
      </c>
      <c r="C29759" s="8" t="s">
        <v>11300</v>
      </c>
      <c r="D29759" s="8">
        <v>0</v>
      </c>
      <c r="E29759" s="8">
        <v>0</v>
      </c>
      <c r="F29759" s="8">
        <v>190</v>
      </c>
    </row>
    <row r="29760" spans="1:6" ht="12.75">
      <c r="A29760" s="8">
        <v>43891.151817129634</v>
      </c>
      <c r="B29760" s="8" t="str">
        <f>HYPERLINK("https://twitter.com/RHNurcahyo","@RHNurcahyo")</f>
        <v>@RHNurcahyo</v>
      </c>
      <c r="C29760" s="8" t="s">
        <v>10391</v>
      </c>
      <c r="D29760" s="8">
        <v>124</v>
      </c>
      <c r="E29760" s="8">
        <v>0</v>
      </c>
      <c r="F29760" s="8">
        <v>464</v>
      </c>
    </row>
    <row r="29761" spans="1:6" ht="12.75">
      <c r="A29761" s="8">
        <v>43891.151759259257</v>
      </c>
      <c r="B29761" s="8" t="str">
        <f>HYPERLINK("https://twitter.com/akhrizal","@akhrizal")</f>
        <v>@akhrizal</v>
      </c>
      <c r="C29761" s="8" t="s">
        <v>11301</v>
      </c>
      <c r="D29761" s="8">
        <v>24</v>
      </c>
      <c r="E29761" s="8">
        <v>0</v>
      </c>
      <c r="F29761" s="8">
        <v>166</v>
      </c>
    </row>
    <row r="29762" spans="1:6" ht="12.75">
      <c r="A29762" s="8">
        <v>43891.151331018518</v>
      </c>
      <c r="B29762" s="8" t="str">
        <f>HYPERLINK("https://twitter.com/alfxxxr","@alfxxxr")</f>
        <v>@alfxxxr</v>
      </c>
      <c r="C29762" s="8" t="s">
        <v>11302</v>
      </c>
      <c r="D29762" s="8">
        <v>57</v>
      </c>
      <c r="E29762" s="8">
        <v>0</v>
      </c>
      <c r="F29762" s="8">
        <v>250</v>
      </c>
    </row>
    <row r="29763" spans="1:6" ht="12.75">
      <c r="A29763" s="8">
        <v>43891.150671296295</v>
      </c>
      <c r="B29763" s="8" t="str">
        <f>HYPERLINK("https://twitter.com/Exmus10","@Exmus10")</f>
        <v>@Exmus10</v>
      </c>
      <c r="C29763" s="8" t="s">
        <v>11303</v>
      </c>
      <c r="D29763" s="8">
        <v>2</v>
      </c>
      <c r="E29763" s="8">
        <v>0</v>
      </c>
      <c r="F29763" s="8">
        <v>4</v>
      </c>
    </row>
    <row r="29764" spans="1:6" ht="12.75">
      <c r="A29764" s="8">
        <v>43891.14980324074</v>
      </c>
      <c r="B29764" s="8" t="str">
        <f>HYPERLINK("https://twitter.com/HendarwatiH","@HendarwatiH")</f>
        <v>@HendarwatiH</v>
      </c>
      <c r="C29764" s="8" t="s">
        <v>11304</v>
      </c>
      <c r="D29764" s="8">
        <v>1</v>
      </c>
      <c r="E29764" s="8">
        <v>0</v>
      </c>
      <c r="F29764" s="8">
        <v>2176</v>
      </c>
    </row>
    <row r="29765" spans="1:6" ht="12.75">
      <c r="A29765" s="8">
        <v>43891.148298611108</v>
      </c>
      <c r="B29765" s="8" t="str">
        <f>HYPERLINK("https://twitter.com/takutdurhaka","@takutdurhaka")</f>
        <v>@takutdurhaka</v>
      </c>
      <c r="C29765" s="8" t="s">
        <v>7686</v>
      </c>
      <c r="D29765" s="8">
        <v>854</v>
      </c>
      <c r="E29765" s="8">
        <v>0</v>
      </c>
      <c r="F29765" s="8">
        <v>24</v>
      </c>
    </row>
    <row r="29766" spans="1:6" ht="12.75">
      <c r="A29766" s="8">
        <v>43891.1480787037</v>
      </c>
      <c r="B29766" s="8" t="str">
        <f>HYPERLINK("https://twitter.com/subchi20","@subchi20")</f>
        <v>@subchi20</v>
      </c>
      <c r="C29766" s="8" t="s">
        <v>8746</v>
      </c>
      <c r="D29766" s="8">
        <v>375</v>
      </c>
      <c r="E29766" s="8">
        <v>0</v>
      </c>
      <c r="F29766" s="8">
        <v>886</v>
      </c>
    </row>
    <row r="29767" spans="1:6" ht="12.75">
      <c r="A29767" s="8">
        <v>43891.14707175926</v>
      </c>
      <c r="B29767" s="8" t="str">
        <f>HYPERLINK("https://twitter.com/wan_wanrawan","@wan_wanrawan")</f>
        <v>@wan_wanrawan</v>
      </c>
      <c r="C29767" s="8" t="s">
        <v>6836</v>
      </c>
      <c r="D29767" s="8">
        <v>541</v>
      </c>
      <c r="E29767" s="8">
        <v>0</v>
      </c>
      <c r="F29767" s="8">
        <v>1016</v>
      </c>
    </row>
    <row r="29768" spans="1:6" ht="12.75">
      <c r="A29768" s="8">
        <v>43891.146574074075</v>
      </c>
      <c r="B29768" s="8" t="str">
        <f>HYPERLINK("https://twitter.com/rama_dnpa","@rama_dnpa")</f>
        <v>@rama_dnpa</v>
      </c>
      <c r="C29768" s="8" t="s">
        <v>4235</v>
      </c>
      <c r="D29768" s="8">
        <v>1585</v>
      </c>
      <c r="E29768" s="8">
        <v>0</v>
      </c>
      <c r="F29768" s="8">
        <v>312</v>
      </c>
    </row>
    <row r="29769" spans="1:6" ht="12.75">
      <c r="A29769" s="8">
        <v>43891.146250000005</v>
      </c>
      <c r="B29769" s="8" t="str">
        <f>HYPERLINK("https://twitter.com/opp_happ73","@opp_happ73")</f>
        <v>@opp_happ73</v>
      </c>
      <c r="C29769" s="8" t="s">
        <v>8746</v>
      </c>
      <c r="D29769" s="8">
        <v>375</v>
      </c>
      <c r="E29769" s="8">
        <v>0</v>
      </c>
      <c r="F29769" s="8">
        <v>393</v>
      </c>
    </row>
    <row r="29770" spans="1:6" ht="12.75">
      <c r="A29770" s="8">
        <v>43891.146192129629</v>
      </c>
      <c r="B29770" s="8" t="str">
        <f>HYPERLINK("https://twitter.com/inilahdotcom","@inilahdotcom")</f>
        <v>@inilahdotcom</v>
      </c>
      <c r="C29770" s="8" t="s">
        <v>11305</v>
      </c>
      <c r="D29770" s="8">
        <v>0</v>
      </c>
      <c r="E29770" s="8">
        <v>0</v>
      </c>
      <c r="F29770" s="8">
        <v>367322</v>
      </c>
    </row>
    <row r="29771" spans="1:6" ht="12.75">
      <c r="A29771" s="8">
        <v>43891.146168981482</v>
      </c>
      <c r="B29771" s="8" t="str">
        <f>HYPERLINK("https://twitter.com/HadiantoBroer","@HadiantoBroer")</f>
        <v>@HadiantoBroer</v>
      </c>
      <c r="C29771" s="8" t="s">
        <v>4235</v>
      </c>
      <c r="D29771" s="8">
        <v>1585</v>
      </c>
      <c r="E29771" s="8">
        <v>0</v>
      </c>
      <c r="F29771" s="8">
        <v>402</v>
      </c>
    </row>
    <row r="29772" spans="1:6" ht="12.75">
      <c r="A29772" s="8">
        <v>43891.144826388889</v>
      </c>
      <c r="B29772" s="8" t="str">
        <f>HYPERLINK("https://twitter.com/Suneagle8","@Suneagle8")</f>
        <v>@Suneagle8</v>
      </c>
      <c r="C29772" s="8" t="s">
        <v>10914</v>
      </c>
      <c r="D29772" s="8">
        <v>13</v>
      </c>
      <c r="E29772" s="8">
        <v>0</v>
      </c>
      <c r="F29772" s="8">
        <v>10</v>
      </c>
    </row>
    <row r="29773" spans="1:6" ht="12.75">
      <c r="A29773" s="8">
        <v>43891.143368055556</v>
      </c>
      <c r="B29773" s="8" t="str">
        <f>HYPERLINK("https://twitter.com/11Selvie","@11Selvie")</f>
        <v>@11Selvie</v>
      </c>
      <c r="C29773" s="8" t="s">
        <v>11306</v>
      </c>
      <c r="D29773" s="8">
        <v>2</v>
      </c>
      <c r="E29773" s="8">
        <v>0</v>
      </c>
      <c r="F29773" s="8">
        <v>23</v>
      </c>
    </row>
    <row r="29774" spans="1:6" ht="12.75">
      <c r="A29774" s="8">
        <v>43891.142037037032</v>
      </c>
      <c r="B29774" s="8" t="str">
        <f>HYPERLINK("https://twitter.com/Ss_hhhhhhhhhh","@Ss_hhhhhhhhhh")</f>
        <v>@Ss_hhhhhhhhhh</v>
      </c>
      <c r="C29774" s="8" t="s">
        <v>11307</v>
      </c>
      <c r="D29774" s="8">
        <v>0</v>
      </c>
      <c r="E29774" s="8">
        <v>0</v>
      </c>
      <c r="F29774" s="8">
        <v>10</v>
      </c>
    </row>
    <row r="29775" spans="1:6" ht="12.75">
      <c r="A29775" s="8">
        <v>43891.140601851846</v>
      </c>
      <c r="B29775" s="8" t="str">
        <f>HYPERLINK("https://twitter.com/revirezkyriady","@revirezkyriady")</f>
        <v>@revirezkyriady</v>
      </c>
      <c r="C29775" s="8" t="s">
        <v>11308</v>
      </c>
      <c r="D29775" s="8">
        <v>0</v>
      </c>
      <c r="E29775" s="8">
        <v>0</v>
      </c>
      <c r="F29775" s="8">
        <v>303</v>
      </c>
    </row>
    <row r="29776" spans="1:6" ht="12.75">
      <c r="A29776" s="8">
        <v>43891.139305555553</v>
      </c>
      <c r="B29776" s="8" t="str">
        <f>HYPERLINK("https://twitter.com/x_RNPAS","@x_RNPAS")</f>
        <v>@x_RNPAS</v>
      </c>
      <c r="C29776" s="8" t="s">
        <v>8746</v>
      </c>
      <c r="D29776" s="8">
        <v>375</v>
      </c>
      <c r="E29776" s="8">
        <v>0</v>
      </c>
      <c r="F29776" s="8">
        <v>4335</v>
      </c>
    </row>
    <row r="29777" spans="1:6" ht="12.75">
      <c r="A29777" s="8">
        <v>43891.13863425926</v>
      </c>
      <c r="B29777" s="8" t="str">
        <f>HYPERLINK("https://twitter.com/atjehsultanate","@atjehsultanate")</f>
        <v>@atjehsultanate</v>
      </c>
      <c r="C29777" s="8" t="s">
        <v>10552</v>
      </c>
      <c r="D29777" s="8">
        <v>2</v>
      </c>
      <c r="E29777" s="8">
        <v>0</v>
      </c>
      <c r="F29777" s="8">
        <v>11545</v>
      </c>
    </row>
    <row r="29778" spans="1:6" ht="12.75">
      <c r="A29778" s="8">
        <v>43891.137962962966</v>
      </c>
      <c r="B29778" s="8" t="str">
        <f>HYPERLINK("https://twitter.com/Mif_huda1003","@Mif_huda1003")</f>
        <v>@Mif_huda1003</v>
      </c>
      <c r="C29778" s="8" t="s">
        <v>10600</v>
      </c>
      <c r="D29778" s="8">
        <v>181</v>
      </c>
      <c r="E29778" s="8">
        <v>0</v>
      </c>
      <c r="F29778" s="8">
        <v>212</v>
      </c>
    </row>
    <row r="29779" spans="1:6" ht="12.75">
      <c r="A29779" s="8">
        <v>43891.137557870374</v>
      </c>
      <c r="B29779" s="8" t="str">
        <f>HYPERLINK("https://twitter.com/RAQQAH_1","@RAQQAH_1")</f>
        <v>@RAQQAH_1</v>
      </c>
      <c r="C29779" s="8" t="s">
        <v>10914</v>
      </c>
      <c r="D29779" s="8">
        <v>13</v>
      </c>
      <c r="E29779" s="8">
        <v>0</v>
      </c>
      <c r="F29779" s="8">
        <v>320</v>
      </c>
    </row>
    <row r="29780" spans="1:6" ht="12.75">
      <c r="A29780" s="8">
        <v>43891.136736111112</v>
      </c>
      <c r="B29780" s="8" t="str">
        <f>HYPERLINK("https://twitter.com/Alsanusi6","@Alsanusi6")</f>
        <v>@Alsanusi6</v>
      </c>
      <c r="C29780" s="8" t="s">
        <v>10600</v>
      </c>
      <c r="D29780" s="8">
        <v>181</v>
      </c>
      <c r="E29780" s="8">
        <v>0</v>
      </c>
      <c r="F29780" s="8">
        <v>262</v>
      </c>
    </row>
    <row r="29781" spans="1:6" ht="12.75">
      <c r="A29781" s="8">
        <v>43891.135821759264</v>
      </c>
      <c r="B29781" s="8" t="str">
        <f>HYPERLINK("https://twitter.com/makmun_tjg","@makmun_tjg")</f>
        <v>@makmun_tjg</v>
      </c>
      <c r="C29781" s="8" t="s">
        <v>11280</v>
      </c>
      <c r="D29781" s="8">
        <v>30</v>
      </c>
      <c r="E29781" s="8">
        <v>0</v>
      </c>
      <c r="F29781" s="8">
        <v>77</v>
      </c>
    </row>
    <row r="29782" spans="1:6" ht="12.75">
      <c r="A29782" s="8">
        <v>43891.134768518517</v>
      </c>
      <c r="B29782" s="8" t="str">
        <f>HYPERLINK("https://twitter.com/Wakasman69","@Wakasman69")</f>
        <v>@Wakasman69</v>
      </c>
      <c r="C29782" s="8" t="s">
        <v>11309</v>
      </c>
      <c r="D29782" s="8">
        <v>0</v>
      </c>
      <c r="E29782" s="8">
        <v>0</v>
      </c>
      <c r="F29782" s="8">
        <v>2</v>
      </c>
    </row>
    <row r="29783" spans="1:6" ht="12.75">
      <c r="A29783" s="8">
        <v>43891.134328703702</v>
      </c>
      <c r="B29783" s="8" t="str">
        <f>HYPERLINK("https://twitter.com/HendarwatiH","@HendarwatiH")</f>
        <v>@HendarwatiH</v>
      </c>
      <c r="C29783" s="8" t="s">
        <v>8462</v>
      </c>
      <c r="D29783" s="8">
        <v>2</v>
      </c>
      <c r="E29783" s="8">
        <v>0</v>
      </c>
      <c r="F29783" s="8">
        <v>2176</v>
      </c>
    </row>
    <row r="29784" spans="1:6" ht="12.75">
      <c r="A29784" s="8">
        <v>43891.134293981479</v>
      </c>
      <c r="B29784" s="8" t="str">
        <f>HYPERLINK("https://twitter.com/Wanhar04670","@Wanhar04670")</f>
        <v>@Wanhar04670</v>
      </c>
      <c r="C29784" s="8" t="s">
        <v>11310</v>
      </c>
      <c r="D29784" s="8">
        <v>0</v>
      </c>
      <c r="E29784" s="8">
        <v>0</v>
      </c>
      <c r="F29784" s="8">
        <v>15</v>
      </c>
    </row>
    <row r="29785" spans="1:6" ht="12.75">
      <c r="A29785" s="8">
        <v>43891.13381944444</v>
      </c>
      <c r="B29785" s="8" t="str">
        <f>HYPERLINK("https://twitter.com/Chkelz64Kelz","@Chkelz64Kelz")</f>
        <v>@Chkelz64Kelz</v>
      </c>
      <c r="C29785" s="8" t="s">
        <v>10914</v>
      </c>
      <c r="D29785" s="8">
        <v>13</v>
      </c>
      <c r="E29785" s="8">
        <v>0</v>
      </c>
      <c r="F29785" s="8">
        <v>751</v>
      </c>
    </row>
    <row r="29786" spans="1:6" ht="12.75">
      <c r="A29786" s="8">
        <v>43891.133483796293</v>
      </c>
      <c r="B29786" s="8" t="str">
        <f>HYPERLINK("https://twitter.com/jameshandaja","@jameshandaja")</f>
        <v>@jameshandaja</v>
      </c>
      <c r="C29786" s="8" t="s">
        <v>11311</v>
      </c>
      <c r="D29786" s="8">
        <v>0</v>
      </c>
      <c r="E29786" s="8">
        <v>0</v>
      </c>
      <c r="F29786" s="8">
        <v>42</v>
      </c>
    </row>
    <row r="29787" spans="1:6" ht="12.75">
      <c r="A29787" s="8">
        <v>43891.133287037039</v>
      </c>
      <c r="B29787" s="8" t="str">
        <f>HYPERLINK("https://twitter.com/ImanBud82347260","@ImanBud82347260")</f>
        <v>@ImanBud82347260</v>
      </c>
      <c r="C29787" s="8" t="s">
        <v>7686</v>
      </c>
      <c r="D29787" s="8">
        <v>854</v>
      </c>
      <c r="E29787" s="8">
        <v>0</v>
      </c>
      <c r="F29787" s="8">
        <v>119</v>
      </c>
    </row>
    <row r="29788" spans="1:6" ht="12.75">
      <c r="A29788" s="8">
        <v>43891.132013888884</v>
      </c>
      <c r="B29788" s="8" t="str">
        <f>HYPERLINK("https://twitter.com/IronFalcon77","@IronFalcon77")</f>
        <v>@IronFalcon77</v>
      </c>
      <c r="C29788" s="8" t="s">
        <v>10914</v>
      </c>
      <c r="D29788" s="8">
        <v>13</v>
      </c>
      <c r="E29788" s="8">
        <v>0</v>
      </c>
      <c r="F29788" s="8">
        <v>1044</v>
      </c>
    </row>
    <row r="29789" spans="1:6" ht="12.75">
      <c r="A29789" s="8">
        <v>43891.131921296299</v>
      </c>
      <c r="B29789" s="8" t="str">
        <f>HYPERLINK("https://twitter.com/Hypnotize_kudi1","@Hypnotize_kudi1")</f>
        <v>@Hypnotize_kudi1</v>
      </c>
      <c r="C29789" s="8" t="s">
        <v>11015</v>
      </c>
      <c r="D29789" s="8">
        <v>17</v>
      </c>
      <c r="E29789" s="8">
        <v>0</v>
      </c>
      <c r="F29789" s="8">
        <v>930</v>
      </c>
    </row>
    <row r="29790" spans="1:6" ht="12.75">
      <c r="A29790" s="8">
        <v>43891.130567129629</v>
      </c>
      <c r="B29790" s="8" t="str">
        <f>HYPERLINK("https://twitter.com/kosong86657812","@kosong86657812")</f>
        <v>@kosong86657812</v>
      </c>
      <c r="C29790" s="8" t="s">
        <v>11312</v>
      </c>
      <c r="D29790" s="8">
        <v>0</v>
      </c>
      <c r="E29790" s="8">
        <v>0</v>
      </c>
      <c r="F29790" s="8">
        <v>0</v>
      </c>
    </row>
    <row r="29791" spans="1:6" ht="12.75">
      <c r="A29791" s="8">
        <v>43891.130520833336</v>
      </c>
      <c r="B29791" s="8" t="str">
        <f>HYPERLINK("https://twitter.com/_wni_","@_wni_")</f>
        <v>@_wni_</v>
      </c>
      <c r="C29791" s="8" t="s">
        <v>11313</v>
      </c>
      <c r="D29791" s="8">
        <v>164</v>
      </c>
      <c r="E29791" s="8">
        <v>0</v>
      </c>
      <c r="F29791" s="8">
        <v>12</v>
      </c>
    </row>
    <row r="29792" spans="1:6" ht="12.75">
      <c r="A29792" s="8">
        <v>43891.130243055552</v>
      </c>
      <c r="B29792" s="8" t="str">
        <f>HYPERLINK("https://twitter.com/zagreus119","@zagreus119")</f>
        <v>@zagreus119</v>
      </c>
      <c r="C29792" s="8" t="s">
        <v>10914</v>
      </c>
      <c r="D29792" s="8">
        <v>8</v>
      </c>
      <c r="E29792" s="8">
        <v>0</v>
      </c>
      <c r="F29792" s="8">
        <v>40</v>
      </c>
    </row>
    <row r="29793" spans="1:6" ht="12.75">
      <c r="A29793" s="8">
        <v>43891.129930555559</v>
      </c>
      <c r="B29793" s="8" t="str">
        <f t="shared" ref="B29793:B29794" si="412">HYPERLINK("https://twitter.com/arieflipp_id","@arieflipp_id")</f>
        <v>@arieflipp_id</v>
      </c>
      <c r="C29793" s="8" t="s">
        <v>4785</v>
      </c>
      <c r="D29793" s="8">
        <v>499</v>
      </c>
      <c r="E29793" s="8">
        <v>0</v>
      </c>
      <c r="F29793" s="8">
        <v>30154</v>
      </c>
    </row>
    <row r="29794" spans="1:6" ht="12.75">
      <c r="A29794" s="8">
        <v>43891.129895833335</v>
      </c>
      <c r="B29794" s="8" t="str">
        <f t="shared" si="412"/>
        <v>@arieflipp_id</v>
      </c>
      <c r="C29794" s="8" t="s">
        <v>26</v>
      </c>
      <c r="D29794" s="8">
        <v>180</v>
      </c>
      <c r="E29794" s="8">
        <v>0</v>
      </c>
      <c r="F29794" s="8">
        <v>30154</v>
      </c>
    </row>
    <row r="29795" spans="1:6" ht="12.75">
      <c r="A29795" s="8">
        <v>43891.129594907412</v>
      </c>
      <c r="B29795" s="8" t="str">
        <f>HYPERLINK("https://twitter.com/_wni_","@_wni_")</f>
        <v>@_wni_</v>
      </c>
      <c r="C29795" s="8" t="s">
        <v>11314</v>
      </c>
      <c r="D29795" s="8">
        <v>0</v>
      </c>
      <c r="E29795" s="8">
        <v>0</v>
      </c>
      <c r="F29795" s="8">
        <v>12</v>
      </c>
    </row>
    <row r="29796" spans="1:6" ht="12.75">
      <c r="A29796" s="8">
        <v>43891.129560185189</v>
      </c>
      <c r="B29796" s="8" t="str">
        <f>HYPERLINK("https://twitter.com/rizqi_property","@rizqi_property")</f>
        <v>@rizqi_property</v>
      </c>
      <c r="C29796" s="8" t="s">
        <v>4235</v>
      </c>
      <c r="D29796" s="8">
        <v>1582</v>
      </c>
      <c r="E29796" s="8">
        <v>0</v>
      </c>
      <c r="F29796" s="8">
        <v>4582</v>
      </c>
    </row>
    <row r="29797" spans="1:6" ht="12.75">
      <c r="A29797" s="8">
        <v>43891.129525462966</v>
      </c>
      <c r="B29797" s="8" t="str">
        <f t="shared" ref="B29797:B29798" si="413">HYPERLINK("https://twitter.com/arieflipp_id","@arieflipp_id")</f>
        <v>@arieflipp_id</v>
      </c>
      <c r="C29797" s="8" t="s">
        <v>1435</v>
      </c>
      <c r="D29797" s="8">
        <v>835</v>
      </c>
      <c r="E29797" s="8">
        <v>0</v>
      </c>
      <c r="F29797" s="8">
        <v>30154</v>
      </c>
    </row>
    <row r="29798" spans="1:6" ht="12.75">
      <c r="A29798" s="8">
        <v>43891.129212962958</v>
      </c>
      <c r="B29798" s="8" t="str">
        <f t="shared" si="413"/>
        <v>@arieflipp_id</v>
      </c>
      <c r="C29798" s="8" t="s">
        <v>4836</v>
      </c>
      <c r="D29798" s="8">
        <v>5418</v>
      </c>
      <c r="E29798" s="8">
        <v>0</v>
      </c>
      <c r="F29798" s="8">
        <v>30154</v>
      </c>
    </row>
    <row r="29799" spans="1:6" ht="12.75">
      <c r="A29799" s="8">
        <v>43891.128680555557</v>
      </c>
      <c r="B29799" s="8" t="str">
        <f>HYPERLINK("https://twitter.com/Arif_Bijksn","@Arif_Bijksn")</f>
        <v>@Arif_Bijksn</v>
      </c>
      <c r="C29799" s="8" t="s">
        <v>7686</v>
      </c>
      <c r="D29799" s="8">
        <v>843</v>
      </c>
      <c r="E29799" s="8">
        <v>0</v>
      </c>
      <c r="F29799" s="8">
        <v>1521</v>
      </c>
    </row>
    <row r="29800" spans="1:6" ht="12.75">
      <c r="A29800" s="8">
        <v>43891.128668981481</v>
      </c>
      <c r="B29800" s="8" t="str">
        <f t="shared" ref="B29800:B29802" si="414">HYPERLINK("https://twitter.com/arieflipp_id","@arieflipp_id")</f>
        <v>@arieflipp_id</v>
      </c>
      <c r="C29800" s="8" t="s">
        <v>11315</v>
      </c>
      <c r="D29800" s="8">
        <v>2585</v>
      </c>
      <c r="E29800" s="8">
        <v>0</v>
      </c>
      <c r="F29800" s="8">
        <v>30154</v>
      </c>
    </row>
    <row r="29801" spans="1:6" ht="12.75">
      <c r="A29801" s="8">
        <v>43891.128333333334</v>
      </c>
      <c r="B29801" s="8" t="str">
        <f t="shared" si="414"/>
        <v>@arieflipp_id</v>
      </c>
      <c r="C29801" s="8" t="s">
        <v>8597</v>
      </c>
      <c r="D29801" s="8">
        <v>1153</v>
      </c>
      <c r="E29801" s="8">
        <v>0</v>
      </c>
      <c r="F29801" s="8">
        <v>30154</v>
      </c>
    </row>
    <row r="29802" spans="1:6" ht="12.75">
      <c r="A29802" s="8">
        <v>43891.128252314811</v>
      </c>
      <c r="B29802" s="8" t="str">
        <f t="shared" si="414"/>
        <v>@arieflipp_id</v>
      </c>
      <c r="C29802" s="8" t="s">
        <v>11316</v>
      </c>
      <c r="D29802" s="8">
        <v>1295</v>
      </c>
      <c r="E29802" s="8">
        <v>0</v>
      </c>
      <c r="F29802" s="8">
        <v>30154</v>
      </c>
    </row>
    <row r="29803" spans="1:6" ht="12.75">
      <c r="A29803" s="8">
        <v>43891.128206018519</v>
      </c>
      <c r="B29803" s="8" t="str">
        <f>HYPERLINK("https://twitter.com/kosong86657812","@kosong86657812")</f>
        <v>@kosong86657812</v>
      </c>
      <c r="C29803" s="8" t="s">
        <v>11317</v>
      </c>
      <c r="D29803" s="8">
        <v>0</v>
      </c>
      <c r="E29803" s="8">
        <v>0</v>
      </c>
      <c r="F29803" s="8">
        <v>0</v>
      </c>
    </row>
    <row r="29804" spans="1:6" ht="12.75">
      <c r="A29804" s="8">
        <v>43891.128182870365</v>
      </c>
      <c r="B29804" s="8" t="str">
        <f>HYPERLINK("https://twitter.com/ronindrawan","@ronindrawan")</f>
        <v>@ronindrawan</v>
      </c>
      <c r="C29804" s="8" t="s">
        <v>6883</v>
      </c>
      <c r="D29804" s="8">
        <v>45</v>
      </c>
      <c r="E29804" s="8">
        <v>0</v>
      </c>
      <c r="F29804" s="8">
        <v>723</v>
      </c>
    </row>
    <row r="29805" spans="1:6" ht="12.75">
      <c r="A29805" s="8">
        <v>43891.128182870365</v>
      </c>
      <c r="B29805" s="8" t="str">
        <f>HYPERLINK("https://twitter.com/KissAnky","@KissAnky")</f>
        <v>@KissAnky</v>
      </c>
      <c r="C29805" s="8" t="s">
        <v>11318</v>
      </c>
      <c r="D29805" s="8">
        <v>1106</v>
      </c>
      <c r="E29805" s="8">
        <v>0</v>
      </c>
      <c r="F29805" s="8">
        <v>1400</v>
      </c>
    </row>
    <row r="29806" spans="1:6" ht="12.75">
      <c r="A29806" s="8">
        <v>43891.128182870365</v>
      </c>
      <c r="B29806" s="8" t="str">
        <f>HYPERLINK("https://twitter.com/caknug","@caknug")</f>
        <v>@caknug</v>
      </c>
      <c r="C29806" s="8" t="s">
        <v>9163</v>
      </c>
      <c r="D29806" s="8">
        <v>34</v>
      </c>
      <c r="E29806" s="8">
        <v>0</v>
      </c>
      <c r="F29806" s="8">
        <v>84</v>
      </c>
    </row>
    <row r="29807" spans="1:6" ht="12.75">
      <c r="A29807" s="8">
        <v>43891.128171296295</v>
      </c>
      <c r="B29807" s="8" t="str">
        <f t="shared" ref="B29807:B29808" si="415">HYPERLINK("https://twitter.com/arieflipp_id","@arieflipp_id")</f>
        <v>@arieflipp_id</v>
      </c>
      <c r="C29807" s="8" t="s">
        <v>7127</v>
      </c>
      <c r="D29807" s="8">
        <v>1888</v>
      </c>
      <c r="E29807" s="8">
        <v>0</v>
      </c>
      <c r="F29807" s="8">
        <v>30154</v>
      </c>
    </row>
    <row r="29808" spans="1:6" ht="12.75">
      <c r="A29808" s="8">
        <v>43891.128055555557</v>
      </c>
      <c r="B29808" s="8" t="str">
        <f t="shared" si="415"/>
        <v>@arieflipp_id</v>
      </c>
      <c r="C29808" s="8" t="s">
        <v>11319</v>
      </c>
      <c r="D29808" s="8">
        <v>1315</v>
      </c>
      <c r="E29808" s="8">
        <v>0</v>
      </c>
      <c r="F29808" s="8">
        <v>30154</v>
      </c>
    </row>
    <row r="29809" spans="1:6" ht="12.75">
      <c r="A29809" s="8">
        <v>43891.127962962964</v>
      </c>
      <c r="B29809" s="8" t="str">
        <f>HYPERLINK("https://twitter.com/bayobuan82","@bayobuan82")</f>
        <v>@bayobuan82</v>
      </c>
      <c r="C29809" s="8" t="s">
        <v>4235</v>
      </c>
      <c r="D29809" s="8">
        <v>1582</v>
      </c>
      <c r="E29809" s="8">
        <v>0</v>
      </c>
      <c r="F29809" s="8">
        <v>268</v>
      </c>
    </row>
    <row r="29810" spans="1:6" ht="12.75">
      <c r="A29810" s="8">
        <v>43891.127939814818</v>
      </c>
      <c r="B29810" s="8" t="str">
        <f>HYPERLINK("https://twitter.com/arieflipp_id","@arieflipp_id")</f>
        <v>@arieflipp_id</v>
      </c>
      <c r="C29810" s="8" t="s">
        <v>11320</v>
      </c>
      <c r="D29810" s="8">
        <v>840</v>
      </c>
      <c r="E29810" s="8">
        <v>0</v>
      </c>
      <c r="F29810" s="8">
        <v>30154</v>
      </c>
    </row>
    <row r="29811" spans="1:6" ht="12.75">
      <c r="A29811" s="8">
        <v>43891.127604166672</v>
      </c>
      <c r="B29811" s="8" t="str">
        <f>HYPERLINK("https://twitter.com/HendarwatiH","@HendarwatiH")</f>
        <v>@HendarwatiH</v>
      </c>
      <c r="C29811" s="8" t="s">
        <v>11321</v>
      </c>
      <c r="D29811" s="8">
        <v>1</v>
      </c>
      <c r="E29811" s="8">
        <v>0</v>
      </c>
      <c r="F29811" s="8">
        <v>2176</v>
      </c>
    </row>
    <row r="29812" spans="1:6" ht="12.75">
      <c r="A29812" s="8">
        <v>43891.127592592587</v>
      </c>
      <c r="B29812" s="8" t="str">
        <f>HYPERLINK("https://twitter.com/ajaygiri2320","@ajaygiri2320")</f>
        <v>@ajaygiri2320</v>
      </c>
      <c r="C29812" s="8" t="s">
        <v>11322</v>
      </c>
      <c r="D29812" s="8">
        <v>0</v>
      </c>
      <c r="E29812" s="8">
        <v>0</v>
      </c>
      <c r="F29812" s="8">
        <v>9</v>
      </c>
    </row>
    <row r="29813" spans="1:6" ht="12.75">
      <c r="A29813" s="8">
        <v>43891.127557870372</v>
      </c>
      <c r="B29813" s="8" t="str">
        <f>HYPERLINK("https://twitter.com/arieflipp_id","@arieflipp_id")</f>
        <v>@arieflipp_id</v>
      </c>
      <c r="C29813" s="8" t="s">
        <v>11318</v>
      </c>
      <c r="D29813" s="8">
        <v>1106</v>
      </c>
      <c r="E29813" s="8">
        <v>0</v>
      </c>
      <c r="F29813" s="8">
        <v>30154</v>
      </c>
    </row>
    <row r="29814" spans="1:6" ht="12.75">
      <c r="A29814" s="8">
        <v>43891.127546296295</v>
      </c>
      <c r="B29814" s="8" t="str">
        <f>HYPERLINK("https://twitter.com/05panji2","@05panji2")</f>
        <v>@05panji2</v>
      </c>
      <c r="C29814" s="8" t="s">
        <v>10600</v>
      </c>
      <c r="D29814" s="8">
        <v>176</v>
      </c>
      <c r="E29814" s="8">
        <v>0</v>
      </c>
      <c r="F29814" s="8">
        <v>436</v>
      </c>
    </row>
    <row r="29815" spans="1:6" ht="12.75">
      <c r="A29815" s="8">
        <v>43891.127500000002</v>
      </c>
      <c r="B29815" s="8" t="str">
        <f>HYPERLINK("https://twitter.com/Forza_Bashar","@Forza_Bashar")</f>
        <v>@Forza_Bashar</v>
      </c>
      <c r="C29815" s="8" t="s">
        <v>10914</v>
      </c>
      <c r="D29815" s="8">
        <v>8</v>
      </c>
      <c r="E29815" s="8">
        <v>0</v>
      </c>
      <c r="F29815" s="8">
        <v>1158</v>
      </c>
    </row>
    <row r="29816" spans="1:6" ht="12.75">
      <c r="A29816" s="8">
        <v>43891.12699074074</v>
      </c>
      <c r="B29816" s="8" t="str">
        <f>HYPERLINK("https://twitter.com/senate2018trump","@senate2018trump")</f>
        <v>@senate2018trump</v>
      </c>
      <c r="C29816" s="8" t="s">
        <v>10914</v>
      </c>
      <c r="D29816" s="8">
        <v>8</v>
      </c>
      <c r="E29816" s="8">
        <v>0</v>
      </c>
      <c r="F29816" s="8">
        <v>84</v>
      </c>
    </row>
    <row r="29817" spans="1:6" ht="12.75">
      <c r="A29817" s="8">
        <v>43891.126898148148</v>
      </c>
      <c r="B29817" s="8" t="str">
        <f>HYPERLINK("https://twitter.com/LahAkuKenapa","@LahAkuKenapa")</f>
        <v>@LahAkuKenapa</v>
      </c>
      <c r="C29817" s="8" t="s">
        <v>10986</v>
      </c>
      <c r="D29817" s="8">
        <v>20</v>
      </c>
      <c r="E29817" s="8">
        <v>0</v>
      </c>
      <c r="F29817" s="8">
        <v>4460</v>
      </c>
    </row>
    <row r="29818" spans="1:6" ht="12.75">
      <c r="A29818" s="8">
        <v>43891.126412037032</v>
      </c>
      <c r="B29818" s="8" t="str">
        <f>HYPERLINK("https://twitter.com/hajeje12","@hajeje12")</f>
        <v>@hajeje12</v>
      </c>
      <c r="C29818" s="8" t="s">
        <v>7686</v>
      </c>
      <c r="D29818" s="8">
        <v>843</v>
      </c>
      <c r="E29818" s="8">
        <v>0</v>
      </c>
      <c r="F29818" s="8">
        <v>1078</v>
      </c>
    </row>
    <row r="29819" spans="1:6" ht="12.75">
      <c r="A29819" s="8">
        <v>43891.125821759255</v>
      </c>
      <c r="B29819" s="8" t="str">
        <f>HYPERLINK("https://twitter.com/s_total_s2","@s_total_s2")</f>
        <v>@s_total_s2</v>
      </c>
      <c r="C29819" s="8" t="s">
        <v>10914</v>
      </c>
      <c r="D29819" s="8">
        <v>8</v>
      </c>
      <c r="E29819" s="8">
        <v>0</v>
      </c>
      <c r="F29819" s="8">
        <v>2288</v>
      </c>
    </row>
    <row r="29820" spans="1:6" ht="12.75">
      <c r="A29820" s="8">
        <v>43891.125613425931</v>
      </c>
      <c r="B29820" s="8" t="str">
        <f>HYPERLINK("https://twitter.com/YudhaSSantika1","@YudhaSSantika1")</f>
        <v>@YudhaSSantika1</v>
      </c>
      <c r="C29820" s="8" t="s">
        <v>6836</v>
      </c>
      <c r="D29820" s="8">
        <v>537</v>
      </c>
      <c r="E29820" s="8">
        <v>0</v>
      </c>
      <c r="F29820" s="8">
        <v>46</v>
      </c>
    </row>
    <row r="29821" spans="1:6" ht="12.75">
      <c r="A29821" s="8">
        <v>43891.125555555554</v>
      </c>
      <c r="B29821" s="8" t="str">
        <f t="shared" ref="B29821:B29822" si="416">HYPERLINK("https://twitter.com/ronindrawan","@ronindrawan")</f>
        <v>@ronindrawan</v>
      </c>
      <c r="C29821" s="8" t="s">
        <v>11284</v>
      </c>
      <c r="D29821" s="8">
        <v>2</v>
      </c>
      <c r="E29821" s="8">
        <v>0</v>
      </c>
      <c r="F29821" s="8">
        <v>723</v>
      </c>
    </row>
    <row r="29822" spans="1:6" ht="12.75">
      <c r="A29822" s="8">
        <v>43891.125277777777</v>
      </c>
      <c r="B29822" s="8" t="str">
        <f t="shared" si="416"/>
        <v>@ronindrawan</v>
      </c>
      <c r="C29822" s="8" t="s">
        <v>11151</v>
      </c>
      <c r="D29822" s="8">
        <v>14</v>
      </c>
      <c r="E29822" s="8">
        <v>0</v>
      </c>
      <c r="F29822" s="8">
        <v>723</v>
      </c>
    </row>
    <row r="29823" spans="1:6" ht="12.75">
      <c r="A29823" s="8">
        <v>43891.1246412037</v>
      </c>
      <c r="B29823" s="8" t="str">
        <f>HYPERLINK("https://twitter.com/Ria_N_Aryanti","@Ria_N_Aryanti")</f>
        <v>@Ria_N_Aryanti</v>
      </c>
      <c r="C29823" s="8" t="s">
        <v>4235</v>
      </c>
      <c r="D29823" s="8">
        <v>1582</v>
      </c>
      <c r="E29823" s="8">
        <v>0</v>
      </c>
      <c r="F29823" s="8">
        <v>776</v>
      </c>
    </row>
    <row r="29824" spans="1:6" ht="12.75">
      <c r="A29824" s="8">
        <v>43891.123958333337</v>
      </c>
      <c r="B29824" s="8" t="str">
        <f>HYPERLINK("https://twitter.com/mufashi2","@mufashi2")</f>
        <v>@mufashi2</v>
      </c>
      <c r="C29824" s="8" t="s">
        <v>10757</v>
      </c>
      <c r="D29824" s="8">
        <v>20</v>
      </c>
      <c r="E29824" s="8">
        <v>0</v>
      </c>
      <c r="F29824" s="8">
        <v>20</v>
      </c>
    </row>
    <row r="29825" spans="1:6" ht="12.75">
      <c r="A29825" s="8">
        <v>43891.123437499999</v>
      </c>
      <c r="B29825" s="8" t="str">
        <f>HYPERLINK("https://twitter.com/Stef_T_","@Stef_T_")</f>
        <v>@Stef_T_</v>
      </c>
      <c r="C29825" s="8" t="s">
        <v>10914</v>
      </c>
      <c r="D29825" s="8">
        <v>8</v>
      </c>
      <c r="E29825" s="8">
        <v>0</v>
      </c>
      <c r="F29825" s="8">
        <v>1526</v>
      </c>
    </row>
    <row r="29826" spans="1:6" ht="12.75">
      <c r="A29826" s="8">
        <v>43891.123414351852</v>
      </c>
      <c r="B29826" s="8" t="str">
        <f>HYPERLINK("https://twitter.com/EsensiBicara","@EsensiBicara")</f>
        <v>@EsensiBicara</v>
      </c>
      <c r="C29826" s="8" t="s">
        <v>11323</v>
      </c>
      <c r="D29826" s="8">
        <v>0</v>
      </c>
      <c r="E29826" s="8">
        <v>0</v>
      </c>
      <c r="F29826" s="8">
        <v>12</v>
      </c>
    </row>
    <row r="29827" spans="1:6" ht="12.75">
      <c r="A29827" s="8">
        <v>43891.123194444444</v>
      </c>
      <c r="B29827" s="8" t="str">
        <f>HYPERLINK("https://twitter.com/Tfi_AntiVirus","@Tfi_AntiVirus")</f>
        <v>@Tfi_AntiVirus</v>
      </c>
      <c r="C29827" s="8" t="s">
        <v>11324</v>
      </c>
      <c r="D29827" s="8">
        <v>0</v>
      </c>
      <c r="E29827" s="8">
        <v>1</v>
      </c>
      <c r="F29827" s="8">
        <v>1823</v>
      </c>
    </row>
    <row r="29828" spans="1:6" ht="12.75">
      <c r="A29828" s="8">
        <v>43891.123067129629</v>
      </c>
      <c r="B29828" s="8" t="str">
        <f>HYPERLINK("https://twitter.com/GeromanAT","@GeromanAT")</f>
        <v>@GeromanAT</v>
      </c>
      <c r="C29828" s="8" t="s">
        <v>10914</v>
      </c>
      <c r="D29828" s="8">
        <v>8</v>
      </c>
      <c r="E29828" s="8">
        <v>0</v>
      </c>
      <c r="F29828" s="8">
        <v>10576</v>
      </c>
    </row>
    <row r="29829" spans="1:6" ht="12.75">
      <c r="A29829" s="8">
        <v>43891.12300925926</v>
      </c>
      <c r="B29829" s="8" t="str">
        <f>HYPERLINK("https://twitter.com/nouvalram","@nouvalram")</f>
        <v>@nouvalram</v>
      </c>
      <c r="C29829" s="8" t="s">
        <v>11325</v>
      </c>
      <c r="D29829" s="8">
        <v>0</v>
      </c>
      <c r="E29829" s="8">
        <v>0</v>
      </c>
      <c r="F29829" s="8">
        <v>233</v>
      </c>
    </row>
    <row r="29830" spans="1:6" ht="12.75">
      <c r="A29830" s="8">
        <v>43891.122731481482</v>
      </c>
      <c r="B29830" s="8" t="str">
        <f>HYPERLINK("https://twitter.com/vasiko_givati1","@vasiko_givati1")</f>
        <v>@vasiko_givati1</v>
      </c>
      <c r="C29830" s="8" t="s">
        <v>10914</v>
      </c>
      <c r="D29830" s="8">
        <v>8</v>
      </c>
      <c r="E29830" s="8">
        <v>0</v>
      </c>
      <c r="F29830" s="8">
        <v>246</v>
      </c>
    </row>
    <row r="29831" spans="1:6" ht="12.75">
      <c r="A29831" s="8">
        <v>43891.122476851851</v>
      </c>
      <c r="B29831" s="8" t="str">
        <f>HYPERLINK("https://twitter.com/Suriyakmaps","@Suriyakmaps")</f>
        <v>@Suriyakmaps</v>
      </c>
      <c r="C29831" s="8" t="s">
        <v>11326</v>
      </c>
      <c r="D29831" s="8">
        <v>8</v>
      </c>
      <c r="E29831" s="8">
        <v>18</v>
      </c>
      <c r="F29831" s="8">
        <v>12645</v>
      </c>
    </row>
    <row r="29832" spans="1:6" ht="12.75">
      <c r="A29832" s="8">
        <v>43891.120821759258</v>
      </c>
      <c r="B29832" s="8" t="str">
        <f>HYPERLINK("https://twitter.com/minioens","@minioens")</f>
        <v>@minioens</v>
      </c>
      <c r="C29832" s="8" t="s">
        <v>10939</v>
      </c>
      <c r="D29832" s="8">
        <v>186</v>
      </c>
      <c r="E29832" s="8">
        <v>0</v>
      </c>
      <c r="F29832" s="8">
        <v>1225</v>
      </c>
    </row>
    <row r="29833" spans="1:6" ht="12.75">
      <c r="A29833" s="8">
        <v>43891.120127314818</v>
      </c>
      <c r="B29833" s="8" t="str">
        <f>HYPERLINK("https://twitter.com/Ale_Rdgz22","@Ale_Rdgz22")</f>
        <v>@Ale_Rdgz22</v>
      </c>
      <c r="C29833" s="8" t="s">
        <v>11327</v>
      </c>
      <c r="D29833" s="8">
        <v>0</v>
      </c>
      <c r="E29833" s="8">
        <v>0</v>
      </c>
      <c r="F29833" s="8">
        <v>208</v>
      </c>
    </row>
    <row r="29834" spans="1:6" ht="12.75">
      <c r="A29834" s="8">
        <v>43891.11996527778</v>
      </c>
      <c r="B29834" s="8" t="str">
        <f>HYPERLINK("https://twitter.com/HendarwatiH","@HendarwatiH")</f>
        <v>@HendarwatiH</v>
      </c>
      <c r="C29834" s="8" t="s">
        <v>11328</v>
      </c>
      <c r="D29834" s="8">
        <v>1</v>
      </c>
      <c r="E29834" s="8">
        <v>0</v>
      </c>
      <c r="F29834" s="8">
        <v>2176</v>
      </c>
    </row>
    <row r="29835" spans="1:6" ht="12.75">
      <c r="A29835" s="8">
        <v>43891.119942129633</v>
      </c>
      <c r="B29835" s="8" t="str">
        <f>HYPERLINK("https://twitter.com/Edvangelion_","@Edvangelion_")</f>
        <v>@Edvangelion_</v>
      </c>
      <c r="C29835" s="8" t="s">
        <v>10939</v>
      </c>
      <c r="D29835" s="8">
        <v>186</v>
      </c>
      <c r="E29835" s="8">
        <v>0</v>
      </c>
      <c r="F29835" s="8">
        <v>293</v>
      </c>
    </row>
    <row r="29836" spans="1:6" ht="12.75">
      <c r="A29836" s="8">
        <v>43891.119652777779</v>
      </c>
      <c r="B29836" s="8" t="str">
        <f>HYPERLINK("https://twitter.com/ronindrawan","@ronindrawan")</f>
        <v>@ronindrawan</v>
      </c>
      <c r="C29836" s="8" t="s">
        <v>11105</v>
      </c>
      <c r="D29836" s="8">
        <v>171</v>
      </c>
      <c r="E29836" s="8">
        <v>0</v>
      </c>
      <c r="F29836" s="8">
        <v>723</v>
      </c>
    </row>
    <row r="29837" spans="1:6" ht="12.75">
      <c r="A29837" s="8">
        <v>43891.117696759262</v>
      </c>
      <c r="B29837" s="8" t="str">
        <f>HYPERLINK("https://twitter.com/elan_gusma","@elan_gusma")</f>
        <v>@elan_gusma</v>
      </c>
      <c r="C29837" s="8" t="s">
        <v>11329</v>
      </c>
      <c r="D29837" s="8">
        <v>30</v>
      </c>
      <c r="E29837" s="8">
        <v>0</v>
      </c>
      <c r="F29837" s="8">
        <v>3654</v>
      </c>
    </row>
    <row r="29838" spans="1:6" ht="12.75">
      <c r="A29838" s="8">
        <v>43891.116851851853</v>
      </c>
      <c r="B29838" s="8" t="str">
        <f>HYPERLINK("https://twitter.com/Endarto59769219","@Endarto59769219")</f>
        <v>@Endarto59769219</v>
      </c>
      <c r="C29838" s="8" t="s">
        <v>10600</v>
      </c>
      <c r="D29838" s="8">
        <v>176</v>
      </c>
      <c r="E29838" s="8">
        <v>0</v>
      </c>
      <c r="F29838" s="8">
        <v>426</v>
      </c>
    </row>
    <row r="29839" spans="1:6" ht="12.75">
      <c r="A29839" s="8">
        <v>43891.116018518514</v>
      </c>
      <c r="B29839" s="8" t="str">
        <f>HYPERLINK("https://twitter.com/aBoyAbhi","@aBoyAbhi")</f>
        <v>@aBoyAbhi</v>
      </c>
      <c r="C29839" s="8" t="s">
        <v>11330</v>
      </c>
      <c r="D29839" s="8">
        <v>0</v>
      </c>
      <c r="E29839" s="8">
        <v>1</v>
      </c>
      <c r="F29839" s="8">
        <v>17</v>
      </c>
    </row>
    <row r="29840" spans="1:6" ht="12.75">
      <c r="A29840" s="8">
        <v>43891.114988425921</v>
      </c>
      <c r="B29840" s="8" t="str">
        <f>HYPERLINK("https://twitter.com/viggo_05","@viggo_05")</f>
        <v>@viggo_05</v>
      </c>
      <c r="C29840" s="8" t="s">
        <v>11203</v>
      </c>
      <c r="D29840" s="8">
        <v>10</v>
      </c>
      <c r="E29840" s="8">
        <v>0</v>
      </c>
      <c r="F29840" s="8">
        <v>92</v>
      </c>
    </row>
    <row r="29841" spans="1:6" ht="12.75">
      <c r="A29841" s="8">
        <v>43891.113958333328</v>
      </c>
      <c r="B29841" s="8" t="str">
        <f t="shared" ref="B29841:B29843" si="417">HYPERLINK("https://twitter.com/AbzaBudi","@AbzaBudi")</f>
        <v>@AbzaBudi</v>
      </c>
      <c r="C29841" s="8" t="s">
        <v>11331</v>
      </c>
      <c r="D29841" s="8">
        <v>0</v>
      </c>
      <c r="E29841" s="8">
        <v>0</v>
      </c>
      <c r="F29841" s="8">
        <v>37</v>
      </c>
    </row>
    <row r="29842" spans="1:6" ht="12.75">
      <c r="A29842" s="8">
        <v>43891.113854166666</v>
      </c>
      <c r="B29842" s="8" t="str">
        <f t="shared" si="417"/>
        <v>@AbzaBudi</v>
      </c>
      <c r="C29842" s="8" t="s">
        <v>11331</v>
      </c>
      <c r="D29842" s="8">
        <v>0</v>
      </c>
      <c r="E29842" s="8">
        <v>0</v>
      </c>
      <c r="F29842" s="8">
        <v>37</v>
      </c>
    </row>
    <row r="29843" spans="1:6" ht="12.75">
      <c r="A29843" s="8">
        <v>43891.113379629634</v>
      </c>
      <c r="B29843" s="8" t="str">
        <f t="shared" si="417"/>
        <v>@AbzaBudi</v>
      </c>
      <c r="C29843" s="8" t="s">
        <v>11331</v>
      </c>
      <c r="D29843" s="8">
        <v>0</v>
      </c>
      <c r="E29843" s="8">
        <v>0</v>
      </c>
      <c r="F29843" s="8">
        <v>37</v>
      </c>
    </row>
    <row r="29844" spans="1:6" ht="12.75">
      <c r="A29844" s="8">
        <v>43891.113240740742</v>
      </c>
      <c r="B29844" s="8" t="str">
        <f>HYPERLINK("https://twitter.com/paappiiii","@paappiiii")</f>
        <v>@paappiiii</v>
      </c>
      <c r="C29844" s="8" t="s">
        <v>7686</v>
      </c>
      <c r="D29844" s="8">
        <v>843</v>
      </c>
      <c r="E29844" s="8">
        <v>0</v>
      </c>
      <c r="F29844" s="8">
        <v>101</v>
      </c>
    </row>
    <row r="29845" spans="1:6" ht="12.75">
      <c r="A29845" s="8">
        <v>43891.11309027778</v>
      </c>
      <c r="B29845" s="8" t="str">
        <f>HYPERLINK("https://twitter.com/Ryugie_Nufus_82","@Ryugie_Nufus_82")</f>
        <v>@Ryugie_Nufus_82</v>
      </c>
      <c r="C29845" s="8" t="s">
        <v>8190</v>
      </c>
      <c r="D29845" s="8">
        <v>256</v>
      </c>
      <c r="E29845" s="8">
        <v>0</v>
      </c>
      <c r="F29845" s="8">
        <v>69</v>
      </c>
    </row>
    <row r="29846" spans="1:6" ht="12.75">
      <c r="A29846" s="8">
        <v>43891.11237268518</v>
      </c>
      <c r="B29846" s="8" t="str">
        <f>HYPERLINK("https://twitter.com/AbzaBudi","@AbzaBudi")</f>
        <v>@AbzaBudi</v>
      </c>
      <c r="C29846" s="8" t="s">
        <v>11331</v>
      </c>
      <c r="D29846" s="8">
        <v>0</v>
      </c>
      <c r="E29846" s="8">
        <v>0</v>
      </c>
      <c r="F29846" s="8">
        <v>37</v>
      </c>
    </row>
    <row r="29847" spans="1:6" ht="12.75">
      <c r="A29847" s="8">
        <v>43891.112291666665</v>
      </c>
      <c r="B29847" s="8" t="str">
        <f>HYPERLINK("https://twitter.com/AJavirez","@AJavirez")</f>
        <v>@AJavirez</v>
      </c>
      <c r="C29847" s="8" t="s">
        <v>11332</v>
      </c>
      <c r="D29847" s="8">
        <v>48</v>
      </c>
      <c r="E29847" s="8">
        <v>0</v>
      </c>
      <c r="F29847" s="8">
        <v>21</v>
      </c>
    </row>
    <row r="29848" spans="1:6" ht="12.75">
      <c r="A29848" s="8">
        <v>43891.111898148149</v>
      </c>
      <c r="B29848" s="8" t="str">
        <f>HYPERLINK("https://twitter.com/AbzaBudi","@AbzaBudi")</f>
        <v>@AbzaBudi</v>
      </c>
      <c r="C29848" s="8" t="s">
        <v>11331</v>
      </c>
      <c r="D29848" s="8">
        <v>0</v>
      </c>
      <c r="E29848" s="8">
        <v>0</v>
      </c>
      <c r="F29848" s="8">
        <v>37</v>
      </c>
    </row>
    <row r="29849" spans="1:6" ht="12.75">
      <c r="A29849" s="8">
        <v>43891.111643518518</v>
      </c>
      <c r="B29849" s="8" t="str">
        <f>HYPERLINK("https://twitter.com/AJavirez","@AJavirez")</f>
        <v>@AJavirez</v>
      </c>
      <c r="C29849" s="8" t="s">
        <v>10600</v>
      </c>
      <c r="D29849" s="8">
        <v>176</v>
      </c>
      <c r="E29849" s="8">
        <v>0</v>
      </c>
      <c r="F29849" s="8">
        <v>21</v>
      </c>
    </row>
    <row r="29850" spans="1:6" ht="12.75">
      <c r="A29850" s="8">
        <v>43891.111504629633</v>
      </c>
      <c r="B29850" s="8" t="str">
        <f t="shared" ref="B29850:B29852" si="418">HYPERLINK("https://twitter.com/AbzaBudi","@AbzaBudi")</f>
        <v>@AbzaBudi</v>
      </c>
      <c r="C29850" s="8" t="s">
        <v>11331</v>
      </c>
      <c r="D29850" s="8">
        <v>0</v>
      </c>
      <c r="E29850" s="8">
        <v>0</v>
      </c>
      <c r="F29850" s="8">
        <v>37</v>
      </c>
    </row>
    <row r="29851" spans="1:6" ht="12.75">
      <c r="A29851" s="8">
        <v>43891.11105324074</v>
      </c>
      <c r="B29851" s="8" t="str">
        <f t="shared" si="418"/>
        <v>@AbzaBudi</v>
      </c>
      <c r="C29851" s="8" t="s">
        <v>11331</v>
      </c>
      <c r="D29851" s="8">
        <v>0</v>
      </c>
      <c r="E29851" s="8">
        <v>0</v>
      </c>
      <c r="F29851" s="8">
        <v>37</v>
      </c>
    </row>
    <row r="29852" spans="1:6" ht="12.75">
      <c r="A29852" s="8">
        <v>43891.110532407409</v>
      </c>
      <c r="B29852" s="8" t="str">
        <f t="shared" si="418"/>
        <v>@AbzaBudi</v>
      </c>
      <c r="C29852" s="8" t="s">
        <v>11331</v>
      </c>
      <c r="D29852" s="8">
        <v>0</v>
      </c>
      <c r="E29852" s="8">
        <v>0</v>
      </c>
      <c r="F29852" s="8">
        <v>37</v>
      </c>
    </row>
    <row r="29853" spans="1:6" ht="12.75">
      <c r="A29853" s="8">
        <v>43891.110185185185</v>
      </c>
      <c r="B29853" s="8" t="str">
        <f>HYPERLINK("https://twitter.com/raihan_oo7","@raihan_oo7")</f>
        <v>@raihan_oo7</v>
      </c>
      <c r="C29853" s="8" t="s">
        <v>11333</v>
      </c>
      <c r="D29853" s="8">
        <v>0</v>
      </c>
      <c r="E29853" s="8">
        <v>0</v>
      </c>
      <c r="F29853" s="8">
        <v>1869</v>
      </c>
    </row>
    <row r="29854" spans="1:6" ht="12.75">
      <c r="A29854" s="8">
        <v>43891.109560185185</v>
      </c>
      <c r="B29854" s="8" t="str">
        <f>HYPERLINK("https://twitter.com/yhbabie","@yhbabie")</f>
        <v>@yhbabie</v>
      </c>
      <c r="C29854" s="8" t="s">
        <v>11334</v>
      </c>
      <c r="D29854" s="8">
        <v>0</v>
      </c>
      <c r="E29854" s="8">
        <v>2</v>
      </c>
      <c r="F29854" s="8">
        <v>560</v>
      </c>
    </row>
    <row r="29855" spans="1:6" ht="12.75">
      <c r="A29855" s="8">
        <v>43891.109293981484</v>
      </c>
      <c r="B29855" s="8" t="str">
        <f>HYPERLINK("https://twitter.com/LC01L","@LC01L")</f>
        <v>@LC01L</v>
      </c>
      <c r="C29855" s="8" t="s">
        <v>10600</v>
      </c>
      <c r="D29855" s="8">
        <v>176</v>
      </c>
      <c r="E29855" s="8">
        <v>0</v>
      </c>
      <c r="F29855" s="8">
        <v>235</v>
      </c>
    </row>
    <row r="29856" spans="1:6" ht="12.75">
      <c r="A29856" s="8">
        <v>43891.109236111108</v>
      </c>
      <c r="B29856" s="8" t="str">
        <f>HYPERLINK("https://twitter.com/idpenamini","@idpenamini")</f>
        <v>@idpenamini</v>
      </c>
      <c r="C29856" s="8" t="s">
        <v>11335</v>
      </c>
      <c r="D29856" s="8">
        <v>0</v>
      </c>
      <c r="E29856" s="8">
        <v>0</v>
      </c>
      <c r="F29856" s="8">
        <v>173</v>
      </c>
    </row>
    <row r="29857" spans="1:6" ht="12.75">
      <c r="A29857" s="8">
        <v>43891.1090625</v>
      </c>
      <c r="B29857" s="8" t="str">
        <f>HYPERLINK("https://twitter.com/makmun_tjg","@makmun_tjg")</f>
        <v>@makmun_tjg</v>
      </c>
      <c r="C29857" s="8" t="s">
        <v>10986</v>
      </c>
      <c r="D29857" s="8">
        <v>20</v>
      </c>
      <c r="E29857" s="8">
        <v>0</v>
      </c>
      <c r="F29857" s="8">
        <v>77</v>
      </c>
    </row>
    <row r="29858" spans="1:6" ht="12.75">
      <c r="A29858" s="8">
        <v>43891.107881944445</v>
      </c>
      <c r="B29858" s="8" t="str">
        <f>HYPERLINK("https://twitter.com/neen4noor","@neen4noor")</f>
        <v>@neen4noor</v>
      </c>
      <c r="C29858" s="8" t="s">
        <v>11075</v>
      </c>
      <c r="D29858" s="8">
        <v>84</v>
      </c>
      <c r="E29858" s="8">
        <v>0</v>
      </c>
      <c r="F29858" s="8">
        <v>899</v>
      </c>
    </row>
    <row r="29859" spans="1:6" ht="12.75">
      <c r="A29859" s="8">
        <v>43891.107418981483</v>
      </c>
      <c r="B29859" s="8" t="str">
        <f>HYPERLINK("https://twitter.com/ronindrawan","@ronindrawan")</f>
        <v>@ronindrawan</v>
      </c>
      <c r="C29859" s="8" t="s">
        <v>10939</v>
      </c>
      <c r="D29859" s="8">
        <v>186</v>
      </c>
      <c r="E29859" s="8">
        <v>0</v>
      </c>
      <c r="F29859" s="8">
        <v>723</v>
      </c>
    </row>
    <row r="29860" spans="1:6" ht="12.75">
      <c r="A29860" s="8">
        <v>43891.107361111106</v>
      </c>
      <c r="B29860" s="8" t="str">
        <f>HYPERLINK("https://twitter.com/jayhind22090440","@jayhind22090440")</f>
        <v>@jayhind22090440</v>
      </c>
      <c r="C29860" s="8" t="s">
        <v>11015</v>
      </c>
      <c r="D29860" s="8">
        <v>16</v>
      </c>
      <c r="E29860" s="8">
        <v>0</v>
      </c>
      <c r="F29860" s="8">
        <v>30302</v>
      </c>
    </row>
    <row r="29861" spans="1:6" ht="12.75">
      <c r="A29861" s="8">
        <v>43891.107245370367</v>
      </c>
      <c r="B29861" s="8" t="str">
        <f>HYPERLINK("https://twitter.com/erorbatigol","@erorbatigol")</f>
        <v>@erorbatigol</v>
      </c>
      <c r="C29861" s="8" t="s">
        <v>7686</v>
      </c>
      <c r="D29861" s="8">
        <v>843</v>
      </c>
      <c r="E29861" s="8">
        <v>0</v>
      </c>
      <c r="F29861" s="8">
        <v>83</v>
      </c>
    </row>
    <row r="29862" spans="1:6" ht="12.75">
      <c r="A29862" s="8">
        <v>43891.106979166667</v>
      </c>
      <c r="B29862" s="8" t="str">
        <f>HYPERLINK("https://twitter.com/alfi_nn","@alfi_nn")</f>
        <v>@alfi_nn</v>
      </c>
      <c r="C29862" s="8" t="s">
        <v>11336</v>
      </c>
      <c r="D29862" s="8">
        <v>0</v>
      </c>
      <c r="E29862" s="8">
        <v>0</v>
      </c>
      <c r="F29862" s="8">
        <v>3</v>
      </c>
    </row>
    <row r="29863" spans="1:6" ht="12.75">
      <c r="A29863" s="8">
        <v>43891.106388888889</v>
      </c>
      <c r="B29863" s="8" t="str">
        <f>HYPERLINK("https://twitter.com/_wni_","@_wni_")</f>
        <v>@_wni_</v>
      </c>
      <c r="C29863" s="8" t="s">
        <v>11337</v>
      </c>
      <c r="D29863" s="8">
        <v>2052</v>
      </c>
      <c r="E29863" s="8">
        <v>0</v>
      </c>
      <c r="F29863" s="8">
        <v>12</v>
      </c>
    </row>
    <row r="29864" spans="1:6" ht="12.75">
      <c r="A29864" s="8">
        <v>43891.105567129634</v>
      </c>
      <c r="B29864" s="8" t="str">
        <f>HYPERLINK("https://twitter.com/tap_mz","@tap_mz")</f>
        <v>@tap_mz</v>
      </c>
      <c r="C29864" s="8" t="s">
        <v>8190</v>
      </c>
      <c r="D29864" s="8">
        <v>256</v>
      </c>
      <c r="E29864" s="8">
        <v>0</v>
      </c>
      <c r="F29864" s="8">
        <v>761</v>
      </c>
    </row>
    <row r="29865" spans="1:6" ht="12.75">
      <c r="A29865" s="8">
        <v>43891.104502314818</v>
      </c>
      <c r="B29865" s="8" t="str">
        <f>HYPERLINK("https://twitter.com/ikedamalaysia","@ikedamalaysia")</f>
        <v>@ikedamalaysia</v>
      </c>
      <c r="C29865" s="8" t="s">
        <v>11155</v>
      </c>
      <c r="D29865" s="8">
        <v>42</v>
      </c>
      <c r="E29865" s="8">
        <v>0</v>
      </c>
      <c r="F29865" s="8">
        <v>24</v>
      </c>
    </row>
    <row r="29866" spans="1:6" ht="12.75">
      <c r="A29866" s="8">
        <v>43891.103981481487</v>
      </c>
      <c r="B29866" s="8" t="str">
        <f>HYPERLINK("https://twitter.com/h_a_n_d_i","@h_a_n_d_i")</f>
        <v>@h_a_n_d_i</v>
      </c>
      <c r="C29866" s="8" t="s">
        <v>9163</v>
      </c>
      <c r="D29866" s="8">
        <v>34</v>
      </c>
      <c r="E29866" s="8">
        <v>0</v>
      </c>
      <c r="F29866" s="8">
        <v>2823</v>
      </c>
    </row>
    <row r="29867" spans="1:6" ht="12.75">
      <c r="A29867" s="8">
        <v>43891.103854166664</v>
      </c>
      <c r="B29867" s="8" t="str">
        <f>HYPERLINK("https://twitter.com/erorbatigol","@erorbatigol")</f>
        <v>@erorbatigol</v>
      </c>
      <c r="C29867" s="8" t="s">
        <v>10600</v>
      </c>
      <c r="D29867" s="8">
        <v>176</v>
      </c>
      <c r="E29867" s="8">
        <v>0</v>
      </c>
      <c r="F29867" s="8">
        <v>83</v>
      </c>
    </row>
    <row r="29868" spans="1:6" ht="12.75">
      <c r="A29868" s="8">
        <v>43891.103854166664</v>
      </c>
      <c r="B29868" s="8" t="str">
        <f>HYPERLINK("https://twitter.com/makmun_tjg","@makmun_tjg")</f>
        <v>@makmun_tjg</v>
      </c>
      <c r="C29868" s="8" t="s">
        <v>7686</v>
      </c>
      <c r="D29868" s="8">
        <v>843</v>
      </c>
      <c r="E29868" s="8">
        <v>0</v>
      </c>
      <c r="F29868" s="8">
        <v>77</v>
      </c>
    </row>
    <row r="29869" spans="1:6" ht="12.75">
      <c r="A29869" s="8">
        <v>43891.103749999995</v>
      </c>
      <c r="B29869" s="8" t="str">
        <f>HYPERLINK("https://twitter.com/palwagaseta23","@palwagaseta23")</f>
        <v>@palwagaseta23</v>
      </c>
      <c r="C29869" s="8" t="s">
        <v>7686</v>
      </c>
      <c r="D29869" s="8">
        <v>843</v>
      </c>
      <c r="E29869" s="8">
        <v>0</v>
      </c>
      <c r="F29869" s="8">
        <v>84</v>
      </c>
    </row>
    <row r="29870" spans="1:6" ht="12.75">
      <c r="A29870" s="8">
        <v>43891.103668981479</v>
      </c>
      <c r="B29870" s="8" t="str">
        <f>HYPERLINK("https://twitter.com/pakokbetah","@pakokbetah")</f>
        <v>@pakokbetah</v>
      </c>
      <c r="C29870" s="8" t="s">
        <v>10811</v>
      </c>
      <c r="D29870" s="8">
        <v>256</v>
      </c>
      <c r="E29870" s="8">
        <v>0</v>
      </c>
      <c r="F29870" s="8">
        <v>1129</v>
      </c>
    </row>
    <row r="29871" spans="1:6" ht="12.75">
      <c r="A29871" s="8">
        <v>43891.102314814816</v>
      </c>
      <c r="B29871" s="8" t="str">
        <f>HYPERLINK("https://twitter.com/Tiwari2941","@Tiwari2941")</f>
        <v>@Tiwari2941</v>
      </c>
      <c r="C29871" s="8" t="s">
        <v>11015</v>
      </c>
      <c r="D29871" s="8">
        <v>16</v>
      </c>
      <c r="E29871" s="8">
        <v>0</v>
      </c>
      <c r="F29871" s="8">
        <v>2533</v>
      </c>
    </row>
    <row r="29872" spans="1:6" ht="12.75">
      <c r="A29872" s="8">
        <v>43891.102314814816</v>
      </c>
      <c r="B29872" s="8" t="str">
        <f>HYPERLINK("https://twitter.com/botzps","@botzps")</f>
        <v>@botzps</v>
      </c>
      <c r="C29872" s="8" t="s">
        <v>11338</v>
      </c>
      <c r="D29872" s="8">
        <v>10</v>
      </c>
      <c r="E29872" s="8">
        <v>0</v>
      </c>
      <c r="F29872" s="8">
        <v>294</v>
      </c>
    </row>
    <row r="29873" spans="1:6" ht="12.75">
      <c r="A29873" s="8">
        <v>43891.102256944447</v>
      </c>
      <c r="B29873" s="8" t="str">
        <f>HYPERLINK("https://twitter.com/skecther07","@skecther07")</f>
        <v>@skecther07</v>
      </c>
      <c r="C29873" s="8" t="s">
        <v>10600</v>
      </c>
      <c r="D29873" s="8">
        <v>176</v>
      </c>
      <c r="E29873" s="8">
        <v>0</v>
      </c>
      <c r="F29873" s="8">
        <v>0</v>
      </c>
    </row>
    <row r="29874" spans="1:6" ht="12.75">
      <c r="A29874" s="8">
        <v>43891.102175925931</v>
      </c>
      <c r="B29874" s="8" t="str">
        <f>HYPERLINK("https://twitter.com/CastilloJoshima","@CastilloJoshima")</f>
        <v>@CastilloJoshima</v>
      </c>
      <c r="C29874" s="8" t="s">
        <v>7686</v>
      </c>
      <c r="D29874" s="8">
        <v>843</v>
      </c>
      <c r="E29874" s="8">
        <v>0</v>
      </c>
      <c r="F29874" s="8">
        <v>5432</v>
      </c>
    </row>
    <row r="29875" spans="1:6" ht="12.75">
      <c r="A29875" s="8">
        <v>43891.101793981477</v>
      </c>
      <c r="B29875" s="8" t="str">
        <f>HYPERLINK("https://twitter.com/chairulachir","@chairulachir")</f>
        <v>@chairulachir</v>
      </c>
      <c r="C29875" s="8" t="s">
        <v>10986</v>
      </c>
      <c r="D29875" s="8">
        <v>20</v>
      </c>
      <c r="E29875" s="8">
        <v>0</v>
      </c>
      <c r="F29875" s="8">
        <v>2735</v>
      </c>
    </row>
    <row r="29876" spans="1:6" ht="12.75">
      <c r="A29876" s="8">
        <v>43891.10157407407</v>
      </c>
      <c r="B29876" s="8" t="str">
        <f>HYPERLINK("https://twitter.com/MonoKaritas","@MonoKaritas")</f>
        <v>@MonoKaritas</v>
      </c>
      <c r="C29876" s="8" t="s">
        <v>7686</v>
      </c>
      <c r="D29876" s="8">
        <v>843</v>
      </c>
      <c r="E29876" s="8">
        <v>0</v>
      </c>
      <c r="F29876" s="8">
        <v>345</v>
      </c>
    </row>
    <row r="29877" spans="1:6" ht="12.75">
      <c r="A29877" s="8">
        <v>43891.101122685184</v>
      </c>
      <c r="B29877" s="8" t="str">
        <f>HYPERLINK("https://twitter.com/rereslvn","@rereslvn")</f>
        <v>@rereslvn</v>
      </c>
      <c r="C29877" s="8" t="s">
        <v>2272</v>
      </c>
      <c r="D29877" s="8">
        <v>115</v>
      </c>
      <c r="E29877" s="8">
        <v>0</v>
      </c>
      <c r="F29877" s="8">
        <v>406</v>
      </c>
    </row>
    <row r="29878" spans="1:6" ht="12.75">
      <c r="A29878" s="8">
        <v>43891.100891203707</v>
      </c>
      <c r="B29878" s="8" t="str">
        <f>HYPERLINK("https://twitter.com/skecther07","@skecther07")</f>
        <v>@skecther07</v>
      </c>
      <c r="C29878" s="8" t="s">
        <v>7437</v>
      </c>
      <c r="D29878" s="8">
        <v>321</v>
      </c>
      <c r="E29878" s="8">
        <v>0</v>
      </c>
      <c r="F29878" s="8">
        <v>0</v>
      </c>
    </row>
    <row r="29879" spans="1:6" ht="12.75">
      <c r="A29879" s="8">
        <v>43891.100416666668</v>
      </c>
      <c r="B29879" s="8" t="str">
        <f>HYPERLINK("https://twitter.com/tatasuhendra","@tatasuhendra")</f>
        <v>@tatasuhendra</v>
      </c>
      <c r="C29879" s="8" t="s">
        <v>4235</v>
      </c>
      <c r="D29879" s="8">
        <v>1582</v>
      </c>
      <c r="E29879" s="8">
        <v>0</v>
      </c>
      <c r="F29879" s="8">
        <v>416</v>
      </c>
    </row>
    <row r="29880" spans="1:6" ht="12.75">
      <c r="A29880" s="8">
        <v>43891.099710648152</v>
      </c>
      <c r="B29880" s="8" t="str">
        <f>HYPERLINK("https://twitter.com/_wni_","@_wni_")</f>
        <v>@_wni_</v>
      </c>
      <c r="C29880" s="8" t="s">
        <v>11339</v>
      </c>
      <c r="D29880" s="8">
        <v>0</v>
      </c>
      <c r="E29880" s="8">
        <v>1</v>
      </c>
      <c r="F29880" s="8">
        <v>12</v>
      </c>
    </row>
    <row r="29881" spans="1:6" ht="12.75">
      <c r="A29881" s="8">
        <v>43891.099537037036</v>
      </c>
      <c r="B29881" s="8" t="str">
        <f>HYPERLINK("https://twitter.com/arie__saja","@arie__saja")</f>
        <v>@arie__saja</v>
      </c>
      <c r="C29881" s="8" t="s">
        <v>6883</v>
      </c>
      <c r="D29881" s="8">
        <v>45</v>
      </c>
      <c r="E29881" s="8">
        <v>0</v>
      </c>
      <c r="F29881" s="8">
        <v>2240</v>
      </c>
    </row>
    <row r="29882" spans="1:6" ht="12.75">
      <c r="A29882" s="8">
        <v>43891.099166666667</v>
      </c>
      <c r="B29882" s="8" t="str">
        <f>HYPERLINK("https://twitter.com/Ferry13602224","@Ferry13602224")</f>
        <v>@Ferry13602224</v>
      </c>
      <c r="C29882" s="8" t="s">
        <v>11105</v>
      </c>
      <c r="D29882" s="8">
        <v>171</v>
      </c>
      <c r="E29882" s="8">
        <v>0</v>
      </c>
      <c r="F29882" s="8">
        <v>440</v>
      </c>
    </row>
    <row r="29883" spans="1:6" ht="12.75">
      <c r="A29883" s="8">
        <v>43891.098530092597</v>
      </c>
      <c r="B29883" s="8" t="str">
        <f>HYPERLINK("https://twitter.com/beatrice_health","@beatrice_health")</f>
        <v>@beatrice_health</v>
      </c>
      <c r="C29883" s="8" t="s">
        <v>11340</v>
      </c>
      <c r="D29883" s="8">
        <v>1</v>
      </c>
      <c r="E29883" s="8">
        <v>0</v>
      </c>
      <c r="F29883" s="8">
        <v>456</v>
      </c>
    </row>
    <row r="29884" spans="1:6" ht="12.75">
      <c r="A29884" s="8">
        <v>43891.098495370374</v>
      </c>
      <c r="B29884" s="8" t="str">
        <f>HYPERLINK("https://twitter.com/jowosunda","@jowosunda")</f>
        <v>@jowosunda</v>
      </c>
      <c r="C29884" s="8" t="s">
        <v>11341</v>
      </c>
      <c r="D29884" s="8">
        <v>1</v>
      </c>
      <c r="E29884" s="8">
        <v>0</v>
      </c>
      <c r="F29884" s="8">
        <v>286</v>
      </c>
    </row>
    <row r="29885" spans="1:6" ht="12.75">
      <c r="A29885" s="8">
        <v>43891.098344907412</v>
      </c>
      <c r="B29885" s="8" t="str">
        <f>HYPERLINK("https://twitter.com/Selamet13995912","@Selamet13995912")</f>
        <v>@Selamet13995912</v>
      </c>
      <c r="C29885" s="8" t="s">
        <v>6836</v>
      </c>
      <c r="D29885" s="8">
        <v>537</v>
      </c>
      <c r="E29885" s="8">
        <v>0</v>
      </c>
      <c r="F29885" s="8">
        <v>392</v>
      </c>
    </row>
    <row r="29886" spans="1:6" ht="12.75">
      <c r="A29886" s="8">
        <v>43891.097754629634</v>
      </c>
      <c r="B29886" s="8" t="str">
        <f>HYPERLINK("https://twitter.com/TheNextIronMan","@TheNextIronMan")</f>
        <v>@TheNextIronMan</v>
      </c>
      <c r="C29886" s="8" t="s">
        <v>10600</v>
      </c>
      <c r="D29886" s="8">
        <v>176</v>
      </c>
      <c r="E29886" s="8">
        <v>0</v>
      </c>
      <c r="F29886" s="8">
        <v>161</v>
      </c>
    </row>
    <row r="29887" spans="1:6" ht="12.75">
      <c r="A29887" s="8">
        <v>43891.09710648148</v>
      </c>
      <c r="B29887" s="8" t="str">
        <f>HYPERLINK("https://twitter.com/ronindrawan","@ronindrawan")</f>
        <v>@ronindrawan</v>
      </c>
      <c r="C29887" s="8" t="s">
        <v>7686</v>
      </c>
      <c r="D29887" s="8">
        <v>843</v>
      </c>
      <c r="E29887" s="8">
        <v>0</v>
      </c>
      <c r="F29887" s="8">
        <v>723</v>
      </c>
    </row>
    <row r="29888" spans="1:6" ht="12.75">
      <c r="A29888" s="8">
        <v>43891.095810185187</v>
      </c>
      <c r="B29888" s="8" t="str">
        <f>HYPERLINK("https://twitter.com/Official_OGI","@Official_OGI")</f>
        <v>@Official_OGI</v>
      </c>
      <c r="C29888" s="8" t="s">
        <v>8746</v>
      </c>
      <c r="D29888" s="8">
        <v>369</v>
      </c>
      <c r="E29888" s="8">
        <v>0</v>
      </c>
      <c r="F29888" s="8">
        <v>1123</v>
      </c>
    </row>
    <row r="29889" spans="1:6" ht="12.75">
      <c r="A29889" s="8">
        <v>43891.094351851847</v>
      </c>
      <c r="B29889" s="8" t="str">
        <f>HYPERLINK("https://twitter.com/KADALGURUN48","@KADALGURUN48")</f>
        <v>@KADALGURUN48</v>
      </c>
      <c r="C29889" s="8" t="s">
        <v>7686</v>
      </c>
      <c r="D29889" s="8">
        <v>843</v>
      </c>
      <c r="E29889" s="8">
        <v>0</v>
      </c>
      <c r="F29889" s="8">
        <v>1373</v>
      </c>
    </row>
    <row r="29890" spans="1:6" ht="12.75">
      <c r="A29890" s="8">
        <v>43891.09</v>
      </c>
      <c r="B29890" s="8" t="str">
        <f>HYPERLINK("https://twitter.com/Cupido_07","@Cupido_07")</f>
        <v>@Cupido_07</v>
      </c>
      <c r="C29890" s="8" t="s">
        <v>7686</v>
      </c>
      <c r="D29890" s="8">
        <v>827</v>
      </c>
      <c r="E29890" s="8">
        <v>0</v>
      </c>
      <c r="F29890" s="8">
        <v>135</v>
      </c>
    </row>
    <row r="29891" spans="1:6" ht="12.75">
      <c r="A29891" s="8">
        <v>43891.089560185181</v>
      </c>
      <c r="B29891" s="8" t="str">
        <f>HYPERLINK("https://twitter.com/ronindrawan","@ronindrawan")</f>
        <v>@ronindrawan</v>
      </c>
      <c r="C29891" s="8" t="s">
        <v>10591</v>
      </c>
      <c r="D29891" s="8">
        <v>17</v>
      </c>
      <c r="E29891" s="8">
        <v>0</v>
      </c>
      <c r="F29891" s="8">
        <v>723</v>
      </c>
    </row>
    <row r="29892" spans="1:6" ht="12.75">
      <c r="A29892" s="8">
        <v>43891.089155092588</v>
      </c>
      <c r="B29892" s="8" t="str">
        <f>HYPERLINK("https://twitter.com/FajarSyamsiah1","@FajarSyamsiah1")</f>
        <v>@FajarSyamsiah1</v>
      </c>
      <c r="C29892" s="8" t="s">
        <v>7437</v>
      </c>
      <c r="D29892" s="8">
        <v>320</v>
      </c>
      <c r="E29892" s="8">
        <v>0</v>
      </c>
      <c r="F29892" s="8">
        <v>30</v>
      </c>
    </row>
    <row r="29893" spans="1:6" ht="12.75">
      <c r="A29893" s="8">
        <v>43891.08871527778</v>
      </c>
      <c r="B29893" s="8" t="str">
        <f>HYPERLINK("https://twitter.com/jk_surono","@jk_surono")</f>
        <v>@jk_surono</v>
      </c>
      <c r="C29893" s="8" t="s">
        <v>4235</v>
      </c>
      <c r="D29893" s="8">
        <v>1575</v>
      </c>
      <c r="E29893" s="8">
        <v>0</v>
      </c>
      <c r="F29893" s="8">
        <v>130</v>
      </c>
    </row>
    <row r="29894" spans="1:6" ht="12.75">
      <c r="A29894" s="8">
        <v>43891.087488425925</v>
      </c>
      <c r="B29894" s="8" t="str">
        <f>HYPERLINK("https://twitter.com/netizenindone11","@netizenindone11")</f>
        <v>@netizenindone11</v>
      </c>
      <c r="C29894" s="8" t="s">
        <v>11342</v>
      </c>
      <c r="D29894" s="8">
        <v>0</v>
      </c>
      <c r="E29894" s="8">
        <v>1</v>
      </c>
      <c r="F29894" s="8">
        <v>5</v>
      </c>
    </row>
    <row r="29895" spans="1:6" ht="12.75">
      <c r="A29895" s="8">
        <v>43891.085451388892</v>
      </c>
      <c r="B29895" s="8" t="str">
        <f>HYPERLINK("https://twitter.com/OtakCingkrang","@OtakCingkrang")</f>
        <v>@OtakCingkrang</v>
      </c>
      <c r="C29895" s="8" t="s">
        <v>7686</v>
      </c>
      <c r="D29895" s="8">
        <v>827</v>
      </c>
      <c r="E29895" s="8">
        <v>0</v>
      </c>
      <c r="F29895" s="8">
        <v>1721</v>
      </c>
    </row>
    <row r="29896" spans="1:6" ht="12.75">
      <c r="A29896" s="8">
        <v>43891.084733796291</v>
      </c>
      <c r="B29896" s="8" t="str">
        <f>HYPERLINK("https://twitter.com/samienz","@samienz")</f>
        <v>@samienz</v>
      </c>
      <c r="C29896" s="8" t="s">
        <v>4235</v>
      </c>
      <c r="D29896" s="8">
        <v>1575</v>
      </c>
      <c r="E29896" s="8">
        <v>0</v>
      </c>
      <c r="F29896" s="8">
        <v>974</v>
      </c>
    </row>
    <row r="29897" spans="1:6" ht="12.75">
      <c r="A29897" s="8">
        <v>43891.084606481483</v>
      </c>
      <c r="B29897" s="8" t="str">
        <f>HYPERLINK("https://twitter.com/FerryM1","@FerryM1")</f>
        <v>@FerryM1</v>
      </c>
      <c r="C29897" s="8" t="s">
        <v>6883</v>
      </c>
      <c r="D29897" s="8">
        <v>43</v>
      </c>
      <c r="E29897" s="8">
        <v>0</v>
      </c>
      <c r="F29897" s="8">
        <v>2320</v>
      </c>
    </row>
    <row r="29898" spans="1:6" ht="12.75">
      <c r="A29898" s="8">
        <v>43891.084293981483</v>
      </c>
      <c r="B29898" s="8" t="str">
        <f>HYPERLINK("https://twitter.com/linkarika","@linkarika")</f>
        <v>@linkarika</v>
      </c>
      <c r="C29898" s="8" t="s">
        <v>6883</v>
      </c>
      <c r="D29898" s="8">
        <v>43</v>
      </c>
      <c r="E29898" s="8">
        <v>0</v>
      </c>
      <c r="F29898" s="8">
        <v>316</v>
      </c>
    </row>
    <row r="29899" spans="1:6" ht="12.75">
      <c r="A29899" s="8">
        <v>43891.084236111114</v>
      </c>
      <c r="B29899" s="8" t="str">
        <f>HYPERLINK("https://twitter.com/BakarPuruih","@BakarPuruih")</f>
        <v>@BakarPuruih</v>
      </c>
      <c r="C29899" s="8" t="s">
        <v>8746</v>
      </c>
      <c r="D29899" s="8">
        <v>367</v>
      </c>
      <c r="E29899" s="8">
        <v>0</v>
      </c>
      <c r="F29899" s="8">
        <v>678</v>
      </c>
    </row>
    <row r="29900" spans="1:6" ht="12.75">
      <c r="A29900" s="8">
        <v>43891.084155092598</v>
      </c>
      <c r="B29900" s="8" t="str">
        <f>HYPERLINK("https://twitter.com/hildaudila","@hildaudila")</f>
        <v>@hildaudila</v>
      </c>
      <c r="C29900" s="8" t="s">
        <v>2272</v>
      </c>
      <c r="D29900" s="8">
        <v>113</v>
      </c>
      <c r="E29900" s="8">
        <v>0</v>
      </c>
      <c r="F29900" s="8">
        <v>1271</v>
      </c>
    </row>
    <row r="29901" spans="1:6" ht="12.75">
      <c r="A29901" s="8">
        <v>43891.084108796298</v>
      </c>
      <c r="B29901" s="8" t="str">
        <f>HYPERLINK("https://twitter.com/Maskanonim","@Maskanonim")</f>
        <v>@Maskanonim</v>
      </c>
      <c r="C29901" s="8" t="s">
        <v>10600</v>
      </c>
      <c r="D29901" s="8">
        <v>169</v>
      </c>
      <c r="E29901" s="8">
        <v>0</v>
      </c>
      <c r="F29901" s="8">
        <v>57</v>
      </c>
    </row>
    <row r="29902" spans="1:6" ht="12.75">
      <c r="A29902" s="8">
        <v>43891.083645833336</v>
      </c>
      <c r="B29902" s="8" t="str">
        <f>HYPERLINK("https://twitter.com/Andilagisinau","@Andilagisinau")</f>
        <v>@Andilagisinau</v>
      </c>
      <c r="C29902" s="8" t="s">
        <v>10811</v>
      </c>
      <c r="D29902" s="8">
        <v>255</v>
      </c>
      <c r="E29902" s="8">
        <v>0</v>
      </c>
      <c r="F29902" s="8">
        <v>2336</v>
      </c>
    </row>
    <row r="29903" spans="1:6" ht="12.75">
      <c r="A29903" s="8">
        <v>43891.083275462966</v>
      </c>
      <c r="B29903" s="8" t="str">
        <f>HYPERLINK("https://twitter.com/shaunxsheeep","@shaunxsheeep")</f>
        <v>@shaunxsheeep</v>
      </c>
      <c r="C29903" s="8" t="s">
        <v>2272</v>
      </c>
      <c r="D29903" s="8">
        <v>113</v>
      </c>
      <c r="E29903" s="8">
        <v>0</v>
      </c>
      <c r="F29903" s="8">
        <v>92</v>
      </c>
    </row>
    <row r="29904" spans="1:6" ht="12.75">
      <c r="A29904" s="8">
        <v>43891.082638888889</v>
      </c>
      <c r="B29904" s="8" t="str">
        <f>HYPERLINK("https://twitter.com/zainala66","@zainala66")</f>
        <v>@zainala66</v>
      </c>
      <c r="C29904" s="8" t="s">
        <v>10600</v>
      </c>
      <c r="D29904" s="8">
        <v>169</v>
      </c>
      <c r="E29904" s="8">
        <v>0</v>
      </c>
      <c r="F29904" s="8">
        <v>151</v>
      </c>
    </row>
    <row r="29905" spans="1:6" ht="12.75">
      <c r="A29905" s="8">
        <v>43891.081608796296</v>
      </c>
      <c r="B29905" s="8" t="str">
        <f>HYPERLINK("https://twitter.com/SitorusAsben","@SitorusAsben")</f>
        <v>@SitorusAsben</v>
      </c>
      <c r="C29905" s="8" t="s">
        <v>10811</v>
      </c>
      <c r="D29905" s="8">
        <v>255</v>
      </c>
      <c r="E29905" s="8">
        <v>0</v>
      </c>
      <c r="F29905" s="8">
        <v>13</v>
      </c>
    </row>
    <row r="29906" spans="1:6" ht="12.75">
      <c r="A29906" s="8">
        <v>43891.081388888888</v>
      </c>
      <c r="B29906" s="8" t="str">
        <f>HYPERLINK("https://twitter.com/Nugroho814","@Nugroho814")</f>
        <v>@Nugroho814</v>
      </c>
      <c r="C29906" s="8" t="s">
        <v>10811</v>
      </c>
      <c r="D29906" s="8">
        <v>255</v>
      </c>
      <c r="E29906" s="8">
        <v>0</v>
      </c>
      <c r="F29906" s="8">
        <v>230</v>
      </c>
    </row>
    <row r="29907" spans="1:6" ht="12.75">
      <c r="A29907" s="8">
        <v>43891.081307870365</v>
      </c>
      <c r="B29907" s="8" t="str">
        <f>HYPERLINK("https://twitter.com/ItemYopi","@ItemYopi")</f>
        <v>@ItemYopi</v>
      </c>
      <c r="C29907" s="8" t="s">
        <v>10939</v>
      </c>
      <c r="D29907" s="8">
        <v>183</v>
      </c>
      <c r="E29907" s="8">
        <v>0</v>
      </c>
      <c r="F29907" s="8">
        <v>1153</v>
      </c>
    </row>
    <row r="29908" spans="1:6" ht="12.75">
      <c r="A29908" s="8">
        <v>43891.080381944441</v>
      </c>
      <c r="B29908" s="8" t="str">
        <f>HYPERLINK("https://twitter.com/rafimaryudwika","@rafimaryudwika")</f>
        <v>@rafimaryudwika</v>
      </c>
      <c r="C29908" s="8" t="s">
        <v>7686</v>
      </c>
      <c r="D29908" s="8">
        <v>827</v>
      </c>
      <c r="E29908" s="8">
        <v>0</v>
      </c>
      <c r="F29908" s="8">
        <v>111</v>
      </c>
    </row>
    <row r="29909" spans="1:6" ht="12.75">
      <c r="A29909" s="8">
        <v>43891.080289351856</v>
      </c>
      <c r="B29909" s="8" t="str">
        <f>HYPERLINK("https://twitter.com/Nugroho814","@Nugroho814")</f>
        <v>@Nugroho814</v>
      </c>
      <c r="C29909" s="8" t="s">
        <v>10600</v>
      </c>
      <c r="D29909" s="8">
        <v>169</v>
      </c>
      <c r="E29909" s="8">
        <v>0</v>
      </c>
      <c r="F29909" s="8">
        <v>230</v>
      </c>
    </row>
    <row r="29910" spans="1:6" ht="12.75">
      <c r="A29910" s="8">
        <v>43891.079074074078</v>
      </c>
      <c r="B29910" s="8" t="str">
        <f>HYPERLINK("https://twitter.com/GregoriusVerly","@GregoriusVerly")</f>
        <v>@GregoriusVerly</v>
      </c>
      <c r="C29910" s="8" t="s">
        <v>11343</v>
      </c>
      <c r="D29910" s="8">
        <v>0</v>
      </c>
      <c r="E29910" s="8">
        <v>0</v>
      </c>
      <c r="F29910" s="8">
        <v>151</v>
      </c>
    </row>
    <row r="29911" spans="1:6" ht="12.75">
      <c r="A29911" s="8">
        <v>43891.077719907407</v>
      </c>
      <c r="B29911" s="8" t="str">
        <f>HYPERLINK("https://twitter.com/neozupernova","@neozupernova")</f>
        <v>@neozupernova</v>
      </c>
      <c r="C29911" s="8" t="s">
        <v>10600</v>
      </c>
      <c r="D29911" s="8">
        <v>169</v>
      </c>
      <c r="E29911" s="8">
        <v>0</v>
      </c>
      <c r="F29911" s="8">
        <v>110</v>
      </c>
    </row>
    <row r="29912" spans="1:6" ht="12.75">
      <c r="A29912" s="8">
        <v>43891.076585648145</v>
      </c>
      <c r="B29912" s="8" t="str">
        <f>HYPERLINK("https://twitter.com/munirsamsul19","@munirsamsul19")</f>
        <v>@munirsamsul19</v>
      </c>
      <c r="C29912" s="8" t="s">
        <v>7437</v>
      </c>
      <c r="D29912" s="8">
        <v>320</v>
      </c>
      <c r="E29912" s="8">
        <v>0</v>
      </c>
      <c r="F29912" s="8">
        <v>1</v>
      </c>
    </row>
    <row r="29913" spans="1:6" ht="12.75">
      <c r="A29913" s="8">
        <v>43891.07644675926</v>
      </c>
      <c r="B29913" s="8" t="str">
        <f>HYPERLINK("https://twitter.com/07_adnanqazi","@07_adnanqazi")</f>
        <v>@07_adnanqazi</v>
      </c>
      <c r="C29913" s="8" t="s">
        <v>11344</v>
      </c>
      <c r="D29913" s="8">
        <v>0</v>
      </c>
      <c r="E29913" s="8">
        <v>0</v>
      </c>
      <c r="F29913" s="8">
        <v>13</v>
      </c>
    </row>
    <row r="29914" spans="1:6" ht="12.75">
      <c r="A29914" s="8">
        <v>43891.075578703705</v>
      </c>
      <c r="B29914" s="8" t="str">
        <f>HYPERLINK("https://twitter.com/arisestrive","@arisestrive")</f>
        <v>@arisestrive</v>
      </c>
      <c r="C29914" s="8" t="s">
        <v>10600</v>
      </c>
      <c r="D29914" s="8">
        <v>169</v>
      </c>
      <c r="E29914" s="8">
        <v>0</v>
      </c>
      <c r="F29914" s="8">
        <v>477</v>
      </c>
    </row>
    <row r="29915" spans="1:6" ht="12.75">
      <c r="A29915" s="8">
        <v>43891.07304398148</v>
      </c>
      <c r="B29915" s="8" t="str">
        <f>HYPERLINK("https://twitter.com/Galihzaki2","@Galihzaki2")</f>
        <v>@Galihzaki2</v>
      </c>
      <c r="C29915" s="8" t="s">
        <v>10757</v>
      </c>
      <c r="D29915" s="8">
        <v>19</v>
      </c>
      <c r="E29915" s="8">
        <v>0</v>
      </c>
      <c r="F29915" s="8">
        <v>14</v>
      </c>
    </row>
    <row r="29916" spans="1:6" ht="12.75">
      <c r="A29916" s="8">
        <v>43891.072800925926</v>
      </c>
      <c r="B29916" s="8" t="str">
        <f>HYPERLINK("https://twitter.com/KhijibB","@KhijibB")</f>
        <v>@KhijibB</v>
      </c>
      <c r="C29916" s="8" t="s">
        <v>10657</v>
      </c>
      <c r="D29916" s="8">
        <v>24</v>
      </c>
      <c r="E29916" s="8">
        <v>0</v>
      </c>
      <c r="F29916" s="8">
        <v>55</v>
      </c>
    </row>
    <row r="29917" spans="1:6" ht="12.75">
      <c r="A29917" s="8">
        <v>43891.072280092594</v>
      </c>
      <c r="B29917" s="8" t="str">
        <f>HYPERLINK("https://twitter.com/he_rie","@he_rie")</f>
        <v>@he_rie</v>
      </c>
      <c r="C29917" s="8" t="s">
        <v>11345</v>
      </c>
      <c r="D29917" s="8">
        <v>0</v>
      </c>
      <c r="E29917" s="8">
        <v>0</v>
      </c>
      <c r="F29917" s="8">
        <v>597</v>
      </c>
    </row>
    <row r="29918" spans="1:6" ht="12.75">
      <c r="A29918" s="8">
        <v>43891.072175925925</v>
      </c>
      <c r="B29918" s="8" t="str">
        <f>HYPERLINK("https://twitter.com/MendemVamps","@MendemVamps")</f>
        <v>@MendemVamps</v>
      </c>
      <c r="C29918" s="8" t="s">
        <v>7686</v>
      </c>
      <c r="D29918" s="8">
        <v>827</v>
      </c>
      <c r="E29918" s="8">
        <v>0</v>
      </c>
      <c r="F29918" s="8">
        <v>208</v>
      </c>
    </row>
    <row r="29919" spans="1:6" ht="12.75">
      <c r="A29919" s="8">
        <v>43891.071956018517</v>
      </c>
      <c r="B29919" s="8" t="str">
        <f>HYPERLINK("https://twitter.com/bgengkarawang","@bgengkarawang")</f>
        <v>@bgengkarawang</v>
      </c>
      <c r="C29919" s="8" t="s">
        <v>7686</v>
      </c>
      <c r="D29919" s="8">
        <v>827</v>
      </c>
      <c r="E29919" s="8">
        <v>0</v>
      </c>
      <c r="F29919" s="8">
        <v>1103</v>
      </c>
    </row>
    <row r="29920" spans="1:6" ht="12.75">
      <c r="A29920" s="8">
        <v>43891.071192129632</v>
      </c>
      <c r="B29920" s="8" t="str">
        <f>HYPERLINK("https://twitter.com/ernaazhuri","@ernaazhuri")</f>
        <v>@ernaazhuri</v>
      </c>
      <c r="C29920" s="8" t="s">
        <v>2272</v>
      </c>
      <c r="D29920" s="8">
        <v>113</v>
      </c>
      <c r="E29920" s="8">
        <v>0</v>
      </c>
      <c r="F29920" s="8">
        <v>685</v>
      </c>
    </row>
    <row r="29921" spans="1:6" ht="12.75">
      <c r="A29921" s="8">
        <v>43891.071157407408</v>
      </c>
      <c r="B29921" s="8" t="str">
        <f>HYPERLINK("https://twitter.com/Bewolf_new","@Bewolf_new")</f>
        <v>@Bewolf_new</v>
      </c>
      <c r="C29921" s="8" t="s">
        <v>6836</v>
      </c>
      <c r="D29921" s="8">
        <v>534</v>
      </c>
      <c r="E29921" s="8">
        <v>0</v>
      </c>
      <c r="F29921" s="8">
        <v>255</v>
      </c>
    </row>
    <row r="29922" spans="1:6" ht="12.75">
      <c r="A29922" s="8">
        <v>43891.0706712963</v>
      </c>
      <c r="B29922" s="8" t="str">
        <f>HYPERLINK("https://twitter.com/MchiMochi","@MchiMochi")</f>
        <v>@MchiMochi</v>
      </c>
      <c r="C29922" s="8" t="s">
        <v>11346</v>
      </c>
      <c r="D29922" s="8">
        <v>0</v>
      </c>
      <c r="E29922" s="8">
        <v>0</v>
      </c>
      <c r="F29922" s="8">
        <v>104</v>
      </c>
    </row>
    <row r="29923" spans="1:6" ht="12.75">
      <c r="A29923" s="8">
        <v>43891.069791666669</v>
      </c>
      <c r="B29923" s="8" t="str">
        <f>HYPERLINK("https://twitter.com/ronaldhonarto","@ronaldhonarto")</f>
        <v>@ronaldhonarto</v>
      </c>
      <c r="C29923" s="8" t="s">
        <v>2272</v>
      </c>
      <c r="D29923" s="8">
        <v>113</v>
      </c>
      <c r="E29923" s="8">
        <v>0</v>
      </c>
      <c r="F29923" s="8">
        <v>719</v>
      </c>
    </row>
    <row r="29924" spans="1:6" ht="12.75">
      <c r="A29924" s="8">
        <v>43891.069282407407</v>
      </c>
      <c r="B29924" s="8" t="str">
        <f>HYPERLINK("https://twitter.com/honeybii__","@honeybii__")</f>
        <v>@honeybii__</v>
      </c>
      <c r="C29924" s="8" t="s">
        <v>2272</v>
      </c>
      <c r="D29924" s="8">
        <v>113</v>
      </c>
      <c r="E29924" s="8">
        <v>0</v>
      </c>
      <c r="F29924" s="8">
        <v>332</v>
      </c>
    </row>
    <row r="29925" spans="1:6" ht="12.75">
      <c r="A29925" s="8">
        <v>43891.069247685184</v>
      </c>
      <c r="B29925" s="8" t="str">
        <f>HYPERLINK("https://twitter.com/wayanye12","@wayanye12")</f>
        <v>@wayanye12</v>
      </c>
      <c r="C29925" s="8" t="s">
        <v>2272</v>
      </c>
      <c r="D29925" s="8">
        <v>113</v>
      </c>
      <c r="E29925" s="8">
        <v>0</v>
      </c>
      <c r="F29925" s="8">
        <v>670</v>
      </c>
    </row>
    <row r="29926" spans="1:6" ht="12.75">
      <c r="A29926" s="8">
        <v>43891.068807870368</v>
      </c>
      <c r="B29926" s="8" t="str">
        <f>HYPERLINK("https://twitter.com/lilobrr","@lilobrr")</f>
        <v>@lilobrr</v>
      </c>
      <c r="C29926" s="8" t="s">
        <v>11347</v>
      </c>
      <c r="D29926" s="8">
        <v>0</v>
      </c>
      <c r="E29926" s="8">
        <v>0</v>
      </c>
      <c r="F29926" s="8">
        <v>135</v>
      </c>
    </row>
    <row r="29927" spans="1:6" ht="12.75">
      <c r="A29927" s="8">
        <v>43891.068761574075</v>
      </c>
      <c r="B29927" s="8" t="str">
        <f>HYPERLINK("https://twitter.com/koda_asik","@koda_asik")</f>
        <v>@koda_asik</v>
      </c>
      <c r="C29927" s="8" t="s">
        <v>10816</v>
      </c>
      <c r="D29927" s="8">
        <v>14</v>
      </c>
      <c r="E29927" s="8">
        <v>0</v>
      </c>
      <c r="F29927" s="8">
        <v>69</v>
      </c>
    </row>
    <row r="29928" spans="1:6" ht="12.75">
      <c r="A29928" s="8">
        <v>43891.068622685183</v>
      </c>
      <c r="B29928" s="8" t="str">
        <f>HYPERLINK("https://twitter.com/Isis_Monserrat","@Isis_Monserrat")</f>
        <v>@Isis_Monserrat</v>
      </c>
      <c r="C29928" s="8" t="s">
        <v>11348</v>
      </c>
      <c r="D29928" s="8">
        <v>603</v>
      </c>
      <c r="E29928" s="8">
        <v>0</v>
      </c>
      <c r="F29928" s="8">
        <v>248</v>
      </c>
    </row>
    <row r="29929" spans="1:6" ht="12.75">
      <c r="A29929" s="8">
        <v>43891.068194444444</v>
      </c>
      <c r="B29929" s="8" t="str">
        <f>HYPERLINK("https://twitter.com/Bewolf_new","@Bewolf_new")</f>
        <v>@Bewolf_new</v>
      </c>
      <c r="C29929" s="8" t="s">
        <v>4235</v>
      </c>
      <c r="D29929" s="8">
        <v>1575</v>
      </c>
      <c r="E29929" s="8">
        <v>0</v>
      </c>
      <c r="F29929" s="8">
        <v>255</v>
      </c>
    </row>
    <row r="29930" spans="1:6" ht="12.75">
      <c r="A29930" s="8">
        <v>43891.068078703705</v>
      </c>
      <c r="B29930" s="8" t="str">
        <f>HYPERLINK("https://twitter.com/YenkyYA","@YenkyYA")</f>
        <v>@YenkyYA</v>
      </c>
      <c r="C29930" s="8" t="s">
        <v>4235</v>
      </c>
      <c r="D29930" s="8">
        <v>1575</v>
      </c>
      <c r="E29930" s="8">
        <v>0</v>
      </c>
      <c r="F29930" s="8">
        <v>212</v>
      </c>
    </row>
    <row r="29931" spans="1:6" ht="12.75">
      <c r="A29931" s="8">
        <v>43891.067685185189</v>
      </c>
      <c r="B29931" s="8" t="str">
        <f>HYPERLINK("https://twitter.com/olgakoswanurfan","@olgakoswanurfan")</f>
        <v>@olgakoswanurfan</v>
      </c>
      <c r="C29931" s="8" t="s">
        <v>11349</v>
      </c>
      <c r="D29931" s="8">
        <v>0</v>
      </c>
      <c r="E29931" s="8">
        <v>0</v>
      </c>
      <c r="F29931" s="8">
        <v>29</v>
      </c>
    </row>
    <row r="29932" spans="1:6" ht="12.75">
      <c r="A29932" s="8">
        <v>43891.067662037036</v>
      </c>
      <c r="B29932" s="8" t="str">
        <f>HYPERLINK("https://twitter.com/yant_138","@yant_138")</f>
        <v>@yant_138</v>
      </c>
      <c r="C29932" s="8" t="s">
        <v>11350</v>
      </c>
      <c r="D29932" s="8">
        <v>0</v>
      </c>
      <c r="E29932" s="8">
        <v>0</v>
      </c>
      <c r="F29932" s="8">
        <v>86</v>
      </c>
    </row>
    <row r="29933" spans="1:6" ht="12.75">
      <c r="A29933" s="8">
        <v>43891.066828703704</v>
      </c>
      <c r="B29933" s="8" t="str">
        <f>HYPERLINK("https://twitter.com/comsenta","@comsenta")</f>
        <v>@comsenta</v>
      </c>
      <c r="C29933" s="8" t="s">
        <v>7686</v>
      </c>
      <c r="D29933" s="8">
        <v>827</v>
      </c>
      <c r="E29933" s="8">
        <v>0</v>
      </c>
      <c r="F29933" s="8">
        <v>603</v>
      </c>
    </row>
    <row r="29934" spans="1:6" ht="12.75">
      <c r="A29934" s="8">
        <v>43891.06622685185</v>
      </c>
      <c r="B29934" s="8" t="str">
        <f>HYPERLINK("https://twitter.com/FitriSufiyanto","@FitriSufiyanto")</f>
        <v>@FitriSufiyanto</v>
      </c>
      <c r="C29934" s="8" t="s">
        <v>2272</v>
      </c>
      <c r="D29934" s="8">
        <v>113</v>
      </c>
      <c r="E29934" s="8">
        <v>0</v>
      </c>
      <c r="F29934" s="8">
        <v>368</v>
      </c>
    </row>
    <row r="29935" spans="1:6" ht="12.75">
      <c r="A29935" s="8">
        <v>43891.065937499996</v>
      </c>
      <c r="B29935" s="8" t="str">
        <f>HYPERLINK("https://twitter.com/ManusiaIkanDeni","@ManusiaIkanDeni")</f>
        <v>@ManusiaIkanDeni</v>
      </c>
      <c r="C29935" s="8" t="s">
        <v>6836</v>
      </c>
      <c r="D29935" s="8">
        <v>534</v>
      </c>
      <c r="E29935" s="8">
        <v>0</v>
      </c>
      <c r="F29935" s="8">
        <v>543</v>
      </c>
    </row>
    <row r="29936" spans="1:6" ht="12.75">
      <c r="A29936" s="8">
        <v>43891.065000000002</v>
      </c>
      <c r="B29936" s="8" t="str">
        <f>HYPERLINK("https://twitter.com/vidaayu29","@vidaayu29")</f>
        <v>@vidaayu29</v>
      </c>
      <c r="C29936" s="8" t="s">
        <v>7437</v>
      </c>
      <c r="D29936" s="8">
        <v>320</v>
      </c>
      <c r="E29936" s="8">
        <v>0</v>
      </c>
      <c r="F29936" s="8">
        <v>384</v>
      </c>
    </row>
    <row r="29937" spans="1:6" ht="12.75">
      <c r="A29937" s="8">
        <v>43891.064907407403</v>
      </c>
      <c r="B29937" s="8" t="str">
        <f>HYPERLINK("https://twitter.com/bakarricaicha1","@bakarricaicha1")</f>
        <v>@bakarricaicha1</v>
      </c>
      <c r="C29937" s="8" t="s">
        <v>10811</v>
      </c>
      <c r="D29937" s="8">
        <v>255</v>
      </c>
      <c r="E29937" s="8">
        <v>0</v>
      </c>
      <c r="F29937" s="8">
        <v>2130</v>
      </c>
    </row>
    <row r="29938" spans="1:6" ht="12.75">
      <c r="A29938" s="8">
        <v>43891.064722222218</v>
      </c>
      <c r="B29938" s="8" t="str">
        <f>HYPERLINK("https://twitter.com/Ilovepa24819918","@Ilovepa24819918")</f>
        <v>@Ilovepa24819918</v>
      </c>
      <c r="C29938" s="8" t="s">
        <v>11351</v>
      </c>
      <c r="D29938" s="8">
        <v>1</v>
      </c>
      <c r="E29938" s="8">
        <v>0</v>
      </c>
      <c r="F29938" s="8">
        <v>111</v>
      </c>
    </row>
    <row r="29939" spans="1:6" ht="12.75">
      <c r="A29939" s="8">
        <v>43891.064629629633</v>
      </c>
      <c r="B29939" s="8" t="str">
        <f>HYPERLINK("https://twitter.com/AlanMoris12","@AlanMoris12")</f>
        <v>@AlanMoris12</v>
      </c>
      <c r="C29939" s="8" t="s">
        <v>7437</v>
      </c>
      <c r="D29939" s="8">
        <v>320</v>
      </c>
      <c r="E29939" s="8">
        <v>0</v>
      </c>
      <c r="F29939" s="8">
        <v>5</v>
      </c>
    </row>
    <row r="29940" spans="1:6" ht="12.75">
      <c r="A29940" s="8">
        <v>43891.063692129625</v>
      </c>
      <c r="B29940" s="8" t="str">
        <f>HYPERLINK("https://twitter.com/aliahmed94","@aliahmed94")</f>
        <v>@aliahmed94</v>
      </c>
      <c r="C29940" s="8" t="s">
        <v>11352</v>
      </c>
      <c r="D29940" s="8">
        <v>1</v>
      </c>
      <c r="E29940" s="8">
        <v>1</v>
      </c>
      <c r="F29940" s="8">
        <v>46</v>
      </c>
    </row>
    <row r="29941" spans="1:6" ht="12.75">
      <c r="A29941" s="8">
        <v>43891.063622685186</v>
      </c>
      <c r="B29941" s="8" t="str">
        <f>HYPERLINK("https://twitter.com/dzoel468","@dzoel468")</f>
        <v>@dzoel468</v>
      </c>
      <c r="C29941" s="8" t="s">
        <v>11353</v>
      </c>
      <c r="D29941" s="8">
        <v>0</v>
      </c>
      <c r="E29941" s="8">
        <v>0</v>
      </c>
      <c r="F29941" s="8">
        <v>18</v>
      </c>
    </row>
    <row r="29942" spans="1:6" ht="12.75">
      <c r="A29942" s="8">
        <v>43891.063356481478</v>
      </c>
      <c r="B29942" s="8" t="str">
        <f>HYPERLINK("https://twitter.com/fajarsuryadew","@fajarsuryadew")</f>
        <v>@fajarsuryadew</v>
      </c>
      <c r="C29942" s="8" t="s">
        <v>11354</v>
      </c>
      <c r="D29942" s="8">
        <v>0</v>
      </c>
      <c r="E29942" s="8">
        <v>0</v>
      </c>
      <c r="F29942" s="8">
        <v>944</v>
      </c>
    </row>
    <row r="29943" spans="1:6" ht="12.75">
      <c r="A29943" s="8">
        <v>43891.063344907408</v>
      </c>
      <c r="B29943" s="8" t="str">
        <f>HYPERLINK("https://twitter.com/SaidiAlugula","@SaidiAlugula")</f>
        <v>@SaidiAlugula</v>
      </c>
      <c r="C29943" s="8" t="s">
        <v>11355</v>
      </c>
      <c r="D29943" s="8">
        <v>0</v>
      </c>
      <c r="E29943" s="8">
        <v>0</v>
      </c>
      <c r="F29943" s="8">
        <v>301</v>
      </c>
    </row>
    <row r="29944" spans="1:6" ht="12.75">
      <c r="A29944" s="8">
        <v>43891.063333333332</v>
      </c>
      <c r="B29944" s="8" t="str">
        <f>HYPERLINK("https://twitter.com/umam_chaerul","@umam_chaerul")</f>
        <v>@umam_chaerul</v>
      </c>
      <c r="C29944" s="8" t="s">
        <v>4235</v>
      </c>
      <c r="D29944" s="8">
        <v>1575</v>
      </c>
      <c r="E29944" s="8">
        <v>0</v>
      </c>
      <c r="F29944" s="8">
        <v>2894</v>
      </c>
    </row>
    <row r="29945" spans="1:6" ht="12.75">
      <c r="A29945" s="8">
        <v>43891.062615740739</v>
      </c>
      <c r="B29945" s="8" t="str">
        <f>HYPERLINK("https://twitter.com/vivi_mey","@vivi_mey")</f>
        <v>@vivi_mey</v>
      </c>
      <c r="C29945" s="8" t="s">
        <v>10971</v>
      </c>
      <c r="D29945" s="8">
        <v>18</v>
      </c>
      <c r="E29945" s="8">
        <v>0</v>
      </c>
      <c r="F29945" s="8">
        <v>441</v>
      </c>
    </row>
    <row r="29946" spans="1:6" ht="12.75">
      <c r="A29946" s="8">
        <v>43891.061944444446</v>
      </c>
      <c r="B29946" s="8" t="str">
        <f>HYPERLINK("https://twitter.com/BerlianRizal","@BerlianRizal")</f>
        <v>@BerlianRizal</v>
      </c>
      <c r="C29946" s="8" t="s">
        <v>11356</v>
      </c>
      <c r="D29946" s="8">
        <v>0</v>
      </c>
      <c r="E29946" s="8">
        <v>0</v>
      </c>
      <c r="F29946" s="8">
        <v>5</v>
      </c>
    </row>
    <row r="29947" spans="1:6" ht="12.75">
      <c r="A29947" s="8">
        <v>43891.061331018514</v>
      </c>
      <c r="B29947" s="8" t="str">
        <f>HYPERLINK("https://twitter.com/Icha2199","@Icha2199")</f>
        <v>@Icha2199</v>
      </c>
      <c r="C29947" s="8" t="s">
        <v>7686</v>
      </c>
      <c r="D29947" s="8">
        <v>827</v>
      </c>
      <c r="E29947" s="8">
        <v>0</v>
      </c>
      <c r="F29947" s="8">
        <v>68</v>
      </c>
    </row>
    <row r="29948" spans="1:6" ht="12.75">
      <c r="A29948" s="8">
        <v>43891.060949074075</v>
      </c>
      <c r="B29948" s="8" t="str">
        <f>HYPERLINK("https://twitter.com/3_devout","@3_devout")</f>
        <v>@3_devout</v>
      </c>
      <c r="C29948" s="8" t="s">
        <v>10972</v>
      </c>
      <c r="D29948" s="8">
        <v>5</v>
      </c>
      <c r="E29948" s="8">
        <v>0</v>
      </c>
      <c r="F29948" s="8">
        <v>1061</v>
      </c>
    </row>
    <row r="29949" spans="1:6" ht="12.75">
      <c r="A29949" s="8">
        <v>43891.060798611114</v>
      </c>
      <c r="B29949" s="8" t="str">
        <f>HYPERLINK("https://twitter.com/waitingE_XIU_O","@waitingE_XIU_O")</f>
        <v>@waitingE_XIU_O</v>
      </c>
      <c r="C29949" s="8" t="s">
        <v>11357</v>
      </c>
      <c r="D29949" s="8">
        <v>1</v>
      </c>
      <c r="E29949" s="8">
        <v>0</v>
      </c>
      <c r="F29949" s="8">
        <v>2088</v>
      </c>
    </row>
    <row r="29950" spans="1:6" ht="12.75">
      <c r="A29950" s="8">
        <v>43891.060624999998</v>
      </c>
      <c r="B29950" s="8" t="str">
        <f>HYPERLINK("https://twitter.com/vivi_mey","@vivi_mey")</f>
        <v>@vivi_mey</v>
      </c>
      <c r="C29950" s="8" t="s">
        <v>10811</v>
      </c>
      <c r="D29950" s="8">
        <v>255</v>
      </c>
      <c r="E29950" s="8">
        <v>0</v>
      </c>
      <c r="F29950" s="8">
        <v>441</v>
      </c>
    </row>
    <row r="29951" spans="1:6" ht="12.75">
      <c r="A29951" s="8">
        <v>43891.06050925926</v>
      </c>
      <c r="B29951" s="8" t="str">
        <f>HYPERLINK("https://twitter.com/patriciascreams","@patriciascreams")</f>
        <v>@patriciascreams</v>
      </c>
      <c r="C29951" s="8" t="s">
        <v>2272</v>
      </c>
      <c r="D29951" s="8">
        <v>113</v>
      </c>
      <c r="E29951" s="8">
        <v>0</v>
      </c>
      <c r="F29951" s="8">
        <v>800</v>
      </c>
    </row>
    <row r="29952" spans="1:6" ht="12.75">
      <c r="A29952" s="8">
        <v>43891.060370370367</v>
      </c>
      <c r="B29952" s="8" t="str">
        <f>HYPERLINK("https://twitter.com/yudhiteguh","@yudhiteguh")</f>
        <v>@yudhiteguh</v>
      </c>
      <c r="C29952" s="8" t="s">
        <v>2272</v>
      </c>
      <c r="D29952" s="8">
        <v>113</v>
      </c>
      <c r="E29952" s="8">
        <v>0</v>
      </c>
      <c r="F29952" s="8">
        <v>820</v>
      </c>
    </row>
    <row r="29953" spans="1:6" ht="12.75">
      <c r="A29953" s="8">
        <v>43891.060347222221</v>
      </c>
      <c r="B29953" s="8" t="str">
        <f>HYPERLINK("https://twitter.com/kevinaraka","@kevinaraka")</f>
        <v>@kevinaraka</v>
      </c>
      <c r="C29953" s="8" t="s">
        <v>7686</v>
      </c>
      <c r="D29953" s="8">
        <v>827</v>
      </c>
      <c r="E29953" s="8">
        <v>0</v>
      </c>
      <c r="F29953" s="8">
        <v>390</v>
      </c>
    </row>
    <row r="29954" spans="1:6" ht="12.75">
      <c r="A29954" s="8">
        <v>43891.060289351852</v>
      </c>
      <c r="B29954" s="8" t="str">
        <f>HYPERLINK("https://twitter.com/7attu","@7attu")</f>
        <v>@7attu</v>
      </c>
      <c r="C29954" s="8" t="s">
        <v>11015</v>
      </c>
      <c r="D29954" s="8">
        <v>14</v>
      </c>
      <c r="E29954" s="8">
        <v>0</v>
      </c>
      <c r="F29954" s="8">
        <v>9491</v>
      </c>
    </row>
    <row r="29955" spans="1:6" ht="12.75">
      <c r="A29955" s="8">
        <v>43891.060185185182</v>
      </c>
      <c r="B29955" s="8" t="str">
        <f>HYPERLINK("https://twitter.com/Ayah_Nahl","@Ayah_Nahl")</f>
        <v>@Ayah_Nahl</v>
      </c>
      <c r="C29955" s="8" t="s">
        <v>10391</v>
      </c>
      <c r="D29955" s="8">
        <v>122</v>
      </c>
      <c r="E29955" s="8">
        <v>0</v>
      </c>
      <c r="F29955" s="8">
        <v>1653</v>
      </c>
    </row>
    <row r="29956" spans="1:6" ht="12.75">
      <c r="A29956" s="8">
        <v>43891.060046296298</v>
      </c>
      <c r="B29956" s="8" t="str">
        <f>HYPERLINK("https://twitter.com/Sinqlefrog","@Sinqlefrog")</f>
        <v>@Sinqlefrog</v>
      </c>
      <c r="C29956" s="8" t="s">
        <v>11075</v>
      </c>
      <c r="D29956" s="8">
        <v>83</v>
      </c>
      <c r="E29956" s="8">
        <v>0</v>
      </c>
      <c r="F29956" s="8">
        <v>277</v>
      </c>
    </row>
    <row r="29957" spans="1:6" ht="12.75">
      <c r="A29957" s="8">
        <v>43891.059618055559</v>
      </c>
      <c r="B29957" s="8" t="str">
        <f>HYPERLINK("https://twitter.com/becak125cc","@becak125cc")</f>
        <v>@becak125cc</v>
      </c>
      <c r="C29957" s="8" t="s">
        <v>11358</v>
      </c>
      <c r="D29957" s="8">
        <v>28</v>
      </c>
      <c r="E29957" s="8">
        <v>0</v>
      </c>
      <c r="F29957" s="8">
        <v>543</v>
      </c>
    </row>
    <row r="29958" spans="1:6" ht="12.75">
      <c r="A29958" s="8">
        <v>43891.059039351851</v>
      </c>
      <c r="B29958" s="8" t="str">
        <f>HYPERLINK("https://twitter.com/rullyjoo27","@rullyjoo27")</f>
        <v>@rullyjoo27</v>
      </c>
      <c r="C29958" s="8" t="s">
        <v>7686</v>
      </c>
      <c r="D29958" s="8">
        <v>827</v>
      </c>
      <c r="E29958" s="8">
        <v>0</v>
      </c>
      <c r="F29958" s="8">
        <v>2136</v>
      </c>
    </row>
    <row r="29959" spans="1:6" ht="12.75">
      <c r="A29959" s="8">
        <v>43891.058055555557</v>
      </c>
      <c r="B29959" s="8" t="str">
        <f>HYPERLINK("https://twitter.com/URLHHH","@URLHHH")</f>
        <v>@URLHHH</v>
      </c>
      <c r="C29959" s="8" t="s">
        <v>11359</v>
      </c>
      <c r="D29959" s="8">
        <v>0</v>
      </c>
      <c r="E29959" s="8">
        <v>0</v>
      </c>
      <c r="F29959" s="8">
        <v>1956</v>
      </c>
    </row>
    <row r="29960" spans="1:6" ht="12.75">
      <c r="A29960" s="8">
        <v>43891.056331018517</v>
      </c>
      <c r="B29960" s="8" t="str">
        <f>HYPERLINK("https://twitter.com/suradiparlan5","@suradiparlan5")</f>
        <v>@suradiparlan5</v>
      </c>
      <c r="C29960" s="8" t="s">
        <v>11292</v>
      </c>
      <c r="D29960" s="8">
        <v>59</v>
      </c>
      <c r="E29960" s="8">
        <v>0</v>
      </c>
      <c r="F29960" s="8">
        <v>1391</v>
      </c>
    </row>
    <row r="29961" spans="1:6" ht="12.75">
      <c r="A29961" s="8">
        <v>43891.056192129632</v>
      </c>
      <c r="B29961" s="8" t="str">
        <f>HYPERLINK("https://twitter.com/nnafisaa","@nnafisaa")</f>
        <v>@nnafisaa</v>
      </c>
      <c r="C29961" s="8" t="s">
        <v>2272</v>
      </c>
      <c r="D29961" s="8">
        <v>113</v>
      </c>
      <c r="E29961" s="8">
        <v>0</v>
      </c>
      <c r="F29961" s="8">
        <v>1389</v>
      </c>
    </row>
    <row r="29962" spans="1:6" ht="12.75">
      <c r="A29962" s="8">
        <v>43891.056064814809</v>
      </c>
      <c r="B29962" s="8" t="str">
        <f>HYPERLINK("https://twitter.com/vivi_mey","@vivi_mey")</f>
        <v>@vivi_mey</v>
      </c>
      <c r="C29962" s="8" t="s">
        <v>11332</v>
      </c>
      <c r="D29962" s="8">
        <v>47</v>
      </c>
      <c r="E29962" s="8">
        <v>0</v>
      </c>
      <c r="F29962" s="8">
        <v>441</v>
      </c>
    </row>
    <row r="29963" spans="1:6" ht="12.75">
      <c r="A29963" s="8">
        <v>43891.055300925931</v>
      </c>
      <c r="B29963" s="8" t="str">
        <f>HYPERLINK("https://twitter.com/kopassos","@kopassos")</f>
        <v>@kopassos</v>
      </c>
      <c r="C29963" s="8" t="s">
        <v>4235</v>
      </c>
      <c r="D29963" s="8">
        <v>1575</v>
      </c>
      <c r="E29963" s="8">
        <v>0</v>
      </c>
      <c r="F29963" s="8">
        <v>1683</v>
      </c>
    </row>
    <row r="29964" spans="1:6" ht="12.75">
      <c r="A29964" s="8">
        <v>43891.05505787037</v>
      </c>
      <c r="B29964" s="8" t="str">
        <f>HYPERLINK("https://twitter.com/suradiparlan5","@suradiparlan5")</f>
        <v>@suradiparlan5</v>
      </c>
      <c r="C29964" s="8" t="s">
        <v>10811</v>
      </c>
      <c r="D29964" s="8">
        <v>255</v>
      </c>
      <c r="E29964" s="8">
        <v>0</v>
      </c>
      <c r="F29964" s="8">
        <v>1391</v>
      </c>
    </row>
    <row r="29965" spans="1:6" ht="12.75">
      <c r="A29965" s="8">
        <v>43891.054351851853</v>
      </c>
      <c r="B29965" s="8" t="str">
        <f>HYPERLINK("https://twitter.com/zaradea6","@zaradea6")</f>
        <v>@zaradea6</v>
      </c>
      <c r="C29965" s="8" t="s">
        <v>10391</v>
      </c>
      <c r="D29965" s="8">
        <v>122</v>
      </c>
      <c r="E29965" s="8">
        <v>0</v>
      </c>
      <c r="F29965" s="8">
        <v>9</v>
      </c>
    </row>
    <row r="29966" spans="1:6" ht="12.75">
      <c r="A29966" s="8">
        <v>43891.053865740745</v>
      </c>
      <c r="B29966" s="8" t="str">
        <f>HYPERLINK("https://twitter.com/KsteAm02","@KsteAm02")</f>
        <v>@KsteAm02</v>
      </c>
      <c r="C29966" s="8" t="s">
        <v>6836</v>
      </c>
      <c r="D29966" s="8">
        <v>534</v>
      </c>
      <c r="E29966" s="8">
        <v>0</v>
      </c>
      <c r="F29966" s="8">
        <v>69</v>
      </c>
    </row>
    <row r="29967" spans="1:6" ht="12.75">
      <c r="A29967" s="8">
        <v>43891.053749999999</v>
      </c>
      <c r="B29967" s="8" t="str">
        <f>HYPERLINK("https://twitter.com/chinibrownstone","@chinibrownstone")</f>
        <v>@chinibrownstone</v>
      </c>
      <c r="C29967" s="8" t="s">
        <v>11360</v>
      </c>
      <c r="D29967" s="8">
        <v>0</v>
      </c>
      <c r="E29967" s="8">
        <v>2</v>
      </c>
      <c r="F29967" s="8">
        <v>314</v>
      </c>
    </row>
    <row r="29968" spans="1:6" ht="12.75">
      <c r="A29968" s="8">
        <v>43891.053715277776</v>
      </c>
      <c r="B29968" s="8" t="str">
        <f>HYPERLINK("https://twitter.com/uangkembalian","@uangkembalian")</f>
        <v>@uangkembalian</v>
      </c>
      <c r="C29968" s="8" t="s">
        <v>2272</v>
      </c>
      <c r="D29968" s="8">
        <v>113</v>
      </c>
      <c r="E29968" s="8">
        <v>0</v>
      </c>
      <c r="F29968" s="8">
        <v>632</v>
      </c>
    </row>
    <row r="29969" spans="1:6" ht="12.75">
      <c r="A29969" s="8">
        <v>43891.05363425926</v>
      </c>
      <c r="B29969" s="8" t="str">
        <f>HYPERLINK("https://twitter.com/becak125cc","@becak125cc")</f>
        <v>@becak125cc</v>
      </c>
      <c r="C29969" s="8" t="s">
        <v>11075</v>
      </c>
      <c r="D29969" s="8">
        <v>83</v>
      </c>
      <c r="E29969" s="8">
        <v>0</v>
      </c>
      <c r="F29969" s="8">
        <v>543</v>
      </c>
    </row>
    <row r="29970" spans="1:6" ht="12.75">
      <c r="A29970" s="8">
        <v>43891.053067129629</v>
      </c>
      <c r="B29970" s="8" t="str">
        <f>HYPERLINK("https://twitter.com/softwareaddict","@softwareaddict")</f>
        <v>@softwareaddict</v>
      </c>
      <c r="C29970" s="8" t="s">
        <v>11361</v>
      </c>
      <c r="D29970" s="8">
        <v>0</v>
      </c>
      <c r="E29970" s="8">
        <v>1</v>
      </c>
      <c r="F29970" s="8">
        <v>1253</v>
      </c>
    </row>
    <row r="29971" spans="1:6" ht="12.75">
      <c r="A29971" s="8">
        <v>43891.052615740744</v>
      </c>
      <c r="B29971" s="8" t="str">
        <f>HYPERLINK("https://twitter.com/aparatswasta","@aparatswasta")</f>
        <v>@aparatswasta</v>
      </c>
      <c r="C29971" s="8" t="s">
        <v>11362</v>
      </c>
      <c r="D29971" s="8">
        <v>0</v>
      </c>
      <c r="E29971" s="8">
        <v>0</v>
      </c>
      <c r="F29971" s="8">
        <v>52</v>
      </c>
    </row>
    <row r="29972" spans="1:6" ht="12.75">
      <c r="A29972" s="8">
        <v>43891.052071759259</v>
      </c>
      <c r="B29972" s="8" t="str">
        <f>HYPERLINK("https://twitter.com/Afzon_Dakka","@Afzon_Dakka")</f>
        <v>@Afzon_Dakka</v>
      </c>
      <c r="C29972" s="8" t="s">
        <v>11265</v>
      </c>
      <c r="D29972" s="8">
        <v>1</v>
      </c>
      <c r="E29972" s="8">
        <v>0</v>
      </c>
      <c r="F29972" s="8">
        <v>1394</v>
      </c>
    </row>
    <row r="29973" spans="1:6" ht="12.75">
      <c r="A29973" s="8">
        <v>43891.051550925928</v>
      </c>
      <c r="B29973" s="8" t="str">
        <f>HYPERLINK("https://twitter.com/dolcemaria738","@dolcemaria738")</f>
        <v>@dolcemaria738</v>
      </c>
      <c r="C29973" s="8" t="s">
        <v>7686</v>
      </c>
      <c r="D29973" s="8">
        <v>827</v>
      </c>
      <c r="E29973" s="8">
        <v>0</v>
      </c>
      <c r="F29973" s="8">
        <v>226</v>
      </c>
    </row>
    <row r="29974" spans="1:6" ht="12.75">
      <c r="A29974" s="8">
        <v>43891.051527777774</v>
      </c>
      <c r="B29974" s="8" t="str">
        <f>HYPERLINK("https://twitter.com/lebbytha","@lebbytha")</f>
        <v>@lebbytha</v>
      </c>
      <c r="C29974" s="8" t="s">
        <v>2272</v>
      </c>
      <c r="D29974" s="8">
        <v>113</v>
      </c>
      <c r="E29974" s="8">
        <v>0</v>
      </c>
      <c r="F29974" s="8">
        <v>536</v>
      </c>
    </row>
    <row r="29975" spans="1:6" ht="12.75">
      <c r="A29975" s="8">
        <v>43891.050625000003</v>
      </c>
      <c r="B29975" s="8" t="str">
        <f>HYPERLINK("https://twitter.com/Novrdx1","@Novrdx1")</f>
        <v>@Novrdx1</v>
      </c>
      <c r="C29975" s="8" t="s">
        <v>11363</v>
      </c>
      <c r="D29975" s="8">
        <v>0</v>
      </c>
      <c r="E29975" s="8">
        <v>0</v>
      </c>
      <c r="F29975" s="8">
        <v>12</v>
      </c>
    </row>
    <row r="29976" spans="1:6" ht="12.75">
      <c r="A29976" s="8">
        <v>43891.050196759257</v>
      </c>
      <c r="B29976" s="8" t="str">
        <f>HYPERLINK("https://twitter.com/Uwaisalatas","@Uwaisalatas")</f>
        <v>@Uwaisalatas</v>
      </c>
      <c r="C29976" s="8" t="s">
        <v>6836</v>
      </c>
      <c r="D29976" s="8">
        <v>534</v>
      </c>
      <c r="E29976" s="8">
        <v>0</v>
      </c>
      <c r="F29976" s="8">
        <v>1240</v>
      </c>
    </row>
    <row r="29977" spans="1:6" ht="12.75">
      <c r="A29977" s="8">
        <v>43891.049849537041</v>
      </c>
      <c r="B29977" s="8" t="str">
        <f>HYPERLINK("https://twitter.com/tomatbulet","@tomatbulet")</f>
        <v>@tomatbulet</v>
      </c>
      <c r="C29977" s="8" t="s">
        <v>10816</v>
      </c>
      <c r="D29977" s="8">
        <v>14</v>
      </c>
      <c r="E29977" s="8">
        <v>0</v>
      </c>
      <c r="F29977" s="8">
        <v>1405</v>
      </c>
    </row>
    <row r="29978" spans="1:6" ht="12.75">
      <c r="A29978" s="8">
        <v>43891.049733796295</v>
      </c>
      <c r="B29978" s="8" t="str">
        <f>HYPERLINK("https://twitter.com/yayoi396","@yayoi396")</f>
        <v>@yayoi396</v>
      </c>
      <c r="C29978" s="8" t="s">
        <v>8484</v>
      </c>
      <c r="D29978" s="8">
        <v>1053</v>
      </c>
      <c r="E29978" s="8">
        <v>0</v>
      </c>
      <c r="F29978" s="8">
        <v>188</v>
      </c>
    </row>
    <row r="29979" spans="1:6" ht="12.75">
      <c r="A29979" s="8">
        <v>43891.049641203703</v>
      </c>
      <c r="B29979" s="8" t="str">
        <f>HYPERLINK("https://twitter.com/MemanggilMantan","@MemanggilMantan")</f>
        <v>@MemanggilMantan</v>
      </c>
      <c r="C29979" s="8" t="s">
        <v>11364</v>
      </c>
      <c r="D29979" s="8">
        <v>1</v>
      </c>
      <c r="E29979" s="8">
        <v>1</v>
      </c>
      <c r="F29979" s="8">
        <v>379</v>
      </c>
    </row>
    <row r="29980" spans="1:6" ht="12.75">
      <c r="A29980" s="8">
        <v>43891.049398148149</v>
      </c>
      <c r="B29980" s="8" t="str">
        <f>HYPERLINK("https://twitter.com/faridafarichah","@faridafarichah")</f>
        <v>@faridafarichah</v>
      </c>
      <c r="C29980" s="8" t="s">
        <v>10986</v>
      </c>
      <c r="D29980" s="8">
        <v>17</v>
      </c>
      <c r="E29980" s="8">
        <v>0</v>
      </c>
      <c r="F29980" s="8">
        <v>3620</v>
      </c>
    </row>
    <row r="29981" spans="1:6" ht="12.75">
      <c r="A29981" s="8">
        <v>43891.049282407403</v>
      </c>
      <c r="B29981" s="8" t="str">
        <f>HYPERLINK("https://twitter.com/Djanoer_Koening","@Djanoer_Koening")</f>
        <v>@Djanoer_Koening</v>
      </c>
      <c r="C29981" s="8" t="s">
        <v>11365</v>
      </c>
      <c r="D29981" s="8">
        <v>0</v>
      </c>
      <c r="E29981" s="8">
        <v>1</v>
      </c>
      <c r="F29981" s="8">
        <v>43</v>
      </c>
    </row>
    <row r="29982" spans="1:6" ht="12.75">
      <c r="A29982" s="8">
        <v>43891.049247685187</v>
      </c>
      <c r="B29982" s="8" t="str">
        <f>HYPERLINK("https://twitter.com/ravikan03251268","@ravikan03251268")</f>
        <v>@ravikan03251268</v>
      </c>
      <c r="C29982" s="8" t="s">
        <v>11015</v>
      </c>
      <c r="D29982" s="8">
        <v>14</v>
      </c>
      <c r="E29982" s="8">
        <v>0</v>
      </c>
      <c r="F29982" s="8">
        <v>15265</v>
      </c>
    </row>
    <row r="29983" spans="1:6" ht="12.75">
      <c r="A29983" s="8">
        <v>43891.049143518518</v>
      </c>
      <c r="B29983" s="8" t="str">
        <f>HYPERLINK("https://twitter.com/sammykalevra","@sammykalevra")</f>
        <v>@sammykalevra</v>
      </c>
      <c r="C29983" s="8" t="s">
        <v>11366</v>
      </c>
      <c r="D29983" s="8">
        <v>0</v>
      </c>
      <c r="E29983" s="8">
        <v>0</v>
      </c>
      <c r="F29983" s="8">
        <v>147</v>
      </c>
    </row>
    <row r="29984" spans="1:6" ht="12.75">
      <c r="A29984" s="8">
        <v>43891.048935185187</v>
      </c>
      <c r="B29984" s="8" t="str">
        <f>HYPERLINK("https://twitter.com/afsentosa","@afsentosa")</f>
        <v>@afsentosa</v>
      </c>
      <c r="C29984" s="8" t="s">
        <v>7686</v>
      </c>
      <c r="D29984" s="8">
        <v>827</v>
      </c>
      <c r="E29984" s="8">
        <v>0</v>
      </c>
      <c r="F29984" s="8">
        <v>303</v>
      </c>
    </row>
    <row r="29985" spans="1:6" ht="12.75">
      <c r="A29985" s="8">
        <v>43891.048657407402</v>
      </c>
      <c r="B29985" s="8" t="str">
        <f>HYPERLINK("https://twitter.com/Dulur_ErviMalnu","@Dulur_ErviMalnu")</f>
        <v>@Dulur_ErviMalnu</v>
      </c>
      <c r="C29985" s="8" t="s">
        <v>6708</v>
      </c>
      <c r="D29985" s="8">
        <v>40</v>
      </c>
      <c r="E29985" s="8">
        <v>0</v>
      </c>
      <c r="F29985" s="8">
        <v>1341</v>
      </c>
    </row>
    <row r="29986" spans="1:6" ht="12.75">
      <c r="A29986" s="8">
        <v>43891.048518518517</v>
      </c>
      <c r="B29986" s="8" t="str">
        <f>HYPERLINK("https://twitter.com/MemanggilMantan","@MemanggilMantan")</f>
        <v>@MemanggilMantan</v>
      </c>
      <c r="C29986" s="8" t="s">
        <v>11210</v>
      </c>
      <c r="D29986" s="8">
        <v>7</v>
      </c>
      <c r="E29986" s="8">
        <v>0</v>
      </c>
      <c r="F29986" s="8">
        <v>379</v>
      </c>
    </row>
    <row r="29987" spans="1:6" ht="12.75">
      <c r="A29987" s="8">
        <v>43891.048460648148</v>
      </c>
      <c r="B29987" s="8" t="str">
        <f>HYPERLINK("https://twitter.com/pangerancagak","@pangerancagak")</f>
        <v>@pangerancagak</v>
      </c>
      <c r="C29987" s="8" t="s">
        <v>10600</v>
      </c>
      <c r="D29987" s="8">
        <v>164</v>
      </c>
      <c r="E29987" s="8">
        <v>0</v>
      </c>
      <c r="F29987" s="8">
        <v>106</v>
      </c>
    </row>
    <row r="29988" spans="1:6" ht="12.75">
      <c r="A29988" s="8">
        <v>43891.048425925925</v>
      </c>
      <c r="B29988" s="8" t="str">
        <f>HYPERLINK("https://twitter.com/faisholalmaun","@faisholalmaun")</f>
        <v>@faisholalmaun</v>
      </c>
      <c r="C29988" s="8" t="s">
        <v>11155</v>
      </c>
      <c r="D29988" s="8">
        <v>40</v>
      </c>
      <c r="E29988" s="8">
        <v>0</v>
      </c>
      <c r="F29988" s="8">
        <v>71</v>
      </c>
    </row>
    <row r="29989" spans="1:6" ht="12.75">
      <c r="A29989" s="8">
        <v>43891.048078703709</v>
      </c>
      <c r="B29989" s="8" t="str">
        <f>HYPERLINK("https://twitter.com/brown_taylor28","@brown_taylor28")</f>
        <v>@brown_taylor28</v>
      </c>
      <c r="C29989" s="8" t="s">
        <v>11367</v>
      </c>
      <c r="D29989" s="8">
        <v>0</v>
      </c>
      <c r="E29989" s="8">
        <v>0</v>
      </c>
      <c r="F29989" s="8">
        <v>149</v>
      </c>
    </row>
    <row r="29990" spans="1:6" ht="12.75">
      <c r="A29990" s="8">
        <v>43891.047766203701</v>
      </c>
      <c r="B29990" s="8" t="str">
        <f>HYPERLINK("https://twitter.com/HRMalik12","@HRMalik12")</f>
        <v>@HRMalik12</v>
      </c>
      <c r="C29990" s="8" t="s">
        <v>11109</v>
      </c>
      <c r="D29990" s="8">
        <v>56</v>
      </c>
      <c r="E29990" s="8">
        <v>0</v>
      </c>
      <c r="F29990" s="8">
        <v>234</v>
      </c>
    </row>
    <row r="29991" spans="1:6" ht="12.75">
      <c r="A29991" s="8">
        <v>43891.047592592593</v>
      </c>
      <c r="B29991" s="8" t="str">
        <f>HYPERLINK("https://twitter.com/eprsbn","@eprsbn")</f>
        <v>@eprsbn</v>
      </c>
      <c r="C29991" s="8" t="s">
        <v>2272</v>
      </c>
      <c r="D29991" s="8">
        <v>97</v>
      </c>
      <c r="E29991" s="8">
        <v>0</v>
      </c>
      <c r="F29991" s="8">
        <v>172</v>
      </c>
    </row>
    <row r="29992" spans="1:6" ht="12.75">
      <c r="A29992" s="8">
        <v>43891.0472337963</v>
      </c>
      <c r="B29992" s="8" t="str">
        <f>HYPERLINK("https://twitter.com/kaniapriyatna","@kaniapriyatna")</f>
        <v>@kaniapriyatna</v>
      </c>
      <c r="C29992" s="8" t="s">
        <v>11368</v>
      </c>
      <c r="D29992" s="8">
        <v>3772</v>
      </c>
      <c r="E29992" s="8">
        <v>0</v>
      </c>
      <c r="F29992" s="8">
        <v>328</v>
      </c>
    </row>
    <row r="29993" spans="1:6" ht="12.75">
      <c r="A29993" s="8">
        <v>43891.046793981484</v>
      </c>
      <c r="B29993" s="8" t="str">
        <f>HYPERLINK("https://twitter.com/thomasradityaf","@thomasradityaf")</f>
        <v>@thomasradityaf</v>
      </c>
      <c r="C29993" s="8" t="s">
        <v>11369</v>
      </c>
      <c r="D29993" s="8">
        <v>0</v>
      </c>
      <c r="E29993" s="8">
        <v>0</v>
      </c>
      <c r="F29993" s="8">
        <v>632</v>
      </c>
    </row>
    <row r="29994" spans="1:6" ht="12.75">
      <c r="A29994" s="8">
        <v>43891.046747685185</v>
      </c>
      <c r="B29994" s="8" t="str">
        <f>HYPERLINK("https://twitter.com/axl_andrian","@axl_andrian")</f>
        <v>@axl_andrian</v>
      </c>
      <c r="C29994" s="8" t="s">
        <v>11370</v>
      </c>
      <c r="D29994" s="8">
        <v>0</v>
      </c>
      <c r="E29994" s="8">
        <v>0</v>
      </c>
      <c r="F29994" s="8">
        <v>5</v>
      </c>
    </row>
    <row r="29995" spans="1:6" ht="12.75">
      <c r="A29995" s="8">
        <v>43891.046377314815</v>
      </c>
      <c r="B29995" s="8" t="str">
        <f>HYPERLINK("https://twitter.com/bangkitriambada","@bangkitriambada")</f>
        <v>@bangkitriambada</v>
      </c>
      <c r="C29995" s="8" t="s">
        <v>11371</v>
      </c>
      <c r="D29995" s="8">
        <v>7</v>
      </c>
      <c r="E29995" s="8">
        <v>0</v>
      </c>
      <c r="F29995" s="8">
        <v>207</v>
      </c>
    </row>
    <row r="29996" spans="1:6" ht="12.75">
      <c r="A29996" s="8">
        <v>43891.046354166669</v>
      </c>
      <c r="B29996" s="8" t="str">
        <f>HYPERLINK("https://twitter.com/andev17","@andev17")</f>
        <v>@andev17</v>
      </c>
      <c r="C29996" s="8" t="s">
        <v>8190</v>
      </c>
      <c r="D29996" s="8">
        <v>254</v>
      </c>
      <c r="E29996" s="8">
        <v>0</v>
      </c>
      <c r="F29996" s="8">
        <v>209</v>
      </c>
    </row>
    <row r="29997" spans="1:6" ht="12.75">
      <c r="A29997" s="8">
        <v>43891.046307870369</v>
      </c>
      <c r="B29997" s="8" t="str">
        <f>HYPERLINK("https://twitter.com/bangkitriambada","@bangkitriambada")</f>
        <v>@bangkitriambada</v>
      </c>
      <c r="C29997" s="8" t="s">
        <v>11372</v>
      </c>
      <c r="D29997" s="8">
        <v>3</v>
      </c>
      <c r="E29997" s="8">
        <v>0</v>
      </c>
      <c r="F29997" s="8">
        <v>207</v>
      </c>
    </row>
    <row r="29998" spans="1:6" ht="12.75">
      <c r="A29998" s="8">
        <v>43891.046249999999</v>
      </c>
      <c r="B29998" s="8" t="str">
        <f>HYPERLINK("https://twitter.com/roni_prastiawan","@roni_prastiawan")</f>
        <v>@roni_prastiawan</v>
      </c>
      <c r="C29998" s="8" t="s">
        <v>11373</v>
      </c>
      <c r="D29998" s="8">
        <v>20</v>
      </c>
      <c r="E29998" s="8">
        <v>0</v>
      </c>
      <c r="F29998" s="8">
        <v>265</v>
      </c>
    </row>
    <row r="29999" spans="1:6" ht="12.75">
      <c r="A29999" s="8">
        <v>43891.046134259261</v>
      </c>
      <c r="B29999" s="8" t="str">
        <f>HYPERLINK("https://twitter.com/shakthigj","@shakthigj")</f>
        <v>@shakthigj</v>
      </c>
      <c r="C29999" s="8" t="s">
        <v>11015</v>
      </c>
      <c r="D29999" s="8">
        <v>12</v>
      </c>
      <c r="E29999" s="8">
        <v>0</v>
      </c>
      <c r="F29999" s="8">
        <v>2306</v>
      </c>
    </row>
    <row r="30000" spans="1:6" ht="12.75">
      <c r="A30000" s="8">
        <v>43891.045601851853</v>
      </c>
      <c r="B30000" s="8" t="str">
        <f>HYPERLINK("https://twitter.com/KeshvalaJay","@KeshvalaJay")</f>
        <v>@KeshvalaJay</v>
      </c>
      <c r="C30000" s="8" t="s">
        <v>11015</v>
      </c>
      <c r="D30000" s="8">
        <v>12</v>
      </c>
      <c r="E30000" s="8">
        <v>0</v>
      </c>
      <c r="F30000" s="8">
        <v>1745</v>
      </c>
    </row>
    <row r="30001" spans="1:6" ht="12.75">
      <c r="A30001" s="8">
        <v>43891.045393518521</v>
      </c>
      <c r="B30001" s="8" t="str">
        <f>HYPERLINK("https://twitter.com/Fadil38579039","@Fadil38579039")</f>
        <v>@Fadil38579039</v>
      </c>
      <c r="C30001" s="8" t="s">
        <v>6836</v>
      </c>
      <c r="D30001" s="8">
        <v>529</v>
      </c>
      <c r="E30001" s="8">
        <v>0</v>
      </c>
      <c r="F30001" s="8">
        <v>467</v>
      </c>
    </row>
    <row r="30002" spans="1:6" ht="12.75">
      <c r="A30002" s="8">
        <v>43891.04515046296</v>
      </c>
      <c r="B30002" s="8" t="str">
        <f>HYPERLINK("https://twitter.com/becak125cc","@becak125cc")</f>
        <v>@becak125cc</v>
      </c>
      <c r="C30002" s="8" t="s">
        <v>11374</v>
      </c>
      <c r="D30002" s="8">
        <v>104</v>
      </c>
      <c r="E30002" s="8">
        <v>0</v>
      </c>
      <c r="F30002" s="8">
        <v>542</v>
      </c>
    </row>
    <row r="30003" spans="1:6" ht="12.75">
      <c r="A30003" s="8">
        <v>43891.04482638889</v>
      </c>
      <c r="B30003" s="8" t="str">
        <f>HYPERLINK("https://twitter.com/KucingNanase","@KucingNanase")</f>
        <v>@KucingNanase</v>
      </c>
      <c r="C30003" s="8" t="s">
        <v>11375</v>
      </c>
      <c r="D30003" s="8">
        <v>0</v>
      </c>
      <c r="E30003" s="8">
        <v>0</v>
      </c>
      <c r="F30003" s="8">
        <v>532</v>
      </c>
    </row>
    <row r="30004" spans="1:6" ht="12.75">
      <c r="A30004" s="8">
        <v>43891.044548611113</v>
      </c>
      <c r="B30004" s="8" t="str">
        <f>HYPERLINK("https://twitter.com/ojandanny1","@ojandanny1")</f>
        <v>@ojandanny1</v>
      </c>
      <c r="C30004" s="8" t="s">
        <v>10811</v>
      </c>
      <c r="D30004" s="8">
        <v>250</v>
      </c>
      <c r="E30004" s="8">
        <v>0</v>
      </c>
      <c r="F30004" s="8">
        <v>36</v>
      </c>
    </row>
    <row r="30005" spans="1:6" ht="12.75">
      <c r="A30005" s="8">
        <v>43891.04387731482</v>
      </c>
      <c r="B30005" s="8" t="str">
        <f>HYPERLINK("https://twitter.com/dsprmsnti","@dsprmsnti")</f>
        <v>@dsprmsnti</v>
      </c>
      <c r="C30005" s="8" t="s">
        <v>2272</v>
      </c>
      <c r="D30005" s="8">
        <v>97</v>
      </c>
      <c r="E30005" s="8">
        <v>0</v>
      </c>
      <c r="F30005" s="8">
        <v>441</v>
      </c>
    </row>
    <row r="30006" spans="1:6" ht="12.75">
      <c r="A30006" s="8">
        <v>43891.043460648143</v>
      </c>
      <c r="B30006" s="8" t="str">
        <f>HYPERLINK("https://twitter.com/otis_milburn1","@otis_milburn1")</f>
        <v>@otis_milburn1</v>
      </c>
      <c r="C30006" s="8" t="s">
        <v>11376</v>
      </c>
      <c r="D30006" s="8">
        <v>0</v>
      </c>
      <c r="E30006" s="8">
        <v>0</v>
      </c>
      <c r="F30006" s="8">
        <v>850</v>
      </c>
    </row>
    <row r="30007" spans="1:6" ht="12.75">
      <c r="A30007" s="8">
        <v>43891.04283564815</v>
      </c>
      <c r="B30007" s="8" t="str">
        <f>HYPERLINK("https://twitter.com/corrections71","@corrections71")</f>
        <v>@corrections71</v>
      </c>
      <c r="C30007" s="8" t="s">
        <v>10600</v>
      </c>
      <c r="D30007" s="8">
        <v>164</v>
      </c>
      <c r="E30007" s="8">
        <v>0</v>
      </c>
      <c r="F30007" s="8">
        <v>331</v>
      </c>
    </row>
    <row r="30008" spans="1:6" ht="12.75">
      <c r="A30008" s="8">
        <v>43891.041805555556</v>
      </c>
      <c r="B30008" s="8" t="str">
        <f>HYPERLINK("https://twitter.com/im_sumit_verma","@im_sumit_verma")</f>
        <v>@im_sumit_verma</v>
      </c>
      <c r="C30008" s="8" t="s">
        <v>11015</v>
      </c>
      <c r="D30008" s="8">
        <v>12</v>
      </c>
      <c r="E30008" s="8">
        <v>0</v>
      </c>
      <c r="F30008" s="8">
        <v>3284</v>
      </c>
    </row>
    <row r="30009" spans="1:6" ht="12.75">
      <c r="A30009" s="8">
        <v>43891.041666666672</v>
      </c>
      <c r="B30009" s="8" t="str">
        <f>HYPERLINK("https://twitter.com/SeputariNews","@SeputariNews")</f>
        <v>@SeputariNews</v>
      </c>
      <c r="C30009" s="8" t="s">
        <v>11377</v>
      </c>
      <c r="D30009" s="8">
        <v>0</v>
      </c>
      <c r="E30009" s="8">
        <v>0</v>
      </c>
      <c r="F30009" s="8">
        <v>438701</v>
      </c>
    </row>
    <row r="30010" spans="1:6" ht="12.75">
      <c r="A30010" s="8">
        <v>43891.040347222224</v>
      </c>
      <c r="B30010" s="8" t="str">
        <f>HYPERLINK("https://twitter.com/delaMayore","@delaMayore")</f>
        <v>@delaMayore</v>
      </c>
      <c r="C30010" s="8" t="s">
        <v>11378</v>
      </c>
      <c r="D30010" s="8">
        <v>0</v>
      </c>
      <c r="E30010" s="8">
        <v>0</v>
      </c>
      <c r="F30010" s="8">
        <v>183</v>
      </c>
    </row>
    <row r="30011" spans="1:6" ht="12.75">
      <c r="A30011" s="8">
        <v>43891.040208333332</v>
      </c>
      <c r="B30011" s="8" t="str">
        <f>HYPERLINK("https://twitter.com/ba_ger91","@ba_ger91")</f>
        <v>@ba_ger91</v>
      </c>
      <c r="C30011" s="8" t="s">
        <v>11379</v>
      </c>
      <c r="D30011" s="8">
        <v>0</v>
      </c>
      <c r="E30011" s="8">
        <v>0</v>
      </c>
      <c r="F30011" s="8">
        <v>1830</v>
      </c>
    </row>
    <row r="30012" spans="1:6" ht="12.75">
      <c r="A30012" s="8">
        <v>43891.039606481485</v>
      </c>
      <c r="B30012" s="8" t="str">
        <f>HYPERLINK("https://twitter.com/zizouaji","@zizouaji")</f>
        <v>@zizouaji</v>
      </c>
      <c r="C30012" s="8" t="s">
        <v>7437</v>
      </c>
      <c r="D30012" s="8">
        <v>316</v>
      </c>
      <c r="E30012" s="8">
        <v>0</v>
      </c>
      <c r="F30012" s="8">
        <v>34</v>
      </c>
    </row>
    <row r="30013" spans="1:6" ht="12.75">
      <c r="A30013" s="8">
        <v>43891.038865740746</v>
      </c>
      <c r="B30013" s="8" t="str">
        <f>HYPERLINK("https://twitter.com/caa_nrc_best","@caa_nrc_best")</f>
        <v>@caa_nrc_best</v>
      </c>
      <c r="C30013" s="8" t="s">
        <v>11380</v>
      </c>
      <c r="D30013" s="8">
        <v>1</v>
      </c>
      <c r="E30013" s="8">
        <v>0</v>
      </c>
      <c r="F30013" s="8">
        <v>3877</v>
      </c>
    </row>
    <row r="30014" spans="1:6" ht="12.75">
      <c r="A30014" s="8">
        <v>43891.038668981477</v>
      </c>
      <c r="B30014" s="8" t="str">
        <f>HYPERLINK("https://twitter.com/willbefine077","@willbefine077")</f>
        <v>@willbefine077</v>
      </c>
      <c r="C30014" s="8" t="s">
        <v>11381</v>
      </c>
      <c r="D30014" s="8">
        <v>1</v>
      </c>
      <c r="E30014" s="8">
        <v>0</v>
      </c>
      <c r="F30014" s="8">
        <v>269</v>
      </c>
    </row>
    <row r="30015" spans="1:6" ht="12.75">
      <c r="A30015" s="8">
        <v>43891.038668981477</v>
      </c>
      <c r="B30015" s="8" t="str">
        <f>HYPERLINK("https://twitter.com/Not_Xmprewell","@Not_Xmprewell")</f>
        <v>@Not_Xmprewell</v>
      </c>
      <c r="C30015" s="8" t="s">
        <v>11382</v>
      </c>
      <c r="D30015" s="8">
        <v>0</v>
      </c>
      <c r="E30015" s="8">
        <v>0</v>
      </c>
      <c r="F30015" s="8">
        <v>349</v>
      </c>
    </row>
    <row r="30016" spans="1:6" ht="12.75">
      <c r="A30016" s="8">
        <v>43891.038344907407</v>
      </c>
      <c r="B30016" s="8" t="str">
        <f>HYPERLINK("https://twitter.com/jamar257","@jamar257")</f>
        <v>@jamar257</v>
      </c>
      <c r="C30016" s="8" t="s">
        <v>10600</v>
      </c>
      <c r="D30016" s="8">
        <v>164</v>
      </c>
      <c r="E30016" s="8">
        <v>0</v>
      </c>
      <c r="F30016" s="8">
        <v>196</v>
      </c>
    </row>
    <row r="30017" spans="1:6" ht="12.75">
      <c r="A30017" s="8">
        <v>43891.038124999999</v>
      </c>
      <c r="B30017" s="8" t="str">
        <f>HYPERLINK("https://twitter.com/Mas_Eko_Hartono","@Mas_Eko_Hartono")</f>
        <v>@Mas_Eko_Hartono</v>
      </c>
      <c r="C30017" s="8" t="s">
        <v>11383</v>
      </c>
      <c r="D30017" s="8">
        <v>0</v>
      </c>
      <c r="E30017" s="8">
        <v>0</v>
      </c>
      <c r="F30017" s="8">
        <v>1216</v>
      </c>
    </row>
    <row r="30018" spans="1:6" ht="12.75">
      <c r="A30018" s="8">
        <v>43891.038090277776</v>
      </c>
      <c r="B30018" s="8" t="str">
        <f>HYPERLINK("https://twitter.com/Datuakpanduko2","@Datuakpanduko2")</f>
        <v>@Datuakpanduko2</v>
      </c>
      <c r="C30018" s="8" t="s">
        <v>11384</v>
      </c>
      <c r="D30018" s="8">
        <v>0</v>
      </c>
      <c r="E30018" s="8">
        <v>3</v>
      </c>
      <c r="F30018" s="8">
        <v>1712</v>
      </c>
    </row>
    <row r="30019" spans="1:6" ht="12.75">
      <c r="A30019" s="8">
        <v>43891.037847222222</v>
      </c>
      <c r="B30019" s="8" t="str">
        <f>HYPERLINK("https://twitter.com/Sandy49363539","@Sandy49363539")</f>
        <v>@Sandy49363539</v>
      </c>
      <c r="C30019" s="8" t="s">
        <v>11015</v>
      </c>
      <c r="D30019" s="8">
        <v>12</v>
      </c>
      <c r="E30019" s="8">
        <v>0</v>
      </c>
      <c r="F30019" s="8">
        <v>8552</v>
      </c>
    </row>
    <row r="30020" spans="1:6" ht="12.75">
      <c r="A30020" s="8">
        <v>43891.037777777776</v>
      </c>
      <c r="B30020" s="8" t="str">
        <f>HYPERLINK("https://twitter.com/yurikoimut","@yurikoimut")</f>
        <v>@yurikoimut</v>
      </c>
      <c r="C30020" s="8" t="s">
        <v>10600</v>
      </c>
      <c r="D30020" s="8">
        <v>164</v>
      </c>
      <c r="E30020" s="8">
        <v>0</v>
      </c>
      <c r="F30020" s="8">
        <v>3591</v>
      </c>
    </row>
    <row r="30021" spans="1:6" ht="12.75">
      <c r="A30021" s="8">
        <v>43891.037395833337</v>
      </c>
      <c r="B30021" s="8" t="str">
        <f t="shared" ref="B30021:B30022" si="419">HYPERLINK("https://twitter.com/delaMayore","@delaMayore")</f>
        <v>@delaMayore</v>
      </c>
      <c r="C30021" s="8" t="s">
        <v>11385</v>
      </c>
      <c r="D30021" s="8">
        <v>0</v>
      </c>
      <c r="E30021" s="8">
        <v>0</v>
      </c>
      <c r="F30021" s="8">
        <v>183</v>
      </c>
    </row>
    <row r="30022" spans="1:6" ht="12.75">
      <c r="A30022" s="8">
        <v>43891.036377314813</v>
      </c>
      <c r="B30022" s="8" t="str">
        <f t="shared" si="419"/>
        <v>@delaMayore</v>
      </c>
      <c r="C30022" s="8" t="s">
        <v>11386</v>
      </c>
      <c r="D30022" s="8">
        <v>0</v>
      </c>
      <c r="E30022" s="8">
        <v>0</v>
      </c>
      <c r="F30022" s="8">
        <v>183</v>
      </c>
    </row>
    <row r="30023" spans="1:6" ht="12.75">
      <c r="A30023" s="8">
        <v>43891.036307870367</v>
      </c>
      <c r="B30023" s="8" t="str">
        <f>HYPERLINK("https://twitter.com/e6acb0a4004e4a2","@e6acb0a4004e4a2")</f>
        <v>@e6acb0a4004e4a2</v>
      </c>
      <c r="C30023" s="8" t="s">
        <v>8746</v>
      </c>
      <c r="D30023" s="8">
        <v>366</v>
      </c>
      <c r="E30023" s="8">
        <v>0</v>
      </c>
      <c r="F30023" s="8">
        <v>257</v>
      </c>
    </row>
    <row r="30024" spans="1:6" ht="12.75">
      <c r="A30024" s="8">
        <v>43891.03628472222</v>
      </c>
      <c r="B30024" s="8" t="str">
        <f>HYPERLINK("https://twitter.com/SgMarthin","@SgMarthin")</f>
        <v>@SgMarthin</v>
      </c>
      <c r="C30024" s="8" t="s">
        <v>10600</v>
      </c>
      <c r="D30024" s="8">
        <v>164</v>
      </c>
      <c r="E30024" s="8">
        <v>0</v>
      </c>
      <c r="F30024" s="8">
        <v>650</v>
      </c>
    </row>
    <row r="30025" spans="1:6" ht="12.75">
      <c r="A30025" s="8">
        <v>43891.035613425927</v>
      </c>
      <c r="B30025" s="8" t="str">
        <f>HYPERLINK("https://twitter.com/andev17","@andev17")</f>
        <v>@andev17</v>
      </c>
      <c r="C30025" s="8" t="s">
        <v>11292</v>
      </c>
      <c r="D30025" s="8">
        <v>58</v>
      </c>
      <c r="E30025" s="8">
        <v>0</v>
      </c>
      <c r="F30025" s="8">
        <v>209</v>
      </c>
    </row>
    <row r="30026" spans="1:6" ht="12.75">
      <c r="A30026" s="8">
        <v>43891.035555555558</v>
      </c>
      <c r="B30026" s="8" t="str">
        <f>HYPERLINK("https://twitter.com/Hendriksrtn","@Hendriksrtn")</f>
        <v>@Hendriksrtn</v>
      </c>
      <c r="C30026" s="8" t="s">
        <v>10600</v>
      </c>
      <c r="D30026" s="8">
        <v>164</v>
      </c>
      <c r="E30026" s="8">
        <v>0</v>
      </c>
      <c r="F30026" s="8">
        <v>450</v>
      </c>
    </row>
    <row r="30027" spans="1:6" ht="12.75">
      <c r="A30027" s="8">
        <v>43891.035462962958</v>
      </c>
      <c r="B30027" s="8" t="str">
        <f>HYPERLINK("https://twitter.com/Rifiaaachya","@Rifiaaachya")</f>
        <v>@Rifiaaachya</v>
      </c>
      <c r="C30027" s="8" t="s">
        <v>10939</v>
      </c>
      <c r="D30027" s="8">
        <v>181</v>
      </c>
      <c r="E30027" s="8">
        <v>0</v>
      </c>
      <c r="F30027" s="8">
        <v>494</v>
      </c>
    </row>
    <row r="30028" spans="1:6" ht="12.75">
      <c r="A30028" s="8">
        <v>43891.035416666666</v>
      </c>
      <c r="B30028" s="8" t="str">
        <f>HYPERLINK("https://twitter.com/YohanesMariono","@YohanesMariono")</f>
        <v>@YohanesMariono</v>
      </c>
      <c r="C30028" s="8" t="s">
        <v>8190</v>
      </c>
      <c r="D30028" s="8">
        <v>254</v>
      </c>
      <c r="E30028" s="8">
        <v>0</v>
      </c>
      <c r="F30028" s="8">
        <v>985</v>
      </c>
    </row>
    <row r="30029" spans="1:6" ht="12.75">
      <c r="A30029" s="8">
        <v>43891.035300925927</v>
      </c>
      <c r="B30029" s="8" t="str">
        <f>HYPERLINK("https://twitter.com/Arifngk","@Arifngk")</f>
        <v>@Arifngk</v>
      </c>
      <c r="C30029" s="8" t="s">
        <v>7686</v>
      </c>
      <c r="D30029" s="8">
        <v>813</v>
      </c>
      <c r="E30029" s="8">
        <v>0</v>
      </c>
      <c r="F30029" s="8">
        <v>509</v>
      </c>
    </row>
    <row r="30030" spans="1:6" ht="12.75">
      <c r="A30030" s="8">
        <v>43891.035162037035</v>
      </c>
      <c r="B30030" s="8" t="str">
        <f t="shared" ref="B30030:B30032" si="420">HYPERLINK("https://twitter.com/sirajapadoha","@sirajapadoha")</f>
        <v>@sirajapadoha</v>
      </c>
      <c r="C30030" s="8" t="s">
        <v>11387</v>
      </c>
      <c r="D30030" s="8">
        <v>1</v>
      </c>
      <c r="E30030" s="8">
        <v>0</v>
      </c>
      <c r="F30030" s="8">
        <v>2474</v>
      </c>
    </row>
    <row r="30031" spans="1:6" ht="12.75">
      <c r="A30031" s="8">
        <v>43891.035127314812</v>
      </c>
      <c r="B30031" s="8" t="str">
        <f t="shared" si="420"/>
        <v>@sirajapadoha</v>
      </c>
      <c r="C30031" s="8" t="s">
        <v>11388</v>
      </c>
      <c r="D30031" s="8">
        <v>1</v>
      </c>
      <c r="E30031" s="8">
        <v>0</v>
      </c>
      <c r="F30031" s="8">
        <v>2474</v>
      </c>
    </row>
    <row r="30032" spans="1:6" ht="12.75">
      <c r="A30032" s="8">
        <v>43891.035034722227</v>
      </c>
      <c r="B30032" s="8" t="str">
        <f t="shared" si="420"/>
        <v>@sirajapadoha</v>
      </c>
      <c r="C30032" s="8" t="s">
        <v>11389</v>
      </c>
      <c r="D30032" s="8">
        <v>1</v>
      </c>
      <c r="E30032" s="8">
        <v>0</v>
      </c>
      <c r="F30032" s="8">
        <v>2474</v>
      </c>
    </row>
    <row r="30033" spans="1:6" ht="12.75">
      <c r="A30033" s="8">
        <v>43891.034826388888</v>
      </c>
      <c r="B30033" s="8" t="str">
        <f>HYPERLINK("https://twitter.com/NetizenSh","@NetizenSh")</f>
        <v>@NetizenSh</v>
      </c>
      <c r="C30033" s="8" t="s">
        <v>11075</v>
      </c>
      <c r="D30033" s="8">
        <v>81</v>
      </c>
      <c r="E30033" s="8">
        <v>0</v>
      </c>
      <c r="F30033" s="8">
        <v>2005</v>
      </c>
    </row>
    <row r="30034" spans="1:6" ht="12.75">
      <c r="A30034" s="8">
        <v>43891.034212962964</v>
      </c>
      <c r="B30034" s="8" t="str">
        <f>HYPERLINK("https://twitter.com/Princerela_03","@Princerela_03")</f>
        <v>@Princerela_03</v>
      </c>
      <c r="C30034" s="8" t="s">
        <v>11390</v>
      </c>
      <c r="D30034" s="8">
        <v>1</v>
      </c>
      <c r="E30034" s="8">
        <v>0</v>
      </c>
      <c r="F30034" s="8">
        <v>406</v>
      </c>
    </row>
    <row r="30035" spans="1:6" ht="12.75">
      <c r="A30035" s="8">
        <v>43891.033773148149</v>
      </c>
      <c r="B30035" s="8" t="str">
        <f>HYPERLINK("https://twitter.com/Moonlig60747098","@Moonlig60747098")</f>
        <v>@Moonlig60747098</v>
      </c>
      <c r="C30035" s="8" t="s">
        <v>11391</v>
      </c>
      <c r="D30035" s="8">
        <v>0</v>
      </c>
      <c r="E30035" s="8">
        <v>0</v>
      </c>
      <c r="F30035" s="8">
        <v>27</v>
      </c>
    </row>
    <row r="30036" spans="1:6" ht="12.75">
      <c r="A30036" s="8">
        <v>43891.033657407403</v>
      </c>
      <c r="B30036" s="8" t="str">
        <f>HYPERLINK("https://twitter.com/antarajatimcom","@antarajatimcom")</f>
        <v>@antarajatimcom</v>
      </c>
      <c r="C30036" s="8" t="s">
        <v>11392</v>
      </c>
      <c r="D30036" s="8">
        <v>0</v>
      </c>
      <c r="E30036" s="8">
        <v>0</v>
      </c>
      <c r="F30036" s="8">
        <v>844</v>
      </c>
    </row>
    <row r="30037" spans="1:6" ht="12.75">
      <c r="A30037" s="8">
        <v>43891.033587962964</v>
      </c>
      <c r="B30037" s="8" t="str">
        <f>HYPERLINK("https://twitter.com/_bbgata11","@_bbgata11")</f>
        <v>@_bbgata11</v>
      </c>
      <c r="C30037" s="8" t="s">
        <v>11393</v>
      </c>
      <c r="D30037" s="8">
        <v>1</v>
      </c>
      <c r="E30037" s="8">
        <v>0</v>
      </c>
      <c r="F30037" s="8">
        <v>2426</v>
      </c>
    </row>
    <row r="30038" spans="1:6" ht="12.75">
      <c r="A30038" s="8">
        <v>43891.033530092594</v>
      </c>
      <c r="B30038" s="8" t="str">
        <f>HYPERLINK("https://twitter.com/beatrice_health","@beatrice_health")</f>
        <v>@beatrice_health</v>
      </c>
      <c r="C30038" s="8" t="s">
        <v>11394</v>
      </c>
      <c r="D30038" s="8">
        <v>1</v>
      </c>
      <c r="E30038" s="8">
        <v>0</v>
      </c>
      <c r="F30038" s="8">
        <v>452</v>
      </c>
    </row>
    <row r="30039" spans="1:6" ht="12.75">
      <c r="A30039" s="8">
        <v>43891.033495370371</v>
      </c>
      <c r="B30039" s="8" t="str">
        <f>HYPERLINK("https://twitter.com/itsme_yourmama","@itsme_yourmama")</f>
        <v>@itsme_yourmama</v>
      </c>
      <c r="C30039" s="8" t="s">
        <v>11395</v>
      </c>
      <c r="D30039" s="8">
        <v>1</v>
      </c>
      <c r="E30039" s="8">
        <v>0</v>
      </c>
      <c r="F30039" s="8">
        <v>2</v>
      </c>
    </row>
    <row r="30040" spans="1:6" ht="12.75">
      <c r="A30040" s="8">
        <v>43891.032743055555</v>
      </c>
      <c r="B30040" s="8" t="str">
        <f>HYPERLINK("https://twitter.com/Sadat72367895","@Sadat72367895")</f>
        <v>@Sadat72367895</v>
      </c>
      <c r="C30040" s="8" t="s">
        <v>4235</v>
      </c>
      <c r="D30040" s="8">
        <v>1570</v>
      </c>
      <c r="E30040" s="8">
        <v>0</v>
      </c>
      <c r="F30040" s="8">
        <v>271</v>
      </c>
    </row>
    <row r="30041" spans="1:6" ht="12.75">
      <c r="A30041" s="8">
        <v>43891.032708333332</v>
      </c>
      <c r="B30041" s="8" t="str">
        <f t="shared" ref="B30041:B30042" si="421">HYPERLINK("https://twitter.com/MahinFatavit","@MahinFatavit")</f>
        <v>@MahinFatavit</v>
      </c>
      <c r="C30041" s="8" t="s">
        <v>11075</v>
      </c>
      <c r="D30041" s="8">
        <v>81</v>
      </c>
      <c r="E30041" s="8">
        <v>0</v>
      </c>
      <c r="F30041" s="8">
        <v>6015</v>
      </c>
    </row>
    <row r="30042" spans="1:6" ht="12.75">
      <c r="A30042" s="8">
        <v>43891.032442129625</v>
      </c>
      <c r="B30042" s="8" t="str">
        <f t="shared" si="421"/>
        <v>@MahinFatavit</v>
      </c>
      <c r="C30042" s="8" t="s">
        <v>10811</v>
      </c>
      <c r="D30042" s="8">
        <v>250</v>
      </c>
      <c r="E30042" s="8">
        <v>0</v>
      </c>
      <c r="F30042" s="8">
        <v>6015</v>
      </c>
    </row>
    <row r="30043" spans="1:6" ht="12.75">
      <c r="A30043" s="8">
        <v>43891.032129629632</v>
      </c>
      <c r="B30043" s="8" t="str">
        <f>HYPERLINK("https://twitter.com/dumplingkisses","@dumplingkisses")</f>
        <v>@dumplingkisses</v>
      </c>
      <c r="C30043" s="8" t="s">
        <v>11396</v>
      </c>
      <c r="D30043" s="8">
        <v>3</v>
      </c>
      <c r="E30043" s="8">
        <v>0</v>
      </c>
      <c r="F30043" s="8">
        <v>150</v>
      </c>
    </row>
    <row r="30044" spans="1:6" ht="12.75">
      <c r="A30044" s="8">
        <v>43891.03188657407</v>
      </c>
      <c r="B30044" s="8" t="str">
        <f>HYPERLINK("https://twitter.com/cheekmates","@cheekmates")</f>
        <v>@cheekmates</v>
      </c>
      <c r="C30044" s="8" t="s">
        <v>2272</v>
      </c>
      <c r="D30044" s="8">
        <v>97</v>
      </c>
      <c r="E30044" s="8">
        <v>0</v>
      </c>
      <c r="F30044" s="8">
        <v>343</v>
      </c>
    </row>
    <row r="30045" spans="1:6" ht="12.75">
      <c r="A30045" s="8">
        <v>43891.03188657407</v>
      </c>
      <c r="B30045" s="8" t="str">
        <f>HYPERLINK("https://twitter.com/kardusbox08","@kardusbox08")</f>
        <v>@kardusbox08</v>
      </c>
      <c r="C30045" s="8" t="s">
        <v>11397</v>
      </c>
      <c r="D30045" s="8">
        <v>1</v>
      </c>
      <c r="E30045" s="8">
        <v>0</v>
      </c>
      <c r="F30045" s="8">
        <v>1755</v>
      </c>
    </row>
    <row r="30046" spans="1:6" ht="12.75">
      <c r="A30046" s="8">
        <v>43891.031388888892</v>
      </c>
      <c r="B30046" s="8" t="str">
        <f>HYPERLINK("https://twitter.com/Sanchitastic","@Sanchitastic")</f>
        <v>@Sanchitastic</v>
      </c>
      <c r="C30046" s="8" t="s">
        <v>11015</v>
      </c>
      <c r="D30046" s="8">
        <v>12</v>
      </c>
      <c r="E30046" s="8">
        <v>0</v>
      </c>
      <c r="F30046" s="8">
        <v>7879</v>
      </c>
    </row>
    <row r="30047" spans="1:6" ht="12.75">
      <c r="A30047" s="8">
        <v>43891.031331018516</v>
      </c>
      <c r="B30047" s="8" t="str">
        <f>HYPERLINK("https://twitter.com/dumplingkisses","@dumplingkisses")</f>
        <v>@dumplingkisses</v>
      </c>
      <c r="C30047" s="8" t="s">
        <v>11398</v>
      </c>
      <c r="D30047" s="8">
        <v>11</v>
      </c>
      <c r="E30047" s="8">
        <v>0</v>
      </c>
      <c r="F30047" s="8">
        <v>150</v>
      </c>
    </row>
    <row r="30048" spans="1:6" ht="12.75">
      <c r="A30048" s="8">
        <v>43891.03123842593</v>
      </c>
      <c r="B30048" s="8" t="str">
        <f>HYPERLINK("https://twitter.com/IM_MAhiDixiT","@IM_MAhiDixiT")</f>
        <v>@IM_MAhiDixiT</v>
      </c>
      <c r="C30048" s="8" t="s">
        <v>11015</v>
      </c>
      <c r="D30048" s="8">
        <v>12</v>
      </c>
      <c r="E30048" s="8">
        <v>0</v>
      </c>
      <c r="F30048" s="8">
        <v>13075</v>
      </c>
    </row>
    <row r="30049" spans="1:6" ht="12.75">
      <c r="A30049" s="8">
        <v>43891.031134259261</v>
      </c>
      <c r="B30049" s="8" t="str">
        <f>HYPERLINK("https://twitter.com/dumplingkisses","@dumplingkisses")</f>
        <v>@dumplingkisses</v>
      </c>
      <c r="C30049" s="8" t="s">
        <v>10757</v>
      </c>
      <c r="D30049" s="8">
        <v>18</v>
      </c>
      <c r="E30049" s="8">
        <v>0</v>
      </c>
      <c r="F30049" s="8">
        <v>150</v>
      </c>
    </row>
    <row r="30050" spans="1:6" ht="12.75">
      <c r="A30050" s="8">
        <v>43891.031030092592</v>
      </c>
      <c r="B30050" s="8" t="str">
        <f>HYPERLINK("https://twitter.com/ryanpramoedya6","@ryanpramoedya6")</f>
        <v>@ryanpramoedya6</v>
      </c>
      <c r="C30050" s="8" t="s">
        <v>10816</v>
      </c>
      <c r="D30050" s="8">
        <v>11</v>
      </c>
      <c r="E30050" s="8">
        <v>0</v>
      </c>
      <c r="F30050" s="8">
        <v>85</v>
      </c>
    </row>
    <row r="30051" spans="1:6" ht="12.75">
      <c r="A30051" s="8">
        <v>43891.030902777777</v>
      </c>
      <c r="B30051" s="8" t="str">
        <f>HYPERLINK("https://twitter.com/kardusbox08","@kardusbox08")</f>
        <v>@kardusbox08</v>
      </c>
      <c r="C30051" s="8" t="s">
        <v>6883</v>
      </c>
      <c r="D30051" s="8">
        <v>41</v>
      </c>
      <c r="E30051" s="8">
        <v>0</v>
      </c>
      <c r="F30051" s="8">
        <v>1755</v>
      </c>
    </row>
    <row r="30052" spans="1:6" ht="12.75">
      <c r="A30052" s="8">
        <v>43891.030706018515</v>
      </c>
      <c r="B30052" s="8" t="str">
        <f>HYPERLINK("https://twitter.com/NinoGitar","@NinoGitar")</f>
        <v>@NinoGitar</v>
      </c>
      <c r="C30052" s="8" t="s">
        <v>8746</v>
      </c>
      <c r="D30052" s="8">
        <v>366</v>
      </c>
      <c r="E30052" s="8">
        <v>0</v>
      </c>
      <c r="F30052" s="8">
        <v>109</v>
      </c>
    </row>
    <row r="30053" spans="1:6" ht="12.75">
      <c r="A30053" s="8">
        <v>43891.030636574069</v>
      </c>
      <c r="B30053" s="8" t="str">
        <f>HYPERLINK("https://twitter.com/aishatiara","@aishatiara")</f>
        <v>@aishatiara</v>
      </c>
      <c r="C30053" s="8" t="s">
        <v>2272</v>
      </c>
      <c r="D30053" s="8">
        <v>97</v>
      </c>
      <c r="E30053" s="8">
        <v>0</v>
      </c>
      <c r="F30053" s="8">
        <v>1622</v>
      </c>
    </row>
    <row r="30054" spans="1:6" ht="12.75">
      <c r="A30054" s="8">
        <v>43891.03056712963</v>
      </c>
      <c r="B30054" s="8" t="str">
        <f>HYPERLINK("https://twitter.com/hendrickliem","@hendrickliem")</f>
        <v>@hendrickliem</v>
      </c>
      <c r="C30054" s="8" t="s">
        <v>11399</v>
      </c>
      <c r="D30054" s="8">
        <v>0</v>
      </c>
      <c r="E30054" s="8">
        <v>0</v>
      </c>
      <c r="F30054" s="8">
        <v>928</v>
      </c>
    </row>
    <row r="30055" spans="1:6" ht="12.75">
      <c r="A30055" s="8">
        <v>43891.03052083333</v>
      </c>
      <c r="B30055" s="8" t="str">
        <f>HYPERLINK("https://twitter.com/Sarkar563","@Sarkar563")</f>
        <v>@Sarkar563</v>
      </c>
      <c r="C30055" s="8" t="s">
        <v>11400</v>
      </c>
      <c r="D30055" s="8">
        <v>0</v>
      </c>
      <c r="E30055" s="8">
        <v>1</v>
      </c>
      <c r="F30055" s="8">
        <v>1650</v>
      </c>
    </row>
    <row r="30056" spans="1:6" ht="12.75">
      <c r="A30056" s="8">
        <v>43891.030173611114</v>
      </c>
      <c r="B30056" s="8" t="str">
        <f>HYPERLINK("https://twitter.com/Tosh_Tiwari","@Tosh_Tiwari")</f>
        <v>@Tosh_Tiwari</v>
      </c>
      <c r="C30056" s="8" t="s">
        <v>11401</v>
      </c>
      <c r="D30056" s="8">
        <v>0</v>
      </c>
      <c r="E30056" s="8">
        <v>0</v>
      </c>
      <c r="F30056" s="8">
        <v>2913</v>
      </c>
    </row>
    <row r="30057" spans="1:6" ht="12.75">
      <c r="A30057" s="8">
        <v>43891.02988425926</v>
      </c>
      <c r="B30057" s="8" t="str">
        <f>HYPERLINK("https://twitter.com/MZubir_ID","@MZubir_ID")</f>
        <v>@MZubir_ID</v>
      </c>
      <c r="C30057" s="8" t="s">
        <v>11402</v>
      </c>
      <c r="D30057" s="8">
        <v>1</v>
      </c>
      <c r="E30057" s="8">
        <v>0</v>
      </c>
      <c r="F30057" s="8">
        <v>5862</v>
      </c>
    </row>
    <row r="30058" spans="1:6" ht="12.75">
      <c r="A30058" s="8">
        <v>43891.029594907406</v>
      </c>
      <c r="B30058" s="8" t="str">
        <f>HYPERLINK("https://twitter.com/DadiPujiadiReza","@DadiPujiadiReza")</f>
        <v>@DadiPujiadiReza</v>
      </c>
      <c r="C30058" s="8" t="s">
        <v>10600</v>
      </c>
      <c r="D30058" s="8">
        <v>164</v>
      </c>
      <c r="E30058" s="8">
        <v>0</v>
      </c>
      <c r="F30058" s="8">
        <v>1765</v>
      </c>
    </row>
    <row r="30059" spans="1:6" ht="12.75">
      <c r="A30059" s="8">
        <v>43891.029432870375</v>
      </c>
      <c r="B30059" s="8" t="str">
        <f>HYPERLINK("https://twitter.com/tweetspiring","@tweetspiring")</f>
        <v>@tweetspiring</v>
      </c>
      <c r="C30059" s="8" t="s">
        <v>10816</v>
      </c>
      <c r="D30059" s="8">
        <v>11</v>
      </c>
      <c r="E30059" s="8">
        <v>0</v>
      </c>
      <c r="F30059" s="8">
        <v>3018</v>
      </c>
    </row>
    <row r="30060" spans="1:6" ht="12.75">
      <c r="A30060" s="8">
        <v>43891.028831018513</v>
      </c>
      <c r="B30060" s="8" t="str">
        <f>HYPERLINK("https://twitter.com/RedskyCafe","@RedskyCafe")</f>
        <v>@RedskyCafe</v>
      </c>
      <c r="C30060" s="8" t="s">
        <v>6836</v>
      </c>
      <c r="D30060" s="8">
        <v>529</v>
      </c>
      <c r="E30060" s="8">
        <v>0</v>
      </c>
      <c r="F30060" s="8">
        <v>935</v>
      </c>
    </row>
    <row r="30061" spans="1:6" ht="12.75">
      <c r="A30061" s="8">
        <v>43891.028622685189</v>
      </c>
      <c r="B30061" s="8" t="str">
        <f>HYPERLINK("https://twitter.com/rdk2805","@rdk2805")</f>
        <v>@rdk2805</v>
      </c>
      <c r="C30061" s="8" t="s">
        <v>2272</v>
      </c>
      <c r="D30061" s="8">
        <v>97</v>
      </c>
      <c r="E30061" s="8">
        <v>0</v>
      </c>
      <c r="F30061" s="8">
        <v>562</v>
      </c>
    </row>
    <row r="30062" spans="1:6" ht="12.75">
      <c r="A30062" s="8">
        <v>43891.028356481482</v>
      </c>
      <c r="B30062" s="8" t="str">
        <f>HYPERLINK("https://twitter.com/KicauSunyi","@KicauSunyi")</f>
        <v>@KicauSunyi</v>
      </c>
      <c r="C30062" s="8" t="s">
        <v>10816</v>
      </c>
      <c r="D30062" s="8">
        <v>11</v>
      </c>
      <c r="E30062" s="8">
        <v>0</v>
      </c>
      <c r="F30062" s="8">
        <v>3673</v>
      </c>
    </row>
    <row r="30063" spans="1:6" ht="12.75">
      <c r="A30063" s="8">
        <v>43891.028020833328</v>
      </c>
      <c r="B30063" s="8" t="str">
        <f>HYPERLINK("https://twitter.com/juandihaloho","@juandihaloho")</f>
        <v>@juandihaloho</v>
      </c>
      <c r="C30063" s="8" t="s">
        <v>10816</v>
      </c>
      <c r="D30063" s="8">
        <v>11</v>
      </c>
      <c r="E30063" s="8">
        <v>0</v>
      </c>
      <c r="F30063" s="8">
        <v>1053</v>
      </c>
    </row>
    <row r="30064" spans="1:6" ht="12.75">
      <c r="A30064" s="8">
        <v>43891.027557870373</v>
      </c>
      <c r="B30064" s="8" t="str">
        <f>HYPERLINK("https://twitter.com/FataSail","@FataSail")</f>
        <v>@FataSail</v>
      </c>
      <c r="C30064" s="8" t="s">
        <v>11203</v>
      </c>
      <c r="D30064" s="8">
        <v>9</v>
      </c>
      <c r="E30064" s="8">
        <v>0</v>
      </c>
      <c r="F30064" s="8">
        <v>87</v>
      </c>
    </row>
    <row r="30065" spans="1:6" ht="12.75">
      <c r="A30065" s="8">
        <v>43891.027048611111</v>
      </c>
      <c r="B30065" s="8" t="str">
        <f>HYPERLINK("https://twitter.com/AnnaVLee","@AnnaVLee")</f>
        <v>@AnnaVLee</v>
      </c>
      <c r="C30065" s="8" t="s">
        <v>11117</v>
      </c>
      <c r="D30065" s="8">
        <v>86</v>
      </c>
      <c r="E30065" s="8">
        <v>0</v>
      </c>
      <c r="F30065" s="8">
        <v>180</v>
      </c>
    </row>
    <row r="30066" spans="1:6" ht="12.75">
      <c r="A30066" s="8">
        <v>43891.026863425926</v>
      </c>
      <c r="B30066" s="8" t="str">
        <f>HYPERLINK("https://twitter.com/Mas_Eko_Hartono","@Mas_Eko_Hartono")</f>
        <v>@Mas_Eko_Hartono</v>
      </c>
      <c r="C30066" s="8" t="s">
        <v>11280</v>
      </c>
      <c r="D30066" s="8">
        <v>29</v>
      </c>
      <c r="E30066" s="8">
        <v>0</v>
      </c>
      <c r="F30066" s="8">
        <v>1216</v>
      </c>
    </row>
    <row r="30067" spans="1:6" ht="12.75">
      <c r="A30067" s="8">
        <v>43891.026712962965</v>
      </c>
      <c r="B30067" s="8" t="str">
        <f>HYPERLINK("https://twitter.com/Sureshbhagwa","@Sureshbhagwa")</f>
        <v>@Sureshbhagwa</v>
      </c>
      <c r="C30067" s="8" t="s">
        <v>11015</v>
      </c>
      <c r="D30067" s="8">
        <v>12</v>
      </c>
      <c r="E30067" s="8">
        <v>0</v>
      </c>
      <c r="F30067" s="8">
        <v>1848</v>
      </c>
    </row>
    <row r="30068" spans="1:6" ht="12.75">
      <c r="A30068" s="8">
        <v>43891.026388888888</v>
      </c>
      <c r="B30068" s="8" t="str">
        <f>HYPERLINK("https://twitter.com/AnnaVLee","@AnnaVLee")</f>
        <v>@AnnaVLee</v>
      </c>
      <c r="C30068" s="8" t="s">
        <v>11292</v>
      </c>
      <c r="D30068" s="8">
        <v>58</v>
      </c>
      <c r="E30068" s="8">
        <v>0</v>
      </c>
      <c r="F30068" s="8">
        <v>180</v>
      </c>
    </row>
    <row r="30069" spans="1:6" ht="12.75">
      <c r="A30069" s="8">
        <v>43891.025914351849</v>
      </c>
      <c r="B30069" s="8" t="str">
        <f>HYPERLINK("https://twitter.com/bermoonolog","@bermoonolog")</f>
        <v>@bermoonolog</v>
      </c>
      <c r="C30069" s="8" t="s">
        <v>2272</v>
      </c>
      <c r="D30069" s="8">
        <v>97</v>
      </c>
      <c r="E30069" s="8">
        <v>0</v>
      </c>
      <c r="F30069" s="8">
        <v>1</v>
      </c>
    </row>
    <row r="30070" spans="1:6" ht="12.75">
      <c r="A30070" s="8">
        <v>43891.025787037041</v>
      </c>
      <c r="B30070" s="8" t="str">
        <f>HYPERLINK("https://twitter.com/Nita_Doshi_3","@Nita_Doshi_3")</f>
        <v>@Nita_Doshi_3</v>
      </c>
      <c r="C30070" s="8" t="s">
        <v>11015</v>
      </c>
      <c r="D30070" s="8">
        <v>12</v>
      </c>
      <c r="E30070" s="8">
        <v>0</v>
      </c>
      <c r="F30070" s="8">
        <v>901</v>
      </c>
    </row>
    <row r="30071" spans="1:6" ht="12.75">
      <c r="A30071" s="8">
        <v>43891.025648148148</v>
      </c>
      <c r="B30071" s="8" t="str">
        <f>HYPERLINK("https://twitter.com/monksday","@monksday")</f>
        <v>@monksday</v>
      </c>
      <c r="C30071" s="8" t="s">
        <v>7766</v>
      </c>
      <c r="D30071" s="8">
        <v>7</v>
      </c>
      <c r="E30071" s="8">
        <v>0</v>
      </c>
      <c r="F30071" s="8">
        <v>6</v>
      </c>
    </row>
    <row r="30072" spans="1:6" ht="12.75">
      <c r="A30072" s="8">
        <v>43891.025613425925</v>
      </c>
      <c r="B30072" s="8" t="str">
        <f>HYPERLINK("https://twitter.com/TripathiR11","@TripathiR11")</f>
        <v>@TripathiR11</v>
      </c>
      <c r="C30072" s="8" t="s">
        <v>11015</v>
      </c>
      <c r="D30072" s="8">
        <v>12</v>
      </c>
      <c r="E30072" s="8">
        <v>0</v>
      </c>
      <c r="F30072" s="8">
        <v>969</v>
      </c>
    </row>
    <row r="30073" spans="1:6" ht="12.75">
      <c r="A30073" s="8">
        <v>43891.02479166667</v>
      </c>
      <c r="B30073" s="8" t="str">
        <f>HYPERLINK("https://twitter.com/dRewChristianJr","@dRewChristianJr")</f>
        <v>@dRewChristianJr</v>
      </c>
      <c r="C30073" s="8" t="s">
        <v>11109</v>
      </c>
      <c r="D30073" s="8">
        <v>56</v>
      </c>
      <c r="E30073" s="8">
        <v>0</v>
      </c>
      <c r="F30073" s="8">
        <v>3043</v>
      </c>
    </row>
    <row r="30074" spans="1:6" ht="12.75">
      <c r="A30074" s="8">
        <v>43891.024745370371</v>
      </c>
      <c r="B30074" s="8" t="str">
        <f>HYPERLINK("https://twitter.com/Logical_Rai1","@Logical_Rai1")</f>
        <v>@Logical_Rai1</v>
      </c>
      <c r="C30074" s="8" t="s">
        <v>11015</v>
      </c>
      <c r="D30074" s="8">
        <v>12</v>
      </c>
      <c r="E30074" s="8">
        <v>0</v>
      </c>
      <c r="F30074" s="8">
        <v>3397</v>
      </c>
    </row>
    <row r="30075" spans="1:6" ht="12.75">
      <c r="A30075" s="8">
        <v>43891.024594907409</v>
      </c>
      <c r="B30075" s="8" t="str">
        <f>HYPERLINK("https://twitter.com/mbintanghp","@mbintanghp")</f>
        <v>@mbintanghp</v>
      </c>
      <c r="C30075" s="8" t="s">
        <v>2272</v>
      </c>
      <c r="D30075" s="8">
        <v>97</v>
      </c>
      <c r="E30075" s="8">
        <v>0</v>
      </c>
      <c r="F30075" s="8">
        <v>813</v>
      </c>
    </row>
    <row r="30076" spans="1:6" ht="12.75">
      <c r="A30076" s="8">
        <v>43891.023935185185</v>
      </c>
      <c r="B30076" s="8" t="str">
        <f>HYPERLINK("https://twitter.com/DairyMiilk","@DairyMiilk")</f>
        <v>@DairyMiilk</v>
      </c>
      <c r="C30076" s="8" t="s">
        <v>11015</v>
      </c>
      <c r="D30076" s="8">
        <v>12</v>
      </c>
      <c r="E30076" s="8">
        <v>0</v>
      </c>
      <c r="F30076" s="8">
        <v>629</v>
      </c>
    </row>
    <row r="30077" spans="1:6" ht="12.75">
      <c r="A30077" s="8">
        <v>43891.023877314816</v>
      </c>
      <c r="B30077" s="8" t="str">
        <f>HYPERLINK("https://twitter.com/keishasasha","@keishasasha")</f>
        <v>@keishasasha</v>
      </c>
      <c r="C30077" s="8" t="s">
        <v>2272</v>
      </c>
      <c r="D30077" s="8">
        <v>97</v>
      </c>
      <c r="E30077" s="8">
        <v>0</v>
      </c>
      <c r="F30077" s="8">
        <v>209</v>
      </c>
    </row>
    <row r="30078" spans="1:6" ht="12.75">
      <c r="A30078" s="8">
        <v>43891.023819444439</v>
      </c>
      <c r="B30078" s="8" t="str">
        <f>HYPERLINK("https://twitter.com/marshatriandrie","@marshatriandrie")</f>
        <v>@marshatriandrie</v>
      </c>
      <c r="C30078" s="8" t="s">
        <v>11117</v>
      </c>
      <c r="D30078" s="8">
        <v>86</v>
      </c>
      <c r="E30078" s="8">
        <v>0</v>
      </c>
      <c r="F30078" s="8">
        <v>272</v>
      </c>
    </row>
    <row r="30079" spans="1:6" ht="12.75">
      <c r="A30079" s="8">
        <v>43891.023680555554</v>
      </c>
      <c r="B30079" s="8" t="str">
        <f>HYPERLINK("https://twitter.com/alokdubey1408","@alokdubey1408")</f>
        <v>@alokdubey1408</v>
      </c>
      <c r="C30079" s="8" t="s">
        <v>11015</v>
      </c>
      <c r="D30079" s="8">
        <v>12</v>
      </c>
      <c r="E30079" s="8">
        <v>0</v>
      </c>
      <c r="F30079" s="8">
        <v>18399</v>
      </c>
    </row>
    <row r="30080" spans="1:6" ht="12.75">
      <c r="A30080" s="8">
        <v>43891.0234375</v>
      </c>
      <c r="B30080" s="8" t="str">
        <f>HYPERLINK("https://twitter.com/nafriliani9","@nafriliani9")</f>
        <v>@nafriliani9</v>
      </c>
      <c r="C30080" s="8" t="s">
        <v>6863</v>
      </c>
      <c r="D30080" s="8">
        <v>347</v>
      </c>
      <c r="E30080" s="8">
        <v>0</v>
      </c>
      <c r="F30080" s="8">
        <v>242</v>
      </c>
    </row>
    <row r="30081" spans="1:6" ht="12.75">
      <c r="A30081" s="8">
        <v>43891.023275462961</v>
      </c>
      <c r="B30081" s="8" t="str">
        <f>HYPERLINK("https://twitter.com/DairyMiilk","@DairyMiilk")</f>
        <v>@DairyMiilk</v>
      </c>
      <c r="C30081" s="8" t="s">
        <v>11403</v>
      </c>
      <c r="D30081" s="8">
        <v>12</v>
      </c>
      <c r="E30081" s="8">
        <v>4</v>
      </c>
      <c r="F30081" s="8">
        <v>629</v>
      </c>
    </row>
    <row r="30082" spans="1:6" ht="12.75">
      <c r="A30082" s="8">
        <v>43891.022557870368</v>
      </c>
      <c r="B30082" s="8" t="str">
        <f>HYPERLINK("https://twitter.com/AleoArba","@AleoArba")</f>
        <v>@AleoArba</v>
      </c>
      <c r="C30082" s="8" t="s">
        <v>7437</v>
      </c>
      <c r="D30082" s="8">
        <v>316</v>
      </c>
      <c r="E30082" s="8">
        <v>0</v>
      </c>
      <c r="F30082" s="8">
        <v>65</v>
      </c>
    </row>
    <row r="30083" spans="1:6" ht="12.75">
      <c r="A30083" s="8">
        <v>43891.022187499999</v>
      </c>
      <c r="B30083" s="8" t="str">
        <f>HYPERLINK("https://twitter.com/achzam_prabu","@achzam_prabu")</f>
        <v>@achzam_prabu</v>
      </c>
      <c r="C30083" s="8" t="s">
        <v>10600</v>
      </c>
      <c r="D30083" s="8">
        <v>164</v>
      </c>
      <c r="E30083" s="8">
        <v>0</v>
      </c>
      <c r="F30083" s="8">
        <v>4908</v>
      </c>
    </row>
    <row r="30084" spans="1:6" ht="12.75">
      <c r="A30084" s="8">
        <v>43891.021898148145</v>
      </c>
      <c r="B30084" s="8" t="str">
        <f>HYPERLINK("https://twitter.com/potatouil","@potatouil")</f>
        <v>@potatouil</v>
      </c>
      <c r="C30084" s="8" t="s">
        <v>11404</v>
      </c>
      <c r="D30084" s="8">
        <v>0</v>
      </c>
      <c r="E30084" s="8">
        <v>0</v>
      </c>
      <c r="F30084" s="8">
        <v>1302</v>
      </c>
    </row>
    <row r="30085" spans="1:6" ht="12.75">
      <c r="A30085" s="8">
        <v>43891.021863425922</v>
      </c>
      <c r="B30085" s="8" t="str">
        <f>HYPERLINK("https://twitter.com/niluhdevia","@niluhdevia")</f>
        <v>@niluhdevia</v>
      </c>
      <c r="C30085" s="8" t="s">
        <v>10600</v>
      </c>
      <c r="D30085" s="8">
        <v>164</v>
      </c>
      <c r="E30085" s="8">
        <v>0</v>
      </c>
      <c r="F30085" s="8">
        <v>1048</v>
      </c>
    </row>
    <row r="30086" spans="1:6" ht="12.75">
      <c r="A30086" s="8">
        <v>43891.006736111114</v>
      </c>
      <c r="B30086" s="8" t="str">
        <f>HYPERLINK("https://twitter.com/jenggo008","@jenggo008")</f>
        <v>@jenggo008</v>
      </c>
      <c r="C30086" s="8" t="s">
        <v>10811</v>
      </c>
      <c r="D30086" s="8">
        <v>246</v>
      </c>
      <c r="E30086" s="8">
        <v>0</v>
      </c>
      <c r="F30086" s="8">
        <v>527</v>
      </c>
    </row>
    <row r="30087" spans="1:6" ht="12.75">
      <c r="A30087" s="8">
        <v>43891.006724537037</v>
      </c>
      <c r="B30087" s="8" t="str">
        <f>HYPERLINK("https://twitter.com/JIMsihombing","@JIMsihombing")</f>
        <v>@JIMsihombing</v>
      </c>
      <c r="C30087" s="8" t="s">
        <v>7686</v>
      </c>
      <c r="D30087" s="8">
        <v>803</v>
      </c>
      <c r="E30087" s="8">
        <v>0</v>
      </c>
      <c r="F30087" s="8">
        <v>738</v>
      </c>
    </row>
    <row r="30088" spans="1:6" ht="12.75">
      <c r="A30088" s="8">
        <v>43891.006620370375</v>
      </c>
      <c r="B30088" s="8" t="str">
        <f>HYPERLINK("https://twitter.com/FajarFirhadi","@FajarFirhadi")</f>
        <v>@FajarFirhadi</v>
      </c>
      <c r="C30088" s="8" t="s">
        <v>10600</v>
      </c>
      <c r="D30088" s="8">
        <v>147</v>
      </c>
      <c r="E30088" s="8">
        <v>0</v>
      </c>
      <c r="F30088" s="8">
        <v>166</v>
      </c>
    </row>
    <row r="30089" spans="1:6" ht="12.75">
      <c r="A30089" s="8">
        <v>43891.006307870368</v>
      </c>
      <c r="B30089" s="8" t="str">
        <f>HYPERLINK("https://twitter.com/erwin_fj","@erwin_fj")</f>
        <v>@erwin_fj</v>
      </c>
      <c r="C30089" s="8" t="s">
        <v>4235</v>
      </c>
      <c r="D30089" s="8">
        <v>1561</v>
      </c>
      <c r="E30089" s="8">
        <v>0</v>
      </c>
      <c r="F30089" s="8">
        <v>223</v>
      </c>
    </row>
    <row r="30090" spans="1:6" ht="12.75">
      <c r="A30090" s="8">
        <v>43891.006145833337</v>
      </c>
      <c r="B30090" s="8" t="str">
        <f>HYPERLINK("https://twitter.com/RiyadiAtmodjo","@RiyadiAtmodjo")</f>
        <v>@RiyadiAtmodjo</v>
      </c>
      <c r="C30090" s="8" t="s">
        <v>7686</v>
      </c>
      <c r="D30090" s="8">
        <v>803</v>
      </c>
      <c r="E30090" s="8">
        <v>0</v>
      </c>
      <c r="F30090" s="8">
        <v>1111</v>
      </c>
    </row>
    <row r="30091" spans="1:6" ht="12.75">
      <c r="A30091" s="8">
        <v>43891.005462962959</v>
      </c>
      <c r="B30091" s="8" t="str">
        <f>HYPERLINK("https://twitter.com/Abankgera999","@Abankgera999")</f>
        <v>@Abankgera999</v>
      </c>
      <c r="C30091" s="8" t="s">
        <v>11358</v>
      </c>
      <c r="D30091" s="8">
        <v>26</v>
      </c>
      <c r="E30091" s="8">
        <v>0</v>
      </c>
      <c r="F30091" s="8">
        <v>503</v>
      </c>
    </row>
    <row r="30092" spans="1:6" ht="12.75">
      <c r="A30092" s="8">
        <v>43891.005324074074</v>
      </c>
      <c r="B30092" s="8" t="str">
        <f>HYPERLINK("https://twitter.com/lambert_kota","@lambert_kota")</f>
        <v>@lambert_kota</v>
      </c>
      <c r="C30092" s="8" t="s">
        <v>7437</v>
      </c>
      <c r="D30092" s="8">
        <v>309</v>
      </c>
      <c r="E30092" s="8">
        <v>0</v>
      </c>
      <c r="F30092" s="8">
        <v>700</v>
      </c>
    </row>
    <row r="30093" spans="1:6" ht="12.75">
      <c r="A30093" s="8">
        <v>43891.005289351851</v>
      </c>
      <c r="B30093" s="8" t="str">
        <f>HYPERLINK("https://twitter.com/denidkraider","@denidkraider")</f>
        <v>@denidkraider</v>
      </c>
      <c r="C30093" s="8" t="s">
        <v>11405</v>
      </c>
      <c r="D30093" s="8">
        <v>0</v>
      </c>
      <c r="E30093" s="8">
        <v>0</v>
      </c>
      <c r="F30093" s="8">
        <v>390</v>
      </c>
    </row>
    <row r="30094" spans="1:6" ht="12.75">
      <c r="A30094" s="8">
        <v>43891.00513888889</v>
      </c>
      <c r="B30094" s="8" t="str">
        <f>HYPERLINK("https://twitter.com/kotobukimaeda9","@kotobukimaeda9")</f>
        <v>@kotobukimaeda9</v>
      </c>
      <c r="C30094" s="8" t="s">
        <v>11057</v>
      </c>
      <c r="D30094" s="8">
        <v>12</v>
      </c>
      <c r="E30094" s="8">
        <v>0</v>
      </c>
      <c r="F30094" s="8">
        <v>318</v>
      </c>
    </row>
    <row r="30095" spans="1:6" ht="12.75">
      <c r="A30095" s="8">
        <v>43891.004583333328</v>
      </c>
      <c r="B30095" s="8" t="str">
        <f>HYPERLINK("https://twitter.com/Back_cool_Tempe","@Back_cool_Tempe")</f>
        <v>@Back_cool_Tempe</v>
      </c>
      <c r="C30095" s="8" t="s">
        <v>7686</v>
      </c>
      <c r="D30095" s="8">
        <v>803</v>
      </c>
      <c r="E30095" s="8">
        <v>0</v>
      </c>
      <c r="F30095" s="8">
        <v>1259</v>
      </c>
    </row>
    <row r="30096" spans="1:6" ht="12.75">
      <c r="A30096" s="8">
        <v>43891.004537037035</v>
      </c>
      <c r="B30096" s="8" t="str">
        <f>HYPERLINK("https://twitter.com/RobbyHens","@RobbyHens")</f>
        <v>@RobbyHens</v>
      </c>
      <c r="C30096" s="8" t="s">
        <v>10600</v>
      </c>
      <c r="D30096" s="8">
        <v>147</v>
      </c>
      <c r="E30096" s="8">
        <v>0</v>
      </c>
      <c r="F30096" s="8">
        <v>146</v>
      </c>
    </row>
    <row r="30097" spans="1:6" ht="12.75">
      <c r="A30097" s="8">
        <v>43891.004490740743</v>
      </c>
      <c r="B30097" s="8" t="str">
        <f>HYPERLINK("https://twitter.com/edhoanakbudiman","@edhoanakbudiman")</f>
        <v>@edhoanakbudiman</v>
      </c>
      <c r="C30097" s="8" t="s">
        <v>11406</v>
      </c>
      <c r="D30097" s="8">
        <v>0</v>
      </c>
      <c r="E30097" s="8">
        <v>0</v>
      </c>
      <c r="F30097" s="8">
        <v>624</v>
      </c>
    </row>
    <row r="30098" spans="1:6" ht="12.75">
      <c r="A30098" s="8">
        <v>43891.003923611112</v>
      </c>
      <c r="B30098" s="8" t="str">
        <f>HYPERLINK("https://twitter.com/harryfadil","@harryfadil")</f>
        <v>@harryfadil</v>
      </c>
      <c r="C30098" s="8" t="s">
        <v>7686</v>
      </c>
      <c r="D30098" s="8">
        <v>803</v>
      </c>
      <c r="E30098" s="8">
        <v>0</v>
      </c>
      <c r="F30098" s="8">
        <v>1257</v>
      </c>
    </row>
    <row r="30099" spans="1:6" ht="12.75">
      <c r="A30099" s="8">
        <v>43891.00371527778</v>
      </c>
      <c r="B30099" s="8" t="str">
        <f>HYPERLINK("https://twitter.com/Broto__Seno","@Broto__Seno")</f>
        <v>@Broto__Seno</v>
      </c>
      <c r="C30099" s="8" t="s">
        <v>11151</v>
      </c>
      <c r="D30099" s="8">
        <v>11</v>
      </c>
      <c r="E30099" s="8">
        <v>0</v>
      </c>
      <c r="F30099" s="8">
        <v>3364</v>
      </c>
    </row>
    <row r="30100" spans="1:6" ht="12.75">
      <c r="A30100" s="8">
        <v>43891.003692129627</v>
      </c>
      <c r="B30100" s="8" t="str">
        <f>HYPERLINK("https://twitter.com/andwnysyamuda","@andwnysyamuda")</f>
        <v>@andwnysyamuda</v>
      </c>
      <c r="C30100" s="8" t="s">
        <v>11407</v>
      </c>
      <c r="D30100" s="8">
        <v>0</v>
      </c>
      <c r="E30100" s="8">
        <v>1</v>
      </c>
      <c r="F30100" s="8">
        <v>0</v>
      </c>
    </row>
    <row r="30101" spans="1:6" ht="12.75">
      <c r="A30101" s="8">
        <v>43891.003425925926</v>
      </c>
      <c r="B30101" s="8" t="str">
        <f>HYPERLINK("https://twitter.com/sastrolukito53","@sastrolukito53")</f>
        <v>@sastrolukito53</v>
      </c>
      <c r="C30101" s="8" t="s">
        <v>7686</v>
      </c>
      <c r="D30101" s="8">
        <v>803</v>
      </c>
      <c r="E30101" s="8">
        <v>0</v>
      </c>
      <c r="F30101" s="8">
        <v>157</v>
      </c>
    </row>
    <row r="30102" spans="1:6" ht="12.75">
      <c r="A30102" s="8">
        <v>43891.003321759257</v>
      </c>
      <c r="B30102" s="8" t="str">
        <f>HYPERLINK("https://twitter.com/_wni_","@_wni_")</f>
        <v>@_wni_</v>
      </c>
      <c r="C30102" s="8" t="s">
        <v>11408</v>
      </c>
      <c r="D30102" s="8">
        <v>0</v>
      </c>
      <c r="E30102" s="8">
        <v>1</v>
      </c>
      <c r="F30102" s="8">
        <v>12</v>
      </c>
    </row>
    <row r="30103" spans="1:6" ht="12.75">
      <c r="A30103" s="8">
        <v>43891.003310185188</v>
      </c>
      <c r="B30103" s="8" t="str">
        <f>HYPERLINK("https://twitter.com/77bayoe","@77bayoe")</f>
        <v>@77bayoe</v>
      </c>
      <c r="C30103" s="8" t="s">
        <v>11203</v>
      </c>
      <c r="D30103" s="8">
        <v>8</v>
      </c>
      <c r="E30103" s="8">
        <v>0</v>
      </c>
      <c r="F30103" s="8">
        <v>2185</v>
      </c>
    </row>
    <row r="30104" spans="1:6" ht="12.75">
      <c r="A30104" s="8">
        <v>43891.003101851849</v>
      </c>
      <c r="B30104" s="8" t="str">
        <f>HYPERLINK("https://twitter.com/mr_mamatto","@mr_mamatto")</f>
        <v>@mr_mamatto</v>
      </c>
      <c r="C30104" s="8" t="s">
        <v>10986</v>
      </c>
      <c r="D30104" s="8">
        <v>16</v>
      </c>
      <c r="E30104" s="8">
        <v>0</v>
      </c>
      <c r="F30104" s="8">
        <v>222</v>
      </c>
    </row>
    <row r="30105" spans="1:6" ht="12.75">
      <c r="A30105" s="8">
        <v>43891.003067129626</v>
      </c>
      <c r="B30105" s="8" t="str">
        <f>HYPERLINK("https://twitter.com/zaradea6","@zaradea6")</f>
        <v>@zaradea6</v>
      </c>
      <c r="C30105" s="8" t="s">
        <v>10811</v>
      </c>
      <c r="D30105" s="8">
        <v>246</v>
      </c>
      <c r="E30105" s="8">
        <v>0</v>
      </c>
      <c r="F30105" s="8">
        <v>9</v>
      </c>
    </row>
    <row r="30106" spans="1:6" ht="12.75">
      <c r="A30106" s="8">
        <v>43891.002962962964</v>
      </c>
      <c r="B30106" s="8" t="str">
        <f>HYPERLINK("https://twitter.com/77bayoe","@77bayoe")</f>
        <v>@77bayoe</v>
      </c>
      <c r="C30106" s="8" t="s">
        <v>6883</v>
      </c>
      <c r="D30106" s="8">
        <v>39</v>
      </c>
      <c r="E30106" s="8">
        <v>0</v>
      </c>
      <c r="F30106" s="8">
        <v>2185</v>
      </c>
    </row>
    <row r="30107" spans="1:6" ht="12.75">
      <c r="A30107" s="8">
        <v>43891.002789351856</v>
      </c>
      <c r="B30107" s="8" t="str">
        <f>HYPERLINK("https://twitter.com/tulisanfriska","@tulisanfriska")</f>
        <v>@tulisanfriska</v>
      </c>
      <c r="C30107" s="8" t="s">
        <v>11409</v>
      </c>
      <c r="D30107" s="8">
        <v>0</v>
      </c>
      <c r="E30107" s="8">
        <v>0</v>
      </c>
      <c r="F30107" s="8">
        <v>309</v>
      </c>
    </row>
    <row r="30108" spans="1:6" ht="12.75">
      <c r="A30108" s="8">
        <v>43891.001898148148</v>
      </c>
      <c r="B30108" s="8" t="str">
        <f>HYPERLINK("https://twitter.com/WidiartaWirawan","@WidiartaWirawan")</f>
        <v>@WidiartaWirawan</v>
      </c>
      <c r="C30108" s="8" t="s">
        <v>11410</v>
      </c>
      <c r="D30108" s="8">
        <v>0</v>
      </c>
      <c r="E30108" s="8">
        <v>0</v>
      </c>
      <c r="F30108" s="8">
        <v>1286</v>
      </c>
    </row>
    <row r="30109" spans="1:6" ht="12.75">
      <c r="A30109" s="8">
        <v>43891.001828703702</v>
      </c>
      <c r="B30109" s="8" t="str">
        <f>HYPERLINK("https://twitter.com/amanda_winona","@amanda_winona")</f>
        <v>@amanda_winona</v>
      </c>
      <c r="C30109" s="8" t="s">
        <v>11411</v>
      </c>
      <c r="D30109" s="8">
        <v>2</v>
      </c>
      <c r="E30109" s="8">
        <v>0</v>
      </c>
      <c r="F30109" s="8">
        <v>382</v>
      </c>
    </row>
    <row r="30110" spans="1:6" ht="12.75">
      <c r="A30110" s="8">
        <v>43891.001585648148</v>
      </c>
      <c r="B30110" s="8" t="str">
        <f>HYPERLINK("https://twitter.com/Kariozz1","@Kariozz1")</f>
        <v>@Kariozz1</v>
      </c>
      <c r="C30110" s="8" t="s">
        <v>11412</v>
      </c>
      <c r="D30110" s="8">
        <v>0</v>
      </c>
      <c r="E30110" s="8">
        <v>1</v>
      </c>
      <c r="F30110" s="8">
        <v>155</v>
      </c>
    </row>
    <row r="30111" spans="1:6" ht="12.75">
      <c r="A30111" s="8">
        <v>43891.001562500001</v>
      </c>
      <c r="B30111" s="8" t="str">
        <f>HYPERLINK("https://twitter.com/BillTemporo","@BillTemporo")</f>
        <v>@BillTemporo</v>
      </c>
      <c r="C30111" s="8" t="s">
        <v>323</v>
      </c>
      <c r="D30111" s="8">
        <v>0</v>
      </c>
      <c r="E30111" s="8">
        <v>0</v>
      </c>
      <c r="F30111" s="8">
        <v>11</v>
      </c>
    </row>
    <row r="30112" spans="1:6" ht="12.75">
      <c r="A30112" s="8">
        <v>43891.001412037032</v>
      </c>
      <c r="B30112" s="8" t="str">
        <f>HYPERLINK("https://twitter.com/sagakom","@sagakom")</f>
        <v>@sagakom</v>
      </c>
      <c r="C30112" s="8" t="s">
        <v>11413</v>
      </c>
      <c r="D30112" s="8">
        <v>0</v>
      </c>
      <c r="E30112" s="8">
        <v>0</v>
      </c>
      <c r="F30112" s="8">
        <v>285</v>
      </c>
    </row>
    <row r="30113" spans="1:6" ht="12.75">
      <c r="A30113" s="8">
        <v>43890.999965277777</v>
      </c>
      <c r="B30113" s="8" t="str">
        <f>HYPERLINK("https://twitter.com/yosaris9","@yosaris9")</f>
        <v>@yosaris9</v>
      </c>
      <c r="C30113" s="8" t="s">
        <v>10600</v>
      </c>
      <c r="D30113" s="8">
        <v>147</v>
      </c>
      <c r="E30113" s="8">
        <v>0</v>
      </c>
      <c r="F30113" s="8">
        <v>578</v>
      </c>
    </row>
    <row r="30114" spans="1:6" ht="12.75">
      <c r="A30114" s="8">
        <v>43890.999826388885</v>
      </c>
      <c r="B30114" s="8" t="str">
        <f>HYPERLINK("https://twitter.com/RMondrokumoro","@RMondrokumoro")</f>
        <v>@RMondrokumoro</v>
      </c>
      <c r="C30114" s="8" t="s">
        <v>7437</v>
      </c>
      <c r="D30114" s="8">
        <v>309</v>
      </c>
      <c r="E30114" s="8">
        <v>0</v>
      </c>
      <c r="F30114" s="8">
        <v>27</v>
      </c>
    </row>
    <row r="30115" spans="1:6" ht="12.75">
      <c r="A30115" s="8">
        <v>43890.99931712963</v>
      </c>
      <c r="B30115" s="8" t="str">
        <f>HYPERLINK("https://twitter.com/gowestmor","@gowestmor")</f>
        <v>@gowestmor</v>
      </c>
      <c r="C30115" s="8" t="s">
        <v>7437</v>
      </c>
      <c r="D30115" s="8">
        <v>309</v>
      </c>
      <c r="E30115" s="8">
        <v>0</v>
      </c>
      <c r="F30115" s="8">
        <v>1584</v>
      </c>
    </row>
    <row r="30116" spans="1:6" ht="12.75">
      <c r="A30116" s="8">
        <v>43890.999224537038</v>
      </c>
      <c r="B30116" s="8" t="str">
        <f>HYPERLINK("https://twitter.com/Spider__matriX","@Spider__matriX")</f>
        <v>@Spider__matriX</v>
      </c>
      <c r="C30116" s="8" t="s">
        <v>11151</v>
      </c>
      <c r="D30116" s="8">
        <v>11</v>
      </c>
      <c r="E30116" s="8">
        <v>0</v>
      </c>
      <c r="F30116" s="8">
        <v>4979</v>
      </c>
    </row>
    <row r="30117" spans="1:6" ht="12.75">
      <c r="A30117" s="8">
        <v>43890.998657407406</v>
      </c>
      <c r="B30117" s="8" t="str">
        <f>HYPERLINK("https://twitter.com/gowestmor","@gowestmor")</f>
        <v>@gowestmor</v>
      </c>
      <c r="C30117" s="8" t="s">
        <v>11203</v>
      </c>
      <c r="D30117" s="8">
        <v>8</v>
      </c>
      <c r="E30117" s="8">
        <v>0</v>
      </c>
      <c r="F30117" s="8">
        <v>1584</v>
      </c>
    </row>
    <row r="30118" spans="1:6" ht="12.75">
      <c r="A30118" s="8">
        <v>43890.998379629629</v>
      </c>
      <c r="B30118" s="8" t="str">
        <f>HYPERLINK("https://twitter.com/elcofdjumhur","@elcofdjumhur")</f>
        <v>@elcofdjumhur</v>
      </c>
      <c r="C30118" s="8" t="s">
        <v>7686</v>
      </c>
      <c r="D30118" s="8">
        <v>803</v>
      </c>
      <c r="E30118" s="8">
        <v>0</v>
      </c>
      <c r="F30118" s="8">
        <v>71</v>
      </c>
    </row>
    <row r="30119" spans="1:6" ht="12.75">
      <c r="A30119" s="8">
        <v>43890.998194444444</v>
      </c>
      <c r="B30119" s="8" t="str">
        <f>HYPERLINK("https://twitter.com/PuriTiaraIchlas","@PuriTiaraIchlas")</f>
        <v>@PuriTiaraIchlas</v>
      </c>
      <c r="C30119" s="8" t="s">
        <v>6708</v>
      </c>
      <c r="D30119" s="8">
        <v>39</v>
      </c>
      <c r="E30119" s="8">
        <v>0</v>
      </c>
      <c r="F30119" s="8">
        <v>338</v>
      </c>
    </row>
    <row r="30120" spans="1:6" ht="12.75">
      <c r="A30120" s="8">
        <v>43890.998182870375</v>
      </c>
      <c r="B30120" s="8" t="str">
        <f>HYPERLINK("https://twitter.com/ArisWidiantoro8","@ArisWidiantoro8")</f>
        <v>@ArisWidiantoro8</v>
      </c>
      <c r="C30120" s="8" t="s">
        <v>7686</v>
      </c>
      <c r="D30120" s="8">
        <v>803</v>
      </c>
      <c r="E30120" s="8">
        <v>0</v>
      </c>
      <c r="F30120" s="8">
        <v>778</v>
      </c>
    </row>
    <row r="30121" spans="1:6" ht="12.75">
      <c r="A30121" s="8">
        <v>43890.998171296298</v>
      </c>
      <c r="B30121" s="8" t="str">
        <f>HYPERLINK("https://twitter.com/gowestmor","@gowestmor")</f>
        <v>@gowestmor</v>
      </c>
      <c r="C30121" s="8" t="s">
        <v>11306</v>
      </c>
      <c r="D30121" s="8">
        <v>1</v>
      </c>
      <c r="E30121" s="8">
        <v>0</v>
      </c>
      <c r="F30121" s="8">
        <v>1584</v>
      </c>
    </row>
    <row r="30122" spans="1:6" ht="12.75">
      <c r="A30122" s="8">
        <v>43890.998113425929</v>
      </c>
      <c r="B30122" s="8" t="str">
        <f>HYPERLINK("https://twitter.com/anak_anakafir","@anak_anakafir")</f>
        <v>@anak_anakafir</v>
      </c>
      <c r="C30122" s="8" t="s">
        <v>10600</v>
      </c>
      <c r="D30122" s="8">
        <v>147</v>
      </c>
      <c r="E30122" s="8">
        <v>0</v>
      </c>
      <c r="F30122" s="8">
        <v>4098</v>
      </c>
    </row>
    <row r="30123" spans="1:6" ht="12.75">
      <c r="A30123" s="8">
        <v>43890.998043981483</v>
      </c>
      <c r="B30123" s="8" t="str">
        <f>HYPERLINK("https://twitter.com/gowestmor","@gowestmor")</f>
        <v>@gowestmor</v>
      </c>
      <c r="C30123" s="8" t="s">
        <v>6883</v>
      </c>
      <c r="D30123" s="8">
        <v>39</v>
      </c>
      <c r="E30123" s="8">
        <v>0</v>
      </c>
      <c r="F30123" s="8">
        <v>1584</v>
      </c>
    </row>
    <row r="30124" spans="1:6" ht="12.75">
      <c r="A30124" s="8">
        <v>43890.997835648144</v>
      </c>
      <c r="B30124" s="8" t="str">
        <f>HYPERLINK("https://twitter.com/katatodaycom","@katatodaycom")</f>
        <v>@katatodaycom</v>
      </c>
      <c r="C30124" s="8" t="s">
        <v>11414</v>
      </c>
      <c r="D30124" s="8">
        <v>0</v>
      </c>
      <c r="E30124" s="8">
        <v>1</v>
      </c>
      <c r="F30124" s="8">
        <v>1167</v>
      </c>
    </row>
    <row r="30125" spans="1:6" ht="12.75">
      <c r="A30125" s="8">
        <v>43890.997719907406</v>
      </c>
      <c r="B30125" s="8" t="str">
        <f>HYPERLINK("https://twitter.com/fahmimusfizree","@fahmimusfizree")</f>
        <v>@fahmimusfizree</v>
      </c>
      <c r="C30125" s="8" t="s">
        <v>11102</v>
      </c>
      <c r="D30125" s="8">
        <v>568</v>
      </c>
      <c r="E30125" s="8">
        <v>0</v>
      </c>
      <c r="F30125" s="8">
        <v>286</v>
      </c>
    </row>
    <row r="30126" spans="1:6" ht="12.75">
      <c r="A30126" s="8">
        <v>43890.997384259259</v>
      </c>
      <c r="B30126" s="8" t="str">
        <f>HYPERLINK("https://twitter.com/ASMariah97","@ASMariah97")</f>
        <v>@ASMariah97</v>
      </c>
      <c r="C30126" s="8" t="s">
        <v>11415</v>
      </c>
      <c r="D30126" s="8">
        <v>0</v>
      </c>
      <c r="E30126" s="8">
        <v>0</v>
      </c>
      <c r="F30126" s="8">
        <v>14</v>
      </c>
    </row>
    <row r="30127" spans="1:6" ht="12.75">
      <c r="A30127" s="8">
        <v>43890.997372685189</v>
      </c>
      <c r="B30127" s="8" t="str">
        <f>HYPERLINK("https://twitter.com/_wni_","@_wni_")</f>
        <v>@_wni_</v>
      </c>
      <c r="C30127" s="8" t="s">
        <v>11416</v>
      </c>
      <c r="D30127" s="8">
        <v>7104</v>
      </c>
      <c r="E30127" s="8">
        <v>0</v>
      </c>
      <c r="F30127" s="8">
        <v>12</v>
      </c>
    </row>
    <row r="30128" spans="1:6" ht="12.75">
      <c r="A30128" s="8">
        <v>43890.99726851852</v>
      </c>
      <c r="B30128" s="8" t="str">
        <f>HYPERLINK("https://twitter.com/beatrice_health","@beatrice_health")</f>
        <v>@beatrice_health</v>
      </c>
      <c r="C30128" s="8" t="s">
        <v>11417</v>
      </c>
      <c r="D30128" s="8">
        <v>1</v>
      </c>
      <c r="E30128" s="8">
        <v>0</v>
      </c>
      <c r="F30128" s="8">
        <v>450</v>
      </c>
    </row>
    <row r="30129" spans="1:6" ht="12.75">
      <c r="A30129" s="8">
        <v>43890.997233796297</v>
      </c>
      <c r="B30129" s="8" t="str">
        <f>HYPERLINK("https://twitter.com/feancessa","@feancessa")</f>
        <v>@feancessa</v>
      </c>
      <c r="C30129" s="8" t="s">
        <v>11418</v>
      </c>
      <c r="D30129" s="8">
        <v>1</v>
      </c>
      <c r="E30129" s="8">
        <v>0</v>
      </c>
      <c r="F30129" s="8">
        <v>38</v>
      </c>
    </row>
    <row r="30130" spans="1:6" ht="12.75">
      <c r="A30130" s="8">
        <v>43890.997152777782</v>
      </c>
      <c r="B30130" s="8" t="str">
        <f>HYPERLINK("https://twitter.com/kopitoba","@kopitoba")</f>
        <v>@kopitoba</v>
      </c>
      <c r="C30130" s="8" t="s">
        <v>11273</v>
      </c>
      <c r="D30130" s="8">
        <v>29</v>
      </c>
      <c r="E30130" s="8">
        <v>0</v>
      </c>
      <c r="F30130" s="8">
        <v>317</v>
      </c>
    </row>
    <row r="30131" spans="1:6" ht="12.75">
      <c r="A30131" s="8">
        <v>43890.997118055559</v>
      </c>
      <c r="B30131" s="8" t="str">
        <f>HYPERLINK("https://twitter.com/_wni_","@_wni_")</f>
        <v>@_wni_</v>
      </c>
      <c r="C30131" s="8" t="s">
        <v>11419</v>
      </c>
      <c r="D30131" s="8">
        <v>1410</v>
      </c>
      <c r="E30131" s="8">
        <v>0</v>
      </c>
      <c r="F30131" s="8">
        <v>12</v>
      </c>
    </row>
    <row r="30132" spans="1:6" ht="12.75">
      <c r="A30132" s="8">
        <v>43890.996747685189</v>
      </c>
      <c r="B30132" s="8" t="str">
        <f>HYPERLINK("https://twitter.com/pujangga1123","@pujangga1123")</f>
        <v>@pujangga1123</v>
      </c>
      <c r="C30132" s="8" t="s">
        <v>11420</v>
      </c>
      <c r="D30132" s="8">
        <v>41</v>
      </c>
      <c r="E30132" s="8">
        <v>0</v>
      </c>
      <c r="F30132" s="8">
        <v>13133</v>
      </c>
    </row>
    <row r="30133" spans="1:6" ht="12.75">
      <c r="A30133" s="8">
        <v>43890.996736111112</v>
      </c>
      <c r="B30133" s="8" t="str">
        <f>HYPERLINK("https://twitter.com/hansipwarga","@hansipwarga")</f>
        <v>@hansipwarga</v>
      </c>
      <c r="C30133" s="8" t="s">
        <v>10743</v>
      </c>
      <c r="D30133" s="8">
        <v>172</v>
      </c>
      <c r="E30133" s="8">
        <v>0</v>
      </c>
      <c r="F30133" s="8">
        <v>154</v>
      </c>
    </row>
    <row r="30134" spans="1:6" ht="12.75">
      <c r="A30134" s="8">
        <v>43890.996701388889</v>
      </c>
      <c r="B30134" s="8" t="str">
        <f>HYPERLINK("https://twitter.com/harihariono1","@harihariono1")</f>
        <v>@harihariono1</v>
      </c>
      <c r="C30134" s="8" t="s">
        <v>8190</v>
      </c>
      <c r="D30134" s="8">
        <v>251</v>
      </c>
      <c r="E30134" s="8">
        <v>0</v>
      </c>
      <c r="F30134" s="8">
        <v>9467</v>
      </c>
    </row>
    <row r="30135" spans="1:6" ht="12.75">
      <c r="A30135" s="8">
        <v>43890.996655092589</v>
      </c>
      <c r="B30135" s="8" t="str">
        <f>HYPERLINK("https://twitter.com/gowestmor","@gowestmor")</f>
        <v>@gowestmor</v>
      </c>
      <c r="C30135" s="8" t="s">
        <v>11151</v>
      </c>
      <c r="D30135" s="8">
        <v>11</v>
      </c>
      <c r="E30135" s="8">
        <v>0</v>
      </c>
      <c r="F30135" s="8">
        <v>1584</v>
      </c>
    </row>
    <row r="30136" spans="1:6" ht="12.75">
      <c r="A30136" s="8">
        <v>43890.99664351852</v>
      </c>
      <c r="B30136" s="8" t="str">
        <f>HYPERLINK("https://twitter.com/cemaragunung","@cemaragunung")</f>
        <v>@cemaragunung</v>
      </c>
      <c r="C30136" s="8" t="s">
        <v>10591</v>
      </c>
      <c r="D30136" s="8">
        <v>14</v>
      </c>
      <c r="E30136" s="8">
        <v>0</v>
      </c>
      <c r="F30136" s="8">
        <v>1658</v>
      </c>
    </row>
    <row r="30137" spans="1:6" ht="12.75">
      <c r="A30137" s="8">
        <v>43890.996354166666</v>
      </c>
      <c r="B30137" s="8" t="str">
        <f>HYPERLINK("https://twitter.com/dewo0789","@dewo0789")</f>
        <v>@dewo0789</v>
      </c>
      <c r="C30137" s="8" t="s">
        <v>7437</v>
      </c>
      <c r="D30137" s="8">
        <v>309</v>
      </c>
      <c r="E30137" s="8">
        <v>0</v>
      </c>
      <c r="F30137" s="8">
        <v>138</v>
      </c>
    </row>
    <row r="30138" spans="1:6" ht="12.75">
      <c r="A30138" s="8">
        <v>43890.996215277773</v>
      </c>
      <c r="B30138" s="8" t="str">
        <f>HYPERLINK("https://twitter.com/jennyfebe","@jennyfebe")</f>
        <v>@jennyfebe</v>
      </c>
      <c r="C30138" s="8" t="s">
        <v>11075</v>
      </c>
      <c r="D30138" s="8">
        <v>79</v>
      </c>
      <c r="E30138" s="8">
        <v>0</v>
      </c>
      <c r="F30138" s="8">
        <v>463</v>
      </c>
    </row>
    <row r="30139" spans="1:6" ht="12.75">
      <c r="A30139" s="8">
        <v>43890.995937500003</v>
      </c>
      <c r="B30139" s="8" t="str">
        <f>HYPERLINK("https://twitter.com/AmisGado","@AmisGado")</f>
        <v>@AmisGado</v>
      </c>
      <c r="C30139" s="8" t="s">
        <v>6836</v>
      </c>
      <c r="D30139" s="8">
        <v>523</v>
      </c>
      <c r="E30139" s="8">
        <v>0</v>
      </c>
      <c r="F30139" s="8">
        <v>39</v>
      </c>
    </row>
    <row r="30140" spans="1:6" ht="12.75">
      <c r="A30140" s="8">
        <v>43890.995833333334</v>
      </c>
      <c r="B30140" s="8" t="str">
        <f>HYPERLINK("https://twitter.com/77bayoe","@77bayoe")</f>
        <v>@77bayoe</v>
      </c>
      <c r="C30140" s="8" t="s">
        <v>7686</v>
      </c>
      <c r="D30140" s="8">
        <v>803</v>
      </c>
      <c r="E30140" s="8">
        <v>0</v>
      </c>
      <c r="F30140" s="8">
        <v>2185</v>
      </c>
    </row>
    <row r="30141" spans="1:6" ht="12.75">
      <c r="A30141" s="8">
        <v>43890.995740740742</v>
      </c>
      <c r="B30141" s="8" t="str">
        <f>HYPERLINK("https://twitter.com/bandar_pasir","@bandar_pasir")</f>
        <v>@bandar_pasir</v>
      </c>
      <c r="C30141" s="8" t="s">
        <v>10939</v>
      </c>
      <c r="D30141" s="8">
        <v>176</v>
      </c>
      <c r="E30141" s="8">
        <v>0</v>
      </c>
      <c r="F30141" s="8">
        <v>232</v>
      </c>
    </row>
    <row r="30142" spans="1:6" ht="12.75">
      <c r="A30142" s="8">
        <v>43890.995659722219</v>
      </c>
      <c r="B30142" s="8" t="str">
        <f>HYPERLINK("https://twitter.com/Raditakia","@Raditakia")</f>
        <v>@Raditakia</v>
      </c>
      <c r="C30142" s="8" t="s">
        <v>11374</v>
      </c>
      <c r="D30142" s="8">
        <v>102</v>
      </c>
      <c r="E30142" s="8">
        <v>0</v>
      </c>
      <c r="F30142" s="8">
        <v>627</v>
      </c>
    </row>
    <row r="30143" spans="1:6" ht="12.75">
      <c r="A30143" s="8">
        <v>43890.995613425926</v>
      </c>
      <c r="B30143" s="8" t="str">
        <f>HYPERLINK("https://twitter.com/_wni_","@_wni_")</f>
        <v>@_wni_</v>
      </c>
      <c r="C30143" s="8" t="s">
        <v>11421</v>
      </c>
      <c r="D30143" s="8">
        <v>1923</v>
      </c>
      <c r="E30143" s="8">
        <v>0</v>
      </c>
      <c r="F30143" s="8">
        <v>12</v>
      </c>
    </row>
    <row r="30144" spans="1:6" ht="12.75">
      <c r="A30144" s="8">
        <v>43890.995520833334</v>
      </c>
      <c r="B30144" s="8" t="str">
        <f>HYPERLINK("https://twitter.com/cemaragunung","@cemaragunung")</f>
        <v>@cemaragunung</v>
      </c>
      <c r="C30144" s="8" t="s">
        <v>10600</v>
      </c>
      <c r="D30144" s="8">
        <v>147</v>
      </c>
      <c r="E30144" s="8">
        <v>0</v>
      </c>
      <c r="F30144" s="8">
        <v>1658</v>
      </c>
    </row>
    <row r="30145" spans="1:6" ht="12.75">
      <c r="A30145" s="8">
        <v>43890.995335648149</v>
      </c>
      <c r="B30145" s="8" t="str">
        <f>HYPERLINK("https://twitter.com/jyotirmay_jp","@jyotirmay_jp")</f>
        <v>@jyotirmay_jp</v>
      </c>
      <c r="C30145" s="8" t="s">
        <v>11422</v>
      </c>
      <c r="D30145" s="8">
        <v>0</v>
      </c>
      <c r="E30145" s="8">
        <v>0</v>
      </c>
      <c r="F30145" s="8">
        <v>91</v>
      </c>
    </row>
    <row r="30146" spans="1:6" ht="12.75">
      <c r="A30146" s="8">
        <v>43890.994710648149</v>
      </c>
      <c r="B30146" s="8" t="str">
        <f>HYPERLINK("https://twitter.com/_wni_","@_wni_")</f>
        <v>@_wni_</v>
      </c>
      <c r="C30146" s="8" t="s">
        <v>11423</v>
      </c>
      <c r="D30146" s="8">
        <v>6733</v>
      </c>
      <c r="E30146" s="8">
        <v>0</v>
      </c>
      <c r="F30146" s="8">
        <v>12</v>
      </c>
    </row>
    <row r="30147" spans="1:6" ht="12.75">
      <c r="A30147" s="8">
        <v>43890.994305555556</v>
      </c>
      <c r="B30147" s="8" t="str">
        <f>HYPERLINK("https://twitter.com/Budihar21525608","@Budihar21525608")</f>
        <v>@Budihar21525608</v>
      </c>
      <c r="C30147" s="8" t="s">
        <v>7437</v>
      </c>
      <c r="D30147" s="8">
        <v>309</v>
      </c>
      <c r="E30147" s="8">
        <v>0</v>
      </c>
      <c r="F30147" s="8">
        <v>6221</v>
      </c>
    </row>
    <row r="30148" spans="1:6" ht="12.75">
      <c r="A30148" s="8">
        <v>43890.994039351848</v>
      </c>
      <c r="B30148" s="8" t="str">
        <f>HYPERLINK("https://twitter.com/_wni_","@_wni_")</f>
        <v>@_wni_</v>
      </c>
      <c r="C30148" s="8" t="s">
        <v>11424</v>
      </c>
      <c r="D30148" s="8">
        <v>6288</v>
      </c>
      <c r="E30148" s="8">
        <v>0</v>
      </c>
      <c r="F30148" s="8">
        <v>12</v>
      </c>
    </row>
    <row r="30149" spans="1:6" ht="12.75">
      <c r="A30149" s="8">
        <v>43890.993784722217</v>
      </c>
      <c r="B30149" s="8" t="str">
        <f>HYPERLINK("https://twitter.com/motherofstar1","@motherofstar1")</f>
        <v>@motherofstar1</v>
      </c>
      <c r="C30149" s="8" t="s">
        <v>11425</v>
      </c>
      <c r="D30149" s="8">
        <v>13</v>
      </c>
      <c r="E30149" s="8">
        <v>0</v>
      </c>
      <c r="F30149" s="8">
        <v>1058</v>
      </c>
    </row>
    <row r="30150" spans="1:6" ht="12.75">
      <c r="A30150" s="8">
        <v>43890.993784722217</v>
      </c>
      <c r="B30150" s="8" t="str">
        <f>HYPERLINK("https://twitter.com/KasandraCintaMu","@KasandraCintaMu")</f>
        <v>@KasandraCintaMu</v>
      </c>
      <c r="C30150" s="8" t="s">
        <v>6836</v>
      </c>
      <c r="D30150" s="8">
        <v>523</v>
      </c>
      <c r="E30150" s="8">
        <v>0</v>
      </c>
      <c r="F30150" s="8">
        <v>170</v>
      </c>
    </row>
    <row r="30151" spans="1:6" ht="12.75">
      <c r="A30151" s="8">
        <v>43890.993530092594</v>
      </c>
      <c r="B30151" s="8" t="str">
        <f>HYPERLINK("https://twitter.com/DcEliana","@DcEliana")</f>
        <v>@DcEliana</v>
      </c>
      <c r="C30151" s="8" t="s">
        <v>11109</v>
      </c>
      <c r="D30151" s="8">
        <v>54</v>
      </c>
      <c r="E30151" s="8">
        <v>0</v>
      </c>
      <c r="F30151" s="8">
        <v>154</v>
      </c>
    </row>
    <row r="30152" spans="1:6" ht="12.75">
      <c r="A30152" s="8">
        <v>43890.993252314816</v>
      </c>
      <c r="B30152" s="8" t="str">
        <f>HYPERLINK("https://twitter.com/imraneffendi","@imraneffendi")</f>
        <v>@imraneffendi</v>
      </c>
      <c r="C30152" s="8" t="s">
        <v>11426</v>
      </c>
      <c r="D30152" s="8">
        <v>55</v>
      </c>
      <c r="E30152" s="8">
        <v>0</v>
      </c>
      <c r="F30152" s="8">
        <v>244</v>
      </c>
    </row>
    <row r="30153" spans="1:6" ht="12.75">
      <c r="A30153" s="8">
        <v>43890.993252314816</v>
      </c>
      <c r="B30153" s="8" t="str">
        <f>HYPERLINK("https://twitter.com/Ayuniken93","@Ayuniken93")</f>
        <v>@Ayuniken93</v>
      </c>
      <c r="C30153" s="8" t="s">
        <v>7437</v>
      </c>
      <c r="D30153" s="8">
        <v>309</v>
      </c>
      <c r="E30153" s="8">
        <v>0</v>
      </c>
      <c r="F30153" s="8">
        <v>1899</v>
      </c>
    </row>
    <row r="30154" spans="1:6" ht="12.75">
      <c r="A30154" s="8">
        <v>43890.993136574078</v>
      </c>
      <c r="B30154" s="8" t="str">
        <f>HYPERLINK("https://twitter.com/GunsGunaran","@GunsGunaran")</f>
        <v>@GunsGunaran</v>
      </c>
      <c r="C30154" s="8" t="s">
        <v>8190</v>
      </c>
      <c r="D30154" s="8">
        <v>251</v>
      </c>
      <c r="E30154" s="8">
        <v>0</v>
      </c>
      <c r="F30154" s="8">
        <v>4492</v>
      </c>
    </row>
    <row r="30155" spans="1:6" ht="12.75">
      <c r="A30155" s="8">
        <v>43890.993090277778</v>
      </c>
      <c r="B30155" s="8" t="str">
        <f>HYPERLINK("https://twitter.com/Yadi33653534","@Yadi33653534")</f>
        <v>@Yadi33653534</v>
      </c>
      <c r="C30155" s="8" t="s">
        <v>11427</v>
      </c>
      <c r="D30155" s="8">
        <v>1</v>
      </c>
      <c r="E30155" s="8">
        <v>0</v>
      </c>
      <c r="F30155" s="8">
        <v>565</v>
      </c>
    </row>
    <row r="30156" spans="1:6" ht="12.75">
      <c r="A30156" s="8">
        <v>43890.99255787037</v>
      </c>
      <c r="B30156" s="8" t="str">
        <f>HYPERLINK("https://twitter.com/MahinFatavit","@MahinFatavit")</f>
        <v>@MahinFatavit</v>
      </c>
      <c r="C30156" s="8" t="s">
        <v>10600</v>
      </c>
      <c r="D30156" s="8">
        <v>147</v>
      </c>
      <c r="E30156" s="8">
        <v>0</v>
      </c>
      <c r="F30156" s="8">
        <v>6015</v>
      </c>
    </row>
    <row r="30157" spans="1:6" ht="12.75">
      <c r="A30157" s="8">
        <v>43890.992465277777</v>
      </c>
      <c r="B30157" s="8" t="str">
        <f>HYPERLINK("https://twitter.com/bangtoyib002","@bangtoyib002")</f>
        <v>@bangtoyib002</v>
      </c>
      <c r="C30157" s="8" t="s">
        <v>6836</v>
      </c>
      <c r="D30157" s="8">
        <v>523</v>
      </c>
      <c r="E30157" s="8">
        <v>0</v>
      </c>
      <c r="F30157" s="8">
        <v>832</v>
      </c>
    </row>
    <row r="30158" spans="1:6" ht="12.75">
      <c r="A30158" s="8">
        <v>43890.992013888885</v>
      </c>
      <c r="B30158" s="8" t="str">
        <f>HYPERLINK("https://twitter.com/IwanTakeda","@IwanTakeda")</f>
        <v>@IwanTakeda</v>
      </c>
      <c r="C30158" s="8" t="s">
        <v>10600</v>
      </c>
      <c r="D30158" s="8">
        <v>147</v>
      </c>
      <c r="E30158" s="8">
        <v>0</v>
      </c>
      <c r="F30158" s="8">
        <v>169</v>
      </c>
    </row>
    <row r="30159" spans="1:6" ht="12.75">
      <c r="A30159" s="8">
        <v>43890.9919212963</v>
      </c>
      <c r="B30159" s="8" t="str">
        <f>HYPERLINK("https://twitter.com/AhmadDrajat12","@AhmadDrajat12")</f>
        <v>@AhmadDrajat12</v>
      </c>
      <c r="C30159" s="8" t="s">
        <v>11428</v>
      </c>
      <c r="D30159" s="8">
        <v>0</v>
      </c>
      <c r="E30159" s="8">
        <v>0</v>
      </c>
      <c r="F30159" s="8">
        <v>84</v>
      </c>
    </row>
    <row r="30160" spans="1:6" ht="12.75">
      <c r="A30160" s="8">
        <v>43890.991886574076</v>
      </c>
      <c r="B30160" s="8" t="str">
        <f>HYPERLINK("https://twitter.com/dami_octo","@dami_octo")</f>
        <v>@dami_octo</v>
      </c>
      <c r="C30160" s="8" t="s">
        <v>11429</v>
      </c>
      <c r="D30160" s="8">
        <v>0</v>
      </c>
      <c r="E30160" s="8">
        <v>0</v>
      </c>
      <c r="F30160" s="8">
        <v>830</v>
      </c>
    </row>
    <row r="30161" spans="1:6" ht="12.75">
      <c r="A30161" s="8">
        <v>43890.991793981477</v>
      </c>
      <c r="B30161" s="8" t="str">
        <f>HYPERLINK("https://twitter.com/erohgayooo","@erohgayooo")</f>
        <v>@erohgayooo</v>
      </c>
      <c r="C30161" s="8" t="s">
        <v>2272</v>
      </c>
      <c r="D30161" s="8">
        <v>84</v>
      </c>
      <c r="E30161" s="8">
        <v>0</v>
      </c>
      <c r="F30161" s="8">
        <v>225</v>
      </c>
    </row>
    <row r="30162" spans="1:6" ht="12.75">
      <c r="A30162" s="8">
        <v>43890.991712962961</v>
      </c>
      <c r="B30162" s="8" t="str">
        <f>HYPERLINK("https://twitter.com/hp_astoro","@hp_astoro")</f>
        <v>@hp_astoro</v>
      </c>
      <c r="C30162" s="8" t="s">
        <v>11430</v>
      </c>
      <c r="D30162" s="8">
        <v>10</v>
      </c>
      <c r="E30162" s="8">
        <v>0</v>
      </c>
      <c r="F30162" s="8">
        <v>642</v>
      </c>
    </row>
    <row r="30163" spans="1:6" ht="12.75">
      <c r="A30163" s="8">
        <v>43890.991701388892</v>
      </c>
      <c r="B30163" s="8" t="str">
        <f>HYPERLINK("https://twitter.com/_wni_","@_wni_")</f>
        <v>@_wni_</v>
      </c>
      <c r="C30163" s="8" t="s">
        <v>11431</v>
      </c>
      <c r="D30163" s="8">
        <v>7483</v>
      </c>
      <c r="E30163" s="8">
        <v>0</v>
      </c>
      <c r="F30163" s="8">
        <v>12</v>
      </c>
    </row>
    <row r="30164" spans="1:6" ht="12.75">
      <c r="A30164" s="8">
        <v>43890.991469907407</v>
      </c>
      <c r="B30164" s="8" t="str">
        <f>HYPERLINK("https://twitter.com/BwoJko","@BwoJko")</f>
        <v>@BwoJko</v>
      </c>
      <c r="C30164" s="8" t="s">
        <v>6883</v>
      </c>
      <c r="D30164" s="8">
        <v>39</v>
      </c>
      <c r="E30164" s="8">
        <v>0</v>
      </c>
      <c r="F30164" s="8">
        <v>919</v>
      </c>
    </row>
    <row r="30165" spans="1:6" ht="12.75">
      <c r="A30165" s="8">
        <v>43890.991296296299</v>
      </c>
      <c r="B30165" s="8" t="str">
        <f>HYPERLINK("https://twitter.com/Chilibauer","@Chilibauer")</f>
        <v>@Chilibauer</v>
      </c>
      <c r="C30165" s="8" t="s">
        <v>11432</v>
      </c>
      <c r="D30165" s="8">
        <v>0</v>
      </c>
      <c r="E30165" s="8">
        <v>0</v>
      </c>
      <c r="F30165" s="8">
        <v>12</v>
      </c>
    </row>
    <row r="30166" spans="1:6" ht="12.75">
      <c r="A30166" s="8">
        <v>43890.991215277776</v>
      </c>
      <c r="B30166" s="8" t="str">
        <f>HYPERLINK("https://twitter.com/bowram","@bowram")</f>
        <v>@bowram</v>
      </c>
      <c r="C30166" s="8" t="s">
        <v>11433</v>
      </c>
      <c r="D30166" s="8">
        <v>0</v>
      </c>
      <c r="E30166" s="8">
        <v>0</v>
      </c>
      <c r="F30166" s="8">
        <v>11359</v>
      </c>
    </row>
    <row r="30167" spans="1:6" ht="12.75">
      <c r="A30167" s="8">
        <v>43890.991041666668</v>
      </c>
      <c r="B30167" s="8" t="str">
        <f>HYPERLINK("https://twitter.com/auraamaliia","@auraamaliia")</f>
        <v>@auraamaliia</v>
      </c>
      <c r="C30167" s="8" t="s">
        <v>10485</v>
      </c>
      <c r="D30167" s="8">
        <v>5</v>
      </c>
      <c r="E30167" s="8">
        <v>0</v>
      </c>
      <c r="F30167" s="8">
        <v>234</v>
      </c>
    </row>
    <row r="30168" spans="1:6" ht="12.75">
      <c r="A30168" s="8">
        <v>43890.990868055553</v>
      </c>
      <c r="B30168" s="8" t="str">
        <f>HYPERLINK("https://twitter.com/pradaivon","@pradaivon")</f>
        <v>@pradaivon</v>
      </c>
      <c r="C30168" s="8" t="s">
        <v>2272</v>
      </c>
      <c r="D30168" s="8">
        <v>84</v>
      </c>
      <c r="E30168" s="8">
        <v>0</v>
      </c>
      <c r="F30168" s="8">
        <v>1680</v>
      </c>
    </row>
    <row r="30169" spans="1:6" ht="12.75">
      <c r="A30169" s="8">
        <v>43890.99082175926</v>
      </c>
      <c r="B30169" s="8" t="str">
        <f>HYPERLINK("https://twitter.com/dyanvoughn","@dyanvoughn")</f>
        <v>@dyanvoughn</v>
      </c>
      <c r="C30169" s="8" t="s">
        <v>7686</v>
      </c>
      <c r="D30169" s="8">
        <v>803</v>
      </c>
      <c r="E30169" s="8">
        <v>0</v>
      </c>
      <c r="F30169" s="8">
        <v>693</v>
      </c>
    </row>
    <row r="30170" spans="1:6" ht="12.75">
      <c r="A30170" s="8">
        <v>43890.990682870368</v>
      </c>
      <c r="B30170" s="8" t="str">
        <f>HYPERLINK("https://twitter.com/Dakuti1","@Dakuti1")</f>
        <v>@Dakuti1</v>
      </c>
      <c r="C30170" s="8" t="s">
        <v>7437</v>
      </c>
      <c r="D30170" s="8">
        <v>309</v>
      </c>
      <c r="E30170" s="8">
        <v>0</v>
      </c>
      <c r="F30170" s="8">
        <v>14</v>
      </c>
    </row>
    <row r="30171" spans="1:6" ht="12.75">
      <c r="A30171" s="8">
        <v>43890.990532407406</v>
      </c>
      <c r="B30171" s="8" t="str">
        <f>HYPERLINK("https://twitter.com/TurnBackWahabi","@TurnBackWahabi")</f>
        <v>@TurnBackWahabi</v>
      </c>
      <c r="C30171" s="8" t="s">
        <v>10986</v>
      </c>
      <c r="D30171" s="8">
        <v>16</v>
      </c>
      <c r="E30171" s="8">
        <v>0</v>
      </c>
      <c r="F30171" s="8">
        <v>389</v>
      </c>
    </row>
    <row r="30172" spans="1:6" ht="12.75">
      <c r="A30172" s="8">
        <v>43890.990370370375</v>
      </c>
      <c r="B30172" s="8" t="str">
        <f>HYPERLINK("https://twitter.com/ariklbr","@ariklbr")</f>
        <v>@ariklbr</v>
      </c>
      <c r="C30172" s="8" t="s">
        <v>10939</v>
      </c>
      <c r="D30172" s="8">
        <v>176</v>
      </c>
      <c r="E30172" s="8">
        <v>0</v>
      </c>
      <c r="F30172" s="8">
        <v>176</v>
      </c>
    </row>
    <row r="30173" spans="1:6" ht="12.75">
      <c r="A30173" s="8">
        <v>43890.990335648152</v>
      </c>
      <c r="B30173" s="8" t="str">
        <f>HYPERLINK("https://twitter.com/taharuddin_id","@taharuddin_id")</f>
        <v>@taharuddin_id</v>
      </c>
      <c r="C30173" s="8" t="s">
        <v>11434</v>
      </c>
      <c r="D30173" s="8">
        <v>1</v>
      </c>
      <c r="E30173" s="8">
        <v>1</v>
      </c>
      <c r="F30173" s="8">
        <v>2514</v>
      </c>
    </row>
    <row r="30174" spans="1:6" ht="12.75">
      <c r="A30174" s="8">
        <v>43890.990127314813</v>
      </c>
      <c r="B30174" s="8" t="str">
        <f>HYPERLINK("https://twitter.com/dubie_tina","@dubie_tina")</f>
        <v>@dubie_tina</v>
      </c>
      <c r="C30174" s="8" t="s">
        <v>11332</v>
      </c>
      <c r="D30174" s="8">
        <v>46</v>
      </c>
      <c r="E30174" s="8">
        <v>0</v>
      </c>
      <c r="F30174" s="8">
        <v>1064</v>
      </c>
    </row>
    <row r="30175" spans="1:6" ht="12.75">
      <c r="A30175" s="8">
        <v>43890.990115740744</v>
      </c>
      <c r="B30175" s="8" t="str">
        <f>HYPERLINK("https://twitter.com/gambarjagad1926","@gambarjagad1926")</f>
        <v>@gambarjagad1926</v>
      </c>
      <c r="C30175" s="8" t="s">
        <v>10600</v>
      </c>
      <c r="D30175" s="8">
        <v>147</v>
      </c>
      <c r="E30175" s="8">
        <v>0</v>
      </c>
      <c r="F30175" s="8">
        <v>341</v>
      </c>
    </row>
    <row r="30176" spans="1:6" ht="12.75">
      <c r="A30176" s="8">
        <v>43890.989710648151</v>
      </c>
      <c r="B30176" s="8" t="str">
        <f>HYPERLINK("https://twitter.com/galaksiyghilang","@galaksiyghilang")</f>
        <v>@galaksiyghilang</v>
      </c>
      <c r="C30176" s="8" t="s">
        <v>11435</v>
      </c>
      <c r="D30176" s="8">
        <v>0</v>
      </c>
      <c r="E30176" s="8">
        <v>0</v>
      </c>
      <c r="F30176" s="8">
        <v>414</v>
      </c>
    </row>
    <row r="30177" spans="1:6" ht="12.75">
      <c r="A30177" s="8">
        <v>43890.989594907413</v>
      </c>
      <c r="B30177" s="8" t="str">
        <f>HYPERLINK("https://twitter.com/AlBanna57697952","@AlBanna57697952")</f>
        <v>@AlBanna57697952</v>
      </c>
      <c r="C30177" s="8" t="s">
        <v>6708</v>
      </c>
      <c r="D30177" s="8">
        <v>39</v>
      </c>
      <c r="E30177" s="8">
        <v>0</v>
      </c>
      <c r="F30177" s="8">
        <v>70</v>
      </c>
    </row>
    <row r="30178" spans="1:6" ht="12.75">
      <c r="A30178" s="8">
        <v>43890.989282407405</v>
      </c>
      <c r="B30178" s="8" t="str">
        <f>HYPERLINK("https://twitter.com/riopLuR","@riopLuR")</f>
        <v>@riopLuR</v>
      </c>
      <c r="C30178" s="8" t="s">
        <v>11436</v>
      </c>
      <c r="D30178" s="8">
        <v>2</v>
      </c>
      <c r="E30178" s="8">
        <v>0</v>
      </c>
      <c r="F30178" s="8">
        <v>606</v>
      </c>
    </row>
    <row r="30179" spans="1:6" ht="12.75">
      <c r="A30179" s="8">
        <v>43890.989247685182</v>
      </c>
      <c r="B30179" s="8" t="str">
        <f>HYPERLINK("https://twitter.com/AlBanna57697952","@AlBanna57697952")</f>
        <v>@AlBanna57697952</v>
      </c>
      <c r="C30179" s="8" t="s">
        <v>11280</v>
      </c>
      <c r="D30179" s="8">
        <v>28</v>
      </c>
      <c r="E30179" s="8">
        <v>0</v>
      </c>
      <c r="F30179" s="8">
        <v>70</v>
      </c>
    </row>
    <row r="30180" spans="1:6" ht="12.75">
      <c r="A30180" s="8">
        <v>43890.98918981482</v>
      </c>
      <c r="B30180" s="8" t="str">
        <f>HYPERLINK("https://twitter.com/doyokijay","@doyokijay")</f>
        <v>@doyokijay</v>
      </c>
      <c r="C30180" s="8" t="s">
        <v>11284</v>
      </c>
      <c r="D30180" s="8">
        <v>1</v>
      </c>
      <c r="E30180" s="8">
        <v>0</v>
      </c>
      <c r="F30180" s="8">
        <v>315</v>
      </c>
    </row>
    <row r="30181" spans="1:6" ht="12.75">
      <c r="A30181" s="8">
        <v>43890.989062499997</v>
      </c>
      <c r="B30181" s="8" t="str">
        <f>HYPERLINK("https://twitter.com/TurnBackWahabi","@TurnBackWahabi")</f>
        <v>@TurnBackWahabi</v>
      </c>
      <c r="C30181" s="8" t="s">
        <v>6708</v>
      </c>
      <c r="D30181" s="8">
        <v>39</v>
      </c>
      <c r="E30181" s="8">
        <v>0</v>
      </c>
      <c r="F30181" s="8">
        <v>389</v>
      </c>
    </row>
    <row r="30182" spans="1:6" ht="12.75">
      <c r="A30182" s="8">
        <v>43890.988877314812</v>
      </c>
      <c r="B30182" s="8" t="str">
        <f>HYPERLINK("https://twitter.com/doyokijay","@doyokijay")</f>
        <v>@doyokijay</v>
      </c>
      <c r="C30182" s="8" t="s">
        <v>11151</v>
      </c>
      <c r="D30182" s="8">
        <v>11</v>
      </c>
      <c r="E30182" s="8">
        <v>0</v>
      </c>
      <c r="F30182" s="8">
        <v>315</v>
      </c>
    </row>
    <row r="30183" spans="1:6" ht="12.75">
      <c r="A30183" s="8">
        <v>43890.988819444443</v>
      </c>
      <c r="B30183" s="8" t="str">
        <f>HYPERLINK("https://twitter.com/jhoni_hanzo","@jhoni_hanzo")</f>
        <v>@jhoni_hanzo</v>
      </c>
      <c r="C30183" s="8" t="s">
        <v>7437</v>
      </c>
      <c r="D30183" s="8">
        <v>309</v>
      </c>
      <c r="E30183" s="8">
        <v>0</v>
      </c>
      <c r="F30183" s="8">
        <v>315</v>
      </c>
    </row>
    <row r="30184" spans="1:6" ht="12.75">
      <c r="A30184" s="8">
        <v>43890.988692129627</v>
      </c>
      <c r="B30184" s="8" t="str">
        <f>HYPERLINK("https://twitter.com/liputan6dotcom","@liputan6dotcom")</f>
        <v>@liputan6dotcom</v>
      </c>
      <c r="C30184" s="8" t="s">
        <v>11437</v>
      </c>
      <c r="D30184" s="8">
        <v>2</v>
      </c>
      <c r="E30184" s="8">
        <v>4</v>
      </c>
      <c r="F30184" s="8">
        <v>3631745</v>
      </c>
    </row>
    <row r="30185" spans="1:6" ht="12.75">
      <c r="A30185" s="8">
        <v>43890.988611111112</v>
      </c>
      <c r="B30185" s="8" t="str">
        <f>HYPERLINK("https://twitter.com/burungpipit74","@burungpipit74")</f>
        <v>@burungpipit74</v>
      </c>
      <c r="C30185" s="8" t="s">
        <v>10600</v>
      </c>
      <c r="D30185" s="8">
        <v>147</v>
      </c>
      <c r="E30185" s="8">
        <v>0</v>
      </c>
      <c r="F30185" s="8">
        <v>3605</v>
      </c>
    </row>
    <row r="30186" spans="1:6" ht="12.75">
      <c r="A30186" s="8">
        <v>43890.965057870373</v>
      </c>
      <c r="B30186" s="8" t="str">
        <f>HYPERLINK("https://twitter.com/MoTeeTee","@MoTeeTee")</f>
        <v>@MoTeeTee</v>
      </c>
      <c r="C30186" s="8" t="s">
        <v>7686</v>
      </c>
      <c r="D30186" s="8">
        <v>771</v>
      </c>
      <c r="E30186" s="8">
        <v>0</v>
      </c>
      <c r="F30186" s="8">
        <v>755</v>
      </c>
    </row>
    <row r="30187" spans="1:6" ht="12.75">
      <c r="A30187" s="8">
        <v>43890.964942129634</v>
      </c>
      <c r="B30187" s="8" t="str">
        <f>HYPERLINK("https://twitter.com/kusumovina","@kusumovina")</f>
        <v>@kusumovina</v>
      </c>
      <c r="C30187" s="8" t="s">
        <v>10600</v>
      </c>
      <c r="D30187" s="8">
        <v>125</v>
      </c>
      <c r="E30187" s="8">
        <v>0</v>
      </c>
      <c r="F30187" s="8">
        <v>160</v>
      </c>
    </row>
    <row r="30188" spans="1:6" ht="12.75">
      <c r="A30188" s="8">
        <v>43890.96493055555</v>
      </c>
      <c r="B30188" s="8" t="str">
        <f>HYPERLINK("https://twitter.com/ardiansyahtea","@ardiansyahtea")</f>
        <v>@ardiansyahtea</v>
      </c>
      <c r="C30188" s="8" t="s">
        <v>7437</v>
      </c>
      <c r="D30188" s="8">
        <v>292</v>
      </c>
      <c r="E30188" s="8">
        <v>0</v>
      </c>
      <c r="F30188" s="8">
        <v>1448</v>
      </c>
    </row>
    <row r="30189" spans="1:6" ht="12.75">
      <c r="A30189" s="8">
        <v>43890.96493055555</v>
      </c>
      <c r="B30189" s="8" t="str">
        <f>HYPERLINK("https://twitter.com/MoTeeTee","@MoTeeTee")</f>
        <v>@MoTeeTee</v>
      </c>
      <c r="C30189" s="8" t="s">
        <v>11280</v>
      </c>
      <c r="D30189" s="8">
        <v>26</v>
      </c>
      <c r="E30189" s="8">
        <v>0</v>
      </c>
      <c r="F30189" s="8">
        <v>755</v>
      </c>
    </row>
    <row r="30190" spans="1:6" ht="12.75">
      <c r="A30190" s="8">
        <v>43890.964918981481</v>
      </c>
      <c r="B30190" s="8" t="str">
        <f>HYPERLINK("https://twitter.com/calankt1","@calankt1")</f>
        <v>@calankt1</v>
      </c>
      <c r="C30190" s="8" t="s">
        <v>8190</v>
      </c>
      <c r="D30190" s="8">
        <v>245</v>
      </c>
      <c r="E30190" s="8">
        <v>0</v>
      </c>
      <c r="F30190" s="8">
        <v>1833</v>
      </c>
    </row>
    <row r="30191" spans="1:6" ht="12.75">
      <c r="A30191" s="8">
        <v>43890.964456018519</v>
      </c>
      <c r="B30191" s="8" t="str">
        <f>HYPERLINK("https://twitter.com/manoj_moun","@manoj_moun")</f>
        <v>@manoj_moun</v>
      </c>
      <c r="C30191" s="8" t="s">
        <v>11438</v>
      </c>
      <c r="D30191" s="8">
        <v>0</v>
      </c>
      <c r="E30191" s="8">
        <v>0</v>
      </c>
      <c r="F30191" s="8">
        <v>23</v>
      </c>
    </row>
    <row r="30192" spans="1:6" ht="12.75">
      <c r="A30192" s="8">
        <v>43890.964351851857</v>
      </c>
      <c r="B30192" s="8" t="str">
        <f>HYPERLINK("https://twitter.com/dausinne","@dausinne")</f>
        <v>@dausinne</v>
      </c>
      <c r="C30192" s="8" t="s">
        <v>11439</v>
      </c>
      <c r="D30192" s="8">
        <v>0</v>
      </c>
      <c r="E30192" s="8">
        <v>0</v>
      </c>
      <c r="F30192" s="8">
        <v>613</v>
      </c>
    </row>
    <row r="30193" spans="1:6" ht="12.75">
      <c r="A30193" s="8">
        <v>43890.964305555557</v>
      </c>
      <c r="B30193" s="8" t="str">
        <f>HYPERLINK("https://twitter.com/AndreSaymore","@AndreSaymore")</f>
        <v>@AndreSaymore</v>
      </c>
      <c r="C30193" s="8" t="s">
        <v>11440</v>
      </c>
      <c r="D30193" s="8">
        <v>0</v>
      </c>
      <c r="E30193" s="8">
        <v>0</v>
      </c>
      <c r="F30193" s="8">
        <v>44</v>
      </c>
    </row>
    <row r="30194" spans="1:6" ht="12.75">
      <c r="A30194" s="8">
        <v>43890.964166666672</v>
      </c>
      <c r="B30194" s="8" t="str">
        <f>HYPERLINK("https://twitter.com/Hian76061213","@Hian76061213")</f>
        <v>@Hian76061213</v>
      </c>
      <c r="C30194" s="8" t="s">
        <v>11075</v>
      </c>
      <c r="D30194" s="8">
        <v>77</v>
      </c>
      <c r="E30194" s="8">
        <v>0</v>
      </c>
      <c r="F30194" s="8">
        <v>115</v>
      </c>
    </row>
    <row r="30195" spans="1:6" ht="12.75">
      <c r="A30195" s="8">
        <v>43890.964143518519</v>
      </c>
      <c r="B30195" s="8" t="str">
        <f>HYPERLINK("https://twitter.com/farckland","@farckland")</f>
        <v>@farckland</v>
      </c>
      <c r="C30195" s="8" t="s">
        <v>4235</v>
      </c>
      <c r="D30195" s="8">
        <v>1551</v>
      </c>
      <c r="E30195" s="8">
        <v>0</v>
      </c>
      <c r="F30195" s="8">
        <v>874</v>
      </c>
    </row>
    <row r="30196" spans="1:6" ht="12.75">
      <c r="A30196" s="8">
        <v>43890.964120370365</v>
      </c>
      <c r="B30196" s="8" t="str">
        <f>HYPERLINK("https://twitter.com/ChodetBang","@ChodetBang")</f>
        <v>@ChodetBang</v>
      </c>
      <c r="C30196" s="8" t="s">
        <v>6836</v>
      </c>
      <c r="D30196" s="8">
        <v>513</v>
      </c>
      <c r="E30196" s="8">
        <v>0</v>
      </c>
      <c r="F30196" s="8">
        <v>51</v>
      </c>
    </row>
    <row r="30197" spans="1:6" ht="12.75">
      <c r="A30197" s="8">
        <v>43890.964039351849</v>
      </c>
      <c r="B30197" s="8" t="str">
        <f>HYPERLINK("https://twitter.com/Jeff_Zain","@Jeff_Zain")</f>
        <v>@Jeff_Zain</v>
      </c>
      <c r="C30197" s="8" t="s">
        <v>10939</v>
      </c>
      <c r="D30197" s="8">
        <v>167</v>
      </c>
      <c r="E30197" s="8">
        <v>0</v>
      </c>
      <c r="F30197" s="8">
        <v>90</v>
      </c>
    </row>
    <row r="30198" spans="1:6" ht="12.75">
      <c r="A30198" s="8">
        <v>43890.964004629626</v>
      </c>
      <c r="B30198" s="8" t="str">
        <f>HYPERLINK("https://twitter.com/Khaidiranugrah","@Khaidiranugrah")</f>
        <v>@Khaidiranugrah</v>
      </c>
      <c r="C30198" s="8" t="s">
        <v>11441</v>
      </c>
      <c r="D30198" s="8">
        <v>0</v>
      </c>
      <c r="E30198" s="8">
        <v>0</v>
      </c>
      <c r="F30198" s="8">
        <v>79</v>
      </c>
    </row>
    <row r="30199" spans="1:6" ht="12.75">
      <c r="A30199" s="8">
        <v>43890.963773148149</v>
      </c>
      <c r="B30199" s="8" t="str">
        <f>HYPERLINK("https://twitter.com/azhar_can","@azhar_can")</f>
        <v>@azhar_can</v>
      </c>
      <c r="C30199" s="8" t="s">
        <v>11442</v>
      </c>
      <c r="D30199" s="8">
        <v>0</v>
      </c>
      <c r="E30199" s="8">
        <v>0</v>
      </c>
      <c r="F30199" s="8">
        <v>56</v>
      </c>
    </row>
    <row r="30200" spans="1:6" ht="12.75">
      <c r="A30200" s="8">
        <v>43890.963576388887</v>
      </c>
      <c r="B30200" s="8" t="str">
        <f>HYPERLINK("https://twitter.com/SalmaBrecht","@SalmaBrecht")</f>
        <v>@SalmaBrecht</v>
      </c>
      <c r="C30200" s="8" t="s">
        <v>8190</v>
      </c>
      <c r="D30200" s="8">
        <v>245</v>
      </c>
      <c r="E30200" s="8">
        <v>0</v>
      </c>
      <c r="F30200" s="8">
        <v>13716</v>
      </c>
    </row>
    <row r="30201" spans="1:6" ht="12.75">
      <c r="A30201" s="8">
        <v>43890.963379629626</v>
      </c>
      <c r="B30201" s="8" t="str">
        <f>HYPERLINK("https://twitter.com/kmheartly","@kmheartly")</f>
        <v>@kmheartly</v>
      </c>
      <c r="C30201" s="8" t="s">
        <v>11443</v>
      </c>
      <c r="D30201" s="8">
        <v>0</v>
      </c>
      <c r="E30201" s="8">
        <v>0</v>
      </c>
      <c r="F30201" s="8">
        <v>267</v>
      </c>
    </row>
    <row r="30202" spans="1:6" ht="12.75">
      <c r="A30202" s="8">
        <v>43890.963287037041</v>
      </c>
      <c r="B30202" s="8" t="str">
        <f>HYPERLINK("https://twitter.com/JambiCintaDamai","@JambiCintaDamai")</f>
        <v>@JambiCintaDamai</v>
      </c>
      <c r="C30202" s="8" t="s">
        <v>11057</v>
      </c>
      <c r="D30202" s="8">
        <v>11</v>
      </c>
      <c r="E30202" s="8">
        <v>0</v>
      </c>
      <c r="F30202" s="8">
        <v>546</v>
      </c>
    </row>
    <row r="30203" spans="1:6" ht="12.75">
      <c r="A30203" s="8">
        <v>43890.963275462964</v>
      </c>
      <c r="B30203" s="8" t="str">
        <f>HYPERLINK("https://twitter.com/hadijoban1","@hadijoban1")</f>
        <v>@hadijoban1</v>
      </c>
      <c r="C30203" s="8" t="s">
        <v>11444</v>
      </c>
      <c r="D30203" s="8">
        <v>0</v>
      </c>
      <c r="E30203" s="8">
        <v>0</v>
      </c>
      <c r="F30203" s="8">
        <v>50</v>
      </c>
    </row>
    <row r="30204" spans="1:6" ht="12.75">
      <c r="A30204" s="8">
        <v>43890.963206018518</v>
      </c>
      <c r="B30204" s="8" t="str">
        <f>HYPERLINK("https://twitter.com/rongs_rong","@rongs_rong")</f>
        <v>@rongs_rong</v>
      </c>
      <c r="C30204" s="8" t="s">
        <v>7437</v>
      </c>
      <c r="D30204" s="8">
        <v>292</v>
      </c>
      <c r="E30204" s="8">
        <v>0</v>
      </c>
      <c r="F30204" s="8">
        <v>3238</v>
      </c>
    </row>
    <row r="30205" spans="1:6" ht="12.75">
      <c r="A30205" s="8">
        <v>43890.963206018518</v>
      </c>
      <c r="B30205" s="8" t="str">
        <f>HYPERLINK("https://twitter.com/victormadjid","@victormadjid")</f>
        <v>@victormadjid</v>
      </c>
      <c r="C30205" s="8" t="s">
        <v>11057</v>
      </c>
      <c r="D30205" s="8">
        <v>11</v>
      </c>
      <c r="E30205" s="8">
        <v>0</v>
      </c>
      <c r="F30205" s="8">
        <v>66</v>
      </c>
    </row>
    <row r="30206" spans="1:6" ht="12.75">
      <c r="A30206" s="8">
        <v>43890.963194444441</v>
      </c>
      <c r="B30206" s="8" t="str">
        <f t="shared" ref="B30206:B30207" si="422">HYPERLINK("https://twitter.com/RuSoet118","@RuSoet118")</f>
        <v>@RuSoet118</v>
      </c>
      <c r="C30206" s="8" t="s">
        <v>8190</v>
      </c>
      <c r="D30206" s="8">
        <v>245</v>
      </c>
      <c r="E30206" s="8">
        <v>0</v>
      </c>
      <c r="F30206" s="8">
        <v>67</v>
      </c>
    </row>
    <row r="30207" spans="1:6" ht="12.75">
      <c r="A30207" s="8">
        <v>43890.963055555556</v>
      </c>
      <c r="B30207" s="8" t="str">
        <f t="shared" si="422"/>
        <v>@RuSoet118</v>
      </c>
      <c r="C30207" s="8" t="s">
        <v>10600</v>
      </c>
      <c r="D30207" s="8">
        <v>125</v>
      </c>
      <c r="E30207" s="8">
        <v>0</v>
      </c>
      <c r="F30207" s="8">
        <v>67</v>
      </c>
    </row>
    <row r="30208" spans="1:6" ht="12.75">
      <c r="A30208" s="8">
        <v>43890.962719907402</v>
      </c>
      <c r="B30208" s="8" t="str">
        <f>HYPERLINK("https://twitter.com/kayu_bondol","@kayu_bondol")</f>
        <v>@kayu_bondol</v>
      </c>
      <c r="C30208" s="8" t="s">
        <v>11445</v>
      </c>
      <c r="D30208" s="8">
        <v>0</v>
      </c>
      <c r="E30208" s="8">
        <v>0</v>
      </c>
      <c r="F30208" s="8">
        <v>126</v>
      </c>
    </row>
    <row r="30209" spans="1:6" ht="12.75">
      <c r="A30209" s="8">
        <v>43890.962696759263</v>
      </c>
      <c r="B30209" s="8" t="str">
        <f>HYPERLINK("https://twitter.com/JuniperSiagian","@JuniperSiagian")</f>
        <v>@JuniperSiagian</v>
      </c>
      <c r="C30209" s="8" t="s">
        <v>10600</v>
      </c>
      <c r="D30209" s="8">
        <v>125</v>
      </c>
      <c r="E30209" s="8">
        <v>0</v>
      </c>
      <c r="F30209" s="8">
        <v>343</v>
      </c>
    </row>
    <row r="30210" spans="1:6" ht="12.75">
      <c r="A30210" s="8">
        <v>43890.96266203704</v>
      </c>
      <c r="B30210" s="8" t="str">
        <f>HYPERLINK("https://twitter.com/uIatbuIu","@uIatbuIu")</f>
        <v>@uIatbuIu</v>
      </c>
      <c r="C30210" s="8" t="s">
        <v>11446</v>
      </c>
      <c r="D30210" s="8">
        <v>0</v>
      </c>
      <c r="E30210" s="8">
        <v>0</v>
      </c>
      <c r="F30210" s="8">
        <v>31</v>
      </c>
    </row>
    <row r="30211" spans="1:6" ht="12.75">
      <c r="A30211" s="8">
        <v>43890.961967592593</v>
      </c>
      <c r="B30211" s="8" t="str">
        <f>HYPERLINK("https://twitter.com/SariKatherina","@SariKatherina")</f>
        <v>@SariKatherina</v>
      </c>
      <c r="C30211" s="8" t="s">
        <v>10971</v>
      </c>
      <c r="D30211" s="8">
        <v>16</v>
      </c>
      <c r="E30211" s="8">
        <v>0</v>
      </c>
      <c r="F30211" s="8">
        <v>55</v>
      </c>
    </row>
    <row r="30212" spans="1:6" ht="12.75">
      <c r="A30212" s="8">
        <v>43890.961759259255</v>
      </c>
      <c r="B30212" s="8" t="str">
        <f>HYPERLINK("https://twitter.com/eko_juandri","@eko_juandri")</f>
        <v>@eko_juandri</v>
      </c>
      <c r="C30212" s="8" t="s">
        <v>8746</v>
      </c>
      <c r="D30212" s="8">
        <v>356</v>
      </c>
      <c r="E30212" s="8">
        <v>0</v>
      </c>
      <c r="F30212" s="8">
        <v>1308</v>
      </c>
    </row>
    <row r="30213" spans="1:6" ht="12.75">
      <c r="A30213" s="8">
        <v>43890.961562500001</v>
      </c>
      <c r="B30213" s="8" t="str">
        <f>HYPERLINK("https://twitter.com/syamsulhadi_ae","@syamsulhadi_ae")</f>
        <v>@syamsulhadi_ae</v>
      </c>
      <c r="C30213" s="8" t="s">
        <v>7437</v>
      </c>
      <c r="D30213" s="8">
        <v>292</v>
      </c>
      <c r="E30213" s="8">
        <v>0</v>
      </c>
      <c r="F30213" s="8">
        <v>242</v>
      </c>
    </row>
    <row r="30214" spans="1:6" ht="12.75">
      <c r="A30214" s="8">
        <v>43890.961493055554</v>
      </c>
      <c r="B30214" s="8" t="str">
        <f>HYPERLINK("https://twitter.com/Yulianto_adhi","@Yulianto_adhi")</f>
        <v>@Yulianto_adhi</v>
      </c>
      <c r="C30214" s="8" t="s">
        <v>11447</v>
      </c>
      <c r="D30214" s="8">
        <v>0</v>
      </c>
      <c r="E30214" s="8">
        <v>0</v>
      </c>
      <c r="F30214" s="8">
        <v>343</v>
      </c>
    </row>
    <row r="30215" spans="1:6" ht="12.75">
      <c r="A30215" s="8">
        <v>43890.961388888885</v>
      </c>
      <c r="B30215" s="8" t="str">
        <f>HYPERLINK("https://twitter.com/syamsulhadi_ae","@syamsulhadi_ae")</f>
        <v>@syamsulhadi_ae</v>
      </c>
      <c r="C30215" s="8" t="s">
        <v>10971</v>
      </c>
      <c r="D30215" s="8">
        <v>16</v>
      </c>
      <c r="E30215" s="8">
        <v>0</v>
      </c>
      <c r="F30215" s="8">
        <v>242</v>
      </c>
    </row>
    <row r="30216" spans="1:6" ht="12.75">
      <c r="A30216" s="8">
        <v>43890.961377314816</v>
      </c>
      <c r="B30216" s="8" t="str">
        <f>HYPERLINK("https://twitter.com/Dakuti1","@Dakuti1")</f>
        <v>@Dakuti1</v>
      </c>
      <c r="C30216" s="8" t="s">
        <v>10811</v>
      </c>
      <c r="D30216" s="8">
        <v>239</v>
      </c>
      <c r="E30216" s="8">
        <v>0</v>
      </c>
      <c r="F30216" s="8">
        <v>14</v>
      </c>
    </row>
    <row r="30217" spans="1:6" ht="12.75">
      <c r="A30217" s="8">
        <v>43890.961192129631</v>
      </c>
      <c r="B30217" s="8" t="str">
        <f>HYPERLINK("https://twitter.com/radikalradikul","@radikalradikul")</f>
        <v>@radikalradikul</v>
      </c>
      <c r="C30217" s="8" t="s">
        <v>4235</v>
      </c>
      <c r="D30217" s="8">
        <v>1551</v>
      </c>
      <c r="E30217" s="8">
        <v>0</v>
      </c>
      <c r="F30217" s="8">
        <v>403</v>
      </c>
    </row>
    <row r="30218" spans="1:6" ht="12.75">
      <c r="A30218" s="8">
        <v>43890.961064814815</v>
      </c>
      <c r="B30218" s="8" t="str">
        <f>HYPERLINK("https://twitter.com/yud1b4cht12r","@yud1b4cht12r")</f>
        <v>@yud1b4cht12r</v>
      </c>
      <c r="C30218" s="8" t="s">
        <v>8746</v>
      </c>
      <c r="D30218" s="8">
        <v>356</v>
      </c>
      <c r="E30218" s="8">
        <v>0</v>
      </c>
      <c r="F30218" s="8">
        <v>443</v>
      </c>
    </row>
    <row r="30219" spans="1:6" ht="12.75">
      <c r="A30219" s="8">
        <v>43890.960914351846</v>
      </c>
      <c r="B30219" s="8" t="str">
        <f>HYPERLINK("https://twitter.com/NdaomanuCha","@NdaomanuCha")</f>
        <v>@NdaomanuCha</v>
      </c>
      <c r="C30219" s="8" t="s">
        <v>7686</v>
      </c>
      <c r="D30219" s="8">
        <v>771</v>
      </c>
      <c r="E30219" s="8">
        <v>0</v>
      </c>
      <c r="F30219" s="8">
        <v>5352</v>
      </c>
    </row>
    <row r="30220" spans="1:6" ht="12.75">
      <c r="A30220" s="8">
        <v>43890.960462962961</v>
      </c>
      <c r="B30220" s="8" t="str">
        <f>HYPERLINK("https://twitter.com/HariMulyawan50","@HariMulyawan50")</f>
        <v>@HariMulyawan50</v>
      </c>
      <c r="C30220" s="8" t="s">
        <v>10939</v>
      </c>
      <c r="D30220" s="8">
        <v>167</v>
      </c>
      <c r="E30220" s="8">
        <v>0</v>
      </c>
      <c r="F30220" s="8">
        <v>67</v>
      </c>
    </row>
    <row r="30221" spans="1:6" ht="12.75">
      <c r="A30221" s="8">
        <v>43890.960127314815</v>
      </c>
      <c r="B30221" s="8" t="str">
        <f>HYPERLINK("https://twitter.com/zuhdirohani","@zuhdirohani")</f>
        <v>@zuhdirohani</v>
      </c>
      <c r="C30221" s="8" t="s">
        <v>7686</v>
      </c>
      <c r="D30221" s="8">
        <v>771</v>
      </c>
      <c r="E30221" s="8">
        <v>0</v>
      </c>
      <c r="F30221" s="8">
        <v>690</v>
      </c>
    </row>
    <row r="30222" spans="1:6" ht="12.75">
      <c r="A30222" s="8">
        <v>43890.95988425926</v>
      </c>
      <c r="B30222" s="8" t="str">
        <f>HYPERLINK("https://twitter.com/BillTemporo","@BillTemporo")</f>
        <v>@BillTemporo</v>
      </c>
      <c r="C30222" s="8" t="s">
        <v>384</v>
      </c>
      <c r="D30222" s="8">
        <v>0</v>
      </c>
      <c r="E30222" s="8">
        <v>0</v>
      </c>
      <c r="F30222" s="8">
        <v>11</v>
      </c>
    </row>
    <row r="30223" spans="1:6" ht="12.75">
      <c r="A30223" s="8">
        <v>43890.959872685184</v>
      </c>
      <c r="B30223" s="8" t="str">
        <f>HYPERLINK("https://twitter.com/hrmnt80","@hrmnt80")</f>
        <v>@hrmnt80</v>
      </c>
      <c r="C30223" s="8" t="s">
        <v>7686</v>
      </c>
      <c r="D30223" s="8">
        <v>771</v>
      </c>
      <c r="E30223" s="8">
        <v>0</v>
      </c>
      <c r="F30223" s="8">
        <v>766</v>
      </c>
    </row>
    <row r="30224" spans="1:6" ht="12.75">
      <c r="A30224" s="8">
        <v>43890.959525462968</v>
      </c>
      <c r="B30224" s="8" t="str">
        <f>HYPERLINK("https://twitter.com/sarungsantriii","@sarungsantriii")</f>
        <v>@sarungsantriii</v>
      </c>
      <c r="C30224" s="8" t="s">
        <v>11448</v>
      </c>
      <c r="D30224" s="8">
        <v>0</v>
      </c>
      <c r="E30224" s="8">
        <v>1</v>
      </c>
      <c r="F30224" s="8">
        <v>172</v>
      </c>
    </row>
    <row r="30225" spans="1:6" ht="12.75">
      <c r="A30225" s="8">
        <v>43890.959432870368</v>
      </c>
      <c r="B30225" s="8" t="str">
        <f>HYPERLINK("https://twitter.com/KissAnky","@KissAnky")</f>
        <v>@KissAnky</v>
      </c>
      <c r="C30225" s="8" t="s">
        <v>11449</v>
      </c>
      <c r="D30225" s="8">
        <v>0</v>
      </c>
      <c r="E30225" s="8">
        <v>1</v>
      </c>
      <c r="F30225" s="8">
        <v>1396</v>
      </c>
    </row>
    <row r="30226" spans="1:6" ht="12.75">
      <c r="A30226" s="8">
        <v>43890.959166666667</v>
      </c>
      <c r="B30226" s="8" t="str">
        <f>HYPERLINK("https://twitter.com/heri_purnama","@heri_purnama")</f>
        <v>@heri_purnama</v>
      </c>
      <c r="C30226" s="8" t="s">
        <v>10591</v>
      </c>
      <c r="D30226" s="8">
        <v>13</v>
      </c>
      <c r="E30226" s="8">
        <v>0</v>
      </c>
      <c r="F30226" s="8">
        <v>522</v>
      </c>
    </row>
    <row r="30227" spans="1:6" ht="12.75">
      <c r="A30227" s="8">
        <v>43890.958738425921</v>
      </c>
      <c r="B30227" s="8" t="str">
        <f>HYPERLINK("https://twitter.com/EyeyiMahza","@EyeyiMahza")</f>
        <v>@EyeyiMahza</v>
      </c>
      <c r="C30227" s="8" t="s">
        <v>11160</v>
      </c>
      <c r="D30227" s="8">
        <v>13</v>
      </c>
      <c r="E30227" s="8">
        <v>0</v>
      </c>
      <c r="F30227" s="8">
        <v>233</v>
      </c>
    </row>
    <row r="30228" spans="1:6" ht="12.75">
      <c r="A30228" s="8">
        <v>43890.958703703705</v>
      </c>
      <c r="B30228" s="8" t="str">
        <f>HYPERLINK("https://twitter.com/heri_purnama","@heri_purnama")</f>
        <v>@heri_purnama</v>
      </c>
      <c r="C30228" s="8" t="s">
        <v>10600</v>
      </c>
      <c r="D30228" s="8">
        <v>125</v>
      </c>
      <c r="E30228" s="8">
        <v>0</v>
      </c>
      <c r="F30228" s="8">
        <v>522</v>
      </c>
    </row>
    <row r="30229" spans="1:6" ht="12.75">
      <c r="A30229" s="8">
        <v>43890.958645833336</v>
      </c>
      <c r="B30229" s="8" t="str">
        <f>HYPERLINK("https://twitter.com/lambert_kota","@lambert_kota")</f>
        <v>@lambert_kota</v>
      </c>
      <c r="C30229" s="8" t="s">
        <v>11258</v>
      </c>
      <c r="D30229" s="8">
        <v>30</v>
      </c>
      <c r="E30229" s="8">
        <v>0</v>
      </c>
      <c r="F30229" s="8">
        <v>696</v>
      </c>
    </row>
    <row r="30230" spans="1:6" ht="12.75">
      <c r="A30230" s="8">
        <v>43890.958587962959</v>
      </c>
      <c r="B30230" s="8" t="str">
        <f>HYPERLINK("https://twitter.com/Yunda","@Yunda")</f>
        <v>@Yunda</v>
      </c>
      <c r="C30230" s="8" t="s">
        <v>2272</v>
      </c>
      <c r="D30230" s="8">
        <v>68</v>
      </c>
      <c r="E30230" s="8">
        <v>0</v>
      </c>
      <c r="F30230" s="8">
        <v>804</v>
      </c>
    </row>
    <row r="30231" spans="1:6" ht="12.75">
      <c r="A30231" s="8">
        <v>43890.95793981482</v>
      </c>
      <c r="B30231" s="8" t="str">
        <f>HYPERLINK("https://twitter.com/alifindrar","@alifindrar")</f>
        <v>@alifindrar</v>
      </c>
      <c r="C30231" s="8" t="s">
        <v>11057</v>
      </c>
      <c r="D30231" s="8">
        <v>11</v>
      </c>
      <c r="E30231" s="8">
        <v>0</v>
      </c>
      <c r="F30231" s="8">
        <v>533</v>
      </c>
    </row>
    <row r="30232" spans="1:6" ht="12.75">
      <c r="A30232" s="8">
        <v>43890.957905092597</v>
      </c>
      <c r="B30232" s="8" t="str">
        <f>HYPERLINK("https://twitter.com/Sawalinaaa","@Sawalinaaa")</f>
        <v>@Sawalinaaa</v>
      </c>
      <c r="C30232" s="8" t="s">
        <v>10600</v>
      </c>
      <c r="D30232" s="8">
        <v>125</v>
      </c>
      <c r="E30232" s="8">
        <v>0</v>
      </c>
      <c r="F30232" s="8">
        <v>71</v>
      </c>
    </row>
    <row r="30233" spans="1:6" ht="12.75">
      <c r="A30233" s="8">
        <v>43890.957604166666</v>
      </c>
      <c r="B30233" s="8" t="str">
        <f>HYPERLINK("https://twitter.com/itorangers_","@itorangers_")</f>
        <v>@itorangers_</v>
      </c>
      <c r="C30233" s="8" t="s">
        <v>11450</v>
      </c>
      <c r="D30233" s="8">
        <v>0</v>
      </c>
      <c r="E30233" s="8">
        <v>0</v>
      </c>
      <c r="F30233" s="8">
        <v>1012</v>
      </c>
    </row>
    <row r="30234" spans="1:6" ht="12.75">
      <c r="A30234" s="8">
        <v>43890.956886574073</v>
      </c>
      <c r="B30234" s="8" t="str">
        <f>HYPERLINK("https://twitter.com/sopansantun55","@sopansantun55")</f>
        <v>@sopansantun55</v>
      </c>
      <c r="C30234" s="8" t="s">
        <v>10600</v>
      </c>
      <c r="D30234" s="8">
        <v>125</v>
      </c>
      <c r="E30234" s="8">
        <v>0</v>
      </c>
      <c r="F30234" s="8">
        <v>543</v>
      </c>
    </row>
    <row r="30235" spans="1:6" ht="12.75">
      <c r="A30235" s="8">
        <v>43890.956712962958</v>
      </c>
      <c r="B30235" s="8" t="str">
        <f>HYPERLINK("https://twitter.com/SydSalesman","@SydSalesman")</f>
        <v>@SydSalesman</v>
      </c>
      <c r="C30235" s="8" t="s">
        <v>8190</v>
      </c>
      <c r="D30235" s="8">
        <v>245</v>
      </c>
      <c r="E30235" s="8">
        <v>0</v>
      </c>
      <c r="F30235" s="8">
        <v>6280</v>
      </c>
    </row>
    <row r="30236" spans="1:6" ht="12.75">
      <c r="A30236" s="8">
        <v>43890.956574074073</v>
      </c>
      <c r="B30236" s="8" t="str">
        <f>HYPERLINK("https://twitter.com/honayspeaking","@honayspeaking")</f>
        <v>@honayspeaking</v>
      </c>
      <c r="C30236" s="8" t="s">
        <v>11451</v>
      </c>
      <c r="D30236" s="8">
        <v>0</v>
      </c>
      <c r="E30236" s="8">
        <v>0</v>
      </c>
      <c r="F30236" s="8">
        <v>64</v>
      </c>
    </row>
    <row r="30237" spans="1:6" ht="12.75">
      <c r="A30237" s="8">
        <v>43890.956504629634</v>
      </c>
      <c r="B30237" s="8" t="str">
        <f>HYPERLINK("https://twitter.com/favian__","@favian__")</f>
        <v>@favian__</v>
      </c>
      <c r="C30237" s="8" t="s">
        <v>2272</v>
      </c>
      <c r="D30237" s="8">
        <v>68</v>
      </c>
      <c r="E30237" s="8">
        <v>0</v>
      </c>
      <c r="F30237" s="8">
        <v>305</v>
      </c>
    </row>
    <row r="30238" spans="1:6" ht="12.75">
      <c r="A30238" s="8">
        <v>43890.956458333334</v>
      </c>
      <c r="B30238" s="8" t="str">
        <f>HYPERLINK("https://twitter.com/becak125cc","@becak125cc")</f>
        <v>@becak125cc</v>
      </c>
      <c r="C30238" s="8" t="s">
        <v>10986</v>
      </c>
      <c r="D30238" s="8">
        <v>12</v>
      </c>
      <c r="E30238" s="8">
        <v>0</v>
      </c>
      <c r="F30238" s="8">
        <v>542</v>
      </c>
    </row>
    <row r="30239" spans="1:6" ht="12.75">
      <c r="A30239" s="8">
        <v>43890.956342592588</v>
      </c>
      <c r="B30239" s="8" t="str">
        <f>HYPERLINK("https://twitter.com/bayu_adianto","@bayu_adianto")</f>
        <v>@bayu_adianto</v>
      </c>
      <c r="C30239" s="8" t="s">
        <v>10600</v>
      </c>
      <c r="D30239" s="8">
        <v>125</v>
      </c>
      <c r="E30239" s="8">
        <v>0</v>
      </c>
      <c r="F30239" s="8">
        <v>173</v>
      </c>
    </row>
    <row r="30240" spans="1:6" ht="12.75">
      <c r="A30240" s="8">
        <v>43890.956192129626</v>
      </c>
      <c r="B30240" s="8" t="str">
        <f>HYPERLINK("https://twitter.com/VeeVinza","@VeeVinza")</f>
        <v>@VeeVinza</v>
      </c>
      <c r="C30240" s="8" t="s">
        <v>7437</v>
      </c>
      <c r="D30240" s="8">
        <v>292</v>
      </c>
      <c r="E30240" s="8">
        <v>0</v>
      </c>
      <c r="F30240" s="8">
        <v>16</v>
      </c>
    </row>
    <row r="30241" spans="1:6" ht="12.75">
      <c r="A30241" s="8">
        <v>43890.955972222218</v>
      </c>
      <c r="B30241" s="8" t="str">
        <f>HYPERLINK("https://twitter.com/bayu_adianto","@bayu_adianto")</f>
        <v>@bayu_adianto</v>
      </c>
      <c r="C30241" s="8" t="s">
        <v>10939</v>
      </c>
      <c r="D30241" s="8">
        <v>167</v>
      </c>
      <c r="E30241" s="8">
        <v>0</v>
      </c>
      <c r="F30241" s="8">
        <v>173</v>
      </c>
    </row>
    <row r="30242" spans="1:6" ht="12.75">
      <c r="A30242" s="8">
        <v>43890.955416666664</v>
      </c>
      <c r="B30242" s="8" t="str">
        <f>HYPERLINK("https://twitter.com/IsSubadiyono","@IsSubadiyono")</f>
        <v>@IsSubadiyono</v>
      </c>
      <c r="C30242" s="8" t="s">
        <v>10600</v>
      </c>
      <c r="D30242" s="8">
        <v>125</v>
      </c>
      <c r="E30242" s="8">
        <v>0</v>
      </c>
      <c r="F30242" s="8">
        <v>129</v>
      </c>
    </row>
    <row r="30243" spans="1:6" ht="12.75">
      <c r="A30243" s="8">
        <v>43890.95521990741</v>
      </c>
      <c r="B30243" s="8" t="str">
        <f>HYPERLINK("https://twitter.com/akulahilham","@akulahilham")</f>
        <v>@akulahilham</v>
      </c>
      <c r="C30243" s="8" t="s">
        <v>11119</v>
      </c>
      <c r="D30243" s="8">
        <v>3</v>
      </c>
      <c r="E30243" s="8">
        <v>0</v>
      </c>
      <c r="F30243" s="8">
        <v>428</v>
      </c>
    </row>
    <row r="30244" spans="1:6" ht="12.75">
      <c r="A30244" s="8">
        <v>43890.954976851848</v>
      </c>
      <c r="B30244" s="8" t="str">
        <f>HYPERLINK("https://twitter.com/Novelis11","@Novelis11")</f>
        <v>@Novelis11</v>
      </c>
      <c r="C30244" s="8" t="s">
        <v>11452</v>
      </c>
      <c r="D30244" s="8">
        <v>0</v>
      </c>
      <c r="E30244" s="8">
        <v>0</v>
      </c>
      <c r="F30244" s="8">
        <v>162</v>
      </c>
    </row>
    <row r="30245" spans="1:6" ht="12.75">
      <c r="A30245" s="8">
        <v>43890.954884259263</v>
      </c>
      <c r="B30245" s="8" t="str">
        <f>HYPERLINK("https://twitter.com/prue_annat","@prue_annat")</f>
        <v>@prue_annat</v>
      </c>
      <c r="C30245" s="8" t="s">
        <v>11453</v>
      </c>
      <c r="D30245" s="8">
        <v>0</v>
      </c>
      <c r="E30245" s="8">
        <v>0</v>
      </c>
      <c r="F30245" s="8">
        <v>117</v>
      </c>
    </row>
    <row r="30246" spans="1:6" ht="12.75">
      <c r="A30246" s="8">
        <v>43890.954872685186</v>
      </c>
      <c r="B30246" s="8" t="str">
        <f>HYPERLINK("https://twitter.com/fahmizl","@fahmizl")</f>
        <v>@fahmizl</v>
      </c>
      <c r="C30246" s="8" t="s">
        <v>4235</v>
      </c>
      <c r="D30246" s="8">
        <v>1551</v>
      </c>
      <c r="E30246" s="8">
        <v>0</v>
      </c>
      <c r="F30246" s="8">
        <v>291</v>
      </c>
    </row>
    <row r="30247" spans="1:6" ht="12.75">
      <c r="A30247" s="8">
        <v>43890.954826388886</v>
      </c>
      <c r="B30247" s="8" t="str">
        <f>HYPERLINK("https://twitter.com/jayaslamet","@jayaslamet")</f>
        <v>@jayaslamet</v>
      </c>
      <c r="C30247" s="8" t="s">
        <v>6836</v>
      </c>
      <c r="D30247" s="8">
        <v>513</v>
      </c>
      <c r="E30247" s="8">
        <v>0</v>
      </c>
      <c r="F30247" s="8">
        <v>484</v>
      </c>
    </row>
    <row r="30248" spans="1:6" ht="12.75">
      <c r="A30248" s="8">
        <v>43890.95480324074</v>
      </c>
      <c r="B30248" s="8" t="str">
        <f>HYPERLINK("https://twitter.com/Jacky92853846","@Jacky92853846")</f>
        <v>@Jacky92853846</v>
      </c>
      <c r="C30248" s="8" t="s">
        <v>8746</v>
      </c>
      <c r="D30248" s="8">
        <v>356</v>
      </c>
      <c r="E30248" s="8">
        <v>0</v>
      </c>
      <c r="F30248" s="8">
        <v>1331</v>
      </c>
    </row>
    <row r="30249" spans="1:6" ht="12.75">
      <c r="A30249" s="8">
        <v>43890.95480324074</v>
      </c>
      <c r="B30249" s="8" t="str">
        <f>HYPERLINK("https://twitter.com/sceneRaa","@sceneRaa")</f>
        <v>@sceneRaa</v>
      </c>
      <c r="C30249" s="8" t="s">
        <v>11454</v>
      </c>
      <c r="D30249" s="8">
        <v>0</v>
      </c>
      <c r="E30249" s="8">
        <v>0</v>
      </c>
      <c r="F30249" s="8">
        <v>2420</v>
      </c>
    </row>
    <row r="30250" spans="1:6" ht="12.75">
      <c r="A30250" s="8">
        <v>43890.954780092594</v>
      </c>
      <c r="B30250" s="8" t="str">
        <f>HYPERLINK("https://twitter.com/fckingrich","@fckingrich")</f>
        <v>@fckingrich</v>
      </c>
      <c r="C30250" s="8" t="s">
        <v>11455</v>
      </c>
      <c r="D30250" s="8">
        <v>21</v>
      </c>
      <c r="E30250" s="8">
        <v>0</v>
      </c>
      <c r="F30250" s="8">
        <v>474</v>
      </c>
    </row>
    <row r="30251" spans="1:6" ht="12.75">
      <c r="A30251" s="8">
        <v>43890.954641203702</v>
      </c>
      <c r="B30251" s="8" t="str">
        <f>HYPERLINK("https://twitter.com/AkhmadBasori11","@AkhmadBasori11")</f>
        <v>@AkhmadBasori11</v>
      </c>
      <c r="C30251" s="8" t="s">
        <v>7686</v>
      </c>
      <c r="D30251" s="8">
        <v>771</v>
      </c>
      <c r="E30251" s="8">
        <v>0</v>
      </c>
      <c r="F30251" s="8">
        <v>255</v>
      </c>
    </row>
    <row r="30252" spans="1:6" ht="12.75">
      <c r="A30252" s="8">
        <v>43890.954548611116</v>
      </c>
      <c r="B30252" s="8" t="str">
        <f>HYPERLINK("https://twitter.com/good_youngboy","@good_youngboy")</f>
        <v>@good_youngboy</v>
      </c>
      <c r="C30252" s="8" t="s">
        <v>7686</v>
      </c>
      <c r="D30252" s="8">
        <v>771</v>
      </c>
      <c r="E30252" s="8">
        <v>0</v>
      </c>
      <c r="F30252" s="8">
        <v>379</v>
      </c>
    </row>
    <row r="30253" spans="1:6" ht="12.75">
      <c r="A30253" s="8">
        <v>43890.954548611116</v>
      </c>
      <c r="B30253" s="8" t="str">
        <f>HYPERLINK("https://twitter.com/TambengBagong","@TambengBagong")</f>
        <v>@TambengBagong</v>
      </c>
      <c r="C30253" s="8" t="s">
        <v>8190</v>
      </c>
      <c r="D30253" s="8">
        <v>245</v>
      </c>
      <c r="E30253" s="8">
        <v>0</v>
      </c>
      <c r="F30253" s="8">
        <v>29</v>
      </c>
    </row>
    <row r="30254" spans="1:6" ht="12.75">
      <c r="A30254" s="8">
        <v>43890.954328703709</v>
      </c>
      <c r="B30254" s="8" t="str">
        <f>HYPERLINK("https://twitter.com/gorengan_dingin","@gorengan_dingin")</f>
        <v>@gorengan_dingin</v>
      </c>
      <c r="C30254" s="8" t="s">
        <v>7437</v>
      </c>
      <c r="D30254" s="8">
        <v>292</v>
      </c>
      <c r="E30254" s="8">
        <v>0</v>
      </c>
      <c r="F30254" s="8">
        <v>661</v>
      </c>
    </row>
    <row r="30255" spans="1:6" ht="12.75">
      <c r="A30255" s="8">
        <v>43890.954236111109</v>
      </c>
      <c r="B30255" s="8" t="str">
        <f>HYPERLINK("https://twitter.com/wnhensley","@wnhensley")</f>
        <v>@wnhensley</v>
      </c>
      <c r="C30255" s="8" t="s">
        <v>11456</v>
      </c>
      <c r="D30255" s="8">
        <v>0</v>
      </c>
      <c r="E30255" s="8">
        <v>0</v>
      </c>
      <c r="F30255" s="8">
        <v>190</v>
      </c>
    </row>
    <row r="30256" spans="1:6" ht="12.75">
      <c r="A30256" s="8">
        <v>43890.95417824074</v>
      </c>
      <c r="B30256" s="8" t="str">
        <f>HYPERLINK("https://twitter.com/honayspeaking","@honayspeaking")</f>
        <v>@honayspeaking</v>
      </c>
      <c r="C30256" s="8" t="s">
        <v>11457</v>
      </c>
      <c r="D30256" s="8">
        <v>0</v>
      </c>
      <c r="E30256" s="8">
        <v>0</v>
      </c>
      <c r="F30256" s="8">
        <v>64</v>
      </c>
    </row>
    <row r="30257" spans="1:6" ht="12.75">
      <c r="A30257" s="8">
        <v>43890.954085648147</v>
      </c>
      <c r="B30257" s="8" t="str">
        <f>HYPERLINK("https://twitter.com/becak125cc","@becak125cc")</f>
        <v>@becak125cc</v>
      </c>
      <c r="C30257" s="8" t="s">
        <v>7437</v>
      </c>
      <c r="D30257" s="8">
        <v>292</v>
      </c>
      <c r="E30257" s="8">
        <v>0</v>
      </c>
      <c r="F30257" s="8">
        <v>542</v>
      </c>
    </row>
    <row r="30258" spans="1:6" ht="12.75">
      <c r="A30258" s="8">
        <v>43890.953634259262</v>
      </c>
      <c r="B30258" s="8" t="str">
        <f>HYPERLINK("https://twitter.com/klvnx","@klvnx")</f>
        <v>@klvnx</v>
      </c>
      <c r="C30258" s="8" t="s">
        <v>2272</v>
      </c>
      <c r="D30258" s="8">
        <v>68</v>
      </c>
      <c r="E30258" s="8">
        <v>0</v>
      </c>
      <c r="F30258" s="8">
        <v>2061</v>
      </c>
    </row>
    <row r="30259" spans="1:6" ht="12.75">
      <c r="A30259" s="8">
        <v>43890.953530092593</v>
      </c>
      <c r="B30259" s="8" t="str">
        <f>HYPERLINK("https://twitter.com/gvmakatita","@gvmakatita")</f>
        <v>@gvmakatita</v>
      </c>
      <c r="C30259" s="8" t="s">
        <v>11075</v>
      </c>
      <c r="D30259" s="8">
        <v>77</v>
      </c>
      <c r="E30259" s="8">
        <v>0</v>
      </c>
      <c r="F30259" s="8">
        <v>509</v>
      </c>
    </row>
    <row r="30260" spans="1:6" ht="12.75">
      <c r="A30260" s="8">
        <v>43890.953275462962</v>
      </c>
      <c r="B30260" s="8" t="str">
        <f>HYPERLINK("https://twitter.com/IrfaniRofiqi","@IrfaniRofiqi")</f>
        <v>@IrfaniRofiqi</v>
      </c>
      <c r="C30260" s="8" t="s">
        <v>6708</v>
      </c>
      <c r="D30260" s="8">
        <v>35</v>
      </c>
      <c r="E30260" s="8">
        <v>0</v>
      </c>
      <c r="F30260" s="8">
        <v>7</v>
      </c>
    </row>
    <row r="30261" spans="1:6" ht="12.75">
      <c r="A30261" s="8">
        <v>43890.953148148154</v>
      </c>
      <c r="B30261" s="8" t="str">
        <f>HYPERLINK("https://twitter.com/sumaba_i","@sumaba_i")</f>
        <v>@sumaba_i</v>
      </c>
      <c r="C30261" s="8" t="s">
        <v>8190</v>
      </c>
      <c r="D30261" s="8">
        <v>245</v>
      </c>
      <c r="E30261" s="8">
        <v>0</v>
      </c>
      <c r="F30261" s="8">
        <v>83</v>
      </c>
    </row>
    <row r="30262" spans="1:6" ht="12.75">
      <c r="A30262" s="8">
        <v>43890.952870370369</v>
      </c>
      <c r="B30262" s="8" t="str">
        <f>HYPERLINK("https://twitter.com/marsonom97","@marsonom97")</f>
        <v>@marsonom97</v>
      </c>
      <c r="C30262" s="8" t="s">
        <v>10600</v>
      </c>
      <c r="D30262" s="8">
        <v>125</v>
      </c>
      <c r="E30262" s="8">
        <v>0</v>
      </c>
      <c r="F30262" s="8">
        <v>454</v>
      </c>
    </row>
    <row r="30263" spans="1:6" ht="12.75">
      <c r="A30263" s="8">
        <v>43890.952685185184</v>
      </c>
      <c r="B30263" s="8" t="str">
        <f>HYPERLINK("https://twitter.com/Oyenk","@Oyenk")</f>
        <v>@Oyenk</v>
      </c>
      <c r="C30263" s="8" t="s">
        <v>7686</v>
      </c>
      <c r="D30263" s="8">
        <v>771</v>
      </c>
      <c r="E30263" s="8">
        <v>0</v>
      </c>
      <c r="F30263" s="8">
        <v>290</v>
      </c>
    </row>
    <row r="30264" spans="1:6" ht="12.75">
      <c r="A30264" s="8">
        <v>43890.952627314815</v>
      </c>
      <c r="B30264" s="8" t="str">
        <f>HYPERLINK("https://twitter.com/jarotdwi","@jarotdwi")</f>
        <v>@jarotdwi</v>
      </c>
      <c r="C30264" s="8" t="s">
        <v>11075</v>
      </c>
      <c r="D30264" s="8">
        <v>77</v>
      </c>
      <c r="E30264" s="8">
        <v>0</v>
      </c>
      <c r="F30264" s="8">
        <v>707</v>
      </c>
    </row>
    <row r="30265" spans="1:6" ht="12.75">
      <c r="A30265" s="8">
        <v>43890.952592592592</v>
      </c>
      <c r="B30265" s="8" t="str">
        <f>HYPERLINK("https://twitter.com/sumaba_i","@sumaba_i")</f>
        <v>@sumaba_i</v>
      </c>
      <c r="C30265" s="8" t="s">
        <v>11200</v>
      </c>
      <c r="D30265" s="8">
        <v>6</v>
      </c>
      <c r="E30265" s="8">
        <v>0</v>
      </c>
      <c r="F30265" s="8">
        <v>83</v>
      </c>
    </row>
    <row r="30266" spans="1:6" ht="12.75">
      <c r="A30266" s="8">
        <v>43890.952569444446</v>
      </c>
      <c r="B30266" s="8" t="str">
        <f>HYPERLINK("https://twitter.com/doyokijay","@doyokijay")</f>
        <v>@doyokijay</v>
      </c>
      <c r="C30266" s="8" t="s">
        <v>7437</v>
      </c>
      <c r="D30266" s="8">
        <v>292</v>
      </c>
      <c r="E30266" s="8">
        <v>0</v>
      </c>
      <c r="F30266" s="8">
        <v>314</v>
      </c>
    </row>
    <row r="30267" spans="1:6" ht="12.75">
      <c r="A30267" s="8">
        <v>43890.952164351853</v>
      </c>
      <c r="B30267" s="8" t="str">
        <f>HYPERLINK("https://twitter.com/HPeridia","@HPeridia")</f>
        <v>@HPeridia</v>
      </c>
      <c r="C30267" s="8" t="s">
        <v>10600</v>
      </c>
      <c r="D30267" s="8">
        <v>125</v>
      </c>
      <c r="E30267" s="8">
        <v>0</v>
      </c>
      <c r="F30267" s="8">
        <v>666</v>
      </c>
    </row>
    <row r="30268" spans="1:6" ht="12.75">
      <c r="A30268" s="8">
        <v>43890.952013888891</v>
      </c>
      <c r="B30268" s="8" t="str">
        <f>HYPERLINK("https://twitter.com/gh293","@gh293")</f>
        <v>@gh293</v>
      </c>
      <c r="C30268" s="8" t="s">
        <v>10811</v>
      </c>
      <c r="D30268" s="8">
        <v>239</v>
      </c>
      <c r="E30268" s="8">
        <v>0</v>
      </c>
      <c r="F30268" s="8">
        <v>128</v>
      </c>
    </row>
    <row r="30269" spans="1:6" ht="12.75">
      <c r="A30269" s="8">
        <v>43890.951956018514</v>
      </c>
      <c r="B30269" s="8" t="str">
        <f>HYPERLINK("https://twitter.com/Warkiko1","@Warkiko1")</f>
        <v>@Warkiko1</v>
      </c>
      <c r="C30269" s="8" t="s">
        <v>11458</v>
      </c>
      <c r="D30269" s="8">
        <v>0</v>
      </c>
      <c r="E30269" s="8">
        <v>0</v>
      </c>
      <c r="F30269" s="8">
        <v>623</v>
      </c>
    </row>
    <row r="30270" spans="1:6" ht="12.75">
      <c r="A30270" s="8">
        <v>43890.951886574076</v>
      </c>
      <c r="B30270" s="8" t="str">
        <f>HYPERLINK("https://twitter.com/ade_r70","@ade_r70")</f>
        <v>@ade_r70</v>
      </c>
      <c r="C30270" s="8" t="s">
        <v>10600</v>
      </c>
      <c r="D30270" s="8">
        <v>125</v>
      </c>
      <c r="E30270" s="8">
        <v>0</v>
      </c>
      <c r="F30270" s="8">
        <v>559</v>
      </c>
    </row>
    <row r="30271" spans="1:6" ht="12.75">
      <c r="A30271" s="8">
        <v>43890.951863425929</v>
      </c>
      <c r="B30271" s="8" t="str">
        <f>HYPERLINK("https://twitter.com/Luluk1683","@Luluk1683")</f>
        <v>@Luluk1683</v>
      </c>
      <c r="C30271" s="8" t="s">
        <v>11203</v>
      </c>
      <c r="D30271" s="8">
        <v>6</v>
      </c>
      <c r="E30271" s="8">
        <v>0</v>
      </c>
      <c r="F30271" s="8">
        <v>811</v>
      </c>
    </row>
    <row r="30272" spans="1:6" ht="12.75">
      <c r="A30272" s="8">
        <v>43890.951666666668</v>
      </c>
      <c r="B30272" s="8" t="str">
        <f>HYPERLINK("https://twitter.com/SSSS_KI016","@SSSS_KI016")</f>
        <v>@SSSS_KI016</v>
      </c>
      <c r="C30272" s="8" t="s">
        <v>11459</v>
      </c>
      <c r="D30272" s="8">
        <v>7</v>
      </c>
      <c r="E30272" s="8">
        <v>0</v>
      </c>
      <c r="F30272" s="8">
        <v>299</v>
      </c>
    </row>
    <row r="30273" spans="1:6" ht="12.75">
      <c r="A30273" s="8">
        <v>43890.951655092591</v>
      </c>
      <c r="B30273" s="8" t="str">
        <f>HYPERLINK("https://twitter.com/Luluk1683","@Luluk1683")</f>
        <v>@Luluk1683</v>
      </c>
      <c r="C30273" s="8" t="s">
        <v>6883</v>
      </c>
      <c r="D30273" s="8">
        <v>34</v>
      </c>
      <c r="E30273" s="8">
        <v>0</v>
      </c>
      <c r="F30273" s="8">
        <v>811</v>
      </c>
    </row>
    <row r="30274" spans="1:6" ht="12.75">
      <c r="A30274" s="8">
        <v>43890.951643518521</v>
      </c>
      <c r="B30274" s="8" t="str">
        <f>HYPERLINK("https://twitter.com/yasmin_shyas","@yasmin_shyas")</f>
        <v>@yasmin_shyas</v>
      </c>
      <c r="C30274" s="8" t="s">
        <v>11460</v>
      </c>
      <c r="D30274" s="8">
        <v>0</v>
      </c>
      <c r="E30274" s="8">
        <v>0</v>
      </c>
      <c r="F30274" s="8">
        <v>159</v>
      </c>
    </row>
    <row r="30275" spans="1:6" ht="12.75">
      <c r="A30275" s="8">
        <v>43890.951620370368</v>
      </c>
      <c r="B30275" s="8" t="str">
        <f>HYPERLINK("https://twitter.com/tonichan157","@tonichan157")</f>
        <v>@tonichan157</v>
      </c>
      <c r="C30275" s="8" t="s">
        <v>4235</v>
      </c>
      <c r="D30275" s="8">
        <v>1551</v>
      </c>
      <c r="E30275" s="8">
        <v>0</v>
      </c>
      <c r="F30275" s="8">
        <v>949</v>
      </c>
    </row>
    <row r="30276" spans="1:6" ht="12.75">
      <c r="A30276" s="8">
        <v>43890.951388888891</v>
      </c>
      <c r="B30276" s="8" t="str">
        <f>HYPERLINK("https://twitter.com/juliatywahab","@juliatywahab")</f>
        <v>@juliatywahab</v>
      </c>
      <c r="C30276" s="8" t="s">
        <v>7437</v>
      </c>
      <c r="D30276" s="8">
        <v>292</v>
      </c>
      <c r="E30276" s="8">
        <v>0</v>
      </c>
      <c r="F30276" s="8">
        <v>729</v>
      </c>
    </row>
    <row r="30277" spans="1:6" ht="12.75">
      <c r="A30277" s="8">
        <v>43890.95103009259</v>
      </c>
      <c r="B30277" s="8" t="str">
        <f>HYPERLINK("https://twitter.com/MZianu","@MZianu")</f>
        <v>@MZianu</v>
      </c>
      <c r="C30277" s="8" t="s">
        <v>10939</v>
      </c>
      <c r="D30277" s="8">
        <v>167</v>
      </c>
      <c r="E30277" s="8">
        <v>0</v>
      </c>
      <c r="F30277" s="8">
        <v>457</v>
      </c>
    </row>
    <row r="30278" spans="1:6" ht="12.75">
      <c r="A30278" s="8">
        <v>43890.950983796298</v>
      </c>
      <c r="B30278" s="8" t="str">
        <f>HYPERLINK("https://twitter.com/Luluk1683","@Luluk1683")</f>
        <v>@Luluk1683</v>
      </c>
      <c r="C30278" s="8" t="s">
        <v>10600</v>
      </c>
      <c r="D30278" s="8">
        <v>125</v>
      </c>
      <c r="E30278" s="8">
        <v>0</v>
      </c>
      <c r="F30278" s="8">
        <v>811</v>
      </c>
    </row>
    <row r="30279" spans="1:6" ht="12.75">
      <c r="A30279" s="8">
        <v>43890.95034722222</v>
      </c>
      <c r="B30279" s="8" t="str">
        <f>HYPERLINK("https://twitter.com/TeyengCekap","@TeyengCekap")</f>
        <v>@TeyengCekap</v>
      </c>
      <c r="C30279" s="8" t="s">
        <v>10600</v>
      </c>
      <c r="D30279" s="8">
        <v>125</v>
      </c>
      <c r="E30279" s="8">
        <v>0</v>
      </c>
      <c r="F30279" s="8">
        <v>5460</v>
      </c>
    </row>
    <row r="30280" spans="1:6" ht="12.75">
      <c r="A30280" s="8">
        <v>43890.950243055559</v>
      </c>
      <c r="B30280" s="8" t="str">
        <f>HYPERLINK("https://twitter.com/wooecares","@wooecares")</f>
        <v>@wooecares</v>
      </c>
      <c r="C30280" s="8" t="s">
        <v>10916</v>
      </c>
      <c r="D30280" s="8">
        <v>8</v>
      </c>
      <c r="E30280" s="8">
        <v>0</v>
      </c>
      <c r="F30280" s="8">
        <v>27</v>
      </c>
    </row>
    <row r="30281" spans="1:6" ht="12.75">
      <c r="A30281" s="8">
        <v>43890.950173611112</v>
      </c>
      <c r="B30281" s="8" t="str">
        <f>HYPERLINK("https://twitter.com/miftahulfalah","@miftahulfalah")</f>
        <v>@miftahulfalah</v>
      </c>
      <c r="C30281" s="8" t="s">
        <v>6836</v>
      </c>
      <c r="D30281" s="8">
        <v>513</v>
      </c>
      <c r="E30281" s="8">
        <v>0</v>
      </c>
      <c r="F30281" s="8">
        <v>1277</v>
      </c>
    </row>
    <row r="30282" spans="1:6" ht="12.75">
      <c r="A30282" s="8">
        <v>43890.950173611112</v>
      </c>
      <c r="B30282" s="8" t="str">
        <f>HYPERLINK("https://twitter.com/Siida42950142","@Siida42950142")</f>
        <v>@Siida42950142</v>
      </c>
      <c r="C30282" s="8" t="s">
        <v>11461</v>
      </c>
      <c r="D30282" s="8">
        <v>0</v>
      </c>
      <c r="E30282" s="8">
        <v>0</v>
      </c>
      <c r="F30282" s="8">
        <v>0</v>
      </c>
    </row>
    <row r="30283" spans="1:6" ht="12.75">
      <c r="A30283" s="8">
        <v>43890.949988425928</v>
      </c>
      <c r="B30283" s="8" t="str">
        <f>HYPERLINK("https://twitter.com/Call_MeSummer","@Call_MeSummer")</f>
        <v>@Call_MeSummer</v>
      </c>
      <c r="C30283" s="8" t="s">
        <v>2272</v>
      </c>
      <c r="D30283" s="8">
        <v>68</v>
      </c>
      <c r="E30283" s="8">
        <v>0</v>
      </c>
      <c r="F30283" s="8">
        <v>121</v>
      </c>
    </row>
    <row r="30284" spans="1:6" ht="12.75">
      <c r="A30284" s="8">
        <v>43890.949907407412</v>
      </c>
      <c r="B30284" s="8" t="str">
        <f>HYPERLINK("https://twitter.com/Jaya93180022","@Jaya93180022")</f>
        <v>@Jaya93180022</v>
      </c>
      <c r="C30284" s="8" t="s">
        <v>6836</v>
      </c>
      <c r="D30284" s="8">
        <v>513</v>
      </c>
      <c r="E30284" s="8">
        <v>0</v>
      </c>
      <c r="F30284" s="8">
        <v>535</v>
      </c>
    </row>
    <row r="30285" spans="1:6" ht="12.75">
      <c r="A30285" s="8">
        <v>43890.949629629627</v>
      </c>
      <c r="B30285" s="8" t="str">
        <f>HYPERLINK("https://twitter.com/smaskots","@smaskots")</f>
        <v>@smaskots</v>
      </c>
      <c r="C30285" s="8" t="s">
        <v>11462</v>
      </c>
      <c r="D30285" s="8">
        <v>0</v>
      </c>
      <c r="E30285" s="8">
        <v>0</v>
      </c>
      <c r="F30285" s="8">
        <v>81</v>
      </c>
    </row>
    <row r="30286" spans="1:6" ht="12.75">
      <c r="A30286" s="8">
        <v>43890.923414351855</v>
      </c>
      <c r="B30286" s="8" t="str">
        <f>HYPERLINK("https://twitter.com/SyahrulChan7","@SyahrulChan7")</f>
        <v>@SyahrulChan7</v>
      </c>
      <c r="C30286" s="8" t="s">
        <v>11463</v>
      </c>
      <c r="D30286" s="8">
        <v>1</v>
      </c>
      <c r="E30286" s="8">
        <v>0</v>
      </c>
      <c r="F30286" s="8">
        <v>9</v>
      </c>
    </row>
    <row r="30287" spans="1:6" ht="12.75">
      <c r="A30287" s="8">
        <v>43890.923020833332</v>
      </c>
      <c r="B30287" s="8" t="str">
        <f>HYPERLINK("https://twitter.com/rhmanss","@rhmanss")</f>
        <v>@rhmanss</v>
      </c>
      <c r="C30287" s="8" t="s">
        <v>11464</v>
      </c>
      <c r="D30287" s="8">
        <v>1</v>
      </c>
      <c r="E30287" s="8">
        <v>0</v>
      </c>
      <c r="F30287" s="8">
        <v>159</v>
      </c>
    </row>
    <row r="30288" spans="1:6" ht="12.75">
      <c r="A30288" s="8">
        <v>43890.923020833332</v>
      </c>
      <c r="B30288" s="8" t="str">
        <f>HYPERLINK("https://twitter.com/ISIS_Balik_NO","@ISIS_Balik_NO")</f>
        <v>@ISIS_Balik_NO</v>
      </c>
      <c r="C30288" s="8" t="s">
        <v>11465</v>
      </c>
      <c r="D30288" s="8">
        <v>0</v>
      </c>
      <c r="E30288" s="8">
        <v>0</v>
      </c>
      <c r="F30288" s="8">
        <v>6081</v>
      </c>
    </row>
    <row r="30289" spans="1:6" ht="12.75">
      <c r="A30289" s="8">
        <v>43890.923009259262</v>
      </c>
      <c r="B30289" s="8" t="str">
        <f>HYPERLINK("https://twitter.com/anggineering","@anggineering")</f>
        <v>@anggineering</v>
      </c>
      <c r="C30289" s="8" t="s">
        <v>11466</v>
      </c>
      <c r="D30289" s="8">
        <v>0</v>
      </c>
      <c r="E30289" s="8">
        <v>0</v>
      </c>
      <c r="F30289" s="8">
        <v>472</v>
      </c>
    </row>
    <row r="30290" spans="1:6" ht="12.75">
      <c r="A30290" s="8">
        <v>43890.922847222224</v>
      </c>
      <c r="B30290" s="8" t="str">
        <f>HYPERLINK("https://twitter.com/04_adisetiawan","@04_adisetiawan")</f>
        <v>@04_adisetiawan</v>
      </c>
      <c r="C30290" s="8" t="s">
        <v>11467</v>
      </c>
      <c r="D30290" s="8">
        <v>3</v>
      </c>
      <c r="E30290" s="8">
        <v>0</v>
      </c>
      <c r="F30290" s="8">
        <v>194</v>
      </c>
    </row>
    <row r="30291" spans="1:6" ht="12.75">
      <c r="A30291" s="8">
        <v>43890.922546296293</v>
      </c>
      <c r="B30291" s="8" t="str">
        <f>HYPERLINK("https://twitter.com/RomeskoP","@RomeskoP")</f>
        <v>@RomeskoP</v>
      </c>
      <c r="C30291" s="8" t="s">
        <v>6883</v>
      </c>
      <c r="D30291" s="8">
        <v>26</v>
      </c>
      <c r="E30291" s="8">
        <v>0</v>
      </c>
      <c r="F30291" s="8">
        <v>2577</v>
      </c>
    </row>
    <row r="30292" spans="1:6" ht="12.75">
      <c r="A30292" s="8">
        <v>43890.922418981485</v>
      </c>
      <c r="B30292" s="8" t="str">
        <f>HYPERLINK("https://twitter.com/TjenLanOey14","@TjenLanOey14")</f>
        <v>@TjenLanOey14</v>
      </c>
      <c r="C30292" s="8" t="s">
        <v>11468</v>
      </c>
      <c r="D30292" s="8">
        <v>0</v>
      </c>
      <c r="E30292" s="8">
        <v>0</v>
      </c>
      <c r="F30292" s="8">
        <v>266</v>
      </c>
    </row>
    <row r="30293" spans="1:6" ht="12.75">
      <c r="A30293" s="8">
        <v>43890.922384259262</v>
      </c>
      <c r="B30293" s="8" t="str">
        <f>HYPERLINK("https://twitter.com/AbdulWa19348731","@AbdulWa19348731")</f>
        <v>@AbdulWa19348731</v>
      </c>
      <c r="C30293" s="8" t="s">
        <v>10600</v>
      </c>
      <c r="D30293" s="8">
        <v>99</v>
      </c>
      <c r="E30293" s="8">
        <v>0</v>
      </c>
      <c r="F30293" s="8">
        <v>1435</v>
      </c>
    </row>
    <row r="30294" spans="1:6" ht="12.75">
      <c r="A30294" s="8">
        <v>43890.922326388885</v>
      </c>
      <c r="B30294" s="8" t="str">
        <f>HYPERLINK("https://twitter.com/StefanoHarmoni","@StefanoHarmoni")</f>
        <v>@StefanoHarmoni</v>
      </c>
      <c r="C30294" s="8" t="s">
        <v>6883</v>
      </c>
      <c r="D30294" s="8">
        <v>26</v>
      </c>
      <c r="E30294" s="8">
        <v>0</v>
      </c>
      <c r="F30294" s="8">
        <v>197</v>
      </c>
    </row>
    <row r="30295" spans="1:6" ht="12.75">
      <c r="A30295" s="8">
        <v>43890.922222222223</v>
      </c>
      <c r="B30295" s="8" t="str">
        <f>HYPERLINK("https://twitter.com/Wieds76","@Wieds76")</f>
        <v>@Wieds76</v>
      </c>
      <c r="C30295" s="8" t="s">
        <v>7686</v>
      </c>
      <c r="D30295" s="8">
        <v>742</v>
      </c>
      <c r="E30295" s="8">
        <v>0</v>
      </c>
      <c r="F30295" s="8">
        <v>249</v>
      </c>
    </row>
    <row r="30296" spans="1:6" ht="12.75">
      <c r="A30296" s="8">
        <v>43890.921979166669</v>
      </c>
      <c r="B30296" s="8" t="str">
        <f>HYPERLINK("https://twitter.com/Bennyboegiz","@Bennyboegiz")</f>
        <v>@Bennyboegiz</v>
      </c>
      <c r="C30296" s="8" t="s">
        <v>8190</v>
      </c>
      <c r="D30296" s="8">
        <v>229</v>
      </c>
      <c r="E30296" s="8">
        <v>0</v>
      </c>
      <c r="F30296" s="8">
        <v>1097</v>
      </c>
    </row>
    <row r="30297" spans="1:6" ht="12.75">
      <c r="A30297" s="8">
        <v>43890.921979166669</v>
      </c>
      <c r="B30297" s="8" t="str">
        <f>HYPERLINK("https://twitter.com/rio_enrico","@rio_enrico")</f>
        <v>@rio_enrico</v>
      </c>
      <c r="C30297" s="8" t="s">
        <v>10939</v>
      </c>
      <c r="D30297" s="8">
        <v>160</v>
      </c>
      <c r="E30297" s="8">
        <v>0</v>
      </c>
      <c r="F30297" s="8">
        <v>213</v>
      </c>
    </row>
    <row r="30298" spans="1:6" ht="12.75">
      <c r="A30298" s="8">
        <v>43890.92188657407</v>
      </c>
      <c r="B30298" s="8" t="str">
        <f>HYPERLINK("https://twitter.com/humaspolrespes1","@humaspolrespes1")</f>
        <v>@humaspolrespes1</v>
      </c>
      <c r="C30298" s="8" t="s">
        <v>9019</v>
      </c>
      <c r="D30298" s="8">
        <v>3</v>
      </c>
      <c r="E30298" s="8">
        <v>0</v>
      </c>
      <c r="F30298" s="8">
        <v>36</v>
      </c>
    </row>
    <row r="30299" spans="1:6" ht="12.75">
      <c r="A30299" s="8">
        <v>43890.92186342593</v>
      </c>
      <c r="B30299" s="8" t="str">
        <f>HYPERLINK("https://twitter.com/Icuuuls","@Icuuuls")</f>
        <v>@Icuuuls</v>
      </c>
      <c r="C30299" s="8" t="s">
        <v>11117</v>
      </c>
      <c r="D30299" s="8">
        <v>82</v>
      </c>
      <c r="E30299" s="8">
        <v>0</v>
      </c>
      <c r="F30299" s="8">
        <v>683</v>
      </c>
    </row>
    <row r="30300" spans="1:6" ht="12.75">
      <c r="A30300" s="8">
        <v>43890.921817129631</v>
      </c>
      <c r="B30300" s="8" t="str">
        <f>HYPERLINK("https://twitter.com/TBashori","@TBashori")</f>
        <v>@TBashori</v>
      </c>
      <c r="C30300" s="8" t="s">
        <v>11155</v>
      </c>
      <c r="D30300" s="8">
        <v>30</v>
      </c>
      <c r="E30300" s="8">
        <v>0</v>
      </c>
      <c r="F30300" s="8">
        <v>11</v>
      </c>
    </row>
    <row r="30301" spans="1:6" ht="12.75">
      <c r="A30301" s="8">
        <v>43890.9215625</v>
      </c>
      <c r="B30301" s="8" t="str">
        <f>HYPERLINK("https://twitter.com/kumparan","@kumparan")</f>
        <v>@kumparan</v>
      </c>
      <c r="C30301" s="8" t="s">
        <v>11469</v>
      </c>
      <c r="D30301" s="8">
        <v>1</v>
      </c>
      <c r="E30301" s="8">
        <v>1</v>
      </c>
      <c r="F30301" s="8">
        <v>332783</v>
      </c>
    </row>
    <row r="30302" spans="1:6" ht="12.75">
      <c r="A30302" s="8">
        <v>43890.921481481477</v>
      </c>
      <c r="B30302" s="8" t="str">
        <f>HYPERLINK("https://twitter.com/panjiarraya","@panjiarraya")</f>
        <v>@panjiarraya</v>
      </c>
      <c r="C30302" s="8" t="s">
        <v>8746</v>
      </c>
      <c r="D30302" s="8">
        <v>344</v>
      </c>
      <c r="E30302" s="8">
        <v>0</v>
      </c>
      <c r="F30302" s="8">
        <v>113</v>
      </c>
    </row>
    <row r="30303" spans="1:6" ht="12.75">
      <c r="A30303" s="8">
        <v>43890.921273148153</v>
      </c>
      <c r="B30303" s="8" t="str">
        <f>HYPERLINK("https://twitter.com/aya_ddt","@aya_ddt")</f>
        <v>@aya_ddt</v>
      </c>
      <c r="C30303" s="8" t="s">
        <v>6883</v>
      </c>
      <c r="D30303" s="8">
        <v>26</v>
      </c>
      <c r="E30303" s="8">
        <v>0</v>
      </c>
      <c r="F30303" s="8">
        <v>437</v>
      </c>
    </row>
    <row r="30304" spans="1:6" ht="12.75">
      <c r="A30304" s="8">
        <v>43890.921203703707</v>
      </c>
      <c r="B30304" s="8" t="str">
        <f>HYPERLINK("https://twitter.com/ISIS_Balik_NO","@ISIS_Balik_NO")</f>
        <v>@ISIS_Balik_NO</v>
      </c>
      <c r="C30304" s="8" t="s">
        <v>11470</v>
      </c>
      <c r="D30304" s="8">
        <v>1</v>
      </c>
      <c r="E30304" s="8">
        <v>2</v>
      </c>
      <c r="F30304" s="8">
        <v>6081</v>
      </c>
    </row>
    <row r="30305" spans="1:6" ht="12.75">
      <c r="A30305" s="8">
        <v>43890.92119212963</v>
      </c>
      <c r="B30305" s="8" t="str">
        <f>HYPERLINK("https://twitter.com/aldodandy","@aldodandy")</f>
        <v>@aldodandy</v>
      </c>
      <c r="C30305" s="8" t="s">
        <v>7437</v>
      </c>
      <c r="D30305" s="8">
        <v>271</v>
      </c>
      <c r="E30305" s="8">
        <v>0</v>
      </c>
      <c r="F30305" s="8">
        <v>284</v>
      </c>
    </row>
    <row r="30306" spans="1:6" ht="12.75">
      <c r="A30306" s="8">
        <v>43890.92087962963</v>
      </c>
      <c r="B30306" s="8" t="str">
        <f>HYPERLINK("https://twitter.com/arshasen","@arshasen")</f>
        <v>@arshasen</v>
      </c>
      <c r="C30306" s="8" t="s">
        <v>11471</v>
      </c>
      <c r="D30306" s="8">
        <v>0</v>
      </c>
      <c r="E30306" s="8">
        <v>0</v>
      </c>
      <c r="F30306" s="8">
        <v>348</v>
      </c>
    </row>
    <row r="30307" spans="1:6" ht="12.75">
      <c r="A30307" s="8">
        <v>43890.92087962963</v>
      </c>
      <c r="B30307" s="8" t="str">
        <f>HYPERLINK("https://twitter.com/taufiekdh","@taufiekdh")</f>
        <v>@taufiekdh</v>
      </c>
      <c r="C30307" s="8" t="s">
        <v>6836</v>
      </c>
      <c r="D30307" s="8">
        <v>495</v>
      </c>
      <c r="E30307" s="8">
        <v>0</v>
      </c>
      <c r="F30307" s="8">
        <v>319</v>
      </c>
    </row>
    <row r="30308" spans="1:6" ht="12.75">
      <c r="A30308" s="8">
        <v>43890.920810185184</v>
      </c>
      <c r="B30308" s="8" t="str">
        <f>HYPERLINK("https://twitter.com/ISIS_Balik_NO","@ISIS_Balik_NO")</f>
        <v>@ISIS_Balik_NO</v>
      </c>
      <c r="C30308" s="8" t="s">
        <v>11472</v>
      </c>
      <c r="D30308" s="8">
        <v>59</v>
      </c>
      <c r="E30308" s="8">
        <v>0</v>
      </c>
      <c r="F30308" s="8">
        <v>6081</v>
      </c>
    </row>
    <row r="30309" spans="1:6" ht="12.75">
      <c r="A30309" s="8">
        <v>43890.920729166668</v>
      </c>
      <c r="B30309" s="8" t="str">
        <f>HYPERLINK("https://twitter.com/Cuker5Pwt","@Cuker5Pwt")</f>
        <v>@Cuker5Pwt</v>
      </c>
      <c r="C30309" s="8" t="s">
        <v>11473</v>
      </c>
      <c r="D30309" s="8">
        <v>0</v>
      </c>
      <c r="E30309" s="8">
        <v>0</v>
      </c>
      <c r="F30309" s="8">
        <v>1913</v>
      </c>
    </row>
    <row r="30310" spans="1:6" ht="12.75">
      <c r="A30310" s="8">
        <v>43890.920567129629</v>
      </c>
      <c r="B30310" s="8" t="str">
        <f>HYPERLINK("https://twitter.com/rarvianadya","@rarvianadya")</f>
        <v>@rarvianadya</v>
      </c>
      <c r="C30310" s="8" t="s">
        <v>11474</v>
      </c>
      <c r="D30310" s="8">
        <v>2</v>
      </c>
      <c r="E30310" s="8">
        <v>0</v>
      </c>
      <c r="F30310" s="8">
        <v>309</v>
      </c>
    </row>
    <row r="30311" spans="1:6" ht="12.75">
      <c r="A30311" s="8">
        <v>43890.920312499999</v>
      </c>
      <c r="B30311" s="8" t="str">
        <f>HYPERLINK("https://twitter.com/ISIS_Balik_NO","@ISIS_Balik_NO")</f>
        <v>@ISIS_Balik_NO</v>
      </c>
      <c r="C30311" s="8" t="s">
        <v>11475</v>
      </c>
      <c r="D30311" s="8">
        <v>0</v>
      </c>
      <c r="E30311" s="8">
        <v>0</v>
      </c>
      <c r="F30311" s="8">
        <v>6081</v>
      </c>
    </row>
    <row r="30312" spans="1:6" ht="12.75">
      <c r="A30312" s="8">
        <v>43890.920057870375</v>
      </c>
      <c r="B30312" s="8" t="str">
        <f>HYPERLINK("https://twitter.com/McSofyan","@McSofyan")</f>
        <v>@McSofyan</v>
      </c>
      <c r="C30312" s="8" t="s">
        <v>11160</v>
      </c>
      <c r="D30312" s="8">
        <v>11</v>
      </c>
      <c r="E30312" s="8">
        <v>0</v>
      </c>
      <c r="F30312" s="8">
        <v>431</v>
      </c>
    </row>
    <row r="30313" spans="1:6" ht="12.75">
      <c r="A30313" s="8">
        <v>43890.920046296298</v>
      </c>
      <c r="B30313" s="8" t="str">
        <f>HYPERLINK("https://twitter.com/lord_sbt","@lord_sbt")</f>
        <v>@lord_sbt</v>
      </c>
      <c r="C30313" s="8" t="s">
        <v>10811</v>
      </c>
      <c r="D30313" s="8">
        <v>232</v>
      </c>
      <c r="E30313" s="8">
        <v>0</v>
      </c>
      <c r="F30313" s="8">
        <v>715</v>
      </c>
    </row>
    <row r="30314" spans="1:6" ht="12.75">
      <c r="A30314" s="8">
        <v>43890.919942129629</v>
      </c>
      <c r="B30314" s="8" t="str">
        <f>HYPERLINK("https://twitter.com/SiJombloKreatif","@SiJombloKreatif")</f>
        <v>@SiJombloKreatif</v>
      </c>
      <c r="C30314" s="8" t="s">
        <v>11476</v>
      </c>
      <c r="D30314" s="8">
        <v>1</v>
      </c>
      <c r="E30314" s="8">
        <v>0</v>
      </c>
      <c r="F30314" s="8">
        <v>121711</v>
      </c>
    </row>
    <row r="30315" spans="1:6" ht="12.75">
      <c r="A30315" s="8">
        <v>43890.919803240744</v>
      </c>
      <c r="B30315" s="8" t="str">
        <f>HYPERLINK("https://twitter.com/rarvianadya","@rarvianadya")</f>
        <v>@rarvianadya</v>
      </c>
      <c r="C30315" s="8" t="s">
        <v>11477</v>
      </c>
      <c r="D30315" s="8">
        <v>0</v>
      </c>
      <c r="E30315" s="8">
        <v>0</v>
      </c>
      <c r="F30315" s="8">
        <v>309</v>
      </c>
    </row>
    <row r="30316" spans="1:6" ht="12.75">
      <c r="A30316" s="8">
        <v>43890.919594907406</v>
      </c>
      <c r="B30316" s="8" t="str">
        <f>HYPERLINK("https://twitter.com/SiJombloKreatif","@SiJombloKreatif")</f>
        <v>@SiJombloKreatif</v>
      </c>
      <c r="C30316" s="8" t="s">
        <v>11478</v>
      </c>
      <c r="D30316" s="8">
        <v>1</v>
      </c>
      <c r="E30316" s="8">
        <v>0</v>
      </c>
      <c r="F30316" s="8">
        <v>121711</v>
      </c>
    </row>
    <row r="30317" spans="1:6" ht="12.75">
      <c r="A30317" s="8">
        <v>43890.919560185182</v>
      </c>
      <c r="B30317" s="8" t="str">
        <f>HYPERLINK("https://twitter.com/Hazli_NHZS","@Hazli_NHZS")</f>
        <v>@Hazli_NHZS</v>
      </c>
      <c r="C30317" s="8" t="s">
        <v>11426</v>
      </c>
      <c r="D30317" s="8">
        <v>52</v>
      </c>
      <c r="E30317" s="8">
        <v>0</v>
      </c>
      <c r="F30317" s="8">
        <v>163</v>
      </c>
    </row>
    <row r="30318" spans="1:6" ht="12.75">
      <c r="A30318" s="8">
        <v>43890.919386574074</v>
      </c>
      <c r="B30318" s="8" t="str">
        <f>HYPERLINK("https://twitter.com/AnakKolong___","@AnakKolong___")</f>
        <v>@AnakKolong___</v>
      </c>
      <c r="C30318" s="8" t="s">
        <v>8204</v>
      </c>
      <c r="D30318" s="8">
        <v>8</v>
      </c>
      <c r="E30318" s="8">
        <v>0</v>
      </c>
      <c r="F30318" s="8">
        <v>7304</v>
      </c>
    </row>
    <row r="30319" spans="1:6" ht="12.75">
      <c r="A30319" s="8">
        <v>43890.919305555552</v>
      </c>
      <c r="B30319" s="8" t="str">
        <f>HYPERLINK("https://twitter.com/ztw868992","@ztw868992")</f>
        <v>@ztw868992</v>
      </c>
      <c r="C30319" s="8" t="s">
        <v>10600</v>
      </c>
      <c r="D30319" s="8">
        <v>99</v>
      </c>
      <c r="E30319" s="8">
        <v>0</v>
      </c>
      <c r="F30319" s="8">
        <v>3656</v>
      </c>
    </row>
    <row r="30320" spans="1:6" ht="12.75">
      <c r="A30320" s="8">
        <v>43890.919293981482</v>
      </c>
      <c r="B30320" s="8" t="str">
        <f>HYPERLINK("https://twitter.com/Izznaq","@Izznaq")</f>
        <v>@Izznaq</v>
      </c>
      <c r="C30320" s="8" t="s">
        <v>10811</v>
      </c>
      <c r="D30320" s="8">
        <v>232</v>
      </c>
      <c r="E30320" s="8">
        <v>0</v>
      </c>
      <c r="F30320" s="8">
        <v>907</v>
      </c>
    </row>
    <row r="30321" spans="1:6" ht="12.75">
      <c r="A30321" s="8">
        <v>43890.91909722222</v>
      </c>
      <c r="B30321" s="8" t="str">
        <f>HYPERLINK("https://twitter.com/andrejeconiaaa","@andrejeconiaaa")</f>
        <v>@andrejeconiaaa</v>
      </c>
      <c r="C30321" s="8" t="s">
        <v>2941</v>
      </c>
      <c r="D30321" s="8">
        <v>1091</v>
      </c>
      <c r="E30321" s="8">
        <v>0</v>
      </c>
      <c r="F30321" s="8">
        <v>2247</v>
      </c>
    </row>
    <row r="30322" spans="1:6" ht="12.75">
      <c r="A30322" s="8">
        <v>43890.918912037036</v>
      </c>
      <c r="B30322" s="8" t="str">
        <f>HYPERLINK("https://twitter.com/Ayiev_akbar","@Ayiev_akbar")</f>
        <v>@Ayiev_akbar</v>
      </c>
      <c r="C30322" s="8" t="s">
        <v>11479</v>
      </c>
      <c r="D30322" s="8">
        <v>5</v>
      </c>
      <c r="E30322" s="8">
        <v>0</v>
      </c>
      <c r="F30322" s="8">
        <v>304</v>
      </c>
    </row>
    <row r="30323" spans="1:6" ht="12.75">
      <c r="A30323" s="8">
        <v>43890.918715277774</v>
      </c>
      <c r="B30323" s="8" t="str">
        <f>HYPERLINK("https://twitter.com/ISIS_Balik_NO","@ISIS_Balik_NO")</f>
        <v>@ISIS_Balik_NO</v>
      </c>
      <c r="C30323" s="8" t="s">
        <v>11480</v>
      </c>
      <c r="D30323" s="8">
        <v>0</v>
      </c>
      <c r="E30323" s="8">
        <v>1</v>
      </c>
      <c r="F30323" s="8">
        <v>6081</v>
      </c>
    </row>
    <row r="30324" spans="1:6" ht="12.75">
      <c r="A30324" s="8">
        <v>43890.918611111112</v>
      </c>
      <c r="B30324" s="8" t="str">
        <f>HYPERLINK("https://twitter.com/sunot_057","@sunot_057")</f>
        <v>@sunot_057</v>
      </c>
      <c r="C30324" s="8" t="s">
        <v>10755</v>
      </c>
      <c r="D30324" s="8">
        <v>699</v>
      </c>
      <c r="E30324" s="8">
        <v>0</v>
      </c>
      <c r="F30324" s="8">
        <v>122</v>
      </c>
    </row>
    <row r="30325" spans="1:6" ht="12.75">
      <c r="A30325" s="8">
        <v>43890.918611111112</v>
      </c>
      <c r="B30325" s="8" t="str">
        <f>HYPERLINK("https://twitter.com/ysjohn345","@ysjohn345")</f>
        <v>@ysjohn345</v>
      </c>
      <c r="C30325" s="8" t="s">
        <v>7437</v>
      </c>
      <c r="D30325" s="8">
        <v>271</v>
      </c>
      <c r="E30325" s="8">
        <v>0</v>
      </c>
      <c r="F30325" s="8">
        <v>8</v>
      </c>
    </row>
    <row r="30326" spans="1:6" ht="12.75">
      <c r="A30326" s="8">
        <v>43890.918587962966</v>
      </c>
      <c r="B30326" s="8" t="str">
        <f>HYPERLINK("https://twitter.com/ayufentiasari","@ayufentiasari")</f>
        <v>@ayufentiasari</v>
      </c>
      <c r="C30326" s="8" t="s">
        <v>11481</v>
      </c>
      <c r="D30326" s="8">
        <v>0</v>
      </c>
      <c r="E30326" s="8">
        <v>0</v>
      </c>
      <c r="F30326" s="8">
        <v>186</v>
      </c>
    </row>
    <row r="30327" spans="1:6" ht="12.75">
      <c r="A30327" s="8">
        <v>43890.918495370366</v>
      </c>
      <c r="B30327" s="8" t="str">
        <f>HYPERLINK("https://twitter.com/Oktobaho1","@Oktobaho1")</f>
        <v>@Oktobaho1</v>
      </c>
      <c r="C30327" s="8" t="s">
        <v>10811</v>
      </c>
      <c r="D30327" s="8">
        <v>232</v>
      </c>
      <c r="E30327" s="8">
        <v>0</v>
      </c>
      <c r="F30327" s="8">
        <v>104</v>
      </c>
    </row>
    <row r="30328" spans="1:6" ht="12.75">
      <c r="A30328" s="8">
        <v>43890.918449074074</v>
      </c>
      <c r="B30328" s="8" t="str">
        <f>HYPERLINK("https://twitter.com/YulieNew","@YulieNew")</f>
        <v>@YulieNew</v>
      </c>
      <c r="C30328" s="8" t="s">
        <v>6836</v>
      </c>
      <c r="D30328" s="8">
        <v>495</v>
      </c>
      <c r="E30328" s="8">
        <v>0</v>
      </c>
      <c r="F30328" s="8">
        <v>2460</v>
      </c>
    </row>
    <row r="30329" spans="1:6" ht="12.75">
      <c r="A30329" s="8">
        <v>43890.918437500004</v>
      </c>
      <c r="B30329" s="8" t="str">
        <f>HYPERLINK("https://twitter.com/healthyliveID","@healthyliveID")</f>
        <v>@healthyliveID</v>
      </c>
      <c r="C30329" s="8" t="s">
        <v>11482</v>
      </c>
      <c r="D30329" s="8">
        <v>1</v>
      </c>
      <c r="E30329" s="8">
        <v>0</v>
      </c>
      <c r="F30329" s="8">
        <v>45286</v>
      </c>
    </row>
    <row r="30330" spans="1:6" ht="12.75">
      <c r="A30330" s="8">
        <v>43890.918182870373</v>
      </c>
      <c r="B30330" s="8" t="str">
        <f>HYPERLINK("https://twitter.com/SilalahiFabian","@SilalahiFabian")</f>
        <v>@SilalahiFabian</v>
      </c>
      <c r="C30330" s="8" t="s">
        <v>7437</v>
      </c>
      <c r="D30330" s="8">
        <v>271</v>
      </c>
      <c r="E30330" s="8">
        <v>0</v>
      </c>
      <c r="F30330" s="8">
        <v>169</v>
      </c>
    </row>
    <row r="30331" spans="1:6" ht="12.75">
      <c r="A30331" s="8">
        <v>43890.917997685188</v>
      </c>
      <c r="B30331" s="8" t="str">
        <f>HYPERLINK("https://twitter.com/Widhyaandri","@Widhyaandri")</f>
        <v>@Widhyaandri</v>
      </c>
      <c r="C30331" s="8" t="s">
        <v>11455</v>
      </c>
      <c r="D30331" s="8">
        <v>18</v>
      </c>
      <c r="E30331" s="8">
        <v>0</v>
      </c>
      <c r="F30331" s="8">
        <v>230</v>
      </c>
    </row>
    <row r="30332" spans="1:6" ht="12.75">
      <c r="A30332" s="8">
        <v>43890.917928240742</v>
      </c>
      <c r="B30332" s="8" t="str">
        <f>HYPERLINK("https://twitter.com/himura89517038","@himura89517038")</f>
        <v>@himura89517038</v>
      </c>
      <c r="C30332" s="8" t="s">
        <v>6836</v>
      </c>
      <c r="D30332" s="8">
        <v>495</v>
      </c>
      <c r="E30332" s="8">
        <v>0</v>
      </c>
      <c r="F30332" s="8">
        <v>1684</v>
      </c>
    </row>
    <row r="30333" spans="1:6" ht="12.75">
      <c r="A30333" s="8">
        <v>43890.917743055557</v>
      </c>
      <c r="B30333" s="8" t="str">
        <f t="shared" ref="B30333:B30334" si="423">HYPERLINK("https://twitter.com/ISIS_Balik_NO","@ISIS_Balik_NO")</f>
        <v>@ISIS_Balik_NO</v>
      </c>
      <c r="C30333" s="8" t="s">
        <v>11483</v>
      </c>
      <c r="D30333" s="8">
        <v>0</v>
      </c>
      <c r="E30333" s="8">
        <v>0</v>
      </c>
      <c r="F30333" s="8">
        <v>6081</v>
      </c>
    </row>
    <row r="30334" spans="1:6" ht="12.75">
      <c r="A30334" s="8">
        <v>43890.917395833334</v>
      </c>
      <c r="B30334" s="8" t="str">
        <f t="shared" si="423"/>
        <v>@ISIS_Balik_NO</v>
      </c>
      <c r="C30334" s="8" t="s">
        <v>11484</v>
      </c>
      <c r="D30334" s="8">
        <v>22</v>
      </c>
      <c r="E30334" s="8">
        <v>0</v>
      </c>
      <c r="F30334" s="8">
        <v>6081</v>
      </c>
    </row>
    <row r="30335" spans="1:6" ht="12.75">
      <c r="A30335" s="8">
        <v>43890.917233796295</v>
      </c>
      <c r="B30335" s="8" t="str">
        <f>HYPERLINK("https://twitter.com/ellen1999794842","@ellen1999794842")</f>
        <v>@ellen1999794842</v>
      </c>
      <c r="C30335" s="8" t="s">
        <v>11485</v>
      </c>
      <c r="D30335" s="8">
        <v>0</v>
      </c>
      <c r="E30335" s="8">
        <v>0</v>
      </c>
      <c r="F30335" s="8">
        <v>0</v>
      </c>
    </row>
    <row r="30336" spans="1:6" ht="12.75">
      <c r="A30336" s="8">
        <v>43890.917222222226</v>
      </c>
      <c r="B30336" s="8" t="str">
        <f>HYPERLINK("https://twitter.com/KBRITokyo","@KBRITokyo")</f>
        <v>@KBRITokyo</v>
      </c>
      <c r="C30336" s="8" t="s">
        <v>11486</v>
      </c>
      <c r="D30336" s="8">
        <v>0</v>
      </c>
      <c r="E30336" s="8">
        <v>1</v>
      </c>
      <c r="F30336" s="8">
        <v>19027</v>
      </c>
    </row>
    <row r="30337" spans="1:6" ht="12.75">
      <c r="A30337" s="8">
        <v>43890.917141203703</v>
      </c>
      <c r="B30337" s="8" t="str">
        <f>HYPERLINK("https://twitter.com/AtikahZahidah_","@AtikahZahidah_")</f>
        <v>@AtikahZahidah_</v>
      </c>
      <c r="C30337" s="8" t="s">
        <v>10600</v>
      </c>
      <c r="D30337" s="8">
        <v>99</v>
      </c>
      <c r="E30337" s="8">
        <v>0</v>
      </c>
      <c r="F30337" s="8">
        <v>3340</v>
      </c>
    </row>
    <row r="30338" spans="1:6" ht="12.75">
      <c r="A30338" s="8">
        <v>43890.917141203703</v>
      </c>
      <c r="B30338" s="8" t="str">
        <f>HYPERLINK("https://twitter.com/roy_indra","@roy_indra")</f>
        <v>@roy_indra</v>
      </c>
      <c r="C30338" s="8" t="s">
        <v>7437</v>
      </c>
      <c r="D30338" s="8">
        <v>271</v>
      </c>
      <c r="E30338" s="8">
        <v>0</v>
      </c>
      <c r="F30338" s="8">
        <v>196</v>
      </c>
    </row>
    <row r="30339" spans="1:6" ht="12.75">
      <c r="A30339" s="8">
        <v>43890.917083333334</v>
      </c>
      <c r="B30339" s="8" t="str">
        <f>HYPERLINK("https://twitter.com/mushafiyani","@mushafiyani")</f>
        <v>@mushafiyani</v>
      </c>
      <c r="C30339" s="8" t="s">
        <v>2272</v>
      </c>
      <c r="D30339" s="8">
        <v>50</v>
      </c>
      <c r="E30339" s="8">
        <v>0</v>
      </c>
      <c r="F30339" s="8">
        <v>209</v>
      </c>
    </row>
    <row r="30340" spans="1:6" ht="12.75">
      <c r="A30340" s="8">
        <v>43890.91684027778</v>
      </c>
      <c r="B30340" s="8" t="str">
        <f>HYPERLINK("https://twitter.com/Mujirahadi2","@Mujirahadi2")</f>
        <v>@Mujirahadi2</v>
      </c>
      <c r="C30340" s="8" t="s">
        <v>10600</v>
      </c>
      <c r="D30340" s="8">
        <v>99</v>
      </c>
      <c r="E30340" s="8">
        <v>0</v>
      </c>
      <c r="F30340" s="8">
        <v>1763</v>
      </c>
    </row>
    <row r="30341" spans="1:6" ht="12.75">
      <c r="A30341" s="8">
        <v>43890.91673611111</v>
      </c>
      <c r="B30341" s="8" t="str">
        <f>HYPERLINK("https://twitter.com/idhar_hanifudin","@idhar_hanifudin")</f>
        <v>@idhar_hanifudin</v>
      </c>
      <c r="C30341" s="8" t="s">
        <v>11057</v>
      </c>
      <c r="D30341" s="8">
        <v>6</v>
      </c>
      <c r="E30341" s="8">
        <v>0</v>
      </c>
      <c r="F30341" s="8">
        <v>352</v>
      </c>
    </row>
    <row r="30342" spans="1:6" ht="12.75">
      <c r="A30342" s="8">
        <v>43890.916655092587</v>
      </c>
      <c r="B30342" s="8" t="str">
        <f>HYPERLINK("https://twitter.com/OASakti","@OASakti")</f>
        <v>@OASakti</v>
      </c>
      <c r="C30342" s="8" t="s">
        <v>11057</v>
      </c>
      <c r="D30342" s="8">
        <v>6</v>
      </c>
      <c r="E30342" s="8">
        <v>0</v>
      </c>
      <c r="F30342" s="8">
        <v>95</v>
      </c>
    </row>
    <row r="30343" spans="1:6" ht="12.75">
      <c r="A30343" s="8">
        <v>43890.916550925926</v>
      </c>
      <c r="B30343" s="8" t="str">
        <f t="shared" ref="B30343:B30344" si="424">HYPERLINK("https://twitter.com/healthyliveID","@healthyliveID")</f>
        <v>@healthyliveID</v>
      </c>
      <c r="C30343" s="8" t="s">
        <v>11487</v>
      </c>
      <c r="D30343" s="8">
        <v>7</v>
      </c>
      <c r="E30343" s="8">
        <v>0</v>
      </c>
      <c r="F30343" s="8">
        <v>45286</v>
      </c>
    </row>
    <row r="30344" spans="1:6" ht="12.75">
      <c r="A30344" s="8">
        <v>43890.916493055556</v>
      </c>
      <c r="B30344" s="8" t="str">
        <f t="shared" si="424"/>
        <v>@healthyliveID</v>
      </c>
      <c r="C30344" s="8" t="s">
        <v>11488</v>
      </c>
      <c r="D30344" s="8">
        <v>5</v>
      </c>
      <c r="E30344" s="8">
        <v>0</v>
      </c>
      <c r="F30344" s="8">
        <v>45286</v>
      </c>
    </row>
    <row r="30345" spans="1:6" ht="12.75">
      <c r="A30345" s="8">
        <v>43890.916435185187</v>
      </c>
      <c r="B30345" s="8" t="str">
        <f>HYPERLINK("https://twitter.com/CeriaSinom","@CeriaSinom")</f>
        <v>@CeriaSinom</v>
      </c>
      <c r="C30345" s="8" t="s">
        <v>11200</v>
      </c>
      <c r="D30345" s="8">
        <v>4</v>
      </c>
      <c r="E30345" s="8">
        <v>0</v>
      </c>
      <c r="F30345" s="8">
        <v>144</v>
      </c>
    </row>
    <row r="30346" spans="1:6" ht="12.75">
      <c r="A30346" s="8">
        <v>43890.916296296295</v>
      </c>
      <c r="B30346" s="8" t="str">
        <f>HYPERLINK("https://twitter.com/healthyliveID","@healthyliveID")</f>
        <v>@healthyliveID</v>
      </c>
      <c r="C30346" s="8" t="s">
        <v>11489</v>
      </c>
      <c r="D30346" s="8">
        <v>14</v>
      </c>
      <c r="E30346" s="8">
        <v>0</v>
      </c>
      <c r="F30346" s="8">
        <v>45286</v>
      </c>
    </row>
    <row r="30347" spans="1:6" ht="12.75">
      <c r="A30347" s="8">
        <v>43890.916261574079</v>
      </c>
      <c r="B30347" s="8" t="str">
        <f>HYPERLINK("https://twitter.com/alep_o2","@alep_o2")</f>
        <v>@alep_o2</v>
      </c>
      <c r="C30347" s="8" t="s">
        <v>11490</v>
      </c>
      <c r="D30347" s="8">
        <v>0</v>
      </c>
      <c r="E30347" s="8">
        <v>0</v>
      </c>
      <c r="F30347" s="8">
        <v>804</v>
      </c>
    </row>
    <row r="30348" spans="1:6" ht="12.75">
      <c r="A30348" s="8">
        <v>43890.916226851856</v>
      </c>
      <c r="B30348" s="8" t="str">
        <f>HYPERLINK("https://twitter.com/miQue__","@miQue__")</f>
        <v>@miQue__</v>
      </c>
      <c r="C30348" s="8" t="s">
        <v>6836</v>
      </c>
      <c r="D30348" s="8">
        <v>495</v>
      </c>
      <c r="E30348" s="8">
        <v>0</v>
      </c>
      <c r="F30348" s="8">
        <v>287</v>
      </c>
    </row>
    <row r="30349" spans="1:6" ht="12.75">
      <c r="A30349" s="8">
        <v>43890.915972222225</v>
      </c>
      <c r="B30349" s="8" t="str">
        <f>HYPERLINK("https://twitter.com/Muslih34753397","@Muslih34753397")</f>
        <v>@Muslih34753397</v>
      </c>
      <c r="C30349" s="8" t="s">
        <v>10591</v>
      </c>
      <c r="D30349" s="8">
        <v>11</v>
      </c>
      <c r="E30349" s="8">
        <v>0</v>
      </c>
      <c r="F30349" s="8">
        <v>196</v>
      </c>
    </row>
    <row r="30350" spans="1:6" ht="12.75">
      <c r="A30350" s="8">
        <v>43890.91578703704</v>
      </c>
      <c r="B30350" s="8" t="str">
        <f>HYPERLINK("https://twitter.com/Spider__matriX","@Spider__matriX")</f>
        <v>@Spider__matriX</v>
      </c>
      <c r="C30350" s="8" t="s">
        <v>8190</v>
      </c>
      <c r="D30350" s="8">
        <v>229</v>
      </c>
      <c r="E30350" s="8">
        <v>0</v>
      </c>
      <c r="F30350" s="8">
        <v>4976</v>
      </c>
    </row>
    <row r="30351" spans="1:6" ht="12.75">
      <c r="A30351" s="8">
        <v>43890.91574074074</v>
      </c>
      <c r="B30351" s="8" t="str">
        <f>HYPERLINK("https://twitter.com/ayufentiasari","@ayufentiasari")</f>
        <v>@ayufentiasari</v>
      </c>
      <c r="C30351" s="8" t="s">
        <v>11491</v>
      </c>
      <c r="D30351" s="8">
        <v>0</v>
      </c>
      <c r="E30351" s="8">
        <v>0</v>
      </c>
      <c r="F30351" s="8">
        <v>186</v>
      </c>
    </row>
    <row r="30352" spans="1:6" ht="12.75">
      <c r="A30352" s="8">
        <v>43890.915659722217</v>
      </c>
      <c r="B30352" s="8" t="str">
        <f>HYPERLINK("https://twitter.com/Michael79820241","@Michael79820241")</f>
        <v>@Michael79820241</v>
      </c>
      <c r="C30352" s="8" t="s">
        <v>10591</v>
      </c>
      <c r="D30352" s="8">
        <v>11</v>
      </c>
      <c r="E30352" s="8">
        <v>0</v>
      </c>
      <c r="F30352" s="8">
        <v>110</v>
      </c>
    </row>
    <row r="30353" spans="1:6" ht="12.75">
      <c r="A30353" s="8">
        <v>43890.915613425925</v>
      </c>
      <c r="B30353" s="8" t="str">
        <f>HYPERLINK("https://twitter.com/pitro88","@pitro88")</f>
        <v>@pitro88</v>
      </c>
      <c r="C30353" s="8" t="s">
        <v>11492</v>
      </c>
      <c r="D30353" s="8">
        <v>0</v>
      </c>
      <c r="E30353" s="8">
        <v>0</v>
      </c>
      <c r="F30353" s="8">
        <v>657</v>
      </c>
    </row>
    <row r="30354" spans="1:6" ht="12.75">
      <c r="A30354" s="8">
        <v>43890.915555555555</v>
      </c>
      <c r="B30354" s="8" t="str">
        <f>HYPERLINK("https://twitter.com/anjares90","@anjares90")</f>
        <v>@anjares90</v>
      </c>
      <c r="C30354" s="8" t="s">
        <v>11493</v>
      </c>
      <c r="D30354" s="8">
        <v>0</v>
      </c>
      <c r="E30354" s="8">
        <v>0</v>
      </c>
      <c r="F30354" s="8">
        <v>676</v>
      </c>
    </row>
    <row r="30355" spans="1:6" ht="12.75">
      <c r="A30355" s="8">
        <v>43890.915509259255</v>
      </c>
      <c r="B30355" s="8" t="str">
        <f>HYPERLINK("https://twitter.com/Tirex3111","@Tirex3111")</f>
        <v>@Tirex3111</v>
      </c>
      <c r="C30355" s="8" t="s">
        <v>8190</v>
      </c>
      <c r="D30355" s="8">
        <v>229</v>
      </c>
      <c r="E30355" s="8">
        <v>0</v>
      </c>
      <c r="F30355" s="8">
        <v>100</v>
      </c>
    </row>
    <row r="30356" spans="1:6" ht="12.75">
      <c r="A30356" s="8">
        <v>43890.915462962963</v>
      </c>
      <c r="B30356" s="8" t="str">
        <f>HYPERLINK("https://twitter.com/GaliGalau","@GaliGalau")</f>
        <v>@GaliGalau</v>
      </c>
      <c r="C30356" s="8" t="s">
        <v>11109</v>
      </c>
      <c r="D30356" s="8">
        <v>52</v>
      </c>
      <c r="E30356" s="8">
        <v>0</v>
      </c>
      <c r="F30356" s="8">
        <v>353</v>
      </c>
    </row>
    <row r="30357" spans="1:6" ht="12.75">
      <c r="A30357" s="8">
        <v>43890.915300925924</v>
      </c>
      <c r="B30357" s="8" t="str">
        <f>HYPERLINK("https://twitter.com/iHSANthaofiq_","@iHSANthaofiq_")</f>
        <v>@iHSANthaofiq_</v>
      </c>
      <c r="C30357" s="8" t="s">
        <v>7437</v>
      </c>
      <c r="D30357" s="8">
        <v>271</v>
      </c>
      <c r="E30357" s="8">
        <v>0</v>
      </c>
      <c r="F30357" s="8">
        <v>42</v>
      </c>
    </row>
    <row r="30358" spans="1:6" ht="12.75">
      <c r="A30358" s="8">
        <v>43890.915185185186</v>
      </c>
      <c r="B30358" s="8" t="str">
        <f>HYPERLINK("https://twitter.com/Michael79820241","@Michael79820241")</f>
        <v>@Michael79820241</v>
      </c>
      <c r="C30358" s="8" t="s">
        <v>10600</v>
      </c>
      <c r="D30358" s="8">
        <v>99</v>
      </c>
      <c r="E30358" s="8">
        <v>0</v>
      </c>
      <c r="F30358" s="8">
        <v>110</v>
      </c>
    </row>
    <row r="30359" spans="1:6" ht="12.75">
      <c r="A30359" s="8">
        <v>43890.915011574078</v>
      </c>
      <c r="B30359" s="8" t="str">
        <f>HYPERLINK("https://twitter.com/nanonanoxxxx","@nanonanoxxxx")</f>
        <v>@nanonanoxxxx</v>
      </c>
      <c r="C30359" s="8" t="s">
        <v>11057</v>
      </c>
      <c r="D30359" s="8">
        <v>6</v>
      </c>
      <c r="E30359" s="8">
        <v>0</v>
      </c>
      <c r="F30359" s="8">
        <v>71</v>
      </c>
    </row>
    <row r="30360" spans="1:6" ht="12.75">
      <c r="A30360" s="8">
        <v>43890.915000000001</v>
      </c>
      <c r="B30360" s="8" t="str">
        <f>HYPERLINK("https://twitter.com/refuting_isis","@refuting_isis")</f>
        <v>@refuting_isis</v>
      </c>
      <c r="C30360" s="8" t="s">
        <v>11494</v>
      </c>
      <c r="D30360" s="8">
        <v>6</v>
      </c>
      <c r="E30360" s="8">
        <v>0</v>
      </c>
      <c r="F30360" s="8">
        <v>762</v>
      </c>
    </row>
    <row r="30361" spans="1:6" ht="12.75">
      <c r="A30361" s="8">
        <v>43890.914953703701</v>
      </c>
      <c r="B30361" s="8" t="str">
        <f>HYPERLINK("https://twitter.com/woeka_","@woeka_")</f>
        <v>@woeka_</v>
      </c>
      <c r="C30361" s="8" t="s">
        <v>7686</v>
      </c>
      <c r="D30361" s="8">
        <v>742</v>
      </c>
      <c r="E30361" s="8">
        <v>0</v>
      </c>
      <c r="F30361" s="8">
        <v>311</v>
      </c>
    </row>
    <row r="30362" spans="1:6" ht="12.75">
      <c r="A30362" s="8">
        <v>43890.914837962962</v>
      </c>
      <c r="B30362" s="8" t="str">
        <f>HYPERLINK("https://twitter.com/urip_murup","@urip_murup")</f>
        <v>@urip_murup</v>
      </c>
      <c r="C30362" s="8" t="s">
        <v>8190</v>
      </c>
      <c r="D30362" s="8">
        <v>229</v>
      </c>
      <c r="E30362" s="8">
        <v>0</v>
      </c>
      <c r="F30362" s="8">
        <v>239</v>
      </c>
    </row>
    <row r="30363" spans="1:6" ht="12.75">
      <c r="A30363" s="8">
        <v>43890.914780092593</v>
      </c>
      <c r="B30363" s="8" t="str">
        <f>HYPERLINK("https://twitter.com/dubie_tina","@dubie_tina")</f>
        <v>@dubie_tina</v>
      </c>
      <c r="C30363" s="8" t="s">
        <v>11495</v>
      </c>
      <c r="D30363" s="8">
        <v>0</v>
      </c>
      <c r="E30363" s="8">
        <v>0</v>
      </c>
      <c r="F30363" s="8">
        <v>1065</v>
      </c>
    </row>
    <row r="30364" spans="1:6" ht="12.75">
      <c r="A30364" s="8">
        <v>43890.914606481485</v>
      </c>
      <c r="B30364" s="8" t="str">
        <f>HYPERLINK("https://twitter.com/AgengSelo_","@AgengSelo_")</f>
        <v>@AgengSelo_</v>
      </c>
      <c r="C30364" s="8" t="s">
        <v>7686</v>
      </c>
      <c r="D30364" s="8">
        <v>742</v>
      </c>
      <c r="E30364" s="8">
        <v>0</v>
      </c>
      <c r="F30364" s="8">
        <v>30</v>
      </c>
    </row>
    <row r="30365" spans="1:6" ht="12.75">
      <c r="A30365" s="8">
        <v>43890.914560185185</v>
      </c>
      <c r="B30365" s="8" t="str">
        <f>HYPERLINK("https://twitter.com/bung_kum15","@bung_kum15")</f>
        <v>@bung_kum15</v>
      </c>
      <c r="C30365" s="8" t="s">
        <v>11258</v>
      </c>
      <c r="D30365" s="8">
        <v>28</v>
      </c>
      <c r="E30365" s="8">
        <v>0</v>
      </c>
      <c r="F30365" s="8">
        <v>1798</v>
      </c>
    </row>
    <row r="30366" spans="1:6" ht="12.75">
      <c r="A30366" s="8">
        <v>43890.914513888885</v>
      </c>
      <c r="B30366" s="8" t="str">
        <f>HYPERLINK("https://twitter.com/purnomo_jati1","@purnomo_jati1")</f>
        <v>@purnomo_jati1</v>
      </c>
      <c r="C30366" s="8" t="s">
        <v>11105</v>
      </c>
      <c r="D30366" s="8">
        <v>164</v>
      </c>
      <c r="E30366" s="8">
        <v>0</v>
      </c>
      <c r="F30366" s="8">
        <v>337</v>
      </c>
    </row>
    <row r="30367" spans="1:6" ht="12.75">
      <c r="A30367" s="8">
        <v>43890.914317129631</v>
      </c>
      <c r="B30367" s="8" t="str">
        <f>HYPERLINK("https://twitter.com/ahudaya","@ahudaya")</f>
        <v>@ahudaya</v>
      </c>
      <c r="C30367" s="8" t="s">
        <v>11496</v>
      </c>
      <c r="D30367" s="8">
        <v>0</v>
      </c>
      <c r="E30367" s="8">
        <v>0</v>
      </c>
      <c r="F30367" s="8">
        <v>193</v>
      </c>
    </row>
    <row r="30368" spans="1:6" ht="12.75">
      <c r="A30368" s="8">
        <v>43890.914189814815</v>
      </c>
      <c r="B30368" s="8" t="str">
        <f>HYPERLINK("https://twitter.com/HakimWBA","@HakimWBA")</f>
        <v>@HakimWBA</v>
      </c>
      <c r="C30368" s="8" t="s">
        <v>4235</v>
      </c>
      <c r="D30368" s="8">
        <v>1527</v>
      </c>
      <c r="E30368" s="8">
        <v>0</v>
      </c>
      <c r="F30368" s="8">
        <v>6241</v>
      </c>
    </row>
    <row r="30369" spans="1:6" ht="12.75">
      <c r="A30369" s="8">
        <v>43890.913900462961</v>
      </c>
      <c r="B30369" s="8" t="str">
        <f>HYPERLINK("https://twitter.com/shuicidee","@shuicidee")</f>
        <v>@shuicidee</v>
      </c>
      <c r="C30369" s="8" t="s">
        <v>11134</v>
      </c>
      <c r="D30369" s="8">
        <v>13</v>
      </c>
      <c r="E30369" s="8">
        <v>0</v>
      </c>
      <c r="F30369" s="8">
        <v>231</v>
      </c>
    </row>
    <row r="30370" spans="1:6" ht="12.75">
      <c r="A30370" s="8">
        <v>43890.913842592592</v>
      </c>
      <c r="B30370" s="8" t="str">
        <f>HYPERLINK("https://twitter.com/BannedMs","@BannedMs")</f>
        <v>@BannedMs</v>
      </c>
      <c r="C30370" s="8" t="s">
        <v>8746</v>
      </c>
      <c r="D30370" s="8">
        <v>344</v>
      </c>
      <c r="E30370" s="8">
        <v>0</v>
      </c>
      <c r="F30370" s="8">
        <v>734</v>
      </c>
    </row>
    <row r="30371" spans="1:6" ht="12.75">
      <c r="A30371" s="8">
        <v>43890.913842592592</v>
      </c>
      <c r="B30371" s="8" t="str">
        <f>HYPERLINK("https://twitter.com/healthyliveID","@healthyliveID")</f>
        <v>@healthyliveID</v>
      </c>
      <c r="C30371" s="8" t="s">
        <v>11497</v>
      </c>
      <c r="D30371" s="8">
        <v>1</v>
      </c>
      <c r="E30371" s="8">
        <v>0</v>
      </c>
      <c r="F30371" s="8">
        <v>45286</v>
      </c>
    </row>
    <row r="30372" spans="1:6" ht="12.75">
      <c r="A30372" s="8">
        <v>43890.913807870369</v>
      </c>
      <c r="B30372" s="8" t="str">
        <f>HYPERLINK("https://twitter.com/randylela1986","@randylela1986")</f>
        <v>@randylela1986</v>
      </c>
      <c r="C30372" s="8" t="s">
        <v>7686</v>
      </c>
      <c r="D30372" s="8">
        <v>742</v>
      </c>
      <c r="E30372" s="8">
        <v>0</v>
      </c>
      <c r="F30372" s="8">
        <v>1159</v>
      </c>
    </row>
    <row r="30373" spans="1:6" ht="12.75">
      <c r="A30373" s="8">
        <v>43890.9137962963</v>
      </c>
      <c r="B30373" s="8" t="str">
        <f>HYPERLINK("https://twitter.com/hanafie_luqman","@hanafie_luqman")</f>
        <v>@hanafie_luqman</v>
      </c>
      <c r="C30373" s="8" t="s">
        <v>11057</v>
      </c>
      <c r="D30373" s="8">
        <v>6</v>
      </c>
      <c r="E30373" s="8">
        <v>0</v>
      </c>
      <c r="F30373" s="8">
        <v>68</v>
      </c>
    </row>
    <row r="30374" spans="1:6" ht="12.75">
      <c r="A30374" s="8">
        <v>43890.9137962963</v>
      </c>
      <c r="B30374" s="8" t="str">
        <f>HYPERLINK("https://twitter.com/BrahuHarmony","@BrahuHarmony")</f>
        <v>@BrahuHarmony</v>
      </c>
      <c r="C30374" s="8" t="s">
        <v>4235</v>
      </c>
      <c r="D30374" s="8">
        <v>1527</v>
      </c>
      <c r="E30374" s="8">
        <v>0</v>
      </c>
      <c r="F30374" s="8">
        <v>416</v>
      </c>
    </row>
    <row r="30375" spans="1:6" ht="12.75">
      <c r="A30375" s="8">
        <v>43890.913599537038</v>
      </c>
      <c r="B30375" s="8" t="str">
        <f>HYPERLINK("https://twitter.com/urip_murup","@urip_murup")</f>
        <v>@urip_murup</v>
      </c>
      <c r="C30375" s="8" t="s">
        <v>7766</v>
      </c>
      <c r="D30375" s="8">
        <v>6</v>
      </c>
      <c r="E30375" s="8">
        <v>0</v>
      </c>
      <c r="F30375" s="8">
        <v>239</v>
      </c>
    </row>
    <row r="30376" spans="1:6" ht="12.75">
      <c r="A30376" s="8">
        <v>43890.913275462968</v>
      </c>
      <c r="B30376" s="8" t="str">
        <f>HYPERLINK("https://twitter.com/healthyliveID","@healthyliveID")</f>
        <v>@healthyliveID</v>
      </c>
      <c r="C30376" s="8" t="s">
        <v>11498</v>
      </c>
      <c r="D30376" s="8">
        <v>0</v>
      </c>
      <c r="E30376" s="8">
        <v>0</v>
      </c>
      <c r="F30376" s="8">
        <v>45286</v>
      </c>
    </row>
    <row r="30377" spans="1:6" ht="12.75">
      <c r="A30377" s="8">
        <v>43890.913217592592</v>
      </c>
      <c r="B30377" s="8" t="str">
        <f>HYPERLINK("https://twitter.com/meiokage","@meiokage")</f>
        <v>@meiokage</v>
      </c>
      <c r="C30377" s="8" t="s">
        <v>7437</v>
      </c>
      <c r="D30377" s="8">
        <v>271</v>
      </c>
      <c r="E30377" s="8">
        <v>0</v>
      </c>
      <c r="F30377" s="8">
        <v>59</v>
      </c>
    </row>
    <row r="30378" spans="1:6" ht="12.75">
      <c r="A30378" s="8">
        <v>43890.912974537037</v>
      </c>
      <c r="B30378" s="8" t="str">
        <f>HYPERLINK("https://twitter.com/hemaviton99","@hemaviton99")</f>
        <v>@hemaviton99</v>
      </c>
      <c r="C30378" s="8" t="s">
        <v>11258</v>
      </c>
      <c r="D30378" s="8">
        <v>28</v>
      </c>
      <c r="E30378" s="8">
        <v>0</v>
      </c>
      <c r="F30378" s="8">
        <v>5190</v>
      </c>
    </row>
    <row r="30379" spans="1:6" ht="12.75">
      <c r="A30379" s="8">
        <v>43890.912962962961</v>
      </c>
      <c r="B30379" s="8" t="str">
        <f>HYPERLINK("https://twitter.com/doobidubabb","@doobidubabb")</f>
        <v>@doobidubabb</v>
      </c>
      <c r="C30379" s="8" t="s">
        <v>11499</v>
      </c>
      <c r="D30379" s="8">
        <v>0</v>
      </c>
      <c r="E30379" s="8">
        <v>0</v>
      </c>
      <c r="F30379" s="8">
        <v>1508</v>
      </c>
    </row>
    <row r="30380" spans="1:6" ht="12.75">
      <c r="A30380" s="8">
        <v>43890.912881944445</v>
      </c>
      <c r="B30380" s="8" t="str">
        <f>HYPERLINK("https://twitter.com/dias6969","@dias6969")</f>
        <v>@dias6969</v>
      </c>
      <c r="C30380" s="8" t="s">
        <v>8190</v>
      </c>
      <c r="D30380" s="8">
        <v>229</v>
      </c>
      <c r="E30380" s="8">
        <v>0</v>
      </c>
      <c r="F30380" s="8">
        <v>59091</v>
      </c>
    </row>
    <row r="30381" spans="1:6" ht="12.75">
      <c r="A30381" s="8">
        <v>43890.912627314814</v>
      </c>
      <c r="B30381" s="8" t="str">
        <f>HYPERLINK("https://twitter.com/tsagabi","@tsagabi")</f>
        <v>@tsagabi</v>
      </c>
      <c r="C30381" s="8" t="s">
        <v>11500</v>
      </c>
      <c r="D30381" s="8">
        <v>0</v>
      </c>
      <c r="E30381" s="8">
        <v>0</v>
      </c>
      <c r="F30381" s="8">
        <v>429</v>
      </c>
    </row>
    <row r="30382" spans="1:6" ht="12.75">
      <c r="A30382" s="8">
        <v>43890.912557870368</v>
      </c>
      <c r="B30382" s="8" t="str">
        <f>HYPERLINK("https://twitter.com/rizkiikra","@rizkiikra")</f>
        <v>@rizkiikra</v>
      </c>
      <c r="C30382" s="8" t="s">
        <v>11057</v>
      </c>
      <c r="D30382" s="8">
        <v>6</v>
      </c>
      <c r="E30382" s="8">
        <v>0</v>
      </c>
      <c r="F30382" s="8">
        <v>37</v>
      </c>
    </row>
    <row r="30383" spans="1:6" ht="12.75">
      <c r="A30383" s="8">
        <v>43890.912442129629</v>
      </c>
      <c r="B30383" s="8" t="str">
        <f>HYPERLINK("https://twitter.com/SophiaNerissa","@SophiaNerissa")</f>
        <v>@SophiaNerissa</v>
      </c>
      <c r="C30383" s="8" t="s">
        <v>8746</v>
      </c>
      <c r="D30383" s="8">
        <v>344</v>
      </c>
      <c r="E30383" s="8">
        <v>0</v>
      </c>
      <c r="F30383" s="8">
        <v>6015</v>
      </c>
    </row>
    <row r="30384" spans="1:6" ht="12.75">
      <c r="A30384" s="8">
        <v>43890.912256944444</v>
      </c>
      <c r="B30384" s="8" t="str">
        <f>HYPERLINK("https://twitter.com/rydhslmy","@rydhslmy")</f>
        <v>@rydhslmy</v>
      </c>
      <c r="C30384" s="8" t="s">
        <v>11501</v>
      </c>
      <c r="D30384" s="8">
        <v>0</v>
      </c>
      <c r="E30384" s="8">
        <v>0</v>
      </c>
      <c r="F30384" s="8">
        <v>61</v>
      </c>
    </row>
    <row r="30385" spans="1:6" ht="12.75">
      <c r="A30385" s="8">
        <v>43890.912210648152</v>
      </c>
      <c r="B30385" s="8" t="str">
        <f>HYPERLINK("https://twitter.com/ohmygadw","@ohmygadw")</f>
        <v>@ohmygadw</v>
      </c>
      <c r="C30385" s="8" t="s">
        <v>11502</v>
      </c>
      <c r="D30385" s="8">
        <v>0</v>
      </c>
      <c r="E30385" s="8">
        <v>0</v>
      </c>
      <c r="F30385" s="8">
        <v>459</v>
      </c>
    </row>
    <row r="30386" spans="1:6" ht="12.75">
      <c r="A30386" s="8">
        <v>43890.88175925926</v>
      </c>
      <c r="B30386" s="8" t="str">
        <f>HYPERLINK("https://twitter.com/Indianandabori1","@Indianandabori1")</f>
        <v>@Indianandabori1</v>
      </c>
      <c r="C30386" s="8" t="s">
        <v>11503</v>
      </c>
      <c r="D30386" s="8">
        <v>0</v>
      </c>
      <c r="E30386" s="8">
        <v>0</v>
      </c>
      <c r="F30386" s="8">
        <v>2</v>
      </c>
    </row>
    <row r="30387" spans="1:6" ht="12.75">
      <c r="A30387" s="8">
        <v>43890.88175925926</v>
      </c>
      <c r="B30387" s="8" t="str">
        <f>HYPERLINK("https://twitter.com/akubucin17","@akubucin17")</f>
        <v>@akubucin17</v>
      </c>
      <c r="C30387" s="8" t="s">
        <v>11455</v>
      </c>
      <c r="D30387" s="8">
        <v>8</v>
      </c>
      <c r="E30387" s="8">
        <v>0</v>
      </c>
      <c r="F30387" s="8">
        <v>762</v>
      </c>
    </row>
    <row r="30388" spans="1:6" ht="12.75">
      <c r="A30388" s="8">
        <v>43890.881747685184</v>
      </c>
      <c r="B30388" s="8" t="str">
        <f>HYPERLINK("https://twitter.com/tony89bler89","@tony89bler89")</f>
        <v>@tony89bler89</v>
      </c>
      <c r="C30388" s="8" t="s">
        <v>11504</v>
      </c>
      <c r="D30388" s="8">
        <v>0</v>
      </c>
      <c r="E30388" s="8">
        <v>0</v>
      </c>
      <c r="F30388" s="8">
        <v>44</v>
      </c>
    </row>
    <row r="30389" spans="1:6" ht="12.75">
      <c r="A30389" s="8">
        <v>43890.881631944445</v>
      </c>
      <c r="B30389" s="8" t="str">
        <f>HYPERLINK("https://twitter.com/RiaMariiani","@RiaMariiani")</f>
        <v>@RiaMariiani</v>
      </c>
      <c r="C30389" s="8" t="s">
        <v>7437</v>
      </c>
      <c r="D30389" s="8">
        <v>252</v>
      </c>
      <c r="E30389" s="8">
        <v>0</v>
      </c>
      <c r="F30389" s="8">
        <v>17</v>
      </c>
    </row>
    <row r="30390" spans="1:6" ht="12.75">
      <c r="A30390" s="8">
        <v>43890.881354166668</v>
      </c>
      <c r="B30390" s="8" t="str">
        <f>HYPERLINK("https://twitter.com/KompasTV","@KompasTV")</f>
        <v>@KompasTV</v>
      </c>
      <c r="C30390" s="8" t="s">
        <v>11505</v>
      </c>
      <c r="D30390" s="8">
        <v>0</v>
      </c>
      <c r="E30390" s="8">
        <v>0</v>
      </c>
      <c r="F30390" s="8">
        <v>2951948</v>
      </c>
    </row>
    <row r="30391" spans="1:6" ht="12.75">
      <c r="A30391" s="8">
        <v>43890.881307870368</v>
      </c>
      <c r="B30391" s="8" t="str">
        <f>HYPERLINK("https://twitter.com/asb1203","@asb1203")</f>
        <v>@asb1203</v>
      </c>
      <c r="C30391" s="8" t="s">
        <v>8746</v>
      </c>
      <c r="D30391" s="8">
        <v>324</v>
      </c>
      <c r="E30391" s="8">
        <v>0</v>
      </c>
      <c r="F30391" s="8">
        <v>33</v>
      </c>
    </row>
    <row r="30392" spans="1:6" ht="12.75">
      <c r="A30392" s="8">
        <v>43890.881307870368</v>
      </c>
      <c r="B30392" s="8" t="str">
        <f>HYPERLINK("https://twitter.com/princessvibe12","@princessvibe12")</f>
        <v>@princessvibe12</v>
      </c>
      <c r="C30392" s="8" t="s">
        <v>11506</v>
      </c>
      <c r="D30392" s="8">
        <v>0</v>
      </c>
      <c r="E30392" s="8">
        <v>0</v>
      </c>
      <c r="F30392" s="8">
        <v>183</v>
      </c>
    </row>
    <row r="30393" spans="1:6" ht="12.75">
      <c r="A30393" s="8">
        <v>43890.881284722222</v>
      </c>
      <c r="B30393" s="8" t="str">
        <f>HYPERLINK("https://twitter.com/Aphrrodite10","@Aphrrodite10")</f>
        <v>@Aphrrodite10</v>
      </c>
      <c r="C30393" s="8" t="s">
        <v>11455</v>
      </c>
      <c r="D30393" s="8">
        <v>8</v>
      </c>
      <c r="E30393" s="8">
        <v>0</v>
      </c>
      <c r="F30393" s="8">
        <v>394</v>
      </c>
    </row>
    <row r="30394" spans="1:6" ht="12.75">
      <c r="A30394" s="8">
        <v>43890.881238425922</v>
      </c>
      <c r="B30394" s="8" t="str">
        <f>HYPERLINK("https://twitter.com/FatiinS_L","@FatiinS_L")</f>
        <v>@FatiinS_L</v>
      </c>
      <c r="C30394" s="8" t="s">
        <v>10737</v>
      </c>
      <c r="D30394" s="8">
        <v>8</v>
      </c>
      <c r="E30394" s="8">
        <v>0</v>
      </c>
      <c r="F30394" s="8">
        <v>16424</v>
      </c>
    </row>
    <row r="30395" spans="1:6" ht="12.75">
      <c r="A30395" s="8">
        <v>43890.881192129629</v>
      </c>
      <c r="B30395" s="8" t="str">
        <f>HYPERLINK("https://twitter.com/iwan_75075","@iwan_75075")</f>
        <v>@iwan_75075</v>
      </c>
      <c r="C30395" s="8" t="s">
        <v>11507</v>
      </c>
      <c r="D30395" s="8">
        <v>0</v>
      </c>
      <c r="E30395" s="8">
        <v>0</v>
      </c>
      <c r="F30395" s="8">
        <v>148</v>
      </c>
    </row>
    <row r="30396" spans="1:6" ht="12.75">
      <c r="A30396" s="8">
        <v>43890.881168981483</v>
      </c>
      <c r="B30396" s="8" t="str">
        <f>HYPERLINK("https://twitter.com/frida_rahardjo","@frida_rahardjo")</f>
        <v>@frida_rahardjo</v>
      </c>
      <c r="C30396" s="8" t="s">
        <v>10600</v>
      </c>
      <c r="D30396" s="8">
        <v>67</v>
      </c>
      <c r="E30396" s="8">
        <v>0</v>
      </c>
      <c r="F30396" s="8">
        <v>1463</v>
      </c>
    </row>
    <row r="30397" spans="1:6" ht="12.75">
      <c r="A30397" s="8">
        <v>43890.88108796296</v>
      </c>
      <c r="B30397" s="8" t="str">
        <f>HYPERLINK("https://twitter.com/2020_STMJ","@2020_STMJ")</f>
        <v>@2020_STMJ</v>
      </c>
      <c r="C30397" s="8" t="s">
        <v>11420</v>
      </c>
      <c r="D30397" s="8">
        <v>35</v>
      </c>
      <c r="E30397" s="8">
        <v>0</v>
      </c>
      <c r="F30397" s="8">
        <v>3547</v>
      </c>
    </row>
    <row r="30398" spans="1:6" ht="12.75">
      <c r="A30398" s="8">
        <v>43890.881076388891</v>
      </c>
      <c r="B30398" s="8" t="str">
        <f>HYPERLINK("https://twitter.com/PapahEndut","@PapahEndut")</f>
        <v>@PapahEndut</v>
      </c>
      <c r="C30398" s="8" t="s">
        <v>11508</v>
      </c>
      <c r="D30398" s="8">
        <v>0</v>
      </c>
      <c r="E30398" s="8">
        <v>0</v>
      </c>
      <c r="F30398" s="8">
        <v>2832</v>
      </c>
    </row>
    <row r="30399" spans="1:6" ht="12.75">
      <c r="A30399" s="8">
        <v>43890.881018518514</v>
      </c>
      <c r="B30399" s="8" t="str">
        <f>HYPERLINK("https://twitter.com/FatiinS_L","@FatiinS_L")</f>
        <v>@FatiinS_L</v>
      </c>
      <c r="C30399" s="8" t="s">
        <v>10733</v>
      </c>
      <c r="D30399" s="8">
        <v>5</v>
      </c>
      <c r="E30399" s="8">
        <v>0</v>
      </c>
      <c r="F30399" s="8">
        <v>16424</v>
      </c>
    </row>
    <row r="30400" spans="1:6" ht="12.75">
      <c r="A30400" s="8">
        <v>43890.880937499998</v>
      </c>
      <c r="B30400" s="8" t="str">
        <f>HYPERLINK("https://twitter.com/LPinggiran","@LPinggiran")</f>
        <v>@LPinggiran</v>
      </c>
      <c r="C30400" s="8" t="s">
        <v>7437</v>
      </c>
      <c r="D30400" s="8">
        <v>252</v>
      </c>
      <c r="E30400" s="8">
        <v>0</v>
      </c>
      <c r="F30400" s="8">
        <v>1410</v>
      </c>
    </row>
    <row r="30401" spans="1:6" ht="12.75">
      <c r="A30401" s="8">
        <v>43890.880914351852</v>
      </c>
      <c r="B30401" s="8" t="str">
        <f>HYPERLINK("https://twitter.com/bpriady","@bpriady")</f>
        <v>@bpriady</v>
      </c>
      <c r="C30401" s="8" t="s">
        <v>11273</v>
      </c>
      <c r="D30401" s="8">
        <v>28</v>
      </c>
      <c r="E30401" s="8">
        <v>0</v>
      </c>
      <c r="F30401" s="8">
        <v>605</v>
      </c>
    </row>
    <row r="30402" spans="1:6" ht="12.75">
      <c r="A30402" s="8">
        <v>43890.880891203706</v>
      </c>
      <c r="B30402" s="8" t="str">
        <f>HYPERLINK("https://twitter.com/FatiinS_L","@FatiinS_L")</f>
        <v>@FatiinS_L</v>
      </c>
      <c r="C30402" s="8" t="s">
        <v>10734</v>
      </c>
      <c r="D30402" s="8">
        <v>2</v>
      </c>
      <c r="E30402" s="8">
        <v>0</v>
      </c>
      <c r="F30402" s="8">
        <v>16424</v>
      </c>
    </row>
    <row r="30403" spans="1:6" ht="12.75">
      <c r="A30403" s="8">
        <v>43890.880833333329</v>
      </c>
      <c r="B30403" s="8" t="str">
        <f>HYPERLINK("https://twitter.com/loveebeeai","@loveebeeai")</f>
        <v>@loveebeeai</v>
      </c>
      <c r="C30403" s="8" t="s">
        <v>11509</v>
      </c>
      <c r="D30403" s="8">
        <v>0</v>
      </c>
      <c r="E30403" s="8">
        <v>0</v>
      </c>
      <c r="F30403" s="8">
        <v>811</v>
      </c>
    </row>
    <row r="30404" spans="1:6" ht="12.75">
      <c r="A30404" s="8">
        <v>43890.88082175926</v>
      </c>
      <c r="B30404" s="8" t="str">
        <f>HYPERLINK("https://twitter.com/SariiDwinta","@SariiDwinta")</f>
        <v>@SariiDwinta</v>
      </c>
      <c r="C30404" s="8" t="s">
        <v>7437</v>
      </c>
      <c r="D30404" s="8">
        <v>252</v>
      </c>
      <c r="E30404" s="8">
        <v>0</v>
      </c>
      <c r="F30404" s="8">
        <v>23</v>
      </c>
    </row>
    <row r="30405" spans="1:6" ht="12.75">
      <c r="A30405" s="8">
        <v>43890.880555555559</v>
      </c>
      <c r="B30405" s="8" t="str">
        <f>HYPERLINK("https://twitter.com/Lina_A2710","@Lina_A2710")</f>
        <v>@Lina_A2710</v>
      </c>
      <c r="C30405" s="8" t="s">
        <v>11510</v>
      </c>
      <c r="D30405" s="8">
        <v>0</v>
      </c>
      <c r="E30405" s="8">
        <v>0</v>
      </c>
      <c r="F30405" s="8">
        <v>286</v>
      </c>
    </row>
    <row r="30406" spans="1:6" ht="12.75">
      <c r="A30406" s="8">
        <v>43890.880543981482</v>
      </c>
      <c r="B30406" s="8" t="str">
        <f>HYPERLINK("https://twitter.com/OldboyzamanNow","@OldboyzamanNow")</f>
        <v>@OldboyzamanNow</v>
      </c>
      <c r="C30406" s="8" t="s">
        <v>8746</v>
      </c>
      <c r="D30406" s="8">
        <v>324</v>
      </c>
      <c r="E30406" s="8">
        <v>0</v>
      </c>
      <c r="F30406" s="8">
        <v>1109</v>
      </c>
    </row>
    <row r="30407" spans="1:6" ht="12.75">
      <c r="A30407" s="8">
        <v>43890.880497685182</v>
      </c>
      <c r="B30407" s="8" t="str">
        <f>HYPERLINK("https://twitter.com/sya_ipull","@sya_ipull")</f>
        <v>@sya_ipull</v>
      </c>
      <c r="C30407" s="8" t="s">
        <v>11109</v>
      </c>
      <c r="D30407" s="8">
        <v>49</v>
      </c>
      <c r="E30407" s="8">
        <v>0</v>
      </c>
      <c r="F30407" s="8">
        <v>164</v>
      </c>
    </row>
    <row r="30408" spans="1:6" ht="12.75">
      <c r="A30408" s="8">
        <v>43890.88045138889</v>
      </c>
      <c r="B30408" s="8" t="str">
        <f>HYPERLINK("https://twitter.com/Daniipratamaa","@Daniipratamaa")</f>
        <v>@Daniipratamaa</v>
      </c>
      <c r="C30408" s="8" t="s">
        <v>7437</v>
      </c>
      <c r="D30408" s="8">
        <v>252</v>
      </c>
      <c r="E30408" s="8">
        <v>0</v>
      </c>
      <c r="F30408" s="8">
        <v>27</v>
      </c>
    </row>
    <row r="30409" spans="1:6" ht="12.75">
      <c r="A30409" s="8">
        <v>43890.880208333328</v>
      </c>
      <c r="B30409" s="8" t="str">
        <f>HYPERLINK("https://twitter.com/Arifngk","@Arifngk")</f>
        <v>@Arifngk</v>
      </c>
      <c r="C30409" s="8" t="s">
        <v>10391</v>
      </c>
      <c r="D30409" s="8">
        <v>118</v>
      </c>
      <c r="E30409" s="8">
        <v>0</v>
      </c>
      <c r="F30409" s="8">
        <v>509</v>
      </c>
    </row>
    <row r="30410" spans="1:6" ht="12.75">
      <c r="A30410" s="8">
        <v>43890.880173611113</v>
      </c>
      <c r="B30410" s="8" t="str">
        <f>HYPERLINK("https://twitter.com/Setiaguna111","@Setiaguna111")</f>
        <v>@Setiaguna111</v>
      </c>
      <c r="C30410" s="8" t="s">
        <v>10600</v>
      </c>
      <c r="D30410" s="8">
        <v>67</v>
      </c>
      <c r="E30410" s="8">
        <v>0</v>
      </c>
      <c r="F30410" s="8">
        <v>9</v>
      </c>
    </row>
    <row r="30411" spans="1:6" ht="12.75">
      <c r="A30411" s="8">
        <v>43890.880046296297</v>
      </c>
      <c r="B30411" s="8" t="str">
        <f>HYPERLINK("https://twitter.com/ediedot108","@ediedot108")</f>
        <v>@ediedot108</v>
      </c>
      <c r="C30411" s="8" t="s">
        <v>11420</v>
      </c>
      <c r="D30411" s="8">
        <v>35</v>
      </c>
      <c r="E30411" s="8">
        <v>0</v>
      </c>
      <c r="F30411" s="8">
        <v>2262</v>
      </c>
    </row>
    <row r="30412" spans="1:6" ht="12.75">
      <c r="A30412" s="8">
        <v>43890.880023148144</v>
      </c>
      <c r="B30412" s="8" t="str">
        <f>HYPERLINK("https://twitter.com/Komaini_ahmad24","@Komaini_ahmad24")</f>
        <v>@Komaini_ahmad24</v>
      </c>
      <c r="C30412" s="8" t="s">
        <v>2272</v>
      </c>
      <c r="D30412" s="8">
        <v>41</v>
      </c>
      <c r="E30412" s="8">
        <v>0</v>
      </c>
      <c r="F30412" s="8">
        <v>880</v>
      </c>
    </row>
    <row r="30413" spans="1:6" ht="12.75">
      <c r="A30413" s="8">
        <v>43890.879976851851</v>
      </c>
      <c r="B30413" s="8" t="str">
        <f>HYPERLINK("https://twitter.com/hp_astoro","@hp_astoro")</f>
        <v>@hp_astoro</v>
      </c>
      <c r="C30413" s="8" t="s">
        <v>10939</v>
      </c>
      <c r="D30413" s="8">
        <v>157</v>
      </c>
      <c r="E30413" s="8">
        <v>0</v>
      </c>
      <c r="F30413" s="8">
        <v>642</v>
      </c>
    </row>
    <row r="30414" spans="1:6" ht="12.75">
      <c r="A30414" s="8">
        <v>43890.879918981482</v>
      </c>
      <c r="B30414" s="8" t="str">
        <f>HYPERLINK("https://twitter.com/star777up","@star777up")</f>
        <v>@star777up</v>
      </c>
      <c r="C30414" s="8" t="s">
        <v>11511</v>
      </c>
      <c r="D30414" s="8">
        <v>0</v>
      </c>
      <c r="E30414" s="8">
        <v>1</v>
      </c>
      <c r="F30414" s="8">
        <v>1443</v>
      </c>
    </row>
    <row r="30415" spans="1:6" ht="12.75">
      <c r="A30415" s="8">
        <v>43890.879918981482</v>
      </c>
      <c r="B30415" s="8" t="str">
        <f>HYPERLINK("https://twitter.com/Rachmahnah","@Rachmahnah")</f>
        <v>@Rachmahnah</v>
      </c>
      <c r="C30415" s="8" t="s">
        <v>11455</v>
      </c>
      <c r="D30415" s="8">
        <v>8</v>
      </c>
      <c r="E30415" s="8">
        <v>0</v>
      </c>
      <c r="F30415" s="8">
        <v>382</v>
      </c>
    </row>
    <row r="30416" spans="1:6" ht="12.75">
      <c r="A30416" s="8">
        <v>43890.87981481482</v>
      </c>
      <c r="B30416" s="8" t="str">
        <f>HYPERLINK("https://twitter.com/grzzlyxbear","@grzzlyxbear")</f>
        <v>@grzzlyxbear</v>
      </c>
      <c r="C30416" s="8" t="s">
        <v>11512</v>
      </c>
      <c r="D30416" s="8">
        <v>0</v>
      </c>
      <c r="E30416" s="8">
        <v>0</v>
      </c>
      <c r="F30416" s="8">
        <v>164</v>
      </c>
    </row>
    <row r="30417" spans="1:6" ht="12.75">
      <c r="A30417" s="8">
        <v>43890.879791666666</v>
      </c>
      <c r="B30417" s="8" t="str">
        <f>HYPERLINK("https://twitter.com/Rezarecehajaa","@Rezarecehajaa")</f>
        <v>@Rezarecehajaa</v>
      </c>
      <c r="C30417" s="8" t="s">
        <v>7437</v>
      </c>
      <c r="D30417" s="8">
        <v>252</v>
      </c>
      <c r="E30417" s="8">
        <v>0</v>
      </c>
      <c r="F30417" s="8">
        <v>24</v>
      </c>
    </row>
    <row r="30418" spans="1:6" ht="12.75">
      <c r="A30418" s="8">
        <v>43890.879675925928</v>
      </c>
      <c r="B30418" s="8" t="str">
        <f>HYPERLINK("https://twitter.com/revolusipemuda","@revolusipemuda")</f>
        <v>@revolusipemuda</v>
      </c>
      <c r="C30418" s="8" t="s">
        <v>6836</v>
      </c>
      <c r="D30418" s="8">
        <v>474</v>
      </c>
      <c r="E30418" s="8">
        <v>0</v>
      </c>
      <c r="F30418" s="8">
        <v>409</v>
      </c>
    </row>
    <row r="30419" spans="1:6" ht="12.75">
      <c r="A30419" s="8">
        <v>43890.879664351851</v>
      </c>
      <c r="B30419" s="8" t="str">
        <f>HYPERLINK("https://twitter.com/JL_Apatheia","@JL_Apatheia")</f>
        <v>@JL_Apatheia</v>
      </c>
      <c r="C30419" s="8" t="s">
        <v>11513</v>
      </c>
      <c r="D30419" s="8">
        <v>2</v>
      </c>
      <c r="E30419" s="8">
        <v>0</v>
      </c>
      <c r="F30419" s="8">
        <v>2393</v>
      </c>
    </row>
    <row r="30420" spans="1:6" ht="12.75">
      <c r="A30420" s="8">
        <v>43890.879652777774</v>
      </c>
      <c r="B30420" s="8" t="str">
        <f>HYPERLINK("https://twitter.com/ainulhurriyahs","@ainulhurriyahs")</f>
        <v>@ainulhurriyahs</v>
      </c>
      <c r="C30420" s="8" t="s">
        <v>11455</v>
      </c>
      <c r="D30420" s="8">
        <v>8</v>
      </c>
      <c r="E30420" s="8">
        <v>0</v>
      </c>
      <c r="F30420" s="8">
        <v>176</v>
      </c>
    </row>
    <row r="30421" spans="1:6" ht="12.75">
      <c r="A30421" s="8">
        <v>43890.879594907412</v>
      </c>
      <c r="B30421" s="8" t="str">
        <f>HYPERLINK("https://twitter.com/cocotteei","@cocotteei")</f>
        <v>@cocotteei</v>
      </c>
      <c r="C30421" s="8" t="s">
        <v>11455</v>
      </c>
      <c r="D30421" s="8">
        <v>8</v>
      </c>
      <c r="E30421" s="8">
        <v>0</v>
      </c>
      <c r="F30421" s="8">
        <v>292</v>
      </c>
    </row>
    <row r="30422" spans="1:6" ht="12.75">
      <c r="A30422" s="8">
        <v>43890.879560185189</v>
      </c>
      <c r="B30422" s="8" t="str">
        <f>HYPERLINK("https://twitter.com/ket2x","@ket2x")</f>
        <v>@ket2x</v>
      </c>
      <c r="C30422" s="8" t="s">
        <v>11514</v>
      </c>
      <c r="D30422" s="8">
        <v>0</v>
      </c>
      <c r="E30422" s="8">
        <v>0</v>
      </c>
      <c r="F30422" s="8">
        <v>188</v>
      </c>
    </row>
    <row r="30423" spans="1:6" ht="12.75">
      <c r="A30423" s="8">
        <v>43890.879548611112</v>
      </c>
      <c r="B30423" s="8" t="str">
        <f>HYPERLINK("https://twitter.com/qwertyudom","@qwertyudom")</f>
        <v>@qwertyudom</v>
      </c>
      <c r="C30423" s="8" t="s">
        <v>11455</v>
      </c>
      <c r="D30423" s="8">
        <v>8</v>
      </c>
      <c r="E30423" s="8">
        <v>0</v>
      </c>
      <c r="F30423" s="8">
        <v>21</v>
      </c>
    </row>
    <row r="30424" spans="1:6" ht="12.75">
      <c r="A30424" s="8">
        <v>43890.879398148143</v>
      </c>
      <c r="B30424" s="8" t="str">
        <f>HYPERLINK("https://twitter.com/ediedot108","@ediedot108")</f>
        <v>@ediedot108</v>
      </c>
      <c r="C30424" s="8" t="s">
        <v>11515</v>
      </c>
      <c r="D30424" s="8">
        <v>0</v>
      </c>
      <c r="E30424" s="8">
        <v>0</v>
      </c>
      <c r="F30424" s="8">
        <v>2262</v>
      </c>
    </row>
    <row r="30425" spans="1:6" ht="12.75">
      <c r="A30425" s="8">
        <v>43890.879375000004</v>
      </c>
      <c r="B30425" s="8" t="str">
        <f>HYPERLINK("https://twitter.com/RitaSukarjo","@RitaSukarjo")</f>
        <v>@RitaSukarjo</v>
      </c>
      <c r="C30425" s="8" t="s">
        <v>4235</v>
      </c>
      <c r="D30425" s="8">
        <v>1508</v>
      </c>
      <c r="E30425" s="8">
        <v>0</v>
      </c>
      <c r="F30425" s="8">
        <v>406</v>
      </c>
    </row>
    <row r="30426" spans="1:6" ht="12.75">
      <c r="A30426" s="8">
        <v>43890.879328703704</v>
      </c>
      <c r="B30426" s="8" t="str">
        <f>HYPERLINK("https://twitter.com/star777up","@star777up")</f>
        <v>@star777up</v>
      </c>
      <c r="C30426" s="8" t="s">
        <v>11511</v>
      </c>
      <c r="D30426" s="8">
        <v>0</v>
      </c>
      <c r="E30426" s="8">
        <v>1</v>
      </c>
      <c r="F30426" s="8">
        <v>1443</v>
      </c>
    </row>
    <row r="30427" spans="1:6" ht="12.75">
      <c r="A30427" s="8">
        <v>43890.878969907411</v>
      </c>
      <c r="B30427" s="8" t="str">
        <f>HYPERLINK("https://twitter.com/mx_rudy","@mx_rudy")</f>
        <v>@mx_rudy</v>
      </c>
      <c r="C30427" s="8" t="s">
        <v>8190</v>
      </c>
      <c r="D30427" s="8">
        <v>215</v>
      </c>
      <c r="E30427" s="8">
        <v>0</v>
      </c>
      <c r="F30427" s="8">
        <v>844</v>
      </c>
    </row>
    <row r="30428" spans="1:6" ht="12.75">
      <c r="A30428" s="8">
        <v>43890.878900462965</v>
      </c>
      <c r="B30428" s="8" t="str">
        <f>HYPERLINK("https://twitter.com/yougurtseu","@yougurtseu")</f>
        <v>@yougurtseu</v>
      </c>
      <c r="C30428" s="8" t="s">
        <v>11455</v>
      </c>
      <c r="D30428" s="8">
        <v>8</v>
      </c>
      <c r="E30428" s="8">
        <v>0</v>
      </c>
      <c r="F30428" s="8">
        <v>1267</v>
      </c>
    </row>
    <row r="30429" spans="1:6" ht="12.75">
      <c r="A30429" s="8">
        <v>43890.878831018519</v>
      </c>
      <c r="B30429" s="8" t="str">
        <f>HYPERLINK("https://twitter.com/Mizan743","@Mizan743")</f>
        <v>@Mizan743</v>
      </c>
      <c r="C30429" s="8" t="s">
        <v>7437</v>
      </c>
      <c r="D30429" s="8">
        <v>252</v>
      </c>
      <c r="E30429" s="8">
        <v>0</v>
      </c>
      <c r="F30429" s="8">
        <v>727</v>
      </c>
    </row>
    <row r="30430" spans="1:6" ht="12.75">
      <c r="A30430" s="8">
        <v>43890.878831018519</v>
      </c>
      <c r="B30430" s="8" t="str">
        <f>HYPERLINK("https://twitter.com/RachmanS70","@RachmanS70")</f>
        <v>@RachmanS70</v>
      </c>
      <c r="C30430" s="8" t="s">
        <v>7686</v>
      </c>
      <c r="D30430" s="8">
        <v>698</v>
      </c>
      <c r="E30430" s="8">
        <v>0</v>
      </c>
      <c r="F30430" s="8">
        <v>129</v>
      </c>
    </row>
    <row r="30431" spans="1:6" ht="12.75">
      <c r="A30431" s="8">
        <v>43890.878796296296</v>
      </c>
      <c r="B30431" s="8" t="str">
        <f>HYPERLINK("https://twitter.com/erwinzulfikar","@erwinzulfikar")</f>
        <v>@erwinzulfikar</v>
      </c>
      <c r="C30431" s="8" t="s">
        <v>6836</v>
      </c>
      <c r="D30431" s="8">
        <v>474</v>
      </c>
      <c r="E30431" s="8">
        <v>0</v>
      </c>
      <c r="F30431" s="8">
        <v>439</v>
      </c>
    </row>
    <row r="30432" spans="1:6" ht="12.75">
      <c r="A30432" s="8">
        <v>43890.87871527778</v>
      </c>
      <c r="B30432" s="8" t="str">
        <f>HYPERLINK("https://twitter.com/MyBesar","@MyBesar")</f>
        <v>@MyBesar</v>
      </c>
      <c r="C30432" s="8" t="s">
        <v>11516</v>
      </c>
      <c r="D30432" s="8">
        <v>2</v>
      </c>
      <c r="E30432" s="8">
        <v>0</v>
      </c>
      <c r="F30432" s="8">
        <v>1191</v>
      </c>
    </row>
    <row r="30433" spans="1:6" ht="12.75">
      <c r="A30433" s="8">
        <v>43890.878668981481</v>
      </c>
      <c r="B30433" s="8" t="str">
        <f>HYPERLINK("https://twitter.com/hp_astoro","@hp_astoro")</f>
        <v>@hp_astoro</v>
      </c>
      <c r="C30433" s="8" t="s">
        <v>10600</v>
      </c>
      <c r="D30433" s="8">
        <v>67</v>
      </c>
      <c r="E30433" s="8">
        <v>0</v>
      </c>
      <c r="F30433" s="8">
        <v>642</v>
      </c>
    </row>
    <row r="30434" spans="1:6" ht="12.75">
      <c r="A30434" s="8">
        <v>43890.878622685181</v>
      </c>
      <c r="B30434" s="8" t="str">
        <f>HYPERLINK("https://twitter.com/cutiepiereaper","@cutiepiereaper")</f>
        <v>@cutiepiereaper</v>
      </c>
      <c r="C30434" s="8" t="s">
        <v>10413</v>
      </c>
      <c r="D30434" s="8">
        <v>32</v>
      </c>
      <c r="E30434" s="8">
        <v>0</v>
      </c>
      <c r="F30434" s="8">
        <v>1243</v>
      </c>
    </row>
    <row r="30435" spans="1:6" ht="12.75">
      <c r="A30435" s="8">
        <v>43890.878553240742</v>
      </c>
      <c r="B30435" s="8" t="str">
        <f>HYPERLINK("https://twitter.com/tubirfess","@tubirfess")</f>
        <v>@tubirfess</v>
      </c>
      <c r="C30435" s="8" t="s">
        <v>11517</v>
      </c>
      <c r="D30435" s="8">
        <v>8</v>
      </c>
      <c r="E30435" s="8">
        <v>23</v>
      </c>
      <c r="F30435" s="8">
        <v>297997</v>
      </c>
    </row>
    <row r="30436" spans="1:6" ht="12.75">
      <c r="A30436" s="8">
        <v>43890.878472222219</v>
      </c>
      <c r="B30436" s="8" t="str">
        <f>HYPERLINK("https://twitter.com/RuSoet118","@RuSoet118")</f>
        <v>@RuSoet118</v>
      </c>
      <c r="C30436" s="8" t="s">
        <v>11518</v>
      </c>
      <c r="D30436" s="8">
        <v>2</v>
      </c>
      <c r="E30436" s="8">
        <v>0</v>
      </c>
      <c r="F30436" s="8">
        <v>67</v>
      </c>
    </row>
    <row r="30437" spans="1:6" ht="12.75">
      <c r="A30437" s="8">
        <v>43890.878310185188</v>
      </c>
      <c r="B30437" s="8" t="str">
        <f>HYPERLINK("https://twitter.com/gusmania_19","@gusmania_19")</f>
        <v>@gusmania_19</v>
      </c>
      <c r="C30437" s="8" t="s">
        <v>7686</v>
      </c>
      <c r="D30437" s="8">
        <v>698</v>
      </c>
      <c r="E30437" s="8">
        <v>0</v>
      </c>
      <c r="F30437" s="8">
        <v>629</v>
      </c>
    </row>
    <row r="30438" spans="1:6" ht="12.75">
      <c r="A30438" s="8">
        <v>43890.878287037034</v>
      </c>
      <c r="B30438" s="8" t="str">
        <f>HYPERLINK("https://twitter.com/iim666","@iim666")</f>
        <v>@iim666</v>
      </c>
      <c r="C30438" s="8" t="s">
        <v>6836</v>
      </c>
      <c r="D30438" s="8">
        <v>474</v>
      </c>
      <c r="E30438" s="8">
        <v>0</v>
      </c>
      <c r="F30438" s="8">
        <v>318</v>
      </c>
    </row>
    <row r="30439" spans="1:6" ht="12.75">
      <c r="A30439" s="8">
        <v>43890.878148148149</v>
      </c>
      <c r="B30439" s="8" t="str">
        <f>HYPERLINK("https://twitter.com/jiwonlism","@jiwonlism")</f>
        <v>@jiwonlism</v>
      </c>
      <c r="C30439" s="8" t="s">
        <v>11519</v>
      </c>
      <c r="D30439" s="8">
        <v>0</v>
      </c>
      <c r="E30439" s="8">
        <v>0</v>
      </c>
      <c r="F30439" s="8">
        <v>825</v>
      </c>
    </row>
    <row r="30440" spans="1:6" ht="12.75">
      <c r="A30440" s="8">
        <v>43890.878148148149</v>
      </c>
      <c r="B30440" s="8" t="str">
        <f>HYPERLINK("https://twitter.com/budihooliganz9","@budihooliganz9")</f>
        <v>@budihooliganz9</v>
      </c>
      <c r="C30440" s="8" t="s">
        <v>7686</v>
      </c>
      <c r="D30440" s="8">
        <v>698</v>
      </c>
      <c r="E30440" s="8">
        <v>0</v>
      </c>
      <c r="F30440" s="8">
        <v>125</v>
      </c>
    </row>
    <row r="30441" spans="1:6" ht="12.75">
      <c r="A30441" s="8">
        <v>43890.878125000003</v>
      </c>
      <c r="B30441" s="8" t="str">
        <f>HYPERLINK("https://twitter.com/AhmadMunif01","@AhmadMunif01")</f>
        <v>@AhmadMunif01</v>
      </c>
      <c r="C30441" s="8" t="s">
        <v>11520</v>
      </c>
      <c r="D30441" s="8">
        <v>0</v>
      </c>
      <c r="E30441" s="8">
        <v>0</v>
      </c>
      <c r="F30441" s="8">
        <v>1439</v>
      </c>
    </row>
    <row r="30442" spans="1:6" ht="12.75">
      <c r="A30442" s="8">
        <v>43890.87773148148</v>
      </c>
      <c r="B30442" s="8" t="str">
        <f>HYPERLINK("https://twitter.com/MIBAgent_","@MIBAgent_")</f>
        <v>@MIBAgent_</v>
      </c>
      <c r="C30442" s="8" t="s">
        <v>11521</v>
      </c>
      <c r="D30442" s="8">
        <v>0</v>
      </c>
      <c r="E30442" s="8">
        <v>0</v>
      </c>
      <c r="F30442" s="8">
        <v>3901</v>
      </c>
    </row>
    <row r="30443" spans="1:6" ht="12.75">
      <c r="A30443" s="8">
        <v>43890.87771990741</v>
      </c>
      <c r="B30443" s="8" t="str">
        <f>HYPERLINK("https://twitter.com/FikriElkamali","@FikriElkamali")</f>
        <v>@FikriElkamali</v>
      </c>
      <c r="C30443" s="8" t="s">
        <v>10600</v>
      </c>
      <c r="D30443" s="8">
        <v>67</v>
      </c>
      <c r="E30443" s="8">
        <v>0</v>
      </c>
      <c r="F30443" s="8">
        <v>239</v>
      </c>
    </row>
    <row r="30444" spans="1:6" ht="12.75">
      <c r="A30444" s="8">
        <v>43890.877638888887</v>
      </c>
      <c r="B30444" s="8" t="str">
        <f>HYPERLINK("https://twitter.com/LKertiawan","@LKertiawan")</f>
        <v>@LKertiawan</v>
      </c>
      <c r="C30444" s="8" t="s">
        <v>6836</v>
      </c>
      <c r="D30444" s="8">
        <v>474</v>
      </c>
      <c r="E30444" s="8">
        <v>0</v>
      </c>
      <c r="F30444" s="8">
        <v>119</v>
      </c>
    </row>
    <row r="30445" spans="1:6" ht="12.75">
      <c r="A30445" s="8">
        <v>43890.877500000002</v>
      </c>
      <c r="B30445" s="8" t="str">
        <f>HYPERLINK("https://twitter.com/KomarUjjj3","@KomarUjjj3")</f>
        <v>@KomarUjjj3</v>
      </c>
      <c r="C30445" s="8" t="s">
        <v>8190</v>
      </c>
      <c r="D30445" s="8">
        <v>215</v>
      </c>
      <c r="E30445" s="8">
        <v>0</v>
      </c>
      <c r="F30445" s="8">
        <v>24</v>
      </c>
    </row>
    <row r="30446" spans="1:6" ht="12.75">
      <c r="A30446" s="8">
        <v>43890.877453703702</v>
      </c>
      <c r="B30446" s="8" t="str">
        <f>HYPERLINK("https://twitter.com/Arief7009","@Arief7009")</f>
        <v>@Arief7009</v>
      </c>
      <c r="C30446" s="8" t="s">
        <v>8190</v>
      </c>
      <c r="D30446" s="8">
        <v>215</v>
      </c>
      <c r="E30446" s="8">
        <v>0</v>
      </c>
      <c r="F30446" s="8">
        <v>1655</v>
      </c>
    </row>
    <row r="30447" spans="1:6" ht="12.75">
      <c r="A30447" s="8">
        <v>43890.87736111111</v>
      </c>
      <c r="B30447" s="8" t="str">
        <f>HYPERLINK("https://twitter.com/anugrahandi","@anugrahandi")</f>
        <v>@anugrahandi</v>
      </c>
      <c r="C30447" s="8" t="s">
        <v>11522</v>
      </c>
      <c r="D30447" s="8">
        <v>1</v>
      </c>
      <c r="E30447" s="8">
        <v>0</v>
      </c>
      <c r="F30447" s="8">
        <v>303</v>
      </c>
    </row>
    <row r="30448" spans="1:6" ht="12.75">
      <c r="A30448" s="8">
        <v>43890.877222222218</v>
      </c>
      <c r="B30448" s="8" t="str">
        <f>HYPERLINK("https://twitter.com/jamallaoedin","@jamallaoedin")</f>
        <v>@jamallaoedin</v>
      </c>
      <c r="C30448" s="8" t="s">
        <v>10600</v>
      </c>
      <c r="D30448" s="8">
        <v>67</v>
      </c>
      <c r="E30448" s="8">
        <v>0</v>
      </c>
      <c r="F30448" s="8">
        <v>254</v>
      </c>
    </row>
    <row r="30449" spans="1:6" ht="12.75">
      <c r="A30449" s="8">
        <v>43890.877175925925</v>
      </c>
      <c r="B30449" s="8" t="str">
        <f>HYPERLINK("https://twitter.com/555masteng","@555masteng")</f>
        <v>@555masteng</v>
      </c>
      <c r="C30449" s="8" t="s">
        <v>11105</v>
      </c>
      <c r="D30449" s="8">
        <v>160</v>
      </c>
      <c r="E30449" s="8">
        <v>0</v>
      </c>
      <c r="F30449" s="8">
        <v>5520</v>
      </c>
    </row>
    <row r="30450" spans="1:6" ht="12.75">
      <c r="A30450" s="8">
        <v>43890.877129629633</v>
      </c>
      <c r="B30450" s="8" t="str">
        <f>HYPERLINK("https://twitter.com/jayaslamet","@jayaslamet")</f>
        <v>@jayaslamet</v>
      </c>
      <c r="C30450" s="8" t="s">
        <v>11523</v>
      </c>
      <c r="D30450" s="8">
        <v>8</v>
      </c>
      <c r="E30450" s="8">
        <v>0</v>
      </c>
      <c r="F30450" s="8">
        <v>484</v>
      </c>
    </row>
    <row r="30451" spans="1:6" ht="12.75">
      <c r="A30451" s="8">
        <v>43890.877118055556</v>
      </c>
      <c r="B30451" s="8" t="str">
        <f>HYPERLINK("https://twitter.com/sipooer","@sipooer")</f>
        <v>@sipooer</v>
      </c>
      <c r="C30451" s="8" t="s">
        <v>10811</v>
      </c>
      <c r="D30451" s="8">
        <v>224</v>
      </c>
      <c r="E30451" s="8">
        <v>0</v>
      </c>
      <c r="F30451" s="8">
        <v>149</v>
      </c>
    </row>
    <row r="30452" spans="1:6" ht="12.75">
      <c r="A30452" s="8">
        <v>43890.877106481479</v>
      </c>
      <c r="B30452" s="8" t="str">
        <f>HYPERLINK("https://twitter.com/Girinaldi3","@Girinaldi3")</f>
        <v>@Girinaldi3</v>
      </c>
      <c r="C30452" s="8" t="s">
        <v>8746</v>
      </c>
      <c r="D30452" s="8">
        <v>324</v>
      </c>
      <c r="E30452" s="8">
        <v>0</v>
      </c>
      <c r="F30452" s="8">
        <v>252</v>
      </c>
    </row>
    <row r="30453" spans="1:6" ht="12.75">
      <c r="A30453" s="8">
        <v>43890.87700231481</v>
      </c>
      <c r="B30453" s="8" t="str">
        <f>HYPERLINK("https://twitter.com/abu_waras","@abu_waras")</f>
        <v>@abu_waras</v>
      </c>
      <c r="C30453" s="8" t="s">
        <v>11524</v>
      </c>
      <c r="D30453" s="8">
        <v>0</v>
      </c>
      <c r="E30453" s="8">
        <v>1</v>
      </c>
      <c r="F30453" s="8">
        <v>7541</v>
      </c>
    </row>
    <row r="30454" spans="1:6" ht="12.75">
      <c r="A30454" s="8">
        <v>43890.876655092594</v>
      </c>
      <c r="B30454" s="8" t="str">
        <f>HYPERLINK("https://twitter.com/icok87","@icok87")</f>
        <v>@icok87</v>
      </c>
      <c r="C30454" s="8" t="s">
        <v>10811</v>
      </c>
      <c r="D30454" s="8">
        <v>224</v>
      </c>
      <c r="E30454" s="8">
        <v>0</v>
      </c>
      <c r="F30454" s="8">
        <v>463</v>
      </c>
    </row>
    <row r="30455" spans="1:6" ht="12.75">
      <c r="A30455" s="8">
        <v>43890.876620370371</v>
      </c>
      <c r="B30455" s="8" t="str">
        <f>HYPERLINK("https://twitter.com/clinicalbilge","@clinicalbilge")</f>
        <v>@clinicalbilge</v>
      </c>
      <c r="C30455" s="8" t="s">
        <v>10734</v>
      </c>
      <c r="D30455" s="8">
        <v>2</v>
      </c>
      <c r="E30455" s="8">
        <v>0</v>
      </c>
      <c r="F30455" s="8">
        <v>509</v>
      </c>
    </row>
    <row r="30456" spans="1:6" ht="12.75">
      <c r="A30456" s="8">
        <v>43890.876458333332</v>
      </c>
      <c r="B30456" s="8" t="str">
        <f>HYPERLINK("https://twitter.com/diroshi3770","@diroshi3770")</f>
        <v>@diroshi3770</v>
      </c>
      <c r="C30456" s="8" t="s">
        <v>10600</v>
      </c>
      <c r="D30456" s="8">
        <v>67</v>
      </c>
      <c r="E30456" s="8">
        <v>0</v>
      </c>
      <c r="F30456" s="8">
        <v>1134</v>
      </c>
    </row>
    <row r="30457" spans="1:6" ht="12.75">
      <c r="A30457" s="8">
        <v>43890.876423611116</v>
      </c>
      <c r="B30457" s="8" t="str">
        <f>HYPERLINK("https://twitter.com/lion_nkri","@lion_nkri")</f>
        <v>@lion_nkri</v>
      </c>
      <c r="C30457" s="8" t="s">
        <v>11525</v>
      </c>
      <c r="D30457" s="8">
        <v>0</v>
      </c>
      <c r="E30457" s="8">
        <v>0</v>
      </c>
      <c r="F30457" s="8">
        <v>22</v>
      </c>
    </row>
    <row r="30458" spans="1:6" ht="12.75">
      <c r="A30458" s="8">
        <v>43890.876215277778</v>
      </c>
      <c r="B30458" s="8" t="str">
        <f>HYPERLINK("https://twitter.com/Juno87X","@Juno87X")</f>
        <v>@Juno87X</v>
      </c>
      <c r="C30458" s="8" t="s">
        <v>6836</v>
      </c>
      <c r="D30458" s="8">
        <v>474</v>
      </c>
      <c r="E30458" s="8">
        <v>0</v>
      </c>
      <c r="F30458" s="8">
        <v>326</v>
      </c>
    </row>
    <row r="30459" spans="1:6" ht="12.75">
      <c r="A30459" s="8">
        <v>43890.87600694444</v>
      </c>
      <c r="B30459" s="8" t="str">
        <f>HYPERLINK("https://twitter.com/singgihk8","@singgihk8")</f>
        <v>@singgihk8</v>
      </c>
      <c r="C30459" s="8" t="s">
        <v>7437</v>
      </c>
      <c r="D30459" s="8">
        <v>252</v>
      </c>
      <c r="E30459" s="8">
        <v>0</v>
      </c>
      <c r="F30459" s="8">
        <v>1517</v>
      </c>
    </row>
    <row r="30460" spans="1:6" ht="12.75">
      <c r="A30460" s="8">
        <v>43890.875983796301</v>
      </c>
      <c r="B30460" s="8" t="str">
        <f>HYPERLINK("https://twitter.com/bennydjuwanda","@bennydjuwanda")</f>
        <v>@bennydjuwanda</v>
      </c>
      <c r="C30460" s="8" t="s">
        <v>7437</v>
      </c>
      <c r="D30460" s="8">
        <v>252</v>
      </c>
      <c r="E30460" s="8">
        <v>0</v>
      </c>
      <c r="F30460" s="8">
        <v>314</v>
      </c>
    </row>
    <row r="30461" spans="1:6" ht="12.75">
      <c r="A30461" s="8">
        <v>43890.875949074078</v>
      </c>
      <c r="B30461" s="8" t="str">
        <f>HYPERLINK("https://twitter.com/buter_boemi","@buter_boemi")</f>
        <v>@buter_boemi</v>
      </c>
      <c r="C30461" s="8" t="s">
        <v>11526</v>
      </c>
      <c r="D30461" s="8">
        <v>2</v>
      </c>
      <c r="E30461" s="8">
        <v>0</v>
      </c>
      <c r="F30461" s="8">
        <v>485</v>
      </c>
    </row>
    <row r="30462" spans="1:6" ht="12.75">
      <c r="A30462" s="8">
        <v>43890.875902777778</v>
      </c>
      <c r="B30462" s="8" t="str">
        <f>HYPERLINK("https://twitter.com/amarilis_ayu","@amarilis_ayu")</f>
        <v>@amarilis_ayu</v>
      </c>
      <c r="C30462" s="8" t="s">
        <v>11527</v>
      </c>
      <c r="D30462" s="8">
        <v>0</v>
      </c>
      <c r="E30462" s="8">
        <v>0</v>
      </c>
      <c r="F30462" s="8">
        <v>1370</v>
      </c>
    </row>
    <row r="30463" spans="1:6" ht="12.75">
      <c r="A30463" s="8">
        <v>43890.87568287037</v>
      </c>
      <c r="B30463" s="8" t="str">
        <f>HYPERLINK("https://twitter.com/deiynnn","@deiynnn")</f>
        <v>@deiynnn</v>
      </c>
      <c r="C30463" s="8" t="s">
        <v>10755</v>
      </c>
      <c r="D30463" s="8">
        <v>697</v>
      </c>
      <c r="E30463" s="8">
        <v>0</v>
      </c>
      <c r="F30463" s="8">
        <v>133</v>
      </c>
    </row>
    <row r="30464" spans="1:6" ht="12.75">
      <c r="A30464" s="8">
        <v>43890.875439814816</v>
      </c>
      <c r="B30464" s="8" t="str">
        <f>HYPERLINK("https://twitter.com/cebongpekok","@cebongpekok")</f>
        <v>@cebongpekok</v>
      </c>
      <c r="C30464" s="8" t="s">
        <v>6836</v>
      </c>
      <c r="D30464" s="8">
        <v>474</v>
      </c>
      <c r="E30464" s="8">
        <v>0</v>
      </c>
      <c r="F30464" s="8">
        <v>181</v>
      </c>
    </row>
    <row r="30465" spans="1:6" ht="12.75">
      <c r="A30465" s="8">
        <v>43890.875381944439</v>
      </c>
      <c r="B30465" s="8" t="str">
        <f>HYPERLINK("https://twitter.com/RiantoSutarman","@RiantoSutarman")</f>
        <v>@RiantoSutarman</v>
      </c>
      <c r="C30465" s="8" t="s">
        <v>7686</v>
      </c>
      <c r="D30465" s="8">
        <v>698</v>
      </c>
      <c r="E30465" s="8">
        <v>0</v>
      </c>
      <c r="F30465" s="8">
        <v>58</v>
      </c>
    </row>
    <row r="30466" spans="1:6" ht="12.75">
      <c r="A30466" s="8">
        <v>43890.875208333338</v>
      </c>
      <c r="B30466" s="8" t="str">
        <f>HYPERLINK("https://twitter.com/Valent27125683","@Valent27125683")</f>
        <v>@Valent27125683</v>
      </c>
      <c r="C30466" s="8" t="s">
        <v>7686</v>
      </c>
      <c r="D30466" s="8">
        <v>698</v>
      </c>
      <c r="E30466" s="8">
        <v>0</v>
      </c>
      <c r="F30466" s="8">
        <v>80</v>
      </c>
    </row>
    <row r="30467" spans="1:6" ht="12.75">
      <c r="A30467" s="8">
        <v>43890.875138888892</v>
      </c>
      <c r="B30467" s="8" t="str">
        <f>HYPERLINK("https://twitter.com/DinoAry","@DinoAry")</f>
        <v>@DinoAry</v>
      </c>
      <c r="C30467" s="8" t="s">
        <v>11086</v>
      </c>
      <c r="D30467" s="8">
        <v>16</v>
      </c>
      <c r="E30467" s="8">
        <v>0</v>
      </c>
      <c r="F30467" s="8">
        <v>149</v>
      </c>
    </row>
    <row r="30468" spans="1:6" ht="12.75">
      <c r="A30468" s="8">
        <v>43890.875069444446</v>
      </c>
      <c r="B30468" s="8" t="str">
        <f>HYPERLINK("https://twitter.com/nzm_Silvi","@nzm_Silvi")</f>
        <v>@nzm_Silvi</v>
      </c>
      <c r="C30468" s="8" t="s">
        <v>2272</v>
      </c>
      <c r="D30468" s="8">
        <v>41</v>
      </c>
      <c r="E30468" s="8">
        <v>0</v>
      </c>
      <c r="F30468" s="8">
        <v>437</v>
      </c>
    </row>
    <row r="30469" spans="1:6" ht="12.75">
      <c r="A30469" s="8">
        <v>43890.875046296293</v>
      </c>
      <c r="B30469" s="8" t="str">
        <f>HYPERLINK("https://twitter.com/KemFazHas","@KemFazHas")</f>
        <v>@KemFazHas</v>
      </c>
      <c r="C30469" s="8" t="s">
        <v>2272</v>
      </c>
      <c r="D30469" s="8">
        <v>41</v>
      </c>
      <c r="E30469" s="8">
        <v>0</v>
      </c>
      <c r="F30469" s="8">
        <v>542</v>
      </c>
    </row>
    <row r="30470" spans="1:6" ht="12.75">
      <c r="A30470" s="8">
        <v>43890.874872685185</v>
      </c>
      <c r="B30470" s="8" t="str">
        <f>HYPERLINK("https://twitter.com/RiantoSutarman","@RiantoSutarman")</f>
        <v>@RiantoSutarman</v>
      </c>
      <c r="C30470" s="8" t="s">
        <v>7437</v>
      </c>
      <c r="D30470" s="8">
        <v>252</v>
      </c>
      <c r="E30470" s="8">
        <v>0</v>
      </c>
      <c r="F30470" s="8">
        <v>58</v>
      </c>
    </row>
    <row r="30471" spans="1:6" ht="12.75">
      <c r="A30471" s="8">
        <v>43890.874722222223</v>
      </c>
      <c r="B30471" s="8" t="str">
        <f>HYPERLINK("https://twitter.com/Candraasmara85","@Candraasmara85")</f>
        <v>@Candraasmara85</v>
      </c>
      <c r="C30471" s="8" t="s">
        <v>10600</v>
      </c>
      <c r="D30471" s="8">
        <v>67</v>
      </c>
      <c r="E30471" s="8">
        <v>0</v>
      </c>
      <c r="F30471" s="8">
        <v>10602</v>
      </c>
    </row>
    <row r="30472" spans="1:6" ht="12.75">
      <c r="A30472" s="8">
        <v>43890.874652777777</v>
      </c>
      <c r="B30472" s="8" t="str">
        <f>HYPERLINK("https://twitter.com/sofia_sudarma","@sofia_sudarma")</f>
        <v>@sofia_sudarma</v>
      </c>
      <c r="C30472" s="8" t="s">
        <v>11528</v>
      </c>
      <c r="D30472" s="8">
        <v>3</v>
      </c>
      <c r="E30472" s="8">
        <v>0</v>
      </c>
      <c r="F30472" s="8">
        <v>859</v>
      </c>
    </row>
    <row r="30473" spans="1:6" ht="12.75">
      <c r="A30473" s="8">
        <v>43890.874560185184</v>
      </c>
      <c r="B30473" s="8" t="str">
        <f>HYPERLINK("https://twitter.com/bayuadji_riil","@bayuadji_riil")</f>
        <v>@bayuadji_riil</v>
      </c>
      <c r="C30473" s="8" t="s">
        <v>7686</v>
      </c>
      <c r="D30473" s="8">
        <v>698</v>
      </c>
      <c r="E30473" s="8">
        <v>0</v>
      </c>
      <c r="F30473" s="8">
        <v>116</v>
      </c>
    </row>
    <row r="30474" spans="1:6" ht="12.75">
      <c r="A30474" s="8">
        <v>43890.873912037037</v>
      </c>
      <c r="B30474" s="8" t="str">
        <f>HYPERLINK("https://twitter.com/OficialNikko","@OficialNikko")</f>
        <v>@OficialNikko</v>
      </c>
      <c r="C30474" s="8" t="s">
        <v>10600</v>
      </c>
      <c r="D30474" s="8">
        <v>67</v>
      </c>
      <c r="E30474" s="8">
        <v>0</v>
      </c>
      <c r="F30474" s="8">
        <v>302</v>
      </c>
    </row>
    <row r="30475" spans="1:6" ht="12.75">
      <c r="A30475" s="8">
        <v>43890.873842592591</v>
      </c>
      <c r="B30475" s="8" t="str">
        <f>HYPERLINK("https://twitter.com/icok87","@icok87")</f>
        <v>@icok87</v>
      </c>
      <c r="C30475" s="8" t="s">
        <v>7686</v>
      </c>
      <c r="D30475" s="8">
        <v>698</v>
      </c>
      <c r="E30475" s="8">
        <v>0</v>
      </c>
      <c r="F30475" s="8">
        <v>463</v>
      </c>
    </row>
    <row r="30476" spans="1:6" ht="12.75">
      <c r="A30476" s="8">
        <v>43890.873842592591</v>
      </c>
      <c r="B30476" s="8" t="str">
        <f>HYPERLINK("https://twitter.com/Wa_Gu_Wa","@Wa_Gu_Wa")</f>
        <v>@Wa_Gu_Wa</v>
      </c>
      <c r="C30476" s="8" t="s">
        <v>10600</v>
      </c>
      <c r="D30476" s="8">
        <v>67</v>
      </c>
      <c r="E30476" s="8">
        <v>0</v>
      </c>
      <c r="F30476" s="8">
        <v>301</v>
      </c>
    </row>
    <row r="30477" spans="1:6" ht="12.75">
      <c r="A30477" s="8">
        <v>43890.873726851853</v>
      </c>
      <c r="B30477" s="8" t="str">
        <f>HYPERLINK("https://twitter.com/_beeframen","@_beeframen")</f>
        <v>@_beeframen</v>
      </c>
      <c r="C30477" s="8" t="s">
        <v>4235</v>
      </c>
      <c r="D30477" s="8">
        <v>1508</v>
      </c>
      <c r="E30477" s="8">
        <v>0</v>
      </c>
      <c r="F30477" s="8">
        <v>503</v>
      </c>
    </row>
    <row r="30478" spans="1:6" ht="12.75">
      <c r="A30478" s="8">
        <v>43890.873692129629</v>
      </c>
      <c r="B30478" s="8" t="str">
        <f>HYPERLINK("https://twitter.com/catuaries","@catuaries")</f>
        <v>@catuaries</v>
      </c>
      <c r="C30478" s="8" t="s">
        <v>10916</v>
      </c>
      <c r="D30478" s="8">
        <v>7</v>
      </c>
      <c r="E30478" s="8">
        <v>0</v>
      </c>
      <c r="F30478" s="8">
        <v>8602</v>
      </c>
    </row>
    <row r="30479" spans="1:6" ht="12.75">
      <c r="A30479" s="8">
        <v>43890.87363425926</v>
      </c>
      <c r="B30479" s="8" t="str">
        <f>HYPERLINK("https://twitter.com/TrilisaMps","@TrilisaMps")</f>
        <v>@TrilisaMps</v>
      </c>
      <c r="C30479" s="8" t="s">
        <v>7686</v>
      </c>
      <c r="D30479" s="8">
        <v>698</v>
      </c>
      <c r="E30479" s="8">
        <v>0</v>
      </c>
      <c r="F30479" s="8">
        <v>575</v>
      </c>
    </row>
    <row r="30480" spans="1:6" ht="12.75">
      <c r="A30480" s="8">
        <v>43890.873587962968</v>
      </c>
      <c r="B30480" s="8" t="str">
        <f>HYPERLINK("https://twitter.com/FerdinandHaean2","@FerdinandHaean2")</f>
        <v>@FerdinandHaean2</v>
      </c>
      <c r="C30480" s="8" t="s">
        <v>11529</v>
      </c>
      <c r="D30480" s="8">
        <v>2</v>
      </c>
      <c r="E30480" s="8">
        <v>4</v>
      </c>
      <c r="F30480" s="8">
        <v>47286</v>
      </c>
    </row>
    <row r="30481" spans="1:6" ht="12.75">
      <c r="A30481" s="8">
        <v>43890.873506944445</v>
      </c>
      <c r="B30481" s="8" t="str">
        <f>HYPERLINK("https://twitter.com/PancasilaSakti4","@PancasilaSakti4")</f>
        <v>@PancasilaSakti4</v>
      </c>
      <c r="C30481" s="8" t="s">
        <v>10391</v>
      </c>
      <c r="D30481" s="8">
        <v>118</v>
      </c>
      <c r="E30481" s="8">
        <v>0</v>
      </c>
      <c r="F30481" s="8">
        <v>67</v>
      </c>
    </row>
    <row r="30482" spans="1:6" ht="12.75">
      <c r="A30482" s="8">
        <v>43890.873483796298</v>
      </c>
      <c r="B30482" s="8" t="str">
        <f>HYPERLINK("https://twitter.com/SuburBur","@SuburBur")</f>
        <v>@SuburBur</v>
      </c>
      <c r="C30482" s="8" t="s">
        <v>10600</v>
      </c>
      <c r="D30482" s="8">
        <v>67</v>
      </c>
      <c r="E30482" s="8">
        <v>0</v>
      </c>
      <c r="F30482" s="8">
        <v>5963</v>
      </c>
    </row>
    <row r="30483" spans="1:6" ht="12.75">
      <c r="A30483" s="8">
        <v>43890.873344907406</v>
      </c>
      <c r="B30483" s="8" t="str">
        <f>HYPERLINK("https://twitter.com/cadaverbes","@cadaverbes")</f>
        <v>@cadaverbes</v>
      </c>
      <c r="C30483" s="8" t="s">
        <v>11530</v>
      </c>
      <c r="D30483" s="8">
        <v>0</v>
      </c>
      <c r="E30483" s="8">
        <v>0</v>
      </c>
      <c r="F30483" s="8">
        <v>64</v>
      </c>
    </row>
    <row r="30484" spans="1:6" ht="12.75">
      <c r="A30484" s="8">
        <v>43890.873310185183</v>
      </c>
      <c r="B30484" s="8" t="str">
        <f>HYPERLINK("https://twitter.com/irwan_cib","@irwan_cib")</f>
        <v>@irwan_cib</v>
      </c>
      <c r="C30484" s="8" t="s">
        <v>4235</v>
      </c>
      <c r="D30484" s="8">
        <v>1508</v>
      </c>
      <c r="E30484" s="8">
        <v>0</v>
      </c>
      <c r="F30484" s="8">
        <v>1651</v>
      </c>
    </row>
    <row r="30485" spans="1:6" ht="12.75">
      <c r="A30485" s="8">
        <v>43890.873287037037</v>
      </c>
      <c r="B30485" s="8" t="str">
        <f>HYPERLINK("https://twitter.com/SingoEdanLradja","@SingoEdanLradja")</f>
        <v>@SingoEdanLradja</v>
      </c>
      <c r="C30485" s="8" t="s">
        <v>11531</v>
      </c>
      <c r="D30485" s="8">
        <v>0</v>
      </c>
      <c r="E30485" s="8">
        <v>0</v>
      </c>
      <c r="F30485" s="8">
        <v>314</v>
      </c>
    </row>
    <row r="30486" spans="1:6" ht="12.75">
      <c r="A30486" s="8">
        <v>43890.840046296296</v>
      </c>
      <c r="B30486" s="8" t="str">
        <f>HYPERLINK("https://twitter.com/Nouna_jessica94","@Nouna_jessica94")</f>
        <v>@Nouna_jessica94</v>
      </c>
      <c r="C30486" s="8" t="s">
        <v>8190</v>
      </c>
      <c r="D30486" s="8">
        <v>188</v>
      </c>
      <c r="E30486" s="8">
        <v>0</v>
      </c>
      <c r="F30486" s="8">
        <v>14185</v>
      </c>
    </row>
    <row r="30487" spans="1:6" ht="12.75">
      <c r="A30487" s="8">
        <v>43890.84</v>
      </c>
      <c r="B30487" s="8" t="str">
        <f>HYPERLINK("https://twitter.com/CeriaSinom","@CeriaSinom")</f>
        <v>@CeriaSinom</v>
      </c>
      <c r="C30487" s="8" t="s">
        <v>11222</v>
      </c>
      <c r="D30487" s="8">
        <v>2</v>
      </c>
      <c r="E30487" s="8">
        <v>0</v>
      </c>
      <c r="F30487" s="8">
        <v>144</v>
      </c>
    </row>
    <row r="30488" spans="1:6" ht="12.75">
      <c r="A30488" s="8">
        <v>43890.839918981481</v>
      </c>
      <c r="B30488" s="8" t="str">
        <f>HYPERLINK("https://twitter.com/Pardekke","@Pardekke")</f>
        <v>@Pardekke</v>
      </c>
      <c r="C30488" s="8" t="s">
        <v>11134</v>
      </c>
      <c r="D30488" s="8">
        <v>10</v>
      </c>
      <c r="E30488" s="8">
        <v>0</v>
      </c>
      <c r="F30488" s="8">
        <v>553</v>
      </c>
    </row>
    <row r="30489" spans="1:6" ht="12.75">
      <c r="A30489" s="8">
        <v>43890.839722222227</v>
      </c>
      <c r="B30489" s="8" t="str">
        <f>HYPERLINK("https://twitter.com/LaJoef","@LaJoef")</f>
        <v>@LaJoef</v>
      </c>
      <c r="C30489" s="8" t="s">
        <v>8746</v>
      </c>
      <c r="D30489" s="8">
        <v>304</v>
      </c>
      <c r="E30489" s="8">
        <v>0</v>
      </c>
      <c r="F30489" s="8">
        <v>636</v>
      </c>
    </row>
    <row r="30490" spans="1:6" ht="12.75">
      <c r="A30490" s="8">
        <v>43890.839525462958</v>
      </c>
      <c r="B30490" s="8" t="str">
        <f>HYPERLINK("https://twitter.com/daikindo","@daikindo")</f>
        <v>@daikindo</v>
      </c>
      <c r="C30490" s="8" t="s">
        <v>11532</v>
      </c>
      <c r="D30490" s="8">
        <v>2</v>
      </c>
      <c r="E30490" s="8">
        <v>0</v>
      </c>
      <c r="F30490" s="8">
        <v>399</v>
      </c>
    </row>
    <row r="30491" spans="1:6" ht="12.75">
      <c r="A30491" s="8">
        <v>43890.839502314819</v>
      </c>
      <c r="B30491" s="8" t="str">
        <f>HYPERLINK("https://twitter.com/semarprihatin","@semarprihatin")</f>
        <v>@semarprihatin</v>
      </c>
      <c r="C30491" s="8" t="s">
        <v>10811</v>
      </c>
      <c r="D30491" s="8">
        <v>211</v>
      </c>
      <c r="E30491" s="8">
        <v>0</v>
      </c>
      <c r="F30491" s="8">
        <v>91</v>
      </c>
    </row>
    <row r="30492" spans="1:6" ht="12.75">
      <c r="A30492" s="8">
        <v>43890.839479166665</v>
      </c>
      <c r="B30492" s="8" t="str">
        <f>HYPERLINK("https://twitter.com/JoburgBianco","@JoburgBianco")</f>
        <v>@JoburgBianco</v>
      </c>
      <c r="C30492" s="8" t="s">
        <v>10600</v>
      </c>
      <c r="D30492" s="8">
        <v>25</v>
      </c>
      <c r="E30492" s="8">
        <v>0</v>
      </c>
      <c r="F30492" s="8">
        <v>321</v>
      </c>
    </row>
    <row r="30493" spans="1:6" ht="12.75">
      <c r="A30493" s="8">
        <v>43890.839444444442</v>
      </c>
      <c r="B30493" s="8" t="str">
        <f>HYPERLINK("https://twitter.com/Pardekke","@Pardekke")</f>
        <v>@Pardekke</v>
      </c>
      <c r="C30493" s="8" t="s">
        <v>11117</v>
      </c>
      <c r="D30493" s="8">
        <v>75</v>
      </c>
      <c r="E30493" s="8">
        <v>0</v>
      </c>
      <c r="F30493" s="8">
        <v>553</v>
      </c>
    </row>
    <row r="30494" spans="1:6" ht="12.75">
      <c r="A30494" s="8">
        <v>43890.839363425926</v>
      </c>
      <c r="B30494" s="8" t="str">
        <f>HYPERLINK("https://twitter.com/bffb300aff02425","@bffb300aff02425")</f>
        <v>@bffb300aff02425</v>
      </c>
      <c r="C30494" s="8" t="s">
        <v>11109</v>
      </c>
      <c r="D30494" s="8">
        <v>46</v>
      </c>
      <c r="E30494" s="8">
        <v>0</v>
      </c>
      <c r="F30494" s="8">
        <v>519</v>
      </c>
    </row>
    <row r="30495" spans="1:6" ht="12.75">
      <c r="A30495" s="8">
        <v>43890.839305555557</v>
      </c>
      <c r="B30495" s="8" t="str">
        <f>HYPERLINK("https://twitter.com/papa_ziemars","@papa_ziemars")</f>
        <v>@papa_ziemars</v>
      </c>
      <c r="C30495" s="8" t="s">
        <v>7686</v>
      </c>
      <c r="D30495" s="8">
        <v>638</v>
      </c>
      <c r="E30495" s="8">
        <v>0</v>
      </c>
      <c r="F30495" s="8">
        <v>78</v>
      </c>
    </row>
    <row r="30496" spans="1:6" ht="12.75">
      <c r="A30496" s="8">
        <v>43890.839212962965</v>
      </c>
      <c r="B30496" s="8" t="str">
        <f>HYPERLINK("https://twitter.com/azhgard","@azhgard")</f>
        <v>@azhgard</v>
      </c>
      <c r="C30496" s="8" t="s">
        <v>6836</v>
      </c>
      <c r="D30496" s="8">
        <v>456</v>
      </c>
      <c r="E30496" s="8">
        <v>0</v>
      </c>
      <c r="F30496" s="8">
        <v>1748</v>
      </c>
    </row>
    <row r="30497" spans="1:6" ht="12.75">
      <c r="A30497" s="8">
        <v>43890.839201388888</v>
      </c>
      <c r="B30497" s="8" t="str">
        <f>HYPERLINK("https://twitter.com/kardusbox08","@kardusbox08")</f>
        <v>@kardusbox08</v>
      </c>
      <c r="C30497" s="8" t="s">
        <v>11273</v>
      </c>
      <c r="D30497" s="8">
        <v>27</v>
      </c>
      <c r="E30497" s="8">
        <v>0</v>
      </c>
      <c r="F30497" s="8">
        <v>1752</v>
      </c>
    </row>
    <row r="30498" spans="1:6" ht="12.75">
      <c r="A30498" s="8">
        <v>43890.839062500003</v>
      </c>
      <c r="B30498" s="8" t="str">
        <f>HYPERLINK("https://twitter.com/SuksmaM","@SuksmaM")</f>
        <v>@SuksmaM</v>
      </c>
      <c r="C30498" s="8" t="s">
        <v>11533</v>
      </c>
      <c r="D30498" s="8">
        <v>64</v>
      </c>
      <c r="E30498" s="8">
        <v>0</v>
      </c>
      <c r="F30498" s="8">
        <v>1591</v>
      </c>
    </row>
    <row r="30499" spans="1:6" ht="12.75">
      <c r="A30499" s="8">
        <v>43890.838692129633</v>
      </c>
      <c r="B30499" s="8" t="str">
        <f>HYPERLINK("https://twitter.com/AlvaroDeBazan2","@AlvaroDeBazan2")</f>
        <v>@AlvaroDeBazan2</v>
      </c>
      <c r="C30499" s="8" t="s">
        <v>11222</v>
      </c>
      <c r="D30499" s="8">
        <v>2</v>
      </c>
      <c r="E30499" s="8">
        <v>0</v>
      </c>
      <c r="F30499" s="8">
        <v>257</v>
      </c>
    </row>
    <row r="30500" spans="1:6" ht="12.75">
      <c r="A30500" s="8">
        <v>43890.838576388887</v>
      </c>
      <c r="B30500" s="8" t="str">
        <f>HYPERLINK("https://twitter.com/uusbustami","@uusbustami")</f>
        <v>@uusbustami</v>
      </c>
      <c r="C30500" s="8" t="s">
        <v>8746</v>
      </c>
      <c r="D30500" s="8">
        <v>304</v>
      </c>
      <c r="E30500" s="8">
        <v>0</v>
      </c>
      <c r="F30500" s="8">
        <v>968</v>
      </c>
    </row>
    <row r="30501" spans="1:6" ht="12.75">
      <c r="A30501" s="8">
        <v>43890.838530092587</v>
      </c>
      <c r="B30501" s="8" t="str">
        <f>HYPERLINK("https://twitter.com/__MV_llestari__","@__MV_llestari__")</f>
        <v>@__MV_llestari__</v>
      </c>
      <c r="C30501" s="8" t="s">
        <v>11534</v>
      </c>
      <c r="D30501" s="8">
        <v>1</v>
      </c>
      <c r="E30501" s="8">
        <v>0</v>
      </c>
      <c r="F30501" s="8">
        <v>9038</v>
      </c>
    </row>
    <row r="30502" spans="1:6" ht="12.75">
      <c r="A30502" s="8">
        <v>43890.838472222225</v>
      </c>
      <c r="B30502" s="8" t="str">
        <f>HYPERLINK("https://twitter.com/HimuraBatosai8","@HimuraBatosai8")</f>
        <v>@HimuraBatosai8</v>
      </c>
      <c r="C30502" s="8" t="s">
        <v>7686</v>
      </c>
      <c r="D30502" s="8">
        <v>638</v>
      </c>
      <c r="E30502" s="8">
        <v>0</v>
      </c>
      <c r="F30502" s="8">
        <v>258</v>
      </c>
    </row>
    <row r="30503" spans="1:6" ht="12.75">
      <c r="A30503" s="8">
        <v>43890.838449074072</v>
      </c>
      <c r="B30503" s="8" t="str">
        <f>HYPERLINK("https://twitter.com/syabombs","@syabombs")</f>
        <v>@syabombs</v>
      </c>
      <c r="C30503" s="8" t="s">
        <v>11535</v>
      </c>
      <c r="D30503" s="8">
        <v>0</v>
      </c>
      <c r="E30503" s="8">
        <v>0</v>
      </c>
      <c r="F30503" s="8">
        <v>421</v>
      </c>
    </row>
    <row r="30504" spans="1:6" ht="12.75">
      <c r="A30504" s="8">
        <v>43890.838263888887</v>
      </c>
      <c r="B30504" s="8" t="str">
        <f>HYPERLINK("https://twitter.com/cnbcindonesia","@cnbcindonesia")</f>
        <v>@cnbcindonesia</v>
      </c>
      <c r="C30504" s="8" t="s">
        <v>11536</v>
      </c>
      <c r="D30504" s="8">
        <v>0</v>
      </c>
      <c r="E30504" s="8">
        <v>0</v>
      </c>
      <c r="F30504" s="8">
        <v>31120</v>
      </c>
    </row>
    <row r="30505" spans="1:6" ht="12.75">
      <c r="A30505" s="8">
        <v>43890.838148148148</v>
      </c>
      <c r="B30505" s="8" t="str">
        <f>HYPERLINK("https://twitter.com/Markowijaya","@Markowijaya")</f>
        <v>@Markowijaya</v>
      </c>
      <c r="C30505" s="8" t="s">
        <v>10971</v>
      </c>
      <c r="D30505" s="8">
        <v>8</v>
      </c>
      <c r="E30505" s="8">
        <v>0</v>
      </c>
      <c r="F30505" s="8">
        <v>69</v>
      </c>
    </row>
    <row r="30506" spans="1:6" ht="12.75">
      <c r="A30506" s="8">
        <v>43890.838043981479</v>
      </c>
      <c r="B30506" s="8" t="str">
        <f>HYPERLINK("https://twitter.com/KBSbatak","@KBSbatak")</f>
        <v>@KBSbatak</v>
      </c>
      <c r="C30506" s="8" t="s">
        <v>11537</v>
      </c>
      <c r="D30506" s="8">
        <v>0</v>
      </c>
      <c r="E30506" s="8">
        <v>0</v>
      </c>
      <c r="F30506" s="8">
        <v>73</v>
      </c>
    </row>
    <row r="30507" spans="1:6" ht="12.75">
      <c r="A30507" s="8">
        <v>43890.83798611111</v>
      </c>
      <c r="B30507" s="8" t="str">
        <f>HYPERLINK("https://twitter.com/eunikenatnae","@eunikenatnae")</f>
        <v>@eunikenatnae</v>
      </c>
      <c r="C30507" s="8" t="s">
        <v>11109</v>
      </c>
      <c r="D30507" s="8">
        <v>46</v>
      </c>
      <c r="E30507" s="8">
        <v>0</v>
      </c>
      <c r="F30507" s="8">
        <v>228</v>
      </c>
    </row>
    <row r="30508" spans="1:6" ht="12.75">
      <c r="A30508" s="8">
        <v>43890.837465277778</v>
      </c>
      <c r="B30508" s="8" t="str">
        <f>HYPERLINK("https://twitter.com/mareeee___","@mareeee___")</f>
        <v>@mareeee___</v>
      </c>
      <c r="C30508" s="8" t="s">
        <v>10721</v>
      </c>
      <c r="D30508" s="8">
        <v>156</v>
      </c>
      <c r="E30508" s="8">
        <v>0</v>
      </c>
      <c r="F30508" s="8">
        <v>66</v>
      </c>
    </row>
    <row r="30509" spans="1:6" ht="12.75">
      <c r="A30509" s="8">
        <v>43890.83730324074</v>
      </c>
      <c r="B30509" s="8" t="str">
        <f>HYPERLINK("https://twitter.com/pearlstarius","@pearlstarius")</f>
        <v>@pearlstarius</v>
      </c>
      <c r="C30509" s="8" t="s">
        <v>11538</v>
      </c>
      <c r="D30509" s="8">
        <v>0</v>
      </c>
      <c r="E30509" s="8">
        <v>0</v>
      </c>
      <c r="F30509" s="8">
        <v>71</v>
      </c>
    </row>
    <row r="30510" spans="1:6" ht="12.75">
      <c r="A30510" s="8">
        <v>43890.83729166667</v>
      </c>
      <c r="B30510" s="8" t="str">
        <f>HYPERLINK("https://twitter.com/JIQBALMP","@JIQBALMP")</f>
        <v>@JIQBALMP</v>
      </c>
      <c r="C30510" s="8" t="s">
        <v>4235</v>
      </c>
      <c r="D30510" s="8">
        <v>1481</v>
      </c>
      <c r="E30510" s="8">
        <v>0</v>
      </c>
      <c r="F30510" s="8">
        <v>19</v>
      </c>
    </row>
    <row r="30511" spans="1:6" ht="12.75">
      <c r="A30511" s="8">
        <v>43890.837245370371</v>
      </c>
      <c r="B30511" s="8" t="str">
        <f>HYPERLINK("https://twitter.com/ajighoziin","@ajighoziin")</f>
        <v>@ajighoziin</v>
      </c>
      <c r="C30511" s="8" t="s">
        <v>11155</v>
      </c>
      <c r="D30511" s="8">
        <v>26</v>
      </c>
      <c r="E30511" s="8">
        <v>0</v>
      </c>
      <c r="F30511" s="8">
        <v>276</v>
      </c>
    </row>
    <row r="30512" spans="1:6" ht="12.75">
      <c r="A30512" s="8">
        <v>43890.837094907409</v>
      </c>
      <c r="B30512" s="8" t="str">
        <f>HYPERLINK("https://twitter.com/sakharizkika","@sakharizkika")</f>
        <v>@sakharizkika</v>
      </c>
      <c r="C30512" s="8" t="s">
        <v>4235</v>
      </c>
      <c r="D30512" s="8">
        <v>1481</v>
      </c>
      <c r="E30512" s="8">
        <v>0</v>
      </c>
      <c r="F30512" s="8">
        <v>369</v>
      </c>
    </row>
    <row r="30513" spans="1:6" ht="12.75">
      <c r="A30513" s="8">
        <v>43890.837083333332</v>
      </c>
      <c r="B30513" s="8" t="str">
        <f>HYPERLINK("https://twitter.com/Baja_karbon16","@Baja_karbon16")</f>
        <v>@Baja_karbon16</v>
      </c>
      <c r="C30513" s="8" t="s">
        <v>11109</v>
      </c>
      <c r="D30513" s="8">
        <v>46</v>
      </c>
      <c r="E30513" s="8">
        <v>0</v>
      </c>
      <c r="F30513" s="8">
        <v>120</v>
      </c>
    </row>
    <row r="30514" spans="1:6" ht="12.75">
      <c r="A30514" s="8">
        <v>43890.837037037039</v>
      </c>
      <c r="B30514" s="8" t="str">
        <f>HYPERLINK("https://twitter.com/hajir121084","@hajir121084")</f>
        <v>@hajir121084</v>
      </c>
      <c r="C30514" s="8" t="s">
        <v>7686</v>
      </c>
      <c r="D30514" s="8">
        <v>638</v>
      </c>
      <c r="E30514" s="8">
        <v>0</v>
      </c>
      <c r="F30514" s="8">
        <v>1144</v>
      </c>
    </row>
    <row r="30515" spans="1:6" ht="12.75">
      <c r="A30515" s="8">
        <v>43890.83699074074</v>
      </c>
      <c r="B30515" s="8" t="str">
        <f>HYPERLINK("https://twitter.com/AgungWidrajat","@AgungWidrajat")</f>
        <v>@AgungWidrajat</v>
      </c>
      <c r="C30515" s="8" t="s">
        <v>7686</v>
      </c>
      <c r="D30515" s="8">
        <v>638</v>
      </c>
      <c r="E30515" s="8">
        <v>0</v>
      </c>
      <c r="F30515" s="8">
        <v>2312</v>
      </c>
    </row>
    <row r="30516" spans="1:6" ht="12.75">
      <c r="A30516" s="8">
        <v>43890.836956018524</v>
      </c>
      <c r="B30516" s="8" t="str">
        <f>HYPERLINK("https://twitter.com/felzadefa","@felzadefa")</f>
        <v>@felzadefa</v>
      </c>
      <c r="C30516" s="8" t="s">
        <v>11155</v>
      </c>
      <c r="D30516" s="8">
        <v>26</v>
      </c>
      <c r="E30516" s="8">
        <v>0</v>
      </c>
      <c r="F30516" s="8">
        <v>306</v>
      </c>
    </row>
    <row r="30517" spans="1:6" ht="12.75">
      <c r="A30517" s="8">
        <v>43890.836863425924</v>
      </c>
      <c r="B30517" s="8" t="str">
        <f>HYPERLINK("https://twitter.com/_egosentris","@_egosentris")</f>
        <v>@_egosentris</v>
      </c>
      <c r="C30517" s="8" t="s">
        <v>11539</v>
      </c>
      <c r="D30517" s="8">
        <v>0</v>
      </c>
      <c r="E30517" s="8">
        <v>0</v>
      </c>
      <c r="F30517" s="8">
        <v>430</v>
      </c>
    </row>
    <row r="30518" spans="1:6" ht="12.75">
      <c r="A30518" s="8">
        <v>43890.836851851855</v>
      </c>
      <c r="B30518" s="8" t="str">
        <f>HYPERLINK("https://twitter.com/bee_reinhard","@bee_reinhard")</f>
        <v>@bee_reinhard</v>
      </c>
      <c r="C30518" s="8" t="s">
        <v>11540</v>
      </c>
      <c r="D30518" s="8">
        <v>1</v>
      </c>
      <c r="E30518" s="8">
        <v>2</v>
      </c>
      <c r="F30518" s="8">
        <v>61</v>
      </c>
    </row>
    <row r="30519" spans="1:6" ht="12.75">
      <c r="A30519" s="8">
        <v>43890.836840277778</v>
      </c>
      <c r="B30519" s="8" t="str">
        <f>HYPERLINK("https://twitter.com/kusumovina","@kusumovina")</f>
        <v>@kusumovina</v>
      </c>
      <c r="C30519" s="8" t="s">
        <v>7686</v>
      </c>
      <c r="D30519" s="8">
        <v>638</v>
      </c>
      <c r="E30519" s="8">
        <v>0</v>
      </c>
      <c r="F30519" s="8">
        <v>160</v>
      </c>
    </row>
    <row r="30520" spans="1:6" ht="12.75">
      <c r="A30520" s="8">
        <v>43890.836446759262</v>
      </c>
      <c r="B30520" s="8" t="str">
        <f>HYPERLINK("https://twitter.com/SukitmanS","@SukitmanS")</f>
        <v>@SukitmanS</v>
      </c>
      <c r="C30520" s="8" t="s">
        <v>10600</v>
      </c>
      <c r="D30520" s="8">
        <v>25</v>
      </c>
      <c r="E30520" s="8">
        <v>0</v>
      </c>
      <c r="F30520" s="8">
        <v>114</v>
      </c>
    </row>
    <row r="30521" spans="1:6" ht="12.75">
      <c r="A30521" s="8">
        <v>43890.835995370369</v>
      </c>
      <c r="B30521" s="8" t="str">
        <f>HYPERLINK("https://twitter.com/haro_arnold","@haro_arnold")</f>
        <v>@haro_arnold</v>
      </c>
      <c r="C30521" s="8" t="s">
        <v>11292</v>
      </c>
      <c r="D30521" s="8">
        <v>50</v>
      </c>
      <c r="E30521" s="8">
        <v>0</v>
      </c>
      <c r="F30521" s="8">
        <v>4666</v>
      </c>
    </row>
    <row r="30522" spans="1:6" ht="12.75">
      <c r="A30522" s="8">
        <v>43890.83594907407</v>
      </c>
      <c r="B30522" s="8" t="str">
        <f>HYPERLINK("https://twitter.com/abdullah201179","@abdullah201179")</f>
        <v>@abdullah201179</v>
      </c>
      <c r="C30522" s="8" t="s">
        <v>8746</v>
      </c>
      <c r="D30522" s="8">
        <v>304</v>
      </c>
      <c r="E30522" s="8">
        <v>0</v>
      </c>
      <c r="F30522" s="8">
        <v>525</v>
      </c>
    </row>
    <row r="30523" spans="1:6" ht="12.75">
      <c r="A30523" s="8">
        <v>43890.835856481484</v>
      </c>
      <c r="B30523" s="8" t="str">
        <f t="shared" ref="B30523:B30524" si="425">HYPERLINK("https://twitter.com/haro_arnold","@haro_arnold")</f>
        <v>@haro_arnold</v>
      </c>
      <c r="C30523" s="8" t="s">
        <v>11541</v>
      </c>
      <c r="D30523" s="8">
        <v>31</v>
      </c>
      <c r="E30523" s="8">
        <v>0</v>
      </c>
      <c r="F30523" s="8">
        <v>4666</v>
      </c>
    </row>
    <row r="30524" spans="1:6" ht="12.75">
      <c r="A30524" s="8">
        <v>43890.835798611108</v>
      </c>
      <c r="B30524" s="8" t="str">
        <f t="shared" si="425"/>
        <v>@haro_arnold</v>
      </c>
      <c r="C30524" s="8" t="s">
        <v>11117</v>
      </c>
      <c r="D30524" s="8">
        <v>75</v>
      </c>
      <c r="E30524" s="8">
        <v>0</v>
      </c>
      <c r="F30524" s="8">
        <v>4666</v>
      </c>
    </row>
    <row r="30525" spans="1:6" ht="12.75">
      <c r="A30525" s="8">
        <v>43890.835706018523</v>
      </c>
      <c r="B30525" s="8" t="str">
        <f>HYPERLINK("https://twitter.com/mucht4r64","@mucht4r64")</f>
        <v>@mucht4r64</v>
      </c>
      <c r="C30525" s="8" t="s">
        <v>7437</v>
      </c>
      <c r="D30525" s="8">
        <v>231</v>
      </c>
      <c r="E30525" s="8">
        <v>0</v>
      </c>
      <c r="F30525" s="8">
        <v>114</v>
      </c>
    </row>
    <row r="30526" spans="1:6" ht="12.75">
      <c r="A30526" s="8">
        <v>43890.8356712963</v>
      </c>
      <c r="B30526" s="8" t="str">
        <f>HYPERLINK("https://twitter.com/Iwan90","@Iwan90")</f>
        <v>@Iwan90</v>
      </c>
      <c r="C30526" s="8" t="s">
        <v>7686</v>
      </c>
      <c r="D30526" s="8">
        <v>638</v>
      </c>
      <c r="E30526" s="8">
        <v>0</v>
      </c>
      <c r="F30526" s="8">
        <v>5125</v>
      </c>
    </row>
    <row r="30527" spans="1:6" ht="12.75">
      <c r="A30527" s="8">
        <v>43890.835636574076</v>
      </c>
      <c r="B30527" s="8" t="str">
        <f>HYPERLINK("https://twitter.com/haro_arnold","@haro_arnold")</f>
        <v>@haro_arnold</v>
      </c>
      <c r="C30527" s="8" t="s">
        <v>10413</v>
      </c>
      <c r="D30527" s="8">
        <v>29</v>
      </c>
      <c r="E30527" s="8">
        <v>0</v>
      </c>
      <c r="F30527" s="8">
        <v>4666</v>
      </c>
    </row>
    <row r="30528" spans="1:6" ht="12.75">
      <c r="A30528" s="8">
        <v>43890.835590277777</v>
      </c>
      <c r="B30528" s="8" t="str">
        <f>HYPERLINK("https://twitter.com/drpriono","@drpriono")</f>
        <v>@drpriono</v>
      </c>
      <c r="C30528" s="8" t="s">
        <v>11542</v>
      </c>
      <c r="D30528" s="8">
        <v>0</v>
      </c>
      <c r="E30528" s="8">
        <v>0</v>
      </c>
      <c r="F30528" s="8">
        <v>493</v>
      </c>
    </row>
    <row r="30529" spans="1:6" ht="12.75">
      <c r="A30529" s="8">
        <v>43890.835532407407</v>
      </c>
      <c r="B30529" s="8" t="str">
        <f>HYPERLINK("https://twitter.com/inaalyana2","@inaalyana2")</f>
        <v>@inaalyana2</v>
      </c>
      <c r="C30529" s="8" t="s">
        <v>6836</v>
      </c>
      <c r="D30529" s="8">
        <v>456</v>
      </c>
      <c r="E30529" s="8">
        <v>0</v>
      </c>
      <c r="F30529" s="8">
        <v>622</v>
      </c>
    </row>
    <row r="30530" spans="1:6" ht="12.75">
      <c r="A30530" s="8">
        <v>43890.83530092593</v>
      </c>
      <c r="B30530" s="8" t="str">
        <f>HYPERLINK("https://twitter.com/nanininaninna","@nanininaninna")</f>
        <v>@nanininaninna</v>
      </c>
      <c r="C30530" s="8" t="s">
        <v>10971</v>
      </c>
      <c r="D30530" s="8">
        <v>8</v>
      </c>
      <c r="E30530" s="8">
        <v>0</v>
      </c>
      <c r="F30530" s="8">
        <v>2746</v>
      </c>
    </row>
    <row r="30531" spans="1:6" ht="12.75">
      <c r="A30531" s="8">
        <v>43890.835289351853</v>
      </c>
      <c r="B30531" s="8" t="str">
        <f>HYPERLINK("https://twitter.com/Arii765","@Arii765")</f>
        <v>@Arii765</v>
      </c>
      <c r="C30531" s="8" t="s">
        <v>11543</v>
      </c>
      <c r="D30531" s="8">
        <v>0</v>
      </c>
      <c r="E30531" s="8">
        <v>0</v>
      </c>
      <c r="F30531" s="8">
        <v>31</v>
      </c>
    </row>
    <row r="30532" spans="1:6" ht="12.75">
      <c r="A30532" s="8">
        <v>43890.835277777776</v>
      </c>
      <c r="B30532" s="8" t="str">
        <f>HYPERLINK("https://twitter.com/toetihs","@toetihs")</f>
        <v>@toetihs</v>
      </c>
      <c r="C30532" s="8" t="s">
        <v>10811</v>
      </c>
      <c r="D30532" s="8">
        <v>211</v>
      </c>
      <c r="E30532" s="8">
        <v>0</v>
      </c>
      <c r="F30532" s="8">
        <v>34</v>
      </c>
    </row>
    <row r="30533" spans="1:6" ht="12.75">
      <c r="A30533" s="8">
        <v>43890.835231481484</v>
      </c>
      <c r="B30533" s="8" t="str">
        <f>HYPERLINK("https://twitter.com/5and1_1403","@5and1_1403")</f>
        <v>@5and1_1403</v>
      </c>
      <c r="C30533" s="8" t="s">
        <v>11544</v>
      </c>
      <c r="D30533" s="8">
        <v>0</v>
      </c>
      <c r="E30533" s="8">
        <v>0</v>
      </c>
      <c r="F30533" s="8">
        <v>34</v>
      </c>
    </row>
    <row r="30534" spans="1:6" ht="12.75">
      <c r="A30534" s="8">
        <v>43890.834999999999</v>
      </c>
      <c r="B30534" s="8" t="str">
        <f>HYPERLINK("https://twitter.com/midut17","@midut17")</f>
        <v>@midut17</v>
      </c>
      <c r="C30534" s="8" t="s">
        <v>11545</v>
      </c>
      <c r="D30534" s="8">
        <v>0</v>
      </c>
      <c r="E30534" s="8">
        <v>0</v>
      </c>
      <c r="F30534" s="8">
        <v>31</v>
      </c>
    </row>
    <row r="30535" spans="1:6" ht="12.75">
      <c r="A30535" s="8">
        <v>43890.834756944445</v>
      </c>
      <c r="B30535" s="8" t="str">
        <f>HYPERLINK("https://twitter.com/kompascom","@kompascom")</f>
        <v>@kompascom</v>
      </c>
      <c r="C30535" s="8" t="s">
        <v>11546</v>
      </c>
      <c r="D30535" s="8">
        <v>0</v>
      </c>
      <c r="E30535" s="8">
        <v>1</v>
      </c>
      <c r="F30535" s="8">
        <v>7518803</v>
      </c>
    </row>
    <row r="30536" spans="1:6" ht="12.75">
      <c r="A30536" s="8">
        <v>43890.834664351853</v>
      </c>
      <c r="B30536" s="8" t="str">
        <f>HYPERLINK("https://twitter.com/IlfanIlyas","@IlfanIlyas")</f>
        <v>@IlfanIlyas</v>
      </c>
      <c r="C30536" s="8" t="s">
        <v>10391</v>
      </c>
      <c r="D30536" s="8">
        <v>116</v>
      </c>
      <c r="E30536" s="8">
        <v>0</v>
      </c>
      <c r="F30536" s="8">
        <v>188</v>
      </c>
    </row>
    <row r="30537" spans="1:6" ht="12.75">
      <c r="A30537" s="8">
        <v>43890.834537037037</v>
      </c>
      <c r="B30537" s="8" t="str">
        <f>HYPERLINK("https://twitter.com/fadjroeL","@fadjroeL")</f>
        <v>@fadjroeL</v>
      </c>
      <c r="C30537" s="8" t="s">
        <v>11547</v>
      </c>
      <c r="D30537" s="8">
        <v>2</v>
      </c>
      <c r="E30537" s="8">
        <v>10</v>
      </c>
      <c r="F30537" s="8">
        <v>996221</v>
      </c>
    </row>
    <row r="30538" spans="1:6" ht="12.75">
      <c r="A30538" s="8">
        <v>43890.834317129629</v>
      </c>
      <c r="B30538" s="8" t="str">
        <f>HYPERLINK("https://twitter.com/__MV_llestari__","@__MV_llestari__")</f>
        <v>@__MV_llestari__</v>
      </c>
      <c r="C30538" s="8" t="s">
        <v>8190</v>
      </c>
      <c r="D30538" s="8">
        <v>188</v>
      </c>
      <c r="E30538" s="8">
        <v>0</v>
      </c>
      <c r="F30538" s="8">
        <v>9038</v>
      </c>
    </row>
    <row r="30539" spans="1:6" ht="12.75">
      <c r="A30539" s="8">
        <v>43890.83421296296</v>
      </c>
      <c r="B30539" s="8" t="str">
        <f>HYPERLINK("https://twitter.com/LebahKerja","@LebahKerja")</f>
        <v>@LebahKerja</v>
      </c>
      <c r="C30539" s="8" t="s">
        <v>11548</v>
      </c>
      <c r="D30539" s="8">
        <v>5</v>
      </c>
      <c r="E30539" s="8">
        <v>0</v>
      </c>
      <c r="F30539" s="8">
        <v>115</v>
      </c>
    </row>
    <row r="30540" spans="1:6" ht="12.75">
      <c r="A30540" s="8">
        <v>43890.834108796298</v>
      </c>
      <c r="B30540" s="8" t="str">
        <f>HYPERLINK("https://twitter.com/AlmandioAdha","@AlmandioAdha")</f>
        <v>@AlmandioAdha</v>
      </c>
      <c r="C30540" s="8" t="s">
        <v>11549</v>
      </c>
      <c r="D30540" s="8">
        <v>0</v>
      </c>
      <c r="E30540" s="8">
        <v>0</v>
      </c>
      <c r="F30540" s="8">
        <v>972</v>
      </c>
    </row>
    <row r="30541" spans="1:6" ht="12.75">
      <c r="A30541" s="8">
        <v>43890.834062499998</v>
      </c>
      <c r="B30541" s="8" t="str">
        <f>HYPERLINK("https://twitter.com/SahabatDesa_","@SahabatDesa_")</f>
        <v>@SahabatDesa_</v>
      </c>
      <c r="C30541" s="8" t="s">
        <v>11548</v>
      </c>
      <c r="D30541" s="8">
        <v>5</v>
      </c>
      <c r="E30541" s="8">
        <v>0</v>
      </c>
      <c r="F30541" s="8">
        <v>1988</v>
      </c>
    </row>
    <row r="30542" spans="1:6" ht="12.75">
      <c r="A30542" s="8">
        <v>43890.83394675926</v>
      </c>
      <c r="B30542" s="8" t="str">
        <f>HYPERLINK("https://twitter.com/cxolls_aljawi","@cxolls_aljawi")</f>
        <v>@cxolls_aljawi</v>
      </c>
      <c r="C30542" s="8" t="s">
        <v>6883</v>
      </c>
      <c r="D30542" s="8">
        <v>16</v>
      </c>
      <c r="E30542" s="8">
        <v>0</v>
      </c>
      <c r="F30542" s="8">
        <v>1946</v>
      </c>
    </row>
    <row r="30543" spans="1:6" ht="12.75">
      <c r="A30543" s="8">
        <v>43890.833900462967</v>
      </c>
      <c r="B30543" s="8" t="str">
        <f>HYPERLINK("https://twitter.com/keponakanlucu","@keponakanlucu")</f>
        <v>@keponakanlucu</v>
      </c>
      <c r="C30543" s="8" t="s">
        <v>11548</v>
      </c>
      <c r="D30543" s="8">
        <v>5</v>
      </c>
      <c r="E30543" s="8">
        <v>0</v>
      </c>
      <c r="F30543" s="8">
        <v>352</v>
      </c>
    </row>
    <row r="30544" spans="1:6" ht="12.75">
      <c r="A30544" s="8">
        <v>43890.833854166667</v>
      </c>
      <c r="B30544" s="8" t="str">
        <f>HYPERLINK("https://twitter.com/bukuberbagi100","@bukuberbagi100")</f>
        <v>@bukuberbagi100</v>
      </c>
      <c r="C30544" s="8" t="s">
        <v>8746</v>
      </c>
      <c r="D30544" s="8">
        <v>304</v>
      </c>
      <c r="E30544" s="8">
        <v>0</v>
      </c>
      <c r="F30544" s="8">
        <v>133</v>
      </c>
    </row>
    <row r="30545" spans="1:6" ht="12.75">
      <c r="A30545" s="8">
        <v>43890.833807870367</v>
      </c>
      <c r="B30545" s="8" t="str">
        <f>HYPERLINK("https://twitter.com/yaaaaasin","@yaaaaasin")</f>
        <v>@yaaaaasin</v>
      </c>
      <c r="C30545" s="8" t="s">
        <v>10600</v>
      </c>
      <c r="D30545" s="8">
        <v>25</v>
      </c>
      <c r="E30545" s="8">
        <v>0</v>
      </c>
      <c r="F30545" s="8">
        <v>46</v>
      </c>
    </row>
    <row r="30546" spans="1:6" ht="12.75">
      <c r="A30546" s="8">
        <v>43890.833796296298</v>
      </c>
      <c r="B30546" s="8" t="str">
        <f>HYPERLINK("https://twitter.com/KEZIAAM0UR","@KEZIAAM0UR")</f>
        <v>@KEZIAAM0UR</v>
      </c>
      <c r="C30546" s="8" t="s">
        <v>11550</v>
      </c>
      <c r="D30546" s="8">
        <v>0</v>
      </c>
      <c r="E30546" s="8">
        <v>0</v>
      </c>
      <c r="F30546" s="8">
        <v>98</v>
      </c>
    </row>
    <row r="30547" spans="1:6" ht="12.75">
      <c r="A30547" s="8">
        <v>43890.833784722221</v>
      </c>
      <c r="B30547" s="8" t="str">
        <f>HYPERLINK("https://twitter.com/agdjokovit","@agdjokovit")</f>
        <v>@agdjokovit</v>
      </c>
      <c r="C30547" s="8" t="s">
        <v>7686</v>
      </c>
      <c r="D30547" s="8">
        <v>638</v>
      </c>
      <c r="E30547" s="8">
        <v>0</v>
      </c>
      <c r="F30547" s="8">
        <v>130</v>
      </c>
    </row>
    <row r="30548" spans="1:6" ht="12.75">
      <c r="A30548" s="8">
        <v>43890.833761574075</v>
      </c>
      <c r="B30548" s="8" t="str">
        <f>HYPERLINK("https://twitter.com/editya77","@editya77")</f>
        <v>@editya77</v>
      </c>
      <c r="C30548" s="8" t="s">
        <v>9163</v>
      </c>
      <c r="D30548" s="8">
        <v>28</v>
      </c>
      <c r="E30548" s="8">
        <v>0</v>
      </c>
      <c r="F30548" s="8">
        <v>854</v>
      </c>
    </row>
    <row r="30549" spans="1:6" ht="12.75">
      <c r="A30549" s="8">
        <v>43890.833692129629</v>
      </c>
      <c r="B30549" s="8" t="str">
        <f>HYPERLINK("https://twitter.com/ahmadyanibs","@ahmadyanibs")</f>
        <v>@ahmadyanibs</v>
      </c>
      <c r="C30549" s="8" t="s">
        <v>11548</v>
      </c>
      <c r="D30549" s="8">
        <v>5</v>
      </c>
      <c r="E30549" s="8">
        <v>0</v>
      </c>
      <c r="F30549" s="8">
        <v>2633</v>
      </c>
    </row>
    <row r="30550" spans="1:6" ht="12.75">
      <c r="A30550" s="8">
        <v>43890.83321759259</v>
      </c>
      <c r="B30550" s="8" t="str">
        <f>HYPERLINK("https://twitter.com/GagakNeww2","@GagakNeww2")</f>
        <v>@GagakNeww2</v>
      </c>
      <c r="C30550" s="8" t="s">
        <v>10600</v>
      </c>
      <c r="D30550" s="8">
        <v>25</v>
      </c>
      <c r="E30550" s="8">
        <v>0</v>
      </c>
      <c r="F30550" s="8">
        <v>435</v>
      </c>
    </row>
    <row r="30551" spans="1:6" ht="12.75">
      <c r="A30551" s="8">
        <v>43890.832962962959</v>
      </c>
      <c r="B30551" s="8" t="str">
        <f>HYPERLINK("https://twitter.com/SugiMauk","@SugiMauk")</f>
        <v>@SugiMauk</v>
      </c>
      <c r="C30551" s="8" t="s">
        <v>10939</v>
      </c>
      <c r="D30551" s="8">
        <v>152</v>
      </c>
      <c r="E30551" s="8">
        <v>0</v>
      </c>
      <c r="F30551" s="8">
        <v>1536</v>
      </c>
    </row>
    <row r="30552" spans="1:6" ht="12.75">
      <c r="A30552" s="8">
        <v>43890.832870370374</v>
      </c>
      <c r="B30552" s="8" t="str">
        <f>HYPERLINK("https://twitter.com/f24nk1","@f24nk1")</f>
        <v>@f24nk1</v>
      </c>
      <c r="C30552" s="8" t="s">
        <v>7686</v>
      </c>
      <c r="D30552" s="8">
        <v>638</v>
      </c>
      <c r="E30552" s="8">
        <v>0</v>
      </c>
      <c r="F30552" s="8">
        <v>1171</v>
      </c>
    </row>
    <row r="30553" spans="1:6" ht="12.75">
      <c r="A30553" s="8">
        <v>43890.832812499997</v>
      </c>
      <c r="B30553" s="8" t="str">
        <f>HYPERLINK("https://twitter.com/SariKatherina","@SariKatherina")</f>
        <v>@SariKatherina</v>
      </c>
      <c r="C30553" s="8" t="s">
        <v>10811</v>
      </c>
      <c r="D30553" s="8">
        <v>211</v>
      </c>
      <c r="E30553" s="8">
        <v>0</v>
      </c>
      <c r="F30553" s="8">
        <v>55</v>
      </c>
    </row>
    <row r="30554" spans="1:6" ht="12.75">
      <c r="A30554" s="8">
        <v>43890.832557870366</v>
      </c>
      <c r="B30554" s="8" t="str">
        <f>HYPERLINK("https://twitter.com/lordanrijon","@lordanrijon")</f>
        <v>@lordanrijon</v>
      </c>
      <c r="C30554" s="8" t="s">
        <v>7437</v>
      </c>
      <c r="D30554" s="8">
        <v>231</v>
      </c>
      <c r="E30554" s="8">
        <v>0</v>
      </c>
      <c r="F30554" s="8">
        <v>434</v>
      </c>
    </row>
    <row r="30555" spans="1:6" ht="12.75">
      <c r="A30555" s="8">
        <v>43890.832453703704</v>
      </c>
      <c r="B30555" s="8" t="str">
        <f>HYPERLINK("https://twitter.com/totokmuh","@totokmuh")</f>
        <v>@totokmuh</v>
      </c>
      <c r="C30555" s="8" t="s">
        <v>10939</v>
      </c>
      <c r="D30555" s="8">
        <v>152</v>
      </c>
      <c r="E30555" s="8">
        <v>0</v>
      </c>
      <c r="F30555" s="8">
        <v>183</v>
      </c>
    </row>
    <row r="30556" spans="1:6" ht="12.75">
      <c r="A30556" s="8">
        <v>43890.832349537042</v>
      </c>
      <c r="B30556" s="8" t="str">
        <f>HYPERLINK("https://twitter.com/SuharYa62226896","@SuharYa62226896")</f>
        <v>@SuharYa62226896</v>
      </c>
      <c r="C30556" s="8" t="s">
        <v>7686</v>
      </c>
      <c r="D30556" s="8">
        <v>638</v>
      </c>
      <c r="E30556" s="8">
        <v>0</v>
      </c>
      <c r="F30556" s="8">
        <v>678</v>
      </c>
    </row>
    <row r="30557" spans="1:6" ht="12.75">
      <c r="A30557" s="8">
        <v>43890.832349537042</v>
      </c>
      <c r="B30557" s="8" t="str">
        <f>HYPERLINK("https://twitter.com/fadhlisofyan","@fadhlisofyan")</f>
        <v>@fadhlisofyan</v>
      </c>
      <c r="C30557" s="8" t="s">
        <v>11551</v>
      </c>
      <c r="D30557" s="8">
        <v>0</v>
      </c>
      <c r="E30557" s="8">
        <v>0</v>
      </c>
      <c r="F30557" s="8">
        <v>938</v>
      </c>
    </row>
    <row r="30558" spans="1:6" ht="12.75">
      <c r="A30558" s="8">
        <v>43890.832175925927</v>
      </c>
      <c r="B30558" s="8" t="str">
        <f>HYPERLINK("https://twitter.com/firdaustuff","@firdaustuff")</f>
        <v>@firdaustuff</v>
      </c>
      <c r="C30558" s="8" t="s">
        <v>11426</v>
      </c>
      <c r="D30558" s="8">
        <v>50</v>
      </c>
      <c r="E30558" s="8">
        <v>0</v>
      </c>
      <c r="F30558" s="8">
        <v>389</v>
      </c>
    </row>
    <row r="30559" spans="1:6" ht="12.75">
      <c r="A30559" s="8">
        <v>43890.832025462965</v>
      </c>
      <c r="B30559" s="8" t="str">
        <f>HYPERLINK("https://twitter.com/ahmadyanibs","@ahmadyanibs")</f>
        <v>@ahmadyanibs</v>
      </c>
      <c r="C30559" s="8" t="s">
        <v>11552</v>
      </c>
      <c r="D30559" s="8">
        <v>5</v>
      </c>
      <c r="E30559" s="8">
        <v>7</v>
      </c>
      <c r="F30559" s="8">
        <v>2633</v>
      </c>
    </row>
    <row r="30560" spans="1:6" ht="12.75">
      <c r="A30560" s="8">
        <v>43890.832002314812</v>
      </c>
      <c r="B30560" s="8" t="str">
        <f>HYPERLINK("https://twitter.com/ngurah_suta","@ngurah_suta")</f>
        <v>@ngurah_suta</v>
      </c>
      <c r="C30560" s="8" t="s">
        <v>11373</v>
      </c>
      <c r="D30560" s="8">
        <v>10</v>
      </c>
      <c r="E30560" s="8">
        <v>0</v>
      </c>
      <c r="F30560" s="8">
        <v>963</v>
      </c>
    </row>
    <row r="30561" spans="1:6" ht="12.75">
      <c r="A30561" s="8">
        <v>43890.831956018519</v>
      </c>
      <c r="B30561" s="8" t="str">
        <f>HYPERLINK("https://twitter.com/andyjayajaya","@andyjayajaya")</f>
        <v>@andyjayajaya</v>
      </c>
      <c r="C30561" s="8" t="s">
        <v>4235</v>
      </c>
      <c r="D30561" s="8">
        <v>1481</v>
      </c>
      <c r="E30561" s="8">
        <v>0</v>
      </c>
      <c r="F30561" s="8">
        <v>1151</v>
      </c>
    </row>
    <row r="30562" spans="1:6" ht="12.75">
      <c r="A30562" s="8">
        <v>43890.83185185185</v>
      </c>
      <c r="B30562" s="8" t="str">
        <f>HYPERLINK("https://twitter.com/mucht4r64","@mucht4r64")</f>
        <v>@mucht4r64</v>
      </c>
      <c r="C30562" s="8" t="s">
        <v>10939</v>
      </c>
      <c r="D30562" s="8">
        <v>152</v>
      </c>
      <c r="E30562" s="8">
        <v>0</v>
      </c>
      <c r="F30562" s="8">
        <v>114</v>
      </c>
    </row>
    <row r="30563" spans="1:6" ht="12.75">
      <c r="A30563" s="8">
        <v>43890.831770833334</v>
      </c>
      <c r="B30563" s="8" t="str">
        <f>HYPERLINK("https://twitter.com/DoriBose","@DoriBose")</f>
        <v>@DoriBose</v>
      </c>
      <c r="C30563" s="8" t="s">
        <v>7437</v>
      </c>
      <c r="D30563" s="8">
        <v>231</v>
      </c>
      <c r="E30563" s="8">
        <v>0</v>
      </c>
      <c r="F30563" s="8">
        <v>260</v>
      </c>
    </row>
    <row r="30564" spans="1:6" ht="12.75">
      <c r="A30564" s="8">
        <v>43890.831631944442</v>
      </c>
      <c r="B30564" s="8" t="str">
        <f>HYPERLINK("https://twitter.com/n_hhhhhhhhh","@n_hhhhhhhhh")</f>
        <v>@n_hhhhhhhhh</v>
      </c>
      <c r="C30564" s="8" t="s">
        <v>11553</v>
      </c>
      <c r="D30564" s="8">
        <v>0</v>
      </c>
      <c r="E30564" s="8">
        <v>0</v>
      </c>
      <c r="F30564" s="8">
        <v>184</v>
      </c>
    </row>
    <row r="30565" spans="1:6" ht="12.75">
      <c r="A30565" s="8">
        <v>43890.831516203703</v>
      </c>
      <c r="B30565" s="8" t="str">
        <f>HYPERLINK("https://twitter.com/kacangbakwan","@kacangbakwan")</f>
        <v>@kacangbakwan</v>
      </c>
      <c r="C30565" s="8" t="s">
        <v>7686</v>
      </c>
      <c r="D30565" s="8">
        <v>638</v>
      </c>
      <c r="E30565" s="8">
        <v>0</v>
      </c>
      <c r="F30565" s="8">
        <v>524</v>
      </c>
    </row>
    <row r="30566" spans="1:6" ht="12.75">
      <c r="A30566" s="8">
        <v>43890.831493055557</v>
      </c>
      <c r="B30566" s="8" t="str">
        <f>HYPERLINK("https://twitter.com/GoentoerK","@GoentoerK")</f>
        <v>@GoentoerK</v>
      </c>
      <c r="C30566" s="8" t="s">
        <v>6836</v>
      </c>
      <c r="D30566" s="8">
        <v>456</v>
      </c>
      <c r="E30566" s="8">
        <v>0</v>
      </c>
      <c r="F30566" s="8">
        <v>1457</v>
      </c>
    </row>
    <row r="30567" spans="1:6" ht="12.75">
      <c r="A30567" s="8">
        <v>43890.831319444449</v>
      </c>
      <c r="B30567" s="8" t="str">
        <f>HYPERLINK("https://twitter.com/SilitongaEfraim","@SilitongaEfraim")</f>
        <v>@SilitongaEfraim</v>
      </c>
      <c r="C30567" s="8" t="s">
        <v>7686</v>
      </c>
      <c r="D30567" s="8">
        <v>638</v>
      </c>
      <c r="E30567" s="8">
        <v>0</v>
      </c>
      <c r="F30567" s="8">
        <v>2058</v>
      </c>
    </row>
    <row r="30568" spans="1:6" ht="12.75">
      <c r="A30568" s="8">
        <v>43890.831064814818</v>
      </c>
      <c r="B30568" s="8" t="str">
        <f>HYPERLINK("https://twitter.com/BasilSakti","@BasilSakti")</f>
        <v>@BasilSakti</v>
      </c>
      <c r="C30568" s="8" t="s">
        <v>10811</v>
      </c>
      <c r="D30568" s="8">
        <v>211</v>
      </c>
      <c r="E30568" s="8">
        <v>0</v>
      </c>
      <c r="F30568" s="8">
        <v>203</v>
      </c>
    </row>
    <row r="30569" spans="1:6" ht="12.75">
      <c r="A30569" s="8">
        <v>43890.831064814818</v>
      </c>
      <c r="B30569" s="8" t="str">
        <f>HYPERLINK("https://twitter.com/nsptunus","@nsptunus")</f>
        <v>@nsptunus</v>
      </c>
      <c r="C30569" s="8" t="s">
        <v>11554</v>
      </c>
      <c r="D30569" s="8">
        <v>0</v>
      </c>
      <c r="E30569" s="8">
        <v>0</v>
      </c>
      <c r="F30569" s="8">
        <v>246</v>
      </c>
    </row>
    <row r="30570" spans="1:6" ht="12.75">
      <c r="A30570" s="8">
        <v>43890.830960648149</v>
      </c>
      <c r="B30570" s="8" t="str">
        <f>HYPERLINK("https://twitter.com/Ingo_Ingo86","@Ingo_Ingo86")</f>
        <v>@Ingo_Ingo86</v>
      </c>
      <c r="C30570" s="8" t="s">
        <v>11332</v>
      </c>
      <c r="D30570" s="8">
        <v>43</v>
      </c>
      <c r="E30570" s="8">
        <v>0</v>
      </c>
      <c r="F30570" s="8">
        <v>428</v>
      </c>
    </row>
    <row r="30571" spans="1:6" ht="12.75">
      <c r="A30571" s="8">
        <v>43890.830937499995</v>
      </c>
      <c r="B30571" s="8" t="str">
        <f>HYPERLINK("https://twitter.com/Hardi_satriani","@Hardi_satriani")</f>
        <v>@Hardi_satriani</v>
      </c>
      <c r="C30571" s="8" t="s">
        <v>6836</v>
      </c>
      <c r="D30571" s="8">
        <v>456</v>
      </c>
      <c r="E30571" s="8">
        <v>0</v>
      </c>
      <c r="F30571" s="8">
        <v>149</v>
      </c>
    </row>
    <row r="30572" spans="1:6" ht="12.75">
      <c r="A30572" s="8">
        <v>43890.830937499995</v>
      </c>
      <c r="B30572" s="8" t="str">
        <f>HYPERLINK("https://twitter.com/mashuri80851131","@mashuri80851131")</f>
        <v>@mashuri80851131</v>
      </c>
      <c r="C30572" s="8" t="s">
        <v>4235</v>
      </c>
      <c r="D30572" s="8">
        <v>1481</v>
      </c>
      <c r="E30572" s="8">
        <v>0</v>
      </c>
      <c r="F30572" s="8">
        <v>235</v>
      </c>
    </row>
    <row r="30573" spans="1:6" ht="12.75">
      <c r="A30573" s="8">
        <v>43890.830891203703</v>
      </c>
      <c r="B30573" s="8" t="str">
        <f>HYPERLINK("https://twitter.com/SkriniV","@SkriniV")</f>
        <v>@SkriniV</v>
      </c>
      <c r="C30573" s="8" t="s">
        <v>11555</v>
      </c>
      <c r="D30573" s="8">
        <v>0</v>
      </c>
      <c r="E30573" s="8">
        <v>0</v>
      </c>
      <c r="F30573" s="8">
        <v>2</v>
      </c>
    </row>
    <row r="30574" spans="1:6" ht="12.75">
      <c r="A30574" s="8">
        <v>43890.830821759257</v>
      </c>
      <c r="B30574" s="8" t="str">
        <f>HYPERLINK("https://twitter.com/aliandotcomm","@aliandotcomm")</f>
        <v>@aliandotcomm</v>
      </c>
      <c r="C30574" s="8" t="s">
        <v>11160</v>
      </c>
      <c r="D30574" s="8">
        <v>9</v>
      </c>
      <c r="E30574" s="8">
        <v>0</v>
      </c>
      <c r="F30574" s="8">
        <v>459</v>
      </c>
    </row>
    <row r="30575" spans="1:6" ht="12.75">
      <c r="A30575" s="8">
        <v>43890.830752314811</v>
      </c>
      <c r="B30575" s="8" t="str">
        <f>HYPERLINK("https://twitter.com/karyoee","@karyoee")</f>
        <v>@karyoee</v>
      </c>
      <c r="C30575" s="8" t="s">
        <v>11556</v>
      </c>
      <c r="D30575" s="8">
        <v>0</v>
      </c>
      <c r="E30575" s="8">
        <v>0</v>
      </c>
      <c r="F30575" s="8">
        <v>86</v>
      </c>
    </row>
    <row r="30576" spans="1:6" ht="12.75">
      <c r="A30576" s="8">
        <v>43890.830428240741</v>
      </c>
      <c r="B30576" s="8" t="str">
        <f>HYPERLINK("https://twitter.com/dannex21","@dannex21")</f>
        <v>@dannex21</v>
      </c>
      <c r="C30576" s="8" t="s">
        <v>4235</v>
      </c>
      <c r="D30576" s="8">
        <v>1481</v>
      </c>
      <c r="E30576" s="8">
        <v>0</v>
      </c>
      <c r="F30576" s="8">
        <v>451</v>
      </c>
    </row>
    <row r="30577" spans="1:6" ht="12.75">
      <c r="A30577" s="8">
        <v>43890.830277777779</v>
      </c>
      <c r="B30577" s="8" t="str">
        <f>HYPERLINK("https://twitter.com/AdeCand65866045","@AdeCand65866045")</f>
        <v>@AdeCand65866045</v>
      </c>
      <c r="C30577" s="8" t="s">
        <v>4235</v>
      </c>
      <c r="D30577" s="8">
        <v>1481</v>
      </c>
      <c r="E30577" s="8">
        <v>0</v>
      </c>
      <c r="F30577" s="8">
        <v>160</v>
      </c>
    </row>
    <row r="30578" spans="1:6" ht="12.75">
      <c r="A30578" s="8">
        <v>43890.830231481479</v>
      </c>
      <c r="B30578" s="8" t="str">
        <f>HYPERLINK("https://twitter.com/vika_as_","@vika_as_")</f>
        <v>@vika_as_</v>
      </c>
      <c r="C30578" s="8" t="s">
        <v>7437</v>
      </c>
      <c r="D30578" s="8">
        <v>231</v>
      </c>
      <c r="E30578" s="8">
        <v>0</v>
      </c>
      <c r="F30578" s="8">
        <v>165</v>
      </c>
    </row>
    <row r="30579" spans="1:6" ht="12.75">
      <c r="A30579" s="8">
        <v>43890.83017361111</v>
      </c>
      <c r="B30579" s="8" t="str">
        <f>HYPERLINK("https://twitter.com/cxolls_aljawi","@cxolls_aljawi")</f>
        <v>@cxolls_aljawi</v>
      </c>
      <c r="C30579" s="8" t="s">
        <v>10961</v>
      </c>
      <c r="D30579" s="8">
        <v>5</v>
      </c>
      <c r="E30579" s="8">
        <v>0</v>
      </c>
      <c r="F30579" s="8">
        <v>1946</v>
      </c>
    </row>
    <row r="30580" spans="1:6" ht="12.75">
      <c r="A30580" s="8">
        <v>43890.829918981486</v>
      </c>
      <c r="B30580" s="8" t="str">
        <f>HYPERLINK("https://twitter.com/okezonenews","@okezonenews")</f>
        <v>@okezonenews</v>
      </c>
      <c r="C30580" s="8" t="s">
        <v>11557</v>
      </c>
      <c r="D30580" s="8">
        <v>0</v>
      </c>
      <c r="E30580" s="8">
        <v>0</v>
      </c>
      <c r="F30580" s="8">
        <v>1744063</v>
      </c>
    </row>
    <row r="30581" spans="1:6" ht="12.75">
      <c r="A30581" s="8">
        <v>43890.829722222217</v>
      </c>
      <c r="B30581" s="8" t="str">
        <f>HYPERLINK("https://twitter.com/DoriBose","@DoriBose")</f>
        <v>@DoriBose</v>
      </c>
      <c r="C30581" s="8" t="s">
        <v>11105</v>
      </c>
      <c r="D30581" s="8">
        <v>150</v>
      </c>
      <c r="E30581" s="8">
        <v>0</v>
      </c>
      <c r="F30581" s="8">
        <v>260</v>
      </c>
    </row>
    <row r="30582" spans="1:6" ht="12.75">
      <c r="A30582" s="8">
        <v>43890.829710648148</v>
      </c>
      <c r="B30582" s="8" t="str">
        <f>HYPERLINK("https://twitter.com/penguinbabe99","@penguinbabe99")</f>
        <v>@penguinbabe99</v>
      </c>
      <c r="C30582" s="8" t="s">
        <v>11558</v>
      </c>
      <c r="D30582" s="8">
        <v>0</v>
      </c>
      <c r="E30582" s="8">
        <v>0</v>
      </c>
      <c r="F30582" s="8">
        <v>588</v>
      </c>
    </row>
    <row r="30583" spans="1:6" ht="12.75">
      <c r="A30583" s="8">
        <v>43890.829525462963</v>
      </c>
      <c r="B30583" s="8" t="str">
        <f>HYPERLINK("https://twitter.com/kardusbox08","@kardusbox08")</f>
        <v>@kardusbox08</v>
      </c>
      <c r="C30583" s="8" t="s">
        <v>10961</v>
      </c>
      <c r="D30583" s="8">
        <v>5</v>
      </c>
      <c r="E30583" s="8">
        <v>0</v>
      </c>
      <c r="F30583" s="8">
        <v>1752</v>
      </c>
    </row>
    <row r="30584" spans="1:6" ht="12.75">
      <c r="A30584" s="8">
        <v>43890.829363425924</v>
      </c>
      <c r="B30584" s="8" t="str">
        <f>HYPERLINK("https://twitter.com/dnoto_s","@dnoto_s")</f>
        <v>@dnoto_s</v>
      </c>
      <c r="C30584" s="8" t="s">
        <v>11559</v>
      </c>
      <c r="D30584" s="8">
        <v>2</v>
      </c>
      <c r="E30584" s="8">
        <v>0</v>
      </c>
      <c r="F30584" s="8">
        <v>99</v>
      </c>
    </row>
    <row r="30585" spans="1:6" ht="12.75">
      <c r="A30585" s="8">
        <v>43890.829155092593</v>
      </c>
      <c r="B30585" s="8" t="str">
        <f>HYPERLINK("https://twitter.com/ZhuKeithlyn","@ZhuKeithlyn")</f>
        <v>@ZhuKeithlyn</v>
      </c>
      <c r="C30585" s="8" t="s">
        <v>7437</v>
      </c>
      <c r="D30585" s="8">
        <v>231</v>
      </c>
      <c r="E30585" s="8">
        <v>0</v>
      </c>
      <c r="F30585" s="8">
        <v>113</v>
      </c>
    </row>
    <row r="30586" spans="1:6" ht="12.75">
      <c r="A30586" s="8">
        <v>43890.798449074078</v>
      </c>
      <c r="B30586" s="8" t="str">
        <f>HYPERLINK("https://twitter.com/agus_kriwul","@agus_kriwul")</f>
        <v>@agus_kriwul</v>
      </c>
      <c r="C30586" s="8" t="s">
        <v>2272</v>
      </c>
      <c r="D30586" s="8">
        <v>22</v>
      </c>
      <c r="E30586" s="8">
        <v>0</v>
      </c>
      <c r="F30586" s="8">
        <v>353</v>
      </c>
    </row>
    <row r="30587" spans="1:6" ht="12.75">
      <c r="A30587" s="8">
        <v>43890.798425925925</v>
      </c>
      <c r="B30587" s="8" t="str">
        <f>HYPERLINK("https://twitter.com/ongen4444","@ongen4444")</f>
        <v>@ongen4444</v>
      </c>
      <c r="C30587" s="8" t="s">
        <v>11273</v>
      </c>
      <c r="D30587" s="8">
        <v>26</v>
      </c>
      <c r="E30587" s="8">
        <v>0</v>
      </c>
      <c r="F30587" s="8">
        <v>1086</v>
      </c>
    </row>
    <row r="30588" spans="1:6" ht="12.75">
      <c r="A30588" s="8">
        <v>43890.798368055555</v>
      </c>
      <c r="B30588" s="8" t="str">
        <f>HYPERLINK("https://twitter.com/sarah_tyas1","@sarah_tyas1")</f>
        <v>@sarah_tyas1</v>
      </c>
      <c r="C30588" s="8" t="s">
        <v>11560</v>
      </c>
      <c r="D30588" s="8">
        <v>0</v>
      </c>
      <c r="E30588" s="8">
        <v>0</v>
      </c>
      <c r="F30588" s="8">
        <v>426</v>
      </c>
    </row>
    <row r="30589" spans="1:6" ht="12.75">
      <c r="A30589" s="8">
        <v>43890.798252314809</v>
      </c>
      <c r="B30589" s="8" t="str">
        <f>HYPERLINK("https://twitter.com/AlfaOmega0110","@AlfaOmega0110")</f>
        <v>@AlfaOmega0110</v>
      </c>
      <c r="C30589" s="8" t="s">
        <v>11561</v>
      </c>
      <c r="D30589" s="8">
        <v>0</v>
      </c>
      <c r="E30589" s="8">
        <v>0</v>
      </c>
      <c r="F30589" s="8">
        <v>1242</v>
      </c>
    </row>
    <row r="30590" spans="1:6" ht="12.75">
      <c r="A30590" s="8">
        <v>43890.798252314809</v>
      </c>
      <c r="B30590" s="8" t="str">
        <f>HYPERLINK("https://twitter.com/2Harjo","@2Harjo")</f>
        <v>@2Harjo</v>
      </c>
      <c r="C30590" s="8" t="s">
        <v>11155</v>
      </c>
      <c r="D30590" s="8">
        <v>20</v>
      </c>
      <c r="E30590" s="8">
        <v>0</v>
      </c>
      <c r="F30590" s="8">
        <v>1539</v>
      </c>
    </row>
    <row r="30591" spans="1:6" ht="12.75">
      <c r="A30591" s="8">
        <v>43890.79822916667</v>
      </c>
      <c r="B30591" s="8" t="str">
        <f>HYPERLINK("https://twitter.com/superkomputer","@superkomputer")</f>
        <v>@superkomputer</v>
      </c>
      <c r="C30591" s="8" t="s">
        <v>7437</v>
      </c>
      <c r="D30591" s="8">
        <v>209</v>
      </c>
      <c r="E30591" s="8">
        <v>0</v>
      </c>
      <c r="F30591" s="8">
        <v>592</v>
      </c>
    </row>
    <row r="30592" spans="1:6" ht="12.75">
      <c r="A30592" s="8">
        <v>43890.798217592594</v>
      </c>
      <c r="B30592" s="8" t="str">
        <f>HYPERLINK("https://twitter.com/AliB62952147","@AliB62952147")</f>
        <v>@AliB62952147</v>
      </c>
      <c r="C30592" s="8" t="s">
        <v>7686</v>
      </c>
      <c r="D30592" s="8">
        <v>572</v>
      </c>
      <c r="E30592" s="8">
        <v>0</v>
      </c>
      <c r="F30592" s="8">
        <v>708</v>
      </c>
    </row>
    <row r="30593" spans="1:6" ht="12.75">
      <c r="A30593" s="8">
        <v>43890.798101851848</v>
      </c>
      <c r="B30593" s="8" t="str">
        <f>HYPERLINK("https://twitter.com/yudhapati88","@yudhapati88")</f>
        <v>@yudhapati88</v>
      </c>
      <c r="C30593" s="8" t="s">
        <v>11292</v>
      </c>
      <c r="D30593" s="8">
        <v>48</v>
      </c>
      <c r="E30593" s="8">
        <v>0</v>
      </c>
      <c r="F30593" s="8">
        <v>3434</v>
      </c>
    </row>
    <row r="30594" spans="1:6" ht="12.75">
      <c r="A30594" s="8">
        <v>43890.797916666663</v>
      </c>
      <c r="B30594" s="8" t="str">
        <f>HYPERLINK("https://twitter.com/doyokijay","@doyokijay")</f>
        <v>@doyokijay</v>
      </c>
      <c r="C30594" s="8" t="s">
        <v>7686</v>
      </c>
      <c r="D30594" s="8">
        <v>572</v>
      </c>
      <c r="E30594" s="8">
        <v>0</v>
      </c>
      <c r="F30594" s="8">
        <v>314</v>
      </c>
    </row>
    <row r="30595" spans="1:6" ht="12.75">
      <c r="A30595" s="8">
        <v>43890.797824074078</v>
      </c>
      <c r="B30595" s="8" t="str">
        <f>HYPERLINK("https://twitter.com/AimanDrummer","@AimanDrummer")</f>
        <v>@AimanDrummer</v>
      </c>
      <c r="C30595" s="8" t="s">
        <v>11426</v>
      </c>
      <c r="D30595" s="8">
        <v>49</v>
      </c>
      <c r="E30595" s="8">
        <v>0</v>
      </c>
      <c r="F30595" s="8">
        <v>230</v>
      </c>
    </row>
    <row r="30596" spans="1:6" ht="12.75">
      <c r="A30596" s="8">
        <v>43890.797696759255</v>
      </c>
      <c r="B30596" s="8" t="str">
        <f>HYPERLINK("https://twitter.com/eizanfolks","@eizanfolks")</f>
        <v>@eizanfolks</v>
      </c>
      <c r="C30596" s="8" t="s">
        <v>7437</v>
      </c>
      <c r="D30596" s="8">
        <v>209</v>
      </c>
      <c r="E30596" s="8">
        <v>0</v>
      </c>
      <c r="F30596" s="8">
        <v>8665</v>
      </c>
    </row>
    <row r="30597" spans="1:6" ht="12.75">
      <c r="A30597" s="8">
        <v>43890.797638888893</v>
      </c>
      <c r="B30597" s="8" t="str">
        <f>HYPERLINK("https://twitter.com/akk4746","@akk4746")</f>
        <v>@akk4746</v>
      </c>
      <c r="C30597" s="8" t="s">
        <v>7437</v>
      </c>
      <c r="D30597" s="8">
        <v>209</v>
      </c>
      <c r="E30597" s="8">
        <v>0</v>
      </c>
      <c r="F30597" s="8">
        <v>322</v>
      </c>
    </row>
    <row r="30598" spans="1:6" ht="12.75">
      <c r="A30598" s="8">
        <v>43890.797534722224</v>
      </c>
      <c r="B30598" s="8" t="str">
        <f>HYPERLINK("https://twitter.com/indri_nastiti","@indri_nastiti")</f>
        <v>@indri_nastiti</v>
      </c>
      <c r="C30598" s="8" t="s">
        <v>8746</v>
      </c>
      <c r="D30598" s="8">
        <v>295</v>
      </c>
      <c r="E30598" s="8">
        <v>0</v>
      </c>
      <c r="F30598" s="8">
        <v>87</v>
      </c>
    </row>
    <row r="30599" spans="1:6" ht="12.75">
      <c r="A30599" s="8">
        <v>43890.797430555554</v>
      </c>
      <c r="B30599" s="8" t="str">
        <f>HYPERLINK("https://twitter.com/NKRI_jaya","@NKRI_jaya")</f>
        <v>@NKRI_jaya</v>
      </c>
      <c r="C30599" s="8" t="s">
        <v>7437</v>
      </c>
      <c r="D30599" s="8">
        <v>209</v>
      </c>
      <c r="E30599" s="8">
        <v>0</v>
      </c>
      <c r="F30599" s="8">
        <v>820</v>
      </c>
    </row>
    <row r="30600" spans="1:6" ht="12.75">
      <c r="A30600" s="8">
        <v>43890.797326388885</v>
      </c>
      <c r="B30600" s="8" t="str">
        <f>HYPERLINK("https://twitter.com/KailPancing","@KailPancing")</f>
        <v>@KailPancing</v>
      </c>
      <c r="C30600" s="8" t="s">
        <v>11562</v>
      </c>
      <c r="D30600" s="8">
        <v>0</v>
      </c>
      <c r="E30600" s="8">
        <v>0</v>
      </c>
      <c r="F30600" s="8">
        <v>1088</v>
      </c>
    </row>
    <row r="30601" spans="1:6" ht="12.75">
      <c r="A30601" s="8">
        <v>43890.7972337963</v>
      </c>
      <c r="B30601" s="8" t="str">
        <f>HYPERLINK("https://twitter.com/V_Stone_Kardol","@V_Stone_Kardol")</f>
        <v>@V_Stone_Kardol</v>
      </c>
      <c r="C30601" s="8" t="s">
        <v>11563</v>
      </c>
      <c r="D30601" s="8">
        <v>1</v>
      </c>
      <c r="E30601" s="8">
        <v>0</v>
      </c>
      <c r="F30601" s="8">
        <v>8233</v>
      </c>
    </row>
    <row r="30602" spans="1:6" ht="12.75">
      <c r="A30602" s="8">
        <v>43890.797222222223</v>
      </c>
      <c r="B30602" s="8" t="str">
        <f>HYPERLINK("https://twitter.com/teh_tariq","@teh_tariq")</f>
        <v>@teh_tariq</v>
      </c>
      <c r="C30602" s="8" t="s">
        <v>11217</v>
      </c>
      <c r="D30602" s="8">
        <v>42</v>
      </c>
      <c r="E30602" s="8">
        <v>0</v>
      </c>
      <c r="F30602" s="8">
        <v>6800</v>
      </c>
    </row>
    <row r="30603" spans="1:6" ht="12.75">
      <c r="A30603" s="8">
        <v>43890.797199074077</v>
      </c>
      <c r="B30603" s="8" t="str">
        <f>HYPERLINK("https://twitter.com/Gunanto87031659","@Gunanto87031659")</f>
        <v>@Gunanto87031659</v>
      </c>
      <c r="C30603" s="8" t="s">
        <v>7686</v>
      </c>
      <c r="D30603" s="8">
        <v>572</v>
      </c>
      <c r="E30603" s="8">
        <v>0</v>
      </c>
      <c r="F30603" s="8">
        <v>366</v>
      </c>
    </row>
    <row r="30604" spans="1:6" ht="12.75">
      <c r="A30604" s="8">
        <v>43890.7971875</v>
      </c>
      <c r="B30604" s="8" t="str">
        <f>HYPERLINK("https://twitter.com/mokhamadtoha2","@mokhamadtoha2")</f>
        <v>@mokhamadtoha2</v>
      </c>
      <c r="C30604" s="8" t="s">
        <v>7437</v>
      </c>
      <c r="D30604" s="8">
        <v>209</v>
      </c>
      <c r="E30604" s="8">
        <v>0</v>
      </c>
      <c r="F30604" s="8">
        <v>1467</v>
      </c>
    </row>
    <row r="30605" spans="1:6" ht="12.75">
      <c r="A30605" s="8">
        <v>43890.797083333338</v>
      </c>
      <c r="B30605" s="8" t="str">
        <f>HYPERLINK("https://twitter.com/jangkarlaut54","@jangkarlaut54")</f>
        <v>@jangkarlaut54</v>
      </c>
      <c r="C30605" s="8" t="s">
        <v>9163</v>
      </c>
      <c r="D30605" s="8">
        <v>26</v>
      </c>
      <c r="E30605" s="8">
        <v>0</v>
      </c>
      <c r="F30605" s="8">
        <v>1402</v>
      </c>
    </row>
    <row r="30606" spans="1:6" ht="12.75">
      <c r="A30606" s="8">
        <v>43890.797037037039</v>
      </c>
      <c r="B30606" s="8" t="str">
        <f>HYPERLINK("https://twitter.com/Abdoelmapan","@Abdoelmapan")</f>
        <v>@Abdoelmapan</v>
      </c>
      <c r="C30606" s="8" t="s">
        <v>7437</v>
      </c>
      <c r="D30606" s="8">
        <v>209</v>
      </c>
      <c r="E30606" s="8">
        <v>0</v>
      </c>
      <c r="F30606" s="8">
        <v>1433</v>
      </c>
    </row>
    <row r="30607" spans="1:6" ht="12.75">
      <c r="A30607" s="8">
        <v>43890.797002314815</v>
      </c>
      <c r="B30607" s="8" t="str">
        <f>HYPERLINK("https://twitter.com/rizwan_whd","@rizwan_whd")</f>
        <v>@rizwan_whd</v>
      </c>
      <c r="C30607" s="8" t="s">
        <v>11564</v>
      </c>
      <c r="D30607" s="8">
        <v>0</v>
      </c>
      <c r="E30607" s="8">
        <v>1</v>
      </c>
      <c r="F30607" s="8">
        <v>11143</v>
      </c>
    </row>
    <row r="30608" spans="1:6" ht="12.75">
      <c r="A30608" s="8">
        <v>43890.796909722223</v>
      </c>
      <c r="B30608" s="8" t="str">
        <f>HYPERLINK("https://twitter.com/Yos65110416","@Yos65110416")</f>
        <v>@Yos65110416</v>
      </c>
      <c r="C30608" s="8" t="s">
        <v>8746</v>
      </c>
      <c r="D30608" s="8">
        <v>295</v>
      </c>
      <c r="E30608" s="8">
        <v>0</v>
      </c>
      <c r="F30608" s="8">
        <v>522</v>
      </c>
    </row>
    <row r="30609" spans="1:6" ht="12.75">
      <c r="A30609" s="8">
        <v>43890.79688657407</v>
      </c>
      <c r="B30609" s="8" t="str">
        <f>HYPERLINK("https://twitter.com/FerdinandHaean2","@FerdinandHaean2")</f>
        <v>@FerdinandHaean2</v>
      </c>
      <c r="C30609" s="8" t="s">
        <v>11565</v>
      </c>
      <c r="D30609" s="8">
        <v>0</v>
      </c>
      <c r="E30609" s="8">
        <v>0</v>
      </c>
      <c r="F30609" s="8">
        <v>47281</v>
      </c>
    </row>
    <row r="30610" spans="1:6" ht="12.75">
      <c r="A30610" s="8">
        <v>43890.796770833331</v>
      </c>
      <c r="B30610" s="8" t="str">
        <f>HYPERLINK("https://twitter.com/Bimalaya63","@Bimalaya63")</f>
        <v>@Bimalaya63</v>
      </c>
      <c r="C30610" s="8" t="s">
        <v>7437</v>
      </c>
      <c r="D30610" s="8">
        <v>209</v>
      </c>
      <c r="E30610" s="8">
        <v>0</v>
      </c>
      <c r="F30610" s="8">
        <v>1129</v>
      </c>
    </row>
    <row r="30611" spans="1:6" ht="12.75">
      <c r="A30611" s="8">
        <v>43890.796527777777</v>
      </c>
      <c r="B30611" s="8" t="str">
        <f>HYPERLINK("https://twitter.com/zaydlimited","@zaydlimited")</f>
        <v>@zaydlimited</v>
      </c>
      <c r="C30611" s="8" t="s">
        <v>4235</v>
      </c>
      <c r="D30611" s="8">
        <v>1455</v>
      </c>
      <c r="E30611" s="8">
        <v>0</v>
      </c>
      <c r="F30611" s="8">
        <v>390</v>
      </c>
    </row>
    <row r="30612" spans="1:6" ht="12.75">
      <c r="A30612" s="8">
        <v>43890.796365740738</v>
      </c>
      <c r="B30612" s="8" t="str">
        <f>HYPERLINK("https://twitter.com/jojoeles77","@jojoeles77")</f>
        <v>@jojoeles77</v>
      </c>
      <c r="C30612" s="8" t="s">
        <v>11566</v>
      </c>
      <c r="D30612" s="8">
        <v>0</v>
      </c>
      <c r="E30612" s="8">
        <v>1</v>
      </c>
      <c r="F30612" s="8">
        <v>1884</v>
      </c>
    </row>
    <row r="30613" spans="1:6" ht="12.75">
      <c r="A30613" s="8">
        <v>43890.796365740738</v>
      </c>
      <c r="B30613" s="8" t="str">
        <f>HYPERLINK("https://twitter.com/awkwowkwowkowkw","@awkwowkwowkowkw")</f>
        <v>@awkwowkwowkowkw</v>
      </c>
      <c r="C30613" s="8" t="s">
        <v>10811</v>
      </c>
      <c r="D30613" s="8">
        <v>202</v>
      </c>
      <c r="E30613" s="8">
        <v>0</v>
      </c>
      <c r="F30613" s="8">
        <v>0</v>
      </c>
    </row>
    <row r="30614" spans="1:6" ht="12.75">
      <c r="A30614" s="8">
        <v>43890.796331018515</v>
      </c>
      <c r="B30614" s="8" t="str">
        <f>HYPERLINK("https://twitter.com/lawanprovokator","@lawanprovokator")</f>
        <v>@lawanprovokator</v>
      </c>
      <c r="C30614" s="8" t="s">
        <v>7686</v>
      </c>
      <c r="D30614" s="8">
        <v>572</v>
      </c>
      <c r="E30614" s="8">
        <v>0</v>
      </c>
      <c r="F30614" s="8">
        <v>221</v>
      </c>
    </row>
    <row r="30615" spans="1:6" ht="12.75">
      <c r="A30615" s="8">
        <v>43890.796273148153</v>
      </c>
      <c r="B30615" s="8" t="str">
        <f>HYPERLINK("https://twitter.com/warta_tangerang","@warta_tangerang")</f>
        <v>@warta_tangerang</v>
      </c>
      <c r="C30615" s="8" t="s">
        <v>11567</v>
      </c>
      <c r="D30615" s="8">
        <v>0</v>
      </c>
      <c r="E30615" s="8">
        <v>0</v>
      </c>
      <c r="F30615" s="8">
        <v>8569</v>
      </c>
    </row>
    <row r="30616" spans="1:6" ht="12.75">
      <c r="A30616" s="8">
        <v>43890.79619212963</v>
      </c>
      <c r="B30616" s="8" t="str">
        <f>HYPERLINK("https://twitter.com/yansapermana70","@yansapermana70")</f>
        <v>@yansapermana70</v>
      </c>
      <c r="C30616" s="8" t="s">
        <v>8746</v>
      </c>
      <c r="D30616" s="8">
        <v>295</v>
      </c>
      <c r="E30616" s="8">
        <v>0</v>
      </c>
      <c r="F30616" s="8">
        <v>1361</v>
      </c>
    </row>
    <row r="30617" spans="1:6" ht="12.75">
      <c r="A30617" s="8">
        <v>43890.796076388884</v>
      </c>
      <c r="B30617" s="8" t="str">
        <f>HYPERLINK("https://twitter.com/BadjaNuswantara","@BadjaNuswantara")</f>
        <v>@BadjaNuswantara</v>
      </c>
      <c r="C30617" s="8" t="s">
        <v>7437</v>
      </c>
      <c r="D30617" s="8">
        <v>209</v>
      </c>
      <c r="E30617" s="8">
        <v>0</v>
      </c>
      <c r="F30617" s="8">
        <v>43478</v>
      </c>
    </row>
    <row r="30618" spans="1:6" ht="12.75">
      <c r="A30618" s="8">
        <v>43890.796053240745</v>
      </c>
      <c r="B30618" s="8" t="str">
        <f>HYPERLINK("https://twitter.com/Arifslstynto","@Arifslstynto")</f>
        <v>@Arifslstynto</v>
      </c>
      <c r="C30618" s="8" t="s">
        <v>11568</v>
      </c>
      <c r="D30618" s="8">
        <v>0</v>
      </c>
      <c r="E30618" s="8">
        <v>0</v>
      </c>
      <c r="F30618" s="8">
        <v>208</v>
      </c>
    </row>
    <row r="30619" spans="1:6" ht="12.75">
      <c r="A30619" s="8">
        <v>43890.795960648145</v>
      </c>
      <c r="B30619" s="8" t="str">
        <f>HYPERLINK("https://twitter.com/violinchia","@violinchia")</f>
        <v>@violinchia</v>
      </c>
      <c r="C30619" s="8" t="s">
        <v>11302</v>
      </c>
      <c r="D30619" s="8">
        <v>56</v>
      </c>
      <c r="E30619" s="8">
        <v>0</v>
      </c>
      <c r="F30619" s="8">
        <v>568</v>
      </c>
    </row>
    <row r="30620" spans="1:6" ht="12.75">
      <c r="A30620" s="8">
        <v>43890.795613425929</v>
      </c>
      <c r="B30620" s="8" t="str">
        <f>HYPERLINK("https://twitter.com/Capenk4","@Capenk4")</f>
        <v>@Capenk4</v>
      </c>
      <c r="C30620" s="8" t="s">
        <v>7686</v>
      </c>
      <c r="D30620" s="8">
        <v>572</v>
      </c>
      <c r="E30620" s="8">
        <v>0</v>
      </c>
      <c r="F30620" s="8">
        <v>379</v>
      </c>
    </row>
    <row r="30621" spans="1:6" ht="12.75">
      <c r="A30621" s="8">
        <v>43890.795324074075</v>
      </c>
      <c r="B30621" s="8" t="str">
        <f>HYPERLINK("https://twitter.com/SonyaWiharjo","@SonyaWiharjo")</f>
        <v>@SonyaWiharjo</v>
      </c>
      <c r="C30621" s="8" t="s">
        <v>11569</v>
      </c>
      <c r="D30621" s="8">
        <v>0</v>
      </c>
      <c r="E30621" s="8">
        <v>0</v>
      </c>
      <c r="F30621" s="8">
        <v>3</v>
      </c>
    </row>
    <row r="30622" spans="1:6" ht="12.75">
      <c r="A30622" s="8">
        <v>43890.795231481483</v>
      </c>
      <c r="B30622" s="8" t="str">
        <f>HYPERLINK("https://twitter.com/wartaIDN","@wartaIDN")</f>
        <v>@wartaIDN</v>
      </c>
      <c r="C30622" s="8" t="s">
        <v>11567</v>
      </c>
      <c r="D30622" s="8">
        <v>0</v>
      </c>
      <c r="E30622" s="8">
        <v>0</v>
      </c>
      <c r="F30622" s="8">
        <v>7773</v>
      </c>
    </row>
    <row r="30623" spans="1:6" ht="12.75">
      <c r="A30623" s="8">
        <v>43890.794988425929</v>
      </c>
      <c r="B30623" s="8" t="str">
        <f>HYPERLINK("https://twitter.com/epe_oke","@epe_oke")</f>
        <v>@epe_oke</v>
      </c>
      <c r="C30623" s="8" t="s">
        <v>6883</v>
      </c>
      <c r="D30623" s="8">
        <v>14</v>
      </c>
      <c r="E30623" s="8">
        <v>0</v>
      </c>
      <c r="F30623" s="8">
        <v>27</v>
      </c>
    </row>
    <row r="30624" spans="1:6" ht="12.75">
      <c r="A30624" s="8">
        <v>43890.794814814813</v>
      </c>
      <c r="B30624" s="8" t="str">
        <f>HYPERLINK("https://twitter.com/kitsiangfreddy","@kitsiangfreddy")</f>
        <v>@kitsiangfreddy</v>
      </c>
      <c r="C30624" s="8" t="s">
        <v>11105</v>
      </c>
      <c r="D30624" s="8">
        <v>146</v>
      </c>
      <c r="E30624" s="8">
        <v>0</v>
      </c>
      <c r="F30624" s="8">
        <v>1951</v>
      </c>
    </row>
    <row r="30625" spans="1:6" ht="12.75">
      <c r="A30625" s="8">
        <v>43890.79478009259</v>
      </c>
      <c r="B30625" s="8" t="str">
        <f>HYPERLINK("https://twitter.com/DavidKanata","@DavidKanata")</f>
        <v>@DavidKanata</v>
      </c>
      <c r="C30625" s="8" t="s">
        <v>11570</v>
      </c>
      <c r="D30625" s="8">
        <v>2</v>
      </c>
      <c r="E30625" s="8">
        <v>0</v>
      </c>
      <c r="F30625" s="8">
        <v>1177</v>
      </c>
    </row>
    <row r="30626" spans="1:6" ht="12.75">
      <c r="A30626" s="8">
        <v>43890.794687500005</v>
      </c>
      <c r="B30626" s="8" t="str">
        <f>HYPERLINK("https://twitter.com/IstyadiI","@IstyadiI")</f>
        <v>@IstyadiI</v>
      </c>
      <c r="C30626" s="8" t="s">
        <v>11571</v>
      </c>
      <c r="D30626" s="8">
        <v>4</v>
      </c>
      <c r="E30626" s="8">
        <v>0</v>
      </c>
      <c r="F30626" s="8">
        <v>700</v>
      </c>
    </row>
    <row r="30627" spans="1:6" ht="12.75">
      <c r="A30627" s="8">
        <v>43890.794652777782</v>
      </c>
      <c r="B30627" s="8" t="str">
        <f>HYPERLINK("https://twitter.com/nogepink","@nogepink")</f>
        <v>@nogepink</v>
      </c>
      <c r="C30627" s="8" t="s">
        <v>7686</v>
      </c>
      <c r="D30627" s="8">
        <v>572</v>
      </c>
      <c r="E30627" s="8">
        <v>0</v>
      </c>
      <c r="F30627" s="8">
        <v>319</v>
      </c>
    </row>
    <row r="30628" spans="1:6" ht="12.75">
      <c r="A30628" s="8">
        <v>43890.794340277775</v>
      </c>
      <c r="B30628" s="8" t="str">
        <f>HYPERLINK("https://twitter.com/ahduykrisna1","@ahduykrisna1")</f>
        <v>@ahduykrisna1</v>
      </c>
      <c r="C30628" s="8" t="s">
        <v>8746</v>
      </c>
      <c r="D30628" s="8">
        <v>295</v>
      </c>
      <c r="E30628" s="8">
        <v>0</v>
      </c>
      <c r="F30628" s="8">
        <v>353</v>
      </c>
    </row>
    <row r="30629" spans="1:6" ht="12.75">
      <c r="A30629" s="8">
        <v>43890.794328703705</v>
      </c>
      <c r="B30629" s="8" t="str">
        <f>HYPERLINK("https://twitter.com/Indramajid8","@Indramajid8")</f>
        <v>@Indramajid8</v>
      </c>
      <c r="C30629" s="8" t="s">
        <v>11572</v>
      </c>
      <c r="D30629" s="8">
        <v>2</v>
      </c>
      <c r="E30629" s="8">
        <v>0</v>
      </c>
      <c r="F30629" s="8">
        <v>2270</v>
      </c>
    </row>
    <row r="30630" spans="1:6" ht="12.75">
      <c r="A30630" s="8">
        <v>43890.794189814813</v>
      </c>
      <c r="B30630" s="8" t="str">
        <f>HYPERLINK("https://twitter.com/Ddipram","@Ddipram")</f>
        <v>@Ddipram</v>
      </c>
      <c r="C30630" s="8" t="s">
        <v>11573</v>
      </c>
      <c r="D30630" s="8">
        <v>0</v>
      </c>
      <c r="E30630" s="8">
        <v>0</v>
      </c>
      <c r="F30630" s="8">
        <v>3136</v>
      </c>
    </row>
    <row r="30631" spans="1:6" ht="12.75">
      <c r="A30631" s="8">
        <v>43890.793993055559</v>
      </c>
      <c r="B30631" s="8" t="str">
        <f>HYPERLINK("https://twitter.com/CaroneLukas","@CaroneLukas")</f>
        <v>@CaroneLukas</v>
      </c>
      <c r="C30631" s="8" t="s">
        <v>10811</v>
      </c>
      <c r="D30631" s="8">
        <v>202</v>
      </c>
      <c r="E30631" s="8">
        <v>0</v>
      </c>
      <c r="F30631" s="8">
        <v>266</v>
      </c>
    </row>
    <row r="30632" spans="1:6" ht="12.75">
      <c r="A30632" s="8">
        <v>43890.79387731482</v>
      </c>
      <c r="B30632" s="8" t="str">
        <f>HYPERLINK("https://twitter.com/sulistyo_tantry","@sulistyo_tantry")</f>
        <v>@sulistyo_tantry</v>
      </c>
      <c r="C30632" s="8" t="s">
        <v>7686</v>
      </c>
      <c r="D30632" s="8">
        <v>572</v>
      </c>
      <c r="E30632" s="8">
        <v>0</v>
      </c>
      <c r="F30632" s="8">
        <v>411</v>
      </c>
    </row>
    <row r="30633" spans="1:6" ht="12.75">
      <c r="A30633" s="8">
        <v>43890.793773148151</v>
      </c>
      <c r="B30633" s="8" t="str">
        <f>HYPERLINK("https://twitter.com/Dhendra64","@Dhendra64")</f>
        <v>@Dhendra64</v>
      </c>
      <c r="C30633" s="8" t="s">
        <v>7686</v>
      </c>
      <c r="D30633" s="8">
        <v>572</v>
      </c>
      <c r="E30633" s="8">
        <v>0</v>
      </c>
      <c r="F30633" s="8">
        <v>71</v>
      </c>
    </row>
    <row r="30634" spans="1:6" ht="12.75">
      <c r="A30634" s="8">
        <v>43890.793645833328</v>
      </c>
      <c r="B30634" s="8" t="str">
        <f>HYPERLINK("https://twitter.com/nemosyus","@nemosyus")</f>
        <v>@nemosyus</v>
      </c>
      <c r="C30634" s="8" t="s">
        <v>11574</v>
      </c>
      <c r="D30634" s="8">
        <v>0</v>
      </c>
      <c r="E30634" s="8">
        <v>1</v>
      </c>
      <c r="F30634" s="8">
        <v>515</v>
      </c>
    </row>
    <row r="30635" spans="1:6" ht="12.75">
      <c r="A30635" s="8">
        <v>43890.793344907404</v>
      </c>
      <c r="B30635" s="8" t="str">
        <f>HYPERLINK("https://twitter.com/kardusbox08","@kardusbox08")</f>
        <v>@kardusbox08</v>
      </c>
      <c r="C30635" s="8" t="s">
        <v>11575</v>
      </c>
      <c r="D30635" s="8">
        <v>0</v>
      </c>
      <c r="E30635" s="8">
        <v>0</v>
      </c>
      <c r="F30635" s="8">
        <v>1751</v>
      </c>
    </row>
    <row r="30636" spans="1:6" ht="12.75">
      <c r="A30636" s="8">
        <v>43890.793298611112</v>
      </c>
      <c r="B30636" s="8" t="str">
        <f>HYPERLINK("https://twitter.com/Genta57027194","@Genta57027194")</f>
        <v>@Genta57027194</v>
      </c>
      <c r="C30636" s="8" t="s">
        <v>7437</v>
      </c>
      <c r="D30636" s="8">
        <v>209</v>
      </c>
      <c r="E30636" s="8">
        <v>0</v>
      </c>
      <c r="F30636" s="8">
        <v>170</v>
      </c>
    </row>
    <row r="30637" spans="1:6" ht="12.75">
      <c r="A30637" s="8">
        <v>43890.793113425927</v>
      </c>
      <c r="B30637" s="8" t="str">
        <f>HYPERLINK("https://twitter.com/TaufikNurendra","@TaufikNurendra")</f>
        <v>@TaufikNurendra</v>
      </c>
      <c r="C30637" s="8" t="s">
        <v>10939</v>
      </c>
      <c r="D30637" s="8">
        <v>143</v>
      </c>
      <c r="E30637" s="8">
        <v>0</v>
      </c>
      <c r="F30637" s="8">
        <v>62</v>
      </c>
    </row>
    <row r="30638" spans="1:6" ht="12.75">
      <c r="A30638" s="8">
        <v>43890.792800925927</v>
      </c>
      <c r="B30638" s="8" t="str">
        <f>HYPERLINK("https://twitter.com/nemosyus","@nemosyus")</f>
        <v>@nemosyus</v>
      </c>
      <c r="C30638" s="8" t="s">
        <v>11576</v>
      </c>
      <c r="D30638" s="8">
        <v>1</v>
      </c>
      <c r="E30638" s="8">
        <v>0</v>
      </c>
      <c r="F30638" s="8">
        <v>515</v>
      </c>
    </row>
    <row r="30639" spans="1:6" ht="12.75">
      <c r="A30639" s="8">
        <v>43890.792708333334</v>
      </c>
      <c r="B30639" s="8" t="str">
        <f>HYPERLINK("https://twitter.com/dewanurcahya88","@dewanurcahya88")</f>
        <v>@dewanurcahya88</v>
      </c>
      <c r="C30639" s="8" t="s">
        <v>11577</v>
      </c>
      <c r="D30639" s="8">
        <v>1</v>
      </c>
      <c r="E30639" s="8">
        <v>0</v>
      </c>
      <c r="F30639" s="8">
        <v>110</v>
      </c>
    </row>
    <row r="30640" spans="1:6" ht="12.75">
      <c r="A30640" s="8">
        <v>43890.792673611111</v>
      </c>
      <c r="B30640" s="8" t="str">
        <f>HYPERLINK("https://twitter.com/jusstme4u","@jusstme4u")</f>
        <v>@jusstme4u</v>
      </c>
      <c r="C30640" s="8" t="s">
        <v>11578</v>
      </c>
      <c r="D30640" s="8">
        <v>1</v>
      </c>
      <c r="E30640" s="8">
        <v>0</v>
      </c>
      <c r="F30640" s="8">
        <v>76716</v>
      </c>
    </row>
    <row r="30641" spans="1:6" ht="12.75">
      <c r="A30641" s="8">
        <v>43890.792581018519</v>
      </c>
      <c r="B30641" s="8" t="str">
        <f>HYPERLINK("https://twitter.com/HAfinira","@HAfinira")</f>
        <v>@HAfinira</v>
      </c>
      <c r="C30641" s="8" t="s">
        <v>11579</v>
      </c>
      <c r="D30641" s="8">
        <v>0</v>
      </c>
      <c r="E30641" s="8">
        <v>0</v>
      </c>
      <c r="F30641" s="8">
        <v>544</v>
      </c>
    </row>
    <row r="30642" spans="1:6" ht="12.75">
      <c r="A30642" s="8">
        <v>43890.792465277773</v>
      </c>
      <c r="B30642" s="8" t="str">
        <f>HYPERLINK("https://twitter.com/badir03","@badir03")</f>
        <v>@badir03</v>
      </c>
      <c r="C30642" s="8" t="s">
        <v>11580</v>
      </c>
      <c r="D30642" s="8">
        <v>0</v>
      </c>
      <c r="E30642" s="8">
        <v>0</v>
      </c>
      <c r="F30642" s="8">
        <v>270</v>
      </c>
    </row>
    <row r="30643" spans="1:6" ht="12.75">
      <c r="A30643" s="8">
        <v>43890.792453703703</v>
      </c>
      <c r="B30643" s="8" t="str">
        <f>HYPERLINK("https://twitter.com/subiyan84768866","@subiyan84768866")</f>
        <v>@subiyan84768866</v>
      </c>
      <c r="C30643" s="8" t="s">
        <v>7686</v>
      </c>
      <c r="D30643" s="8">
        <v>572</v>
      </c>
      <c r="E30643" s="8">
        <v>0</v>
      </c>
      <c r="F30643" s="8">
        <v>647</v>
      </c>
    </row>
    <row r="30644" spans="1:6" ht="12.75">
      <c r="A30644" s="8">
        <v>43890.79241898148</v>
      </c>
      <c r="B30644" s="8" t="str">
        <f>HYPERLINK("https://twitter.com/i_arseto","@i_arseto")</f>
        <v>@i_arseto</v>
      </c>
      <c r="C30644" s="8" t="s">
        <v>11075</v>
      </c>
      <c r="D30644" s="8">
        <v>60</v>
      </c>
      <c r="E30644" s="8">
        <v>0</v>
      </c>
      <c r="F30644" s="8">
        <v>126</v>
      </c>
    </row>
    <row r="30645" spans="1:6" ht="12.75">
      <c r="A30645" s="8">
        <v>43890.791921296295</v>
      </c>
      <c r="B30645" s="8" t="str">
        <f>HYPERLINK("https://twitter.com/ndaheka10","@ndaheka10")</f>
        <v>@ndaheka10</v>
      </c>
      <c r="C30645" s="8" t="s">
        <v>2272</v>
      </c>
      <c r="D30645" s="8">
        <v>22</v>
      </c>
      <c r="E30645" s="8">
        <v>0</v>
      </c>
      <c r="F30645" s="8">
        <v>129</v>
      </c>
    </row>
    <row r="30646" spans="1:6" ht="12.75">
      <c r="A30646" s="8">
        <v>43890.791898148149</v>
      </c>
      <c r="B30646" s="8" t="str">
        <f>HYPERLINK("https://twitter.com/Jackjackaljugja","@Jackjackaljugja")</f>
        <v>@Jackjackaljugja</v>
      </c>
      <c r="C30646" s="8" t="s">
        <v>6836</v>
      </c>
      <c r="D30646" s="8">
        <v>435</v>
      </c>
      <c r="E30646" s="8">
        <v>0</v>
      </c>
      <c r="F30646" s="8">
        <v>611</v>
      </c>
    </row>
    <row r="30647" spans="1:6" ht="12.75">
      <c r="A30647" s="8">
        <v>43890.791851851856</v>
      </c>
      <c r="B30647" s="8" t="str">
        <f>HYPERLINK("https://twitter.com/LineSpas","@LineSpas")</f>
        <v>@LineSpas</v>
      </c>
      <c r="C30647" s="8" t="s">
        <v>7437</v>
      </c>
      <c r="D30647" s="8">
        <v>209</v>
      </c>
      <c r="E30647" s="8">
        <v>0</v>
      </c>
      <c r="F30647" s="8">
        <v>65</v>
      </c>
    </row>
    <row r="30648" spans="1:6" ht="12.75">
      <c r="A30648" s="8">
        <v>43890.791666666672</v>
      </c>
      <c r="B30648" s="8" t="str">
        <f>HYPERLINK("https://twitter.com/HaiRangerPink","@HaiRangerPink")</f>
        <v>@HaiRangerPink</v>
      </c>
      <c r="C30648" s="8" t="s">
        <v>11262</v>
      </c>
      <c r="D30648" s="8">
        <v>4</v>
      </c>
      <c r="E30648" s="8">
        <v>0</v>
      </c>
      <c r="F30648" s="8">
        <v>111</v>
      </c>
    </row>
    <row r="30649" spans="1:6" ht="12.75">
      <c r="A30649" s="8">
        <v>43890.791666666672</v>
      </c>
      <c r="B30649" s="8" t="str">
        <f>HYPERLINK("https://twitter.com/Lintas_MNCTV","@Lintas_MNCTV")</f>
        <v>@Lintas_MNCTV</v>
      </c>
      <c r="C30649" s="8" t="s">
        <v>11581</v>
      </c>
      <c r="D30649" s="8">
        <v>0</v>
      </c>
      <c r="E30649" s="8">
        <v>0</v>
      </c>
      <c r="F30649" s="8">
        <v>35908</v>
      </c>
    </row>
    <row r="30650" spans="1:6" ht="12.75">
      <c r="A30650" s="8">
        <v>43890.791620370372</v>
      </c>
      <c r="B30650" s="8" t="str">
        <f>HYPERLINK("https://twitter.com/pemudamijah12","@pemudamijah12")</f>
        <v>@pemudamijah12</v>
      </c>
      <c r="C30650" s="8" t="s">
        <v>10811</v>
      </c>
      <c r="D30650" s="8">
        <v>202</v>
      </c>
      <c r="E30650" s="8">
        <v>0</v>
      </c>
      <c r="F30650" s="8">
        <v>521</v>
      </c>
    </row>
    <row r="30651" spans="1:6" ht="12.75">
      <c r="A30651" s="8">
        <v>43890.791307870371</v>
      </c>
      <c r="B30651" s="8" t="str">
        <f>HYPERLINK("https://twitter.com/23krisan","@23krisan")</f>
        <v>@23krisan</v>
      </c>
      <c r="C30651" s="8" t="s">
        <v>11155</v>
      </c>
      <c r="D30651" s="8">
        <v>20</v>
      </c>
      <c r="E30651" s="8">
        <v>0</v>
      </c>
      <c r="F30651" s="8">
        <v>736</v>
      </c>
    </row>
    <row r="30652" spans="1:6" ht="12.75">
      <c r="A30652" s="8">
        <v>43890.790844907402</v>
      </c>
      <c r="B30652" s="8" t="str">
        <f>HYPERLINK("https://twitter.com/ArniSetyarni","@ArniSetyarni")</f>
        <v>@ArniSetyarni</v>
      </c>
      <c r="C30652" s="8" t="s">
        <v>11582</v>
      </c>
      <c r="D30652" s="8">
        <v>0</v>
      </c>
      <c r="E30652" s="8">
        <v>0</v>
      </c>
      <c r="F30652" s="8">
        <v>82</v>
      </c>
    </row>
    <row r="30653" spans="1:6" ht="12.75">
      <c r="A30653" s="8">
        <v>43890.790752314817</v>
      </c>
      <c r="B30653" s="8" t="str">
        <f t="shared" ref="B30653:B30654" si="426">HYPERLINK("https://twitter.com/yoggigunawan","@yoggigunawan")</f>
        <v>@yoggigunawan</v>
      </c>
      <c r="C30653" s="8" t="s">
        <v>11583</v>
      </c>
      <c r="D30653" s="8">
        <v>3</v>
      </c>
      <c r="E30653" s="8">
        <v>0</v>
      </c>
      <c r="F30653" s="8">
        <v>465</v>
      </c>
    </row>
    <row r="30654" spans="1:6" ht="12.75">
      <c r="A30654" s="8">
        <v>43890.790682870371</v>
      </c>
      <c r="B30654" s="8" t="str">
        <f t="shared" si="426"/>
        <v>@yoggigunawan</v>
      </c>
      <c r="C30654" s="8" t="s">
        <v>11109</v>
      </c>
      <c r="D30654" s="8">
        <v>40</v>
      </c>
      <c r="E30654" s="8">
        <v>0</v>
      </c>
      <c r="F30654" s="8">
        <v>465</v>
      </c>
    </row>
    <row r="30655" spans="1:6" ht="12.75">
      <c r="A30655" s="8">
        <v>43890.790462962963</v>
      </c>
      <c r="B30655" s="8" t="str">
        <f>HYPERLINK("https://twitter.com/SariKatherina","@SariKatherina")</f>
        <v>@SariKatherina</v>
      </c>
      <c r="C30655" s="8" t="s">
        <v>11584</v>
      </c>
      <c r="D30655" s="8">
        <v>18</v>
      </c>
      <c r="E30655" s="8">
        <v>0</v>
      </c>
      <c r="F30655" s="8">
        <v>55</v>
      </c>
    </row>
    <row r="30656" spans="1:6" ht="12.75">
      <c r="A30656" s="8">
        <v>43890.790439814809</v>
      </c>
      <c r="B30656" s="8" t="str">
        <f>HYPERLINK("https://twitter.com/AEkopurnomo","@AEkopurnomo")</f>
        <v>@AEkopurnomo</v>
      </c>
      <c r="C30656" s="8" t="s">
        <v>9163</v>
      </c>
      <c r="D30656" s="8">
        <v>26</v>
      </c>
      <c r="E30656" s="8">
        <v>0</v>
      </c>
      <c r="F30656" s="8">
        <v>499</v>
      </c>
    </row>
    <row r="30657" spans="1:6" ht="12.75">
      <c r="A30657" s="8">
        <v>43890.790439814809</v>
      </c>
      <c r="B30657" s="8" t="str">
        <f>HYPERLINK("https://twitter.com/OnnoGammara09","@OnnoGammara09")</f>
        <v>@OnnoGammara09</v>
      </c>
      <c r="C30657" s="8" t="s">
        <v>7437</v>
      </c>
      <c r="D30657" s="8">
        <v>209</v>
      </c>
      <c r="E30657" s="8">
        <v>0</v>
      </c>
      <c r="F30657" s="8">
        <v>1700</v>
      </c>
    </row>
    <row r="30658" spans="1:6" ht="12.75">
      <c r="A30658" s="8">
        <v>43890.790289351848</v>
      </c>
      <c r="B30658" s="8" t="str">
        <f>HYPERLINK("https://twitter.com/murryas","@murryas")</f>
        <v>@murryas</v>
      </c>
      <c r="C30658" s="8" t="s">
        <v>7686</v>
      </c>
      <c r="D30658" s="8">
        <v>572</v>
      </c>
      <c r="E30658" s="8">
        <v>0</v>
      </c>
      <c r="F30658" s="8">
        <v>307</v>
      </c>
    </row>
    <row r="30659" spans="1:6" ht="12.75">
      <c r="A30659" s="8">
        <v>43890.790138888886</v>
      </c>
      <c r="B30659" s="8" t="str">
        <f>HYPERLINK("https://twitter.com/Wolverine_Nemo","@Wolverine_Nemo")</f>
        <v>@Wolverine_Nemo</v>
      </c>
      <c r="C30659" s="8" t="s">
        <v>11585</v>
      </c>
      <c r="D30659" s="8">
        <v>1</v>
      </c>
      <c r="E30659" s="8">
        <v>1</v>
      </c>
      <c r="F30659" s="8">
        <v>1172</v>
      </c>
    </row>
    <row r="30660" spans="1:6" ht="12.75">
      <c r="A30660" s="8">
        <v>43890.789976851855</v>
      </c>
      <c r="B30660" s="8" t="str">
        <f>HYPERLINK("https://twitter.com/hwi_wijaya_ke2","@hwi_wijaya_ke2")</f>
        <v>@hwi_wijaya_ke2</v>
      </c>
      <c r="C30660" s="8" t="s">
        <v>11586</v>
      </c>
      <c r="D30660" s="8">
        <v>169</v>
      </c>
      <c r="E30660" s="8">
        <v>0</v>
      </c>
      <c r="F30660" s="8">
        <v>3761</v>
      </c>
    </row>
    <row r="30661" spans="1:6" ht="12.75">
      <c r="A30661" s="8">
        <v>43890.789965277778</v>
      </c>
      <c r="B30661" s="8" t="str">
        <f>HYPERLINK("https://twitter.com/Samuja9","@Samuja9")</f>
        <v>@Samuja9</v>
      </c>
      <c r="C30661" s="8" t="s">
        <v>11587</v>
      </c>
      <c r="D30661" s="8">
        <v>4</v>
      </c>
      <c r="E30661" s="8">
        <v>0</v>
      </c>
      <c r="F30661" s="8">
        <v>1233</v>
      </c>
    </row>
    <row r="30662" spans="1:6" ht="12.75">
      <c r="A30662" s="8">
        <v>43890.789710648147</v>
      </c>
      <c r="B30662" s="8" t="str">
        <f>HYPERLINK("https://twitter.com/amara_valencia","@amara_valencia")</f>
        <v>@amara_valencia</v>
      </c>
      <c r="C30662" s="8" t="s">
        <v>10811</v>
      </c>
      <c r="D30662" s="8">
        <v>202</v>
      </c>
      <c r="E30662" s="8">
        <v>0</v>
      </c>
      <c r="F30662" s="8">
        <v>385</v>
      </c>
    </row>
    <row r="30663" spans="1:6" ht="12.75">
      <c r="A30663" s="8">
        <v>43890.789594907408</v>
      </c>
      <c r="B30663" s="8" t="str">
        <f>HYPERLINK("https://twitter.com/AliB62952147","@AliB62952147")</f>
        <v>@AliB62952147</v>
      </c>
      <c r="C30663" s="8" t="s">
        <v>11105</v>
      </c>
      <c r="D30663" s="8">
        <v>146</v>
      </c>
      <c r="E30663" s="8">
        <v>0</v>
      </c>
      <c r="F30663" s="8">
        <v>708</v>
      </c>
    </row>
    <row r="30664" spans="1:6" ht="12.75">
      <c r="A30664" s="8">
        <v>43890.789583333331</v>
      </c>
      <c r="B30664" s="8" t="str">
        <f>HYPERLINK("https://twitter.com/FatiinS_L","@FatiinS_L")</f>
        <v>@FatiinS_L</v>
      </c>
      <c r="C30664" s="8" t="s">
        <v>11063</v>
      </c>
      <c r="D30664" s="8">
        <v>1</v>
      </c>
      <c r="E30664" s="8">
        <v>0</v>
      </c>
      <c r="F30664" s="8">
        <v>16424</v>
      </c>
    </row>
    <row r="30665" spans="1:6" ht="12.75">
      <c r="A30665" s="8">
        <v>43890.789513888885</v>
      </c>
      <c r="B30665" s="8" t="str">
        <f>HYPERLINK("https://twitter.com/jusstme4u","@jusstme4u")</f>
        <v>@jusstme4u</v>
      </c>
      <c r="C30665" s="8" t="s">
        <v>11588</v>
      </c>
      <c r="D30665" s="8">
        <v>0</v>
      </c>
      <c r="E30665" s="8">
        <v>0</v>
      </c>
      <c r="F30665" s="8">
        <v>76716</v>
      </c>
    </row>
    <row r="30666" spans="1:6" ht="12.75">
      <c r="A30666" s="8">
        <v>43890.789317129631</v>
      </c>
      <c r="B30666" s="8" t="str">
        <f>HYPERLINK("https://twitter.com/reyputra_b","@reyputra_b")</f>
        <v>@reyputra_b</v>
      </c>
      <c r="C30666" s="8" t="s">
        <v>11109</v>
      </c>
      <c r="D30666" s="8">
        <v>40</v>
      </c>
      <c r="E30666" s="8">
        <v>0</v>
      </c>
      <c r="F30666" s="8">
        <v>239</v>
      </c>
    </row>
    <row r="30667" spans="1:6" ht="12.75">
      <c r="A30667" s="8">
        <v>43890.789247685185</v>
      </c>
      <c r="B30667" s="8" t="str">
        <f>HYPERLINK("https://twitter.com/Mala_VMH","@Mala_VMH")</f>
        <v>@Mala_VMH</v>
      </c>
      <c r="C30667" s="8" t="s">
        <v>11160</v>
      </c>
      <c r="D30667" s="8">
        <v>7</v>
      </c>
      <c r="E30667" s="8">
        <v>0</v>
      </c>
      <c r="F30667" s="8">
        <v>2630</v>
      </c>
    </row>
    <row r="30668" spans="1:6" ht="12.75">
      <c r="A30668" s="8">
        <v>43890.789236111115</v>
      </c>
      <c r="B30668" s="8" t="str">
        <f>HYPERLINK("https://twitter.com/Gerrystones","@Gerrystones")</f>
        <v>@Gerrystones</v>
      </c>
      <c r="C30668" s="8" t="s">
        <v>2272</v>
      </c>
      <c r="D30668" s="8">
        <v>22</v>
      </c>
      <c r="E30668" s="8">
        <v>0</v>
      </c>
      <c r="F30668" s="8">
        <v>266</v>
      </c>
    </row>
    <row r="30669" spans="1:6" ht="12.75">
      <c r="A30669" s="8">
        <v>43890.789143518516</v>
      </c>
      <c r="B30669" s="8" t="str">
        <f>HYPERLINK("https://twitter.com/hwi_wijaya_ke2","@hwi_wijaya_ke2")</f>
        <v>@hwi_wijaya_ke2</v>
      </c>
      <c r="C30669" s="8" t="s">
        <v>11589</v>
      </c>
      <c r="D30669" s="8">
        <v>103</v>
      </c>
      <c r="E30669" s="8">
        <v>0</v>
      </c>
      <c r="F30669" s="8">
        <v>3761</v>
      </c>
    </row>
    <row r="30670" spans="1:6" ht="12.75">
      <c r="A30670" s="8">
        <v>43890.789131944446</v>
      </c>
      <c r="B30670" s="8" t="str">
        <f>HYPERLINK("https://twitter.com/_herdiansyahsdp","@_herdiansyahsdp")</f>
        <v>@_herdiansyahsdp</v>
      </c>
      <c r="C30670" s="8" t="s">
        <v>11109</v>
      </c>
      <c r="D30670" s="8">
        <v>40</v>
      </c>
      <c r="E30670" s="8">
        <v>0</v>
      </c>
      <c r="F30670" s="8">
        <v>50</v>
      </c>
    </row>
    <row r="30671" spans="1:6" ht="12.75">
      <c r="A30671" s="8">
        <v>43890.788923611108</v>
      </c>
      <c r="B30671" s="8" t="str">
        <f>HYPERLINK("https://twitter.com/rhxx131","@rhxx131")</f>
        <v>@rhxx131</v>
      </c>
      <c r="C30671" s="8" t="s">
        <v>11590</v>
      </c>
      <c r="D30671" s="8">
        <v>0</v>
      </c>
      <c r="E30671" s="8">
        <v>1</v>
      </c>
      <c r="F30671" s="8">
        <v>448</v>
      </c>
    </row>
    <row r="30672" spans="1:6" ht="12.75">
      <c r="A30672" s="8">
        <v>43890.788842592592</v>
      </c>
      <c r="B30672" s="8" t="str">
        <f>HYPERLINK("https://twitter.com/denyspam","@denyspam")</f>
        <v>@denyspam</v>
      </c>
      <c r="C30672" s="8" t="s">
        <v>11591</v>
      </c>
      <c r="D30672" s="8">
        <v>0</v>
      </c>
      <c r="E30672" s="8">
        <v>0</v>
      </c>
      <c r="F30672" s="8">
        <v>202</v>
      </c>
    </row>
    <row r="30673" spans="1:6" ht="12.75">
      <c r="A30673" s="8">
        <v>43890.788668981477</v>
      </c>
      <c r="B30673" s="8" t="str">
        <f>HYPERLINK("https://twitter.com/cepscornelius","@cepscornelius")</f>
        <v>@cepscornelius</v>
      </c>
      <c r="C30673" s="8" t="s">
        <v>11592</v>
      </c>
      <c r="D30673" s="8">
        <v>0</v>
      </c>
      <c r="E30673" s="8">
        <v>0</v>
      </c>
      <c r="F30673" s="8">
        <v>158</v>
      </c>
    </row>
    <row r="30674" spans="1:6" ht="12.75">
      <c r="A30674" s="8">
        <v>43890.788530092592</v>
      </c>
      <c r="B30674" s="8" t="str">
        <f>HYPERLINK("https://twitter.com/YRadianto","@YRadianto")</f>
        <v>@YRadianto</v>
      </c>
      <c r="C30674" s="8" t="s">
        <v>7686</v>
      </c>
      <c r="D30674" s="8">
        <v>572</v>
      </c>
      <c r="E30674" s="8">
        <v>0</v>
      </c>
      <c r="F30674" s="8">
        <v>28912</v>
      </c>
    </row>
    <row r="30675" spans="1:6" ht="12.75">
      <c r="A30675" s="8">
        <v>43890.78842592593</v>
      </c>
      <c r="B30675" s="8" t="str">
        <f>HYPERLINK("https://twitter.com/malgiqbal","@malgiqbal")</f>
        <v>@malgiqbal</v>
      </c>
      <c r="C30675" s="8" t="s">
        <v>11593</v>
      </c>
      <c r="D30675" s="8">
        <v>0</v>
      </c>
      <c r="E30675" s="8">
        <v>0</v>
      </c>
      <c r="F30675" s="8">
        <v>40</v>
      </c>
    </row>
    <row r="30676" spans="1:6" ht="12.75">
      <c r="A30676" s="8">
        <v>43890.788356481484</v>
      </c>
      <c r="B30676" s="8" t="str">
        <f>HYPERLINK("https://twitter.com/Davidsiregarrr","@Davidsiregarrr")</f>
        <v>@Davidsiregarrr</v>
      </c>
      <c r="C30676" s="8" t="s">
        <v>10811</v>
      </c>
      <c r="D30676" s="8">
        <v>202</v>
      </c>
      <c r="E30676" s="8">
        <v>0</v>
      </c>
      <c r="F30676" s="8">
        <v>236</v>
      </c>
    </row>
    <row r="30677" spans="1:6" ht="12.75">
      <c r="A30677" s="8">
        <v>43890.788240740745</v>
      </c>
      <c r="B30677" s="8" t="str">
        <f>HYPERLINK("https://twitter.com/B1503","@B1503")</f>
        <v>@B1503</v>
      </c>
      <c r="C30677" s="8" t="s">
        <v>10811</v>
      </c>
      <c r="D30677" s="8">
        <v>202</v>
      </c>
      <c r="E30677" s="8">
        <v>0</v>
      </c>
      <c r="F30677" s="8">
        <v>60</v>
      </c>
    </row>
    <row r="30678" spans="1:6" ht="12.75">
      <c r="A30678" s="8">
        <v>43890.788148148145</v>
      </c>
      <c r="B30678" s="8" t="str">
        <f>HYPERLINK("https://twitter.com/Reyvanza_","@Reyvanza_")</f>
        <v>@Reyvanza_</v>
      </c>
      <c r="C30678" s="8" t="s">
        <v>11109</v>
      </c>
      <c r="D30678" s="8">
        <v>40</v>
      </c>
      <c r="E30678" s="8">
        <v>0</v>
      </c>
      <c r="F30678" s="8">
        <v>94</v>
      </c>
    </row>
    <row r="30679" spans="1:6" ht="12.75">
      <c r="A30679" s="8">
        <v>43890.788136574076</v>
      </c>
      <c r="B30679" s="8" t="str">
        <f>HYPERLINK("https://twitter.com/as_Smr","@as_Smr")</f>
        <v>@as_Smr</v>
      </c>
      <c r="C30679" s="8" t="s">
        <v>11280</v>
      </c>
      <c r="D30679" s="8">
        <v>21</v>
      </c>
      <c r="E30679" s="8">
        <v>0</v>
      </c>
      <c r="F30679" s="8">
        <v>146</v>
      </c>
    </row>
    <row r="30680" spans="1:6" ht="12.75">
      <c r="A30680" s="8">
        <v>43890.787650462968</v>
      </c>
      <c r="B30680" s="8" t="str">
        <f>HYPERLINK("https://twitter.com/FatihAlAzzam2","@FatihAlAzzam2")</f>
        <v>@FatihAlAzzam2</v>
      </c>
      <c r="C30680" s="8" t="s">
        <v>8746</v>
      </c>
      <c r="D30680" s="8">
        <v>295</v>
      </c>
      <c r="E30680" s="8">
        <v>0</v>
      </c>
      <c r="F30680" s="8">
        <v>389</v>
      </c>
    </row>
    <row r="30681" spans="1:6" ht="12.75">
      <c r="A30681" s="8">
        <v>43890.787581018521</v>
      </c>
      <c r="B30681" s="8" t="str">
        <f>HYPERLINK("https://twitter.com/StefanoHarmoni","@StefanoHarmoni")</f>
        <v>@StefanoHarmoni</v>
      </c>
      <c r="C30681" s="8" t="s">
        <v>10971</v>
      </c>
      <c r="D30681" s="8">
        <v>2</v>
      </c>
      <c r="E30681" s="8">
        <v>0</v>
      </c>
      <c r="F30681" s="8">
        <v>197</v>
      </c>
    </row>
    <row r="30682" spans="1:6" ht="12.75">
      <c r="A30682" s="8">
        <v>43890.787523148145</v>
      </c>
      <c r="B30682" s="8" t="str">
        <f>HYPERLINK("https://twitter.com/refli_suer","@refli_suer")</f>
        <v>@refli_suer</v>
      </c>
      <c r="C30682" s="8" t="s">
        <v>7686</v>
      </c>
      <c r="D30682" s="8">
        <v>572</v>
      </c>
      <c r="E30682" s="8">
        <v>0</v>
      </c>
      <c r="F30682" s="8">
        <v>1899</v>
      </c>
    </row>
    <row r="30683" spans="1:6" ht="12.75">
      <c r="A30683" s="8">
        <v>43890.787187499998</v>
      </c>
      <c r="B30683" s="8" t="str">
        <f>HYPERLINK("https://twitter.com/newtonotwen","@newtonotwen")</f>
        <v>@newtonotwen</v>
      </c>
      <c r="C30683" s="8" t="s">
        <v>11516</v>
      </c>
      <c r="D30683" s="8">
        <v>1</v>
      </c>
      <c r="E30683" s="8">
        <v>0</v>
      </c>
      <c r="F30683" s="8">
        <v>462</v>
      </c>
    </row>
    <row r="30684" spans="1:6" ht="12.75">
      <c r="A30684" s="8">
        <v>43890.78706018519</v>
      </c>
      <c r="B30684" s="8" t="str">
        <f>HYPERLINK("https://twitter.com/21appril","@21appril")</f>
        <v>@21appril</v>
      </c>
      <c r="C30684" s="8" t="s">
        <v>10811</v>
      </c>
      <c r="D30684" s="8">
        <v>202</v>
      </c>
      <c r="E30684" s="8">
        <v>0</v>
      </c>
      <c r="F30684" s="8">
        <v>43</v>
      </c>
    </row>
    <row r="30685" spans="1:6" ht="12.75">
      <c r="A30685" s="8">
        <v>43890.787048611106</v>
      </c>
      <c r="B30685" s="8" t="str">
        <f>HYPERLINK("https://twitter.com/chabelada","@chabelada")</f>
        <v>@chabelada</v>
      </c>
      <c r="C30685" s="8" t="s">
        <v>2272</v>
      </c>
      <c r="D30685" s="8">
        <v>22</v>
      </c>
      <c r="E30685" s="8">
        <v>0</v>
      </c>
      <c r="F30685" s="8">
        <v>833</v>
      </c>
    </row>
    <row r="30686" spans="1:6" ht="12.75">
      <c r="A30686" s="8">
        <v>43890.756689814814</v>
      </c>
      <c r="B30686" s="8" t="str">
        <f>HYPERLINK("https://twitter.com/b7d31baffb3d4ae","@b7d31baffb3d4ae")</f>
        <v>@b7d31baffb3d4ae</v>
      </c>
      <c r="C30686" s="8" t="s">
        <v>4235</v>
      </c>
      <c r="D30686" s="8">
        <v>1436</v>
      </c>
      <c r="E30686" s="8">
        <v>0</v>
      </c>
      <c r="F30686" s="8">
        <v>134</v>
      </c>
    </row>
    <row r="30687" spans="1:6" ht="12.75">
      <c r="A30687" s="8">
        <v>43890.756643518514</v>
      </c>
      <c r="B30687" s="8" t="str">
        <f>HYPERLINK("https://twitter.com/Khong_Beng","@Khong_Beng")</f>
        <v>@Khong_Beng</v>
      </c>
      <c r="C30687" s="8" t="s">
        <v>10939</v>
      </c>
      <c r="D30687" s="8">
        <v>138</v>
      </c>
      <c r="E30687" s="8">
        <v>0</v>
      </c>
      <c r="F30687" s="8">
        <v>164</v>
      </c>
    </row>
    <row r="30688" spans="1:6" ht="12.75">
      <c r="A30688" s="8">
        <v>43890.756631944445</v>
      </c>
      <c r="B30688" s="8" t="str">
        <f>HYPERLINK("https://twitter.com/_linimasa","@_linimasa")</f>
        <v>@_linimasa</v>
      </c>
      <c r="C30688" s="8" t="s">
        <v>11105</v>
      </c>
      <c r="D30688" s="8">
        <v>138</v>
      </c>
      <c r="E30688" s="8">
        <v>0</v>
      </c>
      <c r="F30688" s="8">
        <v>0</v>
      </c>
    </row>
    <row r="30689" spans="1:6" ht="12.75">
      <c r="A30689" s="8">
        <v>43890.756620370375</v>
      </c>
      <c r="B30689" s="8" t="str">
        <f>HYPERLINK("https://twitter.com/Oh_Ronald","@Oh_Ronald")</f>
        <v>@Oh_Ronald</v>
      </c>
      <c r="C30689" s="8" t="s">
        <v>11594</v>
      </c>
      <c r="D30689" s="8">
        <v>0</v>
      </c>
      <c r="E30689" s="8">
        <v>0</v>
      </c>
      <c r="F30689" s="8">
        <v>2341</v>
      </c>
    </row>
    <row r="30690" spans="1:6" ht="12.75">
      <c r="A30690" s="8">
        <v>43890.756620370375</v>
      </c>
      <c r="B30690" s="8" t="str">
        <f>HYPERLINK("https://twitter.com/rs1m01976","@rs1m01976")</f>
        <v>@rs1m01976</v>
      </c>
      <c r="C30690" s="8" t="s">
        <v>11595</v>
      </c>
      <c r="D30690" s="8">
        <v>3</v>
      </c>
      <c r="E30690" s="8">
        <v>0</v>
      </c>
      <c r="F30690" s="8">
        <v>1412</v>
      </c>
    </row>
    <row r="30691" spans="1:6" ht="12.75">
      <c r="A30691" s="8">
        <v>43890.756562499999</v>
      </c>
      <c r="B30691" s="8" t="str">
        <f>HYPERLINK("https://twitter.com/itkhairunnisa","@itkhairunnisa")</f>
        <v>@itkhairunnisa</v>
      </c>
      <c r="C30691" s="8" t="s">
        <v>11426</v>
      </c>
      <c r="D30691" s="8">
        <v>38</v>
      </c>
      <c r="E30691" s="8">
        <v>0</v>
      </c>
      <c r="F30691" s="8">
        <v>33</v>
      </c>
    </row>
    <row r="30692" spans="1:6" ht="12.75">
      <c r="A30692" s="8">
        <v>43890.756400462968</v>
      </c>
      <c r="B30692" s="8" t="str">
        <f>HYPERLINK("https://twitter.com/heriwardoyo","@heriwardoyo")</f>
        <v>@heriwardoyo</v>
      </c>
      <c r="C30692" s="8" t="s">
        <v>7686</v>
      </c>
      <c r="D30692" s="8">
        <v>503</v>
      </c>
      <c r="E30692" s="8">
        <v>0</v>
      </c>
      <c r="F30692" s="8">
        <v>280</v>
      </c>
    </row>
    <row r="30693" spans="1:6" ht="12.75">
      <c r="A30693" s="8">
        <v>43890.756365740745</v>
      </c>
      <c r="B30693" s="8" t="str">
        <f>HYPERLINK("https://twitter.com/graindiew","@graindiew")</f>
        <v>@graindiew</v>
      </c>
      <c r="C30693" s="8" t="s">
        <v>11109</v>
      </c>
      <c r="D30693" s="8">
        <v>21</v>
      </c>
      <c r="E30693" s="8">
        <v>0</v>
      </c>
      <c r="F30693" s="8">
        <v>78</v>
      </c>
    </row>
    <row r="30694" spans="1:6" ht="12.75">
      <c r="A30694" s="8">
        <v>43890.756319444445</v>
      </c>
      <c r="B30694" s="8" t="str">
        <f>HYPERLINK("https://twitter.com/salima252","@salima252")</f>
        <v>@salima252</v>
      </c>
      <c r="C30694" s="8" t="s">
        <v>11160</v>
      </c>
      <c r="D30694" s="8">
        <v>3</v>
      </c>
      <c r="E30694" s="8">
        <v>0</v>
      </c>
      <c r="F30694" s="8">
        <v>3189</v>
      </c>
    </row>
    <row r="30695" spans="1:6" ht="12.75">
      <c r="A30695" s="8">
        <v>43890.756215277783</v>
      </c>
      <c r="B30695" s="8" t="str">
        <f>HYPERLINK("https://twitter.com/ninalea","@ninalea")</f>
        <v>@ninalea</v>
      </c>
      <c r="C30695" s="8" t="s">
        <v>299</v>
      </c>
      <c r="D30695" s="8">
        <v>4747</v>
      </c>
      <c r="E30695" s="8">
        <v>0</v>
      </c>
      <c r="F30695" s="8">
        <v>141</v>
      </c>
    </row>
    <row r="30696" spans="1:6" ht="12.75">
      <c r="A30696" s="8">
        <v>43890.755902777775</v>
      </c>
      <c r="B30696" s="8" t="str">
        <f>HYPERLINK("https://twitter.com/merdekadotcom","@merdekadotcom")</f>
        <v>@merdekadotcom</v>
      </c>
      <c r="C30696" s="8" t="s">
        <v>11596</v>
      </c>
      <c r="D30696" s="8">
        <v>0</v>
      </c>
      <c r="E30696" s="8">
        <v>0</v>
      </c>
      <c r="F30696" s="8">
        <v>231172</v>
      </c>
    </row>
    <row r="30697" spans="1:6" ht="12.75">
      <c r="A30697" s="8">
        <v>43890.755844907406</v>
      </c>
      <c r="B30697" s="8" t="str">
        <f>HYPERLINK("https://twitter.com/saducingg","@saducingg")</f>
        <v>@saducingg</v>
      </c>
      <c r="C30697" s="8" t="s">
        <v>11597</v>
      </c>
      <c r="D30697" s="8">
        <v>12</v>
      </c>
      <c r="E30697" s="8">
        <v>0</v>
      </c>
      <c r="F30697" s="8">
        <v>2</v>
      </c>
    </row>
    <row r="30698" spans="1:6" ht="12.75">
      <c r="A30698" s="8">
        <v>43890.755752314813</v>
      </c>
      <c r="B30698" s="8" t="str">
        <f>HYPERLINK("https://twitter.com/jusstme4u","@jusstme4u")</f>
        <v>@jusstme4u</v>
      </c>
      <c r="C30698" s="8" t="s">
        <v>11598</v>
      </c>
      <c r="D30698" s="8">
        <v>0</v>
      </c>
      <c r="E30698" s="8">
        <v>0</v>
      </c>
      <c r="F30698" s="8">
        <v>76712</v>
      </c>
    </row>
    <row r="30699" spans="1:6" ht="12.75">
      <c r="A30699" s="8">
        <v>43890.755277777775</v>
      </c>
      <c r="B30699" s="8" t="str">
        <f>HYPERLINK("https://twitter.com/billydamhur","@billydamhur")</f>
        <v>@billydamhur</v>
      </c>
      <c r="C30699" s="8" t="s">
        <v>4235</v>
      </c>
      <c r="D30699" s="8">
        <v>1436</v>
      </c>
      <c r="E30699" s="8">
        <v>0</v>
      </c>
      <c r="F30699" s="8">
        <v>373</v>
      </c>
    </row>
    <row r="30700" spans="1:6" ht="12.75">
      <c r="A30700" s="8">
        <v>43890.755243055552</v>
      </c>
      <c r="B30700" s="8" t="str">
        <f>HYPERLINK("https://twitter.com/amatemi95","@amatemi95")</f>
        <v>@amatemi95</v>
      </c>
      <c r="C30700" s="8" t="s">
        <v>11426</v>
      </c>
      <c r="D30700" s="8">
        <v>38</v>
      </c>
      <c r="E30700" s="8">
        <v>0</v>
      </c>
      <c r="F30700" s="8">
        <v>132</v>
      </c>
    </row>
    <row r="30701" spans="1:6" ht="12.75">
      <c r="A30701" s="8">
        <v>43890.755104166667</v>
      </c>
      <c r="B30701" s="8" t="str">
        <f>HYPERLINK("https://twitter.com/BmPoktan","@BmPoktan")</f>
        <v>@BmPoktan</v>
      </c>
      <c r="C30701" s="8" t="s">
        <v>11599</v>
      </c>
      <c r="D30701" s="8">
        <v>0</v>
      </c>
      <c r="E30701" s="8">
        <v>0</v>
      </c>
      <c r="F30701" s="8">
        <v>0</v>
      </c>
    </row>
    <row r="30702" spans="1:6" ht="12.75">
      <c r="A30702" s="8">
        <v>43890.755069444444</v>
      </c>
      <c r="B30702" s="8" t="str">
        <f>HYPERLINK("https://twitter.com/Alitingting2","@Alitingting2")</f>
        <v>@Alitingting2</v>
      </c>
      <c r="C30702" s="8" t="s">
        <v>11600</v>
      </c>
      <c r="D30702" s="8">
        <v>1</v>
      </c>
      <c r="E30702" s="8">
        <v>0</v>
      </c>
      <c r="F30702" s="8">
        <v>2946</v>
      </c>
    </row>
    <row r="30703" spans="1:6" ht="12.75">
      <c r="A30703" s="8">
        <v>43890.755023148144</v>
      </c>
      <c r="B30703" s="8" t="str">
        <f>HYPERLINK("https://twitter.com/jusstme4u","@jusstme4u")</f>
        <v>@jusstme4u</v>
      </c>
      <c r="C30703" s="8" t="s">
        <v>11601</v>
      </c>
      <c r="D30703" s="8">
        <v>1</v>
      </c>
      <c r="E30703" s="8">
        <v>0</v>
      </c>
      <c r="F30703" s="8">
        <v>76712</v>
      </c>
    </row>
    <row r="30704" spans="1:6" ht="12.75">
      <c r="A30704" s="8">
        <v>43890.755000000005</v>
      </c>
      <c r="B30704" s="8" t="str">
        <f>HYPERLINK("https://twitter.com/DKentrunks","@DKentrunks")</f>
        <v>@DKentrunks</v>
      </c>
      <c r="C30704" s="8" t="s">
        <v>8746</v>
      </c>
      <c r="D30704" s="8">
        <v>265</v>
      </c>
      <c r="E30704" s="8">
        <v>0</v>
      </c>
      <c r="F30704" s="8">
        <v>1036</v>
      </c>
    </row>
    <row r="30705" spans="1:6" ht="12.75">
      <c r="A30705" s="8">
        <v>43890.754965277782</v>
      </c>
      <c r="B30705" s="8" t="str">
        <f>HYPERLINK("https://twitter.com/sutanakhir","@sutanakhir")</f>
        <v>@sutanakhir</v>
      </c>
      <c r="C30705" s="8" t="s">
        <v>4235</v>
      </c>
      <c r="D30705" s="8">
        <v>1436</v>
      </c>
      <c r="E30705" s="8">
        <v>0</v>
      </c>
      <c r="F30705" s="8">
        <v>208</v>
      </c>
    </row>
    <row r="30706" spans="1:6" ht="12.75">
      <c r="A30706" s="8">
        <v>43890.754965277782</v>
      </c>
      <c r="B30706" s="8" t="str">
        <f>HYPERLINK("https://twitter.com/torelwisnu","@torelwisnu")</f>
        <v>@torelwisnu</v>
      </c>
      <c r="C30706" s="8" t="s">
        <v>11602</v>
      </c>
      <c r="D30706" s="8">
        <v>0</v>
      </c>
      <c r="E30706" s="8">
        <v>0</v>
      </c>
      <c r="F30706" s="8">
        <v>1345</v>
      </c>
    </row>
    <row r="30707" spans="1:6" ht="12.75">
      <c r="A30707" s="8">
        <v>43890.754930555559</v>
      </c>
      <c r="B30707" s="8" t="str">
        <f>HYPERLINK("https://twitter.com/ibay_ok","@ibay_ok")</f>
        <v>@ibay_ok</v>
      </c>
      <c r="C30707" s="8" t="s">
        <v>4235</v>
      </c>
      <c r="D30707" s="8">
        <v>1436</v>
      </c>
      <c r="E30707" s="8">
        <v>0</v>
      </c>
      <c r="F30707" s="8">
        <v>469</v>
      </c>
    </row>
    <row r="30708" spans="1:6" ht="12.75">
      <c r="A30708" s="8">
        <v>43890.754884259259</v>
      </c>
      <c r="B30708" s="8" t="str">
        <f>HYPERLINK("https://twitter.com/Indiafirst1_","@Indiafirst1_")</f>
        <v>@Indiafirst1_</v>
      </c>
      <c r="C30708" s="8" t="s">
        <v>11603</v>
      </c>
      <c r="D30708" s="8">
        <v>0</v>
      </c>
      <c r="E30708" s="8">
        <v>0</v>
      </c>
      <c r="F30708" s="8">
        <v>16</v>
      </c>
    </row>
    <row r="30709" spans="1:6" ht="12.75">
      <c r="A30709" s="8">
        <v>43890.754675925928</v>
      </c>
      <c r="B30709" s="8" t="str">
        <f>HYPERLINK("https://twitter.com/Surya_Nusantara","@Surya_Nusantara")</f>
        <v>@Surya_Nusantara</v>
      </c>
      <c r="C30709" s="8" t="s">
        <v>11210</v>
      </c>
      <c r="D30709" s="8">
        <v>3</v>
      </c>
      <c r="E30709" s="8">
        <v>0</v>
      </c>
      <c r="F30709" s="8">
        <v>1516</v>
      </c>
    </row>
    <row r="30710" spans="1:6" ht="12.75">
      <c r="A30710" s="8">
        <v>43890.754675925928</v>
      </c>
      <c r="B30710" s="8" t="str">
        <f>HYPERLINK("https://twitter.com/RayAlpin","@RayAlpin")</f>
        <v>@RayAlpin</v>
      </c>
      <c r="C30710" s="8" t="s">
        <v>9163</v>
      </c>
      <c r="D30710" s="8">
        <v>21</v>
      </c>
      <c r="E30710" s="8">
        <v>0</v>
      </c>
      <c r="F30710" s="8">
        <v>419</v>
      </c>
    </row>
    <row r="30711" spans="1:6" ht="12.75">
      <c r="A30711" s="8">
        <v>43890.754664351851</v>
      </c>
      <c r="B30711" s="8" t="str">
        <f>HYPERLINK("https://twitter.com/jusstme4u","@jusstme4u")</f>
        <v>@jusstme4u</v>
      </c>
      <c r="C30711" s="8" t="s">
        <v>11604</v>
      </c>
      <c r="D30711" s="8">
        <v>0</v>
      </c>
      <c r="E30711" s="8">
        <v>0</v>
      </c>
      <c r="F30711" s="8">
        <v>76712</v>
      </c>
    </row>
    <row r="30712" spans="1:6" ht="12.75">
      <c r="A30712" s="8">
        <v>43890.754618055551</v>
      </c>
      <c r="B30712" s="8" t="str">
        <f>HYPERLINK("https://twitter.com/maspjm_","@maspjm_")</f>
        <v>@maspjm_</v>
      </c>
      <c r="C30712" s="8" t="s">
        <v>11258</v>
      </c>
      <c r="D30712" s="8">
        <v>26</v>
      </c>
      <c r="E30712" s="8">
        <v>0</v>
      </c>
      <c r="F30712" s="8">
        <v>98</v>
      </c>
    </row>
    <row r="30713" spans="1:6" ht="12.75">
      <c r="A30713" s="8">
        <v>43890.754467592589</v>
      </c>
      <c r="B30713" s="8" t="str">
        <f>HYPERLINK("https://twitter.com/godhamz2","@godhamz2")</f>
        <v>@godhamz2</v>
      </c>
      <c r="C30713" s="8" t="s">
        <v>7686</v>
      </c>
      <c r="D30713" s="8">
        <v>503</v>
      </c>
      <c r="E30713" s="8">
        <v>0</v>
      </c>
      <c r="F30713" s="8">
        <v>196</v>
      </c>
    </row>
    <row r="30714" spans="1:6" ht="12.75">
      <c r="A30714" s="8">
        <v>43890.754444444443</v>
      </c>
      <c r="B30714" s="8" t="str">
        <f>HYPERLINK("https://twitter.com/Mmahalik2","@Mmahalik2")</f>
        <v>@Mmahalik2</v>
      </c>
      <c r="C30714" s="8" t="s">
        <v>11151</v>
      </c>
      <c r="D30714" s="8">
        <v>2</v>
      </c>
      <c r="E30714" s="8">
        <v>0</v>
      </c>
      <c r="F30714" s="8">
        <v>2611</v>
      </c>
    </row>
    <row r="30715" spans="1:6" ht="12.75">
      <c r="A30715" s="8">
        <v>43890.754212962958</v>
      </c>
      <c r="B30715" s="8" t="str">
        <f>HYPERLINK("https://twitter.com/CherryRnld","@CherryRnld")</f>
        <v>@CherryRnld</v>
      </c>
      <c r="C30715" s="8" t="s">
        <v>7437</v>
      </c>
      <c r="D30715" s="8">
        <v>179</v>
      </c>
      <c r="E30715" s="8">
        <v>0</v>
      </c>
      <c r="F30715" s="8">
        <v>576</v>
      </c>
    </row>
    <row r="30716" spans="1:6" ht="12.75">
      <c r="A30716" s="8">
        <v>43890.754108796296</v>
      </c>
      <c r="B30716" s="8" t="str">
        <f>HYPERLINK("https://twitter.com/putrikulo","@putrikulo")</f>
        <v>@putrikulo</v>
      </c>
      <c r="C30716" s="8" t="s">
        <v>11605</v>
      </c>
      <c r="D30716" s="8">
        <v>0</v>
      </c>
      <c r="E30716" s="8">
        <v>0</v>
      </c>
      <c r="F30716" s="8">
        <v>1386</v>
      </c>
    </row>
    <row r="30717" spans="1:6" ht="12.75">
      <c r="A30717" s="8">
        <v>43890.75371527778</v>
      </c>
      <c r="B30717" s="8" t="str">
        <f>HYPERLINK("https://twitter.com/RayAlpin","@RayAlpin")</f>
        <v>@RayAlpin</v>
      </c>
      <c r="C30717" s="8" t="s">
        <v>11606</v>
      </c>
      <c r="D30717" s="8">
        <v>2</v>
      </c>
      <c r="E30717" s="8">
        <v>0</v>
      </c>
      <c r="F30717" s="8">
        <v>419</v>
      </c>
    </row>
    <row r="30718" spans="1:6" ht="12.75">
      <c r="A30718" s="8">
        <v>43890.753692129627</v>
      </c>
      <c r="B30718" s="8" t="str">
        <f>HYPERLINK("https://twitter.com/Mbah_dibjo","@Mbah_dibjo")</f>
        <v>@Mbah_dibjo</v>
      </c>
      <c r="C30718" s="8" t="s">
        <v>9163</v>
      </c>
      <c r="D30718" s="8">
        <v>21</v>
      </c>
      <c r="E30718" s="8">
        <v>0</v>
      </c>
      <c r="F30718" s="8">
        <v>1883</v>
      </c>
    </row>
    <row r="30719" spans="1:6" ht="12.75">
      <c r="A30719" s="8">
        <v>43890.753495370373</v>
      </c>
      <c r="B30719" s="8" t="str">
        <f>HYPERLINK("https://twitter.com/mustafa_syamsul","@mustafa_syamsul")</f>
        <v>@mustafa_syamsul</v>
      </c>
      <c r="C30719" s="8" t="s">
        <v>6836</v>
      </c>
      <c r="D30719" s="8">
        <v>425</v>
      </c>
      <c r="E30719" s="8">
        <v>0</v>
      </c>
      <c r="F30719" s="8">
        <v>462</v>
      </c>
    </row>
    <row r="30720" spans="1:6" ht="12.75">
      <c r="A30720" s="8">
        <v>43890.753483796296</v>
      </c>
      <c r="B30720" s="8" t="str">
        <f>HYPERLINK("https://twitter.com/fransis_Ksm","@fransis_Ksm")</f>
        <v>@fransis_Ksm</v>
      </c>
      <c r="C30720" s="8" t="s">
        <v>10811</v>
      </c>
      <c r="D30720" s="8">
        <v>186</v>
      </c>
      <c r="E30720" s="8">
        <v>0</v>
      </c>
      <c r="F30720" s="8">
        <v>47</v>
      </c>
    </row>
    <row r="30721" spans="1:6" ht="12.75">
      <c r="A30721" s="8">
        <v>43890.753472222219</v>
      </c>
      <c r="B30721" s="8" t="str">
        <f>HYPERLINK("https://twitter.com/wahyuOBEN","@wahyuOBEN")</f>
        <v>@wahyuOBEN</v>
      </c>
      <c r="C30721" s="8" t="s">
        <v>11607</v>
      </c>
      <c r="D30721" s="8">
        <v>0</v>
      </c>
      <c r="E30721" s="8">
        <v>0</v>
      </c>
      <c r="F30721" s="8">
        <v>114</v>
      </c>
    </row>
    <row r="30722" spans="1:6" ht="12.75">
      <c r="A30722" s="8">
        <v>43890.753391203703</v>
      </c>
      <c r="B30722" s="8" t="str">
        <f t="shared" ref="B30722:B30723" si="427">HYPERLINK("https://twitter.com/jusstme4u","@jusstme4u")</f>
        <v>@jusstme4u</v>
      </c>
      <c r="C30722" s="8" t="s">
        <v>11608</v>
      </c>
      <c r="D30722" s="8">
        <v>1</v>
      </c>
      <c r="E30722" s="8">
        <v>0</v>
      </c>
      <c r="F30722" s="8">
        <v>76712</v>
      </c>
    </row>
    <row r="30723" spans="1:6" ht="12.75">
      <c r="A30723" s="8">
        <v>43890.75335648148</v>
      </c>
      <c r="B30723" s="8" t="str">
        <f t="shared" si="427"/>
        <v>@jusstme4u</v>
      </c>
      <c r="C30723" s="8" t="s">
        <v>11609</v>
      </c>
      <c r="D30723" s="8">
        <v>1</v>
      </c>
      <c r="E30723" s="8">
        <v>0</v>
      </c>
      <c r="F30723" s="8">
        <v>76712</v>
      </c>
    </row>
    <row r="30724" spans="1:6" ht="12.75">
      <c r="A30724" s="8">
        <v>43890.753333333334</v>
      </c>
      <c r="B30724" s="8" t="str">
        <f>HYPERLINK("https://twitter.com/Cebongmilitan1","@Cebongmilitan1")</f>
        <v>@Cebongmilitan1</v>
      </c>
      <c r="C30724" s="8" t="s">
        <v>7686</v>
      </c>
      <c r="D30724" s="8">
        <v>503</v>
      </c>
      <c r="E30724" s="8">
        <v>0</v>
      </c>
      <c r="F30724" s="8">
        <v>488</v>
      </c>
    </row>
    <row r="30725" spans="1:6" ht="12.75">
      <c r="A30725" s="8">
        <v>43890.753078703703</v>
      </c>
      <c r="B30725" s="8" t="str">
        <f>HYPERLINK("https://twitter.com/linnana001","@linnana001")</f>
        <v>@linnana001</v>
      </c>
      <c r="C30725" s="8" t="s">
        <v>7686</v>
      </c>
      <c r="D30725" s="8">
        <v>503</v>
      </c>
      <c r="E30725" s="8">
        <v>0</v>
      </c>
      <c r="F30725" s="8">
        <v>363</v>
      </c>
    </row>
    <row r="30726" spans="1:6" ht="12.75">
      <c r="A30726" s="8">
        <v>43890.752974537041</v>
      </c>
      <c r="B30726" s="8" t="str">
        <f>HYPERLINK("https://twitter.com/torelwisnu","@torelwisnu")</f>
        <v>@torelwisnu</v>
      </c>
      <c r="C30726" s="8" t="s">
        <v>7437</v>
      </c>
      <c r="D30726" s="8">
        <v>179</v>
      </c>
      <c r="E30726" s="8">
        <v>0</v>
      </c>
      <c r="F30726" s="8">
        <v>1345</v>
      </c>
    </row>
    <row r="30727" spans="1:6" ht="12.75">
      <c r="A30727" s="8">
        <v>43890.75277777778</v>
      </c>
      <c r="B30727" s="8" t="str">
        <f>HYPERLINK("https://twitter.com/newsmerahputih","@newsmerahputih")</f>
        <v>@newsmerahputih</v>
      </c>
      <c r="C30727" s="8" t="s">
        <v>11610</v>
      </c>
      <c r="D30727" s="8">
        <v>0</v>
      </c>
      <c r="E30727" s="8">
        <v>0</v>
      </c>
      <c r="F30727" s="8">
        <v>8747</v>
      </c>
    </row>
    <row r="30728" spans="1:6" ht="12.75">
      <c r="A30728" s="8">
        <v>43890.752766203703</v>
      </c>
      <c r="B30728" s="8" t="str">
        <f>HYPERLINK("https://twitter.com/ngonlain","@ngonlain")</f>
        <v>@ngonlain</v>
      </c>
      <c r="C30728" s="8" t="s">
        <v>11611</v>
      </c>
      <c r="D30728" s="8">
        <v>1</v>
      </c>
      <c r="E30728" s="8">
        <v>0</v>
      </c>
      <c r="F30728" s="8">
        <v>2645</v>
      </c>
    </row>
    <row r="30729" spans="1:6" ht="12.75">
      <c r="A30729" s="8">
        <v>43890.752766203703</v>
      </c>
      <c r="B30729" s="8" t="str">
        <f>HYPERLINK("https://twitter.com/MeyMeyM98411711","@MeyMeyM98411711")</f>
        <v>@MeyMeyM98411711</v>
      </c>
      <c r="C30729" s="8" t="s">
        <v>11612</v>
      </c>
      <c r="D30729" s="8">
        <v>0</v>
      </c>
      <c r="E30729" s="8">
        <v>0</v>
      </c>
      <c r="F30729" s="8">
        <v>16</v>
      </c>
    </row>
    <row r="30730" spans="1:6" ht="12.75">
      <c r="A30730" s="8">
        <v>43890.752754629633</v>
      </c>
      <c r="B30730" s="8" t="str">
        <f>HYPERLINK("https://twitter.com/itamiyaaw","@itamiyaaw")</f>
        <v>@itamiyaaw</v>
      </c>
      <c r="C30730" s="8" t="s">
        <v>11109</v>
      </c>
      <c r="D30730" s="8">
        <v>21</v>
      </c>
      <c r="E30730" s="8">
        <v>0</v>
      </c>
      <c r="F30730" s="8">
        <v>39</v>
      </c>
    </row>
    <row r="30731" spans="1:6" ht="12.75">
      <c r="A30731" s="8">
        <v>43890.752650462964</v>
      </c>
      <c r="B30731" s="8" t="str">
        <f>HYPERLINK("https://twitter.com/fransis_Ksm","@fransis_Ksm")</f>
        <v>@fransis_Ksm</v>
      </c>
      <c r="C30731" s="8" t="s">
        <v>6883</v>
      </c>
      <c r="D30731" s="8">
        <v>13</v>
      </c>
      <c r="E30731" s="8">
        <v>0</v>
      </c>
      <c r="F30731" s="8">
        <v>47</v>
      </c>
    </row>
    <row r="30732" spans="1:6" ht="12.75">
      <c r="A30732" s="8">
        <v>43890.752604166672</v>
      </c>
      <c r="B30732" s="8" t="str">
        <f>HYPERLINK("https://twitter.com/iz_wni","@iz_wni")</f>
        <v>@iz_wni</v>
      </c>
      <c r="C30732" s="8" t="s">
        <v>11613</v>
      </c>
      <c r="D30732" s="8">
        <v>16948</v>
      </c>
      <c r="E30732" s="8">
        <v>0</v>
      </c>
      <c r="F30732" s="8">
        <v>86</v>
      </c>
    </row>
    <row r="30733" spans="1:6" ht="12.75">
      <c r="A30733" s="8">
        <v>43890.752523148149</v>
      </c>
      <c r="B30733" s="8" t="str">
        <f>HYPERLINK("https://twitter.com/IndahJohania","@IndahJohania")</f>
        <v>@IndahJohania</v>
      </c>
      <c r="C30733" s="8" t="s">
        <v>4235</v>
      </c>
      <c r="D30733" s="8">
        <v>1436</v>
      </c>
      <c r="E30733" s="8">
        <v>0</v>
      </c>
      <c r="F30733" s="8">
        <v>778</v>
      </c>
    </row>
    <row r="30734" spans="1:6" ht="12.75">
      <c r="A30734" s="8">
        <v>43890.752407407403</v>
      </c>
      <c r="B30734" s="8" t="str">
        <f>HYPERLINK("https://twitter.com/BISMOLICIOUS","@BISMOLICIOUS")</f>
        <v>@BISMOLICIOUS</v>
      </c>
      <c r="C30734" s="8" t="s">
        <v>11614</v>
      </c>
      <c r="D30734" s="8">
        <v>0</v>
      </c>
      <c r="E30734" s="8">
        <v>0</v>
      </c>
      <c r="F30734" s="8">
        <v>203</v>
      </c>
    </row>
    <row r="30735" spans="1:6" ht="12.75">
      <c r="A30735" s="8">
        <v>43890.752303240741</v>
      </c>
      <c r="B30735" s="8" t="str">
        <f>HYPERLINK("https://twitter.com/syamsulhadi_ae","@syamsulhadi_ae")</f>
        <v>@syamsulhadi_ae</v>
      </c>
      <c r="C30735" s="8" t="s">
        <v>10939</v>
      </c>
      <c r="D30735" s="8">
        <v>138</v>
      </c>
      <c r="E30735" s="8">
        <v>0</v>
      </c>
      <c r="F30735" s="8">
        <v>242</v>
      </c>
    </row>
    <row r="30736" spans="1:6" ht="12.75">
      <c r="A30736" s="8">
        <v>43890.752268518518</v>
      </c>
      <c r="B30736" s="8" t="str">
        <f>HYPERLINK("https://twitter.com/Ruth_Mnk88","@Ruth_Mnk88")</f>
        <v>@Ruth_Mnk88</v>
      </c>
      <c r="C30736" s="8" t="s">
        <v>4235</v>
      </c>
      <c r="D30736" s="8">
        <v>1436</v>
      </c>
      <c r="E30736" s="8">
        <v>0</v>
      </c>
      <c r="F30736" s="8">
        <v>175</v>
      </c>
    </row>
    <row r="30737" spans="1:6" ht="12.75">
      <c r="A30737" s="8">
        <v>43890.752245370371</v>
      </c>
      <c r="B30737" s="8" t="str">
        <f>HYPERLINK("https://twitter.com/Mominash84","@Mominash84")</f>
        <v>@Mominash84</v>
      </c>
      <c r="C30737" s="8" t="s">
        <v>7686</v>
      </c>
      <c r="D30737" s="8">
        <v>503</v>
      </c>
      <c r="E30737" s="8">
        <v>0</v>
      </c>
      <c r="F30737" s="8">
        <v>1077</v>
      </c>
    </row>
    <row r="30738" spans="1:6" ht="12.75">
      <c r="A30738" s="8">
        <v>43890.75209490741</v>
      </c>
      <c r="B30738" s="8" t="str">
        <f>HYPERLINK("https://twitter.com/iz_wni","@iz_wni")</f>
        <v>@iz_wni</v>
      </c>
      <c r="C30738" s="8" t="s">
        <v>11615</v>
      </c>
      <c r="D30738" s="8">
        <v>13293</v>
      </c>
      <c r="E30738" s="8">
        <v>0</v>
      </c>
      <c r="F30738" s="8">
        <v>86</v>
      </c>
    </row>
    <row r="30739" spans="1:6" ht="12.75">
      <c r="A30739" s="8">
        <v>43890.751967592594</v>
      </c>
      <c r="B30739" s="8" t="str">
        <f>HYPERLINK("https://twitter.com/idpenamini","@idpenamini")</f>
        <v>@idpenamini</v>
      </c>
      <c r="C30739" s="8" t="s">
        <v>11616</v>
      </c>
      <c r="D30739" s="8">
        <v>0</v>
      </c>
      <c r="E30739" s="8">
        <v>0</v>
      </c>
      <c r="F30739" s="8">
        <v>173</v>
      </c>
    </row>
    <row r="30740" spans="1:6" ht="12.75">
      <c r="A30740" s="8">
        <v>43890.751921296294</v>
      </c>
      <c r="B30740" s="8" t="str">
        <f>HYPERLINK("https://twitter.com/marSyaheedAS","@marSyaheedAS")</f>
        <v>@marSyaheedAS</v>
      </c>
      <c r="C30740" s="8" t="s">
        <v>11160</v>
      </c>
      <c r="D30740" s="8">
        <v>3</v>
      </c>
      <c r="E30740" s="8">
        <v>0</v>
      </c>
      <c r="F30740" s="8">
        <v>1941</v>
      </c>
    </row>
    <row r="30741" spans="1:6" ht="12.75">
      <c r="A30741" s="8">
        <v>43890.751875000002</v>
      </c>
      <c r="B30741" s="8" t="str">
        <f>HYPERLINK("https://twitter.com/DhirghamZhafran","@DhirghamZhafran")</f>
        <v>@DhirghamZhafran</v>
      </c>
      <c r="C30741" s="8" t="s">
        <v>4235</v>
      </c>
      <c r="D30741" s="8">
        <v>1436</v>
      </c>
      <c r="E30741" s="8">
        <v>0</v>
      </c>
      <c r="F30741" s="8">
        <v>116</v>
      </c>
    </row>
    <row r="30742" spans="1:6" ht="12.75">
      <c r="A30742" s="8">
        <v>43890.751666666663</v>
      </c>
      <c r="B30742" s="8" t="str">
        <f>HYPERLINK("https://twitter.com/bee_damn","@bee_damn")</f>
        <v>@bee_damn</v>
      </c>
      <c r="C30742" s="8" t="s">
        <v>6883</v>
      </c>
      <c r="D30742" s="8">
        <v>13</v>
      </c>
      <c r="E30742" s="8">
        <v>0</v>
      </c>
      <c r="F30742" s="8">
        <v>35</v>
      </c>
    </row>
    <row r="30743" spans="1:6" ht="12.75">
      <c r="A30743" s="8">
        <v>43890.751458333332</v>
      </c>
      <c r="B30743" s="8" t="str">
        <f>HYPERLINK("https://twitter.com/rierie_riezky","@rierie_riezky")</f>
        <v>@rierie_riezky</v>
      </c>
      <c r="C30743" s="8" t="s">
        <v>8746</v>
      </c>
      <c r="D30743" s="8">
        <v>265</v>
      </c>
      <c r="E30743" s="8">
        <v>0</v>
      </c>
      <c r="F30743" s="8">
        <v>141</v>
      </c>
    </row>
    <row r="30744" spans="1:6" ht="12.75">
      <c r="A30744" s="8">
        <v>43890.751400462963</v>
      </c>
      <c r="B30744" s="8" t="str">
        <f>HYPERLINK("https://twitter.com/ivonrush1979","@ivonrush1979")</f>
        <v>@ivonrush1979</v>
      </c>
      <c r="C30744" s="8" t="s">
        <v>7686</v>
      </c>
      <c r="D30744" s="8">
        <v>503</v>
      </c>
      <c r="E30744" s="8">
        <v>0</v>
      </c>
      <c r="F30744" s="8">
        <v>232</v>
      </c>
    </row>
    <row r="30745" spans="1:6" ht="12.75">
      <c r="A30745" s="8">
        <v>43890.75135416667</v>
      </c>
      <c r="B30745" s="8" t="str">
        <f>HYPERLINK("https://twitter.com/Lady_Zeebo","@Lady_Zeebo")</f>
        <v>@Lady_Zeebo</v>
      </c>
      <c r="C30745" s="8" t="s">
        <v>11617</v>
      </c>
      <c r="D30745" s="8">
        <v>2</v>
      </c>
      <c r="E30745" s="8">
        <v>1</v>
      </c>
      <c r="F30745" s="8">
        <v>7441</v>
      </c>
    </row>
    <row r="30746" spans="1:6" ht="12.75">
      <c r="A30746" s="8">
        <v>43890.751319444447</v>
      </c>
      <c r="B30746" s="8" t="str">
        <f>HYPERLINK("https://twitter.com/oeihanliong","@oeihanliong")</f>
        <v>@oeihanliong</v>
      </c>
      <c r="C30746" s="8" t="s">
        <v>11618</v>
      </c>
      <c r="D30746" s="8">
        <v>0</v>
      </c>
      <c r="E30746" s="8">
        <v>0</v>
      </c>
      <c r="F30746" s="8">
        <v>17</v>
      </c>
    </row>
    <row r="30747" spans="1:6" ht="12.75">
      <c r="A30747" s="8">
        <v>43890.751284722224</v>
      </c>
      <c r="B30747" s="8" t="str">
        <f>HYPERLINK("https://twitter.com/Jonatha24999653","@Jonatha24999653")</f>
        <v>@Jonatha24999653</v>
      </c>
      <c r="C30747" s="8" t="s">
        <v>11619</v>
      </c>
      <c r="D30747" s="8">
        <v>0</v>
      </c>
      <c r="E30747" s="8">
        <v>0</v>
      </c>
      <c r="F30747" s="8">
        <v>0</v>
      </c>
    </row>
    <row r="30748" spans="1:6" ht="12.75">
      <c r="A30748" s="8">
        <v>43890.751192129625</v>
      </c>
      <c r="B30748" s="8" t="str">
        <f>HYPERLINK("https://twitter.com/Intanwidhi2","@Intanwidhi2")</f>
        <v>@Intanwidhi2</v>
      </c>
      <c r="C30748" s="8" t="s">
        <v>11620</v>
      </c>
      <c r="D30748" s="8">
        <v>18</v>
      </c>
      <c r="E30748" s="8">
        <v>0</v>
      </c>
      <c r="F30748" s="8">
        <v>234</v>
      </c>
    </row>
    <row r="30749" spans="1:6" ht="12.75">
      <c r="A30749" s="8">
        <v>43890.750949074078</v>
      </c>
      <c r="B30749" s="8" t="str">
        <f>HYPERLINK("https://twitter.com/SigitSadiono","@SigitSadiono")</f>
        <v>@SigitSadiono</v>
      </c>
      <c r="C30749" s="8" t="s">
        <v>11621</v>
      </c>
      <c r="D30749" s="8">
        <v>3</v>
      </c>
      <c r="E30749" s="8">
        <v>0</v>
      </c>
      <c r="F30749" s="8">
        <v>95</v>
      </c>
    </row>
    <row r="30750" spans="1:6" ht="12.75">
      <c r="A30750" s="8">
        <v>43890.750752314816</v>
      </c>
      <c r="B30750" s="8" t="str">
        <f>HYPERLINK("https://twitter.com/WAbedego","@WAbedego")</f>
        <v>@WAbedego</v>
      </c>
      <c r="C30750" s="8" t="s">
        <v>9163</v>
      </c>
      <c r="D30750" s="8">
        <v>21</v>
      </c>
      <c r="E30750" s="8">
        <v>0</v>
      </c>
      <c r="F30750" s="8">
        <v>971</v>
      </c>
    </row>
    <row r="30751" spans="1:6" ht="12.75">
      <c r="A30751" s="8">
        <v>43890.7503587963</v>
      </c>
      <c r="B30751" s="8" t="str">
        <f>HYPERLINK("https://twitter.com/adimertanyoman","@adimertanyoman")</f>
        <v>@adimertanyoman</v>
      </c>
      <c r="C30751" s="8" t="s">
        <v>7686</v>
      </c>
      <c r="D30751" s="8">
        <v>503</v>
      </c>
      <c r="E30751" s="8">
        <v>0</v>
      </c>
      <c r="F30751" s="8">
        <v>610</v>
      </c>
    </row>
    <row r="30752" spans="1:6" ht="12.75">
      <c r="A30752" s="8">
        <v>43890.7503125</v>
      </c>
      <c r="B30752" s="8" t="str">
        <f>HYPERLINK("https://twitter.com/billy4riez","@billy4riez")</f>
        <v>@billy4riez</v>
      </c>
      <c r="C30752" s="8" t="s">
        <v>11622</v>
      </c>
      <c r="D30752" s="8">
        <v>0</v>
      </c>
      <c r="E30752" s="8">
        <v>0</v>
      </c>
      <c r="F30752" s="8">
        <v>8027</v>
      </c>
    </row>
    <row r="30753" spans="1:6" ht="12.75">
      <c r="A30753" s="8">
        <v>43890.750254629631</v>
      </c>
      <c r="B30753" s="8" t="str">
        <f>HYPERLINK("https://twitter.com/Bayusb_ibm1","@Bayusb_ibm1")</f>
        <v>@Bayusb_ibm1</v>
      </c>
      <c r="C30753" s="8" t="s">
        <v>7437</v>
      </c>
      <c r="D30753" s="8">
        <v>179</v>
      </c>
      <c r="E30753" s="8">
        <v>0</v>
      </c>
      <c r="F30753" s="8">
        <v>3699</v>
      </c>
    </row>
    <row r="30754" spans="1:6" ht="12.75">
      <c r="A30754" s="8">
        <v>43890.750138888892</v>
      </c>
      <c r="B30754" s="8" t="str">
        <f>HYPERLINK("https://twitter.com/superUnknownnn","@superUnknownnn")</f>
        <v>@superUnknownnn</v>
      </c>
      <c r="C30754" s="8" t="s">
        <v>9163</v>
      </c>
      <c r="D30754" s="8">
        <v>21</v>
      </c>
      <c r="E30754" s="8">
        <v>0</v>
      </c>
      <c r="F30754" s="8">
        <v>1756</v>
      </c>
    </row>
    <row r="30755" spans="1:6" ht="12.75">
      <c r="A30755" s="8">
        <v>43890.749814814815</v>
      </c>
      <c r="B30755" s="8" t="str">
        <f>HYPERLINK("https://twitter.com/ngonlain","@ngonlain")</f>
        <v>@ngonlain</v>
      </c>
      <c r="C30755" s="8" t="s">
        <v>11595</v>
      </c>
      <c r="D30755" s="8">
        <v>3</v>
      </c>
      <c r="E30755" s="8">
        <v>0</v>
      </c>
      <c r="F30755" s="8">
        <v>2645</v>
      </c>
    </row>
    <row r="30756" spans="1:6" ht="12.75">
      <c r="A30756" s="8">
        <v>43890.749675925923</v>
      </c>
      <c r="B30756" s="8" t="str">
        <f>HYPERLINK("https://twitter.com/angelmaximilan","@angelmaximilan")</f>
        <v>@angelmaximilan</v>
      </c>
      <c r="C30756" s="8" t="s">
        <v>10972</v>
      </c>
      <c r="D30756" s="8">
        <v>4</v>
      </c>
      <c r="E30756" s="8">
        <v>0</v>
      </c>
      <c r="F30756" s="8">
        <v>6413</v>
      </c>
    </row>
    <row r="30757" spans="1:6" ht="12.75">
      <c r="A30757" s="8">
        <v>43890.749664351853</v>
      </c>
      <c r="B30757" s="8" t="str">
        <f>HYPERLINK("https://twitter.com/Meylanvita","@Meylanvita")</f>
        <v>@Meylanvita</v>
      </c>
      <c r="C30757" s="8" t="s">
        <v>11623</v>
      </c>
      <c r="D30757" s="8">
        <v>0</v>
      </c>
      <c r="E30757" s="8">
        <v>0</v>
      </c>
      <c r="F30757" s="8">
        <v>3990</v>
      </c>
    </row>
    <row r="30758" spans="1:6" ht="12.75">
      <c r="A30758" s="8">
        <v>43890.7496412037</v>
      </c>
      <c r="B30758" s="8" t="str">
        <f>HYPERLINK("https://twitter.com/Aliyarahmanitya","@Aliyarahmanitya")</f>
        <v>@Aliyarahmanitya</v>
      </c>
      <c r="C30758" s="8" t="s">
        <v>11624</v>
      </c>
      <c r="D30758" s="8">
        <v>0</v>
      </c>
      <c r="E30758" s="8">
        <v>1</v>
      </c>
      <c r="F30758" s="8">
        <v>178</v>
      </c>
    </row>
    <row r="30759" spans="1:6" ht="12.75">
      <c r="A30759" s="8">
        <v>43890.749606481477</v>
      </c>
      <c r="B30759" s="8" t="str">
        <f>HYPERLINK("https://twitter.com/Oh_Ronald","@Oh_Ronald")</f>
        <v>@Oh_Ronald</v>
      </c>
      <c r="C30759" s="8" t="s">
        <v>7437</v>
      </c>
      <c r="D30759" s="8">
        <v>179</v>
      </c>
      <c r="E30759" s="8">
        <v>0</v>
      </c>
      <c r="F30759" s="8">
        <v>2341</v>
      </c>
    </row>
    <row r="30760" spans="1:6" ht="12.75">
      <c r="A30760" s="8">
        <v>43890.749386574069</v>
      </c>
      <c r="B30760" s="8" t="str">
        <f>HYPERLINK("https://twitter.com/Marsose23","@Marsose23")</f>
        <v>@Marsose23</v>
      </c>
      <c r="C30760" s="8" t="s">
        <v>11625</v>
      </c>
      <c r="D30760" s="8">
        <v>0</v>
      </c>
      <c r="E30760" s="8">
        <v>1</v>
      </c>
      <c r="F30760" s="8">
        <v>270</v>
      </c>
    </row>
    <row r="30761" spans="1:6" ht="12.75">
      <c r="A30761" s="8">
        <v>43890.749386574069</v>
      </c>
      <c r="B30761" s="8" t="str">
        <f>HYPERLINK("https://twitter.com/0v4lt1n3_","@0v4lt1n3_")</f>
        <v>@0v4lt1n3_</v>
      </c>
      <c r="C30761" s="8" t="s">
        <v>11160</v>
      </c>
      <c r="D30761" s="8">
        <v>3</v>
      </c>
      <c r="E30761" s="8">
        <v>0</v>
      </c>
      <c r="F30761" s="8">
        <v>1883</v>
      </c>
    </row>
    <row r="30762" spans="1:6" ht="12.75">
      <c r="A30762" s="8">
        <v>43890.749386574069</v>
      </c>
      <c r="B30762" s="8" t="str">
        <f>HYPERLINK("https://twitter.com/FauzannMaulana","@FauzannMaulana")</f>
        <v>@FauzannMaulana</v>
      </c>
      <c r="C30762" s="8" t="s">
        <v>11626</v>
      </c>
      <c r="D30762" s="8">
        <v>0</v>
      </c>
      <c r="E30762" s="8">
        <v>0</v>
      </c>
      <c r="F30762" s="8">
        <v>370</v>
      </c>
    </row>
    <row r="30763" spans="1:6" ht="12.75">
      <c r="A30763" s="8">
        <v>43890.749374999999</v>
      </c>
      <c r="B30763" s="8" t="str">
        <f>HYPERLINK("https://twitter.com/wisanggeni_084","@wisanggeni_084")</f>
        <v>@wisanggeni_084</v>
      </c>
      <c r="C30763" s="8" t="s">
        <v>11595</v>
      </c>
      <c r="D30763" s="8">
        <v>3</v>
      </c>
      <c r="E30763" s="8">
        <v>0</v>
      </c>
      <c r="F30763" s="8">
        <v>17063</v>
      </c>
    </row>
    <row r="30764" spans="1:6" ht="12.75">
      <c r="A30764" s="8">
        <v>43890.749293981484</v>
      </c>
      <c r="B30764" s="8" t="str">
        <f>HYPERLINK("https://twitter.com/__MV_llestari__","@__MV_llestari__")</f>
        <v>@__MV_llestari__</v>
      </c>
      <c r="C30764" s="8" t="s">
        <v>11627</v>
      </c>
      <c r="D30764" s="8">
        <v>1</v>
      </c>
      <c r="E30764" s="8">
        <v>0</v>
      </c>
      <c r="F30764" s="8">
        <v>9025</v>
      </c>
    </row>
    <row r="30765" spans="1:6" ht="12.75">
      <c r="A30765" s="8">
        <v>43890.749282407407</v>
      </c>
      <c r="B30765" s="8" t="str">
        <f>HYPERLINK("https://twitter.com/Hegie_bae","@Hegie_bae")</f>
        <v>@Hegie_bae</v>
      </c>
      <c r="C30765" s="8" t="s">
        <v>10811</v>
      </c>
      <c r="D30765" s="8">
        <v>186</v>
      </c>
      <c r="E30765" s="8">
        <v>0</v>
      </c>
      <c r="F30765" s="8">
        <v>394</v>
      </c>
    </row>
    <row r="30766" spans="1:6" ht="12.75">
      <c r="A30766" s="8">
        <v>43890.749201388884</v>
      </c>
      <c r="B30766" s="8" t="str">
        <f>HYPERLINK("https://twitter.com/staisyaaaaah","@staisyaaaaah")</f>
        <v>@staisyaaaaah</v>
      </c>
      <c r="C30766" s="8" t="s">
        <v>11628</v>
      </c>
      <c r="D30766" s="8">
        <v>1</v>
      </c>
      <c r="E30766" s="8">
        <v>0</v>
      </c>
      <c r="F30766" s="8">
        <v>207</v>
      </c>
    </row>
    <row r="30767" spans="1:6" ht="12.75">
      <c r="A30767" s="8">
        <v>43890.749155092592</v>
      </c>
      <c r="B30767" s="8" t="str">
        <f>HYPERLINK("https://twitter.com/harno_007","@harno_007")</f>
        <v>@harno_007</v>
      </c>
      <c r="C30767" s="8" t="s">
        <v>10391</v>
      </c>
      <c r="D30767" s="8">
        <v>109</v>
      </c>
      <c r="E30767" s="8">
        <v>0</v>
      </c>
      <c r="F30767" s="8">
        <v>595</v>
      </c>
    </row>
    <row r="30768" spans="1:6" ht="12.75">
      <c r="A30768" s="8">
        <v>43890.749097222222</v>
      </c>
      <c r="B30768" s="8" t="str">
        <f>HYPERLINK("https://twitter.com/wiwinini","@wiwinini")</f>
        <v>@wiwinini</v>
      </c>
      <c r="C30768" s="8" t="s">
        <v>11629</v>
      </c>
      <c r="D30768" s="8">
        <v>0</v>
      </c>
      <c r="E30768" s="8">
        <v>0</v>
      </c>
      <c r="F30768" s="8">
        <v>657</v>
      </c>
    </row>
    <row r="30769" spans="1:6" ht="12.75">
      <c r="A30769" s="8">
        <v>43890.74900462963</v>
      </c>
      <c r="B30769" s="8" t="str">
        <f>HYPERLINK("https://twitter.com/MasTiyok27","@MasTiyok27")</f>
        <v>@MasTiyok27</v>
      </c>
      <c r="C30769" s="8" t="s">
        <v>7437</v>
      </c>
      <c r="D30769" s="8">
        <v>179</v>
      </c>
      <c r="E30769" s="8">
        <v>0</v>
      </c>
      <c r="F30769" s="8">
        <v>87</v>
      </c>
    </row>
    <row r="30770" spans="1:6" ht="12.75">
      <c r="A30770" s="8">
        <v>43890.748900462961</v>
      </c>
      <c r="B30770" s="8" t="str">
        <f>HYPERLINK("https://twitter.com/suka011","@suka011")</f>
        <v>@suka011</v>
      </c>
      <c r="C30770" s="8" t="s">
        <v>11075</v>
      </c>
      <c r="D30770" s="8">
        <v>56</v>
      </c>
      <c r="E30770" s="8">
        <v>0</v>
      </c>
      <c r="F30770" s="8">
        <v>2100</v>
      </c>
    </row>
    <row r="30771" spans="1:6" ht="12.75">
      <c r="A30771" s="8">
        <v>43890.748865740738</v>
      </c>
      <c r="B30771" s="8" t="str">
        <f>HYPERLINK("https://twitter.com/wiwinini","@wiwinini")</f>
        <v>@wiwinini</v>
      </c>
      <c r="C30771" s="8" t="s">
        <v>11630</v>
      </c>
      <c r="D30771" s="8">
        <v>0</v>
      </c>
      <c r="E30771" s="8">
        <v>0</v>
      </c>
      <c r="F30771" s="8">
        <v>657</v>
      </c>
    </row>
    <row r="30772" spans="1:6" ht="12.75">
      <c r="A30772" s="8">
        <v>43890.748831018514</v>
      </c>
      <c r="B30772" s="8" t="str">
        <f>HYPERLINK("https://twitter.com/JoeSuisTanjung","@JoeSuisTanjung")</f>
        <v>@JoeSuisTanjung</v>
      </c>
      <c r="C30772" s="8" t="s">
        <v>11631</v>
      </c>
      <c r="D30772" s="8">
        <v>0</v>
      </c>
      <c r="E30772" s="8">
        <v>0</v>
      </c>
      <c r="F30772" s="8">
        <v>1799</v>
      </c>
    </row>
    <row r="30773" spans="1:6" ht="12.75">
      <c r="A30773" s="8">
        <v>43890.748784722222</v>
      </c>
      <c r="B30773" s="8" t="str">
        <f>HYPERLINK("https://twitter.com/allrounderdam07","@allrounderdam07")</f>
        <v>@allrounderdam07</v>
      </c>
      <c r="C30773" s="8" t="s">
        <v>11620</v>
      </c>
      <c r="D30773" s="8">
        <v>18</v>
      </c>
      <c r="E30773" s="8">
        <v>0</v>
      </c>
      <c r="F30773" s="8">
        <v>521</v>
      </c>
    </row>
    <row r="30774" spans="1:6" ht="12.75">
      <c r="A30774" s="8">
        <v>43890.748611111107</v>
      </c>
      <c r="B30774" s="8" t="str">
        <f>HYPERLINK("https://twitter.com/FatiinS_L","@FatiinS_L")</f>
        <v>@FatiinS_L</v>
      </c>
      <c r="C30774" s="8" t="s">
        <v>11632</v>
      </c>
      <c r="D30774" s="8">
        <v>1</v>
      </c>
      <c r="E30774" s="8">
        <v>1</v>
      </c>
      <c r="F30774" s="8">
        <v>16423</v>
      </c>
    </row>
    <row r="30775" spans="1:6" ht="12.75">
      <c r="A30775" s="8">
        <v>43890.748587962968</v>
      </c>
      <c r="B30775" s="8" t="str">
        <f>HYPERLINK("https://twitter.com/60far60pay","@60far60pay")</f>
        <v>@60far60pay</v>
      </c>
      <c r="C30775" s="8" t="s">
        <v>10943</v>
      </c>
      <c r="D30775" s="8">
        <v>17</v>
      </c>
      <c r="E30775" s="8">
        <v>0</v>
      </c>
      <c r="F30775" s="8">
        <v>745</v>
      </c>
    </row>
    <row r="30776" spans="1:6" ht="12.75">
      <c r="A30776" s="8">
        <v>43890.748564814814</v>
      </c>
      <c r="B30776" s="8" t="str">
        <f>HYPERLINK("https://twitter.com/ahmad_fuadi28","@ahmad_fuadi28")</f>
        <v>@ahmad_fuadi28</v>
      </c>
      <c r="C30776" s="8" t="s">
        <v>11109</v>
      </c>
      <c r="D30776" s="8">
        <v>21</v>
      </c>
      <c r="E30776" s="8">
        <v>0</v>
      </c>
      <c r="F30776" s="8">
        <v>487</v>
      </c>
    </row>
    <row r="30777" spans="1:6" ht="12.75">
      <c r="A30777" s="8">
        <v>43890.748356481483</v>
      </c>
      <c r="B30777" s="8" t="str">
        <f>HYPERLINK("https://twitter.com/imnainggolan","@imnainggolan")</f>
        <v>@imnainggolan</v>
      </c>
      <c r="C30777" s="8" t="s">
        <v>11633</v>
      </c>
      <c r="D30777" s="8">
        <v>3</v>
      </c>
      <c r="E30777" s="8">
        <v>4</v>
      </c>
      <c r="F30777" s="8">
        <v>445</v>
      </c>
    </row>
    <row r="30778" spans="1:6" ht="12.75">
      <c r="A30778" s="8">
        <v>43890.748333333337</v>
      </c>
      <c r="B30778" s="8" t="str">
        <f>HYPERLINK("https://twitter.com/vierda","@vierda")</f>
        <v>@vierda</v>
      </c>
      <c r="C30778" s="8" t="s">
        <v>11634</v>
      </c>
      <c r="D30778" s="8">
        <v>3</v>
      </c>
      <c r="E30778" s="8">
        <v>3</v>
      </c>
      <c r="F30778" s="8">
        <v>14770</v>
      </c>
    </row>
    <row r="30779" spans="1:6" ht="12.75">
      <c r="A30779" s="8">
        <v>43890.748240740737</v>
      </c>
      <c r="B30779" s="8" t="str">
        <f>HYPERLINK("https://twitter.com/Mangkel_on","@Mangkel_on")</f>
        <v>@Mangkel_on</v>
      </c>
      <c r="C30779" s="8" t="s">
        <v>6708</v>
      </c>
      <c r="D30779" s="8">
        <v>29</v>
      </c>
      <c r="E30779" s="8">
        <v>0</v>
      </c>
      <c r="F30779" s="8">
        <v>714</v>
      </c>
    </row>
    <row r="30780" spans="1:6" ht="12.75">
      <c r="A30780" s="8">
        <v>43890.747939814813</v>
      </c>
      <c r="B30780" s="8" t="str">
        <f>HYPERLINK("https://twitter.com/Masbedjo19","@Masbedjo19")</f>
        <v>@Masbedjo19</v>
      </c>
      <c r="C30780" s="8" t="s">
        <v>10811</v>
      </c>
      <c r="D30780" s="8">
        <v>186</v>
      </c>
      <c r="E30780" s="8">
        <v>0</v>
      </c>
      <c r="F30780" s="8">
        <v>108</v>
      </c>
    </row>
    <row r="30781" spans="1:6" ht="12.75">
      <c r="A30781" s="8">
        <v>43890.747835648144</v>
      </c>
      <c r="B30781" s="8" t="str">
        <f>HYPERLINK("https://twitter.com/AkuDwi23","@AkuDwi23")</f>
        <v>@AkuDwi23</v>
      </c>
      <c r="C30781" s="8" t="s">
        <v>8746</v>
      </c>
      <c r="D30781" s="8">
        <v>265</v>
      </c>
      <c r="E30781" s="8">
        <v>0</v>
      </c>
      <c r="F30781" s="8">
        <v>59</v>
      </c>
    </row>
    <row r="30782" spans="1:6" ht="12.75">
      <c r="A30782" s="8">
        <v>43890.747754629629</v>
      </c>
      <c r="B30782" s="8" t="str">
        <f>HYPERLINK("https://twitter.com/GreatSpiderman7","@GreatSpiderman7")</f>
        <v>@GreatSpiderman7</v>
      </c>
      <c r="C30782" s="8" t="s">
        <v>10743</v>
      </c>
      <c r="D30782" s="8">
        <v>159</v>
      </c>
      <c r="E30782" s="8">
        <v>0</v>
      </c>
      <c r="F30782" s="8">
        <v>198</v>
      </c>
    </row>
    <row r="30783" spans="1:6" ht="12.75">
      <c r="A30783" s="8">
        <v>43890.747708333336</v>
      </c>
      <c r="B30783" s="8" t="str">
        <f>HYPERLINK("https://twitter.com/nemosyus","@nemosyus")</f>
        <v>@nemosyus</v>
      </c>
      <c r="C30783" s="8" t="s">
        <v>11210</v>
      </c>
      <c r="D30783" s="8">
        <v>3</v>
      </c>
      <c r="E30783" s="8">
        <v>0</v>
      </c>
      <c r="F30783" s="8">
        <v>515</v>
      </c>
    </row>
    <row r="30784" spans="1:6" ht="12.75">
      <c r="A30784" s="8">
        <v>43890.747650462959</v>
      </c>
      <c r="B30784" s="8" t="str">
        <f>HYPERLINK("https://twitter.com/yanuarsurya","@yanuarsurya")</f>
        <v>@yanuarsurya</v>
      </c>
      <c r="C30784" s="8" t="s">
        <v>11109</v>
      </c>
      <c r="D30784" s="8">
        <v>21</v>
      </c>
      <c r="E30784" s="8">
        <v>0</v>
      </c>
      <c r="F30784" s="8">
        <v>162</v>
      </c>
    </row>
    <row r="30785" spans="1:6" ht="12.75">
      <c r="A30785" s="8">
        <v>43890.74763888889</v>
      </c>
      <c r="B30785" s="8" t="str">
        <f>HYPERLINK("https://twitter.com/choiseungj","@choiseungj")</f>
        <v>@choiseungj</v>
      </c>
      <c r="C30785" s="8" t="s">
        <v>11620</v>
      </c>
      <c r="D30785" s="8">
        <v>18</v>
      </c>
      <c r="E30785" s="8">
        <v>0</v>
      </c>
      <c r="F30785" s="8">
        <v>43</v>
      </c>
    </row>
    <row r="30786" spans="1:6" ht="12.75">
      <c r="A30786" s="8">
        <v>43890.715057870373</v>
      </c>
      <c r="B30786" s="8" t="str">
        <f>HYPERLINK("https://twitter.com/udapilliang","@udapilliang")</f>
        <v>@udapilliang</v>
      </c>
      <c r="C30786" s="8" t="s">
        <v>7437</v>
      </c>
      <c r="D30786" s="8">
        <v>158</v>
      </c>
      <c r="E30786" s="8">
        <v>0</v>
      </c>
      <c r="F30786" s="8">
        <v>553</v>
      </c>
    </row>
    <row r="30787" spans="1:6" ht="12.75">
      <c r="A30787" s="8">
        <v>43890.714965277773</v>
      </c>
      <c r="B30787" s="8" t="str">
        <f>HYPERLINK("https://twitter.com/azam5091","@azam5091")</f>
        <v>@azam5091</v>
      </c>
      <c r="C30787" s="8" t="s">
        <v>11426</v>
      </c>
      <c r="D30787" s="8">
        <v>11</v>
      </c>
      <c r="E30787" s="8">
        <v>0</v>
      </c>
      <c r="F30787" s="8">
        <v>261</v>
      </c>
    </row>
    <row r="30788" spans="1:6" ht="12.75">
      <c r="A30788" s="8">
        <v>43890.714907407411</v>
      </c>
      <c r="B30788" s="8" t="str">
        <f>HYPERLINK("https://twitter.com/xyzwxyun","@xyzwxyun")</f>
        <v>@xyzwxyun</v>
      </c>
      <c r="C30788" s="8" t="s">
        <v>2272</v>
      </c>
      <c r="D30788" s="8">
        <v>8</v>
      </c>
      <c r="E30788" s="8">
        <v>0</v>
      </c>
      <c r="F30788" s="8">
        <v>16</v>
      </c>
    </row>
    <row r="30789" spans="1:6" ht="12.75">
      <c r="A30789" s="8">
        <v>43890.714768518519</v>
      </c>
      <c r="B30789" s="8" t="str">
        <f>HYPERLINK("https://twitter.com/arsa_mr","@arsa_mr")</f>
        <v>@arsa_mr</v>
      </c>
      <c r="C30789" s="8" t="s">
        <v>10811</v>
      </c>
      <c r="D30789" s="8">
        <v>176</v>
      </c>
      <c r="E30789" s="8">
        <v>0</v>
      </c>
      <c r="F30789" s="8">
        <v>508</v>
      </c>
    </row>
    <row r="30790" spans="1:6" ht="12.75">
      <c r="A30790" s="8">
        <v>43890.71465277778</v>
      </c>
      <c r="B30790" s="8" t="str">
        <f>HYPERLINK("https://twitter.com/demokrasicoid","@demokrasicoid")</f>
        <v>@demokrasicoid</v>
      </c>
      <c r="C30790" s="8" t="s">
        <v>11635</v>
      </c>
      <c r="D30790" s="8">
        <v>0</v>
      </c>
      <c r="E30790" s="8">
        <v>0</v>
      </c>
      <c r="F30790" s="8">
        <v>22742</v>
      </c>
    </row>
    <row r="30791" spans="1:6" ht="12.75">
      <c r="A30791" s="8">
        <v>43890.714479166665</v>
      </c>
      <c r="B30791" s="8" t="str">
        <f>HYPERLINK("https://twitter.com/AhlulQohwah","@AhlulQohwah")</f>
        <v>@AhlulQohwah</v>
      </c>
      <c r="C30791" s="8" t="s">
        <v>11258</v>
      </c>
      <c r="D30791" s="8">
        <v>22</v>
      </c>
      <c r="E30791" s="8">
        <v>0</v>
      </c>
      <c r="F30791" s="8">
        <v>10368</v>
      </c>
    </row>
    <row r="30792" spans="1:6" ht="12.75">
      <c r="A30792" s="8">
        <v>43890.714432870373</v>
      </c>
      <c r="B30792" s="8" t="str">
        <f>HYPERLINK("https://twitter.com/Abdussa78534939","@Abdussa78534939")</f>
        <v>@Abdussa78534939</v>
      </c>
      <c r="C30792" s="8" t="s">
        <v>10811</v>
      </c>
      <c r="D30792" s="8">
        <v>176</v>
      </c>
      <c r="E30792" s="8">
        <v>0</v>
      </c>
      <c r="F30792" s="8">
        <v>135</v>
      </c>
    </row>
    <row r="30793" spans="1:6" ht="12.75">
      <c r="A30793" s="8">
        <v>43890.714247685188</v>
      </c>
      <c r="B30793" s="8" t="str">
        <f>HYPERLINK("https://twitter.com/swandywidjaja06","@swandywidjaja06")</f>
        <v>@swandywidjaja06</v>
      </c>
      <c r="C30793" s="8" t="s">
        <v>7437</v>
      </c>
      <c r="D30793" s="8">
        <v>158</v>
      </c>
      <c r="E30793" s="8">
        <v>0</v>
      </c>
      <c r="F30793" s="8">
        <v>252</v>
      </c>
    </row>
    <row r="30794" spans="1:6" ht="12.75">
      <c r="A30794" s="8">
        <v>43890.714062500003</v>
      </c>
      <c r="B30794" s="8" t="str">
        <f>HYPERLINK("https://twitter.com/Mun4fikunn","@Mun4fikunn")</f>
        <v>@Mun4fikunn</v>
      </c>
      <c r="C30794" s="8" t="s">
        <v>11636</v>
      </c>
      <c r="D30794" s="8">
        <v>0</v>
      </c>
      <c r="E30794" s="8">
        <v>0</v>
      </c>
      <c r="F30794" s="8">
        <v>1612</v>
      </c>
    </row>
    <row r="30795" spans="1:6" ht="12.75">
      <c r="A30795" s="8">
        <v>43890.71398148148</v>
      </c>
      <c r="B30795" s="8" t="str">
        <f>HYPERLINK("https://twitter.com/TeoPoliticall","@TeoPoliticall")</f>
        <v>@TeoPoliticall</v>
      </c>
      <c r="C30795" s="8" t="s">
        <v>11637</v>
      </c>
      <c r="D30795" s="8">
        <v>0</v>
      </c>
      <c r="E30795" s="8">
        <v>0</v>
      </c>
      <c r="F30795" s="8">
        <v>76</v>
      </c>
    </row>
    <row r="30796" spans="1:6" ht="12.75">
      <c r="A30796" s="8">
        <v>43890.713877314818</v>
      </c>
      <c r="B30796" s="8" t="str">
        <f>HYPERLINK("https://twitter.com/exger","@exger")</f>
        <v>@exger</v>
      </c>
      <c r="C30796" s="8" t="s">
        <v>7686</v>
      </c>
      <c r="D30796" s="8">
        <v>463</v>
      </c>
      <c r="E30796" s="8">
        <v>0</v>
      </c>
      <c r="F30796" s="8">
        <v>135</v>
      </c>
    </row>
    <row r="30797" spans="1:6" ht="12.75">
      <c r="A30797" s="8">
        <v>43890.713784722218</v>
      </c>
      <c r="B30797" s="8" t="str">
        <f>HYPERLINK("https://twitter.com/AhlulQohwah","@AhlulQohwah")</f>
        <v>@AhlulQohwah</v>
      </c>
      <c r="C30797" s="8" t="s">
        <v>11638</v>
      </c>
      <c r="D30797" s="8">
        <v>0</v>
      </c>
      <c r="E30797" s="8">
        <v>0</v>
      </c>
      <c r="F30797" s="8">
        <v>10368</v>
      </c>
    </row>
    <row r="30798" spans="1:6" ht="12.75">
      <c r="A30798" s="8">
        <v>43890.713553240741</v>
      </c>
      <c r="B30798" s="8" t="str">
        <f>HYPERLINK("https://twitter.com/emmaazmann","@emmaazmann")</f>
        <v>@emmaazmann</v>
      </c>
      <c r="C30798" s="8" t="s">
        <v>11426</v>
      </c>
      <c r="D30798" s="8">
        <v>11</v>
      </c>
      <c r="E30798" s="8">
        <v>0</v>
      </c>
      <c r="F30798" s="8">
        <v>1955</v>
      </c>
    </row>
    <row r="30799" spans="1:6" ht="12.75">
      <c r="A30799" s="8">
        <v>43890.713356481487</v>
      </c>
      <c r="B30799" s="8" t="str">
        <f>HYPERLINK("https://twitter.com/zenkdelya","@zenkdelya")</f>
        <v>@zenkdelya</v>
      </c>
      <c r="C30799" s="8" t="s">
        <v>11639</v>
      </c>
      <c r="D30799" s="8">
        <v>2</v>
      </c>
      <c r="E30799" s="8">
        <v>0</v>
      </c>
      <c r="F30799" s="8">
        <v>693</v>
      </c>
    </row>
    <row r="30800" spans="1:6" ht="12.75">
      <c r="A30800" s="8">
        <v>43890.713275462964</v>
      </c>
      <c r="B30800" s="8" t="str">
        <f>HYPERLINK("https://twitter.com/Jayeshjpanicker","@Jayeshjpanicker")</f>
        <v>@Jayeshjpanicker</v>
      </c>
      <c r="C30800" s="8" t="s">
        <v>11640</v>
      </c>
      <c r="D30800" s="8">
        <v>0</v>
      </c>
      <c r="E30800" s="8">
        <v>0</v>
      </c>
      <c r="F30800" s="8">
        <v>101</v>
      </c>
    </row>
    <row r="30801" spans="1:6" ht="12.75">
      <c r="A30801" s="8">
        <v>43890.713148148148</v>
      </c>
      <c r="B30801" s="8" t="str">
        <f>HYPERLINK("https://twitter.com/forever6137","@forever6137")</f>
        <v>@forever6137</v>
      </c>
      <c r="C30801" s="8" t="s">
        <v>11641</v>
      </c>
      <c r="D30801" s="8">
        <v>110</v>
      </c>
      <c r="E30801" s="8">
        <v>0</v>
      </c>
      <c r="F30801" s="8">
        <v>137</v>
      </c>
    </row>
    <row r="30802" spans="1:6" ht="12.75">
      <c r="A30802" s="8">
        <v>43890.713078703702</v>
      </c>
      <c r="B30802" s="8" t="str">
        <f>HYPERLINK("https://twitter.com/Astoeti1","@Astoeti1")</f>
        <v>@Astoeti1</v>
      </c>
      <c r="C30802" s="8" t="s">
        <v>4235</v>
      </c>
      <c r="D30802" s="8">
        <v>1406</v>
      </c>
      <c r="E30802" s="8">
        <v>0</v>
      </c>
      <c r="F30802" s="8">
        <v>731</v>
      </c>
    </row>
    <row r="30803" spans="1:6" ht="12.75">
      <c r="A30803" s="8">
        <v>43890.713020833333</v>
      </c>
      <c r="B30803" s="8" t="str">
        <f>HYPERLINK("https://twitter.com/kusumovina","@kusumovina")</f>
        <v>@kusumovina</v>
      </c>
      <c r="C30803" s="8" t="s">
        <v>11105</v>
      </c>
      <c r="D30803" s="8">
        <v>131</v>
      </c>
      <c r="E30803" s="8">
        <v>0</v>
      </c>
      <c r="F30803" s="8">
        <v>160</v>
      </c>
    </row>
    <row r="30804" spans="1:6" ht="12.75">
      <c r="A30804" s="8">
        <v>43890.712858796294</v>
      </c>
      <c r="B30804" s="8" t="str">
        <f>HYPERLINK("https://twitter.com/RendyAdithya","@RendyAdithya")</f>
        <v>@RendyAdithya</v>
      </c>
      <c r="C30804" s="8" t="s">
        <v>7686</v>
      </c>
      <c r="D30804" s="8">
        <v>463</v>
      </c>
      <c r="E30804" s="8">
        <v>0</v>
      </c>
      <c r="F30804" s="8">
        <v>668</v>
      </c>
    </row>
    <row r="30805" spans="1:6" ht="12.75">
      <c r="A30805" s="8">
        <v>43890.712777777779</v>
      </c>
      <c r="B30805" s="8" t="str">
        <f>HYPERLINK("https://twitter.com/Dedi_chaniago84","@Dedi_chaniago84")</f>
        <v>@Dedi_chaniago84</v>
      </c>
      <c r="C30805" s="8" t="s">
        <v>4235</v>
      </c>
      <c r="D30805" s="8">
        <v>1406</v>
      </c>
      <c r="E30805" s="8">
        <v>0</v>
      </c>
      <c r="F30805" s="8">
        <v>928</v>
      </c>
    </row>
    <row r="30806" spans="1:6" ht="12.75">
      <c r="A30806" s="8">
        <v>43890.712638888886</v>
      </c>
      <c r="B30806" s="8" t="str">
        <f>HYPERLINK("https://twitter.com/raurusan_id","@raurusan_id")</f>
        <v>@raurusan_id</v>
      </c>
      <c r="C30806" s="8" t="s">
        <v>11642</v>
      </c>
      <c r="D30806" s="8">
        <v>0</v>
      </c>
      <c r="E30806" s="8">
        <v>0</v>
      </c>
      <c r="F30806" s="8">
        <v>11</v>
      </c>
    </row>
    <row r="30807" spans="1:6" ht="12.75">
      <c r="A30807" s="8">
        <v>43890.712488425925</v>
      </c>
      <c r="B30807" s="8" t="str">
        <f>HYPERLINK("https://twitter.com/Samuja9","@Samuja9")</f>
        <v>@Samuja9</v>
      </c>
      <c r="C30807" s="8" t="s">
        <v>11117</v>
      </c>
      <c r="D30807" s="8">
        <v>66</v>
      </c>
      <c r="E30807" s="8">
        <v>0</v>
      </c>
      <c r="F30807" s="8">
        <v>1232</v>
      </c>
    </row>
    <row r="30808" spans="1:6" ht="12.75">
      <c r="A30808" s="8">
        <v>43890.712488425925</v>
      </c>
      <c r="B30808" s="8" t="str">
        <f>HYPERLINK("https://twitter.com/Jalidin95171080","@Jalidin95171080")</f>
        <v>@Jalidin95171080</v>
      </c>
      <c r="C30808" s="8" t="s">
        <v>7437</v>
      </c>
      <c r="D30808" s="8">
        <v>158</v>
      </c>
      <c r="E30808" s="8">
        <v>0</v>
      </c>
      <c r="F30808" s="8">
        <v>5</v>
      </c>
    </row>
    <row r="30809" spans="1:6" ht="12.75">
      <c r="A30809" s="8">
        <v>43890.712418981479</v>
      </c>
      <c r="B30809" s="8" t="str">
        <f>HYPERLINK("https://twitter.com/NidyoatzyG","@NidyoatzyG")</f>
        <v>@NidyoatzyG</v>
      </c>
      <c r="C30809" s="8" t="s">
        <v>6863</v>
      </c>
      <c r="D30809" s="8">
        <v>339</v>
      </c>
      <c r="E30809" s="8">
        <v>0</v>
      </c>
      <c r="F30809" s="8">
        <v>736</v>
      </c>
    </row>
    <row r="30810" spans="1:6" ht="12.75">
      <c r="A30810" s="8">
        <v>43890.712407407409</v>
      </c>
      <c r="B30810" s="8" t="str">
        <f>HYPERLINK("https://twitter.com/4f07b5140fa24b7","@4f07b5140fa24b7")</f>
        <v>@4f07b5140fa24b7</v>
      </c>
      <c r="C30810" s="8" t="s">
        <v>10961</v>
      </c>
      <c r="D30810" s="8">
        <v>3</v>
      </c>
      <c r="E30810" s="8">
        <v>0</v>
      </c>
      <c r="F30810" s="8">
        <v>2</v>
      </c>
    </row>
    <row r="30811" spans="1:6" ht="12.75">
      <c r="A30811" s="8">
        <v>43890.712256944447</v>
      </c>
      <c r="B30811" s="8" t="str">
        <f>HYPERLINK("https://twitter.com/WiraPrakasa1","@WiraPrakasa1")</f>
        <v>@WiraPrakasa1</v>
      </c>
      <c r="C30811" s="8" t="s">
        <v>11643</v>
      </c>
      <c r="D30811" s="8">
        <v>0</v>
      </c>
      <c r="E30811" s="8">
        <v>0</v>
      </c>
      <c r="F30811" s="8">
        <v>33</v>
      </c>
    </row>
    <row r="30812" spans="1:6" ht="12.75">
      <c r="A30812" s="8">
        <v>43890.712199074071</v>
      </c>
      <c r="B30812" s="8" t="str">
        <f>HYPERLINK("https://twitter.com/iNewsID","@iNewsID")</f>
        <v>@iNewsID</v>
      </c>
      <c r="C30812" s="8" t="s">
        <v>11644</v>
      </c>
      <c r="D30812" s="8">
        <v>0</v>
      </c>
      <c r="E30812" s="8">
        <v>0</v>
      </c>
      <c r="F30812" s="8">
        <v>1346</v>
      </c>
    </row>
    <row r="30813" spans="1:6" ht="12.75">
      <c r="A30813" s="8">
        <v>43890.712152777778</v>
      </c>
      <c r="B30813" s="8" t="str">
        <f>HYPERLINK("https://twitter.com/WartawanPensiun","@WartawanPensiun")</f>
        <v>@WartawanPensiun</v>
      </c>
      <c r="C30813" s="8" t="s">
        <v>11645</v>
      </c>
      <c r="D30813" s="8">
        <v>0</v>
      </c>
      <c r="E30813" s="8">
        <v>1</v>
      </c>
      <c r="F30813" s="8">
        <v>6822</v>
      </c>
    </row>
    <row r="30814" spans="1:6" ht="12.75">
      <c r="A30814" s="8">
        <v>43890.712060185186</v>
      </c>
      <c r="B30814" s="8" t="str">
        <f>HYPERLINK("https://twitter.com/paijowzzzz","@paijowzzzz")</f>
        <v>@paijowzzzz</v>
      </c>
      <c r="C30814" s="8" t="s">
        <v>6883</v>
      </c>
      <c r="D30814" s="8">
        <v>7</v>
      </c>
      <c r="E30814" s="8">
        <v>0</v>
      </c>
      <c r="F30814" s="8">
        <v>648</v>
      </c>
    </row>
    <row r="30815" spans="1:6" ht="12.75">
      <c r="A30815" s="8">
        <v>43890.71193287037</v>
      </c>
      <c r="B30815" s="8" t="str">
        <f>HYPERLINK("https://twitter.com/FaGtng","@FaGtng")</f>
        <v>@FaGtng</v>
      </c>
      <c r="C30815" s="8" t="s">
        <v>11646</v>
      </c>
      <c r="D30815" s="8">
        <v>1</v>
      </c>
      <c r="E30815" s="8">
        <v>0</v>
      </c>
      <c r="F30815" s="8">
        <v>16321</v>
      </c>
    </row>
    <row r="30816" spans="1:6" ht="12.75">
      <c r="A30816" s="8">
        <v>43890.711863425924</v>
      </c>
      <c r="B30816" s="8" t="str">
        <f>HYPERLINK("https://twitter.com/sulaimansyarif6","@sulaimansyarif6")</f>
        <v>@sulaimansyarif6</v>
      </c>
      <c r="C30816" s="8" t="s">
        <v>8321</v>
      </c>
      <c r="D30816" s="8">
        <v>43</v>
      </c>
      <c r="E30816" s="8">
        <v>0</v>
      </c>
      <c r="F30816" s="8">
        <v>94</v>
      </c>
    </row>
    <row r="30817" spans="1:6" ht="12.75">
      <c r="A30817" s="8">
        <v>43890.711851851855</v>
      </c>
      <c r="B30817" s="8" t="str">
        <f>HYPERLINK("https://twitter.com/taufikaboe","@taufikaboe")</f>
        <v>@taufikaboe</v>
      </c>
      <c r="C30817" s="8" t="s">
        <v>8746</v>
      </c>
      <c r="D30817" s="8">
        <v>244</v>
      </c>
      <c r="E30817" s="8">
        <v>0</v>
      </c>
      <c r="F30817" s="8">
        <v>51</v>
      </c>
    </row>
    <row r="30818" spans="1:6" ht="12.75">
      <c r="A30818" s="8">
        <v>43890.711782407408</v>
      </c>
      <c r="B30818" s="8" t="str">
        <f>HYPERLINK("https://twitter.com/muhammadsyakur2","@muhammadsyakur2")</f>
        <v>@muhammadsyakur2</v>
      </c>
      <c r="C30818" s="8" t="s">
        <v>11647</v>
      </c>
      <c r="D30818" s="8">
        <v>0</v>
      </c>
      <c r="E30818" s="8">
        <v>0</v>
      </c>
      <c r="F30818" s="8">
        <v>287</v>
      </c>
    </row>
    <row r="30819" spans="1:6" ht="12.75">
      <c r="A30819" s="8">
        <v>43890.711770833332</v>
      </c>
      <c r="B30819" s="8" t="str">
        <f>HYPERLINK("https://twitter.com/PungPurwanto","@PungPurwanto")</f>
        <v>@PungPurwanto</v>
      </c>
      <c r="C30819" s="8" t="s">
        <v>11648</v>
      </c>
      <c r="D30819" s="8">
        <v>0</v>
      </c>
      <c r="E30819" s="8">
        <v>0</v>
      </c>
      <c r="F30819" s="8">
        <v>642</v>
      </c>
    </row>
    <row r="30820" spans="1:6" ht="12.75">
      <c r="A30820" s="8">
        <v>43890.711527777778</v>
      </c>
      <c r="B30820" s="8" t="str">
        <f>HYPERLINK("https://twitter.com/ronnie_dumbela","@ronnie_dumbela")</f>
        <v>@ronnie_dumbela</v>
      </c>
      <c r="C30820" s="8" t="s">
        <v>11649</v>
      </c>
      <c r="D30820" s="8">
        <v>0</v>
      </c>
      <c r="E30820" s="8">
        <v>0</v>
      </c>
      <c r="F30820" s="8">
        <v>973</v>
      </c>
    </row>
    <row r="30821" spans="1:6" ht="12.75">
      <c r="A30821" s="8">
        <v>43890.711261574077</v>
      </c>
      <c r="B30821" s="8" t="str">
        <f>HYPERLINK("https://twitter.com/Oodhi_tah","@Oodhi_tah")</f>
        <v>@Oodhi_tah</v>
      </c>
      <c r="C30821" s="8" t="s">
        <v>11280</v>
      </c>
      <c r="D30821" s="8">
        <v>14</v>
      </c>
      <c r="E30821" s="8">
        <v>0</v>
      </c>
      <c r="F30821" s="8">
        <v>297</v>
      </c>
    </row>
    <row r="30822" spans="1:6" ht="12.75">
      <c r="A30822" s="8">
        <v>43890.711087962962</v>
      </c>
      <c r="B30822" s="8" t="str">
        <f>HYPERLINK("https://twitter.com/BuReTe_2","@BuReTe_2")</f>
        <v>@BuReTe_2</v>
      </c>
      <c r="C30822" s="8" t="s">
        <v>11650</v>
      </c>
      <c r="D30822" s="8">
        <v>2</v>
      </c>
      <c r="E30822" s="8">
        <v>0</v>
      </c>
      <c r="F30822" s="8">
        <v>1093</v>
      </c>
    </row>
    <row r="30823" spans="1:6" ht="12.75">
      <c r="A30823" s="8">
        <v>43890.710868055554</v>
      </c>
      <c r="B30823" s="8" t="str">
        <f>HYPERLINK("https://twitter.com/alsyawal69","@alsyawal69")</f>
        <v>@alsyawal69</v>
      </c>
      <c r="C30823" s="8" t="s">
        <v>6836</v>
      </c>
      <c r="D30823" s="8">
        <v>412</v>
      </c>
      <c r="E30823" s="8">
        <v>0</v>
      </c>
      <c r="F30823" s="8">
        <v>33</v>
      </c>
    </row>
    <row r="30824" spans="1:6" ht="12.75">
      <c r="A30824" s="8">
        <v>43890.710868055554</v>
      </c>
      <c r="B30824" s="8" t="str">
        <f>HYPERLINK("https://twitter.com/torelwisnu","@torelwisnu")</f>
        <v>@torelwisnu</v>
      </c>
      <c r="C30824" s="8" t="s">
        <v>11651</v>
      </c>
      <c r="D30824" s="8">
        <v>0</v>
      </c>
      <c r="E30824" s="8">
        <v>1</v>
      </c>
      <c r="F30824" s="8">
        <v>1344</v>
      </c>
    </row>
    <row r="30825" spans="1:6" ht="12.75">
      <c r="A30825" s="8">
        <v>43890.710810185185</v>
      </c>
      <c r="B30825" s="8" t="str">
        <f>HYPERLINK("https://twitter.com/wahhabicc_jabar","@wahhabicc_jabar")</f>
        <v>@wahhabicc_jabar</v>
      </c>
      <c r="C30825" s="8" t="s">
        <v>11652</v>
      </c>
      <c r="D30825" s="8">
        <v>1</v>
      </c>
      <c r="E30825" s="8">
        <v>0</v>
      </c>
      <c r="F30825" s="8">
        <v>30760</v>
      </c>
    </row>
    <row r="30826" spans="1:6" ht="12.75">
      <c r="A30826" s="8">
        <v>43890.710648148146</v>
      </c>
      <c r="B30826" s="8" t="str">
        <f>HYPERLINK("https://twitter.com/DcEliana","@DcEliana")</f>
        <v>@DcEliana</v>
      </c>
      <c r="C30826" s="8" t="s">
        <v>7437</v>
      </c>
      <c r="D30826" s="8">
        <v>158</v>
      </c>
      <c r="E30826" s="8">
        <v>0</v>
      </c>
      <c r="F30826" s="8">
        <v>154</v>
      </c>
    </row>
    <row r="30827" spans="1:6" ht="12.75">
      <c r="A30827" s="8">
        <v>43890.710509259261</v>
      </c>
      <c r="B30827" s="8" t="str">
        <f>HYPERLINK("https://twitter.com/NKRI_jaya","@NKRI_jaya")</f>
        <v>@NKRI_jaya</v>
      </c>
      <c r="C30827" s="8" t="s">
        <v>11653</v>
      </c>
      <c r="D30827" s="8">
        <v>7</v>
      </c>
      <c r="E30827" s="8">
        <v>0</v>
      </c>
      <c r="F30827" s="8">
        <v>814</v>
      </c>
    </row>
    <row r="30828" spans="1:6" ht="12.75">
      <c r="A30828" s="8">
        <v>43890.710416666669</v>
      </c>
      <c r="B30828" s="8" t="str">
        <f>HYPERLINK("https://twitter.com/torelwisnu","@torelwisnu")</f>
        <v>@torelwisnu</v>
      </c>
      <c r="C30828" s="8" t="s">
        <v>9163</v>
      </c>
      <c r="D30828" s="8">
        <v>12</v>
      </c>
      <c r="E30828" s="8">
        <v>0</v>
      </c>
      <c r="F30828" s="8">
        <v>1344</v>
      </c>
    </row>
    <row r="30829" spans="1:6" ht="12.75">
      <c r="A30829" s="8">
        <v>43890.710173611107</v>
      </c>
      <c r="B30829" s="8" t="str">
        <f>HYPERLINK("https://twitter.com/AgungSapuk","@AgungSapuk")</f>
        <v>@AgungSapuk</v>
      </c>
      <c r="C30829" s="8" t="s">
        <v>9163</v>
      </c>
      <c r="D30829" s="8">
        <v>12</v>
      </c>
      <c r="E30829" s="8">
        <v>0</v>
      </c>
      <c r="F30829" s="8">
        <v>748</v>
      </c>
    </row>
    <row r="30830" spans="1:6" ht="12.75">
      <c r="A30830" s="8">
        <v>43890.71</v>
      </c>
      <c r="B30830" s="8" t="str">
        <f t="shared" ref="B30830:B30831" si="428">HYPERLINK("https://twitter.com/nandatslnk","@nandatslnk")</f>
        <v>@nandatslnk</v>
      </c>
      <c r="C30830" s="8" t="s">
        <v>11654</v>
      </c>
      <c r="D30830" s="8">
        <v>1</v>
      </c>
      <c r="E30830" s="8">
        <v>0</v>
      </c>
      <c r="F30830" s="8">
        <v>3</v>
      </c>
    </row>
    <row r="30831" spans="1:6" ht="12.75">
      <c r="A30831" s="8">
        <v>43890.709837962961</v>
      </c>
      <c r="B30831" s="8" t="str">
        <f t="shared" si="428"/>
        <v>@nandatslnk</v>
      </c>
      <c r="C30831" s="8" t="s">
        <v>11655</v>
      </c>
      <c r="D30831" s="8">
        <v>0</v>
      </c>
      <c r="E30831" s="8">
        <v>0</v>
      </c>
      <c r="F30831" s="8">
        <v>3</v>
      </c>
    </row>
    <row r="30832" spans="1:6" ht="12.75">
      <c r="A30832" s="8">
        <v>43890.709652777776</v>
      </c>
      <c r="B30832" s="8" t="str">
        <f>HYPERLINK("https://twitter.com/usroh2014","@usroh2014")</f>
        <v>@usroh2014</v>
      </c>
      <c r="C30832" s="8" t="s">
        <v>4235</v>
      </c>
      <c r="D30832" s="8">
        <v>1406</v>
      </c>
      <c r="E30832" s="8">
        <v>0</v>
      </c>
      <c r="F30832" s="8">
        <v>84</v>
      </c>
    </row>
    <row r="30833" spans="1:6" ht="12.75">
      <c r="A30833" s="8">
        <v>43890.70957175926</v>
      </c>
      <c r="B30833" s="8" t="str">
        <f>HYPERLINK("https://twitter.com/izul17732870","@izul17732870")</f>
        <v>@izul17732870</v>
      </c>
      <c r="C30833" s="8" t="s">
        <v>4235</v>
      </c>
      <c r="D30833" s="8">
        <v>1406</v>
      </c>
      <c r="E30833" s="8">
        <v>0</v>
      </c>
      <c r="F30833" s="8">
        <v>170</v>
      </c>
    </row>
    <row r="30834" spans="1:6" ht="12.75">
      <c r="A30834" s="8">
        <v>43890.709537037037</v>
      </c>
      <c r="B30834" s="8" t="str">
        <f>HYPERLINK("https://twitter.com/iNewsID","@iNewsID")</f>
        <v>@iNewsID</v>
      </c>
      <c r="C30834" s="8" t="s">
        <v>11656</v>
      </c>
      <c r="D30834" s="8">
        <v>0</v>
      </c>
      <c r="E30834" s="8">
        <v>0</v>
      </c>
      <c r="F30834" s="8">
        <v>1346</v>
      </c>
    </row>
    <row r="30835" spans="1:6" ht="12.75">
      <c r="A30835" s="8">
        <v>43890.709247685183</v>
      </c>
      <c r="B30835" s="8" t="str">
        <f>HYPERLINK("https://twitter.com/humor_politik_","@humor_politik_")</f>
        <v>@humor_politik_</v>
      </c>
      <c r="C30835" s="8" t="s">
        <v>10755</v>
      </c>
      <c r="D30835" s="8">
        <v>687</v>
      </c>
      <c r="E30835" s="8">
        <v>0</v>
      </c>
      <c r="F30835" s="8">
        <v>662</v>
      </c>
    </row>
    <row r="30836" spans="1:6" ht="12.75">
      <c r="A30836" s="8">
        <v>43890.709201388891</v>
      </c>
      <c r="B30836" s="8" t="str">
        <f>HYPERLINK("https://twitter.com/kemripikkk","@kemripikkk")</f>
        <v>@kemripikkk</v>
      </c>
      <c r="C30836" s="8" t="s">
        <v>11657</v>
      </c>
      <c r="D30836" s="8">
        <v>5</v>
      </c>
      <c r="E30836" s="8">
        <v>0</v>
      </c>
      <c r="F30836" s="8">
        <v>428</v>
      </c>
    </row>
    <row r="30837" spans="1:6" ht="12.75">
      <c r="A30837" s="8">
        <v>43890.709131944444</v>
      </c>
      <c r="B30837" s="8" t="str">
        <f>HYPERLINK("https://twitter.com/wisanggeni_084","@wisanggeni_084")</f>
        <v>@wisanggeni_084</v>
      </c>
      <c r="C30837" s="8" t="s">
        <v>11658</v>
      </c>
      <c r="D30837" s="8">
        <v>1</v>
      </c>
      <c r="E30837" s="8">
        <v>0</v>
      </c>
      <c r="F30837" s="8">
        <v>17055</v>
      </c>
    </row>
    <row r="30838" spans="1:6" ht="12.75">
      <c r="A30838" s="8">
        <v>43890.709016203706</v>
      </c>
      <c r="B30838" s="8" t="str">
        <f>HYPERLINK("https://twitter.com/mnmnur","@mnmnur")</f>
        <v>@mnmnur</v>
      </c>
      <c r="C30838" s="8" t="s">
        <v>11426</v>
      </c>
      <c r="D30838" s="8">
        <v>11</v>
      </c>
      <c r="E30838" s="8">
        <v>0</v>
      </c>
      <c r="F30838" s="8">
        <v>1154</v>
      </c>
    </row>
    <row r="30839" spans="1:6" ht="12.75">
      <c r="A30839" s="8">
        <v>43890.709004629629</v>
      </c>
      <c r="B30839" s="8" t="str">
        <f>HYPERLINK("https://twitter.com/cocacyola","@cocacyola")</f>
        <v>@cocacyola</v>
      </c>
      <c r="C30839" s="8" t="s">
        <v>7437</v>
      </c>
      <c r="D30839" s="8">
        <v>158</v>
      </c>
      <c r="E30839" s="8">
        <v>0</v>
      </c>
      <c r="F30839" s="8">
        <v>412</v>
      </c>
    </row>
    <row r="30840" spans="1:6" ht="12.75">
      <c r="A30840" s="8">
        <v>43890.708587962959</v>
      </c>
      <c r="B30840" s="8" t="str">
        <f>HYPERLINK("https://twitter.com/denysawati","@denysawati")</f>
        <v>@denysawati</v>
      </c>
      <c r="C30840" s="8" t="s">
        <v>6863</v>
      </c>
      <c r="D30840" s="8">
        <v>339</v>
      </c>
      <c r="E30840" s="8">
        <v>0</v>
      </c>
      <c r="F30840" s="8">
        <v>300</v>
      </c>
    </row>
    <row r="30841" spans="1:6" ht="12.75">
      <c r="A30841" s="8">
        <v>43890.708587962959</v>
      </c>
      <c r="B30841" s="8" t="str">
        <f>HYPERLINK("https://twitter.com/cxolls_aljawi","@cxolls_aljawi")</f>
        <v>@cxolls_aljawi</v>
      </c>
      <c r="C30841" s="8" t="s">
        <v>11280</v>
      </c>
      <c r="D30841" s="8">
        <v>14</v>
      </c>
      <c r="E30841" s="8">
        <v>0</v>
      </c>
      <c r="F30841" s="8">
        <v>1922</v>
      </c>
    </row>
    <row r="30842" spans="1:6" ht="12.75">
      <c r="A30842" s="8">
        <v>43890.708344907413</v>
      </c>
      <c r="B30842" s="8" t="str">
        <f>HYPERLINK("https://twitter.com/AniesSubianto","@AniesSubianto")</f>
        <v>@AniesSubianto</v>
      </c>
      <c r="C30842" s="8" t="s">
        <v>11105</v>
      </c>
      <c r="D30842" s="8">
        <v>131</v>
      </c>
      <c r="E30842" s="8">
        <v>0</v>
      </c>
      <c r="F30842" s="8">
        <v>405</v>
      </c>
    </row>
    <row r="30843" spans="1:6" ht="12.75">
      <c r="A30843" s="8">
        <v>43890.708333333328</v>
      </c>
      <c r="B30843" s="8" t="str">
        <f>HYPERLINK("https://twitter.com/MJ_Ampera","@MJ_Ampera")</f>
        <v>@MJ_Ampera</v>
      </c>
      <c r="C30843" s="8" t="s">
        <v>11117</v>
      </c>
      <c r="D30843" s="8">
        <v>66</v>
      </c>
      <c r="E30843" s="8">
        <v>0</v>
      </c>
      <c r="F30843" s="8">
        <v>6036</v>
      </c>
    </row>
    <row r="30844" spans="1:6" ht="12.75">
      <c r="A30844" s="8">
        <v>43890.708321759259</v>
      </c>
      <c r="B30844" s="8" t="str">
        <f>HYPERLINK("https://twitter.com/Romlah2014","@Romlah2014")</f>
        <v>@Romlah2014</v>
      </c>
      <c r="C30844" s="8" t="s">
        <v>11653</v>
      </c>
      <c r="D30844" s="8">
        <v>7</v>
      </c>
      <c r="E30844" s="8">
        <v>0</v>
      </c>
      <c r="F30844" s="8">
        <v>1440</v>
      </c>
    </row>
    <row r="30845" spans="1:6" ht="12.75">
      <c r="A30845" s="8">
        <v>43890.708275462966</v>
      </c>
      <c r="B30845" s="8" t="str">
        <f>HYPERLINK("https://twitter.com/ayyufriska","@ayyufriska")</f>
        <v>@ayyufriska</v>
      </c>
      <c r="C30845" s="8" t="s">
        <v>11659</v>
      </c>
      <c r="D30845" s="8">
        <v>1</v>
      </c>
      <c r="E30845" s="8">
        <v>0</v>
      </c>
      <c r="F30845" s="8">
        <v>15</v>
      </c>
    </row>
    <row r="30846" spans="1:6" ht="12.75">
      <c r="A30846" s="8">
        <v>43890.708136574074</v>
      </c>
      <c r="B30846" s="8" t="str">
        <f>HYPERLINK("https://twitter.com/sigitbudic","@sigitbudic")</f>
        <v>@sigitbudic</v>
      </c>
      <c r="C30846" s="8" t="s">
        <v>11660</v>
      </c>
      <c r="D30846" s="8">
        <v>0</v>
      </c>
      <c r="E30846" s="8">
        <v>0</v>
      </c>
      <c r="F30846" s="8">
        <v>1149</v>
      </c>
    </row>
    <row r="30847" spans="1:6" ht="12.75">
      <c r="A30847" s="8">
        <v>43890.708101851851</v>
      </c>
      <c r="B30847" s="8" t="str">
        <f>HYPERLINK("https://twitter.com/gh293","@gh293")</f>
        <v>@gh293</v>
      </c>
      <c r="C30847" s="8" t="s">
        <v>11332</v>
      </c>
      <c r="D30847" s="8">
        <v>40</v>
      </c>
      <c r="E30847" s="8">
        <v>0</v>
      </c>
      <c r="F30847" s="8">
        <v>128</v>
      </c>
    </row>
    <row r="30848" spans="1:6" ht="12.75">
      <c r="A30848" s="8">
        <v>43890.707997685182</v>
      </c>
      <c r="B30848" s="8" t="str">
        <f>HYPERLINK("https://twitter.com/Dewaruci__","@Dewaruci__")</f>
        <v>@Dewaruci__</v>
      </c>
      <c r="C30848" s="8" t="s">
        <v>11661</v>
      </c>
      <c r="D30848" s="8">
        <v>20</v>
      </c>
      <c r="E30848" s="8">
        <v>0</v>
      </c>
      <c r="F30848" s="8">
        <v>4806</v>
      </c>
    </row>
    <row r="30849" spans="1:6" ht="12.75">
      <c r="A30849" s="8">
        <v>43890.707951388889</v>
      </c>
      <c r="B30849" s="8" t="str">
        <f>HYPERLINK("https://twitter.com/DamaiSelalu86_V","@DamaiSelalu86_V")</f>
        <v>@DamaiSelalu86_V</v>
      </c>
      <c r="C30849" s="8" t="s">
        <v>11662</v>
      </c>
      <c r="D30849" s="8">
        <v>1</v>
      </c>
      <c r="E30849" s="8">
        <v>2</v>
      </c>
      <c r="F30849" s="8">
        <v>1160</v>
      </c>
    </row>
    <row r="30850" spans="1:6" ht="12.75">
      <c r="A30850" s="8">
        <v>43890.707858796297</v>
      </c>
      <c r="B30850" s="8" t="str">
        <f>HYPERLINK("https://twitter.com/MJ_Ampera","@MJ_Ampera")</f>
        <v>@MJ_Ampera</v>
      </c>
      <c r="C30850" s="8" t="s">
        <v>11292</v>
      </c>
      <c r="D30850" s="8">
        <v>46</v>
      </c>
      <c r="E30850" s="8">
        <v>0</v>
      </c>
      <c r="F30850" s="8">
        <v>6036</v>
      </c>
    </row>
    <row r="30851" spans="1:6" ht="12.75">
      <c r="A30851" s="8">
        <v>43890.707777777774</v>
      </c>
      <c r="B30851" s="8" t="str">
        <f>HYPERLINK("https://twitter.com/MdAmer777","@MdAmer777")</f>
        <v>@MdAmer777</v>
      </c>
      <c r="C30851" s="8" t="s">
        <v>11426</v>
      </c>
      <c r="D30851" s="8">
        <v>11</v>
      </c>
      <c r="E30851" s="8">
        <v>0</v>
      </c>
      <c r="F30851" s="8">
        <v>295</v>
      </c>
    </row>
    <row r="30852" spans="1:6" ht="12.75">
      <c r="A30852" s="8">
        <v>43890.707743055551</v>
      </c>
      <c r="B30852" s="8" t="str">
        <f>HYPERLINK("https://twitter.com/XLoandas","@XLoandas")</f>
        <v>@XLoandas</v>
      </c>
      <c r="C30852" s="8" t="s">
        <v>11663</v>
      </c>
      <c r="D30852" s="8">
        <v>0</v>
      </c>
      <c r="E30852" s="8">
        <v>0</v>
      </c>
      <c r="F30852" s="8">
        <v>29</v>
      </c>
    </row>
    <row r="30853" spans="1:6" ht="12.75">
      <c r="A30853" s="8">
        <v>43890.707662037035</v>
      </c>
      <c r="B30853" s="8" t="str">
        <f>HYPERLINK("https://twitter.com/rudysarwa","@rudysarwa")</f>
        <v>@rudysarwa</v>
      </c>
      <c r="C30853" s="8" t="s">
        <v>11664</v>
      </c>
      <c r="D30853" s="8">
        <v>0</v>
      </c>
      <c r="E30853" s="8">
        <v>0</v>
      </c>
      <c r="F30853" s="8">
        <v>1385</v>
      </c>
    </row>
    <row r="30854" spans="1:6" ht="12.75">
      <c r="A30854" s="8">
        <v>43890.707650462966</v>
      </c>
      <c r="B30854" s="8" t="str">
        <f>HYPERLINK("https://twitter.com/Acil11147618","@Acil11147618")</f>
        <v>@Acil11147618</v>
      </c>
      <c r="C30854" s="8" t="s">
        <v>6490</v>
      </c>
      <c r="D30854" s="8">
        <v>239</v>
      </c>
      <c r="E30854" s="8">
        <v>0</v>
      </c>
      <c r="F30854" s="8">
        <v>120</v>
      </c>
    </row>
    <row r="30855" spans="1:6" ht="12.75">
      <c r="A30855" s="8">
        <v>43890.707280092596</v>
      </c>
      <c r="B30855" s="8" t="str">
        <f>HYPERLINK("https://twitter.com/martintambunan","@martintambunan")</f>
        <v>@martintambunan</v>
      </c>
      <c r="C30855" s="8" t="s">
        <v>7437</v>
      </c>
      <c r="D30855" s="8">
        <v>158</v>
      </c>
      <c r="E30855" s="8">
        <v>0</v>
      </c>
      <c r="F30855" s="8">
        <v>657</v>
      </c>
    </row>
    <row r="30856" spans="1:6" ht="12.75">
      <c r="A30856" s="8">
        <v>43890.707233796296</v>
      </c>
      <c r="B30856" s="8" t="str">
        <f>HYPERLINK("https://twitter.com/hadijayanegara","@hadijayanegara")</f>
        <v>@hadijayanegara</v>
      </c>
      <c r="C30856" s="8" t="s">
        <v>4235</v>
      </c>
      <c r="D30856" s="8">
        <v>1406</v>
      </c>
      <c r="E30856" s="8">
        <v>0</v>
      </c>
      <c r="F30856" s="8">
        <v>253</v>
      </c>
    </row>
    <row r="30857" spans="1:6" ht="12.75">
      <c r="A30857" s="8">
        <v>43890.70722222222</v>
      </c>
      <c r="B30857" s="8" t="str">
        <f>HYPERLINK("https://twitter.com/anton_bangka","@anton_bangka")</f>
        <v>@anton_bangka</v>
      </c>
      <c r="C30857" s="8" t="s">
        <v>4235</v>
      </c>
      <c r="D30857" s="8">
        <v>1406</v>
      </c>
      <c r="E30857" s="8">
        <v>0</v>
      </c>
      <c r="F30857" s="8">
        <v>749</v>
      </c>
    </row>
    <row r="30858" spans="1:6" ht="12.75">
      <c r="A30858" s="8">
        <v>43890.707199074073</v>
      </c>
      <c r="B30858" s="8" t="str">
        <f>HYPERLINK("https://twitter.com/zulkiflab","@zulkiflab")</f>
        <v>@zulkiflab</v>
      </c>
      <c r="C30858" s="8" t="s">
        <v>11426</v>
      </c>
      <c r="D30858" s="8">
        <v>11</v>
      </c>
      <c r="E30858" s="8">
        <v>0</v>
      </c>
      <c r="F30858" s="8">
        <v>8090</v>
      </c>
    </row>
    <row r="30859" spans="1:6" ht="12.75">
      <c r="A30859" s="8">
        <v>43890.707187499997</v>
      </c>
      <c r="B30859" s="8" t="str">
        <f>HYPERLINK("https://twitter.com/Dewaruci__","@Dewaruci__")</f>
        <v>@Dewaruci__</v>
      </c>
      <c r="C30859" s="8" t="s">
        <v>11280</v>
      </c>
      <c r="D30859" s="8">
        <v>14</v>
      </c>
      <c r="E30859" s="8">
        <v>0</v>
      </c>
      <c r="F30859" s="8">
        <v>4806</v>
      </c>
    </row>
    <row r="30860" spans="1:6" ht="12.75">
      <c r="A30860" s="8">
        <v>43890.707129629634</v>
      </c>
      <c r="B30860" s="8" t="str">
        <f>HYPERLINK("https://twitter.com/Tq4ryl","@Tq4ryl")</f>
        <v>@Tq4ryl</v>
      </c>
      <c r="C30860" s="8" t="s">
        <v>4235</v>
      </c>
      <c r="D30860" s="8">
        <v>1406</v>
      </c>
      <c r="E30860" s="8">
        <v>0</v>
      </c>
      <c r="F30860" s="8">
        <v>338</v>
      </c>
    </row>
    <row r="30861" spans="1:6" ht="12.75">
      <c r="A30861" s="8">
        <v>43890.706817129627</v>
      </c>
      <c r="B30861" s="8" t="str">
        <f>HYPERLINK("https://twitter.com/ujay90","@ujay90")</f>
        <v>@ujay90</v>
      </c>
      <c r="C30861" s="8" t="s">
        <v>11280</v>
      </c>
      <c r="D30861" s="8">
        <v>14</v>
      </c>
      <c r="E30861" s="8">
        <v>0</v>
      </c>
      <c r="F30861" s="8">
        <v>74</v>
      </c>
    </row>
    <row r="30862" spans="1:6" ht="12.75">
      <c r="A30862" s="8">
        <v>43890.706759259258</v>
      </c>
      <c r="B30862" s="8" t="str">
        <f>HYPERLINK("https://twitter.com/mudha_satriya","@mudha_satriya")</f>
        <v>@mudha_satriya</v>
      </c>
      <c r="C30862" s="8" t="s">
        <v>11665</v>
      </c>
      <c r="D30862" s="8">
        <v>1</v>
      </c>
      <c r="E30862" s="8">
        <v>0</v>
      </c>
      <c r="F30862" s="8">
        <v>1878</v>
      </c>
    </row>
    <row r="30863" spans="1:6" ht="12.75">
      <c r="A30863" s="8">
        <v>43890.706365740742</v>
      </c>
      <c r="B30863" s="8" t="str">
        <f>HYPERLINK("https://twitter.com/papariza","@papariza")</f>
        <v>@papariza</v>
      </c>
      <c r="C30863" s="8" t="s">
        <v>7437</v>
      </c>
      <c r="D30863" s="8">
        <v>158</v>
      </c>
      <c r="E30863" s="8">
        <v>0</v>
      </c>
      <c r="F30863" s="8">
        <v>2195</v>
      </c>
    </row>
    <row r="30864" spans="1:6" ht="12.75">
      <c r="A30864" s="8">
        <v>43890.706331018519</v>
      </c>
      <c r="B30864" s="8" t="str">
        <f>HYPERLINK("https://twitter.com/ThywiWienwien","@ThywiWienwien")</f>
        <v>@ThywiWienwien</v>
      </c>
      <c r="C30864" s="8" t="s">
        <v>11105</v>
      </c>
      <c r="D30864" s="8">
        <v>131</v>
      </c>
      <c r="E30864" s="8">
        <v>0</v>
      </c>
      <c r="F30864" s="8">
        <v>111</v>
      </c>
    </row>
    <row r="30865" spans="1:6" ht="12.75">
      <c r="A30865" s="8">
        <v>43890.706307870365</v>
      </c>
      <c r="B30865" s="8" t="str">
        <f>HYPERLINK("https://twitter.com/05panji2","@05panji2")</f>
        <v>@05panji2</v>
      </c>
      <c r="C30865" s="8" t="s">
        <v>11666</v>
      </c>
      <c r="D30865" s="8">
        <v>1</v>
      </c>
      <c r="E30865" s="8">
        <v>0</v>
      </c>
      <c r="F30865" s="8">
        <v>434</v>
      </c>
    </row>
    <row r="30866" spans="1:6" ht="12.75">
      <c r="A30866" s="8">
        <v>43890.706273148149</v>
      </c>
      <c r="B30866" s="8" t="str">
        <f>HYPERLINK("https://twitter.com/gonkcil","@gonkcil")</f>
        <v>@gonkcil</v>
      </c>
      <c r="C30866" s="8" t="s">
        <v>11430</v>
      </c>
      <c r="D30866" s="8">
        <v>6</v>
      </c>
      <c r="E30866" s="8">
        <v>0</v>
      </c>
      <c r="F30866" s="8">
        <v>148</v>
      </c>
    </row>
    <row r="30867" spans="1:6" ht="12.75">
      <c r="A30867" s="8">
        <v>43890.70612268518</v>
      </c>
      <c r="B30867" s="8" t="str">
        <f>HYPERLINK("https://twitter.com/nosa_her","@nosa_her")</f>
        <v>@nosa_her</v>
      </c>
      <c r="C30867" s="8" t="s">
        <v>11105</v>
      </c>
      <c r="D30867" s="8">
        <v>131</v>
      </c>
      <c r="E30867" s="8">
        <v>0</v>
      </c>
      <c r="F30867" s="8">
        <v>481</v>
      </c>
    </row>
    <row r="30868" spans="1:6" ht="12.75">
      <c r="A30868" s="8">
        <v>43890.706041666665</v>
      </c>
      <c r="B30868" s="8" t="str">
        <f>HYPERLINK("https://twitter.com/MarkFiq_","@MarkFiq_")</f>
        <v>@MarkFiq_</v>
      </c>
      <c r="C30868" s="8" t="s">
        <v>11426</v>
      </c>
      <c r="D30868" s="8">
        <v>11</v>
      </c>
      <c r="E30868" s="8">
        <v>0</v>
      </c>
      <c r="F30868" s="8">
        <v>1158</v>
      </c>
    </row>
    <row r="30869" spans="1:6" ht="12.75">
      <c r="A30869" s="8">
        <v>43890.705995370372</v>
      </c>
      <c r="B30869" s="8" t="str">
        <f>HYPERLINK("https://twitter.com/masagusmaarif","@masagusmaarif")</f>
        <v>@masagusmaarif</v>
      </c>
      <c r="C30869" s="8" t="s">
        <v>6708</v>
      </c>
      <c r="D30869" s="8">
        <v>26</v>
      </c>
      <c r="E30869" s="8">
        <v>0</v>
      </c>
      <c r="F30869" s="8">
        <v>52</v>
      </c>
    </row>
    <row r="30870" spans="1:6" ht="12.75">
      <c r="A30870" s="8">
        <v>43890.705914351856</v>
      </c>
      <c r="B30870" s="8" t="str">
        <f>HYPERLINK("https://twitter.com/nukiukiu","@nukiukiu")</f>
        <v>@nukiukiu</v>
      </c>
      <c r="C30870" s="8" t="s">
        <v>11667</v>
      </c>
      <c r="D30870" s="8">
        <v>0</v>
      </c>
      <c r="E30870" s="8">
        <v>0</v>
      </c>
      <c r="F30870" s="8">
        <v>20</v>
      </c>
    </row>
    <row r="30871" spans="1:6" ht="12.75">
      <c r="A30871" s="8">
        <v>43890.705625000002</v>
      </c>
      <c r="B30871" s="8" t="str">
        <f>HYPERLINK("https://twitter.com/grrryfndoor","@grrryfndoor")</f>
        <v>@grrryfndoor</v>
      </c>
      <c r="C30871" s="8" t="s">
        <v>11134</v>
      </c>
      <c r="D30871" s="8">
        <v>9</v>
      </c>
      <c r="E30871" s="8">
        <v>0</v>
      </c>
      <c r="F30871" s="8">
        <v>54</v>
      </c>
    </row>
    <row r="30872" spans="1:6" ht="12.75">
      <c r="A30872" s="8">
        <v>43890.705462962964</v>
      </c>
      <c r="B30872" s="8" t="str">
        <f>HYPERLINK("https://twitter.com/badjoypratama","@badjoypratama")</f>
        <v>@badjoypratama</v>
      </c>
      <c r="C30872" s="8" t="s">
        <v>11155</v>
      </c>
      <c r="D30872" s="8">
        <v>14</v>
      </c>
      <c r="E30872" s="8">
        <v>0</v>
      </c>
      <c r="F30872" s="8">
        <v>843</v>
      </c>
    </row>
    <row r="30873" spans="1:6" ht="12.75">
      <c r="A30873" s="8">
        <v>43890.705324074079</v>
      </c>
      <c r="B30873" s="8" t="str">
        <f>HYPERLINK("https://twitter.com/didie_soeharto","@didie_soeharto")</f>
        <v>@didie_soeharto</v>
      </c>
      <c r="C30873" s="8" t="s">
        <v>11668</v>
      </c>
      <c r="D30873" s="8">
        <v>0</v>
      </c>
      <c r="E30873" s="8">
        <v>1</v>
      </c>
      <c r="F30873" s="8">
        <v>1231</v>
      </c>
    </row>
    <row r="30874" spans="1:6" ht="12.75">
      <c r="A30874" s="8">
        <v>43890.705231481479</v>
      </c>
      <c r="B30874" s="8" t="str">
        <f>HYPERLINK("https://twitter.com/Malahay48802284","@Malahay48802284")</f>
        <v>@Malahay48802284</v>
      </c>
      <c r="C30874" s="8" t="s">
        <v>11669</v>
      </c>
      <c r="D30874" s="8">
        <v>0</v>
      </c>
      <c r="E30874" s="8">
        <v>0</v>
      </c>
      <c r="F30874" s="8">
        <v>47</v>
      </c>
    </row>
    <row r="30875" spans="1:6" ht="12.75">
      <c r="A30875" s="8">
        <v>43890.705185185187</v>
      </c>
      <c r="B30875" s="8" t="str">
        <f>HYPERLINK("https://twitter.com/luciferxy","@luciferxy")</f>
        <v>@luciferxy</v>
      </c>
      <c r="C30875" s="8" t="s">
        <v>11670</v>
      </c>
      <c r="D30875" s="8">
        <v>6</v>
      </c>
      <c r="E30875" s="8">
        <v>0</v>
      </c>
      <c r="F30875" s="8">
        <v>41</v>
      </c>
    </row>
    <row r="30876" spans="1:6" ht="12.75">
      <c r="A30876" s="8">
        <v>43890.704988425925</v>
      </c>
      <c r="B30876" s="8" t="str">
        <f>HYPERLINK("https://twitter.com/PowerAbsorption","@PowerAbsorption")</f>
        <v>@PowerAbsorption</v>
      </c>
      <c r="C30876" s="8" t="s">
        <v>11671</v>
      </c>
      <c r="D30876" s="8">
        <v>0</v>
      </c>
      <c r="E30876" s="8">
        <v>2</v>
      </c>
      <c r="F30876" s="8">
        <v>27196</v>
      </c>
    </row>
    <row r="30877" spans="1:6" ht="12.75">
      <c r="A30877" s="8">
        <v>43890.704733796301</v>
      </c>
      <c r="B30877" s="8" t="str">
        <f>HYPERLINK("https://twitter.com/Ari3Pras","@Ari3Pras")</f>
        <v>@Ari3Pras</v>
      </c>
      <c r="C30877" s="8" t="s">
        <v>10986</v>
      </c>
      <c r="D30877" s="8">
        <v>6</v>
      </c>
      <c r="E30877" s="8">
        <v>0</v>
      </c>
      <c r="F30877" s="8">
        <v>7592</v>
      </c>
    </row>
    <row r="30878" spans="1:6" ht="12.75">
      <c r="A30878" s="8">
        <v>43890.704675925925</v>
      </c>
      <c r="B30878" s="8" t="str">
        <f>HYPERLINK("https://twitter.com/bersatulahnkri","@bersatulahnkri")</f>
        <v>@bersatulahnkri</v>
      </c>
      <c r="C30878" s="8" t="s">
        <v>11075</v>
      </c>
      <c r="D30878" s="8">
        <v>52</v>
      </c>
      <c r="E30878" s="8">
        <v>0</v>
      </c>
      <c r="F30878" s="8">
        <v>2038</v>
      </c>
    </row>
    <row r="30879" spans="1:6" ht="12.75">
      <c r="A30879" s="8">
        <v>43890.704629629632</v>
      </c>
      <c r="B30879" s="8" t="str">
        <f>HYPERLINK("https://twitter.com/anisajayanti_","@anisajayanti_")</f>
        <v>@anisajayanti_</v>
      </c>
      <c r="C30879" s="8" t="s">
        <v>11672</v>
      </c>
      <c r="D30879" s="8">
        <v>0</v>
      </c>
      <c r="E30879" s="8">
        <v>0</v>
      </c>
      <c r="F30879" s="8">
        <v>286</v>
      </c>
    </row>
    <row r="30880" spans="1:6" ht="12.75">
      <c r="A30880" s="8">
        <v>43890.704386574071</v>
      </c>
      <c r="B30880" s="8" t="str">
        <f>HYPERLINK("https://twitter.com/sla__met","@sla__met")</f>
        <v>@sla__met</v>
      </c>
      <c r="C30880" s="8" t="s">
        <v>10986</v>
      </c>
      <c r="D30880" s="8">
        <v>6</v>
      </c>
      <c r="E30880" s="8">
        <v>0</v>
      </c>
      <c r="F30880" s="8">
        <v>37</v>
      </c>
    </row>
    <row r="30881" spans="1:6" ht="12.75">
      <c r="A30881" s="8">
        <v>43890.704386574071</v>
      </c>
      <c r="B30881" s="8" t="str">
        <f>HYPERLINK("https://twitter.com/TombolSi","@TombolSi")</f>
        <v>@TombolSi</v>
      </c>
      <c r="C30881" s="8" t="s">
        <v>7437</v>
      </c>
      <c r="D30881" s="8">
        <v>158</v>
      </c>
      <c r="E30881" s="8">
        <v>0</v>
      </c>
      <c r="F30881" s="8">
        <v>58</v>
      </c>
    </row>
    <row r="30882" spans="1:6" ht="12.75">
      <c r="A30882" s="8">
        <v>43890.704340277778</v>
      </c>
      <c r="B30882" s="8" t="str">
        <f>HYPERLINK("https://twitter.com/AdamRaventio","@AdamRaventio")</f>
        <v>@AdamRaventio</v>
      </c>
      <c r="C30882" s="8" t="s">
        <v>11673</v>
      </c>
      <c r="D30882" s="8">
        <v>0</v>
      </c>
      <c r="E30882" s="8">
        <v>0</v>
      </c>
      <c r="F30882" s="8">
        <v>153</v>
      </c>
    </row>
    <row r="30883" spans="1:6" ht="12.75">
      <c r="A30883" s="8">
        <v>43890.704293981486</v>
      </c>
      <c r="B30883" s="8" t="str">
        <f>HYPERLINK("https://twitter.com/witantochand","@witantochand")</f>
        <v>@witantochand</v>
      </c>
      <c r="C30883" s="8" t="s">
        <v>11674</v>
      </c>
      <c r="D30883" s="8">
        <v>1</v>
      </c>
      <c r="E30883" s="8">
        <v>2</v>
      </c>
      <c r="F30883" s="8">
        <v>61</v>
      </c>
    </row>
    <row r="30884" spans="1:6" ht="12.75">
      <c r="A30884" s="8">
        <v>43890.704166666663</v>
      </c>
      <c r="B30884" s="8" t="str">
        <f>HYPERLINK("https://twitter.com/WAbedego","@WAbedego")</f>
        <v>@WAbedego</v>
      </c>
      <c r="C30884" s="8" t="s">
        <v>7437</v>
      </c>
      <c r="D30884" s="8">
        <v>158</v>
      </c>
      <c r="E30884" s="8">
        <v>0</v>
      </c>
      <c r="F30884" s="8">
        <v>972</v>
      </c>
    </row>
    <row r="30885" spans="1:6" ht="12.75">
      <c r="A30885" s="8">
        <v>43890.704039351855</v>
      </c>
      <c r="B30885" s="8" t="str">
        <f>HYPERLINK("https://twitter.com/Nduk_Ria9","@Nduk_Ria9")</f>
        <v>@Nduk_Ria9</v>
      </c>
      <c r="C30885" s="8" t="s">
        <v>11675</v>
      </c>
      <c r="D30885" s="8">
        <v>0</v>
      </c>
      <c r="E30885" s="8">
        <v>0</v>
      </c>
      <c r="F30885" s="8">
        <v>433</v>
      </c>
    </row>
    <row r="30886" spans="1:6" ht="12.75">
      <c r="A30886" s="8">
        <v>43890.673472222217</v>
      </c>
      <c r="B30886" s="8" t="str">
        <f>HYPERLINK("https://twitter.com/LiPatLiPatt","@LiPatLiPatt")</f>
        <v>@LiPatLiPatt</v>
      </c>
      <c r="C30886" s="8" t="s">
        <v>11676</v>
      </c>
      <c r="D30886" s="8">
        <v>0</v>
      </c>
      <c r="E30886" s="8">
        <v>0</v>
      </c>
      <c r="F30886" s="8">
        <v>18</v>
      </c>
    </row>
    <row r="30887" spans="1:6" ht="12.75">
      <c r="A30887" s="8">
        <v>43890.673402777778</v>
      </c>
      <c r="B30887" s="8" t="str">
        <f>HYPERLINK("https://twitter.com/tjahtngina","@tjahtngina")</f>
        <v>@tjahtngina</v>
      </c>
      <c r="C30887" s="8" t="s">
        <v>11273</v>
      </c>
      <c r="D30887" s="8">
        <v>19</v>
      </c>
      <c r="E30887" s="8">
        <v>0</v>
      </c>
      <c r="F30887" s="8">
        <v>371</v>
      </c>
    </row>
    <row r="30888" spans="1:6" ht="12.75">
      <c r="A30888" s="8">
        <v>43890.673333333332</v>
      </c>
      <c r="B30888" s="8" t="str">
        <f>HYPERLINK("https://twitter.com/bitvestasi","@bitvestasi")</f>
        <v>@bitvestasi</v>
      </c>
      <c r="C30888" s="8" t="s">
        <v>11677</v>
      </c>
      <c r="D30888" s="8">
        <v>0</v>
      </c>
      <c r="E30888" s="8">
        <v>0</v>
      </c>
      <c r="F30888" s="8">
        <v>538</v>
      </c>
    </row>
    <row r="30889" spans="1:6" ht="12.75">
      <c r="A30889" s="8">
        <v>43890.673287037032</v>
      </c>
      <c r="B30889" s="8" t="str">
        <f>HYPERLINK("https://twitter.com/veraagustian_","@veraagustian_")</f>
        <v>@veraagustian_</v>
      </c>
      <c r="C30889" s="8" t="s">
        <v>11678</v>
      </c>
      <c r="D30889" s="8">
        <v>0</v>
      </c>
      <c r="E30889" s="8">
        <v>0</v>
      </c>
      <c r="F30889" s="8">
        <v>3216</v>
      </c>
    </row>
    <row r="30890" spans="1:6" ht="12.75">
      <c r="A30890" s="8">
        <v>43890.672997685186</v>
      </c>
      <c r="B30890" s="8" t="str">
        <f>HYPERLINK("https://twitter.com/Asep19721","@Asep19721")</f>
        <v>@Asep19721</v>
      </c>
      <c r="C30890" s="8" t="s">
        <v>11650</v>
      </c>
      <c r="D30890" s="8">
        <v>1</v>
      </c>
      <c r="E30890" s="8">
        <v>0</v>
      </c>
      <c r="F30890" s="8">
        <v>163</v>
      </c>
    </row>
    <row r="30891" spans="1:6" ht="12.75">
      <c r="A30891" s="8">
        <v>43890.672962962963</v>
      </c>
      <c r="B30891" s="8" t="str">
        <f>HYPERLINK("https://twitter.com/adhezamzam123","@adhezamzam123")</f>
        <v>@adhezamzam123</v>
      </c>
      <c r="C30891" s="8" t="s">
        <v>7437</v>
      </c>
      <c r="D30891" s="8">
        <v>135</v>
      </c>
      <c r="E30891" s="8">
        <v>0</v>
      </c>
      <c r="F30891" s="8">
        <v>79</v>
      </c>
    </row>
    <row r="30892" spans="1:6" ht="12.75">
      <c r="A30892" s="8">
        <v>43890.672939814816</v>
      </c>
      <c r="B30892" s="8" t="str">
        <f>HYPERLINK("https://twitter.com/shfqhlmi","@shfqhlmi")</f>
        <v>@shfqhlmi</v>
      </c>
      <c r="C30892" s="8" t="s">
        <v>11679</v>
      </c>
      <c r="D30892" s="8">
        <v>0</v>
      </c>
      <c r="E30892" s="8">
        <v>0</v>
      </c>
      <c r="F30892" s="8">
        <v>1182</v>
      </c>
    </row>
    <row r="30893" spans="1:6" ht="12.75">
      <c r="A30893" s="8">
        <v>43890.672939814816</v>
      </c>
      <c r="B30893" s="8" t="str">
        <f>HYPERLINK("https://twitter.com/beatrice_health","@beatrice_health")</f>
        <v>@beatrice_health</v>
      </c>
      <c r="C30893" s="8" t="s">
        <v>11680</v>
      </c>
      <c r="D30893" s="8">
        <v>2</v>
      </c>
      <c r="E30893" s="8">
        <v>0</v>
      </c>
      <c r="F30893" s="8">
        <v>440</v>
      </c>
    </row>
    <row r="30894" spans="1:6" ht="12.75">
      <c r="A30894" s="8">
        <v>43890.672916666663</v>
      </c>
      <c r="B30894" s="8" t="str">
        <f>HYPERLINK("https://twitter.com/rinichan02","@rinichan02")</f>
        <v>@rinichan02</v>
      </c>
      <c r="C30894" s="8" t="s">
        <v>11680</v>
      </c>
      <c r="D30894" s="8">
        <v>2</v>
      </c>
      <c r="E30894" s="8">
        <v>0</v>
      </c>
      <c r="F30894" s="8">
        <v>2857</v>
      </c>
    </row>
    <row r="30895" spans="1:6" ht="12.75">
      <c r="A30895" s="8">
        <v>43890.672824074078</v>
      </c>
      <c r="B30895" s="8" t="str">
        <f>HYPERLINK("https://twitter.com/anunganinditaaa","@anunganinditaaa")</f>
        <v>@anunganinditaaa</v>
      </c>
      <c r="C30895" s="8" t="s">
        <v>11681</v>
      </c>
      <c r="D30895" s="8">
        <v>0</v>
      </c>
      <c r="E30895" s="8">
        <v>0</v>
      </c>
      <c r="F30895" s="8">
        <v>507</v>
      </c>
    </row>
    <row r="30896" spans="1:6" ht="12.75">
      <c r="A30896" s="8">
        <v>43890.672754629632</v>
      </c>
      <c r="B30896" s="8" t="str">
        <f>HYPERLINK("https://twitter.com/asundamai","@asundamai")</f>
        <v>@asundamai</v>
      </c>
      <c r="C30896" s="8" t="s">
        <v>11105</v>
      </c>
      <c r="D30896" s="8">
        <v>115</v>
      </c>
      <c r="E30896" s="8">
        <v>0</v>
      </c>
      <c r="F30896" s="8">
        <v>1907</v>
      </c>
    </row>
    <row r="30897" spans="1:6" ht="12.75">
      <c r="A30897" s="8">
        <v>43890.672384259262</v>
      </c>
      <c r="B30897" s="8" t="str">
        <f>HYPERLINK("https://twitter.com/fajaralam9","@fajaralam9")</f>
        <v>@fajaralam9</v>
      </c>
      <c r="C30897" s="8" t="s">
        <v>11682</v>
      </c>
      <c r="D30897" s="8">
        <v>0</v>
      </c>
      <c r="E30897" s="8">
        <v>0</v>
      </c>
      <c r="F30897" s="8">
        <v>1963</v>
      </c>
    </row>
    <row r="30898" spans="1:6" ht="12.75">
      <c r="A30898" s="8">
        <v>43890.672268518523</v>
      </c>
      <c r="B30898" s="8" t="str">
        <f>HYPERLINK("https://twitter.com/luidarryl","@luidarryl")</f>
        <v>@luidarryl</v>
      </c>
      <c r="C30898" s="8" t="s">
        <v>6883</v>
      </c>
      <c r="D30898" s="8">
        <v>4</v>
      </c>
      <c r="E30898" s="8">
        <v>0</v>
      </c>
      <c r="F30898" s="8">
        <v>23</v>
      </c>
    </row>
    <row r="30899" spans="1:6" ht="12.75">
      <c r="A30899" s="8">
        <v>43890.672129629631</v>
      </c>
      <c r="B30899" s="8" t="str">
        <f>HYPERLINK("https://twitter.com/Mr_Combro_Bro","@Mr_Combro_Bro")</f>
        <v>@Mr_Combro_Bro</v>
      </c>
      <c r="C30899" s="8" t="s">
        <v>7437</v>
      </c>
      <c r="D30899" s="8">
        <v>135</v>
      </c>
      <c r="E30899" s="8">
        <v>0</v>
      </c>
      <c r="F30899" s="8">
        <v>9</v>
      </c>
    </row>
    <row r="30900" spans="1:6" ht="12.75">
      <c r="A30900" s="8">
        <v>43890.672118055554</v>
      </c>
      <c r="B30900" s="8" t="str">
        <f>HYPERLINK("https://twitter.com/Albertsantoso7","@Albertsantoso7")</f>
        <v>@Albertsantoso7</v>
      </c>
      <c r="C30900" s="8" t="s">
        <v>11105</v>
      </c>
      <c r="D30900" s="8">
        <v>115</v>
      </c>
      <c r="E30900" s="8">
        <v>0</v>
      </c>
      <c r="F30900" s="8">
        <v>61</v>
      </c>
    </row>
    <row r="30901" spans="1:6" ht="12.75">
      <c r="A30901" s="8">
        <v>43890.672060185185</v>
      </c>
      <c r="B30901" s="8" t="str">
        <f>HYPERLINK("https://twitter.com/kenhans03","@kenhans03")</f>
        <v>@kenhans03</v>
      </c>
      <c r="C30901" s="8" t="s">
        <v>11683</v>
      </c>
      <c r="D30901" s="8">
        <v>0</v>
      </c>
      <c r="E30901" s="8">
        <v>2</v>
      </c>
      <c r="F30901" s="8">
        <v>3135</v>
      </c>
    </row>
    <row r="30902" spans="1:6" ht="12.75">
      <c r="A30902" s="8">
        <v>43890.671921296293</v>
      </c>
      <c r="B30902" s="8" t="str">
        <f>HYPERLINK("https://twitter.com/asundamai","@asundamai")</f>
        <v>@asundamai</v>
      </c>
      <c r="C30902" s="8" t="s">
        <v>11280</v>
      </c>
      <c r="D30902" s="8">
        <v>6</v>
      </c>
      <c r="E30902" s="8">
        <v>0</v>
      </c>
      <c r="F30902" s="8">
        <v>1907</v>
      </c>
    </row>
    <row r="30903" spans="1:6" ht="12.75">
      <c r="A30903" s="8">
        <v>43890.671817129631</v>
      </c>
      <c r="B30903" s="8" t="str">
        <f>HYPERLINK("https://twitter.com/ZaharaPYT","@ZaharaPYT")</f>
        <v>@ZaharaPYT</v>
      </c>
      <c r="C30903" s="8" t="s">
        <v>11663</v>
      </c>
      <c r="D30903" s="8">
        <v>0</v>
      </c>
      <c r="E30903" s="8">
        <v>0</v>
      </c>
      <c r="F30903" s="8">
        <v>59</v>
      </c>
    </row>
    <row r="30904" spans="1:6" ht="12.75">
      <c r="A30904" s="8">
        <v>43890.671805555554</v>
      </c>
      <c r="B30904" s="8" t="str">
        <f>HYPERLINK("https://twitter.com/bagusnitinegara","@bagusnitinegara")</f>
        <v>@bagusnitinegara</v>
      </c>
      <c r="C30904" s="8" t="s">
        <v>6708</v>
      </c>
      <c r="D30904" s="8">
        <v>23</v>
      </c>
      <c r="E30904" s="8">
        <v>0</v>
      </c>
      <c r="F30904" s="8">
        <v>383</v>
      </c>
    </row>
    <row r="30905" spans="1:6" ht="12.75">
      <c r="A30905" s="8">
        <v>43890.671793981484</v>
      </c>
      <c r="B30905" s="8" t="str">
        <f>HYPERLINK("https://twitter.com/Brillin8","@Brillin8")</f>
        <v>@Brillin8</v>
      </c>
      <c r="C30905" s="8" t="s">
        <v>10755</v>
      </c>
      <c r="D30905" s="8">
        <v>681</v>
      </c>
      <c r="E30905" s="8">
        <v>0</v>
      </c>
      <c r="F30905" s="8">
        <v>5</v>
      </c>
    </row>
    <row r="30906" spans="1:6" ht="12.75">
      <c r="A30906" s="8">
        <v>43890.671712962961</v>
      </c>
      <c r="B30906" s="8" t="str">
        <f>HYPERLINK("https://twitter.com/worosyifa","@worosyifa")</f>
        <v>@worosyifa</v>
      </c>
      <c r="C30906" s="8" t="s">
        <v>11684</v>
      </c>
      <c r="D30906" s="8">
        <v>1</v>
      </c>
      <c r="E30906" s="8">
        <v>0</v>
      </c>
      <c r="F30906" s="8">
        <v>384</v>
      </c>
    </row>
    <row r="30907" spans="1:6" ht="12.75">
      <c r="A30907" s="8">
        <v>43890.671712962961</v>
      </c>
      <c r="B30907" s="8" t="str">
        <f>HYPERLINK("https://twitter.com/loeysoo97","@loeysoo97")</f>
        <v>@loeysoo97</v>
      </c>
      <c r="C30907" s="8" t="s">
        <v>11685</v>
      </c>
      <c r="D30907" s="8">
        <v>0</v>
      </c>
      <c r="E30907" s="8">
        <v>0</v>
      </c>
      <c r="F30907" s="8">
        <v>1018</v>
      </c>
    </row>
    <row r="30908" spans="1:6" ht="12.75">
      <c r="A30908" s="8">
        <v>43890.6716087963</v>
      </c>
      <c r="B30908" s="8" t="str">
        <f>HYPERLINK("https://twitter.com/yoiwkarin","@yoiwkarin")</f>
        <v>@yoiwkarin</v>
      </c>
      <c r="C30908" s="8" t="s">
        <v>11686</v>
      </c>
      <c r="D30908" s="8">
        <v>0</v>
      </c>
      <c r="E30908" s="8">
        <v>0</v>
      </c>
      <c r="F30908" s="8">
        <v>5</v>
      </c>
    </row>
    <row r="30909" spans="1:6" ht="12.75">
      <c r="A30909" s="8">
        <v>43890.671377314815</v>
      </c>
      <c r="B30909" s="8" t="str">
        <f>HYPERLINK("https://twitter.com/Hex_Black_Jhex","@Hex_Black_Jhex")</f>
        <v>@Hex_Black_Jhex</v>
      </c>
      <c r="C30909" s="8" t="s">
        <v>6836</v>
      </c>
      <c r="D30909" s="8">
        <v>396</v>
      </c>
      <c r="E30909" s="8">
        <v>0</v>
      </c>
      <c r="F30909" s="8">
        <v>1742</v>
      </c>
    </row>
    <row r="30910" spans="1:6" ht="12.75">
      <c r="A30910" s="8">
        <v>43890.671342592592</v>
      </c>
      <c r="B30910" s="8" t="str">
        <f>HYPERLINK("https://twitter.com/Gregorius99JP","@Gregorius99JP")</f>
        <v>@Gregorius99JP</v>
      </c>
      <c r="C30910" s="8" t="s">
        <v>6883</v>
      </c>
      <c r="D30910" s="8">
        <v>4</v>
      </c>
      <c r="E30910" s="8">
        <v>0</v>
      </c>
      <c r="F30910" s="8">
        <v>435</v>
      </c>
    </row>
    <row r="30911" spans="1:6" ht="12.75">
      <c r="A30911" s="8">
        <v>43890.671319444446</v>
      </c>
      <c r="B30911" s="8" t="str">
        <f>HYPERLINK("https://twitter.com/ellagabriell","@ellagabriell")</f>
        <v>@ellagabriell</v>
      </c>
      <c r="C30911" s="8" t="s">
        <v>7686</v>
      </c>
      <c r="D30911" s="8">
        <v>414</v>
      </c>
      <c r="E30911" s="8">
        <v>0</v>
      </c>
      <c r="F30911" s="8">
        <v>198</v>
      </c>
    </row>
    <row r="30912" spans="1:6" ht="12.75">
      <c r="A30912" s="8">
        <v>43890.67123842593</v>
      </c>
      <c r="B30912" s="8" t="str">
        <f>HYPERLINK("https://twitter.com/KORBAN_A1","@KORBAN_A1")</f>
        <v>@KORBAN_A1</v>
      </c>
      <c r="C30912" s="8" t="s">
        <v>4235</v>
      </c>
      <c r="D30912" s="8">
        <v>1374</v>
      </c>
      <c r="E30912" s="8">
        <v>0</v>
      </c>
      <c r="F30912" s="8">
        <v>189</v>
      </c>
    </row>
    <row r="30913" spans="1:6" ht="12.75">
      <c r="A30913" s="8">
        <v>43890.67123842593</v>
      </c>
      <c r="B30913" s="8" t="str">
        <f>HYPERLINK("https://twitter.com/M4DI8","@M4DI8")</f>
        <v>@M4DI8</v>
      </c>
      <c r="C30913" s="8" t="s">
        <v>11687</v>
      </c>
      <c r="D30913" s="8">
        <v>6</v>
      </c>
      <c r="E30913" s="8">
        <v>0</v>
      </c>
      <c r="F30913" s="8">
        <v>442</v>
      </c>
    </row>
    <row r="30914" spans="1:6" ht="12.75">
      <c r="A30914" s="8">
        <v>43890.671157407407</v>
      </c>
      <c r="B30914" s="8" t="str">
        <f>HYPERLINK("https://twitter.com/yumikhohane","@yumikhohane")</f>
        <v>@yumikhohane</v>
      </c>
      <c r="C30914" s="8" t="s">
        <v>6883</v>
      </c>
      <c r="D30914" s="8">
        <v>4</v>
      </c>
      <c r="E30914" s="8">
        <v>0</v>
      </c>
      <c r="F30914" s="8">
        <v>26</v>
      </c>
    </row>
    <row r="30915" spans="1:6" ht="12.75">
      <c r="A30915" s="8">
        <v>43890.671087962968</v>
      </c>
      <c r="B30915" s="8" t="str">
        <f>HYPERLINK("https://twitter.com/rudi07_matt","@rudi07_matt")</f>
        <v>@rudi07_matt</v>
      </c>
      <c r="C30915" s="8" t="s">
        <v>7437</v>
      </c>
      <c r="D30915" s="8">
        <v>135</v>
      </c>
      <c r="E30915" s="8">
        <v>0</v>
      </c>
      <c r="F30915" s="8">
        <v>3788</v>
      </c>
    </row>
    <row r="30916" spans="1:6" ht="12.75">
      <c r="A30916" s="8">
        <v>43890.670972222222</v>
      </c>
      <c r="B30916" s="8" t="str">
        <f>HYPERLINK("https://twitter.com/Nadya96562589","@Nadya96562589")</f>
        <v>@Nadya96562589</v>
      </c>
      <c r="C30916" s="8" t="s">
        <v>4235</v>
      </c>
      <c r="D30916" s="8">
        <v>1374</v>
      </c>
      <c r="E30916" s="8">
        <v>0</v>
      </c>
      <c r="F30916" s="8">
        <v>87</v>
      </c>
    </row>
    <row r="30917" spans="1:6" ht="12.75">
      <c r="A30917" s="8">
        <v>43890.670740740738</v>
      </c>
      <c r="B30917" s="8" t="str">
        <f>HYPERLINK("https://twitter.com/Parstoday_Ind","@Parstoday_Ind")</f>
        <v>@Parstoday_Ind</v>
      </c>
      <c r="C30917" s="8" t="s">
        <v>11688</v>
      </c>
      <c r="D30917" s="8">
        <v>0</v>
      </c>
      <c r="E30917" s="8">
        <v>0</v>
      </c>
      <c r="F30917" s="8">
        <v>72</v>
      </c>
    </row>
    <row r="30918" spans="1:6" ht="12.75">
      <c r="A30918" s="8">
        <v>43890.670671296291</v>
      </c>
      <c r="B30918" s="8" t="str">
        <f>HYPERLINK("https://twitter.com/Junai7","@Junai7")</f>
        <v>@Junai7</v>
      </c>
      <c r="C30918" s="8" t="s">
        <v>6836</v>
      </c>
      <c r="D30918" s="8">
        <v>396</v>
      </c>
      <c r="E30918" s="8">
        <v>0</v>
      </c>
      <c r="F30918" s="8">
        <v>535</v>
      </c>
    </row>
    <row r="30919" spans="1:6" ht="12.75">
      <c r="A30919" s="8">
        <v>43890.670613425929</v>
      </c>
      <c r="B30919" s="8" t="str">
        <f>HYPERLINK("https://twitter.com/rezal_hadi","@rezal_hadi")</f>
        <v>@rezal_hadi</v>
      </c>
      <c r="C30919" s="8" t="s">
        <v>11689</v>
      </c>
      <c r="D30919" s="8">
        <v>0</v>
      </c>
      <c r="E30919" s="8">
        <v>0</v>
      </c>
      <c r="F30919" s="8">
        <v>334</v>
      </c>
    </row>
    <row r="30920" spans="1:6" ht="12.75">
      <c r="A30920" s="8">
        <v>43890.670578703706</v>
      </c>
      <c r="B30920" s="8" t="str">
        <f>HYPERLINK("https://twitter.com/Fauziahhsnl","@Fauziahhsnl")</f>
        <v>@Fauziahhsnl</v>
      </c>
      <c r="C30920" s="8" t="s">
        <v>4235</v>
      </c>
      <c r="D30920" s="8">
        <v>1374</v>
      </c>
      <c r="E30920" s="8">
        <v>0</v>
      </c>
      <c r="F30920" s="8">
        <v>93</v>
      </c>
    </row>
    <row r="30921" spans="1:6" ht="12.75">
      <c r="A30921" s="8">
        <v>43890.670393518521</v>
      </c>
      <c r="B30921" s="8" t="str">
        <f>HYPERLINK("https://twitter.com/AzmiAnggi","@AzmiAnggi")</f>
        <v>@AzmiAnggi</v>
      </c>
      <c r="C30921" s="8" t="s">
        <v>11663</v>
      </c>
      <c r="D30921" s="8">
        <v>0</v>
      </c>
      <c r="E30921" s="8">
        <v>0</v>
      </c>
      <c r="F30921" s="8">
        <v>88</v>
      </c>
    </row>
    <row r="30922" spans="1:6" ht="12.75">
      <c r="A30922" s="8">
        <v>43890.670324074075</v>
      </c>
      <c r="B30922" s="8" t="str">
        <f>HYPERLINK("https://twitter.com/RafaelRaditya69","@RafaelRaditya69")</f>
        <v>@RafaelRaditya69</v>
      </c>
      <c r="C30922" s="8" t="s">
        <v>11358</v>
      </c>
      <c r="D30922" s="8">
        <v>22</v>
      </c>
      <c r="E30922" s="8">
        <v>0</v>
      </c>
      <c r="F30922" s="8">
        <v>177</v>
      </c>
    </row>
    <row r="30923" spans="1:6" ht="12.75">
      <c r="A30923" s="8">
        <v>43890.670300925922</v>
      </c>
      <c r="B30923" s="8" t="str">
        <f>HYPERLINK("https://twitter.com/visitortwt1","@visitortwt1")</f>
        <v>@visitortwt1</v>
      </c>
      <c r="C30923" s="8" t="s">
        <v>7437</v>
      </c>
      <c r="D30923" s="8">
        <v>135</v>
      </c>
      <c r="E30923" s="8">
        <v>0</v>
      </c>
      <c r="F30923" s="8">
        <v>418</v>
      </c>
    </row>
    <row r="30924" spans="1:6" ht="12.75">
      <c r="A30924" s="8">
        <v>43890.670289351852</v>
      </c>
      <c r="B30924" s="8" t="str">
        <f>HYPERLINK("https://twitter.com/Bambanghariyan","@Bambanghariyan")</f>
        <v>@Bambanghariyan</v>
      </c>
      <c r="C30924" s="8" t="s">
        <v>11690</v>
      </c>
      <c r="D30924" s="8">
        <v>12</v>
      </c>
      <c r="E30924" s="8">
        <v>0</v>
      </c>
      <c r="F30924" s="8">
        <v>12835</v>
      </c>
    </row>
    <row r="30925" spans="1:6" ht="12.75">
      <c r="A30925" s="8">
        <v>43890.670219907406</v>
      </c>
      <c r="B30925" s="8" t="str">
        <f>HYPERLINK("https://twitter.com/HeriRiva75","@HeriRiva75")</f>
        <v>@HeriRiva75</v>
      </c>
      <c r="C30925" s="8" t="s">
        <v>8746</v>
      </c>
      <c r="D30925" s="8">
        <v>223</v>
      </c>
      <c r="E30925" s="8">
        <v>0</v>
      </c>
      <c r="F30925" s="8">
        <v>459</v>
      </c>
    </row>
    <row r="30926" spans="1:6" ht="12.75">
      <c r="A30926" s="8">
        <v>43890.670208333337</v>
      </c>
      <c r="B30926" s="8" t="str">
        <f>HYPERLINK("https://twitter.com/BinmasRestaPtk","@BinmasRestaPtk")</f>
        <v>@BinmasRestaPtk</v>
      </c>
      <c r="C30926" s="8" t="s">
        <v>11691</v>
      </c>
      <c r="D30926" s="8">
        <v>54</v>
      </c>
      <c r="E30926" s="8">
        <v>0</v>
      </c>
      <c r="F30926" s="8">
        <v>20</v>
      </c>
    </row>
    <row r="30927" spans="1:6" ht="12.75">
      <c r="A30927" s="8">
        <v>43890.670115740737</v>
      </c>
      <c r="B30927" s="8" t="str">
        <f>HYPERLINK("https://twitter.com/TinTin23740312","@TinTin23740312")</f>
        <v>@TinTin23740312</v>
      </c>
      <c r="C30927" s="8" t="s">
        <v>11692</v>
      </c>
      <c r="D30927" s="8">
        <v>0</v>
      </c>
      <c r="E30927" s="8">
        <v>0</v>
      </c>
      <c r="F30927" s="8">
        <v>24</v>
      </c>
    </row>
    <row r="30928" spans="1:6" ht="12.75">
      <c r="A30928" s="8">
        <v>43890.670069444444</v>
      </c>
      <c r="B30928" s="8" t="str">
        <f>HYPERLINK("https://twitter.com/Mun4fikunn","@Mun4fikunn")</f>
        <v>@Mun4fikunn</v>
      </c>
      <c r="C30928" s="8" t="s">
        <v>11262</v>
      </c>
      <c r="D30928" s="8">
        <v>3</v>
      </c>
      <c r="E30928" s="8">
        <v>0</v>
      </c>
      <c r="F30928" s="8">
        <v>1607</v>
      </c>
    </row>
    <row r="30929" spans="1:6" ht="12.75">
      <c r="A30929" s="8">
        <v>43890.670023148152</v>
      </c>
      <c r="B30929" s="8" t="str">
        <f>HYPERLINK("https://twitter.com/HutapeaPoster","@HutapeaPoster")</f>
        <v>@HutapeaPoster</v>
      </c>
      <c r="C30929" s="8" t="s">
        <v>7686</v>
      </c>
      <c r="D30929" s="8">
        <v>414</v>
      </c>
      <c r="E30929" s="8">
        <v>0</v>
      </c>
      <c r="F30929" s="8">
        <v>1138</v>
      </c>
    </row>
    <row r="30930" spans="1:6" ht="12.75">
      <c r="A30930" s="8">
        <v>43890.669687500005</v>
      </c>
      <c r="B30930" s="8" t="str">
        <f>HYPERLINK("https://twitter.com/Parstoday_Ind","@Parstoday_Ind")</f>
        <v>@Parstoday_Ind</v>
      </c>
      <c r="C30930" s="8" t="s">
        <v>11693</v>
      </c>
      <c r="D30930" s="8">
        <v>0</v>
      </c>
      <c r="E30930" s="8">
        <v>0</v>
      </c>
      <c r="F30930" s="8">
        <v>72</v>
      </c>
    </row>
    <row r="30931" spans="1:6" ht="12.75">
      <c r="A30931" s="8">
        <v>43890.669560185182</v>
      </c>
      <c r="B30931" s="8" t="str">
        <f>HYPERLINK("https://twitter.com/Tonwart2","@Tonwart2")</f>
        <v>@Tonwart2</v>
      </c>
      <c r="C30931" s="8" t="s">
        <v>11358</v>
      </c>
      <c r="D30931" s="8">
        <v>22</v>
      </c>
      <c r="E30931" s="8">
        <v>0</v>
      </c>
      <c r="F30931" s="8">
        <v>564</v>
      </c>
    </row>
    <row r="30932" spans="1:6" ht="12.75">
      <c r="A30932" s="8">
        <v>43890.669062500005</v>
      </c>
      <c r="B30932" s="8" t="str">
        <f>HYPERLINK("https://twitter.com/mukidisial","@mukidisial")</f>
        <v>@mukidisial</v>
      </c>
      <c r="C30932" s="8" t="s">
        <v>8746</v>
      </c>
      <c r="D30932" s="8">
        <v>223</v>
      </c>
      <c r="E30932" s="8">
        <v>0</v>
      </c>
      <c r="F30932" s="8">
        <v>215</v>
      </c>
    </row>
    <row r="30933" spans="1:6" ht="12.75">
      <c r="A30933" s="8">
        <v>43890.668946759259</v>
      </c>
      <c r="B30933" s="8" t="str">
        <f>HYPERLINK("https://twitter.com/shahfahrulrozi","@shahfahrulrozi")</f>
        <v>@shahfahrulrozi</v>
      </c>
      <c r="C30933" s="8" t="s">
        <v>4235</v>
      </c>
      <c r="D30933" s="8">
        <v>1374</v>
      </c>
      <c r="E30933" s="8">
        <v>0</v>
      </c>
      <c r="F30933" s="8">
        <v>118</v>
      </c>
    </row>
    <row r="30934" spans="1:6" ht="12.75">
      <c r="A30934" s="8">
        <v>43890.668842592597</v>
      </c>
      <c r="B30934" s="8" t="str">
        <f>HYPERLINK("https://twitter.com/bantal_hitam","@bantal_hitam")</f>
        <v>@bantal_hitam</v>
      </c>
      <c r="C30934" s="8" t="s">
        <v>11694</v>
      </c>
      <c r="D30934" s="8">
        <v>0</v>
      </c>
      <c r="E30934" s="8">
        <v>0</v>
      </c>
      <c r="F30934" s="8">
        <v>2</v>
      </c>
    </row>
    <row r="30935" spans="1:6" ht="12.75">
      <c r="A30935" s="8">
        <v>43890.66883101852</v>
      </c>
      <c r="B30935" s="8" t="str">
        <f>HYPERLINK("https://twitter.com/TokUrang","@TokUrang")</f>
        <v>@TokUrang</v>
      </c>
      <c r="C30935" s="8" t="s">
        <v>11075</v>
      </c>
      <c r="D30935" s="8">
        <v>46</v>
      </c>
      <c r="E30935" s="8">
        <v>0</v>
      </c>
      <c r="F30935" s="8">
        <v>1551</v>
      </c>
    </row>
    <row r="30936" spans="1:6" ht="12.75">
      <c r="A30936" s="8">
        <v>43890.668749999997</v>
      </c>
      <c r="B30936" s="8" t="str">
        <f>HYPERLINK("https://twitter.com/laksmurni","@laksmurni")</f>
        <v>@laksmurni</v>
      </c>
      <c r="C30936" s="8" t="s">
        <v>6836</v>
      </c>
      <c r="D30936" s="8">
        <v>396</v>
      </c>
      <c r="E30936" s="8">
        <v>0</v>
      </c>
      <c r="F30936" s="8">
        <v>2382</v>
      </c>
    </row>
    <row r="30937" spans="1:6" ht="12.75">
      <c r="A30937" s="8">
        <v>43890.668541666666</v>
      </c>
      <c r="B30937" s="8" t="str">
        <f>HYPERLINK("https://twitter.com/MiaWindyanings1","@MiaWindyanings1")</f>
        <v>@MiaWindyanings1</v>
      </c>
      <c r="C30937" s="8" t="s">
        <v>11374</v>
      </c>
      <c r="D30937" s="8">
        <v>89</v>
      </c>
      <c r="E30937" s="8">
        <v>0</v>
      </c>
      <c r="F30937" s="8">
        <v>24</v>
      </c>
    </row>
    <row r="30938" spans="1:6" ht="12.75">
      <c r="A30938" s="8">
        <v>43890.668298611112</v>
      </c>
      <c r="B30938" s="8" t="str">
        <f>HYPERLINK("https://twitter.com/nesa_ct","@nesa_ct")</f>
        <v>@nesa_ct</v>
      </c>
      <c r="C30938" s="8" t="s">
        <v>10721</v>
      </c>
      <c r="D30938" s="8">
        <v>154</v>
      </c>
      <c r="E30938" s="8">
        <v>0</v>
      </c>
      <c r="F30938" s="8">
        <v>128</v>
      </c>
    </row>
    <row r="30939" spans="1:6" ht="12.75">
      <c r="A30939" s="8">
        <v>43890.668182870373</v>
      </c>
      <c r="B30939" s="8" t="str">
        <f>HYPERLINK("https://twitter.com/bangnour","@bangnour")</f>
        <v>@bangnour</v>
      </c>
      <c r="C30939" s="8" t="s">
        <v>6708</v>
      </c>
      <c r="D30939" s="8">
        <v>23</v>
      </c>
      <c r="E30939" s="8">
        <v>0</v>
      </c>
      <c r="F30939" s="8">
        <v>24</v>
      </c>
    </row>
    <row r="30940" spans="1:6" ht="12.75">
      <c r="A30940" s="8">
        <v>43890.66815972222</v>
      </c>
      <c r="B30940" s="8" t="str">
        <f>HYPERLINK("https://twitter.com/RafaelRaditya69","@RafaelRaditya69")</f>
        <v>@RafaelRaditya69</v>
      </c>
      <c r="C30940" s="8" t="s">
        <v>10391</v>
      </c>
      <c r="D30940" s="8">
        <v>98</v>
      </c>
      <c r="E30940" s="8">
        <v>0</v>
      </c>
      <c r="F30940" s="8">
        <v>177</v>
      </c>
    </row>
    <row r="30941" spans="1:6" ht="12.75">
      <c r="A30941" s="8">
        <v>43890.667939814812</v>
      </c>
      <c r="B30941" s="8" t="str">
        <f>HYPERLINK("https://twitter.com/Shellahibono","@Shellahibono")</f>
        <v>@Shellahibono</v>
      </c>
      <c r="C30941" s="8" t="s">
        <v>6883</v>
      </c>
      <c r="D30941" s="8">
        <v>4</v>
      </c>
      <c r="E30941" s="8">
        <v>0</v>
      </c>
      <c r="F30941" s="8">
        <v>79</v>
      </c>
    </row>
    <row r="30942" spans="1:6" ht="12.75">
      <c r="A30942" s="8">
        <v>43890.66788194445</v>
      </c>
      <c r="B30942" s="8" t="str">
        <f>HYPERLINK("https://twitter.com/DwiHarnadi","@DwiHarnadi")</f>
        <v>@DwiHarnadi</v>
      </c>
      <c r="C30942" s="8" t="s">
        <v>8746</v>
      </c>
      <c r="D30942" s="8">
        <v>223</v>
      </c>
      <c r="E30942" s="8">
        <v>0</v>
      </c>
      <c r="F30942" s="8">
        <v>100</v>
      </c>
    </row>
    <row r="30943" spans="1:6" ht="12.75">
      <c r="A30943" s="8">
        <v>43890.667812500003</v>
      </c>
      <c r="B30943" s="8" t="str">
        <f>HYPERLINK("https://twitter.com/ISIS_Balik_NO","@ISIS_Balik_NO")</f>
        <v>@ISIS_Balik_NO</v>
      </c>
      <c r="C30943" s="8" t="s">
        <v>11695</v>
      </c>
      <c r="D30943" s="8">
        <v>1</v>
      </c>
      <c r="E30943" s="8">
        <v>0</v>
      </c>
      <c r="F30943" s="8">
        <v>6091</v>
      </c>
    </row>
    <row r="30944" spans="1:6" ht="12.75">
      <c r="A30944" s="8">
        <v>43890.66778935185</v>
      </c>
      <c r="B30944" s="8" t="str">
        <f>HYPERLINK("https://twitter.com/VedyXandro","@VedyXandro")</f>
        <v>@VedyXandro</v>
      </c>
      <c r="C30944" s="8" t="s">
        <v>11696</v>
      </c>
      <c r="D30944" s="8">
        <v>0</v>
      </c>
      <c r="E30944" s="8">
        <v>0</v>
      </c>
      <c r="F30944" s="8">
        <v>0</v>
      </c>
    </row>
    <row r="30945" spans="1:6" ht="12.75">
      <c r="A30945" s="8">
        <v>43890.667696759258</v>
      </c>
      <c r="B30945" s="8" t="str">
        <f>HYPERLINK("https://twitter.com/di_eka","@di_eka")</f>
        <v>@di_eka</v>
      </c>
      <c r="C30945" s="8" t="s">
        <v>7686</v>
      </c>
      <c r="D30945" s="8">
        <v>414</v>
      </c>
      <c r="E30945" s="8">
        <v>0</v>
      </c>
      <c r="F30945" s="8">
        <v>79</v>
      </c>
    </row>
    <row r="30946" spans="1:6" ht="12.75">
      <c r="A30946" s="8">
        <v>43890.667361111111</v>
      </c>
      <c r="B30946" s="8" t="str">
        <f>HYPERLINK("https://twitter.com/addarquthn","@addarquthn")</f>
        <v>@addarquthn</v>
      </c>
      <c r="C30946" s="8" t="s">
        <v>11673</v>
      </c>
      <c r="D30946" s="8">
        <v>0</v>
      </c>
      <c r="E30946" s="8">
        <v>0</v>
      </c>
      <c r="F30946" s="8">
        <v>163</v>
      </c>
    </row>
    <row r="30947" spans="1:6" ht="12.75">
      <c r="A30947" s="8">
        <v>43890.667291666672</v>
      </c>
      <c r="B30947" s="8" t="str">
        <f>HYPERLINK("https://twitter.com/lase_dhanil","@lase_dhanil")</f>
        <v>@lase_dhanil</v>
      </c>
      <c r="C30947" s="8" t="s">
        <v>10939</v>
      </c>
      <c r="D30947" s="8">
        <v>114</v>
      </c>
      <c r="E30947" s="8">
        <v>0</v>
      </c>
      <c r="F30947" s="8">
        <v>473</v>
      </c>
    </row>
    <row r="30948" spans="1:6" ht="12.75">
      <c r="A30948" s="8">
        <v>43890.667245370365</v>
      </c>
      <c r="B30948" s="8" t="str">
        <f>HYPERLINK("https://twitter.com/Ingo_Ingo86","@Ingo_Ingo86")</f>
        <v>@Ingo_Ingo86</v>
      </c>
      <c r="C30948" s="8" t="s">
        <v>10811</v>
      </c>
      <c r="D30948" s="8">
        <v>161</v>
      </c>
      <c r="E30948" s="8">
        <v>0</v>
      </c>
      <c r="F30948" s="8">
        <v>428</v>
      </c>
    </row>
    <row r="30949" spans="1:6" ht="12.75">
      <c r="A30949" s="8">
        <v>43890.667175925926</v>
      </c>
      <c r="B30949" s="8" t="str">
        <f>HYPERLINK("https://twitter.com/ISIS_Balik_NO","@ISIS_Balik_NO")</f>
        <v>@ISIS_Balik_NO</v>
      </c>
      <c r="C30949" s="8" t="s">
        <v>11697</v>
      </c>
      <c r="D30949" s="8">
        <v>129</v>
      </c>
      <c r="E30949" s="8">
        <v>0</v>
      </c>
      <c r="F30949" s="8">
        <v>6091</v>
      </c>
    </row>
    <row r="30950" spans="1:6" ht="12.75">
      <c r="A30950" s="8">
        <v>43890.667129629626</v>
      </c>
      <c r="B30950" s="8" t="str">
        <f>HYPERLINK("https://twitter.com/SaputraBerman","@SaputraBerman")</f>
        <v>@SaputraBerman</v>
      </c>
      <c r="C30950" s="8" t="s">
        <v>11262</v>
      </c>
      <c r="D30950" s="8">
        <v>3</v>
      </c>
      <c r="E30950" s="8">
        <v>0</v>
      </c>
      <c r="F30950" s="8">
        <v>70</v>
      </c>
    </row>
    <row r="30951" spans="1:6" ht="12.75">
      <c r="A30951" s="8">
        <v>43890.666990740741</v>
      </c>
      <c r="B30951" s="8" t="str">
        <f>HYPERLINK("https://twitter.com/di_eka","@di_eka")</f>
        <v>@di_eka</v>
      </c>
      <c r="C30951" s="8" t="s">
        <v>10811</v>
      </c>
      <c r="D30951" s="8">
        <v>161</v>
      </c>
      <c r="E30951" s="8">
        <v>0</v>
      </c>
      <c r="F30951" s="8">
        <v>79</v>
      </c>
    </row>
    <row r="30952" spans="1:6" ht="12.75">
      <c r="A30952" s="8">
        <v>43890.666724537034</v>
      </c>
      <c r="B30952" s="8" t="str">
        <f>HYPERLINK("https://twitter.com/RomoJostKokoh","@RomoJostKokoh")</f>
        <v>@RomoJostKokoh</v>
      </c>
      <c r="C30952" s="8" t="s">
        <v>11698</v>
      </c>
      <c r="D30952" s="8">
        <v>4</v>
      </c>
      <c r="E30952" s="8">
        <v>2</v>
      </c>
      <c r="F30952" s="8">
        <v>11751</v>
      </c>
    </row>
    <row r="30953" spans="1:6" ht="12.75">
      <c r="A30953" s="8">
        <v>43890.666712962964</v>
      </c>
      <c r="B30953" s="8" t="str">
        <f>HYPERLINK("https://twitter.com/JM_Bela_NKRI","@JM_Bela_NKRI")</f>
        <v>@JM_Bela_NKRI</v>
      </c>
      <c r="C30953" s="8" t="s">
        <v>7437</v>
      </c>
      <c r="D30953" s="8">
        <v>135</v>
      </c>
      <c r="E30953" s="8">
        <v>0</v>
      </c>
      <c r="F30953" s="8">
        <v>1554</v>
      </c>
    </row>
    <row r="30954" spans="1:6" ht="12.75">
      <c r="A30954" s="8">
        <v>43890.666655092587</v>
      </c>
      <c r="B30954" s="8" t="str">
        <f>HYPERLINK("https://twitter.com/AkangUcup1","@AkangUcup1")</f>
        <v>@AkangUcup1</v>
      </c>
      <c r="C30954" s="8" t="s">
        <v>6708</v>
      </c>
      <c r="D30954" s="8">
        <v>23</v>
      </c>
      <c r="E30954" s="8">
        <v>0</v>
      </c>
      <c r="F30954" s="8">
        <v>205</v>
      </c>
    </row>
    <row r="30955" spans="1:6" ht="12.75">
      <c r="A30955" s="8">
        <v>43890.666481481487</v>
      </c>
      <c r="B30955" s="8" t="str">
        <f>HYPERLINK("https://twitter.com/ISIS_Balik_NO","@ISIS_Balik_NO")</f>
        <v>@ISIS_Balik_NO</v>
      </c>
      <c r="C30955" s="8" t="s">
        <v>11699</v>
      </c>
      <c r="D30955" s="8">
        <v>60</v>
      </c>
      <c r="E30955" s="8">
        <v>0</v>
      </c>
      <c r="F30955" s="8">
        <v>6091</v>
      </c>
    </row>
    <row r="30956" spans="1:6" ht="12.75">
      <c r="A30956" s="8">
        <v>43890.666458333333</v>
      </c>
      <c r="B30956" s="8" t="str">
        <f>HYPERLINK("https://twitter.com/JuandaFGultom","@JuandaFGultom")</f>
        <v>@JuandaFGultom</v>
      </c>
      <c r="C30956" s="8" t="s">
        <v>7437</v>
      </c>
      <c r="D30956" s="8">
        <v>135</v>
      </c>
      <c r="E30956" s="8">
        <v>0</v>
      </c>
      <c r="F30956" s="8">
        <v>62</v>
      </c>
    </row>
    <row r="30957" spans="1:6" ht="12.75">
      <c r="A30957" s="8">
        <v>43890.666365740741</v>
      </c>
      <c r="B30957" s="8" t="str">
        <f>HYPERLINK("https://twitter.com/ISIS_Balik_NO","@ISIS_Balik_NO")</f>
        <v>@ISIS_Balik_NO</v>
      </c>
      <c r="C30957" s="8" t="s">
        <v>11700</v>
      </c>
      <c r="D30957" s="8">
        <v>53</v>
      </c>
      <c r="E30957" s="8">
        <v>0</v>
      </c>
      <c r="F30957" s="8">
        <v>6091</v>
      </c>
    </row>
    <row r="30958" spans="1:6" ht="12.75">
      <c r="A30958" s="8">
        <v>43890.666365740741</v>
      </c>
      <c r="B30958" s="8" t="str">
        <f>HYPERLINK("https://twitter.com/BinarisSitumor1","@BinarisSitumor1")</f>
        <v>@BinarisSitumor1</v>
      </c>
      <c r="C30958" s="8" t="s">
        <v>8746</v>
      </c>
      <c r="D30958" s="8">
        <v>223</v>
      </c>
      <c r="E30958" s="8">
        <v>0</v>
      </c>
      <c r="F30958" s="8">
        <v>294</v>
      </c>
    </row>
    <row r="30959" spans="1:6" ht="12.75">
      <c r="A30959" s="8">
        <v>43890.666249999995</v>
      </c>
      <c r="B30959" s="8" t="str">
        <f>HYPERLINK("https://twitter.com/AliObeng","@AliObeng")</f>
        <v>@AliObeng</v>
      </c>
      <c r="C30959" s="8" t="s">
        <v>11105</v>
      </c>
      <c r="D30959" s="8">
        <v>115</v>
      </c>
      <c r="E30959" s="8">
        <v>0</v>
      </c>
      <c r="F30959" s="8">
        <v>3794</v>
      </c>
    </row>
    <row r="30960" spans="1:6" ht="12.75">
      <c r="A30960" s="8">
        <v>43890.66615740741</v>
      </c>
      <c r="B30960" s="8" t="str">
        <f>HYPERLINK("https://twitter.com/DindotIsMyName","@DindotIsMyName")</f>
        <v>@DindotIsMyName</v>
      </c>
      <c r="C30960" s="8" t="s">
        <v>7686</v>
      </c>
      <c r="D30960" s="8">
        <v>414</v>
      </c>
      <c r="E30960" s="8">
        <v>0</v>
      </c>
      <c r="F30960" s="8">
        <v>470</v>
      </c>
    </row>
    <row r="30961" spans="1:6" ht="12.75">
      <c r="A30961" s="8">
        <v>43890.666030092594</v>
      </c>
      <c r="B30961" s="8" t="str">
        <f>HYPERLINK("https://twitter.com/kalemaja00","@kalemaja00")</f>
        <v>@kalemaja00</v>
      </c>
      <c r="C30961" s="8" t="s">
        <v>10811</v>
      </c>
      <c r="D30961" s="8">
        <v>161</v>
      </c>
      <c r="E30961" s="8">
        <v>0</v>
      </c>
      <c r="F30961" s="8">
        <v>14</v>
      </c>
    </row>
    <row r="30962" spans="1:6" ht="12.75">
      <c r="A30962" s="8">
        <v>43890.666030092594</v>
      </c>
      <c r="B30962" s="8" t="str">
        <f>HYPERLINK("https://twitter.com/Awalludin1006","@Awalludin1006")</f>
        <v>@Awalludin1006</v>
      </c>
      <c r="C30962" s="8" t="s">
        <v>7437</v>
      </c>
      <c r="D30962" s="8">
        <v>135</v>
      </c>
      <c r="E30962" s="8">
        <v>0</v>
      </c>
      <c r="F30962" s="8">
        <v>613</v>
      </c>
    </row>
    <row r="30963" spans="1:6" ht="12.75">
      <c r="A30963" s="8">
        <v>43890.666006944448</v>
      </c>
      <c r="B30963" s="8" t="str">
        <f>HYPERLINK("https://twitter.com/UtomoFreddy","@UtomoFreddy")</f>
        <v>@UtomoFreddy</v>
      </c>
      <c r="C30963" s="8" t="s">
        <v>9768</v>
      </c>
      <c r="D30963" s="8">
        <v>104</v>
      </c>
      <c r="E30963" s="8">
        <v>0</v>
      </c>
      <c r="F30963" s="8">
        <v>105</v>
      </c>
    </row>
    <row r="30964" spans="1:6" ht="12.75">
      <c r="A30964" s="8">
        <v>43890.665983796294</v>
      </c>
      <c r="B30964" s="8" t="str">
        <f>HYPERLINK("https://twitter.com/lase_dhanil","@lase_dhanil")</f>
        <v>@lase_dhanil</v>
      </c>
      <c r="C30964" s="8" t="s">
        <v>11701</v>
      </c>
      <c r="D30964" s="8">
        <v>75</v>
      </c>
      <c r="E30964" s="8">
        <v>0</v>
      </c>
      <c r="F30964" s="8">
        <v>473</v>
      </c>
    </row>
    <row r="30965" spans="1:6" ht="12.75">
      <c r="A30965" s="8">
        <v>43890.665833333333</v>
      </c>
      <c r="B30965" s="8" t="str">
        <f>HYPERLINK("https://twitter.com/vabulousveby","@vabulousveby")</f>
        <v>@vabulousveby</v>
      </c>
      <c r="C30965" s="8" t="s">
        <v>6836</v>
      </c>
      <c r="D30965" s="8">
        <v>396</v>
      </c>
      <c r="E30965" s="8">
        <v>0</v>
      </c>
      <c r="F30965" s="8">
        <v>117</v>
      </c>
    </row>
    <row r="30966" spans="1:6" ht="12.75">
      <c r="A30966" s="8">
        <v>43890.665810185186</v>
      </c>
      <c r="B30966" s="8" t="str">
        <f>HYPERLINK("https://twitter.com/xabara_momo","@xabara_momo")</f>
        <v>@xabara_momo</v>
      </c>
      <c r="C30966" s="8" t="s">
        <v>11702</v>
      </c>
      <c r="D30966" s="8">
        <v>0</v>
      </c>
      <c r="E30966" s="8">
        <v>0</v>
      </c>
      <c r="F30966" s="8">
        <v>1638</v>
      </c>
    </row>
    <row r="30967" spans="1:6" ht="12.75">
      <c r="A30967" s="8">
        <v>43890.665798611109</v>
      </c>
      <c r="B30967" s="8" t="str">
        <f>HYPERLINK("https://twitter.com/mericamica","@mericamica")</f>
        <v>@mericamica</v>
      </c>
      <c r="C30967" s="8" t="s">
        <v>10986</v>
      </c>
      <c r="D30967" s="8">
        <v>1</v>
      </c>
      <c r="E30967" s="8">
        <v>0</v>
      </c>
      <c r="F30967" s="8">
        <v>259</v>
      </c>
    </row>
    <row r="30968" spans="1:6" ht="12.75">
      <c r="A30968" s="8">
        <v>43890.665671296301</v>
      </c>
      <c r="B30968" s="8" t="str">
        <f>HYPERLINK("https://twitter.com/lase_dhanil","@lase_dhanil")</f>
        <v>@lase_dhanil</v>
      </c>
      <c r="C30968" s="8" t="s">
        <v>7686</v>
      </c>
      <c r="D30968" s="8">
        <v>414</v>
      </c>
      <c r="E30968" s="8">
        <v>0</v>
      </c>
      <c r="F30968" s="8">
        <v>473</v>
      </c>
    </row>
    <row r="30969" spans="1:6" ht="12.75">
      <c r="A30969" s="8">
        <v>43890.665636574078</v>
      </c>
      <c r="B30969" s="8" t="str">
        <f>HYPERLINK("https://twitter.com/Kang_Trianto","@Kang_Trianto")</f>
        <v>@Kang_Trianto</v>
      </c>
      <c r="C30969" s="8" t="s">
        <v>4235</v>
      </c>
      <c r="D30969" s="8">
        <v>1374</v>
      </c>
      <c r="E30969" s="8">
        <v>0</v>
      </c>
      <c r="F30969" s="8">
        <v>38</v>
      </c>
    </row>
    <row r="30970" spans="1:6" ht="12.75">
      <c r="A30970" s="8">
        <v>43890.665370370371</v>
      </c>
      <c r="B30970" s="8" t="str">
        <f>HYPERLINK("https://twitter.com/ISIS_Balik_NO","@ISIS_Balik_NO")</f>
        <v>@ISIS_Balik_NO</v>
      </c>
      <c r="C30970" s="8" t="s">
        <v>11703</v>
      </c>
      <c r="D30970" s="8">
        <v>206</v>
      </c>
      <c r="E30970" s="8">
        <v>0</v>
      </c>
      <c r="F30970" s="8">
        <v>6091</v>
      </c>
    </row>
    <row r="30971" spans="1:6" ht="12.75">
      <c r="A30971" s="8">
        <v>43890.665358796294</v>
      </c>
      <c r="B30971" s="8" t="str">
        <f>HYPERLINK("https://twitter.com/kimrahmahwang","@kimrahmahwang")</f>
        <v>@kimrahmahwang</v>
      </c>
      <c r="C30971" s="8" t="s">
        <v>11704</v>
      </c>
      <c r="D30971" s="8">
        <v>5</v>
      </c>
      <c r="E30971" s="8">
        <v>0</v>
      </c>
      <c r="F30971" s="8">
        <v>900</v>
      </c>
    </row>
    <row r="30972" spans="1:6" ht="12.75">
      <c r="A30972" s="8">
        <v>43890.665347222224</v>
      </c>
      <c r="B30972" s="8" t="str">
        <f>HYPERLINK("https://twitter.com/Yaki_Ngo","@Yaki_Ngo")</f>
        <v>@Yaki_Ngo</v>
      </c>
      <c r="C30972" s="8" t="s">
        <v>11105</v>
      </c>
      <c r="D30972" s="8">
        <v>115</v>
      </c>
      <c r="E30972" s="8">
        <v>0</v>
      </c>
      <c r="F30972" s="8">
        <v>72</v>
      </c>
    </row>
    <row r="30973" spans="1:6" ht="12.75">
      <c r="A30973" s="8">
        <v>43890.665300925924</v>
      </c>
      <c r="B30973" s="8" t="str">
        <f>HYPERLINK("https://twitter.com/marjoso71","@marjoso71")</f>
        <v>@marjoso71</v>
      </c>
      <c r="C30973" s="8" t="s">
        <v>4235</v>
      </c>
      <c r="D30973" s="8">
        <v>1374</v>
      </c>
      <c r="E30973" s="8">
        <v>0</v>
      </c>
      <c r="F30973" s="8">
        <v>446</v>
      </c>
    </row>
    <row r="30974" spans="1:6" ht="12.75">
      <c r="A30974" s="8">
        <v>43890.665266203709</v>
      </c>
      <c r="B30974" s="8" t="str">
        <f>HYPERLINK("https://twitter.com/xoxadx","@xoxadx")</f>
        <v>@xoxadx</v>
      </c>
      <c r="C30974" s="8" t="s">
        <v>11134</v>
      </c>
      <c r="D30974" s="8">
        <v>7</v>
      </c>
      <c r="E30974" s="8">
        <v>0</v>
      </c>
      <c r="F30974" s="8">
        <v>1</v>
      </c>
    </row>
    <row r="30975" spans="1:6" ht="12.75">
      <c r="A30975" s="8">
        <v>43890.665231481486</v>
      </c>
      <c r="B30975" s="8" t="str">
        <f>HYPERLINK("https://twitter.com/tinybee83","@tinybee83")</f>
        <v>@tinybee83</v>
      </c>
      <c r="C30975" s="8" t="s">
        <v>11075</v>
      </c>
      <c r="D30975" s="8">
        <v>46</v>
      </c>
      <c r="E30975" s="8">
        <v>0</v>
      </c>
      <c r="F30975" s="8">
        <v>161</v>
      </c>
    </row>
    <row r="30976" spans="1:6" ht="12.75">
      <c r="A30976" s="8">
        <v>43890.665208333332</v>
      </c>
      <c r="B30976" s="8" t="str">
        <f>HYPERLINK("https://twitter.com/RiniNurB","@RiniNurB")</f>
        <v>@RiniNurB</v>
      </c>
      <c r="C30976" s="8" t="s">
        <v>7437</v>
      </c>
      <c r="D30976" s="8">
        <v>135</v>
      </c>
      <c r="E30976" s="8">
        <v>0</v>
      </c>
      <c r="F30976" s="8">
        <v>5304</v>
      </c>
    </row>
    <row r="30977" spans="1:6" ht="12.75">
      <c r="A30977" s="8">
        <v>43890.665196759262</v>
      </c>
      <c r="B30977" s="8" t="str">
        <f>HYPERLINK("https://twitter.com/gembira683101","@gembira683101")</f>
        <v>@gembira683101</v>
      </c>
      <c r="C30977" s="8" t="s">
        <v>7686</v>
      </c>
      <c r="D30977" s="8">
        <v>414</v>
      </c>
      <c r="E30977" s="8">
        <v>0</v>
      </c>
      <c r="F30977" s="8">
        <v>241</v>
      </c>
    </row>
    <row r="30978" spans="1:6" ht="12.75">
      <c r="A30978" s="8">
        <v>43890.66511574074</v>
      </c>
      <c r="B30978" s="8" t="str">
        <f>HYPERLINK("https://twitter.com/nonmolare","@nonmolare")</f>
        <v>@nonmolare</v>
      </c>
      <c r="C30978" s="8" t="s">
        <v>11117</v>
      </c>
      <c r="D30978" s="8">
        <v>60</v>
      </c>
      <c r="E30978" s="8">
        <v>0</v>
      </c>
      <c r="F30978" s="8">
        <v>934</v>
      </c>
    </row>
    <row r="30979" spans="1:6" ht="12.75">
      <c r="A30979" s="8">
        <v>43890.664895833332</v>
      </c>
      <c r="B30979" s="8" t="str">
        <f>HYPERLINK("https://twitter.com/SumaHan65560614","@SumaHan65560614")</f>
        <v>@SumaHan65560614</v>
      </c>
      <c r="C30979" s="8" t="s">
        <v>6836</v>
      </c>
      <c r="D30979" s="8">
        <v>396</v>
      </c>
      <c r="E30979" s="8">
        <v>0</v>
      </c>
      <c r="F30979" s="8">
        <v>75</v>
      </c>
    </row>
    <row r="30980" spans="1:6" ht="12.75">
      <c r="A30980" s="8">
        <v>43890.664884259255</v>
      </c>
      <c r="B30980" s="8" t="str">
        <f>HYPERLINK("https://twitter.com/visitortwt1","@visitortwt1")</f>
        <v>@visitortwt1</v>
      </c>
      <c r="C30980" s="8" t="s">
        <v>7686</v>
      </c>
      <c r="D30980" s="8">
        <v>414</v>
      </c>
      <c r="E30980" s="8">
        <v>0</v>
      </c>
      <c r="F30980" s="8">
        <v>418</v>
      </c>
    </row>
    <row r="30981" spans="1:6" ht="12.75">
      <c r="A30981" s="8">
        <v>43890.664826388893</v>
      </c>
      <c r="B30981" s="8" t="str">
        <f>HYPERLINK("https://twitter.com/AhlulQohwah","@AhlulQohwah")</f>
        <v>@AhlulQohwah</v>
      </c>
      <c r="C30981" s="8" t="s">
        <v>11705</v>
      </c>
      <c r="D30981" s="8">
        <v>1</v>
      </c>
      <c r="E30981" s="8">
        <v>2</v>
      </c>
      <c r="F30981" s="8">
        <v>10366</v>
      </c>
    </row>
    <row r="30982" spans="1:6" ht="12.75">
      <c r="A30982" s="8">
        <v>43890.664826388893</v>
      </c>
      <c r="B30982" s="8" t="str">
        <f>HYPERLINK("https://twitter.com/ISIS_Balik_NO","@ISIS_Balik_NO")</f>
        <v>@ISIS_Balik_NO</v>
      </c>
      <c r="C30982" s="8" t="s">
        <v>11706</v>
      </c>
      <c r="D30982" s="8">
        <v>68</v>
      </c>
      <c r="E30982" s="8">
        <v>0</v>
      </c>
      <c r="F30982" s="8">
        <v>6091</v>
      </c>
    </row>
    <row r="30983" spans="1:6" ht="12.75">
      <c r="A30983" s="8">
        <v>43890.664675925931</v>
      </c>
      <c r="B30983" s="8" t="str">
        <f>HYPERLINK("https://twitter.com/CuttieP30119893","@CuttieP30119893")</f>
        <v>@CuttieP30119893</v>
      </c>
      <c r="C30983" s="8" t="s">
        <v>11707</v>
      </c>
      <c r="D30983" s="8">
        <v>0</v>
      </c>
      <c r="E30983" s="8">
        <v>0</v>
      </c>
      <c r="F30983" s="8">
        <v>1</v>
      </c>
    </row>
    <row r="30984" spans="1:6" ht="12.75">
      <c r="A30984" s="8">
        <v>43890.664618055554</v>
      </c>
      <c r="B30984" s="8" t="str">
        <f>HYPERLINK("https://twitter.com/riaudetilcom","@riaudetilcom")</f>
        <v>@riaudetilcom</v>
      </c>
      <c r="C30984" s="8" t="s">
        <v>11635</v>
      </c>
      <c r="D30984" s="8">
        <v>0</v>
      </c>
      <c r="E30984" s="8">
        <v>0</v>
      </c>
      <c r="F30984" s="8">
        <v>133</v>
      </c>
    </row>
    <row r="30985" spans="1:6" ht="12.75">
      <c r="A30985" s="8">
        <v>43890.664502314816</v>
      </c>
      <c r="B30985" s="8" t="str">
        <f>HYPERLINK("https://twitter.com/vonnycornellya_","@vonnycornellya_")</f>
        <v>@vonnycornellya_</v>
      </c>
      <c r="C30985" s="8" t="s">
        <v>11708</v>
      </c>
      <c r="D30985" s="8">
        <v>1</v>
      </c>
      <c r="E30985" s="8">
        <v>1</v>
      </c>
      <c r="F30985" s="8">
        <v>7418</v>
      </c>
    </row>
    <row r="30986" spans="1:6" ht="12.75">
      <c r="A30986" s="8">
        <v>43890.631747685184</v>
      </c>
      <c r="B30986" s="8" t="str">
        <f>HYPERLINK("https://twitter.com/Sywa18","@Sywa18")</f>
        <v>@Sywa18</v>
      </c>
      <c r="C30986" s="8" t="s">
        <v>10811</v>
      </c>
      <c r="D30986" s="8">
        <v>143</v>
      </c>
      <c r="E30986" s="8">
        <v>0</v>
      </c>
      <c r="F30986" s="8">
        <v>807</v>
      </c>
    </row>
    <row r="30987" spans="1:6" ht="12.75">
      <c r="A30987" s="8">
        <v>43890.631747685184</v>
      </c>
      <c r="B30987" s="8" t="str">
        <f>HYPERLINK("https://twitter.com/Selian65280807","@Selian65280807")</f>
        <v>@Selian65280807</v>
      </c>
      <c r="C30987" s="8" t="s">
        <v>4235</v>
      </c>
      <c r="D30987" s="8">
        <v>1338</v>
      </c>
      <c r="E30987" s="8">
        <v>0</v>
      </c>
      <c r="F30987" s="8">
        <v>1488</v>
      </c>
    </row>
    <row r="30988" spans="1:6" ht="12.75">
      <c r="A30988" s="8">
        <v>43890.631736111114</v>
      </c>
      <c r="B30988" s="8" t="str">
        <f>HYPERLINK("https://twitter.com/sogifarhan","@sogifarhan")</f>
        <v>@sogifarhan</v>
      </c>
      <c r="C30988" s="8" t="s">
        <v>11292</v>
      </c>
      <c r="D30988" s="8">
        <v>41</v>
      </c>
      <c r="E30988" s="8">
        <v>0</v>
      </c>
      <c r="F30988" s="8">
        <v>140</v>
      </c>
    </row>
    <row r="30989" spans="1:6" ht="12.75">
      <c r="A30989" s="8">
        <v>43890.631712962961</v>
      </c>
      <c r="B30989" s="8" t="str">
        <f>HYPERLINK("https://twitter.com/edwinfend","@edwinfend")</f>
        <v>@edwinfend</v>
      </c>
      <c r="C30989" s="8" t="s">
        <v>11086</v>
      </c>
      <c r="D30989" s="8">
        <v>5</v>
      </c>
      <c r="E30989" s="8">
        <v>0</v>
      </c>
      <c r="F30989" s="8">
        <v>230</v>
      </c>
    </row>
    <row r="30990" spans="1:6" ht="12.75">
      <c r="A30990" s="8">
        <v>43890.631701388891</v>
      </c>
      <c r="B30990" s="8" t="str">
        <f>HYPERLINK("https://twitter.com/rachmanmmm","@rachmanmmm")</f>
        <v>@rachmanmmm</v>
      </c>
      <c r="C30990" s="8" t="s">
        <v>6836</v>
      </c>
      <c r="D30990" s="8">
        <v>372</v>
      </c>
      <c r="E30990" s="8">
        <v>0</v>
      </c>
      <c r="F30990" s="8">
        <v>290</v>
      </c>
    </row>
    <row r="30991" spans="1:6" ht="12.75">
      <c r="A30991" s="8">
        <v>43890.631620370375</v>
      </c>
      <c r="B30991" s="8" t="str">
        <f>HYPERLINK("https://twitter.com/Othniel_cool","@Othniel_cool")</f>
        <v>@Othniel_cool</v>
      </c>
      <c r="C30991" s="8" t="s">
        <v>11155</v>
      </c>
      <c r="D30991" s="8">
        <v>6</v>
      </c>
      <c r="E30991" s="8">
        <v>0</v>
      </c>
      <c r="F30991" s="8">
        <v>29</v>
      </c>
    </row>
    <row r="30992" spans="1:6" ht="12.75">
      <c r="A30992" s="8">
        <v>43890.631423611107</v>
      </c>
      <c r="B30992" s="8" t="str">
        <f>HYPERLINK("https://twitter.com/YustinaRahayu3","@YustinaRahayu3")</f>
        <v>@YustinaRahayu3</v>
      </c>
      <c r="C30992" s="8" t="s">
        <v>7437</v>
      </c>
      <c r="D30992" s="8">
        <v>85</v>
      </c>
      <c r="E30992" s="8">
        <v>0</v>
      </c>
      <c r="F30992" s="8">
        <v>1189</v>
      </c>
    </row>
    <row r="30993" spans="1:6" ht="12.75">
      <c r="A30993" s="8">
        <v>43890.631365740745</v>
      </c>
      <c r="B30993" s="8" t="str">
        <f>HYPERLINK("https://twitter.com/BanDeL1112","@BanDeL1112")</f>
        <v>@BanDeL1112</v>
      </c>
      <c r="C30993" s="8" t="s">
        <v>11709</v>
      </c>
      <c r="D30993" s="8">
        <v>3</v>
      </c>
      <c r="E30993" s="8">
        <v>0</v>
      </c>
      <c r="F30993" s="8">
        <v>1365</v>
      </c>
    </row>
    <row r="30994" spans="1:6" ht="12.75">
      <c r="A30994" s="8">
        <v>43890.631342592591</v>
      </c>
      <c r="B30994" s="8" t="str">
        <f>HYPERLINK("https://twitter.com/muhammadarda8","@muhammadarda8")</f>
        <v>@muhammadarda8</v>
      </c>
      <c r="C30994" s="8" t="s">
        <v>11710</v>
      </c>
      <c r="D30994" s="8">
        <v>0</v>
      </c>
      <c r="E30994" s="8">
        <v>0</v>
      </c>
      <c r="F30994" s="8">
        <v>6</v>
      </c>
    </row>
    <row r="30995" spans="1:6" ht="12.75">
      <c r="A30995" s="8">
        <v>43890.631319444445</v>
      </c>
      <c r="B30995" s="8" t="str">
        <f>HYPERLINK("https://twitter.com/Sywa18","@Sywa18")</f>
        <v>@Sywa18</v>
      </c>
      <c r="C30995" s="8" t="s">
        <v>11709</v>
      </c>
      <c r="D30995" s="8">
        <v>3</v>
      </c>
      <c r="E30995" s="8">
        <v>0</v>
      </c>
      <c r="F30995" s="8">
        <v>807</v>
      </c>
    </row>
    <row r="30996" spans="1:6" ht="12.75">
      <c r="A30996" s="8">
        <v>43890.631307870368</v>
      </c>
      <c r="B30996" s="8" t="str">
        <f>HYPERLINK("https://twitter.com/abil_habibi","@abil_habibi")</f>
        <v>@abil_habibi</v>
      </c>
      <c r="C30996" s="8" t="s">
        <v>11711</v>
      </c>
      <c r="D30996" s="8">
        <v>1</v>
      </c>
      <c r="E30996" s="8">
        <v>0</v>
      </c>
      <c r="F30996" s="8">
        <v>1457</v>
      </c>
    </row>
    <row r="30997" spans="1:6" ht="12.75">
      <c r="A30997" s="8">
        <v>43890.631261574075</v>
      </c>
      <c r="B30997" s="8" t="str">
        <f>HYPERLINK("https://twitter.com/Ine_Dwine","@Ine_Dwine")</f>
        <v>@Ine_Dwine</v>
      </c>
      <c r="C30997" s="8" t="s">
        <v>10961</v>
      </c>
      <c r="D30997" s="8">
        <v>2</v>
      </c>
      <c r="E30997" s="8">
        <v>0</v>
      </c>
      <c r="F30997" s="8">
        <v>592</v>
      </c>
    </row>
    <row r="30998" spans="1:6" ht="12.75">
      <c r="A30998" s="8">
        <v>43890.631168981483</v>
      </c>
      <c r="B30998" s="8" t="str">
        <f>HYPERLINK("https://twitter.com/CRiandila","@CRiandila")</f>
        <v>@CRiandila</v>
      </c>
      <c r="C30998" s="8" t="s">
        <v>11712</v>
      </c>
      <c r="D30998" s="8">
        <v>0</v>
      </c>
      <c r="E30998" s="8">
        <v>0</v>
      </c>
      <c r="F30998" s="8">
        <v>216</v>
      </c>
    </row>
    <row r="30999" spans="1:6" ht="12.75">
      <c r="A30999" s="8">
        <v>43890.631111111114</v>
      </c>
      <c r="B30999" s="8" t="str">
        <f>HYPERLINK("https://twitter.com/kingarief18","@kingarief18")</f>
        <v>@kingarief18</v>
      </c>
      <c r="C30999" s="8" t="s">
        <v>10811</v>
      </c>
      <c r="D30999" s="8">
        <v>143</v>
      </c>
      <c r="E30999" s="8">
        <v>0</v>
      </c>
      <c r="F30999" s="8">
        <v>36</v>
      </c>
    </row>
    <row r="31000" spans="1:6" ht="12.75">
      <c r="A31000" s="8">
        <v>43890.63081018519</v>
      </c>
      <c r="B31000" s="8" t="str">
        <f>HYPERLINK("https://twitter.com/tebumutiara72","@tebumutiara72")</f>
        <v>@tebumutiara72</v>
      </c>
      <c r="C31000" s="8" t="s">
        <v>7437</v>
      </c>
      <c r="D31000" s="8">
        <v>85</v>
      </c>
      <c r="E31000" s="8">
        <v>0</v>
      </c>
      <c r="F31000" s="8">
        <v>840</v>
      </c>
    </row>
    <row r="31001" spans="1:6" ht="12.75">
      <c r="A31001" s="8">
        <v>43890.630590277782</v>
      </c>
      <c r="B31001" s="8" t="str">
        <f>HYPERLINK("https://twitter.com/topinfo_id","@topinfo_id")</f>
        <v>@topinfo_id</v>
      </c>
      <c r="C31001" s="8" t="s">
        <v>11713</v>
      </c>
      <c r="D31001" s="8">
        <v>0</v>
      </c>
      <c r="E31001" s="8">
        <v>0</v>
      </c>
      <c r="F31001" s="8">
        <v>20</v>
      </c>
    </row>
    <row r="31002" spans="1:6" ht="12.75">
      <c r="A31002" s="8">
        <v>43890.630532407406</v>
      </c>
      <c r="B31002" s="8" t="str">
        <f>HYPERLINK("https://twitter.com/yourlovelybaee","@yourlovelybaee")</f>
        <v>@yourlovelybaee</v>
      </c>
      <c r="C31002" s="8" t="s">
        <v>11714</v>
      </c>
      <c r="D31002" s="8">
        <v>0</v>
      </c>
      <c r="E31002" s="8">
        <v>0</v>
      </c>
      <c r="F31002" s="8">
        <v>210</v>
      </c>
    </row>
    <row r="31003" spans="1:6" ht="12.75">
      <c r="A31003" s="8">
        <v>43890.630486111113</v>
      </c>
      <c r="B31003" s="8" t="str">
        <f>HYPERLINK("https://twitter.com/maleticent","@maleticent")</f>
        <v>@maleticent</v>
      </c>
      <c r="C31003" s="8" t="s">
        <v>11715</v>
      </c>
      <c r="D31003" s="8">
        <v>0</v>
      </c>
      <c r="E31003" s="8">
        <v>0</v>
      </c>
      <c r="F31003" s="8">
        <v>239</v>
      </c>
    </row>
    <row r="31004" spans="1:6" ht="12.75">
      <c r="A31004" s="8">
        <v>43890.630474537036</v>
      </c>
      <c r="B31004" s="8" t="str">
        <f>HYPERLINK("https://twitter.com/wisanggeni_084","@wisanggeni_084")</f>
        <v>@wisanggeni_084</v>
      </c>
      <c r="C31004" s="8" t="s">
        <v>11709</v>
      </c>
      <c r="D31004" s="8">
        <v>3</v>
      </c>
      <c r="E31004" s="8">
        <v>0</v>
      </c>
      <c r="F31004" s="8">
        <v>17047</v>
      </c>
    </row>
    <row r="31005" spans="1:6" ht="12.75">
      <c r="A31005" s="8">
        <v>43890.63045138889</v>
      </c>
      <c r="B31005" s="8" t="str">
        <f>HYPERLINK("https://twitter.com/akgoalmail","@akgoalmail")</f>
        <v>@akgoalmail</v>
      </c>
      <c r="C31005" s="8" t="s">
        <v>10755</v>
      </c>
      <c r="D31005" s="8">
        <v>680</v>
      </c>
      <c r="E31005" s="8">
        <v>0</v>
      </c>
      <c r="F31005" s="8">
        <v>28</v>
      </c>
    </row>
    <row r="31006" spans="1:6" ht="12.75">
      <c r="A31006" s="8">
        <v>43890.630312499998</v>
      </c>
      <c r="B31006" s="8" t="str">
        <f>HYPERLINK("https://twitter.com/FC201173","@FC201173")</f>
        <v>@FC201173</v>
      </c>
      <c r="C31006" s="8" t="s">
        <v>11716</v>
      </c>
      <c r="D31006" s="8">
        <v>3</v>
      </c>
      <c r="E31006" s="8">
        <v>7</v>
      </c>
      <c r="F31006" s="8">
        <v>79</v>
      </c>
    </row>
    <row r="31007" spans="1:6" ht="12.75">
      <c r="A31007" s="8">
        <v>43890.630219907413</v>
      </c>
      <c r="B31007" s="8" t="str">
        <f>HYPERLINK("https://twitter.com/iscyborg","@iscyborg")</f>
        <v>@iscyborg</v>
      </c>
      <c r="C31007" s="8" t="s">
        <v>11717</v>
      </c>
      <c r="D31007" s="8">
        <v>0</v>
      </c>
      <c r="E31007" s="8">
        <v>0</v>
      </c>
      <c r="F31007" s="8">
        <v>1</v>
      </c>
    </row>
    <row r="31008" spans="1:6" ht="12.75">
      <c r="A31008" s="8">
        <v>43890.63009259259</v>
      </c>
      <c r="B31008" s="8" t="str">
        <f>HYPERLINK("https://twitter.com/DcEliana","@DcEliana")</f>
        <v>@DcEliana</v>
      </c>
      <c r="C31008" s="8" t="s">
        <v>11117</v>
      </c>
      <c r="D31008" s="8">
        <v>50</v>
      </c>
      <c r="E31008" s="8">
        <v>0</v>
      </c>
      <c r="F31008" s="8">
        <v>154</v>
      </c>
    </row>
    <row r="31009" spans="1:6" ht="12.75">
      <c r="A31009" s="8">
        <v>43890.630069444444</v>
      </c>
      <c r="B31009" s="8" t="str">
        <f>HYPERLINK("https://twitter.com/didiksuharman2","@didiksuharman2")</f>
        <v>@didiksuharman2</v>
      </c>
      <c r="C31009" s="8" t="s">
        <v>11718</v>
      </c>
      <c r="D31009" s="8">
        <v>0</v>
      </c>
      <c r="E31009" s="8">
        <v>0</v>
      </c>
      <c r="F31009" s="8">
        <v>423</v>
      </c>
    </row>
    <row r="31010" spans="1:6" ht="12.75">
      <c r="A31010" s="8">
        <v>43890.629976851851</v>
      </c>
      <c r="B31010" s="8" t="str">
        <f>HYPERLINK("https://twitter.com/ladystathos","@ladystathos")</f>
        <v>@ladystathos</v>
      </c>
      <c r="C31010" s="8" t="s">
        <v>11719</v>
      </c>
      <c r="D31010" s="8">
        <v>0</v>
      </c>
      <c r="E31010" s="8">
        <v>0</v>
      </c>
      <c r="F31010" s="8">
        <v>413</v>
      </c>
    </row>
    <row r="31011" spans="1:6" ht="12.75">
      <c r="A31011" s="8">
        <v>43890.629710648151</v>
      </c>
      <c r="B31011" s="8" t="str">
        <f>HYPERLINK("https://twitter.com/hasrat_magabe","@hasrat_magabe")</f>
        <v>@hasrat_magabe</v>
      </c>
      <c r="C31011" s="8" t="s">
        <v>4235</v>
      </c>
      <c r="D31011" s="8">
        <v>1338</v>
      </c>
      <c r="E31011" s="8">
        <v>0</v>
      </c>
      <c r="F31011" s="8">
        <v>334</v>
      </c>
    </row>
    <row r="31012" spans="1:6" ht="12.75">
      <c r="A31012" s="8">
        <v>43890.629502314812</v>
      </c>
      <c r="B31012" s="8" t="str">
        <f>HYPERLINK("https://twitter.com/naishakid","@naishakid")</f>
        <v>@naishakid</v>
      </c>
      <c r="C31012" s="8" t="s">
        <v>11720</v>
      </c>
      <c r="D31012" s="8">
        <v>0</v>
      </c>
      <c r="E31012" s="8">
        <v>0</v>
      </c>
      <c r="F31012" s="8">
        <v>5005</v>
      </c>
    </row>
    <row r="31013" spans="1:6" ht="12.75">
      <c r="A31013" s="8">
        <v>43890.62909722222</v>
      </c>
      <c r="B31013" s="8" t="str">
        <f>HYPERLINK("https://twitter.com/Azis_Jr11","@Azis_Jr11")</f>
        <v>@Azis_Jr11</v>
      </c>
      <c r="C31013" s="8" t="s">
        <v>8746</v>
      </c>
      <c r="D31013" s="8">
        <v>191</v>
      </c>
      <c r="E31013" s="8">
        <v>0</v>
      </c>
      <c r="F31013" s="8">
        <v>408</v>
      </c>
    </row>
    <row r="31014" spans="1:6" ht="12.75">
      <c r="A31014" s="8">
        <v>43890.629027777773</v>
      </c>
      <c r="B31014" s="8" t="str">
        <f>HYPERLINK("https://twitter.com/fani_yudia","@fani_yudia")</f>
        <v>@fani_yudia</v>
      </c>
      <c r="C31014" s="8" t="s">
        <v>11690</v>
      </c>
      <c r="D31014" s="8">
        <v>8</v>
      </c>
      <c r="E31014" s="8">
        <v>0</v>
      </c>
      <c r="F31014" s="8">
        <v>236</v>
      </c>
    </row>
    <row r="31015" spans="1:6" ht="12.75">
      <c r="A31015" s="8">
        <v>43890.628923611112</v>
      </c>
      <c r="B31015" s="8" t="str">
        <f>HYPERLINK("https://twitter.com/HPeridia","@HPeridia")</f>
        <v>@HPeridia</v>
      </c>
      <c r="C31015" s="8" t="s">
        <v>7437</v>
      </c>
      <c r="D31015" s="8">
        <v>85</v>
      </c>
      <c r="E31015" s="8">
        <v>0</v>
      </c>
      <c r="F31015" s="8">
        <v>668</v>
      </c>
    </row>
    <row r="31016" spans="1:6" ht="12.75">
      <c r="A31016" s="8">
        <v>43890.628680555557</v>
      </c>
      <c r="B31016" s="8" t="str">
        <f>HYPERLINK("https://twitter.com/spurwanto0202","@spurwanto0202")</f>
        <v>@spurwanto0202</v>
      </c>
      <c r="C31016" s="8" t="s">
        <v>7686</v>
      </c>
      <c r="D31016" s="8">
        <v>363</v>
      </c>
      <c r="E31016" s="8">
        <v>0</v>
      </c>
      <c r="F31016" s="8">
        <v>134</v>
      </c>
    </row>
    <row r="31017" spans="1:6" ht="12.75">
      <c r="A31017" s="8">
        <v>43890.628564814819</v>
      </c>
      <c r="B31017" s="8" t="str">
        <f>HYPERLINK("https://twitter.com/seruput_thaitea","@seruput_thaitea")</f>
        <v>@seruput_thaitea</v>
      </c>
      <c r="C31017" s="8" t="s">
        <v>4235</v>
      </c>
      <c r="D31017" s="8">
        <v>1338</v>
      </c>
      <c r="E31017" s="8">
        <v>0</v>
      </c>
      <c r="F31017" s="8">
        <v>48</v>
      </c>
    </row>
    <row r="31018" spans="1:6" ht="12.75">
      <c r="A31018" s="8">
        <v>43890.628437499996</v>
      </c>
      <c r="B31018" s="8" t="str">
        <f>HYPERLINK("https://twitter.com/ngonlain","@ngonlain")</f>
        <v>@ngonlain</v>
      </c>
      <c r="C31018" s="8" t="s">
        <v>11721</v>
      </c>
      <c r="D31018" s="8">
        <v>1880</v>
      </c>
      <c r="E31018" s="8">
        <v>0</v>
      </c>
      <c r="F31018" s="8">
        <v>2643</v>
      </c>
    </row>
    <row r="31019" spans="1:6" ht="12.75">
      <c r="A31019" s="8">
        <v>43890.628379629634</v>
      </c>
      <c r="B31019" s="8" t="str">
        <f>HYPERLINK("https://twitter.com/wilshere1","@wilshere1")</f>
        <v>@wilshere1</v>
      </c>
      <c r="C31019" s="8" t="s">
        <v>10939</v>
      </c>
      <c r="D31019" s="8">
        <v>105</v>
      </c>
      <c r="E31019" s="8">
        <v>0</v>
      </c>
      <c r="F31019" s="8">
        <v>122</v>
      </c>
    </row>
    <row r="31020" spans="1:6" ht="12.75">
      <c r="A31020" s="8">
        <v>43890.628287037034</v>
      </c>
      <c r="B31020" s="8" t="str">
        <f>HYPERLINK("https://twitter.com/hajaiz","@hajaiz")</f>
        <v>@hajaiz</v>
      </c>
      <c r="C31020" s="8" t="s">
        <v>11722</v>
      </c>
      <c r="D31020" s="8">
        <v>0</v>
      </c>
      <c r="E31020" s="8">
        <v>0</v>
      </c>
      <c r="F31020" s="8">
        <v>96</v>
      </c>
    </row>
    <row r="31021" spans="1:6" ht="12.75">
      <c r="A31021" s="8">
        <v>43890.628148148149</v>
      </c>
      <c r="B31021" s="8" t="str">
        <f>HYPERLINK("https://twitter.com/okezonenews","@okezonenews")</f>
        <v>@okezonenews</v>
      </c>
      <c r="C31021" s="8" t="s">
        <v>11723</v>
      </c>
      <c r="D31021" s="8">
        <v>0</v>
      </c>
      <c r="E31021" s="8">
        <v>0</v>
      </c>
      <c r="F31021" s="8">
        <v>1744041</v>
      </c>
    </row>
    <row r="31022" spans="1:6" ht="12.75">
      <c r="A31022" s="8">
        <v>43890.627800925926</v>
      </c>
      <c r="B31022" s="8" t="str">
        <f>HYPERLINK("https://twitter.com/YuliusNurendra","@YuliusNurendra")</f>
        <v>@YuliusNurendra</v>
      </c>
      <c r="C31022" s="8" t="s">
        <v>10811</v>
      </c>
      <c r="D31022" s="8">
        <v>143</v>
      </c>
      <c r="E31022" s="8">
        <v>0</v>
      </c>
      <c r="F31022" s="8">
        <v>136</v>
      </c>
    </row>
    <row r="31023" spans="1:6" ht="12.75">
      <c r="A31023" s="8">
        <v>43890.627627314811</v>
      </c>
      <c r="B31023" s="8" t="str">
        <f>HYPERLINK("https://twitter.com/Hamruniahmad","@Hamruniahmad")</f>
        <v>@Hamruniahmad</v>
      </c>
      <c r="C31023" s="8" t="s">
        <v>11329</v>
      </c>
      <c r="D31023" s="8">
        <v>27</v>
      </c>
      <c r="E31023" s="8">
        <v>0</v>
      </c>
      <c r="F31023" s="8">
        <v>837</v>
      </c>
    </row>
    <row r="31024" spans="1:6" ht="12.75">
      <c r="A31024" s="8">
        <v>43890.627627314811</v>
      </c>
      <c r="B31024" s="8" t="str">
        <f>HYPERLINK("https://twitter.com/scarfaizz","@scarfaizz")</f>
        <v>@scarfaizz</v>
      </c>
      <c r="C31024" s="8" t="s">
        <v>11724</v>
      </c>
      <c r="D31024" s="8">
        <v>4</v>
      </c>
      <c r="E31024" s="8">
        <v>0</v>
      </c>
      <c r="F31024" s="8">
        <v>187</v>
      </c>
    </row>
    <row r="31025" spans="1:6" ht="12.75">
      <c r="A31025" s="8">
        <v>43890.627581018518</v>
      </c>
      <c r="B31025" s="8" t="str">
        <f>HYPERLINK("https://twitter.com/derrygautama","@derrygautama")</f>
        <v>@derrygautama</v>
      </c>
      <c r="C31025" s="8" t="s">
        <v>7686</v>
      </c>
      <c r="D31025" s="8">
        <v>363</v>
      </c>
      <c r="E31025" s="8">
        <v>0</v>
      </c>
      <c r="F31025" s="8">
        <v>585</v>
      </c>
    </row>
    <row r="31026" spans="1:6" ht="12.75">
      <c r="A31026" s="8">
        <v>43890.627465277779</v>
      </c>
      <c r="B31026" s="8" t="str">
        <f>HYPERLINK("https://twitter.com/jomponk","@jomponk")</f>
        <v>@jomponk</v>
      </c>
      <c r="C31026" s="8" t="s">
        <v>7437</v>
      </c>
      <c r="D31026" s="8">
        <v>85</v>
      </c>
      <c r="E31026" s="8">
        <v>0</v>
      </c>
      <c r="F31026" s="8">
        <v>21</v>
      </c>
    </row>
    <row r="31027" spans="1:6" ht="12.75">
      <c r="A31027" s="8">
        <v>43890.627418981487</v>
      </c>
      <c r="B31027" s="8" t="str">
        <f>HYPERLINK("https://twitter.com/covesiacom","@covesiacom")</f>
        <v>@covesiacom</v>
      </c>
      <c r="C31027" s="8" t="s">
        <v>11725</v>
      </c>
      <c r="D31027" s="8">
        <v>0</v>
      </c>
      <c r="E31027" s="8">
        <v>0</v>
      </c>
      <c r="F31027" s="8">
        <v>6173</v>
      </c>
    </row>
    <row r="31028" spans="1:6" ht="12.75">
      <c r="A31028" s="8">
        <v>43890.627418981487</v>
      </c>
      <c r="B31028" s="8" t="str">
        <f>HYPERLINK("https://twitter.com/AchmadPrayogiR2","@AchmadPrayogiR2")</f>
        <v>@AchmadPrayogiR2</v>
      </c>
      <c r="C31028" s="8" t="s">
        <v>11726</v>
      </c>
      <c r="D31028" s="8">
        <v>0</v>
      </c>
      <c r="E31028" s="8">
        <v>0</v>
      </c>
      <c r="F31028" s="8">
        <v>31</v>
      </c>
    </row>
    <row r="31029" spans="1:6" ht="12.75">
      <c r="A31029" s="8">
        <v>43890.627372685187</v>
      </c>
      <c r="B31029" s="8" t="str">
        <f>HYPERLINK("https://twitter.com/yogi_koster","@yogi_koster")</f>
        <v>@yogi_koster</v>
      </c>
      <c r="C31029" s="8" t="s">
        <v>7437</v>
      </c>
      <c r="D31029" s="8">
        <v>85</v>
      </c>
      <c r="E31029" s="8">
        <v>0</v>
      </c>
      <c r="F31029" s="8">
        <v>1773</v>
      </c>
    </row>
    <row r="31030" spans="1:6" ht="12.75">
      <c r="A31030" s="8">
        <v>43890.627349537041</v>
      </c>
      <c r="B31030" s="8" t="str">
        <f>HYPERLINK("https://twitter.com/ngonlain","@ngonlain")</f>
        <v>@ngonlain</v>
      </c>
      <c r="C31030" s="8" t="s">
        <v>11374</v>
      </c>
      <c r="D31030" s="8">
        <v>86</v>
      </c>
      <c r="E31030" s="8">
        <v>0</v>
      </c>
      <c r="F31030" s="8">
        <v>2643</v>
      </c>
    </row>
    <row r="31031" spans="1:6" ht="12.75">
      <c r="A31031" s="8">
        <v>43890.627222222218</v>
      </c>
      <c r="B31031" s="8" t="str">
        <f>HYPERLINK("https://twitter.com/FitriaGamal","@FitriaGamal")</f>
        <v>@FitriaGamal</v>
      </c>
      <c r="C31031" s="8" t="s">
        <v>4235</v>
      </c>
      <c r="D31031" s="8">
        <v>1338</v>
      </c>
      <c r="E31031" s="8">
        <v>0</v>
      </c>
      <c r="F31031" s="8">
        <v>117</v>
      </c>
    </row>
    <row r="31032" spans="1:6" ht="12.75">
      <c r="A31032" s="8">
        <v>43890.626932870371</v>
      </c>
      <c r="B31032" s="8" t="str">
        <f>HYPERLINK("https://twitter.com/Febyval22","@Febyval22")</f>
        <v>@Febyval22</v>
      </c>
      <c r="C31032" s="8" t="s">
        <v>11212</v>
      </c>
      <c r="D31032" s="8">
        <v>4</v>
      </c>
      <c r="E31032" s="8">
        <v>0</v>
      </c>
      <c r="F31032" s="8">
        <v>298</v>
      </c>
    </row>
    <row r="31033" spans="1:6" ht="12.75">
      <c r="A31033" s="8">
        <v>43890.626932870371</v>
      </c>
      <c r="B31033" s="8" t="str">
        <f>HYPERLINK("https://twitter.com/TeyengCekap","@TeyengCekap")</f>
        <v>@TeyengCekap</v>
      </c>
      <c r="C31033" s="8" t="s">
        <v>11258</v>
      </c>
      <c r="D31033" s="8">
        <v>18</v>
      </c>
      <c r="E31033" s="8">
        <v>0</v>
      </c>
      <c r="F31033" s="8">
        <v>5456</v>
      </c>
    </row>
    <row r="31034" spans="1:6" ht="12.75">
      <c r="A31034" s="8">
        <v>43890.626828703702</v>
      </c>
      <c r="B31034" s="8" t="str">
        <f>HYPERLINK("https://twitter.com/akmis11","@akmis11")</f>
        <v>@akmis11</v>
      </c>
      <c r="C31034" s="8" t="s">
        <v>11727</v>
      </c>
      <c r="D31034" s="8">
        <v>0</v>
      </c>
      <c r="E31034" s="8">
        <v>0</v>
      </c>
      <c r="F31034" s="8">
        <v>227</v>
      </c>
    </row>
    <row r="31035" spans="1:6" ht="12.75">
      <c r="A31035" s="8">
        <v>43890.626736111109</v>
      </c>
      <c r="B31035" s="8" t="str">
        <f>HYPERLINK("https://twitter.com/alie_cak","@alie_cak")</f>
        <v>@alie_cak</v>
      </c>
      <c r="C31035" s="8" t="s">
        <v>11728</v>
      </c>
      <c r="D31035" s="8">
        <v>0</v>
      </c>
      <c r="E31035" s="8">
        <v>1</v>
      </c>
      <c r="F31035" s="8">
        <v>46</v>
      </c>
    </row>
    <row r="31036" spans="1:6" ht="12.75">
      <c r="A31036" s="8">
        <v>43890.626550925925</v>
      </c>
      <c r="B31036" s="8" t="str">
        <f>HYPERLINK("https://twitter.com/Wongnde62842615","@Wongnde62842615")</f>
        <v>@Wongnde62842615</v>
      </c>
      <c r="C31036" s="8" t="s">
        <v>10755</v>
      </c>
      <c r="D31036" s="8">
        <v>680</v>
      </c>
      <c r="E31036" s="8">
        <v>0</v>
      </c>
      <c r="F31036" s="8">
        <v>91</v>
      </c>
    </row>
    <row r="31037" spans="1:6" ht="12.75">
      <c r="A31037" s="8">
        <v>43890.626550925925</v>
      </c>
      <c r="B31037" s="8" t="str">
        <f>HYPERLINK("https://twitter.com/yantos_yudas","@yantos_yudas")</f>
        <v>@yantos_yudas</v>
      </c>
      <c r="C31037" s="8" t="s">
        <v>10811</v>
      </c>
      <c r="D31037" s="8">
        <v>143</v>
      </c>
      <c r="E31037" s="8">
        <v>0</v>
      </c>
      <c r="F31037" s="8">
        <v>44</v>
      </c>
    </row>
    <row r="31038" spans="1:6" ht="12.75">
      <c r="A31038" s="8">
        <v>43890.626412037032</v>
      </c>
      <c r="B31038" s="8" t="str">
        <f>HYPERLINK("https://twitter.com/JOKOAS","@JOKOAS")</f>
        <v>@JOKOAS</v>
      </c>
      <c r="C31038" s="8" t="s">
        <v>11729</v>
      </c>
      <c r="D31038" s="8">
        <v>20</v>
      </c>
      <c r="E31038" s="8">
        <v>0</v>
      </c>
      <c r="F31038" s="8">
        <v>1053</v>
      </c>
    </row>
    <row r="31039" spans="1:6" ht="12.75">
      <c r="A31039" s="8">
        <v>43890.62635416667</v>
      </c>
      <c r="B31039" s="8" t="str">
        <f>HYPERLINK("https://twitter.com/then_kimberly","@then_kimberly")</f>
        <v>@then_kimberly</v>
      </c>
      <c r="C31039" s="8" t="s">
        <v>11730</v>
      </c>
      <c r="D31039" s="8">
        <v>0</v>
      </c>
      <c r="E31039" s="8">
        <v>0</v>
      </c>
      <c r="F31039" s="8">
        <v>2</v>
      </c>
    </row>
    <row r="31040" spans="1:6" ht="12.75">
      <c r="A31040" s="8">
        <v>43890.626215277778</v>
      </c>
      <c r="B31040" s="8" t="str">
        <f>HYPERLINK("https://twitter.com/tyhon9","@tyhon9")</f>
        <v>@tyhon9</v>
      </c>
      <c r="C31040" s="8" t="s">
        <v>11425</v>
      </c>
      <c r="D31040" s="8">
        <v>11</v>
      </c>
      <c r="E31040" s="8">
        <v>0</v>
      </c>
      <c r="F31040" s="8">
        <v>4581</v>
      </c>
    </row>
    <row r="31041" spans="1:6" ht="12.75">
      <c r="A31041" s="8">
        <v>43890.626168981486</v>
      </c>
      <c r="B31041" s="8" t="str">
        <f>HYPERLINK("https://twitter.com/__SisiLusipara","@__SisiLusipara")</f>
        <v>@__SisiLusipara</v>
      </c>
      <c r="C31041" s="8" t="s">
        <v>11687</v>
      </c>
      <c r="D31041" s="8">
        <v>4</v>
      </c>
      <c r="E31041" s="8">
        <v>0</v>
      </c>
      <c r="F31041" s="8">
        <v>4330</v>
      </c>
    </row>
    <row r="31042" spans="1:6" ht="12.75">
      <c r="A31042" s="8">
        <v>43890.626030092593</v>
      </c>
      <c r="B31042" s="8" t="str">
        <f>HYPERLINK("https://twitter.com/dean3th","@dean3th")</f>
        <v>@dean3th</v>
      </c>
      <c r="C31042" s="8" t="s">
        <v>7437</v>
      </c>
      <c r="D31042" s="8">
        <v>85</v>
      </c>
      <c r="E31042" s="8">
        <v>0</v>
      </c>
      <c r="F31042" s="8">
        <v>459</v>
      </c>
    </row>
    <row r="31043" spans="1:6" ht="12.75">
      <c r="A31043" s="8">
        <v>43890.62599537037</v>
      </c>
      <c r="B31043" s="8" t="str">
        <f>HYPERLINK("https://twitter.com/VoxPopuliID","@VoxPopuliID")</f>
        <v>@VoxPopuliID</v>
      </c>
      <c r="C31043" s="8" t="s">
        <v>11731</v>
      </c>
      <c r="D31043" s="8">
        <v>0</v>
      </c>
      <c r="E31043" s="8">
        <v>0</v>
      </c>
      <c r="F31043" s="8">
        <v>728</v>
      </c>
    </row>
    <row r="31044" spans="1:6" ht="12.75">
      <c r="A31044" s="8">
        <v>43890.625960648147</v>
      </c>
      <c r="B31044" s="8" t="str">
        <f>HYPERLINK("https://twitter.com/arjuno_ireng01","@arjuno_ireng01")</f>
        <v>@arjuno_ireng01</v>
      </c>
      <c r="C31044" s="8" t="s">
        <v>7437</v>
      </c>
      <c r="D31044" s="8">
        <v>85</v>
      </c>
      <c r="E31044" s="8">
        <v>0</v>
      </c>
      <c r="F31044" s="8">
        <v>10853</v>
      </c>
    </row>
    <row r="31045" spans="1:6" ht="12.75">
      <c r="A31045" s="8">
        <v>43890.625937500001</v>
      </c>
      <c r="B31045" s="8" t="str">
        <f>HYPERLINK("https://twitter.com/SebastianBara4","@SebastianBara4")</f>
        <v>@SebastianBara4</v>
      </c>
      <c r="C31045" s="8" t="s">
        <v>11731</v>
      </c>
      <c r="D31045" s="8">
        <v>0</v>
      </c>
      <c r="E31045" s="8">
        <v>0</v>
      </c>
      <c r="F31045" s="8">
        <v>1</v>
      </c>
    </row>
    <row r="31046" spans="1:6" ht="12.75">
      <c r="A31046" s="8">
        <v>43890.625925925924</v>
      </c>
      <c r="B31046" s="8" t="str">
        <f>HYPERLINK("https://twitter.com/Khong_Beng","@Khong_Beng")</f>
        <v>@Khong_Beng</v>
      </c>
      <c r="C31046" s="8" t="s">
        <v>7686</v>
      </c>
      <c r="D31046" s="8">
        <v>363</v>
      </c>
      <c r="E31046" s="8">
        <v>0</v>
      </c>
      <c r="F31046" s="8">
        <v>164</v>
      </c>
    </row>
    <row r="31047" spans="1:6" ht="12.75">
      <c r="A31047" s="8">
        <v>43890.625902777778</v>
      </c>
      <c r="B31047" s="8" t="str">
        <f>HYPERLINK("https://twitter.com/caesargegik","@caesargegik")</f>
        <v>@caesargegik</v>
      </c>
      <c r="C31047" s="8" t="s">
        <v>9768</v>
      </c>
      <c r="D31047" s="8">
        <v>103</v>
      </c>
      <c r="E31047" s="8">
        <v>0</v>
      </c>
      <c r="F31047" s="8">
        <v>532</v>
      </c>
    </row>
    <row r="31048" spans="1:6" ht="12.75">
      <c r="A31048" s="8">
        <v>43890.625833333332</v>
      </c>
      <c r="B31048" s="8" t="str">
        <f>HYPERLINK("https://twitter.com/spirit_1945","@spirit_1945")</f>
        <v>@spirit_1945</v>
      </c>
      <c r="C31048" s="8" t="s">
        <v>11731</v>
      </c>
      <c r="D31048" s="8">
        <v>0</v>
      </c>
      <c r="E31048" s="8">
        <v>0</v>
      </c>
      <c r="F31048" s="8">
        <v>121</v>
      </c>
    </row>
    <row r="31049" spans="1:6" ht="12.75">
      <c r="A31049" s="8">
        <v>43890.625810185185</v>
      </c>
      <c r="B31049" s="8" t="str">
        <f>HYPERLINK("https://twitter.com/UmyRina","@UmyRina")</f>
        <v>@UmyRina</v>
      </c>
      <c r="C31049" s="8" t="s">
        <v>11732</v>
      </c>
      <c r="D31049" s="8">
        <v>0</v>
      </c>
      <c r="E31049" s="8">
        <v>0</v>
      </c>
      <c r="F31049" s="8">
        <v>358</v>
      </c>
    </row>
    <row r="31050" spans="1:6" ht="12.75">
      <c r="A31050" s="8">
        <v>43890.625787037032</v>
      </c>
      <c r="B31050" s="8" t="str">
        <f>HYPERLINK("https://twitter.com/rohhaqgls","@rohhaqgls")</f>
        <v>@rohhaqgls</v>
      </c>
      <c r="C31050" s="8" t="s">
        <v>6708</v>
      </c>
      <c r="D31050" s="8">
        <v>15</v>
      </c>
      <c r="E31050" s="8">
        <v>0</v>
      </c>
      <c r="F31050" s="8">
        <v>78</v>
      </c>
    </row>
    <row r="31051" spans="1:6" ht="12.75">
      <c r="A31051" s="8">
        <v>43890.625787037032</v>
      </c>
      <c r="B31051" s="8" t="str">
        <f>HYPERLINK("https://twitter.com/kurakuraninjaid","@kurakuraninjaid")</f>
        <v>@kurakuraninjaid</v>
      </c>
      <c r="C31051" s="8" t="s">
        <v>11731</v>
      </c>
      <c r="D31051" s="8">
        <v>0</v>
      </c>
      <c r="E31051" s="8">
        <v>0</v>
      </c>
      <c r="F31051" s="8">
        <v>309</v>
      </c>
    </row>
    <row r="31052" spans="1:6" ht="12.75">
      <c r="A31052" s="8">
        <v>43890.62572916667</v>
      </c>
      <c r="B31052" s="8" t="str">
        <f>HYPERLINK("https://twitter.com/cikyber","@cikyber")</f>
        <v>@cikyber</v>
      </c>
      <c r="C31052" s="8" t="s">
        <v>11731</v>
      </c>
      <c r="D31052" s="8">
        <v>0</v>
      </c>
      <c r="E31052" s="8">
        <v>0</v>
      </c>
      <c r="F31052" s="8">
        <v>292</v>
      </c>
    </row>
    <row r="31053" spans="1:6" ht="12.75">
      <c r="A31053" s="8">
        <v>43890.625717592593</v>
      </c>
      <c r="B31053" s="8" t="str">
        <f>HYPERLINK("https://twitter.com/StradLinDjoyo","@StradLinDjoyo")</f>
        <v>@StradLinDjoyo</v>
      </c>
      <c r="C31053" s="8" t="s">
        <v>11733</v>
      </c>
      <c r="D31053" s="8">
        <v>0</v>
      </c>
      <c r="E31053" s="8">
        <v>0</v>
      </c>
      <c r="F31053" s="8">
        <v>348</v>
      </c>
    </row>
    <row r="31054" spans="1:6" ht="12.75">
      <c r="A31054" s="8">
        <v>43890.625659722224</v>
      </c>
      <c r="B31054" s="8" t="str">
        <f>HYPERLINK("https://twitter.com/AbdullahMujeed","@AbdullahMujeed")</f>
        <v>@AbdullahMujeed</v>
      </c>
      <c r="C31054" s="8" t="s">
        <v>11731</v>
      </c>
      <c r="D31054" s="8">
        <v>0</v>
      </c>
      <c r="E31054" s="8">
        <v>0</v>
      </c>
      <c r="F31054" s="8">
        <v>3</v>
      </c>
    </row>
    <row r="31055" spans="1:6" ht="12.75">
      <c r="A31055" s="8">
        <v>43890.625659722224</v>
      </c>
      <c r="B31055" s="8" t="str">
        <f>HYPERLINK("https://twitter.com/dcpoxs","@dcpoxs")</f>
        <v>@dcpoxs</v>
      </c>
      <c r="C31055" s="8" t="s">
        <v>6836</v>
      </c>
      <c r="D31055" s="8">
        <v>372</v>
      </c>
      <c r="E31055" s="8">
        <v>0</v>
      </c>
      <c r="F31055" s="8">
        <v>60</v>
      </c>
    </row>
    <row r="31056" spans="1:6" ht="12.75">
      <c r="A31056" s="8">
        <v>43890.625613425931</v>
      </c>
      <c r="B31056" s="8" t="str">
        <f>HYPERLINK("https://twitter.com/bensutasoma","@bensutasoma")</f>
        <v>@bensutasoma</v>
      </c>
      <c r="C31056" s="8" t="s">
        <v>11731</v>
      </c>
      <c r="D31056" s="8">
        <v>0</v>
      </c>
      <c r="E31056" s="8">
        <v>0</v>
      </c>
      <c r="F31056" s="8">
        <v>1</v>
      </c>
    </row>
    <row r="31057" spans="1:6" ht="12.75">
      <c r="A31057" s="8">
        <v>43890.625567129631</v>
      </c>
      <c r="B31057" s="8" t="str">
        <f>HYPERLINK("https://twitter.com/RiyadiYadi3","@RiyadiYadi3")</f>
        <v>@RiyadiYadi3</v>
      </c>
      <c r="C31057" s="8" t="s">
        <v>6836</v>
      </c>
      <c r="D31057" s="8">
        <v>372</v>
      </c>
      <c r="E31057" s="8">
        <v>0</v>
      </c>
      <c r="F31057" s="8">
        <v>342</v>
      </c>
    </row>
    <row r="31058" spans="1:6" ht="12.75">
      <c r="A31058" s="8">
        <v>43890.625555555554</v>
      </c>
      <c r="B31058" s="8" t="str">
        <f>HYPERLINK("https://twitter.com/fayeeen_","@fayeeen_")</f>
        <v>@fayeeen_</v>
      </c>
      <c r="C31058" s="8" t="s">
        <v>11734</v>
      </c>
      <c r="D31058" s="8">
        <v>0</v>
      </c>
      <c r="E31058" s="8">
        <v>0</v>
      </c>
      <c r="F31058" s="8">
        <v>196</v>
      </c>
    </row>
    <row r="31059" spans="1:6" ht="12.75">
      <c r="A31059" s="8">
        <v>43890.625532407408</v>
      </c>
      <c r="B31059" s="8" t="str">
        <f>HYPERLINK("https://twitter.com/akiedozawa","@akiedozawa")</f>
        <v>@akiedozawa</v>
      </c>
      <c r="C31059" s="8" t="s">
        <v>10657</v>
      </c>
      <c r="D31059" s="8">
        <v>19</v>
      </c>
      <c r="E31059" s="8">
        <v>0</v>
      </c>
      <c r="F31059" s="8">
        <v>120</v>
      </c>
    </row>
    <row r="31060" spans="1:6" ht="12.75">
      <c r="A31060" s="8">
        <v>43890.625451388885</v>
      </c>
      <c r="B31060" s="8" t="str">
        <f>HYPERLINK("https://twitter.com/KEZIAAM0UR","@KEZIAAM0UR")</f>
        <v>@KEZIAAM0UR</v>
      </c>
      <c r="C31060" s="8" t="s">
        <v>11735</v>
      </c>
      <c r="D31060" s="8">
        <v>0</v>
      </c>
      <c r="E31060" s="8">
        <v>0</v>
      </c>
      <c r="F31060" s="8">
        <v>98</v>
      </c>
    </row>
    <row r="31061" spans="1:6" ht="12.75">
      <c r="A31061" s="8">
        <v>43890.625393518523</v>
      </c>
      <c r="B31061" s="8" t="str">
        <f>HYPERLINK("https://twitter.com/kalemaja00","@kalemaja00")</f>
        <v>@kalemaja00</v>
      </c>
      <c r="C31061" s="8" t="s">
        <v>11736</v>
      </c>
      <c r="D31061" s="8">
        <v>1</v>
      </c>
      <c r="E31061" s="8">
        <v>0</v>
      </c>
      <c r="F31061" s="8">
        <v>14</v>
      </c>
    </row>
    <row r="31062" spans="1:6" ht="12.75">
      <c r="A31062" s="8">
        <v>43890.625347222223</v>
      </c>
      <c r="B31062" s="8" t="str">
        <f>HYPERLINK("https://twitter.com/Sondak_Gerard","@Sondak_Gerard")</f>
        <v>@Sondak_Gerard</v>
      </c>
      <c r="C31062" s="8" t="s">
        <v>11737</v>
      </c>
      <c r="D31062" s="8">
        <v>0</v>
      </c>
      <c r="E31062" s="8">
        <v>0</v>
      </c>
      <c r="F31062" s="8">
        <v>1015</v>
      </c>
    </row>
    <row r="31063" spans="1:6" ht="12.75">
      <c r="A31063" s="8">
        <v>43890.625219907408</v>
      </c>
      <c r="B31063" s="8" t="str">
        <f>HYPERLINK("https://twitter.com/kalemaja00","@kalemaja00")</f>
        <v>@kalemaja00</v>
      </c>
      <c r="C31063" s="8" t="s">
        <v>11738</v>
      </c>
      <c r="D31063" s="8">
        <v>4</v>
      </c>
      <c r="E31063" s="8">
        <v>0</v>
      </c>
      <c r="F31063" s="8">
        <v>14</v>
      </c>
    </row>
    <row r="31064" spans="1:6" ht="12.75">
      <c r="A31064" s="8">
        <v>43890.625196759254</v>
      </c>
      <c r="B31064" s="8" t="str">
        <f>HYPERLINK("https://twitter.com/Khong_Beng","@Khong_Beng")</f>
        <v>@Khong_Beng</v>
      </c>
      <c r="C31064" s="8" t="s">
        <v>11739</v>
      </c>
      <c r="D31064" s="8">
        <v>5</v>
      </c>
      <c r="E31064" s="8">
        <v>0</v>
      </c>
      <c r="F31064" s="8">
        <v>164</v>
      </c>
    </row>
    <row r="31065" spans="1:6" ht="12.75">
      <c r="A31065" s="8">
        <v>43890.625173611115</v>
      </c>
      <c r="B31065" s="8" t="str">
        <f>HYPERLINK("https://twitter.com/johnsbhat234","@johnsbhat234")</f>
        <v>@johnsbhat234</v>
      </c>
      <c r="C31065" s="8" t="s">
        <v>11420</v>
      </c>
      <c r="D31065" s="8">
        <v>25</v>
      </c>
      <c r="E31065" s="8">
        <v>0</v>
      </c>
      <c r="F31065" s="8">
        <v>2308</v>
      </c>
    </row>
    <row r="31066" spans="1:6" ht="12.75">
      <c r="A31066" s="8">
        <v>43890.625127314815</v>
      </c>
      <c r="B31066" s="8" t="str">
        <f>HYPERLINK("https://twitter.com/YudistiraLesma9","@YudistiraLesma9")</f>
        <v>@YudistiraLesma9</v>
      </c>
      <c r="C31066" s="8" t="s">
        <v>11740</v>
      </c>
      <c r="D31066" s="8">
        <v>1</v>
      </c>
      <c r="E31066" s="8">
        <v>0</v>
      </c>
      <c r="F31066" s="8">
        <v>1795</v>
      </c>
    </row>
    <row r="31067" spans="1:6" ht="12.75">
      <c r="A31067" s="8">
        <v>43890.625092592592</v>
      </c>
      <c r="B31067" s="8" t="str">
        <f>HYPERLINK("https://twitter.com/indrayono2","@indrayono2")</f>
        <v>@indrayono2</v>
      </c>
      <c r="C31067" s="8" t="s">
        <v>4235</v>
      </c>
      <c r="D31067" s="8">
        <v>1338</v>
      </c>
      <c r="E31067" s="8">
        <v>0</v>
      </c>
      <c r="F31067" s="8">
        <v>1610</v>
      </c>
    </row>
    <row r="31068" spans="1:6" ht="12.75">
      <c r="A31068" s="8">
        <v>43890.62498842593</v>
      </c>
      <c r="B31068" s="8" t="str">
        <f>HYPERLINK("https://twitter.com/YudistiraLesma9","@YudistiraLesma9")</f>
        <v>@YudistiraLesma9</v>
      </c>
      <c r="C31068" s="8" t="s">
        <v>7437</v>
      </c>
      <c r="D31068" s="8">
        <v>85</v>
      </c>
      <c r="E31068" s="8">
        <v>0</v>
      </c>
      <c r="F31068" s="8">
        <v>1795</v>
      </c>
    </row>
    <row r="31069" spans="1:6" ht="12.75">
      <c r="A31069" s="8">
        <v>43890.624953703707</v>
      </c>
      <c r="B31069" s="8" t="str">
        <f>HYPERLINK("https://twitter.com/zneha114","@zneha114")</f>
        <v>@zneha114</v>
      </c>
      <c r="C31069" s="8" t="s">
        <v>11741</v>
      </c>
      <c r="D31069" s="8">
        <v>0</v>
      </c>
      <c r="E31069" s="8">
        <v>0</v>
      </c>
      <c r="F31069" s="8">
        <v>12</v>
      </c>
    </row>
    <row r="31070" spans="1:6" ht="12.75">
      <c r="A31070" s="8">
        <v>43890.624907407408</v>
      </c>
      <c r="B31070" s="8" t="str">
        <f>HYPERLINK("https://twitter.com/NannyAlexendry","@NannyAlexendry")</f>
        <v>@NannyAlexendry</v>
      </c>
      <c r="C31070" s="8" t="s">
        <v>7437</v>
      </c>
      <c r="D31070" s="8">
        <v>85</v>
      </c>
      <c r="E31070" s="8">
        <v>0</v>
      </c>
      <c r="F31070" s="8">
        <v>2975</v>
      </c>
    </row>
    <row r="31071" spans="1:6" ht="12.75">
      <c r="A31071" s="8">
        <v>43890.624884259261</v>
      </c>
      <c r="B31071" s="8" t="str">
        <f>HYPERLINK("https://twitter.com/ngonlain","@ngonlain")</f>
        <v>@ngonlain</v>
      </c>
      <c r="C31071" s="8" t="s">
        <v>11742</v>
      </c>
      <c r="D31071" s="8">
        <v>2</v>
      </c>
      <c r="E31071" s="8">
        <v>0</v>
      </c>
      <c r="F31071" s="8">
        <v>2643</v>
      </c>
    </row>
    <row r="31072" spans="1:6" ht="12.75">
      <c r="A31072" s="8">
        <v>43890.624803240746</v>
      </c>
      <c r="B31072" s="8" t="str">
        <f>HYPERLINK("https://twitter.com/__SisiLusipara","@__SisiLusipara")</f>
        <v>@__SisiLusipara</v>
      </c>
      <c r="C31072" s="8" t="s">
        <v>11743</v>
      </c>
      <c r="D31072" s="8">
        <v>4</v>
      </c>
      <c r="E31072" s="8">
        <v>0</v>
      </c>
      <c r="F31072" s="8">
        <v>4330</v>
      </c>
    </row>
    <row r="31073" spans="1:6" ht="12.75">
      <c r="A31073" s="8">
        <v>43890.6246875</v>
      </c>
      <c r="B31073" s="8" t="str">
        <f>HYPERLINK("https://twitter.com/BayuKhrisna14","@BayuKhrisna14")</f>
        <v>@BayuKhrisna14</v>
      </c>
      <c r="C31073" s="8" t="s">
        <v>10916</v>
      </c>
      <c r="D31073" s="8">
        <v>1</v>
      </c>
      <c r="E31073" s="8">
        <v>0</v>
      </c>
      <c r="F31073" s="8">
        <v>627</v>
      </c>
    </row>
    <row r="31074" spans="1:6" ht="12.75">
      <c r="A31074" s="8">
        <v>43890.6246875</v>
      </c>
      <c r="B31074" s="8" t="str">
        <f>HYPERLINK("https://twitter.com/ngonlain","@ngonlain")</f>
        <v>@ngonlain</v>
      </c>
      <c r="C31074" s="8" t="s">
        <v>11258</v>
      </c>
      <c r="D31074" s="8">
        <v>18</v>
      </c>
      <c r="E31074" s="8">
        <v>0</v>
      </c>
      <c r="F31074" s="8">
        <v>2643</v>
      </c>
    </row>
    <row r="31075" spans="1:6" ht="12.75">
      <c r="A31075" s="8">
        <v>43890.624675925923</v>
      </c>
      <c r="B31075" s="8" t="str">
        <f>HYPERLINK("https://twitter.com/Jitr0_Tor0i","@Jitr0_Tor0i")</f>
        <v>@Jitr0_Tor0i</v>
      </c>
      <c r="C31075" s="8" t="s">
        <v>11155</v>
      </c>
      <c r="D31075" s="8">
        <v>6</v>
      </c>
      <c r="E31075" s="8">
        <v>0</v>
      </c>
      <c r="F31075" s="8">
        <v>554</v>
      </c>
    </row>
    <row r="31076" spans="1:6" ht="12.75">
      <c r="A31076" s="8">
        <v>43890.624664351853</v>
      </c>
      <c r="B31076" s="8" t="str">
        <f>HYPERLINK("https://twitter.com/Rudyp1000","@Rudyp1000")</f>
        <v>@Rudyp1000</v>
      </c>
      <c r="C31076" s="8" t="s">
        <v>10811</v>
      </c>
      <c r="D31076" s="8">
        <v>143</v>
      </c>
      <c r="E31076" s="8">
        <v>0</v>
      </c>
      <c r="F31076" s="8">
        <v>161</v>
      </c>
    </row>
    <row r="31077" spans="1:6" ht="12.75">
      <c r="A31077" s="8">
        <v>43890.624560185184</v>
      </c>
      <c r="B31077" s="8" t="str">
        <f>HYPERLINK("https://twitter.com/almafazi_","@almafazi_")</f>
        <v>@almafazi_</v>
      </c>
      <c r="C31077" s="8" t="s">
        <v>7437</v>
      </c>
      <c r="D31077" s="8">
        <v>85</v>
      </c>
      <c r="E31077" s="8">
        <v>0</v>
      </c>
      <c r="F31077" s="8">
        <v>353</v>
      </c>
    </row>
    <row r="31078" spans="1:6" ht="12.75">
      <c r="A31078" s="8">
        <v>43890.624548611115</v>
      </c>
      <c r="B31078" s="8" t="str">
        <f>HYPERLINK("https://twitter.com/csLz2AnVgzMSsW3","@csLz2AnVgzMSsW3")</f>
        <v>@csLz2AnVgzMSsW3</v>
      </c>
      <c r="C31078" s="8" t="s">
        <v>10939</v>
      </c>
      <c r="D31078" s="8">
        <v>105</v>
      </c>
      <c r="E31078" s="8">
        <v>0</v>
      </c>
      <c r="F31078" s="8">
        <v>37</v>
      </c>
    </row>
    <row r="31079" spans="1:6" ht="12.75">
      <c r="A31079" s="8">
        <v>43890.624548611115</v>
      </c>
      <c r="B31079" s="8" t="str">
        <f>HYPERLINK("https://twitter.com/ngonlain","@ngonlain")</f>
        <v>@ngonlain</v>
      </c>
      <c r="C31079" s="8" t="s">
        <v>11744</v>
      </c>
      <c r="D31079" s="8">
        <v>6</v>
      </c>
      <c r="E31079" s="8">
        <v>0</v>
      </c>
      <c r="F31079" s="8">
        <v>2643</v>
      </c>
    </row>
    <row r="31080" spans="1:6" ht="12.75">
      <c r="A31080" s="8">
        <v>43890.624432870369</v>
      </c>
      <c r="B31080" s="8" t="str">
        <f>HYPERLINK("https://twitter.com/kingsDja","@kingsDja")</f>
        <v>@kingsDja</v>
      </c>
      <c r="C31080" s="8" t="s">
        <v>4235</v>
      </c>
      <c r="D31080" s="8">
        <v>1338</v>
      </c>
      <c r="E31080" s="8">
        <v>0</v>
      </c>
      <c r="F31080" s="8">
        <v>695</v>
      </c>
    </row>
    <row r="31081" spans="1:6" ht="12.75">
      <c r="A31081" s="8">
        <v>43890.624398148153</v>
      </c>
      <c r="B31081" s="8" t="str">
        <f>HYPERLINK("https://twitter.com/ngonlain","@ngonlain")</f>
        <v>@ngonlain</v>
      </c>
      <c r="C31081" s="8" t="s">
        <v>11745</v>
      </c>
      <c r="D31081" s="8">
        <v>3</v>
      </c>
      <c r="E31081" s="8">
        <v>0</v>
      </c>
      <c r="F31081" s="8">
        <v>2643</v>
      </c>
    </row>
    <row r="31082" spans="1:6" ht="12.75">
      <c r="A31082" s="8">
        <v>43890.624305555553</v>
      </c>
      <c r="B31082" s="8" t="str">
        <f>HYPERLINK("https://twitter.com/CumiCue","@CumiCue")</f>
        <v>@CumiCue</v>
      </c>
      <c r="C31082" s="8" t="s">
        <v>11746</v>
      </c>
      <c r="D31082" s="8">
        <v>2</v>
      </c>
      <c r="E31082" s="8">
        <v>0</v>
      </c>
      <c r="F31082" s="8">
        <v>4456</v>
      </c>
    </row>
    <row r="31083" spans="1:6" ht="12.75">
      <c r="A31083" s="8">
        <v>43890.624293981484</v>
      </c>
      <c r="B31083" s="8" t="str">
        <f>HYPERLINK("https://twitter.com/bennywiweka","@bennywiweka")</f>
        <v>@bennywiweka</v>
      </c>
      <c r="C31083" s="8" t="s">
        <v>11747</v>
      </c>
      <c r="D31083" s="8">
        <v>0</v>
      </c>
      <c r="E31083" s="8">
        <v>0</v>
      </c>
      <c r="F31083" s="8">
        <v>274</v>
      </c>
    </row>
    <row r="31084" spans="1:6" ht="12.75">
      <c r="A31084" s="8">
        <v>43890.624224537038</v>
      </c>
      <c r="B31084" s="8" t="str">
        <f>HYPERLINK("https://twitter.com/Armiyadimalik","@Armiyadimalik")</f>
        <v>@Armiyadimalik</v>
      </c>
      <c r="C31084" s="8" t="s">
        <v>11690</v>
      </c>
      <c r="D31084" s="8">
        <v>8</v>
      </c>
      <c r="E31084" s="8">
        <v>0</v>
      </c>
      <c r="F31084" s="8">
        <v>4671</v>
      </c>
    </row>
    <row r="31085" spans="1:6" ht="12.75">
      <c r="A31085" s="8">
        <v>43890.624155092592</v>
      </c>
      <c r="B31085" s="8" t="str">
        <f>HYPERLINK("https://twitter.com/IsDhen","@IsDhen")</f>
        <v>@IsDhen</v>
      </c>
      <c r="C31085" s="8" t="s">
        <v>11748</v>
      </c>
      <c r="D31085" s="8">
        <v>0</v>
      </c>
      <c r="E31085" s="8">
        <v>0</v>
      </c>
      <c r="F31085" s="8">
        <v>40</v>
      </c>
    </row>
    <row r="31086" spans="1:6" ht="12.75">
      <c r="A31086" s="8">
        <v>43890.590115740742</v>
      </c>
      <c r="B31086" s="8" t="str">
        <f>HYPERLINK("https://twitter.com/muispebrianto","@muispebrianto")</f>
        <v>@muispebrianto</v>
      </c>
      <c r="C31086" s="8" t="s">
        <v>7437</v>
      </c>
      <c r="D31086" s="8">
        <v>41</v>
      </c>
      <c r="E31086" s="8">
        <v>0</v>
      </c>
      <c r="F31086" s="8">
        <v>2816</v>
      </c>
    </row>
    <row r="31087" spans="1:6" ht="12.75">
      <c r="A31087" s="8">
        <v>43890.590081018519</v>
      </c>
      <c r="B31087" s="8" t="str">
        <f>HYPERLINK("https://twitter.com/3_devout","@3_devout")</f>
        <v>@3_devout</v>
      </c>
      <c r="C31087" s="8" t="s">
        <v>11749</v>
      </c>
      <c r="D31087" s="8">
        <v>1</v>
      </c>
      <c r="E31087" s="8">
        <v>0</v>
      </c>
      <c r="F31087" s="8">
        <v>1061</v>
      </c>
    </row>
    <row r="31088" spans="1:6" ht="12.75">
      <c r="A31088" s="8">
        <v>43890.589953703704</v>
      </c>
      <c r="B31088" s="8" t="str">
        <f>HYPERLINK("https://twitter.com/joejuve1987","@joejuve1987")</f>
        <v>@joejuve1987</v>
      </c>
      <c r="C31088" s="8" t="s">
        <v>6490</v>
      </c>
      <c r="D31088" s="8">
        <v>232</v>
      </c>
      <c r="E31088" s="8">
        <v>0</v>
      </c>
      <c r="F31088" s="8">
        <v>282</v>
      </c>
    </row>
    <row r="31089" spans="1:6" ht="12.75">
      <c r="A31089" s="8">
        <v>43890.589942129634</v>
      </c>
      <c r="B31089" s="8" t="str">
        <f>HYPERLINK("https://twitter.com/pujangga1123","@pujangga1123")</f>
        <v>@pujangga1123</v>
      </c>
      <c r="C31089" s="8" t="s">
        <v>11105</v>
      </c>
      <c r="D31089" s="8">
        <v>105</v>
      </c>
      <c r="E31089" s="8">
        <v>0</v>
      </c>
      <c r="F31089" s="8">
        <v>13152</v>
      </c>
    </row>
    <row r="31090" spans="1:6" ht="12.75">
      <c r="A31090" s="8">
        <v>43890.589837962965</v>
      </c>
      <c r="B31090" s="8" t="str">
        <f>HYPERLINK("https://twitter.com/MinoRailola","@MinoRailola")</f>
        <v>@MinoRailola</v>
      </c>
      <c r="C31090" s="8" t="s">
        <v>11750</v>
      </c>
      <c r="D31090" s="8">
        <v>0</v>
      </c>
      <c r="E31090" s="8">
        <v>0</v>
      </c>
      <c r="F31090" s="8">
        <v>0</v>
      </c>
    </row>
    <row r="31091" spans="1:6" ht="12.75">
      <c r="A31091" s="8">
        <v>43890.589803240742</v>
      </c>
      <c r="B31091" s="8" t="str">
        <f>HYPERLINK("https://twitter.com/muh_utomo","@muh_utomo")</f>
        <v>@muh_utomo</v>
      </c>
      <c r="C31091" s="8" t="s">
        <v>11105</v>
      </c>
      <c r="D31091" s="8">
        <v>105</v>
      </c>
      <c r="E31091" s="8">
        <v>0</v>
      </c>
      <c r="F31091" s="8">
        <v>301</v>
      </c>
    </row>
    <row r="31092" spans="1:6" ht="12.75">
      <c r="A31092" s="8">
        <v>43890.589733796296</v>
      </c>
      <c r="B31092" s="8" t="str">
        <f>HYPERLINK("https://twitter.com/tjapoenglaut","@tjapoenglaut")</f>
        <v>@tjapoenglaut</v>
      </c>
      <c r="C31092" s="8" t="s">
        <v>11751</v>
      </c>
      <c r="D31092" s="8">
        <v>0</v>
      </c>
      <c r="E31092" s="8">
        <v>0</v>
      </c>
      <c r="F31092" s="8">
        <v>835</v>
      </c>
    </row>
    <row r="31093" spans="1:6" ht="12.75">
      <c r="A31093" s="8">
        <v>43890.589699074073</v>
      </c>
      <c r="B31093" s="8" t="str">
        <f>HYPERLINK("https://twitter.com/hizuu_","@hizuu_")</f>
        <v>@hizuu_</v>
      </c>
      <c r="C31093" s="8" t="s">
        <v>11704</v>
      </c>
      <c r="D31093" s="8">
        <v>4</v>
      </c>
      <c r="E31093" s="8">
        <v>0</v>
      </c>
      <c r="F31093" s="8">
        <v>356</v>
      </c>
    </row>
    <row r="31094" spans="1:6" ht="12.75">
      <c r="A31094" s="8">
        <v>43890.589618055557</v>
      </c>
      <c r="B31094" s="8" t="str">
        <f>HYPERLINK("https://twitter.com/Heehruu","@Heehruu")</f>
        <v>@Heehruu</v>
      </c>
      <c r="C31094" s="8" t="s">
        <v>7437</v>
      </c>
      <c r="D31094" s="8">
        <v>41</v>
      </c>
      <c r="E31094" s="8">
        <v>0</v>
      </c>
      <c r="F31094" s="8">
        <v>170</v>
      </c>
    </row>
    <row r="31095" spans="1:6" ht="12.75">
      <c r="A31095" s="8">
        <v>43890.589583333334</v>
      </c>
      <c r="B31095" s="8" t="str">
        <f>HYPERLINK("https://twitter.com/__MV_llestari__","@__MV_llestari__")</f>
        <v>@__MV_llestari__</v>
      </c>
      <c r="C31095" s="8" t="s">
        <v>11752</v>
      </c>
      <c r="D31095" s="8">
        <v>1</v>
      </c>
      <c r="E31095" s="8">
        <v>0</v>
      </c>
      <c r="F31095" s="8">
        <v>9002</v>
      </c>
    </row>
    <row r="31096" spans="1:6" ht="12.75">
      <c r="A31096" s="8">
        <v>43890.589421296296</v>
      </c>
      <c r="B31096" s="8" t="str">
        <f>HYPERLINK("https://twitter.com/MaduraUnitedku","@MaduraUnitedku")</f>
        <v>@MaduraUnitedku</v>
      </c>
      <c r="C31096" s="8" t="s">
        <v>11753</v>
      </c>
      <c r="D31096" s="8">
        <v>0</v>
      </c>
      <c r="E31096" s="8">
        <v>0</v>
      </c>
      <c r="F31096" s="8">
        <v>1421</v>
      </c>
    </row>
    <row r="31097" spans="1:6" ht="12.75">
      <c r="A31097" s="8">
        <v>43890.589317129634</v>
      </c>
      <c r="B31097" s="8" t="str">
        <f>HYPERLINK("https://twitter.com/junimendo007","@junimendo007")</f>
        <v>@junimendo007</v>
      </c>
      <c r="C31097" s="8" t="s">
        <v>10811</v>
      </c>
      <c r="D31097" s="8">
        <v>118</v>
      </c>
      <c r="E31097" s="8">
        <v>0</v>
      </c>
      <c r="F31097" s="8">
        <v>1052</v>
      </c>
    </row>
    <row r="31098" spans="1:6" ht="12.75">
      <c r="A31098" s="8">
        <v>43890.589212962965</v>
      </c>
      <c r="B31098" s="8" t="str">
        <f>HYPERLINK("https://twitter.com/__MV_llestari__","@__MV_llestari__")</f>
        <v>@__MV_llestari__</v>
      </c>
      <c r="C31098" s="8" t="s">
        <v>11754</v>
      </c>
      <c r="D31098" s="8">
        <v>1</v>
      </c>
      <c r="E31098" s="8">
        <v>0</v>
      </c>
      <c r="F31098" s="8">
        <v>9002</v>
      </c>
    </row>
    <row r="31099" spans="1:6" ht="12.75">
      <c r="A31099" s="8">
        <v>43890.589201388888</v>
      </c>
      <c r="B31099" s="8" t="str">
        <f>HYPERLINK("https://twitter.com/AeronHanaco","@AeronHanaco")</f>
        <v>@AeronHanaco</v>
      </c>
      <c r="C31099" s="8" t="s">
        <v>7686</v>
      </c>
      <c r="D31099" s="8">
        <v>309</v>
      </c>
      <c r="E31099" s="8">
        <v>0</v>
      </c>
      <c r="F31099" s="8">
        <v>324</v>
      </c>
    </row>
    <row r="31100" spans="1:6" ht="12.75">
      <c r="A31100" s="8">
        <v>43890.589189814811</v>
      </c>
      <c r="B31100" s="8" t="str">
        <f>HYPERLINK("https://twitter.com/penyejuk_hati_","@penyejuk_hati_")</f>
        <v>@penyejuk_hati_</v>
      </c>
      <c r="C31100" s="8" t="s">
        <v>11755</v>
      </c>
      <c r="D31100" s="8">
        <v>1</v>
      </c>
      <c r="E31100" s="8">
        <v>0</v>
      </c>
      <c r="F31100" s="8">
        <v>3939</v>
      </c>
    </row>
    <row r="31101" spans="1:6" ht="12.75">
      <c r="A31101" s="8">
        <v>43890.588900462964</v>
      </c>
      <c r="B31101" s="8" t="str">
        <f>HYPERLINK("https://twitter.com/dioxysus","@dioxysus")</f>
        <v>@dioxysus</v>
      </c>
      <c r="C31101" s="8" t="s">
        <v>11756</v>
      </c>
      <c r="D31101" s="8">
        <v>0</v>
      </c>
      <c r="E31101" s="8">
        <v>0</v>
      </c>
      <c r="F31101" s="8">
        <v>158</v>
      </c>
    </row>
    <row r="31102" spans="1:6" ht="12.75">
      <c r="A31102" s="8">
        <v>43890.588865740741</v>
      </c>
      <c r="B31102" s="8" t="str">
        <f>HYPERLINK("https://twitter.com/KakekHalal","@KakekHalal")</f>
        <v>@KakekHalal</v>
      </c>
      <c r="C31102" s="8" t="s">
        <v>7437</v>
      </c>
      <c r="D31102" s="8">
        <v>41</v>
      </c>
      <c r="E31102" s="8">
        <v>0</v>
      </c>
      <c r="F31102" s="8">
        <v>22896</v>
      </c>
    </row>
    <row r="31103" spans="1:6" ht="12.75">
      <c r="A31103" s="8">
        <v>43890.588773148149</v>
      </c>
      <c r="B31103" s="8" t="str">
        <f>HYPERLINK("https://twitter.com/DavidHaris10","@DavidHaris10")</f>
        <v>@DavidHaris10</v>
      </c>
      <c r="C31103" s="8" t="s">
        <v>4235</v>
      </c>
      <c r="D31103" s="8">
        <v>1297</v>
      </c>
      <c r="E31103" s="8">
        <v>0</v>
      </c>
      <c r="F31103" s="8">
        <v>965</v>
      </c>
    </row>
    <row r="31104" spans="1:6" ht="12.75">
      <c r="A31104" s="8">
        <v>43890.588703703703</v>
      </c>
      <c r="B31104" s="8" t="str">
        <f>HYPERLINK("https://twitter.com/tap_mz","@tap_mz")</f>
        <v>@tap_mz</v>
      </c>
      <c r="C31104" s="8" t="s">
        <v>11757</v>
      </c>
      <c r="D31104" s="8">
        <v>0</v>
      </c>
      <c r="E31104" s="8">
        <v>0</v>
      </c>
      <c r="F31104" s="8">
        <v>755</v>
      </c>
    </row>
    <row r="31105" spans="1:6" ht="12.75">
      <c r="A31105" s="8">
        <v>43890.588344907403</v>
      </c>
      <c r="B31105" s="8" t="str">
        <f>HYPERLINK("https://twitter.com/Jatiman1899","@Jatiman1899")</f>
        <v>@Jatiman1899</v>
      </c>
      <c r="C31105" s="8" t="s">
        <v>7686</v>
      </c>
      <c r="D31105" s="8">
        <v>309</v>
      </c>
      <c r="E31105" s="8">
        <v>0</v>
      </c>
      <c r="F31105" s="8">
        <v>391</v>
      </c>
    </row>
    <row r="31106" spans="1:6" ht="12.75">
      <c r="A31106" s="8">
        <v>43890.588287037041</v>
      </c>
      <c r="B31106" s="8" t="str">
        <f>HYPERLINK("https://twitter.com/molordaharulin","@molordaharulin")</f>
        <v>@molordaharulin</v>
      </c>
      <c r="C31106" s="8" t="s">
        <v>11758</v>
      </c>
      <c r="D31106" s="8">
        <v>0</v>
      </c>
      <c r="E31106" s="8">
        <v>0</v>
      </c>
      <c r="F31106" s="8">
        <v>1480</v>
      </c>
    </row>
    <row r="31107" spans="1:6" ht="12.75">
      <c r="A31107" s="8">
        <v>43890.588229166664</v>
      </c>
      <c r="B31107" s="8" t="str">
        <f>HYPERLINK("https://twitter.com/andalasiy","@andalasiy")</f>
        <v>@andalasiy</v>
      </c>
      <c r="C31107" s="8" t="s">
        <v>11759</v>
      </c>
      <c r="D31107" s="8">
        <v>30</v>
      </c>
      <c r="E31107" s="8">
        <v>0</v>
      </c>
      <c r="F31107" s="8">
        <v>162</v>
      </c>
    </row>
    <row r="31108" spans="1:6" ht="12.75">
      <c r="A31108" s="8">
        <v>43890.588217592594</v>
      </c>
      <c r="B31108" s="8" t="str">
        <f>HYPERLINK("https://twitter.com/Scorpio746","@Scorpio746")</f>
        <v>@Scorpio746</v>
      </c>
      <c r="C31108" s="8" t="s">
        <v>10755</v>
      </c>
      <c r="D31108" s="8">
        <v>676</v>
      </c>
      <c r="E31108" s="8">
        <v>0</v>
      </c>
      <c r="F31108" s="8">
        <v>68</v>
      </c>
    </row>
    <row r="31109" spans="1:6" ht="12.75">
      <c r="A31109" s="8">
        <v>43890.588171296295</v>
      </c>
      <c r="B31109" s="8" t="str">
        <f>HYPERLINK("https://twitter.com/Midjan_La","@Midjan_La")</f>
        <v>@Midjan_La</v>
      </c>
      <c r="C31109" s="8" t="s">
        <v>11155</v>
      </c>
      <c r="D31109" s="8">
        <v>2</v>
      </c>
      <c r="E31109" s="8">
        <v>0</v>
      </c>
      <c r="F31109" s="8">
        <v>15510</v>
      </c>
    </row>
    <row r="31110" spans="1:6" ht="12.75">
      <c r="A31110" s="8">
        <v>43890.588136574079</v>
      </c>
      <c r="B31110" s="8" t="str">
        <f>HYPERLINK("https://twitter.com/Diple13","@Diple13")</f>
        <v>@Diple13</v>
      </c>
      <c r="C31110" s="8" t="s">
        <v>8746</v>
      </c>
      <c r="D31110" s="8">
        <v>163</v>
      </c>
      <c r="E31110" s="8">
        <v>0</v>
      </c>
      <c r="F31110" s="8">
        <v>123</v>
      </c>
    </row>
    <row r="31111" spans="1:6" ht="12.75">
      <c r="A31111" s="8">
        <v>43890.58798611111</v>
      </c>
      <c r="B31111" s="8" t="str">
        <f>HYPERLINK("https://twitter.com/damayaja2","@damayaja2")</f>
        <v>@damayaja2</v>
      </c>
      <c r="C31111" s="8" t="s">
        <v>11760</v>
      </c>
      <c r="D31111" s="8">
        <v>0</v>
      </c>
      <c r="E31111" s="8">
        <v>0</v>
      </c>
      <c r="F31111" s="8">
        <v>20</v>
      </c>
    </row>
    <row r="31112" spans="1:6" ht="12.75">
      <c r="A31112" s="8">
        <v>43890.58792824074</v>
      </c>
      <c r="B31112" s="8" t="str">
        <f>HYPERLINK("https://twitter.com/NasrizqiMaulana","@NasrizqiMaulana")</f>
        <v>@NasrizqiMaulana</v>
      </c>
      <c r="C31112" s="8" t="s">
        <v>11761</v>
      </c>
      <c r="D31112" s="8">
        <v>87</v>
      </c>
      <c r="E31112" s="8">
        <v>0</v>
      </c>
      <c r="F31112" s="8">
        <v>86</v>
      </c>
    </row>
    <row r="31113" spans="1:6" ht="12.75">
      <c r="A31113" s="8">
        <v>43890.587881944448</v>
      </c>
      <c r="B31113" s="8" t="str">
        <f>HYPERLINK("https://twitter.com/tempodotco","@tempodotco")</f>
        <v>@tempodotco</v>
      </c>
      <c r="C31113" s="8" t="s">
        <v>11762</v>
      </c>
      <c r="D31113" s="8">
        <v>0</v>
      </c>
      <c r="E31113" s="8">
        <v>0</v>
      </c>
      <c r="F31113" s="8">
        <v>1713403</v>
      </c>
    </row>
    <row r="31114" spans="1:6" ht="12.75">
      <c r="A31114" s="8">
        <v>43890.587824074071</v>
      </c>
      <c r="B31114" s="8" t="str">
        <f>HYPERLINK("https://twitter.com/pendividia","@pendividia")</f>
        <v>@pendividia</v>
      </c>
      <c r="C31114" s="8" t="s">
        <v>7437</v>
      </c>
      <c r="D31114" s="8">
        <v>41</v>
      </c>
      <c r="E31114" s="8">
        <v>0</v>
      </c>
      <c r="F31114" s="8">
        <v>599</v>
      </c>
    </row>
    <row r="31115" spans="1:6" ht="12.75">
      <c r="A31115" s="8">
        <v>43890.587673611109</v>
      </c>
      <c r="B31115" s="8" t="str">
        <f>HYPERLINK("https://twitter.com/JamesFabianR","@JamesFabianR")</f>
        <v>@JamesFabianR</v>
      </c>
      <c r="C31115" s="8" t="s">
        <v>10811</v>
      </c>
      <c r="D31115" s="8">
        <v>118</v>
      </c>
      <c r="E31115" s="8">
        <v>0</v>
      </c>
      <c r="F31115" s="8">
        <v>559</v>
      </c>
    </row>
    <row r="31116" spans="1:6" ht="12.75">
      <c r="A31116" s="8">
        <v>43890.587638888886</v>
      </c>
      <c r="B31116" s="8" t="str">
        <f>HYPERLINK("https://twitter.com/rizal_alfarouqy","@rizal_alfarouqy")</f>
        <v>@rizal_alfarouqy</v>
      </c>
      <c r="C31116" s="8" t="s">
        <v>7437</v>
      </c>
      <c r="D31116" s="8">
        <v>41</v>
      </c>
      <c r="E31116" s="8">
        <v>0</v>
      </c>
      <c r="F31116" s="8">
        <v>435</v>
      </c>
    </row>
    <row r="31117" spans="1:6" ht="12.75">
      <c r="A31117" s="8">
        <v>43890.587476851855</v>
      </c>
      <c r="B31117" s="8" t="str">
        <f>HYPERLINK("https://twitter.com/yamchakep","@yamchakep")</f>
        <v>@yamchakep</v>
      </c>
      <c r="C31117" s="8" t="s">
        <v>11763</v>
      </c>
      <c r="D31117" s="8">
        <v>3</v>
      </c>
      <c r="E31117" s="8">
        <v>0</v>
      </c>
      <c r="F31117" s="8">
        <v>217</v>
      </c>
    </row>
    <row r="31118" spans="1:6" ht="12.75">
      <c r="A31118" s="8">
        <v>43890.587395833332</v>
      </c>
      <c r="B31118" s="8" t="str">
        <f>HYPERLINK("https://twitter.com/ivanchristi3","@ivanchristi3")</f>
        <v>@ivanchristi3</v>
      </c>
      <c r="C31118" s="8" t="s">
        <v>11653</v>
      </c>
      <c r="D31118" s="8">
        <v>4</v>
      </c>
      <c r="E31118" s="8">
        <v>0</v>
      </c>
      <c r="F31118" s="8">
        <v>2506</v>
      </c>
    </row>
    <row r="31119" spans="1:6" ht="12.75">
      <c r="A31119" s="8">
        <v>43890.587384259255</v>
      </c>
      <c r="B31119" s="8" t="str">
        <f>HYPERLINK("https://twitter.com/Coki03055491","@Coki03055491")</f>
        <v>@Coki03055491</v>
      </c>
      <c r="C31119" s="8" t="s">
        <v>11764</v>
      </c>
      <c r="D31119" s="8">
        <v>0</v>
      </c>
      <c r="E31119" s="8">
        <v>0</v>
      </c>
      <c r="F31119" s="8">
        <v>79</v>
      </c>
    </row>
    <row r="31120" spans="1:6" ht="12.75">
      <c r="A31120" s="8">
        <v>43890.587337962963</v>
      </c>
      <c r="B31120" s="8" t="str">
        <f>HYPERLINK("https://twitter.com/ademafulloy","@ademafulloy")</f>
        <v>@ademafulloy</v>
      </c>
      <c r="C31120" s="8" t="s">
        <v>11765</v>
      </c>
      <c r="D31120" s="8">
        <v>600</v>
      </c>
      <c r="E31120" s="8">
        <v>0</v>
      </c>
      <c r="F31120" s="8">
        <v>181</v>
      </c>
    </row>
    <row r="31121" spans="1:6" ht="12.75">
      <c r="A31121" s="8">
        <v>43890.587268518517</v>
      </c>
      <c r="B31121" s="8" t="str">
        <f>HYPERLINK("https://twitter.com/dewa_dawi","@dewa_dawi")</f>
        <v>@dewa_dawi</v>
      </c>
      <c r="C31121" s="8" t="s">
        <v>7686</v>
      </c>
      <c r="D31121" s="8">
        <v>309</v>
      </c>
      <c r="E31121" s="8">
        <v>0</v>
      </c>
      <c r="F31121" s="8">
        <v>1145</v>
      </c>
    </row>
    <row r="31122" spans="1:6" ht="12.75">
      <c r="A31122" s="8">
        <v>43890.587233796294</v>
      </c>
      <c r="B31122" s="8" t="str">
        <f>HYPERLINK("https://twitter.com/OliviaCath1540","@OliviaCath1540")</f>
        <v>@OliviaCath1540</v>
      </c>
      <c r="C31122" s="8" t="s">
        <v>11738</v>
      </c>
      <c r="D31122" s="8">
        <v>3</v>
      </c>
      <c r="E31122" s="8">
        <v>0</v>
      </c>
      <c r="F31122" s="8">
        <v>1254</v>
      </c>
    </row>
    <row r="31123" spans="1:6" ht="12.75">
      <c r="A31123" s="8">
        <v>43890.587199074071</v>
      </c>
      <c r="B31123" s="8" t="str">
        <f>HYPERLINK("https://twitter.com/tvOneNews","@tvOneNews")</f>
        <v>@tvOneNews</v>
      </c>
      <c r="C31123" s="8" t="s">
        <v>11766</v>
      </c>
      <c r="D31123" s="8">
        <v>1</v>
      </c>
      <c r="E31123" s="8">
        <v>5</v>
      </c>
      <c r="F31123" s="8">
        <v>8723811</v>
      </c>
    </row>
    <row r="31124" spans="1:6" ht="12.75">
      <c r="A31124" s="8">
        <v>43890.587175925924</v>
      </c>
      <c r="B31124" s="8" t="str">
        <f>HYPERLINK("https://twitter.com/Rizky0220421439","@Rizky0220421439")</f>
        <v>@Rizky0220421439</v>
      </c>
      <c r="C31124" s="8" t="s">
        <v>10811</v>
      </c>
      <c r="D31124" s="8">
        <v>118</v>
      </c>
      <c r="E31124" s="8">
        <v>0</v>
      </c>
      <c r="F31124" s="8">
        <v>1611</v>
      </c>
    </row>
    <row r="31125" spans="1:6" ht="12.75">
      <c r="A31125" s="8">
        <v>43890.587141203709</v>
      </c>
      <c r="B31125" s="8" t="str">
        <f>HYPERLINK("https://twitter.com/indra_ibn7","@indra_ibn7")</f>
        <v>@indra_ibn7</v>
      </c>
      <c r="C31125" s="8" t="s">
        <v>8746</v>
      </c>
      <c r="D31125" s="8">
        <v>163</v>
      </c>
      <c r="E31125" s="8">
        <v>0</v>
      </c>
      <c r="F31125" s="8">
        <v>101</v>
      </c>
    </row>
    <row r="31126" spans="1:6" ht="12.75">
      <c r="A31126" s="8">
        <v>43890.587106481486</v>
      </c>
      <c r="B31126" s="8" t="str">
        <f>HYPERLINK("https://twitter.com/mbakdaraayu","@mbakdaraayu")</f>
        <v>@mbakdaraayu</v>
      </c>
      <c r="C31126" s="8" t="s">
        <v>11767</v>
      </c>
      <c r="D31126" s="8">
        <v>0</v>
      </c>
      <c r="E31126" s="8">
        <v>0</v>
      </c>
      <c r="F31126" s="8">
        <v>129</v>
      </c>
    </row>
    <row r="31127" spans="1:6" ht="12.75">
      <c r="A31127" s="8">
        <v>43890.587071759262</v>
      </c>
      <c r="B31127" s="8" t="str">
        <f>HYPERLINK("https://twitter.com/as_Smr","@as_Smr")</f>
        <v>@as_Smr</v>
      </c>
      <c r="C31127" s="8" t="s">
        <v>7437</v>
      </c>
      <c r="D31127" s="8">
        <v>41</v>
      </c>
      <c r="E31127" s="8">
        <v>0</v>
      </c>
      <c r="F31127" s="8">
        <v>146</v>
      </c>
    </row>
    <row r="31128" spans="1:6" ht="12.75">
      <c r="A31128" s="8">
        <v>43890.587048611109</v>
      </c>
      <c r="B31128" s="8" t="str">
        <f>HYPERLINK("https://twitter.com/givzas","@givzas")</f>
        <v>@givzas</v>
      </c>
      <c r="C31128" s="8" t="s">
        <v>7686</v>
      </c>
      <c r="D31128" s="8">
        <v>309</v>
      </c>
      <c r="E31128" s="8">
        <v>0</v>
      </c>
      <c r="F31128" s="8">
        <v>2497</v>
      </c>
    </row>
    <row r="31129" spans="1:6" ht="12.75">
      <c r="A31129" s="8">
        <v>43890.587037037039</v>
      </c>
      <c r="B31129" s="8" t="str">
        <f>HYPERLINK("https://twitter.com/MochAskar1","@MochAskar1")</f>
        <v>@MochAskar1</v>
      </c>
      <c r="C31129" s="8" t="s">
        <v>11670</v>
      </c>
      <c r="D31129" s="8">
        <v>3</v>
      </c>
      <c r="E31129" s="8">
        <v>0</v>
      </c>
      <c r="F31129" s="8">
        <v>16</v>
      </c>
    </row>
    <row r="31130" spans="1:6" ht="12.75">
      <c r="A31130" s="8">
        <v>43890.587037037039</v>
      </c>
      <c r="B31130" s="8" t="str">
        <f>HYPERLINK("https://twitter.com/wie105","@wie105")</f>
        <v>@wie105</v>
      </c>
      <c r="C31130" s="8" t="s">
        <v>11768</v>
      </c>
      <c r="D31130" s="8">
        <v>1</v>
      </c>
      <c r="E31130" s="8">
        <v>0</v>
      </c>
      <c r="F31130" s="8">
        <v>42</v>
      </c>
    </row>
    <row r="31131" spans="1:6" ht="12.75">
      <c r="A31131" s="8">
        <v>43890.587025462963</v>
      </c>
      <c r="B31131" s="8" t="str">
        <f>HYPERLINK("https://twitter.com/RMondrokumoro","@RMondrokumoro")</f>
        <v>@RMondrokumoro</v>
      </c>
      <c r="C31131" s="8" t="s">
        <v>11769</v>
      </c>
      <c r="D31131" s="8">
        <v>0</v>
      </c>
      <c r="E31131" s="8">
        <v>0</v>
      </c>
      <c r="F31131" s="8">
        <v>27</v>
      </c>
    </row>
    <row r="31132" spans="1:6" ht="12.75">
      <c r="A31132" s="8">
        <v>43890.58694444444</v>
      </c>
      <c r="B31132" s="8" t="str">
        <f>HYPERLINK("https://twitter.com/YoyokSubandriy3","@YoyokSubandriy3")</f>
        <v>@YoyokSubandriy3</v>
      </c>
      <c r="C31132" s="8" t="s">
        <v>11770</v>
      </c>
      <c r="D31132" s="8">
        <v>1</v>
      </c>
      <c r="E31132" s="8">
        <v>0</v>
      </c>
      <c r="F31132" s="8">
        <v>1383</v>
      </c>
    </row>
    <row r="31133" spans="1:6" ht="12.75">
      <c r="A31133" s="8">
        <v>43890.586712962962</v>
      </c>
      <c r="B31133" s="8" t="str">
        <f>HYPERLINK("https://twitter.com/johnsbhat234","@johnsbhat234")</f>
        <v>@johnsbhat234</v>
      </c>
      <c r="C31133" s="8" t="s">
        <v>11771</v>
      </c>
      <c r="D31133" s="8">
        <v>12</v>
      </c>
      <c r="E31133" s="8">
        <v>0</v>
      </c>
      <c r="F31133" s="8">
        <v>2308</v>
      </c>
    </row>
    <row r="31134" spans="1:6" ht="12.75">
      <c r="A31134" s="8">
        <v>43890.586643518516</v>
      </c>
      <c r="B31134" s="8" t="str">
        <f>HYPERLINK("https://twitter.com/Fadil38579039","@Fadil38579039")</f>
        <v>@Fadil38579039</v>
      </c>
      <c r="C31134" s="8" t="s">
        <v>8746</v>
      </c>
      <c r="D31134" s="8">
        <v>163</v>
      </c>
      <c r="E31134" s="8">
        <v>0</v>
      </c>
      <c r="F31134" s="8">
        <v>467</v>
      </c>
    </row>
    <row r="31135" spans="1:6" ht="12.75">
      <c r="A31135" s="8">
        <v>43890.58662037037</v>
      </c>
      <c r="B31135" s="8" t="str">
        <f>HYPERLINK("https://twitter.com/WPHalim","@WPHalim")</f>
        <v>@WPHalim</v>
      </c>
      <c r="C31135" s="8" t="s">
        <v>11075</v>
      </c>
      <c r="D31135" s="8">
        <v>42</v>
      </c>
      <c r="E31135" s="8">
        <v>0</v>
      </c>
      <c r="F31135" s="8">
        <v>308</v>
      </c>
    </row>
    <row r="31136" spans="1:6" ht="12.75">
      <c r="A31136" s="8">
        <v>43890.586597222224</v>
      </c>
      <c r="B31136" s="8" t="str">
        <f>HYPERLINK("https://twitter.com/NasrizqiMaulana","@NasrizqiMaulana")</f>
        <v>@NasrizqiMaulana</v>
      </c>
      <c r="C31136" s="8" t="s">
        <v>10657</v>
      </c>
      <c r="D31136" s="8">
        <v>13</v>
      </c>
      <c r="E31136" s="8">
        <v>0</v>
      </c>
      <c r="F31136" s="8">
        <v>86</v>
      </c>
    </row>
    <row r="31137" spans="1:6" ht="12.75">
      <c r="A31137" s="8">
        <v>43890.586539351847</v>
      </c>
      <c r="B31137" s="8" t="str">
        <f>HYPERLINK("https://twitter.com/johnsbhat234","@johnsbhat234")</f>
        <v>@johnsbhat234</v>
      </c>
      <c r="C31137" s="8" t="s">
        <v>11653</v>
      </c>
      <c r="D31137" s="8">
        <v>4</v>
      </c>
      <c r="E31137" s="8">
        <v>0</v>
      </c>
      <c r="F31137" s="8">
        <v>2308</v>
      </c>
    </row>
    <row r="31138" spans="1:6" ht="12.75">
      <c r="A31138" s="8">
        <v>43890.586365740739</v>
      </c>
      <c r="B31138" s="8" t="str">
        <f>HYPERLINK("https://twitter.com/agoessp","@agoessp")</f>
        <v>@agoessp</v>
      </c>
      <c r="C31138" s="8" t="s">
        <v>11358</v>
      </c>
      <c r="D31138" s="8">
        <v>20</v>
      </c>
      <c r="E31138" s="8">
        <v>0</v>
      </c>
      <c r="F31138" s="8">
        <v>143</v>
      </c>
    </row>
    <row r="31139" spans="1:6" ht="12.75">
      <c r="A31139" s="8">
        <v>43890.586273148147</v>
      </c>
      <c r="B31139" s="8" t="str">
        <f>HYPERLINK("https://twitter.com/DagonagaMelky","@DagonagaMelky")</f>
        <v>@DagonagaMelky</v>
      </c>
      <c r="C31139" s="8" t="s">
        <v>11332</v>
      </c>
      <c r="D31139" s="8">
        <v>36</v>
      </c>
      <c r="E31139" s="8">
        <v>0</v>
      </c>
      <c r="F31139" s="8">
        <v>481</v>
      </c>
    </row>
    <row r="31140" spans="1:6" ht="12.75">
      <c r="A31140" s="8">
        <v>43890.5862037037</v>
      </c>
      <c r="B31140" s="8" t="str">
        <f>HYPERLINK("https://twitter.com/iphsp","@iphsp")</f>
        <v>@iphsp</v>
      </c>
      <c r="C31140" s="8" t="s">
        <v>11117</v>
      </c>
      <c r="D31140" s="8">
        <v>42</v>
      </c>
      <c r="E31140" s="8">
        <v>0</v>
      </c>
      <c r="F31140" s="8">
        <v>51</v>
      </c>
    </row>
    <row r="31141" spans="1:6" ht="12.75">
      <c r="A31141" s="8">
        <v>43890.586122685185</v>
      </c>
      <c r="B31141" s="8" t="str">
        <f>HYPERLINK("https://twitter.com/M4rselo","@M4rselo")</f>
        <v>@M4rselo</v>
      </c>
      <c r="C31141" s="8" t="s">
        <v>6836</v>
      </c>
      <c r="D31141" s="8">
        <v>350</v>
      </c>
      <c r="E31141" s="8">
        <v>0</v>
      </c>
      <c r="F31141" s="8">
        <v>74</v>
      </c>
    </row>
    <row r="31142" spans="1:6" ht="12.75">
      <c r="A31142" s="8">
        <v>43890.586041666669</v>
      </c>
      <c r="B31142" s="8" t="str">
        <f>HYPERLINK("https://twitter.com/jakaswa65626492","@jakaswa65626492")</f>
        <v>@jakaswa65626492</v>
      </c>
      <c r="C31142" s="8" t="s">
        <v>6836</v>
      </c>
      <c r="D31142" s="8">
        <v>350</v>
      </c>
      <c r="E31142" s="8">
        <v>0</v>
      </c>
      <c r="F31142" s="8">
        <v>457</v>
      </c>
    </row>
    <row r="31143" spans="1:6" ht="12.75">
      <c r="A31143" s="8">
        <v>43890.58594907407</v>
      </c>
      <c r="B31143" s="8" t="str">
        <f>HYPERLINK("https://twitter.com/amrudinnejad_","@amrudinnejad_")</f>
        <v>@amrudinnejad_</v>
      </c>
      <c r="C31143" s="8" t="s">
        <v>11075</v>
      </c>
      <c r="D31143" s="8">
        <v>42</v>
      </c>
      <c r="E31143" s="8">
        <v>0</v>
      </c>
      <c r="F31143" s="8">
        <v>7977</v>
      </c>
    </row>
    <row r="31144" spans="1:6" ht="12.75">
      <c r="A31144" s="8">
        <v>43890.585729166662</v>
      </c>
      <c r="B31144" s="8" t="str">
        <f>HYPERLINK("https://twitter.com/ataeraxia_th","@ataeraxia_th")</f>
        <v>@ataeraxia_th</v>
      </c>
      <c r="C31144" s="8" t="s">
        <v>11772</v>
      </c>
      <c r="D31144" s="8">
        <v>0</v>
      </c>
      <c r="E31144" s="8">
        <v>0</v>
      </c>
      <c r="F31144" s="8">
        <v>1854</v>
      </c>
    </row>
    <row r="31145" spans="1:6" ht="12.75">
      <c r="A31145" s="8">
        <v>43890.585462962961</v>
      </c>
      <c r="B31145" s="8" t="str">
        <f>HYPERLINK("https://twitter.com/Ambyar86844374","@Ambyar86844374")</f>
        <v>@Ambyar86844374</v>
      </c>
      <c r="C31145" s="8" t="s">
        <v>7686</v>
      </c>
      <c r="D31145" s="8">
        <v>309</v>
      </c>
      <c r="E31145" s="8">
        <v>0</v>
      </c>
      <c r="F31145" s="8">
        <v>190</v>
      </c>
    </row>
    <row r="31146" spans="1:6" ht="12.75">
      <c r="A31146" s="8">
        <v>43890.585358796292</v>
      </c>
      <c r="B31146" s="8" t="str">
        <f>HYPERLINK("https://twitter.com/Chan2_08","@Chan2_08")</f>
        <v>@Chan2_08</v>
      </c>
      <c r="C31146" s="8" t="s">
        <v>7686</v>
      </c>
      <c r="D31146" s="8">
        <v>309</v>
      </c>
      <c r="E31146" s="8">
        <v>0</v>
      </c>
      <c r="F31146" s="8">
        <v>24</v>
      </c>
    </row>
    <row r="31147" spans="1:6" ht="12.75">
      <c r="A31147" s="8">
        <v>43890.585312499999</v>
      </c>
      <c r="B31147" s="8" t="str">
        <f>HYPERLINK("https://twitter.com/BiyanRush","@BiyanRush")</f>
        <v>@BiyanRush</v>
      </c>
      <c r="C31147" s="8" t="s">
        <v>4235</v>
      </c>
      <c r="D31147" s="8">
        <v>1297</v>
      </c>
      <c r="E31147" s="8">
        <v>0</v>
      </c>
      <c r="F31147" s="8">
        <v>304</v>
      </c>
    </row>
    <row r="31148" spans="1:6" ht="12.75">
      <c r="A31148" s="8">
        <v>43890.585219907407</v>
      </c>
      <c r="B31148" s="8" t="str">
        <f>HYPERLINK("https://twitter.com/raddickbolang","@raddickbolang")</f>
        <v>@raddickbolang</v>
      </c>
      <c r="C31148" s="8" t="s">
        <v>11773</v>
      </c>
      <c r="D31148" s="8">
        <v>475</v>
      </c>
      <c r="E31148" s="8">
        <v>0</v>
      </c>
      <c r="F31148" s="8">
        <v>2104</v>
      </c>
    </row>
    <row r="31149" spans="1:6" ht="12.75">
      <c r="A31149" s="8">
        <v>43890.585219907407</v>
      </c>
      <c r="B31149" s="8" t="str">
        <f>HYPERLINK("https://twitter.com/TeWeL7","@TeWeL7")</f>
        <v>@TeWeL7</v>
      </c>
      <c r="C31149" s="8" t="s">
        <v>10939</v>
      </c>
      <c r="D31149" s="8">
        <v>86</v>
      </c>
      <c r="E31149" s="8">
        <v>0</v>
      </c>
      <c r="F31149" s="8">
        <v>3329</v>
      </c>
    </row>
    <row r="31150" spans="1:6" ht="12.75">
      <c r="A31150" s="8">
        <v>43890.584999999999</v>
      </c>
      <c r="B31150" s="8" t="str">
        <f>HYPERLINK("https://twitter.com/SitomulyaID","@SitomulyaID")</f>
        <v>@SitomulyaID</v>
      </c>
      <c r="C31150" s="8" t="s">
        <v>11774</v>
      </c>
      <c r="D31150" s="8">
        <v>1</v>
      </c>
      <c r="E31150" s="8">
        <v>2</v>
      </c>
      <c r="F31150" s="8">
        <v>14</v>
      </c>
    </row>
    <row r="31151" spans="1:6" ht="12.75">
      <c r="A31151" s="8">
        <v>43890.584965277776</v>
      </c>
      <c r="B31151" s="8" t="str">
        <f>HYPERLINK("https://twitter.com/avia_noer","@avia_noer")</f>
        <v>@avia_noer</v>
      </c>
      <c r="C31151" s="8" t="s">
        <v>7437</v>
      </c>
      <c r="D31151" s="8">
        <v>41</v>
      </c>
      <c r="E31151" s="8">
        <v>0</v>
      </c>
      <c r="F31151" s="8">
        <v>570</v>
      </c>
    </row>
    <row r="31152" spans="1:6" ht="12.75">
      <c r="A31152" s="8">
        <v>43890.584861111114</v>
      </c>
      <c r="B31152" s="8" t="str">
        <f>HYPERLINK("https://twitter.com/rs1m01976","@rs1m01976")</f>
        <v>@rs1m01976</v>
      </c>
      <c r="C31152" s="8" t="s">
        <v>11420</v>
      </c>
      <c r="D31152" s="8">
        <v>21</v>
      </c>
      <c r="E31152" s="8">
        <v>0</v>
      </c>
      <c r="F31152" s="8">
        <v>1411</v>
      </c>
    </row>
    <row r="31153" spans="1:6" ht="12.75">
      <c r="A31153" s="8">
        <v>43890.584849537037</v>
      </c>
      <c r="B31153" s="8" t="str">
        <f>HYPERLINK("https://twitter.com/ultrainstin9","@ultrainstin9")</f>
        <v>@ultrainstin9</v>
      </c>
      <c r="C31153" s="8" t="s">
        <v>4235</v>
      </c>
      <c r="D31153" s="8">
        <v>1297</v>
      </c>
      <c r="E31153" s="8">
        <v>0</v>
      </c>
      <c r="F31153" s="8">
        <v>95</v>
      </c>
    </row>
    <row r="31154" spans="1:6" ht="12.75">
      <c r="A31154" s="8">
        <v>43890.584652777776</v>
      </c>
      <c r="B31154" s="8" t="str">
        <f t="shared" ref="B31154:B31155" si="429">HYPERLINK("https://twitter.com/MochAskar1","@MochAskar1")</f>
        <v>@MochAskar1</v>
      </c>
      <c r="C31154" s="8" t="s">
        <v>11775</v>
      </c>
      <c r="D31154" s="8">
        <v>3</v>
      </c>
      <c r="E31154" s="8">
        <v>0</v>
      </c>
      <c r="F31154" s="8">
        <v>16</v>
      </c>
    </row>
    <row r="31155" spans="1:6" ht="12.75">
      <c r="A31155" s="8">
        <v>43890.584513888884</v>
      </c>
      <c r="B31155" s="8" t="str">
        <f t="shared" si="429"/>
        <v>@MochAskar1</v>
      </c>
      <c r="C31155" s="8" t="s">
        <v>8164</v>
      </c>
      <c r="D31155" s="8">
        <v>658</v>
      </c>
      <c r="E31155" s="8">
        <v>0</v>
      </c>
      <c r="F31155" s="8">
        <v>16</v>
      </c>
    </row>
    <row r="31156" spans="1:6" ht="12.75">
      <c r="A31156" s="8">
        <v>43890.584513888884</v>
      </c>
      <c r="B31156" s="8" t="str">
        <f>HYPERLINK("https://twitter.com/DinastiBatu","@DinastiBatu")</f>
        <v>@DinastiBatu</v>
      </c>
      <c r="C31156" s="8" t="s">
        <v>4235</v>
      </c>
      <c r="D31156" s="8">
        <v>1297</v>
      </c>
      <c r="E31156" s="8">
        <v>0</v>
      </c>
      <c r="F31156" s="8">
        <v>89</v>
      </c>
    </row>
    <row r="31157" spans="1:6" ht="12.75">
      <c r="A31157" s="8">
        <v>43890.584120370375</v>
      </c>
      <c r="B31157" s="8" t="str">
        <f t="shared" ref="B31157:B31158" si="430">HYPERLINK("https://twitter.com/damayaja2","@damayaja2")</f>
        <v>@damayaja2</v>
      </c>
      <c r="C31157" s="8" t="s">
        <v>11117</v>
      </c>
      <c r="D31157" s="8">
        <v>42</v>
      </c>
      <c r="E31157" s="8">
        <v>0</v>
      </c>
      <c r="F31157" s="8">
        <v>20</v>
      </c>
    </row>
    <row r="31158" spans="1:6" ht="12.75">
      <c r="A31158" s="8">
        <v>43890.583912037036</v>
      </c>
      <c r="B31158" s="8" t="str">
        <f t="shared" si="430"/>
        <v>@damayaja2</v>
      </c>
      <c r="C31158" s="8" t="s">
        <v>11541</v>
      </c>
      <c r="D31158" s="8">
        <v>23</v>
      </c>
      <c r="E31158" s="8">
        <v>0</v>
      </c>
      <c r="F31158" s="8">
        <v>20</v>
      </c>
    </row>
    <row r="31159" spans="1:6" ht="12.75">
      <c r="A31159" s="8">
        <v>43890.583865740744</v>
      </c>
      <c r="B31159" s="8" t="str">
        <f>HYPERLINK("https://twitter.com/Aan11917050","@Aan11917050")</f>
        <v>@Aan11917050</v>
      </c>
      <c r="C31159" s="8" t="s">
        <v>6836</v>
      </c>
      <c r="D31159" s="8">
        <v>350</v>
      </c>
      <c r="E31159" s="8">
        <v>0</v>
      </c>
      <c r="F31159" s="8">
        <v>147</v>
      </c>
    </row>
    <row r="31160" spans="1:6" ht="12.75">
      <c r="A31160" s="8">
        <v>43890.583831018521</v>
      </c>
      <c r="B31160" s="8" t="str">
        <f t="shared" ref="B31160:B31161" si="431">HYPERLINK("https://twitter.com/rinichan02","@rinichan02")</f>
        <v>@rinichan02</v>
      </c>
      <c r="C31160" s="8" t="s">
        <v>11670</v>
      </c>
      <c r="D31160" s="8">
        <v>3</v>
      </c>
      <c r="E31160" s="8">
        <v>0</v>
      </c>
      <c r="F31160" s="8">
        <v>2857</v>
      </c>
    </row>
    <row r="31161" spans="1:6" ht="12.75">
      <c r="A31161" s="8">
        <v>43890.583750000005</v>
      </c>
      <c r="B31161" s="8" t="str">
        <f t="shared" si="431"/>
        <v>@rinichan02</v>
      </c>
      <c r="C31161" s="8" t="s">
        <v>11775</v>
      </c>
      <c r="D31161" s="8">
        <v>3</v>
      </c>
      <c r="E31161" s="8">
        <v>0</v>
      </c>
      <c r="F31161" s="8">
        <v>2857</v>
      </c>
    </row>
    <row r="31162" spans="1:6" ht="12.75">
      <c r="A31162" s="8">
        <v>43890.583657407406</v>
      </c>
      <c r="B31162" s="8" t="str">
        <f>HYPERLINK("https://twitter.com/erinsnote","@erinsnote")</f>
        <v>@erinsnote</v>
      </c>
      <c r="C31162" s="8" t="s">
        <v>11776</v>
      </c>
      <c r="D31162" s="8">
        <v>0</v>
      </c>
      <c r="E31162" s="8">
        <v>0</v>
      </c>
      <c r="F31162" s="8">
        <v>1845</v>
      </c>
    </row>
    <row r="31163" spans="1:6" ht="12.75">
      <c r="A31163" s="8">
        <v>43890.58357638889</v>
      </c>
      <c r="B31163" s="8" t="str">
        <f>HYPERLINK("https://twitter.com/MedoSemet","@MedoSemet")</f>
        <v>@MedoSemet</v>
      </c>
      <c r="C31163" s="8" t="s">
        <v>10391</v>
      </c>
      <c r="D31163" s="8">
        <v>91</v>
      </c>
      <c r="E31163" s="8">
        <v>0</v>
      </c>
      <c r="F31163" s="8">
        <v>130</v>
      </c>
    </row>
    <row r="31164" spans="1:6" ht="12.75">
      <c r="A31164" s="8">
        <v>43890.583518518513</v>
      </c>
      <c r="B31164" s="8" t="str">
        <f>HYPERLINK("https://twitter.com/RichelleEdita","@RichelleEdita")</f>
        <v>@RichelleEdita</v>
      </c>
      <c r="C31164" s="8" t="s">
        <v>11777</v>
      </c>
      <c r="D31164" s="8">
        <v>6</v>
      </c>
      <c r="E31164" s="8">
        <v>0</v>
      </c>
      <c r="F31164" s="8">
        <v>835</v>
      </c>
    </row>
    <row r="31165" spans="1:6" ht="12.75">
      <c r="A31165" s="8">
        <v>43890.583344907413</v>
      </c>
      <c r="B31165" s="8" t="str">
        <f>HYPERLINK("https://twitter.com/rmol_id","@rmol_id")</f>
        <v>@rmol_id</v>
      </c>
      <c r="C31165" s="8" t="s">
        <v>11778</v>
      </c>
      <c r="D31165" s="8">
        <v>1</v>
      </c>
      <c r="E31165" s="8">
        <v>2</v>
      </c>
      <c r="F31165" s="8">
        <v>167378</v>
      </c>
    </row>
    <row r="31166" spans="1:6" ht="12.75">
      <c r="A31166" s="8">
        <v>43890.583333333328</v>
      </c>
      <c r="B31166" s="8" t="str">
        <f>HYPERLINK("https://twitter.com/OfficialiNewsTV","@OfficialiNewsTV")</f>
        <v>@OfficialiNewsTV</v>
      </c>
      <c r="C31166" s="8" t="s">
        <v>11779</v>
      </c>
      <c r="D31166" s="8">
        <v>0</v>
      </c>
      <c r="E31166" s="8">
        <v>0</v>
      </c>
      <c r="F31166" s="8">
        <v>96376</v>
      </c>
    </row>
    <row r="31167" spans="1:6" ht="12.75">
      <c r="A31167" s="8">
        <v>43890.583333333328</v>
      </c>
      <c r="B31167" s="8" t="str">
        <f>HYPERLINK("https://twitter.com/SiJombloKreatif","@SiJombloKreatif")</f>
        <v>@SiJombloKreatif</v>
      </c>
      <c r="C31167" s="8" t="s">
        <v>11780</v>
      </c>
      <c r="D31167" s="8">
        <v>0</v>
      </c>
      <c r="E31167" s="8">
        <v>0</v>
      </c>
      <c r="F31167" s="8">
        <v>121688</v>
      </c>
    </row>
    <row r="31168" spans="1:6" ht="12.75">
      <c r="A31168" s="8">
        <v>43890.583310185189</v>
      </c>
      <c r="B31168" s="8" t="str">
        <f>HYPERLINK("https://twitter.com/damayaja2","@damayaja2")</f>
        <v>@damayaja2</v>
      </c>
      <c r="C31168" s="8" t="s">
        <v>11292</v>
      </c>
      <c r="D31168" s="8">
        <v>34</v>
      </c>
      <c r="E31168" s="8">
        <v>0</v>
      </c>
      <c r="F31168" s="8">
        <v>20</v>
      </c>
    </row>
    <row r="31169" spans="1:6" ht="12.75">
      <c r="A31169" s="8">
        <v>43890.58321759259</v>
      </c>
      <c r="B31169" s="8" t="str">
        <f>HYPERLINK("https://twitter.com/EL_Atheos","@EL_Atheos")</f>
        <v>@EL_Atheos</v>
      </c>
      <c r="C31169" s="8" t="s">
        <v>11781</v>
      </c>
      <c r="D31169" s="8">
        <v>1</v>
      </c>
      <c r="E31169" s="8">
        <v>0</v>
      </c>
      <c r="F31169" s="8">
        <v>2490</v>
      </c>
    </row>
    <row r="31170" spans="1:6" ht="12.75">
      <c r="A31170" s="8">
        <v>43890.583009259259</v>
      </c>
      <c r="B31170" s="8" t="str">
        <f>HYPERLINK("https://twitter.com/bisnisindgroup","@bisnisindgroup")</f>
        <v>@bisnisindgroup</v>
      </c>
      <c r="C31170" s="8" t="s">
        <v>11782</v>
      </c>
      <c r="D31170" s="8">
        <v>0</v>
      </c>
      <c r="E31170" s="8">
        <v>0</v>
      </c>
      <c r="F31170" s="8">
        <v>7354</v>
      </c>
    </row>
    <row r="31171" spans="1:6" ht="12.75">
      <c r="A31171" s="8">
        <v>43890.582997685182</v>
      </c>
      <c r="B31171" s="8" t="str">
        <f>HYPERLINK("https://twitter.com/BennyKeef","@BennyKeef")</f>
        <v>@BennyKeef</v>
      </c>
      <c r="C31171" s="8" t="s">
        <v>11783</v>
      </c>
      <c r="D31171" s="8">
        <v>0</v>
      </c>
      <c r="E31171" s="8">
        <v>0</v>
      </c>
      <c r="F31171" s="8">
        <v>1242</v>
      </c>
    </row>
    <row r="31172" spans="1:6" ht="12.75">
      <c r="A31172" s="8">
        <v>43890.582986111112</v>
      </c>
      <c r="B31172" s="8" t="str">
        <f>HYPERLINK("https://twitter.com/taufiekdh","@taufiekdh")</f>
        <v>@taufiekdh</v>
      </c>
      <c r="C31172" s="8" t="s">
        <v>4235</v>
      </c>
      <c r="D31172" s="8">
        <v>1297</v>
      </c>
      <c r="E31172" s="8">
        <v>0</v>
      </c>
      <c r="F31172" s="8">
        <v>319</v>
      </c>
    </row>
    <row r="31173" spans="1:6" ht="12.75">
      <c r="A31173" s="8">
        <v>43890.582488425927</v>
      </c>
      <c r="B31173" s="8" t="str">
        <f>HYPERLINK("https://twitter.com/johnsbhat234","@johnsbhat234")</f>
        <v>@johnsbhat234</v>
      </c>
      <c r="C31173" s="8" t="s">
        <v>11258</v>
      </c>
      <c r="D31173" s="8">
        <v>14</v>
      </c>
      <c r="E31173" s="8">
        <v>0</v>
      </c>
      <c r="F31173" s="8">
        <v>2308</v>
      </c>
    </row>
    <row r="31174" spans="1:6" ht="12.75">
      <c r="A31174" s="8">
        <v>43890.582361111112</v>
      </c>
      <c r="B31174" s="8" t="str">
        <f>HYPERLINK("https://twitter.com/KalitRizal","@KalitRizal")</f>
        <v>@KalitRizal</v>
      </c>
      <c r="C31174" s="8" t="s">
        <v>11784</v>
      </c>
      <c r="D31174" s="8">
        <v>0</v>
      </c>
      <c r="E31174" s="8">
        <v>1</v>
      </c>
      <c r="F31174" s="8">
        <v>1388</v>
      </c>
    </row>
    <row r="31175" spans="1:6" ht="12.75">
      <c r="A31175" s="8">
        <v>43890.582361111112</v>
      </c>
      <c r="B31175" s="8" t="str">
        <f>HYPERLINK("https://twitter.com/JoePhiyo","@JoePhiyo")</f>
        <v>@JoePhiyo</v>
      </c>
      <c r="C31175" s="8" t="s">
        <v>4235</v>
      </c>
      <c r="D31175" s="8">
        <v>1297</v>
      </c>
      <c r="E31175" s="8">
        <v>0</v>
      </c>
      <c r="F31175" s="8">
        <v>2292</v>
      </c>
    </row>
    <row r="31176" spans="1:6" ht="12.75">
      <c r="A31176" s="8">
        <v>43890.582303240742</v>
      </c>
      <c r="B31176" s="8" t="str">
        <f>HYPERLINK("https://twitter.com/wahhabicc_jabar","@wahhabicc_jabar")</f>
        <v>@wahhabicc_jabar</v>
      </c>
      <c r="C31176" s="8" t="s">
        <v>11775</v>
      </c>
      <c r="D31176" s="8">
        <v>3</v>
      </c>
      <c r="E31176" s="8">
        <v>0</v>
      </c>
      <c r="F31176" s="8">
        <v>30755</v>
      </c>
    </row>
    <row r="31177" spans="1:6" ht="12.75">
      <c r="A31177" s="8">
        <v>43890.582094907411</v>
      </c>
      <c r="B31177" s="8" t="str">
        <f>HYPERLINK("https://twitter.com/rhapsody_Bali","@rhapsody_Bali")</f>
        <v>@rhapsody_Bali</v>
      </c>
      <c r="C31177" s="8" t="s">
        <v>10391</v>
      </c>
      <c r="D31177" s="8">
        <v>91</v>
      </c>
      <c r="E31177" s="8">
        <v>0</v>
      </c>
      <c r="F31177" s="8">
        <v>1259</v>
      </c>
    </row>
    <row r="31178" spans="1:6" ht="12.75">
      <c r="A31178" s="8">
        <v>43890.581921296296</v>
      </c>
      <c r="B31178" s="8" t="str">
        <f>HYPERLINK("https://twitter.com/wahhabicc_jabar","@wahhabicc_jabar")</f>
        <v>@wahhabicc_jabar</v>
      </c>
      <c r="C31178" s="8" t="s">
        <v>11670</v>
      </c>
      <c r="D31178" s="8">
        <v>3</v>
      </c>
      <c r="E31178" s="8">
        <v>0</v>
      </c>
      <c r="F31178" s="8">
        <v>30755</v>
      </c>
    </row>
    <row r="31179" spans="1:6" ht="12.75">
      <c r="A31179" s="8">
        <v>43890.581863425927</v>
      </c>
      <c r="B31179" s="8" t="str">
        <f>HYPERLINK("https://twitter.com/antiFPIFPIclub","@antiFPIFPIclub")</f>
        <v>@antiFPIFPIclub</v>
      </c>
      <c r="C31179" s="8" t="s">
        <v>11785</v>
      </c>
      <c r="D31179" s="8">
        <v>0</v>
      </c>
      <c r="E31179" s="8">
        <v>0</v>
      </c>
      <c r="F31179" s="8">
        <v>1</v>
      </c>
    </row>
    <row r="31180" spans="1:6" ht="12.75">
      <c r="A31180" s="8">
        <v>43890.581793981481</v>
      </c>
      <c r="B31180" s="8" t="str">
        <f>HYPERLINK("https://twitter.com/torelwisnu","@torelwisnu")</f>
        <v>@torelwisnu</v>
      </c>
      <c r="C31180" s="8" t="s">
        <v>11786</v>
      </c>
      <c r="D31180" s="8">
        <v>0</v>
      </c>
      <c r="E31180" s="8">
        <v>0</v>
      </c>
      <c r="F31180" s="8">
        <v>1341</v>
      </c>
    </row>
    <row r="31181" spans="1:6" ht="12.75">
      <c r="A31181" s="8">
        <v>43890.581701388888</v>
      </c>
      <c r="B31181" s="8" t="str">
        <f>HYPERLINK("https://twitter.com/WPHalim","@WPHalim")</f>
        <v>@WPHalim</v>
      </c>
      <c r="C31181" s="8" t="s">
        <v>11420</v>
      </c>
      <c r="D31181" s="8">
        <v>21</v>
      </c>
      <c r="E31181" s="8">
        <v>0</v>
      </c>
      <c r="F31181" s="8">
        <v>308</v>
      </c>
    </row>
    <row r="31182" spans="1:6" ht="12.75">
      <c r="A31182" s="8">
        <v>43890.581678240742</v>
      </c>
      <c r="B31182" s="8" t="str">
        <f>HYPERLINK("https://twitter.com/putra_nofi","@putra_nofi")</f>
        <v>@putra_nofi</v>
      </c>
      <c r="C31182" s="8" t="s">
        <v>11787</v>
      </c>
      <c r="D31182" s="8">
        <v>0</v>
      </c>
      <c r="E31182" s="8">
        <v>0</v>
      </c>
      <c r="F31182" s="8">
        <v>738</v>
      </c>
    </row>
    <row r="31183" spans="1:6" ht="12.75">
      <c r="A31183" s="8">
        <v>43890.581655092596</v>
      </c>
      <c r="B31183" s="8" t="str">
        <f>HYPERLINK("https://twitter.com/ngrwdy","@ngrwdy")</f>
        <v>@ngrwdy</v>
      </c>
      <c r="C31183" s="8" t="s">
        <v>11788</v>
      </c>
      <c r="D31183" s="8">
        <v>0</v>
      </c>
      <c r="E31183" s="8">
        <v>0</v>
      </c>
      <c r="F31183" s="8">
        <v>348</v>
      </c>
    </row>
    <row r="31184" spans="1:6" ht="12.75">
      <c r="A31184" s="8">
        <v>43890.581469907411</v>
      </c>
      <c r="B31184" s="8" t="str">
        <f>HYPERLINK("https://twitter.com/johnsbhat234","@johnsbhat234")</f>
        <v>@johnsbhat234</v>
      </c>
      <c r="C31184" s="8" t="s">
        <v>11789</v>
      </c>
      <c r="D31184" s="8">
        <v>3</v>
      </c>
      <c r="E31184" s="8">
        <v>0</v>
      </c>
      <c r="F31184" s="8">
        <v>2308</v>
      </c>
    </row>
    <row r="31185" spans="1:6" ht="12.75">
      <c r="A31185" s="8">
        <v>43890.581446759257</v>
      </c>
      <c r="B31185" s="8" t="str">
        <f>HYPERLINK("https://twitter.com/ubayWP","@ubayWP")</f>
        <v>@ubayWP</v>
      </c>
      <c r="C31185" s="8" t="s">
        <v>7437</v>
      </c>
      <c r="D31185" s="8">
        <v>41</v>
      </c>
      <c r="E31185" s="8">
        <v>0</v>
      </c>
      <c r="F31185" s="8">
        <v>403</v>
      </c>
    </row>
    <row r="31186" spans="1:6" ht="12.75">
      <c r="A31186" s="8">
        <v>43890.548136574071</v>
      </c>
      <c r="B31186" s="8" t="str">
        <f>HYPERLINK("https://twitter.com/Hando84330075","@Hando84330075")</f>
        <v>@Hando84330075</v>
      </c>
      <c r="C31186" s="8" t="s">
        <v>11584</v>
      </c>
      <c r="D31186" s="8">
        <v>16</v>
      </c>
      <c r="E31186" s="8">
        <v>0</v>
      </c>
      <c r="F31186" s="8">
        <v>3</v>
      </c>
    </row>
    <row r="31187" spans="1:6" ht="12.75">
      <c r="A31187" s="8">
        <v>43890.548101851848</v>
      </c>
      <c r="B31187" s="8" t="str">
        <f>HYPERLINK("https://twitter.com/id_aksi","@id_aksi")</f>
        <v>@id_aksi</v>
      </c>
      <c r="C31187" s="8" t="s">
        <v>11790</v>
      </c>
      <c r="D31187" s="8">
        <v>0</v>
      </c>
      <c r="E31187" s="8">
        <v>0</v>
      </c>
      <c r="F31187" s="8">
        <v>79</v>
      </c>
    </row>
    <row r="31188" spans="1:6" ht="12.75">
      <c r="A31188" s="8">
        <v>43890.548090277778</v>
      </c>
      <c r="B31188" s="8" t="str">
        <f>HYPERLINK("https://twitter.com/SoniMsi07","@SoniMsi07")</f>
        <v>@SoniMsi07</v>
      </c>
      <c r="C31188" s="8" t="s">
        <v>11791</v>
      </c>
      <c r="D31188" s="8">
        <v>5</v>
      </c>
      <c r="E31188" s="8">
        <v>0</v>
      </c>
      <c r="F31188" s="8">
        <v>250</v>
      </c>
    </row>
    <row r="31189" spans="1:6" ht="12.75">
      <c r="A31189" s="8">
        <v>43890.547847222224</v>
      </c>
      <c r="B31189" s="8" t="str">
        <f>HYPERLINK("https://twitter.com/SobariSobar1","@SobariSobar1")</f>
        <v>@SobariSobar1</v>
      </c>
      <c r="C31189" s="8" t="s">
        <v>4235</v>
      </c>
      <c r="D31189" s="8">
        <v>1238</v>
      </c>
      <c r="E31189" s="8">
        <v>0</v>
      </c>
      <c r="F31189" s="8">
        <v>464</v>
      </c>
    </row>
    <row r="31190" spans="1:6" ht="12.75">
      <c r="A31190" s="8">
        <v>43890.547789351855</v>
      </c>
      <c r="B31190" s="8" t="str">
        <f>HYPERLINK("https://twitter.com/purnamaes8","@purnamaes8")</f>
        <v>@purnamaes8</v>
      </c>
      <c r="C31190" s="8" t="s">
        <v>11759</v>
      </c>
      <c r="D31190" s="8">
        <v>27</v>
      </c>
      <c r="E31190" s="8">
        <v>0</v>
      </c>
      <c r="F31190" s="8">
        <v>282</v>
      </c>
    </row>
    <row r="31191" spans="1:6" ht="12.75">
      <c r="A31191" s="8">
        <v>43890.547627314816</v>
      </c>
      <c r="B31191" s="8" t="str">
        <f>HYPERLINK("https://twitter.com/wisanggeni_084","@wisanggeni_084")</f>
        <v>@wisanggeni_084</v>
      </c>
      <c r="C31191" s="8" t="s">
        <v>11792</v>
      </c>
      <c r="D31191" s="8">
        <v>1</v>
      </c>
      <c r="E31191" s="8">
        <v>0</v>
      </c>
      <c r="F31191" s="8">
        <v>17049</v>
      </c>
    </row>
    <row r="31192" spans="1:6" ht="12.75">
      <c r="A31192" s="8">
        <v>43890.547546296293</v>
      </c>
      <c r="B31192" s="8" t="str">
        <f>HYPERLINK("https://twitter.com/RinjaniJB","@RinjaniJB")</f>
        <v>@RinjaniJB</v>
      </c>
      <c r="C31192" s="8" t="s">
        <v>11793</v>
      </c>
      <c r="D31192" s="8">
        <v>1</v>
      </c>
      <c r="E31192" s="8">
        <v>0</v>
      </c>
      <c r="F31192" s="8">
        <v>19237</v>
      </c>
    </row>
    <row r="31193" spans="1:6" ht="12.75">
      <c r="A31193" s="8">
        <v>43890.547453703708</v>
      </c>
      <c r="B31193" s="8" t="str">
        <f>HYPERLINK("https://twitter.com/EsterHotmaidaP1","@EsterHotmaidaP1")</f>
        <v>@EsterHotmaidaP1</v>
      </c>
      <c r="C31193" s="8" t="s">
        <v>11794</v>
      </c>
      <c r="D31193" s="8">
        <v>0</v>
      </c>
      <c r="E31193" s="8">
        <v>0</v>
      </c>
      <c r="F31193" s="8">
        <v>13</v>
      </c>
    </row>
    <row r="31194" spans="1:6" ht="12.75">
      <c r="A31194" s="8">
        <v>43890.547268518523</v>
      </c>
      <c r="B31194" s="8" t="str">
        <f>HYPERLINK("https://twitter.com/DDRezhaa","@DDRezhaa")</f>
        <v>@DDRezhaa</v>
      </c>
      <c r="C31194" s="8" t="s">
        <v>6836</v>
      </c>
      <c r="D31194" s="8">
        <v>321</v>
      </c>
      <c r="E31194" s="8">
        <v>0</v>
      </c>
      <c r="F31194" s="8">
        <v>25808</v>
      </c>
    </row>
    <row r="31195" spans="1:6" ht="12.75">
      <c r="A31195" s="8">
        <v>43890.547071759254</v>
      </c>
      <c r="B31195" s="8" t="str">
        <f>HYPERLINK("https://twitter.com/HopsIndonesia","@HopsIndonesia")</f>
        <v>@HopsIndonesia</v>
      </c>
      <c r="C31195" s="8" t="s">
        <v>11795</v>
      </c>
      <c r="D31195" s="8">
        <v>0</v>
      </c>
      <c r="E31195" s="8">
        <v>0</v>
      </c>
      <c r="F31195" s="8">
        <v>97</v>
      </c>
    </row>
    <row r="31196" spans="1:6" ht="12.75">
      <c r="A31196" s="8">
        <v>43890.547013888892</v>
      </c>
      <c r="B31196" s="8" t="str">
        <f>HYPERLINK("https://twitter.com/BiemLugiek","@BiemLugiek")</f>
        <v>@BiemLugiek</v>
      </c>
      <c r="C31196" s="8" t="s">
        <v>10811</v>
      </c>
      <c r="D31196" s="8">
        <v>91</v>
      </c>
      <c r="E31196" s="8">
        <v>0</v>
      </c>
      <c r="F31196" s="8">
        <v>134</v>
      </c>
    </row>
    <row r="31197" spans="1:6" ht="12.75">
      <c r="A31197" s="8">
        <v>43890.546840277777</v>
      </c>
      <c r="B31197" s="8" t="str">
        <f>HYPERLINK("https://twitter.com/imus28","@imus28")</f>
        <v>@imus28</v>
      </c>
      <c r="C31197" s="8" t="s">
        <v>4235</v>
      </c>
      <c r="D31197" s="8">
        <v>1238</v>
      </c>
      <c r="E31197" s="8">
        <v>0</v>
      </c>
      <c r="F31197" s="8">
        <v>900</v>
      </c>
    </row>
    <row r="31198" spans="1:6" ht="12.75">
      <c r="A31198" s="8">
        <v>43890.546539351853</v>
      </c>
      <c r="B31198" s="8" t="str">
        <f>HYPERLINK("https://twitter.com/BiemLugiek","@BiemLugiek")</f>
        <v>@BiemLugiek</v>
      </c>
      <c r="C31198" s="8" t="s">
        <v>11105</v>
      </c>
      <c r="D31198" s="8">
        <v>90</v>
      </c>
      <c r="E31198" s="8">
        <v>0</v>
      </c>
      <c r="F31198" s="8">
        <v>134</v>
      </c>
    </row>
    <row r="31199" spans="1:6" ht="12.75">
      <c r="A31199" s="8">
        <v>43890.546307870369</v>
      </c>
      <c r="B31199" s="8" t="str">
        <f>HYPERLINK("https://twitter.com/MisbakhuddinSi6","@MisbakhuddinSi6")</f>
        <v>@MisbakhuddinSi6</v>
      </c>
      <c r="C31199" s="8" t="s">
        <v>11796</v>
      </c>
      <c r="D31199" s="8">
        <v>0</v>
      </c>
      <c r="E31199" s="8">
        <v>0</v>
      </c>
      <c r="F31199" s="8">
        <v>51</v>
      </c>
    </row>
    <row r="31200" spans="1:6" ht="12.75">
      <c r="A31200" s="8">
        <v>43890.546273148153</v>
      </c>
      <c r="B31200" s="8" t="str">
        <f>HYPERLINK("https://twitter.com/luciferxy","@luciferxy")</f>
        <v>@luciferxy</v>
      </c>
      <c r="C31200" s="8" t="s">
        <v>11430</v>
      </c>
      <c r="D31200" s="8">
        <v>4</v>
      </c>
      <c r="E31200" s="8">
        <v>0</v>
      </c>
      <c r="F31200" s="8">
        <v>41</v>
      </c>
    </row>
    <row r="31201" spans="1:6" ht="12.75">
      <c r="A31201" s="8">
        <v>43890.546215277776</v>
      </c>
      <c r="B31201" s="8" t="str">
        <f>HYPERLINK("https://twitter.com/honey_tyas","@honey_tyas")</f>
        <v>@honey_tyas</v>
      </c>
      <c r="C31201" s="8" t="s">
        <v>10391</v>
      </c>
      <c r="D31201" s="8">
        <v>84</v>
      </c>
      <c r="E31201" s="8">
        <v>0</v>
      </c>
      <c r="F31201" s="8">
        <v>2432</v>
      </c>
    </row>
    <row r="31202" spans="1:6" ht="12.75">
      <c r="A31202" s="8">
        <v>43890.54587962963</v>
      </c>
      <c r="B31202" s="8" t="str">
        <f>HYPERLINK("https://twitter.com/kanksetya","@kanksetya")</f>
        <v>@kanksetya</v>
      </c>
      <c r="C31202" s="8" t="s">
        <v>6836</v>
      </c>
      <c r="D31202" s="8">
        <v>321</v>
      </c>
      <c r="E31202" s="8">
        <v>0</v>
      </c>
      <c r="F31202" s="8">
        <v>630</v>
      </c>
    </row>
    <row r="31203" spans="1:6" ht="12.75">
      <c r="A31203" s="8">
        <v>43890.545694444445</v>
      </c>
      <c r="B31203" s="8" t="str">
        <f>HYPERLINK("https://twitter.com/Ahfau001","@Ahfau001")</f>
        <v>@Ahfau001</v>
      </c>
      <c r="C31203" s="8" t="s">
        <v>6490</v>
      </c>
      <c r="D31203" s="8">
        <v>230</v>
      </c>
      <c r="E31203" s="8">
        <v>0</v>
      </c>
      <c r="F31203" s="8">
        <v>574</v>
      </c>
    </row>
    <row r="31204" spans="1:6" ht="12.75">
      <c r="A31204" s="8">
        <v>43890.545682870375</v>
      </c>
      <c r="B31204" s="8" t="str">
        <f>HYPERLINK("https://twitter.com/gede_mong","@gede_mong")</f>
        <v>@gede_mong</v>
      </c>
      <c r="C31204" s="8" t="s">
        <v>4235</v>
      </c>
      <c r="D31204" s="8">
        <v>1238</v>
      </c>
      <c r="E31204" s="8">
        <v>0</v>
      </c>
      <c r="F31204" s="8">
        <v>182</v>
      </c>
    </row>
    <row r="31205" spans="1:6" ht="12.75">
      <c r="A31205" s="8">
        <v>43890.545682870375</v>
      </c>
      <c r="B31205" s="8" t="str">
        <f>HYPERLINK("https://twitter.com/Michael79820241","@Michael79820241")</f>
        <v>@Michael79820241</v>
      </c>
      <c r="C31205" s="8" t="s">
        <v>11105</v>
      </c>
      <c r="D31205" s="8">
        <v>90</v>
      </c>
      <c r="E31205" s="8">
        <v>0</v>
      </c>
      <c r="F31205" s="8">
        <v>109</v>
      </c>
    </row>
    <row r="31206" spans="1:6" ht="12.75">
      <c r="A31206" s="8">
        <v>43890.54550925926</v>
      </c>
      <c r="B31206" s="8" t="str">
        <f>HYPERLINK("https://twitter.com/OffieSander","@OffieSander")</f>
        <v>@OffieSander</v>
      </c>
      <c r="C31206" s="8" t="s">
        <v>7686</v>
      </c>
      <c r="D31206" s="8">
        <v>259</v>
      </c>
      <c r="E31206" s="8">
        <v>0</v>
      </c>
      <c r="F31206" s="8">
        <v>566</v>
      </c>
    </row>
    <row r="31207" spans="1:6" ht="12.75">
      <c r="A31207" s="8">
        <v>43890.545474537037</v>
      </c>
      <c r="B31207" s="8" t="str">
        <f>HYPERLINK("https://twitter.com/TasunPawanto507","@TasunPawanto507")</f>
        <v>@TasunPawanto507</v>
      </c>
      <c r="C31207" s="8" t="s">
        <v>7686</v>
      </c>
      <c r="D31207" s="8">
        <v>259</v>
      </c>
      <c r="E31207" s="8">
        <v>0</v>
      </c>
      <c r="F31207" s="8">
        <v>1651</v>
      </c>
    </row>
    <row r="31208" spans="1:6" ht="12.75">
      <c r="A31208" s="8">
        <v>43890.545393518521</v>
      </c>
      <c r="B31208" s="8" t="str">
        <f>HYPERLINK("https://twitter.com/KailPancing","@KailPancing")</f>
        <v>@KailPancing</v>
      </c>
      <c r="C31208" s="8" t="s">
        <v>11797</v>
      </c>
      <c r="D31208" s="8">
        <v>0</v>
      </c>
      <c r="E31208" s="8">
        <v>0</v>
      </c>
      <c r="F31208" s="8">
        <v>1086</v>
      </c>
    </row>
    <row r="31209" spans="1:6" ht="12.75">
      <c r="A31209" s="8">
        <v>43890.545300925922</v>
      </c>
      <c r="B31209" s="8" t="str">
        <f>HYPERLINK("https://twitter.com/Nurtian8","@Nurtian8")</f>
        <v>@Nurtian8</v>
      </c>
      <c r="C31209" s="8" t="s">
        <v>11798</v>
      </c>
      <c r="D31209" s="8">
        <v>0</v>
      </c>
      <c r="E31209" s="8">
        <v>0</v>
      </c>
      <c r="F31209" s="8">
        <v>151</v>
      </c>
    </row>
    <row r="31210" spans="1:6" ht="12.75">
      <c r="A31210" s="8">
        <v>43890.545069444444</v>
      </c>
      <c r="B31210" s="8" t="str">
        <f>HYPERLINK("https://twitter.com/NixsonLo","@NixsonLo")</f>
        <v>@NixsonLo</v>
      </c>
      <c r="C31210" s="8" t="s">
        <v>11799</v>
      </c>
      <c r="D31210" s="8">
        <v>0</v>
      </c>
      <c r="E31210" s="8">
        <v>0</v>
      </c>
      <c r="F31210" s="8">
        <v>22</v>
      </c>
    </row>
    <row r="31211" spans="1:6" ht="12.75">
      <c r="A31211" s="8">
        <v>43890.544699074075</v>
      </c>
      <c r="B31211" s="8" t="str">
        <f t="shared" ref="B31211:B31212" si="432">HYPERLINK("https://twitter.com/kauminfidel","@kauminfidel")</f>
        <v>@kauminfidel</v>
      </c>
      <c r="C31211" s="8" t="s">
        <v>11075</v>
      </c>
      <c r="D31211" s="8">
        <v>31</v>
      </c>
      <c r="E31211" s="8">
        <v>0</v>
      </c>
      <c r="F31211" s="8">
        <v>485</v>
      </c>
    </row>
    <row r="31212" spans="1:6" ht="12.75">
      <c r="A31212" s="8">
        <v>43890.544548611113</v>
      </c>
      <c r="B31212" s="8" t="str">
        <f t="shared" si="432"/>
        <v>@kauminfidel</v>
      </c>
      <c r="C31212" s="8" t="s">
        <v>10811</v>
      </c>
      <c r="D31212" s="8">
        <v>91</v>
      </c>
      <c r="E31212" s="8">
        <v>0</v>
      </c>
      <c r="F31212" s="8">
        <v>485</v>
      </c>
    </row>
    <row r="31213" spans="1:6" ht="12.75">
      <c r="A31213" s="8">
        <v>43890.544479166667</v>
      </c>
      <c r="B31213" s="8" t="str">
        <f>HYPERLINK("https://twitter.com/ardiRua","@ardiRua")</f>
        <v>@ardiRua</v>
      </c>
      <c r="C31213" s="8" t="s">
        <v>11800</v>
      </c>
      <c r="D31213" s="8">
        <v>0</v>
      </c>
      <c r="E31213" s="8">
        <v>0</v>
      </c>
      <c r="F31213" s="8">
        <v>175</v>
      </c>
    </row>
    <row r="31214" spans="1:6" ht="12.75">
      <c r="A31214" s="8">
        <v>43890.544340277775</v>
      </c>
      <c r="B31214" s="8" t="str">
        <f>HYPERLINK("https://twitter.com/AcepWaluyo","@AcepWaluyo")</f>
        <v>@AcepWaluyo</v>
      </c>
      <c r="C31214" s="8" t="s">
        <v>11801</v>
      </c>
      <c r="D31214" s="8">
        <v>6</v>
      </c>
      <c r="E31214" s="8">
        <v>0</v>
      </c>
      <c r="F31214" s="8">
        <v>192</v>
      </c>
    </row>
    <row r="31215" spans="1:6" ht="12.75">
      <c r="A31215" s="8">
        <v>43890.544224537036</v>
      </c>
      <c r="B31215" s="8" t="str">
        <f>HYPERLINK("https://twitter.com/rezaindm","@rezaindm")</f>
        <v>@rezaindm</v>
      </c>
      <c r="C31215" s="8" t="s">
        <v>11374</v>
      </c>
      <c r="D31215" s="8">
        <v>80</v>
      </c>
      <c r="E31215" s="8">
        <v>0</v>
      </c>
      <c r="F31215" s="8">
        <v>398</v>
      </c>
    </row>
    <row r="31216" spans="1:6" ht="12.75">
      <c r="A31216" s="8">
        <v>43890.544166666667</v>
      </c>
      <c r="B31216" s="8" t="str">
        <f>HYPERLINK("https://twitter.com/Harry4121cr","@Harry4121cr")</f>
        <v>@Harry4121cr</v>
      </c>
      <c r="C31216" s="8" t="s">
        <v>7686</v>
      </c>
      <c r="D31216" s="8">
        <v>259</v>
      </c>
      <c r="E31216" s="8">
        <v>0</v>
      </c>
      <c r="F31216" s="8">
        <v>200</v>
      </c>
    </row>
    <row r="31217" spans="1:6" ht="12.75">
      <c r="A31217" s="8">
        <v>43890.54415509259</v>
      </c>
      <c r="B31217" s="8" t="str">
        <f>HYPERLINK("https://twitter.com/Alichtirom14","@Alichtirom14")</f>
        <v>@Alichtirom14</v>
      </c>
      <c r="C31217" s="8" t="s">
        <v>7686</v>
      </c>
      <c r="D31217" s="8">
        <v>259</v>
      </c>
      <c r="E31217" s="8">
        <v>0</v>
      </c>
      <c r="F31217" s="8">
        <v>289</v>
      </c>
    </row>
    <row r="31218" spans="1:6" ht="12.75">
      <c r="A31218" s="8">
        <v>43890.544027777782</v>
      </c>
      <c r="B31218" s="8" t="str">
        <f>HYPERLINK("https://twitter.com/FarelmaxL","@FarelmaxL")</f>
        <v>@FarelmaxL</v>
      </c>
      <c r="C31218" s="8" t="s">
        <v>10811</v>
      </c>
      <c r="D31218" s="8">
        <v>91</v>
      </c>
      <c r="E31218" s="8">
        <v>0</v>
      </c>
      <c r="F31218" s="8">
        <v>1408</v>
      </c>
    </row>
    <row r="31219" spans="1:6" ht="12.75">
      <c r="A31219" s="8">
        <v>43890.544016203705</v>
      </c>
      <c r="B31219" s="8" t="str">
        <f>HYPERLINK("https://twitter.com/96Gino1","@96Gino1")</f>
        <v>@96Gino1</v>
      </c>
      <c r="C31219" s="8" t="s">
        <v>7686</v>
      </c>
      <c r="D31219" s="8">
        <v>259</v>
      </c>
      <c r="E31219" s="8">
        <v>0</v>
      </c>
      <c r="F31219" s="8">
        <v>143</v>
      </c>
    </row>
    <row r="31220" spans="1:6" ht="12.75">
      <c r="A31220" s="8">
        <v>43890.543958333335</v>
      </c>
      <c r="B31220" s="8" t="str">
        <f>HYPERLINK("https://twitter.com/kamusalahorang","@kamusalahorang")</f>
        <v>@kamusalahorang</v>
      </c>
      <c r="C31220" s="8" t="s">
        <v>11802</v>
      </c>
      <c r="D31220" s="8">
        <v>0</v>
      </c>
      <c r="E31220" s="8">
        <v>0</v>
      </c>
      <c r="F31220" s="8">
        <v>55</v>
      </c>
    </row>
    <row r="31221" spans="1:6" ht="12.75">
      <c r="A31221" s="8">
        <v>43890.543935185182</v>
      </c>
      <c r="B31221" s="8" t="str">
        <f>HYPERLINK("https://twitter.com/oziriez","@oziriez")</f>
        <v>@oziriez</v>
      </c>
      <c r="C31221" s="8" t="s">
        <v>11803</v>
      </c>
      <c r="D31221" s="8">
        <v>6</v>
      </c>
      <c r="E31221" s="8">
        <v>0</v>
      </c>
      <c r="F31221" s="8">
        <v>135</v>
      </c>
    </row>
    <row r="31222" spans="1:6" ht="12.75">
      <c r="A31222" s="8">
        <v>43890.543935185182</v>
      </c>
      <c r="B31222" s="8" t="str">
        <f t="shared" ref="B31222:B31224" si="433">HYPERLINK("https://twitter.com/FarelmaxL","@FarelmaxL")</f>
        <v>@FarelmaxL</v>
      </c>
      <c r="C31222" s="8" t="s">
        <v>11804</v>
      </c>
      <c r="D31222" s="8">
        <v>1</v>
      </c>
      <c r="E31222" s="8">
        <v>0</v>
      </c>
      <c r="F31222" s="8">
        <v>1408</v>
      </c>
    </row>
    <row r="31223" spans="1:6" ht="12.75">
      <c r="A31223" s="8">
        <v>43890.543842592597</v>
      </c>
      <c r="B31223" s="8" t="str">
        <f t="shared" si="433"/>
        <v>@FarelmaxL</v>
      </c>
      <c r="C31223" s="8" t="s">
        <v>11805</v>
      </c>
      <c r="D31223" s="8">
        <v>1</v>
      </c>
      <c r="E31223" s="8">
        <v>0</v>
      </c>
      <c r="F31223" s="8">
        <v>1408</v>
      </c>
    </row>
    <row r="31224" spans="1:6" ht="12.75">
      <c r="A31224" s="8">
        <v>43890.54383101852</v>
      </c>
      <c r="B31224" s="8" t="str">
        <f t="shared" si="433"/>
        <v>@FarelmaxL</v>
      </c>
      <c r="C31224" s="8" t="s">
        <v>11806</v>
      </c>
      <c r="D31224" s="8">
        <v>1</v>
      </c>
      <c r="E31224" s="8">
        <v>0</v>
      </c>
      <c r="F31224" s="8">
        <v>1408</v>
      </c>
    </row>
    <row r="31225" spans="1:6" ht="12.75">
      <c r="A31225" s="8">
        <v>43890.543749999997</v>
      </c>
      <c r="B31225" s="8" t="str">
        <f>HYPERLINK("https://twitter.com/HoofdbureauID","@HoofdbureauID")</f>
        <v>@HoofdbureauID</v>
      </c>
      <c r="C31225" s="8" t="s">
        <v>11807</v>
      </c>
      <c r="D31225" s="8">
        <v>1</v>
      </c>
      <c r="E31225" s="8">
        <v>0</v>
      </c>
      <c r="F31225" s="8">
        <v>11520</v>
      </c>
    </row>
    <row r="31226" spans="1:6" ht="12.75">
      <c r="A31226" s="8">
        <v>43890.543715277774</v>
      </c>
      <c r="B31226" s="8" t="str">
        <f>HYPERLINK("https://twitter.com/dwithya","@dwithya")</f>
        <v>@dwithya</v>
      </c>
      <c r="C31226" s="8" t="s">
        <v>11332</v>
      </c>
      <c r="D31226" s="8">
        <v>29</v>
      </c>
      <c r="E31226" s="8">
        <v>0</v>
      </c>
      <c r="F31226" s="8">
        <v>285</v>
      </c>
    </row>
    <row r="31227" spans="1:6" ht="12.75">
      <c r="A31227" s="8">
        <v>43890.543576388889</v>
      </c>
      <c r="B31227" s="8" t="str">
        <f>HYPERLINK("https://twitter.com/amymura9","@amymura9")</f>
        <v>@amymura9</v>
      </c>
      <c r="C31227" s="8" t="s">
        <v>4235</v>
      </c>
      <c r="D31227" s="8">
        <v>1238</v>
      </c>
      <c r="E31227" s="8">
        <v>0</v>
      </c>
      <c r="F31227" s="8">
        <v>93</v>
      </c>
    </row>
    <row r="31228" spans="1:6" ht="12.75">
      <c r="A31228" s="8">
        <v>43890.543553240743</v>
      </c>
      <c r="B31228" s="8" t="str">
        <f>HYPERLINK("https://twitter.com/myalfian88","@myalfian88")</f>
        <v>@myalfian88</v>
      </c>
      <c r="C31228" s="8" t="s">
        <v>11808</v>
      </c>
      <c r="D31228" s="8">
        <v>0</v>
      </c>
      <c r="E31228" s="8">
        <v>0</v>
      </c>
      <c r="F31228" s="8">
        <v>24</v>
      </c>
    </row>
    <row r="31229" spans="1:6" ht="12.75">
      <c r="A31229" s="8">
        <v>43890.543506944443</v>
      </c>
      <c r="B31229" s="8" t="str">
        <f>HYPERLINK("https://twitter.com/Marsose23","@Marsose23")</f>
        <v>@Marsose23</v>
      </c>
      <c r="C31229" s="8" t="s">
        <v>11809</v>
      </c>
      <c r="D31229" s="8">
        <v>0</v>
      </c>
      <c r="E31229" s="8">
        <v>1</v>
      </c>
      <c r="F31229" s="8">
        <v>268</v>
      </c>
    </row>
    <row r="31230" spans="1:6" ht="12.75">
      <c r="A31230" s="8">
        <v>43890.543483796297</v>
      </c>
      <c r="B31230" s="8" t="str">
        <f>HYPERLINK("https://twitter.com/edisonsbr","@edisonsbr")</f>
        <v>@edisonsbr</v>
      </c>
      <c r="C31230" s="8" t="s">
        <v>11105</v>
      </c>
      <c r="D31230" s="8">
        <v>90</v>
      </c>
      <c r="E31230" s="8">
        <v>0</v>
      </c>
      <c r="F31230" s="8">
        <v>76</v>
      </c>
    </row>
    <row r="31231" spans="1:6" ht="12.75">
      <c r="A31231" s="8">
        <v>43890.543194444443</v>
      </c>
      <c r="B31231" s="8" t="str">
        <f>HYPERLINK("https://twitter.com/FaGtng","@FaGtng")</f>
        <v>@FaGtng</v>
      </c>
      <c r="C31231" s="8" t="s">
        <v>7686</v>
      </c>
      <c r="D31231" s="8">
        <v>259</v>
      </c>
      <c r="E31231" s="8">
        <v>0</v>
      </c>
      <c r="F31231" s="8">
        <v>16320</v>
      </c>
    </row>
    <row r="31232" spans="1:6" ht="12.75">
      <c r="A31232" s="8">
        <v>43890.543182870373</v>
      </c>
      <c r="B31232" s="8" t="str">
        <f>HYPERLINK("https://twitter.com/johnsbhat234","@johnsbhat234")</f>
        <v>@johnsbhat234</v>
      </c>
      <c r="C31232" s="8" t="s">
        <v>11374</v>
      </c>
      <c r="D31232" s="8">
        <v>80</v>
      </c>
      <c r="E31232" s="8">
        <v>0</v>
      </c>
      <c r="F31232" s="8">
        <v>2307</v>
      </c>
    </row>
    <row r="31233" spans="1:6" ht="12.75">
      <c r="A31233" s="8">
        <v>43890.543136574073</v>
      </c>
      <c r="B31233" s="8" t="str">
        <f>HYPERLINK("https://twitter.com/moreshare","@moreshare")</f>
        <v>@moreshare</v>
      </c>
      <c r="C31233" s="8" t="s">
        <v>11810</v>
      </c>
      <c r="D31233" s="8">
        <v>0</v>
      </c>
      <c r="E31233" s="8">
        <v>0</v>
      </c>
      <c r="F31233" s="8">
        <v>3300</v>
      </c>
    </row>
    <row r="31234" spans="1:6" ht="12.75">
      <c r="A31234" s="8">
        <v>43890.543124999997</v>
      </c>
      <c r="B31234" s="8" t="str">
        <f>HYPERLINK("https://twitter.com/mrizalramlee","@mrizalramlee")</f>
        <v>@mrizalramlee</v>
      </c>
      <c r="C31234" s="8" t="s">
        <v>11811</v>
      </c>
      <c r="D31234" s="8">
        <v>0</v>
      </c>
      <c r="E31234" s="8">
        <v>0</v>
      </c>
      <c r="F31234" s="8">
        <v>10</v>
      </c>
    </row>
    <row r="31235" spans="1:6" ht="12.75">
      <c r="A31235" s="8">
        <v>43890.54310185185</v>
      </c>
      <c r="B31235" s="8" t="str">
        <f>HYPERLINK("https://twitter.com/FaGtng","@FaGtng")</f>
        <v>@FaGtng</v>
      </c>
      <c r="C31235" s="8" t="s">
        <v>11812</v>
      </c>
      <c r="D31235" s="8">
        <v>0</v>
      </c>
      <c r="E31235" s="8">
        <v>0</v>
      </c>
      <c r="F31235" s="8">
        <v>16320</v>
      </c>
    </row>
    <row r="31236" spans="1:6" ht="12.75">
      <c r="A31236" s="8">
        <v>43890.543090277773</v>
      </c>
      <c r="B31236" s="8" t="str">
        <f>HYPERLINK("https://twitter.com/Sifudan_mora","@Sifudan_mora")</f>
        <v>@Sifudan_mora</v>
      </c>
      <c r="C31236" s="8" t="s">
        <v>10939</v>
      </c>
      <c r="D31236" s="8">
        <v>65</v>
      </c>
      <c r="E31236" s="8">
        <v>0</v>
      </c>
      <c r="F31236" s="8">
        <v>2061</v>
      </c>
    </row>
    <row r="31237" spans="1:6" ht="12.75">
      <c r="A31237" s="8">
        <v>43890.543078703704</v>
      </c>
      <c r="B31237" s="8" t="str">
        <f>HYPERLINK("https://twitter.com/wisanggeni_084","@wisanggeni_084")</f>
        <v>@wisanggeni_084</v>
      </c>
      <c r="C31237" s="8" t="s">
        <v>11813</v>
      </c>
      <c r="D31237" s="8">
        <v>0</v>
      </c>
      <c r="E31237" s="8">
        <v>4</v>
      </c>
      <c r="F31237" s="8">
        <v>17049</v>
      </c>
    </row>
    <row r="31238" spans="1:6" ht="12.75">
      <c r="A31238" s="8">
        <v>43890.543020833335</v>
      </c>
      <c r="B31238" s="8" t="str">
        <f>HYPERLINK("https://twitter.com/YogiPra90","@YogiPra90")</f>
        <v>@YogiPra90</v>
      </c>
      <c r="C31238" s="8" t="s">
        <v>11814</v>
      </c>
      <c r="D31238" s="8">
        <v>0</v>
      </c>
      <c r="E31238" s="8">
        <v>0</v>
      </c>
      <c r="F31238" s="8">
        <v>1297</v>
      </c>
    </row>
    <row r="31239" spans="1:6" ht="12.75">
      <c r="A31239" s="8">
        <v>43890.543009259258</v>
      </c>
      <c r="B31239" s="8" t="str">
        <f>HYPERLINK("https://twitter.com/nofearcareup","@nofearcareup")</f>
        <v>@nofearcareup</v>
      </c>
      <c r="C31239" s="8" t="s">
        <v>7686</v>
      </c>
      <c r="D31239" s="8">
        <v>259</v>
      </c>
      <c r="E31239" s="8">
        <v>0</v>
      </c>
      <c r="F31239" s="8">
        <v>308</v>
      </c>
    </row>
    <row r="31240" spans="1:6" ht="12.75">
      <c r="A31240" s="8">
        <v>43890.542986111112</v>
      </c>
      <c r="B31240" s="8" t="str">
        <f>HYPERLINK("https://twitter.com/Kurus_Tulus","@Kurus_Tulus")</f>
        <v>@Kurus_Tulus</v>
      </c>
      <c r="C31240" s="8" t="s">
        <v>11653</v>
      </c>
      <c r="D31240" s="8">
        <v>1</v>
      </c>
      <c r="E31240" s="8">
        <v>0</v>
      </c>
      <c r="F31240" s="8">
        <v>1229</v>
      </c>
    </row>
    <row r="31241" spans="1:6" ht="12.75">
      <c r="A31241" s="8">
        <v>43890.542928240742</v>
      </c>
      <c r="B31241" s="8" t="str">
        <f>HYPERLINK("https://twitter.com/yunayah21_","@yunayah21_")</f>
        <v>@yunayah21_</v>
      </c>
      <c r="C31241" s="8" t="s">
        <v>11704</v>
      </c>
      <c r="D31241" s="8">
        <v>2</v>
      </c>
      <c r="E31241" s="8">
        <v>0</v>
      </c>
      <c r="F31241" s="8">
        <v>1250</v>
      </c>
    </row>
    <row r="31242" spans="1:6" ht="12.75">
      <c r="A31242" s="8">
        <v>43890.542893518519</v>
      </c>
      <c r="B31242" s="8" t="str">
        <f>HYPERLINK("https://twitter.com/denmas_ajah","@denmas_ajah")</f>
        <v>@denmas_ajah</v>
      </c>
      <c r="C31242" s="8" t="s">
        <v>10939</v>
      </c>
      <c r="D31242" s="8">
        <v>65</v>
      </c>
      <c r="E31242" s="8">
        <v>0</v>
      </c>
      <c r="F31242" s="8">
        <v>4639</v>
      </c>
    </row>
    <row r="31243" spans="1:6" ht="12.75">
      <c r="A31243" s="8">
        <v>43890.542824074073</v>
      </c>
      <c r="B31243" s="8" t="str">
        <f>HYPERLINK("https://twitter.com/Kurus_Tulus","@Kurus_Tulus")</f>
        <v>@Kurus_Tulus</v>
      </c>
      <c r="C31243" s="8" t="s">
        <v>11815</v>
      </c>
      <c r="D31243" s="8">
        <v>1</v>
      </c>
      <c r="E31243" s="8">
        <v>1</v>
      </c>
      <c r="F31243" s="8">
        <v>1229</v>
      </c>
    </row>
    <row r="31244" spans="1:6" ht="12.75">
      <c r="A31244" s="8">
        <v>43890.542824074073</v>
      </c>
      <c r="B31244" s="8" t="str">
        <f>HYPERLINK("https://twitter.com/eizanfolks","@eizanfolks")</f>
        <v>@eizanfolks</v>
      </c>
      <c r="C31244" s="8" t="s">
        <v>11771</v>
      </c>
      <c r="D31244" s="8">
        <v>11</v>
      </c>
      <c r="E31244" s="8">
        <v>0</v>
      </c>
      <c r="F31244" s="8">
        <v>8631</v>
      </c>
    </row>
    <row r="31245" spans="1:6" ht="12.75">
      <c r="A31245" s="8">
        <v>43890.542604166665</v>
      </c>
      <c r="B31245" s="8" t="str">
        <f>HYPERLINK("https://twitter.com/mulaidari0","@mulaidari0")</f>
        <v>@mulaidari0</v>
      </c>
      <c r="C31245" s="8" t="s">
        <v>6836</v>
      </c>
      <c r="D31245" s="8">
        <v>321</v>
      </c>
      <c r="E31245" s="8">
        <v>0</v>
      </c>
      <c r="F31245" s="8">
        <v>85</v>
      </c>
    </row>
    <row r="31246" spans="1:6" ht="12.75">
      <c r="A31246" s="8">
        <v>43890.542546296296</v>
      </c>
      <c r="B31246" s="8" t="str">
        <f>HYPERLINK("https://twitter.com/kangmasheru81","@kangmasheru81")</f>
        <v>@kangmasheru81</v>
      </c>
      <c r="C31246" s="8" t="s">
        <v>4235</v>
      </c>
      <c r="D31246" s="8">
        <v>1238</v>
      </c>
      <c r="E31246" s="8">
        <v>0</v>
      </c>
      <c r="F31246" s="8">
        <v>85</v>
      </c>
    </row>
    <row r="31247" spans="1:6" ht="12.75">
      <c r="A31247" s="8">
        <v>43890.542511574073</v>
      </c>
      <c r="B31247" s="8" t="str">
        <f>HYPERLINK("https://twitter.com/Muhamad09147404","@Muhamad09147404")</f>
        <v>@Muhamad09147404</v>
      </c>
      <c r="C31247" s="8" t="s">
        <v>11816</v>
      </c>
      <c r="D31247" s="8">
        <v>1</v>
      </c>
      <c r="E31247" s="8">
        <v>0</v>
      </c>
      <c r="F31247" s="8">
        <v>677</v>
      </c>
    </row>
    <row r="31248" spans="1:6" ht="12.75">
      <c r="A31248" s="8">
        <v>43890.542465277773</v>
      </c>
      <c r="B31248" s="8" t="str">
        <f>HYPERLINK("https://twitter.com/LieDetectorID","@LieDetectorID")</f>
        <v>@LieDetectorID</v>
      </c>
      <c r="C31248" s="8" t="s">
        <v>11817</v>
      </c>
      <c r="D31248" s="8">
        <v>0</v>
      </c>
      <c r="E31248" s="8">
        <v>1</v>
      </c>
      <c r="F31248" s="8">
        <v>10388</v>
      </c>
    </row>
    <row r="31249" spans="1:6" ht="12.75">
      <c r="A31249" s="8">
        <v>43890.542395833334</v>
      </c>
      <c r="B31249" s="8" t="str">
        <f>HYPERLINK("https://twitter.com/kompascom","@kompascom")</f>
        <v>@kompascom</v>
      </c>
      <c r="C31249" s="8" t="s">
        <v>11818</v>
      </c>
      <c r="D31249" s="8">
        <v>2</v>
      </c>
      <c r="E31249" s="8">
        <v>6</v>
      </c>
      <c r="F31249" s="8">
        <v>7518284</v>
      </c>
    </row>
    <row r="31250" spans="1:6" ht="12.75">
      <c r="A31250" s="8">
        <v>43890.542395833334</v>
      </c>
      <c r="B31250" s="8" t="str">
        <f>HYPERLINK("https://twitter.com/RamdhaniBrutus","@RamdhaniBrutus")</f>
        <v>@RamdhaniBrutus</v>
      </c>
      <c r="C31250" s="8" t="s">
        <v>11819</v>
      </c>
      <c r="D31250" s="8">
        <v>1</v>
      </c>
      <c r="E31250" s="8">
        <v>0</v>
      </c>
      <c r="F31250" s="8">
        <v>1279</v>
      </c>
    </row>
    <row r="31251" spans="1:6" ht="12.75">
      <c r="A31251" s="8">
        <v>43890.542326388888</v>
      </c>
      <c r="B31251" s="8" t="str">
        <f>HYPERLINK("https://twitter.com/andryancahya5","@andryancahya5")</f>
        <v>@andryancahya5</v>
      </c>
      <c r="C31251" s="8" t="s">
        <v>6708</v>
      </c>
      <c r="D31251" s="8">
        <v>10</v>
      </c>
      <c r="E31251" s="8">
        <v>0</v>
      </c>
      <c r="F31251" s="8">
        <v>234</v>
      </c>
    </row>
    <row r="31252" spans="1:6" ht="12.75">
      <c r="A31252" s="8">
        <v>43890.542314814811</v>
      </c>
      <c r="B31252" s="8" t="str">
        <f>HYPERLINK("https://twitter.com/Rizky0220421439","@Rizky0220421439")</f>
        <v>@Rizky0220421439</v>
      </c>
      <c r="C31252" s="8" t="s">
        <v>11820</v>
      </c>
      <c r="D31252" s="8">
        <v>1</v>
      </c>
      <c r="E31252" s="8">
        <v>0</v>
      </c>
      <c r="F31252" s="8">
        <v>1611</v>
      </c>
    </row>
    <row r="31253" spans="1:6" ht="12.75">
      <c r="A31253" s="8">
        <v>43890.542291666672</v>
      </c>
      <c r="B31253" s="8" t="str">
        <f>HYPERLINK("https://twitter.com/Theking3231Juan","@Theking3231Juan")</f>
        <v>@Theking3231Juan</v>
      </c>
      <c r="C31253" s="8" t="s">
        <v>11821</v>
      </c>
      <c r="D31253" s="8">
        <v>0</v>
      </c>
      <c r="E31253" s="8">
        <v>0</v>
      </c>
      <c r="F31253" s="8">
        <v>2441</v>
      </c>
    </row>
    <row r="31254" spans="1:6" ht="12.75">
      <c r="A31254" s="8">
        <v>43890.542210648149</v>
      </c>
      <c r="B31254" s="8" t="str">
        <f>HYPERLINK("https://twitter.com/burungpipit74","@burungpipit74")</f>
        <v>@burungpipit74</v>
      </c>
      <c r="C31254" s="8" t="s">
        <v>11822</v>
      </c>
      <c r="D31254" s="8">
        <v>2</v>
      </c>
      <c r="E31254" s="8">
        <v>0</v>
      </c>
      <c r="F31254" s="8">
        <v>3583</v>
      </c>
    </row>
    <row r="31255" spans="1:6" ht="12.75">
      <c r="A31255" s="8">
        <v>43890.542129629626</v>
      </c>
      <c r="B31255" s="8" t="str">
        <f>HYPERLINK("https://twitter.com/kenhans03","@kenhans03")</f>
        <v>@kenhans03</v>
      </c>
      <c r="C31255" s="8" t="s">
        <v>11823</v>
      </c>
      <c r="D31255" s="8">
        <v>1</v>
      </c>
      <c r="E31255" s="8">
        <v>0</v>
      </c>
      <c r="F31255" s="8">
        <v>3132</v>
      </c>
    </row>
    <row r="31256" spans="1:6" ht="12.75">
      <c r="A31256" s="8">
        <v>43890.542083333334</v>
      </c>
      <c r="B31256" s="8" t="str">
        <f>HYPERLINK("https://twitter.com/10Harianto","@10Harianto")</f>
        <v>@10Harianto</v>
      </c>
      <c r="C31256" s="8" t="s">
        <v>4235</v>
      </c>
      <c r="D31256" s="8">
        <v>1238</v>
      </c>
      <c r="E31256" s="8">
        <v>0</v>
      </c>
      <c r="F31256" s="8">
        <v>463</v>
      </c>
    </row>
    <row r="31257" spans="1:6" ht="12.75">
      <c r="A31257" s="8">
        <v>43890.541932870372</v>
      </c>
      <c r="B31257" s="8" t="str">
        <f>HYPERLINK("https://twitter.com/halim______","@halim______")</f>
        <v>@halim______</v>
      </c>
      <c r="C31257" s="8" t="s">
        <v>6836</v>
      </c>
      <c r="D31257" s="8">
        <v>321</v>
      </c>
      <c r="E31257" s="8">
        <v>0</v>
      </c>
      <c r="F31257" s="8">
        <v>1335</v>
      </c>
    </row>
    <row r="31258" spans="1:6" ht="12.75">
      <c r="A31258" s="8">
        <v>43890.541863425926</v>
      </c>
      <c r="B31258" s="8" t="str">
        <f>HYPERLINK("https://twitter.com/UtomoFreddy","@UtomoFreddy")</f>
        <v>@UtomoFreddy</v>
      </c>
      <c r="C31258" s="8" t="s">
        <v>11105</v>
      </c>
      <c r="D31258" s="8">
        <v>90</v>
      </c>
      <c r="E31258" s="8">
        <v>0</v>
      </c>
      <c r="F31258" s="8">
        <v>105</v>
      </c>
    </row>
    <row r="31259" spans="1:6" ht="12.75">
      <c r="A31259" s="8">
        <v>43890.541712962964</v>
      </c>
      <c r="B31259" s="8" t="str">
        <f>HYPERLINK("https://twitter.com/mamiagarislucu","@mamiagarislucu")</f>
        <v>@mamiagarislucu</v>
      </c>
      <c r="C31259" s="8" t="s">
        <v>11824</v>
      </c>
      <c r="D31259" s="8">
        <v>1</v>
      </c>
      <c r="E31259" s="8">
        <v>3</v>
      </c>
      <c r="F31259" s="8">
        <v>5793</v>
      </c>
    </row>
    <row r="31260" spans="1:6" ht="12.75">
      <c r="A31260" s="8">
        <v>43890.541678240741</v>
      </c>
      <c r="B31260" s="8" t="str">
        <f>HYPERLINK("https://twitter.com/maklumatID","@maklumatID")</f>
        <v>@maklumatID</v>
      </c>
      <c r="C31260" s="8" t="s">
        <v>11825</v>
      </c>
      <c r="D31260" s="8">
        <v>0</v>
      </c>
      <c r="E31260" s="8">
        <v>0</v>
      </c>
      <c r="F31260" s="8">
        <v>79</v>
      </c>
    </row>
    <row r="31261" spans="1:6" ht="12.75">
      <c r="A31261" s="8">
        <v>43890.541666666672</v>
      </c>
      <c r="B31261" s="8" t="str">
        <f>HYPERLINK("https://twitter.com/MeTubeID","@MeTubeID")</f>
        <v>@MeTubeID</v>
      </c>
      <c r="C31261" s="8" t="s">
        <v>11826</v>
      </c>
      <c r="D31261" s="8">
        <v>0</v>
      </c>
      <c r="E31261" s="8">
        <v>0</v>
      </c>
      <c r="F31261" s="8">
        <v>6304</v>
      </c>
    </row>
    <row r="31262" spans="1:6" ht="12.75">
      <c r="A31262" s="8">
        <v>43890.541666666672</v>
      </c>
      <c r="B31262" s="8" t="str">
        <f>HYPERLINK("https://twitter.com/erika_sugandi","@erika_sugandi")</f>
        <v>@erika_sugandi</v>
      </c>
      <c r="C31262" s="8" t="s">
        <v>11827</v>
      </c>
      <c r="D31262" s="8">
        <v>0</v>
      </c>
      <c r="E31262" s="8">
        <v>1</v>
      </c>
      <c r="F31262" s="8">
        <v>18</v>
      </c>
    </row>
    <row r="31263" spans="1:6" ht="12.75">
      <c r="A31263" s="8">
        <v>43890.541550925926</v>
      </c>
      <c r="B31263" s="8" t="str">
        <f>HYPERLINK("https://twitter.com/imus28","@imus28")</f>
        <v>@imus28</v>
      </c>
      <c r="C31263" s="8" t="s">
        <v>6836</v>
      </c>
      <c r="D31263" s="8">
        <v>321</v>
      </c>
      <c r="E31263" s="8">
        <v>0</v>
      </c>
      <c r="F31263" s="8">
        <v>900</v>
      </c>
    </row>
    <row r="31264" spans="1:6" ht="12.75">
      <c r="A31264" s="8">
        <v>43890.541458333333</v>
      </c>
      <c r="B31264" s="8" t="str">
        <f>HYPERLINK("https://twitter.com/JannesHutajulu","@JannesHutajulu")</f>
        <v>@JannesHutajulu</v>
      </c>
      <c r="C31264" s="8" t="s">
        <v>10811</v>
      </c>
      <c r="D31264" s="8">
        <v>91</v>
      </c>
      <c r="E31264" s="8">
        <v>0</v>
      </c>
      <c r="F31264" s="8">
        <v>2414</v>
      </c>
    </row>
    <row r="31265" spans="1:6" ht="12.75">
      <c r="A31265" s="8">
        <v>43890.541458333333</v>
      </c>
      <c r="B31265" s="8" t="str">
        <f>HYPERLINK("https://twitter.com/hidayat_y28","@hidayat_y28")</f>
        <v>@hidayat_y28</v>
      </c>
      <c r="C31265" s="8" t="s">
        <v>11828</v>
      </c>
      <c r="D31265" s="8">
        <v>0</v>
      </c>
      <c r="E31265" s="8">
        <v>0</v>
      </c>
      <c r="F31265" s="8">
        <v>5252</v>
      </c>
    </row>
    <row r="31266" spans="1:6" ht="12.75">
      <c r="A31266" s="8">
        <v>43890.541342592594</v>
      </c>
      <c r="B31266" s="8" t="str">
        <f>HYPERLINK("https://twitter.com/opickhidayatt","@opickhidayatt")</f>
        <v>@opickhidayatt</v>
      </c>
      <c r="C31266" s="8" t="s">
        <v>10743</v>
      </c>
      <c r="D31266" s="8">
        <v>149</v>
      </c>
      <c r="E31266" s="8">
        <v>0</v>
      </c>
      <c r="F31266" s="8">
        <v>262</v>
      </c>
    </row>
    <row r="31267" spans="1:6" ht="12.75">
      <c r="A31267" s="8">
        <v>43890.541261574079</v>
      </c>
      <c r="B31267" s="8" t="str">
        <f>HYPERLINK("https://twitter.com/kangfatma","@kangfatma")</f>
        <v>@kangfatma</v>
      </c>
      <c r="C31267" s="8" t="s">
        <v>11829</v>
      </c>
      <c r="D31267" s="8">
        <v>0</v>
      </c>
      <c r="E31267" s="8">
        <v>1</v>
      </c>
      <c r="F31267" s="8">
        <v>386</v>
      </c>
    </row>
    <row r="31268" spans="1:6" ht="12.75">
      <c r="A31268" s="8">
        <v>43890.541238425925</v>
      </c>
      <c r="B31268" s="8" t="str">
        <f>HYPERLINK("https://twitter.com/amrudinnejad_","@amrudinnejad_")</f>
        <v>@amrudinnejad_</v>
      </c>
      <c r="C31268" s="8" t="s">
        <v>10391</v>
      </c>
      <c r="D31268" s="8">
        <v>84</v>
      </c>
      <c r="E31268" s="8">
        <v>0</v>
      </c>
      <c r="F31268" s="8">
        <v>7977</v>
      </c>
    </row>
    <row r="31269" spans="1:6" ht="12.75">
      <c r="A31269" s="8">
        <v>43890.541238425925</v>
      </c>
      <c r="B31269" s="8" t="str">
        <f>HYPERLINK("https://twitter.com/rinichan02","@rinichan02")</f>
        <v>@rinichan02</v>
      </c>
      <c r="C31269" s="8" t="s">
        <v>11430</v>
      </c>
      <c r="D31269" s="8">
        <v>4</v>
      </c>
      <c r="E31269" s="8">
        <v>0</v>
      </c>
      <c r="F31269" s="8">
        <v>2857</v>
      </c>
    </row>
    <row r="31270" spans="1:6" ht="12.75">
      <c r="A31270" s="8">
        <v>43890.541203703702</v>
      </c>
      <c r="B31270" s="8" t="str">
        <f>HYPERLINK("https://twitter.com/kardusbox08","@kardusbox08")</f>
        <v>@kardusbox08</v>
      </c>
      <c r="C31270" s="8" t="s">
        <v>11830</v>
      </c>
      <c r="D31270" s="8">
        <v>1</v>
      </c>
      <c r="E31270" s="8">
        <v>0</v>
      </c>
      <c r="F31270" s="8">
        <v>1749</v>
      </c>
    </row>
    <row r="31271" spans="1:6" ht="12.75">
      <c r="A31271" s="8">
        <v>43890.541134259256</v>
      </c>
      <c r="B31271" s="8" t="str">
        <f>HYPERLINK("https://twitter.com/buruhmigran","@buruhmigran")</f>
        <v>@buruhmigran</v>
      </c>
      <c r="C31271" s="8" t="s">
        <v>11831</v>
      </c>
      <c r="D31271" s="8">
        <v>0</v>
      </c>
      <c r="E31271" s="8">
        <v>0</v>
      </c>
      <c r="F31271" s="8">
        <v>173</v>
      </c>
    </row>
    <row r="31272" spans="1:6" ht="12.75">
      <c r="A31272" s="8">
        <v>43890.541134259256</v>
      </c>
      <c r="B31272" s="8" t="str">
        <f>HYPERLINK("https://twitter.com/Aldy_5rl","@Aldy_5rl")</f>
        <v>@Aldy_5rl</v>
      </c>
      <c r="C31272" s="8" t="s">
        <v>6836</v>
      </c>
      <c r="D31272" s="8">
        <v>321</v>
      </c>
      <c r="E31272" s="8">
        <v>0</v>
      </c>
      <c r="F31272" s="8">
        <v>618</v>
      </c>
    </row>
    <row r="31273" spans="1:6" ht="12.75">
      <c r="A31273" s="8">
        <v>43890.541018518517</v>
      </c>
      <c r="B31273" s="8" t="str">
        <f>HYPERLINK("https://twitter.com/bjf_revival","@bjf_revival")</f>
        <v>@bjf_revival</v>
      </c>
      <c r="C31273" s="8" t="s">
        <v>4235</v>
      </c>
      <c r="D31273" s="8">
        <v>1238</v>
      </c>
      <c r="E31273" s="8">
        <v>0</v>
      </c>
      <c r="F31273" s="8">
        <v>743</v>
      </c>
    </row>
    <row r="31274" spans="1:6" ht="12.75">
      <c r="A31274" s="8">
        <v>43890.541006944448</v>
      </c>
      <c r="B31274" s="8" t="str">
        <f>HYPERLINK("https://twitter.com/Tuwil_14","@Tuwil_14")</f>
        <v>@Tuwil_14</v>
      </c>
      <c r="C31274" s="8" t="s">
        <v>6708</v>
      </c>
      <c r="D31274" s="8">
        <v>10</v>
      </c>
      <c r="E31274" s="8">
        <v>0</v>
      </c>
      <c r="F31274" s="8">
        <v>43</v>
      </c>
    </row>
    <row r="31275" spans="1:6" ht="12.75">
      <c r="A31275" s="8">
        <v>43890.540983796294</v>
      </c>
      <c r="B31275" s="8" t="str">
        <f>HYPERLINK("https://twitter.com/CetrienaP","@CetrienaP")</f>
        <v>@CetrienaP</v>
      </c>
      <c r="C31275" s="8" t="s">
        <v>11663</v>
      </c>
      <c r="D31275" s="8">
        <v>0</v>
      </c>
      <c r="E31275" s="8">
        <v>0</v>
      </c>
      <c r="F31275" s="8">
        <v>26</v>
      </c>
    </row>
    <row r="31276" spans="1:6" ht="12.75">
      <c r="A31276" s="8">
        <v>43890.540972222225</v>
      </c>
      <c r="B31276" s="8" t="str">
        <f>HYPERLINK("https://twitter.com/heztya","@heztya")</f>
        <v>@heztya</v>
      </c>
      <c r="C31276" s="8" t="s">
        <v>10939</v>
      </c>
      <c r="D31276" s="8">
        <v>65</v>
      </c>
      <c r="E31276" s="8">
        <v>0</v>
      </c>
      <c r="F31276" s="8">
        <v>118</v>
      </c>
    </row>
    <row r="31277" spans="1:6" ht="12.75">
      <c r="A31277" s="8">
        <v>43890.540902777779</v>
      </c>
      <c r="B31277" s="8" t="str">
        <f>HYPERLINK("https://twitter.com/filosofiksi","@filosofiksi")</f>
        <v>@filosofiksi</v>
      </c>
      <c r="C31277" s="8" t="s">
        <v>11273</v>
      </c>
      <c r="D31277" s="8">
        <v>16</v>
      </c>
      <c r="E31277" s="8">
        <v>0</v>
      </c>
      <c r="F31277" s="8">
        <v>2271</v>
      </c>
    </row>
    <row r="31278" spans="1:6" ht="12.75">
      <c r="A31278" s="8">
        <v>43890.540532407409</v>
      </c>
      <c r="B31278" s="8" t="str">
        <f>HYPERLINK("https://twitter.com/syafrinkar","@syafrinkar")</f>
        <v>@syafrinkar</v>
      </c>
      <c r="C31278" s="8" t="s">
        <v>11832</v>
      </c>
      <c r="D31278" s="8">
        <v>1</v>
      </c>
      <c r="E31278" s="8">
        <v>0</v>
      </c>
      <c r="F31278" s="8">
        <v>10886</v>
      </c>
    </row>
    <row r="31279" spans="1:6" ht="12.75">
      <c r="A31279" s="8">
        <v>43890.540520833332</v>
      </c>
      <c r="B31279" s="8" t="str">
        <f>HYPERLINK("https://twitter.com/susiloandrianto","@susiloandrianto")</f>
        <v>@susiloandrianto</v>
      </c>
      <c r="C31279" s="8" t="s">
        <v>7686</v>
      </c>
      <c r="D31279" s="8">
        <v>259</v>
      </c>
      <c r="E31279" s="8">
        <v>0</v>
      </c>
      <c r="F31279" s="8">
        <v>42</v>
      </c>
    </row>
    <row r="31280" spans="1:6" ht="12.75">
      <c r="A31280" s="8">
        <v>43890.540393518517</v>
      </c>
      <c r="B31280" s="8" t="str">
        <f>HYPERLINK("https://twitter.com/mahardikaabet","@mahardikaabet")</f>
        <v>@mahardikaabet</v>
      </c>
      <c r="C31280" s="8" t="s">
        <v>11833</v>
      </c>
      <c r="D31280" s="8">
        <v>0</v>
      </c>
      <c r="E31280" s="8">
        <v>1</v>
      </c>
      <c r="F31280" s="8">
        <v>358</v>
      </c>
    </row>
    <row r="31281" spans="1:6" ht="12.75">
      <c r="A31281" s="8">
        <v>43890.540381944447</v>
      </c>
      <c r="B31281" s="8" t="str">
        <f>HYPERLINK("https://twitter.com/awidyaputranto","@awidyaputranto")</f>
        <v>@awidyaputranto</v>
      </c>
      <c r="C31281" s="8" t="s">
        <v>11834</v>
      </c>
      <c r="D31281" s="8">
        <v>0</v>
      </c>
      <c r="E31281" s="8">
        <v>0</v>
      </c>
      <c r="F31281" s="8">
        <v>220</v>
      </c>
    </row>
    <row r="31282" spans="1:6" ht="12.75">
      <c r="A31282" s="8">
        <v>43890.540358796294</v>
      </c>
      <c r="B31282" s="8" t="str">
        <f>HYPERLINK("https://twitter.com/pkerjaKasaR","@pkerjaKasaR")</f>
        <v>@pkerjaKasaR</v>
      </c>
      <c r="C31282" s="8" t="s">
        <v>10811</v>
      </c>
      <c r="D31282" s="8">
        <v>91</v>
      </c>
      <c r="E31282" s="8">
        <v>0</v>
      </c>
      <c r="F31282" s="8">
        <v>256</v>
      </c>
    </row>
    <row r="31283" spans="1:6" ht="12.75">
      <c r="A31283" s="8">
        <v>43890.540104166663</v>
      </c>
      <c r="B31283" s="8" t="str">
        <f>HYPERLINK("https://twitter.com/agoessp","@agoessp")</f>
        <v>@agoessp</v>
      </c>
      <c r="C31283" s="8" t="s">
        <v>10939</v>
      </c>
      <c r="D31283" s="8">
        <v>65</v>
      </c>
      <c r="E31283" s="8">
        <v>0</v>
      </c>
      <c r="F31283" s="8">
        <v>143</v>
      </c>
    </row>
    <row r="31284" spans="1:6" ht="12.75">
      <c r="A31284" s="8">
        <v>43890.540034722224</v>
      </c>
      <c r="B31284" s="8" t="str">
        <f>HYPERLINK("https://twitter.com/Kaleng_Kurma","@Kaleng_Kurma")</f>
        <v>@Kaleng_Kurma</v>
      </c>
      <c r="C31284" s="8" t="s">
        <v>11105</v>
      </c>
      <c r="D31284" s="8">
        <v>90</v>
      </c>
      <c r="E31284" s="8">
        <v>0</v>
      </c>
      <c r="F31284" s="8">
        <v>221</v>
      </c>
    </row>
    <row r="31285" spans="1:6" ht="12.75">
      <c r="A31285" s="8">
        <v>43890.54</v>
      </c>
      <c r="B31285" s="8" t="str">
        <f>HYPERLINK("https://twitter.com/Zulkarn14056442","@Zulkarn14056442")</f>
        <v>@Zulkarn14056442</v>
      </c>
      <c r="C31285" s="8" t="s">
        <v>11835</v>
      </c>
      <c r="D31285" s="8">
        <v>0</v>
      </c>
      <c r="E31285" s="8">
        <v>0</v>
      </c>
      <c r="F31285" s="8">
        <v>3</v>
      </c>
    </row>
    <row r="31286" spans="1:6" ht="12.75">
      <c r="A31286" s="8">
        <v>43890.506840277776</v>
      </c>
      <c r="B31286" s="8" t="str">
        <f>HYPERLINK("https://twitter.com/Jovanka_vanke","@Jovanka_vanke")</f>
        <v>@Jovanka_vanke</v>
      </c>
      <c r="C31286" s="8" t="s">
        <v>11836</v>
      </c>
      <c r="D31286" s="8">
        <v>0</v>
      </c>
      <c r="E31286" s="8">
        <v>0</v>
      </c>
      <c r="F31286" s="8">
        <v>840</v>
      </c>
    </row>
    <row r="31287" spans="1:6" ht="12.75">
      <c r="A31287" s="8">
        <v>43890.506782407407</v>
      </c>
      <c r="B31287" s="8" t="str">
        <f>HYPERLINK("https://twitter.com/floweryroad_","@floweryroad_")</f>
        <v>@floweryroad_</v>
      </c>
      <c r="C31287" s="8" t="s">
        <v>11837</v>
      </c>
      <c r="D31287" s="8">
        <v>4</v>
      </c>
      <c r="E31287" s="8">
        <v>0</v>
      </c>
      <c r="F31287" s="8">
        <v>597</v>
      </c>
    </row>
    <row r="31288" spans="1:6" ht="12.75">
      <c r="A31288" s="8">
        <v>43890.506666666668</v>
      </c>
      <c r="B31288" s="8" t="str">
        <f>HYPERLINK("https://twitter.com/SgMarthin","@SgMarthin")</f>
        <v>@SgMarthin</v>
      </c>
      <c r="C31288" s="8" t="s">
        <v>7686</v>
      </c>
      <c r="D31288" s="8">
        <v>199</v>
      </c>
      <c r="E31288" s="8">
        <v>0</v>
      </c>
      <c r="F31288" s="8">
        <v>650</v>
      </c>
    </row>
    <row r="31289" spans="1:6" ht="12.75">
      <c r="A31289" s="8">
        <v>43890.506655092591</v>
      </c>
      <c r="B31289" s="8" t="str">
        <f>HYPERLINK("https://twitter.com/UmarGani20","@UmarGani20")</f>
        <v>@UmarGani20</v>
      </c>
      <c r="C31289" s="8" t="s">
        <v>4235</v>
      </c>
      <c r="D31289" s="8">
        <v>1183</v>
      </c>
      <c r="E31289" s="8">
        <v>0</v>
      </c>
      <c r="F31289" s="8">
        <v>452</v>
      </c>
    </row>
    <row r="31290" spans="1:6" ht="12.75">
      <c r="A31290" s="8">
        <v>43890.506574074076</v>
      </c>
      <c r="B31290" s="8" t="str">
        <f>HYPERLINK("https://twitter.com/Jono_Fortunate","@Jono_Fortunate")</f>
        <v>@Jono_Fortunate</v>
      </c>
      <c r="C31290" s="8" t="s">
        <v>11838</v>
      </c>
      <c r="D31290" s="8">
        <v>0</v>
      </c>
      <c r="E31290" s="8">
        <v>0</v>
      </c>
      <c r="F31290" s="8">
        <v>606</v>
      </c>
    </row>
    <row r="31291" spans="1:6" ht="12.75">
      <c r="A31291" s="8">
        <v>43890.506435185191</v>
      </c>
      <c r="B31291" s="8" t="str">
        <f>HYPERLINK("https://twitter.com/las3acc","@las3acc")</f>
        <v>@las3acc</v>
      </c>
      <c r="C31291" s="8" t="s">
        <v>10939</v>
      </c>
      <c r="D31291" s="8">
        <v>39</v>
      </c>
      <c r="E31291" s="8">
        <v>0</v>
      </c>
      <c r="F31291" s="8">
        <v>5056</v>
      </c>
    </row>
    <row r="31292" spans="1:6" ht="12.75">
      <c r="A31292" s="8">
        <v>43890.506307870368</v>
      </c>
      <c r="B31292" s="8" t="str">
        <f>HYPERLINK("https://twitter.com/randualit","@randualit")</f>
        <v>@randualit</v>
      </c>
      <c r="C31292" s="8" t="s">
        <v>11839</v>
      </c>
      <c r="D31292" s="8">
        <v>1</v>
      </c>
      <c r="E31292" s="8">
        <v>0</v>
      </c>
      <c r="F31292" s="8">
        <v>7539</v>
      </c>
    </row>
    <row r="31293" spans="1:6" ht="12.75">
      <c r="A31293" s="8">
        <v>43890.506192129629</v>
      </c>
      <c r="B31293" s="8" t="str">
        <f>HYPERLINK("https://twitter.com/TeyengCekap","@TeyengCekap")</f>
        <v>@TeyengCekap</v>
      </c>
      <c r="C31293" s="8" t="s">
        <v>7686</v>
      </c>
      <c r="D31293" s="8">
        <v>199</v>
      </c>
      <c r="E31293" s="8">
        <v>0</v>
      </c>
      <c r="F31293" s="8">
        <v>5437</v>
      </c>
    </row>
    <row r="31294" spans="1:6" ht="12.75">
      <c r="A31294" s="8">
        <v>43890.506192129629</v>
      </c>
      <c r="B31294" s="8" t="str">
        <f>HYPERLINK("https://twitter.com/frans_munthe29","@frans_munthe29")</f>
        <v>@frans_munthe29</v>
      </c>
      <c r="C31294" s="8" t="s">
        <v>11840</v>
      </c>
      <c r="D31294" s="8">
        <v>0</v>
      </c>
      <c r="E31294" s="8">
        <v>0</v>
      </c>
      <c r="F31294" s="8">
        <v>1490</v>
      </c>
    </row>
    <row r="31295" spans="1:6" ht="12.75">
      <c r="A31295" s="8">
        <v>43890.506099537037</v>
      </c>
      <c r="B31295" s="8" t="str">
        <f>HYPERLINK("https://twitter.com/DINI_imanwaty","@DINI_imanwaty")</f>
        <v>@DINI_imanwaty</v>
      </c>
      <c r="C31295" s="8" t="s">
        <v>11841</v>
      </c>
      <c r="D31295" s="8">
        <v>0</v>
      </c>
      <c r="E31295" s="8">
        <v>0</v>
      </c>
      <c r="F31295" s="8">
        <v>659</v>
      </c>
    </row>
    <row r="31296" spans="1:6" ht="12.75">
      <c r="A31296" s="8">
        <v>43890.506006944444</v>
      </c>
      <c r="B31296" s="8" t="str">
        <f>HYPERLINK("https://twitter.com/tittotea","@tittotea")</f>
        <v>@tittotea</v>
      </c>
      <c r="C31296" s="8" t="s">
        <v>7686</v>
      </c>
      <c r="D31296" s="8">
        <v>199</v>
      </c>
      <c r="E31296" s="8">
        <v>0</v>
      </c>
      <c r="F31296" s="8">
        <v>14</v>
      </c>
    </row>
    <row r="31297" spans="1:6" ht="12.75">
      <c r="A31297" s="8">
        <v>43890.505914351852</v>
      </c>
      <c r="B31297" s="8" t="str">
        <f>HYPERLINK("https://twitter.com/YohanesEko","@YohanesEko")</f>
        <v>@YohanesEko</v>
      </c>
      <c r="C31297" s="8" t="s">
        <v>11842</v>
      </c>
      <c r="D31297" s="8">
        <v>0</v>
      </c>
      <c r="E31297" s="8">
        <v>0</v>
      </c>
      <c r="F31297" s="8">
        <v>1579</v>
      </c>
    </row>
    <row r="31298" spans="1:6" ht="12.75">
      <c r="A31298" s="8">
        <v>43890.505856481483</v>
      </c>
      <c r="B31298" s="8" t="str">
        <f>HYPERLINK("https://twitter.com/HsBro5","@HsBro5")</f>
        <v>@HsBro5</v>
      </c>
      <c r="C31298" s="8" t="s">
        <v>7686</v>
      </c>
      <c r="D31298" s="8">
        <v>199</v>
      </c>
      <c r="E31298" s="8">
        <v>0</v>
      </c>
      <c r="F31298" s="8">
        <v>409</v>
      </c>
    </row>
    <row r="31299" spans="1:6" ht="12.75">
      <c r="A31299" s="8">
        <v>43890.50571759259</v>
      </c>
      <c r="B31299" s="8" t="str">
        <f>HYPERLINK("https://twitter.com/diannadriani","@diannadriani")</f>
        <v>@diannadriani</v>
      </c>
      <c r="C31299" s="8" t="s">
        <v>7686</v>
      </c>
      <c r="D31299" s="8">
        <v>199</v>
      </c>
      <c r="E31299" s="8">
        <v>0</v>
      </c>
      <c r="F31299" s="8">
        <v>160</v>
      </c>
    </row>
    <row r="31300" spans="1:6" ht="12.75">
      <c r="A31300" s="8">
        <v>43890.505694444444</v>
      </c>
      <c r="B31300" s="8" t="str">
        <f t="shared" ref="B31300:B31301" si="434">HYPERLINK("https://twitter.com/itjenkemenkes","@itjenkemenkes")</f>
        <v>@itjenkemenkes</v>
      </c>
      <c r="C31300" s="8" t="s">
        <v>11843</v>
      </c>
      <c r="D31300" s="8">
        <v>2</v>
      </c>
      <c r="E31300" s="8">
        <v>0</v>
      </c>
      <c r="F31300" s="8">
        <v>3647</v>
      </c>
    </row>
    <row r="31301" spans="1:6" ht="12.75">
      <c r="A31301" s="8">
        <v>43890.505520833336</v>
      </c>
      <c r="B31301" s="8" t="str">
        <f t="shared" si="434"/>
        <v>@itjenkemenkes</v>
      </c>
      <c r="C31301" s="8" t="s">
        <v>10721</v>
      </c>
      <c r="D31301" s="8">
        <v>153</v>
      </c>
      <c r="E31301" s="8">
        <v>0</v>
      </c>
      <c r="F31301" s="8">
        <v>3647</v>
      </c>
    </row>
    <row r="31302" spans="1:6" ht="12.75">
      <c r="A31302" s="8">
        <v>43890.505497685182</v>
      </c>
      <c r="B31302" s="8" t="str">
        <f>HYPERLINK("https://twitter.com/_wni_","@_wni_")</f>
        <v>@_wni_</v>
      </c>
      <c r="C31302" s="8" t="s">
        <v>11844</v>
      </c>
      <c r="D31302" s="8">
        <v>0</v>
      </c>
      <c r="E31302" s="8">
        <v>0</v>
      </c>
      <c r="F31302" s="8">
        <v>10</v>
      </c>
    </row>
    <row r="31303" spans="1:6" ht="12.75">
      <c r="A31303" s="8">
        <v>43890.505462962959</v>
      </c>
      <c r="B31303" s="8" t="str">
        <f>HYPERLINK("https://twitter.com/TeWeL7","@TeWeL7")</f>
        <v>@TeWeL7</v>
      </c>
      <c r="C31303" s="8" t="s">
        <v>11845</v>
      </c>
      <c r="D31303" s="8">
        <v>0</v>
      </c>
      <c r="E31303" s="8">
        <v>0</v>
      </c>
      <c r="F31303" s="8">
        <v>3323</v>
      </c>
    </row>
    <row r="31304" spans="1:6" ht="12.75">
      <c r="A31304" s="8">
        <v>43890.505439814813</v>
      </c>
      <c r="B31304" s="8" t="str">
        <f>HYPERLINK("https://twitter.com/wicaksana29","@wicaksana29")</f>
        <v>@wicaksana29</v>
      </c>
      <c r="C31304" s="8" t="s">
        <v>11846</v>
      </c>
      <c r="D31304" s="8">
        <v>0</v>
      </c>
      <c r="E31304" s="8">
        <v>0</v>
      </c>
      <c r="F31304" s="8">
        <v>191</v>
      </c>
    </row>
    <row r="31305" spans="1:6" ht="12.75">
      <c r="A31305" s="8">
        <v>43890.505381944444</v>
      </c>
      <c r="B31305" s="8" t="str">
        <f>HYPERLINK("https://twitter.com/yazid_fadhlan","@yazid_fadhlan")</f>
        <v>@yazid_fadhlan</v>
      </c>
      <c r="C31305" s="8" t="s">
        <v>11847</v>
      </c>
      <c r="D31305" s="8">
        <v>0</v>
      </c>
      <c r="E31305" s="8">
        <v>0</v>
      </c>
      <c r="F31305" s="8">
        <v>631</v>
      </c>
    </row>
    <row r="31306" spans="1:6" ht="12.75">
      <c r="A31306" s="8">
        <v>43890.505358796298</v>
      </c>
      <c r="B31306" s="8" t="str">
        <f>HYPERLINK("https://twitter.com/Bayusb_ibm1","@Bayusb_ibm1")</f>
        <v>@Bayusb_ibm1</v>
      </c>
      <c r="C31306" s="8" t="s">
        <v>11292</v>
      </c>
      <c r="D31306" s="8">
        <v>30</v>
      </c>
      <c r="E31306" s="8">
        <v>0</v>
      </c>
      <c r="F31306" s="8">
        <v>3698</v>
      </c>
    </row>
    <row r="31307" spans="1:6" ht="12.75">
      <c r="A31307" s="8">
        <v>43890.505150462966</v>
      </c>
      <c r="B31307" s="8" t="str">
        <f>HYPERLINK("https://twitter.com/Informankunci","@Informankunci")</f>
        <v>@Informankunci</v>
      </c>
      <c r="C31307" s="8" t="s">
        <v>11848</v>
      </c>
      <c r="D31307" s="8">
        <v>0</v>
      </c>
      <c r="E31307" s="8">
        <v>0</v>
      </c>
      <c r="F31307" s="8">
        <v>652</v>
      </c>
    </row>
    <row r="31308" spans="1:6" ht="12.75">
      <c r="A31308" s="8">
        <v>43890.50509259259</v>
      </c>
      <c r="B31308" s="8" t="str">
        <f>HYPERLINK("https://twitter.com/ephraym8","@ephraym8")</f>
        <v>@ephraym8</v>
      </c>
      <c r="C31308" s="8" t="s">
        <v>11849</v>
      </c>
      <c r="D31308" s="8">
        <v>1</v>
      </c>
      <c r="E31308" s="8">
        <v>0</v>
      </c>
      <c r="F31308" s="8">
        <v>1179</v>
      </c>
    </row>
    <row r="31309" spans="1:6" ht="12.75">
      <c r="A31309" s="8">
        <v>43890.50509259259</v>
      </c>
      <c r="B31309" s="8" t="str">
        <f>HYPERLINK("https://twitter.com/iikjrz","@iikjrz")</f>
        <v>@iikjrz</v>
      </c>
      <c r="C31309" s="8" t="s">
        <v>7686</v>
      </c>
      <c r="D31309" s="8">
        <v>199</v>
      </c>
      <c r="E31309" s="8">
        <v>0</v>
      </c>
      <c r="F31309" s="8">
        <v>121</v>
      </c>
    </row>
    <row r="31310" spans="1:6" ht="12.75">
      <c r="A31310" s="8">
        <v>43890.50509259259</v>
      </c>
      <c r="B31310" s="8" t="str">
        <f>HYPERLINK("https://twitter.com/Mr_Planktoon","@Mr_Planktoon")</f>
        <v>@Mr_Planktoon</v>
      </c>
      <c r="C31310" s="8" t="s">
        <v>10939</v>
      </c>
      <c r="D31310" s="8">
        <v>39</v>
      </c>
      <c r="E31310" s="8">
        <v>0</v>
      </c>
      <c r="F31310" s="8">
        <v>127</v>
      </c>
    </row>
    <row r="31311" spans="1:6" ht="12.75">
      <c r="A31311" s="8">
        <v>43890.505046296297</v>
      </c>
      <c r="B31311" s="8" t="str">
        <f>HYPERLINK("https://twitter.com/Bayusb_ibm1","@Bayusb_ibm1")</f>
        <v>@Bayusb_ibm1</v>
      </c>
      <c r="C31311" s="8" t="s">
        <v>10939</v>
      </c>
      <c r="D31311" s="8">
        <v>39</v>
      </c>
      <c r="E31311" s="8">
        <v>0</v>
      </c>
      <c r="F31311" s="8">
        <v>3698</v>
      </c>
    </row>
    <row r="31312" spans="1:6" ht="12.75">
      <c r="A31312" s="8">
        <v>43890.504895833335</v>
      </c>
      <c r="B31312" s="8" t="str">
        <f>HYPERLINK("https://twitter.com/kangenband123","@kangenband123")</f>
        <v>@kangenband123</v>
      </c>
      <c r="C31312" s="8" t="s">
        <v>11850</v>
      </c>
      <c r="D31312" s="8">
        <v>2</v>
      </c>
      <c r="E31312" s="8">
        <v>0</v>
      </c>
      <c r="F31312" s="8">
        <v>7941</v>
      </c>
    </row>
    <row r="31313" spans="1:6" ht="12.75">
      <c r="A31313" s="8">
        <v>43890.504803240736</v>
      </c>
      <c r="B31313" s="8" t="str">
        <f>HYPERLINK("https://twitter.com/Bayusb_ibm1","@Bayusb_ibm1")</f>
        <v>@Bayusb_ibm1</v>
      </c>
      <c r="C31313" s="8" t="s">
        <v>11332</v>
      </c>
      <c r="D31313" s="8">
        <v>18</v>
      </c>
      <c r="E31313" s="8">
        <v>0</v>
      </c>
      <c r="F31313" s="8">
        <v>3698</v>
      </c>
    </row>
    <row r="31314" spans="1:6" ht="12.75">
      <c r="A31314" s="8">
        <v>43890.504803240736</v>
      </c>
      <c r="B31314" s="8" t="str">
        <f>HYPERLINK("https://twitter.com/74rainmaker","@74rainmaker")</f>
        <v>@74rainmaker</v>
      </c>
      <c r="C31314" s="8" t="s">
        <v>11851</v>
      </c>
      <c r="D31314" s="8">
        <v>0</v>
      </c>
      <c r="E31314" s="8">
        <v>0</v>
      </c>
      <c r="F31314" s="8">
        <v>594</v>
      </c>
    </row>
    <row r="31315" spans="1:6" ht="12.75">
      <c r="A31315" s="8">
        <v>43890.504687499997</v>
      </c>
      <c r="B31315" s="8" t="str">
        <f>HYPERLINK("https://twitter.com/Bayusb_ibm1","@Bayusb_ibm1")</f>
        <v>@Bayusb_ibm1</v>
      </c>
      <c r="C31315" s="8" t="s">
        <v>10391</v>
      </c>
      <c r="D31315" s="8">
        <v>67</v>
      </c>
      <c r="E31315" s="8">
        <v>0</v>
      </c>
      <c r="F31315" s="8">
        <v>3698</v>
      </c>
    </row>
    <row r="31316" spans="1:6" ht="12.75">
      <c r="A31316" s="8">
        <v>43890.504652777774</v>
      </c>
      <c r="B31316" s="8" t="str">
        <f>HYPERLINK("https://twitter.com/teto_pati","@teto_pati")</f>
        <v>@teto_pati</v>
      </c>
      <c r="C31316" s="8" t="s">
        <v>10939</v>
      </c>
      <c r="D31316" s="8">
        <v>39</v>
      </c>
      <c r="E31316" s="8">
        <v>0</v>
      </c>
      <c r="F31316" s="8">
        <v>146</v>
      </c>
    </row>
    <row r="31317" spans="1:6" ht="12.75">
      <c r="A31317" s="8">
        <v>43890.504571759258</v>
      </c>
      <c r="B31317" s="8" t="str">
        <f>HYPERLINK("https://twitter.com/Arc_Abdoul_","@Arc_Abdoul_")</f>
        <v>@Arc_Abdoul_</v>
      </c>
      <c r="C31317" s="8" t="s">
        <v>11852</v>
      </c>
      <c r="D31317" s="8">
        <v>1</v>
      </c>
      <c r="E31317" s="8">
        <v>0</v>
      </c>
      <c r="F31317" s="8">
        <v>8708</v>
      </c>
    </row>
    <row r="31318" spans="1:6" ht="12.75">
      <c r="A31318" s="8">
        <v>43890.504571759258</v>
      </c>
      <c r="B31318" s="8" t="str">
        <f>HYPERLINK("https://twitter.com/da_MA_bee_YAH","@da_MA_bee_YAH")</f>
        <v>@da_MA_bee_YAH</v>
      </c>
      <c r="C31318" s="8" t="s">
        <v>11332</v>
      </c>
      <c r="D31318" s="8">
        <v>18</v>
      </c>
      <c r="E31318" s="8">
        <v>0</v>
      </c>
      <c r="F31318" s="8">
        <v>297</v>
      </c>
    </row>
    <row r="31319" spans="1:6" ht="12.75">
      <c r="A31319" s="8">
        <v>43890.504525462966</v>
      </c>
      <c r="B31319" s="8" t="str">
        <f>HYPERLINK("https://twitter.com/SautSinaga19","@SautSinaga19")</f>
        <v>@SautSinaga19</v>
      </c>
      <c r="C31319" s="8" t="s">
        <v>9768</v>
      </c>
      <c r="D31319" s="8">
        <v>97</v>
      </c>
      <c r="E31319" s="8">
        <v>0</v>
      </c>
      <c r="F31319" s="8">
        <v>40</v>
      </c>
    </row>
    <row r="31320" spans="1:6" ht="12.75">
      <c r="A31320" s="8">
        <v>43890.504525462966</v>
      </c>
      <c r="B31320" s="8" t="str">
        <f t="shared" ref="B31320:B31321" si="435">HYPERLINK("https://twitter.com/Bayusb_ibm1","@Bayusb_ibm1")</f>
        <v>@Bayusb_ibm1</v>
      </c>
      <c r="C31320" s="8" t="s">
        <v>10811</v>
      </c>
      <c r="D31320" s="8">
        <v>63</v>
      </c>
      <c r="E31320" s="8">
        <v>0</v>
      </c>
      <c r="F31320" s="8">
        <v>3698</v>
      </c>
    </row>
    <row r="31321" spans="1:6" ht="12.75">
      <c r="A31321" s="8">
        <v>43890.504444444443</v>
      </c>
      <c r="B31321" s="8" t="str">
        <f t="shared" si="435"/>
        <v>@Bayusb_ibm1</v>
      </c>
      <c r="C31321" s="8" t="s">
        <v>7686</v>
      </c>
      <c r="D31321" s="8">
        <v>199</v>
      </c>
      <c r="E31321" s="8">
        <v>0</v>
      </c>
      <c r="F31321" s="8">
        <v>3698</v>
      </c>
    </row>
    <row r="31322" spans="1:6" ht="12.75">
      <c r="A31322" s="8">
        <v>43890.504421296297</v>
      </c>
      <c r="B31322" s="8" t="str">
        <f>HYPERLINK("https://twitter.com/cadarmerah","@cadarmerah")</f>
        <v>@cadarmerah</v>
      </c>
      <c r="C31322" s="8" t="s">
        <v>11850</v>
      </c>
      <c r="D31322" s="8">
        <v>2</v>
      </c>
      <c r="E31322" s="8">
        <v>0</v>
      </c>
      <c r="F31322" s="8">
        <v>5664</v>
      </c>
    </row>
    <row r="31323" spans="1:6" ht="12.75">
      <c r="A31323" s="8">
        <v>43890.504212962958</v>
      </c>
      <c r="B31323" s="8" t="str">
        <f>HYPERLINK("https://twitter.com/BudiRahadian5","@BudiRahadian5")</f>
        <v>@BudiRahadian5</v>
      </c>
      <c r="C31323" s="8" t="s">
        <v>11853</v>
      </c>
      <c r="D31323" s="8">
        <v>0</v>
      </c>
      <c r="E31323" s="8">
        <v>0</v>
      </c>
      <c r="F31323" s="8">
        <v>1319</v>
      </c>
    </row>
    <row r="31324" spans="1:6" ht="12.75">
      <c r="A31324" s="8">
        <v>43890.504212962958</v>
      </c>
      <c r="B31324" s="8" t="str">
        <f>HYPERLINK("https://twitter.com/krisna_green","@krisna_green")</f>
        <v>@krisna_green</v>
      </c>
      <c r="C31324" s="8" t="s">
        <v>7686</v>
      </c>
      <c r="D31324" s="8">
        <v>199</v>
      </c>
      <c r="E31324" s="8">
        <v>0</v>
      </c>
      <c r="F31324" s="8">
        <v>1293</v>
      </c>
    </row>
    <row r="31325" spans="1:6" ht="12.75">
      <c r="A31325" s="8">
        <v>43890.504143518519</v>
      </c>
      <c r="B31325" s="8" t="str">
        <f>HYPERLINK("https://twitter.com/Andyonkie","@Andyonkie")</f>
        <v>@Andyonkie</v>
      </c>
      <c r="C31325" s="8" t="s">
        <v>4235</v>
      </c>
      <c r="D31325" s="8">
        <v>1183</v>
      </c>
      <c r="E31325" s="8">
        <v>0</v>
      </c>
      <c r="F31325" s="8">
        <v>131</v>
      </c>
    </row>
    <row r="31326" spans="1:6" ht="12.75">
      <c r="A31326" s="8">
        <v>43890.504131944443</v>
      </c>
      <c r="B31326" s="8" t="str">
        <f>HYPERLINK("https://twitter.com/Samuellarisst","@Samuellarisst")</f>
        <v>@Samuellarisst</v>
      </c>
      <c r="C31326" s="8" t="s">
        <v>10811</v>
      </c>
      <c r="D31326" s="8">
        <v>63</v>
      </c>
      <c r="E31326" s="8">
        <v>0</v>
      </c>
      <c r="F31326" s="8">
        <v>43</v>
      </c>
    </row>
    <row r="31327" spans="1:6" ht="12.75">
      <c r="A31327" s="8">
        <v>43890.504120370373</v>
      </c>
      <c r="B31327" s="8" t="str">
        <f>HYPERLINK("https://twitter.com/Tonim1908","@Tonim1908")</f>
        <v>@Tonim1908</v>
      </c>
      <c r="C31327" s="8" t="s">
        <v>11117</v>
      </c>
      <c r="D31327" s="8">
        <v>35</v>
      </c>
      <c r="E31327" s="8">
        <v>0</v>
      </c>
      <c r="F31327" s="8">
        <v>826</v>
      </c>
    </row>
    <row r="31328" spans="1:6" ht="12.75">
      <c r="A31328" s="8">
        <v>43890.504016203704</v>
      </c>
      <c r="B31328" s="8" t="str">
        <f>HYPERLINK("https://twitter.com/bandorobrojo","@bandorobrojo")</f>
        <v>@bandorobrojo</v>
      </c>
      <c r="C31328" s="8" t="s">
        <v>6836</v>
      </c>
      <c r="D31328" s="8">
        <v>295</v>
      </c>
      <c r="E31328" s="8">
        <v>0</v>
      </c>
      <c r="F31328" s="8">
        <v>682</v>
      </c>
    </row>
    <row r="31329" spans="1:6" ht="12.75">
      <c r="A31329" s="8">
        <v>43890.50381944445</v>
      </c>
      <c r="B31329" s="8" t="str">
        <f>HYPERLINK("https://twitter.com/WardiSyamsi","@WardiSyamsi")</f>
        <v>@WardiSyamsi</v>
      </c>
      <c r="C31329" s="8" t="s">
        <v>4235</v>
      </c>
      <c r="D31329" s="8">
        <v>1183</v>
      </c>
      <c r="E31329" s="8">
        <v>0</v>
      </c>
      <c r="F31329" s="8">
        <v>33</v>
      </c>
    </row>
    <row r="31330" spans="1:6" ht="12.75">
      <c r="A31330" s="8">
        <v>43890.503807870366</v>
      </c>
      <c r="B31330" s="8" t="str">
        <f>HYPERLINK("https://twitter.com/Tonim1908","@Tonim1908")</f>
        <v>@Tonim1908</v>
      </c>
      <c r="C31330" s="8" t="s">
        <v>11292</v>
      </c>
      <c r="D31330" s="8">
        <v>30</v>
      </c>
      <c r="E31330" s="8">
        <v>0</v>
      </c>
      <c r="F31330" s="8">
        <v>826</v>
      </c>
    </row>
    <row r="31331" spans="1:6" ht="12.75">
      <c r="A31331" s="8">
        <v>43890.503750000003</v>
      </c>
      <c r="B31331" s="8" t="str">
        <f>HYPERLINK("https://twitter.com/Irukandji23","@Irukandji23")</f>
        <v>@Irukandji23</v>
      </c>
      <c r="C31331" s="8" t="s">
        <v>4235</v>
      </c>
      <c r="D31331" s="8">
        <v>1183</v>
      </c>
      <c r="E31331" s="8">
        <v>0</v>
      </c>
      <c r="F31331" s="8">
        <v>68</v>
      </c>
    </row>
    <row r="31332" spans="1:6" ht="12.75">
      <c r="A31332" s="8">
        <v>43890.503738425927</v>
      </c>
      <c r="B31332" s="8" t="str">
        <f>HYPERLINK("https://twitter.com/danial_riadi","@danial_riadi")</f>
        <v>@danial_riadi</v>
      </c>
      <c r="C31332" s="8" t="s">
        <v>11854</v>
      </c>
      <c r="D31332" s="8">
        <v>0</v>
      </c>
      <c r="E31332" s="8">
        <v>0</v>
      </c>
      <c r="F31332" s="8">
        <v>22</v>
      </c>
    </row>
    <row r="31333" spans="1:6" ht="12.75">
      <c r="A31333" s="8">
        <v>43890.503622685181</v>
      </c>
      <c r="B31333" s="8" t="str">
        <f>HYPERLINK("https://twitter.com/mynuha_23","@mynuha_23")</f>
        <v>@mynuha_23</v>
      </c>
      <c r="C31333" s="8" t="s">
        <v>7686</v>
      </c>
      <c r="D31333" s="8">
        <v>199</v>
      </c>
      <c r="E31333" s="8">
        <v>0</v>
      </c>
      <c r="F31333" s="8">
        <v>298</v>
      </c>
    </row>
    <row r="31334" spans="1:6" ht="12.75">
      <c r="A31334" s="8">
        <v>43890.503553240742</v>
      </c>
      <c r="B31334" s="8" t="str">
        <f>HYPERLINK("https://twitter.com/arjuno_ireng01","@arjuno_ireng01")</f>
        <v>@arjuno_ireng01</v>
      </c>
      <c r="C31334" s="8" t="s">
        <v>11763</v>
      </c>
      <c r="D31334" s="8">
        <v>1</v>
      </c>
      <c r="E31334" s="8">
        <v>0</v>
      </c>
      <c r="F31334" s="8">
        <v>10843</v>
      </c>
    </row>
    <row r="31335" spans="1:6" ht="12.75">
      <c r="A31335" s="8">
        <v>43890.503495370373</v>
      </c>
      <c r="B31335" s="8" t="str">
        <f>HYPERLINK("https://twitter.com/Chikiajadong","@Chikiajadong")</f>
        <v>@Chikiajadong</v>
      </c>
      <c r="C31335" s="8" t="s">
        <v>7686</v>
      </c>
      <c r="D31335" s="8">
        <v>199</v>
      </c>
      <c r="E31335" s="8">
        <v>0</v>
      </c>
      <c r="F31335" s="8">
        <v>485</v>
      </c>
    </row>
    <row r="31336" spans="1:6" ht="12.75">
      <c r="A31336" s="8">
        <v>43890.503472222219</v>
      </c>
      <c r="B31336" s="8" t="str">
        <f>HYPERLINK("https://twitter.com/kalacakrakala","@kalacakrakala")</f>
        <v>@kalacakrakala</v>
      </c>
      <c r="C31336" s="8" t="s">
        <v>11855</v>
      </c>
      <c r="D31336" s="8">
        <v>0</v>
      </c>
      <c r="E31336" s="8">
        <v>1</v>
      </c>
      <c r="F31336" s="8">
        <v>1143</v>
      </c>
    </row>
    <row r="31337" spans="1:6" ht="12.75">
      <c r="A31337" s="8">
        <v>43890.503344907411</v>
      </c>
      <c r="B31337" s="8" t="str">
        <f>HYPERLINK("https://twitter.com/wartabhineka","@wartabhineka")</f>
        <v>@wartabhineka</v>
      </c>
      <c r="C31337" s="8" t="s">
        <v>11856</v>
      </c>
      <c r="D31337" s="8">
        <v>0</v>
      </c>
      <c r="E31337" s="8">
        <v>0</v>
      </c>
      <c r="F31337" s="8">
        <v>115</v>
      </c>
    </row>
    <row r="31338" spans="1:6" ht="12.75">
      <c r="A31338" s="8">
        <v>43890.503310185188</v>
      </c>
      <c r="B31338" s="8" t="str">
        <f>HYPERLINK("https://twitter.com/alveindamar","@alveindamar")</f>
        <v>@alveindamar</v>
      </c>
      <c r="C31338" s="8" t="s">
        <v>11857</v>
      </c>
      <c r="D31338" s="8">
        <v>0</v>
      </c>
      <c r="E31338" s="8">
        <v>0</v>
      </c>
      <c r="F31338" s="8">
        <v>371</v>
      </c>
    </row>
    <row r="31339" spans="1:6" ht="12.75">
      <c r="A31339" s="8">
        <v>43890.503206018519</v>
      </c>
      <c r="B31339" s="8" t="str">
        <f>HYPERLINK("https://twitter.com/Djupria2","@Djupria2")</f>
        <v>@Djupria2</v>
      </c>
      <c r="C31339" s="8" t="s">
        <v>6836</v>
      </c>
      <c r="D31339" s="8">
        <v>295</v>
      </c>
      <c r="E31339" s="8">
        <v>0</v>
      </c>
      <c r="F31339" s="8">
        <v>694</v>
      </c>
    </row>
    <row r="31340" spans="1:6" ht="12.75">
      <c r="A31340" s="8">
        <v>43890.50309027778</v>
      </c>
      <c r="B31340" s="8" t="str">
        <f>HYPERLINK("https://twitter.com/FacelessOne4","@FacelessOne4")</f>
        <v>@FacelessOne4</v>
      </c>
      <c r="C31340" s="8" t="s">
        <v>10811</v>
      </c>
      <c r="D31340" s="8">
        <v>63</v>
      </c>
      <c r="E31340" s="8">
        <v>0</v>
      </c>
      <c r="F31340" s="8">
        <v>5</v>
      </c>
    </row>
    <row r="31341" spans="1:6" ht="12.75">
      <c r="A31341" s="8">
        <v>43890.503020833334</v>
      </c>
      <c r="B31341" s="8" t="str">
        <f>HYPERLINK("https://twitter.com/koyit_","@koyit_")</f>
        <v>@koyit_</v>
      </c>
      <c r="C31341" s="8" t="s">
        <v>11858</v>
      </c>
      <c r="D31341" s="8">
        <v>0</v>
      </c>
      <c r="E31341" s="8">
        <v>0</v>
      </c>
      <c r="F31341" s="8">
        <v>614</v>
      </c>
    </row>
    <row r="31342" spans="1:6" ht="12.75">
      <c r="A31342" s="8">
        <v>43890.502928240741</v>
      </c>
      <c r="B31342" s="8" t="str">
        <f>HYPERLINK("https://twitter.com/ArSunantoaris","@ArSunantoaris")</f>
        <v>@ArSunantoaris</v>
      </c>
      <c r="C31342" s="8" t="s">
        <v>10391</v>
      </c>
      <c r="D31342" s="8">
        <v>67</v>
      </c>
      <c r="E31342" s="8">
        <v>0</v>
      </c>
      <c r="F31342" s="8">
        <v>3647</v>
      </c>
    </row>
    <row r="31343" spans="1:6" ht="12.75">
      <c r="A31343" s="8">
        <v>43890.502685185187</v>
      </c>
      <c r="B31343" s="8" t="str">
        <f>HYPERLINK("https://twitter.com/IngNa70","@IngNa70")</f>
        <v>@IngNa70</v>
      </c>
      <c r="C31343" s="8" t="s">
        <v>11859</v>
      </c>
      <c r="D31343" s="8">
        <v>2</v>
      </c>
      <c r="E31343" s="8">
        <v>0</v>
      </c>
      <c r="F31343" s="8">
        <v>577</v>
      </c>
    </row>
    <row r="31344" spans="1:6" ht="12.75">
      <c r="A31344" s="8">
        <v>43890.502511574072</v>
      </c>
      <c r="B31344" s="8" t="str">
        <f>HYPERLINK("https://twitter.com/FarelmaxL","@FarelmaxL")</f>
        <v>@FarelmaxL</v>
      </c>
      <c r="C31344" s="8" t="s">
        <v>11860</v>
      </c>
      <c r="D31344" s="8">
        <v>1</v>
      </c>
      <c r="E31344" s="8">
        <v>2</v>
      </c>
      <c r="F31344" s="8">
        <v>1404</v>
      </c>
    </row>
    <row r="31345" spans="1:6" ht="12.75">
      <c r="A31345" s="8">
        <v>43890.502384259264</v>
      </c>
      <c r="B31345" s="8" t="str">
        <f>HYPERLINK("https://twitter.com/GoTotheJek","@GoTotheJek")</f>
        <v>@GoTotheJek</v>
      </c>
      <c r="C31345" s="8" t="s">
        <v>11861</v>
      </c>
      <c r="D31345" s="8">
        <v>0</v>
      </c>
      <c r="E31345" s="8">
        <v>0</v>
      </c>
      <c r="F31345" s="8">
        <v>779</v>
      </c>
    </row>
    <row r="31346" spans="1:6" ht="12.75">
      <c r="A31346" s="8">
        <v>43890.502372685187</v>
      </c>
      <c r="B31346" s="8" t="str">
        <f>HYPERLINK("https://twitter.com/C1nta_Kasih","@C1nta_Kasih")</f>
        <v>@C1nta_Kasih</v>
      </c>
      <c r="C31346" s="8" t="s">
        <v>10939</v>
      </c>
      <c r="D31346" s="8">
        <v>39</v>
      </c>
      <c r="E31346" s="8">
        <v>0</v>
      </c>
      <c r="F31346" s="8">
        <v>198</v>
      </c>
    </row>
    <row r="31347" spans="1:6" ht="12.75">
      <c r="A31347" s="8">
        <v>43890.502372685187</v>
      </c>
      <c r="B31347" s="8" t="str">
        <f>HYPERLINK("https://twitter.com/ahmat_bronto","@ahmat_bronto")</f>
        <v>@ahmat_bronto</v>
      </c>
      <c r="C31347" s="8" t="s">
        <v>7686</v>
      </c>
      <c r="D31347" s="8">
        <v>199</v>
      </c>
      <c r="E31347" s="8">
        <v>0</v>
      </c>
      <c r="F31347" s="8">
        <v>361</v>
      </c>
    </row>
    <row r="31348" spans="1:6" ht="12.75">
      <c r="A31348" s="8">
        <v>43890.502291666664</v>
      </c>
      <c r="B31348" s="8" t="str">
        <f>HYPERLINK("https://twitter.com/sissyfebrina","@sissyfebrina")</f>
        <v>@sissyfebrina</v>
      </c>
      <c r="C31348" s="8" t="s">
        <v>11862</v>
      </c>
      <c r="D31348" s="8">
        <v>0</v>
      </c>
      <c r="E31348" s="8">
        <v>0</v>
      </c>
      <c r="F31348" s="8">
        <v>8</v>
      </c>
    </row>
    <row r="31349" spans="1:6" ht="12.75">
      <c r="A31349" s="8">
        <v>43890.502291666664</v>
      </c>
      <c r="B31349" s="8" t="str">
        <f>HYPERLINK("https://twitter.com/RuSoet118","@RuSoet118")</f>
        <v>@RuSoet118</v>
      </c>
      <c r="C31349" s="8" t="s">
        <v>11105</v>
      </c>
      <c r="D31349" s="8">
        <v>72</v>
      </c>
      <c r="E31349" s="8">
        <v>0</v>
      </c>
      <c r="F31349" s="8">
        <v>67</v>
      </c>
    </row>
    <row r="31350" spans="1:6" ht="12.75">
      <c r="A31350" s="8">
        <v>43890.502256944441</v>
      </c>
      <c r="B31350" s="8" t="str">
        <f>HYPERLINK("https://twitter.com/ahmat_bronto","@ahmat_bronto")</f>
        <v>@ahmat_bronto</v>
      </c>
      <c r="C31350" s="8" t="s">
        <v>11105</v>
      </c>
      <c r="D31350" s="8">
        <v>72</v>
      </c>
      <c r="E31350" s="8">
        <v>0</v>
      </c>
      <c r="F31350" s="8">
        <v>361</v>
      </c>
    </row>
    <row r="31351" spans="1:6" ht="12.75">
      <c r="A31351" s="8">
        <v>43890.502256944441</v>
      </c>
      <c r="B31351" s="8" t="str">
        <f>HYPERLINK("https://twitter.com/spyrogyra82","@spyrogyra82")</f>
        <v>@spyrogyra82</v>
      </c>
      <c r="C31351" s="8" t="s">
        <v>11117</v>
      </c>
      <c r="D31351" s="8">
        <v>35</v>
      </c>
      <c r="E31351" s="8">
        <v>0</v>
      </c>
      <c r="F31351" s="8">
        <v>590</v>
      </c>
    </row>
    <row r="31352" spans="1:6" ht="12.75">
      <c r="A31352" s="8">
        <v>43890.502233796295</v>
      </c>
      <c r="B31352" s="8" t="str">
        <f>HYPERLINK("https://twitter.com/Susanto13895819","@Susanto13895819")</f>
        <v>@Susanto13895819</v>
      </c>
      <c r="C31352" s="8" t="s">
        <v>7686</v>
      </c>
      <c r="D31352" s="8">
        <v>199</v>
      </c>
      <c r="E31352" s="8">
        <v>0</v>
      </c>
      <c r="F31352" s="8">
        <v>467</v>
      </c>
    </row>
    <row r="31353" spans="1:6" ht="12.75">
      <c r="A31353" s="8">
        <v>43890.502222222218</v>
      </c>
      <c r="B31353" s="8" t="str">
        <f>HYPERLINK("https://twitter.com/koecing_pasar","@koecing_pasar")</f>
        <v>@koecing_pasar</v>
      </c>
      <c r="C31353" s="8" t="s">
        <v>11420</v>
      </c>
      <c r="D31353" s="8">
        <v>14</v>
      </c>
      <c r="E31353" s="8">
        <v>0</v>
      </c>
      <c r="F31353" s="8">
        <v>1305</v>
      </c>
    </row>
    <row r="31354" spans="1:6" ht="12.75">
      <c r="A31354" s="8">
        <v>43890.501967592594</v>
      </c>
      <c r="B31354" s="8" t="str">
        <f>HYPERLINK("https://twitter.com/Gotun05","@Gotun05")</f>
        <v>@Gotun05</v>
      </c>
      <c r="C31354" s="8" t="s">
        <v>11863</v>
      </c>
      <c r="D31354" s="8">
        <v>1</v>
      </c>
      <c r="E31354" s="8">
        <v>0</v>
      </c>
      <c r="F31354" s="8">
        <v>292</v>
      </c>
    </row>
    <row r="31355" spans="1:6" ht="12.75">
      <c r="A31355" s="8">
        <v>43890.501898148148</v>
      </c>
      <c r="B31355" s="8" t="str">
        <f>HYPERLINK("https://twitter.com/mrsnail22","@mrsnail22")</f>
        <v>@mrsnail22</v>
      </c>
      <c r="C31355" s="8" t="s">
        <v>11292</v>
      </c>
      <c r="D31355" s="8">
        <v>30</v>
      </c>
      <c r="E31355" s="8">
        <v>0</v>
      </c>
      <c r="F31355" s="8">
        <v>419</v>
      </c>
    </row>
    <row r="31356" spans="1:6" ht="12.75">
      <c r="A31356" s="8">
        <v>43890.50172453704</v>
      </c>
      <c r="B31356" s="8" t="str">
        <f>HYPERLINK("https://twitter.com/gurutua7","@gurutua7")</f>
        <v>@gurutua7</v>
      </c>
      <c r="C31356" s="8" t="s">
        <v>4235</v>
      </c>
      <c r="D31356" s="8">
        <v>1183</v>
      </c>
      <c r="E31356" s="8">
        <v>0</v>
      </c>
      <c r="F31356" s="8">
        <v>1279</v>
      </c>
    </row>
    <row r="31357" spans="1:6" ht="12.75">
      <c r="A31357" s="8">
        <v>43890.501643518517</v>
      </c>
      <c r="B31357" s="8" t="str">
        <f>HYPERLINK("https://twitter.com/AiniKatia","@AiniKatia")</f>
        <v>@AiniKatia</v>
      </c>
      <c r="C31357" s="8" t="s">
        <v>6490</v>
      </c>
      <c r="D31357" s="8">
        <v>222</v>
      </c>
      <c r="E31357" s="8">
        <v>0</v>
      </c>
      <c r="F31357" s="8">
        <v>200</v>
      </c>
    </row>
    <row r="31358" spans="1:6" ht="12.75">
      <c r="A31358" s="8">
        <v>43890.501608796301</v>
      </c>
      <c r="B31358" s="8" t="str">
        <f>HYPERLINK("https://twitter.com/njuk_sun_an","@njuk_sun_an")</f>
        <v>@njuk_sun_an</v>
      </c>
      <c r="C31358" s="8" t="s">
        <v>7686</v>
      </c>
      <c r="D31358" s="8">
        <v>199</v>
      </c>
      <c r="E31358" s="8">
        <v>0</v>
      </c>
      <c r="F31358" s="8">
        <v>12</v>
      </c>
    </row>
    <row r="31359" spans="1:6" ht="12.75">
      <c r="A31359" s="8">
        <v>43890.501539351855</v>
      </c>
      <c r="B31359" s="8" t="str">
        <f>HYPERLINK("https://twitter.com/Jovanka_vanke","@Jovanka_vanke")</f>
        <v>@Jovanka_vanke</v>
      </c>
      <c r="C31359" s="8" t="s">
        <v>10939</v>
      </c>
      <c r="D31359" s="8">
        <v>39</v>
      </c>
      <c r="E31359" s="8">
        <v>0</v>
      </c>
      <c r="F31359" s="8">
        <v>840</v>
      </c>
    </row>
    <row r="31360" spans="1:6" ht="12.75">
      <c r="A31360" s="8">
        <v>43890.501493055555</v>
      </c>
      <c r="B31360" s="8" t="str">
        <f>HYPERLINK("https://twitter.com/wartabhineka","@wartabhineka")</f>
        <v>@wartabhineka</v>
      </c>
      <c r="C31360" s="8" t="s">
        <v>11864</v>
      </c>
      <c r="D31360" s="8">
        <v>0</v>
      </c>
      <c r="E31360" s="8">
        <v>0</v>
      </c>
      <c r="F31360" s="8">
        <v>115</v>
      </c>
    </row>
    <row r="31361" spans="1:6" ht="12.75">
      <c r="A31361" s="8">
        <v>43890.501469907409</v>
      </c>
      <c r="B31361" s="8" t="str">
        <f>HYPERLINK("https://twitter.com/frans_munthe29","@frans_munthe29")</f>
        <v>@frans_munthe29</v>
      </c>
      <c r="C31361" s="8" t="s">
        <v>7686</v>
      </c>
      <c r="D31361" s="8">
        <v>199</v>
      </c>
      <c r="E31361" s="8">
        <v>0</v>
      </c>
      <c r="F31361" s="8">
        <v>1490</v>
      </c>
    </row>
    <row r="31362" spans="1:6" ht="12.75">
      <c r="A31362" s="8">
        <v>43890.501446759255</v>
      </c>
      <c r="B31362" s="8" t="str">
        <f>HYPERLINK("https://twitter.com/dance_o2","@dance_o2")</f>
        <v>@dance_o2</v>
      </c>
      <c r="C31362" s="8" t="s">
        <v>11865</v>
      </c>
      <c r="D31362" s="8">
        <v>0</v>
      </c>
      <c r="E31362" s="8">
        <v>0</v>
      </c>
      <c r="F31362" s="8">
        <v>292</v>
      </c>
    </row>
    <row r="31363" spans="1:6" ht="12.75">
      <c r="A31363" s="8">
        <v>43890.501446759255</v>
      </c>
      <c r="B31363" s="8" t="str">
        <f>HYPERLINK("https://twitter.com/SoniMsi07","@SoniMsi07")</f>
        <v>@SoniMsi07</v>
      </c>
      <c r="C31363" s="8" t="s">
        <v>11192</v>
      </c>
      <c r="D31363" s="8">
        <v>6</v>
      </c>
      <c r="E31363" s="8">
        <v>0</v>
      </c>
      <c r="F31363" s="8">
        <v>249</v>
      </c>
    </row>
    <row r="31364" spans="1:6" ht="12.75">
      <c r="A31364" s="8">
        <v>43890.501400462963</v>
      </c>
      <c r="B31364" s="8" t="str">
        <f>HYPERLINK("https://twitter.com/Jovanka_vanke","@Jovanka_vanke")</f>
        <v>@Jovanka_vanke</v>
      </c>
      <c r="C31364" s="8" t="s">
        <v>11866</v>
      </c>
      <c r="D31364" s="8">
        <v>1</v>
      </c>
      <c r="E31364" s="8">
        <v>2</v>
      </c>
      <c r="F31364" s="8">
        <v>840</v>
      </c>
    </row>
    <row r="31365" spans="1:6" ht="12.75">
      <c r="A31365" s="8">
        <v>43890.50135416667</v>
      </c>
      <c r="B31365" s="8" t="str">
        <f>HYPERLINK("https://twitter.com/AnakLolina","@AnakLolina")</f>
        <v>@AnakLolina</v>
      </c>
      <c r="C31365" s="8" t="s">
        <v>10391</v>
      </c>
      <c r="D31365" s="8">
        <v>67</v>
      </c>
      <c r="E31365" s="8">
        <v>0</v>
      </c>
      <c r="F31365" s="8">
        <v>15019</v>
      </c>
    </row>
    <row r="31366" spans="1:6" ht="12.75">
      <c r="A31366" s="8">
        <v>43890.501284722224</v>
      </c>
      <c r="B31366" s="8" t="str">
        <f>HYPERLINK("https://twitter.com/05panji2","@05panji2")</f>
        <v>@05panji2</v>
      </c>
      <c r="C31366" s="8" t="s">
        <v>10391</v>
      </c>
      <c r="D31366" s="8">
        <v>67</v>
      </c>
      <c r="E31366" s="8">
        <v>0</v>
      </c>
      <c r="F31366" s="8">
        <v>432</v>
      </c>
    </row>
    <row r="31367" spans="1:6" ht="12.75">
      <c r="A31367" s="8">
        <v>43890.500972222224</v>
      </c>
      <c r="B31367" s="8" t="str">
        <f>HYPERLINK("https://twitter.com/cucupsaeroji","@cucupsaeroji")</f>
        <v>@cucupsaeroji</v>
      </c>
      <c r="C31367" s="8" t="s">
        <v>6836</v>
      </c>
      <c r="D31367" s="8">
        <v>295</v>
      </c>
      <c r="E31367" s="8">
        <v>0</v>
      </c>
      <c r="F31367" s="8">
        <v>245</v>
      </c>
    </row>
    <row r="31368" spans="1:6" ht="12.75">
      <c r="A31368" s="8">
        <v>43890.500972222224</v>
      </c>
      <c r="B31368" s="8" t="str">
        <f>HYPERLINK("https://twitter.com/tr4velcompass","@tr4velcompass")</f>
        <v>@tr4velcompass</v>
      </c>
      <c r="C31368" s="8" t="s">
        <v>11867</v>
      </c>
      <c r="D31368" s="8">
        <v>0</v>
      </c>
      <c r="E31368" s="8">
        <v>0</v>
      </c>
      <c r="F31368" s="8">
        <v>585</v>
      </c>
    </row>
    <row r="31369" spans="1:6" ht="12.75">
      <c r="A31369" s="8">
        <v>43890.500902777778</v>
      </c>
      <c r="B31369" s="8" t="str">
        <f>HYPERLINK("https://twitter.com/Susanto13895819","@Susanto13895819")</f>
        <v>@Susanto13895819</v>
      </c>
      <c r="C31369" s="8" t="s">
        <v>11868</v>
      </c>
      <c r="D31369" s="8">
        <v>7</v>
      </c>
      <c r="E31369" s="8">
        <v>0</v>
      </c>
      <c r="F31369" s="8">
        <v>467</v>
      </c>
    </row>
    <row r="31370" spans="1:6" ht="12.75">
      <c r="A31370" s="8">
        <v>43890.500868055555</v>
      </c>
      <c r="B31370" s="8" t="str">
        <f>HYPERLINK("https://twitter.com/maradody10","@maradody10")</f>
        <v>@maradody10</v>
      </c>
      <c r="C31370" s="8" t="s">
        <v>6836</v>
      </c>
      <c r="D31370" s="8">
        <v>295</v>
      </c>
      <c r="E31370" s="8">
        <v>0</v>
      </c>
      <c r="F31370" s="8">
        <v>52</v>
      </c>
    </row>
    <row r="31371" spans="1:6" ht="12.75">
      <c r="A31371" s="8">
        <v>43890.500590277778</v>
      </c>
      <c r="B31371" s="8" t="str">
        <f>HYPERLINK("https://twitter.com/MohdShanihal","@MohdShanihal")</f>
        <v>@MohdShanihal</v>
      </c>
      <c r="C31371" s="8" t="s">
        <v>11869</v>
      </c>
      <c r="D31371" s="8">
        <v>0</v>
      </c>
      <c r="E31371" s="8">
        <v>0</v>
      </c>
      <c r="F31371" s="8">
        <v>3</v>
      </c>
    </row>
    <row r="31372" spans="1:6" ht="12.75">
      <c r="A31372" s="8">
        <v>43890.500567129631</v>
      </c>
      <c r="B31372" s="8" t="str">
        <f>HYPERLINK("https://twitter.com/cahyodjo","@cahyodjo")</f>
        <v>@cahyodjo</v>
      </c>
      <c r="C31372" s="8" t="s">
        <v>6836</v>
      </c>
      <c r="D31372" s="8">
        <v>295</v>
      </c>
      <c r="E31372" s="8">
        <v>0</v>
      </c>
      <c r="F31372" s="8">
        <v>124</v>
      </c>
    </row>
    <row r="31373" spans="1:6" ht="12.75">
      <c r="A31373" s="8">
        <v>43890.500509259262</v>
      </c>
      <c r="B31373" s="8" t="str">
        <f>HYPERLINK("https://twitter.com/Arifnaurafatih","@Arifnaurafatih")</f>
        <v>@Arifnaurafatih</v>
      </c>
      <c r="C31373" s="8" t="s">
        <v>4235</v>
      </c>
      <c r="D31373" s="8">
        <v>1183</v>
      </c>
      <c r="E31373" s="8">
        <v>0</v>
      </c>
      <c r="F31373" s="8">
        <v>272</v>
      </c>
    </row>
    <row r="31374" spans="1:6" ht="12.75">
      <c r="A31374" s="8">
        <v>43890.500451388885</v>
      </c>
      <c r="B31374" s="8" t="str">
        <f>HYPERLINK("https://twitter.com/FatiinS_L","@FatiinS_L")</f>
        <v>@FatiinS_L</v>
      </c>
      <c r="C31374" s="8" t="s">
        <v>11870</v>
      </c>
      <c r="D31374" s="8">
        <v>3</v>
      </c>
      <c r="E31374" s="8">
        <v>0</v>
      </c>
      <c r="F31374" s="8">
        <v>16425</v>
      </c>
    </row>
    <row r="31375" spans="1:6" ht="12.75">
      <c r="A31375" s="8">
        <v>43890.500451388885</v>
      </c>
      <c r="B31375" s="8" t="str">
        <f>HYPERLINK("https://twitter.com/nexlicia","@nexlicia")</f>
        <v>@nexlicia</v>
      </c>
      <c r="C31375" s="8" t="s">
        <v>4235</v>
      </c>
      <c r="D31375" s="8">
        <v>1183</v>
      </c>
      <c r="E31375" s="8">
        <v>0</v>
      </c>
      <c r="F31375" s="8">
        <v>138</v>
      </c>
    </row>
    <row r="31376" spans="1:6" ht="12.75">
      <c r="A31376" s="8">
        <v>43890.500416666662</v>
      </c>
      <c r="B31376" s="8" t="str">
        <f>HYPERLINK("https://twitter.com/purnomo_jati1","@purnomo_jati1")</f>
        <v>@purnomo_jati1</v>
      </c>
      <c r="C31376" s="8" t="s">
        <v>10657</v>
      </c>
      <c r="D31376" s="8">
        <v>5</v>
      </c>
      <c r="E31376" s="8">
        <v>0</v>
      </c>
      <c r="F31376" s="8">
        <v>337</v>
      </c>
    </row>
    <row r="31377" spans="1:6" ht="12.75">
      <c r="A31377" s="8">
        <v>43890.50037037037</v>
      </c>
      <c r="B31377" s="8" t="str">
        <f>HYPERLINK("https://twitter.com/Adot1998","@Adot1998")</f>
        <v>@Adot1998</v>
      </c>
      <c r="C31377" s="8" t="s">
        <v>11871</v>
      </c>
      <c r="D31377" s="8">
        <v>1</v>
      </c>
      <c r="E31377" s="8">
        <v>1</v>
      </c>
      <c r="F31377" s="8">
        <v>15539</v>
      </c>
    </row>
    <row r="31378" spans="1:6" ht="12.75">
      <c r="A31378" s="8">
        <v>43890.5003587963</v>
      </c>
      <c r="B31378" s="8" t="str">
        <f>HYPERLINK("https://twitter.com/iyas_sidarta","@iyas_sidarta")</f>
        <v>@iyas_sidarta</v>
      </c>
      <c r="C31378" s="8" t="s">
        <v>11872</v>
      </c>
      <c r="D31378" s="8">
        <v>2</v>
      </c>
      <c r="E31378" s="8">
        <v>0</v>
      </c>
      <c r="F31378" s="8">
        <v>370</v>
      </c>
    </row>
    <row r="31379" spans="1:6" ht="12.75">
      <c r="A31379" s="8">
        <v>43890.500324074077</v>
      </c>
      <c r="B31379" s="8" t="str">
        <f>HYPERLINK("https://twitter.com/FatiinS_L","@FatiinS_L")</f>
        <v>@FatiinS_L</v>
      </c>
      <c r="C31379" s="8" t="s">
        <v>11488</v>
      </c>
      <c r="D31379" s="8">
        <v>4</v>
      </c>
      <c r="E31379" s="8">
        <v>0</v>
      </c>
      <c r="F31379" s="8">
        <v>16425</v>
      </c>
    </row>
    <row r="31380" spans="1:6" ht="12.75">
      <c r="A31380" s="8">
        <v>43890.500208333338</v>
      </c>
      <c r="B31380" s="8" t="str">
        <f>HYPERLINK("https://twitter.com/alfarose87","@alfarose87")</f>
        <v>@alfarose87</v>
      </c>
      <c r="C31380" s="8" t="s">
        <v>7686</v>
      </c>
      <c r="D31380" s="8">
        <v>199</v>
      </c>
      <c r="E31380" s="8">
        <v>0</v>
      </c>
      <c r="F31380" s="8">
        <v>74</v>
      </c>
    </row>
    <row r="31381" spans="1:6" ht="12.75">
      <c r="A31381" s="8">
        <v>43890.500127314815</v>
      </c>
      <c r="B31381" s="8" t="str">
        <f>HYPERLINK("https://twitter.com/oka253","@oka253")</f>
        <v>@oka253</v>
      </c>
      <c r="C31381" s="8" t="s">
        <v>11873</v>
      </c>
      <c r="D31381" s="8">
        <v>0</v>
      </c>
      <c r="E31381" s="8">
        <v>0</v>
      </c>
      <c r="F31381" s="8">
        <v>67</v>
      </c>
    </row>
    <row r="31382" spans="1:6" ht="12.75">
      <c r="A31382" s="8">
        <v>43890.500115740739</v>
      </c>
      <c r="B31382" s="8" t="str">
        <f>HYPERLINK("https://twitter.com/MasAaUsep","@MasAaUsep")</f>
        <v>@MasAaUsep</v>
      </c>
      <c r="C31382" s="8" t="s">
        <v>6836</v>
      </c>
      <c r="D31382" s="8">
        <v>295</v>
      </c>
      <c r="E31382" s="8">
        <v>0</v>
      </c>
      <c r="F31382" s="8">
        <v>606</v>
      </c>
    </row>
    <row r="31383" spans="1:6" ht="12.75">
      <c r="A31383" s="8">
        <v>43890.5</v>
      </c>
      <c r="B31383" s="8" t="str">
        <f>HYPERLINK("https://twitter.com/cilliasiregar","@cilliasiregar")</f>
        <v>@cilliasiregar</v>
      </c>
      <c r="C31383" s="8" t="s">
        <v>11874</v>
      </c>
      <c r="D31383" s="8">
        <v>0</v>
      </c>
      <c r="E31383" s="8">
        <v>0</v>
      </c>
      <c r="F31383" s="8">
        <v>4</v>
      </c>
    </row>
    <row r="31384" spans="1:6" ht="12.75">
      <c r="A31384" s="8">
        <v>43890.5</v>
      </c>
      <c r="B31384" s="8" t="str">
        <f>HYPERLINK("https://twitter.com/nandatslnk","@nandatslnk")</f>
        <v>@nandatslnk</v>
      </c>
      <c r="C31384" s="8" t="s">
        <v>11059</v>
      </c>
      <c r="D31384" s="8">
        <v>0</v>
      </c>
      <c r="E31384" s="8">
        <v>0</v>
      </c>
      <c r="F31384" s="8">
        <v>3</v>
      </c>
    </row>
    <row r="31385" spans="1:6" ht="12.75">
      <c r="A31385" s="8">
        <v>43890.499872685185</v>
      </c>
      <c r="B31385" s="8" t="str">
        <f>HYPERLINK("https://twitter.com/ENEMYNDRD","@ENEMYNDRD")</f>
        <v>@ENEMYNDRD</v>
      </c>
      <c r="C31385" s="8" t="s">
        <v>10743</v>
      </c>
      <c r="D31385" s="8">
        <v>147</v>
      </c>
      <c r="E31385" s="8">
        <v>0</v>
      </c>
      <c r="F31385" s="8">
        <v>426</v>
      </c>
    </row>
    <row r="31386" spans="1:6" ht="12.75">
      <c r="A31386" s="8">
        <v>43890.465162037042</v>
      </c>
      <c r="B31386" s="8" t="str">
        <f>HYPERLINK("https://twitter.com/GatotSwandito","@GatotSwandito")</f>
        <v>@GatotSwandito</v>
      </c>
      <c r="C31386" s="8" t="s">
        <v>11875</v>
      </c>
      <c r="D31386" s="8">
        <v>0</v>
      </c>
      <c r="E31386" s="8">
        <v>0</v>
      </c>
      <c r="F31386" s="8">
        <v>82</v>
      </c>
    </row>
    <row r="31387" spans="1:6" ht="12.75">
      <c r="A31387" s="8">
        <v>43890.465081018519</v>
      </c>
      <c r="B31387" s="8" t="str">
        <f>HYPERLINK("https://twitter.com/sissyfebrina","@sissyfebrina")</f>
        <v>@sissyfebrina</v>
      </c>
      <c r="C31387" s="8" t="s">
        <v>4785</v>
      </c>
      <c r="D31387" s="8">
        <v>487</v>
      </c>
      <c r="E31387" s="8">
        <v>0</v>
      </c>
      <c r="F31387" s="8">
        <v>8</v>
      </c>
    </row>
    <row r="31388" spans="1:6" ht="12.75">
      <c r="A31388" s="8">
        <v>43890.465057870373</v>
      </c>
      <c r="B31388" s="8" t="str">
        <f>HYPERLINK("https://twitter.com/ghasaq__","@ghasaq__")</f>
        <v>@ghasaq__</v>
      </c>
      <c r="C31388" s="8" t="s">
        <v>11876</v>
      </c>
      <c r="D31388" s="8">
        <v>0</v>
      </c>
      <c r="E31388" s="8">
        <v>0</v>
      </c>
      <c r="F31388" s="8">
        <v>8296</v>
      </c>
    </row>
    <row r="31389" spans="1:6" ht="12.75">
      <c r="A31389" s="8">
        <v>43890.464999999997</v>
      </c>
      <c r="B31389" s="8" t="str">
        <f t="shared" ref="B31389:B31390" si="436">HYPERLINK("https://twitter.com/sissyfebrina","@sissyfebrina")</f>
        <v>@sissyfebrina</v>
      </c>
      <c r="C31389" s="8" t="s">
        <v>11877</v>
      </c>
      <c r="D31389" s="8">
        <v>2</v>
      </c>
      <c r="E31389" s="8">
        <v>0</v>
      </c>
      <c r="F31389" s="8">
        <v>8</v>
      </c>
    </row>
    <row r="31390" spans="1:6" ht="12.75">
      <c r="A31390" s="8">
        <v>43890.464895833335</v>
      </c>
      <c r="B31390" s="8" t="str">
        <f t="shared" si="436"/>
        <v>@sissyfebrina</v>
      </c>
      <c r="C31390" s="8" t="s">
        <v>11489</v>
      </c>
      <c r="D31390" s="8">
        <v>6</v>
      </c>
      <c r="E31390" s="8">
        <v>0</v>
      </c>
      <c r="F31390" s="8">
        <v>8</v>
      </c>
    </row>
    <row r="31391" spans="1:6" ht="12.75">
      <c r="A31391" s="8">
        <v>43890.464884259258</v>
      </c>
      <c r="B31391" s="8" t="str">
        <f>HYPERLINK("https://twitter.com/NursandiGatot","@NursandiGatot")</f>
        <v>@NursandiGatot</v>
      </c>
      <c r="C31391" s="8" t="s">
        <v>11878</v>
      </c>
      <c r="D31391" s="8">
        <v>0</v>
      </c>
      <c r="E31391" s="8">
        <v>0</v>
      </c>
      <c r="F31391" s="8">
        <v>40</v>
      </c>
    </row>
    <row r="31392" spans="1:6" ht="12.75">
      <c r="A31392" s="8">
        <v>43890.464849537035</v>
      </c>
      <c r="B31392" s="8" t="str">
        <f>HYPERLINK("https://twitter.com/Taufik_Seran","@Taufik_Seran")</f>
        <v>@Taufik_Seran</v>
      </c>
      <c r="C31392" s="8" t="s">
        <v>6836</v>
      </c>
      <c r="D31392" s="8">
        <v>264</v>
      </c>
      <c r="E31392" s="8">
        <v>0</v>
      </c>
      <c r="F31392" s="8">
        <v>135</v>
      </c>
    </row>
    <row r="31393" spans="1:6" ht="12.75">
      <c r="A31393" s="8">
        <v>43890.464722222227</v>
      </c>
      <c r="B31393" s="8" t="str">
        <f>HYPERLINK("https://twitter.com/goencobain","@goencobain")</f>
        <v>@goencobain</v>
      </c>
      <c r="C31393" s="8" t="s">
        <v>11879</v>
      </c>
      <c r="D31393" s="8">
        <v>0</v>
      </c>
      <c r="E31393" s="8">
        <v>0</v>
      </c>
      <c r="F31393" s="8">
        <v>44</v>
      </c>
    </row>
    <row r="31394" spans="1:6" ht="12.75">
      <c r="A31394" s="8">
        <v>43890.46466435185</v>
      </c>
      <c r="B31394" s="8" t="str">
        <f>HYPERLINK("https://twitter.com/Pe0NiX","@Pe0NiX")</f>
        <v>@Pe0NiX</v>
      </c>
      <c r="C31394" s="8" t="s">
        <v>11880</v>
      </c>
      <c r="D31394" s="8">
        <v>0</v>
      </c>
      <c r="E31394" s="8">
        <v>0</v>
      </c>
      <c r="F31394" s="8">
        <v>61</v>
      </c>
    </row>
    <row r="31395" spans="1:6" ht="12.75">
      <c r="A31395" s="8">
        <v>43890.464571759258</v>
      </c>
      <c r="B31395" s="8" t="str">
        <f>HYPERLINK("https://twitter.com/Sifudan_mora","@Sifudan_mora")</f>
        <v>@Sifudan_mora</v>
      </c>
      <c r="C31395" s="8" t="s">
        <v>11881</v>
      </c>
      <c r="D31395" s="8">
        <v>0</v>
      </c>
      <c r="E31395" s="8">
        <v>0</v>
      </c>
      <c r="F31395" s="8">
        <v>2059</v>
      </c>
    </row>
    <row r="31396" spans="1:6" ht="12.75">
      <c r="A31396" s="8">
        <v>43890.464548611111</v>
      </c>
      <c r="B31396" s="8" t="str">
        <f>HYPERLINK("https://twitter.com/kaimatamusic","@kaimatamusic")</f>
        <v>@kaimatamusic</v>
      </c>
      <c r="C31396" s="8" t="s">
        <v>11882</v>
      </c>
      <c r="D31396" s="8">
        <v>0</v>
      </c>
      <c r="E31396" s="8">
        <v>0</v>
      </c>
      <c r="F31396" s="8">
        <v>673</v>
      </c>
    </row>
    <row r="31397" spans="1:6" ht="12.75">
      <c r="A31397" s="8">
        <v>43890.464467592596</v>
      </c>
      <c r="B31397" s="8" t="str">
        <f>HYPERLINK("https://twitter.com/jovicohalim70","@jovicohalim70")</f>
        <v>@jovicohalim70</v>
      </c>
      <c r="C31397" s="8" t="s">
        <v>7686</v>
      </c>
      <c r="D31397" s="8">
        <v>111</v>
      </c>
      <c r="E31397" s="8">
        <v>0</v>
      </c>
      <c r="F31397" s="8">
        <v>118</v>
      </c>
    </row>
    <row r="31398" spans="1:6" ht="12.75">
      <c r="A31398" s="8">
        <v>43890.464467592596</v>
      </c>
      <c r="B31398" s="8" t="str">
        <f>HYPERLINK("https://twitter.com/ndmendez13","@ndmendez13")</f>
        <v>@ndmendez13</v>
      </c>
      <c r="C31398" s="8" t="s">
        <v>4235</v>
      </c>
      <c r="D31398" s="8">
        <v>1131</v>
      </c>
      <c r="E31398" s="8">
        <v>0</v>
      </c>
      <c r="F31398" s="8">
        <v>347</v>
      </c>
    </row>
    <row r="31399" spans="1:6" ht="12.75">
      <c r="A31399" s="8">
        <v>43890.464363425926</v>
      </c>
      <c r="B31399" s="8" t="str">
        <f>HYPERLINK("https://twitter.com/LockerTito","@LockerTito")</f>
        <v>@LockerTito</v>
      </c>
      <c r="C31399" s="8" t="s">
        <v>4235</v>
      </c>
      <c r="D31399" s="8">
        <v>1131</v>
      </c>
      <c r="E31399" s="8">
        <v>0</v>
      </c>
      <c r="F31399" s="8">
        <v>164</v>
      </c>
    </row>
    <row r="31400" spans="1:6" ht="12.75">
      <c r="A31400" s="8">
        <v>43890.464328703703</v>
      </c>
      <c r="B31400" s="8" t="str">
        <f>HYPERLINK("https://twitter.com/Pang22Saudi","@Pang22Saudi")</f>
        <v>@Pang22Saudi</v>
      </c>
      <c r="C31400" s="8" t="s">
        <v>11883</v>
      </c>
      <c r="D31400" s="8">
        <v>0</v>
      </c>
      <c r="E31400" s="8">
        <v>0</v>
      </c>
      <c r="F31400" s="8">
        <v>1359</v>
      </c>
    </row>
    <row r="31401" spans="1:6" ht="12.75">
      <c r="A31401" s="8">
        <v>43890.464131944449</v>
      </c>
      <c r="B31401" s="8" t="str">
        <f>HYPERLINK("https://twitter.com/aran_toraja","@aran_toraja")</f>
        <v>@aran_toraja</v>
      </c>
      <c r="C31401" s="8" t="s">
        <v>9768</v>
      </c>
      <c r="D31401" s="8">
        <v>95</v>
      </c>
      <c r="E31401" s="8">
        <v>0</v>
      </c>
      <c r="F31401" s="8">
        <v>314</v>
      </c>
    </row>
    <row r="31402" spans="1:6" ht="12.75">
      <c r="A31402" s="8">
        <v>43890.46398148148</v>
      </c>
      <c r="B31402" s="8" t="str">
        <f>HYPERLINK("https://twitter.com/DharmaEL1","@DharmaEL1")</f>
        <v>@DharmaEL1</v>
      </c>
      <c r="C31402" s="8" t="s">
        <v>11884</v>
      </c>
      <c r="D31402" s="8">
        <v>0</v>
      </c>
      <c r="E31402" s="8">
        <v>0</v>
      </c>
      <c r="F31402" s="8">
        <v>1</v>
      </c>
    </row>
    <row r="31403" spans="1:6" ht="12.75">
      <c r="A31403" s="8">
        <v>43890.463946759264</v>
      </c>
      <c r="B31403" s="8" t="str">
        <f>HYPERLINK("https://twitter.com/Ad1t77","@Ad1t77")</f>
        <v>@Ad1t77</v>
      </c>
      <c r="C31403" s="8" t="s">
        <v>11885</v>
      </c>
      <c r="D31403" s="8">
        <v>0</v>
      </c>
      <c r="E31403" s="8">
        <v>0</v>
      </c>
      <c r="F31403" s="8">
        <v>161</v>
      </c>
    </row>
    <row r="31404" spans="1:6" ht="12.75">
      <c r="A31404" s="8">
        <v>43890.463854166665</v>
      </c>
      <c r="B31404" s="8" t="str">
        <f>HYPERLINK("https://twitter.com/NursandiGatot","@NursandiGatot")</f>
        <v>@NursandiGatot</v>
      </c>
      <c r="C31404" s="8" t="s">
        <v>11886</v>
      </c>
      <c r="D31404" s="8">
        <v>0</v>
      </c>
      <c r="E31404" s="8">
        <v>0</v>
      </c>
      <c r="F31404" s="8">
        <v>40</v>
      </c>
    </row>
    <row r="31405" spans="1:6" ht="12.75">
      <c r="A31405" s="8">
        <v>43890.463784722218</v>
      </c>
      <c r="B31405" s="8" t="str">
        <f>HYPERLINK("https://twitter.com/mrsnail22","@mrsnail22")</f>
        <v>@mrsnail22</v>
      </c>
      <c r="C31405" s="8" t="s">
        <v>9768</v>
      </c>
      <c r="D31405" s="8">
        <v>95</v>
      </c>
      <c r="E31405" s="8">
        <v>0</v>
      </c>
      <c r="F31405" s="8">
        <v>419</v>
      </c>
    </row>
    <row r="31406" spans="1:6" ht="12.75">
      <c r="A31406" s="8">
        <v>43890.463530092587</v>
      </c>
      <c r="B31406" s="8" t="str">
        <f>HYPERLINK("https://twitter.com/Siskafransiscal","@Siskafransiscal")</f>
        <v>@Siskafransiscal</v>
      </c>
      <c r="C31406" s="8" t="s">
        <v>11872</v>
      </c>
      <c r="D31406" s="8">
        <v>1</v>
      </c>
      <c r="E31406" s="8">
        <v>0</v>
      </c>
      <c r="F31406" s="8">
        <v>285</v>
      </c>
    </row>
    <row r="31407" spans="1:6" ht="12.75">
      <c r="A31407" s="8">
        <v>43890.463495370372</v>
      </c>
      <c r="B31407" s="8" t="str">
        <f>HYPERLINK("https://twitter.com/dewala77","@dewala77")</f>
        <v>@dewala77</v>
      </c>
      <c r="C31407" s="8" t="s">
        <v>11887</v>
      </c>
      <c r="D31407" s="8">
        <v>0</v>
      </c>
      <c r="E31407" s="8">
        <v>0</v>
      </c>
      <c r="F31407" s="8">
        <v>17</v>
      </c>
    </row>
    <row r="31408" spans="1:6" ht="12.75">
      <c r="A31408" s="8">
        <v>43890.463437500002</v>
      </c>
      <c r="B31408" s="8" t="str">
        <f>HYPERLINK("https://twitter.com/endahse05","@endahse05")</f>
        <v>@endahse05</v>
      </c>
      <c r="C31408" s="8" t="s">
        <v>11105</v>
      </c>
      <c r="D31408" s="8">
        <v>53</v>
      </c>
      <c r="E31408" s="8">
        <v>0</v>
      </c>
      <c r="F31408" s="8">
        <v>185</v>
      </c>
    </row>
    <row r="31409" spans="1:6" ht="12.75">
      <c r="A31409" s="8">
        <v>43890.463437500002</v>
      </c>
      <c r="B31409" s="8" t="str">
        <f>HYPERLINK("https://twitter.com/HelenMalik1D","@HelenMalik1D")</f>
        <v>@HelenMalik1D</v>
      </c>
      <c r="C31409" s="8" t="s">
        <v>4235</v>
      </c>
      <c r="D31409" s="8">
        <v>1131</v>
      </c>
      <c r="E31409" s="8">
        <v>0</v>
      </c>
      <c r="F31409" s="8">
        <v>440</v>
      </c>
    </row>
    <row r="31410" spans="1:6" ht="12.75">
      <c r="A31410" s="8">
        <v>43890.463414351849</v>
      </c>
      <c r="B31410" s="8" t="str">
        <f>HYPERLINK("https://twitter.com/melekpolitikcom","@melekpolitikcom")</f>
        <v>@melekpolitikcom</v>
      </c>
      <c r="C31410" s="8" t="s">
        <v>11888</v>
      </c>
      <c r="D31410" s="8">
        <v>0</v>
      </c>
      <c r="E31410" s="8">
        <v>0</v>
      </c>
      <c r="F31410" s="8">
        <v>4478</v>
      </c>
    </row>
    <row r="31411" spans="1:6" ht="12.75">
      <c r="A31411" s="8">
        <v>43890.463356481487</v>
      </c>
      <c r="B31411" s="8" t="str">
        <f>HYPERLINK("https://twitter.com/bemari19","@bemari19")</f>
        <v>@bemari19</v>
      </c>
      <c r="C31411" s="8" t="s">
        <v>11889</v>
      </c>
      <c r="D31411" s="8">
        <v>15</v>
      </c>
      <c r="E31411" s="8">
        <v>0</v>
      </c>
      <c r="F31411" s="8">
        <v>285</v>
      </c>
    </row>
    <row r="31412" spans="1:6" ht="12.75">
      <c r="A31412" s="8">
        <v>43890.463252314818</v>
      </c>
      <c r="B31412" s="8" t="str">
        <f>HYPERLINK("https://twitter.com/octar_faco","@octar_faco")</f>
        <v>@octar_faco</v>
      </c>
      <c r="C31412" s="8" t="s">
        <v>11890</v>
      </c>
      <c r="D31412" s="8">
        <v>0</v>
      </c>
      <c r="E31412" s="8">
        <v>0</v>
      </c>
      <c r="F31412" s="8">
        <v>121</v>
      </c>
    </row>
    <row r="31413" spans="1:6" ht="12.75">
      <c r="A31413" s="8">
        <v>43890.463148148148</v>
      </c>
      <c r="B31413" s="8" t="str">
        <f>HYPERLINK("https://twitter.com/kangenband123","@kangenband123")</f>
        <v>@kangenband123</v>
      </c>
      <c r="C31413" s="8" t="s">
        <v>11891</v>
      </c>
      <c r="D31413" s="8">
        <v>0</v>
      </c>
      <c r="E31413" s="8">
        <v>0</v>
      </c>
      <c r="F31413" s="8">
        <v>7939</v>
      </c>
    </row>
    <row r="31414" spans="1:6" ht="12.75">
      <c r="A31414" s="8">
        <v>43890.463078703702</v>
      </c>
      <c r="B31414" s="8" t="str">
        <f>HYPERLINK("https://twitter.com/ackmalmajidd","@ackmalmajidd")</f>
        <v>@ackmalmajidd</v>
      </c>
      <c r="C31414" s="8" t="s">
        <v>6836</v>
      </c>
      <c r="D31414" s="8">
        <v>264</v>
      </c>
      <c r="E31414" s="8">
        <v>0</v>
      </c>
      <c r="F31414" s="8">
        <v>43</v>
      </c>
    </row>
    <row r="31415" spans="1:6" ht="12.75">
      <c r="A31415" s="8">
        <v>43890.462870370371</v>
      </c>
      <c r="B31415" s="8" t="str">
        <f>HYPERLINK("https://twitter.com/Gendorowo3","@Gendorowo3")</f>
        <v>@Gendorowo3</v>
      </c>
      <c r="C31415" s="8" t="s">
        <v>11892</v>
      </c>
      <c r="D31415" s="8">
        <v>0</v>
      </c>
      <c r="E31415" s="8">
        <v>0</v>
      </c>
      <c r="F31415" s="8">
        <v>104</v>
      </c>
    </row>
    <row r="31416" spans="1:6" ht="12.75">
      <c r="A31416" s="8">
        <v>43890.462858796294</v>
      </c>
      <c r="B31416" s="8" t="str">
        <f>HYPERLINK("https://twitter.com/HariMulyawan50","@HariMulyawan50")</f>
        <v>@HariMulyawan50</v>
      </c>
      <c r="C31416" s="8" t="s">
        <v>11105</v>
      </c>
      <c r="D31416" s="8">
        <v>53</v>
      </c>
      <c r="E31416" s="8">
        <v>0</v>
      </c>
      <c r="F31416" s="8">
        <v>65</v>
      </c>
    </row>
    <row r="31417" spans="1:6" ht="12.75">
      <c r="A31417" s="8">
        <v>43890.462777777779</v>
      </c>
      <c r="B31417" s="8" t="str">
        <f>HYPERLINK("https://twitter.com/iskanda80893534","@iskanda80893534")</f>
        <v>@iskanda80893534</v>
      </c>
      <c r="C31417" s="8" t="s">
        <v>11893</v>
      </c>
      <c r="D31417" s="8">
        <v>0</v>
      </c>
      <c r="E31417" s="8">
        <v>0</v>
      </c>
      <c r="F31417" s="8">
        <v>10008</v>
      </c>
    </row>
    <row r="31418" spans="1:6" ht="12.75">
      <c r="A31418" s="8">
        <v>43890.462731481486</v>
      </c>
      <c r="B31418" s="8" t="str">
        <f>HYPERLINK("https://twitter.com/Oyyi14","@Oyyi14")</f>
        <v>@Oyyi14</v>
      </c>
      <c r="C31418" s="8" t="s">
        <v>7686</v>
      </c>
      <c r="D31418" s="8">
        <v>111</v>
      </c>
      <c r="E31418" s="8">
        <v>0</v>
      </c>
      <c r="F31418" s="8">
        <v>215</v>
      </c>
    </row>
    <row r="31419" spans="1:6" ht="12.75">
      <c r="A31419" s="8">
        <v>43890.462650462963</v>
      </c>
      <c r="B31419" s="8" t="str">
        <f>HYPERLINK("https://twitter.com/sahieel","@sahieel")</f>
        <v>@sahieel</v>
      </c>
      <c r="C31419" s="8" t="s">
        <v>11701</v>
      </c>
      <c r="D31419" s="8">
        <v>64</v>
      </c>
      <c r="E31419" s="8">
        <v>0</v>
      </c>
      <c r="F31419" s="8">
        <v>378</v>
      </c>
    </row>
    <row r="31420" spans="1:6" ht="12.75">
      <c r="A31420" s="8">
        <v>43890.46256944444</v>
      </c>
      <c r="B31420" s="8" t="str">
        <f>HYPERLINK("https://twitter.com/colyhits","@colyhits")</f>
        <v>@colyhits</v>
      </c>
      <c r="C31420" s="8" t="s">
        <v>11894</v>
      </c>
      <c r="D31420" s="8">
        <v>0</v>
      </c>
      <c r="E31420" s="8">
        <v>0</v>
      </c>
      <c r="F31420" s="8">
        <v>3</v>
      </c>
    </row>
    <row r="31421" spans="1:6" ht="12.75">
      <c r="A31421" s="8">
        <v>43890.462557870371</v>
      </c>
      <c r="B31421" s="8" t="str">
        <f>HYPERLINK("https://twitter.com/CahayaBaktiGraf","@CahayaBaktiGraf")</f>
        <v>@CahayaBaktiGraf</v>
      </c>
      <c r="C31421" s="8" t="s">
        <v>11895</v>
      </c>
      <c r="D31421" s="8">
        <v>0</v>
      </c>
      <c r="E31421" s="8">
        <v>0</v>
      </c>
      <c r="F31421" s="8">
        <v>1007</v>
      </c>
    </row>
    <row r="31422" spans="1:6" ht="12.75">
      <c r="A31422" s="8">
        <v>43890.462476851855</v>
      </c>
      <c r="B31422" s="8" t="str">
        <f>HYPERLINK("https://twitter.com/nusa1233","@nusa1233")</f>
        <v>@nusa1233</v>
      </c>
      <c r="C31422" s="8" t="s">
        <v>6490</v>
      </c>
      <c r="D31422" s="8">
        <v>214</v>
      </c>
      <c r="E31422" s="8">
        <v>0</v>
      </c>
      <c r="F31422" s="8">
        <v>276</v>
      </c>
    </row>
    <row r="31423" spans="1:6" ht="12.75">
      <c r="A31423" s="8">
        <v>43890.462395833332</v>
      </c>
      <c r="B31423" s="8" t="str">
        <f>HYPERLINK("https://twitter.com/Hery091068","@Hery091068")</f>
        <v>@Hery091068</v>
      </c>
      <c r="C31423" s="8" t="s">
        <v>7686</v>
      </c>
      <c r="D31423" s="8">
        <v>111</v>
      </c>
      <c r="E31423" s="8">
        <v>0</v>
      </c>
      <c r="F31423" s="8">
        <v>568</v>
      </c>
    </row>
    <row r="31424" spans="1:6" ht="12.75">
      <c r="A31424" s="8">
        <v>43890.462361111116</v>
      </c>
      <c r="B31424" s="8" t="str">
        <f>HYPERLINK("https://twitter.com/FitYen","@FitYen")</f>
        <v>@FitYen</v>
      </c>
      <c r="C31424" s="8" t="s">
        <v>11489</v>
      </c>
      <c r="D31424" s="8">
        <v>6</v>
      </c>
      <c r="E31424" s="8">
        <v>0</v>
      </c>
      <c r="F31424" s="8">
        <v>851</v>
      </c>
    </row>
    <row r="31425" spans="1:6" ht="12.75">
      <c r="A31425" s="8">
        <v>43890.46229166667</v>
      </c>
      <c r="B31425" s="8" t="str">
        <f>HYPERLINK("https://twitter.com/GnpfBullshit212","@GnpfBullshit212")</f>
        <v>@GnpfBullshit212</v>
      </c>
      <c r="C31425" s="8" t="s">
        <v>11896</v>
      </c>
      <c r="D31425" s="8">
        <v>0</v>
      </c>
      <c r="E31425" s="8">
        <v>0</v>
      </c>
      <c r="F31425" s="8">
        <v>1029</v>
      </c>
    </row>
    <row r="31426" spans="1:6" ht="12.75">
      <c r="A31426" s="8">
        <v>43890.462013888886</v>
      </c>
      <c r="B31426" s="8" t="str">
        <f>HYPERLINK("https://twitter.com/__MV_llestari__","@__MV_llestari__")</f>
        <v>@__MV_llestari__</v>
      </c>
      <c r="C31426" s="8" t="s">
        <v>11897</v>
      </c>
      <c r="D31426" s="8">
        <v>1</v>
      </c>
      <c r="E31426" s="8">
        <v>0</v>
      </c>
      <c r="F31426" s="8">
        <v>8979</v>
      </c>
    </row>
    <row r="31427" spans="1:6" ht="12.75">
      <c r="A31427" s="8">
        <v>43890.461805555555</v>
      </c>
      <c r="B31427" s="8" t="str">
        <f>HYPERLINK("https://twitter.com/hidupnanindah","@hidupnanindah")</f>
        <v>@hidupnanindah</v>
      </c>
      <c r="C31427" s="8" t="s">
        <v>11898</v>
      </c>
      <c r="D31427" s="8">
        <v>0</v>
      </c>
      <c r="E31427" s="8">
        <v>0</v>
      </c>
      <c r="F31427" s="8">
        <v>14997</v>
      </c>
    </row>
    <row r="31428" spans="1:6" ht="12.75">
      <c r="A31428" s="8">
        <v>43890.461793981478</v>
      </c>
      <c r="B31428" s="8" t="str">
        <f>HYPERLINK("https://twitter.com/al_fakru","@al_fakru")</f>
        <v>@al_fakru</v>
      </c>
      <c r="C31428" s="8" t="s">
        <v>7686</v>
      </c>
      <c r="D31428" s="8">
        <v>111</v>
      </c>
      <c r="E31428" s="8">
        <v>0</v>
      </c>
      <c r="F31428" s="8">
        <v>2989</v>
      </c>
    </row>
    <row r="31429" spans="1:6" ht="12.75">
      <c r="A31429" s="8">
        <v>43890.461712962962</v>
      </c>
      <c r="B31429" s="8" t="str">
        <f>HYPERLINK("https://twitter.com/goencobain","@goencobain")</f>
        <v>@goencobain</v>
      </c>
      <c r="C31429" s="8" t="s">
        <v>11899</v>
      </c>
      <c r="D31429" s="8">
        <v>0</v>
      </c>
      <c r="E31429" s="8">
        <v>0</v>
      </c>
      <c r="F31429" s="8">
        <v>44</v>
      </c>
    </row>
    <row r="31430" spans="1:6" ht="12.75">
      <c r="A31430" s="8">
        <v>43890.46162037037</v>
      </c>
      <c r="B31430" s="8" t="str">
        <f>HYPERLINK("https://twitter.com/biehok","@biehok")</f>
        <v>@biehok</v>
      </c>
      <c r="C31430" s="8" t="s">
        <v>11105</v>
      </c>
      <c r="D31430" s="8">
        <v>53</v>
      </c>
      <c r="E31430" s="8">
        <v>0</v>
      </c>
      <c r="F31430" s="8">
        <v>394</v>
      </c>
    </row>
    <row r="31431" spans="1:6" ht="12.75">
      <c r="A31431" s="8">
        <v>43890.461481481485</v>
      </c>
      <c r="B31431" s="8" t="str">
        <f>HYPERLINK("https://twitter.com/naqsya77","@naqsya77")</f>
        <v>@naqsya77</v>
      </c>
      <c r="C31431" s="8" t="s">
        <v>7686</v>
      </c>
      <c r="D31431" s="8">
        <v>111</v>
      </c>
      <c r="E31431" s="8">
        <v>0</v>
      </c>
      <c r="F31431" s="8">
        <v>4288</v>
      </c>
    </row>
    <row r="31432" spans="1:6" ht="12.75">
      <c r="A31432" s="8">
        <v>43890.461388888885</v>
      </c>
      <c r="B31432" s="8" t="str">
        <f>HYPERLINK("https://twitter.com/eka_dini722","@eka_dini722")</f>
        <v>@eka_dini722</v>
      </c>
      <c r="C31432" s="8" t="s">
        <v>10413</v>
      </c>
      <c r="D31432" s="8">
        <v>16</v>
      </c>
      <c r="E31432" s="8">
        <v>0</v>
      </c>
      <c r="F31432" s="8">
        <v>2410</v>
      </c>
    </row>
    <row r="31433" spans="1:6" ht="12.75">
      <c r="A31433" s="8">
        <v>43890.461377314816</v>
      </c>
      <c r="B31433" s="8" t="str">
        <f>HYPERLINK("https://twitter.com/erika_sugandi","@erika_sugandi")</f>
        <v>@erika_sugandi</v>
      </c>
      <c r="C31433" s="8" t="s">
        <v>11489</v>
      </c>
      <c r="D31433" s="8">
        <v>6</v>
      </c>
      <c r="E31433" s="8">
        <v>0</v>
      </c>
      <c r="F31433" s="8">
        <v>18</v>
      </c>
    </row>
    <row r="31434" spans="1:6" ht="12.75">
      <c r="A31434" s="8">
        <v>43890.46130787037</v>
      </c>
      <c r="B31434" s="8" t="str">
        <f>HYPERLINK("https://twitter.com/FahmiAbdBar","@FahmiAbdBar")</f>
        <v>@FahmiAbdBar</v>
      </c>
      <c r="C31434" s="8" t="s">
        <v>11900</v>
      </c>
      <c r="D31434" s="8">
        <v>0</v>
      </c>
      <c r="E31434" s="8">
        <v>0</v>
      </c>
      <c r="F31434" s="8">
        <v>16</v>
      </c>
    </row>
    <row r="31435" spans="1:6" ht="12.75">
      <c r="A31435" s="8">
        <v>43890.46130787037</v>
      </c>
      <c r="B31435" s="8" t="str">
        <f>HYPERLINK("https://twitter.com/rai_diwangsa","@rai_diwangsa")</f>
        <v>@rai_diwangsa</v>
      </c>
      <c r="C31435" s="8" t="s">
        <v>7686</v>
      </c>
      <c r="D31435" s="8">
        <v>111</v>
      </c>
      <c r="E31435" s="8">
        <v>0</v>
      </c>
      <c r="F31435" s="8">
        <v>199</v>
      </c>
    </row>
    <row r="31436" spans="1:6" ht="12.75">
      <c r="A31436" s="8">
        <v>43890.461284722223</v>
      </c>
      <c r="B31436" s="8" t="str">
        <f>HYPERLINK("https://twitter.com/VIPNetizen","@VIPNetizen")</f>
        <v>@VIPNetizen</v>
      </c>
      <c r="C31436" s="8" t="s">
        <v>11901</v>
      </c>
      <c r="D31436" s="8">
        <v>0</v>
      </c>
      <c r="E31436" s="8">
        <v>0</v>
      </c>
      <c r="F31436" s="8">
        <v>14</v>
      </c>
    </row>
    <row r="31437" spans="1:6" ht="12.75">
      <c r="A31437" s="8">
        <v>43890.461238425924</v>
      </c>
      <c r="B31437" s="8" t="str">
        <f>HYPERLINK("https://twitter.com/LatifPrasetyo7","@LatifPrasetyo7")</f>
        <v>@LatifPrasetyo7</v>
      </c>
      <c r="C31437" s="8" t="s">
        <v>7686</v>
      </c>
      <c r="D31437" s="8">
        <v>111</v>
      </c>
      <c r="E31437" s="8">
        <v>0</v>
      </c>
      <c r="F31437" s="8">
        <v>2149</v>
      </c>
    </row>
    <row r="31438" spans="1:6" ht="12.75">
      <c r="A31438" s="8">
        <v>43890.461180555554</v>
      </c>
      <c r="B31438" s="8" t="str">
        <f>HYPERLINK("https://twitter.com/kardusbox08","@kardusbox08")</f>
        <v>@kardusbox08</v>
      </c>
      <c r="C31438" s="8" t="s">
        <v>11902</v>
      </c>
      <c r="D31438" s="8">
        <v>5</v>
      </c>
      <c r="E31438" s="8">
        <v>0</v>
      </c>
      <c r="F31438" s="8">
        <v>1742</v>
      </c>
    </row>
    <row r="31439" spans="1:6" ht="12.75">
      <c r="A31439" s="8">
        <v>43890.461099537039</v>
      </c>
      <c r="B31439" s="8" t="str">
        <f>HYPERLINK("https://twitter.com/McFatimah","@McFatimah")</f>
        <v>@McFatimah</v>
      </c>
      <c r="C31439" s="8" t="s">
        <v>11903</v>
      </c>
      <c r="D31439" s="8">
        <v>0</v>
      </c>
      <c r="E31439" s="8">
        <v>0</v>
      </c>
      <c r="F31439" s="8">
        <v>1381</v>
      </c>
    </row>
    <row r="31440" spans="1:6" ht="12.75">
      <c r="A31440" s="8">
        <v>43890.461030092592</v>
      </c>
      <c r="B31440" s="8" t="str">
        <f>HYPERLINK("https://twitter.com/JokoFighter01","@JokoFighter01")</f>
        <v>@JokoFighter01</v>
      </c>
      <c r="C31440" s="8" t="s">
        <v>11105</v>
      </c>
      <c r="D31440" s="8">
        <v>53</v>
      </c>
      <c r="E31440" s="8">
        <v>0</v>
      </c>
      <c r="F31440" s="8">
        <v>539</v>
      </c>
    </row>
    <row r="31441" spans="1:6" ht="12.75">
      <c r="A31441" s="8">
        <v>43890.460972222223</v>
      </c>
      <c r="B31441" s="8" t="str">
        <f>HYPERLINK("https://twitter.com/Bang_N_E_O","@Bang_N_E_O")</f>
        <v>@Bang_N_E_O</v>
      </c>
      <c r="C31441" s="8" t="s">
        <v>11743</v>
      </c>
      <c r="D31441" s="8">
        <v>2</v>
      </c>
      <c r="E31441" s="8">
        <v>0</v>
      </c>
      <c r="F31441" s="8">
        <v>3607</v>
      </c>
    </row>
    <row r="31442" spans="1:6" ht="12.75">
      <c r="A31442" s="8">
        <v>43890.460960648154</v>
      </c>
      <c r="B31442" s="8" t="str">
        <f>HYPERLINK("https://twitter.com/trinugr10647283","@trinugr10647283")</f>
        <v>@trinugr10647283</v>
      </c>
      <c r="C31442" s="8" t="s">
        <v>7686</v>
      </c>
      <c r="D31442" s="8">
        <v>111</v>
      </c>
      <c r="E31442" s="8">
        <v>0</v>
      </c>
      <c r="F31442" s="8">
        <v>96</v>
      </c>
    </row>
    <row r="31443" spans="1:6" ht="12.75">
      <c r="A31443" s="8">
        <v>43890.460868055554</v>
      </c>
      <c r="B31443" s="8" t="str">
        <f>HYPERLINK("https://twitter.com/kardusbox08","@kardusbox08")</f>
        <v>@kardusbox08</v>
      </c>
      <c r="C31443" s="8" t="s">
        <v>7686</v>
      </c>
      <c r="D31443" s="8">
        <v>111</v>
      </c>
      <c r="E31443" s="8">
        <v>0</v>
      </c>
      <c r="F31443" s="8">
        <v>1742</v>
      </c>
    </row>
    <row r="31444" spans="1:6" ht="12.75">
      <c r="A31444" s="8">
        <v>43890.460844907408</v>
      </c>
      <c r="B31444" s="8" t="str">
        <f>HYPERLINK("https://twitter.com/latifahkusuma7","@latifahkusuma7")</f>
        <v>@latifahkusuma7</v>
      </c>
      <c r="C31444" s="8" t="s">
        <v>11904</v>
      </c>
      <c r="D31444" s="8">
        <v>0</v>
      </c>
      <c r="E31444" s="8">
        <v>1</v>
      </c>
      <c r="F31444" s="8">
        <v>2580</v>
      </c>
    </row>
    <row r="31445" spans="1:6" ht="12.75">
      <c r="A31445" s="8">
        <v>43890.460833333331</v>
      </c>
      <c r="B31445" s="8" t="str">
        <f>HYPERLINK("https://twitter.com/yan_rusdiyansya","@yan_rusdiyansya")</f>
        <v>@yan_rusdiyansya</v>
      </c>
      <c r="C31445" s="8" t="s">
        <v>4235</v>
      </c>
      <c r="D31445" s="8">
        <v>1131</v>
      </c>
      <c r="E31445" s="8">
        <v>0</v>
      </c>
      <c r="F31445" s="8">
        <v>277</v>
      </c>
    </row>
    <row r="31446" spans="1:6" ht="12.75">
      <c r="A31446" s="8">
        <v>43890.460752314815</v>
      </c>
      <c r="B31446" s="8" t="str">
        <f>HYPERLINK("https://twitter.com/hoetbarbae","@hoetbarbae")</f>
        <v>@hoetbarbae</v>
      </c>
      <c r="C31446" s="8" t="s">
        <v>11905</v>
      </c>
      <c r="D31446" s="8">
        <v>0</v>
      </c>
      <c r="E31446" s="8">
        <v>0</v>
      </c>
      <c r="F31446" s="8">
        <v>1329</v>
      </c>
    </row>
    <row r="31447" spans="1:6" ht="12.75">
      <c r="A31447" s="8">
        <v>43890.4606712963</v>
      </c>
      <c r="B31447" s="8" t="str">
        <f>HYPERLINK("https://twitter.com/__MV_llestari__","@__MV_llestari__")</f>
        <v>@__MV_llestari__</v>
      </c>
      <c r="C31447" s="8" t="s">
        <v>11906</v>
      </c>
      <c r="D31447" s="8">
        <v>1</v>
      </c>
      <c r="E31447" s="8">
        <v>0</v>
      </c>
      <c r="F31447" s="8">
        <v>8979</v>
      </c>
    </row>
    <row r="31448" spans="1:6" ht="12.75">
      <c r="A31448" s="8">
        <v>43890.4605787037</v>
      </c>
      <c r="B31448" s="8" t="str">
        <f>HYPERLINK("https://twitter.com/21Lai21","@21Lai21")</f>
        <v>@21Lai21</v>
      </c>
      <c r="C31448" s="8" t="s">
        <v>11701</v>
      </c>
      <c r="D31448" s="8">
        <v>64</v>
      </c>
      <c r="E31448" s="8">
        <v>0</v>
      </c>
      <c r="F31448" s="8">
        <v>298</v>
      </c>
    </row>
    <row r="31449" spans="1:6" ht="12.75">
      <c r="A31449" s="8">
        <v>43890.460555555561</v>
      </c>
      <c r="B31449" s="8" t="str">
        <f>HYPERLINK("https://twitter.com/colyhits","@colyhits")</f>
        <v>@colyhits</v>
      </c>
      <c r="C31449" s="8" t="s">
        <v>11907</v>
      </c>
      <c r="D31449" s="8">
        <v>0</v>
      </c>
      <c r="E31449" s="8">
        <v>0</v>
      </c>
      <c r="F31449" s="8">
        <v>3</v>
      </c>
    </row>
    <row r="31450" spans="1:6" ht="12.75">
      <c r="A31450" s="8">
        <v>43890.460451388892</v>
      </c>
      <c r="B31450" s="8" t="str">
        <f>HYPERLINK("https://twitter.com/Vanvannnnnnnnnn","@Vanvannnnnnnnnn")</f>
        <v>@Vanvannnnnnnnnn</v>
      </c>
      <c r="C31450" s="8" t="s">
        <v>11908</v>
      </c>
      <c r="D31450" s="8">
        <v>0</v>
      </c>
      <c r="E31450" s="8">
        <v>0</v>
      </c>
      <c r="F31450" s="8">
        <v>9</v>
      </c>
    </row>
    <row r="31451" spans="1:6" ht="12.75">
      <c r="A31451" s="8">
        <v>43890.460405092592</v>
      </c>
      <c r="B31451" s="8" t="str">
        <f>HYPERLINK("https://twitter.com/hidayat_y28","@hidayat_y28")</f>
        <v>@hidayat_y28</v>
      </c>
      <c r="C31451" s="8" t="s">
        <v>11909</v>
      </c>
      <c r="D31451" s="8">
        <v>0</v>
      </c>
      <c r="E31451" s="8">
        <v>0</v>
      </c>
      <c r="F31451" s="8">
        <v>5248</v>
      </c>
    </row>
    <row r="31452" spans="1:6" ht="12.75">
      <c r="A31452" s="8">
        <v>43890.460335648153</v>
      </c>
      <c r="B31452" s="8" t="str">
        <f>HYPERLINK("https://twitter.com/Hilarius__Ari","@Hilarius__Ari")</f>
        <v>@Hilarius__Ari</v>
      </c>
      <c r="C31452" s="8" t="s">
        <v>10811</v>
      </c>
      <c r="D31452" s="8">
        <v>26</v>
      </c>
      <c r="E31452" s="8">
        <v>0</v>
      </c>
      <c r="F31452" s="8">
        <v>1992</v>
      </c>
    </row>
    <row r="31453" spans="1:6" ht="12.75">
      <c r="A31453" s="8">
        <v>43890.460289351853</v>
      </c>
      <c r="B31453" s="8" t="str">
        <f>HYPERLINK("https://twitter.com/sissyfebrina","@sissyfebrina")</f>
        <v>@sissyfebrina</v>
      </c>
      <c r="C31453" s="8" t="s">
        <v>11910</v>
      </c>
      <c r="D31453" s="8">
        <v>0</v>
      </c>
      <c r="E31453" s="8">
        <v>0</v>
      </c>
      <c r="F31453" s="8">
        <v>8</v>
      </c>
    </row>
    <row r="31454" spans="1:6" ht="12.75">
      <c r="A31454" s="8">
        <v>43890.460277777776</v>
      </c>
      <c r="B31454" s="8" t="str">
        <f>HYPERLINK("https://twitter.com/eka_dini722","@eka_dini722")</f>
        <v>@eka_dini722</v>
      </c>
      <c r="C31454" s="8" t="s">
        <v>11117</v>
      </c>
      <c r="D31454" s="8">
        <v>30</v>
      </c>
      <c r="E31454" s="8">
        <v>0</v>
      </c>
      <c r="F31454" s="8">
        <v>2410</v>
      </c>
    </row>
    <row r="31455" spans="1:6" ht="12.75">
      <c r="A31455" s="8">
        <v>43890.46025462963</v>
      </c>
      <c r="B31455" s="8" t="str">
        <f>HYPERLINK("https://twitter.com/krisnaslam","@krisnaslam")</f>
        <v>@krisnaslam</v>
      </c>
      <c r="C31455" s="8" t="s">
        <v>11292</v>
      </c>
      <c r="D31455" s="8">
        <v>24</v>
      </c>
      <c r="E31455" s="8">
        <v>0</v>
      </c>
      <c r="F31455" s="8">
        <v>82</v>
      </c>
    </row>
    <row r="31456" spans="1:6" ht="12.75">
      <c r="A31456" s="8">
        <v>43890.460104166668</v>
      </c>
      <c r="B31456" s="8" t="str">
        <f>HYPERLINK("https://twitter.com/Joyo08230378","@Joyo08230378")</f>
        <v>@Joyo08230378</v>
      </c>
      <c r="C31456" s="8" t="s">
        <v>4235</v>
      </c>
      <c r="D31456" s="8">
        <v>1131</v>
      </c>
      <c r="E31456" s="8">
        <v>0</v>
      </c>
      <c r="F31456" s="8">
        <v>105</v>
      </c>
    </row>
    <row r="31457" spans="1:6" ht="12.75">
      <c r="A31457" s="8">
        <v>43890.460034722222</v>
      </c>
      <c r="B31457" s="8" t="str">
        <f>HYPERLINK("https://twitter.com/cintada17","@cintada17")</f>
        <v>@cintada17</v>
      </c>
      <c r="C31457" s="8" t="s">
        <v>11105</v>
      </c>
      <c r="D31457" s="8">
        <v>53</v>
      </c>
      <c r="E31457" s="8">
        <v>0</v>
      </c>
      <c r="F31457" s="8">
        <v>7832</v>
      </c>
    </row>
    <row r="31458" spans="1:6" ht="12.75">
      <c r="A31458" s="8">
        <v>43890.460011574076</v>
      </c>
      <c r="B31458" s="8" t="str">
        <f>HYPERLINK("https://twitter.com/eka_dini722","@eka_dini722")</f>
        <v>@eka_dini722</v>
      </c>
      <c r="C31458" s="8" t="s">
        <v>11541</v>
      </c>
      <c r="D31458" s="8">
        <v>19</v>
      </c>
      <c r="E31458" s="8">
        <v>0</v>
      </c>
      <c r="F31458" s="8">
        <v>2410</v>
      </c>
    </row>
    <row r="31459" spans="1:6" ht="12.75">
      <c r="A31459" s="8">
        <v>43890.46</v>
      </c>
      <c r="B31459" s="8" t="str">
        <f>HYPERLINK("https://twitter.com/RianDelRey","@RianDelRey")</f>
        <v>@RianDelRey</v>
      </c>
      <c r="C31459" s="8" t="s">
        <v>6836</v>
      </c>
      <c r="D31459" s="8">
        <v>264</v>
      </c>
      <c r="E31459" s="8">
        <v>0</v>
      </c>
      <c r="F31459" s="8">
        <v>673</v>
      </c>
    </row>
    <row r="31460" spans="1:6" ht="12.75">
      <c r="A31460" s="8">
        <v>43890.459988425922</v>
      </c>
      <c r="B31460" s="8" t="str">
        <f>HYPERLINK("https://twitter.com/cassanov2","@cassanov2")</f>
        <v>@cassanov2</v>
      </c>
      <c r="C31460" s="8" t="s">
        <v>4235</v>
      </c>
      <c r="D31460" s="8">
        <v>1131</v>
      </c>
      <c r="E31460" s="8">
        <v>0</v>
      </c>
      <c r="F31460" s="8">
        <v>208</v>
      </c>
    </row>
    <row r="31461" spans="1:6" ht="12.75">
      <c r="A31461" s="8">
        <v>43890.459953703699</v>
      </c>
      <c r="B31461" s="8" t="str">
        <f>HYPERLINK("https://twitter.com/dikagoka","@dikagoka")</f>
        <v>@dikagoka</v>
      </c>
      <c r="C31461" s="8" t="s">
        <v>4235</v>
      </c>
      <c r="D31461" s="8">
        <v>1131</v>
      </c>
      <c r="E31461" s="8">
        <v>0</v>
      </c>
      <c r="F31461" s="8">
        <v>376</v>
      </c>
    </row>
    <row r="31462" spans="1:6" ht="12.75">
      <c r="A31462" s="8">
        <v>43890.45994212963</v>
      </c>
      <c r="B31462" s="8" t="str">
        <f>HYPERLINK("https://twitter.com/ras_af06","@ras_af06")</f>
        <v>@ras_af06</v>
      </c>
      <c r="C31462" s="8" t="s">
        <v>11911</v>
      </c>
      <c r="D31462" s="8">
        <v>1</v>
      </c>
      <c r="E31462" s="8">
        <v>0</v>
      </c>
      <c r="F31462" s="8">
        <v>139</v>
      </c>
    </row>
    <row r="31463" spans="1:6" ht="12.75">
      <c r="A31463" s="8">
        <v>43890.459837962961</v>
      </c>
      <c r="B31463" s="8" t="str">
        <f>HYPERLINK("https://twitter.com/dimas_skeptis","@dimas_skeptis")</f>
        <v>@dimas_skeptis</v>
      </c>
      <c r="C31463" s="8" t="s">
        <v>11075</v>
      </c>
      <c r="D31463" s="8">
        <v>15</v>
      </c>
      <c r="E31463" s="8">
        <v>0</v>
      </c>
      <c r="F31463" s="8">
        <v>1172</v>
      </c>
    </row>
    <row r="31464" spans="1:6" ht="12.75">
      <c r="A31464" s="8">
        <v>43890.459826388891</v>
      </c>
      <c r="B31464" s="8" t="str">
        <f>HYPERLINK("https://twitter.com/musubhan78","@musubhan78")</f>
        <v>@musubhan78</v>
      </c>
      <c r="C31464" s="8" t="s">
        <v>11912</v>
      </c>
      <c r="D31464" s="8">
        <v>0</v>
      </c>
      <c r="E31464" s="8">
        <v>0</v>
      </c>
      <c r="F31464" s="8">
        <v>678</v>
      </c>
    </row>
    <row r="31465" spans="1:6" ht="12.75">
      <c r="A31465" s="8">
        <v>43890.459560185191</v>
      </c>
      <c r="B31465" s="8" t="str">
        <f>HYPERLINK("https://twitter.com/ownbynathz","@ownbynathz")</f>
        <v>@ownbynathz</v>
      </c>
      <c r="C31465" s="8" t="s">
        <v>11913</v>
      </c>
      <c r="D31465" s="8">
        <v>0</v>
      </c>
      <c r="E31465" s="8">
        <v>0</v>
      </c>
      <c r="F31465" s="8">
        <v>606</v>
      </c>
    </row>
    <row r="31466" spans="1:6" ht="12.75">
      <c r="A31466" s="8">
        <v>43890.459513888884</v>
      </c>
      <c r="B31466" s="8" t="str">
        <f t="shared" ref="B31466:B31467" si="437">HYPERLINK("https://twitter.com/WhyHerdy","@WhyHerdy")</f>
        <v>@WhyHerdy</v>
      </c>
      <c r="C31466" s="8" t="s">
        <v>6490</v>
      </c>
      <c r="D31466" s="8">
        <v>214</v>
      </c>
      <c r="E31466" s="8">
        <v>0</v>
      </c>
      <c r="F31466" s="8">
        <v>104</v>
      </c>
    </row>
    <row r="31467" spans="1:6" ht="12.75">
      <c r="A31467" s="8">
        <v>43890.459444444445</v>
      </c>
      <c r="B31467" s="8" t="str">
        <f t="shared" si="437"/>
        <v>@WhyHerdy</v>
      </c>
      <c r="C31467" s="8" t="s">
        <v>6836</v>
      </c>
      <c r="D31467" s="8">
        <v>264</v>
      </c>
      <c r="E31467" s="8">
        <v>0</v>
      </c>
      <c r="F31467" s="8">
        <v>104</v>
      </c>
    </row>
    <row r="31468" spans="1:6" ht="12.75">
      <c r="A31468" s="8">
        <v>43890.459421296298</v>
      </c>
      <c r="B31468" s="8" t="str">
        <f>HYPERLINK("https://twitter.com/Klosetduduq","@Klosetduduq")</f>
        <v>@Klosetduduq</v>
      </c>
      <c r="C31468" s="8" t="s">
        <v>10737</v>
      </c>
      <c r="D31468" s="8">
        <v>6</v>
      </c>
      <c r="E31468" s="8">
        <v>0</v>
      </c>
      <c r="F31468" s="8">
        <v>96</v>
      </c>
    </row>
    <row r="31469" spans="1:6" ht="12.75">
      <c r="A31469" s="8">
        <v>43890.459386574075</v>
      </c>
      <c r="B31469" s="8" t="str">
        <f>HYPERLINK("https://twitter.com/abdulkhaydir","@abdulkhaydir")</f>
        <v>@abdulkhaydir</v>
      </c>
      <c r="C31469" s="8" t="s">
        <v>11914</v>
      </c>
      <c r="D31469" s="8">
        <v>1</v>
      </c>
      <c r="E31469" s="8">
        <v>2</v>
      </c>
      <c r="F31469" s="8">
        <v>2803</v>
      </c>
    </row>
    <row r="31470" spans="1:6" ht="12.75">
      <c r="A31470" s="8">
        <v>43890.459351851852</v>
      </c>
      <c r="B31470" s="8" t="str">
        <f t="shared" ref="B31470:B31471" si="438">HYPERLINK("https://twitter.com/RinjaniJB","@RinjaniJB")</f>
        <v>@RinjaniJB</v>
      </c>
      <c r="C31470" s="8" t="s">
        <v>11915</v>
      </c>
      <c r="D31470" s="8">
        <v>1</v>
      </c>
      <c r="E31470" s="8">
        <v>0</v>
      </c>
      <c r="F31470" s="8">
        <v>19238</v>
      </c>
    </row>
    <row r="31471" spans="1:6" ht="12.75">
      <c r="A31471" s="8">
        <v>43890.459247685183</v>
      </c>
      <c r="B31471" s="8" t="str">
        <f t="shared" si="438"/>
        <v>@RinjaniJB</v>
      </c>
      <c r="C31471" s="8" t="s">
        <v>11916</v>
      </c>
      <c r="D31471" s="8">
        <v>0</v>
      </c>
      <c r="E31471" s="8">
        <v>0</v>
      </c>
      <c r="F31471" s="8">
        <v>19238</v>
      </c>
    </row>
    <row r="31472" spans="1:6" ht="12.75">
      <c r="A31472" s="8">
        <v>43890.459016203706</v>
      </c>
      <c r="B31472" s="8" t="str">
        <f>HYPERLINK("https://twitter.com/narkosun","@narkosun")</f>
        <v>@narkosun</v>
      </c>
      <c r="C31472" s="8" t="s">
        <v>10811</v>
      </c>
      <c r="D31472" s="8">
        <v>26</v>
      </c>
      <c r="E31472" s="8">
        <v>0</v>
      </c>
      <c r="F31472" s="8">
        <v>31109</v>
      </c>
    </row>
    <row r="31473" spans="1:6" ht="12.75">
      <c r="A31473" s="8">
        <v>43890.458981481483</v>
      </c>
      <c r="B31473" s="8" t="str">
        <f>HYPERLINK("https://twitter.com/mocizt_","@mocizt_")</f>
        <v>@mocizt_</v>
      </c>
      <c r="C31473" s="8" t="s">
        <v>11917</v>
      </c>
      <c r="D31473" s="8">
        <v>0</v>
      </c>
      <c r="E31473" s="8">
        <v>0</v>
      </c>
      <c r="F31473" s="8">
        <v>38</v>
      </c>
    </row>
    <row r="31474" spans="1:6" ht="12.75">
      <c r="A31474" s="8">
        <v>43890.458969907406</v>
      </c>
      <c r="B31474" s="8" t="str">
        <f>HYPERLINK("https://twitter.com/sarahkazahrah","@sarahkazahrah")</f>
        <v>@sarahkazahrah</v>
      </c>
      <c r="C31474" s="8" t="s">
        <v>11489</v>
      </c>
      <c r="D31474" s="8">
        <v>6</v>
      </c>
      <c r="E31474" s="8">
        <v>0</v>
      </c>
      <c r="F31474" s="8">
        <v>281</v>
      </c>
    </row>
    <row r="31475" spans="1:6" ht="12.75">
      <c r="A31475" s="8">
        <v>43890.458865740744</v>
      </c>
      <c r="B31475" s="8" t="str">
        <f>HYPERLINK("https://twitter.com/JafYaya2150","@JafYaya2150")</f>
        <v>@JafYaya2150</v>
      </c>
      <c r="C31475" s="8" t="s">
        <v>11918</v>
      </c>
      <c r="D31475" s="8">
        <v>1</v>
      </c>
      <c r="E31475" s="8">
        <v>0</v>
      </c>
      <c r="F31475" s="8">
        <v>4657</v>
      </c>
    </row>
    <row r="31476" spans="1:6" ht="12.75">
      <c r="A31476" s="8">
        <v>43890.458854166667</v>
      </c>
      <c r="B31476" s="8" t="str">
        <f>HYPERLINK("https://twitter.com/Leman_radsdar","@Leman_radsdar")</f>
        <v>@Leman_radsdar</v>
      </c>
      <c r="C31476" s="8" t="s">
        <v>10721</v>
      </c>
      <c r="D31476" s="8">
        <v>152</v>
      </c>
      <c r="E31476" s="8">
        <v>0</v>
      </c>
      <c r="F31476" s="8">
        <v>357</v>
      </c>
    </row>
    <row r="31477" spans="1:6" ht="12.75">
      <c r="A31477" s="8">
        <v>43890.458854166667</v>
      </c>
      <c r="B31477" s="8" t="str">
        <f>HYPERLINK("https://twitter.com/tebumutiara72","@tebumutiara72")</f>
        <v>@tebumutiara72</v>
      </c>
      <c r="C31477" s="8" t="s">
        <v>7686</v>
      </c>
      <c r="D31477" s="8">
        <v>111</v>
      </c>
      <c r="E31477" s="8">
        <v>0</v>
      </c>
      <c r="F31477" s="8">
        <v>840</v>
      </c>
    </row>
    <row r="31478" spans="1:6" ht="12.75">
      <c r="A31478" s="8">
        <v>43890.458854166667</v>
      </c>
      <c r="B31478" s="8" t="str">
        <f>HYPERLINK("https://twitter.com/ayyufriska","@ayyufriska")</f>
        <v>@ayyufriska</v>
      </c>
      <c r="C31478" s="8" t="s">
        <v>11489</v>
      </c>
      <c r="D31478" s="8">
        <v>6</v>
      </c>
      <c r="E31478" s="8">
        <v>0</v>
      </c>
      <c r="F31478" s="8">
        <v>15</v>
      </c>
    </row>
    <row r="31479" spans="1:6" ht="12.75">
      <c r="A31479" s="8">
        <v>43890.458807870367</v>
      </c>
      <c r="B31479" s="8" t="str">
        <f>HYPERLINK("https://twitter.com/dedykrnwn","@dedykrnwn")</f>
        <v>@dedykrnwn</v>
      </c>
      <c r="C31479" s="8" t="s">
        <v>11919</v>
      </c>
      <c r="D31479" s="8">
        <v>0</v>
      </c>
      <c r="E31479" s="8">
        <v>0</v>
      </c>
      <c r="F31479" s="8">
        <v>282</v>
      </c>
    </row>
    <row r="31480" spans="1:6" ht="12.75">
      <c r="A31480" s="8">
        <v>43890.458726851852</v>
      </c>
      <c r="B31480" s="8" t="str">
        <f>HYPERLINK("https://twitter.com/ianbura","@ianbura")</f>
        <v>@ianbura</v>
      </c>
      <c r="C31480" s="8" t="s">
        <v>10811</v>
      </c>
      <c r="D31480" s="8">
        <v>26</v>
      </c>
      <c r="E31480" s="8">
        <v>0</v>
      </c>
      <c r="F31480" s="8">
        <v>744</v>
      </c>
    </row>
    <row r="31481" spans="1:6" ht="12.75">
      <c r="A31481" s="8">
        <v>43890.458726851852</v>
      </c>
      <c r="B31481" s="8" t="str">
        <f>HYPERLINK("https://twitter.com/7evenClothes","@7evenClothes")</f>
        <v>@7evenClothes</v>
      </c>
      <c r="C31481" s="8" t="s">
        <v>11920</v>
      </c>
      <c r="D31481" s="8">
        <v>1</v>
      </c>
      <c r="E31481" s="8">
        <v>2</v>
      </c>
      <c r="F31481" s="8">
        <v>3244</v>
      </c>
    </row>
    <row r="31482" spans="1:6" ht="12.75">
      <c r="A31482" s="8">
        <v>43890.458657407406</v>
      </c>
      <c r="B31482" s="8" t="str">
        <f>HYPERLINK("https://twitter.com/Ibam103209","@Ibam103209")</f>
        <v>@Ibam103209</v>
      </c>
      <c r="C31482" s="8" t="s">
        <v>4235</v>
      </c>
      <c r="D31482" s="8">
        <v>1131</v>
      </c>
      <c r="E31482" s="8">
        <v>0</v>
      </c>
      <c r="F31482" s="8">
        <v>98</v>
      </c>
    </row>
    <row r="31483" spans="1:6" ht="12.75">
      <c r="A31483" s="8">
        <v>43890.458587962959</v>
      </c>
      <c r="B31483" s="8" t="str">
        <f>HYPERLINK("https://twitter.com/denmas_ajah","@denmas_ajah")</f>
        <v>@denmas_ajah</v>
      </c>
      <c r="C31483" s="8" t="s">
        <v>11921</v>
      </c>
      <c r="D31483" s="8">
        <v>1</v>
      </c>
      <c r="E31483" s="8">
        <v>0</v>
      </c>
      <c r="F31483" s="8">
        <v>4631</v>
      </c>
    </row>
    <row r="31484" spans="1:6" ht="12.75">
      <c r="A31484" s="8">
        <v>43890.458530092597</v>
      </c>
      <c r="B31484" s="8" t="str">
        <f>HYPERLINK("https://twitter.com/mangdodoy22","@mangdodoy22")</f>
        <v>@mangdodoy22</v>
      </c>
      <c r="C31484" s="8" t="s">
        <v>8746</v>
      </c>
      <c r="D31484" s="8">
        <v>103</v>
      </c>
      <c r="E31484" s="8">
        <v>0</v>
      </c>
      <c r="F31484" s="8">
        <v>169</v>
      </c>
    </row>
    <row r="31485" spans="1:6" ht="12.75">
      <c r="A31485" s="8">
        <v>43890.458495370374</v>
      </c>
      <c r="B31485" s="8" t="str">
        <f>HYPERLINK("https://twitter.com/eka_dini722","@eka_dini722")</f>
        <v>@eka_dini722</v>
      </c>
      <c r="C31485" s="8" t="s">
        <v>11292</v>
      </c>
      <c r="D31485" s="8">
        <v>24</v>
      </c>
      <c r="E31485" s="8">
        <v>0</v>
      </c>
      <c r="F31485" s="8">
        <v>2410</v>
      </c>
    </row>
    <row r="31486" spans="1:6" ht="12.75">
      <c r="A31486" s="8">
        <v>43890.423414351855</v>
      </c>
      <c r="B31486" s="8" t="str">
        <f>HYPERLINK("https://twitter.com/pedang_manthili","@pedang_manthili")</f>
        <v>@pedang_manthili</v>
      </c>
      <c r="C31486" s="8" t="s">
        <v>4235</v>
      </c>
      <c r="D31486" s="8">
        <v>1059</v>
      </c>
      <c r="E31486" s="8">
        <v>0</v>
      </c>
      <c r="F31486" s="8">
        <v>293</v>
      </c>
    </row>
    <row r="31487" spans="1:6" ht="12.75">
      <c r="A31487" s="8">
        <v>43890.423391203702</v>
      </c>
      <c r="B31487" s="8" t="str">
        <f>HYPERLINK("https://twitter.com/quin_ingrid","@quin_ingrid")</f>
        <v>@quin_ingrid</v>
      </c>
      <c r="C31487" s="8" t="s">
        <v>593</v>
      </c>
      <c r="D31487" s="8">
        <v>453</v>
      </c>
      <c r="E31487" s="8">
        <v>0</v>
      </c>
      <c r="F31487" s="8">
        <v>1317</v>
      </c>
    </row>
    <row r="31488" spans="1:6" ht="12.75">
      <c r="A31488" s="8">
        <v>43890.423344907409</v>
      </c>
      <c r="B31488" s="8" t="str">
        <f>HYPERLINK("https://twitter.com/HPeridia","@HPeridia")</f>
        <v>@HPeridia</v>
      </c>
      <c r="C31488" s="8" t="s">
        <v>11105</v>
      </c>
      <c r="D31488" s="8">
        <v>24</v>
      </c>
      <c r="E31488" s="8">
        <v>0</v>
      </c>
      <c r="F31488" s="8">
        <v>668</v>
      </c>
    </row>
    <row r="31489" spans="1:6" ht="12.75">
      <c r="A31489" s="8">
        <v>43890.423252314809</v>
      </c>
      <c r="B31489" s="8" t="str">
        <f>HYPERLINK("https://twitter.com/Haifaadya","@Haifaadya")</f>
        <v>@Haifaadya</v>
      </c>
      <c r="C31489" s="8" t="s">
        <v>7686</v>
      </c>
      <c r="D31489" s="8">
        <v>52</v>
      </c>
      <c r="E31489" s="8">
        <v>0</v>
      </c>
      <c r="F31489" s="8">
        <v>66</v>
      </c>
    </row>
    <row r="31490" spans="1:6" ht="12.75">
      <c r="A31490" s="8">
        <v>43890.423125000001</v>
      </c>
      <c r="B31490" s="8" t="str">
        <f>HYPERLINK("https://twitter.com/mega_ern","@mega_ern")</f>
        <v>@mega_ern</v>
      </c>
      <c r="C31490" s="8" t="s">
        <v>11922</v>
      </c>
      <c r="D31490" s="8">
        <v>1</v>
      </c>
      <c r="E31490" s="8">
        <v>0</v>
      </c>
      <c r="F31490" s="8">
        <v>391</v>
      </c>
    </row>
    <row r="31491" spans="1:6" ht="12.75">
      <c r="A31491" s="8">
        <v>43890.423113425924</v>
      </c>
      <c r="B31491" s="8" t="str">
        <f>HYPERLINK("https://twitter.com/PerbeguG","@PerbeguG")</f>
        <v>@PerbeguG</v>
      </c>
      <c r="C31491" s="8" t="s">
        <v>7686</v>
      </c>
      <c r="D31491" s="8">
        <v>52</v>
      </c>
      <c r="E31491" s="8">
        <v>0</v>
      </c>
      <c r="F31491" s="8">
        <v>49</v>
      </c>
    </row>
    <row r="31492" spans="1:6" ht="12.75">
      <c r="A31492" s="8">
        <v>43890.423009259262</v>
      </c>
      <c r="B31492" s="8" t="str">
        <f>HYPERLINK("https://twitter.com/ance_top","@ance_top")</f>
        <v>@ance_top</v>
      </c>
      <c r="C31492" s="8" t="s">
        <v>4235</v>
      </c>
      <c r="D31492" s="8">
        <v>1059</v>
      </c>
      <c r="E31492" s="8">
        <v>0</v>
      </c>
      <c r="F31492" s="8">
        <v>743</v>
      </c>
    </row>
    <row r="31493" spans="1:6" ht="12.75">
      <c r="A31493" s="8">
        <v>43890.422812500001</v>
      </c>
      <c r="B31493" s="8" t="str">
        <f>HYPERLINK("https://twitter.com/mazgres","@mazgres")</f>
        <v>@mazgres</v>
      </c>
      <c r="C31493" s="8" t="s">
        <v>11923</v>
      </c>
      <c r="D31493" s="8">
        <v>0</v>
      </c>
      <c r="E31493" s="8">
        <v>0</v>
      </c>
      <c r="F31493" s="8">
        <v>120</v>
      </c>
    </row>
    <row r="31494" spans="1:6" ht="12.75">
      <c r="A31494" s="8">
        <v>43890.422800925924</v>
      </c>
      <c r="B31494" s="8" t="str">
        <f>HYPERLINK("https://twitter.com/martintambunan","@martintambunan")</f>
        <v>@martintambunan</v>
      </c>
      <c r="C31494" s="8" t="s">
        <v>11105</v>
      </c>
      <c r="D31494" s="8">
        <v>24</v>
      </c>
      <c r="E31494" s="8">
        <v>0</v>
      </c>
      <c r="F31494" s="8">
        <v>656</v>
      </c>
    </row>
    <row r="31495" spans="1:6" ht="12.75">
      <c r="A31495" s="8">
        <v>43890.422754629632</v>
      </c>
      <c r="B31495" s="8" t="str">
        <f>HYPERLINK("https://twitter.com/putriyasss","@putriyasss")</f>
        <v>@putriyasss</v>
      </c>
      <c r="C31495" s="8" t="s">
        <v>11924</v>
      </c>
      <c r="D31495" s="8">
        <v>1</v>
      </c>
      <c r="E31495" s="8">
        <v>0</v>
      </c>
      <c r="F31495" s="8">
        <v>313</v>
      </c>
    </row>
    <row r="31496" spans="1:6" ht="12.75">
      <c r="A31496" s="8">
        <v>43890.422581018516</v>
      </c>
      <c r="B31496" s="8" t="str">
        <f>HYPERLINK("https://twitter.com/Kimi58486332","@Kimi58486332")</f>
        <v>@Kimi58486332</v>
      </c>
      <c r="C31496" s="8" t="s">
        <v>11925</v>
      </c>
      <c r="D31496" s="8">
        <v>0</v>
      </c>
      <c r="E31496" s="8">
        <v>0</v>
      </c>
      <c r="F31496" s="8">
        <v>20</v>
      </c>
    </row>
    <row r="31497" spans="1:6" ht="12.75">
      <c r="A31497" s="8">
        <v>43890.422500000001</v>
      </c>
      <c r="B31497" s="8" t="str">
        <f>HYPERLINK("https://twitter.com/torelwisnu","@torelwisnu")</f>
        <v>@torelwisnu</v>
      </c>
      <c r="C31497" s="8" t="s">
        <v>11105</v>
      </c>
      <c r="D31497" s="8">
        <v>24</v>
      </c>
      <c r="E31497" s="8">
        <v>0</v>
      </c>
      <c r="F31497" s="8">
        <v>1332</v>
      </c>
    </row>
    <row r="31498" spans="1:6" ht="12.75">
      <c r="A31498" s="8">
        <v>43890.422407407408</v>
      </c>
      <c r="B31498" s="8" t="str">
        <f>HYPERLINK("https://twitter.com/AnakLolina","@AnakLolina")</f>
        <v>@AnakLolina</v>
      </c>
      <c r="C31498" s="8" t="s">
        <v>7686</v>
      </c>
      <c r="D31498" s="8">
        <v>52</v>
      </c>
      <c r="E31498" s="8">
        <v>0</v>
      </c>
      <c r="F31498" s="8">
        <v>15009</v>
      </c>
    </row>
    <row r="31499" spans="1:6" ht="12.75">
      <c r="A31499" s="8">
        <v>43890.422314814816</v>
      </c>
      <c r="B31499" s="8" t="str">
        <f>HYPERLINK("https://twitter.com/Jaewongsingsong","@Jaewongsingsong")</f>
        <v>@Jaewongsingsong</v>
      </c>
      <c r="C31499" s="8" t="s">
        <v>7686</v>
      </c>
      <c r="D31499" s="8">
        <v>52</v>
      </c>
      <c r="E31499" s="8">
        <v>0</v>
      </c>
      <c r="F31499" s="8">
        <v>850</v>
      </c>
    </row>
    <row r="31500" spans="1:6" ht="12.75">
      <c r="A31500" s="8">
        <v>43890.422314814816</v>
      </c>
      <c r="B31500" s="8" t="str">
        <f>HYPERLINK("https://twitter.com/adefirman_syah","@adefirman_syah")</f>
        <v>@adefirman_syah</v>
      </c>
      <c r="C31500" s="8" t="s">
        <v>6836</v>
      </c>
      <c r="D31500" s="8">
        <v>236</v>
      </c>
      <c r="E31500" s="8">
        <v>0</v>
      </c>
      <c r="F31500" s="8">
        <v>3310</v>
      </c>
    </row>
    <row r="31501" spans="1:6" ht="12.75">
      <c r="A31501" s="8">
        <v>43890.421828703707</v>
      </c>
      <c r="B31501" s="8" t="str">
        <f>HYPERLINK("https://twitter.com/Apodax","@Apodax")</f>
        <v>@Apodax</v>
      </c>
      <c r="C31501" s="8" t="s">
        <v>11105</v>
      </c>
      <c r="D31501" s="8">
        <v>24</v>
      </c>
      <c r="E31501" s="8">
        <v>0</v>
      </c>
      <c r="F31501" s="8">
        <v>103</v>
      </c>
    </row>
    <row r="31502" spans="1:6" ht="12.75">
      <c r="A31502" s="8">
        <v>43890.421770833331</v>
      </c>
      <c r="B31502" s="8" t="str">
        <f>HYPERLINK("https://twitter.com/syamsulhadi_ae","@syamsulhadi_ae")</f>
        <v>@syamsulhadi_ae</v>
      </c>
      <c r="C31502" s="8" t="s">
        <v>10391</v>
      </c>
      <c r="D31502" s="8">
        <v>38</v>
      </c>
      <c r="E31502" s="8">
        <v>0</v>
      </c>
      <c r="F31502" s="8">
        <v>243</v>
      </c>
    </row>
    <row r="31503" spans="1:6" ht="12.75">
      <c r="A31503" s="8">
        <v>43890.421759259261</v>
      </c>
      <c r="B31503" s="8" t="str">
        <f>HYPERLINK("https://twitter.com/Krisjonjojon1","@Krisjonjojon1")</f>
        <v>@Krisjonjojon1</v>
      </c>
      <c r="C31503" s="8" t="s">
        <v>11926</v>
      </c>
      <c r="D31503" s="8">
        <v>0</v>
      </c>
      <c r="E31503" s="8">
        <v>0</v>
      </c>
      <c r="F31503" s="8">
        <v>480</v>
      </c>
    </row>
    <row r="31504" spans="1:6" ht="12.75">
      <c r="A31504" s="8">
        <v>43890.421701388885</v>
      </c>
      <c r="B31504" s="8" t="str">
        <f>HYPERLINK("https://twitter.com/wiriantowidjaya","@wiriantowidjaya")</f>
        <v>@wiriantowidjaya</v>
      </c>
      <c r="C31504" s="8" t="s">
        <v>11105</v>
      </c>
      <c r="D31504" s="8">
        <v>24</v>
      </c>
      <c r="E31504" s="8">
        <v>0</v>
      </c>
      <c r="F31504" s="8">
        <v>1553</v>
      </c>
    </row>
    <row r="31505" spans="1:6" ht="12.75">
      <c r="A31505" s="8">
        <v>43890.4215625</v>
      </c>
      <c r="B31505" s="8" t="str">
        <f>HYPERLINK("https://twitter.com/theashare","@theashare")</f>
        <v>@theashare</v>
      </c>
      <c r="C31505" s="8" t="s">
        <v>11927</v>
      </c>
      <c r="D31505" s="8">
        <v>0</v>
      </c>
      <c r="E31505" s="8">
        <v>0</v>
      </c>
      <c r="F31505" s="8">
        <v>1748</v>
      </c>
    </row>
    <row r="31506" spans="1:6" ht="12.75">
      <c r="A31506" s="8">
        <v>43890.4215162037</v>
      </c>
      <c r="B31506" s="8" t="str">
        <f>HYPERLINK("https://twitter.com/Ivone_RSZ","@Ivone_RSZ")</f>
        <v>@Ivone_RSZ</v>
      </c>
      <c r="C31506" s="8" t="s">
        <v>11105</v>
      </c>
      <c r="D31506" s="8">
        <v>24</v>
      </c>
      <c r="E31506" s="8">
        <v>0</v>
      </c>
      <c r="F31506" s="8">
        <v>17126</v>
      </c>
    </row>
    <row r="31507" spans="1:6" ht="12.75">
      <c r="A31507" s="8">
        <v>43890.421365740738</v>
      </c>
      <c r="B31507" s="8" t="str">
        <f>HYPERLINK("https://twitter.com/Bennyboegiz","@Bennyboegiz")</f>
        <v>@Bennyboegiz</v>
      </c>
      <c r="C31507" s="8" t="s">
        <v>4579</v>
      </c>
      <c r="D31507" s="8">
        <v>13</v>
      </c>
      <c r="E31507" s="8">
        <v>0</v>
      </c>
      <c r="F31507" s="8">
        <v>1084</v>
      </c>
    </row>
    <row r="31508" spans="1:6" ht="12.75">
      <c r="A31508" s="8">
        <v>43890.421331018515</v>
      </c>
      <c r="B31508" s="8" t="str">
        <f>HYPERLINK("https://twitter.com/p49it","@p49it")</f>
        <v>@p49it</v>
      </c>
      <c r="C31508" s="8" t="s">
        <v>7686</v>
      </c>
      <c r="D31508" s="8">
        <v>52</v>
      </c>
      <c r="E31508" s="8">
        <v>0</v>
      </c>
      <c r="F31508" s="8">
        <v>239</v>
      </c>
    </row>
    <row r="31509" spans="1:6" ht="12.75">
      <c r="A31509" s="8">
        <v>43890.421215277776</v>
      </c>
      <c r="B31509" s="8" t="str">
        <f>HYPERLINK("https://twitter.com/YoungMonk3","@YoungMonk3")</f>
        <v>@YoungMonk3</v>
      </c>
      <c r="C31509" s="8" t="s">
        <v>11928</v>
      </c>
      <c r="D31509" s="8">
        <v>1</v>
      </c>
      <c r="E31509" s="8">
        <v>1</v>
      </c>
      <c r="F31509" s="8">
        <v>917</v>
      </c>
    </row>
    <row r="31510" spans="1:6" ht="12.75">
      <c r="A31510" s="8">
        <v>43890.421203703707</v>
      </c>
      <c r="B31510" s="8" t="str">
        <f>HYPERLINK("https://twitter.com/kompascom","@kompascom")</f>
        <v>@kompascom</v>
      </c>
      <c r="C31510" s="8" t="s">
        <v>11929</v>
      </c>
      <c r="D31510" s="8">
        <v>1</v>
      </c>
      <c r="E31510" s="8">
        <v>5</v>
      </c>
      <c r="F31510" s="8">
        <v>7518079</v>
      </c>
    </row>
    <row r="31511" spans="1:6" ht="12.75">
      <c r="A31511" s="8">
        <v>43890.421180555553</v>
      </c>
      <c r="B31511" s="8" t="str">
        <f>HYPERLINK("https://twitter.com/ephraym8","@ephraym8")</f>
        <v>@ephraym8</v>
      </c>
      <c r="C31511" s="8" t="s">
        <v>11075</v>
      </c>
      <c r="D31511" s="8">
        <v>6</v>
      </c>
      <c r="E31511" s="8">
        <v>0</v>
      </c>
      <c r="F31511" s="8">
        <v>1179</v>
      </c>
    </row>
    <row r="31512" spans="1:6" ht="12.75">
      <c r="A31512" s="8">
        <v>43890.421053240745</v>
      </c>
      <c r="B31512" s="8" t="str">
        <f>HYPERLINK("https://twitter.com/mizanul_a","@mizanul_a")</f>
        <v>@mizanul_a</v>
      </c>
      <c r="C31512" s="8" t="s">
        <v>11930</v>
      </c>
      <c r="D31512" s="8">
        <v>0</v>
      </c>
      <c r="E31512" s="8">
        <v>0</v>
      </c>
      <c r="F31512" s="8">
        <v>18</v>
      </c>
    </row>
    <row r="31513" spans="1:6" ht="12.75">
      <c r="A31513" s="8">
        <v>43890.420960648145</v>
      </c>
      <c r="B31513" s="8" t="str">
        <f>HYPERLINK("https://twitter.com/YoyokSubandriy3","@YoyokSubandriy3")</f>
        <v>@YoyokSubandriy3</v>
      </c>
      <c r="C31513" s="8" t="s">
        <v>11117</v>
      </c>
      <c r="D31513" s="8">
        <v>27</v>
      </c>
      <c r="E31513" s="8">
        <v>0</v>
      </c>
      <c r="F31513" s="8">
        <v>1381</v>
      </c>
    </row>
    <row r="31514" spans="1:6" ht="12.75">
      <c r="A31514" s="8">
        <v>43890.420925925922</v>
      </c>
      <c r="B31514" s="8" t="str">
        <f>HYPERLINK("https://twitter.com/farzh__","@farzh__")</f>
        <v>@farzh__</v>
      </c>
      <c r="C31514" s="8" t="s">
        <v>6863</v>
      </c>
      <c r="D31514" s="8">
        <v>328</v>
      </c>
      <c r="E31514" s="8">
        <v>0</v>
      </c>
      <c r="F31514" s="8">
        <v>127</v>
      </c>
    </row>
    <row r="31515" spans="1:6" ht="12.75">
      <c r="A31515" s="8">
        <v>43890.420914351853</v>
      </c>
      <c r="B31515" s="8" t="str">
        <f>HYPERLINK("https://twitter.com/Hari_Budiman22","@Hari_Budiman22")</f>
        <v>@Hari_Budiman22</v>
      </c>
      <c r="C31515" s="8" t="s">
        <v>11931</v>
      </c>
      <c r="D31515" s="8">
        <v>0</v>
      </c>
      <c r="E31515" s="8">
        <v>0</v>
      </c>
      <c r="F31515" s="8">
        <v>588</v>
      </c>
    </row>
    <row r="31516" spans="1:6" ht="12.75">
      <c r="A31516" s="8">
        <v>43890.420914351853</v>
      </c>
      <c r="B31516" s="8" t="str">
        <f>HYPERLINK("https://twitter.com/iwankusaja","@iwankusaja")</f>
        <v>@iwankusaja</v>
      </c>
      <c r="C31516" s="8" t="s">
        <v>4235</v>
      </c>
      <c r="D31516" s="8">
        <v>1059</v>
      </c>
      <c r="E31516" s="8">
        <v>0</v>
      </c>
      <c r="F31516" s="8">
        <v>234</v>
      </c>
    </row>
    <row r="31517" spans="1:6" ht="12.75">
      <c r="A31517" s="8">
        <v>43890.420902777776</v>
      </c>
      <c r="B31517" s="8" t="str">
        <f>HYPERLINK("https://twitter.com/YoyokSubandriy3","@YoyokSubandriy3")</f>
        <v>@YoyokSubandriy3</v>
      </c>
      <c r="C31517" s="8" t="s">
        <v>11541</v>
      </c>
      <c r="D31517" s="8">
        <v>18</v>
      </c>
      <c r="E31517" s="8">
        <v>0</v>
      </c>
      <c r="F31517" s="8">
        <v>1381</v>
      </c>
    </row>
    <row r="31518" spans="1:6" ht="12.75">
      <c r="A31518" s="8">
        <v>43890.420891203699</v>
      </c>
      <c r="B31518" s="8" t="str">
        <f>HYPERLINK("https://twitter.com/umardhan","@umardhan")</f>
        <v>@umardhan</v>
      </c>
      <c r="C31518" s="8" t="s">
        <v>11932</v>
      </c>
      <c r="D31518" s="8">
        <v>0</v>
      </c>
      <c r="E31518" s="8">
        <v>0</v>
      </c>
      <c r="F31518" s="8">
        <v>811</v>
      </c>
    </row>
    <row r="31519" spans="1:6" ht="12.75">
      <c r="A31519" s="8">
        <v>43890.42087962963</v>
      </c>
      <c r="B31519" s="8" t="str">
        <f>HYPERLINK("https://twitter.com/ras_af06","@ras_af06")</f>
        <v>@ras_af06</v>
      </c>
      <c r="C31519" s="8" t="s">
        <v>11105</v>
      </c>
      <c r="D31519" s="8">
        <v>24</v>
      </c>
      <c r="E31519" s="8">
        <v>0</v>
      </c>
      <c r="F31519" s="8">
        <v>139</v>
      </c>
    </row>
    <row r="31520" spans="1:6" ht="12.75">
      <c r="A31520" s="8">
        <v>43890.420798611114</v>
      </c>
      <c r="B31520" s="8" t="str">
        <f>HYPERLINK("https://twitter.com/tua_serdadu","@tua_serdadu")</f>
        <v>@tua_serdadu</v>
      </c>
      <c r="C31520" s="8" t="s">
        <v>11105</v>
      </c>
      <c r="D31520" s="8">
        <v>24</v>
      </c>
      <c r="E31520" s="8">
        <v>0</v>
      </c>
      <c r="F31520" s="8">
        <v>1024</v>
      </c>
    </row>
    <row r="31521" spans="1:6" ht="12.75">
      <c r="A31521" s="8">
        <v>43890.420775462961</v>
      </c>
      <c r="B31521" s="8" t="str">
        <f>HYPERLINK("https://twitter.com/aryacokronegoro","@aryacokronegoro")</f>
        <v>@aryacokronegoro</v>
      </c>
      <c r="C31521" s="8" t="s">
        <v>11933</v>
      </c>
      <c r="D31521" s="8">
        <v>1</v>
      </c>
      <c r="E31521" s="8">
        <v>0</v>
      </c>
      <c r="F31521" s="8">
        <v>436</v>
      </c>
    </row>
    <row r="31522" spans="1:6" ht="12.75">
      <c r="A31522" s="8">
        <v>43890.420590277776</v>
      </c>
      <c r="B31522" s="8" t="str">
        <f t="shared" ref="B31522:B31524" si="439">HYPERLINK("https://twitter.com/YoyokSubandriy3","@YoyokSubandriy3")</f>
        <v>@YoyokSubandriy3</v>
      </c>
      <c r="C31522" s="8" t="s">
        <v>11292</v>
      </c>
      <c r="D31522" s="8">
        <v>20</v>
      </c>
      <c r="E31522" s="8">
        <v>0</v>
      </c>
      <c r="F31522" s="8">
        <v>1381</v>
      </c>
    </row>
    <row r="31523" spans="1:6" ht="12.75">
      <c r="A31523" s="8">
        <v>43890.420543981483</v>
      </c>
      <c r="B31523" s="8" t="str">
        <f t="shared" si="439"/>
        <v>@YoyokSubandriy3</v>
      </c>
      <c r="C31523" s="8" t="s">
        <v>7686</v>
      </c>
      <c r="D31523" s="8">
        <v>52</v>
      </c>
      <c r="E31523" s="8">
        <v>0</v>
      </c>
      <c r="F31523" s="8">
        <v>1381</v>
      </c>
    </row>
    <row r="31524" spans="1:6" ht="12.75">
      <c r="A31524" s="8">
        <v>43890.420497685191</v>
      </c>
      <c r="B31524" s="8" t="str">
        <f t="shared" si="439"/>
        <v>@YoyokSubandriy3</v>
      </c>
      <c r="C31524" s="8" t="s">
        <v>10391</v>
      </c>
      <c r="D31524" s="8">
        <v>38</v>
      </c>
      <c r="E31524" s="8">
        <v>0</v>
      </c>
      <c r="F31524" s="8">
        <v>1381</v>
      </c>
    </row>
    <row r="31525" spans="1:6" ht="12.75">
      <c r="A31525" s="8">
        <v>43890.420381944445</v>
      </c>
      <c r="B31525" s="8" t="str">
        <f>HYPERLINK("https://twitter.com/deamirzanadya","@deamirzanadya")</f>
        <v>@deamirzanadya</v>
      </c>
      <c r="C31525" s="8" t="s">
        <v>11374</v>
      </c>
      <c r="D31525" s="8">
        <v>59</v>
      </c>
      <c r="E31525" s="8">
        <v>0</v>
      </c>
      <c r="F31525" s="8">
        <v>494</v>
      </c>
    </row>
    <row r="31526" spans="1:6" ht="12.75">
      <c r="A31526" s="8">
        <v>43890.420335648145</v>
      </c>
      <c r="B31526" s="8" t="str">
        <f>HYPERLINK("https://twitter.com/theashare","@theashare")</f>
        <v>@theashare</v>
      </c>
      <c r="C31526" s="8" t="s">
        <v>11105</v>
      </c>
      <c r="D31526" s="8">
        <v>24</v>
      </c>
      <c r="E31526" s="8">
        <v>0</v>
      </c>
      <c r="F31526" s="8">
        <v>1748</v>
      </c>
    </row>
    <row r="31527" spans="1:6" ht="12.75">
      <c r="A31527" s="8">
        <v>43890.420289351852</v>
      </c>
      <c r="B31527" s="8" t="str">
        <f>HYPERLINK("https://twitter.com/Ozie96036369","@Ozie96036369")</f>
        <v>@Ozie96036369</v>
      </c>
      <c r="C31527" s="8" t="s">
        <v>10755</v>
      </c>
      <c r="D31527" s="8">
        <v>654</v>
      </c>
      <c r="E31527" s="8">
        <v>0</v>
      </c>
      <c r="F31527" s="8">
        <v>99</v>
      </c>
    </row>
    <row r="31528" spans="1:6" ht="12.75">
      <c r="A31528" s="8">
        <v>43890.420138888891</v>
      </c>
      <c r="B31528" s="8" t="str">
        <f>HYPERLINK("https://twitter.com/kompascom","@kompascom")</f>
        <v>@kompascom</v>
      </c>
      <c r="C31528" s="8" t="s">
        <v>11934</v>
      </c>
      <c r="D31528" s="8">
        <v>0</v>
      </c>
      <c r="E31528" s="8">
        <v>7</v>
      </c>
      <c r="F31528" s="8">
        <v>7518079</v>
      </c>
    </row>
    <row r="31529" spans="1:6" ht="12.75">
      <c r="A31529" s="8">
        <v>43890.419976851852</v>
      </c>
      <c r="B31529" s="8" t="str">
        <f>HYPERLINK("https://twitter.com/DavidKanata","@DavidKanata")</f>
        <v>@DavidKanata</v>
      </c>
      <c r="C31529" s="8" t="s">
        <v>11935</v>
      </c>
      <c r="D31529" s="8">
        <v>0</v>
      </c>
      <c r="E31529" s="8">
        <v>1</v>
      </c>
      <c r="F31529" s="8">
        <v>1168</v>
      </c>
    </row>
    <row r="31530" spans="1:6" ht="12.75">
      <c r="A31530" s="8">
        <v>43890.419918981483</v>
      </c>
      <c r="B31530" s="8" t="str">
        <f>HYPERLINK("https://twitter.com/nona_oifat","@nona_oifat")</f>
        <v>@nona_oifat</v>
      </c>
      <c r="C31530" s="8" t="s">
        <v>4235</v>
      </c>
      <c r="D31530" s="8">
        <v>1058</v>
      </c>
      <c r="E31530" s="8">
        <v>0</v>
      </c>
      <c r="F31530" s="8">
        <v>469</v>
      </c>
    </row>
    <row r="31531" spans="1:6" ht="12.75">
      <c r="A31531" s="8">
        <v>43890.41987268519</v>
      </c>
      <c r="B31531" s="8" t="str">
        <f>HYPERLINK("https://twitter.com/Dewie34292319","@Dewie34292319")</f>
        <v>@Dewie34292319</v>
      </c>
      <c r="C31531" s="8" t="s">
        <v>4235</v>
      </c>
      <c r="D31531" s="8">
        <v>1058</v>
      </c>
      <c r="E31531" s="8">
        <v>0</v>
      </c>
      <c r="F31531" s="8">
        <v>1775</v>
      </c>
    </row>
    <row r="31532" spans="1:6" ht="12.75">
      <c r="A31532" s="8">
        <v>43890.419861111106</v>
      </c>
      <c r="B31532" s="8" t="str">
        <f>HYPERLINK("https://twitter.com/RinjaniJB","@RinjaniJB")</f>
        <v>@RinjaniJB</v>
      </c>
      <c r="C31532" s="8" t="s">
        <v>11105</v>
      </c>
      <c r="D31532" s="8">
        <v>24</v>
      </c>
      <c r="E31532" s="8">
        <v>0</v>
      </c>
      <c r="F31532" s="8">
        <v>19238</v>
      </c>
    </row>
    <row r="31533" spans="1:6" ht="12.75">
      <c r="A31533" s="8">
        <v>43890.419849537036</v>
      </c>
      <c r="B31533" s="8" t="str">
        <f>HYPERLINK("https://twitter.com/FikaMarizza","@FikaMarizza")</f>
        <v>@FikaMarizza</v>
      </c>
      <c r="C31533" s="8" t="s">
        <v>11936</v>
      </c>
      <c r="D31533" s="8">
        <v>5</v>
      </c>
      <c r="E31533" s="8">
        <v>0</v>
      </c>
      <c r="F31533" s="8">
        <v>477</v>
      </c>
    </row>
    <row r="31534" spans="1:6" ht="12.75">
      <c r="A31534" s="8">
        <v>43890.41978009259</v>
      </c>
      <c r="B31534" s="8" t="str">
        <f>HYPERLINK("https://twitter.com/BaHApaLL","@BaHApaLL")</f>
        <v>@BaHApaLL</v>
      </c>
      <c r="C31534" s="8" t="s">
        <v>4235</v>
      </c>
      <c r="D31534" s="8">
        <v>1058</v>
      </c>
      <c r="E31534" s="8">
        <v>0</v>
      </c>
      <c r="F31534" s="8">
        <v>362</v>
      </c>
    </row>
    <row r="31535" spans="1:6" ht="12.75">
      <c r="A31535" s="8">
        <v>43890.419745370367</v>
      </c>
      <c r="B31535" s="8" t="str">
        <f>HYPERLINK("https://twitter.com/polsek_badau","@polsek_badau")</f>
        <v>@polsek_badau</v>
      </c>
      <c r="C31535" s="8" t="s">
        <v>11691</v>
      </c>
      <c r="D31535" s="8">
        <v>48</v>
      </c>
      <c r="E31535" s="8">
        <v>0</v>
      </c>
      <c r="F31535" s="8">
        <v>342</v>
      </c>
    </row>
    <row r="31536" spans="1:6" ht="12.75">
      <c r="A31536" s="8">
        <v>43890.419629629629</v>
      </c>
      <c r="B31536" s="8" t="str">
        <f>HYPERLINK("https://twitter.com/__monamogani","@__monamogani")</f>
        <v>@__monamogani</v>
      </c>
      <c r="C31536" s="8" t="s">
        <v>11771</v>
      </c>
      <c r="D31536" s="8">
        <v>7</v>
      </c>
      <c r="E31536" s="8">
        <v>0</v>
      </c>
      <c r="F31536" s="8">
        <v>621</v>
      </c>
    </row>
    <row r="31537" spans="1:6" ht="12.75">
      <c r="A31537" s="8">
        <v>43890.419224537036</v>
      </c>
      <c r="B31537" s="8" t="str">
        <f>HYPERLINK("https://twitter.com/set140","@set140")</f>
        <v>@set140</v>
      </c>
      <c r="C31537" s="8" t="s">
        <v>7686</v>
      </c>
      <c r="D31537" s="8">
        <v>52</v>
      </c>
      <c r="E31537" s="8">
        <v>0</v>
      </c>
      <c r="F31537" s="8">
        <v>99</v>
      </c>
    </row>
    <row r="31538" spans="1:6" ht="12.75">
      <c r="A31538" s="8">
        <v>43890.419166666667</v>
      </c>
      <c r="B31538" s="8" t="str">
        <f t="shared" ref="B31538:B31539" si="440">HYPERLINK("https://twitter.com/translatorbali","@translatorbali")</f>
        <v>@translatorbali</v>
      </c>
      <c r="C31538" s="8" t="s">
        <v>10748</v>
      </c>
      <c r="D31538" s="8">
        <v>2</v>
      </c>
      <c r="E31538" s="8">
        <v>0</v>
      </c>
      <c r="F31538" s="8">
        <v>3867</v>
      </c>
    </row>
    <row r="31539" spans="1:6" ht="12.75">
      <c r="A31539" s="8">
        <v>43890.41909722222</v>
      </c>
      <c r="B31539" s="8" t="str">
        <f t="shared" si="440"/>
        <v>@translatorbali</v>
      </c>
      <c r="C31539" s="8" t="s">
        <v>11528</v>
      </c>
      <c r="D31539" s="8">
        <v>1</v>
      </c>
      <c r="E31539" s="8">
        <v>0</v>
      </c>
      <c r="F31539" s="8">
        <v>3867</v>
      </c>
    </row>
    <row r="31540" spans="1:6" ht="12.75">
      <c r="A31540" s="8">
        <v>43890.41909722222</v>
      </c>
      <c r="B31540" s="8" t="str">
        <f>HYPERLINK("https://twitter.com/umardhan","@umardhan")</f>
        <v>@umardhan</v>
      </c>
      <c r="C31540" s="8" t="s">
        <v>11105</v>
      </c>
      <c r="D31540" s="8">
        <v>24</v>
      </c>
      <c r="E31540" s="8">
        <v>0</v>
      </c>
      <c r="F31540" s="8">
        <v>811</v>
      </c>
    </row>
    <row r="31541" spans="1:6" ht="12.75">
      <c r="A31541" s="8">
        <v>43890.419050925921</v>
      </c>
      <c r="B31541" s="8" t="str">
        <f>HYPERLINK("https://twitter.com/SangChoDockZ","@SangChoDockZ")</f>
        <v>@SangChoDockZ</v>
      </c>
      <c r="C31541" s="8" t="s">
        <v>11771</v>
      </c>
      <c r="D31541" s="8">
        <v>7</v>
      </c>
      <c r="E31541" s="8">
        <v>0</v>
      </c>
      <c r="F31541" s="8">
        <v>535</v>
      </c>
    </row>
    <row r="31542" spans="1:6" ht="12.75">
      <c r="A31542" s="8">
        <v>43890.418888888889</v>
      </c>
      <c r="B31542" s="8" t="str">
        <f>HYPERLINK("https://twitter.com/P3nj3l4j4h_id","@P3nj3l4j4h_id")</f>
        <v>@P3nj3l4j4h_id</v>
      </c>
      <c r="C31542" s="8" t="s">
        <v>11739</v>
      </c>
      <c r="D31542" s="8">
        <v>1</v>
      </c>
      <c r="E31542" s="8">
        <v>0</v>
      </c>
      <c r="F31542" s="8">
        <v>16101</v>
      </c>
    </row>
    <row r="31543" spans="1:6" ht="12.75">
      <c r="A31543" s="8">
        <v>43890.418865740736</v>
      </c>
      <c r="B31543" s="8" t="str">
        <f>HYPERLINK("https://twitter.com/theashare","@theashare")</f>
        <v>@theashare</v>
      </c>
      <c r="C31543" s="8" t="s">
        <v>11425</v>
      </c>
      <c r="D31543" s="8">
        <v>10</v>
      </c>
      <c r="E31543" s="8">
        <v>0</v>
      </c>
      <c r="F31543" s="8">
        <v>1748</v>
      </c>
    </row>
    <row r="31544" spans="1:6" ht="12.75">
      <c r="A31544" s="8">
        <v>43890.418819444443</v>
      </c>
      <c r="B31544" s="8" t="str">
        <f>HYPERLINK("https://twitter.com/DPras2000","@DPras2000")</f>
        <v>@DPras2000</v>
      </c>
      <c r="C31544" s="8" t="s">
        <v>8746</v>
      </c>
      <c r="D31544" s="8">
        <v>87</v>
      </c>
      <c r="E31544" s="8">
        <v>0</v>
      </c>
      <c r="F31544" s="8">
        <v>3448</v>
      </c>
    </row>
    <row r="31545" spans="1:6" ht="12.75">
      <c r="A31545" s="8">
        <v>43890.418738425928</v>
      </c>
      <c r="B31545" s="8" t="str">
        <f>HYPERLINK("https://twitter.com/YoyokSubandriy3","@YoyokSubandriy3")</f>
        <v>@YoyokSubandriy3</v>
      </c>
      <c r="C31545" s="8" t="s">
        <v>11937</v>
      </c>
      <c r="D31545" s="8">
        <v>5</v>
      </c>
      <c r="E31545" s="8">
        <v>0</v>
      </c>
      <c r="F31545" s="8">
        <v>1381</v>
      </c>
    </row>
    <row r="31546" spans="1:6" ht="12.75">
      <c r="A31546" s="8">
        <v>43890.418692129635</v>
      </c>
      <c r="B31546" s="8" t="str">
        <f>HYPERLINK("https://twitter.com/nadrpalupi","@nadrpalupi")</f>
        <v>@nadrpalupi</v>
      </c>
      <c r="C31546" s="8" t="s">
        <v>10391</v>
      </c>
      <c r="D31546" s="8">
        <v>38</v>
      </c>
      <c r="E31546" s="8">
        <v>0</v>
      </c>
      <c r="F31546" s="8">
        <v>1232</v>
      </c>
    </row>
    <row r="31547" spans="1:6" ht="12.75">
      <c r="A31547" s="8">
        <v>43890.418668981481</v>
      </c>
      <c r="B31547" s="8" t="str">
        <f>HYPERLINK("https://twitter.com/kacungroaming","@kacungroaming")</f>
        <v>@kacungroaming</v>
      </c>
      <c r="C31547" s="8" t="s">
        <v>7686</v>
      </c>
      <c r="D31547" s="8">
        <v>52</v>
      </c>
      <c r="E31547" s="8">
        <v>0</v>
      </c>
      <c r="F31547" s="8">
        <v>119</v>
      </c>
    </row>
    <row r="31548" spans="1:6" ht="12.75">
      <c r="A31548" s="8">
        <v>43890.418657407412</v>
      </c>
      <c r="B31548" s="8" t="str">
        <f>HYPERLINK("https://twitter.com/dwiyanaDKM","@dwiyanaDKM")</f>
        <v>@dwiyanaDKM</v>
      </c>
      <c r="C31548" s="8" t="s">
        <v>11105</v>
      </c>
      <c r="D31548" s="8">
        <v>24</v>
      </c>
      <c r="E31548" s="8">
        <v>0</v>
      </c>
      <c r="F31548" s="8">
        <v>2148</v>
      </c>
    </row>
    <row r="31549" spans="1:6" ht="12.75">
      <c r="A31549" s="8">
        <v>43890.418634259258</v>
      </c>
      <c r="B31549" s="8" t="str">
        <f>HYPERLINK("https://twitter.com/BillTemporo","@BillTemporo")</f>
        <v>@BillTemporo</v>
      </c>
      <c r="C31549" s="8" t="s">
        <v>323</v>
      </c>
      <c r="D31549" s="8">
        <v>0</v>
      </c>
      <c r="E31549" s="8">
        <v>0</v>
      </c>
      <c r="F31549" s="8">
        <v>11</v>
      </c>
    </row>
    <row r="31550" spans="1:6" ht="12.75">
      <c r="A31550" s="8">
        <v>43890.41851851852</v>
      </c>
      <c r="B31550" s="8" t="str">
        <f>HYPERLINK("https://twitter.com/terbikasm","@terbikasm")</f>
        <v>@terbikasm</v>
      </c>
      <c r="C31550" s="8" t="s">
        <v>10755</v>
      </c>
      <c r="D31550" s="8">
        <v>654</v>
      </c>
      <c r="E31550" s="8">
        <v>0</v>
      </c>
      <c r="F31550" s="8">
        <v>21</v>
      </c>
    </row>
    <row r="31551" spans="1:6" ht="12.75">
      <c r="A31551" s="8">
        <v>43890.418414351851</v>
      </c>
      <c r="B31551" s="8" t="str">
        <f>HYPERLINK("https://twitter.com/P3nj3l4j4h_id","@P3nj3l4j4h_id")</f>
        <v>@P3nj3l4j4h_id</v>
      </c>
      <c r="C31551" s="8" t="s">
        <v>11938</v>
      </c>
      <c r="D31551" s="8">
        <v>1</v>
      </c>
      <c r="E31551" s="8">
        <v>0</v>
      </c>
      <c r="F31551" s="8">
        <v>16101</v>
      </c>
    </row>
    <row r="31552" spans="1:6" ht="12.75">
      <c r="A31552" s="8">
        <v>43890.418321759258</v>
      </c>
      <c r="B31552" s="8" t="str">
        <f>HYPERLINK("https://twitter.com/NabilaHafizah2","@NabilaHafizah2")</f>
        <v>@NabilaHafizah2</v>
      </c>
      <c r="C31552" s="8" t="s">
        <v>11939</v>
      </c>
      <c r="D31552" s="8">
        <v>3</v>
      </c>
      <c r="E31552" s="8">
        <v>0</v>
      </c>
      <c r="F31552" s="8">
        <v>515</v>
      </c>
    </row>
    <row r="31553" spans="1:6" ht="12.75">
      <c r="A31553" s="8">
        <v>43890.418310185181</v>
      </c>
      <c r="B31553" s="8" t="str">
        <f>HYPERLINK("https://twitter.com/kopral_jon00","@kopral_jon00")</f>
        <v>@kopral_jon00</v>
      </c>
      <c r="C31553" s="8" t="s">
        <v>11212</v>
      </c>
      <c r="D31553" s="8">
        <v>1</v>
      </c>
      <c r="E31553" s="8">
        <v>0</v>
      </c>
      <c r="F31553" s="8">
        <v>813</v>
      </c>
    </row>
    <row r="31554" spans="1:6" ht="12.75">
      <c r="A31554" s="8">
        <v>43890.417997685188</v>
      </c>
      <c r="B31554" s="8" t="str">
        <f>HYPERLINK("https://twitter.com/KAIBangkit","@KAIBangkit")</f>
        <v>@KAIBangkit</v>
      </c>
      <c r="C31554" s="8" t="s">
        <v>11940</v>
      </c>
      <c r="D31554" s="8">
        <v>0</v>
      </c>
      <c r="E31554" s="8">
        <v>0</v>
      </c>
      <c r="F31554" s="8">
        <v>102</v>
      </c>
    </row>
    <row r="31555" spans="1:6" ht="12.75">
      <c r="A31555" s="8">
        <v>43890.417986111112</v>
      </c>
      <c r="B31555" s="8" t="str">
        <f>HYPERLINK("https://twitter.com/arjuno_ireng01","@arjuno_ireng01")</f>
        <v>@arjuno_ireng01</v>
      </c>
      <c r="C31555" s="8" t="s">
        <v>11105</v>
      </c>
      <c r="D31555" s="8">
        <v>24</v>
      </c>
      <c r="E31555" s="8">
        <v>0</v>
      </c>
      <c r="F31555" s="8">
        <v>10836</v>
      </c>
    </row>
    <row r="31556" spans="1:6" ht="12.75">
      <c r="A31556" s="8">
        <v>43890.417962962965</v>
      </c>
      <c r="B31556" s="8" t="str">
        <f>HYPERLINK("https://twitter.com/awhsar","@awhsar")</f>
        <v>@awhsar</v>
      </c>
      <c r="C31556" s="8" t="s">
        <v>4235</v>
      </c>
      <c r="D31556" s="8">
        <v>1059</v>
      </c>
      <c r="E31556" s="8">
        <v>0</v>
      </c>
      <c r="F31556" s="8">
        <v>57</v>
      </c>
    </row>
    <row r="31557" spans="1:6" ht="12.75">
      <c r="A31557" s="8">
        <v>43890.417824074073</v>
      </c>
      <c r="B31557" s="8" t="str">
        <f>HYPERLINK("https://twitter.com/adtaufiq","@adtaufiq")</f>
        <v>@adtaufiq</v>
      </c>
      <c r="C31557" s="8" t="s">
        <v>11273</v>
      </c>
      <c r="D31557" s="8">
        <v>6</v>
      </c>
      <c r="E31557" s="8">
        <v>0</v>
      </c>
      <c r="F31557" s="8">
        <v>8497</v>
      </c>
    </row>
    <row r="31558" spans="1:6" ht="12.75">
      <c r="A31558" s="8">
        <v>43890.417800925927</v>
      </c>
      <c r="B31558" s="8" t="str">
        <f>HYPERLINK("https://twitter.com/octamaxi","@octamaxi")</f>
        <v>@octamaxi</v>
      </c>
      <c r="C31558" s="8" t="s">
        <v>11941</v>
      </c>
      <c r="D31558" s="8">
        <v>0</v>
      </c>
      <c r="E31558" s="8">
        <v>0</v>
      </c>
      <c r="F31558" s="8">
        <v>66</v>
      </c>
    </row>
    <row r="31559" spans="1:6" ht="12.75">
      <c r="A31559" s="8">
        <v>43890.417719907404</v>
      </c>
      <c r="B31559" s="8" t="str">
        <f>HYPERLINK("https://twitter.com/mbahnoer88","@mbahnoer88")</f>
        <v>@mbahnoer88</v>
      </c>
      <c r="C31559" s="8" t="s">
        <v>11105</v>
      </c>
      <c r="D31559" s="8">
        <v>24</v>
      </c>
      <c r="E31559" s="8">
        <v>0</v>
      </c>
      <c r="F31559" s="8">
        <v>3293</v>
      </c>
    </row>
    <row r="31560" spans="1:6" ht="12.75">
      <c r="A31560" s="8">
        <v>43890.417511574073</v>
      </c>
      <c r="B31560" s="8" t="str">
        <f>HYPERLINK("https://twitter.com/DSofdi","@DSofdi")</f>
        <v>@DSofdi</v>
      </c>
      <c r="C31560" s="8" t="s">
        <v>11942</v>
      </c>
      <c r="D31560" s="8">
        <v>0</v>
      </c>
      <c r="E31560" s="8">
        <v>0</v>
      </c>
      <c r="F31560" s="8">
        <v>95</v>
      </c>
    </row>
    <row r="31561" spans="1:6" ht="12.75">
      <c r="A31561" s="8">
        <v>43890.417395833334</v>
      </c>
      <c r="B31561" s="8" t="str">
        <f>HYPERLINK("https://twitter.com/Hanifah933","@Hanifah933")</f>
        <v>@Hanifah933</v>
      </c>
      <c r="C31561" s="8" t="s">
        <v>11273</v>
      </c>
      <c r="D31561" s="8">
        <v>6</v>
      </c>
      <c r="E31561" s="8">
        <v>0</v>
      </c>
      <c r="F31561" s="8">
        <v>7127</v>
      </c>
    </row>
    <row r="31562" spans="1:6" ht="12.75">
      <c r="A31562" s="8">
        <v>43890.417384259257</v>
      </c>
      <c r="B31562" s="8" t="str">
        <f>HYPERLINK("https://twitter.com/sirajapadoha","@sirajapadoha")</f>
        <v>@sirajapadoha</v>
      </c>
      <c r="C31562" s="8" t="s">
        <v>11105</v>
      </c>
      <c r="D31562" s="8">
        <v>24</v>
      </c>
      <c r="E31562" s="8">
        <v>0</v>
      </c>
      <c r="F31562" s="8">
        <v>2471</v>
      </c>
    </row>
    <row r="31563" spans="1:6" ht="12.75">
      <c r="A31563" s="8">
        <v>43890.41715277778</v>
      </c>
      <c r="B31563" s="8" t="str">
        <f>HYPERLINK("https://twitter.com/e2oliHhZSkBYTFc","@e2oliHhZSkBYTFc")</f>
        <v>@e2oliHhZSkBYTFc</v>
      </c>
      <c r="C31563" s="8" t="s">
        <v>11943</v>
      </c>
      <c r="D31563" s="8">
        <v>0</v>
      </c>
      <c r="E31563" s="8">
        <v>0</v>
      </c>
      <c r="F31563" s="8">
        <v>8</v>
      </c>
    </row>
    <row r="31564" spans="1:6" ht="12.75">
      <c r="A31564" s="8">
        <v>43890.417094907403</v>
      </c>
      <c r="B31564" s="8" t="str">
        <f>HYPERLINK("https://twitter.com/seleb_berita","@seleb_berita")</f>
        <v>@seleb_berita</v>
      </c>
      <c r="C31564" s="8" t="s">
        <v>11944</v>
      </c>
      <c r="D31564" s="8">
        <v>1</v>
      </c>
      <c r="E31564" s="8">
        <v>2</v>
      </c>
      <c r="F31564" s="8">
        <v>2099</v>
      </c>
    </row>
    <row r="31565" spans="1:6" ht="12.75">
      <c r="A31565" s="8">
        <v>43890.416990740741</v>
      </c>
      <c r="B31565" s="8" t="str">
        <f>HYPERLINK("https://twitter.com/neopitch","@neopitch")</f>
        <v>@neopitch</v>
      </c>
      <c r="C31565" s="8" t="s">
        <v>11945</v>
      </c>
      <c r="D31565" s="8">
        <v>0</v>
      </c>
      <c r="E31565" s="8">
        <v>0</v>
      </c>
      <c r="F31565" s="8">
        <v>116</v>
      </c>
    </row>
    <row r="31566" spans="1:6" ht="12.75">
      <c r="A31566" s="8">
        <v>43890.416909722218</v>
      </c>
      <c r="B31566" s="8" t="str">
        <f>HYPERLINK("https://twitter.com/jerry_gemini","@jerry_gemini")</f>
        <v>@jerry_gemini</v>
      </c>
      <c r="C31566" s="8" t="s">
        <v>11946</v>
      </c>
      <c r="D31566" s="8">
        <v>0</v>
      </c>
      <c r="E31566" s="8">
        <v>0</v>
      </c>
      <c r="F31566" s="8">
        <v>2107</v>
      </c>
    </row>
    <row r="31567" spans="1:6" ht="12.75">
      <c r="A31567" s="8">
        <v>43890.416805555556</v>
      </c>
      <c r="B31567" s="8" t="str">
        <f>HYPERLINK("https://twitter.com/DestinAsianID","@DestinAsianID")</f>
        <v>@DestinAsianID</v>
      </c>
      <c r="C31567" s="8" t="s">
        <v>11947</v>
      </c>
      <c r="D31567" s="8">
        <v>1</v>
      </c>
      <c r="E31567" s="8">
        <v>2</v>
      </c>
      <c r="F31567" s="8">
        <v>4210</v>
      </c>
    </row>
    <row r="31568" spans="1:6" ht="12.75">
      <c r="A31568" s="8">
        <v>43890.416458333333</v>
      </c>
      <c r="B31568" s="8" t="str">
        <f>HYPERLINK("https://twitter.com/Narasiku1","@Narasiku1")</f>
        <v>@Narasiku1</v>
      </c>
      <c r="C31568" s="8" t="s">
        <v>11948</v>
      </c>
      <c r="D31568" s="8">
        <v>1</v>
      </c>
      <c r="E31568" s="8">
        <v>1</v>
      </c>
      <c r="F31568" s="8">
        <v>75</v>
      </c>
    </row>
    <row r="31569" spans="1:6" ht="12.75">
      <c r="A31569" s="8">
        <v>43890.41642361111</v>
      </c>
      <c r="B31569" s="8" t="str">
        <f>HYPERLINK("https://twitter.com/wow_keren","@wow_keren")</f>
        <v>@wow_keren</v>
      </c>
      <c r="C31569" s="8" t="s">
        <v>11949</v>
      </c>
      <c r="D31569" s="8">
        <v>0</v>
      </c>
      <c r="E31569" s="8">
        <v>0</v>
      </c>
      <c r="F31569" s="8">
        <v>32029</v>
      </c>
    </row>
    <row r="31570" spans="1:6" ht="12.75">
      <c r="A31570" s="8">
        <v>43890.41606481481</v>
      </c>
      <c r="B31570" s="8" t="str">
        <f>HYPERLINK("https://twitter.com/SKaspani_ong","@SKaspani_ong")</f>
        <v>@SKaspani_ong</v>
      </c>
      <c r="C31570" s="8" t="s">
        <v>4579</v>
      </c>
      <c r="D31570" s="8">
        <v>13</v>
      </c>
      <c r="E31570" s="8">
        <v>0</v>
      </c>
      <c r="F31570" s="8">
        <v>4769</v>
      </c>
    </row>
    <row r="31571" spans="1:6" ht="12.75">
      <c r="A31571" s="8">
        <v>43890.416030092594</v>
      </c>
      <c r="B31571" s="8" t="str">
        <f>HYPERLINK("https://twitter.com/FransiscaKwee","@FransiscaKwee")</f>
        <v>@FransiscaKwee</v>
      </c>
      <c r="C31571" s="8" t="s">
        <v>10755</v>
      </c>
      <c r="D31571" s="8">
        <v>654</v>
      </c>
      <c r="E31571" s="8">
        <v>0</v>
      </c>
      <c r="F31571" s="8">
        <v>163</v>
      </c>
    </row>
    <row r="31572" spans="1:6" ht="12.75">
      <c r="A31572" s="8">
        <v>43890.415891203702</v>
      </c>
      <c r="B31572" s="8" t="str">
        <f>HYPERLINK("https://twitter.com/DavidKanata","@DavidKanata")</f>
        <v>@DavidKanata</v>
      </c>
      <c r="C31572" s="8" t="s">
        <v>11273</v>
      </c>
      <c r="D31572" s="8">
        <v>6</v>
      </c>
      <c r="E31572" s="8">
        <v>0</v>
      </c>
      <c r="F31572" s="8">
        <v>1168</v>
      </c>
    </row>
    <row r="31573" spans="1:6" ht="12.75">
      <c r="A31573" s="8">
        <v>43890.415856481486</v>
      </c>
      <c r="B31573" s="8" t="str">
        <f>HYPERLINK("https://twitter.com/agoessp","@agoessp")</f>
        <v>@agoessp</v>
      </c>
      <c r="C31573" s="8" t="s">
        <v>11075</v>
      </c>
      <c r="D31573" s="8">
        <v>6</v>
      </c>
      <c r="E31573" s="8">
        <v>0</v>
      </c>
      <c r="F31573" s="8">
        <v>143</v>
      </c>
    </row>
    <row r="31574" spans="1:6" ht="12.75">
      <c r="A31574" s="8">
        <v>43890.415821759263</v>
      </c>
      <c r="B31574" s="8" t="str">
        <f>HYPERLINK("https://twitter.com/egalitarianking","@egalitarianking")</f>
        <v>@egalitarianking</v>
      </c>
      <c r="C31574" s="8" t="s">
        <v>11950</v>
      </c>
      <c r="D31574" s="8">
        <v>0</v>
      </c>
      <c r="E31574" s="8">
        <v>0</v>
      </c>
      <c r="F31574" s="8">
        <v>254</v>
      </c>
    </row>
    <row r="31575" spans="1:6" ht="12.75">
      <c r="A31575" s="8">
        <v>43890.41578703704</v>
      </c>
      <c r="B31575" s="8" t="str">
        <f>HYPERLINK("https://twitter.com/agoessp","@agoessp")</f>
        <v>@agoessp</v>
      </c>
      <c r="C31575" s="8" t="s">
        <v>10391</v>
      </c>
      <c r="D31575" s="8">
        <v>38</v>
      </c>
      <c r="E31575" s="8">
        <v>0</v>
      </c>
      <c r="F31575" s="8">
        <v>143</v>
      </c>
    </row>
    <row r="31576" spans="1:6" ht="12.75">
      <c r="A31576" s="8">
        <v>43890.41578703704</v>
      </c>
      <c r="B31576" s="8" t="str">
        <f>HYPERLINK("https://twitter.com/mucht4r64","@mucht4r64")</f>
        <v>@mucht4r64</v>
      </c>
      <c r="C31576" s="8" t="s">
        <v>11701</v>
      </c>
      <c r="D31576" s="8">
        <v>61</v>
      </c>
      <c r="E31576" s="8">
        <v>0</v>
      </c>
      <c r="F31576" s="8">
        <v>111</v>
      </c>
    </row>
    <row r="31577" spans="1:6" ht="12.75">
      <c r="A31577" s="8">
        <v>43890.415636574078</v>
      </c>
      <c r="B31577" s="8" t="str">
        <f>HYPERLINK("https://twitter.com/anisacayy","@anisacayy")</f>
        <v>@anisacayy</v>
      </c>
      <c r="C31577" s="8" t="s">
        <v>11951</v>
      </c>
      <c r="D31577" s="8">
        <v>688</v>
      </c>
      <c r="E31577" s="8">
        <v>0</v>
      </c>
      <c r="F31577" s="8">
        <v>159</v>
      </c>
    </row>
    <row r="31578" spans="1:6" ht="12.75">
      <c r="A31578" s="8">
        <v>43890.415567129632</v>
      </c>
      <c r="B31578" s="8" t="str">
        <f>HYPERLINK("https://twitter.com/Bubu_beebee","@Bubu_beebee")</f>
        <v>@Bubu_beebee</v>
      </c>
      <c r="C31578" s="8" t="s">
        <v>10748</v>
      </c>
      <c r="D31578" s="8">
        <v>2</v>
      </c>
      <c r="E31578" s="8">
        <v>0</v>
      </c>
      <c r="F31578" s="8">
        <v>133</v>
      </c>
    </row>
    <row r="31579" spans="1:6" ht="12.75">
      <c r="A31579" s="8">
        <v>43890.415497685186</v>
      </c>
      <c r="B31579" s="8" t="str">
        <f>HYPERLINK("https://twitter.com/agoessp","@agoessp")</f>
        <v>@agoessp</v>
      </c>
      <c r="C31579" s="8" t="s">
        <v>11105</v>
      </c>
      <c r="D31579" s="8">
        <v>24</v>
      </c>
      <c r="E31579" s="8">
        <v>0</v>
      </c>
      <c r="F31579" s="8">
        <v>143</v>
      </c>
    </row>
    <row r="31580" spans="1:6" ht="12.75">
      <c r="A31580" s="8">
        <v>43890.415312500001</v>
      </c>
      <c r="B31580" s="8" t="str">
        <f>HYPERLINK("https://twitter.com/RoniEndang1","@RoniEndang1")</f>
        <v>@RoniEndang1</v>
      </c>
      <c r="C31580" s="8" t="s">
        <v>4235</v>
      </c>
      <c r="D31580" s="8">
        <v>1059</v>
      </c>
      <c r="E31580" s="8">
        <v>0</v>
      </c>
      <c r="F31580" s="8">
        <v>178</v>
      </c>
    </row>
    <row r="31581" spans="1:6" ht="12.75">
      <c r="A31581" s="8">
        <v>43890.415046296301</v>
      </c>
      <c r="B31581" s="8" t="str">
        <f>HYPERLINK("https://twitter.com/inu_ratih1","@inu_ratih1")</f>
        <v>@inu_ratih1</v>
      </c>
      <c r="C31581" s="8" t="s">
        <v>4235</v>
      </c>
      <c r="D31581" s="8">
        <v>1059</v>
      </c>
      <c r="E31581" s="8">
        <v>0</v>
      </c>
      <c r="F31581" s="8">
        <v>96</v>
      </c>
    </row>
    <row r="31582" spans="1:6" ht="12.75">
      <c r="A31582" s="8">
        <v>43890.414976851855</v>
      </c>
      <c r="B31582" s="8" t="str">
        <f>HYPERLINK("https://twitter.com/KelianBanjar_GK","@KelianBanjar_GK")</f>
        <v>@KelianBanjar_GK</v>
      </c>
      <c r="C31582" s="8" t="s">
        <v>11105</v>
      </c>
      <c r="D31582" s="8">
        <v>24</v>
      </c>
      <c r="E31582" s="8">
        <v>0</v>
      </c>
      <c r="F31582" s="8">
        <v>8801</v>
      </c>
    </row>
    <row r="31583" spans="1:6" ht="12.75">
      <c r="A31583" s="8">
        <v>43890.414606481485</v>
      </c>
      <c r="B31583" s="8" t="str">
        <f>HYPERLINK("https://twitter.com/RaineMbleketek","@RaineMbleketek")</f>
        <v>@RaineMbleketek</v>
      </c>
      <c r="C31583" s="8" t="s">
        <v>11952</v>
      </c>
      <c r="D31583" s="8">
        <v>2</v>
      </c>
      <c r="E31583" s="8">
        <v>0</v>
      </c>
      <c r="F31583" s="8">
        <v>439</v>
      </c>
    </row>
    <row r="31584" spans="1:6" ht="12.75">
      <c r="A31584" s="8">
        <v>43890.414525462962</v>
      </c>
      <c r="B31584" s="8" t="str">
        <f>HYPERLINK("https://twitter.com/reykdjavik","@reykdjavik")</f>
        <v>@reykdjavik</v>
      </c>
      <c r="C31584" s="8" t="s">
        <v>11953</v>
      </c>
      <c r="D31584" s="8">
        <v>0</v>
      </c>
      <c r="E31584" s="8">
        <v>0</v>
      </c>
      <c r="F31584" s="8">
        <v>165</v>
      </c>
    </row>
    <row r="31585" spans="1:6" ht="12.75">
      <c r="A31585" s="8">
        <v>43890.414444444439</v>
      </c>
      <c r="B31585" s="8" t="str">
        <f>HYPERLINK("https://twitter.com/danielaryayogaa","@danielaryayogaa")</f>
        <v>@danielaryayogaa</v>
      </c>
      <c r="C31585" s="8" t="s">
        <v>6863</v>
      </c>
      <c r="D31585" s="8">
        <v>328</v>
      </c>
      <c r="E31585" s="8">
        <v>0</v>
      </c>
      <c r="F31585" s="8">
        <v>27</v>
      </c>
    </row>
    <row r="31586" spans="1:6" ht="12.75">
      <c r="A31586" s="8">
        <v>43890.381851851853</v>
      </c>
      <c r="B31586" s="8" t="str">
        <f>HYPERLINK("https://twitter.com/Jony_Mattz","@Jony_Mattz")</f>
        <v>@Jony_Mattz</v>
      </c>
      <c r="C31586" s="8" t="s">
        <v>9768</v>
      </c>
      <c r="D31586" s="8">
        <v>90</v>
      </c>
      <c r="E31586" s="8">
        <v>0</v>
      </c>
      <c r="F31586" s="8">
        <v>217</v>
      </c>
    </row>
    <row r="31587" spans="1:6" ht="12.75">
      <c r="A31587" s="8">
        <v>43890.381712962961</v>
      </c>
      <c r="B31587" s="8" t="str">
        <f>HYPERLINK("https://twitter.com/hanka_ismail","@hanka_ismail")</f>
        <v>@hanka_ismail</v>
      </c>
      <c r="C31587" s="8" t="s">
        <v>8746</v>
      </c>
      <c r="D31587" s="8">
        <v>66</v>
      </c>
      <c r="E31587" s="8">
        <v>0</v>
      </c>
      <c r="F31587" s="8">
        <v>1099</v>
      </c>
    </row>
    <row r="31588" spans="1:6" ht="12.75">
      <c r="A31588" s="8">
        <v>43890.381689814814</v>
      </c>
      <c r="B31588" s="8" t="str">
        <f>HYPERLINK("https://twitter.com/Katrina__SO9","@Katrina__SO9")</f>
        <v>@Katrina__SO9</v>
      </c>
      <c r="C31588" s="8" t="s">
        <v>11954</v>
      </c>
      <c r="D31588" s="8">
        <v>0</v>
      </c>
      <c r="E31588" s="8">
        <v>0</v>
      </c>
      <c r="F31588" s="8">
        <v>3421</v>
      </c>
    </row>
    <row r="31589" spans="1:6" ht="12.75">
      <c r="A31589" s="8">
        <v>43890.381354166668</v>
      </c>
      <c r="B31589" s="8" t="str">
        <f>HYPERLINK("https://twitter.com/lordanrijon","@lordanrijon")</f>
        <v>@lordanrijon</v>
      </c>
      <c r="C31589" s="8" t="s">
        <v>11374</v>
      </c>
      <c r="D31589" s="8">
        <v>47</v>
      </c>
      <c r="E31589" s="8">
        <v>0</v>
      </c>
      <c r="F31589" s="8">
        <v>434</v>
      </c>
    </row>
    <row r="31590" spans="1:6" ht="12.75">
      <c r="A31590" s="8">
        <v>43890.38113425926</v>
      </c>
      <c r="B31590" s="8" t="str">
        <f>HYPERLINK("https://twitter.com/graniro_r","@graniro_r")</f>
        <v>@graniro_r</v>
      </c>
      <c r="C31590" s="8" t="s">
        <v>11955</v>
      </c>
      <c r="D31590" s="8">
        <v>0</v>
      </c>
      <c r="E31590" s="8">
        <v>0</v>
      </c>
      <c r="F31590" s="8">
        <v>145</v>
      </c>
    </row>
    <row r="31591" spans="1:6" ht="12.75">
      <c r="A31591" s="8">
        <v>43890.381064814814</v>
      </c>
      <c r="B31591" s="8" t="str">
        <f>HYPERLINK("https://twitter.com/Jhon_p4nt4u","@Jhon_p4nt4u")</f>
        <v>@Jhon_p4nt4u</v>
      </c>
      <c r="C31591" s="8" t="s">
        <v>11661</v>
      </c>
      <c r="D31591" s="8">
        <v>15</v>
      </c>
      <c r="E31591" s="8">
        <v>0</v>
      </c>
      <c r="F31591" s="8">
        <v>491</v>
      </c>
    </row>
    <row r="31592" spans="1:6" ht="12.75">
      <c r="A31592" s="8">
        <v>43890.381030092598</v>
      </c>
      <c r="B31592" s="8" t="str">
        <f>HYPERLINK("https://twitter.com/gasskee","@gasskee")</f>
        <v>@gasskee</v>
      </c>
      <c r="C31592" s="8" t="s">
        <v>6863</v>
      </c>
      <c r="D31592" s="8">
        <v>322</v>
      </c>
      <c r="E31592" s="8">
        <v>0</v>
      </c>
      <c r="F31592" s="8">
        <v>429</v>
      </c>
    </row>
    <row r="31593" spans="1:6" ht="12.75">
      <c r="A31593" s="8">
        <v>43890.380995370375</v>
      </c>
      <c r="B31593" s="8" t="str">
        <f>HYPERLINK("https://twitter.com/imansalahin_put","@imansalahin_put")</f>
        <v>@imansalahin_put</v>
      </c>
      <c r="C31593" s="8" t="s">
        <v>4235</v>
      </c>
      <c r="D31593" s="8">
        <v>975</v>
      </c>
      <c r="E31593" s="8">
        <v>0</v>
      </c>
      <c r="F31593" s="8">
        <v>876</v>
      </c>
    </row>
    <row r="31594" spans="1:6" ht="12.75">
      <c r="A31594" s="8">
        <v>43890.380983796298</v>
      </c>
      <c r="B31594" s="8" t="str">
        <f>HYPERLINK("https://twitter.com/YangSepuh","@YangSepuh")</f>
        <v>@YangSepuh</v>
      </c>
      <c r="C31594" s="8" t="s">
        <v>8746</v>
      </c>
      <c r="D31594" s="8">
        <v>66</v>
      </c>
      <c r="E31594" s="8">
        <v>0</v>
      </c>
      <c r="F31594" s="8">
        <v>354</v>
      </c>
    </row>
    <row r="31595" spans="1:6" ht="12.75">
      <c r="A31595" s="8">
        <v>43890.380740740744</v>
      </c>
      <c r="B31595" s="8" t="str">
        <f>HYPERLINK("https://twitter.com/nisma_mokhtar","@nisma_mokhtar")</f>
        <v>@nisma_mokhtar</v>
      </c>
      <c r="C31595" s="8" t="s">
        <v>11956</v>
      </c>
      <c r="D31595" s="8">
        <v>0</v>
      </c>
      <c r="E31595" s="8">
        <v>0</v>
      </c>
      <c r="F31595" s="8">
        <v>1262</v>
      </c>
    </row>
    <row r="31596" spans="1:6" ht="12.75">
      <c r="A31596" s="8">
        <v>43890.380439814813</v>
      </c>
      <c r="B31596" s="8" t="str">
        <f>HYPERLINK("https://twitter.com/dwi_hanando","@dwi_hanando")</f>
        <v>@dwi_hanando</v>
      </c>
      <c r="C31596" s="8" t="s">
        <v>11957</v>
      </c>
      <c r="D31596" s="8">
        <v>0</v>
      </c>
      <c r="E31596" s="8">
        <v>0</v>
      </c>
      <c r="F31596" s="8">
        <v>98</v>
      </c>
    </row>
    <row r="31597" spans="1:6" ht="12.75">
      <c r="A31597" s="8">
        <v>43890.379861111112</v>
      </c>
      <c r="B31597" s="8" t="str">
        <f>HYPERLINK("https://twitter.com/Johncen59726333","@Johncen59726333")</f>
        <v>@Johncen59726333</v>
      </c>
      <c r="C31597" s="8" t="s">
        <v>11958</v>
      </c>
      <c r="D31597" s="8">
        <v>1</v>
      </c>
      <c r="E31597" s="8">
        <v>0</v>
      </c>
      <c r="F31597" s="8">
        <v>81</v>
      </c>
    </row>
    <row r="31598" spans="1:6" ht="12.75">
      <c r="A31598" s="8">
        <v>43890.379791666666</v>
      </c>
      <c r="B31598" s="8" t="str">
        <f>HYPERLINK("https://twitter.com/warrior_duck","@warrior_duck")</f>
        <v>@warrior_duck</v>
      </c>
      <c r="C31598" s="8" t="s">
        <v>11959</v>
      </c>
      <c r="D31598" s="8">
        <v>0</v>
      </c>
      <c r="E31598" s="8">
        <v>0</v>
      </c>
      <c r="F31598" s="8">
        <v>71</v>
      </c>
    </row>
    <row r="31599" spans="1:6" ht="12.75">
      <c r="A31599" s="8">
        <v>43890.379606481481</v>
      </c>
      <c r="B31599" s="8" t="str">
        <f>HYPERLINK("https://twitter.com/S1Lum4n","@S1Lum4n")</f>
        <v>@S1Lum4n</v>
      </c>
      <c r="C31599" s="8" t="s">
        <v>8746</v>
      </c>
      <c r="D31599" s="8">
        <v>66</v>
      </c>
      <c r="E31599" s="8">
        <v>0</v>
      </c>
      <c r="F31599" s="8">
        <v>348</v>
      </c>
    </row>
    <row r="31600" spans="1:6" ht="12.75">
      <c r="A31600" s="8">
        <v>43890.379293981481</v>
      </c>
      <c r="B31600" s="8" t="str">
        <f>HYPERLINK("https://twitter.com/dody_hasan","@dody_hasan")</f>
        <v>@dody_hasan</v>
      </c>
      <c r="C31600" s="8" t="s">
        <v>6836</v>
      </c>
      <c r="D31600" s="8">
        <v>218</v>
      </c>
      <c r="E31600" s="8">
        <v>0</v>
      </c>
      <c r="F31600" s="8">
        <v>131</v>
      </c>
    </row>
    <row r="31601" spans="1:6" ht="12.75">
      <c r="A31601" s="8">
        <v>43890.379224537042</v>
      </c>
      <c r="B31601" s="8" t="str">
        <f>HYPERLINK("https://twitter.com/k121sh","@k121sh")</f>
        <v>@k121sh</v>
      </c>
      <c r="C31601" s="8" t="s">
        <v>11960</v>
      </c>
      <c r="D31601" s="8">
        <v>4</v>
      </c>
      <c r="E31601" s="8">
        <v>0</v>
      </c>
      <c r="F31601" s="8">
        <v>915</v>
      </c>
    </row>
    <row r="31602" spans="1:6" ht="12.75">
      <c r="A31602" s="8">
        <v>43890.379050925927</v>
      </c>
      <c r="B31602" s="8" t="str">
        <f>HYPERLINK("https://twitter.com/ALEXA_JASMIN3","@ALEXA_JASMIN3")</f>
        <v>@ALEXA_JASMIN3</v>
      </c>
      <c r="C31602" s="8" t="s">
        <v>11374</v>
      </c>
      <c r="D31602" s="8">
        <v>47</v>
      </c>
      <c r="E31602" s="8">
        <v>0</v>
      </c>
      <c r="F31602" s="8">
        <v>1367</v>
      </c>
    </row>
    <row r="31603" spans="1:6" ht="12.75">
      <c r="A31603" s="8">
        <v>43890.378831018519</v>
      </c>
      <c r="B31603" s="8" t="str">
        <f>HYPERLINK("https://twitter.com/hemaviton99","@hemaviton99")</f>
        <v>@hemaviton99</v>
      </c>
      <c r="C31603" s="8" t="s">
        <v>11961</v>
      </c>
      <c r="D31603" s="8">
        <v>1</v>
      </c>
      <c r="E31603" s="8">
        <v>0</v>
      </c>
      <c r="F31603" s="8">
        <v>5066</v>
      </c>
    </row>
    <row r="31604" spans="1:6" ht="12.75">
      <c r="A31604" s="8">
        <v>43890.378784722227</v>
      </c>
      <c r="B31604" s="8" t="str">
        <f>HYPERLINK("https://twitter.com/KRobet02","@KRobet02")</f>
        <v>@KRobet02</v>
      </c>
      <c r="C31604" s="8" t="s">
        <v>6836</v>
      </c>
      <c r="D31604" s="8">
        <v>218</v>
      </c>
      <c r="E31604" s="8">
        <v>0</v>
      </c>
      <c r="F31604" s="8">
        <v>270</v>
      </c>
    </row>
    <row r="31605" spans="1:6" ht="12.75">
      <c r="A31605" s="8">
        <v>43890.378425925926</v>
      </c>
      <c r="B31605" s="8" t="str">
        <f>HYPERLINK("https://twitter.com/MoTeeTee","@MoTeeTee")</f>
        <v>@MoTeeTee</v>
      </c>
      <c r="C31605" s="8" t="s">
        <v>11962</v>
      </c>
      <c r="D31605" s="8">
        <v>0</v>
      </c>
      <c r="E31605" s="8">
        <v>0</v>
      </c>
      <c r="F31605" s="8">
        <v>755</v>
      </c>
    </row>
    <row r="31606" spans="1:6" ht="12.75">
      <c r="A31606" s="8">
        <v>43890.378344907411</v>
      </c>
      <c r="B31606" s="8" t="str">
        <f>HYPERLINK("https://twitter.com/dkarhita","@dkarhita")</f>
        <v>@dkarhita</v>
      </c>
      <c r="C31606" s="8" t="s">
        <v>11963</v>
      </c>
      <c r="D31606" s="8">
        <v>1</v>
      </c>
      <c r="E31606" s="8">
        <v>1</v>
      </c>
      <c r="F31606" s="8">
        <v>5702</v>
      </c>
    </row>
    <row r="31607" spans="1:6" ht="12.75">
      <c r="A31607" s="8">
        <v>43890.378217592588</v>
      </c>
      <c r="B31607" s="8" t="str">
        <f>HYPERLINK("https://twitter.com/RaHidMatOdang","@RaHidMatOdang")</f>
        <v>@RaHidMatOdang</v>
      </c>
      <c r="C31607" s="8" t="s">
        <v>4235</v>
      </c>
      <c r="D31607" s="8">
        <v>975</v>
      </c>
      <c r="E31607" s="8">
        <v>0</v>
      </c>
      <c r="F31607" s="8">
        <v>94</v>
      </c>
    </row>
    <row r="31608" spans="1:6" ht="12.75">
      <c r="A31608" s="8">
        <v>43890.378136574072</v>
      </c>
      <c r="B31608" s="8" t="str">
        <f>HYPERLINK("https://twitter.com/SemboyanR","@SemboyanR")</f>
        <v>@SemboyanR</v>
      </c>
      <c r="C31608" s="8" t="s">
        <v>8746</v>
      </c>
      <c r="D31608" s="8">
        <v>66</v>
      </c>
      <c r="E31608" s="8">
        <v>0</v>
      </c>
      <c r="F31608" s="8">
        <v>1292</v>
      </c>
    </row>
    <row r="31609" spans="1:6" ht="12.75">
      <c r="A31609" s="8">
        <v>43890.378078703703</v>
      </c>
      <c r="B31609" s="8" t="str">
        <f>HYPERLINK("https://twitter.com/Raffithalib","@Raffithalib")</f>
        <v>@Raffithalib</v>
      </c>
      <c r="C31609" s="8" t="s">
        <v>11691</v>
      </c>
      <c r="D31609" s="8">
        <v>44</v>
      </c>
      <c r="E31609" s="8">
        <v>0</v>
      </c>
      <c r="F31609" s="8">
        <v>99</v>
      </c>
    </row>
    <row r="31610" spans="1:6" ht="12.75">
      <c r="A31610" s="8">
        <v>43890.378020833334</v>
      </c>
      <c r="B31610" s="8" t="str">
        <f>HYPERLINK("https://twitter.com/aselyhasan","@aselyhasan")</f>
        <v>@aselyhasan</v>
      </c>
      <c r="C31610" s="8" t="s">
        <v>4235</v>
      </c>
      <c r="D31610" s="8">
        <v>975</v>
      </c>
      <c r="E31610" s="8">
        <v>0</v>
      </c>
      <c r="F31610" s="8">
        <v>24</v>
      </c>
    </row>
    <row r="31611" spans="1:6" ht="12.75">
      <c r="A31611" s="8">
        <v>43890.377916666665</v>
      </c>
      <c r="B31611" s="8" t="str">
        <f>HYPERLINK("https://twitter.com/TeyengCekap","@TeyengCekap")</f>
        <v>@TeyengCekap</v>
      </c>
      <c r="C31611" s="8" t="s">
        <v>4579</v>
      </c>
      <c r="D31611" s="8">
        <v>7</v>
      </c>
      <c r="E31611" s="8">
        <v>0</v>
      </c>
      <c r="F31611" s="8">
        <v>5432</v>
      </c>
    </row>
    <row r="31612" spans="1:6" ht="12.75">
      <c r="A31612" s="8">
        <v>43890.377847222218</v>
      </c>
      <c r="B31612" s="8" t="str">
        <f>HYPERLINK("https://twitter.com/sikecilmarmut","@sikecilmarmut")</f>
        <v>@sikecilmarmut</v>
      </c>
      <c r="C31612" s="8" t="s">
        <v>11964</v>
      </c>
      <c r="D31612" s="8">
        <v>528</v>
      </c>
      <c r="E31612" s="8">
        <v>0</v>
      </c>
      <c r="F31612" s="8">
        <v>2247</v>
      </c>
    </row>
    <row r="31613" spans="1:6" ht="12.75">
      <c r="A31613" s="8">
        <v>43890.377696759257</v>
      </c>
      <c r="B31613" s="8" t="str">
        <f>HYPERLINK("https://twitter.com/aatnsgyi_","@aatnsgyi_")</f>
        <v>@aatnsgyi_</v>
      </c>
      <c r="C31613" s="8" t="s">
        <v>6863</v>
      </c>
      <c r="D31613" s="8">
        <v>322</v>
      </c>
      <c r="E31613" s="8">
        <v>0</v>
      </c>
      <c r="F31613" s="8">
        <v>5019</v>
      </c>
    </row>
    <row r="31614" spans="1:6" ht="12.75">
      <c r="A31614" s="8">
        <v>43890.377592592587</v>
      </c>
      <c r="B31614" s="8" t="str">
        <f>HYPERLINK("https://twitter.com/RahmatTopa","@RahmatTopa")</f>
        <v>@RahmatTopa</v>
      </c>
      <c r="C31614" s="8" t="s">
        <v>11374</v>
      </c>
      <c r="D31614" s="8">
        <v>47</v>
      </c>
      <c r="E31614" s="8">
        <v>0</v>
      </c>
      <c r="F31614" s="8">
        <v>365</v>
      </c>
    </row>
    <row r="31615" spans="1:6" ht="12.75">
      <c r="A31615" s="8">
        <v>43890.377337962964</v>
      </c>
      <c r="B31615" s="8" t="str">
        <f>HYPERLINK("https://twitter.com/siwahitam","@siwahitam")</f>
        <v>@siwahitam</v>
      </c>
      <c r="C31615" s="8" t="s">
        <v>6836</v>
      </c>
      <c r="D31615" s="8">
        <v>218</v>
      </c>
      <c r="E31615" s="8">
        <v>0</v>
      </c>
      <c r="F31615" s="8">
        <v>607</v>
      </c>
    </row>
    <row r="31616" spans="1:6" ht="12.75">
      <c r="A31616" s="8">
        <v>43890.377175925925</v>
      </c>
      <c r="B31616" s="8" t="str">
        <f>HYPERLINK("https://twitter.com/hrthlhkm","@hrthlhkm")</f>
        <v>@hrthlhkm</v>
      </c>
      <c r="C31616" s="8" t="s">
        <v>11102</v>
      </c>
      <c r="D31616" s="8">
        <v>530</v>
      </c>
      <c r="E31616" s="8">
        <v>0</v>
      </c>
      <c r="F31616" s="8">
        <v>178</v>
      </c>
    </row>
    <row r="31617" spans="1:6" ht="12.75">
      <c r="A31617" s="8">
        <v>43890.37704861111</v>
      </c>
      <c r="B31617" s="8" t="str">
        <f>HYPERLINK("https://twitter.com/AgusRihando","@AgusRihando")</f>
        <v>@AgusRihando</v>
      </c>
      <c r="C31617" s="8" t="s">
        <v>11889</v>
      </c>
      <c r="D31617" s="8">
        <v>9</v>
      </c>
      <c r="E31617" s="8">
        <v>0</v>
      </c>
      <c r="F31617" s="8">
        <v>723</v>
      </c>
    </row>
    <row r="31618" spans="1:6" ht="12.75">
      <c r="A31618" s="8">
        <v>43890.37700231481</v>
      </c>
      <c r="B31618" s="8" t="str">
        <f>HYPERLINK("https://twitter.com/SaumyaS62198430","@SaumyaS62198430")</f>
        <v>@SaumyaS62198430</v>
      </c>
      <c r="C31618" s="8" t="s">
        <v>11965</v>
      </c>
      <c r="D31618" s="8">
        <v>0</v>
      </c>
      <c r="E31618" s="8">
        <v>0</v>
      </c>
      <c r="F31618" s="8">
        <v>6</v>
      </c>
    </row>
    <row r="31619" spans="1:6" ht="12.75">
      <c r="A31619" s="8">
        <v>43890.376909722225</v>
      </c>
      <c r="B31619" s="8" t="str">
        <f>HYPERLINK("https://twitter.com/__MV_llestari__","@__MV_llestari__")</f>
        <v>@__MV_llestari__</v>
      </c>
      <c r="C31619" s="8" t="s">
        <v>11966</v>
      </c>
      <c r="D31619" s="8">
        <v>1</v>
      </c>
      <c r="E31619" s="8">
        <v>0</v>
      </c>
      <c r="F31619" s="8">
        <v>8960</v>
      </c>
    </row>
    <row r="31620" spans="1:6" ht="12.75">
      <c r="A31620" s="8">
        <v>43890.376817129625</v>
      </c>
      <c r="B31620" s="8" t="str">
        <f>HYPERLINK("https://twitter.com/kangsemproel","@kangsemproel")</f>
        <v>@kangsemproel</v>
      </c>
      <c r="C31620" s="8" t="s">
        <v>4235</v>
      </c>
      <c r="D31620" s="8">
        <v>975</v>
      </c>
      <c r="E31620" s="8">
        <v>0</v>
      </c>
      <c r="F31620" s="8">
        <v>28446</v>
      </c>
    </row>
    <row r="31621" spans="1:6" ht="12.75">
      <c r="A31621" s="8">
        <v>43890.376805555556</v>
      </c>
      <c r="B31621" s="8" t="str">
        <f>HYPERLINK("https://twitter.com/diyaresta","@diyaresta")</f>
        <v>@diyaresta</v>
      </c>
      <c r="C31621" s="8" t="s">
        <v>4235</v>
      </c>
      <c r="D31621" s="8">
        <v>975</v>
      </c>
      <c r="E31621" s="8">
        <v>0</v>
      </c>
      <c r="F31621" s="8">
        <v>1134</v>
      </c>
    </row>
    <row r="31622" spans="1:6" ht="12.75">
      <c r="A31622" s="8">
        <v>43890.376793981486</v>
      </c>
      <c r="B31622" s="8" t="str">
        <f>HYPERLINK("https://twitter.com/siwahitam","@siwahitam")</f>
        <v>@siwahitam</v>
      </c>
      <c r="C31622" s="8" t="s">
        <v>4235</v>
      </c>
      <c r="D31622" s="8">
        <v>975</v>
      </c>
      <c r="E31622" s="8">
        <v>0</v>
      </c>
      <c r="F31622" s="8">
        <v>607</v>
      </c>
    </row>
    <row r="31623" spans="1:6" ht="12.75">
      <c r="A31623" s="8">
        <v>43890.376793981486</v>
      </c>
      <c r="B31623" s="8" t="str">
        <f>HYPERLINK("https://twitter.com/BillTemporo","@BillTemporo")</f>
        <v>@BillTemporo</v>
      </c>
      <c r="C31623" s="8" t="s">
        <v>384</v>
      </c>
      <c r="D31623" s="8">
        <v>0</v>
      </c>
      <c r="E31623" s="8">
        <v>0</v>
      </c>
      <c r="F31623" s="8">
        <v>11</v>
      </c>
    </row>
    <row r="31624" spans="1:6" ht="12.75">
      <c r="A31624" s="8">
        <v>43890.376655092594</v>
      </c>
      <c r="B31624" s="8" t="str">
        <f>HYPERLINK("https://twitter.com/J4lakBali","@J4lakBali")</f>
        <v>@J4lakBali</v>
      </c>
      <c r="C31624" s="8" t="s">
        <v>11967</v>
      </c>
      <c r="D31624" s="8">
        <v>1</v>
      </c>
      <c r="E31624" s="8">
        <v>1</v>
      </c>
      <c r="F31624" s="8">
        <v>3521</v>
      </c>
    </row>
    <row r="31625" spans="1:6" ht="12.75">
      <c r="A31625" s="8">
        <v>43890.376412037032</v>
      </c>
      <c r="B31625" s="8" t="str">
        <f>HYPERLINK("https://twitter.com/HenkMizell","@HenkMizell")</f>
        <v>@HenkMizell</v>
      </c>
      <c r="C31625" s="8" t="s">
        <v>11968</v>
      </c>
      <c r="D31625" s="8">
        <v>0</v>
      </c>
      <c r="E31625" s="8">
        <v>1</v>
      </c>
      <c r="F31625" s="8">
        <v>25</v>
      </c>
    </row>
    <row r="31626" spans="1:6" ht="12.75">
      <c r="A31626" s="8">
        <v>43890.376250000001</v>
      </c>
      <c r="B31626" s="8" t="str">
        <f>HYPERLINK("https://twitter.com/FS_fms","@FS_fms")</f>
        <v>@FS_fms</v>
      </c>
      <c r="C31626" s="8" t="s">
        <v>11701</v>
      </c>
      <c r="D31626" s="8">
        <v>58</v>
      </c>
      <c r="E31626" s="8">
        <v>0</v>
      </c>
      <c r="F31626" s="8">
        <v>260</v>
      </c>
    </row>
    <row r="31627" spans="1:6" ht="12.75">
      <c r="A31627" s="8">
        <v>43890.376180555555</v>
      </c>
      <c r="B31627" s="8" t="str">
        <f>HYPERLINK("https://twitter.com/pyrenesscastle","@pyrenesscastle")</f>
        <v>@pyrenesscastle</v>
      </c>
      <c r="C31627" s="8" t="s">
        <v>11759</v>
      </c>
      <c r="D31627" s="8">
        <v>2</v>
      </c>
      <c r="E31627" s="8">
        <v>0</v>
      </c>
      <c r="F31627" s="8">
        <v>59</v>
      </c>
    </row>
    <row r="31628" spans="1:6" ht="12.75">
      <c r="A31628" s="8">
        <v>43890.376134259262</v>
      </c>
      <c r="B31628" s="8" t="str">
        <f>HYPERLINK("https://twitter.com/Nanggroe_net","@Nanggroe_net")</f>
        <v>@Nanggroe_net</v>
      </c>
      <c r="C31628" s="8" t="s">
        <v>11969</v>
      </c>
      <c r="D31628" s="8">
        <v>0</v>
      </c>
      <c r="E31628" s="8">
        <v>0</v>
      </c>
      <c r="F31628" s="8">
        <v>3</v>
      </c>
    </row>
    <row r="31629" spans="1:6" ht="12.75">
      <c r="A31629" s="8">
        <v>43890.37600694444</v>
      </c>
      <c r="B31629" s="8" t="str">
        <f>HYPERLINK("https://twitter.com/IstyadiI","@IstyadiI")</f>
        <v>@IstyadiI</v>
      </c>
      <c r="C31629" s="8" t="s">
        <v>11970</v>
      </c>
      <c r="D31629" s="8">
        <v>4</v>
      </c>
      <c r="E31629" s="8">
        <v>0</v>
      </c>
      <c r="F31629" s="8">
        <v>699</v>
      </c>
    </row>
    <row r="31630" spans="1:6" ht="12.75">
      <c r="A31630" s="8">
        <v>43890.375567129631</v>
      </c>
      <c r="B31630" s="8" t="str">
        <f>HYPERLINK("https://twitter.com/hartono_tratas","@hartono_tratas")</f>
        <v>@hartono_tratas</v>
      </c>
      <c r="C31630" s="8" t="s">
        <v>11971</v>
      </c>
      <c r="D31630" s="8">
        <v>0</v>
      </c>
      <c r="E31630" s="8">
        <v>1</v>
      </c>
      <c r="F31630" s="8">
        <v>227</v>
      </c>
    </row>
    <row r="31631" spans="1:6" ht="12.75">
      <c r="A31631" s="8">
        <v>43890.375081018516</v>
      </c>
      <c r="B31631" s="8" t="str">
        <f>HYPERLINK("https://twitter.com/sikecilmarmut","@sikecilmarmut")</f>
        <v>@sikecilmarmut</v>
      </c>
      <c r="C31631" s="8" t="s">
        <v>11972</v>
      </c>
      <c r="D31631" s="8">
        <v>3</v>
      </c>
      <c r="E31631" s="8">
        <v>0</v>
      </c>
      <c r="F31631" s="8">
        <v>2247</v>
      </c>
    </row>
    <row r="31632" spans="1:6" ht="12.75">
      <c r="A31632" s="8">
        <v>43890.375069444446</v>
      </c>
      <c r="B31632" s="8" t="str">
        <f>HYPERLINK("https://twitter.com/zakkimdfr","@zakkimdfr")</f>
        <v>@zakkimdfr</v>
      </c>
      <c r="C31632" s="8" t="s">
        <v>4235</v>
      </c>
      <c r="D31632" s="8">
        <v>975</v>
      </c>
      <c r="E31632" s="8">
        <v>0</v>
      </c>
      <c r="F31632" s="8">
        <v>169</v>
      </c>
    </row>
    <row r="31633" spans="1:6" ht="12.75">
      <c r="A31633" s="8">
        <v>43890.374895833331</v>
      </c>
      <c r="B31633" s="8" t="str">
        <f>HYPERLINK("https://twitter.com/tukangkejo","@tukangkejo")</f>
        <v>@tukangkejo</v>
      </c>
      <c r="C31633" s="8" t="s">
        <v>11973</v>
      </c>
      <c r="D31633" s="8">
        <v>18</v>
      </c>
      <c r="E31633" s="8">
        <v>0</v>
      </c>
      <c r="F31633" s="8">
        <v>2256</v>
      </c>
    </row>
    <row r="31634" spans="1:6" ht="12.75">
      <c r="A31634" s="8">
        <v>43890.374710648146</v>
      </c>
      <c r="B31634" s="8" t="str">
        <f>HYPERLINK("https://twitter.com/darderdordhuar","@darderdordhuar")</f>
        <v>@darderdordhuar</v>
      </c>
      <c r="C31634" s="8" t="s">
        <v>11117</v>
      </c>
      <c r="D31634" s="8">
        <v>20</v>
      </c>
      <c r="E31634" s="8">
        <v>0</v>
      </c>
      <c r="F31634" s="8">
        <v>475</v>
      </c>
    </row>
    <row r="31635" spans="1:6" ht="12.75">
      <c r="A31635" s="8">
        <v>43890.374710648146</v>
      </c>
      <c r="B31635" s="8" t="str">
        <f>HYPERLINK("https://twitter.com/alfirose_","@alfirose_")</f>
        <v>@alfirose_</v>
      </c>
      <c r="C31635" s="8" t="s">
        <v>10391</v>
      </c>
      <c r="D31635" s="8">
        <v>24</v>
      </c>
      <c r="E31635" s="8">
        <v>0</v>
      </c>
      <c r="F31635" s="8">
        <v>379</v>
      </c>
    </row>
    <row r="31636" spans="1:6" ht="12.75">
      <c r="A31636" s="8">
        <v>43890.374479166669</v>
      </c>
      <c r="B31636" s="8" t="str">
        <f>HYPERLINK("https://twitter.com/torelwisnu","@torelwisnu")</f>
        <v>@torelwisnu</v>
      </c>
      <c r="C31636" s="8" t="s">
        <v>11661</v>
      </c>
      <c r="D31636" s="8">
        <v>15</v>
      </c>
      <c r="E31636" s="8">
        <v>0</v>
      </c>
      <c r="F31636" s="8">
        <v>1327</v>
      </c>
    </row>
    <row r="31637" spans="1:6" ht="12.75">
      <c r="A31637" s="8">
        <v>43890.374456018515</v>
      </c>
      <c r="B31637" s="8" t="str">
        <f>HYPERLINK("https://twitter.com/dagelan_dunia","@dagelan_dunia")</f>
        <v>@dagelan_dunia</v>
      </c>
      <c r="C31637" s="8" t="s">
        <v>6836</v>
      </c>
      <c r="D31637" s="8">
        <v>218</v>
      </c>
      <c r="E31637" s="8">
        <v>0</v>
      </c>
      <c r="F31637" s="8">
        <v>197</v>
      </c>
    </row>
    <row r="31638" spans="1:6" ht="12.75">
      <c r="A31638" s="8">
        <v>43890.373935185184</v>
      </c>
      <c r="B31638" s="8" t="str">
        <f>HYPERLINK("https://twitter.com/anindita_ajalah","@anindita_ajalah")</f>
        <v>@anindita_ajalah</v>
      </c>
      <c r="C31638" s="8" t="s">
        <v>6863</v>
      </c>
      <c r="D31638" s="8">
        <v>322</v>
      </c>
      <c r="E31638" s="8">
        <v>0</v>
      </c>
      <c r="F31638" s="8">
        <v>21</v>
      </c>
    </row>
    <row r="31639" spans="1:6" ht="12.75">
      <c r="A31639" s="8">
        <v>43890.373819444445</v>
      </c>
      <c r="B31639" s="8" t="str">
        <f>HYPERLINK("https://twitter.com/joswito","@joswito")</f>
        <v>@joswito</v>
      </c>
      <c r="C31639" s="8" t="s">
        <v>11974</v>
      </c>
      <c r="D31639" s="8">
        <v>0</v>
      </c>
      <c r="E31639" s="8">
        <v>0</v>
      </c>
      <c r="F31639" s="8">
        <v>1268</v>
      </c>
    </row>
    <row r="31640" spans="1:6" ht="12.75">
      <c r="A31640" s="8">
        <v>43890.373807870375</v>
      </c>
      <c r="B31640" s="8" t="str">
        <f>HYPERLINK("https://twitter.com/baddocq","@baddocq")</f>
        <v>@baddocq</v>
      </c>
      <c r="C31640" s="8" t="s">
        <v>4235</v>
      </c>
      <c r="D31640" s="8">
        <v>975</v>
      </c>
      <c r="E31640" s="8">
        <v>0</v>
      </c>
      <c r="F31640" s="8">
        <v>112</v>
      </c>
    </row>
    <row r="31641" spans="1:6" ht="12.75">
      <c r="A31641" s="8">
        <v>43890.373761574076</v>
      </c>
      <c r="B31641" s="8" t="str">
        <f>HYPERLINK("https://twitter.com/dni705","@dni705")</f>
        <v>@dni705</v>
      </c>
      <c r="C31641" s="8" t="s">
        <v>11889</v>
      </c>
      <c r="D31641" s="8">
        <v>9</v>
      </c>
      <c r="E31641" s="8">
        <v>0</v>
      </c>
      <c r="F31641" s="8">
        <v>268</v>
      </c>
    </row>
    <row r="31642" spans="1:6" ht="12.75">
      <c r="A31642" s="8">
        <v>43890.373726851853</v>
      </c>
      <c r="B31642" s="8" t="str">
        <f>HYPERLINK("https://twitter.com/j3ckyl182","@j3ckyl182")</f>
        <v>@j3ckyl182</v>
      </c>
      <c r="C31642" s="8" t="s">
        <v>11975</v>
      </c>
      <c r="D31642" s="8">
        <v>0</v>
      </c>
      <c r="E31642" s="8">
        <v>0</v>
      </c>
      <c r="F31642" s="8">
        <v>9</v>
      </c>
    </row>
    <row r="31643" spans="1:6" ht="12.75">
      <c r="A31643" s="8">
        <v>43890.373506944445</v>
      </c>
      <c r="B31643" s="8" t="str">
        <f>HYPERLINK("https://twitter.com/kampusnegeri","@kampusnegeri")</f>
        <v>@kampusnegeri</v>
      </c>
      <c r="C31643" s="8" t="s">
        <v>6863</v>
      </c>
      <c r="D31643" s="8">
        <v>322</v>
      </c>
      <c r="E31643" s="8">
        <v>0</v>
      </c>
      <c r="F31643" s="8">
        <v>105</v>
      </c>
    </row>
    <row r="31644" spans="1:6" ht="12.75">
      <c r="A31644" s="8">
        <v>43890.373483796298</v>
      </c>
      <c r="B31644" s="8" t="str">
        <f>HYPERLINK("https://twitter.com/nurdiawan_andi","@nurdiawan_andi")</f>
        <v>@nurdiawan_andi</v>
      </c>
      <c r="C31644" s="8" t="s">
        <v>8746</v>
      </c>
      <c r="D31644" s="8">
        <v>66</v>
      </c>
      <c r="E31644" s="8">
        <v>0</v>
      </c>
      <c r="F31644" s="8">
        <v>229</v>
      </c>
    </row>
    <row r="31645" spans="1:6" ht="12.75">
      <c r="A31645" s="8">
        <v>43890.373460648145</v>
      </c>
      <c r="B31645" s="8" t="str">
        <f>HYPERLINK("https://twitter.com/Zinpeerzone","@Zinpeerzone")</f>
        <v>@Zinpeerzone</v>
      </c>
      <c r="C31645" s="8" t="s">
        <v>6836</v>
      </c>
      <c r="D31645" s="8">
        <v>218</v>
      </c>
      <c r="E31645" s="8">
        <v>0</v>
      </c>
      <c r="F31645" s="8">
        <v>569</v>
      </c>
    </row>
    <row r="31646" spans="1:6" ht="12.75">
      <c r="A31646" s="8">
        <v>43890.37336805556</v>
      </c>
      <c r="B31646" s="8" t="str">
        <f>HYPERLINK("https://twitter.com/ustadtengkuzul","@ustadtengkuzul")</f>
        <v>@ustadtengkuzul</v>
      </c>
      <c r="C31646" s="8" t="s">
        <v>11976</v>
      </c>
      <c r="D31646" s="8">
        <v>0</v>
      </c>
      <c r="E31646" s="8">
        <v>1</v>
      </c>
      <c r="F31646" s="8">
        <v>332466</v>
      </c>
    </row>
    <row r="31647" spans="1:6" ht="12.75">
      <c r="A31647" s="8">
        <v>43890.373344907406</v>
      </c>
      <c r="B31647" s="8" t="str">
        <f>HYPERLINK("https://twitter.com/junyantho1","@junyantho1")</f>
        <v>@junyantho1</v>
      </c>
      <c r="C31647" s="8" t="s">
        <v>11759</v>
      </c>
      <c r="D31647" s="8">
        <v>2</v>
      </c>
      <c r="E31647" s="8">
        <v>0</v>
      </c>
      <c r="F31647" s="8">
        <v>1142</v>
      </c>
    </row>
    <row r="31648" spans="1:6" ht="12.75">
      <c r="A31648" s="8">
        <v>43890.373032407406</v>
      </c>
      <c r="B31648" s="8" t="str">
        <f>HYPERLINK("https://twitter.com/Dewie34292319","@Dewie34292319")</f>
        <v>@Dewie34292319</v>
      </c>
      <c r="C31648" s="8" t="s">
        <v>8746</v>
      </c>
      <c r="D31648" s="8">
        <v>66</v>
      </c>
      <c r="E31648" s="8">
        <v>0</v>
      </c>
      <c r="F31648" s="8">
        <v>1776</v>
      </c>
    </row>
    <row r="31649" spans="1:6" ht="12.75">
      <c r="A31649" s="8">
        <v>43890.372916666667</v>
      </c>
      <c r="B31649" s="8" t="str">
        <f>HYPERLINK("https://twitter.com/sikecilmarmut","@sikecilmarmut")</f>
        <v>@sikecilmarmut</v>
      </c>
      <c r="C31649" s="8" t="s">
        <v>4235</v>
      </c>
      <c r="D31649" s="8">
        <v>975</v>
      </c>
      <c r="E31649" s="8">
        <v>0</v>
      </c>
      <c r="F31649" s="8">
        <v>2247</v>
      </c>
    </row>
    <row r="31650" spans="1:6" ht="12.75">
      <c r="A31650" s="8">
        <v>43890.372893518521</v>
      </c>
      <c r="B31650" s="8" t="str">
        <f>HYPERLINK("https://twitter.com/nerorisme","@nerorisme")</f>
        <v>@nerorisme</v>
      </c>
      <c r="C31650" s="8" t="s">
        <v>11977</v>
      </c>
      <c r="D31650" s="8">
        <v>0</v>
      </c>
      <c r="E31650" s="8">
        <v>0</v>
      </c>
      <c r="F31650" s="8">
        <v>500</v>
      </c>
    </row>
    <row r="31651" spans="1:6" ht="12.75">
      <c r="A31651" s="8">
        <v>43890.372870370367</v>
      </c>
      <c r="B31651" s="8" t="str">
        <f>HYPERLINK("https://twitter.com/liputan6dotcom","@liputan6dotcom")</f>
        <v>@liputan6dotcom</v>
      </c>
      <c r="C31651" s="8" t="s">
        <v>11978</v>
      </c>
      <c r="D31651" s="8">
        <v>0</v>
      </c>
      <c r="E31651" s="8">
        <v>5</v>
      </c>
      <c r="F31651" s="8">
        <v>3631363</v>
      </c>
    </row>
    <row r="31652" spans="1:6" ht="12.75">
      <c r="A31652" s="8">
        <v>43890.372627314813</v>
      </c>
      <c r="B31652" s="8" t="str">
        <f>HYPERLINK("https://twitter.com/onlyaidee","@onlyaidee")</f>
        <v>@onlyaidee</v>
      </c>
      <c r="C31652" s="8" t="s">
        <v>11889</v>
      </c>
      <c r="D31652" s="8">
        <v>9</v>
      </c>
      <c r="E31652" s="8">
        <v>0</v>
      </c>
      <c r="F31652" s="8">
        <v>794</v>
      </c>
    </row>
    <row r="31653" spans="1:6" ht="12.75">
      <c r="A31653" s="8">
        <v>43890.372592592597</v>
      </c>
      <c r="B31653" s="8" t="str">
        <f>HYPERLINK("https://twitter.com/kompascom","@kompascom")</f>
        <v>@kompascom</v>
      </c>
      <c r="C31653" s="8" t="s">
        <v>11979</v>
      </c>
      <c r="D31653" s="8">
        <v>2</v>
      </c>
      <c r="E31653" s="8">
        <v>20</v>
      </c>
      <c r="F31653" s="8">
        <v>7518011</v>
      </c>
    </row>
    <row r="31654" spans="1:6" ht="12.75">
      <c r="A31654" s="8">
        <v>43890.372546296298</v>
      </c>
      <c r="B31654" s="8" t="str">
        <f>HYPERLINK("https://twitter.com/gembira683101","@gembira683101")</f>
        <v>@gembira683101</v>
      </c>
      <c r="C31654" s="8" t="s">
        <v>11374</v>
      </c>
      <c r="D31654" s="8">
        <v>47</v>
      </c>
      <c r="E31654" s="8">
        <v>0</v>
      </c>
      <c r="F31654" s="8">
        <v>237</v>
      </c>
    </row>
    <row r="31655" spans="1:6" ht="12.75">
      <c r="A31655" s="8">
        <v>43890.372499999998</v>
      </c>
      <c r="B31655" s="8" t="str">
        <f>HYPERLINK("https://twitter.com/rashelFarizi","@rashelFarizi")</f>
        <v>@rashelFarizi</v>
      </c>
      <c r="C31655" s="8" t="s">
        <v>11980</v>
      </c>
      <c r="D31655" s="8">
        <v>0</v>
      </c>
      <c r="E31655" s="8">
        <v>0</v>
      </c>
      <c r="F31655" s="8">
        <v>531</v>
      </c>
    </row>
    <row r="31656" spans="1:6" ht="12.75">
      <c r="A31656" s="8">
        <v>43890.372476851851</v>
      </c>
      <c r="B31656" s="8" t="str">
        <f>HYPERLINK("https://twitter.com/Bung__Napi","@Bung__Napi")</f>
        <v>@Bung__Napi</v>
      </c>
      <c r="C31656" s="8" t="s">
        <v>11981</v>
      </c>
      <c r="D31656" s="8">
        <v>0</v>
      </c>
      <c r="E31656" s="8">
        <v>0</v>
      </c>
      <c r="F31656" s="8">
        <v>1668</v>
      </c>
    </row>
    <row r="31657" spans="1:6" ht="12.75">
      <c r="A31657" s="8">
        <v>43890.372233796297</v>
      </c>
      <c r="B31657" s="8" t="str">
        <f>HYPERLINK("https://twitter.com/pakthile","@pakthile")</f>
        <v>@pakthile</v>
      </c>
      <c r="C31657" s="8" t="s">
        <v>6863</v>
      </c>
      <c r="D31657" s="8">
        <v>322</v>
      </c>
      <c r="E31657" s="8">
        <v>0</v>
      </c>
      <c r="F31657" s="8">
        <v>104</v>
      </c>
    </row>
    <row r="31658" spans="1:6" ht="12.75">
      <c r="A31658" s="8">
        <v>43890.372106481482</v>
      </c>
      <c r="B31658" s="8" t="str">
        <f>HYPERLINK("https://twitter.com/ricosiswandi","@ricosiswandi")</f>
        <v>@ricosiswandi</v>
      </c>
      <c r="C31658" s="8" t="s">
        <v>11661</v>
      </c>
      <c r="D31658" s="8">
        <v>15</v>
      </c>
      <c r="E31658" s="8">
        <v>0</v>
      </c>
      <c r="F31658" s="8">
        <v>2509</v>
      </c>
    </row>
    <row r="31659" spans="1:6" ht="12.75">
      <c r="A31659" s="8">
        <v>43890.372071759259</v>
      </c>
      <c r="B31659" s="8" t="str">
        <f>HYPERLINK("https://twitter.com/beatrice_health","@beatrice_health")</f>
        <v>@beatrice_health</v>
      </c>
      <c r="C31659" s="8" t="s">
        <v>11889</v>
      </c>
      <c r="D31659" s="8">
        <v>9</v>
      </c>
      <c r="E31659" s="8">
        <v>0</v>
      </c>
      <c r="F31659" s="8">
        <v>435</v>
      </c>
    </row>
    <row r="31660" spans="1:6" ht="12.75">
      <c r="A31660" s="8">
        <v>43890.372037037036</v>
      </c>
      <c r="B31660" s="8" t="str">
        <f>HYPERLINK("https://twitter.com/dheniema","@dheniema")</f>
        <v>@dheniema</v>
      </c>
      <c r="C31660" s="8" t="s">
        <v>11889</v>
      </c>
      <c r="D31660" s="8">
        <v>9</v>
      </c>
      <c r="E31660" s="8">
        <v>0</v>
      </c>
      <c r="F31660" s="8">
        <v>476</v>
      </c>
    </row>
    <row r="31661" spans="1:6" ht="12.75">
      <c r="A31661" s="8">
        <v>43890.371990740736</v>
      </c>
      <c r="B31661" s="8" t="str">
        <f>HYPERLINK("https://twitter.com/BADUY08","@BADUY08")</f>
        <v>@BADUY08</v>
      </c>
      <c r="C31661" s="8" t="s">
        <v>6836</v>
      </c>
      <c r="D31661" s="8">
        <v>218</v>
      </c>
      <c r="E31661" s="8">
        <v>0</v>
      </c>
      <c r="F31661" s="8">
        <v>171</v>
      </c>
    </row>
    <row r="31662" spans="1:6" ht="12.75">
      <c r="A31662" s="8">
        <v>43890.371886574074</v>
      </c>
      <c r="B31662" s="8" t="str">
        <f>HYPERLINK("https://twitter.com/PerkasaHabsyah","@PerkasaHabsyah")</f>
        <v>@PerkasaHabsyah</v>
      </c>
      <c r="C31662" s="8" t="s">
        <v>11982</v>
      </c>
      <c r="D31662" s="8">
        <v>0</v>
      </c>
      <c r="E31662" s="8">
        <v>0</v>
      </c>
      <c r="F31662" s="8">
        <v>1128</v>
      </c>
    </row>
    <row r="31663" spans="1:6" ht="12.75">
      <c r="A31663" s="8">
        <v>43890.371874999997</v>
      </c>
      <c r="B31663" s="8" t="str">
        <f>HYPERLINK("https://twitter.com/TommyShaka","@TommyShaka")</f>
        <v>@TommyShaka</v>
      </c>
      <c r="C31663" s="8" t="s">
        <v>4235</v>
      </c>
      <c r="D31663" s="8">
        <v>975</v>
      </c>
      <c r="E31663" s="8">
        <v>0</v>
      </c>
      <c r="F31663" s="8">
        <v>219</v>
      </c>
    </row>
    <row r="31664" spans="1:6" ht="12.75">
      <c r="A31664" s="8">
        <v>43890.371747685189</v>
      </c>
      <c r="B31664" s="8" t="str">
        <f>HYPERLINK("https://twitter.com/TomTracker2","@TomTracker2")</f>
        <v>@TomTracker2</v>
      </c>
      <c r="C31664" s="8" t="s">
        <v>10757</v>
      </c>
      <c r="D31664" s="8">
        <v>8</v>
      </c>
      <c r="E31664" s="8">
        <v>0</v>
      </c>
      <c r="F31664" s="8">
        <v>2565</v>
      </c>
    </row>
    <row r="31665" spans="1:6" ht="12.75">
      <c r="A31665" s="8">
        <v>43890.371701388889</v>
      </c>
      <c r="B31665" s="8" t="str">
        <f>HYPERLINK("https://twitter.com/mrsdohkyngsoo","@mrsdohkyngsoo")</f>
        <v>@mrsdohkyngsoo</v>
      </c>
      <c r="C31665" s="8" t="s">
        <v>11983</v>
      </c>
      <c r="D31665" s="8">
        <v>0</v>
      </c>
      <c r="E31665" s="8">
        <v>0</v>
      </c>
      <c r="F31665" s="8">
        <v>634</v>
      </c>
    </row>
    <row r="31666" spans="1:6" ht="12.75">
      <c r="A31666" s="8">
        <v>43890.371585648143</v>
      </c>
      <c r="B31666" s="8" t="str">
        <f>HYPERLINK("https://twitter.com/dantepamungkas","@dantepamungkas")</f>
        <v>@dantepamungkas</v>
      </c>
      <c r="C31666" s="8" t="s">
        <v>11984</v>
      </c>
      <c r="D31666" s="8">
        <v>0</v>
      </c>
      <c r="E31666" s="8">
        <v>0</v>
      </c>
      <c r="F31666" s="8">
        <v>15</v>
      </c>
    </row>
    <row r="31667" spans="1:6" ht="12.75">
      <c r="A31667" s="8">
        <v>43890.371574074074</v>
      </c>
      <c r="B31667" s="8" t="str">
        <f>HYPERLINK("https://twitter.com/Niawahdania667","@Niawahdania667")</f>
        <v>@Niawahdania667</v>
      </c>
      <c r="C31667" s="8" t="s">
        <v>6836</v>
      </c>
      <c r="D31667" s="8">
        <v>218</v>
      </c>
      <c r="E31667" s="8">
        <v>0</v>
      </c>
      <c r="F31667" s="8">
        <v>1057</v>
      </c>
    </row>
    <row r="31668" spans="1:6" ht="12.75">
      <c r="A31668" s="8">
        <v>43890.371400462958</v>
      </c>
      <c r="B31668" s="8" t="str">
        <f>HYPERLINK("https://twitter.com/cakapcakapid","@cakapcakapid")</f>
        <v>@cakapcakapid</v>
      </c>
      <c r="C31668" s="8" t="s">
        <v>11985</v>
      </c>
      <c r="D31668" s="8">
        <v>0</v>
      </c>
      <c r="E31668" s="8">
        <v>1</v>
      </c>
      <c r="F31668" s="8">
        <v>101</v>
      </c>
    </row>
    <row r="31669" spans="1:6" ht="12.75">
      <c r="A31669" s="8">
        <v>43890.371331018519</v>
      </c>
      <c r="B31669" s="8" t="str">
        <f>HYPERLINK("https://twitter.com/SantosoEkoS","@SantosoEkoS")</f>
        <v>@SantosoEkoS</v>
      </c>
      <c r="C31669" s="8" t="s">
        <v>10391</v>
      </c>
      <c r="D31669" s="8">
        <v>24</v>
      </c>
      <c r="E31669" s="8">
        <v>0</v>
      </c>
      <c r="F31669" s="8">
        <v>176</v>
      </c>
    </row>
    <row r="31670" spans="1:6" ht="12.75">
      <c r="A31670" s="8">
        <v>43890.37127314815</v>
      </c>
      <c r="B31670" s="8" t="str">
        <f>HYPERLINK("https://twitter.com/isnapalinguwuw","@isnapalinguwuw")</f>
        <v>@isnapalinguwuw</v>
      </c>
      <c r="C31670" s="8" t="s">
        <v>6863</v>
      </c>
      <c r="D31670" s="8">
        <v>322</v>
      </c>
      <c r="E31670" s="8">
        <v>0</v>
      </c>
      <c r="F31670" s="8">
        <v>230</v>
      </c>
    </row>
    <row r="31671" spans="1:6" ht="12.75">
      <c r="A31671" s="8">
        <v>43890.371076388888</v>
      </c>
      <c r="B31671" s="8" t="str">
        <f>HYPERLINK("https://twitter.com/urip_harjito","@urip_harjito")</f>
        <v>@urip_harjito</v>
      </c>
      <c r="C31671" s="8" t="s">
        <v>11986</v>
      </c>
      <c r="D31671" s="8">
        <v>0</v>
      </c>
      <c r="E31671" s="8">
        <v>0</v>
      </c>
      <c r="F31671" s="8">
        <v>87</v>
      </c>
    </row>
    <row r="31672" spans="1:6" ht="12.75">
      <c r="A31672" s="8">
        <v>43890.370775462958</v>
      </c>
      <c r="B31672" s="8" t="str">
        <f>HYPERLINK("https://twitter.com/NurulAi14459911","@NurulAi14459911")</f>
        <v>@NurulAi14459911</v>
      </c>
      <c r="C31672" s="8" t="s">
        <v>4235</v>
      </c>
      <c r="D31672" s="8">
        <v>975</v>
      </c>
      <c r="E31672" s="8">
        <v>0</v>
      </c>
      <c r="F31672" s="8">
        <v>1297</v>
      </c>
    </row>
    <row r="31673" spans="1:6" ht="12.75">
      <c r="A31673" s="8">
        <v>43890.370752314819</v>
      </c>
      <c r="B31673" s="8" t="str">
        <f>HYPERLINK("https://twitter.com/AdaMada44811427","@AdaMada44811427")</f>
        <v>@AdaMada44811427</v>
      </c>
      <c r="C31673" s="8" t="s">
        <v>11987</v>
      </c>
      <c r="D31673" s="8">
        <v>0</v>
      </c>
      <c r="E31673" s="8">
        <v>0</v>
      </c>
      <c r="F31673" s="8">
        <v>14</v>
      </c>
    </row>
    <row r="31674" spans="1:6" ht="12.75">
      <c r="A31674" s="8">
        <v>43890.370740740742</v>
      </c>
      <c r="B31674" s="8" t="str">
        <f>HYPERLINK("https://twitter.com/sikecilmarmut","@sikecilmarmut")</f>
        <v>@sikecilmarmut</v>
      </c>
      <c r="C31674" s="8" t="s">
        <v>8746</v>
      </c>
      <c r="D31674" s="8">
        <v>66</v>
      </c>
      <c r="E31674" s="8">
        <v>0</v>
      </c>
      <c r="F31674" s="8">
        <v>2247</v>
      </c>
    </row>
    <row r="31675" spans="1:6" ht="12.75">
      <c r="A31675" s="8">
        <v>43890.370659722219</v>
      </c>
      <c r="B31675" s="8" t="str">
        <f>HYPERLINK("https://twitter.com/_sky_tree","@_sky_tree")</f>
        <v>@_sky_tree</v>
      </c>
      <c r="C31675" s="8" t="s">
        <v>10757</v>
      </c>
      <c r="D31675" s="8">
        <v>8</v>
      </c>
      <c r="E31675" s="8">
        <v>0</v>
      </c>
      <c r="F31675" s="8">
        <v>5240</v>
      </c>
    </row>
    <row r="31676" spans="1:6" ht="12.75">
      <c r="A31676" s="8">
        <v>43890.370636574073</v>
      </c>
      <c r="B31676" s="8" t="str">
        <f>HYPERLINK("https://twitter.com/Niawahdania667","@Niawahdania667")</f>
        <v>@Niawahdania667</v>
      </c>
      <c r="C31676" s="8" t="s">
        <v>6490</v>
      </c>
      <c r="D31676" s="8">
        <v>192</v>
      </c>
      <c r="E31676" s="8">
        <v>0</v>
      </c>
      <c r="F31676" s="8">
        <v>1057</v>
      </c>
    </row>
    <row r="31677" spans="1:6" ht="12.75">
      <c r="A31677" s="8">
        <v>43890.370347222226</v>
      </c>
      <c r="B31677" s="8" t="str">
        <f>HYPERLINK("https://twitter.com/IcaEndah","@IcaEndah")</f>
        <v>@IcaEndah</v>
      </c>
      <c r="C31677" s="8" t="s">
        <v>11988</v>
      </c>
      <c r="D31677" s="8">
        <v>0</v>
      </c>
      <c r="E31677" s="8">
        <v>1</v>
      </c>
      <c r="F31677" s="8">
        <v>432</v>
      </c>
    </row>
    <row r="31678" spans="1:6" ht="12.75">
      <c r="A31678" s="8">
        <v>43890.370150462964</v>
      </c>
      <c r="B31678" s="8" t="str">
        <f>HYPERLINK("https://twitter.com/Aa10S4","@Aa10S4")</f>
        <v>@Aa10S4</v>
      </c>
      <c r="C31678" s="8" t="s">
        <v>4235</v>
      </c>
      <c r="D31678" s="8">
        <v>975</v>
      </c>
      <c r="E31678" s="8">
        <v>0</v>
      </c>
      <c r="F31678" s="8">
        <v>168</v>
      </c>
    </row>
    <row r="31679" spans="1:6" ht="12.75">
      <c r="A31679" s="8">
        <v>43890.370115740741</v>
      </c>
      <c r="B31679" s="8" t="str">
        <f>HYPERLINK("https://twitter.com/mulatt3","@mulatt3")</f>
        <v>@mulatt3</v>
      </c>
      <c r="C31679" s="8" t="s">
        <v>6490</v>
      </c>
      <c r="D31679" s="8">
        <v>192</v>
      </c>
      <c r="E31679" s="8">
        <v>0</v>
      </c>
      <c r="F31679" s="8">
        <v>44</v>
      </c>
    </row>
    <row r="31680" spans="1:6" ht="12.75">
      <c r="A31680" s="8">
        <v>43890.369884259257</v>
      </c>
      <c r="B31680" s="8" t="str">
        <f t="shared" ref="B31680:B31681" si="441">HYPERLINK("https://twitter.com/abdul_charim","@abdul_charim")</f>
        <v>@abdul_charim</v>
      </c>
      <c r="C31680" s="8" t="s">
        <v>11989</v>
      </c>
      <c r="D31680" s="8">
        <v>4</v>
      </c>
      <c r="E31680" s="8">
        <v>0</v>
      </c>
      <c r="F31680" s="8">
        <v>355</v>
      </c>
    </row>
    <row r="31681" spans="1:6" ht="12.75">
      <c r="A31681" s="8">
        <v>43890.369733796295</v>
      </c>
      <c r="B31681" s="8" t="str">
        <f t="shared" si="441"/>
        <v>@abdul_charim</v>
      </c>
      <c r="C31681" s="8" t="s">
        <v>11990</v>
      </c>
      <c r="D31681" s="8">
        <v>4</v>
      </c>
      <c r="E31681" s="8">
        <v>0</v>
      </c>
      <c r="F31681" s="8">
        <v>355</v>
      </c>
    </row>
    <row r="31682" spans="1:6" ht="12.75">
      <c r="A31682" s="8">
        <v>43890.369710648149</v>
      </c>
      <c r="B31682" s="8" t="str">
        <f>HYPERLINK("https://twitter.com/rhenome","@rhenome")</f>
        <v>@rhenome</v>
      </c>
      <c r="C31682" s="8" t="s">
        <v>4235</v>
      </c>
      <c r="D31682" s="8">
        <v>975</v>
      </c>
      <c r="E31682" s="8">
        <v>0</v>
      </c>
      <c r="F31682" s="8">
        <v>208</v>
      </c>
    </row>
    <row r="31683" spans="1:6" ht="12.75">
      <c r="A31683" s="8">
        <v>43890.369432870371</v>
      </c>
      <c r="B31683" s="8" t="str">
        <f t="shared" ref="B31683:B31685" si="442">HYPERLINK("https://twitter.com/timmymalachi","@timmymalachi")</f>
        <v>@timmymalachi</v>
      </c>
      <c r="C31683" s="8" t="s">
        <v>10413</v>
      </c>
      <c r="D31683" s="8">
        <v>13</v>
      </c>
      <c r="E31683" s="8">
        <v>0</v>
      </c>
      <c r="F31683" s="8">
        <v>4157</v>
      </c>
    </row>
    <row r="31684" spans="1:6" ht="12.75">
      <c r="A31684" s="8">
        <v>43890.369155092594</v>
      </c>
      <c r="B31684" s="8" t="str">
        <f t="shared" si="442"/>
        <v>@timmymalachi</v>
      </c>
      <c r="C31684" s="8" t="s">
        <v>11117</v>
      </c>
      <c r="D31684" s="8">
        <v>20</v>
      </c>
      <c r="E31684" s="8">
        <v>0</v>
      </c>
      <c r="F31684" s="8">
        <v>4157</v>
      </c>
    </row>
    <row r="31685" spans="1:6" ht="12.75">
      <c r="A31685" s="8">
        <v>43890.369074074071</v>
      </c>
      <c r="B31685" s="8" t="str">
        <f t="shared" si="442"/>
        <v>@timmymalachi</v>
      </c>
      <c r="C31685" s="8" t="s">
        <v>11541</v>
      </c>
      <c r="D31685" s="8">
        <v>14</v>
      </c>
      <c r="E31685" s="8">
        <v>0</v>
      </c>
      <c r="F31685" s="8">
        <v>4157</v>
      </c>
    </row>
    <row r="31686" spans="1:6" ht="12.75">
      <c r="A31686" s="8">
        <v>43890.340162037042</v>
      </c>
      <c r="B31686" s="8" t="str">
        <f>HYPERLINK("https://twitter.com/alamidarisono","@alamidarisono")</f>
        <v>@alamidarisono</v>
      </c>
      <c r="C31686" s="8" t="s">
        <v>11991</v>
      </c>
      <c r="D31686" s="8">
        <v>5</v>
      </c>
      <c r="E31686" s="8">
        <v>0</v>
      </c>
      <c r="F31686" s="8">
        <v>57</v>
      </c>
    </row>
    <row r="31687" spans="1:6" ht="12.75">
      <c r="A31687" s="8">
        <v>43890.339953703704</v>
      </c>
      <c r="B31687" s="8" t="str">
        <f>HYPERLINK("https://twitter.com/mboksingsabar","@mboksingsabar")</f>
        <v>@mboksingsabar</v>
      </c>
      <c r="C31687" s="8" t="s">
        <v>11992</v>
      </c>
      <c r="D31687" s="8">
        <v>0</v>
      </c>
      <c r="E31687" s="8">
        <v>0</v>
      </c>
      <c r="F31687" s="8">
        <v>28</v>
      </c>
    </row>
    <row r="31688" spans="1:6" ht="12.75">
      <c r="A31688" s="8">
        <v>43890.339942129634</v>
      </c>
      <c r="B31688" s="8" t="str">
        <f>HYPERLINK("https://twitter.com/Nailla_Aisyah_","@Nailla_Aisyah_")</f>
        <v>@Nailla_Aisyah_</v>
      </c>
      <c r="C31688" s="8" t="s">
        <v>8746</v>
      </c>
      <c r="D31688" s="8">
        <v>28</v>
      </c>
      <c r="E31688" s="8">
        <v>0</v>
      </c>
      <c r="F31688" s="8">
        <v>3609</v>
      </c>
    </row>
    <row r="31689" spans="1:6" ht="12.75">
      <c r="A31689" s="8">
        <v>43890.339907407411</v>
      </c>
      <c r="B31689" s="8" t="str">
        <f>HYPERLINK("https://twitter.com/yswandi","@yswandi")</f>
        <v>@yswandi</v>
      </c>
      <c r="C31689" s="8" t="s">
        <v>11134</v>
      </c>
      <c r="D31689" s="8">
        <v>2</v>
      </c>
      <c r="E31689" s="8">
        <v>0</v>
      </c>
      <c r="F31689" s="8">
        <v>321</v>
      </c>
    </row>
    <row r="31690" spans="1:6" ht="12.75">
      <c r="A31690" s="8">
        <v>43890.339907407411</v>
      </c>
      <c r="B31690" s="8" t="str">
        <f>HYPERLINK("https://twitter.com/Mufti27","@Mufti27")</f>
        <v>@Mufti27</v>
      </c>
      <c r="C31690" s="8" t="s">
        <v>10755</v>
      </c>
      <c r="D31690" s="8">
        <v>632</v>
      </c>
      <c r="E31690" s="8">
        <v>0</v>
      </c>
      <c r="F31690" s="8">
        <v>277</v>
      </c>
    </row>
    <row r="31691" spans="1:6" ht="12.75">
      <c r="A31691" s="8">
        <v>43890.339490740742</v>
      </c>
      <c r="B31691" s="8" t="str">
        <f>HYPERLINK("https://twitter.com/rakyatpilih02","@rakyatpilih02")</f>
        <v>@rakyatpilih02</v>
      </c>
      <c r="C31691" s="8" t="s">
        <v>6836</v>
      </c>
      <c r="D31691" s="8">
        <v>186</v>
      </c>
      <c r="E31691" s="8">
        <v>0</v>
      </c>
      <c r="F31691" s="8">
        <v>310</v>
      </c>
    </row>
    <row r="31692" spans="1:6" ht="12.75">
      <c r="A31692" s="8">
        <v>43890.339386574073</v>
      </c>
      <c r="B31692" s="8" t="str">
        <f>HYPERLINK("https://twitter.com/robiharyadi86","@robiharyadi86")</f>
        <v>@robiharyadi86</v>
      </c>
      <c r="C31692" s="8" t="s">
        <v>4235</v>
      </c>
      <c r="D31692" s="8">
        <v>889</v>
      </c>
      <c r="E31692" s="8">
        <v>0</v>
      </c>
      <c r="F31692" s="8">
        <v>106</v>
      </c>
    </row>
    <row r="31693" spans="1:6" ht="12.75">
      <c r="A31693" s="8">
        <v>43890.339328703703</v>
      </c>
      <c r="B31693" s="8" t="str">
        <f>HYPERLINK("https://twitter.com/KBRIWashDC","@KBRIWashDC")</f>
        <v>@KBRIWashDC</v>
      </c>
      <c r="C31693" s="8" t="s">
        <v>11993</v>
      </c>
      <c r="D31693" s="8">
        <v>0</v>
      </c>
      <c r="E31693" s="8">
        <v>0</v>
      </c>
      <c r="F31693" s="8">
        <v>19442</v>
      </c>
    </row>
    <row r="31694" spans="1:6" ht="12.75">
      <c r="A31694" s="8">
        <v>43890.339131944449</v>
      </c>
      <c r="B31694" s="8" t="str">
        <f>HYPERLINK("https://twitter.com/Nenisweety1","@Nenisweety1")</f>
        <v>@Nenisweety1</v>
      </c>
      <c r="C31694" s="8" t="s">
        <v>6836</v>
      </c>
      <c r="D31694" s="8">
        <v>186</v>
      </c>
      <c r="E31694" s="8">
        <v>0</v>
      </c>
      <c r="F31694" s="8">
        <v>251</v>
      </c>
    </row>
    <row r="31695" spans="1:6" ht="12.75">
      <c r="A31695" s="8">
        <v>43890.339097222226</v>
      </c>
      <c r="B31695" s="8" t="str">
        <f>HYPERLINK("https://twitter.com/I_Thoxs","@I_Thoxs")</f>
        <v>@I_Thoxs</v>
      </c>
      <c r="C31695" s="8" t="s">
        <v>11994</v>
      </c>
      <c r="D31695" s="8">
        <v>0</v>
      </c>
      <c r="E31695" s="8">
        <v>1</v>
      </c>
      <c r="F31695" s="8">
        <v>1586</v>
      </c>
    </row>
    <row r="31696" spans="1:6" ht="12.75">
      <c r="A31696" s="8">
        <v>43890.339016203703</v>
      </c>
      <c r="B31696" s="8" t="str">
        <f>HYPERLINK("https://twitter.com/lalafasha","@lalafasha")</f>
        <v>@lalafasha</v>
      </c>
      <c r="C31696" s="8" t="s">
        <v>6490</v>
      </c>
      <c r="D31696" s="8">
        <v>183</v>
      </c>
      <c r="E31696" s="8">
        <v>0</v>
      </c>
      <c r="F31696" s="8">
        <v>75</v>
      </c>
    </row>
    <row r="31697" spans="1:6" ht="12.75">
      <c r="A31697" s="8">
        <v>43890.338993055557</v>
      </c>
      <c r="B31697" s="8" t="str">
        <f>HYPERLINK("https://twitter.com/Beritasatu","@Beritasatu")</f>
        <v>@Beritasatu</v>
      </c>
      <c r="C31697" s="8" t="s">
        <v>11995</v>
      </c>
      <c r="D31697" s="8">
        <v>0</v>
      </c>
      <c r="E31697" s="8">
        <v>0</v>
      </c>
      <c r="F31697" s="8">
        <v>616735</v>
      </c>
    </row>
    <row r="31698" spans="1:6" ht="12.75">
      <c r="A31698" s="8">
        <v>43890.33898148148</v>
      </c>
      <c r="B31698" s="8" t="str">
        <f>HYPERLINK("https://twitter.com/__SisiLusipara","@__SisiLusipara")</f>
        <v>@__SisiLusipara</v>
      </c>
      <c r="C31698" s="8" t="s">
        <v>11996</v>
      </c>
      <c r="D31698" s="8">
        <v>0</v>
      </c>
      <c r="E31698" s="8">
        <v>0</v>
      </c>
      <c r="F31698" s="8">
        <v>4323</v>
      </c>
    </row>
    <row r="31699" spans="1:6" ht="12.75">
      <c r="A31699" s="8">
        <v>43890.338749999995</v>
      </c>
      <c r="B31699" s="8" t="str">
        <f>HYPERLINK("https://twitter.com/__MV_llestari__","@__MV_llestari__")</f>
        <v>@__MV_llestari__</v>
      </c>
      <c r="C31699" s="8" t="s">
        <v>11997</v>
      </c>
      <c r="D31699" s="8">
        <v>1</v>
      </c>
      <c r="E31699" s="8">
        <v>0</v>
      </c>
      <c r="F31699" s="8">
        <v>8952</v>
      </c>
    </row>
    <row r="31700" spans="1:6" ht="12.75">
      <c r="A31700" s="8">
        <v>43890.338599537034</v>
      </c>
      <c r="B31700" s="8" t="str">
        <f>HYPERLINK("https://twitter.com/leonzio123","@leonzio123")</f>
        <v>@leonzio123</v>
      </c>
      <c r="C31700" s="8" t="s">
        <v>11998</v>
      </c>
      <c r="D31700" s="8">
        <v>1</v>
      </c>
      <c r="E31700" s="8">
        <v>1</v>
      </c>
      <c r="F31700" s="8">
        <v>1101</v>
      </c>
    </row>
    <row r="31701" spans="1:6" ht="12.75">
      <c r="A31701" s="8">
        <v>43890.338576388887</v>
      </c>
      <c r="B31701" s="8" t="str">
        <f>HYPERLINK("https://twitter.com/Slash074","@Slash074")</f>
        <v>@Slash074</v>
      </c>
      <c r="C31701" s="8" t="s">
        <v>4235</v>
      </c>
      <c r="D31701" s="8">
        <v>889</v>
      </c>
      <c r="E31701" s="8">
        <v>0</v>
      </c>
      <c r="F31701" s="8">
        <v>98</v>
      </c>
    </row>
    <row r="31702" spans="1:6" ht="12.75">
      <c r="A31702" s="8">
        <v>43890.338506944448</v>
      </c>
      <c r="B31702" s="8" t="str">
        <f>HYPERLINK("https://twitter.com/purpleColor5","@purpleColor5")</f>
        <v>@purpleColor5</v>
      </c>
      <c r="C31702" s="8" t="s">
        <v>4235</v>
      </c>
      <c r="D31702" s="8">
        <v>889</v>
      </c>
      <c r="E31702" s="8">
        <v>0</v>
      </c>
      <c r="F31702" s="8">
        <v>243</v>
      </c>
    </row>
    <row r="31703" spans="1:6" ht="12.75">
      <c r="A31703" s="8">
        <v>43890.338344907403</v>
      </c>
      <c r="B31703" s="8" t="str">
        <f>HYPERLINK("https://twitter.com/OldJoe771","@OldJoe771")</f>
        <v>@OldJoe771</v>
      </c>
      <c r="C31703" s="8" t="s">
        <v>8746</v>
      </c>
      <c r="D31703" s="8">
        <v>28</v>
      </c>
      <c r="E31703" s="8">
        <v>0</v>
      </c>
      <c r="F31703" s="8">
        <v>326</v>
      </c>
    </row>
    <row r="31704" spans="1:6" ht="12.75">
      <c r="A31704" s="8">
        <v>43890.338263888887</v>
      </c>
      <c r="B31704" s="8" t="str">
        <f>HYPERLINK("https://twitter.com/alibastard1","@alibastard1")</f>
        <v>@alibastard1</v>
      </c>
      <c r="C31704" s="8" t="s">
        <v>11999</v>
      </c>
      <c r="D31704" s="8">
        <v>0</v>
      </c>
      <c r="E31704" s="8">
        <v>0</v>
      </c>
      <c r="F31704" s="8">
        <v>1</v>
      </c>
    </row>
    <row r="31705" spans="1:6" ht="12.75">
      <c r="A31705" s="8">
        <v>43890.338240740741</v>
      </c>
      <c r="B31705" s="8" t="str">
        <f>HYPERLINK("https://twitter.com/wongjegu10","@wongjegu10")</f>
        <v>@wongjegu10</v>
      </c>
      <c r="C31705" s="8" t="s">
        <v>10391</v>
      </c>
      <c r="D31705" s="8">
        <v>14</v>
      </c>
      <c r="E31705" s="8">
        <v>0</v>
      </c>
      <c r="F31705" s="8">
        <v>22</v>
      </c>
    </row>
    <row r="31706" spans="1:6" ht="12.75">
      <c r="A31706" s="8">
        <v>43890.337824074071</v>
      </c>
      <c r="B31706" s="8" t="str">
        <f>HYPERLINK("https://twitter.com/chairulachir","@chairulachir")</f>
        <v>@chairulachir</v>
      </c>
      <c r="C31706" s="8" t="s">
        <v>10391</v>
      </c>
      <c r="D31706" s="8">
        <v>14</v>
      </c>
      <c r="E31706" s="8">
        <v>0</v>
      </c>
      <c r="F31706" s="8">
        <v>2702</v>
      </c>
    </row>
    <row r="31707" spans="1:6" ht="12.75">
      <c r="A31707" s="8">
        <v>43890.33766203704</v>
      </c>
      <c r="B31707" s="8" t="str">
        <f>HYPERLINK("https://twitter.com/HLD_23","@HLD_23")</f>
        <v>@HLD_23</v>
      </c>
      <c r="C31707" s="8" t="s">
        <v>10755</v>
      </c>
      <c r="D31707" s="8">
        <v>632</v>
      </c>
      <c r="E31707" s="8">
        <v>0</v>
      </c>
      <c r="F31707" s="8">
        <v>237</v>
      </c>
    </row>
    <row r="31708" spans="1:6" ht="12.75">
      <c r="A31708" s="8">
        <v>43890.337523148148</v>
      </c>
      <c r="B31708" s="8" t="str">
        <f>HYPERLINK("https://twitter.com/firmancell86","@firmancell86")</f>
        <v>@firmancell86</v>
      </c>
      <c r="C31708" s="8" t="s">
        <v>4235</v>
      </c>
      <c r="D31708" s="8">
        <v>889</v>
      </c>
      <c r="E31708" s="8">
        <v>0</v>
      </c>
      <c r="F31708" s="8">
        <v>22748</v>
      </c>
    </row>
    <row r="31709" spans="1:6" ht="12.75">
      <c r="A31709" s="8">
        <v>43890.337511574078</v>
      </c>
      <c r="B31709" s="8" t="str">
        <f>HYPERLINK("https://twitter.com/JancukSocial","@JancukSocial")</f>
        <v>@JancukSocial</v>
      </c>
      <c r="C31709" s="8" t="s">
        <v>11584</v>
      </c>
      <c r="D31709" s="8">
        <v>10</v>
      </c>
      <c r="E31709" s="8">
        <v>0</v>
      </c>
      <c r="F31709" s="8">
        <v>133</v>
      </c>
    </row>
    <row r="31710" spans="1:6" ht="12.75">
      <c r="A31710" s="8">
        <v>43890.337465277778</v>
      </c>
      <c r="B31710" s="8" t="str">
        <f>HYPERLINK("https://twitter.com/__MV_llestari__","@__MV_llestari__")</f>
        <v>@__MV_llestari__</v>
      </c>
      <c r="C31710" s="8" t="s">
        <v>12000</v>
      </c>
      <c r="D31710" s="8">
        <v>1</v>
      </c>
      <c r="E31710" s="8">
        <v>0</v>
      </c>
      <c r="F31710" s="8">
        <v>8952</v>
      </c>
    </row>
    <row r="31711" spans="1:6" ht="12.75">
      <c r="A31711" s="8">
        <v>43890.337418981479</v>
      </c>
      <c r="B31711" s="8" t="str">
        <f>HYPERLINK("https://twitter.com/BahrunKarim","@BahrunKarim")</f>
        <v>@BahrunKarim</v>
      </c>
      <c r="C31711" s="8" t="s">
        <v>4235</v>
      </c>
      <c r="D31711" s="8">
        <v>889</v>
      </c>
      <c r="E31711" s="8">
        <v>0</v>
      </c>
      <c r="F31711" s="8">
        <v>580</v>
      </c>
    </row>
    <row r="31712" spans="1:6" ht="12.75">
      <c r="A31712" s="8">
        <v>43890.337407407409</v>
      </c>
      <c r="B31712" s="8" t="str">
        <f>HYPERLINK("https://twitter.com/Serafin_nahak","@Serafin_nahak")</f>
        <v>@Serafin_nahak</v>
      </c>
      <c r="C31712" s="8" t="s">
        <v>10391</v>
      </c>
      <c r="D31712" s="8">
        <v>14</v>
      </c>
      <c r="E31712" s="8">
        <v>0</v>
      </c>
      <c r="F31712" s="8">
        <v>64</v>
      </c>
    </row>
    <row r="31713" spans="1:6" ht="12.75">
      <c r="A31713" s="8">
        <v>43890.337349537032</v>
      </c>
      <c r="B31713" s="8" t="str">
        <f>HYPERLINK("https://twitter.com/R4CHM4_2103","@R4CHM4_2103")</f>
        <v>@R4CHM4_2103</v>
      </c>
      <c r="C31713" s="8" t="s">
        <v>8746</v>
      </c>
      <c r="D31713" s="8">
        <v>28</v>
      </c>
      <c r="E31713" s="8">
        <v>0</v>
      </c>
      <c r="F31713" s="8">
        <v>782</v>
      </c>
    </row>
    <row r="31714" spans="1:6" ht="12.75">
      <c r="A31714" s="8">
        <v>43890.337256944447</v>
      </c>
      <c r="B31714" s="8" t="str">
        <f>HYPERLINK("https://twitter.com/zazin99","@zazin99")</f>
        <v>@zazin99</v>
      </c>
      <c r="C31714" s="8" t="s">
        <v>12001</v>
      </c>
      <c r="D31714" s="8">
        <v>9</v>
      </c>
      <c r="E31714" s="8">
        <v>0</v>
      </c>
      <c r="F31714" s="8">
        <v>308</v>
      </c>
    </row>
    <row r="31715" spans="1:6" ht="12.75">
      <c r="A31715" s="8">
        <v>43890.337141203709</v>
      </c>
      <c r="B31715" s="8" t="str">
        <f>HYPERLINK("https://twitter.com/hepipurwana","@hepipurwana")</f>
        <v>@hepipurwana</v>
      </c>
      <c r="C31715" s="8" t="s">
        <v>4235</v>
      </c>
      <c r="D31715" s="8">
        <v>889</v>
      </c>
      <c r="E31715" s="8">
        <v>0</v>
      </c>
      <c r="F31715" s="8">
        <v>357</v>
      </c>
    </row>
    <row r="31716" spans="1:6" ht="12.75">
      <c r="A31716" s="8">
        <v>43890.337118055555</v>
      </c>
      <c r="B31716" s="8" t="str">
        <f>HYPERLINK("https://twitter.com/bernardusraka","@bernardusraka")</f>
        <v>@bernardusraka</v>
      </c>
      <c r="C31716" s="8" t="s">
        <v>4235</v>
      </c>
      <c r="D31716" s="8">
        <v>889</v>
      </c>
      <c r="E31716" s="8">
        <v>0</v>
      </c>
      <c r="F31716" s="8">
        <v>735</v>
      </c>
    </row>
    <row r="31717" spans="1:6" ht="12.75">
      <c r="A31717" s="8">
        <v>43890.336898148147</v>
      </c>
      <c r="B31717" s="8" t="str">
        <f>HYPERLINK("https://twitter.com/vousemvoyev","@vousemvoyev")</f>
        <v>@vousemvoyev</v>
      </c>
      <c r="C31717" s="8" t="s">
        <v>12002</v>
      </c>
      <c r="D31717" s="8">
        <v>0</v>
      </c>
      <c r="E31717" s="8">
        <v>0</v>
      </c>
      <c r="F31717" s="8">
        <v>597</v>
      </c>
    </row>
    <row r="31718" spans="1:6" ht="12.75">
      <c r="A31718" s="8">
        <v>43890.336875000001</v>
      </c>
      <c r="B31718" s="8" t="str">
        <f>HYPERLINK("https://twitter.com/arjunmahendra","@arjunmahendra")</f>
        <v>@arjunmahendra</v>
      </c>
      <c r="C31718" s="8" t="s">
        <v>4235</v>
      </c>
      <c r="D31718" s="8">
        <v>889</v>
      </c>
      <c r="E31718" s="8">
        <v>0</v>
      </c>
      <c r="F31718" s="8">
        <v>410</v>
      </c>
    </row>
    <row r="31719" spans="1:6" ht="12.75">
      <c r="A31719" s="8">
        <v>43890.336655092593</v>
      </c>
      <c r="B31719" s="8" t="str">
        <f>HYPERLINK("https://twitter.com/ZulkiflyAChalik","@ZulkiflyAChalik")</f>
        <v>@ZulkiflyAChalik</v>
      </c>
      <c r="C31719" s="8" t="s">
        <v>8746</v>
      </c>
      <c r="D31719" s="8">
        <v>28</v>
      </c>
      <c r="E31719" s="8">
        <v>0</v>
      </c>
      <c r="F31719" s="8">
        <v>3403</v>
      </c>
    </row>
    <row r="31720" spans="1:6" ht="12.75">
      <c r="A31720" s="8">
        <v>43890.336585648147</v>
      </c>
      <c r="B31720" s="8" t="str">
        <f>HYPERLINK("https://twitter.com/raka4","@raka4")</f>
        <v>@raka4</v>
      </c>
      <c r="C31720" s="8" t="s">
        <v>6836</v>
      </c>
      <c r="D31720" s="8">
        <v>186</v>
      </c>
      <c r="E31720" s="8">
        <v>0</v>
      </c>
      <c r="F31720" s="8">
        <v>453</v>
      </c>
    </row>
    <row r="31721" spans="1:6" ht="12.75">
      <c r="A31721" s="8">
        <v>43890.33657407407</v>
      </c>
      <c r="B31721" s="8" t="str">
        <f>HYPERLINK("https://twitter.com/syuhadaaaaa__","@syuhadaaaaa__")</f>
        <v>@syuhadaaaaa__</v>
      </c>
      <c r="C31721" s="8" t="s">
        <v>11102</v>
      </c>
      <c r="D31721" s="8">
        <v>528</v>
      </c>
      <c r="E31721" s="8">
        <v>0</v>
      </c>
      <c r="F31721" s="8">
        <v>577</v>
      </c>
    </row>
    <row r="31722" spans="1:6" ht="12.75">
      <c r="A31722" s="8">
        <v>43890.336354166662</v>
      </c>
      <c r="B31722" s="8" t="str">
        <f>HYPERLINK("https://twitter.com/saddamsetiayaho","@saddamsetiayaho")</f>
        <v>@saddamsetiayaho</v>
      </c>
      <c r="C31722" s="8" t="s">
        <v>4235</v>
      </c>
      <c r="D31722" s="8">
        <v>889</v>
      </c>
      <c r="E31722" s="8">
        <v>0</v>
      </c>
      <c r="F31722" s="8">
        <v>78</v>
      </c>
    </row>
    <row r="31723" spans="1:6" ht="12.75">
      <c r="A31723" s="8">
        <v>43890.336238425924</v>
      </c>
      <c r="B31723" s="8" t="str">
        <f>HYPERLINK("https://twitter.com/wanto_shen","@wanto_shen")</f>
        <v>@wanto_shen</v>
      </c>
      <c r="C31723" s="8" t="s">
        <v>12003</v>
      </c>
      <c r="D31723" s="8">
        <v>0</v>
      </c>
      <c r="E31723" s="8">
        <v>1</v>
      </c>
      <c r="F31723" s="8">
        <v>16</v>
      </c>
    </row>
    <row r="31724" spans="1:6" ht="12.75">
      <c r="A31724" s="8">
        <v>43890.3362037037</v>
      </c>
      <c r="B31724" s="8" t="str">
        <f>HYPERLINK("https://twitter.com/ridwan2474","@ridwan2474")</f>
        <v>@ridwan2474</v>
      </c>
      <c r="C31724" s="8" t="s">
        <v>12004</v>
      </c>
      <c r="D31724" s="8">
        <v>0</v>
      </c>
      <c r="E31724" s="8">
        <v>0</v>
      </c>
      <c r="F31724" s="8">
        <v>98</v>
      </c>
    </row>
    <row r="31725" spans="1:6" ht="12.75">
      <c r="A31725" s="8">
        <v>43890.336030092592</v>
      </c>
      <c r="B31725" s="8" t="str">
        <f>HYPERLINK("https://twitter.com/J_Aryoko","@J_Aryoko")</f>
        <v>@J_Aryoko</v>
      </c>
      <c r="C31725" s="8" t="s">
        <v>12005</v>
      </c>
      <c r="D31725" s="8">
        <v>1</v>
      </c>
      <c r="E31725" s="8">
        <v>1</v>
      </c>
      <c r="F31725" s="8">
        <v>1415</v>
      </c>
    </row>
    <row r="31726" spans="1:6" ht="12.75">
      <c r="A31726" s="8">
        <v>43890.335729166662</v>
      </c>
      <c r="B31726" s="8" t="str">
        <f>HYPERLINK("https://twitter.com/aldipu","@aldipu")</f>
        <v>@aldipu</v>
      </c>
      <c r="C31726" s="8" t="s">
        <v>6490</v>
      </c>
      <c r="D31726" s="8">
        <v>183</v>
      </c>
      <c r="E31726" s="8">
        <v>0</v>
      </c>
      <c r="F31726" s="8">
        <v>550</v>
      </c>
    </row>
    <row r="31727" spans="1:6" ht="12.75">
      <c r="A31727" s="8">
        <v>43890.335266203707</v>
      </c>
      <c r="B31727" s="8" t="str">
        <f>HYPERLINK("https://twitter.com/Ditodit1","@Ditodit1")</f>
        <v>@Ditodit1</v>
      </c>
      <c r="C31727" s="8" t="s">
        <v>12006</v>
      </c>
      <c r="D31727" s="8">
        <v>1</v>
      </c>
      <c r="E31727" s="8">
        <v>0</v>
      </c>
      <c r="F31727" s="8">
        <v>32</v>
      </c>
    </row>
    <row r="31728" spans="1:6" ht="12.75">
      <c r="A31728" s="8">
        <v>43890.335104166668</v>
      </c>
      <c r="B31728" s="8" t="str">
        <f>HYPERLINK("https://twitter.com/Ghadin_Pghabu","@Ghadin_Pghabu")</f>
        <v>@Ghadin_Pghabu</v>
      </c>
      <c r="C31728" s="8" t="s">
        <v>6836</v>
      </c>
      <c r="D31728" s="8">
        <v>186</v>
      </c>
      <c r="E31728" s="8">
        <v>0</v>
      </c>
      <c r="F31728" s="8">
        <v>1248</v>
      </c>
    </row>
    <row r="31729" spans="1:6" ht="12.75">
      <c r="A31729" s="8">
        <v>43890.334999999999</v>
      </c>
      <c r="B31729" s="8" t="str">
        <f>HYPERLINK("https://twitter.com/MuhibBu52629567","@MuhibBu52629567")</f>
        <v>@MuhibBu52629567</v>
      </c>
      <c r="C31729" s="8" t="s">
        <v>12007</v>
      </c>
      <c r="D31729" s="8">
        <v>0</v>
      </c>
      <c r="E31729" s="8">
        <v>0</v>
      </c>
      <c r="F31729" s="8">
        <v>4</v>
      </c>
    </row>
    <row r="31730" spans="1:6" ht="12.75">
      <c r="A31730" s="8">
        <v>43890.334895833337</v>
      </c>
      <c r="B31730" s="8" t="str">
        <f>HYPERLINK("https://twitter.com/Aldo42128251","@Aldo42128251")</f>
        <v>@Aldo42128251</v>
      </c>
      <c r="C31730" s="8" t="s">
        <v>11479</v>
      </c>
      <c r="D31730" s="8">
        <v>4</v>
      </c>
      <c r="E31730" s="8">
        <v>0</v>
      </c>
      <c r="F31730" s="8">
        <v>239</v>
      </c>
    </row>
    <row r="31731" spans="1:6" ht="12.75">
      <c r="A31731" s="8">
        <v>43890.334421296298</v>
      </c>
      <c r="B31731" s="8" t="str">
        <f>HYPERLINK("https://twitter.com/AdelaAfandi","@AdelaAfandi")</f>
        <v>@AdelaAfandi</v>
      </c>
      <c r="C31731" s="8" t="s">
        <v>11102</v>
      </c>
      <c r="D31731" s="8">
        <v>528</v>
      </c>
      <c r="E31731" s="8">
        <v>0</v>
      </c>
      <c r="F31731" s="8">
        <v>755</v>
      </c>
    </row>
    <row r="31732" spans="1:6" ht="12.75">
      <c r="A31732" s="8">
        <v>43890.334363425922</v>
      </c>
      <c r="B31732" s="8" t="str">
        <f>HYPERLINK("https://twitter.com/muhlisinImron","@muhlisinImron")</f>
        <v>@muhlisinImron</v>
      </c>
      <c r="C31732" s="8" t="s">
        <v>4235</v>
      </c>
      <c r="D31732" s="8">
        <v>889</v>
      </c>
      <c r="E31732" s="8">
        <v>0</v>
      </c>
      <c r="F31732" s="8">
        <v>162</v>
      </c>
    </row>
    <row r="31733" spans="1:6" ht="12.75">
      <c r="A31733" s="8">
        <v>43890.334270833337</v>
      </c>
      <c r="B31733" s="8" t="str">
        <f>HYPERLINK("https://twitter.com/nh_dayat","@nh_dayat")</f>
        <v>@nh_dayat</v>
      </c>
      <c r="C31733" s="8" t="s">
        <v>4235</v>
      </c>
      <c r="D31733" s="8">
        <v>889</v>
      </c>
      <c r="E31733" s="8">
        <v>0</v>
      </c>
      <c r="F31733" s="8">
        <v>532</v>
      </c>
    </row>
    <row r="31734" spans="1:6" ht="12.75">
      <c r="A31734" s="8">
        <v>43890.334074074075</v>
      </c>
      <c r="B31734" s="8" t="str">
        <f>HYPERLINK("https://twitter.com/Betadin7","@Betadin7")</f>
        <v>@Betadin7</v>
      </c>
      <c r="C31734" s="8" t="s">
        <v>4235</v>
      </c>
      <c r="D31734" s="8">
        <v>889</v>
      </c>
      <c r="E31734" s="8">
        <v>0</v>
      </c>
      <c r="F31734" s="8">
        <v>264</v>
      </c>
    </row>
    <row r="31735" spans="1:6" ht="12.75">
      <c r="A31735" s="8">
        <v>43890.33393518519</v>
      </c>
      <c r="B31735" s="8" t="str">
        <f>HYPERLINK("https://twitter.com/Slash074","@Slash074")</f>
        <v>@Slash074</v>
      </c>
      <c r="C31735" s="8" t="s">
        <v>12008</v>
      </c>
      <c r="D31735" s="8">
        <v>0</v>
      </c>
      <c r="E31735" s="8">
        <v>0</v>
      </c>
      <c r="F31735" s="8">
        <v>98</v>
      </c>
    </row>
    <row r="31736" spans="1:6" ht="12.75">
      <c r="A31736" s="8">
        <v>43890.333819444444</v>
      </c>
      <c r="B31736" s="8" t="str">
        <f>HYPERLINK("https://twitter.com/EULIS61893872","@EULIS61893872")</f>
        <v>@EULIS61893872</v>
      </c>
      <c r="C31736" s="8" t="s">
        <v>8746</v>
      </c>
      <c r="D31736" s="8">
        <v>28</v>
      </c>
      <c r="E31736" s="8">
        <v>0</v>
      </c>
      <c r="F31736" s="8">
        <v>383</v>
      </c>
    </row>
    <row r="31737" spans="1:6" ht="12.75">
      <c r="A31737" s="8">
        <v>43890.333530092597</v>
      </c>
      <c r="B31737" s="8" t="str">
        <f>HYPERLINK("https://twitter.com/ephraym8","@ephraym8")</f>
        <v>@ephraym8</v>
      </c>
      <c r="C31737" s="8" t="s">
        <v>4579</v>
      </c>
      <c r="D31737" s="8">
        <v>5</v>
      </c>
      <c r="E31737" s="8">
        <v>0</v>
      </c>
      <c r="F31737" s="8">
        <v>1179</v>
      </c>
    </row>
    <row r="31738" spans="1:6" ht="12.75">
      <c r="A31738" s="8">
        <v>43890.333483796298</v>
      </c>
      <c r="B31738" s="8" t="str">
        <f>HYPERLINK("https://twitter.com/vachrie313","@vachrie313")</f>
        <v>@vachrie313</v>
      </c>
      <c r="C31738" s="8" t="s">
        <v>10755</v>
      </c>
      <c r="D31738" s="8">
        <v>632</v>
      </c>
      <c r="E31738" s="8">
        <v>0</v>
      </c>
      <c r="F31738" s="8">
        <v>140</v>
      </c>
    </row>
    <row r="31739" spans="1:6" ht="12.75">
      <c r="A31739" s="8">
        <v>43890.333379629628</v>
      </c>
      <c r="B31739" s="8" t="str">
        <f>HYPERLINK("https://twitter.com/Dewie34292319","@Dewie34292319")</f>
        <v>@Dewie34292319</v>
      </c>
      <c r="C31739" s="8" t="s">
        <v>6490</v>
      </c>
      <c r="D31739" s="8">
        <v>183</v>
      </c>
      <c r="E31739" s="8">
        <v>0</v>
      </c>
      <c r="F31739" s="8">
        <v>1775</v>
      </c>
    </row>
    <row r="31740" spans="1:6" ht="12.75">
      <c r="A31740" s="8">
        <v>43890.333344907413</v>
      </c>
      <c r="B31740" s="8" t="str">
        <f>HYPERLINK("https://twitter.com/weddie_s","@weddie_s")</f>
        <v>@weddie_s</v>
      </c>
      <c r="C31740" s="8" t="s">
        <v>12009</v>
      </c>
      <c r="D31740" s="8">
        <v>0</v>
      </c>
      <c r="E31740" s="8">
        <v>0</v>
      </c>
      <c r="F31740" s="8">
        <v>2797</v>
      </c>
    </row>
    <row r="31741" spans="1:6" ht="12.75">
      <c r="A31741" s="8">
        <v>43890.333344907413</v>
      </c>
      <c r="B31741" s="8" t="str">
        <f>HYPERLINK("https://twitter.com/ags_irwansyah","@ags_irwansyah")</f>
        <v>@ags_irwansyah</v>
      </c>
      <c r="C31741" s="8" t="s">
        <v>12010</v>
      </c>
      <c r="D31741" s="8">
        <v>0</v>
      </c>
      <c r="E31741" s="8">
        <v>0</v>
      </c>
      <c r="F31741" s="8">
        <v>1270</v>
      </c>
    </row>
    <row r="31742" spans="1:6" ht="12.75">
      <c r="A31742" s="8">
        <v>43890.333171296297</v>
      </c>
      <c r="B31742" s="8" t="str">
        <f>HYPERLINK("https://twitter.com/Indraeferes","@Indraeferes")</f>
        <v>@Indraeferes</v>
      </c>
      <c r="C31742" s="8" t="s">
        <v>4235</v>
      </c>
      <c r="D31742" s="8">
        <v>889</v>
      </c>
      <c r="E31742" s="8">
        <v>0</v>
      </c>
      <c r="F31742" s="8">
        <v>837</v>
      </c>
    </row>
    <row r="31743" spans="1:6" ht="12.75">
      <c r="A31743" s="8">
        <v>43890.333171296297</v>
      </c>
      <c r="B31743" s="8" t="str">
        <f>HYPERLINK("https://twitter.com/rifahN_","@rifahN_")</f>
        <v>@rifahN_</v>
      </c>
      <c r="C31743" s="8" t="s">
        <v>4235</v>
      </c>
      <c r="D31743" s="8">
        <v>889</v>
      </c>
      <c r="E31743" s="8">
        <v>0</v>
      </c>
      <c r="F31743" s="8">
        <v>120</v>
      </c>
    </row>
    <row r="31744" spans="1:6" ht="12.75">
      <c r="A31744" s="8">
        <v>43890.333055555559</v>
      </c>
      <c r="B31744" s="8" t="str">
        <f>HYPERLINK("https://twitter.com/barengarkananta","@barengarkananta")</f>
        <v>@barengarkananta</v>
      </c>
      <c r="C31744" s="8" t="s">
        <v>6490</v>
      </c>
      <c r="D31744" s="8">
        <v>183</v>
      </c>
      <c r="E31744" s="8">
        <v>0</v>
      </c>
      <c r="F31744" s="8">
        <v>1668</v>
      </c>
    </row>
    <row r="31745" spans="1:6" ht="12.75">
      <c r="A31745" s="8">
        <v>43890.332696759258</v>
      </c>
      <c r="B31745" s="8" t="str">
        <f>HYPERLINK("https://twitter.com/viskaya","@viskaya")</f>
        <v>@viskaya</v>
      </c>
      <c r="C31745" s="8" t="s">
        <v>4235</v>
      </c>
      <c r="D31745" s="8">
        <v>889</v>
      </c>
      <c r="E31745" s="8">
        <v>0</v>
      </c>
      <c r="F31745" s="8">
        <v>779</v>
      </c>
    </row>
    <row r="31746" spans="1:6" ht="12.75">
      <c r="A31746" s="8">
        <v>43890.332615740743</v>
      </c>
      <c r="B31746" s="8" t="str">
        <f>HYPERLINK("https://twitter.com/mplsk_nana","@mplsk_nana")</f>
        <v>@mplsk_nana</v>
      </c>
      <c r="C31746" s="8" t="s">
        <v>10743</v>
      </c>
      <c r="D31746" s="8">
        <v>121</v>
      </c>
      <c r="E31746" s="8">
        <v>0</v>
      </c>
      <c r="F31746" s="8">
        <v>116</v>
      </c>
    </row>
    <row r="31747" spans="1:6" ht="12.75">
      <c r="A31747" s="8">
        <v>43890.332476851851</v>
      </c>
      <c r="B31747" s="8" t="str">
        <f>HYPERLINK("https://twitter.com/fenifachr","@fenifachr")</f>
        <v>@fenifachr</v>
      </c>
      <c r="C31747" s="8" t="s">
        <v>12011</v>
      </c>
      <c r="D31747" s="8">
        <v>0</v>
      </c>
      <c r="E31747" s="8">
        <v>0</v>
      </c>
      <c r="F31747" s="8">
        <v>175</v>
      </c>
    </row>
    <row r="31748" spans="1:6" ht="12.75">
      <c r="A31748" s="8">
        <v>43890.332430555558</v>
      </c>
      <c r="B31748" s="8" t="str">
        <f>HYPERLINK("https://twitter.com/uganprayoga","@uganprayoga")</f>
        <v>@uganprayoga</v>
      </c>
      <c r="C31748" s="8" t="s">
        <v>4235</v>
      </c>
      <c r="D31748" s="8">
        <v>889</v>
      </c>
      <c r="E31748" s="8">
        <v>0</v>
      </c>
      <c r="F31748" s="8">
        <v>273</v>
      </c>
    </row>
    <row r="31749" spans="1:6" ht="12.75">
      <c r="A31749" s="8">
        <v>43890.332326388889</v>
      </c>
      <c r="B31749" s="8" t="str">
        <f>HYPERLINK("https://twitter.com/agama_nusantara","@agama_nusantara")</f>
        <v>@agama_nusantara</v>
      </c>
      <c r="C31749" s="8" t="s">
        <v>10391</v>
      </c>
      <c r="D31749" s="8">
        <v>14</v>
      </c>
      <c r="E31749" s="8">
        <v>0</v>
      </c>
      <c r="F31749" s="8">
        <v>7371</v>
      </c>
    </row>
    <row r="31750" spans="1:6" ht="12.75">
      <c r="A31750" s="8">
        <v>43890.332314814819</v>
      </c>
      <c r="B31750" s="8" t="str">
        <f>HYPERLINK("https://twitter.com/anniieNey","@anniieNey")</f>
        <v>@anniieNey</v>
      </c>
      <c r="C31750" s="8" t="s">
        <v>12012</v>
      </c>
      <c r="D31750" s="8">
        <v>0</v>
      </c>
      <c r="E31750" s="8">
        <v>0</v>
      </c>
      <c r="F31750" s="8">
        <v>32</v>
      </c>
    </row>
    <row r="31751" spans="1:6" ht="12.75">
      <c r="A31751" s="8">
        <v>43890.332268518519</v>
      </c>
      <c r="B31751" s="8" t="str">
        <f>HYPERLINK("https://twitter.com/coradz","@coradz")</f>
        <v>@coradz</v>
      </c>
      <c r="C31751" s="8" t="s">
        <v>11991</v>
      </c>
      <c r="D31751" s="8">
        <v>5</v>
      </c>
      <c r="E31751" s="8">
        <v>0</v>
      </c>
      <c r="F31751" s="8">
        <v>335</v>
      </c>
    </row>
    <row r="31752" spans="1:6" ht="12.75">
      <c r="A31752" s="8">
        <v>43890.332152777773</v>
      </c>
      <c r="B31752" s="8" t="str">
        <f>HYPERLINK("https://twitter.com/ksjhyo","@ksjhyo")</f>
        <v>@ksjhyo</v>
      </c>
      <c r="C31752" s="8" t="s">
        <v>11102</v>
      </c>
      <c r="D31752" s="8">
        <v>528</v>
      </c>
      <c r="E31752" s="8">
        <v>0</v>
      </c>
      <c r="F31752" s="8">
        <v>416</v>
      </c>
    </row>
    <row r="31753" spans="1:6" ht="12.75">
      <c r="A31753" s="8">
        <v>43890.33211805555</v>
      </c>
      <c r="B31753" s="8" t="str">
        <f>HYPERLINK("https://twitter.com/Airlangga_yuda","@Airlangga_yuda")</f>
        <v>@Airlangga_yuda</v>
      </c>
      <c r="C31753" s="8" t="s">
        <v>11117</v>
      </c>
      <c r="D31753" s="8">
        <v>12</v>
      </c>
      <c r="E31753" s="8">
        <v>0</v>
      </c>
      <c r="F31753" s="8">
        <v>1057</v>
      </c>
    </row>
    <row r="31754" spans="1:6" ht="12.75">
      <c r="A31754" s="8">
        <v>43890.332048611112</v>
      </c>
      <c r="B31754" s="8" t="str">
        <f>HYPERLINK("https://twitter.com/prayitno_herman","@prayitno_herman")</f>
        <v>@prayitno_herman</v>
      </c>
      <c r="C31754" s="8" t="s">
        <v>12013</v>
      </c>
      <c r="D31754" s="8">
        <v>3</v>
      </c>
      <c r="E31754" s="8">
        <v>0</v>
      </c>
      <c r="F31754" s="8">
        <v>3224</v>
      </c>
    </row>
    <row r="31755" spans="1:6" ht="12.75">
      <c r="A31755" s="8">
        <v>43890.332002314812</v>
      </c>
      <c r="B31755" s="8" t="str">
        <f>HYPERLINK("https://twitter.com/FernianHaeHaean","@FernianHaeHaean")</f>
        <v>@FernianHaeHaean</v>
      </c>
      <c r="C31755" s="8" t="s">
        <v>8746</v>
      </c>
      <c r="D31755" s="8">
        <v>28</v>
      </c>
      <c r="E31755" s="8">
        <v>0</v>
      </c>
      <c r="F31755" s="8">
        <v>231</v>
      </c>
    </row>
    <row r="31756" spans="1:6" ht="12.75">
      <c r="A31756" s="8">
        <v>43890.332002314812</v>
      </c>
      <c r="B31756" s="8" t="str">
        <f>HYPERLINK("https://twitter.com/prayitno_herman","@prayitno_herman")</f>
        <v>@prayitno_herman</v>
      </c>
      <c r="C31756" s="8" t="s">
        <v>12014</v>
      </c>
      <c r="D31756" s="8">
        <v>3</v>
      </c>
      <c r="E31756" s="8">
        <v>0</v>
      </c>
      <c r="F31756" s="8">
        <v>3224</v>
      </c>
    </row>
    <row r="31757" spans="1:6" ht="12.75">
      <c r="A31757" s="8">
        <v>43890.331724537042</v>
      </c>
      <c r="B31757" s="8" t="str">
        <f>HYPERLINK("https://twitter.com/Bayu12A","@Bayu12A")</f>
        <v>@Bayu12A</v>
      </c>
      <c r="C31757" s="8" t="s">
        <v>12015</v>
      </c>
      <c r="D31757" s="8">
        <v>0</v>
      </c>
      <c r="E31757" s="8">
        <v>0</v>
      </c>
      <c r="F31757" s="8">
        <v>79</v>
      </c>
    </row>
    <row r="31758" spans="1:6" ht="12.75">
      <c r="A31758" s="8">
        <v>43890.331273148149</v>
      </c>
      <c r="B31758" s="8" t="str">
        <f>HYPERLINK("https://twitter.com/BaratLangowan","@BaratLangowan")</f>
        <v>@BaratLangowan</v>
      </c>
      <c r="C31758" s="8" t="s">
        <v>11691</v>
      </c>
      <c r="D31758" s="8">
        <v>42</v>
      </c>
      <c r="E31758" s="8">
        <v>0</v>
      </c>
      <c r="F31758" s="8">
        <v>5</v>
      </c>
    </row>
    <row r="31759" spans="1:6" ht="12.75">
      <c r="A31759" s="8">
        <v>43890.331157407403</v>
      </c>
      <c r="B31759" s="8" t="str">
        <f>HYPERLINK("https://twitter.com/arfien_widodo","@arfien_widodo")</f>
        <v>@arfien_widodo</v>
      </c>
      <c r="C31759" s="8" t="s">
        <v>4235</v>
      </c>
      <c r="D31759" s="8">
        <v>889</v>
      </c>
      <c r="E31759" s="8">
        <v>0</v>
      </c>
      <c r="F31759" s="8">
        <v>164</v>
      </c>
    </row>
    <row r="31760" spans="1:6" ht="12.75">
      <c r="A31760" s="8">
        <v>43890.330914351856</v>
      </c>
      <c r="B31760" s="8" t="str">
        <f>HYPERLINK("https://twitter.com/hayheyhun","@hayheyhun")</f>
        <v>@hayheyhun</v>
      </c>
      <c r="C31760" s="8" t="s">
        <v>10721</v>
      </c>
      <c r="D31760" s="8">
        <v>147</v>
      </c>
      <c r="E31760" s="8">
        <v>0</v>
      </c>
      <c r="F31760" s="8">
        <v>431</v>
      </c>
    </row>
    <row r="31761" spans="1:6" ht="12.75">
      <c r="A31761" s="8">
        <v>43890.33084490741</v>
      </c>
      <c r="B31761" s="8" t="str">
        <f>HYPERLINK("https://twitter.com/FirmanSiddi","@FirmanSiddi")</f>
        <v>@FirmanSiddi</v>
      </c>
      <c r="C31761" s="8" t="s">
        <v>6836</v>
      </c>
      <c r="D31761" s="8">
        <v>186</v>
      </c>
      <c r="E31761" s="8">
        <v>0</v>
      </c>
      <c r="F31761" s="8">
        <v>785</v>
      </c>
    </row>
    <row r="31762" spans="1:6" ht="12.75">
      <c r="A31762" s="8">
        <v>43890.330821759257</v>
      </c>
      <c r="B31762" s="8" t="str">
        <f>HYPERLINK("https://twitter.com/Jich1269","@Jich1269")</f>
        <v>@Jich1269</v>
      </c>
      <c r="C31762" s="8" t="s">
        <v>4235</v>
      </c>
      <c r="D31762" s="8">
        <v>889</v>
      </c>
      <c r="E31762" s="8">
        <v>0</v>
      </c>
      <c r="F31762" s="8">
        <v>292</v>
      </c>
    </row>
    <row r="31763" spans="1:6" ht="12.75">
      <c r="A31763" s="8">
        <v>43890.330601851849</v>
      </c>
      <c r="B31763" s="8" t="str">
        <f>HYPERLINK("https://twitter.com/SriMulyani503","@SriMulyani503")</f>
        <v>@SriMulyani503</v>
      </c>
      <c r="C31763" s="8" t="s">
        <v>11302</v>
      </c>
      <c r="D31763" s="8">
        <v>42</v>
      </c>
      <c r="E31763" s="8">
        <v>0</v>
      </c>
      <c r="F31763" s="8">
        <v>345</v>
      </c>
    </row>
    <row r="31764" spans="1:6" ht="12.75">
      <c r="A31764" s="8">
        <v>43890.330578703702</v>
      </c>
      <c r="B31764" s="8" t="str">
        <f>HYPERLINK("https://twitter.com/junimuryadi","@junimuryadi")</f>
        <v>@junimuryadi</v>
      </c>
      <c r="C31764" s="8" t="s">
        <v>4235</v>
      </c>
      <c r="D31764" s="8">
        <v>889</v>
      </c>
      <c r="E31764" s="8">
        <v>0</v>
      </c>
      <c r="F31764" s="8">
        <v>174</v>
      </c>
    </row>
    <row r="31765" spans="1:6" ht="12.75">
      <c r="A31765" s="8">
        <v>43890.330567129626</v>
      </c>
      <c r="B31765" s="8" t="str">
        <f>HYPERLINK("https://twitter.com/SuluhSumatera","@SuluhSumatera")</f>
        <v>@SuluhSumatera</v>
      </c>
      <c r="C31765" s="8" t="s">
        <v>12016</v>
      </c>
      <c r="D31765" s="8">
        <v>0</v>
      </c>
      <c r="E31765" s="8">
        <v>0</v>
      </c>
      <c r="F31765" s="8">
        <v>542</v>
      </c>
    </row>
    <row r="31766" spans="1:6" ht="12.75">
      <c r="A31766" s="8">
        <v>43890.330439814818</v>
      </c>
      <c r="B31766" s="8" t="str">
        <f>HYPERLINK("https://twitter.com/SeeA74","@SeeA74")</f>
        <v>@SeeA74</v>
      </c>
      <c r="C31766" s="8" t="s">
        <v>4235</v>
      </c>
      <c r="D31766" s="8">
        <v>889</v>
      </c>
      <c r="E31766" s="8">
        <v>0</v>
      </c>
      <c r="F31766" s="8">
        <v>161</v>
      </c>
    </row>
    <row r="31767" spans="1:6" ht="12.75">
      <c r="A31767" s="8">
        <v>43890.330034722225</v>
      </c>
      <c r="B31767" s="8" t="str">
        <f>HYPERLINK("https://twitter.com/joshku","@joshku")</f>
        <v>@joshku</v>
      </c>
      <c r="C31767" s="8" t="s">
        <v>11374</v>
      </c>
      <c r="D31767" s="8">
        <v>34</v>
      </c>
      <c r="E31767" s="8">
        <v>0</v>
      </c>
      <c r="F31767" s="8">
        <v>311</v>
      </c>
    </row>
    <row r="31768" spans="1:6" ht="12.75">
      <c r="A31768" s="8">
        <v>43890.329641203702</v>
      </c>
      <c r="B31768" s="8" t="str">
        <f>HYPERLINK("https://twitter.com/YenYudie","@YenYudie")</f>
        <v>@YenYudie</v>
      </c>
      <c r="C31768" s="8" t="s">
        <v>10755</v>
      </c>
      <c r="D31768" s="8">
        <v>632</v>
      </c>
      <c r="E31768" s="8">
        <v>0</v>
      </c>
      <c r="F31768" s="8">
        <v>7</v>
      </c>
    </row>
    <row r="31769" spans="1:6" ht="12.75">
      <c r="A31769" s="8">
        <v>43890.329583333332</v>
      </c>
      <c r="B31769" s="8" t="str">
        <f>HYPERLINK("https://twitter.com/CarlesSimanjun5","@CarlesSimanjun5")</f>
        <v>@CarlesSimanjun5</v>
      </c>
      <c r="C31769" s="8" t="s">
        <v>12017</v>
      </c>
      <c r="D31769" s="8">
        <v>0</v>
      </c>
      <c r="E31769" s="8">
        <v>0</v>
      </c>
      <c r="F31769" s="8">
        <v>11</v>
      </c>
    </row>
    <row r="31770" spans="1:6" ht="12.75">
      <c r="A31770" s="8">
        <v>43890.329467592594</v>
      </c>
      <c r="B31770" s="8" t="str">
        <f>HYPERLINK("https://twitter.com/dwiewibawanto","@dwiewibawanto")</f>
        <v>@dwiewibawanto</v>
      </c>
      <c r="C31770" s="8" t="s">
        <v>4235</v>
      </c>
      <c r="D31770" s="8">
        <v>889</v>
      </c>
      <c r="E31770" s="8">
        <v>0</v>
      </c>
      <c r="F31770" s="8">
        <v>342</v>
      </c>
    </row>
    <row r="31771" spans="1:6" ht="12.75">
      <c r="A31771" s="8">
        <v>43890.329409722224</v>
      </c>
      <c r="B31771" s="8" t="str">
        <f>HYPERLINK("https://twitter.com/jokerhijrah84","@jokerhijrah84")</f>
        <v>@jokerhijrah84</v>
      </c>
      <c r="C31771" s="8" t="s">
        <v>4235</v>
      </c>
      <c r="D31771" s="8">
        <v>889</v>
      </c>
      <c r="E31771" s="8">
        <v>0</v>
      </c>
      <c r="F31771" s="8">
        <v>159</v>
      </c>
    </row>
    <row r="31772" spans="1:6" ht="12.75">
      <c r="A31772" s="8">
        <v>43890.329317129625</v>
      </c>
      <c r="B31772" s="8" t="str">
        <f>HYPERLINK("https://twitter.com/__MV_llestari__","@__MV_llestari__")</f>
        <v>@__MV_llestari__</v>
      </c>
      <c r="C31772" s="8" t="s">
        <v>4579</v>
      </c>
      <c r="D31772" s="8">
        <v>5</v>
      </c>
      <c r="E31772" s="8">
        <v>0</v>
      </c>
      <c r="F31772" s="8">
        <v>8952</v>
      </c>
    </row>
    <row r="31773" spans="1:6" ht="12.75">
      <c r="A31773" s="8">
        <v>43890.329074074078</v>
      </c>
      <c r="B31773" s="8" t="str">
        <f>HYPERLINK("https://twitter.com/Adjiesupergates","@Adjiesupergates")</f>
        <v>@Adjiesupergates</v>
      </c>
      <c r="C31773" s="8" t="s">
        <v>4235</v>
      </c>
      <c r="D31773" s="8">
        <v>889</v>
      </c>
      <c r="E31773" s="8">
        <v>0</v>
      </c>
      <c r="F31773" s="8">
        <v>160</v>
      </c>
    </row>
    <row r="31774" spans="1:6" ht="12.75">
      <c r="A31774" s="8">
        <v>43890.328993055555</v>
      </c>
      <c r="B31774" s="8" t="str">
        <f>HYPERLINK("https://twitter.com/Attaya23655214","@Attaya23655214")</f>
        <v>@Attaya23655214</v>
      </c>
      <c r="C31774" s="8" t="s">
        <v>10755</v>
      </c>
      <c r="D31774" s="8">
        <v>632</v>
      </c>
      <c r="E31774" s="8">
        <v>0</v>
      </c>
      <c r="F31774" s="8">
        <v>7</v>
      </c>
    </row>
    <row r="31775" spans="1:6" ht="12.75">
      <c r="A31775" s="8">
        <v>43890.328981481478</v>
      </c>
      <c r="B31775" s="8" t="str">
        <f>HYPERLINK("https://twitter.com/mbakyanes","@mbakyanes")</f>
        <v>@mbakyanes</v>
      </c>
      <c r="C31775" s="8" t="s">
        <v>12018</v>
      </c>
      <c r="D31775" s="8">
        <v>0</v>
      </c>
      <c r="E31775" s="8">
        <v>0</v>
      </c>
      <c r="F31775" s="8">
        <v>1832</v>
      </c>
    </row>
    <row r="31776" spans="1:6" ht="12.75">
      <c r="A31776" s="8">
        <v>43890.328969907408</v>
      </c>
      <c r="B31776" s="8" t="str">
        <f>HYPERLINK("https://twitter.com/ekosapa","@ekosapa")</f>
        <v>@ekosapa</v>
      </c>
      <c r="C31776" s="8" t="s">
        <v>10755</v>
      </c>
      <c r="D31776" s="8">
        <v>632</v>
      </c>
      <c r="E31776" s="8">
        <v>0</v>
      </c>
      <c r="F31776" s="8">
        <v>636</v>
      </c>
    </row>
    <row r="31777" spans="1:6" ht="12.75">
      <c r="A31777" s="8">
        <v>43890.328946759255</v>
      </c>
      <c r="B31777" s="8" t="str">
        <f>HYPERLINK("https://twitter.com/FSariandi","@FSariandi")</f>
        <v>@FSariandi</v>
      </c>
      <c r="C31777" s="8" t="s">
        <v>4235</v>
      </c>
      <c r="D31777" s="8">
        <v>889</v>
      </c>
      <c r="E31777" s="8">
        <v>0</v>
      </c>
      <c r="F31777" s="8">
        <v>314</v>
      </c>
    </row>
    <row r="31778" spans="1:6" ht="12.75">
      <c r="A31778" s="8">
        <v>43890.328611111108</v>
      </c>
      <c r="B31778" s="8" t="str">
        <f>HYPERLINK("https://twitter.com/JadiLebih","@JadiLebih")</f>
        <v>@JadiLebih</v>
      </c>
      <c r="C31778" s="8" t="s">
        <v>6490</v>
      </c>
      <c r="D31778" s="8">
        <v>183</v>
      </c>
      <c r="E31778" s="8">
        <v>0</v>
      </c>
      <c r="F31778" s="8">
        <v>880</v>
      </c>
    </row>
    <row r="31779" spans="1:6" ht="12.75">
      <c r="A31779" s="8">
        <v>43890.328576388885</v>
      </c>
      <c r="B31779" s="8" t="str">
        <f>HYPERLINK("https://twitter.com/isis_vic0","@isis_vic0")</f>
        <v>@isis_vic0</v>
      </c>
      <c r="C31779" s="8" t="s">
        <v>12019</v>
      </c>
      <c r="D31779" s="8">
        <v>1</v>
      </c>
      <c r="E31779" s="8">
        <v>1</v>
      </c>
      <c r="F31779" s="8">
        <v>262</v>
      </c>
    </row>
    <row r="31780" spans="1:6" ht="12.75">
      <c r="A31780" s="8">
        <v>43890.328321759254</v>
      </c>
      <c r="B31780" s="8" t="str">
        <f>HYPERLINK("https://twitter.com/blm_bebas","@blm_bebas")</f>
        <v>@blm_bebas</v>
      </c>
      <c r="C31780" s="8" t="s">
        <v>4235</v>
      </c>
      <c r="D31780" s="8">
        <v>889</v>
      </c>
      <c r="E31780" s="8">
        <v>0</v>
      </c>
      <c r="F31780" s="8">
        <v>81</v>
      </c>
    </row>
    <row r="31781" spans="1:6" ht="12.75">
      <c r="A31781" s="8">
        <v>43890.32811342593</v>
      </c>
      <c r="B31781" s="8" t="str">
        <f>HYPERLINK("https://twitter.com/SeblakCekerPdas","@SeblakCekerPdas")</f>
        <v>@SeblakCekerPdas</v>
      </c>
      <c r="C31781" s="8" t="s">
        <v>9768</v>
      </c>
      <c r="D31781" s="8">
        <v>88</v>
      </c>
      <c r="E31781" s="8">
        <v>0</v>
      </c>
      <c r="F31781" s="8">
        <v>1</v>
      </c>
    </row>
    <row r="31782" spans="1:6" ht="12.75">
      <c r="A31782" s="8">
        <v>43890.327256944445</v>
      </c>
      <c r="B31782" s="8" t="str">
        <f>HYPERLINK("https://twitter.com/Q_oposan","@Q_oposan")</f>
        <v>@Q_oposan</v>
      </c>
      <c r="C31782" s="8" t="s">
        <v>4235</v>
      </c>
      <c r="D31782" s="8">
        <v>889</v>
      </c>
      <c r="E31782" s="8">
        <v>0</v>
      </c>
      <c r="F31782" s="8">
        <v>1272</v>
      </c>
    </row>
    <row r="31783" spans="1:6" ht="12.75">
      <c r="A31783" s="8">
        <v>43890.327175925922</v>
      </c>
      <c r="B31783" s="8" t="str">
        <f>HYPERLINK("https://twitter.com/rianntears","@rianntears")</f>
        <v>@rianntears</v>
      </c>
      <c r="C31783" s="8" t="s">
        <v>8746</v>
      </c>
      <c r="D31783" s="8">
        <v>28</v>
      </c>
      <c r="E31783" s="8">
        <v>0</v>
      </c>
      <c r="F31783" s="8">
        <v>1303</v>
      </c>
    </row>
    <row r="31784" spans="1:6" ht="12.75">
      <c r="A31784" s="8">
        <v>43890.327048611114</v>
      </c>
      <c r="B31784" s="8" t="str">
        <f>HYPERLINK("https://twitter.com/rianverysetya","@rianverysetya")</f>
        <v>@rianverysetya</v>
      </c>
      <c r="C31784" s="8" t="s">
        <v>4235</v>
      </c>
      <c r="D31784" s="8">
        <v>889</v>
      </c>
      <c r="E31784" s="8">
        <v>0</v>
      </c>
      <c r="F31784" s="8">
        <v>372</v>
      </c>
    </row>
    <row r="31785" spans="1:6" ht="12.75">
      <c r="A31785" s="8">
        <v>43890.327002314814</v>
      </c>
      <c r="B31785" s="8" t="str">
        <f>HYPERLINK("https://twitter.com/agusft38","@agusft38")</f>
        <v>@agusft38</v>
      </c>
      <c r="C31785" s="8" t="s">
        <v>9768</v>
      </c>
      <c r="D31785" s="8">
        <v>88</v>
      </c>
      <c r="E31785" s="8">
        <v>0</v>
      </c>
      <c r="F31785" s="8">
        <v>53</v>
      </c>
    </row>
    <row r="31786" spans="1:6" ht="12.75">
      <c r="A31786" s="8">
        <v>43890.298298611116</v>
      </c>
      <c r="B31786" s="8" t="str">
        <f>HYPERLINK("https://twitter.com/RelawanNusanta1","@RelawanNusanta1")</f>
        <v>@RelawanNusanta1</v>
      </c>
      <c r="C31786" s="8" t="s">
        <v>12020</v>
      </c>
      <c r="D31786" s="8">
        <v>3</v>
      </c>
      <c r="E31786" s="8">
        <v>0</v>
      </c>
      <c r="F31786" s="8">
        <v>1320</v>
      </c>
    </row>
    <row r="31787" spans="1:6" ht="12.75">
      <c r="A31787" s="8">
        <v>43890.298252314809</v>
      </c>
      <c r="B31787" s="8" t="str">
        <f>HYPERLINK("https://twitter.com/RochaTaiss","@RochaTaiss")</f>
        <v>@RochaTaiss</v>
      </c>
      <c r="C31787" s="8" t="s">
        <v>12021</v>
      </c>
      <c r="D31787" s="8">
        <v>0</v>
      </c>
      <c r="E31787" s="8">
        <v>0</v>
      </c>
      <c r="F31787" s="8">
        <v>259</v>
      </c>
    </row>
    <row r="31788" spans="1:6" ht="12.75">
      <c r="A31788" s="8">
        <v>43890.29822916667</v>
      </c>
      <c r="B31788" s="8" t="str">
        <f>HYPERLINK("https://twitter.com/RichelleEdita","@RichelleEdita")</f>
        <v>@RichelleEdita</v>
      </c>
      <c r="C31788" s="8" t="s">
        <v>9768</v>
      </c>
      <c r="D31788" s="8">
        <v>86</v>
      </c>
      <c r="E31788" s="8">
        <v>0</v>
      </c>
      <c r="F31788" s="8">
        <v>834</v>
      </c>
    </row>
    <row r="31789" spans="1:6" ht="12.75">
      <c r="A31789" s="8">
        <v>43890.297997685186</v>
      </c>
      <c r="B31789" s="8" t="str">
        <f>HYPERLINK("https://twitter.com/Insinyur_dito","@Insinyur_dito")</f>
        <v>@Insinyur_dito</v>
      </c>
      <c r="C31789" s="8" t="s">
        <v>11302</v>
      </c>
      <c r="D31789" s="8">
        <v>39</v>
      </c>
      <c r="E31789" s="8">
        <v>0</v>
      </c>
      <c r="F31789" s="8">
        <v>511</v>
      </c>
    </row>
    <row r="31790" spans="1:6" ht="12.75">
      <c r="A31790" s="8">
        <v>43890.297743055555</v>
      </c>
      <c r="B31790" s="8" t="str">
        <f>HYPERLINK("https://twitter.com/Ardiawa72290185","@Ardiawa72290185")</f>
        <v>@Ardiawa72290185</v>
      </c>
      <c r="C31790" s="8" t="s">
        <v>4235</v>
      </c>
      <c r="D31790" s="8">
        <v>789</v>
      </c>
      <c r="E31790" s="8">
        <v>0</v>
      </c>
      <c r="F31790" s="8">
        <v>94</v>
      </c>
    </row>
    <row r="31791" spans="1:6" ht="12.75">
      <c r="A31791" s="8">
        <v>43890.297372685185</v>
      </c>
      <c r="B31791" s="8" t="str">
        <f>HYPERLINK("https://twitter.com/RelawanNusanta1","@RelawanNusanta1")</f>
        <v>@RelawanNusanta1</v>
      </c>
      <c r="C31791" s="8" t="s">
        <v>12022</v>
      </c>
      <c r="D31791" s="8">
        <v>3</v>
      </c>
      <c r="E31791" s="8">
        <v>0</v>
      </c>
      <c r="F31791" s="8">
        <v>1320</v>
      </c>
    </row>
    <row r="31792" spans="1:6" ht="12.75">
      <c r="A31792" s="8">
        <v>43890.297199074077</v>
      </c>
      <c r="B31792" s="8" t="str">
        <f>HYPERLINK("https://twitter.com/Ramayan63810275","@Ramayan63810275")</f>
        <v>@Ramayan63810275</v>
      </c>
      <c r="C31792" s="8" t="s">
        <v>12022</v>
      </c>
      <c r="D31792" s="8">
        <v>3</v>
      </c>
      <c r="E31792" s="8">
        <v>0</v>
      </c>
      <c r="F31792" s="8">
        <v>1746</v>
      </c>
    </row>
    <row r="31793" spans="1:6" ht="12.75">
      <c r="A31793" s="8">
        <v>43890.296909722223</v>
      </c>
      <c r="B31793" s="8" t="str">
        <f>HYPERLINK("https://twitter.com/Fm98Sonora","@Fm98Sonora")</f>
        <v>@Fm98Sonora</v>
      </c>
      <c r="C31793" s="8" t="s">
        <v>12023</v>
      </c>
      <c r="D31793" s="8">
        <v>1</v>
      </c>
      <c r="E31793" s="8">
        <v>0</v>
      </c>
      <c r="F31793" s="8">
        <v>23</v>
      </c>
    </row>
    <row r="31794" spans="1:6" ht="12.75">
      <c r="A31794" s="8">
        <v>43890.29688657407</v>
      </c>
      <c r="B31794" s="8" t="str">
        <f>HYPERLINK("https://twitter.com/hasrulyudistira","@hasrulyudistira")</f>
        <v>@hasrulyudistira</v>
      </c>
      <c r="C31794" s="8" t="s">
        <v>11641</v>
      </c>
      <c r="D31794" s="8">
        <v>100</v>
      </c>
      <c r="E31794" s="8">
        <v>0</v>
      </c>
      <c r="F31794" s="8">
        <v>275</v>
      </c>
    </row>
    <row r="31795" spans="1:6" ht="12.75">
      <c r="A31795" s="8">
        <v>43890.296851851846</v>
      </c>
      <c r="B31795" s="8" t="str">
        <f>HYPERLINK("https://twitter.com/y_g_m_r_","@y_g_m_r_")</f>
        <v>@y_g_m_r_</v>
      </c>
      <c r="C31795" s="8" t="s">
        <v>6836</v>
      </c>
      <c r="D31795" s="8">
        <v>165</v>
      </c>
      <c r="E31795" s="8">
        <v>0</v>
      </c>
      <c r="F31795" s="8">
        <v>534</v>
      </c>
    </row>
    <row r="31796" spans="1:6" ht="12.75">
      <c r="A31796" s="8">
        <v>43890.296620370369</v>
      </c>
      <c r="B31796" s="8" t="str">
        <f>HYPERLINK("https://twitter.com/fatinshahiierah","@fatinshahiierah")</f>
        <v>@fatinshahiierah</v>
      </c>
      <c r="C31796" s="8" t="s">
        <v>11102</v>
      </c>
      <c r="D31796" s="8">
        <v>521</v>
      </c>
      <c r="E31796" s="8">
        <v>0</v>
      </c>
      <c r="F31796" s="8">
        <v>2843</v>
      </c>
    </row>
    <row r="31797" spans="1:6" ht="12.75">
      <c r="A31797" s="8">
        <v>43890.2965162037</v>
      </c>
      <c r="B31797" s="8" t="str">
        <f>HYPERLINK("https://twitter.com/Teukuakhyard","@Teukuakhyard")</f>
        <v>@Teukuakhyard</v>
      </c>
      <c r="C31797" s="8" t="s">
        <v>6836</v>
      </c>
      <c r="D31797" s="8">
        <v>165</v>
      </c>
      <c r="E31797" s="8">
        <v>0</v>
      </c>
      <c r="F31797" s="8">
        <v>1259</v>
      </c>
    </row>
    <row r="31798" spans="1:6" ht="12.75">
      <c r="A31798" s="8">
        <v>43890.29623842593</v>
      </c>
      <c r="B31798" s="8" t="str">
        <f>HYPERLINK("https://twitter.com/MarchelBerry","@MarchelBerry")</f>
        <v>@MarchelBerry</v>
      </c>
      <c r="C31798" s="8" t="s">
        <v>12024</v>
      </c>
      <c r="D31798" s="8">
        <v>0</v>
      </c>
      <c r="E31798" s="8">
        <v>1</v>
      </c>
      <c r="F31798" s="8">
        <v>1656</v>
      </c>
    </row>
    <row r="31799" spans="1:6" ht="12.75">
      <c r="A31799" s="8">
        <v>43890.296168981484</v>
      </c>
      <c r="B31799" s="8" t="str">
        <f>HYPERLINK("https://twitter.com/IbobDza","@IbobDza")</f>
        <v>@IbobDza</v>
      </c>
      <c r="C31799" s="8" t="s">
        <v>12025</v>
      </c>
      <c r="D31799" s="8">
        <v>0</v>
      </c>
      <c r="E31799" s="8">
        <v>0</v>
      </c>
      <c r="F31799" s="8">
        <v>13</v>
      </c>
    </row>
    <row r="31800" spans="1:6" ht="12.75">
      <c r="A31800" s="8">
        <v>43890.296087962968</v>
      </c>
      <c r="B31800" s="8" t="str">
        <f>HYPERLINK("https://twitter.com/lena_vilian","@lena_vilian")</f>
        <v>@lena_vilian</v>
      </c>
      <c r="C31800" s="8" t="s">
        <v>12026</v>
      </c>
      <c r="D31800" s="8">
        <v>0</v>
      </c>
      <c r="E31800" s="8">
        <v>0</v>
      </c>
      <c r="F31800" s="8">
        <v>155</v>
      </c>
    </row>
    <row r="31801" spans="1:6" ht="12.75">
      <c r="A31801" s="8">
        <v>43890.296041666668</v>
      </c>
      <c r="B31801" s="8" t="str">
        <f>HYPERLINK("https://twitter.com/__MV_llestari__","@__MV_llestari__")</f>
        <v>@__MV_llestari__</v>
      </c>
      <c r="C31801" s="8" t="s">
        <v>12022</v>
      </c>
      <c r="D31801" s="8">
        <v>3</v>
      </c>
      <c r="E31801" s="8">
        <v>0</v>
      </c>
      <c r="F31801" s="8">
        <v>8934</v>
      </c>
    </row>
    <row r="31802" spans="1:6" ht="12.75">
      <c r="A31802" s="8">
        <v>43890.296018518522</v>
      </c>
      <c r="B31802" s="8" t="str">
        <f>HYPERLINK("https://twitter.com/voel01","@voel01")</f>
        <v>@voel01</v>
      </c>
      <c r="C31802" s="8" t="s">
        <v>4235</v>
      </c>
      <c r="D31802" s="8">
        <v>789</v>
      </c>
      <c r="E31802" s="8">
        <v>0</v>
      </c>
      <c r="F31802" s="8">
        <v>238</v>
      </c>
    </row>
    <row r="31803" spans="1:6" ht="12.75">
      <c r="A31803" s="8">
        <v>43890.295960648145</v>
      </c>
      <c r="B31803" s="8" t="str">
        <f>HYPERLINK("https://twitter.com/T14503NG","@T14503NG")</f>
        <v>@T14503NG</v>
      </c>
      <c r="C31803" s="8" t="s">
        <v>10413</v>
      </c>
      <c r="D31803" s="8">
        <v>5</v>
      </c>
      <c r="E31803" s="8">
        <v>0</v>
      </c>
      <c r="F31803" s="8">
        <v>845</v>
      </c>
    </row>
    <row r="31804" spans="1:6" ht="12.75">
      <c r="A31804" s="8">
        <v>43890.295902777776</v>
      </c>
      <c r="B31804" s="8" t="str">
        <f>HYPERLINK("https://twitter.com/adeteriyanaa","@adeteriyanaa")</f>
        <v>@adeteriyanaa</v>
      </c>
      <c r="C31804" s="8" t="s">
        <v>12020</v>
      </c>
      <c r="D31804" s="8">
        <v>3</v>
      </c>
      <c r="E31804" s="8">
        <v>0</v>
      </c>
      <c r="F31804" s="8">
        <v>1329</v>
      </c>
    </row>
    <row r="31805" spans="1:6" ht="12.75">
      <c r="A31805" s="8">
        <v>43890.295706018514</v>
      </c>
      <c r="B31805" s="8" t="str">
        <f>HYPERLINK("https://twitter.com/damario04","@damario04")</f>
        <v>@damario04</v>
      </c>
      <c r="C31805" s="8" t="s">
        <v>166</v>
      </c>
      <c r="D31805" s="8">
        <v>0</v>
      </c>
      <c r="E31805" s="8">
        <v>0</v>
      </c>
      <c r="F31805" s="8">
        <v>404</v>
      </c>
    </row>
    <row r="31806" spans="1:6" ht="12.75">
      <c r="A31806" s="8">
        <v>43890.295659722222</v>
      </c>
      <c r="B31806" s="8" t="str">
        <f>HYPERLINK("https://twitter.com/emak3bocah","@emak3bocah")</f>
        <v>@emak3bocah</v>
      </c>
      <c r="C31806" s="8" t="s">
        <v>12027</v>
      </c>
      <c r="D31806" s="8">
        <v>3</v>
      </c>
      <c r="E31806" s="8">
        <v>3</v>
      </c>
      <c r="F31806" s="8">
        <v>99</v>
      </c>
    </row>
    <row r="31807" spans="1:6" ht="12.75">
      <c r="A31807" s="8">
        <v>43890.295624999999</v>
      </c>
      <c r="B31807" s="8" t="str">
        <f>HYPERLINK("https://twitter.com/Fm98Sonora","@Fm98Sonora")</f>
        <v>@Fm98Sonora</v>
      </c>
      <c r="C31807" s="8" t="s">
        <v>12028</v>
      </c>
      <c r="D31807" s="8">
        <v>1</v>
      </c>
      <c r="E31807" s="8">
        <v>0</v>
      </c>
      <c r="F31807" s="8">
        <v>23</v>
      </c>
    </row>
    <row r="31808" spans="1:6" ht="12.75">
      <c r="A31808" s="8">
        <v>43890.295497685191</v>
      </c>
      <c r="B31808" s="8" t="str">
        <f>HYPERLINK("https://twitter.com/fik_okeh","@fik_okeh")</f>
        <v>@fik_okeh</v>
      </c>
      <c r="C31808" s="8" t="s">
        <v>4235</v>
      </c>
      <c r="D31808" s="8">
        <v>789</v>
      </c>
      <c r="E31808" s="8">
        <v>0</v>
      </c>
      <c r="F31808" s="8">
        <v>485</v>
      </c>
    </row>
    <row r="31809" spans="1:6" ht="12.75">
      <c r="A31809" s="8">
        <v>43890.295486111107</v>
      </c>
      <c r="B31809" s="8" t="str">
        <f>HYPERLINK("https://twitter.com/ishano80","@ishano80")</f>
        <v>@ishano80</v>
      </c>
      <c r="C31809" s="8" t="s">
        <v>6836</v>
      </c>
      <c r="D31809" s="8">
        <v>165</v>
      </c>
      <c r="E31809" s="8">
        <v>0</v>
      </c>
      <c r="F31809" s="8">
        <v>2360</v>
      </c>
    </row>
    <row r="31810" spans="1:6" ht="12.75">
      <c r="A31810" s="8">
        <v>43890.295474537037</v>
      </c>
      <c r="B31810" s="8" t="str">
        <f t="shared" ref="B31810:B31811" si="443">HYPERLINK("https://twitter.com/T14503NG","@T14503NG")</f>
        <v>@T14503NG</v>
      </c>
      <c r="C31810" s="8" t="s">
        <v>11117</v>
      </c>
      <c r="D31810" s="8">
        <v>7</v>
      </c>
      <c r="E31810" s="8">
        <v>0</v>
      </c>
      <c r="F31810" s="8">
        <v>845</v>
      </c>
    </row>
    <row r="31811" spans="1:6" ht="12.75">
      <c r="A31811" s="8">
        <v>43890.295335648145</v>
      </c>
      <c r="B31811" s="8" t="str">
        <f t="shared" si="443"/>
        <v>@T14503NG</v>
      </c>
      <c r="C31811" s="8" t="s">
        <v>11541</v>
      </c>
      <c r="D31811" s="8">
        <v>6</v>
      </c>
      <c r="E31811" s="8">
        <v>0</v>
      </c>
      <c r="F31811" s="8">
        <v>845</v>
      </c>
    </row>
    <row r="31812" spans="1:6" ht="12.75">
      <c r="A31812" s="8">
        <v>43890.295127314814</v>
      </c>
      <c r="B31812" s="8" t="str">
        <f>HYPERLINK("https://twitter.com/SaputraBerman","@SaputraBerman")</f>
        <v>@SaputraBerman</v>
      </c>
      <c r="C31812" s="8" t="s">
        <v>11117</v>
      </c>
      <c r="D31812" s="8">
        <v>7</v>
      </c>
      <c r="E31812" s="8">
        <v>0</v>
      </c>
      <c r="F31812" s="8">
        <v>67</v>
      </c>
    </row>
    <row r="31813" spans="1:6" ht="12.75">
      <c r="A31813" s="8">
        <v>43890.294814814813</v>
      </c>
      <c r="B31813" s="8" t="str">
        <f>HYPERLINK("https://twitter.com/T14503NG","@T14503NG")</f>
        <v>@T14503NG</v>
      </c>
      <c r="C31813" s="8" t="s">
        <v>11292</v>
      </c>
      <c r="D31813" s="8">
        <v>7</v>
      </c>
      <c r="E31813" s="8">
        <v>0</v>
      </c>
      <c r="F31813" s="8">
        <v>845</v>
      </c>
    </row>
    <row r="31814" spans="1:6" ht="12.75">
      <c r="A31814" s="8">
        <v>43890.294502314813</v>
      </c>
      <c r="B31814" s="8" t="str">
        <f>HYPERLINK("https://twitter.com/FaktaNew5","@FaktaNew5")</f>
        <v>@FaktaNew5</v>
      </c>
      <c r="C31814" s="8" t="s">
        <v>12029</v>
      </c>
      <c r="D31814" s="8">
        <v>0</v>
      </c>
      <c r="E31814" s="8">
        <v>0</v>
      </c>
      <c r="F31814" s="8">
        <v>177</v>
      </c>
    </row>
    <row r="31815" spans="1:6" ht="12.75">
      <c r="A31815" s="8">
        <v>43890.29420138889</v>
      </c>
      <c r="B31815" s="8" t="str">
        <f>HYPERLINK("https://twitter.com/RivaldiZakie","@RivaldiZakie")</f>
        <v>@RivaldiZakie</v>
      </c>
      <c r="C31815" s="8" t="s">
        <v>12030</v>
      </c>
      <c r="D31815" s="8">
        <v>10</v>
      </c>
      <c r="E31815" s="8">
        <v>0</v>
      </c>
      <c r="F31815" s="8">
        <v>15</v>
      </c>
    </row>
    <row r="31816" spans="1:6" ht="12.75">
      <c r="A31816" s="8">
        <v>43890.294166666667</v>
      </c>
      <c r="B31816" s="8" t="str">
        <f>HYPERLINK("https://twitter.com/wijaya_strong","@wijaya_strong")</f>
        <v>@wijaya_strong</v>
      </c>
      <c r="C31816" s="8" t="s">
        <v>11701</v>
      </c>
      <c r="D31816" s="8">
        <v>52</v>
      </c>
      <c r="E31816" s="8">
        <v>0</v>
      </c>
      <c r="F31816" s="8">
        <v>826</v>
      </c>
    </row>
    <row r="31817" spans="1:6" ht="12.75">
      <c r="A31817" s="8">
        <v>43890.294074074074</v>
      </c>
      <c r="B31817" s="8" t="str">
        <f>HYPERLINK("https://twitter.com/__MV_llestari__","@__MV_llestari__")</f>
        <v>@__MV_llestari__</v>
      </c>
      <c r="C31817" s="8" t="s">
        <v>12031</v>
      </c>
      <c r="D31817" s="8">
        <v>1</v>
      </c>
      <c r="E31817" s="8">
        <v>0</v>
      </c>
      <c r="F31817" s="8">
        <v>8934</v>
      </c>
    </row>
    <row r="31818" spans="1:6" ht="12.75">
      <c r="A31818" s="8">
        <v>43890.294062500005</v>
      </c>
      <c r="B31818" s="8" t="str">
        <f>HYPERLINK("https://twitter.com/astrologis79","@astrologis79")</f>
        <v>@astrologis79</v>
      </c>
      <c r="C31818" s="8" t="s">
        <v>4235</v>
      </c>
      <c r="D31818" s="8">
        <v>789</v>
      </c>
      <c r="E31818" s="8">
        <v>0</v>
      </c>
      <c r="F31818" s="8">
        <v>157</v>
      </c>
    </row>
    <row r="31819" spans="1:6" ht="12.75">
      <c r="A31819" s="8">
        <v>43890.293854166666</v>
      </c>
      <c r="B31819" s="8" t="str">
        <f>HYPERLINK("https://twitter.com/sinbthememes","@sinbthememes")</f>
        <v>@sinbthememes</v>
      </c>
      <c r="C31819" s="8" t="s">
        <v>12032</v>
      </c>
      <c r="D31819" s="8">
        <v>0</v>
      </c>
      <c r="E31819" s="8">
        <v>0</v>
      </c>
      <c r="F31819" s="8">
        <v>144</v>
      </c>
    </row>
    <row r="31820" spans="1:6" ht="12.75">
      <c r="A31820" s="8">
        <v>43890.293217592596</v>
      </c>
      <c r="B31820" s="8" t="str">
        <f>HYPERLINK("https://twitter.com/tramvernom14","@tramvernom14")</f>
        <v>@tramvernom14</v>
      </c>
      <c r="C31820" s="8" t="s">
        <v>4235</v>
      </c>
      <c r="D31820" s="8">
        <v>789</v>
      </c>
      <c r="E31820" s="8">
        <v>0</v>
      </c>
      <c r="F31820" s="8">
        <v>273</v>
      </c>
    </row>
    <row r="31821" spans="1:6" ht="12.75">
      <c r="A31821" s="8">
        <v>43890.292916666665</v>
      </c>
      <c r="B31821" s="8" t="str">
        <f>HYPERLINK("https://twitter.com/AsabriGate","@AsabriGate")</f>
        <v>@AsabriGate</v>
      </c>
      <c r="C31821" s="8" t="s">
        <v>12033</v>
      </c>
      <c r="D31821" s="8">
        <v>0</v>
      </c>
      <c r="E31821" s="8">
        <v>2</v>
      </c>
      <c r="F31821" s="8">
        <v>3969</v>
      </c>
    </row>
    <row r="31822" spans="1:6" ht="12.75">
      <c r="A31822" s="8">
        <v>43890.29277777778</v>
      </c>
      <c r="B31822" s="8" t="str">
        <f>HYPERLINK("https://twitter.com/Dhede34965459","@Dhede34965459")</f>
        <v>@Dhede34965459</v>
      </c>
      <c r="C31822" s="8" t="s">
        <v>4235</v>
      </c>
      <c r="D31822" s="8">
        <v>789</v>
      </c>
      <c r="E31822" s="8">
        <v>0</v>
      </c>
      <c r="F31822" s="8">
        <v>97</v>
      </c>
    </row>
    <row r="31823" spans="1:6" ht="12.75">
      <c r="A31823" s="8">
        <v>43890.292627314819</v>
      </c>
      <c r="B31823" s="8" t="str">
        <f>HYPERLINK("https://twitter.com/jamoer18","@jamoer18")</f>
        <v>@jamoer18</v>
      </c>
      <c r="C31823" s="8" t="s">
        <v>10755</v>
      </c>
      <c r="D31823" s="8">
        <v>615</v>
      </c>
      <c r="E31823" s="8">
        <v>0</v>
      </c>
      <c r="F31823" s="8">
        <v>275</v>
      </c>
    </row>
    <row r="31824" spans="1:6" ht="12.75">
      <c r="A31824" s="8">
        <v>43890.292511574073</v>
      </c>
      <c r="B31824" s="8" t="str">
        <f>HYPERLINK("https://twitter.com/anggitanrlw","@anggitanrlw")</f>
        <v>@anggitanrlw</v>
      </c>
      <c r="C31824" s="8" t="s">
        <v>12034</v>
      </c>
      <c r="D31824" s="8">
        <v>2</v>
      </c>
      <c r="E31824" s="8">
        <v>0</v>
      </c>
      <c r="F31824" s="8">
        <v>91</v>
      </c>
    </row>
    <row r="31825" spans="1:6" ht="12.75">
      <c r="A31825" s="8">
        <v>43890.291493055556</v>
      </c>
      <c r="B31825" s="8" t="str">
        <f>HYPERLINK("https://twitter.com/nanogiono","@nanogiono")</f>
        <v>@nanogiono</v>
      </c>
      <c r="C31825" s="8" t="s">
        <v>12035</v>
      </c>
      <c r="D31825" s="8">
        <v>5</v>
      </c>
      <c r="E31825" s="8">
        <v>0</v>
      </c>
      <c r="F31825" s="8">
        <v>4</v>
      </c>
    </row>
    <row r="31826" spans="1:6" ht="12.75">
      <c r="A31826" s="8">
        <v>43890.290405092594</v>
      </c>
      <c r="B31826" s="8" t="str">
        <f>HYPERLINK("https://twitter.com/ssulistiyono","@ssulistiyono")</f>
        <v>@ssulistiyono</v>
      </c>
      <c r="C31826" s="8" t="s">
        <v>4235</v>
      </c>
      <c r="D31826" s="8">
        <v>789</v>
      </c>
      <c r="E31826" s="8">
        <v>0</v>
      </c>
      <c r="F31826" s="8">
        <v>486</v>
      </c>
    </row>
    <row r="31827" spans="1:6" ht="12.75">
      <c r="A31827" s="8">
        <v>43890.2893287037</v>
      </c>
      <c r="B31827" s="8" t="str">
        <f>HYPERLINK("https://twitter.com/fadiansinaga","@fadiansinaga")</f>
        <v>@fadiansinaga</v>
      </c>
      <c r="C31827" s="8" t="s">
        <v>10721</v>
      </c>
      <c r="D31827" s="8">
        <v>144</v>
      </c>
      <c r="E31827" s="8">
        <v>0</v>
      </c>
      <c r="F31827" s="8">
        <v>5</v>
      </c>
    </row>
    <row r="31828" spans="1:6" ht="12.75">
      <c r="A31828" s="8">
        <v>43890.289097222223</v>
      </c>
      <c r="B31828" s="8" t="str">
        <f>HYPERLINK("https://twitter.com/rubiavianto","@rubiavianto")</f>
        <v>@rubiavianto</v>
      </c>
      <c r="C31828" s="8" t="s">
        <v>12036</v>
      </c>
      <c r="D31828" s="8">
        <v>1</v>
      </c>
      <c r="E31828" s="8">
        <v>1</v>
      </c>
      <c r="F31828" s="8">
        <v>3200</v>
      </c>
    </row>
    <row r="31829" spans="1:6" ht="12.75">
      <c r="A31829" s="8">
        <v>43890.288877314815</v>
      </c>
      <c r="B31829" s="8" t="str">
        <f>HYPERLINK("https://twitter.com/terkembang_4817","@terkembang_4817")</f>
        <v>@terkembang_4817</v>
      </c>
      <c r="C31829" s="8" t="s">
        <v>12037</v>
      </c>
      <c r="D31829" s="8">
        <v>0</v>
      </c>
      <c r="E31829" s="8">
        <v>1</v>
      </c>
      <c r="F31829" s="8">
        <v>143</v>
      </c>
    </row>
    <row r="31830" spans="1:6" ht="12.75">
      <c r="A31830" s="8">
        <v>43890.288842592592</v>
      </c>
      <c r="B31830" s="8" t="str">
        <f>HYPERLINK("https://twitter.com/yadisariyadi","@yadisariyadi")</f>
        <v>@yadisariyadi</v>
      </c>
      <c r="C31830" s="8" t="s">
        <v>4235</v>
      </c>
      <c r="D31830" s="8">
        <v>789</v>
      </c>
      <c r="E31830" s="8">
        <v>0</v>
      </c>
      <c r="F31830" s="8">
        <v>175</v>
      </c>
    </row>
    <row r="31831" spans="1:6" ht="12.75">
      <c r="A31831" s="8">
        <v>43890.288784722223</v>
      </c>
      <c r="B31831" s="8" t="str">
        <f>HYPERLINK("https://twitter.com/jee_creepers","@jee_creepers")</f>
        <v>@jee_creepers</v>
      </c>
      <c r="C31831" s="8" t="s">
        <v>12020</v>
      </c>
      <c r="D31831" s="8">
        <v>3</v>
      </c>
      <c r="E31831" s="8">
        <v>0</v>
      </c>
      <c r="F31831" s="8">
        <v>717</v>
      </c>
    </row>
    <row r="31832" spans="1:6" ht="12.75">
      <c r="A31832" s="8">
        <v>43890.288645833338</v>
      </c>
      <c r="B31832" s="8" t="str">
        <f>HYPERLINK("https://twitter.com/hati_irwan","@hati_irwan")</f>
        <v>@hati_irwan</v>
      </c>
      <c r="C31832" s="8" t="s">
        <v>10743</v>
      </c>
      <c r="D31832" s="8">
        <v>113</v>
      </c>
      <c r="E31832" s="8">
        <v>0</v>
      </c>
      <c r="F31832" s="8">
        <v>55</v>
      </c>
    </row>
    <row r="31833" spans="1:6" ht="12.75">
      <c r="A31833" s="8">
        <v>43890.288576388892</v>
      </c>
      <c r="B31833" s="8" t="str">
        <f>HYPERLINK("https://twitter.com/mimiweeka","@mimiweeka")</f>
        <v>@mimiweeka</v>
      </c>
      <c r="C31833" s="8" t="s">
        <v>11641</v>
      </c>
      <c r="D31833" s="8">
        <v>100</v>
      </c>
      <c r="E31833" s="8">
        <v>0</v>
      </c>
      <c r="F31833" s="8">
        <v>455</v>
      </c>
    </row>
    <row r="31834" spans="1:6" ht="12.75">
      <c r="A31834" s="8">
        <v>43890.288495370369</v>
      </c>
      <c r="B31834" s="8" t="str">
        <f>HYPERLINK("https://twitter.com/vcar1982","@vcar1982")</f>
        <v>@vcar1982</v>
      </c>
      <c r="C31834" s="8" t="s">
        <v>4235</v>
      </c>
      <c r="D31834" s="8">
        <v>789</v>
      </c>
      <c r="E31834" s="8">
        <v>0</v>
      </c>
      <c r="F31834" s="8">
        <v>502</v>
      </c>
    </row>
    <row r="31835" spans="1:6" ht="12.75">
      <c r="A31835" s="8">
        <v>43890.288472222222</v>
      </c>
      <c r="B31835" s="8" t="str">
        <f>HYPERLINK("https://twitter.com/AsabriGate","@AsabriGate")</f>
        <v>@AsabriGate</v>
      </c>
      <c r="C31835" s="8" t="s">
        <v>10883</v>
      </c>
      <c r="D31835" s="8">
        <v>0</v>
      </c>
      <c r="E31835" s="8">
        <v>3</v>
      </c>
      <c r="F31835" s="8">
        <v>3969</v>
      </c>
    </row>
    <row r="31836" spans="1:6" ht="12.75">
      <c r="A31836" s="8">
        <v>43890.288344907407</v>
      </c>
      <c r="B31836" s="8" t="str">
        <f>HYPERLINK("https://twitter.com/DwiWahyuWnrt","@DwiWahyuWnrt")</f>
        <v>@DwiWahyuWnrt</v>
      </c>
      <c r="C31836" s="8" t="s">
        <v>10755</v>
      </c>
      <c r="D31836" s="8">
        <v>615</v>
      </c>
      <c r="E31836" s="8">
        <v>0</v>
      </c>
      <c r="F31836" s="8">
        <v>83</v>
      </c>
    </row>
    <row r="31837" spans="1:6" ht="12.75">
      <c r="A31837" s="8">
        <v>43890.28770833333</v>
      </c>
      <c r="B31837" s="8" t="str">
        <f>HYPERLINK("https://twitter.com/k_mahpuz","@k_mahpuz")</f>
        <v>@k_mahpuz</v>
      </c>
      <c r="C31837" s="8" t="s">
        <v>4235</v>
      </c>
      <c r="D31837" s="8">
        <v>789</v>
      </c>
      <c r="E31837" s="8">
        <v>0</v>
      </c>
      <c r="F31837" s="8">
        <v>27</v>
      </c>
    </row>
    <row r="31838" spans="1:6" ht="12.75">
      <c r="A31838" s="8">
        <v>43890.287627314814</v>
      </c>
      <c r="B31838" s="8" t="str">
        <f>HYPERLINK("https://twitter.com/denmas_ajah","@denmas_ajah")</f>
        <v>@denmas_ajah</v>
      </c>
      <c r="C31838" s="8" t="s">
        <v>10413</v>
      </c>
      <c r="D31838" s="8">
        <v>5</v>
      </c>
      <c r="E31838" s="8">
        <v>0</v>
      </c>
      <c r="F31838" s="8">
        <v>4627</v>
      </c>
    </row>
    <row r="31839" spans="1:6" ht="12.75">
      <c r="A31839" s="8">
        <v>43890.287569444445</v>
      </c>
      <c r="B31839" s="8" t="str">
        <f>HYPERLINK("https://twitter.com/black__valley1","@black__valley1")</f>
        <v>@black__valley1</v>
      </c>
      <c r="C31839" s="8" t="s">
        <v>12038</v>
      </c>
      <c r="D31839" s="8">
        <v>2</v>
      </c>
      <c r="E31839" s="8">
        <v>3</v>
      </c>
      <c r="F31839" s="8">
        <v>11976</v>
      </c>
    </row>
    <row r="31840" spans="1:6" ht="12.75">
      <c r="A31840" s="8">
        <v>43890.287557870368</v>
      </c>
      <c r="B31840" s="8" t="str">
        <f>HYPERLINK("https://twitter.com/royenTelupitu","@royenTelupitu")</f>
        <v>@royenTelupitu</v>
      </c>
      <c r="C31840" s="8" t="s">
        <v>4235</v>
      </c>
      <c r="D31840" s="8">
        <v>789</v>
      </c>
      <c r="E31840" s="8">
        <v>0</v>
      </c>
      <c r="F31840" s="8">
        <v>652</v>
      </c>
    </row>
    <row r="31841" spans="1:6" ht="12.75">
      <c r="A31841" s="8">
        <v>43890.287407407406</v>
      </c>
      <c r="B31841" s="8" t="str">
        <f t="shared" ref="B31841:B31843" si="444">HYPERLINK("https://twitter.com/denmas_ajah","@denmas_ajah")</f>
        <v>@denmas_ajah</v>
      </c>
      <c r="C31841" s="8" t="s">
        <v>11117</v>
      </c>
      <c r="D31841" s="8">
        <v>7</v>
      </c>
      <c r="E31841" s="8">
        <v>0</v>
      </c>
      <c r="F31841" s="8">
        <v>4627</v>
      </c>
    </row>
    <row r="31842" spans="1:6" ht="12.75">
      <c r="A31842" s="8">
        <v>43890.28733796296</v>
      </c>
      <c r="B31842" s="8" t="str">
        <f t="shared" si="444"/>
        <v>@denmas_ajah</v>
      </c>
      <c r="C31842" s="8" t="s">
        <v>11541</v>
      </c>
      <c r="D31842" s="8">
        <v>6</v>
      </c>
      <c r="E31842" s="8">
        <v>0</v>
      </c>
      <c r="F31842" s="8">
        <v>4627</v>
      </c>
    </row>
    <row r="31843" spans="1:6" ht="12.75">
      <c r="A31843" s="8">
        <v>43890.287129629629</v>
      </c>
      <c r="B31843" s="8" t="str">
        <f t="shared" si="444"/>
        <v>@denmas_ajah</v>
      </c>
      <c r="C31843" s="8" t="s">
        <v>11292</v>
      </c>
      <c r="D31843" s="8">
        <v>7</v>
      </c>
      <c r="E31843" s="8">
        <v>0</v>
      </c>
      <c r="F31843" s="8">
        <v>4627</v>
      </c>
    </row>
    <row r="31844" spans="1:6" ht="12.75">
      <c r="A31844" s="8">
        <v>43890.28707175926</v>
      </c>
      <c r="B31844" s="8" t="str">
        <f>HYPERLINK("https://twitter.com/ISIS_Balik_NO","@ISIS_Balik_NO")</f>
        <v>@ISIS_Balik_NO</v>
      </c>
      <c r="C31844" s="8" t="s">
        <v>12039</v>
      </c>
      <c r="D31844" s="8">
        <v>0</v>
      </c>
      <c r="E31844" s="8">
        <v>0</v>
      </c>
      <c r="F31844" s="8">
        <v>6088</v>
      </c>
    </row>
    <row r="31845" spans="1:6" ht="12.75">
      <c r="A31845" s="8">
        <v>43890.286111111112</v>
      </c>
      <c r="B31845" s="8" t="str">
        <f>HYPERLINK("https://twitter.com/griyapintar","@griyapintar")</f>
        <v>@griyapintar</v>
      </c>
      <c r="C31845" s="8" t="s">
        <v>4235</v>
      </c>
      <c r="D31845" s="8">
        <v>789</v>
      </c>
      <c r="E31845" s="8">
        <v>0</v>
      </c>
      <c r="F31845" s="8">
        <v>56</v>
      </c>
    </row>
    <row r="31846" spans="1:6" ht="12.75">
      <c r="A31846" s="8">
        <v>43890.285902777774</v>
      </c>
      <c r="B31846" s="8" t="str">
        <f>HYPERLINK("https://twitter.com/zainal14arifin","@zainal14arifin")</f>
        <v>@zainal14arifin</v>
      </c>
      <c r="C31846" s="8" t="s">
        <v>4235</v>
      </c>
      <c r="D31846" s="8">
        <v>789</v>
      </c>
      <c r="E31846" s="8">
        <v>0</v>
      </c>
      <c r="F31846" s="8">
        <v>60</v>
      </c>
    </row>
    <row r="31847" spans="1:6" ht="12.75">
      <c r="A31847" s="8">
        <v>43890.285798611112</v>
      </c>
      <c r="B31847" s="8" t="str">
        <f>HYPERLINK("https://twitter.com/kangyogatea","@kangyogatea")</f>
        <v>@kangyogatea</v>
      </c>
      <c r="C31847" s="8" t="s">
        <v>4235</v>
      </c>
      <c r="D31847" s="8">
        <v>789</v>
      </c>
      <c r="E31847" s="8">
        <v>0</v>
      </c>
      <c r="F31847" s="8">
        <v>386</v>
      </c>
    </row>
    <row r="31848" spans="1:6" ht="12.75">
      <c r="A31848" s="8">
        <v>43890.285555555558</v>
      </c>
      <c r="B31848" s="8" t="str">
        <f>HYPERLINK("https://twitter.com/CendolAbang","@CendolAbang")</f>
        <v>@CendolAbang</v>
      </c>
      <c r="C31848" s="8" t="s">
        <v>4235</v>
      </c>
      <c r="D31848" s="8">
        <v>789</v>
      </c>
      <c r="E31848" s="8">
        <v>0</v>
      </c>
      <c r="F31848" s="8">
        <v>79</v>
      </c>
    </row>
    <row r="31849" spans="1:6" ht="12.75">
      <c r="A31849" s="8">
        <v>43890.285405092596</v>
      </c>
      <c r="B31849" s="8" t="str">
        <f>HYPERLINK("https://twitter.com/AciakN","@AciakN")</f>
        <v>@AciakN</v>
      </c>
      <c r="C31849" s="8" t="s">
        <v>12040</v>
      </c>
      <c r="D31849" s="8">
        <v>0</v>
      </c>
      <c r="E31849" s="8">
        <v>1</v>
      </c>
      <c r="F31849" s="8">
        <v>128</v>
      </c>
    </row>
    <row r="31850" spans="1:6" ht="12.75">
      <c r="A31850" s="8">
        <v>43890.285312499997</v>
      </c>
      <c r="B31850" s="8" t="str">
        <f>HYPERLINK("https://twitter.com/erwinerlangga46","@erwinerlangga46")</f>
        <v>@erwinerlangga46</v>
      </c>
      <c r="C31850" s="8" t="s">
        <v>12041</v>
      </c>
      <c r="D31850" s="8">
        <v>0</v>
      </c>
      <c r="E31850" s="8">
        <v>0</v>
      </c>
      <c r="F31850" s="8">
        <v>108</v>
      </c>
    </row>
    <row r="31851" spans="1:6" ht="12.75">
      <c r="A31851" s="8">
        <v>43890.285300925927</v>
      </c>
      <c r="B31851" s="8" t="str">
        <f>HYPERLINK("https://twitter.com/AgusTam62869733","@AgusTam62869733")</f>
        <v>@AgusTam62869733</v>
      </c>
      <c r="C31851" s="8" t="s">
        <v>12042</v>
      </c>
      <c r="D31851" s="8">
        <v>0</v>
      </c>
      <c r="E31851" s="8">
        <v>0</v>
      </c>
      <c r="F31851" s="8">
        <v>1</v>
      </c>
    </row>
    <row r="31852" spans="1:6" ht="12.75">
      <c r="A31852" s="8">
        <v>43890.284490740742</v>
      </c>
      <c r="B31852" s="8" t="str">
        <f>HYPERLINK("https://twitter.com/WiberMelayu6","@WiberMelayu6")</f>
        <v>@WiberMelayu6</v>
      </c>
      <c r="C31852" s="8" t="s">
        <v>10755</v>
      </c>
      <c r="D31852" s="8">
        <v>615</v>
      </c>
      <c r="E31852" s="8">
        <v>0</v>
      </c>
      <c r="F31852" s="8">
        <v>803</v>
      </c>
    </row>
    <row r="31853" spans="1:6" ht="12.75">
      <c r="A31853" s="8">
        <v>43890.28429398148</v>
      </c>
      <c r="B31853" s="8" t="str">
        <f>HYPERLINK("https://twitter.com/JagoanMelon","@JagoanMelon")</f>
        <v>@JagoanMelon</v>
      </c>
      <c r="C31853" s="8" t="s">
        <v>11374</v>
      </c>
      <c r="D31853" s="8">
        <v>29</v>
      </c>
      <c r="E31853" s="8">
        <v>0</v>
      </c>
      <c r="F31853" s="8">
        <v>1186</v>
      </c>
    </row>
    <row r="31854" spans="1:6" ht="12.75">
      <c r="A31854" s="8">
        <v>43890.284270833334</v>
      </c>
      <c r="B31854" s="8" t="str">
        <f>HYPERLINK("https://twitter.com/ba_KEBA","@ba_KEBA")</f>
        <v>@ba_KEBA</v>
      </c>
      <c r="C31854" s="8" t="s">
        <v>11102</v>
      </c>
      <c r="D31854" s="8">
        <v>521</v>
      </c>
      <c r="E31854" s="8">
        <v>0</v>
      </c>
      <c r="F31854" s="8">
        <v>1707</v>
      </c>
    </row>
    <row r="31855" spans="1:6" ht="12.75">
      <c r="A31855" s="8">
        <v>43890.284108796295</v>
      </c>
      <c r="B31855" s="8" t="str">
        <f>HYPERLINK("https://twitter.com/eko_n9udiarto","@eko_n9udiarto")</f>
        <v>@eko_n9udiarto</v>
      </c>
      <c r="C31855" s="8" t="s">
        <v>4235</v>
      </c>
      <c r="D31855" s="8">
        <v>789</v>
      </c>
      <c r="E31855" s="8">
        <v>0</v>
      </c>
      <c r="F31855" s="8">
        <v>900</v>
      </c>
    </row>
    <row r="31856" spans="1:6" ht="12.75">
      <c r="A31856" s="8">
        <v>43890.283993055556</v>
      </c>
      <c r="B31856" s="8" t="str">
        <f>HYPERLINK("https://twitter.com/gfarhan_","@gfarhan_")</f>
        <v>@gfarhan_</v>
      </c>
      <c r="C31856" s="8" t="s">
        <v>11302</v>
      </c>
      <c r="D31856" s="8">
        <v>39</v>
      </c>
      <c r="E31856" s="8">
        <v>0</v>
      </c>
      <c r="F31856" s="8">
        <v>156</v>
      </c>
    </row>
    <row r="31857" spans="1:6" ht="12.75">
      <c r="A31857" s="8">
        <v>43890.283368055556</v>
      </c>
      <c r="B31857" s="8" t="str">
        <f>HYPERLINK("https://twitter.com/tsupriyadi","@tsupriyadi")</f>
        <v>@tsupriyadi</v>
      </c>
      <c r="C31857" s="8" t="s">
        <v>4235</v>
      </c>
      <c r="D31857" s="8">
        <v>789</v>
      </c>
      <c r="E31857" s="8">
        <v>0</v>
      </c>
      <c r="F31857" s="8">
        <v>285</v>
      </c>
    </row>
    <row r="31858" spans="1:6" ht="12.75">
      <c r="A31858" s="8">
        <v>43890.282812500001</v>
      </c>
      <c r="B31858" s="8" t="str">
        <f>HYPERLINK("https://twitter.com/ThonceKore1","@ThonceKore1")</f>
        <v>@ThonceKore1</v>
      </c>
      <c r="C31858" s="8" t="s">
        <v>11117</v>
      </c>
      <c r="D31858" s="8">
        <v>7</v>
      </c>
      <c r="E31858" s="8">
        <v>0</v>
      </c>
      <c r="F31858" s="8">
        <v>333</v>
      </c>
    </row>
    <row r="31859" spans="1:6" ht="12.75">
      <c r="A31859" s="8">
        <v>43890.282743055555</v>
      </c>
      <c r="B31859" s="8" t="str">
        <f>HYPERLINK("https://twitter.com/BADUY08","@BADUY08")</f>
        <v>@BADUY08</v>
      </c>
      <c r="C31859" s="8" t="s">
        <v>4235</v>
      </c>
      <c r="D31859" s="8">
        <v>789</v>
      </c>
      <c r="E31859" s="8">
        <v>0</v>
      </c>
      <c r="F31859" s="8">
        <v>171</v>
      </c>
    </row>
    <row r="31860" spans="1:6" ht="12.75">
      <c r="A31860" s="8">
        <v>43890.28260416667</v>
      </c>
      <c r="B31860" s="8" t="str">
        <f>HYPERLINK("https://twitter.com/kasehsaulmouk","@kasehsaulmouk")</f>
        <v>@kasehsaulmouk</v>
      </c>
      <c r="C31860" s="8" t="s">
        <v>6836</v>
      </c>
      <c r="D31860" s="8">
        <v>165</v>
      </c>
      <c r="E31860" s="8">
        <v>0</v>
      </c>
      <c r="F31860" s="8">
        <v>3684</v>
      </c>
    </row>
    <row r="31861" spans="1:6" ht="12.75">
      <c r="A31861" s="8">
        <v>43890.282291666663</v>
      </c>
      <c r="B31861" s="8" t="str">
        <f>HYPERLINK("https://twitter.com/Omdo_ni","@Omdo_ni")</f>
        <v>@Omdo_ni</v>
      </c>
      <c r="C31861" s="8" t="s">
        <v>6836</v>
      </c>
      <c r="D31861" s="8">
        <v>165</v>
      </c>
      <c r="E31861" s="8">
        <v>0</v>
      </c>
      <c r="F31861" s="8">
        <v>85</v>
      </c>
    </row>
    <row r="31862" spans="1:6" ht="12.75">
      <c r="A31862" s="8">
        <v>43890.282106481478</v>
      </c>
      <c r="B31862" s="8" t="str">
        <f>HYPERLINK("https://twitter.com/Nrlsyuhadah_","@Nrlsyuhadah_")</f>
        <v>@Nrlsyuhadah_</v>
      </c>
      <c r="C31862" s="8" t="s">
        <v>11102</v>
      </c>
      <c r="D31862" s="8">
        <v>521</v>
      </c>
      <c r="E31862" s="8">
        <v>0</v>
      </c>
      <c r="F31862" s="8">
        <v>1573</v>
      </c>
    </row>
    <row r="31863" spans="1:6" ht="12.75">
      <c r="A31863" s="8">
        <v>43890.281898148147</v>
      </c>
      <c r="B31863" s="8" t="str">
        <f>HYPERLINK("https://twitter.com/_Henz14","@_Henz14")</f>
        <v>@_Henz14</v>
      </c>
      <c r="C31863" s="8" t="s">
        <v>12043</v>
      </c>
      <c r="D31863" s="8">
        <v>0</v>
      </c>
      <c r="E31863" s="8">
        <v>1</v>
      </c>
      <c r="F31863" s="8">
        <v>468</v>
      </c>
    </row>
    <row r="31864" spans="1:6" ht="12.75">
      <c r="A31864" s="8">
        <v>43890.281712962962</v>
      </c>
      <c r="B31864" s="8" t="str">
        <f>HYPERLINK("https://twitter.com/manager_5am","@manager_5am")</f>
        <v>@manager_5am</v>
      </c>
      <c r="C31864" s="8" t="s">
        <v>12044</v>
      </c>
      <c r="D31864" s="8">
        <v>7</v>
      </c>
      <c r="E31864" s="8">
        <v>0</v>
      </c>
      <c r="F31864" s="8">
        <v>7150</v>
      </c>
    </row>
    <row r="31865" spans="1:6" ht="12.75">
      <c r="A31865" s="8">
        <v>43890.281701388885</v>
      </c>
      <c r="B31865" s="8" t="str">
        <f>HYPERLINK("https://twitter.com/RRIPrograma3","@RRIPrograma3")</f>
        <v>@RRIPrograma3</v>
      </c>
      <c r="C31865" s="8" t="s">
        <v>12045</v>
      </c>
      <c r="D31865" s="8">
        <v>0</v>
      </c>
      <c r="E31865" s="8">
        <v>0</v>
      </c>
      <c r="F31865" s="8">
        <v>8717</v>
      </c>
    </row>
    <row r="31866" spans="1:6" ht="12.75">
      <c r="A31866" s="8">
        <v>43890.281504629631</v>
      </c>
      <c r="B31866" s="8" t="str">
        <f>HYPERLINK("https://twitter.com/IDM1303","@IDM1303")</f>
        <v>@IDM1303</v>
      </c>
      <c r="C31866" s="8" t="s">
        <v>4235</v>
      </c>
      <c r="D31866" s="8">
        <v>789</v>
      </c>
      <c r="E31866" s="8">
        <v>0</v>
      </c>
      <c r="F31866" s="8">
        <v>297</v>
      </c>
    </row>
    <row r="31867" spans="1:6" ht="12.75">
      <c r="A31867" s="8">
        <v>43890.28125</v>
      </c>
      <c r="B31867" s="8" t="str">
        <f>HYPERLINK("https://twitter.com/korantempo","@korantempo")</f>
        <v>@korantempo</v>
      </c>
      <c r="C31867" s="8" t="s">
        <v>12046</v>
      </c>
      <c r="D31867" s="8">
        <v>0</v>
      </c>
      <c r="E31867" s="8">
        <v>3</v>
      </c>
      <c r="F31867" s="8">
        <v>1749037</v>
      </c>
    </row>
    <row r="31868" spans="1:6" ht="12.75">
      <c r="A31868" s="8">
        <v>43890.281087962961</v>
      </c>
      <c r="B31868" s="8" t="str">
        <f>HYPERLINK("https://twitter.com/thegreaterdan","@thegreaterdan")</f>
        <v>@thegreaterdan</v>
      </c>
      <c r="C31868" s="8" t="s">
        <v>12047</v>
      </c>
      <c r="D31868" s="8">
        <v>0</v>
      </c>
      <c r="E31868" s="8">
        <v>0</v>
      </c>
      <c r="F31868" s="8">
        <v>47</v>
      </c>
    </row>
    <row r="31869" spans="1:6" ht="12.75">
      <c r="A31869" s="8">
        <v>43890.280706018515</v>
      </c>
      <c r="B31869" s="8" t="str">
        <f>HYPERLINK("https://twitter.com/septiza_id","@septiza_id")</f>
        <v>@septiza_id</v>
      </c>
      <c r="C31869" s="8" t="s">
        <v>4235</v>
      </c>
      <c r="D31869" s="8">
        <v>789</v>
      </c>
      <c r="E31869" s="8">
        <v>0</v>
      </c>
      <c r="F31869" s="8">
        <v>602</v>
      </c>
    </row>
    <row r="31870" spans="1:6" ht="12.75">
      <c r="A31870" s="8">
        <v>43890.280532407407</v>
      </c>
      <c r="B31870" s="8" t="str">
        <f>HYPERLINK("https://twitter.com/D_tyow","@D_tyow")</f>
        <v>@D_tyow</v>
      </c>
      <c r="C31870" s="8" t="s">
        <v>11641</v>
      </c>
      <c r="D31870" s="8">
        <v>100</v>
      </c>
      <c r="E31870" s="8">
        <v>0</v>
      </c>
      <c r="F31870" s="8">
        <v>954</v>
      </c>
    </row>
    <row r="31871" spans="1:6" ht="12.75">
      <c r="A31871" s="8">
        <v>43890.280335648145</v>
      </c>
      <c r="B31871" s="8" t="str">
        <f>HYPERLINK("https://twitter.com/tua_serdadu","@tua_serdadu")</f>
        <v>@tua_serdadu</v>
      </c>
      <c r="C31871" s="8" t="s">
        <v>11701</v>
      </c>
      <c r="D31871" s="8">
        <v>52</v>
      </c>
      <c r="E31871" s="8">
        <v>0</v>
      </c>
      <c r="F31871" s="8">
        <v>1020</v>
      </c>
    </row>
    <row r="31872" spans="1:6" ht="12.75">
      <c r="A31872" s="8">
        <v>43890.28025462963</v>
      </c>
      <c r="B31872" s="8" t="str">
        <f>HYPERLINK("https://twitter.com/mannchee","@mannchee")</f>
        <v>@mannchee</v>
      </c>
      <c r="C31872" s="8" t="s">
        <v>4235</v>
      </c>
      <c r="D31872" s="8">
        <v>789</v>
      </c>
      <c r="E31872" s="8">
        <v>0</v>
      </c>
      <c r="F31872" s="8">
        <v>393</v>
      </c>
    </row>
    <row r="31873" spans="1:6" ht="12.75">
      <c r="A31873" s="8">
        <v>43890.28019675926</v>
      </c>
      <c r="B31873" s="8" t="str">
        <f>HYPERLINK("https://twitter.com/poeputrii","@poeputrii")</f>
        <v>@poeputrii</v>
      </c>
      <c r="C31873" s="8" t="s">
        <v>12048</v>
      </c>
      <c r="D31873" s="8">
        <v>0</v>
      </c>
      <c r="E31873" s="8">
        <v>0</v>
      </c>
      <c r="F31873" s="8">
        <v>471</v>
      </c>
    </row>
    <row r="31874" spans="1:6" ht="12.75">
      <c r="A31874" s="8">
        <v>43890.279780092591</v>
      </c>
      <c r="B31874" s="8" t="str">
        <f>HYPERLINK("https://twitter.com/Agilangbimanyu","@Agilangbimanyu")</f>
        <v>@Agilangbimanyu</v>
      </c>
      <c r="C31874" s="8" t="s">
        <v>12049</v>
      </c>
      <c r="D31874" s="8">
        <v>2</v>
      </c>
      <c r="E31874" s="8">
        <v>0</v>
      </c>
      <c r="F31874" s="8">
        <v>20</v>
      </c>
    </row>
    <row r="31875" spans="1:6" ht="12.75">
      <c r="A31875" s="8">
        <v>43890.279398148152</v>
      </c>
      <c r="B31875" s="8" t="str">
        <f>HYPERLINK("https://twitter.com/Nurullah_hm","@Nurullah_hm")</f>
        <v>@Nurullah_hm</v>
      </c>
      <c r="C31875" s="8" t="s">
        <v>6836</v>
      </c>
      <c r="D31875" s="8">
        <v>165</v>
      </c>
      <c r="E31875" s="8">
        <v>0</v>
      </c>
      <c r="F31875" s="8">
        <v>612</v>
      </c>
    </row>
    <row r="31876" spans="1:6" ht="12.75">
      <c r="A31876" s="8">
        <v>43890.279270833329</v>
      </c>
      <c r="B31876" s="8" t="str">
        <f>HYPERLINK("https://twitter.com/ewangiggs","@ewangiggs")</f>
        <v>@ewangiggs</v>
      </c>
      <c r="C31876" s="8" t="s">
        <v>6490</v>
      </c>
      <c r="D31876" s="8">
        <v>166</v>
      </c>
      <c r="E31876" s="8">
        <v>0</v>
      </c>
      <c r="F31876" s="8">
        <v>655</v>
      </c>
    </row>
    <row r="31877" spans="1:6" ht="12.75">
      <c r="A31877" s="8">
        <v>43890.27920138889</v>
      </c>
      <c r="B31877" s="8" t="str">
        <f>HYPERLINK("https://twitter.com/sembilanfm_sbg","@sembilanfm_sbg")</f>
        <v>@sembilanfm_sbg</v>
      </c>
      <c r="C31877" s="8" t="s">
        <v>12050</v>
      </c>
      <c r="D31877" s="8">
        <v>0</v>
      </c>
      <c r="E31877" s="8">
        <v>0</v>
      </c>
      <c r="F31877" s="8">
        <v>1217</v>
      </c>
    </row>
    <row r="31878" spans="1:6" ht="12.75">
      <c r="A31878" s="8">
        <v>43890.278773148151</v>
      </c>
      <c r="B31878" s="8" t="str">
        <f>HYPERLINK("https://twitter.com/tirtahutomo","@tirtahutomo")</f>
        <v>@tirtahutomo</v>
      </c>
      <c r="C31878" s="8" t="s">
        <v>10755</v>
      </c>
      <c r="D31878" s="8">
        <v>615</v>
      </c>
      <c r="E31878" s="8">
        <v>0</v>
      </c>
      <c r="F31878" s="8">
        <v>125</v>
      </c>
    </row>
    <row r="31879" spans="1:6" ht="12.75">
      <c r="A31879" s="8">
        <v>43890.278634259259</v>
      </c>
      <c r="B31879" s="8" t="str">
        <f>HYPERLINK("https://twitter.com/GalihGieloof","@GalihGieloof")</f>
        <v>@GalihGieloof</v>
      </c>
      <c r="C31879" s="8" t="s">
        <v>10755</v>
      </c>
      <c r="D31879" s="8">
        <v>615</v>
      </c>
      <c r="E31879" s="8">
        <v>0</v>
      </c>
      <c r="F31879" s="8">
        <v>269</v>
      </c>
    </row>
    <row r="31880" spans="1:6" ht="12.75">
      <c r="A31880" s="8">
        <v>43890.278553240743</v>
      </c>
      <c r="B31880" s="8" t="str">
        <f>HYPERLINK("https://twitter.com/DavidPardosi7","@DavidPardosi7")</f>
        <v>@DavidPardosi7</v>
      </c>
      <c r="C31880" s="8" t="s">
        <v>12051</v>
      </c>
      <c r="D31880" s="8">
        <v>0</v>
      </c>
      <c r="E31880" s="8">
        <v>1</v>
      </c>
      <c r="F31880" s="8">
        <v>602</v>
      </c>
    </row>
    <row r="31881" spans="1:6" ht="12.75">
      <c r="A31881" s="8">
        <v>43890.278287037036</v>
      </c>
      <c r="B31881" s="8" t="str">
        <f>HYPERLINK("https://twitter.com/badir03","@badir03")</f>
        <v>@badir03</v>
      </c>
      <c r="C31881" s="8" t="s">
        <v>4235</v>
      </c>
      <c r="D31881" s="8">
        <v>789</v>
      </c>
      <c r="E31881" s="8">
        <v>0</v>
      </c>
      <c r="F31881" s="8">
        <v>269</v>
      </c>
    </row>
    <row r="31882" spans="1:6" ht="12.75">
      <c r="A31882" s="8">
        <v>43890.278229166666</v>
      </c>
      <c r="B31882" s="8" t="str">
        <f>HYPERLINK("https://twitter.com/disjkara","@disjkara")</f>
        <v>@disjkara</v>
      </c>
      <c r="C31882" s="8" t="s">
        <v>4235</v>
      </c>
      <c r="D31882" s="8">
        <v>789</v>
      </c>
      <c r="E31882" s="8">
        <v>0</v>
      </c>
      <c r="F31882" s="8">
        <v>27</v>
      </c>
    </row>
    <row r="31883" spans="1:6" ht="12.75">
      <c r="A31883" s="8">
        <v>43890.277951388889</v>
      </c>
      <c r="B31883" s="8" t="str">
        <f>HYPERLINK("https://twitter.com/andar_habibi","@andar_habibi")</f>
        <v>@andar_habibi</v>
      </c>
      <c r="C31883" s="8" t="s">
        <v>10755</v>
      </c>
      <c r="D31883" s="8">
        <v>615</v>
      </c>
      <c r="E31883" s="8">
        <v>0</v>
      </c>
      <c r="F31883" s="8">
        <v>348</v>
      </c>
    </row>
    <row r="31884" spans="1:6" ht="12.75">
      <c r="A31884" s="8">
        <v>43890.277847222227</v>
      </c>
      <c r="B31884" s="8" t="str">
        <f>HYPERLINK("https://twitter.com/Lukman88755658","@Lukman88755658")</f>
        <v>@Lukman88755658</v>
      </c>
      <c r="C31884" s="8" t="s">
        <v>12052</v>
      </c>
      <c r="D31884" s="8">
        <v>117</v>
      </c>
      <c r="E31884" s="8">
        <v>0</v>
      </c>
      <c r="F31884" s="8">
        <v>357</v>
      </c>
    </row>
    <row r="31885" spans="1:6" ht="12.75">
      <c r="A31885" s="8">
        <v>43890.277638888889</v>
      </c>
      <c r="B31885" s="8" t="str">
        <f>HYPERLINK("https://twitter.com/PandoePertiwi","@PandoePertiwi")</f>
        <v>@PandoePertiwi</v>
      </c>
      <c r="C31885" s="8" t="s">
        <v>4235</v>
      </c>
      <c r="D31885" s="8">
        <v>789</v>
      </c>
      <c r="E31885" s="8">
        <v>0</v>
      </c>
      <c r="F31885" s="8">
        <v>364</v>
      </c>
    </row>
    <row r="31886" spans="1:6" ht="12.75">
      <c r="A31886" s="8">
        <v>43890.256724537037</v>
      </c>
      <c r="B31886" s="8" t="str">
        <f>HYPERLINK("https://twitter.com/JamilAG20","@JamilAG20")</f>
        <v>@JamilAG20</v>
      </c>
      <c r="C31886" s="8" t="s">
        <v>12053</v>
      </c>
      <c r="D31886" s="8">
        <v>16</v>
      </c>
      <c r="E31886" s="8">
        <v>0</v>
      </c>
      <c r="F31886" s="8">
        <v>34</v>
      </c>
    </row>
    <row r="31887" spans="1:6" ht="12.75">
      <c r="A31887" s="8">
        <v>43890.256724537037</v>
      </c>
      <c r="B31887" s="8" t="str">
        <f>HYPERLINK("https://twitter.com/NaraLoka1","@NaraLoka1")</f>
        <v>@NaraLoka1</v>
      </c>
      <c r="C31887" s="8" t="s">
        <v>4235</v>
      </c>
      <c r="D31887" s="8">
        <v>703</v>
      </c>
      <c r="E31887" s="8">
        <v>0</v>
      </c>
      <c r="F31887" s="8">
        <v>180</v>
      </c>
    </row>
    <row r="31888" spans="1:6" ht="12.75">
      <c r="A31888" s="8">
        <v>43890.256631944445</v>
      </c>
      <c r="B31888" s="8" t="str">
        <f>HYPERLINK("https://twitter.com/haryanto_maya","@haryanto_maya")</f>
        <v>@haryanto_maya</v>
      </c>
      <c r="C31888" s="8" t="s">
        <v>4945</v>
      </c>
      <c r="D31888" s="8">
        <v>37</v>
      </c>
      <c r="E31888" s="8">
        <v>0</v>
      </c>
      <c r="F31888" s="8">
        <v>4</v>
      </c>
    </row>
    <row r="31889" spans="1:6" ht="12.75">
      <c r="A31889" s="8">
        <v>43890.256620370375</v>
      </c>
      <c r="B31889" s="8" t="str">
        <f>HYPERLINK("https://twitter.com/waaipkasep","@waaipkasep")</f>
        <v>@waaipkasep</v>
      </c>
      <c r="C31889" s="8" t="s">
        <v>4235</v>
      </c>
      <c r="D31889" s="8">
        <v>703</v>
      </c>
      <c r="E31889" s="8">
        <v>0</v>
      </c>
      <c r="F31889" s="8">
        <v>1802</v>
      </c>
    </row>
    <row r="31890" spans="1:6" ht="12.75">
      <c r="A31890" s="8">
        <v>43890.256481481483</v>
      </c>
      <c r="B31890" s="8" t="str">
        <f>HYPERLINK("https://twitter.com/prawotoaji24","@prawotoaji24")</f>
        <v>@prawotoaji24</v>
      </c>
      <c r="C31890" s="8" t="s">
        <v>4235</v>
      </c>
      <c r="D31890" s="8">
        <v>703</v>
      </c>
      <c r="E31890" s="8">
        <v>0</v>
      </c>
      <c r="F31890" s="8">
        <v>173</v>
      </c>
    </row>
    <row r="31891" spans="1:6" ht="12.75">
      <c r="A31891" s="8">
        <v>43890.25645833333</v>
      </c>
      <c r="B31891" s="8" t="str">
        <f>HYPERLINK("https://twitter.com/azzamputra","@azzamputra")</f>
        <v>@azzamputra</v>
      </c>
      <c r="C31891" s="8" t="s">
        <v>10743</v>
      </c>
      <c r="D31891" s="8">
        <v>100</v>
      </c>
      <c r="E31891" s="8">
        <v>0</v>
      </c>
      <c r="F31891" s="8">
        <v>272</v>
      </c>
    </row>
    <row r="31892" spans="1:6" ht="12.75">
      <c r="A31892" s="8">
        <v>43890.256365740745</v>
      </c>
      <c r="B31892" s="8" t="str">
        <f>HYPERLINK("https://twitter.com/DesiArfisi","@DesiArfisi")</f>
        <v>@DesiArfisi</v>
      </c>
      <c r="C31892" s="8" t="s">
        <v>4235</v>
      </c>
      <c r="D31892" s="8">
        <v>701</v>
      </c>
      <c r="E31892" s="8">
        <v>0</v>
      </c>
      <c r="F31892" s="8">
        <v>2218</v>
      </c>
    </row>
    <row r="31893" spans="1:6" ht="12.75">
      <c r="A31893" s="8">
        <v>43890.255648148144</v>
      </c>
      <c r="B31893" s="8" t="str">
        <f>HYPERLINK("https://twitter.com/dina88_","@dina88_")</f>
        <v>@dina88_</v>
      </c>
      <c r="C31893" s="8" t="s">
        <v>12054</v>
      </c>
      <c r="D31893" s="8">
        <v>9</v>
      </c>
      <c r="E31893" s="8">
        <v>0</v>
      </c>
      <c r="F31893" s="8">
        <v>770</v>
      </c>
    </row>
    <row r="31894" spans="1:6" ht="12.75">
      <c r="A31894" s="8">
        <v>43890.255428240736</v>
      </c>
      <c r="B31894" s="8" t="str">
        <f>HYPERLINK("https://twitter.com/__MV_llestari__","@__MV_llestari__")</f>
        <v>@__MV_llestari__</v>
      </c>
      <c r="C31894" s="8" t="s">
        <v>12055</v>
      </c>
      <c r="D31894" s="8">
        <v>0</v>
      </c>
      <c r="E31894" s="8">
        <v>0</v>
      </c>
      <c r="F31894" s="8">
        <v>8931</v>
      </c>
    </row>
    <row r="31895" spans="1:6" ht="12.75">
      <c r="A31895" s="8">
        <v>43890.255347222221</v>
      </c>
      <c r="B31895" s="8" t="str">
        <f>HYPERLINK("https://twitter.com/triajaaa","@triajaaa")</f>
        <v>@triajaaa</v>
      </c>
      <c r="C31895" s="8" t="s">
        <v>12056</v>
      </c>
      <c r="D31895" s="8">
        <v>50</v>
      </c>
      <c r="E31895" s="8">
        <v>0</v>
      </c>
      <c r="F31895" s="8">
        <v>4565</v>
      </c>
    </row>
    <row r="31896" spans="1:6" ht="12.75">
      <c r="A31896" s="8">
        <v>43890.254965277782</v>
      </c>
      <c r="B31896" s="8" t="str">
        <f>HYPERLINK("https://twitter.com/andy_nomicin","@andy_nomicin")</f>
        <v>@andy_nomicin</v>
      </c>
      <c r="C31896" s="8" t="s">
        <v>12056</v>
      </c>
      <c r="D31896" s="8">
        <v>50</v>
      </c>
      <c r="E31896" s="8">
        <v>0</v>
      </c>
      <c r="F31896" s="8">
        <v>7421</v>
      </c>
    </row>
    <row r="31897" spans="1:6" ht="12.75">
      <c r="A31897" s="8">
        <v>43890.254826388889</v>
      </c>
      <c r="B31897" s="8" t="str">
        <f>HYPERLINK("https://twitter.com/pitutururip","@pitutururip")</f>
        <v>@pitutururip</v>
      </c>
      <c r="C31897" s="8" t="s">
        <v>4235</v>
      </c>
      <c r="D31897" s="8">
        <v>703</v>
      </c>
      <c r="E31897" s="8">
        <v>0</v>
      </c>
      <c r="F31897" s="8">
        <v>546</v>
      </c>
    </row>
    <row r="31898" spans="1:6" ht="12.75">
      <c r="A31898" s="8">
        <v>43890.254641203705</v>
      </c>
      <c r="B31898" s="8" t="str">
        <f>HYPERLINK("https://twitter.com/aidilamin_","@aidilamin_")</f>
        <v>@aidilamin_</v>
      </c>
      <c r="C31898" s="8" t="s">
        <v>11102</v>
      </c>
      <c r="D31898" s="8">
        <v>511</v>
      </c>
      <c r="E31898" s="8">
        <v>0</v>
      </c>
      <c r="F31898" s="8">
        <v>170</v>
      </c>
    </row>
    <row r="31899" spans="1:6" ht="12.75">
      <c r="A31899" s="8">
        <v>43890.254629629635</v>
      </c>
      <c r="B31899" s="8" t="str">
        <f>HYPERLINK("https://twitter.com/Derri_dayen","@Derri_dayen")</f>
        <v>@Derri_dayen</v>
      </c>
      <c r="C31899" s="8" t="s">
        <v>10743</v>
      </c>
      <c r="D31899" s="8">
        <v>100</v>
      </c>
      <c r="E31899" s="8">
        <v>0</v>
      </c>
      <c r="F31899" s="8">
        <v>672</v>
      </c>
    </row>
    <row r="31900" spans="1:6" ht="12.75">
      <c r="A31900" s="8">
        <v>43890.253842592589</v>
      </c>
      <c r="B31900" s="8" t="str">
        <f>HYPERLINK("https://twitter.com/KRobet02","@KRobet02")</f>
        <v>@KRobet02</v>
      </c>
      <c r="C31900" s="8" t="s">
        <v>12057</v>
      </c>
      <c r="D31900" s="8">
        <v>41</v>
      </c>
      <c r="E31900" s="8">
        <v>0</v>
      </c>
      <c r="F31900" s="8">
        <v>270</v>
      </c>
    </row>
    <row r="31901" spans="1:6" ht="12.75">
      <c r="A31901" s="8">
        <v>43890.25335648148</v>
      </c>
      <c r="B31901" s="8" t="str">
        <f>HYPERLINK("https://twitter.com/__MV_llestari__","@__MV_llestari__")</f>
        <v>@__MV_llestari__</v>
      </c>
      <c r="C31901" s="8" t="s">
        <v>12058</v>
      </c>
      <c r="D31901" s="8">
        <v>0</v>
      </c>
      <c r="E31901" s="8">
        <v>1</v>
      </c>
      <c r="F31901" s="8">
        <v>8931</v>
      </c>
    </row>
    <row r="31902" spans="1:6" ht="12.75">
      <c r="A31902" s="8">
        <v>43890.252291666664</v>
      </c>
      <c r="B31902" s="8" t="str">
        <f>HYPERLINK("https://twitter.com/Suhadi91896725","@Suhadi91896725")</f>
        <v>@Suhadi91896725</v>
      </c>
      <c r="C31902" s="8" t="s">
        <v>4235</v>
      </c>
      <c r="D31902" s="8">
        <v>703</v>
      </c>
      <c r="E31902" s="8">
        <v>0</v>
      </c>
      <c r="F31902" s="8">
        <v>67</v>
      </c>
    </row>
    <row r="31903" spans="1:6" ht="12.75">
      <c r="A31903" s="8">
        <v>43890.252199074079</v>
      </c>
      <c r="B31903" s="8" t="str">
        <f>HYPERLINK("https://twitter.com/MataJiwa6","@MataJiwa6")</f>
        <v>@MataJiwa6</v>
      </c>
      <c r="C31903" s="8" t="s">
        <v>11374</v>
      </c>
      <c r="D31903" s="8">
        <v>27</v>
      </c>
      <c r="E31903" s="8">
        <v>0</v>
      </c>
      <c r="F31903" s="8">
        <v>277</v>
      </c>
    </row>
    <row r="31904" spans="1:6" ht="12.75">
      <c r="A31904" s="8">
        <v>43890.252187499995</v>
      </c>
      <c r="B31904" s="8" t="str">
        <f>HYPERLINK("https://twitter.com/prytnma","@prytnma")</f>
        <v>@prytnma</v>
      </c>
      <c r="C31904" s="8" t="s">
        <v>4235</v>
      </c>
      <c r="D31904" s="8">
        <v>703</v>
      </c>
      <c r="E31904" s="8">
        <v>0</v>
      </c>
      <c r="F31904" s="8">
        <v>409</v>
      </c>
    </row>
    <row r="31905" spans="1:6" ht="12.75">
      <c r="A31905" s="8">
        <v>43890.252152777779</v>
      </c>
      <c r="B31905" s="8" t="str">
        <f>HYPERLINK("https://twitter.com/juandibob","@juandibob")</f>
        <v>@juandibob</v>
      </c>
      <c r="C31905" s="8" t="s">
        <v>4235</v>
      </c>
      <c r="D31905" s="8">
        <v>703</v>
      </c>
      <c r="E31905" s="8">
        <v>0</v>
      </c>
      <c r="F31905" s="8">
        <v>386</v>
      </c>
    </row>
    <row r="31906" spans="1:6" ht="12.75">
      <c r="A31906" s="8">
        <v>43890.251701388886</v>
      </c>
      <c r="B31906" s="8" t="str">
        <f>HYPERLINK("https://twitter.com/kopiKaffah","@kopiKaffah")</f>
        <v>@kopiKaffah</v>
      </c>
      <c r="C31906" s="8" t="s">
        <v>11970</v>
      </c>
      <c r="D31906" s="8">
        <v>3</v>
      </c>
      <c r="E31906" s="8">
        <v>0</v>
      </c>
      <c r="F31906" s="8">
        <v>341</v>
      </c>
    </row>
    <row r="31907" spans="1:6" ht="12.75">
      <c r="A31907" s="8">
        <v>43890.25072916667</v>
      </c>
      <c r="B31907" s="8" t="str">
        <f>HYPERLINK("https://twitter.com/FernianHaeHaean","@FernianHaeHaean")</f>
        <v>@FernianHaeHaean</v>
      </c>
      <c r="C31907" s="8" t="s">
        <v>11970</v>
      </c>
      <c r="D31907" s="8">
        <v>3</v>
      </c>
      <c r="E31907" s="8">
        <v>0</v>
      </c>
      <c r="F31907" s="8">
        <v>231</v>
      </c>
    </row>
    <row r="31908" spans="1:6" ht="12.75">
      <c r="A31908" s="8">
        <v>43890.250694444447</v>
      </c>
      <c r="B31908" s="8" t="str">
        <f>HYPERLINK("https://twitter.com/Alunk_bule","@Alunk_bule")</f>
        <v>@Alunk_bule</v>
      </c>
      <c r="C31908" s="8" t="s">
        <v>10755</v>
      </c>
      <c r="D31908" s="8">
        <v>593</v>
      </c>
      <c r="E31908" s="8">
        <v>0</v>
      </c>
      <c r="F31908" s="8">
        <v>228</v>
      </c>
    </row>
    <row r="31909" spans="1:6" ht="12.75">
      <c r="A31909" s="8">
        <v>43890.2503587963</v>
      </c>
      <c r="B31909" s="8" t="str">
        <f>HYPERLINK("https://twitter.com/jhsumidi","@jhsumidi")</f>
        <v>@jhsumidi</v>
      </c>
      <c r="C31909" s="8" t="s">
        <v>11329</v>
      </c>
      <c r="D31909" s="8">
        <v>22</v>
      </c>
      <c r="E31909" s="8">
        <v>0</v>
      </c>
      <c r="F31909" s="8">
        <v>353</v>
      </c>
    </row>
    <row r="31910" spans="1:6" ht="12.75">
      <c r="A31910" s="8">
        <v>43890.249560185184</v>
      </c>
      <c r="B31910" s="8" t="str">
        <f>HYPERLINK("https://twitter.com/lancarsemua","@lancarsemua")</f>
        <v>@lancarsemua</v>
      </c>
      <c r="C31910" s="8" t="s">
        <v>4235</v>
      </c>
      <c r="D31910" s="8">
        <v>703</v>
      </c>
      <c r="E31910" s="8">
        <v>0</v>
      </c>
      <c r="F31910" s="8">
        <v>271</v>
      </c>
    </row>
    <row r="31911" spans="1:6" ht="12.75">
      <c r="A31911" s="8">
        <v>43890.249467592592</v>
      </c>
      <c r="B31911" s="8" t="str">
        <f>HYPERLINK("https://twitter.com/bkapal04","@bkapal04")</f>
        <v>@bkapal04</v>
      </c>
      <c r="C31911" s="8" t="s">
        <v>4235</v>
      </c>
      <c r="D31911" s="8">
        <v>703</v>
      </c>
      <c r="E31911" s="8">
        <v>0</v>
      </c>
      <c r="F31911" s="8">
        <v>64</v>
      </c>
    </row>
    <row r="31912" spans="1:6" ht="12.75">
      <c r="A31912" s="8">
        <v>43890.248761574076</v>
      </c>
      <c r="B31912" s="8" t="str">
        <f>HYPERLINK("https://twitter.com/dmaryant","@dmaryant")</f>
        <v>@dmaryant</v>
      </c>
      <c r="C31912" s="8" t="s">
        <v>11729</v>
      </c>
      <c r="D31912" s="8">
        <v>16</v>
      </c>
      <c r="E31912" s="8">
        <v>0</v>
      </c>
      <c r="F31912" s="8">
        <v>895</v>
      </c>
    </row>
    <row r="31913" spans="1:6" ht="12.75">
      <c r="A31913" s="8">
        <v>43890.248333333337</v>
      </c>
      <c r="B31913" s="8" t="str">
        <f>HYPERLINK("https://twitter.com/oyok_712","@oyok_712")</f>
        <v>@oyok_712</v>
      </c>
      <c r="C31913" s="8" t="s">
        <v>4235</v>
      </c>
      <c r="D31913" s="8">
        <v>703</v>
      </c>
      <c r="E31913" s="8">
        <v>0</v>
      </c>
      <c r="F31913" s="8">
        <v>1294</v>
      </c>
    </row>
    <row r="31914" spans="1:6" ht="12.75">
      <c r="A31914" s="8">
        <v>43890.248171296298</v>
      </c>
      <c r="B31914" s="8" t="str">
        <f>HYPERLINK("https://twitter.com/zamzami59","@zamzami59")</f>
        <v>@zamzami59</v>
      </c>
      <c r="C31914" s="8" t="s">
        <v>6836</v>
      </c>
      <c r="D31914" s="8">
        <v>148</v>
      </c>
      <c r="E31914" s="8">
        <v>0</v>
      </c>
      <c r="F31914" s="8">
        <v>1353</v>
      </c>
    </row>
    <row r="31915" spans="1:6" ht="12.75">
      <c r="A31915" s="8">
        <v>43890.247939814813</v>
      </c>
      <c r="B31915" s="8" t="str">
        <f>HYPERLINK("https://twitter.com/republikaonline","@republikaonline")</f>
        <v>@republikaonline</v>
      </c>
      <c r="C31915" s="8" t="s">
        <v>12059</v>
      </c>
      <c r="D31915" s="8">
        <v>0</v>
      </c>
      <c r="E31915" s="8">
        <v>1</v>
      </c>
      <c r="F31915" s="8">
        <v>1215526</v>
      </c>
    </row>
    <row r="31916" spans="1:6" ht="12.75">
      <c r="A31916" s="8">
        <v>43890.247604166667</v>
      </c>
      <c r="B31916" s="8" t="str">
        <f>HYPERLINK("https://twitter.com/Khaindra2","@Khaindra2")</f>
        <v>@Khaindra2</v>
      </c>
      <c r="C31916" s="8" t="s">
        <v>4235</v>
      </c>
      <c r="D31916" s="8">
        <v>703</v>
      </c>
      <c r="E31916" s="8">
        <v>0</v>
      </c>
      <c r="F31916" s="8">
        <v>91</v>
      </c>
    </row>
    <row r="31917" spans="1:6" ht="12.75">
      <c r="A31917" s="8">
        <v>43890.247407407413</v>
      </c>
      <c r="B31917" s="8" t="str">
        <f>HYPERLINK("https://twitter.com/gendro_kesesi","@gendro_kesesi")</f>
        <v>@gendro_kesesi</v>
      </c>
      <c r="C31917" s="8" t="s">
        <v>4235</v>
      </c>
      <c r="D31917" s="8">
        <v>703</v>
      </c>
      <c r="E31917" s="8">
        <v>0</v>
      </c>
      <c r="F31917" s="8">
        <v>959</v>
      </c>
    </row>
    <row r="31918" spans="1:6" ht="12.75">
      <c r="A31918" s="8">
        <v>43890.247395833328</v>
      </c>
      <c r="B31918" s="8" t="str">
        <f>HYPERLINK("https://twitter.com/ellarufus","@ellarufus")</f>
        <v>@ellarufus</v>
      </c>
      <c r="C31918" s="8" t="s">
        <v>4235</v>
      </c>
      <c r="D31918" s="8">
        <v>703</v>
      </c>
      <c r="E31918" s="8">
        <v>0</v>
      </c>
      <c r="F31918" s="8">
        <v>83</v>
      </c>
    </row>
    <row r="31919" spans="1:6" ht="12.75">
      <c r="A31919" s="8">
        <v>43890.24622685185</v>
      </c>
      <c r="B31919" s="8" t="str">
        <f>HYPERLINK("https://twitter.com/nunuzainulf","@nunuzainulf")</f>
        <v>@nunuzainulf</v>
      </c>
      <c r="C31919" s="8" t="s">
        <v>4235</v>
      </c>
      <c r="D31919" s="8">
        <v>703</v>
      </c>
      <c r="E31919" s="8">
        <v>0</v>
      </c>
      <c r="F31919" s="8">
        <v>1046</v>
      </c>
    </row>
    <row r="31920" spans="1:6" ht="12.75">
      <c r="A31920" s="8">
        <v>43890.246192129634</v>
      </c>
      <c r="B31920" s="8" t="str">
        <f>HYPERLINK("https://twitter.com/hendrikiskandar","@hendrikiskandar")</f>
        <v>@hendrikiskandar</v>
      </c>
      <c r="C31920" s="8" t="s">
        <v>4235</v>
      </c>
      <c r="D31920" s="8">
        <v>703</v>
      </c>
      <c r="E31920" s="8">
        <v>0</v>
      </c>
      <c r="F31920" s="8">
        <v>296</v>
      </c>
    </row>
    <row r="31921" spans="1:6" ht="12.75">
      <c r="A31921" s="8">
        <v>43890.246122685188</v>
      </c>
      <c r="B31921" s="8" t="str">
        <f>HYPERLINK("https://twitter.com/budiagani","@budiagani")</f>
        <v>@budiagani</v>
      </c>
      <c r="C31921" s="8" t="s">
        <v>4235</v>
      </c>
      <c r="D31921" s="8">
        <v>703</v>
      </c>
      <c r="E31921" s="8">
        <v>0</v>
      </c>
      <c r="F31921" s="8">
        <v>192</v>
      </c>
    </row>
    <row r="31922" spans="1:6" ht="12.75">
      <c r="A31922" s="8">
        <v>43890.245740740742</v>
      </c>
      <c r="B31922" s="8" t="str">
        <f>HYPERLINK("https://twitter.com/LilikSatrio","@LilikSatrio")</f>
        <v>@LilikSatrio</v>
      </c>
      <c r="C31922" s="8" t="s">
        <v>12060</v>
      </c>
      <c r="D31922" s="8">
        <v>0</v>
      </c>
      <c r="E31922" s="8">
        <v>0</v>
      </c>
      <c r="F31922" s="8">
        <v>478</v>
      </c>
    </row>
    <row r="31923" spans="1:6" ht="12.75">
      <c r="A31923" s="8">
        <v>43890.245729166665</v>
      </c>
      <c r="B31923" s="8" t="str">
        <f>HYPERLINK("https://twitter.com/romdhananas","@romdhananas")</f>
        <v>@romdhananas</v>
      </c>
      <c r="C31923" s="8" t="s">
        <v>10755</v>
      </c>
      <c r="D31923" s="8">
        <v>593</v>
      </c>
      <c r="E31923" s="8">
        <v>0</v>
      </c>
      <c r="F31923" s="8">
        <v>122</v>
      </c>
    </row>
    <row r="31924" spans="1:6" ht="12.75">
      <c r="A31924" s="8">
        <v>43890.245532407411</v>
      </c>
      <c r="B31924" s="8" t="str">
        <f>HYPERLINK("https://twitter.com/sueb_soleh","@sueb_soleh")</f>
        <v>@sueb_soleh</v>
      </c>
      <c r="C31924" s="8" t="s">
        <v>11970</v>
      </c>
      <c r="D31924" s="8">
        <v>3</v>
      </c>
      <c r="E31924" s="8">
        <v>0</v>
      </c>
      <c r="F31924" s="8">
        <v>707</v>
      </c>
    </row>
    <row r="31925" spans="1:6" ht="12.75">
      <c r="A31925" s="8">
        <v>43890.245509259257</v>
      </c>
      <c r="B31925" s="8" t="str">
        <f>HYPERLINK("https://twitter.com/1umarsidik","@1umarsidik")</f>
        <v>@1umarsidik</v>
      </c>
      <c r="C31925" s="8" t="s">
        <v>4235</v>
      </c>
      <c r="D31925" s="8">
        <v>703</v>
      </c>
      <c r="E31925" s="8">
        <v>0</v>
      </c>
      <c r="F31925" s="8">
        <v>212</v>
      </c>
    </row>
    <row r="31926" spans="1:6" ht="12.75">
      <c r="A31926" s="8">
        <v>43890.245497685188</v>
      </c>
      <c r="B31926" s="8" t="str">
        <f t="shared" ref="B31926:B31931" si="445">HYPERLINK("https://twitter.com/polressergai","@polressergai")</f>
        <v>@polressergai</v>
      </c>
      <c r="C31926" s="8" t="s">
        <v>12061</v>
      </c>
      <c r="D31926" s="8">
        <v>0</v>
      </c>
      <c r="E31926" s="8">
        <v>0</v>
      </c>
      <c r="F31926" s="8">
        <v>698</v>
      </c>
    </row>
    <row r="31927" spans="1:6" ht="12.75">
      <c r="A31927" s="8">
        <v>43890.244942129633</v>
      </c>
      <c r="B31927" s="8" t="str">
        <f t="shared" si="445"/>
        <v>@polressergai</v>
      </c>
      <c r="C31927" s="8" t="s">
        <v>12062</v>
      </c>
      <c r="D31927" s="8">
        <v>0</v>
      </c>
      <c r="E31927" s="8">
        <v>0</v>
      </c>
      <c r="F31927" s="8">
        <v>698</v>
      </c>
    </row>
    <row r="31928" spans="1:6" ht="12.75">
      <c r="A31928" s="8">
        <v>43890.244895833333</v>
      </c>
      <c r="B31928" s="8" t="str">
        <f t="shared" si="445"/>
        <v>@polressergai</v>
      </c>
      <c r="C31928" s="8" t="s">
        <v>12063</v>
      </c>
      <c r="D31928" s="8">
        <v>0</v>
      </c>
      <c r="E31928" s="8">
        <v>0</v>
      </c>
      <c r="F31928" s="8">
        <v>698</v>
      </c>
    </row>
    <row r="31929" spans="1:6" ht="12.75">
      <c r="A31929" s="8">
        <v>43890.244467592594</v>
      </c>
      <c r="B31929" s="8" t="str">
        <f t="shared" si="445"/>
        <v>@polressergai</v>
      </c>
      <c r="C31929" s="8" t="s">
        <v>12064</v>
      </c>
      <c r="D31929" s="8">
        <v>0</v>
      </c>
      <c r="E31929" s="8">
        <v>0</v>
      </c>
      <c r="F31929" s="8">
        <v>698</v>
      </c>
    </row>
    <row r="31930" spans="1:6" ht="12.75">
      <c r="A31930" s="8">
        <v>43890.244247685187</v>
      </c>
      <c r="B31930" s="8" t="str">
        <f t="shared" si="445"/>
        <v>@polressergai</v>
      </c>
      <c r="C31930" s="8" t="s">
        <v>12062</v>
      </c>
      <c r="D31930" s="8">
        <v>0</v>
      </c>
      <c r="E31930" s="8">
        <v>0</v>
      </c>
      <c r="F31930" s="8">
        <v>698</v>
      </c>
    </row>
    <row r="31931" spans="1:6" ht="12.75">
      <c r="A31931" s="8">
        <v>43890.244039351848</v>
      </c>
      <c r="B31931" s="8" t="str">
        <f t="shared" si="445"/>
        <v>@polressergai</v>
      </c>
      <c r="C31931" s="8" t="s">
        <v>12062</v>
      </c>
      <c r="D31931" s="8">
        <v>0</v>
      </c>
      <c r="E31931" s="8">
        <v>0</v>
      </c>
      <c r="F31931" s="8">
        <v>698</v>
      </c>
    </row>
    <row r="31932" spans="1:6" ht="12.75">
      <c r="A31932" s="8">
        <v>43890.243969907402</v>
      </c>
      <c r="B31932" s="8" t="str">
        <f>HYPERLINK("https://twitter.com/JiwasrayaGate","@JiwasrayaGate")</f>
        <v>@JiwasrayaGate</v>
      </c>
      <c r="C31932" s="8" t="s">
        <v>12033</v>
      </c>
      <c r="D31932" s="8">
        <v>0</v>
      </c>
      <c r="E31932" s="8">
        <v>1</v>
      </c>
      <c r="F31932" s="8">
        <v>4114</v>
      </c>
    </row>
    <row r="31933" spans="1:6" ht="12.75">
      <c r="A31933" s="8">
        <v>43890.243784722217</v>
      </c>
      <c r="B31933" s="8" t="str">
        <f>HYPERLINK("https://twitter.com/MochatmaW","@MochatmaW")</f>
        <v>@MochatmaW</v>
      </c>
      <c r="C31933" s="8" t="s">
        <v>6490</v>
      </c>
      <c r="D31933" s="8">
        <v>163</v>
      </c>
      <c r="E31933" s="8">
        <v>0</v>
      </c>
      <c r="F31933" s="8">
        <v>4789</v>
      </c>
    </row>
    <row r="31934" spans="1:6" ht="12.75">
      <c r="A31934" s="8">
        <v>43890.243414351848</v>
      </c>
      <c r="B31934" s="8" t="str">
        <f>HYPERLINK("https://twitter.com/silo_bagendit","@silo_bagendit")</f>
        <v>@silo_bagendit</v>
      </c>
      <c r="C31934" s="8" t="s">
        <v>10755</v>
      </c>
      <c r="D31934" s="8">
        <v>593</v>
      </c>
      <c r="E31934" s="8">
        <v>0</v>
      </c>
      <c r="F31934" s="8">
        <v>344</v>
      </c>
    </row>
    <row r="31935" spans="1:6" ht="12.75">
      <c r="A31935" s="8">
        <v>43890.243321759262</v>
      </c>
      <c r="B31935" s="8" t="str">
        <f>HYPERLINK("https://twitter.com/DavidRuslie8","@DavidRuslie8")</f>
        <v>@DavidRuslie8</v>
      </c>
      <c r="C31935" s="8" t="s">
        <v>11184</v>
      </c>
      <c r="D31935" s="8">
        <v>6</v>
      </c>
      <c r="E31935" s="8">
        <v>0</v>
      </c>
      <c r="F31935" s="8">
        <v>930</v>
      </c>
    </row>
    <row r="31936" spans="1:6" ht="12.75">
      <c r="A31936" s="8">
        <v>43890.243275462963</v>
      </c>
      <c r="B31936" s="8" t="str">
        <f>HYPERLINK("https://twitter.com/yanisuparno","@yanisuparno")</f>
        <v>@yanisuparno</v>
      </c>
      <c r="C31936" s="8" t="s">
        <v>12065</v>
      </c>
      <c r="D31936" s="8">
        <v>74</v>
      </c>
      <c r="E31936" s="8">
        <v>0</v>
      </c>
      <c r="F31936" s="8">
        <v>467</v>
      </c>
    </row>
    <row r="31937" spans="1:6" ht="12.75">
      <c r="A31937" s="8">
        <v>43890.24282407407</v>
      </c>
      <c r="B31937" s="8" t="str">
        <f>HYPERLINK("https://twitter.com/rennotantoyo","@rennotantoyo")</f>
        <v>@rennotantoyo</v>
      </c>
      <c r="C31937" s="8" t="s">
        <v>4235</v>
      </c>
      <c r="D31937" s="8">
        <v>703</v>
      </c>
      <c r="E31937" s="8">
        <v>0</v>
      </c>
      <c r="F31937" s="8">
        <v>285</v>
      </c>
    </row>
    <row r="31938" spans="1:6" ht="12.75">
      <c r="A31938" s="8">
        <v>43890.242245370369</v>
      </c>
      <c r="B31938" s="8" t="str">
        <f>HYPERLINK("https://twitter.com/ibnu_hima","@ibnu_hima")</f>
        <v>@ibnu_hima</v>
      </c>
      <c r="C31938" s="8" t="s">
        <v>4235</v>
      </c>
      <c r="D31938" s="8">
        <v>703</v>
      </c>
      <c r="E31938" s="8">
        <v>0</v>
      </c>
      <c r="F31938" s="8">
        <v>1323</v>
      </c>
    </row>
    <row r="31939" spans="1:6" ht="12.75">
      <c r="A31939" s="8">
        <v>43890.242233796293</v>
      </c>
      <c r="B31939" s="8" t="str">
        <f>HYPERLINK("https://twitter.com/pommycomes4u","@pommycomes4u")</f>
        <v>@pommycomes4u</v>
      </c>
      <c r="C31939" s="8" t="s">
        <v>12066</v>
      </c>
      <c r="D31939" s="8">
        <v>0</v>
      </c>
      <c r="E31939" s="8">
        <v>0</v>
      </c>
      <c r="F31939" s="8">
        <v>0</v>
      </c>
    </row>
    <row r="31940" spans="1:6" ht="12.75">
      <c r="A31940" s="8">
        <v>43890.241863425923</v>
      </c>
      <c r="B31940" s="8" t="str">
        <f>HYPERLINK("https://twitter.com/roswaty4","@roswaty4")</f>
        <v>@roswaty4</v>
      </c>
      <c r="C31940" s="8" t="s">
        <v>12067</v>
      </c>
      <c r="D31940" s="8">
        <v>0</v>
      </c>
      <c r="E31940" s="8">
        <v>0</v>
      </c>
      <c r="F31940" s="8">
        <v>1185</v>
      </c>
    </row>
    <row r="31941" spans="1:6" ht="12.75">
      <c r="A31941" s="8">
        <v>43890.241562499999</v>
      </c>
      <c r="B31941" s="8" t="str">
        <f>HYPERLINK("https://twitter.com/Muhamma45792433","@Muhamma45792433")</f>
        <v>@Muhamma45792433</v>
      </c>
      <c r="C31941" s="8" t="s">
        <v>6490</v>
      </c>
      <c r="D31941" s="8">
        <v>163</v>
      </c>
      <c r="E31941" s="8">
        <v>0</v>
      </c>
      <c r="F31941" s="8">
        <v>1946</v>
      </c>
    </row>
    <row r="31942" spans="1:6" ht="12.75">
      <c r="A31942" s="8">
        <v>43890.241354166668</v>
      </c>
      <c r="B31942" s="8" t="str">
        <f>HYPERLINK("https://twitter.com/nancyamelia12","@nancyamelia12")</f>
        <v>@nancyamelia12</v>
      </c>
      <c r="C31942" s="8" t="s">
        <v>10755</v>
      </c>
      <c r="D31942" s="8">
        <v>593</v>
      </c>
      <c r="E31942" s="8">
        <v>0</v>
      </c>
      <c r="F31942" s="8">
        <v>23</v>
      </c>
    </row>
    <row r="31943" spans="1:6" ht="12.75">
      <c r="A31943" s="8">
        <v>43890.24113425926</v>
      </c>
      <c r="B31943" s="8" t="str">
        <f>HYPERLINK("https://twitter.com/MRidwanNst11","@MRidwanNst11")</f>
        <v>@MRidwanNst11</v>
      </c>
      <c r="C31943" s="8" t="s">
        <v>11329</v>
      </c>
      <c r="D31943" s="8">
        <v>22</v>
      </c>
      <c r="E31943" s="8">
        <v>0</v>
      </c>
      <c r="F31943" s="8">
        <v>25</v>
      </c>
    </row>
    <row r="31944" spans="1:6" ht="12.75">
      <c r="A31944" s="8">
        <v>43890.240972222222</v>
      </c>
      <c r="B31944" s="8" t="str">
        <f>HYPERLINK("https://twitter.com/JiwasrayaGate","@JiwasrayaGate")</f>
        <v>@JiwasrayaGate</v>
      </c>
      <c r="C31944" s="8" t="s">
        <v>10883</v>
      </c>
      <c r="D31944" s="8">
        <v>3</v>
      </c>
      <c r="E31944" s="8">
        <v>9</v>
      </c>
      <c r="F31944" s="8">
        <v>4114</v>
      </c>
    </row>
    <row r="31945" spans="1:6" ht="12.75">
      <c r="A31945" s="8">
        <v>43890.24082175926</v>
      </c>
      <c r="B31945" s="8" t="str">
        <f>HYPERLINK("https://twitter.com/Bryan_K54","@Bryan_K54")</f>
        <v>@Bryan_K54</v>
      </c>
      <c r="C31945" s="8" t="s">
        <v>11691</v>
      </c>
      <c r="D31945" s="8">
        <v>40</v>
      </c>
      <c r="E31945" s="8">
        <v>0</v>
      </c>
      <c r="F31945" s="8">
        <v>2019</v>
      </c>
    </row>
    <row r="31946" spans="1:6" ht="12.75">
      <c r="A31946" s="8">
        <v>43890.240763888884</v>
      </c>
      <c r="B31946" s="8" t="str">
        <f>HYPERLINK("https://twitter.com/kuspuji","@kuspuji")</f>
        <v>@kuspuji</v>
      </c>
      <c r="C31946" s="8" t="s">
        <v>4235</v>
      </c>
      <c r="D31946" s="8">
        <v>703</v>
      </c>
      <c r="E31946" s="8">
        <v>0</v>
      </c>
      <c r="F31946" s="8">
        <v>47</v>
      </c>
    </row>
    <row r="31947" spans="1:6" ht="12.75">
      <c r="A31947" s="8">
        <v>43890.240659722222</v>
      </c>
      <c r="B31947" s="8" t="str">
        <f>HYPERLINK("https://twitter.com/DetikMjlk","@DetikMjlk")</f>
        <v>@DetikMjlk</v>
      </c>
      <c r="C31947" s="8" t="s">
        <v>12068</v>
      </c>
      <c r="D31947" s="8">
        <v>0</v>
      </c>
      <c r="E31947" s="8">
        <v>0</v>
      </c>
      <c r="F31947" s="8">
        <v>156</v>
      </c>
    </row>
    <row r="31948" spans="1:6" ht="12.75">
      <c r="A31948" s="8">
        <v>43890.239328703705</v>
      </c>
      <c r="B31948" s="8" t="str">
        <f>HYPERLINK("https://twitter.com/jreng_jreng88","@jreng_jreng88")</f>
        <v>@jreng_jreng88</v>
      </c>
      <c r="C31948" s="8" t="s">
        <v>6836</v>
      </c>
      <c r="D31948" s="8">
        <v>148</v>
      </c>
      <c r="E31948" s="8">
        <v>0</v>
      </c>
      <c r="F31948" s="8">
        <v>1260</v>
      </c>
    </row>
    <row r="31949" spans="1:6" ht="12.75">
      <c r="A31949" s="8">
        <v>43890.239166666666</v>
      </c>
      <c r="B31949" s="8" t="str">
        <f>HYPERLINK("https://twitter.com/yanisuparno","@yanisuparno")</f>
        <v>@yanisuparno</v>
      </c>
      <c r="C31949" s="8" t="s">
        <v>6490</v>
      </c>
      <c r="D31949" s="8">
        <v>163</v>
      </c>
      <c r="E31949" s="8">
        <v>0</v>
      </c>
      <c r="F31949" s="8">
        <v>467</v>
      </c>
    </row>
    <row r="31950" spans="1:6" ht="12.75">
      <c r="A31950" s="8">
        <v>43890.238900462966</v>
      </c>
      <c r="B31950" s="8" t="str">
        <f>HYPERLINK("https://twitter.com/selenach__","@selenach__")</f>
        <v>@selenach__</v>
      </c>
      <c r="C31950" s="8" t="s">
        <v>10755</v>
      </c>
      <c r="D31950" s="8">
        <v>593</v>
      </c>
      <c r="E31950" s="8">
        <v>0</v>
      </c>
      <c r="F31950" s="8">
        <v>5468</v>
      </c>
    </row>
    <row r="31951" spans="1:6" ht="12.75">
      <c r="A31951" s="8">
        <v>43890.238703703704</v>
      </c>
      <c r="B31951" s="8" t="str">
        <f>HYPERLINK("https://twitter.com/AbdSalam_417","@AbdSalam_417")</f>
        <v>@AbdSalam_417</v>
      </c>
      <c r="C31951" s="8" t="s">
        <v>4235</v>
      </c>
      <c r="D31951" s="8">
        <v>703</v>
      </c>
      <c r="E31951" s="8">
        <v>0</v>
      </c>
      <c r="F31951" s="8">
        <v>428</v>
      </c>
    </row>
    <row r="31952" spans="1:6" ht="12.75">
      <c r="A31952" s="8">
        <v>43890.238668981481</v>
      </c>
      <c r="B31952" s="8" t="str">
        <f>HYPERLINK("https://twitter.com/JajeToples","@JajeToples")</f>
        <v>@JajeToples</v>
      </c>
      <c r="C31952" s="8" t="s">
        <v>12069</v>
      </c>
      <c r="D31952" s="8">
        <v>0</v>
      </c>
      <c r="E31952" s="8">
        <v>0</v>
      </c>
      <c r="F31952" s="8">
        <v>278</v>
      </c>
    </row>
    <row r="31953" spans="1:6" ht="12.75">
      <c r="A31953" s="8">
        <v>43890.238587962958</v>
      </c>
      <c r="B31953" s="8" t="str">
        <f>HYPERLINK("https://twitter.com/IstyadiI","@IstyadiI")</f>
        <v>@IstyadiI</v>
      </c>
      <c r="C31953" s="8" t="s">
        <v>11801</v>
      </c>
      <c r="D31953" s="8">
        <v>4</v>
      </c>
      <c r="E31953" s="8">
        <v>0</v>
      </c>
      <c r="F31953" s="8">
        <v>699</v>
      </c>
    </row>
    <row r="31954" spans="1:6" ht="12.75">
      <c r="A31954" s="8">
        <v>43890.238506944443</v>
      </c>
      <c r="B31954" s="8" t="str">
        <f>HYPERLINK("https://twitter.com/DemplonMak","@DemplonMak")</f>
        <v>@DemplonMak</v>
      </c>
      <c r="C31954" s="8" t="s">
        <v>11701</v>
      </c>
      <c r="D31954" s="8">
        <v>49</v>
      </c>
      <c r="E31954" s="8">
        <v>0</v>
      </c>
      <c r="F31954" s="8">
        <v>3165</v>
      </c>
    </row>
    <row r="31955" spans="1:6" ht="12.75">
      <c r="A31955" s="8">
        <v>43890.238310185188</v>
      </c>
      <c r="B31955" s="8" t="str">
        <f>HYPERLINK("https://twitter.com/Stefhan12628699","@Stefhan12628699")</f>
        <v>@Stefhan12628699</v>
      </c>
      <c r="C31955" s="8" t="s">
        <v>6490</v>
      </c>
      <c r="D31955" s="8">
        <v>163</v>
      </c>
      <c r="E31955" s="8">
        <v>0</v>
      </c>
      <c r="F31955" s="8">
        <v>2153</v>
      </c>
    </row>
    <row r="31956" spans="1:6" ht="12.75">
      <c r="A31956" s="8">
        <v>43890.238240740742</v>
      </c>
      <c r="B31956" s="8" t="str">
        <f>HYPERLINK("https://twitter.com/ajojuki","@ajojuki")</f>
        <v>@ajojuki</v>
      </c>
      <c r="C31956" s="8" t="s">
        <v>4235</v>
      </c>
      <c r="D31956" s="8">
        <v>703</v>
      </c>
      <c r="E31956" s="8">
        <v>0</v>
      </c>
      <c r="F31956" s="8">
        <v>1724</v>
      </c>
    </row>
    <row r="31957" spans="1:6" ht="12.75">
      <c r="A31957" s="8">
        <v>43890.238032407404</v>
      </c>
      <c r="B31957" s="8" t="str">
        <f>HYPERLINK("https://twitter.com/Paklek_286Army","@Paklek_286Army")</f>
        <v>@Paklek_286Army</v>
      </c>
      <c r="C31957" s="8" t="s">
        <v>12070</v>
      </c>
      <c r="D31957" s="8">
        <v>9</v>
      </c>
      <c r="E31957" s="8">
        <v>0</v>
      </c>
      <c r="F31957" s="8">
        <v>682</v>
      </c>
    </row>
    <row r="31958" spans="1:6" ht="12.75">
      <c r="A31958" s="8">
        <v>43890.238032407404</v>
      </c>
      <c r="B31958" s="8" t="str">
        <f>HYPERLINK("https://twitter.com/ZH_Nord","@ZH_Nord")</f>
        <v>@ZH_Nord</v>
      </c>
      <c r="C31958" s="8" t="s">
        <v>4235</v>
      </c>
      <c r="D31958" s="8">
        <v>703</v>
      </c>
      <c r="E31958" s="8">
        <v>0</v>
      </c>
      <c r="F31958" s="8">
        <v>88</v>
      </c>
    </row>
    <row r="31959" spans="1:6" ht="12.75">
      <c r="A31959" s="8">
        <v>43890.237361111111</v>
      </c>
      <c r="B31959" s="8" t="str">
        <f>HYPERLINK("https://twitter.com/ryan_eza","@ryan_eza")</f>
        <v>@ryan_eza</v>
      </c>
      <c r="C31959" s="8" t="s">
        <v>4235</v>
      </c>
      <c r="D31959" s="8">
        <v>703</v>
      </c>
      <c r="E31959" s="8">
        <v>0</v>
      </c>
      <c r="F31959" s="8">
        <v>213</v>
      </c>
    </row>
    <row r="31960" spans="1:6" ht="12.75">
      <c r="A31960" s="8">
        <v>43890.237268518518</v>
      </c>
      <c r="B31960" s="8" t="str">
        <f>HYPERLINK("https://twitter.com/WantoroArt","@WantoroArt")</f>
        <v>@WantoroArt</v>
      </c>
      <c r="C31960" s="8" t="s">
        <v>12071</v>
      </c>
      <c r="D31960" s="8">
        <v>53</v>
      </c>
      <c r="E31960" s="8">
        <v>0</v>
      </c>
      <c r="F31960" s="8">
        <v>93</v>
      </c>
    </row>
    <row r="31961" spans="1:6" ht="12.75">
      <c r="A31961" s="8">
        <v>43890.237210648149</v>
      </c>
      <c r="B31961" s="8" t="str">
        <f>HYPERLINK("https://twitter.com/nabilazpr","@nabilazpr")</f>
        <v>@nabilazpr</v>
      </c>
      <c r="C31961" s="8" t="s">
        <v>10755</v>
      </c>
      <c r="D31961" s="8">
        <v>593</v>
      </c>
      <c r="E31961" s="8">
        <v>0</v>
      </c>
      <c r="F31961" s="8">
        <v>434</v>
      </c>
    </row>
    <row r="31962" spans="1:6" ht="12.75">
      <c r="A31962" s="8">
        <v>43890.236886574072</v>
      </c>
      <c r="B31962" s="8" t="str">
        <f>HYPERLINK("https://twitter.com/ryan_eza","@ryan_eza")</f>
        <v>@ryan_eza</v>
      </c>
      <c r="C31962" s="8" t="s">
        <v>6836</v>
      </c>
      <c r="D31962" s="8">
        <v>148</v>
      </c>
      <c r="E31962" s="8">
        <v>0</v>
      </c>
      <c r="F31962" s="8">
        <v>213</v>
      </c>
    </row>
    <row r="31963" spans="1:6" ht="12.75">
      <c r="A31963" s="8">
        <v>43890.236724537041</v>
      </c>
      <c r="B31963" s="8" t="str">
        <f>HYPERLINK("https://twitter.com/Pari_Hoon_Main_","@Pari_Hoon_Main_")</f>
        <v>@Pari_Hoon_Main_</v>
      </c>
      <c r="C31963" s="8" t="s">
        <v>12072</v>
      </c>
      <c r="D31963" s="8">
        <v>0</v>
      </c>
      <c r="E31963" s="8">
        <v>0</v>
      </c>
      <c r="F31963" s="8">
        <v>104</v>
      </c>
    </row>
    <row r="31964" spans="1:6" ht="12.75">
      <c r="A31964" s="8">
        <v>43890.236666666664</v>
      </c>
      <c r="B31964" s="8" t="str">
        <f>HYPERLINK("https://twitter.com/saharadns","@saharadns")</f>
        <v>@saharadns</v>
      </c>
      <c r="C31964" s="8" t="s">
        <v>4235</v>
      </c>
      <c r="D31964" s="8">
        <v>703</v>
      </c>
      <c r="E31964" s="8">
        <v>0</v>
      </c>
      <c r="F31964" s="8">
        <v>352</v>
      </c>
    </row>
    <row r="31965" spans="1:6" ht="12.75">
      <c r="A31965" s="8">
        <v>43890.236157407402</v>
      </c>
      <c r="B31965" s="8" t="str">
        <f>HYPERLINK("https://twitter.com/ojol_radikal","@ojol_radikal")</f>
        <v>@ojol_radikal</v>
      </c>
      <c r="C31965" s="8" t="s">
        <v>6836</v>
      </c>
      <c r="D31965" s="8">
        <v>148</v>
      </c>
      <c r="E31965" s="8">
        <v>0</v>
      </c>
      <c r="F31965" s="8">
        <v>1488</v>
      </c>
    </row>
    <row r="31966" spans="1:6" ht="12.75">
      <c r="A31966" s="8">
        <v>43890.236064814817</v>
      </c>
      <c r="B31966" s="8" t="str">
        <f>HYPERLINK("https://twitter.com/AbuAdi82966659","@AbuAdi82966659")</f>
        <v>@AbuAdi82966659</v>
      </c>
      <c r="C31966" s="8" t="s">
        <v>4235</v>
      </c>
      <c r="D31966" s="8">
        <v>703</v>
      </c>
      <c r="E31966" s="8">
        <v>0</v>
      </c>
      <c r="F31966" s="8">
        <v>257</v>
      </c>
    </row>
    <row r="31967" spans="1:6" ht="12.75">
      <c r="A31967" s="8">
        <v>43890.236064814817</v>
      </c>
      <c r="B31967" s="8" t="str">
        <f>HYPERLINK("https://twitter.com/nusa1233","@nusa1233")</f>
        <v>@nusa1233</v>
      </c>
      <c r="C31967" s="8" t="s">
        <v>11329</v>
      </c>
      <c r="D31967" s="8">
        <v>22</v>
      </c>
      <c r="E31967" s="8">
        <v>0</v>
      </c>
      <c r="F31967" s="8">
        <v>275</v>
      </c>
    </row>
    <row r="31968" spans="1:6" ht="12.75">
      <c r="A31968" s="8">
        <v>43890.235995370371</v>
      </c>
      <c r="B31968" s="8" t="str">
        <f>HYPERLINK("https://twitter.com/Udinkladoko","@Udinkladoko")</f>
        <v>@Udinkladoko</v>
      </c>
      <c r="C31968" s="8" t="s">
        <v>4235</v>
      </c>
      <c r="D31968" s="8">
        <v>703</v>
      </c>
      <c r="E31968" s="8">
        <v>0</v>
      </c>
      <c r="F31968" s="8">
        <v>90</v>
      </c>
    </row>
    <row r="31969" spans="1:6" ht="12.75">
      <c r="A31969" s="8">
        <v>43890.235844907409</v>
      </c>
      <c r="B31969" s="8" t="str">
        <f>HYPERLINK("https://twitter.com/rudyd3li","@rudyd3li")</f>
        <v>@rudyd3li</v>
      </c>
      <c r="C31969" s="8" t="s">
        <v>12073</v>
      </c>
      <c r="D31969" s="8">
        <v>56</v>
      </c>
      <c r="E31969" s="8">
        <v>0</v>
      </c>
      <c r="F31969" s="8">
        <v>193</v>
      </c>
    </row>
    <row r="31970" spans="1:6" ht="12.75">
      <c r="A31970" s="8">
        <v>43890.235763888893</v>
      </c>
      <c r="B31970" s="8" t="str">
        <f>HYPERLINK("https://twitter.com/eric_joo1","@eric_joo1")</f>
        <v>@eric_joo1</v>
      </c>
      <c r="C31970" s="8" t="s">
        <v>4235</v>
      </c>
      <c r="D31970" s="8">
        <v>703</v>
      </c>
      <c r="E31970" s="8">
        <v>0</v>
      </c>
      <c r="F31970" s="8">
        <v>88</v>
      </c>
    </row>
    <row r="31971" spans="1:6" ht="12.75">
      <c r="A31971" s="8">
        <v>43890.235601851848</v>
      </c>
      <c r="B31971" s="8" t="str">
        <f>HYPERLINK("https://twitter.com/indrajam","@indrajam")</f>
        <v>@indrajam</v>
      </c>
      <c r="C31971" s="8" t="s">
        <v>4235</v>
      </c>
      <c r="D31971" s="8">
        <v>703</v>
      </c>
      <c r="E31971" s="8">
        <v>0</v>
      </c>
      <c r="F31971" s="8">
        <v>422</v>
      </c>
    </row>
    <row r="31972" spans="1:6" ht="12.75">
      <c r="A31972" s="8">
        <v>43890.235312500001</v>
      </c>
      <c r="B31972" s="8" t="str">
        <f>HYPERLINK("https://twitter.com/barnabasburn","@barnabasburn")</f>
        <v>@barnabasburn</v>
      </c>
      <c r="C31972" s="8" t="s">
        <v>4235</v>
      </c>
      <c r="D31972" s="8">
        <v>703</v>
      </c>
      <c r="E31972" s="8">
        <v>0</v>
      </c>
      <c r="F31972" s="8">
        <v>372</v>
      </c>
    </row>
    <row r="31973" spans="1:6" ht="12.75">
      <c r="A31973" s="8">
        <v>43890.234421296293</v>
      </c>
      <c r="B31973" s="8" t="str">
        <f>HYPERLINK("https://twitter.com/bulukskeren","@bulukskeren")</f>
        <v>@bulukskeren</v>
      </c>
      <c r="C31973" s="8" t="s">
        <v>4235</v>
      </c>
      <c r="D31973" s="8">
        <v>703</v>
      </c>
      <c r="E31973" s="8">
        <v>0</v>
      </c>
      <c r="F31973" s="8">
        <v>117</v>
      </c>
    </row>
    <row r="31974" spans="1:6" ht="12.75">
      <c r="A31974" s="8">
        <v>43890.2341087963</v>
      </c>
      <c r="B31974" s="8" t="str">
        <f>HYPERLINK("https://twitter.com/uwamuhidin","@uwamuhidin")</f>
        <v>@uwamuhidin</v>
      </c>
      <c r="C31974" s="8" t="s">
        <v>12074</v>
      </c>
      <c r="D31974" s="8">
        <v>0</v>
      </c>
      <c r="E31974" s="8">
        <v>0</v>
      </c>
      <c r="F31974" s="8">
        <v>0</v>
      </c>
    </row>
    <row r="31975" spans="1:6" ht="12.75">
      <c r="A31975" s="8">
        <v>43890.23364583333</v>
      </c>
      <c r="B31975" s="8" t="str">
        <f>HYPERLINK("https://twitter.com/trinugroho162","@trinugroho162")</f>
        <v>@trinugroho162</v>
      </c>
      <c r="C31975" s="8" t="s">
        <v>11729</v>
      </c>
      <c r="D31975" s="8">
        <v>16</v>
      </c>
      <c r="E31975" s="8">
        <v>0</v>
      </c>
      <c r="F31975" s="8">
        <v>1695</v>
      </c>
    </row>
    <row r="31976" spans="1:6" ht="12.75">
      <c r="A31976" s="8">
        <v>43890.233530092592</v>
      </c>
      <c r="B31976" s="8" t="str">
        <f>HYPERLINK("https://twitter.com/emma_yulini","@emma_yulini")</f>
        <v>@emma_yulini</v>
      </c>
      <c r="C31976" s="8" t="s">
        <v>4235</v>
      </c>
      <c r="D31976" s="8">
        <v>703</v>
      </c>
      <c r="E31976" s="8">
        <v>0</v>
      </c>
      <c r="F31976" s="8">
        <v>293</v>
      </c>
    </row>
    <row r="31977" spans="1:6" ht="12.75">
      <c r="A31977" s="8">
        <v>43890.233067129629</v>
      </c>
      <c r="B31977" s="8" t="str">
        <f>HYPERLINK("https://twitter.com/Mahmudy64367191","@Mahmudy64367191")</f>
        <v>@Mahmudy64367191</v>
      </c>
      <c r="C31977" s="8" t="s">
        <v>4235</v>
      </c>
      <c r="D31977" s="8">
        <v>703</v>
      </c>
      <c r="E31977" s="8">
        <v>0</v>
      </c>
      <c r="F31977" s="8">
        <v>1970</v>
      </c>
    </row>
    <row r="31978" spans="1:6" ht="12.75">
      <c r="A31978" s="8">
        <v>43890.232858796298</v>
      </c>
      <c r="B31978" s="8" t="str">
        <f>HYPERLINK("https://twitter.com/IstyadiI","@IstyadiI")</f>
        <v>@IstyadiI</v>
      </c>
      <c r="C31978" s="8" t="s">
        <v>11329</v>
      </c>
      <c r="D31978" s="8">
        <v>22</v>
      </c>
      <c r="E31978" s="8">
        <v>0</v>
      </c>
      <c r="F31978" s="8">
        <v>699</v>
      </c>
    </row>
    <row r="31979" spans="1:6" ht="12.75">
      <c r="A31979" s="8">
        <v>43890.232581018514</v>
      </c>
      <c r="B31979" s="8" t="str">
        <f>HYPERLINK("https://twitter.com/Udinkladoko","@Udinkladoko")</f>
        <v>@Udinkladoko</v>
      </c>
      <c r="C31979" s="8" t="s">
        <v>6490</v>
      </c>
      <c r="D31979" s="8">
        <v>163</v>
      </c>
      <c r="E31979" s="8">
        <v>0</v>
      </c>
      <c r="F31979" s="8">
        <v>90</v>
      </c>
    </row>
    <row r="31980" spans="1:6" ht="12.75">
      <c r="A31980" s="8">
        <v>43890.232523148152</v>
      </c>
      <c r="B31980" s="8" t="str">
        <f>HYPERLINK("https://twitter.com/rdhtk","@rdhtk")</f>
        <v>@rdhtk</v>
      </c>
      <c r="C31980" s="8" t="s">
        <v>4235</v>
      </c>
      <c r="D31980" s="8">
        <v>703</v>
      </c>
      <c r="E31980" s="8">
        <v>0</v>
      </c>
      <c r="F31980" s="8">
        <v>242</v>
      </c>
    </row>
    <row r="31981" spans="1:6" ht="12.75">
      <c r="A31981" s="8">
        <v>43890.231967592597</v>
      </c>
      <c r="B31981" s="8" t="str">
        <f>HYPERLINK("https://twitter.com/Wrp73RM","@Wrp73RM")</f>
        <v>@Wrp73RM</v>
      </c>
      <c r="C31981" s="8" t="s">
        <v>11801</v>
      </c>
      <c r="D31981" s="8">
        <v>4</v>
      </c>
      <c r="E31981" s="8">
        <v>0</v>
      </c>
      <c r="F31981" s="8">
        <v>723</v>
      </c>
    </row>
    <row r="31982" spans="1:6" ht="12.75">
      <c r="A31982" s="8">
        <v>43890.231446759259</v>
      </c>
      <c r="B31982" s="8" t="str">
        <f>HYPERLINK("https://twitter.com/WScuroep","@WScuroep")</f>
        <v>@WScuroep</v>
      </c>
      <c r="C31982" s="8" t="s">
        <v>4235</v>
      </c>
      <c r="D31982" s="8">
        <v>703</v>
      </c>
      <c r="E31982" s="8">
        <v>0</v>
      </c>
      <c r="F31982" s="8">
        <v>143</v>
      </c>
    </row>
    <row r="31983" spans="1:6" ht="12.75">
      <c r="A31983" s="8">
        <v>43890.230972222227</v>
      </c>
      <c r="B31983" s="8" t="str">
        <f t="shared" ref="B31983:B31984" si="446">HYPERLINK("https://twitter.com/irsansanusi1","@irsansanusi1")</f>
        <v>@irsansanusi1</v>
      </c>
      <c r="C31983" s="8" t="s">
        <v>10743</v>
      </c>
      <c r="D31983" s="8">
        <v>100</v>
      </c>
      <c r="E31983" s="8">
        <v>0</v>
      </c>
      <c r="F31983" s="8">
        <v>127</v>
      </c>
    </row>
    <row r="31984" spans="1:6" ht="12.75">
      <c r="A31984" s="8">
        <v>43890.230949074074</v>
      </c>
      <c r="B31984" s="8" t="str">
        <f t="shared" si="446"/>
        <v>@irsansanusi1</v>
      </c>
      <c r="C31984" s="8" t="s">
        <v>6836</v>
      </c>
      <c r="D31984" s="8">
        <v>148</v>
      </c>
      <c r="E31984" s="8">
        <v>0</v>
      </c>
      <c r="F31984" s="8">
        <v>127</v>
      </c>
    </row>
    <row r="31985" spans="1:6" ht="12.75">
      <c r="A31985" s="8">
        <v>43890.230937500004</v>
      </c>
      <c r="B31985" s="8" t="str">
        <f>HYPERLINK("https://twitter.com/gustafmaulana","@gustafmaulana")</f>
        <v>@gustafmaulana</v>
      </c>
      <c r="C31985" s="8" t="s">
        <v>6490</v>
      </c>
      <c r="D31985" s="8">
        <v>163</v>
      </c>
      <c r="E31985" s="8">
        <v>0</v>
      </c>
      <c r="F31985" s="8">
        <v>1209</v>
      </c>
    </row>
    <row r="31986" spans="1:6" ht="12.75">
      <c r="A31986" s="8">
        <v>43890.215011574073</v>
      </c>
      <c r="B31986" s="8" t="str">
        <f>HYPERLINK("https://twitter.com/sabriahrazak","@sabriahrazak")</f>
        <v>@sabriahrazak</v>
      </c>
      <c r="C31986" s="8" t="s">
        <v>12075</v>
      </c>
      <c r="D31986" s="8">
        <v>10</v>
      </c>
      <c r="E31986" s="8">
        <v>0</v>
      </c>
      <c r="F31986" s="8">
        <v>2288</v>
      </c>
    </row>
    <row r="31987" spans="1:6" ht="12.75">
      <c r="A31987" s="8">
        <v>43890.213969907403</v>
      </c>
      <c r="B31987" s="8" t="str">
        <f>HYPERLINK("https://twitter.com/isis_macedo10","@isis_macedo10")</f>
        <v>@isis_macedo10</v>
      </c>
      <c r="C31987" s="8" t="s">
        <v>12076</v>
      </c>
      <c r="D31987" s="8">
        <v>0</v>
      </c>
      <c r="E31987" s="8">
        <v>1</v>
      </c>
      <c r="F31987" s="8">
        <v>5252</v>
      </c>
    </row>
    <row r="31988" spans="1:6" ht="12.75">
      <c r="A31988" s="8">
        <v>43890.213796296295</v>
      </c>
      <c r="B31988" s="8" t="str">
        <f>HYPERLINK("https://twitter.com/DakwahOnline114","@DakwahOnline114")</f>
        <v>@DakwahOnline114</v>
      </c>
      <c r="C31988" s="8" t="s">
        <v>4235</v>
      </c>
      <c r="D31988" s="8">
        <v>625</v>
      </c>
      <c r="E31988" s="8">
        <v>0</v>
      </c>
      <c r="F31988" s="8">
        <v>1097</v>
      </c>
    </row>
    <row r="31989" spans="1:6" ht="12.75">
      <c r="A31989" s="8">
        <v>43890.213784722218</v>
      </c>
      <c r="B31989" s="8" t="str">
        <f>HYPERLINK("https://twitter.com/DJSoemaskaro2","@DJSoemaskaro2")</f>
        <v>@DJSoemaskaro2</v>
      </c>
      <c r="C31989" s="8" t="s">
        <v>12077</v>
      </c>
      <c r="D31989" s="8">
        <v>25</v>
      </c>
      <c r="E31989" s="8">
        <v>0</v>
      </c>
      <c r="F31989" s="8">
        <v>156</v>
      </c>
    </row>
    <row r="31990" spans="1:6" ht="12.75">
      <c r="A31990" s="8">
        <v>43890.213124999995</v>
      </c>
      <c r="B31990" s="8" t="str">
        <f>HYPERLINK("https://twitter.com/thirdsche","@thirdsche")</f>
        <v>@thirdsche</v>
      </c>
      <c r="C31990" s="8" t="s">
        <v>12078</v>
      </c>
      <c r="D31990" s="8">
        <v>0</v>
      </c>
      <c r="E31990" s="8">
        <v>0</v>
      </c>
      <c r="F31990" s="8">
        <v>369</v>
      </c>
    </row>
    <row r="31991" spans="1:6" ht="12.75">
      <c r="A31991" s="8">
        <v>43890.21293981481</v>
      </c>
      <c r="B31991" s="8" t="str">
        <f>HYPERLINK("https://twitter.com/sabar_mbok","@sabar_mbok")</f>
        <v>@sabar_mbok</v>
      </c>
      <c r="C31991" s="8" t="s">
        <v>12079</v>
      </c>
      <c r="D31991" s="8">
        <v>0</v>
      </c>
      <c r="E31991" s="8">
        <v>0</v>
      </c>
      <c r="F31991" s="8">
        <v>284</v>
      </c>
    </row>
    <row r="31992" spans="1:6" ht="12.75">
      <c r="A31992" s="8">
        <v>43890.212071759262</v>
      </c>
      <c r="B31992" s="8" t="str">
        <f>HYPERLINK("https://twitter.com/cakrabirawa186","@cakrabirawa186")</f>
        <v>@cakrabirawa186</v>
      </c>
      <c r="C31992" s="8" t="s">
        <v>12080</v>
      </c>
      <c r="D31992" s="8">
        <v>0</v>
      </c>
      <c r="E31992" s="8">
        <v>0</v>
      </c>
      <c r="F31992" s="8">
        <v>1033</v>
      </c>
    </row>
    <row r="31993" spans="1:6" ht="12.75">
      <c r="A31993" s="8">
        <v>43890.212060185186</v>
      </c>
      <c r="B31993" s="8" t="str">
        <f>HYPERLINK("https://twitter.com/viaiararei","@viaiararei")</f>
        <v>@viaiararei</v>
      </c>
      <c r="C31993" s="8" t="s">
        <v>12081</v>
      </c>
      <c r="D31993" s="8">
        <v>0</v>
      </c>
      <c r="E31993" s="8">
        <v>0</v>
      </c>
      <c r="F31993" s="8">
        <v>42</v>
      </c>
    </row>
    <row r="31994" spans="1:6" ht="12.75">
      <c r="A31994" s="8">
        <v>43890.21166666667</v>
      </c>
      <c r="B31994" s="8" t="str">
        <f>HYPERLINK("https://twitter.com/DiniHaruti","@DiniHaruti")</f>
        <v>@DiniHaruti</v>
      </c>
      <c r="C31994" s="8" t="s">
        <v>10755</v>
      </c>
      <c r="D31994" s="8">
        <v>581</v>
      </c>
      <c r="E31994" s="8">
        <v>0</v>
      </c>
      <c r="F31994" s="8">
        <v>1160</v>
      </c>
    </row>
    <row r="31995" spans="1:6" ht="12.75">
      <c r="A31995" s="8">
        <v>43890.211504629631</v>
      </c>
      <c r="B31995" s="8" t="str">
        <f>HYPERLINK("https://twitter.com/KPUGate","@KPUGate")</f>
        <v>@KPUGate</v>
      </c>
      <c r="C31995" s="8" t="s">
        <v>12033</v>
      </c>
      <c r="D31995" s="8">
        <v>0</v>
      </c>
      <c r="E31995" s="8">
        <v>1</v>
      </c>
      <c r="F31995" s="8">
        <v>4899</v>
      </c>
    </row>
    <row r="31996" spans="1:6" ht="12.75">
      <c r="A31996" s="8">
        <v>43890.211469907408</v>
      </c>
      <c r="B31996" s="8" t="str">
        <f>HYPERLINK("https://twitter.com/GSiwalette","@GSiwalette")</f>
        <v>@GSiwalette</v>
      </c>
      <c r="C31996" s="8" t="s">
        <v>12082</v>
      </c>
      <c r="D31996" s="8">
        <v>0</v>
      </c>
      <c r="E31996" s="8">
        <v>0</v>
      </c>
      <c r="F31996" s="8">
        <v>668</v>
      </c>
    </row>
    <row r="31997" spans="1:6" ht="12.75">
      <c r="A31997" s="8">
        <v>43890.211435185185</v>
      </c>
      <c r="B31997" s="8" t="str">
        <f>HYPERLINK("https://twitter.com/zid_HC","@zid_HC")</f>
        <v>@zid_HC</v>
      </c>
      <c r="C31997" s="8" t="s">
        <v>10755</v>
      </c>
      <c r="D31997" s="8">
        <v>581</v>
      </c>
      <c r="E31997" s="8">
        <v>0</v>
      </c>
      <c r="F31997" s="8">
        <v>377</v>
      </c>
    </row>
    <row r="31998" spans="1:6" ht="12.75">
      <c r="A31998" s="8">
        <v>43890.211342592593</v>
      </c>
      <c r="B31998" s="8" t="str">
        <f>HYPERLINK("https://twitter.com/agung3sanjaya","@agung3sanjaya")</f>
        <v>@agung3sanjaya</v>
      </c>
      <c r="C31998" s="8" t="s">
        <v>4235</v>
      </c>
      <c r="D31998" s="8">
        <v>625</v>
      </c>
      <c r="E31998" s="8">
        <v>0</v>
      </c>
      <c r="F31998" s="8">
        <v>309</v>
      </c>
    </row>
    <row r="31999" spans="1:6" ht="12.75">
      <c r="A31999" s="8">
        <v>43890.211099537039</v>
      </c>
      <c r="B31999" s="8" t="str">
        <f>HYPERLINK("https://twitter.com/Socotra10603047","@Socotra10603047")</f>
        <v>@Socotra10603047</v>
      </c>
      <c r="C31999" s="8" t="s">
        <v>6490</v>
      </c>
      <c r="D31999" s="8">
        <v>152</v>
      </c>
      <c r="E31999" s="8">
        <v>0</v>
      </c>
      <c r="F31999" s="8">
        <v>5257</v>
      </c>
    </row>
    <row r="32000" spans="1:6" ht="12.75">
      <c r="A32000" s="8">
        <v>43890.211018518516</v>
      </c>
      <c r="B32000" s="8" t="str">
        <f>HYPERLINK("https://twitter.com/itik_hensem","@itik_hensem")</f>
        <v>@itik_hensem</v>
      </c>
      <c r="C32000" s="8" t="s">
        <v>11102</v>
      </c>
      <c r="D32000" s="8">
        <v>502</v>
      </c>
      <c r="E32000" s="8">
        <v>0</v>
      </c>
      <c r="F32000" s="8">
        <v>337</v>
      </c>
    </row>
    <row r="32001" spans="1:6" ht="12.75">
      <c r="A32001" s="8">
        <v>43890.210509259261</v>
      </c>
      <c r="B32001" s="8" t="str">
        <f>HYPERLINK("https://twitter.com/AbolichdZ","@AbolichdZ")</f>
        <v>@AbolichdZ</v>
      </c>
      <c r="C32001" s="8" t="s">
        <v>11801</v>
      </c>
      <c r="D32001" s="8">
        <v>2</v>
      </c>
      <c r="E32001" s="8">
        <v>0</v>
      </c>
      <c r="F32001" s="8">
        <v>830</v>
      </c>
    </row>
    <row r="32002" spans="1:6" ht="12.75">
      <c r="A32002" s="8">
        <v>43890.210289351853</v>
      </c>
      <c r="B32002" s="8" t="str">
        <f>HYPERLINK("https://twitter.com/Ronny4456","@Ronny4456")</f>
        <v>@Ronny4456</v>
      </c>
      <c r="C32002" s="8" t="s">
        <v>4235</v>
      </c>
      <c r="D32002" s="8">
        <v>625</v>
      </c>
      <c r="E32002" s="8">
        <v>0</v>
      </c>
      <c r="F32002" s="8">
        <v>193</v>
      </c>
    </row>
    <row r="32003" spans="1:6" ht="12.75">
      <c r="A32003" s="8">
        <v>43890.209895833337</v>
      </c>
      <c r="B32003" s="8" t="str">
        <f>HYPERLINK("https://twitter.com/UmmuHarokah","@UmmuHarokah")</f>
        <v>@UmmuHarokah</v>
      </c>
      <c r="C32003" s="8" t="s">
        <v>4235</v>
      </c>
      <c r="D32003" s="8">
        <v>625</v>
      </c>
      <c r="E32003" s="8">
        <v>0</v>
      </c>
      <c r="F32003" s="8">
        <v>229</v>
      </c>
    </row>
    <row r="32004" spans="1:6" ht="12.75">
      <c r="A32004" s="8">
        <v>43890.209224537037</v>
      </c>
      <c r="B32004" s="8" t="str">
        <f>HYPERLINK("https://twitter.com/untungPWIRnekad","@untungPWIRnekad")</f>
        <v>@untungPWIRnekad</v>
      </c>
      <c r="C32004" s="8" t="s">
        <v>4235</v>
      </c>
      <c r="D32004" s="8">
        <v>625</v>
      </c>
      <c r="E32004" s="8">
        <v>0</v>
      </c>
      <c r="F32004" s="8">
        <v>297</v>
      </c>
    </row>
    <row r="32005" spans="1:6" ht="12.75">
      <c r="A32005" s="8">
        <v>43890.209143518514</v>
      </c>
      <c r="B32005" s="8" t="str">
        <f>HYPERLINK("https://twitter.com/fd_SatuLagi","@fd_SatuLagi")</f>
        <v>@fd_SatuLagi</v>
      </c>
      <c r="C32005" s="8" t="s">
        <v>4235</v>
      </c>
      <c r="D32005" s="8">
        <v>625</v>
      </c>
      <c r="E32005" s="8">
        <v>0</v>
      </c>
      <c r="F32005" s="8">
        <v>792</v>
      </c>
    </row>
    <row r="32006" spans="1:6" ht="12.75">
      <c r="A32006" s="8">
        <v>43890.208738425921</v>
      </c>
      <c r="B32006" s="8" t="str">
        <f>HYPERLINK("https://twitter.com/IshaqKibiya","@IshaqKibiya")</f>
        <v>@IshaqKibiya</v>
      </c>
      <c r="C32006" s="8" t="s">
        <v>12083</v>
      </c>
      <c r="D32006" s="8">
        <v>0</v>
      </c>
      <c r="E32006" s="8">
        <v>0</v>
      </c>
      <c r="F32006" s="8">
        <v>501</v>
      </c>
    </row>
    <row r="32007" spans="1:6" ht="12.75">
      <c r="A32007" s="8">
        <v>43890.208333333328</v>
      </c>
      <c r="B32007" s="8" t="str">
        <f>HYPERLINK("https://twitter.com/tribunSUPERBALL","@tribunSUPERBALL")</f>
        <v>@tribunSUPERBALL</v>
      </c>
      <c r="C32007" s="8" t="s">
        <v>12084</v>
      </c>
      <c r="D32007" s="8">
        <v>0</v>
      </c>
      <c r="E32007" s="8">
        <v>0</v>
      </c>
      <c r="F32007" s="8">
        <v>17787</v>
      </c>
    </row>
    <row r="32008" spans="1:6" ht="12.75">
      <c r="A32008" s="8">
        <v>43890.20722222222</v>
      </c>
      <c r="B32008" s="8" t="str">
        <f>HYPERLINK("https://twitter.com/lemonadepies","@lemonadepies")</f>
        <v>@lemonadepies</v>
      </c>
      <c r="C32008" s="8" t="s">
        <v>10755</v>
      </c>
      <c r="D32008" s="8">
        <v>581</v>
      </c>
      <c r="E32008" s="8">
        <v>0</v>
      </c>
      <c r="F32008" s="8">
        <v>1199</v>
      </c>
    </row>
    <row r="32009" spans="1:6" ht="12.75">
      <c r="A32009" s="8">
        <v>43890.206956018519</v>
      </c>
      <c r="B32009" s="8" t="str">
        <f>HYPERLINK("https://twitter.com/BenWaspada","@BenWaspada")</f>
        <v>@BenWaspada</v>
      </c>
      <c r="C32009" s="8" t="s">
        <v>11374</v>
      </c>
      <c r="D32009" s="8">
        <v>24</v>
      </c>
      <c r="E32009" s="8">
        <v>0</v>
      </c>
      <c r="F32009" s="8">
        <v>171</v>
      </c>
    </row>
    <row r="32010" spans="1:6" ht="12.75">
      <c r="A32010" s="8">
        <v>43890.206157407403</v>
      </c>
      <c r="B32010" s="8" t="str">
        <f>HYPERLINK("https://twitter.com/ayu275039","@ayu275039")</f>
        <v>@ayu275039</v>
      </c>
      <c r="C32010" s="8" t="s">
        <v>10755</v>
      </c>
      <c r="D32010" s="8">
        <v>581</v>
      </c>
      <c r="E32010" s="8">
        <v>0</v>
      </c>
      <c r="F32010" s="8">
        <v>5</v>
      </c>
    </row>
    <row r="32011" spans="1:6" ht="12.75">
      <c r="A32011" s="8">
        <v>43890.205347222218</v>
      </c>
      <c r="B32011" s="8" t="str">
        <f>HYPERLINK("https://twitter.com/adriankusaihir1","@adriankusaihir1")</f>
        <v>@adriankusaihir1</v>
      </c>
      <c r="C32011" s="8" t="s">
        <v>11729</v>
      </c>
      <c r="D32011" s="8">
        <v>12</v>
      </c>
      <c r="E32011" s="8">
        <v>0</v>
      </c>
      <c r="F32011" s="8">
        <v>147</v>
      </c>
    </row>
    <row r="32012" spans="1:6" ht="12.75">
      <c r="A32012" s="8">
        <v>43890.20512731481</v>
      </c>
      <c r="B32012" s="8" t="str">
        <f>HYPERLINK("https://twitter.com/Biji_Pala","@Biji_Pala")</f>
        <v>@Biji_Pala</v>
      </c>
      <c r="C32012" s="8" t="s">
        <v>12085</v>
      </c>
      <c r="D32012" s="8">
        <v>0</v>
      </c>
      <c r="E32012" s="8">
        <v>0</v>
      </c>
      <c r="F32012" s="8">
        <v>141</v>
      </c>
    </row>
    <row r="32013" spans="1:6" ht="12.75">
      <c r="A32013" s="8">
        <v>43890.204004629632</v>
      </c>
      <c r="B32013" s="8" t="str">
        <f>HYPERLINK("https://twitter.com/leamaya6","@leamaya6")</f>
        <v>@leamaya6</v>
      </c>
      <c r="C32013" s="8" t="s">
        <v>12086</v>
      </c>
      <c r="D32013" s="8">
        <v>0</v>
      </c>
      <c r="E32013" s="8">
        <v>0</v>
      </c>
      <c r="F32013" s="8">
        <v>814</v>
      </c>
    </row>
    <row r="32014" spans="1:6" ht="12.75">
      <c r="A32014" s="8">
        <v>43890.2034375</v>
      </c>
      <c r="B32014" s="8" t="str">
        <f>HYPERLINK("https://twitter.com/tsu_kiy","@tsu_kiy")</f>
        <v>@tsu_kiy</v>
      </c>
      <c r="C32014" s="8" t="s">
        <v>11329</v>
      </c>
      <c r="D32014" s="8">
        <v>16</v>
      </c>
      <c r="E32014" s="8">
        <v>0</v>
      </c>
      <c r="F32014" s="8">
        <v>932</v>
      </c>
    </row>
    <row r="32015" spans="1:6" ht="12.75">
      <c r="A32015" s="8">
        <v>43890.203298611115</v>
      </c>
      <c r="B32015" s="8" t="str">
        <f>HYPERLINK("https://twitter.com/Vagrant72","@Vagrant72")</f>
        <v>@Vagrant72</v>
      </c>
      <c r="C32015" s="8" t="s">
        <v>12087</v>
      </c>
      <c r="D32015" s="8">
        <v>0</v>
      </c>
      <c r="E32015" s="8">
        <v>0</v>
      </c>
      <c r="F32015" s="8">
        <v>75</v>
      </c>
    </row>
    <row r="32016" spans="1:6" ht="12.75">
      <c r="A32016" s="8">
        <v>43890.203206018516</v>
      </c>
      <c r="B32016" s="8" t="str">
        <f>HYPERLINK("https://twitter.com/sapar_ullah","@sapar_ullah")</f>
        <v>@sapar_ullah</v>
      </c>
      <c r="C32016" s="8" t="s">
        <v>4235</v>
      </c>
      <c r="D32016" s="8">
        <v>625</v>
      </c>
      <c r="E32016" s="8">
        <v>0</v>
      </c>
      <c r="F32016" s="8">
        <v>188</v>
      </c>
    </row>
    <row r="32017" spans="1:6" ht="12.75">
      <c r="A32017" s="8">
        <v>43890.202280092592</v>
      </c>
      <c r="B32017" s="8" t="str">
        <f>HYPERLINK("https://twitter.com/wasikjogja","@wasikjogja")</f>
        <v>@wasikjogja</v>
      </c>
      <c r="C32017" s="8" t="s">
        <v>4235</v>
      </c>
      <c r="D32017" s="8">
        <v>625</v>
      </c>
      <c r="E32017" s="8">
        <v>0</v>
      </c>
      <c r="F32017" s="8">
        <v>430</v>
      </c>
    </row>
    <row r="32018" spans="1:6" ht="12.75">
      <c r="A32018" s="8">
        <v>43890.201979166668</v>
      </c>
      <c r="B32018" s="8" t="str">
        <f>HYPERLINK("https://twitter.com/haidir_setiawan","@haidir_setiawan")</f>
        <v>@haidir_setiawan</v>
      </c>
      <c r="C32018" s="8" t="s">
        <v>4235</v>
      </c>
      <c r="D32018" s="8">
        <v>625</v>
      </c>
      <c r="E32018" s="8">
        <v>0</v>
      </c>
      <c r="F32018" s="8">
        <v>2305</v>
      </c>
    </row>
    <row r="32019" spans="1:6" ht="12.75">
      <c r="A32019" s="8">
        <v>43890.201354166667</v>
      </c>
      <c r="B32019" s="8" t="str">
        <f>HYPERLINK("https://twitter.com/AdjieNusantara","@AdjieNusantara")</f>
        <v>@AdjieNusantara</v>
      </c>
      <c r="C32019" s="8" t="s">
        <v>4235</v>
      </c>
      <c r="D32019" s="8">
        <v>625</v>
      </c>
      <c r="E32019" s="8">
        <v>0</v>
      </c>
      <c r="F32019" s="8">
        <v>201</v>
      </c>
    </row>
    <row r="32020" spans="1:6" ht="12.75">
      <c r="A32020" s="8">
        <v>43890.200902777782</v>
      </c>
      <c r="B32020" s="8" t="str">
        <f>HYPERLINK("https://twitter.com/ach_dzanki","@ach_dzanki")</f>
        <v>@ach_dzanki</v>
      </c>
      <c r="C32020" s="8" t="s">
        <v>4235</v>
      </c>
      <c r="D32020" s="8">
        <v>625</v>
      </c>
      <c r="E32020" s="8">
        <v>0</v>
      </c>
      <c r="F32020" s="8">
        <v>64</v>
      </c>
    </row>
    <row r="32021" spans="1:6" ht="12.75">
      <c r="A32021" s="8">
        <v>43890.200439814813</v>
      </c>
      <c r="B32021" s="8" t="str">
        <f>HYPERLINK("https://twitter.com/Anti71L1439H","@Anti71L1439H")</f>
        <v>@Anti71L1439H</v>
      </c>
      <c r="C32021" s="8" t="s">
        <v>4235</v>
      </c>
      <c r="D32021" s="8">
        <v>625</v>
      </c>
      <c r="E32021" s="8">
        <v>0</v>
      </c>
      <c r="F32021" s="8">
        <v>1136</v>
      </c>
    </row>
    <row r="32022" spans="1:6" ht="12.75">
      <c r="A32022" s="8">
        <v>43890.199490740742</v>
      </c>
      <c r="B32022" s="8" t="str">
        <f>HYPERLINK("https://twitter.com/abudzaky2015","@abudzaky2015")</f>
        <v>@abudzaky2015</v>
      </c>
      <c r="C32022" s="8" t="s">
        <v>4235</v>
      </c>
      <c r="D32022" s="8">
        <v>625</v>
      </c>
      <c r="E32022" s="8">
        <v>0</v>
      </c>
      <c r="F32022" s="8">
        <v>2870</v>
      </c>
    </row>
    <row r="32023" spans="1:6" ht="12.75">
      <c r="A32023" s="8">
        <v>43890.198472222226</v>
      </c>
      <c r="B32023" s="8" t="str">
        <f>HYPERLINK("https://twitter.com/mjenar2","@mjenar2")</f>
        <v>@mjenar2</v>
      </c>
      <c r="C32023" s="8" t="s">
        <v>4235</v>
      </c>
      <c r="D32023" s="8">
        <v>625</v>
      </c>
      <c r="E32023" s="8">
        <v>0</v>
      </c>
      <c r="F32023" s="8">
        <v>469</v>
      </c>
    </row>
    <row r="32024" spans="1:6" ht="12.75">
      <c r="A32024" s="8">
        <v>43890.198379629626</v>
      </c>
      <c r="B32024" s="8" t="str">
        <f>HYPERLINK("https://twitter.com/jovizky","@jovizky")</f>
        <v>@jovizky</v>
      </c>
      <c r="C32024" s="8" t="s">
        <v>4235</v>
      </c>
      <c r="D32024" s="8">
        <v>625</v>
      </c>
      <c r="E32024" s="8">
        <v>0</v>
      </c>
      <c r="F32024" s="8">
        <v>238</v>
      </c>
    </row>
    <row r="32025" spans="1:6" ht="12.75">
      <c r="A32025" s="8">
        <v>43890.197615740741</v>
      </c>
      <c r="B32025" s="8" t="str">
        <f>HYPERLINK("https://twitter.com/Evialfa20","@Evialfa20")</f>
        <v>@Evialfa20</v>
      </c>
      <c r="C32025" s="8" t="s">
        <v>4235</v>
      </c>
      <c r="D32025" s="8">
        <v>625</v>
      </c>
      <c r="E32025" s="8">
        <v>0</v>
      </c>
      <c r="F32025" s="8">
        <v>2729</v>
      </c>
    </row>
    <row r="32026" spans="1:6" ht="12.75">
      <c r="A32026" s="8">
        <v>43890.197488425925</v>
      </c>
      <c r="B32026" s="8" t="str">
        <f>HYPERLINK("https://twitter.com/wahyusaputro77","@wahyusaputro77")</f>
        <v>@wahyusaputro77</v>
      </c>
      <c r="C32026" s="8" t="s">
        <v>11425</v>
      </c>
      <c r="D32026" s="8">
        <v>5</v>
      </c>
      <c r="E32026" s="8">
        <v>0</v>
      </c>
      <c r="F32026" s="8">
        <v>91</v>
      </c>
    </row>
    <row r="32027" spans="1:6" ht="12.75">
      <c r="A32027" s="8">
        <v>43890.195763888885</v>
      </c>
      <c r="B32027" s="8" t="str">
        <f>HYPERLINK("https://twitter.com/koshkhano","@koshkhano")</f>
        <v>@koshkhano</v>
      </c>
      <c r="C32027" s="8" t="s">
        <v>4235</v>
      </c>
      <c r="D32027" s="8">
        <v>625</v>
      </c>
      <c r="E32027" s="8">
        <v>0</v>
      </c>
      <c r="F32027" s="8">
        <v>1733</v>
      </c>
    </row>
    <row r="32028" spans="1:6" ht="12.75">
      <c r="A32028" s="8">
        <v>43890.195358796293</v>
      </c>
      <c r="B32028" s="8" t="str">
        <f>HYPERLINK("https://twitter.com/hotel_tugujogja","@hotel_tugujogja")</f>
        <v>@hotel_tugujogja</v>
      </c>
      <c r="C32028" s="8" t="s">
        <v>4235</v>
      </c>
      <c r="D32028" s="8">
        <v>625</v>
      </c>
      <c r="E32028" s="8">
        <v>0</v>
      </c>
      <c r="F32028" s="8">
        <v>339</v>
      </c>
    </row>
    <row r="32029" spans="1:6" ht="12.75">
      <c r="A32029" s="8">
        <v>43890.194861111115</v>
      </c>
      <c r="B32029" s="8" t="str">
        <f>HYPERLINK("https://twitter.com/arief_alfarezza","@arief_alfarezza")</f>
        <v>@arief_alfarezza</v>
      </c>
      <c r="C32029" s="8" t="s">
        <v>10755</v>
      </c>
      <c r="D32029" s="8">
        <v>581</v>
      </c>
      <c r="E32029" s="8">
        <v>0</v>
      </c>
      <c r="F32029" s="8">
        <v>74</v>
      </c>
    </row>
    <row r="32030" spans="1:6" ht="12.75">
      <c r="A32030" s="8">
        <v>43890.19394675926</v>
      </c>
      <c r="B32030" s="8" t="str">
        <f>HYPERLINK("https://twitter.com/hotel_tugujogja","@hotel_tugujogja")</f>
        <v>@hotel_tugujogja</v>
      </c>
      <c r="C32030" s="8" t="s">
        <v>11729</v>
      </c>
      <c r="D32030" s="8">
        <v>12</v>
      </c>
      <c r="E32030" s="8">
        <v>0</v>
      </c>
      <c r="F32030" s="8">
        <v>339</v>
      </c>
    </row>
    <row r="32031" spans="1:6" ht="12.75">
      <c r="A32031" s="8">
        <v>43890.193252314813</v>
      </c>
      <c r="B32031" s="8" t="str">
        <f>HYPERLINK("https://twitter.com/ZhAlkhalifi","@ZhAlkhalifi")</f>
        <v>@ZhAlkhalifi</v>
      </c>
      <c r="C32031" s="8" t="s">
        <v>4235</v>
      </c>
      <c r="D32031" s="8">
        <v>625</v>
      </c>
      <c r="E32031" s="8">
        <v>0</v>
      </c>
      <c r="F32031" s="8">
        <v>387</v>
      </c>
    </row>
    <row r="32032" spans="1:6" ht="12.75">
      <c r="A32032" s="8">
        <v>43890.193159722221</v>
      </c>
      <c r="B32032" s="8" t="str">
        <f>HYPERLINK("https://twitter.com/salamakalsehat","@salamakalsehat")</f>
        <v>@salamakalsehat</v>
      </c>
      <c r="C32032" s="8" t="s">
        <v>4235</v>
      </c>
      <c r="D32032" s="8">
        <v>625</v>
      </c>
      <c r="E32032" s="8">
        <v>0</v>
      </c>
      <c r="F32032" s="8">
        <v>1133</v>
      </c>
    </row>
    <row r="32033" spans="1:6" ht="12.75">
      <c r="A32033" s="8">
        <v>43890.192488425921</v>
      </c>
      <c r="B32033" s="8" t="str">
        <f>HYPERLINK("https://twitter.com/Jidok10","@Jidok10")</f>
        <v>@Jidok10</v>
      </c>
      <c r="C32033" s="8" t="s">
        <v>10755</v>
      </c>
      <c r="D32033" s="8">
        <v>581</v>
      </c>
      <c r="E32033" s="8">
        <v>0</v>
      </c>
      <c r="F32033" s="8">
        <v>7</v>
      </c>
    </row>
    <row r="32034" spans="1:6" ht="12.75">
      <c r="A32034" s="8">
        <v>43890.191967592589</v>
      </c>
      <c r="B32034" s="8" t="str">
        <f>HYPERLINK("https://twitter.com/emarlasmono","@emarlasmono")</f>
        <v>@emarlasmono</v>
      </c>
      <c r="C32034" s="8" t="s">
        <v>11801</v>
      </c>
      <c r="D32034" s="8">
        <v>2</v>
      </c>
      <c r="E32034" s="8">
        <v>0</v>
      </c>
      <c r="F32034" s="8">
        <v>1004</v>
      </c>
    </row>
    <row r="32035" spans="1:6" ht="12.75">
      <c r="A32035" s="8">
        <v>43890.190462962964</v>
      </c>
      <c r="B32035" s="8" t="str">
        <f>HYPERLINK("https://twitter.com/tantry32","@tantry32")</f>
        <v>@tantry32</v>
      </c>
      <c r="C32035" s="8" t="s">
        <v>11691</v>
      </c>
      <c r="D32035" s="8">
        <v>39</v>
      </c>
      <c r="E32035" s="8">
        <v>0</v>
      </c>
      <c r="F32035" s="8">
        <v>452</v>
      </c>
    </row>
    <row r="32036" spans="1:6" ht="12.75">
      <c r="A32036" s="8">
        <v>43890.189456018517</v>
      </c>
      <c r="B32036" s="8" t="str">
        <f>HYPERLINK("https://twitter.com/suswaeni","@suswaeni")</f>
        <v>@suswaeni</v>
      </c>
      <c r="C32036" s="8" t="s">
        <v>4235</v>
      </c>
      <c r="D32036" s="8">
        <v>625</v>
      </c>
      <c r="E32036" s="8">
        <v>0</v>
      </c>
      <c r="F32036" s="8">
        <v>107</v>
      </c>
    </row>
    <row r="32037" spans="1:6" ht="12.75">
      <c r="A32037" s="8">
        <v>43890.18818287037</v>
      </c>
      <c r="B32037" s="8" t="str">
        <f>HYPERLINK("https://twitter.com/kemetPJ","@kemetPJ")</f>
        <v>@kemetPJ</v>
      </c>
      <c r="C32037" s="8" t="s">
        <v>10755</v>
      </c>
      <c r="D32037" s="8">
        <v>581</v>
      </c>
      <c r="E32037" s="8">
        <v>0</v>
      </c>
      <c r="F32037" s="8">
        <v>235</v>
      </c>
    </row>
    <row r="32038" spans="1:6" ht="12.75">
      <c r="A32038" s="8">
        <v>43890.188159722224</v>
      </c>
      <c r="B32038" s="8" t="str">
        <f>HYPERLINK("https://twitter.com/laksmurni","@laksmurni")</f>
        <v>@laksmurni</v>
      </c>
      <c r="C32038" s="8" t="s">
        <v>4235</v>
      </c>
      <c r="D32038" s="8">
        <v>625</v>
      </c>
      <c r="E32038" s="8">
        <v>0</v>
      </c>
      <c r="F32038" s="8">
        <v>2380</v>
      </c>
    </row>
    <row r="32039" spans="1:6" ht="12.75">
      <c r="A32039" s="8">
        <v>43890.187384259261</v>
      </c>
      <c r="B32039" s="8" t="str">
        <f>HYPERLINK("https://twitter.com/badayramadhan","@badayramadhan")</f>
        <v>@badayramadhan</v>
      </c>
      <c r="C32039" s="8" t="s">
        <v>12088</v>
      </c>
      <c r="D32039" s="8">
        <v>0</v>
      </c>
      <c r="E32039" s="8">
        <v>0</v>
      </c>
      <c r="F32039" s="8">
        <v>589</v>
      </c>
    </row>
    <row r="32040" spans="1:6" ht="12.75">
      <c r="A32040" s="8">
        <v>43890.186736111107</v>
      </c>
      <c r="B32040" s="8" t="str">
        <f>HYPERLINK("https://twitter.com/nir_nor_","@nir_nor_")</f>
        <v>@nir_nor_</v>
      </c>
      <c r="C32040" s="8" t="s">
        <v>12089</v>
      </c>
      <c r="D32040" s="8">
        <v>0</v>
      </c>
      <c r="E32040" s="8">
        <v>0</v>
      </c>
      <c r="F32040" s="8">
        <v>22</v>
      </c>
    </row>
    <row r="32041" spans="1:6" ht="12.75">
      <c r="A32041" s="8">
        <v>43890.186724537038</v>
      </c>
      <c r="B32041" s="8" t="str">
        <f>HYPERLINK("https://twitter.com/fd_SatuLagi","@fd_SatuLagi")</f>
        <v>@fd_SatuLagi</v>
      </c>
      <c r="C32041" s="8" t="s">
        <v>6490</v>
      </c>
      <c r="D32041" s="8">
        <v>152</v>
      </c>
      <c r="E32041" s="8">
        <v>0</v>
      </c>
      <c r="F32041" s="8">
        <v>792</v>
      </c>
    </row>
    <row r="32042" spans="1:6" ht="12.75">
      <c r="A32042" s="8">
        <v>43890.18582175926</v>
      </c>
      <c r="B32042" s="8" t="str">
        <f>HYPERLINK("https://twitter.com/HenkMizell","@HenkMizell")</f>
        <v>@HenkMizell</v>
      </c>
      <c r="C32042" s="8" t="s">
        <v>12090</v>
      </c>
      <c r="D32042" s="8">
        <v>0</v>
      </c>
      <c r="E32042" s="8">
        <v>0</v>
      </c>
      <c r="F32042" s="8">
        <v>24</v>
      </c>
    </row>
    <row r="32043" spans="1:6" ht="12.75">
      <c r="A32043" s="8">
        <v>43890.185763888891</v>
      </c>
      <c r="B32043" s="8" t="str">
        <f>HYPERLINK("https://twitter.com/masmulajah","@masmulajah")</f>
        <v>@masmulajah</v>
      </c>
      <c r="C32043" s="8" t="s">
        <v>4235</v>
      </c>
      <c r="D32043" s="8">
        <v>625</v>
      </c>
      <c r="E32043" s="8">
        <v>0</v>
      </c>
      <c r="F32043" s="8">
        <v>364</v>
      </c>
    </row>
    <row r="32044" spans="1:6" ht="12.75">
      <c r="A32044" s="8">
        <v>43890.185312500005</v>
      </c>
      <c r="B32044" s="8" t="str">
        <f>HYPERLINK("https://twitter.com/caesarianty_","@caesarianty_")</f>
        <v>@caesarianty_</v>
      </c>
      <c r="C32044" s="8" t="s">
        <v>6490</v>
      </c>
      <c r="D32044" s="8">
        <v>152</v>
      </c>
      <c r="E32044" s="8">
        <v>0</v>
      </c>
      <c r="F32044" s="8">
        <v>335</v>
      </c>
    </row>
    <row r="32045" spans="1:6" ht="12.75">
      <c r="A32045" s="8">
        <v>43890.184444444443</v>
      </c>
      <c r="B32045" s="8" t="str">
        <f>HYPERLINK("https://twitter.com/VJ_Apid","@VJ_Apid")</f>
        <v>@VJ_Apid</v>
      </c>
      <c r="C32045" s="8" t="s">
        <v>6490</v>
      </c>
      <c r="D32045" s="8">
        <v>152</v>
      </c>
      <c r="E32045" s="8">
        <v>0</v>
      </c>
      <c r="F32045" s="8">
        <v>263</v>
      </c>
    </row>
    <row r="32046" spans="1:6" ht="12.75">
      <c r="A32046" s="8">
        <v>43890.184363425928</v>
      </c>
      <c r="B32046" s="8" t="str">
        <f>HYPERLINK("https://twitter.com/_CHlS_","@_CHlS_")</f>
        <v>@_CHlS_</v>
      </c>
      <c r="C32046" s="8" t="s">
        <v>12044</v>
      </c>
      <c r="D32046" s="8">
        <v>6</v>
      </c>
      <c r="E32046" s="8">
        <v>0</v>
      </c>
      <c r="F32046" s="8">
        <v>2826</v>
      </c>
    </row>
    <row r="32047" spans="1:6" ht="12.75">
      <c r="A32047" s="8">
        <v>43890.184155092589</v>
      </c>
      <c r="B32047" s="8" t="str">
        <f>HYPERLINK("https://twitter.com/Sjaechu","@Sjaechu")</f>
        <v>@Sjaechu</v>
      </c>
      <c r="C32047" s="8" t="s">
        <v>11329</v>
      </c>
      <c r="D32047" s="8">
        <v>16</v>
      </c>
      <c r="E32047" s="8">
        <v>0</v>
      </c>
      <c r="F32047" s="8">
        <v>5799</v>
      </c>
    </row>
    <row r="32048" spans="1:6" ht="12.75">
      <c r="A32048" s="8">
        <v>43890.183946759258</v>
      </c>
      <c r="B32048" s="8" t="str">
        <f>HYPERLINK("https://twitter.com/OethoenSlow","@OethoenSlow")</f>
        <v>@OethoenSlow</v>
      </c>
      <c r="C32048" s="8" t="s">
        <v>4235</v>
      </c>
      <c r="D32048" s="8">
        <v>625</v>
      </c>
      <c r="E32048" s="8">
        <v>0</v>
      </c>
      <c r="F32048" s="8">
        <v>2660</v>
      </c>
    </row>
    <row r="32049" spans="1:6" ht="12.75">
      <c r="A32049" s="8">
        <v>43890.183657407411</v>
      </c>
      <c r="B32049" s="8" t="str">
        <f>HYPERLINK("https://twitter.com/AriBistro","@AriBistro")</f>
        <v>@AriBistro</v>
      </c>
      <c r="C32049" s="8" t="s">
        <v>4235</v>
      </c>
      <c r="D32049" s="8">
        <v>625</v>
      </c>
      <c r="E32049" s="8">
        <v>0</v>
      </c>
      <c r="F32049" s="8">
        <v>342</v>
      </c>
    </row>
    <row r="32050" spans="1:6" ht="12.75">
      <c r="A32050" s="8">
        <v>43890.183136574073</v>
      </c>
      <c r="B32050" s="8" t="str">
        <f>HYPERLINK("https://twitter.com/KPUGate","@KPUGate")</f>
        <v>@KPUGate</v>
      </c>
      <c r="C32050" s="8" t="s">
        <v>10883</v>
      </c>
      <c r="D32050" s="8">
        <v>2</v>
      </c>
      <c r="E32050" s="8">
        <v>4</v>
      </c>
      <c r="F32050" s="8">
        <v>4899</v>
      </c>
    </row>
    <row r="32051" spans="1:6" ht="12.75">
      <c r="A32051" s="8">
        <v>43890.18268518518</v>
      </c>
      <c r="B32051" s="8" t="str">
        <f>HYPERLINK("https://twitter.com/franxvvv","@franxvvv")</f>
        <v>@franxvvv</v>
      </c>
      <c r="C32051" s="8" t="s">
        <v>11586</v>
      </c>
      <c r="D32051" s="8">
        <v>167</v>
      </c>
      <c r="E32051" s="8">
        <v>0</v>
      </c>
      <c r="F32051" s="8">
        <v>1396</v>
      </c>
    </row>
    <row r="32052" spans="1:6" ht="12.75">
      <c r="A32052" s="8">
        <v>43890.182569444441</v>
      </c>
      <c r="B32052" s="8" t="str">
        <f>HYPERLINK("https://twitter.com/EviKusdiani","@EviKusdiani")</f>
        <v>@EviKusdiani</v>
      </c>
      <c r="C32052" s="8" t="s">
        <v>4235</v>
      </c>
      <c r="D32052" s="8">
        <v>625</v>
      </c>
      <c r="E32052" s="8">
        <v>0</v>
      </c>
      <c r="F32052" s="8">
        <v>510</v>
      </c>
    </row>
    <row r="32053" spans="1:6" ht="12.75">
      <c r="A32053" s="8">
        <v>43890.182164351849</v>
      </c>
      <c r="B32053" s="8" t="str">
        <f>HYPERLINK("https://twitter.com/MeliSusiana","@MeliSusiana")</f>
        <v>@MeliSusiana</v>
      </c>
      <c r="C32053" s="8" t="s">
        <v>10755</v>
      </c>
      <c r="D32053" s="8">
        <v>581</v>
      </c>
      <c r="E32053" s="8">
        <v>0</v>
      </c>
      <c r="F32053" s="8">
        <v>490</v>
      </c>
    </row>
    <row r="32054" spans="1:6" ht="12.75">
      <c r="A32054" s="8">
        <v>43890.182037037041</v>
      </c>
      <c r="B32054" s="8" t="str">
        <f>HYPERLINK("https://twitter.com/sodiqinsunter","@sodiqinsunter")</f>
        <v>@sodiqinsunter</v>
      </c>
      <c r="C32054" s="8" t="s">
        <v>4235</v>
      </c>
      <c r="D32054" s="8">
        <v>625</v>
      </c>
      <c r="E32054" s="8">
        <v>0</v>
      </c>
      <c r="F32054" s="8">
        <v>27</v>
      </c>
    </row>
    <row r="32055" spans="1:6" ht="12.75">
      <c r="A32055" s="8">
        <v>43890.181620370371</v>
      </c>
      <c r="B32055" s="8" t="str">
        <f>HYPERLINK("https://twitter.com/daeng_bugis","@daeng_bugis")</f>
        <v>@daeng_bugis</v>
      </c>
      <c r="C32055" s="8" t="s">
        <v>11691</v>
      </c>
      <c r="D32055" s="8">
        <v>39</v>
      </c>
      <c r="E32055" s="8">
        <v>0</v>
      </c>
      <c r="F32055" s="8">
        <v>55</v>
      </c>
    </row>
    <row r="32056" spans="1:6" ht="12.75">
      <c r="A32056" s="8">
        <v>43890.181354166663</v>
      </c>
      <c r="B32056" s="8" t="str">
        <f>HYPERLINK("https://twitter.com/adistychwijaya","@adistychwijaya")</f>
        <v>@adistychwijaya</v>
      </c>
      <c r="C32056" s="8" t="s">
        <v>10743</v>
      </c>
      <c r="D32056" s="8">
        <v>92</v>
      </c>
      <c r="E32056" s="8">
        <v>0</v>
      </c>
      <c r="F32056" s="8">
        <v>285</v>
      </c>
    </row>
    <row r="32057" spans="1:6" ht="12.75">
      <c r="A32057" s="8">
        <v>43890.181099537032</v>
      </c>
      <c r="B32057" s="8" t="str">
        <f>HYPERLINK("https://twitter.com/bukantoxic","@bukantoxic")</f>
        <v>@bukantoxic</v>
      </c>
      <c r="C32057" s="8" t="s">
        <v>10755</v>
      </c>
      <c r="D32057" s="8">
        <v>581</v>
      </c>
      <c r="E32057" s="8">
        <v>0</v>
      </c>
      <c r="F32057" s="8">
        <v>9583</v>
      </c>
    </row>
    <row r="32058" spans="1:6" ht="12.75">
      <c r="A32058" s="8">
        <v>43890.179583333331</v>
      </c>
      <c r="B32058" s="8" t="str">
        <f>HYPERLINK("https://twitter.com/mayak1990","@mayak1990")</f>
        <v>@mayak1990</v>
      </c>
      <c r="C32058" s="8" t="s">
        <v>6836</v>
      </c>
      <c r="D32058" s="8">
        <v>139</v>
      </c>
      <c r="E32058" s="8">
        <v>0</v>
      </c>
      <c r="F32058" s="8">
        <v>612</v>
      </c>
    </row>
    <row r="32059" spans="1:6" ht="12.75">
      <c r="A32059" s="8">
        <v>43890.178611111114</v>
      </c>
      <c r="B32059" s="8" t="str">
        <f>HYPERLINK("https://twitter.com/marytan147","@marytan147")</f>
        <v>@marytan147</v>
      </c>
      <c r="C32059" s="8" t="s">
        <v>12091</v>
      </c>
      <c r="D32059" s="8">
        <v>0</v>
      </c>
      <c r="E32059" s="8">
        <v>0</v>
      </c>
      <c r="F32059" s="8">
        <v>59</v>
      </c>
    </row>
    <row r="32060" spans="1:6" ht="12.75">
      <c r="A32060" s="8">
        <v>43890.17796296296</v>
      </c>
      <c r="B32060" s="8" t="str">
        <f>HYPERLINK("https://twitter.com/AdrieMuhammad9","@AdrieMuhammad9")</f>
        <v>@AdrieMuhammad9</v>
      </c>
      <c r="C32060" s="8" t="s">
        <v>10755</v>
      </c>
      <c r="D32060" s="8">
        <v>581</v>
      </c>
      <c r="E32060" s="8">
        <v>0</v>
      </c>
      <c r="F32060" s="8">
        <v>675</v>
      </c>
    </row>
    <row r="32061" spans="1:6" ht="12.75">
      <c r="A32061" s="8">
        <v>43890.177858796298</v>
      </c>
      <c r="B32061" s="8" t="str">
        <f>HYPERLINK("https://twitter.com/diurobromine","@diurobromine")</f>
        <v>@diurobromine</v>
      </c>
      <c r="C32061" s="8" t="s">
        <v>10755</v>
      </c>
      <c r="D32061" s="8">
        <v>581</v>
      </c>
      <c r="E32061" s="8">
        <v>0</v>
      </c>
      <c r="F32061" s="8">
        <v>809</v>
      </c>
    </row>
    <row r="32062" spans="1:6" ht="12.75">
      <c r="A32062" s="8">
        <v>43890.177673611106</v>
      </c>
      <c r="B32062" s="8" t="str">
        <f>HYPERLINK("https://twitter.com/AChamplads","@AChamplads")</f>
        <v>@AChamplads</v>
      </c>
      <c r="C32062" s="8" t="s">
        <v>6490</v>
      </c>
      <c r="D32062" s="8">
        <v>152</v>
      </c>
      <c r="E32062" s="8">
        <v>0</v>
      </c>
      <c r="F32062" s="8">
        <v>38</v>
      </c>
    </row>
    <row r="32063" spans="1:6" ht="12.75">
      <c r="A32063" s="8">
        <v>43890.175671296296</v>
      </c>
      <c r="B32063" s="8" t="str">
        <f>HYPERLINK("https://twitter.com/Fatmazhang","@Fatmazhang")</f>
        <v>@Fatmazhang</v>
      </c>
      <c r="C32063" s="8" t="s">
        <v>12092</v>
      </c>
      <c r="D32063" s="8">
        <v>0</v>
      </c>
      <c r="E32063" s="8">
        <v>0</v>
      </c>
      <c r="F32063" s="8">
        <v>130</v>
      </c>
    </row>
    <row r="32064" spans="1:6" ht="12.75">
      <c r="A32064" s="8">
        <v>43890.175428240742</v>
      </c>
      <c r="B32064" s="8" t="str">
        <f>HYPERLINK("https://twitter.com/agoenkwawa1","@agoenkwawa1")</f>
        <v>@agoenkwawa1</v>
      </c>
      <c r="C32064" s="8" t="s">
        <v>10755</v>
      </c>
      <c r="D32064" s="8">
        <v>581</v>
      </c>
      <c r="E32064" s="8">
        <v>0</v>
      </c>
      <c r="F32064" s="8">
        <v>64</v>
      </c>
    </row>
    <row r="32065" spans="1:6" ht="12.75">
      <c r="A32065" s="8">
        <v>43890.175358796296</v>
      </c>
      <c r="B32065" s="8" t="str">
        <f>HYPERLINK("https://twitter.com/Windadyanti73","@Windadyanti73")</f>
        <v>@Windadyanti73</v>
      </c>
      <c r="C32065" s="8" t="s">
        <v>6490</v>
      </c>
      <c r="D32065" s="8">
        <v>152</v>
      </c>
      <c r="E32065" s="8">
        <v>0</v>
      </c>
      <c r="F32065" s="8">
        <v>79</v>
      </c>
    </row>
    <row r="32066" spans="1:6" ht="12.75">
      <c r="A32066" s="8">
        <v>43890.175057870365</v>
      </c>
      <c r="B32066" s="8" t="str">
        <f>HYPERLINK("https://twitter.com/papaslime","@papaslime")</f>
        <v>@papaslime</v>
      </c>
      <c r="C32066" s="8" t="s">
        <v>12093</v>
      </c>
      <c r="D32066" s="8">
        <v>33</v>
      </c>
      <c r="E32066" s="8">
        <v>0</v>
      </c>
      <c r="F32066" s="8">
        <v>110</v>
      </c>
    </row>
    <row r="32067" spans="1:6" ht="12.75">
      <c r="A32067" s="8">
        <v>43890.174432870372</v>
      </c>
      <c r="B32067" s="8" t="str">
        <f>HYPERLINK("https://twitter.com/H3N1_BangoR","@H3N1_BangoR")</f>
        <v>@H3N1_BangoR</v>
      </c>
      <c r="C32067" s="8" t="s">
        <v>4235</v>
      </c>
      <c r="D32067" s="8">
        <v>625</v>
      </c>
      <c r="E32067" s="8">
        <v>0</v>
      </c>
      <c r="F32067" s="8">
        <v>666</v>
      </c>
    </row>
    <row r="32068" spans="1:6" ht="12.75">
      <c r="A32068" s="8">
        <v>43890.173946759256</v>
      </c>
      <c r="B32068" s="8" t="str">
        <f>HYPERLINK("https://twitter.com/y05137","@y05137")</f>
        <v>@y05137</v>
      </c>
      <c r="C32068" s="8" t="s">
        <v>4235</v>
      </c>
      <c r="D32068" s="8">
        <v>625</v>
      </c>
      <c r="E32068" s="8">
        <v>0</v>
      </c>
      <c r="F32068" s="8">
        <v>385</v>
      </c>
    </row>
    <row r="32069" spans="1:6" ht="12.75">
      <c r="A32069" s="8">
        <v>43890.173333333332</v>
      </c>
      <c r="B32069" s="8" t="str">
        <f>HYPERLINK("https://twitter.com/Derri_dayen","@Derri_dayen")</f>
        <v>@Derri_dayen</v>
      </c>
      <c r="C32069" s="8" t="s">
        <v>4235</v>
      </c>
      <c r="D32069" s="8">
        <v>576</v>
      </c>
      <c r="E32069" s="8">
        <v>0</v>
      </c>
      <c r="F32069" s="8">
        <v>672</v>
      </c>
    </row>
    <row r="32070" spans="1:6" ht="12.75">
      <c r="A32070" s="8">
        <v>43890.172951388886</v>
      </c>
      <c r="B32070" s="8" t="str">
        <f>HYPERLINK("https://twitter.com/RelawanIndie","@RelawanIndie")</f>
        <v>@RelawanIndie</v>
      </c>
      <c r="C32070" s="8" t="s">
        <v>12068</v>
      </c>
      <c r="D32070" s="8">
        <v>0</v>
      </c>
      <c r="E32070" s="8">
        <v>0</v>
      </c>
      <c r="F32070" s="8">
        <v>1062</v>
      </c>
    </row>
    <row r="32071" spans="1:6" ht="12.75">
      <c r="A32071" s="8">
        <v>43890.172662037032</v>
      </c>
      <c r="B32071" s="8" t="str">
        <f>HYPERLINK("https://twitter.com/waode93is","@waode93is")</f>
        <v>@waode93is</v>
      </c>
      <c r="C32071" s="8" t="s">
        <v>10743</v>
      </c>
      <c r="D32071" s="8">
        <v>90</v>
      </c>
      <c r="E32071" s="8">
        <v>0</v>
      </c>
      <c r="F32071" s="8">
        <v>33</v>
      </c>
    </row>
    <row r="32072" spans="1:6" ht="12.75">
      <c r="A32072" s="8">
        <v>43890.17260416667</v>
      </c>
      <c r="B32072" s="8" t="str">
        <f>HYPERLINK("https://twitter.com/alirochmadi","@alirochmadi")</f>
        <v>@alirochmadi</v>
      </c>
      <c r="C32072" s="8" t="s">
        <v>10755</v>
      </c>
      <c r="D32072" s="8">
        <v>568</v>
      </c>
      <c r="E32072" s="8">
        <v>0</v>
      </c>
      <c r="F32072" s="8">
        <v>108</v>
      </c>
    </row>
    <row r="32073" spans="1:6" ht="12.75">
      <c r="A32073" s="8">
        <v>43890.17087962963</v>
      </c>
      <c r="B32073" s="8" t="str">
        <f>HYPERLINK("https://twitter.com/Aan__coverBOYkw","@Aan__coverBOYkw")</f>
        <v>@Aan__coverBOYkw</v>
      </c>
      <c r="C32073" s="8" t="s">
        <v>11701</v>
      </c>
      <c r="D32073" s="8">
        <v>47</v>
      </c>
      <c r="E32073" s="8">
        <v>0</v>
      </c>
      <c r="F32073" s="8">
        <v>3287</v>
      </c>
    </row>
    <row r="32074" spans="1:6" ht="12.75">
      <c r="A32074" s="8">
        <v>43890.170636574076</v>
      </c>
      <c r="B32074" s="8" t="str">
        <f>HYPERLINK("https://twitter.com/CastilloJoshima","@CastilloJoshima")</f>
        <v>@CastilloJoshima</v>
      </c>
      <c r="C32074" s="8" t="s">
        <v>12094</v>
      </c>
      <c r="D32074" s="8">
        <v>1</v>
      </c>
      <c r="E32074" s="8">
        <v>0</v>
      </c>
      <c r="F32074" s="8">
        <v>5432</v>
      </c>
    </row>
    <row r="32075" spans="1:6" ht="12.75">
      <c r="A32075" s="8">
        <v>43890.170381944445</v>
      </c>
      <c r="B32075" s="8" t="str">
        <f>HYPERLINK("https://twitter.com/Rizky0220421439","@Rizky0220421439")</f>
        <v>@Rizky0220421439</v>
      </c>
      <c r="C32075" s="8" t="s">
        <v>11701</v>
      </c>
      <c r="D32075" s="8">
        <v>47</v>
      </c>
      <c r="E32075" s="8">
        <v>0</v>
      </c>
      <c r="F32075" s="8">
        <v>1609</v>
      </c>
    </row>
    <row r="32076" spans="1:6" ht="12.75">
      <c r="A32076" s="8">
        <v>43890.17019675926</v>
      </c>
      <c r="B32076" s="8" t="str">
        <f>HYPERLINK("https://twitter.com/BackSayur","@BackSayur")</f>
        <v>@BackSayur</v>
      </c>
      <c r="C32076" s="8" t="s">
        <v>11991</v>
      </c>
      <c r="D32076" s="8">
        <v>2</v>
      </c>
      <c r="E32076" s="8">
        <v>0</v>
      </c>
      <c r="F32076" s="8">
        <v>1032</v>
      </c>
    </row>
    <row r="32077" spans="1:6" ht="12.75">
      <c r="A32077" s="8">
        <v>43890.170057870375</v>
      </c>
      <c r="B32077" s="8" t="str">
        <f>HYPERLINK("https://twitter.com/MVVZ3","@MVVZ3")</f>
        <v>@MVVZ3</v>
      </c>
      <c r="C32077" s="8" t="s">
        <v>4235</v>
      </c>
      <c r="D32077" s="8">
        <v>576</v>
      </c>
      <c r="E32077" s="8">
        <v>0</v>
      </c>
      <c r="F32077" s="8">
        <v>1059</v>
      </c>
    </row>
    <row r="32078" spans="1:6" ht="12.75">
      <c r="A32078" s="8">
        <v>43890.169942129629</v>
      </c>
      <c r="B32078" s="8" t="str">
        <f>HYPERLINK("https://twitter.com/Fakhri47118560","@Fakhri47118560")</f>
        <v>@Fakhri47118560</v>
      </c>
      <c r="C32078" s="8" t="s">
        <v>10755</v>
      </c>
      <c r="D32078" s="8">
        <v>568</v>
      </c>
      <c r="E32078" s="8">
        <v>0</v>
      </c>
      <c r="F32078" s="8">
        <v>0</v>
      </c>
    </row>
    <row r="32079" spans="1:6" ht="12.75">
      <c r="A32079" s="8">
        <v>43890.169340277775</v>
      </c>
      <c r="B32079" s="8" t="str">
        <f>HYPERLINK("https://twitter.com/rizki_50","@rizki_50")</f>
        <v>@rizki_50</v>
      </c>
      <c r="C32079" s="8" t="s">
        <v>10743</v>
      </c>
      <c r="D32079" s="8">
        <v>90</v>
      </c>
      <c r="E32079" s="8">
        <v>0</v>
      </c>
      <c r="F32079" s="8">
        <v>2054</v>
      </c>
    </row>
    <row r="32080" spans="1:6" ht="12.75">
      <c r="A32080" s="8">
        <v>43890.168437500004</v>
      </c>
      <c r="B32080" s="8" t="str">
        <f>HYPERLINK("https://twitter.com/Derri_dayen","@Derri_dayen")</f>
        <v>@Derri_dayen</v>
      </c>
      <c r="C32080" s="8" t="s">
        <v>10755</v>
      </c>
      <c r="D32080" s="8">
        <v>568</v>
      </c>
      <c r="E32080" s="8">
        <v>0</v>
      </c>
      <c r="F32080" s="8">
        <v>672</v>
      </c>
    </row>
    <row r="32081" spans="1:6" ht="12.75">
      <c r="A32081" s="8">
        <v>43890.165648148148</v>
      </c>
      <c r="B32081" s="8" t="str">
        <f>HYPERLINK("https://twitter.com/_therma_","@_therma_")</f>
        <v>@_therma_</v>
      </c>
      <c r="C32081" s="8" t="s">
        <v>12044</v>
      </c>
      <c r="D32081" s="8">
        <v>5</v>
      </c>
      <c r="E32081" s="8">
        <v>0</v>
      </c>
      <c r="F32081" s="8">
        <v>4533</v>
      </c>
    </row>
    <row r="32082" spans="1:6" ht="12.75">
      <c r="A32082" s="8">
        <v>43890.164780092593</v>
      </c>
      <c r="B32082" s="8" t="str">
        <f>HYPERLINK("https://twitter.com/KusnantoGSucces","@KusnantoGSucces")</f>
        <v>@KusnantoGSucces</v>
      </c>
      <c r="C32082" s="8" t="s">
        <v>4235</v>
      </c>
      <c r="D32082" s="8">
        <v>576</v>
      </c>
      <c r="E32082" s="8">
        <v>0</v>
      </c>
      <c r="F32082" s="8">
        <v>271</v>
      </c>
    </row>
    <row r="32083" spans="1:6" ht="12.75">
      <c r="A32083" s="8">
        <v>43890.164606481485</v>
      </c>
      <c r="B32083" s="8" t="str">
        <f>HYPERLINK("https://twitter.com/okinantan","@okinantan")</f>
        <v>@okinantan</v>
      </c>
      <c r="C32083" s="8" t="s">
        <v>11991</v>
      </c>
      <c r="D32083" s="8">
        <v>2</v>
      </c>
      <c r="E32083" s="8">
        <v>0</v>
      </c>
      <c r="F32083" s="8">
        <v>1008</v>
      </c>
    </row>
    <row r="32084" spans="1:6" ht="12.75">
      <c r="A32084" s="8">
        <v>43890.163506944446</v>
      </c>
      <c r="B32084" s="8" t="str">
        <f>HYPERLINK("https://twitter.com/BruceEmond","@BruceEmond")</f>
        <v>@BruceEmond</v>
      </c>
      <c r="C32084" s="8" t="s">
        <v>12095</v>
      </c>
      <c r="D32084" s="8">
        <v>2</v>
      </c>
      <c r="E32084" s="8">
        <v>6</v>
      </c>
      <c r="F32084" s="8">
        <v>27809</v>
      </c>
    </row>
    <row r="32085" spans="1:6" ht="12.75">
      <c r="A32085" s="8">
        <v>43890.163460648153</v>
      </c>
      <c r="B32085" s="8" t="str">
        <f>HYPERLINK("https://twitter.com/rahminova2","@rahminova2")</f>
        <v>@rahminova2</v>
      </c>
      <c r="C32085" s="8" t="s">
        <v>4235</v>
      </c>
      <c r="D32085" s="8">
        <v>576</v>
      </c>
      <c r="E32085" s="8">
        <v>0</v>
      </c>
      <c r="F32085" s="8">
        <v>1298</v>
      </c>
    </row>
    <row r="32086" spans="1:6" ht="12.75">
      <c r="A32086" s="8">
        <v>43890.162199074075</v>
      </c>
      <c r="B32086" s="8" t="str">
        <f>HYPERLINK("https://twitter.com/Panglima_K","@Panglima_K")</f>
        <v>@Panglima_K</v>
      </c>
      <c r="C32086" s="8" t="s">
        <v>6490</v>
      </c>
      <c r="D32086" s="8">
        <v>145</v>
      </c>
      <c r="E32086" s="8">
        <v>0</v>
      </c>
      <c r="F32086" s="8">
        <v>298</v>
      </c>
    </row>
    <row r="32087" spans="1:6" ht="12.75">
      <c r="A32087" s="8">
        <v>43890.161597222221</v>
      </c>
      <c r="B32087" s="8" t="str">
        <f>HYPERLINK("https://twitter.com/dannydhe","@dannydhe")</f>
        <v>@dannydhe</v>
      </c>
      <c r="C32087" s="8" t="s">
        <v>12057</v>
      </c>
      <c r="D32087" s="8">
        <v>40</v>
      </c>
      <c r="E32087" s="8">
        <v>0</v>
      </c>
      <c r="F32087" s="8">
        <v>3491</v>
      </c>
    </row>
    <row r="32088" spans="1:6" ht="12.75">
      <c r="A32088" s="8">
        <v>43890.159120370372</v>
      </c>
      <c r="B32088" s="8" t="str">
        <f>HYPERLINK("https://twitter.com/zhiem89","@zhiem89")</f>
        <v>@zhiem89</v>
      </c>
      <c r="C32088" s="8" t="s">
        <v>10743</v>
      </c>
      <c r="D32088" s="8">
        <v>90</v>
      </c>
      <c r="E32088" s="8">
        <v>0</v>
      </c>
      <c r="F32088" s="8">
        <v>83</v>
      </c>
    </row>
    <row r="32089" spans="1:6" ht="12.75">
      <c r="A32089" s="8">
        <v>43890.158819444448</v>
      </c>
      <c r="B32089" s="8" t="str">
        <f>HYPERLINK("https://twitter.com/AbuBaka75247063","@AbuBaka75247063")</f>
        <v>@AbuBaka75247063</v>
      </c>
      <c r="C32089" s="8" t="s">
        <v>4235</v>
      </c>
      <c r="D32089" s="8">
        <v>576</v>
      </c>
      <c r="E32089" s="8">
        <v>0</v>
      </c>
      <c r="F32089" s="8">
        <v>101</v>
      </c>
    </row>
    <row r="32090" spans="1:6" ht="12.75">
      <c r="A32090" s="8">
        <v>43890.158726851849</v>
      </c>
      <c r="B32090" s="8" t="str">
        <f>HYPERLINK("https://twitter.com/Chaseriva","@Chaseriva")</f>
        <v>@Chaseriva</v>
      </c>
      <c r="C32090" s="8" t="s">
        <v>10755</v>
      </c>
      <c r="D32090" s="8">
        <v>568</v>
      </c>
      <c r="E32090" s="8">
        <v>0</v>
      </c>
      <c r="F32090" s="8">
        <v>360</v>
      </c>
    </row>
    <row r="32091" spans="1:6" ht="12.75">
      <c r="A32091" s="8">
        <v>43890.157870370371</v>
      </c>
      <c r="B32091" s="8" t="str">
        <f>HYPERLINK("https://twitter.com/yaniprawiro1","@yaniprawiro1")</f>
        <v>@yaniprawiro1</v>
      </c>
      <c r="C32091" s="8" t="s">
        <v>6490</v>
      </c>
      <c r="D32091" s="8">
        <v>145</v>
      </c>
      <c r="E32091" s="8">
        <v>0</v>
      </c>
      <c r="F32091" s="8">
        <v>307</v>
      </c>
    </row>
    <row r="32092" spans="1:6" ht="12.75">
      <c r="A32092" s="8">
        <v>43890.157766203702</v>
      </c>
      <c r="B32092" s="8" t="str">
        <f>HYPERLINK("https://twitter.com/waroengbranded","@waroengbranded")</f>
        <v>@waroengbranded</v>
      </c>
      <c r="C32092" s="8" t="s">
        <v>4235</v>
      </c>
      <c r="D32092" s="8">
        <v>576</v>
      </c>
      <c r="E32092" s="8">
        <v>0</v>
      </c>
      <c r="F32092" s="8">
        <v>413</v>
      </c>
    </row>
    <row r="32093" spans="1:6" ht="12.75">
      <c r="A32093" s="8">
        <v>43890.156053240746</v>
      </c>
      <c r="B32093" s="8" t="str">
        <f t="shared" ref="B32093:B32094" si="447">HYPERLINK("https://twitter.com/mudha_satriya","@mudha_satriya")</f>
        <v>@mudha_satriya</v>
      </c>
      <c r="C32093" s="8" t="s">
        <v>12096</v>
      </c>
      <c r="D32093" s="8">
        <v>1</v>
      </c>
      <c r="E32093" s="8">
        <v>0</v>
      </c>
      <c r="F32093" s="8">
        <v>1877</v>
      </c>
    </row>
    <row r="32094" spans="1:6" ht="12.75">
      <c r="A32094" s="8">
        <v>43890.155972222223</v>
      </c>
      <c r="B32094" s="8" t="str">
        <f t="shared" si="447"/>
        <v>@mudha_satriya</v>
      </c>
      <c r="C32094" s="8" t="s">
        <v>12097</v>
      </c>
      <c r="D32094" s="8">
        <v>1</v>
      </c>
      <c r="E32094" s="8">
        <v>0</v>
      </c>
      <c r="F32094" s="8">
        <v>1877</v>
      </c>
    </row>
    <row r="32095" spans="1:6" ht="12.75">
      <c r="A32095" s="8">
        <v>43890.155624999999</v>
      </c>
      <c r="B32095" s="8" t="str">
        <f>HYPERLINK("https://twitter.com/TohaAlhabsyie","@TohaAlhabsyie")</f>
        <v>@TohaAlhabsyie</v>
      </c>
      <c r="C32095" s="8" t="s">
        <v>4235</v>
      </c>
      <c r="D32095" s="8">
        <v>576</v>
      </c>
      <c r="E32095" s="8">
        <v>0</v>
      </c>
      <c r="F32095" s="8">
        <v>786</v>
      </c>
    </row>
    <row r="32096" spans="1:6" ht="12.75">
      <c r="A32096" s="8">
        <v>43890.155300925922</v>
      </c>
      <c r="B32096" s="8" t="str">
        <f>HYPERLINK("https://twitter.com/mudha_satriya","@mudha_satriya")</f>
        <v>@mudha_satriya</v>
      </c>
      <c r="C32096" s="8" t="s">
        <v>12098</v>
      </c>
      <c r="D32096" s="8">
        <v>2</v>
      </c>
      <c r="E32096" s="8">
        <v>0</v>
      </c>
      <c r="F32096" s="8">
        <v>1877</v>
      </c>
    </row>
    <row r="32097" spans="1:6" ht="12.75">
      <c r="A32097" s="8">
        <v>43890.155208333337</v>
      </c>
      <c r="B32097" s="8" t="str">
        <f>HYPERLINK("https://twitter.com/fachri_kh","@fachri_kh")</f>
        <v>@fachri_kh</v>
      </c>
      <c r="C32097" s="8" t="s">
        <v>12044</v>
      </c>
      <c r="D32097" s="8">
        <v>5</v>
      </c>
      <c r="E32097" s="8">
        <v>0</v>
      </c>
      <c r="F32097" s="8">
        <v>4145</v>
      </c>
    </row>
    <row r="32098" spans="1:6" ht="12.75">
      <c r="A32098" s="8">
        <v>43890.155138888891</v>
      </c>
      <c r="B32098" s="8" t="str">
        <f>HYPERLINK("https://twitter.com/mudha_satriya","@mudha_satriya")</f>
        <v>@mudha_satriya</v>
      </c>
      <c r="C32098" s="8" t="s">
        <v>10737</v>
      </c>
      <c r="D32098" s="8">
        <v>4</v>
      </c>
      <c r="E32098" s="8">
        <v>0</v>
      </c>
      <c r="F32098" s="8">
        <v>1877</v>
      </c>
    </row>
    <row r="32099" spans="1:6" ht="12.75">
      <c r="A32099" s="8">
        <v>43890.154814814814</v>
      </c>
      <c r="B32099" s="8" t="str">
        <f>HYPERLINK("https://twitter.com/palbapang1","@palbapang1")</f>
        <v>@palbapang1</v>
      </c>
      <c r="C32099" s="8" t="s">
        <v>6836</v>
      </c>
      <c r="D32099" s="8">
        <v>133</v>
      </c>
      <c r="E32099" s="8">
        <v>0</v>
      </c>
      <c r="F32099" s="8">
        <v>1216</v>
      </c>
    </row>
    <row r="32100" spans="1:6" ht="12.75">
      <c r="A32100" s="8">
        <v>43890.152604166666</v>
      </c>
      <c r="B32100" s="8" t="str">
        <f>HYPERLINK("https://twitter.com/imam_hariadi22","@imam_hariadi22")</f>
        <v>@imam_hariadi22</v>
      </c>
      <c r="C32100" s="8" t="s">
        <v>4235</v>
      </c>
      <c r="D32100" s="8">
        <v>576</v>
      </c>
      <c r="E32100" s="8">
        <v>0</v>
      </c>
      <c r="F32100" s="8">
        <v>348</v>
      </c>
    </row>
    <row r="32101" spans="1:6" ht="12.75">
      <c r="A32101" s="8">
        <v>43890.152407407411</v>
      </c>
      <c r="B32101" s="8" t="str">
        <f>HYPERLINK("https://twitter.com/DeinSugandi","@DeinSugandi")</f>
        <v>@DeinSugandi</v>
      </c>
      <c r="C32101" s="8" t="s">
        <v>6836</v>
      </c>
      <c r="D32101" s="8">
        <v>133</v>
      </c>
      <c r="E32101" s="8">
        <v>0</v>
      </c>
      <c r="F32101" s="8">
        <v>154</v>
      </c>
    </row>
    <row r="32102" spans="1:6" ht="12.75">
      <c r="A32102" s="8">
        <v>43890.150046296301</v>
      </c>
      <c r="B32102" s="8" t="str">
        <f>HYPERLINK("https://twitter.com/Beritabaruco","@Beritabaruco")</f>
        <v>@Beritabaruco</v>
      </c>
      <c r="C32102" s="8" t="s">
        <v>12099</v>
      </c>
      <c r="D32102" s="8">
        <v>0</v>
      </c>
      <c r="E32102" s="8">
        <v>0</v>
      </c>
      <c r="F32102" s="8">
        <v>187</v>
      </c>
    </row>
    <row r="32103" spans="1:6" ht="12.75">
      <c r="A32103" s="8">
        <v>43890.149641203709</v>
      </c>
      <c r="B32103" s="8" t="str">
        <f>HYPERLINK("https://twitter.com/yndramann","@yndramann")</f>
        <v>@yndramann</v>
      </c>
      <c r="C32103" s="8" t="s">
        <v>12100</v>
      </c>
      <c r="D32103" s="8">
        <v>0</v>
      </c>
      <c r="E32103" s="8">
        <v>0</v>
      </c>
      <c r="F32103" s="8">
        <v>822</v>
      </c>
    </row>
    <row r="32104" spans="1:6" ht="12.75">
      <c r="A32104" s="8">
        <v>43890.148865740739</v>
      </c>
      <c r="B32104" s="8" t="str">
        <f>HYPERLINK("https://twitter.com/mat_rifqi","@mat_rifqi")</f>
        <v>@mat_rifqi</v>
      </c>
      <c r="C32104" s="8" t="s">
        <v>4235</v>
      </c>
      <c r="D32104" s="8">
        <v>576</v>
      </c>
      <c r="E32104" s="8">
        <v>0</v>
      </c>
      <c r="F32104" s="8">
        <v>1314</v>
      </c>
    </row>
    <row r="32105" spans="1:6" ht="12.75">
      <c r="A32105" s="8">
        <v>43890.148541666669</v>
      </c>
      <c r="B32105" s="8" t="str">
        <f>HYPERLINK("https://twitter.com/febirizkyr","@febirizkyr")</f>
        <v>@febirizkyr</v>
      </c>
      <c r="C32105" s="8" t="s">
        <v>4235</v>
      </c>
      <c r="D32105" s="8">
        <v>576</v>
      </c>
      <c r="E32105" s="8">
        <v>0</v>
      </c>
      <c r="F32105" s="8">
        <v>103</v>
      </c>
    </row>
    <row r="32106" spans="1:6" ht="12.75">
      <c r="A32106" s="8">
        <v>43890.147916666669</v>
      </c>
      <c r="B32106" s="8" t="str">
        <f>HYPERLINK("https://twitter.com/Rizal_Valen76","@Rizal_Valen76")</f>
        <v>@Rizal_Valen76</v>
      </c>
      <c r="C32106" s="8" t="s">
        <v>12077</v>
      </c>
      <c r="D32106" s="8">
        <v>24</v>
      </c>
      <c r="E32106" s="8">
        <v>0</v>
      </c>
      <c r="F32106" s="8">
        <v>2823</v>
      </c>
    </row>
    <row r="32107" spans="1:6" ht="12.75">
      <c r="A32107" s="8">
        <v>43890.146203703705</v>
      </c>
      <c r="B32107" s="8" t="str">
        <f>HYPERLINK("https://twitter.com/Harian_Jogja","@Harian_Jogja")</f>
        <v>@Harian_Jogja</v>
      </c>
      <c r="C32107" s="8" t="s">
        <v>12101</v>
      </c>
      <c r="D32107" s="8">
        <v>0</v>
      </c>
      <c r="E32107" s="8">
        <v>1</v>
      </c>
      <c r="F32107" s="8">
        <v>154701</v>
      </c>
    </row>
    <row r="32108" spans="1:6" ht="12.75">
      <c r="A32108" s="8">
        <v>43890.145694444444</v>
      </c>
      <c r="B32108" s="8" t="str">
        <f>HYPERLINK("https://twitter.com/Sirojore","@Sirojore")</f>
        <v>@Sirojore</v>
      </c>
      <c r="C32108" s="8" t="s">
        <v>4235</v>
      </c>
      <c r="D32108" s="8">
        <v>576</v>
      </c>
      <c r="E32108" s="8">
        <v>0</v>
      </c>
      <c r="F32108" s="8">
        <v>485</v>
      </c>
    </row>
    <row r="32109" spans="1:6" ht="12.75">
      <c r="A32109" s="8">
        <v>43890.145196759258</v>
      </c>
      <c r="B32109" s="8" t="str">
        <f>HYPERLINK("https://twitter.com/liputan_klaten","@liputan_klaten")</f>
        <v>@liputan_klaten</v>
      </c>
      <c r="C32109" s="8" t="s">
        <v>11661</v>
      </c>
      <c r="D32109" s="8">
        <v>7</v>
      </c>
      <c r="E32109" s="8">
        <v>0</v>
      </c>
      <c r="F32109" s="8">
        <v>534</v>
      </c>
    </row>
    <row r="32110" spans="1:6" ht="12.75">
      <c r="A32110" s="8">
        <v>43890.144687499997</v>
      </c>
      <c r="B32110" s="8" t="str">
        <f>HYPERLINK("https://twitter.com/Derri_dayen","@Derri_dayen")</f>
        <v>@Derri_dayen</v>
      </c>
      <c r="C32110" s="8" t="s">
        <v>6836</v>
      </c>
      <c r="D32110" s="8">
        <v>133</v>
      </c>
      <c r="E32110" s="8">
        <v>0</v>
      </c>
      <c r="F32110" s="8">
        <v>672</v>
      </c>
    </row>
    <row r="32111" spans="1:6" ht="12.75">
      <c r="A32111" s="8">
        <v>43890.143009259264</v>
      </c>
      <c r="B32111" s="8" t="str">
        <f>HYPERLINK("https://twitter.com/_ayubudi","@_ayubudi")</f>
        <v>@_ayubudi</v>
      </c>
      <c r="C32111" s="8" t="s">
        <v>12102</v>
      </c>
      <c r="D32111" s="8">
        <v>1</v>
      </c>
      <c r="E32111" s="8">
        <v>0</v>
      </c>
      <c r="F32111" s="8">
        <v>302</v>
      </c>
    </row>
    <row r="32112" spans="1:6" ht="12.75">
      <c r="A32112" s="8">
        <v>43890.142870370371</v>
      </c>
      <c r="B32112" s="8" t="str">
        <f>HYPERLINK("https://twitter.com/MSyam_ilwa","@MSyam_ilwa")</f>
        <v>@MSyam_ilwa</v>
      </c>
      <c r="C32112" s="8" t="s">
        <v>4235</v>
      </c>
      <c r="D32112" s="8">
        <v>576</v>
      </c>
      <c r="E32112" s="8">
        <v>0</v>
      </c>
      <c r="F32112" s="8">
        <v>1059</v>
      </c>
    </row>
    <row r="32113" spans="1:6" ht="12.75">
      <c r="A32113" s="8">
        <v>43890.142037037032</v>
      </c>
      <c r="B32113" s="8" t="str">
        <f>HYPERLINK("https://twitter.com/mujiza_t","@mujiza_t")</f>
        <v>@mujiza_t</v>
      </c>
      <c r="C32113" s="8" t="s">
        <v>4235</v>
      </c>
      <c r="D32113" s="8">
        <v>576</v>
      </c>
      <c r="E32113" s="8">
        <v>0</v>
      </c>
      <c r="F32113" s="8">
        <v>997</v>
      </c>
    </row>
    <row r="32114" spans="1:6" ht="12.75">
      <c r="A32114" s="8">
        <v>43890.141863425924</v>
      </c>
      <c r="B32114" s="8" t="str">
        <f>HYPERLINK("https://twitter.com/IzulV3","@IzulV3")</f>
        <v>@IzulV3</v>
      </c>
      <c r="C32114" s="8" t="s">
        <v>4235</v>
      </c>
      <c r="D32114" s="8">
        <v>576</v>
      </c>
      <c r="E32114" s="8">
        <v>0</v>
      </c>
      <c r="F32114" s="8">
        <v>1158</v>
      </c>
    </row>
    <row r="32115" spans="1:6" ht="12.75">
      <c r="A32115" s="8">
        <v>43890.141168981485</v>
      </c>
      <c r="B32115" s="8" t="str">
        <f>HYPERLINK("https://twitter.com/yudaptwit20","@yudaptwit20")</f>
        <v>@yudaptwit20</v>
      </c>
      <c r="C32115" s="8" t="s">
        <v>10743</v>
      </c>
      <c r="D32115" s="8">
        <v>90</v>
      </c>
      <c r="E32115" s="8">
        <v>0</v>
      </c>
      <c r="F32115" s="8">
        <v>526</v>
      </c>
    </row>
    <row r="32116" spans="1:6" ht="12.75">
      <c r="A32116" s="8">
        <v>43890.138553240744</v>
      </c>
      <c r="B32116" s="8" t="str">
        <f>HYPERLINK("https://twitter.com/toranaga3000","@toranaga3000")</f>
        <v>@toranaga3000</v>
      </c>
      <c r="C32116" s="8" t="s">
        <v>4235</v>
      </c>
      <c r="D32116" s="8">
        <v>576</v>
      </c>
      <c r="E32116" s="8">
        <v>0</v>
      </c>
      <c r="F32116" s="8">
        <v>2421</v>
      </c>
    </row>
    <row r="32117" spans="1:6" ht="12.75">
      <c r="A32117" s="8">
        <v>43890.137835648144</v>
      </c>
      <c r="B32117" s="8" t="str">
        <f>HYPERLINK("https://twitter.com/Derri_dayen","@Derri_dayen")</f>
        <v>@Derri_dayen</v>
      </c>
      <c r="C32117" s="8" t="s">
        <v>11329</v>
      </c>
      <c r="D32117" s="8">
        <v>14</v>
      </c>
      <c r="E32117" s="8">
        <v>0</v>
      </c>
      <c r="F32117" s="8">
        <v>672</v>
      </c>
    </row>
    <row r="32118" spans="1:6" ht="12.75">
      <c r="A32118" s="8">
        <v>43890.13753472222</v>
      </c>
      <c r="B32118" s="8" t="str">
        <f>HYPERLINK("https://twitter.com/erlang_dimas","@erlang_dimas")</f>
        <v>@erlang_dimas</v>
      </c>
      <c r="C32118" s="8" t="s">
        <v>10755</v>
      </c>
      <c r="D32118" s="8">
        <v>568</v>
      </c>
      <c r="E32118" s="8">
        <v>0</v>
      </c>
      <c r="F32118" s="8">
        <v>47</v>
      </c>
    </row>
    <row r="32119" spans="1:6" ht="12.75">
      <c r="A32119" s="8">
        <v>43890.135416666672</v>
      </c>
      <c r="B32119" s="8" t="str">
        <f>HYPERLINK("https://twitter.com/qureta","@qureta")</f>
        <v>@qureta</v>
      </c>
      <c r="C32119" s="8" t="s">
        <v>11232</v>
      </c>
      <c r="D32119" s="8">
        <v>0</v>
      </c>
      <c r="E32119" s="8">
        <v>0</v>
      </c>
      <c r="F32119" s="8">
        <v>24776</v>
      </c>
    </row>
    <row r="32120" spans="1:6" ht="12.75">
      <c r="A32120" s="8">
        <v>43890.134687500002</v>
      </c>
      <c r="B32120" s="8" t="str">
        <f>HYPERLINK("https://twitter.com/AlHijaz46792964","@AlHijaz46792964")</f>
        <v>@AlHijaz46792964</v>
      </c>
      <c r="C32120" s="8" t="s">
        <v>4235</v>
      </c>
      <c r="D32120" s="8">
        <v>576</v>
      </c>
      <c r="E32120" s="8">
        <v>0</v>
      </c>
      <c r="F32120" s="8">
        <v>324</v>
      </c>
    </row>
    <row r="32121" spans="1:6" ht="12.75">
      <c r="A32121" s="8">
        <v>43890.134629629625</v>
      </c>
      <c r="B32121" s="8" t="str">
        <f>HYPERLINK("https://twitter.com/papaspoppinpeny","@papaspoppinpeny")</f>
        <v>@papaspoppinpeny</v>
      </c>
      <c r="C32121" s="8" t="s">
        <v>12103</v>
      </c>
      <c r="D32121" s="8">
        <v>0</v>
      </c>
      <c r="E32121" s="8">
        <v>0</v>
      </c>
      <c r="F32121" s="8">
        <v>224</v>
      </c>
    </row>
    <row r="32122" spans="1:6" ht="12.75">
      <c r="A32122" s="8">
        <v>43890.13416666667</v>
      </c>
      <c r="B32122" s="8" t="str">
        <f>HYPERLINK("https://twitter.com/mucry_singh","@mucry_singh")</f>
        <v>@mucry_singh</v>
      </c>
      <c r="C32122" s="8" t="s">
        <v>4235</v>
      </c>
      <c r="D32122" s="8">
        <v>576</v>
      </c>
      <c r="E32122" s="8">
        <v>0</v>
      </c>
      <c r="F32122" s="8">
        <v>1029</v>
      </c>
    </row>
    <row r="32123" spans="1:6" ht="12.75">
      <c r="A32123" s="8">
        <v>43890.133738425924</v>
      </c>
      <c r="B32123" s="8" t="str">
        <f>HYPERLINK("https://twitter.com/abumalikha0528","@abumalikha0528")</f>
        <v>@abumalikha0528</v>
      </c>
      <c r="C32123" s="8" t="s">
        <v>12044</v>
      </c>
      <c r="D32123" s="8">
        <v>5</v>
      </c>
      <c r="E32123" s="8">
        <v>0</v>
      </c>
      <c r="F32123" s="8">
        <v>879</v>
      </c>
    </row>
    <row r="32124" spans="1:6" ht="12.75">
      <c r="A32124" s="8">
        <v>43890.132974537039</v>
      </c>
      <c r="B32124" s="8" t="str">
        <f>HYPERLINK("https://twitter.com/Julius_D_Irawan","@Julius_D_Irawan")</f>
        <v>@Julius_D_Irawan</v>
      </c>
      <c r="C32124" s="8" t="s">
        <v>11425</v>
      </c>
      <c r="D32124" s="8">
        <v>4</v>
      </c>
      <c r="E32124" s="8">
        <v>0</v>
      </c>
      <c r="F32124" s="8">
        <v>69</v>
      </c>
    </row>
    <row r="32125" spans="1:6" ht="12.75">
      <c r="A32125" s="8">
        <v>43890.13208333333</v>
      </c>
      <c r="B32125" s="8" t="str">
        <f>HYPERLINK("https://twitter.com/mujiza_t","@mujiza_t")</f>
        <v>@mujiza_t</v>
      </c>
      <c r="C32125" s="8" t="s">
        <v>6836</v>
      </c>
      <c r="D32125" s="8">
        <v>133</v>
      </c>
      <c r="E32125" s="8">
        <v>0</v>
      </c>
      <c r="F32125" s="8">
        <v>997</v>
      </c>
    </row>
    <row r="32126" spans="1:6" ht="12.75">
      <c r="A32126" s="8">
        <v>43890.131782407407</v>
      </c>
      <c r="B32126" s="8" t="str">
        <f>HYPERLINK("https://twitter.com/sangper04344291","@sangper04344291")</f>
        <v>@sangper04344291</v>
      </c>
      <c r="C32126" s="8" t="s">
        <v>4235</v>
      </c>
      <c r="D32126" s="8">
        <v>549</v>
      </c>
      <c r="E32126" s="8">
        <v>0</v>
      </c>
      <c r="F32126" s="8">
        <v>501</v>
      </c>
    </row>
    <row r="32127" spans="1:6" ht="12.75">
      <c r="A32127" s="8">
        <v>43890.13081018519</v>
      </c>
      <c r="B32127" s="8" t="str">
        <f>HYPERLINK("https://twitter.com/Fikkazo","@Fikkazo")</f>
        <v>@Fikkazo</v>
      </c>
      <c r="C32127" s="8" t="s">
        <v>4235</v>
      </c>
      <c r="D32127" s="8">
        <v>549</v>
      </c>
      <c r="E32127" s="8">
        <v>0</v>
      </c>
      <c r="F32127" s="8">
        <v>280</v>
      </c>
    </row>
    <row r="32128" spans="1:6" ht="12.75">
      <c r="A32128" s="8">
        <v>43890.129583333328</v>
      </c>
      <c r="B32128" s="8" t="str">
        <f>HYPERLINK("https://twitter.com/OjarJR","@OjarJR")</f>
        <v>@OjarJR</v>
      </c>
      <c r="C32128" s="8" t="s">
        <v>4235</v>
      </c>
      <c r="D32128" s="8">
        <v>549</v>
      </c>
      <c r="E32128" s="8">
        <v>0</v>
      </c>
      <c r="F32128" s="8">
        <v>126</v>
      </c>
    </row>
    <row r="32129" spans="1:6" ht="12.75">
      <c r="A32129" s="8">
        <v>43890.129444444443</v>
      </c>
      <c r="B32129" s="8" t="str">
        <f>HYPERLINK("https://twitter.com/netralwindi","@netralwindi")</f>
        <v>@netralwindi</v>
      </c>
      <c r="C32129" s="8" t="s">
        <v>4235</v>
      </c>
      <c r="D32129" s="8">
        <v>549</v>
      </c>
      <c r="E32129" s="8">
        <v>0</v>
      </c>
      <c r="F32129" s="8">
        <v>68</v>
      </c>
    </row>
    <row r="32130" spans="1:6" ht="12.75">
      <c r="A32130" s="8">
        <v>43890.129421296297</v>
      </c>
      <c r="B32130" s="8" t="str">
        <f>HYPERLINK("https://twitter.com/mucry_singh","@mucry_singh")</f>
        <v>@mucry_singh</v>
      </c>
      <c r="C32130" s="8" t="s">
        <v>6836</v>
      </c>
      <c r="D32130" s="8">
        <v>127</v>
      </c>
      <c r="E32130" s="8">
        <v>0</v>
      </c>
      <c r="F32130" s="8">
        <v>1028</v>
      </c>
    </row>
    <row r="32131" spans="1:6" ht="12.75">
      <c r="A32131" s="8">
        <v>43890.128541666665</v>
      </c>
      <c r="B32131" s="8" t="str">
        <f>HYPERLINK("https://twitter.com/SuccessNow__","@SuccessNow__")</f>
        <v>@SuccessNow__</v>
      </c>
      <c r="C32131" s="8" t="s">
        <v>10755</v>
      </c>
      <c r="D32131" s="8">
        <v>563</v>
      </c>
      <c r="E32131" s="8">
        <v>0</v>
      </c>
      <c r="F32131" s="8">
        <v>329</v>
      </c>
    </row>
    <row r="32132" spans="1:6" ht="12.75">
      <c r="A32132" s="8">
        <v>43890.128148148149</v>
      </c>
      <c r="B32132" s="8" t="str">
        <f>HYPERLINK("https://twitter.com/KaEivan","@KaEivan")</f>
        <v>@KaEivan</v>
      </c>
      <c r="C32132" s="8" t="s">
        <v>6490</v>
      </c>
      <c r="D32132" s="8">
        <v>143</v>
      </c>
      <c r="E32132" s="8">
        <v>0</v>
      </c>
      <c r="F32132" s="8">
        <v>653</v>
      </c>
    </row>
    <row r="32133" spans="1:6" ht="12.75">
      <c r="A32133" s="8">
        <v>43890.127974537041</v>
      </c>
      <c r="B32133" s="8" t="str">
        <f>HYPERLINK("https://twitter.com/tuturwibowo41","@tuturwibowo41")</f>
        <v>@tuturwibowo41</v>
      </c>
      <c r="C32133" s="8" t="s">
        <v>9768</v>
      </c>
      <c r="D32133" s="8">
        <v>83</v>
      </c>
      <c r="E32133" s="8">
        <v>0</v>
      </c>
      <c r="F32133" s="8">
        <v>137</v>
      </c>
    </row>
    <row r="32134" spans="1:6" ht="12.75">
      <c r="A32134" s="8">
        <v>43890.127488425926</v>
      </c>
      <c r="B32134" s="8" t="str">
        <f>HYPERLINK("https://twitter.com/erlang_dimas","@erlang_dimas")</f>
        <v>@erlang_dimas</v>
      </c>
      <c r="C32134" s="8" t="s">
        <v>4235</v>
      </c>
      <c r="D32134" s="8">
        <v>549</v>
      </c>
      <c r="E32134" s="8">
        <v>0</v>
      </c>
      <c r="F32134" s="8">
        <v>47</v>
      </c>
    </row>
    <row r="32135" spans="1:6" ht="12.75">
      <c r="A32135" s="8">
        <v>43890.126388888893</v>
      </c>
      <c r="B32135" s="8" t="str">
        <f>HYPERLINK("https://twitter.com/Lintas_MNCTV","@Lintas_MNCTV")</f>
        <v>@Lintas_MNCTV</v>
      </c>
      <c r="C32135" s="8" t="s">
        <v>12104</v>
      </c>
      <c r="D32135" s="8">
        <v>0</v>
      </c>
      <c r="E32135" s="8">
        <v>0</v>
      </c>
      <c r="F32135" s="8">
        <v>35908</v>
      </c>
    </row>
    <row r="32136" spans="1:6" ht="12.75">
      <c r="A32136" s="8">
        <v>43890.12599537037</v>
      </c>
      <c r="B32136" s="8" t="str">
        <f>HYPERLINK("https://twitter.com/MeliSusiana","@MeliSusiana")</f>
        <v>@MeliSusiana</v>
      </c>
      <c r="C32136" s="8" t="s">
        <v>4235</v>
      </c>
      <c r="D32136" s="8">
        <v>548</v>
      </c>
      <c r="E32136" s="8">
        <v>0</v>
      </c>
      <c r="F32136" s="8">
        <v>490</v>
      </c>
    </row>
    <row r="32137" spans="1:6" ht="12.75">
      <c r="A32137" s="8">
        <v>43890.124895833331</v>
      </c>
      <c r="B32137" s="8" t="str">
        <f>HYPERLINK("https://twitter.com/septiros","@septiros")</f>
        <v>@septiros</v>
      </c>
      <c r="C32137" s="8" t="s">
        <v>4836</v>
      </c>
      <c r="D32137" s="8">
        <v>5416</v>
      </c>
      <c r="E32137" s="8">
        <v>0</v>
      </c>
      <c r="F32137" s="8">
        <v>386</v>
      </c>
    </row>
    <row r="32138" spans="1:6" ht="12.75">
      <c r="A32138" s="8">
        <v>43890.124803240746</v>
      </c>
      <c r="B32138" s="8" t="str">
        <f>HYPERLINK("https://twitter.com/Budi05786049","@Budi05786049")</f>
        <v>@Budi05786049</v>
      </c>
      <c r="C32138" s="8" t="s">
        <v>10743</v>
      </c>
      <c r="D32138" s="8">
        <v>85</v>
      </c>
      <c r="E32138" s="8">
        <v>0</v>
      </c>
      <c r="F32138" s="8">
        <v>79</v>
      </c>
    </row>
    <row r="32139" spans="1:6" ht="12.75">
      <c r="A32139" s="8">
        <v>43890.124456018515</v>
      </c>
      <c r="B32139" s="8" t="str">
        <f>HYPERLINK("https://twitter.com/DARGOMBES7373","@DARGOMBES7373")</f>
        <v>@DARGOMBES7373</v>
      </c>
      <c r="C32139" s="8" t="s">
        <v>4235</v>
      </c>
      <c r="D32139" s="8">
        <v>549</v>
      </c>
      <c r="E32139" s="8">
        <v>0</v>
      </c>
      <c r="F32139" s="8">
        <v>681</v>
      </c>
    </row>
    <row r="32140" spans="1:6" ht="12.75">
      <c r="A32140" s="8">
        <v>43890.124224537038</v>
      </c>
      <c r="B32140" s="8" t="str">
        <f>HYPERLINK("https://twitter.com/septiros","@septiros")</f>
        <v>@septiros</v>
      </c>
      <c r="C32140" s="8" t="s">
        <v>4785</v>
      </c>
      <c r="D32140" s="8">
        <v>483</v>
      </c>
      <c r="E32140" s="8">
        <v>0</v>
      </c>
      <c r="F32140" s="8">
        <v>386</v>
      </c>
    </row>
    <row r="32141" spans="1:6" ht="12.75">
      <c r="A32141" s="8">
        <v>43890.123842592591</v>
      </c>
      <c r="B32141" s="8" t="str">
        <f>HYPERLINK("https://twitter.com/mukhleos","@mukhleos")</f>
        <v>@mukhleos</v>
      </c>
      <c r="C32141" s="8" t="s">
        <v>10743</v>
      </c>
      <c r="D32141" s="8">
        <v>85</v>
      </c>
      <c r="E32141" s="8">
        <v>0</v>
      </c>
      <c r="F32141" s="8">
        <v>866</v>
      </c>
    </row>
    <row r="32142" spans="1:6" ht="12.75">
      <c r="A32142" s="8">
        <v>43890.123657407406</v>
      </c>
      <c r="B32142" s="8" t="str">
        <f>HYPERLINK("https://twitter.com/translatorbali","@translatorbali")</f>
        <v>@translatorbali</v>
      </c>
      <c r="C32142" s="8" t="s">
        <v>12105</v>
      </c>
      <c r="D32142" s="8">
        <v>1</v>
      </c>
      <c r="E32142" s="8">
        <v>0</v>
      </c>
      <c r="F32142" s="8">
        <v>3866</v>
      </c>
    </row>
    <row r="32143" spans="1:6" ht="12.75">
      <c r="A32143" s="8">
        <v>43890.123599537037</v>
      </c>
      <c r="B32143" s="8" t="str">
        <f>HYPERLINK("https://twitter.com/Abdurrahhmannn","@Abdurrahhmannn")</f>
        <v>@Abdurrahhmannn</v>
      </c>
      <c r="C32143" s="8" t="s">
        <v>10755</v>
      </c>
      <c r="D32143" s="8">
        <v>563</v>
      </c>
      <c r="E32143" s="8">
        <v>0</v>
      </c>
      <c r="F32143" s="8">
        <v>357</v>
      </c>
    </row>
    <row r="32144" spans="1:6" ht="12.75">
      <c r="A32144" s="8">
        <v>43890.123425925922</v>
      </c>
      <c r="B32144" s="8" t="str">
        <f>HYPERLINK("https://twitter.com/translatorbali","@translatorbali")</f>
        <v>@translatorbali</v>
      </c>
      <c r="C32144" s="8" t="s">
        <v>12106</v>
      </c>
      <c r="D32144" s="8">
        <v>1</v>
      </c>
      <c r="E32144" s="8">
        <v>1</v>
      </c>
      <c r="F32144" s="8">
        <v>3866</v>
      </c>
    </row>
    <row r="32145" spans="1:6" ht="12.75">
      <c r="A32145" s="8">
        <v>43890.123171296298</v>
      </c>
      <c r="B32145" s="8" t="str">
        <f>HYPERLINK("https://twitter.com/riyadh_kbri","@riyadh_kbri")</f>
        <v>@riyadh_kbri</v>
      </c>
      <c r="C32145" s="8" t="s">
        <v>12107</v>
      </c>
      <c r="D32145" s="8">
        <v>0</v>
      </c>
      <c r="E32145" s="8">
        <v>0</v>
      </c>
      <c r="F32145" s="8">
        <v>2318</v>
      </c>
    </row>
    <row r="32146" spans="1:6" ht="12.75">
      <c r="A32146" s="8">
        <v>43890.122418981482</v>
      </c>
      <c r="B32146" s="8" t="str">
        <f>HYPERLINK("https://twitter.com/sir_usil","@sir_usil")</f>
        <v>@sir_usil</v>
      </c>
      <c r="C32146" s="8" t="s">
        <v>12108</v>
      </c>
      <c r="D32146" s="8">
        <v>34</v>
      </c>
      <c r="E32146" s="8">
        <v>0</v>
      </c>
      <c r="F32146" s="8">
        <v>227</v>
      </c>
    </row>
    <row r="32147" spans="1:6" ht="12.75">
      <c r="A32147" s="8">
        <v>43890.122025462959</v>
      </c>
      <c r="B32147" s="8" t="str">
        <f>HYPERLINK("https://twitter.com/Alie_Fahnoor","@Alie_Fahnoor")</f>
        <v>@Alie_Fahnoor</v>
      </c>
      <c r="C32147" s="8" t="s">
        <v>4235</v>
      </c>
      <c r="D32147" s="8">
        <v>549</v>
      </c>
      <c r="E32147" s="8">
        <v>0</v>
      </c>
      <c r="F32147" s="8">
        <v>455</v>
      </c>
    </row>
    <row r="32148" spans="1:6" ht="12.75">
      <c r="A32148" s="8">
        <v>43890.121469907404</v>
      </c>
      <c r="B32148" s="8" t="str">
        <f>HYPERLINK("https://twitter.com/Elangrimba212","@Elangrimba212")</f>
        <v>@Elangrimba212</v>
      </c>
      <c r="C32148" s="8" t="s">
        <v>4235</v>
      </c>
      <c r="D32148" s="8">
        <v>549</v>
      </c>
      <c r="E32148" s="8">
        <v>0</v>
      </c>
      <c r="F32148" s="8">
        <v>152</v>
      </c>
    </row>
    <row r="32149" spans="1:6" ht="12.75">
      <c r="A32149" s="8">
        <v>43890.118206018524</v>
      </c>
      <c r="B32149" s="8" t="str">
        <f>HYPERLINK("https://twitter.com/tukang_gasss","@tukang_gasss")</f>
        <v>@tukang_gasss</v>
      </c>
      <c r="C32149" s="8" t="s">
        <v>4235</v>
      </c>
      <c r="D32149" s="8">
        <v>549</v>
      </c>
      <c r="E32149" s="8">
        <v>0</v>
      </c>
      <c r="F32149" s="8">
        <v>667</v>
      </c>
    </row>
    <row r="32150" spans="1:6" ht="12.75">
      <c r="A32150" s="8">
        <v>43890.118171296301</v>
      </c>
      <c r="B32150" s="8" t="str">
        <f>HYPERLINK("https://twitter.com/Rizal_Valen76","@Rizal_Valen76")</f>
        <v>@Rizal_Valen76</v>
      </c>
      <c r="C32150" s="8" t="s">
        <v>12109</v>
      </c>
      <c r="D32150" s="8">
        <v>0</v>
      </c>
      <c r="E32150" s="8">
        <v>0</v>
      </c>
      <c r="F32150" s="8">
        <v>2823</v>
      </c>
    </row>
    <row r="32151" spans="1:6" ht="12.75">
      <c r="A32151" s="8">
        <v>43890.118055555555</v>
      </c>
      <c r="B32151" s="8" t="str">
        <f>HYPERLINK("https://twitter.com/Primaliston2","@Primaliston2")</f>
        <v>@Primaliston2</v>
      </c>
      <c r="C32151" s="8" t="s">
        <v>4235</v>
      </c>
      <c r="D32151" s="8">
        <v>549</v>
      </c>
      <c r="E32151" s="8">
        <v>0</v>
      </c>
      <c r="F32151" s="8">
        <v>61</v>
      </c>
    </row>
    <row r="32152" spans="1:6" ht="12.75">
      <c r="A32152" s="8">
        <v>43890.117002314815</v>
      </c>
      <c r="B32152" s="8" t="str">
        <f>HYPERLINK("https://twitter.com/aldy_mw","@aldy_mw")</f>
        <v>@aldy_mw</v>
      </c>
      <c r="C32152" s="8" t="s">
        <v>4235</v>
      </c>
      <c r="D32152" s="8">
        <v>549</v>
      </c>
      <c r="E32152" s="8">
        <v>0</v>
      </c>
      <c r="F32152" s="8">
        <v>1321</v>
      </c>
    </row>
    <row r="32153" spans="1:6" ht="12.75">
      <c r="A32153" s="8">
        <v>43890.116898148146</v>
      </c>
      <c r="B32153" s="8" t="str">
        <f>HYPERLINK("https://twitter.com/SelamatBakumpa2","@SelamatBakumpa2")</f>
        <v>@SelamatBakumpa2</v>
      </c>
      <c r="C32153" s="8" t="s">
        <v>4235</v>
      </c>
      <c r="D32153" s="8">
        <v>549</v>
      </c>
      <c r="E32153" s="8">
        <v>0</v>
      </c>
      <c r="F32153" s="8">
        <v>155</v>
      </c>
    </row>
    <row r="32154" spans="1:6" ht="12.75">
      <c r="A32154" s="8">
        <v>43890.116562499999</v>
      </c>
      <c r="B32154" s="8" t="str">
        <f>HYPERLINK("https://twitter.com/Soim_Maskur","@Soim_Maskur")</f>
        <v>@Soim_Maskur</v>
      </c>
      <c r="C32154" s="8" t="s">
        <v>11773</v>
      </c>
      <c r="D32154" s="8">
        <v>472</v>
      </c>
      <c r="E32154" s="8">
        <v>0</v>
      </c>
      <c r="F32154" s="8">
        <v>54</v>
      </c>
    </row>
    <row r="32155" spans="1:6" ht="12.75">
      <c r="A32155" s="8">
        <v>43890.114537037036</v>
      </c>
      <c r="B32155" s="8" t="str">
        <f>HYPERLINK("https://twitter.com/NindaUmm","@NindaUmm")</f>
        <v>@NindaUmm</v>
      </c>
      <c r="C32155" s="8" t="s">
        <v>10755</v>
      </c>
      <c r="D32155" s="8">
        <v>563</v>
      </c>
      <c r="E32155" s="8">
        <v>0</v>
      </c>
      <c r="F32155" s="8">
        <v>8</v>
      </c>
    </row>
    <row r="32156" spans="1:6" ht="12.75">
      <c r="A32156" s="8">
        <v>43890.114004629635</v>
      </c>
      <c r="B32156" s="8" t="str">
        <f>HYPERLINK("https://twitter.com/sp_xcok","@sp_xcok")</f>
        <v>@sp_xcok</v>
      </c>
      <c r="C32156" s="8" t="s">
        <v>12110</v>
      </c>
      <c r="D32156" s="8">
        <v>0</v>
      </c>
      <c r="E32156" s="8">
        <v>0</v>
      </c>
      <c r="F32156" s="8">
        <v>1302</v>
      </c>
    </row>
    <row r="32157" spans="1:6" ht="12.75">
      <c r="A32157" s="8">
        <v>43890.113240740742</v>
      </c>
      <c r="B32157" s="8" t="str">
        <f>HYPERLINK("https://twitter.com/Umar_IbnuKhatab","@Umar_IbnuKhatab")</f>
        <v>@Umar_IbnuKhatab</v>
      </c>
      <c r="C32157" s="8" t="s">
        <v>4235</v>
      </c>
      <c r="D32157" s="8">
        <v>549</v>
      </c>
      <c r="E32157" s="8">
        <v>0</v>
      </c>
      <c r="F32157" s="8">
        <v>1226</v>
      </c>
    </row>
    <row r="32158" spans="1:6" ht="12.75">
      <c r="A32158" s="8">
        <v>43890.112662037034</v>
      </c>
      <c r="B32158" s="8" t="str">
        <f>HYPERLINK("https://twitter.com/manyilss","@manyilss")</f>
        <v>@manyilss</v>
      </c>
      <c r="C32158" s="8" t="s">
        <v>11729</v>
      </c>
      <c r="D32158" s="8">
        <v>9</v>
      </c>
      <c r="E32158" s="8">
        <v>0</v>
      </c>
      <c r="F32158" s="8">
        <v>68</v>
      </c>
    </row>
    <row r="32159" spans="1:6" ht="12.75">
      <c r="A32159" s="8">
        <v>43890.112141203703</v>
      </c>
      <c r="B32159" s="8" t="str">
        <f>HYPERLINK("https://twitter.com/isis_macedo10","@isis_macedo10")</f>
        <v>@isis_macedo10</v>
      </c>
      <c r="C32159" s="8" t="s">
        <v>12111</v>
      </c>
      <c r="D32159" s="8">
        <v>0</v>
      </c>
      <c r="E32159" s="8">
        <v>0</v>
      </c>
      <c r="F32159" s="8">
        <v>5252</v>
      </c>
    </row>
    <row r="32160" spans="1:6" ht="12.75">
      <c r="A32160" s="8">
        <v>43890.111226851848</v>
      </c>
      <c r="B32160" s="8" t="str">
        <f>HYPERLINK("https://twitter.com/taufannurcahyo","@taufannurcahyo")</f>
        <v>@taufannurcahyo</v>
      </c>
      <c r="C32160" s="8" t="s">
        <v>12044</v>
      </c>
      <c r="D32160" s="8">
        <v>2</v>
      </c>
      <c r="E32160" s="8">
        <v>0</v>
      </c>
      <c r="F32160" s="8">
        <v>357</v>
      </c>
    </row>
    <row r="32161" spans="1:6" ht="12.75">
      <c r="A32161" s="8">
        <v>43890.110231481478</v>
      </c>
      <c r="B32161" s="8" t="str">
        <f>HYPERLINK("https://twitter.com/apatis_vigili","@apatis_vigili")</f>
        <v>@apatis_vigili</v>
      </c>
      <c r="C32161" s="8" t="s">
        <v>4235</v>
      </c>
      <c r="D32161" s="8">
        <v>549</v>
      </c>
      <c r="E32161" s="8">
        <v>0</v>
      </c>
      <c r="F32161" s="8">
        <v>744</v>
      </c>
    </row>
    <row r="32162" spans="1:6" ht="12.75">
      <c r="A32162" s="8">
        <v>43890.109895833331</v>
      </c>
      <c r="B32162" s="8" t="str">
        <f>HYPERLINK("https://twitter.com/AbolicHD","@AbolicHD")</f>
        <v>@AbolicHD</v>
      </c>
      <c r="C32162" s="8" t="s">
        <v>12112</v>
      </c>
      <c r="D32162" s="8">
        <v>0</v>
      </c>
      <c r="E32162" s="8">
        <v>0</v>
      </c>
      <c r="F32162" s="8">
        <v>369</v>
      </c>
    </row>
    <row r="32163" spans="1:6" ht="12.75">
      <c r="A32163" s="8">
        <v>43890.109375</v>
      </c>
      <c r="B32163" s="8" t="str">
        <f>HYPERLINK("https://twitter.com/DJXdiE1","@DJXdiE1")</f>
        <v>@DJXdiE1</v>
      </c>
      <c r="C32163" s="8" t="s">
        <v>4235</v>
      </c>
      <c r="D32163" s="8">
        <v>549</v>
      </c>
      <c r="E32163" s="8">
        <v>0</v>
      </c>
      <c r="F32163" s="8">
        <v>118</v>
      </c>
    </row>
    <row r="32164" spans="1:6" ht="12.75">
      <c r="A32164" s="8">
        <v>43890.108495370368</v>
      </c>
      <c r="B32164" s="8" t="str">
        <f>HYPERLINK("https://twitter.com/gotchillxcv","@gotchillxcv")</f>
        <v>@gotchillxcv</v>
      </c>
      <c r="C32164" s="8" t="s">
        <v>12113</v>
      </c>
      <c r="D32164" s="8">
        <v>0</v>
      </c>
      <c r="E32164" s="8">
        <v>0</v>
      </c>
      <c r="F32164" s="8">
        <v>523</v>
      </c>
    </row>
    <row r="32165" spans="1:6" ht="12.75">
      <c r="A32165" s="8">
        <v>43890.108425925922</v>
      </c>
      <c r="B32165" s="8" t="str">
        <f>HYPERLINK("https://twitter.com/SriNeng70160486","@SriNeng70160486")</f>
        <v>@SriNeng70160486</v>
      </c>
      <c r="C32165" s="8" t="s">
        <v>6836</v>
      </c>
      <c r="D32165" s="8">
        <v>127</v>
      </c>
      <c r="E32165" s="8">
        <v>0</v>
      </c>
      <c r="F32165" s="8">
        <v>564</v>
      </c>
    </row>
    <row r="32166" spans="1:6" ht="12.75">
      <c r="A32166" s="8">
        <v>43890.108124999999</v>
      </c>
      <c r="B32166" s="8" t="str">
        <f>HYPERLINK("https://twitter.com/Kudriawan1","@Kudriawan1")</f>
        <v>@Kudriawan1</v>
      </c>
      <c r="C32166" s="8" t="s">
        <v>4235</v>
      </c>
      <c r="D32166" s="8">
        <v>549</v>
      </c>
      <c r="E32166" s="8">
        <v>0</v>
      </c>
      <c r="F32166" s="8">
        <v>178</v>
      </c>
    </row>
    <row r="32167" spans="1:6" ht="12.75">
      <c r="A32167" s="8">
        <v>43890.106388888889</v>
      </c>
      <c r="B32167" s="8" t="str">
        <f>HYPERLINK("https://twitter.com/rommy_analyst","@rommy_analyst")</f>
        <v>@rommy_analyst</v>
      </c>
      <c r="C32167" s="8" t="s">
        <v>11329</v>
      </c>
      <c r="D32167" s="8">
        <v>10</v>
      </c>
      <c r="E32167" s="8">
        <v>0</v>
      </c>
      <c r="F32167" s="8">
        <v>99</v>
      </c>
    </row>
    <row r="32168" spans="1:6" ht="12.75">
      <c r="A32168" s="8">
        <v>43890.105104166665</v>
      </c>
      <c r="B32168" s="8" t="str">
        <f>HYPERLINK("https://twitter.com/samoelli","@samoelli")</f>
        <v>@samoelli</v>
      </c>
      <c r="C32168" s="8" t="s">
        <v>4235</v>
      </c>
      <c r="D32168" s="8">
        <v>549</v>
      </c>
      <c r="E32168" s="8">
        <v>0</v>
      </c>
      <c r="F32168" s="8">
        <v>519</v>
      </c>
    </row>
    <row r="32169" spans="1:6" ht="12.75">
      <c r="A32169" s="8">
        <v>43890.104212962964</v>
      </c>
      <c r="B32169" s="8" t="str">
        <f>HYPERLINK("https://twitter.com/Mavvinkop","@Mavvinkop")</f>
        <v>@Mavvinkop</v>
      </c>
      <c r="C32169" s="8" t="s">
        <v>11425</v>
      </c>
      <c r="D32169" s="8">
        <v>2</v>
      </c>
      <c r="E32169" s="8">
        <v>0</v>
      </c>
      <c r="F32169" s="8">
        <v>56</v>
      </c>
    </row>
    <row r="32170" spans="1:6" ht="12.75">
      <c r="A32170" s="8">
        <v>43890.104189814811</v>
      </c>
      <c r="B32170" s="8" t="str">
        <f>HYPERLINK("https://twitter.com/Sifudan_mora","@Sifudan_mora")</f>
        <v>@Sifudan_mora</v>
      </c>
      <c r="C32170" s="8" t="s">
        <v>11425</v>
      </c>
      <c r="D32170" s="8">
        <v>2</v>
      </c>
      <c r="E32170" s="8">
        <v>0</v>
      </c>
      <c r="F32170" s="8">
        <v>2057</v>
      </c>
    </row>
    <row r="32171" spans="1:6" ht="12.75">
      <c r="A32171" s="8">
        <v>43890.102962962963</v>
      </c>
      <c r="B32171" s="8" t="str">
        <f>HYPERLINK("https://twitter.com/mk_sari2","@mk_sari2")</f>
        <v>@mk_sari2</v>
      </c>
      <c r="C32171" s="8" t="s">
        <v>12114</v>
      </c>
      <c r="D32171" s="8">
        <v>1</v>
      </c>
      <c r="E32171" s="8">
        <v>0</v>
      </c>
      <c r="F32171" s="8">
        <v>531</v>
      </c>
    </row>
    <row r="32172" spans="1:6" ht="12.75">
      <c r="A32172" s="8">
        <v>43890.102708333332</v>
      </c>
      <c r="B32172" s="8" t="str">
        <f>HYPERLINK("https://twitter.com/kbrimanama","@kbrimanama")</f>
        <v>@kbrimanama</v>
      </c>
      <c r="C32172" s="8" t="s">
        <v>9248</v>
      </c>
      <c r="D32172" s="8">
        <v>20</v>
      </c>
      <c r="E32172" s="8">
        <v>0</v>
      </c>
      <c r="F32172" s="8">
        <v>1423</v>
      </c>
    </row>
    <row r="32173" spans="1:6" ht="12.75">
      <c r="A32173" s="8">
        <v>43890.102604166663</v>
      </c>
      <c r="B32173" s="8" t="str">
        <f>HYPERLINK("https://twitter.com/rongs_rong","@rongs_rong")</f>
        <v>@rongs_rong</v>
      </c>
      <c r="C32173" s="8" t="s">
        <v>12056</v>
      </c>
      <c r="D32173" s="8">
        <v>48</v>
      </c>
      <c r="E32173" s="8">
        <v>0</v>
      </c>
      <c r="F32173" s="8">
        <v>3233</v>
      </c>
    </row>
    <row r="32174" spans="1:6" ht="12.75">
      <c r="A32174" s="8">
        <v>43890.10256944444</v>
      </c>
      <c r="B32174" s="8" t="str">
        <f>HYPERLINK("https://twitter.com/kbrimanama","@kbrimanama")</f>
        <v>@kbrimanama</v>
      </c>
      <c r="C32174" s="8" t="s">
        <v>11069</v>
      </c>
      <c r="D32174" s="8">
        <v>23</v>
      </c>
      <c r="E32174" s="8">
        <v>0</v>
      </c>
      <c r="F32174" s="8">
        <v>1423</v>
      </c>
    </row>
    <row r="32175" spans="1:6" ht="12.75">
      <c r="A32175" s="8">
        <v>43890.102465277778</v>
      </c>
      <c r="B32175" s="8" t="str">
        <f>HYPERLINK("https://twitter.com/Katolik_GK","@Katolik_GK")</f>
        <v>@Katolik_GK</v>
      </c>
      <c r="C32175" s="8" t="s">
        <v>12115</v>
      </c>
      <c r="D32175" s="8">
        <v>2</v>
      </c>
      <c r="E32175" s="8">
        <v>3</v>
      </c>
      <c r="F32175" s="8">
        <v>2540</v>
      </c>
    </row>
    <row r="32176" spans="1:6" ht="12.75">
      <c r="A32176" s="8">
        <v>43890.102129629631</v>
      </c>
      <c r="B32176" s="8" t="str">
        <f>HYPERLINK("https://twitter.com/Kabar24","@Kabar24")</f>
        <v>@Kabar24</v>
      </c>
      <c r="C32176" s="8" t="s">
        <v>12068</v>
      </c>
      <c r="D32176" s="8">
        <v>0</v>
      </c>
      <c r="E32176" s="8">
        <v>0</v>
      </c>
      <c r="F32176" s="8">
        <v>20148</v>
      </c>
    </row>
    <row r="32177" spans="1:6" ht="12.75">
      <c r="A32177" s="8">
        <v>43890.101111111115</v>
      </c>
      <c r="B32177" s="8" t="str">
        <f>HYPERLINK("https://twitter.com/Shahin_Tangi","@Shahin_Tangi")</f>
        <v>@Shahin_Tangi</v>
      </c>
      <c r="C32177" s="8" t="s">
        <v>12116</v>
      </c>
      <c r="D32177" s="8">
        <v>1</v>
      </c>
      <c r="E32177" s="8">
        <v>1</v>
      </c>
      <c r="F32177" s="8">
        <v>459</v>
      </c>
    </row>
    <row r="32178" spans="1:6" ht="12.75">
      <c r="A32178" s="8">
        <v>43890.101053240738</v>
      </c>
      <c r="B32178" s="8" t="str">
        <f>HYPERLINK("https://twitter.com/ekopriyobondowo","@ekopriyobondowo")</f>
        <v>@ekopriyobondowo</v>
      </c>
      <c r="C32178" s="8" t="s">
        <v>12117</v>
      </c>
      <c r="D32178" s="8">
        <v>1</v>
      </c>
      <c r="E32178" s="8">
        <v>0</v>
      </c>
      <c r="F32178" s="8">
        <v>31</v>
      </c>
    </row>
    <row r="32179" spans="1:6" ht="12.75">
      <c r="A32179" s="8">
        <v>43890.100914351853</v>
      </c>
      <c r="B32179" s="8" t="str">
        <f>HYPERLINK("https://twitter.com/hermana_t","@hermana_t")</f>
        <v>@hermana_t</v>
      </c>
      <c r="C32179" s="8" t="s">
        <v>12118</v>
      </c>
      <c r="D32179" s="8">
        <v>2</v>
      </c>
      <c r="E32179" s="8">
        <v>6</v>
      </c>
      <c r="F32179" s="8">
        <v>10680</v>
      </c>
    </row>
    <row r="32180" spans="1:6" ht="12.75">
      <c r="A32180" s="8">
        <v>43890.100891203707</v>
      </c>
      <c r="B32180" s="8" t="str">
        <f>HYPERLINK("https://twitter.com/ekopriyobondowo","@ekopriyobondowo")</f>
        <v>@ekopriyobondowo</v>
      </c>
      <c r="C32180" s="8" t="s">
        <v>11374</v>
      </c>
      <c r="D32180" s="8">
        <v>23</v>
      </c>
      <c r="E32180" s="8">
        <v>0</v>
      </c>
      <c r="F32180" s="8">
        <v>31</v>
      </c>
    </row>
    <row r="32181" spans="1:6" ht="12.75">
      <c r="A32181" s="8">
        <v>43890.100312499999</v>
      </c>
      <c r="B32181" s="8" t="str">
        <f>HYPERLINK("https://twitter.com/sigit_bms","@sigit_bms")</f>
        <v>@sigit_bms</v>
      </c>
      <c r="C32181" s="8" t="s">
        <v>4235</v>
      </c>
      <c r="D32181" s="8">
        <v>549</v>
      </c>
      <c r="E32181" s="8">
        <v>0</v>
      </c>
      <c r="F32181" s="8">
        <v>560</v>
      </c>
    </row>
    <row r="32182" spans="1:6" ht="12.75">
      <c r="A32182" s="8">
        <v>43890.099710648152</v>
      </c>
      <c r="B32182" s="8" t="str">
        <f>HYPERLINK("https://twitter.com/RiyadiYadi3","@RiyadiYadi3")</f>
        <v>@RiyadiYadi3</v>
      </c>
      <c r="C32182" s="8" t="s">
        <v>4235</v>
      </c>
      <c r="D32182" s="8">
        <v>549</v>
      </c>
      <c r="E32182" s="8">
        <v>0</v>
      </c>
      <c r="F32182" s="8">
        <v>343</v>
      </c>
    </row>
    <row r="32183" spans="1:6" ht="12.75">
      <c r="A32183" s="8">
        <v>43890.099652777775</v>
      </c>
      <c r="B32183" s="8" t="str">
        <f>HYPERLINK("https://twitter.com/RahmaatSaputra","@RahmaatSaputra")</f>
        <v>@RahmaatSaputra</v>
      </c>
      <c r="C32183" s="8" t="s">
        <v>10755</v>
      </c>
      <c r="D32183" s="8">
        <v>563</v>
      </c>
      <c r="E32183" s="8">
        <v>0</v>
      </c>
      <c r="F32183" s="8">
        <v>693</v>
      </c>
    </row>
    <row r="32184" spans="1:6" ht="12.75">
      <c r="A32184" s="8">
        <v>43890.099317129629</v>
      </c>
      <c r="B32184" s="8" t="str">
        <f>HYPERLINK("https://twitter.com/OposisiCerdas","@OposisiCerdas")</f>
        <v>@OposisiCerdas</v>
      </c>
      <c r="C32184" s="8" t="s">
        <v>12033</v>
      </c>
      <c r="D32184" s="8">
        <v>1</v>
      </c>
      <c r="E32184" s="8">
        <v>4</v>
      </c>
      <c r="F32184" s="8">
        <v>17355</v>
      </c>
    </row>
    <row r="32185" spans="1:6" ht="12.75">
      <c r="A32185" s="8">
        <v>43890.099062499998</v>
      </c>
      <c r="B32185" s="8" t="str">
        <f>HYPERLINK("https://twitter.com/mk_sari2","@mk_sari2")</f>
        <v>@mk_sari2</v>
      </c>
      <c r="C32185" s="8" t="s">
        <v>11329</v>
      </c>
      <c r="D32185" s="8">
        <v>10</v>
      </c>
      <c r="E32185" s="8">
        <v>0</v>
      </c>
      <c r="F32185" s="8">
        <v>531</v>
      </c>
    </row>
    <row r="32186" spans="1:6" ht="12.75">
      <c r="A32186" s="8">
        <v>43890.098726851851</v>
      </c>
      <c r="B32186" s="8" t="str">
        <f>HYPERLINK("https://twitter.com/YoyokSubandriy3","@YoyokSubandriy3")</f>
        <v>@YoyokSubandriy3</v>
      </c>
      <c r="C32186" s="8" t="s">
        <v>11691</v>
      </c>
      <c r="D32186" s="8">
        <v>37</v>
      </c>
      <c r="E32186" s="8">
        <v>0</v>
      </c>
      <c r="F32186" s="8">
        <v>1382</v>
      </c>
    </row>
    <row r="32187" spans="1:6" ht="12.75">
      <c r="A32187" s="8">
        <v>43890.098692129628</v>
      </c>
      <c r="B32187" s="8" t="str">
        <f>HYPERLINK("https://twitter.com/Adyputrarajash3","@Adyputrarajash3")</f>
        <v>@Adyputrarajash3</v>
      </c>
      <c r="C32187" s="8" t="s">
        <v>12053</v>
      </c>
      <c r="D32187" s="8">
        <v>13</v>
      </c>
      <c r="E32187" s="8">
        <v>0</v>
      </c>
      <c r="F32187" s="8">
        <v>338</v>
      </c>
    </row>
    <row r="32188" spans="1:6" ht="12.75">
      <c r="A32188" s="8">
        <v>43890.09652777778</v>
      </c>
      <c r="B32188" s="8" t="str">
        <f>HYPERLINK("https://twitter.com/RaHidMatOdang","@RaHidMatOdang")</f>
        <v>@RaHidMatOdang</v>
      </c>
      <c r="C32188" s="8" t="s">
        <v>11329</v>
      </c>
      <c r="D32188" s="8">
        <v>10</v>
      </c>
      <c r="E32188" s="8">
        <v>0</v>
      </c>
      <c r="F32188" s="8">
        <v>94</v>
      </c>
    </row>
    <row r="32189" spans="1:6" ht="12.75">
      <c r="A32189" s="8">
        <v>43890.09648148148</v>
      </c>
      <c r="B32189" s="8" t="str">
        <f>HYPERLINK("https://twitter.com/Emy_Albatrisyia","@Emy_Albatrisyia")</f>
        <v>@Emy_Albatrisyia</v>
      </c>
      <c r="C32189" s="8" t="s">
        <v>11102</v>
      </c>
      <c r="D32189" s="8">
        <v>499</v>
      </c>
      <c r="E32189" s="8">
        <v>0</v>
      </c>
      <c r="F32189" s="8">
        <v>803</v>
      </c>
    </row>
    <row r="32190" spans="1:6" ht="12.75">
      <c r="A32190" s="8">
        <v>43890.09438657407</v>
      </c>
      <c r="B32190" s="8" t="str">
        <f>HYPERLINK("https://twitter.com/7endralKad_run","@7endralKad_run")</f>
        <v>@7endralKad_run</v>
      </c>
      <c r="C32190" s="8" t="s">
        <v>11661</v>
      </c>
      <c r="D32190" s="8">
        <v>6</v>
      </c>
      <c r="E32190" s="8">
        <v>0</v>
      </c>
      <c r="F32190" s="8">
        <v>712</v>
      </c>
    </row>
    <row r="32191" spans="1:6" ht="12.75">
      <c r="A32191" s="8">
        <v>43890.094375000001</v>
      </c>
      <c r="B32191" s="8" t="str">
        <f>HYPERLINK("https://twitter.com/DheaEvaAmalia","@DheaEvaAmalia")</f>
        <v>@DheaEvaAmalia</v>
      </c>
      <c r="C32191" s="8" t="s">
        <v>12119</v>
      </c>
      <c r="D32191" s="8">
        <v>0</v>
      </c>
      <c r="E32191" s="8">
        <v>0</v>
      </c>
      <c r="F32191" s="8">
        <v>1091</v>
      </c>
    </row>
    <row r="32192" spans="1:6" ht="12.75">
      <c r="A32192" s="8">
        <v>43890.094351851847</v>
      </c>
      <c r="B32192" s="8" t="str">
        <f>HYPERLINK("https://twitter.com/republikaonline","@republikaonline")</f>
        <v>@republikaonline</v>
      </c>
      <c r="C32192" s="8" t="s">
        <v>12120</v>
      </c>
      <c r="D32192" s="8">
        <v>1</v>
      </c>
      <c r="E32192" s="8">
        <v>4</v>
      </c>
      <c r="F32192" s="8">
        <v>1215499</v>
      </c>
    </row>
    <row r="32193" spans="1:6" ht="12.75">
      <c r="A32193" s="8">
        <v>43890.092939814815</v>
      </c>
      <c r="B32193" s="8" t="str">
        <f>HYPERLINK("https://twitter.com/Siomaykangabi","@Siomaykangabi")</f>
        <v>@Siomaykangabi</v>
      </c>
      <c r="C32193" s="8" t="s">
        <v>4235</v>
      </c>
      <c r="D32193" s="8">
        <v>549</v>
      </c>
      <c r="E32193" s="8">
        <v>0</v>
      </c>
      <c r="F32193" s="8">
        <v>174</v>
      </c>
    </row>
    <row r="32194" spans="1:6" ht="12.75">
      <c r="A32194" s="8">
        <v>43890.092002314814</v>
      </c>
      <c r="B32194" s="8" t="str">
        <f>HYPERLINK("https://twitter.com/LoveislamNkri","@LoveislamNkri")</f>
        <v>@LoveislamNkri</v>
      </c>
      <c r="C32194" s="8" t="s">
        <v>11329</v>
      </c>
      <c r="D32194" s="8">
        <v>10</v>
      </c>
      <c r="E32194" s="8">
        <v>0</v>
      </c>
      <c r="F32194" s="8">
        <v>1285</v>
      </c>
    </row>
    <row r="32195" spans="1:6" ht="12.75">
      <c r="A32195" s="8">
        <v>43890.091574074075</v>
      </c>
      <c r="B32195" s="8" t="str">
        <f>HYPERLINK("https://twitter.com/RaHidMatOdang","@RaHidMatOdang")</f>
        <v>@RaHidMatOdang</v>
      </c>
      <c r="C32195" s="8" t="s">
        <v>6836</v>
      </c>
      <c r="D32195" s="8">
        <v>127</v>
      </c>
      <c r="E32195" s="8">
        <v>0</v>
      </c>
      <c r="F32195" s="8">
        <v>94</v>
      </c>
    </row>
    <row r="32196" spans="1:6" ht="12.75">
      <c r="A32196" s="8">
        <v>43890.091481481482</v>
      </c>
      <c r="B32196" s="8" t="str">
        <f>HYPERLINK("https://twitter.com/syofia1511","@syofia1511")</f>
        <v>@syofia1511</v>
      </c>
      <c r="C32196" s="8" t="s">
        <v>4235</v>
      </c>
      <c r="D32196" s="8">
        <v>549</v>
      </c>
      <c r="E32196" s="8">
        <v>0</v>
      </c>
      <c r="F32196" s="8">
        <v>272</v>
      </c>
    </row>
    <row r="32197" spans="1:6" ht="12.75">
      <c r="A32197" s="8">
        <v>43890.091458333336</v>
      </c>
      <c r="B32197" s="8" t="str">
        <f>HYPERLINK("https://twitter.com/enigma_nikenko","@enigma_nikenko")</f>
        <v>@enigma_nikenko</v>
      </c>
      <c r="C32197" s="8" t="s">
        <v>10743</v>
      </c>
      <c r="D32197" s="8">
        <v>85</v>
      </c>
      <c r="E32197" s="8">
        <v>0</v>
      </c>
      <c r="F32197" s="8">
        <v>214</v>
      </c>
    </row>
    <row r="32198" spans="1:6" ht="12.75">
      <c r="A32198" s="8">
        <v>43890.091365740736</v>
      </c>
      <c r="B32198" s="8" t="str">
        <f>HYPERLINK("https://twitter.com/merdekadotcom","@merdekadotcom")</f>
        <v>@merdekadotcom</v>
      </c>
      <c r="C32198" s="8" t="s">
        <v>12121</v>
      </c>
      <c r="D32198" s="8">
        <v>0</v>
      </c>
      <c r="E32198" s="8">
        <v>2</v>
      </c>
      <c r="F32198" s="8">
        <v>231119</v>
      </c>
    </row>
    <row r="32199" spans="1:6" ht="12.75">
      <c r="A32199" s="8">
        <v>43890.091296296298</v>
      </c>
      <c r="B32199" s="8" t="str">
        <f>HYPERLINK("https://twitter.com/anisabdroni","@anisabdroni")</f>
        <v>@anisabdroni</v>
      </c>
      <c r="C32199" s="8" t="s">
        <v>11102</v>
      </c>
      <c r="D32199" s="8">
        <v>499</v>
      </c>
      <c r="E32199" s="8">
        <v>0</v>
      </c>
      <c r="F32199" s="8">
        <v>351</v>
      </c>
    </row>
    <row r="32200" spans="1:6" ht="12.75">
      <c r="A32200" s="8">
        <v>43890.091192129628</v>
      </c>
      <c r="B32200" s="8" t="str">
        <f>HYPERLINK("https://twitter.com/Adyputrarajash3","@Adyputrarajash3")</f>
        <v>@Adyputrarajash3</v>
      </c>
      <c r="C32200" s="8" t="s">
        <v>6836</v>
      </c>
      <c r="D32200" s="8">
        <v>127</v>
      </c>
      <c r="E32200" s="8">
        <v>0</v>
      </c>
      <c r="F32200" s="8">
        <v>338</v>
      </c>
    </row>
    <row r="32201" spans="1:6" ht="12.75">
      <c r="A32201" s="8">
        <v>43890.091157407413</v>
      </c>
      <c r="B32201" s="8" t="str">
        <f>HYPERLINK("https://twitter.com/fourleafclovv","@fourleafclovv")</f>
        <v>@fourleafclovv</v>
      </c>
      <c r="C32201" s="8" t="s">
        <v>11952</v>
      </c>
      <c r="D32201" s="8">
        <v>1</v>
      </c>
      <c r="E32201" s="8">
        <v>0</v>
      </c>
      <c r="F32201" s="8">
        <v>1330</v>
      </c>
    </row>
    <row r="32202" spans="1:6" ht="12.75">
      <c r="A32202" s="8">
        <v>43890.09097222222</v>
      </c>
      <c r="B32202" s="8" t="str">
        <f>HYPERLINK("https://twitter.com/_Thiscreamynasi","@_Thiscreamynasi")</f>
        <v>@_Thiscreamynasi</v>
      </c>
      <c r="C32202" s="8" t="s">
        <v>12122</v>
      </c>
      <c r="D32202" s="8">
        <v>4</v>
      </c>
      <c r="E32202" s="8">
        <v>0</v>
      </c>
      <c r="F32202" s="8">
        <v>1107</v>
      </c>
    </row>
    <row r="32203" spans="1:6" ht="12.75">
      <c r="A32203" s="8">
        <v>43890.090613425928</v>
      </c>
      <c r="B32203" s="8" t="str">
        <f>HYPERLINK("https://twitter.com/will8zhang","@will8zhang")</f>
        <v>@will8zhang</v>
      </c>
      <c r="C32203" s="8" t="s">
        <v>11641</v>
      </c>
      <c r="D32203" s="8">
        <v>96</v>
      </c>
      <c r="E32203" s="8">
        <v>0</v>
      </c>
      <c r="F32203" s="8">
        <v>402</v>
      </c>
    </row>
    <row r="32204" spans="1:6" ht="12.75">
      <c r="A32204" s="8">
        <v>43890.089629629627</v>
      </c>
      <c r="B32204" s="8" t="str">
        <f>HYPERLINK("https://twitter.com/Arie26Ahmad","@Arie26Ahmad")</f>
        <v>@Arie26Ahmad</v>
      </c>
      <c r="C32204" s="8" t="s">
        <v>11729</v>
      </c>
      <c r="D32204" s="8">
        <v>7</v>
      </c>
      <c r="E32204" s="8">
        <v>0</v>
      </c>
      <c r="F32204" s="8">
        <v>346</v>
      </c>
    </row>
    <row r="32205" spans="1:6" ht="12.75">
      <c r="A32205" s="8">
        <v>43890.088842592595</v>
      </c>
      <c r="B32205" s="8" t="str">
        <f>HYPERLINK("https://twitter.com/isis_macedo10","@isis_macedo10")</f>
        <v>@isis_macedo10</v>
      </c>
      <c r="C32205" s="8" t="s">
        <v>12123</v>
      </c>
      <c r="D32205" s="8">
        <v>0</v>
      </c>
      <c r="E32205" s="8">
        <v>1</v>
      </c>
      <c r="F32205" s="8">
        <v>5252</v>
      </c>
    </row>
    <row r="32206" spans="1:6" ht="12.75">
      <c r="A32206" s="8">
        <v>43890.088148148148</v>
      </c>
      <c r="B32206" s="8" t="str">
        <f>HYPERLINK("https://twitter.com/Adyputrarajash3","@Adyputrarajash3")</f>
        <v>@Adyputrarajash3</v>
      </c>
      <c r="C32206" s="8" t="s">
        <v>4235</v>
      </c>
      <c r="D32206" s="8">
        <v>524</v>
      </c>
      <c r="E32206" s="8">
        <v>0</v>
      </c>
      <c r="F32206" s="8">
        <v>338</v>
      </c>
    </row>
    <row r="32207" spans="1:6" ht="12.75">
      <c r="A32207" s="8">
        <v>43890.087048611109</v>
      </c>
      <c r="B32207" s="8" t="str">
        <f>HYPERLINK("https://twitter.com/Fahrezi07189344","@Fahrezi07189344")</f>
        <v>@Fahrezi07189344</v>
      </c>
      <c r="C32207" s="8" t="s">
        <v>4235</v>
      </c>
      <c r="D32207" s="8">
        <v>524</v>
      </c>
      <c r="E32207" s="8">
        <v>0</v>
      </c>
      <c r="F32207" s="8">
        <v>190</v>
      </c>
    </row>
    <row r="32208" spans="1:6" ht="12.75">
      <c r="A32208" s="8">
        <v>43890.086956018524</v>
      </c>
      <c r="B32208" s="8" t="str">
        <f>HYPERLINK("https://twitter.com/_Mata_Malaikat","@_Mata_Malaikat")</f>
        <v>@_Mata_Malaikat</v>
      </c>
      <c r="C32208" s="8" t="s">
        <v>11102</v>
      </c>
      <c r="D32208" s="8">
        <v>496</v>
      </c>
      <c r="E32208" s="8">
        <v>0</v>
      </c>
      <c r="F32208" s="8">
        <v>219</v>
      </c>
    </row>
    <row r="32209" spans="1:6" ht="12.75">
      <c r="A32209" s="8">
        <v>43890.086828703701</v>
      </c>
      <c r="B32209" s="8" t="str">
        <f>HYPERLINK("https://twitter.com/uusbustami","@uusbustami")</f>
        <v>@uusbustami</v>
      </c>
      <c r="C32209" s="8" t="s">
        <v>4235</v>
      </c>
      <c r="D32209" s="8">
        <v>524</v>
      </c>
      <c r="E32209" s="8">
        <v>0</v>
      </c>
      <c r="F32209" s="8">
        <v>965</v>
      </c>
    </row>
    <row r="32210" spans="1:6" ht="12.75">
      <c r="A32210" s="8">
        <v>43890.086793981478</v>
      </c>
      <c r="B32210" s="8" t="str">
        <f>HYPERLINK("https://twitter.com/Blacktwit27","@Blacktwit27")</f>
        <v>@Blacktwit27</v>
      </c>
      <c r="C32210" s="8" t="s">
        <v>10755</v>
      </c>
      <c r="D32210" s="8">
        <v>559</v>
      </c>
      <c r="E32210" s="8">
        <v>0</v>
      </c>
      <c r="F32210" s="8">
        <v>84</v>
      </c>
    </row>
    <row r="32211" spans="1:6" ht="12.75">
      <c r="A32211" s="8">
        <v>43890.086724537032</v>
      </c>
      <c r="B32211" s="8" t="str">
        <f>HYPERLINK("https://twitter.com/HansOttawa2012","@HansOttawa2012")</f>
        <v>@HansOttawa2012</v>
      </c>
      <c r="C32211" s="8" t="s">
        <v>11584</v>
      </c>
      <c r="D32211" s="8">
        <v>9</v>
      </c>
      <c r="E32211" s="8">
        <v>0</v>
      </c>
      <c r="F32211" s="8">
        <v>192</v>
      </c>
    </row>
    <row r="32212" spans="1:6" ht="12.75">
      <c r="A32212" s="8">
        <v>43890.086516203708</v>
      </c>
      <c r="B32212" s="8" t="str">
        <f>HYPERLINK("https://twitter.com/YoyokSubandriy3","@YoyokSubandriy3")</f>
        <v>@YoyokSubandriy3</v>
      </c>
      <c r="C32212" s="8" t="s">
        <v>11990</v>
      </c>
      <c r="D32212" s="8">
        <v>3</v>
      </c>
      <c r="E32212" s="8">
        <v>0</v>
      </c>
      <c r="F32212" s="8">
        <v>1382</v>
      </c>
    </row>
    <row r="32213" spans="1:6" ht="12.75">
      <c r="A32213" s="8">
        <v>43890.086157407408</v>
      </c>
      <c r="B32213" s="8" t="str">
        <f>HYPERLINK("https://twitter.com/Arifngk","@Arifngk")</f>
        <v>@Arifngk</v>
      </c>
      <c r="C32213" s="8" t="s">
        <v>11661</v>
      </c>
      <c r="D32213" s="8">
        <v>4</v>
      </c>
      <c r="E32213" s="8">
        <v>0</v>
      </c>
      <c r="F32213" s="8">
        <v>508</v>
      </c>
    </row>
    <row r="32214" spans="1:6" ht="12.75">
      <c r="A32214" s="8">
        <v>43890.08520833333</v>
      </c>
      <c r="B32214" s="8" t="str">
        <f>HYPERLINK("https://twitter.com/joezenzie","@joezenzie")</f>
        <v>@joezenzie</v>
      </c>
      <c r="C32214" s="8" t="s">
        <v>11329</v>
      </c>
      <c r="D32214" s="8">
        <v>2</v>
      </c>
      <c r="E32214" s="8">
        <v>0</v>
      </c>
      <c r="F32214" s="8">
        <v>1390</v>
      </c>
    </row>
    <row r="32215" spans="1:6" ht="12.75">
      <c r="A32215" s="8">
        <v>43890.084351851852</v>
      </c>
      <c r="B32215" s="8" t="str">
        <f>HYPERLINK("https://twitter.com/republikaonline","@republikaonline")</f>
        <v>@republikaonline</v>
      </c>
      <c r="C32215" s="8" t="s">
        <v>12124</v>
      </c>
      <c r="D32215" s="8">
        <v>0</v>
      </c>
      <c r="E32215" s="8">
        <v>0</v>
      </c>
      <c r="F32215" s="8">
        <v>1215485</v>
      </c>
    </row>
    <row r="32216" spans="1:6" ht="12.75">
      <c r="A32216" s="8">
        <v>43890.084340277783</v>
      </c>
      <c r="B32216" s="8" t="str">
        <f>HYPERLINK("https://twitter.com/OnneL76","@OnneL76")</f>
        <v>@OnneL76</v>
      </c>
      <c r="C32216" s="8" t="s">
        <v>9768</v>
      </c>
      <c r="D32216" s="8">
        <v>82</v>
      </c>
      <c r="E32216" s="8">
        <v>0</v>
      </c>
      <c r="F32216" s="8">
        <v>252</v>
      </c>
    </row>
    <row r="32217" spans="1:6" ht="12.75">
      <c r="A32217" s="8">
        <v>43890.084108796298</v>
      </c>
      <c r="B32217" s="8" t="str">
        <f>HYPERLINK("https://twitter.com/OposisiCerdas","@OposisiCerdas")</f>
        <v>@OposisiCerdas</v>
      </c>
      <c r="C32217" s="8" t="s">
        <v>10883</v>
      </c>
      <c r="D32217" s="8">
        <v>2</v>
      </c>
      <c r="E32217" s="8">
        <v>7</v>
      </c>
      <c r="F32217" s="8">
        <v>17350</v>
      </c>
    </row>
    <row r="32218" spans="1:6" ht="12.75">
      <c r="A32218" s="8">
        <v>43890.084074074075</v>
      </c>
      <c r="B32218" s="8" t="str">
        <f>HYPERLINK("https://twitter.com/Ozie96036369","@Ozie96036369")</f>
        <v>@Ozie96036369</v>
      </c>
      <c r="C32218" s="8" t="s">
        <v>10743</v>
      </c>
      <c r="D32218" s="8">
        <v>82</v>
      </c>
      <c r="E32218" s="8">
        <v>0</v>
      </c>
      <c r="F32218" s="8">
        <v>95</v>
      </c>
    </row>
    <row r="32219" spans="1:6" ht="12.75">
      <c r="A32219" s="8">
        <v>43890.083726851852</v>
      </c>
      <c r="B32219" s="8" t="str">
        <f>HYPERLINK("https://twitter.com/DhenAbie","@DhenAbie")</f>
        <v>@DhenAbie</v>
      </c>
      <c r="C32219" s="8" t="s">
        <v>12125</v>
      </c>
      <c r="D32219" s="8">
        <v>64</v>
      </c>
      <c r="E32219" s="8">
        <v>0</v>
      </c>
      <c r="F32219" s="8">
        <v>200</v>
      </c>
    </row>
    <row r="32220" spans="1:6" ht="12.75">
      <c r="A32220" s="8">
        <v>43890.08320601852</v>
      </c>
      <c r="B32220" s="8" t="str">
        <f>HYPERLINK("https://twitter.com/simonelopes05","@simonelopes05")</f>
        <v>@simonelopes05</v>
      </c>
      <c r="C32220" s="8" t="s">
        <v>12126</v>
      </c>
      <c r="D32220" s="8">
        <v>0</v>
      </c>
      <c r="E32220" s="8">
        <v>0</v>
      </c>
      <c r="F32220" s="8">
        <v>417</v>
      </c>
    </row>
    <row r="32221" spans="1:6" ht="12.75">
      <c r="A32221" s="8">
        <v>43890.082546296297</v>
      </c>
      <c r="B32221" s="8" t="str">
        <f>HYPERLINK("https://twitter.com/fajar17","@fajar17")</f>
        <v>@fajar17</v>
      </c>
      <c r="C32221" s="8" t="s">
        <v>12127</v>
      </c>
      <c r="D32221" s="8">
        <v>0</v>
      </c>
      <c r="E32221" s="8">
        <v>0</v>
      </c>
      <c r="F32221" s="8">
        <v>35906</v>
      </c>
    </row>
    <row r="32222" spans="1:6" ht="12.75">
      <c r="A32222" s="8">
        <v>43890.082407407404</v>
      </c>
      <c r="B32222" s="8" t="str">
        <f>HYPERLINK("https://twitter.com/laodesahrulan","@laodesahrulan")</f>
        <v>@laodesahrulan</v>
      </c>
      <c r="C32222" s="8" t="s">
        <v>6490</v>
      </c>
      <c r="D32222" s="8">
        <v>142</v>
      </c>
      <c r="E32222" s="8">
        <v>0</v>
      </c>
      <c r="F32222" s="8">
        <v>703</v>
      </c>
    </row>
    <row r="32223" spans="1:6" ht="12.75">
      <c r="A32223" s="8">
        <v>43890.081701388888</v>
      </c>
      <c r="B32223" s="8" t="str">
        <f>HYPERLINK("https://twitter.com/WidiartaWirawan","@WidiartaWirawan")</f>
        <v>@WidiartaWirawan</v>
      </c>
      <c r="C32223" s="8" t="s">
        <v>11661</v>
      </c>
      <c r="D32223" s="8">
        <v>4</v>
      </c>
      <c r="E32223" s="8">
        <v>0</v>
      </c>
      <c r="F32223" s="8">
        <v>1287</v>
      </c>
    </row>
    <row r="32224" spans="1:6" ht="12.75">
      <c r="A32224" s="8">
        <v>43890.081550925926</v>
      </c>
      <c r="B32224" s="8" t="str">
        <f>HYPERLINK("https://twitter.com/JohnZEddi1","@JohnZEddi1")</f>
        <v>@JohnZEddi1</v>
      </c>
      <c r="C32224" s="8" t="s">
        <v>4235</v>
      </c>
      <c r="D32224" s="8">
        <v>524</v>
      </c>
      <c r="E32224" s="8">
        <v>0</v>
      </c>
      <c r="F32224" s="8">
        <v>1465</v>
      </c>
    </row>
    <row r="32225" spans="1:6" ht="12.75">
      <c r="A32225" s="8">
        <v>43890.081539351857</v>
      </c>
      <c r="B32225" s="8" t="str">
        <f>HYPERLINK("https://twitter.com/q___cilik","@q___cilik")</f>
        <v>@q___cilik</v>
      </c>
      <c r="C32225" s="8" t="s">
        <v>11661</v>
      </c>
      <c r="D32225" s="8">
        <v>4</v>
      </c>
      <c r="E32225" s="8">
        <v>0</v>
      </c>
      <c r="F32225" s="8">
        <v>2631</v>
      </c>
    </row>
    <row r="32226" spans="1:6" ht="12.75">
      <c r="A32226" s="8">
        <v>43890.081145833334</v>
      </c>
      <c r="B32226" s="8" t="str">
        <f>HYPERLINK("https://twitter.com/_Thiscreamynasi","@_Thiscreamynasi")</f>
        <v>@_Thiscreamynasi</v>
      </c>
      <c r="C32226" s="8" t="s">
        <v>12128</v>
      </c>
      <c r="D32226" s="8">
        <v>0</v>
      </c>
      <c r="E32226" s="8">
        <v>0</v>
      </c>
      <c r="F32226" s="8">
        <v>1106</v>
      </c>
    </row>
    <row r="32227" spans="1:6" ht="12.75">
      <c r="A32227" s="8">
        <v>43890.081087962964</v>
      </c>
      <c r="B32227" s="8" t="str">
        <f>HYPERLINK("https://twitter.com/Officialnahush1","@Officialnahush1")</f>
        <v>@Officialnahush1</v>
      </c>
      <c r="C32227" s="8" t="s">
        <v>12129</v>
      </c>
      <c r="D32227" s="8">
        <v>0</v>
      </c>
      <c r="E32227" s="8">
        <v>0</v>
      </c>
      <c r="F32227" s="8">
        <v>136</v>
      </c>
    </row>
    <row r="32228" spans="1:6" ht="12.75">
      <c r="A32228" s="8">
        <v>43890.080682870372</v>
      </c>
      <c r="B32228" s="8" t="str">
        <f>HYPERLINK("https://twitter.com/arifhdyanto","@arifhdyanto")</f>
        <v>@arifhdyanto</v>
      </c>
      <c r="C32228" s="8" t="s">
        <v>10755</v>
      </c>
      <c r="D32228" s="8">
        <v>559</v>
      </c>
      <c r="E32228" s="8">
        <v>0</v>
      </c>
      <c r="F32228" s="8">
        <v>116</v>
      </c>
    </row>
    <row r="32229" spans="1:6" ht="12.75">
      <c r="A32229" s="8">
        <v>43890.080671296295</v>
      </c>
      <c r="B32229" s="8" t="str">
        <f>HYPERLINK("https://twitter.com/AliLenon1","@AliLenon1")</f>
        <v>@AliLenon1</v>
      </c>
      <c r="C32229" s="8" t="s">
        <v>11661</v>
      </c>
      <c r="D32229" s="8">
        <v>4</v>
      </c>
      <c r="E32229" s="8">
        <v>0</v>
      </c>
      <c r="F32229" s="8">
        <v>1241</v>
      </c>
    </row>
    <row r="32230" spans="1:6" ht="12.75">
      <c r="A32230" s="8">
        <v>43890.080613425926</v>
      </c>
      <c r="B32230" s="8" t="str">
        <f>HYPERLINK("https://twitter.com/NSaelaa","@NSaelaa")</f>
        <v>@NSaelaa</v>
      </c>
      <c r="C32230" s="8" t="s">
        <v>11663</v>
      </c>
      <c r="D32230" s="8">
        <v>0</v>
      </c>
      <c r="E32230" s="8">
        <v>0</v>
      </c>
      <c r="F32230" s="8">
        <v>24</v>
      </c>
    </row>
    <row r="32231" spans="1:6" ht="12.75">
      <c r="A32231" s="8">
        <v>43890.080393518518</v>
      </c>
      <c r="B32231" s="8" t="str">
        <f>HYPERLINK("https://twitter.com/mama_trigger","@mama_trigger")</f>
        <v>@mama_trigger</v>
      </c>
      <c r="C32231" s="8" t="s">
        <v>12130</v>
      </c>
      <c r="D32231" s="8">
        <v>0</v>
      </c>
      <c r="E32231" s="8">
        <v>0</v>
      </c>
      <c r="F32231" s="8">
        <v>213</v>
      </c>
    </row>
    <row r="32232" spans="1:6" ht="12.75">
      <c r="A32232" s="8">
        <v>43890.079722222217</v>
      </c>
      <c r="B32232" s="8" t="str">
        <f>HYPERLINK("https://twitter.com/mukhtaramar","@mukhtaramar")</f>
        <v>@mukhtaramar</v>
      </c>
      <c r="C32232" s="8" t="s">
        <v>11102</v>
      </c>
      <c r="D32232" s="8">
        <v>496</v>
      </c>
      <c r="E32232" s="8">
        <v>0</v>
      </c>
      <c r="F32232" s="8">
        <v>321</v>
      </c>
    </row>
    <row r="32233" spans="1:6" ht="12.75">
      <c r="A32233" s="8">
        <v>43890.079710648148</v>
      </c>
      <c r="B32233" s="8" t="str">
        <f>HYPERLINK("https://twitter.com/DhenAbie","@DhenAbie")</f>
        <v>@DhenAbie</v>
      </c>
      <c r="C32233" s="8" t="s">
        <v>11374</v>
      </c>
      <c r="D32233" s="8">
        <v>21</v>
      </c>
      <c r="E32233" s="8">
        <v>0</v>
      </c>
      <c r="F32233" s="8">
        <v>200</v>
      </c>
    </row>
    <row r="32234" spans="1:6" ht="12.75">
      <c r="A32234" s="8">
        <v>43890.079571759255</v>
      </c>
      <c r="B32234" s="8" t="str">
        <f>HYPERLINK("https://twitter.com/RezaMrc786","@RezaMrc786")</f>
        <v>@RezaMrc786</v>
      </c>
      <c r="C32234" s="8" t="s">
        <v>4235</v>
      </c>
      <c r="D32234" s="8">
        <v>524</v>
      </c>
      <c r="E32234" s="8">
        <v>0</v>
      </c>
      <c r="F32234" s="8">
        <v>292</v>
      </c>
    </row>
    <row r="32235" spans="1:6" ht="12.75">
      <c r="A32235" s="8">
        <v>43890.079201388886</v>
      </c>
      <c r="B32235" s="8" t="str">
        <f>HYPERLINK("https://twitter.com/BruceEmond","@BruceEmond")</f>
        <v>@BruceEmond</v>
      </c>
      <c r="C32235" s="8" t="s">
        <v>12131</v>
      </c>
      <c r="D32235" s="8">
        <v>1</v>
      </c>
      <c r="E32235" s="8">
        <v>2</v>
      </c>
      <c r="F32235" s="8">
        <v>27810</v>
      </c>
    </row>
    <row r="32236" spans="1:6" ht="12.75">
      <c r="A32236" s="8">
        <v>43890.079143518524</v>
      </c>
      <c r="B32236" s="8" t="str">
        <f>HYPERLINK("https://twitter.com/DMainovel","@DMainovel")</f>
        <v>@DMainovel</v>
      </c>
      <c r="C32236" s="8" t="s">
        <v>4235</v>
      </c>
      <c r="D32236" s="8">
        <v>524</v>
      </c>
      <c r="E32236" s="8">
        <v>0</v>
      </c>
      <c r="F32236" s="8">
        <v>946</v>
      </c>
    </row>
    <row r="32237" spans="1:6" ht="12.75">
      <c r="A32237" s="8">
        <v>43890.078796296293</v>
      </c>
      <c r="B32237" s="8" t="str">
        <f>HYPERLINK("https://twitter.com/Asep62606910","@Asep62606910")</f>
        <v>@Asep62606910</v>
      </c>
      <c r="C32237" s="8" t="s">
        <v>4235</v>
      </c>
      <c r="D32237" s="8">
        <v>524</v>
      </c>
      <c r="E32237" s="8">
        <v>0</v>
      </c>
      <c r="F32237" s="8">
        <v>296</v>
      </c>
    </row>
    <row r="32238" spans="1:6" ht="12.75">
      <c r="A32238" s="8">
        <v>43890.078263888892</v>
      </c>
      <c r="B32238" s="8" t="str">
        <f>HYPERLINK("https://twitter.com/wedy_dmm","@wedy_dmm")</f>
        <v>@wedy_dmm</v>
      </c>
      <c r="C32238" s="8" t="s">
        <v>4235</v>
      </c>
      <c r="D32238" s="8">
        <v>524</v>
      </c>
      <c r="E32238" s="8">
        <v>0</v>
      </c>
      <c r="F32238" s="8">
        <v>508</v>
      </c>
    </row>
    <row r="32239" spans="1:6" ht="12.75">
      <c r="A32239" s="8">
        <v>43890.078090277777</v>
      </c>
      <c r="B32239" s="8" t="str">
        <f>HYPERLINK("https://twitter.com/KarloSevilla","@KarloSevilla")</f>
        <v>@KarloSevilla</v>
      </c>
      <c r="C32239" s="8" t="s">
        <v>12132</v>
      </c>
      <c r="D32239" s="8">
        <v>0</v>
      </c>
      <c r="E32239" s="8">
        <v>1</v>
      </c>
      <c r="F32239" s="8">
        <v>2282</v>
      </c>
    </row>
    <row r="32240" spans="1:6" ht="12.75">
      <c r="A32240" s="8">
        <v>43890.077638888892</v>
      </c>
      <c r="B32240" s="8" t="str">
        <f>HYPERLINK("https://twitter.com/nabeelhakim18","@nabeelhakim18")</f>
        <v>@nabeelhakim18</v>
      </c>
      <c r="C32240" s="8" t="s">
        <v>11102</v>
      </c>
      <c r="D32240" s="8">
        <v>496</v>
      </c>
      <c r="E32240" s="8">
        <v>0</v>
      </c>
      <c r="F32240" s="8">
        <v>297</v>
      </c>
    </row>
    <row r="32241" spans="1:6" ht="12.75">
      <c r="A32241" s="8">
        <v>43890.077546296292</v>
      </c>
      <c r="B32241" s="8" t="str">
        <f>HYPERLINK("https://twitter.com/P3nj3l4j4h_id","@P3nj3l4j4h_id")</f>
        <v>@P3nj3l4j4h_id</v>
      </c>
      <c r="C32241" s="8" t="s">
        <v>12133</v>
      </c>
      <c r="D32241" s="8">
        <v>4</v>
      </c>
      <c r="E32241" s="8">
        <v>7</v>
      </c>
      <c r="F32241" s="8">
        <v>16076</v>
      </c>
    </row>
    <row r="32242" spans="1:6" ht="12.75">
      <c r="A32242" s="8">
        <v>43890.077476851853</v>
      </c>
      <c r="B32242" s="8" t="str">
        <f>HYPERLINK("https://twitter.com/DSjogja","@DSjogja")</f>
        <v>@DSjogja</v>
      </c>
      <c r="C32242" s="8" t="s">
        <v>4235</v>
      </c>
      <c r="D32242" s="8">
        <v>524</v>
      </c>
      <c r="E32242" s="8">
        <v>0</v>
      </c>
      <c r="F32242" s="8">
        <v>1154</v>
      </c>
    </row>
    <row r="32243" spans="1:6" ht="12.75">
      <c r="A32243" s="8">
        <v>43890.076944444445</v>
      </c>
      <c r="B32243" s="8" t="str">
        <f>HYPERLINK("https://twitter.com/ManumpakM","@ManumpakM")</f>
        <v>@ManumpakM</v>
      </c>
      <c r="C32243" s="8" t="s">
        <v>11589</v>
      </c>
      <c r="D32243" s="8">
        <v>103</v>
      </c>
      <c r="E32243" s="8">
        <v>0</v>
      </c>
      <c r="F32243" s="8">
        <v>11729</v>
      </c>
    </row>
    <row r="32244" spans="1:6" ht="12.75">
      <c r="A32244" s="8">
        <v>43890.075381944444</v>
      </c>
      <c r="B32244" s="8" t="str">
        <f>HYPERLINK("https://twitter.com/dinodachi03","@dinodachi03")</f>
        <v>@dinodachi03</v>
      </c>
      <c r="C32244" s="8" t="s">
        <v>12065</v>
      </c>
      <c r="D32244" s="8">
        <v>73</v>
      </c>
      <c r="E32244" s="8">
        <v>0</v>
      </c>
      <c r="F32244" s="8">
        <v>1001</v>
      </c>
    </row>
    <row r="32245" spans="1:6" ht="12.75">
      <c r="A32245" s="8">
        <v>43890.075092592597</v>
      </c>
      <c r="B32245" s="8" t="str">
        <f>HYPERLINK("https://twitter.com/soara_id","@soara_id")</f>
        <v>@soara_id</v>
      </c>
      <c r="C32245" s="8" t="s">
        <v>6836</v>
      </c>
      <c r="D32245" s="8">
        <v>123</v>
      </c>
      <c r="E32245" s="8">
        <v>0</v>
      </c>
      <c r="F32245" s="8">
        <v>796</v>
      </c>
    </row>
    <row r="32246" spans="1:6" ht="12.75">
      <c r="A32246" s="8">
        <v>43890.074108796296</v>
      </c>
      <c r="B32246" s="8" t="str">
        <f>HYPERLINK("https://twitter.com/nastytea71","@nastytea71")</f>
        <v>@nastytea71</v>
      </c>
      <c r="C32246" s="8" t="s">
        <v>6836</v>
      </c>
      <c r="D32246" s="8">
        <v>123</v>
      </c>
      <c r="E32246" s="8">
        <v>0</v>
      </c>
      <c r="F32246" s="8">
        <v>78</v>
      </c>
    </row>
    <row r="32247" spans="1:6" ht="12.75">
      <c r="A32247" s="8">
        <v>43890.073136574079</v>
      </c>
      <c r="B32247" s="8" t="str">
        <f>HYPERLINK("https://twitter.com/myidviri","@myidviri")</f>
        <v>@myidviri</v>
      </c>
      <c r="C32247" s="8" t="s">
        <v>4235</v>
      </c>
      <c r="D32247" s="8">
        <v>524</v>
      </c>
      <c r="E32247" s="8">
        <v>0</v>
      </c>
      <c r="F32247" s="8">
        <v>582</v>
      </c>
    </row>
    <row r="32248" spans="1:6" ht="12.75">
      <c r="A32248" s="8">
        <v>43890.072384259256</v>
      </c>
      <c r="B32248" s="8" t="str">
        <f>HYPERLINK("https://twitter.com/aframadhany","@aframadhany")</f>
        <v>@aframadhany</v>
      </c>
      <c r="C32248" s="8" t="s">
        <v>12134</v>
      </c>
      <c r="D32248" s="8">
        <v>0</v>
      </c>
      <c r="E32248" s="8">
        <v>0</v>
      </c>
      <c r="F32248" s="8">
        <v>129</v>
      </c>
    </row>
    <row r="32249" spans="1:6" ht="12.75">
      <c r="A32249" s="8">
        <v>43890.072175925925</v>
      </c>
      <c r="B32249" s="8" t="str">
        <f>HYPERLINK("https://twitter.com/JOINLampung","@JOINLampung")</f>
        <v>@JOINLampung</v>
      </c>
      <c r="C32249" s="8" t="s">
        <v>12077</v>
      </c>
      <c r="D32249" s="8">
        <v>23</v>
      </c>
      <c r="E32249" s="8">
        <v>0</v>
      </c>
      <c r="F32249" s="8">
        <v>7599</v>
      </c>
    </row>
    <row r="32250" spans="1:6" ht="12.75">
      <c r="A32250" s="8">
        <v>43890.072060185186</v>
      </c>
      <c r="B32250" s="8" t="str">
        <f>HYPERLINK("https://twitter.com/Dadodad59834626","@Dadodad59834626")</f>
        <v>@Dadodad59834626</v>
      </c>
      <c r="C32250" s="8" t="s">
        <v>4235</v>
      </c>
      <c r="D32250" s="8">
        <v>524</v>
      </c>
      <c r="E32250" s="8">
        <v>0</v>
      </c>
      <c r="F32250" s="8">
        <v>285</v>
      </c>
    </row>
    <row r="32251" spans="1:6" ht="12.75">
      <c r="A32251" s="8">
        <v>43890.070902777778</v>
      </c>
      <c r="B32251" s="8" t="str">
        <f>HYPERLINK("https://twitter.com/dachoisen1","@dachoisen1")</f>
        <v>@dachoisen1</v>
      </c>
      <c r="C32251" s="8" t="s">
        <v>11102</v>
      </c>
      <c r="D32251" s="8">
        <v>496</v>
      </c>
      <c r="E32251" s="8">
        <v>0</v>
      </c>
      <c r="F32251" s="8">
        <v>878</v>
      </c>
    </row>
    <row r="32252" spans="1:6" ht="12.75">
      <c r="A32252" s="8">
        <v>43890.070902777778</v>
      </c>
      <c r="B32252" s="8" t="str">
        <f>HYPERLINK("https://twitter.com/AnglingBagus","@AnglingBagus")</f>
        <v>@AnglingBagus</v>
      </c>
      <c r="C32252" s="8" t="s">
        <v>4235</v>
      </c>
      <c r="D32252" s="8">
        <v>524</v>
      </c>
      <c r="E32252" s="8">
        <v>0</v>
      </c>
      <c r="F32252" s="8">
        <v>174</v>
      </c>
    </row>
    <row r="32253" spans="1:6" ht="12.75">
      <c r="A32253" s="8">
        <v>43890.0703125</v>
      </c>
      <c r="B32253" s="8" t="str">
        <f>HYPERLINK("https://twitter.com/RezimTongkol1","@RezimTongkol1")</f>
        <v>@RezimTongkol1</v>
      </c>
      <c r="C32253" s="8" t="s">
        <v>11729</v>
      </c>
      <c r="D32253" s="8">
        <v>7</v>
      </c>
      <c r="E32253" s="8">
        <v>0</v>
      </c>
      <c r="F32253" s="8">
        <v>341</v>
      </c>
    </row>
    <row r="32254" spans="1:6" ht="12.75">
      <c r="A32254" s="8">
        <v>43890.068935185191</v>
      </c>
      <c r="B32254" s="8" t="str">
        <f>HYPERLINK("https://twitter.com/becak125cc","@becak125cc")</f>
        <v>@becak125cc</v>
      </c>
      <c r="C32254" s="8" t="s">
        <v>12056</v>
      </c>
      <c r="D32254" s="8">
        <v>47</v>
      </c>
      <c r="E32254" s="8">
        <v>0</v>
      </c>
      <c r="F32254" s="8">
        <v>535</v>
      </c>
    </row>
    <row r="32255" spans="1:6" ht="12.75">
      <c r="A32255" s="8">
        <v>43890.068518518514</v>
      </c>
      <c r="B32255" s="8" t="str">
        <f>HYPERLINK("https://twitter.com/sukatanyaj","@sukatanyaj")</f>
        <v>@sukatanyaj</v>
      </c>
      <c r="C32255" s="8" t="s">
        <v>6490</v>
      </c>
      <c r="D32255" s="8">
        <v>142</v>
      </c>
      <c r="E32255" s="8">
        <v>0</v>
      </c>
      <c r="F32255" s="8">
        <v>5690</v>
      </c>
    </row>
    <row r="32256" spans="1:6" ht="12.75">
      <c r="A32256" s="8">
        <v>43890.068414351852</v>
      </c>
      <c r="B32256" s="8" t="str">
        <f>HYPERLINK("https://twitter.com/raden_afi","@raden_afi")</f>
        <v>@raden_afi</v>
      </c>
      <c r="C32256" s="8" t="s">
        <v>10755</v>
      </c>
      <c r="D32256" s="8">
        <v>559</v>
      </c>
      <c r="E32256" s="8">
        <v>0</v>
      </c>
      <c r="F32256" s="8">
        <v>540</v>
      </c>
    </row>
    <row r="32257" spans="1:6" ht="12.75">
      <c r="A32257" s="8">
        <v>43890.067430555559</v>
      </c>
      <c r="B32257" s="8" t="str">
        <f>HYPERLINK("https://twitter.com/Blacktwit27","@Blacktwit27")</f>
        <v>@Blacktwit27</v>
      </c>
      <c r="C32257" s="8" t="s">
        <v>4235</v>
      </c>
      <c r="D32257" s="8">
        <v>524</v>
      </c>
      <c r="E32257" s="8">
        <v>0</v>
      </c>
      <c r="F32257" s="8">
        <v>84</v>
      </c>
    </row>
    <row r="32258" spans="1:6" ht="12.75">
      <c r="A32258" s="8">
        <v>43890.066875000004</v>
      </c>
      <c r="B32258" s="8" t="str">
        <f>HYPERLINK("https://twitter.com/satrianaga","@satrianaga")</f>
        <v>@satrianaga</v>
      </c>
      <c r="C32258" s="8" t="s">
        <v>6836</v>
      </c>
      <c r="D32258" s="8">
        <v>123</v>
      </c>
      <c r="E32258" s="8">
        <v>0</v>
      </c>
      <c r="F32258" s="8">
        <v>318</v>
      </c>
    </row>
    <row r="32259" spans="1:6" ht="12.75">
      <c r="A32259" s="8">
        <v>43890.066377314812</v>
      </c>
      <c r="B32259" s="8" t="str">
        <f>HYPERLINK("https://twitter.com/Artdityarizky","@Artdityarizky")</f>
        <v>@Artdityarizky</v>
      </c>
      <c r="C32259" s="8" t="s">
        <v>10755</v>
      </c>
      <c r="D32259" s="8">
        <v>559</v>
      </c>
      <c r="E32259" s="8">
        <v>0</v>
      </c>
      <c r="F32259" s="8">
        <v>156</v>
      </c>
    </row>
    <row r="32260" spans="1:6" ht="12.75">
      <c r="A32260" s="8">
        <v>43890.066296296296</v>
      </c>
      <c r="B32260" s="8" t="str">
        <f>HYPERLINK("https://twitter.com/JagBet_","@JagBet_")</f>
        <v>@JagBet_</v>
      </c>
      <c r="C32260" s="8" t="s">
        <v>12135</v>
      </c>
      <c r="D32260" s="8">
        <v>22</v>
      </c>
      <c r="E32260" s="8">
        <v>0</v>
      </c>
      <c r="F32260" s="8">
        <v>942</v>
      </c>
    </row>
    <row r="32261" spans="1:6" ht="12.75">
      <c r="A32261" s="8">
        <v>43890.066261574073</v>
      </c>
      <c r="B32261" s="8" t="str">
        <f>HYPERLINK("https://twitter.com/sukatanyaj","@sukatanyaj")</f>
        <v>@sukatanyaj</v>
      </c>
      <c r="C32261" s="8" t="s">
        <v>4235</v>
      </c>
      <c r="D32261" s="8">
        <v>524</v>
      </c>
      <c r="E32261" s="8">
        <v>0</v>
      </c>
      <c r="F32261" s="8">
        <v>5690</v>
      </c>
    </row>
    <row r="32262" spans="1:6" ht="12.75">
      <c r="A32262" s="8">
        <v>43890.066122685181</v>
      </c>
      <c r="B32262" s="8" t="str">
        <f>HYPERLINK("https://twitter.com/andikawsaputra","@andikawsaputra")</f>
        <v>@andikawsaputra</v>
      </c>
      <c r="C32262" s="8" t="s">
        <v>12136</v>
      </c>
      <c r="D32262" s="8">
        <v>0</v>
      </c>
      <c r="E32262" s="8">
        <v>0</v>
      </c>
      <c r="F32262" s="8">
        <v>18</v>
      </c>
    </row>
    <row r="32263" spans="1:6" ht="12.75">
      <c r="A32263" s="8">
        <v>43890.065821759257</v>
      </c>
      <c r="B32263" s="8" t="str">
        <f>HYPERLINK("https://twitter.com/satrianaga","@satrianaga")</f>
        <v>@satrianaga</v>
      </c>
      <c r="C32263" s="8" t="s">
        <v>4235</v>
      </c>
      <c r="D32263" s="8">
        <v>524</v>
      </c>
      <c r="E32263" s="8">
        <v>0</v>
      </c>
      <c r="F32263" s="8">
        <v>318</v>
      </c>
    </row>
    <row r="32264" spans="1:6" ht="12.75">
      <c r="A32264" s="8">
        <v>43890.065555555557</v>
      </c>
      <c r="B32264" s="8" t="str">
        <f>HYPERLINK("https://twitter.com/PrakosoMagung","@PrakosoMagung")</f>
        <v>@PrakosoMagung</v>
      </c>
      <c r="C32264" s="8" t="s">
        <v>12137</v>
      </c>
      <c r="D32264" s="8">
        <v>0</v>
      </c>
      <c r="E32264" s="8">
        <v>0</v>
      </c>
      <c r="F32264" s="8">
        <v>4</v>
      </c>
    </row>
    <row r="32265" spans="1:6" ht="12.75">
      <c r="A32265" s="8">
        <v>43890.064479166671</v>
      </c>
      <c r="B32265" s="8" t="str">
        <f>HYPERLINK("https://twitter.com/TrioMacari2000","@TrioMacari2000")</f>
        <v>@TrioMacari2000</v>
      </c>
      <c r="C32265" s="8" t="s">
        <v>6836</v>
      </c>
      <c r="D32265" s="8">
        <v>123</v>
      </c>
      <c r="E32265" s="8">
        <v>0</v>
      </c>
      <c r="F32265" s="8">
        <v>6526</v>
      </c>
    </row>
    <row r="32266" spans="1:6" ht="12.75">
      <c r="A32266" s="8">
        <v>43890.064386574071</v>
      </c>
      <c r="B32266" s="8" t="str">
        <f>HYPERLINK("https://twitter.com/beza_simamora","@beza_simamora")</f>
        <v>@beza_simamora</v>
      </c>
      <c r="C32266" s="8" t="s">
        <v>12138</v>
      </c>
      <c r="D32266" s="8">
        <v>0</v>
      </c>
      <c r="E32266" s="8">
        <v>0</v>
      </c>
      <c r="F32266" s="8">
        <v>156</v>
      </c>
    </row>
    <row r="32267" spans="1:6" ht="12.75">
      <c r="A32267" s="8">
        <v>43890.063993055555</v>
      </c>
      <c r="B32267" s="8" t="str">
        <f>HYPERLINK("https://twitter.com/acehsatumedia","@acehsatumedia")</f>
        <v>@acehsatumedia</v>
      </c>
      <c r="C32267" s="8" t="s">
        <v>12139</v>
      </c>
      <c r="D32267" s="8">
        <v>0</v>
      </c>
      <c r="E32267" s="8">
        <v>0</v>
      </c>
      <c r="F32267" s="8">
        <v>1083</v>
      </c>
    </row>
    <row r="32268" spans="1:6" ht="12.75">
      <c r="A32268" s="8">
        <v>43890.063298611116</v>
      </c>
      <c r="B32268" s="8" t="str">
        <f>HYPERLINK("https://twitter.com/nittrrrr","@nittrrrr")</f>
        <v>@nittrrrr</v>
      </c>
      <c r="C32268" s="8" t="s">
        <v>12140</v>
      </c>
      <c r="D32268" s="8">
        <v>0</v>
      </c>
      <c r="E32268" s="8">
        <v>0</v>
      </c>
      <c r="F32268" s="8">
        <v>20</v>
      </c>
    </row>
    <row r="32269" spans="1:6" ht="12.75">
      <c r="A32269" s="8">
        <v>43890.063171296293</v>
      </c>
      <c r="B32269" s="8" t="str">
        <f>HYPERLINK("https://twitter.com/FaiverW01","@FaiverW01")</f>
        <v>@FaiverW01</v>
      </c>
      <c r="C32269" s="8" t="s">
        <v>12141</v>
      </c>
      <c r="D32269" s="8">
        <v>5</v>
      </c>
      <c r="E32269" s="8">
        <v>0</v>
      </c>
      <c r="F32269" s="8">
        <v>2</v>
      </c>
    </row>
    <row r="32270" spans="1:6" ht="12.75">
      <c r="A32270" s="8">
        <v>43890.062407407408</v>
      </c>
      <c r="B32270" s="8" t="str">
        <f>HYPERLINK("https://twitter.com/sudjatmiko_seto","@sudjatmiko_seto")</f>
        <v>@sudjatmiko_seto</v>
      </c>
      <c r="C32270" s="8" t="s">
        <v>11729</v>
      </c>
      <c r="D32270" s="8">
        <v>7</v>
      </c>
      <c r="E32270" s="8">
        <v>0</v>
      </c>
      <c r="F32270" s="8">
        <v>792</v>
      </c>
    </row>
    <row r="32271" spans="1:6" ht="12.75">
      <c r="A32271" s="8">
        <v>43890.0621412037</v>
      </c>
      <c r="B32271" s="8" t="str">
        <f>HYPERLINK("https://twitter.com/Hardi74507117","@Hardi74507117")</f>
        <v>@Hardi74507117</v>
      </c>
      <c r="C32271" s="8" t="s">
        <v>4235</v>
      </c>
      <c r="D32271" s="8">
        <v>524</v>
      </c>
      <c r="E32271" s="8">
        <v>0</v>
      </c>
      <c r="F32271" s="8">
        <v>117</v>
      </c>
    </row>
    <row r="32272" spans="1:6" ht="12.75">
      <c r="A32272" s="8">
        <v>43890.061782407407</v>
      </c>
      <c r="B32272" s="8" t="str">
        <f>HYPERLINK("https://twitter.com/Qonaah_Himmah","@Qonaah_Himmah")</f>
        <v>@Qonaah_Himmah</v>
      </c>
      <c r="C32272" s="8" t="s">
        <v>10755</v>
      </c>
      <c r="D32272" s="8">
        <v>559</v>
      </c>
      <c r="E32272" s="8">
        <v>0</v>
      </c>
      <c r="F32272" s="8">
        <v>1835</v>
      </c>
    </row>
    <row r="32273" spans="1:6" ht="12.75">
      <c r="A32273" s="8">
        <v>43890.061655092592</v>
      </c>
      <c r="B32273" s="8" t="str">
        <f>HYPERLINK("https://twitter.com/basabasix","@basabasix")</f>
        <v>@basabasix</v>
      </c>
      <c r="C32273" s="8" t="s">
        <v>12142</v>
      </c>
      <c r="D32273" s="8">
        <v>0</v>
      </c>
      <c r="E32273" s="8">
        <v>1</v>
      </c>
      <c r="F32273" s="8">
        <v>8236</v>
      </c>
    </row>
    <row r="32274" spans="1:6" ht="12.75">
      <c r="A32274" s="8">
        <v>43890.060543981483</v>
      </c>
      <c r="B32274" s="8" t="str">
        <f>HYPERLINK("https://twitter.com/beautydyah","@beautydyah")</f>
        <v>@beautydyah</v>
      </c>
      <c r="C32274" s="8" t="s">
        <v>4235</v>
      </c>
      <c r="D32274" s="8">
        <v>524</v>
      </c>
      <c r="E32274" s="8">
        <v>0</v>
      </c>
      <c r="F32274" s="8">
        <v>3392</v>
      </c>
    </row>
    <row r="32275" spans="1:6" ht="12.75">
      <c r="A32275" s="8">
        <v>43890.060416666667</v>
      </c>
      <c r="B32275" s="8" t="str">
        <f>HYPERLINK("https://twitter.com/Hendriksrtn","@Hendriksrtn")</f>
        <v>@Hendriksrtn</v>
      </c>
      <c r="C32275" s="8" t="s">
        <v>9768</v>
      </c>
      <c r="D32275" s="8">
        <v>82</v>
      </c>
      <c r="E32275" s="8">
        <v>0</v>
      </c>
      <c r="F32275" s="8">
        <v>450</v>
      </c>
    </row>
    <row r="32276" spans="1:6" ht="12.75">
      <c r="A32276" s="8">
        <v>43890.060092592597</v>
      </c>
      <c r="B32276" s="8" t="str">
        <f>HYPERLINK("https://twitter.com/muna_fiks","@muna_fiks")</f>
        <v>@muna_fiks</v>
      </c>
      <c r="C32276" s="8" t="s">
        <v>12143</v>
      </c>
      <c r="D32276" s="8">
        <v>329</v>
      </c>
      <c r="E32276" s="8">
        <v>0</v>
      </c>
      <c r="F32276" s="8">
        <v>175</v>
      </c>
    </row>
    <row r="32277" spans="1:6" ht="12.75">
      <c r="A32277" s="8">
        <v>43890.059965277775</v>
      </c>
      <c r="B32277" s="8" t="str">
        <f>HYPERLINK("https://twitter.com/faridariadno","@faridariadno")</f>
        <v>@faridariadno</v>
      </c>
      <c r="C32277" s="8" t="s">
        <v>9248</v>
      </c>
      <c r="D32277" s="8">
        <v>19</v>
      </c>
      <c r="E32277" s="8">
        <v>0</v>
      </c>
      <c r="F32277" s="8">
        <v>731</v>
      </c>
    </row>
    <row r="32278" spans="1:6" ht="12.75">
      <c r="A32278" s="8">
        <v>43890.059733796297</v>
      </c>
      <c r="B32278" s="8" t="str">
        <f>HYPERLINK("https://twitter.com/IhanafiahAli","@IhanafiahAli")</f>
        <v>@IhanafiahAli</v>
      </c>
      <c r="C32278" s="8" t="s">
        <v>6836</v>
      </c>
      <c r="D32278" s="8">
        <v>123</v>
      </c>
      <c r="E32278" s="8">
        <v>0</v>
      </c>
      <c r="F32278" s="8">
        <v>3592</v>
      </c>
    </row>
    <row r="32279" spans="1:6" ht="12.75">
      <c r="A32279" s="8">
        <v>43890.059571759259</v>
      </c>
      <c r="B32279" s="8" t="str">
        <f>HYPERLINK("https://twitter.com/masdanang","@masdanang")</f>
        <v>@masdanang</v>
      </c>
      <c r="C32279" s="8" t="s">
        <v>12144</v>
      </c>
      <c r="D32279" s="8">
        <v>0</v>
      </c>
      <c r="E32279" s="8">
        <v>0</v>
      </c>
      <c r="F32279" s="8">
        <v>425</v>
      </c>
    </row>
    <row r="32280" spans="1:6" ht="12.75">
      <c r="A32280" s="8">
        <v>43890.059120370366</v>
      </c>
      <c r="B32280" s="8" t="str">
        <f>HYPERLINK("https://twitter.com/uwaydugan","@uwaydugan")</f>
        <v>@uwaydugan</v>
      </c>
      <c r="C32280" s="8" t="s">
        <v>4235</v>
      </c>
      <c r="D32280" s="8">
        <v>524</v>
      </c>
      <c r="E32280" s="8">
        <v>0</v>
      </c>
      <c r="F32280" s="8">
        <v>1609</v>
      </c>
    </row>
    <row r="32281" spans="1:6" ht="12.75">
      <c r="A32281" s="8">
        <v>43890.05878472222</v>
      </c>
      <c r="B32281" s="8" t="str">
        <f>HYPERLINK("https://twitter.com/yanurdisah","@yanurdisah")</f>
        <v>@yanurdisah</v>
      </c>
      <c r="C32281" s="8" t="s">
        <v>10755</v>
      </c>
      <c r="D32281" s="8">
        <v>559</v>
      </c>
      <c r="E32281" s="8">
        <v>0</v>
      </c>
      <c r="F32281" s="8">
        <v>4920</v>
      </c>
    </row>
    <row r="32282" spans="1:6" ht="12.75">
      <c r="A32282" s="8">
        <v>43890.057581018518</v>
      </c>
      <c r="B32282" s="8" t="str">
        <f>HYPERLINK("https://twitter.com/FayyadhAtsauri","@FayyadhAtsauri")</f>
        <v>@FayyadhAtsauri</v>
      </c>
      <c r="C32282" s="8" t="s">
        <v>10755</v>
      </c>
      <c r="D32282" s="8">
        <v>559</v>
      </c>
      <c r="E32282" s="8">
        <v>0</v>
      </c>
      <c r="F32282" s="8">
        <v>237</v>
      </c>
    </row>
    <row r="32283" spans="1:6" ht="12.75">
      <c r="A32283" s="8">
        <v>43890.057280092587</v>
      </c>
      <c r="B32283" s="8" t="str">
        <f>HYPERLINK("https://twitter.com/hanaiv","@hanaiv")</f>
        <v>@hanaiv</v>
      </c>
      <c r="C32283" s="8" t="s">
        <v>12145</v>
      </c>
      <c r="D32283" s="8">
        <v>0</v>
      </c>
      <c r="E32283" s="8">
        <v>0</v>
      </c>
      <c r="F32283" s="8">
        <v>688</v>
      </c>
    </row>
    <row r="32284" spans="1:6" ht="12.75">
      <c r="A32284" s="8">
        <v>43890.057268518518</v>
      </c>
      <c r="B32284" s="8" t="str">
        <f>HYPERLINK("https://twitter.com/_marukyuu","@_marukyuu")</f>
        <v>@_marukyuu</v>
      </c>
      <c r="C32284" s="8" t="s">
        <v>11302</v>
      </c>
      <c r="D32284" s="8">
        <v>36</v>
      </c>
      <c r="E32284" s="8">
        <v>0</v>
      </c>
      <c r="F32284" s="8">
        <v>256</v>
      </c>
    </row>
    <row r="32285" spans="1:6" ht="12.75">
      <c r="A32285" s="8">
        <v>43890.057199074072</v>
      </c>
      <c r="B32285" s="8" t="str">
        <f>HYPERLINK("https://twitter.com/Edd51354072","@Edd51354072")</f>
        <v>@Edd51354072</v>
      </c>
      <c r="C32285" s="8" t="s">
        <v>12146</v>
      </c>
      <c r="D32285" s="8">
        <v>0</v>
      </c>
      <c r="E32285" s="8">
        <v>0</v>
      </c>
      <c r="F32285" s="8">
        <v>2</v>
      </c>
    </row>
    <row r="32286" spans="1:6" ht="12.75">
      <c r="A32286" s="8">
        <v>43890.056990740741</v>
      </c>
      <c r="B32286" s="8" t="str">
        <f>HYPERLINK("https://twitter.com/FarhanPutraWar1","@FarhanPutraWar1")</f>
        <v>@FarhanPutraWar1</v>
      </c>
      <c r="C32286" s="8" t="s">
        <v>11663</v>
      </c>
      <c r="D32286" s="8">
        <v>0</v>
      </c>
      <c r="E32286" s="8">
        <v>0</v>
      </c>
      <c r="F32286" s="8">
        <v>59</v>
      </c>
    </row>
    <row r="32287" spans="1:6" ht="12.75">
      <c r="A32287" s="8">
        <v>43890.056250000001</v>
      </c>
      <c r="B32287" s="8" t="str">
        <f>HYPERLINK("https://twitter.com/erika_sugandi","@erika_sugandi")</f>
        <v>@erika_sugandi</v>
      </c>
      <c r="C32287" s="8" t="s">
        <v>12147</v>
      </c>
      <c r="D32287" s="8">
        <v>0</v>
      </c>
      <c r="E32287" s="8">
        <v>0</v>
      </c>
      <c r="F32287" s="8">
        <v>18</v>
      </c>
    </row>
    <row r="32288" spans="1:6" ht="12.75">
      <c r="A32288" s="8">
        <v>43890.056099537032</v>
      </c>
      <c r="B32288" s="8" t="str">
        <f>HYPERLINK("https://twitter.com/SuwitoRobby","@SuwitoRobby")</f>
        <v>@SuwitoRobby</v>
      </c>
      <c r="C32288" s="8" t="s">
        <v>10755</v>
      </c>
      <c r="D32288" s="8">
        <v>559</v>
      </c>
      <c r="E32288" s="8">
        <v>0</v>
      </c>
      <c r="F32288" s="8">
        <v>2981</v>
      </c>
    </row>
    <row r="32289" spans="1:6" ht="12.75">
      <c r="A32289" s="8">
        <v>43890.055937500001</v>
      </c>
      <c r="B32289" s="8" t="str">
        <f>HYPERLINK("https://twitter.com/Nenisweety1","@Nenisweety1")</f>
        <v>@Nenisweety1</v>
      </c>
      <c r="C32289" s="8" t="s">
        <v>4235</v>
      </c>
      <c r="D32289" s="8">
        <v>524</v>
      </c>
      <c r="E32289" s="8">
        <v>0</v>
      </c>
      <c r="F32289" s="8">
        <v>250</v>
      </c>
    </row>
    <row r="32290" spans="1:6" ht="12.75">
      <c r="A32290" s="8">
        <v>43890.055798611109</v>
      </c>
      <c r="B32290" s="8" t="str">
        <f>HYPERLINK("https://twitter.com/zhzhsj8","@zhzhsj8")</f>
        <v>@zhzhsj8</v>
      </c>
      <c r="C32290" s="8" t="s">
        <v>12141</v>
      </c>
      <c r="D32290" s="8">
        <v>5</v>
      </c>
      <c r="E32290" s="8">
        <v>0</v>
      </c>
      <c r="F32290" s="8">
        <v>4</v>
      </c>
    </row>
    <row r="32291" spans="1:6" ht="12.75">
      <c r="A32291" s="8">
        <v>43890.055671296301</v>
      </c>
      <c r="B32291" s="8" t="str">
        <f>HYPERLINK("https://twitter.com/Bhojpuria5","@Bhojpuria5")</f>
        <v>@Bhojpuria5</v>
      </c>
      <c r="C32291" s="8" t="s">
        <v>12148</v>
      </c>
      <c r="D32291" s="8">
        <v>0</v>
      </c>
      <c r="E32291" s="8">
        <v>0</v>
      </c>
      <c r="F32291" s="8">
        <v>10</v>
      </c>
    </row>
    <row r="32292" spans="1:6" ht="12.75">
      <c r="A32292" s="8">
        <v>43890.055625000001</v>
      </c>
      <c r="B32292" s="8" t="str">
        <f>HYPERLINK("https://twitter.com/PrakosoMagung","@PrakosoMagung")</f>
        <v>@PrakosoMagung</v>
      </c>
      <c r="C32292" s="8" t="s">
        <v>12149</v>
      </c>
      <c r="D32292" s="8">
        <v>0</v>
      </c>
      <c r="E32292" s="8">
        <v>0</v>
      </c>
      <c r="F32292" s="8">
        <v>4</v>
      </c>
    </row>
    <row r="32293" spans="1:6" ht="12.75">
      <c r="A32293" s="8">
        <v>43890.055567129632</v>
      </c>
      <c r="B32293" s="8" t="str">
        <f>HYPERLINK("https://twitter.com/Alex27008156","@Alex27008156")</f>
        <v>@Alex27008156</v>
      </c>
      <c r="C32293" s="8" t="s">
        <v>4235</v>
      </c>
      <c r="D32293" s="8">
        <v>524</v>
      </c>
      <c r="E32293" s="8">
        <v>0</v>
      </c>
      <c r="F32293" s="8">
        <v>571</v>
      </c>
    </row>
    <row r="32294" spans="1:6" ht="12.75">
      <c r="A32294" s="8">
        <v>43890.055243055554</v>
      </c>
      <c r="B32294" s="8" t="str">
        <f>HYPERLINK("https://twitter.com/Ichwanzein","@Ichwanzein")</f>
        <v>@Ichwanzein</v>
      </c>
      <c r="C32294" s="8" t="s">
        <v>4235</v>
      </c>
      <c r="D32294" s="8">
        <v>524</v>
      </c>
      <c r="E32294" s="8">
        <v>0</v>
      </c>
      <c r="F32294" s="8">
        <v>770</v>
      </c>
    </row>
    <row r="32295" spans="1:6" ht="12.75">
      <c r="A32295" s="8">
        <v>43890.054965277777</v>
      </c>
      <c r="B32295" s="8" t="str">
        <f>HYPERLINK("https://twitter.com/axlrequiem","@axlrequiem")</f>
        <v>@axlrequiem</v>
      </c>
      <c r="C32295" s="8" t="s">
        <v>4235</v>
      </c>
      <c r="D32295" s="8">
        <v>524</v>
      </c>
      <c r="E32295" s="8">
        <v>0</v>
      </c>
      <c r="F32295" s="8">
        <v>110</v>
      </c>
    </row>
    <row r="32296" spans="1:6" ht="12.75">
      <c r="A32296" s="8">
        <v>43890.054965277777</v>
      </c>
      <c r="B32296" s="8" t="str">
        <f>HYPERLINK("https://twitter.com/Dedy_Haera","@Dedy_Haera")</f>
        <v>@Dedy_Haera</v>
      </c>
      <c r="C32296" s="8" t="s">
        <v>4235</v>
      </c>
      <c r="D32296" s="8">
        <v>524</v>
      </c>
      <c r="E32296" s="8">
        <v>0</v>
      </c>
      <c r="F32296" s="8">
        <v>3500</v>
      </c>
    </row>
    <row r="32297" spans="1:6" ht="12.75">
      <c r="A32297" s="8">
        <v>43890.054594907408</v>
      </c>
      <c r="B32297" s="8" t="str">
        <f>HYPERLINK("https://twitter.com/off_eats","@off_eats")</f>
        <v>@off_eats</v>
      </c>
      <c r="C32297" s="8" t="s">
        <v>10755</v>
      </c>
      <c r="D32297" s="8">
        <v>559</v>
      </c>
      <c r="E32297" s="8">
        <v>0</v>
      </c>
      <c r="F32297" s="8">
        <v>200</v>
      </c>
    </row>
    <row r="32298" spans="1:6" ht="12.75">
      <c r="A32298" s="8">
        <v>43890.054560185185</v>
      </c>
      <c r="B32298" s="8" t="str">
        <f>HYPERLINK("https://twitter.com/EmmySumangkut","@EmmySumangkut")</f>
        <v>@EmmySumangkut</v>
      </c>
      <c r="C32298" s="8" t="s">
        <v>6836</v>
      </c>
      <c r="D32298" s="8">
        <v>123</v>
      </c>
      <c r="E32298" s="8">
        <v>0</v>
      </c>
      <c r="F32298" s="8">
        <v>1310</v>
      </c>
    </row>
    <row r="32299" spans="1:6" ht="12.75">
      <c r="A32299" s="8">
        <v>43890.053981481484</v>
      </c>
      <c r="B32299" s="8" t="str">
        <f>HYPERLINK("https://twitter.com/CanDigawai","@CanDigawai")</f>
        <v>@CanDigawai</v>
      </c>
      <c r="C32299" s="8" t="s">
        <v>10755</v>
      </c>
      <c r="D32299" s="8">
        <v>559</v>
      </c>
      <c r="E32299" s="8">
        <v>0</v>
      </c>
      <c r="F32299" s="8">
        <v>1554</v>
      </c>
    </row>
    <row r="32300" spans="1:6" ht="12.75">
      <c r="A32300" s="8">
        <v>43890.053749999999</v>
      </c>
      <c r="B32300" s="8" t="str">
        <f>HYPERLINK("https://twitter.com/fakhriamiruddin","@fakhriamiruddin")</f>
        <v>@fakhriamiruddin</v>
      </c>
      <c r="C32300" s="8" t="s">
        <v>4235</v>
      </c>
      <c r="D32300" s="8">
        <v>524</v>
      </c>
      <c r="E32300" s="8">
        <v>0</v>
      </c>
      <c r="F32300" s="8">
        <v>161</v>
      </c>
    </row>
    <row r="32301" spans="1:6" ht="12.75">
      <c r="A32301" s="8">
        <v>43890.053310185191</v>
      </c>
      <c r="B32301" s="8" t="str">
        <f>HYPERLINK("https://twitter.com/tamagodss","@tamagodss")</f>
        <v>@tamagodss</v>
      </c>
      <c r="C32301" s="8" t="s">
        <v>11641</v>
      </c>
      <c r="D32301" s="8">
        <v>94</v>
      </c>
      <c r="E32301" s="8">
        <v>0</v>
      </c>
      <c r="F32301" s="8">
        <v>174</v>
      </c>
    </row>
    <row r="32302" spans="1:6" ht="12.75">
      <c r="A32302" s="8">
        <v>43890.052777777775</v>
      </c>
      <c r="B32302" s="8" t="str">
        <f>HYPERLINK("https://twitter.com/kuyabatok","@kuyabatok")</f>
        <v>@kuyabatok</v>
      </c>
      <c r="C32302" s="8" t="s">
        <v>10755</v>
      </c>
      <c r="D32302" s="8">
        <v>559</v>
      </c>
      <c r="E32302" s="8">
        <v>0</v>
      </c>
      <c r="F32302" s="8">
        <v>1178</v>
      </c>
    </row>
    <row r="32303" spans="1:6" ht="12.75">
      <c r="A32303" s="8">
        <v>43890.052407407406</v>
      </c>
      <c r="B32303" s="8" t="str">
        <f>HYPERLINK("https://twitter.com/ImReborn2","@ImReborn2")</f>
        <v>@ImReborn2</v>
      </c>
      <c r="C32303" s="8" t="s">
        <v>4235</v>
      </c>
      <c r="D32303" s="8">
        <v>524</v>
      </c>
      <c r="E32303" s="8">
        <v>0</v>
      </c>
      <c r="F32303" s="8">
        <v>119</v>
      </c>
    </row>
    <row r="32304" spans="1:6" ht="12.75">
      <c r="A32304" s="8">
        <v>43890.048159722224</v>
      </c>
      <c r="B32304" s="8" t="str">
        <f>HYPERLINK("https://twitter.com/penjagaaset","@penjagaaset")</f>
        <v>@penjagaaset</v>
      </c>
      <c r="C32304" s="8" t="s">
        <v>4235</v>
      </c>
      <c r="D32304" s="8">
        <v>488</v>
      </c>
      <c r="E32304" s="8">
        <v>0</v>
      </c>
      <c r="F32304" s="8">
        <v>198</v>
      </c>
    </row>
    <row r="32305" spans="1:6" ht="12.75">
      <c r="A32305" s="8">
        <v>43890.047326388885</v>
      </c>
      <c r="B32305" s="8" t="str">
        <f>HYPERLINK("https://twitter.com/Novelis11","@Novelis11")</f>
        <v>@Novelis11</v>
      </c>
      <c r="C32305" s="8" t="s">
        <v>12150</v>
      </c>
      <c r="D32305" s="8">
        <v>0</v>
      </c>
      <c r="E32305" s="8">
        <v>0</v>
      </c>
      <c r="F32305" s="8">
        <v>159</v>
      </c>
    </row>
    <row r="32306" spans="1:6" ht="12.75">
      <c r="A32306" s="8">
        <v>43890.046898148154</v>
      </c>
      <c r="B32306" s="8" t="str">
        <f>HYPERLINK("https://twitter.com/purnomo_jati1","@purnomo_jati1")</f>
        <v>@purnomo_jati1</v>
      </c>
      <c r="C32306" s="8" t="s">
        <v>11584</v>
      </c>
      <c r="D32306" s="8">
        <v>8</v>
      </c>
      <c r="E32306" s="8">
        <v>0</v>
      </c>
      <c r="F32306" s="8">
        <v>337</v>
      </c>
    </row>
    <row r="32307" spans="1:6" ht="12.75">
      <c r="A32307" s="8">
        <v>43890.046550925923</v>
      </c>
      <c r="B32307" s="8" t="str">
        <f>HYPERLINK("https://twitter.com/berniemohammad","@berniemohammad")</f>
        <v>@berniemohammad</v>
      </c>
      <c r="C32307" s="8" t="s">
        <v>12151</v>
      </c>
      <c r="D32307" s="8">
        <v>0</v>
      </c>
      <c r="E32307" s="8">
        <v>0</v>
      </c>
      <c r="F32307" s="8">
        <v>1154</v>
      </c>
    </row>
    <row r="32308" spans="1:6" ht="12.75">
      <c r="A32308" s="8">
        <v>43890.045937499999</v>
      </c>
      <c r="B32308" s="8" t="str">
        <f>HYPERLINK("https://twitter.com/Ri_Grey","@Ri_Grey")</f>
        <v>@Ri_Grey</v>
      </c>
      <c r="C32308" s="8" t="s">
        <v>12125</v>
      </c>
      <c r="D32308" s="8">
        <v>63</v>
      </c>
      <c r="E32308" s="8">
        <v>0</v>
      </c>
      <c r="F32308" s="8">
        <v>3889</v>
      </c>
    </row>
    <row r="32309" spans="1:6" ht="12.75">
      <c r="A32309" s="8">
        <v>43890.045775462961</v>
      </c>
      <c r="B32309" s="8" t="str">
        <f>HYPERLINK("https://twitter.com/ailurophilum","@ailurophilum")</f>
        <v>@ailurophilum</v>
      </c>
      <c r="C32309" s="8" t="s">
        <v>12152</v>
      </c>
      <c r="D32309" s="8">
        <v>0</v>
      </c>
      <c r="E32309" s="8">
        <v>0</v>
      </c>
      <c r="F32309" s="8">
        <v>460</v>
      </c>
    </row>
    <row r="32310" spans="1:6" ht="12.75">
      <c r="A32310" s="8">
        <v>43890.045011574075</v>
      </c>
      <c r="B32310" s="8" t="str">
        <f>HYPERLINK("https://twitter.com/saursaha73","@saursaha73")</f>
        <v>@saursaha73</v>
      </c>
      <c r="C32310" s="8" t="s">
        <v>12153</v>
      </c>
      <c r="D32310" s="8">
        <v>0</v>
      </c>
      <c r="E32310" s="8">
        <v>0</v>
      </c>
      <c r="F32310" s="8">
        <v>20</v>
      </c>
    </row>
    <row r="32311" spans="1:6" ht="12.75">
      <c r="A32311" s="8">
        <v>43890.044803240744</v>
      </c>
      <c r="B32311" s="8" t="str">
        <f>HYPERLINK("https://twitter.com/AyiJend","@AyiJend")</f>
        <v>@AyiJend</v>
      </c>
      <c r="C32311" s="8" t="s">
        <v>4235</v>
      </c>
      <c r="D32311" s="8">
        <v>488</v>
      </c>
      <c r="E32311" s="8">
        <v>0</v>
      </c>
      <c r="F32311" s="8">
        <v>682</v>
      </c>
    </row>
    <row r="32312" spans="1:6" ht="12.75">
      <c r="A32312" s="8">
        <v>43890.044363425928</v>
      </c>
      <c r="B32312" s="8" t="str">
        <f>HYPERLINK("https://twitter.com/Uchiezombie","@Uchiezombie")</f>
        <v>@Uchiezombie</v>
      </c>
      <c r="C32312" s="8" t="s">
        <v>4235</v>
      </c>
      <c r="D32312" s="8">
        <v>488</v>
      </c>
      <c r="E32312" s="8">
        <v>0</v>
      </c>
      <c r="F32312" s="8">
        <v>618</v>
      </c>
    </row>
    <row r="32313" spans="1:6" ht="12.75">
      <c r="A32313" s="8">
        <v>43890.044166666667</v>
      </c>
      <c r="B32313" s="8" t="str">
        <f>HYPERLINK("https://twitter.com/NgopiJahe_09","@NgopiJahe_09")</f>
        <v>@NgopiJahe_09</v>
      </c>
      <c r="C32313" s="8" t="s">
        <v>12108</v>
      </c>
      <c r="D32313" s="8">
        <v>32</v>
      </c>
      <c r="E32313" s="8">
        <v>0</v>
      </c>
      <c r="F32313" s="8">
        <v>2444</v>
      </c>
    </row>
    <row r="32314" spans="1:6" ht="12.75">
      <c r="A32314" s="8">
        <v>43890.043506944443</v>
      </c>
      <c r="B32314" s="8" t="str">
        <f>HYPERLINK("https://twitter.com/rohmatsyahru","@rohmatsyahru")</f>
        <v>@rohmatsyahru</v>
      </c>
      <c r="C32314" s="8" t="s">
        <v>12154</v>
      </c>
      <c r="D32314" s="8">
        <v>0</v>
      </c>
      <c r="E32314" s="8">
        <v>1</v>
      </c>
      <c r="F32314" s="8">
        <v>3438</v>
      </c>
    </row>
    <row r="32315" spans="1:6" ht="12.75">
      <c r="A32315" s="8">
        <v>43890.043252314819</v>
      </c>
      <c r="B32315" s="8" t="str">
        <f>HYPERLINK("https://twitter.com/ridwan_djafar","@ridwan_djafar")</f>
        <v>@ridwan_djafar</v>
      </c>
      <c r="C32315" s="8" t="s">
        <v>12155</v>
      </c>
      <c r="D32315" s="8">
        <v>0</v>
      </c>
      <c r="E32315" s="8">
        <v>0</v>
      </c>
      <c r="F32315" s="8">
        <v>402</v>
      </c>
    </row>
    <row r="32316" spans="1:6" ht="12.75">
      <c r="A32316" s="8">
        <v>43890.042719907404</v>
      </c>
      <c r="B32316" s="8" t="str">
        <f>HYPERLINK("https://twitter.com/JoniQuindo","@JoniQuindo")</f>
        <v>@JoniQuindo</v>
      </c>
      <c r="C32316" s="8" t="s">
        <v>4235</v>
      </c>
      <c r="D32316" s="8">
        <v>488</v>
      </c>
      <c r="E32316" s="8">
        <v>0</v>
      </c>
      <c r="F32316" s="8">
        <v>83</v>
      </c>
    </row>
    <row r="32317" spans="1:6" ht="12.75">
      <c r="A32317" s="8">
        <v>43890.042557870373</v>
      </c>
      <c r="B32317" s="8" t="str">
        <f>HYPERLINK("https://twitter.com/akkklya","@akkklya")</f>
        <v>@akkklya</v>
      </c>
      <c r="C32317" s="8" t="s">
        <v>11102</v>
      </c>
      <c r="D32317" s="8">
        <v>489</v>
      </c>
      <c r="E32317" s="8">
        <v>0</v>
      </c>
      <c r="F32317" s="8">
        <v>127</v>
      </c>
    </row>
    <row r="32318" spans="1:6" ht="12.75">
      <c r="A32318" s="8">
        <v>43890.041493055556</v>
      </c>
      <c r="B32318" s="8" t="str">
        <f>HYPERLINK("https://twitter.com/Seto_Nugroho30","@Seto_Nugroho30")</f>
        <v>@Seto_Nugroho30</v>
      </c>
      <c r="C32318" s="8" t="s">
        <v>12156</v>
      </c>
      <c r="D32318" s="8">
        <v>3</v>
      </c>
      <c r="E32318" s="8">
        <v>0</v>
      </c>
      <c r="F32318" s="8">
        <v>290</v>
      </c>
    </row>
    <row r="32319" spans="1:6" ht="12.75">
      <c r="A32319" s="8">
        <v>43890.04142361111</v>
      </c>
      <c r="B32319" s="8" t="str">
        <f>HYPERLINK("https://twitter.com/edens_","@edens_")</f>
        <v>@edens_</v>
      </c>
      <c r="C32319" s="8" t="s">
        <v>11641</v>
      </c>
      <c r="D32319" s="8">
        <v>92</v>
      </c>
      <c r="E32319" s="8">
        <v>0</v>
      </c>
      <c r="F32319" s="8">
        <v>160</v>
      </c>
    </row>
    <row r="32320" spans="1:6" ht="12.75">
      <c r="A32320" s="8">
        <v>43890.04115740741</v>
      </c>
      <c r="B32320" s="8" t="str">
        <f>HYPERLINK("https://twitter.com/riduanjaini_","@riduanjaini_")</f>
        <v>@riduanjaini_</v>
      </c>
      <c r="C32320" s="8" t="s">
        <v>11102</v>
      </c>
      <c r="D32320" s="8">
        <v>489</v>
      </c>
      <c r="E32320" s="8">
        <v>0</v>
      </c>
      <c r="F32320" s="8">
        <v>246</v>
      </c>
    </row>
    <row r="32321" spans="1:6" ht="12.75">
      <c r="A32321" s="8">
        <v>43890.040925925925</v>
      </c>
      <c r="B32321" s="8" t="str">
        <f>HYPERLINK("https://twitter.com/_isis_caldeira_","@_isis_caldeira_")</f>
        <v>@_isis_caldeira_</v>
      </c>
      <c r="C32321" s="8" t="s">
        <v>12157</v>
      </c>
      <c r="D32321" s="8">
        <v>7833</v>
      </c>
      <c r="E32321" s="8">
        <v>0</v>
      </c>
      <c r="F32321" s="8">
        <v>85</v>
      </c>
    </row>
    <row r="32322" spans="1:6" ht="12.75">
      <c r="A32322" s="8">
        <v>43890.039918981478</v>
      </c>
      <c r="B32322" s="8" t="str">
        <f t="shared" ref="B32322:B32323" si="448">HYPERLINK("https://twitter.com/Wonemo24","@Wonemo24")</f>
        <v>@Wonemo24</v>
      </c>
      <c r="C32322" s="8" t="s">
        <v>12158</v>
      </c>
      <c r="D32322" s="8">
        <v>10</v>
      </c>
      <c r="E32322" s="8">
        <v>0</v>
      </c>
      <c r="F32322" s="8">
        <v>477</v>
      </c>
    </row>
    <row r="32323" spans="1:6" ht="12.75">
      <c r="A32323" s="8">
        <v>43890.039861111116</v>
      </c>
      <c r="B32323" s="8" t="str">
        <f t="shared" si="448"/>
        <v>@Wonemo24</v>
      </c>
      <c r="C32323" s="8" t="s">
        <v>12159</v>
      </c>
      <c r="D32323" s="8">
        <v>1</v>
      </c>
      <c r="E32323" s="8">
        <v>0</v>
      </c>
      <c r="F32323" s="8">
        <v>477</v>
      </c>
    </row>
    <row r="32324" spans="1:6" ht="12.75">
      <c r="A32324" s="8">
        <v>43890.039398148147</v>
      </c>
      <c r="B32324" s="8" t="str">
        <f>HYPERLINK("https://twitter.com/naomiandreaz","@naomiandreaz")</f>
        <v>@naomiandreaz</v>
      </c>
      <c r="C32324" s="8" t="s">
        <v>4235</v>
      </c>
      <c r="D32324" s="8">
        <v>488</v>
      </c>
      <c r="E32324" s="8">
        <v>0</v>
      </c>
      <c r="F32324" s="8">
        <v>1464</v>
      </c>
    </row>
    <row r="32325" spans="1:6" ht="12.75">
      <c r="A32325" s="8">
        <v>43890.039085648154</v>
      </c>
      <c r="B32325" s="8" t="str">
        <f>HYPERLINK("https://twitter.com/naufaIhm","@naufaIhm")</f>
        <v>@naufaIhm</v>
      </c>
      <c r="C32325" s="8" t="s">
        <v>6863</v>
      </c>
      <c r="D32325" s="8">
        <v>314</v>
      </c>
      <c r="E32325" s="8">
        <v>0</v>
      </c>
      <c r="F32325" s="8">
        <v>588</v>
      </c>
    </row>
    <row r="32326" spans="1:6" ht="12.75">
      <c r="A32326" s="8">
        <v>43890.038483796292</v>
      </c>
      <c r="B32326" s="8" t="str">
        <f>HYPERLINK("https://twitter.com/haninhilbram","@haninhilbram")</f>
        <v>@haninhilbram</v>
      </c>
      <c r="C32326" s="8" t="s">
        <v>4235</v>
      </c>
      <c r="D32326" s="8">
        <v>488</v>
      </c>
      <c r="E32326" s="8">
        <v>0</v>
      </c>
      <c r="F32326" s="8">
        <v>261</v>
      </c>
    </row>
    <row r="32327" spans="1:6" ht="12.75">
      <c r="A32327" s="8">
        <v>43890.038182870368</v>
      </c>
      <c r="B32327" s="8" t="str">
        <f>HYPERLINK("https://twitter.com/02fc71ba00c2451","@02fc71ba00c2451")</f>
        <v>@02fc71ba00c2451</v>
      </c>
      <c r="C32327" s="8" t="s">
        <v>4235</v>
      </c>
      <c r="D32327" s="8">
        <v>488</v>
      </c>
      <c r="E32327" s="8">
        <v>0</v>
      </c>
      <c r="F32327" s="8">
        <v>411</v>
      </c>
    </row>
    <row r="32328" spans="1:6" ht="12.75">
      <c r="A32328" s="8">
        <v>43890.037881944445</v>
      </c>
      <c r="B32328" s="8" t="str">
        <f>HYPERLINK("https://twitter.com/DonAdam68","@DonAdam68")</f>
        <v>@DonAdam68</v>
      </c>
      <c r="C32328" s="8" t="s">
        <v>11729</v>
      </c>
      <c r="D32328" s="8">
        <v>2</v>
      </c>
      <c r="E32328" s="8">
        <v>0</v>
      </c>
      <c r="F32328" s="8">
        <v>50162</v>
      </c>
    </row>
    <row r="32329" spans="1:6" ht="12.75">
      <c r="A32329" s="8">
        <v>43890.037592592591</v>
      </c>
      <c r="B32329" s="8" t="str">
        <f>HYPERLINK("https://twitter.com/mkhairulafif","@mkhairulafif")</f>
        <v>@mkhairulafif</v>
      </c>
      <c r="C32329" s="8" t="s">
        <v>10755</v>
      </c>
      <c r="D32329" s="8">
        <v>540</v>
      </c>
      <c r="E32329" s="8">
        <v>0</v>
      </c>
      <c r="F32329" s="8">
        <v>344</v>
      </c>
    </row>
    <row r="32330" spans="1:6" ht="12.75">
      <c r="A32330" s="8">
        <v>43890.037488425922</v>
      </c>
      <c r="B32330" s="8" t="str">
        <f>HYPERLINK("https://twitter.com/Param01667132","@Param01667132")</f>
        <v>@Param01667132</v>
      </c>
      <c r="C32330" s="8" t="s">
        <v>12160</v>
      </c>
      <c r="D32330" s="8">
        <v>0</v>
      </c>
      <c r="E32330" s="8">
        <v>0</v>
      </c>
      <c r="F32330" s="8">
        <v>36</v>
      </c>
    </row>
    <row r="32331" spans="1:6" ht="12.75">
      <c r="A32331" s="8">
        <v>43890.037418981483</v>
      </c>
      <c r="B32331" s="8" t="str">
        <f>HYPERLINK("https://twitter.com/karta_ki","@karta_ki")</f>
        <v>@karta_ki</v>
      </c>
      <c r="C32331" s="8" t="s">
        <v>11374</v>
      </c>
      <c r="D32331" s="8">
        <v>18</v>
      </c>
      <c r="E32331" s="8">
        <v>0</v>
      </c>
      <c r="F32331" s="8">
        <v>537</v>
      </c>
    </row>
    <row r="32332" spans="1:6" ht="12.75">
      <c r="A32332" s="8">
        <v>43890.036909722221</v>
      </c>
      <c r="B32332" s="8" t="str">
        <f>HYPERLINK("https://twitter.com/BikiniiiBottom","@BikiniiiBottom")</f>
        <v>@BikiniiiBottom</v>
      </c>
      <c r="C32332" s="8" t="s">
        <v>12161</v>
      </c>
      <c r="D32332" s="8">
        <v>0</v>
      </c>
      <c r="E32332" s="8">
        <v>0</v>
      </c>
      <c r="F32332" s="8">
        <v>79</v>
      </c>
    </row>
    <row r="32333" spans="1:6" ht="12.75">
      <c r="A32333" s="8">
        <v>43890.036643518513</v>
      </c>
      <c r="B32333" s="8" t="str">
        <f>HYPERLINK("https://twitter.com/syahrulfire","@syahrulfire")</f>
        <v>@syahrulfire</v>
      </c>
      <c r="C32333" s="8" t="s">
        <v>4235</v>
      </c>
      <c r="D32333" s="8">
        <v>488</v>
      </c>
      <c r="E32333" s="8">
        <v>0</v>
      </c>
      <c r="F32333" s="8">
        <v>555</v>
      </c>
    </row>
    <row r="32334" spans="1:6" ht="12.75">
      <c r="A32334" s="8">
        <v>43890.036076388889</v>
      </c>
      <c r="B32334" s="8" t="str">
        <f>HYPERLINK("https://twitter.com/AdexAd","@AdexAd")</f>
        <v>@AdexAd</v>
      </c>
      <c r="C32334" s="8" t="s">
        <v>4235</v>
      </c>
      <c r="D32334" s="8">
        <v>488</v>
      </c>
      <c r="E32334" s="8">
        <v>0</v>
      </c>
      <c r="F32334" s="8">
        <v>853</v>
      </c>
    </row>
    <row r="32335" spans="1:6" ht="12.75">
      <c r="A32335" s="8">
        <v>43890.035601851851</v>
      </c>
      <c r="B32335" s="8" t="str">
        <f>HYPERLINK("https://twitter.com/TrioMacari2000","@TrioMacari2000")</f>
        <v>@TrioMacari2000</v>
      </c>
      <c r="C32335" s="8" t="s">
        <v>12065</v>
      </c>
      <c r="D32335" s="8">
        <v>72</v>
      </c>
      <c r="E32335" s="8">
        <v>0</v>
      </c>
      <c r="F32335" s="8">
        <v>6525</v>
      </c>
    </row>
    <row r="32336" spans="1:6" ht="12.75">
      <c r="A32336" s="8">
        <v>43890.034733796296</v>
      </c>
      <c r="B32336" s="8" t="str">
        <f>HYPERLINK("https://twitter.com/jamallaoedin","@jamallaoedin")</f>
        <v>@jamallaoedin</v>
      </c>
      <c r="C32336" s="8" t="s">
        <v>11701</v>
      </c>
      <c r="D32336" s="8">
        <v>45</v>
      </c>
      <c r="E32336" s="8">
        <v>0</v>
      </c>
      <c r="F32336" s="8">
        <v>254</v>
      </c>
    </row>
    <row r="32337" spans="1:6" ht="12.75">
      <c r="A32337" s="8">
        <v>43890.034050925926</v>
      </c>
      <c r="B32337" s="8" t="str">
        <f>HYPERLINK("https://twitter.com/farliafif","@farliafif")</f>
        <v>@farliafif</v>
      </c>
      <c r="C32337" s="8" t="s">
        <v>12162</v>
      </c>
      <c r="D32337" s="8">
        <v>0</v>
      </c>
      <c r="E32337" s="8">
        <v>0</v>
      </c>
      <c r="F32337" s="8">
        <v>30</v>
      </c>
    </row>
    <row r="32338" spans="1:6" ht="12.75">
      <c r="A32338" s="8">
        <v>43890.034039351856</v>
      </c>
      <c r="B32338" s="8" t="str">
        <f>HYPERLINK("https://twitter.com/GebukPKI","@GebukPKI")</f>
        <v>@GebukPKI</v>
      </c>
      <c r="C32338" s="8" t="s">
        <v>4235</v>
      </c>
      <c r="D32338" s="8">
        <v>488</v>
      </c>
      <c r="E32338" s="8">
        <v>0</v>
      </c>
      <c r="F32338" s="8">
        <v>1582</v>
      </c>
    </row>
    <row r="32339" spans="1:6" ht="12.75">
      <c r="A32339" s="8">
        <v>43890.033807870372</v>
      </c>
      <c r="B32339" s="8" t="str">
        <f>HYPERLINK("https://twitter.com/jelienn","@jelienn")</f>
        <v>@jelienn</v>
      </c>
      <c r="C32339" s="8" t="s">
        <v>11302</v>
      </c>
      <c r="D32339" s="8">
        <v>35</v>
      </c>
      <c r="E32339" s="8">
        <v>0</v>
      </c>
      <c r="F32339" s="8">
        <v>64</v>
      </c>
    </row>
    <row r="32340" spans="1:6" ht="12.75">
      <c r="A32340" s="8">
        <v>43890.033680555556</v>
      </c>
      <c r="B32340" s="8" t="str">
        <f>HYPERLINK("https://twitter.com/ulhendri26","@ulhendri26")</f>
        <v>@ulhendri26</v>
      </c>
      <c r="C32340" s="8" t="s">
        <v>4235</v>
      </c>
      <c r="D32340" s="8">
        <v>488</v>
      </c>
      <c r="E32340" s="8">
        <v>0</v>
      </c>
      <c r="F32340" s="8">
        <v>434</v>
      </c>
    </row>
    <row r="32341" spans="1:6" ht="12.75">
      <c r="A32341" s="8">
        <v>43890.033668981487</v>
      </c>
      <c r="B32341" s="8" t="str">
        <f>HYPERLINK("https://twitter.com/rora_boceng","@rora_boceng")</f>
        <v>@rora_boceng</v>
      </c>
      <c r="C32341" s="8" t="s">
        <v>4235</v>
      </c>
      <c r="D32341" s="8">
        <v>488</v>
      </c>
      <c r="E32341" s="8">
        <v>0</v>
      </c>
      <c r="F32341" s="8">
        <v>64</v>
      </c>
    </row>
    <row r="32342" spans="1:6" ht="12.75">
      <c r="A32342" s="8">
        <v>43890.032731481479</v>
      </c>
      <c r="B32342" s="8" t="str">
        <f>HYPERLINK("https://twitter.com/idayu_wien","@idayu_wien")</f>
        <v>@idayu_wien</v>
      </c>
      <c r="C32342" s="8" t="s">
        <v>4235</v>
      </c>
      <c r="D32342" s="8">
        <v>488</v>
      </c>
      <c r="E32342" s="8">
        <v>0</v>
      </c>
      <c r="F32342" s="8">
        <v>1357</v>
      </c>
    </row>
    <row r="32343" spans="1:6" ht="12.75">
      <c r="A32343" s="8">
        <v>43890.03225694444</v>
      </c>
      <c r="B32343" s="8" t="str">
        <f>HYPERLINK("https://twitter.com/soffel84103944","@soffel84103944")</f>
        <v>@soffel84103944</v>
      </c>
      <c r="C32343" s="8" t="s">
        <v>11374</v>
      </c>
      <c r="D32343" s="8">
        <v>18</v>
      </c>
      <c r="E32343" s="8">
        <v>0</v>
      </c>
      <c r="F32343" s="8">
        <v>573</v>
      </c>
    </row>
    <row r="32344" spans="1:6" ht="12.75">
      <c r="A32344" s="8">
        <v>43890.032175925924</v>
      </c>
      <c r="B32344" s="8" t="str">
        <f>HYPERLINK("https://twitter.com/hendriyvialli","@hendriyvialli")</f>
        <v>@hendriyvialli</v>
      </c>
      <c r="C32344" s="8" t="s">
        <v>4235</v>
      </c>
      <c r="D32344" s="8">
        <v>488</v>
      </c>
      <c r="E32344" s="8">
        <v>0</v>
      </c>
      <c r="F32344" s="8">
        <v>873</v>
      </c>
    </row>
    <row r="32345" spans="1:6" ht="12.75">
      <c r="A32345" s="8">
        <v>43890.031076388885</v>
      </c>
      <c r="B32345" s="8" t="str">
        <f>HYPERLINK("https://twitter.com/raknowfal","@raknowfal")</f>
        <v>@raknowfal</v>
      </c>
      <c r="C32345" s="8" t="s">
        <v>11691</v>
      </c>
      <c r="D32345" s="8">
        <v>36</v>
      </c>
      <c r="E32345" s="8">
        <v>0</v>
      </c>
      <c r="F32345" s="8">
        <v>124</v>
      </c>
    </row>
    <row r="32346" spans="1:6" ht="12.75">
      <c r="A32346" s="8">
        <v>43890.030358796299</v>
      </c>
      <c r="B32346" s="8" t="str">
        <f>HYPERLINK("https://twitter.com/kuninggemilang","@kuninggemilang")</f>
        <v>@kuninggemilang</v>
      </c>
      <c r="C32346" s="8" t="s">
        <v>12163</v>
      </c>
      <c r="D32346" s="8">
        <v>0</v>
      </c>
      <c r="E32346" s="8">
        <v>0</v>
      </c>
      <c r="F32346" s="8">
        <v>3890</v>
      </c>
    </row>
    <row r="32347" spans="1:6" ht="12.75">
      <c r="A32347" s="8">
        <v>43890.03025462963</v>
      </c>
      <c r="B32347" s="8" t="str">
        <f>HYPERLINK("https://twitter.com/gunbrenk70","@gunbrenk70")</f>
        <v>@gunbrenk70</v>
      </c>
      <c r="C32347" s="8" t="s">
        <v>4235</v>
      </c>
      <c r="D32347" s="8">
        <v>488</v>
      </c>
      <c r="E32347" s="8">
        <v>0</v>
      </c>
      <c r="F32347" s="8">
        <v>261</v>
      </c>
    </row>
    <row r="32348" spans="1:6" ht="12.75">
      <c r="A32348" s="8">
        <v>43890.030162037037</v>
      </c>
      <c r="B32348" s="8" t="str">
        <f>HYPERLINK("https://twitter.com/chandra32204963","@chandra32204963")</f>
        <v>@chandra32204963</v>
      </c>
      <c r="C32348" s="8" t="s">
        <v>4235</v>
      </c>
      <c r="D32348" s="8">
        <v>488</v>
      </c>
      <c r="E32348" s="8">
        <v>0</v>
      </c>
      <c r="F32348" s="8">
        <v>349</v>
      </c>
    </row>
    <row r="32349" spans="1:6" ht="12.75">
      <c r="A32349" s="8">
        <v>43890.030057870375</v>
      </c>
      <c r="B32349" s="8" t="str">
        <f>HYPERLINK("https://twitter.com/Evhy_Moe","@Evhy_Moe")</f>
        <v>@Evhy_Moe</v>
      </c>
      <c r="C32349" s="8" t="s">
        <v>10755</v>
      </c>
      <c r="D32349" s="8">
        <v>540</v>
      </c>
      <c r="E32349" s="8">
        <v>0</v>
      </c>
      <c r="F32349" s="8">
        <v>253</v>
      </c>
    </row>
    <row r="32350" spans="1:6" ht="12.75">
      <c r="A32350" s="8">
        <v>43890.029837962968</v>
      </c>
      <c r="B32350" s="8" t="str">
        <f>HYPERLINK("https://twitter.com/parv_rai","@parv_rai")</f>
        <v>@parv_rai</v>
      </c>
      <c r="C32350" s="8" t="s">
        <v>12164</v>
      </c>
      <c r="D32350" s="8">
        <v>0</v>
      </c>
      <c r="E32350" s="8">
        <v>0</v>
      </c>
      <c r="F32350" s="8">
        <v>73</v>
      </c>
    </row>
    <row r="32351" spans="1:6" ht="12.75">
      <c r="A32351" s="8">
        <v>43890.029687499999</v>
      </c>
      <c r="B32351" s="8" t="str">
        <f>HYPERLINK("https://twitter.com/ISIS_Balik_NO","@ISIS_Balik_NO")</f>
        <v>@ISIS_Balik_NO</v>
      </c>
      <c r="C32351" s="8" t="s">
        <v>12165</v>
      </c>
      <c r="D32351" s="8">
        <v>0</v>
      </c>
      <c r="E32351" s="8">
        <v>1</v>
      </c>
      <c r="F32351" s="8">
        <v>6090</v>
      </c>
    </row>
    <row r="32352" spans="1:6" ht="12.75">
      <c r="A32352" s="8">
        <v>43890.029398148152</v>
      </c>
      <c r="B32352" s="8" t="str">
        <f>HYPERLINK("https://twitter.com/djoni_lingooosp","@djoni_lingooosp")</f>
        <v>@djoni_lingooosp</v>
      </c>
      <c r="C32352" s="8" t="s">
        <v>4235</v>
      </c>
      <c r="D32352" s="8">
        <v>488</v>
      </c>
      <c r="E32352" s="8">
        <v>0</v>
      </c>
      <c r="F32352" s="8">
        <v>77</v>
      </c>
    </row>
    <row r="32353" spans="1:6" ht="12.75">
      <c r="A32353" s="8">
        <v>43890.029166666667</v>
      </c>
      <c r="B32353" s="8" t="str">
        <f>HYPERLINK("https://twitter.com/FajarAlfadani","@FajarAlfadani")</f>
        <v>@FajarAlfadani</v>
      </c>
      <c r="C32353" s="8" t="s">
        <v>4235</v>
      </c>
      <c r="D32353" s="8">
        <v>488</v>
      </c>
      <c r="E32353" s="8">
        <v>0</v>
      </c>
      <c r="F32353" s="8">
        <v>82</v>
      </c>
    </row>
    <row r="32354" spans="1:6" ht="12.75">
      <c r="A32354" s="8">
        <v>43890.028854166667</v>
      </c>
      <c r="B32354" s="8" t="str">
        <f>HYPERLINK("https://twitter.com/Gilaang_DC","@Gilaang_DC")</f>
        <v>@Gilaang_DC</v>
      </c>
      <c r="C32354" s="8" t="s">
        <v>11302</v>
      </c>
      <c r="D32354" s="8">
        <v>35</v>
      </c>
      <c r="E32354" s="8">
        <v>0</v>
      </c>
      <c r="F32354" s="8">
        <v>253</v>
      </c>
    </row>
    <row r="32355" spans="1:6" ht="12.75">
      <c r="A32355" s="8">
        <v>43890.02851851852</v>
      </c>
      <c r="B32355" s="8" t="str">
        <f>HYPERLINK("https://twitter.com/HolissonAwe","@HolissonAwe")</f>
        <v>@HolissonAwe</v>
      </c>
      <c r="C32355" s="8" t="s">
        <v>6490</v>
      </c>
      <c r="D32355" s="8">
        <v>140</v>
      </c>
      <c r="E32355" s="8">
        <v>0</v>
      </c>
      <c r="F32355" s="8">
        <v>352</v>
      </c>
    </row>
    <row r="32356" spans="1:6" ht="12.75">
      <c r="A32356" s="8">
        <v>43890.02820601852</v>
      </c>
      <c r="B32356" s="8" t="str">
        <f>HYPERLINK("https://twitter.com/jaya1perkasa","@jaya1perkasa")</f>
        <v>@jaya1perkasa</v>
      </c>
      <c r="C32356" s="8" t="s">
        <v>4235</v>
      </c>
      <c r="D32356" s="8">
        <v>488</v>
      </c>
      <c r="E32356" s="8">
        <v>0</v>
      </c>
      <c r="F32356" s="8">
        <v>621</v>
      </c>
    </row>
    <row r="32357" spans="1:6" ht="12.75">
      <c r="A32357" s="8">
        <v>43890.028020833328</v>
      </c>
      <c r="B32357" s="8" t="str">
        <f>HYPERLINK("https://twitter.com/mr_supiansyah","@mr_supiansyah")</f>
        <v>@mr_supiansyah</v>
      </c>
      <c r="C32357" s="8" t="s">
        <v>6490</v>
      </c>
      <c r="D32357" s="8">
        <v>140</v>
      </c>
      <c r="E32357" s="8">
        <v>0</v>
      </c>
      <c r="F32357" s="8">
        <v>2042</v>
      </c>
    </row>
    <row r="32358" spans="1:6" ht="12.75">
      <c r="A32358" s="8">
        <v>43890.026898148149</v>
      </c>
      <c r="B32358" s="8" t="str">
        <f>HYPERLINK("https://twitter.com/Hendry_much","@Hendry_much")</f>
        <v>@Hendry_much</v>
      </c>
      <c r="C32358" s="8" t="s">
        <v>12065</v>
      </c>
      <c r="D32358" s="8">
        <v>72</v>
      </c>
      <c r="E32358" s="8">
        <v>0</v>
      </c>
      <c r="F32358" s="8">
        <v>201</v>
      </c>
    </row>
    <row r="32359" spans="1:6" ht="12.75">
      <c r="A32359" s="8">
        <v>43890.026701388888</v>
      </c>
      <c r="B32359" s="8" t="str">
        <f>HYPERLINK("https://twitter.com/ImeldaTheQueen","@ImeldaTheQueen")</f>
        <v>@ImeldaTheQueen</v>
      </c>
      <c r="C32359" s="8" t="s">
        <v>12166</v>
      </c>
      <c r="D32359" s="8">
        <v>1</v>
      </c>
      <c r="E32359" s="8">
        <v>0</v>
      </c>
      <c r="F32359" s="8">
        <v>385</v>
      </c>
    </row>
    <row r="32360" spans="1:6" ht="12.75">
      <c r="A32360" s="8">
        <v>43890.026562500003</v>
      </c>
      <c r="B32360" s="8" t="str">
        <f>HYPERLINK("https://twitter.com/ISIS_Balik_NO","@ISIS_Balik_NO")</f>
        <v>@ISIS_Balik_NO</v>
      </c>
      <c r="C32360" s="8" t="s">
        <v>12167</v>
      </c>
      <c r="D32360" s="8">
        <v>0</v>
      </c>
      <c r="E32360" s="8">
        <v>0</v>
      </c>
      <c r="F32360" s="8">
        <v>6090</v>
      </c>
    </row>
    <row r="32361" spans="1:6" ht="12.75">
      <c r="A32361" s="8">
        <v>43890.026284722218</v>
      </c>
      <c r="B32361" s="8" t="str">
        <f>HYPERLINK("https://twitter.com/fayetruck","@fayetruck")</f>
        <v>@fayetruck</v>
      </c>
      <c r="C32361" s="8" t="s">
        <v>12168</v>
      </c>
      <c r="D32361" s="8">
        <v>0</v>
      </c>
      <c r="E32361" s="8">
        <v>0</v>
      </c>
      <c r="F32361" s="8">
        <v>10</v>
      </c>
    </row>
    <row r="32362" spans="1:6" ht="12.75">
      <c r="A32362" s="8">
        <v>43890.026192129633</v>
      </c>
      <c r="B32362" s="8" t="str">
        <f>HYPERLINK("https://twitter.com/naa_nanang","@naa_nanang")</f>
        <v>@naa_nanang</v>
      </c>
      <c r="C32362" s="8" t="s">
        <v>1435</v>
      </c>
      <c r="D32362" s="8">
        <v>834</v>
      </c>
      <c r="E32362" s="8">
        <v>0</v>
      </c>
      <c r="F32362" s="8">
        <v>2</v>
      </c>
    </row>
    <row r="32363" spans="1:6" ht="12.75">
      <c r="A32363" s="8">
        <v>43890.025983796295</v>
      </c>
      <c r="B32363" s="8" t="str">
        <f>HYPERLINK("https://twitter.com/politik_twit","@politik_twit")</f>
        <v>@politik_twit</v>
      </c>
      <c r="C32363" s="8" t="s">
        <v>10755</v>
      </c>
      <c r="D32363" s="8">
        <v>540</v>
      </c>
      <c r="E32363" s="8">
        <v>0</v>
      </c>
      <c r="F32363" s="8">
        <v>2112</v>
      </c>
    </row>
    <row r="32364" spans="1:6" ht="12.75">
      <c r="A32364" s="8">
        <v>43890.025868055556</v>
      </c>
      <c r="B32364" s="8" t="str">
        <f>HYPERLINK("https://twitter.com/JimoTerbanggi","@JimoTerbanggi")</f>
        <v>@JimoTerbanggi</v>
      </c>
      <c r="C32364" s="8" t="s">
        <v>6836</v>
      </c>
      <c r="D32364" s="8">
        <v>115</v>
      </c>
      <c r="E32364" s="8">
        <v>0</v>
      </c>
      <c r="F32364" s="8">
        <v>274</v>
      </c>
    </row>
    <row r="32365" spans="1:6" ht="12.75">
      <c r="A32365" s="8">
        <v>43890.025497685187</v>
      </c>
      <c r="B32365" s="8" t="str">
        <f>HYPERLINK("https://twitter.com/desaadventures","@desaadventures")</f>
        <v>@desaadventures</v>
      </c>
      <c r="C32365" s="8" t="s">
        <v>11691</v>
      </c>
      <c r="D32365" s="8">
        <v>36</v>
      </c>
      <c r="E32365" s="8">
        <v>0</v>
      </c>
      <c r="F32365" s="8">
        <v>126</v>
      </c>
    </row>
    <row r="32366" spans="1:6" ht="12.75">
      <c r="A32366" s="8">
        <v>43890.025150462963</v>
      </c>
      <c r="B32366" s="8" t="str">
        <f>HYPERLINK("https://twitter.com/firrr____","@firrr____")</f>
        <v>@firrr____</v>
      </c>
      <c r="C32366" s="8" t="s">
        <v>11302</v>
      </c>
      <c r="D32366" s="8">
        <v>35</v>
      </c>
      <c r="E32366" s="8">
        <v>0</v>
      </c>
      <c r="F32366" s="8">
        <v>445</v>
      </c>
    </row>
    <row r="32367" spans="1:6" ht="12.75">
      <c r="A32367" s="8">
        <v>43890.024930555555</v>
      </c>
      <c r="B32367" s="8" t="str">
        <f>HYPERLINK("https://twitter.com/asjadreturn","@asjadreturn")</f>
        <v>@asjadreturn</v>
      </c>
      <c r="C32367" s="8" t="s">
        <v>4235</v>
      </c>
      <c r="D32367" s="8">
        <v>488</v>
      </c>
      <c r="E32367" s="8">
        <v>0</v>
      </c>
      <c r="F32367" s="8">
        <v>328</v>
      </c>
    </row>
    <row r="32368" spans="1:6" ht="12.75">
      <c r="A32368" s="8">
        <v>43890.024884259255</v>
      </c>
      <c r="B32368" s="8" t="str">
        <f>HYPERLINK("https://twitter.com/Kapten_Kenzo","@Kapten_Kenzo")</f>
        <v>@Kapten_Kenzo</v>
      </c>
      <c r="C32368" s="8" t="s">
        <v>12169</v>
      </c>
      <c r="D32368" s="8">
        <v>0</v>
      </c>
      <c r="E32368" s="8">
        <v>0</v>
      </c>
      <c r="F32368" s="8">
        <v>456</v>
      </c>
    </row>
    <row r="32369" spans="1:6" ht="12.75">
      <c r="A32369" s="8">
        <v>43890.024641203709</v>
      </c>
      <c r="B32369" s="8" t="str">
        <f>HYPERLINK("https://twitter.com/Abraham91108815","@Abraham91108815")</f>
        <v>@Abraham91108815</v>
      </c>
      <c r="C32369" s="8" t="s">
        <v>4235</v>
      </c>
      <c r="D32369" s="8">
        <v>488</v>
      </c>
      <c r="E32369" s="8">
        <v>0</v>
      </c>
      <c r="F32369" s="8">
        <v>52</v>
      </c>
    </row>
    <row r="32370" spans="1:6" ht="12.75">
      <c r="A32370" s="8">
        <v>43890.02449074074</v>
      </c>
      <c r="B32370" s="8" t="str">
        <f>HYPERLINK("https://twitter.com/adistychwijaya","@adistychwijaya")</f>
        <v>@adistychwijaya</v>
      </c>
      <c r="C32370" s="8" t="s">
        <v>4235</v>
      </c>
      <c r="D32370" s="8">
        <v>488</v>
      </c>
      <c r="E32370" s="8">
        <v>0</v>
      </c>
      <c r="F32370" s="8">
        <v>284</v>
      </c>
    </row>
    <row r="32371" spans="1:6" ht="12.75">
      <c r="A32371" s="8">
        <v>43890.024270833332</v>
      </c>
      <c r="B32371" s="8" t="str">
        <f>HYPERLINK("https://twitter.com/dchnrmdha","@dchnrmdha")</f>
        <v>@dchnrmdha</v>
      </c>
      <c r="C32371" s="8" t="s">
        <v>11302</v>
      </c>
      <c r="D32371" s="8">
        <v>35</v>
      </c>
      <c r="E32371" s="8">
        <v>0</v>
      </c>
      <c r="F32371" s="8">
        <v>106</v>
      </c>
    </row>
    <row r="32372" spans="1:6" ht="12.75">
      <c r="A32372" s="8">
        <v>43890.024212962962</v>
      </c>
      <c r="B32372" s="8" t="str">
        <f>HYPERLINK("https://twitter.com/HendroP90921707","@HendroP90921707")</f>
        <v>@HendroP90921707</v>
      </c>
      <c r="C32372" s="8" t="s">
        <v>4235</v>
      </c>
      <c r="D32372" s="8">
        <v>488</v>
      </c>
      <c r="E32372" s="8">
        <v>0</v>
      </c>
      <c r="F32372" s="8">
        <v>2561</v>
      </c>
    </row>
    <row r="32373" spans="1:6" ht="12.75">
      <c r="A32373" s="8">
        <v>43890.024027777778</v>
      </c>
      <c r="B32373" s="8" t="str">
        <f>HYPERLINK("https://twitter.com/Santo_Amora","@Santo_Amora")</f>
        <v>@Santo_Amora</v>
      </c>
      <c r="C32373" s="8" t="s">
        <v>4235</v>
      </c>
      <c r="D32373" s="8">
        <v>488</v>
      </c>
      <c r="E32373" s="8">
        <v>0</v>
      </c>
      <c r="F32373" s="8">
        <v>416</v>
      </c>
    </row>
    <row r="32374" spans="1:6" ht="12.75">
      <c r="A32374" s="8">
        <v>43890.02344907407</v>
      </c>
      <c r="B32374" s="8" t="str">
        <f>HYPERLINK("https://twitter.com/IsmeRadenn","@IsmeRadenn")</f>
        <v>@IsmeRadenn</v>
      </c>
      <c r="C32374" s="8" t="s">
        <v>4235</v>
      </c>
      <c r="D32374" s="8">
        <v>488</v>
      </c>
      <c r="E32374" s="8">
        <v>0</v>
      </c>
      <c r="F32374" s="8">
        <v>130</v>
      </c>
    </row>
    <row r="32375" spans="1:6" ht="12.75">
      <c r="A32375" s="8">
        <v>43890.023298611108</v>
      </c>
      <c r="B32375" s="8" t="str">
        <f>HYPERLINK("https://twitter.com/translatorbali","@translatorbali")</f>
        <v>@translatorbali</v>
      </c>
      <c r="C32375" s="8" t="s">
        <v>8321</v>
      </c>
      <c r="D32375" s="8">
        <v>36</v>
      </c>
      <c r="E32375" s="8">
        <v>0</v>
      </c>
      <c r="F32375" s="8">
        <v>3866</v>
      </c>
    </row>
    <row r="32376" spans="1:6" ht="12.75">
      <c r="A32376" s="8">
        <v>43890.023009259261</v>
      </c>
      <c r="B32376" s="8" t="str">
        <f>HYPERLINK("https://twitter.com/k_khozein","@k_khozein")</f>
        <v>@k_khozein</v>
      </c>
      <c r="C32376" s="8" t="s">
        <v>4235</v>
      </c>
      <c r="D32376" s="8">
        <v>488</v>
      </c>
      <c r="E32376" s="8">
        <v>0</v>
      </c>
      <c r="F32376" s="8">
        <v>190</v>
      </c>
    </row>
    <row r="32377" spans="1:6" ht="12.75">
      <c r="A32377" s="8">
        <v>43890.022881944446</v>
      </c>
      <c r="B32377" s="8" t="str">
        <f>HYPERLINK("https://twitter.com/musoddiqm","@musoddiqm")</f>
        <v>@musoddiqm</v>
      </c>
      <c r="C32377" s="8" t="s">
        <v>11102</v>
      </c>
      <c r="D32377" s="8">
        <v>489</v>
      </c>
      <c r="E32377" s="8">
        <v>0</v>
      </c>
      <c r="F32377" s="8">
        <v>168</v>
      </c>
    </row>
    <row r="32378" spans="1:6" ht="12.75">
      <c r="A32378" s="8">
        <v>43890.022453703699</v>
      </c>
      <c r="B32378" s="8" t="str">
        <f>HYPERLINK("https://twitter.com/HeartOds","@HeartOds")</f>
        <v>@HeartOds</v>
      </c>
      <c r="C32378" s="8" t="s">
        <v>4235</v>
      </c>
      <c r="D32378" s="8">
        <v>488</v>
      </c>
      <c r="E32378" s="8">
        <v>0</v>
      </c>
      <c r="F32378" s="8">
        <v>1081</v>
      </c>
    </row>
    <row r="32379" spans="1:6" ht="12.75">
      <c r="A32379" s="8">
        <v>43890.022094907406</v>
      </c>
      <c r="B32379" s="8" t="str">
        <f>HYPERLINK("https://twitter.com/yudhapati88","@yudhapati88")</f>
        <v>@yudhapati88</v>
      </c>
      <c r="C32379" s="8" t="s">
        <v>12170</v>
      </c>
      <c r="D32379" s="8">
        <v>0</v>
      </c>
      <c r="E32379" s="8">
        <v>0</v>
      </c>
      <c r="F32379" s="8">
        <v>3434</v>
      </c>
    </row>
    <row r="32380" spans="1:6" ht="12.75">
      <c r="A32380" s="8">
        <v>43890.021770833337</v>
      </c>
      <c r="B32380" s="8" t="str">
        <f>HYPERLINK("https://twitter.com/dila_romadhon","@dila_romadhon")</f>
        <v>@dila_romadhon</v>
      </c>
      <c r="C32380" s="8" t="s">
        <v>12171</v>
      </c>
      <c r="D32380" s="8">
        <v>5</v>
      </c>
      <c r="E32380" s="8">
        <v>0</v>
      </c>
      <c r="F32380" s="8">
        <v>122</v>
      </c>
    </row>
    <row r="32381" spans="1:6" ht="12.75">
      <c r="A32381" s="8">
        <v>43890.02134259259</v>
      </c>
      <c r="B32381" s="8" t="str">
        <f>HYPERLINK("https://twitter.com/purnomo_jati1","@purnomo_jati1")</f>
        <v>@purnomo_jati1</v>
      </c>
      <c r="C32381" s="8" t="s">
        <v>9768</v>
      </c>
      <c r="D32381" s="8">
        <v>79</v>
      </c>
      <c r="E32381" s="8">
        <v>0</v>
      </c>
      <c r="F32381" s="8">
        <v>337</v>
      </c>
    </row>
    <row r="32382" spans="1:6" ht="12.75">
      <c r="A32382" s="8">
        <v>43890.021157407406</v>
      </c>
      <c r="B32382" s="8" t="str">
        <f>HYPERLINK("https://twitter.com/fryahya","@fryahya")</f>
        <v>@fryahya</v>
      </c>
      <c r="C32382" s="8" t="s">
        <v>6490</v>
      </c>
      <c r="D32382" s="8">
        <v>140</v>
      </c>
      <c r="E32382" s="8">
        <v>0</v>
      </c>
      <c r="F32382" s="8">
        <v>1136</v>
      </c>
    </row>
    <row r="32383" spans="1:6" ht="12.75">
      <c r="A32383" s="8">
        <v>43890.020902777775</v>
      </c>
      <c r="B32383" s="8" t="str">
        <f>HYPERLINK("https://twitter.com/effendy_seven","@effendy_seven")</f>
        <v>@effendy_seven</v>
      </c>
      <c r="C32383" s="8" t="s">
        <v>12172</v>
      </c>
      <c r="D32383" s="8">
        <v>1</v>
      </c>
      <c r="E32383" s="8">
        <v>1</v>
      </c>
      <c r="F32383" s="8">
        <v>3851</v>
      </c>
    </row>
    <row r="32384" spans="1:6" ht="12.75">
      <c r="A32384" s="8">
        <v>43890.020810185189</v>
      </c>
      <c r="B32384" s="8" t="str">
        <f>HYPERLINK("https://twitter.com/yazrid","@yazrid")</f>
        <v>@yazrid</v>
      </c>
      <c r="C32384" s="8" t="s">
        <v>4235</v>
      </c>
      <c r="D32384" s="8">
        <v>488</v>
      </c>
      <c r="E32384" s="8">
        <v>0</v>
      </c>
      <c r="F32384" s="8">
        <v>253</v>
      </c>
    </row>
    <row r="32385" spans="1:6" ht="12.75">
      <c r="A32385" s="8">
        <v>43890.020740740743</v>
      </c>
      <c r="B32385" s="8" t="str">
        <f>HYPERLINK("https://twitter.com/SambatPogung","@SambatPogung")</f>
        <v>@SambatPogung</v>
      </c>
      <c r="C32385" s="8" t="s">
        <v>12173</v>
      </c>
      <c r="D32385" s="8">
        <v>0</v>
      </c>
      <c r="E32385" s="8">
        <v>0</v>
      </c>
      <c r="F32385" s="8">
        <v>82</v>
      </c>
    </row>
    <row r="32386" spans="1:6" ht="12.75">
      <c r="A32386" s="8">
        <v>43890.020451388889</v>
      </c>
      <c r="B32386" s="8" t="str">
        <f>HYPERLINK("https://twitter.com/Hendy49291155","@Hendy49291155")</f>
        <v>@Hendy49291155</v>
      </c>
      <c r="C32386" s="8" t="s">
        <v>4235</v>
      </c>
      <c r="D32386" s="8">
        <v>488</v>
      </c>
      <c r="E32386" s="8">
        <v>0</v>
      </c>
      <c r="F32386" s="8">
        <v>96</v>
      </c>
    </row>
    <row r="32387" spans="1:6" ht="12.75">
      <c r="A32387" s="8">
        <v>43890.020254629635</v>
      </c>
      <c r="B32387" s="8" t="str">
        <f>HYPERLINK("https://twitter.com/kjrifrankfurt","@kjrifrankfurt")</f>
        <v>@kjrifrankfurt</v>
      </c>
      <c r="C32387" s="8" t="s">
        <v>8321</v>
      </c>
      <c r="D32387" s="8">
        <v>36</v>
      </c>
      <c r="E32387" s="8">
        <v>0</v>
      </c>
      <c r="F32387" s="8">
        <v>296</v>
      </c>
    </row>
    <row r="32388" spans="1:6" ht="12.75">
      <c r="A32388" s="8">
        <v>43890.020150462966</v>
      </c>
      <c r="B32388" s="8" t="str">
        <f>HYPERLINK("https://twitter.com/GnpfBullshit212","@GnpfBullshit212")</f>
        <v>@GnpfBullshit212</v>
      </c>
      <c r="C32388" s="8" t="s">
        <v>12077</v>
      </c>
      <c r="D32388" s="8">
        <v>22</v>
      </c>
      <c r="E32388" s="8">
        <v>0</v>
      </c>
      <c r="F32388" s="8">
        <v>1031</v>
      </c>
    </row>
    <row r="32389" spans="1:6" ht="12.75">
      <c r="A32389" s="8">
        <v>43890.01966435185</v>
      </c>
      <c r="B32389" s="8" t="str">
        <f>HYPERLINK("https://twitter.com/BudiEmEm","@BudiEmEm")</f>
        <v>@BudiEmEm</v>
      </c>
      <c r="C32389" s="8" t="s">
        <v>12174</v>
      </c>
      <c r="D32389" s="8">
        <v>2</v>
      </c>
      <c r="E32389" s="8">
        <v>0</v>
      </c>
      <c r="F32389" s="8">
        <v>1469</v>
      </c>
    </row>
    <row r="32390" spans="1:6" ht="12.75">
      <c r="A32390" s="8">
        <v>43890.019432870366</v>
      </c>
      <c r="B32390" s="8" t="str">
        <f>HYPERLINK("https://twitter.com/amarrdn12","@amarrdn12")</f>
        <v>@amarrdn12</v>
      </c>
      <c r="C32390" s="8" t="s">
        <v>12001</v>
      </c>
      <c r="D32390" s="8">
        <v>8</v>
      </c>
      <c r="E32390" s="8">
        <v>0</v>
      </c>
      <c r="F32390" s="8">
        <v>75</v>
      </c>
    </row>
    <row r="32391" spans="1:6" ht="12.75">
      <c r="A32391" s="8">
        <v>43890.019421296296</v>
      </c>
      <c r="B32391" s="8" t="str">
        <f>HYPERLINK("https://twitter.com/Qonaah_Himmah","@Qonaah_Himmah")</f>
        <v>@Qonaah_Himmah</v>
      </c>
      <c r="C32391" s="8" t="s">
        <v>12175</v>
      </c>
      <c r="D32391" s="8">
        <v>0</v>
      </c>
      <c r="E32391" s="8">
        <v>0</v>
      </c>
      <c r="F32391" s="8">
        <v>1835</v>
      </c>
    </row>
    <row r="32392" spans="1:6" ht="12.75">
      <c r="A32392" s="8">
        <v>43890.019386574073</v>
      </c>
      <c r="B32392" s="8" t="str">
        <f>HYPERLINK("https://twitter.com/wilmirafiqi","@wilmirafiqi")</f>
        <v>@wilmirafiqi</v>
      </c>
      <c r="C32392" s="8" t="s">
        <v>4235</v>
      </c>
      <c r="D32392" s="8">
        <v>488</v>
      </c>
      <c r="E32392" s="8">
        <v>0</v>
      </c>
      <c r="F32392" s="8">
        <v>369</v>
      </c>
    </row>
    <row r="32393" spans="1:6" ht="12.75">
      <c r="A32393" s="8">
        <v>43890.019375000003</v>
      </c>
      <c r="B32393" s="8" t="str">
        <f>HYPERLINK("https://twitter.com/ariefhayden","@ariefhayden")</f>
        <v>@ariefhayden</v>
      </c>
      <c r="C32393" s="8" t="s">
        <v>10755</v>
      </c>
      <c r="D32393" s="8">
        <v>540</v>
      </c>
      <c r="E32393" s="8">
        <v>0</v>
      </c>
      <c r="F32393" s="8">
        <v>529</v>
      </c>
    </row>
    <row r="32394" spans="1:6" ht="12.75">
      <c r="A32394" s="8">
        <v>43890.019270833334</v>
      </c>
      <c r="B32394" s="8" t="str">
        <f>HYPERLINK("https://twitter.com/AtikahZahidah_","@AtikahZahidah_")</f>
        <v>@AtikahZahidah_</v>
      </c>
      <c r="C32394" s="8" t="s">
        <v>12077</v>
      </c>
      <c r="D32394" s="8">
        <v>22</v>
      </c>
      <c r="E32394" s="8">
        <v>0</v>
      </c>
      <c r="F32394" s="8">
        <v>3294</v>
      </c>
    </row>
    <row r="32395" spans="1:6" ht="12.75">
      <c r="A32395" s="8">
        <v>43890.019178240742</v>
      </c>
      <c r="B32395" s="8" t="str">
        <f>HYPERLINK("https://twitter.com/Benysap73692697","@Benysap73692697")</f>
        <v>@Benysap73692697</v>
      </c>
      <c r="C32395" s="8" t="s">
        <v>6490</v>
      </c>
      <c r="D32395" s="8">
        <v>140</v>
      </c>
      <c r="E32395" s="8">
        <v>0</v>
      </c>
      <c r="F32395" s="8">
        <v>244</v>
      </c>
    </row>
    <row r="32396" spans="1:6" ht="12.75">
      <c r="A32396" s="8">
        <v>43890.018877314811</v>
      </c>
      <c r="B32396" s="8" t="str">
        <f>HYPERLINK("https://twitter.com/2dibukaB","@2dibukaB")</f>
        <v>@2dibukaB</v>
      </c>
      <c r="C32396" s="8" t="s">
        <v>6836</v>
      </c>
      <c r="D32396" s="8">
        <v>115</v>
      </c>
      <c r="E32396" s="8">
        <v>0</v>
      </c>
      <c r="F32396" s="8">
        <v>1540</v>
      </c>
    </row>
    <row r="32397" spans="1:6" ht="12.75">
      <c r="A32397" s="8">
        <v>43890.018634259264</v>
      </c>
      <c r="B32397" s="8" t="str">
        <f>HYPERLINK("https://twitter.com/bangachonk","@bangachonk")</f>
        <v>@bangachonk</v>
      </c>
      <c r="C32397" s="8" t="s">
        <v>10755</v>
      </c>
      <c r="D32397" s="8">
        <v>540</v>
      </c>
      <c r="E32397" s="8">
        <v>0</v>
      </c>
      <c r="F32397" s="8">
        <v>353</v>
      </c>
    </row>
    <row r="32398" spans="1:6" ht="12.75">
      <c r="A32398" s="8">
        <v>43890.018379629633</v>
      </c>
      <c r="B32398" s="8" t="str">
        <f>HYPERLINK("https://twitter.com/fajrulazmi","@fajrulazmi")</f>
        <v>@fajrulazmi</v>
      </c>
      <c r="C32398" s="8" t="s">
        <v>10755</v>
      </c>
      <c r="D32398" s="8">
        <v>540</v>
      </c>
      <c r="E32398" s="8">
        <v>0</v>
      </c>
      <c r="F32398" s="8">
        <v>1005</v>
      </c>
    </row>
    <row r="32399" spans="1:6" ht="12.75">
      <c r="A32399" s="8">
        <v>43890.018368055556</v>
      </c>
      <c r="B32399" s="8" t="str">
        <f>HYPERLINK("https://twitter.com/Adimasruro1","@Adimasruro1")</f>
        <v>@Adimasruro1</v>
      </c>
      <c r="C32399" s="8" t="s">
        <v>6490</v>
      </c>
      <c r="D32399" s="8">
        <v>140</v>
      </c>
      <c r="E32399" s="8">
        <v>0</v>
      </c>
      <c r="F32399" s="8">
        <v>78</v>
      </c>
    </row>
    <row r="32400" spans="1:6" ht="12.75">
      <c r="A32400" s="8">
        <v>43890.018321759257</v>
      </c>
      <c r="B32400" s="8" t="str">
        <f>HYPERLINK("https://twitter.com/Awan40994846","@Awan40994846")</f>
        <v>@Awan40994846</v>
      </c>
      <c r="C32400" s="8" t="s">
        <v>10755</v>
      </c>
      <c r="D32400" s="8">
        <v>540</v>
      </c>
      <c r="E32400" s="8">
        <v>0</v>
      </c>
      <c r="F32400" s="8">
        <v>3</v>
      </c>
    </row>
    <row r="32401" spans="1:6" ht="12.75">
      <c r="A32401" s="8">
        <v>43890.018101851849</v>
      </c>
      <c r="B32401" s="8" t="str">
        <f>HYPERLINK("https://twitter.com/asliDIDi","@asliDIDi")</f>
        <v>@asliDIDi</v>
      </c>
      <c r="C32401" s="8" t="s">
        <v>12077</v>
      </c>
      <c r="D32401" s="8">
        <v>22</v>
      </c>
      <c r="E32401" s="8">
        <v>0</v>
      </c>
      <c r="F32401" s="8">
        <v>1130</v>
      </c>
    </row>
    <row r="32402" spans="1:6" ht="12.75">
      <c r="A32402" s="8">
        <v>43890.017291666663</v>
      </c>
      <c r="B32402" s="8" t="str">
        <f>HYPERLINK("https://twitter.com/Saurabh76717817","@Saurabh76717817")</f>
        <v>@Saurabh76717817</v>
      </c>
      <c r="C32402" s="8" t="s">
        <v>12176</v>
      </c>
      <c r="D32402" s="8">
        <v>0</v>
      </c>
      <c r="E32402" s="8">
        <v>0</v>
      </c>
      <c r="F32402" s="8">
        <v>104</v>
      </c>
    </row>
    <row r="32403" spans="1:6" ht="12.75">
      <c r="A32403" s="8">
        <v>43890.016851851848</v>
      </c>
      <c r="B32403" s="8" t="str">
        <f>HYPERLINK("https://twitter.com/juontor","@juontor")</f>
        <v>@juontor</v>
      </c>
      <c r="C32403" s="8" t="s">
        <v>10755</v>
      </c>
      <c r="D32403" s="8">
        <v>540</v>
      </c>
      <c r="E32403" s="8">
        <v>0</v>
      </c>
      <c r="F32403" s="8">
        <v>348</v>
      </c>
    </row>
    <row r="32404" spans="1:6" ht="12.75">
      <c r="A32404" s="8">
        <v>43890.006412037037</v>
      </c>
      <c r="B32404" s="8" t="str">
        <f>HYPERLINK("https://twitter.com/OANTIMOR6","@OANTIMOR6")</f>
        <v>@OANTIMOR6</v>
      </c>
      <c r="C32404" s="8" t="s">
        <v>12177</v>
      </c>
      <c r="D32404" s="8">
        <v>0</v>
      </c>
      <c r="E32404" s="8">
        <v>0</v>
      </c>
      <c r="F32404" s="8">
        <v>23</v>
      </c>
    </row>
    <row r="32405" spans="1:6" ht="12.75">
      <c r="A32405" s="8">
        <v>43890.006168981483</v>
      </c>
      <c r="B32405" s="8" t="str">
        <f>HYPERLINK("https://twitter.com/gembira683101","@gembira683101")</f>
        <v>@gembira683101</v>
      </c>
      <c r="C32405" s="8" t="s">
        <v>12108</v>
      </c>
      <c r="D32405" s="8">
        <v>31</v>
      </c>
      <c r="E32405" s="8">
        <v>0</v>
      </c>
      <c r="F32405" s="8">
        <v>236</v>
      </c>
    </row>
    <row r="32406" spans="1:6" ht="12.75">
      <c r="A32406" s="8">
        <v>43890.006076388891</v>
      </c>
      <c r="B32406" s="8" t="str">
        <f>HYPERLINK("https://twitter.com/MobZack","@MobZack")</f>
        <v>@MobZack</v>
      </c>
      <c r="C32406" s="8" t="s">
        <v>6836</v>
      </c>
      <c r="D32406" s="8">
        <v>109</v>
      </c>
      <c r="E32406" s="8">
        <v>0</v>
      </c>
      <c r="F32406" s="8">
        <v>225</v>
      </c>
    </row>
    <row r="32407" spans="1:6" ht="12.75">
      <c r="A32407" s="8">
        <v>43890.005798611106</v>
      </c>
      <c r="B32407" s="8" t="str">
        <f>HYPERLINK("https://twitter.com/ennyelf2","@ennyelf2")</f>
        <v>@ennyelf2</v>
      </c>
      <c r="C32407" s="8" t="s">
        <v>10755</v>
      </c>
      <c r="D32407" s="8">
        <v>524</v>
      </c>
      <c r="E32407" s="8">
        <v>0</v>
      </c>
      <c r="F32407" s="8">
        <v>377</v>
      </c>
    </row>
    <row r="32408" spans="1:6" ht="12.75">
      <c r="A32408" s="8">
        <v>43890.00576388889</v>
      </c>
      <c r="B32408" s="8" t="str">
        <f>HYPERLINK("https://twitter.com/aldy_mw","@aldy_mw")</f>
        <v>@aldy_mw</v>
      </c>
      <c r="C32408" s="8" t="s">
        <v>6490</v>
      </c>
      <c r="D32408" s="8">
        <v>131</v>
      </c>
      <c r="E32408" s="8">
        <v>0</v>
      </c>
      <c r="F32408" s="8">
        <v>1321</v>
      </c>
    </row>
    <row r="32409" spans="1:6" ht="12.75">
      <c r="A32409" s="8">
        <v>43890.005347222221</v>
      </c>
      <c r="B32409" s="8" t="str">
        <f>HYPERLINK("https://twitter.com/MFeisalReza","@MFeisalReza")</f>
        <v>@MFeisalReza</v>
      </c>
      <c r="C32409" s="8" t="s">
        <v>4235</v>
      </c>
      <c r="D32409" s="8">
        <v>435</v>
      </c>
      <c r="E32409" s="8">
        <v>0</v>
      </c>
      <c r="F32409" s="8">
        <v>778</v>
      </c>
    </row>
    <row r="32410" spans="1:6" ht="12.75">
      <c r="A32410" s="8">
        <v>43890.004386574074</v>
      </c>
      <c r="B32410" s="8" t="str">
        <f>HYPERLINK("https://twitter.com/bangluhut","@bangluhut")</f>
        <v>@bangluhut</v>
      </c>
      <c r="C32410" s="8" t="s">
        <v>12178</v>
      </c>
      <c r="D32410" s="8">
        <v>0</v>
      </c>
      <c r="E32410" s="8">
        <v>0</v>
      </c>
      <c r="F32410" s="8">
        <v>647</v>
      </c>
    </row>
    <row r="32411" spans="1:6" ht="12.75">
      <c r="A32411" s="8">
        <v>43890.004282407404</v>
      </c>
      <c r="B32411" s="8" t="str">
        <f>HYPERLINK("https://twitter.com/ernasusantys","@ernasusantys")</f>
        <v>@ernasusantys</v>
      </c>
      <c r="C32411" s="8" t="s">
        <v>11523</v>
      </c>
      <c r="D32411" s="8">
        <v>5</v>
      </c>
      <c r="E32411" s="8">
        <v>0</v>
      </c>
      <c r="F32411" s="8">
        <v>102</v>
      </c>
    </row>
    <row r="32412" spans="1:6" ht="12.75">
      <c r="A32412" s="8">
        <v>43890.003900462965</v>
      </c>
      <c r="B32412" s="8" t="str">
        <f>HYPERLINK("https://twitter.com/Jeff_Zain","@Jeff_Zain")</f>
        <v>@Jeff_Zain</v>
      </c>
      <c r="C32412" s="8" t="s">
        <v>12077</v>
      </c>
      <c r="D32412" s="8">
        <v>18</v>
      </c>
      <c r="E32412" s="8">
        <v>0</v>
      </c>
      <c r="F32412" s="8">
        <v>90</v>
      </c>
    </row>
    <row r="32413" spans="1:6" ht="12.75">
      <c r="A32413" s="8">
        <v>43890.003831018519</v>
      </c>
      <c r="B32413" s="8" t="str">
        <f>HYPERLINK("https://twitter.com/yoono_80","@yoono_80")</f>
        <v>@yoono_80</v>
      </c>
      <c r="C32413" s="8" t="s">
        <v>4235</v>
      </c>
      <c r="D32413" s="8">
        <v>435</v>
      </c>
      <c r="E32413" s="8">
        <v>0</v>
      </c>
      <c r="F32413" s="8">
        <v>176</v>
      </c>
    </row>
    <row r="32414" spans="1:6" ht="12.75">
      <c r="A32414" s="8">
        <v>43890.003807870366</v>
      </c>
      <c r="B32414" s="8" t="str">
        <f>HYPERLINK("https://twitter.com/NazreenAnuar","@NazreenAnuar")</f>
        <v>@NazreenAnuar</v>
      </c>
      <c r="C32414" s="8" t="s">
        <v>11102</v>
      </c>
      <c r="D32414" s="8">
        <v>478</v>
      </c>
      <c r="E32414" s="8">
        <v>0</v>
      </c>
      <c r="F32414" s="8">
        <v>616</v>
      </c>
    </row>
    <row r="32415" spans="1:6" ht="12.75">
      <c r="A32415" s="8">
        <v>43890.00371527778</v>
      </c>
      <c r="B32415" s="8" t="str">
        <f>HYPERLINK("https://twitter.com/stargurlllll","@stargurlllll")</f>
        <v>@stargurlllll</v>
      </c>
      <c r="C32415" s="8" t="s">
        <v>11102</v>
      </c>
      <c r="D32415" s="8">
        <v>478</v>
      </c>
      <c r="E32415" s="8">
        <v>0</v>
      </c>
      <c r="F32415" s="8">
        <v>664</v>
      </c>
    </row>
    <row r="32416" spans="1:6" ht="12.75">
      <c r="A32416" s="8">
        <v>43890.00371527778</v>
      </c>
      <c r="B32416" s="8" t="str">
        <f>HYPERLINK("https://twitter.com/DediHar66327282","@DediHar66327282")</f>
        <v>@DediHar66327282</v>
      </c>
      <c r="C32416" s="8" t="s">
        <v>12179</v>
      </c>
      <c r="D32416" s="8">
        <v>0</v>
      </c>
      <c r="E32416" s="8">
        <v>0</v>
      </c>
      <c r="F32416" s="8">
        <v>4</v>
      </c>
    </row>
    <row r="32417" spans="1:6" ht="12.75">
      <c r="A32417" s="8">
        <v>43890.003622685181</v>
      </c>
      <c r="B32417" s="8" t="str">
        <f>HYPERLINK("https://twitter.com/KRobet02","@KRobet02")</f>
        <v>@KRobet02</v>
      </c>
      <c r="C32417" s="8" t="s">
        <v>12065</v>
      </c>
      <c r="D32417" s="8">
        <v>69</v>
      </c>
      <c r="E32417" s="8">
        <v>0</v>
      </c>
      <c r="F32417" s="8">
        <v>270</v>
      </c>
    </row>
    <row r="32418" spans="1:6" ht="12.75">
      <c r="A32418" s="8">
        <v>43890.00309027778</v>
      </c>
      <c r="B32418" s="8" t="str">
        <f>HYPERLINK("https://twitter.com/antika56893672","@antika56893672")</f>
        <v>@antika56893672</v>
      </c>
      <c r="C32418" s="8" t="s">
        <v>12180</v>
      </c>
      <c r="D32418" s="8">
        <v>0</v>
      </c>
      <c r="E32418" s="8">
        <v>0</v>
      </c>
      <c r="F32418" s="8">
        <v>428</v>
      </c>
    </row>
    <row r="32419" spans="1:6" ht="12.75">
      <c r="A32419" s="8">
        <v>43890.003009259264</v>
      </c>
      <c r="B32419" s="8" t="str">
        <f>HYPERLINK("https://twitter.com/officialleteck3","@officialleteck3")</f>
        <v>@officialleteck3</v>
      </c>
      <c r="C32419" s="8" t="s">
        <v>10755</v>
      </c>
      <c r="D32419" s="8">
        <v>524</v>
      </c>
      <c r="E32419" s="8">
        <v>0</v>
      </c>
      <c r="F32419" s="8">
        <v>297</v>
      </c>
    </row>
    <row r="32420" spans="1:6" ht="12.75">
      <c r="A32420" s="8">
        <v>43890.002349537041</v>
      </c>
      <c r="B32420" s="8" t="str">
        <f>HYPERLINK("https://twitter.com/ridho_denz","@ridho_denz")</f>
        <v>@ridho_denz</v>
      </c>
      <c r="C32420" s="8" t="s">
        <v>10755</v>
      </c>
      <c r="D32420" s="8">
        <v>524</v>
      </c>
      <c r="E32420" s="8">
        <v>0</v>
      </c>
      <c r="F32420" s="8">
        <v>45</v>
      </c>
    </row>
    <row r="32421" spans="1:6" ht="12.75">
      <c r="A32421" s="8">
        <v>43890.002245370371</v>
      </c>
      <c r="B32421" s="8" t="str">
        <f>HYPERLINK("https://twitter.com/Zerolelouch3","@Zerolelouch3")</f>
        <v>@Zerolelouch3</v>
      </c>
      <c r="C32421" s="8" t="s">
        <v>12181</v>
      </c>
      <c r="D32421" s="8">
        <v>1</v>
      </c>
      <c r="E32421" s="8">
        <v>0</v>
      </c>
      <c r="F32421" s="8">
        <v>103</v>
      </c>
    </row>
    <row r="32422" spans="1:6" ht="12.75">
      <c r="A32422" s="8">
        <v>43890.002152777779</v>
      </c>
      <c r="B32422" s="8" t="str">
        <f>HYPERLINK("https://twitter.com/akun_easy","@akun_easy")</f>
        <v>@akun_easy</v>
      </c>
      <c r="C32422" s="8" t="s">
        <v>11701</v>
      </c>
      <c r="D32422" s="8">
        <v>44</v>
      </c>
      <c r="E32422" s="8">
        <v>0</v>
      </c>
      <c r="F32422" s="8">
        <v>2424</v>
      </c>
    </row>
    <row r="32423" spans="1:6" ht="12.75">
      <c r="A32423" s="8">
        <v>43890.001400462963</v>
      </c>
      <c r="B32423" s="8" t="str">
        <f>HYPERLINK("https://twitter.com/Amir_Faesal_70","@Amir_Faesal_70")</f>
        <v>@Amir_Faesal_70</v>
      </c>
      <c r="C32423" s="8" t="s">
        <v>299</v>
      </c>
      <c r="D32423" s="8">
        <v>4744</v>
      </c>
      <c r="E32423" s="8">
        <v>0</v>
      </c>
      <c r="F32423" s="8">
        <v>1685</v>
      </c>
    </row>
    <row r="32424" spans="1:6" ht="12.75">
      <c r="A32424" s="8">
        <v>43890.001319444447</v>
      </c>
      <c r="B32424" s="8" t="str">
        <f>HYPERLINK("https://twitter.com/hajaramri","@hajaramri")</f>
        <v>@hajaramri</v>
      </c>
      <c r="C32424" s="8" t="s">
        <v>11102</v>
      </c>
      <c r="D32424" s="8">
        <v>478</v>
      </c>
      <c r="E32424" s="8">
        <v>0</v>
      </c>
      <c r="F32424" s="8">
        <v>720</v>
      </c>
    </row>
    <row r="32425" spans="1:6" ht="12.75">
      <c r="A32425" s="8">
        <v>43890.001018518524</v>
      </c>
      <c r="B32425" s="8" t="str">
        <f>HYPERLINK("https://twitter.com/becak125cc","@becak125cc")</f>
        <v>@becak125cc</v>
      </c>
      <c r="C32425" s="8" t="s">
        <v>12077</v>
      </c>
      <c r="D32425" s="8">
        <v>18</v>
      </c>
      <c r="E32425" s="8">
        <v>0</v>
      </c>
      <c r="F32425" s="8">
        <v>536</v>
      </c>
    </row>
    <row r="32426" spans="1:6" ht="12.75">
      <c r="A32426" s="8">
        <v>43890.000752314816</v>
      </c>
      <c r="B32426" s="8" t="str">
        <f>HYPERLINK("https://twitter.com/ahk_king","@ahk_king")</f>
        <v>@ahk_king</v>
      </c>
      <c r="C32426" s="8" t="s">
        <v>4235</v>
      </c>
      <c r="D32426" s="8">
        <v>435</v>
      </c>
      <c r="E32426" s="8">
        <v>0</v>
      </c>
      <c r="F32426" s="8">
        <v>3080</v>
      </c>
    </row>
    <row r="32427" spans="1:6" ht="12.75">
      <c r="A32427" s="8">
        <v>43890.000509259262</v>
      </c>
      <c r="B32427" s="8" t="str">
        <f>HYPERLINK("https://twitter.com/KBRI_Brasilia","@KBRI_Brasilia")</f>
        <v>@KBRI_Brasilia</v>
      </c>
      <c r="C32427" s="8" t="s">
        <v>12182</v>
      </c>
      <c r="D32427" s="8">
        <v>0</v>
      </c>
      <c r="E32427" s="8">
        <v>0</v>
      </c>
      <c r="F32427" s="8">
        <v>946</v>
      </c>
    </row>
    <row r="32428" spans="1:6" ht="12.75">
      <c r="A32428" s="8">
        <v>43890.000439814816</v>
      </c>
      <c r="B32428" s="8" t="str">
        <f>HYPERLINK("https://twitter.com/Dhinoe2","@Dhinoe2")</f>
        <v>@Dhinoe2</v>
      </c>
      <c r="C32428" s="8" t="s">
        <v>12183</v>
      </c>
      <c r="D32428" s="8">
        <v>0</v>
      </c>
      <c r="E32428" s="8">
        <v>0</v>
      </c>
      <c r="F32428" s="8">
        <v>300</v>
      </c>
    </row>
    <row r="32429" spans="1:6" ht="12.75">
      <c r="A32429" s="8">
        <v>43890.000347222223</v>
      </c>
      <c r="B32429" s="8" t="str">
        <f>HYPERLINK("https://twitter.com/AdwinWidanta","@AdwinWidanta")</f>
        <v>@AdwinWidanta</v>
      </c>
      <c r="C32429" s="8" t="s">
        <v>11102</v>
      </c>
      <c r="D32429" s="8">
        <v>478</v>
      </c>
      <c r="E32429" s="8">
        <v>0</v>
      </c>
      <c r="F32429" s="8">
        <v>17741</v>
      </c>
    </row>
    <row r="32430" spans="1:6" ht="12.75">
      <c r="A32430" s="8">
        <v>43890.000219907408</v>
      </c>
      <c r="B32430" s="8" t="str">
        <f>HYPERLINK("https://twitter.com/saya_AAL","@saya_AAL")</f>
        <v>@saya_AAL</v>
      </c>
      <c r="C32430" s="8" t="s">
        <v>11701</v>
      </c>
      <c r="D32430" s="8">
        <v>44</v>
      </c>
      <c r="E32430" s="8">
        <v>0</v>
      </c>
      <c r="F32430" s="8">
        <v>1879</v>
      </c>
    </row>
    <row r="32431" spans="1:6" ht="12.75">
      <c r="A32431" s="8">
        <v>43890.00001157407</v>
      </c>
      <c r="B32431" s="8" t="str">
        <f>HYPERLINK("https://twitter.com/Dhinoe2","@Dhinoe2")</f>
        <v>@Dhinoe2</v>
      </c>
      <c r="C32431" s="8" t="s">
        <v>12184</v>
      </c>
      <c r="D32431" s="8">
        <v>0</v>
      </c>
      <c r="E32431" s="8">
        <v>0</v>
      </c>
      <c r="F32431" s="8">
        <v>300</v>
      </c>
    </row>
    <row r="32432" spans="1:6" ht="12.75">
      <c r="A32432" s="8">
        <v>43889.9996875</v>
      </c>
      <c r="B32432" s="8" t="str">
        <f>HYPERLINK("https://twitter.com/AsepW83497854","@AsepW83497854")</f>
        <v>@AsepW83497854</v>
      </c>
      <c r="C32432" s="8" t="s">
        <v>4235</v>
      </c>
      <c r="D32432" s="8">
        <v>435</v>
      </c>
      <c r="E32432" s="8">
        <v>0</v>
      </c>
      <c r="F32432" s="8">
        <v>189</v>
      </c>
    </row>
    <row r="32433" spans="1:6" ht="12.75">
      <c r="A32433" s="8">
        <v>43889.99962962963</v>
      </c>
      <c r="B32433" s="8" t="str">
        <f t="shared" ref="B32433:B32434" si="449">HYPERLINK("https://twitter.com/KBRI_Pretoria","@KBRI_Pretoria")</f>
        <v>@KBRI_Pretoria</v>
      </c>
      <c r="C32433" s="8" t="s">
        <v>11069</v>
      </c>
      <c r="D32433" s="8">
        <v>22</v>
      </c>
      <c r="E32433" s="8">
        <v>0</v>
      </c>
      <c r="F32433" s="8">
        <v>834</v>
      </c>
    </row>
    <row r="32434" spans="1:6" ht="12.75">
      <c r="A32434" s="8">
        <v>43889.999571759261</v>
      </c>
      <c r="B32434" s="8" t="str">
        <f t="shared" si="449"/>
        <v>@KBRI_Pretoria</v>
      </c>
      <c r="C32434" s="8" t="s">
        <v>9248</v>
      </c>
      <c r="D32434" s="8">
        <v>17</v>
      </c>
      <c r="E32434" s="8">
        <v>0</v>
      </c>
      <c r="F32434" s="8">
        <v>834</v>
      </c>
    </row>
    <row r="32435" spans="1:6" ht="12.75">
      <c r="A32435" s="8">
        <v>43889.999166666668</v>
      </c>
      <c r="B32435" s="8" t="str">
        <f>HYPERLINK("https://twitter.com/999juta","@999juta")</f>
        <v>@999juta</v>
      </c>
      <c r="C32435" s="8" t="s">
        <v>12185</v>
      </c>
      <c r="D32435" s="8">
        <v>0</v>
      </c>
      <c r="E32435" s="8">
        <v>0</v>
      </c>
      <c r="F32435" s="8">
        <v>5271</v>
      </c>
    </row>
    <row r="32436" spans="1:6" ht="12.75">
      <c r="A32436" s="8">
        <v>43889.998877314814</v>
      </c>
      <c r="B32436" s="8" t="str">
        <f>HYPERLINK("https://twitter.com/_wni_","@_wni_")</f>
        <v>@_wni_</v>
      </c>
      <c r="C32436" s="8" t="s">
        <v>12186</v>
      </c>
      <c r="D32436" s="8">
        <v>26309</v>
      </c>
      <c r="E32436" s="8">
        <v>0</v>
      </c>
      <c r="F32436" s="8">
        <v>10</v>
      </c>
    </row>
    <row r="32437" spans="1:6" ht="12.75">
      <c r="A32437" s="8">
        <v>43889.998831018514</v>
      </c>
      <c r="B32437" s="8" t="str">
        <f>HYPERLINK("https://twitter.com/Syamsud41732201","@Syamsud41732201")</f>
        <v>@Syamsud41732201</v>
      </c>
      <c r="C32437" s="8" t="s">
        <v>10755</v>
      </c>
      <c r="D32437" s="8">
        <v>524</v>
      </c>
      <c r="E32437" s="8">
        <v>0</v>
      </c>
      <c r="F32437" s="8">
        <v>735</v>
      </c>
    </row>
    <row r="32438" spans="1:6" ht="12.75">
      <c r="A32438" s="8">
        <v>43889.998796296291</v>
      </c>
      <c r="B32438" s="8" t="str">
        <f>HYPERLINK("https://twitter.com/11brantakan","@11brantakan")</f>
        <v>@11brantakan</v>
      </c>
      <c r="C32438" s="8" t="s">
        <v>4235</v>
      </c>
      <c r="D32438" s="8">
        <v>435</v>
      </c>
      <c r="E32438" s="8">
        <v>0</v>
      </c>
      <c r="F32438" s="8">
        <v>361</v>
      </c>
    </row>
    <row r="32439" spans="1:6" ht="12.75">
      <c r="A32439" s="8">
        <v>43889.998726851853</v>
      </c>
      <c r="B32439" s="8" t="str">
        <f>HYPERLINK("https://twitter.com/ainntsya_yn","@ainntsya_yn")</f>
        <v>@ainntsya_yn</v>
      </c>
      <c r="C32439" s="8" t="s">
        <v>11102</v>
      </c>
      <c r="D32439" s="8">
        <v>478</v>
      </c>
      <c r="E32439" s="8">
        <v>0</v>
      </c>
      <c r="F32439" s="8">
        <v>328</v>
      </c>
    </row>
    <row r="32440" spans="1:6" ht="12.75">
      <c r="A32440" s="8">
        <v>43889.998622685191</v>
      </c>
      <c r="B32440" s="8" t="str">
        <f>HYPERLINK("https://twitter.com/bang_qwoy","@bang_qwoy")</f>
        <v>@bang_qwoy</v>
      </c>
      <c r="C32440" s="8" t="s">
        <v>4235</v>
      </c>
      <c r="D32440" s="8">
        <v>435</v>
      </c>
      <c r="E32440" s="8">
        <v>0</v>
      </c>
      <c r="F32440" s="8">
        <v>171</v>
      </c>
    </row>
    <row r="32441" spans="1:6" ht="12.75">
      <c r="A32441" s="8">
        <v>43889.998622685191</v>
      </c>
      <c r="B32441" s="8" t="str">
        <f>HYPERLINK("https://twitter.com/yud1b4cht12r","@yud1b4cht12r")</f>
        <v>@yud1b4cht12r</v>
      </c>
      <c r="C32441" s="8" t="s">
        <v>4235</v>
      </c>
      <c r="D32441" s="8">
        <v>435</v>
      </c>
      <c r="E32441" s="8">
        <v>0</v>
      </c>
      <c r="F32441" s="8">
        <v>438</v>
      </c>
    </row>
    <row r="32442" spans="1:6" ht="12.75">
      <c r="A32442" s="8">
        <v>43889.998576388884</v>
      </c>
      <c r="B32442" s="8" t="str">
        <f>HYPERLINK("https://twitter.com/hams_cute","@hams_cute")</f>
        <v>@hams_cute</v>
      </c>
      <c r="C32442" s="8" t="s">
        <v>10755</v>
      </c>
      <c r="D32442" s="8">
        <v>524</v>
      </c>
      <c r="E32442" s="8">
        <v>0</v>
      </c>
      <c r="F32442" s="8">
        <v>280</v>
      </c>
    </row>
    <row r="32443" spans="1:6" ht="12.75">
      <c r="A32443" s="8">
        <v>43889.998460648145</v>
      </c>
      <c r="B32443" s="8" t="str">
        <f>HYPERLINK("https://twitter.com/skyjava","@skyjava")</f>
        <v>@skyjava</v>
      </c>
      <c r="C32443" s="8" t="s">
        <v>4235</v>
      </c>
      <c r="D32443" s="8">
        <v>435</v>
      </c>
      <c r="E32443" s="8">
        <v>0</v>
      </c>
      <c r="F32443" s="8">
        <v>58</v>
      </c>
    </row>
    <row r="32444" spans="1:6" ht="12.75">
      <c r="A32444" s="8">
        <v>43889.998414351852</v>
      </c>
      <c r="B32444" s="8" t="str">
        <f>HYPERLINK("https://twitter.com/ta15_","@ta15_")</f>
        <v>@ta15_</v>
      </c>
      <c r="C32444" s="8" t="s">
        <v>11102</v>
      </c>
      <c r="D32444" s="8">
        <v>478</v>
      </c>
      <c r="E32444" s="8">
        <v>0</v>
      </c>
      <c r="F32444" s="8">
        <v>668</v>
      </c>
    </row>
    <row r="32445" spans="1:6" ht="12.75">
      <c r="A32445" s="8">
        <v>43889.998252314814</v>
      </c>
      <c r="B32445" s="8" t="str">
        <f>HYPERLINK("https://twitter.com/NOGOSASTRO","@NOGOSASTRO")</f>
        <v>@NOGOSASTRO</v>
      </c>
      <c r="C32445" s="8" t="s">
        <v>11641</v>
      </c>
      <c r="D32445" s="8">
        <v>91</v>
      </c>
      <c r="E32445" s="8">
        <v>0</v>
      </c>
      <c r="F32445" s="8">
        <v>358</v>
      </c>
    </row>
    <row r="32446" spans="1:6" ht="12.75">
      <c r="A32446" s="8">
        <v>43889.99795138889</v>
      </c>
      <c r="B32446" s="8" t="str">
        <f>HYPERLINK("https://twitter.com/zulhendribasri2","@zulhendribasri2")</f>
        <v>@zulhendribasri2</v>
      </c>
      <c r="C32446" s="8" t="s">
        <v>6836</v>
      </c>
      <c r="D32446" s="8">
        <v>109</v>
      </c>
      <c r="E32446" s="8">
        <v>0</v>
      </c>
      <c r="F32446" s="8">
        <v>1665</v>
      </c>
    </row>
    <row r="32447" spans="1:6" ht="12.75">
      <c r="A32447" s="8">
        <v>43889.997939814813</v>
      </c>
      <c r="B32447" s="8" t="str">
        <f>HYPERLINK("https://twitter.com/BlackRose_VFK","@BlackRose_VFK")</f>
        <v>@BlackRose_VFK</v>
      </c>
      <c r="C32447" s="8" t="s">
        <v>4235</v>
      </c>
      <c r="D32447" s="8">
        <v>435</v>
      </c>
      <c r="E32447" s="8">
        <v>0</v>
      </c>
      <c r="F32447" s="8">
        <v>316</v>
      </c>
    </row>
    <row r="32448" spans="1:6" ht="12.75">
      <c r="A32448" s="8">
        <v>43889.997847222221</v>
      </c>
      <c r="B32448" s="8" t="str">
        <f>HYPERLINK("https://twitter.com/kidungrenjana","@kidungrenjana")</f>
        <v>@kidungrenjana</v>
      </c>
      <c r="C32448" s="8" t="s">
        <v>10755</v>
      </c>
      <c r="D32448" s="8">
        <v>524</v>
      </c>
      <c r="E32448" s="8">
        <v>0</v>
      </c>
      <c r="F32448" s="8">
        <v>10</v>
      </c>
    </row>
    <row r="32449" spans="1:6" ht="12.75">
      <c r="A32449" s="8">
        <v>43889.997696759259</v>
      </c>
      <c r="B32449" s="8" t="str">
        <f>HYPERLINK("https://twitter.com/andrajoleno","@andrajoleno")</f>
        <v>@andrajoleno</v>
      </c>
      <c r="C32449" s="8" t="s">
        <v>12108</v>
      </c>
      <c r="D32449" s="8">
        <v>31</v>
      </c>
      <c r="E32449" s="8">
        <v>0</v>
      </c>
      <c r="F32449" s="8">
        <v>6172</v>
      </c>
    </row>
    <row r="32450" spans="1:6" ht="12.75">
      <c r="A32450" s="8">
        <v>43889.997650462959</v>
      </c>
      <c r="B32450" s="8" t="str">
        <f>HYPERLINK("https://twitter.com/edhi_shi","@edhi_shi")</f>
        <v>@edhi_shi</v>
      </c>
      <c r="C32450" s="8" t="s">
        <v>12187</v>
      </c>
      <c r="D32450" s="8">
        <v>0</v>
      </c>
      <c r="E32450" s="8">
        <v>1</v>
      </c>
      <c r="F32450" s="8">
        <v>675</v>
      </c>
    </row>
    <row r="32451" spans="1:6" ht="12.75">
      <c r="A32451" s="8">
        <v>43889.997499999998</v>
      </c>
      <c r="B32451" s="8" t="str">
        <f>HYPERLINK("https://twitter.com/Benzjava_","@Benzjava_")</f>
        <v>@Benzjava_</v>
      </c>
      <c r="C32451" s="8" t="s">
        <v>4235</v>
      </c>
      <c r="D32451" s="8">
        <v>435</v>
      </c>
      <c r="E32451" s="8">
        <v>0</v>
      </c>
      <c r="F32451" s="8">
        <v>404</v>
      </c>
    </row>
    <row r="32452" spans="1:6" ht="12.75">
      <c r="A32452" s="8">
        <v>43889.997442129628</v>
      </c>
      <c r="B32452" s="8" t="str">
        <f>HYPERLINK("https://twitter.com/IkrimaSBG","@IkrimaSBG")</f>
        <v>@IkrimaSBG</v>
      </c>
      <c r="C32452" s="8" t="s">
        <v>4235</v>
      </c>
      <c r="D32452" s="8">
        <v>435</v>
      </c>
      <c r="E32452" s="8">
        <v>0</v>
      </c>
      <c r="F32452" s="8">
        <v>6446</v>
      </c>
    </row>
    <row r="32453" spans="1:6" ht="12.75">
      <c r="A32453" s="8">
        <v>43889.99728009259</v>
      </c>
      <c r="B32453" s="8" t="str">
        <f>HYPERLINK("https://twitter.com/PulauTidungTrav","@PulauTidungTrav")</f>
        <v>@PulauTidungTrav</v>
      </c>
      <c r="C32453" s="8" t="s">
        <v>12188</v>
      </c>
      <c r="D32453" s="8">
        <v>0</v>
      </c>
      <c r="E32453" s="8">
        <v>0</v>
      </c>
      <c r="F32453" s="8">
        <v>112</v>
      </c>
    </row>
    <row r="32454" spans="1:6" ht="12.75">
      <c r="A32454" s="8">
        <v>43889.997256944444</v>
      </c>
      <c r="B32454" s="8" t="str">
        <f>HYPERLINK("https://twitter.com/tidung_woles","@tidung_woles")</f>
        <v>@tidung_woles</v>
      </c>
      <c r="C32454" s="8" t="s">
        <v>12189</v>
      </c>
      <c r="D32454" s="8">
        <v>0</v>
      </c>
      <c r="E32454" s="8">
        <v>0</v>
      </c>
      <c r="F32454" s="8">
        <v>513</v>
      </c>
    </row>
    <row r="32455" spans="1:6" ht="12.75">
      <c r="A32455" s="8">
        <v>43889.997256944444</v>
      </c>
      <c r="B32455" s="8" t="str">
        <f>HYPERLINK("https://twitter.com/inidataid_","@inidataid_")</f>
        <v>@inidataid_</v>
      </c>
      <c r="C32455" s="8" t="s">
        <v>12162</v>
      </c>
      <c r="D32455" s="8">
        <v>0</v>
      </c>
      <c r="E32455" s="8">
        <v>0</v>
      </c>
      <c r="F32455" s="8">
        <v>746</v>
      </c>
    </row>
    <row r="32456" spans="1:6" ht="12.75">
      <c r="A32456" s="8">
        <v>43889.997152777782</v>
      </c>
      <c r="B32456" s="8" t="str">
        <f>HYPERLINK("https://twitter.com/mohamadmuzaffar","@mohamadmuzaffar")</f>
        <v>@mohamadmuzaffar</v>
      </c>
      <c r="C32456" s="8" t="s">
        <v>11102</v>
      </c>
      <c r="D32456" s="8">
        <v>478</v>
      </c>
      <c r="E32456" s="8">
        <v>0</v>
      </c>
      <c r="F32456" s="8">
        <v>548</v>
      </c>
    </row>
    <row r="32457" spans="1:6" ht="12.75">
      <c r="A32457" s="8">
        <v>43889.997060185182</v>
      </c>
      <c r="B32457" s="8" t="str">
        <f>HYPERLINK("https://twitter.com/cuddling24h","@cuddling24h")</f>
        <v>@cuddling24h</v>
      </c>
      <c r="C32457" s="8" t="s">
        <v>10755</v>
      </c>
      <c r="D32457" s="8">
        <v>524</v>
      </c>
      <c r="E32457" s="8">
        <v>0</v>
      </c>
      <c r="F32457" s="8">
        <v>943</v>
      </c>
    </row>
    <row r="32458" spans="1:6" ht="12.75">
      <c r="A32458" s="8">
        <v>43889.997013888889</v>
      </c>
      <c r="B32458" s="8" t="str">
        <f>HYPERLINK("https://twitter.com/pemantau69","@pemantau69")</f>
        <v>@pemantau69</v>
      </c>
      <c r="C32458" s="8" t="s">
        <v>6490</v>
      </c>
      <c r="D32458" s="8">
        <v>131</v>
      </c>
      <c r="E32458" s="8">
        <v>0</v>
      </c>
      <c r="F32458" s="8">
        <v>96</v>
      </c>
    </row>
    <row r="32459" spans="1:6" ht="12.75">
      <c r="A32459" s="8">
        <v>43889.996967592597</v>
      </c>
      <c r="B32459" s="8" t="str">
        <f>HYPERLINK("https://twitter.com/3_devout","@3_devout")</f>
        <v>@3_devout</v>
      </c>
      <c r="C32459" s="8" t="s">
        <v>11777</v>
      </c>
      <c r="D32459" s="8">
        <v>1</v>
      </c>
      <c r="E32459" s="8">
        <v>0</v>
      </c>
      <c r="F32459" s="8">
        <v>1061</v>
      </c>
    </row>
    <row r="32460" spans="1:6" ht="12.75">
      <c r="A32460" s="8">
        <v>43889.996655092589</v>
      </c>
      <c r="B32460" s="8" t="str">
        <f>HYPERLINK("https://twitter.com/ARahmansyah79","@ARahmansyah79")</f>
        <v>@ARahmansyah79</v>
      </c>
      <c r="C32460" s="8" t="s">
        <v>6490</v>
      </c>
      <c r="D32460" s="8">
        <v>131</v>
      </c>
      <c r="E32460" s="8">
        <v>0</v>
      </c>
      <c r="F32460" s="8">
        <v>785</v>
      </c>
    </row>
    <row r="32461" spans="1:6" ht="12.75">
      <c r="A32461" s="8">
        <v>43889.996400462958</v>
      </c>
      <c r="B32461" s="8" t="str">
        <f>HYPERLINK("https://twitter.com/KoRuss4","@KoRuss4")</f>
        <v>@KoRuss4</v>
      </c>
      <c r="C32461" s="8" t="s">
        <v>12190</v>
      </c>
      <c r="D32461" s="8">
        <v>0</v>
      </c>
      <c r="E32461" s="8">
        <v>0</v>
      </c>
      <c r="F32461" s="8">
        <v>12</v>
      </c>
    </row>
    <row r="32462" spans="1:6" ht="12.75">
      <c r="A32462" s="8">
        <v>43889.996168981481</v>
      </c>
      <c r="B32462" s="8" t="str">
        <f>HYPERLINK("https://twitter.com/tropicaldough_","@tropicaldough_")</f>
        <v>@tropicaldough_</v>
      </c>
      <c r="C32462" s="8" t="s">
        <v>12191</v>
      </c>
      <c r="D32462" s="8">
        <v>2</v>
      </c>
      <c r="E32462" s="8">
        <v>0</v>
      </c>
      <c r="F32462" s="8">
        <v>282</v>
      </c>
    </row>
    <row r="32463" spans="1:6" ht="12.75">
      <c r="A32463" s="8">
        <v>43889.996145833335</v>
      </c>
      <c r="B32463" s="8" t="str">
        <f>HYPERLINK("https://twitter.com/77bayoe","@77bayoe")</f>
        <v>@77bayoe</v>
      </c>
      <c r="C32463" s="8" t="s">
        <v>12098</v>
      </c>
      <c r="D32463" s="8">
        <v>1</v>
      </c>
      <c r="E32463" s="8">
        <v>0</v>
      </c>
      <c r="F32463" s="8">
        <v>2186</v>
      </c>
    </row>
    <row r="32464" spans="1:6" ht="12.75">
      <c r="A32464" s="8">
        <v>43889.996099537035</v>
      </c>
      <c r="B32464" s="8" t="str">
        <f>HYPERLINK("https://twitter.com/anggara_dien","@anggara_dien")</f>
        <v>@anggara_dien</v>
      </c>
      <c r="C32464" s="8" t="s">
        <v>6836</v>
      </c>
      <c r="D32464" s="8">
        <v>109</v>
      </c>
      <c r="E32464" s="8">
        <v>0</v>
      </c>
      <c r="F32464" s="8">
        <v>20</v>
      </c>
    </row>
    <row r="32465" spans="1:6" ht="12.75">
      <c r="A32465" s="8">
        <v>43889.996064814812</v>
      </c>
      <c r="B32465" s="8" t="str">
        <f>HYPERLINK("https://twitter.com/Hendy_Abel","@Hendy_Abel")</f>
        <v>@Hendy_Abel</v>
      </c>
      <c r="C32465" s="8" t="s">
        <v>4235</v>
      </c>
      <c r="D32465" s="8">
        <v>435</v>
      </c>
      <c r="E32465" s="8">
        <v>0</v>
      </c>
      <c r="F32465" s="8">
        <v>327</v>
      </c>
    </row>
    <row r="32466" spans="1:6" ht="12.75">
      <c r="A32466" s="8">
        <v>43889.996064814812</v>
      </c>
      <c r="B32466" s="8" t="str">
        <f>HYPERLINK("https://twitter.com/DannyWen6","@DannyWen6")</f>
        <v>@DannyWen6</v>
      </c>
      <c r="C32466" s="8" t="s">
        <v>299</v>
      </c>
      <c r="D32466" s="8">
        <v>4744</v>
      </c>
      <c r="E32466" s="8">
        <v>0</v>
      </c>
      <c r="F32466" s="8">
        <v>855</v>
      </c>
    </row>
    <row r="32467" spans="1:6" ht="12.75">
      <c r="A32467" s="8">
        <v>43889.996053240742</v>
      </c>
      <c r="B32467" s="8" t="str">
        <f>HYPERLINK("https://twitter.com/purwoto_sugeng","@purwoto_sugeng")</f>
        <v>@purwoto_sugeng</v>
      </c>
      <c r="C32467" s="8" t="s">
        <v>10743</v>
      </c>
      <c r="D32467" s="8">
        <v>78</v>
      </c>
      <c r="E32467" s="8">
        <v>0</v>
      </c>
      <c r="F32467" s="8">
        <v>142</v>
      </c>
    </row>
    <row r="32468" spans="1:6" ht="12.75">
      <c r="A32468" s="8">
        <v>43889.996041666665</v>
      </c>
      <c r="B32468" s="8" t="str">
        <f>HYPERLINK("https://twitter.com/gdxxxibtdgr","@gdxxxibtdgr")</f>
        <v>@gdxxxibtdgr</v>
      </c>
      <c r="C32468" s="8" t="s">
        <v>10755</v>
      </c>
      <c r="D32468" s="8">
        <v>524</v>
      </c>
      <c r="E32468" s="8">
        <v>0</v>
      </c>
      <c r="F32468" s="8">
        <v>34</v>
      </c>
    </row>
    <row r="32469" spans="1:6" ht="12.75">
      <c r="A32469" s="8">
        <v>43889.995763888888</v>
      </c>
      <c r="B32469" s="8" t="str">
        <f>HYPERLINK("https://twitter.com/77bayoe","@77bayoe")</f>
        <v>@77bayoe</v>
      </c>
      <c r="C32469" s="8" t="s">
        <v>10737</v>
      </c>
      <c r="D32469" s="8">
        <v>3</v>
      </c>
      <c r="E32469" s="8">
        <v>0</v>
      </c>
      <c r="F32469" s="8">
        <v>2186</v>
      </c>
    </row>
    <row r="32470" spans="1:6" ht="12.75">
      <c r="A32470" s="8">
        <v>43889.995219907403</v>
      </c>
      <c r="B32470" s="8" t="str">
        <f>HYPERLINK("https://twitter.com/andrajoleno","@andrajoleno")</f>
        <v>@andrajoleno</v>
      </c>
      <c r="C32470" s="8" t="s">
        <v>299</v>
      </c>
      <c r="D32470" s="8">
        <v>4744</v>
      </c>
      <c r="E32470" s="8">
        <v>0</v>
      </c>
      <c r="F32470" s="8">
        <v>6172</v>
      </c>
    </row>
    <row r="32471" spans="1:6" ht="12.75">
      <c r="A32471" s="8">
        <v>43889.995046296295</v>
      </c>
      <c r="B32471" s="8" t="str">
        <f>HYPERLINK("https://twitter.com/lamini63297685","@lamini63297685")</f>
        <v>@lamini63297685</v>
      </c>
      <c r="C32471" s="8" t="s">
        <v>10755</v>
      </c>
      <c r="D32471" s="8">
        <v>524</v>
      </c>
      <c r="E32471" s="8">
        <v>0</v>
      </c>
      <c r="F32471" s="8">
        <v>50</v>
      </c>
    </row>
    <row r="32472" spans="1:6" ht="12.75">
      <c r="A32472" s="8">
        <v>43889.994872685187</v>
      </c>
      <c r="B32472" s="8" t="str">
        <f>HYPERLINK("https://twitter.com/Jokowi4Me","@Jokowi4Me")</f>
        <v>@Jokowi4Me</v>
      </c>
      <c r="C32472" s="8" t="s">
        <v>12192</v>
      </c>
      <c r="D32472" s="8">
        <v>1</v>
      </c>
      <c r="E32472" s="8">
        <v>0</v>
      </c>
      <c r="F32472" s="8">
        <v>189289</v>
      </c>
    </row>
    <row r="32473" spans="1:6" ht="12.75">
      <c r="A32473" s="8">
        <v>43889.994583333333</v>
      </c>
      <c r="B32473" s="8" t="str">
        <f>HYPERLINK("https://twitter.com/Squadon","@Squadon")</f>
        <v>@Squadon</v>
      </c>
      <c r="C32473" s="8" t="s">
        <v>11302</v>
      </c>
      <c r="D32473" s="8">
        <v>31</v>
      </c>
      <c r="E32473" s="8">
        <v>0</v>
      </c>
      <c r="F32473" s="8">
        <v>58</v>
      </c>
    </row>
    <row r="32474" spans="1:6" ht="12.75">
      <c r="A32474" s="8">
        <v>43889.994409722218</v>
      </c>
      <c r="B32474" s="8" t="str">
        <f>HYPERLINK("https://twitter.com/_ibaadurrahmaan","@_ibaadurrahmaan")</f>
        <v>@_ibaadurrahmaan</v>
      </c>
      <c r="C32474" s="8" t="s">
        <v>4235</v>
      </c>
      <c r="D32474" s="8">
        <v>435</v>
      </c>
      <c r="E32474" s="8">
        <v>0</v>
      </c>
      <c r="F32474" s="8">
        <v>5079</v>
      </c>
    </row>
    <row r="32475" spans="1:6" ht="12.75">
      <c r="A32475" s="8">
        <v>43889.99428240741</v>
      </c>
      <c r="B32475" s="8" t="str">
        <f>HYPERLINK("https://twitter.com/DonAdam68","@DonAdam68")</f>
        <v>@DonAdam68</v>
      </c>
      <c r="C32475" s="8" t="s">
        <v>4235</v>
      </c>
      <c r="D32475" s="8">
        <v>435</v>
      </c>
      <c r="E32475" s="8">
        <v>0</v>
      </c>
      <c r="F32475" s="8">
        <v>50156</v>
      </c>
    </row>
    <row r="32476" spans="1:6" ht="12.75">
      <c r="A32476" s="8">
        <v>43889.99418981481</v>
      </c>
      <c r="B32476" s="8" t="str">
        <f>HYPERLINK("https://twitter.com/zahiruddinudin","@zahiruddinudin")</f>
        <v>@zahiruddinudin</v>
      </c>
      <c r="C32476" s="8" t="s">
        <v>4235</v>
      </c>
      <c r="D32476" s="8">
        <v>435</v>
      </c>
      <c r="E32476" s="8">
        <v>0</v>
      </c>
      <c r="F32476" s="8">
        <v>901</v>
      </c>
    </row>
    <row r="32477" spans="1:6" ht="12.75">
      <c r="A32477" s="8">
        <v>43889.994004629625</v>
      </c>
      <c r="B32477" s="8" t="str">
        <f>HYPERLINK("https://twitter.com/Edipurw61113168","@Edipurw61113168")</f>
        <v>@Edipurw61113168</v>
      </c>
      <c r="C32477" s="8" t="s">
        <v>4235</v>
      </c>
      <c r="D32477" s="8">
        <v>435</v>
      </c>
      <c r="E32477" s="8">
        <v>0</v>
      </c>
      <c r="F32477" s="8">
        <v>1306</v>
      </c>
    </row>
    <row r="32478" spans="1:6" ht="12.75">
      <c r="A32478" s="8">
        <v>43889.99386574074</v>
      </c>
      <c r="B32478" s="8" t="str">
        <f>HYPERLINK("https://twitter.com/adhe_oll","@adhe_oll")</f>
        <v>@adhe_oll</v>
      </c>
      <c r="C32478" s="8" t="s">
        <v>4235</v>
      </c>
      <c r="D32478" s="8">
        <v>435</v>
      </c>
      <c r="E32478" s="8">
        <v>0</v>
      </c>
      <c r="F32478" s="8">
        <v>74</v>
      </c>
    </row>
    <row r="32479" spans="1:6" ht="12.75">
      <c r="A32479" s="8">
        <v>43889.99318287037</v>
      </c>
      <c r="B32479" s="8" t="str">
        <f>HYPERLINK("https://twitter.com/TohariKJRIJOHO1","@TohariKJRIJOHO1")</f>
        <v>@TohariKJRIJOHO1</v>
      </c>
      <c r="C32479" s="8" t="s">
        <v>12193</v>
      </c>
      <c r="D32479" s="8">
        <v>2</v>
      </c>
      <c r="E32479" s="8">
        <v>0</v>
      </c>
      <c r="F32479" s="8">
        <v>5</v>
      </c>
    </row>
    <row r="32480" spans="1:6" ht="12.75">
      <c r="A32480" s="8">
        <v>43889.993159722224</v>
      </c>
      <c r="B32480" s="8" t="str">
        <f>HYPERLINK("https://twitter.com/RamdhaniBrutus","@RamdhaniBrutus")</f>
        <v>@RamdhaniBrutus</v>
      </c>
      <c r="C32480" s="8" t="s">
        <v>12057</v>
      </c>
      <c r="D32480" s="8">
        <v>39</v>
      </c>
      <c r="E32480" s="8">
        <v>0</v>
      </c>
      <c r="F32480" s="8">
        <v>1276</v>
      </c>
    </row>
    <row r="32481" spans="1:6" ht="12.75">
      <c r="A32481" s="8">
        <v>43889.993055555555</v>
      </c>
      <c r="B32481" s="8" t="str">
        <f t="shared" ref="B32481:B32482" si="450">HYPERLINK("https://twitter.com/TohariKJRIJOHO1","@TohariKJRIJOHO1")</f>
        <v>@TohariKJRIJOHO1</v>
      </c>
      <c r="C32481" s="8" t="s">
        <v>12014</v>
      </c>
      <c r="D32481" s="8">
        <v>2</v>
      </c>
      <c r="E32481" s="8">
        <v>0</v>
      </c>
      <c r="F32481" s="8">
        <v>5</v>
      </c>
    </row>
    <row r="32482" spans="1:6" ht="12.75">
      <c r="A32482" s="8">
        <v>43889.992951388893</v>
      </c>
      <c r="B32482" s="8" t="str">
        <f t="shared" si="450"/>
        <v>@TohariKJRIJOHO1</v>
      </c>
      <c r="C32482" s="8" t="s">
        <v>12013</v>
      </c>
      <c r="D32482" s="8">
        <v>2</v>
      </c>
      <c r="E32482" s="8">
        <v>0</v>
      </c>
      <c r="F32482" s="8">
        <v>5</v>
      </c>
    </row>
    <row r="32483" spans="1:6" ht="12.75">
      <c r="A32483" s="8">
        <v>43889.992858796293</v>
      </c>
      <c r="B32483" s="8" t="str">
        <f>HYPERLINK("https://twitter.com/arntgrr","@arntgrr")</f>
        <v>@arntgrr</v>
      </c>
      <c r="C32483" s="8" t="s">
        <v>10755</v>
      </c>
      <c r="D32483" s="8">
        <v>524</v>
      </c>
      <c r="E32483" s="8">
        <v>0</v>
      </c>
      <c r="F32483" s="8">
        <v>217</v>
      </c>
    </row>
    <row r="32484" spans="1:6" ht="12.75">
      <c r="A32484" s="8">
        <v>43889.992638888885</v>
      </c>
      <c r="B32484" s="8" t="str">
        <f>HYPERLINK("https://twitter.com/Donjo16534553","@Donjo16534553")</f>
        <v>@Donjo16534553</v>
      </c>
      <c r="C32484" s="8" t="s">
        <v>10755</v>
      </c>
      <c r="D32484" s="8">
        <v>524</v>
      </c>
      <c r="E32484" s="8">
        <v>0</v>
      </c>
      <c r="F32484" s="8">
        <v>20</v>
      </c>
    </row>
    <row r="32485" spans="1:6" ht="12.75">
      <c r="A32485" s="8">
        <v>43889.991944444446</v>
      </c>
      <c r="B32485" s="8" t="str">
        <f>HYPERLINK("https://twitter.com/IndonesiainBern","@IndonesiainBern")</f>
        <v>@IndonesiainBern</v>
      </c>
      <c r="C32485" s="8" t="s">
        <v>12194</v>
      </c>
      <c r="D32485" s="8">
        <v>0</v>
      </c>
      <c r="E32485" s="8">
        <v>1</v>
      </c>
      <c r="F32485" s="8">
        <v>1819</v>
      </c>
    </row>
    <row r="32486" spans="1:6" ht="12.75">
      <c r="A32486" s="8">
        <v>43889.991747685184</v>
      </c>
      <c r="B32486" s="8" t="str">
        <f>HYPERLINK("https://twitter.com/PradityaBeni","@PradityaBeni")</f>
        <v>@PradityaBeni</v>
      </c>
      <c r="C32486" s="8" t="s">
        <v>6836</v>
      </c>
      <c r="D32486" s="8">
        <v>109</v>
      </c>
      <c r="E32486" s="8">
        <v>0</v>
      </c>
      <c r="F32486" s="8">
        <v>1302</v>
      </c>
    </row>
    <row r="32487" spans="1:6" ht="12.75">
      <c r="A32487" s="8">
        <v>43889.991655092592</v>
      </c>
      <c r="B32487" s="8" t="str">
        <f>HYPERLINK("https://twitter.com/yihaayihiiAK","@yihaayihiiAK")</f>
        <v>@yihaayihiiAK</v>
      </c>
      <c r="C32487" s="8" t="s">
        <v>4235</v>
      </c>
      <c r="D32487" s="8">
        <v>435</v>
      </c>
      <c r="E32487" s="8">
        <v>0</v>
      </c>
      <c r="F32487" s="8">
        <v>1537</v>
      </c>
    </row>
    <row r="32488" spans="1:6" ht="12.75">
      <c r="A32488" s="8">
        <v>43889.991655092592</v>
      </c>
      <c r="B32488" s="8" t="str">
        <f>HYPERLINK("https://twitter.com/wni_jmsri","@wni_jmsri")</f>
        <v>@wni_jmsri</v>
      </c>
      <c r="C32488" s="8" t="s">
        <v>12195</v>
      </c>
      <c r="D32488" s="8">
        <v>2388</v>
      </c>
      <c r="E32488" s="8">
        <v>0</v>
      </c>
      <c r="F32488" s="8">
        <v>201</v>
      </c>
    </row>
    <row r="32489" spans="1:6" ht="12.75">
      <c r="A32489" s="8">
        <v>43889.991608796292</v>
      </c>
      <c r="B32489" s="8" t="str">
        <f>HYPERLINK("https://twitter.com/Arifngk","@Arifngk")</f>
        <v>@Arifngk</v>
      </c>
      <c r="C32489" s="8" t="s">
        <v>11374</v>
      </c>
      <c r="D32489" s="8">
        <v>14</v>
      </c>
      <c r="E32489" s="8">
        <v>0</v>
      </c>
      <c r="F32489" s="8">
        <v>508</v>
      </c>
    </row>
    <row r="32490" spans="1:6" ht="12.75">
      <c r="A32490" s="8">
        <v>43889.99150462963</v>
      </c>
      <c r="B32490" s="8" t="str">
        <f>HYPERLINK("https://twitter.com/Juju57822891","@Juju57822891")</f>
        <v>@Juju57822891</v>
      </c>
      <c r="C32490" s="8" t="s">
        <v>12196</v>
      </c>
      <c r="D32490" s="8">
        <v>0</v>
      </c>
      <c r="E32490" s="8">
        <v>0</v>
      </c>
      <c r="F32490" s="8">
        <v>243</v>
      </c>
    </row>
    <row r="32491" spans="1:6" ht="12.75">
      <c r="A32491" s="8">
        <v>43889.991342592592</v>
      </c>
      <c r="B32491" s="8" t="str">
        <f>HYPERLINK("https://twitter.com/triskajrd","@triskajrd")</f>
        <v>@triskajrd</v>
      </c>
      <c r="C32491" s="8" t="s">
        <v>11302</v>
      </c>
      <c r="D32491" s="8">
        <v>31</v>
      </c>
      <c r="E32491" s="8">
        <v>0</v>
      </c>
      <c r="F32491" s="8">
        <v>683</v>
      </c>
    </row>
    <row r="32492" spans="1:6" ht="12.75">
      <c r="A32492" s="8">
        <v>43889.990995370375</v>
      </c>
      <c r="B32492" s="8" t="str">
        <f>HYPERLINK("https://twitter.com/RiniAtmodjo","@RiniAtmodjo")</f>
        <v>@RiniAtmodjo</v>
      </c>
      <c r="C32492" s="8" t="s">
        <v>10755</v>
      </c>
      <c r="D32492" s="8">
        <v>524</v>
      </c>
      <c r="E32492" s="8">
        <v>0</v>
      </c>
      <c r="F32492" s="8">
        <v>20</v>
      </c>
    </row>
    <row r="32493" spans="1:6" ht="12.75">
      <c r="A32493" s="8">
        <v>43889.990798611107</v>
      </c>
      <c r="B32493" s="8" t="str">
        <f>HYPERLINK("https://twitter.com/FebryDarsono","@FebryDarsono")</f>
        <v>@FebryDarsono</v>
      </c>
      <c r="C32493" s="8" t="s">
        <v>10755</v>
      </c>
      <c r="D32493" s="8">
        <v>524</v>
      </c>
      <c r="E32493" s="8">
        <v>0</v>
      </c>
      <c r="F32493" s="8">
        <v>263</v>
      </c>
    </row>
    <row r="32494" spans="1:6" ht="12.75">
      <c r="A32494" s="8">
        <v>43889.99050925926</v>
      </c>
      <c r="B32494" s="8" t="str">
        <f>HYPERLINK("https://twitter.com/bucinaeroaqsa","@bucinaeroaqsa")</f>
        <v>@bucinaeroaqsa</v>
      </c>
      <c r="C32494" s="8" t="s">
        <v>12197</v>
      </c>
      <c r="D32494" s="8">
        <v>0</v>
      </c>
      <c r="E32494" s="8">
        <v>0</v>
      </c>
      <c r="F32494" s="8">
        <v>1417</v>
      </c>
    </row>
    <row r="32495" spans="1:6" ht="12.75">
      <c r="A32495" s="8">
        <v>43889.99046296296</v>
      </c>
      <c r="B32495" s="8" t="str">
        <f>HYPERLINK("https://twitter.com/Safitri48827283","@Safitri48827283")</f>
        <v>@Safitri48827283</v>
      </c>
      <c r="C32495" s="8" t="s">
        <v>4235</v>
      </c>
      <c r="D32495" s="8">
        <v>435</v>
      </c>
      <c r="E32495" s="8">
        <v>0</v>
      </c>
      <c r="F32495" s="8">
        <v>29</v>
      </c>
    </row>
    <row r="32496" spans="1:6" ht="12.75">
      <c r="A32496" s="8">
        <v>43889.990219907406</v>
      </c>
      <c r="B32496" s="8" t="str">
        <f>HYPERLINK("https://twitter.com/kbrilima","@kbrilima")</f>
        <v>@kbrilima</v>
      </c>
      <c r="C32496" s="8" t="s">
        <v>9248</v>
      </c>
      <c r="D32496" s="8">
        <v>17</v>
      </c>
      <c r="E32496" s="8">
        <v>0</v>
      </c>
      <c r="F32496" s="8">
        <v>1324</v>
      </c>
    </row>
    <row r="32497" spans="1:6" ht="12.75">
      <c r="A32497" s="8">
        <v>43889.989907407406</v>
      </c>
      <c r="B32497" s="8" t="str">
        <f>HYPERLINK("https://twitter.com/EdiKeceput","@EdiKeceput")</f>
        <v>@EdiKeceput</v>
      </c>
      <c r="C32497" s="8" t="s">
        <v>6490</v>
      </c>
      <c r="D32497" s="8">
        <v>131</v>
      </c>
      <c r="E32497" s="8">
        <v>0</v>
      </c>
      <c r="F32497" s="8">
        <v>485</v>
      </c>
    </row>
    <row r="32498" spans="1:6" ht="12.75">
      <c r="A32498" s="8">
        <v>43889.989861111113</v>
      </c>
      <c r="B32498" s="8" t="str">
        <f>HYPERLINK("https://twitter.com/reconWaRRioRs","@reconWaRRioRs")</f>
        <v>@reconWaRRioRs</v>
      </c>
      <c r="C32498" s="8" t="s">
        <v>12198</v>
      </c>
      <c r="D32498" s="8">
        <v>1</v>
      </c>
      <c r="E32498" s="8">
        <v>0</v>
      </c>
      <c r="F32498" s="8">
        <v>88</v>
      </c>
    </row>
    <row r="32499" spans="1:6" ht="12.75">
      <c r="A32499" s="8">
        <v>43889.989687499998</v>
      </c>
      <c r="B32499" s="8" t="str">
        <f>HYPERLINK("https://twitter.com/desi_desiiii","@desi_desiiii")</f>
        <v>@desi_desiiii</v>
      </c>
      <c r="C32499" s="8" t="s">
        <v>10755</v>
      </c>
      <c r="D32499" s="8">
        <v>524</v>
      </c>
      <c r="E32499" s="8">
        <v>0</v>
      </c>
      <c r="F32499" s="8">
        <v>487</v>
      </c>
    </row>
    <row r="32500" spans="1:6" ht="12.75">
      <c r="A32500" s="8">
        <v>43889.989606481482</v>
      </c>
      <c r="B32500" s="8" t="str">
        <f>HYPERLINK("https://twitter.com/fitriisw","@fitriisw")</f>
        <v>@fitriisw</v>
      </c>
      <c r="C32500" s="8" t="s">
        <v>11302</v>
      </c>
      <c r="D32500" s="8">
        <v>31</v>
      </c>
      <c r="E32500" s="8">
        <v>0</v>
      </c>
      <c r="F32500" s="8">
        <v>467</v>
      </c>
    </row>
    <row r="32501" spans="1:6" ht="12.75">
      <c r="A32501" s="8">
        <v>43889.989490740743</v>
      </c>
      <c r="B32501" s="8" t="str">
        <f>HYPERLINK("https://twitter.com/IngNa70","@IngNa70")</f>
        <v>@IngNa70</v>
      </c>
      <c r="C32501" s="8" t="s">
        <v>12199</v>
      </c>
      <c r="D32501" s="8">
        <v>1</v>
      </c>
      <c r="E32501" s="8">
        <v>1</v>
      </c>
      <c r="F32501" s="8">
        <v>575</v>
      </c>
    </row>
    <row r="32502" spans="1:6" ht="12.75">
      <c r="A32502" s="8">
        <v>43889.988784722227</v>
      </c>
      <c r="B32502" s="8" t="str">
        <f>HYPERLINK("https://twitter.com/bangkitriambada","@bangkitriambada")</f>
        <v>@bangkitriambada</v>
      </c>
      <c r="C32502" s="8" t="s">
        <v>12200</v>
      </c>
      <c r="D32502" s="8">
        <v>2</v>
      </c>
      <c r="E32502" s="8">
        <v>0</v>
      </c>
      <c r="F32502" s="8">
        <v>205</v>
      </c>
    </row>
    <row r="32503" spans="1:6" ht="12.75">
      <c r="A32503" s="8">
        <v>43889.988738425927</v>
      </c>
      <c r="B32503" s="8" t="str">
        <f>HYPERLINK("https://twitter.com/malam_sikumbang","@malam_sikumbang")</f>
        <v>@malam_sikumbang</v>
      </c>
      <c r="C32503" s="8" t="s">
        <v>11691</v>
      </c>
      <c r="D32503" s="8">
        <v>33</v>
      </c>
      <c r="E32503" s="8">
        <v>0</v>
      </c>
      <c r="F32503" s="8">
        <v>172</v>
      </c>
    </row>
    <row r="32504" spans="1:6" ht="12.75">
      <c r="A32504" s="8">
        <v>43889.965138888889</v>
      </c>
      <c r="B32504" s="8" t="str">
        <f>HYPERLINK("https://twitter.com/SaatTobat","@SaatTobat")</f>
        <v>@SaatTobat</v>
      </c>
      <c r="C32504" s="8" t="s">
        <v>11374</v>
      </c>
      <c r="D32504" s="8">
        <v>9</v>
      </c>
      <c r="E32504" s="8">
        <v>0</v>
      </c>
      <c r="F32504" s="8">
        <v>1358</v>
      </c>
    </row>
    <row r="32505" spans="1:6" ht="12.75">
      <c r="A32505" s="8">
        <v>43889.964988425927</v>
      </c>
      <c r="B32505" s="8" t="str">
        <f>HYPERLINK("https://twitter.com/SegoroTawar","@SegoroTawar")</f>
        <v>@SegoroTawar</v>
      </c>
      <c r="C32505" s="8" t="s">
        <v>4235</v>
      </c>
      <c r="D32505" s="8">
        <v>352</v>
      </c>
      <c r="E32505" s="8">
        <v>0</v>
      </c>
      <c r="F32505" s="8">
        <v>218</v>
      </c>
    </row>
    <row r="32506" spans="1:6" ht="12.75">
      <c r="A32506" s="8">
        <v>43889.96471064815</v>
      </c>
      <c r="B32506" s="8" t="str">
        <f>HYPERLINK("https://twitter.com/7apulidi","@7apulidi")</f>
        <v>@7apulidi</v>
      </c>
      <c r="C32506" s="8" t="s">
        <v>12053</v>
      </c>
      <c r="D32506" s="8">
        <v>2</v>
      </c>
      <c r="E32506" s="8">
        <v>0</v>
      </c>
      <c r="F32506" s="8">
        <v>888</v>
      </c>
    </row>
    <row r="32507" spans="1:6" ht="12.75">
      <c r="A32507" s="8">
        <v>43889.964629629627</v>
      </c>
      <c r="B32507" s="8" t="str">
        <f>HYPERLINK("https://twitter.com/iNewsID","@iNewsID")</f>
        <v>@iNewsID</v>
      </c>
      <c r="C32507" s="8" t="s">
        <v>12201</v>
      </c>
      <c r="D32507" s="8">
        <v>0</v>
      </c>
      <c r="E32507" s="8">
        <v>0</v>
      </c>
      <c r="F32507" s="8">
        <v>1345</v>
      </c>
    </row>
    <row r="32508" spans="1:6" ht="12.75">
      <c r="A32508" s="8">
        <v>43889.964513888888</v>
      </c>
      <c r="B32508" s="8" t="str">
        <f>HYPERLINK("https://twitter.com/adnan_nuril","@adnan_nuril")</f>
        <v>@adnan_nuril</v>
      </c>
      <c r="C32508" s="8" t="s">
        <v>11586</v>
      </c>
      <c r="D32508" s="8">
        <v>167</v>
      </c>
      <c r="E32508" s="8">
        <v>0</v>
      </c>
      <c r="F32508" s="8">
        <v>88</v>
      </c>
    </row>
    <row r="32509" spans="1:6" ht="12.75">
      <c r="A32509" s="8">
        <v>43889.964479166665</v>
      </c>
      <c r="B32509" s="8" t="str">
        <f>HYPERLINK("https://twitter.com/GreatSpiderman7","@GreatSpiderman7")</f>
        <v>@GreatSpiderman7</v>
      </c>
      <c r="C32509" s="8" t="s">
        <v>6836</v>
      </c>
      <c r="D32509" s="8">
        <v>96</v>
      </c>
      <c r="E32509" s="8">
        <v>0</v>
      </c>
      <c r="F32509" s="8">
        <v>197</v>
      </c>
    </row>
    <row r="32510" spans="1:6" ht="12.75">
      <c r="A32510" s="8">
        <v>43889.964317129634</v>
      </c>
      <c r="B32510" s="8" t="str">
        <f>HYPERLINK("https://twitter.com/Cang_BaimGL","@Cang_BaimGL")</f>
        <v>@Cang_BaimGL</v>
      </c>
      <c r="C32510" s="8" t="s">
        <v>11374</v>
      </c>
      <c r="D32510" s="8">
        <v>9</v>
      </c>
      <c r="E32510" s="8">
        <v>0</v>
      </c>
      <c r="F32510" s="8">
        <v>444</v>
      </c>
    </row>
    <row r="32511" spans="1:6" ht="12.75">
      <c r="A32511" s="8">
        <v>43889.964247685188</v>
      </c>
      <c r="B32511" s="8" t="str">
        <f>HYPERLINK("https://twitter.com/Vie9942","@Vie9942")</f>
        <v>@Vie9942</v>
      </c>
      <c r="C32511" s="8" t="s">
        <v>6490</v>
      </c>
      <c r="D32511" s="8">
        <v>115</v>
      </c>
      <c r="E32511" s="8">
        <v>0</v>
      </c>
      <c r="F32511" s="8">
        <v>305</v>
      </c>
    </row>
    <row r="32512" spans="1:6" ht="12.75">
      <c r="A32512" s="8">
        <v>43889.964004629626</v>
      </c>
      <c r="B32512" s="8" t="str">
        <f>HYPERLINK("https://twitter.com/Oedjhie2","@Oedjhie2")</f>
        <v>@Oedjhie2</v>
      </c>
      <c r="C32512" s="8" t="s">
        <v>4235</v>
      </c>
      <c r="D32512" s="8">
        <v>352</v>
      </c>
      <c r="E32512" s="8">
        <v>0</v>
      </c>
      <c r="F32512" s="8">
        <v>899</v>
      </c>
    </row>
    <row r="32513" spans="1:6" ht="12.75">
      <c r="A32513" s="8">
        <v>43889.963946759264</v>
      </c>
      <c r="B32513" s="8" t="str">
        <f>HYPERLINK("https://twitter.com/wisanggeni_084","@wisanggeni_084")</f>
        <v>@wisanggeni_084</v>
      </c>
      <c r="C32513" s="8" t="s">
        <v>12108</v>
      </c>
      <c r="D32513" s="8">
        <v>28</v>
      </c>
      <c r="E32513" s="8">
        <v>0</v>
      </c>
      <c r="F32513" s="8">
        <v>16995</v>
      </c>
    </row>
    <row r="32514" spans="1:6" ht="12.75">
      <c r="A32514" s="8">
        <v>43889.963819444441</v>
      </c>
      <c r="B32514" s="8" t="str">
        <f>HYPERLINK("https://twitter.com/lhshyun","@lhshyun")</f>
        <v>@lhshyun</v>
      </c>
      <c r="C32514" s="8" t="s">
        <v>10755</v>
      </c>
      <c r="D32514" s="8">
        <v>486</v>
      </c>
      <c r="E32514" s="8">
        <v>0</v>
      </c>
      <c r="F32514" s="8">
        <v>2433</v>
      </c>
    </row>
    <row r="32515" spans="1:6" ht="12.75">
      <c r="A32515" s="8">
        <v>43889.963819444441</v>
      </c>
      <c r="B32515" s="8" t="str">
        <f>HYPERLINK("https://twitter.com/yudhapati88","@yudhapati88")</f>
        <v>@yudhapati88</v>
      </c>
      <c r="C32515" s="8" t="s">
        <v>12108</v>
      </c>
      <c r="D32515" s="8">
        <v>28</v>
      </c>
      <c r="E32515" s="8">
        <v>0</v>
      </c>
      <c r="F32515" s="8">
        <v>3434</v>
      </c>
    </row>
    <row r="32516" spans="1:6" ht="12.75">
      <c r="A32516" s="8">
        <v>43889.963807870372</v>
      </c>
      <c r="B32516" s="8" t="str">
        <f>HYPERLINK("https://twitter.com/MajidTasya","@MajidTasya")</f>
        <v>@MajidTasya</v>
      </c>
      <c r="C32516" s="8" t="s">
        <v>11663</v>
      </c>
      <c r="D32516" s="8">
        <v>0</v>
      </c>
      <c r="E32516" s="8">
        <v>0</v>
      </c>
      <c r="F32516" s="8">
        <v>157</v>
      </c>
    </row>
    <row r="32517" spans="1:6" ht="12.75">
      <c r="A32517" s="8">
        <v>43889.963460648149</v>
      </c>
      <c r="B32517" s="8" t="str">
        <f>HYPERLINK("https://twitter.com/Yangtien1","@Yangtien1")</f>
        <v>@Yangtien1</v>
      </c>
      <c r="C32517" s="8" t="s">
        <v>4235</v>
      </c>
      <c r="D32517" s="8">
        <v>352</v>
      </c>
      <c r="E32517" s="8">
        <v>0</v>
      </c>
      <c r="F32517" s="8">
        <v>583</v>
      </c>
    </row>
    <row r="32518" spans="1:6" ht="12.75">
      <c r="A32518" s="8">
        <v>43889.963263888887</v>
      </c>
      <c r="B32518" s="8" t="str">
        <f>HYPERLINK("https://twitter.com/geloraco","@geloraco")</f>
        <v>@geloraco</v>
      </c>
      <c r="C32518" s="8" t="s">
        <v>12033</v>
      </c>
      <c r="D32518" s="8">
        <v>2</v>
      </c>
      <c r="E32518" s="8">
        <v>2</v>
      </c>
      <c r="F32518" s="8">
        <v>102889</v>
      </c>
    </row>
    <row r="32519" spans="1:6" ht="12.75">
      <c r="A32519" s="8">
        <v>43889.963124999995</v>
      </c>
      <c r="B32519" s="8" t="str">
        <f>HYPERLINK("https://twitter.com/gelatik31","@gelatik31")</f>
        <v>@gelatik31</v>
      </c>
      <c r="C32519" s="8" t="s">
        <v>10755</v>
      </c>
      <c r="D32519" s="8">
        <v>486</v>
      </c>
      <c r="E32519" s="8">
        <v>0</v>
      </c>
      <c r="F32519" s="8">
        <v>316</v>
      </c>
    </row>
    <row r="32520" spans="1:6" ht="12.75">
      <c r="A32520" s="8">
        <v>43889.962974537033</v>
      </c>
      <c r="B32520" s="8" t="str">
        <f>HYPERLINK("https://twitter.com/sirayustika","@sirayustika")</f>
        <v>@sirayustika</v>
      </c>
      <c r="C32520" s="8" t="s">
        <v>12202</v>
      </c>
      <c r="D32520" s="8">
        <v>0</v>
      </c>
      <c r="E32520" s="8">
        <v>0</v>
      </c>
      <c r="F32520" s="8">
        <v>60</v>
      </c>
    </row>
    <row r="32521" spans="1:6" ht="12.75">
      <c r="A32521" s="8">
        <v>43889.962754629625</v>
      </c>
      <c r="B32521" s="8" t="str">
        <f>HYPERLINK("https://twitter.com/pae_sragen","@pae_sragen")</f>
        <v>@pae_sragen</v>
      </c>
      <c r="C32521" s="8" t="s">
        <v>4235</v>
      </c>
      <c r="D32521" s="8">
        <v>352</v>
      </c>
      <c r="E32521" s="8">
        <v>0</v>
      </c>
      <c r="F32521" s="8">
        <v>243</v>
      </c>
    </row>
    <row r="32522" spans="1:6" ht="12.75">
      <c r="A32522" s="8">
        <v>43889.962719907402</v>
      </c>
      <c r="B32522" s="8" t="str">
        <f>HYPERLINK("https://twitter.com/sanguan0709","@sanguan0709")</f>
        <v>@sanguan0709</v>
      </c>
      <c r="C32522" s="8" t="s">
        <v>4235</v>
      </c>
      <c r="D32522" s="8">
        <v>352</v>
      </c>
      <c r="E32522" s="8">
        <v>0</v>
      </c>
      <c r="F32522" s="8">
        <v>943</v>
      </c>
    </row>
    <row r="32523" spans="1:6" ht="12.75">
      <c r="A32523" s="8">
        <v>43889.962546296301</v>
      </c>
      <c r="B32523" s="8" t="str">
        <f>HYPERLINK("https://twitter.com/kicepkicep","@kicepkicep")</f>
        <v>@kicepkicep</v>
      </c>
      <c r="C32523" s="8" t="s">
        <v>6490</v>
      </c>
      <c r="D32523" s="8">
        <v>115</v>
      </c>
      <c r="E32523" s="8">
        <v>0</v>
      </c>
      <c r="F32523" s="8">
        <v>1244</v>
      </c>
    </row>
    <row r="32524" spans="1:6" ht="12.75">
      <c r="A32524" s="8">
        <v>43889.962476851855</v>
      </c>
      <c r="B32524" s="8" t="str">
        <f t="shared" ref="B32524:B32525" si="451">HYPERLINK("https://twitter.com/AnwarSh44668965","@AnwarSh44668965")</f>
        <v>@AnwarSh44668965</v>
      </c>
      <c r="C32524" s="8" t="s">
        <v>4785</v>
      </c>
      <c r="D32524" s="8">
        <v>482</v>
      </c>
      <c r="E32524" s="8">
        <v>0</v>
      </c>
      <c r="F32524" s="8">
        <v>49</v>
      </c>
    </row>
    <row r="32525" spans="1:6" ht="12.75">
      <c r="A32525" s="8">
        <v>43889.962430555555</v>
      </c>
      <c r="B32525" s="8" t="str">
        <f t="shared" si="451"/>
        <v>@AnwarSh44668965</v>
      </c>
      <c r="C32525" s="8" t="s">
        <v>26</v>
      </c>
      <c r="D32525" s="8">
        <v>174</v>
      </c>
      <c r="E32525" s="8">
        <v>0</v>
      </c>
      <c r="F32525" s="8">
        <v>49</v>
      </c>
    </row>
    <row r="32526" spans="1:6" ht="12.75">
      <c r="A32526" s="8">
        <v>43889.962037037039</v>
      </c>
      <c r="B32526" s="8" t="str">
        <f>HYPERLINK("https://twitter.com/kicepkicep","@kicepkicep")</f>
        <v>@kicepkicep</v>
      </c>
      <c r="C32526" s="8" t="s">
        <v>6836</v>
      </c>
      <c r="D32526" s="8">
        <v>96</v>
      </c>
      <c r="E32526" s="8">
        <v>0</v>
      </c>
      <c r="F32526" s="8">
        <v>1244</v>
      </c>
    </row>
    <row r="32527" spans="1:6" ht="12.75">
      <c r="A32527" s="8">
        <v>43889.961782407408</v>
      </c>
      <c r="B32527" s="8" t="str">
        <f>HYPERLINK("https://twitter.com/dorandae_il","@dorandae_il")</f>
        <v>@dorandae_il</v>
      </c>
      <c r="C32527" s="8" t="s">
        <v>12203</v>
      </c>
      <c r="D32527" s="8">
        <v>1</v>
      </c>
      <c r="E32527" s="8">
        <v>0</v>
      </c>
      <c r="F32527" s="8">
        <v>1401</v>
      </c>
    </row>
    <row r="32528" spans="1:6" ht="12.75">
      <c r="A32528" s="8">
        <v>43889.96166666667</v>
      </c>
      <c r="B32528" s="8" t="str">
        <f>HYPERLINK("https://twitter.com/hafizhfatih","@hafizhfatih")</f>
        <v>@hafizhfatih</v>
      </c>
      <c r="C32528" s="8" t="s">
        <v>10755</v>
      </c>
      <c r="D32528" s="8">
        <v>486</v>
      </c>
      <c r="E32528" s="8">
        <v>0</v>
      </c>
      <c r="F32528" s="8">
        <v>2</v>
      </c>
    </row>
    <row r="32529" spans="1:6" ht="12.75">
      <c r="A32529" s="8">
        <v>43889.961493055554</v>
      </c>
      <c r="B32529" s="8" t="str">
        <f>HYPERLINK("https://twitter.com/tempodotco","@tempodotco")</f>
        <v>@tempodotco</v>
      </c>
      <c r="C32529" s="8" t="s">
        <v>12204</v>
      </c>
      <c r="D32529" s="8">
        <v>0</v>
      </c>
      <c r="E32529" s="8">
        <v>2</v>
      </c>
      <c r="F32529" s="8">
        <v>1713417</v>
      </c>
    </row>
    <row r="32530" spans="1:6" ht="12.75">
      <c r="A32530" s="8">
        <v>43889.9612037037</v>
      </c>
      <c r="B32530" s="8" t="str">
        <f>HYPERLINK("https://twitter.com/nishnoshhh","@nishnoshhh")</f>
        <v>@nishnoshhh</v>
      </c>
      <c r="C32530" s="8" t="s">
        <v>11302</v>
      </c>
      <c r="D32530" s="8">
        <v>28</v>
      </c>
      <c r="E32530" s="8">
        <v>0</v>
      </c>
      <c r="F32530" s="8">
        <v>248</v>
      </c>
    </row>
    <row r="32531" spans="1:6" ht="12.75">
      <c r="A32531" s="8">
        <v>43889.961111111115</v>
      </c>
      <c r="B32531" s="8" t="str">
        <f>HYPERLINK("https://twitter.com/awaliyu1","@awaliyu1")</f>
        <v>@awaliyu1</v>
      </c>
      <c r="C32531" s="8" t="s">
        <v>4235</v>
      </c>
      <c r="D32531" s="8">
        <v>352</v>
      </c>
      <c r="E32531" s="8">
        <v>0</v>
      </c>
      <c r="F32531" s="8">
        <v>526</v>
      </c>
    </row>
    <row r="32532" spans="1:6" ht="12.75">
      <c r="A32532" s="8">
        <v>43889.960787037038</v>
      </c>
      <c r="B32532" s="8" t="str">
        <f>HYPERLINK("https://twitter.com/JalanLuru5","@JalanLuru5")</f>
        <v>@JalanLuru5</v>
      </c>
      <c r="C32532" s="8" t="s">
        <v>9768</v>
      </c>
      <c r="D32532" s="8">
        <v>74</v>
      </c>
      <c r="E32532" s="8">
        <v>0</v>
      </c>
      <c r="F32532" s="8">
        <v>135</v>
      </c>
    </row>
    <row r="32533" spans="1:6" ht="12.75">
      <c r="A32533" s="8">
        <v>43889.960474537038</v>
      </c>
      <c r="B32533" s="8" t="str">
        <f>HYPERLINK("https://twitter.com/JuhanyRifad","@JuhanyRifad")</f>
        <v>@JuhanyRifad</v>
      </c>
      <c r="C32533" s="8" t="s">
        <v>4235</v>
      </c>
      <c r="D32533" s="8">
        <v>352</v>
      </c>
      <c r="E32533" s="8">
        <v>0</v>
      </c>
      <c r="F32533" s="8">
        <v>95</v>
      </c>
    </row>
    <row r="32534" spans="1:6" ht="12.75">
      <c r="A32534" s="8">
        <v>43889.960451388892</v>
      </c>
      <c r="B32534" s="8" t="str">
        <f>HYPERLINK("https://twitter.com/Bonte_ID","@Bonte_ID")</f>
        <v>@Bonte_ID</v>
      </c>
      <c r="C32534" s="8" t="s">
        <v>6836</v>
      </c>
      <c r="D32534" s="8">
        <v>96</v>
      </c>
      <c r="E32534" s="8">
        <v>0</v>
      </c>
      <c r="F32534" s="8">
        <v>492</v>
      </c>
    </row>
    <row r="32535" spans="1:6" ht="12.75">
      <c r="A32535" s="8">
        <v>43889.960428240738</v>
      </c>
      <c r="B32535" s="8" t="str">
        <f>HYPERLINK("https://twitter.com/GreatSpiderman7","@GreatSpiderman7")</f>
        <v>@GreatSpiderman7</v>
      </c>
      <c r="C32535" s="8" t="s">
        <v>6490</v>
      </c>
      <c r="D32535" s="8">
        <v>115</v>
      </c>
      <c r="E32535" s="8">
        <v>0</v>
      </c>
      <c r="F32535" s="8">
        <v>197</v>
      </c>
    </row>
    <row r="32536" spans="1:6" ht="12.75">
      <c r="A32536" s="8">
        <v>43889.960370370369</v>
      </c>
      <c r="B32536" s="8" t="str">
        <f>HYPERLINK("https://twitter.com/Bodenkkokko","@Bodenkkokko")</f>
        <v>@Bodenkkokko</v>
      </c>
      <c r="C32536" s="8" t="s">
        <v>12108</v>
      </c>
      <c r="D32536" s="8">
        <v>28</v>
      </c>
      <c r="E32536" s="8">
        <v>0</v>
      </c>
      <c r="F32536" s="8">
        <v>253</v>
      </c>
    </row>
    <row r="32537" spans="1:6" ht="12.75">
      <c r="A32537" s="8">
        <v>43889.960023148145</v>
      </c>
      <c r="B32537" s="8" t="str">
        <f>HYPERLINK("https://twitter.com/herlambang_tan","@herlambang_tan")</f>
        <v>@herlambang_tan</v>
      </c>
      <c r="C32537" s="8" t="s">
        <v>11701</v>
      </c>
      <c r="D32537" s="8">
        <v>40</v>
      </c>
      <c r="E32537" s="8">
        <v>0</v>
      </c>
      <c r="F32537" s="8">
        <v>2396</v>
      </c>
    </row>
    <row r="32538" spans="1:6" ht="12.75">
      <c r="A32538" s="8">
        <v>43889.959988425922</v>
      </c>
      <c r="B32538" s="8" t="str">
        <f>HYPERLINK("https://twitter.com/BadjaNuswantara","@BadjaNuswantara")</f>
        <v>@BadjaNuswantara</v>
      </c>
      <c r="C32538" s="8" t="s">
        <v>12108</v>
      </c>
      <c r="D32538" s="8">
        <v>28</v>
      </c>
      <c r="E32538" s="8">
        <v>0</v>
      </c>
      <c r="F32538" s="8">
        <v>43462</v>
      </c>
    </row>
    <row r="32539" spans="1:6" ht="12.75">
      <c r="A32539" s="8">
        <v>43889.959826388891</v>
      </c>
      <c r="B32539" s="8" t="str">
        <f>HYPERLINK("https://twitter.com/nengit80","@nengit80")</f>
        <v>@nengit80</v>
      </c>
      <c r="C32539" s="8" t="s">
        <v>6836</v>
      </c>
      <c r="D32539" s="8">
        <v>96</v>
      </c>
      <c r="E32539" s="8">
        <v>0</v>
      </c>
      <c r="F32539" s="8">
        <v>562</v>
      </c>
    </row>
    <row r="32540" spans="1:6" ht="12.75">
      <c r="A32540" s="8">
        <v>43889.959699074076</v>
      </c>
      <c r="B32540" s="8" t="str">
        <f>HYPERLINK("https://twitter.com/Uus94","@Uus94")</f>
        <v>@Uus94</v>
      </c>
      <c r="C32540" s="8" t="s">
        <v>10755</v>
      </c>
      <c r="D32540" s="8">
        <v>486</v>
      </c>
      <c r="E32540" s="8">
        <v>0</v>
      </c>
      <c r="F32540" s="8">
        <v>168</v>
      </c>
    </row>
    <row r="32541" spans="1:6" ht="12.75">
      <c r="A32541" s="8">
        <v>43889.959687499999</v>
      </c>
      <c r="B32541" s="8" t="str">
        <f>HYPERLINK("https://twitter.com/herlambang_tan","@herlambang_tan")</f>
        <v>@herlambang_tan</v>
      </c>
      <c r="C32541" s="8" t="s">
        <v>12108</v>
      </c>
      <c r="D32541" s="8">
        <v>28</v>
      </c>
      <c r="E32541" s="8">
        <v>0</v>
      </c>
      <c r="F32541" s="8">
        <v>2396</v>
      </c>
    </row>
    <row r="32542" spans="1:6" ht="12.75">
      <c r="A32542" s="8">
        <v>43889.95958333333</v>
      </c>
      <c r="B32542" s="8" t="str">
        <f>HYPERLINK("https://twitter.com/Agusman70452600","@Agusman70452600")</f>
        <v>@Agusman70452600</v>
      </c>
      <c r="C32542" s="8" t="s">
        <v>4235</v>
      </c>
      <c r="D32542" s="8">
        <v>352</v>
      </c>
      <c r="E32542" s="8">
        <v>0</v>
      </c>
      <c r="F32542" s="8">
        <v>502</v>
      </c>
    </row>
    <row r="32543" spans="1:6" ht="12.75">
      <c r="A32543" s="8">
        <v>43889.959548611107</v>
      </c>
      <c r="B32543" s="8" t="str">
        <f>HYPERLINK("https://twitter.com/masaryaduta","@masaryaduta")</f>
        <v>@masaryaduta</v>
      </c>
      <c r="C32543" s="8" t="s">
        <v>4235</v>
      </c>
      <c r="D32543" s="8">
        <v>352</v>
      </c>
      <c r="E32543" s="8">
        <v>0</v>
      </c>
      <c r="F32543" s="8">
        <v>2892</v>
      </c>
    </row>
    <row r="32544" spans="1:6" ht="12.75">
      <c r="A32544" s="8">
        <v>43889.959467592591</v>
      </c>
      <c r="B32544" s="8" t="str">
        <f>HYPERLINK("https://twitter.com/dahrul1223lpy","@dahrul1223lpy")</f>
        <v>@dahrul1223lpy</v>
      </c>
      <c r="C32544" s="8" t="s">
        <v>6836</v>
      </c>
      <c r="D32544" s="8">
        <v>96</v>
      </c>
      <c r="E32544" s="8">
        <v>0</v>
      </c>
      <c r="F32544" s="8">
        <v>378</v>
      </c>
    </row>
    <row r="32545" spans="1:6" ht="12.75">
      <c r="A32545" s="8">
        <v>43889.959456018521</v>
      </c>
      <c r="B32545" s="8" t="str">
        <f>HYPERLINK("https://twitter.com/GagakNeww2","@GagakNeww2")</f>
        <v>@GagakNeww2</v>
      </c>
      <c r="C32545" s="8" t="s">
        <v>12205</v>
      </c>
      <c r="D32545" s="8">
        <v>1</v>
      </c>
      <c r="E32545" s="8">
        <v>0</v>
      </c>
      <c r="F32545" s="8">
        <v>429</v>
      </c>
    </row>
    <row r="32546" spans="1:6" ht="12.75">
      <c r="A32546" s="8">
        <v>43889.959386574075</v>
      </c>
      <c r="B32546" s="8" t="str">
        <f>HYPERLINK("https://twitter.com/xiyulinglee","@xiyulinglee")</f>
        <v>@xiyulinglee</v>
      </c>
      <c r="C32546" s="8" t="s">
        <v>12206</v>
      </c>
      <c r="D32546" s="8">
        <v>1</v>
      </c>
      <c r="E32546" s="8">
        <v>0</v>
      </c>
      <c r="F32546" s="8">
        <v>245</v>
      </c>
    </row>
    <row r="32547" spans="1:6" ht="12.75">
      <c r="A32547" s="8">
        <v>43889.958981481483</v>
      </c>
      <c r="B32547" s="8" t="str">
        <f>HYPERLINK("https://twitter.com/tegaxdirimu","@tegaxdirimu")</f>
        <v>@tegaxdirimu</v>
      </c>
      <c r="C32547" s="8" t="s">
        <v>6490</v>
      </c>
      <c r="D32547" s="8">
        <v>115</v>
      </c>
      <c r="E32547" s="8">
        <v>0</v>
      </c>
      <c r="F32547" s="8">
        <v>524</v>
      </c>
    </row>
    <row r="32548" spans="1:6" ht="12.75">
      <c r="A32548" s="8">
        <v>43889.958877314813</v>
      </c>
      <c r="B32548" s="8" t="str">
        <f>HYPERLINK("https://twitter.com/sirminsik","@sirminsik")</f>
        <v>@sirminsik</v>
      </c>
      <c r="C32548" s="8" t="s">
        <v>12207</v>
      </c>
      <c r="D32548" s="8">
        <v>0</v>
      </c>
      <c r="E32548" s="8">
        <v>0</v>
      </c>
      <c r="F32548" s="8">
        <v>627</v>
      </c>
    </row>
    <row r="32549" spans="1:6" ht="12.75">
      <c r="A32549" s="8">
        <v>43889.958530092597</v>
      </c>
      <c r="B32549" s="8" t="str">
        <f>HYPERLINK("https://twitter.com/yundasari","@yundasari")</f>
        <v>@yundasari</v>
      </c>
      <c r="C32549" s="8" t="s">
        <v>12208</v>
      </c>
      <c r="D32549" s="8">
        <v>0</v>
      </c>
      <c r="E32549" s="8">
        <v>0</v>
      </c>
      <c r="F32549" s="8">
        <v>667</v>
      </c>
    </row>
    <row r="32550" spans="1:6" ht="12.75">
      <c r="A32550" s="8">
        <v>43889.958483796298</v>
      </c>
      <c r="B32550" s="8" t="str">
        <f>HYPERLINK("https://twitter.com/GreatSpiderman7","@GreatSpiderman7")</f>
        <v>@GreatSpiderman7</v>
      </c>
      <c r="C32550" s="8" t="s">
        <v>4235</v>
      </c>
      <c r="D32550" s="8">
        <v>352</v>
      </c>
      <c r="E32550" s="8">
        <v>0</v>
      </c>
      <c r="F32550" s="8">
        <v>197</v>
      </c>
    </row>
    <row r="32551" spans="1:6" ht="12.75">
      <c r="A32551" s="8">
        <v>43889.958344907413</v>
      </c>
      <c r="B32551" s="8" t="str">
        <f>HYPERLINK("https://twitter.com/GTVID_News","@GTVID_News")</f>
        <v>@GTVID_News</v>
      </c>
      <c r="C32551" s="8" t="s">
        <v>12209</v>
      </c>
      <c r="D32551" s="8">
        <v>0</v>
      </c>
      <c r="E32551" s="8">
        <v>0</v>
      </c>
      <c r="F32551" s="8">
        <v>10802</v>
      </c>
    </row>
    <row r="32552" spans="1:6" ht="12.75">
      <c r="A32552" s="8">
        <v>43889.958298611113</v>
      </c>
      <c r="B32552" s="8" t="str">
        <f>HYPERLINK("https://twitter.com/windawandari","@windawandari")</f>
        <v>@windawandari</v>
      </c>
      <c r="C32552" s="8" t="s">
        <v>2941</v>
      </c>
      <c r="D32552" s="8">
        <v>1088</v>
      </c>
      <c r="E32552" s="8">
        <v>0</v>
      </c>
      <c r="F32552" s="8">
        <v>409</v>
      </c>
    </row>
    <row r="32553" spans="1:6" ht="12.75">
      <c r="A32553" s="8">
        <v>43889.95826388889</v>
      </c>
      <c r="B32553" s="8" t="str">
        <f>HYPERLINK("https://twitter.com/apreliamayang","@apreliamayang")</f>
        <v>@apreliamayang</v>
      </c>
      <c r="C32553" s="8" t="s">
        <v>11302</v>
      </c>
      <c r="D32553" s="8">
        <v>28</v>
      </c>
      <c r="E32553" s="8">
        <v>0</v>
      </c>
      <c r="F32553" s="8">
        <v>542</v>
      </c>
    </row>
    <row r="32554" spans="1:6" ht="12.75">
      <c r="A32554" s="8">
        <v>43889.958113425921</v>
      </c>
      <c r="B32554" s="8" t="str">
        <f>HYPERLINK("https://twitter.com/bffb300aff02425","@bffb300aff02425")</f>
        <v>@bffb300aff02425</v>
      </c>
      <c r="C32554" s="8" t="s">
        <v>12056</v>
      </c>
      <c r="D32554" s="8">
        <v>45</v>
      </c>
      <c r="E32554" s="8">
        <v>0</v>
      </c>
      <c r="F32554" s="8">
        <v>519</v>
      </c>
    </row>
    <row r="32555" spans="1:6" ht="12.75">
      <c r="A32555" s="8">
        <v>43889.958113425921</v>
      </c>
      <c r="B32555" s="8" t="str">
        <f>HYPERLINK("https://twitter.com/yudhapati88","@yudhapati88")</f>
        <v>@yudhapati88</v>
      </c>
      <c r="C32555" s="8" t="s">
        <v>12210</v>
      </c>
      <c r="D32555" s="8">
        <v>1</v>
      </c>
      <c r="E32555" s="8">
        <v>0</v>
      </c>
      <c r="F32555" s="8">
        <v>3434</v>
      </c>
    </row>
    <row r="32556" spans="1:6" ht="12.75">
      <c r="A32556" s="8">
        <v>43889.957858796297</v>
      </c>
      <c r="B32556" s="8" t="str">
        <f>HYPERLINK("https://twitter.com/hasbiputra_a","@hasbiputra_a")</f>
        <v>@hasbiputra_a</v>
      </c>
      <c r="C32556" s="8" t="s">
        <v>12211</v>
      </c>
      <c r="D32556" s="8">
        <v>0</v>
      </c>
      <c r="E32556" s="8">
        <v>0</v>
      </c>
      <c r="F32556" s="8">
        <v>21</v>
      </c>
    </row>
    <row r="32557" spans="1:6" ht="12.75">
      <c r="A32557" s="8">
        <v>43889.957361111112</v>
      </c>
      <c r="B32557" s="8" t="str">
        <f>HYPERLINK("https://twitter.com/dewi_darmawati","@dewi_darmawati")</f>
        <v>@dewi_darmawati</v>
      </c>
      <c r="C32557" s="8" t="s">
        <v>12212</v>
      </c>
      <c r="D32557" s="8">
        <v>2</v>
      </c>
      <c r="E32557" s="8">
        <v>0</v>
      </c>
      <c r="F32557" s="8">
        <v>4338</v>
      </c>
    </row>
    <row r="32558" spans="1:6" ht="12.75">
      <c r="A32558" s="8">
        <v>43889.95716435185</v>
      </c>
      <c r="B32558" s="8" t="str">
        <f>HYPERLINK("https://twitter.com/djadasjah","@djadasjah")</f>
        <v>@djadasjah</v>
      </c>
      <c r="C32558" s="8" t="s">
        <v>4235</v>
      </c>
      <c r="D32558" s="8">
        <v>352</v>
      </c>
      <c r="E32558" s="8">
        <v>0</v>
      </c>
      <c r="F32558" s="8">
        <v>514</v>
      </c>
    </row>
    <row r="32559" spans="1:6" ht="12.75">
      <c r="A32559" s="8">
        <v>43889.956493055557</v>
      </c>
      <c r="B32559" s="8" t="str">
        <f>HYPERLINK("https://twitter.com/MobZack","@MobZack")</f>
        <v>@MobZack</v>
      </c>
      <c r="C32559" s="8" t="s">
        <v>4235</v>
      </c>
      <c r="D32559" s="8">
        <v>352</v>
      </c>
      <c r="E32559" s="8">
        <v>0</v>
      </c>
      <c r="F32559" s="8">
        <v>225</v>
      </c>
    </row>
    <row r="32560" spans="1:6" ht="12.75">
      <c r="A32560" s="8">
        <v>43889.956435185188</v>
      </c>
      <c r="B32560" s="8" t="str">
        <f>HYPERLINK("https://twitter.com/TrioMacari2000","@TrioMacari2000")</f>
        <v>@TrioMacari2000</v>
      </c>
      <c r="C32560" s="8" t="s">
        <v>6490</v>
      </c>
      <c r="D32560" s="8">
        <v>115</v>
      </c>
      <c r="E32560" s="8">
        <v>0</v>
      </c>
      <c r="F32560" s="8">
        <v>6525</v>
      </c>
    </row>
    <row r="32561" spans="1:6" ht="12.75">
      <c r="A32561" s="8">
        <v>43889.956423611111</v>
      </c>
      <c r="B32561" s="8" t="str">
        <f>HYPERLINK("https://twitter.com/Risnawa34206686","@Risnawa34206686")</f>
        <v>@Risnawa34206686</v>
      </c>
      <c r="C32561" s="8" t="s">
        <v>6490</v>
      </c>
      <c r="D32561" s="8">
        <v>115</v>
      </c>
      <c r="E32561" s="8">
        <v>0</v>
      </c>
      <c r="F32561" s="8">
        <v>110</v>
      </c>
    </row>
    <row r="32562" spans="1:6" ht="12.75">
      <c r="A32562" s="8">
        <v>43889.956342592588</v>
      </c>
      <c r="B32562" s="8" t="str">
        <f>HYPERLINK("https://twitter.com/jejaqen","@jejaqen")</f>
        <v>@jejaqen</v>
      </c>
      <c r="C32562" s="8" t="s">
        <v>12213</v>
      </c>
      <c r="D32562" s="8">
        <v>17</v>
      </c>
      <c r="E32562" s="8">
        <v>0</v>
      </c>
      <c r="F32562" s="8">
        <v>199</v>
      </c>
    </row>
    <row r="32563" spans="1:6" ht="12.75">
      <c r="A32563" s="8">
        <v>43889.955740740741</v>
      </c>
      <c r="B32563" s="8" t="str">
        <f>HYPERLINK("https://twitter.com/mwildhan","@mwildhan")</f>
        <v>@mwildhan</v>
      </c>
      <c r="C32563" s="8" t="s">
        <v>4235</v>
      </c>
      <c r="D32563" s="8">
        <v>352</v>
      </c>
      <c r="E32563" s="8">
        <v>0</v>
      </c>
      <c r="F32563" s="8">
        <v>727</v>
      </c>
    </row>
    <row r="32564" spans="1:6" ht="12.75">
      <c r="A32564" s="8">
        <v>43889.955694444448</v>
      </c>
      <c r="B32564" s="8" t="str">
        <f>HYPERLINK("https://twitter.com/Alphatoons","@Alphatoons")</f>
        <v>@Alphatoons</v>
      </c>
      <c r="C32564" s="8" t="s">
        <v>12214</v>
      </c>
      <c r="D32564" s="8">
        <v>1</v>
      </c>
      <c r="E32564" s="8">
        <v>0</v>
      </c>
      <c r="F32564" s="8">
        <v>1848</v>
      </c>
    </row>
    <row r="32565" spans="1:6" ht="12.75">
      <c r="A32565" s="8">
        <v>43889.955555555556</v>
      </c>
      <c r="B32565" s="8" t="str">
        <f>HYPERLINK("https://twitter.com/denyros","@denyros")</f>
        <v>@denyros</v>
      </c>
      <c r="C32565" s="8" t="s">
        <v>10755</v>
      </c>
      <c r="D32565" s="8">
        <v>486</v>
      </c>
      <c r="E32565" s="8">
        <v>0</v>
      </c>
      <c r="F32565" s="8">
        <v>139</v>
      </c>
    </row>
    <row r="32566" spans="1:6" ht="12.75">
      <c r="A32566" s="8">
        <v>43889.95548611111</v>
      </c>
      <c r="B32566" s="8" t="str">
        <f>HYPERLINK("https://twitter.com/PAS086","@PAS086")</f>
        <v>@PAS086</v>
      </c>
      <c r="C32566" s="8" t="s">
        <v>4235</v>
      </c>
      <c r="D32566" s="8">
        <v>352</v>
      </c>
      <c r="E32566" s="8">
        <v>0</v>
      </c>
      <c r="F32566" s="8">
        <v>1706</v>
      </c>
    </row>
    <row r="32567" spans="1:6" ht="12.75">
      <c r="A32567" s="8">
        <v>43889.95548611111</v>
      </c>
      <c r="B32567" s="8" t="str">
        <f>HYPERLINK("https://twitter.com/tikkaist","@tikkaist")</f>
        <v>@tikkaist</v>
      </c>
      <c r="C32567" s="8" t="s">
        <v>593</v>
      </c>
      <c r="D32567" s="8">
        <v>449</v>
      </c>
      <c r="E32567" s="8">
        <v>0</v>
      </c>
      <c r="F32567" s="8">
        <v>302</v>
      </c>
    </row>
    <row r="32568" spans="1:6" ht="12.75">
      <c r="A32568" s="8">
        <v>43889.95521990741</v>
      </c>
      <c r="B32568" s="8" t="str">
        <f>HYPERLINK("https://twitter.com/SopirMikro","@SopirMikro")</f>
        <v>@SopirMikro</v>
      </c>
      <c r="C32568" s="8" t="s">
        <v>12215</v>
      </c>
      <c r="D32568" s="8">
        <v>0</v>
      </c>
      <c r="E32568" s="8">
        <v>0</v>
      </c>
      <c r="F32568" s="8">
        <v>228</v>
      </c>
    </row>
    <row r="32569" spans="1:6" ht="12.75">
      <c r="A32569" s="8">
        <v>43889.955092592594</v>
      </c>
      <c r="B32569" s="8" t="str">
        <f>HYPERLINK("https://twitter.com/maxaghie","@maxaghie")</f>
        <v>@maxaghie</v>
      </c>
      <c r="C32569" s="8" t="s">
        <v>6836</v>
      </c>
      <c r="D32569" s="8">
        <v>96</v>
      </c>
      <c r="E32569" s="8">
        <v>0</v>
      </c>
      <c r="F32569" s="8">
        <v>56</v>
      </c>
    </row>
    <row r="32570" spans="1:6" ht="12.75">
      <c r="A32570" s="8">
        <v>43889.955092592594</v>
      </c>
      <c r="B32570" s="8" t="str">
        <f>HYPERLINK("https://twitter.com/gelatik31","@gelatik31")</f>
        <v>@gelatik31</v>
      </c>
      <c r="C32570" s="8" t="s">
        <v>4235</v>
      </c>
      <c r="D32570" s="8">
        <v>352</v>
      </c>
      <c r="E32570" s="8">
        <v>0</v>
      </c>
      <c r="F32570" s="8">
        <v>316</v>
      </c>
    </row>
    <row r="32571" spans="1:6" ht="12.75">
      <c r="A32571" s="8">
        <v>43889.955011574071</v>
      </c>
      <c r="B32571" s="8" t="str">
        <f>HYPERLINK("https://twitter.com/NeetaSari","@NeetaSari")</f>
        <v>@NeetaSari</v>
      </c>
      <c r="C32571" s="8" t="s">
        <v>10755</v>
      </c>
      <c r="D32571" s="8">
        <v>486</v>
      </c>
      <c r="E32571" s="8">
        <v>0</v>
      </c>
      <c r="F32571" s="8">
        <v>172</v>
      </c>
    </row>
    <row r="32572" spans="1:6" ht="12.75">
      <c r="A32572" s="8">
        <v>43889.955000000002</v>
      </c>
      <c r="B32572" s="8" t="str">
        <f>HYPERLINK("https://twitter.com/Nahuelperez55","@Nahuelperez55")</f>
        <v>@Nahuelperez55</v>
      </c>
      <c r="C32572" s="8" t="s">
        <v>12216</v>
      </c>
      <c r="D32572" s="8">
        <v>0</v>
      </c>
      <c r="E32572" s="8">
        <v>0</v>
      </c>
      <c r="F32572" s="8">
        <v>1206</v>
      </c>
    </row>
    <row r="32573" spans="1:6" ht="12.75">
      <c r="A32573" s="8">
        <v>43889.954988425925</v>
      </c>
      <c r="B32573" s="8" t="str">
        <f>HYPERLINK("https://twitter.com/siBudakAngon","@siBudakAngon")</f>
        <v>@siBudakAngon</v>
      </c>
      <c r="C32573" s="8" t="s">
        <v>9768</v>
      </c>
      <c r="D32573" s="8">
        <v>74</v>
      </c>
      <c r="E32573" s="8">
        <v>0</v>
      </c>
      <c r="F32573" s="8">
        <v>183</v>
      </c>
    </row>
    <row r="32574" spans="1:6" ht="12.75">
      <c r="A32574" s="8">
        <v>43889.95484953704</v>
      </c>
      <c r="B32574" s="8" t="str">
        <f>HYPERLINK("https://twitter.com/PamarayanPolsek","@PamarayanPolsek")</f>
        <v>@PamarayanPolsek</v>
      </c>
      <c r="C32574" s="8" t="s">
        <v>12217</v>
      </c>
      <c r="D32574" s="8">
        <v>0</v>
      </c>
      <c r="E32574" s="8">
        <v>0</v>
      </c>
      <c r="F32574" s="8">
        <v>2</v>
      </c>
    </row>
    <row r="32575" spans="1:6" ht="12.75">
      <c r="A32575" s="8">
        <v>43889.954432870371</v>
      </c>
      <c r="B32575" s="8" t="str">
        <f>HYPERLINK("https://twitter.com/SHIMABDE","@SHIMABDE")</f>
        <v>@SHIMABDE</v>
      </c>
      <c r="C32575" s="8" t="s">
        <v>4235</v>
      </c>
      <c r="D32575" s="8">
        <v>352</v>
      </c>
      <c r="E32575" s="8">
        <v>0</v>
      </c>
      <c r="F32575" s="8">
        <v>138</v>
      </c>
    </row>
    <row r="32576" spans="1:6" ht="12.75">
      <c r="A32576" s="8">
        <v>43889.954328703709</v>
      </c>
      <c r="B32576" s="8" t="str">
        <f>HYPERLINK("https://twitter.com/HirvySarmento","@HirvySarmento")</f>
        <v>@HirvySarmento</v>
      </c>
      <c r="C32576" s="8" t="s">
        <v>4235</v>
      </c>
      <c r="D32576" s="8">
        <v>352</v>
      </c>
      <c r="E32576" s="8">
        <v>0</v>
      </c>
      <c r="F32576" s="8">
        <v>327</v>
      </c>
    </row>
    <row r="32577" spans="1:6" ht="12.75">
      <c r="A32577" s="8">
        <v>43889.954293981486</v>
      </c>
      <c r="B32577" s="8" t="str">
        <f>HYPERLINK("https://twitter.com/suryaaari","@suryaaari")</f>
        <v>@suryaaari</v>
      </c>
      <c r="C32577" s="8" t="s">
        <v>10755</v>
      </c>
      <c r="D32577" s="8">
        <v>486</v>
      </c>
      <c r="E32577" s="8">
        <v>0</v>
      </c>
      <c r="F32577" s="8">
        <v>2</v>
      </c>
    </row>
    <row r="32578" spans="1:6" ht="12.75">
      <c r="A32578" s="8">
        <v>43889.954282407409</v>
      </c>
      <c r="B32578" s="8" t="str">
        <f>HYPERLINK("https://twitter.com/gianko_81","@gianko_81")</f>
        <v>@gianko_81</v>
      </c>
      <c r="C32578" s="8" t="s">
        <v>12075</v>
      </c>
      <c r="D32578" s="8">
        <v>9</v>
      </c>
      <c r="E32578" s="8">
        <v>0</v>
      </c>
      <c r="F32578" s="8">
        <v>175</v>
      </c>
    </row>
    <row r="32579" spans="1:6" ht="12.75">
      <c r="A32579" s="8">
        <v>43889.954236111109</v>
      </c>
      <c r="B32579" s="8" t="str">
        <f>HYPERLINK("https://twitter.com/Shalushal2602","@Shalushal2602")</f>
        <v>@Shalushal2602</v>
      </c>
      <c r="C32579" s="8" t="s">
        <v>12218</v>
      </c>
      <c r="D32579" s="8">
        <v>1</v>
      </c>
      <c r="E32579" s="8">
        <v>1</v>
      </c>
      <c r="F32579" s="8">
        <v>1096</v>
      </c>
    </row>
    <row r="32580" spans="1:6" ht="12.75">
      <c r="A32580" s="8">
        <v>43889.954108796301</v>
      </c>
      <c r="B32580" s="8" t="str">
        <f>HYPERLINK("https://twitter.com/imanhead","@imanhead")</f>
        <v>@imanhead</v>
      </c>
      <c r="C32580" s="8" t="s">
        <v>12219</v>
      </c>
      <c r="D32580" s="8">
        <v>3</v>
      </c>
      <c r="E32580" s="8">
        <v>0</v>
      </c>
      <c r="F32580" s="8">
        <v>1241</v>
      </c>
    </row>
    <row r="32581" spans="1:6" ht="12.75">
      <c r="A32581" s="8">
        <v>43889.954085648147</v>
      </c>
      <c r="B32581" s="8" t="str">
        <f>HYPERLINK("https://twitter.com/GreenSoundpro","@GreenSoundpro")</f>
        <v>@GreenSoundpro</v>
      </c>
      <c r="C32581" s="8" t="s">
        <v>4235</v>
      </c>
      <c r="D32581" s="8">
        <v>352</v>
      </c>
      <c r="E32581" s="8">
        <v>0</v>
      </c>
      <c r="F32581" s="8">
        <v>537</v>
      </c>
    </row>
    <row r="32582" spans="1:6" ht="12.75">
      <c r="A32582" s="8">
        <v>43889.954074074078</v>
      </c>
      <c r="B32582" s="8" t="str">
        <f>HYPERLINK("https://twitter.com/imanhead","@imanhead")</f>
        <v>@imanhead</v>
      </c>
      <c r="C32582" s="8" t="s">
        <v>12220</v>
      </c>
      <c r="D32582" s="8">
        <v>7</v>
      </c>
      <c r="E32582" s="8">
        <v>0</v>
      </c>
      <c r="F32582" s="8">
        <v>1241</v>
      </c>
    </row>
    <row r="32583" spans="1:6" ht="12.75">
      <c r="A32583" s="8">
        <v>43889.953981481478</v>
      </c>
      <c r="B32583" s="8" t="str">
        <f>HYPERLINK("https://twitter.com/doyokijay","@doyokijay")</f>
        <v>@doyokijay</v>
      </c>
      <c r="C32583" s="8" t="s">
        <v>12108</v>
      </c>
      <c r="D32583" s="8">
        <v>28</v>
      </c>
      <c r="E32583" s="8">
        <v>0</v>
      </c>
      <c r="F32583" s="8">
        <v>314</v>
      </c>
    </row>
    <row r="32584" spans="1:6" ht="12.75">
      <c r="A32584" s="8">
        <v>43889.953842592593</v>
      </c>
      <c r="B32584" s="8" t="str">
        <f>HYPERLINK("https://twitter.com/officialwawan","@officialwawan")</f>
        <v>@officialwawan</v>
      </c>
      <c r="C32584" s="8" t="s">
        <v>11641</v>
      </c>
      <c r="D32584" s="8">
        <v>88</v>
      </c>
      <c r="E32584" s="8">
        <v>0</v>
      </c>
      <c r="F32584" s="8">
        <v>619</v>
      </c>
    </row>
    <row r="32585" spans="1:6" ht="12.75">
      <c r="A32585" s="8">
        <v>43889.95376157407</v>
      </c>
      <c r="B32585" s="8" t="str">
        <f>HYPERLINK("https://twitter.com/TrioMacari2000","@TrioMacari2000")</f>
        <v>@TrioMacari2000</v>
      </c>
      <c r="C32585" s="8" t="s">
        <v>10743</v>
      </c>
      <c r="D32585" s="8">
        <v>74</v>
      </c>
      <c r="E32585" s="8">
        <v>0</v>
      </c>
      <c r="F32585" s="8">
        <v>6525</v>
      </c>
    </row>
    <row r="32586" spans="1:6" ht="12.75">
      <c r="A32586" s="8">
        <v>43889.953738425931</v>
      </c>
      <c r="B32586" s="8" t="str">
        <f>HYPERLINK("https://twitter.com/etty_markim","@etty_markim")</f>
        <v>@etty_markim</v>
      </c>
      <c r="C32586" s="8" t="s">
        <v>12221</v>
      </c>
      <c r="D32586" s="8">
        <v>0</v>
      </c>
      <c r="E32586" s="8">
        <v>0</v>
      </c>
      <c r="F32586" s="8">
        <v>1210</v>
      </c>
    </row>
    <row r="32587" spans="1:6" ht="12.75">
      <c r="A32587" s="8">
        <v>43889.953576388885</v>
      </c>
      <c r="B32587" s="8" t="str">
        <f>HYPERLINK("https://twitter.com/GagakNeww2","@GagakNeww2")</f>
        <v>@GagakNeww2</v>
      </c>
      <c r="C32587" s="8" t="s">
        <v>12212</v>
      </c>
      <c r="D32587" s="8">
        <v>2</v>
      </c>
      <c r="E32587" s="8">
        <v>0</v>
      </c>
      <c r="F32587" s="8">
        <v>429</v>
      </c>
    </row>
    <row r="32588" spans="1:6" ht="12.75">
      <c r="A32588" s="8">
        <v>43889.9534837963</v>
      </c>
      <c r="B32588" s="8" t="str">
        <f>HYPERLINK("https://twitter.com/BaharuddinAli5","@BaharuddinAli5")</f>
        <v>@BaharuddinAli5</v>
      </c>
      <c r="C32588" s="8" t="s">
        <v>12222</v>
      </c>
      <c r="D32588" s="8">
        <v>12</v>
      </c>
      <c r="E32588" s="8">
        <v>0</v>
      </c>
      <c r="F32588" s="8">
        <v>245</v>
      </c>
    </row>
    <row r="32589" spans="1:6" ht="12.75">
      <c r="A32589" s="8">
        <v>43889.953402777777</v>
      </c>
      <c r="B32589" s="8" t="str">
        <f>HYPERLINK("https://twitter.com/BangNapiMileni2","@BangNapiMileni2")</f>
        <v>@BangNapiMileni2</v>
      </c>
      <c r="C32589" s="8" t="s">
        <v>10755</v>
      </c>
      <c r="D32589" s="8">
        <v>486</v>
      </c>
      <c r="E32589" s="8">
        <v>0</v>
      </c>
      <c r="F32589" s="8">
        <v>64</v>
      </c>
    </row>
    <row r="32590" spans="1:6" ht="12.75">
      <c r="A32590" s="8">
        <v>43889.953263888892</v>
      </c>
      <c r="B32590" s="8" t="str">
        <f>HYPERLINK("https://twitter.com/budihidayat20","@budihidayat20")</f>
        <v>@budihidayat20</v>
      </c>
      <c r="C32590" s="8" t="s">
        <v>6490</v>
      </c>
      <c r="D32590" s="8">
        <v>115</v>
      </c>
      <c r="E32590" s="8">
        <v>0</v>
      </c>
      <c r="F32590" s="8">
        <v>4414</v>
      </c>
    </row>
    <row r="32591" spans="1:6" ht="12.75">
      <c r="A32591" s="8">
        <v>43889.953206018516</v>
      </c>
      <c r="B32591" s="8" t="str">
        <f>HYPERLINK("https://twitter.com/NinoGitar","@NinoGitar")</f>
        <v>@NinoGitar</v>
      </c>
      <c r="C32591" s="8" t="s">
        <v>10755</v>
      </c>
      <c r="D32591" s="8">
        <v>486</v>
      </c>
      <c r="E32591" s="8">
        <v>0</v>
      </c>
      <c r="F32591" s="8">
        <v>109</v>
      </c>
    </row>
    <row r="32592" spans="1:6" ht="12.75">
      <c r="A32592" s="8">
        <v>43889.95313657407</v>
      </c>
      <c r="B32592" s="8" t="str">
        <f>HYPERLINK("https://twitter.com/epe_oke","@epe_oke")</f>
        <v>@epe_oke</v>
      </c>
      <c r="C32592" s="8" t="s">
        <v>9768</v>
      </c>
      <c r="D32592" s="8">
        <v>74</v>
      </c>
      <c r="E32592" s="8">
        <v>0</v>
      </c>
      <c r="F32592" s="8">
        <v>27</v>
      </c>
    </row>
    <row r="32593" spans="1:6" ht="12.75">
      <c r="A32593" s="8">
        <v>43889.95313657407</v>
      </c>
      <c r="B32593" s="8" t="str">
        <f>HYPERLINK("https://twitter.com/Parkomburate","@Parkomburate")</f>
        <v>@Parkomburate</v>
      </c>
      <c r="C32593" s="8" t="s">
        <v>12223</v>
      </c>
      <c r="D32593" s="8">
        <v>0</v>
      </c>
      <c r="E32593" s="8">
        <v>0</v>
      </c>
      <c r="F32593" s="8">
        <v>224</v>
      </c>
    </row>
    <row r="32594" spans="1:6" ht="12.75">
      <c r="A32594" s="8">
        <v>43889.953055555554</v>
      </c>
      <c r="B32594" s="8" t="str">
        <f>HYPERLINK("https://twitter.com/gaktenar","@gaktenar")</f>
        <v>@gaktenar</v>
      </c>
      <c r="C32594" s="8" t="s">
        <v>11302</v>
      </c>
      <c r="D32594" s="8">
        <v>28</v>
      </c>
      <c r="E32594" s="8">
        <v>0</v>
      </c>
      <c r="F32594" s="8">
        <v>544</v>
      </c>
    </row>
    <row r="32595" spans="1:6" ht="12.75">
      <c r="A32595" s="8">
        <v>43889.952685185184</v>
      </c>
      <c r="B32595" s="8" t="str">
        <f>HYPERLINK("https://twitter.com/KakekHalal","@KakekHalal")</f>
        <v>@KakekHalal</v>
      </c>
      <c r="C32595" s="8" t="s">
        <v>11374</v>
      </c>
      <c r="D32595" s="8">
        <v>9</v>
      </c>
      <c r="E32595" s="8">
        <v>0</v>
      </c>
      <c r="F32595" s="8">
        <v>22827</v>
      </c>
    </row>
    <row r="32596" spans="1:6" ht="12.75">
      <c r="A32596" s="8">
        <v>43889.952662037038</v>
      </c>
      <c r="B32596" s="8" t="str">
        <f>HYPERLINK("https://twitter.com/astagayoga","@astagayoga")</f>
        <v>@astagayoga</v>
      </c>
      <c r="C32596" s="8" t="s">
        <v>12224</v>
      </c>
      <c r="D32596" s="8">
        <v>0</v>
      </c>
      <c r="E32596" s="8">
        <v>0</v>
      </c>
      <c r="F32596" s="8">
        <v>18</v>
      </c>
    </row>
    <row r="32597" spans="1:6" ht="12.75">
      <c r="A32597" s="8">
        <v>43889.952523148153</v>
      </c>
      <c r="B32597" s="8" t="str">
        <f>HYPERLINK("https://twitter.com/yudhapati88","@yudhapati88")</f>
        <v>@yudhapati88</v>
      </c>
      <c r="C32597" s="8" t="s">
        <v>12225</v>
      </c>
      <c r="D32597" s="8">
        <v>2</v>
      </c>
      <c r="E32597" s="8">
        <v>1</v>
      </c>
      <c r="F32597" s="8">
        <v>3434</v>
      </c>
    </row>
    <row r="32598" spans="1:6" ht="12.75">
      <c r="A32598" s="8">
        <v>43889.952349537038</v>
      </c>
      <c r="B32598" s="8" t="str">
        <f>HYPERLINK("https://twitter.com/sparta1609","@sparta1609")</f>
        <v>@sparta1609</v>
      </c>
      <c r="C32598" s="8" t="s">
        <v>6490</v>
      </c>
      <c r="D32598" s="8">
        <v>115</v>
      </c>
      <c r="E32598" s="8">
        <v>0</v>
      </c>
      <c r="F32598" s="8">
        <v>549</v>
      </c>
    </row>
    <row r="32599" spans="1:6" ht="12.75">
      <c r="A32599" s="8">
        <v>43889.952291666668</v>
      </c>
      <c r="B32599" s="8" t="str">
        <f>HYPERLINK("https://twitter.com/Sunarti25231614","@Sunarti25231614")</f>
        <v>@Sunarti25231614</v>
      </c>
      <c r="C32599" s="8" t="s">
        <v>10755</v>
      </c>
      <c r="D32599" s="8">
        <v>486</v>
      </c>
      <c r="E32599" s="8">
        <v>0</v>
      </c>
      <c r="F32599" s="8">
        <v>101</v>
      </c>
    </row>
    <row r="32600" spans="1:6" ht="12.75">
      <c r="A32600" s="8">
        <v>43889.952222222222</v>
      </c>
      <c r="B32600" s="8" t="str">
        <f>HYPERLINK("https://twitter.com/RajeshP56011511","@RajeshP56011511")</f>
        <v>@RajeshP56011511</v>
      </c>
      <c r="C32600" s="8" t="s">
        <v>12226</v>
      </c>
      <c r="D32600" s="8">
        <v>0</v>
      </c>
      <c r="E32600" s="8">
        <v>0</v>
      </c>
      <c r="F32600" s="8">
        <v>0</v>
      </c>
    </row>
    <row r="32601" spans="1:6" ht="12.75">
      <c r="A32601" s="8">
        <v>43889.952164351853</v>
      </c>
      <c r="B32601" s="8" t="str">
        <f>HYPERLINK("https://twitter.com/aprimeijuni","@aprimeijuni")</f>
        <v>@aprimeijuni</v>
      </c>
      <c r="C32601" s="8" t="s">
        <v>12227</v>
      </c>
      <c r="D32601" s="8">
        <v>0</v>
      </c>
      <c r="E32601" s="8">
        <v>1</v>
      </c>
      <c r="F32601" s="8">
        <v>269</v>
      </c>
    </row>
    <row r="32602" spans="1:6" ht="12.75">
      <c r="A32602" s="8">
        <v>43889.952013888891</v>
      </c>
      <c r="B32602" s="8" t="str">
        <f>HYPERLINK("https://twitter.com/Rulililili","@Rulililili")</f>
        <v>@Rulililili</v>
      </c>
      <c r="C32602" s="8" t="s">
        <v>10755</v>
      </c>
      <c r="D32602" s="8">
        <v>486</v>
      </c>
      <c r="E32602" s="8">
        <v>0</v>
      </c>
      <c r="F32602" s="8">
        <v>254</v>
      </c>
    </row>
    <row r="32603" spans="1:6" ht="12.75">
      <c r="A32603" s="8">
        <v>43889.95177083333</v>
      </c>
      <c r="B32603" s="8" t="str">
        <f>HYPERLINK("https://twitter.com/imehgembong","@imehgembong")</f>
        <v>@imehgembong</v>
      </c>
      <c r="C32603" s="8" t="s">
        <v>12228</v>
      </c>
      <c r="D32603" s="8">
        <v>0</v>
      </c>
      <c r="E32603" s="8">
        <v>0</v>
      </c>
      <c r="F32603" s="8">
        <v>8</v>
      </c>
    </row>
    <row r="32604" spans="1:6" ht="12.75">
      <c r="A32604" s="8">
        <v>43889.923356481479</v>
      </c>
      <c r="B32604" s="8" t="str">
        <f>HYPERLINK("https://twitter.com/s_mulyatie","@s_mulyatie")</f>
        <v>@s_mulyatie</v>
      </c>
      <c r="C32604" s="8" t="s">
        <v>4235</v>
      </c>
      <c r="D32604" s="8">
        <v>279</v>
      </c>
      <c r="E32604" s="8">
        <v>0</v>
      </c>
      <c r="F32604" s="8">
        <v>1663</v>
      </c>
    </row>
    <row r="32605" spans="1:6" ht="12.75">
      <c r="A32605" s="8">
        <v>43889.923194444447</v>
      </c>
      <c r="B32605" s="8" t="str">
        <f>HYPERLINK("https://twitter.com/atoillahsmart","@atoillahsmart")</f>
        <v>@atoillahsmart</v>
      </c>
      <c r="C32605" s="8" t="s">
        <v>4235</v>
      </c>
      <c r="D32605" s="8">
        <v>279</v>
      </c>
      <c r="E32605" s="8">
        <v>0</v>
      </c>
      <c r="F32605" s="8">
        <v>134</v>
      </c>
    </row>
    <row r="32606" spans="1:6" ht="12.75">
      <c r="A32606" s="8">
        <v>43889.922673611116</v>
      </c>
      <c r="B32606" s="8" t="str">
        <f>HYPERLINK("https://twitter.com/crystal_green04","@crystal_green04")</f>
        <v>@crystal_green04</v>
      </c>
      <c r="C32606" s="8" t="s">
        <v>12229</v>
      </c>
      <c r="D32606" s="8">
        <v>2</v>
      </c>
      <c r="E32606" s="8">
        <v>0</v>
      </c>
      <c r="F32606" s="8">
        <v>381</v>
      </c>
    </row>
    <row r="32607" spans="1:6" ht="12.75">
      <c r="A32607" s="8">
        <v>43889.922615740739</v>
      </c>
      <c r="B32607" s="8" t="str">
        <f>HYPERLINK("https://twitter.com/_wni_","@_wni_")</f>
        <v>@_wni_</v>
      </c>
      <c r="C32607" s="8" t="s">
        <v>12230</v>
      </c>
      <c r="D32607" s="8">
        <v>1874</v>
      </c>
      <c r="E32607" s="8">
        <v>0</v>
      </c>
      <c r="F32607" s="8">
        <v>10</v>
      </c>
    </row>
    <row r="32608" spans="1:6" ht="12.75">
      <c r="A32608" s="8">
        <v>43889.922569444447</v>
      </c>
      <c r="B32608" s="8" t="str">
        <f>HYPERLINK("https://twitter.com/KBRI_Paris","@KBRI_Paris")</f>
        <v>@KBRI_Paris</v>
      </c>
      <c r="C32608" s="8" t="s">
        <v>12231</v>
      </c>
      <c r="D32608" s="8">
        <v>0</v>
      </c>
      <c r="E32608" s="8">
        <v>0</v>
      </c>
      <c r="F32608" s="8">
        <v>2359</v>
      </c>
    </row>
    <row r="32609" spans="1:6" ht="12.75">
      <c r="A32609" s="8">
        <v>43889.922442129631</v>
      </c>
      <c r="B32609" s="8" t="str">
        <f>HYPERLINK("https://twitter.com/curugbp3","@curugbp3")</f>
        <v>@curugbp3</v>
      </c>
      <c r="C32609" s="8" t="s">
        <v>12135</v>
      </c>
      <c r="D32609" s="8">
        <v>21</v>
      </c>
      <c r="E32609" s="8">
        <v>0</v>
      </c>
      <c r="F32609" s="8">
        <v>658</v>
      </c>
    </row>
    <row r="32610" spans="1:6" ht="12.75">
      <c r="A32610" s="8">
        <v>43889.922442129631</v>
      </c>
      <c r="B32610" s="8" t="str">
        <f>HYPERLINK("https://twitter.com/diezitoe","@diezitoe")</f>
        <v>@diezitoe</v>
      </c>
      <c r="C32610" s="8" t="s">
        <v>12232</v>
      </c>
      <c r="D32610" s="8">
        <v>25</v>
      </c>
      <c r="E32610" s="8">
        <v>0</v>
      </c>
      <c r="F32610" s="8">
        <v>399</v>
      </c>
    </row>
    <row r="32611" spans="1:6" ht="12.75">
      <c r="A32611" s="8">
        <v>43889.922222222223</v>
      </c>
      <c r="B32611" s="8" t="str">
        <f>HYPERLINK("https://twitter.com/ChantiqPutriAyu","@ChantiqPutriAyu")</f>
        <v>@ChantiqPutriAyu</v>
      </c>
      <c r="C32611" s="8" t="s">
        <v>12077</v>
      </c>
      <c r="D32611" s="8">
        <v>16</v>
      </c>
      <c r="E32611" s="8">
        <v>0</v>
      </c>
      <c r="F32611" s="8">
        <v>541</v>
      </c>
    </row>
    <row r="32612" spans="1:6" ht="12.75">
      <c r="A32612" s="8">
        <v>43889.922164351854</v>
      </c>
      <c r="B32612" s="8" t="str">
        <f>HYPERLINK("https://twitter.com/Oj0dum3h","@Oj0dum3h")</f>
        <v>@Oj0dum3h</v>
      </c>
      <c r="C32612" s="8" t="s">
        <v>10755</v>
      </c>
      <c r="D32612" s="8">
        <v>418</v>
      </c>
      <c r="E32612" s="8">
        <v>0</v>
      </c>
      <c r="F32612" s="8">
        <v>2604</v>
      </c>
    </row>
    <row r="32613" spans="1:6" ht="12.75">
      <c r="A32613" s="8">
        <v>43889.922037037039</v>
      </c>
      <c r="B32613" s="8" t="str">
        <f>HYPERLINK("https://twitter.com/riantapiote","@riantapiote")</f>
        <v>@riantapiote</v>
      </c>
      <c r="C32613" s="8" t="s">
        <v>11641</v>
      </c>
      <c r="D32613" s="8">
        <v>86</v>
      </c>
      <c r="E32613" s="8">
        <v>0</v>
      </c>
      <c r="F32613" s="8">
        <v>1297</v>
      </c>
    </row>
    <row r="32614" spans="1:6" ht="12.75">
      <c r="A32614" s="8">
        <v>43889.921550925923</v>
      </c>
      <c r="B32614" s="8" t="str">
        <f>HYPERLINK("https://twitter.com/VIVAcoid","@VIVAcoid")</f>
        <v>@VIVAcoid</v>
      </c>
      <c r="C32614" s="8" t="s">
        <v>12233</v>
      </c>
      <c r="D32614" s="8">
        <v>1</v>
      </c>
      <c r="E32614" s="8">
        <v>0</v>
      </c>
      <c r="F32614" s="8">
        <v>4173277</v>
      </c>
    </row>
    <row r="32615" spans="1:6" ht="12.75">
      <c r="A32615" s="8">
        <v>43889.921331018515</v>
      </c>
      <c r="B32615" s="8" t="str">
        <f>HYPERLINK("https://twitter.com/tinaagustinajkt","@tinaagustinajkt")</f>
        <v>@tinaagustinajkt</v>
      </c>
      <c r="C32615" s="8" t="s">
        <v>10755</v>
      </c>
      <c r="D32615" s="8">
        <v>418</v>
      </c>
      <c r="E32615" s="8">
        <v>0</v>
      </c>
      <c r="F32615" s="8">
        <v>722</v>
      </c>
    </row>
    <row r="32616" spans="1:6" ht="12.75">
      <c r="A32616" s="8">
        <v>43889.921331018515</v>
      </c>
      <c r="B32616" s="8" t="str">
        <f>HYPERLINK("https://twitter.com/badmintonuts","@badmintonuts")</f>
        <v>@badmintonuts</v>
      </c>
      <c r="C32616" s="8" t="s">
        <v>10755</v>
      </c>
      <c r="D32616" s="8">
        <v>418</v>
      </c>
      <c r="E32616" s="8">
        <v>0</v>
      </c>
      <c r="F32616" s="8">
        <v>171</v>
      </c>
    </row>
    <row r="32617" spans="1:6" ht="12.75">
      <c r="A32617" s="8">
        <v>43889.921296296292</v>
      </c>
      <c r="B32617" s="8" t="str">
        <f>HYPERLINK("https://twitter.com/ejul94","@ejul94")</f>
        <v>@ejul94</v>
      </c>
      <c r="C32617" s="8" t="s">
        <v>11102</v>
      </c>
      <c r="D32617" s="8">
        <v>440</v>
      </c>
      <c r="E32617" s="8">
        <v>0</v>
      </c>
      <c r="F32617" s="8">
        <v>135</v>
      </c>
    </row>
    <row r="32618" spans="1:6" ht="12.75">
      <c r="A32618" s="8">
        <v>43889.921226851853</v>
      </c>
      <c r="B32618" s="8" t="str">
        <f>HYPERLINK("https://twitter.com/MystiQ_R","@MystiQ_R")</f>
        <v>@MystiQ_R</v>
      </c>
      <c r="C32618" s="8" t="s">
        <v>6490</v>
      </c>
      <c r="D32618" s="8">
        <v>99</v>
      </c>
      <c r="E32618" s="8">
        <v>0</v>
      </c>
      <c r="F32618" s="8">
        <v>53</v>
      </c>
    </row>
    <row r="32619" spans="1:6" ht="12.75">
      <c r="A32619" s="8">
        <v>43889.921203703707</v>
      </c>
      <c r="B32619" s="8" t="str">
        <f>HYPERLINK("https://twitter.com/vivanewscom","@vivanewscom")</f>
        <v>@vivanewscom</v>
      </c>
      <c r="C32619" s="8" t="s">
        <v>12234</v>
      </c>
      <c r="D32619" s="8">
        <v>1</v>
      </c>
      <c r="E32619" s="8">
        <v>0</v>
      </c>
      <c r="F32619" s="8">
        <v>4517</v>
      </c>
    </row>
    <row r="32620" spans="1:6" ht="12.75">
      <c r="A32620" s="8">
        <v>43889.921168981484</v>
      </c>
      <c r="B32620" s="8" t="str">
        <f>HYPERLINK("https://twitter.com/mikabelva","@mikabelva")</f>
        <v>@mikabelva</v>
      </c>
      <c r="C32620" s="8" t="s">
        <v>11701</v>
      </c>
      <c r="D32620" s="8">
        <v>38</v>
      </c>
      <c r="E32620" s="8">
        <v>0</v>
      </c>
      <c r="F32620" s="8">
        <v>1380</v>
      </c>
    </row>
    <row r="32621" spans="1:6" ht="12.75">
      <c r="A32621" s="8">
        <v>43889.920717592591</v>
      </c>
      <c r="B32621" s="8" t="str">
        <f>HYPERLINK("https://twitter.com/Nasution_eD","@Nasution_eD")</f>
        <v>@Nasution_eD</v>
      </c>
      <c r="C32621" s="8" t="s">
        <v>4235</v>
      </c>
      <c r="D32621" s="8">
        <v>279</v>
      </c>
      <c r="E32621" s="8">
        <v>0</v>
      </c>
      <c r="F32621" s="8">
        <v>4580</v>
      </c>
    </row>
    <row r="32622" spans="1:6" ht="12.75">
      <c r="A32622" s="8">
        <v>43889.92050925926</v>
      </c>
      <c r="B32622" s="8" t="str">
        <f>HYPERLINK("https://twitter.com/WiwiHartuti1","@WiwiHartuti1")</f>
        <v>@WiwiHartuti1</v>
      </c>
      <c r="C32622" s="8" t="s">
        <v>10755</v>
      </c>
      <c r="D32622" s="8">
        <v>418</v>
      </c>
      <c r="E32622" s="8">
        <v>0</v>
      </c>
      <c r="F32622" s="8">
        <v>0</v>
      </c>
    </row>
    <row r="32623" spans="1:6" ht="12.75">
      <c r="A32623" s="8">
        <v>43889.920416666668</v>
      </c>
      <c r="B32623" s="8" t="str">
        <f>HYPERLINK("https://twitter.com/vonnysu","@vonnysu")</f>
        <v>@vonnysu</v>
      </c>
      <c r="C32623" s="8" t="s">
        <v>12125</v>
      </c>
      <c r="D32623" s="8">
        <v>62</v>
      </c>
      <c r="E32623" s="8">
        <v>0</v>
      </c>
      <c r="F32623" s="8">
        <v>144</v>
      </c>
    </row>
    <row r="32624" spans="1:6" ht="12.75">
      <c r="A32624" s="8">
        <v>43889.920312499999</v>
      </c>
      <c r="B32624" s="8" t="str">
        <f>HYPERLINK("https://twitter.com/blackcrow0717","@blackcrow0717")</f>
        <v>@blackcrow0717</v>
      </c>
      <c r="C32624" s="8" t="s">
        <v>4235</v>
      </c>
      <c r="D32624" s="8">
        <v>279</v>
      </c>
      <c r="E32624" s="8">
        <v>0</v>
      </c>
      <c r="F32624" s="8">
        <v>1190</v>
      </c>
    </row>
    <row r="32625" spans="1:6" ht="12.75">
      <c r="A32625" s="8">
        <v>43889.920162037037</v>
      </c>
      <c r="B32625" s="8" t="str">
        <f>HYPERLINK("https://twitter.com/MrReady3","@MrReady3")</f>
        <v>@MrReady3</v>
      </c>
      <c r="C32625" s="8" t="s">
        <v>12235</v>
      </c>
      <c r="D32625" s="8">
        <v>0</v>
      </c>
      <c r="E32625" s="8">
        <v>1</v>
      </c>
      <c r="F32625" s="8">
        <v>2931</v>
      </c>
    </row>
    <row r="32626" spans="1:6" ht="12.75">
      <c r="A32626" s="8">
        <v>43889.920115740737</v>
      </c>
      <c r="B32626" s="8" t="str">
        <f>HYPERLINK("https://twitter.com/AdiMawa22441862","@AdiMawa22441862")</f>
        <v>@AdiMawa22441862</v>
      </c>
      <c r="C32626" s="8" t="s">
        <v>12236</v>
      </c>
      <c r="D32626" s="8">
        <v>3</v>
      </c>
      <c r="E32626" s="8">
        <v>0</v>
      </c>
      <c r="F32626" s="8">
        <v>178</v>
      </c>
    </row>
    <row r="32627" spans="1:6" ht="12.75">
      <c r="A32627" s="8">
        <v>43889.919895833329</v>
      </c>
      <c r="B32627" s="8" t="str">
        <f>HYPERLINK("https://twitter.com/abespawnie","@abespawnie")</f>
        <v>@abespawnie</v>
      </c>
      <c r="C32627" s="8" t="s">
        <v>12237</v>
      </c>
      <c r="D32627" s="8">
        <v>25</v>
      </c>
      <c r="E32627" s="8">
        <v>0</v>
      </c>
      <c r="F32627" s="8">
        <v>307</v>
      </c>
    </row>
    <row r="32628" spans="1:6" ht="12.75">
      <c r="A32628" s="8">
        <v>43889.91987268519</v>
      </c>
      <c r="B32628" s="8" t="str">
        <f>HYPERLINK("https://twitter.com/haririarci9790","@haririarci9790")</f>
        <v>@haririarci9790</v>
      </c>
      <c r="C32628" s="8" t="s">
        <v>4235</v>
      </c>
      <c r="D32628" s="8">
        <v>279</v>
      </c>
      <c r="E32628" s="8">
        <v>0</v>
      </c>
      <c r="F32628" s="8">
        <v>1423</v>
      </c>
    </row>
    <row r="32629" spans="1:6" ht="12.75">
      <c r="A32629" s="8">
        <v>43889.91978009259</v>
      </c>
      <c r="B32629" s="8" t="str">
        <f>HYPERLINK("https://twitter.com/donimaulana1307","@donimaulana1307")</f>
        <v>@donimaulana1307</v>
      </c>
      <c r="C32629" s="8" t="s">
        <v>12238</v>
      </c>
      <c r="D32629" s="8">
        <v>6</v>
      </c>
      <c r="E32629" s="8">
        <v>0</v>
      </c>
      <c r="F32629" s="8">
        <v>543</v>
      </c>
    </row>
    <row r="32630" spans="1:6" ht="12.75">
      <c r="A32630" s="8">
        <v>43889.919618055559</v>
      </c>
      <c r="B32630" s="8" t="str">
        <f>HYPERLINK("https://twitter.com/AlifCena","@AlifCena")</f>
        <v>@AlifCena</v>
      </c>
      <c r="C32630" s="8" t="s">
        <v>2941</v>
      </c>
      <c r="D32630" s="8">
        <v>1087</v>
      </c>
      <c r="E32630" s="8">
        <v>0</v>
      </c>
      <c r="F32630" s="8">
        <v>274</v>
      </c>
    </row>
    <row r="32631" spans="1:6" ht="12.75">
      <c r="A32631" s="8">
        <v>43889.919618055559</v>
      </c>
      <c r="B32631" s="8" t="str">
        <f>HYPERLINK("https://twitter.com/nzena123","@nzena123")</f>
        <v>@nzena123</v>
      </c>
      <c r="C32631" s="8" t="s">
        <v>12093</v>
      </c>
      <c r="D32631" s="8">
        <v>33</v>
      </c>
      <c r="E32631" s="8">
        <v>0</v>
      </c>
      <c r="F32631" s="8">
        <v>11</v>
      </c>
    </row>
    <row r="32632" spans="1:6" ht="12.75">
      <c r="A32632" s="8">
        <v>43889.919374999998</v>
      </c>
      <c r="B32632" s="8" t="str">
        <f>HYPERLINK("https://twitter.com/Nadi033","@Nadi033")</f>
        <v>@Nadi033</v>
      </c>
      <c r="C32632" s="8" t="s">
        <v>6836</v>
      </c>
      <c r="D32632" s="8">
        <v>78</v>
      </c>
      <c r="E32632" s="8">
        <v>0</v>
      </c>
      <c r="F32632" s="8">
        <v>176</v>
      </c>
    </row>
    <row r="32633" spans="1:6" ht="12.75">
      <c r="A32633" s="8">
        <v>43889.919317129628</v>
      </c>
      <c r="B32633" s="8" t="str">
        <f>HYPERLINK("https://twitter.com/nenowulanz","@nenowulanz")</f>
        <v>@nenowulanz</v>
      </c>
      <c r="C32633" s="8" t="s">
        <v>10755</v>
      </c>
      <c r="D32633" s="8">
        <v>418</v>
      </c>
      <c r="E32633" s="8">
        <v>0</v>
      </c>
      <c r="F32633" s="8">
        <v>6</v>
      </c>
    </row>
    <row r="32634" spans="1:6" ht="12.75">
      <c r="A32634" s="8">
        <v>43889.919293981482</v>
      </c>
      <c r="B32634" s="8" t="str">
        <f>HYPERLINK("https://twitter.com/indonesiainist","@indonesiainist")</f>
        <v>@indonesiainist</v>
      </c>
      <c r="C32634" s="8" t="s">
        <v>8321</v>
      </c>
      <c r="D32634" s="8">
        <v>30</v>
      </c>
      <c r="E32634" s="8">
        <v>0</v>
      </c>
      <c r="F32634" s="8">
        <v>696</v>
      </c>
    </row>
    <row r="32635" spans="1:6" ht="12.75">
      <c r="A32635" s="8">
        <v>43889.919062500005</v>
      </c>
      <c r="B32635" s="8" t="str">
        <f>HYPERLINK("https://twitter.com/mdkoir","@mdkoir")</f>
        <v>@mdkoir</v>
      </c>
      <c r="C32635" s="8" t="s">
        <v>6836</v>
      </c>
      <c r="D32635" s="8">
        <v>78</v>
      </c>
      <c r="E32635" s="8">
        <v>0</v>
      </c>
      <c r="F32635" s="8">
        <v>524</v>
      </c>
    </row>
    <row r="32636" spans="1:6" ht="12.75">
      <c r="A32636" s="8">
        <v>43889.918796296297</v>
      </c>
      <c r="B32636" s="8" t="str">
        <f>HYPERLINK("https://twitter.com/SukardinD","@SukardinD")</f>
        <v>@SukardinD</v>
      </c>
      <c r="C32636" s="8" t="s">
        <v>12178</v>
      </c>
      <c r="D32636" s="8">
        <v>0</v>
      </c>
      <c r="E32636" s="8">
        <v>0</v>
      </c>
      <c r="F32636" s="8">
        <v>101</v>
      </c>
    </row>
    <row r="32637" spans="1:6" ht="12.75">
      <c r="A32637" s="8">
        <v>43889.918715277774</v>
      </c>
      <c r="B32637" s="8" t="str">
        <f>HYPERLINK("https://twitter.com/milaseptianarac","@milaseptianarac")</f>
        <v>@milaseptianarac</v>
      </c>
      <c r="C32637" s="8" t="s">
        <v>12239</v>
      </c>
      <c r="D32637" s="8">
        <v>0</v>
      </c>
      <c r="E32637" s="8">
        <v>0</v>
      </c>
      <c r="F32637" s="8">
        <v>416</v>
      </c>
    </row>
    <row r="32638" spans="1:6" ht="12.75">
      <c r="A32638" s="8">
        <v>43889.918703703705</v>
      </c>
      <c r="B32638" s="8" t="str">
        <f>HYPERLINK("https://twitter.com/Addarul1","@Addarul1")</f>
        <v>@Addarul1</v>
      </c>
      <c r="C32638" s="8" t="s">
        <v>4235</v>
      </c>
      <c r="D32638" s="8">
        <v>279</v>
      </c>
      <c r="E32638" s="8">
        <v>0</v>
      </c>
      <c r="F32638" s="8">
        <v>4756</v>
      </c>
    </row>
    <row r="32639" spans="1:6" ht="12.75">
      <c r="A32639" s="8">
        <v>43889.918692129635</v>
      </c>
      <c r="B32639" s="8" t="str">
        <f>HYPERLINK("https://twitter.com/AmbarwatiRexy","@AmbarwatiRexy")</f>
        <v>@AmbarwatiRexy</v>
      </c>
      <c r="C32639" s="8" t="s">
        <v>12240</v>
      </c>
      <c r="D32639" s="8">
        <v>0</v>
      </c>
      <c r="E32639" s="8">
        <v>0</v>
      </c>
      <c r="F32639" s="8">
        <v>42832</v>
      </c>
    </row>
    <row r="32640" spans="1:6" ht="12.75">
      <c r="A32640" s="8">
        <v>43889.918379629627</v>
      </c>
      <c r="B32640" s="8" t="str">
        <f>HYPERLINK("https://twitter.com/Msdinar","@Msdinar")</f>
        <v>@Msdinar</v>
      </c>
      <c r="C32640" s="8" t="s">
        <v>4235</v>
      </c>
      <c r="D32640" s="8">
        <v>279</v>
      </c>
      <c r="E32640" s="8">
        <v>0</v>
      </c>
      <c r="F32640" s="8">
        <v>261</v>
      </c>
    </row>
    <row r="32641" spans="1:6" ht="12.75">
      <c r="A32641" s="8">
        <v>43889.918194444443</v>
      </c>
      <c r="B32641" s="8" t="str">
        <f>HYPERLINK("https://twitter.com/zikri_rasya","@zikri_rasya")</f>
        <v>@zikri_rasya</v>
      </c>
      <c r="C32641" s="8" t="s">
        <v>12001</v>
      </c>
      <c r="D32641" s="8">
        <v>2</v>
      </c>
      <c r="E32641" s="8">
        <v>0</v>
      </c>
      <c r="F32641" s="8">
        <v>13</v>
      </c>
    </row>
    <row r="32642" spans="1:6" ht="12.75">
      <c r="A32642" s="8">
        <v>43889.917939814812</v>
      </c>
      <c r="B32642" s="8" t="str">
        <f>HYPERLINK("https://twitter.com/bibin_bey","@bibin_bey")</f>
        <v>@bibin_bey</v>
      </c>
      <c r="C32642" s="8" t="s">
        <v>4235</v>
      </c>
      <c r="D32642" s="8">
        <v>279</v>
      </c>
      <c r="E32642" s="8">
        <v>0</v>
      </c>
      <c r="F32642" s="8">
        <v>1618</v>
      </c>
    </row>
    <row r="32643" spans="1:6" ht="12.75">
      <c r="A32643" s="8">
        <v>43889.917719907404</v>
      </c>
      <c r="B32643" s="8" t="str">
        <f>HYPERLINK("https://twitter.com/xxxxsjh_","@xxxxsjh_")</f>
        <v>@xxxxsjh_</v>
      </c>
      <c r="C32643" s="8" t="s">
        <v>10755</v>
      </c>
      <c r="D32643" s="8">
        <v>418</v>
      </c>
      <c r="E32643" s="8">
        <v>0</v>
      </c>
      <c r="F32643" s="8">
        <v>2</v>
      </c>
    </row>
    <row r="32644" spans="1:6" ht="12.75">
      <c r="A32644" s="8">
        <v>43889.917615740742</v>
      </c>
      <c r="B32644" s="8" t="str">
        <f>HYPERLINK("https://twitter.com/saher_shabnam","@saher_shabnam")</f>
        <v>@saher_shabnam</v>
      </c>
      <c r="C32644" s="8" t="s">
        <v>12241</v>
      </c>
      <c r="D32644" s="8">
        <v>0</v>
      </c>
      <c r="E32644" s="8">
        <v>0</v>
      </c>
      <c r="F32644" s="8">
        <v>132</v>
      </c>
    </row>
    <row r="32645" spans="1:6" ht="12.75">
      <c r="A32645" s="8">
        <v>43889.917395833334</v>
      </c>
      <c r="B32645" s="8" t="str">
        <f>HYPERLINK("https://twitter.com/Amanskid","@Amanskid")</f>
        <v>@Amanskid</v>
      </c>
      <c r="C32645" s="8" t="s">
        <v>12075</v>
      </c>
      <c r="D32645" s="8">
        <v>7</v>
      </c>
      <c r="E32645" s="8">
        <v>0</v>
      </c>
      <c r="F32645" s="8">
        <v>1369</v>
      </c>
    </row>
    <row r="32646" spans="1:6" ht="12.75">
      <c r="A32646" s="8">
        <v>43889.917280092588</v>
      </c>
      <c r="B32646" s="8" t="str">
        <f>HYPERLINK("https://twitter.com/ariefjoenaedy","@ariefjoenaedy")</f>
        <v>@ariefjoenaedy</v>
      </c>
      <c r="C32646" s="8" t="s">
        <v>4235</v>
      </c>
      <c r="D32646" s="8">
        <v>279</v>
      </c>
      <c r="E32646" s="8">
        <v>0</v>
      </c>
      <c r="F32646" s="8">
        <v>198</v>
      </c>
    </row>
    <row r="32647" spans="1:6" ht="12.75">
      <c r="A32647" s="8">
        <v>43889.916909722218</v>
      </c>
      <c r="B32647" s="8" t="str">
        <f>HYPERLINK("https://twitter.com/cahaya3079","@cahaya3079")</f>
        <v>@cahaya3079</v>
      </c>
      <c r="C32647" s="8" t="s">
        <v>6490</v>
      </c>
      <c r="D32647" s="8">
        <v>99</v>
      </c>
      <c r="E32647" s="8">
        <v>0</v>
      </c>
      <c r="F32647" s="8">
        <v>135</v>
      </c>
    </row>
    <row r="32648" spans="1:6" ht="12.75">
      <c r="A32648" s="8">
        <v>43889.916851851856</v>
      </c>
      <c r="B32648" s="8" t="str">
        <f>HYPERLINK("https://twitter.com/ivan_wirahadi","@ivan_wirahadi")</f>
        <v>@ivan_wirahadi</v>
      </c>
      <c r="C32648" s="8" t="s">
        <v>10755</v>
      </c>
      <c r="D32648" s="8">
        <v>418</v>
      </c>
      <c r="E32648" s="8">
        <v>0</v>
      </c>
      <c r="F32648" s="8">
        <v>26</v>
      </c>
    </row>
    <row r="32649" spans="1:6" ht="12.75">
      <c r="A32649" s="8">
        <v>43889.916712962964</v>
      </c>
      <c r="B32649" s="8" t="str">
        <f>HYPERLINK("https://twitter.com/risma_58","@risma_58")</f>
        <v>@risma_58</v>
      </c>
      <c r="C32649" s="8" t="s">
        <v>10755</v>
      </c>
      <c r="D32649" s="8">
        <v>418</v>
      </c>
      <c r="E32649" s="8">
        <v>0</v>
      </c>
      <c r="F32649" s="8">
        <v>26</v>
      </c>
    </row>
    <row r="32650" spans="1:6" ht="12.75">
      <c r="A32650" s="8">
        <v>43889.916678240741</v>
      </c>
      <c r="B32650" s="8" t="str">
        <f>HYPERLINK("https://twitter.com/GTVID_News","@GTVID_News")</f>
        <v>@GTVID_News</v>
      </c>
      <c r="C32650" s="8" t="s">
        <v>12242</v>
      </c>
      <c r="D32650" s="8">
        <v>0</v>
      </c>
      <c r="E32650" s="8">
        <v>0</v>
      </c>
      <c r="F32650" s="8">
        <v>10802</v>
      </c>
    </row>
    <row r="32651" spans="1:6" ht="12.75">
      <c r="A32651" s="8">
        <v>43889.916608796295</v>
      </c>
      <c r="B32651" s="8" t="str">
        <f>HYPERLINK("https://twitter.com/obbifurai","@obbifurai")</f>
        <v>@obbifurai</v>
      </c>
      <c r="C32651" s="8" t="s">
        <v>12243</v>
      </c>
      <c r="D32651" s="8">
        <v>0</v>
      </c>
      <c r="E32651" s="8">
        <v>0</v>
      </c>
      <c r="F32651" s="8">
        <v>42</v>
      </c>
    </row>
    <row r="32652" spans="1:6" ht="12.75">
      <c r="A32652" s="8">
        <v>43889.916469907403</v>
      </c>
      <c r="B32652" s="8" t="str">
        <f>HYPERLINK("https://twitter.com/marshall_marbun","@marshall_marbun")</f>
        <v>@marshall_marbun</v>
      </c>
      <c r="C32652" s="8" t="s">
        <v>9768</v>
      </c>
      <c r="D32652" s="8">
        <v>66</v>
      </c>
      <c r="E32652" s="8">
        <v>0</v>
      </c>
      <c r="F32652" s="8">
        <v>1079</v>
      </c>
    </row>
    <row r="32653" spans="1:6" ht="12.75">
      <c r="A32653" s="8">
        <v>43889.916377314818</v>
      </c>
      <c r="B32653" s="8" t="str">
        <f>HYPERLINK("https://twitter.com/GUSBENSOK","@GUSBENSOK")</f>
        <v>@GUSBENSOK</v>
      </c>
      <c r="C32653" s="8" t="s">
        <v>12065</v>
      </c>
      <c r="D32653" s="8">
        <v>68</v>
      </c>
      <c r="E32653" s="8">
        <v>0</v>
      </c>
      <c r="F32653" s="8">
        <v>2057</v>
      </c>
    </row>
    <row r="32654" spans="1:6" ht="12.75">
      <c r="A32654" s="8">
        <v>43889.916273148148</v>
      </c>
      <c r="B32654" s="8" t="str">
        <f>HYPERLINK("https://twitter.com/EBRoestono","@EBRoestono")</f>
        <v>@EBRoestono</v>
      </c>
      <c r="C32654" s="8" t="s">
        <v>6836</v>
      </c>
      <c r="D32654" s="8">
        <v>78</v>
      </c>
      <c r="E32654" s="8">
        <v>0</v>
      </c>
      <c r="F32654" s="8">
        <v>744</v>
      </c>
    </row>
    <row r="32655" spans="1:6" ht="12.75">
      <c r="A32655" s="8">
        <v>43889.916134259256</v>
      </c>
      <c r="B32655" s="8" t="str">
        <f>HYPERLINK("https://twitter.com/Jak_Wonosobo","@Jak_Wonosobo")</f>
        <v>@Jak_Wonosobo</v>
      </c>
      <c r="C32655" s="8" t="s">
        <v>12001</v>
      </c>
      <c r="D32655" s="8">
        <v>2</v>
      </c>
      <c r="E32655" s="8">
        <v>0</v>
      </c>
      <c r="F32655" s="8">
        <v>4679</v>
      </c>
    </row>
    <row r="32656" spans="1:6" ht="12.75">
      <c r="A32656" s="8">
        <v>43889.916099537033</v>
      </c>
      <c r="B32656" s="8" t="str">
        <f>HYPERLINK("https://twitter.com/ErsatKera","@ErsatKera")</f>
        <v>@ErsatKera</v>
      </c>
      <c r="C32656" s="8" t="s">
        <v>12244</v>
      </c>
      <c r="D32656" s="8">
        <v>0</v>
      </c>
      <c r="E32656" s="8">
        <v>0</v>
      </c>
      <c r="F32656" s="8">
        <v>400</v>
      </c>
    </row>
    <row r="32657" spans="1:6" ht="12.75">
      <c r="A32657" s="8">
        <v>43889.916076388894</v>
      </c>
      <c r="B32657" s="8" t="str">
        <f>HYPERLINK("https://twitter.com/HayuTuryanto","@HayuTuryanto")</f>
        <v>@HayuTuryanto</v>
      </c>
      <c r="C32657" s="8" t="s">
        <v>10743</v>
      </c>
      <c r="D32657" s="8">
        <v>69</v>
      </c>
      <c r="E32657" s="8">
        <v>0</v>
      </c>
      <c r="F32657" s="8">
        <v>200</v>
      </c>
    </row>
    <row r="32658" spans="1:6" ht="12.75">
      <c r="A32658" s="8">
        <v>43889.91606481481</v>
      </c>
      <c r="B32658" s="8" t="str">
        <f>HYPERLINK("https://twitter.com/Ashraaf_99","@Ashraaf_99")</f>
        <v>@Ashraaf_99</v>
      </c>
      <c r="C32658" s="8" t="s">
        <v>11102</v>
      </c>
      <c r="D32658" s="8">
        <v>440</v>
      </c>
      <c r="E32658" s="8">
        <v>0</v>
      </c>
      <c r="F32658" s="8">
        <v>868</v>
      </c>
    </row>
    <row r="32659" spans="1:6" ht="12.75">
      <c r="A32659" s="8">
        <v>43889.916030092594</v>
      </c>
      <c r="B32659" s="8" t="str">
        <f>HYPERLINK("https://twitter.com/Roda_Awi","@Roda_Awi")</f>
        <v>@Roda_Awi</v>
      </c>
      <c r="C32659" s="8" t="s">
        <v>4235</v>
      </c>
      <c r="D32659" s="8">
        <v>279</v>
      </c>
      <c r="E32659" s="8">
        <v>0</v>
      </c>
      <c r="F32659" s="8">
        <v>443</v>
      </c>
    </row>
    <row r="32660" spans="1:6" ht="12.75">
      <c r="A32660" s="8">
        <v>43889.916006944448</v>
      </c>
      <c r="B32660" s="8" t="str">
        <f>HYPERLINK("https://twitter.com/wni_jmsri","@wni_jmsri")</f>
        <v>@wni_jmsri</v>
      </c>
      <c r="C32660" s="8" t="s">
        <v>12245</v>
      </c>
      <c r="D32660" s="8">
        <v>2012</v>
      </c>
      <c r="E32660" s="8">
        <v>0</v>
      </c>
      <c r="F32660" s="8">
        <v>200</v>
      </c>
    </row>
    <row r="32661" spans="1:6" ht="12.75">
      <c r="A32661" s="8">
        <v>43889.915833333333</v>
      </c>
      <c r="B32661" s="8" t="str">
        <f>HYPERLINK("https://twitter.com/ephraym8","@ephraym8")</f>
        <v>@ephraym8</v>
      </c>
      <c r="C32661" s="8" t="s">
        <v>11701</v>
      </c>
      <c r="D32661" s="8">
        <v>38</v>
      </c>
      <c r="E32661" s="8">
        <v>0</v>
      </c>
      <c r="F32661" s="8">
        <v>1178</v>
      </c>
    </row>
    <row r="32662" spans="1:6" ht="12.75">
      <c r="A32662" s="8">
        <v>43889.915752314817</v>
      </c>
      <c r="B32662" s="8" t="str">
        <f>HYPERLINK("https://twitter.com/AmbarwatiRexy","@AmbarwatiRexy")</f>
        <v>@AmbarwatiRexy</v>
      </c>
      <c r="C32662" s="8" t="s">
        <v>12246</v>
      </c>
      <c r="D32662" s="8">
        <v>0</v>
      </c>
      <c r="E32662" s="8">
        <v>0</v>
      </c>
      <c r="F32662" s="8">
        <v>42832</v>
      </c>
    </row>
    <row r="32663" spans="1:6" ht="12.75">
      <c r="A32663" s="8">
        <v>43889.91569444444</v>
      </c>
      <c r="B32663" s="8" t="str">
        <f>HYPERLINK("https://twitter.com/calvinyounglee","@calvinyounglee")</f>
        <v>@calvinyounglee</v>
      </c>
      <c r="C32663" s="8" t="s">
        <v>11586</v>
      </c>
      <c r="D32663" s="8">
        <v>164</v>
      </c>
      <c r="E32663" s="8">
        <v>0</v>
      </c>
      <c r="F32663" s="8">
        <v>396</v>
      </c>
    </row>
    <row r="32664" spans="1:6" ht="12.75">
      <c r="A32664" s="8">
        <v>43889.91569444444</v>
      </c>
      <c r="B32664" s="8" t="str">
        <f>HYPERLINK("https://twitter.com/wni_jmsri","@wni_jmsri")</f>
        <v>@wni_jmsri</v>
      </c>
      <c r="C32664" s="8" t="s">
        <v>12247</v>
      </c>
      <c r="D32664" s="8">
        <v>696</v>
      </c>
      <c r="E32664" s="8">
        <v>0</v>
      </c>
      <c r="F32664" s="8">
        <v>200</v>
      </c>
    </row>
    <row r="32665" spans="1:6" ht="12.75">
      <c r="A32665" s="8">
        <v>43889.915601851855</v>
      </c>
      <c r="B32665" s="8" t="str">
        <f>HYPERLINK("https://twitter.com/trinugroho162","@trinugroho162")</f>
        <v>@trinugroho162</v>
      </c>
      <c r="C32665" s="8" t="s">
        <v>10755</v>
      </c>
      <c r="D32665" s="8">
        <v>418</v>
      </c>
      <c r="E32665" s="8">
        <v>0</v>
      </c>
      <c r="F32665" s="8">
        <v>1692</v>
      </c>
    </row>
    <row r="32666" spans="1:6" ht="12.75">
      <c r="A32666" s="8">
        <v>43889.915590277778</v>
      </c>
      <c r="B32666" s="8" t="str">
        <f>HYPERLINK("https://twitter.com/iwanku_ku","@iwanku_ku")</f>
        <v>@iwanku_ku</v>
      </c>
      <c r="C32666" s="8" t="s">
        <v>4235</v>
      </c>
      <c r="D32666" s="8">
        <v>279</v>
      </c>
      <c r="E32666" s="8">
        <v>0</v>
      </c>
      <c r="F32666" s="8">
        <v>818</v>
      </c>
    </row>
    <row r="32667" spans="1:6" ht="12.75">
      <c r="A32667" s="8">
        <v>43889.915590277778</v>
      </c>
      <c r="B32667" s="8" t="str">
        <f>HYPERLINK("https://twitter.com/Sean_Alma","@Sean_Alma")</f>
        <v>@Sean_Alma</v>
      </c>
      <c r="C32667" s="8" t="s">
        <v>10755</v>
      </c>
      <c r="D32667" s="8">
        <v>418</v>
      </c>
      <c r="E32667" s="8">
        <v>0</v>
      </c>
      <c r="F32667" s="8">
        <v>1553</v>
      </c>
    </row>
    <row r="32668" spans="1:6" ht="12.75">
      <c r="A32668" s="8">
        <v>43889.915381944447</v>
      </c>
      <c r="B32668" s="8" t="str">
        <f>HYPERLINK("https://twitter.com/ApitNugroho2","@ApitNugroho2")</f>
        <v>@ApitNugroho2</v>
      </c>
      <c r="C32668" s="8" t="s">
        <v>4235</v>
      </c>
      <c r="D32668" s="8">
        <v>279</v>
      </c>
      <c r="E32668" s="8">
        <v>0</v>
      </c>
      <c r="F32668" s="8">
        <v>1347</v>
      </c>
    </row>
    <row r="32669" spans="1:6" ht="12.75">
      <c r="A32669" s="8">
        <v>43889.915370370371</v>
      </c>
      <c r="B32669" s="8" t="str">
        <f>HYPERLINK("https://twitter.com/GUSBENSOK","@GUSBENSOK")</f>
        <v>@GUSBENSOK</v>
      </c>
      <c r="C32669" s="8" t="s">
        <v>6836</v>
      </c>
      <c r="D32669" s="8">
        <v>78</v>
      </c>
      <c r="E32669" s="8">
        <v>0</v>
      </c>
      <c r="F32669" s="8">
        <v>2057</v>
      </c>
    </row>
    <row r="32670" spans="1:6" ht="12.75">
      <c r="A32670" s="8">
        <v>43889.915358796294</v>
      </c>
      <c r="B32670" s="8" t="str">
        <f>HYPERLINK("https://twitter.com/wni_jmsri","@wni_jmsri")</f>
        <v>@wni_jmsri</v>
      </c>
      <c r="C32670" s="8" t="s">
        <v>12248</v>
      </c>
      <c r="D32670" s="8">
        <v>199</v>
      </c>
      <c r="E32670" s="8">
        <v>0</v>
      </c>
      <c r="F32670" s="8">
        <v>200</v>
      </c>
    </row>
    <row r="32671" spans="1:6" ht="12.75">
      <c r="A32671" s="8">
        <v>43889.915254629625</v>
      </c>
      <c r="B32671" s="8" t="str">
        <f>HYPERLINK("https://twitter.com/Frans_Priyo","@Frans_Priyo")</f>
        <v>@Frans_Priyo</v>
      </c>
      <c r="C32671" s="8" t="s">
        <v>12249</v>
      </c>
      <c r="D32671" s="8">
        <v>0</v>
      </c>
      <c r="E32671" s="8">
        <v>0</v>
      </c>
      <c r="F32671" s="8">
        <v>3416</v>
      </c>
    </row>
    <row r="32672" spans="1:6" ht="12.75">
      <c r="A32672" s="8">
        <v>43889.915162037039</v>
      </c>
      <c r="B32672" s="8" t="str">
        <f>HYPERLINK("https://twitter.com/RadenAwis","@RadenAwis")</f>
        <v>@RadenAwis</v>
      </c>
      <c r="C32672" s="8" t="s">
        <v>791</v>
      </c>
      <c r="D32672" s="8">
        <v>82</v>
      </c>
      <c r="E32672" s="8">
        <v>0</v>
      </c>
      <c r="F32672" s="8">
        <v>75</v>
      </c>
    </row>
    <row r="32673" spans="1:6" ht="12.75">
      <c r="A32673" s="8">
        <v>43889.915150462963</v>
      </c>
      <c r="B32673" s="8" t="str">
        <f>HYPERLINK("https://twitter.com/Lord_Sakto","@Lord_Sakto")</f>
        <v>@Lord_Sakto</v>
      </c>
      <c r="C32673" s="8" t="s">
        <v>4235</v>
      </c>
      <c r="D32673" s="8">
        <v>279</v>
      </c>
      <c r="E32673" s="8">
        <v>0</v>
      </c>
      <c r="F32673" s="8">
        <v>2824</v>
      </c>
    </row>
    <row r="32674" spans="1:6" ht="12.75">
      <c r="A32674" s="8">
        <v>43889.915127314816</v>
      </c>
      <c r="B32674" s="8" t="str">
        <f>HYPERLINK("https://twitter.com/andryuliant","@andryuliant")</f>
        <v>@andryuliant</v>
      </c>
      <c r="C32674" s="8" t="s">
        <v>10755</v>
      </c>
      <c r="D32674" s="8">
        <v>418</v>
      </c>
      <c r="E32674" s="8">
        <v>0</v>
      </c>
      <c r="F32674" s="8">
        <v>193</v>
      </c>
    </row>
    <row r="32675" spans="1:6" ht="12.75">
      <c r="A32675" s="8">
        <v>43889.914849537032</v>
      </c>
      <c r="B32675" s="8" t="str">
        <f>HYPERLINK("https://twitter.com/Wongso_Soebali","@Wongso_Soebali")</f>
        <v>@Wongso_Soebali</v>
      </c>
      <c r="C32675" s="8" t="s">
        <v>12250</v>
      </c>
      <c r="D32675" s="8">
        <v>32</v>
      </c>
      <c r="E32675" s="8">
        <v>0</v>
      </c>
      <c r="F32675" s="8">
        <v>5764</v>
      </c>
    </row>
    <row r="32676" spans="1:6" ht="12.75">
      <c r="A32676" s="8">
        <v>43889.914826388893</v>
      </c>
      <c r="B32676" s="8" t="str">
        <f>HYPERLINK("https://twitter.com/Metro_TV","@Metro_TV")</f>
        <v>@Metro_TV</v>
      </c>
      <c r="C32676" s="8" t="s">
        <v>12251</v>
      </c>
      <c r="D32676" s="8">
        <v>0</v>
      </c>
      <c r="E32676" s="8">
        <v>5</v>
      </c>
      <c r="F32676" s="8">
        <v>10514427</v>
      </c>
    </row>
    <row r="32677" spans="1:6" ht="12.75">
      <c r="A32677" s="8">
        <v>43889.914814814816</v>
      </c>
      <c r="B32677" s="8" t="str">
        <f>HYPERLINK("https://twitter.com/kholil62","@kholil62")</f>
        <v>@kholil62</v>
      </c>
      <c r="C32677" s="8" t="s">
        <v>4235</v>
      </c>
      <c r="D32677" s="8">
        <v>279</v>
      </c>
      <c r="E32677" s="8">
        <v>0</v>
      </c>
      <c r="F32677" s="8">
        <v>857</v>
      </c>
    </row>
    <row r="32678" spans="1:6" ht="12.75">
      <c r="A32678" s="8">
        <v>43889.91469907407</v>
      </c>
      <c r="B32678" s="8" t="str">
        <f>HYPERLINK("https://twitter.com/WayneBruce74","@WayneBruce74")</f>
        <v>@WayneBruce74</v>
      </c>
      <c r="C32678" s="8" t="s">
        <v>11102</v>
      </c>
      <c r="D32678" s="8">
        <v>440</v>
      </c>
      <c r="E32678" s="8">
        <v>0</v>
      </c>
      <c r="F32678" s="8">
        <v>233</v>
      </c>
    </row>
    <row r="32679" spans="1:6" ht="12.75">
      <c r="A32679" s="8">
        <v>43889.914490740739</v>
      </c>
      <c r="B32679" s="8" t="str">
        <f>HYPERLINK("https://twitter.com/enny_endah","@enny_endah")</f>
        <v>@enny_endah</v>
      </c>
      <c r="C32679" s="8" t="s">
        <v>12252</v>
      </c>
      <c r="D32679" s="8">
        <v>1</v>
      </c>
      <c r="E32679" s="8">
        <v>0</v>
      </c>
      <c r="F32679" s="8">
        <v>10653</v>
      </c>
    </row>
    <row r="32680" spans="1:6" ht="12.75">
      <c r="A32680" s="8">
        <v>43889.914398148147</v>
      </c>
      <c r="B32680" s="8" t="str">
        <f>HYPERLINK("https://twitter.com/deckofwar","@deckofwar")</f>
        <v>@deckofwar</v>
      </c>
      <c r="C32680" s="8" t="s">
        <v>11102</v>
      </c>
      <c r="D32680" s="8">
        <v>440</v>
      </c>
      <c r="E32680" s="8">
        <v>0</v>
      </c>
      <c r="F32680" s="8">
        <v>207</v>
      </c>
    </row>
    <row r="32681" spans="1:6" ht="12.75">
      <c r="A32681" s="8">
        <v>43889.914189814815</v>
      </c>
      <c r="B32681" s="8" t="str">
        <f>HYPERLINK("https://twitter.com/mrbarens","@mrbarens")</f>
        <v>@mrbarens</v>
      </c>
      <c r="C32681" s="8" t="s">
        <v>11184</v>
      </c>
      <c r="D32681" s="8">
        <v>4</v>
      </c>
      <c r="E32681" s="8">
        <v>0</v>
      </c>
      <c r="F32681" s="8">
        <v>333</v>
      </c>
    </row>
    <row r="32682" spans="1:6" ht="12.75">
      <c r="A32682" s="8">
        <v>43889.914155092592</v>
      </c>
      <c r="B32682" s="8" t="str">
        <f>HYPERLINK("https://twitter.com/jjunieverse","@jjunieverse")</f>
        <v>@jjunieverse</v>
      </c>
      <c r="C32682" s="8" t="s">
        <v>593</v>
      </c>
      <c r="D32682" s="8">
        <v>444</v>
      </c>
      <c r="E32682" s="8">
        <v>0</v>
      </c>
      <c r="F32682" s="8">
        <v>1028</v>
      </c>
    </row>
    <row r="32683" spans="1:6" ht="12.75">
      <c r="A32683" s="8">
        <v>43889.914120370369</v>
      </c>
      <c r="B32683" s="8" t="str">
        <f>HYPERLINK("https://twitter.com/andrajoleno","@andrajoleno")</f>
        <v>@andrajoleno</v>
      </c>
      <c r="C32683" s="8" t="s">
        <v>11184</v>
      </c>
      <c r="D32683" s="8">
        <v>4</v>
      </c>
      <c r="E32683" s="8">
        <v>0</v>
      </c>
      <c r="F32683" s="8">
        <v>6168</v>
      </c>
    </row>
    <row r="32684" spans="1:6" ht="12.75">
      <c r="A32684" s="8">
        <v>43889.913958333331</v>
      </c>
      <c r="B32684" s="8" t="str">
        <f>HYPERLINK("https://twitter.com/enny_endah","@enny_endah")</f>
        <v>@enny_endah</v>
      </c>
      <c r="C32684" s="8" t="s">
        <v>12253</v>
      </c>
      <c r="D32684" s="8">
        <v>0</v>
      </c>
      <c r="E32684" s="8">
        <v>0</v>
      </c>
      <c r="F32684" s="8">
        <v>10653</v>
      </c>
    </row>
    <row r="32685" spans="1:6" ht="12.75">
      <c r="A32685" s="8">
        <v>43889.913888888885</v>
      </c>
      <c r="B32685" s="8" t="str">
        <f>HYPERLINK("https://twitter.com/NyamNyamJy","@NyamNyamJy")</f>
        <v>@NyamNyamJy</v>
      </c>
      <c r="C32685" s="8" t="s">
        <v>12254</v>
      </c>
      <c r="D32685" s="8">
        <v>2</v>
      </c>
      <c r="E32685" s="8">
        <v>0</v>
      </c>
      <c r="F32685" s="8">
        <v>1890</v>
      </c>
    </row>
    <row r="32686" spans="1:6" ht="12.75">
      <c r="A32686" s="8">
        <v>43889.913773148146</v>
      </c>
      <c r="B32686" s="8" t="str">
        <f>HYPERLINK("https://twitter.com/enny_endah","@enny_endah")</f>
        <v>@enny_endah</v>
      </c>
      <c r="C32686" s="8" t="s">
        <v>12255</v>
      </c>
      <c r="D32686" s="8">
        <v>1</v>
      </c>
      <c r="E32686" s="8">
        <v>0</v>
      </c>
      <c r="F32686" s="8">
        <v>10653</v>
      </c>
    </row>
    <row r="32687" spans="1:6" ht="12.75">
      <c r="A32687" s="8">
        <v>43889.91375</v>
      </c>
      <c r="B32687" s="8" t="str">
        <f>HYPERLINK("https://twitter.com/tribunSUPERBALL","@tribunSUPERBALL")</f>
        <v>@tribunSUPERBALL</v>
      </c>
      <c r="C32687" s="8" t="s">
        <v>12084</v>
      </c>
      <c r="D32687" s="8">
        <v>2</v>
      </c>
      <c r="E32687" s="8">
        <v>1</v>
      </c>
      <c r="F32687" s="8">
        <v>17787</v>
      </c>
    </row>
    <row r="32688" spans="1:6" ht="12.75">
      <c r="A32688" s="8">
        <v>43889.913715277777</v>
      </c>
      <c r="B32688" s="8" t="str">
        <f>HYPERLINK("https://twitter.com/marpaungdonal","@marpaungdonal")</f>
        <v>@marpaungdonal</v>
      </c>
      <c r="C32688" s="8" t="s">
        <v>12256</v>
      </c>
      <c r="D32688" s="8">
        <v>0</v>
      </c>
      <c r="E32688" s="8">
        <v>1</v>
      </c>
      <c r="F32688" s="8">
        <v>1081</v>
      </c>
    </row>
    <row r="32689" spans="1:6" ht="12.75">
      <c r="A32689" s="8">
        <v>43889.913680555561</v>
      </c>
      <c r="B32689" s="8" t="str">
        <f>HYPERLINK("https://twitter.com/leenovel","@leenovel")</f>
        <v>@leenovel</v>
      </c>
      <c r="C32689" s="8" t="s">
        <v>12257</v>
      </c>
      <c r="D32689" s="8">
        <v>1</v>
      </c>
      <c r="E32689" s="8">
        <v>0</v>
      </c>
      <c r="F32689" s="8">
        <v>310</v>
      </c>
    </row>
    <row r="32690" spans="1:6" ht="12.75">
      <c r="A32690" s="8">
        <v>43889.913668981477</v>
      </c>
      <c r="B32690" s="8" t="str">
        <f>HYPERLINK("https://twitter.com/Kang_Pandu01","@Kang_Pandu01")</f>
        <v>@Kang_Pandu01</v>
      </c>
      <c r="C32690" s="8" t="s">
        <v>12258</v>
      </c>
      <c r="D32690" s="8">
        <v>1</v>
      </c>
      <c r="E32690" s="8">
        <v>0</v>
      </c>
      <c r="F32690" s="8">
        <v>1567</v>
      </c>
    </row>
    <row r="32691" spans="1:6" ht="12.75">
      <c r="A32691" s="8">
        <v>43889.913657407407</v>
      </c>
      <c r="B32691" s="8" t="str">
        <f>HYPERLINK("https://twitter.com/indrifeb28","@indrifeb28")</f>
        <v>@indrifeb28</v>
      </c>
      <c r="C32691" s="8" t="s">
        <v>10755</v>
      </c>
      <c r="D32691" s="8">
        <v>418</v>
      </c>
      <c r="E32691" s="8">
        <v>0</v>
      </c>
      <c r="F32691" s="8">
        <v>1978</v>
      </c>
    </row>
    <row r="32692" spans="1:6" ht="12.75">
      <c r="A32692" s="8">
        <v>43889.913483796292</v>
      </c>
      <c r="B32692" s="8" t="str">
        <f>HYPERLINK("https://twitter.com/medcom_id","@medcom_id")</f>
        <v>@medcom_id</v>
      </c>
      <c r="C32692" s="8" t="s">
        <v>12259</v>
      </c>
      <c r="D32692" s="8">
        <v>0</v>
      </c>
      <c r="E32692" s="8">
        <v>0</v>
      </c>
      <c r="F32692" s="8">
        <v>18366</v>
      </c>
    </row>
    <row r="32693" spans="1:6" ht="12.75">
      <c r="A32693" s="8">
        <v>43889.913472222222</v>
      </c>
      <c r="B32693" s="8" t="str">
        <f>HYPERLINK("https://twitter.com/Bospentagon","@Bospentagon")</f>
        <v>@Bospentagon</v>
      </c>
      <c r="C32693" s="8" t="s">
        <v>6863</v>
      </c>
      <c r="D32693" s="8">
        <v>310</v>
      </c>
      <c r="E32693" s="8">
        <v>0</v>
      </c>
      <c r="F32693" s="8">
        <v>0</v>
      </c>
    </row>
    <row r="32694" spans="1:6" ht="12.75">
      <c r="A32694" s="8">
        <v>43889.913449074069</v>
      </c>
      <c r="B32694" s="8" t="str">
        <f>HYPERLINK("https://twitter.com/ashroughftw","@ashroughftw")</f>
        <v>@ashroughftw</v>
      </c>
      <c r="C32694" s="8" t="s">
        <v>11102</v>
      </c>
      <c r="D32694" s="8">
        <v>440</v>
      </c>
      <c r="E32694" s="8">
        <v>0</v>
      </c>
      <c r="F32694" s="8">
        <v>98</v>
      </c>
    </row>
    <row r="32695" spans="1:6" ht="12.75">
      <c r="A32695" s="8">
        <v>43889.91337962963</v>
      </c>
      <c r="B32695" s="8" t="str">
        <f>HYPERLINK("https://twitter.com/ndyArthrunZarra","@ndyArthrunZarra")</f>
        <v>@ndyArthrunZarra</v>
      </c>
      <c r="C32695" s="8" t="s">
        <v>12075</v>
      </c>
      <c r="D32695" s="8">
        <v>7</v>
      </c>
      <c r="E32695" s="8">
        <v>0</v>
      </c>
      <c r="F32695" s="8">
        <v>6238</v>
      </c>
    </row>
    <row r="32696" spans="1:6" ht="12.75">
      <c r="A32696" s="8">
        <v>43889.913356481484</v>
      </c>
      <c r="B32696" s="8" t="str">
        <f>HYPERLINK("https://twitter.com/EyeyiMahza","@EyeyiMahza")</f>
        <v>@EyeyiMahza</v>
      </c>
      <c r="C32696" s="8" t="s">
        <v>10755</v>
      </c>
      <c r="D32696" s="8">
        <v>418</v>
      </c>
      <c r="E32696" s="8">
        <v>0</v>
      </c>
      <c r="F32696" s="8">
        <v>233</v>
      </c>
    </row>
    <row r="32697" spans="1:6" ht="12.75">
      <c r="A32697" s="8">
        <v>43889.913171296299</v>
      </c>
      <c r="B32697" s="8" t="str">
        <f>HYPERLINK("https://twitter.com/Hali__lintar","@Hali__lintar")</f>
        <v>@Hali__lintar</v>
      </c>
      <c r="C32697" s="8" t="s">
        <v>12260</v>
      </c>
      <c r="D32697" s="8">
        <v>0</v>
      </c>
      <c r="E32697" s="8">
        <v>0</v>
      </c>
      <c r="F32697" s="8">
        <v>9296</v>
      </c>
    </row>
    <row r="32698" spans="1:6" ht="12.75">
      <c r="A32698" s="8">
        <v>43889.913101851853</v>
      </c>
      <c r="B32698" s="8" t="str">
        <f>HYPERLINK("https://twitter.com/NasrizqiMaulana","@NasrizqiMaulana")</f>
        <v>@NasrizqiMaulana</v>
      </c>
      <c r="C32698" s="8" t="s">
        <v>10755</v>
      </c>
      <c r="D32698" s="8">
        <v>418</v>
      </c>
      <c r="E32698" s="8">
        <v>0</v>
      </c>
      <c r="F32698" s="8">
        <v>86</v>
      </c>
    </row>
    <row r="32699" spans="1:6" ht="12.75">
      <c r="A32699" s="8">
        <v>43889.912893518514</v>
      </c>
      <c r="B32699" s="8" t="str">
        <f>HYPERLINK("https://twitter.com/Bio626","@Bio626")</f>
        <v>@Bio626</v>
      </c>
      <c r="C32699" s="8" t="s">
        <v>4235</v>
      </c>
      <c r="D32699" s="8">
        <v>279</v>
      </c>
      <c r="E32699" s="8">
        <v>0</v>
      </c>
      <c r="F32699" s="8">
        <v>429</v>
      </c>
    </row>
    <row r="32700" spans="1:6" ht="12.75">
      <c r="A32700" s="8">
        <v>43889.912881944445</v>
      </c>
      <c r="B32700" s="8" t="str">
        <f>HYPERLINK("https://twitter.com/majalahayah","@majalahayah")</f>
        <v>@majalahayah</v>
      </c>
      <c r="C32700" s="8" t="s">
        <v>12261</v>
      </c>
      <c r="D32700" s="8">
        <v>0</v>
      </c>
      <c r="E32700" s="8">
        <v>0</v>
      </c>
      <c r="F32700" s="8">
        <v>301</v>
      </c>
    </row>
    <row r="32701" spans="1:6" ht="12.75">
      <c r="A32701" s="8">
        <v>43889.912847222222</v>
      </c>
      <c r="B32701" s="8" t="str">
        <f>HYPERLINK("https://twitter.com/Om_Datuk","@Om_Datuk")</f>
        <v>@Om_Datuk</v>
      </c>
      <c r="C32701" s="8" t="s">
        <v>12075</v>
      </c>
      <c r="D32701" s="8">
        <v>7</v>
      </c>
      <c r="E32701" s="8">
        <v>0</v>
      </c>
      <c r="F32701" s="8">
        <v>640</v>
      </c>
    </row>
    <row r="32702" spans="1:6" ht="12.75">
      <c r="A32702" s="8">
        <v>43889.912534722222</v>
      </c>
      <c r="B32702" s="8" t="str">
        <f>HYPERLINK("https://twitter.com/kompascom","@kompascom")</f>
        <v>@kompascom</v>
      </c>
      <c r="C32702" s="8" t="s">
        <v>12262</v>
      </c>
      <c r="D32702" s="8">
        <v>0</v>
      </c>
      <c r="E32702" s="8">
        <v>10</v>
      </c>
      <c r="F32702" s="8">
        <v>7517379</v>
      </c>
    </row>
    <row r="32703" spans="1:6" ht="12.75">
      <c r="A32703" s="8">
        <v>43889.912395833337</v>
      </c>
      <c r="B32703" s="8" t="str">
        <f>HYPERLINK("https://twitter.com/enny_endah","@enny_endah")</f>
        <v>@enny_endah</v>
      </c>
      <c r="C32703" s="8" t="s">
        <v>12263</v>
      </c>
      <c r="D32703" s="8">
        <v>1</v>
      </c>
      <c r="E32703" s="8">
        <v>0</v>
      </c>
      <c r="F32703" s="8">
        <v>10653</v>
      </c>
    </row>
    <row r="32704" spans="1:6" ht="12.75">
      <c r="A32704" s="8">
        <v>43889.881666666668</v>
      </c>
      <c r="B32704" s="8" t="str">
        <f>HYPERLINK("https://twitter.com/alfatih213","@alfatih213")</f>
        <v>@alfatih213</v>
      </c>
      <c r="C32704" s="8" t="s">
        <v>10755</v>
      </c>
      <c r="D32704" s="8">
        <v>326</v>
      </c>
      <c r="E32704" s="8">
        <v>0</v>
      </c>
      <c r="F32704" s="8">
        <v>14</v>
      </c>
    </row>
    <row r="32705" spans="1:6" ht="12.75">
      <c r="A32705" s="8">
        <v>43889.881643518514</v>
      </c>
      <c r="B32705" s="8" t="str">
        <f>HYPERLINK("https://twitter.com/einejacs","@einejacs")</f>
        <v>@einejacs</v>
      </c>
      <c r="C32705" s="8" t="s">
        <v>10755</v>
      </c>
      <c r="D32705" s="8">
        <v>326</v>
      </c>
      <c r="E32705" s="8">
        <v>0</v>
      </c>
      <c r="F32705" s="8">
        <v>600</v>
      </c>
    </row>
    <row r="32706" spans="1:6" ht="12.75">
      <c r="A32706" s="8">
        <v>43889.881435185191</v>
      </c>
      <c r="B32706" s="8" t="str">
        <f>HYPERLINK("https://twitter.com/samudranesiaID","@samudranesiaID")</f>
        <v>@samudranesiaID</v>
      </c>
      <c r="C32706" s="8" t="s">
        <v>12264</v>
      </c>
      <c r="D32706" s="8">
        <v>0</v>
      </c>
      <c r="E32706" s="8">
        <v>0</v>
      </c>
      <c r="F32706" s="8">
        <v>358</v>
      </c>
    </row>
    <row r="32707" spans="1:6" ht="12.75">
      <c r="A32707" s="8">
        <v>43889.881365740745</v>
      </c>
      <c r="B32707" s="8" t="str">
        <f>HYPERLINK("https://twitter.com/syasyami_17","@syasyami_17")</f>
        <v>@syasyami_17</v>
      </c>
      <c r="C32707" s="8" t="s">
        <v>12093</v>
      </c>
      <c r="D32707" s="8">
        <v>31</v>
      </c>
      <c r="E32707" s="8">
        <v>0</v>
      </c>
      <c r="F32707" s="8">
        <v>453</v>
      </c>
    </row>
    <row r="32708" spans="1:6" ht="12.75">
      <c r="A32708" s="8">
        <v>43889.881273148145</v>
      </c>
      <c r="B32708" s="8" t="str">
        <f>HYPERLINK("https://twitter.com/jhon_hancock77","@jhon_hancock77")</f>
        <v>@jhon_hancock77</v>
      </c>
      <c r="C32708" s="8" t="s">
        <v>4235</v>
      </c>
      <c r="D32708" s="8">
        <v>182</v>
      </c>
      <c r="E32708" s="8">
        <v>0</v>
      </c>
      <c r="F32708" s="8">
        <v>1321</v>
      </c>
    </row>
    <row r="32709" spans="1:6" ht="12.75">
      <c r="A32709" s="8">
        <v>43889.881157407406</v>
      </c>
      <c r="B32709" s="8" t="str">
        <f>HYPERLINK("https://twitter.com/AHAzhari","@AHAzhari")</f>
        <v>@AHAzhari</v>
      </c>
      <c r="C32709" s="8" t="s">
        <v>10755</v>
      </c>
      <c r="D32709" s="8">
        <v>326</v>
      </c>
      <c r="E32709" s="8">
        <v>0</v>
      </c>
      <c r="F32709" s="8">
        <v>29</v>
      </c>
    </row>
    <row r="32710" spans="1:6" ht="12.75">
      <c r="A32710" s="8">
        <v>43889.881053240737</v>
      </c>
      <c r="B32710" s="8" t="str">
        <f>HYPERLINK("https://twitter.com/Wpalingserius","@Wpalingserius")</f>
        <v>@Wpalingserius</v>
      </c>
      <c r="C32710" s="8" t="s">
        <v>10755</v>
      </c>
      <c r="D32710" s="8">
        <v>326</v>
      </c>
      <c r="E32710" s="8">
        <v>0</v>
      </c>
      <c r="F32710" s="8">
        <v>22</v>
      </c>
    </row>
    <row r="32711" spans="1:6" ht="12.75">
      <c r="A32711" s="8">
        <v>43889.880972222221</v>
      </c>
      <c r="B32711" s="8" t="str">
        <f>HYPERLINK("https://twitter.com/beyournoona","@beyournoona")</f>
        <v>@beyournoona</v>
      </c>
      <c r="C32711" s="8" t="s">
        <v>12265</v>
      </c>
      <c r="D32711" s="8">
        <v>0</v>
      </c>
      <c r="E32711" s="8">
        <v>0</v>
      </c>
      <c r="F32711" s="8">
        <v>190</v>
      </c>
    </row>
    <row r="32712" spans="1:6" ht="12.75">
      <c r="A32712" s="8">
        <v>43889.880879629629</v>
      </c>
      <c r="B32712" s="8" t="str">
        <f>HYPERLINK("https://twitter.com/Hitamputih2010","@Hitamputih2010")</f>
        <v>@Hitamputih2010</v>
      </c>
      <c r="C32712" s="8" t="s">
        <v>4235</v>
      </c>
      <c r="D32712" s="8">
        <v>182</v>
      </c>
      <c r="E32712" s="8">
        <v>0</v>
      </c>
      <c r="F32712" s="8">
        <v>132</v>
      </c>
    </row>
    <row r="32713" spans="1:6" ht="12.75">
      <c r="A32713" s="8">
        <v>43889.88076388889</v>
      </c>
      <c r="B32713" s="8" t="str">
        <f>HYPERLINK("https://twitter.com/DrewLim8","@DrewLim8")</f>
        <v>@DrewLim8</v>
      </c>
      <c r="C32713" s="8" t="s">
        <v>12266</v>
      </c>
      <c r="D32713" s="8">
        <v>1</v>
      </c>
      <c r="E32713" s="8">
        <v>0</v>
      </c>
      <c r="F32713" s="8">
        <v>1463</v>
      </c>
    </row>
    <row r="32714" spans="1:6" ht="12.75">
      <c r="A32714" s="8">
        <v>43889.880694444444</v>
      </c>
      <c r="B32714" s="8" t="str">
        <f>HYPERLINK("https://twitter.com/HatiBerdebu","@HatiBerdebu")</f>
        <v>@HatiBerdebu</v>
      </c>
      <c r="C32714" s="8" t="s">
        <v>12267</v>
      </c>
      <c r="D32714" s="8">
        <v>8</v>
      </c>
      <c r="E32714" s="8">
        <v>0</v>
      </c>
      <c r="F32714" s="8">
        <v>297</v>
      </c>
    </row>
    <row r="32715" spans="1:6" ht="12.75">
      <c r="A32715" s="8">
        <v>43889.880590277782</v>
      </c>
      <c r="B32715" s="8" t="str">
        <f>HYPERLINK("https://twitter.com/nosa_her","@nosa_her")</f>
        <v>@nosa_her</v>
      </c>
      <c r="C32715" s="8" t="s">
        <v>12093</v>
      </c>
      <c r="D32715" s="8">
        <v>31</v>
      </c>
      <c r="E32715" s="8">
        <v>0</v>
      </c>
      <c r="F32715" s="8">
        <v>443</v>
      </c>
    </row>
    <row r="32716" spans="1:6" ht="12.75">
      <c r="A32716" s="8">
        <v>43889.880590277782</v>
      </c>
      <c r="B32716" s="8" t="str">
        <f>HYPERLINK("https://twitter.com/kompascom","@kompascom")</f>
        <v>@kompascom</v>
      </c>
      <c r="C32716" s="8" t="s">
        <v>12268</v>
      </c>
      <c r="D32716" s="8">
        <v>0</v>
      </c>
      <c r="E32716" s="8">
        <v>1</v>
      </c>
      <c r="F32716" s="8">
        <v>7517288</v>
      </c>
    </row>
    <row r="32717" spans="1:6" ht="12.75">
      <c r="A32717" s="8">
        <v>43889.880509259259</v>
      </c>
      <c r="B32717" s="8" t="str">
        <f>HYPERLINK("https://twitter.com/dewinuriyah3","@dewinuriyah3")</f>
        <v>@dewinuriyah3</v>
      </c>
      <c r="C32717" s="8" t="s">
        <v>10755</v>
      </c>
      <c r="D32717" s="8">
        <v>326</v>
      </c>
      <c r="E32717" s="8">
        <v>0</v>
      </c>
      <c r="F32717" s="8">
        <v>201</v>
      </c>
    </row>
    <row r="32718" spans="1:6" ht="12.75">
      <c r="A32718" s="8">
        <v>43889.880486111113</v>
      </c>
      <c r="B32718" s="8" t="str">
        <f>HYPERLINK("https://twitter.com/Alfindo30504731","@Alfindo30504731")</f>
        <v>@Alfindo30504731</v>
      </c>
      <c r="C32718" s="8" t="s">
        <v>10755</v>
      </c>
      <c r="D32718" s="8">
        <v>326</v>
      </c>
      <c r="E32718" s="8">
        <v>0</v>
      </c>
      <c r="F32718" s="8">
        <v>7</v>
      </c>
    </row>
    <row r="32719" spans="1:6" ht="12.75">
      <c r="A32719" s="8">
        <v>43889.880277777775</v>
      </c>
      <c r="B32719" s="8" t="str">
        <f>HYPERLINK("https://twitter.com/zaelaniez","@zaelaniez")</f>
        <v>@zaelaniez</v>
      </c>
      <c r="C32719" s="8" t="s">
        <v>4235</v>
      </c>
      <c r="D32719" s="8">
        <v>182</v>
      </c>
      <c r="E32719" s="8">
        <v>0</v>
      </c>
      <c r="F32719" s="8">
        <v>238</v>
      </c>
    </row>
    <row r="32720" spans="1:6" ht="12.75">
      <c r="A32720" s="8">
        <v>43889.880208333328</v>
      </c>
      <c r="B32720" s="8" t="str">
        <f>HYPERLINK("https://twitter.com/syasyami_17","@syasyami_17")</f>
        <v>@syasyami_17</v>
      </c>
      <c r="C32720" s="8" t="s">
        <v>12269</v>
      </c>
      <c r="D32720" s="8">
        <v>8</v>
      </c>
      <c r="E32720" s="8">
        <v>0</v>
      </c>
      <c r="F32720" s="8">
        <v>453</v>
      </c>
    </row>
    <row r="32721" spans="1:6" ht="12.75">
      <c r="A32721" s="8">
        <v>43889.88013888889</v>
      </c>
      <c r="B32721" s="8" t="str">
        <f>HYPERLINK("https://twitter.com/ZaynMilan","@ZaynMilan")</f>
        <v>@ZaynMilan</v>
      </c>
      <c r="C32721" s="8" t="s">
        <v>4235</v>
      </c>
      <c r="D32721" s="8">
        <v>182</v>
      </c>
      <c r="E32721" s="8">
        <v>0</v>
      </c>
      <c r="F32721" s="8">
        <v>265</v>
      </c>
    </row>
    <row r="32722" spans="1:6" ht="12.75">
      <c r="A32722" s="8">
        <v>43889.88008101852</v>
      </c>
      <c r="B32722" s="8" t="str">
        <f>HYPERLINK("https://twitter.com/sektorremboken","@sektorremboken")</f>
        <v>@sektorremboken</v>
      </c>
      <c r="C32722" s="8" t="s">
        <v>12270</v>
      </c>
      <c r="D32722" s="8">
        <v>0</v>
      </c>
      <c r="E32722" s="8">
        <v>0</v>
      </c>
      <c r="F32722" s="8">
        <v>1</v>
      </c>
    </row>
    <row r="32723" spans="1:6" ht="12.75">
      <c r="A32723" s="8">
        <v>43889.88008101852</v>
      </c>
      <c r="B32723" s="8" t="str">
        <f>HYPERLINK("https://twitter.com/Ajimfree","@Ajimfree")</f>
        <v>@Ajimfree</v>
      </c>
      <c r="C32723" s="8" t="s">
        <v>6836</v>
      </c>
      <c r="D32723" s="8">
        <v>59</v>
      </c>
      <c r="E32723" s="8">
        <v>0</v>
      </c>
      <c r="F32723" s="8">
        <v>167</v>
      </c>
    </row>
    <row r="32724" spans="1:6" ht="12.75">
      <c r="A32724" s="8">
        <v>43889.879895833335</v>
      </c>
      <c r="B32724" s="8" t="str">
        <f>HYPERLINK("https://twitter.com/JimDaiez","@JimDaiez")</f>
        <v>@JimDaiez</v>
      </c>
      <c r="C32724" s="8" t="s">
        <v>12271</v>
      </c>
      <c r="D32724" s="8">
        <v>0</v>
      </c>
      <c r="E32724" s="8">
        <v>0</v>
      </c>
      <c r="F32724" s="8">
        <v>519</v>
      </c>
    </row>
    <row r="32725" spans="1:6" ht="12.75">
      <c r="A32725" s="8">
        <v>43889.879861111112</v>
      </c>
      <c r="B32725" s="8" t="str">
        <f>HYPERLINK("https://twitter.com/dhe_amoy94","@dhe_amoy94")</f>
        <v>@dhe_amoy94</v>
      </c>
      <c r="C32725" s="8" t="s">
        <v>6863</v>
      </c>
      <c r="D32725" s="8">
        <v>306</v>
      </c>
      <c r="E32725" s="8">
        <v>0</v>
      </c>
      <c r="F32725" s="8">
        <v>104</v>
      </c>
    </row>
    <row r="32726" spans="1:6" ht="12.75">
      <c r="A32726" s="8">
        <v>43889.879837962959</v>
      </c>
      <c r="B32726" s="8" t="str">
        <f>HYPERLINK("https://twitter.com/kbrioslo","@kbrioslo")</f>
        <v>@kbrioslo</v>
      </c>
      <c r="C32726" s="8" t="s">
        <v>8321</v>
      </c>
      <c r="D32726" s="8">
        <v>26</v>
      </c>
      <c r="E32726" s="8">
        <v>0</v>
      </c>
      <c r="F32726" s="8">
        <v>2416</v>
      </c>
    </row>
    <row r="32727" spans="1:6" ht="12.75">
      <c r="A32727" s="8">
        <v>43889.879803240736</v>
      </c>
      <c r="B32727" s="8" t="str">
        <f>HYPERLINK("https://twitter.com/adimassiti","@adimassiti")</f>
        <v>@adimassiti</v>
      </c>
      <c r="C32727" s="8" t="s">
        <v>12272</v>
      </c>
      <c r="D32727" s="8">
        <v>0</v>
      </c>
      <c r="E32727" s="8">
        <v>0</v>
      </c>
      <c r="F32727" s="8">
        <v>184</v>
      </c>
    </row>
    <row r="32728" spans="1:6" ht="12.75">
      <c r="A32728" s="8">
        <v>43889.879756944443</v>
      </c>
      <c r="B32728" s="8" t="str">
        <f>HYPERLINK("https://twitter.com/kbrioslo","@kbrioslo")</f>
        <v>@kbrioslo</v>
      </c>
      <c r="C32728" s="8" t="s">
        <v>9248</v>
      </c>
      <c r="D32728" s="8">
        <v>13</v>
      </c>
      <c r="E32728" s="8">
        <v>0</v>
      </c>
      <c r="F32728" s="8">
        <v>2416</v>
      </c>
    </row>
    <row r="32729" spans="1:6" ht="12.75">
      <c r="A32729" s="8">
        <v>43889.879618055551</v>
      </c>
      <c r="B32729" s="8" t="str">
        <f>HYPERLINK("https://twitter.com/nightrosiee","@nightrosiee")</f>
        <v>@nightrosiee</v>
      </c>
      <c r="C32729" s="8" t="s">
        <v>10755</v>
      </c>
      <c r="D32729" s="8">
        <v>326</v>
      </c>
      <c r="E32729" s="8">
        <v>0</v>
      </c>
      <c r="F32729" s="8">
        <v>57</v>
      </c>
    </row>
    <row r="32730" spans="1:6" ht="12.75">
      <c r="A32730" s="8">
        <v>43889.879618055551</v>
      </c>
      <c r="B32730" s="8" t="str">
        <f>HYPERLINK("https://twitter.com/rizkisaputra300","@rizkisaputra300")</f>
        <v>@rizkisaputra300</v>
      </c>
      <c r="C32730" s="8" t="s">
        <v>12273</v>
      </c>
      <c r="D32730" s="8">
        <v>2</v>
      </c>
      <c r="E32730" s="8">
        <v>0</v>
      </c>
      <c r="F32730" s="8">
        <v>564</v>
      </c>
    </row>
    <row r="32731" spans="1:6" ht="12.75">
      <c r="A32731" s="8">
        <v>43889.879606481481</v>
      </c>
      <c r="B32731" s="8" t="str">
        <f>HYPERLINK("https://twitter.com/Benji_LA88","@Benji_LA88")</f>
        <v>@Benji_LA88</v>
      </c>
      <c r="C32731" s="8" t="s">
        <v>4235</v>
      </c>
      <c r="D32731" s="8">
        <v>182</v>
      </c>
      <c r="E32731" s="8">
        <v>0</v>
      </c>
      <c r="F32731" s="8">
        <v>1597</v>
      </c>
    </row>
    <row r="32732" spans="1:6" ht="12.75">
      <c r="A32732" s="8">
        <v>43889.879537037035</v>
      </c>
      <c r="B32732" s="8" t="str">
        <f>HYPERLINK("https://twitter.com/BruceEmond","@BruceEmond")</f>
        <v>@BruceEmond</v>
      </c>
      <c r="C32732" s="8" t="s">
        <v>12274</v>
      </c>
      <c r="D32732" s="8">
        <v>1</v>
      </c>
      <c r="E32732" s="8">
        <v>5</v>
      </c>
      <c r="F32732" s="8">
        <v>27811</v>
      </c>
    </row>
    <row r="32733" spans="1:6" ht="12.75">
      <c r="A32733" s="8">
        <v>43889.879398148143</v>
      </c>
      <c r="B32733" s="8" t="str">
        <f>HYPERLINK("https://twitter.com/AndyArch77","@AndyArch77")</f>
        <v>@AndyArch77</v>
      </c>
      <c r="C32733" s="8" t="s">
        <v>12056</v>
      </c>
      <c r="D32733" s="8">
        <v>41</v>
      </c>
      <c r="E32733" s="8">
        <v>0</v>
      </c>
      <c r="F32733" s="8">
        <v>2495</v>
      </c>
    </row>
    <row r="32734" spans="1:6" ht="12.75">
      <c r="A32734" s="8">
        <v>43889.879270833335</v>
      </c>
      <c r="B32734" s="8" t="str">
        <f>HYPERLINK("https://twitter.com/DennyAbdillah","@DennyAbdillah")</f>
        <v>@DennyAbdillah</v>
      </c>
      <c r="C32734" s="8" t="s">
        <v>593</v>
      </c>
      <c r="D32734" s="8">
        <v>437</v>
      </c>
      <c r="E32734" s="8">
        <v>0</v>
      </c>
      <c r="F32734" s="8">
        <v>701</v>
      </c>
    </row>
    <row r="32735" spans="1:6" ht="12.75">
      <c r="A32735" s="8">
        <v>43889.879236111112</v>
      </c>
      <c r="B32735" s="8" t="str">
        <f>HYPERLINK("https://twitter.com/VanDenBray1","@VanDenBray1")</f>
        <v>@VanDenBray1</v>
      </c>
      <c r="C32735" s="8" t="s">
        <v>4235</v>
      </c>
      <c r="D32735" s="8">
        <v>182</v>
      </c>
      <c r="E32735" s="8">
        <v>0</v>
      </c>
      <c r="F32735" s="8">
        <v>508</v>
      </c>
    </row>
    <row r="32736" spans="1:6" ht="12.75">
      <c r="A32736" s="8">
        <v>43889.878842592589</v>
      </c>
      <c r="B32736" s="8" t="str">
        <f>HYPERLINK("https://twitter.com/MAHA51920783","@MAHA51920783")</f>
        <v>@MAHA51920783</v>
      </c>
      <c r="C32736" s="8" t="s">
        <v>12275</v>
      </c>
      <c r="D32736" s="8">
        <v>0</v>
      </c>
      <c r="E32736" s="8">
        <v>1</v>
      </c>
      <c r="F32736" s="8">
        <v>34</v>
      </c>
    </row>
    <row r="32737" spans="1:6" ht="12.75">
      <c r="A32737" s="8">
        <v>43889.878530092596</v>
      </c>
      <c r="B32737" s="8" t="str">
        <f>HYPERLINK("https://twitter.com/hazairi80787281","@hazairi80787281")</f>
        <v>@hazairi80787281</v>
      </c>
      <c r="C32737" s="8" t="s">
        <v>10755</v>
      </c>
      <c r="D32737" s="8">
        <v>326</v>
      </c>
      <c r="E32737" s="8">
        <v>0</v>
      </c>
      <c r="F32737" s="8">
        <v>37</v>
      </c>
    </row>
    <row r="32738" spans="1:6" ht="12.75">
      <c r="A32738" s="8">
        <v>43889.878506944442</v>
      </c>
      <c r="B32738" s="8" t="str">
        <f>HYPERLINK("https://twitter.com/HTempuran","@HTempuran")</f>
        <v>@HTempuran</v>
      </c>
      <c r="C32738" s="8" t="s">
        <v>12276</v>
      </c>
      <c r="D32738" s="8">
        <v>0</v>
      </c>
      <c r="E32738" s="8">
        <v>0</v>
      </c>
      <c r="F32738" s="8">
        <v>92</v>
      </c>
    </row>
    <row r="32739" spans="1:6" ht="12.75">
      <c r="A32739" s="8">
        <v>43889.878495370373</v>
      </c>
      <c r="B32739" s="8" t="str">
        <f>HYPERLINK("https://twitter.com/Baliantaranews","@Baliantaranews")</f>
        <v>@Baliantaranews</v>
      </c>
      <c r="C32739" s="8" t="s">
        <v>12277</v>
      </c>
      <c r="D32739" s="8">
        <v>1</v>
      </c>
      <c r="E32739" s="8">
        <v>0</v>
      </c>
      <c r="F32739" s="8">
        <v>737</v>
      </c>
    </row>
    <row r="32740" spans="1:6" ht="12.75">
      <c r="A32740" s="8">
        <v>43889.878472222219</v>
      </c>
      <c r="B32740" s="8" t="str">
        <f>HYPERLINK("https://twitter.com/milvayeni","@milvayeni")</f>
        <v>@milvayeni</v>
      </c>
      <c r="C32740" s="8" t="s">
        <v>11641</v>
      </c>
      <c r="D32740" s="8">
        <v>79</v>
      </c>
      <c r="E32740" s="8">
        <v>0</v>
      </c>
      <c r="F32740" s="8">
        <v>301</v>
      </c>
    </row>
    <row r="32741" spans="1:6" ht="12.75">
      <c r="A32741" s="8">
        <v>43889.878460648149</v>
      </c>
      <c r="B32741" s="8" t="str">
        <f>HYPERLINK("https://twitter.com/pengemis1234","@pengemis1234")</f>
        <v>@pengemis1234</v>
      </c>
      <c r="C32741" s="8" t="s">
        <v>4235</v>
      </c>
      <c r="D32741" s="8">
        <v>182</v>
      </c>
      <c r="E32741" s="8">
        <v>0</v>
      </c>
      <c r="F32741" s="8">
        <v>251</v>
      </c>
    </row>
    <row r="32742" spans="1:6" ht="12.75">
      <c r="A32742" s="8">
        <v>43889.878449074073</v>
      </c>
      <c r="B32742" s="8" t="str">
        <f>HYPERLINK("https://twitter.com/ahmadmuslich","@ahmadmuslich")</f>
        <v>@ahmadmuslich</v>
      </c>
      <c r="C32742" s="8" t="s">
        <v>10755</v>
      </c>
      <c r="D32742" s="8">
        <v>326</v>
      </c>
      <c r="E32742" s="8">
        <v>0</v>
      </c>
      <c r="F32742" s="8">
        <v>375</v>
      </c>
    </row>
    <row r="32743" spans="1:6" ht="12.75">
      <c r="A32743" s="8">
        <v>43889.878414351857</v>
      </c>
      <c r="B32743" s="8" t="str">
        <f>HYPERLINK("https://twitter.com/iyang88","@iyang88")</f>
        <v>@iyang88</v>
      </c>
      <c r="C32743" s="8" t="s">
        <v>10755</v>
      </c>
      <c r="D32743" s="8">
        <v>326</v>
      </c>
      <c r="E32743" s="8">
        <v>0</v>
      </c>
      <c r="F32743" s="8">
        <v>635</v>
      </c>
    </row>
    <row r="32744" spans="1:6" ht="12.75">
      <c r="A32744" s="8">
        <v>43889.878275462965</v>
      </c>
      <c r="B32744" s="8" t="str">
        <f>HYPERLINK("https://twitter.com/imustdisappoint","@imustdisappoint")</f>
        <v>@imustdisappoint</v>
      </c>
      <c r="C32744" s="8" t="s">
        <v>12278</v>
      </c>
      <c r="D32744" s="8">
        <v>0</v>
      </c>
      <c r="E32744" s="8">
        <v>0</v>
      </c>
      <c r="F32744" s="8">
        <v>220</v>
      </c>
    </row>
    <row r="32745" spans="1:6" ht="12.75">
      <c r="A32745" s="8">
        <v>43889.878159722226</v>
      </c>
      <c r="B32745" s="8" t="str">
        <f>HYPERLINK("https://twitter.com/antaranews_bali","@antaranews_bali")</f>
        <v>@antaranews_bali</v>
      </c>
      <c r="C32745" s="8" t="s">
        <v>12279</v>
      </c>
      <c r="D32745" s="8">
        <v>1</v>
      </c>
      <c r="E32745" s="8">
        <v>0</v>
      </c>
      <c r="F32745" s="8">
        <v>4933</v>
      </c>
    </row>
    <row r="32746" spans="1:6" ht="12.75">
      <c r="A32746" s="8">
        <v>43889.878148148149</v>
      </c>
      <c r="B32746" s="8" t="str">
        <f>HYPERLINK("https://twitter.com/merdekadotcom","@merdekadotcom")</f>
        <v>@merdekadotcom</v>
      </c>
      <c r="C32746" s="8" t="s">
        <v>12280</v>
      </c>
      <c r="D32746" s="8">
        <v>0</v>
      </c>
      <c r="E32746" s="8">
        <v>0</v>
      </c>
      <c r="F32746" s="8">
        <v>231101</v>
      </c>
    </row>
    <row r="32747" spans="1:6" ht="12.75">
      <c r="A32747" s="8">
        <v>43889.878125000003</v>
      </c>
      <c r="B32747" s="8" t="str">
        <f>HYPERLINK("https://twitter.com/rizkalovianita","@rizkalovianita")</f>
        <v>@rizkalovianita</v>
      </c>
      <c r="C32747" s="8" t="s">
        <v>12281</v>
      </c>
      <c r="D32747" s="8">
        <v>0</v>
      </c>
      <c r="E32747" s="8">
        <v>0</v>
      </c>
      <c r="F32747" s="8">
        <v>6</v>
      </c>
    </row>
    <row r="32748" spans="1:6" ht="12.75">
      <c r="A32748" s="8">
        <v>43889.877881944441</v>
      </c>
      <c r="B32748" s="8" t="str">
        <f>HYPERLINK("https://twitter.com/Anurag82317875","@Anurag82317875")</f>
        <v>@Anurag82317875</v>
      </c>
      <c r="C32748" s="8" t="s">
        <v>12282</v>
      </c>
      <c r="D32748" s="8">
        <v>0</v>
      </c>
      <c r="E32748" s="8">
        <v>0</v>
      </c>
      <c r="F32748" s="8">
        <v>0</v>
      </c>
    </row>
    <row r="32749" spans="1:6" ht="12.75">
      <c r="A32749" s="8">
        <v>43889.877523148149</v>
      </c>
      <c r="B32749" s="8" t="str">
        <f>HYPERLINK("https://twitter.com/CandraRachmad","@CandraRachmad")</f>
        <v>@CandraRachmad</v>
      </c>
      <c r="C32749" s="8" t="s">
        <v>10743</v>
      </c>
      <c r="D32749" s="8">
        <v>59</v>
      </c>
      <c r="E32749" s="8">
        <v>0</v>
      </c>
      <c r="F32749" s="8">
        <v>164</v>
      </c>
    </row>
    <row r="32750" spans="1:6" ht="12.75">
      <c r="A32750" s="8">
        <v>43889.877071759256</v>
      </c>
      <c r="B32750" s="8" t="str">
        <f>HYPERLINK("https://twitter.com/yanboim","@yanboim")</f>
        <v>@yanboim</v>
      </c>
      <c r="C32750" s="8" t="s">
        <v>4235</v>
      </c>
      <c r="D32750" s="8">
        <v>182</v>
      </c>
      <c r="E32750" s="8">
        <v>0</v>
      </c>
      <c r="F32750" s="8">
        <v>201</v>
      </c>
    </row>
    <row r="32751" spans="1:6" ht="12.75">
      <c r="A32751" s="8">
        <v>43889.87699074074</v>
      </c>
      <c r="B32751" s="8" t="str">
        <f>HYPERLINK("https://twitter.com/rafsa_08","@rafsa_08")</f>
        <v>@rafsa_08</v>
      </c>
      <c r="C32751" s="8" t="s">
        <v>6836</v>
      </c>
      <c r="D32751" s="8">
        <v>59</v>
      </c>
      <c r="E32751" s="8">
        <v>0</v>
      </c>
      <c r="F32751" s="8">
        <v>423</v>
      </c>
    </row>
    <row r="32752" spans="1:6" ht="12.75">
      <c r="A32752" s="8">
        <v>43889.876979166671</v>
      </c>
      <c r="B32752" s="8" t="str">
        <f>HYPERLINK("https://twitter.com/nyomanswagangga","@nyomanswagangga")</f>
        <v>@nyomanswagangga</v>
      </c>
      <c r="C32752" s="8" t="s">
        <v>12283</v>
      </c>
      <c r="D32752" s="8">
        <v>0</v>
      </c>
      <c r="E32752" s="8">
        <v>1</v>
      </c>
      <c r="F32752" s="8">
        <v>57</v>
      </c>
    </row>
    <row r="32753" spans="1:6" ht="12.75">
      <c r="A32753" s="8">
        <v>43889.876840277779</v>
      </c>
      <c r="B32753" s="8" t="str">
        <f>HYPERLINK("https://twitter.com/beraniadilhebat","@beraniadilhebat")</f>
        <v>@beraniadilhebat</v>
      </c>
      <c r="C32753" s="8" t="s">
        <v>6490</v>
      </c>
      <c r="D32753" s="8">
        <v>85</v>
      </c>
      <c r="E32753" s="8">
        <v>0</v>
      </c>
      <c r="F32753" s="8">
        <v>1303</v>
      </c>
    </row>
    <row r="32754" spans="1:6" ht="12.75">
      <c r="A32754" s="8">
        <v>43889.876620370371</v>
      </c>
      <c r="B32754" s="8" t="str">
        <f>HYPERLINK("https://twitter.com/ZefpronSaputra","@ZefpronSaputra")</f>
        <v>@ZefpronSaputra</v>
      </c>
      <c r="C32754" s="8" t="s">
        <v>12135</v>
      </c>
      <c r="D32754" s="8">
        <v>20</v>
      </c>
      <c r="E32754" s="8">
        <v>0</v>
      </c>
      <c r="F32754" s="8">
        <v>901</v>
      </c>
    </row>
    <row r="32755" spans="1:6" ht="12.75">
      <c r="A32755" s="8">
        <v>43889.876574074078</v>
      </c>
      <c r="B32755" s="8" t="str">
        <f>HYPERLINK("https://twitter.com/hadijah2007","@hadijah2007")</f>
        <v>@hadijah2007</v>
      </c>
      <c r="C32755" s="8" t="s">
        <v>4235</v>
      </c>
      <c r="D32755" s="8">
        <v>182</v>
      </c>
      <c r="E32755" s="8">
        <v>0</v>
      </c>
      <c r="F32755" s="8">
        <v>2233</v>
      </c>
    </row>
    <row r="32756" spans="1:6" ht="12.75">
      <c r="A32756" s="8">
        <v>43889.87636574074</v>
      </c>
      <c r="B32756" s="8" t="str">
        <f>HYPERLINK("https://twitter.com/aimanzhafri95","@aimanzhafri95")</f>
        <v>@aimanzhafri95</v>
      </c>
      <c r="C32756" s="8" t="s">
        <v>11102</v>
      </c>
      <c r="D32756" s="8">
        <v>421</v>
      </c>
      <c r="E32756" s="8">
        <v>0</v>
      </c>
      <c r="F32756" s="8">
        <v>247</v>
      </c>
    </row>
    <row r="32757" spans="1:6" ht="12.75">
      <c r="A32757" s="8">
        <v>43889.876342592594</v>
      </c>
      <c r="B32757" s="8" t="str">
        <f>HYPERLINK("https://twitter.com/zarazettirazr","@zarazettirazr")</f>
        <v>@zarazettirazr</v>
      </c>
      <c r="C32757" s="8" t="s">
        <v>10755</v>
      </c>
      <c r="D32757" s="8">
        <v>326</v>
      </c>
      <c r="E32757" s="8">
        <v>0</v>
      </c>
      <c r="F32757" s="8">
        <v>250839</v>
      </c>
    </row>
    <row r="32758" spans="1:6" ht="12.75">
      <c r="A32758" s="8">
        <v>43889.876076388886</v>
      </c>
      <c r="B32758" s="8" t="str">
        <f>HYPERLINK("https://twitter.com/Zionist_gl","@Zionist_gl")</f>
        <v>@Zionist_gl</v>
      </c>
      <c r="C32758" s="8" t="s">
        <v>12284</v>
      </c>
      <c r="D32758" s="8">
        <v>0</v>
      </c>
      <c r="E32758" s="8">
        <v>0</v>
      </c>
      <c r="F32758" s="8">
        <v>20</v>
      </c>
    </row>
    <row r="32759" spans="1:6" ht="12.75">
      <c r="A32759" s="8">
        <v>43889.875972222224</v>
      </c>
      <c r="B32759" s="8" t="str">
        <f>HYPERLINK("https://twitter.com/nusa1233","@nusa1233")</f>
        <v>@nusa1233</v>
      </c>
      <c r="C32759" s="8" t="s">
        <v>4235</v>
      </c>
      <c r="D32759" s="8">
        <v>182</v>
      </c>
      <c r="E32759" s="8">
        <v>0</v>
      </c>
      <c r="F32759" s="8">
        <v>274</v>
      </c>
    </row>
    <row r="32760" spans="1:6" ht="12.75">
      <c r="A32760" s="8">
        <v>43889.875960648147</v>
      </c>
      <c r="B32760" s="8" t="str">
        <f>HYPERLINK("https://twitter.com/tedi_pirmansyah","@tedi_pirmansyah")</f>
        <v>@tedi_pirmansyah</v>
      </c>
      <c r="C32760" s="8" t="s">
        <v>12108</v>
      </c>
      <c r="D32760" s="8">
        <v>18</v>
      </c>
      <c r="E32760" s="8">
        <v>0</v>
      </c>
      <c r="F32760" s="8">
        <v>444</v>
      </c>
    </row>
    <row r="32761" spans="1:6" ht="12.75">
      <c r="A32761" s="8">
        <v>43889.875833333332</v>
      </c>
      <c r="B32761" s="8" t="str">
        <f>HYPERLINK("https://twitter.com/Arifin2Zainal","@Arifin2Zainal")</f>
        <v>@Arifin2Zainal</v>
      </c>
      <c r="C32761" s="8" t="s">
        <v>6490</v>
      </c>
      <c r="D32761" s="8">
        <v>85</v>
      </c>
      <c r="E32761" s="8">
        <v>0</v>
      </c>
      <c r="F32761" s="8">
        <v>1864</v>
      </c>
    </row>
    <row r="32762" spans="1:6" ht="12.75">
      <c r="A32762" s="8">
        <v>43889.875821759255</v>
      </c>
      <c r="B32762" s="8" t="str">
        <f>HYPERLINK("https://twitter.com/tedi_pirmansyah","@tedi_pirmansyah")</f>
        <v>@tedi_pirmansyah</v>
      </c>
      <c r="C32762" s="8" t="s">
        <v>12285</v>
      </c>
      <c r="D32762" s="8">
        <v>6</v>
      </c>
      <c r="E32762" s="8">
        <v>0</v>
      </c>
      <c r="F32762" s="8">
        <v>444</v>
      </c>
    </row>
    <row r="32763" spans="1:6" ht="12.75">
      <c r="A32763" s="8">
        <v>43889.875763888893</v>
      </c>
      <c r="B32763" s="8" t="str">
        <f>HYPERLINK("https://twitter.com/nyomanswagangga","@nyomanswagangga")</f>
        <v>@nyomanswagangga</v>
      </c>
      <c r="C32763" s="8" t="s">
        <v>12283</v>
      </c>
      <c r="D32763" s="8">
        <v>0</v>
      </c>
      <c r="E32763" s="8">
        <v>1</v>
      </c>
      <c r="F32763" s="8">
        <v>57</v>
      </c>
    </row>
    <row r="32764" spans="1:6" ht="12.75">
      <c r="A32764" s="8">
        <v>43889.875752314816</v>
      </c>
      <c r="B32764" s="8" t="str">
        <f>HYPERLINK("https://twitter.com/PIDSekRbn","@PIDSekRbn")</f>
        <v>@PIDSekRbn</v>
      </c>
      <c r="C32764" s="8" t="s">
        <v>12286</v>
      </c>
      <c r="D32764" s="8">
        <v>0</v>
      </c>
      <c r="E32764" s="8">
        <v>0</v>
      </c>
      <c r="F32764" s="8">
        <v>6</v>
      </c>
    </row>
    <row r="32765" spans="1:6" ht="12.75">
      <c r="A32765" s="8">
        <v>43889.875613425931</v>
      </c>
      <c r="B32765" s="8" t="str">
        <f>HYPERLINK("https://twitter.com/tedi_pirmansyah","@tedi_pirmansyah")</f>
        <v>@tedi_pirmansyah</v>
      </c>
      <c r="C32765" s="8" t="s">
        <v>12287</v>
      </c>
      <c r="D32765" s="8">
        <v>6</v>
      </c>
      <c r="E32765" s="8">
        <v>0</v>
      </c>
      <c r="F32765" s="8">
        <v>444</v>
      </c>
    </row>
    <row r="32766" spans="1:6" ht="12.75">
      <c r="A32766" s="8">
        <v>43889.875451388885</v>
      </c>
      <c r="B32766" s="8" t="str">
        <f>HYPERLINK("https://twitter.com/MardiantoMamay","@MardiantoMamay")</f>
        <v>@MardiantoMamay</v>
      </c>
      <c r="C32766" s="8" t="s">
        <v>4235</v>
      </c>
      <c r="D32766" s="8">
        <v>182</v>
      </c>
      <c r="E32766" s="8">
        <v>0</v>
      </c>
      <c r="F32766" s="8">
        <v>896</v>
      </c>
    </row>
    <row r="32767" spans="1:6" ht="12.75">
      <c r="A32767" s="8">
        <v>43889.875324074077</v>
      </c>
      <c r="B32767" s="8" t="str">
        <f>HYPERLINK("https://twitter.com/KBRI__Roma","@KBRI__Roma")</f>
        <v>@KBRI__Roma</v>
      </c>
      <c r="C32767" s="8" t="s">
        <v>12288</v>
      </c>
      <c r="D32767" s="8">
        <v>0</v>
      </c>
      <c r="E32767" s="8">
        <v>1</v>
      </c>
      <c r="F32767" s="8">
        <v>1057</v>
      </c>
    </row>
    <row r="32768" spans="1:6" ht="12.75">
      <c r="A32768" s="8">
        <v>43889.875127314815</v>
      </c>
      <c r="B32768" s="8" t="str">
        <f>HYPERLINK("https://twitter.com/Widodo_By","@Widodo_By")</f>
        <v>@Widodo_By</v>
      </c>
      <c r="C32768" s="8" t="s">
        <v>6863</v>
      </c>
      <c r="D32768" s="8">
        <v>306</v>
      </c>
      <c r="E32768" s="8">
        <v>0</v>
      </c>
      <c r="F32768" s="8">
        <v>181</v>
      </c>
    </row>
    <row r="32769" spans="1:6" ht="12.75">
      <c r="A32769" s="8">
        <v>43889.875081018516</v>
      </c>
      <c r="B32769" s="8" t="str">
        <f>HYPERLINK("https://twitter.com/anthraxxxx","@anthraxxxx")</f>
        <v>@anthraxxxx</v>
      </c>
      <c r="C32769" s="8" t="s">
        <v>11102</v>
      </c>
      <c r="D32769" s="8">
        <v>421</v>
      </c>
      <c r="E32769" s="8">
        <v>0</v>
      </c>
      <c r="F32769" s="8">
        <v>10794</v>
      </c>
    </row>
    <row r="32770" spans="1:6" ht="12.75">
      <c r="A32770" s="8">
        <v>43889.874907407408</v>
      </c>
      <c r="B32770" s="8" t="str">
        <f>HYPERLINK("https://twitter.com/PIDSekRbn","@PIDSekRbn")</f>
        <v>@PIDSekRbn</v>
      </c>
      <c r="C32770" s="8" t="s">
        <v>12289</v>
      </c>
      <c r="D32770" s="8">
        <v>0</v>
      </c>
      <c r="E32770" s="8">
        <v>0</v>
      </c>
      <c r="F32770" s="8">
        <v>6</v>
      </c>
    </row>
    <row r="32771" spans="1:6" ht="12.75">
      <c r="A32771" s="8">
        <v>43889.874652777777</v>
      </c>
      <c r="B32771" s="8" t="str">
        <f>HYPERLINK("https://twitter.com/Rdhany70","@Rdhany70")</f>
        <v>@Rdhany70</v>
      </c>
      <c r="C32771" s="8" t="s">
        <v>10755</v>
      </c>
      <c r="D32771" s="8">
        <v>326</v>
      </c>
      <c r="E32771" s="8">
        <v>0</v>
      </c>
      <c r="F32771" s="8">
        <v>17</v>
      </c>
    </row>
    <row r="32772" spans="1:6" ht="12.75">
      <c r="A32772" s="8">
        <v>43889.874583333338</v>
      </c>
      <c r="B32772" s="8" t="str">
        <f>HYPERLINK("https://twitter.com/harakatuna","@harakatuna")</f>
        <v>@harakatuna</v>
      </c>
      <c r="C32772" s="8" t="s">
        <v>12290</v>
      </c>
      <c r="D32772" s="8">
        <v>0</v>
      </c>
      <c r="E32772" s="8">
        <v>0</v>
      </c>
      <c r="F32772" s="8">
        <v>413</v>
      </c>
    </row>
    <row r="32773" spans="1:6" ht="12.75">
      <c r="A32773" s="8">
        <v>43889.874479166669</v>
      </c>
      <c r="B32773" s="8" t="str">
        <f>HYPERLINK("https://twitter.com/tukanganalisa","@tukanganalisa")</f>
        <v>@tukanganalisa</v>
      </c>
      <c r="C32773" s="8" t="s">
        <v>10755</v>
      </c>
      <c r="D32773" s="8">
        <v>326</v>
      </c>
      <c r="E32773" s="8">
        <v>0</v>
      </c>
      <c r="F32773" s="8">
        <v>133</v>
      </c>
    </row>
    <row r="32774" spans="1:6" ht="12.75">
      <c r="A32774" s="8">
        <v>43889.874421296292</v>
      </c>
      <c r="B32774" s="8" t="str">
        <f>HYPERLINK("https://twitter.com/nyomanswagangga","@nyomanswagangga")</f>
        <v>@nyomanswagangga</v>
      </c>
      <c r="C32774" s="8" t="s">
        <v>12283</v>
      </c>
      <c r="D32774" s="8">
        <v>0</v>
      </c>
      <c r="E32774" s="8">
        <v>1</v>
      </c>
      <c r="F32774" s="8">
        <v>57</v>
      </c>
    </row>
    <row r="32775" spans="1:6" ht="12.75">
      <c r="A32775" s="8">
        <v>43889.874398148153</v>
      </c>
      <c r="B32775" s="8" t="str">
        <f>HYPERLINK("https://twitter.com/PIDSekRbn","@PIDSekRbn")</f>
        <v>@PIDSekRbn</v>
      </c>
      <c r="C32775" s="8" t="s">
        <v>12291</v>
      </c>
      <c r="D32775" s="8">
        <v>0</v>
      </c>
      <c r="E32775" s="8">
        <v>0</v>
      </c>
      <c r="F32775" s="8">
        <v>6</v>
      </c>
    </row>
    <row r="32776" spans="1:6" ht="12.75">
      <c r="A32776" s="8">
        <v>43889.874386574069</v>
      </c>
      <c r="B32776" s="8" t="str">
        <f>HYPERLINK("https://twitter.com/ekonindo1","@ekonindo1")</f>
        <v>@ekonindo1</v>
      </c>
      <c r="C32776" s="8" t="s">
        <v>4235</v>
      </c>
      <c r="D32776" s="8">
        <v>182</v>
      </c>
      <c r="E32776" s="8">
        <v>0</v>
      </c>
      <c r="F32776" s="8">
        <v>2170</v>
      </c>
    </row>
    <row r="32777" spans="1:6" ht="12.75">
      <c r="A32777" s="8">
        <v>43889.874212962968</v>
      </c>
      <c r="B32777" s="8" t="str">
        <f>HYPERLINK("https://twitter.com/BatubaraFahreza","@BatubaraFahreza")</f>
        <v>@BatubaraFahreza</v>
      </c>
      <c r="C32777" s="8" t="s">
        <v>6836</v>
      </c>
      <c r="D32777" s="8">
        <v>59</v>
      </c>
      <c r="E32777" s="8">
        <v>0</v>
      </c>
      <c r="F32777" s="8">
        <v>618</v>
      </c>
    </row>
    <row r="32778" spans="1:6" ht="12.75">
      <c r="A32778" s="8">
        <v>43889.874120370368</v>
      </c>
      <c r="B32778" s="8" t="str">
        <f>HYPERLINK("https://twitter.com/Soleh64268085","@Soleh64268085")</f>
        <v>@Soleh64268085</v>
      </c>
      <c r="C32778" s="8" t="s">
        <v>12236</v>
      </c>
      <c r="D32778" s="8">
        <v>2</v>
      </c>
      <c r="E32778" s="8">
        <v>0</v>
      </c>
      <c r="F32778" s="8">
        <v>852</v>
      </c>
    </row>
    <row r="32779" spans="1:6" ht="12.75">
      <c r="A32779" s="8">
        <v>43889.874108796299</v>
      </c>
      <c r="B32779" s="8" t="str">
        <f>HYPERLINK("https://twitter.com/aRdy_Network","@aRdy_Network")</f>
        <v>@aRdy_Network</v>
      </c>
      <c r="C32779" s="8" t="s">
        <v>6836</v>
      </c>
      <c r="D32779" s="8">
        <v>59</v>
      </c>
      <c r="E32779" s="8">
        <v>0</v>
      </c>
      <c r="F32779" s="8">
        <v>1748</v>
      </c>
    </row>
    <row r="32780" spans="1:6" ht="12.75">
      <c r="A32780" s="8">
        <v>43889.873981481476</v>
      </c>
      <c r="B32780" s="8" t="str">
        <f>HYPERLINK("https://twitter.com/BagioSastro02","@BagioSastro02")</f>
        <v>@BagioSastro02</v>
      </c>
      <c r="C32780" s="8" t="s">
        <v>12292</v>
      </c>
      <c r="D32780" s="8">
        <v>1</v>
      </c>
      <c r="E32780" s="8">
        <v>0</v>
      </c>
      <c r="F32780" s="8">
        <v>1472</v>
      </c>
    </row>
    <row r="32781" spans="1:6" ht="12.75">
      <c r="A32781" s="8">
        <v>43889.873831018514</v>
      </c>
      <c r="B32781" s="8" t="str">
        <f>HYPERLINK("https://twitter.com/jumainali","@jumainali")</f>
        <v>@jumainali</v>
      </c>
      <c r="C32781" s="8" t="s">
        <v>10755</v>
      </c>
      <c r="D32781" s="8">
        <v>326</v>
      </c>
      <c r="E32781" s="8">
        <v>0</v>
      </c>
      <c r="F32781" s="8">
        <v>483</v>
      </c>
    </row>
    <row r="32782" spans="1:6" ht="12.75">
      <c r="A32782" s="8">
        <v>43889.873703703706</v>
      </c>
      <c r="B32782" s="8" t="str">
        <f>HYPERLINK("https://twitter.com/_sbayugiri","@_sbayugiri")</f>
        <v>@_sbayugiri</v>
      </c>
      <c r="C32782" s="8" t="s">
        <v>12293</v>
      </c>
      <c r="D32782" s="8">
        <v>0</v>
      </c>
      <c r="E32782" s="8">
        <v>0</v>
      </c>
      <c r="F32782" s="8">
        <v>154</v>
      </c>
    </row>
    <row r="32783" spans="1:6" ht="12.75">
      <c r="A32783" s="8">
        <v>43889.873680555553</v>
      </c>
      <c r="B32783" s="8" t="str">
        <f>HYPERLINK("https://twitter.com/AnasiiHaris","@AnasiiHaris")</f>
        <v>@AnasiiHaris</v>
      </c>
      <c r="C32783" s="8" t="s">
        <v>4235</v>
      </c>
      <c r="D32783" s="8">
        <v>182</v>
      </c>
      <c r="E32783" s="8">
        <v>0</v>
      </c>
      <c r="F32783" s="8">
        <v>75</v>
      </c>
    </row>
    <row r="32784" spans="1:6" ht="12.75">
      <c r="A32784" s="8">
        <v>43889.873622685191</v>
      </c>
      <c r="B32784" s="8" t="str">
        <f>HYPERLINK("https://twitter.com/majalahayah","@majalahayah")</f>
        <v>@majalahayah</v>
      </c>
      <c r="C32784" s="8" t="s">
        <v>12294</v>
      </c>
      <c r="D32784" s="8">
        <v>0</v>
      </c>
      <c r="E32784" s="8">
        <v>0</v>
      </c>
      <c r="F32784" s="8">
        <v>301</v>
      </c>
    </row>
    <row r="32785" spans="1:6" ht="12.75">
      <c r="A32785" s="8">
        <v>43889.873553240745</v>
      </c>
      <c r="B32785" s="8" t="str">
        <f>HYPERLINK("https://twitter.com/inpraaw","@inpraaw")</f>
        <v>@inpraaw</v>
      </c>
      <c r="C32785" s="8" t="s">
        <v>12295</v>
      </c>
      <c r="D32785" s="8">
        <v>7</v>
      </c>
      <c r="E32785" s="8">
        <v>0</v>
      </c>
      <c r="F32785" s="8">
        <v>285</v>
      </c>
    </row>
    <row r="32786" spans="1:6" ht="12.75">
      <c r="A32786" s="8">
        <v>43889.873483796298</v>
      </c>
      <c r="B32786" s="8" t="str">
        <f>HYPERLINK("https://twitter.com/justbob616","@justbob616")</f>
        <v>@justbob616</v>
      </c>
      <c r="C32786" s="8" t="s">
        <v>11701</v>
      </c>
      <c r="D32786" s="8">
        <v>34</v>
      </c>
      <c r="E32786" s="8">
        <v>0</v>
      </c>
      <c r="F32786" s="8">
        <v>868</v>
      </c>
    </row>
    <row r="32787" spans="1:6" ht="12.75">
      <c r="A32787" s="8">
        <v>43889.87327546296</v>
      </c>
      <c r="B32787" s="8" t="str">
        <f>HYPERLINK("https://twitter.com/nyomanswagangga","@nyomanswagangga")</f>
        <v>@nyomanswagangga</v>
      </c>
      <c r="C32787" s="8" t="s">
        <v>12283</v>
      </c>
      <c r="D32787" s="8">
        <v>0</v>
      </c>
      <c r="E32787" s="8">
        <v>1</v>
      </c>
      <c r="F32787" s="8">
        <v>57</v>
      </c>
    </row>
    <row r="32788" spans="1:6" ht="12.75">
      <c r="A32788" s="8">
        <v>43889.873043981483</v>
      </c>
      <c r="B32788" s="8" t="str">
        <f>HYPERLINK("https://twitter.com/republikaonline","@republikaonline")</f>
        <v>@republikaonline</v>
      </c>
      <c r="C32788" s="8" t="s">
        <v>12296</v>
      </c>
      <c r="D32788" s="8">
        <v>0</v>
      </c>
      <c r="E32788" s="8">
        <v>0</v>
      </c>
      <c r="F32788" s="8">
        <v>1215360</v>
      </c>
    </row>
    <row r="32789" spans="1:6" ht="12.75">
      <c r="A32789" s="8">
        <v>43889.873032407406</v>
      </c>
      <c r="B32789" s="8" t="str">
        <f>HYPERLINK("https://twitter.com/Dhanie7771","@Dhanie7771")</f>
        <v>@Dhanie7771</v>
      </c>
      <c r="C32789" s="8" t="s">
        <v>4235</v>
      </c>
      <c r="D32789" s="8">
        <v>182</v>
      </c>
      <c r="E32789" s="8">
        <v>0</v>
      </c>
      <c r="F32789" s="8">
        <v>3168</v>
      </c>
    </row>
    <row r="32790" spans="1:6" ht="12.75">
      <c r="A32790" s="8">
        <v>43889.872962962967</v>
      </c>
      <c r="B32790" s="8" t="str">
        <f>HYPERLINK("https://twitter.com/eJ0k0","@eJ0k0")</f>
        <v>@eJ0k0</v>
      </c>
      <c r="C32790" s="8" t="s">
        <v>10755</v>
      </c>
      <c r="D32790" s="8">
        <v>326</v>
      </c>
      <c r="E32790" s="8">
        <v>0</v>
      </c>
      <c r="F32790" s="8">
        <v>32</v>
      </c>
    </row>
    <row r="32791" spans="1:6" ht="12.75">
      <c r="A32791" s="8">
        <v>43889.872893518521</v>
      </c>
      <c r="B32791" s="8" t="str">
        <f>HYPERLINK("https://twitter.com/harismjd","@harismjd")</f>
        <v>@harismjd</v>
      </c>
      <c r="C32791" s="8" t="s">
        <v>10755</v>
      </c>
      <c r="D32791" s="8">
        <v>326</v>
      </c>
      <c r="E32791" s="8">
        <v>0</v>
      </c>
      <c r="F32791" s="8">
        <v>45</v>
      </c>
    </row>
    <row r="32792" spans="1:6" ht="12.75">
      <c r="A32792" s="8">
        <v>43889.872662037036</v>
      </c>
      <c r="B32792" s="8" t="str">
        <f>HYPERLINK("https://twitter.com/elevenslay","@elevenslay")</f>
        <v>@elevenslay</v>
      </c>
      <c r="C32792" s="8" t="s">
        <v>12297</v>
      </c>
      <c r="D32792" s="8">
        <v>12</v>
      </c>
      <c r="E32792" s="8">
        <v>0</v>
      </c>
      <c r="F32792" s="8">
        <v>394</v>
      </c>
    </row>
    <row r="32793" spans="1:6" ht="12.75">
      <c r="A32793" s="8">
        <v>43889.872662037036</v>
      </c>
      <c r="B32793" s="8" t="str">
        <f>HYPERLINK("https://twitter.com/Pardjimin","@Pardjimin")</f>
        <v>@Pardjimin</v>
      </c>
      <c r="C32793" s="8" t="s">
        <v>4235</v>
      </c>
      <c r="D32793" s="8">
        <v>182</v>
      </c>
      <c r="E32793" s="8">
        <v>0</v>
      </c>
      <c r="F32793" s="8">
        <v>102</v>
      </c>
    </row>
    <row r="32794" spans="1:6" ht="12.75">
      <c r="A32794" s="8">
        <v>43889.87263888889</v>
      </c>
      <c r="B32794" s="8" t="str">
        <f>HYPERLINK("https://twitter.com/SahlanAmin4","@SahlanAmin4")</f>
        <v>@SahlanAmin4</v>
      </c>
      <c r="C32794" s="8" t="s">
        <v>12236</v>
      </c>
      <c r="D32794" s="8">
        <v>2</v>
      </c>
      <c r="E32794" s="8">
        <v>0</v>
      </c>
      <c r="F32794" s="8">
        <v>732</v>
      </c>
    </row>
    <row r="32795" spans="1:6" ht="12.75">
      <c r="A32795" s="8">
        <v>43889.872476851851</v>
      </c>
      <c r="B32795" s="8" t="str">
        <f>HYPERLINK("https://twitter.com/PIDSekRbn","@PIDSekRbn")</f>
        <v>@PIDSekRbn</v>
      </c>
      <c r="C32795" s="8" t="s">
        <v>12291</v>
      </c>
      <c r="D32795" s="8">
        <v>0</v>
      </c>
      <c r="E32795" s="8">
        <v>0</v>
      </c>
      <c r="F32795" s="8">
        <v>6</v>
      </c>
    </row>
    <row r="32796" spans="1:6" ht="12.75">
      <c r="A32796" s="8">
        <v>43889.872129629628</v>
      </c>
      <c r="B32796" s="8" t="str">
        <f>HYPERLINK("https://twitter.com/beatrice_health","@beatrice_health")</f>
        <v>@beatrice_health</v>
      </c>
      <c r="C32796" s="8" t="s">
        <v>11641</v>
      </c>
      <c r="D32796" s="8">
        <v>79</v>
      </c>
      <c r="E32796" s="8">
        <v>0</v>
      </c>
      <c r="F32796" s="8">
        <v>429</v>
      </c>
    </row>
    <row r="32797" spans="1:6" ht="12.75">
      <c r="A32797" s="8">
        <v>43889.872118055559</v>
      </c>
      <c r="B32797" s="8" t="str">
        <f>HYPERLINK("https://twitter.com/SemaneiD","@SemaneiD")</f>
        <v>@SemaneiD</v>
      </c>
      <c r="C32797" s="8" t="s">
        <v>6490</v>
      </c>
      <c r="D32797" s="8">
        <v>85</v>
      </c>
      <c r="E32797" s="8">
        <v>0</v>
      </c>
      <c r="F32797" s="8">
        <v>404</v>
      </c>
    </row>
    <row r="32798" spans="1:6" ht="12.75">
      <c r="A32798" s="8">
        <v>43889.872025462959</v>
      </c>
      <c r="B32798" s="8" t="str">
        <f>HYPERLINK("https://twitter.com/elevenslay","@elevenslay")</f>
        <v>@elevenslay</v>
      </c>
      <c r="C32798" s="8" t="s">
        <v>10721</v>
      </c>
      <c r="D32798" s="8">
        <v>133</v>
      </c>
      <c r="E32798" s="8">
        <v>0</v>
      </c>
      <c r="F32798" s="8">
        <v>394</v>
      </c>
    </row>
    <row r="32799" spans="1:6" ht="12.75">
      <c r="A32799" s="8">
        <v>43889.87200231482</v>
      </c>
      <c r="B32799" s="8" t="str">
        <f>HYPERLINK("https://twitter.com/fergianto","@fergianto")</f>
        <v>@fergianto</v>
      </c>
      <c r="C32799" s="8" t="s">
        <v>4235</v>
      </c>
      <c r="D32799" s="8">
        <v>182</v>
      </c>
      <c r="E32799" s="8">
        <v>0</v>
      </c>
      <c r="F32799" s="8">
        <v>687</v>
      </c>
    </row>
    <row r="32800" spans="1:6" ht="12.75">
      <c r="A32800" s="8">
        <v>43889.871967592597</v>
      </c>
      <c r="B32800" s="8" t="str">
        <f>HYPERLINK("https://twitter.com/wennysri_007","@wennysri_007")</f>
        <v>@wennysri_007</v>
      </c>
      <c r="C32800" s="8" t="s">
        <v>4235</v>
      </c>
      <c r="D32800" s="8">
        <v>182</v>
      </c>
      <c r="E32800" s="8">
        <v>0</v>
      </c>
      <c r="F32800" s="8">
        <v>424</v>
      </c>
    </row>
    <row r="32801" spans="1:6" ht="12.75">
      <c r="A32801" s="8">
        <v>43889.871874999997</v>
      </c>
      <c r="B32801" s="8" t="str">
        <f>HYPERLINK("https://twitter.com/masukanginn_","@masukanginn_")</f>
        <v>@masukanginn_</v>
      </c>
      <c r="C32801" s="8" t="s">
        <v>10755</v>
      </c>
      <c r="D32801" s="8">
        <v>326</v>
      </c>
      <c r="E32801" s="8">
        <v>0</v>
      </c>
      <c r="F32801" s="8">
        <v>9</v>
      </c>
    </row>
    <row r="32802" spans="1:6" ht="12.75">
      <c r="A32802" s="8">
        <v>43889.871805555551</v>
      </c>
      <c r="B32802" s="8" t="str">
        <f>HYPERLINK("https://twitter.com/mugiya_wardhany","@mugiya_wardhany")</f>
        <v>@mugiya_wardhany</v>
      </c>
      <c r="C32802" s="8" t="s">
        <v>4235</v>
      </c>
      <c r="D32802" s="8">
        <v>182</v>
      </c>
      <c r="E32802" s="8">
        <v>0</v>
      </c>
      <c r="F32802" s="8">
        <v>1668</v>
      </c>
    </row>
    <row r="32803" spans="1:6" ht="12.75">
      <c r="A32803" s="8">
        <v>43889.871793981481</v>
      </c>
      <c r="B32803" s="8" t="str">
        <f>HYPERLINK("https://twitter.com/MeutiaRiskiana","@MeutiaRiskiana")</f>
        <v>@MeutiaRiskiana</v>
      </c>
      <c r="C32803" s="8" t="s">
        <v>10755</v>
      </c>
      <c r="D32803" s="8">
        <v>326</v>
      </c>
      <c r="E32803" s="8">
        <v>0</v>
      </c>
      <c r="F32803" s="8">
        <v>573</v>
      </c>
    </row>
    <row r="32804" spans="1:6" ht="12.75">
      <c r="A32804" s="8">
        <v>43889.840162037042</v>
      </c>
      <c r="B32804" s="8" t="str">
        <f>HYPERLINK("https://twitter.com/palbapang1","@palbapang1")</f>
        <v>@palbapang1</v>
      </c>
      <c r="C32804" s="8" t="s">
        <v>4235</v>
      </c>
      <c r="D32804" s="8">
        <v>80</v>
      </c>
      <c r="E32804" s="8">
        <v>0</v>
      </c>
      <c r="F32804" s="8">
        <v>1210</v>
      </c>
    </row>
    <row r="32805" spans="1:6" ht="12.75">
      <c r="A32805" s="8">
        <v>43889.840115740742</v>
      </c>
      <c r="B32805" s="8" t="str">
        <f>HYPERLINK("https://twitter.com/prajnamu","@prajnamu")</f>
        <v>@prajnamu</v>
      </c>
      <c r="C32805" s="8" t="s">
        <v>12269</v>
      </c>
      <c r="D32805" s="8">
        <v>2</v>
      </c>
      <c r="E32805" s="8">
        <v>0</v>
      </c>
      <c r="F32805" s="8">
        <v>2339</v>
      </c>
    </row>
    <row r="32806" spans="1:6" ht="12.75">
      <c r="A32806" s="8">
        <v>43889.83997685185</v>
      </c>
      <c r="B32806" s="8" t="str">
        <f>HYPERLINK("https://twitter.com/izzathazwan","@izzathazwan")</f>
        <v>@izzathazwan</v>
      </c>
      <c r="C32806" s="8" t="s">
        <v>11102</v>
      </c>
      <c r="D32806" s="8">
        <v>411</v>
      </c>
      <c r="E32806" s="8">
        <v>0</v>
      </c>
      <c r="F32806" s="8">
        <v>630</v>
      </c>
    </row>
    <row r="32807" spans="1:6" ht="12.75">
      <c r="A32807" s="8">
        <v>43889.83997685185</v>
      </c>
      <c r="B32807" s="8" t="str">
        <f>HYPERLINK("https://twitter.com/inidyahh","@inidyahh")</f>
        <v>@inidyahh</v>
      </c>
      <c r="C32807" s="8" t="s">
        <v>10755</v>
      </c>
      <c r="D32807" s="8">
        <v>195</v>
      </c>
      <c r="E32807" s="8">
        <v>0</v>
      </c>
      <c r="F32807" s="8">
        <v>42</v>
      </c>
    </row>
    <row r="32808" spans="1:6" ht="12.75">
      <c r="A32808" s="8">
        <v>43889.839884259258</v>
      </c>
      <c r="B32808" s="8" t="str">
        <f>HYPERLINK("https://twitter.com/indian_koe","@indian_koe")</f>
        <v>@indian_koe</v>
      </c>
      <c r="C32808" s="8" t="s">
        <v>4235</v>
      </c>
      <c r="D32808" s="8">
        <v>80</v>
      </c>
      <c r="E32808" s="8">
        <v>0</v>
      </c>
      <c r="F32808" s="8">
        <v>87</v>
      </c>
    </row>
    <row r="32809" spans="1:6" ht="12.75">
      <c r="A32809" s="8">
        <v>43889.839837962965</v>
      </c>
      <c r="B32809" s="8" t="str">
        <f>HYPERLINK("https://twitter.com/kecepit","@kecepit")</f>
        <v>@kecepit</v>
      </c>
      <c r="C32809" s="8" t="s">
        <v>12237</v>
      </c>
      <c r="D32809" s="8">
        <v>23</v>
      </c>
      <c r="E32809" s="8">
        <v>0</v>
      </c>
      <c r="F32809" s="8">
        <v>151</v>
      </c>
    </row>
    <row r="32810" spans="1:6" ht="12.75">
      <c r="A32810" s="8">
        <v>43889.839548611111</v>
      </c>
      <c r="B32810" s="8" t="str">
        <f>HYPERLINK("https://twitter.com/Verinata8","@Verinata8")</f>
        <v>@Verinata8</v>
      </c>
      <c r="C32810" s="8" t="s">
        <v>12298</v>
      </c>
      <c r="D32810" s="8">
        <v>1</v>
      </c>
      <c r="E32810" s="8">
        <v>0</v>
      </c>
      <c r="F32810" s="8">
        <v>288</v>
      </c>
    </row>
    <row r="32811" spans="1:6" ht="12.75">
      <c r="A32811" s="8">
        <v>43889.839479166665</v>
      </c>
      <c r="B32811" s="8" t="str">
        <f>HYPERLINK("https://twitter.com/roni_suhendro","@roni_suhendro")</f>
        <v>@roni_suhendro</v>
      </c>
      <c r="C32811" s="8" t="s">
        <v>6490</v>
      </c>
      <c r="D32811" s="8">
        <v>67</v>
      </c>
      <c r="E32811" s="8">
        <v>0</v>
      </c>
      <c r="F32811" s="8">
        <v>69</v>
      </c>
    </row>
    <row r="32812" spans="1:6" ht="12.75">
      <c r="A32812" s="8">
        <v>43889.839236111111</v>
      </c>
      <c r="B32812" s="8" t="str">
        <f>HYPERLINK("https://twitter.com/Verinata8","@Verinata8")</f>
        <v>@Verinata8</v>
      </c>
      <c r="C32812" s="8" t="s">
        <v>12299</v>
      </c>
      <c r="D32812" s="8">
        <v>6</v>
      </c>
      <c r="E32812" s="8">
        <v>0</v>
      </c>
      <c r="F32812" s="8">
        <v>288</v>
      </c>
    </row>
    <row r="32813" spans="1:6" ht="12.75">
      <c r="A32813" s="8">
        <v>43889.839085648149</v>
      </c>
      <c r="B32813" s="8" t="str">
        <f>HYPERLINK("https://twitter.com/kicepkicep","@kicepkicep")</f>
        <v>@kicepkicep</v>
      </c>
      <c r="C32813" s="8" t="s">
        <v>4235</v>
      </c>
      <c r="D32813" s="8">
        <v>80</v>
      </c>
      <c r="E32813" s="8">
        <v>0</v>
      </c>
      <c r="F32813" s="8">
        <v>1245</v>
      </c>
    </row>
    <row r="32814" spans="1:6" ht="12.75">
      <c r="A32814" s="8">
        <v>43889.838773148149</v>
      </c>
      <c r="B32814" s="8" t="str">
        <f>HYPERLINK("https://twitter.com/ifaaulia9","@ifaaulia9")</f>
        <v>@ifaaulia9</v>
      </c>
      <c r="C32814" s="8" t="s">
        <v>10721</v>
      </c>
      <c r="D32814" s="8">
        <v>124</v>
      </c>
      <c r="E32814" s="8">
        <v>0</v>
      </c>
      <c r="F32814" s="8">
        <v>27</v>
      </c>
    </row>
    <row r="32815" spans="1:6" ht="12.75">
      <c r="A32815" s="8">
        <v>43889.838749999995</v>
      </c>
      <c r="B32815" s="8" t="str">
        <f>HYPERLINK("https://twitter.com/dimasgvns","@dimasgvns")</f>
        <v>@dimasgvns</v>
      </c>
      <c r="C32815" s="8" t="s">
        <v>10755</v>
      </c>
      <c r="D32815" s="8">
        <v>195</v>
      </c>
      <c r="E32815" s="8">
        <v>0</v>
      </c>
      <c r="F32815" s="8">
        <v>456</v>
      </c>
    </row>
    <row r="32816" spans="1:6" ht="12.75">
      <c r="A32816" s="8">
        <v>43889.838645833333</v>
      </c>
      <c r="B32816" s="8" t="str">
        <f>HYPERLINK("https://twitter.com/Febyval22","@Febyval22")</f>
        <v>@Febyval22</v>
      </c>
      <c r="C32816" s="8" t="s">
        <v>6490</v>
      </c>
      <c r="D32816" s="8">
        <v>67</v>
      </c>
      <c r="E32816" s="8">
        <v>0</v>
      </c>
      <c r="F32816" s="8">
        <v>297</v>
      </c>
    </row>
    <row r="32817" spans="1:6" ht="12.75">
      <c r="A32817" s="8">
        <v>43889.838402777779</v>
      </c>
      <c r="B32817" s="8" t="str">
        <f>HYPERLINK("https://twitter.com/SayyiidHaddaad","@SayyiidHaddaad")</f>
        <v>@SayyiidHaddaad</v>
      </c>
      <c r="C32817" s="8" t="s">
        <v>4235</v>
      </c>
      <c r="D32817" s="8">
        <v>80</v>
      </c>
      <c r="E32817" s="8">
        <v>0</v>
      </c>
      <c r="F32817" s="8">
        <v>92</v>
      </c>
    </row>
    <row r="32818" spans="1:6" ht="12.75">
      <c r="A32818" s="8">
        <v>43889.838379629626</v>
      </c>
      <c r="B32818" s="8" t="str">
        <f>HYPERLINK("https://twitter.com/HUMASTABESMKS","@HUMASTABESMKS")</f>
        <v>@HUMASTABESMKS</v>
      </c>
      <c r="C32818" s="8" t="s">
        <v>11691</v>
      </c>
      <c r="D32818" s="8">
        <v>25</v>
      </c>
      <c r="E32818" s="8">
        <v>0</v>
      </c>
      <c r="F32818" s="8">
        <v>7487</v>
      </c>
    </row>
    <row r="32819" spans="1:6" ht="12.75">
      <c r="A32819" s="8">
        <v>43889.838310185187</v>
      </c>
      <c r="B32819" s="8" t="str">
        <f>HYPERLINK("https://twitter.com/HSyahrudhi","@HSyahrudhi")</f>
        <v>@HSyahrudhi</v>
      </c>
      <c r="C32819" s="8" t="s">
        <v>10755</v>
      </c>
      <c r="D32819" s="8">
        <v>195</v>
      </c>
      <c r="E32819" s="8">
        <v>0</v>
      </c>
      <c r="F32819" s="8">
        <v>5</v>
      </c>
    </row>
    <row r="32820" spans="1:6" ht="12.75">
      <c r="A32820" s="8">
        <v>43889.837789351848</v>
      </c>
      <c r="B32820" s="8" t="str">
        <f>HYPERLINK("https://twitter.com/nyamatm","@nyamatm")</f>
        <v>@nyamatm</v>
      </c>
      <c r="C32820" s="8" t="s">
        <v>12300</v>
      </c>
      <c r="D32820" s="8">
        <v>0</v>
      </c>
      <c r="E32820" s="8">
        <v>0</v>
      </c>
      <c r="F32820" s="8">
        <v>59</v>
      </c>
    </row>
    <row r="32821" spans="1:6" ht="12.75">
      <c r="A32821" s="8">
        <v>43889.837673611109</v>
      </c>
      <c r="B32821" s="8" t="str">
        <f>HYPERLINK("https://twitter.com/jcglezt","@jcglezt")</f>
        <v>@jcglezt</v>
      </c>
      <c r="C32821" s="8" t="s">
        <v>12301</v>
      </c>
      <c r="D32821" s="8">
        <v>0</v>
      </c>
      <c r="E32821" s="8">
        <v>0</v>
      </c>
      <c r="F32821" s="8">
        <v>1167</v>
      </c>
    </row>
    <row r="32822" spans="1:6" ht="12.75">
      <c r="A32822" s="8">
        <v>43889.837638888886</v>
      </c>
      <c r="B32822" s="8" t="str">
        <f>HYPERLINK("https://twitter.com/Rahmat19389","@Rahmat19389")</f>
        <v>@Rahmat19389</v>
      </c>
      <c r="C32822" s="8" t="s">
        <v>10755</v>
      </c>
      <c r="D32822" s="8">
        <v>195</v>
      </c>
      <c r="E32822" s="8">
        <v>0</v>
      </c>
      <c r="F32822" s="8">
        <v>493</v>
      </c>
    </row>
    <row r="32823" spans="1:6" ht="12.75">
      <c r="A32823" s="8">
        <v>43889.837546296301</v>
      </c>
      <c r="B32823" s="8" t="str">
        <f>HYPERLINK("https://twitter.com/lenopoG40","@lenopoG40")</f>
        <v>@lenopoG40</v>
      </c>
      <c r="C32823" s="8" t="s">
        <v>9768</v>
      </c>
      <c r="D32823" s="8">
        <v>59</v>
      </c>
      <c r="E32823" s="8">
        <v>0</v>
      </c>
      <c r="F32823" s="8">
        <v>61</v>
      </c>
    </row>
    <row r="32824" spans="1:6" ht="12.75">
      <c r="A32824" s="8">
        <v>43889.837534722217</v>
      </c>
      <c r="B32824" s="8" t="str">
        <f>HYPERLINK("https://twitter.com/arishazmann","@arishazmann")</f>
        <v>@arishazmann</v>
      </c>
      <c r="C32824" s="8" t="s">
        <v>11102</v>
      </c>
      <c r="D32824" s="8">
        <v>411</v>
      </c>
      <c r="E32824" s="8">
        <v>0</v>
      </c>
      <c r="F32824" s="8">
        <v>256</v>
      </c>
    </row>
    <row r="32825" spans="1:6" ht="12.75">
      <c r="A32825" s="8">
        <v>43889.837407407409</v>
      </c>
      <c r="B32825" s="8" t="str">
        <f>HYPERLINK("https://twitter.com/d2ns","@d2ns")</f>
        <v>@d2ns</v>
      </c>
      <c r="C32825" s="8" t="s">
        <v>12269</v>
      </c>
      <c r="D32825" s="8">
        <v>2</v>
      </c>
      <c r="E32825" s="8">
        <v>0</v>
      </c>
      <c r="F32825" s="8">
        <v>558</v>
      </c>
    </row>
    <row r="32826" spans="1:6" ht="12.75">
      <c r="A32826" s="8">
        <v>43889.837395833332</v>
      </c>
      <c r="B32826" s="8" t="str">
        <f>HYPERLINK("https://twitter.com/AcepWaluyo","@AcepWaluyo")</f>
        <v>@AcepWaluyo</v>
      </c>
      <c r="C32826" s="8" t="s">
        <v>4235</v>
      </c>
      <c r="D32826" s="8">
        <v>80</v>
      </c>
      <c r="E32826" s="8">
        <v>0</v>
      </c>
      <c r="F32826" s="8">
        <v>192</v>
      </c>
    </row>
    <row r="32827" spans="1:6" ht="12.75">
      <c r="A32827" s="8">
        <v>43889.837337962963</v>
      </c>
      <c r="B32827" s="8" t="str">
        <f>HYPERLINK("https://twitter.com/imRockRitesh","@imRockRitesh")</f>
        <v>@imRockRitesh</v>
      </c>
      <c r="C32827" s="8" t="s">
        <v>12302</v>
      </c>
      <c r="D32827" s="8">
        <v>0</v>
      </c>
      <c r="E32827" s="8">
        <v>0</v>
      </c>
      <c r="F32827" s="8">
        <v>7</v>
      </c>
    </row>
    <row r="32828" spans="1:6" ht="12.75">
      <c r="A32828" s="8">
        <v>43889.837210648147</v>
      </c>
      <c r="B32828" s="8" t="str">
        <f>HYPERLINK("https://twitter.com/Soleh64268085","@Soleh64268085")</f>
        <v>@Soleh64268085</v>
      </c>
      <c r="C32828" s="8" t="s">
        <v>4235</v>
      </c>
      <c r="D32828" s="8">
        <v>80</v>
      </c>
      <c r="E32828" s="8">
        <v>0</v>
      </c>
      <c r="F32828" s="8">
        <v>852</v>
      </c>
    </row>
    <row r="32829" spans="1:6" ht="12.75">
      <c r="A32829" s="8">
        <v>43889.836921296301</v>
      </c>
      <c r="B32829" s="8" t="str">
        <f>HYPERLINK("https://twitter.com/RadioElshinta","@RadioElshinta")</f>
        <v>@RadioElshinta</v>
      </c>
      <c r="C32829" s="8" t="s">
        <v>12303</v>
      </c>
      <c r="D32829" s="8">
        <v>2</v>
      </c>
      <c r="E32829" s="8">
        <v>2</v>
      </c>
      <c r="F32829" s="8">
        <v>3635837</v>
      </c>
    </row>
    <row r="32830" spans="1:6" ht="12.75">
      <c r="A32830" s="8">
        <v>43889.836736111116</v>
      </c>
      <c r="B32830" s="8" t="str">
        <f>HYPERLINK("https://twitter.com/beatrice_health","@beatrice_health")</f>
        <v>@beatrice_health</v>
      </c>
      <c r="C32830" s="8" t="s">
        <v>4235</v>
      </c>
      <c r="D32830" s="8">
        <v>80</v>
      </c>
      <c r="E32830" s="8">
        <v>0</v>
      </c>
      <c r="F32830" s="8">
        <v>430</v>
      </c>
    </row>
    <row r="32831" spans="1:6" ht="12.75">
      <c r="A32831" s="8">
        <v>43889.836712962962</v>
      </c>
      <c r="B32831" s="8" t="str">
        <f>HYPERLINK("https://twitter.com/EryKusuma4","@EryKusuma4")</f>
        <v>@EryKusuma4</v>
      </c>
      <c r="C32831" s="8" t="s">
        <v>4235</v>
      </c>
      <c r="D32831" s="8">
        <v>80</v>
      </c>
      <c r="E32831" s="8">
        <v>0</v>
      </c>
      <c r="F32831" s="8">
        <v>1145</v>
      </c>
    </row>
    <row r="32832" spans="1:6" ht="12.75">
      <c r="A32832" s="8">
        <v>43889.836701388893</v>
      </c>
      <c r="B32832" s="8" t="str">
        <f>HYPERLINK("https://twitter.com/yudhomareskha","@yudhomareskha")</f>
        <v>@yudhomareskha</v>
      </c>
      <c r="C32832" s="8" t="s">
        <v>12237</v>
      </c>
      <c r="D32832" s="8">
        <v>23</v>
      </c>
      <c r="E32832" s="8">
        <v>0</v>
      </c>
      <c r="F32832" s="8">
        <v>160</v>
      </c>
    </row>
    <row r="32833" spans="1:6" ht="12.75">
      <c r="A32833" s="8">
        <v>43889.836689814816</v>
      </c>
      <c r="B32833" s="8" t="str">
        <f>HYPERLINK("https://twitter.com/kabarint","@kabarint")</f>
        <v>@kabarint</v>
      </c>
      <c r="C32833" s="8" t="s">
        <v>12304</v>
      </c>
      <c r="D32833" s="8">
        <v>0</v>
      </c>
      <c r="E32833" s="8">
        <v>0</v>
      </c>
      <c r="F32833" s="8">
        <v>1</v>
      </c>
    </row>
    <row r="32834" spans="1:6" ht="12.75">
      <c r="A32834" s="8">
        <v>43889.83662037037</v>
      </c>
      <c r="B32834" s="8" t="str">
        <f>HYPERLINK("https://twitter.com/SoreangPolsek","@SoreangPolsek")</f>
        <v>@SoreangPolsek</v>
      </c>
      <c r="C32834" s="8" t="s">
        <v>12305</v>
      </c>
      <c r="D32834" s="8">
        <v>0</v>
      </c>
      <c r="E32834" s="8">
        <v>0</v>
      </c>
      <c r="F32834" s="8">
        <v>1</v>
      </c>
    </row>
    <row r="32835" spans="1:6" ht="12.75">
      <c r="A32835" s="8">
        <v>43889.836469907408</v>
      </c>
      <c r="B32835" s="8" t="str">
        <f>HYPERLINK("https://twitter.com/EiffelLingga","@EiffelLingga")</f>
        <v>@EiffelLingga</v>
      </c>
      <c r="C32835" s="8" t="s">
        <v>9768</v>
      </c>
      <c r="D32835" s="8">
        <v>59</v>
      </c>
      <c r="E32835" s="8">
        <v>0</v>
      </c>
      <c r="F32835" s="8">
        <v>562</v>
      </c>
    </row>
    <row r="32836" spans="1:6" ht="12.75">
      <c r="A32836" s="8">
        <v>43889.836469907408</v>
      </c>
      <c r="B32836" s="8" t="str">
        <f>HYPERLINK("https://twitter.com/hemaviton99","@hemaviton99")</f>
        <v>@hemaviton99</v>
      </c>
      <c r="C32836" s="8" t="s">
        <v>12306</v>
      </c>
      <c r="D32836" s="8">
        <v>1</v>
      </c>
      <c r="E32836" s="8">
        <v>0</v>
      </c>
      <c r="F32836" s="8">
        <v>5014</v>
      </c>
    </row>
    <row r="32837" spans="1:6" ht="12.75">
      <c r="A32837" s="8">
        <v>43889.836446759262</v>
      </c>
      <c r="B32837" s="8" t="str">
        <f>HYPERLINK("https://twitter.com/nona_oifat","@nona_oifat")</f>
        <v>@nona_oifat</v>
      </c>
      <c r="C32837" s="8" t="s">
        <v>6490</v>
      </c>
      <c r="D32837" s="8">
        <v>67</v>
      </c>
      <c r="E32837" s="8">
        <v>0</v>
      </c>
      <c r="F32837" s="8">
        <v>467</v>
      </c>
    </row>
    <row r="32838" spans="1:6" ht="12.75">
      <c r="A32838" s="8">
        <v>43889.836284722223</v>
      </c>
      <c r="B32838" s="8" t="str">
        <f t="shared" ref="B32838:B32839" si="452">HYPERLINK("https://twitter.com/SoreangPolsek","@SoreangPolsek")</f>
        <v>@SoreangPolsek</v>
      </c>
      <c r="C32838" s="8" t="s">
        <v>12305</v>
      </c>
      <c r="D32838" s="8">
        <v>0</v>
      </c>
      <c r="E32838" s="8">
        <v>0</v>
      </c>
      <c r="F32838" s="8">
        <v>1</v>
      </c>
    </row>
    <row r="32839" spans="1:6" ht="12.75">
      <c r="A32839" s="8">
        <v>43889.836192129631</v>
      </c>
      <c r="B32839" s="8" t="str">
        <f t="shared" si="452"/>
        <v>@SoreangPolsek</v>
      </c>
      <c r="C32839" s="8" t="s">
        <v>12305</v>
      </c>
      <c r="D32839" s="8">
        <v>0</v>
      </c>
      <c r="E32839" s="8">
        <v>0</v>
      </c>
      <c r="F32839" s="8">
        <v>1</v>
      </c>
    </row>
    <row r="32840" spans="1:6" ht="12.75">
      <c r="A32840" s="8">
        <v>43889.836018518516</v>
      </c>
      <c r="B32840" s="8" t="str">
        <f>HYPERLINK("https://twitter.com/EgaPoch","@EgaPoch")</f>
        <v>@EgaPoch</v>
      </c>
      <c r="C32840" s="8" t="s">
        <v>10755</v>
      </c>
      <c r="D32840" s="8">
        <v>195</v>
      </c>
      <c r="E32840" s="8">
        <v>0</v>
      </c>
      <c r="F32840" s="8">
        <v>278</v>
      </c>
    </row>
    <row r="32841" spans="1:6" ht="12.75">
      <c r="A32841" s="8">
        <v>43889.83594907407</v>
      </c>
      <c r="B32841" s="8" t="str">
        <f>HYPERLINK("https://twitter.com/lanunatuna","@lanunatuna")</f>
        <v>@lanunatuna</v>
      </c>
      <c r="C32841" s="8" t="s">
        <v>12065</v>
      </c>
      <c r="D32841" s="8">
        <v>61</v>
      </c>
      <c r="E32841" s="8">
        <v>0</v>
      </c>
      <c r="F32841" s="8">
        <v>2970</v>
      </c>
    </row>
    <row r="32842" spans="1:6" ht="12.75">
      <c r="A32842" s="8">
        <v>43889.835844907408</v>
      </c>
      <c r="B32842" s="8" t="str">
        <f>HYPERLINK("https://twitter.com/enny_endah","@enny_endah")</f>
        <v>@enny_endah</v>
      </c>
      <c r="C32842" s="8" t="s">
        <v>12307</v>
      </c>
      <c r="D32842" s="8">
        <v>0</v>
      </c>
      <c r="E32842" s="8">
        <v>4</v>
      </c>
      <c r="F32842" s="8">
        <v>10652</v>
      </c>
    </row>
    <row r="32843" spans="1:6" ht="12.75">
      <c r="A32843" s="8">
        <v>43889.835833333331</v>
      </c>
      <c r="B32843" s="8" t="str">
        <f>HYPERLINK("https://twitter.com/SantiLuffyah26","@SantiLuffyah26")</f>
        <v>@SantiLuffyah26</v>
      </c>
      <c r="C32843" s="8" t="s">
        <v>10721</v>
      </c>
      <c r="D32843" s="8">
        <v>124</v>
      </c>
      <c r="E32843" s="8">
        <v>0</v>
      </c>
      <c r="F32843" s="8">
        <v>434</v>
      </c>
    </row>
    <row r="32844" spans="1:6" ht="12.75">
      <c r="A32844" s="8">
        <v>43889.835706018523</v>
      </c>
      <c r="B32844" s="8" t="str">
        <f>HYPERLINK("https://twitter.com/CamrySlamet","@CamrySlamet")</f>
        <v>@CamrySlamet</v>
      </c>
      <c r="C32844" s="8" t="s">
        <v>4235</v>
      </c>
      <c r="D32844" s="8">
        <v>80</v>
      </c>
      <c r="E32844" s="8">
        <v>0</v>
      </c>
      <c r="F32844" s="8">
        <v>742</v>
      </c>
    </row>
    <row r="32845" spans="1:6" ht="12.75">
      <c r="A32845" s="8">
        <v>43889.835601851853</v>
      </c>
      <c r="B32845" s="8" t="str">
        <f>HYPERLINK("https://twitter.com/ustadz_kakaroto","@ustadz_kakaroto")</f>
        <v>@ustadz_kakaroto</v>
      </c>
      <c r="C32845" s="8" t="s">
        <v>12308</v>
      </c>
      <c r="D32845" s="8">
        <v>0</v>
      </c>
      <c r="E32845" s="8">
        <v>0</v>
      </c>
      <c r="F32845" s="8">
        <v>402</v>
      </c>
    </row>
    <row r="32846" spans="1:6" ht="12.75">
      <c r="A32846" s="8">
        <v>43889.835590277777</v>
      </c>
      <c r="B32846" s="8" t="str">
        <f>HYPERLINK("https://twitter.com/lampupagi","@lampupagi")</f>
        <v>@lampupagi</v>
      </c>
      <c r="C32846" s="8" t="s">
        <v>10755</v>
      </c>
      <c r="D32846" s="8">
        <v>195</v>
      </c>
      <c r="E32846" s="8">
        <v>0</v>
      </c>
      <c r="F32846" s="8">
        <v>6</v>
      </c>
    </row>
    <row r="32847" spans="1:6" ht="12.75">
      <c r="A32847" s="8">
        <v>43889.835520833338</v>
      </c>
      <c r="B32847" s="8" t="str">
        <f>HYPERLINK("https://twitter.com/_therma_","@_therma_")</f>
        <v>@_therma_</v>
      </c>
      <c r="C32847" s="8" t="s">
        <v>4235</v>
      </c>
      <c r="D32847" s="8">
        <v>80</v>
      </c>
      <c r="E32847" s="8">
        <v>0</v>
      </c>
      <c r="F32847" s="8">
        <v>4531</v>
      </c>
    </row>
    <row r="32848" spans="1:6" ht="12.75">
      <c r="A32848" s="8">
        <v>43889.835335648153</v>
      </c>
      <c r="B32848" s="8" t="str">
        <f>HYPERLINK("https://twitter.com/AuliaAgata4","@AuliaAgata4")</f>
        <v>@AuliaAgata4</v>
      </c>
      <c r="C32848" s="8" t="s">
        <v>4785</v>
      </c>
      <c r="D32848" s="8">
        <v>477</v>
      </c>
      <c r="E32848" s="8">
        <v>0</v>
      </c>
      <c r="F32848" s="8">
        <v>18</v>
      </c>
    </row>
    <row r="32849" spans="1:6" ht="12.75">
      <c r="A32849" s="8">
        <v>43889.835277777776</v>
      </c>
      <c r="B32849" s="8" t="str">
        <f>HYPERLINK("https://twitter.com/IndaiNT","@IndaiNT")</f>
        <v>@IndaiNT</v>
      </c>
      <c r="C32849" s="8" t="s">
        <v>11641</v>
      </c>
      <c r="D32849" s="8">
        <v>68</v>
      </c>
      <c r="E32849" s="8">
        <v>0</v>
      </c>
      <c r="F32849" s="8">
        <v>217</v>
      </c>
    </row>
    <row r="32850" spans="1:6" ht="12.75">
      <c r="A32850" s="8">
        <v>43889.835162037038</v>
      </c>
      <c r="B32850" s="8" t="str">
        <f>HYPERLINK("https://twitter.com/anwarmakelar","@anwarmakelar")</f>
        <v>@anwarmakelar</v>
      </c>
      <c r="C32850" s="8" t="s">
        <v>12309</v>
      </c>
      <c r="D32850" s="8">
        <v>9</v>
      </c>
      <c r="E32850" s="8">
        <v>0</v>
      </c>
      <c r="F32850" s="8">
        <v>26</v>
      </c>
    </row>
    <row r="32851" spans="1:6" ht="12.75">
      <c r="A32851" s="8">
        <v>43889.835138888884</v>
      </c>
      <c r="B32851" s="8" t="str">
        <f>HYPERLINK("https://twitter.com/Ynwid","@Ynwid")</f>
        <v>@Ynwid</v>
      </c>
      <c r="C32851" s="8" t="s">
        <v>10755</v>
      </c>
      <c r="D32851" s="8">
        <v>195</v>
      </c>
      <c r="E32851" s="8">
        <v>0</v>
      </c>
      <c r="F32851" s="8">
        <v>819</v>
      </c>
    </row>
    <row r="32852" spans="1:6" ht="12.75">
      <c r="A32852" s="8">
        <v>43889.835104166668</v>
      </c>
      <c r="B32852" s="8" t="str">
        <f>HYPERLINK("https://twitter.com/MAliSubhan2","@MAliSubhan2")</f>
        <v>@MAliSubhan2</v>
      </c>
      <c r="C32852" s="8" t="s">
        <v>12310</v>
      </c>
      <c r="D32852" s="8">
        <v>10</v>
      </c>
      <c r="E32852" s="8">
        <v>0</v>
      </c>
      <c r="F32852" s="8">
        <v>1225</v>
      </c>
    </row>
    <row r="32853" spans="1:6" ht="12.75">
      <c r="A32853" s="8">
        <v>43889.835046296299</v>
      </c>
      <c r="B32853" s="8" t="str">
        <f>HYPERLINK("https://twitter.com/BillTemporo","@BillTemporo")</f>
        <v>@BillTemporo</v>
      </c>
      <c r="C32853" s="8" t="s">
        <v>323</v>
      </c>
      <c r="D32853" s="8">
        <v>0</v>
      </c>
      <c r="E32853" s="8">
        <v>0</v>
      </c>
      <c r="F32853" s="8">
        <v>11</v>
      </c>
    </row>
    <row r="32854" spans="1:6" ht="12.75">
      <c r="A32854" s="8">
        <v>43889.83494212963</v>
      </c>
      <c r="B32854" s="8" t="str">
        <f>HYPERLINK("https://twitter.com/TABPolsekRbn","@TABPolsekRbn")</f>
        <v>@TABPolsekRbn</v>
      </c>
      <c r="C32854" s="8" t="s">
        <v>12270</v>
      </c>
      <c r="D32854" s="8">
        <v>0</v>
      </c>
      <c r="E32854" s="8">
        <v>1</v>
      </c>
      <c r="F32854" s="8">
        <v>12</v>
      </c>
    </row>
    <row r="32855" spans="1:6" ht="12.75">
      <c r="A32855" s="8">
        <v>43889.834895833337</v>
      </c>
      <c r="B32855" s="8" t="str">
        <f>HYPERLINK("https://twitter.com/imRockRitesh","@imRockRitesh")</f>
        <v>@imRockRitesh</v>
      </c>
      <c r="C32855" s="8" t="s">
        <v>12311</v>
      </c>
      <c r="D32855" s="8">
        <v>0</v>
      </c>
      <c r="E32855" s="8">
        <v>0</v>
      </c>
      <c r="F32855" s="8">
        <v>7</v>
      </c>
    </row>
    <row r="32856" spans="1:6" ht="12.75">
      <c r="A32856" s="8">
        <v>43889.834791666668</v>
      </c>
      <c r="B32856" s="8" t="str">
        <f>HYPERLINK("https://twitter.com/yunov13","@yunov13")</f>
        <v>@yunov13</v>
      </c>
      <c r="C32856" s="8" t="s">
        <v>11641</v>
      </c>
      <c r="D32856" s="8">
        <v>68</v>
      </c>
      <c r="E32856" s="8">
        <v>0</v>
      </c>
      <c r="F32856" s="8">
        <v>90</v>
      </c>
    </row>
    <row r="32857" spans="1:6" ht="12.75">
      <c r="A32857" s="8">
        <v>43889.834594907406</v>
      </c>
      <c r="B32857" s="8" t="str">
        <f>HYPERLINK("https://twitter.com/LaingenLisa","@LaingenLisa")</f>
        <v>@LaingenLisa</v>
      </c>
      <c r="C32857" s="8" t="s">
        <v>12312</v>
      </c>
      <c r="D32857" s="8">
        <v>1</v>
      </c>
      <c r="E32857" s="8">
        <v>0</v>
      </c>
      <c r="F32857" s="8">
        <v>3447</v>
      </c>
    </row>
    <row r="32858" spans="1:6" ht="12.75">
      <c r="A32858" s="8">
        <v>43889.834444444445</v>
      </c>
      <c r="B32858" s="8" t="str">
        <f>HYPERLINK("https://twitter.com/CastilloJoshima","@CastilloJoshima")</f>
        <v>@CastilloJoshima</v>
      </c>
      <c r="C32858" s="8" t="s">
        <v>12313</v>
      </c>
      <c r="D32858" s="8">
        <v>2</v>
      </c>
      <c r="E32858" s="8">
        <v>0</v>
      </c>
      <c r="F32858" s="8">
        <v>5427</v>
      </c>
    </row>
    <row r="32859" spans="1:6" ht="12.75">
      <c r="A32859" s="8">
        <v>43889.834224537037</v>
      </c>
      <c r="B32859" s="8" t="str">
        <f>HYPERLINK("https://twitter.com/EtsaLira26","@EtsaLira26")</f>
        <v>@EtsaLira26</v>
      </c>
      <c r="C32859" s="8" t="s">
        <v>10755</v>
      </c>
      <c r="D32859" s="8">
        <v>195</v>
      </c>
      <c r="E32859" s="8">
        <v>0</v>
      </c>
      <c r="F32859" s="8">
        <v>834</v>
      </c>
    </row>
    <row r="32860" spans="1:6" ht="12.75">
      <c r="A32860" s="8">
        <v>43889.834155092598</v>
      </c>
      <c r="B32860" s="8" t="str">
        <f>HYPERLINK("https://twitter.com/rinkakuna","@rinkakuna")</f>
        <v>@rinkakuna</v>
      </c>
      <c r="C32860" s="8" t="s">
        <v>4235</v>
      </c>
      <c r="D32860" s="8">
        <v>80</v>
      </c>
      <c r="E32860" s="8">
        <v>0</v>
      </c>
      <c r="F32860" s="8">
        <v>629</v>
      </c>
    </row>
    <row r="32861" spans="1:6" ht="12.75">
      <c r="A32861" s="8">
        <v>43889.833958333329</v>
      </c>
      <c r="B32861" s="8" t="str">
        <f>HYPERLINK("https://twitter.com/notminded","@notminded")</f>
        <v>@notminded</v>
      </c>
      <c r="C32861" s="8" t="s">
        <v>10743</v>
      </c>
      <c r="D32861" s="8">
        <v>49</v>
      </c>
      <c r="E32861" s="8">
        <v>0</v>
      </c>
      <c r="F32861" s="8">
        <v>272</v>
      </c>
    </row>
    <row r="32862" spans="1:6" ht="12.75">
      <c r="A32862" s="8">
        <v>43889.833958333329</v>
      </c>
      <c r="B32862" s="8" t="str">
        <f>HYPERLINK("https://twitter.com/GUSBENSOK","@GUSBENSOK")</f>
        <v>@GUSBENSOK</v>
      </c>
      <c r="C32862" s="8" t="s">
        <v>4235</v>
      </c>
      <c r="D32862" s="8">
        <v>80</v>
      </c>
      <c r="E32862" s="8">
        <v>0</v>
      </c>
      <c r="F32862" s="8">
        <v>2051</v>
      </c>
    </row>
    <row r="32863" spans="1:6" ht="12.75">
      <c r="A32863" s="8">
        <v>43889.833784722221</v>
      </c>
      <c r="B32863" s="8" t="str">
        <f>HYPERLINK("https://twitter.com/kuntiladut","@kuntiladut")</f>
        <v>@kuntiladut</v>
      </c>
      <c r="C32863" s="8" t="s">
        <v>12314</v>
      </c>
      <c r="D32863" s="8">
        <v>0</v>
      </c>
      <c r="E32863" s="8">
        <v>0</v>
      </c>
      <c r="F32863" s="8">
        <v>1045</v>
      </c>
    </row>
    <row r="32864" spans="1:6" ht="12.75">
      <c r="A32864" s="8">
        <v>43889.833472222221</v>
      </c>
      <c r="B32864" s="8" t="str">
        <f>HYPERLINK("https://twitter.com/bibullbegins","@bibullbegins")</f>
        <v>@bibullbegins</v>
      </c>
      <c r="C32864" s="8" t="s">
        <v>12315</v>
      </c>
      <c r="D32864" s="8">
        <v>0</v>
      </c>
      <c r="E32864" s="8">
        <v>0</v>
      </c>
      <c r="F32864" s="8">
        <v>490</v>
      </c>
    </row>
    <row r="32865" spans="1:6" ht="12.75">
      <c r="A32865" s="8">
        <v>43889.833449074074</v>
      </c>
      <c r="B32865" s="8" t="str">
        <f>HYPERLINK("https://twitter.com/KontanNews","@KontanNews")</f>
        <v>@KontanNews</v>
      </c>
      <c r="C32865" s="8" t="s">
        <v>12316</v>
      </c>
      <c r="D32865" s="8">
        <v>0</v>
      </c>
      <c r="E32865" s="8">
        <v>2</v>
      </c>
      <c r="F32865" s="8">
        <v>317566</v>
      </c>
    </row>
    <row r="32866" spans="1:6" ht="12.75">
      <c r="A32866" s="8">
        <v>43889.833333333328</v>
      </c>
      <c r="B32866" s="8" t="str">
        <f>HYPERLINK("https://twitter.com/erika_sugandi","@erika_sugandi")</f>
        <v>@erika_sugandi</v>
      </c>
      <c r="C32866" s="8" t="s">
        <v>12317</v>
      </c>
      <c r="D32866" s="8">
        <v>0</v>
      </c>
      <c r="E32866" s="8">
        <v>0</v>
      </c>
      <c r="F32866" s="8">
        <v>18</v>
      </c>
    </row>
    <row r="32867" spans="1:6" ht="12.75">
      <c r="A32867" s="8">
        <v>43889.832928240736</v>
      </c>
      <c r="B32867" s="8" t="str">
        <f>HYPERLINK("https://twitter.com/FatiinS_L","@FatiinS_L")</f>
        <v>@FatiinS_L</v>
      </c>
      <c r="C32867" s="8" t="s">
        <v>12318</v>
      </c>
      <c r="D32867" s="8">
        <v>0</v>
      </c>
      <c r="E32867" s="8">
        <v>0</v>
      </c>
      <c r="F32867" s="8">
        <v>16427</v>
      </c>
    </row>
    <row r="32868" spans="1:6" ht="12.75">
      <c r="A32868" s="8">
        <v>43889.832789351851</v>
      </c>
      <c r="B32868" s="8" t="str">
        <f>HYPERLINK("https://twitter.com/Hujandisenja","@Hujandisenja")</f>
        <v>@Hujandisenja</v>
      </c>
      <c r="C32868" s="8" t="s">
        <v>12319</v>
      </c>
      <c r="D32868" s="8">
        <v>0</v>
      </c>
      <c r="E32868" s="8">
        <v>0</v>
      </c>
      <c r="F32868" s="8">
        <v>75795</v>
      </c>
    </row>
    <row r="32869" spans="1:6" ht="12.75">
      <c r="A32869" s="8">
        <v>43889.832754629635</v>
      </c>
      <c r="B32869" s="8" t="str">
        <f>HYPERLINK("https://twitter.com/2019Bintang","@2019Bintang")</f>
        <v>@2019Bintang</v>
      </c>
      <c r="C32869" s="8" t="s">
        <v>4235</v>
      </c>
      <c r="D32869" s="8">
        <v>80</v>
      </c>
      <c r="E32869" s="8">
        <v>0</v>
      </c>
      <c r="F32869" s="8">
        <v>679</v>
      </c>
    </row>
    <row r="32870" spans="1:6" ht="12.75">
      <c r="A32870" s="8">
        <v>43889.832638888889</v>
      </c>
      <c r="B32870" s="8" t="str">
        <f>HYPERLINK("https://twitter.com/kompascom","@kompascom")</f>
        <v>@kompascom</v>
      </c>
      <c r="C32870" s="8" t="s">
        <v>12320</v>
      </c>
      <c r="D32870" s="8">
        <v>1</v>
      </c>
      <c r="E32870" s="8">
        <v>3</v>
      </c>
      <c r="F32870" s="8">
        <v>7517181</v>
      </c>
    </row>
    <row r="32871" spans="1:6" ht="12.75">
      <c r="A32871" s="8">
        <v>43889.832569444443</v>
      </c>
      <c r="B32871" s="8" t="str">
        <f>HYPERLINK("https://twitter.com/Oodhi_tah","@Oodhi_tah")</f>
        <v>@Oodhi_tah</v>
      </c>
      <c r="C32871" s="8" t="s">
        <v>12321</v>
      </c>
      <c r="D32871" s="8">
        <v>5</v>
      </c>
      <c r="E32871" s="8">
        <v>0</v>
      </c>
      <c r="F32871" s="8">
        <v>283</v>
      </c>
    </row>
    <row r="32872" spans="1:6" ht="12.75">
      <c r="A32872" s="8">
        <v>43889.832476851851</v>
      </c>
      <c r="B32872" s="8" t="str">
        <f>HYPERLINK("https://twitter.com/notminded","@notminded")</f>
        <v>@notminded</v>
      </c>
      <c r="C32872" s="8" t="s">
        <v>6490</v>
      </c>
      <c r="D32872" s="8">
        <v>67</v>
      </c>
      <c r="E32872" s="8">
        <v>0</v>
      </c>
      <c r="F32872" s="8">
        <v>272</v>
      </c>
    </row>
    <row r="32873" spans="1:6" ht="12.75">
      <c r="A32873" s="8">
        <v>43889.832430555558</v>
      </c>
      <c r="B32873" s="8" t="str">
        <f>HYPERLINK("https://twitter.com/azhar_can","@azhar_can")</f>
        <v>@azhar_can</v>
      </c>
      <c r="C32873" s="8" t="s">
        <v>12322</v>
      </c>
      <c r="D32873" s="8">
        <v>0</v>
      </c>
      <c r="E32873" s="8">
        <v>0</v>
      </c>
      <c r="F32873" s="8">
        <v>56</v>
      </c>
    </row>
    <row r="32874" spans="1:6" ht="12.75">
      <c r="A32874" s="8">
        <v>43889.831956018519</v>
      </c>
      <c r="B32874" s="8" t="str">
        <f>HYPERLINK("https://twitter.com/tiqwa_aziz","@tiqwa_aziz")</f>
        <v>@tiqwa_aziz</v>
      </c>
      <c r="C32874" s="8" t="s">
        <v>12323</v>
      </c>
      <c r="D32874" s="8">
        <v>1</v>
      </c>
      <c r="E32874" s="8">
        <v>0</v>
      </c>
      <c r="F32874" s="8">
        <v>288</v>
      </c>
    </row>
    <row r="32875" spans="1:6" ht="12.75">
      <c r="A32875" s="8">
        <v>43889.831956018519</v>
      </c>
      <c r="B32875" s="8" t="str">
        <f>HYPERLINK("https://twitter.com/amien_xkw","@amien_xkw")</f>
        <v>@amien_xkw</v>
      </c>
      <c r="C32875" s="8" t="s">
        <v>12237</v>
      </c>
      <c r="D32875" s="8">
        <v>23</v>
      </c>
      <c r="E32875" s="8">
        <v>0</v>
      </c>
      <c r="F32875" s="8">
        <v>423</v>
      </c>
    </row>
    <row r="32876" spans="1:6" ht="12.75">
      <c r="A32876" s="8">
        <v>43889.83194444445</v>
      </c>
      <c r="B32876" s="8" t="str">
        <f>HYPERLINK("https://twitter.com/nandatslnk","@nandatslnk")</f>
        <v>@nandatslnk</v>
      </c>
      <c r="C32876" s="8" t="s">
        <v>12324</v>
      </c>
      <c r="D32876" s="8">
        <v>0</v>
      </c>
      <c r="E32876" s="8">
        <v>0</v>
      </c>
      <c r="F32876" s="8">
        <v>3</v>
      </c>
    </row>
    <row r="32877" spans="1:6" ht="12.75">
      <c r="A32877" s="8">
        <v>43889.831828703704</v>
      </c>
      <c r="B32877" s="8" t="str">
        <f>HYPERLINK("https://twitter.com/dzack_alghazi","@dzack_alghazi")</f>
        <v>@dzack_alghazi</v>
      </c>
      <c r="C32877" s="8" t="s">
        <v>4235</v>
      </c>
      <c r="D32877" s="8">
        <v>80</v>
      </c>
      <c r="E32877" s="8">
        <v>0</v>
      </c>
      <c r="F32877" s="8">
        <v>406</v>
      </c>
    </row>
    <row r="32878" spans="1:6" ht="12.75">
      <c r="A32878" s="8">
        <v>43889.831689814819</v>
      </c>
      <c r="B32878" s="8" t="str">
        <f>HYPERLINK("https://twitter.com/TeguhDwiYulian5","@TeguhDwiYulian5")</f>
        <v>@TeguhDwiYulian5</v>
      </c>
      <c r="C32878" s="8" t="s">
        <v>11663</v>
      </c>
      <c r="D32878" s="8">
        <v>0</v>
      </c>
      <c r="E32878" s="8">
        <v>0</v>
      </c>
      <c r="F32878" s="8">
        <v>215</v>
      </c>
    </row>
    <row r="32879" spans="1:6" ht="12.75">
      <c r="A32879" s="8">
        <v>43889.831527777773</v>
      </c>
      <c r="B32879" s="8" t="str">
        <f>HYPERLINK("https://twitter.com/Hamy1968","@Hamy1968")</f>
        <v>@Hamy1968</v>
      </c>
      <c r="C32879" s="8" t="s">
        <v>12325</v>
      </c>
      <c r="D32879" s="8">
        <v>4</v>
      </c>
      <c r="E32879" s="8">
        <v>0</v>
      </c>
      <c r="F32879" s="8">
        <v>924</v>
      </c>
    </row>
    <row r="32880" spans="1:6" ht="12.75">
      <c r="A32880" s="8">
        <v>43889.831504629634</v>
      </c>
      <c r="B32880" s="8" t="str">
        <f>HYPERLINK("https://twitter.com/Rivat04","@Rivat04")</f>
        <v>@Rivat04</v>
      </c>
      <c r="C32880" s="8" t="s">
        <v>12326</v>
      </c>
      <c r="D32880" s="8">
        <v>0</v>
      </c>
      <c r="E32880" s="8">
        <v>0</v>
      </c>
      <c r="F32880" s="8">
        <v>28</v>
      </c>
    </row>
    <row r="32881" spans="1:6" ht="12.75">
      <c r="A32881" s="8">
        <v>43889.831469907411</v>
      </c>
      <c r="B32881" s="8" t="str">
        <f>HYPERLINK("https://twitter.com/Indramajid8","@Indramajid8")</f>
        <v>@Indramajid8</v>
      </c>
      <c r="C32881" s="8" t="s">
        <v>12065</v>
      </c>
      <c r="D32881" s="8">
        <v>61</v>
      </c>
      <c r="E32881" s="8">
        <v>0</v>
      </c>
      <c r="F32881" s="8">
        <v>2271</v>
      </c>
    </row>
    <row r="32882" spans="1:6" ht="12.75">
      <c r="A32882" s="8">
        <v>43889.831388888888</v>
      </c>
      <c r="B32882" s="8" t="str">
        <f>HYPERLINK("https://twitter.com/Ryan_zipur","@Ryan_zipur")</f>
        <v>@Ryan_zipur</v>
      </c>
      <c r="C32882" s="8" t="s">
        <v>6490</v>
      </c>
      <c r="D32882" s="8">
        <v>67</v>
      </c>
      <c r="E32882" s="8">
        <v>0</v>
      </c>
      <c r="F32882" s="8">
        <v>319</v>
      </c>
    </row>
    <row r="32883" spans="1:6" ht="12.75">
      <c r="A32883" s="8">
        <v>43889.831134259264</v>
      </c>
      <c r="B32883" s="8" t="str">
        <f>HYPERLINK("https://twitter.com/lurah_Menteng","@lurah_Menteng")</f>
        <v>@lurah_Menteng</v>
      </c>
      <c r="C32883" s="8" t="s">
        <v>12327</v>
      </c>
      <c r="D32883" s="8">
        <v>1</v>
      </c>
      <c r="E32883" s="8">
        <v>0</v>
      </c>
      <c r="F32883" s="8">
        <v>1570</v>
      </c>
    </row>
    <row r="32884" spans="1:6" ht="12.75">
      <c r="A32884" s="8">
        <v>43889.830937499995</v>
      </c>
      <c r="B32884" s="8" t="str">
        <f>HYPERLINK("https://twitter.com/BsSinung","@BsSinung")</f>
        <v>@BsSinung</v>
      </c>
      <c r="C32884" s="8" t="s">
        <v>11691</v>
      </c>
      <c r="D32884" s="8">
        <v>25</v>
      </c>
      <c r="E32884" s="8">
        <v>0</v>
      </c>
      <c r="F32884" s="8">
        <v>88</v>
      </c>
    </row>
    <row r="32885" spans="1:6" ht="12.75">
      <c r="A32885" s="8">
        <v>43889.830775462964</v>
      </c>
      <c r="B32885" s="8" t="str">
        <f>HYPERLINK("https://twitter.com/bnopel","@bnopel")</f>
        <v>@bnopel</v>
      </c>
      <c r="C32885" s="8" t="s">
        <v>12328</v>
      </c>
      <c r="D32885" s="8">
        <v>0</v>
      </c>
      <c r="E32885" s="8">
        <v>3</v>
      </c>
      <c r="F32885" s="8">
        <v>10227</v>
      </c>
    </row>
    <row r="32886" spans="1:6" ht="12.75">
      <c r="A32886" s="8">
        <v>43889.830763888887</v>
      </c>
      <c r="B32886" s="8" t="str">
        <f>HYPERLINK("https://twitter.com/yadiborneo85","@yadiborneo85")</f>
        <v>@yadiborneo85</v>
      </c>
      <c r="C32886" s="8" t="s">
        <v>6836</v>
      </c>
      <c r="D32886" s="8">
        <v>47</v>
      </c>
      <c r="E32886" s="8">
        <v>0</v>
      </c>
      <c r="F32886" s="8">
        <v>104</v>
      </c>
    </row>
    <row r="32887" spans="1:6" ht="12.75">
      <c r="A32887" s="8">
        <v>43889.830636574072</v>
      </c>
      <c r="B32887" s="8" t="str">
        <f>HYPERLINK("https://twitter.com/merdekadotcom","@merdekadotcom")</f>
        <v>@merdekadotcom</v>
      </c>
      <c r="C32887" s="8" t="s">
        <v>12329</v>
      </c>
      <c r="D32887" s="8">
        <v>1</v>
      </c>
      <c r="E32887" s="8">
        <v>0</v>
      </c>
      <c r="F32887" s="8">
        <v>231097</v>
      </c>
    </row>
    <row r="32888" spans="1:6" ht="12.75">
      <c r="A32888" s="8">
        <v>43889.830625000002</v>
      </c>
      <c r="B32888" s="8" t="str">
        <f>HYPERLINK("https://twitter.com/Beritasatu","@Beritasatu")</f>
        <v>@Beritasatu</v>
      </c>
      <c r="C32888" s="8" t="s">
        <v>12330</v>
      </c>
      <c r="D32888" s="8">
        <v>0</v>
      </c>
      <c r="E32888" s="8">
        <v>0</v>
      </c>
      <c r="F32888" s="8">
        <v>616643</v>
      </c>
    </row>
    <row r="32889" spans="1:6" ht="12.75">
      <c r="A32889" s="8">
        <v>43889.830520833333</v>
      </c>
      <c r="B32889" s="8" t="str">
        <f>HYPERLINK("https://twitter.com/Pakde688668","@Pakde688668")</f>
        <v>@Pakde688668</v>
      </c>
      <c r="C32889" s="8" t="s">
        <v>12299</v>
      </c>
      <c r="D32889" s="8">
        <v>6</v>
      </c>
      <c r="E32889" s="8">
        <v>0</v>
      </c>
      <c r="F32889" s="8">
        <v>208</v>
      </c>
    </row>
    <row r="32890" spans="1:6" ht="12.75">
      <c r="A32890" s="8">
        <v>43889.830509259264</v>
      </c>
      <c r="B32890" s="8" t="str">
        <f>HYPERLINK("https://twitter.com/7Naga10","@7Naga10")</f>
        <v>@7Naga10</v>
      </c>
      <c r="C32890" s="8" t="s">
        <v>9768</v>
      </c>
      <c r="D32890" s="8">
        <v>59</v>
      </c>
      <c r="E32890" s="8">
        <v>0</v>
      </c>
      <c r="F32890" s="8">
        <v>135</v>
      </c>
    </row>
    <row r="32891" spans="1:6" ht="12.75">
      <c r="A32891" s="8">
        <v>43889.830243055556</v>
      </c>
      <c r="B32891" s="8" t="str">
        <f>HYPERLINK("https://twitter.com/kompascom","@kompascom")</f>
        <v>@kompascom</v>
      </c>
      <c r="C32891" s="8" t="s">
        <v>12331</v>
      </c>
      <c r="D32891" s="8">
        <v>1</v>
      </c>
      <c r="E32891" s="8">
        <v>1</v>
      </c>
      <c r="F32891" s="8">
        <v>7517181</v>
      </c>
    </row>
    <row r="32892" spans="1:6" ht="12.75">
      <c r="A32892" s="8">
        <v>43889.830231481479</v>
      </c>
      <c r="B32892" s="8" t="str">
        <f>HYPERLINK("https://twitter.com/Firmanbudianap2","@Firmanbudianap2")</f>
        <v>@Firmanbudianap2</v>
      </c>
      <c r="C32892" s="8" t="s">
        <v>12332</v>
      </c>
      <c r="D32892" s="8">
        <v>7</v>
      </c>
      <c r="E32892" s="8">
        <v>0</v>
      </c>
      <c r="F32892" s="8">
        <v>169</v>
      </c>
    </row>
    <row r="32893" spans="1:6" ht="12.75">
      <c r="A32893" s="8">
        <v>43889.830057870371</v>
      </c>
      <c r="B32893" s="8" t="str">
        <f>HYPERLINK("https://twitter.com/CNNIDdaily","@CNNIDdaily")</f>
        <v>@CNNIDdaily</v>
      </c>
      <c r="C32893" s="8" t="s">
        <v>12333</v>
      </c>
      <c r="D32893" s="8">
        <v>0</v>
      </c>
      <c r="E32893" s="8">
        <v>2</v>
      </c>
      <c r="F32893" s="8">
        <v>119714</v>
      </c>
    </row>
    <row r="32894" spans="1:6" ht="12.75">
      <c r="A32894" s="8">
        <v>43889.830034722225</v>
      </c>
      <c r="B32894" s="8" t="str">
        <f>HYPERLINK("https://twitter.com/mat_sodor","@mat_sodor")</f>
        <v>@mat_sodor</v>
      </c>
      <c r="C32894" s="8" t="s">
        <v>4235</v>
      </c>
      <c r="D32894" s="8">
        <v>80</v>
      </c>
      <c r="E32894" s="8">
        <v>0</v>
      </c>
      <c r="F32894" s="8">
        <v>214</v>
      </c>
    </row>
    <row r="32895" spans="1:6" ht="12.75">
      <c r="A32895" s="8">
        <v>43889.829907407402</v>
      </c>
      <c r="B32895" s="8" t="str">
        <f>HYPERLINK("https://twitter.com/esarkosh","@esarkosh")</f>
        <v>@esarkosh</v>
      </c>
      <c r="C32895" s="8" t="s">
        <v>6836</v>
      </c>
      <c r="D32895" s="8">
        <v>47</v>
      </c>
      <c r="E32895" s="8">
        <v>0</v>
      </c>
      <c r="F32895" s="8">
        <v>260</v>
      </c>
    </row>
    <row r="32896" spans="1:6" ht="12.75">
      <c r="A32896" s="8">
        <v>43889.82975694444</v>
      </c>
      <c r="B32896" s="8" t="str">
        <f>HYPERLINK("https://twitter.com/Aizilfahriza","@Aizilfahriza")</f>
        <v>@Aizilfahriza</v>
      </c>
      <c r="C32896" s="8" t="s">
        <v>6490</v>
      </c>
      <c r="D32896" s="8">
        <v>67</v>
      </c>
      <c r="E32896" s="8">
        <v>0</v>
      </c>
      <c r="F32896" s="8">
        <v>567</v>
      </c>
    </row>
    <row r="32897" spans="1:6" ht="12.75">
      <c r="A32897" s="8">
        <v>43889.82975694444</v>
      </c>
      <c r="B32897" s="8" t="str">
        <f>HYPERLINK("https://twitter.com/demul_dee","@demul_dee")</f>
        <v>@demul_dee</v>
      </c>
      <c r="C32897" s="8" t="s">
        <v>12334</v>
      </c>
      <c r="D32897" s="8">
        <v>2</v>
      </c>
      <c r="E32897" s="8">
        <v>0</v>
      </c>
      <c r="F32897" s="8">
        <v>33</v>
      </c>
    </row>
    <row r="32898" spans="1:6" ht="12.75">
      <c r="A32898" s="8">
        <v>43889.829722222217</v>
      </c>
      <c r="B32898" s="8" t="str">
        <f>HYPERLINK("https://twitter.com/Jozix3","@Jozix3")</f>
        <v>@Jozix3</v>
      </c>
      <c r="C32898" s="8" t="s">
        <v>11586</v>
      </c>
      <c r="D32898" s="8">
        <v>158</v>
      </c>
      <c r="E32898" s="8">
        <v>0</v>
      </c>
      <c r="F32898" s="8">
        <v>1035</v>
      </c>
    </row>
    <row r="32899" spans="1:6" ht="12.75">
      <c r="A32899" s="8">
        <v>43889.829525462963</v>
      </c>
      <c r="B32899" s="8" t="str">
        <f>HYPERLINK("https://twitter.com/bhadresh_73","@bhadresh_73")</f>
        <v>@bhadresh_73</v>
      </c>
      <c r="C32899" s="8" t="s">
        <v>12335</v>
      </c>
      <c r="D32899" s="8">
        <v>0</v>
      </c>
      <c r="E32899" s="8">
        <v>0</v>
      </c>
      <c r="F32899" s="8">
        <v>31</v>
      </c>
    </row>
    <row r="32900" spans="1:6" ht="12.75">
      <c r="A32900" s="8">
        <v>43889.82949074074</v>
      </c>
      <c r="B32900" s="8" t="str">
        <f>HYPERLINK("https://twitter.com/TheTremor1991","@TheTremor1991")</f>
        <v>@TheTremor1991</v>
      </c>
      <c r="C32900" s="8" t="s">
        <v>12336</v>
      </c>
      <c r="D32900" s="8">
        <v>2</v>
      </c>
      <c r="E32900" s="8">
        <v>0</v>
      </c>
      <c r="F32900" s="8">
        <v>523</v>
      </c>
    </row>
    <row r="32901" spans="1:6" ht="12.75">
      <c r="A32901" s="8">
        <v>43889.829432870371</v>
      </c>
      <c r="B32901" s="8" t="str">
        <f>HYPERLINK("https://twitter.com/bismiBock","@bismiBock")</f>
        <v>@bismiBock</v>
      </c>
      <c r="C32901" s="8" t="s">
        <v>12337</v>
      </c>
      <c r="D32901" s="8">
        <v>0</v>
      </c>
      <c r="E32901" s="8">
        <v>0</v>
      </c>
      <c r="F32901" s="8">
        <v>418</v>
      </c>
    </row>
    <row r="32902" spans="1:6" ht="12.75">
      <c r="A32902" s="8">
        <v>43889.829409722224</v>
      </c>
      <c r="B32902" s="8" t="str">
        <f>HYPERLINK("https://twitter.com/Yasmin15889819","@Yasmin15889819")</f>
        <v>@Yasmin15889819</v>
      </c>
      <c r="C32902" s="8" t="s">
        <v>6490</v>
      </c>
      <c r="D32902" s="8">
        <v>67</v>
      </c>
      <c r="E32902" s="8">
        <v>0</v>
      </c>
      <c r="F32902" s="8">
        <v>268</v>
      </c>
    </row>
    <row r="32903" spans="1:6" ht="12.75">
      <c r="A32903" s="8">
        <v>43889.829351851848</v>
      </c>
      <c r="B32903" s="8" t="str">
        <f>HYPERLINK("https://twitter.com/RJ29_","@RJ29_")</f>
        <v>@RJ29_</v>
      </c>
      <c r="C32903" s="8" t="s">
        <v>12338</v>
      </c>
      <c r="D32903" s="8">
        <v>0</v>
      </c>
      <c r="E32903" s="8">
        <v>0</v>
      </c>
      <c r="F32903" s="8">
        <v>229</v>
      </c>
    </row>
    <row r="32904" spans="1:6" ht="12.75">
      <c r="A32904" s="8">
        <v>43889.79850694444</v>
      </c>
      <c r="B32904" s="8" t="str">
        <f>HYPERLINK("https://twitter.com/putra_bisma12","@putra_bisma12")</f>
        <v>@putra_bisma12</v>
      </c>
      <c r="C32904" s="8" t="s">
        <v>12339</v>
      </c>
      <c r="D32904" s="8">
        <v>0</v>
      </c>
      <c r="E32904" s="8">
        <v>0</v>
      </c>
      <c r="F32904" s="8">
        <v>4204</v>
      </c>
    </row>
    <row r="32905" spans="1:6" ht="12.75">
      <c r="A32905" s="8">
        <v>43889.798298611116</v>
      </c>
      <c r="B32905" s="8" t="str">
        <f>HYPERLINK("https://twitter.com/AlNuriah","@AlNuriah")</f>
        <v>@AlNuriah</v>
      </c>
      <c r="C32905" s="8" t="s">
        <v>12340</v>
      </c>
      <c r="D32905" s="8">
        <v>0</v>
      </c>
      <c r="E32905" s="8">
        <v>0</v>
      </c>
      <c r="F32905" s="8">
        <v>73</v>
      </c>
    </row>
    <row r="32906" spans="1:6" ht="12.75">
      <c r="A32906" s="8">
        <v>43889.798287037032</v>
      </c>
      <c r="B32906" s="8" t="str">
        <f t="shared" ref="B32906:B32907" si="453">HYPERLINK("https://twitter.com/suaradotcom","@suaradotcom")</f>
        <v>@suaradotcom</v>
      </c>
      <c r="C32906" s="8" t="s">
        <v>12341</v>
      </c>
      <c r="D32906" s="8">
        <v>0</v>
      </c>
      <c r="E32906" s="8">
        <v>0</v>
      </c>
      <c r="F32906" s="8">
        <v>24276</v>
      </c>
    </row>
    <row r="32907" spans="1:6" ht="12.75">
      <c r="A32907" s="8">
        <v>43889.798287037032</v>
      </c>
      <c r="B32907" s="8" t="str">
        <f t="shared" si="453"/>
        <v>@suaradotcom</v>
      </c>
      <c r="C32907" s="8" t="s">
        <v>12342</v>
      </c>
      <c r="D32907" s="8">
        <v>0</v>
      </c>
      <c r="E32907" s="8">
        <v>0</v>
      </c>
      <c r="F32907" s="8">
        <v>24276</v>
      </c>
    </row>
    <row r="32908" spans="1:6" ht="12.75">
      <c r="A32908" s="8">
        <v>43889.798113425924</v>
      </c>
      <c r="B32908" s="8" t="str">
        <f>HYPERLINK("https://twitter.com/Ramdhan1980","@Ramdhan1980")</f>
        <v>@Ramdhan1980</v>
      </c>
      <c r="C32908" s="8" t="s">
        <v>12343</v>
      </c>
      <c r="D32908" s="8">
        <v>1</v>
      </c>
      <c r="E32908" s="8">
        <v>0</v>
      </c>
      <c r="F32908" s="8">
        <v>59</v>
      </c>
    </row>
    <row r="32909" spans="1:6" ht="12.75">
      <c r="A32909" s="8">
        <v>43889.798090277778</v>
      </c>
      <c r="B32909" s="8" t="str">
        <f>HYPERLINK("https://twitter.com/jee_creepers","@jee_creepers")</f>
        <v>@jee_creepers</v>
      </c>
      <c r="C32909" s="8" t="s">
        <v>12237</v>
      </c>
      <c r="D32909" s="8">
        <v>17</v>
      </c>
      <c r="E32909" s="8">
        <v>0</v>
      </c>
      <c r="F32909" s="8">
        <v>714</v>
      </c>
    </row>
    <row r="32910" spans="1:6" ht="12.75">
      <c r="A32910" s="8">
        <v>43889.79792824074</v>
      </c>
      <c r="B32910" s="8" t="str">
        <f>HYPERLINK("https://twitter.com/eportalsiber","@eportalsiber")</f>
        <v>@eportalsiber</v>
      </c>
      <c r="C32910" s="8" t="s">
        <v>12344</v>
      </c>
      <c r="D32910" s="8">
        <v>0</v>
      </c>
      <c r="E32910" s="8">
        <v>0</v>
      </c>
      <c r="F32910" s="8">
        <v>27</v>
      </c>
    </row>
    <row r="32911" spans="1:6" ht="12.75">
      <c r="A32911" s="8">
        <v>43889.79787037037</v>
      </c>
      <c r="B32911" s="8" t="str">
        <f>HYPERLINK("https://twitter.com/Nurhadi9913","@Nurhadi9913")</f>
        <v>@Nurhadi9913</v>
      </c>
      <c r="C32911" s="8" t="s">
        <v>10743</v>
      </c>
      <c r="D32911" s="8">
        <v>43</v>
      </c>
      <c r="E32911" s="8">
        <v>0</v>
      </c>
      <c r="F32911" s="8">
        <v>151</v>
      </c>
    </row>
    <row r="32912" spans="1:6" ht="12.75">
      <c r="A32912" s="8">
        <v>43889.797719907408</v>
      </c>
      <c r="B32912" s="8" t="str">
        <f>HYPERLINK("https://twitter.com/KhusnularifinSt","@KhusnularifinSt")</f>
        <v>@KhusnularifinSt</v>
      </c>
      <c r="C32912" s="8" t="s">
        <v>10743</v>
      </c>
      <c r="D32912" s="8">
        <v>42</v>
      </c>
      <c r="E32912" s="8">
        <v>0</v>
      </c>
      <c r="F32912" s="8">
        <v>61</v>
      </c>
    </row>
    <row r="32913" spans="1:6" ht="12.75">
      <c r="A32913" s="8">
        <v>43889.797708333332</v>
      </c>
      <c r="B32913" s="8" t="str">
        <f>HYPERLINK("https://twitter.com/maulinatj","@maulinatj")</f>
        <v>@maulinatj</v>
      </c>
      <c r="C32913" s="8" t="s">
        <v>12345</v>
      </c>
      <c r="D32913" s="8">
        <v>0</v>
      </c>
      <c r="E32913" s="8">
        <v>0</v>
      </c>
      <c r="F32913" s="8">
        <v>345</v>
      </c>
    </row>
    <row r="32914" spans="1:6" ht="12.75">
      <c r="A32914" s="8">
        <v>43889.797349537039</v>
      </c>
      <c r="B32914" s="8" t="str">
        <f>HYPERLINK("https://twitter.com/Zeljko2016","@Zeljko2016")</f>
        <v>@Zeljko2016</v>
      </c>
      <c r="C32914" s="8" t="s">
        <v>12346</v>
      </c>
      <c r="D32914" s="8">
        <v>0</v>
      </c>
      <c r="E32914" s="8">
        <v>0</v>
      </c>
      <c r="F32914" s="8">
        <v>274</v>
      </c>
    </row>
    <row r="32915" spans="1:6" ht="12.75">
      <c r="A32915" s="8">
        <v>43889.797013888892</v>
      </c>
      <c r="B32915" s="8" t="str">
        <f>HYPERLINK("https://twitter.com/goserp","@goserp")</f>
        <v>@goserp</v>
      </c>
      <c r="C32915" s="8" t="s">
        <v>12347</v>
      </c>
      <c r="D32915" s="8">
        <v>0</v>
      </c>
      <c r="E32915" s="8">
        <v>0</v>
      </c>
      <c r="F32915" s="8">
        <v>855</v>
      </c>
    </row>
    <row r="32916" spans="1:6" ht="12.75">
      <c r="A32916" s="8">
        <v>43889.796932870369</v>
      </c>
      <c r="B32916" s="8" t="str">
        <f>HYPERLINK("https://twitter.com/lndriati","@lndriati")</f>
        <v>@lndriati</v>
      </c>
      <c r="C32916" s="8" t="s">
        <v>4235</v>
      </c>
      <c r="D32916" s="8">
        <v>15</v>
      </c>
      <c r="E32916" s="8">
        <v>0</v>
      </c>
      <c r="F32916" s="8">
        <v>253</v>
      </c>
    </row>
    <row r="32917" spans="1:6" ht="12.75">
      <c r="A32917" s="8">
        <v>43889.796909722223</v>
      </c>
      <c r="B32917" s="8" t="str">
        <f>HYPERLINK("https://twitter.com/galamedianews","@galamedianews")</f>
        <v>@galamedianews</v>
      </c>
      <c r="C32917" s="8" t="s">
        <v>12348</v>
      </c>
      <c r="D32917" s="8">
        <v>0</v>
      </c>
      <c r="E32917" s="8">
        <v>0</v>
      </c>
      <c r="F32917" s="8">
        <v>13804</v>
      </c>
    </row>
    <row r="32918" spans="1:6" ht="12.75">
      <c r="A32918" s="8">
        <v>43889.796678240746</v>
      </c>
      <c r="B32918" s="8" t="str">
        <f>HYPERLINK("https://twitter.com/RendraTftt","@RendraTftt")</f>
        <v>@RendraTftt</v>
      </c>
      <c r="C32918" s="8" t="s">
        <v>12349</v>
      </c>
      <c r="D32918" s="8">
        <v>0</v>
      </c>
      <c r="E32918" s="8">
        <v>0</v>
      </c>
      <c r="F32918" s="8">
        <v>3</v>
      </c>
    </row>
    <row r="32919" spans="1:6" ht="12.75">
      <c r="A32919" s="8">
        <v>43889.796655092592</v>
      </c>
      <c r="B32919" s="8" t="str">
        <f>HYPERLINK("https://twitter.com/Yunitadf_","@Yunitadf_")</f>
        <v>@Yunitadf_</v>
      </c>
      <c r="C32919" s="8" t="s">
        <v>12350</v>
      </c>
      <c r="D32919" s="8">
        <v>1</v>
      </c>
      <c r="E32919" s="8">
        <v>0</v>
      </c>
      <c r="F32919" s="8">
        <v>7</v>
      </c>
    </row>
    <row r="32920" spans="1:6" ht="12.75">
      <c r="A32920" s="8">
        <v>43889.7966087963</v>
      </c>
      <c r="B32920" s="8" t="str">
        <f>HYPERLINK("https://twitter.com/MetroTVToday","@MetroTVToday")</f>
        <v>@MetroTVToday</v>
      </c>
      <c r="C32920" s="8" t="s">
        <v>12351</v>
      </c>
      <c r="D32920" s="8">
        <v>0</v>
      </c>
      <c r="E32920" s="8">
        <v>0</v>
      </c>
      <c r="F32920" s="8">
        <v>97691</v>
      </c>
    </row>
    <row r="32921" spans="1:6" ht="12.75">
      <c r="A32921" s="8">
        <v>43889.7966087963</v>
      </c>
      <c r="B32921" s="8" t="str">
        <f>HYPERLINK("https://twitter.com/Nurultrisnaa","@Nurultrisnaa")</f>
        <v>@Nurultrisnaa</v>
      </c>
      <c r="C32921" s="8" t="s">
        <v>12352</v>
      </c>
      <c r="D32921" s="8">
        <v>1</v>
      </c>
      <c r="E32921" s="8">
        <v>0</v>
      </c>
      <c r="F32921" s="8">
        <v>279</v>
      </c>
    </row>
    <row r="32922" spans="1:6" ht="12.75">
      <c r="A32922" s="8">
        <v>43889.796550925923</v>
      </c>
      <c r="B32922" s="8" t="str">
        <f>HYPERLINK("https://twitter.com/sudi_achmad","@sudi_achmad")</f>
        <v>@sudi_achmad</v>
      </c>
      <c r="C32922" s="8" t="s">
        <v>12353</v>
      </c>
      <c r="D32922" s="8">
        <v>0</v>
      </c>
      <c r="E32922" s="8">
        <v>0</v>
      </c>
      <c r="F32922" s="8">
        <v>12</v>
      </c>
    </row>
    <row r="32923" spans="1:6" ht="12.75">
      <c r="A32923" s="8">
        <v>43889.796481481477</v>
      </c>
      <c r="B32923" s="8" t="str">
        <f>HYPERLINK("https://twitter.com/putra_bisma12","@putra_bisma12")</f>
        <v>@putra_bisma12</v>
      </c>
      <c r="C32923" s="8" t="s">
        <v>12108</v>
      </c>
      <c r="D32923" s="8">
        <v>15</v>
      </c>
      <c r="E32923" s="8">
        <v>0</v>
      </c>
      <c r="F32923" s="8">
        <v>4204</v>
      </c>
    </row>
    <row r="32924" spans="1:6" ht="12.75">
      <c r="A32924" s="8">
        <v>43889.796469907407</v>
      </c>
      <c r="B32924" s="8" t="str">
        <f>HYPERLINK("https://twitter.com/verahutahaean","@verahutahaean")</f>
        <v>@verahutahaean</v>
      </c>
      <c r="C32924" s="8" t="s">
        <v>10755</v>
      </c>
      <c r="D32924" s="8">
        <v>168</v>
      </c>
      <c r="E32924" s="8">
        <v>0</v>
      </c>
      <c r="F32924" s="8">
        <v>302</v>
      </c>
    </row>
    <row r="32925" spans="1:6" ht="12.75">
      <c r="A32925" s="8">
        <v>43889.796423611115</v>
      </c>
      <c r="B32925" s="8" t="str">
        <f>HYPERLINK("https://twitter.com/RendraTftt","@RendraTftt")</f>
        <v>@RendraTftt</v>
      </c>
      <c r="C32925" s="8" t="s">
        <v>12354</v>
      </c>
      <c r="D32925" s="8">
        <v>0</v>
      </c>
      <c r="E32925" s="8">
        <v>0</v>
      </c>
      <c r="F32925" s="8">
        <v>3</v>
      </c>
    </row>
    <row r="32926" spans="1:6" ht="12.75">
      <c r="A32926" s="8">
        <v>43889.796388888892</v>
      </c>
      <c r="B32926" s="8" t="str">
        <f>HYPERLINK("https://twitter.com/ApipFarnanda","@ApipFarnanda")</f>
        <v>@ApipFarnanda</v>
      </c>
      <c r="C32926" s="8" t="s">
        <v>10721</v>
      </c>
      <c r="D32926" s="8">
        <v>119</v>
      </c>
      <c r="E32926" s="8">
        <v>0</v>
      </c>
      <c r="F32926" s="8">
        <v>23</v>
      </c>
    </row>
    <row r="32927" spans="1:6" ht="12.75">
      <c r="A32927" s="8">
        <v>43889.796261574069</v>
      </c>
      <c r="B32927" s="8" t="str">
        <f>HYPERLINK("https://twitter.com/singo__piliang3","@singo__piliang3")</f>
        <v>@singo__piliang3</v>
      </c>
      <c r="C32927" s="8" t="s">
        <v>4235</v>
      </c>
      <c r="D32927" s="8">
        <v>15</v>
      </c>
      <c r="E32927" s="8">
        <v>0</v>
      </c>
      <c r="F32927" s="8">
        <v>1119</v>
      </c>
    </row>
    <row r="32928" spans="1:6" ht="12.75">
      <c r="A32928" s="8">
        <v>43889.796226851853</v>
      </c>
      <c r="B32928" s="8" t="str">
        <f>HYPERLINK("https://twitter.com/kkvrindhavan","@kkvrindhavan")</f>
        <v>@kkvrindhavan</v>
      </c>
      <c r="C32928" s="8" t="s">
        <v>10743</v>
      </c>
      <c r="D32928" s="8">
        <v>43</v>
      </c>
      <c r="E32928" s="8">
        <v>0</v>
      </c>
      <c r="F32928" s="8">
        <v>1723</v>
      </c>
    </row>
    <row r="32929" spans="1:6" ht="12.75">
      <c r="A32929" s="8">
        <v>43889.79619212963</v>
      </c>
      <c r="B32929" s="8" t="str">
        <f>HYPERLINK("https://twitter.com/cakra_byuha","@cakra_byuha")</f>
        <v>@cakra_byuha</v>
      </c>
      <c r="C32929" s="8" t="s">
        <v>6836</v>
      </c>
      <c r="D32929" s="8">
        <v>27</v>
      </c>
      <c r="E32929" s="8">
        <v>0</v>
      </c>
      <c r="F32929" s="8">
        <v>357</v>
      </c>
    </row>
    <row r="32930" spans="1:6" ht="12.75">
      <c r="A32930" s="8">
        <v>43889.796122685184</v>
      </c>
      <c r="B32930" s="8" t="str">
        <f>HYPERLINK("https://twitter.com/Metro_TV","@Metro_TV")</f>
        <v>@Metro_TV</v>
      </c>
      <c r="C32930" s="8" t="s">
        <v>12351</v>
      </c>
      <c r="D32930" s="8">
        <v>1</v>
      </c>
      <c r="E32930" s="8">
        <v>1</v>
      </c>
      <c r="F32930" s="8">
        <v>10514403</v>
      </c>
    </row>
    <row r="32931" spans="1:6" ht="12.75">
      <c r="A32931" s="8">
        <v>43889.795833333337</v>
      </c>
      <c r="B32931" s="8" t="str">
        <f>HYPERLINK("https://twitter.com/bknfakboii","@bknfakboii")</f>
        <v>@bknfakboii</v>
      </c>
      <c r="C32931" s="8" t="s">
        <v>10755</v>
      </c>
      <c r="D32931" s="8">
        <v>168</v>
      </c>
      <c r="E32931" s="8">
        <v>0</v>
      </c>
      <c r="F32931" s="8">
        <v>2</v>
      </c>
    </row>
    <row r="32932" spans="1:6" ht="12.75">
      <c r="A32932" s="8">
        <v>43889.795810185184</v>
      </c>
      <c r="B32932" s="8" t="str">
        <f>HYPERLINK("https://twitter.com/jeonggukontop","@jeonggukontop")</f>
        <v>@jeonggukontop</v>
      </c>
      <c r="C32932" s="8" t="s">
        <v>12158</v>
      </c>
      <c r="D32932" s="8">
        <v>6</v>
      </c>
      <c r="E32932" s="8">
        <v>0</v>
      </c>
      <c r="F32932" s="8">
        <v>4347</v>
      </c>
    </row>
    <row r="32933" spans="1:6" ht="12.75">
      <c r="A32933" s="8">
        <v>43889.795763888891</v>
      </c>
      <c r="B32933" s="8" t="str">
        <f>HYPERLINK("https://twitter.com/buhori93","@buhori93")</f>
        <v>@buhori93</v>
      </c>
      <c r="C32933" s="8" t="s">
        <v>4235</v>
      </c>
      <c r="D32933" s="8">
        <v>15</v>
      </c>
      <c r="E32933" s="8">
        <v>0</v>
      </c>
      <c r="F32933" s="8">
        <v>220</v>
      </c>
    </row>
    <row r="32934" spans="1:6" ht="12.75">
      <c r="A32934" s="8">
        <v>43889.795648148152</v>
      </c>
      <c r="B32934" s="8" t="str">
        <f>HYPERLINK("https://twitter.com/gustfh","@gustfh")</f>
        <v>@gustfh</v>
      </c>
      <c r="C32934" s="8" t="s">
        <v>12355</v>
      </c>
      <c r="D32934" s="8">
        <v>0</v>
      </c>
      <c r="E32934" s="8">
        <v>0</v>
      </c>
      <c r="F32934" s="8">
        <v>278</v>
      </c>
    </row>
    <row r="32935" spans="1:6" ht="12.75">
      <c r="A32935" s="8">
        <v>43889.795624999999</v>
      </c>
      <c r="B32935" s="8" t="str">
        <f>HYPERLINK("https://twitter.com/MonitorCOID","@MonitorCOID")</f>
        <v>@MonitorCOID</v>
      </c>
      <c r="C32935" s="8" t="s">
        <v>12356</v>
      </c>
      <c r="D32935" s="8">
        <v>0</v>
      </c>
      <c r="E32935" s="8">
        <v>0</v>
      </c>
      <c r="F32935" s="8">
        <v>2634</v>
      </c>
    </row>
    <row r="32936" spans="1:6" ht="12.75">
      <c r="A32936" s="8">
        <v>43889.795613425929</v>
      </c>
      <c r="B32936" s="8" t="str">
        <f>HYPERLINK("https://twitter.com/iwan02007","@iwan02007")</f>
        <v>@iwan02007</v>
      </c>
      <c r="C32936" s="8" t="s">
        <v>4235</v>
      </c>
      <c r="D32936" s="8">
        <v>15</v>
      </c>
      <c r="E32936" s="8">
        <v>0</v>
      </c>
      <c r="F32936" s="8">
        <v>2026</v>
      </c>
    </row>
    <row r="32937" spans="1:6" ht="12.75">
      <c r="A32937" s="8">
        <v>43889.795497685191</v>
      </c>
      <c r="B32937" s="8" t="str">
        <f t="shared" ref="B32937:B32938" si="454">HYPERLINK("https://twitter.com/RendraTftt","@RendraTftt")</f>
        <v>@RendraTftt</v>
      </c>
      <c r="C32937" s="8" t="s">
        <v>12357</v>
      </c>
      <c r="D32937" s="8">
        <v>0</v>
      </c>
      <c r="E32937" s="8">
        <v>0</v>
      </c>
      <c r="F32937" s="8">
        <v>3</v>
      </c>
    </row>
    <row r="32938" spans="1:6" ht="12.75">
      <c r="A32938" s="8">
        <v>43889.79519675926</v>
      </c>
      <c r="B32938" s="8" t="str">
        <f t="shared" si="454"/>
        <v>@RendraTftt</v>
      </c>
      <c r="C32938" s="8" t="s">
        <v>12358</v>
      </c>
      <c r="D32938" s="8">
        <v>0</v>
      </c>
      <c r="E32938" s="8">
        <v>1</v>
      </c>
      <c r="F32938" s="8">
        <v>3</v>
      </c>
    </row>
    <row r="32939" spans="1:6" ht="12.75">
      <c r="A32939" s="8">
        <v>43889.79515046296</v>
      </c>
      <c r="B32939" s="8" t="str">
        <f>HYPERLINK("https://twitter.com/RinaldiAdrian85","@RinaldiAdrian85")</f>
        <v>@RinaldiAdrian85</v>
      </c>
      <c r="C32939" s="8" t="s">
        <v>10743</v>
      </c>
      <c r="D32939" s="8">
        <v>43</v>
      </c>
      <c r="E32939" s="8">
        <v>0</v>
      </c>
      <c r="F32939" s="8">
        <v>951</v>
      </c>
    </row>
    <row r="32940" spans="1:6" ht="12.75">
      <c r="A32940" s="8">
        <v>43889.794965277775</v>
      </c>
      <c r="B32940" s="8" t="str">
        <f>HYPERLINK("https://twitter.com/RendraTftt","@RendraTftt")</f>
        <v>@RendraTftt</v>
      </c>
      <c r="C32940" s="8" t="s">
        <v>12359</v>
      </c>
      <c r="D32940" s="8">
        <v>0</v>
      </c>
      <c r="E32940" s="8">
        <v>0</v>
      </c>
      <c r="F32940" s="8">
        <v>3</v>
      </c>
    </row>
    <row r="32941" spans="1:6" ht="12.75">
      <c r="A32941" s="8">
        <v>43889.794745370367</v>
      </c>
      <c r="B32941" s="8" t="str">
        <f>HYPERLINK("https://twitter.com/wni_jmsri","@wni_jmsri")</f>
        <v>@wni_jmsri</v>
      </c>
      <c r="C32941" s="8" t="s">
        <v>12360</v>
      </c>
      <c r="D32941" s="8">
        <v>72</v>
      </c>
      <c r="E32941" s="8">
        <v>0</v>
      </c>
      <c r="F32941" s="8">
        <v>200</v>
      </c>
    </row>
    <row r="32942" spans="1:6" ht="12.75">
      <c r="A32942" s="8">
        <v>43889.79414351852</v>
      </c>
      <c r="B32942" s="8" t="str">
        <f>HYPERLINK("https://twitter.com/Metro_TV","@Metro_TV")</f>
        <v>@Metro_TV</v>
      </c>
      <c r="C32942" s="8" t="s">
        <v>12361</v>
      </c>
      <c r="D32942" s="8">
        <v>0</v>
      </c>
      <c r="E32942" s="8">
        <v>1</v>
      </c>
      <c r="F32942" s="8">
        <v>10514403</v>
      </c>
    </row>
    <row r="32943" spans="1:6" ht="12.75">
      <c r="A32943" s="8">
        <v>43889.79409722222</v>
      </c>
      <c r="B32943" s="8" t="str">
        <f>HYPERLINK("https://twitter.com/kjrihkg","@kjrihkg")</f>
        <v>@kjrihkg</v>
      </c>
      <c r="C32943" s="8" t="s">
        <v>9248</v>
      </c>
      <c r="D32943" s="8">
        <v>8</v>
      </c>
      <c r="E32943" s="8">
        <v>0</v>
      </c>
      <c r="F32943" s="8">
        <v>344</v>
      </c>
    </row>
    <row r="32944" spans="1:6" ht="12.75">
      <c r="A32944" s="8">
        <v>43889.794062500005</v>
      </c>
      <c r="B32944" s="8" t="str">
        <f>HYPERLINK("https://twitter.com/padangsariku","@padangsariku")</f>
        <v>@padangsariku</v>
      </c>
      <c r="C32944" s="8" t="s">
        <v>12362</v>
      </c>
      <c r="D32944" s="8">
        <v>9</v>
      </c>
      <c r="E32944" s="8">
        <v>0</v>
      </c>
      <c r="F32944" s="8">
        <v>796</v>
      </c>
    </row>
    <row r="32945" spans="1:6" ht="12.75">
      <c r="A32945" s="8">
        <v>43889.794016203705</v>
      </c>
      <c r="B32945" s="8" t="str">
        <f>HYPERLINK("https://twitter.com/ebithEBITH","@ebithEBITH")</f>
        <v>@ebithEBITH</v>
      </c>
      <c r="C32945" s="8" t="s">
        <v>10755</v>
      </c>
      <c r="D32945" s="8">
        <v>168</v>
      </c>
      <c r="E32945" s="8">
        <v>0</v>
      </c>
      <c r="F32945" s="8">
        <v>29555</v>
      </c>
    </row>
    <row r="32946" spans="1:6" ht="12.75">
      <c r="A32946" s="8">
        <v>43889.793796296297</v>
      </c>
      <c r="B32946" s="8" t="str">
        <f>HYPERLINK("https://twitter.com/Fatih_hoppus","@Fatih_hoppus")</f>
        <v>@Fatih_hoppus</v>
      </c>
      <c r="C32946" s="8" t="s">
        <v>12363</v>
      </c>
      <c r="D32946" s="8">
        <v>0</v>
      </c>
      <c r="E32946" s="8">
        <v>0</v>
      </c>
      <c r="F32946" s="8">
        <v>115</v>
      </c>
    </row>
    <row r="32947" spans="1:6" ht="12.75">
      <c r="A32947" s="8">
        <v>43889.793703703705</v>
      </c>
      <c r="B32947" s="8" t="str">
        <f>HYPERLINK("https://twitter.com/Polsek_Remboken","@Polsek_Remboken")</f>
        <v>@Polsek_Remboken</v>
      </c>
      <c r="C32947" s="8" t="s">
        <v>12286</v>
      </c>
      <c r="D32947" s="8">
        <v>0</v>
      </c>
      <c r="E32947" s="8">
        <v>0</v>
      </c>
      <c r="F32947" s="8">
        <v>0</v>
      </c>
    </row>
    <row r="32948" spans="1:6" ht="12.75">
      <c r="A32948" s="8">
        <v>43889.793506944443</v>
      </c>
      <c r="B32948" s="8" t="str">
        <f>HYPERLINK("https://twitter.com/EsraPalentinaS","@EsraPalentinaS")</f>
        <v>@EsraPalentinaS</v>
      </c>
      <c r="C32948" s="8" t="s">
        <v>11586</v>
      </c>
      <c r="D32948" s="8">
        <v>140</v>
      </c>
      <c r="E32948" s="8">
        <v>0</v>
      </c>
      <c r="F32948" s="8">
        <v>327</v>
      </c>
    </row>
    <row r="32949" spans="1:6" ht="12.75">
      <c r="A32949" s="8">
        <v>43889.793449074074</v>
      </c>
      <c r="B32949" s="8" t="str">
        <f>HYPERLINK("https://twitter.com/rmd_nor","@rmd_nor")</f>
        <v>@rmd_nor</v>
      </c>
      <c r="C32949" s="8" t="s">
        <v>4235</v>
      </c>
      <c r="D32949" s="8">
        <v>15</v>
      </c>
      <c r="E32949" s="8">
        <v>0</v>
      </c>
      <c r="F32949" s="8">
        <v>357</v>
      </c>
    </row>
    <row r="32950" spans="1:6" ht="12.75">
      <c r="A32950" s="8">
        <v>43889.793414351851</v>
      </c>
      <c r="B32950" s="8" t="str">
        <f>HYPERLINK("https://twitter.com/BillTemporo","@BillTemporo")</f>
        <v>@BillTemporo</v>
      </c>
      <c r="C32950" s="8" t="s">
        <v>384</v>
      </c>
      <c r="D32950" s="8">
        <v>0</v>
      </c>
      <c r="E32950" s="8">
        <v>0</v>
      </c>
      <c r="F32950" s="8">
        <v>11</v>
      </c>
    </row>
    <row r="32951" spans="1:6" ht="12.75">
      <c r="A32951" s="8">
        <v>43889.793402777781</v>
      </c>
      <c r="B32951" s="8" t="str">
        <f>HYPERLINK("https://twitter.com/AWAKEALERT","@AWAKEALERT")</f>
        <v>@AWAKEALERT</v>
      </c>
      <c r="C32951" s="8" t="s">
        <v>12364</v>
      </c>
      <c r="D32951" s="8">
        <v>0</v>
      </c>
      <c r="E32951" s="8">
        <v>0</v>
      </c>
      <c r="F32951" s="8">
        <v>25580</v>
      </c>
    </row>
    <row r="32952" spans="1:6" ht="12.75">
      <c r="A32952" s="8">
        <v>43889.793368055558</v>
      </c>
      <c r="B32952" s="8" t="str">
        <f>HYPERLINK("https://twitter.com/DedehKu95290849","@DedehKu95290849")</f>
        <v>@DedehKu95290849</v>
      </c>
      <c r="C32952" s="8" t="s">
        <v>10743</v>
      </c>
      <c r="D32952" s="8">
        <v>43</v>
      </c>
      <c r="E32952" s="8">
        <v>0</v>
      </c>
      <c r="F32952" s="8">
        <v>421</v>
      </c>
    </row>
    <row r="32953" spans="1:6" ht="12.75">
      <c r="A32953" s="8">
        <v>43889.793333333335</v>
      </c>
      <c r="B32953" s="8" t="str">
        <f>HYPERLINK("https://twitter.com/PardomuanSaroha","@PardomuanSaroha")</f>
        <v>@PardomuanSaroha</v>
      </c>
      <c r="C32953" s="8" t="s">
        <v>9768</v>
      </c>
      <c r="D32953" s="8">
        <v>48</v>
      </c>
      <c r="E32953" s="8">
        <v>0</v>
      </c>
      <c r="F32953" s="8">
        <v>422</v>
      </c>
    </row>
    <row r="32954" spans="1:6" ht="12.75">
      <c r="A32954" s="8">
        <v>43889.793252314819</v>
      </c>
      <c r="B32954" s="8" t="str">
        <f>HYPERLINK("https://twitter.com/ahmadsusena","@ahmadsusena")</f>
        <v>@ahmadsusena</v>
      </c>
      <c r="C32954" s="8" t="s">
        <v>6490</v>
      </c>
      <c r="D32954" s="8">
        <v>46</v>
      </c>
      <c r="E32954" s="8">
        <v>0</v>
      </c>
      <c r="F32954" s="8">
        <v>135</v>
      </c>
    </row>
    <row r="32955" spans="1:6" ht="12.75">
      <c r="A32955" s="8">
        <v>43889.793229166666</v>
      </c>
      <c r="B32955" s="8" t="str">
        <f>HYPERLINK("https://twitter.com/erroyh","@erroyh")</f>
        <v>@erroyh</v>
      </c>
      <c r="C32955" s="8" t="s">
        <v>12365</v>
      </c>
      <c r="D32955" s="8">
        <v>28</v>
      </c>
      <c r="E32955" s="8">
        <v>0</v>
      </c>
      <c r="F32955" s="8">
        <v>1294</v>
      </c>
    </row>
    <row r="32956" spans="1:6" ht="12.75">
      <c r="A32956" s="8">
        <v>43889.792604166665</v>
      </c>
      <c r="B32956" s="8" t="str">
        <f>HYPERLINK("https://twitter.com/SeptiOrizal","@SeptiOrizal")</f>
        <v>@SeptiOrizal</v>
      </c>
      <c r="C32956" s="8" t="s">
        <v>11701</v>
      </c>
      <c r="D32956" s="8">
        <v>31</v>
      </c>
      <c r="E32956" s="8">
        <v>0</v>
      </c>
      <c r="F32956" s="8">
        <v>1115</v>
      </c>
    </row>
    <row r="32957" spans="1:6" ht="12.75">
      <c r="A32957" s="8">
        <v>43889.792523148149</v>
      </c>
      <c r="B32957" s="8" t="str">
        <f>HYPERLINK("https://twitter.com/Zahrah40291660","@Zahrah40291660")</f>
        <v>@Zahrah40291660</v>
      </c>
      <c r="C32957" s="8" t="s">
        <v>4235</v>
      </c>
      <c r="D32957" s="8">
        <v>15</v>
      </c>
      <c r="E32957" s="8">
        <v>0</v>
      </c>
      <c r="F32957" s="8">
        <v>1598</v>
      </c>
    </row>
    <row r="32958" spans="1:6" ht="12.75">
      <c r="A32958" s="8">
        <v>43889.792430555557</v>
      </c>
      <c r="B32958" s="8" t="str">
        <f>HYPERLINK("https://twitter.com/LutPolsek","@LutPolsek")</f>
        <v>@LutPolsek</v>
      </c>
      <c r="C32958" s="8" t="s">
        <v>12276</v>
      </c>
      <c r="D32958" s="8">
        <v>0</v>
      </c>
      <c r="E32958" s="8">
        <v>0</v>
      </c>
      <c r="F32958" s="8">
        <v>0</v>
      </c>
    </row>
    <row r="32959" spans="1:6" ht="12.75">
      <c r="A32959" s="8">
        <v>43889.792314814811</v>
      </c>
      <c r="B32959" s="8" t="str">
        <f>HYPERLINK("https://twitter.com/la1laha1llallah","@la1laha1llallah")</f>
        <v>@la1laha1llallah</v>
      </c>
      <c r="C32959" s="8" t="s">
        <v>12366</v>
      </c>
      <c r="D32959" s="8">
        <v>0</v>
      </c>
      <c r="E32959" s="8">
        <v>0</v>
      </c>
      <c r="F32959" s="8">
        <v>4011</v>
      </c>
    </row>
    <row r="32960" spans="1:6" ht="12.75">
      <c r="A32960" s="8">
        <v>43889.792303240742</v>
      </c>
      <c r="B32960" s="8" t="str">
        <f>HYPERLINK("https://twitter.com/agitcandra56","@agitcandra56")</f>
        <v>@agitcandra56</v>
      </c>
      <c r="C32960" s="8" t="s">
        <v>3467</v>
      </c>
      <c r="D32960" s="8">
        <v>196</v>
      </c>
      <c r="E32960" s="8">
        <v>0</v>
      </c>
      <c r="F32960" s="8">
        <v>1028</v>
      </c>
    </row>
    <row r="32961" spans="1:6" ht="12.75">
      <c r="A32961" s="8">
        <v>43889.792268518519</v>
      </c>
      <c r="B32961" s="8" t="str">
        <f>HYPERLINK("https://twitter.com/zupryzaenal","@zupryzaenal")</f>
        <v>@zupryzaenal</v>
      </c>
      <c r="C32961" s="8" t="s">
        <v>8321</v>
      </c>
      <c r="D32961" s="8">
        <v>18</v>
      </c>
      <c r="E32961" s="8">
        <v>0</v>
      </c>
      <c r="F32961" s="8">
        <v>855</v>
      </c>
    </row>
    <row r="32962" spans="1:6" ht="12.75">
      <c r="A32962" s="8">
        <v>43889.792268518519</v>
      </c>
      <c r="B32962" s="8" t="str">
        <f>HYPERLINK("https://twitter.com/ahmdlatif_","@ahmdlatif_")</f>
        <v>@ahmdlatif_</v>
      </c>
      <c r="C32962" s="8" t="s">
        <v>12367</v>
      </c>
      <c r="D32962" s="8">
        <v>1</v>
      </c>
      <c r="E32962" s="8">
        <v>0</v>
      </c>
      <c r="F32962" s="8">
        <v>80</v>
      </c>
    </row>
    <row r="32963" spans="1:6" ht="12.75">
      <c r="A32963" s="8">
        <v>43889.792164351849</v>
      </c>
      <c r="B32963" s="8" t="str">
        <f>HYPERLINK("https://twitter.com/msyhronii","@msyhronii")</f>
        <v>@msyhronii</v>
      </c>
      <c r="C32963" s="8" t="s">
        <v>12368</v>
      </c>
      <c r="D32963" s="8">
        <v>0</v>
      </c>
      <c r="E32963" s="8">
        <v>0</v>
      </c>
      <c r="F32963" s="8">
        <v>181</v>
      </c>
    </row>
    <row r="32964" spans="1:6" ht="12.75">
      <c r="A32964" s="8">
        <v>43889.791851851856</v>
      </c>
      <c r="B32964" s="8" t="str">
        <f>HYPERLINK("https://twitter.com/SebatangWan","@SebatangWan")</f>
        <v>@SebatangWan</v>
      </c>
      <c r="C32964" s="8" t="s">
        <v>11102</v>
      </c>
      <c r="D32964" s="8">
        <v>402</v>
      </c>
      <c r="E32964" s="8">
        <v>0</v>
      </c>
      <c r="F32964" s="8">
        <v>65</v>
      </c>
    </row>
    <row r="32965" spans="1:6" ht="12.75">
      <c r="A32965" s="8">
        <v>43889.79184027778</v>
      </c>
      <c r="B32965" s="8" t="str">
        <f>HYPERLINK("https://twitter.com/BimaAgil","@BimaAgil")</f>
        <v>@BimaAgil</v>
      </c>
      <c r="C32965" s="8" t="s">
        <v>10755</v>
      </c>
      <c r="D32965" s="8">
        <v>168</v>
      </c>
      <c r="E32965" s="8">
        <v>0</v>
      </c>
      <c r="F32965" s="8">
        <v>1783</v>
      </c>
    </row>
    <row r="32966" spans="1:6" ht="12.75">
      <c r="A32966" s="8">
        <v>43889.791712962964</v>
      </c>
      <c r="B32966" s="8" t="str">
        <f>HYPERLINK("https://twitter.com/lailyhyuns","@lailyhyuns")</f>
        <v>@lailyhyuns</v>
      </c>
      <c r="C32966" s="8" t="s">
        <v>10721</v>
      </c>
      <c r="D32966" s="8">
        <v>119</v>
      </c>
      <c r="E32966" s="8">
        <v>0</v>
      </c>
      <c r="F32966" s="8">
        <v>555</v>
      </c>
    </row>
    <row r="32967" spans="1:6" ht="12.75">
      <c r="A32967" s="8">
        <v>43889.791701388887</v>
      </c>
      <c r="B32967" s="8" t="str">
        <f>HYPERLINK("https://twitter.com/ganjarys","@ganjarys")</f>
        <v>@ganjarys</v>
      </c>
      <c r="C32967" s="8" t="s">
        <v>10755</v>
      </c>
      <c r="D32967" s="8">
        <v>168</v>
      </c>
      <c r="E32967" s="8">
        <v>0</v>
      </c>
      <c r="F32967" s="8">
        <v>196</v>
      </c>
    </row>
    <row r="32968" spans="1:6" ht="12.75">
      <c r="A32968" s="8">
        <v>43889.791666666672</v>
      </c>
      <c r="B32968" s="8" t="str">
        <f>HYPERLINK("https://twitter.com/SiJombloKreatif","@SiJombloKreatif")</f>
        <v>@SiJombloKreatif</v>
      </c>
      <c r="C32968" s="8" t="s">
        <v>12369</v>
      </c>
      <c r="D32968" s="8">
        <v>0</v>
      </c>
      <c r="E32968" s="8">
        <v>0</v>
      </c>
      <c r="F32968" s="8">
        <v>121647</v>
      </c>
    </row>
    <row r="32969" spans="1:6" ht="12.75">
      <c r="A32969" s="8">
        <v>43889.791562500002</v>
      </c>
      <c r="B32969" s="8" t="str">
        <f>HYPERLINK("https://twitter.com/Afrizal____","@Afrizal____")</f>
        <v>@Afrizal____</v>
      </c>
      <c r="C32969" s="8" t="s">
        <v>12370</v>
      </c>
      <c r="D32969" s="8">
        <v>0</v>
      </c>
      <c r="E32969" s="8">
        <v>0</v>
      </c>
      <c r="F32969" s="8">
        <v>9</v>
      </c>
    </row>
    <row r="32970" spans="1:6" ht="12.75">
      <c r="A32970" s="8">
        <v>43889.791562500002</v>
      </c>
      <c r="B32970" s="8" t="str">
        <f>HYPERLINK("https://twitter.com/endanghidayat","@endanghidayat")</f>
        <v>@endanghidayat</v>
      </c>
      <c r="C32970" s="8" t="s">
        <v>4235</v>
      </c>
      <c r="D32970" s="8">
        <v>15</v>
      </c>
      <c r="E32970" s="8">
        <v>0</v>
      </c>
      <c r="F32970" s="8">
        <v>636</v>
      </c>
    </row>
    <row r="32971" spans="1:6" ht="12.75">
      <c r="A32971" s="8">
        <v>43889.791493055556</v>
      </c>
      <c r="B32971" s="8" t="str">
        <f>HYPERLINK("https://twitter.com/EsensiBicara","@EsensiBicara")</f>
        <v>@EsensiBicara</v>
      </c>
      <c r="C32971" s="8" t="s">
        <v>12371</v>
      </c>
      <c r="D32971" s="8">
        <v>0</v>
      </c>
      <c r="E32971" s="8">
        <v>0</v>
      </c>
      <c r="F32971" s="8">
        <v>12</v>
      </c>
    </row>
    <row r="32972" spans="1:6" ht="12.75">
      <c r="A32972" s="8">
        <v>43889.791377314818</v>
      </c>
      <c r="B32972" s="8" t="str">
        <f>HYPERLINK("https://twitter.com/jodi1618","@jodi1618")</f>
        <v>@jodi1618</v>
      </c>
      <c r="C32972" s="8" t="s">
        <v>12065</v>
      </c>
      <c r="D32972" s="8">
        <v>54</v>
      </c>
      <c r="E32972" s="8">
        <v>0</v>
      </c>
      <c r="F32972" s="8">
        <v>997</v>
      </c>
    </row>
    <row r="32973" spans="1:6" ht="12.75">
      <c r="A32973" s="8">
        <v>43889.791319444441</v>
      </c>
      <c r="B32973" s="8" t="str">
        <f>HYPERLINK("https://twitter.com/DeanHareethhh","@DeanHareethhh")</f>
        <v>@DeanHareethhh</v>
      </c>
      <c r="C32973" s="8" t="s">
        <v>11102</v>
      </c>
      <c r="D32973" s="8">
        <v>402</v>
      </c>
      <c r="E32973" s="8">
        <v>0</v>
      </c>
      <c r="F32973" s="8">
        <v>142</v>
      </c>
    </row>
    <row r="32974" spans="1:6" ht="12.75">
      <c r="A32974" s="8">
        <v>43889.791307870371</v>
      </c>
      <c r="B32974" s="8" t="str">
        <f>HYPERLINK("https://twitter.com/blangkonkotak","@blangkonkotak")</f>
        <v>@blangkonkotak</v>
      </c>
      <c r="C32974" s="8" t="s">
        <v>12073</v>
      </c>
      <c r="D32974" s="8">
        <v>51</v>
      </c>
      <c r="E32974" s="8">
        <v>0</v>
      </c>
      <c r="F32974" s="8">
        <v>107</v>
      </c>
    </row>
    <row r="32975" spans="1:6" ht="12.75">
      <c r="A32975" s="8">
        <v>43889.791284722218</v>
      </c>
      <c r="B32975" s="8" t="str">
        <f>HYPERLINK("https://twitter.com/TeguhCandi","@TeguhCandi")</f>
        <v>@TeguhCandi</v>
      </c>
      <c r="C32975" s="8" t="s">
        <v>12372</v>
      </c>
      <c r="D32975" s="8">
        <v>0</v>
      </c>
      <c r="E32975" s="8">
        <v>0</v>
      </c>
      <c r="F32975" s="8">
        <v>0</v>
      </c>
    </row>
    <row r="32976" spans="1:6" ht="12.75">
      <c r="A32976" s="8">
        <v>43889.791030092594</v>
      </c>
      <c r="B32976" s="8" t="str">
        <f>HYPERLINK("https://twitter.com/miedayu","@miedayu")</f>
        <v>@miedayu</v>
      </c>
      <c r="C32976" s="8" t="s">
        <v>12373</v>
      </c>
      <c r="D32976" s="8">
        <v>42</v>
      </c>
      <c r="E32976" s="8">
        <v>0</v>
      </c>
      <c r="F32976" s="8">
        <v>1836</v>
      </c>
    </row>
    <row r="32977" spans="1:6" ht="12.75">
      <c r="A32977" s="8">
        <v>43889.790972222225</v>
      </c>
      <c r="B32977" s="8" t="str">
        <f>HYPERLINK("https://twitter.com/SiJombloKreatif","@SiJombloKreatif")</f>
        <v>@SiJombloKreatif</v>
      </c>
      <c r="C32977" s="8" t="s">
        <v>12374</v>
      </c>
      <c r="D32977" s="8">
        <v>0</v>
      </c>
      <c r="E32977" s="8">
        <v>0</v>
      </c>
      <c r="F32977" s="8">
        <v>121647</v>
      </c>
    </row>
    <row r="32978" spans="1:6" ht="12.75">
      <c r="A32978" s="8">
        <v>43889.790972222225</v>
      </c>
      <c r="B32978" s="8" t="str">
        <f>HYPERLINK("https://twitter.com/erika_sugandi","@erika_sugandi")</f>
        <v>@erika_sugandi</v>
      </c>
      <c r="C32978" s="8" t="s">
        <v>12375</v>
      </c>
      <c r="D32978" s="8">
        <v>0</v>
      </c>
      <c r="E32978" s="8">
        <v>0</v>
      </c>
      <c r="F32978" s="8">
        <v>18</v>
      </c>
    </row>
    <row r="32979" spans="1:6" ht="12.75">
      <c r="A32979" s="8">
        <v>43889.790752314817</v>
      </c>
      <c r="B32979" s="8" t="str">
        <f>HYPERLINK("https://twitter.com/endahse05","@endahse05")</f>
        <v>@endahse05</v>
      </c>
      <c r="C32979" s="8" t="s">
        <v>12052</v>
      </c>
      <c r="D32979" s="8">
        <v>116</v>
      </c>
      <c r="E32979" s="8">
        <v>0</v>
      </c>
      <c r="F32979" s="8">
        <v>185</v>
      </c>
    </row>
    <row r="32980" spans="1:6" ht="12.75">
      <c r="A32980" s="8">
        <v>43889.790682870371</v>
      </c>
      <c r="B32980" s="8" t="str">
        <f>HYPERLINK("https://twitter.com/Santoso_W83","@Santoso_W83")</f>
        <v>@Santoso_W83</v>
      </c>
      <c r="C32980" s="8" t="s">
        <v>9768</v>
      </c>
      <c r="D32980" s="8">
        <v>48</v>
      </c>
      <c r="E32980" s="8">
        <v>0</v>
      </c>
      <c r="F32980" s="8">
        <v>254</v>
      </c>
    </row>
    <row r="32981" spans="1:6" ht="12.75">
      <c r="A32981" s="8">
        <v>43889.790682870371</v>
      </c>
      <c r="B32981" s="8" t="str">
        <f>HYPERLINK("https://twitter.com/lulu_fery","@lulu_fery")</f>
        <v>@lulu_fery</v>
      </c>
      <c r="C32981" s="8" t="s">
        <v>10755</v>
      </c>
      <c r="D32981" s="8">
        <v>168</v>
      </c>
      <c r="E32981" s="8">
        <v>0</v>
      </c>
      <c r="F32981" s="8">
        <v>238</v>
      </c>
    </row>
    <row r="32982" spans="1:6" ht="12.75">
      <c r="A32982" s="8">
        <v>43889.790648148148</v>
      </c>
      <c r="B32982" s="8" t="str">
        <f>HYPERLINK("https://twitter.com/efpepe96","@efpepe96")</f>
        <v>@efpepe96</v>
      </c>
      <c r="C32982" s="8" t="s">
        <v>12376</v>
      </c>
      <c r="D32982" s="8">
        <v>2</v>
      </c>
      <c r="E32982" s="8">
        <v>0</v>
      </c>
      <c r="F32982" s="8">
        <v>89</v>
      </c>
    </row>
    <row r="32983" spans="1:6" ht="12.75">
      <c r="A32983" s="8">
        <v>43889.790636574078</v>
      </c>
      <c r="B32983" s="8" t="str">
        <f>HYPERLINK("https://twitter.com/Wrp73RM","@Wrp73RM")</f>
        <v>@Wrp73RM</v>
      </c>
      <c r="C32983" s="8" t="s">
        <v>12377</v>
      </c>
      <c r="D32983" s="8">
        <v>3</v>
      </c>
      <c r="E32983" s="8">
        <v>0</v>
      </c>
      <c r="F32983" s="8">
        <v>722</v>
      </c>
    </row>
    <row r="32984" spans="1:6" ht="12.75">
      <c r="A32984" s="8">
        <v>43889.790509259255</v>
      </c>
      <c r="B32984" s="8" t="str">
        <f>HYPERLINK("https://twitter.com/PuncakFitnah","@PuncakFitnah")</f>
        <v>@PuncakFitnah</v>
      </c>
      <c r="C32984" s="8" t="s">
        <v>4235</v>
      </c>
      <c r="D32984" s="8">
        <v>15</v>
      </c>
      <c r="E32984" s="8">
        <v>0</v>
      </c>
      <c r="F32984" s="8">
        <v>913</v>
      </c>
    </row>
    <row r="32985" spans="1:6" ht="12.75">
      <c r="A32985" s="8">
        <v>43889.79042824074</v>
      </c>
      <c r="B32985" s="8" t="str">
        <f>HYPERLINK("https://twitter.com/marpaung913","@marpaung913")</f>
        <v>@marpaung913</v>
      </c>
      <c r="C32985" s="8" t="s">
        <v>12378</v>
      </c>
      <c r="D32985" s="8">
        <v>0</v>
      </c>
      <c r="E32985" s="8">
        <v>0</v>
      </c>
      <c r="F32985" s="8">
        <v>538</v>
      </c>
    </row>
    <row r="32986" spans="1:6" ht="12.75">
      <c r="A32986" s="8">
        <v>43889.790104166663</v>
      </c>
      <c r="B32986" s="8" t="str">
        <f>HYPERLINK("https://twitter.com/Polsek_Remboken","@Polsek_Remboken")</f>
        <v>@Polsek_Remboken</v>
      </c>
      <c r="C32986" s="8" t="s">
        <v>12289</v>
      </c>
      <c r="D32986" s="8">
        <v>0</v>
      </c>
      <c r="E32986" s="8">
        <v>0</v>
      </c>
      <c r="F32986" s="8">
        <v>0</v>
      </c>
    </row>
    <row r="32987" spans="1:6" ht="12.75">
      <c r="A32987" s="8">
        <v>43889.789953703701</v>
      </c>
      <c r="B32987" s="8" t="str">
        <f>HYPERLINK("https://twitter.com/LutPolsek","@LutPolsek")</f>
        <v>@LutPolsek</v>
      </c>
      <c r="C32987" s="8" t="s">
        <v>12379</v>
      </c>
      <c r="D32987" s="8">
        <v>0</v>
      </c>
      <c r="E32987" s="8">
        <v>0</v>
      </c>
      <c r="F32987" s="8">
        <v>0</v>
      </c>
    </row>
    <row r="32988" spans="1:6" ht="12.75">
      <c r="A32988" s="8">
        <v>43889.789583333331</v>
      </c>
      <c r="B32988" s="8" t="str">
        <f>HYPERLINK("https://twitter.com/nandatslnk","@nandatslnk")</f>
        <v>@nandatslnk</v>
      </c>
      <c r="C32988" s="8" t="s">
        <v>12375</v>
      </c>
      <c r="D32988" s="8">
        <v>0</v>
      </c>
      <c r="E32988" s="8">
        <v>0</v>
      </c>
      <c r="F32988" s="8">
        <v>3</v>
      </c>
    </row>
    <row r="32989" spans="1:6" ht="12.75">
      <c r="A32989" s="8">
        <v>43889.789571759262</v>
      </c>
      <c r="B32989" s="8" t="str">
        <f>HYPERLINK("https://twitter.com/JohnIrwan4","@JohnIrwan4")</f>
        <v>@JohnIrwan4</v>
      </c>
      <c r="C32989" s="8" t="s">
        <v>12380</v>
      </c>
      <c r="D32989" s="8">
        <v>2</v>
      </c>
      <c r="E32989" s="8">
        <v>0</v>
      </c>
      <c r="F32989" s="8">
        <v>2562</v>
      </c>
    </row>
    <row r="32990" spans="1:6" ht="12.75">
      <c r="A32990" s="8">
        <v>43889.789178240739</v>
      </c>
      <c r="B32990" s="8" t="str">
        <f>HYPERLINK("https://twitter.com/68Afz","@68Afz")</f>
        <v>@68Afz</v>
      </c>
      <c r="C32990" s="8" t="s">
        <v>4235</v>
      </c>
      <c r="D32990" s="8">
        <v>15</v>
      </c>
      <c r="E32990" s="8">
        <v>0</v>
      </c>
      <c r="F32990" s="8">
        <v>1067</v>
      </c>
    </row>
    <row r="32991" spans="1:6" ht="12.75">
      <c r="A32991" s="8">
        <v>43889.789108796293</v>
      </c>
      <c r="B32991" s="8" t="str">
        <f>HYPERLINK("https://twitter.com/zahraamnaa","@zahraamnaa")</f>
        <v>@zahraamnaa</v>
      </c>
      <c r="C32991" s="8" t="s">
        <v>12376</v>
      </c>
      <c r="D32991" s="8">
        <v>2</v>
      </c>
      <c r="E32991" s="8">
        <v>0</v>
      </c>
      <c r="F32991" s="8">
        <v>491</v>
      </c>
    </row>
    <row r="32992" spans="1:6" ht="12.75">
      <c r="A32992" s="8">
        <v>43889.789097222223</v>
      </c>
      <c r="B32992" s="8" t="str">
        <f>HYPERLINK("https://twitter.com/Berita7dotid","@Berita7dotid")</f>
        <v>@Berita7dotid</v>
      </c>
      <c r="C32992" s="8" t="s">
        <v>12381</v>
      </c>
      <c r="D32992" s="8">
        <v>0</v>
      </c>
      <c r="E32992" s="8">
        <v>0</v>
      </c>
      <c r="F32992" s="8">
        <v>2557</v>
      </c>
    </row>
    <row r="32993" spans="1:6" ht="12.75">
      <c r="A32993" s="8">
        <v>43889.788819444446</v>
      </c>
      <c r="B32993" s="8" t="str">
        <f>HYPERLINK("https://twitter.com/ediedot108","@ediedot108")</f>
        <v>@ediedot108</v>
      </c>
      <c r="C32993" s="8" t="s">
        <v>12382</v>
      </c>
      <c r="D32993" s="8">
        <v>0</v>
      </c>
      <c r="E32993" s="8">
        <v>0</v>
      </c>
      <c r="F32993" s="8">
        <v>2264</v>
      </c>
    </row>
    <row r="32994" spans="1:6" ht="12.75">
      <c r="A32994" s="8">
        <v>43889.788611111115</v>
      </c>
      <c r="B32994" s="8" t="str">
        <f>HYPERLINK("https://twitter.com/SusantiMugi","@SusantiMugi")</f>
        <v>@SusantiMugi</v>
      </c>
      <c r="C32994" s="8" t="s">
        <v>12158</v>
      </c>
      <c r="D32994" s="8">
        <v>6</v>
      </c>
      <c r="E32994" s="8">
        <v>0</v>
      </c>
      <c r="F32994" s="8">
        <v>177</v>
      </c>
    </row>
    <row r="32995" spans="1:6" ht="12.75">
      <c r="A32995" s="8">
        <v>43889.788599537038</v>
      </c>
      <c r="B32995" s="8" t="str">
        <f>HYPERLINK("https://twitter.com/nengtoyibb","@nengtoyibb")</f>
        <v>@nengtoyibb</v>
      </c>
      <c r="C32995" s="8" t="s">
        <v>10755</v>
      </c>
      <c r="D32995" s="8">
        <v>168</v>
      </c>
      <c r="E32995" s="8">
        <v>0</v>
      </c>
      <c r="F32995" s="8">
        <v>931</v>
      </c>
    </row>
    <row r="32996" spans="1:6" ht="12.75">
      <c r="A32996" s="8">
        <v>43889.788564814815</v>
      </c>
      <c r="B32996" s="8" t="str">
        <f>HYPERLINK("https://twitter.com/LutPolsek","@LutPolsek")</f>
        <v>@LutPolsek</v>
      </c>
      <c r="C32996" s="8" t="s">
        <v>12383</v>
      </c>
      <c r="D32996" s="8">
        <v>0</v>
      </c>
      <c r="E32996" s="8">
        <v>0</v>
      </c>
      <c r="F32996" s="8">
        <v>0</v>
      </c>
    </row>
    <row r="32997" spans="1:6" ht="12.75">
      <c r="A32997" s="8">
        <v>43889.788530092592</v>
      </c>
      <c r="B32997" s="8" t="str">
        <f>HYPERLINK("https://twitter.com/Among79","@Among79")</f>
        <v>@Among79</v>
      </c>
      <c r="C32997" s="8" t="s">
        <v>12125</v>
      </c>
      <c r="D32997" s="8">
        <v>54</v>
      </c>
      <c r="E32997" s="8">
        <v>0</v>
      </c>
      <c r="F32997" s="8">
        <v>398</v>
      </c>
    </row>
    <row r="32998" spans="1:6" ht="12.75">
      <c r="A32998" s="8">
        <v>43889.788506944446</v>
      </c>
      <c r="B32998" s="8" t="str">
        <f>HYPERLINK("https://twitter.com/RadioElshinta","@RadioElshinta")</f>
        <v>@RadioElshinta</v>
      </c>
      <c r="C32998" s="8" t="s">
        <v>12384</v>
      </c>
      <c r="D32998" s="8">
        <v>0</v>
      </c>
      <c r="E32998" s="8">
        <v>3</v>
      </c>
      <c r="F32998" s="8">
        <v>3635827</v>
      </c>
    </row>
    <row r="32999" spans="1:6" ht="12.75">
      <c r="A32999" s="8">
        <v>43889.788506944446</v>
      </c>
      <c r="B32999" s="8" t="str">
        <f>HYPERLINK("https://twitter.com/Polsek_Remboken","@Polsek_Remboken")</f>
        <v>@Polsek_Remboken</v>
      </c>
      <c r="C32999" s="8" t="s">
        <v>12291</v>
      </c>
      <c r="D32999" s="8">
        <v>1</v>
      </c>
      <c r="E32999" s="8">
        <v>0</v>
      </c>
      <c r="F32999" s="8">
        <v>0</v>
      </c>
    </row>
    <row r="33000" spans="1:6" ht="12.75">
      <c r="A33000" s="8">
        <v>43889.788460648153</v>
      </c>
      <c r="B33000" s="8" t="str">
        <f>HYPERLINK("https://twitter.com/CNNIDdaily","@CNNIDdaily")</f>
        <v>@CNNIDdaily</v>
      </c>
      <c r="C33000" s="8" t="s">
        <v>12385</v>
      </c>
      <c r="D33000" s="8">
        <v>2</v>
      </c>
      <c r="E33000" s="8">
        <v>2</v>
      </c>
      <c r="F33000" s="8">
        <v>119701</v>
      </c>
    </row>
    <row r="33001" spans="1:6" ht="12.75">
      <c r="A33001" s="8">
        <v>43889.78837962963</v>
      </c>
      <c r="B33001" s="8" t="str">
        <f>HYPERLINK("https://twitter.com/AsyrafHarith","@AsyrafHarith")</f>
        <v>@AsyrafHarith</v>
      </c>
      <c r="C33001" s="8" t="s">
        <v>11102</v>
      </c>
      <c r="D33001" s="8">
        <v>402</v>
      </c>
      <c r="E33001" s="8">
        <v>0</v>
      </c>
      <c r="F33001" s="8">
        <v>449</v>
      </c>
    </row>
    <row r="33002" spans="1:6" ht="12.75">
      <c r="A33002" s="8">
        <v>43889.788240740745</v>
      </c>
      <c r="B33002" s="8" t="str">
        <f>HYPERLINK("https://twitter.com/KATADATAcoid","@KATADATAcoid")</f>
        <v>@KATADATAcoid</v>
      </c>
      <c r="C33002" s="8" t="s">
        <v>12386</v>
      </c>
      <c r="D33002" s="8">
        <v>2</v>
      </c>
      <c r="E33002" s="8">
        <v>1</v>
      </c>
      <c r="F33002" s="8">
        <v>41518</v>
      </c>
    </row>
    <row r="33003" spans="1:6" ht="12.75">
      <c r="A33003" s="8">
        <v>43889.788240740745</v>
      </c>
      <c r="B33003" s="8" t="str">
        <f>HYPERLINK("https://twitter.com/aidanunun","@aidanunun")</f>
        <v>@aidanunun</v>
      </c>
      <c r="C33003" s="8" t="s">
        <v>10755</v>
      </c>
      <c r="D33003" s="8">
        <v>168</v>
      </c>
      <c r="E33003" s="8">
        <v>0</v>
      </c>
      <c r="F33003" s="8">
        <v>381</v>
      </c>
    </row>
    <row r="33004" spans="1:6" ht="12.75">
      <c r="A33004" s="8">
        <v>43889.756724537037</v>
      </c>
      <c r="B33004" s="8" t="str">
        <f>HYPERLINK("https://twitter.com/sudjatmiko_seto","@sudjatmiko_seto")</f>
        <v>@sudjatmiko_seto</v>
      </c>
      <c r="C33004" s="8" t="s">
        <v>12387</v>
      </c>
      <c r="D33004" s="8">
        <v>5</v>
      </c>
      <c r="E33004" s="8">
        <v>0</v>
      </c>
      <c r="F33004" s="8">
        <v>792</v>
      </c>
    </row>
    <row r="33005" spans="1:6" ht="12.75">
      <c r="A33005" s="8">
        <v>43889.756631944445</v>
      </c>
      <c r="B33005" s="8" t="str">
        <f>HYPERLINK("https://twitter.com/Polsek_Remboken","@Polsek_Remboken")</f>
        <v>@Polsek_Remboken</v>
      </c>
      <c r="C33005" s="8" t="s">
        <v>12388</v>
      </c>
      <c r="D33005" s="8">
        <v>0</v>
      </c>
      <c r="E33005" s="8">
        <v>0</v>
      </c>
      <c r="F33005" s="8">
        <v>0</v>
      </c>
    </row>
    <row r="33006" spans="1:6" ht="12.75">
      <c r="A33006" s="8">
        <v>43889.756620370375</v>
      </c>
      <c r="B33006" s="8" t="str">
        <f>HYPERLINK("https://twitter.com/VIVAcoid","@VIVAcoid")</f>
        <v>@VIVAcoid</v>
      </c>
      <c r="C33006" s="8" t="s">
        <v>12389</v>
      </c>
      <c r="D33006" s="8">
        <v>1</v>
      </c>
      <c r="E33006" s="8">
        <v>0</v>
      </c>
      <c r="F33006" s="8">
        <v>4173222</v>
      </c>
    </row>
    <row r="33007" spans="1:6" ht="12.75">
      <c r="A33007" s="8">
        <v>43889.756504629629</v>
      </c>
      <c r="B33007" s="8" t="str">
        <f>HYPERLINK("https://twitter.com/waitingE_XIU_O","@waitingE_XIU_O")</f>
        <v>@waitingE_XIU_O</v>
      </c>
      <c r="C33007" s="8" t="s">
        <v>12390</v>
      </c>
      <c r="D33007" s="8">
        <v>8</v>
      </c>
      <c r="E33007" s="8">
        <v>0</v>
      </c>
      <c r="F33007" s="8">
        <v>2089</v>
      </c>
    </row>
    <row r="33008" spans="1:6" ht="12.75">
      <c r="A33008" s="8">
        <v>43889.756388888884</v>
      </c>
      <c r="B33008" s="8" t="str">
        <f>HYPERLINK("https://twitter.com/Bigbacot","@Bigbacot")</f>
        <v>@Bigbacot</v>
      </c>
      <c r="C33008" s="8" t="s">
        <v>12391</v>
      </c>
      <c r="D33008" s="8">
        <v>0</v>
      </c>
      <c r="E33008" s="8">
        <v>0</v>
      </c>
      <c r="F33008" s="8">
        <v>376</v>
      </c>
    </row>
    <row r="33009" spans="1:6" ht="12.75">
      <c r="A33009" s="8">
        <v>43889.756331018521</v>
      </c>
      <c r="B33009" s="8" t="str">
        <f>HYPERLINK("https://twitter.com/vivanewscom","@vivanewscom")</f>
        <v>@vivanewscom</v>
      </c>
      <c r="C33009" s="8" t="s">
        <v>12392</v>
      </c>
      <c r="D33009" s="8">
        <v>1</v>
      </c>
      <c r="E33009" s="8">
        <v>0</v>
      </c>
      <c r="F33009" s="8">
        <v>4515</v>
      </c>
    </row>
    <row r="33010" spans="1:6" ht="12.75">
      <c r="A33010" s="8">
        <v>43889.756331018521</v>
      </c>
      <c r="B33010" s="8" t="str">
        <f>HYPERLINK("https://twitter.com/KompasTV","@KompasTV")</f>
        <v>@KompasTV</v>
      </c>
      <c r="C33010" s="8" t="s">
        <v>12393</v>
      </c>
      <c r="D33010" s="8">
        <v>0</v>
      </c>
      <c r="E33010" s="8">
        <v>0</v>
      </c>
      <c r="F33010" s="8">
        <v>2951010</v>
      </c>
    </row>
    <row r="33011" spans="1:6" ht="12.75">
      <c r="A33011" s="8">
        <v>43889.756273148145</v>
      </c>
      <c r="B33011" s="8" t="str">
        <f>HYPERLINK("https://twitter.com/DODDI_F","@DODDI_F")</f>
        <v>@DODDI_F</v>
      </c>
      <c r="C33011" s="8" t="s">
        <v>6490</v>
      </c>
      <c r="D33011" s="8">
        <v>27</v>
      </c>
      <c r="E33011" s="8">
        <v>0</v>
      </c>
      <c r="F33011" s="8">
        <v>2551</v>
      </c>
    </row>
    <row r="33012" spans="1:6" ht="12.75">
      <c r="A33012" s="8">
        <v>43889.756168981483</v>
      </c>
      <c r="B33012" s="8" t="str">
        <f>HYPERLINK("https://twitter.com/xxngechilxx","@xxngechilxx")</f>
        <v>@xxngechilxx</v>
      </c>
      <c r="C33012" s="8" t="s">
        <v>10755</v>
      </c>
      <c r="D33012" s="8">
        <v>136</v>
      </c>
      <c r="E33012" s="8">
        <v>0</v>
      </c>
      <c r="F33012" s="8">
        <v>584</v>
      </c>
    </row>
    <row r="33013" spans="1:6" ht="12.75">
      <c r="A33013" s="8">
        <v>43889.755787037036</v>
      </c>
      <c r="B33013" s="8" t="str">
        <f>HYPERLINK("https://twitter.com/ndorobbs","@ndorobbs")</f>
        <v>@ndorobbs</v>
      </c>
      <c r="C33013" s="8" t="s">
        <v>12394</v>
      </c>
      <c r="D33013" s="8">
        <v>0</v>
      </c>
      <c r="E33013" s="8">
        <v>0</v>
      </c>
      <c r="F33013" s="8">
        <v>170</v>
      </c>
    </row>
    <row r="33014" spans="1:6" ht="12.75">
      <c r="A33014" s="8">
        <v>43889.755671296298</v>
      </c>
      <c r="B33014" s="8" t="str">
        <f>HYPERLINK("https://twitter.com/IbhamJ","@IbhamJ")</f>
        <v>@IbhamJ</v>
      </c>
      <c r="C33014" s="8" t="s">
        <v>10743</v>
      </c>
      <c r="D33014" s="8">
        <v>18</v>
      </c>
      <c r="E33014" s="8">
        <v>0</v>
      </c>
      <c r="F33014" s="8">
        <v>766</v>
      </c>
    </row>
    <row r="33015" spans="1:6" ht="12.75">
      <c r="A33015" s="8">
        <v>43889.755648148144</v>
      </c>
      <c r="B33015" s="8" t="str">
        <f>HYPERLINK("https://twitter.com/bang_jijie","@bang_jijie")</f>
        <v>@bang_jijie</v>
      </c>
      <c r="C33015" s="8" t="s">
        <v>12395</v>
      </c>
      <c r="D33015" s="8">
        <v>7</v>
      </c>
      <c r="E33015" s="8">
        <v>0</v>
      </c>
      <c r="F33015" s="8">
        <v>813</v>
      </c>
    </row>
    <row r="33016" spans="1:6" ht="12.75">
      <c r="A33016" s="8">
        <v>43889.75545138889</v>
      </c>
      <c r="B33016" s="8" t="str">
        <f>HYPERLINK("https://twitter.com/indrie_henny","@indrie_henny")</f>
        <v>@indrie_henny</v>
      </c>
      <c r="C33016" s="8" t="s">
        <v>12396</v>
      </c>
      <c r="D33016" s="8">
        <v>0</v>
      </c>
      <c r="E33016" s="8">
        <v>0</v>
      </c>
      <c r="F33016" s="8">
        <v>42</v>
      </c>
    </row>
    <row r="33017" spans="1:6" ht="12.75">
      <c r="A33017" s="8">
        <v>43889.755416666667</v>
      </c>
      <c r="B33017" s="8" t="str">
        <f>HYPERLINK("https://twitter.com/waitingE_XIU_O","@waitingE_XIU_O")</f>
        <v>@waitingE_XIU_O</v>
      </c>
      <c r="C33017" s="8" t="s">
        <v>10721</v>
      </c>
      <c r="D33017" s="8">
        <v>113</v>
      </c>
      <c r="E33017" s="8">
        <v>0</v>
      </c>
      <c r="F33017" s="8">
        <v>2089</v>
      </c>
    </row>
    <row r="33018" spans="1:6" ht="12.75">
      <c r="A33018" s="8">
        <v>43889.755358796298</v>
      </c>
      <c r="B33018" s="8" t="str">
        <f>HYPERLINK("https://twitter.com/viviariyanti44","@viviariyanti44")</f>
        <v>@viviariyanti44</v>
      </c>
      <c r="C33018" s="8" t="s">
        <v>10755</v>
      </c>
      <c r="D33018" s="8">
        <v>136</v>
      </c>
      <c r="E33018" s="8">
        <v>0</v>
      </c>
      <c r="F33018" s="8">
        <v>167</v>
      </c>
    </row>
    <row r="33019" spans="1:6" ht="12.75">
      <c r="A33019" s="8">
        <v>43889.755358796298</v>
      </c>
      <c r="B33019" s="8" t="str">
        <f>HYPERLINK("https://twitter.com/mariaky600","@mariaky600")</f>
        <v>@mariaky600</v>
      </c>
      <c r="C33019" s="8" t="s">
        <v>12397</v>
      </c>
      <c r="D33019" s="8">
        <v>0</v>
      </c>
      <c r="E33019" s="8">
        <v>1</v>
      </c>
      <c r="F33019" s="8">
        <v>104</v>
      </c>
    </row>
    <row r="33020" spans="1:6" ht="12.75">
      <c r="A33020" s="8">
        <v>43889.755057870367</v>
      </c>
      <c r="B33020" s="8" t="str">
        <f>HYPERLINK("https://twitter.com/maklumatID","@maklumatID")</f>
        <v>@maklumatID</v>
      </c>
      <c r="C33020" s="8" t="s">
        <v>12398</v>
      </c>
      <c r="D33020" s="8">
        <v>0</v>
      </c>
      <c r="E33020" s="8">
        <v>0</v>
      </c>
      <c r="F33020" s="8">
        <v>79</v>
      </c>
    </row>
    <row r="33021" spans="1:6" ht="12.75">
      <c r="A33021" s="8">
        <v>43889.754849537036</v>
      </c>
      <c r="B33021" s="8" t="str">
        <f>HYPERLINK("https://twitter.com/fjmokri","@fjmokri")</f>
        <v>@fjmokri</v>
      </c>
      <c r="C33021" s="8" t="s">
        <v>11102</v>
      </c>
      <c r="D33021" s="8">
        <v>392</v>
      </c>
      <c r="E33021" s="8">
        <v>0</v>
      </c>
      <c r="F33021" s="8">
        <v>398</v>
      </c>
    </row>
    <row r="33022" spans="1:6" ht="12.75">
      <c r="A33022" s="8">
        <v>43889.754710648151</v>
      </c>
      <c r="B33022" s="8" t="str">
        <f>HYPERLINK("https://twitter.com/ARISSUS02666971","@ARISSUS02666971")</f>
        <v>@ARISSUS02666971</v>
      </c>
      <c r="C33022" s="8" t="s">
        <v>10743</v>
      </c>
      <c r="D33022" s="8">
        <v>18</v>
      </c>
      <c r="E33022" s="8">
        <v>0</v>
      </c>
      <c r="F33022" s="8">
        <v>156</v>
      </c>
    </row>
    <row r="33023" spans="1:6" ht="12.75">
      <c r="A33023" s="8">
        <v>43889.754537037035</v>
      </c>
      <c r="B33023" s="8" t="str">
        <f>HYPERLINK("https://twitter.com/imbangimedia","@imbangimedia")</f>
        <v>@imbangimedia</v>
      </c>
      <c r="C33023" s="8" t="s">
        <v>6490</v>
      </c>
      <c r="D33023" s="8">
        <v>27</v>
      </c>
      <c r="E33023" s="8">
        <v>0</v>
      </c>
      <c r="F33023" s="8">
        <v>4153</v>
      </c>
    </row>
    <row r="33024" spans="1:6" ht="12.75">
      <c r="A33024" s="8">
        <v>43889.754525462966</v>
      </c>
      <c r="B33024" s="8" t="str">
        <f>HYPERLINK("https://twitter.com/fatmanadilaa","@fatmanadilaa")</f>
        <v>@fatmanadilaa</v>
      </c>
      <c r="C33024" s="8" t="s">
        <v>12399</v>
      </c>
      <c r="D33024" s="8">
        <v>0</v>
      </c>
      <c r="E33024" s="8">
        <v>0</v>
      </c>
      <c r="F33024" s="8">
        <v>5</v>
      </c>
    </row>
    <row r="33025" spans="1:6" ht="12.75">
      <c r="A33025" s="8">
        <v>43889.754375000004</v>
      </c>
      <c r="B33025" s="8" t="str">
        <f>HYPERLINK("https://twitter.com/okezonenews","@okezonenews")</f>
        <v>@okezonenews</v>
      </c>
      <c r="C33025" s="8" t="s">
        <v>12400</v>
      </c>
      <c r="D33025" s="8">
        <v>0</v>
      </c>
      <c r="E33025" s="8">
        <v>1</v>
      </c>
      <c r="F33025" s="8">
        <v>1743924</v>
      </c>
    </row>
    <row r="33026" spans="1:6" ht="12.75">
      <c r="A33026" s="8">
        <v>43889.754178240742</v>
      </c>
      <c r="B33026" s="8" t="str">
        <f>HYPERLINK("https://twitter.com/teddygalodo","@teddygalodo")</f>
        <v>@teddygalodo</v>
      </c>
      <c r="C33026" s="8" t="s">
        <v>10743</v>
      </c>
      <c r="D33026" s="8">
        <v>18</v>
      </c>
      <c r="E33026" s="8">
        <v>0</v>
      </c>
      <c r="F33026" s="8">
        <v>61</v>
      </c>
    </row>
    <row r="33027" spans="1:6" ht="12.75">
      <c r="A33027" s="8">
        <v>43889.754143518519</v>
      </c>
      <c r="B33027" s="8" t="str">
        <f>HYPERLINK("https://twitter.com/___sunbae","@___sunbae")</f>
        <v>@___sunbae</v>
      </c>
      <c r="C33027" s="8" t="s">
        <v>12401</v>
      </c>
      <c r="D33027" s="8">
        <v>2</v>
      </c>
      <c r="E33027" s="8">
        <v>0</v>
      </c>
      <c r="F33027" s="8">
        <v>1390</v>
      </c>
    </row>
    <row r="33028" spans="1:6" ht="12.75">
      <c r="A33028" s="8">
        <v>43889.754143518519</v>
      </c>
      <c r="B33028" s="8" t="str">
        <f>HYPERLINK("https://twitter.com/AlfaOmega0110","@AlfaOmega0110")</f>
        <v>@AlfaOmega0110</v>
      </c>
      <c r="C33028" s="8" t="s">
        <v>12402</v>
      </c>
      <c r="D33028" s="8">
        <v>0</v>
      </c>
      <c r="E33028" s="8">
        <v>0</v>
      </c>
      <c r="F33028" s="8">
        <v>1227</v>
      </c>
    </row>
    <row r="33029" spans="1:6" ht="12.75">
      <c r="A33029" s="8">
        <v>43889.753958333335</v>
      </c>
      <c r="B33029" s="8" t="str">
        <f>HYPERLINK("https://twitter.com/marojahanpanja2","@marojahanpanja2")</f>
        <v>@marojahanpanja2</v>
      </c>
      <c r="C33029" s="8" t="s">
        <v>8321</v>
      </c>
      <c r="D33029" s="8">
        <v>14</v>
      </c>
      <c r="E33029" s="8">
        <v>0</v>
      </c>
      <c r="F33029" s="8">
        <v>2</v>
      </c>
    </row>
    <row r="33030" spans="1:6" ht="12.75">
      <c r="A33030" s="8">
        <v>43889.753865740742</v>
      </c>
      <c r="B33030" s="8" t="str">
        <f>HYPERLINK("https://twitter.com/Danial_Hilmi","@Danial_Hilmi")</f>
        <v>@Danial_Hilmi</v>
      </c>
      <c r="C33030" s="8" t="s">
        <v>11102</v>
      </c>
      <c r="D33030" s="8">
        <v>392</v>
      </c>
      <c r="E33030" s="8">
        <v>0</v>
      </c>
      <c r="F33030" s="8">
        <v>256</v>
      </c>
    </row>
    <row r="33031" spans="1:6" ht="12.75">
      <c r="A33031" s="8">
        <v>43889.75377314815</v>
      </c>
      <c r="B33031" s="8" t="str">
        <f>HYPERLINK("https://twitter.com/JackSitoroes","@JackSitoroes")</f>
        <v>@JackSitoroes</v>
      </c>
      <c r="C33031" s="8" t="s">
        <v>12403</v>
      </c>
      <c r="D33031" s="8">
        <v>0</v>
      </c>
      <c r="E33031" s="8">
        <v>0</v>
      </c>
      <c r="F33031" s="8">
        <v>619</v>
      </c>
    </row>
    <row r="33032" spans="1:6" ht="12.75">
      <c r="A33032" s="8">
        <v>43889.753750000003</v>
      </c>
      <c r="B33032" s="8" t="str">
        <f>HYPERLINK("https://twitter.com/fatmanadilaa","@fatmanadilaa")</f>
        <v>@fatmanadilaa</v>
      </c>
      <c r="C33032" s="8" t="s">
        <v>12404</v>
      </c>
      <c r="D33032" s="8">
        <v>0</v>
      </c>
      <c r="E33032" s="8">
        <v>0</v>
      </c>
      <c r="F33032" s="8">
        <v>5</v>
      </c>
    </row>
    <row r="33033" spans="1:6" ht="12.75">
      <c r="A33033" s="8">
        <v>43889.753217592588</v>
      </c>
      <c r="B33033" s="8" t="str">
        <f>HYPERLINK("https://twitter.com/DedyNad_id","@DedyNad_id")</f>
        <v>@DedyNad_id</v>
      </c>
      <c r="C33033" s="8" t="s">
        <v>12405</v>
      </c>
      <c r="D33033" s="8">
        <v>3</v>
      </c>
      <c r="E33033" s="8">
        <v>0</v>
      </c>
      <c r="F33033" s="8">
        <v>3969</v>
      </c>
    </row>
    <row r="33034" spans="1:6" ht="12.75">
      <c r="A33034" s="8">
        <v>43889.753182870365</v>
      </c>
      <c r="B33034" s="8" t="str">
        <f>HYPERLINK("https://twitter.com/emastok","@emastok")</f>
        <v>@emastok</v>
      </c>
      <c r="C33034" s="8" t="s">
        <v>11586</v>
      </c>
      <c r="D33034" s="8">
        <v>135</v>
      </c>
      <c r="E33034" s="8">
        <v>0</v>
      </c>
      <c r="F33034" s="8">
        <v>1843</v>
      </c>
    </row>
    <row r="33035" spans="1:6" ht="12.75">
      <c r="A33035" s="8">
        <v>43889.752951388888</v>
      </c>
      <c r="B33035" s="8" t="str">
        <f>HYPERLINK("https://twitter.com/dirgaarii","@dirgaarii")</f>
        <v>@dirgaarii</v>
      </c>
      <c r="C33035" s="8" t="s">
        <v>10755</v>
      </c>
      <c r="D33035" s="8">
        <v>136</v>
      </c>
      <c r="E33035" s="8">
        <v>0</v>
      </c>
      <c r="F33035" s="8">
        <v>434</v>
      </c>
    </row>
    <row r="33036" spans="1:6" ht="12.75">
      <c r="A33036" s="8">
        <v>43889.752905092595</v>
      </c>
      <c r="B33036" s="8" t="str">
        <f>HYPERLINK("https://twitter.com/SwastikaTina","@SwastikaTina")</f>
        <v>@SwastikaTina</v>
      </c>
      <c r="C33036" s="8" t="s">
        <v>10721</v>
      </c>
      <c r="D33036" s="8">
        <v>113</v>
      </c>
      <c r="E33036" s="8">
        <v>0</v>
      </c>
      <c r="F33036" s="8">
        <v>284</v>
      </c>
    </row>
    <row r="33037" spans="1:6" ht="12.75">
      <c r="A33037" s="8">
        <v>43889.752870370372</v>
      </c>
      <c r="B33037" s="8" t="str">
        <f>HYPERLINK("https://twitter.com/akhiripatriarki","@akhiripatriarki")</f>
        <v>@akhiripatriarki</v>
      </c>
      <c r="C33037" s="8" t="s">
        <v>12406</v>
      </c>
      <c r="D33037" s="8">
        <v>137</v>
      </c>
      <c r="E33037" s="8">
        <v>0</v>
      </c>
      <c r="F33037" s="8">
        <v>169</v>
      </c>
    </row>
    <row r="33038" spans="1:6" ht="12.75">
      <c r="A33038" s="8">
        <v>43889.752152777779</v>
      </c>
      <c r="B33038" s="8" t="str">
        <f>HYPERLINK("https://twitter.com/ARISSUS02666971","@ARISSUS02666971")</f>
        <v>@ARISSUS02666971</v>
      </c>
      <c r="C33038" s="8" t="s">
        <v>6836</v>
      </c>
      <c r="D33038" s="8">
        <v>13</v>
      </c>
      <c r="E33038" s="8">
        <v>0</v>
      </c>
      <c r="F33038" s="8">
        <v>156</v>
      </c>
    </row>
    <row r="33039" spans="1:6" ht="12.75">
      <c r="A33039" s="8">
        <v>43889.75204861111</v>
      </c>
      <c r="B33039" s="8" t="str">
        <f>HYPERLINK("https://twitter.com/AkfBambang","@AkfBambang")</f>
        <v>@AkfBambang</v>
      </c>
      <c r="C33039" s="8" t="s">
        <v>10743</v>
      </c>
      <c r="D33039" s="8">
        <v>18</v>
      </c>
      <c r="E33039" s="8">
        <v>0</v>
      </c>
      <c r="F33039" s="8">
        <v>99</v>
      </c>
    </row>
    <row r="33040" spans="1:6" ht="12.75">
      <c r="A33040" s="8">
        <v>43889.751898148148</v>
      </c>
      <c r="B33040" s="8" t="str">
        <f>HYPERLINK("https://twitter.com/KorongComro","@KorongComro")</f>
        <v>@KorongComro</v>
      </c>
      <c r="C33040" s="8" t="s">
        <v>10743</v>
      </c>
      <c r="D33040" s="8">
        <v>18</v>
      </c>
      <c r="E33040" s="8">
        <v>0</v>
      </c>
      <c r="F33040" s="8">
        <v>164</v>
      </c>
    </row>
    <row r="33041" spans="1:6" ht="12.75">
      <c r="A33041" s="8">
        <v>43889.751770833333</v>
      </c>
      <c r="B33041" s="8" t="str">
        <f>HYPERLINK("https://twitter.com/ivanchristi3","@ivanchristi3")</f>
        <v>@ivanchristi3</v>
      </c>
      <c r="C33041" s="8" t="s">
        <v>299</v>
      </c>
      <c r="D33041" s="8">
        <v>4740</v>
      </c>
      <c r="E33041" s="8">
        <v>0</v>
      </c>
      <c r="F33041" s="8">
        <v>2469</v>
      </c>
    </row>
    <row r="33042" spans="1:6" ht="12.75">
      <c r="A33042" s="8">
        <v>43889.751550925925</v>
      </c>
      <c r="B33042" s="8" t="str">
        <f>HYPERLINK("https://twitter.com/Yadi33653534","@Yadi33653534")</f>
        <v>@Yadi33653534</v>
      </c>
      <c r="C33042" s="8" t="s">
        <v>6490</v>
      </c>
      <c r="D33042" s="8">
        <v>27</v>
      </c>
      <c r="E33042" s="8">
        <v>0</v>
      </c>
      <c r="F33042" s="8">
        <v>551</v>
      </c>
    </row>
    <row r="33043" spans="1:6" ht="12.75">
      <c r="A33043" s="8">
        <v>43889.751458333332</v>
      </c>
      <c r="B33043" s="8" t="str">
        <f>HYPERLINK("https://twitter.com/hgberry","@hgberry")</f>
        <v>@hgberry</v>
      </c>
      <c r="C33043" s="8" t="s">
        <v>9768</v>
      </c>
      <c r="D33043" s="8">
        <v>36</v>
      </c>
      <c r="E33043" s="8">
        <v>0</v>
      </c>
      <c r="F33043" s="8">
        <v>1645</v>
      </c>
    </row>
    <row r="33044" spans="1:6" ht="12.75">
      <c r="A33044" s="8">
        <v>43889.751157407409</v>
      </c>
      <c r="B33044" s="8" t="str">
        <f>HYPERLINK("https://twitter.com/suryacahyadi06","@suryacahyadi06")</f>
        <v>@suryacahyadi06</v>
      </c>
      <c r="C33044" s="8" t="s">
        <v>6836</v>
      </c>
      <c r="D33044" s="8">
        <v>13</v>
      </c>
      <c r="E33044" s="8">
        <v>0</v>
      </c>
      <c r="F33044" s="8">
        <v>879</v>
      </c>
    </row>
    <row r="33045" spans="1:6" ht="12.75">
      <c r="A33045" s="8">
        <v>43889.751018518524</v>
      </c>
      <c r="B33045" s="8" t="str">
        <f>HYPERLINK("https://twitter.com/SEKPamonaBarat","@SEKPamonaBarat")</f>
        <v>@SEKPamonaBarat</v>
      </c>
      <c r="C33045" s="8" t="s">
        <v>12407</v>
      </c>
      <c r="D33045" s="8">
        <v>0</v>
      </c>
      <c r="E33045" s="8">
        <v>0</v>
      </c>
      <c r="F33045" s="8">
        <v>4</v>
      </c>
    </row>
    <row r="33046" spans="1:6" ht="12.75">
      <c r="A33046" s="8">
        <v>43889.750983796301</v>
      </c>
      <c r="B33046" s="8" t="str">
        <f>HYPERLINK("https://twitter.com/Darmawi19741","@Darmawi19741")</f>
        <v>@Darmawi19741</v>
      </c>
      <c r="C33046" s="8" t="s">
        <v>4785</v>
      </c>
      <c r="D33046" s="8">
        <v>476</v>
      </c>
      <c r="E33046" s="8">
        <v>0</v>
      </c>
      <c r="F33046" s="8">
        <v>118</v>
      </c>
    </row>
    <row r="33047" spans="1:6" ht="12.75">
      <c r="A33047" s="8">
        <v>43889.750960648147</v>
      </c>
      <c r="B33047" s="8" t="str">
        <f>HYPERLINK("https://twitter.com/realAbikaTrader","@realAbikaTrader")</f>
        <v>@realAbikaTrader</v>
      </c>
      <c r="C33047" s="8" t="s">
        <v>12071</v>
      </c>
      <c r="D33047" s="8">
        <v>52</v>
      </c>
      <c r="E33047" s="8">
        <v>0</v>
      </c>
      <c r="F33047" s="8">
        <v>1327</v>
      </c>
    </row>
    <row r="33048" spans="1:6" ht="12.75">
      <c r="A33048" s="8">
        <v>43889.750879629632</v>
      </c>
      <c r="B33048" s="8" t="str">
        <f>HYPERLINK("https://twitter.com/blifunday","@blifunday")</f>
        <v>@blifunday</v>
      </c>
      <c r="C33048" s="8" t="s">
        <v>12408</v>
      </c>
      <c r="D33048" s="8">
        <v>0</v>
      </c>
      <c r="E33048" s="8">
        <v>0</v>
      </c>
      <c r="F33048" s="8">
        <v>934</v>
      </c>
    </row>
    <row r="33049" spans="1:6" ht="12.75">
      <c r="A33049" s="8">
        <v>43889.750844907408</v>
      </c>
      <c r="B33049" s="8" t="str">
        <f>HYPERLINK("https://twitter.com/asyraf_app","@asyraf_app")</f>
        <v>@asyraf_app</v>
      </c>
      <c r="C33049" s="8" t="s">
        <v>11102</v>
      </c>
      <c r="D33049" s="8">
        <v>392</v>
      </c>
      <c r="E33049" s="8">
        <v>0</v>
      </c>
      <c r="F33049" s="8">
        <v>115</v>
      </c>
    </row>
    <row r="33050" spans="1:6" ht="12.75">
      <c r="A33050" s="8">
        <v>43889.750520833331</v>
      </c>
      <c r="B33050" s="8" t="str">
        <f>HYPERLINK("https://twitter.com/B10_1289S","@B10_1289S")</f>
        <v>@B10_1289S</v>
      </c>
      <c r="C33050" s="8" t="s">
        <v>12401</v>
      </c>
      <c r="D33050" s="8">
        <v>2</v>
      </c>
      <c r="E33050" s="8">
        <v>0</v>
      </c>
      <c r="F33050" s="8">
        <v>0</v>
      </c>
    </row>
    <row r="33051" spans="1:6" ht="12.75">
      <c r="A33051" s="8">
        <v>43889.750289351854</v>
      </c>
      <c r="B33051" s="8" t="str">
        <f>HYPERLINK("https://twitter.com/medcom_id","@medcom_id")</f>
        <v>@medcom_id</v>
      </c>
      <c r="C33051" s="8" t="s">
        <v>12409</v>
      </c>
      <c r="D33051" s="8">
        <v>0</v>
      </c>
      <c r="E33051" s="8">
        <v>0</v>
      </c>
      <c r="F33051" s="8">
        <v>18360</v>
      </c>
    </row>
    <row r="33052" spans="1:6" ht="12.75">
      <c r="A33052" s="8">
        <v>43889.750092592592</v>
      </c>
      <c r="B33052" s="8" t="str">
        <f>HYPERLINK("https://twitter.com/junaedikm2000","@junaedikm2000")</f>
        <v>@junaedikm2000</v>
      </c>
      <c r="C33052" s="8" t="s">
        <v>12387</v>
      </c>
      <c r="D33052" s="8">
        <v>5</v>
      </c>
      <c r="E33052" s="8">
        <v>0</v>
      </c>
      <c r="F33052" s="8">
        <v>385</v>
      </c>
    </row>
    <row r="33053" spans="1:6" ht="12.75">
      <c r="A33053" s="8">
        <v>43889.750092592592</v>
      </c>
      <c r="B33053" s="8" t="str">
        <f>HYPERLINK("https://twitter.com/torelwisnu","@torelwisnu")</f>
        <v>@torelwisnu</v>
      </c>
      <c r="C33053" s="8" t="s">
        <v>12237</v>
      </c>
      <c r="D33053" s="8">
        <v>13</v>
      </c>
      <c r="E33053" s="8">
        <v>0</v>
      </c>
      <c r="F33053" s="8">
        <v>1294</v>
      </c>
    </row>
    <row r="33054" spans="1:6" ht="12.75">
      <c r="A33054" s="8">
        <v>43889.750069444446</v>
      </c>
      <c r="B33054" s="8" t="str">
        <f>HYPERLINK("https://twitter.com/forddyce92","@forddyce92")</f>
        <v>@forddyce92</v>
      </c>
      <c r="C33054" s="8" t="s">
        <v>12410</v>
      </c>
      <c r="D33054" s="8">
        <v>0</v>
      </c>
      <c r="E33054" s="8">
        <v>0</v>
      </c>
      <c r="F33054" s="8">
        <v>27</v>
      </c>
    </row>
    <row r="33055" spans="1:6" ht="12.75">
      <c r="A33055" s="8">
        <v>43889.750046296293</v>
      </c>
      <c r="B33055" s="8" t="str">
        <f>HYPERLINK("https://twitter.com/alineadotid","@alineadotid")</f>
        <v>@alineadotid</v>
      </c>
      <c r="C33055" s="8" t="s">
        <v>12411</v>
      </c>
      <c r="D33055" s="8">
        <v>0</v>
      </c>
      <c r="E33055" s="8">
        <v>0</v>
      </c>
      <c r="F33055" s="8">
        <v>611747</v>
      </c>
    </row>
    <row r="33056" spans="1:6" ht="12.75">
      <c r="A33056" s="8">
        <v>43889.749791666662</v>
      </c>
      <c r="B33056" s="8" t="str">
        <f>HYPERLINK("https://twitter.com/gembira683101","@gembira683101")</f>
        <v>@gembira683101</v>
      </c>
      <c r="C33056" s="8" t="s">
        <v>12056</v>
      </c>
      <c r="D33056" s="8">
        <v>34</v>
      </c>
      <c r="E33056" s="8">
        <v>0</v>
      </c>
      <c r="F33056" s="8">
        <v>236</v>
      </c>
    </row>
    <row r="33057" spans="1:6" ht="12.75">
      <c r="A33057" s="8">
        <v>43889.749768518523</v>
      </c>
      <c r="B33057" s="8" t="str">
        <f>HYPERLINK("https://twitter.com/essafaizall","@essafaizall")</f>
        <v>@essafaizall</v>
      </c>
      <c r="C33057" s="8" t="s">
        <v>12412</v>
      </c>
      <c r="D33057" s="8">
        <v>0</v>
      </c>
      <c r="E33057" s="8">
        <v>0</v>
      </c>
      <c r="F33057" s="8">
        <v>576</v>
      </c>
    </row>
    <row r="33058" spans="1:6" ht="12.75">
      <c r="A33058" s="8">
        <v>43889.749479166669</v>
      </c>
      <c r="B33058" s="8" t="str">
        <f>HYPERLINK("https://twitter.com/smkarina","@smkarina")</f>
        <v>@smkarina</v>
      </c>
      <c r="C33058" s="8" t="s">
        <v>12237</v>
      </c>
      <c r="D33058" s="8">
        <v>13</v>
      </c>
      <c r="E33058" s="8">
        <v>0</v>
      </c>
      <c r="F33058" s="8">
        <v>142</v>
      </c>
    </row>
    <row r="33059" spans="1:6" ht="12.75">
      <c r="A33059" s="8">
        <v>43889.749166666668</v>
      </c>
      <c r="B33059" s="8" t="str">
        <f>HYPERLINK("https://twitter.com/KurniaChen","@KurniaChen")</f>
        <v>@KurniaChen</v>
      </c>
      <c r="C33059" s="8" t="s">
        <v>12377</v>
      </c>
      <c r="D33059" s="8">
        <v>2</v>
      </c>
      <c r="E33059" s="8">
        <v>0</v>
      </c>
      <c r="F33059" s="8">
        <v>689</v>
      </c>
    </row>
    <row r="33060" spans="1:6" ht="12.75">
      <c r="A33060" s="8">
        <v>43889.749143518522</v>
      </c>
      <c r="B33060" s="8" t="str">
        <f>HYPERLINK("https://twitter.com/berharapdamai","@berharapdamai")</f>
        <v>@berharapdamai</v>
      </c>
      <c r="C33060" s="8" t="s">
        <v>12413</v>
      </c>
      <c r="D33060" s="8">
        <v>0</v>
      </c>
      <c r="E33060" s="8">
        <v>0</v>
      </c>
      <c r="F33060" s="8">
        <v>1797</v>
      </c>
    </row>
    <row r="33061" spans="1:6" ht="12.75">
      <c r="A33061" s="8">
        <v>43889.748981481476</v>
      </c>
      <c r="B33061" s="8" t="str">
        <f>HYPERLINK("https://twitter.com/Polsek_Remboken","@Polsek_Remboken")</f>
        <v>@Polsek_Remboken</v>
      </c>
      <c r="C33061" s="8" t="s">
        <v>12414</v>
      </c>
      <c r="D33061" s="8">
        <v>0</v>
      </c>
      <c r="E33061" s="8">
        <v>0</v>
      </c>
      <c r="F33061" s="8">
        <v>0</v>
      </c>
    </row>
    <row r="33062" spans="1:6" ht="12.75">
      <c r="A33062" s="8">
        <v>43889.748819444445</v>
      </c>
      <c r="B33062" s="8" t="str">
        <f>HYPERLINK("https://twitter.com/Metro_TV","@Metro_TV")</f>
        <v>@Metro_TV</v>
      </c>
      <c r="C33062" s="8" t="s">
        <v>12415</v>
      </c>
      <c r="D33062" s="8">
        <v>0</v>
      </c>
      <c r="E33062" s="8">
        <v>3</v>
      </c>
      <c r="F33062" s="8">
        <v>10514375</v>
      </c>
    </row>
    <row r="33063" spans="1:6" ht="12.75">
      <c r="A33063" s="8">
        <v>43889.748807870375</v>
      </c>
      <c r="B33063" s="8" t="str">
        <f>HYPERLINK("https://twitter.com/Warga10446363","@Warga10446363")</f>
        <v>@Warga10446363</v>
      </c>
      <c r="C33063" s="8" t="s">
        <v>12416</v>
      </c>
      <c r="D33063" s="8">
        <v>1</v>
      </c>
      <c r="E33063" s="8">
        <v>0</v>
      </c>
      <c r="F33063" s="8">
        <v>0</v>
      </c>
    </row>
    <row r="33064" spans="1:6" ht="12.75">
      <c r="A33064" s="8">
        <v>43889.748506944445</v>
      </c>
      <c r="B33064" s="8" t="str">
        <f>HYPERLINK("https://twitter.com/Hadian44916518","@Hadian44916518")</f>
        <v>@Hadian44916518</v>
      </c>
      <c r="C33064" s="8" t="s">
        <v>12417</v>
      </c>
      <c r="D33064" s="8">
        <v>0</v>
      </c>
      <c r="E33064" s="8">
        <v>0</v>
      </c>
      <c r="F33064" s="8">
        <v>32</v>
      </c>
    </row>
    <row r="33065" spans="1:6" ht="12.75">
      <c r="A33065" s="8">
        <v>43889.748402777783</v>
      </c>
      <c r="B33065" s="8" t="str">
        <f>HYPERLINK("https://twitter.com/Anisamargareta2","@Anisamargareta2")</f>
        <v>@Anisamargareta2</v>
      </c>
      <c r="C33065" s="8" t="s">
        <v>12418</v>
      </c>
      <c r="D33065" s="8">
        <v>0</v>
      </c>
      <c r="E33065" s="8">
        <v>0</v>
      </c>
      <c r="F33065" s="8">
        <v>1</v>
      </c>
    </row>
    <row r="33066" spans="1:6" ht="12.75">
      <c r="A33066" s="8">
        <v>43889.748240740737</v>
      </c>
      <c r="B33066" s="8" t="str">
        <f>HYPERLINK("https://twitter.com/vcar1982","@vcar1982")</f>
        <v>@vcar1982</v>
      </c>
      <c r="C33066" s="8" t="s">
        <v>12065</v>
      </c>
      <c r="D33066" s="8">
        <v>53</v>
      </c>
      <c r="E33066" s="8">
        <v>0</v>
      </c>
      <c r="F33066" s="8">
        <v>499</v>
      </c>
    </row>
    <row r="33067" spans="1:6" ht="12.75">
      <c r="A33067" s="8">
        <v>43889.748240740737</v>
      </c>
      <c r="B33067" s="8" t="str">
        <f>HYPERLINK("https://twitter.com/r96sperstar","@r96sperstar")</f>
        <v>@r96sperstar</v>
      </c>
      <c r="C33067" s="8" t="s">
        <v>5624</v>
      </c>
      <c r="D33067" s="8">
        <v>552</v>
      </c>
      <c r="E33067" s="8">
        <v>0</v>
      </c>
      <c r="F33067" s="8">
        <v>408</v>
      </c>
    </row>
    <row r="33068" spans="1:6" ht="12.75">
      <c r="A33068" s="8">
        <v>43889.74799768519</v>
      </c>
      <c r="B33068" s="8" t="str">
        <f>HYPERLINK("https://twitter.com/rajamadja_","@rajamadja_")</f>
        <v>@rajamadja_</v>
      </c>
      <c r="C33068" s="8" t="s">
        <v>12325</v>
      </c>
      <c r="D33068" s="8">
        <v>2</v>
      </c>
      <c r="E33068" s="8">
        <v>0</v>
      </c>
      <c r="F33068" s="8">
        <v>50</v>
      </c>
    </row>
    <row r="33069" spans="1:6" ht="12.75">
      <c r="A33069" s="8">
        <v>43889.747974537036</v>
      </c>
      <c r="B33069" s="8" t="str">
        <f>HYPERLINK("https://twitter.com/Anisamargareta2","@Anisamargareta2")</f>
        <v>@Anisamargareta2</v>
      </c>
      <c r="C33069" s="8" t="s">
        <v>12419</v>
      </c>
      <c r="D33069" s="8">
        <v>0</v>
      </c>
      <c r="E33069" s="8">
        <v>0</v>
      </c>
      <c r="F33069" s="8">
        <v>1</v>
      </c>
    </row>
    <row r="33070" spans="1:6" ht="12.75">
      <c r="A33070" s="8">
        <v>43889.747916666667</v>
      </c>
      <c r="B33070" s="8" t="str">
        <f>HYPERLINK("https://twitter.com/nandatslnk","@nandatslnk")</f>
        <v>@nandatslnk</v>
      </c>
      <c r="C33070" s="8" t="s">
        <v>12420</v>
      </c>
      <c r="D33070" s="8">
        <v>0</v>
      </c>
      <c r="E33070" s="8">
        <v>0</v>
      </c>
      <c r="F33070" s="8">
        <v>3</v>
      </c>
    </row>
    <row r="33071" spans="1:6" ht="12.75">
      <c r="A33071" s="8">
        <v>43889.747650462959</v>
      </c>
      <c r="B33071" s="8" t="str">
        <f>HYPERLINK("https://twitter.com/VaibhavPalaska6","@VaibhavPalaska6")</f>
        <v>@VaibhavPalaska6</v>
      </c>
      <c r="C33071" s="8" t="s">
        <v>12421</v>
      </c>
      <c r="D33071" s="8">
        <v>0</v>
      </c>
      <c r="E33071" s="8">
        <v>0</v>
      </c>
      <c r="F33071" s="8">
        <v>584</v>
      </c>
    </row>
    <row r="33072" spans="1:6" ht="12.75">
      <c r="A33072" s="8">
        <v>43889.747581018513</v>
      </c>
      <c r="B33072" s="8" t="str">
        <f>HYPERLINK("https://twitter.com/mbulansasi","@mbulansasi")</f>
        <v>@mbulansasi</v>
      </c>
      <c r="C33072" s="8" t="s">
        <v>10721</v>
      </c>
      <c r="D33072" s="8">
        <v>113</v>
      </c>
      <c r="E33072" s="8">
        <v>0</v>
      </c>
      <c r="F33072" s="8">
        <v>405</v>
      </c>
    </row>
    <row r="33073" spans="1:6" ht="12.75">
      <c r="A33073" s="8">
        <v>43889.747569444444</v>
      </c>
      <c r="B33073" s="8" t="str">
        <f>HYPERLINK("https://twitter.com/adhirodriguez","@adhirodriguez")</f>
        <v>@adhirodriguez</v>
      </c>
      <c r="C33073" s="8" t="s">
        <v>12237</v>
      </c>
      <c r="D33073" s="8">
        <v>13</v>
      </c>
      <c r="E33073" s="8">
        <v>0</v>
      </c>
      <c r="F33073" s="8">
        <v>311</v>
      </c>
    </row>
    <row r="33074" spans="1:6" ht="12.75">
      <c r="A33074" s="8">
        <v>43889.747430555552</v>
      </c>
      <c r="B33074" s="8" t="str">
        <f>HYPERLINK("https://twitter.com/deftafauzi","@deftafauzi")</f>
        <v>@deftafauzi</v>
      </c>
      <c r="C33074" s="8" t="s">
        <v>12422</v>
      </c>
      <c r="D33074" s="8">
        <v>0</v>
      </c>
      <c r="E33074" s="8">
        <v>0</v>
      </c>
      <c r="F33074" s="8">
        <v>295</v>
      </c>
    </row>
    <row r="33075" spans="1:6" ht="12.75">
      <c r="A33075" s="8">
        <v>43889.74732638889</v>
      </c>
      <c r="B33075" s="8" t="str">
        <f>HYPERLINK("https://twitter.com/bekeraza","@bekeraza")</f>
        <v>@bekeraza</v>
      </c>
      <c r="C33075" s="8" t="s">
        <v>12071</v>
      </c>
      <c r="D33075" s="8">
        <v>52</v>
      </c>
      <c r="E33075" s="8">
        <v>0</v>
      </c>
      <c r="F33075" s="8">
        <v>2290</v>
      </c>
    </row>
    <row r="33076" spans="1:6" ht="12.75">
      <c r="A33076" s="8">
        <v>43889.747037037036</v>
      </c>
      <c r="B33076" s="8" t="str">
        <f>HYPERLINK("https://twitter.com/DedyNad_id","@DedyNad_id")</f>
        <v>@DedyNad_id</v>
      </c>
      <c r="C33076" s="8" t="s">
        <v>12423</v>
      </c>
      <c r="D33076" s="8">
        <v>88</v>
      </c>
      <c r="E33076" s="8">
        <v>0</v>
      </c>
      <c r="F33076" s="8">
        <v>3969</v>
      </c>
    </row>
    <row r="33077" spans="1:6" ht="12.75">
      <c r="A33077" s="8">
        <v>43889.74700231482</v>
      </c>
      <c r="B33077" s="8" t="str">
        <f>HYPERLINK("https://twitter.com/medcom_id","@medcom_id")</f>
        <v>@medcom_id</v>
      </c>
      <c r="C33077" s="8" t="s">
        <v>12424</v>
      </c>
      <c r="D33077" s="8">
        <v>0</v>
      </c>
      <c r="E33077" s="8">
        <v>0</v>
      </c>
      <c r="F33077" s="8">
        <v>18360</v>
      </c>
    </row>
    <row r="33078" spans="1:6" ht="12.75">
      <c r="A33078" s="8">
        <v>43889.746782407412</v>
      </c>
      <c r="B33078" s="8" t="str">
        <f>HYPERLINK("https://twitter.com/netizenterkini","@netizenterkini")</f>
        <v>@netizenterkini</v>
      </c>
      <c r="C33078" s="8" t="s">
        <v>12419</v>
      </c>
      <c r="D33078" s="8">
        <v>0</v>
      </c>
      <c r="E33078" s="8">
        <v>0</v>
      </c>
      <c r="F33078" s="8">
        <v>6</v>
      </c>
    </row>
    <row r="33079" spans="1:6" ht="12.75">
      <c r="A33079" s="8">
        <v>43889.746759259258</v>
      </c>
      <c r="B33079" s="8" t="str">
        <f>HYPERLINK("https://twitter.com/OldJoe771","@OldJoe771")</f>
        <v>@OldJoe771</v>
      </c>
      <c r="C33079" s="8" t="s">
        <v>10743</v>
      </c>
      <c r="D33079" s="8">
        <v>18</v>
      </c>
      <c r="E33079" s="8">
        <v>0</v>
      </c>
      <c r="F33079" s="8">
        <v>325</v>
      </c>
    </row>
    <row r="33080" spans="1:6" ht="12.75">
      <c r="A33080" s="8">
        <v>43889.746678240743</v>
      </c>
      <c r="B33080" s="8" t="str">
        <f>HYPERLINK("https://twitter.com/Metro_TV","@Metro_TV")</f>
        <v>@Metro_TV</v>
      </c>
      <c r="C33080" s="8" t="s">
        <v>12425</v>
      </c>
      <c r="D33080" s="8">
        <v>2</v>
      </c>
      <c r="E33080" s="8">
        <v>6</v>
      </c>
      <c r="F33080" s="8">
        <v>10514375</v>
      </c>
    </row>
    <row r="33081" spans="1:6" ht="12.75">
      <c r="A33081" s="8">
        <v>43889.746562500004</v>
      </c>
      <c r="B33081" s="8" t="str">
        <f>HYPERLINK("https://twitter.com/KavindraOemar","@KavindraOemar")</f>
        <v>@KavindraOemar</v>
      </c>
      <c r="C33081" s="8" t="s">
        <v>12426</v>
      </c>
      <c r="D33081" s="8">
        <v>1</v>
      </c>
      <c r="E33081" s="8">
        <v>0</v>
      </c>
      <c r="F33081" s="8">
        <v>3695</v>
      </c>
    </row>
    <row r="33082" spans="1:6" ht="12.75">
      <c r="A33082" s="8">
        <v>43889.746550925927</v>
      </c>
      <c r="B33082" s="8" t="str">
        <f>HYPERLINK("https://twitter.com/Arifin2Zainal","@Arifin2Zainal")</f>
        <v>@Arifin2Zainal</v>
      </c>
      <c r="C33082" s="8" t="s">
        <v>6836</v>
      </c>
      <c r="D33082" s="8">
        <v>13</v>
      </c>
      <c r="E33082" s="8">
        <v>0</v>
      </c>
      <c r="F33082" s="8">
        <v>1862</v>
      </c>
    </row>
    <row r="33083" spans="1:6" ht="12.75">
      <c r="A33083" s="8">
        <v>43889.746469907404</v>
      </c>
      <c r="B33083" s="8" t="str">
        <f>HYPERLINK("https://twitter.com/art4doo","@art4doo")</f>
        <v>@art4doo</v>
      </c>
      <c r="C33083" s="8" t="s">
        <v>12237</v>
      </c>
      <c r="D33083" s="8">
        <v>13</v>
      </c>
      <c r="E33083" s="8">
        <v>0</v>
      </c>
      <c r="F33083" s="8">
        <v>179</v>
      </c>
    </row>
    <row r="33084" spans="1:6" ht="12.75">
      <c r="A33084" s="8">
        <v>43889.746365740742</v>
      </c>
      <c r="B33084" s="8" t="str">
        <f>HYPERLINK("https://twitter.com/YakobusIndra","@YakobusIndra")</f>
        <v>@YakobusIndra</v>
      </c>
      <c r="C33084" s="8" t="s">
        <v>12427</v>
      </c>
      <c r="D33084" s="8">
        <v>0</v>
      </c>
      <c r="E33084" s="8">
        <v>0</v>
      </c>
      <c r="F33084" s="8">
        <v>5</v>
      </c>
    </row>
    <row r="33085" spans="1:6" ht="12.75">
      <c r="A33085" s="8">
        <v>43889.746296296296</v>
      </c>
      <c r="B33085" s="8" t="str">
        <f>HYPERLINK("https://twitter.com/netizenterkini","@netizenterkini")</f>
        <v>@netizenterkini</v>
      </c>
      <c r="C33085" s="8" t="s">
        <v>12418</v>
      </c>
      <c r="D33085" s="8">
        <v>0</v>
      </c>
      <c r="E33085" s="8">
        <v>0</v>
      </c>
      <c r="F33085" s="8">
        <v>6</v>
      </c>
    </row>
    <row r="33086" spans="1:6" ht="12.75">
      <c r="A33086" s="8">
        <v>43889.74627314815</v>
      </c>
      <c r="B33086" s="8" t="str">
        <f>HYPERLINK("https://twitter.com/Nov_andre2","@Nov_andre2")</f>
        <v>@Nov_andre2</v>
      </c>
      <c r="C33086" s="8" t="s">
        <v>11701</v>
      </c>
      <c r="D33086" s="8">
        <v>27</v>
      </c>
      <c r="E33086" s="8">
        <v>0</v>
      </c>
      <c r="F33086" s="8">
        <v>1670</v>
      </c>
    </row>
    <row r="33087" spans="1:6" ht="12.75">
      <c r="A33087" s="8">
        <v>43889.746064814812</v>
      </c>
      <c r="B33087" s="8" t="str">
        <f>HYPERLINK("https://twitter.com/dannydhe","@dannydhe")</f>
        <v>@dannydhe</v>
      </c>
      <c r="C33087" s="8" t="s">
        <v>6836</v>
      </c>
      <c r="D33087" s="8">
        <v>13</v>
      </c>
      <c r="E33087" s="8">
        <v>0</v>
      </c>
      <c r="F33087" s="8">
        <v>3490</v>
      </c>
    </row>
    <row r="33088" spans="1:6" ht="12.75">
      <c r="A33088" s="8">
        <v>43889.745856481481</v>
      </c>
      <c r="B33088" s="8" t="str">
        <f>HYPERLINK("https://twitter.com/Bongso_fanny","@Bongso_fanny")</f>
        <v>@Bongso_fanny</v>
      </c>
      <c r="C33088" s="8" t="s">
        <v>10721</v>
      </c>
      <c r="D33088" s="8">
        <v>113</v>
      </c>
      <c r="E33088" s="8">
        <v>0</v>
      </c>
      <c r="F33088" s="8">
        <v>781</v>
      </c>
    </row>
    <row r="33089" spans="1:6" ht="12.75">
      <c r="A33089" s="8">
        <v>43889.745810185181</v>
      </c>
      <c r="B33089" s="8" t="str">
        <f>HYPERLINK("https://twitter.com/si3positif","@si3positif")</f>
        <v>@si3positif</v>
      </c>
      <c r="C33089" s="8" t="s">
        <v>6490</v>
      </c>
      <c r="D33089" s="8">
        <v>27</v>
      </c>
      <c r="E33089" s="8">
        <v>0</v>
      </c>
      <c r="F33089" s="8">
        <v>165</v>
      </c>
    </row>
    <row r="33090" spans="1:6" ht="12.75">
      <c r="A33090" s="8">
        <v>43889.745520833334</v>
      </c>
      <c r="B33090" s="8" t="str">
        <f>HYPERLINK("https://twitter.com/JSAnurogo","@JSAnurogo")</f>
        <v>@JSAnurogo</v>
      </c>
      <c r="C33090" s="8" t="s">
        <v>9768</v>
      </c>
      <c r="D33090" s="8">
        <v>36</v>
      </c>
      <c r="E33090" s="8">
        <v>0</v>
      </c>
      <c r="F33090" s="8">
        <v>780</v>
      </c>
    </row>
    <row r="33091" spans="1:6" ht="12.75">
      <c r="A33091" s="8">
        <v>43889.745462962965</v>
      </c>
      <c r="B33091" s="8" t="str">
        <f>HYPERLINK("https://twitter.com/FahitaRizky","@FahitaRizky")</f>
        <v>@FahitaRizky</v>
      </c>
      <c r="C33091" s="8" t="s">
        <v>11283</v>
      </c>
      <c r="D33091" s="8">
        <v>5</v>
      </c>
      <c r="E33091" s="8">
        <v>0</v>
      </c>
      <c r="F33091" s="8">
        <v>7</v>
      </c>
    </row>
    <row r="33092" spans="1:6" ht="12.75">
      <c r="A33092" s="8">
        <v>43889.745150462964</v>
      </c>
      <c r="B33092" s="8" t="str">
        <f>HYPERLINK("https://twitter.com/InvilonT","@InvilonT")</f>
        <v>@InvilonT</v>
      </c>
      <c r="C33092" s="8" t="s">
        <v>12428</v>
      </c>
      <c r="D33092" s="8">
        <v>0</v>
      </c>
      <c r="E33092" s="8">
        <v>1</v>
      </c>
      <c r="F33092" s="8">
        <v>1</v>
      </c>
    </row>
    <row r="33093" spans="1:6" ht="12.75">
      <c r="A33093" s="8">
        <v>43889.745127314818</v>
      </c>
      <c r="B33093" s="8" t="str">
        <f>HYPERLINK("https://twitter.com/Metro_TV","@Metro_TV")</f>
        <v>@Metro_TV</v>
      </c>
      <c r="C33093" s="8" t="s">
        <v>12429</v>
      </c>
      <c r="D33093" s="8">
        <v>1</v>
      </c>
      <c r="E33093" s="8">
        <v>4</v>
      </c>
      <c r="F33093" s="8">
        <v>10514375</v>
      </c>
    </row>
    <row r="33094" spans="1:6" ht="12.75">
      <c r="A33094" s="8">
        <v>43889.745034722218</v>
      </c>
      <c r="B33094" s="8" t="str">
        <f>HYPERLINK("https://twitter.com/kangmasheru81","@kangmasheru81")</f>
        <v>@kangmasheru81</v>
      </c>
      <c r="C33094" s="8" t="s">
        <v>6490</v>
      </c>
      <c r="D33094" s="8">
        <v>27</v>
      </c>
      <c r="E33094" s="8">
        <v>0</v>
      </c>
      <c r="F33094" s="8">
        <v>84</v>
      </c>
    </row>
    <row r="33095" spans="1:6" ht="12.75">
      <c r="A33095" s="8">
        <v>43889.744791666672</v>
      </c>
      <c r="B33095" s="8" t="str">
        <f>HYPERLINK("https://twitter.com/SlametAlBanyum1","@SlametAlBanyum1")</f>
        <v>@SlametAlBanyum1</v>
      </c>
      <c r="C33095" s="8" t="s">
        <v>12430</v>
      </c>
      <c r="D33095" s="8">
        <v>0</v>
      </c>
      <c r="E33095" s="8">
        <v>0</v>
      </c>
      <c r="F33095" s="8">
        <v>9</v>
      </c>
    </row>
    <row r="33096" spans="1:6" ht="12.75">
      <c r="A33096" s="8">
        <v>43889.744733796295</v>
      </c>
      <c r="B33096" s="8" t="str">
        <f>HYPERLINK("https://twitter.com/topan_evr","@topan_evr")</f>
        <v>@topan_evr</v>
      </c>
      <c r="C33096" s="8" t="s">
        <v>12427</v>
      </c>
      <c r="D33096" s="8">
        <v>0</v>
      </c>
      <c r="E33096" s="8">
        <v>0</v>
      </c>
      <c r="F33096" s="8">
        <v>6</v>
      </c>
    </row>
    <row r="33097" spans="1:6" ht="12.75">
      <c r="A33097" s="8">
        <v>43889.744722222225</v>
      </c>
      <c r="B33097" s="8" t="str">
        <f>HYPERLINK("https://twitter.com/Kasianus_Entawa","@Kasianus_Entawa")</f>
        <v>@Kasianus_Entawa</v>
      </c>
      <c r="C33097" s="8" t="s">
        <v>12427</v>
      </c>
      <c r="D33097" s="8">
        <v>0</v>
      </c>
      <c r="E33097" s="8">
        <v>0</v>
      </c>
      <c r="F33097" s="8">
        <v>0</v>
      </c>
    </row>
    <row r="33098" spans="1:6" ht="12.75">
      <c r="A33098" s="8">
        <v>43889.744687500002</v>
      </c>
      <c r="B33098" s="8" t="str">
        <f>HYPERLINK("https://twitter.com/abbasmahmud12","@abbasmahmud12")</f>
        <v>@abbasmahmud12</v>
      </c>
      <c r="C33098" s="8" t="s">
        <v>12427</v>
      </c>
      <c r="D33098" s="8">
        <v>0</v>
      </c>
      <c r="E33098" s="8">
        <v>0</v>
      </c>
      <c r="F33098" s="8">
        <v>2</v>
      </c>
    </row>
    <row r="33099" spans="1:6" ht="12.75">
      <c r="A33099" s="8">
        <v>43889.744675925926</v>
      </c>
      <c r="B33099" s="8" t="str">
        <f>HYPERLINK("https://twitter.com/natalia_stf","@natalia_stf")</f>
        <v>@natalia_stf</v>
      </c>
      <c r="C33099" s="8" t="s">
        <v>12427</v>
      </c>
      <c r="D33099" s="8">
        <v>0</v>
      </c>
      <c r="E33099" s="8">
        <v>0</v>
      </c>
      <c r="F33099" s="8">
        <v>7</v>
      </c>
    </row>
    <row r="33100" spans="1:6" ht="12.75">
      <c r="A33100" s="8">
        <v>43889.744629629626</v>
      </c>
      <c r="B33100" s="8" t="str">
        <f>HYPERLINK("https://twitter.com/MFmuzaki","@MFmuzaki")</f>
        <v>@MFmuzaki</v>
      </c>
      <c r="C33100" s="8" t="s">
        <v>12325</v>
      </c>
      <c r="D33100" s="8">
        <v>2</v>
      </c>
      <c r="E33100" s="8">
        <v>0</v>
      </c>
      <c r="F33100" s="8">
        <v>321</v>
      </c>
    </row>
    <row r="33101" spans="1:6" ht="12.75">
      <c r="A33101" s="8">
        <v>43889.744560185187</v>
      </c>
      <c r="B33101" s="8" t="str">
        <f>HYPERLINK("https://twitter.com/widia_nulfitri","@widia_nulfitri")</f>
        <v>@widia_nulfitri</v>
      </c>
      <c r="C33101" s="8" t="s">
        <v>12427</v>
      </c>
      <c r="D33101" s="8">
        <v>0</v>
      </c>
      <c r="E33101" s="8">
        <v>0</v>
      </c>
      <c r="F33101" s="8">
        <v>4</v>
      </c>
    </row>
    <row r="33102" spans="1:6" ht="12.75">
      <c r="A33102" s="8">
        <v>43889.74454861111</v>
      </c>
      <c r="B33102" s="8" t="str">
        <f>HYPERLINK("https://twitter.com/nadiaramadhani0","@nadiaramadhani0")</f>
        <v>@nadiaramadhani0</v>
      </c>
      <c r="C33102" s="8" t="s">
        <v>12427</v>
      </c>
      <c r="D33102" s="8">
        <v>0</v>
      </c>
      <c r="E33102" s="8">
        <v>0</v>
      </c>
      <c r="F33102" s="8">
        <v>4</v>
      </c>
    </row>
    <row r="33103" spans="1:6" ht="12.75">
      <c r="A33103" s="8">
        <v>43889.744537037041</v>
      </c>
      <c r="B33103" s="8" t="str">
        <f>HYPERLINK("https://twitter.com/BataraKapuas","@BataraKapuas")</f>
        <v>@BataraKapuas</v>
      </c>
      <c r="C33103" s="8" t="s">
        <v>12427</v>
      </c>
      <c r="D33103" s="8">
        <v>0</v>
      </c>
      <c r="E33103" s="8">
        <v>0</v>
      </c>
      <c r="F33103" s="8">
        <v>6</v>
      </c>
    </row>
    <row r="33104" spans="1:6" ht="12.75">
      <c r="A33104" s="8">
        <v>43889.715115740742</v>
      </c>
      <c r="B33104" s="8" t="str">
        <f>HYPERLINK("https://twitter.com/BeguGan35398537","@BeguGan35398537")</f>
        <v>@BeguGan35398537</v>
      </c>
      <c r="C33104" s="8" t="s">
        <v>12431</v>
      </c>
      <c r="D33104" s="8">
        <v>0</v>
      </c>
      <c r="E33104" s="8">
        <v>1</v>
      </c>
      <c r="F33104" s="8">
        <v>2</v>
      </c>
    </row>
    <row r="33105" spans="1:6" ht="12.75">
      <c r="A33105" s="8">
        <v>43889.715092592596</v>
      </c>
      <c r="B33105" s="8" t="str">
        <f>HYPERLINK("https://twitter.com/reshumastangsel","@reshumastangsel")</f>
        <v>@reshumastangsel</v>
      </c>
      <c r="C33105" s="8" t="s">
        <v>12432</v>
      </c>
      <c r="D33105" s="8">
        <v>0</v>
      </c>
      <c r="E33105" s="8">
        <v>0</v>
      </c>
      <c r="F33105" s="8">
        <v>15</v>
      </c>
    </row>
    <row r="33106" spans="1:6" ht="12.75">
      <c r="A33106" s="8">
        <v>43889.715081018519</v>
      </c>
      <c r="B33106" s="8" t="str">
        <f>HYPERLINK("https://twitter.com/okezonenews","@okezonenews")</f>
        <v>@okezonenews</v>
      </c>
      <c r="C33106" s="8" t="s">
        <v>12433</v>
      </c>
      <c r="D33106" s="8">
        <v>0</v>
      </c>
      <c r="E33106" s="8">
        <v>0</v>
      </c>
      <c r="F33106" s="8">
        <v>1743922</v>
      </c>
    </row>
    <row r="33107" spans="1:6" ht="12.75">
      <c r="A33107" s="8">
        <v>43889.71503472222</v>
      </c>
      <c r="B33107" s="8" t="str">
        <f>HYPERLINK("https://twitter.com/mohammadkoba","@mohammadkoba")</f>
        <v>@mohammadkoba</v>
      </c>
      <c r="C33107" s="8" t="s">
        <v>8321</v>
      </c>
      <c r="D33107" s="8">
        <v>2</v>
      </c>
      <c r="E33107" s="8">
        <v>0</v>
      </c>
      <c r="F33107" s="8">
        <v>355</v>
      </c>
    </row>
    <row r="33108" spans="1:6" ht="12.75">
      <c r="A33108" s="8">
        <v>43889.71502314815</v>
      </c>
      <c r="B33108" s="8" t="str">
        <f>HYPERLINK("https://twitter.com/AnugrahBerla","@AnugrahBerla")</f>
        <v>@AnugrahBerla</v>
      </c>
      <c r="C33108" s="8" t="s">
        <v>11964</v>
      </c>
      <c r="D33108" s="8">
        <v>527</v>
      </c>
      <c r="E33108" s="8">
        <v>0</v>
      </c>
      <c r="F33108" s="8">
        <v>21</v>
      </c>
    </row>
    <row r="33109" spans="1:6" ht="12.75">
      <c r="A33109" s="8">
        <v>43889.71497685185</v>
      </c>
      <c r="B33109" s="8" t="str">
        <f>HYPERLINK("https://twitter.com/WahyudiKp3","@WahyudiKp3")</f>
        <v>@WahyudiKp3</v>
      </c>
      <c r="C33109" s="8" t="s">
        <v>12434</v>
      </c>
      <c r="D33109" s="8">
        <v>1</v>
      </c>
      <c r="E33109" s="8">
        <v>0</v>
      </c>
      <c r="F33109" s="8">
        <v>0</v>
      </c>
    </row>
    <row r="33110" spans="1:6" ht="12.75">
      <c r="A33110" s="8">
        <v>43889.714895833335</v>
      </c>
      <c r="B33110" s="8" t="str">
        <f>HYPERLINK("https://twitter.com/Muhamma71102823","@Muhamma71102823")</f>
        <v>@Muhamma71102823</v>
      </c>
      <c r="C33110" s="8" t="s">
        <v>12435</v>
      </c>
      <c r="D33110" s="8">
        <v>0</v>
      </c>
      <c r="E33110" s="8">
        <v>0</v>
      </c>
      <c r="F33110" s="8">
        <v>3</v>
      </c>
    </row>
    <row r="33111" spans="1:6" ht="12.75">
      <c r="A33111" s="8">
        <v>43889.71475694445</v>
      </c>
      <c r="B33111" s="8" t="str">
        <f>HYPERLINK("https://twitter.com/polsekBojo","@polsekBojo")</f>
        <v>@polsekBojo</v>
      </c>
      <c r="C33111" s="8" t="s">
        <v>11173</v>
      </c>
      <c r="D33111" s="8">
        <v>0</v>
      </c>
      <c r="E33111" s="8">
        <v>0</v>
      </c>
      <c r="F33111" s="8">
        <v>107</v>
      </c>
    </row>
    <row r="33112" spans="1:6" ht="12.75">
      <c r="A33112" s="8">
        <v>43889.714525462958</v>
      </c>
      <c r="B33112" s="8" t="str">
        <f>HYPERLINK("https://twitter.com/romitj","@romitj")</f>
        <v>@romitj</v>
      </c>
      <c r="C33112" s="8" t="s">
        <v>9768</v>
      </c>
      <c r="D33112" s="8">
        <v>22</v>
      </c>
      <c r="E33112" s="8">
        <v>0</v>
      </c>
      <c r="F33112" s="8">
        <v>512</v>
      </c>
    </row>
    <row r="33113" spans="1:6" ht="12.75">
      <c r="A33113" s="8">
        <v>43889.714189814811</v>
      </c>
      <c r="B33113" s="8" t="str">
        <f>HYPERLINK("https://twitter.com/sitianingsih6","@sitianingsih6")</f>
        <v>@sitianingsih6</v>
      </c>
      <c r="C33113" s="8" t="s">
        <v>12436</v>
      </c>
      <c r="D33113" s="8">
        <v>0</v>
      </c>
      <c r="E33113" s="8">
        <v>0</v>
      </c>
      <c r="F33113" s="8">
        <v>1</v>
      </c>
    </row>
    <row r="33114" spans="1:6" ht="12.75">
      <c r="A33114" s="8">
        <v>43889.713993055557</v>
      </c>
      <c r="B33114" s="8" t="str">
        <f>HYPERLINK("https://twitter.com/yossiuriyeremia","@yossiuriyeremia")</f>
        <v>@yossiuriyeremia</v>
      </c>
      <c r="C33114" s="8" t="s">
        <v>11217</v>
      </c>
      <c r="D33114" s="8">
        <v>36</v>
      </c>
      <c r="E33114" s="8">
        <v>0</v>
      </c>
      <c r="F33114" s="8">
        <v>414</v>
      </c>
    </row>
    <row r="33115" spans="1:6" ht="12.75">
      <c r="A33115" s="8">
        <v>43889.713993055557</v>
      </c>
      <c r="B33115" s="8" t="str">
        <f>HYPERLINK("https://twitter.com/paquitacumadebu","@paquitacumadebu")</f>
        <v>@paquitacumadebu</v>
      </c>
      <c r="C33115" s="8" t="s">
        <v>11691</v>
      </c>
      <c r="D33115" s="8">
        <v>9</v>
      </c>
      <c r="E33115" s="8">
        <v>0</v>
      </c>
      <c r="F33115" s="8">
        <v>1738</v>
      </c>
    </row>
    <row r="33116" spans="1:6" ht="12.75">
      <c r="A33116" s="8">
        <v>43889.71398148148</v>
      </c>
      <c r="B33116" s="8" t="str">
        <f>HYPERLINK("https://twitter.com/christianimerry","@christianimerry")</f>
        <v>@christianimerry</v>
      </c>
      <c r="C33116" s="8" t="s">
        <v>10721</v>
      </c>
      <c r="D33116" s="8">
        <v>104</v>
      </c>
      <c r="E33116" s="8">
        <v>0</v>
      </c>
      <c r="F33116" s="8">
        <v>84</v>
      </c>
    </row>
    <row r="33117" spans="1:6" ht="12.75">
      <c r="A33117" s="8">
        <v>43889.713749999995</v>
      </c>
      <c r="B33117" s="8" t="str">
        <f>HYPERLINK("https://twitter.com/ssebjn","@ssebjn")</f>
        <v>@ssebjn</v>
      </c>
      <c r="C33117" s="8" t="s">
        <v>11102</v>
      </c>
      <c r="D33117" s="8">
        <v>381</v>
      </c>
      <c r="E33117" s="8">
        <v>0</v>
      </c>
      <c r="F33117" s="8">
        <v>651</v>
      </c>
    </row>
    <row r="33118" spans="1:6" ht="12.75">
      <c r="A33118" s="8">
        <v>43889.713564814811</v>
      </c>
      <c r="B33118" s="8" t="str">
        <f>HYPERLINK("https://twitter.com/AAliilah","@AAliilah")</f>
        <v>@AAliilah</v>
      </c>
      <c r="C33118" s="8" t="s">
        <v>12437</v>
      </c>
      <c r="D33118" s="8">
        <v>0</v>
      </c>
      <c r="E33118" s="8">
        <v>0</v>
      </c>
      <c r="F33118" s="8">
        <v>67</v>
      </c>
    </row>
    <row r="33119" spans="1:6" ht="12.75">
      <c r="A33119" s="8">
        <v>43889.713553240741</v>
      </c>
      <c r="B33119" s="8" t="str">
        <f>HYPERLINK("https://twitter.com/Wulanaiyu1","@Wulanaiyu1")</f>
        <v>@Wulanaiyu1</v>
      </c>
      <c r="C33119" s="8" t="s">
        <v>12438</v>
      </c>
      <c r="D33119" s="8">
        <v>2</v>
      </c>
      <c r="E33119" s="8">
        <v>0</v>
      </c>
      <c r="F33119" s="8">
        <v>140</v>
      </c>
    </row>
    <row r="33120" spans="1:6" ht="12.75">
      <c r="A33120" s="8">
        <v>43889.713437500002</v>
      </c>
      <c r="B33120" s="8" t="str">
        <f>HYPERLINK("https://twitter.com/r0nggo05","@r0nggo05")</f>
        <v>@r0nggo05</v>
      </c>
      <c r="C33120" s="8" t="s">
        <v>8321</v>
      </c>
      <c r="D33120" s="8">
        <v>2</v>
      </c>
      <c r="E33120" s="8">
        <v>0</v>
      </c>
      <c r="F33120" s="8">
        <v>329</v>
      </c>
    </row>
    <row r="33121" spans="1:6" ht="12.75">
      <c r="A33121" s="8">
        <v>43889.713368055556</v>
      </c>
      <c r="B33121" s="8" t="str">
        <f>HYPERLINK("https://twitter.com/Metro_TV","@Metro_TV")</f>
        <v>@Metro_TV</v>
      </c>
      <c r="C33121" s="8" t="s">
        <v>12439</v>
      </c>
      <c r="D33121" s="8">
        <v>0</v>
      </c>
      <c r="E33121" s="8">
        <v>1</v>
      </c>
      <c r="F33121" s="8">
        <v>10514370</v>
      </c>
    </row>
    <row r="33122" spans="1:6" ht="12.75">
      <c r="A33122" s="8">
        <v>43889.713090277779</v>
      </c>
      <c r="B33122" s="8" t="str">
        <f>HYPERLINK("https://twitter.com/tins_51","@tins_51")</f>
        <v>@tins_51</v>
      </c>
      <c r="C33122" s="8" t="s">
        <v>12065</v>
      </c>
      <c r="D33122" s="8">
        <v>49</v>
      </c>
      <c r="E33122" s="8">
        <v>0</v>
      </c>
      <c r="F33122" s="8">
        <v>512</v>
      </c>
    </row>
    <row r="33123" spans="1:6" ht="12.75">
      <c r="A33123" s="8">
        <v>43889.713067129633</v>
      </c>
      <c r="B33123" s="8" t="str">
        <f>HYPERLINK("https://twitter.com/kimochiii_","@kimochiii_")</f>
        <v>@kimochiii_</v>
      </c>
      <c r="C33123" s="8" t="s">
        <v>12440</v>
      </c>
      <c r="D33123" s="8">
        <v>0</v>
      </c>
      <c r="E33123" s="8">
        <v>1</v>
      </c>
      <c r="F33123" s="8">
        <v>10206</v>
      </c>
    </row>
    <row r="33124" spans="1:6" ht="12.75">
      <c r="A33124" s="8">
        <v>43889.713009259256</v>
      </c>
      <c r="B33124" s="8" t="str">
        <f>HYPERLINK("https://twitter.com/thomas7suherman","@thomas7suherman")</f>
        <v>@thomas7suherman</v>
      </c>
      <c r="C33124" s="8" t="s">
        <v>12056</v>
      </c>
      <c r="D33124" s="8">
        <v>32</v>
      </c>
      <c r="E33124" s="8">
        <v>0</v>
      </c>
      <c r="F33124" s="8">
        <v>2017</v>
      </c>
    </row>
    <row r="33125" spans="1:6" ht="12.75">
      <c r="A33125" s="8">
        <v>43889.712974537033</v>
      </c>
      <c r="B33125" s="8" t="str">
        <f>HYPERLINK("https://twitter.com/DwWagio","@DwWagio")</f>
        <v>@DwWagio</v>
      </c>
      <c r="C33125" s="8" t="s">
        <v>12441</v>
      </c>
      <c r="D33125" s="8">
        <v>1</v>
      </c>
      <c r="E33125" s="8">
        <v>0</v>
      </c>
      <c r="F33125" s="8">
        <v>4</v>
      </c>
    </row>
    <row r="33126" spans="1:6" ht="12.75">
      <c r="A33126" s="8">
        <v>43889.712800925925</v>
      </c>
      <c r="B33126" s="8" t="str">
        <f>HYPERLINK("https://twitter.com/Evarosd8","@Evarosd8")</f>
        <v>@Evarosd8</v>
      </c>
      <c r="C33126" s="8" t="s">
        <v>12442</v>
      </c>
      <c r="D33126" s="8">
        <v>0</v>
      </c>
      <c r="E33126" s="8">
        <v>0</v>
      </c>
      <c r="F33126" s="8">
        <v>51</v>
      </c>
    </row>
    <row r="33127" spans="1:6" ht="12.75">
      <c r="A33127" s="8">
        <v>43889.712685185186</v>
      </c>
      <c r="B33127" s="8" t="str">
        <f>HYPERLINK("https://twitter.com/edisudwb","@edisudwb")</f>
        <v>@edisudwb</v>
      </c>
      <c r="C33127" s="8" t="s">
        <v>12354</v>
      </c>
      <c r="D33127" s="8">
        <v>1</v>
      </c>
      <c r="E33127" s="8">
        <v>0</v>
      </c>
      <c r="F33127" s="8">
        <v>1</v>
      </c>
    </row>
    <row r="33128" spans="1:6" ht="12.75">
      <c r="A33128" s="8">
        <v>43889.712673611109</v>
      </c>
      <c r="B33128" s="8" t="str">
        <f>HYPERLINK("https://twitter.com/muridanarki","@muridanarki")</f>
        <v>@muridanarki</v>
      </c>
      <c r="C33128" s="8" t="s">
        <v>12406</v>
      </c>
      <c r="D33128" s="8">
        <v>133</v>
      </c>
      <c r="E33128" s="8">
        <v>0</v>
      </c>
      <c r="F33128" s="8">
        <v>127</v>
      </c>
    </row>
    <row r="33129" spans="1:6" ht="12.75">
      <c r="A33129" s="8">
        <v>43889.712673611109</v>
      </c>
      <c r="B33129" s="8" t="str">
        <f>HYPERLINK("https://twitter.com/qqimha","@qqimha")</f>
        <v>@qqimha</v>
      </c>
      <c r="C33129" s="8" t="s">
        <v>11102</v>
      </c>
      <c r="D33129" s="8">
        <v>381</v>
      </c>
      <c r="E33129" s="8">
        <v>0</v>
      </c>
      <c r="F33129" s="8">
        <v>141</v>
      </c>
    </row>
    <row r="33130" spans="1:6" ht="12.75">
      <c r="A33130" s="8">
        <v>43889.712534722217</v>
      </c>
      <c r="B33130" s="8" t="str">
        <f>HYPERLINK("https://twitter.com/OposisiNasional","@OposisiNasional")</f>
        <v>@OposisiNasional</v>
      </c>
      <c r="C33130" s="8" t="s">
        <v>12037</v>
      </c>
      <c r="D33130" s="8">
        <v>0</v>
      </c>
      <c r="E33130" s="8">
        <v>0</v>
      </c>
      <c r="F33130" s="8">
        <v>1717</v>
      </c>
    </row>
    <row r="33131" spans="1:6" ht="12.75">
      <c r="A33131" s="8">
        <v>43889.712256944447</v>
      </c>
      <c r="B33131" s="8" t="str">
        <f>HYPERLINK("https://twitter.com/fjrnoviarni","@fjrnoviarni")</f>
        <v>@fjrnoviarni</v>
      </c>
      <c r="C33131" s="8" t="s">
        <v>12443</v>
      </c>
      <c r="D33131" s="8">
        <v>0</v>
      </c>
      <c r="E33131" s="8">
        <v>0</v>
      </c>
      <c r="F33131" s="8">
        <v>96</v>
      </c>
    </row>
    <row r="33132" spans="1:6" ht="12.75">
      <c r="A33132" s="8">
        <v>43889.712256944447</v>
      </c>
      <c r="B33132" s="8" t="str">
        <f>HYPERLINK("https://twitter.com/tribunusjatim","@tribunusjatim")</f>
        <v>@tribunusjatim</v>
      </c>
      <c r="C33132" s="8" t="s">
        <v>12444</v>
      </c>
      <c r="D33132" s="8">
        <v>0</v>
      </c>
      <c r="E33132" s="8">
        <v>0</v>
      </c>
      <c r="F33132" s="8">
        <v>1063</v>
      </c>
    </row>
    <row r="33133" spans="1:6" ht="12.75">
      <c r="A33133" s="8">
        <v>43889.712187500001</v>
      </c>
      <c r="B33133" s="8" t="str">
        <f>HYPERLINK("https://twitter.com/Haluan_","@Haluan_")</f>
        <v>@Haluan_</v>
      </c>
      <c r="C33133" s="8" t="s">
        <v>12445</v>
      </c>
      <c r="D33133" s="8">
        <v>0</v>
      </c>
      <c r="E33133" s="8">
        <v>0</v>
      </c>
      <c r="F33133" s="8">
        <v>1503</v>
      </c>
    </row>
    <row r="33134" spans="1:6" ht="12.75">
      <c r="A33134" s="8">
        <v>43889.711956018524</v>
      </c>
      <c r="B33134" s="8" t="str">
        <f>HYPERLINK("https://twitter.com/Menlu_RI","@Menlu_RI")</f>
        <v>@Menlu_RI</v>
      </c>
      <c r="C33134" s="8" t="s">
        <v>12446</v>
      </c>
      <c r="D33134" s="8">
        <v>2</v>
      </c>
      <c r="E33134" s="8">
        <v>8</v>
      </c>
      <c r="F33134" s="8">
        <v>28004</v>
      </c>
    </row>
    <row r="33135" spans="1:6" ht="12.75">
      <c r="A33135" s="8">
        <v>43889.711851851855</v>
      </c>
      <c r="B33135" s="8" t="str">
        <f>HYPERLINK("https://twitter.com/Polsekluttawar1","@Polsekluttawar1")</f>
        <v>@Polsekluttawar1</v>
      </c>
      <c r="C33135" s="8" t="s">
        <v>12447</v>
      </c>
      <c r="D33135" s="8">
        <v>0</v>
      </c>
      <c r="E33135" s="8">
        <v>0</v>
      </c>
      <c r="F33135" s="8">
        <v>1</v>
      </c>
    </row>
    <row r="33136" spans="1:6" ht="12.75">
      <c r="A33136" s="8">
        <v>43889.71157407407</v>
      </c>
      <c r="B33136" s="8" t="str">
        <f>HYPERLINK("https://twitter.com/Faylasalle2","@Faylasalle2")</f>
        <v>@Faylasalle2</v>
      </c>
      <c r="C33136" s="8" t="s">
        <v>12171</v>
      </c>
      <c r="D33136" s="8">
        <v>4</v>
      </c>
      <c r="E33136" s="8">
        <v>0</v>
      </c>
      <c r="F33136" s="8">
        <v>516</v>
      </c>
    </row>
    <row r="33137" spans="1:6" ht="12.75">
      <c r="A33137" s="8">
        <v>43889.711446759262</v>
      </c>
      <c r="B33137" s="8" t="str">
        <f>HYPERLINK("https://twitter.com/Liestiawan23","@Liestiawan23")</f>
        <v>@Liestiawan23</v>
      </c>
      <c r="C33137" s="8" t="s">
        <v>12108</v>
      </c>
      <c r="D33137" s="8">
        <v>10</v>
      </c>
      <c r="E33137" s="8">
        <v>0</v>
      </c>
      <c r="F33137" s="8">
        <v>27</v>
      </c>
    </row>
    <row r="33138" spans="1:6" ht="12.75">
      <c r="A33138" s="8">
        <v>43889.711412037039</v>
      </c>
      <c r="B33138" s="8" t="str">
        <f t="shared" ref="B33138:B33140" si="455">HYPERLINK("https://twitter.com/AlbertBatlayeri","@AlbertBatlayeri")</f>
        <v>@AlbertBatlayeri</v>
      </c>
      <c r="C33138" s="8" t="s">
        <v>12448</v>
      </c>
      <c r="D33138" s="8">
        <v>0</v>
      </c>
      <c r="E33138" s="8">
        <v>0</v>
      </c>
      <c r="F33138" s="8">
        <v>1306</v>
      </c>
    </row>
    <row r="33139" spans="1:6" ht="12.75">
      <c r="A33139" s="8">
        <v>43889.711412037039</v>
      </c>
      <c r="B33139" s="8" t="str">
        <f t="shared" si="455"/>
        <v>@AlbertBatlayeri</v>
      </c>
      <c r="C33139" s="8" t="s">
        <v>12449</v>
      </c>
      <c r="D33139" s="8">
        <v>0</v>
      </c>
      <c r="E33139" s="8">
        <v>0</v>
      </c>
      <c r="F33139" s="8">
        <v>1306</v>
      </c>
    </row>
    <row r="33140" spans="1:6" ht="12.75">
      <c r="A33140" s="8">
        <v>43889.711400462962</v>
      </c>
      <c r="B33140" s="8" t="str">
        <f t="shared" si="455"/>
        <v>@AlbertBatlayeri</v>
      </c>
      <c r="C33140" s="8" t="s">
        <v>12448</v>
      </c>
      <c r="D33140" s="8">
        <v>0</v>
      </c>
      <c r="E33140" s="8">
        <v>0</v>
      </c>
      <c r="F33140" s="8">
        <v>1306</v>
      </c>
    </row>
    <row r="33141" spans="1:6" ht="12.75">
      <c r="A33141" s="8">
        <v>43889.711377314816</v>
      </c>
      <c r="B33141" s="8" t="str">
        <f t="shared" ref="B33141:B33142" si="456">HYPERLINK("https://twitter.com/Liestiawan23","@Liestiawan23")</f>
        <v>@Liestiawan23</v>
      </c>
      <c r="C33141" s="8" t="s">
        <v>12285</v>
      </c>
      <c r="D33141" s="8">
        <v>2</v>
      </c>
      <c r="E33141" s="8">
        <v>0</v>
      </c>
      <c r="F33141" s="8">
        <v>27</v>
      </c>
    </row>
    <row r="33142" spans="1:6" ht="12.75">
      <c r="A33142" s="8">
        <v>43889.71125</v>
      </c>
      <c r="B33142" s="8" t="str">
        <f t="shared" si="456"/>
        <v>@Liestiawan23</v>
      </c>
      <c r="C33142" s="8" t="s">
        <v>12287</v>
      </c>
      <c r="D33142" s="8">
        <v>2</v>
      </c>
      <c r="E33142" s="8">
        <v>0</v>
      </c>
      <c r="F33142" s="8">
        <v>27</v>
      </c>
    </row>
    <row r="33143" spans="1:6" ht="12.75">
      <c r="A33143" s="8">
        <v>43889.711134259254</v>
      </c>
      <c r="B33143" s="8" t="str">
        <f>HYPERLINK("https://twitter.com/BeguGan35398537","@BeguGan35398537")</f>
        <v>@BeguGan35398537</v>
      </c>
      <c r="C33143" s="8" t="s">
        <v>12450</v>
      </c>
      <c r="D33143" s="8">
        <v>0</v>
      </c>
      <c r="E33143" s="8">
        <v>1</v>
      </c>
      <c r="F33143" s="8">
        <v>2</v>
      </c>
    </row>
    <row r="33144" spans="1:6" ht="12.75">
      <c r="A33144" s="8">
        <v>43889.711087962962</v>
      </c>
      <c r="B33144" s="8" t="str">
        <f>HYPERLINK("https://twitter.com/Pakdhe_Didi","@Pakdhe_Didi")</f>
        <v>@Pakdhe_Didi</v>
      </c>
      <c r="C33144" s="8" t="s">
        <v>12056</v>
      </c>
      <c r="D33144" s="8">
        <v>32</v>
      </c>
      <c r="E33144" s="8">
        <v>0</v>
      </c>
      <c r="F33144" s="8">
        <v>199</v>
      </c>
    </row>
    <row r="33145" spans="1:6" ht="12.75">
      <c r="A33145" s="8">
        <v>43889.711087962962</v>
      </c>
      <c r="B33145" s="8" t="str">
        <f>HYPERLINK("https://twitter.com/polsekBojo","@polsekBojo")</f>
        <v>@polsekBojo</v>
      </c>
      <c r="C33145" s="8" t="s">
        <v>11173</v>
      </c>
      <c r="D33145" s="8">
        <v>0</v>
      </c>
      <c r="E33145" s="8">
        <v>0</v>
      </c>
      <c r="F33145" s="8">
        <v>107</v>
      </c>
    </row>
    <row r="33146" spans="1:6" ht="12.75">
      <c r="A33146" s="8">
        <v>43889.710960648154</v>
      </c>
      <c r="B33146" s="8" t="str">
        <f>HYPERLINK("https://twitter.com/surimantea","@surimantea")</f>
        <v>@surimantea</v>
      </c>
      <c r="C33146" s="8" t="s">
        <v>12171</v>
      </c>
      <c r="D33146" s="8">
        <v>4</v>
      </c>
      <c r="E33146" s="8">
        <v>0</v>
      </c>
      <c r="F33146" s="8">
        <v>126</v>
      </c>
    </row>
    <row r="33147" spans="1:6" ht="12.75">
      <c r="A33147" s="8">
        <v>43889.71094907407</v>
      </c>
      <c r="B33147" s="8" t="str">
        <f>HYPERLINK("https://twitter.com/agthlia","@agthlia")</f>
        <v>@agthlia</v>
      </c>
      <c r="C33147" s="8" t="s">
        <v>12451</v>
      </c>
      <c r="D33147" s="8">
        <v>1</v>
      </c>
      <c r="E33147" s="8">
        <v>0</v>
      </c>
      <c r="F33147" s="8">
        <v>291</v>
      </c>
    </row>
    <row r="33148" spans="1:6" ht="12.75">
      <c r="A33148" s="8">
        <v>43889.710914351846</v>
      </c>
      <c r="B33148" s="8" t="str">
        <f>HYPERLINK("https://twitter.com/Adhariyandi3","@Adhariyandi3")</f>
        <v>@Adhariyandi3</v>
      </c>
      <c r="C33148" s="8" t="s">
        <v>12452</v>
      </c>
      <c r="D33148" s="8">
        <v>0</v>
      </c>
      <c r="E33148" s="8">
        <v>1</v>
      </c>
      <c r="F33148" s="8">
        <v>0</v>
      </c>
    </row>
    <row r="33149" spans="1:6" ht="12.75">
      <c r="A33149" s="8">
        <v>43889.710891203707</v>
      </c>
      <c r="B33149" s="8" t="str">
        <f>HYPERLINK("https://twitter.com/JudasAnarki","@JudasAnarki")</f>
        <v>@JudasAnarki</v>
      </c>
      <c r="C33149" s="8" t="s">
        <v>12406</v>
      </c>
      <c r="D33149" s="8">
        <v>133</v>
      </c>
      <c r="E33149" s="8">
        <v>0</v>
      </c>
      <c r="F33149" s="8">
        <v>171</v>
      </c>
    </row>
    <row r="33150" spans="1:6" ht="12.75">
      <c r="A33150" s="8">
        <v>43889.710787037038</v>
      </c>
      <c r="B33150" s="8" t="str">
        <f>HYPERLINK("https://twitter.com/hi_mala","@hi_mala")</f>
        <v>@hi_mala</v>
      </c>
      <c r="C33150" s="8" t="s">
        <v>12453</v>
      </c>
      <c r="D33150" s="8">
        <v>1</v>
      </c>
      <c r="E33150" s="8">
        <v>0</v>
      </c>
      <c r="F33150" s="8">
        <v>2</v>
      </c>
    </row>
    <row r="33151" spans="1:6" ht="12.75">
      <c r="A33151" s="8">
        <v>43889.710775462961</v>
      </c>
      <c r="B33151" s="8" t="str">
        <f>HYPERLINK("https://twitter.com/jaakaajeeka","@jaakaajeeka")</f>
        <v>@jaakaajeeka</v>
      </c>
      <c r="C33151" s="8" t="s">
        <v>12065</v>
      </c>
      <c r="D33151" s="8">
        <v>49</v>
      </c>
      <c r="E33151" s="8">
        <v>0</v>
      </c>
      <c r="F33151" s="8">
        <v>1053</v>
      </c>
    </row>
    <row r="33152" spans="1:6" ht="12.75">
      <c r="A33152" s="8">
        <v>43889.710648148146</v>
      </c>
      <c r="B33152" s="8" t="str">
        <f>HYPERLINK("https://twitter.com/dhiryahya_","@dhiryahya_")</f>
        <v>@dhiryahya_</v>
      </c>
      <c r="C33152" s="8" t="s">
        <v>11102</v>
      </c>
      <c r="D33152" s="8">
        <v>381</v>
      </c>
      <c r="E33152" s="8">
        <v>0</v>
      </c>
      <c r="F33152" s="8">
        <v>870</v>
      </c>
    </row>
    <row r="33153" spans="1:6" ht="12.75">
      <c r="A33153" s="8">
        <v>43889.710497685184</v>
      </c>
      <c r="B33153" s="8" t="str">
        <f>HYPERLINK("https://twitter.com/faridariadno","@faridariadno")</f>
        <v>@faridariadno</v>
      </c>
      <c r="C33153" s="8" t="s">
        <v>12297</v>
      </c>
      <c r="D33153" s="8">
        <v>11</v>
      </c>
      <c r="E33153" s="8">
        <v>0</v>
      </c>
      <c r="F33153" s="8">
        <v>731</v>
      </c>
    </row>
    <row r="33154" spans="1:6" ht="12.75">
      <c r="A33154" s="8">
        <v>43889.710462962961</v>
      </c>
      <c r="B33154" s="8" t="str">
        <f>HYPERLINK("https://twitter.com/chuentoi","@chuentoi")</f>
        <v>@chuentoi</v>
      </c>
      <c r="C33154" s="8" t="s">
        <v>12454</v>
      </c>
      <c r="D33154" s="8">
        <v>0</v>
      </c>
      <c r="E33154" s="8">
        <v>1</v>
      </c>
      <c r="F33154" s="8">
        <v>2</v>
      </c>
    </row>
    <row r="33155" spans="1:6" ht="12.75">
      <c r="A33155" s="8">
        <v>43889.710428240738</v>
      </c>
      <c r="B33155" s="8" t="str">
        <f>HYPERLINK("https://twitter.com/Arifngk","@Arifngk")</f>
        <v>@Arifngk</v>
      </c>
      <c r="C33155" s="8" t="s">
        <v>12077</v>
      </c>
      <c r="D33155" s="8">
        <v>10</v>
      </c>
      <c r="E33155" s="8">
        <v>0</v>
      </c>
      <c r="F33155" s="8">
        <v>510</v>
      </c>
    </row>
    <row r="33156" spans="1:6" ht="12.75">
      <c r="A33156" s="8">
        <v>43889.710416666669</v>
      </c>
      <c r="B33156" s="8" t="str">
        <f>HYPERLINK("https://twitter.com/edisudwb","@edisudwb")</f>
        <v>@edisudwb</v>
      </c>
      <c r="C33156" s="8" t="s">
        <v>12357</v>
      </c>
      <c r="D33156" s="8">
        <v>0</v>
      </c>
      <c r="E33156" s="8">
        <v>0</v>
      </c>
      <c r="F33156" s="8">
        <v>1</v>
      </c>
    </row>
    <row r="33157" spans="1:6" ht="12.75">
      <c r="A33157" s="8">
        <v>43889.710393518515</v>
      </c>
      <c r="B33157" s="8" t="str">
        <f>HYPERLINK("https://twitter.com/carisaindy","@carisaindy")</f>
        <v>@carisaindy</v>
      </c>
      <c r="C33157" s="8" t="s">
        <v>12455</v>
      </c>
      <c r="D33157" s="8">
        <v>0</v>
      </c>
      <c r="E33157" s="8">
        <v>0</v>
      </c>
      <c r="F33157" s="8">
        <v>192</v>
      </c>
    </row>
    <row r="33158" spans="1:6" ht="12.75">
      <c r="A33158" s="8">
        <v>43889.710393518515</v>
      </c>
      <c r="B33158" s="8" t="str">
        <f>HYPERLINK("https://twitter.com/djanuanti","@djanuanti")</f>
        <v>@djanuanti</v>
      </c>
      <c r="C33158" s="8" t="s">
        <v>9768</v>
      </c>
      <c r="D33158" s="8">
        <v>22</v>
      </c>
      <c r="E33158" s="8">
        <v>0</v>
      </c>
      <c r="F33158" s="8">
        <v>473</v>
      </c>
    </row>
    <row r="33159" spans="1:6" ht="12.75">
      <c r="A33159" s="8">
        <v>43889.710196759261</v>
      </c>
      <c r="B33159" s="8" t="str">
        <f>HYPERLINK("https://twitter.com/del_paizo","@del_paizo")</f>
        <v>@del_paizo</v>
      </c>
      <c r="C33159" s="8" t="s">
        <v>9768</v>
      </c>
      <c r="D33159" s="8">
        <v>22</v>
      </c>
      <c r="E33159" s="8">
        <v>0</v>
      </c>
      <c r="F33159" s="8">
        <v>113</v>
      </c>
    </row>
    <row r="33160" spans="1:6" ht="12.75">
      <c r="A33160" s="8">
        <v>43889.710104166668</v>
      </c>
      <c r="B33160" s="8" t="str">
        <f>HYPERLINK("https://twitter.com/AbdeeProklamasi","@AbdeeProklamasi")</f>
        <v>@AbdeeProklamasi</v>
      </c>
      <c r="C33160" s="8" t="s">
        <v>6836</v>
      </c>
      <c r="D33160" s="8">
        <v>4</v>
      </c>
      <c r="E33160" s="8">
        <v>0</v>
      </c>
      <c r="F33160" s="8">
        <v>42</v>
      </c>
    </row>
    <row r="33161" spans="1:6" ht="12.75">
      <c r="A33161" s="8">
        <v>43889.709907407407</v>
      </c>
      <c r="B33161" s="8" t="str">
        <f>HYPERLINK("https://twitter.com/humasresbatang","@humasresbatang")</f>
        <v>@humasresbatang</v>
      </c>
      <c r="C33161" s="8" t="s">
        <v>12456</v>
      </c>
      <c r="D33161" s="8">
        <v>0</v>
      </c>
      <c r="E33161" s="8">
        <v>0</v>
      </c>
      <c r="F33161" s="8">
        <v>479</v>
      </c>
    </row>
    <row r="33162" spans="1:6" ht="12.75">
      <c r="A33162" s="8">
        <v>43889.709895833337</v>
      </c>
      <c r="B33162" s="8" t="str">
        <f>HYPERLINK("https://twitter.com/faridariadno","@faridariadno")</f>
        <v>@faridariadno</v>
      </c>
      <c r="C33162" s="8" t="s">
        <v>10721</v>
      </c>
      <c r="D33162" s="8">
        <v>104</v>
      </c>
      <c r="E33162" s="8">
        <v>0</v>
      </c>
      <c r="F33162" s="8">
        <v>731</v>
      </c>
    </row>
    <row r="33163" spans="1:6" ht="12.75">
      <c r="A33163" s="8">
        <v>43889.70988425926</v>
      </c>
      <c r="B33163" s="8" t="str">
        <f>HYPERLINK("https://twitter.com/edisudwb","@edisudwb")</f>
        <v>@edisudwb</v>
      </c>
      <c r="C33163" s="8" t="s">
        <v>12359</v>
      </c>
      <c r="D33163" s="8">
        <v>0</v>
      </c>
      <c r="E33163" s="8">
        <v>0</v>
      </c>
      <c r="F33163" s="8">
        <v>1</v>
      </c>
    </row>
    <row r="33164" spans="1:6" ht="12.75">
      <c r="A33164" s="8">
        <v>43889.709791666668</v>
      </c>
      <c r="B33164" s="8" t="str">
        <f>HYPERLINK("https://twitter.com/Rakha_boumi","@Rakha_boumi")</f>
        <v>@Rakha_boumi</v>
      </c>
      <c r="C33164" s="8" t="s">
        <v>9768</v>
      </c>
      <c r="D33164" s="8">
        <v>22</v>
      </c>
      <c r="E33164" s="8">
        <v>0</v>
      </c>
      <c r="F33164" s="8">
        <v>1364</v>
      </c>
    </row>
    <row r="33165" spans="1:6" ht="12.75">
      <c r="A33165" s="8">
        <v>43889.709722222222</v>
      </c>
      <c r="B33165" s="8" t="str">
        <f>HYPERLINK("https://twitter.com/Polsekluttawar1","@Polsekluttawar1")</f>
        <v>@Polsekluttawar1</v>
      </c>
      <c r="C33165" s="8" t="s">
        <v>12457</v>
      </c>
      <c r="D33165" s="8">
        <v>0</v>
      </c>
      <c r="E33165" s="8">
        <v>0</v>
      </c>
      <c r="F33165" s="8">
        <v>1</v>
      </c>
    </row>
    <row r="33166" spans="1:6" ht="12.75">
      <c r="A33166" s="8">
        <v>43889.709710648152</v>
      </c>
      <c r="B33166" s="8" t="str">
        <f>HYPERLINK("https://twitter.com/OJussku","@OJussku")</f>
        <v>@OJussku</v>
      </c>
      <c r="C33166" s="8" t="s">
        <v>10755</v>
      </c>
      <c r="D33166" s="8">
        <v>110</v>
      </c>
      <c r="E33166" s="8">
        <v>0</v>
      </c>
      <c r="F33166" s="8">
        <v>44</v>
      </c>
    </row>
    <row r="33167" spans="1:6" ht="12.75">
      <c r="A33167" s="8">
        <v>43889.70958333333</v>
      </c>
      <c r="B33167" s="8" t="str">
        <f>HYPERLINK("https://twitter.com/Faylasalle2","@Faylasalle2")</f>
        <v>@Faylasalle2</v>
      </c>
      <c r="C33167" s="8" t="s">
        <v>6836</v>
      </c>
      <c r="D33167" s="8">
        <v>4</v>
      </c>
      <c r="E33167" s="8">
        <v>0</v>
      </c>
      <c r="F33167" s="8">
        <v>516</v>
      </c>
    </row>
    <row r="33168" spans="1:6" ht="12.75">
      <c r="A33168" s="8">
        <v>43889.709548611107</v>
      </c>
      <c r="B33168" s="8" t="str">
        <f>HYPERLINK("https://twitter.com/farhanzaini_","@farhanzaini_")</f>
        <v>@farhanzaini_</v>
      </c>
      <c r="C33168" s="8" t="s">
        <v>11102</v>
      </c>
      <c r="D33168" s="8">
        <v>381</v>
      </c>
      <c r="E33168" s="8">
        <v>0</v>
      </c>
      <c r="F33168" s="8">
        <v>197</v>
      </c>
    </row>
    <row r="33169" spans="1:6" ht="12.75">
      <c r="A33169" s="8">
        <v>43889.709513888884</v>
      </c>
      <c r="B33169" s="8" t="str">
        <f>HYPERLINK("https://twitter.com/Maitri_Swjy","@Maitri_Swjy")</f>
        <v>@Maitri_Swjy</v>
      </c>
      <c r="C33169" s="8" t="s">
        <v>9768</v>
      </c>
      <c r="D33169" s="8">
        <v>22</v>
      </c>
      <c r="E33169" s="8">
        <v>0</v>
      </c>
      <c r="F33169" s="8">
        <v>139</v>
      </c>
    </row>
    <row r="33170" spans="1:6" ht="12.75">
      <c r="A33170" s="8">
        <v>43889.709444444445</v>
      </c>
      <c r="B33170" s="8" t="str">
        <f>HYPERLINK("https://twitter.com/ainabas_","@ainabas_")</f>
        <v>@ainabas_</v>
      </c>
      <c r="C33170" s="8" t="s">
        <v>11102</v>
      </c>
      <c r="D33170" s="8">
        <v>381</v>
      </c>
      <c r="E33170" s="8">
        <v>0</v>
      </c>
      <c r="F33170" s="8">
        <v>1001</v>
      </c>
    </row>
    <row r="33171" spans="1:6" ht="12.75">
      <c r="A33171" s="8">
        <v>43889.709236111114</v>
      </c>
      <c r="B33171" s="8" t="str">
        <f>HYPERLINK("https://twitter.com/polsekBojo","@polsekBojo")</f>
        <v>@polsekBojo</v>
      </c>
      <c r="C33171" s="8" t="s">
        <v>12458</v>
      </c>
      <c r="D33171" s="8">
        <v>0</v>
      </c>
      <c r="E33171" s="8">
        <v>0</v>
      </c>
      <c r="F33171" s="8">
        <v>107</v>
      </c>
    </row>
    <row r="33172" spans="1:6" ht="12.75">
      <c r="A33172" s="8">
        <v>43889.709143518514</v>
      </c>
      <c r="B33172" s="8" t="str">
        <f>HYPERLINK("https://twitter.com/KBRIColombo","@KBRIColombo")</f>
        <v>@KBRIColombo</v>
      </c>
      <c r="C33172" s="8" t="s">
        <v>11069</v>
      </c>
      <c r="D33172" s="8">
        <v>15</v>
      </c>
      <c r="E33172" s="8">
        <v>0</v>
      </c>
      <c r="F33172" s="8">
        <v>739</v>
      </c>
    </row>
    <row r="33173" spans="1:6" ht="12.75">
      <c r="A33173" s="8">
        <v>43889.709004629629</v>
      </c>
      <c r="B33173" s="8" t="str">
        <f>HYPERLINK("https://twitter.com/mariaky600","@mariaky600")</f>
        <v>@mariaky600</v>
      </c>
      <c r="C33173" s="8" t="s">
        <v>12459</v>
      </c>
      <c r="D33173" s="8">
        <v>0</v>
      </c>
      <c r="E33173" s="8">
        <v>0</v>
      </c>
      <c r="F33173" s="8">
        <v>104</v>
      </c>
    </row>
    <row r="33174" spans="1:6" ht="12.75">
      <c r="A33174" s="8">
        <v>43889.708831018521</v>
      </c>
      <c r="B33174" s="8" t="str">
        <f>HYPERLINK("https://twitter.com/GovindTyagi19","@GovindTyagi19")</f>
        <v>@GovindTyagi19</v>
      </c>
      <c r="C33174" s="8" t="s">
        <v>12460</v>
      </c>
      <c r="D33174" s="8">
        <v>0</v>
      </c>
      <c r="E33174" s="8">
        <v>0</v>
      </c>
      <c r="F33174" s="8">
        <v>2</v>
      </c>
    </row>
    <row r="33175" spans="1:6" ht="12.75">
      <c r="A33175" s="8">
        <v>43889.708807870367</v>
      </c>
      <c r="B33175" s="8" t="str">
        <f>HYPERLINK("https://twitter.com/Metro_TV","@Metro_TV")</f>
        <v>@Metro_TV</v>
      </c>
      <c r="C33175" s="8" t="s">
        <v>12461</v>
      </c>
      <c r="D33175" s="8">
        <v>0</v>
      </c>
      <c r="E33175" s="8">
        <v>3</v>
      </c>
      <c r="F33175" s="8">
        <v>10514370</v>
      </c>
    </row>
    <row r="33176" spans="1:6" ht="12.75">
      <c r="A33176" s="8">
        <v>43889.708622685182</v>
      </c>
      <c r="B33176" s="8" t="str">
        <f>HYPERLINK("https://twitter.com/AbdeeProklamasi","@AbdeeProklamasi")</f>
        <v>@AbdeeProklamasi</v>
      </c>
      <c r="C33176" s="8" t="s">
        <v>11691</v>
      </c>
      <c r="D33176" s="8">
        <v>9</v>
      </c>
      <c r="E33176" s="8">
        <v>0</v>
      </c>
      <c r="F33176" s="8">
        <v>42</v>
      </c>
    </row>
    <row r="33177" spans="1:6" ht="12.75">
      <c r="A33177" s="8">
        <v>43889.708506944444</v>
      </c>
      <c r="B33177" s="8" t="str">
        <f>HYPERLINK("https://twitter.com/Ari3Pras","@Ari3Pras")</f>
        <v>@Ari3Pras</v>
      </c>
      <c r="C33177" s="8" t="s">
        <v>12056</v>
      </c>
      <c r="D33177" s="8">
        <v>32</v>
      </c>
      <c r="E33177" s="8">
        <v>0</v>
      </c>
      <c r="F33177" s="8">
        <v>7562</v>
      </c>
    </row>
    <row r="33178" spans="1:6" ht="12.75">
      <c r="A33178" s="8">
        <v>43889.708379629628</v>
      </c>
      <c r="B33178" s="8" t="str">
        <f>HYPERLINK("https://twitter.com/zillawen","@zillawen")</f>
        <v>@zillawen</v>
      </c>
      <c r="C33178" s="8" t="s">
        <v>12462</v>
      </c>
      <c r="D33178" s="8">
        <v>0</v>
      </c>
      <c r="E33178" s="8">
        <v>0</v>
      </c>
      <c r="F33178" s="8">
        <v>392</v>
      </c>
    </row>
    <row r="33179" spans="1:6" ht="12.75">
      <c r="A33179" s="8">
        <v>43889.70826388889</v>
      </c>
      <c r="B33179" s="8" t="str">
        <f>HYPERLINK("https://twitter.com/BeguGan35398537","@BeguGan35398537")</f>
        <v>@BeguGan35398537</v>
      </c>
      <c r="C33179" s="8" t="s">
        <v>12463</v>
      </c>
      <c r="D33179" s="8">
        <v>0</v>
      </c>
      <c r="E33179" s="8">
        <v>1</v>
      </c>
      <c r="F33179" s="8">
        <v>2</v>
      </c>
    </row>
    <row r="33180" spans="1:6" ht="12.75">
      <c r="A33180" s="8">
        <v>43889.707997685182</v>
      </c>
      <c r="B33180" s="8" t="str">
        <f>HYPERLINK("https://twitter.com/MasGojek2","@MasGojek2")</f>
        <v>@MasGojek2</v>
      </c>
      <c r="C33180" s="8" t="s">
        <v>9768</v>
      </c>
      <c r="D33180" s="8">
        <v>22</v>
      </c>
      <c r="E33180" s="8">
        <v>0</v>
      </c>
      <c r="F33180" s="8">
        <v>2</v>
      </c>
    </row>
    <row r="33181" spans="1:6" ht="12.75">
      <c r="A33181" s="8">
        <v>43889.707986111112</v>
      </c>
      <c r="B33181" s="8" t="str">
        <f>HYPERLINK("https://twitter.com/polsekcibatuPWK","@polsekcibatuPWK")</f>
        <v>@polsekcibatuPWK</v>
      </c>
      <c r="C33181" s="8" t="s">
        <v>11691</v>
      </c>
      <c r="D33181" s="8">
        <v>9</v>
      </c>
      <c r="E33181" s="8">
        <v>0</v>
      </c>
      <c r="F33181" s="8">
        <v>1041</v>
      </c>
    </row>
    <row r="33182" spans="1:6" ht="12.75">
      <c r="A33182" s="8">
        <v>43889.707986111112</v>
      </c>
      <c r="B33182" s="8" t="str">
        <f>HYPERLINK("https://twitter.com/MuhdWaqiuddin","@MuhdWaqiuddin")</f>
        <v>@MuhdWaqiuddin</v>
      </c>
      <c r="C33182" s="8" t="s">
        <v>12464</v>
      </c>
      <c r="D33182" s="8">
        <v>0</v>
      </c>
      <c r="E33182" s="8">
        <v>0</v>
      </c>
      <c r="F33182" s="8">
        <v>882</v>
      </c>
    </row>
    <row r="33183" spans="1:6" ht="12.75">
      <c r="A33183" s="8">
        <v>43889.707800925928</v>
      </c>
      <c r="B33183" s="8" t="str">
        <f>HYPERLINK("https://twitter.com/CastilloJoshima","@CastilloJoshima")</f>
        <v>@CastilloJoshima</v>
      </c>
      <c r="C33183" s="8" t="s">
        <v>12465</v>
      </c>
      <c r="D33183" s="8">
        <v>1</v>
      </c>
      <c r="E33183" s="8">
        <v>0</v>
      </c>
      <c r="F33183" s="8">
        <v>5423</v>
      </c>
    </row>
    <row r="33184" spans="1:6" ht="12.75">
      <c r="A33184" s="8">
        <v>43889.707708333328</v>
      </c>
      <c r="B33184" s="8" t="str">
        <f>HYPERLINK("https://twitter.com/kompascom","@kompascom")</f>
        <v>@kompascom</v>
      </c>
      <c r="C33184" s="8" t="s">
        <v>12466</v>
      </c>
      <c r="D33184" s="8">
        <v>0</v>
      </c>
      <c r="E33184" s="8">
        <v>4</v>
      </c>
      <c r="F33184" s="8">
        <v>7516979</v>
      </c>
    </row>
    <row r="33185" spans="1:6" ht="12.75">
      <c r="A33185" s="8">
        <v>43889.707418981481</v>
      </c>
      <c r="B33185" s="8" t="str">
        <f>HYPERLINK("https://twitter.com/noerdiani2017","@noerdiani2017")</f>
        <v>@noerdiani2017</v>
      </c>
      <c r="C33185" s="8" t="s">
        <v>10755</v>
      </c>
      <c r="D33185" s="8">
        <v>110</v>
      </c>
      <c r="E33185" s="8">
        <v>0</v>
      </c>
      <c r="F33185" s="8">
        <v>421</v>
      </c>
    </row>
    <row r="33186" spans="1:6" ht="12.75">
      <c r="A33186" s="8">
        <v>43889.707245370373</v>
      </c>
      <c r="B33186" s="8" t="str">
        <f>HYPERLINK("https://twitter.com/SyafraniNurul","@SyafraniNurul")</f>
        <v>@SyafraniNurul</v>
      </c>
      <c r="C33186" s="8" t="s">
        <v>10755</v>
      </c>
      <c r="D33186" s="8">
        <v>110</v>
      </c>
      <c r="E33186" s="8">
        <v>0</v>
      </c>
      <c r="F33186" s="8">
        <v>133</v>
      </c>
    </row>
    <row r="33187" spans="1:6" ht="12.75">
      <c r="A33187" s="8">
        <v>43889.706863425927</v>
      </c>
      <c r="B33187" s="8" t="str">
        <f>HYPERLINK("https://twitter.com/rhezt3","@rhezt3")</f>
        <v>@rhezt3</v>
      </c>
      <c r="C33187" s="8" t="s">
        <v>12467</v>
      </c>
      <c r="D33187" s="8">
        <v>11</v>
      </c>
      <c r="E33187" s="8">
        <v>0</v>
      </c>
      <c r="F33187" s="8">
        <v>0</v>
      </c>
    </row>
    <row r="33188" spans="1:6" ht="12.75">
      <c r="A33188" s="8">
        <v>43889.706770833334</v>
      </c>
      <c r="B33188" s="8" t="str">
        <f>HYPERLINK("https://twitter.com/KamillaIFA","@KamillaIFA")</f>
        <v>@KamillaIFA</v>
      </c>
      <c r="C33188" s="8" t="s">
        <v>12462</v>
      </c>
      <c r="D33188" s="8">
        <v>0</v>
      </c>
      <c r="E33188" s="8">
        <v>0</v>
      </c>
      <c r="F33188" s="8">
        <v>109</v>
      </c>
    </row>
    <row r="33189" spans="1:6" ht="12.75">
      <c r="A33189" s="8">
        <v>43889.706678240742</v>
      </c>
      <c r="B33189" s="8" t="str">
        <f>HYPERLINK("https://twitter.com/zeranifeliza","@zeranifeliza")</f>
        <v>@zeranifeliza</v>
      </c>
      <c r="C33189" s="8" t="s">
        <v>12468</v>
      </c>
      <c r="D33189" s="8">
        <v>0</v>
      </c>
      <c r="E33189" s="8">
        <v>0</v>
      </c>
      <c r="F33189" s="8">
        <v>70</v>
      </c>
    </row>
    <row r="33190" spans="1:6" ht="12.75">
      <c r="A33190" s="8">
        <v>43889.706631944442</v>
      </c>
      <c r="B33190" s="8" t="str">
        <f>HYPERLINK("https://twitter.com/AbdeeProklamasi","@AbdeeProklamasi")</f>
        <v>@AbdeeProklamasi</v>
      </c>
      <c r="C33190" s="8" t="s">
        <v>12469</v>
      </c>
      <c r="D33190" s="8">
        <v>3</v>
      </c>
      <c r="E33190" s="8">
        <v>0</v>
      </c>
      <c r="F33190" s="8">
        <v>42</v>
      </c>
    </row>
    <row r="33191" spans="1:6" ht="12.75">
      <c r="A33191" s="8">
        <v>43889.706504629634</v>
      </c>
      <c r="B33191" s="8" t="str">
        <f>HYPERLINK("https://twitter.com/Rizkybanya","@Rizkybanya")</f>
        <v>@Rizkybanya</v>
      </c>
      <c r="C33191" s="8" t="s">
        <v>12455</v>
      </c>
      <c r="D33191" s="8">
        <v>0</v>
      </c>
      <c r="E33191" s="8">
        <v>0</v>
      </c>
      <c r="F33191" s="8">
        <v>78</v>
      </c>
    </row>
    <row r="33192" spans="1:6" ht="12.75">
      <c r="A33192" s="8">
        <v>43889.706446759257</v>
      </c>
      <c r="B33192" s="8" t="str">
        <f>HYPERLINK("https://twitter.com/hate_guts","@hate_guts")</f>
        <v>@hate_guts</v>
      </c>
      <c r="C33192" s="8" t="s">
        <v>12470</v>
      </c>
      <c r="D33192" s="8">
        <v>0</v>
      </c>
      <c r="E33192" s="8">
        <v>0</v>
      </c>
      <c r="F33192" s="8">
        <v>1162</v>
      </c>
    </row>
    <row r="33193" spans="1:6" ht="12.75">
      <c r="A33193" s="8">
        <v>43889.706435185188</v>
      </c>
      <c r="B33193" s="8" t="str">
        <f>HYPERLINK("https://twitter.com/Kriswati15","@Kriswati15")</f>
        <v>@Kriswati15</v>
      </c>
      <c r="C33193" s="8" t="s">
        <v>11586</v>
      </c>
      <c r="D33193" s="8">
        <v>130</v>
      </c>
      <c r="E33193" s="8">
        <v>0</v>
      </c>
      <c r="F33193" s="8">
        <v>1788</v>
      </c>
    </row>
    <row r="33194" spans="1:6" ht="12.75">
      <c r="A33194" s="8">
        <v>43889.706296296295</v>
      </c>
      <c r="B33194" s="8" t="str">
        <f>HYPERLINK("https://twitter.com/JulienRosiana1","@JulienRosiana1")</f>
        <v>@JulienRosiana1</v>
      </c>
      <c r="C33194" s="8" t="s">
        <v>9768</v>
      </c>
      <c r="D33194" s="8">
        <v>22</v>
      </c>
      <c r="E33194" s="8">
        <v>0</v>
      </c>
      <c r="F33194" s="8">
        <v>34</v>
      </c>
    </row>
    <row r="33195" spans="1:6" ht="12.75">
      <c r="A33195" s="8">
        <v>43889.706238425926</v>
      </c>
      <c r="B33195" s="8" t="str">
        <f>HYPERLINK("https://twitter.com/GarengHallu","@GarengHallu")</f>
        <v>@GarengHallu</v>
      </c>
      <c r="C33195" s="8" t="s">
        <v>11701</v>
      </c>
      <c r="D33195" s="8">
        <v>14</v>
      </c>
      <c r="E33195" s="8">
        <v>0</v>
      </c>
      <c r="F33195" s="8">
        <v>2821</v>
      </c>
    </row>
    <row r="33196" spans="1:6" ht="12.75">
      <c r="A33196" s="8">
        <v>43889.706180555557</v>
      </c>
      <c r="B33196" s="8" t="str">
        <f>HYPERLINK("https://twitter.com/jammy_shiba","@jammy_shiba")</f>
        <v>@jammy_shiba</v>
      </c>
      <c r="C33196" s="8" t="s">
        <v>12471</v>
      </c>
      <c r="D33196" s="8">
        <v>8</v>
      </c>
      <c r="E33196" s="8">
        <v>0</v>
      </c>
      <c r="F33196" s="8">
        <v>131</v>
      </c>
    </row>
    <row r="33197" spans="1:6" ht="12.75">
      <c r="A33197" s="8">
        <v>43889.70612268518</v>
      </c>
      <c r="B33197" s="8" t="str">
        <f>HYPERLINK("https://twitter.com/8_fero_8","@8_fero_8")</f>
        <v>@8_fero_8</v>
      </c>
      <c r="C33197" s="8" t="s">
        <v>12472</v>
      </c>
      <c r="D33197" s="8">
        <v>1</v>
      </c>
      <c r="E33197" s="8">
        <v>1</v>
      </c>
      <c r="F33197" s="8">
        <v>1893</v>
      </c>
    </row>
    <row r="33198" spans="1:6" ht="12.75">
      <c r="A33198" s="8">
        <v>43889.706053240741</v>
      </c>
      <c r="B33198" s="8" t="str">
        <f>HYPERLINK("https://twitter.com/Sintananu","@Sintananu")</f>
        <v>@Sintananu</v>
      </c>
      <c r="C33198" s="8" t="s">
        <v>12468</v>
      </c>
      <c r="D33198" s="8">
        <v>0</v>
      </c>
      <c r="E33198" s="8">
        <v>0</v>
      </c>
      <c r="F33198" s="8">
        <v>145</v>
      </c>
    </row>
    <row r="33199" spans="1:6" ht="12.75">
      <c r="A33199" s="8">
        <v>43889.706030092595</v>
      </c>
      <c r="B33199" s="8" t="str">
        <f>HYPERLINK("https://twitter.com/talitasarahh","@talitasarahh")</f>
        <v>@talitasarahh</v>
      </c>
      <c r="C33199" s="8" t="s">
        <v>12468</v>
      </c>
      <c r="D33199" s="8">
        <v>0</v>
      </c>
      <c r="E33199" s="8">
        <v>0</v>
      </c>
      <c r="F33199" s="8">
        <v>451</v>
      </c>
    </row>
    <row r="33200" spans="1:6" ht="12.75">
      <c r="A33200" s="8">
        <v>43889.70584490741</v>
      </c>
      <c r="B33200" s="8" t="str">
        <f>HYPERLINK("https://twitter.com/alambaskoroke4","@alambaskoroke4")</f>
        <v>@alambaskoroke4</v>
      </c>
      <c r="C33200" s="8" t="s">
        <v>11589</v>
      </c>
      <c r="D33200" s="8">
        <v>83</v>
      </c>
      <c r="E33200" s="8">
        <v>0</v>
      </c>
      <c r="F33200" s="8">
        <v>336</v>
      </c>
    </row>
    <row r="33201" spans="1:6" ht="12.75">
      <c r="A33201" s="8">
        <v>43889.705763888887</v>
      </c>
      <c r="B33201" s="8" t="str">
        <f>HYPERLINK("https://twitter.com/frida_rahardjo","@frida_rahardjo")</f>
        <v>@frida_rahardjo</v>
      </c>
      <c r="C33201" s="8" t="s">
        <v>9768</v>
      </c>
      <c r="D33201" s="8">
        <v>22</v>
      </c>
      <c r="E33201" s="8">
        <v>0</v>
      </c>
      <c r="F33201" s="8">
        <v>1461</v>
      </c>
    </row>
    <row r="33202" spans="1:6" ht="12.75">
      <c r="A33202" s="8">
        <v>43889.705729166672</v>
      </c>
      <c r="B33202" s="8" t="str">
        <f>HYPERLINK("https://twitter.com/JakaLelanaa","@JakaLelanaa")</f>
        <v>@JakaLelanaa</v>
      </c>
      <c r="C33202" s="8" t="s">
        <v>12468</v>
      </c>
      <c r="D33202" s="8">
        <v>0</v>
      </c>
      <c r="E33202" s="8">
        <v>0</v>
      </c>
      <c r="F33202" s="8">
        <v>247</v>
      </c>
    </row>
    <row r="33203" spans="1:6" ht="12.75">
      <c r="A33203" s="8">
        <v>43889.705694444448</v>
      </c>
      <c r="B33203" s="8" t="str">
        <f>HYPERLINK("https://twitter.com/Agha___","@Agha___")</f>
        <v>@Agha___</v>
      </c>
      <c r="C33203" s="8" t="s">
        <v>10755</v>
      </c>
      <c r="D33203" s="8">
        <v>110</v>
      </c>
      <c r="E33203" s="8">
        <v>0</v>
      </c>
      <c r="F33203" s="8">
        <v>2629</v>
      </c>
    </row>
    <row r="33204" spans="1:6" ht="12.75">
      <c r="A33204" s="8">
        <v>43889.673518518517</v>
      </c>
      <c r="B33204" s="8" t="str">
        <f>HYPERLINK("https://twitter.com/AdissaKS","@AdissaKS")</f>
        <v>@AdissaKS</v>
      </c>
      <c r="C33204" s="8" t="s">
        <v>12473</v>
      </c>
      <c r="D33204" s="8">
        <v>10</v>
      </c>
      <c r="E33204" s="8">
        <v>0</v>
      </c>
      <c r="F33204" s="8">
        <v>472</v>
      </c>
    </row>
    <row r="33205" spans="1:6" ht="12.75">
      <c r="A33205" s="8">
        <v>43889.673460648148</v>
      </c>
      <c r="B33205" s="8" t="str">
        <f>HYPERLINK("https://twitter.com/aidaap30","@aidaap30")</f>
        <v>@aidaap30</v>
      </c>
      <c r="C33205" s="8" t="s">
        <v>12474</v>
      </c>
      <c r="D33205" s="8">
        <v>0</v>
      </c>
      <c r="E33205" s="8">
        <v>0</v>
      </c>
      <c r="F33205" s="8">
        <v>136</v>
      </c>
    </row>
    <row r="33206" spans="1:6" ht="12.75">
      <c r="A33206" s="8">
        <v>43889.673391203702</v>
      </c>
      <c r="B33206" s="8" t="str">
        <f>HYPERLINK("https://twitter.com/MaharaniRizkyy","@MaharaniRizkyy")</f>
        <v>@MaharaniRizkyy</v>
      </c>
      <c r="C33206" s="8" t="s">
        <v>12474</v>
      </c>
      <c r="D33206" s="8">
        <v>0</v>
      </c>
      <c r="E33206" s="8">
        <v>0</v>
      </c>
      <c r="F33206" s="8">
        <v>128</v>
      </c>
    </row>
    <row r="33207" spans="1:6" ht="12.75">
      <c r="A33207" s="8">
        <v>43889.673344907409</v>
      </c>
      <c r="B33207" s="8" t="str">
        <f>HYPERLINK("https://twitter.com/XMABwEND3J5VNhK","@XMABwEND3J5VNhK")</f>
        <v>@XMABwEND3J5VNhK</v>
      </c>
      <c r="C33207" s="8" t="s">
        <v>12276</v>
      </c>
      <c r="D33207" s="8">
        <v>0</v>
      </c>
      <c r="E33207" s="8">
        <v>0</v>
      </c>
      <c r="F33207" s="8">
        <v>93</v>
      </c>
    </row>
    <row r="33208" spans="1:6" ht="12.75">
      <c r="A33208" s="8">
        <v>43889.673333333332</v>
      </c>
      <c r="B33208" s="8" t="str">
        <f>HYPERLINK("https://twitter.com/budisordi","@budisordi")</f>
        <v>@budisordi</v>
      </c>
      <c r="C33208" s="8" t="s">
        <v>12475</v>
      </c>
      <c r="D33208" s="8">
        <v>0</v>
      </c>
      <c r="E33208" s="8">
        <v>0</v>
      </c>
      <c r="F33208" s="8">
        <v>0</v>
      </c>
    </row>
    <row r="33209" spans="1:6" ht="12.75">
      <c r="A33209" s="8">
        <v>43889.673298611116</v>
      </c>
      <c r="B33209" s="8" t="str">
        <f>HYPERLINK("https://twitter.com/nurasyiqinanr","@nurasyiqinanr")</f>
        <v>@nurasyiqinanr</v>
      </c>
      <c r="C33209" s="8" t="s">
        <v>11102</v>
      </c>
      <c r="D33209" s="8">
        <v>359</v>
      </c>
      <c r="E33209" s="8">
        <v>0</v>
      </c>
      <c r="F33209" s="8">
        <v>74</v>
      </c>
    </row>
    <row r="33210" spans="1:6" ht="12.75">
      <c r="A33210" s="8">
        <v>43889.673287037032</v>
      </c>
      <c r="B33210" s="8" t="str">
        <f>HYPERLINK("https://twitter.com/ameng_2709","@ameng_2709")</f>
        <v>@ameng_2709</v>
      </c>
      <c r="C33210" s="8" t="s">
        <v>12476</v>
      </c>
      <c r="D33210" s="8">
        <v>0</v>
      </c>
      <c r="E33210" s="8">
        <v>0</v>
      </c>
      <c r="F33210" s="8">
        <v>106</v>
      </c>
    </row>
    <row r="33211" spans="1:6" ht="12.75">
      <c r="A33211" s="8">
        <v>43889.67322916667</v>
      </c>
      <c r="B33211" s="8" t="str">
        <f>HYPERLINK("https://twitter.com/duwixASL","@duwixASL")</f>
        <v>@duwixASL</v>
      </c>
      <c r="C33211" s="8" t="s">
        <v>12474</v>
      </c>
      <c r="D33211" s="8">
        <v>0</v>
      </c>
      <c r="E33211" s="8">
        <v>0</v>
      </c>
      <c r="F33211" s="8">
        <v>5602</v>
      </c>
    </row>
    <row r="33212" spans="1:6" ht="12.75">
      <c r="A33212" s="8">
        <v>43889.673206018517</v>
      </c>
      <c r="B33212" s="8" t="str">
        <f>HYPERLINK("https://twitter.com/its_aurynn","@its_aurynn")</f>
        <v>@its_aurynn</v>
      </c>
      <c r="C33212" s="8" t="s">
        <v>12477</v>
      </c>
      <c r="D33212" s="8">
        <v>0</v>
      </c>
      <c r="E33212" s="8">
        <v>0</v>
      </c>
      <c r="F33212" s="8">
        <v>59</v>
      </c>
    </row>
    <row r="33213" spans="1:6" ht="12.75">
      <c r="A33213" s="8">
        <v>43889.673101851848</v>
      </c>
      <c r="B33213" s="8" t="str">
        <f>HYPERLINK("https://twitter.com/EncepSurecep","@EncepSurecep")</f>
        <v>@EncepSurecep</v>
      </c>
      <c r="C33213" s="8" t="s">
        <v>12475</v>
      </c>
      <c r="D33213" s="8">
        <v>0</v>
      </c>
      <c r="E33213" s="8">
        <v>0</v>
      </c>
      <c r="F33213" s="8">
        <v>4</v>
      </c>
    </row>
    <row r="33214" spans="1:6" ht="12.75">
      <c r="A33214" s="8">
        <v>43889.673101851848</v>
      </c>
      <c r="B33214" s="8" t="str">
        <f>HYPERLINK("https://twitter.com/south_arlan","@south_arlan")</f>
        <v>@south_arlan</v>
      </c>
      <c r="C33214" s="8" t="s">
        <v>10755</v>
      </c>
      <c r="D33214" s="8">
        <v>82</v>
      </c>
      <c r="E33214" s="8">
        <v>0</v>
      </c>
      <c r="F33214" s="8">
        <v>423</v>
      </c>
    </row>
    <row r="33215" spans="1:6" ht="12.75">
      <c r="A33215" s="8">
        <v>43889.673067129625</v>
      </c>
      <c r="B33215" s="8" t="str">
        <f>HYPERLINK("https://twitter.com/Joungsanang","@Joungsanang")</f>
        <v>@Joungsanang</v>
      </c>
      <c r="C33215" s="8" t="s">
        <v>11586</v>
      </c>
      <c r="D33215" s="8">
        <v>122</v>
      </c>
      <c r="E33215" s="8">
        <v>0</v>
      </c>
      <c r="F33215" s="8">
        <v>234</v>
      </c>
    </row>
    <row r="33216" spans="1:6" ht="12.75">
      <c r="A33216" s="8">
        <v>43889.673020833332</v>
      </c>
      <c r="B33216" s="8" t="str">
        <f>HYPERLINK("https://twitter.com/budisordi","@budisordi")</f>
        <v>@budisordi</v>
      </c>
      <c r="C33216" s="8" t="s">
        <v>12475</v>
      </c>
      <c r="D33216" s="8">
        <v>0</v>
      </c>
      <c r="E33216" s="8">
        <v>0</v>
      </c>
      <c r="F33216" s="8">
        <v>0</v>
      </c>
    </row>
    <row r="33217" spans="1:6" ht="12.75">
      <c r="A33217" s="8">
        <v>43889.672939814816</v>
      </c>
      <c r="B33217" s="8" t="str">
        <f>HYPERLINK("https://twitter.com/Jimy02969077","@Jimy02969077")</f>
        <v>@Jimy02969077</v>
      </c>
      <c r="C33217" s="8" t="s">
        <v>11586</v>
      </c>
      <c r="D33217" s="8">
        <v>122</v>
      </c>
      <c r="E33217" s="8">
        <v>0</v>
      </c>
      <c r="F33217" s="8">
        <v>73</v>
      </c>
    </row>
    <row r="33218" spans="1:6" ht="12.75">
      <c r="A33218" s="8">
        <v>43889.672916666663</v>
      </c>
      <c r="B33218" s="8" t="str">
        <f>HYPERLINK("https://twitter.com/haryantohari","@haryantohari")</f>
        <v>@haryantohari</v>
      </c>
      <c r="C33218" s="8" t="s">
        <v>12478</v>
      </c>
      <c r="D33218" s="8">
        <v>0</v>
      </c>
      <c r="E33218" s="8">
        <v>0</v>
      </c>
      <c r="F33218" s="8">
        <v>33</v>
      </c>
    </row>
    <row r="33219" spans="1:6" ht="12.75">
      <c r="A33219" s="8">
        <v>43889.672858796301</v>
      </c>
      <c r="B33219" s="8" t="str">
        <f>HYPERLINK("https://twitter.com/delisven3","@delisven3")</f>
        <v>@delisven3</v>
      </c>
      <c r="C33219" s="8" t="s">
        <v>12479</v>
      </c>
      <c r="D33219" s="8">
        <v>0</v>
      </c>
      <c r="E33219" s="8">
        <v>0</v>
      </c>
      <c r="F33219" s="8">
        <v>60</v>
      </c>
    </row>
    <row r="33220" spans="1:6" ht="12.75">
      <c r="A33220" s="8">
        <v>43889.672754629632</v>
      </c>
      <c r="B33220" s="8" t="str">
        <f>HYPERLINK("https://twitter.com/FathurAhmd","@FathurAhmd")</f>
        <v>@FathurAhmd</v>
      </c>
      <c r="C33220" s="8" t="s">
        <v>12480</v>
      </c>
      <c r="D33220" s="8">
        <v>0</v>
      </c>
      <c r="E33220" s="8">
        <v>0</v>
      </c>
      <c r="F33220" s="8">
        <v>0</v>
      </c>
    </row>
    <row r="33221" spans="1:6" ht="12.75">
      <c r="A33221" s="8">
        <v>43889.672696759255</v>
      </c>
      <c r="B33221" s="8" t="str">
        <f>HYPERLINK("https://twitter.com/wbintoro101209","@wbintoro101209")</f>
        <v>@wbintoro101209</v>
      </c>
      <c r="C33221" s="8" t="s">
        <v>12481</v>
      </c>
      <c r="D33221" s="8">
        <v>13</v>
      </c>
      <c r="E33221" s="8">
        <v>0</v>
      </c>
      <c r="F33221" s="8">
        <v>313</v>
      </c>
    </row>
    <row r="33222" spans="1:6" ht="12.75">
      <c r="A33222" s="8">
        <v>43889.672696759255</v>
      </c>
      <c r="B33222" s="8" t="str">
        <f>HYPERLINK("https://twitter.com/KingPhoenix2462","@KingPhoenix2462")</f>
        <v>@KingPhoenix2462</v>
      </c>
      <c r="C33222" s="8" t="s">
        <v>12482</v>
      </c>
      <c r="D33222" s="8">
        <v>1</v>
      </c>
      <c r="E33222" s="8">
        <v>0</v>
      </c>
      <c r="F33222" s="8">
        <v>0</v>
      </c>
    </row>
    <row r="33223" spans="1:6" ht="12.75">
      <c r="A33223" s="8">
        <v>43889.672662037032</v>
      </c>
      <c r="B33223" s="8" t="str">
        <f>HYPERLINK("https://twitter.com/clearholder88","@clearholder88")</f>
        <v>@clearholder88</v>
      </c>
      <c r="C33223" s="8" t="s">
        <v>10755</v>
      </c>
      <c r="D33223" s="8">
        <v>82</v>
      </c>
      <c r="E33223" s="8">
        <v>0</v>
      </c>
      <c r="F33223" s="8">
        <v>436</v>
      </c>
    </row>
    <row r="33224" spans="1:6" ht="12.75">
      <c r="A33224" s="8">
        <v>43889.672662037032</v>
      </c>
      <c r="B33224" s="8" t="str">
        <f>HYPERLINK("https://twitter.com/ipahzgk","@ipahzgk")</f>
        <v>@ipahzgk</v>
      </c>
      <c r="C33224" s="8" t="s">
        <v>10755</v>
      </c>
      <c r="D33224" s="8">
        <v>82</v>
      </c>
      <c r="E33224" s="8">
        <v>0</v>
      </c>
      <c r="F33224" s="8">
        <v>140</v>
      </c>
    </row>
    <row r="33225" spans="1:6" ht="12.75">
      <c r="A33225" s="8">
        <v>43889.672615740739</v>
      </c>
      <c r="B33225" s="8" t="str">
        <f>HYPERLINK("https://twitter.com/vinaya84070057","@vinaya84070057")</f>
        <v>@vinaya84070057</v>
      </c>
      <c r="C33225" s="8" t="s">
        <v>12483</v>
      </c>
      <c r="D33225" s="8">
        <v>0</v>
      </c>
      <c r="E33225" s="8">
        <v>0</v>
      </c>
      <c r="F33225" s="8">
        <v>0</v>
      </c>
    </row>
    <row r="33226" spans="1:6" ht="12.75">
      <c r="A33226" s="8">
        <v>43889.67260416667</v>
      </c>
      <c r="B33226" s="8" t="str">
        <f>HYPERLINK("https://twitter.com/iskanda80893534","@iskanda80893534")</f>
        <v>@iskanda80893534</v>
      </c>
      <c r="C33226" s="8" t="s">
        <v>12484</v>
      </c>
      <c r="D33226" s="8">
        <v>49</v>
      </c>
      <c r="E33226" s="8">
        <v>0</v>
      </c>
      <c r="F33226" s="8">
        <v>9712</v>
      </c>
    </row>
    <row r="33227" spans="1:6" ht="12.75">
      <c r="A33227" s="8">
        <v>43889.672569444447</v>
      </c>
      <c r="B33227" s="8" t="str">
        <f>HYPERLINK("https://twitter.com/EncepSurecep","@EncepSurecep")</f>
        <v>@EncepSurecep</v>
      </c>
      <c r="C33227" s="8" t="s">
        <v>12475</v>
      </c>
      <c r="D33227" s="8">
        <v>0</v>
      </c>
      <c r="E33227" s="8">
        <v>0</v>
      </c>
      <c r="F33227" s="8">
        <v>4</v>
      </c>
    </row>
    <row r="33228" spans="1:6" ht="12.75">
      <c r="A33228" s="8">
        <v>43889.67255787037</v>
      </c>
      <c r="B33228" s="8" t="str">
        <f>HYPERLINK("https://twitter.com/Humas_Res_Abar","@Humas_Res_Abar")</f>
        <v>@Humas_Res_Abar</v>
      </c>
      <c r="C33228" s="8" t="s">
        <v>12485</v>
      </c>
      <c r="D33228" s="8">
        <v>0</v>
      </c>
      <c r="E33228" s="8">
        <v>0</v>
      </c>
      <c r="F33228" s="8">
        <v>91</v>
      </c>
    </row>
    <row r="33229" spans="1:6" ht="12.75">
      <c r="A33229" s="8">
        <v>43889.67255787037</v>
      </c>
      <c r="B33229" s="8" t="str">
        <f>HYPERLINK("https://twitter.com/EncepSurecep","@EncepSurecep")</f>
        <v>@EncepSurecep</v>
      </c>
      <c r="C33229" s="8" t="s">
        <v>12475</v>
      </c>
      <c r="D33229" s="8">
        <v>0</v>
      </c>
      <c r="E33229" s="8">
        <v>0</v>
      </c>
      <c r="F33229" s="8">
        <v>4</v>
      </c>
    </row>
    <row r="33230" spans="1:6" ht="12.75">
      <c r="A33230" s="8">
        <v>43889.672546296293</v>
      </c>
      <c r="B33230" s="8" t="str">
        <f>HYPERLINK("https://twitter.com/alucardiardo","@alucardiardo")</f>
        <v>@alucardiardo</v>
      </c>
      <c r="C33230" s="8" t="s">
        <v>12474</v>
      </c>
      <c r="D33230" s="8">
        <v>1</v>
      </c>
      <c r="E33230" s="8">
        <v>1</v>
      </c>
      <c r="F33230" s="8">
        <v>1</v>
      </c>
    </row>
    <row r="33231" spans="1:6" ht="12.75">
      <c r="A33231" s="8">
        <v>43889.67251157407</v>
      </c>
      <c r="B33231" s="8" t="str">
        <f>HYPERLINK("https://twitter.com/endeeste","@endeeste")</f>
        <v>@endeeste</v>
      </c>
      <c r="C33231" s="8" t="s">
        <v>12093</v>
      </c>
      <c r="D33231" s="8">
        <v>26</v>
      </c>
      <c r="E33231" s="8">
        <v>0</v>
      </c>
      <c r="F33231" s="8">
        <v>231</v>
      </c>
    </row>
    <row r="33232" spans="1:6" ht="12.75">
      <c r="A33232" s="8">
        <v>43889.672395833331</v>
      </c>
      <c r="B33232" s="8" t="str">
        <f>HYPERLINK("https://twitter.com/Hanifah933","@Hanifah933")</f>
        <v>@Hanifah933</v>
      </c>
      <c r="C33232" s="8" t="s">
        <v>12486</v>
      </c>
      <c r="D33232" s="8">
        <v>1</v>
      </c>
      <c r="E33232" s="8">
        <v>0</v>
      </c>
      <c r="F33232" s="8">
        <v>7120</v>
      </c>
    </row>
    <row r="33233" spans="1:6" ht="12.75">
      <c r="A33233" s="8">
        <v>43889.672222222223</v>
      </c>
      <c r="B33233" s="8" t="str">
        <f>HYPERLINK("https://twitter.com/polsekmarga","@polsekmarga")</f>
        <v>@polsekmarga</v>
      </c>
      <c r="C33233" s="8" t="s">
        <v>12475</v>
      </c>
      <c r="D33233" s="8">
        <v>0</v>
      </c>
      <c r="E33233" s="8">
        <v>0</v>
      </c>
      <c r="F33233" s="8">
        <v>3</v>
      </c>
    </row>
    <row r="33234" spans="1:6" ht="12.75">
      <c r="A33234" s="8">
        <v>43889.672222222223</v>
      </c>
      <c r="B33234" s="8" t="str">
        <f>HYPERLINK("https://twitter.com/agungkenyat","@agungkenyat")</f>
        <v>@agungkenyat</v>
      </c>
      <c r="C33234" s="8" t="s">
        <v>12475</v>
      </c>
      <c r="D33234" s="8">
        <v>0</v>
      </c>
      <c r="E33234" s="8">
        <v>0</v>
      </c>
      <c r="F33234" s="8">
        <v>2</v>
      </c>
    </row>
    <row r="33235" spans="1:6" ht="12.75">
      <c r="A33235" s="8">
        <v>43889.672199074077</v>
      </c>
      <c r="B33235" s="8" t="str">
        <f>HYPERLINK("https://twitter.com/AvioCyntia","@AvioCyntia")</f>
        <v>@AvioCyntia</v>
      </c>
      <c r="C33235" s="8" t="s">
        <v>12395</v>
      </c>
      <c r="D33235" s="8">
        <v>6</v>
      </c>
      <c r="E33235" s="8">
        <v>0</v>
      </c>
      <c r="F33235" s="8">
        <v>10</v>
      </c>
    </row>
    <row r="33236" spans="1:6" ht="12.75">
      <c r="A33236" s="8">
        <v>43889.672175925924</v>
      </c>
      <c r="B33236" s="8" t="str">
        <f>HYPERLINK("https://twitter.com/wni_jmsri","@wni_jmsri")</f>
        <v>@wni_jmsri</v>
      </c>
      <c r="C33236" s="8" t="s">
        <v>12487</v>
      </c>
      <c r="D33236" s="8">
        <v>13485</v>
      </c>
      <c r="E33236" s="8">
        <v>0</v>
      </c>
      <c r="F33236" s="8">
        <v>200</v>
      </c>
    </row>
    <row r="33237" spans="1:6" ht="12.75">
      <c r="A33237" s="8">
        <v>43889.672118055554</v>
      </c>
      <c r="B33237" s="8" t="str">
        <f>HYPERLINK("https://twitter.com/AsizFauziah","@AsizFauziah")</f>
        <v>@AsizFauziah</v>
      </c>
      <c r="C33237" s="8" t="s">
        <v>12488</v>
      </c>
      <c r="D33237" s="8">
        <v>1</v>
      </c>
      <c r="E33237" s="8">
        <v>0</v>
      </c>
      <c r="F33237" s="8">
        <v>3</v>
      </c>
    </row>
    <row r="33238" spans="1:6" ht="12.75">
      <c r="A33238" s="8">
        <v>43889.672094907408</v>
      </c>
      <c r="B33238" s="8" t="str">
        <f>HYPERLINK("https://twitter.com/Audreysella","@Audreysella")</f>
        <v>@Audreysella</v>
      </c>
      <c r="C33238" s="8" t="s">
        <v>12474</v>
      </c>
      <c r="D33238" s="8">
        <v>0</v>
      </c>
      <c r="E33238" s="8">
        <v>0</v>
      </c>
      <c r="F33238" s="8">
        <v>7</v>
      </c>
    </row>
    <row r="33239" spans="1:6" ht="12.75">
      <c r="A33239" s="8">
        <v>43889.672013888892</v>
      </c>
      <c r="B33239" s="8" t="str">
        <f>HYPERLINK("https://twitter.com/JingliatiTan","@JingliatiTan")</f>
        <v>@JingliatiTan</v>
      </c>
      <c r="C33239" s="8" t="s">
        <v>12489</v>
      </c>
      <c r="D33239" s="8">
        <v>1</v>
      </c>
      <c r="E33239" s="8">
        <v>1</v>
      </c>
      <c r="F33239" s="8">
        <v>17</v>
      </c>
    </row>
    <row r="33240" spans="1:6" ht="12.75">
      <c r="A33240" s="8">
        <v>43889.671944444446</v>
      </c>
      <c r="B33240" s="8" t="str">
        <f>HYPERLINK("https://twitter.com/daaaaaaasssssss","@daaaaaaasssssss")</f>
        <v>@daaaaaaasssssss</v>
      </c>
      <c r="C33240" s="8" t="s">
        <v>11102</v>
      </c>
      <c r="D33240" s="8">
        <v>359</v>
      </c>
      <c r="E33240" s="8">
        <v>0</v>
      </c>
      <c r="F33240" s="8">
        <v>104</v>
      </c>
    </row>
    <row r="33241" spans="1:6" ht="12.75">
      <c r="A33241" s="8">
        <v>43889.67186342593</v>
      </c>
      <c r="B33241" s="8" t="str">
        <f>HYPERLINK("https://twitter.com/RangCebol","@RangCebol")</f>
        <v>@RangCebol</v>
      </c>
      <c r="C33241" s="8" t="s">
        <v>12490</v>
      </c>
      <c r="D33241" s="8">
        <v>0</v>
      </c>
      <c r="E33241" s="8">
        <v>0</v>
      </c>
      <c r="F33241" s="8">
        <v>18</v>
      </c>
    </row>
    <row r="33242" spans="1:6" ht="12.75">
      <c r="A33242" s="8">
        <v>43889.67186342593</v>
      </c>
      <c r="B33242" s="8" t="str">
        <f>HYPERLINK("https://twitter.com/polsekmarga","@polsekmarga")</f>
        <v>@polsekmarga</v>
      </c>
      <c r="C33242" s="8" t="s">
        <v>12475</v>
      </c>
      <c r="D33242" s="8">
        <v>0</v>
      </c>
      <c r="E33242" s="8">
        <v>0</v>
      </c>
      <c r="F33242" s="8">
        <v>3</v>
      </c>
    </row>
    <row r="33243" spans="1:6" ht="12.75">
      <c r="A33243" s="8">
        <v>43889.671770833331</v>
      </c>
      <c r="B33243" s="8" t="str">
        <f>HYPERLINK("https://twitter.com/agungkenyat","@agungkenyat")</f>
        <v>@agungkenyat</v>
      </c>
      <c r="C33243" s="8" t="s">
        <v>12475</v>
      </c>
      <c r="D33243" s="8">
        <v>0</v>
      </c>
      <c r="E33243" s="8">
        <v>0</v>
      </c>
      <c r="F33243" s="8">
        <v>2</v>
      </c>
    </row>
    <row r="33244" spans="1:6" ht="12.75">
      <c r="A33244" s="8">
        <v>43889.671759259261</v>
      </c>
      <c r="B33244" s="8" t="str">
        <f>HYPERLINK("https://twitter.com/vinaya84070057","@vinaya84070057")</f>
        <v>@vinaya84070057</v>
      </c>
      <c r="C33244" s="8" t="s">
        <v>12491</v>
      </c>
      <c r="D33244" s="8">
        <v>0</v>
      </c>
      <c r="E33244" s="8">
        <v>0</v>
      </c>
      <c r="F33244" s="8">
        <v>0</v>
      </c>
    </row>
    <row r="33245" spans="1:6" ht="12.75">
      <c r="A33245" s="8">
        <v>43889.671643518523</v>
      </c>
      <c r="B33245" s="8" t="str">
        <f>HYPERLINK("https://twitter.com/themasterPAS46","@themasterPAS46")</f>
        <v>@themasterPAS46</v>
      </c>
      <c r="C33245" s="8" t="s">
        <v>12065</v>
      </c>
      <c r="D33245" s="8">
        <v>45</v>
      </c>
      <c r="E33245" s="8">
        <v>0</v>
      </c>
      <c r="F33245" s="8">
        <v>1574</v>
      </c>
    </row>
    <row r="33246" spans="1:6" ht="12.75">
      <c r="A33246" s="8">
        <v>43889.671620370369</v>
      </c>
      <c r="B33246" s="8" t="str">
        <f>HYPERLINK("https://twitter.com/nazhdien","@nazhdien")</f>
        <v>@nazhdien</v>
      </c>
      <c r="C33246" s="8" t="s">
        <v>12056</v>
      </c>
      <c r="D33246" s="8">
        <v>26</v>
      </c>
      <c r="E33246" s="8">
        <v>0</v>
      </c>
      <c r="F33246" s="8">
        <v>298</v>
      </c>
    </row>
    <row r="33247" spans="1:6" ht="12.75">
      <c r="A33247" s="8">
        <v>43889.671574074076</v>
      </c>
      <c r="B33247" s="8" t="str">
        <f>HYPERLINK("https://twitter.com/veroantikomunis","@veroantikomunis")</f>
        <v>@veroantikomunis</v>
      </c>
      <c r="C33247" s="8" t="s">
        <v>12492</v>
      </c>
      <c r="D33247" s="8">
        <v>0</v>
      </c>
      <c r="E33247" s="8">
        <v>0</v>
      </c>
      <c r="F33247" s="8">
        <v>24</v>
      </c>
    </row>
    <row r="33248" spans="1:6" ht="12.75">
      <c r="A33248" s="8">
        <v>43889.671423611115</v>
      </c>
      <c r="B33248" s="8" t="str">
        <f>HYPERLINK("https://twitter.com/iamanqela","@iamanqela")</f>
        <v>@iamanqela</v>
      </c>
      <c r="C33248" s="8" t="s">
        <v>12477</v>
      </c>
      <c r="D33248" s="8">
        <v>0</v>
      </c>
      <c r="E33248" s="8">
        <v>0</v>
      </c>
      <c r="F33248" s="8">
        <v>21</v>
      </c>
    </row>
    <row r="33249" spans="1:6" ht="12.75">
      <c r="A33249" s="8">
        <v>43889.671412037038</v>
      </c>
      <c r="B33249" s="8" t="str">
        <f>HYPERLINK("https://twitter.com/gresnewsdotcom","@gresnewsdotcom")</f>
        <v>@gresnewsdotcom</v>
      </c>
      <c r="C33249" s="8" t="s">
        <v>12493</v>
      </c>
      <c r="D33249" s="8">
        <v>0</v>
      </c>
      <c r="E33249" s="8">
        <v>0</v>
      </c>
      <c r="F33249" s="8">
        <v>16736</v>
      </c>
    </row>
    <row r="33250" spans="1:6" ht="12.75">
      <c r="A33250" s="8">
        <v>43889.671377314815</v>
      </c>
      <c r="B33250" s="8" t="str">
        <f>HYPERLINK("https://twitter.com/wni_jmsri","@wni_jmsri")</f>
        <v>@wni_jmsri</v>
      </c>
      <c r="C33250" s="8" t="s">
        <v>12494</v>
      </c>
      <c r="D33250" s="8">
        <v>2323</v>
      </c>
      <c r="E33250" s="8">
        <v>0</v>
      </c>
      <c r="F33250" s="8">
        <v>200</v>
      </c>
    </row>
    <row r="33251" spans="1:6" ht="12.75">
      <c r="A33251" s="8">
        <v>43889.671365740738</v>
      </c>
      <c r="B33251" s="8" t="str">
        <f>HYPERLINK("https://twitter.com/PPamsel","@PPamsel")</f>
        <v>@PPamsel</v>
      </c>
      <c r="C33251" s="8" t="s">
        <v>12495</v>
      </c>
      <c r="D33251" s="8">
        <v>0</v>
      </c>
      <c r="E33251" s="8">
        <v>0</v>
      </c>
      <c r="F33251" s="8">
        <v>2</v>
      </c>
    </row>
    <row r="33252" spans="1:6" ht="12.75">
      <c r="A33252" s="8">
        <v>43889.671319444446</v>
      </c>
      <c r="B33252" s="8" t="str">
        <f>HYPERLINK("https://twitter.com/Hanifah933","@Hanifah933")</f>
        <v>@Hanifah933</v>
      </c>
      <c r="C33252" s="8" t="s">
        <v>12496</v>
      </c>
      <c r="D33252" s="8">
        <v>1</v>
      </c>
      <c r="E33252" s="8">
        <v>0</v>
      </c>
      <c r="F33252" s="8">
        <v>7120</v>
      </c>
    </row>
    <row r="33253" spans="1:6" ht="12.75">
      <c r="A33253" s="8">
        <v>43889.671226851853</v>
      </c>
      <c r="B33253" s="8" t="str">
        <f>HYPERLINK("https://twitter.com/SMBS_rio","@SMBS_rio")</f>
        <v>@SMBS_rio</v>
      </c>
      <c r="C33253" s="8" t="s">
        <v>12125</v>
      </c>
      <c r="D33253" s="8">
        <v>49</v>
      </c>
      <c r="E33253" s="8">
        <v>0</v>
      </c>
      <c r="F33253" s="8">
        <v>2404</v>
      </c>
    </row>
    <row r="33254" spans="1:6" ht="12.75">
      <c r="A33254" s="8">
        <v>43889.671203703707</v>
      </c>
      <c r="B33254" s="8" t="str">
        <f>HYPERLINK("https://twitter.com/Zackf77156873","@Zackf77156873")</f>
        <v>@Zackf77156873</v>
      </c>
      <c r="C33254" s="8" t="s">
        <v>12423</v>
      </c>
      <c r="D33254" s="8">
        <v>76</v>
      </c>
      <c r="E33254" s="8">
        <v>0</v>
      </c>
      <c r="F33254" s="8">
        <v>233</v>
      </c>
    </row>
    <row r="33255" spans="1:6" ht="12.75">
      <c r="A33255" s="8">
        <v>43889.671180555553</v>
      </c>
      <c r="B33255" s="8" t="str">
        <f>HYPERLINK("https://twitter.com/Kania_MetroTV","@Kania_MetroTV")</f>
        <v>@Kania_MetroTV</v>
      </c>
      <c r="C33255" s="8" t="s">
        <v>12497</v>
      </c>
      <c r="D33255" s="8">
        <v>3</v>
      </c>
      <c r="E33255" s="8">
        <v>0</v>
      </c>
      <c r="F33255" s="8">
        <v>215746</v>
      </c>
    </row>
    <row r="33256" spans="1:6" ht="12.75">
      <c r="A33256" s="8">
        <v>43889.671168981484</v>
      </c>
      <c r="B33256" s="8" t="str">
        <f>HYPERLINK("https://twitter.com/NBerbakti","@NBerbakti")</f>
        <v>@NBerbakti</v>
      </c>
      <c r="C33256" s="8" t="s">
        <v>11586</v>
      </c>
      <c r="D33256" s="8">
        <v>122</v>
      </c>
      <c r="E33256" s="8">
        <v>0</v>
      </c>
      <c r="F33256" s="8">
        <v>643</v>
      </c>
    </row>
    <row r="33257" spans="1:6" ht="12.75">
      <c r="A33257" s="8">
        <v>43889.671122685184</v>
      </c>
      <c r="B33257" s="8" t="str">
        <f>HYPERLINK("https://twitter.com/MNP_Prasetyo","@MNP_Prasetyo")</f>
        <v>@MNP_Prasetyo</v>
      </c>
      <c r="C33257" s="8" t="s">
        <v>10721</v>
      </c>
      <c r="D33257" s="8">
        <v>96</v>
      </c>
      <c r="E33257" s="8">
        <v>0</v>
      </c>
      <c r="F33257" s="8">
        <v>30</v>
      </c>
    </row>
    <row r="33258" spans="1:6" ht="12.75">
      <c r="A33258" s="8">
        <v>43889.671053240745</v>
      </c>
      <c r="B33258" s="8" t="str">
        <f>HYPERLINK("https://twitter.com/Kemlu_RI","@Kemlu_RI")</f>
        <v>@Kemlu_RI</v>
      </c>
      <c r="C33258" s="8" t="s">
        <v>12498</v>
      </c>
      <c r="D33258" s="8">
        <v>0</v>
      </c>
      <c r="E33258" s="8">
        <v>5</v>
      </c>
      <c r="F33258" s="8">
        <v>170493</v>
      </c>
    </row>
    <row r="33259" spans="1:6" ht="12.75">
      <c r="A33259" s="8">
        <v>43889.671018518522</v>
      </c>
      <c r="B33259" s="8" t="str">
        <f>HYPERLINK("https://twitter.com/beatrice_health","@beatrice_health")</f>
        <v>@beatrice_health</v>
      </c>
      <c r="C33259" s="8" t="s">
        <v>12499</v>
      </c>
      <c r="D33259" s="8">
        <v>1</v>
      </c>
      <c r="E33259" s="8">
        <v>0</v>
      </c>
      <c r="F33259" s="8">
        <v>424</v>
      </c>
    </row>
    <row r="33260" spans="1:6" ht="12.75">
      <c r="A33260" s="8">
        <v>43889.670810185184</v>
      </c>
      <c r="B33260" s="8" t="str">
        <f>HYPERLINK("https://twitter.com/agungkenyat","@agungkenyat")</f>
        <v>@agungkenyat</v>
      </c>
      <c r="C33260" s="8" t="s">
        <v>12475</v>
      </c>
      <c r="D33260" s="8">
        <v>1</v>
      </c>
      <c r="E33260" s="8">
        <v>0</v>
      </c>
      <c r="F33260" s="8">
        <v>2</v>
      </c>
    </row>
    <row r="33261" spans="1:6" ht="12.75">
      <c r="A33261" s="8">
        <v>43889.670706018514</v>
      </c>
      <c r="B33261" s="8" t="str">
        <f>HYPERLINK("https://twitter.com/alex_hunter146","@alex_hunter146")</f>
        <v>@alex_hunter146</v>
      </c>
      <c r="C33261" s="8" t="s">
        <v>12500</v>
      </c>
      <c r="D33261" s="8">
        <v>1</v>
      </c>
      <c r="E33261" s="8">
        <v>1</v>
      </c>
      <c r="F33261" s="8">
        <v>1491</v>
      </c>
    </row>
    <row r="33262" spans="1:6" ht="12.75">
      <c r="A33262" s="8">
        <v>43889.670590277776</v>
      </c>
      <c r="B33262" s="8" t="str">
        <f>HYPERLINK("https://twitter.com/AMeulaboh","@AMeulaboh")</f>
        <v>@AMeulaboh</v>
      </c>
      <c r="C33262" s="8" t="s">
        <v>12485</v>
      </c>
      <c r="D33262" s="8">
        <v>0</v>
      </c>
      <c r="E33262" s="8">
        <v>0</v>
      </c>
      <c r="F33262" s="8">
        <v>4</v>
      </c>
    </row>
    <row r="33263" spans="1:6" ht="12.75">
      <c r="A33263" s="8">
        <v>43889.670474537037</v>
      </c>
      <c r="B33263" s="8" t="str">
        <f>HYPERLINK("https://twitter.com/wni_jmsri","@wni_jmsri")</f>
        <v>@wni_jmsri</v>
      </c>
      <c r="C33263" s="8" t="s">
        <v>12501</v>
      </c>
      <c r="D33263" s="8">
        <v>9912</v>
      </c>
      <c r="E33263" s="8">
        <v>0</v>
      </c>
      <c r="F33263" s="8">
        <v>200</v>
      </c>
    </row>
    <row r="33264" spans="1:6" ht="12.75">
      <c r="A33264" s="8">
        <v>43889.670474537037</v>
      </c>
      <c r="B33264" s="8" t="str">
        <f>HYPERLINK("https://twitter.com/HumasTambelang","@HumasTambelang")</f>
        <v>@HumasTambelang</v>
      </c>
      <c r="C33264" s="8" t="s">
        <v>12502</v>
      </c>
      <c r="D33264" s="8">
        <v>0</v>
      </c>
      <c r="E33264" s="8">
        <v>0</v>
      </c>
      <c r="F33264" s="8">
        <v>13</v>
      </c>
    </row>
    <row r="33265" spans="1:6" ht="12.75">
      <c r="A33265" s="8">
        <v>43889.670381944445</v>
      </c>
      <c r="B33265" s="8" t="str">
        <f>HYPERLINK("https://twitter.com/PolsekSelesai1","@PolsekSelesai1")</f>
        <v>@PolsekSelesai1</v>
      </c>
      <c r="C33265" s="8" t="s">
        <v>12503</v>
      </c>
      <c r="D33265" s="8">
        <v>0</v>
      </c>
      <c r="E33265" s="8">
        <v>0</v>
      </c>
      <c r="F33265" s="8">
        <v>3</v>
      </c>
    </row>
    <row r="33266" spans="1:6" ht="12.75">
      <c r="A33266" s="8">
        <v>43889.670370370368</v>
      </c>
      <c r="B33266" s="8" t="str">
        <f>HYPERLINK("https://twitter.com/nyomanswagangga","@nyomanswagangga")</f>
        <v>@nyomanswagangga</v>
      </c>
      <c r="C33266" s="8" t="s">
        <v>12504</v>
      </c>
      <c r="D33266" s="8">
        <v>0</v>
      </c>
      <c r="E33266" s="8">
        <v>1</v>
      </c>
      <c r="F33266" s="8">
        <v>57</v>
      </c>
    </row>
    <row r="33267" spans="1:6" ht="12.75">
      <c r="A33267" s="8">
        <v>43889.670370370368</v>
      </c>
      <c r="B33267" s="8" t="str">
        <f t="shared" ref="B33267:B33268" si="457">HYPERLINK("https://twitter.com/agungkenyat","@agungkenyat")</f>
        <v>@agungkenyat</v>
      </c>
      <c r="C33267" s="8" t="s">
        <v>12475</v>
      </c>
      <c r="D33267" s="8">
        <v>0</v>
      </c>
      <c r="E33267" s="8">
        <v>0</v>
      </c>
      <c r="F33267" s="8">
        <v>2</v>
      </c>
    </row>
    <row r="33268" spans="1:6" ht="12.75">
      <c r="A33268" s="8">
        <v>43889.670289351852</v>
      </c>
      <c r="B33268" s="8" t="str">
        <f t="shared" si="457"/>
        <v>@agungkenyat</v>
      </c>
      <c r="C33268" s="8" t="s">
        <v>12475</v>
      </c>
      <c r="D33268" s="8">
        <v>0</v>
      </c>
      <c r="E33268" s="8">
        <v>0</v>
      </c>
      <c r="F33268" s="8">
        <v>2</v>
      </c>
    </row>
    <row r="33269" spans="1:6" ht="12.75">
      <c r="A33269" s="8">
        <v>43889.670266203699</v>
      </c>
      <c r="B33269" s="8" t="str">
        <f>HYPERLINK("https://twitter.com/angie_vountan","@angie_vountan")</f>
        <v>@angie_vountan</v>
      </c>
      <c r="C33269" s="8" t="s">
        <v>11586</v>
      </c>
      <c r="D33269" s="8">
        <v>122</v>
      </c>
      <c r="E33269" s="8">
        <v>0</v>
      </c>
      <c r="F33269" s="8">
        <v>116</v>
      </c>
    </row>
    <row r="33270" spans="1:6" ht="12.75">
      <c r="A33270" s="8">
        <v>43889.670057870375</v>
      </c>
      <c r="B33270" s="8" t="str">
        <f>HYPERLINK("https://twitter.com/JojonKupang","@JojonKupang")</f>
        <v>@JojonKupang</v>
      </c>
      <c r="C33270" s="8" t="s">
        <v>12475</v>
      </c>
      <c r="D33270" s="8">
        <v>0</v>
      </c>
      <c r="E33270" s="8">
        <v>1</v>
      </c>
      <c r="F33270" s="8">
        <v>2</v>
      </c>
    </row>
    <row r="33271" spans="1:6" ht="12.75">
      <c r="A33271" s="8">
        <v>43889.669895833329</v>
      </c>
      <c r="B33271" s="8" t="str">
        <f>HYPERLINK("https://twitter.com/IksanW7","@IksanW7")</f>
        <v>@IksanW7</v>
      </c>
      <c r="C33271" s="8" t="s">
        <v>12505</v>
      </c>
      <c r="D33271" s="8">
        <v>10</v>
      </c>
      <c r="E33271" s="8">
        <v>0</v>
      </c>
      <c r="F33271" s="8">
        <v>2</v>
      </c>
    </row>
    <row r="33272" spans="1:6" ht="12.75">
      <c r="A33272" s="8">
        <v>43889.669895833329</v>
      </c>
      <c r="B33272" s="8" t="str">
        <f>HYPERLINK("https://twitter.com/andhikadzifa","@andhikadzifa")</f>
        <v>@andhikadzifa</v>
      </c>
      <c r="C33272" s="8" t="s">
        <v>12506</v>
      </c>
      <c r="D33272" s="8">
        <v>0</v>
      </c>
      <c r="E33272" s="8">
        <v>0</v>
      </c>
      <c r="F33272" s="8">
        <v>6</v>
      </c>
    </row>
    <row r="33273" spans="1:6" ht="12.75">
      <c r="A33273" s="8">
        <v>43889.669861111106</v>
      </c>
      <c r="B33273" s="8" t="str">
        <f t="shared" ref="B33273:B33274" si="458">HYPERLINK("https://twitter.com/khanasluhu","@khanasluhu")</f>
        <v>@khanasluhu</v>
      </c>
      <c r="C33273" s="8" t="s">
        <v>12423</v>
      </c>
      <c r="D33273" s="8">
        <v>76</v>
      </c>
      <c r="E33273" s="8">
        <v>0</v>
      </c>
      <c r="F33273" s="8">
        <v>2329</v>
      </c>
    </row>
    <row r="33274" spans="1:6" ht="12.75">
      <c r="A33274" s="8">
        <v>43889.669756944444</v>
      </c>
      <c r="B33274" s="8" t="str">
        <f t="shared" si="458"/>
        <v>@khanasluhu</v>
      </c>
      <c r="C33274" s="8" t="s">
        <v>11589</v>
      </c>
      <c r="D33274" s="8">
        <v>79</v>
      </c>
      <c r="E33274" s="8">
        <v>0</v>
      </c>
      <c r="F33274" s="8">
        <v>2329</v>
      </c>
    </row>
    <row r="33275" spans="1:6" ht="12.75">
      <c r="A33275" s="8">
        <v>43889.669756944444</v>
      </c>
      <c r="B33275" s="8" t="str">
        <f>HYPERLINK("https://twitter.com/AniAmalia13","@AniAmalia13")</f>
        <v>@AniAmalia13</v>
      </c>
      <c r="C33275" s="8" t="s">
        <v>12417</v>
      </c>
      <c r="D33275" s="8">
        <v>0</v>
      </c>
      <c r="E33275" s="8">
        <v>0</v>
      </c>
      <c r="F33275" s="8">
        <v>50</v>
      </c>
    </row>
    <row r="33276" spans="1:6" ht="12.75">
      <c r="A33276" s="8">
        <v>43889.669756944444</v>
      </c>
      <c r="B33276" s="8" t="str">
        <f>HYPERLINK("https://twitter.com/IksanW7","@IksanW7")</f>
        <v>@IksanW7</v>
      </c>
      <c r="C33276" s="8" t="s">
        <v>12507</v>
      </c>
      <c r="D33276" s="8">
        <v>6</v>
      </c>
      <c r="E33276" s="8">
        <v>0</v>
      </c>
      <c r="F33276" s="8">
        <v>2</v>
      </c>
    </row>
    <row r="33277" spans="1:6" ht="12.75">
      <c r="A33277" s="8">
        <v>43889.669675925921</v>
      </c>
      <c r="B33277" s="8" t="str">
        <f>HYPERLINK("https://twitter.com/PolsekSelesai1","@PolsekSelesai1")</f>
        <v>@PolsekSelesai1</v>
      </c>
      <c r="C33277" s="8" t="s">
        <v>12508</v>
      </c>
      <c r="D33277" s="8">
        <v>0</v>
      </c>
      <c r="E33277" s="8">
        <v>0</v>
      </c>
      <c r="F33277" s="8">
        <v>3</v>
      </c>
    </row>
    <row r="33278" spans="1:6" ht="12.75">
      <c r="A33278" s="8">
        <v>43889.669664351852</v>
      </c>
      <c r="B33278" s="8" t="str">
        <f>HYPERLINK("https://twitter.com/JojonKupang","@JojonKupang")</f>
        <v>@JojonKupang</v>
      </c>
      <c r="C33278" s="8" t="s">
        <v>12475</v>
      </c>
      <c r="D33278" s="8">
        <v>0</v>
      </c>
      <c r="E33278" s="8">
        <v>0</v>
      </c>
      <c r="F33278" s="8">
        <v>2</v>
      </c>
    </row>
    <row r="33279" spans="1:6" ht="12.75">
      <c r="A33279" s="8">
        <v>43889.631840277776</v>
      </c>
      <c r="B33279" s="8" t="str">
        <f>HYPERLINK("https://twitter.com/NKRIHAR95556121","@NKRIHAR95556121")</f>
        <v>@NKRIHAR95556121</v>
      </c>
      <c r="C33279" s="8" t="s">
        <v>12458</v>
      </c>
      <c r="D33279" s="8">
        <v>0</v>
      </c>
      <c r="E33279" s="8">
        <v>0</v>
      </c>
      <c r="F33279" s="8">
        <v>5</v>
      </c>
    </row>
    <row r="33280" spans="1:6" ht="12.75">
      <c r="A33280" s="8">
        <v>43889.631828703699</v>
      </c>
      <c r="B33280" s="8" t="str">
        <f>HYPERLINK("https://twitter.com/PolSahabat","@PolSahabat")</f>
        <v>@PolSahabat</v>
      </c>
      <c r="C33280" s="8" t="s">
        <v>12509</v>
      </c>
      <c r="D33280" s="8">
        <v>2</v>
      </c>
      <c r="E33280" s="8">
        <v>0</v>
      </c>
      <c r="F33280" s="8">
        <v>0</v>
      </c>
    </row>
    <row r="33281" spans="1:6" ht="12.75">
      <c r="A33281" s="8">
        <v>43889.631793981476</v>
      </c>
      <c r="B33281" s="8" t="str">
        <f>HYPERLINK("https://twitter.com/PNimbokrang","@PNimbokrang")</f>
        <v>@PNimbokrang</v>
      </c>
      <c r="C33281" s="8" t="s">
        <v>12418</v>
      </c>
      <c r="D33281" s="8">
        <v>0</v>
      </c>
      <c r="E33281" s="8">
        <v>0</v>
      </c>
      <c r="F33281" s="8">
        <v>5</v>
      </c>
    </row>
    <row r="33282" spans="1:6" ht="12.75">
      <c r="A33282" s="8">
        <v>43889.631793981476</v>
      </c>
      <c r="B33282" s="8" t="str">
        <f>HYPERLINK("https://twitter.com/DewiNatural","@DewiNatural")</f>
        <v>@DewiNatural</v>
      </c>
      <c r="C33282" s="8" t="s">
        <v>12510</v>
      </c>
      <c r="D33282" s="8">
        <v>2</v>
      </c>
      <c r="E33282" s="8">
        <v>0</v>
      </c>
      <c r="F33282" s="8">
        <v>6</v>
      </c>
    </row>
    <row r="33283" spans="1:6" ht="12.75">
      <c r="A33283" s="8">
        <v>43889.631782407407</v>
      </c>
      <c r="B33283" s="8" t="str">
        <f>HYPERLINK("https://twitter.com/jeremyowen__","@jeremyowen__")</f>
        <v>@jeremyowen__</v>
      </c>
      <c r="C33283" s="8" t="s">
        <v>12056</v>
      </c>
      <c r="D33283" s="8">
        <v>6</v>
      </c>
      <c r="E33283" s="8">
        <v>0</v>
      </c>
      <c r="F33283" s="8">
        <v>266</v>
      </c>
    </row>
    <row r="33284" spans="1:6" ht="12.75">
      <c r="A33284" s="8">
        <v>43889.631736111114</v>
      </c>
      <c r="B33284" s="8" t="str">
        <f>HYPERLINK("https://twitter.com/polsek_klaten","@polsek_klaten")</f>
        <v>@polsek_klaten</v>
      </c>
      <c r="C33284" s="8" t="s">
        <v>12511</v>
      </c>
      <c r="D33284" s="8">
        <v>0</v>
      </c>
      <c r="E33284" s="8">
        <v>0</v>
      </c>
      <c r="F33284" s="8">
        <v>9</v>
      </c>
    </row>
    <row r="33285" spans="1:6" ht="12.75">
      <c r="A33285" s="8">
        <v>43889.631678240738</v>
      </c>
      <c r="B33285" s="8" t="str">
        <f>HYPERLINK("https://twitter.com/lantaspolsekma1","@lantaspolsekma1")</f>
        <v>@lantaspolsekma1</v>
      </c>
      <c r="C33285" s="8" t="s">
        <v>12512</v>
      </c>
      <c r="D33285" s="8">
        <v>0</v>
      </c>
      <c r="E33285" s="8">
        <v>0</v>
      </c>
      <c r="F33285" s="8">
        <v>1</v>
      </c>
    </row>
    <row r="33286" spans="1:6" ht="12.75">
      <c r="A33286" s="8">
        <v>43889.631678240738</v>
      </c>
      <c r="B33286" s="8" t="str">
        <f>HYPERLINK("https://twitter.com/PBulukumpa","@PBulukumpa")</f>
        <v>@PBulukumpa</v>
      </c>
      <c r="C33286" s="8" t="s">
        <v>12483</v>
      </c>
      <c r="D33286" s="8">
        <v>0</v>
      </c>
      <c r="E33286" s="8">
        <v>0</v>
      </c>
      <c r="F33286" s="8">
        <v>136</v>
      </c>
    </row>
    <row r="33287" spans="1:6" ht="12.75">
      <c r="A33287" s="8">
        <v>43889.631655092591</v>
      </c>
      <c r="B33287" s="8" t="str">
        <f>HYPERLINK("https://twitter.com/Jumes50940831","@Jumes50940831")</f>
        <v>@Jumes50940831</v>
      </c>
      <c r="C33287" s="8" t="s">
        <v>12513</v>
      </c>
      <c r="D33287" s="8">
        <v>2</v>
      </c>
      <c r="E33287" s="8">
        <v>0</v>
      </c>
      <c r="F33287" s="8">
        <v>0</v>
      </c>
    </row>
    <row r="33288" spans="1:6" ht="12.75">
      <c r="A33288" s="8">
        <v>43889.631655092591</v>
      </c>
      <c r="B33288" s="8" t="str">
        <f>HYPERLINK("https://twitter.com/PNimbokrang","@PNimbokrang")</f>
        <v>@PNimbokrang</v>
      </c>
      <c r="C33288" s="8" t="s">
        <v>12418</v>
      </c>
      <c r="D33288" s="8">
        <v>0</v>
      </c>
      <c r="E33288" s="8">
        <v>0</v>
      </c>
      <c r="F33288" s="8">
        <v>5</v>
      </c>
    </row>
    <row r="33289" spans="1:6" ht="12.75">
      <c r="A33289" s="8">
        <v>43889.631643518514</v>
      </c>
      <c r="B33289" s="8" t="str">
        <f>HYPERLINK("https://twitter.com/humaspolreshum2","@humaspolreshum2")</f>
        <v>@humaspolreshum2</v>
      </c>
      <c r="C33289" s="8" t="s">
        <v>12276</v>
      </c>
      <c r="D33289" s="8">
        <v>0</v>
      </c>
      <c r="E33289" s="8">
        <v>0</v>
      </c>
      <c r="F33289" s="8">
        <v>372</v>
      </c>
    </row>
    <row r="33290" spans="1:6" ht="12.75">
      <c r="A33290" s="8">
        <v>43889.631585648152</v>
      </c>
      <c r="B33290" s="8" t="str">
        <f>HYPERLINK("https://twitter.com/PNimbokrang","@PNimbokrang")</f>
        <v>@PNimbokrang</v>
      </c>
      <c r="C33290" s="8" t="s">
        <v>12418</v>
      </c>
      <c r="D33290" s="8">
        <v>0</v>
      </c>
      <c r="E33290" s="8">
        <v>0</v>
      </c>
      <c r="F33290" s="8">
        <v>5</v>
      </c>
    </row>
    <row r="33291" spans="1:6" ht="12.75">
      <c r="A33291" s="8">
        <v>43889.631550925929</v>
      </c>
      <c r="B33291" s="8" t="str">
        <f>HYPERLINK("https://twitter.com/SantiLim14","@SantiLim14")</f>
        <v>@SantiLim14</v>
      </c>
      <c r="C33291" s="8" t="s">
        <v>12056</v>
      </c>
      <c r="D33291" s="8">
        <v>6</v>
      </c>
      <c r="E33291" s="8">
        <v>0</v>
      </c>
      <c r="F33291" s="8">
        <v>4068</v>
      </c>
    </row>
    <row r="33292" spans="1:6" ht="12.75">
      <c r="A33292" s="8">
        <v>43889.631516203706</v>
      </c>
      <c r="B33292" s="8" t="str">
        <f>HYPERLINK("https://twitter.com/polsek_klaten","@polsek_klaten")</f>
        <v>@polsek_klaten</v>
      </c>
      <c r="C33292" s="8" t="s">
        <v>12511</v>
      </c>
      <c r="D33292" s="8">
        <v>0</v>
      </c>
      <c r="E33292" s="8">
        <v>0</v>
      </c>
      <c r="F33292" s="8">
        <v>9</v>
      </c>
    </row>
    <row r="33293" spans="1:6" ht="12.75">
      <c r="A33293" s="8">
        <v>43889.63145833333</v>
      </c>
      <c r="B33293" s="8" t="str">
        <f>HYPERLINK("https://twitter.com/AmstrongBiring","@AmstrongBiring")</f>
        <v>@AmstrongBiring</v>
      </c>
      <c r="C33293" s="8" t="s">
        <v>12514</v>
      </c>
      <c r="D33293" s="8">
        <v>2</v>
      </c>
      <c r="E33293" s="8">
        <v>0</v>
      </c>
      <c r="F33293" s="8">
        <v>1987</v>
      </c>
    </row>
    <row r="33294" spans="1:6" ht="12.75">
      <c r="A33294" s="8">
        <v>43889.63144675926</v>
      </c>
      <c r="B33294" s="8" t="str">
        <f>HYPERLINK("https://twitter.com/Bagindo64998820","@Bagindo64998820")</f>
        <v>@Bagindo64998820</v>
      </c>
      <c r="C33294" s="8" t="s">
        <v>12515</v>
      </c>
      <c r="D33294" s="8">
        <v>4</v>
      </c>
      <c r="E33294" s="8">
        <v>0</v>
      </c>
      <c r="F33294" s="8">
        <v>15</v>
      </c>
    </row>
    <row r="33295" spans="1:6" ht="12.75">
      <c r="A33295" s="8">
        <v>43889.631435185191</v>
      </c>
      <c r="B33295" s="8" t="str">
        <f>HYPERLINK("https://twitter.com/Trabas30769384","@Trabas30769384")</f>
        <v>@Trabas30769384</v>
      </c>
      <c r="C33295" s="8" t="s">
        <v>12516</v>
      </c>
      <c r="D33295" s="8">
        <v>0</v>
      </c>
      <c r="E33295" s="8">
        <v>0</v>
      </c>
      <c r="F33295" s="8">
        <v>6</v>
      </c>
    </row>
    <row r="33296" spans="1:6" ht="12.75">
      <c r="A33296" s="8">
        <v>43889.631435185191</v>
      </c>
      <c r="B33296" s="8" t="str">
        <f>HYPERLINK("https://twitter.com/DewiNatural","@DewiNatural")</f>
        <v>@DewiNatural</v>
      </c>
      <c r="C33296" s="8" t="s">
        <v>12517</v>
      </c>
      <c r="D33296" s="8">
        <v>2</v>
      </c>
      <c r="E33296" s="8">
        <v>0</v>
      </c>
      <c r="F33296" s="8">
        <v>6</v>
      </c>
    </row>
    <row r="33297" spans="1:6" ht="12.75">
      <c r="A33297" s="8">
        <v>43889.631412037037</v>
      </c>
      <c r="B33297" s="8" t="str">
        <f>HYPERLINK("https://twitter.com/humaspolreshum2","@humaspolreshum2")</f>
        <v>@humaspolreshum2</v>
      </c>
      <c r="C33297" s="8" t="s">
        <v>12276</v>
      </c>
      <c r="D33297" s="8">
        <v>0</v>
      </c>
      <c r="E33297" s="8">
        <v>0</v>
      </c>
      <c r="F33297" s="8">
        <v>372</v>
      </c>
    </row>
    <row r="33298" spans="1:6" ht="12.75">
      <c r="A33298" s="8">
        <v>43889.631354166668</v>
      </c>
      <c r="B33298" s="8" t="str">
        <f>HYPERLINK("https://twitter.com/PBulukumpa","@PBulukumpa")</f>
        <v>@PBulukumpa</v>
      </c>
      <c r="C33298" s="8" t="s">
        <v>12483</v>
      </c>
      <c r="D33298" s="8">
        <v>0</v>
      </c>
      <c r="E33298" s="8">
        <v>0</v>
      </c>
      <c r="F33298" s="8">
        <v>136</v>
      </c>
    </row>
    <row r="33299" spans="1:6" ht="12.75">
      <c r="A33299" s="8">
        <v>43889.631342592591</v>
      </c>
      <c r="B33299" s="8" t="str">
        <f>HYPERLINK("https://twitter.com/Polsekluttawar1","@Polsekluttawar1")</f>
        <v>@Polsekluttawar1</v>
      </c>
      <c r="C33299" s="8" t="s">
        <v>12518</v>
      </c>
      <c r="D33299" s="8">
        <v>0</v>
      </c>
      <c r="E33299" s="8">
        <v>0</v>
      </c>
      <c r="F33299" s="8">
        <v>1</v>
      </c>
    </row>
    <row r="33300" spans="1:6" ht="12.75">
      <c r="A33300" s="8">
        <v>43889.631331018521</v>
      </c>
      <c r="B33300" s="8" t="str">
        <f>HYPERLINK("https://twitter.com/TigaBintang20","@TigaBintang20")</f>
        <v>@TigaBintang20</v>
      </c>
      <c r="C33300" s="8" t="s">
        <v>12519</v>
      </c>
      <c r="D33300" s="8">
        <v>4</v>
      </c>
      <c r="E33300" s="8">
        <v>0</v>
      </c>
      <c r="F33300" s="8">
        <v>17</v>
      </c>
    </row>
    <row r="33301" spans="1:6" ht="12.75">
      <c r="A33301" s="8">
        <v>43889.631307870368</v>
      </c>
      <c r="B33301" s="8" t="str">
        <f>HYPERLINK("https://twitter.com/Polsekwaringin2","@Polsekwaringin2")</f>
        <v>@Polsekwaringin2</v>
      </c>
      <c r="C33301" s="8" t="s">
        <v>11173</v>
      </c>
      <c r="D33301" s="8">
        <v>0</v>
      </c>
      <c r="E33301" s="8">
        <v>0</v>
      </c>
      <c r="F33301" s="8">
        <v>5</v>
      </c>
    </row>
    <row r="33302" spans="1:6" ht="12.75">
      <c r="A33302" s="8">
        <v>43889.631296296298</v>
      </c>
      <c r="B33302" s="8" t="str">
        <f>HYPERLINK("https://twitter.com/KelianBanjar_GK","@KelianBanjar_GK")</f>
        <v>@KelianBanjar_GK</v>
      </c>
      <c r="C33302" s="8" t="s">
        <v>12056</v>
      </c>
      <c r="D33302" s="8">
        <v>6</v>
      </c>
      <c r="E33302" s="8">
        <v>0</v>
      </c>
      <c r="F33302" s="8">
        <v>8782</v>
      </c>
    </row>
    <row r="33303" spans="1:6" ht="12.75">
      <c r="A33303" s="8">
        <v>43889.631261574075</v>
      </c>
      <c r="B33303" s="8" t="str">
        <f>HYPERLINK("https://twitter.com/Febrian29184712","@Febrian29184712")</f>
        <v>@Febrian29184712</v>
      </c>
      <c r="C33303" s="8" t="s">
        <v>12520</v>
      </c>
      <c r="D33303" s="8">
        <v>5</v>
      </c>
      <c r="E33303" s="8">
        <v>0</v>
      </c>
      <c r="F33303" s="8">
        <v>37</v>
      </c>
    </row>
    <row r="33304" spans="1:6" ht="12.75">
      <c r="A33304" s="8">
        <v>43889.631238425922</v>
      </c>
      <c r="B33304" s="8" t="str">
        <f>HYPERLINK("https://twitter.com/Bagindo64998820","@Bagindo64998820")</f>
        <v>@Bagindo64998820</v>
      </c>
      <c r="C33304" s="8" t="s">
        <v>12521</v>
      </c>
      <c r="D33304" s="8">
        <v>6</v>
      </c>
      <c r="E33304" s="8">
        <v>0</v>
      </c>
      <c r="F33304" s="8">
        <v>15</v>
      </c>
    </row>
    <row r="33305" spans="1:6" ht="12.75">
      <c r="A33305" s="8">
        <v>43889.631203703699</v>
      </c>
      <c r="B33305" s="8" t="str">
        <f>HYPERLINK("https://twitter.com/DewiNatural","@DewiNatural")</f>
        <v>@DewiNatural</v>
      </c>
      <c r="C33305" s="8" t="s">
        <v>12522</v>
      </c>
      <c r="D33305" s="8">
        <v>3</v>
      </c>
      <c r="E33305" s="8">
        <v>0</v>
      </c>
      <c r="F33305" s="8">
        <v>6</v>
      </c>
    </row>
    <row r="33306" spans="1:6" ht="12.75">
      <c r="A33306" s="8">
        <v>43889.631192129629</v>
      </c>
      <c r="B33306" s="8" t="str">
        <f>HYPERLINK("https://twitter.com/Budihar21525608","@Budihar21525608")</f>
        <v>@Budihar21525608</v>
      </c>
      <c r="C33306" s="8" t="s">
        <v>11589</v>
      </c>
      <c r="D33306" s="8">
        <v>69</v>
      </c>
      <c r="E33306" s="8">
        <v>0</v>
      </c>
      <c r="F33306" s="8">
        <v>6186</v>
      </c>
    </row>
    <row r="33307" spans="1:6" ht="12.75">
      <c r="A33307" s="8">
        <v>43889.631192129629</v>
      </c>
      <c r="B33307" s="8" t="str">
        <f>HYPERLINK("https://twitter.com/polsek_klaten","@polsek_klaten")</f>
        <v>@polsek_klaten</v>
      </c>
      <c r="C33307" s="8" t="s">
        <v>12511</v>
      </c>
      <c r="D33307" s="8">
        <v>0</v>
      </c>
      <c r="E33307" s="8">
        <v>0</v>
      </c>
      <c r="F33307" s="8">
        <v>9</v>
      </c>
    </row>
    <row r="33308" spans="1:6" ht="12.75">
      <c r="A33308" s="8">
        <v>43889.63118055556</v>
      </c>
      <c r="B33308" s="8" t="str">
        <f>HYPERLINK("https://twitter.com/humaspolreshum2","@humaspolreshum2")</f>
        <v>@humaspolreshum2</v>
      </c>
      <c r="C33308" s="8" t="s">
        <v>12276</v>
      </c>
      <c r="D33308" s="8">
        <v>0</v>
      </c>
      <c r="E33308" s="8">
        <v>0</v>
      </c>
      <c r="F33308" s="8">
        <v>372</v>
      </c>
    </row>
    <row r="33309" spans="1:6" ht="12.75">
      <c r="A33309" s="8">
        <v>43889.631157407406</v>
      </c>
      <c r="B33309" s="8" t="str">
        <f>HYPERLINK("https://twitter.com/SoniMsi07","@SoniMsi07")</f>
        <v>@SoniMsi07</v>
      </c>
      <c r="C33309" s="8" t="s">
        <v>12093</v>
      </c>
      <c r="D33309" s="8">
        <v>23</v>
      </c>
      <c r="E33309" s="8">
        <v>0</v>
      </c>
      <c r="F33309" s="8">
        <v>245</v>
      </c>
    </row>
    <row r="33310" spans="1:6" ht="12.75">
      <c r="A33310" s="8">
        <v>43889.63113425926</v>
      </c>
      <c r="B33310" s="8" t="str">
        <f>HYPERLINK("https://twitter.com/DewiNatural","@DewiNatural")</f>
        <v>@DewiNatural</v>
      </c>
      <c r="C33310" s="8" t="s">
        <v>12523</v>
      </c>
      <c r="D33310" s="8">
        <v>2</v>
      </c>
      <c r="E33310" s="8">
        <v>0</v>
      </c>
      <c r="F33310" s="8">
        <v>6</v>
      </c>
    </row>
    <row r="33311" spans="1:6" ht="12.75">
      <c r="A33311" s="8">
        <v>43889.631122685183</v>
      </c>
      <c r="B33311" s="8" t="str">
        <f>HYPERLINK("https://twitter.com/mustika72599100","@mustika72599100")</f>
        <v>@mustika72599100</v>
      </c>
      <c r="C33311" s="8" t="s">
        <v>12524</v>
      </c>
      <c r="D33311" s="8">
        <v>0</v>
      </c>
      <c r="E33311" s="8">
        <v>0</v>
      </c>
      <c r="F33311" s="8">
        <v>0</v>
      </c>
    </row>
    <row r="33312" spans="1:6" ht="12.75">
      <c r="A33312" s="8">
        <v>43889.631111111114</v>
      </c>
      <c r="B33312" s="8" t="str">
        <f>HYPERLINK("https://twitter.com/TaufiqR79025420","@TaufiqR79025420")</f>
        <v>@TaufiqR79025420</v>
      </c>
      <c r="C33312" s="8" t="s">
        <v>12276</v>
      </c>
      <c r="D33312" s="8">
        <v>0</v>
      </c>
      <c r="E33312" s="8">
        <v>0</v>
      </c>
      <c r="F33312" s="8">
        <v>2</v>
      </c>
    </row>
    <row r="33313" spans="1:6" ht="12.75">
      <c r="A33313" s="8">
        <v>43889.631099537037</v>
      </c>
      <c r="B33313" s="8" t="str">
        <f>HYPERLINK("https://twitter.com/satnarkobarstgl","@satnarkobarstgl")</f>
        <v>@satnarkobarstgl</v>
      </c>
      <c r="C33313" s="8" t="s">
        <v>12525</v>
      </c>
      <c r="D33313" s="8">
        <v>0</v>
      </c>
      <c r="E33313" s="8">
        <v>0</v>
      </c>
      <c r="F33313" s="8">
        <v>6</v>
      </c>
    </row>
    <row r="33314" spans="1:6" ht="12.75">
      <c r="A33314" s="8">
        <v>43889.631064814814</v>
      </c>
      <c r="B33314" s="8" t="str">
        <f>HYPERLINK("https://twitter.com/Takviri","@Takviri")</f>
        <v>@Takviri</v>
      </c>
      <c r="C33314" s="8" t="s">
        <v>12056</v>
      </c>
      <c r="D33314" s="8">
        <v>6</v>
      </c>
      <c r="E33314" s="8">
        <v>0</v>
      </c>
      <c r="F33314" s="8">
        <v>59416</v>
      </c>
    </row>
    <row r="33315" spans="1:6" ht="12.75">
      <c r="A33315" s="8">
        <v>43889.631064814814</v>
      </c>
      <c r="B33315" s="8" t="str">
        <f>HYPERLINK("https://twitter.com/PTumis","@PTumis")</f>
        <v>@PTumis</v>
      </c>
      <c r="C33315" s="8" t="s">
        <v>12526</v>
      </c>
      <c r="D33315" s="8">
        <v>0</v>
      </c>
      <c r="E33315" s="8">
        <v>1</v>
      </c>
      <c r="F33315" s="8">
        <v>0</v>
      </c>
    </row>
    <row r="33316" spans="1:6" ht="12.75">
      <c r="A33316" s="8">
        <v>43889.631041666667</v>
      </c>
      <c r="B33316" s="8" t="str">
        <f>HYPERLINK("https://twitter.com/DewiNatural","@DewiNatural")</f>
        <v>@DewiNatural</v>
      </c>
      <c r="C33316" s="8" t="s">
        <v>12515</v>
      </c>
      <c r="D33316" s="8">
        <v>4</v>
      </c>
      <c r="E33316" s="8">
        <v>0</v>
      </c>
      <c r="F33316" s="8">
        <v>6</v>
      </c>
    </row>
    <row r="33317" spans="1:6" ht="12.75">
      <c r="A33317" s="8">
        <v>43889.631030092598</v>
      </c>
      <c r="B33317" s="8" t="str">
        <f>HYPERLINK("https://twitter.com/PBulukumpa","@PBulukumpa")</f>
        <v>@PBulukumpa</v>
      </c>
      <c r="C33317" s="8" t="s">
        <v>12483</v>
      </c>
      <c r="D33317" s="8">
        <v>0</v>
      </c>
      <c r="E33317" s="8">
        <v>0</v>
      </c>
      <c r="F33317" s="8">
        <v>136</v>
      </c>
    </row>
    <row r="33318" spans="1:6" ht="12.75">
      <c r="A33318" s="8">
        <v>43889.631018518514</v>
      </c>
      <c r="B33318" s="8" t="str">
        <f>HYPERLINK("https://twitter.com/mustika72599100","@mustika72599100")</f>
        <v>@mustika72599100</v>
      </c>
      <c r="C33318" s="8" t="s">
        <v>12524</v>
      </c>
      <c r="D33318" s="8">
        <v>0</v>
      </c>
      <c r="E33318" s="8">
        <v>0</v>
      </c>
      <c r="F33318" s="8">
        <v>0</v>
      </c>
    </row>
    <row r="33319" spans="1:6" ht="12.75">
      <c r="A33319" s="8">
        <v>43889.630983796298</v>
      </c>
      <c r="B33319" s="8" t="str">
        <f>HYPERLINK("https://twitter.com/annelis2311","@annelis2311")</f>
        <v>@annelis2311</v>
      </c>
      <c r="C33319" s="8" t="s">
        <v>12056</v>
      </c>
      <c r="D33319" s="8">
        <v>6</v>
      </c>
      <c r="E33319" s="8">
        <v>0</v>
      </c>
      <c r="F33319" s="8">
        <v>17</v>
      </c>
    </row>
    <row r="33320" spans="1:6" ht="12.75">
      <c r="A33320" s="8">
        <v>43889.630972222221</v>
      </c>
      <c r="B33320" s="8" t="str">
        <f>HYPERLINK("https://twitter.com/Trabas30769384","@Trabas30769384")</f>
        <v>@Trabas30769384</v>
      </c>
      <c r="C33320" s="8" t="s">
        <v>12527</v>
      </c>
      <c r="D33320" s="8">
        <v>0</v>
      </c>
      <c r="E33320" s="8">
        <v>0</v>
      </c>
      <c r="F33320" s="8">
        <v>6</v>
      </c>
    </row>
    <row r="33321" spans="1:6" ht="12.75">
      <c r="A33321" s="8">
        <v>43889.630960648152</v>
      </c>
      <c r="B33321" s="8" t="str">
        <f>HYPERLINK("https://twitter.com/TigaBintang20","@TigaBintang20")</f>
        <v>@TigaBintang20</v>
      </c>
      <c r="C33321" s="8" t="s">
        <v>12528</v>
      </c>
      <c r="D33321" s="8">
        <v>1</v>
      </c>
      <c r="E33321" s="8">
        <v>0</v>
      </c>
      <c r="F33321" s="8">
        <v>17</v>
      </c>
    </row>
    <row r="33322" spans="1:6" ht="12.75">
      <c r="A33322" s="8">
        <v>43889.630949074075</v>
      </c>
      <c r="B33322" s="8" t="str">
        <f>HYPERLINK("https://twitter.com/polsek_klaten","@polsek_klaten")</f>
        <v>@polsek_klaten</v>
      </c>
      <c r="C33322" s="8" t="s">
        <v>12511</v>
      </c>
      <c r="D33322" s="8">
        <v>0</v>
      </c>
      <c r="E33322" s="8">
        <v>0</v>
      </c>
      <c r="F33322" s="8">
        <v>9</v>
      </c>
    </row>
    <row r="33323" spans="1:6" ht="12.75">
      <c r="A33323" s="8">
        <v>43889.630891203706</v>
      </c>
      <c r="B33323" s="8" t="str">
        <f>HYPERLINK("https://twitter.com/mustika72599100","@mustika72599100")</f>
        <v>@mustika72599100</v>
      </c>
      <c r="C33323" s="8" t="s">
        <v>12524</v>
      </c>
      <c r="D33323" s="8">
        <v>0</v>
      </c>
      <c r="E33323" s="8">
        <v>0</v>
      </c>
      <c r="F33323" s="8">
        <v>0</v>
      </c>
    </row>
    <row r="33324" spans="1:6" ht="12.75">
      <c r="A33324" s="8">
        <v>43889.630868055552</v>
      </c>
      <c r="B33324" s="8" t="str">
        <f>HYPERLINK("https://twitter.com/Red_Sky___","@Red_Sky___")</f>
        <v>@Red_Sky___</v>
      </c>
      <c r="C33324" s="8" t="s">
        <v>10755</v>
      </c>
      <c r="D33324" s="8">
        <v>45</v>
      </c>
      <c r="E33324" s="8">
        <v>0</v>
      </c>
      <c r="F33324" s="8">
        <v>90</v>
      </c>
    </row>
    <row r="33325" spans="1:6" ht="12.75">
      <c r="A33325" s="8">
        <v>43889.630856481483</v>
      </c>
      <c r="B33325" s="8" t="str">
        <f>HYPERLINK("https://twitter.com/humaspolreshum2","@humaspolreshum2")</f>
        <v>@humaspolreshum2</v>
      </c>
      <c r="C33325" s="8" t="s">
        <v>12276</v>
      </c>
      <c r="D33325" s="8">
        <v>0</v>
      </c>
      <c r="E33325" s="8">
        <v>0</v>
      </c>
      <c r="F33325" s="8">
        <v>372</v>
      </c>
    </row>
    <row r="33326" spans="1:6" ht="12.75">
      <c r="A33326" s="8">
        <v>43889.630798611106</v>
      </c>
      <c r="B33326" s="8" t="str">
        <f>HYPERLINK("https://twitter.com/HumasTakengon","@HumasTakengon")</f>
        <v>@HumasTakengon</v>
      </c>
      <c r="C33326" s="8" t="s">
        <v>12529</v>
      </c>
      <c r="D33326" s="8">
        <v>0</v>
      </c>
      <c r="E33326" s="8">
        <v>0</v>
      </c>
      <c r="F33326" s="8">
        <v>13</v>
      </c>
    </row>
    <row r="33327" spans="1:6" ht="12.75">
      <c r="A33327" s="8">
        <v>43889.630798611106</v>
      </c>
      <c r="B33327" s="8" t="str">
        <f>HYPERLINK("https://twitter.com/polsek_klaten","@polsek_klaten")</f>
        <v>@polsek_klaten</v>
      </c>
      <c r="C33327" s="8" t="s">
        <v>12511</v>
      </c>
      <c r="D33327" s="8">
        <v>0</v>
      </c>
      <c r="E33327" s="8">
        <v>0</v>
      </c>
      <c r="F33327" s="8">
        <v>9</v>
      </c>
    </row>
    <row r="33328" spans="1:6" ht="12.75">
      <c r="A33328" s="8">
        <v>43889.630787037036</v>
      </c>
      <c r="B33328" s="8" t="str">
        <f>HYPERLINK("https://twitter.com/mustika72599100","@mustika72599100")</f>
        <v>@mustika72599100</v>
      </c>
      <c r="C33328" s="8" t="s">
        <v>12524</v>
      </c>
      <c r="D33328" s="8">
        <v>0</v>
      </c>
      <c r="E33328" s="8">
        <v>0</v>
      </c>
      <c r="F33328" s="8">
        <v>0</v>
      </c>
    </row>
    <row r="33329" spans="1:6" ht="12.75">
      <c r="A33329" s="8">
        <v>43889.63076388889</v>
      </c>
      <c r="B33329" s="8" t="str">
        <f>HYPERLINK("https://twitter.com/HumasTambelang","@HumasTambelang")</f>
        <v>@HumasTambelang</v>
      </c>
      <c r="C33329" s="8" t="s">
        <v>12530</v>
      </c>
      <c r="D33329" s="8">
        <v>0</v>
      </c>
      <c r="E33329" s="8">
        <v>0</v>
      </c>
      <c r="F33329" s="8">
        <v>13</v>
      </c>
    </row>
    <row r="33330" spans="1:6" ht="12.75">
      <c r="A33330" s="8">
        <v>43889.630752314813</v>
      </c>
      <c r="B33330" s="8" t="str">
        <f t="shared" ref="B33330:B33331" si="459">HYPERLINK("https://twitter.com/Jumes50940831","@Jumes50940831")</f>
        <v>@Jumes50940831</v>
      </c>
      <c r="C33330" s="8" t="s">
        <v>12531</v>
      </c>
      <c r="D33330" s="8">
        <v>1</v>
      </c>
      <c r="E33330" s="8">
        <v>0</v>
      </c>
      <c r="F33330" s="8">
        <v>0</v>
      </c>
    </row>
    <row r="33331" spans="1:6" ht="12.75">
      <c r="A33331" s="8">
        <v>43889.630694444444</v>
      </c>
      <c r="B33331" s="8" t="str">
        <f t="shared" si="459"/>
        <v>@Jumes50940831</v>
      </c>
      <c r="C33331" s="8" t="s">
        <v>12509</v>
      </c>
      <c r="D33331" s="8">
        <v>2</v>
      </c>
      <c r="E33331" s="8">
        <v>0</v>
      </c>
      <c r="F33331" s="8">
        <v>0</v>
      </c>
    </row>
    <row r="33332" spans="1:6" ht="12.75">
      <c r="A33332" s="8">
        <v>43889.630694444444</v>
      </c>
      <c r="B33332" s="8" t="str">
        <f>HYPERLINK("https://twitter.com/Fahriziq1","@Fahriziq1")</f>
        <v>@Fahriziq1</v>
      </c>
      <c r="C33332" s="8" t="s">
        <v>12532</v>
      </c>
      <c r="D33332" s="8">
        <v>0</v>
      </c>
      <c r="E33332" s="8">
        <v>0</v>
      </c>
      <c r="F33332" s="8">
        <v>0</v>
      </c>
    </row>
    <row r="33333" spans="1:6" ht="12.75">
      <c r="A33333" s="8">
        <v>43889.630648148144</v>
      </c>
      <c r="B33333" s="8" t="str">
        <f>HYPERLINK("https://twitter.com/PBulukumpa","@PBulukumpa")</f>
        <v>@PBulukumpa</v>
      </c>
      <c r="C33333" s="8" t="s">
        <v>12483</v>
      </c>
      <c r="D33333" s="8">
        <v>0</v>
      </c>
      <c r="E33333" s="8">
        <v>0</v>
      </c>
      <c r="F33333" s="8">
        <v>136</v>
      </c>
    </row>
    <row r="33334" spans="1:6" ht="12.75">
      <c r="A33334" s="8">
        <v>43889.590173611112</v>
      </c>
      <c r="B33334" s="8" t="str">
        <f>HYPERLINK("https://twitter.com/Blackpi94107198","@Blackpi94107198")</f>
        <v>@Blackpi94107198</v>
      </c>
      <c r="C33334" s="8" t="s">
        <v>12276</v>
      </c>
      <c r="D33334" s="8">
        <v>0</v>
      </c>
      <c r="E33334" s="8">
        <v>0</v>
      </c>
      <c r="F33334" s="8">
        <v>4</v>
      </c>
    </row>
    <row r="33335" spans="1:6" ht="12.75">
      <c r="A33335" s="8">
        <v>43889.590138888889</v>
      </c>
      <c r="B33335" s="8" t="str">
        <f>HYPERLINK("https://twitter.com/Eilenn13","@Eilenn13")</f>
        <v>@Eilenn13</v>
      </c>
      <c r="C33335" s="8" t="s">
        <v>12276</v>
      </c>
      <c r="D33335" s="8">
        <v>0</v>
      </c>
      <c r="E33335" s="8">
        <v>0</v>
      </c>
      <c r="F33335" s="8">
        <v>0</v>
      </c>
    </row>
    <row r="33336" spans="1:6" ht="12.75">
      <c r="A33336" s="8">
        <v>43889.590127314819</v>
      </c>
      <c r="B33336" s="8" t="str">
        <f>HYPERLINK("https://twitter.com/Galuhpalupi7","@Galuhpalupi7")</f>
        <v>@Galuhpalupi7</v>
      </c>
      <c r="C33336" s="8" t="s">
        <v>12533</v>
      </c>
      <c r="D33336" s="8">
        <v>1</v>
      </c>
      <c r="E33336" s="8">
        <v>0</v>
      </c>
      <c r="F33336" s="8">
        <v>8</v>
      </c>
    </row>
    <row r="33337" spans="1:6" ht="12.75">
      <c r="A33337" s="8">
        <v>43889.590127314819</v>
      </c>
      <c r="B33337" s="8" t="str">
        <f>HYPERLINK("https://twitter.com/MUHAMMA95637412","@MUHAMMA95637412")</f>
        <v>@MUHAMMA95637412</v>
      </c>
      <c r="C33337" s="8" t="s">
        <v>12372</v>
      </c>
      <c r="D33337" s="8">
        <v>0</v>
      </c>
      <c r="E33337" s="8">
        <v>0</v>
      </c>
      <c r="F33337" s="8">
        <v>0</v>
      </c>
    </row>
    <row r="33338" spans="1:6" ht="12.75">
      <c r="A33338" s="8">
        <v>43889.590127314819</v>
      </c>
      <c r="B33338" s="8" t="str">
        <f>HYPERLINK("https://twitter.com/PBayongbong","@PBayongbong")</f>
        <v>@PBayongbong</v>
      </c>
      <c r="C33338" s="8" t="s">
        <v>12276</v>
      </c>
      <c r="D33338" s="8">
        <v>0</v>
      </c>
      <c r="E33338" s="8">
        <v>0</v>
      </c>
      <c r="F33338" s="8">
        <v>13</v>
      </c>
    </row>
    <row r="33339" spans="1:6" ht="12.75">
      <c r="A33339" s="8">
        <v>43889.590115740742</v>
      </c>
      <c r="B33339" s="8" t="str">
        <f>HYPERLINK("https://twitter.com/_TNIAL_","@_TNIAL_")</f>
        <v>@_TNIAL_</v>
      </c>
      <c r="C33339" s="8" t="s">
        <v>12534</v>
      </c>
      <c r="D33339" s="8">
        <v>0</v>
      </c>
      <c r="E33339" s="8">
        <v>0</v>
      </c>
      <c r="F33339" s="8">
        <v>116087</v>
      </c>
    </row>
    <row r="33340" spans="1:6" ht="12.75">
      <c r="A33340" s="8">
        <v>43889.590115740742</v>
      </c>
      <c r="B33340" s="8" t="str">
        <f>HYPERLINK("https://twitter.com/Blackpi94107198","@Blackpi94107198")</f>
        <v>@Blackpi94107198</v>
      </c>
      <c r="C33340" s="8" t="s">
        <v>12276</v>
      </c>
      <c r="D33340" s="8">
        <v>0</v>
      </c>
      <c r="E33340" s="8">
        <v>0</v>
      </c>
      <c r="F33340" s="8">
        <v>4</v>
      </c>
    </row>
    <row r="33341" spans="1:6" ht="12.75">
      <c r="A33341" s="8">
        <v>43889.590092592596</v>
      </c>
      <c r="B33341" s="8" t="str">
        <f>HYPERLINK("https://twitter.com/lantaspolsekma1","@lantaspolsekma1")</f>
        <v>@lantaspolsekma1</v>
      </c>
      <c r="C33341" s="8" t="s">
        <v>12512</v>
      </c>
      <c r="D33341" s="8">
        <v>0</v>
      </c>
      <c r="E33341" s="8">
        <v>0</v>
      </c>
      <c r="F33341" s="8">
        <v>1</v>
      </c>
    </row>
    <row r="33342" spans="1:6" ht="12.75">
      <c r="A33342" s="8">
        <v>43889.590092592596</v>
      </c>
      <c r="B33342" s="8" t="str">
        <f>HYPERLINK("https://twitter.com/syanizsyafiq","@syanizsyafiq")</f>
        <v>@syanizsyafiq</v>
      </c>
      <c r="C33342" s="8" t="s">
        <v>11102</v>
      </c>
      <c r="D33342" s="8">
        <v>324</v>
      </c>
      <c r="E33342" s="8">
        <v>0</v>
      </c>
      <c r="F33342" s="8">
        <v>1006</v>
      </c>
    </row>
    <row r="33343" spans="1:6" ht="12.75">
      <c r="A33343" s="8">
        <v>43889.590081018519</v>
      </c>
      <c r="B33343" s="8" t="str">
        <f>HYPERLINK("https://twitter.com/HumasParjono","@HumasParjono")</f>
        <v>@HumasParjono</v>
      </c>
      <c r="C33343" s="8" t="s">
        <v>12276</v>
      </c>
      <c r="D33343" s="8">
        <v>0</v>
      </c>
      <c r="E33343" s="8">
        <v>0</v>
      </c>
      <c r="F33343" s="8">
        <v>9</v>
      </c>
    </row>
    <row r="33344" spans="1:6" ht="12.75">
      <c r="A33344" s="8">
        <v>43889.590069444443</v>
      </c>
      <c r="B33344" s="8" t="str">
        <f>HYPERLINK("https://twitter.com/IqqiChunkz","@IqqiChunkz")</f>
        <v>@IqqiChunkz</v>
      </c>
      <c r="C33344" s="8" t="s">
        <v>12483</v>
      </c>
      <c r="D33344" s="8">
        <v>0</v>
      </c>
      <c r="E33344" s="8">
        <v>0</v>
      </c>
      <c r="F33344" s="8">
        <v>42</v>
      </c>
    </row>
    <row r="33345" spans="1:6" ht="12.75">
      <c r="A33345" s="8">
        <v>43889.590057870373</v>
      </c>
      <c r="B33345" s="8" t="str">
        <f t="shared" ref="B33345:B33346" si="460">HYPERLINK("https://twitter.com/beatrice_health","@beatrice_health")</f>
        <v>@beatrice_health</v>
      </c>
      <c r="C33345" s="8" t="s">
        <v>12535</v>
      </c>
      <c r="D33345" s="8">
        <v>1</v>
      </c>
      <c r="E33345" s="8">
        <v>0</v>
      </c>
      <c r="F33345" s="8">
        <v>423</v>
      </c>
    </row>
    <row r="33346" spans="1:6" ht="12.75">
      <c r="A33346" s="8">
        <v>43889.590057870373</v>
      </c>
      <c r="B33346" s="8" t="str">
        <f t="shared" si="460"/>
        <v>@beatrice_health</v>
      </c>
      <c r="C33346" s="8" t="s">
        <v>12536</v>
      </c>
      <c r="D33346" s="8">
        <v>1</v>
      </c>
      <c r="E33346" s="8">
        <v>0</v>
      </c>
      <c r="F33346" s="8">
        <v>423</v>
      </c>
    </row>
    <row r="33347" spans="1:6" ht="12.75">
      <c r="A33347" s="8">
        <v>43889.59003472222</v>
      </c>
      <c r="B33347" s="8" t="str">
        <f>HYPERLINK("https://twitter.com/Babangg43319381","@Babangg43319381")</f>
        <v>@Babangg43319381</v>
      </c>
      <c r="C33347" s="8" t="s">
        <v>12537</v>
      </c>
      <c r="D33347" s="8">
        <v>3</v>
      </c>
      <c r="E33347" s="8">
        <v>0</v>
      </c>
      <c r="F33347" s="8">
        <v>23</v>
      </c>
    </row>
    <row r="33348" spans="1:6" ht="12.75">
      <c r="A33348" s="8">
        <v>43889.59003472222</v>
      </c>
      <c r="B33348" s="8" t="str">
        <f>HYPERLINK("https://twitter.com/teluseparo","@teluseparo")</f>
        <v>@teluseparo</v>
      </c>
      <c r="C33348" s="8" t="s">
        <v>12538</v>
      </c>
      <c r="D33348" s="8">
        <v>0</v>
      </c>
      <c r="E33348" s="8">
        <v>0</v>
      </c>
      <c r="F33348" s="8">
        <v>19</v>
      </c>
    </row>
    <row r="33349" spans="1:6" ht="12.75">
      <c r="A33349" s="8">
        <v>43889.59002314815</v>
      </c>
      <c r="B33349" s="8" t="str">
        <f>HYPERLINK("https://twitter.com/Panggah_Ap","@Panggah_Ap")</f>
        <v>@Panggah_Ap</v>
      </c>
      <c r="C33349" s="8" t="s">
        <v>12372</v>
      </c>
      <c r="D33349" s="8">
        <v>1</v>
      </c>
      <c r="E33349" s="8">
        <v>0</v>
      </c>
      <c r="F33349" s="8">
        <v>4</v>
      </c>
    </row>
    <row r="33350" spans="1:6" ht="12.75">
      <c r="A33350" s="8">
        <v>43889.590011574073</v>
      </c>
      <c r="B33350" s="8" t="str">
        <f>HYPERLINK("https://twitter.com/yudhaatmaja_","@yudhaatmaja_")</f>
        <v>@yudhaatmaja_</v>
      </c>
      <c r="C33350" s="8" t="s">
        <v>12276</v>
      </c>
      <c r="D33350" s="8">
        <v>1</v>
      </c>
      <c r="E33350" s="8">
        <v>0</v>
      </c>
      <c r="F33350" s="8">
        <v>162</v>
      </c>
    </row>
    <row r="33351" spans="1:6" ht="12.75">
      <c r="A33351" s="8">
        <v>43889.590011574073</v>
      </c>
      <c r="B33351" s="8" t="str">
        <f>HYPERLINK("https://twitter.com/MUHAMMA95637412","@MUHAMMA95637412")</f>
        <v>@MUHAMMA95637412</v>
      </c>
      <c r="C33351" s="8" t="s">
        <v>12372</v>
      </c>
      <c r="D33351" s="8">
        <v>0</v>
      </c>
      <c r="E33351" s="8">
        <v>0</v>
      </c>
      <c r="F33351" s="8">
        <v>0</v>
      </c>
    </row>
    <row r="33352" spans="1:6" ht="12.75">
      <c r="A33352" s="8">
        <v>43889.59</v>
      </c>
      <c r="B33352" s="8" t="str">
        <f>HYPERLINK("https://twitter.com/Babangg43319381","@Babangg43319381")</f>
        <v>@Babangg43319381</v>
      </c>
      <c r="C33352" s="8" t="s">
        <v>12537</v>
      </c>
      <c r="D33352" s="8">
        <v>1</v>
      </c>
      <c r="E33352" s="8">
        <v>0</v>
      </c>
      <c r="F33352" s="8">
        <v>23</v>
      </c>
    </row>
    <row r="33353" spans="1:6" ht="12.75">
      <c r="A33353" s="8">
        <v>43889.59</v>
      </c>
      <c r="B33353" s="8" t="str">
        <f>HYPERLINK("https://twitter.com/Anggoro74362959","@Anggoro74362959")</f>
        <v>@Anggoro74362959</v>
      </c>
      <c r="C33353" s="8" t="s">
        <v>12539</v>
      </c>
      <c r="D33353" s="8">
        <v>0</v>
      </c>
      <c r="E33353" s="8">
        <v>0</v>
      </c>
      <c r="F33353" s="8">
        <v>18</v>
      </c>
    </row>
    <row r="33354" spans="1:6" ht="12.75">
      <c r="A33354" s="8">
        <v>43889.589988425927</v>
      </c>
      <c r="B33354" s="8" t="str">
        <f>HYPERLINK("https://twitter.com/Blackpi94107198","@Blackpi94107198")</f>
        <v>@Blackpi94107198</v>
      </c>
      <c r="C33354" s="8" t="s">
        <v>12276</v>
      </c>
      <c r="D33354" s="8">
        <v>0</v>
      </c>
      <c r="E33354" s="8">
        <v>0</v>
      </c>
      <c r="F33354" s="8">
        <v>4</v>
      </c>
    </row>
    <row r="33355" spans="1:6" ht="12.75">
      <c r="A33355" s="8">
        <v>43889.58997685185</v>
      </c>
      <c r="B33355" s="8" t="str">
        <f>HYPERLINK("https://twitter.com/Not_Xmprewell","@Not_Xmprewell")</f>
        <v>@Not_Xmprewell</v>
      </c>
      <c r="C33355" s="8" t="s">
        <v>12540</v>
      </c>
      <c r="D33355" s="8">
        <v>0</v>
      </c>
      <c r="E33355" s="8">
        <v>0</v>
      </c>
      <c r="F33355" s="8">
        <v>346</v>
      </c>
    </row>
    <row r="33356" spans="1:6" ht="12.75">
      <c r="A33356" s="8">
        <v>43889.58997685185</v>
      </c>
      <c r="B33356" s="8" t="str">
        <f>HYPERLINK("https://twitter.com/Polsektirtayas1","@Polsektirtayas1")</f>
        <v>@Polsektirtayas1</v>
      </c>
      <c r="C33356" s="8" t="s">
        <v>12541</v>
      </c>
      <c r="D33356" s="8">
        <v>0</v>
      </c>
      <c r="E33356" s="8">
        <v>0</v>
      </c>
      <c r="F33356" s="8">
        <v>1</v>
      </c>
    </row>
    <row r="33357" spans="1:6" ht="12.75">
      <c r="A33357" s="8">
        <v>43889.589965277773</v>
      </c>
      <c r="B33357" s="8" t="str">
        <f>HYPERLINK("https://twitter.com/Babangg43319381","@Babangg43319381")</f>
        <v>@Babangg43319381</v>
      </c>
      <c r="C33357" s="8" t="s">
        <v>12537</v>
      </c>
      <c r="D33357" s="8">
        <v>1</v>
      </c>
      <c r="E33357" s="8">
        <v>0</v>
      </c>
      <c r="F33357" s="8">
        <v>23</v>
      </c>
    </row>
    <row r="33358" spans="1:6" ht="12.75">
      <c r="A33358" s="8">
        <v>43889.589965277773</v>
      </c>
      <c r="B33358" s="8" t="str">
        <f>HYPERLINK("https://twitter.com/HNgadirejo","@HNgadirejo")</f>
        <v>@HNgadirejo</v>
      </c>
      <c r="C33358" s="8" t="s">
        <v>12276</v>
      </c>
      <c r="D33358" s="8">
        <v>0</v>
      </c>
      <c r="E33358" s="8">
        <v>0</v>
      </c>
      <c r="F33358" s="8">
        <v>7</v>
      </c>
    </row>
    <row r="33359" spans="1:6" ht="12.75">
      <c r="A33359" s="8">
        <v>43889.589953703704</v>
      </c>
      <c r="B33359" s="8" t="str">
        <f>HYPERLINK("https://twitter.com/MMarjuki5","@MMarjuki5")</f>
        <v>@MMarjuki5</v>
      </c>
      <c r="C33359" s="8" t="s">
        <v>12276</v>
      </c>
      <c r="D33359" s="8">
        <v>0</v>
      </c>
      <c r="E33359" s="8">
        <v>0</v>
      </c>
      <c r="F33359" s="8">
        <v>0</v>
      </c>
    </row>
    <row r="33360" spans="1:6" ht="12.75">
      <c r="A33360" s="8">
        <v>43889.589942129634</v>
      </c>
      <c r="B33360" s="8" t="str">
        <f>HYPERLINK("https://twitter.com/Blackpi94107198","@Blackpi94107198")</f>
        <v>@Blackpi94107198</v>
      </c>
      <c r="C33360" s="8" t="s">
        <v>12276</v>
      </c>
      <c r="D33360" s="8">
        <v>0</v>
      </c>
      <c r="E33360" s="8">
        <v>0</v>
      </c>
      <c r="F33360" s="8">
        <v>4</v>
      </c>
    </row>
    <row r="33361" spans="1:6" ht="12.75">
      <c r="A33361" s="8">
        <v>43889.58993055555</v>
      </c>
      <c r="B33361" s="8" t="str">
        <f>HYPERLINK("https://twitter.com/Babangg43319381","@Babangg43319381")</f>
        <v>@Babangg43319381</v>
      </c>
      <c r="C33361" s="8" t="s">
        <v>12537</v>
      </c>
      <c r="D33361" s="8">
        <v>1</v>
      </c>
      <c r="E33361" s="8">
        <v>0</v>
      </c>
      <c r="F33361" s="8">
        <v>23</v>
      </c>
    </row>
    <row r="33362" spans="1:6" ht="12.75">
      <c r="A33362" s="8">
        <v>43889.58993055555</v>
      </c>
      <c r="B33362" s="8" t="str">
        <f>HYPERLINK("https://twitter.com/ArnasIbnu","@ArnasIbnu")</f>
        <v>@ArnasIbnu</v>
      </c>
      <c r="C33362" s="8" t="s">
        <v>12542</v>
      </c>
      <c r="D33362" s="8">
        <v>1</v>
      </c>
      <c r="E33362" s="8">
        <v>0</v>
      </c>
      <c r="F33362" s="8">
        <v>9</v>
      </c>
    </row>
    <row r="33363" spans="1:6" ht="12.75">
      <c r="A33363" s="8">
        <v>43889.58993055555</v>
      </c>
      <c r="B33363" s="8" t="str">
        <f>HYPERLINK("https://twitter.com/LSMishra10","@LSMishra10")</f>
        <v>@LSMishra10</v>
      </c>
      <c r="C33363" s="8" t="s">
        <v>12543</v>
      </c>
      <c r="D33363" s="8">
        <v>0</v>
      </c>
      <c r="E33363" s="8">
        <v>0</v>
      </c>
      <c r="F33363" s="8">
        <v>7</v>
      </c>
    </row>
    <row r="33364" spans="1:6" ht="12.75">
      <c r="A33364" s="8">
        <v>43889.58993055555</v>
      </c>
      <c r="B33364" s="8" t="str">
        <f>HYPERLINK("https://twitter.com/MUHAMMA95637412","@MUHAMMA95637412")</f>
        <v>@MUHAMMA95637412</v>
      </c>
      <c r="C33364" s="8" t="s">
        <v>12372</v>
      </c>
      <c r="D33364" s="8">
        <v>0</v>
      </c>
      <c r="E33364" s="8">
        <v>0</v>
      </c>
      <c r="F33364" s="8">
        <v>0</v>
      </c>
    </row>
    <row r="33365" spans="1:6" ht="12.75">
      <c r="A33365" s="8">
        <v>43889.589907407411</v>
      </c>
      <c r="B33365" s="8" t="str">
        <f>HYPERLINK("https://twitter.com/Pituok2","@Pituok2")</f>
        <v>@Pituok2</v>
      </c>
      <c r="C33365" s="8" t="s">
        <v>12544</v>
      </c>
      <c r="D33365" s="8">
        <v>0</v>
      </c>
      <c r="E33365" s="8">
        <v>0</v>
      </c>
      <c r="F33365" s="8">
        <v>230</v>
      </c>
    </row>
    <row r="33366" spans="1:6" ht="12.75">
      <c r="A33366" s="8">
        <v>43889.589895833335</v>
      </c>
      <c r="B33366" s="8" t="str">
        <f>HYPERLINK("https://twitter.com/Babangg43319381","@Babangg43319381")</f>
        <v>@Babangg43319381</v>
      </c>
      <c r="C33366" s="8" t="s">
        <v>12537</v>
      </c>
      <c r="D33366" s="8">
        <v>1</v>
      </c>
      <c r="E33366" s="8">
        <v>0</v>
      </c>
      <c r="F33366" s="8">
        <v>23</v>
      </c>
    </row>
    <row r="33367" spans="1:6" ht="12.75">
      <c r="A33367" s="8">
        <v>43889.589849537035</v>
      </c>
      <c r="B33367" s="8" t="str">
        <f>HYPERLINK("https://twitter.com/MUHAMMA95637412","@MUHAMMA95637412")</f>
        <v>@MUHAMMA95637412</v>
      </c>
      <c r="C33367" s="8" t="s">
        <v>12372</v>
      </c>
      <c r="D33367" s="8">
        <v>0</v>
      </c>
      <c r="E33367" s="8">
        <v>0</v>
      </c>
      <c r="F33367" s="8">
        <v>0</v>
      </c>
    </row>
    <row r="33368" spans="1:6" ht="12.75">
      <c r="A33368" s="8">
        <v>43889.589837962965</v>
      </c>
      <c r="B33368" s="8" t="str">
        <f>HYPERLINK("https://twitter.com/polsekparakan","@polsekparakan")</f>
        <v>@polsekparakan</v>
      </c>
      <c r="C33368" s="8" t="s">
        <v>12276</v>
      </c>
      <c r="D33368" s="8">
        <v>0</v>
      </c>
      <c r="E33368" s="8">
        <v>0</v>
      </c>
      <c r="F33368" s="8">
        <v>3</v>
      </c>
    </row>
    <row r="33369" spans="1:6" ht="12.75">
      <c r="A33369" s="8">
        <v>43889.589826388888</v>
      </c>
      <c r="B33369" s="8" t="str">
        <f>HYPERLINK("https://twitter.com/IqqiChunkz","@IqqiChunkz")</f>
        <v>@IqqiChunkz</v>
      </c>
      <c r="C33369" s="8" t="s">
        <v>12483</v>
      </c>
      <c r="D33369" s="8">
        <v>0</v>
      </c>
      <c r="E33369" s="8">
        <v>0</v>
      </c>
      <c r="F33369" s="8">
        <v>42</v>
      </c>
    </row>
    <row r="33370" spans="1:6" ht="12.75">
      <c r="A33370" s="8">
        <v>43889.589826388888</v>
      </c>
      <c r="B33370" s="8" t="str">
        <f>HYPERLINK("https://twitter.com/MUHAMMA95637412","@MUHAMMA95637412")</f>
        <v>@MUHAMMA95637412</v>
      </c>
      <c r="C33370" s="8" t="s">
        <v>12372</v>
      </c>
      <c r="D33370" s="8">
        <v>0</v>
      </c>
      <c r="E33370" s="8">
        <v>0</v>
      </c>
      <c r="F33370" s="8">
        <v>0</v>
      </c>
    </row>
    <row r="33371" spans="1:6" ht="12.75">
      <c r="A33371" s="8">
        <v>43889.589791666665</v>
      </c>
      <c r="B33371" s="8" t="str">
        <f>HYPERLINK("https://twitter.com/DianRadhita","@DianRadhita")</f>
        <v>@DianRadhita</v>
      </c>
      <c r="C33371" s="8" t="s">
        <v>12545</v>
      </c>
      <c r="D33371" s="8">
        <v>0</v>
      </c>
      <c r="E33371" s="8">
        <v>0</v>
      </c>
      <c r="F33371" s="8">
        <v>6</v>
      </c>
    </row>
    <row r="33372" spans="1:6" ht="12.75">
      <c r="A33372" s="8">
        <v>43889.589780092589</v>
      </c>
      <c r="B33372" s="8" t="str">
        <f>HYPERLINK("https://twitter.com/POLRES_POHUWATO","@POLRES_POHUWATO")</f>
        <v>@POLRES_POHUWATO</v>
      </c>
      <c r="C33372" s="8" t="s">
        <v>12546</v>
      </c>
      <c r="D33372" s="8">
        <v>0</v>
      </c>
      <c r="E33372" s="8">
        <v>0</v>
      </c>
      <c r="F33372" s="8">
        <v>138</v>
      </c>
    </row>
    <row r="33373" spans="1:6" ht="12.75">
      <c r="A33373" s="8">
        <v>43889.589768518519</v>
      </c>
      <c r="B33373" s="8" t="str">
        <f>HYPERLINK("https://twitter.com/PBayongbong","@PBayongbong")</f>
        <v>@PBayongbong</v>
      </c>
      <c r="C33373" s="8" t="s">
        <v>12276</v>
      </c>
      <c r="D33373" s="8">
        <v>0</v>
      </c>
      <c r="E33373" s="8">
        <v>0</v>
      </c>
      <c r="F33373" s="8">
        <v>13</v>
      </c>
    </row>
    <row r="33374" spans="1:6" ht="12.75">
      <c r="A33374" s="8">
        <v>43889.589768518519</v>
      </c>
      <c r="B33374" s="8" t="str">
        <f>HYPERLINK("https://twitter.com/TimurJambi","@TimurJambi")</f>
        <v>@TimurJambi</v>
      </c>
      <c r="C33374" s="8" t="s">
        <v>12547</v>
      </c>
      <c r="D33374" s="8">
        <v>4</v>
      </c>
      <c r="E33374" s="8">
        <v>0</v>
      </c>
      <c r="F33374" s="8">
        <v>5</v>
      </c>
    </row>
    <row r="33375" spans="1:6" ht="12.75">
      <c r="A33375" s="8">
        <v>43889.589745370366</v>
      </c>
      <c r="B33375" s="8" t="str">
        <f>HYPERLINK("https://twitter.com/ArdY92211462","@ArdY92211462")</f>
        <v>@ArdY92211462</v>
      </c>
      <c r="C33375" s="8" t="s">
        <v>12372</v>
      </c>
      <c r="D33375" s="8">
        <v>0</v>
      </c>
      <c r="E33375" s="8">
        <v>0</v>
      </c>
      <c r="F33375" s="8">
        <v>4</v>
      </c>
    </row>
    <row r="33376" spans="1:6" ht="12.75">
      <c r="A33376" s="8">
        <v>43889.589745370366</v>
      </c>
      <c r="B33376" s="8" t="str">
        <f>HYPERLINK("https://twitter.com/polsekwarunggun","@polsekwarunggun")</f>
        <v>@polsekwarunggun</v>
      </c>
      <c r="C33376" s="8" t="s">
        <v>12458</v>
      </c>
      <c r="D33376" s="8">
        <v>0</v>
      </c>
      <c r="E33376" s="8">
        <v>0</v>
      </c>
      <c r="F33376" s="8">
        <v>8</v>
      </c>
    </row>
    <row r="33377" spans="1:6" ht="12.75">
      <c r="A33377" s="8">
        <v>43889.589733796296</v>
      </c>
      <c r="B33377" s="8" t="str">
        <f>HYPERLINK("https://twitter.com/desvita_43","@desvita_43")</f>
        <v>@desvita_43</v>
      </c>
      <c r="C33377" s="8" t="s">
        <v>12548</v>
      </c>
      <c r="D33377" s="8">
        <v>1</v>
      </c>
      <c r="E33377" s="8">
        <v>0</v>
      </c>
      <c r="F33377" s="8">
        <v>8</v>
      </c>
    </row>
    <row r="33378" spans="1:6" ht="12.75">
      <c r="A33378" s="8">
        <v>43889.548495370371</v>
      </c>
      <c r="B33378" s="8" t="str">
        <f>HYPERLINK("https://twitter.com/dzulkarnains","@dzulkarnains")</f>
        <v>@dzulkarnains</v>
      </c>
      <c r="C33378" s="8" t="s">
        <v>12073</v>
      </c>
      <c r="D33378" s="8">
        <v>40</v>
      </c>
      <c r="E33378" s="8">
        <v>0</v>
      </c>
      <c r="F33378" s="8">
        <v>885</v>
      </c>
    </row>
    <row r="33379" spans="1:6" ht="12.75">
      <c r="A33379" s="8">
        <v>43889.548437500001</v>
      </c>
      <c r="B33379" s="8" t="str">
        <f>HYPERLINK("https://twitter.com/AndiraniCintya","@AndiraniCintya")</f>
        <v>@AndiraniCintya</v>
      </c>
      <c r="C33379" s="8" t="s">
        <v>12549</v>
      </c>
      <c r="D33379" s="8">
        <v>0</v>
      </c>
      <c r="E33379" s="8">
        <v>0</v>
      </c>
      <c r="F33379" s="8">
        <v>158</v>
      </c>
    </row>
    <row r="33380" spans="1:6" ht="12.75">
      <c r="A33380" s="8">
        <v>43889.54824074074</v>
      </c>
      <c r="B33380" s="8" t="str">
        <f>HYPERLINK("https://twitter.com/afriwuryanti","@afriwuryanti")</f>
        <v>@afriwuryanti</v>
      </c>
      <c r="C33380" s="8" t="s">
        <v>10721</v>
      </c>
      <c r="D33380" s="8">
        <v>26</v>
      </c>
      <c r="E33380" s="8">
        <v>0</v>
      </c>
      <c r="F33380" s="8">
        <v>272</v>
      </c>
    </row>
    <row r="33381" spans="1:6" ht="12.75">
      <c r="A33381" s="8">
        <v>43889.547199074077</v>
      </c>
      <c r="B33381" s="8" t="str">
        <f>HYPERLINK("https://twitter.com/GajahNata","@GajahNata")</f>
        <v>@GajahNata</v>
      </c>
      <c r="C33381" s="8" t="s">
        <v>12065</v>
      </c>
      <c r="D33381" s="8">
        <v>38</v>
      </c>
      <c r="E33381" s="8">
        <v>0</v>
      </c>
      <c r="F33381" s="8">
        <v>1225</v>
      </c>
    </row>
    <row r="33382" spans="1:6" ht="12.75">
      <c r="A33382" s="8">
        <v>43889.546423611115</v>
      </c>
      <c r="B33382" s="8" t="str">
        <f>HYPERLINK("https://twitter.com/KBRIColombo","@KBRIColombo")</f>
        <v>@KBRIColombo</v>
      </c>
      <c r="C33382" s="8" t="s">
        <v>12550</v>
      </c>
      <c r="D33382" s="8">
        <v>0</v>
      </c>
      <c r="E33382" s="8">
        <v>0</v>
      </c>
      <c r="F33382" s="8">
        <v>738</v>
      </c>
    </row>
    <row r="33383" spans="1:6" ht="12.75">
      <c r="A33383" s="8">
        <v>43889.546307870369</v>
      </c>
      <c r="B33383" s="8" t="str">
        <f>HYPERLINK("https://twitter.com/johhhnygudhel","@johhhnygudhel")</f>
        <v>@johhhnygudhel</v>
      </c>
      <c r="C33383" s="8" t="s">
        <v>10721</v>
      </c>
      <c r="D33383" s="8">
        <v>26</v>
      </c>
      <c r="E33383" s="8">
        <v>0</v>
      </c>
      <c r="F33383" s="8">
        <v>2640</v>
      </c>
    </row>
    <row r="33384" spans="1:6" ht="12.75">
      <c r="A33384" s="8">
        <v>43889.545833333337</v>
      </c>
      <c r="B33384" s="8" t="str">
        <f>HYPERLINK("https://twitter.com/DitaAdiguna","@DitaAdiguna")</f>
        <v>@DitaAdiguna</v>
      </c>
      <c r="C33384" s="8" t="s">
        <v>10721</v>
      </c>
      <c r="D33384" s="8">
        <v>26</v>
      </c>
      <c r="E33384" s="8">
        <v>0</v>
      </c>
      <c r="F33384" s="8">
        <v>279</v>
      </c>
    </row>
    <row r="33385" spans="1:6" ht="12.75">
      <c r="A33385" s="8">
        <v>43889.545717592591</v>
      </c>
      <c r="B33385" s="8" t="str">
        <f>HYPERLINK("https://twitter.com/harakatuna","@harakatuna")</f>
        <v>@harakatuna</v>
      </c>
      <c r="C33385" s="8" t="s">
        <v>12290</v>
      </c>
      <c r="D33385" s="8">
        <v>0</v>
      </c>
      <c r="E33385" s="8">
        <v>0</v>
      </c>
      <c r="F33385" s="8">
        <v>412</v>
      </c>
    </row>
    <row r="33386" spans="1:6" ht="12.75">
      <c r="A33386" s="8">
        <v>43889.545370370368</v>
      </c>
      <c r="B33386" s="8" t="str">
        <f>HYPERLINK("https://twitter.com/AndiraniCintya","@AndiraniCintya")</f>
        <v>@AndiraniCintya</v>
      </c>
      <c r="C33386" s="8" t="s">
        <v>12551</v>
      </c>
      <c r="D33386" s="8">
        <v>0</v>
      </c>
      <c r="E33386" s="8">
        <v>0</v>
      </c>
      <c r="F33386" s="8">
        <v>158</v>
      </c>
    </row>
    <row r="33387" spans="1:6" ht="12.75">
      <c r="A33387" s="8">
        <v>43889.544965277775</v>
      </c>
      <c r="B33387" s="8" t="str">
        <f>HYPERLINK("https://twitter.com/nrnjmili","@nrnjmili")</f>
        <v>@nrnjmili</v>
      </c>
      <c r="C33387" s="8" t="s">
        <v>11102</v>
      </c>
      <c r="D33387" s="8">
        <v>295</v>
      </c>
      <c r="E33387" s="8">
        <v>0</v>
      </c>
      <c r="F33387" s="8">
        <v>156</v>
      </c>
    </row>
    <row r="33388" spans="1:6" ht="12.75">
      <c r="A33388" s="8">
        <v>43889.544803240744</v>
      </c>
      <c r="B33388" s="8" t="str">
        <f t="shared" ref="B33388:B33391" si="461">HYPERLINK("https://twitter.com/ratu_adil","@ratu_adil")</f>
        <v>@ratu_adil</v>
      </c>
      <c r="C33388" s="8" t="s">
        <v>12552</v>
      </c>
      <c r="D33388" s="8">
        <v>4</v>
      </c>
      <c r="E33388" s="8">
        <v>0</v>
      </c>
      <c r="F33388" s="8">
        <v>52841</v>
      </c>
    </row>
    <row r="33389" spans="1:6" ht="12.75">
      <c r="A33389" s="8">
        <v>43889.544733796298</v>
      </c>
      <c r="B33389" s="8" t="str">
        <f t="shared" si="461"/>
        <v>@ratu_adil</v>
      </c>
      <c r="C33389" s="8" t="s">
        <v>12553</v>
      </c>
      <c r="D33389" s="8">
        <v>2</v>
      </c>
      <c r="E33389" s="8">
        <v>0</v>
      </c>
      <c r="F33389" s="8">
        <v>52841</v>
      </c>
    </row>
    <row r="33390" spans="1:6" ht="12.75">
      <c r="A33390" s="8">
        <v>43889.544664351852</v>
      </c>
      <c r="B33390" s="8" t="str">
        <f t="shared" si="461"/>
        <v>@ratu_adil</v>
      </c>
      <c r="C33390" s="8" t="s">
        <v>12554</v>
      </c>
      <c r="D33390" s="8">
        <v>4</v>
      </c>
      <c r="E33390" s="8">
        <v>0</v>
      </c>
      <c r="F33390" s="8">
        <v>52841</v>
      </c>
    </row>
    <row r="33391" spans="1:6" ht="12.75">
      <c r="A33391" s="8">
        <v>43889.544583333336</v>
      </c>
      <c r="B33391" s="8" t="str">
        <f t="shared" si="461"/>
        <v>@ratu_adil</v>
      </c>
      <c r="C33391" s="8" t="s">
        <v>12555</v>
      </c>
      <c r="D33391" s="8">
        <v>3</v>
      </c>
      <c r="E33391" s="8">
        <v>0</v>
      </c>
      <c r="F33391" s="8">
        <v>52841</v>
      </c>
    </row>
    <row r="33392" spans="1:6" ht="12.75">
      <c r="A33392" s="8">
        <v>43889.544189814813</v>
      </c>
      <c r="B33392" s="8" t="str">
        <f t="shared" ref="B33392:B33393" si="462">HYPERLINK("https://twitter.com/wni_jmsri","@wni_jmsri")</f>
        <v>@wni_jmsri</v>
      </c>
      <c r="C33392" s="8" t="s">
        <v>12556</v>
      </c>
      <c r="D33392" s="8">
        <v>6725</v>
      </c>
      <c r="E33392" s="8">
        <v>0</v>
      </c>
      <c r="F33392" s="8">
        <v>200</v>
      </c>
    </row>
    <row r="33393" spans="1:6" ht="12.75">
      <c r="A33393" s="8">
        <v>43889.544131944444</v>
      </c>
      <c r="B33393" s="8" t="str">
        <f t="shared" si="462"/>
        <v>@wni_jmsri</v>
      </c>
      <c r="C33393" s="8" t="s">
        <v>12557</v>
      </c>
      <c r="D33393" s="8">
        <v>300</v>
      </c>
      <c r="E33393" s="8">
        <v>0</v>
      </c>
      <c r="F33393" s="8">
        <v>200</v>
      </c>
    </row>
    <row r="33394" spans="1:6" ht="12.75">
      <c r="A33394" s="8">
        <v>43889.544108796297</v>
      </c>
      <c r="B33394" s="8" t="str">
        <f>HYPERLINK("https://twitter.com/YahyaAlfi","@YahyaAlfi")</f>
        <v>@YahyaAlfi</v>
      </c>
      <c r="C33394" s="8" t="s">
        <v>12558</v>
      </c>
      <c r="D33394" s="8">
        <v>0</v>
      </c>
      <c r="E33394" s="8">
        <v>0</v>
      </c>
      <c r="F33394" s="8">
        <v>353</v>
      </c>
    </row>
    <row r="33395" spans="1:6" ht="12.75">
      <c r="A33395" s="8">
        <v>43889.543842592597</v>
      </c>
      <c r="B33395" s="8" t="str">
        <f>HYPERLINK("https://twitter.com/aizahputri","@aizahputri")</f>
        <v>@aizahputri</v>
      </c>
      <c r="C33395" s="8" t="s">
        <v>10721</v>
      </c>
      <c r="D33395" s="8">
        <v>26</v>
      </c>
      <c r="E33395" s="8">
        <v>0</v>
      </c>
      <c r="F33395" s="8">
        <v>1646</v>
      </c>
    </row>
    <row r="33396" spans="1:6" ht="12.75">
      <c r="A33396" s="8">
        <v>43889.543333333335</v>
      </c>
      <c r="B33396" s="8" t="str">
        <f>HYPERLINK("https://twitter.com/AireenFarhana","@AireenFarhana")</f>
        <v>@AireenFarhana</v>
      </c>
      <c r="C33396" s="8" t="s">
        <v>11102</v>
      </c>
      <c r="D33396" s="8">
        <v>295</v>
      </c>
      <c r="E33396" s="8">
        <v>0</v>
      </c>
      <c r="F33396" s="8">
        <v>790</v>
      </c>
    </row>
    <row r="33397" spans="1:6" ht="12.75">
      <c r="A33397" s="8">
        <v>43889.543194444443</v>
      </c>
      <c r="B33397" s="8" t="str">
        <f>HYPERLINK("https://twitter.com/Shabbirgawai3","@Shabbirgawai3")</f>
        <v>@Shabbirgawai3</v>
      </c>
      <c r="C33397" s="8" t="s">
        <v>12559</v>
      </c>
      <c r="D33397" s="8">
        <v>0</v>
      </c>
      <c r="E33397" s="8">
        <v>0</v>
      </c>
      <c r="F33397" s="8">
        <v>98</v>
      </c>
    </row>
    <row r="33398" spans="1:6" ht="12.75">
      <c r="A33398" s="8">
        <v>43889.54314814815</v>
      </c>
      <c r="B33398" s="8" t="str">
        <f>HYPERLINK("https://twitter.com/imanhidayat1280","@imanhidayat1280")</f>
        <v>@imanhidayat1280</v>
      </c>
      <c r="C33398" s="8" t="s">
        <v>12093</v>
      </c>
      <c r="D33398" s="8">
        <v>17</v>
      </c>
      <c r="E33398" s="8">
        <v>0</v>
      </c>
      <c r="F33398" s="8">
        <v>632</v>
      </c>
    </row>
    <row r="33399" spans="1:6" ht="12.75">
      <c r="A33399" s="8">
        <v>43889.542800925927</v>
      </c>
      <c r="B33399" s="8" t="str">
        <f>HYPERLINK("https://twitter.com/didik99h","@didik99h")</f>
        <v>@didik99h</v>
      </c>
      <c r="C33399" s="8" t="s">
        <v>12560</v>
      </c>
      <c r="D33399" s="8">
        <v>31</v>
      </c>
      <c r="E33399" s="8">
        <v>0</v>
      </c>
      <c r="F33399" s="8">
        <v>740</v>
      </c>
    </row>
    <row r="33400" spans="1:6" ht="12.75">
      <c r="A33400" s="8">
        <v>43889.542731481481</v>
      </c>
      <c r="B33400" s="8" t="str">
        <f>HYPERLINK("https://twitter.com/iqbalwlyddn","@iqbalwlyddn")</f>
        <v>@iqbalwlyddn</v>
      </c>
      <c r="C33400" s="8" t="s">
        <v>12057</v>
      </c>
      <c r="D33400" s="8">
        <v>16</v>
      </c>
      <c r="E33400" s="8">
        <v>0</v>
      </c>
      <c r="F33400" s="8">
        <v>237</v>
      </c>
    </row>
    <row r="33401" spans="1:6" ht="12.75">
      <c r="A33401" s="8">
        <v>43889.542604166665</v>
      </c>
      <c r="B33401" s="8" t="str">
        <f>HYPERLINK("https://twitter.com/teddysan8","@teddysan8")</f>
        <v>@teddysan8</v>
      </c>
      <c r="C33401" s="8" t="s">
        <v>12561</v>
      </c>
      <c r="D33401" s="8">
        <v>0</v>
      </c>
      <c r="E33401" s="8">
        <v>0</v>
      </c>
      <c r="F33401" s="8">
        <v>37</v>
      </c>
    </row>
    <row r="33402" spans="1:6" ht="12.75">
      <c r="A33402" s="8">
        <v>43889.542557870373</v>
      </c>
      <c r="B33402" s="8" t="str">
        <f>HYPERLINK("https://twitter.com/nazrainrosli","@nazrainrosli")</f>
        <v>@nazrainrosli</v>
      </c>
      <c r="C33402" s="8" t="s">
        <v>11102</v>
      </c>
      <c r="D33402" s="8">
        <v>295</v>
      </c>
      <c r="E33402" s="8">
        <v>0</v>
      </c>
      <c r="F33402" s="8">
        <v>691</v>
      </c>
    </row>
    <row r="33403" spans="1:6" ht="12.75">
      <c r="A33403" s="8">
        <v>43889.542453703703</v>
      </c>
      <c r="B33403" s="8" t="str">
        <f>HYPERLINK("https://twitter.com/savelobster1","@savelobster1")</f>
        <v>@savelobster1</v>
      </c>
      <c r="C33403" s="8" t="s">
        <v>10721</v>
      </c>
      <c r="D33403" s="8">
        <v>26</v>
      </c>
      <c r="E33403" s="8">
        <v>0</v>
      </c>
      <c r="F33403" s="8">
        <v>185</v>
      </c>
    </row>
    <row r="33404" spans="1:6" ht="12.75">
      <c r="A33404" s="8">
        <v>43889.541944444441</v>
      </c>
      <c r="B33404" s="8" t="str">
        <f>HYPERLINK("https://twitter.com/Tio84605115","@Tio84605115")</f>
        <v>@Tio84605115</v>
      </c>
      <c r="C33404" s="8" t="s">
        <v>12444</v>
      </c>
      <c r="D33404" s="8">
        <v>0</v>
      </c>
      <c r="E33404" s="8">
        <v>0</v>
      </c>
      <c r="F33404" s="8">
        <v>2</v>
      </c>
    </row>
    <row r="33405" spans="1:6" ht="12.75">
      <c r="A33405" s="8">
        <v>43889.54179398148</v>
      </c>
      <c r="B33405" s="8" t="str">
        <f>HYPERLINK("https://twitter.com/dhmndaamn_","@dhmndaamn_")</f>
        <v>@dhmndaamn_</v>
      </c>
      <c r="C33405" s="8" t="s">
        <v>12562</v>
      </c>
      <c r="D33405" s="8">
        <v>0</v>
      </c>
      <c r="E33405" s="8">
        <v>0</v>
      </c>
      <c r="F33405" s="8">
        <v>1347</v>
      </c>
    </row>
    <row r="33406" spans="1:6" ht="12.75">
      <c r="A33406" s="8">
        <v>43889.541597222225</v>
      </c>
      <c r="B33406" s="8" t="str">
        <f>HYPERLINK("https://twitter.com/nieysss_","@nieysss_")</f>
        <v>@nieysss_</v>
      </c>
      <c r="C33406" s="8" t="s">
        <v>11102</v>
      </c>
      <c r="D33406" s="8">
        <v>295</v>
      </c>
      <c r="E33406" s="8">
        <v>0</v>
      </c>
      <c r="F33406" s="8">
        <v>565</v>
      </c>
    </row>
    <row r="33407" spans="1:6" ht="12.75">
      <c r="A33407" s="8">
        <v>43889.540763888886</v>
      </c>
      <c r="B33407" s="8" t="str">
        <f>HYPERLINK("https://twitter.com/suemai","@suemai")</f>
        <v>@suemai</v>
      </c>
      <c r="C33407" s="8" t="s">
        <v>11102</v>
      </c>
      <c r="D33407" s="8">
        <v>295</v>
      </c>
      <c r="E33407" s="8">
        <v>0</v>
      </c>
      <c r="F33407" s="8">
        <v>649</v>
      </c>
    </row>
    <row r="33408" spans="1:6" ht="12.75">
      <c r="A33408" s="8">
        <v>43889.540717592594</v>
      </c>
      <c r="B33408" s="8" t="str">
        <f>HYPERLINK("https://twitter.com/harihariono1","@harihariono1")</f>
        <v>@harihariono1</v>
      </c>
      <c r="C33408" s="8" t="s">
        <v>12125</v>
      </c>
      <c r="D33408" s="8">
        <v>40</v>
      </c>
      <c r="E33408" s="8">
        <v>0</v>
      </c>
      <c r="F33408" s="8">
        <v>9460</v>
      </c>
    </row>
    <row r="33409" spans="1:6" ht="12.75">
      <c r="A33409" s="8">
        <v>43889.540648148148</v>
      </c>
      <c r="B33409" s="8" t="str">
        <f>HYPERLINK("https://twitter.com/SutanRajaHsb1","@SutanRajaHsb1")</f>
        <v>@SutanRajaHsb1</v>
      </c>
      <c r="C33409" s="8" t="s">
        <v>12065</v>
      </c>
      <c r="D33409" s="8">
        <v>38</v>
      </c>
      <c r="E33409" s="8">
        <v>0</v>
      </c>
      <c r="F33409" s="8">
        <v>999</v>
      </c>
    </row>
    <row r="33410" spans="1:6" ht="12.75">
      <c r="A33410" s="8">
        <v>43889.540231481486</v>
      </c>
      <c r="B33410" s="8" t="str">
        <f>HYPERLINK("https://twitter.com/achmadhandoko","@achmadhandoko")</f>
        <v>@achmadhandoko</v>
      </c>
      <c r="C33410" s="8" t="s">
        <v>10721</v>
      </c>
      <c r="D33410" s="8">
        <v>26</v>
      </c>
      <c r="E33410" s="8">
        <v>0</v>
      </c>
      <c r="F33410" s="8">
        <v>256</v>
      </c>
    </row>
    <row r="33411" spans="1:6" ht="12.75">
      <c r="A33411" s="8">
        <v>43889.539965277778</v>
      </c>
      <c r="B33411" s="8" t="str">
        <f>HYPERLINK("https://twitter.com/Ramadian40","@Ramadian40")</f>
        <v>@Ramadian40</v>
      </c>
      <c r="C33411" s="8" t="s">
        <v>12563</v>
      </c>
      <c r="D33411" s="8">
        <v>0</v>
      </c>
      <c r="E33411" s="8">
        <v>1</v>
      </c>
      <c r="F33411" s="8">
        <v>1977</v>
      </c>
    </row>
    <row r="33412" spans="1:6" ht="12.75">
      <c r="A33412" s="8">
        <v>43889.539930555555</v>
      </c>
      <c r="B33412" s="8" t="str">
        <f>HYPERLINK("https://twitter.com/kasman_vandi","@kasman_vandi")</f>
        <v>@kasman_vandi</v>
      </c>
      <c r="C33412" s="8" t="s">
        <v>12564</v>
      </c>
      <c r="D33412" s="8">
        <v>0</v>
      </c>
      <c r="E33412" s="8">
        <v>0</v>
      </c>
      <c r="F33412" s="8">
        <v>908</v>
      </c>
    </row>
    <row r="33413" spans="1:6" ht="12.75">
      <c r="A33413" s="8">
        <v>43889.539756944447</v>
      </c>
      <c r="B33413" s="8" t="str">
        <f>HYPERLINK("https://twitter.com/kojekiklas","@kojekiklas")</f>
        <v>@kojekiklas</v>
      </c>
      <c r="C33413" s="8" t="s">
        <v>11102</v>
      </c>
      <c r="D33413" s="8">
        <v>295</v>
      </c>
      <c r="E33413" s="8">
        <v>0</v>
      </c>
      <c r="F33413" s="8">
        <v>64</v>
      </c>
    </row>
    <row r="33414" spans="1:6" ht="12.75">
      <c r="A33414" s="8">
        <v>43889.539224537039</v>
      </c>
      <c r="B33414" s="8" t="str">
        <f>HYPERLINK("https://twitter.com/erikamelfa","@erikamelfa")</f>
        <v>@erikamelfa</v>
      </c>
      <c r="C33414" s="8" t="s">
        <v>12565</v>
      </c>
      <c r="D33414" s="8">
        <v>0</v>
      </c>
      <c r="E33414" s="8">
        <v>0</v>
      </c>
      <c r="F33414" s="8">
        <v>593</v>
      </c>
    </row>
    <row r="33415" spans="1:6" ht="12.75">
      <c r="A33415" s="8">
        <v>43889.539131944446</v>
      </c>
      <c r="B33415" s="8" t="str">
        <f>HYPERLINK("https://twitter.com/eRifqi","@eRifqi")</f>
        <v>@eRifqi</v>
      </c>
      <c r="C33415" s="8" t="s">
        <v>12566</v>
      </c>
      <c r="D33415" s="8">
        <v>0</v>
      </c>
      <c r="E33415" s="8">
        <v>0</v>
      </c>
      <c r="F33415" s="8">
        <v>488</v>
      </c>
    </row>
    <row r="33416" spans="1:6" ht="12.75">
      <c r="A33416" s="8">
        <v>43889.539131944446</v>
      </c>
      <c r="B33416" s="8" t="str">
        <f>HYPERLINK("https://twitter.com/hardy_imandar","@hardy_imandar")</f>
        <v>@hardy_imandar</v>
      </c>
      <c r="C33416" s="8" t="s">
        <v>12567</v>
      </c>
      <c r="D33416" s="8">
        <v>0</v>
      </c>
      <c r="E33416" s="8">
        <v>0</v>
      </c>
      <c r="F33416" s="8">
        <v>581</v>
      </c>
    </row>
    <row r="33417" spans="1:6" ht="12.75">
      <c r="A33417" s="8">
        <v>43889.538935185185</v>
      </c>
      <c r="B33417" s="8" t="str">
        <f>HYPERLINK("https://twitter.com/AriefSesshomaru","@AriefSesshomaru")</f>
        <v>@AriefSesshomaru</v>
      </c>
      <c r="C33417" s="8" t="s">
        <v>12568</v>
      </c>
      <c r="D33417" s="8">
        <v>0</v>
      </c>
      <c r="E33417" s="8">
        <v>0</v>
      </c>
      <c r="F33417" s="8">
        <v>104</v>
      </c>
    </row>
    <row r="33418" spans="1:6" ht="12.75">
      <c r="A33418" s="8">
        <v>43889.538888888885</v>
      </c>
      <c r="B33418" s="8" t="str">
        <f>HYPERLINK("https://twitter.com/hinatakireina","@hinatakireina")</f>
        <v>@hinatakireina</v>
      </c>
      <c r="C33418" s="8" t="s">
        <v>10721</v>
      </c>
      <c r="D33418" s="8">
        <v>26</v>
      </c>
      <c r="E33418" s="8">
        <v>0</v>
      </c>
      <c r="F33418" s="8">
        <v>469</v>
      </c>
    </row>
    <row r="33419" spans="1:6" ht="12.75">
      <c r="A33419" s="8">
        <v>43889.538773148146</v>
      </c>
      <c r="B33419" s="8" t="str">
        <f>HYPERLINK("https://twitter.com/awnacil_","@awnacil_")</f>
        <v>@awnacil_</v>
      </c>
      <c r="C33419" s="8" t="s">
        <v>10721</v>
      </c>
      <c r="D33419" s="8">
        <v>26</v>
      </c>
      <c r="E33419" s="8">
        <v>0</v>
      </c>
      <c r="F33419" s="8">
        <v>142</v>
      </c>
    </row>
    <row r="33420" spans="1:6" ht="12.75">
      <c r="A33420" s="8">
        <v>43889.538541666669</v>
      </c>
      <c r="B33420" s="8" t="str">
        <f>HYPERLINK("https://twitter.com/IwagEvolution","@IwagEvolution")</f>
        <v>@IwagEvolution</v>
      </c>
      <c r="C33420" s="8" t="s">
        <v>12135</v>
      </c>
      <c r="D33420" s="8">
        <v>15</v>
      </c>
      <c r="E33420" s="8">
        <v>0</v>
      </c>
      <c r="F33420" s="8">
        <v>702</v>
      </c>
    </row>
    <row r="33421" spans="1:6" ht="12.75">
      <c r="A33421" s="8">
        <v>43889.538194444445</v>
      </c>
      <c r="B33421" s="8" t="str">
        <f>HYPERLINK("https://twitter.com/_wni_","@_wni_")</f>
        <v>@_wni_</v>
      </c>
      <c r="C33421" s="8" t="s">
        <v>12487</v>
      </c>
      <c r="D33421" s="8">
        <v>10937</v>
      </c>
      <c r="E33421" s="8">
        <v>0</v>
      </c>
      <c r="F33421" s="8">
        <v>9</v>
      </c>
    </row>
    <row r="33422" spans="1:6" ht="12.75">
      <c r="A33422" s="8">
        <v>43889.537824074076</v>
      </c>
      <c r="B33422" s="8" t="str">
        <f>HYPERLINK("https://twitter.com/iNewsID","@iNewsID")</f>
        <v>@iNewsID</v>
      </c>
      <c r="C33422" s="8" t="s">
        <v>12569</v>
      </c>
      <c r="D33422" s="8">
        <v>0</v>
      </c>
      <c r="E33422" s="8">
        <v>0</v>
      </c>
      <c r="F33422" s="8">
        <v>1344</v>
      </c>
    </row>
    <row r="33423" spans="1:6" ht="12.75">
      <c r="A33423" s="8">
        <v>43889.537731481483</v>
      </c>
      <c r="B33423" s="8" t="str">
        <f>HYPERLINK("https://twitter.com/MochAskar1","@MochAskar1")</f>
        <v>@MochAskar1</v>
      </c>
      <c r="C33423" s="8" t="s">
        <v>12570</v>
      </c>
      <c r="D33423" s="8">
        <v>3</v>
      </c>
      <c r="E33423" s="8">
        <v>0</v>
      </c>
      <c r="F33423" s="8">
        <v>8</v>
      </c>
    </row>
    <row r="33424" spans="1:6" ht="12.75">
      <c r="A33424" s="8">
        <v>43889.537511574075</v>
      </c>
      <c r="B33424" s="8" t="str">
        <f>HYPERLINK("https://twitter.com/RadarNegeriku","@RadarNegeriku")</f>
        <v>@RadarNegeriku</v>
      </c>
      <c r="C33424" s="8" t="s">
        <v>12571</v>
      </c>
      <c r="D33424" s="8">
        <v>0</v>
      </c>
      <c r="E33424" s="8">
        <v>0</v>
      </c>
      <c r="F33424" s="8">
        <v>134</v>
      </c>
    </row>
    <row r="33425" spans="1:6" ht="12.75">
      <c r="A33425" s="8">
        <v>43889.537129629629</v>
      </c>
      <c r="B33425" s="8" t="str">
        <f>HYPERLINK("https://twitter.com/johny2b","@johny2b")</f>
        <v>@johny2b</v>
      </c>
      <c r="C33425" s="8" t="s">
        <v>10721</v>
      </c>
      <c r="D33425" s="8">
        <v>26</v>
      </c>
      <c r="E33425" s="8">
        <v>0</v>
      </c>
      <c r="F33425" s="8">
        <v>1733</v>
      </c>
    </row>
    <row r="33426" spans="1:6" ht="12.75">
      <c r="A33426" s="8">
        <v>43889.537048611106</v>
      </c>
      <c r="B33426" s="8" t="str">
        <f>HYPERLINK("https://twitter.com/drpriono","@drpriono")</f>
        <v>@drpriono</v>
      </c>
      <c r="C33426" s="8" t="s">
        <v>12572</v>
      </c>
      <c r="D33426" s="8">
        <v>0</v>
      </c>
      <c r="E33426" s="8">
        <v>0</v>
      </c>
      <c r="F33426" s="8">
        <v>491</v>
      </c>
    </row>
    <row r="33427" spans="1:6" ht="12.75">
      <c r="A33427" s="8">
        <v>43889.536805555559</v>
      </c>
      <c r="B33427" s="8" t="str">
        <f>HYPERLINK("https://twitter.com/1397b641107e4bb","@1397b641107e4bb")</f>
        <v>@1397b641107e4bb</v>
      </c>
      <c r="C33427" s="8" t="s">
        <v>12573</v>
      </c>
      <c r="D33427" s="8">
        <v>0</v>
      </c>
      <c r="E33427" s="8">
        <v>0</v>
      </c>
      <c r="F33427" s="8">
        <v>6</v>
      </c>
    </row>
    <row r="33428" spans="1:6" ht="12.75">
      <c r="A33428" s="8">
        <v>43889.536666666667</v>
      </c>
      <c r="B33428" s="8" t="str">
        <f>HYPERLINK("https://twitter.com/dharmaradja4","@dharmaradja4")</f>
        <v>@dharmaradja4</v>
      </c>
      <c r="C33428" s="8" t="s">
        <v>12574</v>
      </c>
      <c r="D33428" s="8">
        <v>0</v>
      </c>
      <c r="E33428" s="8">
        <v>0</v>
      </c>
      <c r="F33428" s="8">
        <v>0</v>
      </c>
    </row>
    <row r="33429" spans="1:6" ht="12.75">
      <c r="A33429" s="8">
        <v>43889.536527777775</v>
      </c>
      <c r="B33429" s="8" t="str">
        <f>HYPERLINK("https://twitter.com/Fm98Sonora","@Fm98Sonora")</f>
        <v>@Fm98Sonora</v>
      </c>
      <c r="C33429" s="8" t="s">
        <v>10721</v>
      </c>
      <c r="D33429" s="8">
        <v>26</v>
      </c>
      <c r="E33429" s="8">
        <v>0</v>
      </c>
      <c r="F33429" s="8">
        <v>22</v>
      </c>
    </row>
    <row r="33430" spans="1:6" ht="12.75">
      <c r="A33430" s="8">
        <v>43889.536203703705</v>
      </c>
      <c r="B33430" s="8" t="str">
        <f>HYPERLINK("https://twitter.com/syiedaaaaaaaa","@syiedaaaaaaaa")</f>
        <v>@syiedaaaaaaaa</v>
      </c>
      <c r="C33430" s="8" t="s">
        <v>11102</v>
      </c>
      <c r="D33430" s="8">
        <v>295</v>
      </c>
      <c r="E33430" s="8">
        <v>0</v>
      </c>
      <c r="F33430" s="8">
        <v>253</v>
      </c>
    </row>
    <row r="33431" spans="1:6" ht="12.75">
      <c r="A33431" s="8">
        <v>43889.536168981482</v>
      </c>
      <c r="B33431" s="8" t="str">
        <f>HYPERLINK("https://twitter.com/SadiqAbagnale","@SadiqAbagnale")</f>
        <v>@SadiqAbagnale</v>
      </c>
      <c r="C33431" s="8" t="s">
        <v>11102</v>
      </c>
      <c r="D33431" s="8">
        <v>295</v>
      </c>
      <c r="E33431" s="8">
        <v>0</v>
      </c>
      <c r="F33431" s="8">
        <v>671</v>
      </c>
    </row>
    <row r="33432" spans="1:6" ht="12.75">
      <c r="A33432" s="8">
        <v>43889.535902777774</v>
      </c>
      <c r="B33432" s="8" t="str">
        <f>HYPERLINK("https://twitter.com/MochAskar1","@MochAskar1")</f>
        <v>@MochAskar1</v>
      </c>
      <c r="C33432" s="8" t="s">
        <v>11283</v>
      </c>
      <c r="D33432" s="8">
        <v>1</v>
      </c>
      <c r="E33432" s="8">
        <v>0</v>
      </c>
      <c r="F33432" s="8">
        <v>8</v>
      </c>
    </row>
    <row r="33433" spans="1:6" ht="12.75">
      <c r="A33433" s="8">
        <v>43889.535659722227</v>
      </c>
      <c r="B33433" s="8" t="str">
        <f>HYPERLINK("https://twitter.com/Puteriswift_","@Puteriswift_")</f>
        <v>@Puteriswift_</v>
      </c>
      <c r="C33433" s="8" t="s">
        <v>12575</v>
      </c>
      <c r="D33433" s="8">
        <v>0</v>
      </c>
      <c r="E33433" s="8">
        <v>0</v>
      </c>
      <c r="F33433" s="8">
        <v>287</v>
      </c>
    </row>
    <row r="33434" spans="1:6" ht="12.75">
      <c r="A33434" s="8">
        <v>43889.535081018519</v>
      </c>
      <c r="B33434" s="8" t="str">
        <f>HYPERLINK("https://twitter.com/Kopi_laut","@Kopi_laut")</f>
        <v>@Kopi_laut</v>
      </c>
      <c r="C33434" s="8" t="s">
        <v>12057</v>
      </c>
      <c r="D33434" s="8">
        <v>16</v>
      </c>
      <c r="E33434" s="8">
        <v>0</v>
      </c>
      <c r="F33434" s="8">
        <v>1816</v>
      </c>
    </row>
    <row r="33435" spans="1:6" ht="12.75">
      <c r="A33435" s="8">
        <v>43889.534722222219</v>
      </c>
      <c r="B33435" s="8" t="str">
        <f>HYPERLINK("https://twitter.com/CNNIDdaily","@CNNIDdaily")</f>
        <v>@CNNIDdaily</v>
      </c>
      <c r="C33435" s="8" t="s">
        <v>12576</v>
      </c>
      <c r="D33435" s="8">
        <v>1</v>
      </c>
      <c r="E33435" s="8">
        <v>1</v>
      </c>
      <c r="F33435" s="8">
        <v>119610</v>
      </c>
    </row>
    <row r="33436" spans="1:6" ht="12.75">
      <c r="A33436" s="8">
        <v>43889.534062499995</v>
      </c>
      <c r="B33436" s="8" t="str">
        <f>HYPERLINK("https://twitter.com/YahyaAlfi","@YahyaAlfi")</f>
        <v>@YahyaAlfi</v>
      </c>
      <c r="C33436" s="8" t="s">
        <v>12577</v>
      </c>
      <c r="D33436" s="8">
        <v>0</v>
      </c>
      <c r="E33436" s="8">
        <v>0</v>
      </c>
      <c r="F33436" s="8">
        <v>353</v>
      </c>
    </row>
    <row r="33437" spans="1:6" ht="12.75">
      <c r="A33437" s="8">
        <v>43889.534050925926</v>
      </c>
      <c r="B33437" s="8" t="str">
        <f>HYPERLINK("https://twitter.com/iyanggra","@iyanggra")</f>
        <v>@iyanggra</v>
      </c>
      <c r="C33437" s="8" t="s">
        <v>10721</v>
      </c>
      <c r="D33437" s="8">
        <v>26</v>
      </c>
      <c r="E33437" s="8">
        <v>0</v>
      </c>
      <c r="F33437" s="8">
        <v>102</v>
      </c>
    </row>
    <row r="33438" spans="1:6" ht="12.75">
      <c r="A33438" s="8">
        <v>43889.533750000002</v>
      </c>
      <c r="B33438" s="8" t="str">
        <f>HYPERLINK("https://twitter.com/ArumiShasa","@ArumiShasa")</f>
        <v>@ArumiShasa</v>
      </c>
      <c r="C33438" s="8" t="s">
        <v>12578</v>
      </c>
      <c r="D33438" s="8">
        <v>0</v>
      </c>
      <c r="E33438" s="8">
        <v>0</v>
      </c>
      <c r="F33438" s="8">
        <v>148</v>
      </c>
    </row>
    <row r="33439" spans="1:6" ht="12.75">
      <c r="A33439" s="8">
        <v>43889.533692129626</v>
      </c>
      <c r="B33439" s="8" t="str">
        <f>HYPERLINK("https://twitter.com/fikamell","@fikamell")</f>
        <v>@fikamell</v>
      </c>
      <c r="C33439" s="8" t="s">
        <v>10721</v>
      </c>
      <c r="D33439" s="8">
        <v>26</v>
      </c>
      <c r="E33439" s="8">
        <v>0</v>
      </c>
      <c r="F33439" s="8">
        <v>479</v>
      </c>
    </row>
    <row r="33440" spans="1:6" ht="12.75">
      <c r="A33440" s="8">
        <v>43889.533032407402</v>
      </c>
      <c r="B33440" s="8" t="str">
        <f>HYPERLINK("https://twitter.com/AjieKlowor","@AjieKlowor")</f>
        <v>@AjieKlowor</v>
      </c>
      <c r="C33440" s="8" t="s">
        <v>12579</v>
      </c>
      <c r="D33440" s="8">
        <v>2</v>
      </c>
      <c r="E33440" s="8">
        <v>0</v>
      </c>
      <c r="F33440" s="8">
        <v>988</v>
      </c>
    </row>
    <row r="33441" spans="1:6" ht="12.75">
      <c r="A33441" s="8">
        <v>43889.533020833333</v>
      </c>
      <c r="B33441" s="8" t="str">
        <f>HYPERLINK("https://twitter.com/asharynurdin70","@asharynurdin70")</f>
        <v>@asharynurdin70</v>
      </c>
      <c r="C33441" s="8" t="s">
        <v>12580</v>
      </c>
      <c r="D33441" s="8">
        <v>1</v>
      </c>
      <c r="E33441" s="8">
        <v>2</v>
      </c>
      <c r="F33441" s="8">
        <v>681</v>
      </c>
    </row>
    <row r="33442" spans="1:6" ht="12.75">
      <c r="A33442" s="8">
        <v>43889.532916666663</v>
      </c>
      <c r="B33442" s="8" t="str">
        <f>HYPERLINK("https://twitter.com/Thewhol74804691","@Thewhol74804691")</f>
        <v>@Thewhol74804691</v>
      </c>
      <c r="C33442" s="8" t="s">
        <v>12581</v>
      </c>
      <c r="D33442" s="8">
        <v>0</v>
      </c>
      <c r="E33442" s="8">
        <v>0</v>
      </c>
      <c r="F33442" s="8">
        <v>5</v>
      </c>
    </row>
    <row r="33443" spans="1:6" ht="12.75">
      <c r="A33443" s="8">
        <v>43889.532847222217</v>
      </c>
      <c r="B33443" s="8" t="str">
        <f>HYPERLINK("https://twitter.com/kyundah_elf","@kyundah_elf")</f>
        <v>@kyundah_elf</v>
      </c>
      <c r="C33443" s="8" t="s">
        <v>10721</v>
      </c>
      <c r="D33443" s="8">
        <v>26</v>
      </c>
      <c r="E33443" s="8">
        <v>0</v>
      </c>
      <c r="F33443" s="8">
        <v>526</v>
      </c>
    </row>
    <row r="33444" spans="1:6" ht="12.75">
      <c r="A33444" s="8">
        <v>43889.532685185186</v>
      </c>
      <c r="B33444" s="8" t="str">
        <f>HYPERLINK("https://twitter.com/kiasleo","@kiasleo")</f>
        <v>@kiasleo</v>
      </c>
      <c r="C33444" s="8" t="s">
        <v>12093</v>
      </c>
      <c r="D33444" s="8">
        <v>17</v>
      </c>
      <c r="E33444" s="8">
        <v>0</v>
      </c>
      <c r="F33444" s="8">
        <v>630</v>
      </c>
    </row>
    <row r="33445" spans="1:6" ht="12.75">
      <c r="A33445" s="8">
        <v>43889.53230324074</v>
      </c>
      <c r="B33445" s="8" t="str">
        <f>HYPERLINK("https://twitter.com/rizki_itta","@rizki_itta")</f>
        <v>@rizki_itta</v>
      </c>
      <c r="C33445" s="8" t="s">
        <v>10721</v>
      </c>
      <c r="D33445" s="8">
        <v>26</v>
      </c>
      <c r="E33445" s="8">
        <v>0</v>
      </c>
      <c r="F33445" s="8">
        <v>496</v>
      </c>
    </row>
    <row r="33446" spans="1:6" ht="12.75">
      <c r="A33446" s="8">
        <v>43889.532106481478</v>
      </c>
      <c r="B33446" s="8" t="str">
        <f>HYPERLINK("https://twitter.com/ipingdia1","@ipingdia1")</f>
        <v>@ipingdia1</v>
      </c>
      <c r="C33446" s="8" t="s">
        <v>10721</v>
      </c>
      <c r="D33446" s="8">
        <v>26</v>
      </c>
      <c r="E33446" s="8">
        <v>0</v>
      </c>
      <c r="F33446" s="8">
        <v>32</v>
      </c>
    </row>
    <row r="33447" spans="1:6" ht="12.75">
      <c r="A33447" s="8">
        <v>43889.531400462962</v>
      </c>
      <c r="B33447" s="8" t="str">
        <f>HYPERLINK("https://twitter.com/labiybafakh","@labiybafakh")</f>
        <v>@labiybafakh</v>
      </c>
      <c r="C33447" s="8" t="s">
        <v>12582</v>
      </c>
      <c r="D33447" s="8">
        <v>64</v>
      </c>
      <c r="E33447" s="8">
        <v>0</v>
      </c>
      <c r="F33447" s="8">
        <v>470</v>
      </c>
    </row>
    <row r="33448" spans="1:6" ht="12.75">
      <c r="A33448" s="8">
        <v>43889.531365740739</v>
      </c>
      <c r="B33448" s="8" t="str">
        <f>HYPERLINK("https://twitter.com/ndkmrdn","@ndkmrdn")</f>
        <v>@ndkmrdn</v>
      </c>
      <c r="C33448" s="8" t="s">
        <v>11102</v>
      </c>
      <c r="D33448" s="8">
        <v>295</v>
      </c>
      <c r="E33448" s="8">
        <v>0</v>
      </c>
      <c r="F33448" s="8">
        <v>562</v>
      </c>
    </row>
    <row r="33449" spans="1:6" ht="12.75">
      <c r="A33449" s="8">
        <v>43889.531331018516</v>
      </c>
      <c r="B33449" s="8" t="str">
        <f>HYPERLINK("https://twitter.com/shapmary","@shapmary")</f>
        <v>@shapmary</v>
      </c>
      <c r="C33449" s="8" t="s">
        <v>10721</v>
      </c>
      <c r="D33449" s="8">
        <v>26</v>
      </c>
      <c r="E33449" s="8">
        <v>0</v>
      </c>
      <c r="F33449" s="8">
        <v>455</v>
      </c>
    </row>
    <row r="33450" spans="1:6" ht="12.75">
      <c r="A33450" s="8">
        <v>43889.53125</v>
      </c>
      <c r="B33450" s="8" t="str">
        <f>HYPERLINK("https://twitter.com/Akmalkhalid_","@Akmalkhalid_")</f>
        <v>@Akmalkhalid_</v>
      </c>
      <c r="C33450" s="8" t="s">
        <v>11102</v>
      </c>
      <c r="D33450" s="8">
        <v>295</v>
      </c>
      <c r="E33450" s="8">
        <v>0</v>
      </c>
      <c r="F33450" s="8">
        <v>572</v>
      </c>
    </row>
    <row r="33451" spans="1:6" ht="12.75">
      <c r="A33451" s="8">
        <v>43889.531180555554</v>
      </c>
      <c r="B33451" s="8" t="str">
        <f>HYPERLINK("https://twitter.com/progjo","@progjo")</f>
        <v>@progjo</v>
      </c>
      <c r="C33451" s="8" t="s">
        <v>12583</v>
      </c>
      <c r="D33451" s="8">
        <v>0</v>
      </c>
      <c r="E33451" s="8">
        <v>0</v>
      </c>
      <c r="F33451" s="8">
        <v>4429</v>
      </c>
    </row>
    <row r="33452" spans="1:6" ht="12.75">
      <c r="A33452" s="8">
        <v>43889.531168981484</v>
      </c>
      <c r="B33452" s="8" t="str">
        <f>HYPERLINK("https://twitter.com/ND45MUpetal","@ND45MUpetal")</f>
        <v>@ND45MUpetal</v>
      </c>
      <c r="C33452" s="8" t="s">
        <v>12065</v>
      </c>
      <c r="D33452" s="8">
        <v>38</v>
      </c>
      <c r="E33452" s="8">
        <v>0</v>
      </c>
      <c r="F33452" s="8">
        <v>609</v>
      </c>
    </row>
    <row r="33453" spans="1:6" ht="12.75">
      <c r="A33453" s="8">
        <v>43889.531053240746</v>
      </c>
      <c r="B33453" s="8" t="str">
        <f>HYPERLINK("https://twitter.com/sykrshah95","@sykrshah95")</f>
        <v>@sykrshah95</v>
      </c>
      <c r="C33453" s="8" t="s">
        <v>11102</v>
      </c>
      <c r="D33453" s="8">
        <v>295</v>
      </c>
      <c r="E33453" s="8">
        <v>0</v>
      </c>
      <c r="F33453" s="8">
        <v>316</v>
      </c>
    </row>
    <row r="33454" spans="1:6" ht="12.75">
      <c r="A33454" s="8">
        <v>43889.530914351853</v>
      </c>
      <c r="B33454" s="8" t="str">
        <f>HYPERLINK("https://twitter.com/yudi_anto","@yudi_anto")</f>
        <v>@yudi_anto</v>
      </c>
      <c r="C33454" s="8" t="s">
        <v>10721</v>
      </c>
      <c r="D33454" s="8">
        <v>26</v>
      </c>
      <c r="E33454" s="8">
        <v>0</v>
      </c>
      <c r="F33454" s="8">
        <v>299</v>
      </c>
    </row>
    <row r="33455" spans="1:6" ht="12.75">
      <c r="A33455" s="8">
        <v>43889.530555555553</v>
      </c>
      <c r="B33455" s="8" t="str">
        <f>HYPERLINK("https://twitter.com/eDCan89","@eDCan89")</f>
        <v>@eDCan89</v>
      </c>
      <c r="C33455" s="8" t="s">
        <v>12584</v>
      </c>
      <c r="D33455" s="8">
        <v>2</v>
      </c>
      <c r="E33455" s="8">
        <v>0</v>
      </c>
      <c r="F33455" s="8">
        <v>122</v>
      </c>
    </row>
    <row r="33456" spans="1:6" ht="12.75">
      <c r="A33456" s="8">
        <v>43889.530266203699</v>
      </c>
      <c r="B33456" s="8" t="str">
        <f>HYPERLINK("https://twitter.com/riska_ayu97","@riska_ayu97")</f>
        <v>@riska_ayu97</v>
      </c>
      <c r="C33456" s="8" t="s">
        <v>10721</v>
      </c>
      <c r="D33456" s="8">
        <v>26</v>
      </c>
      <c r="E33456" s="8">
        <v>0</v>
      </c>
      <c r="F33456" s="8">
        <v>167</v>
      </c>
    </row>
    <row r="33457" spans="1:6" ht="12.75">
      <c r="A33457" s="8">
        <v>43889.529918981483</v>
      </c>
      <c r="B33457" s="8" t="str">
        <f>HYPERLINK("https://twitter.com/Thatxxxx__","@Thatxxxx__")</f>
        <v>@Thatxxxx__</v>
      </c>
      <c r="C33457" s="8" t="s">
        <v>10721</v>
      </c>
      <c r="D33457" s="8">
        <v>26</v>
      </c>
      <c r="E33457" s="8">
        <v>0</v>
      </c>
      <c r="F33457" s="8">
        <v>211</v>
      </c>
    </row>
    <row r="33458" spans="1:6" ht="12.75">
      <c r="A33458" s="8">
        <v>43889.529814814814</v>
      </c>
      <c r="B33458" s="8" t="str">
        <f>HYPERLINK("https://twitter.com/Subadri20917452","@Subadri20917452")</f>
        <v>@Subadri20917452</v>
      </c>
      <c r="C33458" s="8" t="s">
        <v>12585</v>
      </c>
      <c r="D33458" s="8">
        <v>0</v>
      </c>
      <c r="E33458" s="8">
        <v>0</v>
      </c>
      <c r="F33458" s="8">
        <v>814</v>
      </c>
    </row>
    <row r="33459" spans="1:6" ht="12.75">
      <c r="A33459" s="8">
        <v>43889.529803240745</v>
      </c>
      <c r="B33459" s="8" t="str">
        <f>HYPERLINK("https://twitter.com/Jokowinomics_id","@Jokowinomics_id")</f>
        <v>@Jokowinomics_id</v>
      </c>
      <c r="C33459" s="8" t="s">
        <v>12586</v>
      </c>
      <c r="D33459" s="8">
        <v>0</v>
      </c>
      <c r="E33459" s="8">
        <v>0</v>
      </c>
      <c r="F33459" s="8">
        <v>1645</v>
      </c>
    </row>
    <row r="33460" spans="1:6" ht="12.75">
      <c r="A33460" s="8">
        <v>43889.529687499999</v>
      </c>
      <c r="B33460" s="8" t="str">
        <f>HYPERLINK("https://twitter.com/amalinair","@amalinair")</f>
        <v>@amalinair</v>
      </c>
      <c r="C33460" s="8" t="s">
        <v>10721</v>
      </c>
      <c r="D33460" s="8">
        <v>26</v>
      </c>
      <c r="E33460" s="8">
        <v>0</v>
      </c>
      <c r="F33460" s="8">
        <v>610</v>
      </c>
    </row>
    <row r="33461" spans="1:6" ht="12.75">
      <c r="A33461" s="8">
        <v>43889.529062500005</v>
      </c>
      <c r="B33461" s="8" t="str">
        <f>HYPERLINK("https://twitter.com/tarasaridewi","@tarasaridewi")</f>
        <v>@tarasaridewi</v>
      </c>
      <c r="C33461" s="8" t="s">
        <v>12587</v>
      </c>
      <c r="D33461" s="8">
        <v>0</v>
      </c>
      <c r="E33461" s="8">
        <v>1</v>
      </c>
      <c r="F33461" s="8">
        <v>554</v>
      </c>
    </row>
    <row r="33462" spans="1:6" ht="12.75">
      <c r="A33462" s="8">
        <v>43889.529039351852</v>
      </c>
      <c r="B33462" s="8" t="str">
        <f>HYPERLINK("https://twitter.com/beatrice_health","@beatrice_health")</f>
        <v>@beatrice_health</v>
      </c>
      <c r="C33462" s="8" t="s">
        <v>12588</v>
      </c>
      <c r="D33462" s="8">
        <v>1</v>
      </c>
      <c r="E33462" s="8">
        <v>0</v>
      </c>
      <c r="F33462" s="8">
        <v>423</v>
      </c>
    </row>
    <row r="33463" spans="1:6" ht="12.75">
      <c r="A33463" s="8">
        <v>43889.529004629629</v>
      </c>
      <c r="B33463" s="8" t="str">
        <f>HYPERLINK("https://twitter.com/Mukriiim","@Mukriiim")</f>
        <v>@Mukriiim</v>
      </c>
      <c r="C33463" s="8" t="s">
        <v>12589</v>
      </c>
      <c r="D33463" s="8">
        <v>1</v>
      </c>
      <c r="E33463" s="8">
        <v>0</v>
      </c>
      <c r="F33463" s="8">
        <v>8825</v>
      </c>
    </row>
    <row r="33464" spans="1:6" ht="12.75">
      <c r="A33464" s="8">
        <v>43889.528912037036</v>
      </c>
      <c r="B33464" s="8" t="str">
        <f>HYPERLINK("https://twitter.com/psykocheng","@psykocheng")</f>
        <v>@psykocheng</v>
      </c>
      <c r="C33464" s="8" t="s">
        <v>12590</v>
      </c>
      <c r="D33464" s="8">
        <v>0</v>
      </c>
      <c r="E33464" s="8">
        <v>1</v>
      </c>
      <c r="F33464" s="8">
        <v>55</v>
      </c>
    </row>
    <row r="33465" spans="1:6" ht="12.75">
      <c r="A33465" s="8">
        <v>43889.528657407413</v>
      </c>
      <c r="B33465" s="8" t="str">
        <f>HYPERLINK("https://twitter.com/tinkerbell_365","@tinkerbell_365")</f>
        <v>@tinkerbell_365</v>
      </c>
      <c r="C33465" s="8" t="s">
        <v>12591</v>
      </c>
      <c r="D33465" s="8">
        <v>26</v>
      </c>
      <c r="E33465" s="8">
        <v>0</v>
      </c>
      <c r="F33465" s="8">
        <v>697</v>
      </c>
    </row>
    <row r="33466" spans="1:6" ht="12.75">
      <c r="A33466" s="8">
        <v>43889.528611111113</v>
      </c>
      <c r="B33466" s="8" t="str">
        <f>HYPERLINK("https://twitter.com/KemenkesRI","@KemenkesRI")</f>
        <v>@KemenkesRI</v>
      </c>
      <c r="C33466" s="8" t="s">
        <v>12592</v>
      </c>
      <c r="D33466" s="8">
        <v>26</v>
      </c>
      <c r="E33466" s="8">
        <v>58</v>
      </c>
      <c r="F33466" s="8">
        <v>248987</v>
      </c>
    </row>
    <row r="33467" spans="1:6" ht="12.75">
      <c r="A33467" s="8">
        <v>43889.52857638889</v>
      </c>
      <c r="B33467" s="8" t="str">
        <f>HYPERLINK("https://twitter.com/upikq22","@upikq22")</f>
        <v>@upikq22</v>
      </c>
      <c r="C33467" s="8" t="s">
        <v>12593</v>
      </c>
      <c r="D33467" s="8">
        <v>1</v>
      </c>
      <c r="E33467" s="8">
        <v>0</v>
      </c>
      <c r="F33467" s="8">
        <v>1079</v>
      </c>
    </row>
    <row r="33468" spans="1:6" ht="12.75">
      <c r="A33468" s="8">
        <v>43889.527974537035</v>
      </c>
      <c r="B33468" s="8" t="str">
        <f>HYPERLINK("https://twitter.com/rioharpratama","@rioharpratama")</f>
        <v>@rioharpratama</v>
      </c>
      <c r="C33468" s="8" t="s">
        <v>12594</v>
      </c>
      <c r="D33468" s="8">
        <v>0</v>
      </c>
      <c r="E33468" s="8">
        <v>0</v>
      </c>
      <c r="F33468" s="8">
        <v>513</v>
      </c>
    </row>
    <row r="33469" spans="1:6" ht="12.75">
      <c r="A33469" s="8">
        <v>43889.527905092589</v>
      </c>
      <c r="B33469" s="8" t="str">
        <f>HYPERLINK("https://twitter.com/moreshare","@moreshare")</f>
        <v>@moreshare</v>
      </c>
      <c r="C33469" s="8" t="s">
        <v>12595</v>
      </c>
      <c r="D33469" s="8">
        <v>0</v>
      </c>
      <c r="E33469" s="8">
        <v>0</v>
      </c>
      <c r="F33469" s="8">
        <v>3300</v>
      </c>
    </row>
    <row r="33470" spans="1:6" ht="12.75">
      <c r="A33470" s="8">
        <v>43889.527881944443</v>
      </c>
      <c r="B33470" s="8" t="str">
        <f>HYPERLINK("https://twitter.com/DewaEP","@DewaEP")</f>
        <v>@DewaEP</v>
      </c>
      <c r="C33470" s="8" t="s">
        <v>12584</v>
      </c>
      <c r="D33470" s="8">
        <v>2</v>
      </c>
      <c r="E33470" s="8">
        <v>0</v>
      </c>
      <c r="F33470" s="8">
        <v>292</v>
      </c>
    </row>
    <row r="33471" spans="1:6" ht="12.75">
      <c r="A33471" s="8">
        <v>43889.527800925927</v>
      </c>
      <c r="B33471" s="8" t="str">
        <f>HYPERLINK("https://twitter.com/isis_macedo10","@isis_macedo10")</f>
        <v>@isis_macedo10</v>
      </c>
      <c r="C33471" s="8" t="s">
        <v>12596</v>
      </c>
      <c r="D33471" s="8">
        <v>0</v>
      </c>
      <c r="E33471" s="8">
        <v>3</v>
      </c>
      <c r="F33471" s="8">
        <v>5245</v>
      </c>
    </row>
    <row r="33472" spans="1:6" ht="12.75">
      <c r="A33472" s="8">
        <v>43889.527245370366</v>
      </c>
      <c r="B33472" s="8" t="str">
        <f>HYPERLINK("https://twitter.com/RullyOedaya","@RullyOedaya")</f>
        <v>@RullyOedaya</v>
      </c>
      <c r="C33472" s="8" t="s">
        <v>12597</v>
      </c>
      <c r="D33472" s="8">
        <v>0</v>
      </c>
      <c r="E33472" s="8">
        <v>0</v>
      </c>
      <c r="F33472" s="8">
        <v>229</v>
      </c>
    </row>
    <row r="33473" spans="1:6" ht="12.75">
      <c r="A33473" s="8">
        <v>43889.527083333334</v>
      </c>
      <c r="B33473" s="8" t="str">
        <f>HYPERLINK("https://twitter.com/kompascom","@kompascom")</f>
        <v>@kompascom</v>
      </c>
      <c r="C33473" s="8" t="s">
        <v>12598</v>
      </c>
      <c r="D33473" s="8">
        <v>2</v>
      </c>
      <c r="E33473" s="8">
        <v>5</v>
      </c>
      <c r="F33473" s="8">
        <v>7516697</v>
      </c>
    </row>
    <row r="33474" spans="1:6" ht="12.75">
      <c r="A33474" s="8">
        <v>43889.526956018519</v>
      </c>
      <c r="B33474" s="8" t="str">
        <f>HYPERLINK("https://twitter.com/FatimaRapany","@FatimaRapany")</f>
        <v>@FatimaRapany</v>
      </c>
      <c r="C33474" s="8" t="s">
        <v>12599</v>
      </c>
      <c r="D33474" s="8">
        <v>0</v>
      </c>
      <c r="E33474" s="8">
        <v>0</v>
      </c>
      <c r="F33474" s="8">
        <v>166</v>
      </c>
    </row>
    <row r="33475" spans="1:6" ht="12.75">
      <c r="A33475" s="8">
        <v>43889.526284722218</v>
      </c>
      <c r="B33475" s="8" t="str">
        <f>HYPERLINK("https://twitter.com/Justrararaa","@Justrararaa")</f>
        <v>@Justrararaa</v>
      </c>
      <c r="C33475" s="8" t="s">
        <v>1318</v>
      </c>
      <c r="D33475" s="8">
        <v>23253</v>
      </c>
      <c r="E33475" s="8">
        <v>0</v>
      </c>
      <c r="F33475" s="8">
        <v>8</v>
      </c>
    </row>
    <row r="33476" spans="1:6" ht="12.75">
      <c r="A33476" s="8">
        <v>43889.525763888887</v>
      </c>
      <c r="B33476" s="8" t="str">
        <f>HYPERLINK("https://twitter.com/pitfitriP","@pitfitriP")</f>
        <v>@pitfitriP</v>
      </c>
      <c r="C33476" s="8" t="s">
        <v>12600</v>
      </c>
      <c r="D33476" s="8">
        <v>0</v>
      </c>
      <c r="E33476" s="8">
        <v>0</v>
      </c>
      <c r="F33476" s="8">
        <v>525</v>
      </c>
    </row>
    <row r="33477" spans="1:6" ht="12.75">
      <c r="A33477" s="8">
        <v>43889.525405092594</v>
      </c>
      <c r="B33477" s="8" t="str">
        <f>HYPERLINK("https://twitter.com/R4indonesia","@R4indonesia")</f>
        <v>@R4indonesia</v>
      </c>
      <c r="C33477" s="8" t="s">
        <v>12601</v>
      </c>
      <c r="D33477" s="8">
        <v>0</v>
      </c>
      <c r="E33477" s="8">
        <v>0</v>
      </c>
      <c r="F33477" s="8">
        <v>142</v>
      </c>
    </row>
    <row r="33478" spans="1:6" ht="12.75">
      <c r="A33478" s="8">
        <v>43889.50681712963</v>
      </c>
      <c r="B33478" s="8" t="str">
        <f>HYPERLINK("https://twitter.com/DINDARatu4","@DINDARatu4")</f>
        <v>@DINDARatu4</v>
      </c>
      <c r="C33478" s="8" t="s">
        <v>12602</v>
      </c>
      <c r="D33478" s="8">
        <v>2</v>
      </c>
      <c r="E33478" s="8">
        <v>0</v>
      </c>
      <c r="F33478" s="8">
        <v>98</v>
      </c>
    </row>
    <row r="33479" spans="1:6" ht="12.75">
      <c r="A33479" s="8">
        <v>43889.506782407407</v>
      </c>
      <c r="B33479" s="8" t="str">
        <f>HYPERLINK("https://twitter.com/didiksetyawanew","@didiksetyawanew")</f>
        <v>@didiksetyawanew</v>
      </c>
      <c r="C33479" s="8" t="s">
        <v>12093</v>
      </c>
      <c r="D33479" s="8">
        <v>12</v>
      </c>
      <c r="E33479" s="8">
        <v>0</v>
      </c>
      <c r="F33479" s="8">
        <v>55</v>
      </c>
    </row>
    <row r="33480" spans="1:6" ht="12.75">
      <c r="A33480" s="8">
        <v>43889.506724537037</v>
      </c>
      <c r="B33480" s="8" t="str">
        <f>HYPERLINK("https://twitter.com/L0Lomu","@L0Lomu")</f>
        <v>@L0Lomu</v>
      </c>
      <c r="C33480" s="8" t="s">
        <v>11102</v>
      </c>
      <c r="D33480" s="8">
        <v>264</v>
      </c>
      <c r="E33480" s="8">
        <v>0</v>
      </c>
      <c r="F33480" s="8">
        <v>92</v>
      </c>
    </row>
    <row r="33481" spans="1:6" ht="12.75">
      <c r="A33481" s="8">
        <v>43889.506608796291</v>
      </c>
      <c r="B33481" s="8" t="str">
        <f>HYPERLINK("https://twitter.com/AlvanSinaga","@AlvanSinaga")</f>
        <v>@AlvanSinaga</v>
      </c>
      <c r="C33481" s="8" t="s">
        <v>12603</v>
      </c>
      <c r="D33481" s="8">
        <v>12</v>
      </c>
      <c r="E33481" s="8">
        <v>0</v>
      </c>
      <c r="F33481" s="8">
        <v>286</v>
      </c>
    </row>
    <row r="33482" spans="1:6" ht="12.75">
      <c r="A33482" s="8">
        <v>43889.506319444445</v>
      </c>
      <c r="B33482" s="8" t="str">
        <f>HYPERLINK("https://twitter.com/ImanuddinTeguh","@ImanuddinTeguh")</f>
        <v>@ImanuddinTeguh</v>
      </c>
      <c r="C33482" s="8" t="s">
        <v>12604</v>
      </c>
      <c r="D33482" s="8">
        <v>0</v>
      </c>
      <c r="E33482" s="8">
        <v>0</v>
      </c>
      <c r="F33482" s="8">
        <v>28</v>
      </c>
    </row>
    <row r="33483" spans="1:6" ht="12.75">
      <c r="A33483" s="8">
        <v>43889.506064814814</v>
      </c>
      <c r="B33483" s="8" t="str">
        <f>HYPERLINK("https://twitter.com/manggarxz","@manggarxz")</f>
        <v>@manggarxz</v>
      </c>
      <c r="C33483" s="8" t="s">
        <v>11102</v>
      </c>
      <c r="D33483" s="8">
        <v>264</v>
      </c>
      <c r="E33483" s="8">
        <v>0</v>
      </c>
      <c r="F33483" s="8">
        <v>173</v>
      </c>
    </row>
    <row r="33484" spans="1:6" ht="12.75">
      <c r="A33484" s="8">
        <v>43889.505798611106</v>
      </c>
      <c r="B33484" s="8" t="str">
        <f>HYPERLINK("https://twitter.com/Jors_inc","@Jors_inc")</f>
        <v>@Jors_inc</v>
      </c>
      <c r="C33484" s="8" t="s">
        <v>12605</v>
      </c>
      <c r="D33484" s="8">
        <v>0</v>
      </c>
      <c r="E33484" s="8">
        <v>0</v>
      </c>
      <c r="F33484" s="8">
        <v>0</v>
      </c>
    </row>
    <row r="33485" spans="1:6" ht="12.75">
      <c r="A33485" s="8">
        <v>43889.505682870367</v>
      </c>
      <c r="B33485" s="8" t="str">
        <f>HYPERLINK("https://twitter.com/nlsrmkhnmql","@nlsrmkhnmql")</f>
        <v>@nlsrmkhnmql</v>
      </c>
      <c r="C33485" s="8" t="s">
        <v>11102</v>
      </c>
      <c r="D33485" s="8">
        <v>264</v>
      </c>
      <c r="E33485" s="8">
        <v>0</v>
      </c>
      <c r="F33485" s="8">
        <v>383</v>
      </c>
    </row>
    <row r="33486" spans="1:6" ht="12.75">
      <c r="A33486" s="8">
        <v>43889.505648148144</v>
      </c>
      <c r="B33486" s="8" t="str">
        <f>HYPERLINK("https://twitter.com/Yahyanaufal2","@Yahyanaufal2")</f>
        <v>@Yahyanaufal2</v>
      </c>
      <c r="C33486" s="8" t="s">
        <v>12073</v>
      </c>
      <c r="D33486" s="8">
        <v>38</v>
      </c>
      <c r="E33486" s="8">
        <v>0</v>
      </c>
      <c r="F33486" s="8">
        <v>3</v>
      </c>
    </row>
    <row r="33487" spans="1:6" ht="12.75">
      <c r="A33487" s="8">
        <v>43889.505520833336</v>
      </c>
      <c r="B33487" s="8" t="str">
        <f>HYPERLINK("https://twitter.com/isntmoksa","@isntmoksa")</f>
        <v>@isntmoksa</v>
      </c>
      <c r="C33487" s="8" t="s">
        <v>12606</v>
      </c>
      <c r="D33487" s="8">
        <v>0</v>
      </c>
      <c r="E33487" s="8">
        <v>0</v>
      </c>
      <c r="F33487" s="8">
        <v>96</v>
      </c>
    </row>
    <row r="33488" spans="1:6" ht="12.75">
      <c r="A33488" s="8">
        <v>43889.505509259259</v>
      </c>
      <c r="B33488" s="8" t="str">
        <f>HYPERLINK("https://twitter.com/Alif33301180","@Alif33301180")</f>
        <v>@Alif33301180</v>
      </c>
      <c r="C33488" s="8" t="s">
        <v>12607</v>
      </c>
      <c r="D33488" s="8">
        <v>0</v>
      </c>
      <c r="E33488" s="8">
        <v>0</v>
      </c>
      <c r="F33488" s="8">
        <v>0</v>
      </c>
    </row>
    <row r="33489" spans="1:6" ht="12.75">
      <c r="A33489" s="8">
        <v>43889.505312499998</v>
      </c>
      <c r="B33489" s="8" t="str">
        <f>HYPERLINK("https://twitter.com/madarifid","@madarifid")</f>
        <v>@madarifid</v>
      </c>
      <c r="C33489" s="8" t="s">
        <v>12608</v>
      </c>
      <c r="D33489" s="8">
        <v>0</v>
      </c>
      <c r="E33489" s="8">
        <v>0</v>
      </c>
      <c r="F33489" s="8">
        <v>72</v>
      </c>
    </row>
    <row r="33490" spans="1:6" ht="12.75">
      <c r="A33490" s="8">
        <v>43889.505057870367</v>
      </c>
      <c r="B33490" s="8" t="str">
        <f>HYPERLINK("https://twitter.com/kosakosong","@kosakosong")</f>
        <v>@kosakosong</v>
      </c>
      <c r="C33490" s="8" t="s">
        <v>12609</v>
      </c>
      <c r="D33490" s="8">
        <v>0</v>
      </c>
      <c r="E33490" s="8">
        <v>0</v>
      </c>
      <c r="F33490" s="8">
        <v>867</v>
      </c>
    </row>
    <row r="33491" spans="1:6" ht="12.75">
      <c r="A33491" s="8">
        <v>43889.505000000005</v>
      </c>
      <c r="B33491" s="8" t="str">
        <f>HYPERLINK("https://twitter.com/vankribo","@vankribo")</f>
        <v>@vankribo</v>
      </c>
      <c r="C33491" s="8" t="s">
        <v>12052</v>
      </c>
      <c r="D33491" s="8">
        <v>115</v>
      </c>
      <c r="E33491" s="8">
        <v>0</v>
      </c>
      <c r="F33491" s="8">
        <v>1049</v>
      </c>
    </row>
    <row r="33492" spans="1:6" ht="12.75">
      <c r="A33492" s="8">
        <v>43889.504375000004</v>
      </c>
      <c r="B33492" s="8" t="str">
        <f>HYPERLINK("https://twitter.com/Thyty07","@Thyty07")</f>
        <v>@Thyty07</v>
      </c>
      <c r="C33492" s="8" t="s">
        <v>12610</v>
      </c>
      <c r="D33492" s="8">
        <v>3</v>
      </c>
      <c r="E33492" s="8">
        <v>0</v>
      </c>
      <c r="F33492" s="8">
        <v>6</v>
      </c>
    </row>
    <row r="33493" spans="1:6" ht="12.75">
      <c r="A33493" s="8">
        <v>43889.504270833335</v>
      </c>
      <c r="B33493" s="8" t="str">
        <f>HYPERLINK("https://twitter.com/adtaufiq","@adtaufiq")</f>
        <v>@adtaufiq</v>
      </c>
      <c r="C33493" s="8" t="s">
        <v>12611</v>
      </c>
      <c r="D33493" s="8">
        <v>0</v>
      </c>
      <c r="E33493" s="8">
        <v>0</v>
      </c>
      <c r="F33493" s="8">
        <v>8485</v>
      </c>
    </row>
    <row r="33494" spans="1:6" ht="12.75">
      <c r="A33494" s="8">
        <v>43889.504166666666</v>
      </c>
      <c r="B33494" s="8" t="str">
        <f>HYPERLINK("https://twitter.com/_wni_","@_wni_")</f>
        <v>@_wni_</v>
      </c>
      <c r="C33494" s="8" t="s">
        <v>12612</v>
      </c>
      <c r="D33494" s="8">
        <v>8282</v>
      </c>
      <c r="E33494" s="8">
        <v>0</v>
      </c>
      <c r="F33494" s="8">
        <v>9</v>
      </c>
    </row>
    <row r="33495" spans="1:6" ht="12.75">
      <c r="A33495" s="8">
        <v>43889.504050925927</v>
      </c>
      <c r="B33495" s="8" t="str">
        <f>HYPERLINK("https://twitter.com/KueLopis_","@KueLopis_")</f>
        <v>@KueLopis_</v>
      </c>
      <c r="C33495" s="8" t="s">
        <v>12613</v>
      </c>
      <c r="D33495" s="8">
        <v>0</v>
      </c>
      <c r="E33495" s="8">
        <v>0</v>
      </c>
      <c r="F33495" s="8">
        <v>480</v>
      </c>
    </row>
    <row r="33496" spans="1:6" ht="12.75">
      <c r="A33496" s="8">
        <v>43889.503854166665</v>
      </c>
      <c r="B33496" s="8" t="str">
        <f>HYPERLINK("https://twitter.com/amrhzain","@amrhzain")</f>
        <v>@amrhzain</v>
      </c>
      <c r="C33496" s="8" t="s">
        <v>11102</v>
      </c>
      <c r="D33496" s="8">
        <v>264</v>
      </c>
      <c r="E33496" s="8">
        <v>0</v>
      </c>
      <c r="F33496" s="8">
        <v>1547</v>
      </c>
    </row>
    <row r="33497" spans="1:6" ht="12.75">
      <c r="A33497" s="8">
        <v>43889.503240740742</v>
      </c>
      <c r="B33497" s="8" t="str">
        <f>HYPERLINK("https://twitter.com/jerry_gemini","@jerry_gemini")</f>
        <v>@jerry_gemini</v>
      </c>
      <c r="C33497" s="8" t="s">
        <v>12614</v>
      </c>
      <c r="D33497" s="8">
        <v>0</v>
      </c>
      <c r="E33497" s="8">
        <v>0</v>
      </c>
      <c r="F33497" s="8">
        <v>2096</v>
      </c>
    </row>
    <row r="33498" spans="1:6" ht="12.75">
      <c r="A33498" s="8">
        <v>43889.503078703703</v>
      </c>
      <c r="B33498" s="8" t="str">
        <f>HYPERLINK("https://twitter.com/ElshintaDotcom","@ElshintaDotcom")</f>
        <v>@ElshintaDotcom</v>
      </c>
      <c r="C33498" s="8" t="s">
        <v>12615</v>
      </c>
      <c r="D33498" s="8">
        <v>0</v>
      </c>
      <c r="E33498" s="8">
        <v>0</v>
      </c>
      <c r="F33498" s="8">
        <v>27930</v>
      </c>
    </row>
    <row r="33499" spans="1:6" ht="12.75">
      <c r="A33499" s="8">
        <v>43889.502523148149</v>
      </c>
      <c r="B33499" s="8" t="str">
        <f>HYPERLINK("https://twitter.com/muhfachmi13","@muhfachmi13")</f>
        <v>@muhfachmi13</v>
      </c>
      <c r="C33499" s="8" t="s">
        <v>12071</v>
      </c>
      <c r="D33499" s="8">
        <v>44</v>
      </c>
      <c r="E33499" s="8">
        <v>0</v>
      </c>
      <c r="F33499" s="8">
        <v>1031</v>
      </c>
    </row>
    <row r="33500" spans="1:6" ht="12.75">
      <c r="A33500" s="8">
        <v>43889.502175925925</v>
      </c>
      <c r="B33500" s="8" t="str">
        <f>HYPERLINK("https://twitter.com/notyourOrkeddd","@notyourOrkeddd")</f>
        <v>@notyourOrkeddd</v>
      </c>
      <c r="C33500" s="8" t="s">
        <v>11102</v>
      </c>
      <c r="D33500" s="8">
        <v>264</v>
      </c>
      <c r="E33500" s="8">
        <v>0</v>
      </c>
      <c r="F33500" s="8">
        <v>226</v>
      </c>
    </row>
    <row r="33501" spans="1:6" ht="12.75">
      <c r="A33501" s="8">
        <v>43889.501921296294</v>
      </c>
      <c r="B33501" s="8" t="str">
        <f>HYPERLINK("https://twitter.com/noteiqbal","@noteiqbal")</f>
        <v>@noteiqbal</v>
      </c>
      <c r="C33501" s="8" t="s">
        <v>12065</v>
      </c>
      <c r="D33501" s="8">
        <v>35</v>
      </c>
      <c r="E33501" s="8">
        <v>0</v>
      </c>
      <c r="F33501" s="8">
        <v>4531</v>
      </c>
    </row>
    <row r="33502" spans="1:6" ht="12.75">
      <c r="A33502" s="8">
        <v>43889.501793981486</v>
      </c>
      <c r="B33502" s="8" t="str">
        <f>HYPERLINK("https://twitter.com/heniunique","@heniunique")</f>
        <v>@heniunique</v>
      </c>
      <c r="C33502" s="8" t="s">
        <v>12093</v>
      </c>
      <c r="D33502" s="8">
        <v>12</v>
      </c>
      <c r="E33502" s="8">
        <v>0</v>
      </c>
      <c r="F33502" s="8">
        <v>9929</v>
      </c>
    </row>
    <row r="33503" spans="1:6" ht="12.75">
      <c r="A33503" s="8">
        <v>43889.501620370371</v>
      </c>
      <c r="B33503" s="8" t="str">
        <f>HYPERLINK("https://twitter.com/Korban_delusi48","@Korban_delusi48")</f>
        <v>@Korban_delusi48</v>
      </c>
      <c r="C33503" s="8" t="s">
        <v>12616</v>
      </c>
      <c r="D33503" s="8">
        <v>0</v>
      </c>
      <c r="E33503" s="8">
        <v>0</v>
      </c>
      <c r="F33503" s="8">
        <v>202</v>
      </c>
    </row>
    <row r="33504" spans="1:6" ht="12.75">
      <c r="A33504" s="8">
        <v>43889.501331018517</v>
      </c>
      <c r="B33504" s="8" t="str">
        <f>HYPERLINK("https://twitter.com/sagakom","@sagakom")</f>
        <v>@sagakom</v>
      </c>
      <c r="C33504" s="8" t="s">
        <v>12617</v>
      </c>
      <c r="D33504" s="8">
        <v>0</v>
      </c>
      <c r="E33504" s="8">
        <v>0</v>
      </c>
      <c r="F33504" s="8">
        <v>284</v>
      </c>
    </row>
    <row r="33505" spans="1:6" ht="12.75">
      <c r="A33505" s="8">
        <v>43889.500833333332</v>
      </c>
      <c r="B33505" s="8" t="str">
        <f>HYPERLINK("https://twitter.com/erikamelfa","@erikamelfa")</f>
        <v>@erikamelfa</v>
      </c>
      <c r="C33505" s="8" t="s">
        <v>12618</v>
      </c>
      <c r="D33505" s="8">
        <v>0</v>
      </c>
      <c r="E33505" s="8">
        <v>0</v>
      </c>
      <c r="F33505" s="8">
        <v>593</v>
      </c>
    </row>
    <row r="33506" spans="1:6" ht="12.75">
      <c r="A33506" s="8">
        <v>43889.499560185184</v>
      </c>
      <c r="B33506" s="8" t="str">
        <f>HYPERLINK("https://twitter.com/ucumah","@ucumah")</f>
        <v>@ucumah</v>
      </c>
      <c r="C33506" s="8" t="s">
        <v>11102</v>
      </c>
      <c r="D33506" s="8">
        <v>264</v>
      </c>
      <c r="E33506" s="8">
        <v>0</v>
      </c>
      <c r="F33506" s="8">
        <v>95</v>
      </c>
    </row>
    <row r="33507" spans="1:6" ht="12.75">
      <c r="A33507" s="8">
        <v>43889.499131944445</v>
      </c>
      <c r="B33507" s="8" t="str">
        <f>HYPERLINK("https://twitter.com/NiaFransiska_Ms","@NiaFransiska_Ms")</f>
        <v>@NiaFransiska_Ms</v>
      </c>
      <c r="C33507" s="8" t="s">
        <v>12619</v>
      </c>
      <c r="D33507" s="8">
        <v>76</v>
      </c>
      <c r="E33507" s="8">
        <v>0</v>
      </c>
      <c r="F33507" s="8">
        <v>275</v>
      </c>
    </row>
    <row r="33508" spans="1:6" ht="12.75">
      <c r="A33508" s="8">
        <v>43889.498969907407</v>
      </c>
      <c r="B33508" s="8" t="str">
        <f>HYPERLINK("https://twitter.com/AhlulQohwah","@AhlulQohwah")</f>
        <v>@AhlulQohwah</v>
      </c>
      <c r="C33508" s="8" t="s">
        <v>12620</v>
      </c>
      <c r="D33508" s="8">
        <v>1</v>
      </c>
      <c r="E33508" s="8">
        <v>0</v>
      </c>
      <c r="F33508" s="8">
        <v>10350</v>
      </c>
    </row>
    <row r="33509" spans="1:6" ht="12.75">
      <c r="A33509" s="8">
        <v>43889.498206018514</v>
      </c>
      <c r="B33509" s="8" t="str">
        <f>HYPERLINK("https://twitter.com/heysalsaa","@heysalsaa")</f>
        <v>@heysalsaa</v>
      </c>
      <c r="C33509" s="8" t="s">
        <v>12621</v>
      </c>
      <c r="D33509" s="8">
        <v>0</v>
      </c>
      <c r="E33509" s="8">
        <v>0</v>
      </c>
      <c r="F33509" s="8">
        <v>545</v>
      </c>
    </row>
    <row r="33510" spans="1:6" ht="12.75">
      <c r="A33510" s="8">
        <v>43889.497766203705</v>
      </c>
      <c r="B33510" s="8" t="str">
        <f>HYPERLINK("https://twitter.com/drew_bbs","@drew_bbs")</f>
        <v>@drew_bbs</v>
      </c>
      <c r="C33510" s="8" t="s">
        <v>12622</v>
      </c>
      <c r="D33510" s="8">
        <v>0</v>
      </c>
      <c r="E33510" s="8">
        <v>3</v>
      </c>
      <c r="F33510" s="8">
        <v>2018</v>
      </c>
    </row>
    <row r="33511" spans="1:6" ht="12.75">
      <c r="A33511" s="8">
        <v>43889.497766203705</v>
      </c>
      <c r="B33511" s="8" t="str">
        <f>HYPERLINK("https://twitter.com/AinNaomi","@AinNaomi")</f>
        <v>@AinNaomi</v>
      </c>
      <c r="C33511" s="8" t="s">
        <v>11102</v>
      </c>
      <c r="D33511" s="8">
        <v>264</v>
      </c>
      <c r="E33511" s="8">
        <v>0</v>
      </c>
      <c r="F33511" s="8">
        <v>548</v>
      </c>
    </row>
    <row r="33512" spans="1:6" ht="12.75">
      <c r="A33512" s="8">
        <v>43889.496863425928</v>
      </c>
      <c r="B33512" s="8" t="str">
        <f>HYPERLINK("https://twitter.com/neerajapinki","@neerajapinki")</f>
        <v>@neerajapinki</v>
      </c>
      <c r="C33512" s="8" t="s">
        <v>12623</v>
      </c>
      <c r="D33512" s="8">
        <v>0</v>
      </c>
      <c r="E33512" s="8">
        <v>0</v>
      </c>
      <c r="F33512" s="8">
        <v>584</v>
      </c>
    </row>
    <row r="33513" spans="1:6" ht="12.75">
      <c r="A33513" s="8">
        <v>43889.495694444442</v>
      </c>
      <c r="B33513" s="8" t="str">
        <f>HYPERLINK("https://twitter.com/dramdan8","@dramdan8")</f>
        <v>@dramdan8</v>
      </c>
      <c r="C33513" s="8" t="s">
        <v>12624</v>
      </c>
      <c r="D33513" s="8">
        <v>0</v>
      </c>
      <c r="E33513" s="8">
        <v>0</v>
      </c>
      <c r="F33513" s="8">
        <v>294</v>
      </c>
    </row>
    <row r="33514" spans="1:6" ht="12.75">
      <c r="A33514" s="8">
        <v>43889.495601851857</v>
      </c>
      <c r="B33514" s="8" t="str">
        <f>HYPERLINK("https://twitter.com/Fm98Sonora","@Fm98Sonora")</f>
        <v>@Fm98Sonora</v>
      </c>
      <c r="C33514" s="8" t="s">
        <v>12625</v>
      </c>
      <c r="D33514" s="8">
        <v>1</v>
      </c>
      <c r="E33514" s="8">
        <v>0</v>
      </c>
      <c r="F33514" s="8">
        <v>22</v>
      </c>
    </row>
    <row r="33515" spans="1:6" ht="12.75">
      <c r="A33515" s="8">
        <v>43889.495104166665</v>
      </c>
      <c r="B33515" s="8" t="str">
        <f>HYPERLINK("https://twitter.com/Borif25","@Borif25")</f>
        <v>@Borif25</v>
      </c>
      <c r="C33515" s="8" t="s">
        <v>12626</v>
      </c>
      <c r="D33515" s="8">
        <v>0</v>
      </c>
      <c r="E33515" s="8">
        <v>0</v>
      </c>
      <c r="F33515" s="8">
        <v>694</v>
      </c>
    </row>
    <row r="33516" spans="1:6" ht="12.75">
      <c r="A33516" s="8">
        <v>43889.494317129633</v>
      </c>
      <c r="B33516" s="8" t="str">
        <f>HYPERLINK("https://twitter.com/GeOfRen","@GeOfRen")</f>
        <v>@GeOfRen</v>
      </c>
      <c r="C33516" s="8" t="s">
        <v>12627</v>
      </c>
      <c r="D33516" s="8">
        <v>0</v>
      </c>
      <c r="E33516" s="8">
        <v>0</v>
      </c>
      <c r="F33516" s="8">
        <v>247</v>
      </c>
    </row>
    <row r="33517" spans="1:6" ht="12.75">
      <c r="A33517" s="8">
        <v>43889.494259259256</v>
      </c>
      <c r="B33517" s="8" t="str">
        <f>HYPERLINK("https://twitter.com/Eben_Haizer","@Eben_Haizer")</f>
        <v>@Eben_Haizer</v>
      </c>
      <c r="C33517" s="8" t="s">
        <v>12628</v>
      </c>
      <c r="D33517" s="8">
        <v>0</v>
      </c>
      <c r="E33517" s="8">
        <v>0</v>
      </c>
      <c r="F33517" s="8">
        <v>288</v>
      </c>
    </row>
    <row r="33518" spans="1:6" ht="12.75">
      <c r="A33518" s="8">
        <v>43889.49417824074</v>
      </c>
      <c r="B33518" s="8" t="str">
        <f>HYPERLINK("https://twitter.com/DeliNasir6","@DeliNasir6")</f>
        <v>@DeliNasir6</v>
      </c>
      <c r="C33518" s="8" t="s">
        <v>11102</v>
      </c>
      <c r="D33518" s="8">
        <v>264</v>
      </c>
      <c r="E33518" s="8">
        <v>0</v>
      </c>
      <c r="F33518" s="8">
        <v>351</v>
      </c>
    </row>
    <row r="33519" spans="1:6" ht="12.75">
      <c r="A33519" s="8">
        <v>43889.494108796294</v>
      </c>
      <c r="B33519" s="8" t="str">
        <f>HYPERLINK("https://twitter.com/PolresKepahiang","@PolresKepahiang")</f>
        <v>@PolresKepahiang</v>
      </c>
      <c r="C33519" s="8" t="s">
        <v>12629</v>
      </c>
      <c r="D33519" s="8">
        <v>0</v>
      </c>
      <c r="E33519" s="8">
        <v>0</v>
      </c>
      <c r="F33519" s="8">
        <v>103</v>
      </c>
    </row>
    <row r="33520" spans="1:6" ht="12.75">
      <c r="A33520" s="8">
        <v>43889.494085648148</v>
      </c>
      <c r="B33520" s="8" t="str">
        <f>HYPERLINK("https://twitter.com/rari_rarin","@rari_rarin")</f>
        <v>@rari_rarin</v>
      </c>
      <c r="C33520" s="8" t="s">
        <v>12057</v>
      </c>
      <c r="D33520" s="8">
        <v>12</v>
      </c>
      <c r="E33520" s="8">
        <v>0</v>
      </c>
      <c r="F33520" s="8">
        <v>320</v>
      </c>
    </row>
    <row r="33521" spans="1:6" ht="12.75">
      <c r="A33521" s="8">
        <v>43889.493854166663</v>
      </c>
      <c r="B33521" s="8" t="str">
        <f>HYPERLINK("https://twitter.com/Ejul_Farizan","@Ejul_Farizan")</f>
        <v>@Ejul_Farizan</v>
      </c>
      <c r="C33521" s="8" t="s">
        <v>11102</v>
      </c>
      <c r="D33521" s="8">
        <v>264</v>
      </c>
      <c r="E33521" s="8">
        <v>0</v>
      </c>
      <c r="F33521" s="8">
        <v>328</v>
      </c>
    </row>
    <row r="33522" spans="1:6" ht="12.75">
      <c r="A33522" s="8">
        <v>43889.492210648154</v>
      </c>
      <c r="B33522" s="8" t="str">
        <f>HYPERLINK("https://twitter.com/isis_vic0","@isis_vic0")</f>
        <v>@isis_vic0</v>
      </c>
      <c r="C33522" s="8" t="s">
        <v>12630</v>
      </c>
      <c r="D33522" s="8">
        <v>0</v>
      </c>
      <c r="E33522" s="8">
        <v>0</v>
      </c>
      <c r="F33522" s="8">
        <v>251</v>
      </c>
    </row>
    <row r="33523" spans="1:6" ht="12.75">
      <c r="A33523" s="8">
        <v>43889.491898148146</v>
      </c>
      <c r="B33523" s="8" t="str">
        <f>HYPERLINK("https://twitter.com/danielgustaf23","@danielgustaf23")</f>
        <v>@danielgustaf23</v>
      </c>
      <c r="C33523" s="8" t="s">
        <v>12631</v>
      </c>
      <c r="D33523" s="8">
        <v>1</v>
      </c>
      <c r="E33523" s="8">
        <v>0</v>
      </c>
      <c r="F33523" s="8">
        <v>6414</v>
      </c>
    </row>
    <row r="33524" spans="1:6" ht="12.75">
      <c r="A33524" s="8">
        <v>43889.491898148146</v>
      </c>
      <c r="B33524" s="8" t="str">
        <f>HYPERLINK("https://twitter.com/nuriiiin","@nuriiiin")</f>
        <v>@nuriiiin</v>
      </c>
      <c r="C33524" s="8" t="s">
        <v>12632</v>
      </c>
      <c r="D33524" s="8">
        <v>1</v>
      </c>
      <c r="E33524" s="8">
        <v>0</v>
      </c>
      <c r="F33524" s="8">
        <v>985</v>
      </c>
    </row>
    <row r="33525" spans="1:6" ht="12.75">
      <c r="A33525" s="8">
        <v>43889.491747685184</v>
      </c>
      <c r="B33525" s="8" t="str">
        <f>HYPERLINK("https://twitter.com/Jhon_p4nt4u","@Jhon_p4nt4u")</f>
        <v>@Jhon_p4nt4u</v>
      </c>
      <c r="C33525" s="8" t="s">
        <v>12633</v>
      </c>
      <c r="D33525" s="8">
        <v>3</v>
      </c>
      <c r="E33525" s="8">
        <v>0</v>
      </c>
      <c r="F33525" s="8">
        <v>294</v>
      </c>
    </row>
    <row r="33526" spans="1:6" ht="12.75">
      <c r="A33526" s="8">
        <v>43889.491643518515</v>
      </c>
      <c r="B33526" s="8" t="str">
        <f>HYPERLINK("https://twitter.com/daalkookgstn07","@daalkookgstn07")</f>
        <v>@daalkookgstn07</v>
      </c>
      <c r="C33526" s="8" t="s">
        <v>12634</v>
      </c>
      <c r="D33526" s="8">
        <v>0</v>
      </c>
      <c r="E33526" s="8">
        <v>0</v>
      </c>
      <c r="F33526" s="8">
        <v>555</v>
      </c>
    </row>
    <row r="33527" spans="1:6" ht="12.75">
      <c r="A33527" s="8">
        <v>43889.491493055553</v>
      </c>
      <c r="B33527" s="8" t="str">
        <f>HYPERLINK("https://twitter.com/FxSlamett","@FxSlamett")</f>
        <v>@FxSlamett</v>
      </c>
      <c r="C33527" s="8" t="s">
        <v>12135</v>
      </c>
      <c r="D33527" s="8">
        <v>12</v>
      </c>
      <c r="E33527" s="8">
        <v>0</v>
      </c>
      <c r="F33527" s="8">
        <v>8</v>
      </c>
    </row>
    <row r="33528" spans="1:6" ht="12.75">
      <c r="A33528" s="8">
        <v>43889.491435185184</v>
      </c>
      <c r="B33528" s="8" t="str">
        <f>HYPERLINK("https://twitter.com/hilangtimboel","@hilangtimboel")</f>
        <v>@hilangtimboel</v>
      </c>
      <c r="C33528" s="8" t="s">
        <v>12633</v>
      </c>
      <c r="D33528" s="8">
        <v>3</v>
      </c>
      <c r="E33528" s="8">
        <v>0</v>
      </c>
      <c r="F33528" s="8">
        <v>14</v>
      </c>
    </row>
    <row r="33529" spans="1:6" ht="12.75">
      <c r="A33529" s="8">
        <v>43889.491377314815</v>
      </c>
      <c r="B33529" s="8" t="str">
        <f>HYPERLINK("https://twitter.com/wow_keren","@wow_keren")</f>
        <v>@wow_keren</v>
      </c>
      <c r="C33529" s="8" t="s">
        <v>12635</v>
      </c>
      <c r="D33529" s="8">
        <v>0</v>
      </c>
      <c r="E33529" s="8">
        <v>0</v>
      </c>
      <c r="F33529" s="8">
        <v>32032</v>
      </c>
    </row>
    <row r="33530" spans="1:6" ht="12.75">
      <c r="A33530" s="8">
        <v>43889.491122685184</v>
      </c>
      <c r="B33530" s="8" t="str">
        <f>HYPERLINK("https://twitter.com/merahputih_id_","@merahputih_id_")</f>
        <v>@merahputih_id_</v>
      </c>
      <c r="C33530" s="8" t="s">
        <v>3049</v>
      </c>
      <c r="D33530" s="8">
        <v>0</v>
      </c>
      <c r="E33530" s="8">
        <v>0</v>
      </c>
      <c r="F33530" s="8">
        <v>75</v>
      </c>
    </row>
    <row r="33531" spans="1:6" ht="12.75">
      <c r="A33531" s="8">
        <v>43889.490648148145</v>
      </c>
      <c r="B33531" s="8" t="str">
        <f>HYPERLINK("https://twitter.com/kompascom","@kompascom")</f>
        <v>@kompascom</v>
      </c>
      <c r="C33531" s="8" t="s">
        <v>12636</v>
      </c>
      <c r="D33531" s="8">
        <v>1</v>
      </c>
      <c r="E33531" s="8">
        <v>1</v>
      </c>
      <c r="F33531" s="8">
        <v>7516632</v>
      </c>
    </row>
    <row r="33532" spans="1:6" ht="12.75">
      <c r="A33532" s="8">
        <v>43889.490104166667</v>
      </c>
      <c r="B33532" s="8" t="str">
        <f>HYPERLINK("https://twitter.com/KangJokerr","@KangJokerr")</f>
        <v>@KangJokerr</v>
      </c>
      <c r="C33532" s="8" t="s">
        <v>12637</v>
      </c>
      <c r="D33532" s="8">
        <v>0</v>
      </c>
      <c r="E33532" s="8">
        <v>0</v>
      </c>
      <c r="F33532" s="8">
        <v>48</v>
      </c>
    </row>
    <row r="33533" spans="1:6" ht="12.75">
      <c r="A33533" s="8">
        <v>43889.489918981482</v>
      </c>
      <c r="B33533" s="8" t="str">
        <f>HYPERLINK("https://twitter.com/eko_Widiyanto12","@eko_Widiyanto12")</f>
        <v>@eko_Widiyanto12</v>
      </c>
      <c r="C33533" s="8" t="s">
        <v>12057</v>
      </c>
      <c r="D33533" s="8">
        <v>12</v>
      </c>
      <c r="E33533" s="8">
        <v>0</v>
      </c>
      <c r="F33533" s="8">
        <v>278</v>
      </c>
    </row>
    <row r="33534" spans="1:6" ht="12.75">
      <c r="A33534" s="8">
        <v>43889.489421296297</v>
      </c>
      <c r="B33534" s="8" t="str">
        <f>HYPERLINK("https://twitter.com/anisamsyar_","@anisamsyar_")</f>
        <v>@anisamsyar_</v>
      </c>
      <c r="C33534" s="8" t="s">
        <v>11102</v>
      </c>
      <c r="D33534" s="8">
        <v>264</v>
      </c>
      <c r="E33534" s="8">
        <v>0</v>
      </c>
      <c r="F33534" s="8">
        <v>285</v>
      </c>
    </row>
    <row r="33535" spans="1:6" ht="12.75">
      <c r="A33535" s="8">
        <v>43889.489085648151</v>
      </c>
      <c r="B33535" s="8" t="str">
        <f>HYPERLINK("https://twitter.com/inisifani","@inisifani")</f>
        <v>@inisifani</v>
      </c>
      <c r="C33535" s="8" t="s">
        <v>12057</v>
      </c>
      <c r="D33535" s="8">
        <v>12</v>
      </c>
      <c r="E33535" s="8">
        <v>0</v>
      </c>
      <c r="F33535" s="8">
        <v>5954</v>
      </c>
    </row>
    <row r="33536" spans="1:6" ht="12.75">
      <c r="A33536" s="8">
        <v>43889.489062499997</v>
      </c>
      <c r="B33536" s="8" t="str">
        <f>HYPERLINK("https://twitter.com/umilanisti13","@umilanisti13")</f>
        <v>@umilanisti13</v>
      </c>
      <c r="C33536" s="8" t="s">
        <v>12638</v>
      </c>
      <c r="D33536" s="8">
        <v>0</v>
      </c>
      <c r="E33536" s="8">
        <v>0</v>
      </c>
      <c r="F33536" s="8">
        <v>62</v>
      </c>
    </row>
    <row r="33537" spans="1:6" ht="12.75">
      <c r="A33537" s="8">
        <v>43889.488761574074</v>
      </c>
      <c r="B33537" s="8" t="str">
        <f>HYPERLINK("https://twitter.com/f_jart","@f_jart")</f>
        <v>@f_jart</v>
      </c>
      <c r="C33537" s="8" t="s">
        <v>12639</v>
      </c>
      <c r="D33537" s="8">
        <v>0</v>
      </c>
      <c r="E33537" s="8">
        <v>0</v>
      </c>
      <c r="F33537" s="8">
        <v>434</v>
      </c>
    </row>
    <row r="33538" spans="1:6" ht="12.75">
      <c r="A33538" s="8">
        <v>43889.487696759257</v>
      </c>
      <c r="B33538" s="8" t="str">
        <f>HYPERLINK("https://twitter.com/Polsek_Mendoyo","@Polsek_Mendoyo")</f>
        <v>@Polsek_Mendoyo</v>
      </c>
      <c r="C33538" s="8" t="s">
        <v>12640</v>
      </c>
      <c r="D33538" s="8">
        <v>0</v>
      </c>
      <c r="E33538" s="8">
        <v>0</v>
      </c>
      <c r="F33538" s="8">
        <v>33</v>
      </c>
    </row>
    <row r="33539" spans="1:6" ht="12.75">
      <c r="A33539" s="8">
        <v>43889.487199074079</v>
      </c>
      <c r="B33539" s="8" t="str">
        <f>HYPERLINK("https://twitter.com/pandupraja","@pandupraja")</f>
        <v>@pandupraja</v>
      </c>
      <c r="C33539" s="8" t="s">
        <v>12641</v>
      </c>
      <c r="D33539" s="8">
        <v>0</v>
      </c>
      <c r="E33539" s="8">
        <v>0</v>
      </c>
      <c r="F33539" s="8">
        <v>545</v>
      </c>
    </row>
    <row r="33540" spans="1:6" ht="12.75">
      <c r="A33540" s="8">
        <v>43889.487187499995</v>
      </c>
      <c r="B33540" s="8" t="str">
        <f>HYPERLINK("https://twitter.com/AskaraOfficial","@AskaraOfficial")</f>
        <v>@AskaraOfficial</v>
      </c>
      <c r="C33540" s="8" t="s">
        <v>12642</v>
      </c>
      <c r="D33540" s="8">
        <v>0</v>
      </c>
      <c r="E33540" s="8">
        <v>0</v>
      </c>
      <c r="F33540" s="8">
        <v>6</v>
      </c>
    </row>
    <row r="33541" spans="1:6" ht="12.75">
      <c r="A33541" s="8">
        <v>43889.486793981487</v>
      </c>
      <c r="B33541" s="8" t="str">
        <f>HYPERLINK("https://twitter.com/dirgahayoe","@dirgahayoe")</f>
        <v>@dirgahayoe</v>
      </c>
      <c r="C33541" s="8" t="s">
        <v>12582</v>
      </c>
      <c r="D33541" s="8">
        <v>62</v>
      </c>
      <c r="E33541" s="8">
        <v>0</v>
      </c>
      <c r="F33541" s="8">
        <v>676</v>
      </c>
    </row>
    <row r="33542" spans="1:6" ht="12.75">
      <c r="A33542" s="8">
        <v>43889.486770833333</v>
      </c>
      <c r="B33542" s="8" t="str">
        <f>HYPERLINK("https://twitter.com/SiskaAndiati","@SiskaAndiati")</f>
        <v>@SiskaAndiati</v>
      </c>
      <c r="C33542" s="8" t="s">
        <v>12643</v>
      </c>
      <c r="D33542" s="8">
        <v>1</v>
      </c>
      <c r="E33542" s="8">
        <v>0</v>
      </c>
      <c r="F33542" s="8">
        <v>11</v>
      </c>
    </row>
    <row r="33543" spans="1:6" ht="12.75">
      <c r="A33543" s="8">
        <v>43889.486747685187</v>
      </c>
      <c r="B33543" s="8" t="str">
        <f>HYPERLINK("https://twitter.com/sumutco","@sumutco")</f>
        <v>@sumutco</v>
      </c>
      <c r="C33543" s="8" t="s">
        <v>12644</v>
      </c>
      <c r="D33543" s="8">
        <v>0</v>
      </c>
      <c r="E33543" s="8">
        <v>1</v>
      </c>
      <c r="F33543" s="8">
        <v>93</v>
      </c>
    </row>
    <row r="33544" spans="1:6" ht="12.75">
      <c r="A33544" s="8">
        <v>43889.486539351856</v>
      </c>
      <c r="B33544" s="8" t="str">
        <f>HYPERLINK("https://twitter.com/azhar_can","@azhar_can")</f>
        <v>@azhar_can</v>
      </c>
      <c r="C33544" s="8" t="s">
        <v>12645</v>
      </c>
      <c r="D33544" s="8">
        <v>0</v>
      </c>
      <c r="E33544" s="8">
        <v>0</v>
      </c>
      <c r="F33544" s="8">
        <v>56</v>
      </c>
    </row>
    <row r="33545" spans="1:6" ht="12.75">
      <c r="A33545" s="8">
        <v>43889.485914351855</v>
      </c>
      <c r="B33545" s="8" t="str">
        <f>HYPERLINK("https://twitter.com/Polsek_Mendoyo","@Polsek_Mendoyo")</f>
        <v>@Polsek_Mendoyo</v>
      </c>
      <c r="C33545" s="8" t="s">
        <v>12640</v>
      </c>
      <c r="D33545" s="8">
        <v>0</v>
      </c>
      <c r="E33545" s="8">
        <v>0</v>
      </c>
      <c r="F33545" s="8">
        <v>33</v>
      </c>
    </row>
    <row r="33546" spans="1:6" ht="12.75">
      <c r="A33546" s="8">
        <v>43889.485625000001</v>
      </c>
      <c r="B33546" s="8" t="str">
        <f>HYPERLINK("https://twitter.com/ppijepang","@ppijepang")</f>
        <v>@ppijepang</v>
      </c>
      <c r="C33546" s="8" t="s">
        <v>12582</v>
      </c>
      <c r="D33546" s="8">
        <v>62</v>
      </c>
      <c r="E33546" s="8">
        <v>0</v>
      </c>
      <c r="F33546" s="8">
        <v>7780</v>
      </c>
    </row>
    <row r="33547" spans="1:6" ht="12.75">
      <c r="A33547" s="8">
        <v>43889.485601851848</v>
      </c>
      <c r="B33547" s="8" t="str">
        <f>HYPERLINK("https://twitter.com/abanglurus","@abanglurus")</f>
        <v>@abanglurus</v>
      </c>
      <c r="C33547" s="8" t="s">
        <v>12065</v>
      </c>
      <c r="D33547" s="8">
        <v>35</v>
      </c>
      <c r="E33547" s="8">
        <v>0</v>
      </c>
      <c r="F33547" s="8">
        <v>156</v>
      </c>
    </row>
    <row r="33548" spans="1:6" ht="12.75">
      <c r="A33548" s="8">
        <v>43889.485416666663</v>
      </c>
      <c r="B33548" s="8" t="str">
        <f>HYPERLINK("https://twitter.com/kompascom","@kompascom")</f>
        <v>@kompascom</v>
      </c>
      <c r="C33548" s="8" t="s">
        <v>12646</v>
      </c>
      <c r="D33548" s="8">
        <v>3</v>
      </c>
      <c r="E33548" s="8">
        <v>4</v>
      </c>
      <c r="F33548" s="8">
        <v>7516632</v>
      </c>
    </row>
    <row r="33549" spans="1:6" ht="12.75">
      <c r="A33549" s="8">
        <v>43889.485173611116</v>
      </c>
      <c r="B33549" s="8" t="str">
        <f>HYPERLINK("https://twitter.com/fleureeest","@fleureeest")</f>
        <v>@fleureeest</v>
      </c>
      <c r="C33549" s="8" t="s">
        <v>12647</v>
      </c>
      <c r="D33549" s="8">
        <v>0</v>
      </c>
      <c r="E33549" s="8">
        <v>0</v>
      </c>
      <c r="F33549" s="8">
        <v>3144</v>
      </c>
    </row>
    <row r="33550" spans="1:6" ht="12.75">
      <c r="A33550" s="8">
        <v>43889.484953703708</v>
      </c>
      <c r="B33550" s="8" t="str">
        <f>HYPERLINK("https://twitter.com/klovbalor","@klovbalor")</f>
        <v>@klovbalor</v>
      </c>
      <c r="C33550" s="8" t="s">
        <v>12648</v>
      </c>
      <c r="D33550" s="8">
        <v>0</v>
      </c>
      <c r="E33550" s="8">
        <v>0</v>
      </c>
      <c r="F33550" s="8">
        <v>4149</v>
      </c>
    </row>
    <row r="33551" spans="1:6" ht="12.75">
      <c r="A33551" s="8">
        <v>43889.484780092593</v>
      </c>
      <c r="B33551" s="8" t="str">
        <f>HYPERLINK("https://twitter.com/riyandistaa","@riyandistaa")</f>
        <v>@riyandistaa</v>
      </c>
      <c r="C33551" s="8" t="s">
        <v>12649</v>
      </c>
      <c r="D33551" s="8">
        <v>0</v>
      </c>
      <c r="E33551" s="8">
        <v>0</v>
      </c>
      <c r="F33551" s="8">
        <v>107</v>
      </c>
    </row>
    <row r="33552" spans="1:6" ht="12.75">
      <c r="A33552" s="8">
        <v>43889.483518518522</v>
      </c>
      <c r="B33552" s="8" t="str">
        <f>HYPERLINK("https://twitter.com/Perawat_Corner","@Perawat_Corner")</f>
        <v>@Perawat_Corner</v>
      </c>
      <c r="C33552" s="8" t="s">
        <v>12650</v>
      </c>
      <c r="D33552" s="8">
        <v>0</v>
      </c>
      <c r="E33552" s="8">
        <v>0</v>
      </c>
      <c r="F33552" s="8">
        <v>27</v>
      </c>
    </row>
    <row r="33553" spans="1:6" ht="12.75">
      <c r="A33553" s="8">
        <v>43889.483425925922</v>
      </c>
      <c r="B33553" s="8" t="str">
        <f>HYPERLINK("https://twitter.com/masdanang","@masdanang")</f>
        <v>@masdanang</v>
      </c>
      <c r="C33553" s="8" t="s">
        <v>12651</v>
      </c>
      <c r="D33553" s="8">
        <v>5</v>
      </c>
      <c r="E33553" s="8">
        <v>0</v>
      </c>
      <c r="F33553" s="8">
        <v>425</v>
      </c>
    </row>
    <row r="33554" spans="1:6" ht="12.75">
      <c r="A33554" s="8">
        <v>43889.483229166668</v>
      </c>
      <c r="B33554" s="8" t="str">
        <f>HYPERLINK("https://twitter.com/Sitimaemunah529","@Sitimaemunah529")</f>
        <v>@Sitimaemunah529</v>
      </c>
      <c r="C33554" s="8" t="s">
        <v>12591</v>
      </c>
      <c r="D33554" s="8">
        <v>21</v>
      </c>
      <c r="E33554" s="8">
        <v>0</v>
      </c>
      <c r="F33554" s="8">
        <v>153</v>
      </c>
    </row>
    <row r="33555" spans="1:6" ht="12.75">
      <c r="A33555" s="8">
        <v>43889.483148148152</v>
      </c>
      <c r="B33555" s="8" t="str">
        <f>HYPERLINK("https://twitter.com/rayhanfauzan75","@rayhanfauzan75")</f>
        <v>@rayhanfauzan75</v>
      </c>
      <c r="C33555" s="8" t="s">
        <v>12071</v>
      </c>
      <c r="D33555" s="8">
        <v>44</v>
      </c>
      <c r="E33555" s="8">
        <v>0</v>
      </c>
      <c r="F33555" s="8">
        <v>337</v>
      </c>
    </row>
    <row r="33556" spans="1:6" ht="12.75">
      <c r="A33556" s="8">
        <v>43889.482766203699</v>
      </c>
      <c r="B33556" s="8" t="str">
        <f>HYPERLINK("https://twitter.com/VInnerChildTae","@VInnerChildTae")</f>
        <v>@VInnerChildTae</v>
      </c>
      <c r="C33556" s="8" t="s">
        <v>12591</v>
      </c>
      <c r="D33556" s="8">
        <v>21</v>
      </c>
      <c r="E33556" s="8">
        <v>0</v>
      </c>
      <c r="F33556" s="8">
        <v>119</v>
      </c>
    </row>
    <row r="33557" spans="1:6" ht="12.75">
      <c r="A33557" s="8">
        <v>43889.48232638889</v>
      </c>
      <c r="B33557" s="8" t="str">
        <f>HYPERLINK("https://twitter.com/majalahayah","@majalahayah")</f>
        <v>@majalahayah</v>
      </c>
      <c r="C33557" s="8" t="s">
        <v>12652</v>
      </c>
      <c r="D33557" s="8">
        <v>0</v>
      </c>
      <c r="E33557" s="8">
        <v>0</v>
      </c>
      <c r="F33557" s="8">
        <v>303</v>
      </c>
    </row>
    <row r="33558" spans="1:6" ht="12.75">
      <c r="A33558" s="8">
        <v>43889.482141203705</v>
      </c>
      <c r="B33558" s="8" t="str">
        <f>HYPERLINK("https://twitter.com/beautydyah","@beautydyah")</f>
        <v>@beautydyah</v>
      </c>
      <c r="C33558" s="8" t="s">
        <v>12057</v>
      </c>
      <c r="D33558" s="8">
        <v>12</v>
      </c>
      <c r="E33558" s="8">
        <v>0</v>
      </c>
      <c r="F33558" s="8">
        <v>3390</v>
      </c>
    </row>
    <row r="33559" spans="1:6" ht="12.75">
      <c r="A33559" s="8">
        <v>43889.482037037036</v>
      </c>
      <c r="B33559" s="8" t="str">
        <f>HYPERLINK("https://twitter.com/_MCepeqM_","@_MCepeqM_")</f>
        <v>@_MCepeqM_</v>
      </c>
      <c r="C33559" s="8" t="s">
        <v>11102</v>
      </c>
      <c r="D33559" s="8">
        <v>264</v>
      </c>
      <c r="E33559" s="8">
        <v>0</v>
      </c>
      <c r="F33559" s="8">
        <v>223</v>
      </c>
    </row>
    <row r="33560" spans="1:6" ht="12.75">
      <c r="A33560" s="8">
        <v>43889.481689814813</v>
      </c>
      <c r="B33560" s="8" t="str">
        <f>HYPERLINK("https://twitter.com/abglawas","@abglawas")</f>
        <v>@abglawas</v>
      </c>
      <c r="C33560" s="8" t="s">
        <v>12619</v>
      </c>
      <c r="D33560" s="8">
        <v>76</v>
      </c>
      <c r="E33560" s="8">
        <v>0</v>
      </c>
      <c r="F33560" s="8">
        <v>106</v>
      </c>
    </row>
    <row r="33561" spans="1:6" ht="12.75">
      <c r="A33561" s="8">
        <v>43889.481469907405</v>
      </c>
      <c r="B33561" s="8" t="str">
        <f>HYPERLINK("https://twitter.com/bagusmuliana191","@bagusmuliana191")</f>
        <v>@bagusmuliana191</v>
      </c>
      <c r="C33561" s="8" t="s">
        <v>12653</v>
      </c>
      <c r="D33561" s="8">
        <v>0</v>
      </c>
      <c r="E33561" s="8">
        <v>0</v>
      </c>
      <c r="F33561" s="8">
        <v>98</v>
      </c>
    </row>
    <row r="33562" spans="1:6" ht="12.75">
      <c r="A33562" s="8">
        <v>43889.481365740736</v>
      </c>
      <c r="B33562" s="8" t="str">
        <f>HYPERLINK("https://twitter.com/ellsnt","@ellsnt")</f>
        <v>@ellsnt</v>
      </c>
      <c r="C33562" s="8" t="s">
        <v>593</v>
      </c>
      <c r="D33562" s="8">
        <v>425</v>
      </c>
      <c r="E33562" s="8">
        <v>0</v>
      </c>
      <c r="F33562" s="8">
        <v>810</v>
      </c>
    </row>
    <row r="33563" spans="1:6" ht="12.75">
      <c r="A33563" s="8">
        <v>43889.480960648143</v>
      </c>
      <c r="B33563" s="8" t="str">
        <f>HYPERLINK("https://twitter.com/pantau_com","@pantau_com")</f>
        <v>@pantau_com</v>
      </c>
      <c r="C33563" s="8" t="s">
        <v>12654</v>
      </c>
      <c r="D33563" s="8">
        <v>0</v>
      </c>
      <c r="E33563" s="8">
        <v>0</v>
      </c>
      <c r="F33563" s="8">
        <v>2109</v>
      </c>
    </row>
    <row r="33564" spans="1:6" ht="12.75">
      <c r="A33564" s="8">
        <v>43889.48065972222</v>
      </c>
      <c r="B33564" s="8" t="str">
        <f>HYPERLINK("https://twitter.com/AdelinaAurelia","@AdelinaAurelia")</f>
        <v>@AdelinaAurelia</v>
      </c>
      <c r="C33564" s="8" t="s">
        <v>12655</v>
      </c>
      <c r="D33564" s="8">
        <v>0</v>
      </c>
      <c r="E33564" s="8">
        <v>0</v>
      </c>
      <c r="F33564" s="8">
        <v>75</v>
      </c>
    </row>
    <row r="33565" spans="1:6" ht="12.75">
      <c r="A33565" s="8">
        <v>43889.48065972222</v>
      </c>
      <c r="B33565" s="8" t="str">
        <f>HYPERLINK("https://twitter.com/JL_Apatheia","@JL_Apatheia")</f>
        <v>@JL_Apatheia</v>
      </c>
      <c r="C33565" s="8" t="s">
        <v>11217</v>
      </c>
      <c r="D33565" s="8">
        <v>33</v>
      </c>
      <c r="E33565" s="8">
        <v>0</v>
      </c>
      <c r="F33565" s="8">
        <v>2399</v>
      </c>
    </row>
    <row r="33566" spans="1:6" ht="12.75">
      <c r="A33566" s="8">
        <v>43889.479710648149</v>
      </c>
      <c r="B33566" s="8" t="str">
        <f>HYPERLINK("https://twitter.com/Apodax","@Apodax")</f>
        <v>@Apodax</v>
      </c>
      <c r="C33566" s="8" t="s">
        <v>12125</v>
      </c>
      <c r="D33566" s="8">
        <v>39</v>
      </c>
      <c r="E33566" s="8">
        <v>0</v>
      </c>
      <c r="F33566" s="8">
        <v>103</v>
      </c>
    </row>
    <row r="33567" spans="1:6" ht="12.75">
      <c r="A33567" s="8">
        <v>43889.479594907403</v>
      </c>
      <c r="B33567" s="8" t="str">
        <f>HYPERLINK("https://twitter.com/burunghijau369","@burunghijau369")</f>
        <v>@burunghijau369</v>
      </c>
      <c r="C33567" s="8" t="s">
        <v>12143</v>
      </c>
      <c r="D33567" s="8">
        <v>326</v>
      </c>
      <c r="E33567" s="8">
        <v>0</v>
      </c>
      <c r="F33567" s="8">
        <v>553</v>
      </c>
    </row>
    <row r="33568" spans="1:6" ht="12.75">
      <c r="A33568" s="8">
        <v>43889.478807870371</v>
      </c>
      <c r="B33568" s="8" t="str">
        <f>HYPERLINK("https://twitter.com/nabilahanis_","@nabilahanis_")</f>
        <v>@nabilahanis_</v>
      </c>
      <c r="C33568" s="8" t="s">
        <v>11102</v>
      </c>
      <c r="D33568" s="8">
        <v>264</v>
      </c>
      <c r="E33568" s="8">
        <v>0</v>
      </c>
      <c r="F33568" s="8">
        <v>1093</v>
      </c>
    </row>
    <row r="33569" spans="1:6" ht="12.75">
      <c r="A33569" s="8">
        <v>43889.478206018517</v>
      </c>
      <c r="B33569" s="8" t="str">
        <f>HYPERLINK("https://twitter.com/afirinur","@afirinur")</f>
        <v>@afirinur</v>
      </c>
      <c r="C33569" s="8" t="s">
        <v>11102</v>
      </c>
      <c r="D33569" s="8">
        <v>264</v>
      </c>
      <c r="E33569" s="8">
        <v>0</v>
      </c>
      <c r="F33569" s="8">
        <v>211</v>
      </c>
    </row>
    <row r="33570" spans="1:6" ht="12.75">
      <c r="A33570" s="8">
        <v>43889.478182870371</v>
      </c>
      <c r="B33570" s="8" t="str">
        <f>HYPERLINK("https://twitter.com/sohen66","@sohen66")</f>
        <v>@sohen66</v>
      </c>
      <c r="C33570" s="8" t="s">
        <v>12057</v>
      </c>
      <c r="D33570" s="8">
        <v>12</v>
      </c>
      <c r="E33570" s="8">
        <v>0</v>
      </c>
      <c r="F33570" s="8">
        <v>1028</v>
      </c>
    </row>
    <row r="33571" spans="1:6" ht="12.75">
      <c r="A33571" s="8">
        <v>43889.478148148148</v>
      </c>
      <c r="B33571" s="8" t="str">
        <f>HYPERLINK("https://twitter.com/heNdi85","@heNdi85")</f>
        <v>@heNdi85</v>
      </c>
      <c r="C33571" s="8" t="s">
        <v>12656</v>
      </c>
      <c r="D33571" s="8">
        <v>1</v>
      </c>
      <c r="E33571" s="8">
        <v>0</v>
      </c>
      <c r="F33571" s="8">
        <v>1285</v>
      </c>
    </row>
    <row r="33572" spans="1:6" ht="12.75">
      <c r="A33572" s="8">
        <v>43889.477627314816</v>
      </c>
      <c r="B33572" s="8" t="str">
        <f>HYPERLINK("https://twitter.com/paanakhtar","@paanakhtar")</f>
        <v>@paanakhtar</v>
      </c>
      <c r="C33572" s="8" t="s">
        <v>11102</v>
      </c>
      <c r="D33572" s="8">
        <v>264</v>
      </c>
      <c r="E33572" s="8">
        <v>0</v>
      </c>
      <c r="F33572" s="8">
        <v>466</v>
      </c>
    </row>
    <row r="33573" spans="1:6" ht="12.75">
      <c r="A33573" s="8">
        <v>43889.477534722224</v>
      </c>
      <c r="B33573" s="8" t="str">
        <f>HYPERLINK("https://twitter.com/LeoDeBara","@LeoDeBara")</f>
        <v>@LeoDeBara</v>
      </c>
      <c r="C33573" s="8" t="s">
        <v>12657</v>
      </c>
      <c r="D33573" s="8">
        <v>0</v>
      </c>
      <c r="E33573" s="8">
        <v>0</v>
      </c>
      <c r="F33573" s="8">
        <v>128</v>
      </c>
    </row>
    <row r="33574" spans="1:6" ht="12.75">
      <c r="A33574" s="8">
        <v>43889.477013888885</v>
      </c>
      <c r="B33574" s="8" t="str">
        <f>HYPERLINK("https://twitter.com/ayudiahnura","@ayudiahnura")</f>
        <v>@ayudiahnura</v>
      </c>
      <c r="C33574" s="8" t="s">
        <v>11217</v>
      </c>
      <c r="D33574" s="8">
        <v>33</v>
      </c>
      <c r="E33574" s="8">
        <v>0</v>
      </c>
      <c r="F33574" s="8">
        <v>983</v>
      </c>
    </row>
    <row r="33575" spans="1:6" ht="12.75">
      <c r="A33575" s="8">
        <v>43889.476875</v>
      </c>
      <c r="B33575" s="8" t="str">
        <f>HYPERLINK("https://twitter.com/wlaha_sarimbit","@wlaha_sarimbit")</f>
        <v>@wlaha_sarimbit</v>
      </c>
      <c r="C33575" s="8" t="s">
        <v>12658</v>
      </c>
      <c r="D33575" s="8">
        <v>0</v>
      </c>
      <c r="E33575" s="8">
        <v>0</v>
      </c>
      <c r="F33575" s="8">
        <v>18</v>
      </c>
    </row>
    <row r="33576" spans="1:6" ht="12.75">
      <c r="A33576" s="8">
        <v>43889.476261574076</v>
      </c>
      <c r="B33576" s="8" t="str">
        <f>HYPERLINK("https://twitter.com/HannasyaEnE","@HannasyaEnE")</f>
        <v>@HannasyaEnE</v>
      </c>
      <c r="C33576" s="8" t="s">
        <v>12659</v>
      </c>
      <c r="D33576" s="8">
        <v>0</v>
      </c>
      <c r="E33576" s="8">
        <v>0</v>
      </c>
      <c r="F33576" s="8">
        <v>2185</v>
      </c>
    </row>
    <row r="33577" spans="1:6" ht="12.75">
      <c r="A33577" s="8">
        <v>43889.476215277777</v>
      </c>
      <c r="B33577" s="8" t="str">
        <f>HYPERLINK("https://twitter.com/Zharfan_Firdaus","@Zharfan_Firdaus")</f>
        <v>@Zharfan_Firdaus</v>
      </c>
      <c r="C33577" s="8" t="s">
        <v>12660</v>
      </c>
      <c r="D33577" s="8">
        <v>1</v>
      </c>
      <c r="E33577" s="8">
        <v>0</v>
      </c>
      <c r="F33577" s="8">
        <v>892</v>
      </c>
    </row>
    <row r="33578" spans="1:6" ht="12.75">
      <c r="A33578" s="8">
        <v>43889.465162037042</v>
      </c>
      <c r="B33578" s="8" t="str">
        <f>HYPERLINK("https://twitter.com/nrldianaaaa","@nrldianaaaa")</f>
        <v>@nrldianaaaa</v>
      </c>
      <c r="C33578" s="8" t="s">
        <v>11102</v>
      </c>
      <c r="D33578" s="8">
        <v>237</v>
      </c>
      <c r="E33578" s="8">
        <v>0</v>
      </c>
      <c r="F33578" s="8">
        <v>538</v>
      </c>
    </row>
    <row r="33579" spans="1:6" ht="12.75">
      <c r="A33579" s="8">
        <v>43889.465057870373</v>
      </c>
      <c r="B33579" s="8" t="str">
        <f>HYPERLINK("https://twitter.com/makIqal","@makIqal")</f>
        <v>@makIqal</v>
      </c>
      <c r="C33579" s="8" t="s">
        <v>12661</v>
      </c>
      <c r="D33579" s="8">
        <v>0</v>
      </c>
      <c r="E33579" s="8">
        <v>0</v>
      </c>
      <c r="F33579" s="8">
        <v>2368</v>
      </c>
    </row>
    <row r="33580" spans="1:6" ht="12.75">
      <c r="A33580" s="8">
        <v>43889.464467592596</v>
      </c>
      <c r="B33580" s="8" t="str">
        <f>HYPERLINK("https://twitter.com/Kopi_laut","@Kopi_laut")</f>
        <v>@Kopi_laut</v>
      </c>
      <c r="C33580" s="8" t="s">
        <v>12552</v>
      </c>
      <c r="D33580" s="8">
        <v>3</v>
      </c>
      <c r="E33580" s="8">
        <v>0</v>
      </c>
      <c r="F33580" s="8">
        <v>1816</v>
      </c>
    </row>
    <row r="33581" spans="1:6" ht="12.75">
      <c r="A33581" s="8">
        <v>43889.464363425926</v>
      </c>
      <c r="B33581" s="8" t="str">
        <f>HYPERLINK("https://twitter.com/hello_chibii","@hello_chibii")</f>
        <v>@hello_chibii</v>
      </c>
      <c r="C33581" s="8" t="s">
        <v>12591</v>
      </c>
      <c r="D33581" s="8">
        <v>15</v>
      </c>
      <c r="E33581" s="8">
        <v>0</v>
      </c>
      <c r="F33581" s="8">
        <v>605</v>
      </c>
    </row>
    <row r="33582" spans="1:6" ht="12.75">
      <c r="A33582" s="8">
        <v>43889.464363425926</v>
      </c>
      <c r="B33582" s="8" t="str">
        <f>HYPERLINK("https://twitter.com/qawixax","@qawixax")</f>
        <v>@qawixax</v>
      </c>
      <c r="C33582" s="8" t="s">
        <v>12662</v>
      </c>
      <c r="D33582" s="8">
        <v>0</v>
      </c>
      <c r="E33582" s="8">
        <v>0</v>
      </c>
      <c r="F33582" s="8">
        <v>319</v>
      </c>
    </row>
    <row r="33583" spans="1:6" ht="12.75">
      <c r="A33583" s="8">
        <v>43889.463923611111</v>
      </c>
      <c r="B33583" s="8" t="str">
        <f>HYPERLINK("https://twitter.com/papavyo2","@papavyo2")</f>
        <v>@papavyo2</v>
      </c>
      <c r="C33583" s="8" t="s">
        <v>12057</v>
      </c>
      <c r="D33583" s="8">
        <v>2</v>
      </c>
      <c r="E33583" s="8">
        <v>0</v>
      </c>
      <c r="F33583" s="8">
        <v>1610</v>
      </c>
    </row>
    <row r="33584" spans="1:6" ht="12.75">
      <c r="A33584" s="8">
        <v>43889.463842592595</v>
      </c>
      <c r="B33584" s="8" t="str">
        <f>HYPERLINK("https://twitter.com/jabarnewss","@jabarnewss")</f>
        <v>@jabarnewss</v>
      </c>
      <c r="C33584" s="8" t="s">
        <v>12663</v>
      </c>
      <c r="D33584" s="8">
        <v>0</v>
      </c>
      <c r="E33584" s="8">
        <v>0</v>
      </c>
      <c r="F33584" s="8">
        <v>1339</v>
      </c>
    </row>
    <row r="33585" spans="1:6" ht="12.75">
      <c r="A33585" s="8">
        <v>43889.463680555556</v>
      </c>
      <c r="B33585" s="8" t="str">
        <f>HYPERLINK("https://twitter.com/YgHy16224985","@YgHy16224985")</f>
        <v>@YgHy16224985</v>
      </c>
      <c r="C33585" s="8" t="s">
        <v>2941</v>
      </c>
      <c r="D33585" s="8">
        <v>1083</v>
      </c>
      <c r="E33585" s="8">
        <v>0</v>
      </c>
      <c r="F33585" s="8">
        <v>0</v>
      </c>
    </row>
    <row r="33586" spans="1:6" ht="12.75">
      <c r="A33586" s="8">
        <v>43889.463576388887</v>
      </c>
      <c r="B33586" s="8" t="str">
        <f>HYPERLINK("https://twitter.com/gg_bgt","@gg_bgt")</f>
        <v>@gg_bgt</v>
      </c>
      <c r="C33586" s="8" t="s">
        <v>12664</v>
      </c>
      <c r="D33586" s="8">
        <v>0</v>
      </c>
      <c r="E33586" s="8">
        <v>0</v>
      </c>
      <c r="F33586" s="8">
        <v>2354</v>
      </c>
    </row>
    <row r="33587" spans="1:6" ht="12.75">
      <c r="A33587" s="8">
        <v>43889.463414351849</v>
      </c>
      <c r="B33587" s="8" t="str">
        <f>HYPERLINK("https://twitter.com/Masibnoe_ID","@Masibnoe_ID")</f>
        <v>@Masibnoe_ID</v>
      </c>
      <c r="C33587" s="8" t="s">
        <v>12665</v>
      </c>
      <c r="D33587" s="8">
        <v>0</v>
      </c>
      <c r="E33587" s="8">
        <v>0</v>
      </c>
      <c r="F33587" s="8">
        <v>66</v>
      </c>
    </row>
    <row r="33588" spans="1:6" ht="12.75">
      <c r="A33588" s="8">
        <v>43889.463182870371</v>
      </c>
      <c r="B33588" s="8" t="str">
        <f>HYPERLINK("https://twitter.com/syaaaaaidris","@syaaaaaidris")</f>
        <v>@syaaaaaidris</v>
      </c>
      <c r="C33588" s="8" t="s">
        <v>11102</v>
      </c>
      <c r="D33588" s="8">
        <v>236</v>
      </c>
      <c r="E33588" s="8">
        <v>0</v>
      </c>
      <c r="F33588" s="8">
        <v>530</v>
      </c>
    </row>
    <row r="33589" spans="1:6" ht="12.75">
      <c r="A33589" s="8">
        <v>43889.462997685187</v>
      </c>
      <c r="B33589" s="8" t="str">
        <f>HYPERLINK("https://twitter.com/Azmzlkml","@Azmzlkml")</f>
        <v>@Azmzlkml</v>
      </c>
      <c r="C33589" s="8" t="s">
        <v>11102</v>
      </c>
      <c r="D33589" s="8">
        <v>237</v>
      </c>
      <c r="E33589" s="8">
        <v>0</v>
      </c>
      <c r="F33589" s="8">
        <v>60</v>
      </c>
    </row>
    <row r="33590" spans="1:6" ht="12.75">
      <c r="A33590" s="8">
        <v>43889.462951388894</v>
      </c>
      <c r="B33590" s="8" t="str">
        <f>HYPERLINK("https://twitter.com/wardhanandi","@wardhanandi")</f>
        <v>@wardhanandi</v>
      </c>
      <c r="C33590" s="8" t="s">
        <v>12666</v>
      </c>
      <c r="D33590" s="8">
        <v>0</v>
      </c>
      <c r="E33590" s="8">
        <v>0</v>
      </c>
      <c r="F33590" s="8">
        <v>574</v>
      </c>
    </row>
    <row r="33591" spans="1:6" ht="12.75">
      <c r="A33591" s="8">
        <v>43889.462557870371</v>
      </c>
      <c r="B33591" s="8" t="str">
        <f>HYPERLINK("https://twitter.com/Polsekpktbersi1","@Polsekpktbersi1")</f>
        <v>@Polsekpktbersi1</v>
      </c>
      <c r="C33591" s="8" t="s">
        <v>12640</v>
      </c>
      <c r="D33591" s="8">
        <v>0</v>
      </c>
      <c r="E33591" s="8">
        <v>0</v>
      </c>
      <c r="F33591" s="8">
        <v>1</v>
      </c>
    </row>
    <row r="33592" spans="1:6" ht="12.75">
      <c r="A33592" s="8">
        <v>43889.462511574078</v>
      </c>
      <c r="B33592" s="8" t="str">
        <f>HYPERLINK("https://twitter.com/SyairRevolusi","@SyairRevolusi")</f>
        <v>@SyairRevolusi</v>
      </c>
      <c r="C33592" s="8" t="s">
        <v>12552</v>
      </c>
      <c r="D33592" s="8">
        <v>3</v>
      </c>
      <c r="E33592" s="8">
        <v>0</v>
      </c>
      <c r="F33592" s="8">
        <v>1139</v>
      </c>
    </row>
    <row r="33593" spans="1:6" ht="12.75">
      <c r="A33593" s="8">
        <v>43889.462361111116</v>
      </c>
      <c r="B33593" s="8" t="str">
        <f>HYPERLINK("https://twitter.com/Gobexs2000","@Gobexs2000")</f>
        <v>@Gobexs2000</v>
      </c>
      <c r="C33593" s="8" t="s">
        <v>11217</v>
      </c>
      <c r="D33593" s="8">
        <v>31</v>
      </c>
      <c r="E33593" s="8">
        <v>0</v>
      </c>
      <c r="F33593" s="8">
        <v>128</v>
      </c>
    </row>
    <row r="33594" spans="1:6" ht="12.75">
      <c r="A33594" s="8">
        <v>43889.462187500001</v>
      </c>
      <c r="B33594" s="8" t="str">
        <f>HYPERLINK("https://twitter.com/OposisiNasional","@OposisiNasional")</f>
        <v>@OposisiNasional</v>
      </c>
      <c r="C33594" s="8" t="s">
        <v>11722</v>
      </c>
      <c r="D33594" s="8">
        <v>0</v>
      </c>
      <c r="E33594" s="8">
        <v>0</v>
      </c>
      <c r="F33594" s="8">
        <v>1717</v>
      </c>
    </row>
    <row r="33595" spans="1:6" ht="12.75">
      <c r="A33595" s="8">
        <v>43889.462060185186</v>
      </c>
      <c r="B33595" s="8" t="str">
        <f>HYPERLINK("https://twitter.com/jeetoosingh67","@jeetoosingh67")</f>
        <v>@jeetoosingh67</v>
      </c>
      <c r="C33595" s="8" t="s">
        <v>12667</v>
      </c>
      <c r="D33595" s="8">
        <v>0</v>
      </c>
      <c r="E33595" s="8">
        <v>0</v>
      </c>
      <c r="F33595" s="8">
        <v>6</v>
      </c>
    </row>
    <row r="33596" spans="1:6" ht="12.75">
      <c r="A33596" s="8">
        <v>43889.462048611109</v>
      </c>
      <c r="B33596" s="8" t="str">
        <f>HYPERLINK("https://twitter.com/sisilvii","@sisilvii")</f>
        <v>@sisilvii</v>
      </c>
      <c r="C33596" s="8" t="s">
        <v>12668</v>
      </c>
      <c r="D33596" s="8">
        <v>0</v>
      </c>
      <c r="E33596" s="8">
        <v>0</v>
      </c>
      <c r="F33596" s="8">
        <v>966</v>
      </c>
    </row>
    <row r="33597" spans="1:6" ht="12.75">
      <c r="A33597" s="8">
        <v>43889.461817129632</v>
      </c>
      <c r="B33597" s="8" t="str">
        <f>HYPERLINK("https://twitter.com/Polsekpktbersi1","@Polsekpktbersi1")</f>
        <v>@Polsekpktbersi1</v>
      </c>
      <c r="C33597" s="8" t="s">
        <v>12640</v>
      </c>
      <c r="D33597" s="8">
        <v>0</v>
      </c>
      <c r="E33597" s="8">
        <v>0</v>
      </c>
      <c r="F33597" s="8">
        <v>1</v>
      </c>
    </row>
    <row r="33598" spans="1:6" ht="12.75">
      <c r="A33598" s="8">
        <v>43889.461747685185</v>
      </c>
      <c r="B33598" s="8" t="str">
        <f>HYPERLINK("https://twitter.com/bucinyr","@bucinyr")</f>
        <v>@bucinyr</v>
      </c>
      <c r="C33598" s="8" t="s">
        <v>12591</v>
      </c>
      <c r="D33598" s="8">
        <v>15</v>
      </c>
      <c r="E33598" s="8">
        <v>0</v>
      </c>
      <c r="F33598" s="8">
        <v>2243</v>
      </c>
    </row>
    <row r="33599" spans="1:6" ht="12.75">
      <c r="A33599" s="8">
        <v>43889.461481481485</v>
      </c>
      <c r="B33599" s="8" t="str">
        <f>HYPERLINK("https://twitter.com/haziqnajmi_99","@haziqnajmi_99")</f>
        <v>@haziqnajmi_99</v>
      </c>
      <c r="C33599" s="8" t="s">
        <v>11102</v>
      </c>
      <c r="D33599" s="8">
        <v>237</v>
      </c>
      <c r="E33599" s="8">
        <v>0</v>
      </c>
      <c r="F33599" s="8">
        <v>90</v>
      </c>
    </row>
    <row r="33600" spans="1:6" ht="12.75">
      <c r="A33600" s="8">
        <v>43889.461226851854</v>
      </c>
      <c r="B33600" s="8" t="str">
        <f>HYPERLINK("https://twitter.com/Beritadotnews","@Beritadotnews")</f>
        <v>@Beritadotnews</v>
      </c>
      <c r="C33600" s="8" t="s">
        <v>12669</v>
      </c>
      <c r="D33600" s="8">
        <v>0</v>
      </c>
      <c r="E33600" s="8">
        <v>0</v>
      </c>
      <c r="F33600" s="8">
        <v>40</v>
      </c>
    </row>
    <row r="33601" spans="1:6" ht="12.75">
      <c r="A33601" s="8">
        <v>43889.461168981477</v>
      </c>
      <c r="B33601" s="8" t="str">
        <f>HYPERLINK("https://twitter.com/KompasTV","@KompasTV")</f>
        <v>@KompasTV</v>
      </c>
      <c r="C33601" s="8" t="s">
        <v>12670</v>
      </c>
      <c r="D33601" s="8">
        <v>0</v>
      </c>
      <c r="E33601" s="8">
        <v>1</v>
      </c>
      <c r="F33601" s="8">
        <v>2950761</v>
      </c>
    </row>
    <row r="33602" spans="1:6" ht="12.75">
      <c r="A33602" s="8">
        <v>43889.461157407408</v>
      </c>
      <c r="B33602" s="8" t="str">
        <f>HYPERLINK("https://twitter.com/Metro_TV","@Metro_TV")</f>
        <v>@Metro_TV</v>
      </c>
      <c r="C33602" s="8" t="s">
        <v>12671</v>
      </c>
      <c r="D33602" s="8">
        <v>0</v>
      </c>
      <c r="E33602" s="8">
        <v>2</v>
      </c>
      <c r="F33602" s="8">
        <v>10514266</v>
      </c>
    </row>
    <row r="33603" spans="1:6" ht="12.75">
      <c r="A33603" s="8">
        <v>43889.461134259254</v>
      </c>
      <c r="B33603" s="8" t="str">
        <f>HYPERLINK("https://twitter.com/Polsekpktbersi1","@Polsekpktbersi1")</f>
        <v>@Polsekpktbersi1</v>
      </c>
      <c r="C33603" s="8" t="s">
        <v>12640</v>
      </c>
      <c r="D33603" s="8">
        <v>0</v>
      </c>
      <c r="E33603" s="8">
        <v>0</v>
      </c>
      <c r="F33603" s="8">
        <v>1</v>
      </c>
    </row>
    <row r="33604" spans="1:6" ht="12.75">
      <c r="A33604" s="8">
        <v>43889.461099537039</v>
      </c>
      <c r="B33604" s="8" t="str">
        <f>HYPERLINK("https://twitter.com/messa27831074","@messa27831074")</f>
        <v>@messa27831074</v>
      </c>
      <c r="C33604" s="8" t="s">
        <v>12065</v>
      </c>
      <c r="D33604" s="8">
        <v>32</v>
      </c>
      <c r="E33604" s="8">
        <v>0</v>
      </c>
      <c r="F33604" s="8">
        <v>466</v>
      </c>
    </row>
    <row r="33605" spans="1:6" ht="12.75">
      <c r="A33605" s="8">
        <v>43889.460879629631</v>
      </c>
      <c r="B33605" s="8" t="str">
        <f>HYPERLINK("https://twitter.com/Gyoucancallme","@Gyoucancallme")</f>
        <v>@Gyoucancallme</v>
      </c>
      <c r="C33605" s="8" t="s">
        <v>11217</v>
      </c>
      <c r="D33605" s="8">
        <v>31</v>
      </c>
      <c r="E33605" s="8">
        <v>0</v>
      </c>
      <c r="F33605" s="8">
        <v>5436</v>
      </c>
    </row>
    <row r="33606" spans="1:6" ht="12.75">
      <c r="A33606" s="8">
        <v>43889.460717592592</v>
      </c>
      <c r="B33606" s="8" t="str">
        <f>HYPERLINK("https://twitter.com/MrsRachelIn","@MrsRachelIn")</f>
        <v>@MrsRachelIn</v>
      </c>
      <c r="C33606" s="8" t="s">
        <v>12672</v>
      </c>
      <c r="D33606" s="8">
        <v>0</v>
      </c>
      <c r="E33606" s="8">
        <v>0</v>
      </c>
      <c r="F33606" s="8">
        <v>3373</v>
      </c>
    </row>
    <row r="33607" spans="1:6" ht="12.75">
      <c r="A33607" s="8">
        <v>43889.460347222222</v>
      </c>
      <c r="B33607" s="8" t="str">
        <f>HYPERLINK("https://twitter.com/sinceyouhateme","@sinceyouhateme")</f>
        <v>@sinceyouhateme</v>
      </c>
      <c r="C33607" s="8" t="s">
        <v>12591</v>
      </c>
      <c r="D33607" s="8">
        <v>15</v>
      </c>
      <c r="E33607" s="8">
        <v>0</v>
      </c>
      <c r="F33607" s="8">
        <v>57</v>
      </c>
    </row>
    <row r="33608" spans="1:6" ht="12.75">
      <c r="A33608" s="8">
        <v>43889.460173611107</v>
      </c>
      <c r="B33608" s="8" t="str">
        <f>HYPERLINK("https://twitter.com/Polsekpktbersi1","@Polsekpktbersi1")</f>
        <v>@Polsekpktbersi1</v>
      </c>
      <c r="C33608" s="8" t="s">
        <v>12640</v>
      </c>
      <c r="D33608" s="8">
        <v>0</v>
      </c>
      <c r="E33608" s="8">
        <v>0</v>
      </c>
      <c r="F33608" s="8">
        <v>1</v>
      </c>
    </row>
    <row r="33609" spans="1:6" ht="12.75">
      <c r="A33609" s="8">
        <v>43889.460023148145</v>
      </c>
      <c r="B33609" s="8" t="str">
        <f>HYPERLINK("https://twitter.com/antarajatimcom","@antarajatimcom")</f>
        <v>@antarajatimcom</v>
      </c>
      <c r="C33609" s="8" t="s">
        <v>12673</v>
      </c>
      <c r="D33609" s="8">
        <v>0</v>
      </c>
      <c r="E33609" s="8">
        <v>0</v>
      </c>
      <c r="F33609" s="8">
        <v>839</v>
      </c>
    </row>
    <row r="33610" spans="1:6" ht="12.75">
      <c r="A33610" s="8">
        <v>43889.459756944445</v>
      </c>
      <c r="B33610" s="8" t="str">
        <f>HYPERLINK("https://twitter.com/Kucing_bersiul","@Kucing_bersiul")</f>
        <v>@Kucing_bersiul</v>
      </c>
      <c r="C33610" s="8" t="s">
        <v>12674</v>
      </c>
      <c r="D33610" s="8">
        <v>0</v>
      </c>
      <c r="E33610" s="8">
        <v>1</v>
      </c>
      <c r="F33610" s="8">
        <v>522</v>
      </c>
    </row>
    <row r="33611" spans="1:6" ht="12.75">
      <c r="A33611" s="8">
        <v>43889.45958333333</v>
      </c>
      <c r="B33611" s="8" t="str">
        <f>HYPERLINK("https://twitter.com/muel_power","@muel_power")</f>
        <v>@muel_power</v>
      </c>
      <c r="C33611" s="8" t="s">
        <v>12125</v>
      </c>
      <c r="D33611" s="8">
        <v>37</v>
      </c>
      <c r="E33611" s="8">
        <v>0</v>
      </c>
      <c r="F33611" s="8">
        <v>1430</v>
      </c>
    </row>
    <row r="33612" spans="1:6" ht="12.75">
      <c r="A33612" s="8">
        <v>43889.459502314814</v>
      </c>
      <c r="B33612" s="8" t="str">
        <f>HYPERLINK("https://twitter.com/RichelleEdita","@RichelleEdita")</f>
        <v>@RichelleEdita</v>
      </c>
      <c r="C33612" s="8" t="s">
        <v>12675</v>
      </c>
      <c r="D33612" s="8">
        <v>3</v>
      </c>
      <c r="E33612" s="8">
        <v>0</v>
      </c>
      <c r="F33612" s="8">
        <v>834</v>
      </c>
    </row>
    <row r="33613" spans="1:6" ht="12.75">
      <c r="A33613" s="8">
        <v>43889.459293981483</v>
      </c>
      <c r="B33613" s="8" t="str">
        <f>HYPERLINK("https://twitter.com/StalistS","@StalistS")</f>
        <v>@StalistS</v>
      </c>
      <c r="C33613" s="8" t="s">
        <v>12676</v>
      </c>
      <c r="D33613" s="8">
        <v>1</v>
      </c>
      <c r="E33613" s="8">
        <v>0</v>
      </c>
      <c r="F33613" s="8">
        <v>1804</v>
      </c>
    </row>
    <row r="33614" spans="1:6" ht="12.75">
      <c r="A33614" s="8">
        <v>43889.459178240737</v>
      </c>
      <c r="B33614" s="8" t="str">
        <f>HYPERLINK("https://twitter.com/PlskCikancung","@PlskCikancung")</f>
        <v>@PlskCikancung</v>
      </c>
      <c r="C33614" s="8" t="s">
        <v>12677</v>
      </c>
      <c r="D33614" s="8">
        <v>0</v>
      </c>
      <c r="E33614" s="8">
        <v>0</v>
      </c>
      <c r="F33614" s="8">
        <v>31</v>
      </c>
    </row>
    <row r="33615" spans="1:6" ht="12.75">
      <c r="A33615" s="8">
        <v>43889.459143518514</v>
      </c>
      <c r="B33615" s="8" t="str">
        <f>HYPERLINK("https://twitter.com/edhi_shi","@edhi_shi")</f>
        <v>@edhi_shi</v>
      </c>
      <c r="C33615" s="8" t="s">
        <v>11217</v>
      </c>
      <c r="D33615" s="8">
        <v>31</v>
      </c>
      <c r="E33615" s="8">
        <v>0</v>
      </c>
      <c r="F33615" s="8">
        <v>675</v>
      </c>
    </row>
    <row r="33616" spans="1:6" ht="12.75">
      <c r="A33616" s="8">
        <v>43889.45893518519</v>
      </c>
      <c r="B33616" s="8" t="str">
        <f>HYPERLINK("https://twitter.com/Tanishtk25","@Tanishtk25")</f>
        <v>@Tanishtk25</v>
      </c>
      <c r="C33616" s="8" t="s">
        <v>12678</v>
      </c>
      <c r="D33616" s="8">
        <v>0</v>
      </c>
      <c r="E33616" s="8">
        <v>0</v>
      </c>
      <c r="F33616" s="8">
        <v>15</v>
      </c>
    </row>
    <row r="33617" spans="1:6" ht="12.75">
      <c r="A33617" s="8">
        <v>43889.458912037036</v>
      </c>
      <c r="B33617" s="8" t="str">
        <f>HYPERLINK("https://twitter.com/JackRoyce217","@JackRoyce217")</f>
        <v>@JackRoyce217</v>
      </c>
      <c r="C33617" s="8" t="s">
        <v>11102</v>
      </c>
      <c r="D33617" s="8">
        <v>237</v>
      </c>
      <c r="E33617" s="8">
        <v>0</v>
      </c>
      <c r="F33617" s="8">
        <v>1253</v>
      </c>
    </row>
    <row r="33618" spans="1:6" ht="12.75">
      <c r="A33618" s="8">
        <v>43889.458599537036</v>
      </c>
      <c r="B33618" s="8" t="str">
        <f>HYPERLINK("https://twitter.com/syasnamelati","@syasnamelati")</f>
        <v>@syasnamelati</v>
      </c>
      <c r="C33618" s="8" t="s">
        <v>12232</v>
      </c>
      <c r="D33618" s="8">
        <v>19</v>
      </c>
      <c r="E33618" s="8">
        <v>0</v>
      </c>
      <c r="F33618" s="8">
        <v>253</v>
      </c>
    </row>
    <row r="33619" spans="1:6" ht="12.75">
      <c r="A33619" s="8">
        <v>43889.458333333328</v>
      </c>
      <c r="B33619" s="8" t="str">
        <f>HYPERLINK("https://twitter.com/SeputariNews","@SeputariNews")</f>
        <v>@SeputariNews</v>
      </c>
      <c r="C33619" s="8" t="s">
        <v>12679</v>
      </c>
      <c r="D33619" s="8">
        <v>1</v>
      </c>
      <c r="E33619" s="8">
        <v>0</v>
      </c>
      <c r="F33619" s="8">
        <v>438692</v>
      </c>
    </row>
    <row r="33620" spans="1:6" ht="12.75">
      <c r="A33620" s="8">
        <v>43889.457997685182</v>
      </c>
      <c r="B33620" s="8" t="str">
        <f>HYPERLINK("https://twitter.com/irwanstanjung","@irwanstanjung")</f>
        <v>@irwanstanjung</v>
      </c>
      <c r="C33620" s="8" t="s">
        <v>12680</v>
      </c>
      <c r="D33620" s="8">
        <v>0</v>
      </c>
      <c r="E33620" s="8">
        <v>0</v>
      </c>
      <c r="F33620" s="8">
        <v>177</v>
      </c>
    </row>
    <row r="33621" spans="1:6" ht="12.75">
      <c r="A33621" s="8">
        <v>43889.45793981482</v>
      </c>
      <c r="B33621" s="8" t="str">
        <f>HYPERLINK("https://twitter.com/kaankahfi","@kaankahfi")</f>
        <v>@kaankahfi</v>
      </c>
      <c r="C33621" s="8" t="s">
        <v>12681</v>
      </c>
      <c r="D33621" s="8">
        <v>1</v>
      </c>
      <c r="E33621" s="8">
        <v>0</v>
      </c>
      <c r="F33621" s="8">
        <v>3736</v>
      </c>
    </row>
    <row r="33622" spans="1:6" ht="12.75">
      <c r="A33622" s="8">
        <v>43889.457627314812</v>
      </c>
      <c r="B33622" s="8" t="str">
        <f>HYPERLINK("https://twitter.com/theendlessmess","@theendlessmess")</f>
        <v>@theendlessmess</v>
      </c>
      <c r="C33622" s="8" t="s">
        <v>12469</v>
      </c>
      <c r="D33622" s="8">
        <v>1</v>
      </c>
      <c r="E33622" s="8">
        <v>0</v>
      </c>
      <c r="F33622" s="8">
        <v>592</v>
      </c>
    </row>
    <row r="33623" spans="1:6" ht="12.75">
      <c r="A33623" s="8">
        <v>43889.457395833335</v>
      </c>
      <c r="B33623" s="8" t="str">
        <f>HYPERLINK("https://twitter.com/IDWS","@IDWS")</f>
        <v>@IDWS</v>
      </c>
      <c r="C33623" s="8" t="s">
        <v>12682</v>
      </c>
      <c r="D33623" s="8">
        <v>0</v>
      </c>
      <c r="E33623" s="8">
        <v>0</v>
      </c>
      <c r="F33623" s="8">
        <v>32976</v>
      </c>
    </row>
    <row r="33624" spans="1:6" ht="12.75">
      <c r="A33624" s="8">
        <v>43889.457349537042</v>
      </c>
      <c r="B33624" s="8" t="str">
        <f>HYPERLINK("https://twitter.com/MugiaIwayan","@MugiaIwayan")</f>
        <v>@MugiaIwayan</v>
      </c>
      <c r="C33624" s="8" t="s">
        <v>12683</v>
      </c>
      <c r="D33624" s="8">
        <v>0</v>
      </c>
      <c r="E33624" s="8">
        <v>0</v>
      </c>
      <c r="F33624" s="8">
        <v>16</v>
      </c>
    </row>
    <row r="33625" spans="1:6" ht="12.75">
      <c r="A33625" s="8">
        <v>43889.456643518519</v>
      </c>
      <c r="B33625" s="8" t="str">
        <f>HYPERLINK("https://twitter.com/NcangBeni","@NcangBeni")</f>
        <v>@NcangBeni</v>
      </c>
      <c r="C33625" s="8" t="s">
        <v>12057</v>
      </c>
      <c r="D33625" s="8">
        <v>2</v>
      </c>
      <c r="E33625" s="8">
        <v>0</v>
      </c>
      <c r="F33625" s="8">
        <v>4199</v>
      </c>
    </row>
    <row r="33626" spans="1:6" ht="12.75">
      <c r="A33626" s="8">
        <v>43889.456284722226</v>
      </c>
      <c r="B33626" s="8" t="str">
        <f>HYPERLINK("https://twitter.com/Aldo42128251","@Aldo42128251")</f>
        <v>@Aldo42128251</v>
      </c>
      <c r="C33626" s="8" t="s">
        <v>12071</v>
      </c>
      <c r="D33626" s="8">
        <v>40</v>
      </c>
      <c r="E33626" s="8">
        <v>0</v>
      </c>
      <c r="F33626" s="8">
        <v>237</v>
      </c>
    </row>
    <row r="33627" spans="1:6" ht="12.75">
      <c r="A33627" s="8">
        <v>43889.456226851849</v>
      </c>
      <c r="B33627" s="8" t="str">
        <f>HYPERLINK("https://twitter.com/jinarsaskara","@jinarsaskara")</f>
        <v>@jinarsaskara</v>
      </c>
      <c r="C33627" s="8" t="s">
        <v>12093</v>
      </c>
      <c r="D33627" s="8">
        <v>9</v>
      </c>
      <c r="E33627" s="8">
        <v>0</v>
      </c>
      <c r="F33627" s="8">
        <v>2924</v>
      </c>
    </row>
    <row r="33628" spans="1:6" ht="12.75">
      <c r="A33628" s="8">
        <v>43889.45621527778</v>
      </c>
      <c r="B33628" s="8" t="str">
        <f>HYPERLINK("https://twitter.com/Nuraji19am","@Nuraji19am")</f>
        <v>@Nuraji19am</v>
      </c>
      <c r="C33628" s="8" t="s">
        <v>12481</v>
      </c>
      <c r="D33628" s="8">
        <v>10</v>
      </c>
      <c r="E33628" s="8">
        <v>0</v>
      </c>
      <c r="F33628" s="8">
        <v>264</v>
      </c>
    </row>
    <row r="33629" spans="1:6" ht="12.75">
      <c r="A33629" s="8">
        <v>43889.456006944441</v>
      </c>
      <c r="B33629" s="8" t="str">
        <f t="shared" ref="B33629:B33630" si="463">HYPERLINK("https://twitter.com/ISIS_Balik_NO","@ISIS_Balik_NO")</f>
        <v>@ISIS_Balik_NO</v>
      </c>
      <c r="C33629" s="8" t="s">
        <v>12684</v>
      </c>
      <c r="D33629" s="8">
        <v>235</v>
      </c>
      <c r="E33629" s="8">
        <v>0</v>
      </c>
      <c r="F33629" s="8">
        <v>6082</v>
      </c>
    </row>
    <row r="33630" spans="1:6" ht="12.75">
      <c r="A33630" s="8">
        <v>43889.455879629633</v>
      </c>
      <c r="B33630" s="8" t="str">
        <f t="shared" si="463"/>
        <v>@ISIS_Balik_NO</v>
      </c>
      <c r="C33630" s="8" t="s">
        <v>12685</v>
      </c>
      <c r="D33630" s="8">
        <v>0</v>
      </c>
      <c r="E33630" s="8">
        <v>0</v>
      </c>
      <c r="F33630" s="8">
        <v>6082</v>
      </c>
    </row>
    <row r="33631" spans="1:6" ht="12.75">
      <c r="A33631" s="8">
        <v>43889.455509259264</v>
      </c>
      <c r="B33631" s="8" t="str">
        <f>HYPERLINK("https://twitter.com/Ach_Falut","@Ach_Falut")</f>
        <v>@Ach_Falut</v>
      </c>
      <c r="C33631" s="8" t="s">
        <v>12686</v>
      </c>
      <c r="D33631" s="8">
        <v>13</v>
      </c>
      <c r="E33631" s="8">
        <v>0</v>
      </c>
      <c r="F33631" s="8">
        <v>10057</v>
      </c>
    </row>
    <row r="33632" spans="1:6" ht="12.75">
      <c r="A33632" s="8">
        <v>43889.455428240741</v>
      </c>
      <c r="B33632" s="8" t="str">
        <f>HYPERLINK("https://twitter.com/moedjihassan","@moedjihassan")</f>
        <v>@moedjihassan</v>
      </c>
      <c r="C33632" s="8" t="s">
        <v>4785</v>
      </c>
      <c r="D33632" s="8">
        <v>473</v>
      </c>
      <c r="E33632" s="8">
        <v>0</v>
      </c>
      <c r="F33632" s="8">
        <v>106</v>
      </c>
    </row>
    <row r="33633" spans="1:6" ht="12.75">
      <c r="A33633" s="8">
        <v>43889.455243055556</v>
      </c>
      <c r="B33633" s="8" t="str">
        <f>HYPERLINK("https://twitter.com/el_given","@el_given")</f>
        <v>@el_given</v>
      </c>
      <c r="C33633" s="8" t="s">
        <v>12687</v>
      </c>
      <c r="D33633" s="8">
        <v>0</v>
      </c>
      <c r="E33633" s="8">
        <v>0</v>
      </c>
      <c r="F33633" s="8">
        <v>2</v>
      </c>
    </row>
    <row r="33634" spans="1:6" ht="12.75">
      <c r="A33634" s="8">
        <v>43889.455104166671</v>
      </c>
      <c r="B33634" s="8" t="str">
        <f>HYPERLINK("https://twitter.com/KemensetnegRI","@KemensetnegRI")</f>
        <v>@KemensetnegRI</v>
      </c>
      <c r="C33634" s="8" t="s">
        <v>12688</v>
      </c>
      <c r="D33634" s="8">
        <v>0</v>
      </c>
      <c r="E33634" s="8">
        <v>0</v>
      </c>
      <c r="F33634" s="8">
        <v>404812</v>
      </c>
    </row>
    <row r="33635" spans="1:6" ht="12.75">
      <c r="A33635" s="8">
        <v>43889.454768518517</v>
      </c>
      <c r="B33635" s="8" t="str">
        <f>HYPERLINK("https://twitter.com/ahmadRbagio","@ahmadRbagio")</f>
        <v>@ahmadRbagio</v>
      </c>
      <c r="C33635" s="8" t="s">
        <v>12689</v>
      </c>
      <c r="D33635" s="8">
        <v>3</v>
      </c>
      <c r="E33635" s="8">
        <v>0</v>
      </c>
      <c r="F33635" s="8">
        <v>109</v>
      </c>
    </row>
    <row r="33636" spans="1:6" ht="12.75">
      <c r="A33636" s="8">
        <v>43889.454629629632</v>
      </c>
      <c r="B33636" s="8" t="str">
        <f>HYPERLINK("https://twitter.com/sallehinghazali","@sallehinghazali")</f>
        <v>@sallehinghazali</v>
      </c>
      <c r="C33636" s="8" t="s">
        <v>11102</v>
      </c>
      <c r="D33636" s="8">
        <v>237</v>
      </c>
      <c r="E33636" s="8">
        <v>0</v>
      </c>
      <c r="F33636" s="8">
        <v>796</v>
      </c>
    </row>
    <row r="33637" spans="1:6" ht="12.75">
      <c r="A33637" s="8">
        <v>43889.454143518524</v>
      </c>
      <c r="B33637" s="8" t="str">
        <f>HYPERLINK("https://twitter.com/desiiaadmi","@desiiaadmi")</f>
        <v>@desiiaadmi</v>
      </c>
      <c r="C33637" s="8" t="s">
        <v>12690</v>
      </c>
      <c r="D33637" s="8">
        <v>0</v>
      </c>
      <c r="E33637" s="8">
        <v>1</v>
      </c>
      <c r="F33637" s="8">
        <v>294</v>
      </c>
    </row>
    <row r="33638" spans="1:6" ht="12.75">
      <c r="A33638" s="8">
        <v>43889.45412037037</v>
      </c>
      <c r="B33638" s="8" t="str">
        <f>HYPERLINK("https://twitter.com/Bang_N_E_O","@Bang_N_E_O")</f>
        <v>@Bang_N_E_O</v>
      </c>
      <c r="C33638" s="8" t="s">
        <v>12232</v>
      </c>
      <c r="D33638" s="8">
        <v>19</v>
      </c>
      <c r="E33638" s="8">
        <v>0</v>
      </c>
      <c r="F33638" s="8">
        <v>3590</v>
      </c>
    </row>
    <row r="33639" spans="1:6" ht="12.75">
      <c r="A33639" s="8">
        <v>43889.454027777778</v>
      </c>
      <c r="B33639" s="8" t="str">
        <f>HYPERLINK("https://twitter.com/AidaMarshmallow","@AidaMarshmallow")</f>
        <v>@AidaMarshmallow</v>
      </c>
      <c r="C33639" s="8" t="s">
        <v>11102</v>
      </c>
      <c r="D33639" s="8">
        <v>237</v>
      </c>
      <c r="E33639" s="8">
        <v>0</v>
      </c>
      <c r="F33639" s="8">
        <v>154</v>
      </c>
    </row>
    <row r="33640" spans="1:6" ht="12.75">
      <c r="A33640" s="8">
        <v>43889.453819444447</v>
      </c>
      <c r="B33640" s="8" t="str">
        <f>HYPERLINK("https://twitter.com/syfreeze","@syfreeze")</f>
        <v>@syfreeze</v>
      </c>
      <c r="C33640" s="8" t="s">
        <v>11102</v>
      </c>
      <c r="D33640" s="8">
        <v>237</v>
      </c>
      <c r="E33640" s="8">
        <v>0</v>
      </c>
      <c r="F33640" s="8">
        <v>260</v>
      </c>
    </row>
    <row r="33641" spans="1:6" ht="12.75">
      <c r="A33641" s="8">
        <v>43889.4533912037</v>
      </c>
      <c r="B33641" s="8" t="str">
        <f>HYPERLINK("https://twitter.com/gur_ita","@gur_ita")</f>
        <v>@gur_ita</v>
      </c>
      <c r="C33641" s="8" t="s">
        <v>12691</v>
      </c>
      <c r="D33641" s="8">
        <v>0</v>
      </c>
      <c r="E33641" s="8">
        <v>0</v>
      </c>
      <c r="F33641" s="8">
        <v>45</v>
      </c>
    </row>
    <row r="33642" spans="1:6" ht="12.75">
      <c r="A33642" s="8">
        <v>43889.453252314815</v>
      </c>
      <c r="B33642" s="8" t="str">
        <f>HYPERLINK("https://twitter.com/ratu_adil","@ratu_adil")</f>
        <v>@ratu_adil</v>
      </c>
      <c r="C33642" s="8" t="s">
        <v>12692</v>
      </c>
      <c r="D33642" s="8">
        <v>1</v>
      </c>
      <c r="E33642" s="8">
        <v>2</v>
      </c>
      <c r="F33642" s="8">
        <v>52842</v>
      </c>
    </row>
    <row r="33643" spans="1:6" ht="12.75">
      <c r="A33643" s="8">
        <v>43889.453206018516</v>
      </c>
      <c r="B33643" s="8" t="str">
        <f>HYPERLINK("https://twitter.com/realprincetotty","@realprincetotty")</f>
        <v>@realprincetotty</v>
      </c>
      <c r="C33643" s="8" t="s">
        <v>12125</v>
      </c>
      <c r="D33643" s="8">
        <v>37</v>
      </c>
      <c r="E33643" s="8">
        <v>0</v>
      </c>
      <c r="F33643" s="8">
        <v>732</v>
      </c>
    </row>
    <row r="33644" spans="1:6" ht="12.75">
      <c r="A33644" s="8">
        <v>43889.453090277777</v>
      </c>
      <c r="B33644" s="8" t="str">
        <f>HYPERLINK("https://twitter.com/ObeGao","@ObeGao")</f>
        <v>@ObeGao</v>
      </c>
      <c r="C33644" s="8" t="s">
        <v>12481</v>
      </c>
      <c r="D33644" s="8">
        <v>10</v>
      </c>
      <c r="E33644" s="8">
        <v>0</v>
      </c>
      <c r="F33644" s="8">
        <v>445</v>
      </c>
    </row>
    <row r="33645" spans="1:6" ht="12.75">
      <c r="A33645" s="8">
        <v>43889.453067129631</v>
      </c>
      <c r="B33645" s="8" t="str">
        <f>HYPERLINK("https://twitter.com/didi_diy","@didi_diy")</f>
        <v>@didi_diy</v>
      </c>
      <c r="C33645" s="8" t="s">
        <v>11102</v>
      </c>
      <c r="D33645" s="8">
        <v>237</v>
      </c>
      <c r="E33645" s="8">
        <v>0</v>
      </c>
      <c r="F33645" s="8">
        <v>1028</v>
      </c>
    </row>
    <row r="33646" spans="1:6" ht="12.75">
      <c r="A33646" s="8">
        <v>43889.452974537038</v>
      </c>
      <c r="B33646" s="8" t="str">
        <f>HYPERLINK("https://twitter.com/berlianidris","@berlianidris")</f>
        <v>@berlianidris</v>
      </c>
      <c r="C33646" s="8" t="s">
        <v>12693</v>
      </c>
      <c r="D33646" s="8">
        <v>2</v>
      </c>
      <c r="E33646" s="8">
        <v>21</v>
      </c>
      <c r="F33646" s="8">
        <v>9146</v>
      </c>
    </row>
    <row r="33647" spans="1:6" ht="12.75">
      <c r="A33647" s="8">
        <v>43889.4527662037</v>
      </c>
      <c r="B33647" s="8" t="str">
        <f>HYPERLINK("https://twitter.com/nuramirasyraf","@nuramirasyraf")</f>
        <v>@nuramirasyraf</v>
      </c>
      <c r="C33647" s="8" t="s">
        <v>11102</v>
      </c>
      <c r="D33647" s="8">
        <v>237</v>
      </c>
      <c r="E33647" s="8">
        <v>0</v>
      </c>
      <c r="F33647" s="8">
        <v>495</v>
      </c>
    </row>
    <row r="33648" spans="1:6" ht="12.75">
      <c r="A33648" s="8">
        <v>43889.452743055561</v>
      </c>
      <c r="B33648" s="8" t="str">
        <f>HYPERLINK("https://twitter.com/rusukx","@rusukx")</f>
        <v>@rusukx</v>
      </c>
      <c r="C33648" s="8" t="s">
        <v>11102</v>
      </c>
      <c r="D33648" s="8">
        <v>237</v>
      </c>
      <c r="E33648" s="8">
        <v>0</v>
      </c>
      <c r="F33648" s="8">
        <v>660</v>
      </c>
    </row>
    <row r="33649" spans="1:6" ht="12.75">
      <c r="A33649" s="8">
        <v>43889.452592592592</v>
      </c>
      <c r="B33649" s="8" t="str">
        <f>HYPERLINK("https://twitter.com/4419__","@4419__")</f>
        <v>@4419__</v>
      </c>
      <c r="C33649" s="8" t="s">
        <v>12694</v>
      </c>
      <c r="D33649" s="8">
        <v>0</v>
      </c>
      <c r="E33649" s="8">
        <v>5</v>
      </c>
      <c r="F33649" s="8">
        <v>926</v>
      </c>
    </row>
    <row r="33650" spans="1:6" ht="12.75">
      <c r="A33650" s="8">
        <v>43889.452546296292</v>
      </c>
      <c r="B33650" s="8" t="str">
        <f>HYPERLINK("https://twitter.com/chairulachir","@chairulachir")</f>
        <v>@chairulachir</v>
      </c>
      <c r="C33650" s="8" t="s">
        <v>12695</v>
      </c>
      <c r="D33650" s="8">
        <v>2</v>
      </c>
      <c r="E33650" s="8">
        <v>0</v>
      </c>
      <c r="F33650" s="8">
        <v>2682</v>
      </c>
    </row>
    <row r="33651" spans="1:6" ht="12.75">
      <c r="A33651" s="8">
        <v>43889.452418981484</v>
      </c>
      <c r="B33651" s="8" t="str">
        <f>HYPERLINK("https://twitter.com/cindyanalicia","@cindyanalicia")</f>
        <v>@cindyanalicia</v>
      </c>
      <c r="C33651" s="8" t="s">
        <v>6863</v>
      </c>
      <c r="D33651" s="8">
        <v>286</v>
      </c>
      <c r="E33651" s="8">
        <v>0</v>
      </c>
      <c r="F33651" s="8">
        <v>232</v>
      </c>
    </row>
    <row r="33652" spans="1:6" ht="12.75">
      <c r="A33652" s="8">
        <v>43889.452233796299</v>
      </c>
      <c r="B33652" s="8" t="str">
        <f>HYPERLINK("https://twitter.com/dddeukkie","@dddeukkie")</f>
        <v>@dddeukkie</v>
      </c>
      <c r="C33652" s="8" t="s">
        <v>12696</v>
      </c>
      <c r="D33652" s="8">
        <v>0</v>
      </c>
      <c r="E33652" s="8">
        <v>0</v>
      </c>
      <c r="F33652" s="8">
        <v>34</v>
      </c>
    </row>
    <row r="33653" spans="1:6" ht="12.75">
      <c r="A33653" s="8">
        <v>43889.452094907407</v>
      </c>
      <c r="B33653" s="8" t="str">
        <f>HYPERLINK("https://twitter.com/indroprayitno39","@indroprayitno39")</f>
        <v>@indroprayitno39</v>
      </c>
      <c r="C33653" s="8" t="s">
        <v>12073</v>
      </c>
      <c r="D33653" s="8">
        <v>36</v>
      </c>
      <c r="E33653" s="8">
        <v>0</v>
      </c>
      <c r="F33653" s="8">
        <v>161</v>
      </c>
    </row>
    <row r="33654" spans="1:6" ht="12.75">
      <c r="A33654" s="8">
        <v>43889.451967592591</v>
      </c>
      <c r="B33654" s="8" t="str">
        <f>HYPERLINK("https://twitter.com/ign_djo666","@ign_djo666")</f>
        <v>@ign_djo666</v>
      </c>
      <c r="C33654" s="8" t="s">
        <v>12697</v>
      </c>
      <c r="D33654" s="8">
        <v>0</v>
      </c>
      <c r="E33654" s="8">
        <v>0</v>
      </c>
      <c r="F33654" s="8">
        <v>1008</v>
      </c>
    </row>
    <row r="33655" spans="1:6" ht="12.75">
      <c r="A33655" s="8">
        <v>43889.451944444445</v>
      </c>
      <c r="B33655" s="8" t="str">
        <f>HYPERLINK("https://twitter.com/amaliasdw","@amaliasdw")</f>
        <v>@amaliasdw</v>
      </c>
      <c r="C33655" s="8" t="s">
        <v>12698</v>
      </c>
      <c r="D33655" s="8">
        <v>0</v>
      </c>
      <c r="E33655" s="8">
        <v>0</v>
      </c>
      <c r="F33655" s="8">
        <v>55</v>
      </c>
    </row>
    <row r="33656" spans="1:6" ht="12.75">
      <c r="A33656" s="8">
        <v>43889.451944444445</v>
      </c>
      <c r="B33656" s="8" t="str">
        <f>HYPERLINK("https://twitter.com/weddie_s","@weddie_s")</f>
        <v>@weddie_s</v>
      </c>
      <c r="C33656" s="8" t="s">
        <v>12093</v>
      </c>
      <c r="D33656" s="8">
        <v>9</v>
      </c>
      <c r="E33656" s="8">
        <v>0</v>
      </c>
      <c r="F33656" s="8">
        <v>2791</v>
      </c>
    </row>
    <row r="33657" spans="1:6" ht="12.75">
      <c r="A33657" s="8">
        <v>43889.45140046296</v>
      </c>
      <c r="B33657" s="8" t="str">
        <f>HYPERLINK("https://twitter.com/antarasumbar","@antarasumbar")</f>
        <v>@antarasumbar</v>
      </c>
      <c r="C33657" s="8" t="s">
        <v>12699</v>
      </c>
      <c r="D33657" s="8">
        <v>0</v>
      </c>
      <c r="E33657" s="8">
        <v>1</v>
      </c>
      <c r="F33657" s="8">
        <v>9096</v>
      </c>
    </row>
    <row r="33658" spans="1:6" ht="12.75">
      <c r="A33658" s="8">
        <v>43889.450972222221</v>
      </c>
      <c r="B33658" s="8" t="str">
        <f>HYPERLINK("https://twitter.com/Warkiko1","@Warkiko1")</f>
        <v>@Warkiko1</v>
      </c>
      <c r="C33658" s="8" t="s">
        <v>12093</v>
      </c>
      <c r="D33658" s="8">
        <v>9</v>
      </c>
      <c r="E33658" s="8">
        <v>0</v>
      </c>
      <c r="F33658" s="8">
        <v>623</v>
      </c>
    </row>
    <row r="33659" spans="1:6" ht="12.75">
      <c r="A33659" s="8">
        <v>43889.450590277775</v>
      </c>
      <c r="B33659" s="8" t="str">
        <f>HYPERLINK("https://twitter.com/elleanor12","@elleanor12")</f>
        <v>@elleanor12</v>
      </c>
      <c r="C33659" s="8" t="s">
        <v>12700</v>
      </c>
      <c r="D33659" s="8">
        <v>0</v>
      </c>
      <c r="E33659" s="8">
        <v>0</v>
      </c>
      <c r="F33659" s="8">
        <v>434</v>
      </c>
    </row>
    <row r="33660" spans="1:6" ht="12.75">
      <c r="A33660" s="8">
        <v>43889.450567129628</v>
      </c>
      <c r="B33660" s="8" t="str">
        <f>HYPERLINK("https://twitter.com/AnakKolong___","@AnakKolong___")</f>
        <v>@AnakKolong___</v>
      </c>
      <c r="C33660" s="8" t="s">
        <v>12695</v>
      </c>
      <c r="D33660" s="8">
        <v>2</v>
      </c>
      <c r="E33660" s="8">
        <v>0</v>
      </c>
      <c r="F33660" s="8">
        <v>7158</v>
      </c>
    </row>
    <row r="33661" spans="1:6" ht="12.75">
      <c r="A33661" s="8">
        <v>43889.450416666667</v>
      </c>
      <c r="B33661" s="8" t="str">
        <f>HYPERLINK("https://twitter.com/burungk97792018","@burungk97792018")</f>
        <v>@burungk97792018</v>
      </c>
      <c r="C33661" s="8" t="s">
        <v>12070</v>
      </c>
      <c r="D33661" s="8">
        <v>3</v>
      </c>
      <c r="E33661" s="8">
        <v>0</v>
      </c>
      <c r="F33661" s="8">
        <v>146</v>
      </c>
    </row>
    <row r="33662" spans="1:6" ht="12.75">
      <c r="A33662" s="8">
        <v>43889.45039351852</v>
      </c>
      <c r="B33662" s="8" t="str">
        <f>HYPERLINK("https://twitter.com/ratu_adil","@ratu_adil")</f>
        <v>@ratu_adil</v>
      </c>
      <c r="C33662" s="8" t="s">
        <v>12701</v>
      </c>
      <c r="D33662" s="8">
        <v>3</v>
      </c>
      <c r="E33662" s="8">
        <v>6</v>
      </c>
      <c r="F33662" s="8">
        <v>52842</v>
      </c>
    </row>
    <row r="33663" spans="1:6" ht="12.75">
      <c r="A33663" s="8">
        <v>43889.450335648144</v>
      </c>
      <c r="B33663" s="8" t="str">
        <f>HYPERLINK("https://twitter.com/AnakKolong___","@AnakKolong___")</f>
        <v>@AnakKolong___</v>
      </c>
      <c r="C33663" s="8" t="s">
        <v>12702</v>
      </c>
      <c r="D33663" s="8">
        <v>1</v>
      </c>
      <c r="E33663" s="8">
        <v>0</v>
      </c>
      <c r="F33663" s="8">
        <v>7158</v>
      </c>
    </row>
    <row r="33664" spans="1:6" ht="12.75">
      <c r="A33664" s="8">
        <v>43889.450219907405</v>
      </c>
      <c r="B33664" s="8" t="str">
        <f>HYPERLINK("https://twitter.com/dwytono","@dwytono")</f>
        <v>@dwytono</v>
      </c>
      <c r="C33664" s="8" t="s">
        <v>12093</v>
      </c>
      <c r="D33664" s="8">
        <v>9</v>
      </c>
      <c r="E33664" s="8">
        <v>0</v>
      </c>
      <c r="F33664" s="8">
        <v>1858</v>
      </c>
    </row>
    <row r="33665" spans="1:6" ht="12.75">
      <c r="A33665" s="8">
        <v>43889.450150462959</v>
      </c>
      <c r="B33665" s="8" t="str">
        <f>HYPERLINK("https://twitter.com/alit_de","@alit_de")</f>
        <v>@alit_de</v>
      </c>
      <c r="C33665" s="8" t="s">
        <v>12093</v>
      </c>
      <c r="D33665" s="8">
        <v>9</v>
      </c>
      <c r="E33665" s="8">
        <v>0</v>
      </c>
      <c r="F33665" s="8">
        <v>870</v>
      </c>
    </row>
    <row r="33666" spans="1:6" ht="12.75">
      <c r="A33666" s="8">
        <v>43889.450069444443</v>
      </c>
      <c r="B33666" s="8" t="str">
        <f>HYPERLINK("https://twitter.com/Sadewazero","@Sadewazero")</f>
        <v>@Sadewazero</v>
      </c>
      <c r="C33666" s="8" t="s">
        <v>12703</v>
      </c>
      <c r="D33666" s="8">
        <v>0</v>
      </c>
      <c r="E33666" s="8">
        <v>0</v>
      </c>
      <c r="F33666" s="8">
        <v>150</v>
      </c>
    </row>
    <row r="33667" spans="1:6" ht="12.75">
      <c r="A33667" s="8">
        <v>43889.449814814812</v>
      </c>
      <c r="B33667" s="8" t="str">
        <f>HYPERLINK("https://twitter.com/banglintas","@banglintas")</f>
        <v>@banglintas</v>
      </c>
      <c r="C33667" s="8" t="s">
        <v>12444</v>
      </c>
      <c r="D33667" s="8">
        <v>0</v>
      </c>
      <c r="E33667" s="8">
        <v>0</v>
      </c>
      <c r="F33667" s="8">
        <v>54</v>
      </c>
    </row>
    <row r="33668" spans="1:6" ht="12.75">
      <c r="A33668" s="8">
        <v>43889.449652777781</v>
      </c>
      <c r="B33668" s="8" t="str">
        <f>HYPERLINK("https://twitter.com/nunatata07","@nunatata07")</f>
        <v>@nunatata07</v>
      </c>
      <c r="C33668" s="8" t="s">
        <v>12591</v>
      </c>
      <c r="D33668" s="8">
        <v>15</v>
      </c>
      <c r="E33668" s="8">
        <v>0</v>
      </c>
      <c r="F33668" s="8">
        <v>168</v>
      </c>
    </row>
    <row r="33669" spans="1:6" ht="12.75">
      <c r="A33669" s="8">
        <v>43889.449618055558</v>
      </c>
      <c r="B33669" s="8" t="str">
        <f>HYPERLINK("https://twitter.com/Endwinar","@Endwinar")</f>
        <v>@Endwinar</v>
      </c>
      <c r="C33669" s="8" t="s">
        <v>12073</v>
      </c>
      <c r="D33669" s="8">
        <v>36</v>
      </c>
      <c r="E33669" s="8">
        <v>0</v>
      </c>
      <c r="F33669" s="8">
        <v>23</v>
      </c>
    </row>
    <row r="33670" spans="1:6" ht="12.75">
      <c r="A33670" s="8">
        <v>43889.449606481481</v>
      </c>
      <c r="B33670" s="8" t="str">
        <f>HYPERLINK("https://twitter.com/ISIS_Balik_NO","@ISIS_Balik_NO")</f>
        <v>@ISIS_Balik_NO</v>
      </c>
      <c r="C33670" s="8" t="s">
        <v>12704</v>
      </c>
      <c r="D33670" s="8">
        <v>10</v>
      </c>
      <c r="E33670" s="8">
        <v>0</v>
      </c>
      <c r="F33670" s="8">
        <v>6082</v>
      </c>
    </row>
    <row r="33671" spans="1:6" ht="12.75">
      <c r="A33671" s="8">
        <v>43889.449456018519</v>
      </c>
      <c r="B33671" s="8" t="str">
        <f>HYPERLINK("https://twitter.com/ranioktaviani92","@ranioktaviani92")</f>
        <v>@ranioktaviani92</v>
      </c>
      <c r="C33671" s="8" t="s">
        <v>1325</v>
      </c>
      <c r="D33671" s="8">
        <v>0</v>
      </c>
      <c r="E33671" s="8">
        <v>0</v>
      </c>
      <c r="F33671" s="8">
        <v>24</v>
      </c>
    </row>
    <row r="33672" spans="1:6" ht="12.75">
      <c r="A33672" s="8">
        <v>43889.449236111112</v>
      </c>
      <c r="B33672" s="8" t="str">
        <f>HYPERLINK("https://twitter.com/CandraMartha4","@CandraMartha4")</f>
        <v>@CandraMartha4</v>
      </c>
      <c r="C33672" s="8" t="s">
        <v>12705</v>
      </c>
      <c r="D33672" s="8">
        <v>0</v>
      </c>
      <c r="E33672" s="8">
        <v>0</v>
      </c>
      <c r="F33672" s="8">
        <v>2</v>
      </c>
    </row>
    <row r="33673" spans="1:6" ht="12.75">
      <c r="A33673" s="8">
        <v>43889.449143518519</v>
      </c>
      <c r="B33673" s="8" t="str">
        <f>HYPERLINK("https://twitter.com/LautPolsek","@LautPolsek")</f>
        <v>@LautPolsek</v>
      </c>
      <c r="C33673" s="8" t="s">
        <v>12640</v>
      </c>
      <c r="D33673" s="8">
        <v>0</v>
      </c>
      <c r="E33673" s="8">
        <v>1</v>
      </c>
      <c r="F33673" s="8">
        <v>33</v>
      </c>
    </row>
    <row r="33674" spans="1:6" ht="12.75">
      <c r="A33674" s="8">
        <v>43889.44908564815</v>
      </c>
      <c r="B33674" s="8" t="str">
        <f>HYPERLINK("https://twitter.com/BacotRadikal","@BacotRadikal")</f>
        <v>@BacotRadikal</v>
      </c>
      <c r="C33674" s="8" t="s">
        <v>12706</v>
      </c>
      <c r="D33674" s="8">
        <v>0</v>
      </c>
      <c r="E33674" s="8">
        <v>0</v>
      </c>
      <c r="F33674" s="8">
        <v>24</v>
      </c>
    </row>
    <row r="33675" spans="1:6" ht="12.75">
      <c r="A33675" s="8">
        <v>43889.449016203704</v>
      </c>
      <c r="B33675" s="8" t="str">
        <f>HYPERLINK("https://twitter.com/Arep_Omar","@Arep_Omar")</f>
        <v>@Arep_Omar</v>
      </c>
      <c r="C33675" s="8" t="s">
        <v>11102</v>
      </c>
      <c r="D33675" s="8">
        <v>237</v>
      </c>
      <c r="E33675" s="8">
        <v>0</v>
      </c>
      <c r="F33675" s="8">
        <v>330</v>
      </c>
    </row>
    <row r="33676" spans="1:6" ht="12.75">
      <c r="A33676" s="8">
        <v>43889.448958333334</v>
      </c>
      <c r="B33676" s="8" t="str">
        <f>HYPERLINK("https://twitter.com/bobbyranggarez1","@bobbyranggarez1")</f>
        <v>@bobbyranggarez1</v>
      </c>
      <c r="C33676" s="8" t="s">
        <v>12073</v>
      </c>
      <c r="D33676" s="8">
        <v>36</v>
      </c>
      <c r="E33676" s="8">
        <v>0</v>
      </c>
      <c r="F33676" s="8">
        <v>45</v>
      </c>
    </row>
    <row r="33677" spans="1:6" ht="12.75">
      <c r="A33677" s="8">
        <v>43889.448842592596</v>
      </c>
      <c r="B33677" s="8" t="str">
        <f>HYPERLINK("https://twitter.com/ratu_adil","@ratu_adil")</f>
        <v>@ratu_adil</v>
      </c>
      <c r="C33677" s="8" t="s">
        <v>12707</v>
      </c>
      <c r="D33677" s="8">
        <v>1</v>
      </c>
      <c r="E33677" s="8">
        <v>5</v>
      </c>
      <c r="F33677" s="8">
        <v>52842</v>
      </c>
    </row>
    <row r="33678" spans="1:6" ht="12.75">
      <c r="A33678" s="8">
        <v>43889.423472222217</v>
      </c>
      <c r="B33678" s="8" t="str">
        <f>HYPERLINK("https://twitter.com/samenameanother","@samenameanother")</f>
        <v>@samenameanother</v>
      </c>
      <c r="C33678" s="8" t="s">
        <v>12135</v>
      </c>
      <c r="D33678" s="8">
        <v>8</v>
      </c>
      <c r="E33678" s="8">
        <v>0</v>
      </c>
      <c r="F33678" s="8">
        <v>9</v>
      </c>
    </row>
    <row r="33679" spans="1:6" ht="12.75">
      <c r="A33679" s="8">
        <v>43889.422905092593</v>
      </c>
      <c r="B33679" s="8" t="str">
        <f>HYPERLINK("https://twitter.com/masTenky","@masTenky")</f>
        <v>@masTenky</v>
      </c>
      <c r="C33679" s="8" t="s">
        <v>12708</v>
      </c>
      <c r="D33679" s="8">
        <v>0</v>
      </c>
      <c r="E33679" s="8">
        <v>0</v>
      </c>
      <c r="F33679" s="8">
        <v>435</v>
      </c>
    </row>
    <row r="33680" spans="1:6" ht="12.75">
      <c r="A33680" s="8">
        <v>43889.4221412037</v>
      </c>
      <c r="B33680" s="8" t="str">
        <f>HYPERLINK("https://twitter.com/rotatimu","@rotatimu")</f>
        <v>@rotatimu</v>
      </c>
      <c r="C33680" s="8" t="s">
        <v>12709</v>
      </c>
      <c r="D33680" s="8">
        <v>0</v>
      </c>
      <c r="E33680" s="8">
        <v>0</v>
      </c>
      <c r="F33680" s="8">
        <v>1712</v>
      </c>
    </row>
    <row r="33681" spans="1:6" ht="12.75">
      <c r="A33681" s="8">
        <v>43889.421782407408</v>
      </c>
      <c r="B33681" s="8" t="str">
        <f>HYPERLINK("https://twitter.com/iNewsID","@iNewsID")</f>
        <v>@iNewsID</v>
      </c>
      <c r="C33681" s="8" t="s">
        <v>12710</v>
      </c>
      <c r="D33681" s="8">
        <v>0</v>
      </c>
      <c r="E33681" s="8">
        <v>0</v>
      </c>
      <c r="F33681" s="8">
        <v>1343</v>
      </c>
    </row>
    <row r="33682" spans="1:6" ht="12.75">
      <c r="A33682" s="8">
        <v>43889.421666666662</v>
      </c>
      <c r="B33682" s="8" t="str">
        <f>HYPERLINK("https://twitter.com/ISIS_Balik_NO","@ISIS_Balik_NO")</f>
        <v>@ISIS_Balik_NO</v>
      </c>
      <c r="C33682" s="8" t="s">
        <v>12711</v>
      </c>
      <c r="D33682" s="8">
        <v>0</v>
      </c>
      <c r="E33682" s="8">
        <v>0</v>
      </c>
      <c r="F33682" s="8">
        <v>6082</v>
      </c>
    </row>
    <row r="33683" spans="1:6" ht="12.75">
      <c r="A33683" s="8">
        <v>43889.420925925922</v>
      </c>
      <c r="B33683" s="8" t="str">
        <f>HYPERLINK("https://twitter.com/NanaSuryacandra","@NanaSuryacandra")</f>
        <v>@NanaSuryacandra</v>
      </c>
      <c r="C33683" s="8" t="s">
        <v>12071</v>
      </c>
      <c r="D33683" s="8">
        <v>38</v>
      </c>
      <c r="E33683" s="8">
        <v>0</v>
      </c>
      <c r="F33683" s="8">
        <v>707</v>
      </c>
    </row>
    <row r="33684" spans="1:6" ht="12.75">
      <c r="A33684" s="8">
        <v>43889.420856481476</v>
      </c>
      <c r="B33684" s="8" t="str">
        <f>HYPERLINK("https://twitter.com/RYandhiW","@RYandhiW")</f>
        <v>@RYandhiW</v>
      </c>
      <c r="C33684" s="8" t="s">
        <v>12591</v>
      </c>
      <c r="D33684" s="8">
        <v>3</v>
      </c>
      <c r="E33684" s="8">
        <v>0</v>
      </c>
      <c r="F33684" s="8">
        <v>142</v>
      </c>
    </row>
    <row r="33685" spans="1:6" ht="12.75">
      <c r="A33685" s="8">
        <v>43889.42082175926</v>
      </c>
      <c r="B33685" s="8" t="str">
        <f>HYPERLINK("https://twitter.com/antaranews","@antaranews")</f>
        <v>@antaranews</v>
      </c>
      <c r="C33685" s="8" t="s">
        <v>12712</v>
      </c>
      <c r="D33685" s="8">
        <v>0</v>
      </c>
      <c r="E33685" s="8">
        <v>0</v>
      </c>
      <c r="F33685" s="8">
        <v>1105546</v>
      </c>
    </row>
    <row r="33686" spans="1:6" ht="12.75">
      <c r="A33686" s="8">
        <v>43889.420694444445</v>
      </c>
      <c r="B33686" s="8" t="str">
        <f>HYPERLINK("https://twitter.com/Davit_gongyu","@Davit_gongyu")</f>
        <v>@Davit_gongyu</v>
      </c>
      <c r="C33686" s="8" t="s">
        <v>12713</v>
      </c>
      <c r="D33686" s="8">
        <v>2</v>
      </c>
      <c r="E33686" s="8">
        <v>0</v>
      </c>
      <c r="F33686" s="8">
        <v>176</v>
      </c>
    </row>
    <row r="33687" spans="1:6" ht="12.75">
      <c r="A33687" s="8">
        <v>43889.420578703706</v>
      </c>
      <c r="B33687" s="8" t="str">
        <f>HYPERLINK("https://twitter.com/muktiadi1","@muktiadi1")</f>
        <v>@muktiadi1</v>
      </c>
      <c r="C33687" s="8" t="s">
        <v>12714</v>
      </c>
      <c r="D33687" s="8">
        <v>0</v>
      </c>
      <c r="E33687" s="8">
        <v>0</v>
      </c>
      <c r="F33687" s="8">
        <v>1258</v>
      </c>
    </row>
    <row r="33688" spans="1:6" ht="12.75">
      <c r="A33688" s="8">
        <v>43889.420532407406</v>
      </c>
      <c r="B33688" s="8" t="str">
        <f>HYPERLINK("https://twitter.com/chuentoi","@chuentoi")</f>
        <v>@chuentoi</v>
      </c>
      <c r="C33688" s="8" t="s">
        <v>12715</v>
      </c>
      <c r="D33688" s="8">
        <v>0</v>
      </c>
      <c r="E33688" s="8">
        <v>0</v>
      </c>
      <c r="F33688" s="8">
        <v>2</v>
      </c>
    </row>
    <row r="33689" spans="1:6" ht="12.75">
      <c r="A33689" s="8">
        <v>43889.420289351852</v>
      </c>
      <c r="B33689" s="8" t="str">
        <f>HYPERLINK("https://twitter.com/kbriabudhabi","@kbriabudhabi")</f>
        <v>@kbriabudhabi</v>
      </c>
      <c r="C33689" s="8" t="s">
        <v>12716</v>
      </c>
      <c r="D33689" s="8">
        <v>0</v>
      </c>
      <c r="E33689" s="8">
        <v>0</v>
      </c>
      <c r="F33689" s="8">
        <v>1630</v>
      </c>
    </row>
    <row r="33690" spans="1:6" ht="12.75">
      <c r="A33690" s="8">
        <v>43889.420127314814</v>
      </c>
      <c r="B33690" s="8" t="str">
        <f>HYPERLINK("https://twitter.com/rezarizkiperdan","@rezarizkiperdan")</f>
        <v>@rezarizkiperdan</v>
      </c>
      <c r="C33690" s="8" t="s">
        <v>12135</v>
      </c>
      <c r="D33690" s="8">
        <v>8</v>
      </c>
      <c r="E33690" s="8">
        <v>0</v>
      </c>
      <c r="F33690" s="8">
        <v>13</v>
      </c>
    </row>
    <row r="33691" spans="1:6" ht="12.75">
      <c r="A33691" s="8">
        <v>43889.41982638889</v>
      </c>
      <c r="B33691" s="8" t="str">
        <f>HYPERLINK("https://twitter.com/julkiflimarbun","@julkiflimarbun")</f>
        <v>@julkiflimarbun</v>
      </c>
      <c r="C33691" s="8" t="s">
        <v>11621</v>
      </c>
      <c r="D33691" s="8">
        <v>1</v>
      </c>
      <c r="E33691" s="8">
        <v>0</v>
      </c>
      <c r="F33691" s="8">
        <v>43</v>
      </c>
    </row>
    <row r="33692" spans="1:6" ht="12.75">
      <c r="A33692" s="8">
        <v>43889.419560185182</v>
      </c>
      <c r="B33692" s="8" t="str">
        <f>HYPERLINK("https://twitter.com/SaatTobat","@SaatTobat")</f>
        <v>@SaatTobat</v>
      </c>
      <c r="C33692" s="8" t="s">
        <v>12073</v>
      </c>
      <c r="D33692" s="8">
        <v>30</v>
      </c>
      <c r="E33692" s="8">
        <v>0</v>
      </c>
      <c r="F33692" s="8">
        <v>1331</v>
      </c>
    </row>
    <row r="33693" spans="1:6" ht="12.75">
      <c r="A33693" s="8">
        <v>43889.41878472222</v>
      </c>
      <c r="B33693" s="8" t="str">
        <f>HYPERLINK("https://twitter.com/News_Kaltim","@News_Kaltim")</f>
        <v>@News_Kaltim</v>
      </c>
      <c r="C33693" s="8" t="s">
        <v>12717</v>
      </c>
      <c r="D33693" s="8">
        <v>0</v>
      </c>
      <c r="E33693" s="8">
        <v>0</v>
      </c>
      <c r="F33693" s="8">
        <v>2345</v>
      </c>
    </row>
    <row r="33694" spans="1:6" ht="12.75">
      <c r="A33694" s="8">
        <v>43889.418773148151</v>
      </c>
      <c r="B33694" s="8" t="str">
        <f>HYPERLINK("https://twitter.com/Koharrasmadi1","@Koharrasmadi1")</f>
        <v>@Koharrasmadi1</v>
      </c>
      <c r="C33694" s="8" t="s">
        <v>12718</v>
      </c>
      <c r="D33694" s="8">
        <v>0</v>
      </c>
      <c r="E33694" s="8">
        <v>0</v>
      </c>
      <c r="F33694" s="8">
        <v>765</v>
      </c>
    </row>
    <row r="33695" spans="1:6" ht="12.75">
      <c r="A33695" s="8">
        <v>43889.418414351851</v>
      </c>
      <c r="B33695" s="8" t="str">
        <f t="shared" ref="B33695:B33696" si="464">HYPERLINK("https://twitter.com/SyairRevolusi","@SyairRevolusi")</f>
        <v>@SyairRevolusi</v>
      </c>
      <c r="C33695" s="8" t="s">
        <v>12554</v>
      </c>
      <c r="D33695" s="8">
        <v>3</v>
      </c>
      <c r="E33695" s="8">
        <v>0</v>
      </c>
      <c r="F33695" s="8">
        <v>1138</v>
      </c>
    </row>
    <row r="33696" spans="1:6" ht="12.75">
      <c r="A33696" s="8">
        <v>43889.418344907404</v>
      </c>
      <c r="B33696" s="8" t="str">
        <f t="shared" si="464"/>
        <v>@SyairRevolusi</v>
      </c>
      <c r="C33696" s="8" t="s">
        <v>12555</v>
      </c>
      <c r="D33696" s="8">
        <v>2</v>
      </c>
      <c r="E33696" s="8">
        <v>0</v>
      </c>
      <c r="F33696" s="8">
        <v>1138</v>
      </c>
    </row>
    <row r="33697" spans="1:6" ht="12.75">
      <c r="A33697" s="8">
        <v>43889.418310185181</v>
      </c>
      <c r="B33697" s="8" t="str">
        <f>HYPERLINK("https://twitter.com/zulkiflia09","@zulkiflia09")</f>
        <v>@zulkiflia09</v>
      </c>
      <c r="C33697" s="8" t="s">
        <v>12719</v>
      </c>
      <c r="D33697" s="8">
        <v>0</v>
      </c>
      <c r="E33697" s="8">
        <v>0</v>
      </c>
      <c r="F33697" s="8">
        <v>14</v>
      </c>
    </row>
    <row r="33698" spans="1:6" ht="12.75">
      <c r="A33698" s="8">
        <v>43889.417627314819</v>
      </c>
      <c r="B33698" s="8" t="str">
        <f>HYPERLINK("https://twitter.com/Johnyhunter66","@Johnyhunter66")</f>
        <v>@Johnyhunter66</v>
      </c>
      <c r="C33698" s="8" t="s">
        <v>12720</v>
      </c>
      <c r="D33698" s="8">
        <v>0</v>
      </c>
      <c r="E33698" s="8">
        <v>1</v>
      </c>
      <c r="F33698" s="8">
        <v>494</v>
      </c>
    </row>
    <row r="33699" spans="1:6" ht="12.75">
      <c r="A33699" s="8">
        <v>43889.417615740742</v>
      </c>
      <c r="B33699" s="8" t="str">
        <f>HYPERLINK("https://twitter.com/dedygober","@dedygober")</f>
        <v>@dedygober</v>
      </c>
      <c r="C33699" s="8" t="s">
        <v>12721</v>
      </c>
      <c r="D33699" s="8">
        <v>0</v>
      </c>
      <c r="E33699" s="8">
        <v>0</v>
      </c>
      <c r="F33699" s="8">
        <v>843</v>
      </c>
    </row>
    <row r="33700" spans="1:6" ht="12.75">
      <c r="A33700" s="8">
        <v>43889.417013888888</v>
      </c>
      <c r="B33700" s="8" t="str">
        <f>HYPERLINK("https://twitter.com/bamby9999","@bamby9999")</f>
        <v>@bamby9999</v>
      </c>
      <c r="C33700" s="8" t="s">
        <v>12232</v>
      </c>
      <c r="D33700" s="8">
        <v>14</v>
      </c>
      <c r="E33700" s="8">
        <v>0</v>
      </c>
      <c r="F33700" s="8">
        <v>156</v>
      </c>
    </row>
    <row r="33701" spans="1:6" ht="12.75">
      <c r="A33701" s="8">
        <v>43889.416631944448</v>
      </c>
      <c r="B33701" s="8" t="str">
        <f>HYPERLINK("https://twitter.com/astaga_kaget","@astaga_kaget")</f>
        <v>@astaga_kaget</v>
      </c>
      <c r="C33701" s="8" t="s">
        <v>12722</v>
      </c>
      <c r="D33701" s="8">
        <v>0</v>
      </c>
      <c r="E33701" s="8">
        <v>0</v>
      </c>
      <c r="F33701" s="8">
        <v>452</v>
      </c>
    </row>
    <row r="33702" spans="1:6" ht="12.75">
      <c r="A33702" s="8">
        <v>43889.416446759264</v>
      </c>
      <c r="B33702" s="8" t="str">
        <f>HYPERLINK("https://twitter.com/Johnyhunter66","@Johnyhunter66")</f>
        <v>@Johnyhunter66</v>
      </c>
      <c r="C33702" s="8" t="s">
        <v>12723</v>
      </c>
      <c r="D33702" s="8">
        <v>19</v>
      </c>
      <c r="E33702" s="8">
        <v>0</v>
      </c>
      <c r="F33702" s="8">
        <v>494</v>
      </c>
    </row>
    <row r="33703" spans="1:6" ht="12.75">
      <c r="A33703" s="8">
        <v>43889.41642361111</v>
      </c>
      <c r="B33703" s="8" t="str">
        <f>HYPERLINK("https://twitter.com/5adja","@5adja")</f>
        <v>@5adja</v>
      </c>
      <c r="C33703" s="8" t="s">
        <v>12135</v>
      </c>
      <c r="D33703" s="8">
        <v>8</v>
      </c>
      <c r="E33703" s="8">
        <v>0</v>
      </c>
      <c r="F33703" s="8">
        <v>40076</v>
      </c>
    </row>
    <row r="33704" spans="1:6" ht="12.75">
      <c r="A33704" s="8">
        <v>43889.416354166664</v>
      </c>
      <c r="B33704" s="8" t="str">
        <f>HYPERLINK("https://twitter.com/ainiff_my","@ainiff_my")</f>
        <v>@ainiff_my</v>
      </c>
      <c r="C33704" s="8" t="s">
        <v>11102</v>
      </c>
      <c r="D33704" s="8">
        <v>204</v>
      </c>
      <c r="E33704" s="8">
        <v>0</v>
      </c>
      <c r="F33704" s="8">
        <v>443</v>
      </c>
    </row>
    <row r="33705" spans="1:6" ht="12.75">
      <c r="A33705" s="8">
        <v>43889.416307870371</v>
      </c>
      <c r="B33705" s="8" t="str">
        <f>HYPERLINK("https://twitter.com/kanakoe21","@kanakoe21")</f>
        <v>@kanakoe21</v>
      </c>
      <c r="C33705" s="8" t="s">
        <v>11773</v>
      </c>
      <c r="D33705" s="8">
        <v>464</v>
      </c>
      <c r="E33705" s="8">
        <v>0</v>
      </c>
      <c r="F33705" s="8">
        <v>2</v>
      </c>
    </row>
    <row r="33706" spans="1:6" ht="12.75">
      <c r="A33706" s="8">
        <v>43889.416168981479</v>
      </c>
      <c r="B33706" s="8" t="str">
        <f>HYPERLINK("https://twitter.com/tarmiziabdrahim","@tarmiziabdrahim")</f>
        <v>@tarmiziabdrahim</v>
      </c>
      <c r="C33706" s="8" t="s">
        <v>11102</v>
      </c>
      <c r="D33706" s="8">
        <v>204</v>
      </c>
      <c r="E33706" s="8">
        <v>0</v>
      </c>
      <c r="F33706" s="8">
        <v>668</v>
      </c>
    </row>
    <row r="33707" spans="1:6" ht="12.75">
      <c r="A33707" s="8">
        <v>43889.415960648148</v>
      </c>
      <c r="B33707" s="8" t="str">
        <f>HYPERLINK("https://twitter.com/alhaqcentre","@alhaqcentre")</f>
        <v>@alhaqcentre</v>
      </c>
      <c r="C33707" s="8" t="s">
        <v>12724</v>
      </c>
      <c r="D33707" s="8">
        <v>0</v>
      </c>
      <c r="E33707" s="8">
        <v>0</v>
      </c>
      <c r="F33707" s="8">
        <v>670</v>
      </c>
    </row>
    <row r="33708" spans="1:6" ht="12.75">
      <c r="A33708" s="8">
        <v>43889.415844907402</v>
      </c>
      <c r="B33708" s="8" t="str">
        <f>HYPERLINK("https://twitter.com/vitta_mangelep","@vitta_mangelep")</f>
        <v>@vitta_mangelep</v>
      </c>
      <c r="C33708" s="8" t="s">
        <v>12232</v>
      </c>
      <c r="D33708" s="8">
        <v>14</v>
      </c>
      <c r="E33708" s="8">
        <v>0</v>
      </c>
      <c r="F33708" s="8">
        <v>957</v>
      </c>
    </row>
    <row r="33709" spans="1:6" ht="12.75">
      <c r="A33709" s="8">
        <v>43889.415671296301</v>
      </c>
      <c r="B33709" s="8" t="str">
        <f>HYPERLINK("https://twitter.com/Ahmad80583376","@Ahmad80583376")</f>
        <v>@Ahmad80583376</v>
      </c>
      <c r="C33709" s="8" t="s">
        <v>12725</v>
      </c>
      <c r="D33709" s="8">
        <v>0</v>
      </c>
      <c r="E33709" s="8">
        <v>0</v>
      </c>
      <c r="F33709" s="8">
        <v>5</v>
      </c>
    </row>
    <row r="33710" spans="1:6" ht="12.75">
      <c r="A33710" s="8">
        <v>43889.415289351848</v>
      </c>
      <c r="B33710" s="8" t="str">
        <f>HYPERLINK("https://twitter.com/plecidenPLONGO","@plecidenPLONGO")</f>
        <v>@plecidenPLONGO</v>
      </c>
      <c r="C33710" s="8" t="s">
        <v>12726</v>
      </c>
      <c r="D33710" s="8">
        <v>0</v>
      </c>
      <c r="E33710" s="8">
        <v>0</v>
      </c>
      <c r="F33710" s="8">
        <v>44</v>
      </c>
    </row>
    <row r="33711" spans="1:6" ht="12.75">
      <c r="A33711" s="8">
        <v>43889.41479166667</v>
      </c>
      <c r="B33711" s="8" t="str">
        <f>HYPERLINK("https://twitter.com/mamans7880","@mamans7880")</f>
        <v>@mamans7880</v>
      </c>
      <c r="C33711" s="8" t="s">
        <v>10943</v>
      </c>
      <c r="D33711" s="8">
        <v>13</v>
      </c>
      <c r="E33711" s="8">
        <v>0</v>
      </c>
      <c r="F33711" s="8">
        <v>1562</v>
      </c>
    </row>
    <row r="33712" spans="1:6" ht="12.75">
      <c r="A33712" s="8">
        <v>43889.414548611108</v>
      </c>
      <c r="B33712" s="8" t="str">
        <f>HYPERLINK("https://twitter.com/fathehmn","@fathehmn")</f>
        <v>@fathehmn</v>
      </c>
      <c r="C33712" s="8" t="s">
        <v>11102</v>
      </c>
      <c r="D33712" s="8">
        <v>204</v>
      </c>
      <c r="E33712" s="8">
        <v>0</v>
      </c>
      <c r="F33712" s="8">
        <v>743</v>
      </c>
    </row>
    <row r="33713" spans="1:6" ht="12.75">
      <c r="A33713" s="8">
        <v>43889.414189814815</v>
      </c>
      <c r="B33713" s="8" t="str">
        <f>HYPERLINK("https://twitter.com/tribunnews","@tribunnews")</f>
        <v>@tribunnews</v>
      </c>
      <c r="C33713" s="8" t="s">
        <v>12727</v>
      </c>
      <c r="D33713" s="8">
        <v>0</v>
      </c>
      <c r="E33713" s="8">
        <v>1</v>
      </c>
      <c r="F33713" s="8">
        <v>883410</v>
      </c>
    </row>
    <row r="33714" spans="1:6" ht="12.75">
      <c r="A33714" s="8">
        <v>43889.414131944446</v>
      </c>
      <c r="B33714" s="8" t="str">
        <f>HYPERLINK("https://twitter.com/Dea_Astari","@Dea_Astari")</f>
        <v>@Dea_Astari</v>
      </c>
      <c r="C33714" s="8" t="s">
        <v>12728</v>
      </c>
      <c r="D33714" s="8">
        <v>1</v>
      </c>
      <c r="E33714" s="8">
        <v>0</v>
      </c>
      <c r="F33714" s="8">
        <v>679</v>
      </c>
    </row>
    <row r="33715" spans="1:6" ht="12.75">
      <c r="A33715" s="8">
        <v>43889.413240740745</v>
      </c>
      <c r="B33715" s="8" t="str">
        <f>HYPERLINK("https://twitter.com/armoured_bear","@armoured_bear")</f>
        <v>@armoured_bear</v>
      </c>
      <c r="C33715" s="8" t="s">
        <v>12481</v>
      </c>
      <c r="D33715" s="8">
        <v>8</v>
      </c>
      <c r="E33715" s="8">
        <v>0</v>
      </c>
      <c r="F33715" s="8">
        <v>7</v>
      </c>
    </row>
    <row r="33716" spans="1:6" ht="12.75">
      <c r="A33716" s="8">
        <v>43889.412974537037</v>
      </c>
      <c r="B33716" s="8" t="str">
        <f>HYPERLINK("https://twitter.com/badakpos","@badakpos")</f>
        <v>@badakpos</v>
      </c>
      <c r="C33716" s="8" t="s">
        <v>12729</v>
      </c>
      <c r="D33716" s="8">
        <v>0</v>
      </c>
      <c r="E33716" s="8">
        <v>0</v>
      </c>
      <c r="F33716" s="8">
        <v>159</v>
      </c>
    </row>
    <row r="33717" spans="1:6" ht="12.75">
      <c r="A33717" s="8">
        <v>43889.412650462968</v>
      </c>
      <c r="B33717" s="8" t="str">
        <f>HYPERLINK("https://twitter.com/dishub_bwi","@dishub_bwi")</f>
        <v>@dishub_bwi</v>
      </c>
      <c r="C33717" s="8" t="s">
        <v>12135</v>
      </c>
      <c r="D33717" s="8">
        <v>8</v>
      </c>
      <c r="E33717" s="8">
        <v>0</v>
      </c>
      <c r="F33717" s="8">
        <v>2471</v>
      </c>
    </row>
    <row r="33718" spans="1:6" ht="12.75">
      <c r="A33718" s="8">
        <v>43889.412488425922</v>
      </c>
      <c r="B33718" s="8" t="str">
        <f>HYPERLINK("https://twitter.com/janganmembawang","@janganmembawang")</f>
        <v>@janganmembawang</v>
      </c>
      <c r="C33718" s="8" t="s">
        <v>11102</v>
      </c>
      <c r="D33718" s="8">
        <v>204</v>
      </c>
      <c r="E33718" s="8">
        <v>0</v>
      </c>
      <c r="F33718" s="8">
        <v>902</v>
      </c>
    </row>
    <row r="33719" spans="1:6" ht="12.75">
      <c r="A33719" s="8">
        <v>43889.411863425921</v>
      </c>
      <c r="B33719" s="8" t="str">
        <f>HYPERLINK("https://twitter.com/kangmutas","@kangmutas")</f>
        <v>@kangmutas</v>
      </c>
      <c r="C33719" s="8" t="s">
        <v>12730</v>
      </c>
      <c r="D33719" s="8">
        <v>93</v>
      </c>
      <c r="E33719" s="8">
        <v>0</v>
      </c>
      <c r="F33719" s="8">
        <v>6309</v>
      </c>
    </row>
    <row r="33720" spans="1:6" ht="12.75">
      <c r="A33720" s="8">
        <v>43889.411608796298</v>
      </c>
      <c r="B33720" s="8" t="str">
        <f>HYPERLINK("https://twitter.com/dare_darou","@dare_darou")</f>
        <v>@dare_darou</v>
      </c>
      <c r="C33720" s="8" t="s">
        <v>12052</v>
      </c>
      <c r="D33720" s="8">
        <v>114</v>
      </c>
      <c r="E33720" s="8">
        <v>0</v>
      </c>
      <c r="F33720" s="8">
        <v>2831</v>
      </c>
    </row>
    <row r="33721" spans="1:6" ht="12.75">
      <c r="A33721" s="8">
        <v>43889.410682870366</v>
      </c>
      <c r="B33721" s="8" t="str">
        <f>HYPERLINK("https://twitter.com/_PR0FES0NG","@_PR0FES0NG")</f>
        <v>@_PR0FES0NG</v>
      </c>
      <c r="C33721" s="8" t="s">
        <v>12232</v>
      </c>
      <c r="D33721" s="8">
        <v>14</v>
      </c>
      <c r="E33721" s="8">
        <v>0</v>
      </c>
      <c r="F33721" s="8">
        <v>2292</v>
      </c>
    </row>
    <row r="33722" spans="1:6" ht="12.75">
      <c r="A33722" s="8">
        <v>43889.410555555558</v>
      </c>
      <c r="B33722" s="8" t="str">
        <f t="shared" ref="B33722:B33723" si="465">HYPERLINK("https://twitter.com/fadli_tamam","@fadli_tamam")</f>
        <v>@fadli_tamam</v>
      </c>
      <c r="C33722" s="8" t="s">
        <v>4785</v>
      </c>
      <c r="D33722" s="8">
        <v>472</v>
      </c>
      <c r="E33722" s="8">
        <v>0</v>
      </c>
      <c r="F33722" s="8">
        <v>1183</v>
      </c>
    </row>
    <row r="33723" spans="1:6" ht="12.75">
      <c r="A33723" s="8">
        <v>43889.410520833335</v>
      </c>
      <c r="B33723" s="8" t="str">
        <f t="shared" si="465"/>
        <v>@fadli_tamam</v>
      </c>
      <c r="C33723" s="8" t="s">
        <v>26</v>
      </c>
      <c r="D33723" s="8">
        <v>167</v>
      </c>
      <c r="E33723" s="8">
        <v>0</v>
      </c>
      <c r="F33723" s="8">
        <v>1183</v>
      </c>
    </row>
    <row r="33724" spans="1:6" ht="12.75">
      <c r="A33724" s="8">
        <v>43889.410231481481</v>
      </c>
      <c r="B33724" s="8" t="str">
        <f>HYPERLINK("https://twitter.com/bimatm1","@bimatm1")</f>
        <v>@bimatm1</v>
      </c>
      <c r="C33724" s="8" t="s">
        <v>12135</v>
      </c>
      <c r="D33724" s="8">
        <v>8</v>
      </c>
      <c r="E33724" s="8">
        <v>0</v>
      </c>
      <c r="F33724" s="8">
        <v>4364</v>
      </c>
    </row>
    <row r="33725" spans="1:6" ht="12.75">
      <c r="A33725" s="8">
        <v>43889.40924768518</v>
      </c>
      <c r="B33725" s="8" t="str">
        <f>HYPERLINK("https://twitter.com/Heybotnek16","@Heybotnek16")</f>
        <v>@Heybotnek16</v>
      </c>
      <c r="C33725" s="8" t="s">
        <v>12135</v>
      </c>
      <c r="D33725" s="8">
        <v>8</v>
      </c>
      <c r="E33725" s="8">
        <v>0</v>
      </c>
      <c r="F33725" s="8">
        <v>125</v>
      </c>
    </row>
    <row r="33726" spans="1:6" ht="12.75">
      <c r="A33726" s="8">
        <v>43889.409224537041</v>
      </c>
      <c r="B33726" s="8" t="str">
        <f>HYPERLINK("https://twitter.com/isis_dom2","@isis_dom2")</f>
        <v>@isis_dom2</v>
      </c>
      <c r="C33726" s="8" t="s">
        <v>12731</v>
      </c>
      <c r="D33726" s="8">
        <v>0</v>
      </c>
      <c r="E33726" s="8">
        <v>0</v>
      </c>
      <c r="F33726" s="8">
        <v>1243</v>
      </c>
    </row>
    <row r="33727" spans="1:6" ht="12.75">
      <c r="A33727" s="8">
        <v>43889.409212962964</v>
      </c>
      <c r="B33727" s="8" t="str">
        <f>HYPERLINK("https://twitter.com/Lilkilill","@Lilkilill")</f>
        <v>@Lilkilill</v>
      </c>
      <c r="C33727" s="8" t="s">
        <v>12135</v>
      </c>
      <c r="D33727" s="8">
        <v>8</v>
      </c>
      <c r="E33727" s="8">
        <v>0</v>
      </c>
      <c r="F33727" s="8">
        <v>686</v>
      </c>
    </row>
    <row r="33728" spans="1:6" ht="12.75">
      <c r="A33728" s="8">
        <v>43889.408622685187</v>
      </c>
      <c r="B33728" s="8" t="str">
        <f>HYPERLINK("https://twitter.com/kemenhub151","@kemenhub151")</f>
        <v>@kemenhub151</v>
      </c>
      <c r="C33728" s="8" t="s">
        <v>12732</v>
      </c>
      <c r="D33728" s="8">
        <v>8</v>
      </c>
      <c r="E33728" s="8">
        <v>3</v>
      </c>
      <c r="F33728" s="8">
        <v>302230</v>
      </c>
    </row>
    <row r="33729" spans="1:6" ht="12.75">
      <c r="A33729" s="8">
        <v>43889.408472222218</v>
      </c>
      <c r="B33729" s="8" t="str">
        <f>HYPERLINK("https://twitter.com/aldipu","@aldipu")</f>
        <v>@aldipu</v>
      </c>
      <c r="C33729" s="8" t="s">
        <v>12733</v>
      </c>
      <c r="D33729" s="8">
        <v>1</v>
      </c>
      <c r="E33729" s="8">
        <v>0</v>
      </c>
      <c r="F33729" s="8">
        <v>548</v>
      </c>
    </row>
    <row r="33730" spans="1:6" ht="12.75">
      <c r="A33730" s="8">
        <v>43889.408391203702</v>
      </c>
      <c r="B33730" s="8" t="str">
        <f>HYPERLINK("https://twitter.com/poeputrii","@poeputrii")</f>
        <v>@poeputrii</v>
      </c>
      <c r="C33730" s="8" t="s">
        <v>12734</v>
      </c>
      <c r="D33730" s="8">
        <v>0</v>
      </c>
      <c r="E33730" s="8">
        <v>0</v>
      </c>
      <c r="F33730" s="8">
        <v>471</v>
      </c>
    </row>
    <row r="33731" spans="1:6" ht="12.75">
      <c r="A33731" s="8">
        <v>43889.408206018517</v>
      </c>
      <c r="B33731" s="8" t="str">
        <f>HYPERLINK("https://twitter.com/iky_rizky26","@iky_rizky26")</f>
        <v>@iky_rizky26</v>
      </c>
      <c r="C33731" s="8" t="s">
        <v>12735</v>
      </c>
      <c r="D33731" s="8">
        <v>0</v>
      </c>
      <c r="E33731" s="8">
        <v>0</v>
      </c>
      <c r="F33731" s="8">
        <v>224</v>
      </c>
    </row>
    <row r="33732" spans="1:6" ht="12.75">
      <c r="A33732" s="8">
        <v>43889.408194444448</v>
      </c>
      <c r="B33732" s="8" t="str">
        <f>HYPERLINK("https://twitter.com/irwanka","@irwanka")</f>
        <v>@irwanka</v>
      </c>
      <c r="C33732" s="8" t="s">
        <v>12073</v>
      </c>
      <c r="D33732" s="8">
        <v>30</v>
      </c>
      <c r="E33732" s="8">
        <v>0</v>
      </c>
      <c r="F33732" s="8">
        <v>1248</v>
      </c>
    </row>
    <row r="33733" spans="1:6" ht="12.75">
      <c r="A33733" s="8">
        <v>43889.408078703702</v>
      </c>
      <c r="B33733" s="8" t="str">
        <f>HYPERLINK("https://twitter.com/antaralampung","@antaralampung")</f>
        <v>@antaralampung</v>
      </c>
      <c r="C33733" s="8" t="s">
        <v>12736</v>
      </c>
      <c r="D33733" s="8">
        <v>0</v>
      </c>
      <c r="E33733" s="8">
        <v>0</v>
      </c>
      <c r="F33733" s="8">
        <v>3926</v>
      </c>
    </row>
    <row r="33734" spans="1:6" ht="12.75">
      <c r="A33734" s="8">
        <v>43889.407916666663</v>
      </c>
      <c r="B33734" s="8" t="str">
        <f>HYPERLINK("https://twitter.com/AnakLolina","@AnakLolina")</f>
        <v>@AnakLolina</v>
      </c>
      <c r="C33734" s="8" t="s">
        <v>12737</v>
      </c>
      <c r="D33734" s="8">
        <v>2</v>
      </c>
      <c r="E33734" s="8">
        <v>0</v>
      </c>
      <c r="F33734" s="8">
        <v>14960</v>
      </c>
    </row>
    <row r="33735" spans="1:6" ht="12.75">
      <c r="A33735" s="8">
        <v>43889.407523148147</v>
      </c>
      <c r="B33735" s="8" t="str">
        <f>HYPERLINK("https://twitter.com/uxi_obi","@uxi_obi")</f>
        <v>@uxi_obi</v>
      </c>
      <c r="C33735" s="8" t="s">
        <v>12738</v>
      </c>
      <c r="D33735" s="8">
        <v>0</v>
      </c>
      <c r="E33735" s="8">
        <v>0</v>
      </c>
      <c r="F33735" s="8">
        <v>275</v>
      </c>
    </row>
    <row r="33736" spans="1:6" ht="12.75">
      <c r="A33736" s="8">
        <v>43889.407337962963</v>
      </c>
      <c r="B33736" s="8" t="str">
        <f>HYPERLINK("https://twitter.com/alziqran","@alziqran")</f>
        <v>@alziqran</v>
      </c>
      <c r="C33736" s="8" t="s">
        <v>11102</v>
      </c>
      <c r="D33736" s="8">
        <v>204</v>
      </c>
      <c r="E33736" s="8">
        <v>0</v>
      </c>
      <c r="F33736" s="8">
        <v>6589</v>
      </c>
    </row>
    <row r="33737" spans="1:6" ht="12.75">
      <c r="A33737" s="8">
        <v>43889.40724537037</v>
      </c>
      <c r="B33737" s="8" t="str">
        <f>HYPERLINK("https://twitter.com/heryantoliem","@heryantoliem")</f>
        <v>@heryantoliem</v>
      </c>
      <c r="C33737" s="8" t="s">
        <v>12125</v>
      </c>
      <c r="D33737" s="8">
        <v>33</v>
      </c>
      <c r="E33737" s="8">
        <v>0</v>
      </c>
      <c r="F33737" s="8">
        <v>212</v>
      </c>
    </row>
    <row r="33738" spans="1:6" ht="12.75">
      <c r="A33738" s="8">
        <v>43889.407048611116</v>
      </c>
      <c r="B33738" s="8" t="str">
        <f>HYPERLINK("https://twitter.com/RedWineMalbec","@RedWineMalbec")</f>
        <v>@RedWineMalbec</v>
      </c>
      <c r="C33738" s="8" t="s">
        <v>12739</v>
      </c>
      <c r="D33738" s="8">
        <v>1</v>
      </c>
      <c r="E33738" s="8">
        <v>0</v>
      </c>
      <c r="F33738" s="8">
        <v>549</v>
      </c>
    </row>
    <row r="33739" spans="1:6" ht="12.75">
      <c r="A33739" s="8">
        <v>43889.40625</v>
      </c>
      <c r="B33739" s="8" t="str">
        <f>HYPERLINK("https://twitter.com/Negaprions","@Negaprions")</f>
        <v>@Negaprions</v>
      </c>
      <c r="C33739" s="8" t="s">
        <v>12740</v>
      </c>
      <c r="D33739" s="8">
        <v>12</v>
      </c>
      <c r="E33739" s="8">
        <v>0</v>
      </c>
      <c r="F33739" s="8">
        <v>1176</v>
      </c>
    </row>
    <row r="33740" spans="1:6" ht="12.75">
      <c r="A33740" s="8">
        <v>43889.406203703707</v>
      </c>
      <c r="B33740" s="8" t="str">
        <f>HYPERLINK("https://twitter.com/ImanuddinTeguh","@ImanuddinTeguh")</f>
        <v>@ImanuddinTeguh</v>
      </c>
      <c r="C33740" s="8" t="s">
        <v>12741</v>
      </c>
      <c r="D33740" s="8">
        <v>0</v>
      </c>
      <c r="E33740" s="8">
        <v>0</v>
      </c>
      <c r="F33740" s="8">
        <v>28</v>
      </c>
    </row>
    <row r="33741" spans="1:6" ht="12.75">
      <c r="A33741" s="8">
        <v>43889.406192129631</v>
      </c>
      <c r="B33741" s="8" t="str">
        <f>HYPERLINK("https://twitter.com/yudi732002","@yudi732002")</f>
        <v>@yudi732002</v>
      </c>
      <c r="C33741" s="8" t="s">
        <v>8036</v>
      </c>
      <c r="D33741" s="8">
        <v>42</v>
      </c>
      <c r="E33741" s="8">
        <v>0</v>
      </c>
      <c r="F33741" s="8">
        <v>641</v>
      </c>
    </row>
    <row r="33742" spans="1:6" ht="12.75">
      <c r="A33742" s="8">
        <v>43889.406111111108</v>
      </c>
      <c r="B33742" s="8" t="str">
        <f>HYPERLINK("https://twitter.com/shigekokubota","@shigekokubota")</f>
        <v>@shigekokubota</v>
      </c>
      <c r="C33742" s="8" t="s">
        <v>2940</v>
      </c>
      <c r="D33742" s="8">
        <v>2678</v>
      </c>
      <c r="E33742" s="8">
        <v>0</v>
      </c>
      <c r="F33742" s="8">
        <v>349</v>
      </c>
    </row>
    <row r="33743" spans="1:6" ht="12.75">
      <c r="A33743" s="8">
        <v>43889.406099537038</v>
      </c>
      <c r="B33743" s="8" t="str">
        <f>HYPERLINK("https://twitter.com/linTang98074883","@linTang98074883")</f>
        <v>@linTang98074883</v>
      </c>
      <c r="C33743" s="8" t="s">
        <v>12052</v>
      </c>
      <c r="D33743" s="8">
        <v>114</v>
      </c>
      <c r="E33743" s="8">
        <v>0</v>
      </c>
      <c r="F33743" s="8">
        <v>176</v>
      </c>
    </row>
    <row r="33744" spans="1:6" ht="12.75">
      <c r="A33744" s="8">
        <v>43889.405381944445</v>
      </c>
      <c r="B33744" s="8" t="str">
        <f>HYPERLINK("https://twitter.com/ElshintaTegal_","@ElshintaTegal_")</f>
        <v>@ElshintaTegal_</v>
      </c>
      <c r="C33744" s="8" t="s">
        <v>12742</v>
      </c>
      <c r="D33744" s="8">
        <v>0</v>
      </c>
      <c r="E33744" s="8">
        <v>0</v>
      </c>
      <c r="F33744" s="8">
        <v>35</v>
      </c>
    </row>
    <row r="33745" spans="1:6" ht="12.75">
      <c r="A33745" s="8">
        <v>43889.405185185184</v>
      </c>
      <c r="B33745" s="8" t="str">
        <f>HYPERLINK("https://twitter.com/yudi732002","@yudi732002")</f>
        <v>@yudi732002</v>
      </c>
      <c r="C33745" s="8" t="s">
        <v>12125</v>
      </c>
      <c r="D33745" s="8">
        <v>33</v>
      </c>
      <c r="E33745" s="8">
        <v>0</v>
      </c>
      <c r="F33745" s="8">
        <v>641</v>
      </c>
    </row>
    <row r="33746" spans="1:6" ht="12.75">
      <c r="A33746" s="8">
        <v>43889.404722222222</v>
      </c>
      <c r="B33746" s="8" t="str">
        <f>HYPERLINK("https://twitter.com/dzmuse","@dzmuse")</f>
        <v>@dzmuse</v>
      </c>
      <c r="C33746" s="8" t="s">
        <v>11102</v>
      </c>
      <c r="D33746" s="8">
        <v>204</v>
      </c>
      <c r="E33746" s="8">
        <v>0</v>
      </c>
      <c r="F33746" s="8">
        <v>756</v>
      </c>
    </row>
    <row r="33747" spans="1:6" ht="12.75">
      <c r="A33747" s="8">
        <v>43889.404421296298</v>
      </c>
      <c r="B33747" s="8" t="str">
        <f>HYPERLINK("https://twitter.com/syaifudin321","@syaifudin321")</f>
        <v>@syaifudin321</v>
      </c>
      <c r="C33747" s="8" t="s">
        <v>12743</v>
      </c>
      <c r="D33747" s="8">
        <v>0</v>
      </c>
      <c r="E33747" s="8">
        <v>0</v>
      </c>
      <c r="F33747" s="8">
        <v>686</v>
      </c>
    </row>
    <row r="33748" spans="1:6" ht="12.75">
      <c r="A33748" s="8">
        <v>43889.404409722221</v>
      </c>
      <c r="B33748" s="8" t="str">
        <f>HYPERLINK("https://twitter.com/ardianfadi","@ardianfadi")</f>
        <v>@ardianfadi</v>
      </c>
      <c r="C33748" s="8" t="s">
        <v>12744</v>
      </c>
      <c r="D33748" s="8">
        <v>0</v>
      </c>
      <c r="E33748" s="8">
        <v>0</v>
      </c>
      <c r="F33748" s="8">
        <v>267</v>
      </c>
    </row>
    <row r="33749" spans="1:6" ht="12.75">
      <c r="A33749" s="8">
        <v>43889.404039351852</v>
      </c>
      <c r="B33749" s="8" t="str">
        <f>HYPERLINK("https://twitter.com/mohd_ayish","@mohd_ayish")</f>
        <v>@mohd_ayish</v>
      </c>
      <c r="C33749" s="8" t="s">
        <v>11102</v>
      </c>
      <c r="D33749" s="8">
        <v>204</v>
      </c>
      <c r="E33749" s="8">
        <v>0</v>
      </c>
      <c r="F33749" s="8">
        <v>827</v>
      </c>
    </row>
    <row r="33750" spans="1:6" ht="12.75">
      <c r="A33750" s="8">
        <v>43889.402881944443</v>
      </c>
      <c r="B33750" s="8" t="str">
        <f>HYPERLINK("https://twitter.com/Rinasatia205199","@Rinasatia205199")</f>
        <v>@Rinasatia205199</v>
      </c>
      <c r="C33750" s="8" t="s">
        <v>12745</v>
      </c>
      <c r="D33750" s="8">
        <v>0</v>
      </c>
      <c r="E33750" s="8">
        <v>0</v>
      </c>
      <c r="F33750" s="8">
        <v>222</v>
      </c>
    </row>
    <row r="33751" spans="1:6" ht="12.75">
      <c r="A33751" s="8">
        <v>43889.402743055558</v>
      </c>
      <c r="B33751" s="8" t="str">
        <f>HYPERLINK("https://twitter.com/xiaojunieo","@xiaojunieo")</f>
        <v>@xiaojunieo</v>
      </c>
      <c r="C33751" s="8" t="s">
        <v>12746</v>
      </c>
      <c r="D33751" s="8">
        <v>0</v>
      </c>
      <c r="E33751" s="8">
        <v>0</v>
      </c>
      <c r="F33751" s="8">
        <v>518</v>
      </c>
    </row>
    <row r="33752" spans="1:6" ht="12.75">
      <c r="A33752" s="8">
        <v>43889.402557870373</v>
      </c>
      <c r="B33752" s="8" t="str">
        <f>HYPERLINK("https://twitter.com/Pria_Aprilia","@Pria_Aprilia")</f>
        <v>@Pria_Aprilia</v>
      </c>
      <c r="C33752" s="8" t="s">
        <v>12071</v>
      </c>
      <c r="D33752" s="8">
        <v>38</v>
      </c>
      <c r="E33752" s="8">
        <v>0</v>
      </c>
      <c r="F33752" s="8">
        <v>448</v>
      </c>
    </row>
    <row r="33753" spans="1:6" ht="12.75">
      <c r="A33753" s="8">
        <v>43889.401643518519</v>
      </c>
      <c r="B33753" s="8" t="str">
        <f>HYPERLINK("https://twitter.com/Fm98Sonora","@Fm98Sonora")</f>
        <v>@Fm98Sonora</v>
      </c>
      <c r="C33753" s="8" t="s">
        <v>6888</v>
      </c>
      <c r="D33753" s="8">
        <v>26</v>
      </c>
      <c r="E33753" s="8">
        <v>0</v>
      </c>
      <c r="F33753" s="8">
        <v>22</v>
      </c>
    </row>
    <row r="33754" spans="1:6" ht="12.75">
      <c r="A33754" s="8">
        <v>43889.401516203703</v>
      </c>
      <c r="B33754" s="8" t="str">
        <f>HYPERLINK("https://twitter.com/AnwarSadad02","@AnwarSadad02")</f>
        <v>@AnwarSadad02</v>
      </c>
      <c r="C33754" s="8" t="s">
        <v>12747</v>
      </c>
      <c r="D33754" s="8">
        <v>0</v>
      </c>
      <c r="E33754" s="8">
        <v>0</v>
      </c>
      <c r="F33754" s="8">
        <v>70</v>
      </c>
    </row>
    <row r="33755" spans="1:6" ht="12.75">
      <c r="A33755" s="8">
        <v>43889.401354166665</v>
      </c>
      <c r="B33755" s="8" t="str">
        <f>HYPERLINK("https://twitter.com/ross65093","@ross65093")</f>
        <v>@ross65093</v>
      </c>
      <c r="C33755" s="8" t="s">
        <v>11102</v>
      </c>
      <c r="D33755" s="8">
        <v>204</v>
      </c>
      <c r="E33755" s="8">
        <v>0</v>
      </c>
      <c r="F33755" s="8">
        <v>67</v>
      </c>
    </row>
    <row r="33756" spans="1:6" ht="12.75">
      <c r="A33756" s="8">
        <v>43889.401307870372</v>
      </c>
      <c r="B33756" s="8" t="str">
        <f>HYPERLINK("https://twitter.com/omaeheman","@omaeheman")</f>
        <v>@omaeheman</v>
      </c>
      <c r="C33756" s="8" t="s">
        <v>12748</v>
      </c>
      <c r="D33756" s="8">
        <v>0</v>
      </c>
      <c r="E33756" s="8">
        <v>0</v>
      </c>
      <c r="F33756" s="8">
        <v>1261</v>
      </c>
    </row>
    <row r="33757" spans="1:6" ht="12.75">
      <c r="A33757" s="8">
        <v>43889.400925925926</v>
      </c>
      <c r="B33757" s="8" t="str">
        <f>HYPERLINK("https://twitter.com/alleandrosa21","@alleandrosa21")</f>
        <v>@alleandrosa21</v>
      </c>
      <c r="C33757" s="8" t="s">
        <v>12073</v>
      </c>
      <c r="D33757" s="8">
        <v>30</v>
      </c>
      <c r="E33757" s="8">
        <v>0</v>
      </c>
      <c r="F33757" s="8">
        <v>1679</v>
      </c>
    </row>
    <row r="33758" spans="1:6" ht="12.75">
      <c r="A33758" s="8">
        <v>43889.400648148148</v>
      </c>
      <c r="B33758" s="8" t="str">
        <f t="shared" ref="B33758:B33759" si="466">HYPERLINK("https://twitter.com/mediaindonesia","@mediaindonesia")</f>
        <v>@mediaindonesia</v>
      </c>
      <c r="C33758" s="8" t="s">
        <v>12749</v>
      </c>
      <c r="D33758" s="8">
        <v>0</v>
      </c>
      <c r="E33758" s="8">
        <v>0</v>
      </c>
      <c r="F33758" s="8">
        <v>1419147</v>
      </c>
    </row>
    <row r="33759" spans="1:6" ht="12.75">
      <c r="A33759" s="8">
        <v>43889.400405092594</v>
      </c>
      <c r="B33759" s="8" t="str">
        <f t="shared" si="466"/>
        <v>@mediaindonesia</v>
      </c>
      <c r="C33759" s="8" t="s">
        <v>12750</v>
      </c>
      <c r="D33759" s="8">
        <v>0</v>
      </c>
      <c r="E33759" s="8">
        <v>0</v>
      </c>
      <c r="F33759" s="8">
        <v>1419147</v>
      </c>
    </row>
    <row r="33760" spans="1:6" ht="12.75">
      <c r="A33760" s="8">
        <v>43889.400127314817</v>
      </c>
      <c r="B33760" s="8" t="str">
        <f>HYPERLINK("https://twitter.com/johhhnygudhel","@johhhnygudhel")</f>
        <v>@johhhnygudhel</v>
      </c>
      <c r="C33760" s="8" t="s">
        <v>12125</v>
      </c>
      <c r="D33760" s="8">
        <v>33</v>
      </c>
      <c r="E33760" s="8">
        <v>0</v>
      </c>
      <c r="F33760" s="8">
        <v>2638</v>
      </c>
    </row>
    <row r="33761" spans="1:6" ht="12.75">
      <c r="A33761" s="8">
        <v>43889.399826388893</v>
      </c>
      <c r="B33761" s="8" t="str">
        <f>HYPERLINK("https://twitter.com/CSwadesi","@CSwadesi")</f>
        <v>@CSwadesi</v>
      </c>
      <c r="C33761" s="8" t="s">
        <v>12751</v>
      </c>
      <c r="D33761" s="8">
        <v>0</v>
      </c>
      <c r="E33761" s="8">
        <v>0</v>
      </c>
      <c r="F33761" s="8">
        <v>173</v>
      </c>
    </row>
    <row r="33762" spans="1:6" ht="12.75">
      <c r="A33762" s="8">
        <v>43889.399571759262</v>
      </c>
      <c r="B33762" s="8" t="str">
        <f>HYPERLINK("https://twitter.com/mans_patel","@mans_patel")</f>
        <v>@mans_patel</v>
      </c>
      <c r="C33762" s="8" t="s">
        <v>12752</v>
      </c>
      <c r="D33762" s="8">
        <v>0</v>
      </c>
      <c r="E33762" s="8">
        <v>0</v>
      </c>
      <c r="F33762" s="8">
        <v>35</v>
      </c>
    </row>
    <row r="33763" spans="1:6" ht="12.75">
      <c r="A33763" s="8">
        <v>43889.399560185186</v>
      </c>
      <c r="B33763" s="8" t="str">
        <f>HYPERLINK("https://twitter.com/mediaindonesia","@mediaindonesia")</f>
        <v>@mediaindonesia</v>
      </c>
      <c r="C33763" s="8" t="s">
        <v>12753</v>
      </c>
      <c r="D33763" s="8">
        <v>0</v>
      </c>
      <c r="E33763" s="8">
        <v>0</v>
      </c>
      <c r="F33763" s="8">
        <v>1419147</v>
      </c>
    </row>
    <row r="33764" spans="1:6" ht="12.75">
      <c r="A33764" s="8">
        <v>43889.399363425924</v>
      </c>
      <c r="B33764" s="8" t="str">
        <f>HYPERLINK("https://twitter.com/johan_woda","@johan_woda")</f>
        <v>@johan_woda</v>
      </c>
      <c r="C33764" s="8" t="s">
        <v>12125</v>
      </c>
      <c r="D33764" s="8">
        <v>33</v>
      </c>
      <c r="E33764" s="8">
        <v>0</v>
      </c>
      <c r="F33764" s="8">
        <v>168</v>
      </c>
    </row>
    <row r="33765" spans="1:6" ht="12.75">
      <c r="A33765" s="8">
        <v>43889.399062500001</v>
      </c>
      <c r="B33765" s="8" t="str">
        <f>HYPERLINK("https://twitter.com/ricky_Hf","@ricky_Hf")</f>
        <v>@ricky_Hf</v>
      </c>
      <c r="C33765" s="8" t="s">
        <v>12754</v>
      </c>
      <c r="D33765" s="8">
        <v>0</v>
      </c>
      <c r="E33765" s="8">
        <v>0</v>
      </c>
      <c r="F33765" s="8">
        <v>1578</v>
      </c>
    </row>
    <row r="33766" spans="1:6" ht="12.75">
      <c r="A33766" s="8">
        <v>43889.3980787037</v>
      </c>
      <c r="B33766" s="8" t="str">
        <f>HYPERLINK("https://twitter.com/IbeyKz","@IbeyKz")</f>
        <v>@IbeyKz</v>
      </c>
      <c r="C33766" s="8" t="s">
        <v>11102</v>
      </c>
      <c r="D33766" s="8">
        <v>204</v>
      </c>
      <c r="E33766" s="8">
        <v>0</v>
      </c>
      <c r="F33766" s="8">
        <v>677</v>
      </c>
    </row>
    <row r="33767" spans="1:6" ht="12.75">
      <c r="A33767" s="8">
        <v>43889.397974537038</v>
      </c>
      <c r="B33767" s="8" t="str">
        <f>HYPERLINK("https://twitter.com/NabilChokeslam","@NabilChokeslam")</f>
        <v>@NabilChokeslam</v>
      </c>
      <c r="C33767" s="8" t="s">
        <v>12755</v>
      </c>
      <c r="D33767" s="8">
        <v>36</v>
      </c>
      <c r="E33767" s="8">
        <v>0</v>
      </c>
      <c r="F33767" s="8">
        <v>238</v>
      </c>
    </row>
    <row r="33768" spans="1:6" ht="12.75">
      <c r="A33768" s="8">
        <v>43889.397962962961</v>
      </c>
      <c r="B33768" s="8" t="str">
        <f>HYPERLINK("https://twitter.com/kapapancen","@kapapancen")</f>
        <v>@kapapancen</v>
      </c>
      <c r="C33768" s="8" t="s">
        <v>12756</v>
      </c>
      <c r="D33768" s="8">
        <v>37</v>
      </c>
      <c r="E33768" s="8">
        <v>0</v>
      </c>
      <c r="F33768" s="8">
        <v>29</v>
      </c>
    </row>
    <row r="33769" spans="1:6" ht="12.75">
      <c r="A33769" s="8">
        <v>43889.397418981476</v>
      </c>
      <c r="B33769" s="8" t="str">
        <f>HYPERLINK("https://twitter.com/ShahmiHeizen","@ShahmiHeizen")</f>
        <v>@ShahmiHeizen</v>
      </c>
      <c r="C33769" s="8" t="s">
        <v>11102</v>
      </c>
      <c r="D33769" s="8">
        <v>204</v>
      </c>
      <c r="E33769" s="8">
        <v>0</v>
      </c>
      <c r="F33769" s="8">
        <v>914</v>
      </c>
    </row>
    <row r="33770" spans="1:6" ht="12.75">
      <c r="A33770" s="8">
        <v>43889.39738425926</v>
      </c>
      <c r="B33770" s="8" t="str">
        <f>HYPERLINK("https://twitter.com/SanAscLaw","@SanAscLaw")</f>
        <v>@SanAscLaw</v>
      </c>
      <c r="C33770" s="8" t="s">
        <v>12125</v>
      </c>
      <c r="D33770" s="8">
        <v>33</v>
      </c>
      <c r="E33770" s="8">
        <v>0</v>
      </c>
      <c r="F33770" s="8">
        <v>1157</v>
      </c>
    </row>
    <row r="33771" spans="1:6" ht="12.75">
      <c r="A33771" s="8">
        <v>43889.397222222222</v>
      </c>
      <c r="B33771" s="8" t="str">
        <f t="shared" ref="B33771:B33772" si="467">HYPERLINK("https://twitter.com/AnnaVLee","@AnnaVLee")</f>
        <v>@AnnaVLee</v>
      </c>
      <c r="C33771" s="8" t="s">
        <v>12052</v>
      </c>
      <c r="D33771" s="8">
        <v>114</v>
      </c>
      <c r="E33771" s="8">
        <v>0</v>
      </c>
      <c r="F33771" s="8">
        <v>179</v>
      </c>
    </row>
    <row r="33772" spans="1:6" ht="12.75">
      <c r="A33772" s="8">
        <v>43889.397106481483</v>
      </c>
      <c r="B33772" s="8" t="str">
        <f t="shared" si="467"/>
        <v>@AnnaVLee</v>
      </c>
      <c r="C33772" s="8" t="s">
        <v>12730</v>
      </c>
      <c r="D33772" s="8">
        <v>93</v>
      </c>
      <c r="E33772" s="8">
        <v>0</v>
      </c>
      <c r="F33772" s="8">
        <v>179</v>
      </c>
    </row>
    <row r="33773" spans="1:6" ht="12.75">
      <c r="A33773" s="8">
        <v>43889.39708333333</v>
      </c>
      <c r="B33773" s="8" t="str">
        <f>HYPERLINK("https://twitter.com/elasrihanda","@elasrihanda")</f>
        <v>@elasrihanda</v>
      </c>
      <c r="C33773" s="8" t="s">
        <v>12757</v>
      </c>
      <c r="D33773" s="8">
        <v>0</v>
      </c>
      <c r="E33773" s="8">
        <v>1</v>
      </c>
      <c r="F33773" s="8">
        <v>2464</v>
      </c>
    </row>
    <row r="33774" spans="1:6" ht="12.75">
      <c r="A33774" s="8">
        <v>43889.397002314814</v>
      </c>
      <c r="B33774" s="8" t="str">
        <f>HYPERLINK("https://twitter.com/Febri___1717","@Febri___1717")</f>
        <v>@Febri___1717</v>
      </c>
      <c r="C33774" s="8" t="s">
        <v>12232</v>
      </c>
      <c r="D33774" s="8">
        <v>14</v>
      </c>
      <c r="E33774" s="8">
        <v>0</v>
      </c>
      <c r="F33774" s="8">
        <v>13907</v>
      </c>
    </row>
    <row r="33775" spans="1:6" ht="12.75">
      <c r="A33775" s="8">
        <v>43889.396979166668</v>
      </c>
      <c r="B33775" s="8" t="str">
        <f>HYPERLINK("https://twitter.com/_Wiwis_Mbecak","@_Wiwis_Mbecak")</f>
        <v>@_Wiwis_Mbecak</v>
      </c>
      <c r="C33775" s="8" t="s">
        <v>12232</v>
      </c>
      <c r="D33775" s="8">
        <v>14</v>
      </c>
      <c r="E33775" s="8">
        <v>0</v>
      </c>
      <c r="F33775" s="8">
        <v>6643</v>
      </c>
    </row>
    <row r="33776" spans="1:6" ht="12.75">
      <c r="A33776" s="8">
        <v>43889.396493055552</v>
      </c>
      <c r="B33776" s="8" t="str">
        <f>HYPERLINK("https://twitter.com/bakul_janganan","@bakul_janganan")</f>
        <v>@bakul_janganan</v>
      </c>
      <c r="C33776" s="8" t="s">
        <v>12758</v>
      </c>
      <c r="D33776" s="8">
        <v>0</v>
      </c>
      <c r="E33776" s="8">
        <v>0</v>
      </c>
      <c r="F33776" s="8">
        <v>559</v>
      </c>
    </row>
    <row r="33777" spans="1:6" ht="12.75">
      <c r="A33777" s="8">
        <v>43889.39643518519</v>
      </c>
      <c r="B33777" s="8" t="str">
        <f>HYPERLINK("https://twitter.com/Jowo_Jawi","@Jowo_Jawi")</f>
        <v>@Jowo_Jawi</v>
      </c>
      <c r="C33777" s="8" t="s">
        <v>12759</v>
      </c>
      <c r="D33777" s="8">
        <v>2</v>
      </c>
      <c r="E33777" s="8">
        <v>0</v>
      </c>
      <c r="F33777" s="8">
        <v>1351</v>
      </c>
    </row>
    <row r="33778" spans="1:6" ht="12.75">
      <c r="A33778" s="8">
        <v>43889.381562499999</v>
      </c>
      <c r="B33778" s="8" t="str">
        <f>HYPERLINK("https://twitter.com/ISIS_Balik_NO","@ISIS_Balik_NO")</f>
        <v>@ISIS_Balik_NO</v>
      </c>
      <c r="C33778" s="8" t="s">
        <v>12760</v>
      </c>
      <c r="D33778" s="8">
        <v>0</v>
      </c>
      <c r="E33778" s="8">
        <v>0</v>
      </c>
      <c r="F33778" s="8">
        <v>6081</v>
      </c>
    </row>
    <row r="33779" spans="1:6" ht="12.75">
      <c r="A33779" s="8">
        <v>43889.381064814814</v>
      </c>
      <c r="B33779" s="8" t="str">
        <f>HYPERLINK("https://twitter.com/hikmatsholeh","@hikmatsholeh")</f>
        <v>@hikmatsholeh</v>
      </c>
      <c r="C33779" s="8" t="s">
        <v>12761</v>
      </c>
      <c r="D33779" s="8">
        <v>1</v>
      </c>
      <c r="E33779" s="8">
        <v>0</v>
      </c>
      <c r="F33779" s="8">
        <v>1217</v>
      </c>
    </row>
    <row r="33780" spans="1:6" ht="12.75">
      <c r="A33780" s="8">
        <v>43889.38081018519</v>
      </c>
      <c r="B33780" s="8" t="str">
        <f>HYPERLINK("https://twitter.com/_rezarazali_","@_rezarazali_")</f>
        <v>@_rezarazali_</v>
      </c>
      <c r="C33780" s="8" t="s">
        <v>11102</v>
      </c>
      <c r="D33780" s="8">
        <v>186</v>
      </c>
      <c r="E33780" s="8">
        <v>0</v>
      </c>
      <c r="F33780" s="8">
        <v>96</v>
      </c>
    </row>
    <row r="33781" spans="1:6" ht="12.75">
      <c r="A33781" s="8">
        <v>43889.380798611106</v>
      </c>
      <c r="B33781" s="8" t="str">
        <f>HYPERLINK("https://twitter.com/ElshintaDotcom","@ElshintaDotcom")</f>
        <v>@ElshintaDotcom</v>
      </c>
      <c r="C33781" s="8" t="s">
        <v>12762</v>
      </c>
      <c r="D33781" s="8">
        <v>0</v>
      </c>
      <c r="E33781" s="8">
        <v>0</v>
      </c>
      <c r="F33781" s="8">
        <v>27929</v>
      </c>
    </row>
    <row r="33782" spans="1:6" ht="12.75">
      <c r="A33782" s="8">
        <v>43889.380682870367</v>
      </c>
      <c r="B33782" s="8" t="str">
        <f>HYPERLINK("https://twitter.com/ras_af06","@ras_af06")</f>
        <v>@ras_af06</v>
      </c>
      <c r="C33782" s="8" t="s">
        <v>12143</v>
      </c>
      <c r="D33782" s="8">
        <v>325</v>
      </c>
      <c r="E33782" s="8">
        <v>0</v>
      </c>
      <c r="F33782" s="8">
        <v>140</v>
      </c>
    </row>
    <row r="33783" spans="1:6" ht="12.75">
      <c r="A33783" s="8">
        <v>43889.380416666667</v>
      </c>
      <c r="B33783" s="8" t="str">
        <f>HYPERLINK("https://twitter.com/Alien_007_","@Alien_007_")</f>
        <v>@Alien_007_</v>
      </c>
      <c r="C33783" s="8" t="s">
        <v>12073</v>
      </c>
      <c r="D33783" s="8">
        <v>23</v>
      </c>
      <c r="E33783" s="8">
        <v>0</v>
      </c>
      <c r="F33783" s="8">
        <v>17</v>
      </c>
    </row>
    <row r="33784" spans="1:6" ht="12.75">
      <c r="A33784" s="8">
        <v>43889.380057870367</v>
      </c>
      <c r="B33784" s="8" t="str">
        <f>HYPERLINK("https://twitter.com/shiva_nataraja3","@shiva_nataraja3")</f>
        <v>@shiva_nataraja3</v>
      </c>
      <c r="C33784" s="8" t="s">
        <v>12763</v>
      </c>
      <c r="D33784" s="8">
        <v>0</v>
      </c>
      <c r="E33784" s="8">
        <v>0</v>
      </c>
      <c r="F33784" s="8">
        <v>170</v>
      </c>
    </row>
    <row r="33785" spans="1:6" ht="12.75">
      <c r="A33785" s="8">
        <v>43889.379837962959</v>
      </c>
      <c r="B33785" s="8" t="str">
        <f>HYPERLINK("https://twitter.com/Kent40365342","@Kent40365342")</f>
        <v>@Kent40365342</v>
      </c>
      <c r="C33785" s="8" t="s">
        <v>12764</v>
      </c>
      <c r="D33785" s="8">
        <v>0</v>
      </c>
      <c r="E33785" s="8">
        <v>1</v>
      </c>
      <c r="F33785" s="8">
        <v>16</v>
      </c>
    </row>
    <row r="33786" spans="1:6" ht="12.75">
      <c r="A33786" s="8">
        <v>43889.379641203705</v>
      </c>
      <c r="B33786" s="8" t="str">
        <f>HYPERLINK("https://twitter.com/cahusen1","@cahusen1")</f>
        <v>@cahusen1</v>
      </c>
      <c r="C33786" s="8" t="s">
        <v>12222</v>
      </c>
      <c r="D33786" s="8">
        <v>9</v>
      </c>
      <c r="E33786" s="8">
        <v>0</v>
      </c>
      <c r="F33786" s="8">
        <v>772</v>
      </c>
    </row>
    <row r="33787" spans="1:6" ht="12.75">
      <c r="A33787" s="8">
        <v>43889.379594907412</v>
      </c>
      <c r="B33787" s="8" t="str">
        <f>HYPERLINK("https://twitter.com/wokayokay","@wokayokay")</f>
        <v>@wokayokay</v>
      </c>
      <c r="C33787" s="8" t="s">
        <v>12071</v>
      </c>
      <c r="D33787" s="8">
        <v>36</v>
      </c>
      <c r="E33787" s="8">
        <v>0</v>
      </c>
      <c r="F33787" s="8">
        <v>541</v>
      </c>
    </row>
    <row r="33788" spans="1:6" ht="12.75">
      <c r="A33788" s="8">
        <v>43889.379583333328</v>
      </c>
      <c r="B33788" s="8" t="str">
        <f t="shared" ref="B33788:B33789" si="468">HYPERLINK("https://twitter.com/mudha_satriya","@mudha_satriya")</f>
        <v>@mudha_satriya</v>
      </c>
      <c r="C33788" s="8" t="s">
        <v>12765</v>
      </c>
      <c r="D33788" s="8">
        <v>5</v>
      </c>
      <c r="E33788" s="8">
        <v>0</v>
      </c>
      <c r="F33788" s="8">
        <v>1875</v>
      </c>
    </row>
    <row r="33789" spans="1:6" ht="12.75">
      <c r="A33789" s="8">
        <v>43889.379444444443</v>
      </c>
      <c r="B33789" s="8" t="str">
        <f t="shared" si="468"/>
        <v>@mudha_satriya</v>
      </c>
      <c r="C33789" s="8" t="s">
        <v>12766</v>
      </c>
      <c r="D33789" s="8">
        <v>2</v>
      </c>
      <c r="E33789" s="8">
        <v>0</v>
      </c>
      <c r="F33789" s="8">
        <v>1875</v>
      </c>
    </row>
    <row r="33790" spans="1:6" ht="12.75">
      <c r="A33790" s="8">
        <v>43889.379016203704</v>
      </c>
      <c r="B33790" s="8" t="str">
        <f>HYPERLINK("https://twitter.com/mharipin","@mharipin")</f>
        <v>@mharipin</v>
      </c>
      <c r="C33790" s="8" t="s">
        <v>12481</v>
      </c>
      <c r="D33790" s="8">
        <v>5</v>
      </c>
      <c r="E33790" s="8">
        <v>0</v>
      </c>
      <c r="F33790" s="8">
        <v>214</v>
      </c>
    </row>
    <row r="33791" spans="1:6" ht="12.75">
      <c r="A33791" s="8">
        <v>43889.378761574073</v>
      </c>
      <c r="B33791" s="8" t="str">
        <f>HYPERLINK("https://twitter.com/tasycalista","@tasycalista")</f>
        <v>@tasycalista</v>
      </c>
      <c r="C33791" s="8" t="s">
        <v>12767</v>
      </c>
      <c r="D33791" s="8">
        <v>0</v>
      </c>
      <c r="E33791" s="8">
        <v>0</v>
      </c>
      <c r="F33791" s="8">
        <v>1077</v>
      </c>
    </row>
    <row r="33792" spans="1:6" ht="12.75">
      <c r="A33792" s="8">
        <v>43889.378668981481</v>
      </c>
      <c r="B33792" s="8" t="str">
        <f>HYPERLINK("https://twitter.com/ISIS_Balik_NO","@ISIS_Balik_NO")</f>
        <v>@ISIS_Balik_NO</v>
      </c>
      <c r="C33792" s="8" t="s">
        <v>12768</v>
      </c>
      <c r="D33792" s="8">
        <v>0</v>
      </c>
      <c r="E33792" s="8">
        <v>0</v>
      </c>
      <c r="F33792" s="8">
        <v>6081</v>
      </c>
    </row>
    <row r="33793" spans="1:6" ht="12.75">
      <c r="A33793" s="8">
        <v>43889.378159722226</v>
      </c>
      <c r="B33793" s="8" t="str">
        <f>HYPERLINK("https://twitter.com/satriyowm","@satriyowm")</f>
        <v>@satriyowm</v>
      </c>
      <c r="C33793" s="8" t="s">
        <v>12769</v>
      </c>
      <c r="D33793" s="8">
        <v>2</v>
      </c>
      <c r="E33793" s="8">
        <v>0</v>
      </c>
      <c r="F33793" s="8">
        <v>583</v>
      </c>
    </row>
    <row r="33794" spans="1:6" ht="12.75">
      <c r="A33794" s="8">
        <v>43889.378020833334</v>
      </c>
      <c r="B33794" s="8" t="str">
        <f>HYPERLINK("https://twitter.com/Dnugroho11","@Dnugroho11")</f>
        <v>@Dnugroho11</v>
      </c>
      <c r="C33794" s="8" t="s">
        <v>8036</v>
      </c>
      <c r="D33794" s="8">
        <v>41</v>
      </c>
      <c r="E33794" s="8">
        <v>0</v>
      </c>
      <c r="F33794" s="8">
        <v>752</v>
      </c>
    </row>
    <row r="33795" spans="1:6" ht="12.75">
      <c r="A33795" s="8">
        <v>43889.377962962964</v>
      </c>
      <c r="B33795" s="8" t="str">
        <f>HYPERLINK("https://twitter.com/vera_twin","@vera_twin")</f>
        <v>@vera_twin</v>
      </c>
      <c r="C33795" s="8" t="s">
        <v>12591</v>
      </c>
      <c r="D33795" s="8">
        <v>1</v>
      </c>
      <c r="E33795" s="8">
        <v>0</v>
      </c>
      <c r="F33795" s="8">
        <v>216</v>
      </c>
    </row>
    <row r="33796" spans="1:6" ht="12.75">
      <c r="A33796" s="8">
        <v>43889.377557870372</v>
      </c>
      <c r="B33796" s="8" t="str">
        <f>HYPERLINK("https://twitter.com/Mirwan3b","@Mirwan3b")</f>
        <v>@Mirwan3b</v>
      </c>
      <c r="C33796" s="8" t="s">
        <v>12222</v>
      </c>
      <c r="D33796" s="8">
        <v>9</v>
      </c>
      <c r="E33796" s="8">
        <v>0</v>
      </c>
      <c r="F33796" s="8">
        <v>1295</v>
      </c>
    </row>
    <row r="33797" spans="1:6" ht="12.75">
      <c r="A33797" s="8">
        <v>43889.377500000002</v>
      </c>
      <c r="B33797" s="8" t="str">
        <f>HYPERLINK("https://twitter.com/Hendrick215","@Hendrick215")</f>
        <v>@Hendrick215</v>
      </c>
      <c r="C33797" s="8" t="s">
        <v>12073</v>
      </c>
      <c r="D33797" s="8">
        <v>23</v>
      </c>
      <c r="E33797" s="8">
        <v>0</v>
      </c>
      <c r="F33797" s="8">
        <v>126</v>
      </c>
    </row>
    <row r="33798" spans="1:6" ht="12.75">
      <c r="A33798" s="8">
        <v>43889.377465277779</v>
      </c>
      <c r="B33798" s="8" t="str">
        <f>HYPERLINK("https://twitter.com/KapanLagicom","@KapanLagicom")</f>
        <v>@KapanLagicom</v>
      </c>
      <c r="C33798" s="8" t="s">
        <v>12770</v>
      </c>
      <c r="D33798" s="8">
        <v>1</v>
      </c>
      <c r="E33798" s="8">
        <v>1</v>
      </c>
      <c r="F33798" s="8">
        <v>2096723</v>
      </c>
    </row>
    <row r="33799" spans="1:6" ht="12.75">
      <c r="A33799" s="8">
        <v>43889.377280092594</v>
      </c>
      <c r="B33799" s="8" t="str">
        <f>HYPERLINK("https://twitter.com/1hsan","@1hsan")</f>
        <v>@1hsan</v>
      </c>
      <c r="C33799" s="8" t="s">
        <v>12771</v>
      </c>
      <c r="D33799" s="8">
        <v>2</v>
      </c>
      <c r="E33799" s="8">
        <v>0</v>
      </c>
      <c r="F33799" s="8">
        <v>234</v>
      </c>
    </row>
    <row r="33800" spans="1:6" ht="12.75">
      <c r="A33800" s="8">
        <v>43889.377129629633</v>
      </c>
      <c r="B33800" s="8" t="str">
        <f>HYPERLINK("https://twitter.com/RepzoneMorowali","@RepzoneMorowali")</f>
        <v>@RepzoneMorowali</v>
      </c>
      <c r="C33800" s="8" t="s">
        <v>12772</v>
      </c>
      <c r="D33800" s="8">
        <v>0</v>
      </c>
      <c r="E33800" s="8">
        <v>0</v>
      </c>
      <c r="F33800" s="8">
        <v>33</v>
      </c>
    </row>
    <row r="33801" spans="1:6" ht="12.75">
      <c r="A33801" s="8">
        <v>43889.377129629633</v>
      </c>
      <c r="B33801" s="8" t="str">
        <f>HYPERLINK("https://twitter.com/yasminazra9901","@yasminazra9901")</f>
        <v>@yasminazra9901</v>
      </c>
      <c r="C33801" s="8" t="s">
        <v>11102</v>
      </c>
      <c r="D33801" s="8">
        <v>186</v>
      </c>
      <c r="E33801" s="8">
        <v>0</v>
      </c>
      <c r="F33801" s="8">
        <v>473</v>
      </c>
    </row>
    <row r="33802" spans="1:6" ht="12.75">
      <c r="A33802" s="8">
        <v>43889.376342592594</v>
      </c>
      <c r="B33802" s="8" t="str">
        <f>HYPERLINK("https://twitter.com/s_purna_1","@s_purna_1")</f>
        <v>@s_purna_1</v>
      </c>
      <c r="C33802" s="8" t="s">
        <v>12065</v>
      </c>
      <c r="D33802" s="8">
        <v>22</v>
      </c>
      <c r="E33802" s="8">
        <v>0</v>
      </c>
      <c r="F33802" s="8">
        <v>796</v>
      </c>
    </row>
    <row r="33803" spans="1:6" ht="12.75">
      <c r="A33803" s="8">
        <v>43889.376319444447</v>
      </c>
      <c r="B33803" s="8" t="str">
        <f>HYPERLINK("https://twitter.com/sunarko_suwito","@sunarko_suwito")</f>
        <v>@sunarko_suwito</v>
      </c>
      <c r="C33803" s="8" t="s">
        <v>12773</v>
      </c>
      <c r="D33803" s="8">
        <v>1</v>
      </c>
      <c r="E33803" s="8">
        <v>0</v>
      </c>
      <c r="F33803" s="8">
        <v>10</v>
      </c>
    </row>
    <row r="33804" spans="1:6" ht="12.75">
      <c r="A33804" s="8">
        <v>43889.376192129625</v>
      </c>
      <c r="B33804" s="8" t="str">
        <f>HYPERLINK("https://twitter.com/dwihj","@dwihj")</f>
        <v>@dwihj</v>
      </c>
      <c r="C33804" s="8" t="s">
        <v>12774</v>
      </c>
      <c r="D33804" s="8">
        <v>0</v>
      </c>
      <c r="E33804" s="8">
        <v>0</v>
      </c>
      <c r="F33804" s="8">
        <v>92</v>
      </c>
    </row>
    <row r="33805" spans="1:6" ht="12.75">
      <c r="A33805" s="8">
        <v>43889.37605324074</v>
      </c>
      <c r="B33805" s="8" t="str">
        <f>HYPERLINK("https://twitter.com/ustazos","@ustazos")</f>
        <v>@ustazos</v>
      </c>
      <c r="C33805" s="8" t="s">
        <v>11102</v>
      </c>
      <c r="D33805" s="8">
        <v>186</v>
      </c>
      <c r="E33805" s="8">
        <v>0</v>
      </c>
      <c r="F33805" s="8">
        <v>1336</v>
      </c>
    </row>
    <row r="33806" spans="1:6" ht="12.75">
      <c r="A33806" s="8">
        <v>43889.375983796301</v>
      </c>
      <c r="B33806" s="8" t="str">
        <f>HYPERLINK("https://twitter.com/hafiz4180","@hafiz4180")</f>
        <v>@hafiz4180</v>
      </c>
      <c r="C33806" s="8" t="s">
        <v>11102</v>
      </c>
      <c r="D33806" s="8">
        <v>186</v>
      </c>
      <c r="E33806" s="8">
        <v>0</v>
      </c>
      <c r="F33806" s="8">
        <v>167</v>
      </c>
    </row>
    <row r="33807" spans="1:6" ht="12.75">
      <c r="A33807" s="8">
        <v>43889.375972222224</v>
      </c>
      <c r="B33807" s="8" t="str">
        <f>HYPERLINK("https://twitter.com/Bennyboegiz","@Bennyboegiz")</f>
        <v>@Bennyboegiz</v>
      </c>
      <c r="C33807" s="8" t="s">
        <v>12775</v>
      </c>
      <c r="D33807" s="8">
        <v>0</v>
      </c>
      <c r="E33807" s="8">
        <v>1</v>
      </c>
      <c r="F33807" s="8">
        <v>1029</v>
      </c>
    </row>
    <row r="33808" spans="1:6" ht="12.75">
      <c r="A33808" s="8">
        <v>43889.375625000001</v>
      </c>
      <c r="B33808" s="8" t="str">
        <f>HYPERLINK("https://twitter.com/akuya_aikya","@akuya_aikya")</f>
        <v>@akuya_aikya</v>
      </c>
      <c r="C33808" s="8" t="s">
        <v>12776</v>
      </c>
      <c r="D33808" s="8">
        <v>0</v>
      </c>
      <c r="E33808" s="8">
        <v>0</v>
      </c>
      <c r="F33808" s="8">
        <v>674</v>
      </c>
    </row>
    <row r="33809" spans="1:6" ht="12.75">
      <c r="A33809" s="8">
        <v>43889.375613425931</v>
      </c>
      <c r="B33809" s="8" t="str">
        <f>HYPERLINK("https://twitter.com/Doremon_Sinchen","@Doremon_Sinchen")</f>
        <v>@Doremon_Sinchen</v>
      </c>
      <c r="C33809" s="8" t="s">
        <v>12777</v>
      </c>
      <c r="D33809" s="8">
        <v>0</v>
      </c>
      <c r="E33809" s="8">
        <v>0</v>
      </c>
      <c r="F33809" s="8">
        <v>2</v>
      </c>
    </row>
    <row r="33810" spans="1:6" ht="12.75">
      <c r="A33810" s="8">
        <v>43889.375613425931</v>
      </c>
      <c r="B33810" s="8" t="str">
        <f>HYPERLINK("https://twitter.com/denganadedisini","@denganadedisini")</f>
        <v>@denganadedisini</v>
      </c>
      <c r="C33810" s="8" t="s">
        <v>12778</v>
      </c>
      <c r="D33810" s="8">
        <v>0</v>
      </c>
      <c r="E33810" s="8">
        <v>0</v>
      </c>
      <c r="F33810" s="8">
        <v>470</v>
      </c>
    </row>
    <row r="33811" spans="1:6" ht="12.75">
      <c r="A33811" s="8">
        <v>43889.375104166669</v>
      </c>
      <c r="B33811" s="8" t="str">
        <f>HYPERLINK("https://twitter.com/no1wifeofsehun","@no1wifeofsehun")</f>
        <v>@no1wifeofsehun</v>
      </c>
      <c r="C33811" s="8" t="s">
        <v>8484</v>
      </c>
      <c r="D33811" s="8">
        <v>1054</v>
      </c>
      <c r="E33811" s="8">
        <v>0</v>
      </c>
      <c r="F33811" s="8">
        <v>170</v>
      </c>
    </row>
    <row r="33812" spans="1:6" ht="12.75">
      <c r="A33812" s="8">
        <v>43889.374710648146</v>
      </c>
      <c r="B33812" s="8" t="str">
        <f>HYPERLINK("https://twitter.com/BangkitBelaNKRI","@BangkitBelaNKRI")</f>
        <v>@BangkitBelaNKRI</v>
      </c>
      <c r="C33812" s="8" t="s">
        <v>11773</v>
      </c>
      <c r="D33812" s="8">
        <v>460</v>
      </c>
      <c r="E33812" s="8">
        <v>0</v>
      </c>
      <c r="F33812" s="8">
        <v>1365</v>
      </c>
    </row>
    <row r="33813" spans="1:6" ht="12.75">
      <c r="A33813" s="8">
        <v>43889.374618055561</v>
      </c>
      <c r="B33813" s="8" t="str">
        <f>HYPERLINK("https://twitter.com/cuk_raimu","@cuk_raimu")</f>
        <v>@cuk_raimu</v>
      </c>
      <c r="C33813" s="8" t="s">
        <v>12779</v>
      </c>
      <c r="D33813" s="8">
        <v>0</v>
      </c>
      <c r="E33813" s="8">
        <v>0</v>
      </c>
      <c r="F33813" s="8">
        <v>34</v>
      </c>
    </row>
    <row r="33814" spans="1:6" ht="12.75">
      <c r="A33814" s="8">
        <v>43889.374293981484</v>
      </c>
      <c r="B33814" s="8" t="str">
        <f>HYPERLINK("https://twitter.com/BatamPos","@BatamPos")</f>
        <v>@BatamPos</v>
      </c>
      <c r="C33814" s="8" t="s">
        <v>12780</v>
      </c>
      <c r="D33814" s="8">
        <v>0</v>
      </c>
      <c r="E33814" s="8">
        <v>0</v>
      </c>
      <c r="F33814" s="8">
        <v>67406</v>
      </c>
    </row>
    <row r="33815" spans="1:6" ht="12.75">
      <c r="A33815" s="8">
        <v>43889.373888888891</v>
      </c>
      <c r="B33815" s="8" t="str">
        <f>HYPERLINK("https://twitter.com/AEPishere","@AEPishere")</f>
        <v>@AEPishere</v>
      </c>
      <c r="C33815" s="8" t="s">
        <v>12781</v>
      </c>
      <c r="D33815" s="8">
        <v>2</v>
      </c>
      <c r="E33815" s="8">
        <v>0</v>
      </c>
      <c r="F33815" s="8">
        <v>3017</v>
      </c>
    </row>
    <row r="33816" spans="1:6" ht="12.75">
      <c r="A33816" s="8">
        <v>43889.373761574076</v>
      </c>
      <c r="B33816" s="8" t="str">
        <f>HYPERLINK("https://twitter.com/bearsejuk","@bearsejuk")</f>
        <v>@bearsejuk</v>
      </c>
      <c r="C33816" s="8" t="s">
        <v>12782</v>
      </c>
      <c r="D33816" s="8">
        <v>0</v>
      </c>
      <c r="E33816" s="8">
        <v>1</v>
      </c>
      <c r="F33816" s="8">
        <v>470</v>
      </c>
    </row>
    <row r="33817" spans="1:6" ht="12.75">
      <c r="A33817" s="8">
        <v>43889.373576388884</v>
      </c>
      <c r="B33817" s="8" t="str">
        <f>HYPERLINK("https://twitter.com/ARI35861347","@ARI35861347")</f>
        <v>@ARI35861347</v>
      </c>
      <c r="C33817" s="8" t="s">
        <v>12783</v>
      </c>
      <c r="D33817" s="8">
        <v>0</v>
      </c>
      <c r="E33817" s="8">
        <v>0</v>
      </c>
      <c r="F33817" s="8">
        <v>0</v>
      </c>
    </row>
    <row r="33818" spans="1:6" ht="12.75">
      <c r="A33818" s="8">
        <v>43889.372962962967</v>
      </c>
      <c r="B33818" s="8" t="str">
        <f>HYPERLINK("https://twitter.com/San_dy35","@San_dy35")</f>
        <v>@San_dy35</v>
      </c>
      <c r="C33818" s="8" t="s">
        <v>12784</v>
      </c>
      <c r="D33818" s="8">
        <v>0</v>
      </c>
      <c r="E33818" s="8">
        <v>0</v>
      </c>
      <c r="F33818" s="8">
        <v>5</v>
      </c>
    </row>
    <row r="33819" spans="1:6" ht="12.75">
      <c r="A33819" s="8">
        <v>43889.372731481482</v>
      </c>
      <c r="B33819" s="8" t="str">
        <f>HYPERLINK("https://twitter.com/Firmanbudianap2","@Firmanbudianap2")</f>
        <v>@Firmanbudianap2</v>
      </c>
      <c r="C33819" s="8" t="s">
        <v>12781</v>
      </c>
      <c r="D33819" s="8">
        <v>2</v>
      </c>
      <c r="E33819" s="8">
        <v>0</v>
      </c>
      <c r="F33819" s="8">
        <v>168</v>
      </c>
    </row>
    <row r="33820" spans="1:6" ht="12.75">
      <c r="A33820" s="8">
        <v>43889.372650462959</v>
      </c>
      <c r="B33820" s="8" t="str">
        <f>HYPERLINK("https://twitter.com/atiny5422gmail1","@atiny5422gmail1")</f>
        <v>@atiny5422gmail1</v>
      </c>
      <c r="C33820" s="8" t="s">
        <v>12222</v>
      </c>
      <c r="D33820" s="8">
        <v>9</v>
      </c>
      <c r="E33820" s="8">
        <v>0</v>
      </c>
      <c r="F33820" s="8">
        <v>7</v>
      </c>
    </row>
    <row r="33821" spans="1:6" ht="12.75">
      <c r="A33821" s="8">
        <v>43889.372314814813</v>
      </c>
      <c r="B33821" s="8" t="str">
        <f>HYPERLINK("https://twitter.com/syedsyafizal","@syedsyafizal")</f>
        <v>@syedsyafizal</v>
      </c>
      <c r="C33821" s="8" t="s">
        <v>11102</v>
      </c>
      <c r="D33821" s="8">
        <v>186</v>
      </c>
      <c r="E33821" s="8">
        <v>0</v>
      </c>
      <c r="F33821" s="8">
        <v>177</v>
      </c>
    </row>
    <row r="33822" spans="1:6" ht="12.75">
      <c r="A33822" s="8">
        <v>43889.372303240743</v>
      </c>
      <c r="B33822" s="8" t="str">
        <f>HYPERLINK("https://twitter.com/azie_nam","@azie_nam")</f>
        <v>@azie_nam</v>
      </c>
      <c r="C33822" s="8" t="s">
        <v>11102</v>
      </c>
      <c r="D33822" s="8">
        <v>186</v>
      </c>
      <c r="E33822" s="8">
        <v>0</v>
      </c>
      <c r="F33822" s="8">
        <v>110</v>
      </c>
    </row>
    <row r="33823" spans="1:6" ht="12.75">
      <c r="A33823" s="8">
        <v>43889.372303240743</v>
      </c>
      <c r="B33823" s="8" t="str">
        <f>HYPERLINK("https://twitter.com/AEPishere","@AEPishere")</f>
        <v>@AEPishere</v>
      </c>
      <c r="C33823" s="8" t="s">
        <v>12766</v>
      </c>
      <c r="D33823" s="8">
        <v>2</v>
      </c>
      <c r="E33823" s="8">
        <v>0</v>
      </c>
      <c r="F33823" s="8">
        <v>3017</v>
      </c>
    </row>
    <row r="33824" spans="1:6" ht="12.75">
      <c r="A33824" s="8">
        <v>43889.372187500005</v>
      </c>
      <c r="B33824" s="8" t="str">
        <f>HYPERLINK("https://twitter.com/Dani86113065","@Dani86113065")</f>
        <v>@Dani86113065</v>
      </c>
      <c r="C33824" s="8" t="s">
        <v>12785</v>
      </c>
      <c r="D33824" s="8">
        <v>0</v>
      </c>
      <c r="E33824" s="8">
        <v>1</v>
      </c>
      <c r="F33824" s="8">
        <v>499</v>
      </c>
    </row>
    <row r="33825" spans="1:6" ht="12.75">
      <c r="A33825" s="8">
        <v>43889.372152777782</v>
      </c>
      <c r="B33825" s="8" t="str">
        <f>HYPERLINK("https://twitter.com/K83_TheCoffee","@K83_TheCoffee")</f>
        <v>@K83_TheCoffee</v>
      </c>
      <c r="C33825" s="8" t="s">
        <v>12232</v>
      </c>
      <c r="D33825" s="8">
        <v>3</v>
      </c>
      <c r="E33825" s="8">
        <v>0</v>
      </c>
      <c r="F33825" s="8">
        <v>5826</v>
      </c>
    </row>
    <row r="33826" spans="1:6" ht="12.75">
      <c r="A33826" s="8">
        <v>43889.371990740736</v>
      </c>
      <c r="B33826" s="8" t="str">
        <f>HYPERLINK("https://twitter.com/AlyaaZiihah","@AlyaaZiihah")</f>
        <v>@AlyaaZiihah</v>
      </c>
      <c r="C33826" s="8" t="s">
        <v>12484</v>
      </c>
      <c r="D33826" s="8">
        <v>42</v>
      </c>
      <c r="E33826" s="8">
        <v>0</v>
      </c>
      <c r="F33826" s="8">
        <v>71</v>
      </c>
    </row>
    <row r="33827" spans="1:6" ht="12.75">
      <c r="A33827" s="8">
        <v>43889.371597222227</v>
      </c>
      <c r="B33827" s="8" t="str">
        <f>HYPERLINK("https://twitter.com/irkhas_muhammad","@irkhas_muhammad")</f>
        <v>@irkhas_muhammad</v>
      </c>
      <c r="C33827" s="8" t="s">
        <v>12786</v>
      </c>
      <c r="D33827" s="8">
        <v>0</v>
      </c>
      <c r="E33827" s="8">
        <v>0</v>
      </c>
      <c r="F33827" s="8">
        <v>111</v>
      </c>
    </row>
    <row r="33828" spans="1:6" ht="12.75">
      <c r="A33828" s="8">
        <v>43889.371469907404</v>
      </c>
      <c r="B33828" s="8" t="str">
        <f>HYPERLINK("https://twitter.com/ISR48NOTE","@ISR48NOTE")</f>
        <v>@ISR48NOTE</v>
      </c>
      <c r="C33828" s="8" t="s">
        <v>12787</v>
      </c>
      <c r="D33828" s="8">
        <v>2</v>
      </c>
      <c r="E33828" s="8">
        <v>0</v>
      </c>
      <c r="F33828" s="8">
        <v>187</v>
      </c>
    </row>
    <row r="33829" spans="1:6" ht="12.75">
      <c r="A33829" s="8">
        <v>43889.371342592596</v>
      </c>
      <c r="B33829" s="8" t="str">
        <f>HYPERLINK("https://twitter.com/okezonenews","@okezonenews")</f>
        <v>@okezonenews</v>
      </c>
      <c r="C33829" s="8" t="s">
        <v>12788</v>
      </c>
      <c r="D33829" s="8">
        <v>0</v>
      </c>
      <c r="E33829" s="8">
        <v>0</v>
      </c>
      <c r="F33829" s="8">
        <v>1743829</v>
      </c>
    </row>
    <row r="33830" spans="1:6" ht="12.75">
      <c r="A33830" s="8">
        <v>43889.371331018519</v>
      </c>
      <c r="B33830" s="8" t="str">
        <f>HYPERLINK("https://twitter.com/___yahiko___","@___yahiko___")</f>
        <v>@___yahiko___</v>
      </c>
      <c r="C33830" s="8" t="s">
        <v>12232</v>
      </c>
      <c r="D33830" s="8">
        <v>3</v>
      </c>
      <c r="E33830" s="8">
        <v>0</v>
      </c>
      <c r="F33830" s="8">
        <v>6099</v>
      </c>
    </row>
    <row r="33831" spans="1:6" ht="12.75">
      <c r="A33831" s="8">
        <v>43889.371157407411</v>
      </c>
      <c r="B33831" s="8" t="str">
        <f>HYPERLINK("https://twitter.com/ISR48NOTE","@ISR48NOTE")</f>
        <v>@ISR48NOTE</v>
      </c>
      <c r="C33831" s="8" t="s">
        <v>12789</v>
      </c>
      <c r="D33831" s="8">
        <v>1</v>
      </c>
      <c r="E33831" s="8">
        <v>0</v>
      </c>
      <c r="F33831" s="8">
        <v>187</v>
      </c>
    </row>
    <row r="33832" spans="1:6" ht="12.75">
      <c r="A33832" s="8">
        <v>43889.371041666665</v>
      </c>
      <c r="B33832" s="8" t="str">
        <f>HYPERLINK("https://twitter.com/Art_fleck_14","@Art_fleck_14")</f>
        <v>@Art_fleck_14</v>
      </c>
      <c r="C33832" s="8" t="s">
        <v>12790</v>
      </c>
      <c r="D33832" s="8">
        <v>3</v>
      </c>
      <c r="E33832" s="8">
        <v>5</v>
      </c>
      <c r="F33832" s="8">
        <v>6373</v>
      </c>
    </row>
    <row r="33833" spans="1:6" ht="12.75">
      <c r="A33833" s="8">
        <v>43889.370891203704</v>
      </c>
      <c r="B33833" s="8" t="str">
        <f>HYPERLINK("https://twitter.com/MenikSukengtyas","@MenikSukengtyas")</f>
        <v>@MenikSukengtyas</v>
      </c>
      <c r="C33833" s="8" t="s">
        <v>12740</v>
      </c>
      <c r="D33833" s="8">
        <v>10</v>
      </c>
      <c r="E33833" s="8">
        <v>0</v>
      </c>
      <c r="F33833" s="8">
        <v>638</v>
      </c>
    </row>
    <row r="33834" spans="1:6" ht="12.75">
      <c r="A33834" s="8">
        <v>43889.370752314819</v>
      </c>
      <c r="B33834" s="8" t="str">
        <f>HYPERLINK("https://twitter.com/AkbNouval","@AkbNouval")</f>
        <v>@AkbNouval</v>
      </c>
      <c r="C33834" s="8" t="s">
        <v>12065</v>
      </c>
      <c r="D33834" s="8">
        <v>22</v>
      </c>
      <c r="E33834" s="8">
        <v>0</v>
      </c>
      <c r="F33834" s="8">
        <v>1465</v>
      </c>
    </row>
    <row r="33835" spans="1:6" ht="12.75">
      <c r="A33835" s="8">
        <v>43889.370729166665</v>
      </c>
      <c r="B33835" s="8" t="str">
        <f>HYPERLINK("https://twitter.com/mynameisopaagus","@mynameisopaagus")</f>
        <v>@mynameisopaagus</v>
      </c>
      <c r="C33835" s="8" t="s">
        <v>12484</v>
      </c>
      <c r="D33835" s="8">
        <v>42</v>
      </c>
      <c r="E33835" s="8">
        <v>0</v>
      </c>
      <c r="F33835" s="8">
        <v>1291</v>
      </c>
    </row>
    <row r="33836" spans="1:6" ht="12.75">
      <c r="A33836" s="8">
        <v>43889.370636574073</v>
      </c>
      <c r="B33836" s="8" t="str">
        <f t="shared" ref="B33836:B33838" si="469">HYPERLINK("https://twitter.com/polsek_badau","@polsek_badau")</f>
        <v>@polsek_badau</v>
      </c>
      <c r="C33836" s="8" t="s">
        <v>12791</v>
      </c>
      <c r="D33836" s="8">
        <v>0</v>
      </c>
      <c r="E33836" s="8">
        <v>0</v>
      </c>
      <c r="F33836" s="8">
        <v>336</v>
      </c>
    </row>
    <row r="33837" spans="1:6" ht="12.75">
      <c r="A33837" s="8">
        <v>43889.370624999996</v>
      </c>
      <c r="B33837" s="8" t="str">
        <f t="shared" si="469"/>
        <v>@polsek_badau</v>
      </c>
      <c r="C33837" s="8" t="s">
        <v>12792</v>
      </c>
      <c r="D33837" s="8">
        <v>0</v>
      </c>
      <c r="E33837" s="8">
        <v>0</v>
      </c>
      <c r="F33837" s="8">
        <v>336</v>
      </c>
    </row>
    <row r="33838" spans="1:6" ht="12.75">
      <c r="A33838" s="8">
        <v>43889.370520833334</v>
      </c>
      <c r="B33838" s="8" t="str">
        <f t="shared" si="469"/>
        <v>@polsek_badau</v>
      </c>
      <c r="C33838" s="8" t="s">
        <v>12793</v>
      </c>
      <c r="D33838" s="8">
        <v>0</v>
      </c>
      <c r="E33838" s="8">
        <v>0</v>
      </c>
      <c r="F33838" s="8">
        <v>336</v>
      </c>
    </row>
    <row r="33839" spans="1:6" ht="12.75">
      <c r="A33839" s="8">
        <v>43889.370497685188</v>
      </c>
      <c r="B33839" s="8" t="str">
        <f>HYPERLINK("https://twitter.com/ismi_aiman98","@ismi_aiman98")</f>
        <v>@ismi_aiman98</v>
      </c>
      <c r="C33839" s="8" t="s">
        <v>11102</v>
      </c>
      <c r="D33839" s="8">
        <v>186</v>
      </c>
      <c r="E33839" s="8">
        <v>0</v>
      </c>
      <c r="F33839" s="8">
        <v>174</v>
      </c>
    </row>
    <row r="33840" spans="1:6" ht="12.75">
      <c r="A33840" s="8">
        <v>43889.370150462964</v>
      </c>
      <c r="B33840" s="8" t="str">
        <f>HYPERLINK("https://twitter.com/Ferry13602224","@Ferry13602224")</f>
        <v>@Ferry13602224</v>
      </c>
      <c r="C33840" s="8" t="s">
        <v>12765</v>
      </c>
      <c r="D33840" s="8">
        <v>5</v>
      </c>
      <c r="E33840" s="8">
        <v>0</v>
      </c>
      <c r="F33840" s="8">
        <v>419</v>
      </c>
    </row>
    <row r="33841" spans="1:6" ht="12.75">
      <c r="A33841" s="8">
        <v>43889.369953703703</v>
      </c>
      <c r="B33841" s="8" t="str">
        <f>HYPERLINK("https://twitter.com/2375Lawu","@2375Lawu")</f>
        <v>@2375Lawu</v>
      </c>
      <c r="C33841" s="8" t="s">
        <v>12065</v>
      </c>
      <c r="D33841" s="8">
        <v>22</v>
      </c>
      <c r="E33841" s="8">
        <v>0</v>
      </c>
      <c r="F33841" s="8">
        <v>174</v>
      </c>
    </row>
    <row r="33842" spans="1:6" ht="12.75">
      <c r="A33842" s="8">
        <v>43889.36986111111</v>
      </c>
      <c r="B33842" s="8" t="str">
        <f>HYPERLINK("https://twitter.com/AnandiFarita","@AnandiFarita")</f>
        <v>@AnandiFarita</v>
      </c>
      <c r="C33842" s="8" t="s">
        <v>2941</v>
      </c>
      <c r="D33842" s="8">
        <v>1081</v>
      </c>
      <c r="E33842" s="8">
        <v>0</v>
      </c>
      <c r="F33842" s="8">
        <v>13</v>
      </c>
    </row>
    <row r="33843" spans="1:6" ht="12.75">
      <c r="A33843" s="8">
        <v>43889.369814814811</v>
      </c>
      <c r="B33843" s="8" t="str">
        <f>HYPERLINK("https://twitter.com/raja_sonny","@raja_sonny")</f>
        <v>@raja_sonny</v>
      </c>
      <c r="C33843" s="8" t="s">
        <v>12481</v>
      </c>
      <c r="D33843" s="8">
        <v>5</v>
      </c>
      <c r="E33843" s="8">
        <v>0</v>
      </c>
      <c r="F33843" s="8">
        <v>26</v>
      </c>
    </row>
    <row r="33844" spans="1:6" ht="12.75">
      <c r="A33844" s="8">
        <v>43889.369733796295</v>
      </c>
      <c r="B33844" s="8" t="str">
        <f>HYPERLINK("https://twitter.com/amirulhaziqqq","@amirulhaziqqq")</f>
        <v>@amirulhaziqqq</v>
      </c>
      <c r="C33844" s="8" t="s">
        <v>11102</v>
      </c>
      <c r="D33844" s="8">
        <v>186</v>
      </c>
      <c r="E33844" s="8">
        <v>0</v>
      </c>
      <c r="F33844" s="8">
        <v>688</v>
      </c>
    </row>
    <row r="33845" spans="1:6" ht="12.75">
      <c r="A33845" s="8">
        <v>43889.369050925925</v>
      </c>
      <c r="B33845" s="8" t="str">
        <f>HYPERLINK("https://twitter.com/ennyelf2","@ennyelf2")</f>
        <v>@ennyelf2</v>
      </c>
      <c r="C33845" s="8" t="s">
        <v>12222</v>
      </c>
      <c r="D33845" s="8">
        <v>9</v>
      </c>
      <c r="E33845" s="8">
        <v>0</v>
      </c>
      <c r="F33845" s="8">
        <v>376</v>
      </c>
    </row>
    <row r="33846" spans="1:6" ht="12.75">
      <c r="A33846" s="8">
        <v>43889.369016203702</v>
      </c>
      <c r="B33846" s="8" t="str">
        <f>HYPERLINK("https://twitter.com/heztya","@heztya")</f>
        <v>@heztya</v>
      </c>
      <c r="C33846" s="8" t="s">
        <v>12794</v>
      </c>
      <c r="D33846" s="8">
        <v>3</v>
      </c>
      <c r="E33846" s="8">
        <v>0</v>
      </c>
      <c r="F33846" s="8">
        <v>118</v>
      </c>
    </row>
    <row r="33847" spans="1:6" ht="12.75">
      <c r="A33847" s="8">
        <v>43889.368958333333</v>
      </c>
      <c r="B33847" s="8" t="str">
        <f>HYPERLINK("https://twitter.com/alhaqcentre","@alhaqcentre")</f>
        <v>@alhaqcentre</v>
      </c>
      <c r="C33847" s="8" t="s">
        <v>12795</v>
      </c>
      <c r="D33847" s="8">
        <v>0</v>
      </c>
      <c r="E33847" s="8">
        <v>0</v>
      </c>
      <c r="F33847" s="8">
        <v>670</v>
      </c>
    </row>
    <row r="33848" spans="1:6" ht="12.75">
      <c r="A33848" s="8">
        <v>43889.368831018517</v>
      </c>
      <c r="B33848" s="8" t="str">
        <f>HYPERLINK("https://twitter.com/kopral_jon00","@kopral_jon00")</f>
        <v>@kopral_jon00</v>
      </c>
      <c r="C33848" s="8" t="s">
        <v>5342</v>
      </c>
      <c r="D33848" s="8">
        <v>4</v>
      </c>
      <c r="E33848" s="8">
        <v>0</v>
      </c>
      <c r="F33848" s="8">
        <v>811</v>
      </c>
    </row>
    <row r="33849" spans="1:6" ht="12.75">
      <c r="A33849" s="8">
        <v>43889.368807870371</v>
      </c>
      <c r="B33849" s="8" t="str">
        <f>HYPERLINK("https://twitter.com/chrspepper","@chrspepper")</f>
        <v>@chrspepper</v>
      </c>
      <c r="C33849" s="8" t="s">
        <v>11102</v>
      </c>
      <c r="D33849" s="8">
        <v>186</v>
      </c>
      <c r="E33849" s="8">
        <v>0</v>
      </c>
      <c r="F33849" s="8">
        <v>705</v>
      </c>
    </row>
    <row r="33850" spans="1:6" ht="12.75">
      <c r="A33850" s="8">
        <v>43889.368495370371</v>
      </c>
      <c r="B33850" s="8" t="str">
        <f>HYPERLINK("https://twitter.com/BentenkNKRI","@BentenkNKRI")</f>
        <v>@BentenkNKRI</v>
      </c>
      <c r="C33850" s="8" t="s">
        <v>12073</v>
      </c>
      <c r="D33850" s="8">
        <v>23</v>
      </c>
      <c r="E33850" s="8">
        <v>0</v>
      </c>
      <c r="F33850" s="8">
        <v>1371</v>
      </c>
    </row>
    <row r="33851" spans="1:6" ht="12.75">
      <c r="A33851" s="8">
        <v>43889.368449074071</v>
      </c>
      <c r="B33851" s="8" t="str">
        <f>HYPERLINK("https://twitter.com/AriePutraWijay1","@AriePutraWijay1")</f>
        <v>@AriePutraWijay1</v>
      </c>
      <c r="C33851" s="8" t="s">
        <v>12073</v>
      </c>
      <c r="D33851" s="8">
        <v>23</v>
      </c>
      <c r="E33851" s="8">
        <v>0</v>
      </c>
      <c r="F33851" s="8">
        <v>191</v>
      </c>
    </row>
    <row r="33852" spans="1:6" ht="12.75">
      <c r="A33852" s="8">
        <v>43889.368449074071</v>
      </c>
      <c r="B33852" s="8" t="str">
        <f>HYPERLINK("https://twitter.com/jawapos","@jawapos")</f>
        <v>@jawapos</v>
      </c>
      <c r="C33852" s="8" t="s">
        <v>12796</v>
      </c>
      <c r="D33852" s="8">
        <v>2</v>
      </c>
      <c r="E33852" s="8">
        <v>1</v>
      </c>
      <c r="F33852" s="8">
        <v>123087</v>
      </c>
    </row>
    <row r="33853" spans="1:6" ht="12.75">
      <c r="A33853" s="8">
        <v>43889.368287037039</v>
      </c>
      <c r="B33853" s="8" t="str">
        <f>HYPERLINK("https://twitter.com/Sarah_Pndj","@Sarah_Pndj")</f>
        <v>@Sarah_Pndj</v>
      </c>
      <c r="C33853" s="8" t="s">
        <v>12765</v>
      </c>
      <c r="D33853" s="8">
        <v>5</v>
      </c>
      <c r="E33853" s="8">
        <v>0</v>
      </c>
      <c r="F33853" s="8">
        <v>26974</v>
      </c>
    </row>
    <row r="33854" spans="1:6" ht="12.75">
      <c r="A33854" s="8">
        <v>43889.368055555555</v>
      </c>
      <c r="B33854" s="8" t="str">
        <f>HYPERLINK("https://twitter.com/ngonlain","@ngonlain")</f>
        <v>@ngonlain</v>
      </c>
      <c r="C33854" s="8" t="s">
        <v>4785</v>
      </c>
      <c r="D33854" s="8">
        <v>471</v>
      </c>
      <c r="E33854" s="8">
        <v>0</v>
      </c>
      <c r="F33854" s="8">
        <v>2635</v>
      </c>
    </row>
    <row r="33855" spans="1:6" ht="12.75">
      <c r="A33855" s="8">
        <v>43889.367858796293</v>
      </c>
      <c r="B33855" s="8" t="str">
        <f>HYPERLINK("https://twitter.com/GreatSpiderman7","@GreatSpiderman7")</f>
        <v>@GreatSpiderman7</v>
      </c>
      <c r="C33855" s="8" t="s">
        <v>12065</v>
      </c>
      <c r="D33855" s="8">
        <v>22</v>
      </c>
      <c r="E33855" s="8">
        <v>0</v>
      </c>
      <c r="F33855" s="8">
        <v>192</v>
      </c>
    </row>
    <row r="33856" spans="1:6" ht="12.75">
      <c r="A33856" s="8">
        <v>43889.367812500001</v>
      </c>
      <c r="B33856" s="8" t="str">
        <f>HYPERLINK("https://twitter.com/DavidRuslie8","@DavidRuslie8")</f>
        <v>@DavidRuslie8</v>
      </c>
      <c r="C33856" s="8" t="s">
        <v>12073</v>
      </c>
      <c r="D33856" s="8">
        <v>23</v>
      </c>
      <c r="E33856" s="8">
        <v>0</v>
      </c>
      <c r="F33856" s="8">
        <v>927</v>
      </c>
    </row>
    <row r="33857" spans="1:6" ht="12.75">
      <c r="A33857" s="8">
        <v>43889.367743055554</v>
      </c>
      <c r="B33857" s="8" t="str">
        <f>HYPERLINK("https://twitter.com/res_bna","@res_bna")</f>
        <v>@res_bna</v>
      </c>
      <c r="C33857" s="8" t="s">
        <v>12797</v>
      </c>
      <c r="D33857" s="8">
        <v>0</v>
      </c>
      <c r="E33857" s="8">
        <v>0</v>
      </c>
      <c r="F33857" s="8">
        <v>2124</v>
      </c>
    </row>
    <row r="33858" spans="1:6" ht="12.75">
      <c r="A33858" s="8">
        <v>43889.3674537037</v>
      </c>
      <c r="B33858" s="8" t="str">
        <f>HYPERLINK("https://twitter.com/viveksingh2503","@viveksingh2503")</f>
        <v>@viveksingh2503</v>
      </c>
      <c r="C33858" s="8" t="s">
        <v>12798</v>
      </c>
      <c r="D33858" s="8">
        <v>0</v>
      </c>
      <c r="E33858" s="8">
        <v>0</v>
      </c>
      <c r="F33858" s="8">
        <v>165</v>
      </c>
    </row>
    <row r="33859" spans="1:6" ht="12.75">
      <c r="A33859" s="8">
        <v>43889.367141203707</v>
      </c>
      <c r="B33859" s="8" t="str">
        <f>HYPERLINK("https://twitter.com/shakiriff","@shakiriff")</f>
        <v>@shakiriff</v>
      </c>
      <c r="C33859" s="8" t="s">
        <v>11102</v>
      </c>
      <c r="D33859" s="8">
        <v>186</v>
      </c>
      <c r="E33859" s="8">
        <v>0</v>
      </c>
      <c r="F33859" s="8">
        <v>1351</v>
      </c>
    </row>
    <row r="33860" spans="1:6" ht="12.75">
      <c r="A33860" s="8">
        <v>43889.366203703699</v>
      </c>
      <c r="B33860" s="8" t="str">
        <f>HYPERLINK("https://twitter.com/cs_tkt","@cs_tkt")</f>
        <v>@cs_tkt</v>
      </c>
      <c r="C33860" s="8" t="s">
        <v>12740</v>
      </c>
      <c r="D33860" s="8">
        <v>10</v>
      </c>
      <c r="E33860" s="8">
        <v>0</v>
      </c>
      <c r="F33860" s="8">
        <v>2280</v>
      </c>
    </row>
    <row r="33861" spans="1:6" ht="12.75">
      <c r="A33861" s="8">
        <v>43889.365520833337</v>
      </c>
      <c r="B33861" s="8" t="str">
        <f>HYPERLINK("https://twitter.com/Rachmad12479777","@Rachmad12479777")</f>
        <v>@Rachmad12479777</v>
      </c>
      <c r="C33861" s="8" t="s">
        <v>12799</v>
      </c>
      <c r="D33861" s="8">
        <v>0</v>
      </c>
      <c r="E33861" s="8">
        <v>0</v>
      </c>
      <c r="F33861" s="8">
        <v>187</v>
      </c>
    </row>
    <row r="33862" spans="1:6" ht="12.75">
      <c r="A33862" s="8">
        <v>43889.36518518519</v>
      </c>
      <c r="B33862" s="8" t="str">
        <f>HYPERLINK("https://twitter.com/VRe_Kim94","@VRe_Kim94")</f>
        <v>@VRe_Kim94</v>
      </c>
      <c r="C33862" s="8" t="s">
        <v>12800</v>
      </c>
      <c r="D33862" s="8">
        <v>205</v>
      </c>
      <c r="E33862" s="8">
        <v>0</v>
      </c>
      <c r="F33862" s="8">
        <v>189</v>
      </c>
    </row>
    <row r="33863" spans="1:6" ht="12.75">
      <c r="A33863" s="8">
        <v>43889.364583333328</v>
      </c>
      <c r="B33863" s="8" t="str">
        <f>HYPERLINK("https://twitter.com/kompascom","@kompascom")</f>
        <v>@kompascom</v>
      </c>
      <c r="C33863" s="8" t="s">
        <v>12801</v>
      </c>
      <c r="D33863" s="8">
        <v>2</v>
      </c>
      <c r="E33863" s="8">
        <v>1</v>
      </c>
      <c r="F33863" s="8">
        <v>7516394</v>
      </c>
    </row>
    <row r="33864" spans="1:6" ht="12.75">
      <c r="A33864" s="8">
        <v>43889.364548611113</v>
      </c>
      <c r="B33864" s="8" t="str">
        <f>HYPERLINK("https://twitter.com/rendybernando","@rendybernando")</f>
        <v>@rendybernando</v>
      </c>
      <c r="C33864" s="8" t="s">
        <v>1318</v>
      </c>
      <c r="D33864" s="8">
        <v>23254</v>
      </c>
      <c r="E33864" s="8">
        <v>0</v>
      </c>
      <c r="F33864" s="8">
        <v>205</v>
      </c>
    </row>
    <row r="33865" spans="1:6" ht="12.75">
      <c r="A33865" s="8">
        <v>43889.36440972222</v>
      </c>
      <c r="B33865" s="8" t="str">
        <f>HYPERLINK("https://twitter.com/kardusbox08","@kardusbox08")</f>
        <v>@kardusbox08</v>
      </c>
      <c r="C33865" s="8" t="s">
        <v>12125</v>
      </c>
      <c r="D33865" s="8">
        <v>25</v>
      </c>
      <c r="E33865" s="8">
        <v>0</v>
      </c>
      <c r="F33865" s="8">
        <v>1672</v>
      </c>
    </row>
    <row r="33866" spans="1:6" ht="12.75">
      <c r="A33866" s="8">
        <v>43889.364398148144</v>
      </c>
      <c r="B33866" s="8" t="str">
        <f>HYPERLINK("https://twitter.com/DNCRA93","@DNCRA93")</f>
        <v>@DNCRA93</v>
      </c>
      <c r="C33866" s="8" t="s">
        <v>12802</v>
      </c>
      <c r="D33866" s="8">
        <v>0</v>
      </c>
      <c r="E33866" s="8">
        <v>0</v>
      </c>
      <c r="F33866" s="8">
        <v>126</v>
      </c>
    </row>
    <row r="33867" spans="1:6" ht="12.75">
      <c r="A33867" s="8">
        <v>43889.364375000005</v>
      </c>
      <c r="B33867" s="8" t="str">
        <f>HYPERLINK("https://twitter.com/Lucifer64548328","@Lucifer64548328")</f>
        <v>@Lucifer64548328</v>
      </c>
      <c r="C33867" s="8" t="s">
        <v>12222</v>
      </c>
      <c r="D33867" s="8">
        <v>9</v>
      </c>
      <c r="E33867" s="8">
        <v>0</v>
      </c>
      <c r="F33867" s="8">
        <v>76</v>
      </c>
    </row>
    <row r="33868" spans="1:6" ht="12.75">
      <c r="A33868" s="8">
        <v>43889.364062499997</v>
      </c>
      <c r="B33868" s="8" t="str">
        <f>HYPERLINK("https://twitter.com/EDitektif","@EDitektif")</f>
        <v>@EDitektif</v>
      </c>
      <c r="C33868" s="8" t="s">
        <v>12740</v>
      </c>
      <c r="D33868" s="8">
        <v>10</v>
      </c>
      <c r="E33868" s="8">
        <v>0</v>
      </c>
      <c r="F33868" s="8">
        <v>15375</v>
      </c>
    </row>
    <row r="33869" spans="1:6" ht="12.75">
      <c r="A33869" s="8">
        <v>43889.364039351851</v>
      </c>
      <c r="B33869" s="8" t="str">
        <f>HYPERLINK("https://twitter.com/Jackelkotjo","@Jackelkotjo")</f>
        <v>@Jackelkotjo</v>
      </c>
      <c r="C33869" s="8" t="s">
        <v>12267</v>
      </c>
      <c r="D33869" s="8">
        <v>5</v>
      </c>
      <c r="E33869" s="8">
        <v>0</v>
      </c>
      <c r="F33869" s="8">
        <v>605</v>
      </c>
    </row>
    <row r="33870" spans="1:6" ht="12.75">
      <c r="A33870" s="8">
        <v>43889.363703703704</v>
      </c>
      <c r="B33870" s="8" t="str">
        <f>HYPERLINK("https://twitter.com/AGurbachev","@AGurbachev")</f>
        <v>@AGurbachev</v>
      </c>
      <c r="C33870" s="8" t="s">
        <v>12803</v>
      </c>
      <c r="D33870" s="8">
        <v>0</v>
      </c>
      <c r="E33870" s="8">
        <v>0</v>
      </c>
      <c r="F33870" s="8">
        <v>4216</v>
      </c>
    </row>
    <row r="33871" spans="1:6" ht="12.75">
      <c r="A33871" s="8">
        <v>43889.363402777773</v>
      </c>
      <c r="B33871" s="8" t="str">
        <f>HYPERLINK("https://twitter.com/T14503NG","@T14503NG")</f>
        <v>@T14503NG</v>
      </c>
      <c r="C33871" s="8" t="s">
        <v>12765</v>
      </c>
      <c r="D33871" s="8">
        <v>5</v>
      </c>
      <c r="E33871" s="8">
        <v>0</v>
      </c>
      <c r="F33871" s="8">
        <v>846</v>
      </c>
    </row>
    <row r="33872" spans="1:6" ht="12.75">
      <c r="A33872" s="8">
        <v>43889.36309027778</v>
      </c>
      <c r="B33872" s="8" t="str">
        <f>HYPERLINK("https://twitter.com/august8928","@august8928")</f>
        <v>@august8928</v>
      </c>
      <c r="C33872" s="8" t="s">
        <v>12800</v>
      </c>
      <c r="D33872" s="8">
        <v>205</v>
      </c>
      <c r="E33872" s="8">
        <v>0</v>
      </c>
      <c r="F33872" s="8">
        <v>161</v>
      </c>
    </row>
    <row r="33873" spans="1:6" ht="12.75">
      <c r="A33873" s="8">
        <v>43889.362523148149</v>
      </c>
      <c r="B33873" s="8" t="str">
        <f>HYPERLINK("https://twitter.com/oposisi4ever","@oposisi4ever")</f>
        <v>@oposisi4ever</v>
      </c>
      <c r="C33873" s="8" t="s">
        <v>12065</v>
      </c>
      <c r="D33873" s="8">
        <v>22</v>
      </c>
      <c r="E33873" s="8">
        <v>0</v>
      </c>
      <c r="F33873" s="8">
        <v>398</v>
      </c>
    </row>
    <row r="33874" spans="1:6" ht="12.75">
      <c r="A33874" s="8">
        <v>43889.362511574072</v>
      </c>
      <c r="B33874" s="8" t="str">
        <f>HYPERLINK("https://twitter.com/fifilalavina","@fifilalavina")</f>
        <v>@fifilalavina</v>
      </c>
      <c r="C33874" s="8" t="s">
        <v>12073</v>
      </c>
      <c r="D33874" s="8">
        <v>23</v>
      </c>
      <c r="E33874" s="8">
        <v>0</v>
      </c>
      <c r="F33874" s="8">
        <v>125</v>
      </c>
    </row>
    <row r="33875" spans="1:6" ht="12.75">
      <c r="A33875" s="8">
        <v>43889.362511574072</v>
      </c>
      <c r="B33875" s="8" t="str">
        <f>HYPERLINK("https://twitter.com/PutraAngga__","@PutraAngga__")</f>
        <v>@PutraAngga__</v>
      </c>
      <c r="C33875" s="8" t="s">
        <v>12740</v>
      </c>
      <c r="D33875" s="8">
        <v>10</v>
      </c>
      <c r="E33875" s="8">
        <v>0</v>
      </c>
      <c r="F33875" s="8">
        <v>421</v>
      </c>
    </row>
    <row r="33876" spans="1:6" ht="12.75">
      <c r="A33876" s="8">
        <v>43889.362395833334</v>
      </c>
      <c r="B33876" s="8" t="str">
        <f>HYPERLINK("https://twitter.com/PE_Angga_","@PE_Angga_")</f>
        <v>@PE_Angga_</v>
      </c>
      <c r="C33876" s="8" t="s">
        <v>12740</v>
      </c>
      <c r="D33876" s="8">
        <v>10</v>
      </c>
      <c r="E33876" s="8">
        <v>0</v>
      </c>
      <c r="F33876" s="8">
        <v>373</v>
      </c>
    </row>
    <row r="33877" spans="1:6" ht="12.75">
      <c r="A33877" s="8">
        <v>43889.362199074079</v>
      </c>
      <c r="B33877" s="8" t="str">
        <f>HYPERLINK("https://twitter.com/oposisi4ever","@oposisi4ever")</f>
        <v>@oposisi4ever</v>
      </c>
      <c r="C33877" s="8" t="s">
        <v>12222</v>
      </c>
      <c r="D33877" s="8">
        <v>9</v>
      </c>
      <c r="E33877" s="8">
        <v>0</v>
      </c>
      <c r="F33877" s="8">
        <v>398</v>
      </c>
    </row>
    <row r="33878" spans="1:6" ht="12.75">
      <c r="A33878" s="8">
        <v>43889.340092592596</v>
      </c>
      <c r="B33878" s="8" t="str">
        <f>HYPERLINK("https://twitter.com/tahaqm","@tahaqm")</f>
        <v>@tahaqm</v>
      </c>
      <c r="C33878" s="8" t="s">
        <v>12804</v>
      </c>
      <c r="D33878" s="8">
        <v>0</v>
      </c>
      <c r="E33878" s="8">
        <v>0</v>
      </c>
      <c r="F33878" s="8">
        <v>223</v>
      </c>
    </row>
    <row r="33879" spans="1:6" ht="12.75">
      <c r="A33879" s="8">
        <v>43889.339236111111</v>
      </c>
      <c r="B33879" s="8" t="str">
        <f>HYPERLINK("https://twitter.com/irlbtt_","@irlbtt_")</f>
        <v>@irlbtt_</v>
      </c>
      <c r="C33879" s="8" t="s">
        <v>12805</v>
      </c>
      <c r="D33879" s="8">
        <v>0</v>
      </c>
      <c r="E33879" s="8">
        <v>0</v>
      </c>
      <c r="F33879" s="8">
        <v>440</v>
      </c>
    </row>
    <row r="33880" spans="1:6" ht="12.75">
      <c r="A33880" s="8">
        <v>43889.33902777778</v>
      </c>
      <c r="B33880" s="8" t="str">
        <f>HYPERLINK("https://twitter.com/RatnaRa22101002","@RatnaRa22101002")</f>
        <v>@RatnaRa22101002</v>
      </c>
      <c r="C33880" s="8" t="s">
        <v>12806</v>
      </c>
      <c r="D33880" s="8">
        <v>1</v>
      </c>
      <c r="E33880" s="8">
        <v>0</v>
      </c>
      <c r="F33880" s="8">
        <v>228</v>
      </c>
    </row>
    <row r="33881" spans="1:6" ht="12.75">
      <c r="A33881" s="8">
        <v>43889.338807870372</v>
      </c>
      <c r="B33881" s="8" t="str">
        <f>HYPERLINK("https://twitter.com/EdyMarlofvia","@EdyMarlofvia")</f>
        <v>@EdyMarlofvia</v>
      </c>
      <c r="C33881" s="8" t="s">
        <v>12807</v>
      </c>
      <c r="D33881" s="8">
        <v>5</v>
      </c>
      <c r="E33881" s="8">
        <v>0</v>
      </c>
      <c r="F33881" s="8">
        <v>441</v>
      </c>
    </row>
    <row r="33882" spans="1:6" ht="12.75">
      <c r="A33882" s="8">
        <v>43889.33866898148</v>
      </c>
      <c r="B33882" s="8" t="str">
        <f>HYPERLINK("https://twitter.com/vian_eh","@vian_eh")</f>
        <v>@vian_eh</v>
      </c>
      <c r="C33882" s="8" t="s">
        <v>12808</v>
      </c>
      <c r="D33882" s="8">
        <v>0</v>
      </c>
      <c r="E33882" s="8">
        <v>0</v>
      </c>
      <c r="F33882" s="8">
        <v>1124</v>
      </c>
    </row>
    <row r="33883" spans="1:6" ht="12.75">
      <c r="A33883" s="8">
        <v>43889.338634259257</v>
      </c>
      <c r="B33883" s="8" t="str">
        <f>HYPERLINK("https://twitter.com/destemmohenjo","@destemmohenjo")</f>
        <v>@destemmohenjo</v>
      </c>
      <c r="C33883" s="8" t="s">
        <v>11102</v>
      </c>
      <c r="D33883" s="8">
        <v>148</v>
      </c>
      <c r="E33883" s="8">
        <v>0</v>
      </c>
      <c r="F33883" s="8">
        <v>217</v>
      </c>
    </row>
    <row r="33884" spans="1:6" ht="12.75">
      <c r="A33884" s="8">
        <v>43889.338483796295</v>
      </c>
      <c r="B33884" s="8" t="str">
        <f>HYPERLINK("https://twitter.com/indomesoto","@indomesoto")</f>
        <v>@indomesoto</v>
      </c>
      <c r="C33884" s="8" t="s">
        <v>4941</v>
      </c>
      <c r="D33884" s="8">
        <v>1</v>
      </c>
      <c r="E33884" s="8">
        <v>0</v>
      </c>
      <c r="F33884" s="8">
        <v>968</v>
      </c>
    </row>
    <row r="33885" spans="1:6" ht="12.75">
      <c r="A33885" s="8">
        <v>43889.337650462963</v>
      </c>
      <c r="B33885" s="8" t="str">
        <f>HYPERLINK("https://twitter.com/fargeez","@fargeez")</f>
        <v>@fargeez</v>
      </c>
      <c r="C33885" s="8" t="s">
        <v>11102</v>
      </c>
      <c r="D33885" s="8">
        <v>148</v>
      </c>
      <c r="E33885" s="8">
        <v>0</v>
      </c>
      <c r="F33885" s="8">
        <v>1024</v>
      </c>
    </row>
    <row r="33886" spans="1:6" ht="12.75">
      <c r="A33886" s="8">
        <v>43889.337187500001</v>
      </c>
      <c r="B33886" s="8" t="str">
        <f>HYPERLINK("https://twitter.com/R_0ne_R1","@R_0ne_R1")</f>
        <v>@R_0ne_R1</v>
      </c>
      <c r="C33886" s="8" t="s">
        <v>5342</v>
      </c>
      <c r="D33886" s="8">
        <v>2</v>
      </c>
      <c r="E33886" s="8">
        <v>0</v>
      </c>
      <c r="F33886" s="8">
        <v>461</v>
      </c>
    </row>
    <row r="33887" spans="1:6" ht="12.75">
      <c r="A33887" s="8">
        <v>43889.336863425924</v>
      </c>
      <c r="B33887" s="8" t="str">
        <f>HYPERLINK("https://twitter.com/GarmeoNatan","@GarmeoNatan")</f>
        <v>@GarmeoNatan</v>
      </c>
      <c r="C33887" s="8" t="s">
        <v>11773</v>
      </c>
      <c r="D33887" s="8">
        <v>458</v>
      </c>
      <c r="E33887" s="8">
        <v>0</v>
      </c>
      <c r="F33887" s="8">
        <v>3091</v>
      </c>
    </row>
    <row r="33888" spans="1:6" ht="12.75">
      <c r="A33888" s="8">
        <v>43889.336759259255</v>
      </c>
      <c r="B33888" s="8" t="str">
        <f>HYPERLINK("https://twitter.com/NazefEdgouch","@NazefEdgouch")</f>
        <v>@NazefEdgouch</v>
      </c>
      <c r="C33888" s="8" t="s">
        <v>11102</v>
      </c>
      <c r="D33888" s="8">
        <v>148</v>
      </c>
      <c r="E33888" s="8">
        <v>0</v>
      </c>
      <c r="F33888" s="8">
        <v>598</v>
      </c>
    </row>
    <row r="33889" spans="1:6" ht="12.75">
      <c r="A33889" s="8">
        <v>43889.336238425924</v>
      </c>
      <c r="B33889" s="8" t="str">
        <f>HYPERLINK("https://twitter.com/marinir_tni_al","@marinir_tni_al")</f>
        <v>@marinir_tni_al</v>
      </c>
      <c r="C33889" s="8" t="s">
        <v>12809</v>
      </c>
      <c r="D33889" s="8">
        <v>0</v>
      </c>
      <c r="E33889" s="8">
        <v>0</v>
      </c>
      <c r="F33889" s="8">
        <v>517</v>
      </c>
    </row>
    <row r="33890" spans="1:6" ht="12.75">
      <c r="A33890" s="8">
        <v>43889.336226851854</v>
      </c>
      <c r="B33890" s="8" t="str">
        <f>HYPERLINK("https://twitter.com/GarmeoNatan","@GarmeoNatan")</f>
        <v>@GarmeoNatan</v>
      </c>
      <c r="C33890" s="8" t="s">
        <v>12052</v>
      </c>
      <c r="D33890" s="8">
        <v>111</v>
      </c>
      <c r="E33890" s="8">
        <v>0</v>
      </c>
      <c r="F33890" s="8">
        <v>3091</v>
      </c>
    </row>
    <row r="33891" spans="1:6" ht="12.75">
      <c r="A33891" s="8">
        <v>43889.335821759261</v>
      </c>
      <c r="B33891" s="8" t="str">
        <f>HYPERLINK("https://twitter.com/icboemi","@icboemi")</f>
        <v>@icboemi</v>
      </c>
      <c r="C33891" s="8" t="s">
        <v>11773</v>
      </c>
      <c r="D33891" s="8">
        <v>458</v>
      </c>
      <c r="E33891" s="8">
        <v>0</v>
      </c>
      <c r="F33891" s="8">
        <v>350</v>
      </c>
    </row>
    <row r="33892" spans="1:6" ht="12.75">
      <c r="A33892" s="8">
        <v>43889.335775462961</v>
      </c>
      <c r="B33892" s="8" t="str">
        <f>HYPERLINK("https://twitter.com/aisyaranni","@aisyaranni")</f>
        <v>@aisyaranni</v>
      </c>
      <c r="C33892" s="8" t="s">
        <v>12810</v>
      </c>
      <c r="D33892" s="8">
        <v>0</v>
      </c>
      <c r="E33892" s="8">
        <v>0</v>
      </c>
      <c r="F33892" s="8">
        <v>2979</v>
      </c>
    </row>
    <row r="33893" spans="1:6" ht="12.75">
      <c r="A33893" s="8">
        <v>43889.335509259261</v>
      </c>
      <c r="B33893" s="8" t="str">
        <f>HYPERLINK("https://twitter.com/ibnupurna","@ibnupurna")</f>
        <v>@ibnupurna</v>
      </c>
      <c r="C33893" s="8" t="s">
        <v>12811</v>
      </c>
      <c r="D33893" s="8">
        <v>0</v>
      </c>
      <c r="E33893" s="8">
        <v>0</v>
      </c>
      <c r="F33893" s="8">
        <v>5947</v>
      </c>
    </row>
    <row r="33894" spans="1:6" ht="12.75">
      <c r="A33894" s="8">
        <v>43889.334826388891</v>
      </c>
      <c r="B33894" s="8" t="str">
        <f>HYPERLINK("https://twitter.com/ak5109","@ak5109")</f>
        <v>@ak5109</v>
      </c>
      <c r="C33894" s="8" t="s">
        <v>11102</v>
      </c>
      <c r="D33894" s="8">
        <v>148</v>
      </c>
      <c r="E33894" s="8">
        <v>0</v>
      </c>
      <c r="F33894" s="8">
        <v>422</v>
      </c>
    </row>
    <row r="33895" spans="1:6" ht="12.75">
      <c r="A33895" s="8">
        <v>43889.334756944445</v>
      </c>
      <c r="B33895" s="8" t="str">
        <f>HYPERLINK("https://twitter.com/whyujayapratama","@whyujayapratama")</f>
        <v>@whyujayapratama</v>
      </c>
      <c r="C33895" s="8" t="s">
        <v>12812</v>
      </c>
      <c r="D33895" s="8">
        <v>0</v>
      </c>
      <c r="E33895" s="8">
        <v>0</v>
      </c>
      <c r="F33895" s="8">
        <v>568</v>
      </c>
    </row>
    <row r="33896" spans="1:6" ht="12.75">
      <c r="A33896" s="8">
        <v>43889.334664351853</v>
      </c>
      <c r="B33896" s="8" t="str">
        <f>HYPERLINK("https://twitter.com/molfina14","@molfina14")</f>
        <v>@molfina14</v>
      </c>
      <c r="C33896" s="8" t="s">
        <v>12065</v>
      </c>
      <c r="D33896" s="8">
        <v>16</v>
      </c>
      <c r="E33896" s="8">
        <v>0</v>
      </c>
      <c r="F33896" s="8">
        <v>775</v>
      </c>
    </row>
    <row r="33897" spans="1:6" ht="12.75">
      <c r="A33897" s="8">
        <v>43889.334664351853</v>
      </c>
      <c r="B33897" s="8" t="str">
        <f>HYPERLINK("https://twitter.com/Menik407","@Menik407")</f>
        <v>@Menik407</v>
      </c>
      <c r="C33897" s="8" t="s">
        <v>12813</v>
      </c>
      <c r="D33897" s="8">
        <v>0</v>
      </c>
      <c r="E33897" s="8">
        <v>0</v>
      </c>
      <c r="F33897" s="8">
        <v>297</v>
      </c>
    </row>
    <row r="33898" spans="1:6" ht="12.75">
      <c r="A33898" s="8">
        <v>43889.33458333333</v>
      </c>
      <c r="B33898" s="8" t="str">
        <f>HYPERLINK("https://twitter.com/SundaeKiss0921","@SundaeKiss0921")</f>
        <v>@SundaeKiss0921</v>
      </c>
      <c r="C33898" s="8" t="s">
        <v>12814</v>
      </c>
      <c r="D33898" s="8">
        <v>0</v>
      </c>
      <c r="E33898" s="8">
        <v>0</v>
      </c>
      <c r="F33898" s="8">
        <v>1731</v>
      </c>
    </row>
    <row r="33899" spans="1:6" ht="12.75">
      <c r="A33899" s="8">
        <v>43889.334444444445</v>
      </c>
      <c r="B33899" s="8" t="str">
        <f>HYPERLINK("https://twitter.com/saiyidilhzq","@saiyidilhzq")</f>
        <v>@saiyidilhzq</v>
      </c>
      <c r="C33899" s="8" t="s">
        <v>11102</v>
      </c>
      <c r="D33899" s="8">
        <v>148</v>
      </c>
      <c r="E33899" s="8">
        <v>0</v>
      </c>
      <c r="F33899" s="8">
        <v>592</v>
      </c>
    </row>
    <row r="33900" spans="1:6" ht="12.75">
      <c r="A33900" s="8">
        <v>43889.334398148145</v>
      </c>
      <c r="B33900" s="8" t="str">
        <f>HYPERLINK("https://twitter.com/ZoneVenomWar","@ZoneVenomWar")</f>
        <v>@ZoneVenomWar</v>
      </c>
      <c r="C33900" s="8" t="s">
        <v>12815</v>
      </c>
      <c r="D33900" s="8">
        <v>25</v>
      </c>
      <c r="E33900" s="8">
        <v>0</v>
      </c>
      <c r="F33900" s="8">
        <v>1646</v>
      </c>
    </row>
    <row r="33901" spans="1:6" ht="12.75">
      <c r="A33901" s="8">
        <v>43889.334039351852</v>
      </c>
      <c r="B33901" s="8" t="str">
        <f>HYPERLINK("https://twitter.com/BulkiniNoni","@BulkiniNoni")</f>
        <v>@BulkiniNoni</v>
      </c>
      <c r="C33901" s="8" t="s">
        <v>12816</v>
      </c>
      <c r="D33901" s="8">
        <v>0</v>
      </c>
      <c r="E33901" s="8">
        <v>0</v>
      </c>
      <c r="F33901" s="8">
        <v>16</v>
      </c>
    </row>
    <row r="33902" spans="1:6" ht="12.75">
      <c r="A33902" s="8">
        <v>43889.334004629629</v>
      </c>
      <c r="B33902" s="8" t="str">
        <f>HYPERLINK("https://twitter.com/lukmanalwahid","@lukmanalwahid")</f>
        <v>@lukmanalwahid</v>
      </c>
      <c r="C33902" s="8" t="s">
        <v>12817</v>
      </c>
      <c r="D33902" s="8">
        <v>0</v>
      </c>
      <c r="E33902" s="8">
        <v>1</v>
      </c>
      <c r="F33902" s="8">
        <v>276</v>
      </c>
    </row>
    <row r="33903" spans="1:6" ht="12.75">
      <c r="A33903" s="8">
        <v>43889.33394675926</v>
      </c>
      <c r="B33903" s="8" t="str">
        <f>HYPERLINK("https://twitter.com/JemmyRodino","@JemmyRodino")</f>
        <v>@JemmyRodino</v>
      </c>
      <c r="C33903" s="8" t="s">
        <v>12818</v>
      </c>
      <c r="D33903" s="8">
        <v>0</v>
      </c>
      <c r="E33903" s="8">
        <v>0</v>
      </c>
      <c r="F33903" s="8">
        <v>414</v>
      </c>
    </row>
    <row r="33904" spans="1:6" ht="12.75">
      <c r="A33904" s="8">
        <v>43889.333819444444</v>
      </c>
      <c r="B33904" s="8" t="str">
        <f>HYPERLINK("https://twitter.com/timmymalachi","@timmymalachi")</f>
        <v>@timmymalachi</v>
      </c>
      <c r="C33904" s="8" t="s">
        <v>12794</v>
      </c>
      <c r="D33904" s="8">
        <v>1</v>
      </c>
      <c r="E33904" s="8">
        <v>0</v>
      </c>
      <c r="F33904" s="8">
        <v>4157</v>
      </c>
    </row>
    <row r="33905" spans="1:6" ht="12.75">
      <c r="A33905" s="8">
        <v>43889.333506944444</v>
      </c>
      <c r="B33905" s="8" t="str">
        <f>HYPERLINK("https://twitter.com/gommykyoong","@gommykyoong")</f>
        <v>@gommykyoong</v>
      </c>
      <c r="C33905" s="8" t="s">
        <v>12819</v>
      </c>
      <c r="D33905" s="8">
        <v>0</v>
      </c>
      <c r="E33905" s="8">
        <v>0</v>
      </c>
      <c r="F33905" s="8">
        <v>28</v>
      </c>
    </row>
    <row r="33906" spans="1:6" ht="12.75">
      <c r="A33906" s="8">
        <v>43889.333483796298</v>
      </c>
      <c r="B33906" s="8" t="str">
        <f>HYPERLINK("https://twitter.com/Akbar5Wicaksono","@Akbar5Wicaksono")</f>
        <v>@Akbar5Wicaksono</v>
      </c>
      <c r="C33906" s="8" t="s">
        <v>12820</v>
      </c>
      <c r="D33906" s="8">
        <v>0</v>
      </c>
      <c r="E33906" s="8">
        <v>0</v>
      </c>
      <c r="F33906" s="8">
        <v>18</v>
      </c>
    </row>
    <row r="33907" spans="1:6" ht="12.75">
      <c r="A33907" s="8">
        <v>43889.333460648151</v>
      </c>
      <c r="B33907" s="8" t="str">
        <f>HYPERLINK("https://twitter.com/nasbola","@nasbola")</f>
        <v>@nasbola</v>
      </c>
      <c r="C33907" s="8" t="s">
        <v>11102</v>
      </c>
      <c r="D33907" s="8">
        <v>148</v>
      </c>
      <c r="E33907" s="8">
        <v>0</v>
      </c>
      <c r="F33907" s="8">
        <v>449</v>
      </c>
    </row>
    <row r="33908" spans="1:6" ht="12.75">
      <c r="A33908" s="8">
        <v>43889.333171296297</v>
      </c>
      <c r="B33908" s="8" t="str">
        <f>HYPERLINK("https://twitter.com/MrsRachelIn","@MrsRachelIn")</f>
        <v>@MrsRachelIn</v>
      </c>
      <c r="C33908" s="8" t="s">
        <v>12821</v>
      </c>
      <c r="D33908" s="8">
        <v>0</v>
      </c>
      <c r="E33908" s="8">
        <v>1</v>
      </c>
      <c r="F33908" s="8">
        <v>3370</v>
      </c>
    </row>
    <row r="33909" spans="1:6" ht="12.75">
      <c r="A33909" s="8">
        <v>43889.332523148143</v>
      </c>
      <c r="B33909" s="8" t="str">
        <f>HYPERLINK("https://twitter.com/dehap3","@dehap3")</f>
        <v>@dehap3</v>
      </c>
      <c r="C33909" s="8" t="s">
        <v>12822</v>
      </c>
      <c r="D33909" s="8">
        <v>0</v>
      </c>
      <c r="E33909" s="8">
        <v>0</v>
      </c>
      <c r="F33909" s="8">
        <v>327</v>
      </c>
    </row>
    <row r="33910" spans="1:6" ht="12.75">
      <c r="A33910" s="8">
        <v>43889.332453703704</v>
      </c>
      <c r="B33910" s="8" t="str">
        <f>HYPERLINK("https://twitter.com/las3acc","@las3acc")</f>
        <v>@las3acc</v>
      </c>
      <c r="C33910" s="8" t="s">
        <v>12052</v>
      </c>
      <c r="D33910" s="8">
        <v>111</v>
      </c>
      <c r="E33910" s="8">
        <v>0</v>
      </c>
      <c r="F33910" s="8">
        <v>5053</v>
      </c>
    </row>
    <row r="33911" spans="1:6" ht="12.75">
      <c r="A33911" s="8">
        <v>43889.332442129627</v>
      </c>
      <c r="B33911" s="8" t="str">
        <f>HYPERLINK("https://twitter.com/kusumovina","@kusumovina")</f>
        <v>@kusumovina</v>
      </c>
      <c r="C33911" s="8" t="s">
        <v>12125</v>
      </c>
      <c r="D33911" s="8">
        <v>21</v>
      </c>
      <c r="E33911" s="8">
        <v>0</v>
      </c>
      <c r="F33911" s="8">
        <v>158</v>
      </c>
    </row>
    <row r="33912" spans="1:6" ht="12.75">
      <c r="A33912" s="8">
        <v>43889.332314814819</v>
      </c>
      <c r="B33912" s="8" t="str">
        <f>HYPERLINK("https://twitter.com/las3acc","@las3acc")</f>
        <v>@las3acc</v>
      </c>
      <c r="C33912" s="8" t="s">
        <v>11773</v>
      </c>
      <c r="D33912" s="8">
        <v>458</v>
      </c>
      <c r="E33912" s="8">
        <v>0</v>
      </c>
      <c r="F33912" s="8">
        <v>5053</v>
      </c>
    </row>
    <row r="33913" spans="1:6" ht="12.75">
      <c r="A33913" s="8">
        <v>43889.332037037035</v>
      </c>
      <c r="B33913" s="8" t="str">
        <f>HYPERLINK("https://twitter.com/KoBeloek","@KoBeloek")</f>
        <v>@KoBeloek</v>
      </c>
      <c r="C33913" s="8" t="s">
        <v>12823</v>
      </c>
      <c r="D33913" s="8">
        <v>0</v>
      </c>
      <c r="E33913" s="8">
        <v>0</v>
      </c>
      <c r="F33913" s="8">
        <v>1547</v>
      </c>
    </row>
    <row r="33914" spans="1:6" ht="12.75">
      <c r="A33914" s="8">
        <v>43889.331400462965</v>
      </c>
      <c r="B33914" s="8" t="str">
        <f>HYPERLINK("https://twitter.com/HendiBram","@HendiBram")</f>
        <v>@HendiBram</v>
      </c>
      <c r="C33914" s="8" t="s">
        <v>12815</v>
      </c>
      <c r="D33914" s="8">
        <v>25</v>
      </c>
      <c r="E33914" s="8">
        <v>0</v>
      </c>
      <c r="F33914" s="8">
        <v>5072</v>
      </c>
    </row>
    <row r="33915" spans="1:6" ht="12.75">
      <c r="A33915" s="8">
        <v>43889.331342592588</v>
      </c>
      <c r="B33915" s="8" t="str">
        <f>HYPERLINK("https://twitter.com/SunandarPS","@SunandarPS")</f>
        <v>@SunandarPS</v>
      </c>
      <c r="C33915" s="8" t="s">
        <v>12824</v>
      </c>
      <c r="D33915" s="8">
        <v>4</v>
      </c>
      <c r="E33915" s="8">
        <v>0</v>
      </c>
      <c r="F33915" s="8">
        <v>1092</v>
      </c>
    </row>
    <row r="33916" spans="1:6" ht="12.75">
      <c r="A33916" s="8">
        <v>43889.330972222218</v>
      </c>
      <c r="B33916" s="8" t="str">
        <f>HYPERLINK("https://twitter.com/sweetgreenpink","@sweetgreenpink")</f>
        <v>@sweetgreenpink</v>
      </c>
      <c r="C33916" s="8" t="s">
        <v>11102</v>
      </c>
      <c r="D33916" s="8">
        <v>148</v>
      </c>
      <c r="E33916" s="8">
        <v>0</v>
      </c>
      <c r="F33916" s="8">
        <v>579</v>
      </c>
    </row>
    <row r="33917" spans="1:6" ht="12.75">
      <c r="A33917" s="8">
        <v>43889.330763888887</v>
      </c>
      <c r="B33917" s="8" t="str">
        <f>HYPERLINK("https://twitter.com/Aintyababe","@Aintyababe")</f>
        <v>@Aintyababe</v>
      </c>
      <c r="C33917" s="8" t="s">
        <v>12213</v>
      </c>
      <c r="D33917" s="8">
        <v>2</v>
      </c>
      <c r="E33917" s="8">
        <v>0</v>
      </c>
      <c r="F33917" s="8">
        <v>47</v>
      </c>
    </row>
    <row r="33918" spans="1:6" ht="12.75">
      <c r="A33918" s="8">
        <v>43889.330196759256</v>
      </c>
      <c r="B33918" s="8" t="str">
        <f>HYPERLINK("https://twitter.com/HariMulyawan50","@HariMulyawan50")</f>
        <v>@HariMulyawan50</v>
      </c>
      <c r="C33918" s="8" t="s">
        <v>12481</v>
      </c>
      <c r="D33918" s="8">
        <v>3</v>
      </c>
      <c r="E33918" s="8">
        <v>0</v>
      </c>
      <c r="F33918" s="8">
        <v>64</v>
      </c>
    </row>
    <row r="33919" spans="1:6" ht="12.75">
      <c r="A33919" s="8">
        <v>43889.33011574074</v>
      </c>
      <c r="B33919" s="8" t="str">
        <f>HYPERLINK("https://twitter.com/roses_man","@roses_man")</f>
        <v>@roses_man</v>
      </c>
      <c r="C33919" s="8" t="s">
        <v>12825</v>
      </c>
      <c r="D33919" s="8">
        <v>0</v>
      </c>
      <c r="E33919" s="8">
        <v>0</v>
      </c>
      <c r="F33919" s="8">
        <v>1005</v>
      </c>
    </row>
    <row r="33920" spans="1:6" ht="12.75">
      <c r="A33920" s="8">
        <v>43889.330011574071</v>
      </c>
      <c r="B33920" s="8" t="str">
        <f>HYPERLINK("https://twitter.com/ISIS_Balik_NO","@ISIS_Balik_NO")</f>
        <v>@ISIS_Balik_NO</v>
      </c>
      <c r="C33920" s="8" t="s">
        <v>12826</v>
      </c>
      <c r="D33920" s="8">
        <v>0</v>
      </c>
      <c r="E33920" s="8">
        <v>0</v>
      </c>
      <c r="F33920" s="8">
        <v>6080</v>
      </c>
    </row>
    <row r="33921" spans="1:6" ht="12.75">
      <c r="A33921" s="8">
        <v>43889.329398148147</v>
      </c>
      <c r="B33921" s="8" t="str">
        <f>HYPERLINK("https://twitter.com/Ssdidikw","@Ssdidikw")</f>
        <v>@Ssdidikw</v>
      </c>
      <c r="C33921" s="8" t="s">
        <v>12827</v>
      </c>
      <c r="D33921" s="8">
        <v>16</v>
      </c>
      <c r="E33921" s="8">
        <v>0</v>
      </c>
      <c r="F33921" s="8">
        <v>44</v>
      </c>
    </row>
    <row r="33922" spans="1:6" ht="12.75">
      <c r="A33922" s="8">
        <v>43889.329062500001</v>
      </c>
      <c r="B33922" s="8" t="str">
        <f>HYPERLINK("https://twitter.com/ZarifTwinkle","@ZarifTwinkle")</f>
        <v>@ZarifTwinkle</v>
      </c>
      <c r="C33922" s="8" t="s">
        <v>11102</v>
      </c>
      <c r="D33922" s="8">
        <v>148</v>
      </c>
      <c r="E33922" s="8">
        <v>0</v>
      </c>
      <c r="F33922" s="8">
        <v>1984</v>
      </c>
    </row>
    <row r="33923" spans="1:6" ht="12.75">
      <c r="A33923" s="8">
        <v>43889.329004629632</v>
      </c>
      <c r="B33923" s="8" t="str">
        <f>HYPERLINK("https://twitter.com/JulianChrisnadi","@JulianChrisnadi")</f>
        <v>@JulianChrisnadi</v>
      </c>
      <c r="C33923" s="8" t="s">
        <v>12828</v>
      </c>
      <c r="D33923" s="8">
        <v>1</v>
      </c>
      <c r="E33923" s="8">
        <v>0</v>
      </c>
      <c r="F33923" s="8">
        <v>103</v>
      </c>
    </row>
    <row r="33924" spans="1:6" ht="12.75">
      <c r="A33924" s="8">
        <v>43889.3284837963</v>
      </c>
      <c r="B33924" s="8" t="str">
        <f>HYPERLINK("https://twitter.com/ciweciwe3","@ciweciwe3")</f>
        <v>@ciweciwe3</v>
      </c>
      <c r="C33924" s="8" t="s">
        <v>11870</v>
      </c>
      <c r="D33924" s="8">
        <v>1</v>
      </c>
      <c r="E33924" s="8">
        <v>0</v>
      </c>
      <c r="F33924" s="8">
        <v>0</v>
      </c>
    </row>
    <row r="33925" spans="1:6" ht="12.75">
      <c r="A33925" s="8">
        <v>43889.328125</v>
      </c>
      <c r="B33925" s="8" t="str">
        <f>HYPERLINK("https://twitter.com/BeritaCOVID19","@BeritaCOVID19")</f>
        <v>@BeritaCOVID19</v>
      </c>
      <c r="C33925" s="8" t="s">
        <v>12829</v>
      </c>
      <c r="D33925" s="8">
        <v>0</v>
      </c>
      <c r="E33925" s="8">
        <v>0</v>
      </c>
      <c r="F33925" s="8">
        <v>165</v>
      </c>
    </row>
    <row r="33926" spans="1:6" ht="12.75">
      <c r="A33926" s="8">
        <v>43889.327268518522</v>
      </c>
      <c r="B33926" s="8" t="str">
        <f>HYPERLINK("https://twitter.com/Ahse_ayrus","@Ahse_ayrus")</f>
        <v>@Ahse_ayrus</v>
      </c>
      <c r="C33926" s="8" t="s">
        <v>6863</v>
      </c>
      <c r="D33926" s="8">
        <v>283</v>
      </c>
      <c r="E33926" s="8">
        <v>0</v>
      </c>
      <c r="F33926" s="8">
        <v>367</v>
      </c>
    </row>
    <row r="33927" spans="1:6" ht="12.75">
      <c r="A33927" s="8">
        <v>43889.327175925922</v>
      </c>
      <c r="B33927" s="8" t="str">
        <f>HYPERLINK("https://twitter.com/TheFakhru","@TheFakhru")</f>
        <v>@TheFakhru</v>
      </c>
      <c r="C33927" s="8" t="s">
        <v>11102</v>
      </c>
      <c r="D33927" s="8">
        <v>148</v>
      </c>
      <c r="E33927" s="8">
        <v>0</v>
      </c>
      <c r="F33927" s="8">
        <v>249</v>
      </c>
    </row>
    <row r="33928" spans="1:6" ht="12.75">
      <c r="A33928" s="8">
        <v>43889.327152777776</v>
      </c>
      <c r="B33928" s="8" t="str">
        <f>HYPERLINK("https://twitter.com/ZAEffendy","@ZAEffendy")</f>
        <v>@ZAEffendy</v>
      </c>
      <c r="C33928" s="8" t="s">
        <v>12830</v>
      </c>
      <c r="D33928" s="8">
        <v>2</v>
      </c>
      <c r="E33928" s="8">
        <v>7</v>
      </c>
      <c r="F33928" s="8">
        <v>59869</v>
      </c>
    </row>
    <row r="33929" spans="1:6" ht="12.75">
      <c r="A33929" s="8">
        <v>43889.326747685191</v>
      </c>
      <c r="B33929" s="8" t="str">
        <f>HYPERLINK("https://twitter.com/elzaindra","@elzaindra")</f>
        <v>@elzaindra</v>
      </c>
      <c r="C33929" s="8" t="s">
        <v>12831</v>
      </c>
      <c r="D33929" s="8">
        <v>0</v>
      </c>
      <c r="E33929" s="8">
        <v>0</v>
      </c>
      <c r="F33929" s="8">
        <v>384</v>
      </c>
    </row>
    <row r="33930" spans="1:6" ht="12.75">
      <c r="A33930" s="8">
        <v>43889.325798611113</v>
      </c>
      <c r="B33930" s="8" t="str">
        <f>HYPERLINK("https://twitter.com/yudhantio","@yudhantio")</f>
        <v>@yudhantio</v>
      </c>
      <c r="C33930" s="8" t="s">
        <v>4785</v>
      </c>
      <c r="D33930" s="8">
        <v>465</v>
      </c>
      <c r="E33930" s="8">
        <v>0</v>
      </c>
      <c r="F33930" s="8">
        <v>591</v>
      </c>
    </row>
    <row r="33931" spans="1:6" ht="12.75">
      <c r="A33931" s="8">
        <v>43889.325706018513</v>
      </c>
      <c r="B33931" s="8" t="str">
        <f>HYPERLINK("https://twitter.com/beeacy","@beeacy")</f>
        <v>@beeacy</v>
      </c>
      <c r="C33931" s="8" t="s">
        <v>12832</v>
      </c>
      <c r="D33931" s="8">
        <v>0</v>
      </c>
      <c r="E33931" s="8">
        <v>0</v>
      </c>
      <c r="F33931" s="8">
        <v>206</v>
      </c>
    </row>
    <row r="33932" spans="1:6" ht="12.75">
      <c r="A33932" s="8">
        <v>43889.325682870374</v>
      </c>
      <c r="B33932" s="8" t="str">
        <f>HYPERLINK("https://twitter.com/theputrapetir","@theputrapetir")</f>
        <v>@theputrapetir</v>
      </c>
      <c r="C33932" s="8" t="s">
        <v>12833</v>
      </c>
      <c r="D33932" s="8">
        <v>0</v>
      </c>
      <c r="E33932" s="8">
        <v>0</v>
      </c>
      <c r="F33932" s="8">
        <v>536</v>
      </c>
    </row>
    <row r="33933" spans="1:6" ht="12.75">
      <c r="A33933" s="8">
        <v>43889.325057870374</v>
      </c>
      <c r="B33933" s="8" t="str">
        <f>HYPERLINK("https://twitter.com/AriaRamdhana","@AriaRamdhana")</f>
        <v>@AriaRamdhana</v>
      </c>
      <c r="C33933" s="8" t="s">
        <v>12834</v>
      </c>
      <c r="D33933" s="8">
        <v>0</v>
      </c>
      <c r="E33933" s="8">
        <v>0</v>
      </c>
      <c r="F33933" s="8">
        <v>6</v>
      </c>
    </row>
    <row r="33934" spans="1:6" ht="12.75">
      <c r="A33934" s="8">
        <v>43889.324895833328</v>
      </c>
      <c r="B33934" s="8" t="str">
        <f>HYPERLINK("https://twitter.com/tribunnews","@tribunnews")</f>
        <v>@tribunnews</v>
      </c>
      <c r="C33934" s="8" t="s">
        <v>12727</v>
      </c>
      <c r="D33934" s="8">
        <v>1</v>
      </c>
      <c r="E33934" s="8">
        <v>3</v>
      </c>
      <c r="F33934" s="8">
        <v>883329</v>
      </c>
    </row>
    <row r="33935" spans="1:6" ht="12.75">
      <c r="A33935" s="8">
        <v>43889.324814814812</v>
      </c>
      <c r="B33935" s="8" t="str">
        <f>HYPERLINK("https://twitter.com/SlamatNKRI","@SlamatNKRI")</f>
        <v>@SlamatNKRI</v>
      </c>
      <c r="C33935" s="8" t="s">
        <v>12835</v>
      </c>
      <c r="D33935" s="8">
        <v>0</v>
      </c>
      <c r="E33935" s="8">
        <v>0</v>
      </c>
      <c r="F33935" s="8">
        <v>151</v>
      </c>
    </row>
    <row r="33936" spans="1:6" ht="12.75">
      <c r="A33936" s="8">
        <v>43889.324062500003</v>
      </c>
      <c r="B33936" s="8" t="str">
        <f>HYPERLINK("https://twitter.com/MissLittleNSI","@MissLittleNSI")</f>
        <v>@MissLittleNSI</v>
      </c>
      <c r="C33936" s="8" t="s">
        <v>11102</v>
      </c>
      <c r="D33936" s="8">
        <v>148</v>
      </c>
      <c r="E33936" s="8">
        <v>0</v>
      </c>
      <c r="F33936" s="8">
        <v>642</v>
      </c>
    </row>
    <row r="33937" spans="1:6" ht="12.75">
      <c r="A33937" s="8">
        <v>43889.324050925927</v>
      </c>
      <c r="B33937" s="8" t="str">
        <f>HYPERLINK("https://twitter.com/imm4n","@imm4n")</f>
        <v>@imm4n</v>
      </c>
      <c r="C33937" s="8" t="s">
        <v>12836</v>
      </c>
      <c r="D33937" s="8">
        <v>0</v>
      </c>
      <c r="E33937" s="8">
        <v>0</v>
      </c>
      <c r="F33937" s="8">
        <v>219</v>
      </c>
    </row>
    <row r="33938" spans="1:6" ht="12.75">
      <c r="A33938" s="8">
        <v>43889.323564814811</v>
      </c>
      <c r="B33938" s="8" t="str">
        <f>HYPERLINK("https://twitter.com/RelawanNusanta1","@RelawanNusanta1")</f>
        <v>@RelawanNusanta1</v>
      </c>
      <c r="C33938" s="8" t="s">
        <v>12837</v>
      </c>
      <c r="D33938" s="8">
        <v>1</v>
      </c>
      <c r="E33938" s="8">
        <v>1</v>
      </c>
      <c r="F33938" s="8">
        <v>1318</v>
      </c>
    </row>
    <row r="33939" spans="1:6" ht="12.75">
      <c r="A33939" s="8">
        <v>43889.323067129633</v>
      </c>
      <c r="B33939" s="8" t="str">
        <f>HYPERLINK("https://twitter.com/Veslife1","@Veslife1")</f>
        <v>@Veslife1</v>
      </c>
      <c r="C33939" s="8" t="s">
        <v>12838</v>
      </c>
      <c r="D33939" s="8">
        <v>0</v>
      </c>
      <c r="E33939" s="8">
        <v>0</v>
      </c>
      <c r="F33939" s="8">
        <v>0</v>
      </c>
    </row>
    <row r="33940" spans="1:6" ht="12.75">
      <c r="A33940" s="8">
        <v>43889.322789351849</v>
      </c>
      <c r="B33940" s="8" t="str">
        <f>HYPERLINK("https://twitter.com/kemenkopmk","@kemenkopmk")</f>
        <v>@kemenkopmk</v>
      </c>
      <c r="C33940" s="8" t="s">
        <v>12839</v>
      </c>
      <c r="D33940" s="8">
        <v>0</v>
      </c>
      <c r="E33940" s="8">
        <v>0</v>
      </c>
      <c r="F33940" s="8">
        <v>130073</v>
      </c>
    </row>
    <row r="33941" spans="1:6" ht="12.75">
      <c r="A33941" s="8">
        <v>43889.322523148148</v>
      </c>
      <c r="B33941" s="8" t="str">
        <f>HYPERLINK("https://twitter.com/wokayokay","@wokayokay")</f>
        <v>@wokayokay</v>
      </c>
      <c r="C33941" s="8" t="s">
        <v>12840</v>
      </c>
      <c r="D33941" s="8">
        <v>3</v>
      </c>
      <c r="E33941" s="8">
        <v>0</v>
      </c>
      <c r="F33941" s="8">
        <v>541</v>
      </c>
    </row>
    <row r="33942" spans="1:6" ht="12.75">
      <c r="A33942" s="8">
        <v>43889.320659722223</v>
      </c>
      <c r="B33942" s="8" t="str">
        <f>HYPERLINK("https://twitter.com/asyrafzr","@asyrafzr")</f>
        <v>@asyrafzr</v>
      </c>
      <c r="C33942" s="8" t="s">
        <v>11102</v>
      </c>
      <c r="D33942" s="8">
        <v>148</v>
      </c>
      <c r="E33942" s="8">
        <v>0</v>
      </c>
      <c r="F33942" s="8">
        <v>88</v>
      </c>
    </row>
    <row r="33943" spans="1:6" ht="12.75">
      <c r="A33943" s="8">
        <v>43889.320625</v>
      </c>
      <c r="B33943" s="8" t="str">
        <f>HYPERLINK("https://twitter.com/aoeliaRF","@aoeliaRF")</f>
        <v>@aoeliaRF</v>
      </c>
      <c r="C33943" s="8" t="s">
        <v>12841</v>
      </c>
      <c r="D33943" s="8">
        <v>1</v>
      </c>
      <c r="E33943" s="8">
        <v>0</v>
      </c>
      <c r="F33943" s="8">
        <v>146</v>
      </c>
    </row>
    <row r="33944" spans="1:6" ht="12.75">
      <c r="A33944" s="8">
        <v>43889.320370370369</v>
      </c>
      <c r="B33944" s="8" t="str">
        <f>HYPERLINK("https://twitter.com/mamiagarislucu","@mamiagarislucu")</f>
        <v>@mamiagarislucu</v>
      </c>
      <c r="C33944" s="8" t="s">
        <v>12842</v>
      </c>
      <c r="D33944" s="8">
        <v>2</v>
      </c>
      <c r="E33944" s="8">
        <v>0</v>
      </c>
      <c r="F33944" s="8">
        <v>5724</v>
      </c>
    </row>
    <row r="33945" spans="1:6" ht="12.75">
      <c r="A33945" s="8">
        <v>43889.319768518515</v>
      </c>
      <c r="B33945" s="8" t="str">
        <f>HYPERLINK("https://twitter.com/r3nDYwJy","@r3nDYwJy")</f>
        <v>@r3nDYwJy</v>
      </c>
      <c r="C33945" s="8" t="s">
        <v>12843</v>
      </c>
      <c r="D33945" s="8">
        <v>0</v>
      </c>
      <c r="E33945" s="8">
        <v>1</v>
      </c>
      <c r="F33945" s="8">
        <v>1630</v>
      </c>
    </row>
    <row r="33946" spans="1:6" ht="12.75">
      <c r="A33946" s="8">
        <v>43889.319444444445</v>
      </c>
      <c r="B33946" s="8" t="str">
        <f>HYPERLINK("https://twitter.com/manora6383","@manora6383")</f>
        <v>@manora6383</v>
      </c>
      <c r="C33946" s="8" t="s">
        <v>11102</v>
      </c>
      <c r="D33946" s="8">
        <v>148</v>
      </c>
      <c r="E33946" s="8">
        <v>0</v>
      </c>
      <c r="F33946" s="8">
        <v>145</v>
      </c>
    </row>
    <row r="33947" spans="1:6" ht="12.75">
      <c r="A33947" s="8">
        <v>43889.319398148145</v>
      </c>
      <c r="B33947" s="8" t="str">
        <f>HYPERLINK("https://twitter.com/Bjang99","@Bjang99")</f>
        <v>@Bjang99</v>
      </c>
      <c r="C33947" s="8" t="s">
        <v>12844</v>
      </c>
      <c r="D33947" s="8">
        <v>9</v>
      </c>
      <c r="E33947" s="8">
        <v>0</v>
      </c>
      <c r="F33947" s="8">
        <v>252</v>
      </c>
    </row>
    <row r="33948" spans="1:6" ht="12.75">
      <c r="A33948" s="8">
        <v>43889.319178240738</v>
      </c>
      <c r="B33948" s="8" t="str">
        <f>HYPERLINK("https://twitter.com/syeddzz","@syeddzz")</f>
        <v>@syeddzz</v>
      </c>
      <c r="C33948" s="8" t="s">
        <v>11102</v>
      </c>
      <c r="D33948" s="8">
        <v>148</v>
      </c>
      <c r="E33948" s="8">
        <v>0</v>
      </c>
      <c r="F33948" s="8">
        <v>66</v>
      </c>
    </row>
    <row r="33949" spans="1:6" ht="12.75">
      <c r="A33949" s="8">
        <v>43889.318935185191</v>
      </c>
      <c r="B33949" s="8" t="str">
        <f>HYPERLINK("https://twitter.com/machbeach","@machbeach")</f>
        <v>@machbeach</v>
      </c>
      <c r="C33949" s="8" t="s">
        <v>12845</v>
      </c>
      <c r="D33949" s="8">
        <v>0</v>
      </c>
      <c r="E33949" s="8">
        <v>0</v>
      </c>
      <c r="F33949" s="8">
        <v>930</v>
      </c>
    </row>
    <row r="33950" spans="1:6" ht="12.75">
      <c r="A33950" s="8">
        <v>43889.31858796296</v>
      </c>
      <c r="B33950" s="8" t="str">
        <f>HYPERLINK("https://twitter.com/fadhli_nadhil","@fadhli_nadhil")</f>
        <v>@fadhli_nadhil</v>
      </c>
      <c r="C33950" s="8" t="s">
        <v>11102</v>
      </c>
      <c r="D33950" s="8">
        <v>148</v>
      </c>
      <c r="E33950" s="8">
        <v>0</v>
      </c>
      <c r="F33950" s="8">
        <v>53</v>
      </c>
    </row>
    <row r="33951" spans="1:6" ht="12.75">
      <c r="A33951" s="8">
        <v>43889.318495370375</v>
      </c>
      <c r="B33951" s="8" t="str">
        <f>HYPERLINK("https://twitter.com/amzar1993","@amzar1993")</f>
        <v>@amzar1993</v>
      </c>
      <c r="C33951" s="8" t="s">
        <v>11102</v>
      </c>
      <c r="D33951" s="8">
        <v>148</v>
      </c>
      <c r="E33951" s="8">
        <v>0</v>
      </c>
      <c r="F33951" s="8">
        <v>314</v>
      </c>
    </row>
    <row r="33952" spans="1:6" ht="12.75">
      <c r="A33952" s="8">
        <v>43889.318032407406</v>
      </c>
      <c r="B33952" s="8" t="str">
        <f>HYPERLINK("https://twitter.com/pedehalbro","@pedehalbro")</f>
        <v>@pedehalbro</v>
      </c>
      <c r="C33952" s="8" t="s">
        <v>11102</v>
      </c>
      <c r="D33952" s="8">
        <v>148</v>
      </c>
      <c r="E33952" s="8">
        <v>0</v>
      </c>
      <c r="F33952" s="8">
        <v>340</v>
      </c>
    </row>
    <row r="33953" spans="1:6" ht="12.75">
      <c r="A33953" s="8">
        <v>43889.318032407406</v>
      </c>
      <c r="B33953" s="8" t="str">
        <f>HYPERLINK("https://twitter.com/IzztFrhn","@IzztFrhn")</f>
        <v>@IzztFrhn</v>
      </c>
      <c r="C33953" s="8" t="s">
        <v>11102</v>
      </c>
      <c r="D33953" s="8">
        <v>148</v>
      </c>
      <c r="E33953" s="8">
        <v>0</v>
      </c>
      <c r="F33953" s="8">
        <v>160</v>
      </c>
    </row>
    <row r="33954" spans="1:6" ht="12.75">
      <c r="A33954" s="8">
        <v>43889.317962962959</v>
      </c>
      <c r="B33954" s="8" t="str">
        <f>HYPERLINK("https://twitter.com/Hfnz9","@Hfnz9")</f>
        <v>@Hfnz9</v>
      </c>
      <c r="C33954" s="8" t="s">
        <v>11102</v>
      </c>
      <c r="D33954" s="8">
        <v>148</v>
      </c>
      <c r="E33954" s="8">
        <v>0</v>
      </c>
      <c r="F33954" s="8">
        <v>1152</v>
      </c>
    </row>
    <row r="33955" spans="1:6" ht="12.75">
      <c r="A33955" s="8">
        <v>43889.317824074074</v>
      </c>
      <c r="B33955" s="8" t="str">
        <f>HYPERLINK("https://twitter.com/republikaonline","@republikaonline")</f>
        <v>@republikaonline</v>
      </c>
      <c r="C33955" s="8" t="s">
        <v>12846</v>
      </c>
      <c r="D33955" s="8">
        <v>2</v>
      </c>
      <c r="E33955" s="8">
        <v>5</v>
      </c>
      <c r="F33955" s="8">
        <v>1214943</v>
      </c>
    </row>
    <row r="33956" spans="1:6" ht="12.75">
      <c r="A33956" s="8">
        <v>43889.317604166667</v>
      </c>
      <c r="B33956" s="8" t="str">
        <f>HYPERLINK("https://twitter.com/E1LaE1nas7","@E1LaE1nas7")</f>
        <v>@E1LaE1nas7</v>
      </c>
      <c r="C33956" s="8" t="s">
        <v>11102</v>
      </c>
      <c r="D33956" s="8">
        <v>148</v>
      </c>
      <c r="E33956" s="8">
        <v>0</v>
      </c>
      <c r="F33956" s="8">
        <v>1363</v>
      </c>
    </row>
    <row r="33957" spans="1:6" ht="12.75">
      <c r="A33957" s="8">
        <v>43889.31753472222</v>
      </c>
      <c r="B33957" s="8" t="str">
        <f>HYPERLINK("https://twitter.com/KaimanaPoem","@KaimanaPoem")</f>
        <v>@KaimanaPoem</v>
      </c>
      <c r="C33957" s="8" t="s">
        <v>12847</v>
      </c>
      <c r="D33957" s="8">
        <v>0</v>
      </c>
      <c r="E33957" s="8">
        <v>0</v>
      </c>
      <c r="F33957" s="8">
        <v>1294</v>
      </c>
    </row>
    <row r="33958" spans="1:6" ht="12.75">
      <c r="A33958" s="8">
        <v>43889.31753472222</v>
      </c>
      <c r="B33958" s="8" t="str">
        <f>HYPERLINK("https://twitter.com/aidakhirol","@aidakhirol")</f>
        <v>@aidakhirol</v>
      </c>
      <c r="C33958" s="8" t="s">
        <v>11102</v>
      </c>
      <c r="D33958" s="8">
        <v>148</v>
      </c>
      <c r="E33958" s="8">
        <v>0</v>
      </c>
      <c r="F33958" s="8">
        <v>670</v>
      </c>
    </row>
    <row r="33959" spans="1:6" ht="12.75">
      <c r="A33959" s="8">
        <v>43889.316921296297</v>
      </c>
      <c r="B33959" s="8" t="str">
        <f>HYPERLINK("https://twitter.com/triefince","@triefince")</f>
        <v>@triefince</v>
      </c>
      <c r="C33959" s="8" t="s">
        <v>12848</v>
      </c>
      <c r="D33959" s="8">
        <v>0</v>
      </c>
      <c r="E33959" s="8">
        <v>0</v>
      </c>
      <c r="F33959" s="8">
        <v>627</v>
      </c>
    </row>
    <row r="33960" spans="1:6" ht="12.75">
      <c r="A33960" s="8">
        <v>43889.316875000004</v>
      </c>
      <c r="B33960" s="8" t="str">
        <f>HYPERLINK("https://twitter.com/Faizal5932","@Faizal5932")</f>
        <v>@Faizal5932</v>
      </c>
      <c r="C33960" s="8" t="s">
        <v>11102</v>
      </c>
      <c r="D33960" s="8">
        <v>148</v>
      </c>
      <c r="E33960" s="8">
        <v>0</v>
      </c>
      <c r="F33960" s="8">
        <v>74</v>
      </c>
    </row>
    <row r="33961" spans="1:6" ht="12.75">
      <c r="A33961" s="8">
        <v>43889.316620370373</v>
      </c>
      <c r="B33961" s="8" t="str">
        <f>HYPERLINK("https://twitter.com/Ngk0ng__R__R","@Ngk0ng__R__R")</f>
        <v>@Ngk0ng__R__R</v>
      </c>
      <c r="C33961" s="8" t="s">
        <v>12842</v>
      </c>
      <c r="D33961" s="8">
        <v>2</v>
      </c>
      <c r="E33961" s="8">
        <v>0</v>
      </c>
      <c r="F33961" s="8">
        <v>2119</v>
      </c>
    </row>
    <row r="33962" spans="1:6" ht="12.75">
      <c r="A33962" s="8">
        <v>43889.315798611111</v>
      </c>
      <c r="B33962" s="8" t="str">
        <f>HYPERLINK("https://twitter.com/AGurbachev","@AGurbachev")</f>
        <v>@AGurbachev</v>
      </c>
      <c r="C33962" s="8" t="s">
        <v>12849</v>
      </c>
      <c r="D33962" s="8">
        <v>2</v>
      </c>
      <c r="E33962" s="8">
        <v>1</v>
      </c>
      <c r="F33962" s="8">
        <v>4216</v>
      </c>
    </row>
    <row r="33963" spans="1:6" ht="12.75">
      <c r="A33963" s="8">
        <v>43889.315474537041</v>
      </c>
      <c r="B33963" s="8" t="str">
        <f>HYPERLINK("https://twitter.com/ArmandGusman","@ArmandGusman")</f>
        <v>@ArmandGusman</v>
      </c>
      <c r="C33963" s="8" t="s">
        <v>12850</v>
      </c>
      <c r="D33963" s="8">
        <v>0</v>
      </c>
      <c r="E33963" s="8">
        <v>0</v>
      </c>
      <c r="F33963" s="8">
        <v>200</v>
      </c>
    </row>
    <row r="33964" spans="1:6" ht="12.75">
      <c r="A33964" s="8">
        <v>43889.315196759257</v>
      </c>
      <c r="B33964" s="8" t="str">
        <f>HYPERLINK("https://twitter.com/PaijoAryanto__","@PaijoAryanto__")</f>
        <v>@PaijoAryanto__</v>
      </c>
      <c r="C33964" s="8" t="s">
        <v>12851</v>
      </c>
      <c r="D33964" s="8">
        <v>0</v>
      </c>
      <c r="E33964" s="8">
        <v>0</v>
      </c>
      <c r="F33964" s="8">
        <v>736</v>
      </c>
    </row>
    <row r="33965" spans="1:6" ht="12.75">
      <c r="A33965" s="8">
        <v>43889.315185185187</v>
      </c>
      <c r="B33965" s="8" t="str">
        <f>HYPERLINK("https://twitter.com/_CHlS_","@_CHlS_")</f>
        <v>@_CHlS_</v>
      </c>
      <c r="C33965" s="8" t="s">
        <v>12065</v>
      </c>
      <c r="D33965" s="8">
        <v>16</v>
      </c>
      <c r="E33965" s="8">
        <v>0</v>
      </c>
      <c r="F33965" s="8">
        <v>2822</v>
      </c>
    </row>
    <row r="33966" spans="1:6" ht="12.75">
      <c r="A33966" s="8">
        <v>43889.314756944441</v>
      </c>
      <c r="B33966" s="8" t="str">
        <f>HYPERLINK("https://twitter.com/wanshah07","@wanshah07")</f>
        <v>@wanshah07</v>
      </c>
      <c r="C33966" s="8" t="s">
        <v>11102</v>
      </c>
      <c r="D33966" s="8">
        <v>148</v>
      </c>
      <c r="E33966" s="8">
        <v>0</v>
      </c>
      <c r="F33966" s="8">
        <v>108</v>
      </c>
    </row>
    <row r="33967" spans="1:6" ht="12.75">
      <c r="A33967" s="8">
        <v>43889.314722222218</v>
      </c>
      <c r="B33967" s="8" t="str">
        <f>HYPERLINK("https://twitter.com/yanie_tie","@yanie_tie")</f>
        <v>@yanie_tie</v>
      </c>
      <c r="C33967" s="8" t="s">
        <v>12852</v>
      </c>
      <c r="D33967" s="8">
        <v>0</v>
      </c>
      <c r="E33967" s="8">
        <v>0</v>
      </c>
      <c r="F33967" s="8">
        <v>110</v>
      </c>
    </row>
    <row r="33968" spans="1:6" ht="12.75">
      <c r="A33968" s="8">
        <v>43889.314675925925</v>
      </c>
      <c r="B33968" s="8" t="str">
        <f>HYPERLINK("https://twitter.com/MadNoOsman","@MadNoOsman")</f>
        <v>@MadNoOsman</v>
      </c>
      <c r="C33968" s="8" t="s">
        <v>11102</v>
      </c>
      <c r="D33968" s="8">
        <v>148</v>
      </c>
      <c r="E33968" s="8">
        <v>0</v>
      </c>
      <c r="F33968" s="8">
        <v>348</v>
      </c>
    </row>
    <row r="33969" spans="1:6" ht="12.75">
      <c r="A33969" s="8">
        <v>43889.31454861111</v>
      </c>
      <c r="B33969" s="8" t="str">
        <f>HYPERLINK("https://twitter.com/RAdeAhmadSobir4","@RAdeAhmadSobir4")</f>
        <v>@RAdeAhmadSobir4</v>
      </c>
      <c r="C33969" s="8" t="s">
        <v>12481</v>
      </c>
      <c r="D33969" s="8">
        <v>3</v>
      </c>
      <c r="E33969" s="8">
        <v>0</v>
      </c>
      <c r="F33969" s="8">
        <v>29</v>
      </c>
    </row>
    <row r="33970" spans="1:6" ht="12.75">
      <c r="A33970" s="8">
        <v>43889.314456018517</v>
      </c>
      <c r="B33970" s="8" t="str">
        <f>HYPERLINK("https://twitter.com/triefince","@triefince")</f>
        <v>@triefince</v>
      </c>
      <c r="C33970" s="8" t="s">
        <v>12853</v>
      </c>
      <c r="D33970" s="8">
        <v>11</v>
      </c>
      <c r="E33970" s="8">
        <v>0</v>
      </c>
      <c r="F33970" s="8">
        <v>627</v>
      </c>
    </row>
    <row r="33971" spans="1:6" ht="12.75">
      <c r="A33971" s="8">
        <v>43889.314201388886</v>
      </c>
      <c r="B33971" s="8" t="str">
        <f>HYPERLINK("https://twitter.com/AWChuz","@AWChuz")</f>
        <v>@AWChuz</v>
      </c>
      <c r="C33971" s="8" t="s">
        <v>12854</v>
      </c>
      <c r="D33971" s="8">
        <v>0</v>
      </c>
      <c r="E33971" s="8">
        <v>0</v>
      </c>
      <c r="F33971" s="8">
        <v>1281</v>
      </c>
    </row>
    <row r="33972" spans="1:6" ht="12.75">
      <c r="A33972" s="8">
        <v>43889.314108796301</v>
      </c>
      <c r="B33972" s="8" t="str">
        <f>HYPERLINK("https://twitter.com/PengembaraBurjo","@PengembaraBurjo")</f>
        <v>@PengembaraBurjo</v>
      </c>
      <c r="C33972" s="8" t="s">
        <v>12855</v>
      </c>
      <c r="D33972" s="8">
        <v>0</v>
      </c>
      <c r="E33972" s="8">
        <v>0</v>
      </c>
      <c r="F33972" s="8">
        <v>29</v>
      </c>
    </row>
    <row r="33973" spans="1:6" ht="12.75">
      <c r="A33973" s="8">
        <v>43889.313981481479</v>
      </c>
      <c r="B33973" s="8" t="str">
        <f>HYPERLINK("https://twitter.com/ProJustisiaNews","@ProJustisiaNews")</f>
        <v>@ProJustisiaNews</v>
      </c>
      <c r="C33973" s="8" t="s">
        <v>7016</v>
      </c>
      <c r="D33973" s="8">
        <v>0</v>
      </c>
      <c r="E33973" s="8">
        <v>0</v>
      </c>
      <c r="F33973" s="8">
        <v>36</v>
      </c>
    </row>
    <row r="33974" spans="1:6" ht="12.75">
      <c r="A33974" s="8">
        <v>43889.31386574074</v>
      </c>
      <c r="B33974" s="8" t="str">
        <f>HYPERLINK("https://twitter.com/Kancil90_","@Kancil90_")</f>
        <v>@Kancil90_</v>
      </c>
      <c r="C33974" s="8" t="s">
        <v>12481</v>
      </c>
      <c r="D33974" s="8">
        <v>3</v>
      </c>
      <c r="E33974" s="8">
        <v>0</v>
      </c>
      <c r="F33974" s="8">
        <v>613</v>
      </c>
    </row>
    <row r="33975" spans="1:6" ht="12.75">
      <c r="A33975" s="8">
        <v>43889.31385416667</v>
      </c>
      <c r="B33975" s="8" t="str">
        <f>HYPERLINK("https://twitter.com/renovachoandy","@renovachoandy")</f>
        <v>@renovachoandy</v>
      </c>
      <c r="C33975" s="8" t="s">
        <v>12856</v>
      </c>
      <c r="D33975" s="8">
        <v>0</v>
      </c>
      <c r="E33975" s="8">
        <v>0</v>
      </c>
      <c r="F33975" s="8">
        <v>276</v>
      </c>
    </row>
    <row r="33976" spans="1:6" ht="12.75">
      <c r="A33976" s="8">
        <v>43889.313379629632</v>
      </c>
      <c r="B33976" s="8" t="str">
        <f>HYPERLINK("https://twitter.com/polresmglkota","@polresmglkota")</f>
        <v>@polresmglkota</v>
      </c>
      <c r="C33976" s="8" t="s">
        <v>12857</v>
      </c>
      <c r="D33976" s="8">
        <v>0</v>
      </c>
      <c r="E33976" s="8">
        <v>1</v>
      </c>
      <c r="F33976" s="8">
        <v>197</v>
      </c>
    </row>
    <row r="33977" spans="1:6" ht="12.75">
      <c r="A33977" s="8">
        <v>43889.313055555554</v>
      </c>
      <c r="B33977" s="8" t="str">
        <f>HYPERLINK("https://twitter.com/damario04","@damario04")</f>
        <v>@damario04</v>
      </c>
      <c r="C33977" s="8" t="s">
        <v>147</v>
      </c>
      <c r="D33977" s="8">
        <v>0</v>
      </c>
      <c r="E33977" s="8">
        <v>0</v>
      </c>
      <c r="F33977" s="8">
        <v>404</v>
      </c>
    </row>
    <row r="33978" spans="1:6" ht="12.75">
      <c r="A33978" s="8">
        <v>43889.298182870371</v>
      </c>
      <c r="B33978" s="8" t="str">
        <f>HYPERLINK("https://twitter.com/Cak_Didi","@Cak_Didi")</f>
        <v>@Cak_Didi</v>
      </c>
      <c r="C33978" s="8" t="s">
        <v>12858</v>
      </c>
      <c r="D33978" s="8">
        <v>1</v>
      </c>
      <c r="E33978" s="8">
        <v>0</v>
      </c>
      <c r="F33978" s="8">
        <v>2735</v>
      </c>
    </row>
    <row r="33979" spans="1:6" ht="12.75">
      <c r="A33979" s="8">
        <v>43889.297997685186</v>
      </c>
      <c r="B33979" s="8" t="str">
        <f>HYPERLINK("https://twitter.com/susiani19791","@susiani19791")</f>
        <v>@susiani19791</v>
      </c>
      <c r="C33979" s="8" t="s">
        <v>12859</v>
      </c>
      <c r="D33979" s="8">
        <v>0</v>
      </c>
      <c r="E33979" s="8">
        <v>0</v>
      </c>
      <c r="F33979" s="8">
        <v>722</v>
      </c>
    </row>
    <row r="33980" spans="1:6" ht="12.75">
      <c r="A33980" s="8">
        <v>43889.297893518524</v>
      </c>
      <c r="B33980" s="8" t="str">
        <f>HYPERLINK("https://twitter.com/mhadig","@mhadig")</f>
        <v>@mhadig</v>
      </c>
      <c r="C33980" s="8" t="s">
        <v>12297</v>
      </c>
      <c r="D33980" s="8">
        <v>10</v>
      </c>
      <c r="E33980" s="8">
        <v>0</v>
      </c>
      <c r="F33980" s="8">
        <v>1</v>
      </c>
    </row>
    <row r="33981" spans="1:6" ht="12.75">
      <c r="A33981" s="8">
        <v>43889.297858796301</v>
      </c>
      <c r="B33981" s="8" t="str">
        <f>HYPERLINK("https://twitter.com/AchmadyaniAy70","@AchmadyaniAy70")</f>
        <v>@AchmadyaniAy70</v>
      </c>
      <c r="C33981" s="8" t="s">
        <v>12065</v>
      </c>
      <c r="D33981" s="8">
        <v>11</v>
      </c>
      <c r="E33981" s="8">
        <v>0</v>
      </c>
      <c r="F33981" s="8">
        <v>4283</v>
      </c>
    </row>
    <row r="33982" spans="1:6" ht="12.75">
      <c r="A33982" s="8">
        <v>43889.297615740739</v>
      </c>
      <c r="B33982" s="8" t="str">
        <f>HYPERLINK("https://twitter.com/Arhan26461681","@Arhan26461681")</f>
        <v>@Arhan26461681</v>
      </c>
      <c r="C33982" s="8" t="s">
        <v>12484</v>
      </c>
      <c r="D33982" s="8">
        <v>39</v>
      </c>
      <c r="E33982" s="8">
        <v>0</v>
      </c>
      <c r="F33982" s="8">
        <v>43</v>
      </c>
    </row>
    <row r="33983" spans="1:6" ht="12.75">
      <c r="A33983" s="8">
        <v>43889.297407407408</v>
      </c>
      <c r="B33983" s="8" t="str">
        <f>HYPERLINK("https://twitter.com/Metrobatam_com","@Metrobatam_com")</f>
        <v>@Metrobatam_com</v>
      </c>
      <c r="C33983" s="8" t="s">
        <v>12860</v>
      </c>
      <c r="D33983" s="8">
        <v>0</v>
      </c>
      <c r="E33983" s="8">
        <v>0</v>
      </c>
      <c r="F33983" s="8">
        <v>118</v>
      </c>
    </row>
    <row r="33984" spans="1:6" ht="12.75">
      <c r="A33984" s="8">
        <v>43889.296875</v>
      </c>
      <c r="B33984" s="8" t="str">
        <f>HYPERLINK("https://twitter.com/shizakkusyed","@shizakkusyed")</f>
        <v>@shizakkusyed</v>
      </c>
      <c r="C33984" s="8" t="s">
        <v>11102</v>
      </c>
      <c r="D33984" s="8">
        <v>91</v>
      </c>
      <c r="E33984" s="8">
        <v>0</v>
      </c>
      <c r="F33984" s="8">
        <v>834</v>
      </c>
    </row>
    <row r="33985" spans="1:6" ht="12.75">
      <c r="A33985" s="8">
        <v>43889.296574074076</v>
      </c>
      <c r="B33985" s="8" t="str">
        <f>HYPERLINK("https://twitter.com/radarbangsa_com","@radarbangsa_com")</f>
        <v>@radarbangsa_com</v>
      </c>
      <c r="C33985" s="8" t="s">
        <v>12861</v>
      </c>
      <c r="D33985" s="8">
        <v>1</v>
      </c>
      <c r="E33985" s="8">
        <v>1</v>
      </c>
      <c r="F33985" s="8">
        <v>2268</v>
      </c>
    </row>
    <row r="33986" spans="1:6" ht="12.75">
      <c r="A33986" s="8">
        <v>43889.29623842593</v>
      </c>
      <c r="B33986" s="8" t="str">
        <f>HYPERLINK("https://twitter.com/fhhary","@fhhary")</f>
        <v>@fhhary</v>
      </c>
      <c r="C33986" s="8" t="s">
        <v>12862</v>
      </c>
      <c r="D33986" s="8">
        <v>0</v>
      </c>
      <c r="E33986" s="8">
        <v>0</v>
      </c>
      <c r="F33986" s="8">
        <v>24</v>
      </c>
    </row>
    <row r="33987" spans="1:6" ht="12.75">
      <c r="A33987" s="8">
        <v>43889.296168981484</v>
      </c>
      <c r="B33987" s="8" t="str">
        <f>HYPERLINK("https://twitter.com/911comand","@911comand")</f>
        <v>@911comand</v>
      </c>
      <c r="C33987" s="8" t="s">
        <v>12863</v>
      </c>
      <c r="D33987" s="8">
        <v>4</v>
      </c>
      <c r="E33987" s="8">
        <v>0</v>
      </c>
      <c r="F33987" s="8">
        <v>1217</v>
      </c>
    </row>
    <row r="33988" spans="1:6" ht="12.75">
      <c r="A33988" s="8">
        <v>43889.295937499999</v>
      </c>
      <c r="B33988" s="8" t="str">
        <f>HYPERLINK("https://twitter.com/bimosouza","@bimosouza")</f>
        <v>@bimosouza</v>
      </c>
      <c r="C33988" s="8" t="s">
        <v>12864</v>
      </c>
      <c r="D33988" s="8">
        <v>6</v>
      </c>
      <c r="E33988" s="8">
        <v>0</v>
      </c>
      <c r="F33988" s="8">
        <v>476</v>
      </c>
    </row>
    <row r="33989" spans="1:6" ht="12.75">
      <c r="A33989" s="8">
        <v>43889.295729166668</v>
      </c>
      <c r="B33989" s="8" t="str">
        <f>HYPERLINK("https://twitter.com/heivoni","@heivoni")</f>
        <v>@heivoni</v>
      </c>
      <c r="C33989" s="8" t="s">
        <v>593</v>
      </c>
      <c r="D33989" s="8">
        <v>423</v>
      </c>
      <c r="E33989" s="8">
        <v>0</v>
      </c>
      <c r="F33989" s="8">
        <v>415</v>
      </c>
    </row>
    <row r="33990" spans="1:6" ht="12.75">
      <c r="A33990" s="8">
        <v>43889.295706018514</v>
      </c>
      <c r="B33990" s="8" t="str">
        <f>HYPERLINK("https://twitter.com/damario04","@damario04")</f>
        <v>@damario04</v>
      </c>
      <c r="C33990" s="8" t="s">
        <v>166</v>
      </c>
      <c r="D33990" s="8">
        <v>0</v>
      </c>
      <c r="E33990" s="8">
        <v>0</v>
      </c>
      <c r="F33990" s="8">
        <v>404</v>
      </c>
    </row>
    <row r="33991" spans="1:6" ht="12.75">
      <c r="A33991" s="8">
        <v>43889.295624999999</v>
      </c>
      <c r="B33991" s="8" t="str">
        <f>HYPERLINK("https://twitter.com/BETAWI_KOTA","@BETAWI_KOTA")</f>
        <v>@BETAWI_KOTA</v>
      </c>
      <c r="C33991" s="8" t="s">
        <v>12065</v>
      </c>
      <c r="D33991" s="8">
        <v>11</v>
      </c>
      <c r="E33991" s="8">
        <v>0</v>
      </c>
      <c r="F33991" s="8">
        <v>788</v>
      </c>
    </row>
    <row r="33992" spans="1:6" ht="12.75">
      <c r="A33992" s="8">
        <v>43889.295439814814</v>
      </c>
      <c r="B33992" s="8" t="str">
        <f>HYPERLINK("https://twitter.com/hilmikadir","@hilmikadir")</f>
        <v>@hilmikadir</v>
      </c>
      <c r="C33992" s="8" t="s">
        <v>11102</v>
      </c>
      <c r="D33992" s="8">
        <v>91</v>
      </c>
      <c r="E33992" s="8">
        <v>0</v>
      </c>
      <c r="F33992" s="8">
        <v>134</v>
      </c>
    </row>
    <row r="33993" spans="1:6" ht="12.75">
      <c r="A33993" s="8">
        <v>43889.294756944444</v>
      </c>
      <c r="B33993" s="8" t="str">
        <f>HYPERLINK("https://twitter.com/stepbystep_08","@stepbystep_08")</f>
        <v>@stepbystep_08</v>
      </c>
      <c r="C33993" s="8" t="s">
        <v>2119</v>
      </c>
      <c r="D33993" s="8">
        <v>1320</v>
      </c>
      <c r="E33993" s="8">
        <v>0</v>
      </c>
      <c r="F33993" s="8">
        <v>0</v>
      </c>
    </row>
    <row r="33994" spans="1:6" ht="12.75">
      <c r="A33994" s="8">
        <v>43889.294456018513</v>
      </c>
      <c r="B33994" s="8" t="str">
        <f>HYPERLINK("https://twitter.com/ETNewsIndonesia","@ETNewsIndonesia")</f>
        <v>@ETNewsIndonesia</v>
      </c>
      <c r="C33994" s="8" t="s">
        <v>12865</v>
      </c>
      <c r="D33994" s="8">
        <v>0</v>
      </c>
      <c r="E33994" s="8">
        <v>0</v>
      </c>
      <c r="F33994" s="8">
        <v>184</v>
      </c>
    </row>
    <row r="33995" spans="1:6" ht="12.75">
      <c r="A33995" s="8">
        <v>43889.294328703705</v>
      </c>
      <c r="B33995" s="8" t="str">
        <f>HYPERLINK("https://twitter.com/andijalu","@andijalu")</f>
        <v>@andijalu</v>
      </c>
      <c r="C33995" s="8" t="s">
        <v>4785</v>
      </c>
      <c r="D33995" s="8">
        <v>458</v>
      </c>
      <c r="E33995" s="8">
        <v>0</v>
      </c>
      <c r="F33995" s="8">
        <v>288</v>
      </c>
    </row>
    <row r="33996" spans="1:6" ht="12.75">
      <c r="A33996" s="8">
        <v>43889.293993055559</v>
      </c>
      <c r="B33996" s="8" t="str">
        <f>HYPERLINK("https://twitter.com/yan_martinson19","@yan_martinson19")</f>
        <v>@yan_martinson19</v>
      </c>
      <c r="C33996" s="8" t="s">
        <v>12866</v>
      </c>
      <c r="D33996" s="8">
        <v>0</v>
      </c>
      <c r="E33996" s="8">
        <v>0</v>
      </c>
      <c r="F33996" s="8">
        <v>60</v>
      </c>
    </row>
    <row r="33997" spans="1:6" ht="12.75">
      <c r="A33997" s="8">
        <v>43889.293634259258</v>
      </c>
      <c r="B33997" s="8" t="str">
        <f>HYPERLINK("https://twitter.com/JamieBegins","@JamieBegins")</f>
        <v>@JamieBegins</v>
      </c>
      <c r="C33997" s="8" t="s">
        <v>12867</v>
      </c>
      <c r="D33997" s="8">
        <v>0</v>
      </c>
      <c r="E33997" s="8">
        <v>0</v>
      </c>
      <c r="F33997" s="8">
        <v>2547</v>
      </c>
    </row>
    <row r="33998" spans="1:6" ht="12.75">
      <c r="A33998" s="8">
        <v>43889.293460648143</v>
      </c>
      <c r="B33998" s="8" t="str">
        <f>HYPERLINK("https://twitter.com/cecile2771","@cecile2771")</f>
        <v>@cecile2771</v>
      </c>
      <c r="C33998" s="8" t="s">
        <v>12052</v>
      </c>
      <c r="D33998" s="8">
        <v>109</v>
      </c>
      <c r="E33998" s="8">
        <v>0</v>
      </c>
      <c r="F33998" s="8">
        <v>1777</v>
      </c>
    </row>
    <row r="33999" spans="1:6" ht="12.75">
      <c r="A33999" s="8">
        <v>43889.29314814815</v>
      </c>
      <c r="B33999" s="8" t="str">
        <f>HYPERLINK("https://twitter.com/teppiepersz","@teppiepersz")</f>
        <v>@teppiepersz</v>
      </c>
      <c r="C33999" s="8" t="s">
        <v>12484</v>
      </c>
      <c r="D33999" s="8">
        <v>39</v>
      </c>
      <c r="E33999" s="8">
        <v>0</v>
      </c>
      <c r="F33999" s="8">
        <v>185</v>
      </c>
    </row>
    <row r="34000" spans="1:6" ht="12.75">
      <c r="A34000" s="8">
        <v>43889.29305555555</v>
      </c>
      <c r="B34000" s="8" t="str">
        <f>HYPERLINK("https://twitter.com/newsmerahputih","@newsmerahputih")</f>
        <v>@newsmerahputih</v>
      </c>
      <c r="C34000" s="8" t="s">
        <v>12868</v>
      </c>
      <c r="D34000" s="8">
        <v>0</v>
      </c>
      <c r="E34000" s="8">
        <v>0</v>
      </c>
      <c r="F34000" s="8">
        <v>8749</v>
      </c>
    </row>
    <row r="34001" spans="1:6" ht="12.75">
      <c r="A34001" s="8">
        <v>43889.292627314819</v>
      </c>
      <c r="B34001" s="8" t="str">
        <f>HYPERLINK("https://twitter.com/yoris_ab","@yoris_ab")</f>
        <v>@yoris_ab</v>
      </c>
      <c r="C34001" s="8" t="s">
        <v>12869</v>
      </c>
      <c r="D34001" s="8">
        <v>7</v>
      </c>
      <c r="E34001" s="8">
        <v>0</v>
      </c>
      <c r="F34001" s="8">
        <v>1700</v>
      </c>
    </row>
    <row r="34002" spans="1:6" ht="12.75">
      <c r="A34002" s="8">
        <v>43889.29241898148</v>
      </c>
      <c r="B34002" s="8" t="str">
        <f>HYPERLINK("https://twitter.com/Kriswati15","@Kriswati15")</f>
        <v>@Kriswati15</v>
      </c>
      <c r="C34002" s="8" t="s">
        <v>12125</v>
      </c>
      <c r="D34002" s="8">
        <v>19</v>
      </c>
      <c r="E34002" s="8">
        <v>0</v>
      </c>
      <c r="F34002" s="8">
        <v>1743</v>
      </c>
    </row>
    <row r="34003" spans="1:6" ht="12.75">
      <c r="A34003" s="8">
        <v>43889.292187500003</v>
      </c>
      <c r="B34003" s="8" t="str">
        <f>HYPERLINK("https://twitter.com/fachri_kh","@fachri_kh")</f>
        <v>@fachri_kh</v>
      </c>
      <c r="C34003" s="8" t="s">
        <v>12065</v>
      </c>
      <c r="D34003" s="8">
        <v>11</v>
      </c>
      <c r="E34003" s="8">
        <v>0</v>
      </c>
      <c r="F34003" s="8">
        <v>4143</v>
      </c>
    </row>
    <row r="34004" spans="1:6" ht="12.75">
      <c r="A34004" s="8">
        <v>43889.292013888888</v>
      </c>
      <c r="B34004" s="8" t="str">
        <f>HYPERLINK("https://twitter.com/rienkusayang","@rienkusayang")</f>
        <v>@rienkusayang</v>
      </c>
      <c r="C34004" s="8" t="s">
        <v>12870</v>
      </c>
      <c r="D34004" s="8">
        <v>0</v>
      </c>
      <c r="E34004" s="8">
        <v>1</v>
      </c>
      <c r="F34004" s="8">
        <v>5245</v>
      </c>
    </row>
    <row r="34005" spans="1:6" ht="12.75">
      <c r="A34005" s="8">
        <v>43889.29115740741</v>
      </c>
      <c r="B34005" s="8" t="str">
        <f>HYPERLINK("https://twitter.com/mugiya_wardhany","@mugiya_wardhany")</f>
        <v>@mugiya_wardhany</v>
      </c>
      <c r="C34005" s="8" t="s">
        <v>12065</v>
      </c>
      <c r="D34005" s="8">
        <v>11</v>
      </c>
      <c r="E34005" s="8">
        <v>0</v>
      </c>
      <c r="F34005" s="8">
        <v>1667</v>
      </c>
    </row>
    <row r="34006" spans="1:6" ht="12.75">
      <c r="A34006" s="8">
        <v>43889.29111111111</v>
      </c>
      <c r="B34006" s="8" t="str">
        <f>HYPERLINK("https://twitter.com/Straigh31044321","@Straigh31044321")</f>
        <v>@Straigh31044321</v>
      </c>
      <c r="C34006" s="8" t="s">
        <v>12871</v>
      </c>
      <c r="D34006" s="8">
        <v>0</v>
      </c>
      <c r="E34006" s="8">
        <v>0</v>
      </c>
      <c r="F34006" s="8">
        <v>20</v>
      </c>
    </row>
    <row r="34007" spans="1:6" ht="12.75">
      <c r="A34007" s="8">
        <v>43889.291018518517</v>
      </c>
      <c r="B34007" s="8" t="str">
        <f>HYPERLINK("https://twitter.com/roawrbit","@roawrbit")</f>
        <v>@roawrbit</v>
      </c>
      <c r="C34007" s="8" t="s">
        <v>12869</v>
      </c>
      <c r="D34007" s="8">
        <v>7</v>
      </c>
      <c r="E34007" s="8">
        <v>0</v>
      </c>
      <c r="F34007" s="8">
        <v>1477</v>
      </c>
    </row>
    <row r="34008" spans="1:6" ht="12.75">
      <c r="A34008" s="8">
        <v>43889.290891203702</v>
      </c>
      <c r="B34008" s="8" t="str">
        <f>HYPERLINK("https://twitter.com/kiasleo","@kiasleo")</f>
        <v>@kiasleo</v>
      </c>
      <c r="C34008" s="8" t="s">
        <v>12872</v>
      </c>
      <c r="D34008" s="8">
        <v>1</v>
      </c>
      <c r="E34008" s="8">
        <v>0</v>
      </c>
      <c r="F34008" s="8">
        <v>630</v>
      </c>
    </row>
    <row r="34009" spans="1:6" ht="12.75">
      <c r="A34009" s="8">
        <v>43889.29078703704</v>
      </c>
      <c r="B34009" s="8" t="str">
        <f>HYPERLINK("https://twitter.com/Sarah_Pndj","@Sarah_Pndj")</f>
        <v>@Sarah_Pndj</v>
      </c>
      <c r="C34009" s="8" t="s">
        <v>12869</v>
      </c>
      <c r="D34009" s="8">
        <v>7</v>
      </c>
      <c r="E34009" s="8">
        <v>0</v>
      </c>
      <c r="F34009" s="8">
        <v>26974</v>
      </c>
    </row>
    <row r="34010" spans="1:6" ht="12.75">
      <c r="A34010" s="8">
        <v>43889.290543981479</v>
      </c>
      <c r="B34010" s="8" t="str">
        <f>HYPERLINK("https://twitter.com/HendyWijya","@HendyWijya")</f>
        <v>@HendyWijya</v>
      </c>
      <c r="C34010" s="8" t="s">
        <v>12873</v>
      </c>
      <c r="D34010" s="8">
        <v>4</v>
      </c>
      <c r="E34010" s="8">
        <v>0</v>
      </c>
      <c r="F34010" s="8">
        <v>349</v>
      </c>
    </row>
    <row r="34011" spans="1:6" ht="12.75">
      <c r="A34011" s="8">
        <v>43889.29011574074</v>
      </c>
      <c r="B34011" s="8" t="str">
        <f t="shared" ref="B34011:B34012" si="470">HYPERLINK("https://twitter.com/indahnuria","@indahnuria")</f>
        <v>@indahnuria</v>
      </c>
      <c r="C34011" s="8" t="s">
        <v>26</v>
      </c>
      <c r="D34011" s="8">
        <v>156</v>
      </c>
      <c r="E34011" s="8">
        <v>0</v>
      </c>
      <c r="F34011" s="8">
        <v>3327</v>
      </c>
    </row>
    <row r="34012" spans="1:6" ht="12.75">
      <c r="A34012" s="8">
        <v>43889.290092592593</v>
      </c>
      <c r="B34012" s="8" t="str">
        <f t="shared" si="470"/>
        <v>@indahnuria</v>
      </c>
      <c r="C34012" s="8" t="s">
        <v>4785</v>
      </c>
      <c r="D34012" s="8">
        <v>458</v>
      </c>
      <c r="E34012" s="8">
        <v>0</v>
      </c>
      <c r="F34012" s="8">
        <v>3327</v>
      </c>
    </row>
    <row r="34013" spans="1:6" ht="12.75">
      <c r="A34013" s="8">
        <v>43889.290011574078</v>
      </c>
      <c r="B34013" s="8" t="str">
        <f>HYPERLINK("https://twitter.com/Nadarevan1","@Nadarevan1")</f>
        <v>@Nadarevan1</v>
      </c>
      <c r="C34013" s="8" t="s">
        <v>12874</v>
      </c>
      <c r="D34013" s="8">
        <v>0</v>
      </c>
      <c r="E34013" s="8">
        <v>0</v>
      </c>
      <c r="F34013" s="8">
        <v>72</v>
      </c>
    </row>
    <row r="34014" spans="1:6" ht="12.75">
      <c r="A34014" s="8">
        <v>43889.289907407408</v>
      </c>
      <c r="B34014" s="8" t="str">
        <f>HYPERLINK("https://twitter.com/XdefenderNoob","@XdefenderNoob")</f>
        <v>@XdefenderNoob</v>
      </c>
      <c r="C34014" s="8" t="s">
        <v>7243</v>
      </c>
      <c r="D34014" s="8">
        <v>129</v>
      </c>
      <c r="E34014" s="8">
        <v>0</v>
      </c>
      <c r="F34014" s="8">
        <v>144</v>
      </c>
    </row>
    <row r="34015" spans="1:6" ht="12.75">
      <c r="A34015" s="8">
        <v>43889.28974537037</v>
      </c>
      <c r="B34015" s="8" t="str">
        <f>HYPERLINK("https://twitter.com/Julia_Zeed","@Julia_Zeed")</f>
        <v>@Julia_Zeed</v>
      </c>
      <c r="C34015" s="8" t="s">
        <v>12730</v>
      </c>
      <c r="D34015" s="8">
        <v>89</v>
      </c>
      <c r="E34015" s="8">
        <v>0</v>
      </c>
      <c r="F34015" s="8">
        <v>2736</v>
      </c>
    </row>
    <row r="34016" spans="1:6" ht="12.75">
      <c r="A34016" s="8">
        <v>43889.289710648147</v>
      </c>
      <c r="B34016" s="8" t="str">
        <f>HYPERLINK("https://twitter.com/GfPlat","@GfPlat")</f>
        <v>@GfPlat</v>
      </c>
      <c r="C34016" s="8" t="s">
        <v>12052</v>
      </c>
      <c r="D34016" s="8">
        <v>109</v>
      </c>
      <c r="E34016" s="8">
        <v>0</v>
      </c>
      <c r="F34016" s="8">
        <v>2631</v>
      </c>
    </row>
    <row r="34017" spans="1:6" ht="12.75">
      <c r="A34017" s="8">
        <v>43889.289490740739</v>
      </c>
      <c r="B34017" s="8" t="str">
        <f>HYPERLINK("https://twitter.com/Julia_Zeed","@Julia_Zeed")</f>
        <v>@Julia_Zeed</v>
      </c>
      <c r="C34017" s="8" t="s">
        <v>12052</v>
      </c>
      <c r="D34017" s="8">
        <v>109</v>
      </c>
      <c r="E34017" s="8">
        <v>0</v>
      </c>
      <c r="F34017" s="8">
        <v>2736</v>
      </c>
    </row>
    <row r="34018" spans="1:6" ht="12.75">
      <c r="A34018" s="8">
        <v>43889.289108796293</v>
      </c>
      <c r="B34018" s="8" t="str">
        <f>HYPERLINK("https://twitter.com/wawan_echo83","@wawan_echo83")</f>
        <v>@wawan_echo83</v>
      </c>
      <c r="C34018" s="8" t="s">
        <v>12875</v>
      </c>
      <c r="D34018" s="8">
        <v>0</v>
      </c>
      <c r="E34018" s="8">
        <v>0</v>
      </c>
      <c r="F34018" s="8">
        <v>282</v>
      </c>
    </row>
    <row r="34019" spans="1:6" ht="12.75">
      <c r="A34019" s="8">
        <v>43889.288587962961</v>
      </c>
      <c r="B34019" s="8" t="str">
        <f>HYPERLINK("https://twitter.com/FerryFe40732164","@FerryFe40732164")</f>
        <v>@FerryFe40732164</v>
      </c>
      <c r="C34019" s="8" t="s">
        <v>12876</v>
      </c>
      <c r="D34019" s="8">
        <v>2</v>
      </c>
      <c r="E34019" s="8">
        <v>0</v>
      </c>
      <c r="F34019" s="8">
        <v>54</v>
      </c>
    </row>
    <row r="34020" spans="1:6" ht="12.75">
      <c r="A34020" s="8">
        <v>43889.288518518515</v>
      </c>
      <c r="B34020" s="8" t="str">
        <f>HYPERLINK("https://twitter.com/MuzlimIndonesia","@MuzlimIndonesia")</f>
        <v>@MuzlimIndonesia</v>
      </c>
      <c r="C34020" s="8" t="s">
        <v>12125</v>
      </c>
      <c r="D34020" s="8">
        <v>19</v>
      </c>
      <c r="E34020" s="8">
        <v>0</v>
      </c>
      <c r="F34020" s="8">
        <v>1871</v>
      </c>
    </row>
    <row r="34021" spans="1:6" ht="12.75">
      <c r="A34021" s="8">
        <v>43889.287581018521</v>
      </c>
      <c r="B34021" s="8" t="str">
        <f>HYPERLINK("https://twitter.com/_AfifMunir","@_AfifMunir")</f>
        <v>@_AfifMunir</v>
      </c>
      <c r="C34021" s="8" t="s">
        <v>11102</v>
      </c>
      <c r="D34021" s="8">
        <v>91</v>
      </c>
      <c r="E34021" s="8">
        <v>0</v>
      </c>
      <c r="F34021" s="8">
        <v>426</v>
      </c>
    </row>
    <row r="34022" spans="1:6" ht="12.75">
      <c r="A34022" s="8">
        <v>43889.287407407406</v>
      </c>
      <c r="B34022" s="8" t="str">
        <f>HYPERLINK("https://twitter.com/putri_melayu01","@putri_melayu01")</f>
        <v>@putri_melayu01</v>
      </c>
      <c r="C34022" s="8" t="s">
        <v>12876</v>
      </c>
      <c r="D34022" s="8">
        <v>2</v>
      </c>
      <c r="E34022" s="8">
        <v>0</v>
      </c>
      <c r="F34022" s="8">
        <v>2212</v>
      </c>
    </row>
    <row r="34023" spans="1:6" ht="12.75">
      <c r="A34023" s="8">
        <v>43889.287152777775</v>
      </c>
      <c r="B34023" s="8" t="str">
        <f>HYPERLINK("https://twitter.com/KDroneHunter","@KDroneHunter")</f>
        <v>@KDroneHunter</v>
      </c>
      <c r="C34023" s="8" t="s">
        <v>12877</v>
      </c>
      <c r="D34023" s="8">
        <v>0</v>
      </c>
      <c r="E34023" s="8">
        <v>0</v>
      </c>
      <c r="F34023" s="8">
        <v>139</v>
      </c>
    </row>
    <row r="34024" spans="1:6" ht="12.75">
      <c r="A34024" s="8">
        <v>43889.286851851852</v>
      </c>
      <c r="B34024" s="8" t="str">
        <f>HYPERLINK("https://twitter.com/Rojakulasi","@Rojakulasi")</f>
        <v>@Rojakulasi</v>
      </c>
      <c r="C34024" s="8" t="s">
        <v>12878</v>
      </c>
      <c r="D34024" s="8">
        <v>0</v>
      </c>
      <c r="E34024" s="8">
        <v>0</v>
      </c>
      <c r="F34024" s="8">
        <v>611</v>
      </c>
    </row>
    <row r="34025" spans="1:6" ht="12.75">
      <c r="A34025" s="8">
        <v>43889.286481481482</v>
      </c>
      <c r="B34025" s="8" t="str">
        <f>HYPERLINK("https://twitter.com/kompascom","@kompascom")</f>
        <v>@kompascom</v>
      </c>
      <c r="C34025" s="8" t="s">
        <v>12879</v>
      </c>
      <c r="D34025" s="8">
        <v>1</v>
      </c>
      <c r="E34025" s="8">
        <v>9</v>
      </c>
      <c r="F34025" s="8">
        <v>7516269</v>
      </c>
    </row>
    <row r="34026" spans="1:6" ht="12.75">
      <c r="A34026" s="8">
        <v>43889.286481481482</v>
      </c>
      <c r="B34026" s="8" t="str">
        <f>HYPERLINK("https://twitter.com/agama_nusantara","@agama_nusantara")</f>
        <v>@agama_nusantara</v>
      </c>
      <c r="C34026" s="8" t="s">
        <v>4836</v>
      </c>
      <c r="D34026" s="8">
        <v>5397</v>
      </c>
      <c r="E34026" s="8">
        <v>0</v>
      </c>
      <c r="F34026" s="8">
        <v>7373</v>
      </c>
    </row>
    <row r="34027" spans="1:6" ht="12.75">
      <c r="A34027" s="8">
        <v>43889.285659722227</v>
      </c>
      <c r="B34027" s="8" t="str">
        <f>HYPERLINK("https://twitter.com/_muhmdmzln","@_muhmdmzln")</f>
        <v>@_muhmdmzln</v>
      </c>
      <c r="C34027" s="8" t="s">
        <v>11102</v>
      </c>
      <c r="D34027" s="8">
        <v>91</v>
      </c>
      <c r="E34027" s="8">
        <v>0</v>
      </c>
      <c r="F34027" s="8">
        <v>279</v>
      </c>
    </row>
    <row r="34028" spans="1:6" ht="12.75">
      <c r="A34028" s="8">
        <v>43889.285601851851</v>
      </c>
      <c r="B34028" s="8" t="str">
        <f>HYPERLINK("https://twitter.com/taka_newdawn","@taka_newdawn")</f>
        <v>@taka_newdawn</v>
      </c>
      <c r="C34028" s="8" t="s">
        <v>8484</v>
      </c>
      <c r="D34028" s="8">
        <v>1053</v>
      </c>
      <c r="E34028" s="8">
        <v>0</v>
      </c>
      <c r="F34028" s="8">
        <v>1118</v>
      </c>
    </row>
    <row r="34029" spans="1:6" ht="12.75">
      <c r="A34029" s="8">
        <v>43889.28533564815</v>
      </c>
      <c r="B34029" s="8" t="str">
        <f>HYPERLINK("https://twitter.com/mpuanon","@mpuanon")</f>
        <v>@mpuanon</v>
      </c>
      <c r="C34029" s="8" t="s">
        <v>12880</v>
      </c>
      <c r="D34029" s="8">
        <v>2</v>
      </c>
      <c r="E34029" s="8">
        <v>2</v>
      </c>
      <c r="F34029" s="8">
        <v>21390</v>
      </c>
    </row>
    <row r="34030" spans="1:6" ht="12.75">
      <c r="A34030" s="8">
        <v>43889.284259259264</v>
      </c>
      <c r="B34030" s="8" t="str">
        <f>HYPERLINK("https://twitter.com/arizcha__new","@arizcha__new")</f>
        <v>@arizcha__new</v>
      </c>
      <c r="C34030" s="8" t="s">
        <v>12787</v>
      </c>
      <c r="D34030" s="8">
        <v>1</v>
      </c>
      <c r="E34030" s="8">
        <v>0</v>
      </c>
      <c r="F34030" s="8">
        <v>29</v>
      </c>
    </row>
    <row r="34031" spans="1:6" ht="12.75">
      <c r="A34031" s="8">
        <v>43889.284224537041</v>
      </c>
      <c r="B34031" s="8" t="str">
        <f>HYPERLINK("https://twitter.com/Yalpacaa","@Yalpacaa")</f>
        <v>@Yalpacaa</v>
      </c>
      <c r="C34031" s="8" t="s">
        <v>11102</v>
      </c>
      <c r="D34031" s="8">
        <v>91</v>
      </c>
      <c r="E34031" s="8">
        <v>0</v>
      </c>
      <c r="F34031" s="8">
        <v>1791</v>
      </c>
    </row>
    <row r="34032" spans="1:6" ht="12.75">
      <c r="A34032" s="8">
        <v>43889.284062499995</v>
      </c>
      <c r="B34032" s="8" t="str">
        <f>HYPERLINK("https://twitter.com/Budi201932","@Budi201932")</f>
        <v>@Budi201932</v>
      </c>
      <c r="C34032" s="8" t="s">
        <v>12881</v>
      </c>
      <c r="D34032" s="8">
        <v>0</v>
      </c>
      <c r="E34032" s="8">
        <v>0</v>
      </c>
      <c r="F34032" s="8">
        <v>107</v>
      </c>
    </row>
    <row r="34033" spans="1:6" ht="12.75">
      <c r="A34033" s="8">
        <v>43889.28261574074</v>
      </c>
      <c r="B34033" s="8" t="str">
        <f>HYPERLINK("https://twitter.com/abentova","@abentova")</f>
        <v>@abentova</v>
      </c>
      <c r="C34033" s="8" t="s">
        <v>11102</v>
      </c>
      <c r="D34033" s="8">
        <v>91</v>
      </c>
      <c r="E34033" s="8">
        <v>0</v>
      </c>
      <c r="F34033" s="8">
        <v>161</v>
      </c>
    </row>
    <row r="34034" spans="1:6" ht="12.75">
      <c r="A34034" s="8">
        <v>43889.282314814816</v>
      </c>
      <c r="B34034" s="8" t="str">
        <f>HYPERLINK("https://twitter.com/ivanchristi3","@ivanchristi3")</f>
        <v>@ivanchristi3</v>
      </c>
      <c r="C34034" s="8" t="s">
        <v>4785</v>
      </c>
      <c r="D34034" s="8">
        <v>458</v>
      </c>
      <c r="E34034" s="8">
        <v>0</v>
      </c>
      <c r="F34034" s="8">
        <v>2401</v>
      </c>
    </row>
    <row r="34035" spans="1:6" ht="12.75">
      <c r="A34035" s="8">
        <v>43889.281967592593</v>
      </c>
      <c r="B34035" s="8" t="str">
        <f>HYPERLINK("https://twitter.com/blckvwht","@blckvwht")</f>
        <v>@blckvwht</v>
      </c>
      <c r="C34035" s="8" t="s">
        <v>11102</v>
      </c>
      <c r="D34035" s="8">
        <v>91</v>
      </c>
      <c r="E34035" s="8">
        <v>0</v>
      </c>
      <c r="F34035" s="8">
        <v>976</v>
      </c>
    </row>
    <row r="34036" spans="1:6" ht="12.75">
      <c r="A34036" s="8">
        <v>43889.2809375</v>
      </c>
      <c r="B34036" s="8" t="str">
        <f>HYPERLINK("https://twitter.com/MangUcuy","@MangUcuy")</f>
        <v>@MangUcuy</v>
      </c>
      <c r="C34036" s="8" t="s">
        <v>12065</v>
      </c>
      <c r="D34036" s="8">
        <v>11</v>
      </c>
      <c r="E34036" s="8">
        <v>0</v>
      </c>
      <c r="F34036" s="8">
        <v>568</v>
      </c>
    </row>
    <row r="34037" spans="1:6" ht="12.75">
      <c r="A34037" s="8">
        <v>43889.280787037038</v>
      </c>
      <c r="B34037" s="8" t="str">
        <f>HYPERLINK("https://twitter.com/BayuKhrisna14","@BayuKhrisna14")</f>
        <v>@BayuKhrisna14</v>
      </c>
      <c r="C34037" s="8" t="s">
        <v>12882</v>
      </c>
      <c r="D34037" s="8">
        <v>67</v>
      </c>
      <c r="E34037" s="8">
        <v>0</v>
      </c>
      <c r="F34037" s="8">
        <v>628</v>
      </c>
    </row>
    <row r="34038" spans="1:6" ht="12.75">
      <c r="A34038" s="8">
        <v>43889.279062500005</v>
      </c>
      <c r="B34038" s="8" t="str">
        <f>HYPERLINK("https://twitter.com/budiwee","@budiwee")</f>
        <v>@budiwee</v>
      </c>
      <c r="C34038" s="8" t="s">
        <v>12883</v>
      </c>
      <c r="D34038" s="8">
        <v>0</v>
      </c>
      <c r="E34038" s="8">
        <v>0</v>
      </c>
      <c r="F34038" s="8">
        <v>2216</v>
      </c>
    </row>
    <row r="34039" spans="1:6" ht="12.75">
      <c r="A34039" s="8">
        <v>43889.278935185182</v>
      </c>
      <c r="B34039" s="8" t="str">
        <f>HYPERLINK("https://twitter.com/the__ansari","@the__ansari")</f>
        <v>@the__ansari</v>
      </c>
      <c r="C34039" s="8" t="s">
        <v>11102</v>
      </c>
      <c r="D34039" s="8">
        <v>91</v>
      </c>
      <c r="E34039" s="8">
        <v>0</v>
      </c>
      <c r="F34039" s="8">
        <v>277</v>
      </c>
    </row>
    <row r="34040" spans="1:6" ht="12.75">
      <c r="A34040" s="8">
        <v>43889.277974537035</v>
      </c>
      <c r="B34040" s="8" t="str">
        <f>HYPERLINK("https://twitter.com/adiansyahdompu","@adiansyahdompu")</f>
        <v>@adiansyahdompu</v>
      </c>
      <c r="C34040" s="8" t="s">
        <v>12884</v>
      </c>
      <c r="D34040" s="8">
        <v>0</v>
      </c>
      <c r="E34040" s="8">
        <v>0</v>
      </c>
      <c r="F34040" s="8">
        <v>4537</v>
      </c>
    </row>
    <row r="34041" spans="1:6" ht="12.75">
      <c r="A34041" s="8">
        <v>43889.277939814812</v>
      </c>
      <c r="B34041" s="8" t="str">
        <f>HYPERLINK("https://twitter.com/BayuKhrisna14","@BayuKhrisna14")</f>
        <v>@BayuKhrisna14</v>
      </c>
      <c r="C34041" s="8" t="s">
        <v>12885</v>
      </c>
      <c r="D34041" s="8">
        <v>2</v>
      </c>
      <c r="E34041" s="8">
        <v>0</v>
      </c>
      <c r="F34041" s="8">
        <v>628</v>
      </c>
    </row>
    <row r="34042" spans="1:6" ht="12.75">
      <c r="A34042" s="8">
        <v>43889.277696759258</v>
      </c>
      <c r="B34042" s="8" t="str">
        <f>HYPERLINK("https://twitter.com/adiansyahdompu","@adiansyahdompu")</f>
        <v>@adiansyahdompu</v>
      </c>
      <c r="C34042" s="8" t="s">
        <v>12886</v>
      </c>
      <c r="D34042" s="8">
        <v>0</v>
      </c>
      <c r="E34042" s="8">
        <v>0</v>
      </c>
      <c r="F34042" s="8">
        <v>4537</v>
      </c>
    </row>
    <row r="34043" spans="1:6" ht="12.75">
      <c r="A34043" s="8">
        <v>43889.277465277773</v>
      </c>
      <c r="B34043" s="8" t="str">
        <f>HYPERLINK("https://twitter.com/tidung_woles","@tidung_woles")</f>
        <v>@tidung_woles</v>
      </c>
      <c r="C34043" s="8" t="s">
        <v>12887</v>
      </c>
      <c r="D34043" s="8">
        <v>0</v>
      </c>
      <c r="E34043" s="8">
        <v>0</v>
      </c>
      <c r="F34043" s="8">
        <v>513</v>
      </c>
    </row>
    <row r="34044" spans="1:6" ht="12.75">
      <c r="A34044" s="8">
        <v>43889.27743055555</v>
      </c>
      <c r="B34044" s="8" t="str">
        <f>HYPERLINK("https://twitter.com/DianVeei","@DianVeei")</f>
        <v>@DianVeei</v>
      </c>
      <c r="C34044" s="8" t="s">
        <v>12888</v>
      </c>
      <c r="D34044" s="8">
        <v>0</v>
      </c>
      <c r="E34044" s="8">
        <v>0</v>
      </c>
      <c r="F34044" s="8">
        <v>1157</v>
      </c>
    </row>
    <row r="34045" spans="1:6" ht="12.75">
      <c r="A34045" s="8">
        <v>43889.27716435185</v>
      </c>
      <c r="B34045" s="8" t="str">
        <f>HYPERLINK("https://twitter.com/pimamanggala","@pimamanggala")</f>
        <v>@pimamanggala</v>
      </c>
      <c r="C34045" s="8" t="s">
        <v>12889</v>
      </c>
      <c r="D34045" s="8">
        <v>4</v>
      </c>
      <c r="E34045" s="8">
        <v>0</v>
      </c>
      <c r="F34045" s="8">
        <v>1570</v>
      </c>
    </row>
    <row r="34046" spans="1:6" ht="12.75">
      <c r="A34046" s="8">
        <v>43889.276620370365</v>
      </c>
      <c r="B34046" s="8" t="str">
        <f>HYPERLINK("https://twitter.com/qbayyinah91","@qbayyinah91")</f>
        <v>@qbayyinah91</v>
      </c>
      <c r="C34046" s="8" t="s">
        <v>12890</v>
      </c>
      <c r="D34046" s="8">
        <v>0</v>
      </c>
      <c r="E34046" s="8">
        <v>0</v>
      </c>
      <c r="F34046" s="8">
        <v>809</v>
      </c>
    </row>
    <row r="34047" spans="1:6" ht="12.75">
      <c r="A34047" s="8">
        <v>43889.276203703703</v>
      </c>
      <c r="B34047" s="8" t="str">
        <f>HYPERLINK("https://twitter.com/Ngk0ng__R__R","@Ngk0ng__R__R")</f>
        <v>@Ngk0ng__R__R</v>
      </c>
      <c r="C34047" s="8" t="s">
        <v>12891</v>
      </c>
      <c r="D34047" s="8">
        <v>0</v>
      </c>
      <c r="E34047" s="8">
        <v>0</v>
      </c>
      <c r="F34047" s="8">
        <v>2118</v>
      </c>
    </row>
    <row r="34048" spans="1:6" ht="12.75">
      <c r="A34048" s="8">
        <v>43889.276041666672</v>
      </c>
      <c r="B34048" s="8" t="str">
        <f>HYPERLINK("https://twitter.com/rahmiifataya","@rahmiifataya")</f>
        <v>@rahmiifataya</v>
      </c>
      <c r="C34048" s="8" t="s">
        <v>593</v>
      </c>
      <c r="D34048" s="8">
        <v>423</v>
      </c>
      <c r="E34048" s="8">
        <v>0</v>
      </c>
      <c r="F34048" s="8">
        <v>321</v>
      </c>
    </row>
    <row r="34049" spans="1:6" ht="12.75">
      <c r="A34049" s="8">
        <v>43889.275474537033</v>
      </c>
      <c r="B34049" s="8" t="str">
        <f>HYPERLINK("https://twitter.com/harishamzah","@harishamzah")</f>
        <v>@harishamzah</v>
      </c>
      <c r="C34049" s="8" t="s">
        <v>11102</v>
      </c>
      <c r="D34049" s="8">
        <v>91</v>
      </c>
      <c r="E34049" s="8">
        <v>0</v>
      </c>
      <c r="F34049" s="8">
        <v>496</v>
      </c>
    </row>
    <row r="34050" spans="1:6" ht="12.75">
      <c r="A34050" s="8">
        <v>43889.275370370371</v>
      </c>
      <c r="B34050" s="8" t="str">
        <f>HYPERLINK("https://twitter.com/genostlly","@genostlly")</f>
        <v>@genostlly</v>
      </c>
      <c r="C34050" s="8" t="s">
        <v>4785</v>
      </c>
      <c r="D34050" s="8">
        <v>458</v>
      </c>
      <c r="E34050" s="8">
        <v>0</v>
      </c>
      <c r="F34050" s="8">
        <v>718</v>
      </c>
    </row>
    <row r="34051" spans="1:6" ht="12.75">
      <c r="A34051" s="8">
        <v>43889.275243055556</v>
      </c>
      <c r="B34051" s="8" t="str">
        <f>HYPERLINK("https://twitter.com/DanInginTau","@DanInginTau")</f>
        <v>@DanInginTau</v>
      </c>
      <c r="C34051" s="8" t="s">
        <v>12892</v>
      </c>
      <c r="D34051" s="8">
        <v>0</v>
      </c>
      <c r="E34051" s="8">
        <v>0</v>
      </c>
      <c r="F34051" s="8">
        <v>2</v>
      </c>
    </row>
    <row r="34052" spans="1:6" ht="12.75">
      <c r="A34052" s="8">
        <v>43889.275000000001</v>
      </c>
      <c r="B34052" s="8" t="str">
        <f>HYPERLINK("https://twitter.com/sadboypkl","@sadboypkl")</f>
        <v>@sadboypkl</v>
      </c>
      <c r="C34052" s="8" t="s">
        <v>12893</v>
      </c>
      <c r="D34052" s="8">
        <v>0</v>
      </c>
      <c r="E34052" s="8">
        <v>0</v>
      </c>
      <c r="F34052" s="8">
        <v>96</v>
      </c>
    </row>
    <row r="34053" spans="1:6" ht="12.75">
      <c r="A34053" s="8">
        <v>43889.274386574078</v>
      </c>
      <c r="B34053" s="8" t="str">
        <f>HYPERLINK("https://twitter.com/Genesis7173","@Genesis7173")</f>
        <v>@Genesis7173</v>
      </c>
      <c r="C34053" s="8" t="s">
        <v>12894</v>
      </c>
      <c r="D34053" s="8">
        <v>0</v>
      </c>
      <c r="E34053" s="8">
        <v>0</v>
      </c>
      <c r="F34053" s="8">
        <v>2693</v>
      </c>
    </row>
    <row r="34054" spans="1:6" ht="12.75">
      <c r="A34054" s="8">
        <v>43889.272743055553</v>
      </c>
      <c r="B34054" s="8" t="str">
        <f>HYPERLINK("https://twitter.com/HUMAN_RES3","@HUMAN_RES3")</f>
        <v>@HUMAN_RES3</v>
      </c>
      <c r="C34054" s="8" t="s">
        <v>12895</v>
      </c>
      <c r="D34054" s="8">
        <v>1</v>
      </c>
      <c r="E34054" s="8">
        <v>0</v>
      </c>
      <c r="F34054" s="8">
        <v>92</v>
      </c>
    </row>
    <row r="34055" spans="1:6" ht="12.75">
      <c r="A34055" s="8">
        <v>43889.272303240738</v>
      </c>
      <c r="B34055" s="8" t="str">
        <f>HYPERLINK("https://twitter.com/_asfaa","@_asfaa")</f>
        <v>@_asfaa</v>
      </c>
      <c r="C34055" s="8" t="s">
        <v>11102</v>
      </c>
      <c r="D34055" s="8">
        <v>91</v>
      </c>
      <c r="E34055" s="8">
        <v>0</v>
      </c>
      <c r="F34055" s="8">
        <v>784</v>
      </c>
    </row>
    <row r="34056" spans="1:6" ht="12.75">
      <c r="A34056" s="8">
        <v>43889.272187499999</v>
      </c>
      <c r="B34056" s="8" t="str">
        <f>HYPERLINK("https://twitter.com/YensiPeinado","@YensiPeinado")</f>
        <v>@YensiPeinado</v>
      </c>
      <c r="C34056" s="8" t="s">
        <v>12896</v>
      </c>
      <c r="D34056" s="8">
        <v>0</v>
      </c>
      <c r="E34056" s="8">
        <v>1</v>
      </c>
      <c r="F34056" s="8">
        <v>86</v>
      </c>
    </row>
    <row r="34057" spans="1:6" ht="12.75">
      <c r="A34057" s="8">
        <v>43889.271238425921</v>
      </c>
      <c r="B34057" s="8" t="str">
        <f>HYPERLINK("https://twitter.com/aanwarsholeh1","@aanwarsholeh1")</f>
        <v>@aanwarsholeh1</v>
      </c>
      <c r="C34057" s="8" t="s">
        <v>12484</v>
      </c>
      <c r="D34057" s="8">
        <v>39</v>
      </c>
      <c r="E34057" s="8">
        <v>0</v>
      </c>
      <c r="F34057" s="8">
        <v>30</v>
      </c>
    </row>
    <row r="34058" spans="1:6" ht="12.75">
      <c r="A34058" s="8">
        <v>43889.270856481482</v>
      </c>
      <c r="B34058" s="8" t="str">
        <f>HYPERLINK("https://twitter.com/rmol_id","@rmol_id")</f>
        <v>@rmol_id</v>
      </c>
      <c r="C34058" s="8" t="s">
        <v>12897</v>
      </c>
      <c r="D34058" s="8">
        <v>1</v>
      </c>
      <c r="E34058" s="8">
        <v>3</v>
      </c>
      <c r="F34058" s="8">
        <v>166811</v>
      </c>
    </row>
    <row r="34059" spans="1:6" ht="12.75">
      <c r="A34059" s="8">
        <v>43889.270243055551</v>
      </c>
      <c r="B34059" s="8" t="str">
        <f>HYPERLINK("https://twitter.com/SiaranPublik","@SiaranPublik")</f>
        <v>@SiaranPublik</v>
      </c>
      <c r="C34059" s="8" t="s">
        <v>12444</v>
      </c>
      <c r="D34059" s="8">
        <v>0</v>
      </c>
      <c r="E34059" s="8">
        <v>0</v>
      </c>
      <c r="F34059" s="8">
        <v>1644</v>
      </c>
    </row>
    <row r="34060" spans="1:6" ht="12.75">
      <c r="A34060" s="8">
        <v>43889.270127314812</v>
      </c>
      <c r="B34060" s="8" t="str">
        <f>HYPERLINK("https://twitter.com/tribunusgrup","@tribunusgrup")</f>
        <v>@tribunusgrup</v>
      </c>
      <c r="C34060" s="8" t="s">
        <v>12898</v>
      </c>
      <c r="D34060" s="8">
        <v>0</v>
      </c>
      <c r="E34060" s="8">
        <v>0</v>
      </c>
      <c r="F34060" s="8">
        <v>1188</v>
      </c>
    </row>
    <row r="34061" spans="1:6" ht="12.75">
      <c r="A34061" s="8">
        <v>43889.269803240742</v>
      </c>
      <c r="B34061" s="8" t="str">
        <f>HYPERLINK("https://twitter.com/tribunus2","@tribunus2")</f>
        <v>@tribunus2</v>
      </c>
      <c r="C34061" s="8" t="s">
        <v>12898</v>
      </c>
      <c r="D34061" s="8">
        <v>0</v>
      </c>
      <c r="E34061" s="8">
        <v>0</v>
      </c>
      <c r="F34061" s="8">
        <v>3734</v>
      </c>
    </row>
    <row r="34062" spans="1:6" ht="12.75">
      <c r="A34062" s="8">
        <v>43889.269687499997</v>
      </c>
      <c r="B34062" s="8" t="str">
        <f>HYPERLINK("https://twitter.com/wjzlina","@wjzlina")</f>
        <v>@wjzlina</v>
      </c>
      <c r="C34062" s="8" t="s">
        <v>11102</v>
      </c>
      <c r="D34062" s="8">
        <v>91</v>
      </c>
      <c r="E34062" s="8">
        <v>0</v>
      </c>
      <c r="F34062" s="8">
        <v>89</v>
      </c>
    </row>
    <row r="34063" spans="1:6" ht="12.75">
      <c r="A34063" s="8">
        <v>43889.267106481479</v>
      </c>
      <c r="B34063" s="8" t="str">
        <f>HYPERLINK("https://twitter.com/FarelmaxL","@FarelmaxL")</f>
        <v>@FarelmaxL</v>
      </c>
      <c r="C34063" s="8" t="s">
        <v>10943</v>
      </c>
      <c r="D34063" s="8">
        <v>11</v>
      </c>
      <c r="E34063" s="8">
        <v>0</v>
      </c>
      <c r="F34063" s="8">
        <v>1389</v>
      </c>
    </row>
    <row r="34064" spans="1:6" ht="12.75">
      <c r="A34064" s="8">
        <v>43889.267037037032</v>
      </c>
      <c r="B34064" s="8" t="str">
        <f>HYPERLINK("https://twitter.com/roysahadoen","@roysahadoen")</f>
        <v>@roysahadoen</v>
      </c>
      <c r="C34064" s="8" t="s">
        <v>12899</v>
      </c>
      <c r="D34064" s="8">
        <v>10</v>
      </c>
      <c r="E34064" s="8">
        <v>0</v>
      </c>
      <c r="F34064" s="8">
        <v>355</v>
      </c>
    </row>
    <row r="34065" spans="1:6" ht="12.75">
      <c r="A34065" s="8">
        <v>43889.265752314815</v>
      </c>
      <c r="B34065" s="8" t="str">
        <f>HYPERLINK("https://twitter.com/yoshikun_t","@yoshikun_t")</f>
        <v>@yoshikun_t</v>
      </c>
      <c r="C34065" s="8" t="s">
        <v>8484</v>
      </c>
      <c r="D34065" s="8">
        <v>1053</v>
      </c>
      <c r="E34065" s="8">
        <v>0</v>
      </c>
      <c r="F34065" s="8">
        <v>185</v>
      </c>
    </row>
    <row r="34066" spans="1:6" ht="12.75">
      <c r="A34066" s="8">
        <v>43889.265335648146</v>
      </c>
      <c r="B34066" s="8" t="str">
        <f>HYPERLINK("https://twitter.com/WandhiWiL","@WandhiWiL")</f>
        <v>@WandhiWiL</v>
      </c>
      <c r="C34066" s="8" t="s">
        <v>7243</v>
      </c>
      <c r="D34066" s="8">
        <v>129</v>
      </c>
      <c r="E34066" s="8">
        <v>0</v>
      </c>
      <c r="F34066" s="8">
        <v>473</v>
      </c>
    </row>
    <row r="34067" spans="1:6" ht="12.75">
      <c r="A34067" s="8">
        <v>43889.264722222222</v>
      </c>
      <c r="B34067" s="8" t="str">
        <f>HYPERLINK("https://twitter.com/bikassssss","@bikassssss")</f>
        <v>@bikassssss</v>
      </c>
      <c r="C34067" s="8" t="s">
        <v>12900</v>
      </c>
      <c r="D34067" s="8">
        <v>0</v>
      </c>
      <c r="E34067" s="8">
        <v>0</v>
      </c>
      <c r="F34067" s="8">
        <v>13</v>
      </c>
    </row>
    <row r="34068" spans="1:6" ht="12.75">
      <c r="A34068" s="8">
        <v>43889.264710648145</v>
      </c>
      <c r="B34068" s="8" t="str">
        <f>HYPERLINK("https://twitter.com/JousairiJ","@JousairiJ")</f>
        <v>@JousairiJ</v>
      </c>
      <c r="C34068" s="8" t="s">
        <v>12901</v>
      </c>
      <c r="D34068" s="8">
        <v>0</v>
      </c>
      <c r="E34068" s="8">
        <v>0</v>
      </c>
      <c r="F34068" s="8">
        <v>2625</v>
      </c>
    </row>
    <row r="34069" spans="1:6" ht="12.75">
      <c r="A34069" s="8">
        <v>43889.263541666667</v>
      </c>
      <c r="B34069" s="8" t="str">
        <f>HYPERLINK("https://twitter.com/azharrafirendra","@azharrafirendra")</f>
        <v>@azharrafirendra</v>
      </c>
      <c r="C34069" s="8" t="s">
        <v>12484</v>
      </c>
      <c r="D34069" s="8">
        <v>39</v>
      </c>
      <c r="E34069" s="8">
        <v>0</v>
      </c>
      <c r="F34069" s="8">
        <v>154</v>
      </c>
    </row>
    <row r="34070" spans="1:6" ht="12.75">
      <c r="A34070" s="8">
        <v>43889.263344907406</v>
      </c>
      <c r="B34070" s="8" t="str">
        <f>HYPERLINK("https://twitter.com/isis_eb","@isis_eb")</f>
        <v>@isis_eb</v>
      </c>
      <c r="C34070" s="8" t="s">
        <v>12902</v>
      </c>
      <c r="D34070" s="8">
        <v>0</v>
      </c>
      <c r="E34070" s="8">
        <v>0</v>
      </c>
      <c r="F34070" s="8">
        <v>359</v>
      </c>
    </row>
    <row r="34071" spans="1:6" ht="12.75">
      <c r="A34071" s="8">
        <v>43889.263101851851</v>
      </c>
      <c r="B34071" s="8" t="str">
        <f>HYPERLINK("https://twitter.com/redywanjames","@redywanjames")</f>
        <v>@redywanjames</v>
      </c>
      <c r="C34071" s="8" t="s">
        <v>12863</v>
      </c>
      <c r="D34071" s="8">
        <v>4</v>
      </c>
      <c r="E34071" s="8">
        <v>0</v>
      </c>
      <c r="F34071" s="8">
        <v>748</v>
      </c>
    </row>
    <row r="34072" spans="1:6" ht="12.75">
      <c r="A34072" s="8">
        <v>43889.26290509259</v>
      </c>
      <c r="B34072" s="8" t="str">
        <f>HYPERLINK("https://twitter.com/Ill_Tsar","@Ill_Tsar")</f>
        <v>@Ill_Tsar</v>
      </c>
      <c r="C34072" s="8" t="s">
        <v>12071</v>
      </c>
      <c r="D34072" s="8">
        <v>34</v>
      </c>
      <c r="E34072" s="8">
        <v>0</v>
      </c>
      <c r="F34072" s="8">
        <v>450</v>
      </c>
    </row>
    <row r="34073" spans="1:6" ht="12.75">
      <c r="A34073" s="8">
        <v>43889.262777777782</v>
      </c>
      <c r="B34073" s="8" t="str">
        <f>HYPERLINK("https://twitter.com/isis_eb","@isis_eb")</f>
        <v>@isis_eb</v>
      </c>
      <c r="C34073" s="8" t="s">
        <v>12903</v>
      </c>
      <c r="D34073" s="8">
        <v>3</v>
      </c>
      <c r="E34073" s="8">
        <v>0</v>
      </c>
      <c r="F34073" s="8">
        <v>359</v>
      </c>
    </row>
    <row r="34074" spans="1:6" ht="12.75">
      <c r="A34074" s="8">
        <v>43889.261273148149</v>
      </c>
      <c r="B34074" s="8" t="str">
        <f t="shared" ref="B34074:B34075" si="471">HYPERLINK("https://twitter.com/ALE_NYONGE","@ALE_NYONGE")</f>
        <v>@ALE_NYONGE</v>
      </c>
      <c r="C34074" s="8" t="s">
        <v>12904</v>
      </c>
      <c r="D34074" s="8">
        <v>3</v>
      </c>
      <c r="E34074" s="8">
        <v>0</v>
      </c>
      <c r="F34074" s="8">
        <v>896</v>
      </c>
    </row>
    <row r="34075" spans="1:6" ht="12.75">
      <c r="A34075" s="8">
        <v>43889.261180555557</v>
      </c>
      <c r="B34075" s="8" t="str">
        <f t="shared" si="471"/>
        <v>@ALE_NYONGE</v>
      </c>
      <c r="C34075" s="8" t="s">
        <v>12905</v>
      </c>
      <c r="D34075" s="8">
        <v>2</v>
      </c>
      <c r="E34075" s="8">
        <v>0</v>
      </c>
      <c r="F34075" s="8">
        <v>896</v>
      </c>
    </row>
    <row r="34076" spans="1:6" ht="12.75">
      <c r="A34076" s="8">
        <v>43889.260740740741</v>
      </c>
      <c r="B34076" s="8" t="str">
        <f>HYPERLINK("https://twitter.com/SaputraBerman","@SaputraBerman")</f>
        <v>@SaputraBerman</v>
      </c>
      <c r="C34076" s="8" t="s">
        <v>12125</v>
      </c>
      <c r="D34076" s="8">
        <v>19</v>
      </c>
      <c r="E34076" s="8">
        <v>0</v>
      </c>
      <c r="F34076" s="8">
        <v>56</v>
      </c>
    </row>
    <row r="34077" spans="1:6" ht="12.75">
      <c r="A34077" s="8">
        <v>43889.260694444441</v>
      </c>
      <c r="B34077" s="8" t="str">
        <f>HYPERLINK("https://twitter.com/AgusSup39011241","@AgusSup39011241")</f>
        <v>@AgusSup39011241</v>
      </c>
      <c r="C34077" s="8" t="s">
        <v>12906</v>
      </c>
      <c r="D34077" s="8">
        <v>7</v>
      </c>
      <c r="E34077" s="8">
        <v>0</v>
      </c>
      <c r="F34077" s="8">
        <v>10339</v>
      </c>
    </row>
    <row r="34078" spans="1:6" ht="12.75">
      <c r="A34078" s="8">
        <v>43889.256712962961</v>
      </c>
      <c r="B34078" s="8" t="str">
        <f>HYPERLINK("https://twitter.com/shantan85514039","@shantan85514039")</f>
        <v>@shantan85514039</v>
      </c>
      <c r="C34078" s="8" t="s">
        <v>12907</v>
      </c>
      <c r="D34078" s="8">
        <v>0</v>
      </c>
      <c r="E34078" s="8">
        <v>0</v>
      </c>
      <c r="F34078" s="8">
        <v>125</v>
      </c>
    </row>
    <row r="34079" spans="1:6" ht="12.75">
      <c r="A34079" s="8">
        <v>43889.256527777776</v>
      </c>
      <c r="B34079" s="8" t="str">
        <f>HYPERLINK("https://twitter.com/Suhendr55309972","@Suhendr55309972")</f>
        <v>@Suhendr55309972</v>
      </c>
      <c r="C34079" s="8" t="s">
        <v>12908</v>
      </c>
      <c r="D34079" s="8">
        <v>0</v>
      </c>
      <c r="E34079" s="8">
        <v>0</v>
      </c>
      <c r="F34079" s="8">
        <v>33</v>
      </c>
    </row>
    <row r="34080" spans="1:6" ht="12.75">
      <c r="A34080" s="8">
        <v>43889.256122685183</v>
      </c>
      <c r="B34080" s="8" t="str">
        <f>HYPERLINK("https://twitter.com/moreshare","@moreshare")</f>
        <v>@moreshare</v>
      </c>
      <c r="C34080" s="8" t="s">
        <v>12909</v>
      </c>
      <c r="D34080" s="8">
        <v>0</v>
      </c>
      <c r="E34080" s="8">
        <v>0</v>
      </c>
      <c r="F34080" s="8">
        <v>3300</v>
      </c>
    </row>
    <row r="34081" spans="1:6" ht="12.75">
      <c r="A34081" s="8">
        <v>43889.255891203706</v>
      </c>
      <c r="B34081" s="8" t="str">
        <f>HYPERLINK("https://twitter.com/Suhendr55309972","@Suhendr55309972")</f>
        <v>@Suhendr55309972</v>
      </c>
      <c r="C34081" s="8" t="s">
        <v>12910</v>
      </c>
      <c r="D34081" s="8">
        <v>0</v>
      </c>
      <c r="E34081" s="8">
        <v>0</v>
      </c>
      <c r="F34081" s="8">
        <v>33</v>
      </c>
    </row>
    <row r="34082" spans="1:6" ht="12.75">
      <c r="A34082" s="8">
        <v>43889.255694444444</v>
      </c>
      <c r="B34082" s="8" t="str">
        <f>HYPERLINK("https://twitter.com/dewi_darmawati","@dewi_darmawati")</f>
        <v>@dewi_darmawati</v>
      </c>
      <c r="C34082" s="8" t="s">
        <v>12911</v>
      </c>
      <c r="D34082" s="8">
        <v>1</v>
      </c>
      <c r="E34082" s="8">
        <v>0</v>
      </c>
      <c r="F34082" s="8">
        <v>4326</v>
      </c>
    </row>
    <row r="34083" spans="1:6" ht="12.75">
      <c r="A34083" s="8">
        <v>43889.255509259259</v>
      </c>
      <c r="B34083" s="8" t="str">
        <f>HYPERLINK("https://twitter.com/Johnywick20","@Johnywick20")</f>
        <v>@Johnywick20</v>
      </c>
      <c r="C34083" s="8" t="s">
        <v>12065</v>
      </c>
      <c r="D34083" s="8">
        <v>6</v>
      </c>
      <c r="E34083" s="8">
        <v>0</v>
      </c>
      <c r="F34083" s="8">
        <v>602</v>
      </c>
    </row>
    <row r="34084" spans="1:6" ht="12.75">
      <c r="A34084" s="8">
        <v>43889.254861111112</v>
      </c>
      <c r="B34084" s="8" t="str">
        <f>HYPERLINK("https://twitter.com/newsmerahputih","@newsmerahputih")</f>
        <v>@newsmerahputih</v>
      </c>
      <c r="C34084" s="8" t="s">
        <v>12912</v>
      </c>
      <c r="D34084" s="8">
        <v>0</v>
      </c>
      <c r="E34084" s="8">
        <v>0</v>
      </c>
      <c r="F34084" s="8">
        <v>8749</v>
      </c>
    </row>
    <row r="34085" spans="1:6" ht="12.75">
      <c r="A34085" s="8">
        <v>43889.254548611112</v>
      </c>
      <c r="B34085" s="8" t="str">
        <f>HYPERLINK("https://twitter.com/muflihatuljanah","@muflihatuljanah")</f>
        <v>@muflihatuljanah</v>
      </c>
      <c r="C34085" s="8" t="s">
        <v>2941</v>
      </c>
      <c r="D34085" s="8">
        <v>1080</v>
      </c>
      <c r="E34085" s="8">
        <v>0</v>
      </c>
      <c r="F34085" s="8">
        <v>62</v>
      </c>
    </row>
    <row r="34086" spans="1:6" ht="12.75">
      <c r="A34086" s="8">
        <v>43889.254398148143</v>
      </c>
      <c r="B34086" s="8" t="str">
        <f>HYPERLINK("https://twitter.com/boncusho","@boncusho")</f>
        <v>@boncusho</v>
      </c>
      <c r="C34086" s="8" t="s">
        <v>12125</v>
      </c>
      <c r="D34086" s="8">
        <v>16</v>
      </c>
      <c r="E34086" s="8">
        <v>0</v>
      </c>
      <c r="F34086" s="8">
        <v>645</v>
      </c>
    </row>
    <row r="34087" spans="1:6" ht="12.75">
      <c r="A34087" s="8">
        <v>43889.252557870372</v>
      </c>
      <c r="B34087" s="8" t="str">
        <f>HYPERLINK("https://twitter.com/yoris_ab","@yoris_ab")</f>
        <v>@yoris_ab</v>
      </c>
      <c r="C34087" s="8" t="s">
        <v>12853</v>
      </c>
      <c r="D34087" s="8">
        <v>10</v>
      </c>
      <c r="E34087" s="8">
        <v>0</v>
      </c>
      <c r="F34087" s="8">
        <v>1701</v>
      </c>
    </row>
    <row r="34088" spans="1:6" ht="12.75">
      <c r="A34088" s="8">
        <v>43889.251747685186</v>
      </c>
      <c r="B34088" s="8" t="str">
        <f>HYPERLINK("https://twitter.com/BillTemporo","@BillTemporo")</f>
        <v>@BillTemporo</v>
      </c>
      <c r="C34088" s="8" t="s">
        <v>323</v>
      </c>
      <c r="D34088" s="8">
        <v>0</v>
      </c>
      <c r="E34088" s="8">
        <v>0</v>
      </c>
      <c r="F34088" s="8">
        <v>11</v>
      </c>
    </row>
    <row r="34089" spans="1:6" ht="12.75">
      <c r="A34089" s="8">
        <v>43889.250659722224</v>
      </c>
      <c r="B34089" s="8" t="str">
        <f>HYPERLINK("https://twitter.com/pendividia","@pendividia")</f>
        <v>@pendividia</v>
      </c>
      <c r="C34089" s="8" t="s">
        <v>12052</v>
      </c>
      <c r="D34089" s="8">
        <v>106</v>
      </c>
      <c r="E34089" s="8">
        <v>0</v>
      </c>
      <c r="F34089" s="8">
        <v>597</v>
      </c>
    </row>
    <row r="34090" spans="1:6" ht="12.75">
      <c r="A34090" s="8">
        <v>43889.250555555554</v>
      </c>
      <c r="B34090" s="8" t="str">
        <f>HYPERLINK("https://twitter.com/tyongyangie","@tyongyangie")</f>
        <v>@tyongyangie</v>
      </c>
      <c r="C34090" s="8" t="s">
        <v>12913</v>
      </c>
      <c r="D34090" s="8">
        <v>7</v>
      </c>
      <c r="E34090" s="8">
        <v>0</v>
      </c>
      <c r="F34090" s="8">
        <v>154</v>
      </c>
    </row>
    <row r="34091" spans="1:6" ht="12.75">
      <c r="A34091" s="8">
        <v>43889.250428240739</v>
      </c>
      <c r="B34091" s="8" t="str">
        <f>HYPERLINK("https://twitter.com/pendividia","@pendividia")</f>
        <v>@pendividia</v>
      </c>
      <c r="C34091" s="8" t="s">
        <v>11773</v>
      </c>
      <c r="D34091" s="8">
        <v>454</v>
      </c>
      <c r="E34091" s="8">
        <v>0</v>
      </c>
      <c r="F34091" s="8">
        <v>597</v>
      </c>
    </row>
    <row r="34092" spans="1:6" ht="12.75">
      <c r="A34092" s="8">
        <v>43889.249953703707</v>
      </c>
      <c r="B34092" s="8" t="str">
        <f>HYPERLINK("https://twitter.com/_maylaghayatri","@_maylaghayatri")</f>
        <v>@_maylaghayatri</v>
      </c>
      <c r="C34092" s="8" t="s">
        <v>12914</v>
      </c>
      <c r="D34092" s="8">
        <v>0</v>
      </c>
      <c r="E34092" s="8">
        <v>1</v>
      </c>
      <c r="F34092" s="8">
        <v>2304</v>
      </c>
    </row>
    <row r="34093" spans="1:6" ht="12.75">
      <c r="A34093" s="8">
        <v>43889.249710648146</v>
      </c>
      <c r="B34093" s="8" t="str">
        <f>HYPERLINK("https://twitter.com/ahmadsyahmi96","@ahmadsyahmi96")</f>
        <v>@ahmadsyahmi96</v>
      </c>
      <c r="C34093" s="8" t="s">
        <v>11102</v>
      </c>
      <c r="D34093" s="8">
        <v>70</v>
      </c>
      <c r="E34093" s="8">
        <v>0</v>
      </c>
      <c r="F34093" s="8">
        <v>383</v>
      </c>
    </row>
    <row r="34094" spans="1:6" ht="12.75">
      <c r="A34094" s="8">
        <v>43889.2496412037</v>
      </c>
      <c r="B34094" s="8" t="str">
        <f>HYPERLINK("https://twitter.com/Akbar5Wicaksono","@Akbar5Wicaksono")</f>
        <v>@Akbar5Wicaksono</v>
      </c>
      <c r="C34094" s="8" t="s">
        <v>12915</v>
      </c>
      <c r="D34094" s="8">
        <v>0</v>
      </c>
      <c r="E34094" s="8">
        <v>0</v>
      </c>
      <c r="F34094" s="8">
        <v>18</v>
      </c>
    </row>
    <row r="34095" spans="1:6" ht="12.75">
      <c r="A34095" s="8">
        <v>43889.249074074076</v>
      </c>
      <c r="B34095" s="8" t="str">
        <f>HYPERLINK("https://twitter.com/mamiagarislucu","@mamiagarislucu")</f>
        <v>@mamiagarislucu</v>
      </c>
      <c r="C34095" s="8" t="s">
        <v>12905</v>
      </c>
      <c r="D34095" s="8">
        <v>1</v>
      </c>
      <c r="E34095" s="8">
        <v>0</v>
      </c>
      <c r="F34095" s="8">
        <v>5719</v>
      </c>
    </row>
    <row r="34096" spans="1:6" ht="12.75">
      <c r="A34096" s="8">
        <v>43889.248842592591</v>
      </c>
      <c r="B34096" s="8" t="str">
        <f>HYPERLINK("https://twitter.com/larkapul","@larkapul")</f>
        <v>@larkapul</v>
      </c>
      <c r="C34096" s="8" t="s">
        <v>12916</v>
      </c>
      <c r="D34096" s="8">
        <v>0</v>
      </c>
      <c r="E34096" s="8">
        <v>0</v>
      </c>
      <c r="F34096" s="8">
        <v>1587</v>
      </c>
    </row>
    <row r="34097" spans="1:6" ht="12.75">
      <c r="A34097" s="8">
        <v>43889.247928240744</v>
      </c>
      <c r="B34097" s="8" t="str">
        <f>HYPERLINK("https://twitter.com/Sargede_gold","@Sargede_gold")</f>
        <v>@Sargede_gold</v>
      </c>
      <c r="C34097" s="8" t="s">
        <v>12125</v>
      </c>
      <c r="D34097" s="8">
        <v>16</v>
      </c>
      <c r="E34097" s="8">
        <v>0</v>
      </c>
      <c r="F34097" s="8">
        <v>600</v>
      </c>
    </row>
    <row r="34098" spans="1:6" ht="12.75">
      <c r="A34098" s="8">
        <v>43889.247581018513</v>
      </c>
      <c r="B34098" s="8" t="str">
        <f>HYPERLINK("https://twitter.com/analogisuara","@analogisuara")</f>
        <v>@analogisuara</v>
      </c>
      <c r="C34098" s="8" t="s">
        <v>12917</v>
      </c>
      <c r="D34098" s="8">
        <v>0</v>
      </c>
      <c r="E34098" s="8">
        <v>0</v>
      </c>
      <c r="F34098" s="8">
        <v>13</v>
      </c>
    </row>
    <row r="34099" spans="1:6" ht="12.75">
      <c r="A34099" s="8">
        <v>43889.247453703705</v>
      </c>
      <c r="B34099" s="8" t="str">
        <f>HYPERLINK("https://twitter.com/mellifluous701","@mellifluous701")</f>
        <v>@mellifluous701</v>
      </c>
      <c r="C34099" s="8" t="s">
        <v>12913</v>
      </c>
      <c r="D34099" s="8">
        <v>7</v>
      </c>
      <c r="E34099" s="8">
        <v>0</v>
      </c>
      <c r="F34099" s="8">
        <v>1</v>
      </c>
    </row>
    <row r="34100" spans="1:6" ht="12.75">
      <c r="A34100" s="8">
        <v>43889.24732638889</v>
      </c>
      <c r="B34100" s="8" t="str">
        <f>HYPERLINK("https://twitter.com/KSgroupAs","@KSgroupAs")</f>
        <v>@KSgroupAs</v>
      </c>
      <c r="C34100" s="8" t="s">
        <v>12918</v>
      </c>
      <c r="D34100" s="8">
        <v>0</v>
      </c>
      <c r="E34100" s="8">
        <v>0</v>
      </c>
      <c r="F34100" s="8">
        <v>452</v>
      </c>
    </row>
    <row r="34101" spans="1:6" ht="12.75">
      <c r="A34101" s="8">
        <v>43889.246620370366</v>
      </c>
      <c r="B34101" s="8" t="str">
        <f>HYPERLINK("https://twitter.com/Jono_Fortunate","@Jono_Fortunate")</f>
        <v>@Jono_Fortunate</v>
      </c>
      <c r="C34101" s="8" t="s">
        <v>12807</v>
      </c>
      <c r="D34101" s="8">
        <v>4</v>
      </c>
      <c r="E34101" s="8">
        <v>0</v>
      </c>
      <c r="F34101" s="8">
        <v>590</v>
      </c>
    </row>
    <row r="34102" spans="1:6" ht="12.75">
      <c r="A34102" s="8">
        <v>43889.244525462964</v>
      </c>
      <c r="B34102" s="8" t="str">
        <f>HYPERLINK("https://twitter.com/endhisupri","@endhisupri")</f>
        <v>@endhisupri</v>
      </c>
      <c r="C34102" s="8" t="s">
        <v>12919</v>
      </c>
      <c r="D34102" s="8">
        <v>3</v>
      </c>
      <c r="E34102" s="8">
        <v>0</v>
      </c>
      <c r="F34102" s="8">
        <v>13</v>
      </c>
    </row>
    <row r="34103" spans="1:6" ht="12.75">
      <c r="A34103" s="8">
        <v>43889.244212962964</v>
      </c>
      <c r="B34103" s="8" t="str">
        <f>HYPERLINK("https://twitter.com/yaalilah","@yaalilah")</f>
        <v>@yaalilah</v>
      </c>
      <c r="C34103" s="8" t="s">
        <v>12920</v>
      </c>
      <c r="D34103" s="8">
        <v>1546</v>
      </c>
      <c r="E34103" s="8">
        <v>0</v>
      </c>
      <c r="F34103" s="8">
        <v>1988</v>
      </c>
    </row>
    <row r="34104" spans="1:6" ht="12.75">
      <c r="A34104" s="8">
        <v>43889.24386574074</v>
      </c>
      <c r="B34104" s="8" t="str">
        <f>HYPERLINK("https://twitter.com/DianVeei","@DianVeei")</f>
        <v>@DianVeei</v>
      </c>
      <c r="C34104" s="8" t="s">
        <v>11217</v>
      </c>
      <c r="D34104" s="8">
        <v>27</v>
      </c>
      <c r="E34104" s="8">
        <v>0</v>
      </c>
      <c r="F34104" s="8">
        <v>1157</v>
      </c>
    </row>
    <row r="34105" spans="1:6" ht="12.75">
      <c r="A34105" s="8">
        <v>43889.243692129632</v>
      </c>
      <c r="B34105" s="8" t="str">
        <f>HYPERLINK("https://twitter.com/BwzHamdi","@BwzHamdi")</f>
        <v>@BwzHamdi</v>
      </c>
      <c r="C34105" s="8" t="s">
        <v>12921</v>
      </c>
      <c r="D34105" s="8">
        <v>0</v>
      </c>
      <c r="E34105" s="8">
        <v>0</v>
      </c>
      <c r="F34105" s="8">
        <v>1</v>
      </c>
    </row>
    <row r="34106" spans="1:6" ht="12.75">
      <c r="A34106" s="8">
        <v>43889.243622685186</v>
      </c>
      <c r="B34106" s="8" t="str">
        <f>HYPERLINK("https://twitter.com/safuanhn","@safuanhn")</f>
        <v>@safuanhn</v>
      </c>
      <c r="C34106" s="8" t="s">
        <v>11102</v>
      </c>
      <c r="D34106" s="8">
        <v>70</v>
      </c>
      <c r="E34106" s="8">
        <v>0</v>
      </c>
      <c r="F34106" s="8">
        <v>280</v>
      </c>
    </row>
    <row r="34107" spans="1:6" ht="12.75">
      <c r="A34107" s="8">
        <v>43889.242962962962</v>
      </c>
      <c r="B34107" s="8" t="str">
        <f>HYPERLINK("https://twitter.com/BestManLegend","@BestManLegend")</f>
        <v>@BestManLegend</v>
      </c>
      <c r="C34107" s="8" t="s">
        <v>12922</v>
      </c>
      <c r="D34107" s="8">
        <v>0</v>
      </c>
      <c r="E34107" s="8">
        <v>0</v>
      </c>
      <c r="F34107" s="8">
        <v>9</v>
      </c>
    </row>
    <row r="34108" spans="1:6" ht="12.75">
      <c r="A34108" s="8">
        <v>43889.242025462961</v>
      </c>
      <c r="B34108" s="8" t="str">
        <f>HYPERLINK("https://twitter.com/Hinduboychamba1","@Hinduboychamba1")</f>
        <v>@Hinduboychamba1</v>
      </c>
      <c r="C34108" s="8" t="s">
        <v>12923</v>
      </c>
      <c r="D34108" s="8">
        <v>0</v>
      </c>
      <c r="E34108" s="8">
        <v>0</v>
      </c>
      <c r="F34108" s="8">
        <v>2</v>
      </c>
    </row>
    <row r="34109" spans="1:6" ht="12.75">
      <c r="A34109" s="8">
        <v>43889.241851851853</v>
      </c>
      <c r="B34109" s="8" t="str">
        <f>HYPERLINK("https://twitter.com/SilumanRebon","@SilumanRebon")</f>
        <v>@SilumanRebon</v>
      </c>
      <c r="C34109" s="8" t="s">
        <v>12924</v>
      </c>
      <c r="D34109" s="8">
        <v>0</v>
      </c>
      <c r="E34109" s="8">
        <v>0</v>
      </c>
      <c r="F34109" s="8">
        <v>16</v>
      </c>
    </row>
    <row r="34110" spans="1:6" ht="12.75">
      <c r="A34110" s="8">
        <v>43889.241168981476</v>
      </c>
      <c r="B34110" s="8" t="str">
        <f>HYPERLINK("https://twitter.com/VeyWiniy","@VeyWiniy")</f>
        <v>@VeyWiniy</v>
      </c>
      <c r="C34110" s="8" t="s">
        <v>12925</v>
      </c>
      <c r="D34110" s="8">
        <v>0</v>
      </c>
      <c r="E34110" s="8">
        <v>0</v>
      </c>
      <c r="F34110" s="8">
        <v>4004</v>
      </c>
    </row>
    <row r="34111" spans="1:6" ht="12.75">
      <c r="A34111" s="8">
        <v>43889.240613425922</v>
      </c>
      <c r="B34111" s="8" t="str">
        <f>HYPERLINK("https://twitter.com/Darmalik3","@Darmalik3")</f>
        <v>@Darmalik3</v>
      </c>
      <c r="C34111" s="8" t="s">
        <v>12484</v>
      </c>
      <c r="D34111" s="8">
        <v>33</v>
      </c>
      <c r="E34111" s="8">
        <v>0</v>
      </c>
      <c r="F34111" s="8">
        <v>1714</v>
      </c>
    </row>
    <row r="34112" spans="1:6" ht="12.75">
      <c r="A34112" s="8">
        <v>43889.24013888889</v>
      </c>
      <c r="B34112" s="8" t="str">
        <f>HYPERLINK("https://twitter.com/arcx13","@arcx13")</f>
        <v>@arcx13</v>
      </c>
      <c r="C34112" s="8" t="s">
        <v>11102</v>
      </c>
      <c r="D34112" s="8">
        <v>70</v>
      </c>
      <c r="E34112" s="8">
        <v>0</v>
      </c>
      <c r="F34112" s="8">
        <v>11707</v>
      </c>
    </row>
    <row r="34113" spans="1:6" ht="12.75">
      <c r="A34113" s="8">
        <v>43889.239282407405</v>
      </c>
      <c r="B34113" s="8" t="str">
        <f>HYPERLINK("https://twitter.com/kayandua","@kayandua")</f>
        <v>@kayandua</v>
      </c>
      <c r="C34113" s="8" t="s">
        <v>12926</v>
      </c>
      <c r="D34113" s="8">
        <v>0</v>
      </c>
      <c r="E34113" s="8">
        <v>0</v>
      </c>
      <c r="F34113" s="8">
        <v>40</v>
      </c>
    </row>
    <row r="34114" spans="1:6" ht="12.75">
      <c r="A34114" s="8">
        <v>43889.239212962959</v>
      </c>
      <c r="B34114" s="8" t="str">
        <f>HYPERLINK("https://twitter.com/animekaxtuteoue","@animekaxtuteoue")</f>
        <v>@animekaxtuteoue</v>
      </c>
      <c r="C34114" s="8" t="s">
        <v>8484</v>
      </c>
      <c r="D34114" s="8">
        <v>1051</v>
      </c>
      <c r="E34114" s="8">
        <v>0</v>
      </c>
      <c r="F34114" s="8">
        <v>1535</v>
      </c>
    </row>
    <row r="34115" spans="1:6" ht="12.75">
      <c r="A34115" s="8">
        <v>43889.238483796296</v>
      </c>
      <c r="B34115" s="8" t="str">
        <f>HYPERLINK("https://twitter.com/KaimanaPoem","@KaimanaPoem")</f>
        <v>@KaimanaPoem</v>
      </c>
      <c r="C34115" s="8" t="s">
        <v>12927</v>
      </c>
      <c r="D34115" s="8">
        <v>0</v>
      </c>
      <c r="E34115" s="8">
        <v>0</v>
      </c>
      <c r="F34115" s="8">
        <v>1292</v>
      </c>
    </row>
    <row r="34116" spans="1:6" ht="12.75">
      <c r="A34116" s="8">
        <v>43889.238287037035</v>
      </c>
      <c r="B34116" s="8" t="str">
        <f>HYPERLINK("https://twitter.com/Among79","@Among79")</f>
        <v>@Among79</v>
      </c>
      <c r="C34116" s="8" t="s">
        <v>12928</v>
      </c>
      <c r="D34116" s="8">
        <v>9</v>
      </c>
      <c r="E34116" s="8">
        <v>0</v>
      </c>
      <c r="F34116" s="8">
        <v>397</v>
      </c>
    </row>
    <row r="34117" spans="1:6" ht="12.75">
      <c r="A34117" s="8">
        <v>43889.237974537042</v>
      </c>
      <c r="B34117" s="8" t="str">
        <f>HYPERLINK("https://twitter.com/Subagio98405116","@Subagio98405116")</f>
        <v>@Subagio98405116</v>
      </c>
      <c r="C34117" s="8" t="s">
        <v>12929</v>
      </c>
      <c r="D34117" s="8">
        <v>0</v>
      </c>
      <c r="E34117" s="8">
        <v>0</v>
      </c>
      <c r="F34117" s="8">
        <v>11</v>
      </c>
    </row>
    <row r="34118" spans="1:6" ht="12.75">
      <c r="A34118" s="8">
        <v>43889.237754629634</v>
      </c>
      <c r="B34118" s="8" t="str">
        <f>HYPERLINK("https://twitter.com/fg_fenny","@fg_fenny")</f>
        <v>@fg_fenny</v>
      </c>
      <c r="C34118" s="8" t="s">
        <v>12930</v>
      </c>
      <c r="D34118" s="8">
        <v>0</v>
      </c>
      <c r="E34118" s="8">
        <v>0</v>
      </c>
      <c r="F34118" s="8">
        <v>1159</v>
      </c>
    </row>
    <row r="34119" spans="1:6" ht="12.75">
      <c r="A34119" s="8">
        <v>43889.237245370372</v>
      </c>
      <c r="B34119" s="8" t="str">
        <f>HYPERLINK("https://twitter.com/AcehSelatanSatu","@AcehSelatanSatu")</f>
        <v>@AcehSelatanSatu</v>
      </c>
      <c r="C34119" s="8" t="s">
        <v>12931</v>
      </c>
      <c r="D34119" s="8">
        <v>7</v>
      </c>
      <c r="E34119" s="8">
        <v>0</v>
      </c>
      <c r="F34119" s="8">
        <v>15114</v>
      </c>
    </row>
    <row r="34120" spans="1:6" ht="12.75">
      <c r="A34120" s="8">
        <v>43889.237187499995</v>
      </c>
      <c r="B34120" s="8" t="str">
        <f>HYPERLINK("https://twitter.com/tempodotco","@tempodotco")</f>
        <v>@tempodotco</v>
      </c>
      <c r="C34120" s="8" t="s">
        <v>12932</v>
      </c>
      <c r="D34120" s="8">
        <v>1</v>
      </c>
      <c r="E34120" s="8">
        <v>5</v>
      </c>
      <c r="F34120" s="8">
        <v>1713466</v>
      </c>
    </row>
    <row r="34121" spans="1:6" ht="12.75">
      <c r="A34121" s="8">
        <v>43889.236828703702</v>
      </c>
      <c r="B34121" s="8" t="str">
        <f>HYPERLINK("https://twitter.com/fg_fenny","@fg_fenny")</f>
        <v>@fg_fenny</v>
      </c>
      <c r="C34121" s="8" t="s">
        <v>12933</v>
      </c>
      <c r="D34121" s="8">
        <v>0</v>
      </c>
      <c r="E34121" s="8">
        <v>1</v>
      </c>
      <c r="F34121" s="8">
        <v>1159</v>
      </c>
    </row>
    <row r="34122" spans="1:6" ht="12.75">
      <c r="A34122" s="8">
        <v>43889.236817129626</v>
      </c>
      <c r="B34122" s="8" t="str">
        <f>HYPERLINK("https://twitter.com/tubankreatif","@tubankreatif")</f>
        <v>@tubankreatif</v>
      </c>
      <c r="C34122" s="8" t="s">
        <v>12934</v>
      </c>
      <c r="D34122" s="8">
        <v>4</v>
      </c>
      <c r="E34122" s="8">
        <v>0</v>
      </c>
      <c r="F34122" s="8">
        <v>306</v>
      </c>
    </row>
    <row r="34123" spans="1:6" ht="12.75">
      <c r="A34123" s="8">
        <v>43889.232361111106</v>
      </c>
      <c r="B34123" s="8" t="str">
        <f t="shared" ref="B34123:B34124" si="472">HYPERLINK("https://twitter.com/kangnday","@kangnday")</f>
        <v>@kangnday</v>
      </c>
      <c r="C34123" s="8" t="s">
        <v>12052</v>
      </c>
      <c r="D34123" s="8">
        <v>106</v>
      </c>
      <c r="E34123" s="8">
        <v>0</v>
      </c>
      <c r="F34123" s="8">
        <v>80</v>
      </c>
    </row>
    <row r="34124" spans="1:6" ht="12.75">
      <c r="A34124" s="8">
        <v>43889.232083333336</v>
      </c>
      <c r="B34124" s="8" t="str">
        <f t="shared" si="472"/>
        <v>@kangnday</v>
      </c>
      <c r="C34124" s="8" t="s">
        <v>11217</v>
      </c>
      <c r="D34124" s="8">
        <v>27</v>
      </c>
      <c r="E34124" s="8">
        <v>0</v>
      </c>
      <c r="F34124" s="8">
        <v>80</v>
      </c>
    </row>
    <row r="34125" spans="1:6" ht="12.75">
      <c r="A34125" s="8">
        <v>43889.231423611112</v>
      </c>
      <c r="B34125" s="8" t="str">
        <f>HYPERLINK("https://twitter.com/mudha_satriya","@mudha_satriya")</f>
        <v>@mudha_satriya</v>
      </c>
      <c r="C34125" s="8" t="s">
        <v>12863</v>
      </c>
      <c r="D34125" s="8">
        <v>2</v>
      </c>
      <c r="E34125" s="8">
        <v>0</v>
      </c>
      <c r="F34125" s="8">
        <v>1875</v>
      </c>
    </row>
    <row r="34126" spans="1:6" ht="12.75">
      <c r="A34126" s="8">
        <v>43889.231319444443</v>
      </c>
      <c r="B34126" s="8" t="str">
        <f>HYPERLINK("https://twitter.com/yogapraditow","@yogapraditow")</f>
        <v>@yogapraditow</v>
      </c>
      <c r="C34126" s="8" t="s">
        <v>12873</v>
      </c>
      <c r="D34126" s="8">
        <v>3</v>
      </c>
      <c r="E34126" s="8">
        <v>0</v>
      </c>
      <c r="F34126" s="8">
        <v>413</v>
      </c>
    </row>
    <row r="34127" spans="1:6" ht="12.75">
      <c r="A34127" s="8">
        <v>43889.23128472222</v>
      </c>
      <c r="B34127" s="8" t="str">
        <f>HYPERLINK("https://twitter.com/ani_nyebar","@ani_nyebar")</f>
        <v>@ani_nyebar</v>
      </c>
      <c r="C34127" s="8" t="s">
        <v>12935</v>
      </c>
      <c r="D34127" s="8">
        <v>1</v>
      </c>
      <c r="E34127" s="8">
        <v>0</v>
      </c>
      <c r="F34127" s="8">
        <v>105</v>
      </c>
    </row>
    <row r="34128" spans="1:6" ht="12.75">
      <c r="A34128" s="8">
        <v>43889.230763888889</v>
      </c>
      <c r="B34128" s="8" t="str">
        <f>HYPERLINK("https://twitter.com/BillTemporo","@BillTemporo")</f>
        <v>@BillTemporo</v>
      </c>
      <c r="C34128" s="8" t="s">
        <v>355</v>
      </c>
      <c r="D34128" s="8">
        <v>0</v>
      </c>
      <c r="E34128" s="8">
        <v>0</v>
      </c>
      <c r="F34128" s="8">
        <v>11</v>
      </c>
    </row>
    <row r="34129" spans="1:6" ht="12.75">
      <c r="A34129" s="8">
        <v>43889.230509259258</v>
      </c>
      <c r="B34129" s="8" t="str">
        <f>HYPERLINK("https://twitter.com/kramusthafa","@kramusthafa")</f>
        <v>@kramusthafa</v>
      </c>
      <c r="C34129" s="8" t="s">
        <v>12936</v>
      </c>
      <c r="D34129" s="8">
        <v>0</v>
      </c>
      <c r="E34129" s="8">
        <v>0</v>
      </c>
      <c r="F34129" s="8">
        <v>22</v>
      </c>
    </row>
    <row r="34130" spans="1:6" ht="12.75">
      <c r="A34130" s="8">
        <v>43889.229467592595</v>
      </c>
      <c r="B34130" s="8" t="str">
        <f>HYPERLINK("https://twitter.com/wahyusaputro77","@wahyusaputro77")</f>
        <v>@wahyusaputro77</v>
      </c>
      <c r="C34130" s="8" t="s">
        <v>11217</v>
      </c>
      <c r="D34130" s="8">
        <v>27</v>
      </c>
      <c r="E34130" s="8">
        <v>0</v>
      </c>
      <c r="F34130" s="8">
        <v>91</v>
      </c>
    </row>
    <row r="34131" spans="1:6" ht="12.75">
      <c r="A34131" s="8">
        <v>43889.22929398148</v>
      </c>
      <c r="B34131" s="8" t="str">
        <f>HYPERLINK("https://twitter.com/mudha_satriya","@mudha_satriya")</f>
        <v>@mudha_satriya</v>
      </c>
      <c r="C34131" s="8" t="s">
        <v>12937</v>
      </c>
      <c r="D34131" s="8">
        <v>1</v>
      </c>
      <c r="E34131" s="8">
        <v>0</v>
      </c>
      <c r="F34131" s="8">
        <v>1875</v>
      </c>
    </row>
    <row r="34132" spans="1:6" ht="12.75">
      <c r="A34132" s="8">
        <v>43889.22929398148</v>
      </c>
      <c r="B34132" s="8" t="str">
        <f>HYPERLINK("https://twitter.com/Mascalzone1968","@Mascalzone1968")</f>
        <v>@Mascalzone1968</v>
      </c>
      <c r="C34132" s="8" t="s">
        <v>12938</v>
      </c>
      <c r="D34132" s="8">
        <v>0</v>
      </c>
      <c r="E34132" s="8">
        <v>1</v>
      </c>
      <c r="F34132" s="8">
        <v>621</v>
      </c>
    </row>
    <row r="34133" spans="1:6" ht="12.75">
      <c r="A34133" s="8">
        <v>43889.229085648149</v>
      </c>
      <c r="B34133" s="8" t="str">
        <f>HYPERLINK("https://twitter.com/om_iswdg","@om_iswdg")</f>
        <v>@om_iswdg</v>
      </c>
      <c r="C34133" s="8" t="s">
        <v>12939</v>
      </c>
      <c r="D34133" s="8">
        <v>1</v>
      </c>
      <c r="E34133" s="8">
        <v>0</v>
      </c>
      <c r="F34133" s="8">
        <v>2190</v>
      </c>
    </row>
    <row r="34134" spans="1:6" ht="12.75">
      <c r="A34134" s="8">
        <v>43889.227187500001</v>
      </c>
      <c r="B34134" s="8" t="str">
        <f>HYPERLINK("https://twitter.com/alfinafbrll","@alfinafbrll")</f>
        <v>@alfinafbrll</v>
      </c>
      <c r="C34134" s="8" t="s">
        <v>12940</v>
      </c>
      <c r="D34134" s="8">
        <v>0</v>
      </c>
      <c r="E34134" s="8">
        <v>0</v>
      </c>
      <c r="F34134" s="8">
        <v>47</v>
      </c>
    </row>
    <row r="34135" spans="1:6" ht="12.75">
      <c r="A34135" s="8">
        <v>43889.226018518515</v>
      </c>
      <c r="B34135" s="8" t="str">
        <f>HYPERLINK("https://twitter.com/RuntukR","@RuntukR")</f>
        <v>@RuntukR</v>
      </c>
      <c r="C34135" s="8" t="s">
        <v>12863</v>
      </c>
      <c r="D34135" s="8">
        <v>2</v>
      </c>
      <c r="E34135" s="8">
        <v>0</v>
      </c>
      <c r="F34135" s="8">
        <v>3114</v>
      </c>
    </row>
    <row r="34136" spans="1:6" ht="12.75">
      <c r="A34136" s="8">
        <v>43889.224583333329</v>
      </c>
      <c r="B34136" s="8" t="str">
        <f>HYPERLINK("https://twitter.com/BsSinung","@BsSinung")</f>
        <v>@BsSinung</v>
      </c>
      <c r="C34136" s="8" t="s">
        <v>12484</v>
      </c>
      <c r="D34136" s="8">
        <v>33</v>
      </c>
      <c r="E34136" s="8">
        <v>0</v>
      </c>
      <c r="F34136" s="8">
        <v>86</v>
      </c>
    </row>
    <row r="34137" spans="1:6" ht="12.75">
      <c r="A34137" s="8">
        <v>43889.224178240736</v>
      </c>
      <c r="B34137" s="8" t="str">
        <f>HYPERLINK("https://twitter.com/kasman_vandi","@kasman_vandi")</f>
        <v>@kasman_vandi</v>
      </c>
      <c r="C34137" s="8" t="s">
        <v>12941</v>
      </c>
      <c r="D34137" s="8">
        <v>0</v>
      </c>
      <c r="E34137" s="8">
        <v>0</v>
      </c>
      <c r="F34137" s="8">
        <v>908</v>
      </c>
    </row>
    <row r="34138" spans="1:6" ht="12.75">
      <c r="A34138" s="8">
        <v>43889.221909722226</v>
      </c>
      <c r="B34138" s="8" t="str">
        <f>HYPERLINK("https://twitter.com/dim0716demak","@dim0716demak")</f>
        <v>@dim0716demak</v>
      </c>
      <c r="C34138" s="8" t="s">
        <v>12942</v>
      </c>
      <c r="D34138" s="8">
        <v>0</v>
      </c>
      <c r="E34138" s="8">
        <v>0</v>
      </c>
      <c r="F34138" s="8">
        <v>1210</v>
      </c>
    </row>
    <row r="34139" spans="1:6" ht="12.75">
      <c r="A34139" s="8">
        <v>43889.221226851849</v>
      </c>
      <c r="B34139" s="8" t="str">
        <f t="shared" ref="B34139:B34140" si="473">HYPERLINK("https://twitter.com/FaktaNew5","@FaktaNew5")</f>
        <v>@FaktaNew5</v>
      </c>
      <c r="C34139" s="8" t="s">
        <v>12943</v>
      </c>
      <c r="D34139" s="8">
        <v>0</v>
      </c>
      <c r="E34139" s="8">
        <v>0</v>
      </c>
      <c r="F34139" s="8">
        <v>177</v>
      </c>
    </row>
    <row r="34140" spans="1:6" ht="12.75">
      <c r="A34140" s="8">
        <v>43889.221215277779</v>
      </c>
      <c r="B34140" s="8" t="str">
        <f t="shared" si="473"/>
        <v>@FaktaNew5</v>
      </c>
      <c r="C34140" s="8" t="s">
        <v>12944</v>
      </c>
      <c r="D34140" s="8">
        <v>0</v>
      </c>
      <c r="E34140" s="8">
        <v>0</v>
      </c>
      <c r="F34140" s="8">
        <v>177</v>
      </c>
    </row>
    <row r="34141" spans="1:6" ht="12.75">
      <c r="A34141" s="8">
        <v>43889.220706018517</v>
      </c>
      <c r="B34141" s="8" t="str">
        <f>HYPERLINK("https://twitter.com/dim0716demak","@dim0716demak")</f>
        <v>@dim0716demak</v>
      </c>
      <c r="C34141" s="8" t="s">
        <v>12945</v>
      </c>
      <c r="D34141" s="8">
        <v>0</v>
      </c>
      <c r="E34141" s="8">
        <v>0</v>
      </c>
      <c r="F34141" s="8">
        <v>1210</v>
      </c>
    </row>
    <row r="34142" spans="1:6" ht="12.75">
      <c r="A34142" s="8">
        <v>43889.219259259262</v>
      </c>
      <c r="B34142" s="8" t="str">
        <f>HYPERLINK("https://twitter.com/AlbarokahToko","@AlbarokahToko")</f>
        <v>@AlbarokahToko</v>
      </c>
      <c r="C34142" s="8" t="s">
        <v>12125</v>
      </c>
      <c r="D34142" s="8">
        <v>16</v>
      </c>
      <c r="E34142" s="8">
        <v>0</v>
      </c>
      <c r="F34142" s="8">
        <v>282</v>
      </c>
    </row>
    <row r="34143" spans="1:6" ht="12.75">
      <c r="A34143" s="8">
        <v>43889.219189814816</v>
      </c>
      <c r="B34143" s="8" t="str">
        <f>HYPERLINK("https://twitter.com/AmstrongBiring","@AmstrongBiring")</f>
        <v>@AmstrongBiring</v>
      </c>
      <c r="C34143" s="8" t="s">
        <v>12946</v>
      </c>
      <c r="D34143" s="8">
        <v>24</v>
      </c>
      <c r="E34143" s="8">
        <v>0</v>
      </c>
      <c r="F34143" s="8">
        <v>1986</v>
      </c>
    </row>
    <row r="34144" spans="1:6" ht="12.75">
      <c r="A34144" s="8">
        <v>43889.218344907407</v>
      </c>
      <c r="B34144" s="8" t="str">
        <f t="shared" ref="B34144:B34145" si="474">HYPERLINK("https://twitter.com/dim0716demak","@dim0716demak")</f>
        <v>@dim0716demak</v>
      </c>
      <c r="C34144" s="8" t="s">
        <v>12947</v>
      </c>
      <c r="D34144" s="8">
        <v>0</v>
      </c>
      <c r="E34144" s="8">
        <v>0</v>
      </c>
      <c r="F34144" s="8">
        <v>1210</v>
      </c>
    </row>
    <row r="34145" spans="1:6" ht="12.75">
      <c r="A34145" s="8">
        <v>43889.218043981484</v>
      </c>
      <c r="B34145" s="8" t="str">
        <f t="shared" si="474"/>
        <v>@dim0716demak</v>
      </c>
      <c r="C34145" s="8" t="s">
        <v>12948</v>
      </c>
      <c r="D34145" s="8">
        <v>0</v>
      </c>
      <c r="E34145" s="8">
        <v>0</v>
      </c>
      <c r="F34145" s="8">
        <v>1210</v>
      </c>
    </row>
    <row r="34146" spans="1:6" ht="12.75">
      <c r="A34146" s="8">
        <v>43889.217268518521</v>
      </c>
      <c r="B34146" s="8" t="str">
        <f t="shared" ref="B34146:B34150" si="475">HYPERLINK("https://twitter.com/AmstrongBiring","@AmstrongBiring")</f>
        <v>@AmstrongBiring</v>
      </c>
      <c r="C34146" s="8" t="s">
        <v>12949</v>
      </c>
      <c r="D34146" s="8">
        <v>4</v>
      </c>
      <c r="E34146" s="8">
        <v>0</v>
      </c>
      <c r="F34146" s="8">
        <v>1986</v>
      </c>
    </row>
    <row r="34147" spans="1:6" ht="12.75">
      <c r="A34147" s="8">
        <v>43889.215775462959</v>
      </c>
      <c r="B34147" s="8" t="str">
        <f t="shared" si="475"/>
        <v>@AmstrongBiring</v>
      </c>
      <c r="C34147" s="8" t="s">
        <v>12950</v>
      </c>
      <c r="D34147" s="8">
        <v>2</v>
      </c>
      <c r="E34147" s="8">
        <v>0</v>
      </c>
      <c r="F34147" s="8">
        <v>1986</v>
      </c>
    </row>
    <row r="34148" spans="1:6" ht="12.75">
      <c r="A34148" s="8">
        <v>43889.214606481481</v>
      </c>
      <c r="B34148" s="8" t="str">
        <f t="shared" si="475"/>
        <v>@AmstrongBiring</v>
      </c>
      <c r="C34148" s="8" t="s">
        <v>12125</v>
      </c>
      <c r="D34148" s="8">
        <v>13</v>
      </c>
      <c r="E34148" s="8">
        <v>0</v>
      </c>
      <c r="F34148" s="8">
        <v>1985</v>
      </c>
    </row>
    <row r="34149" spans="1:6" ht="12.75">
      <c r="A34149" s="8">
        <v>43889.214490740742</v>
      </c>
      <c r="B34149" s="8" t="str">
        <f t="shared" si="475"/>
        <v>@AmstrongBiring</v>
      </c>
      <c r="C34149" s="8" t="s">
        <v>11217</v>
      </c>
      <c r="D34149" s="8">
        <v>24</v>
      </c>
      <c r="E34149" s="8">
        <v>0</v>
      </c>
      <c r="F34149" s="8">
        <v>1985</v>
      </c>
    </row>
    <row r="34150" spans="1:6" ht="12.75">
      <c r="A34150" s="8">
        <v>43889.214155092588</v>
      </c>
      <c r="B34150" s="8" t="str">
        <f t="shared" si="475"/>
        <v>@AmstrongBiring</v>
      </c>
      <c r="C34150" s="8" t="s">
        <v>12951</v>
      </c>
      <c r="D34150" s="8">
        <v>12</v>
      </c>
      <c r="E34150" s="8">
        <v>0</v>
      </c>
      <c r="F34150" s="8">
        <v>1985</v>
      </c>
    </row>
    <row r="34151" spans="1:6" ht="12.75">
      <c r="A34151" s="8">
        <v>43889.213194444441</v>
      </c>
      <c r="B34151" s="8" t="str">
        <f>HYPERLINK("https://twitter.com/fadjroeL","@fadjroeL")</f>
        <v>@fadjroeL</v>
      </c>
      <c r="C34151" s="8" t="s">
        <v>12952</v>
      </c>
      <c r="D34151" s="8">
        <v>0</v>
      </c>
      <c r="E34151" s="8">
        <v>2</v>
      </c>
      <c r="F34151" s="8">
        <v>996100</v>
      </c>
    </row>
    <row r="34152" spans="1:6" ht="12.75">
      <c r="A34152" s="8">
        <v>43889.212719907402</v>
      </c>
      <c r="B34152" s="8" t="str">
        <f>HYPERLINK("https://twitter.com/kasman_vandi","@kasman_vandi")</f>
        <v>@kasman_vandi</v>
      </c>
      <c r="C34152" s="8" t="s">
        <v>12953</v>
      </c>
      <c r="D34152" s="8">
        <v>0</v>
      </c>
      <c r="E34152" s="8">
        <v>0</v>
      </c>
      <c r="F34152" s="8">
        <v>908</v>
      </c>
    </row>
    <row r="34153" spans="1:6" ht="12.75">
      <c r="A34153" s="8">
        <v>43889.212442129632</v>
      </c>
      <c r="B34153" s="8" t="str">
        <f>HYPERLINK("https://twitter.com/IndonesiaInCPH","@IndonesiaInCPH")</f>
        <v>@IndonesiaInCPH</v>
      </c>
      <c r="C34153" s="8" t="s">
        <v>12954</v>
      </c>
      <c r="D34153" s="8">
        <v>0</v>
      </c>
      <c r="E34153" s="8">
        <v>0</v>
      </c>
      <c r="F34153" s="8">
        <v>1336</v>
      </c>
    </row>
    <row r="34154" spans="1:6" ht="12.75">
      <c r="A34154" s="8">
        <v>43889.211724537032</v>
      </c>
      <c r="B34154" s="8" t="str">
        <f>HYPERLINK("https://twitter.com/davidmarimin","@davidmarimin")</f>
        <v>@davidmarimin</v>
      </c>
      <c r="C34154" s="8" t="s">
        <v>12955</v>
      </c>
      <c r="D34154" s="8">
        <v>0</v>
      </c>
      <c r="E34154" s="8">
        <v>0</v>
      </c>
      <c r="F34154" s="8">
        <v>53</v>
      </c>
    </row>
    <row r="34155" spans="1:6" ht="12.75">
      <c r="A34155" s="8">
        <v>43889.210451388892</v>
      </c>
      <c r="B34155" s="8" t="str">
        <f>HYPERLINK("https://twitter.com/PEDOMAN_id","@PEDOMAN_id")</f>
        <v>@PEDOMAN_id</v>
      </c>
      <c r="C34155" s="8" t="s">
        <v>12956</v>
      </c>
      <c r="D34155" s="8">
        <v>0</v>
      </c>
      <c r="E34155" s="8">
        <v>0</v>
      </c>
      <c r="F34155" s="8">
        <v>60369</v>
      </c>
    </row>
    <row r="34156" spans="1:6" ht="12.75">
      <c r="A34156" s="8">
        <v>43889.210439814815</v>
      </c>
      <c r="B34156" s="8" t="str">
        <f>HYPERLINK("https://twitter.com/kak_wew","@kak_wew")</f>
        <v>@kak_wew</v>
      </c>
      <c r="C34156" s="8" t="s">
        <v>12951</v>
      </c>
      <c r="D34156" s="8">
        <v>12</v>
      </c>
      <c r="E34156" s="8">
        <v>0</v>
      </c>
      <c r="F34156" s="8">
        <v>323</v>
      </c>
    </row>
    <row r="34157" spans="1:6" ht="12.75">
      <c r="A34157" s="8">
        <v>43889.210150462968</v>
      </c>
      <c r="B34157" s="8" t="str">
        <f>HYPERLINK("https://twitter.com/BillTemporo","@BillTemporo")</f>
        <v>@BillTemporo</v>
      </c>
      <c r="C34157" s="8" t="s">
        <v>384</v>
      </c>
      <c r="D34157" s="8">
        <v>0</v>
      </c>
      <c r="E34157" s="8">
        <v>0</v>
      </c>
      <c r="F34157" s="8">
        <v>11</v>
      </c>
    </row>
    <row r="34158" spans="1:6" ht="12.75">
      <c r="A34158" s="8">
        <v>43889.208703703705</v>
      </c>
      <c r="B34158" s="8" t="str">
        <f>HYPERLINK("https://twitter.com/pagiusil","@pagiusil")</f>
        <v>@pagiusil</v>
      </c>
      <c r="C34158" s="8" t="s">
        <v>12730</v>
      </c>
      <c r="D34158" s="8">
        <v>87</v>
      </c>
      <c r="E34158" s="8">
        <v>0</v>
      </c>
      <c r="F34158" s="8">
        <v>313</v>
      </c>
    </row>
    <row r="34159" spans="1:6" ht="12.75">
      <c r="A34159" s="8">
        <v>43889.207025462965</v>
      </c>
      <c r="B34159" s="8" t="str">
        <f>HYPERLINK("https://twitter.com/annasantoz318","@annasantoz318")</f>
        <v>@annasantoz318</v>
      </c>
      <c r="C34159" s="8" t="s">
        <v>11217</v>
      </c>
      <c r="D34159" s="8">
        <v>24</v>
      </c>
      <c r="E34159" s="8">
        <v>0</v>
      </c>
      <c r="F34159" s="8">
        <v>12414</v>
      </c>
    </row>
    <row r="34160" spans="1:6" ht="12.75">
      <c r="A34160" s="8">
        <v>43889.206747685181</v>
      </c>
      <c r="B34160" s="8" t="str">
        <f>HYPERLINK("https://twitter.com/monalisasman","@monalisasman")</f>
        <v>@monalisasman</v>
      </c>
      <c r="C34160" s="8" t="s">
        <v>12957</v>
      </c>
      <c r="D34160" s="8">
        <v>0</v>
      </c>
      <c r="E34160" s="8">
        <v>0</v>
      </c>
      <c r="F34160" s="8">
        <v>747</v>
      </c>
    </row>
    <row r="34161" spans="1:6" ht="12.75">
      <c r="A34161" s="8">
        <v>43889.206620370373</v>
      </c>
      <c r="B34161" s="8" t="str">
        <f>HYPERLINK("https://twitter.com/Dimas91_auliamu","@Dimas91_auliamu")</f>
        <v>@Dimas91_auliamu</v>
      </c>
      <c r="C34161" s="8" t="s">
        <v>12065</v>
      </c>
      <c r="D34161" s="8">
        <v>5</v>
      </c>
      <c r="E34161" s="8">
        <v>0</v>
      </c>
      <c r="F34161" s="8">
        <v>26</v>
      </c>
    </row>
    <row r="34162" spans="1:6" ht="12.75">
      <c r="A34162" s="8">
        <v>43889.203414351854</v>
      </c>
      <c r="B34162" s="8" t="str">
        <f>HYPERLINK("https://twitter.com/nanininaninna","@nanininaninna")</f>
        <v>@nanininaninna</v>
      </c>
      <c r="C34162" s="8" t="s">
        <v>12125</v>
      </c>
      <c r="D34162" s="8">
        <v>13</v>
      </c>
      <c r="E34162" s="8">
        <v>0</v>
      </c>
      <c r="F34162" s="8">
        <v>2745</v>
      </c>
    </row>
    <row r="34163" spans="1:6" ht="12.75">
      <c r="A34163" s="8">
        <v>43889.203078703707</v>
      </c>
      <c r="B34163" s="8" t="str">
        <f>HYPERLINK("https://twitter.com/Ngk0ng__R__R","@Ngk0ng__R__R")</f>
        <v>@Ngk0ng__R__R</v>
      </c>
      <c r="C34163" s="8" t="s">
        <v>12958</v>
      </c>
      <c r="D34163" s="8">
        <v>1</v>
      </c>
      <c r="E34163" s="8">
        <v>0</v>
      </c>
      <c r="F34163" s="8">
        <v>2117</v>
      </c>
    </row>
    <row r="34164" spans="1:6" ht="12.75">
      <c r="A34164" s="8">
        <v>43889.201967592591</v>
      </c>
      <c r="B34164" s="8" t="str">
        <f>HYPERLINK("https://twitter.com/alfiarnimakhtaf","@alfiarnimakhtaf")</f>
        <v>@alfiarnimakhtaf</v>
      </c>
      <c r="C34164" s="8" t="s">
        <v>12959</v>
      </c>
      <c r="D34164" s="8">
        <v>0</v>
      </c>
      <c r="E34164" s="8">
        <v>0</v>
      </c>
      <c r="F34164" s="8">
        <v>1032</v>
      </c>
    </row>
    <row r="34165" spans="1:6" ht="12.75">
      <c r="A34165" s="8">
        <v>43889.201921296291</v>
      </c>
      <c r="B34165" s="8" t="str">
        <f>HYPERLINK("https://twitter.com/Joker__Punk","@Joker__Punk")</f>
        <v>@Joker__Punk</v>
      </c>
      <c r="C34165" s="8" t="s">
        <v>12960</v>
      </c>
      <c r="D34165" s="8">
        <v>0</v>
      </c>
      <c r="E34165" s="8">
        <v>1</v>
      </c>
      <c r="F34165" s="8">
        <v>841</v>
      </c>
    </row>
    <row r="34166" spans="1:6" ht="12.75">
      <c r="A34166" s="8">
        <v>43889.201678240745</v>
      </c>
      <c r="B34166" s="8" t="str">
        <f>HYPERLINK("https://twitter.com/zhirro_tyo","@zhirro_tyo")</f>
        <v>@zhirro_tyo</v>
      </c>
      <c r="C34166" s="8" t="s">
        <v>12873</v>
      </c>
      <c r="D34166" s="8">
        <v>2</v>
      </c>
      <c r="E34166" s="8">
        <v>0</v>
      </c>
      <c r="F34166" s="8">
        <v>397</v>
      </c>
    </row>
    <row r="34167" spans="1:6" ht="12.75">
      <c r="A34167" s="8">
        <v>43889.20144675926</v>
      </c>
      <c r="B34167" s="8" t="str">
        <f>HYPERLINK("https://twitter.com/Ngk0ng__R__R","@Ngk0ng__R__R")</f>
        <v>@Ngk0ng__R__R</v>
      </c>
      <c r="C34167" s="8" t="s">
        <v>12961</v>
      </c>
      <c r="D34167" s="8">
        <v>1</v>
      </c>
      <c r="E34167" s="8">
        <v>0</v>
      </c>
      <c r="F34167" s="8">
        <v>2117</v>
      </c>
    </row>
    <row r="34168" spans="1:6" ht="12.75">
      <c r="A34168" s="8">
        <v>43889.199872685189</v>
      </c>
      <c r="B34168" s="8" t="str">
        <f>HYPERLINK("https://twitter.com/CukongLaut","@CukongLaut")</f>
        <v>@CukongLaut</v>
      </c>
      <c r="C34168" s="8" t="s">
        <v>12484</v>
      </c>
      <c r="D34168" s="8">
        <v>31</v>
      </c>
      <c r="E34168" s="8">
        <v>0</v>
      </c>
      <c r="F34168" s="8">
        <v>164</v>
      </c>
    </row>
    <row r="34169" spans="1:6" ht="12.75">
      <c r="A34169" s="8">
        <v>43889.199664351851</v>
      </c>
      <c r="B34169" s="8" t="str">
        <f t="shared" ref="B34169:B34170" si="476">HYPERLINK("https://twitter.com/Ngk0ng__R__R","@Ngk0ng__R__R")</f>
        <v>@Ngk0ng__R__R</v>
      </c>
      <c r="C34169" s="8" t="s">
        <v>12951</v>
      </c>
      <c r="D34169" s="8">
        <v>12</v>
      </c>
      <c r="E34169" s="8">
        <v>0</v>
      </c>
      <c r="F34169" s="8">
        <v>2117</v>
      </c>
    </row>
    <row r="34170" spans="1:6" ht="12.75">
      <c r="A34170" s="8">
        <v>43889.199421296296</v>
      </c>
      <c r="B34170" s="8" t="str">
        <f t="shared" si="476"/>
        <v>@Ngk0ng__R__R</v>
      </c>
      <c r="C34170" s="8" t="s">
        <v>12962</v>
      </c>
      <c r="D34170" s="8">
        <v>1</v>
      </c>
      <c r="E34170" s="8">
        <v>0</v>
      </c>
      <c r="F34170" s="8">
        <v>2117</v>
      </c>
    </row>
    <row r="34171" spans="1:6" ht="12.75">
      <c r="A34171" s="8">
        <v>43889.19809027778</v>
      </c>
      <c r="B34171" s="8" t="str">
        <f>HYPERLINK("https://twitter.com/MAliSubhan2","@MAliSubhan2")</f>
        <v>@MAliSubhan2</v>
      </c>
      <c r="C34171" s="8" t="s">
        <v>12125</v>
      </c>
      <c r="D34171" s="8">
        <v>13</v>
      </c>
      <c r="E34171" s="8">
        <v>0</v>
      </c>
      <c r="F34171" s="8">
        <v>1222</v>
      </c>
    </row>
    <row r="34172" spans="1:6" ht="12.75">
      <c r="A34172" s="8">
        <v>43889.197638888887</v>
      </c>
      <c r="B34172" s="8" t="str">
        <f>HYPERLINK("https://twitter.com/Ngk0ng__R__R","@Ngk0ng__R__R")</f>
        <v>@Ngk0ng__R__R</v>
      </c>
      <c r="C34172" s="8" t="s">
        <v>12963</v>
      </c>
      <c r="D34172" s="8">
        <v>0</v>
      </c>
      <c r="E34172" s="8">
        <v>0</v>
      </c>
      <c r="F34172" s="8">
        <v>2117</v>
      </c>
    </row>
    <row r="34173" spans="1:6" ht="12.75">
      <c r="A34173" s="8">
        <v>43889.197291666671</v>
      </c>
      <c r="B34173" s="8" t="str">
        <f>HYPERLINK("https://twitter.com/kompascom","@kompascom")</f>
        <v>@kompascom</v>
      </c>
      <c r="C34173" s="8" t="s">
        <v>12873</v>
      </c>
      <c r="D34173" s="8">
        <v>2</v>
      </c>
      <c r="E34173" s="8">
        <v>0</v>
      </c>
      <c r="F34173" s="8">
        <v>7516216</v>
      </c>
    </row>
    <row r="34174" spans="1:6" ht="12.75">
      <c r="A34174" s="8">
        <v>43889.196863425925</v>
      </c>
      <c r="B34174" s="8" t="str">
        <f>HYPERLINK("https://twitter.com/Ngk0ng__R__R","@Ngk0ng__R__R")</f>
        <v>@Ngk0ng__R__R</v>
      </c>
      <c r="C34174" s="8" t="s">
        <v>12964</v>
      </c>
      <c r="D34174" s="8">
        <v>1</v>
      </c>
      <c r="E34174" s="8">
        <v>0</v>
      </c>
      <c r="F34174" s="8">
        <v>2117</v>
      </c>
    </row>
    <row r="34175" spans="1:6" ht="12.75">
      <c r="A34175" s="8">
        <v>43889.196574074071</v>
      </c>
      <c r="B34175" s="8" t="str">
        <f>HYPERLINK("https://twitter.com/kompasiana","@kompasiana")</f>
        <v>@kompasiana</v>
      </c>
      <c r="C34175" s="8" t="s">
        <v>12965</v>
      </c>
      <c r="D34175" s="8">
        <v>2</v>
      </c>
      <c r="E34175" s="8">
        <v>3</v>
      </c>
      <c r="F34175" s="8">
        <v>930899</v>
      </c>
    </row>
    <row r="34176" spans="1:6" ht="12.75">
      <c r="A34176" s="8">
        <v>43889.196203703701</v>
      </c>
      <c r="B34176" s="8" t="str">
        <f>HYPERLINK("https://twitter.com/happymasterkt","@happymasterkt")</f>
        <v>@happymasterkt</v>
      </c>
      <c r="C34176" s="8" t="s">
        <v>12966</v>
      </c>
      <c r="D34176" s="8">
        <v>0</v>
      </c>
      <c r="E34176" s="8">
        <v>0</v>
      </c>
      <c r="F34176" s="8">
        <v>43</v>
      </c>
    </row>
    <row r="34177" spans="1:6" ht="12.75">
      <c r="A34177" s="8">
        <v>43889.195821759262</v>
      </c>
      <c r="B34177" s="8" t="str">
        <f>HYPERLINK("https://twitter.com/nizham_id","@nizham_id")</f>
        <v>@nizham_id</v>
      </c>
      <c r="C34177" s="8" t="s">
        <v>12967</v>
      </c>
      <c r="D34177" s="8">
        <v>2</v>
      </c>
      <c r="E34177" s="8">
        <v>0</v>
      </c>
      <c r="F34177" s="8">
        <v>1368</v>
      </c>
    </row>
    <row r="34178" spans="1:6" ht="12.75">
      <c r="A34178" s="8">
        <v>43889.193993055553</v>
      </c>
      <c r="B34178" s="8" t="str">
        <f>HYPERLINK("https://twitter.com/nanininaninna","@nanininaninna")</f>
        <v>@nanininaninna</v>
      </c>
      <c r="C34178" s="8" t="s">
        <v>11217</v>
      </c>
      <c r="D34178" s="8">
        <v>24</v>
      </c>
      <c r="E34178" s="8">
        <v>0</v>
      </c>
      <c r="F34178" s="8">
        <v>2745</v>
      </c>
    </row>
    <row r="34179" spans="1:6" ht="12.75">
      <c r="A34179" s="8">
        <v>43889.193715277783</v>
      </c>
      <c r="B34179" s="8" t="str">
        <f>HYPERLINK("https://twitter.com/mintaalem","@mintaalem")</f>
        <v>@mintaalem</v>
      </c>
      <c r="C34179" s="8" t="s">
        <v>12968</v>
      </c>
      <c r="D34179" s="8">
        <v>0</v>
      </c>
      <c r="E34179" s="8">
        <v>0</v>
      </c>
      <c r="F34179" s="8">
        <v>303</v>
      </c>
    </row>
    <row r="34180" spans="1:6" ht="12.75">
      <c r="A34180" s="8">
        <v>43889.184398148151</v>
      </c>
      <c r="B34180" s="8" t="str">
        <f>HYPERLINK("https://twitter.com/gulsha_m","@gulsha_m")</f>
        <v>@gulsha_m</v>
      </c>
      <c r="C34180" s="8" t="s">
        <v>12969</v>
      </c>
      <c r="D34180" s="8">
        <v>0</v>
      </c>
      <c r="E34180" s="8">
        <v>0</v>
      </c>
      <c r="F34180" s="8">
        <v>134</v>
      </c>
    </row>
    <row r="34181" spans="1:6" ht="12.75">
      <c r="A34181" s="8">
        <v>43889.184108796297</v>
      </c>
      <c r="B34181" s="8" t="str">
        <f>HYPERLINK("https://twitter.com/Anto97042519","@Anto97042519")</f>
        <v>@Anto97042519</v>
      </c>
      <c r="C34181" s="8" t="s">
        <v>12967</v>
      </c>
      <c r="D34181" s="8">
        <v>2</v>
      </c>
      <c r="E34181" s="8">
        <v>0</v>
      </c>
      <c r="F34181" s="8">
        <v>114</v>
      </c>
    </row>
    <row r="34182" spans="1:6" ht="12.75">
      <c r="A34182" s="8">
        <v>43889.184108796297</v>
      </c>
      <c r="B34182" s="8" t="str">
        <f>HYPERLINK("https://twitter.com/wni_jmsri","@wni_jmsri")</f>
        <v>@wni_jmsri</v>
      </c>
      <c r="C34182" s="8" t="s">
        <v>12970</v>
      </c>
      <c r="D34182" s="8">
        <v>10202</v>
      </c>
      <c r="E34182" s="8">
        <v>0</v>
      </c>
      <c r="F34182" s="8">
        <v>200</v>
      </c>
    </row>
    <row r="34183" spans="1:6" ht="12.75">
      <c r="A34183" s="8">
        <v>43889.182175925926</v>
      </c>
      <c r="B34183" s="8" t="str">
        <f>HYPERLINK("https://twitter.com/LieDetectorID","@LieDetectorID")</f>
        <v>@LieDetectorID</v>
      </c>
      <c r="C34183" s="8" t="s">
        <v>11217</v>
      </c>
      <c r="D34183" s="8">
        <v>24</v>
      </c>
      <c r="E34183" s="8">
        <v>0</v>
      </c>
      <c r="F34183" s="8">
        <v>10390</v>
      </c>
    </row>
    <row r="34184" spans="1:6" ht="12.75">
      <c r="A34184" s="8">
        <v>43889.181435185186</v>
      </c>
      <c r="B34184" s="8" t="str">
        <f>HYPERLINK("https://twitter.com/republikaonline","@republikaonline")</f>
        <v>@republikaonline</v>
      </c>
      <c r="C34184" s="8" t="s">
        <v>12971</v>
      </c>
      <c r="D34184" s="8">
        <v>2</v>
      </c>
      <c r="E34184" s="8">
        <v>8</v>
      </c>
      <c r="F34184" s="8">
        <v>1214904</v>
      </c>
    </row>
    <row r="34185" spans="1:6" ht="12.75">
      <c r="A34185" s="8">
        <v>43889.180509259255</v>
      </c>
      <c r="B34185" s="8" t="str">
        <f>HYPERLINK("https://twitter.com/Rizky0220421439","@Rizky0220421439")</f>
        <v>@Rizky0220421439</v>
      </c>
      <c r="C34185" s="8" t="s">
        <v>12972</v>
      </c>
      <c r="D34185" s="8">
        <v>41</v>
      </c>
      <c r="E34185" s="8">
        <v>0</v>
      </c>
      <c r="F34185" s="8">
        <v>1608</v>
      </c>
    </row>
    <row r="34186" spans="1:6" ht="12.75">
      <c r="A34186" s="8">
        <v>43889.178912037038</v>
      </c>
      <c r="B34186" s="8" t="str">
        <f>HYPERLINK("https://twitter.com/vlrq4","@vlrq4")</f>
        <v>@vlrq4</v>
      </c>
      <c r="C34186" s="8" t="s">
        <v>12973</v>
      </c>
      <c r="D34186" s="8">
        <v>0</v>
      </c>
      <c r="E34186" s="8">
        <v>0</v>
      </c>
      <c r="F34186" s="8">
        <v>92</v>
      </c>
    </row>
    <row r="34187" spans="1:6" ht="12.75">
      <c r="A34187" s="8">
        <v>43889.176875000005</v>
      </c>
      <c r="B34187" s="8" t="str">
        <f>HYPERLINK("https://twitter.com/Raratralalala","@Raratralalala")</f>
        <v>@Raratralalala</v>
      </c>
      <c r="C34187" s="8" t="s">
        <v>12974</v>
      </c>
      <c r="D34187" s="8">
        <v>0</v>
      </c>
      <c r="E34187" s="8">
        <v>0</v>
      </c>
      <c r="F34187" s="8">
        <v>1159</v>
      </c>
    </row>
    <row r="34188" spans="1:6" ht="12.75">
      <c r="A34188" s="8">
        <v>43889.176180555558</v>
      </c>
      <c r="B34188" s="8" t="str">
        <f>HYPERLINK("https://twitter.com/MVVZ3","@MVVZ3")</f>
        <v>@MVVZ3</v>
      </c>
      <c r="C34188" s="8" t="s">
        <v>12065</v>
      </c>
      <c r="D34188" s="8">
        <v>5</v>
      </c>
      <c r="E34188" s="8">
        <v>0</v>
      </c>
      <c r="F34188" s="8">
        <v>1059</v>
      </c>
    </row>
    <row r="34189" spans="1:6" ht="12.75">
      <c r="A34189" s="8">
        <v>43889.171261574069</v>
      </c>
      <c r="B34189" s="8" t="str">
        <f>HYPERLINK("https://twitter.com/Kusuma_Betha","@Kusuma_Betha")</f>
        <v>@Kusuma_Betha</v>
      </c>
      <c r="C34189" s="8" t="s">
        <v>12975</v>
      </c>
      <c r="D34189" s="8">
        <v>0</v>
      </c>
      <c r="E34189" s="8">
        <v>0</v>
      </c>
      <c r="F34189" s="8">
        <v>149</v>
      </c>
    </row>
    <row r="34190" spans="1:6" ht="12.75">
      <c r="A34190" s="8">
        <v>43889.170856481476</v>
      </c>
      <c r="B34190" s="8" t="str">
        <f>HYPERLINK("https://twitter.com/RelawanIndie","@RelawanIndie")</f>
        <v>@RelawanIndie</v>
      </c>
      <c r="C34190" s="8" t="s">
        <v>12926</v>
      </c>
      <c r="D34190" s="8">
        <v>0</v>
      </c>
      <c r="E34190" s="8">
        <v>0</v>
      </c>
      <c r="F34190" s="8">
        <v>1062</v>
      </c>
    </row>
    <row r="34191" spans="1:6" ht="12.75">
      <c r="A34191" s="8">
        <v>43889.168391203704</v>
      </c>
      <c r="B34191" s="8" t="str">
        <f t="shared" ref="B34191:B34193" si="477">HYPERLINK("https://twitter.com/f_purwatmo","@f_purwatmo")</f>
        <v>@f_purwatmo</v>
      </c>
      <c r="C34191" s="8" t="s">
        <v>12976</v>
      </c>
      <c r="D34191" s="8">
        <v>6</v>
      </c>
      <c r="E34191" s="8">
        <v>0</v>
      </c>
      <c r="F34191" s="8">
        <v>455</v>
      </c>
    </row>
    <row r="34192" spans="1:6" ht="12.75">
      <c r="A34192" s="8">
        <v>43889.168206018519</v>
      </c>
      <c r="B34192" s="8" t="str">
        <f t="shared" si="477"/>
        <v>@f_purwatmo</v>
      </c>
      <c r="C34192" s="8" t="s">
        <v>12977</v>
      </c>
      <c r="D34192" s="8">
        <v>9</v>
      </c>
      <c r="E34192" s="8">
        <v>0</v>
      </c>
      <c r="F34192" s="8">
        <v>455</v>
      </c>
    </row>
    <row r="34193" spans="1:6" ht="12.75">
      <c r="A34193" s="8">
        <v>43889.168113425927</v>
      </c>
      <c r="B34193" s="8" t="str">
        <f t="shared" si="477"/>
        <v>@f_purwatmo</v>
      </c>
      <c r="C34193" s="8" t="s">
        <v>12978</v>
      </c>
      <c r="D34193" s="8">
        <v>7</v>
      </c>
      <c r="E34193" s="8">
        <v>0</v>
      </c>
      <c r="F34193" s="8">
        <v>455</v>
      </c>
    </row>
    <row r="34194" spans="1:6" ht="12.75">
      <c r="A34194" s="8">
        <v>43889.168043981481</v>
      </c>
      <c r="B34194" s="8" t="str">
        <f>HYPERLINK("https://twitter.com/redywanjames","@redywanjames")</f>
        <v>@redywanjames</v>
      </c>
      <c r="C34194" s="8" t="s">
        <v>12054</v>
      </c>
      <c r="D34194" s="8">
        <v>8</v>
      </c>
      <c r="E34194" s="8">
        <v>0</v>
      </c>
      <c r="F34194" s="8">
        <v>748</v>
      </c>
    </row>
    <row r="34195" spans="1:6" ht="12.75">
      <c r="A34195" s="8">
        <v>43889.168032407411</v>
      </c>
      <c r="B34195" s="8" t="str">
        <f>HYPERLINK("https://twitter.com/f_purwatmo","@f_purwatmo")</f>
        <v>@f_purwatmo</v>
      </c>
      <c r="C34195" s="8" t="s">
        <v>12979</v>
      </c>
      <c r="D34195" s="8">
        <v>7</v>
      </c>
      <c r="E34195" s="8">
        <v>0</v>
      </c>
      <c r="F34195" s="8">
        <v>455</v>
      </c>
    </row>
    <row r="34196" spans="1:6" ht="12.75">
      <c r="A34196" s="8">
        <v>43889.167916666665</v>
      </c>
      <c r="B34196" s="8" t="str">
        <f>HYPERLINK("https://twitter.com/LieDetectorID","@LieDetectorID")</f>
        <v>@LieDetectorID</v>
      </c>
      <c r="C34196" s="8" t="s">
        <v>12052</v>
      </c>
      <c r="D34196" s="8">
        <v>104</v>
      </c>
      <c r="E34196" s="8">
        <v>0</v>
      </c>
      <c r="F34196" s="8">
        <v>10390</v>
      </c>
    </row>
    <row r="34197" spans="1:6" ht="12.75">
      <c r="A34197" s="8">
        <v>43889.167905092589</v>
      </c>
      <c r="B34197" s="8" t="str">
        <f>HYPERLINK("https://twitter.com/f_purwatmo","@f_purwatmo")</f>
        <v>@f_purwatmo</v>
      </c>
      <c r="C34197" s="8" t="s">
        <v>12899</v>
      </c>
      <c r="D34197" s="8">
        <v>8</v>
      </c>
      <c r="E34197" s="8">
        <v>0</v>
      </c>
      <c r="F34197" s="8">
        <v>455</v>
      </c>
    </row>
    <row r="34198" spans="1:6" ht="12.75">
      <c r="A34198" s="8">
        <v>43889.16778935185</v>
      </c>
      <c r="B34198" s="8" t="str">
        <f>HYPERLINK("https://twitter.com/LieDetectorID","@LieDetectorID")</f>
        <v>@LieDetectorID</v>
      </c>
      <c r="C34198" s="8" t="s">
        <v>11773</v>
      </c>
      <c r="D34198" s="8">
        <v>453</v>
      </c>
      <c r="E34198" s="8">
        <v>0</v>
      </c>
      <c r="F34198" s="8">
        <v>10390</v>
      </c>
    </row>
    <row r="34199" spans="1:6" ht="12.75">
      <c r="A34199" s="8">
        <v>43889.16642361111</v>
      </c>
      <c r="B34199" s="8" t="str">
        <f>HYPERLINK("https://twitter.com/idpenamini","@idpenamini")</f>
        <v>@idpenamini</v>
      </c>
      <c r="C34199" s="8" t="s">
        <v>12980</v>
      </c>
      <c r="D34199" s="8">
        <v>0</v>
      </c>
      <c r="E34199" s="8">
        <v>0</v>
      </c>
      <c r="F34199" s="8">
        <v>173</v>
      </c>
    </row>
    <row r="34200" spans="1:6" ht="12.75">
      <c r="A34200" s="8">
        <v>43889.165555555555</v>
      </c>
      <c r="B34200" s="8" t="str">
        <f>HYPERLINK("https://twitter.com/f_purwatmo","@f_purwatmo")</f>
        <v>@f_purwatmo</v>
      </c>
      <c r="C34200" s="8" t="s">
        <v>12125</v>
      </c>
      <c r="D34200" s="8">
        <v>10</v>
      </c>
      <c r="E34200" s="8">
        <v>0</v>
      </c>
      <c r="F34200" s="8">
        <v>455</v>
      </c>
    </row>
    <row r="34201" spans="1:6" ht="12.75">
      <c r="A34201" s="8">
        <v>43889.164085648154</v>
      </c>
      <c r="B34201" s="8" t="str">
        <f>HYPERLINK("https://twitter.com/isis_luvbangtan","@isis_luvbangtan")</f>
        <v>@isis_luvbangtan</v>
      </c>
      <c r="C34201" s="8" t="s">
        <v>12981</v>
      </c>
      <c r="D34201" s="8">
        <v>1919</v>
      </c>
      <c r="E34201" s="8">
        <v>0</v>
      </c>
      <c r="F34201" s="8">
        <v>2079</v>
      </c>
    </row>
    <row r="34202" spans="1:6" ht="12.75">
      <c r="A34202" s="8">
        <v>43889.163275462968</v>
      </c>
      <c r="B34202" s="8" t="str">
        <f>HYPERLINK("https://twitter.com/kittenbuzz","@kittenbuzz")</f>
        <v>@kittenbuzz</v>
      </c>
      <c r="C34202" s="8" t="s">
        <v>12603</v>
      </c>
      <c r="D34202" s="8">
        <v>10</v>
      </c>
      <c r="E34202" s="8">
        <v>0</v>
      </c>
      <c r="F34202" s="8">
        <v>558</v>
      </c>
    </row>
    <row r="34203" spans="1:6" ht="12.75">
      <c r="A34203" s="8">
        <v>43889.161689814813</v>
      </c>
      <c r="B34203" s="8" t="str">
        <f>HYPERLINK("https://twitter.com/dioxalif","@dioxalif")</f>
        <v>@dioxalif</v>
      </c>
      <c r="C34203" s="8" t="s">
        <v>12982</v>
      </c>
      <c r="D34203" s="8">
        <v>0</v>
      </c>
      <c r="E34203" s="8">
        <v>0</v>
      </c>
      <c r="F34203" s="8">
        <v>250</v>
      </c>
    </row>
    <row r="34204" spans="1:6" ht="12.75">
      <c r="A34204" s="8">
        <v>43889.161597222221</v>
      </c>
      <c r="B34204" s="8" t="str">
        <f>HYPERLINK("https://twitter.com/RFambudy","@RFambudy")</f>
        <v>@RFambudy</v>
      </c>
      <c r="C34204" s="8" t="s">
        <v>6968</v>
      </c>
      <c r="D34204" s="8">
        <v>16</v>
      </c>
      <c r="E34204" s="8">
        <v>0</v>
      </c>
      <c r="F34204" s="8">
        <v>152</v>
      </c>
    </row>
    <row r="34205" spans="1:6" ht="12.75">
      <c r="A34205" s="8">
        <v>43889.16138888889</v>
      </c>
      <c r="B34205" s="8" t="str">
        <f>HYPERLINK("https://twitter.com/UsodoWiro","@UsodoWiro")</f>
        <v>@UsodoWiro</v>
      </c>
      <c r="C34205" s="8" t="s">
        <v>12983</v>
      </c>
      <c r="D34205" s="8">
        <v>0</v>
      </c>
      <c r="E34205" s="8">
        <v>0</v>
      </c>
      <c r="F34205" s="8">
        <v>408</v>
      </c>
    </row>
    <row r="34206" spans="1:6" ht="12.75">
      <c r="A34206" s="8">
        <v>43889.159756944442</v>
      </c>
      <c r="B34206" s="8" t="str">
        <f>HYPERLINK("https://twitter.com/nindicaLim","@nindicaLim")</f>
        <v>@nindicaLim</v>
      </c>
      <c r="C34206" s="8" t="s">
        <v>12984</v>
      </c>
      <c r="D34206" s="8">
        <v>0</v>
      </c>
      <c r="E34206" s="8">
        <v>0</v>
      </c>
      <c r="F34206" s="8">
        <v>384</v>
      </c>
    </row>
    <row r="34207" spans="1:6" ht="12.75">
      <c r="A34207" s="8">
        <v>43889.157662037032</v>
      </c>
      <c r="B34207" s="8" t="str">
        <f>HYPERLINK("https://twitter.com/mujiyaulkhaq","@mujiyaulkhaq")</f>
        <v>@mujiyaulkhaq</v>
      </c>
      <c r="C34207" s="8" t="s">
        <v>12985</v>
      </c>
      <c r="D34207" s="8">
        <v>0</v>
      </c>
      <c r="E34207" s="8">
        <v>0</v>
      </c>
      <c r="F34207" s="8">
        <v>314</v>
      </c>
    </row>
    <row r="34208" spans="1:6" ht="12.75">
      <c r="A34208" s="8">
        <v>43889.154537037037</v>
      </c>
      <c r="B34208" s="8" t="str">
        <f>HYPERLINK("https://twitter.com/BerlandGroup","@BerlandGroup")</f>
        <v>@BerlandGroup</v>
      </c>
      <c r="C34208" s="8" t="s">
        <v>12986</v>
      </c>
      <c r="D34208" s="8">
        <v>0</v>
      </c>
      <c r="E34208" s="8">
        <v>0</v>
      </c>
      <c r="F34208" s="8">
        <v>795</v>
      </c>
    </row>
    <row r="34209" spans="1:6" ht="12.75">
      <c r="A34209" s="8">
        <v>43889.154513888891</v>
      </c>
      <c r="B34209" s="8" t="str">
        <f>HYPERLINK("https://twitter.com/musuh_Onta","@musuh_Onta")</f>
        <v>@musuh_Onta</v>
      </c>
      <c r="C34209" s="8" t="s">
        <v>12987</v>
      </c>
      <c r="D34209" s="8">
        <v>0</v>
      </c>
      <c r="E34209" s="8">
        <v>0</v>
      </c>
      <c r="F34209" s="8">
        <v>669</v>
      </c>
    </row>
    <row r="34210" spans="1:6" ht="12.75">
      <c r="A34210" s="8">
        <v>43889.15357638889</v>
      </c>
      <c r="B34210" s="8" t="str">
        <f>HYPERLINK("https://twitter.com/atingnoor","@atingnoor")</f>
        <v>@atingnoor</v>
      </c>
      <c r="C34210" s="8" t="s">
        <v>9844</v>
      </c>
      <c r="D34210" s="8">
        <v>16104</v>
      </c>
      <c r="E34210" s="8">
        <v>0</v>
      </c>
      <c r="F34210" s="8">
        <v>370</v>
      </c>
    </row>
    <row r="34211" spans="1:6" ht="12.75">
      <c r="A34211" s="8">
        <v>43889.153483796297</v>
      </c>
      <c r="B34211" s="8" t="str">
        <f>HYPERLINK("https://twitter.com/AdinaArjun","@AdinaArjun")</f>
        <v>@AdinaArjun</v>
      </c>
      <c r="C34211" s="8" t="s">
        <v>12934</v>
      </c>
      <c r="D34211" s="8">
        <v>3</v>
      </c>
      <c r="E34211" s="8">
        <v>0</v>
      </c>
      <c r="F34211" s="8">
        <v>171</v>
      </c>
    </row>
    <row r="34212" spans="1:6" ht="12.75">
      <c r="A34212" s="8">
        <v>43889.152199074073</v>
      </c>
      <c r="B34212" s="8" t="str">
        <f>HYPERLINK("https://twitter.com/Maulida42410037","@Maulida42410037")</f>
        <v>@Maulida42410037</v>
      </c>
      <c r="C34212" s="8" t="s">
        <v>12988</v>
      </c>
      <c r="D34212" s="8">
        <v>5</v>
      </c>
      <c r="E34212" s="8">
        <v>0</v>
      </c>
      <c r="F34212" s="8">
        <v>60</v>
      </c>
    </row>
    <row r="34213" spans="1:6" ht="12.75">
      <c r="A34213" s="8">
        <v>43889.150381944448</v>
      </c>
      <c r="B34213" s="8" t="str">
        <f>HYPERLINK("https://twitter.com/sir_usil","@sir_usil")</f>
        <v>@sir_usil</v>
      </c>
      <c r="C34213" s="8" t="s">
        <v>12484</v>
      </c>
      <c r="D34213" s="8">
        <v>30</v>
      </c>
      <c r="E34213" s="8">
        <v>0</v>
      </c>
      <c r="F34213" s="8">
        <v>225</v>
      </c>
    </row>
    <row r="34214" spans="1:6" ht="12.75">
      <c r="A34214" s="8">
        <v>43889.150347222225</v>
      </c>
      <c r="B34214" s="8" t="str">
        <f>HYPERLINK("https://twitter.com/Vinayakpuranik1","@Vinayakpuranik1")</f>
        <v>@Vinayakpuranik1</v>
      </c>
      <c r="C34214" s="8" t="s">
        <v>12989</v>
      </c>
      <c r="D34214" s="8">
        <v>0</v>
      </c>
      <c r="E34214" s="8">
        <v>0</v>
      </c>
      <c r="F34214" s="8">
        <v>12</v>
      </c>
    </row>
    <row r="34215" spans="1:6" ht="12.75">
      <c r="A34215" s="8">
        <v>43889.150219907402</v>
      </c>
      <c r="B34215" s="8" t="str">
        <f>HYPERLINK("https://twitter.com/RonniySoen","@RonniySoen")</f>
        <v>@RonniySoen</v>
      </c>
      <c r="C34215" s="8" t="s">
        <v>12990</v>
      </c>
      <c r="D34215" s="8">
        <v>0</v>
      </c>
      <c r="E34215" s="8">
        <v>0</v>
      </c>
      <c r="F34215" s="8">
        <v>1999</v>
      </c>
    </row>
    <row r="34216" spans="1:6" ht="12.75">
      <c r="A34216" s="8">
        <v>43889.149768518517</v>
      </c>
      <c r="B34216" s="8" t="str">
        <f>HYPERLINK("https://twitter.com/bryanmarky","@bryanmarky")</f>
        <v>@bryanmarky</v>
      </c>
      <c r="C34216" s="8" t="s">
        <v>12991</v>
      </c>
      <c r="D34216" s="8">
        <v>2</v>
      </c>
      <c r="E34216" s="8">
        <v>0</v>
      </c>
      <c r="F34216" s="8">
        <v>23</v>
      </c>
    </row>
    <row r="34217" spans="1:6" ht="12.75">
      <c r="A34217" s="8">
        <v>43889.149270833332</v>
      </c>
      <c r="B34217" s="8" t="str">
        <f>HYPERLINK("https://twitter.com/ujee212","@ujee212")</f>
        <v>@ujee212</v>
      </c>
      <c r="C34217" s="8" t="s">
        <v>12992</v>
      </c>
      <c r="D34217" s="8">
        <v>0</v>
      </c>
      <c r="E34217" s="8">
        <v>1</v>
      </c>
      <c r="F34217" s="8">
        <v>1578</v>
      </c>
    </row>
    <row r="34218" spans="1:6" ht="12.75">
      <c r="A34218" s="8">
        <v>43889.147349537037</v>
      </c>
      <c r="B34218" s="8" t="str">
        <f>HYPERLINK("https://twitter.com/AZIM17_M","@AZIM17_M")</f>
        <v>@AZIM17_M</v>
      </c>
      <c r="C34218" s="8" t="s">
        <v>12993</v>
      </c>
      <c r="D34218" s="8">
        <v>1</v>
      </c>
      <c r="E34218" s="8">
        <v>0</v>
      </c>
      <c r="F34218" s="8">
        <v>76</v>
      </c>
    </row>
    <row r="34219" spans="1:6" ht="12.75">
      <c r="A34219" s="8">
        <v>43889.142361111109</v>
      </c>
      <c r="B34219" s="8" t="str">
        <f>HYPERLINK("https://twitter.com/Iyink7","@Iyink7")</f>
        <v>@Iyink7</v>
      </c>
      <c r="C34219" s="8" t="s">
        <v>12125</v>
      </c>
      <c r="D34219" s="8">
        <v>10</v>
      </c>
      <c r="E34219" s="8">
        <v>0</v>
      </c>
      <c r="F34219" s="8">
        <v>2424</v>
      </c>
    </row>
    <row r="34220" spans="1:6" ht="12.75">
      <c r="A34220" s="8">
        <v>43889.140081018515</v>
      </c>
      <c r="B34220" s="8" t="str">
        <f>HYPERLINK("https://twitter.com/maklumatID","@maklumatID")</f>
        <v>@maklumatID</v>
      </c>
      <c r="C34220" s="8" t="s">
        <v>12994</v>
      </c>
      <c r="D34220" s="8">
        <v>0</v>
      </c>
      <c r="E34220" s="8">
        <v>0</v>
      </c>
      <c r="F34220" s="8">
        <v>79</v>
      </c>
    </row>
    <row r="34221" spans="1:6" ht="12.75">
      <c r="A34221" s="8">
        <v>43889.138819444444</v>
      </c>
      <c r="B34221" s="8" t="str">
        <f>HYPERLINK("https://twitter.com/SaluJasil","@SaluJasil")</f>
        <v>@SaluJasil</v>
      </c>
      <c r="C34221" s="8" t="s">
        <v>12995</v>
      </c>
      <c r="D34221" s="8">
        <v>1</v>
      </c>
      <c r="E34221" s="8">
        <v>1</v>
      </c>
      <c r="F34221" s="8">
        <v>11</v>
      </c>
    </row>
    <row r="34222" spans="1:6" ht="12.75">
      <c r="A34222" s="8">
        <v>43889.138020833328</v>
      </c>
      <c r="B34222" s="8" t="str">
        <f>HYPERLINK("https://twitter.com/lar_sick","@lar_sick")</f>
        <v>@lar_sick</v>
      </c>
      <c r="C34222" s="8" t="s">
        <v>12996</v>
      </c>
      <c r="D34222" s="8">
        <v>0</v>
      </c>
      <c r="E34222" s="8">
        <v>0</v>
      </c>
      <c r="F34222" s="8">
        <v>0</v>
      </c>
    </row>
    <row r="34223" spans="1:6" ht="12.75">
      <c r="A34223" s="8">
        <v>43889.136840277773</v>
      </c>
      <c r="B34223" s="8" t="str">
        <f>HYPERLINK("https://twitter.com/JakartaForum","@JakartaForum")</f>
        <v>@JakartaForum</v>
      </c>
      <c r="C34223" s="8" t="s">
        <v>12444</v>
      </c>
      <c r="D34223" s="8">
        <v>0</v>
      </c>
      <c r="E34223" s="8">
        <v>0</v>
      </c>
      <c r="F34223" s="8">
        <v>21906</v>
      </c>
    </row>
    <row r="34224" spans="1:6" ht="12.75">
      <c r="A34224" s="8">
        <v>43889.136712962965</v>
      </c>
      <c r="B34224" s="8" t="str">
        <f>HYPERLINK("https://twitter.com/IndianPanda7804","@IndianPanda7804")</f>
        <v>@IndianPanda7804</v>
      </c>
      <c r="C34224" s="8" t="s">
        <v>12997</v>
      </c>
      <c r="D34224" s="8">
        <v>0</v>
      </c>
      <c r="E34224" s="8">
        <v>1</v>
      </c>
      <c r="F34224" s="8">
        <v>38</v>
      </c>
    </row>
    <row r="34225" spans="1:6" ht="12.75">
      <c r="A34225" s="8">
        <v>43889.136053240742</v>
      </c>
      <c r="B34225" s="8" t="str">
        <f>HYPERLINK("https://twitter.com/CMeduro","@CMeduro")</f>
        <v>@CMeduro</v>
      </c>
      <c r="C34225" s="8" t="s">
        <v>12998</v>
      </c>
      <c r="D34225" s="8">
        <v>0</v>
      </c>
      <c r="E34225" s="8">
        <v>0</v>
      </c>
      <c r="F34225" s="8">
        <v>7</v>
      </c>
    </row>
    <row r="34226" spans="1:6" ht="12.75">
      <c r="A34226" s="8">
        <v>43889.134224537032</v>
      </c>
      <c r="B34226" s="8" t="str">
        <f>HYPERLINK("https://twitter.com/hermana_t","@hermana_t")</f>
        <v>@hermana_t</v>
      </c>
      <c r="C34226" s="8" t="s">
        <v>12065</v>
      </c>
      <c r="D34226" s="8">
        <v>3</v>
      </c>
      <c r="E34226" s="8">
        <v>0</v>
      </c>
      <c r="F34226" s="8">
        <v>10662</v>
      </c>
    </row>
    <row r="34227" spans="1:6" ht="12.75">
      <c r="A34227" s="8">
        <v>43889.133692129632</v>
      </c>
      <c r="B34227" s="8" t="str">
        <f>HYPERLINK("https://twitter.com/Opthymuz","@Opthymuz")</f>
        <v>@Opthymuz</v>
      </c>
      <c r="C34227" s="8" t="s">
        <v>12999</v>
      </c>
      <c r="D34227" s="8">
        <v>162</v>
      </c>
      <c r="E34227" s="8">
        <v>0</v>
      </c>
      <c r="F34227" s="8">
        <v>1945</v>
      </c>
    </row>
    <row r="34228" spans="1:6" ht="12.75">
      <c r="A34228" s="8">
        <v>43889.133692129632</v>
      </c>
      <c r="B34228" s="8" t="str">
        <f>HYPERLINK("https://twitter.com/_ayubudi","@_ayubudi")</f>
        <v>@_ayubudi</v>
      </c>
      <c r="C34228" s="8" t="s">
        <v>593</v>
      </c>
      <c r="D34228" s="8">
        <v>421</v>
      </c>
      <c r="E34228" s="8">
        <v>0</v>
      </c>
      <c r="F34228" s="8">
        <v>302</v>
      </c>
    </row>
    <row r="34229" spans="1:6" ht="12.75">
      <c r="A34229" s="8">
        <v>43889.133032407408</v>
      </c>
      <c r="B34229" s="8" t="str">
        <f>HYPERLINK("https://twitter.com/suaradotcom","@suaradotcom")</f>
        <v>@suaradotcom</v>
      </c>
      <c r="C34229" s="8" t="s">
        <v>13000</v>
      </c>
      <c r="D34229" s="8">
        <v>0</v>
      </c>
      <c r="E34229" s="8">
        <v>0</v>
      </c>
      <c r="F34229" s="8">
        <v>24275</v>
      </c>
    </row>
    <row r="34230" spans="1:6" ht="12.75">
      <c r="A34230" s="8">
        <v>43889.132025462968</v>
      </c>
      <c r="B34230" s="8" t="str">
        <f>HYPERLINK("https://twitter.com/KompasTV","@KompasTV")</f>
        <v>@KompasTV</v>
      </c>
      <c r="C34230" s="8" t="s">
        <v>13001</v>
      </c>
      <c r="D34230" s="8">
        <v>0</v>
      </c>
      <c r="E34230" s="8">
        <v>1</v>
      </c>
      <c r="F34230" s="8">
        <v>2950565</v>
      </c>
    </row>
    <row r="34231" spans="1:6" ht="12.75">
      <c r="A34231" s="8">
        <v>43889.128449074073</v>
      </c>
      <c r="B34231" s="8" t="str">
        <f>HYPERLINK("https://twitter.com/ittihadm007","@ittihadm007")</f>
        <v>@ittihadm007</v>
      </c>
      <c r="C34231" s="8" t="s">
        <v>13002</v>
      </c>
      <c r="D34231" s="8">
        <v>0</v>
      </c>
      <c r="E34231" s="8">
        <v>0</v>
      </c>
      <c r="F34231" s="8">
        <v>65</v>
      </c>
    </row>
    <row r="34232" spans="1:6" ht="12.75">
      <c r="A34232" s="8">
        <v>43889.128368055557</v>
      </c>
      <c r="B34232" s="8" t="str">
        <f>HYPERLINK("https://twitter.com/emesarang","@emesarang")</f>
        <v>@emesarang</v>
      </c>
      <c r="C34232" s="8" t="s">
        <v>13003</v>
      </c>
      <c r="D34232" s="8">
        <v>0</v>
      </c>
      <c r="E34232" s="8">
        <v>0</v>
      </c>
      <c r="F34232" s="8">
        <v>232</v>
      </c>
    </row>
    <row r="34233" spans="1:6" ht="12.75">
      <c r="A34233" s="8">
        <v>43889.127384259264</v>
      </c>
      <c r="B34233" s="8" t="str">
        <f>HYPERLINK("https://twitter.com/Makmur13745478","@Makmur13745478")</f>
        <v>@Makmur13745478</v>
      </c>
      <c r="C34233" s="8" t="s">
        <v>13004</v>
      </c>
      <c r="D34233" s="8">
        <v>0</v>
      </c>
      <c r="E34233" s="8">
        <v>0</v>
      </c>
      <c r="F34233" s="8">
        <v>302</v>
      </c>
    </row>
    <row r="34234" spans="1:6" ht="12.75">
      <c r="A34234" s="8">
        <v>43889.126122685186</v>
      </c>
      <c r="B34234" s="8" t="str">
        <f>HYPERLINK("https://twitter.com/yaudahlahjen","@yaudahlahjen")</f>
        <v>@yaudahlahjen</v>
      </c>
      <c r="C34234" s="8" t="s">
        <v>13005</v>
      </c>
      <c r="D34234" s="8">
        <v>0</v>
      </c>
      <c r="E34234" s="8">
        <v>0</v>
      </c>
      <c r="F34234" s="8">
        <v>2083</v>
      </c>
    </row>
    <row r="34235" spans="1:6" ht="12.75">
      <c r="A34235" s="8">
        <v>43889.124791666662</v>
      </c>
      <c r="B34235" s="8" t="str">
        <f>HYPERLINK("https://twitter.com/CeriaSinom","@CeriaSinom")</f>
        <v>@CeriaSinom</v>
      </c>
      <c r="C34235" s="8" t="s">
        <v>11773</v>
      </c>
      <c r="D34235" s="8">
        <v>453</v>
      </c>
      <c r="E34235" s="8">
        <v>0</v>
      </c>
      <c r="F34235" s="8">
        <v>144</v>
      </c>
    </row>
    <row r="34236" spans="1:6" ht="12.75">
      <c r="A34236" s="8">
        <v>43889.12336805556</v>
      </c>
      <c r="B34236" s="8" t="str">
        <f>HYPERLINK("https://twitter.com/AlBanna57697952","@AlBanna57697952")</f>
        <v>@AlBanna57697952</v>
      </c>
      <c r="C34236" s="8" t="s">
        <v>13006</v>
      </c>
      <c r="D34236" s="8">
        <v>7</v>
      </c>
      <c r="E34236" s="8">
        <v>0</v>
      </c>
      <c r="F34236" s="8">
        <v>68</v>
      </c>
    </row>
    <row r="34237" spans="1:6" ht="12.75">
      <c r="A34237" s="8">
        <v>43889.119953703703</v>
      </c>
      <c r="B34237" s="8" t="str">
        <f>HYPERLINK("https://twitter.com/JHULVAN78","@JHULVAN78")</f>
        <v>@JHULVAN78</v>
      </c>
      <c r="C34237" s="8" t="s">
        <v>13007</v>
      </c>
      <c r="D34237" s="8">
        <v>14</v>
      </c>
      <c r="E34237" s="8">
        <v>0</v>
      </c>
      <c r="F34237" s="8">
        <v>137</v>
      </c>
    </row>
    <row r="34238" spans="1:6" ht="12.75">
      <c r="A34238" s="8">
        <v>43889.115937499999</v>
      </c>
      <c r="B34238" s="8" t="str">
        <f>HYPERLINK("https://twitter.com/kbri_tehran","@kbri_tehran")</f>
        <v>@kbri_tehran</v>
      </c>
      <c r="C34238" s="8" t="s">
        <v>13008</v>
      </c>
      <c r="D34238" s="8">
        <v>0</v>
      </c>
      <c r="E34238" s="8">
        <v>1</v>
      </c>
      <c r="F34238" s="8">
        <v>1374</v>
      </c>
    </row>
    <row r="34239" spans="1:6" ht="12.75">
      <c r="A34239" s="8">
        <v>43889.114548611113</v>
      </c>
      <c r="B34239" s="8" t="str">
        <f>HYPERLINK("https://twitter.com/lili_siani","@lili_siani")</f>
        <v>@lili_siani</v>
      </c>
      <c r="C34239" s="8" t="s">
        <v>13009</v>
      </c>
      <c r="D34239" s="8">
        <v>0</v>
      </c>
      <c r="E34239" s="8">
        <v>0</v>
      </c>
      <c r="F34239" s="8">
        <v>229</v>
      </c>
    </row>
    <row r="34240" spans="1:6" ht="12.75">
      <c r="A34240" s="8">
        <v>43889.113750000004</v>
      </c>
      <c r="B34240" s="8" t="str">
        <f>HYPERLINK("https://twitter.com/DeKassas","@DeKassas")</f>
        <v>@DeKassas</v>
      </c>
      <c r="C34240" s="8" t="s">
        <v>13010</v>
      </c>
      <c r="D34240" s="8">
        <v>0</v>
      </c>
      <c r="E34240" s="8">
        <v>0</v>
      </c>
      <c r="F34240" s="8">
        <v>856</v>
      </c>
    </row>
    <row r="34241" spans="1:6" ht="12.75">
      <c r="A34241" s="8">
        <v>43889.111956018518</v>
      </c>
      <c r="B34241" s="8" t="str">
        <f>HYPERLINK("https://twitter.com/cendananews","@cendananews")</f>
        <v>@cendananews</v>
      </c>
      <c r="C34241" s="8" t="s">
        <v>13011</v>
      </c>
      <c r="D34241" s="8">
        <v>0</v>
      </c>
      <c r="E34241" s="8">
        <v>0</v>
      </c>
      <c r="F34241" s="8">
        <v>4562</v>
      </c>
    </row>
    <row r="34242" spans="1:6" ht="12.75">
      <c r="A34242" s="8">
        <v>43889.111400462964</v>
      </c>
      <c r="B34242" s="8" t="str">
        <f>HYPERLINK("https://twitter.com/officialliputan","@officialliputan")</f>
        <v>@officialliputan</v>
      </c>
      <c r="C34242" s="8" t="s">
        <v>13012</v>
      </c>
      <c r="D34242" s="8">
        <v>0</v>
      </c>
      <c r="E34242" s="8">
        <v>0</v>
      </c>
      <c r="F34242" s="8">
        <v>672</v>
      </c>
    </row>
    <row r="34243" spans="1:6" ht="12.75">
      <c r="A34243" s="8">
        <v>43889.110173611116</v>
      </c>
      <c r="B34243" s="8" t="str">
        <f>HYPERLINK("https://twitter.com/CahayaTimur16","@CahayaTimur16")</f>
        <v>@CahayaTimur16</v>
      </c>
      <c r="C34243" s="8" t="s">
        <v>13013</v>
      </c>
      <c r="D34243" s="8">
        <v>0</v>
      </c>
      <c r="E34243" s="8">
        <v>0</v>
      </c>
      <c r="F34243" s="8">
        <v>39</v>
      </c>
    </row>
    <row r="34244" spans="1:6" ht="12.75">
      <c r="A34244" s="8">
        <v>43889.109571759254</v>
      </c>
      <c r="B34244" s="8" t="str">
        <f>HYPERLINK("https://twitter.com/kbri_tehran","@kbri_tehran")</f>
        <v>@kbri_tehran</v>
      </c>
      <c r="C34244" s="8" t="s">
        <v>13014</v>
      </c>
      <c r="D34244" s="8">
        <v>0</v>
      </c>
      <c r="E34244" s="8">
        <v>1</v>
      </c>
      <c r="F34244" s="8">
        <v>1374</v>
      </c>
    </row>
    <row r="34245" spans="1:6" ht="12.75">
      <c r="A34245" s="8">
        <v>43889.108807870369</v>
      </c>
      <c r="B34245" s="8" t="str">
        <f>HYPERLINK("https://twitter.com/ErickPapua","@ErickPapua")</f>
        <v>@ErickPapua</v>
      </c>
      <c r="C34245" s="8" t="s">
        <v>12125</v>
      </c>
      <c r="D34245" s="8">
        <v>8</v>
      </c>
      <c r="E34245" s="8">
        <v>0</v>
      </c>
      <c r="F34245" s="8">
        <v>1106</v>
      </c>
    </row>
    <row r="34246" spans="1:6" ht="12.75">
      <c r="A34246" s="8">
        <v>43889.107581018514</v>
      </c>
      <c r="B34246" s="8" t="str">
        <f t="shared" ref="B34246:B34247" si="478">HYPERLINK("https://twitter.com/dolcemaria738","@dolcemaria738")</f>
        <v>@dolcemaria738</v>
      </c>
      <c r="C34246" s="8" t="s">
        <v>13015</v>
      </c>
      <c r="D34246" s="8">
        <v>16</v>
      </c>
      <c r="E34246" s="8">
        <v>0</v>
      </c>
      <c r="F34246" s="8">
        <v>224</v>
      </c>
    </row>
    <row r="34247" spans="1:6" ht="12.75">
      <c r="A34247" s="8">
        <v>43889.107442129629</v>
      </c>
      <c r="B34247" s="8" t="str">
        <f t="shared" si="478"/>
        <v>@dolcemaria738</v>
      </c>
      <c r="C34247" s="8" t="s">
        <v>13016</v>
      </c>
      <c r="D34247" s="8">
        <v>26</v>
      </c>
      <c r="E34247" s="8">
        <v>0</v>
      </c>
      <c r="F34247" s="8">
        <v>224</v>
      </c>
    </row>
    <row r="34248" spans="1:6" ht="12.75">
      <c r="A34248" s="8">
        <v>43889.107222222221</v>
      </c>
      <c r="B34248" s="8" t="str">
        <f t="shared" ref="B34248:B34249" si="479">HYPERLINK("https://twitter.com/Indopolitika","@Indopolitika")</f>
        <v>@Indopolitika</v>
      </c>
      <c r="C34248" s="8" t="s">
        <v>13017</v>
      </c>
      <c r="D34248" s="8">
        <v>0</v>
      </c>
      <c r="E34248" s="8">
        <v>0</v>
      </c>
      <c r="F34248" s="8">
        <v>10586</v>
      </c>
    </row>
    <row r="34249" spans="1:6" ht="12.75">
      <c r="A34249" s="8">
        <v>43889.107083333336</v>
      </c>
      <c r="B34249" s="8" t="str">
        <f t="shared" si="479"/>
        <v>@Indopolitika</v>
      </c>
      <c r="C34249" s="8" t="s">
        <v>13018</v>
      </c>
      <c r="D34249" s="8">
        <v>0</v>
      </c>
      <c r="E34249" s="8">
        <v>0</v>
      </c>
      <c r="F34249" s="8">
        <v>10586</v>
      </c>
    </row>
    <row r="34250" spans="1:6" ht="12.75">
      <c r="A34250" s="8">
        <v>43889.106527777782</v>
      </c>
      <c r="B34250" s="8" t="str">
        <f>HYPERLINK("https://twitter.com/SeekerAshutosh","@SeekerAshutosh")</f>
        <v>@SeekerAshutosh</v>
      </c>
      <c r="C34250" s="8" t="s">
        <v>13019</v>
      </c>
      <c r="D34250" s="8">
        <v>0</v>
      </c>
      <c r="E34250" s="8">
        <v>0</v>
      </c>
      <c r="F34250" s="8">
        <v>34</v>
      </c>
    </row>
    <row r="34251" spans="1:6" ht="12.75">
      <c r="A34251" s="8">
        <v>43889.104837962965</v>
      </c>
      <c r="B34251" s="8" t="str">
        <f>HYPERLINK("https://twitter.com/_wni_","@_wni_")</f>
        <v>@_wni_</v>
      </c>
      <c r="C34251" s="8" t="s">
        <v>12501</v>
      </c>
      <c r="D34251" s="8">
        <v>1034</v>
      </c>
      <c r="E34251" s="8">
        <v>0</v>
      </c>
      <c r="F34251" s="8">
        <v>9</v>
      </c>
    </row>
    <row r="34252" spans="1:6" ht="12.75">
      <c r="A34252" s="8">
        <v>43889.10392361111</v>
      </c>
      <c r="B34252" s="8" t="str">
        <f t="shared" ref="B34252:B34253" si="480">HYPERLINK("https://twitter.com/JOKER_JJ_JOKER","@JOKER_JJ_JOKER")</f>
        <v>@JOKER_JJ_JOKER</v>
      </c>
      <c r="C34252" s="8" t="s">
        <v>12730</v>
      </c>
      <c r="D34252" s="8">
        <v>85</v>
      </c>
      <c r="E34252" s="8">
        <v>0</v>
      </c>
      <c r="F34252" s="8">
        <v>4103</v>
      </c>
    </row>
    <row r="34253" spans="1:6" ht="12.75">
      <c r="A34253" s="8">
        <v>43889.103668981479</v>
      </c>
      <c r="B34253" s="8" t="str">
        <f t="shared" si="480"/>
        <v>@JOKER_JJ_JOKER</v>
      </c>
      <c r="C34253" s="8" t="s">
        <v>12052</v>
      </c>
      <c r="D34253" s="8">
        <v>103</v>
      </c>
      <c r="E34253" s="8">
        <v>0</v>
      </c>
      <c r="F34253" s="8">
        <v>4103</v>
      </c>
    </row>
    <row r="34254" spans="1:6" ht="12.75">
      <c r="A34254" s="8">
        <v>43889.103229166663</v>
      </c>
      <c r="B34254" s="8" t="str">
        <f>HYPERLINK("https://twitter.com/El_Museey_Jr","@El_Museey_Jr")</f>
        <v>@El_Museey_Jr</v>
      </c>
      <c r="C34254" s="8" t="s">
        <v>13020</v>
      </c>
      <c r="D34254" s="8">
        <v>0</v>
      </c>
      <c r="E34254" s="8">
        <v>0</v>
      </c>
      <c r="F34254" s="8">
        <v>106</v>
      </c>
    </row>
    <row r="34255" spans="1:6" ht="12.75">
      <c r="A34255" s="8">
        <v>43889.102986111116</v>
      </c>
      <c r="B34255" s="8" t="str">
        <f>HYPERLINK("https://twitter.com/Zulkifl16605089","@Zulkifl16605089")</f>
        <v>@Zulkifl16605089</v>
      </c>
      <c r="C34255" s="8" t="s">
        <v>12999</v>
      </c>
      <c r="D34255" s="8">
        <v>161</v>
      </c>
      <c r="E34255" s="8">
        <v>0</v>
      </c>
      <c r="F34255" s="8">
        <v>13</v>
      </c>
    </row>
    <row r="34256" spans="1:6" ht="12.75">
      <c r="A34256" s="8">
        <v>43889.102835648147</v>
      </c>
      <c r="B34256" s="8" t="str">
        <f>HYPERLINK("https://twitter.com/AryoSen02332613","@AryoSen02332613")</f>
        <v>@AryoSen02332613</v>
      </c>
      <c r="C34256" s="8" t="s">
        <v>13021</v>
      </c>
      <c r="D34256" s="8">
        <v>0</v>
      </c>
      <c r="E34256" s="8">
        <v>0</v>
      </c>
      <c r="F34256" s="8">
        <v>103</v>
      </c>
    </row>
    <row r="34257" spans="1:6" ht="12.75">
      <c r="A34257" s="8">
        <v>43889.102534722224</v>
      </c>
      <c r="B34257" s="8" t="str">
        <f>HYPERLINK("https://twitter.com/PutriFlynn","@PutriFlynn")</f>
        <v>@PutriFlynn</v>
      </c>
      <c r="C34257" s="8" t="s">
        <v>13022</v>
      </c>
      <c r="D34257" s="8">
        <v>3</v>
      </c>
      <c r="E34257" s="8">
        <v>0</v>
      </c>
      <c r="F34257" s="8">
        <v>63</v>
      </c>
    </row>
    <row r="34258" spans="1:6" ht="12.75">
      <c r="A34258" s="8">
        <v>43889.098807870367</v>
      </c>
      <c r="B34258" s="8" t="str">
        <f>HYPERLINK("https://twitter.com/kak_wew","@kak_wew")</f>
        <v>@kak_wew</v>
      </c>
      <c r="C34258" s="8" t="s">
        <v>13023</v>
      </c>
      <c r="D34258" s="8">
        <v>0</v>
      </c>
      <c r="E34258" s="8">
        <v>0</v>
      </c>
      <c r="F34258" s="8">
        <v>324</v>
      </c>
    </row>
    <row r="34259" spans="1:6" ht="12.75">
      <c r="A34259" s="8">
        <v>43889.097592592589</v>
      </c>
      <c r="B34259" s="8" t="str">
        <f>HYPERLINK("https://twitter.com/badot08","@badot08")</f>
        <v>@badot08</v>
      </c>
      <c r="C34259" s="8" t="s">
        <v>7243</v>
      </c>
      <c r="D34259" s="8">
        <v>127</v>
      </c>
      <c r="E34259" s="8">
        <v>0</v>
      </c>
      <c r="F34259" s="8">
        <v>81</v>
      </c>
    </row>
    <row r="34260" spans="1:6" ht="12.75">
      <c r="A34260" s="8">
        <v>43889.096817129626</v>
      </c>
      <c r="B34260" s="8" t="str">
        <f>HYPERLINK("https://twitter.com/destyyuanda","@destyyuanda")</f>
        <v>@destyyuanda</v>
      </c>
      <c r="C34260" s="8" t="s">
        <v>13024</v>
      </c>
      <c r="D34260" s="8">
        <v>0</v>
      </c>
      <c r="E34260" s="8">
        <v>1</v>
      </c>
      <c r="F34260" s="8">
        <v>626</v>
      </c>
    </row>
    <row r="34261" spans="1:6" ht="12.75">
      <c r="A34261" s="8">
        <v>43889.095601851848</v>
      </c>
      <c r="B34261" s="8" t="str">
        <f>HYPERLINK("https://twitter.com/SheraAlUzza","@SheraAlUzza")</f>
        <v>@SheraAlUzza</v>
      </c>
      <c r="C34261" s="8" t="s">
        <v>12052</v>
      </c>
      <c r="D34261" s="8">
        <v>103</v>
      </c>
      <c r="E34261" s="8">
        <v>0</v>
      </c>
      <c r="F34261" s="8">
        <v>410</v>
      </c>
    </row>
    <row r="34262" spans="1:6" ht="12.75">
      <c r="A34262" s="8">
        <v>43889.093773148154</v>
      </c>
      <c r="B34262" s="8" t="str">
        <f>HYPERLINK("https://twitter.com/BP_Kaskus","@BP_Kaskus")</f>
        <v>@BP_Kaskus</v>
      </c>
      <c r="C34262" s="8" t="s">
        <v>13025</v>
      </c>
      <c r="D34262" s="8">
        <v>0</v>
      </c>
      <c r="E34262" s="8">
        <v>0</v>
      </c>
      <c r="F34262" s="8">
        <v>2053</v>
      </c>
    </row>
    <row r="34263" spans="1:6" ht="12.75">
      <c r="A34263" s="8">
        <v>43889.092326388884</v>
      </c>
      <c r="B34263" s="8" t="str">
        <f>HYPERLINK("https://twitter.com/YoyokSubandriy3","@YoyokSubandriy3")</f>
        <v>@YoyokSubandriy3</v>
      </c>
      <c r="C34263" s="8" t="s">
        <v>12484</v>
      </c>
      <c r="D34263" s="8">
        <v>29</v>
      </c>
      <c r="E34263" s="8">
        <v>0</v>
      </c>
      <c r="F34263" s="8">
        <v>1382</v>
      </c>
    </row>
    <row r="34264" spans="1:6" ht="12.75">
      <c r="A34264" s="8">
        <v>43889.091793981483</v>
      </c>
      <c r="B34264" s="8" t="str">
        <f>HYPERLINK("https://twitter.com/icecreamwalls_","@icecreamwalls_")</f>
        <v>@icecreamwalls_</v>
      </c>
      <c r="C34264" s="8" t="s">
        <v>6863</v>
      </c>
      <c r="D34264" s="8">
        <v>277</v>
      </c>
      <c r="E34264" s="8">
        <v>0</v>
      </c>
      <c r="F34264" s="8">
        <v>19</v>
      </c>
    </row>
    <row r="34265" spans="1:6" ht="12.75">
      <c r="A34265" s="8">
        <v>43889.090763888889</v>
      </c>
      <c r="B34265" s="8" t="str">
        <f>HYPERLINK("https://twitter.com/Addie97039280","@Addie97039280")</f>
        <v>@Addie97039280</v>
      </c>
      <c r="C34265" s="8" t="s">
        <v>13026</v>
      </c>
      <c r="D34265" s="8">
        <v>1</v>
      </c>
      <c r="E34265" s="8">
        <v>0</v>
      </c>
      <c r="F34265" s="8">
        <v>491</v>
      </c>
    </row>
    <row r="34266" spans="1:6" ht="12.75">
      <c r="A34266" s="8">
        <v>43889.090694444443</v>
      </c>
      <c r="B34266" s="8" t="str">
        <f>HYPERLINK("https://twitter.com/Zulkifl16605089","@Zulkifl16605089")</f>
        <v>@Zulkifl16605089</v>
      </c>
      <c r="C34266" s="8" t="s">
        <v>13027</v>
      </c>
      <c r="D34266" s="8">
        <v>0</v>
      </c>
      <c r="E34266" s="8">
        <v>0</v>
      </c>
      <c r="F34266" s="8">
        <v>13</v>
      </c>
    </row>
    <row r="34267" spans="1:6" ht="12.75">
      <c r="A34267" s="8">
        <v>43889.090347222227</v>
      </c>
      <c r="B34267" s="8" t="str">
        <f>HYPERLINK("https://twitter.com/MyLittleEuphori","@MyLittleEuphori")</f>
        <v>@MyLittleEuphori</v>
      </c>
      <c r="C34267" s="8" t="s">
        <v>12991</v>
      </c>
      <c r="D34267" s="8">
        <v>1</v>
      </c>
      <c r="E34267" s="8">
        <v>0</v>
      </c>
      <c r="F34267" s="8">
        <v>122</v>
      </c>
    </row>
    <row r="34268" spans="1:6" ht="12.75">
      <c r="A34268" s="8">
        <v>43889.090150462958</v>
      </c>
      <c r="B34268" s="8" t="str">
        <f>HYPERLINK("https://twitter.com/kbriabudhabi","@kbriabudhabi")</f>
        <v>@kbriabudhabi</v>
      </c>
      <c r="C34268" s="8" t="s">
        <v>13028</v>
      </c>
      <c r="D34268" s="8">
        <v>0</v>
      </c>
      <c r="E34268" s="8">
        <v>0</v>
      </c>
      <c r="F34268" s="8">
        <v>1630</v>
      </c>
    </row>
    <row r="34269" spans="1:6" ht="12.75">
      <c r="A34269" s="8">
        <v>43889.087500000001</v>
      </c>
      <c r="B34269" s="8" t="str">
        <f>HYPERLINK("https://twitter.com/Gerry01780401","@Gerry01780401")</f>
        <v>@Gerry01780401</v>
      </c>
      <c r="C34269" s="8" t="s">
        <v>13029</v>
      </c>
      <c r="D34269" s="8">
        <v>0</v>
      </c>
      <c r="E34269" s="8">
        <v>0</v>
      </c>
      <c r="F34269" s="8">
        <v>9</v>
      </c>
    </row>
    <row r="34270" spans="1:6" ht="12.75">
      <c r="A34270" s="8">
        <v>43889.087476851855</v>
      </c>
      <c r="B34270" s="8" t="str">
        <f>HYPERLINK("https://twitter.com/winarno4551","@winarno4551")</f>
        <v>@winarno4551</v>
      </c>
      <c r="C34270" s="8" t="s">
        <v>12267</v>
      </c>
      <c r="D34270" s="8">
        <v>2</v>
      </c>
      <c r="E34270" s="8">
        <v>0</v>
      </c>
      <c r="F34270" s="8">
        <v>1103</v>
      </c>
    </row>
    <row r="34271" spans="1:6" ht="12.75">
      <c r="A34271" s="8">
        <v>43889.085393518515</v>
      </c>
      <c r="B34271" s="8" t="str">
        <f>HYPERLINK("https://twitter.com/endahfjrh","@endahfjrh")</f>
        <v>@endahfjrh</v>
      </c>
      <c r="C34271" s="8" t="s">
        <v>13030</v>
      </c>
      <c r="D34271" s="8">
        <v>0</v>
      </c>
      <c r="E34271" s="8">
        <v>0</v>
      </c>
      <c r="F34271" s="8">
        <v>750</v>
      </c>
    </row>
    <row r="34272" spans="1:6" ht="12.75">
      <c r="A34272" s="8">
        <v>43889.085115740745</v>
      </c>
      <c r="B34272" s="8" t="str">
        <f>HYPERLINK("https://twitter.com/TheendTo","@TheendTo")</f>
        <v>@TheendTo</v>
      </c>
      <c r="C34272" s="8" t="s">
        <v>12125</v>
      </c>
      <c r="D34272" s="8">
        <v>5</v>
      </c>
      <c r="E34272" s="8">
        <v>0</v>
      </c>
      <c r="F34272" s="8">
        <v>1809</v>
      </c>
    </row>
    <row r="34273" spans="1:6" ht="12.75">
      <c r="A34273" s="8">
        <v>43889.084629629629</v>
      </c>
      <c r="B34273" s="8" t="str">
        <f>HYPERLINK("https://twitter.com/awan137","@awan137")</f>
        <v>@awan137</v>
      </c>
      <c r="C34273" s="8" t="s">
        <v>12125</v>
      </c>
      <c r="D34273" s="8">
        <v>5</v>
      </c>
      <c r="E34273" s="8">
        <v>0</v>
      </c>
      <c r="F34273" s="8">
        <v>280</v>
      </c>
    </row>
    <row r="34274" spans="1:6" ht="12.75">
      <c r="A34274" s="8">
        <v>43889.08315972222</v>
      </c>
      <c r="B34274" s="8" t="str">
        <f>HYPERLINK("https://twitter.com/soepono42","@soepono42")</f>
        <v>@soepono42</v>
      </c>
      <c r="C34274" s="8" t="s">
        <v>11773</v>
      </c>
      <c r="D34274" s="8">
        <v>452</v>
      </c>
      <c r="E34274" s="8">
        <v>0</v>
      </c>
      <c r="F34274" s="8">
        <v>1278</v>
      </c>
    </row>
    <row r="34275" spans="1:6" ht="12.75">
      <c r="A34275" s="8">
        <v>43889.083136574074</v>
      </c>
      <c r="B34275" s="8" t="str">
        <f>HYPERLINK("https://twitter.com/waendhut","@waendhut")</f>
        <v>@waendhut</v>
      </c>
      <c r="C34275" s="8" t="s">
        <v>12125</v>
      </c>
      <c r="D34275" s="8">
        <v>5</v>
      </c>
      <c r="E34275" s="8">
        <v>0</v>
      </c>
      <c r="F34275" s="8">
        <v>2401</v>
      </c>
    </row>
    <row r="34276" spans="1:6" ht="12.75">
      <c r="A34276" s="8">
        <v>43889.082685185189</v>
      </c>
      <c r="B34276" s="8" t="str">
        <f>HYPERLINK("https://twitter.com/WlSNUWA","@WlSNUWA")</f>
        <v>@WlSNUWA</v>
      </c>
      <c r="C34276" s="8" t="s">
        <v>12769</v>
      </c>
      <c r="D34276" s="8">
        <v>1</v>
      </c>
      <c r="E34276" s="8">
        <v>0</v>
      </c>
      <c r="F34276" s="8">
        <v>388</v>
      </c>
    </row>
    <row r="34277" spans="1:6" ht="12.75">
      <c r="A34277" s="8">
        <v>43889.082361111112</v>
      </c>
      <c r="B34277" s="8" t="str">
        <f>HYPERLINK("https://twitter.com/nusantara_kita1","@nusantara_kita1")</f>
        <v>@nusantara_kita1</v>
      </c>
      <c r="C34277" s="8" t="s">
        <v>13031</v>
      </c>
      <c r="D34277" s="8">
        <v>0</v>
      </c>
      <c r="E34277" s="8">
        <v>0</v>
      </c>
      <c r="F34277" s="8">
        <v>281</v>
      </c>
    </row>
    <row r="34278" spans="1:6" ht="12.75">
      <c r="A34278" s="8">
        <v>43889.08185185185</v>
      </c>
      <c r="B34278" s="8" t="str">
        <f>HYPERLINK("https://twitter.com/soepono42","@soepono42")</f>
        <v>@soepono42</v>
      </c>
      <c r="C34278" s="8" t="s">
        <v>12052</v>
      </c>
      <c r="D34278" s="8">
        <v>101</v>
      </c>
      <c r="E34278" s="8">
        <v>0</v>
      </c>
      <c r="F34278" s="8">
        <v>1278</v>
      </c>
    </row>
    <row r="34279" spans="1:6" ht="12.75">
      <c r="A34279" s="8">
        <v>43889.079189814816</v>
      </c>
      <c r="B34279" s="8" t="str">
        <f>HYPERLINK("https://twitter.com/voaindonesia","@voaindonesia")</f>
        <v>@voaindonesia</v>
      </c>
      <c r="C34279" s="8" t="s">
        <v>13032</v>
      </c>
      <c r="D34279" s="8">
        <v>0</v>
      </c>
      <c r="E34279" s="8">
        <v>0</v>
      </c>
      <c r="F34279" s="8">
        <v>307810</v>
      </c>
    </row>
    <row r="34280" spans="1:6" ht="12.75">
      <c r="A34280" s="8">
        <v>43889.078356481477</v>
      </c>
      <c r="B34280" s="8" t="str">
        <f>HYPERLINK("https://twitter.com/NgopiJahe_09","@NgopiJahe_09")</f>
        <v>@NgopiJahe_09</v>
      </c>
      <c r="C34280" s="8" t="s">
        <v>4836</v>
      </c>
      <c r="D34280" s="8">
        <v>5399</v>
      </c>
      <c r="E34280" s="8">
        <v>0</v>
      </c>
      <c r="F34280" s="8">
        <v>2445</v>
      </c>
    </row>
    <row r="34281" spans="1:6" ht="12.75">
      <c r="A34281" s="8">
        <v>43889.078217592592</v>
      </c>
      <c r="B34281" s="8" t="str">
        <f>HYPERLINK("https://twitter.com/GfPlat","@GfPlat")</f>
        <v>@GfPlat</v>
      </c>
      <c r="C34281" s="8" t="s">
        <v>12125</v>
      </c>
      <c r="D34281" s="8">
        <v>5</v>
      </c>
      <c r="E34281" s="8">
        <v>0</v>
      </c>
      <c r="F34281" s="8">
        <v>2606</v>
      </c>
    </row>
    <row r="34282" spans="1:6" ht="12.75">
      <c r="A34282" s="8">
        <v>43889.075358796297</v>
      </c>
      <c r="B34282" s="8" t="str">
        <f>HYPERLINK("https://twitter.com/XSicular","@XSicular")</f>
        <v>@XSicular</v>
      </c>
      <c r="C34282" s="8" t="s">
        <v>13033</v>
      </c>
      <c r="D34282" s="8">
        <v>0</v>
      </c>
      <c r="E34282" s="8">
        <v>0</v>
      </c>
      <c r="F34282" s="8">
        <v>415</v>
      </c>
    </row>
    <row r="34283" spans="1:6" ht="12.75">
      <c r="A34283" s="8">
        <v>43889.074652777781</v>
      </c>
      <c r="B34283" s="8" t="str">
        <f>HYPERLINK("https://twitter.com/Ahmad_hendars","@Ahmad_hendars")</f>
        <v>@Ahmad_hendars</v>
      </c>
      <c r="C34283" s="8" t="s">
        <v>12125</v>
      </c>
      <c r="D34283" s="8">
        <v>5</v>
      </c>
      <c r="E34283" s="8">
        <v>0</v>
      </c>
      <c r="F34283" s="8">
        <v>2097</v>
      </c>
    </row>
    <row r="34284" spans="1:6" ht="12.75">
      <c r="A34284" s="8">
        <v>43889.073842592596</v>
      </c>
      <c r="B34284" s="8" t="str">
        <f>HYPERLINK("https://twitter.com/hidayat_y28","@hidayat_y28")</f>
        <v>@hidayat_y28</v>
      </c>
      <c r="C34284" s="8" t="s">
        <v>13034</v>
      </c>
      <c r="D34284" s="8">
        <v>5</v>
      </c>
      <c r="E34284" s="8">
        <v>13</v>
      </c>
      <c r="F34284" s="8">
        <v>5229</v>
      </c>
    </row>
    <row r="34285" spans="1:6" ht="12.75">
      <c r="A34285" s="8">
        <v>43889.073645833334</v>
      </c>
      <c r="B34285" s="8" t="str">
        <f>HYPERLINK("https://twitter.com/Nevindaher","@Nevindaher")</f>
        <v>@Nevindaher</v>
      </c>
      <c r="C34285" s="8" t="s">
        <v>13035</v>
      </c>
      <c r="D34285" s="8">
        <v>9</v>
      </c>
      <c r="E34285" s="8">
        <v>0</v>
      </c>
      <c r="F34285" s="8">
        <v>295</v>
      </c>
    </row>
    <row r="34286" spans="1:6" ht="12.75">
      <c r="A34286" s="8">
        <v>43889.072187500002</v>
      </c>
      <c r="B34286" s="8" t="str">
        <f>HYPERLINK("https://twitter.com/LionKingAbbu","@LionKingAbbu")</f>
        <v>@LionKingAbbu</v>
      </c>
      <c r="C34286" s="8" t="s">
        <v>13036</v>
      </c>
      <c r="D34286" s="8">
        <v>0</v>
      </c>
      <c r="E34286" s="8">
        <v>0</v>
      </c>
      <c r="F34286" s="8">
        <v>613</v>
      </c>
    </row>
    <row r="34287" spans="1:6" ht="12.75">
      <c r="A34287" s="8">
        <v>43889.070833333331</v>
      </c>
      <c r="B34287" s="8" t="str">
        <f>HYPERLINK("https://twitter.com/Nevindaher","@Nevindaher")</f>
        <v>@Nevindaher</v>
      </c>
      <c r="C34287" s="8" t="s">
        <v>12484</v>
      </c>
      <c r="D34287" s="8">
        <v>28</v>
      </c>
      <c r="E34287" s="8">
        <v>0</v>
      </c>
      <c r="F34287" s="8">
        <v>295</v>
      </c>
    </row>
    <row r="34288" spans="1:6" ht="12.75">
      <c r="A34288" s="8">
        <v>43889.070034722223</v>
      </c>
      <c r="B34288" s="8" t="str">
        <f>HYPERLINK("https://twitter.com/AfkalAldi27","@AfkalAldi27")</f>
        <v>@AfkalAldi27</v>
      </c>
      <c r="C34288" s="8" t="s">
        <v>7243</v>
      </c>
      <c r="D34288" s="8">
        <v>126</v>
      </c>
      <c r="E34288" s="8">
        <v>0</v>
      </c>
      <c r="F34288" s="8">
        <v>44</v>
      </c>
    </row>
    <row r="34289" spans="1:6" ht="12.75">
      <c r="A34289" s="8">
        <v>43889.064282407402</v>
      </c>
      <c r="B34289" s="8" t="str">
        <f>HYPERLINK("https://twitter.com/alfiliaazani","@alfiliaazani")</f>
        <v>@alfiliaazani</v>
      </c>
      <c r="C34289" s="8" t="s">
        <v>13037</v>
      </c>
      <c r="D34289" s="8">
        <v>0</v>
      </c>
      <c r="E34289" s="8">
        <v>3</v>
      </c>
      <c r="F34289" s="8">
        <v>1015</v>
      </c>
    </row>
    <row r="34290" spans="1:6" ht="12.75">
      <c r="A34290" s="8">
        <v>43889.063969907409</v>
      </c>
      <c r="B34290" s="8" t="str">
        <f>HYPERLINK("https://twitter.com/salmanalvi2","@salmanalvi2")</f>
        <v>@salmanalvi2</v>
      </c>
      <c r="C34290" s="8" t="s">
        <v>13038</v>
      </c>
      <c r="D34290" s="8">
        <v>1</v>
      </c>
      <c r="E34290" s="8">
        <v>0</v>
      </c>
      <c r="F34290" s="8">
        <v>3808</v>
      </c>
    </row>
    <row r="34291" spans="1:6" ht="12.75">
      <c r="A34291" s="8">
        <v>43889.062407407408</v>
      </c>
      <c r="B34291" s="8" t="str">
        <f>HYPERLINK("https://twitter.com/cakbrewok","@cakbrewok")</f>
        <v>@cakbrewok</v>
      </c>
      <c r="C34291" s="8" t="s">
        <v>6888</v>
      </c>
      <c r="D34291" s="8">
        <v>25</v>
      </c>
      <c r="E34291" s="8">
        <v>0</v>
      </c>
      <c r="F34291" s="8">
        <v>1298</v>
      </c>
    </row>
    <row r="34292" spans="1:6" ht="12.75">
      <c r="A34292" s="8">
        <v>43889.061620370368</v>
      </c>
      <c r="B34292" s="8" t="str">
        <f t="shared" ref="B34292:B34293" si="481">HYPERLINK("https://twitter.com/becak125cc","@becak125cc")</f>
        <v>@becak125cc</v>
      </c>
      <c r="C34292" s="8" t="s">
        <v>12928</v>
      </c>
      <c r="D34292" s="8">
        <v>7</v>
      </c>
      <c r="E34292" s="8">
        <v>0</v>
      </c>
      <c r="F34292" s="8">
        <v>535</v>
      </c>
    </row>
    <row r="34293" spans="1:6" ht="12.75">
      <c r="A34293" s="8">
        <v>43889.061203703706</v>
      </c>
      <c r="B34293" s="8" t="str">
        <f t="shared" si="481"/>
        <v>@becak125cc</v>
      </c>
      <c r="C34293" s="8" t="s">
        <v>12756</v>
      </c>
      <c r="D34293" s="8">
        <v>36</v>
      </c>
      <c r="E34293" s="8">
        <v>0</v>
      </c>
      <c r="F34293" s="8">
        <v>535</v>
      </c>
    </row>
    <row r="34294" spans="1:6" ht="12.75">
      <c r="A34294" s="8">
        <v>43889.059513888889</v>
      </c>
      <c r="B34294" s="8" t="str">
        <f>HYPERLINK("https://twitter.com/KBRIDamaskus","@KBRIDamaskus")</f>
        <v>@KBRIDamaskus</v>
      </c>
      <c r="C34294" s="8" t="s">
        <v>13039</v>
      </c>
      <c r="D34294" s="8">
        <v>0</v>
      </c>
      <c r="E34294" s="8">
        <v>0</v>
      </c>
      <c r="F34294" s="8">
        <v>334</v>
      </c>
    </row>
    <row r="34295" spans="1:6" ht="12.75">
      <c r="A34295" s="8">
        <v>43889.058622685188</v>
      </c>
      <c r="B34295" s="8" t="str">
        <f>HYPERLINK("https://twitter.com/Jzakaria_","@Jzakaria_")</f>
        <v>@Jzakaria_</v>
      </c>
      <c r="C34295" s="8" t="s">
        <v>7243</v>
      </c>
      <c r="D34295" s="8">
        <v>126</v>
      </c>
      <c r="E34295" s="8">
        <v>0</v>
      </c>
      <c r="F34295" s="8">
        <v>42</v>
      </c>
    </row>
    <row r="34296" spans="1:6" ht="12.75">
      <c r="A34296" s="8">
        <v>43889.058287037042</v>
      </c>
      <c r="B34296" s="8" t="str">
        <f>HYPERLINK("https://twitter.com/uhb_isis","@uhb_isis")</f>
        <v>@uhb_isis</v>
      </c>
      <c r="C34296" s="8" t="s">
        <v>13040</v>
      </c>
      <c r="D34296" s="8">
        <v>1</v>
      </c>
      <c r="E34296" s="8">
        <v>0</v>
      </c>
      <c r="F34296" s="8">
        <v>3832</v>
      </c>
    </row>
    <row r="34297" spans="1:6" ht="12.75">
      <c r="A34297" s="8">
        <v>43889.056585648148</v>
      </c>
      <c r="B34297" s="8" t="str">
        <f>HYPERLINK("https://twitter.com/oktorinaldoo","@oktorinaldoo")</f>
        <v>@oktorinaldoo</v>
      </c>
      <c r="C34297" s="8" t="s">
        <v>13041</v>
      </c>
      <c r="D34297" s="8">
        <v>1</v>
      </c>
      <c r="E34297" s="8">
        <v>0</v>
      </c>
      <c r="F34297" s="8">
        <v>65</v>
      </c>
    </row>
    <row r="34298" spans="1:6" ht="12.75">
      <c r="A34298" s="8">
        <v>43889.055173611108</v>
      </c>
      <c r="B34298" s="8" t="str">
        <f>HYPERLINK("https://twitter.com/KillDavieandNow","@KillDavieandNow")</f>
        <v>@KillDavieandNow</v>
      </c>
      <c r="C34298" s="8" t="s">
        <v>13042</v>
      </c>
      <c r="D34298" s="8">
        <v>0</v>
      </c>
      <c r="E34298" s="8">
        <v>0</v>
      </c>
      <c r="F34298" s="8">
        <v>85</v>
      </c>
    </row>
    <row r="34299" spans="1:6" ht="12.75">
      <c r="A34299" s="8">
        <v>43889.054918981477</v>
      </c>
      <c r="B34299" s="8" t="str">
        <f>HYPERLINK("https://twitter.com/utamanewscom","@utamanewscom")</f>
        <v>@utamanewscom</v>
      </c>
      <c r="C34299" s="8" t="s">
        <v>13043</v>
      </c>
      <c r="D34299" s="8">
        <v>0</v>
      </c>
      <c r="E34299" s="8">
        <v>0</v>
      </c>
      <c r="F34299" s="8">
        <v>959</v>
      </c>
    </row>
    <row r="34300" spans="1:6" ht="12.75">
      <c r="A34300" s="8">
        <v>43889.053148148145</v>
      </c>
      <c r="B34300" s="8" t="str">
        <f>HYPERLINK("https://twitter.com/JoKerR_nN","@JoKerR_nN")</f>
        <v>@JoKerR_nN</v>
      </c>
      <c r="C34300" s="8" t="s">
        <v>11773</v>
      </c>
      <c r="D34300" s="8">
        <v>452</v>
      </c>
      <c r="E34300" s="8">
        <v>0</v>
      </c>
      <c r="F34300" s="8">
        <v>729</v>
      </c>
    </row>
    <row r="34301" spans="1:6" ht="12.75">
      <c r="A34301" s="8">
        <v>43889.052951388891</v>
      </c>
      <c r="B34301" s="8" t="str">
        <f>HYPERLINK("https://twitter.com/fajrinhazmi","@fajrinhazmi")</f>
        <v>@fajrinhazmi</v>
      </c>
      <c r="C34301" s="8" t="s">
        <v>13044</v>
      </c>
      <c r="D34301" s="8">
        <v>1</v>
      </c>
      <c r="E34301" s="8">
        <v>0</v>
      </c>
      <c r="F34301" s="8">
        <v>257</v>
      </c>
    </row>
    <row r="34302" spans="1:6" ht="12.75">
      <c r="A34302" s="8">
        <v>43889.052893518514</v>
      </c>
      <c r="B34302" s="8" t="str">
        <f>HYPERLINK("https://twitter.com/I_am_maksud","@I_am_maksud")</f>
        <v>@I_am_maksud</v>
      </c>
      <c r="C34302" s="8" t="s">
        <v>13045</v>
      </c>
      <c r="D34302" s="8">
        <v>1</v>
      </c>
      <c r="E34302" s="8">
        <v>4</v>
      </c>
      <c r="F34302" s="8">
        <v>260</v>
      </c>
    </row>
    <row r="34303" spans="1:6" ht="12.75">
      <c r="A34303" s="8">
        <v>43889.051574074074</v>
      </c>
      <c r="B34303" s="8" t="str">
        <f>HYPERLINK("https://twitter.com/aydofi","@aydofi")</f>
        <v>@aydofi</v>
      </c>
      <c r="C34303" s="8" t="s">
        <v>11102</v>
      </c>
      <c r="D34303" s="8">
        <v>57</v>
      </c>
      <c r="E34303" s="8">
        <v>0</v>
      </c>
      <c r="F34303" s="8">
        <v>210</v>
      </c>
    </row>
    <row r="34304" spans="1:6" ht="12.75">
      <c r="A34304" s="8">
        <v>43889.050358796296</v>
      </c>
      <c r="B34304" s="8" t="str">
        <f>HYPERLINK("https://twitter.com/suaradotcom","@suaradotcom")</f>
        <v>@suaradotcom</v>
      </c>
      <c r="C34304" s="8" t="s">
        <v>13046</v>
      </c>
      <c r="D34304" s="8">
        <v>0</v>
      </c>
      <c r="E34304" s="8">
        <v>0</v>
      </c>
      <c r="F34304" s="8">
        <v>24274</v>
      </c>
    </row>
    <row r="34305" spans="1:6" ht="12.75">
      <c r="A34305" s="8">
        <v>43889.049409722225</v>
      </c>
      <c r="B34305" s="8" t="str">
        <f>HYPERLINK("https://twitter.com/wikwik6969","@wikwik6969")</f>
        <v>@wikwik6969</v>
      </c>
      <c r="C34305" s="8" t="s">
        <v>6888</v>
      </c>
      <c r="D34305" s="8">
        <v>25</v>
      </c>
      <c r="E34305" s="8">
        <v>0</v>
      </c>
      <c r="F34305" s="8">
        <v>48</v>
      </c>
    </row>
    <row r="34306" spans="1:6" ht="12.75">
      <c r="A34306" s="8">
        <v>43889.048888888894</v>
      </c>
      <c r="B34306" s="8" t="str">
        <f>HYPERLINK("https://twitter.com/vmmmmml","@vmmmmml")</f>
        <v>@vmmmmml</v>
      </c>
      <c r="C34306" s="8" t="s">
        <v>13047</v>
      </c>
      <c r="D34306" s="8">
        <v>4</v>
      </c>
      <c r="E34306" s="8">
        <v>0</v>
      </c>
      <c r="F34306" s="8">
        <v>26</v>
      </c>
    </row>
    <row r="34307" spans="1:6" ht="12.75">
      <c r="A34307" s="8">
        <v>43889.048275462963</v>
      </c>
      <c r="B34307" s="8" t="str">
        <f>HYPERLINK("https://twitter.com/TiaAdisari","@TiaAdisari")</f>
        <v>@TiaAdisari</v>
      </c>
      <c r="C34307" s="8" t="s">
        <v>7243</v>
      </c>
      <c r="D34307" s="8">
        <v>124</v>
      </c>
      <c r="E34307" s="8">
        <v>0</v>
      </c>
      <c r="F34307" s="8">
        <v>3661</v>
      </c>
    </row>
    <row r="34308" spans="1:6" ht="12.75">
      <c r="A34308" s="8">
        <v>43889.045752314814</v>
      </c>
      <c r="B34308" s="8" t="str">
        <f>HYPERLINK("https://twitter.com/davidmigoldberg","@davidmigoldberg")</f>
        <v>@davidmigoldberg</v>
      </c>
      <c r="C34308" s="8" t="s">
        <v>13048</v>
      </c>
      <c r="D34308" s="8">
        <v>0</v>
      </c>
      <c r="E34308" s="8">
        <v>0</v>
      </c>
      <c r="F34308" s="8">
        <v>351</v>
      </c>
    </row>
    <row r="34309" spans="1:6" ht="12.75">
      <c r="A34309" s="8">
        <v>43889.045289351852</v>
      </c>
      <c r="B34309" s="8" t="str">
        <f>HYPERLINK("https://twitter.com/xopch","@xopch")</f>
        <v>@xopch</v>
      </c>
      <c r="C34309" s="8" t="s">
        <v>13049</v>
      </c>
      <c r="D34309" s="8">
        <v>0</v>
      </c>
      <c r="E34309" s="8">
        <v>0</v>
      </c>
      <c r="F34309" s="8">
        <v>1050</v>
      </c>
    </row>
    <row r="34310" spans="1:6" ht="12.75">
      <c r="A34310" s="8">
        <v>43889.044571759259</v>
      </c>
      <c r="B34310" s="8" t="str">
        <f>HYPERLINK("https://twitter.com/Wes12320","@Wes12320")</f>
        <v>@Wes12320</v>
      </c>
      <c r="C34310" s="8" t="s">
        <v>13050</v>
      </c>
      <c r="D34310" s="8">
        <v>0</v>
      </c>
      <c r="E34310" s="8">
        <v>1</v>
      </c>
      <c r="F34310" s="8">
        <v>3560</v>
      </c>
    </row>
    <row r="34311" spans="1:6" ht="12.75">
      <c r="A34311" s="8">
        <v>43889.044490740736</v>
      </c>
      <c r="B34311" s="8" t="str">
        <f>HYPERLINK("https://twitter.com/PolitikKacamata","@PolitikKacamata")</f>
        <v>@PolitikKacamata</v>
      </c>
      <c r="C34311" s="8" t="s">
        <v>13051</v>
      </c>
      <c r="D34311" s="8">
        <v>0</v>
      </c>
      <c r="E34311" s="8">
        <v>0</v>
      </c>
      <c r="F34311" s="8">
        <v>4</v>
      </c>
    </row>
    <row r="34312" spans="1:6" ht="12.75">
      <c r="A34312" s="8">
        <v>43889.04383101852</v>
      </c>
      <c r="B34312" s="8" t="str">
        <f>HYPERLINK("https://twitter.com/savelobster1","@savelobster1")</f>
        <v>@savelobster1</v>
      </c>
      <c r="C34312" s="8" t="s">
        <v>12267</v>
      </c>
      <c r="D34312" s="8">
        <v>1</v>
      </c>
      <c r="E34312" s="8">
        <v>0</v>
      </c>
      <c r="F34312" s="8">
        <v>187</v>
      </c>
    </row>
    <row r="34313" spans="1:6" ht="12.75">
      <c r="A34313" s="8">
        <v>43889.043796296297</v>
      </c>
      <c r="B34313" s="8" t="str">
        <f>HYPERLINK("https://twitter.com/voaindonesia","@voaindonesia")</f>
        <v>@voaindonesia</v>
      </c>
      <c r="C34313" s="8" t="s">
        <v>13052</v>
      </c>
      <c r="D34313" s="8">
        <v>0</v>
      </c>
      <c r="E34313" s="8">
        <v>0</v>
      </c>
      <c r="F34313" s="8">
        <v>307809</v>
      </c>
    </row>
    <row r="34314" spans="1:6" ht="12.75">
      <c r="A34314" s="8">
        <v>43889.043703703705</v>
      </c>
      <c r="B34314" s="8" t="str">
        <f>HYPERLINK("https://twitter.com/sammyfish13","@sammyfish13")</f>
        <v>@sammyfish13</v>
      </c>
      <c r="C34314" s="8" t="s">
        <v>12054</v>
      </c>
      <c r="D34314" s="8">
        <v>7</v>
      </c>
      <c r="E34314" s="8">
        <v>0</v>
      </c>
      <c r="F34314" s="8">
        <v>454</v>
      </c>
    </row>
    <row r="34315" spans="1:6" ht="12.75">
      <c r="A34315" s="8">
        <v>43889.043344907404</v>
      </c>
      <c r="B34315" s="8" t="str">
        <f>HYPERLINK("https://twitter.com/bayymaax","@bayymaax")</f>
        <v>@bayymaax</v>
      </c>
      <c r="C34315" s="8" t="s">
        <v>1318</v>
      </c>
      <c r="D34315" s="8">
        <v>23255</v>
      </c>
      <c r="E34315" s="8">
        <v>0</v>
      </c>
      <c r="F34315" s="8">
        <v>466</v>
      </c>
    </row>
    <row r="34316" spans="1:6" ht="12.75">
      <c r="A34316" s="8">
        <v>43889.042499999996</v>
      </c>
      <c r="B34316" s="8" t="str">
        <f>HYPERLINK("https://twitter.com/chellow8","@chellow8")</f>
        <v>@chellow8</v>
      </c>
      <c r="C34316" s="8" t="s">
        <v>13053</v>
      </c>
      <c r="D34316" s="8">
        <v>6</v>
      </c>
      <c r="E34316" s="8">
        <v>0</v>
      </c>
      <c r="F34316" s="8">
        <v>35</v>
      </c>
    </row>
    <row r="34317" spans="1:6" ht="12.75">
      <c r="A34317" s="8">
        <v>43889.042476851857</v>
      </c>
      <c r="B34317" s="8" t="str">
        <f>HYPERLINK("https://twitter.com/Wes12320","@Wes12320")</f>
        <v>@Wes12320</v>
      </c>
      <c r="C34317" s="8" t="s">
        <v>13054</v>
      </c>
      <c r="D34317" s="8">
        <v>1</v>
      </c>
      <c r="E34317" s="8">
        <v>6</v>
      </c>
      <c r="F34317" s="8">
        <v>3560</v>
      </c>
    </row>
    <row r="34318" spans="1:6" ht="12.75">
      <c r="A34318" s="8">
        <v>43889.042129629626</v>
      </c>
      <c r="B34318" s="8" t="str">
        <f>HYPERLINK("https://twitter.com/bascolia","@bascolia")</f>
        <v>@bascolia</v>
      </c>
      <c r="C34318" s="8" t="s">
        <v>13055</v>
      </c>
      <c r="D34318" s="8">
        <v>0</v>
      </c>
      <c r="E34318" s="8">
        <v>0</v>
      </c>
      <c r="F34318" s="8">
        <v>1448</v>
      </c>
    </row>
    <row r="34319" spans="1:6" ht="12.75">
      <c r="A34319" s="8">
        <v>43889.04210648148</v>
      </c>
      <c r="B34319" s="8" t="str">
        <f>HYPERLINK("https://twitter.com/sihaloho79","@sihaloho79")</f>
        <v>@sihaloho79</v>
      </c>
      <c r="C34319" s="8" t="s">
        <v>13056</v>
      </c>
      <c r="D34319" s="8">
        <v>2</v>
      </c>
      <c r="E34319" s="8">
        <v>0</v>
      </c>
      <c r="F34319" s="8">
        <v>212</v>
      </c>
    </row>
    <row r="34320" spans="1:6" ht="12.75">
      <c r="A34320" s="8">
        <v>43889.041979166665</v>
      </c>
      <c r="B34320" s="8" t="str">
        <f>HYPERLINK("https://twitter.com/mefunnie","@mefunnie")</f>
        <v>@mefunnie</v>
      </c>
      <c r="C34320" s="8" t="s">
        <v>12844</v>
      </c>
      <c r="D34320" s="8">
        <v>9</v>
      </c>
      <c r="E34320" s="8">
        <v>0</v>
      </c>
      <c r="F34320" s="8">
        <v>750</v>
      </c>
    </row>
    <row r="34321" spans="1:6" ht="12.75">
      <c r="A34321" s="8">
        <v>43889.041967592595</v>
      </c>
      <c r="B34321" s="8" t="str">
        <f>HYPERLINK("https://twitter.com/medcom_id","@medcom_id")</f>
        <v>@medcom_id</v>
      </c>
      <c r="C34321" s="8" t="s">
        <v>13057</v>
      </c>
      <c r="D34321" s="8">
        <v>0</v>
      </c>
      <c r="E34321" s="8">
        <v>0</v>
      </c>
      <c r="F34321" s="8">
        <v>18345</v>
      </c>
    </row>
    <row r="34322" spans="1:6" ht="12.75">
      <c r="A34322" s="8">
        <v>43889.041747685187</v>
      </c>
      <c r="B34322" s="8" t="str">
        <f>HYPERLINK("https://twitter.com/Frans_Priyo","@Frans_Priyo")</f>
        <v>@Frans_Priyo</v>
      </c>
      <c r="C34322" s="8" t="s">
        <v>13058</v>
      </c>
      <c r="D34322" s="8">
        <v>0</v>
      </c>
      <c r="E34322" s="8">
        <v>0</v>
      </c>
      <c r="F34322" s="8">
        <v>3408</v>
      </c>
    </row>
    <row r="34323" spans="1:6" ht="12.75">
      <c r="A34323" s="8">
        <v>43889.040034722224</v>
      </c>
      <c r="B34323" s="8" t="str">
        <f>HYPERLINK("https://twitter.com/autobots5699","@autobots5699")</f>
        <v>@autobots5699</v>
      </c>
      <c r="C34323" s="8" t="s">
        <v>13059</v>
      </c>
      <c r="D34323" s="8">
        <v>0</v>
      </c>
      <c r="E34323" s="8">
        <v>1</v>
      </c>
      <c r="F34323" s="8">
        <v>195</v>
      </c>
    </row>
    <row r="34324" spans="1:6" ht="12.75">
      <c r="A34324" s="8">
        <v>43889.039490740739</v>
      </c>
      <c r="B34324" s="8" t="str">
        <f>HYPERLINK("https://twitter.com/Gasswoo","@Gasswoo")</f>
        <v>@Gasswoo</v>
      </c>
      <c r="C34324" s="8" t="s">
        <v>13060</v>
      </c>
      <c r="D34324" s="8">
        <v>0</v>
      </c>
      <c r="E34324" s="8">
        <v>0</v>
      </c>
      <c r="F34324" s="8">
        <v>220</v>
      </c>
    </row>
    <row r="34325" spans="1:6" ht="12.75">
      <c r="A34325" s="8">
        <v>43889.039444444439</v>
      </c>
      <c r="B34325" s="8" t="str">
        <f>HYPERLINK("https://twitter.com/MohHana09469935","@MohHana09469935")</f>
        <v>@MohHana09469935</v>
      </c>
      <c r="C34325" s="8" t="s">
        <v>4836</v>
      </c>
      <c r="D34325" s="8">
        <v>5399</v>
      </c>
      <c r="E34325" s="8">
        <v>0</v>
      </c>
      <c r="F34325" s="8">
        <v>852</v>
      </c>
    </row>
    <row r="34326" spans="1:6" ht="12.75">
      <c r="A34326" s="8">
        <v>43889.039178240739</v>
      </c>
      <c r="B34326" s="8" t="str">
        <f>HYPERLINK("https://twitter.com/GraceSelan","@GraceSelan")</f>
        <v>@GraceSelan</v>
      </c>
      <c r="C34326" s="8" t="s">
        <v>12928</v>
      </c>
      <c r="D34326" s="8">
        <v>6</v>
      </c>
      <c r="E34326" s="8">
        <v>0</v>
      </c>
      <c r="F34326" s="8">
        <v>995</v>
      </c>
    </row>
    <row r="34327" spans="1:6" ht="12.75">
      <c r="A34327" s="8">
        <v>43889.038981481484</v>
      </c>
      <c r="B34327" s="8" t="str">
        <f>HYPERLINK("https://twitter.com/Gregorius99JP","@Gregorius99JP")</f>
        <v>@Gregorius99JP</v>
      </c>
      <c r="C34327" s="8" t="s">
        <v>11773</v>
      </c>
      <c r="D34327" s="8">
        <v>450</v>
      </c>
      <c r="E34327" s="8">
        <v>0</v>
      </c>
      <c r="F34327" s="8">
        <v>435</v>
      </c>
    </row>
    <row r="34328" spans="1:6" ht="12.75">
      <c r="A34328" s="8">
        <v>43889.03805555556</v>
      </c>
      <c r="B34328" s="8" t="str">
        <f>HYPERLINK("https://twitter.com/AEPishere","@AEPishere")</f>
        <v>@AEPishere</v>
      </c>
      <c r="C34328" s="8" t="s">
        <v>13061</v>
      </c>
      <c r="D34328" s="8">
        <v>3</v>
      </c>
      <c r="E34328" s="8">
        <v>0</v>
      </c>
      <c r="F34328" s="8">
        <v>3017</v>
      </c>
    </row>
    <row r="34329" spans="1:6" ht="12.75">
      <c r="A34329" s="8">
        <v>43889.037905092591</v>
      </c>
      <c r="B34329" s="8" t="str">
        <f>HYPERLINK("https://twitter.com/monicaayu20_","@monicaayu20_")</f>
        <v>@monicaayu20_</v>
      </c>
      <c r="C34329" s="8" t="s">
        <v>13062</v>
      </c>
      <c r="D34329" s="8">
        <v>0</v>
      </c>
      <c r="E34329" s="8">
        <v>0</v>
      </c>
      <c r="F34329" s="8">
        <v>4</v>
      </c>
    </row>
    <row r="34330" spans="1:6" ht="12.75">
      <c r="A34330" s="8">
        <v>43889.037118055552</v>
      </c>
      <c r="B34330" s="8" t="str">
        <f>HYPERLINK("https://twitter.com/p4dr1_chozan","@p4dr1_chozan")</f>
        <v>@p4dr1_chozan</v>
      </c>
      <c r="C34330" s="8" t="s">
        <v>12484</v>
      </c>
      <c r="D34330" s="8">
        <v>27</v>
      </c>
      <c r="E34330" s="8">
        <v>0</v>
      </c>
      <c r="F34330" s="8">
        <v>4538</v>
      </c>
    </row>
    <row r="34331" spans="1:6" ht="12.75">
      <c r="A34331" s="8">
        <v>43889.037002314813</v>
      </c>
      <c r="B34331" s="8" t="str">
        <f>HYPERLINK("https://twitter.com/fckfckshktimaan","@fckfckshktimaan")</f>
        <v>@fckfckshktimaan</v>
      </c>
      <c r="C34331" s="8" t="s">
        <v>13063</v>
      </c>
      <c r="D34331" s="8">
        <v>0</v>
      </c>
      <c r="E34331" s="8">
        <v>0</v>
      </c>
      <c r="F34331" s="8">
        <v>155</v>
      </c>
    </row>
    <row r="34332" spans="1:6" ht="12.75">
      <c r="A34332" s="8">
        <v>43889.03696759259</v>
      </c>
      <c r="B34332" s="8" t="str">
        <f>HYPERLINK("https://twitter.com/AbiAndar","@AbiAndar")</f>
        <v>@AbiAndar</v>
      </c>
      <c r="C34332" s="8" t="s">
        <v>13064</v>
      </c>
      <c r="D34332" s="8">
        <v>0</v>
      </c>
      <c r="E34332" s="8">
        <v>1</v>
      </c>
      <c r="F34332" s="8">
        <v>366</v>
      </c>
    </row>
    <row r="34333" spans="1:6" ht="12.75">
      <c r="A34333" s="8">
        <v>43889.03496527778</v>
      </c>
      <c r="B34333" s="8" t="str">
        <f>HYPERLINK("https://twitter.com/Ryvanaziizan_","@Ryvanaziizan_")</f>
        <v>@Ryvanaziizan_</v>
      </c>
      <c r="C34333" s="8" t="s">
        <v>13065</v>
      </c>
      <c r="D34333" s="8">
        <v>0</v>
      </c>
      <c r="E34333" s="8">
        <v>1</v>
      </c>
      <c r="F34333" s="8">
        <v>368</v>
      </c>
    </row>
    <row r="34334" spans="1:6" ht="12.75">
      <c r="A34334" s="8">
        <v>43889.034421296295</v>
      </c>
      <c r="B34334" s="8" t="str">
        <f>HYPERLINK("https://twitter.com/yupicecream","@yupicecream")</f>
        <v>@yupicecream</v>
      </c>
      <c r="C34334" s="8" t="s">
        <v>13066</v>
      </c>
      <c r="D34334" s="8">
        <v>0</v>
      </c>
      <c r="E34334" s="8">
        <v>0</v>
      </c>
      <c r="F34334" s="8">
        <v>37</v>
      </c>
    </row>
    <row r="34335" spans="1:6" ht="12.75">
      <c r="A34335" s="8">
        <v>43889.03398148148</v>
      </c>
      <c r="B34335" s="8" t="str">
        <f>HYPERLINK("https://twitter.com/YusufNusantara1","@YusufNusantara1")</f>
        <v>@YusufNusantara1</v>
      </c>
      <c r="C34335" s="8" t="s">
        <v>13067</v>
      </c>
      <c r="D34335" s="8">
        <v>1</v>
      </c>
      <c r="E34335" s="8">
        <v>0</v>
      </c>
      <c r="F34335" s="8">
        <v>741</v>
      </c>
    </row>
    <row r="34336" spans="1:6" ht="12.75">
      <c r="A34336" s="8">
        <v>43889.032546296294</v>
      </c>
      <c r="B34336" s="8" t="str">
        <f>HYPERLINK("https://twitter.com/a_hastara","@a_hastara")</f>
        <v>@a_hastara</v>
      </c>
      <c r="C34336" s="8" t="s">
        <v>11773</v>
      </c>
      <c r="D34336" s="8">
        <v>450</v>
      </c>
      <c r="E34336" s="8">
        <v>0</v>
      </c>
      <c r="F34336" s="8">
        <v>76</v>
      </c>
    </row>
    <row r="34337" spans="1:6" ht="12.75">
      <c r="A34337" s="8">
        <v>43889.032118055555</v>
      </c>
      <c r="B34337" s="8" t="str">
        <f>HYPERLINK("https://twitter.com/DJTP070704","@DJTP070704")</f>
        <v>@DJTP070704</v>
      </c>
      <c r="C34337" s="8" t="s">
        <v>12484</v>
      </c>
      <c r="D34337" s="8">
        <v>27</v>
      </c>
      <c r="E34337" s="8">
        <v>0</v>
      </c>
      <c r="F34337" s="8">
        <v>345</v>
      </c>
    </row>
    <row r="34338" spans="1:6" ht="12.75">
      <c r="A34338" s="8">
        <v>43889.031678240739</v>
      </c>
      <c r="B34338" s="8" t="str">
        <f>HYPERLINK("https://twitter.com/mayaasundarii","@mayaasundarii")</f>
        <v>@mayaasundarii</v>
      </c>
      <c r="C34338" s="8" t="s">
        <v>13068</v>
      </c>
      <c r="D34338" s="8">
        <v>0</v>
      </c>
      <c r="E34338" s="8">
        <v>0</v>
      </c>
      <c r="F34338" s="8">
        <v>1017</v>
      </c>
    </row>
    <row r="34339" spans="1:6" ht="12.75">
      <c r="A34339" s="8">
        <v>43889.031064814815</v>
      </c>
      <c r="B34339" s="8" t="str">
        <f>HYPERLINK("https://twitter.com/nesia11ex","@nesia11ex")</f>
        <v>@nesia11ex</v>
      </c>
      <c r="C34339" s="8" t="s">
        <v>2941</v>
      </c>
      <c r="D34339" s="8">
        <v>1079</v>
      </c>
      <c r="E34339" s="8">
        <v>0</v>
      </c>
      <c r="F34339" s="8">
        <v>19</v>
      </c>
    </row>
    <row r="34340" spans="1:6" ht="12.75">
      <c r="A34340" s="8">
        <v>43889.030497685184</v>
      </c>
      <c r="B34340" s="8" t="str">
        <f>HYPERLINK("https://twitter.com/kopitoba","@kopitoba")</f>
        <v>@kopitoba</v>
      </c>
      <c r="C34340" s="8" t="s">
        <v>12730</v>
      </c>
      <c r="D34340" s="8">
        <v>84</v>
      </c>
      <c r="E34340" s="8">
        <v>0</v>
      </c>
      <c r="F34340" s="8">
        <v>317</v>
      </c>
    </row>
    <row r="34341" spans="1:6" ht="12.75">
      <c r="A34341" s="8">
        <v>43889.028900462959</v>
      </c>
      <c r="B34341" s="8" t="str">
        <f>HYPERLINK("https://twitter.com/WongNgawoer","@WongNgawoer")</f>
        <v>@WongNgawoer</v>
      </c>
      <c r="C34341" s="8" t="s">
        <v>13047</v>
      </c>
      <c r="D34341" s="8">
        <v>3</v>
      </c>
      <c r="E34341" s="8">
        <v>0</v>
      </c>
      <c r="F34341" s="8">
        <v>448</v>
      </c>
    </row>
    <row r="34342" spans="1:6" ht="12.75">
      <c r="A34342" s="8">
        <v>43889.027141203704</v>
      </c>
      <c r="B34342" s="8" t="str">
        <f>HYPERLINK("https://twitter.com/updatedotid","@updatedotid")</f>
        <v>@updatedotid</v>
      </c>
      <c r="C34342" s="8" t="s">
        <v>13047</v>
      </c>
      <c r="D34342" s="8">
        <v>3</v>
      </c>
      <c r="E34342" s="8">
        <v>0</v>
      </c>
      <c r="F34342" s="8">
        <v>1618</v>
      </c>
    </row>
    <row r="34343" spans="1:6" ht="12.75">
      <c r="A34343" s="8">
        <v>43889.027141203704</v>
      </c>
      <c r="B34343" s="8" t="str">
        <f>HYPERLINK("https://twitter.com/sabhatansabiz","@sabhatansabiz")</f>
        <v>@sabhatansabiz</v>
      </c>
      <c r="C34343" s="8" t="s">
        <v>13047</v>
      </c>
      <c r="D34343" s="8">
        <v>3</v>
      </c>
      <c r="E34343" s="8">
        <v>0</v>
      </c>
      <c r="F34343" s="8">
        <v>1584</v>
      </c>
    </row>
    <row r="34344" spans="1:6" ht="12.75">
      <c r="A34344" s="8">
        <v>43889.026701388888</v>
      </c>
      <c r="B34344" s="8" t="str">
        <f>HYPERLINK("https://twitter.com/andrajoleno","@andrajoleno")</f>
        <v>@andrajoleno</v>
      </c>
      <c r="C34344" s="8" t="s">
        <v>13015</v>
      </c>
      <c r="D34344" s="8">
        <v>15</v>
      </c>
      <c r="E34344" s="8">
        <v>0</v>
      </c>
      <c r="F34344" s="8">
        <v>6098</v>
      </c>
    </row>
    <row r="34345" spans="1:6" ht="12.75">
      <c r="A34345" s="8">
        <v>43889.026423611111</v>
      </c>
      <c r="B34345" s="8" t="str">
        <f>HYPERLINK("https://twitter.com/radar_malang","@radar_malang")</f>
        <v>@radar_malang</v>
      </c>
      <c r="C34345" s="8" t="s">
        <v>13069</v>
      </c>
      <c r="D34345" s="8">
        <v>3</v>
      </c>
      <c r="E34345" s="8">
        <v>0</v>
      </c>
      <c r="F34345" s="8">
        <v>108717</v>
      </c>
    </row>
    <row r="34346" spans="1:6" ht="12.75">
      <c r="A34346" s="8">
        <v>43889.02611111111</v>
      </c>
      <c r="B34346" s="8" t="str">
        <f>HYPERLINK("https://twitter.com/triefince","@triefince")</f>
        <v>@triefince</v>
      </c>
      <c r="C34346" s="8" t="s">
        <v>13070</v>
      </c>
      <c r="D34346" s="8">
        <v>0</v>
      </c>
      <c r="E34346" s="8">
        <v>1</v>
      </c>
      <c r="F34346" s="8">
        <v>627</v>
      </c>
    </row>
    <row r="34347" spans="1:6" ht="12.75">
      <c r="A34347" s="8">
        <v>43889.02579861111</v>
      </c>
      <c r="B34347" s="8" t="str">
        <f>HYPERLINK("https://twitter.com/bangsatwika","@bangsatwika")</f>
        <v>@bangsatwika</v>
      </c>
      <c r="C34347" s="8" t="s">
        <v>12220</v>
      </c>
      <c r="D34347" s="8">
        <v>4</v>
      </c>
      <c r="E34347" s="8">
        <v>0</v>
      </c>
      <c r="F34347" s="8">
        <v>355</v>
      </c>
    </row>
    <row r="34348" spans="1:6" ht="12.75">
      <c r="A34348" s="8">
        <v>43889.025682870371</v>
      </c>
      <c r="B34348" s="8" t="str">
        <f>HYPERLINK("https://twitter.com/3ple__a","@3ple__a")</f>
        <v>@3ple__a</v>
      </c>
      <c r="C34348" s="8" t="s">
        <v>13071</v>
      </c>
      <c r="D34348" s="8">
        <v>0</v>
      </c>
      <c r="E34348" s="8">
        <v>0</v>
      </c>
      <c r="F34348" s="8">
        <v>4674</v>
      </c>
    </row>
    <row r="34349" spans="1:6" ht="12.75">
      <c r="A34349" s="8">
        <v>43889.024814814809</v>
      </c>
      <c r="B34349" s="8" t="str">
        <f>HYPERLINK("https://twitter.com/fatkur_isti","@fatkur_isti")</f>
        <v>@fatkur_isti</v>
      </c>
      <c r="C34349" s="8" t="s">
        <v>13072</v>
      </c>
      <c r="D34349" s="8">
        <v>1</v>
      </c>
      <c r="E34349" s="8">
        <v>0</v>
      </c>
      <c r="F34349" s="8">
        <v>1889</v>
      </c>
    </row>
    <row r="34350" spans="1:6" ht="12.75">
      <c r="A34350" s="8">
        <v>43889.024525462963</v>
      </c>
      <c r="B34350" s="8" t="str">
        <f>HYPERLINK("https://twitter.com/shiningars","@shiningars")</f>
        <v>@shiningars</v>
      </c>
      <c r="C34350" s="8" t="s">
        <v>593</v>
      </c>
      <c r="D34350" s="8">
        <v>420</v>
      </c>
      <c r="E34350" s="8">
        <v>0</v>
      </c>
      <c r="F34350" s="8">
        <v>250</v>
      </c>
    </row>
    <row r="34351" spans="1:6" ht="12.75">
      <c r="A34351" s="8">
        <v>43889.024247685185</v>
      </c>
      <c r="B34351" s="8" t="str">
        <f>HYPERLINK("https://twitter.com/faizRzxr","@faizRzxr")</f>
        <v>@faizRzxr</v>
      </c>
      <c r="C34351" s="8" t="s">
        <v>11102</v>
      </c>
      <c r="D34351" s="8">
        <v>54</v>
      </c>
      <c r="E34351" s="8">
        <v>0</v>
      </c>
      <c r="F34351" s="8">
        <v>212</v>
      </c>
    </row>
    <row r="34352" spans="1:6" ht="12.75">
      <c r="A34352" s="8">
        <v>43889.023344907408</v>
      </c>
      <c r="B34352" s="8" t="str">
        <f>HYPERLINK("https://twitter.com/sisitaAO","@sisitaAO")</f>
        <v>@sisitaAO</v>
      </c>
      <c r="C34352" s="8" t="s">
        <v>10773</v>
      </c>
      <c r="D34352" s="8">
        <v>272</v>
      </c>
      <c r="E34352" s="8">
        <v>0</v>
      </c>
      <c r="F34352" s="8">
        <v>655</v>
      </c>
    </row>
    <row r="34353" spans="1:6" ht="12.75">
      <c r="A34353" s="8">
        <v>43889.02306712963</v>
      </c>
      <c r="B34353" s="8" t="str">
        <f>HYPERLINK("https://twitter.com/Ankon00348465","@Ankon00348465")</f>
        <v>@Ankon00348465</v>
      </c>
      <c r="C34353" s="8" t="s">
        <v>13073</v>
      </c>
      <c r="D34353" s="8">
        <v>16</v>
      </c>
      <c r="E34353" s="8">
        <v>0</v>
      </c>
      <c r="F34353" s="8">
        <v>0</v>
      </c>
    </row>
    <row r="34354" spans="1:6" ht="12.75">
      <c r="A34354" s="8">
        <v>43889.022557870368</v>
      </c>
      <c r="B34354" s="8" t="str">
        <f>HYPERLINK("https://twitter.com/ErwantoOki","@ErwantoOki")</f>
        <v>@ErwantoOki</v>
      </c>
      <c r="C34354" s="8" t="s">
        <v>4785</v>
      </c>
      <c r="D34354" s="8">
        <v>455</v>
      </c>
      <c r="E34354" s="8">
        <v>0</v>
      </c>
      <c r="F34354" s="8">
        <v>0</v>
      </c>
    </row>
    <row r="34355" spans="1:6" ht="12.75">
      <c r="A34355" s="8">
        <v>43889.022349537037</v>
      </c>
      <c r="B34355" s="8" t="str">
        <f>HYPERLINK("https://twitter.com/amarawati_","@amarawati_")</f>
        <v>@amarawati_</v>
      </c>
      <c r="C34355" s="8" t="s">
        <v>13074</v>
      </c>
      <c r="D34355" s="8">
        <v>0</v>
      </c>
      <c r="E34355" s="8">
        <v>0</v>
      </c>
      <c r="F34355" s="8">
        <v>544</v>
      </c>
    </row>
    <row r="34356" spans="1:6" ht="12.75">
      <c r="A34356" s="8">
        <v>43889.021203703705</v>
      </c>
      <c r="B34356" s="8" t="str">
        <f>HYPERLINK("https://twitter.com/voaindonesia","@voaindonesia")</f>
        <v>@voaindonesia</v>
      </c>
      <c r="C34356" s="8" t="s">
        <v>13075</v>
      </c>
      <c r="D34356" s="8">
        <v>1</v>
      </c>
      <c r="E34356" s="8">
        <v>2</v>
      </c>
      <c r="F34356" s="8">
        <v>307809</v>
      </c>
    </row>
    <row r="34357" spans="1:6" ht="12.75">
      <c r="A34357" s="8">
        <v>43889.021018518513</v>
      </c>
      <c r="B34357" s="8" t="str">
        <f>HYPERLINK("https://twitter.com/7endralKad_run","@7endralKad_run")</f>
        <v>@7endralKad_run</v>
      </c>
      <c r="C34357" s="8" t="s">
        <v>12928</v>
      </c>
      <c r="D34357" s="8">
        <v>6</v>
      </c>
      <c r="E34357" s="8">
        <v>0</v>
      </c>
      <c r="F34357" s="8">
        <v>698</v>
      </c>
    </row>
    <row r="34358" spans="1:6" ht="12.75">
      <c r="A34358" s="8">
        <v>43889.020902777775</v>
      </c>
      <c r="B34358" s="8" t="str">
        <f>HYPERLINK("https://twitter.com/isis_bities","@isis_bities")</f>
        <v>@isis_bities</v>
      </c>
      <c r="C34358" s="8" t="s">
        <v>13076</v>
      </c>
      <c r="D34358" s="8">
        <v>0</v>
      </c>
      <c r="E34358" s="8">
        <v>0</v>
      </c>
      <c r="F34358" s="8">
        <v>8</v>
      </c>
    </row>
    <row r="34359" spans="1:6" ht="12.75">
      <c r="A34359" s="8">
        <v>43889.020891203705</v>
      </c>
      <c r="B34359" s="8" t="str">
        <f>HYPERLINK("https://twitter.com/bolabangetidn","@bolabangetidn")</f>
        <v>@bolabangetidn</v>
      </c>
      <c r="C34359" s="8" t="s">
        <v>13077</v>
      </c>
      <c r="D34359" s="8">
        <v>0</v>
      </c>
      <c r="E34359" s="8">
        <v>0</v>
      </c>
      <c r="F34359" s="8">
        <v>498</v>
      </c>
    </row>
    <row r="34360" spans="1:6" ht="12.75">
      <c r="A34360" s="8">
        <v>43889.020671296297</v>
      </c>
      <c r="B34360" s="8" t="str">
        <f>HYPERLINK("https://twitter.com/Aryprasetyo85","@Aryprasetyo85")</f>
        <v>@Aryprasetyo85</v>
      </c>
      <c r="C34360" s="8" t="s">
        <v>13056</v>
      </c>
      <c r="D34360" s="8">
        <v>2</v>
      </c>
      <c r="E34360" s="8">
        <v>0</v>
      </c>
      <c r="F34360" s="8">
        <v>39453</v>
      </c>
    </row>
    <row r="34361" spans="1:6" ht="12.75">
      <c r="A34361" s="8">
        <v>43889.019224537042</v>
      </c>
      <c r="B34361" s="8" t="str">
        <f>HYPERLINK("https://twitter.com/Dea_nnd","@Dea_nnd")</f>
        <v>@Dea_nnd</v>
      </c>
      <c r="C34361" s="8" t="s">
        <v>6863</v>
      </c>
      <c r="D34361" s="8">
        <v>275</v>
      </c>
      <c r="E34361" s="8">
        <v>0</v>
      </c>
      <c r="F34361" s="8">
        <v>1</v>
      </c>
    </row>
    <row r="34362" spans="1:6" ht="12.75">
      <c r="A34362" s="8">
        <v>43889.01834490741</v>
      </c>
      <c r="B34362" s="8" t="str">
        <f>HYPERLINK("https://twitter.com/sputniksweetpea","@sputniksweetpea")</f>
        <v>@sputniksweetpea</v>
      </c>
      <c r="C34362" s="8" t="s">
        <v>11102</v>
      </c>
      <c r="D34362" s="8">
        <v>54</v>
      </c>
      <c r="E34362" s="8">
        <v>0</v>
      </c>
      <c r="F34362" s="8">
        <v>144</v>
      </c>
    </row>
    <row r="34363" spans="1:6" ht="12.75">
      <c r="A34363" s="8">
        <v>43889.017974537041</v>
      </c>
      <c r="B34363" s="8" t="str">
        <f>HYPERLINK("https://twitter.com/cujarieana","@cujarieana")</f>
        <v>@cujarieana</v>
      </c>
      <c r="C34363" s="8" t="s">
        <v>11102</v>
      </c>
      <c r="D34363" s="8">
        <v>54</v>
      </c>
      <c r="E34363" s="8">
        <v>0</v>
      </c>
      <c r="F34363" s="8">
        <v>704</v>
      </c>
    </row>
    <row r="34364" spans="1:6" ht="12.75">
      <c r="A34364" s="8">
        <v>43889.017453703702</v>
      </c>
      <c r="B34364" s="8" t="str">
        <f>HYPERLINK("https://twitter.com/merdekadotcom","@merdekadotcom")</f>
        <v>@merdekadotcom</v>
      </c>
      <c r="C34364" s="8" t="s">
        <v>13078</v>
      </c>
      <c r="D34364" s="8">
        <v>0</v>
      </c>
      <c r="E34364" s="8">
        <v>2</v>
      </c>
      <c r="F34364" s="8">
        <v>231030</v>
      </c>
    </row>
    <row r="34365" spans="1:6" ht="12.75">
      <c r="A34365" s="8">
        <v>43889.017372685186</v>
      </c>
      <c r="B34365" s="8" t="str">
        <f>HYPERLINK("https://twitter.com/AgusSup39011241","@AgusSup39011241")</f>
        <v>@AgusSup39011241</v>
      </c>
      <c r="C34365" s="8" t="s">
        <v>13079</v>
      </c>
      <c r="D34365" s="8">
        <v>418</v>
      </c>
      <c r="E34365" s="8">
        <v>0</v>
      </c>
      <c r="F34365" s="8">
        <v>10337</v>
      </c>
    </row>
    <row r="34366" spans="1:6" ht="12.75">
      <c r="A34366" s="8">
        <v>43889.01734953704</v>
      </c>
      <c r="B34366" s="8" t="str">
        <f>HYPERLINK("https://twitter.com/rotiitawar","@rotiitawar")</f>
        <v>@rotiitawar</v>
      </c>
      <c r="C34366" s="8" t="s">
        <v>593</v>
      </c>
      <c r="D34366" s="8">
        <v>420</v>
      </c>
      <c r="E34366" s="8">
        <v>0</v>
      </c>
      <c r="F34366" s="8">
        <v>0</v>
      </c>
    </row>
    <row r="34367" spans="1:6" ht="12.75">
      <c r="A34367" s="8">
        <v>43889.017118055555</v>
      </c>
      <c r="B34367" s="8" t="str">
        <f>HYPERLINK("https://twitter.com/harsono_afen_","@harsono_afen_")</f>
        <v>@harsono_afen_</v>
      </c>
      <c r="C34367" s="8" t="s">
        <v>12928</v>
      </c>
      <c r="D34367" s="8">
        <v>6</v>
      </c>
      <c r="E34367" s="8">
        <v>0</v>
      </c>
      <c r="F34367" s="8">
        <v>1639</v>
      </c>
    </row>
    <row r="34368" spans="1:6" ht="12.75">
      <c r="A34368" s="8">
        <v>43889.017071759255</v>
      </c>
      <c r="B34368" s="8" t="str">
        <f>HYPERLINK("https://twitter.com/becak125cc","@becak125cc")</f>
        <v>@becak125cc</v>
      </c>
      <c r="C34368" s="8" t="s">
        <v>13080</v>
      </c>
      <c r="D34368" s="8">
        <v>5</v>
      </c>
      <c r="E34368" s="8">
        <v>0</v>
      </c>
      <c r="F34368" s="8">
        <v>535</v>
      </c>
    </row>
    <row r="34369" spans="1:6" ht="12.75">
      <c r="A34369" s="8">
        <v>43889.016956018517</v>
      </c>
      <c r="B34369" s="8" t="str">
        <f>HYPERLINK("https://twitter.com/harihariono1","@harihariono1")</f>
        <v>@harihariono1</v>
      </c>
      <c r="C34369" s="8" t="s">
        <v>12928</v>
      </c>
      <c r="D34369" s="8">
        <v>6</v>
      </c>
      <c r="E34369" s="8">
        <v>0</v>
      </c>
      <c r="F34369" s="8">
        <v>9460</v>
      </c>
    </row>
    <row r="34370" spans="1:6" ht="12.75">
      <c r="A34370" s="8">
        <v>43889.016805555555</v>
      </c>
      <c r="B34370" s="8" t="str">
        <f>HYPERLINK("https://twitter.com/PPurwanegara","@PPurwanegara")</f>
        <v>@PPurwanegara</v>
      </c>
      <c r="C34370" s="8" t="s">
        <v>13081</v>
      </c>
      <c r="D34370" s="8">
        <v>0</v>
      </c>
      <c r="E34370" s="8">
        <v>0</v>
      </c>
      <c r="F34370" s="8">
        <v>14</v>
      </c>
    </row>
    <row r="34371" spans="1:6" ht="12.75">
      <c r="A34371" s="8">
        <v>43889.016724537039</v>
      </c>
      <c r="B34371" s="8" t="str">
        <f>HYPERLINK("https://twitter.com/KNGHTPHNx","@KNGHTPHNx")</f>
        <v>@KNGHTPHNx</v>
      </c>
      <c r="C34371" s="8" t="s">
        <v>11102</v>
      </c>
      <c r="D34371" s="8">
        <v>54</v>
      </c>
      <c r="E34371" s="8">
        <v>0</v>
      </c>
      <c r="F34371" s="8">
        <v>723</v>
      </c>
    </row>
    <row r="34372" spans="1:6" ht="12.75">
      <c r="A34372" s="8">
        <v>43889.016215277778</v>
      </c>
      <c r="B34372" s="8" t="str">
        <f>HYPERLINK("https://twitter.com/suradiparlan5","@suradiparlan5")</f>
        <v>@suradiparlan5</v>
      </c>
      <c r="C34372" s="8" t="s">
        <v>13082</v>
      </c>
      <c r="D34372" s="8">
        <v>0</v>
      </c>
      <c r="E34372" s="8">
        <v>0</v>
      </c>
      <c r="F34372" s="8">
        <v>1376</v>
      </c>
    </row>
    <row r="34373" spans="1:6" ht="12.75">
      <c r="A34373" s="8">
        <v>43889.015324074076</v>
      </c>
      <c r="B34373" s="8" t="str">
        <f>HYPERLINK("https://twitter.com/sayabaiktaw","@sayabaiktaw")</f>
        <v>@sayabaiktaw</v>
      </c>
      <c r="C34373" s="8" t="s">
        <v>13083</v>
      </c>
      <c r="D34373" s="8">
        <v>2</v>
      </c>
      <c r="E34373" s="8">
        <v>0</v>
      </c>
      <c r="F34373" s="8">
        <v>78</v>
      </c>
    </row>
    <row r="34374" spans="1:6" ht="12.75">
      <c r="A34374" s="8">
        <v>43889.015046296292</v>
      </c>
      <c r="B34374" s="8" t="str">
        <f>HYPERLINK("https://twitter.com/becak125cc","@becak125cc")</f>
        <v>@becak125cc</v>
      </c>
      <c r="C34374" s="8" t="s">
        <v>13084</v>
      </c>
      <c r="D34374" s="8">
        <v>26</v>
      </c>
      <c r="E34374" s="8">
        <v>0</v>
      </c>
      <c r="F34374" s="8">
        <v>535</v>
      </c>
    </row>
    <row r="34375" spans="1:6" ht="12.75">
      <c r="A34375" s="8">
        <v>43889.014849537038</v>
      </c>
      <c r="B34375" s="8" t="str">
        <f>HYPERLINK("https://twitter.com/AdelinaAurelia","@AdelinaAurelia")</f>
        <v>@AdelinaAurelia</v>
      </c>
      <c r="C34375" s="8" t="s">
        <v>13085</v>
      </c>
      <c r="D34375" s="8">
        <v>0</v>
      </c>
      <c r="E34375" s="8">
        <v>0</v>
      </c>
      <c r="F34375" s="8">
        <v>75</v>
      </c>
    </row>
    <row r="34376" spans="1:6" ht="12.75">
      <c r="A34376" s="8">
        <v>43889.014537037037</v>
      </c>
      <c r="B34376" s="8" t="str">
        <f>HYPERLINK("https://twitter.com/becak125cc","@becak125cc")</f>
        <v>@becak125cc</v>
      </c>
      <c r="C34376" s="8" t="s">
        <v>13086</v>
      </c>
      <c r="D34376" s="8">
        <v>19</v>
      </c>
      <c r="E34376" s="8">
        <v>0</v>
      </c>
      <c r="F34376" s="8">
        <v>535</v>
      </c>
    </row>
    <row r="34377" spans="1:6" ht="12.75">
      <c r="A34377" s="8">
        <v>43889.01394675926</v>
      </c>
      <c r="B34377" s="8" t="str">
        <f>HYPERLINK("https://twitter.com/ixi_iman","@ixi_iman")</f>
        <v>@ixi_iman</v>
      </c>
      <c r="C34377" s="8" t="s">
        <v>13087</v>
      </c>
      <c r="D34377" s="8">
        <v>0</v>
      </c>
      <c r="E34377" s="8">
        <v>0</v>
      </c>
      <c r="F34377" s="8">
        <v>209</v>
      </c>
    </row>
    <row r="34378" spans="1:6" ht="12.75">
      <c r="A34378" s="8">
        <v>43889.013275462959</v>
      </c>
      <c r="B34378" s="8" t="str">
        <f>HYPERLINK("https://twitter.com/Jazedw","@Jazedw")</f>
        <v>@Jazedw</v>
      </c>
      <c r="C34378" s="8" t="s">
        <v>12844</v>
      </c>
      <c r="D34378" s="8">
        <v>9</v>
      </c>
      <c r="E34378" s="8">
        <v>0</v>
      </c>
      <c r="F34378" s="8">
        <v>3151</v>
      </c>
    </row>
    <row r="34379" spans="1:6" ht="12.75">
      <c r="A34379" s="8">
        <v>43889.013113425928</v>
      </c>
      <c r="B34379" s="8" t="str">
        <f>HYPERLINK("https://twitter.com/visitortwt1","@visitortwt1")</f>
        <v>@visitortwt1</v>
      </c>
      <c r="C34379" s="8" t="s">
        <v>12928</v>
      </c>
      <c r="D34379" s="8">
        <v>6</v>
      </c>
      <c r="E34379" s="8">
        <v>0</v>
      </c>
      <c r="F34379" s="8">
        <v>420</v>
      </c>
    </row>
    <row r="34380" spans="1:6" ht="12.75">
      <c r="A34380" s="8">
        <v>43889.012812500005</v>
      </c>
      <c r="B34380" s="8" t="str">
        <f>HYPERLINK("https://twitter.com/Amir_Faesal_70","@Amir_Faesal_70")</f>
        <v>@Amir_Faesal_70</v>
      </c>
      <c r="C34380" s="8" t="s">
        <v>13088</v>
      </c>
      <c r="D34380" s="8">
        <v>11</v>
      </c>
      <c r="E34380" s="8">
        <v>0</v>
      </c>
      <c r="F34380" s="8">
        <v>1681</v>
      </c>
    </row>
    <row r="34381" spans="1:6" ht="12.75">
      <c r="A34381" s="8">
        <v>43889.012245370366</v>
      </c>
      <c r="B34381" s="8" t="str">
        <f>HYPERLINK("https://twitter.com/LuqmanFadzill","@LuqmanFadzill")</f>
        <v>@LuqmanFadzill</v>
      </c>
      <c r="C34381" s="8" t="s">
        <v>11102</v>
      </c>
      <c r="D34381" s="8">
        <v>54</v>
      </c>
      <c r="E34381" s="8">
        <v>0</v>
      </c>
      <c r="F34381" s="8">
        <v>910</v>
      </c>
    </row>
    <row r="34382" spans="1:6" ht="12.75">
      <c r="A34382" s="8">
        <v>43889.012002314819</v>
      </c>
      <c r="B34382" s="8" t="str">
        <f>HYPERLINK("https://twitter.com/alfiliaazani","@alfiliaazani")</f>
        <v>@alfiliaazani</v>
      </c>
      <c r="C34382" s="8" t="s">
        <v>13089</v>
      </c>
      <c r="D34382" s="8">
        <v>0</v>
      </c>
      <c r="E34382" s="8">
        <v>2</v>
      </c>
      <c r="F34382" s="8">
        <v>1015</v>
      </c>
    </row>
    <row r="34383" spans="1:6" ht="12.75">
      <c r="A34383" s="8">
        <v>43889.012002314819</v>
      </c>
      <c r="B34383" s="8" t="str">
        <f>HYPERLINK("https://twitter.com/Sayedshuaib_","@Sayedshuaib_")</f>
        <v>@Sayedshuaib_</v>
      </c>
      <c r="C34383" s="8" t="s">
        <v>13090</v>
      </c>
      <c r="D34383" s="8">
        <v>0</v>
      </c>
      <c r="E34383" s="8">
        <v>0</v>
      </c>
      <c r="F34383" s="8">
        <v>448</v>
      </c>
    </row>
    <row r="34384" spans="1:6" ht="12.75">
      <c r="A34384" s="8">
        <v>43889.011759259258</v>
      </c>
      <c r="B34384" s="8" t="str">
        <f>HYPERLINK("https://twitter.com/achdanSd","@achdanSd")</f>
        <v>@achdanSd</v>
      </c>
      <c r="C34384" s="8" t="s">
        <v>12928</v>
      </c>
      <c r="D34384" s="8">
        <v>6</v>
      </c>
      <c r="E34384" s="8">
        <v>0</v>
      </c>
      <c r="F34384" s="8">
        <v>929</v>
      </c>
    </row>
    <row r="34385" spans="1:6" ht="12.75">
      <c r="A34385" s="8">
        <v>43889.011099537034</v>
      </c>
      <c r="B34385" s="8" t="str">
        <f>HYPERLINK("https://twitter.com/LahAkuKenapa","@LahAkuKenapa")</f>
        <v>@LahAkuKenapa</v>
      </c>
      <c r="C34385" s="8" t="s">
        <v>13091</v>
      </c>
      <c r="D34385" s="8">
        <v>50</v>
      </c>
      <c r="E34385" s="8">
        <v>0</v>
      </c>
      <c r="F34385" s="8">
        <v>4335</v>
      </c>
    </row>
    <row r="34386" spans="1:6" ht="12.75">
      <c r="A34386" s="8">
        <v>43889.010567129633</v>
      </c>
      <c r="B34386" s="8" t="str">
        <f>HYPERLINK("https://twitter.com/AtlanTsabit","@AtlanTsabit")</f>
        <v>@AtlanTsabit</v>
      </c>
      <c r="C34386" s="8" t="s">
        <v>13092</v>
      </c>
      <c r="D34386" s="8">
        <v>0</v>
      </c>
      <c r="E34386" s="8">
        <v>0</v>
      </c>
      <c r="F34386" s="8">
        <v>567</v>
      </c>
    </row>
    <row r="34387" spans="1:6" ht="12.75">
      <c r="A34387" s="8">
        <v>43889.009675925925</v>
      </c>
      <c r="B34387" s="8" t="str">
        <f>HYPERLINK("https://twitter.com/Airin_NZ","@Airin_NZ")</f>
        <v>@Airin_NZ</v>
      </c>
      <c r="C34387" s="8" t="s">
        <v>13093</v>
      </c>
      <c r="D34387" s="8">
        <v>6</v>
      </c>
      <c r="E34387" s="8">
        <v>34</v>
      </c>
      <c r="F34387" s="8">
        <v>53949</v>
      </c>
    </row>
    <row r="34388" spans="1:6" ht="12.75">
      <c r="A34388" s="8">
        <v>43889.009375000001</v>
      </c>
      <c r="B34388" s="8" t="str">
        <f>HYPERLINK("https://twitter.com/C41__5R","@C41__5R")</f>
        <v>@C41__5R</v>
      </c>
      <c r="C34388" s="8" t="s">
        <v>13094</v>
      </c>
      <c r="D34388" s="8">
        <v>0</v>
      </c>
      <c r="E34388" s="8">
        <v>0</v>
      </c>
      <c r="F34388" s="8">
        <v>538</v>
      </c>
    </row>
    <row r="34389" spans="1:6" ht="12.75">
      <c r="A34389" s="8">
        <v>43889.009074074071</v>
      </c>
      <c r="B34389" s="8" t="str">
        <f>HYPERLINK("https://twitter.com/BuserBhindo","@BuserBhindo")</f>
        <v>@BuserBhindo</v>
      </c>
      <c r="C34389" s="8" t="s">
        <v>13095</v>
      </c>
      <c r="D34389" s="8">
        <v>0</v>
      </c>
      <c r="E34389" s="8">
        <v>0</v>
      </c>
      <c r="F34389" s="8">
        <v>2</v>
      </c>
    </row>
    <row r="34390" spans="1:6" ht="12.75">
      <c r="A34390" s="8">
        <v>43889.008981481486</v>
      </c>
      <c r="B34390" s="8" t="str">
        <f>HYPERLINK("https://twitter.com/ba_ger91","@ba_ger91")</f>
        <v>@ba_ger91</v>
      </c>
      <c r="C34390" s="8" t="s">
        <v>13096</v>
      </c>
      <c r="D34390" s="8">
        <v>0</v>
      </c>
      <c r="E34390" s="8">
        <v>1</v>
      </c>
      <c r="F34390" s="8">
        <v>1817</v>
      </c>
    </row>
    <row r="34391" spans="1:6" ht="12.75">
      <c r="A34391" s="8">
        <v>43889.00818287037</v>
      </c>
      <c r="B34391" s="8" t="str">
        <f t="shared" ref="B34391:B34393" si="482">HYPERLINK("https://twitter.com/gunoto7","@gunoto7")</f>
        <v>@gunoto7</v>
      </c>
      <c r="C34391" s="8" t="s">
        <v>13097</v>
      </c>
      <c r="D34391" s="8">
        <v>45</v>
      </c>
      <c r="E34391" s="8">
        <v>0</v>
      </c>
      <c r="F34391" s="8">
        <v>2799</v>
      </c>
    </row>
    <row r="34392" spans="1:6" ht="12.75">
      <c r="A34392" s="8">
        <v>43889.007893518516</v>
      </c>
      <c r="B34392" s="8" t="str">
        <f t="shared" si="482"/>
        <v>@gunoto7</v>
      </c>
      <c r="C34392" s="8" t="s">
        <v>13091</v>
      </c>
      <c r="D34392" s="8">
        <v>50</v>
      </c>
      <c r="E34392" s="8">
        <v>0</v>
      </c>
      <c r="F34392" s="8">
        <v>2799</v>
      </c>
    </row>
    <row r="34393" spans="1:6" ht="12.75">
      <c r="A34393" s="8">
        <v>43889.007581018523</v>
      </c>
      <c r="B34393" s="8" t="str">
        <f t="shared" si="482"/>
        <v>@gunoto7</v>
      </c>
      <c r="C34393" s="8" t="s">
        <v>13098</v>
      </c>
      <c r="D34393" s="8">
        <v>55</v>
      </c>
      <c r="E34393" s="8">
        <v>0</v>
      </c>
      <c r="F34393" s="8">
        <v>2799</v>
      </c>
    </row>
    <row r="34394" spans="1:6" ht="12.75">
      <c r="A34394" s="8">
        <v>43889.007337962961</v>
      </c>
      <c r="B34394" s="8" t="str">
        <f>HYPERLINK("https://twitter.com/Choiruuulll","@Choiruuulll")</f>
        <v>@Choiruuulll</v>
      </c>
      <c r="C34394" s="8" t="s">
        <v>13099</v>
      </c>
      <c r="D34394" s="8">
        <v>0</v>
      </c>
      <c r="E34394" s="8">
        <v>0</v>
      </c>
      <c r="F34394" s="8">
        <v>552</v>
      </c>
    </row>
    <row r="34395" spans="1:6" ht="12.75">
      <c r="A34395" s="8">
        <v>43889.007106481484</v>
      </c>
      <c r="B34395" s="8" t="str">
        <f>HYPERLINK("https://twitter.com/HariMulyawan50","@HariMulyawan50")</f>
        <v>@HariMulyawan50</v>
      </c>
      <c r="C34395" s="8" t="s">
        <v>13100</v>
      </c>
      <c r="D34395" s="8">
        <v>1</v>
      </c>
      <c r="E34395" s="8">
        <v>0</v>
      </c>
      <c r="F34395" s="8">
        <v>64</v>
      </c>
    </row>
    <row r="34396" spans="1:6" ht="12.75">
      <c r="A34396" s="8">
        <v>43889.006747685184</v>
      </c>
      <c r="B34396" s="8" t="str">
        <f>HYPERLINK("https://twitter.com/IngNa70","@IngNa70")</f>
        <v>@IngNa70</v>
      </c>
      <c r="C34396" s="8" t="s">
        <v>13101</v>
      </c>
      <c r="D34396" s="8">
        <v>5</v>
      </c>
      <c r="E34396" s="8">
        <v>0</v>
      </c>
      <c r="F34396" s="8">
        <v>576</v>
      </c>
    </row>
    <row r="34397" spans="1:6" ht="12.75">
      <c r="A34397" s="8">
        <v>43889.006412037037</v>
      </c>
      <c r="B34397" s="8" t="str">
        <f>HYPERLINK("https://twitter.com/mr_capricornn","@mr_capricornn")</f>
        <v>@mr_capricornn</v>
      </c>
      <c r="C34397" s="8" t="s">
        <v>6863</v>
      </c>
      <c r="D34397" s="8">
        <v>271</v>
      </c>
      <c r="E34397" s="8">
        <v>0</v>
      </c>
      <c r="F34397" s="8">
        <v>2454</v>
      </c>
    </row>
    <row r="34398" spans="1:6" ht="12.75">
      <c r="A34398" s="8">
        <v>43889.006296296298</v>
      </c>
      <c r="B34398" s="8" t="str">
        <f>HYPERLINK("https://twitter.com/yusakronny","@yusakronny")</f>
        <v>@yusakronny</v>
      </c>
      <c r="C34398" s="8" t="s">
        <v>13102</v>
      </c>
      <c r="D34398" s="8">
        <v>0</v>
      </c>
      <c r="E34398" s="8">
        <v>0</v>
      </c>
      <c r="F34398" s="8">
        <v>293</v>
      </c>
    </row>
    <row r="34399" spans="1:6" ht="12.75">
      <c r="A34399" s="8">
        <v>43889.005520833336</v>
      </c>
      <c r="B34399" s="8" t="str">
        <f>HYPERLINK("https://twitter.com/padnyadiliana","@padnyadiliana")</f>
        <v>@padnyadiliana</v>
      </c>
      <c r="C34399" s="8" t="s">
        <v>6863</v>
      </c>
      <c r="D34399" s="8">
        <v>271</v>
      </c>
      <c r="E34399" s="8">
        <v>0</v>
      </c>
      <c r="F34399" s="8">
        <v>804</v>
      </c>
    </row>
    <row r="34400" spans="1:6" ht="12.75">
      <c r="A34400" s="8">
        <v>43889.005300925928</v>
      </c>
      <c r="B34400" s="8" t="str">
        <f>HYPERLINK("https://twitter.com/abhaymishra09","@abhaymishra09")</f>
        <v>@abhaymishra09</v>
      </c>
      <c r="C34400" s="8" t="s">
        <v>13103</v>
      </c>
      <c r="D34400" s="8">
        <v>0</v>
      </c>
      <c r="E34400" s="8">
        <v>0</v>
      </c>
      <c r="F34400" s="8">
        <v>413</v>
      </c>
    </row>
    <row r="34401" spans="1:6" ht="12.75">
      <c r="A34401" s="8">
        <v>43889.005289351851</v>
      </c>
      <c r="B34401" s="8" t="str">
        <f>HYPERLINK("https://twitter.com/ridwanBsaputra","@ridwanBsaputra")</f>
        <v>@ridwanBsaputra</v>
      </c>
      <c r="C34401" s="8" t="s">
        <v>12730</v>
      </c>
      <c r="D34401" s="8">
        <v>83</v>
      </c>
      <c r="E34401" s="8">
        <v>0</v>
      </c>
      <c r="F34401" s="8">
        <v>226</v>
      </c>
    </row>
    <row r="34402" spans="1:6" ht="12.75">
      <c r="A34402" s="8">
        <v>43889.005046296297</v>
      </c>
      <c r="B34402" s="8" t="str">
        <f>HYPERLINK("https://twitter.com/Gofan79","@Gofan79")</f>
        <v>@Gofan79</v>
      </c>
      <c r="C34402" s="8" t="s">
        <v>6888</v>
      </c>
      <c r="D34402" s="8">
        <v>23</v>
      </c>
      <c r="E34402" s="8">
        <v>0</v>
      </c>
      <c r="F34402" s="8">
        <v>3</v>
      </c>
    </row>
    <row r="34403" spans="1:6" ht="12.75">
      <c r="A34403" s="8">
        <v>43889.003599537042</v>
      </c>
      <c r="B34403" s="8" t="str">
        <f>HYPERLINK("https://twitter.com/haunt2","@haunt2")</f>
        <v>@haunt2</v>
      </c>
      <c r="C34403" s="8" t="s">
        <v>11102</v>
      </c>
      <c r="D34403" s="8">
        <v>48</v>
      </c>
      <c r="E34403" s="8">
        <v>0</v>
      </c>
      <c r="F34403" s="8">
        <v>2661</v>
      </c>
    </row>
    <row r="34404" spans="1:6" ht="12.75">
      <c r="A34404" s="8">
        <v>43889.003587962958</v>
      </c>
      <c r="B34404" s="8" t="str">
        <f>HYPERLINK("https://twitter.com/davidmigoldberg","@davidmigoldberg")</f>
        <v>@davidmigoldberg</v>
      </c>
      <c r="C34404" s="8" t="s">
        <v>13104</v>
      </c>
      <c r="D34404" s="8">
        <v>0</v>
      </c>
      <c r="E34404" s="8">
        <v>0</v>
      </c>
      <c r="F34404" s="8">
        <v>351</v>
      </c>
    </row>
    <row r="34405" spans="1:6" ht="12.75">
      <c r="A34405" s="8">
        <v>43889.003194444449</v>
      </c>
      <c r="B34405" s="8" t="str">
        <f>HYPERLINK("https://twitter.com/NareshLunagari3","@NareshLunagari3")</f>
        <v>@NareshLunagari3</v>
      </c>
      <c r="C34405" s="8" t="s">
        <v>13105</v>
      </c>
      <c r="D34405" s="8">
        <v>0</v>
      </c>
      <c r="E34405" s="8">
        <v>0</v>
      </c>
      <c r="F34405" s="8">
        <v>7</v>
      </c>
    </row>
    <row r="34406" spans="1:6" ht="12.75">
      <c r="A34406" s="8">
        <v>43889.002939814818</v>
      </c>
      <c r="B34406" s="8" t="str">
        <f t="shared" ref="B34406:B34407" si="483">HYPERLINK("https://twitter.com/sagakom","@sagakom")</f>
        <v>@sagakom</v>
      </c>
      <c r="C34406" s="8" t="s">
        <v>12943</v>
      </c>
      <c r="D34406" s="8">
        <v>0</v>
      </c>
      <c r="E34406" s="8">
        <v>0</v>
      </c>
      <c r="F34406" s="8">
        <v>284</v>
      </c>
    </row>
    <row r="34407" spans="1:6" ht="12.75">
      <c r="A34407" s="8">
        <v>43889.00271990741</v>
      </c>
      <c r="B34407" s="8" t="str">
        <f t="shared" si="483"/>
        <v>@sagakom</v>
      </c>
      <c r="C34407" s="8" t="s">
        <v>12944</v>
      </c>
      <c r="D34407" s="8">
        <v>0</v>
      </c>
      <c r="E34407" s="8">
        <v>0</v>
      </c>
      <c r="F34407" s="8">
        <v>284</v>
      </c>
    </row>
    <row r="34408" spans="1:6" ht="12.75">
      <c r="A34408" s="8">
        <v>43889.00271990741</v>
      </c>
      <c r="B34408" s="8" t="str">
        <f>HYPERLINK("https://twitter.com/prilcila","@prilcila")</f>
        <v>@prilcila</v>
      </c>
      <c r="C34408" s="8" t="s">
        <v>12603</v>
      </c>
      <c r="D34408" s="8">
        <v>9</v>
      </c>
      <c r="E34408" s="8">
        <v>0</v>
      </c>
      <c r="F34408" s="8">
        <v>1519</v>
      </c>
    </row>
    <row r="34409" spans="1:6" ht="12.75">
      <c r="A34409" s="8">
        <v>43889.002500000002</v>
      </c>
      <c r="B34409" s="8" t="str">
        <f>HYPERLINK("https://twitter.com/Reemeora1","@Reemeora1")</f>
        <v>@Reemeora1</v>
      </c>
      <c r="C34409" s="8" t="s">
        <v>13106</v>
      </c>
      <c r="D34409" s="8">
        <v>0</v>
      </c>
      <c r="E34409" s="8">
        <v>0</v>
      </c>
      <c r="F34409" s="8">
        <v>1340</v>
      </c>
    </row>
    <row r="34410" spans="1:6" ht="12.75">
      <c r="A34410" s="8">
        <v>43889.002349537041</v>
      </c>
      <c r="B34410" s="8" t="str">
        <f>HYPERLINK("https://twitter.com/Jeetparam1986","@Jeetparam1986")</f>
        <v>@Jeetparam1986</v>
      </c>
      <c r="C34410" s="8" t="s">
        <v>13107</v>
      </c>
      <c r="D34410" s="8">
        <v>1</v>
      </c>
      <c r="E34410" s="8">
        <v>0</v>
      </c>
      <c r="F34410" s="8">
        <v>1670</v>
      </c>
    </row>
    <row r="34411" spans="1:6" ht="12.75">
      <c r="A34411" s="8">
        <v>43889.002245370371</v>
      </c>
      <c r="B34411" s="8" t="str">
        <f>HYPERLINK("https://twitter.com/RofiNugrahaP","@RofiNugrahaP")</f>
        <v>@RofiNugrahaP</v>
      </c>
      <c r="C34411" s="8" t="s">
        <v>13108</v>
      </c>
      <c r="D34411" s="8">
        <v>19</v>
      </c>
      <c r="E34411" s="8">
        <v>0</v>
      </c>
      <c r="F34411" s="8">
        <v>6109</v>
      </c>
    </row>
    <row r="34412" spans="1:6" ht="12.75">
      <c r="A34412" s="8">
        <v>43889.002152777779</v>
      </c>
      <c r="B34412" s="8" t="str">
        <f>HYPERLINK("https://twitter.com/AnakKolong___","@AnakKolong___")</f>
        <v>@AnakKolong___</v>
      </c>
      <c r="C34412" s="8" t="s">
        <v>13086</v>
      </c>
      <c r="D34412" s="8">
        <v>18</v>
      </c>
      <c r="E34412" s="8">
        <v>0</v>
      </c>
      <c r="F34412" s="8">
        <v>7135</v>
      </c>
    </row>
    <row r="34413" spans="1:6" ht="12.75">
      <c r="A34413" s="8">
        <v>43889.002118055556</v>
      </c>
      <c r="B34413" s="8" t="str">
        <f>HYPERLINK("https://twitter.com/Rahman_Nashir","@Rahman_Nashir")</f>
        <v>@Rahman_Nashir</v>
      </c>
      <c r="C34413" s="8" t="s">
        <v>10943</v>
      </c>
      <c r="D34413" s="8">
        <v>9</v>
      </c>
      <c r="E34413" s="8">
        <v>0</v>
      </c>
      <c r="F34413" s="8">
        <v>3006</v>
      </c>
    </row>
    <row r="34414" spans="1:6" ht="12.75">
      <c r="A34414" s="8">
        <v>43889.001863425925</v>
      </c>
      <c r="B34414" s="8" t="str">
        <f>HYPERLINK("https://twitter.com/UrubingDilah","@UrubingDilah")</f>
        <v>@UrubingDilah</v>
      </c>
      <c r="C34414" s="8" t="s">
        <v>13084</v>
      </c>
      <c r="D34414" s="8">
        <v>25</v>
      </c>
      <c r="E34414" s="8">
        <v>0</v>
      </c>
      <c r="F34414" s="8">
        <v>1363</v>
      </c>
    </row>
    <row r="34415" spans="1:6" ht="12.75">
      <c r="A34415" s="8">
        <v>43889.001620370371</v>
      </c>
      <c r="B34415" s="8" t="str">
        <f>HYPERLINK("https://twitter.com/Ahuang2505","@Ahuang2505")</f>
        <v>@Ahuang2505</v>
      </c>
      <c r="C34415" s="8" t="s">
        <v>13101</v>
      </c>
      <c r="D34415" s="8">
        <v>5</v>
      </c>
      <c r="E34415" s="8">
        <v>0</v>
      </c>
      <c r="F34415" s="8">
        <v>8</v>
      </c>
    </row>
    <row r="34416" spans="1:6" ht="12.75">
      <c r="A34416" s="8">
        <v>43889.001469907409</v>
      </c>
      <c r="B34416" s="8" t="str">
        <f>HYPERLINK("https://twitter.com/7endralKad_run","@7endralKad_run")</f>
        <v>@7endralKad_run</v>
      </c>
      <c r="C34416" s="8" t="s">
        <v>13084</v>
      </c>
      <c r="D34416" s="8">
        <v>25</v>
      </c>
      <c r="E34416" s="8">
        <v>0</v>
      </c>
      <c r="F34416" s="8">
        <v>693</v>
      </c>
    </row>
    <row r="34417" spans="1:6" ht="12.75">
      <c r="A34417" s="8">
        <v>43889.001435185186</v>
      </c>
      <c r="B34417" s="8" t="str">
        <f>HYPERLINK("https://twitter.com/fandy18058347","@fandy18058347")</f>
        <v>@fandy18058347</v>
      </c>
      <c r="C34417" s="8" t="s">
        <v>13109</v>
      </c>
      <c r="D34417" s="8">
        <v>0</v>
      </c>
      <c r="E34417" s="8">
        <v>0</v>
      </c>
      <c r="F34417" s="8">
        <v>222</v>
      </c>
    </row>
    <row r="34418" spans="1:6" ht="12.75">
      <c r="A34418" s="8">
        <v>43889.001435185186</v>
      </c>
      <c r="B34418" s="8" t="str">
        <f>HYPERLINK("https://twitter.com/BonnieAjah","@BonnieAjah")</f>
        <v>@BonnieAjah</v>
      </c>
      <c r="C34418" s="8" t="s">
        <v>13084</v>
      </c>
      <c r="D34418" s="8">
        <v>25</v>
      </c>
      <c r="E34418" s="8">
        <v>0</v>
      </c>
      <c r="F34418" s="8">
        <v>4275</v>
      </c>
    </row>
    <row r="34419" spans="1:6" ht="12.75">
      <c r="A34419" s="8">
        <v>43889.001064814816</v>
      </c>
      <c r="B34419" s="8" t="str">
        <f>HYPERLINK("https://twitter.com/Nuraji19am","@Nuraji19am")</f>
        <v>@Nuraji19am</v>
      </c>
      <c r="C34419" s="8" t="s">
        <v>12484</v>
      </c>
      <c r="D34419" s="8">
        <v>24</v>
      </c>
      <c r="E34419" s="8">
        <v>0</v>
      </c>
      <c r="F34419" s="8">
        <v>268</v>
      </c>
    </row>
    <row r="34420" spans="1:6" ht="12.75">
      <c r="A34420" s="8">
        <v>43889.000983796301</v>
      </c>
      <c r="B34420" s="8" t="str">
        <f>HYPERLINK("https://twitter.com/AnakKolong___","@AnakKolong___")</f>
        <v>@AnakKolong___</v>
      </c>
      <c r="C34420" s="8" t="s">
        <v>13084</v>
      </c>
      <c r="D34420" s="8">
        <v>25</v>
      </c>
      <c r="E34420" s="8">
        <v>0</v>
      </c>
      <c r="F34420" s="8">
        <v>7135</v>
      </c>
    </row>
    <row r="34421" spans="1:6" ht="12.75">
      <c r="A34421" s="8">
        <v>43889.00001157407</v>
      </c>
      <c r="B34421" s="8" t="str">
        <f>HYPERLINK("https://twitter.com/AndriyNCLR","@AndriyNCLR")</f>
        <v>@AndriyNCLR</v>
      </c>
      <c r="C34421" s="8" t="s">
        <v>8036</v>
      </c>
      <c r="D34421" s="8">
        <v>39</v>
      </c>
      <c r="E34421" s="8">
        <v>0</v>
      </c>
      <c r="F34421" s="8">
        <v>596</v>
      </c>
    </row>
    <row r="34422" spans="1:6" ht="12.75">
      <c r="A34422" s="8">
        <v>43888.999849537038</v>
      </c>
      <c r="B34422" s="8" t="str">
        <f>HYPERLINK("https://twitter.com/yusakronny","@yusakronny")</f>
        <v>@yusakronny</v>
      </c>
      <c r="C34422" s="8" t="s">
        <v>13007</v>
      </c>
      <c r="D34422" s="8">
        <v>13</v>
      </c>
      <c r="E34422" s="8">
        <v>0</v>
      </c>
      <c r="F34422" s="8">
        <v>293</v>
      </c>
    </row>
    <row r="34423" spans="1:6" ht="12.75">
      <c r="A34423" s="8">
        <v>43888.999513888892</v>
      </c>
      <c r="B34423" s="8" t="str">
        <f>HYPERLINK("https://twitter.com/pradk_","@pradk_")</f>
        <v>@pradk_</v>
      </c>
      <c r="C34423" s="8" t="s">
        <v>13110</v>
      </c>
      <c r="D34423" s="8">
        <v>0</v>
      </c>
      <c r="E34423" s="8">
        <v>0</v>
      </c>
      <c r="F34423" s="8">
        <v>88</v>
      </c>
    </row>
    <row r="34424" spans="1:6" ht="12.75">
      <c r="A34424" s="8">
        <v>43888.999351851853</v>
      </c>
      <c r="B34424" s="8" t="str">
        <f>HYPERLINK("https://twitter.com/toranaga3000","@toranaga3000")</f>
        <v>@toranaga3000</v>
      </c>
      <c r="C34424" s="8" t="s">
        <v>12071</v>
      </c>
      <c r="D34424" s="8">
        <v>29</v>
      </c>
      <c r="E34424" s="8">
        <v>0</v>
      </c>
      <c r="F34424" s="8">
        <v>2440</v>
      </c>
    </row>
    <row r="34425" spans="1:6" ht="12.75">
      <c r="A34425" s="8">
        <v>43888.998391203699</v>
      </c>
      <c r="B34425" s="8" t="str">
        <f>HYPERLINK("https://twitter.com/germantantra","@germantantra")</f>
        <v>@germantantra</v>
      </c>
      <c r="C34425" s="8" t="s">
        <v>13111</v>
      </c>
      <c r="D34425" s="8">
        <v>3</v>
      </c>
      <c r="E34425" s="8">
        <v>0</v>
      </c>
      <c r="F34425" s="8">
        <v>134</v>
      </c>
    </row>
    <row r="34426" spans="1:6" ht="12.75">
      <c r="A34426" s="8">
        <v>43888.997731481482</v>
      </c>
      <c r="B34426" s="8" t="str">
        <f>HYPERLINK("https://twitter.com/bagusdml","@bagusdml")</f>
        <v>@bagusdml</v>
      </c>
      <c r="C34426" s="8" t="s">
        <v>6863</v>
      </c>
      <c r="D34426" s="8">
        <v>271</v>
      </c>
      <c r="E34426" s="8">
        <v>0</v>
      </c>
      <c r="F34426" s="8">
        <v>1255</v>
      </c>
    </row>
    <row r="34427" spans="1:6" ht="12.75">
      <c r="A34427" s="8">
        <v>43888.997476851851</v>
      </c>
      <c r="B34427" s="8" t="str">
        <f>HYPERLINK("https://twitter.com/Nitizen_Zen","@Nitizen_Zen")</f>
        <v>@Nitizen_Zen</v>
      </c>
      <c r="C34427" s="8" t="s">
        <v>13112</v>
      </c>
      <c r="D34427" s="8">
        <v>4</v>
      </c>
      <c r="E34427" s="8">
        <v>0</v>
      </c>
      <c r="F34427" s="8">
        <v>456</v>
      </c>
    </row>
    <row r="34428" spans="1:6" ht="12.75">
      <c r="A34428" s="8">
        <v>43888.997048611112</v>
      </c>
      <c r="B34428" s="8" t="str">
        <f>HYPERLINK("https://twitter.com/badayramadhan","@badayramadhan")</f>
        <v>@badayramadhan</v>
      </c>
      <c r="C34428" s="8" t="s">
        <v>13113</v>
      </c>
      <c r="D34428" s="8">
        <v>0</v>
      </c>
      <c r="E34428" s="8">
        <v>0</v>
      </c>
      <c r="F34428" s="8">
        <v>589</v>
      </c>
    </row>
    <row r="34429" spans="1:6" ht="12.75">
      <c r="A34429" s="8">
        <v>43888.996990740736</v>
      </c>
      <c r="B34429" s="8" t="str">
        <f t="shared" ref="B34429:B34430" si="484">HYPERLINK("https://twitter.com/HaloBCA","@HaloBCA")</f>
        <v>@HaloBCA</v>
      </c>
      <c r="C34429" s="8" t="s">
        <v>13114</v>
      </c>
      <c r="D34429" s="8">
        <v>0</v>
      </c>
      <c r="E34429" s="8">
        <v>0</v>
      </c>
      <c r="F34429" s="8">
        <v>232145</v>
      </c>
    </row>
    <row r="34430" spans="1:6" ht="12.75">
      <c r="A34430" s="8">
        <v>43888.996990740736</v>
      </c>
      <c r="B34430" s="8" t="str">
        <f t="shared" si="484"/>
        <v>@HaloBCA</v>
      </c>
      <c r="C34430" s="8" t="s">
        <v>13115</v>
      </c>
      <c r="D34430" s="8">
        <v>0</v>
      </c>
      <c r="E34430" s="8">
        <v>0</v>
      </c>
      <c r="F34430" s="8">
        <v>232145</v>
      </c>
    </row>
    <row r="34431" spans="1:6" ht="12.75">
      <c r="A34431" s="8">
        <v>43888.996655092589</v>
      </c>
      <c r="B34431" s="8" t="str">
        <f>HYPERLINK("https://twitter.com/Tathaaasthu","@Tathaaasthu")</f>
        <v>@Tathaaasthu</v>
      </c>
      <c r="C34431" s="8" t="s">
        <v>13116</v>
      </c>
      <c r="D34431" s="8">
        <v>0</v>
      </c>
      <c r="E34431" s="8">
        <v>0</v>
      </c>
      <c r="F34431" s="8">
        <v>367</v>
      </c>
    </row>
    <row r="34432" spans="1:6" ht="12.75">
      <c r="A34432" s="8">
        <v>43888.995659722219</v>
      </c>
      <c r="B34432" s="8" t="str">
        <f>HYPERLINK("https://twitter.com/BENDRATKLATEN","@BENDRATKLATEN")</f>
        <v>@BENDRATKLATEN</v>
      </c>
      <c r="C34432" s="8" t="s">
        <v>13117</v>
      </c>
      <c r="D34432" s="8">
        <v>30</v>
      </c>
      <c r="E34432" s="8">
        <v>0</v>
      </c>
      <c r="F34432" s="8">
        <v>1624</v>
      </c>
    </row>
    <row r="34433" spans="1:6" ht="12.75">
      <c r="A34433" s="8">
        <v>43888.995624999996</v>
      </c>
      <c r="B34433" s="8" t="str">
        <f>HYPERLINK("https://twitter.com/aladintea70","@aladintea70")</f>
        <v>@aladintea70</v>
      </c>
      <c r="C34433" s="8" t="s">
        <v>12603</v>
      </c>
      <c r="D34433" s="8">
        <v>9</v>
      </c>
      <c r="E34433" s="8">
        <v>0</v>
      </c>
      <c r="F34433" s="8">
        <v>922</v>
      </c>
    </row>
    <row r="34434" spans="1:6" ht="12.75">
      <c r="A34434" s="8">
        <v>43888.995601851857</v>
      </c>
      <c r="B34434" s="8" t="str">
        <f>HYPERLINK("https://twitter.com/KorangJang","@KorangJang")</f>
        <v>@KorangJang</v>
      </c>
      <c r="C34434" s="8" t="s">
        <v>11773</v>
      </c>
      <c r="D34434" s="8">
        <v>448</v>
      </c>
      <c r="E34434" s="8">
        <v>0</v>
      </c>
      <c r="F34434" s="8">
        <v>218</v>
      </c>
    </row>
    <row r="34435" spans="1:6" ht="12.75">
      <c r="A34435" s="8">
        <v>43888.994988425926</v>
      </c>
      <c r="B34435" s="8" t="str">
        <f>HYPERLINK("https://twitter.com/ndlrw","@ndlrw")</f>
        <v>@ndlrw</v>
      </c>
      <c r="C34435" s="8" t="s">
        <v>13118</v>
      </c>
      <c r="D34435" s="8">
        <v>1606</v>
      </c>
      <c r="E34435" s="8">
        <v>0</v>
      </c>
      <c r="F34435" s="8">
        <v>2</v>
      </c>
    </row>
    <row r="34436" spans="1:6" ht="12.75">
      <c r="A34436" s="8">
        <v>43888.994884259257</v>
      </c>
      <c r="B34436" s="8" t="str">
        <f>HYPERLINK("https://twitter.com/77Edgar8","@77Edgar8")</f>
        <v>@77Edgar8</v>
      </c>
      <c r="C34436" s="8" t="s">
        <v>13119</v>
      </c>
      <c r="D34436" s="8">
        <v>0</v>
      </c>
      <c r="E34436" s="8">
        <v>0</v>
      </c>
      <c r="F34436" s="8">
        <v>458</v>
      </c>
    </row>
    <row r="34437" spans="1:6" ht="12.75">
      <c r="A34437" s="8">
        <v>43888.994733796295</v>
      </c>
      <c r="B34437" s="8" t="str">
        <f>HYPERLINK("https://twitter.com/merdekadotcom","@merdekadotcom")</f>
        <v>@merdekadotcom</v>
      </c>
      <c r="C34437" s="8" t="s">
        <v>13120</v>
      </c>
      <c r="D34437" s="8">
        <v>0</v>
      </c>
      <c r="E34437" s="8">
        <v>0</v>
      </c>
      <c r="F34437" s="8">
        <v>231028</v>
      </c>
    </row>
    <row r="34438" spans="1:6" ht="12.75">
      <c r="A34438" s="8">
        <v>43888.994618055556</v>
      </c>
      <c r="B34438" s="8" t="str">
        <f>HYPERLINK("https://twitter.com/azhar_can","@azhar_can")</f>
        <v>@azhar_can</v>
      </c>
      <c r="C34438" s="8" t="s">
        <v>13121</v>
      </c>
      <c r="D34438" s="8">
        <v>0</v>
      </c>
      <c r="E34438" s="8">
        <v>0</v>
      </c>
      <c r="F34438" s="8">
        <v>56</v>
      </c>
    </row>
    <row r="34439" spans="1:6" ht="12.75">
      <c r="A34439" s="8">
        <v>43888.994444444441</v>
      </c>
      <c r="B34439" s="8" t="str">
        <f>HYPERLINK("https://twitter.com/abethcia","@abethcia")</f>
        <v>@abethcia</v>
      </c>
      <c r="C34439" s="8" t="s">
        <v>13122</v>
      </c>
      <c r="D34439" s="8">
        <v>0</v>
      </c>
      <c r="E34439" s="8">
        <v>0</v>
      </c>
      <c r="F34439" s="8">
        <v>717</v>
      </c>
    </row>
    <row r="34440" spans="1:6" ht="12.75">
      <c r="A34440" s="8">
        <v>43888.992766203708</v>
      </c>
      <c r="B34440" s="8" t="str">
        <f>HYPERLINK("https://twitter.com/chairulachir","@chairulachir")</f>
        <v>@chairulachir</v>
      </c>
      <c r="C34440" s="8" t="s">
        <v>12603</v>
      </c>
      <c r="D34440" s="8">
        <v>9</v>
      </c>
      <c r="E34440" s="8">
        <v>0</v>
      </c>
      <c r="F34440" s="8">
        <v>2679</v>
      </c>
    </row>
    <row r="34441" spans="1:6" ht="12.75">
      <c r="A34441" s="8">
        <v>43888.992569444439</v>
      </c>
      <c r="B34441" s="8" t="str">
        <f>HYPERLINK("https://twitter.com/Ato04139675","@Ato04139675")</f>
        <v>@Ato04139675</v>
      </c>
      <c r="C34441" s="8" t="s">
        <v>12484</v>
      </c>
      <c r="D34441" s="8">
        <v>24</v>
      </c>
      <c r="E34441" s="8">
        <v>0</v>
      </c>
      <c r="F34441" s="8">
        <v>628</v>
      </c>
    </row>
    <row r="34442" spans="1:6" ht="12.75">
      <c r="A34442" s="8">
        <v>43888.99217592593</v>
      </c>
      <c r="B34442" s="8" t="str">
        <f>HYPERLINK("https://twitter.com/idntimes","@idntimes")</f>
        <v>@idntimes</v>
      </c>
      <c r="C34442" s="8" t="s">
        <v>13123</v>
      </c>
      <c r="D34442" s="8">
        <v>0</v>
      </c>
      <c r="E34442" s="8">
        <v>0</v>
      </c>
      <c r="F34442" s="8">
        <v>393579</v>
      </c>
    </row>
    <row r="34443" spans="1:6" ht="12.75">
      <c r="A34443" s="8">
        <v>43888.991990740746</v>
      </c>
      <c r="B34443" s="8" t="str">
        <f>HYPERLINK("https://twitter.com/Napen21","@Napen21")</f>
        <v>@Napen21</v>
      </c>
      <c r="C34443" s="8" t="s">
        <v>12603</v>
      </c>
      <c r="D34443" s="8">
        <v>9</v>
      </c>
      <c r="E34443" s="8">
        <v>0</v>
      </c>
      <c r="F34443" s="8">
        <v>2305</v>
      </c>
    </row>
    <row r="34444" spans="1:6" ht="12.75">
      <c r="A34444" s="8">
        <v>43888.991979166662</v>
      </c>
      <c r="B34444" s="8" t="str">
        <f>HYPERLINK("https://twitter.com/piesajeMY","@piesajeMY")</f>
        <v>@piesajeMY</v>
      </c>
      <c r="C34444" s="8" t="s">
        <v>11102</v>
      </c>
      <c r="D34444" s="8">
        <v>48</v>
      </c>
      <c r="E34444" s="8">
        <v>0</v>
      </c>
      <c r="F34444" s="8">
        <v>133</v>
      </c>
    </row>
    <row r="34445" spans="1:6" ht="12.75">
      <c r="A34445" s="8">
        <v>43888.991689814815</v>
      </c>
      <c r="B34445" s="8" t="str">
        <f>HYPERLINK("https://twitter.com/vivekverma_91","@vivekverma_91")</f>
        <v>@vivekverma_91</v>
      </c>
      <c r="C34445" s="8" t="s">
        <v>13124</v>
      </c>
      <c r="D34445" s="8">
        <v>0</v>
      </c>
      <c r="E34445" s="8">
        <v>0</v>
      </c>
      <c r="F34445" s="8">
        <v>71</v>
      </c>
    </row>
    <row r="34446" spans="1:6" ht="12.75">
      <c r="A34446" s="8">
        <v>43888.991631944446</v>
      </c>
      <c r="B34446" s="8" t="str">
        <f>HYPERLINK("https://twitter.com/MuzakiAhmad13","@MuzakiAhmad13")</f>
        <v>@MuzakiAhmad13</v>
      </c>
      <c r="C34446" s="8" t="s">
        <v>12143</v>
      </c>
      <c r="D34446" s="8">
        <v>324</v>
      </c>
      <c r="E34446" s="8">
        <v>0</v>
      </c>
      <c r="F34446" s="8">
        <v>83</v>
      </c>
    </row>
    <row r="34447" spans="1:6" ht="12.75">
      <c r="A34447" s="8">
        <v>43888.99155092593</v>
      </c>
      <c r="B34447" s="8" t="str">
        <f>HYPERLINK("https://twitter.com/Fadillanurrahm4","@Fadillanurrahm4")</f>
        <v>@Fadillanurrahm4</v>
      </c>
      <c r="C34447" s="8" t="s">
        <v>13125</v>
      </c>
      <c r="D34447" s="8">
        <v>0</v>
      </c>
      <c r="E34447" s="8">
        <v>0</v>
      </c>
      <c r="F34447" s="8">
        <v>19</v>
      </c>
    </row>
    <row r="34448" spans="1:6" ht="12.75">
      <c r="A34448" s="8">
        <v>43888.991412037038</v>
      </c>
      <c r="B34448" s="8" t="str">
        <f>HYPERLINK("https://twitter.com/awkyirun","@awkyirun")</f>
        <v>@awkyirun</v>
      </c>
      <c r="C34448" s="8" t="s">
        <v>11773</v>
      </c>
      <c r="D34448" s="8">
        <v>448</v>
      </c>
      <c r="E34448" s="8">
        <v>0</v>
      </c>
      <c r="F34448" s="8">
        <v>107</v>
      </c>
    </row>
    <row r="34449" spans="1:6" ht="12.75">
      <c r="A34449" s="8">
        <v>43888.99082175926</v>
      </c>
      <c r="B34449" s="8" t="str">
        <f>HYPERLINK("https://twitter.com/ales_arema","@ales_arema")</f>
        <v>@ales_arema</v>
      </c>
      <c r="C34449" s="8" t="s">
        <v>13126</v>
      </c>
      <c r="D34449" s="8">
        <v>0</v>
      </c>
      <c r="E34449" s="8">
        <v>0</v>
      </c>
      <c r="F34449" s="8">
        <v>3626</v>
      </c>
    </row>
    <row r="34450" spans="1:6" ht="12.75">
      <c r="A34450" s="8">
        <v>43888.99046296296</v>
      </c>
      <c r="B34450" s="8" t="str">
        <f>HYPERLINK("https://twitter.com/singgihk8","@singgihk8")</f>
        <v>@singgihk8</v>
      </c>
      <c r="C34450" s="8" t="s">
        <v>11773</v>
      </c>
      <c r="D34450" s="8">
        <v>448</v>
      </c>
      <c r="E34450" s="8">
        <v>0</v>
      </c>
      <c r="F34450" s="8">
        <v>1519</v>
      </c>
    </row>
    <row r="34451" spans="1:6" ht="12.75">
      <c r="A34451" s="8">
        <v>43888.990219907406</v>
      </c>
      <c r="B34451" s="8" t="str">
        <f>HYPERLINK("https://twitter.com/doyokijay","@doyokijay")</f>
        <v>@doyokijay</v>
      </c>
      <c r="C34451" s="8" t="s">
        <v>12603</v>
      </c>
      <c r="D34451" s="8">
        <v>9</v>
      </c>
      <c r="E34451" s="8">
        <v>0</v>
      </c>
      <c r="F34451" s="8">
        <v>314</v>
      </c>
    </row>
    <row r="34452" spans="1:6" ht="12.75">
      <c r="A34452" s="8">
        <v>43888.990127314813</v>
      </c>
      <c r="B34452" s="8" t="str">
        <f>HYPERLINK("https://twitter.com/dubie_tina","@dubie_tina")</f>
        <v>@dubie_tina</v>
      </c>
      <c r="C34452" s="8" t="s">
        <v>11773</v>
      </c>
      <c r="D34452" s="8">
        <v>448</v>
      </c>
      <c r="E34452" s="8">
        <v>0</v>
      </c>
      <c r="F34452" s="8">
        <v>1060</v>
      </c>
    </row>
    <row r="34453" spans="1:6" ht="12.75">
      <c r="A34453" s="8">
        <v>43888.990081018521</v>
      </c>
      <c r="B34453" s="8" t="str">
        <f>HYPERLINK("https://twitter.com/gambarjagad1926","@gambarjagad1926")</f>
        <v>@gambarjagad1926</v>
      </c>
      <c r="C34453" s="8" t="s">
        <v>12755</v>
      </c>
      <c r="D34453" s="8">
        <v>34</v>
      </c>
      <c r="E34453" s="8">
        <v>0</v>
      </c>
      <c r="F34453" s="8">
        <v>341</v>
      </c>
    </row>
    <row r="34454" spans="1:6" ht="12.75">
      <c r="A34454" s="8">
        <v>43888.990069444444</v>
      </c>
      <c r="B34454" s="8" t="str">
        <f>HYPERLINK("https://twitter.com/herlambang_tan","@herlambang_tan")</f>
        <v>@herlambang_tan</v>
      </c>
      <c r="C34454" s="8" t="s">
        <v>6863</v>
      </c>
      <c r="D34454" s="8">
        <v>271</v>
      </c>
      <c r="E34454" s="8">
        <v>0</v>
      </c>
      <c r="F34454" s="8">
        <v>2394</v>
      </c>
    </row>
    <row r="34455" spans="1:6" ht="12.75">
      <c r="A34455" s="8">
        <v>43888.990046296298</v>
      </c>
      <c r="B34455" s="8" t="str">
        <f>HYPERLINK("https://twitter.com/endahfjrh","@endahfjrh")</f>
        <v>@endahfjrh</v>
      </c>
      <c r="C34455" s="8" t="s">
        <v>13127</v>
      </c>
      <c r="D34455" s="8">
        <v>0</v>
      </c>
      <c r="E34455" s="8">
        <v>0</v>
      </c>
      <c r="F34455" s="8">
        <v>751</v>
      </c>
    </row>
    <row r="34456" spans="1:6" ht="12.75">
      <c r="A34456" s="8">
        <v>43888.989965277782</v>
      </c>
      <c r="B34456" s="8" t="str">
        <f>HYPERLINK("https://twitter.com/Mulia07094480","@Mulia07094480")</f>
        <v>@Mulia07094480</v>
      </c>
      <c r="C34456" s="8" t="s">
        <v>13128</v>
      </c>
      <c r="D34456" s="8">
        <v>0</v>
      </c>
      <c r="E34456" s="8">
        <v>0</v>
      </c>
      <c r="F34456" s="8">
        <v>774</v>
      </c>
    </row>
    <row r="34457" spans="1:6" ht="12.75">
      <c r="A34457" s="8">
        <v>43888.98914351852</v>
      </c>
      <c r="B34457" s="8" t="str">
        <f>HYPERLINK("https://twitter.com/davidkidd12","@davidkidd12")</f>
        <v>@davidkidd12</v>
      </c>
      <c r="C34457" s="8" t="s">
        <v>12052</v>
      </c>
      <c r="D34457" s="8">
        <v>100</v>
      </c>
      <c r="E34457" s="8">
        <v>0</v>
      </c>
      <c r="F34457" s="8">
        <v>128</v>
      </c>
    </row>
    <row r="34458" spans="1:6" ht="12.75">
      <c r="A34458" s="8">
        <v>43888.988993055551</v>
      </c>
      <c r="B34458" s="8" t="str">
        <f>HYPERLINK("https://twitter.com/IstyadiI","@IstyadiI")</f>
        <v>@IstyadiI</v>
      </c>
      <c r="C34458" s="8" t="s">
        <v>12071</v>
      </c>
      <c r="D34458" s="8">
        <v>29</v>
      </c>
      <c r="E34458" s="8">
        <v>0</v>
      </c>
      <c r="F34458" s="8">
        <v>696</v>
      </c>
    </row>
    <row r="34459" spans="1:6" ht="12.75">
      <c r="A34459" s="8">
        <v>43888.988900462966</v>
      </c>
      <c r="B34459" s="8" t="str">
        <f>HYPERLINK("https://twitter.com/RamadanAfdi","@RamadanAfdi")</f>
        <v>@RamadanAfdi</v>
      </c>
      <c r="C34459" s="8" t="s">
        <v>11773</v>
      </c>
      <c r="D34459" s="8">
        <v>448</v>
      </c>
      <c r="E34459" s="8">
        <v>0</v>
      </c>
      <c r="F34459" s="8">
        <v>5841</v>
      </c>
    </row>
    <row r="34460" spans="1:6" ht="12.75">
      <c r="A34460" s="8">
        <v>43888.988680555558</v>
      </c>
      <c r="B34460" s="8" t="str">
        <f>HYPERLINK("https://twitter.com/bangsatwika","@bangsatwika")</f>
        <v>@bangsatwika</v>
      </c>
      <c r="C34460" s="8" t="s">
        <v>13129</v>
      </c>
      <c r="D34460" s="8">
        <v>0</v>
      </c>
      <c r="E34460" s="8">
        <v>0</v>
      </c>
      <c r="F34460" s="8">
        <v>355</v>
      </c>
    </row>
    <row r="34461" spans="1:6" ht="12.75">
      <c r="A34461" s="8">
        <v>43888.988587962958</v>
      </c>
      <c r="B34461" s="8" t="str">
        <f>HYPERLINK("https://twitter.com/permencupacub","@permencupacub")</f>
        <v>@permencupacub</v>
      </c>
      <c r="C34461" s="8" t="s">
        <v>13130</v>
      </c>
      <c r="D34461" s="8">
        <v>1</v>
      </c>
      <c r="E34461" s="8">
        <v>0</v>
      </c>
      <c r="F34461" s="8">
        <v>514</v>
      </c>
    </row>
    <row r="34462" spans="1:6" ht="12.75">
      <c r="A34462" s="8">
        <v>43888.988229166665</v>
      </c>
      <c r="B34462" s="8" t="str">
        <f>HYPERLINK("https://twitter.com/amirshdj","@amirshdj")</f>
        <v>@amirshdj</v>
      </c>
      <c r="C34462" s="8" t="s">
        <v>11102</v>
      </c>
      <c r="D34462" s="8">
        <v>48</v>
      </c>
      <c r="E34462" s="8">
        <v>0</v>
      </c>
      <c r="F34462" s="8">
        <v>304</v>
      </c>
    </row>
    <row r="34463" spans="1:6" ht="12.75">
      <c r="A34463" s="8">
        <v>43888.987777777773</v>
      </c>
      <c r="B34463" s="8" t="str">
        <f>HYPERLINK("https://twitter.com/idpenamini","@idpenamini")</f>
        <v>@idpenamini</v>
      </c>
      <c r="C34463" s="8" t="s">
        <v>13131</v>
      </c>
      <c r="D34463" s="8">
        <v>0</v>
      </c>
      <c r="E34463" s="8">
        <v>0</v>
      </c>
      <c r="F34463" s="8">
        <v>173</v>
      </c>
    </row>
    <row r="34464" spans="1:6" ht="12.75">
      <c r="A34464" s="8">
        <v>43888.987766203703</v>
      </c>
      <c r="B34464" s="8" t="str">
        <f>HYPERLINK("https://twitter.com/sonyferryYK","@sonyferryYK")</f>
        <v>@sonyferryYK</v>
      </c>
      <c r="C34464" s="8" t="s">
        <v>13132</v>
      </c>
      <c r="D34464" s="8">
        <v>0</v>
      </c>
      <c r="E34464" s="8">
        <v>0</v>
      </c>
      <c r="F34464" s="8">
        <v>390</v>
      </c>
    </row>
    <row r="34465" spans="1:6" ht="12.75">
      <c r="A34465" s="8">
        <v>43888.987604166672</v>
      </c>
      <c r="B34465" s="8" t="str">
        <f>HYPERLINK("https://twitter.com/mybluepeach","@mybluepeach")</f>
        <v>@mybluepeach</v>
      </c>
      <c r="C34465" s="8" t="s">
        <v>593</v>
      </c>
      <c r="D34465" s="8">
        <v>417</v>
      </c>
      <c r="E34465" s="8">
        <v>0</v>
      </c>
      <c r="F34465" s="8">
        <v>65</v>
      </c>
    </row>
    <row r="34466" spans="1:6" ht="12.75">
      <c r="A34466" s="8">
        <v>43888.987384259264</v>
      </c>
      <c r="B34466" s="8" t="str">
        <f>HYPERLINK("https://twitter.com/Somalilandhano1","@Somalilandhano1")</f>
        <v>@Somalilandhano1</v>
      </c>
      <c r="C34466" s="8" t="s">
        <v>13133</v>
      </c>
      <c r="D34466" s="8">
        <v>0</v>
      </c>
      <c r="E34466" s="8">
        <v>1</v>
      </c>
      <c r="F34466" s="8">
        <v>827</v>
      </c>
    </row>
    <row r="34467" spans="1:6" ht="12.75">
      <c r="A34467" s="8">
        <v>43888.987256944441</v>
      </c>
      <c r="B34467" s="8" t="str">
        <f>HYPERLINK("https://twitter.com/KakekHalal","@KakekHalal")</f>
        <v>@KakekHalal</v>
      </c>
      <c r="C34467" s="8" t="s">
        <v>12603</v>
      </c>
      <c r="D34467" s="8">
        <v>9</v>
      </c>
      <c r="E34467" s="8">
        <v>0</v>
      </c>
      <c r="F34467" s="8">
        <v>22747</v>
      </c>
    </row>
    <row r="34468" spans="1:6" ht="12.75">
      <c r="A34468" s="8">
        <v>43888.987129629633</v>
      </c>
      <c r="B34468" s="8" t="str">
        <f>HYPERLINK("https://twitter.com/ridhatobing","@ridhatobing")</f>
        <v>@ridhatobing</v>
      </c>
      <c r="C34468" s="8" t="s">
        <v>12931</v>
      </c>
      <c r="D34468" s="8">
        <v>5</v>
      </c>
      <c r="E34468" s="8">
        <v>0</v>
      </c>
      <c r="F34468" s="8">
        <v>444</v>
      </c>
    </row>
    <row r="34469" spans="1:6" ht="12.75">
      <c r="A34469" s="8">
        <v>43888.986238425925</v>
      </c>
      <c r="B34469" s="8" t="str">
        <f>HYPERLINK("https://twitter.com/panjisabdav","@panjisabdav")</f>
        <v>@panjisabdav</v>
      </c>
      <c r="C34469" s="8" t="s">
        <v>13134</v>
      </c>
      <c r="D34469" s="8">
        <v>1</v>
      </c>
      <c r="E34469" s="8">
        <v>0</v>
      </c>
      <c r="F34469" s="8">
        <v>326</v>
      </c>
    </row>
    <row r="34470" spans="1:6" ht="12.75">
      <c r="A34470" s="8">
        <v>43888.986168981486</v>
      </c>
      <c r="B34470" s="8" t="str">
        <f>HYPERLINK("https://twitter.com/Kabar24","@Kabar24")</f>
        <v>@Kabar24</v>
      </c>
      <c r="C34470" s="8" t="s">
        <v>12926</v>
      </c>
      <c r="D34470" s="8">
        <v>0</v>
      </c>
      <c r="E34470" s="8">
        <v>0</v>
      </c>
      <c r="F34470" s="8">
        <v>20144</v>
      </c>
    </row>
    <row r="34471" spans="1:6" ht="12.75">
      <c r="A34471" s="8">
        <v>43888.985868055555</v>
      </c>
      <c r="B34471" s="8" t="str">
        <f>HYPERLINK("https://twitter.com/RamadanAfdi","@RamadanAfdi")</f>
        <v>@RamadanAfdi</v>
      </c>
      <c r="C34471" s="8" t="s">
        <v>12052</v>
      </c>
      <c r="D34471" s="8">
        <v>100</v>
      </c>
      <c r="E34471" s="8">
        <v>0</v>
      </c>
      <c r="F34471" s="8">
        <v>5841</v>
      </c>
    </row>
    <row r="34472" spans="1:6" ht="12.75">
      <c r="A34472" s="8">
        <v>43888.985532407409</v>
      </c>
      <c r="B34472" s="8" t="str">
        <f>HYPERLINK("https://twitter.com/Rayvita","@Rayvita")</f>
        <v>@Rayvita</v>
      </c>
      <c r="C34472" s="8" t="s">
        <v>8036</v>
      </c>
      <c r="D34472" s="8">
        <v>39</v>
      </c>
      <c r="E34472" s="8">
        <v>0</v>
      </c>
      <c r="F34472" s="8">
        <v>330</v>
      </c>
    </row>
    <row r="34473" spans="1:6" ht="12.75">
      <c r="A34473" s="8">
        <v>43888.985439814816</v>
      </c>
      <c r="B34473" s="8" t="str">
        <f>HYPERLINK("https://twitter.com/Lugahonsolum","@Lugahonsolum")</f>
        <v>@Lugahonsolum</v>
      </c>
      <c r="C34473" s="8" t="s">
        <v>13135</v>
      </c>
      <c r="D34473" s="8">
        <v>0</v>
      </c>
      <c r="E34473" s="8">
        <v>1</v>
      </c>
      <c r="F34473" s="8">
        <v>1144</v>
      </c>
    </row>
    <row r="34474" spans="1:6" ht="12.75">
      <c r="A34474" s="8">
        <v>43888.985324074078</v>
      </c>
      <c r="B34474" s="8" t="str">
        <f>HYPERLINK("https://twitter.com/republikaonline","@republikaonline")</f>
        <v>@republikaonline</v>
      </c>
      <c r="C34474" s="8" t="s">
        <v>13136</v>
      </c>
      <c r="D34474" s="8">
        <v>0</v>
      </c>
      <c r="E34474" s="8">
        <v>3</v>
      </c>
      <c r="F34474" s="8">
        <v>1214844</v>
      </c>
    </row>
    <row r="34475" spans="1:6" ht="12.75">
      <c r="A34475" s="8">
        <v>43888.984814814816</v>
      </c>
      <c r="B34475" s="8" t="str">
        <f>HYPERLINK("https://twitter.com/zal2019","@zal2019")</f>
        <v>@zal2019</v>
      </c>
      <c r="C34475" s="8" t="s">
        <v>6863</v>
      </c>
      <c r="D34475" s="8">
        <v>271</v>
      </c>
      <c r="E34475" s="8">
        <v>0</v>
      </c>
      <c r="F34475" s="8">
        <v>2226</v>
      </c>
    </row>
    <row r="34476" spans="1:6" ht="12.75">
      <c r="A34476" s="8">
        <v>43888.984398148154</v>
      </c>
      <c r="B34476" s="8" t="str">
        <f>HYPERLINK("https://twitter.com/sabilla_shaffa","@sabilla_shaffa")</f>
        <v>@sabilla_shaffa</v>
      </c>
      <c r="C34476" s="8" t="s">
        <v>8036</v>
      </c>
      <c r="D34476" s="8">
        <v>39</v>
      </c>
      <c r="E34476" s="8">
        <v>0</v>
      </c>
      <c r="F34476" s="8">
        <v>1690</v>
      </c>
    </row>
    <row r="34477" spans="1:6" ht="12.75">
      <c r="A34477" s="8">
        <v>43888.984178240746</v>
      </c>
      <c r="B34477" s="8" t="str">
        <f>HYPERLINK("https://twitter.com/Tukang_Elbow","@Tukang_Elbow")</f>
        <v>@Tukang_Elbow</v>
      </c>
      <c r="C34477" s="8" t="s">
        <v>13137</v>
      </c>
      <c r="D34477" s="8">
        <v>0</v>
      </c>
      <c r="E34477" s="8">
        <v>0</v>
      </c>
      <c r="F34477" s="8">
        <v>40</v>
      </c>
    </row>
    <row r="34478" spans="1:6" ht="12.75">
      <c r="A34478" s="8">
        <v>43888.983981481477</v>
      </c>
      <c r="B34478" s="8" t="str">
        <f>HYPERLINK("https://twitter.com/Lootswashere","@Lootswashere")</f>
        <v>@Lootswashere</v>
      </c>
      <c r="C34478" s="8" t="s">
        <v>7243</v>
      </c>
      <c r="D34478" s="8">
        <v>123</v>
      </c>
      <c r="E34478" s="8">
        <v>0</v>
      </c>
      <c r="F34478" s="8">
        <v>24</v>
      </c>
    </row>
    <row r="34479" spans="1:6" ht="12.75">
      <c r="A34479" s="8">
        <v>43888.983715277776</v>
      </c>
      <c r="B34479" s="8" t="str">
        <f>HYPERLINK("https://twitter.com/sumiitsharma","@sumiitsharma")</f>
        <v>@sumiitsharma</v>
      </c>
      <c r="C34479" s="8" t="s">
        <v>13138</v>
      </c>
      <c r="D34479" s="8">
        <v>0</v>
      </c>
      <c r="E34479" s="8">
        <v>0</v>
      </c>
      <c r="F34479" s="8">
        <v>567</v>
      </c>
    </row>
    <row r="34480" spans="1:6" ht="12.75">
      <c r="A34480" s="8">
        <v>43888.983171296291</v>
      </c>
      <c r="B34480" s="8" t="str">
        <f>HYPERLINK("https://twitter.com/DemplonMak","@DemplonMak")</f>
        <v>@DemplonMak</v>
      </c>
      <c r="C34480" s="8" t="s">
        <v>12603</v>
      </c>
      <c r="D34480" s="8">
        <v>9</v>
      </c>
      <c r="E34480" s="8">
        <v>0</v>
      </c>
      <c r="F34480" s="8">
        <v>3091</v>
      </c>
    </row>
    <row r="34481" spans="1:6" ht="12.75">
      <c r="A34481" s="8">
        <v>43888.983113425929</v>
      </c>
      <c r="B34481" s="8" t="str">
        <f>HYPERLINK("https://twitter.com/wahhabicc_jabar","@wahhabicc_jabar")</f>
        <v>@wahhabicc_jabar</v>
      </c>
      <c r="C34481" s="8" t="s">
        <v>12603</v>
      </c>
      <c r="D34481" s="8">
        <v>9</v>
      </c>
      <c r="E34481" s="8">
        <v>0</v>
      </c>
      <c r="F34481" s="8">
        <v>30737</v>
      </c>
    </row>
    <row r="34482" spans="1:6" ht="12.75">
      <c r="A34482" s="8">
        <v>43888.982731481483</v>
      </c>
      <c r="B34482" s="8" t="str">
        <f>HYPERLINK("https://twitter.com/dyah_sulistya","@dyah_sulistya")</f>
        <v>@dyah_sulistya</v>
      </c>
      <c r="C34482" s="8" t="s">
        <v>11773</v>
      </c>
      <c r="D34482" s="8">
        <v>448</v>
      </c>
      <c r="E34482" s="8">
        <v>0</v>
      </c>
      <c r="F34482" s="8">
        <v>115</v>
      </c>
    </row>
    <row r="34483" spans="1:6" ht="12.75">
      <c r="A34483" s="8">
        <v>43888.982488425929</v>
      </c>
      <c r="B34483" s="8" t="str">
        <f>HYPERLINK("https://twitter.com/abespawnie","@abespawnie")</f>
        <v>@abespawnie</v>
      </c>
      <c r="C34483" s="8" t="s">
        <v>11773</v>
      </c>
      <c r="D34483" s="8">
        <v>448</v>
      </c>
      <c r="E34483" s="8">
        <v>0</v>
      </c>
      <c r="F34483" s="8">
        <v>307</v>
      </c>
    </row>
    <row r="34484" spans="1:6" ht="12.75">
      <c r="A34484" s="8">
        <v>43888.982465277775</v>
      </c>
      <c r="B34484" s="8" t="str">
        <f>HYPERLINK("https://twitter.com/amanda_winona","@amanda_winona")</f>
        <v>@amanda_winona</v>
      </c>
      <c r="C34484" s="8" t="s">
        <v>13139</v>
      </c>
      <c r="D34484" s="8">
        <v>0</v>
      </c>
      <c r="E34484" s="8">
        <v>0</v>
      </c>
      <c r="F34484" s="8">
        <v>380</v>
      </c>
    </row>
    <row r="34485" spans="1:6" ht="12.75">
      <c r="A34485" s="8">
        <v>43888.982430555552</v>
      </c>
      <c r="B34485" s="8" t="str">
        <f>HYPERLINK("https://twitter.com/Sakharansi13","@Sakharansi13")</f>
        <v>@Sakharansi13</v>
      </c>
      <c r="C34485" s="8" t="s">
        <v>7243</v>
      </c>
      <c r="D34485" s="8">
        <v>123</v>
      </c>
      <c r="E34485" s="8">
        <v>0</v>
      </c>
      <c r="F34485" s="8">
        <v>104</v>
      </c>
    </row>
    <row r="34486" spans="1:6" ht="12.75">
      <c r="A34486" s="8">
        <v>43888.982175925921</v>
      </c>
      <c r="B34486" s="8" t="str">
        <f>HYPERLINK("https://twitter.com/wahhabicc_jabar","@wahhabicc_jabar")</f>
        <v>@wahhabicc_jabar</v>
      </c>
      <c r="C34486" s="8" t="s">
        <v>13140</v>
      </c>
      <c r="D34486" s="8">
        <v>9</v>
      </c>
      <c r="E34486" s="8">
        <v>24</v>
      </c>
      <c r="F34486" s="8">
        <v>30737</v>
      </c>
    </row>
    <row r="34487" spans="1:6" ht="12.75">
      <c r="A34487" s="8">
        <v>43888.981828703705</v>
      </c>
      <c r="B34487" s="8" t="str">
        <f>HYPERLINK("https://twitter.com/YEngran","@YEngran")</f>
        <v>@YEngran</v>
      </c>
      <c r="C34487" s="8" t="s">
        <v>13141</v>
      </c>
      <c r="D34487" s="8">
        <v>0</v>
      </c>
      <c r="E34487" s="8">
        <v>0</v>
      </c>
      <c r="F34487" s="8">
        <v>262</v>
      </c>
    </row>
    <row r="34488" spans="1:6" ht="12.75">
      <c r="A34488" s="8">
        <v>43888.98133101852</v>
      </c>
      <c r="B34488" s="8" t="str">
        <f>HYPERLINK("https://twitter.com/AnggaPPh","@AnggaPPh")</f>
        <v>@AnggaPPh</v>
      </c>
      <c r="C34488" s="8" t="s">
        <v>13142</v>
      </c>
      <c r="D34488" s="8">
        <v>0</v>
      </c>
      <c r="E34488" s="8">
        <v>0</v>
      </c>
      <c r="F34488" s="8">
        <v>854</v>
      </c>
    </row>
    <row r="34489" spans="1:6" ht="12.75">
      <c r="A34489" s="8">
        <v>43888.981157407412</v>
      </c>
      <c r="B34489" s="8" t="str">
        <f>HYPERLINK("https://twitter.com/SelamatBakumpa2","@SelamatBakumpa2")</f>
        <v>@SelamatBakumpa2</v>
      </c>
      <c r="C34489" s="8" t="s">
        <v>12934</v>
      </c>
      <c r="D34489" s="8">
        <v>2</v>
      </c>
      <c r="E34489" s="8">
        <v>0</v>
      </c>
      <c r="F34489" s="8">
        <v>154</v>
      </c>
    </row>
    <row r="34490" spans="1:6" ht="12.75">
      <c r="A34490" s="8">
        <v>43888.980752314819</v>
      </c>
      <c r="B34490" s="8" t="str">
        <f>HYPERLINK("https://twitter.com/Lvia_Kz","@Lvia_Kz")</f>
        <v>@Lvia_Kz</v>
      </c>
      <c r="C34490" s="8" t="s">
        <v>12844</v>
      </c>
      <c r="D34490" s="8">
        <v>7</v>
      </c>
      <c r="E34490" s="8">
        <v>0</v>
      </c>
      <c r="F34490" s="8">
        <v>784</v>
      </c>
    </row>
    <row r="34491" spans="1:6" ht="12.75">
      <c r="A34491" s="8">
        <v>43888.980300925927</v>
      </c>
      <c r="B34491" s="8" t="str">
        <f>HYPERLINK("https://twitter.com/suradiparlan5","@suradiparlan5")</f>
        <v>@suradiparlan5</v>
      </c>
      <c r="C34491" s="8" t="s">
        <v>11773</v>
      </c>
      <c r="D34491" s="8">
        <v>448</v>
      </c>
      <c r="E34491" s="8">
        <v>0</v>
      </c>
      <c r="F34491" s="8">
        <v>1376</v>
      </c>
    </row>
    <row r="34492" spans="1:6" ht="12.75">
      <c r="A34492" s="8">
        <v>43888.98027777778</v>
      </c>
      <c r="B34492" s="8" t="str">
        <f>HYPERLINK("https://twitter.com/mrskusmn","@mrskusmn")</f>
        <v>@mrskusmn</v>
      </c>
      <c r="C34492" s="8" t="s">
        <v>13143</v>
      </c>
      <c r="D34492" s="8">
        <v>0</v>
      </c>
      <c r="E34492" s="8">
        <v>0</v>
      </c>
      <c r="F34492" s="8">
        <v>8</v>
      </c>
    </row>
    <row r="34493" spans="1:6" ht="12.75">
      <c r="A34493" s="8">
        <v>43888.980069444442</v>
      </c>
      <c r="B34493" s="8" t="str">
        <f>HYPERLINK("https://twitter.com/blast_93","@blast_93")</f>
        <v>@blast_93</v>
      </c>
      <c r="C34493" s="8" t="s">
        <v>6863</v>
      </c>
      <c r="D34493" s="8">
        <v>271</v>
      </c>
      <c r="E34493" s="8">
        <v>0</v>
      </c>
      <c r="F34493" s="8">
        <v>3644</v>
      </c>
    </row>
    <row r="34494" spans="1:6" ht="12.75">
      <c r="A34494" s="8">
        <v>43888.979965277773</v>
      </c>
      <c r="B34494" s="8" t="str">
        <f>HYPERLINK("https://twitter.com/greencherry59","@greencherry59")</f>
        <v>@greencherry59</v>
      </c>
      <c r="C34494" s="8" t="s">
        <v>593</v>
      </c>
      <c r="D34494" s="8">
        <v>417</v>
      </c>
      <c r="E34494" s="8">
        <v>0</v>
      </c>
      <c r="F34494" s="8">
        <v>15</v>
      </c>
    </row>
    <row r="34495" spans="1:6" ht="12.75">
      <c r="A34495" s="8">
        <v>43888.979629629626</v>
      </c>
      <c r="B34495" s="8" t="str">
        <f>HYPERLINK("https://twitter.com/Rita8213","@Rita8213")</f>
        <v>@Rita8213</v>
      </c>
      <c r="C34495" s="8" t="s">
        <v>12484</v>
      </c>
      <c r="D34495" s="8">
        <v>24</v>
      </c>
      <c r="E34495" s="8">
        <v>0</v>
      </c>
      <c r="F34495" s="8">
        <v>140</v>
      </c>
    </row>
    <row r="34496" spans="1:6" ht="12.75">
      <c r="A34496" s="8">
        <v>43888.964675925927</v>
      </c>
      <c r="B34496" s="8" t="str">
        <f>HYPERLINK("https://twitter.com/KompasTV","@KompasTV")</f>
        <v>@KompasTV</v>
      </c>
      <c r="C34496" s="8" t="s">
        <v>13144</v>
      </c>
      <c r="D34496" s="8">
        <v>0</v>
      </c>
      <c r="E34496" s="8">
        <v>0</v>
      </c>
      <c r="F34496" s="8">
        <v>2950448</v>
      </c>
    </row>
    <row r="34497" spans="1:6" ht="12.75">
      <c r="A34497" s="8">
        <v>43888.964398148149</v>
      </c>
      <c r="B34497" s="8" t="str">
        <f>HYPERLINK("https://twitter.com/Jhon_p4nt4u","@Jhon_p4nt4u")</f>
        <v>@Jhon_p4nt4u</v>
      </c>
      <c r="C34497" s="8" t="s">
        <v>13006</v>
      </c>
      <c r="D34497" s="8">
        <v>6</v>
      </c>
      <c r="E34497" s="8">
        <v>0</v>
      </c>
      <c r="F34497" s="8">
        <v>240</v>
      </c>
    </row>
    <row r="34498" spans="1:6" ht="12.75">
      <c r="A34498" s="8">
        <v>43888.964328703703</v>
      </c>
      <c r="B34498" s="8" t="str">
        <f>HYPERLINK("https://twitter.com/ArashiArrizqie","@ArashiArrizqie")</f>
        <v>@ArashiArrizqie</v>
      </c>
      <c r="C34498" s="8" t="s">
        <v>11773</v>
      </c>
      <c r="D34498" s="8">
        <v>439</v>
      </c>
      <c r="E34498" s="8">
        <v>0</v>
      </c>
      <c r="F34498" s="8">
        <v>664</v>
      </c>
    </row>
    <row r="34499" spans="1:6" ht="12.75">
      <c r="A34499" s="8">
        <v>43888.964050925926</v>
      </c>
      <c r="B34499" s="8" t="str">
        <f>HYPERLINK("https://twitter.com/merdekadotcom","@merdekadotcom")</f>
        <v>@merdekadotcom</v>
      </c>
      <c r="C34499" s="8" t="s">
        <v>13145</v>
      </c>
      <c r="D34499" s="8">
        <v>0</v>
      </c>
      <c r="E34499" s="8">
        <v>1</v>
      </c>
      <c r="F34499" s="8">
        <v>231023</v>
      </c>
    </row>
    <row r="34500" spans="1:6" ht="12.75">
      <c r="A34500" s="8">
        <v>43888.963969907403</v>
      </c>
      <c r="B34500" s="8" t="str">
        <f>HYPERLINK("https://twitter.com/HafisSapardi","@HafisSapardi")</f>
        <v>@HafisSapardi</v>
      </c>
      <c r="C34500" s="8" t="s">
        <v>12484</v>
      </c>
      <c r="D34500" s="8">
        <v>13</v>
      </c>
      <c r="E34500" s="8">
        <v>0</v>
      </c>
      <c r="F34500" s="8">
        <v>5621</v>
      </c>
    </row>
    <row r="34501" spans="1:6" ht="12.75">
      <c r="A34501" s="8">
        <v>43888.963506944448</v>
      </c>
      <c r="B34501" s="8" t="str">
        <f>HYPERLINK("https://twitter.com/AgusSuk04469457","@AgusSuk04469457")</f>
        <v>@AgusSuk04469457</v>
      </c>
      <c r="C34501" s="8" t="s">
        <v>12730</v>
      </c>
      <c r="D34501" s="8">
        <v>81</v>
      </c>
      <c r="E34501" s="8">
        <v>0</v>
      </c>
      <c r="F34501" s="8">
        <v>18</v>
      </c>
    </row>
    <row r="34502" spans="1:6" ht="12.75">
      <c r="A34502" s="8">
        <v>43888.962997685187</v>
      </c>
      <c r="B34502" s="8" t="str">
        <f>HYPERLINK("https://twitter.com/MZubir_ID","@MZubir_ID")</f>
        <v>@MZubir_ID</v>
      </c>
      <c r="C34502" s="8" t="s">
        <v>13146</v>
      </c>
      <c r="D34502" s="8">
        <v>0</v>
      </c>
      <c r="E34502" s="8">
        <v>0</v>
      </c>
      <c r="F34502" s="8">
        <v>5864</v>
      </c>
    </row>
    <row r="34503" spans="1:6" ht="12.75">
      <c r="A34503" s="8">
        <v>43888.962638888886</v>
      </c>
      <c r="B34503" s="8" t="str">
        <f>HYPERLINK("https://twitter.com/nanuths","@nanuths")</f>
        <v>@nanuths</v>
      </c>
      <c r="C34503" s="8" t="s">
        <v>12484</v>
      </c>
      <c r="D34503" s="8">
        <v>13</v>
      </c>
      <c r="E34503" s="8">
        <v>0</v>
      </c>
      <c r="F34503" s="8">
        <v>654</v>
      </c>
    </row>
    <row r="34504" spans="1:6" ht="12.75">
      <c r="A34504" s="8">
        <v>43888.962511574078</v>
      </c>
      <c r="B34504" s="8" t="str">
        <f>HYPERLINK("https://twitter.com/tentarakeraton","@tentarakeraton")</f>
        <v>@tentarakeraton</v>
      </c>
      <c r="C34504" s="8" t="s">
        <v>12484</v>
      </c>
      <c r="D34504" s="8">
        <v>13</v>
      </c>
      <c r="E34504" s="8">
        <v>0</v>
      </c>
      <c r="F34504" s="8">
        <v>261</v>
      </c>
    </row>
    <row r="34505" spans="1:6" ht="12.75">
      <c r="A34505" s="8">
        <v>43888.962314814809</v>
      </c>
      <c r="B34505" s="8" t="str">
        <f>HYPERLINK("https://twitter.com/TennikeR","@TennikeR")</f>
        <v>@TennikeR</v>
      </c>
      <c r="C34505" s="8" t="s">
        <v>13147</v>
      </c>
      <c r="D34505" s="8">
        <v>60</v>
      </c>
      <c r="E34505" s="8">
        <v>0</v>
      </c>
      <c r="F34505" s="8">
        <v>0</v>
      </c>
    </row>
    <row r="34506" spans="1:6" ht="12.75">
      <c r="A34506" s="8">
        <v>43888.961747685185</v>
      </c>
      <c r="B34506" s="8" t="str">
        <f>HYPERLINK("https://twitter.com/aksarax_imran","@aksarax_imran")</f>
        <v>@aksarax_imran</v>
      </c>
      <c r="C34506" s="8" t="s">
        <v>13148</v>
      </c>
      <c r="D34506" s="8">
        <v>0</v>
      </c>
      <c r="E34506" s="8">
        <v>0</v>
      </c>
      <c r="F34506" s="8">
        <v>7</v>
      </c>
    </row>
    <row r="34507" spans="1:6" ht="12.75">
      <c r="A34507" s="8">
        <v>43888.961597222224</v>
      </c>
      <c r="B34507" s="8" t="str">
        <f>HYPERLINK("https://twitter.com/republikaonline","@republikaonline")</f>
        <v>@republikaonline</v>
      </c>
      <c r="C34507" s="8" t="s">
        <v>13149</v>
      </c>
      <c r="D34507" s="8">
        <v>1</v>
      </c>
      <c r="E34507" s="8">
        <v>3</v>
      </c>
      <c r="F34507" s="8">
        <v>1214824</v>
      </c>
    </row>
    <row r="34508" spans="1:6" ht="12.75">
      <c r="A34508" s="8">
        <v>43888.961516203708</v>
      </c>
      <c r="B34508" s="8" t="str">
        <f>HYPERLINK("https://twitter.com/dawiguna","@dawiguna")</f>
        <v>@dawiguna</v>
      </c>
      <c r="C34508" s="8" t="s">
        <v>13150</v>
      </c>
      <c r="D34508" s="8">
        <v>0</v>
      </c>
      <c r="E34508" s="8">
        <v>0</v>
      </c>
      <c r="F34508" s="8">
        <v>1451</v>
      </c>
    </row>
    <row r="34509" spans="1:6" ht="12.75">
      <c r="A34509" s="8">
        <v>43888.961469907408</v>
      </c>
      <c r="B34509" s="8" t="str">
        <f>HYPERLINK("https://twitter.com/JAP_2018","@JAP_2018")</f>
        <v>@JAP_2018</v>
      </c>
      <c r="C34509" s="8" t="s">
        <v>12844</v>
      </c>
      <c r="D34509" s="8">
        <v>4</v>
      </c>
      <c r="E34509" s="8">
        <v>0</v>
      </c>
      <c r="F34509" s="8">
        <v>1011</v>
      </c>
    </row>
    <row r="34510" spans="1:6" ht="12.75">
      <c r="A34510" s="8">
        <v>43888.961377314816</v>
      </c>
      <c r="B34510" s="8" t="str">
        <f>HYPERLINK("https://twitter.com/ulyaazkaf","@ulyaazkaf")</f>
        <v>@ulyaazkaf</v>
      </c>
      <c r="C34510" s="8" t="s">
        <v>13151</v>
      </c>
      <c r="D34510" s="8">
        <v>17</v>
      </c>
      <c r="E34510" s="8">
        <v>0</v>
      </c>
      <c r="F34510" s="8">
        <v>861</v>
      </c>
    </row>
    <row r="34511" spans="1:6" ht="12.75">
      <c r="A34511" s="8">
        <v>43888.961319444439</v>
      </c>
      <c r="B34511" s="8" t="str">
        <f>HYPERLINK("https://twitter.com/Adadikurn","@Adadikurn")</f>
        <v>@Adadikurn</v>
      </c>
      <c r="C34511" s="8" t="s">
        <v>13152</v>
      </c>
      <c r="D34511" s="8">
        <v>0</v>
      </c>
      <c r="E34511" s="8">
        <v>1</v>
      </c>
      <c r="F34511" s="8">
        <v>328</v>
      </c>
    </row>
    <row r="34512" spans="1:6" ht="12.75">
      <c r="A34512" s="8">
        <v>43888.961261574077</v>
      </c>
      <c r="B34512" s="8" t="str">
        <f>HYPERLINK("https://twitter.com/PRIHONGGO","@PRIHONGGO")</f>
        <v>@PRIHONGGO</v>
      </c>
      <c r="C34512" s="8" t="s">
        <v>8036</v>
      </c>
      <c r="D34512" s="8">
        <v>36</v>
      </c>
      <c r="E34512" s="8">
        <v>0</v>
      </c>
      <c r="F34512" s="8">
        <v>1019</v>
      </c>
    </row>
    <row r="34513" spans="1:6" ht="12.75">
      <c r="A34513" s="8">
        <v>43888.960868055554</v>
      </c>
      <c r="B34513" s="8" t="str">
        <f>HYPERLINK("https://twitter.com/TennikeR","@TennikeR")</f>
        <v>@TennikeR</v>
      </c>
      <c r="C34513" s="8" t="s">
        <v>13153</v>
      </c>
      <c r="D34513" s="8">
        <v>127</v>
      </c>
      <c r="E34513" s="8">
        <v>0</v>
      </c>
      <c r="F34513" s="8">
        <v>0</v>
      </c>
    </row>
    <row r="34514" spans="1:6" ht="12.75">
      <c r="A34514" s="8">
        <v>43888.960717592592</v>
      </c>
      <c r="B34514" s="8" t="str">
        <f>HYPERLINK("https://twitter.com/antarajatimcom","@antarajatimcom")</f>
        <v>@antarajatimcom</v>
      </c>
      <c r="C34514" s="8" t="s">
        <v>13154</v>
      </c>
      <c r="D34514" s="8">
        <v>0</v>
      </c>
      <c r="E34514" s="8">
        <v>0</v>
      </c>
      <c r="F34514" s="8">
        <v>838</v>
      </c>
    </row>
    <row r="34515" spans="1:6" ht="12.75">
      <c r="A34515" s="8">
        <v>43888.960648148146</v>
      </c>
      <c r="B34515" s="8" t="str">
        <f>HYPERLINK("https://twitter.com/awkyirun","@awkyirun")</f>
        <v>@awkyirun</v>
      </c>
      <c r="C34515" s="8" t="s">
        <v>8036</v>
      </c>
      <c r="D34515" s="8">
        <v>36</v>
      </c>
      <c r="E34515" s="8">
        <v>0</v>
      </c>
      <c r="F34515" s="8">
        <v>107</v>
      </c>
    </row>
    <row r="34516" spans="1:6" ht="12.75">
      <c r="A34516" s="8">
        <v>43888.960601851853</v>
      </c>
      <c r="B34516" s="8" t="str">
        <f>HYPERLINK("https://twitter.com/ErnaZahra","@ErnaZahra")</f>
        <v>@ErnaZahra</v>
      </c>
      <c r="C34516" s="8" t="s">
        <v>13155</v>
      </c>
      <c r="D34516" s="8">
        <v>2</v>
      </c>
      <c r="E34516" s="8">
        <v>0</v>
      </c>
      <c r="F34516" s="8">
        <v>955</v>
      </c>
    </row>
    <row r="34517" spans="1:6" ht="12.75">
      <c r="A34517" s="8">
        <v>43888.960439814815</v>
      </c>
      <c r="B34517" s="8" t="str">
        <f>HYPERLINK("https://twitter.com/WidiarsoKris","@WidiarsoKris")</f>
        <v>@WidiarsoKris</v>
      </c>
      <c r="C34517" s="8" t="s">
        <v>13156</v>
      </c>
      <c r="D34517" s="8">
        <v>0</v>
      </c>
      <c r="E34517" s="8">
        <v>0</v>
      </c>
      <c r="F34517" s="8">
        <v>129</v>
      </c>
    </row>
    <row r="34518" spans="1:6" ht="12.75">
      <c r="A34518" s="8">
        <v>43888.960370370369</v>
      </c>
      <c r="B34518" s="8" t="str">
        <f>HYPERLINK("https://twitter.com/ErnaZahra","@ErnaZahra")</f>
        <v>@ErnaZahra</v>
      </c>
      <c r="C34518" s="8" t="s">
        <v>13157</v>
      </c>
      <c r="D34518" s="8">
        <v>2</v>
      </c>
      <c r="E34518" s="8">
        <v>0</v>
      </c>
      <c r="F34518" s="8">
        <v>955</v>
      </c>
    </row>
    <row r="34519" spans="1:6" ht="12.75">
      <c r="A34519" s="8">
        <v>43888.959988425922</v>
      </c>
      <c r="B34519" s="8" t="str">
        <f>HYPERLINK("https://twitter.com/Hegie_bae","@Hegie_bae")</f>
        <v>@Hegie_bae</v>
      </c>
      <c r="C34519" s="8" t="s">
        <v>12844</v>
      </c>
      <c r="D34519" s="8">
        <v>4</v>
      </c>
      <c r="E34519" s="8">
        <v>0</v>
      </c>
      <c r="F34519" s="8">
        <v>392</v>
      </c>
    </row>
    <row r="34520" spans="1:6" ht="12.75">
      <c r="A34520" s="8">
        <v>43888.959918981476</v>
      </c>
      <c r="B34520" s="8" t="str">
        <f>HYPERLINK("https://twitter.com/huzairi_ali","@huzairi_ali")</f>
        <v>@huzairi_ali</v>
      </c>
      <c r="C34520" s="8" t="s">
        <v>13158</v>
      </c>
      <c r="D34520" s="8">
        <v>0</v>
      </c>
      <c r="E34520" s="8">
        <v>0</v>
      </c>
      <c r="F34520" s="8">
        <v>121</v>
      </c>
    </row>
    <row r="34521" spans="1:6" ht="12.75">
      <c r="A34521" s="8">
        <v>43888.959849537037</v>
      </c>
      <c r="B34521" s="8" t="str">
        <f>HYPERLINK("https://twitter.com/ErnaZahra","@ErnaZahra")</f>
        <v>@ErnaZahra</v>
      </c>
      <c r="C34521" s="8" t="s">
        <v>11773</v>
      </c>
      <c r="D34521" s="8">
        <v>439</v>
      </c>
      <c r="E34521" s="8">
        <v>0</v>
      </c>
      <c r="F34521" s="8">
        <v>955</v>
      </c>
    </row>
    <row r="34522" spans="1:6" ht="12.75">
      <c r="A34522" s="8">
        <v>43888.959780092591</v>
      </c>
      <c r="B34522" s="8" t="str">
        <f>HYPERLINK("https://twitter.com/antarajatimcom","@antarajatimcom")</f>
        <v>@antarajatimcom</v>
      </c>
      <c r="C34522" s="8" t="s">
        <v>13159</v>
      </c>
      <c r="D34522" s="8">
        <v>0</v>
      </c>
      <c r="E34522" s="8">
        <v>0</v>
      </c>
      <c r="F34522" s="8">
        <v>838</v>
      </c>
    </row>
    <row r="34523" spans="1:6" ht="12.75">
      <c r="A34523" s="8">
        <v>43888.959131944444</v>
      </c>
      <c r="B34523" s="8" t="str">
        <f>HYPERLINK("https://twitter.com/1802_Armon","@1802_Armon")</f>
        <v>@1802_Armon</v>
      </c>
      <c r="C34523" s="8" t="s">
        <v>13006</v>
      </c>
      <c r="D34523" s="8">
        <v>6</v>
      </c>
      <c r="E34523" s="8">
        <v>0</v>
      </c>
      <c r="F34523" s="8">
        <v>5518</v>
      </c>
    </row>
    <row r="34524" spans="1:6" ht="12.75">
      <c r="A34524" s="8">
        <v>43888.95894675926</v>
      </c>
      <c r="B34524" s="8" t="str">
        <f>HYPERLINK("https://twitter.com/ErnaZahra","@ErnaZahra")</f>
        <v>@ErnaZahra</v>
      </c>
      <c r="C34524" s="8" t="s">
        <v>13160</v>
      </c>
      <c r="D34524" s="8">
        <v>2</v>
      </c>
      <c r="E34524" s="8">
        <v>0</v>
      </c>
      <c r="F34524" s="8">
        <v>955</v>
      </c>
    </row>
    <row r="34525" spans="1:6" ht="12.75">
      <c r="A34525" s="8">
        <v>43888.958541666667</v>
      </c>
      <c r="B34525" s="8" t="str">
        <f>HYPERLINK("https://twitter.com/Halim_Ngab","@Halim_Ngab")</f>
        <v>@Halim_Ngab</v>
      </c>
      <c r="C34525" s="8" t="s">
        <v>12844</v>
      </c>
      <c r="D34525" s="8">
        <v>4</v>
      </c>
      <c r="E34525" s="8">
        <v>0</v>
      </c>
      <c r="F34525" s="8">
        <v>117</v>
      </c>
    </row>
    <row r="34526" spans="1:6" ht="12.75">
      <c r="A34526" s="8">
        <v>43888.958402777775</v>
      </c>
      <c r="B34526" s="8" t="str">
        <f>HYPERLINK("https://twitter.com/Wongso_Soebali","@Wongso_Soebali")</f>
        <v>@Wongso_Soebali</v>
      </c>
      <c r="C34526" s="8" t="s">
        <v>12071</v>
      </c>
      <c r="D34526" s="8">
        <v>27</v>
      </c>
      <c r="E34526" s="8">
        <v>0</v>
      </c>
      <c r="F34526" s="8">
        <v>5767</v>
      </c>
    </row>
    <row r="34527" spans="1:6" ht="12.75">
      <c r="A34527" s="8">
        <v>43888.958368055552</v>
      </c>
      <c r="B34527" s="8" t="str">
        <f>HYPERLINK("https://twitter.com/thesandblazt","@thesandblazt")</f>
        <v>@thesandblazt</v>
      </c>
      <c r="C34527" s="8" t="s">
        <v>12844</v>
      </c>
      <c r="D34527" s="8">
        <v>4</v>
      </c>
      <c r="E34527" s="8">
        <v>0</v>
      </c>
      <c r="F34527" s="8">
        <v>3117</v>
      </c>
    </row>
    <row r="34528" spans="1:6" ht="12.75">
      <c r="A34528" s="8">
        <v>43888.958321759259</v>
      </c>
      <c r="B34528" s="8" t="str">
        <f>HYPERLINK("https://twitter.com/ivooxid","@ivooxid")</f>
        <v>@ivooxid</v>
      </c>
      <c r="C34528" s="8" t="s">
        <v>13081</v>
      </c>
      <c r="D34528" s="8">
        <v>0</v>
      </c>
      <c r="E34528" s="8">
        <v>0</v>
      </c>
      <c r="F34528" s="8">
        <v>1429</v>
      </c>
    </row>
    <row r="34529" spans="1:6" ht="12.75">
      <c r="A34529" s="8">
        <v>43888.958055555559</v>
      </c>
      <c r="B34529" s="8" t="str">
        <f>HYPERLINK("https://twitter.com/BobbyIrwanda","@BobbyIrwanda")</f>
        <v>@BobbyIrwanda</v>
      </c>
      <c r="C34529" s="8" t="s">
        <v>13161</v>
      </c>
      <c r="D34529" s="8">
        <v>4</v>
      </c>
      <c r="E34529" s="8">
        <v>4</v>
      </c>
      <c r="F34529" s="8">
        <v>1663</v>
      </c>
    </row>
    <row r="34530" spans="1:6" ht="12.75">
      <c r="A34530" s="8">
        <v>43888.957916666666</v>
      </c>
      <c r="B34530" s="8" t="str">
        <f>HYPERLINK("https://twitter.com/panggilkepuluu","@panggilkepuluu")</f>
        <v>@panggilkepuluu</v>
      </c>
      <c r="C34530" s="8" t="s">
        <v>12730</v>
      </c>
      <c r="D34530" s="8">
        <v>81</v>
      </c>
      <c r="E34530" s="8">
        <v>0</v>
      </c>
      <c r="F34530" s="8">
        <v>738</v>
      </c>
    </row>
    <row r="34531" spans="1:6" ht="12.75">
      <c r="A34531" s="8">
        <v>43888.95789351852</v>
      </c>
      <c r="B34531" s="8" t="str">
        <f>HYPERLINK("https://twitter.com/aman2302291","@aman2302291")</f>
        <v>@aman2302291</v>
      </c>
      <c r="C34531" s="8" t="s">
        <v>13162</v>
      </c>
      <c r="D34531" s="8">
        <v>0</v>
      </c>
      <c r="E34531" s="8">
        <v>0</v>
      </c>
      <c r="F34531" s="8">
        <v>1</v>
      </c>
    </row>
    <row r="34532" spans="1:6" ht="12.75">
      <c r="A34532" s="8">
        <v>43888.957812499997</v>
      </c>
      <c r="B34532" s="8" t="str">
        <f>HYPERLINK("https://twitter.com/DiahOktvnt","@DiahOktvnt")</f>
        <v>@DiahOktvnt</v>
      </c>
      <c r="C34532" s="8" t="s">
        <v>13163</v>
      </c>
      <c r="D34532" s="8">
        <v>0</v>
      </c>
      <c r="E34532" s="8">
        <v>0</v>
      </c>
      <c r="F34532" s="8">
        <v>281</v>
      </c>
    </row>
    <row r="34533" spans="1:6" ht="12.75">
      <c r="A34533" s="8">
        <v>43888.957766203705</v>
      </c>
      <c r="B34533" s="8" t="str">
        <f>HYPERLINK("https://twitter.com/TennikeR","@TennikeR")</f>
        <v>@TennikeR</v>
      </c>
      <c r="C34533" s="8" t="s">
        <v>13164</v>
      </c>
      <c r="D34533" s="8">
        <v>2</v>
      </c>
      <c r="E34533" s="8">
        <v>0</v>
      </c>
      <c r="F34533" s="8">
        <v>0</v>
      </c>
    </row>
    <row r="34534" spans="1:6" ht="12.75">
      <c r="A34534" s="8">
        <v>43888.957766203705</v>
      </c>
      <c r="B34534" s="8" t="str">
        <f>HYPERLINK("https://twitter.com/ErnaZahra","@ErnaZahra")</f>
        <v>@ErnaZahra</v>
      </c>
      <c r="C34534" s="8" t="s">
        <v>12951</v>
      </c>
      <c r="D34534" s="8">
        <v>9</v>
      </c>
      <c r="E34534" s="8">
        <v>0</v>
      </c>
      <c r="F34534" s="8">
        <v>955</v>
      </c>
    </row>
    <row r="34535" spans="1:6" ht="12.75">
      <c r="A34535" s="8">
        <v>43888.957743055551</v>
      </c>
      <c r="B34535" s="8" t="str">
        <f>HYPERLINK("https://twitter.com/bayuadji_riil","@bayuadji_riil")</f>
        <v>@bayuadji_riil</v>
      </c>
      <c r="C34535" s="8" t="s">
        <v>12484</v>
      </c>
      <c r="D34535" s="8">
        <v>13</v>
      </c>
      <c r="E34535" s="8">
        <v>0</v>
      </c>
      <c r="F34535" s="8">
        <v>115</v>
      </c>
    </row>
    <row r="34536" spans="1:6" ht="12.75">
      <c r="A34536" s="8">
        <v>43888.95758101852</v>
      </c>
      <c r="B34536" s="8" t="str">
        <f>HYPERLINK("https://twitter.com/VoxPopuliID","@VoxPopuliID")</f>
        <v>@VoxPopuliID</v>
      </c>
      <c r="C34536" s="8" t="s">
        <v>13165</v>
      </c>
      <c r="D34536" s="8">
        <v>0</v>
      </c>
      <c r="E34536" s="8">
        <v>0</v>
      </c>
      <c r="F34536" s="8">
        <v>728</v>
      </c>
    </row>
    <row r="34537" spans="1:6" ht="12.75">
      <c r="A34537" s="8">
        <v>43888.957534722227</v>
      </c>
      <c r="B34537" s="8" t="str">
        <f>HYPERLINK("https://twitter.com/SebastianBara4","@SebastianBara4")</f>
        <v>@SebastianBara4</v>
      </c>
      <c r="C34537" s="8" t="s">
        <v>13165</v>
      </c>
      <c r="D34537" s="8">
        <v>0</v>
      </c>
      <c r="E34537" s="8">
        <v>0</v>
      </c>
      <c r="F34537" s="8">
        <v>1</v>
      </c>
    </row>
    <row r="34538" spans="1:6" ht="12.75">
      <c r="A34538" s="8">
        <v>43888.957476851851</v>
      </c>
      <c r="B34538" s="8" t="str">
        <f>HYPERLINK("https://twitter.com/spirit_1945","@spirit_1945")</f>
        <v>@spirit_1945</v>
      </c>
      <c r="C34538" s="8" t="s">
        <v>13165</v>
      </c>
      <c r="D34538" s="8">
        <v>0</v>
      </c>
      <c r="E34538" s="8">
        <v>0</v>
      </c>
      <c r="F34538" s="8">
        <v>121</v>
      </c>
    </row>
    <row r="34539" spans="1:6" ht="12.75">
      <c r="A34539" s="8">
        <v>43888.957430555558</v>
      </c>
      <c r="B34539" s="8" t="str">
        <f>HYPERLINK("https://twitter.com/kurakuraninjaid","@kurakuraninjaid")</f>
        <v>@kurakuraninjaid</v>
      </c>
      <c r="C34539" s="8" t="s">
        <v>13165</v>
      </c>
      <c r="D34539" s="8">
        <v>0</v>
      </c>
      <c r="E34539" s="8">
        <v>0</v>
      </c>
      <c r="F34539" s="8">
        <v>309</v>
      </c>
    </row>
    <row r="34540" spans="1:6" ht="12.75">
      <c r="A34540" s="8">
        <v>43888.957407407404</v>
      </c>
      <c r="B34540" s="8" t="str">
        <f>HYPERLINK("https://twitter.com/ErnaZahra","@ErnaZahra")</f>
        <v>@ErnaZahra</v>
      </c>
      <c r="C34540" s="8" t="s">
        <v>13166</v>
      </c>
      <c r="D34540" s="8">
        <v>0</v>
      </c>
      <c r="E34540" s="8">
        <v>0</v>
      </c>
      <c r="F34540" s="8">
        <v>955</v>
      </c>
    </row>
    <row r="34541" spans="1:6" ht="12.75">
      <c r="A34541" s="8">
        <v>43888.957372685181</v>
      </c>
      <c r="B34541" s="8" t="str">
        <f>HYPERLINK("https://twitter.com/cikyber","@cikyber")</f>
        <v>@cikyber</v>
      </c>
      <c r="C34541" s="8" t="s">
        <v>13165</v>
      </c>
      <c r="D34541" s="8">
        <v>0</v>
      </c>
      <c r="E34541" s="8">
        <v>0</v>
      </c>
      <c r="F34541" s="8">
        <v>292</v>
      </c>
    </row>
    <row r="34542" spans="1:6" ht="12.75">
      <c r="A34542" s="8">
        <v>43888.957326388889</v>
      </c>
      <c r="B34542" s="8" t="str">
        <f>HYPERLINK("https://twitter.com/AbdullahMujeed","@AbdullahMujeed")</f>
        <v>@AbdullahMujeed</v>
      </c>
      <c r="C34542" s="8" t="s">
        <v>13165</v>
      </c>
      <c r="D34542" s="8">
        <v>0</v>
      </c>
      <c r="E34542" s="8">
        <v>0</v>
      </c>
      <c r="F34542" s="8">
        <v>3</v>
      </c>
    </row>
    <row r="34543" spans="1:6" ht="12.75">
      <c r="A34543" s="8">
        <v>43888.957280092596</v>
      </c>
      <c r="B34543" s="8" t="str">
        <f>HYPERLINK("https://twitter.com/Illhaveanotherr","@Illhaveanotherr")</f>
        <v>@Illhaveanotherr</v>
      </c>
      <c r="C34543" s="8" t="s">
        <v>8484</v>
      </c>
      <c r="D34543" s="8">
        <v>1050</v>
      </c>
      <c r="E34543" s="8">
        <v>0</v>
      </c>
      <c r="F34543" s="8">
        <v>21</v>
      </c>
    </row>
    <row r="34544" spans="1:6" ht="12.75">
      <c r="A34544" s="8">
        <v>43888.957268518519</v>
      </c>
      <c r="B34544" s="8" t="str">
        <f>HYPERLINK("https://twitter.com/bensutasoma","@bensutasoma")</f>
        <v>@bensutasoma</v>
      </c>
      <c r="C34544" s="8" t="s">
        <v>13165</v>
      </c>
      <c r="D34544" s="8">
        <v>0</v>
      </c>
      <c r="E34544" s="8">
        <v>0</v>
      </c>
      <c r="F34544" s="8">
        <v>1</v>
      </c>
    </row>
    <row r="34545" spans="1:6" ht="12.75">
      <c r="A34545" s="8">
        <v>43888.957199074073</v>
      </c>
      <c r="B34545" s="8" t="str">
        <f>HYPERLINK("https://twitter.com/LieDetectorID","@LieDetectorID")</f>
        <v>@LieDetectorID</v>
      </c>
      <c r="C34545" s="8" t="s">
        <v>12730</v>
      </c>
      <c r="D34545" s="8">
        <v>81</v>
      </c>
      <c r="E34545" s="8">
        <v>0</v>
      </c>
      <c r="F34545" s="8">
        <v>10390</v>
      </c>
    </row>
    <row r="34546" spans="1:6" ht="12.75">
      <c r="A34546" s="8">
        <v>43888.957083333335</v>
      </c>
      <c r="B34546" s="8" t="str">
        <f>HYPERLINK("https://twitter.com/YudaSurya3","@YudaSurya3")</f>
        <v>@YudaSurya3</v>
      </c>
      <c r="C34546" s="8" t="s">
        <v>4785</v>
      </c>
      <c r="D34546" s="8">
        <v>455</v>
      </c>
      <c r="E34546" s="8">
        <v>0</v>
      </c>
      <c r="F34546" s="8">
        <v>109</v>
      </c>
    </row>
    <row r="34547" spans="1:6" ht="12.75">
      <c r="A34547" s="8">
        <v>43888.956724537042</v>
      </c>
      <c r="B34547" s="8" t="str">
        <f>HYPERLINK("https://twitter.com/Lily_Raimun","@Lily_Raimun")</f>
        <v>@Lily_Raimun</v>
      </c>
      <c r="C34547" s="8" t="s">
        <v>13167</v>
      </c>
      <c r="D34547" s="8">
        <v>1</v>
      </c>
      <c r="E34547" s="8">
        <v>0</v>
      </c>
      <c r="F34547" s="8">
        <v>1146</v>
      </c>
    </row>
    <row r="34548" spans="1:6" ht="12.75">
      <c r="A34548" s="8">
        <v>43888.956655092596</v>
      </c>
      <c r="B34548" s="8" t="str">
        <f>HYPERLINK("https://twitter.com/iNewsID","@iNewsID")</f>
        <v>@iNewsID</v>
      </c>
      <c r="C34548" s="8" t="s">
        <v>13168</v>
      </c>
      <c r="D34548" s="8">
        <v>0</v>
      </c>
      <c r="E34548" s="8">
        <v>0</v>
      </c>
      <c r="F34548" s="8">
        <v>1338</v>
      </c>
    </row>
    <row r="34549" spans="1:6" ht="12.75">
      <c r="A34549" s="8">
        <v>43888.956250000003</v>
      </c>
      <c r="B34549" s="8" t="str">
        <f>HYPERLINK("https://twitter.com/heri_ranintaqi","@heri_ranintaqi")</f>
        <v>@heri_ranintaqi</v>
      </c>
      <c r="C34549" s="8" t="s">
        <v>12071</v>
      </c>
      <c r="D34549" s="8">
        <v>27</v>
      </c>
      <c r="E34549" s="8">
        <v>0</v>
      </c>
      <c r="F34549" s="8">
        <v>306</v>
      </c>
    </row>
    <row r="34550" spans="1:6" ht="12.75">
      <c r="A34550" s="8">
        <v>43888.955914351856</v>
      </c>
      <c r="B34550" s="8" t="str">
        <f>HYPERLINK("https://twitter.com/beritasumut","@beritasumut")</f>
        <v>@beritasumut</v>
      </c>
      <c r="C34550" s="8" t="s">
        <v>13169</v>
      </c>
      <c r="D34550" s="8">
        <v>0</v>
      </c>
      <c r="E34550" s="8">
        <v>0</v>
      </c>
      <c r="F34550" s="8">
        <v>1819</v>
      </c>
    </row>
    <row r="34551" spans="1:6" ht="12.75">
      <c r="A34551" s="8">
        <v>43888.955625000002</v>
      </c>
      <c r="B34551" s="8" t="str">
        <f>HYPERLINK("https://twitter.com/Tsaniarona","@Tsaniarona")</f>
        <v>@Tsaniarona</v>
      </c>
      <c r="C34551" s="8" t="s">
        <v>13151</v>
      </c>
      <c r="D34551" s="8">
        <v>17</v>
      </c>
      <c r="E34551" s="8">
        <v>0</v>
      </c>
      <c r="F34551" s="8">
        <v>1097</v>
      </c>
    </row>
    <row r="34552" spans="1:6" ht="12.75">
      <c r="A34552" s="8">
        <v>43888.955208333333</v>
      </c>
      <c r="B34552" s="8" t="str">
        <f>HYPERLINK("https://twitter.com/ErindaSofi","@ErindaSofi")</f>
        <v>@ErindaSofi</v>
      </c>
      <c r="C34552" s="8" t="s">
        <v>13111</v>
      </c>
      <c r="D34552" s="8">
        <v>2</v>
      </c>
      <c r="E34552" s="8">
        <v>0</v>
      </c>
      <c r="F34552" s="8">
        <v>6135</v>
      </c>
    </row>
    <row r="34553" spans="1:6" ht="12.75">
      <c r="A34553" s="8">
        <v>43888.954953703702</v>
      </c>
      <c r="B34553" s="8" t="str">
        <f>HYPERLINK("https://twitter.com/PFTee","@PFTee")</f>
        <v>@PFTee</v>
      </c>
      <c r="C34553" s="8" t="s">
        <v>8036</v>
      </c>
      <c r="D34553" s="8">
        <v>36</v>
      </c>
      <c r="E34553" s="8">
        <v>0</v>
      </c>
      <c r="F34553" s="8">
        <v>1520</v>
      </c>
    </row>
    <row r="34554" spans="1:6" ht="12.75">
      <c r="A34554" s="8">
        <v>43888.954930555556</v>
      </c>
      <c r="B34554" s="8" t="str">
        <f>HYPERLINK("https://twitter.com/Penangkalnegat1","@Penangkalnegat1")</f>
        <v>@Penangkalnegat1</v>
      </c>
      <c r="C34554" s="8" t="s">
        <v>12951</v>
      </c>
      <c r="D34554" s="8">
        <v>9</v>
      </c>
      <c r="E34554" s="8">
        <v>0</v>
      </c>
      <c r="F34554" s="8">
        <v>344</v>
      </c>
    </row>
    <row r="34555" spans="1:6" ht="12.75">
      <c r="A34555" s="8">
        <v>43888.954687500001</v>
      </c>
      <c r="B34555" s="8" t="str">
        <f>HYPERLINK("https://twitter.com/Gramsci18921","@Gramsci18921")</f>
        <v>@Gramsci18921</v>
      </c>
      <c r="C34555" s="8" t="s">
        <v>13170</v>
      </c>
      <c r="D34555" s="8">
        <v>0</v>
      </c>
      <c r="E34555" s="8">
        <v>0</v>
      </c>
      <c r="F34555" s="8">
        <v>17</v>
      </c>
    </row>
    <row r="34556" spans="1:6" ht="12.75">
      <c r="A34556" s="8">
        <v>43888.954317129625</v>
      </c>
      <c r="B34556" s="8" t="str">
        <f>HYPERLINK("https://twitter.com/fitrizakiah_","@fitrizakiah_")</f>
        <v>@fitrizakiah_</v>
      </c>
      <c r="C34556" s="8" t="s">
        <v>6863</v>
      </c>
      <c r="D34556" s="8">
        <v>263</v>
      </c>
      <c r="E34556" s="8">
        <v>0</v>
      </c>
      <c r="F34556" s="8">
        <v>416</v>
      </c>
    </row>
    <row r="34557" spans="1:6" ht="12.75">
      <c r="A34557" s="8">
        <v>43888.954143518524</v>
      </c>
      <c r="B34557" s="8" t="str">
        <f>HYPERLINK("https://twitter.com/mitanurwita","@mitanurwita")</f>
        <v>@mitanurwita</v>
      </c>
      <c r="C34557" s="8" t="s">
        <v>593</v>
      </c>
      <c r="D34557" s="8">
        <v>416</v>
      </c>
      <c r="E34557" s="8">
        <v>0</v>
      </c>
      <c r="F34557" s="8">
        <v>652</v>
      </c>
    </row>
    <row r="34558" spans="1:6" ht="12.75">
      <c r="A34558" s="8">
        <v>43888.954108796301</v>
      </c>
      <c r="B34558" s="8" t="str">
        <f>HYPERLINK("https://twitter.com/arifaang","@arifaang")</f>
        <v>@arifaang</v>
      </c>
      <c r="C34558" s="8" t="s">
        <v>12071</v>
      </c>
      <c r="D34558" s="8">
        <v>27</v>
      </c>
      <c r="E34558" s="8">
        <v>0</v>
      </c>
      <c r="F34558" s="8">
        <v>412</v>
      </c>
    </row>
    <row r="34559" spans="1:6" ht="12.75">
      <c r="A34559" s="8">
        <v>43888.954050925924</v>
      </c>
      <c r="B34559" s="8" t="str">
        <f>HYPERLINK("https://twitter.com/arena51","@arena51")</f>
        <v>@arena51</v>
      </c>
      <c r="C34559" s="8" t="s">
        <v>12484</v>
      </c>
      <c r="D34559" s="8">
        <v>13</v>
      </c>
      <c r="E34559" s="8">
        <v>0</v>
      </c>
      <c r="F34559" s="8">
        <v>1797</v>
      </c>
    </row>
    <row r="34560" spans="1:6" ht="12.75">
      <c r="A34560" s="8">
        <v>43888.953842592593</v>
      </c>
      <c r="B34560" s="8" t="str">
        <f>HYPERLINK("https://twitter.com/blacpanthe","@blacpanthe")</f>
        <v>@blacpanthe</v>
      </c>
      <c r="C34560" s="8" t="s">
        <v>13171</v>
      </c>
      <c r="D34560" s="8">
        <v>0</v>
      </c>
      <c r="E34560" s="8">
        <v>0</v>
      </c>
      <c r="F34560" s="8">
        <v>1952</v>
      </c>
    </row>
    <row r="34561" spans="1:6" ht="12.75">
      <c r="A34561" s="8">
        <v>43888.953819444447</v>
      </c>
      <c r="B34561" s="8" t="str">
        <f>HYPERLINK("https://twitter.com/drditri","@drditri")</f>
        <v>@drditri</v>
      </c>
      <c r="C34561" s="8" t="s">
        <v>13172</v>
      </c>
      <c r="D34561" s="8">
        <v>0</v>
      </c>
      <c r="E34561" s="8">
        <v>0</v>
      </c>
      <c r="F34561" s="8">
        <v>1377</v>
      </c>
    </row>
    <row r="34562" spans="1:6" ht="12.75">
      <c r="A34562" s="8">
        <v>43888.953622685185</v>
      </c>
      <c r="B34562" s="8" t="str">
        <f>HYPERLINK("https://twitter.com/SyPram_Khan","@SyPram_Khan")</f>
        <v>@SyPram_Khan</v>
      </c>
      <c r="C34562" s="8" t="s">
        <v>12951</v>
      </c>
      <c r="D34562" s="8">
        <v>9</v>
      </c>
      <c r="E34562" s="8">
        <v>0</v>
      </c>
      <c r="F34562" s="8">
        <v>268</v>
      </c>
    </row>
    <row r="34563" spans="1:6" ht="12.75">
      <c r="A34563" s="8">
        <v>43888.953611111108</v>
      </c>
      <c r="B34563" s="8" t="str">
        <f>HYPERLINK("https://twitter.com/chairulachir","@chairulachir")</f>
        <v>@chairulachir</v>
      </c>
      <c r="C34563" s="8" t="s">
        <v>10943</v>
      </c>
      <c r="D34563" s="8">
        <v>8</v>
      </c>
      <c r="E34563" s="8">
        <v>0</v>
      </c>
      <c r="F34563" s="8">
        <v>2675</v>
      </c>
    </row>
    <row r="34564" spans="1:6" ht="12.75">
      <c r="A34564" s="8">
        <v>43888.953263888892</v>
      </c>
      <c r="B34564" s="8" t="str">
        <f>HYPERLINK("https://twitter.com/JKDaulay","@JKDaulay")</f>
        <v>@JKDaulay</v>
      </c>
      <c r="C34564" s="8" t="s">
        <v>13111</v>
      </c>
      <c r="D34564" s="8">
        <v>2</v>
      </c>
      <c r="E34564" s="8">
        <v>0</v>
      </c>
      <c r="F34564" s="8">
        <v>2779</v>
      </c>
    </row>
    <row r="34565" spans="1:6" ht="12.75">
      <c r="A34565" s="8">
        <v>43888.952743055561</v>
      </c>
      <c r="B34565" s="8" t="str">
        <f>HYPERLINK("https://twitter.com/K_Ompu","@K_Ompu")</f>
        <v>@K_Ompu</v>
      </c>
      <c r="C34565" s="8" t="s">
        <v>12951</v>
      </c>
      <c r="D34565" s="8">
        <v>9</v>
      </c>
      <c r="E34565" s="8">
        <v>0</v>
      </c>
      <c r="F34565" s="8">
        <v>157</v>
      </c>
    </row>
    <row r="34566" spans="1:6" ht="12.75">
      <c r="A34566" s="8">
        <v>43888.952592592592</v>
      </c>
      <c r="B34566" s="8" t="str">
        <f>HYPERLINK("https://twitter.com/garisdepannkri","@garisdepannkri")</f>
        <v>@garisdepannkri</v>
      </c>
      <c r="C34566" s="8" t="s">
        <v>13165</v>
      </c>
      <c r="D34566" s="8">
        <v>0</v>
      </c>
      <c r="E34566" s="8">
        <v>0</v>
      </c>
      <c r="F34566" s="8">
        <v>7</v>
      </c>
    </row>
    <row r="34567" spans="1:6" ht="12.75">
      <c r="A34567" s="8">
        <v>43888.952418981484</v>
      </c>
      <c r="B34567" s="8" t="str">
        <f>HYPERLINK("https://twitter.com/AngetulaJZega","@AngetulaJZega")</f>
        <v>@AngetulaJZega</v>
      </c>
      <c r="C34567" s="8" t="s">
        <v>12052</v>
      </c>
      <c r="D34567" s="8">
        <v>97</v>
      </c>
      <c r="E34567" s="8">
        <v>0</v>
      </c>
      <c r="F34567" s="8">
        <v>344</v>
      </c>
    </row>
    <row r="34568" spans="1:6" ht="12.75">
      <c r="A34568" s="8">
        <v>43888.951909722222</v>
      </c>
      <c r="B34568" s="8" t="str">
        <f>HYPERLINK("https://twitter.com/yusuf_tantio","@yusuf_tantio")</f>
        <v>@yusuf_tantio</v>
      </c>
      <c r="C34568" s="8" t="s">
        <v>12920</v>
      </c>
      <c r="D34568" s="8">
        <v>1545</v>
      </c>
      <c r="E34568" s="8">
        <v>0</v>
      </c>
      <c r="F34568" s="8">
        <v>238</v>
      </c>
    </row>
    <row r="34569" spans="1:6" ht="12.75">
      <c r="A34569" s="8">
        <v>43888.951307870375</v>
      </c>
      <c r="B34569" s="8" t="str">
        <f>HYPERLINK("https://twitter.com/ArmandDelly","@ArmandDelly")</f>
        <v>@ArmandDelly</v>
      </c>
      <c r="C34569" s="8" t="s">
        <v>13173</v>
      </c>
      <c r="D34569" s="8">
        <v>0</v>
      </c>
      <c r="E34569" s="8">
        <v>0</v>
      </c>
      <c r="F34569" s="8">
        <v>68</v>
      </c>
    </row>
    <row r="34570" spans="1:6" ht="12.75">
      <c r="A34570" s="8">
        <v>43888.950694444444</v>
      </c>
      <c r="B34570" s="8" t="str">
        <f>HYPERLINK("https://twitter.com/_Henz14","@_Henz14")</f>
        <v>@_Henz14</v>
      </c>
      <c r="C34570" s="8" t="s">
        <v>13174</v>
      </c>
      <c r="D34570" s="8">
        <v>0</v>
      </c>
      <c r="E34570" s="8">
        <v>0</v>
      </c>
      <c r="F34570" s="8">
        <v>467</v>
      </c>
    </row>
    <row r="34571" spans="1:6" ht="12.75">
      <c r="A34571" s="8">
        <v>43888.950439814813</v>
      </c>
      <c r="B34571" s="8" t="str">
        <f>HYPERLINK("https://twitter.com/nike_mayasari","@nike_mayasari")</f>
        <v>@nike_mayasari</v>
      </c>
      <c r="C34571" s="8" t="s">
        <v>12071</v>
      </c>
      <c r="D34571" s="8">
        <v>27</v>
      </c>
      <c r="E34571" s="8">
        <v>0</v>
      </c>
      <c r="F34571" s="8">
        <v>441</v>
      </c>
    </row>
    <row r="34572" spans="1:6" ht="12.75">
      <c r="A34572" s="8">
        <v>43888.950023148151</v>
      </c>
      <c r="B34572" s="8" t="str">
        <f>HYPERLINK("https://twitter.com/jktobservernews","@jktobservernews")</f>
        <v>@jktobservernews</v>
      </c>
      <c r="C34572" s="8" t="s">
        <v>13175</v>
      </c>
      <c r="D34572" s="8">
        <v>0</v>
      </c>
      <c r="E34572" s="8">
        <v>0</v>
      </c>
      <c r="F34572" s="8">
        <v>39</v>
      </c>
    </row>
    <row r="34573" spans="1:6" ht="12.75">
      <c r="A34573" s="8">
        <v>43888.949814814812</v>
      </c>
      <c r="B34573" s="8" t="str">
        <f>HYPERLINK("https://twitter.com/kabarpolitik","@kabarpolitik")</f>
        <v>@kabarpolitik</v>
      </c>
      <c r="C34573" s="8" t="s">
        <v>12688</v>
      </c>
      <c r="D34573" s="8">
        <v>0</v>
      </c>
      <c r="E34573" s="8">
        <v>0</v>
      </c>
      <c r="F34573" s="8">
        <v>16789</v>
      </c>
    </row>
    <row r="34574" spans="1:6" ht="12.75">
      <c r="A34574" s="8">
        <v>43888.949247685188</v>
      </c>
      <c r="B34574" s="8" t="str">
        <f>HYPERLINK("https://twitter.com/meriana_anni","@meriana_anni")</f>
        <v>@meriana_anni</v>
      </c>
      <c r="C34574" s="8" t="s">
        <v>13176</v>
      </c>
      <c r="D34574" s="8">
        <v>0</v>
      </c>
      <c r="E34574" s="8">
        <v>0</v>
      </c>
      <c r="F34574" s="8">
        <v>75</v>
      </c>
    </row>
    <row r="34575" spans="1:6" ht="12.75">
      <c r="A34575" s="8">
        <v>43888.948807870373</v>
      </c>
      <c r="B34575" s="8" t="str">
        <f>HYPERLINK("https://twitter.com/Suhandy04854589","@Suhandy04854589")</f>
        <v>@Suhandy04854589</v>
      </c>
      <c r="C34575" s="8" t="s">
        <v>13177</v>
      </c>
      <c r="D34575" s="8">
        <v>3</v>
      </c>
      <c r="E34575" s="8">
        <v>0</v>
      </c>
      <c r="F34575" s="8">
        <v>0</v>
      </c>
    </row>
    <row r="34576" spans="1:6" ht="12.75">
      <c r="A34576" s="8">
        <v>43888.948761574073</v>
      </c>
      <c r="B34576" s="8" t="str">
        <f>HYPERLINK("https://twitter.com/1Spec1al","@1Spec1al")</f>
        <v>@1Spec1al</v>
      </c>
      <c r="C34576" s="8" t="s">
        <v>13178</v>
      </c>
      <c r="D34576" s="8">
        <v>2</v>
      </c>
      <c r="E34576" s="8">
        <v>2</v>
      </c>
      <c r="F34576" s="8">
        <v>79</v>
      </c>
    </row>
    <row r="34577" spans="1:6" ht="12.75">
      <c r="A34577" s="8">
        <v>43888.948657407411</v>
      </c>
      <c r="B34577" s="8" t="str">
        <f>HYPERLINK("https://twitter.com/mdrakibchem","@mdrakibchem")</f>
        <v>@mdrakibchem</v>
      </c>
      <c r="C34577" s="8" t="s">
        <v>13179</v>
      </c>
      <c r="D34577" s="8">
        <v>0</v>
      </c>
      <c r="E34577" s="8">
        <v>0</v>
      </c>
      <c r="F34577" s="8">
        <v>9</v>
      </c>
    </row>
    <row r="34578" spans="1:6" ht="12.75">
      <c r="A34578" s="8">
        <v>43888.947928240741</v>
      </c>
      <c r="B34578" s="8" t="str">
        <f>HYPERLINK("https://twitter.com/erfaaa","@erfaaa")</f>
        <v>@erfaaa</v>
      </c>
      <c r="C34578" s="8" t="s">
        <v>11102</v>
      </c>
      <c r="D34578" s="8">
        <v>42</v>
      </c>
      <c r="E34578" s="8">
        <v>0</v>
      </c>
      <c r="F34578" s="8">
        <v>1266</v>
      </c>
    </row>
    <row r="34579" spans="1:6" ht="12.75">
      <c r="A34579" s="8">
        <v>43888.947592592594</v>
      </c>
      <c r="B34579" s="8" t="str">
        <f>HYPERLINK("https://twitter.com/Dani86113065","@Dani86113065")</f>
        <v>@Dani86113065</v>
      </c>
      <c r="C34579" s="8" t="s">
        <v>13180</v>
      </c>
      <c r="D34579" s="8">
        <v>0</v>
      </c>
      <c r="E34579" s="8">
        <v>0</v>
      </c>
      <c r="F34579" s="8">
        <v>500</v>
      </c>
    </row>
    <row r="34580" spans="1:6" ht="12.75">
      <c r="A34580" s="8">
        <v>43888.947581018518</v>
      </c>
      <c r="B34580" s="8" t="str">
        <f>HYPERLINK("https://twitter.com/ghazimgftovreeh","@ghazimgftovreeh")</f>
        <v>@ghazimgftovreeh</v>
      </c>
      <c r="C34580" s="8" t="s">
        <v>13181</v>
      </c>
      <c r="D34580" s="8">
        <v>1174</v>
      </c>
      <c r="E34580" s="8">
        <v>0</v>
      </c>
      <c r="F34580" s="8">
        <v>114</v>
      </c>
    </row>
    <row r="34581" spans="1:6" ht="12.75">
      <c r="A34581" s="8">
        <v>43888.946898148148</v>
      </c>
      <c r="B34581" s="8" t="str">
        <f>HYPERLINK("https://twitter.com/seruput__","@seruput__")</f>
        <v>@seruput__</v>
      </c>
      <c r="C34581" s="8" t="s">
        <v>13182</v>
      </c>
      <c r="D34581" s="8">
        <v>0</v>
      </c>
      <c r="E34581" s="8">
        <v>0</v>
      </c>
      <c r="F34581" s="8">
        <v>272</v>
      </c>
    </row>
    <row r="34582" spans="1:6" ht="12.75">
      <c r="A34582" s="8">
        <v>43888.946574074071</v>
      </c>
      <c r="B34582" s="8" t="str">
        <f>HYPERLINK("https://twitter.com/Detektif_Ngibul","@Detektif_Ngibul")</f>
        <v>@Detektif_Ngibul</v>
      </c>
      <c r="C34582" s="8" t="s">
        <v>10943</v>
      </c>
      <c r="D34582" s="8">
        <v>8</v>
      </c>
      <c r="E34582" s="8">
        <v>0</v>
      </c>
      <c r="F34582" s="8">
        <v>1591</v>
      </c>
    </row>
    <row r="34583" spans="1:6" ht="12.75">
      <c r="A34583" s="8">
        <v>43888.946180555555</v>
      </c>
      <c r="B34583" s="8" t="str">
        <f>HYPERLINK("https://twitter.com/Dika00052314","@Dika00052314")</f>
        <v>@Dika00052314</v>
      </c>
      <c r="C34583" s="8" t="s">
        <v>13183</v>
      </c>
      <c r="D34583" s="8">
        <v>0</v>
      </c>
      <c r="E34583" s="8">
        <v>0</v>
      </c>
      <c r="F34583" s="8">
        <v>0</v>
      </c>
    </row>
    <row r="34584" spans="1:6" ht="12.75">
      <c r="A34584" s="8">
        <v>43888.946145833332</v>
      </c>
      <c r="B34584" s="8" t="str">
        <f>HYPERLINK("https://twitter.com/MaskoenLosso","@MaskoenLosso")</f>
        <v>@MaskoenLosso</v>
      </c>
      <c r="C34584" s="8" t="s">
        <v>13184</v>
      </c>
      <c r="D34584" s="8">
        <v>0</v>
      </c>
      <c r="E34584" s="8">
        <v>0</v>
      </c>
      <c r="F34584" s="8">
        <v>920</v>
      </c>
    </row>
    <row r="34585" spans="1:6" ht="12.75">
      <c r="A34585" s="8">
        <v>43888.945266203707</v>
      </c>
      <c r="B34585" s="8" t="str">
        <f>HYPERLINK("https://twitter.com/hotradiofm","@hotradiofm")</f>
        <v>@hotradiofm</v>
      </c>
      <c r="C34585" s="8" t="s">
        <v>13185</v>
      </c>
      <c r="D34585" s="8">
        <v>0</v>
      </c>
      <c r="E34585" s="8">
        <v>0</v>
      </c>
      <c r="F34585" s="8">
        <v>846</v>
      </c>
    </row>
    <row r="34586" spans="1:6" ht="12.75">
      <c r="A34586" s="8">
        <v>43888.944884259261</v>
      </c>
      <c r="B34586" s="8" t="str">
        <f>HYPERLINK("https://twitter.com/alkml_h","@alkml_h")</f>
        <v>@alkml_h</v>
      </c>
      <c r="C34586" s="8" t="s">
        <v>11102</v>
      </c>
      <c r="D34586" s="8">
        <v>42</v>
      </c>
      <c r="E34586" s="8">
        <v>0</v>
      </c>
      <c r="F34586" s="8">
        <v>941</v>
      </c>
    </row>
    <row r="34587" spans="1:6" ht="12.75">
      <c r="A34587" s="8">
        <v>43888.944664351853</v>
      </c>
      <c r="B34587" s="8" t="str">
        <f>HYPERLINK("https://twitter.com/Adhi_Faiz","@Adhi_Faiz")</f>
        <v>@Adhi_Faiz</v>
      </c>
      <c r="C34587" s="8" t="s">
        <v>12484</v>
      </c>
      <c r="D34587" s="8">
        <v>13</v>
      </c>
      <c r="E34587" s="8">
        <v>0</v>
      </c>
      <c r="F34587" s="8">
        <v>1310</v>
      </c>
    </row>
    <row r="34588" spans="1:6" ht="12.75">
      <c r="A34588" s="8">
        <v>43888.944652777776</v>
      </c>
      <c r="B34588" s="8" t="str">
        <f>HYPERLINK("https://twitter.com/Rererefaldi","@Rererefaldi")</f>
        <v>@Rererefaldi</v>
      </c>
      <c r="C34588" s="8" t="s">
        <v>13186</v>
      </c>
      <c r="D34588" s="8">
        <v>0</v>
      </c>
      <c r="E34588" s="8">
        <v>0</v>
      </c>
      <c r="F34588" s="8">
        <v>174</v>
      </c>
    </row>
    <row r="34589" spans="1:6" ht="12.75">
      <c r="A34589" s="8">
        <v>43888.944421296299</v>
      </c>
      <c r="B34589" s="8" t="str">
        <f>HYPERLINK("https://twitter.com/RudyTank","@RudyTank")</f>
        <v>@RudyTank</v>
      </c>
      <c r="C34589" s="8" t="s">
        <v>12484</v>
      </c>
      <c r="D34589" s="8">
        <v>13</v>
      </c>
      <c r="E34589" s="8">
        <v>0</v>
      </c>
      <c r="F34589" s="8">
        <v>1111</v>
      </c>
    </row>
    <row r="34590" spans="1:6" ht="12.75">
      <c r="A34590" s="8">
        <v>43888.944085648152</v>
      </c>
      <c r="B34590" s="8" t="str">
        <f>HYPERLINK("https://twitter.com/vibeom","@vibeom")</f>
        <v>@vibeom</v>
      </c>
      <c r="C34590" s="8" t="s">
        <v>13187</v>
      </c>
      <c r="D34590" s="8">
        <v>34</v>
      </c>
      <c r="E34590" s="8">
        <v>0</v>
      </c>
      <c r="F34590" s="8">
        <v>786</v>
      </c>
    </row>
    <row r="34591" spans="1:6" ht="12.75">
      <c r="A34591" s="8">
        <v>43888.943472222221</v>
      </c>
      <c r="B34591" s="8" t="str">
        <f>HYPERLINK("https://twitter.com/BebekKuntien87","@BebekKuntien87")</f>
        <v>@BebekKuntien87</v>
      </c>
      <c r="C34591" s="8" t="s">
        <v>12484</v>
      </c>
      <c r="D34591" s="8">
        <v>13</v>
      </c>
      <c r="E34591" s="8">
        <v>0</v>
      </c>
      <c r="F34591" s="8">
        <v>174</v>
      </c>
    </row>
    <row r="34592" spans="1:6" ht="12.75">
      <c r="A34592" s="8">
        <v>43888.943391203706</v>
      </c>
      <c r="B34592" s="8" t="str">
        <f>HYPERLINK("https://twitter.com/dabelyu97","@dabelyu97")</f>
        <v>@dabelyu97</v>
      </c>
      <c r="C34592" s="8" t="s">
        <v>13188</v>
      </c>
      <c r="D34592" s="8">
        <v>0</v>
      </c>
      <c r="E34592" s="8">
        <v>0</v>
      </c>
      <c r="F34592" s="8">
        <v>250</v>
      </c>
    </row>
    <row r="34593" spans="1:6" ht="12.75">
      <c r="A34593" s="8">
        <v>43888.942731481482</v>
      </c>
      <c r="B34593" s="8" t="str">
        <f>HYPERLINK("https://twitter.com/YudiPur27288286","@YudiPur27288286")</f>
        <v>@YudiPur27288286</v>
      </c>
      <c r="C34593" s="8" t="s">
        <v>12484</v>
      </c>
      <c r="D34593" s="8">
        <v>13</v>
      </c>
      <c r="E34593" s="8">
        <v>0</v>
      </c>
      <c r="F34593" s="8">
        <v>486</v>
      </c>
    </row>
    <row r="34594" spans="1:6" ht="12.75">
      <c r="A34594" s="8">
        <v>43888.942453703705</v>
      </c>
      <c r="B34594" s="8" t="str">
        <f>HYPERLINK("https://twitter.com/AgussBaskoro","@AgussBaskoro")</f>
        <v>@AgussBaskoro</v>
      </c>
      <c r="C34594" s="8" t="s">
        <v>12484</v>
      </c>
      <c r="D34594" s="8">
        <v>13</v>
      </c>
      <c r="E34594" s="8">
        <v>0</v>
      </c>
      <c r="F34594" s="8">
        <v>1225</v>
      </c>
    </row>
    <row r="34595" spans="1:6" ht="12.75">
      <c r="A34595" s="8">
        <v>43888.942407407405</v>
      </c>
      <c r="B34595" s="8" t="str">
        <f>HYPERLINK("https://twitter.com/DamnLoveNKRI","@DamnLoveNKRI")</f>
        <v>@DamnLoveNKRI</v>
      </c>
      <c r="C34595" s="8" t="s">
        <v>12052</v>
      </c>
      <c r="D34595" s="8">
        <v>97</v>
      </c>
      <c r="E34595" s="8">
        <v>0</v>
      </c>
      <c r="F34595" s="8">
        <v>718</v>
      </c>
    </row>
    <row r="34596" spans="1:6" ht="12.75">
      <c r="A34596" s="8">
        <v>43888.923425925925</v>
      </c>
      <c r="B34596" s="8" t="str">
        <f>HYPERLINK("https://twitter.com/eridaputrii","@eridaputrii")</f>
        <v>@eridaputrii</v>
      </c>
      <c r="C34596" s="8" t="s">
        <v>6863</v>
      </c>
      <c r="D34596" s="8">
        <v>258</v>
      </c>
      <c r="E34596" s="8">
        <v>0</v>
      </c>
      <c r="F34596" s="8">
        <v>811</v>
      </c>
    </row>
    <row r="34597" spans="1:6" ht="12.75">
      <c r="A34597" s="8">
        <v>43888.923206018517</v>
      </c>
      <c r="B34597" s="8" t="str">
        <f>HYPERLINK("https://twitter.com/indraristanta","@indraristanta")</f>
        <v>@indraristanta</v>
      </c>
      <c r="C34597" s="8" t="s">
        <v>6863</v>
      </c>
      <c r="D34597" s="8">
        <v>258</v>
      </c>
      <c r="E34597" s="8">
        <v>0</v>
      </c>
      <c r="F34597" s="8">
        <v>256</v>
      </c>
    </row>
    <row r="34598" spans="1:6" ht="12.75">
      <c r="A34598" s="8">
        <v>43888.923159722224</v>
      </c>
      <c r="B34598" s="8" t="str">
        <f>HYPERLINK("https://twitter.com/DhaniaIman","@DhaniaIman")</f>
        <v>@DhaniaIman</v>
      </c>
      <c r="C34598" s="8" t="s">
        <v>6863</v>
      </c>
      <c r="D34598" s="8">
        <v>258</v>
      </c>
      <c r="E34598" s="8">
        <v>0</v>
      </c>
      <c r="F34598" s="8">
        <v>906</v>
      </c>
    </row>
    <row r="34599" spans="1:6" ht="12.75">
      <c r="A34599" s="8">
        <v>43888.923067129625</v>
      </c>
      <c r="B34599" s="8" t="str">
        <f>HYPERLINK("https://twitter.com/wanto_shen","@wanto_shen")</f>
        <v>@wanto_shen</v>
      </c>
      <c r="C34599" s="8" t="s">
        <v>13189</v>
      </c>
      <c r="D34599" s="8">
        <v>0</v>
      </c>
      <c r="E34599" s="8">
        <v>0</v>
      </c>
      <c r="F34599" s="8">
        <v>14</v>
      </c>
    </row>
    <row r="34600" spans="1:6" ht="12.75">
      <c r="A34600" s="8">
        <v>43888.923032407409</v>
      </c>
      <c r="B34600" s="8" t="str">
        <f>HYPERLINK("https://twitter.com/Ben_smj","@Ben_smj")</f>
        <v>@Ben_smj</v>
      </c>
      <c r="C34600" s="8" t="s">
        <v>12730</v>
      </c>
      <c r="D34600" s="8">
        <v>77</v>
      </c>
      <c r="E34600" s="8">
        <v>0</v>
      </c>
      <c r="F34600" s="8">
        <v>102</v>
      </c>
    </row>
    <row r="34601" spans="1:6" ht="12.75">
      <c r="A34601" s="8">
        <v>43888.922465277778</v>
      </c>
      <c r="B34601" s="8" t="str">
        <f>HYPERLINK("https://twitter.com/frida_rahardjo","@frida_rahardjo")</f>
        <v>@frida_rahardjo</v>
      </c>
      <c r="C34601" s="8" t="s">
        <v>12689</v>
      </c>
      <c r="D34601" s="8">
        <v>1</v>
      </c>
      <c r="E34601" s="8">
        <v>0</v>
      </c>
      <c r="F34601" s="8">
        <v>1461</v>
      </c>
    </row>
    <row r="34602" spans="1:6" ht="12.75">
      <c r="A34602" s="8">
        <v>43888.922291666662</v>
      </c>
      <c r="B34602" s="8" t="str">
        <f>HYPERLINK("https://twitter.com/wni_jmsri","@wni_jmsri")</f>
        <v>@wni_jmsri</v>
      </c>
      <c r="C34602" s="8" t="s">
        <v>13190</v>
      </c>
      <c r="D34602" s="8">
        <v>0</v>
      </c>
      <c r="E34602" s="8">
        <v>0</v>
      </c>
      <c r="F34602" s="8">
        <v>200</v>
      </c>
    </row>
    <row r="34603" spans="1:6" ht="12.75">
      <c r="A34603" s="8">
        <v>43888.921875</v>
      </c>
      <c r="B34603" s="8" t="str">
        <f>HYPERLINK("https://twitter.com/GoSumbarcom","@GoSumbarcom")</f>
        <v>@GoSumbarcom</v>
      </c>
      <c r="C34603" s="8" t="s">
        <v>13191</v>
      </c>
      <c r="D34603" s="8">
        <v>0</v>
      </c>
      <c r="E34603" s="8">
        <v>0</v>
      </c>
      <c r="F34603" s="8">
        <v>16444</v>
      </c>
    </row>
    <row r="34604" spans="1:6" ht="12.75">
      <c r="A34604" s="8">
        <v>43888.921620370369</v>
      </c>
      <c r="B34604" s="8" t="str">
        <f>HYPERLINK("https://twitter.com/ZZolkefli","@ZZolkefli")</f>
        <v>@ZZolkefli</v>
      </c>
      <c r="C34604" s="8" t="s">
        <v>13192</v>
      </c>
      <c r="D34604" s="8">
        <v>0</v>
      </c>
      <c r="E34604" s="8">
        <v>0</v>
      </c>
      <c r="F34604" s="8">
        <v>103</v>
      </c>
    </row>
    <row r="34605" spans="1:6" ht="12.75">
      <c r="A34605" s="8">
        <v>43888.921284722222</v>
      </c>
      <c r="B34605" s="8" t="str">
        <f>HYPERLINK("https://twitter.com/AnakKolong___","@AnakKolong___")</f>
        <v>@AnakKolong___</v>
      </c>
      <c r="C34605" s="8" t="s">
        <v>13193</v>
      </c>
      <c r="D34605" s="8">
        <v>1</v>
      </c>
      <c r="E34605" s="8">
        <v>0</v>
      </c>
      <c r="F34605" s="8">
        <v>7123</v>
      </c>
    </row>
    <row r="34606" spans="1:6" ht="12.75">
      <c r="A34606" s="8">
        <v>43888.921284722222</v>
      </c>
      <c r="B34606" s="8" t="str">
        <f>HYPERLINK("https://twitter.com/AndryWaseso","@AndryWaseso")</f>
        <v>@AndryWaseso</v>
      </c>
      <c r="C34606" s="8" t="s">
        <v>13194</v>
      </c>
      <c r="D34606" s="8">
        <v>0</v>
      </c>
      <c r="E34606" s="8">
        <v>0</v>
      </c>
      <c r="F34606" s="8">
        <v>1523</v>
      </c>
    </row>
    <row r="34607" spans="1:6" ht="12.75">
      <c r="A34607" s="8">
        <v>43888.920914351853</v>
      </c>
      <c r="B34607" s="8" t="str">
        <f>HYPERLINK("https://twitter.com/khairulnasrun","@khairulnasrun")</f>
        <v>@khairulnasrun</v>
      </c>
      <c r="C34607" s="8" t="s">
        <v>12412</v>
      </c>
      <c r="D34607" s="8">
        <v>0</v>
      </c>
      <c r="E34607" s="8">
        <v>0</v>
      </c>
      <c r="F34607" s="8">
        <v>341</v>
      </c>
    </row>
    <row r="34608" spans="1:6" ht="12.75">
      <c r="A34608" s="8">
        <v>43888.920451388884</v>
      </c>
      <c r="B34608" s="8" t="str">
        <f>HYPERLINK("https://twitter.com/sidhanitea","@sidhanitea")</f>
        <v>@sidhanitea</v>
      </c>
      <c r="C34608" s="8" t="s">
        <v>12052</v>
      </c>
      <c r="D34608" s="8">
        <v>92</v>
      </c>
      <c r="E34608" s="8">
        <v>0</v>
      </c>
      <c r="F34608" s="8">
        <v>115</v>
      </c>
    </row>
    <row r="34609" spans="1:6" ht="12.75">
      <c r="A34609" s="8">
        <v>43888.920300925922</v>
      </c>
      <c r="B34609" s="8" t="str">
        <f>HYPERLINK("https://twitter.com/halobrownn","@halobrownn")</f>
        <v>@halobrownn</v>
      </c>
      <c r="C34609" s="8" t="s">
        <v>6863</v>
      </c>
      <c r="D34609" s="8">
        <v>258</v>
      </c>
      <c r="E34609" s="8">
        <v>0</v>
      </c>
      <c r="F34609" s="8">
        <v>651</v>
      </c>
    </row>
    <row r="34610" spans="1:6" ht="12.75">
      <c r="A34610" s="8">
        <v>43888.919930555552</v>
      </c>
      <c r="B34610" s="8" t="str">
        <f>HYPERLINK("https://twitter.com/Nier48909238","@Nier48909238")</f>
        <v>@Nier48909238</v>
      </c>
      <c r="C34610" s="8" t="s">
        <v>13195</v>
      </c>
      <c r="D34610" s="8">
        <v>1</v>
      </c>
      <c r="E34610" s="8">
        <v>2</v>
      </c>
      <c r="F34610" s="8">
        <v>108</v>
      </c>
    </row>
    <row r="34611" spans="1:6" ht="12.75">
      <c r="A34611" s="8">
        <v>43888.91982638889</v>
      </c>
      <c r="B34611" s="8" t="str">
        <f>HYPERLINK("https://twitter.com/GoNewsdotco","@GoNewsdotco")</f>
        <v>@GoNewsdotco</v>
      </c>
      <c r="C34611" s="8" t="s">
        <v>13191</v>
      </c>
      <c r="D34611" s="8">
        <v>0</v>
      </c>
      <c r="E34611" s="8">
        <v>0</v>
      </c>
      <c r="F34611" s="8">
        <v>3783</v>
      </c>
    </row>
    <row r="34612" spans="1:6" ht="12.75">
      <c r="A34612" s="8">
        <v>43888.919814814813</v>
      </c>
      <c r="B34612" s="8" t="str">
        <f>HYPERLINK("https://twitter.com/sulsel_satu","@sulsel_satu")</f>
        <v>@sulsel_satu</v>
      </c>
      <c r="C34612" s="8" t="s">
        <v>13196</v>
      </c>
      <c r="D34612" s="8">
        <v>0</v>
      </c>
      <c r="E34612" s="8">
        <v>0</v>
      </c>
      <c r="F34612" s="8">
        <v>702</v>
      </c>
    </row>
    <row r="34613" spans="1:6" ht="12.75">
      <c r="A34613" s="8">
        <v>43888.919247685189</v>
      </c>
      <c r="B34613" s="8" t="str">
        <f>HYPERLINK("https://twitter.com/CastilloJoshima","@CastilloJoshima")</f>
        <v>@CastilloJoshima</v>
      </c>
      <c r="C34613" s="8" t="s">
        <v>13197</v>
      </c>
      <c r="D34613" s="8">
        <v>1</v>
      </c>
      <c r="E34613" s="8">
        <v>0</v>
      </c>
      <c r="F34613" s="8">
        <v>5421</v>
      </c>
    </row>
    <row r="34614" spans="1:6" ht="12.75">
      <c r="A34614" s="8">
        <v>43888.919224537036</v>
      </c>
      <c r="B34614" s="8" t="str">
        <f>HYPERLINK("https://twitter.com/RekBond","@RekBond")</f>
        <v>@RekBond</v>
      </c>
      <c r="C34614" s="8" t="s">
        <v>12972</v>
      </c>
      <c r="D34614" s="8">
        <v>40</v>
      </c>
      <c r="E34614" s="8">
        <v>0</v>
      </c>
      <c r="F34614" s="8">
        <v>100</v>
      </c>
    </row>
    <row r="34615" spans="1:6" ht="12.75">
      <c r="A34615" s="8">
        <v>43888.919178240743</v>
      </c>
      <c r="B34615" s="8" t="str">
        <f>HYPERLINK("https://twitter.com/adipalguna4","@adipalguna4")</f>
        <v>@adipalguna4</v>
      </c>
      <c r="C34615" s="8" t="s">
        <v>13198</v>
      </c>
      <c r="D34615" s="8">
        <v>70</v>
      </c>
      <c r="E34615" s="8">
        <v>0</v>
      </c>
      <c r="F34615" s="8">
        <v>227</v>
      </c>
    </row>
    <row r="34616" spans="1:6" ht="12.75">
      <c r="A34616" s="8">
        <v>43888.919062500005</v>
      </c>
      <c r="B34616" s="8" t="str">
        <f>HYPERLINK("https://twitter.com/divaqillalala","@divaqillalala")</f>
        <v>@divaqillalala</v>
      </c>
      <c r="C34616" s="8" t="s">
        <v>13199</v>
      </c>
      <c r="D34616" s="8">
        <v>0</v>
      </c>
      <c r="E34616" s="8">
        <v>0</v>
      </c>
      <c r="F34616" s="8">
        <v>3</v>
      </c>
    </row>
    <row r="34617" spans="1:6" ht="12.75">
      <c r="A34617" s="8">
        <v>43888.918946759259</v>
      </c>
      <c r="B34617" s="8" t="str">
        <f>HYPERLINK("https://twitter.com/Blegodesign","@Blegodesign")</f>
        <v>@Blegodesign</v>
      </c>
      <c r="C34617" s="8" t="s">
        <v>13200</v>
      </c>
      <c r="D34617" s="8">
        <v>0</v>
      </c>
      <c r="E34617" s="8">
        <v>0</v>
      </c>
      <c r="F34617" s="8">
        <v>406</v>
      </c>
    </row>
    <row r="34618" spans="1:6" ht="12.75">
      <c r="A34618" s="8">
        <v>43888.918946759259</v>
      </c>
      <c r="B34618" s="8" t="str">
        <f>HYPERLINK("https://twitter.com/LiaPutr44029793","@LiaPutr44029793")</f>
        <v>@LiaPutr44029793</v>
      </c>
      <c r="C34618" s="8" t="s">
        <v>13201</v>
      </c>
      <c r="D34618" s="8">
        <v>1</v>
      </c>
      <c r="E34618" s="8">
        <v>1</v>
      </c>
      <c r="F34618" s="8">
        <v>2287</v>
      </c>
    </row>
    <row r="34619" spans="1:6" ht="12.75">
      <c r="A34619" s="8">
        <v>43888.918888888889</v>
      </c>
      <c r="B34619" s="8" t="str">
        <f>HYPERLINK("https://twitter.com/mfnid","@mfnid")</f>
        <v>@mfnid</v>
      </c>
      <c r="C34619" s="8" t="s">
        <v>12297</v>
      </c>
      <c r="D34619" s="8">
        <v>8</v>
      </c>
      <c r="E34619" s="8">
        <v>0</v>
      </c>
      <c r="F34619" s="8">
        <v>936</v>
      </c>
    </row>
    <row r="34620" spans="1:6" ht="12.75">
      <c r="A34620" s="8">
        <v>43888.918634259258</v>
      </c>
      <c r="B34620" s="8" t="str">
        <f>HYPERLINK("https://twitter.com/BagolAnto","@BagolAnto")</f>
        <v>@BagolAnto</v>
      </c>
      <c r="C34620" s="8" t="s">
        <v>12052</v>
      </c>
      <c r="D34620" s="8">
        <v>92</v>
      </c>
      <c r="E34620" s="8">
        <v>0</v>
      </c>
      <c r="F34620" s="8">
        <v>69</v>
      </c>
    </row>
    <row r="34621" spans="1:6" ht="12.75">
      <c r="A34621" s="8">
        <v>43888.918344907404</v>
      </c>
      <c r="B34621" s="8" t="str">
        <f>HYPERLINK("https://twitter.com/FitrianaHerliii","@FitrianaHerliii")</f>
        <v>@FitrianaHerliii</v>
      </c>
      <c r="C34621" s="8" t="s">
        <v>6863</v>
      </c>
      <c r="D34621" s="8">
        <v>258</v>
      </c>
      <c r="E34621" s="8">
        <v>0</v>
      </c>
      <c r="F34621" s="8">
        <v>464</v>
      </c>
    </row>
    <row r="34622" spans="1:6" ht="12.75">
      <c r="A34622" s="8">
        <v>43888.918194444443</v>
      </c>
      <c r="B34622" s="8" t="str">
        <f>HYPERLINK("https://twitter.com/BossRini","@BossRini")</f>
        <v>@BossRini</v>
      </c>
      <c r="C34622" s="8" t="s">
        <v>13202</v>
      </c>
      <c r="D34622" s="8">
        <v>1</v>
      </c>
      <c r="E34622" s="8">
        <v>0</v>
      </c>
      <c r="F34622" s="8">
        <v>552</v>
      </c>
    </row>
    <row r="34623" spans="1:6" ht="12.75">
      <c r="A34623" s="8">
        <v>43888.918090277773</v>
      </c>
      <c r="B34623" s="8" t="str">
        <f>HYPERLINK("https://twitter.com/mfnid","@mfnid")</f>
        <v>@mfnid</v>
      </c>
      <c r="C34623" s="8" t="s">
        <v>13203</v>
      </c>
      <c r="D34623" s="8">
        <v>8</v>
      </c>
      <c r="E34623" s="8">
        <v>0</v>
      </c>
      <c r="F34623" s="8">
        <v>936</v>
      </c>
    </row>
    <row r="34624" spans="1:6" ht="12.75">
      <c r="A34624" s="8">
        <v>43888.917951388888</v>
      </c>
      <c r="B34624" s="8" t="str">
        <f>HYPERLINK("https://twitter.com/nio_kali","@nio_kali")</f>
        <v>@nio_kali</v>
      </c>
      <c r="C34624" s="8" t="s">
        <v>13204</v>
      </c>
      <c r="D34624" s="8">
        <v>0</v>
      </c>
      <c r="E34624" s="8">
        <v>0</v>
      </c>
      <c r="F34624" s="8">
        <v>6</v>
      </c>
    </row>
    <row r="34625" spans="1:6" ht="12.75">
      <c r="A34625" s="8">
        <v>43888.917939814812</v>
      </c>
      <c r="B34625" s="8" t="str">
        <f>HYPERLINK("https://twitter.com/IndoFulus","@IndoFulus")</f>
        <v>@IndoFulus</v>
      </c>
      <c r="C34625" s="8" t="s">
        <v>11773</v>
      </c>
      <c r="D34625" s="8">
        <v>433</v>
      </c>
      <c r="E34625" s="8">
        <v>0</v>
      </c>
      <c r="F34625" s="8">
        <v>1262</v>
      </c>
    </row>
    <row r="34626" spans="1:6" ht="12.75">
      <c r="A34626" s="8">
        <v>43888.917731481481</v>
      </c>
      <c r="B34626" s="8" t="str">
        <f>HYPERLINK("https://twitter.com/dtsputra","@dtsputra")</f>
        <v>@dtsputra</v>
      </c>
      <c r="C34626" s="8" t="s">
        <v>4785</v>
      </c>
      <c r="D34626" s="8">
        <v>454</v>
      </c>
      <c r="E34626" s="8">
        <v>0</v>
      </c>
      <c r="F34626" s="8">
        <v>41</v>
      </c>
    </row>
    <row r="34627" spans="1:6" ht="12.75">
      <c r="A34627" s="8">
        <v>43888.917233796295</v>
      </c>
      <c r="B34627" s="8" t="str">
        <f>HYPERLINK("https://twitter.com/haluanghabang","@haluanghabang")</f>
        <v>@haluanghabang</v>
      </c>
      <c r="C34627" s="8" t="s">
        <v>13205</v>
      </c>
      <c r="D34627" s="8">
        <v>1</v>
      </c>
      <c r="E34627" s="8">
        <v>0</v>
      </c>
      <c r="F34627" s="8">
        <v>984</v>
      </c>
    </row>
    <row r="34628" spans="1:6" ht="12.75">
      <c r="A34628" s="8">
        <v>43888.917222222226</v>
      </c>
      <c r="B34628" s="8" t="str">
        <f>HYPERLINK("https://twitter.com/DavidDarmawan14","@DavidDarmawan14")</f>
        <v>@DavidDarmawan14</v>
      </c>
      <c r="C34628" s="8" t="s">
        <v>12730</v>
      </c>
      <c r="D34628" s="8">
        <v>77</v>
      </c>
      <c r="E34628" s="8">
        <v>0</v>
      </c>
      <c r="F34628" s="8">
        <v>219</v>
      </c>
    </row>
    <row r="34629" spans="1:6" ht="12.75">
      <c r="A34629" s="8">
        <v>43888.917187500003</v>
      </c>
      <c r="B34629" s="8" t="str">
        <f>HYPERLINK("https://twitter.com/aisyahasma","@aisyahasma")</f>
        <v>@aisyahasma</v>
      </c>
      <c r="C34629" s="8" t="s">
        <v>13206</v>
      </c>
      <c r="D34629" s="8">
        <v>0</v>
      </c>
      <c r="E34629" s="8">
        <v>0</v>
      </c>
      <c r="F34629" s="8">
        <v>257</v>
      </c>
    </row>
    <row r="34630" spans="1:6" ht="12.75">
      <c r="A34630" s="8">
        <v>43888.916979166665</v>
      </c>
      <c r="B34630" s="8" t="str">
        <f>HYPERLINK("https://twitter.com/azzambadruzz","@azzambadruzz")</f>
        <v>@azzambadruzz</v>
      </c>
      <c r="C34630" s="8" t="s">
        <v>13207</v>
      </c>
      <c r="D34630" s="8">
        <v>0</v>
      </c>
      <c r="E34630" s="8">
        <v>0</v>
      </c>
      <c r="F34630" s="8">
        <v>328</v>
      </c>
    </row>
    <row r="34631" spans="1:6" ht="12.75">
      <c r="A34631" s="8">
        <v>43888.916678240741</v>
      </c>
      <c r="B34631" s="8" t="str">
        <f>HYPERLINK("https://twitter.com/Lintas_MNCTV","@Lintas_MNCTV")</f>
        <v>@Lintas_MNCTV</v>
      </c>
      <c r="C34631" s="8" t="s">
        <v>13208</v>
      </c>
      <c r="D34631" s="8">
        <v>0</v>
      </c>
      <c r="E34631" s="8">
        <v>0</v>
      </c>
      <c r="F34631" s="8">
        <v>35907</v>
      </c>
    </row>
    <row r="34632" spans="1:6" ht="12.75">
      <c r="A34632" s="8">
        <v>43888.916631944448</v>
      </c>
      <c r="B34632" s="8" t="str">
        <f>HYPERLINK("https://twitter.com/576128bji","@576128bji")</f>
        <v>@576128bji</v>
      </c>
      <c r="C34632" s="8" t="s">
        <v>13209</v>
      </c>
      <c r="D34632" s="8">
        <v>0</v>
      </c>
      <c r="E34632" s="8">
        <v>0</v>
      </c>
      <c r="F34632" s="8">
        <v>99</v>
      </c>
    </row>
    <row r="34633" spans="1:6" ht="12.75">
      <c r="A34633" s="8">
        <v>43888.916608796295</v>
      </c>
      <c r="B34633" s="8" t="str">
        <f>HYPERLINK("https://twitter.com/leejenom","@leejenom")</f>
        <v>@leejenom</v>
      </c>
      <c r="C34633" s="8" t="s">
        <v>13210</v>
      </c>
      <c r="D34633" s="8">
        <v>0</v>
      </c>
      <c r="E34633" s="8">
        <v>0</v>
      </c>
      <c r="F34633" s="8">
        <v>1607</v>
      </c>
    </row>
    <row r="34634" spans="1:6" ht="12.75">
      <c r="A34634" s="8">
        <v>43888.916076388894</v>
      </c>
      <c r="B34634" s="8" t="str">
        <f>HYPERLINK("https://twitter.com/tepuktangann","@tepuktangann")</f>
        <v>@tepuktangann</v>
      </c>
      <c r="C34634" s="8" t="s">
        <v>12052</v>
      </c>
      <c r="D34634" s="8">
        <v>92</v>
      </c>
      <c r="E34634" s="8">
        <v>0</v>
      </c>
      <c r="F34634" s="8">
        <v>162</v>
      </c>
    </row>
    <row r="34635" spans="1:6" ht="12.75">
      <c r="A34635" s="8">
        <v>43888.915960648148</v>
      </c>
      <c r="B34635" s="8" t="str">
        <f>HYPERLINK("https://twitter.com/DaniaLe53355091","@DaniaLe53355091")</f>
        <v>@DaniaLe53355091</v>
      </c>
      <c r="C34635" s="8" t="s">
        <v>13211</v>
      </c>
      <c r="D34635" s="8">
        <v>0</v>
      </c>
      <c r="E34635" s="8">
        <v>0</v>
      </c>
      <c r="F34635" s="8">
        <v>2260</v>
      </c>
    </row>
    <row r="34636" spans="1:6" ht="12.75">
      <c r="A34636" s="8">
        <v>43888.915879629625</v>
      </c>
      <c r="B34636" s="8" t="str">
        <f>HYPERLINK("https://twitter.com/ilhamusshadry_","@ilhamusshadry_")</f>
        <v>@ilhamusshadry_</v>
      </c>
      <c r="C34636" s="8" t="s">
        <v>13212</v>
      </c>
      <c r="D34636" s="8">
        <v>0</v>
      </c>
      <c r="E34636" s="8">
        <v>0</v>
      </c>
      <c r="F34636" s="8">
        <v>362</v>
      </c>
    </row>
    <row r="34637" spans="1:6" ht="12.75">
      <c r="A34637" s="8">
        <v>43888.915821759263</v>
      </c>
      <c r="B34637" s="8" t="str">
        <f>HYPERLINK("https://twitter.com/cek_dan","@cek_dan")</f>
        <v>@cek_dan</v>
      </c>
      <c r="C34637" s="8" t="s">
        <v>4785</v>
      </c>
      <c r="D34637" s="8">
        <v>454</v>
      </c>
      <c r="E34637" s="8">
        <v>0</v>
      </c>
      <c r="F34637" s="8">
        <v>141</v>
      </c>
    </row>
    <row r="34638" spans="1:6" ht="12.75">
      <c r="A34638" s="8">
        <v>43888.915752314817</v>
      </c>
      <c r="B34638" s="8" t="str">
        <f>HYPERLINK("https://twitter.com/BambangTenan","@BambangTenan")</f>
        <v>@BambangTenan</v>
      </c>
      <c r="C34638" s="8" t="s">
        <v>12869</v>
      </c>
      <c r="D34638" s="8">
        <v>4</v>
      </c>
      <c r="E34638" s="8">
        <v>0</v>
      </c>
      <c r="F34638" s="8">
        <v>1035</v>
      </c>
    </row>
    <row r="34639" spans="1:6" ht="12.75">
      <c r="A34639" s="8">
        <v>43888.915127314816</v>
      </c>
      <c r="B34639" s="8" t="str">
        <f>HYPERLINK("https://twitter.com/xGIVKx","@xGIVKx")</f>
        <v>@xGIVKx</v>
      </c>
      <c r="C34639" s="8" t="s">
        <v>6863</v>
      </c>
      <c r="D34639" s="8">
        <v>258</v>
      </c>
      <c r="E34639" s="8">
        <v>0</v>
      </c>
      <c r="F34639" s="8">
        <v>334</v>
      </c>
    </row>
    <row r="34640" spans="1:6" ht="12.75">
      <c r="A34640" s="8">
        <v>43888.914872685185</v>
      </c>
      <c r="B34640" s="8" t="str">
        <f>HYPERLINK("https://twitter.com/dedysetiadi1231","@dedysetiadi1231")</f>
        <v>@dedysetiadi1231</v>
      </c>
      <c r="C34640" s="8" t="s">
        <v>4785</v>
      </c>
      <c r="D34640" s="8">
        <v>454</v>
      </c>
      <c r="E34640" s="8">
        <v>0</v>
      </c>
      <c r="F34640" s="8">
        <v>96</v>
      </c>
    </row>
    <row r="34641" spans="1:6" ht="12.75">
      <c r="A34641" s="8">
        <v>43888.914641203708</v>
      </c>
      <c r="B34641" s="8" t="str">
        <f>HYPERLINK("https://twitter.com/10Suhatman","@10Suhatman")</f>
        <v>@10Suhatman</v>
      </c>
      <c r="C34641" s="8" t="s">
        <v>13213</v>
      </c>
      <c r="D34641" s="8">
        <v>0</v>
      </c>
      <c r="E34641" s="8">
        <v>0</v>
      </c>
      <c r="F34641" s="8">
        <v>1</v>
      </c>
    </row>
    <row r="34642" spans="1:6" ht="12.75">
      <c r="A34642" s="8">
        <v>43888.914641203708</v>
      </c>
      <c r="B34642" s="8" t="str">
        <f>HYPERLINK("https://twitter.com/dedysetiadi1231","@dedysetiadi1231")</f>
        <v>@dedysetiadi1231</v>
      </c>
      <c r="C34642" s="8" t="s">
        <v>26</v>
      </c>
      <c r="D34642" s="8">
        <v>153</v>
      </c>
      <c r="E34642" s="8">
        <v>0</v>
      </c>
      <c r="F34642" s="8">
        <v>96</v>
      </c>
    </row>
    <row r="34643" spans="1:6" ht="12.75">
      <c r="A34643" s="8">
        <v>43888.914618055554</v>
      </c>
      <c r="B34643" s="8" t="str">
        <f>HYPERLINK("https://twitter.com/Gilang79","@Gilang79")</f>
        <v>@Gilang79</v>
      </c>
      <c r="C34643" s="8" t="s">
        <v>13101</v>
      </c>
      <c r="D34643" s="8">
        <v>3</v>
      </c>
      <c r="E34643" s="8">
        <v>0</v>
      </c>
      <c r="F34643" s="8">
        <v>234</v>
      </c>
    </row>
    <row r="34644" spans="1:6" ht="12.75">
      <c r="A34644" s="8">
        <v>43888.914270833338</v>
      </c>
      <c r="B34644" s="8" t="str">
        <f>HYPERLINK("https://twitter.com/iskan46080452","@iskan46080452")</f>
        <v>@iskan46080452</v>
      </c>
      <c r="C34644" s="8" t="s">
        <v>13214</v>
      </c>
      <c r="D34644" s="8">
        <v>0</v>
      </c>
      <c r="E34644" s="8">
        <v>0</v>
      </c>
      <c r="F34644" s="8">
        <v>291</v>
      </c>
    </row>
    <row r="34645" spans="1:6" ht="12.75">
      <c r="A34645" s="8">
        <v>43888.914131944446</v>
      </c>
      <c r="B34645" s="8" t="str">
        <f>HYPERLINK("https://twitter.com/arsennioes","@arsennioes")</f>
        <v>@arsennioes</v>
      </c>
      <c r="C34645" s="8" t="s">
        <v>13215</v>
      </c>
      <c r="D34645" s="8">
        <v>0</v>
      </c>
      <c r="E34645" s="8">
        <v>0</v>
      </c>
      <c r="F34645" s="8">
        <v>138</v>
      </c>
    </row>
    <row r="34646" spans="1:6" ht="12.75">
      <c r="A34646" s="8">
        <v>43888.913842592592</v>
      </c>
      <c r="B34646" s="8" t="str">
        <f>HYPERLINK("https://twitter.com/RIKIInteristi12","@RIKIInteristi12")</f>
        <v>@RIKIInteristi12</v>
      </c>
      <c r="C34646" s="8" t="s">
        <v>12071</v>
      </c>
      <c r="D34646" s="8">
        <v>18</v>
      </c>
      <c r="E34646" s="8">
        <v>0</v>
      </c>
      <c r="F34646" s="8">
        <v>321</v>
      </c>
    </row>
    <row r="34647" spans="1:6" ht="12.75">
      <c r="A34647" s="8">
        <v>43888.913460648153</v>
      </c>
      <c r="B34647" s="8" t="str">
        <f>HYPERLINK("https://twitter.com/Subuhi_Rizvi","@Subuhi_Rizvi")</f>
        <v>@Subuhi_Rizvi</v>
      </c>
      <c r="C34647" s="8" t="s">
        <v>13216</v>
      </c>
      <c r="D34647" s="8">
        <v>0</v>
      </c>
      <c r="E34647" s="8">
        <v>0</v>
      </c>
      <c r="F34647" s="8">
        <v>237</v>
      </c>
    </row>
    <row r="34648" spans="1:6" ht="12.75">
      <c r="A34648" s="8">
        <v>43888.913344907407</v>
      </c>
      <c r="B34648" s="8" t="str">
        <f>HYPERLINK("https://twitter.com/bola_cium","@bola_cium")</f>
        <v>@bola_cium</v>
      </c>
      <c r="C34648" s="8" t="s">
        <v>13217</v>
      </c>
      <c r="D34648" s="8">
        <v>0</v>
      </c>
      <c r="E34648" s="8">
        <v>0</v>
      </c>
      <c r="F34648" s="8">
        <v>660</v>
      </c>
    </row>
    <row r="34649" spans="1:6" ht="12.75">
      <c r="A34649" s="8">
        <v>43888.913310185184</v>
      </c>
      <c r="B34649" s="8" t="str">
        <f>HYPERLINK("https://twitter.com/PerwakilanK","@PerwakilanK")</f>
        <v>@PerwakilanK</v>
      </c>
      <c r="C34649" s="8" t="s">
        <v>12406</v>
      </c>
      <c r="D34649" s="8">
        <v>128</v>
      </c>
      <c r="E34649" s="8">
        <v>0</v>
      </c>
      <c r="F34649" s="8">
        <v>63</v>
      </c>
    </row>
    <row r="34650" spans="1:6" ht="12.75">
      <c r="A34650" s="8">
        <v>43888.913043981476</v>
      </c>
      <c r="B34650" s="8" t="str">
        <f>HYPERLINK("https://twitter.com/nikukuni_","@nikukuni_")</f>
        <v>@nikukuni_</v>
      </c>
      <c r="C34650" s="8" t="s">
        <v>593</v>
      </c>
      <c r="D34650" s="8">
        <v>411</v>
      </c>
      <c r="E34650" s="8">
        <v>0</v>
      </c>
      <c r="F34650" s="8">
        <v>46</v>
      </c>
    </row>
    <row r="34651" spans="1:6" ht="12.75">
      <c r="A34651" s="8">
        <v>43888.912314814814</v>
      </c>
      <c r="B34651" s="8" t="str">
        <f>HYPERLINK("https://twitter.com/ozzyozzyny","@ozzyozzyny")</f>
        <v>@ozzyozzyny</v>
      </c>
      <c r="C34651" s="8" t="s">
        <v>13218</v>
      </c>
      <c r="D34651" s="8">
        <v>0</v>
      </c>
      <c r="E34651" s="8">
        <v>0</v>
      </c>
      <c r="F34651" s="8">
        <v>157</v>
      </c>
    </row>
    <row r="34652" spans="1:6" ht="12.75">
      <c r="A34652" s="8">
        <v>43888.912175925929</v>
      </c>
      <c r="B34652" s="8" t="str">
        <f>HYPERLINK("https://twitter.com/MadumaArdi","@MadumaArdi")</f>
        <v>@MadumaArdi</v>
      </c>
      <c r="C34652" s="8" t="s">
        <v>13219</v>
      </c>
      <c r="D34652" s="8">
        <v>0</v>
      </c>
      <c r="E34652" s="8">
        <v>0</v>
      </c>
      <c r="F34652" s="8">
        <v>5</v>
      </c>
    </row>
    <row r="34653" spans="1:6" ht="12.75">
      <c r="A34653" s="8">
        <v>43888.912048611106</v>
      </c>
      <c r="B34653" s="8" t="str">
        <f>HYPERLINK("https://twitter.com/SaputraBerman","@SaputraBerman")</f>
        <v>@SaputraBerman</v>
      </c>
      <c r="C34653" s="8" t="s">
        <v>13220</v>
      </c>
      <c r="D34653" s="8">
        <v>4</v>
      </c>
      <c r="E34653" s="8">
        <v>0</v>
      </c>
      <c r="F34653" s="8">
        <v>54</v>
      </c>
    </row>
    <row r="34654" spans="1:6" ht="12.75">
      <c r="A34654" s="8">
        <v>43888.911875000005</v>
      </c>
      <c r="B34654" s="8" t="str">
        <f>HYPERLINK("https://twitter.com/pei_prillie","@pei_prillie")</f>
        <v>@pei_prillie</v>
      </c>
      <c r="C34654" s="8" t="s">
        <v>13221</v>
      </c>
      <c r="D34654" s="8">
        <v>0</v>
      </c>
      <c r="E34654" s="8">
        <v>0</v>
      </c>
      <c r="F34654" s="8">
        <v>32</v>
      </c>
    </row>
    <row r="34655" spans="1:6" ht="12.75">
      <c r="A34655" s="8">
        <v>43888.911655092597</v>
      </c>
      <c r="B34655" s="8" t="str">
        <f>HYPERLINK("https://twitter.com/gozhenk","@gozhenk")</f>
        <v>@gozhenk</v>
      </c>
      <c r="C34655" s="8" t="s">
        <v>13222</v>
      </c>
      <c r="D34655" s="8">
        <v>0</v>
      </c>
      <c r="E34655" s="8">
        <v>0</v>
      </c>
      <c r="F34655" s="8">
        <v>436</v>
      </c>
    </row>
    <row r="34656" spans="1:6" ht="12.75">
      <c r="A34656" s="8">
        <v>43888.911527777775</v>
      </c>
      <c r="B34656" s="8" t="str">
        <f>HYPERLINK("https://twitter.com/RedEagleGames","@RedEagleGames")</f>
        <v>@RedEagleGames</v>
      </c>
      <c r="C34656" s="8" t="s">
        <v>13223</v>
      </c>
      <c r="D34656" s="8">
        <v>0</v>
      </c>
      <c r="E34656" s="8">
        <v>0</v>
      </c>
      <c r="F34656" s="8">
        <v>91</v>
      </c>
    </row>
    <row r="34657" spans="1:6" ht="12.75">
      <c r="A34657" s="8">
        <v>43888.911469907413</v>
      </c>
      <c r="B34657" s="8" t="str">
        <f>HYPERLINK("https://twitter.com/BadjaNuswantara","@BadjaNuswantara")</f>
        <v>@BadjaNuswantara</v>
      </c>
      <c r="C34657" s="8" t="s">
        <v>13224</v>
      </c>
      <c r="D34657" s="8">
        <v>9</v>
      </c>
      <c r="E34657" s="8">
        <v>0</v>
      </c>
      <c r="F34657" s="8">
        <v>43370</v>
      </c>
    </row>
    <row r="34658" spans="1:6" ht="12.75">
      <c r="A34658" s="8">
        <v>43888.91128472222</v>
      </c>
      <c r="B34658" s="8" t="str">
        <f>HYPERLINK("https://twitter.com/salsabila0307","@salsabila0307")</f>
        <v>@salsabila0307</v>
      </c>
      <c r="C34658" s="8" t="s">
        <v>13225</v>
      </c>
      <c r="D34658" s="8">
        <v>0</v>
      </c>
      <c r="E34658" s="8">
        <v>0</v>
      </c>
      <c r="F34658" s="8">
        <v>4360</v>
      </c>
    </row>
    <row r="34659" spans="1:6" ht="12.75">
      <c r="A34659" s="8">
        <v>43888.910949074074</v>
      </c>
      <c r="B34659" s="8" t="str">
        <f>HYPERLINK("https://twitter.com/NCahyo51","@NCahyo51")</f>
        <v>@NCahyo51</v>
      </c>
      <c r="C34659" s="8" t="s">
        <v>12919</v>
      </c>
      <c r="D34659" s="8">
        <v>2</v>
      </c>
      <c r="E34659" s="8">
        <v>0</v>
      </c>
      <c r="F34659" s="8">
        <v>86</v>
      </c>
    </row>
    <row r="34660" spans="1:6" ht="12.75">
      <c r="A34660" s="8">
        <v>43888.910787037035</v>
      </c>
      <c r="B34660" s="8" t="str">
        <f>HYPERLINK("https://twitter.com/AskaraOfficial","@AskaraOfficial")</f>
        <v>@AskaraOfficial</v>
      </c>
      <c r="C34660" s="8" t="s">
        <v>13226</v>
      </c>
      <c r="D34660" s="8">
        <v>0</v>
      </c>
      <c r="E34660" s="8">
        <v>0</v>
      </c>
      <c r="F34660" s="8">
        <v>5</v>
      </c>
    </row>
    <row r="34661" spans="1:6" ht="12.75">
      <c r="A34661" s="8">
        <v>43888.910613425927</v>
      </c>
      <c r="B34661" s="8" t="str">
        <f>HYPERLINK("https://twitter.com/iNewsID","@iNewsID")</f>
        <v>@iNewsID</v>
      </c>
      <c r="C34661" s="8" t="s">
        <v>13227</v>
      </c>
      <c r="D34661" s="8">
        <v>0</v>
      </c>
      <c r="E34661" s="8">
        <v>0</v>
      </c>
      <c r="F34661" s="8">
        <v>1338</v>
      </c>
    </row>
    <row r="34662" spans="1:6" ht="12.75">
      <c r="A34662" s="8">
        <v>43888.910520833335</v>
      </c>
      <c r="B34662" s="8" t="str">
        <f>HYPERLINK("https://twitter.com/LautPaku","@LautPaku")</f>
        <v>@LautPaku</v>
      </c>
      <c r="C34662" s="8" t="s">
        <v>13228</v>
      </c>
      <c r="D34662" s="8">
        <v>0</v>
      </c>
      <c r="E34662" s="8">
        <v>0</v>
      </c>
      <c r="F34662" s="8">
        <v>35</v>
      </c>
    </row>
    <row r="34663" spans="1:6" ht="12.75">
      <c r="A34663" s="8">
        <v>43888.910509259258</v>
      </c>
      <c r="B34663" s="8" t="str">
        <f>HYPERLINK("https://twitter.com/sigitfajar","@sigitfajar")</f>
        <v>@sigitfajar</v>
      </c>
      <c r="C34663" s="8" t="s">
        <v>13229</v>
      </c>
      <c r="D34663" s="8">
        <v>0</v>
      </c>
      <c r="E34663" s="8">
        <v>0</v>
      </c>
      <c r="F34663" s="8">
        <v>952</v>
      </c>
    </row>
    <row r="34664" spans="1:6" ht="12.75">
      <c r="A34664" s="8">
        <v>43888.910462962958</v>
      </c>
      <c r="B34664" s="8" t="str">
        <f>HYPERLINK("https://twitter.com/SuryaMajapahi7","@SuryaMajapahi7")</f>
        <v>@SuryaMajapahi7</v>
      </c>
      <c r="C34664" s="8" t="s">
        <v>13007</v>
      </c>
      <c r="D34664" s="8">
        <v>12</v>
      </c>
      <c r="E34664" s="8">
        <v>0</v>
      </c>
      <c r="F34664" s="8">
        <v>630</v>
      </c>
    </row>
    <row r="34665" spans="1:6" ht="12.75">
      <c r="A34665" s="8">
        <v>43888.910324074073</v>
      </c>
      <c r="B34665" s="8" t="str">
        <f>HYPERLINK("https://twitter.com/triefince","@triefince")</f>
        <v>@triefince</v>
      </c>
      <c r="C34665" s="8" t="s">
        <v>13230</v>
      </c>
      <c r="D34665" s="8">
        <v>0</v>
      </c>
      <c r="E34665" s="8">
        <v>1</v>
      </c>
      <c r="F34665" s="8">
        <v>626</v>
      </c>
    </row>
    <row r="34666" spans="1:6" ht="12.75">
      <c r="A34666" s="8">
        <v>43888.910150462965</v>
      </c>
      <c r="B34666" s="8" t="str">
        <f>HYPERLINK("https://twitter.com/abethcia","@abethcia")</f>
        <v>@abethcia</v>
      </c>
      <c r="C34666" s="8" t="s">
        <v>12619</v>
      </c>
      <c r="D34666" s="8">
        <v>73</v>
      </c>
      <c r="E34666" s="8">
        <v>0</v>
      </c>
      <c r="F34666" s="8">
        <v>717</v>
      </c>
    </row>
    <row r="34667" spans="1:6" ht="12.75">
      <c r="A34667" s="8">
        <v>43888.909780092596</v>
      </c>
      <c r="B34667" s="8" t="str">
        <f>HYPERLINK("https://twitter.com/KompasTV","@KompasTV")</f>
        <v>@KompasTV</v>
      </c>
      <c r="C34667" s="8" t="s">
        <v>13231</v>
      </c>
      <c r="D34667" s="8">
        <v>0</v>
      </c>
      <c r="E34667" s="8">
        <v>3</v>
      </c>
      <c r="F34667" s="8">
        <v>2950411</v>
      </c>
    </row>
    <row r="34668" spans="1:6" ht="12.75">
      <c r="A34668" s="8">
        <v>43888.909722222219</v>
      </c>
      <c r="B34668" s="8" t="str">
        <f>HYPERLINK("https://twitter.com/mediaindonesia","@mediaindonesia")</f>
        <v>@mediaindonesia</v>
      </c>
      <c r="C34668" s="8" t="s">
        <v>13232</v>
      </c>
      <c r="D34668" s="8">
        <v>1</v>
      </c>
      <c r="E34668" s="8">
        <v>4</v>
      </c>
      <c r="F34668" s="8">
        <v>1419087</v>
      </c>
    </row>
    <row r="34669" spans="1:6" ht="12.75">
      <c r="A34669" s="8">
        <v>43888.90960648148</v>
      </c>
      <c r="B34669" s="8" t="str">
        <f>HYPERLINK("https://twitter.com/Vierman27301767","@Vierman27301767")</f>
        <v>@Vierman27301767</v>
      </c>
      <c r="C34669" s="8" t="s">
        <v>13233</v>
      </c>
      <c r="D34669" s="8">
        <v>0</v>
      </c>
      <c r="E34669" s="8">
        <v>0</v>
      </c>
      <c r="F34669" s="8">
        <v>1129</v>
      </c>
    </row>
    <row r="34670" spans="1:6" ht="12.75">
      <c r="A34670" s="8">
        <v>43888.909166666665</v>
      </c>
      <c r="B34670" s="8" t="str">
        <f>HYPERLINK("https://twitter.com/tahupetismanis","@tahupetismanis")</f>
        <v>@tahupetismanis</v>
      </c>
      <c r="C34670" s="8" t="s">
        <v>13234</v>
      </c>
      <c r="D34670" s="8">
        <v>0</v>
      </c>
      <c r="E34670" s="8">
        <v>1</v>
      </c>
      <c r="F34670" s="8">
        <v>4050</v>
      </c>
    </row>
    <row r="34671" spans="1:6" ht="12.75">
      <c r="A34671" s="8">
        <v>43888.908020833333</v>
      </c>
      <c r="B34671" s="8" t="str">
        <f>HYPERLINK("https://twitter.com/jinarsaskara","@jinarsaskara")</f>
        <v>@jinarsaskara</v>
      </c>
      <c r="C34671" s="8" t="s">
        <v>8036</v>
      </c>
      <c r="D34671" s="8">
        <v>32</v>
      </c>
      <c r="E34671" s="8">
        <v>0</v>
      </c>
      <c r="F34671" s="8">
        <v>2908</v>
      </c>
    </row>
    <row r="34672" spans="1:6" ht="12.75">
      <c r="A34672" s="8">
        <v>43888.907581018517</v>
      </c>
      <c r="B34672" s="8" t="str">
        <f>HYPERLINK("https://twitter.com/NurulAlida","@NurulAlida")</f>
        <v>@NurulAlida</v>
      </c>
      <c r="C34672" s="8" t="s">
        <v>10773</v>
      </c>
      <c r="D34672" s="8">
        <v>269</v>
      </c>
      <c r="E34672" s="8">
        <v>0</v>
      </c>
      <c r="F34672" s="8">
        <v>427</v>
      </c>
    </row>
    <row r="34673" spans="1:6" ht="12.75">
      <c r="A34673" s="8">
        <v>43888.907337962963</v>
      </c>
      <c r="B34673" s="8" t="str">
        <f>HYPERLINK("https://twitter.com/Alitingting2","@Alitingting2")</f>
        <v>@Alitingting2</v>
      </c>
      <c r="C34673" s="8" t="s">
        <v>13235</v>
      </c>
      <c r="D34673" s="8">
        <v>4</v>
      </c>
      <c r="E34673" s="8">
        <v>0</v>
      </c>
      <c r="F34673" s="8">
        <v>2945</v>
      </c>
    </row>
    <row r="34674" spans="1:6" ht="12.75">
      <c r="A34674" s="8">
        <v>43888.907129629632</v>
      </c>
      <c r="B34674" s="8" t="str">
        <f>HYPERLINK("https://twitter.com/BangingBongBoy","@BangingBongBoy")</f>
        <v>@BangingBongBoy</v>
      </c>
      <c r="C34674" s="8" t="s">
        <v>13236</v>
      </c>
      <c r="D34674" s="8">
        <v>0</v>
      </c>
      <c r="E34674" s="8">
        <v>2</v>
      </c>
      <c r="F34674" s="8">
        <v>31</v>
      </c>
    </row>
    <row r="34675" spans="1:6" ht="12.75">
      <c r="A34675" s="8">
        <v>43888.907013888893</v>
      </c>
      <c r="B34675" s="8" t="str">
        <f>HYPERLINK("https://twitter.com/handikov","@handikov")</f>
        <v>@handikov</v>
      </c>
      <c r="C34675" s="8" t="s">
        <v>12864</v>
      </c>
      <c r="D34675" s="8">
        <v>5</v>
      </c>
      <c r="E34675" s="8">
        <v>0</v>
      </c>
      <c r="F34675" s="8">
        <v>163</v>
      </c>
    </row>
    <row r="34676" spans="1:6" ht="12.75">
      <c r="A34676" s="8">
        <v>43888.906851851847</v>
      </c>
      <c r="B34676" s="8" t="str">
        <f>HYPERLINK("https://twitter.com/OpRadioBnpb","@OpRadioBnpb")</f>
        <v>@OpRadioBnpb</v>
      </c>
      <c r="C34676" s="8" t="s">
        <v>6888</v>
      </c>
      <c r="D34676" s="8">
        <v>22</v>
      </c>
      <c r="E34676" s="8">
        <v>0</v>
      </c>
      <c r="F34676" s="8">
        <v>90</v>
      </c>
    </row>
    <row r="34677" spans="1:6" ht="12.75">
      <c r="A34677" s="8">
        <v>43888.906851851847</v>
      </c>
      <c r="B34677" s="8" t="str">
        <f>HYPERLINK("https://twitter.com/becak125cc","@becak125cc")</f>
        <v>@becak125cc</v>
      </c>
      <c r="C34677" s="8" t="s">
        <v>13198</v>
      </c>
      <c r="D34677" s="8">
        <v>70</v>
      </c>
      <c r="E34677" s="8">
        <v>0</v>
      </c>
      <c r="F34677" s="8">
        <v>528</v>
      </c>
    </row>
    <row r="34678" spans="1:6" ht="12.75">
      <c r="A34678" s="8">
        <v>43888.906643518523</v>
      </c>
      <c r="B34678" s="8" t="str">
        <f>HYPERLINK("https://twitter.com/MeyKarunia","@MeyKarunia")</f>
        <v>@MeyKarunia</v>
      </c>
      <c r="C34678" s="8" t="s">
        <v>12755</v>
      </c>
      <c r="D34678" s="8">
        <v>32</v>
      </c>
      <c r="E34678" s="8">
        <v>0</v>
      </c>
      <c r="F34678" s="8">
        <v>748</v>
      </c>
    </row>
    <row r="34679" spans="1:6" ht="12.75">
      <c r="A34679" s="8">
        <v>43888.905925925923</v>
      </c>
      <c r="B34679" s="8" t="str">
        <f>HYPERLINK("https://twitter.com/CastilloJoshima","@CastilloJoshima")</f>
        <v>@CastilloJoshima</v>
      </c>
      <c r="C34679" s="8" t="s">
        <v>13237</v>
      </c>
      <c r="D34679" s="8">
        <v>4</v>
      </c>
      <c r="E34679" s="8">
        <v>0</v>
      </c>
      <c r="F34679" s="8">
        <v>5421</v>
      </c>
    </row>
    <row r="34680" spans="1:6" ht="12.75">
      <c r="A34680" s="8">
        <v>43888.905706018515</v>
      </c>
      <c r="B34680" s="8" t="str">
        <f>HYPERLINK("https://twitter.com/SaputraBerman","@SaputraBerman")</f>
        <v>@SaputraBerman</v>
      </c>
      <c r="C34680" s="8" t="s">
        <v>13101</v>
      </c>
      <c r="D34680" s="8">
        <v>3</v>
      </c>
      <c r="E34680" s="8">
        <v>0</v>
      </c>
      <c r="F34680" s="8">
        <v>54</v>
      </c>
    </row>
    <row r="34681" spans="1:6" ht="12.75">
      <c r="A34681" s="8">
        <v>43888.905682870369</v>
      </c>
      <c r="B34681" s="8" t="str">
        <f>HYPERLINK("https://twitter.com/siBudakAngon","@siBudakAngon")</f>
        <v>@siBudakAngon</v>
      </c>
      <c r="C34681" s="8" t="s">
        <v>12730</v>
      </c>
      <c r="D34681" s="8">
        <v>77</v>
      </c>
      <c r="E34681" s="8">
        <v>0</v>
      </c>
      <c r="F34681" s="8">
        <v>183</v>
      </c>
    </row>
    <row r="34682" spans="1:6" ht="12.75">
      <c r="A34682" s="8">
        <v>43888.905578703707</v>
      </c>
      <c r="B34682" s="8" t="str">
        <f>HYPERLINK("https://twitter.com/sabhatansabiz","@sabhatansabiz")</f>
        <v>@sabhatansabiz</v>
      </c>
      <c r="C34682" s="8" t="s">
        <v>13238</v>
      </c>
      <c r="D34682" s="8">
        <v>2</v>
      </c>
      <c r="E34682" s="8">
        <v>0</v>
      </c>
      <c r="F34682" s="8">
        <v>1584</v>
      </c>
    </row>
    <row r="34683" spans="1:6" ht="12.75">
      <c r="A34683" s="8">
        <v>43888.904780092591</v>
      </c>
      <c r="B34683" s="8" t="str">
        <f>HYPERLINK("https://twitter.com/fujityas","@fujityas")</f>
        <v>@fujityas</v>
      </c>
      <c r="C34683" s="8" t="s">
        <v>12864</v>
      </c>
      <c r="D34683" s="8">
        <v>5</v>
      </c>
      <c r="E34683" s="8">
        <v>0</v>
      </c>
      <c r="F34683" s="8">
        <v>166</v>
      </c>
    </row>
    <row r="34684" spans="1:6" ht="12.75">
      <c r="A34684" s="8">
        <v>43888.904490740737</v>
      </c>
      <c r="B34684" s="8" t="str">
        <f>HYPERLINK("https://twitter.com/_wni_","@_wni_")</f>
        <v>@_wni_</v>
      </c>
      <c r="C34684" s="8" t="s">
        <v>13239</v>
      </c>
      <c r="D34684" s="8">
        <v>0</v>
      </c>
      <c r="E34684" s="8">
        <v>0</v>
      </c>
      <c r="F34684" s="8">
        <v>9</v>
      </c>
    </row>
    <row r="34685" spans="1:6" ht="12.75">
      <c r="A34685" s="8">
        <v>43888.904490740737</v>
      </c>
      <c r="B34685" s="8" t="str">
        <f>HYPERLINK("https://twitter.com/3_devout","@3_devout")</f>
        <v>@3_devout</v>
      </c>
      <c r="C34685" s="8" t="s">
        <v>12619</v>
      </c>
      <c r="D34685" s="8">
        <v>73</v>
      </c>
      <c r="E34685" s="8">
        <v>0</v>
      </c>
      <c r="F34685" s="8">
        <v>1063</v>
      </c>
    </row>
    <row r="34686" spans="1:6" ht="12.75">
      <c r="A34686" s="8">
        <v>43888.90420138889</v>
      </c>
      <c r="B34686" s="8" t="str">
        <f>HYPERLINK("https://twitter.com/Esatucom1","@Esatucom1")</f>
        <v>@Esatucom1</v>
      </c>
      <c r="C34686" s="8" t="s">
        <v>13240</v>
      </c>
      <c r="D34686" s="8">
        <v>0</v>
      </c>
      <c r="E34686" s="8">
        <v>0</v>
      </c>
      <c r="F34686" s="8">
        <v>11</v>
      </c>
    </row>
    <row r="34687" spans="1:6" ht="12.75">
      <c r="A34687" s="8">
        <v>43888.904178240744</v>
      </c>
      <c r="B34687" s="8" t="str">
        <f>HYPERLINK("https://twitter.com/updatedotid","@updatedotid")</f>
        <v>@updatedotid</v>
      </c>
      <c r="C34687" s="8" t="s">
        <v>13238</v>
      </c>
      <c r="D34687" s="8">
        <v>2</v>
      </c>
      <c r="E34687" s="8">
        <v>0</v>
      </c>
      <c r="F34687" s="8">
        <v>1618</v>
      </c>
    </row>
    <row r="34688" spans="1:6" ht="12.75">
      <c r="A34688" s="8">
        <v>43888.904120370367</v>
      </c>
      <c r="B34688" s="8" t="str">
        <f>HYPERLINK("https://twitter.com/avliyonggg","@avliyonggg")</f>
        <v>@avliyonggg</v>
      </c>
      <c r="C34688" s="8" t="s">
        <v>13241</v>
      </c>
      <c r="D34688" s="8">
        <v>0</v>
      </c>
      <c r="E34688" s="8">
        <v>0</v>
      </c>
      <c r="F34688" s="8">
        <v>1212</v>
      </c>
    </row>
    <row r="34689" spans="1:6" ht="12.75">
      <c r="A34689" s="8">
        <v>43888.904027777782</v>
      </c>
      <c r="B34689" s="8" t="str">
        <f>HYPERLINK("https://twitter.com/Tandaseru_id","@Tandaseru_id")</f>
        <v>@Tandaseru_id</v>
      </c>
      <c r="C34689" s="8" t="s">
        <v>13242</v>
      </c>
      <c r="D34689" s="8">
        <v>0</v>
      </c>
      <c r="E34689" s="8">
        <v>0</v>
      </c>
      <c r="F34689" s="8">
        <v>537</v>
      </c>
    </row>
    <row r="34690" spans="1:6" ht="12.75">
      <c r="A34690" s="8">
        <v>43888.904027777782</v>
      </c>
      <c r="B34690" s="8" t="str">
        <f>HYPERLINK("https://twitter.com/GisellaCik","@GisellaCik")</f>
        <v>@GisellaCik</v>
      </c>
      <c r="C34690" s="8" t="s">
        <v>13235</v>
      </c>
      <c r="D34690" s="8">
        <v>4</v>
      </c>
      <c r="E34690" s="8">
        <v>0</v>
      </c>
      <c r="F34690" s="8">
        <v>6648</v>
      </c>
    </row>
    <row r="34691" spans="1:6" ht="12.75">
      <c r="A34691" s="8">
        <v>43888.903969907406</v>
      </c>
      <c r="B34691" s="8" t="str">
        <f>HYPERLINK("https://twitter.com/frans_journey","@frans_journey")</f>
        <v>@frans_journey</v>
      </c>
      <c r="C34691" s="8" t="s">
        <v>8036</v>
      </c>
      <c r="D34691" s="8">
        <v>32</v>
      </c>
      <c r="E34691" s="8">
        <v>0</v>
      </c>
      <c r="F34691" s="8">
        <v>670</v>
      </c>
    </row>
    <row r="34692" spans="1:6" ht="12.75">
      <c r="A34692" s="8">
        <v>43888.903865740736</v>
      </c>
      <c r="B34692" s="8" t="str">
        <f>HYPERLINK("https://twitter.com/LeoBudiSuryanto","@LeoBudiSuryanto")</f>
        <v>@LeoBudiSuryanto</v>
      </c>
      <c r="C34692" s="8" t="s">
        <v>13235</v>
      </c>
      <c r="D34692" s="8">
        <v>4</v>
      </c>
      <c r="E34692" s="8">
        <v>0</v>
      </c>
      <c r="F34692" s="8">
        <v>2091</v>
      </c>
    </row>
    <row r="34693" spans="1:6" ht="12.75">
      <c r="A34693" s="8">
        <v>43888.903842592597</v>
      </c>
      <c r="B34693" s="8" t="str">
        <f>HYPERLINK("https://twitter.com/radar_malang","@radar_malang")</f>
        <v>@radar_malang</v>
      </c>
      <c r="C34693" s="8" t="s">
        <v>13243</v>
      </c>
      <c r="D34693" s="8">
        <v>2</v>
      </c>
      <c r="E34693" s="8">
        <v>0</v>
      </c>
      <c r="F34693" s="8">
        <v>108713</v>
      </c>
    </row>
    <row r="34694" spans="1:6" ht="12.75">
      <c r="A34694" s="8">
        <v>43888.903703703705</v>
      </c>
      <c r="B34694" s="8" t="str">
        <f>HYPERLINK("https://twitter.com/TDoonal","@TDoonal")</f>
        <v>@TDoonal</v>
      </c>
      <c r="C34694" s="8" t="s">
        <v>13244</v>
      </c>
      <c r="D34694" s="8">
        <v>4</v>
      </c>
      <c r="E34694" s="8">
        <v>8</v>
      </c>
      <c r="F34694" s="8">
        <v>134</v>
      </c>
    </row>
    <row r="34695" spans="1:6" ht="12.75">
      <c r="A34695" s="8">
        <v>43888.903553240743</v>
      </c>
      <c r="B34695" s="8" t="str">
        <f>HYPERLINK("https://twitter.com/deruambisi","@deruambisi")</f>
        <v>@deruambisi</v>
      </c>
      <c r="C34695" s="8" t="s">
        <v>13245</v>
      </c>
      <c r="D34695" s="8">
        <v>0</v>
      </c>
      <c r="E34695" s="8">
        <v>0</v>
      </c>
      <c r="F34695" s="8">
        <v>192</v>
      </c>
    </row>
    <row r="34696" spans="1:6" ht="12.75">
      <c r="A34696" s="8">
        <v>43888.881435185191</v>
      </c>
      <c r="B34696" s="8" t="str">
        <f>HYPERLINK("https://twitter.com/resyad_alby","@resyad_alby")</f>
        <v>@resyad_alby</v>
      </c>
      <c r="C34696" s="8" t="s">
        <v>12071</v>
      </c>
      <c r="D34696" s="8">
        <v>15</v>
      </c>
      <c r="E34696" s="8">
        <v>0</v>
      </c>
      <c r="F34696" s="8">
        <v>148</v>
      </c>
    </row>
    <row r="34697" spans="1:6" ht="12.75">
      <c r="A34697" s="8">
        <v>43888.881226851852</v>
      </c>
      <c r="B34697" s="8" t="str">
        <f>HYPERLINK("https://twitter.com/Aryprasetyo85","@Aryprasetyo85")</f>
        <v>@Aryprasetyo85</v>
      </c>
      <c r="C34697" s="8" t="s">
        <v>13246</v>
      </c>
      <c r="D34697" s="8">
        <v>1</v>
      </c>
      <c r="E34697" s="8">
        <v>0</v>
      </c>
      <c r="F34697" s="8">
        <v>39417</v>
      </c>
    </row>
    <row r="34698" spans="1:6" ht="12.75">
      <c r="A34698" s="8">
        <v>43888.881145833337</v>
      </c>
      <c r="B34698" s="8" t="str">
        <f>HYPERLINK("https://twitter.com/911comand","@911comand")</f>
        <v>@911comand</v>
      </c>
      <c r="C34698" s="8" t="s">
        <v>12824</v>
      </c>
      <c r="D34698" s="8">
        <v>3</v>
      </c>
      <c r="E34698" s="8">
        <v>0</v>
      </c>
      <c r="F34698" s="8">
        <v>1169</v>
      </c>
    </row>
    <row r="34699" spans="1:6" ht="12.75">
      <c r="A34699" s="8">
        <v>43888.880902777775</v>
      </c>
      <c r="B34699" s="8" t="str">
        <f>HYPERLINK("https://twitter.com/Sulthan29543406","@Sulthan29543406")</f>
        <v>@Sulthan29543406</v>
      </c>
      <c r="C34699" s="8" t="s">
        <v>13247</v>
      </c>
      <c r="D34699" s="8">
        <v>0</v>
      </c>
      <c r="E34699" s="8">
        <v>0</v>
      </c>
      <c r="F34699" s="8">
        <v>55</v>
      </c>
    </row>
    <row r="34700" spans="1:6" ht="12.75">
      <c r="A34700" s="8">
        <v>43888.880856481483</v>
      </c>
      <c r="B34700" s="8" t="str">
        <f>HYPERLINK("https://twitter.com/nattasyaauroraa","@nattasyaauroraa")</f>
        <v>@nattasyaauroraa</v>
      </c>
      <c r="C34700" s="8" t="s">
        <v>11773</v>
      </c>
      <c r="D34700" s="8">
        <v>431</v>
      </c>
      <c r="E34700" s="8">
        <v>0</v>
      </c>
      <c r="F34700" s="8">
        <v>112</v>
      </c>
    </row>
    <row r="34701" spans="1:6" ht="12.75">
      <c r="A34701" s="8">
        <v>43888.880729166667</v>
      </c>
      <c r="B34701" s="8" t="str">
        <f>HYPERLINK("https://twitter.com/DahrilDarmawan","@DahrilDarmawan")</f>
        <v>@DahrilDarmawan</v>
      </c>
      <c r="C34701" s="8" t="s">
        <v>13248</v>
      </c>
      <c r="D34701" s="8">
        <v>0</v>
      </c>
      <c r="E34701" s="8">
        <v>0</v>
      </c>
      <c r="F34701" s="8">
        <v>98</v>
      </c>
    </row>
    <row r="34702" spans="1:6" ht="12.75">
      <c r="A34702" s="8">
        <v>43888.880613425921</v>
      </c>
      <c r="B34702" s="8" t="str">
        <f>HYPERLINK("https://twitter.com/rdyrp","@rdyrp")</f>
        <v>@rdyrp</v>
      </c>
      <c r="C34702" s="8" t="s">
        <v>593</v>
      </c>
      <c r="D34702" s="8">
        <v>403</v>
      </c>
      <c r="E34702" s="8">
        <v>0</v>
      </c>
      <c r="F34702" s="8">
        <v>260</v>
      </c>
    </row>
    <row r="34703" spans="1:6" ht="12.75">
      <c r="A34703" s="8">
        <v>43888.880381944444</v>
      </c>
      <c r="B34703" s="8" t="str">
        <f>HYPERLINK("https://twitter.com/deandry","@deandry")</f>
        <v>@deandry</v>
      </c>
      <c r="C34703" s="8" t="s">
        <v>13249</v>
      </c>
      <c r="D34703" s="8">
        <v>0</v>
      </c>
      <c r="E34703" s="8">
        <v>0</v>
      </c>
      <c r="F34703" s="8">
        <v>2148</v>
      </c>
    </row>
    <row r="34704" spans="1:6" ht="12.75">
      <c r="A34704" s="8">
        <v>43888.880231481482</v>
      </c>
      <c r="B34704" s="8" t="str">
        <f>HYPERLINK("https://twitter.com/rain_bow80","@rain_bow80")</f>
        <v>@rain_bow80</v>
      </c>
      <c r="C34704" s="8" t="s">
        <v>13250</v>
      </c>
      <c r="D34704" s="8">
        <v>0</v>
      </c>
      <c r="E34704" s="8">
        <v>0</v>
      </c>
      <c r="F34704" s="8">
        <v>109</v>
      </c>
    </row>
    <row r="34705" spans="1:6" ht="12.75">
      <c r="A34705" s="8">
        <v>43888.879895833335</v>
      </c>
      <c r="B34705" s="8" t="str">
        <f>HYPERLINK("https://twitter.com/AskaraOfficial","@AskaraOfficial")</f>
        <v>@AskaraOfficial</v>
      </c>
      <c r="C34705" s="8" t="s">
        <v>13251</v>
      </c>
      <c r="D34705" s="8">
        <v>0</v>
      </c>
      <c r="E34705" s="8">
        <v>0</v>
      </c>
      <c r="F34705" s="8">
        <v>5</v>
      </c>
    </row>
    <row r="34706" spans="1:6" ht="12.75">
      <c r="A34706" s="8">
        <v>43888.879513888889</v>
      </c>
      <c r="B34706" s="8" t="str">
        <f>HYPERLINK("https://twitter.com/FoerQoen","@FoerQoen")</f>
        <v>@FoerQoen</v>
      </c>
      <c r="C34706" s="8" t="s">
        <v>13252</v>
      </c>
      <c r="D34706" s="8">
        <v>1</v>
      </c>
      <c r="E34706" s="8">
        <v>0</v>
      </c>
      <c r="F34706" s="8">
        <v>3225</v>
      </c>
    </row>
    <row r="34707" spans="1:6" ht="12.75">
      <c r="A34707" s="8">
        <v>43888.879201388889</v>
      </c>
      <c r="B34707" s="8" t="str">
        <f>HYPERLINK("https://twitter.com/kadi_irawan","@kadi_irawan")</f>
        <v>@kadi_irawan</v>
      </c>
      <c r="C34707" s="8" t="s">
        <v>8036</v>
      </c>
      <c r="D34707" s="8">
        <v>28</v>
      </c>
      <c r="E34707" s="8">
        <v>0</v>
      </c>
      <c r="F34707" s="8">
        <v>367</v>
      </c>
    </row>
    <row r="34708" spans="1:6" ht="12.75">
      <c r="A34708" s="8">
        <v>43888.87908564815</v>
      </c>
      <c r="B34708" s="8" t="str">
        <f>HYPERLINK("https://twitter.com/mariaky600","@mariaky600")</f>
        <v>@mariaky600</v>
      </c>
      <c r="C34708" s="8" t="s">
        <v>13253</v>
      </c>
      <c r="D34708" s="8">
        <v>0</v>
      </c>
      <c r="E34708" s="8">
        <v>0</v>
      </c>
      <c r="F34708" s="8">
        <v>102</v>
      </c>
    </row>
    <row r="34709" spans="1:6" ht="12.75">
      <c r="A34709" s="8">
        <v>43888.879062499997</v>
      </c>
      <c r="B34709" s="8" t="str">
        <f>HYPERLINK("https://twitter.com/Novan17521657","@Novan17521657")</f>
        <v>@Novan17521657</v>
      </c>
      <c r="C34709" s="8" t="s">
        <v>13254</v>
      </c>
      <c r="D34709" s="8">
        <v>0</v>
      </c>
      <c r="E34709" s="8">
        <v>1</v>
      </c>
      <c r="F34709" s="8">
        <v>83</v>
      </c>
    </row>
    <row r="34710" spans="1:6" ht="12.75">
      <c r="A34710" s="8">
        <v>43888.878553240742</v>
      </c>
      <c r="B34710" s="8" t="str">
        <f>HYPERLINK("https://twitter.com/SaputraBerman","@SaputraBerman")</f>
        <v>@SaputraBerman</v>
      </c>
      <c r="C34710" s="8" t="s">
        <v>8036</v>
      </c>
      <c r="D34710" s="8">
        <v>28</v>
      </c>
      <c r="E34710" s="8">
        <v>0</v>
      </c>
      <c r="F34710" s="8">
        <v>54</v>
      </c>
    </row>
    <row r="34711" spans="1:6" ht="12.75">
      <c r="A34711" s="8">
        <v>43888.878460648149</v>
      </c>
      <c r="B34711" s="8" t="str">
        <f>HYPERLINK("https://twitter.com/deejaaaboo","@deejaaaboo")</f>
        <v>@deejaaaboo</v>
      </c>
      <c r="C34711" s="8" t="s">
        <v>593</v>
      </c>
      <c r="D34711" s="8">
        <v>403</v>
      </c>
      <c r="E34711" s="8">
        <v>0</v>
      </c>
      <c r="F34711" s="8">
        <v>97</v>
      </c>
    </row>
    <row r="34712" spans="1:6" ht="12.75">
      <c r="A34712" s="8">
        <v>43888.878344907411</v>
      </c>
      <c r="B34712" s="8" t="str">
        <f>HYPERLINK("https://twitter.com/_wni_","@_wni_")</f>
        <v>@_wni_</v>
      </c>
      <c r="C34712" s="8" t="s">
        <v>13255</v>
      </c>
      <c r="D34712" s="8">
        <v>0</v>
      </c>
      <c r="E34712" s="8">
        <v>0</v>
      </c>
      <c r="F34712" s="8">
        <v>9</v>
      </c>
    </row>
    <row r="34713" spans="1:6" ht="12.75">
      <c r="A34713" s="8">
        <v>43888.878344907411</v>
      </c>
      <c r="B34713" s="8" t="str">
        <f>HYPERLINK("https://twitter.com/metro24_co","@metro24_co")</f>
        <v>@metro24_co</v>
      </c>
      <c r="C34713" s="8" t="s">
        <v>13256</v>
      </c>
      <c r="D34713" s="8">
        <v>0</v>
      </c>
      <c r="E34713" s="8">
        <v>0</v>
      </c>
      <c r="F34713" s="8">
        <v>380</v>
      </c>
    </row>
    <row r="34714" spans="1:6" ht="12.75">
      <c r="A34714" s="8">
        <v>43888.878217592588</v>
      </c>
      <c r="B34714" s="8" t="str">
        <f>HYPERLINK("https://twitter.com/annasantoz318","@annasantoz318")</f>
        <v>@annasantoz318</v>
      </c>
      <c r="C34714" s="8" t="s">
        <v>12869</v>
      </c>
      <c r="D34714" s="8">
        <v>2</v>
      </c>
      <c r="E34714" s="8">
        <v>0</v>
      </c>
      <c r="F34714" s="8">
        <v>12414</v>
      </c>
    </row>
    <row r="34715" spans="1:6" ht="12.75">
      <c r="A34715" s="8">
        <v>43888.878182870365</v>
      </c>
      <c r="B34715" s="8" t="str">
        <f>HYPERLINK("https://twitter.com/kompascom","@kompascom")</f>
        <v>@kompascom</v>
      </c>
      <c r="C34715" s="8" t="s">
        <v>13257</v>
      </c>
      <c r="D34715" s="8">
        <v>0</v>
      </c>
      <c r="E34715" s="8">
        <v>4</v>
      </c>
      <c r="F34715" s="8">
        <v>7515882</v>
      </c>
    </row>
    <row r="34716" spans="1:6" ht="12.75">
      <c r="A34716" s="8">
        <v>43888.878020833334</v>
      </c>
      <c r="B34716" s="8" t="str">
        <f>HYPERLINK("https://twitter.com/wiriantowidjaya","@wiriantowidjaya")</f>
        <v>@wiriantowidjaya</v>
      </c>
      <c r="C34716" s="8" t="s">
        <v>13258</v>
      </c>
      <c r="D34716" s="8">
        <v>0</v>
      </c>
      <c r="E34716" s="8">
        <v>0</v>
      </c>
      <c r="F34716" s="8">
        <v>1554</v>
      </c>
    </row>
    <row r="34717" spans="1:6" ht="12.75">
      <c r="A34717" s="8">
        <v>43888.877951388888</v>
      </c>
      <c r="B34717" s="8" t="str">
        <f>HYPERLINK("https://twitter.com/yudi_lek","@yudi_lek")</f>
        <v>@yudi_lek</v>
      </c>
      <c r="C34717" s="8" t="s">
        <v>8036</v>
      </c>
      <c r="D34717" s="8">
        <v>28</v>
      </c>
      <c r="E34717" s="8">
        <v>0</v>
      </c>
      <c r="F34717" s="8">
        <v>71</v>
      </c>
    </row>
    <row r="34718" spans="1:6" ht="12.75">
      <c r="A34718" s="8">
        <v>43888.877800925926</v>
      </c>
      <c r="B34718" s="8" t="str">
        <f>HYPERLINK("https://twitter.com/kompascom","@kompascom")</f>
        <v>@kompascom</v>
      </c>
      <c r="C34718" s="8" t="s">
        <v>13259</v>
      </c>
      <c r="D34718" s="8">
        <v>0</v>
      </c>
      <c r="E34718" s="8">
        <v>1</v>
      </c>
      <c r="F34718" s="8">
        <v>7515882</v>
      </c>
    </row>
    <row r="34719" spans="1:6" ht="12.75">
      <c r="A34719" s="8">
        <v>43888.877592592587</v>
      </c>
      <c r="B34719" s="8" t="str">
        <f>HYPERLINK("https://twitter.com/RZIDN","@RZIDN")</f>
        <v>@RZIDN</v>
      </c>
      <c r="C34719" s="8" t="s">
        <v>12619</v>
      </c>
      <c r="D34719" s="8">
        <v>68</v>
      </c>
      <c r="E34719" s="8">
        <v>0</v>
      </c>
      <c r="F34719" s="8">
        <v>767</v>
      </c>
    </row>
    <row r="34720" spans="1:6" ht="12.75">
      <c r="A34720" s="8">
        <v>43888.877534722225</v>
      </c>
      <c r="B34720" s="8" t="str">
        <f>HYPERLINK("https://twitter.com/jerry_gemini","@jerry_gemini")</f>
        <v>@jerry_gemini</v>
      </c>
      <c r="C34720" s="8" t="s">
        <v>13260</v>
      </c>
      <c r="D34720" s="8">
        <v>0</v>
      </c>
      <c r="E34720" s="8">
        <v>0</v>
      </c>
      <c r="F34720" s="8">
        <v>2076</v>
      </c>
    </row>
    <row r="34721" spans="1:6" ht="12.75">
      <c r="A34721" s="8">
        <v>43888.877326388887</v>
      </c>
      <c r="B34721" s="8" t="str">
        <f>HYPERLINK("https://twitter.com/erwin_idrus","@erwin_idrus")</f>
        <v>@erwin_idrus</v>
      </c>
      <c r="C34721" s="8" t="s">
        <v>13261</v>
      </c>
      <c r="D34721" s="8">
        <v>11</v>
      </c>
      <c r="E34721" s="8">
        <v>0</v>
      </c>
      <c r="F34721" s="8">
        <v>257</v>
      </c>
    </row>
    <row r="34722" spans="1:6" ht="12.75">
      <c r="A34722" s="8">
        <v>43888.876597222217</v>
      </c>
      <c r="B34722" s="8" t="str">
        <f>HYPERLINK("https://twitter.com/mogu_mogupon","@mogu_mogupon")</f>
        <v>@mogu_mogupon</v>
      </c>
      <c r="C34722" s="8" t="s">
        <v>12143</v>
      </c>
      <c r="D34722" s="8">
        <v>321</v>
      </c>
      <c r="E34722" s="8">
        <v>0</v>
      </c>
      <c r="F34722" s="8">
        <v>38</v>
      </c>
    </row>
    <row r="34723" spans="1:6" ht="12.75">
      <c r="A34723" s="8">
        <v>43888.876168981486</v>
      </c>
      <c r="B34723" s="8" t="str">
        <f>HYPERLINK("https://twitter.com/Slash074","@Slash074")</f>
        <v>@Slash074</v>
      </c>
      <c r="C34723" s="8" t="s">
        <v>12071</v>
      </c>
      <c r="D34723" s="8">
        <v>15</v>
      </c>
      <c r="E34723" s="8">
        <v>0</v>
      </c>
      <c r="F34723" s="8">
        <v>96</v>
      </c>
    </row>
    <row r="34724" spans="1:6" ht="12.75">
      <c r="A34724" s="8">
        <v>43888.876122685186</v>
      </c>
      <c r="B34724" s="8" t="str">
        <f>HYPERLINK("https://twitter.com/SyPram_Khan","@SyPram_Khan")</f>
        <v>@SyPram_Khan</v>
      </c>
      <c r="C34724" s="8" t="s">
        <v>13262</v>
      </c>
      <c r="D34724" s="8">
        <v>1</v>
      </c>
      <c r="E34724" s="8">
        <v>1</v>
      </c>
      <c r="F34724" s="8">
        <v>265</v>
      </c>
    </row>
    <row r="34725" spans="1:6" ht="12.75">
      <c r="A34725" s="8">
        <v>43888.875532407408</v>
      </c>
      <c r="B34725" s="8" t="str">
        <f>HYPERLINK("https://twitter.com/sakami1808","@sakami1808")</f>
        <v>@sakami1808</v>
      </c>
      <c r="C34725" s="8" t="s">
        <v>13263</v>
      </c>
      <c r="D34725" s="8">
        <v>0</v>
      </c>
      <c r="E34725" s="8">
        <v>0</v>
      </c>
      <c r="F34725" s="8">
        <v>83</v>
      </c>
    </row>
    <row r="34726" spans="1:6" ht="12.75">
      <c r="A34726" s="8">
        <v>43888.875405092593</v>
      </c>
      <c r="B34726" s="8" t="str">
        <f>HYPERLINK("https://twitter.com/purnomo_jati1","@purnomo_jati1")</f>
        <v>@purnomo_jati1</v>
      </c>
      <c r="C34726" s="8" t="s">
        <v>12815</v>
      </c>
      <c r="D34726" s="8">
        <v>23</v>
      </c>
      <c r="E34726" s="8">
        <v>0</v>
      </c>
      <c r="F34726" s="8">
        <v>335</v>
      </c>
    </row>
    <row r="34727" spans="1:6" ht="12.75">
      <c r="A34727" s="8">
        <v>43888.875347222223</v>
      </c>
      <c r="B34727" s="8" t="str">
        <f>HYPERLINK("https://twitter.com/iNewsID","@iNewsID")</f>
        <v>@iNewsID</v>
      </c>
      <c r="C34727" s="8" t="s">
        <v>13264</v>
      </c>
      <c r="D34727" s="8">
        <v>0</v>
      </c>
      <c r="E34727" s="8">
        <v>0</v>
      </c>
      <c r="F34727" s="8">
        <v>1338</v>
      </c>
    </row>
    <row r="34728" spans="1:6" ht="12.75">
      <c r="A34728" s="8">
        <v>43888.875231481477</v>
      </c>
      <c r="B34728" s="8" t="str">
        <f>HYPERLINK("https://twitter.com/evereeze","@evereeze")</f>
        <v>@evereeze</v>
      </c>
      <c r="C34728" s="8" t="s">
        <v>13265</v>
      </c>
      <c r="D34728" s="8">
        <v>1</v>
      </c>
      <c r="E34728" s="8">
        <v>0</v>
      </c>
      <c r="F34728" s="8">
        <v>297</v>
      </c>
    </row>
    <row r="34729" spans="1:6" ht="12.75">
      <c r="A34729" s="8">
        <v>43888.875115740739</v>
      </c>
      <c r="B34729" s="8" t="str">
        <f>HYPERLINK("https://twitter.com/tama_tamaras","@tama_tamaras")</f>
        <v>@tama_tamaras</v>
      </c>
      <c r="C34729" s="8" t="s">
        <v>13266</v>
      </c>
      <c r="D34729" s="8">
        <v>0</v>
      </c>
      <c r="E34729" s="8">
        <v>0</v>
      </c>
      <c r="F34729" s="8">
        <v>534</v>
      </c>
    </row>
    <row r="34730" spans="1:6" ht="12.75">
      <c r="A34730" s="8">
        <v>43888.874583333338</v>
      </c>
      <c r="B34730" s="8" t="str">
        <f>HYPERLINK("https://twitter.com/vidya0711","@vidya0711")</f>
        <v>@vidya0711</v>
      </c>
      <c r="C34730" s="8" t="s">
        <v>13267</v>
      </c>
      <c r="D34730" s="8">
        <v>1</v>
      </c>
      <c r="E34730" s="8">
        <v>0</v>
      </c>
      <c r="F34730" s="8">
        <v>285</v>
      </c>
    </row>
    <row r="34731" spans="1:6" ht="12.75">
      <c r="A34731" s="8">
        <v>43888.874212962968</v>
      </c>
      <c r="B34731" s="8" t="str">
        <f>HYPERLINK("https://twitter.com/nemosyus","@nemosyus")</f>
        <v>@nemosyus</v>
      </c>
      <c r="C34731" s="8" t="s">
        <v>11217</v>
      </c>
      <c r="D34731" s="8">
        <v>18</v>
      </c>
      <c r="E34731" s="8">
        <v>0</v>
      </c>
      <c r="F34731" s="8">
        <v>513</v>
      </c>
    </row>
    <row r="34732" spans="1:6" ht="12.75">
      <c r="A34732" s="8">
        <v>43888.874131944445</v>
      </c>
      <c r="B34732" s="8" t="str">
        <f>HYPERLINK("https://twitter.com/saidmuhidin16","@saidmuhidin16")</f>
        <v>@saidmuhidin16</v>
      </c>
      <c r="C34732" s="8" t="s">
        <v>13268</v>
      </c>
      <c r="D34732" s="8">
        <v>7</v>
      </c>
      <c r="E34732" s="8">
        <v>0</v>
      </c>
      <c r="F34732" s="8">
        <v>4</v>
      </c>
    </row>
    <row r="34733" spans="1:6" ht="12.75">
      <c r="A34733" s="8">
        <v>43888.874120370368</v>
      </c>
      <c r="B34733" s="8" t="str">
        <f>HYPERLINK("https://twitter.com/seline43340570","@seline43340570")</f>
        <v>@seline43340570</v>
      </c>
      <c r="C34733" s="8" t="s">
        <v>13269</v>
      </c>
      <c r="D34733" s="8">
        <v>0</v>
      </c>
      <c r="E34733" s="8">
        <v>0</v>
      </c>
      <c r="F34733" s="8">
        <v>16</v>
      </c>
    </row>
    <row r="34734" spans="1:6" ht="12.75">
      <c r="A34734" s="8">
        <v>43888.874016203699</v>
      </c>
      <c r="B34734" s="8" t="str">
        <f>HYPERLINK("https://twitter.com/DavidKanata","@DavidKanata")</f>
        <v>@DavidKanata</v>
      </c>
      <c r="C34734" s="8" t="s">
        <v>13270</v>
      </c>
      <c r="D34734" s="8">
        <v>5</v>
      </c>
      <c r="E34734" s="8">
        <v>0</v>
      </c>
      <c r="F34734" s="8">
        <v>1127</v>
      </c>
    </row>
    <row r="34735" spans="1:6" ht="12.75">
      <c r="A34735" s="8">
        <v>43888.87364583333</v>
      </c>
      <c r="B34735" s="8" t="str">
        <f t="shared" ref="B34735:B34736" si="485">HYPERLINK("https://twitter.com/saidmuhidin16","@saidmuhidin16")</f>
        <v>@saidmuhidin16</v>
      </c>
      <c r="C34735" s="8" t="s">
        <v>13203</v>
      </c>
      <c r="D34735" s="8">
        <v>6</v>
      </c>
      <c r="E34735" s="8">
        <v>0</v>
      </c>
      <c r="F34735" s="8">
        <v>4</v>
      </c>
    </row>
    <row r="34736" spans="1:6" ht="12.75">
      <c r="A34736" s="8">
        <v>43888.873599537037</v>
      </c>
      <c r="B34736" s="8" t="str">
        <f t="shared" si="485"/>
        <v>@saidmuhidin16</v>
      </c>
      <c r="C34736" s="8" t="s">
        <v>12297</v>
      </c>
      <c r="D34736" s="8">
        <v>6</v>
      </c>
      <c r="E34736" s="8">
        <v>0</v>
      </c>
      <c r="F34736" s="8">
        <v>4</v>
      </c>
    </row>
    <row r="34737" spans="1:6" ht="12.75">
      <c r="A34737" s="8">
        <v>43888.87327546296</v>
      </c>
      <c r="B34737" s="8" t="str">
        <f>HYPERLINK("https://twitter.com/arifpri4","@arifpri4")</f>
        <v>@arifpri4</v>
      </c>
      <c r="C34737" s="8" t="s">
        <v>13270</v>
      </c>
      <c r="D34737" s="8">
        <v>5</v>
      </c>
      <c r="E34737" s="8">
        <v>0</v>
      </c>
      <c r="F34737" s="8">
        <v>55</v>
      </c>
    </row>
    <row r="34738" spans="1:6" ht="12.75">
      <c r="A34738" s="8">
        <v>43888.873136574075</v>
      </c>
      <c r="B34738" s="8" t="str">
        <f>HYPERLINK("https://twitter.com/JakartaStar","@JakartaStar")</f>
        <v>@JakartaStar</v>
      </c>
      <c r="C34738" s="8" t="s">
        <v>13101</v>
      </c>
      <c r="D34738" s="8">
        <v>1</v>
      </c>
      <c r="E34738" s="8">
        <v>0</v>
      </c>
      <c r="F34738" s="8">
        <v>5589</v>
      </c>
    </row>
    <row r="34739" spans="1:6" ht="12.75">
      <c r="A34739" s="8">
        <v>43888.872777777782</v>
      </c>
      <c r="B34739" s="8" t="str">
        <f>HYPERLINK("https://twitter.com/antaranews","@antaranews")</f>
        <v>@antaranews</v>
      </c>
      <c r="C34739" s="8" t="s">
        <v>13271</v>
      </c>
      <c r="D34739" s="8">
        <v>1</v>
      </c>
      <c r="E34739" s="8">
        <v>2</v>
      </c>
      <c r="F34739" s="8">
        <v>1105535</v>
      </c>
    </row>
    <row r="34740" spans="1:6" ht="12.75">
      <c r="A34740" s="8">
        <v>43888.872754629629</v>
      </c>
      <c r="B34740" s="8" t="str">
        <f>HYPERLINK("https://twitter.com/KBRI_Paris","@KBRI_Paris")</f>
        <v>@KBRI_Paris</v>
      </c>
      <c r="C34740" s="8" t="s">
        <v>13272</v>
      </c>
      <c r="D34740" s="8">
        <v>1</v>
      </c>
      <c r="E34740" s="8">
        <v>0</v>
      </c>
      <c r="F34740" s="8">
        <v>2357</v>
      </c>
    </row>
    <row r="34741" spans="1:6" ht="12.75">
      <c r="A34741" s="8">
        <v>43888.872743055559</v>
      </c>
      <c r="B34741" s="8" t="str">
        <f>HYPERLINK("https://twitter.com/arifpri4","@arifpri4")</f>
        <v>@arifpri4</v>
      </c>
      <c r="C34741" s="8" t="s">
        <v>13080</v>
      </c>
      <c r="D34741" s="8">
        <v>4</v>
      </c>
      <c r="E34741" s="8">
        <v>0</v>
      </c>
      <c r="F34741" s="8">
        <v>55</v>
      </c>
    </row>
    <row r="34742" spans="1:6" ht="12.75">
      <c r="A34742" s="8">
        <v>43888.872581018513</v>
      </c>
      <c r="B34742" s="8" t="str">
        <f>HYPERLINK("https://twitter.com/emastok","@emastok")</f>
        <v>@emastok</v>
      </c>
      <c r="C34742" s="8" t="s">
        <v>11773</v>
      </c>
      <c r="D34742" s="8">
        <v>431</v>
      </c>
      <c r="E34742" s="8">
        <v>0</v>
      </c>
      <c r="F34742" s="8">
        <v>1843</v>
      </c>
    </row>
    <row r="34743" spans="1:6" ht="12.75">
      <c r="A34743" s="8">
        <v>43888.872465277775</v>
      </c>
      <c r="B34743" s="8" t="str">
        <f>HYPERLINK("https://twitter.com/ariforbidden","@ariforbidden")</f>
        <v>@ariforbidden</v>
      </c>
      <c r="C34743" s="8" t="s">
        <v>13273</v>
      </c>
      <c r="D34743" s="8">
        <v>10</v>
      </c>
      <c r="E34743" s="8">
        <v>0</v>
      </c>
      <c r="F34743" s="8">
        <v>27</v>
      </c>
    </row>
    <row r="34744" spans="1:6" ht="12.75">
      <c r="A34744" s="8">
        <v>43888.87228009259</v>
      </c>
      <c r="B34744" s="8" t="str">
        <f>HYPERLINK("https://twitter.com/ninalea","@ninalea")</f>
        <v>@ninalea</v>
      </c>
      <c r="C34744" s="8" t="s">
        <v>13274</v>
      </c>
      <c r="D34744" s="8">
        <v>1</v>
      </c>
      <c r="E34744" s="8">
        <v>1</v>
      </c>
      <c r="F34744" s="8">
        <v>140</v>
      </c>
    </row>
    <row r="34745" spans="1:6" ht="12.75">
      <c r="A34745" s="8">
        <v>43888.872175925921</v>
      </c>
      <c r="B34745" s="8" t="str">
        <f>HYPERLINK("https://twitter.com/FransLS","@FransLS")</f>
        <v>@FransLS</v>
      </c>
      <c r="C34745" s="8" t="s">
        <v>13261</v>
      </c>
      <c r="D34745" s="8">
        <v>11</v>
      </c>
      <c r="E34745" s="8">
        <v>0</v>
      </c>
      <c r="F34745" s="8">
        <v>183</v>
      </c>
    </row>
    <row r="34746" spans="1:6" ht="12.75">
      <c r="A34746" s="8">
        <v>43888.871828703705</v>
      </c>
      <c r="B34746" s="8" t="str">
        <f>HYPERLINK("https://twitter.com/nemosyus","@nemosyus")</f>
        <v>@nemosyus</v>
      </c>
      <c r="C34746" s="8" t="s">
        <v>12869</v>
      </c>
      <c r="D34746" s="8">
        <v>2</v>
      </c>
      <c r="E34746" s="8">
        <v>0</v>
      </c>
      <c r="F34746" s="8">
        <v>513</v>
      </c>
    </row>
    <row r="34747" spans="1:6" ht="12.75">
      <c r="A34747" s="8">
        <v>43888.871377314819</v>
      </c>
      <c r="B34747" s="8" t="str">
        <f>HYPERLINK("https://twitter.com/MadirodokSia","@MadirodokSia")</f>
        <v>@MadirodokSia</v>
      </c>
      <c r="C34747" s="8" t="s">
        <v>13275</v>
      </c>
      <c r="D34747" s="8">
        <v>0</v>
      </c>
      <c r="E34747" s="8">
        <v>0</v>
      </c>
      <c r="F34747" s="8">
        <v>163</v>
      </c>
    </row>
    <row r="34748" spans="1:6" ht="12.75">
      <c r="A34748" s="8">
        <v>43888.871215277773</v>
      </c>
      <c r="B34748" s="8" t="str">
        <f>HYPERLINK("https://twitter.com/agusboy_1973","@agusboy_1973")</f>
        <v>@agusboy_1973</v>
      </c>
      <c r="C34748" s="8" t="s">
        <v>13276</v>
      </c>
      <c r="D34748" s="8">
        <v>1</v>
      </c>
      <c r="E34748" s="8">
        <v>0</v>
      </c>
      <c r="F34748" s="8">
        <v>4790</v>
      </c>
    </row>
    <row r="34749" spans="1:6" ht="12.75">
      <c r="A34749" s="8">
        <v>43888.871203703704</v>
      </c>
      <c r="B34749" s="8" t="str">
        <f>HYPERLINK("https://twitter.com/InilahOnline","@InilahOnline")</f>
        <v>@InilahOnline</v>
      </c>
      <c r="C34749" s="8" t="s">
        <v>13275</v>
      </c>
      <c r="D34749" s="8">
        <v>0</v>
      </c>
      <c r="E34749" s="8">
        <v>0</v>
      </c>
      <c r="F34749" s="8">
        <v>78</v>
      </c>
    </row>
    <row r="34750" spans="1:6" ht="12.75">
      <c r="A34750" s="8">
        <v>43888.870925925927</v>
      </c>
      <c r="B34750" s="8" t="str">
        <f>HYPERLINK("https://twitter.com/kecapsedappp","@kecapsedappp")</f>
        <v>@kecapsedappp</v>
      </c>
      <c r="C34750" s="8" t="s">
        <v>13277</v>
      </c>
      <c r="D34750" s="8">
        <v>0</v>
      </c>
      <c r="E34750" s="8">
        <v>1</v>
      </c>
      <c r="F34750" s="8">
        <v>4179</v>
      </c>
    </row>
    <row r="34751" spans="1:6" ht="12.75">
      <c r="A34751" s="8">
        <v>43888.870717592596</v>
      </c>
      <c r="B34751" s="8" t="str">
        <f>HYPERLINK("https://twitter.com/DimitriYusuf","@DimitriYusuf")</f>
        <v>@DimitriYusuf</v>
      </c>
      <c r="C34751" s="8" t="s">
        <v>12071</v>
      </c>
      <c r="D34751" s="8">
        <v>15</v>
      </c>
      <c r="E34751" s="8">
        <v>0</v>
      </c>
      <c r="F34751" s="8">
        <v>1466</v>
      </c>
    </row>
    <row r="34752" spans="1:6" ht="12.75">
      <c r="A34752" s="8">
        <v>43888.870520833334</v>
      </c>
      <c r="B34752" s="8" t="str">
        <f>HYPERLINK("https://twitter.com/deviliagus","@deviliagus")</f>
        <v>@deviliagus</v>
      </c>
      <c r="C34752" s="8" t="s">
        <v>11338</v>
      </c>
      <c r="D34752" s="8">
        <v>5</v>
      </c>
      <c r="E34752" s="8">
        <v>0</v>
      </c>
      <c r="F34752" s="8">
        <v>3941</v>
      </c>
    </row>
    <row r="34753" spans="1:6" ht="12.75">
      <c r="A34753" s="8">
        <v>43888.870474537034</v>
      </c>
      <c r="B34753" s="8" t="str">
        <f>HYPERLINK("https://twitter.com/CakMan70489610","@CakMan70489610")</f>
        <v>@CakMan70489610</v>
      </c>
      <c r="C34753" s="8" t="s">
        <v>13278</v>
      </c>
      <c r="D34753" s="8">
        <v>1</v>
      </c>
      <c r="E34753" s="8">
        <v>0</v>
      </c>
      <c r="F34753" s="8">
        <v>517</v>
      </c>
    </row>
    <row r="34754" spans="1:6" ht="12.75">
      <c r="A34754" s="8">
        <v>43888.870266203703</v>
      </c>
      <c r="B34754" s="8" t="str">
        <f>HYPERLINK("https://twitter.com/wijaya_48","@wijaya_48")</f>
        <v>@wijaya_48</v>
      </c>
      <c r="C34754" s="8" t="s">
        <v>12730</v>
      </c>
      <c r="D34754" s="8">
        <v>70</v>
      </c>
      <c r="E34754" s="8">
        <v>0</v>
      </c>
      <c r="F34754" s="8">
        <v>383</v>
      </c>
    </row>
    <row r="34755" spans="1:6" ht="12.75">
      <c r="A34755" s="8">
        <v>43888.869756944448</v>
      </c>
      <c r="B34755" s="8" t="str">
        <f>HYPERLINK("https://twitter.com/JeteLenonFarisi","@JeteLenonFarisi")</f>
        <v>@JeteLenonFarisi</v>
      </c>
      <c r="C34755" s="8" t="s">
        <v>13279</v>
      </c>
      <c r="D34755" s="8">
        <v>0</v>
      </c>
      <c r="E34755" s="8">
        <v>0</v>
      </c>
      <c r="F34755" s="8">
        <v>105</v>
      </c>
    </row>
    <row r="34756" spans="1:6" ht="12.75">
      <c r="A34756" s="8">
        <v>43888.869479166664</v>
      </c>
      <c r="B34756" s="8" t="str">
        <f>HYPERLINK("https://twitter.com/abu_syfa","@abu_syfa")</f>
        <v>@abu_syfa</v>
      </c>
      <c r="C34756" s="8" t="s">
        <v>12071</v>
      </c>
      <c r="D34756" s="8">
        <v>15</v>
      </c>
      <c r="E34756" s="8">
        <v>0</v>
      </c>
      <c r="F34756" s="8">
        <v>952</v>
      </c>
    </row>
    <row r="34757" spans="1:6" ht="12.75">
      <c r="A34757" s="8">
        <v>43888.869224537033</v>
      </c>
      <c r="B34757" s="8" t="str">
        <f>HYPERLINK("https://twitter.com/theSOWONG","@theSOWONG")</f>
        <v>@theSOWONG</v>
      </c>
      <c r="C34757" s="8" t="s">
        <v>13280</v>
      </c>
      <c r="D34757" s="8">
        <v>0</v>
      </c>
      <c r="E34757" s="8">
        <v>0</v>
      </c>
      <c r="F34757" s="8">
        <v>527</v>
      </c>
    </row>
    <row r="34758" spans="1:6" ht="12.75">
      <c r="A34758" s="8">
        <v>43888.868946759263</v>
      </c>
      <c r="B34758" s="8" t="str">
        <f>HYPERLINK("https://twitter.com/wijaya_48","@wijaya_48")</f>
        <v>@wijaya_48</v>
      </c>
      <c r="C34758" s="8" t="s">
        <v>12853</v>
      </c>
      <c r="D34758" s="8">
        <v>9</v>
      </c>
      <c r="E34758" s="8">
        <v>0</v>
      </c>
      <c r="F34758" s="8">
        <v>383</v>
      </c>
    </row>
    <row r="34759" spans="1:6" ht="12.75">
      <c r="A34759" s="8">
        <v>43888.868831018517</v>
      </c>
      <c r="B34759" s="8" t="str">
        <f>HYPERLINK("https://twitter.com/4d_h1m","@4d_h1m")</f>
        <v>@4d_h1m</v>
      </c>
      <c r="C34759" s="8" t="s">
        <v>593</v>
      </c>
      <c r="D34759" s="8">
        <v>403</v>
      </c>
      <c r="E34759" s="8">
        <v>0</v>
      </c>
      <c r="F34759" s="8">
        <v>2475</v>
      </c>
    </row>
    <row r="34760" spans="1:6" ht="12.75">
      <c r="A34760" s="8">
        <v>43888.868344907409</v>
      </c>
      <c r="B34760" s="8" t="str">
        <f>HYPERLINK("https://twitter.com/apien_k19","@apien_k19")</f>
        <v>@apien_k19</v>
      </c>
      <c r="C34760" s="8" t="s">
        <v>6863</v>
      </c>
      <c r="D34760" s="8">
        <v>246</v>
      </c>
      <c r="E34760" s="8">
        <v>0</v>
      </c>
      <c r="F34760" s="8">
        <v>518</v>
      </c>
    </row>
    <row r="34761" spans="1:6" ht="12.75">
      <c r="A34761" s="8">
        <v>43888.868298611109</v>
      </c>
      <c r="B34761" s="8" t="str">
        <f t="shared" ref="B34761:B34762" si="486">HYPERLINK("https://twitter.com/yogapraditow","@yogapraditow")</f>
        <v>@yogapraditow</v>
      </c>
      <c r="C34761" s="8" t="s">
        <v>13270</v>
      </c>
      <c r="D34761" s="8">
        <v>5</v>
      </c>
      <c r="E34761" s="8">
        <v>0</v>
      </c>
      <c r="F34761" s="8">
        <v>414</v>
      </c>
    </row>
    <row r="34762" spans="1:6" ht="12.75">
      <c r="A34762" s="8">
        <v>43888.868032407408</v>
      </c>
      <c r="B34762" s="8" t="str">
        <f t="shared" si="486"/>
        <v>@yogapraditow</v>
      </c>
      <c r="C34762" s="8" t="s">
        <v>13281</v>
      </c>
      <c r="D34762" s="8">
        <v>3</v>
      </c>
      <c r="E34762" s="8">
        <v>0</v>
      </c>
      <c r="F34762" s="8">
        <v>414</v>
      </c>
    </row>
    <row r="34763" spans="1:6" ht="12.75">
      <c r="A34763" s="8">
        <v>43888.867569444439</v>
      </c>
      <c r="B34763" s="8" t="str">
        <f>HYPERLINK("https://twitter.com/afdalafdal","@afdalafdal")</f>
        <v>@afdalafdal</v>
      </c>
      <c r="C34763" s="8" t="s">
        <v>6863</v>
      </c>
      <c r="D34763" s="8">
        <v>246</v>
      </c>
      <c r="E34763" s="8">
        <v>0</v>
      </c>
      <c r="F34763" s="8">
        <v>169</v>
      </c>
    </row>
    <row r="34764" spans="1:6" ht="12.75">
      <c r="A34764" s="8">
        <v>43888.867395833338</v>
      </c>
      <c r="B34764" s="8" t="str">
        <f>HYPERLINK("https://twitter.com/kompascom","@kompascom")</f>
        <v>@kompascom</v>
      </c>
      <c r="C34764" s="8" t="s">
        <v>13270</v>
      </c>
      <c r="D34764" s="8">
        <v>5</v>
      </c>
      <c r="E34764" s="8">
        <v>0</v>
      </c>
      <c r="F34764" s="8">
        <v>7515882</v>
      </c>
    </row>
    <row r="34765" spans="1:6" ht="12.75">
      <c r="A34765" s="8">
        <v>43888.867210648154</v>
      </c>
      <c r="B34765" s="8" t="str">
        <f>HYPERLINK("https://twitter.com/lailirahmalia","@lailirahmalia")</f>
        <v>@lailirahmalia</v>
      </c>
      <c r="C34765" s="8" t="s">
        <v>593</v>
      </c>
      <c r="D34765" s="8">
        <v>403</v>
      </c>
      <c r="E34765" s="8">
        <v>0</v>
      </c>
      <c r="F34765" s="8">
        <v>501</v>
      </c>
    </row>
    <row r="34766" spans="1:6" ht="12.75">
      <c r="A34766" s="8">
        <v>43888.86717592593</v>
      </c>
      <c r="B34766" s="8" t="str">
        <f>HYPERLINK("https://twitter.com/motherofstar1","@motherofstar1")</f>
        <v>@motherofstar1</v>
      </c>
      <c r="C34766" s="8" t="s">
        <v>13282</v>
      </c>
      <c r="D34766" s="8">
        <v>1</v>
      </c>
      <c r="E34766" s="8">
        <v>0</v>
      </c>
      <c r="F34766" s="8">
        <v>993</v>
      </c>
    </row>
    <row r="34767" spans="1:6" ht="12.75">
      <c r="A34767" s="8">
        <v>43888.867129629631</v>
      </c>
      <c r="B34767" s="8" t="str">
        <f>HYPERLINK("https://twitter.com/esgrimstroberi","@esgrimstroberi")</f>
        <v>@esgrimstroberi</v>
      </c>
      <c r="C34767" s="8" t="s">
        <v>593</v>
      </c>
      <c r="D34767" s="8">
        <v>403</v>
      </c>
      <c r="E34767" s="8">
        <v>0</v>
      </c>
      <c r="F34767" s="8">
        <v>489</v>
      </c>
    </row>
    <row r="34768" spans="1:6" ht="12.75">
      <c r="A34768" s="8">
        <v>43888.867048611108</v>
      </c>
      <c r="B34768" s="8" t="str">
        <f>HYPERLINK("https://twitter.com/Bimasenna","@Bimasenna")</f>
        <v>@Bimasenna</v>
      </c>
      <c r="C34768" s="8" t="s">
        <v>13281</v>
      </c>
      <c r="D34768" s="8">
        <v>3</v>
      </c>
      <c r="E34768" s="8">
        <v>0</v>
      </c>
      <c r="F34768" s="8">
        <v>136</v>
      </c>
    </row>
    <row r="34769" spans="1:6" ht="12.75">
      <c r="A34769" s="8">
        <v>43888.867037037038</v>
      </c>
      <c r="B34769" s="8" t="str">
        <f>HYPERLINK("https://twitter.com/kompasiana","@kompasiana")</f>
        <v>@kompasiana</v>
      </c>
      <c r="C34769" s="8" t="s">
        <v>13283</v>
      </c>
      <c r="D34769" s="8">
        <v>5</v>
      </c>
      <c r="E34769" s="8">
        <v>3</v>
      </c>
      <c r="F34769" s="8">
        <v>930853</v>
      </c>
    </row>
    <row r="34770" spans="1:6" ht="12.75">
      <c r="A34770" s="8">
        <v>43888.867025462961</v>
      </c>
      <c r="B34770" s="8" t="str">
        <f>HYPERLINK("https://twitter.com/nellaoktavia_","@nellaoktavia_")</f>
        <v>@nellaoktavia_</v>
      </c>
      <c r="C34770" s="8" t="s">
        <v>593</v>
      </c>
      <c r="D34770" s="8">
        <v>403</v>
      </c>
      <c r="E34770" s="8">
        <v>0</v>
      </c>
      <c r="F34770" s="8">
        <v>12</v>
      </c>
    </row>
    <row r="34771" spans="1:6" ht="12.75">
      <c r="A34771" s="8">
        <v>43888.866944444446</v>
      </c>
      <c r="B34771" s="8" t="str">
        <f>HYPERLINK("https://twitter.com/jisungsadlibs","@jisungsadlibs")</f>
        <v>@jisungsadlibs</v>
      </c>
      <c r="C34771" s="8" t="s">
        <v>13284</v>
      </c>
      <c r="D34771" s="8">
        <v>0</v>
      </c>
      <c r="E34771" s="8">
        <v>0</v>
      </c>
      <c r="F34771" s="8">
        <v>465</v>
      </c>
    </row>
    <row r="34772" spans="1:6" ht="12.75">
      <c r="A34772" s="8">
        <v>43888.866296296299</v>
      </c>
      <c r="B34772" s="8" t="str">
        <f>HYPERLINK("https://twitter.com/metro24_co","@metro24_co")</f>
        <v>@metro24_co</v>
      </c>
      <c r="C34772" s="8" t="s">
        <v>13285</v>
      </c>
      <c r="D34772" s="8">
        <v>0</v>
      </c>
      <c r="E34772" s="8">
        <v>0</v>
      </c>
      <c r="F34772" s="8">
        <v>380</v>
      </c>
    </row>
    <row r="34773" spans="1:6" ht="12.75">
      <c r="A34773" s="8">
        <v>43888.866157407407</v>
      </c>
      <c r="B34773" s="8" t="str">
        <f>HYPERLINK("https://twitter.com/EkonomiHolic","@EkonomiHolic")</f>
        <v>@EkonomiHolic</v>
      </c>
      <c r="C34773" s="8" t="s">
        <v>13281</v>
      </c>
      <c r="D34773" s="8">
        <v>3</v>
      </c>
      <c r="E34773" s="8">
        <v>0</v>
      </c>
      <c r="F34773" s="8">
        <v>1146</v>
      </c>
    </row>
    <row r="34774" spans="1:6" ht="12.75">
      <c r="A34774" s="8">
        <v>43888.865960648152</v>
      </c>
      <c r="B34774" s="8" t="str">
        <f>HYPERLINK("https://twitter.com/4_devout","@4_devout")</f>
        <v>@4_devout</v>
      </c>
      <c r="C34774" s="8" t="s">
        <v>13286</v>
      </c>
      <c r="D34774" s="8">
        <v>1</v>
      </c>
      <c r="E34774" s="8">
        <v>0</v>
      </c>
      <c r="F34774" s="8">
        <v>608</v>
      </c>
    </row>
    <row r="34775" spans="1:6" ht="12.75">
      <c r="A34775" s="8">
        <v>43888.864976851852</v>
      </c>
      <c r="B34775" s="8" t="str">
        <f>HYPERLINK("https://twitter.com/DavaParera","@DavaParera")</f>
        <v>@DavaParera</v>
      </c>
      <c r="C34775" s="8" t="s">
        <v>13287</v>
      </c>
      <c r="D34775" s="8">
        <v>0</v>
      </c>
      <c r="E34775" s="8">
        <v>0</v>
      </c>
      <c r="F34775" s="8">
        <v>109</v>
      </c>
    </row>
    <row r="34776" spans="1:6" ht="12.75">
      <c r="A34776" s="8">
        <v>43888.864907407406</v>
      </c>
      <c r="B34776" s="8" t="str">
        <f>HYPERLINK("https://twitter.com/h4_x0r","@h4_x0r")</f>
        <v>@h4_x0r</v>
      </c>
      <c r="C34776" s="8" t="s">
        <v>13288</v>
      </c>
      <c r="D34776" s="8">
        <v>0</v>
      </c>
      <c r="E34776" s="8">
        <v>0</v>
      </c>
      <c r="F34776" s="8">
        <v>37</v>
      </c>
    </row>
    <row r="34777" spans="1:6" ht="12.75">
      <c r="A34777" s="8">
        <v>43888.864895833336</v>
      </c>
      <c r="B34777" s="8" t="str">
        <f>HYPERLINK("https://twitter.com/christtyl","@christtyl")</f>
        <v>@christtyl</v>
      </c>
      <c r="C34777" s="8" t="s">
        <v>6863</v>
      </c>
      <c r="D34777" s="8">
        <v>246</v>
      </c>
      <c r="E34777" s="8">
        <v>0</v>
      </c>
      <c r="F34777" s="8">
        <v>917</v>
      </c>
    </row>
    <row r="34778" spans="1:6" ht="12.75">
      <c r="A34778" s="8">
        <v>43888.864837962959</v>
      </c>
      <c r="B34778" s="8" t="str">
        <f>HYPERLINK("https://twitter.com/antaranews","@antaranews")</f>
        <v>@antaranews</v>
      </c>
      <c r="C34778" s="8" t="s">
        <v>13289</v>
      </c>
      <c r="D34778" s="8">
        <v>3</v>
      </c>
      <c r="E34778" s="8">
        <v>2</v>
      </c>
      <c r="F34778" s="8">
        <v>1105535</v>
      </c>
    </row>
    <row r="34779" spans="1:6" ht="12.75">
      <c r="A34779" s="8">
        <v>43888.864687499998</v>
      </c>
      <c r="B34779" s="8" t="str">
        <f>HYPERLINK("https://twitter.com/MamingMasly","@MamingMasly")</f>
        <v>@MamingMasly</v>
      </c>
      <c r="C34779" s="8" t="s">
        <v>12071</v>
      </c>
      <c r="D34779" s="8">
        <v>15</v>
      </c>
      <c r="E34779" s="8">
        <v>0</v>
      </c>
      <c r="F34779" s="8">
        <v>705</v>
      </c>
    </row>
    <row r="34780" spans="1:6" ht="12.75">
      <c r="A34780" s="8">
        <v>43888.864618055552</v>
      </c>
      <c r="B34780" s="8" t="str">
        <f>HYPERLINK("https://twitter.com/republikaonline","@republikaonline")</f>
        <v>@republikaonline</v>
      </c>
      <c r="C34780" s="8" t="s">
        <v>13290</v>
      </c>
      <c r="D34780" s="8">
        <v>1</v>
      </c>
      <c r="E34780" s="8">
        <v>0</v>
      </c>
      <c r="F34780" s="8">
        <v>1214765</v>
      </c>
    </row>
    <row r="34781" spans="1:6" ht="12.75">
      <c r="A34781" s="8">
        <v>43888.864386574074</v>
      </c>
      <c r="B34781" s="8" t="str">
        <f>HYPERLINK("https://twitter.com/Regent4Life2019","@Regent4Life2019")</f>
        <v>@Regent4Life2019</v>
      </c>
      <c r="C34781" s="8" t="s">
        <v>11102</v>
      </c>
      <c r="D34781" s="8">
        <v>34</v>
      </c>
      <c r="E34781" s="8">
        <v>0</v>
      </c>
      <c r="F34781" s="8">
        <v>157</v>
      </c>
    </row>
    <row r="34782" spans="1:6" ht="12.75">
      <c r="A34782" s="8">
        <v>43888.86418981482</v>
      </c>
      <c r="B34782" s="8" t="str">
        <f>HYPERLINK("https://twitter.com/ryolandafit","@ryolandafit")</f>
        <v>@ryolandafit</v>
      </c>
      <c r="C34782" s="8" t="s">
        <v>13291</v>
      </c>
      <c r="D34782" s="8">
        <v>2</v>
      </c>
      <c r="E34782" s="8">
        <v>0</v>
      </c>
      <c r="F34782" s="8">
        <v>653</v>
      </c>
    </row>
    <row r="34783" spans="1:6" ht="12.75">
      <c r="A34783" s="8">
        <v>43888.86383101852</v>
      </c>
      <c r="B34783" s="8" t="str">
        <f>HYPERLINK("https://twitter.com/geloraco","@geloraco")</f>
        <v>@geloraco</v>
      </c>
      <c r="C34783" s="8" t="s">
        <v>13292</v>
      </c>
      <c r="D34783" s="8">
        <v>1</v>
      </c>
      <c r="E34783" s="8">
        <v>7</v>
      </c>
      <c r="F34783" s="8">
        <v>102614</v>
      </c>
    </row>
    <row r="34784" spans="1:6" ht="12.75">
      <c r="A34784" s="8">
        <v>43888.863761574074</v>
      </c>
      <c r="B34784" s="8" t="str">
        <f>HYPERLINK("https://twitter.com/AchmadMiftahFar","@AchmadMiftahFar")</f>
        <v>@AchmadMiftahFar</v>
      </c>
      <c r="C34784" s="8" t="s">
        <v>13293</v>
      </c>
      <c r="D34784" s="8">
        <v>3</v>
      </c>
      <c r="E34784" s="8">
        <v>0</v>
      </c>
      <c r="F34784" s="8">
        <v>534</v>
      </c>
    </row>
    <row r="34785" spans="1:6" ht="12.75">
      <c r="A34785" s="8">
        <v>43888.863333333335</v>
      </c>
      <c r="B34785" s="8" t="str">
        <f>HYPERLINK("https://twitter.com/Alinirmala","@Alinirmala")</f>
        <v>@Alinirmala</v>
      </c>
      <c r="C34785" s="8" t="s">
        <v>6863</v>
      </c>
      <c r="D34785" s="8">
        <v>246</v>
      </c>
      <c r="E34785" s="8">
        <v>0</v>
      </c>
      <c r="F34785" s="8">
        <v>660</v>
      </c>
    </row>
    <row r="34786" spans="1:6" ht="12.75">
      <c r="A34786" s="8">
        <v>43888.86319444445</v>
      </c>
      <c r="B34786" s="8" t="str">
        <f>HYPERLINK("https://twitter.com/newsmerahputih","@newsmerahputih")</f>
        <v>@newsmerahputih</v>
      </c>
      <c r="C34786" s="8" t="s">
        <v>13294</v>
      </c>
      <c r="D34786" s="8">
        <v>0</v>
      </c>
      <c r="E34786" s="8">
        <v>0</v>
      </c>
      <c r="F34786" s="8">
        <v>8751</v>
      </c>
    </row>
    <row r="34787" spans="1:6" ht="12.75">
      <c r="A34787" s="8">
        <v>43888.862800925926</v>
      </c>
      <c r="B34787" s="8" t="str">
        <f>HYPERLINK("https://twitter.com/yasmineutami","@yasmineutami")</f>
        <v>@yasmineutami</v>
      </c>
      <c r="C34787" s="8" t="s">
        <v>593</v>
      </c>
      <c r="D34787" s="8">
        <v>403</v>
      </c>
      <c r="E34787" s="8">
        <v>0</v>
      </c>
      <c r="F34787" s="8">
        <v>1312</v>
      </c>
    </row>
    <row r="34788" spans="1:6" ht="12.75">
      <c r="A34788" s="8">
        <v>43888.861284722225</v>
      </c>
      <c r="B34788" s="8" t="str">
        <f>HYPERLINK("https://twitter.com/Tonwart2","@Tonwart2")</f>
        <v>@Tonwart2</v>
      </c>
      <c r="C34788" s="8" t="s">
        <v>13295</v>
      </c>
      <c r="D34788" s="8">
        <v>0</v>
      </c>
      <c r="E34788" s="8">
        <v>0</v>
      </c>
      <c r="F34788" s="8">
        <v>566</v>
      </c>
    </row>
    <row r="34789" spans="1:6" ht="12.75">
      <c r="A34789" s="8">
        <v>43888.86100694444</v>
      </c>
      <c r="B34789" s="8" t="str">
        <f>HYPERLINK("https://twitter.com/cherryadnan","@cherryadnan")</f>
        <v>@cherryadnan</v>
      </c>
      <c r="C34789" s="8" t="s">
        <v>6888</v>
      </c>
      <c r="D34789" s="8">
        <v>21</v>
      </c>
      <c r="E34789" s="8">
        <v>0</v>
      </c>
      <c r="F34789" s="8">
        <v>522</v>
      </c>
    </row>
    <row r="34790" spans="1:6" ht="12.75">
      <c r="A34790" s="8">
        <v>43888.860949074078</v>
      </c>
      <c r="B34790" s="8" t="str">
        <f>HYPERLINK("https://twitter.com/iubitoaretae","@iubitoaretae")</f>
        <v>@iubitoaretae</v>
      </c>
      <c r="C34790" s="8" t="s">
        <v>593</v>
      </c>
      <c r="D34790" s="8">
        <v>403</v>
      </c>
      <c r="E34790" s="8">
        <v>0</v>
      </c>
      <c r="F34790" s="8">
        <v>405</v>
      </c>
    </row>
    <row r="34791" spans="1:6" ht="12.75">
      <c r="A34791" s="8">
        <v>43888.860706018517</v>
      </c>
      <c r="B34791" s="8" t="str">
        <f>HYPERLINK("https://twitter.com/dabookofus","@dabookofus")</f>
        <v>@dabookofus</v>
      </c>
      <c r="C34791" s="8" t="s">
        <v>593</v>
      </c>
      <c r="D34791" s="8">
        <v>403</v>
      </c>
      <c r="E34791" s="8">
        <v>0</v>
      </c>
      <c r="F34791" s="8">
        <v>1268</v>
      </c>
    </row>
    <row r="34792" spans="1:6" ht="12.75">
      <c r="A34792" s="8">
        <v>43888.860682870371</v>
      </c>
      <c r="B34792" s="8" t="str">
        <f>HYPERLINK("https://twitter.com/fritaSitiHdjh","@fritaSitiHdjh")</f>
        <v>@fritaSitiHdjh</v>
      </c>
      <c r="C34792" s="8" t="s">
        <v>593</v>
      </c>
      <c r="D34792" s="8">
        <v>403</v>
      </c>
      <c r="E34792" s="8">
        <v>0</v>
      </c>
      <c r="F34792" s="8">
        <v>404</v>
      </c>
    </row>
    <row r="34793" spans="1:6" ht="12.75">
      <c r="A34793" s="8">
        <v>43888.860509259262</v>
      </c>
      <c r="B34793" s="8" t="str">
        <f>HYPERLINK("https://twitter.com/fadjroeL","@fadjroeL")</f>
        <v>@fadjroeL</v>
      </c>
      <c r="C34793" s="8" t="s">
        <v>13293</v>
      </c>
      <c r="D34793" s="8">
        <v>3</v>
      </c>
      <c r="E34793" s="8">
        <v>0</v>
      </c>
      <c r="F34793" s="8">
        <v>996076</v>
      </c>
    </row>
    <row r="34794" spans="1:6" ht="12.75">
      <c r="A34794" s="8">
        <v>43888.860393518524</v>
      </c>
      <c r="B34794" s="8" t="str">
        <f>HYPERLINK("https://twitter.com/ryolandafit","@ryolandafit")</f>
        <v>@ryolandafit</v>
      </c>
      <c r="C34794" s="8" t="s">
        <v>13296</v>
      </c>
      <c r="D34794" s="8">
        <v>3</v>
      </c>
      <c r="E34794" s="8">
        <v>0</v>
      </c>
      <c r="F34794" s="8">
        <v>653</v>
      </c>
    </row>
    <row r="34795" spans="1:6" ht="12.75">
      <c r="A34795" s="8">
        <v>43888.860312500001</v>
      </c>
      <c r="B34795" s="8" t="str">
        <f>HYPERLINK("https://twitter.com/DrajatSatria","@DrajatSatria")</f>
        <v>@DrajatSatria</v>
      </c>
      <c r="C34795" s="8" t="s">
        <v>13297</v>
      </c>
      <c r="D34795" s="8">
        <v>0</v>
      </c>
      <c r="E34795" s="8">
        <v>0</v>
      </c>
      <c r="F34795" s="8">
        <v>428</v>
      </c>
    </row>
    <row r="34796" spans="1:6" ht="12.75">
      <c r="A34796" s="8">
        <v>43888.839722222227</v>
      </c>
      <c r="B34796" s="8" t="str">
        <f>HYPERLINK("https://twitter.com/hafidhmukmin","@hafidhmukmin")</f>
        <v>@hafidhmukmin</v>
      </c>
      <c r="C34796" s="8" t="s">
        <v>13298</v>
      </c>
      <c r="D34796" s="8">
        <v>0</v>
      </c>
      <c r="E34796" s="8">
        <v>0</v>
      </c>
      <c r="F34796" s="8">
        <v>183</v>
      </c>
    </row>
    <row r="34797" spans="1:6" ht="12.75">
      <c r="A34797" s="8">
        <v>43888.839537037042</v>
      </c>
      <c r="B34797" s="8" t="str">
        <f>HYPERLINK("https://twitter.com/PsdFauzanw","@PsdFauzanw")</f>
        <v>@PsdFauzanw</v>
      </c>
      <c r="C34797" s="8" t="s">
        <v>12071</v>
      </c>
      <c r="D34797" s="8">
        <v>4</v>
      </c>
      <c r="E34797" s="8">
        <v>0</v>
      </c>
      <c r="F34797" s="8">
        <v>142</v>
      </c>
    </row>
    <row r="34798" spans="1:6" ht="12.75">
      <c r="A34798" s="8">
        <v>43888.839421296296</v>
      </c>
      <c r="B34798" s="8" t="str">
        <f>HYPERLINK("https://twitter.com/xiyulinglee","@xiyulinglee")</f>
        <v>@xiyulinglee</v>
      </c>
      <c r="C34798" s="8" t="s">
        <v>13299</v>
      </c>
      <c r="D34798" s="8">
        <v>1</v>
      </c>
      <c r="E34798" s="8">
        <v>0</v>
      </c>
      <c r="F34798" s="8">
        <v>246</v>
      </c>
    </row>
    <row r="34799" spans="1:6" ht="12.75">
      <c r="A34799" s="8">
        <v>43888.838900462964</v>
      </c>
      <c r="B34799" s="8" t="str">
        <f>HYPERLINK("https://twitter.com/antaranews","@antaranews")</f>
        <v>@antaranews</v>
      </c>
      <c r="C34799" s="8" t="s">
        <v>13300</v>
      </c>
      <c r="D34799" s="8">
        <v>0</v>
      </c>
      <c r="E34799" s="8">
        <v>2</v>
      </c>
      <c r="F34799" s="8">
        <v>1105530</v>
      </c>
    </row>
    <row r="34800" spans="1:6" ht="12.75">
      <c r="A34800" s="8">
        <v>43888.838449074072</v>
      </c>
      <c r="B34800" s="8" t="str">
        <f>HYPERLINK("https://twitter.com/bjmnewscom","@bjmnewscom")</f>
        <v>@bjmnewscom</v>
      </c>
      <c r="C34800" s="8" t="s">
        <v>13301</v>
      </c>
      <c r="D34800" s="8">
        <v>0</v>
      </c>
      <c r="E34800" s="8">
        <v>0</v>
      </c>
      <c r="F34800" s="8">
        <v>837</v>
      </c>
    </row>
    <row r="34801" spans="1:6" ht="12.75">
      <c r="A34801" s="8">
        <v>43888.837696759263</v>
      </c>
      <c r="B34801" s="8" t="str">
        <f>HYPERLINK("https://twitter.com/Iwanadityaa_","@Iwanadityaa_")</f>
        <v>@Iwanadityaa_</v>
      </c>
      <c r="C34801" s="8" t="s">
        <v>13302</v>
      </c>
      <c r="D34801" s="8">
        <v>1</v>
      </c>
      <c r="E34801" s="8">
        <v>0</v>
      </c>
      <c r="F34801" s="8">
        <v>426</v>
      </c>
    </row>
    <row r="34802" spans="1:6" ht="12.75">
      <c r="A34802" s="8">
        <v>43888.837592592594</v>
      </c>
      <c r="B34802" s="8" t="str">
        <f>HYPERLINK("https://twitter.com/urusananda","@urusananda")</f>
        <v>@urusananda</v>
      </c>
      <c r="C34802" s="8" t="s">
        <v>7243</v>
      </c>
      <c r="D34802" s="8">
        <v>117</v>
      </c>
      <c r="E34802" s="8">
        <v>0</v>
      </c>
      <c r="F34802" s="8">
        <v>483</v>
      </c>
    </row>
    <row r="34803" spans="1:6" ht="12.75">
      <c r="A34803" s="8">
        <v>43888.837534722217</v>
      </c>
      <c r="B34803" s="8" t="str">
        <f>HYPERLINK("https://twitter.com/kompascom","@kompascom")</f>
        <v>@kompascom</v>
      </c>
      <c r="C34803" s="8" t="s">
        <v>13303</v>
      </c>
      <c r="D34803" s="8">
        <v>0</v>
      </c>
      <c r="E34803" s="8">
        <v>0</v>
      </c>
      <c r="F34803" s="8">
        <v>7515776</v>
      </c>
    </row>
    <row r="34804" spans="1:6" ht="12.75">
      <c r="A34804" s="8">
        <v>43888.83699074074</v>
      </c>
      <c r="B34804" s="8" t="str">
        <f>HYPERLINK("https://twitter.com/arieparikesit","@arieparikesit")</f>
        <v>@arieparikesit</v>
      </c>
      <c r="C34804" s="8" t="s">
        <v>6888</v>
      </c>
      <c r="D34804" s="8">
        <v>20</v>
      </c>
      <c r="E34804" s="8">
        <v>0</v>
      </c>
      <c r="F34804" s="8">
        <v>148438</v>
      </c>
    </row>
    <row r="34805" spans="1:6" ht="12.75">
      <c r="A34805" s="8">
        <v>43888.836979166663</v>
      </c>
      <c r="B34805" s="8" t="str">
        <f>HYPERLINK("https://twitter.com/PDI_Perjuangan","@PDI_Perjuangan")</f>
        <v>@PDI_Perjuangan</v>
      </c>
      <c r="C34805" s="8" t="s">
        <v>13304</v>
      </c>
      <c r="D34805" s="8">
        <v>0</v>
      </c>
      <c r="E34805" s="8">
        <v>0</v>
      </c>
      <c r="F34805" s="8">
        <v>219750</v>
      </c>
    </row>
    <row r="34806" spans="1:6" ht="12.75">
      <c r="A34806" s="8">
        <v>43888.836736111116</v>
      </c>
      <c r="B34806" s="8" t="str">
        <f>HYPERLINK("https://twitter.com/rossawahyu","@rossawahyu")</f>
        <v>@rossawahyu</v>
      </c>
      <c r="C34806" s="8" t="s">
        <v>13305</v>
      </c>
      <c r="D34806" s="8">
        <v>0</v>
      </c>
      <c r="E34806" s="8">
        <v>0</v>
      </c>
      <c r="F34806" s="8">
        <v>321</v>
      </c>
    </row>
    <row r="34807" spans="1:6" ht="12.75">
      <c r="A34807" s="8">
        <v>43888.836099537039</v>
      </c>
      <c r="B34807" s="8" t="str">
        <f>HYPERLINK("https://twitter.com/tnilovers18","@tnilovers18")</f>
        <v>@tnilovers18</v>
      </c>
      <c r="C34807" s="8" t="s">
        <v>13306</v>
      </c>
      <c r="D34807" s="8">
        <v>0</v>
      </c>
      <c r="E34807" s="8">
        <v>0</v>
      </c>
      <c r="F34807" s="8">
        <v>89</v>
      </c>
    </row>
    <row r="34808" spans="1:6" ht="12.75">
      <c r="A34808" s="8">
        <v>43888.835891203707</v>
      </c>
      <c r="B34808" s="8" t="str">
        <f>HYPERLINK("https://twitter.com/Serated45","@Serated45")</f>
        <v>@Serated45</v>
      </c>
      <c r="C34808" s="8" t="s">
        <v>12071</v>
      </c>
      <c r="D34808" s="8">
        <v>4</v>
      </c>
      <c r="E34808" s="8">
        <v>0</v>
      </c>
      <c r="F34808" s="8">
        <v>196</v>
      </c>
    </row>
    <row r="34809" spans="1:6" ht="12.75">
      <c r="A34809" s="8">
        <v>43888.835856481484</v>
      </c>
      <c r="B34809" s="8" t="str">
        <f>HYPERLINK("https://twitter.com/SayurLodehBTW2","@SayurLodehBTW2")</f>
        <v>@SayurLodehBTW2</v>
      </c>
      <c r="C34809" s="8" t="s">
        <v>13307</v>
      </c>
      <c r="D34809" s="8">
        <v>0</v>
      </c>
      <c r="E34809" s="8">
        <v>0</v>
      </c>
      <c r="F34809" s="8">
        <v>631</v>
      </c>
    </row>
    <row r="34810" spans="1:6" ht="12.75">
      <c r="A34810" s="8">
        <v>43888.835451388892</v>
      </c>
      <c r="B34810" s="8" t="str">
        <f>HYPERLINK("https://twitter.com/anthohar","@anthohar")</f>
        <v>@anthohar</v>
      </c>
      <c r="C34810" s="8" t="s">
        <v>12988</v>
      </c>
      <c r="D34810" s="8">
        <v>4</v>
      </c>
      <c r="E34810" s="8">
        <v>0</v>
      </c>
      <c r="F34810" s="8">
        <v>268</v>
      </c>
    </row>
    <row r="34811" spans="1:6" ht="12.75">
      <c r="A34811" s="8">
        <v>43888.835405092592</v>
      </c>
      <c r="B34811" s="8" t="str">
        <f>HYPERLINK("https://twitter.com/akunsudi","@akunsudi")</f>
        <v>@akunsudi</v>
      </c>
      <c r="C34811" s="8" t="s">
        <v>13308</v>
      </c>
      <c r="D34811" s="8">
        <v>32</v>
      </c>
      <c r="E34811" s="8">
        <v>0</v>
      </c>
      <c r="F34811" s="8">
        <v>1323</v>
      </c>
    </row>
    <row r="34812" spans="1:6" ht="12.75">
      <c r="A34812" s="8">
        <v>43888.835266203707</v>
      </c>
      <c r="B34812" s="8" t="str">
        <f>HYPERLINK("https://twitter.com/BUKANgarangan","@BUKANgarangan")</f>
        <v>@BUKANgarangan</v>
      </c>
      <c r="C34812" s="8" t="s">
        <v>13309</v>
      </c>
      <c r="D34812" s="8">
        <v>0</v>
      </c>
      <c r="E34812" s="8">
        <v>1</v>
      </c>
      <c r="F34812" s="8">
        <v>311</v>
      </c>
    </row>
    <row r="34813" spans="1:6" ht="12.75">
      <c r="A34813" s="8">
        <v>43888.834907407407</v>
      </c>
      <c r="B34813" s="8" t="str">
        <f>HYPERLINK("https://twitter.com/Adimasruro1","@Adimasruro1")</f>
        <v>@Adimasruro1</v>
      </c>
      <c r="C34813" s="8" t="s">
        <v>12071</v>
      </c>
      <c r="D34813" s="8">
        <v>4</v>
      </c>
      <c r="E34813" s="8">
        <v>0</v>
      </c>
      <c r="F34813" s="8">
        <v>78</v>
      </c>
    </row>
    <row r="34814" spans="1:6" ht="12.75">
      <c r="A34814" s="8">
        <v>43888.83488425926</v>
      </c>
      <c r="B34814" s="8" t="str">
        <f>HYPERLINK("https://twitter.com/rahmaaayy","@rahmaaayy")</f>
        <v>@rahmaaayy</v>
      </c>
      <c r="C34814" s="8" t="s">
        <v>593</v>
      </c>
      <c r="D34814" s="8">
        <v>386</v>
      </c>
      <c r="E34814" s="8">
        <v>0</v>
      </c>
      <c r="F34814" s="8">
        <v>82</v>
      </c>
    </row>
    <row r="34815" spans="1:6" ht="12.75">
      <c r="A34815" s="8">
        <v>43888.834861111114</v>
      </c>
      <c r="B34815" s="8" t="str">
        <f>HYPERLINK("https://twitter.com/junjinisme","@junjinisme")</f>
        <v>@junjinisme</v>
      </c>
      <c r="C34815" s="8" t="s">
        <v>593</v>
      </c>
      <c r="D34815" s="8">
        <v>386</v>
      </c>
      <c r="E34815" s="8">
        <v>0</v>
      </c>
      <c r="F34815" s="8">
        <v>739</v>
      </c>
    </row>
    <row r="34816" spans="1:6" ht="12.75">
      <c r="A34816" s="8">
        <v>43888.834641203706</v>
      </c>
      <c r="B34816" s="8" t="str">
        <f t="shared" ref="B34816:B34817" si="487">HYPERLINK("https://twitter.com/msyarofudin5","@msyarofudin5")</f>
        <v>@msyarofudin5</v>
      </c>
      <c r="C34816" s="8" t="s">
        <v>4785</v>
      </c>
      <c r="D34816" s="8">
        <v>448</v>
      </c>
      <c r="E34816" s="8">
        <v>0</v>
      </c>
      <c r="F34816" s="8">
        <v>2</v>
      </c>
    </row>
    <row r="34817" spans="1:6" ht="12.75">
      <c r="A34817" s="8">
        <v>43888.834594907406</v>
      </c>
      <c r="B34817" s="8" t="str">
        <f t="shared" si="487"/>
        <v>@msyarofudin5</v>
      </c>
      <c r="C34817" s="8" t="s">
        <v>26</v>
      </c>
      <c r="D34817" s="8">
        <v>150</v>
      </c>
      <c r="E34817" s="8">
        <v>0</v>
      </c>
      <c r="F34817" s="8">
        <v>2</v>
      </c>
    </row>
    <row r="34818" spans="1:6" ht="12.75">
      <c r="A34818" s="8">
        <v>43888.834386574075</v>
      </c>
      <c r="B34818" s="8" t="str">
        <f>HYPERLINK("https://twitter.com/tayaahehe","@tayaahehe")</f>
        <v>@tayaahehe</v>
      </c>
      <c r="C34818" s="8" t="s">
        <v>593</v>
      </c>
      <c r="D34818" s="8">
        <v>386</v>
      </c>
      <c r="E34818" s="8">
        <v>0</v>
      </c>
      <c r="F34818" s="8">
        <v>214</v>
      </c>
    </row>
    <row r="34819" spans="1:6" ht="12.75">
      <c r="A34819" s="8">
        <v>43888.833865740744</v>
      </c>
      <c r="B34819" s="8" t="str">
        <f>HYPERLINK("https://twitter.com/linipolisi","@linipolisi")</f>
        <v>@linipolisi</v>
      </c>
      <c r="C34819" s="8" t="s">
        <v>13310</v>
      </c>
      <c r="D34819" s="8">
        <v>0</v>
      </c>
      <c r="E34819" s="8">
        <v>0</v>
      </c>
      <c r="F34819" s="8">
        <v>9686</v>
      </c>
    </row>
    <row r="34820" spans="1:6" ht="12.75">
      <c r="A34820" s="8">
        <v>43888.833865740744</v>
      </c>
      <c r="B34820" s="8" t="str">
        <f>HYPERLINK("https://twitter.com/anggarizkif","@anggarizkif")</f>
        <v>@anggarizkif</v>
      </c>
      <c r="C34820" s="8" t="s">
        <v>13311</v>
      </c>
      <c r="D34820" s="8">
        <v>0</v>
      </c>
      <c r="E34820" s="8">
        <v>0</v>
      </c>
      <c r="F34820" s="8">
        <v>2581</v>
      </c>
    </row>
    <row r="34821" spans="1:6" ht="12.75">
      <c r="A34821" s="8">
        <v>43888.83384259259</v>
      </c>
      <c r="B34821" s="8" t="str">
        <f>HYPERLINK("https://twitter.com/SilalahiIngan","@SilalahiIngan")</f>
        <v>@SilalahiIngan</v>
      </c>
      <c r="C34821" s="8" t="s">
        <v>13312</v>
      </c>
      <c r="D34821" s="8">
        <v>0</v>
      </c>
      <c r="E34821" s="8">
        <v>0</v>
      </c>
      <c r="F34821" s="8">
        <v>18</v>
      </c>
    </row>
    <row r="34822" spans="1:6" ht="12.75">
      <c r="A34822" s="8">
        <v>43888.833692129629</v>
      </c>
      <c r="B34822" s="8" t="str">
        <f>HYPERLINK("https://twitter.com/adrian_eko","@adrian_eko")</f>
        <v>@adrian_eko</v>
      </c>
      <c r="C34822" s="8" t="s">
        <v>13313</v>
      </c>
      <c r="D34822" s="8">
        <v>4</v>
      </c>
      <c r="E34822" s="8">
        <v>3</v>
      </c>
      <c r="F34822" s="8">
        <v>1265</v>
      </c>
    </row>
    <row r="34823" spans="1:6" ht="12.75">
      <c r="A34823" s="8">
        <v>43888.833541666667</v>
      </c>
      <c r="B34823" s="8" t="str">
        <f>HYPERLINK("https://twitter.com/ISIS_Balik_NO","@ISIS_Balik_NO")</f>
        <v>@ISIS_Balik_NO</v>
      </c>
      <c r="C34823" s="8" t="s">
        <v>13314</v>
      </c>
      <c r="D34823" s="8">
        <v>0</v>
      </c>
      <c r="E34823" s="8">
        <v>0</v>
      </c>
      <c r="F34823" s="8">
        <v>6077</v>
      </c>
    </row>
    <row r="34824" spans="1:6" ht="12.75">
      <c r="A34824" s="8">
        <v>43888.833495370374</v>
      </c>
      <c r="B34824" s="8" t="str">
        <f>HYPERLINK("https://twitter.com/beritalimacom","@beritalimacom")</f>
        <v>@beritalimacom</v>
      </c>
      <c r="C34824" s="8" t="s">
        <v>12688</v>
      </c>
      <c r="D34824" s="8">
        <v>0</v>
      </c>
      <c r="E34824" s="8">
        <v>0</v>
      </c>
      <c r="F34824" s="8">
        <v>1454</v>
      </c>
    </row>
    <row r="34825" spans="1:6" ht="12.75">
      <c r="A34825" s="8">
        <v>43888.833310185189</v>
      </c>
      <c r="B34825" s="8" t="str">
        <f>HYPERLINK("https://twitter.com/JuraganOpakAsin","@JuraganOpakAsin")</f>
        <v>@JuraganOpakAsin</v>
      </c>
      <c r="C34825" s="8" t="s">
        <v>13315</v>
      </c>
      <c r="D34825" s="8">
        <v>0</v>
      </c>
      <c r="E34825" s="8">
        <v>0</v>
      </c>
      <c r="F34825" s="8">
        <v>233</v>
      </c>
    </row>
    <row r="34826" spans="1:6" ht="12.75">
      <c r="A34826" s="8">
        <v>43888.83320601852</v>
      </c>
      <c r="B34826" s="8" t="str">
        <f>HYPERLINK("https://twitter.com/Bimasenna","@Bimasenna")</f>
        <v>@Bimasenna</v>
      </c>
      <c r="C34826" s="8" t="s">
        <v>12054</v>
      </c>
      <c r="D34826" s="8">
        <v>6</v>
      </c>
      <c r="E34826" s="8">
        <v>0</v>
      </c>
      <c r="F34826" s="8">
        <v>136</v>
      </c>
    </row>
    <row r="34827" spans="1:6" ht="12.75">
      <c r="A34827" s="8">
        <v>43888.832986111112</v>
      </c>
      <c r="B34827" s="8" t="str">
        <f>HYPERLINK("https://twitter.com/Aryprasetyo85","@Aryprasetyo85")</f>
        <v>@Aryprasetyo85</v>
      </c>
      <c r="C34827" s="8" t="s">
        <v>13316</v>
      </c>
      <c r="D34827" s="8">
        <v>1</v>
      </c>
      <c r="E34827" s="8">
        <v>0</v>
      </c>
      <c r="F34827" s="8">
        <v>39406</v>
      </c>
    </row>
    <row r="34828" spans="1:6" ht="12.75">
      <c r="A34828" s="8">
        <v>43888.832962962959</v>
      </c>
      <c r="B34828" s="8" t="str">
        <f>HYPERLINK("https://twitter.com/MariawanDede","@MariawanDede")</f>
        <v>@MariawanDede</v>
      </c>
      <c r="C34828" s="8" t="s">
        <v>13317</v>
      </c>
      <c r="D34828" s="8">
        <v>1</v>
      </c>
      <c r="E34828" s="8">
        <v>0</v>
      </c>
      <c r="F34828" s="8">
        <v>1876</v>
      </c>
    </row>
    <row r="34829" spans="1:6" ht="12.75">
      <c r="A34829" s="8">
        <v>43888.832824074074</v>
      </c>
      <c r="B34829" s="8" t="str">
        <f>HYPERLINK("https://twitter.com/awan137","@awan137")</f>
        <v>@awan137</v>
      </c>
      <c r="C34829" s="8" t="s">
        <v>13318</v>
      </c>
      <c r="D34829" s="8">
        <v>1</v>
      </c>
      <c r="E34829" s="8">
        <v>3</v>
      </c>
      <c r="F34829" s="8">
        <v>276</v>
      </c>
    </row>
    <row r="34830" spans="1:6" ht="12.75">
      <c r="A34830" s="8">
        <v>43888.832754629635</v>
      </c>
      <c r="B34830" s="8" t="str">
        <f>HYPERLINK("https://twitter.com/antaranews","@antaranews")</f>
        <v>@antaranews</v>
      </c>
      <c r="C34830" s="8" t="s">
        <v>13319</v>
      </c>
      <c r="D34830" s="8">
        <v>1</v>
      </c>
      <c r="E34830" s="8">
        <v>0</v>
      </c>
      <c r="F34830" s="8">
        <v>1105530</v>
      </c>
    </row>
    <row r="34831" spans="1:6" ht="12.75">
      <c r="A34831" s="8">
        <v>43888.832708333328</v>
      </c>
      <c r="B34831" s="8" t="str">
        <f>HYPERLINK("https://twitter.com/6tttt9","@6tttt9")</f>
        <v>@6tttt9</v>
      </c>
      <c r="C34831" s="8" t="s">
        <v>8484</v>
      </c>
      <c r="D34831" s="8">
        <v>1046</v>
      </c>
      <c r="E34831" s="8">
        <v>0</v>
      </c>
      <c r="F34831" s="8">
        <v>783</v>
      </c>
    </row>
    <row r="34832" spans="1:6" ht="12.75">
      <c r="A34832" s="8">
        <v>43888.832627314812</v>
      </c>
      <c r="B34832" s="8" t="str">
        <f>HYPERLINK("https://twitter.com/AkuPamuji","@AkuPamuji")</f>
        <v>@AkuPamuji</v>
      </c>
      <c r="C34832" s="8" t="s">
        <v>13320</v>
      </c>
      <c r="D34832" s="8">
        <v>1</v>
      </c>
      <c r="E34832" s="8">
        <v>1</v>
      </c>
      <c r="F34832" s="8">
        <v>184</v>
      </c>
    </row>
    <row r="34833" spans="1:6" ht="12.75">
      <c r="A34833" s="8">
        <v>43888.832615740743</v>
      </c>
      <c r="B34833" s="8" t="str">
        <f>HYPERLINK("https://twitter.com/Julia_Zeed","@Julia_Zeed")</f>
        <v>@Julia_Zeed</v>
      </c>
      <c r="C34833" s="8" t="s">
        <v>11773</v>
      </c>
      <c r="D34833" s="8">
        <v>425</v>
      </c>
      <c r="E34833" s="8">
        <v>0</v>
      </c>
      <c r="F34833" s="8">
        <v>2734</v>
      </c>
    </row>
    <row r="34834" spans="1:6" ht="12.75">
      <c r="A34834" s="8">
        <v>43888.832569444443</v>
      </c>
      <c r="B34834" s="8" t="str">
        <f>HYPERLINK("https://twitter.com/richardyl","@richardyl")</f>
        <v>@richardyl</v>
      </c>
      <c r="C34834" s="8" t="s">
        <v>13321</v>
      </c>
      <c r="D34834" s="8">
        <v>0</v>
      </c>
      <c r="E34834" s="8">
        <v>0</v>
      </c>
      <c r="F34834" s="8">
        <v>342</v>
      </c>
    </row>
    <row r="34835" spans="1:6" ht="12.75">
      <c r="A34835" s="8">
        <v>43888.832546296297</v>
      </c>
      <c r="B34835" s="8" t="str">
        <f>HYPERLINK("https://twitter.com/ISIS_Balik_NO","@ISIS_Balik_NO")</f>
        <v>@ISIS_Balik_NO</v>
      </c>
      <c r="C34835" s="8" t="s">
        <v>13322</v>
      </c>
      <c r="D34835" s="8">
        <v>0</v>
      </c>
      <c r="E34835" s="8">
        <v>0</v>
      </c>
      <c r="F34835" s="8">
        <v>6077</v>
      </c>
    </row>
    <row r="34836" spans="1:6" ht="12.75">
      <c r="A34836" s="8">
        <v>43888.832199074073</v>
      </c>
      <c r="B34836" s="8" t="str">
        <f>HYPERLINK("https://twitter.com/xiyulinglee","@xiyulinglee")</f>
        <v>@xiyulinglee</v>
      </c>
      <c r="C34836" s="8" t="s">
        <v>13323</v>
      </c>
      <c r="D34836" s="8">
        <v>1</v>
      </c>
      <c r="E34836" s="8">
        <v>1</v>
      </c>
      <c r="F34836" s="8">
        <v>246</v>
      </c>
    </row>
    <row r="34837" spans="1:6" ht="12.75">
      <c r="A34837" s="8">
        <v>43888.831817129627</v>
      </c>
      <c r="B34837" s="8" t="str">
        <f>HYPERLINK("https://twitter.com/imaqqq","@imaqqq")</f>
        <v>@imaqqq</v>
      </c>
      <c r="C34837" s="8" t="s">
        <v>593</v>
      </c>
      <c r="D34837" s="8">
        <v>386</v>
      </c>
      <c r="E34837" s="8">
        <v>0</v>
      </c>
      <c r="F34837" s="8">
        <v>186</v>
      </c>
    </row>
    <row r="34838" spans="1:6" ht="12.75">
      <c r="A34838" s="8">
        <v>43888.831516203703</v>
      </c>
      <c r="B34838" s="8" t="str">
        <f>HYPERLINK("https://twitter.com/ulyah_ida","@ulyah_ida")</f>
        <v>@ulyah_ida</v>
      </c>
      <c r="C34838" s="8" t="s">
        <v>12143</v>
      </c>
      <c r="D34838" s="8">
        <v>320</v>
      </c>
      <c r="E34838" s="8">
        <v>0</v>
      </c>
      <c r="F34838" s="8">
        <v>215</v>
      </c>
    </row>
    <row r="34839" spans="1:6" ht="12.75">
      <c r="A34839" s="8">
        <v>43888.831400462965</v>
      </c>
      <c r="B34839" s="8" t="str">
        <f>HYPERLINK("https://twitter.com/ISIS_Balik_NO","@ISIS_Balik_NO")</f>
        <v>@ISIS_Balik_NO</v>
      </c>
      <c r="C34839" s="8" t="s">
        <v>13324</v>
      </c>
      <c r="D34839" s="8">
        <v>4</v>
      </c>
      <c r="E34839" s="8">
        <v>0</v>
      </c>
      <c r="F34839" s="8">
        <v>6077</v>
      </c>
    </row>
    <row r="34840" spans="1:6" ht="12.75">
      <c r="A34840" s="8">
        <v>43888.831331018519</v>
      </c>
      <c r="B34840" s="8" t="str">
        <f>HYPERLINK("https://twitter.com/TeyengCekap","@TeyengCekap")</f>
        <v>@TeyengCekap</v>
      </c>
      <c r="C34840" s="8" t="s">
        <v>13325</v>
      </c>
      <c r="D34840" s="8">
        <v>453</v>
      </c>
      <c r="E34840" s="8">
        <v>0</v>
      </c>
      <c r="F34840" s="8">
        <v>5342</v>
      </c>
    </row>
    <row r="34841" spans="1:6" ht="12.75">
      <c r="A34841" s="8">
        <v>43888.83116898148</v>
      </c>
      <c r="B34841" s="8" t="str">
        <f>HYPERLINK("https://twitter.com/BUKANgarangan","@BUKANgarangan")</f>
        <v>@BUKANgarangan</v>
      </c>
      <c r="C34841" s="8" t="s">
        <v>13326</v>
      </c>
      <c r="D34841" s="8">
        <v>0</v>
      </c>
      <c r="E34841" s="8">
        <v>2</v>
      </c>
      <c r="F34841" s="8">
        <v>311</v>
      </c>
    </row>
    <row r="34842" spans="1:6" ht="12.75">
      <c r="A34842" s="8">
        <v>43888.831053240741</v>
      </c>
      <c r="B34842" s="8" t="str">
        <f>HYPERLINK("https://twitter.com/somat_amoral","@somat_amoral")</f>
        <v>@somat_amoral</v>
      </c>
      <c r="C34842" s="8" t="s">
        <v>13327</v>
      </c>
      <c r="D34842" s="8">
        <v>0</v>
      </c>
      <c r="E34842" s="8">
        <v>1</v>
      </c>
      <c r="F34842" s="8">
        <v>2418</v>
      </c>
    </row>
    <row r="34843" spans="1:6" ht="12.75">
      <c r="A34843" s="8">
        <v>43888.830150462964</v>
      </c>
      <c r="B34843" s="8" t="str">
        <f>HYPERLINK("https://twitter.com/DrTaufan1","@DrTaufan1")</f>
        <v>@DrTaufan1</v>
      </c>
      <c r="C34843" s="8" t="s">
        <v>13328</v>
      </c>
      <c r="D34843" s="8">
        <v>0</v>
      </c>
      <c r="E34843" s="8">
        <v>0</v>
      </c>
      <c r="F34843" s="8">
        <v>6146</v>
      </c>
    </row>
    <row r="34844" spans="1:6" ht="12.75">
      <c r="A34844" s="8">
        <v>43888.829629629632</v>
      </c>
      <c r="B34844" s="8" t="str">
        <f>HYPERLINK("https://twitter.com/angel_mell","@angel_mell")</f>
        <v>@angel_mell</v>
      </c>
      <c r="C34844" s="8" t="s">
        <v>12052</v>
      </c>
      <c r="D34844" s="8">
        <v>88</v>
      </c>
      <c r="E34844" s="8">
        <v>0</v>
      </c>
      <c r="F34844" s="8">
        <v>563</v>
      </c>
    </row>
    <row r="34845" spans="1:6" ht="12.75">
      <c r="A34845" s="8">
        <v>43888.829571759255</v>
      </c>
      <c r="B34845" s="8" t="str">
        <f>HYPERLINK("https://twitter.com/asriprad","@asriprad")</f>
        <v>@asriprad</v>
      </c>
      <c r="C34845" s="8" t="s">
        <v>12297</v>
      </c>
      <c r="D34845" s="8">
        <v>3</v>
      </c>
      <c r="E34845" s="8">
        <v>0</v>
      </c>
      <c r="F34845" s="8">
        <v>1058</v>
      </c>
    </row>
    <row r="34846" spans="1:6" ht="12.75">
      <c r="A34846" s="8">
        <v>43888.829363425924</v>
      </c>
      <c r="B34846" s="8" t="str">
        <f>HYPERLINK("https://twitter.com/K_Ompu","@K_Ompu")</f>
        <v>@K_Ompu</v>
      </c>
      <c r="C34846" s="8" t="s">
        <v>13329</v>
      </c>
      <c r="D34846" s="8">
        <v>17</v>
      </c>
      <c r="E34846" s="8">
        <v>0</v>
      </c>
      <c r="F34846" s="8">
        <v>156</v>
      </c>
    </row>
    <row r="34847" spans="1:6" ht="12.75">
      <c r="A34847" s="8">
        <v>43888.829259259262</v>
      </c>
      <c r="B34847" s="8" t="str">
        <f>HYPERLINK("https://twitter.com/jasminealie","@jasminealie")</f>
        <v>@jasminealie</v>
      </c>
      <c r="C34847" s="8" t="s">
        <v>13330</v>
      </c>
      <c r="D34847" s="8">
        <v>3</v>
      </c>
      <c r="E34847" s="8">
        <v>0</v>
      </c>
      <c r="F34847" s="8">
        <v>740</v>
      </c>
    </row>
    <row r="34848" spans="1:6" ht="12.75">
      <c r="A34848" s="8">
        <v>43888.829166666663</v>
      </c>
      <c r="B34848" s="8" t="str">
        <f>HYPERLINK("https://twitter.com/unilubis","@unilubis")</f>
        <v>@unilubis</v>
      </c>
      <c r="C34848" s="8" t="s">
        <v>13331</v>
      </c>
      <c r="D34848" s="8">
        <v>0</v>
      </c>
      <c r="E34848" s="8">
        <v>2</v>
      </c>
      <c r="F34848" s="8">
        <v>120220</v>
      </c>
    </row>
    <row r="34849" spans="1:6" ht="12.75">
      <c r="A34849" s="8">
        <v>43888.829143518524</v>
      </c>
      <c r="B34849" s="8" t="str">
        <f>HYPERLINK("https://twitter.com/aip_1933","@aip_1933")</f>
        <v>@aip_1933</v>
      </c>
      <c r="C34849" s="8" t="s">
        <v>7243</v>
      </c>
      <c r="D34849" s="8">
        <v>117</v>
      </c>
      <c r="E34849" s="8">
        <v>0</v>
      </c>
      <c r="F34849" s="8">
        <v>62</v>
      </c>
    </row>
    <row r="34850" spans="1:6" ht="12.75">
      <c r="A34850" s="8">
        <v>43888.829062500001</v>
      </c>
      <c r="B34850" s="8" t="str">
        <f>HYPERLINK("https://twitter.com/ARRRLANDA","@ARRRLANDA")</f>
        <v>@ARRRLANDA</v>
      </c>
      <c r="C34850" s="8" t="s">
        <v>13151</v>
      </c>
      <c r="D34850" s="8">
        <v>10</v>
      </c>
      <c r="E34850" s="8">
        <v>0</v>
      </c>
      <c r="F34850" s="8">
        <v>64</v>
      </c>
    </row>
    <row r="34851" spans="1:6" ht="12.75">
      <c r="A34851" s="8">
        <v>43888.829016203701</v>
      </c>
      <c r="B34851" s="8" t="str">
        <f>HYPERLINK("https://twitter.com/ISIS_Balik_NO","@ISIS_Balik_NO")</f>
        <v>@ISIS_Balik_NO</v>
      </c>
      <c r="C34851" s="8" t="s">
        <v>13332</v>
      </c>
      <c r="D34851" s="8">
        <v>0</v>
      </c>
      <c r="E34851" s="8">
        <v>2</v>
      </c>
      <c r="F34851" s="8">
        <v>6077</v>
      </c>
    </row>
    <row r="34852" spans="1:6" ht="12.75">
      <c r="A34852" s="8">
        <v>43888.828784722224</v>
      </c>
      <c r="B34852" s="8" t="str">
        <f>HYPERLINK("https://twitter.com/ienuli","@ienuli")</f>
        <v>@ienuli</v>
      </c>
      <c r="C34852" s="8" t="s">
        <v>13333</v>
      </c>
      <c r="D34852" s="8">
        <v>0</v>
      </c>
      <c r="E34852" s="8">
        <v>0</v>
      </c>
      <c r="F34852" s="8">
        <v>1424</v>
      </c>
    </row>
    <row r="34853" spans="1:6" ht="12.75">
      <c r="A34853" s="8">
        <v>43888.828333333338</v>
      </c>
      <c r="B34853" s="8" t="str">
        <f>HYPERLINK("https://twitter.com/padangmedianews","@padangmedianews")</f>
        <v>@padangmedianews</v>
      </c>
      <c r="C34853" s="8" t="s">
        <v>13240</v>
      </c>
      <c r="D34853" s="8">
        <v>0</v>
      </c>
      <c r="E34853" s="8">
        <v>0</v>
      </c>
      <c r="F34853" s="8">
        <v>60</v>
      </c>
    </row>
    <row r="34854" spans="1:6" ht="12.75">
      <c r="A34854" s="8">
        <v>43888.828182870369</v>
      </c>
      <c r="B34854" s="8" t="str">
        <f>HYPERLINK("https://twitter.com/Fvckyeahh__","@Fvckyeahh__")</f>
        <v>@Fvckyeahh__</v>
      </c>
      <c r="C34854" s="8" t="s">
        <v>13151</v>
      </c>
      <c r="D34854" s="8">
        <v>10</v>
      </c>
      <c r="E34854" s="8">
        <v>0</v>
      </c>
      <c r="F34854" s="8">
        <v>269</v>
      </c>
    </row>
    <row r="34855" spans="1:6" ht="12.75">
      <c r="A34855" s="8">
        <v>43888.828078703707</v>
      </c>
      <c r="B34855" s="8" t="str">
        <f>HYPERLINK("https://twitter.com/PEDOMAN_id","@PEDOMAN_id")</f>
        <v>@PEDOMAN_id</v>
      </c>
      <c r="C34855" s="8" t="s">
        <v>12054</v>
      </c>
      <c r="D34855" s="8">
        <v>6</v>
      </c>
      <c r="E34855" s="8">
        <v>0</v>
      </c>
      <c r="F34855" s="8">
        <v>60371</v>
      </c>
    </row>
    <row r="34856" spans="1:6" ht="12.75">
      <c r="A34856" s="8">
        <v>43888.827881944446</v>
      </c>
      <c r="B34856" s="8" t="str">
        <f>HYPERLINK("https://twitter.com/ISIS_Balik_NO","@ISIS_Balik_NO")</f>
        <v>@ISIS_Balik_NO</v>
      </c>
      <c r="C34856" s="8" t="s">
        <v>13334</v>
      </c>
      <c r="D34856" s="8">
        <v>0</v>
      </c>
      <c r="E34856" s="8">
        <v>0</v>
      </c>
      <c r="F34856" s="8">
        <v>6077</v>
      </c>
    </row>
    <row r="34857" spans="1:6" ht="12.75">
      <c r="A34857" s="8">
        <v>43888.827592592592</v>
      </c>
      <c r="B34857" s="8" t="str">
        <f>HYPERLINK("https://twitter.com/endanesia","@endanesia")</f>
        <v>@endanesia</v>
      </c>
      <c r="C34857" s="8" t="s">
        <v>13335</v>
      </c>
      <c r="D34857" s="8">
        <v>0</v>
      </c>
      <c r="E34857" s="8">
        <v>0</v>
      </c>
      <c r="F34857" s="8">
        <v>379</v>
      </c>
    </row>
    <row r="34858" spans="1:6" ht="12.75">
      <c r="A34858" s="8">
        <v>43888.827557870369</v>
      </c>
      <c r="B34858" s="8" t="str">
        <f>HYPERLINK("https://twitter.com/luphalp","@luphalp")</f>
        <v>@luphalp</v>
      </c>
      <c r="C34858" s="8" t="s">
        <v>13336</v>
      </c>
      <c r="D34858" s="8">
        <v>6</v>
      </c>
      <c r="E34858" s="8">
        <v>0</v>
      </c>
      <c r="F34858" s="8">
        <v>53</v>
      </c>
    </row>
    <row r="34859" spans="1:6" ht="12.75">
      <c r="A34859" s="8">
        <v>43888.827152777776</v>
      </c>
      <c r="B34859" s="8" t="str">
        <f>HYPERLINK("https://twitter.com/fakhrulfbi","@fakhrulfbi")</f>
        <v>@fakhrulfbi</v>
      </c>
      <c r="C34859" s="8" t="s">
        <v>11102</v>
      </c>
      <c r="D34859" s="8">
        <v>31</v>
      </c>
      <c r="E34859" s="8">
        <v>0</v>
      </c>
      <c r="F34859" s="8">
        <v>658</v>
      </c>
    </row>
    <row r="34860" spans="1:6" ht="12.75">
      <c r="A34860" s="8">
        <v>43888.827106481476</v>
      </c>
      <c r="B34860" s="8" t="str">
        <f>HYPERLINK("https://twitter.com/Thariq_aziz0386","@Thariq_aziz0386")</f>
        <v>@Thariq_aziz0386</v>
      </c>
      <c r="C34860" s="8" t="s">
        <v>13337</v>
      </c>
      <c r="D34860" s="8">
        <v>0</v>
      </c>
      <c r="E34860" s="8">
        <v>0</v>
      </c>
      <c r="F34860" s="8">
        <v>30</v>
      </c>
    </row>
    <row r="34861" spans="1:6" ht="12.75">
      <c r="A34861" s="8">
        <v>43888.827060185184</v>
      </c>
      <c r="B34861" s="8" t="str">
        <f>HYPERLINK("https://twitter.com/demokrasicoid","@demokrasicoid")</f>
        <v>@demokrasicoid</v>
      </c>
      <c r="C34861" s="8" t="s">
        <v>13292</v>
      </c>
      <c r="D34861" s="8">
        <v>1</v>
      </c>
      <c r="E34861" s="8">
        <v>3</v>
      </c>
      <c r="F34861" s="8">
        <v>22689</v>
      </c>
    </row>
    <row r="34862" spans="1:6" ht="12.75">
      <c r="A34862" s="8">
        <v>43888.826863425929</v>
      </c>
      <c r="B34862" s="8" t="str">
        <f>HYPERLINK("https://twitter.com/duwaaaay","@duwaaaay")</f>
        <v>@duwaaaay</v>
      </c>
      <c r="C34862" s="8" t="s">
        <v>593</v>
      </c>
      <c r="D34862" s="8">
        <v>386</v>
      </c>
      <c r="E34862" s="8">
        <v>0</v>
      </c>
      <c r="F34862" s="8">
        <v>27</v>
      </c>
    </row>
    <row r="34863" spans="1:6" ht="12.75">
      <c r="A34863" s="8">
        <v>43888.826851851853</v>
      </c>
      <c r="B34863" s="8" t="str">
        <f>HYPERLINK("https://twitter.com/joko_real","@joko_real")</f>
        <v>@joko_real</v>
      </c>
      <c r="C34863" s="8" t="s">
        <v>13338</v>
      </c>
      <c r="D34863" s="8">
        <v>37</v>
      </c>
      <c r="E34863" s="8">
        <v>0</v>
      </c>
      <c r="F34863" s="8">
        <v>50</v>
      </c>
    </row>
    <row r="34864" spans="1:6" ht="12.75">
      <c r="A34864" s="8">
        <v>43888.826678240745</v>
      </c>
      <c r="B34864" s="8" t="str">
        <f>HYPERLINK("https://twitter.com/EtsaLira26","@EtsaLira26")</f>
        <v>@EtsaLira26</v>
      </c>
      <c r="C34864" s="8" t="s">
        <v>593</v>
      </c>
      <c r="D34864" s="8">
        <v>386</v>
      </c>
      <c r="E34864" s="8">
        <v>0</v>
      </c>
      <c r="F34864" s="8">
        <v>833</v>
      </c>
    </row>
    <row r="34865" spans="1:6" ht="12.75">
      <c r="A34865" s="8">
        <v>43888.826481481483</v>
      </c>
      <c r="B34865" s="8" t="str">
        <f>HYPERLINK("https://twitter.com/haiipung","@haiipung")</f>
        <v>@haiipung</v>
      </c>
      <c r="C34865" s="8" t="s">
        <v>593</v>
      </c>
      <c r="D34865" s="8">
        <v>386</v>
      </c>
      <c r="E34865" s="8">
        <v>0</v>
      </c>
      <c r="F34865" s="8">
        <v>31</v>
      </c>
    </row>
    <row r="34866" spans="1:6" ht="12.75">
      <c r="A34866" s="8">
        <v>43888.826319444444</v>
      </c>
      <c r="B34866" s="8" t="str">
        <f>HYPERLINK("https://twitter.com/Vwi_Vwi","@Vwi_Vwi")</f>
        <v>@Vwi_Vwi</v>
      </c>
      <c r="C34866" s="8" t="s">
        <v>13339</v>
      </c>
      <c r="D34866" s="8">
        <v>0</v>
      </c>
      <c r="E34866" s="8">
        <v>0</v>
      </c>
      <c r="F34866" s="8">
        <v>5602</v>
      </c>
    </row>
    <row r="34867" spans="1:6" ht="12.75">
      <c r="A34867" s="8">
        <v>43888.826296296298</v>
      </c>
      <c r="B34867" s="8" t="str">
        <f>HYPERLINK("https://twitter.com/bangkitriambada","@bangkitriambada")</f>
        <v>@bangkitriambada</v>
      </c>
      <c r="C34867" s="8" t="s">
        <v>13330</v>
      </c>
      <c r="D34867" s="8">
        <v>3</v>
      </c>
      <c r="E34867" s="8">
        <v>0</v>
      </c>
      <c r="F34867" s="8">
        <v>203</v>
      </c>
    </row>
    <row r="34868" spans="1:6" ht="12.75">
      <c r="A34868" s="8">
        <v>43888.826145833329</v>
      </c>
      <c r="B34868" s="8" t="str">
        <f>HYPERLINK("https://twitter.com/KakekHalal","@KakekHalal")</f>
        <v>@KakekHalal</v>
      </c>
      <c r="C34868" s="8" t="s">
        <v>13340</v>
      </c>
      <c r="D34868" s="8">
        <v>1</v>
      </c>
      <c r="E34868" s="8">
        <v>0</v>
      </c>
      <c r="F34868" s="8">
        <v>22735</v>
      </c>
    </row>
    <row r="34869" spans="1:6" ht="12.75">
      <c r="A34869" s="8">
        <v>43888.825671296298</v>
      </c>
      <c r="B34869" s="8" t="str">
        <f>HYPERLINK("https://twitter.com/BayuBoyaa","@BayuBoyaa")</f>
        <v>@BayuBoyaa</v>
      </c>
      <c r="C34869" s="8" t="s">
        <v>13341</v>
      </c>
      <c r="D34869" s="8">
        <v>0</v>
      </c>
      <c r="E34869" s="8">
        <v>0</v>
      </c>
      <c r="F34869" s="8">
        <v>200</v>
      </c>
    </row>
    <row r="34870" spans="1:6" ht="12.75">
      <c r="A34870" s="8">
        <v>43888.825671296298</v>
      </c>
      <c r="B34870" s="8" t="str">
        <f>HYPERLINK("https://twitter.com/idntimes","@idntimes")</f>
        <v>@idntimes</v>
      </c>
      <c r="C34870" s="8" t="s">
        <v>13342</v>
      </c>
      <c r="D34870" s="8">
        <v>0</v>
      </c>
      <c r="E34870" s="8">
        <v>0</v>
      </c>
      <c r="F34870" s="8">
        <v>393579</v>
      </c>
    </row>
    <row r="34871" spans="1:6" ht="12.75">
      <c r="A34871" s="8">
        <v>43888.825624999998</v>
      </c>
      <c r="B34871" s="8" t="str">
        <f>HYPERLINK("https://twitter.com/dodi_ahmad07","@dodi_ahmad07")</f>
        <v>@dodi_ahmad07</v>
      </c>
      <c r="C34871" s="8" t="s">
        <v>12920</v>
      </c>
      <c r="D34871" s="8">
        <v>1544</v>
      </c>
      <c r="E34871" s="8">
        <v>0</v>
      </c>
      <c r="F34871" s="8">
        <v>633</v>
      </c>
    </row>
    <row r="34872" spans="1:6" ht="12.75">
      <c r="A34872" s="8">
        <v>43888.825509259259</v>
      </c>
      <c r="B34872" s="8" t="str">
        <f>HYPERLINK("https://twitter.com/R_altiana","@R_altiana")</f>
        <v>@R_altiana</v>
      </c>
      <c r="C34872" s="8" t="s">
        <v>13343</v>
      </c>
      <c r="D34872" s="8">
        <v>3</v>
      </c>
      <c r="E34872" s="8">
        <v>0</v>
      </c>
      <c r="F34872" s="8">
        <v>2</v>
      </c>
    </row>
    <row r="34873" spans="1:6" ht="12.75">
      <c r="A34873" s="8">
        <v>43888.82545138889</v>
      </c>
      <c r="B34873" s="8" t="str">
        <f>HYPERLINK("https://twitter.com/metya_nur","@metya_nur")</f>
        <v>@metya_nur</v>
      </c>
      <c r="C34873" s="8" t="s">
        <v>12297</v>
      </c>
      <c r="D34873" s="8">
        <v>3</v>
      </c>
      <c r="E34873" s="8">
        <v>0</v>
      </c>
      <c r="F34873" s="8">
        <v>27</v>
      </c>
    </row>
    <row r="34874" spans="1:6" ht="12.75">
      <c r="A34874" s="8">
        <v>43888.824872685189</v>
      </c>
      <c r="B34874" s="8" t="str">
        <f>HYPERLINK("https://twitter.com/evanovita_","@evanovita_")</f>
        <v>@evanovita_</v>
      </c>
      <c r="C34874" s="8" t="s">
        <v>593</v>
      </c>
      <c r="D34874" s="8">
        <v>386</v>
      </c>
      <c r="E34874" s="8">
        <v>0</v>
      </c>
      <c r="F34874" s="8">
        <v>85</v>
      </c>
    </row>
    <row r="34875" spans="1:6" ht="12.75">
      <c r="A34875" s="8">
        <v>43888.824826388889</v>
      </c>
      <c r="B34875" s="8" t="str">
        <f>HYPERLINK("https://twitter.com/wartabhineka","@wartabhineka")</f>
        <v>@wartabhineka</v>
      </c>
      <c r="C34875" s="8" t="s">
        <v>13344</v>
      </c>
      <c r="D34875" s="8">
        <v>0</v>
      </c>
      <c r="E34875" s="8">
        <v>0</v>
      </c>
      <c r="F34875" s="8">
        <v>115</v>
      </c>
    </row>
    <row r="34876" spans="1:6" ht="12.75">
      <c r="A34876" s="8">
        <v>43888.82440972222</v>
      </c>
      <c r="B34876" s="8" t="str">
        <f t="shared" ref="B34876:B34877" si="488">HYPERLINK("https://twitter.com/su7loo","@su7loo")</f>
        <v>@su7loo</v>
      </c>
      <c r="C34876" s="8" t="s">
        <v>12978</v>
      </c>
      <c r="D34876" s="8">
        <v>5</v>
      </c>
      <c r="E34876" s="8">
        <v>0</v>
      </c>
      <c r="F34876" s="8">
        <v>1174</v>
      </c>
    </row>
    <row r="34877" spans="1:6" ht="12.75">
      <c r="A34877" s="8">
        <v>43888.824340277773</v>
      </c>
      <c r="B34877" s="8" t="str">
        <f t="shared" si="488"/>
        <v>@su7loo</v>
      </c>
      <c r="C34877" s="8" t="s">
        <v>12977</v>
      </c>
      <c r="D34877" s="8">
        <v>7</v>
      </c>
      <c r="E34877" s="8">
        <v>0</v>
      </c>
      <c r="F34877" s="8">
        <v>1174</v>
      </c>
    </row>
    <row r="34878" spans="1:6" ht="12.75">
      <c r="A34878" s="8">
        <v>43888.824259259258</v>
      </c>
      <c r="B34878" s="8" t="str">
        <f>HYPERLINK("https://twitter.com/AndyWu007","@AndyWu007")</f>
        <v>@AndyWu007</v>
      </c>
      <c r="C34878" s="8" t="s">
        <v>13345</v>
      </c>
      <c r="D34878" s="8">
        <v>0</v>
      </c>
      <c r="E34878" s="8">
        <v>0</v>
      </c>
      <c r="F34878" s="8">
        <v>224</v>
      </c>
    </row>
    <row r="34879" spans="1:6" ht="12.75">
      <c r="A34879" s="8">
        <v>43888.824212962965</v>
      </c>
      <c r="B34879" s="8" t="str">
        <f t="shared" ref="B34879:B34880" si="489">HYPERLINK("https://twitter.com/su7loo","@su7loo")</f>
        <v>@su7loo</v>
      </c>
      <c r="C34879" s="8" t="s">
        <v>12979</v>
      </c>
      <c r="D34879" s="8">
        <v>6</v>
      </c>
      <c r="E34879" s="8">
        <v>0</v>
      </c>
      <c r="F34879" s="8">
        <v>1174</v>
      </c>
    </row>
    <row r="34880" spans="1:6" ht="12.75">
      <c r="A34880" s="8">
        <v>43888.824108796296</v>
      </c>
      <c r="B34880" s="8" t="str">
        <f t="shared" si="489"/>
        <v>@su7loo</v>
      </c>
      <c r="C34880" s="8" t="s">
        <v>12899</v>
      </c>
      <c r="D34880" s="8">
        <v>7</v>
      </c>
      <c r="E34880" s="8">
        <v>0</v>
      </c>
      <c r="F34880" s="8">
        <v>1174</v>
      </c>
    </row>
    <row r="34881" spans="1:6" ht="12.75">
      <c r="A34881" s="8">
        <v>43888.823877314819</v>
      </c>
      <c r="B34881" s="8" t="str">
        <f>HYPERLINK("https://twitter.com/PerkasaHabsyah","@PerkasaHabsyah")</f>
        <v>@PerkasaHabsyah</v>
      </c>
      <c r="C34881" s="8" t="s">
        <v>13346</v>
      </c>
      <c r="D34881" s="8">
        <v>0</v>
      </c>
      <c r="E34881" s="8">
        <v>0</v>
      </c>
      <c r="F34881" s="8">
        <v>1129</v>
      </c>
    </row>
    <row r="34882" spans="1:6" ht="12.75">
      <c r="A34882" s="8">
        <v>43888.823703703703</v>
      </c>
      <c r="B34882" s="8" t="str">
        <f>HYPERLINK("https://twitter.com/zamethzulfik","@zamethzulfik")</f>
        <v>@zamethzulfik</v>
      </c>
      <c r="C34882" s="8" t="s">
        <v>593</v>
      </c>
      <c r="D34882" s="8">
        <v>386</v>
      </c>
      <c r="E34882" s="8">
        <v>0</v>
      </c>
      <c r="F34882" s="8">
        <v>112</v>
      </c>
    </row>
    <row r="34883" spans="1:6" ht="12.75">
      <c r="A34883" s="8">
        <v>43888.823518518519</v>
      </c>
      <c r="B34883" s="8" t="str">
        <f>HYPERLINK("https://twitter.com/Rrhyuu","@Rrhyuu")</f>
        <v>@Rrhyuu</v>
      </c>
      <c r="C34883" s="8" t="s">
        <v>593</v>
      </c>
      <c r="D34883" s="8">
        <v>386</v>
      </c>
      <c r="E34883" s="8">
        <v>0</v>
      </c>
      <c r="F34883" s="8">
        <v>337</v>
      </c>
    </row>
    <row r="34884" spans="1:6" ht="12.75">
      <c r="A34884" s="8">
        <v>43888.823333333334</v>
      </c>
      <c r="B34884" s="8" t="str">
        <f>HYPERLINK("https://twitter.com/santidewi888","@santidewi888")</f>
        <v>@santidewi888</v>
      </c>
      <c r="C34884" s="8" t="s">
        <v>13347</v>
      </c>
      <c r="D34884" s="8">
        <v>0</v>
      </c>
      <c r="E34884" s="8">
        <v>0</v>
      </c>
      <c r="F34884" s="8">
        <v>723</v>
      </c>
    </row>
    <row r="34885" spans="1:6" ht="12.75">
      <c r="A34885" s="8">
        <v>43888.823206018518</v>
      </c>
      <c r="B34885" s="8" t="str">
        <f>HYPERLINK("https://twitter.com/faa_ra","@faa_ra")</f>
        <v>@faa_ra</v>
      </c>
      <c r="C34885" s="8" t="s">
        <v>13348</v>
      </c>
      <c r="D34885" s="8">
        <v>0</v>
      </c>
      <c r="E34885" s="8">
        <v>0</v>
      </c>
      <c r="F34885" s="8">
        <v>1008</v>
      </c>
    </row>
    <row r="34886" spans="1:6" ht="12.75">
      <c r="A34886" s="8">
        <v>43888.822800925926</v>
      </c>
      <c r="B34886" s="8" t="str">
        <f>HYPERLINK("https://twitter.com/ylchaniago","@ylchaniago")</f>
        <v>@ylchaniago</v>
      </c>
      <c r="C34886" s="8" t="s">
        <v>13349</v>
      </c>
      <c r="D34886" s="8">
        <v>0</v>
      </c>
      <c r="E34886" s="8">
        <v>0</v>
      </c>
      <c r="F34886" s="8">
        <v>5338</v>
      </c>
    </row>
    <row r="34887" spans="1:6" ht="12.75">
      <c r="A34887" s="8">
        <v>43888.822789351849</v>
      </c>
      <c r="B34887" s="8" t="str">
        <f>HYPERLINK("https://twitter.com/astilov3","@astilov3")</f>
        <v>@astilov3</v>
      </c>
      <c r="C34887" s="8" t="s">
        <v>11773</v>
      </c>
      <c r="D34887" s="8">
        <v>425</v>
      </c>
      <c r="E34887" s="8">
        <v>0</v>
      </c>
      <c r="F34887" s="8">
        <v>630</v>
      </c>
    </row>
    <row r="34888" spans="1:6" ht="12.75">
      <c r="A34888" s="8">
        <v>43888.82240740741</v>
      </c>
      <c r="B34888" s="8" t="str">
        <f>HYPERLINK("https://twitter.com/kim__dxxx","@kim__dxxx")</f>
        <v>@kim__dxxx</v>
      </c>
      <c r="C34888" s="8" t="s">
        <v>13350</v>
      </c>
      <c r="D34888" s="8">
        <v>0</v>
      </c>
      <c r="E34888" s="8">
        <v>0</v>
      </c>
      <c r="F34888" s="8">
        <v>15</v>
      </c>
    </row>
    <row r="34889" spans="1:6" ht="12.75">
      <c r="A34889" s="8">
        <v>43888.822256944448</v>
      </c>
      <c r="B34889" s="8" t="str">
        <f>HYPERLINK("https://twitter.com/endahfjrh","@endahfjrh")</f>
        <v>@endahfjrh</v>
      </c>
      <c r="C34889" s="8" t="s">
        <v>593</v>
      </c>
      <c r="D34889" s="8">
        <v>386</v>
      </c>
      <c r="E34889" s="8">
        <v>0</v>
      </c>
      <c r="F34889" s="8">
        <v>751</v>
      </c>
    </row>
    <row r="34890" spans="1:6" ht="12.75">
      <c r="A34890" s="8">
        <v>43888.822245370371</v>
      </c>
      <c r="B34890" s="8" t="str">
        <f>HYPERLINK("https://twitter.com/zenkdelya","@zenkdelya")</f>
        <v>@zenkdelya</v>
      </c>
      <c r="C34890" s="8" t="s">
        <v>13351</v>
      </c>
      <c r="D34890" s="8">
        <v>0</v>
      </c>
      <c r="E34890" s="8">
        <v>0</v>
      </c>
      <c r="F34890" s="8">
        <v>687</v>
      </c>
    </row>
    <row r="34891" spans="1:6" ht="12.75">
      <c r="A34891" s="8">
        <v>43888.822060185186</v>
      </c>
      <c r="B34891" s="8" t="str">
        <f>HYPERLINK("https://twitter.com/lahkokloh","@lahkokloh")</f>
        <v>@lahkokloh</v>
      </c>
      <c r="C34891" s="8" t="s">
        <v>13352</v>
      </c>
      <c r="D34891" s="8">
        <v>0</v>
      </c>
      <c r="E34891" s="8">
        <v>0</v>
      </c>
      <c r="F34891" s="8">
        <v>17</v>
      </c>
    </row>
    <row r="34892" spans="1:6" ht="12.75">
      <c r="A34892" s="8">
        <v>43888.821909722217</v>
      </c>
      <c r="B34892" s="8" t="str">
        <f>HYPERLINK("https://twitter.com/cnbcindonesia","@cnbcindonesia")</f>
        <v>@cnbcindonesia</v>
      </c>
      <c r="C34892" s="8" t="s">
        <v>13353</v>
      </c>
      <c r="D34892" s="8">
        <v>3</v>
      </c>
      <c r="E34892" s="8">
        <v>1</v>
      </c>
      <c r="F34892" s="8">
        <v>30938</v>
      </c>
    </row>
    <row r="34893" spans="1:6" ht="12.75">
      <c r="A34893" s="8">
        <v>43888.821851851855</v>
      </c>
      <c r="B34893" s="8" t="str">
        <f>HYPERLINK("https://twitter.com/Kars104","@Kars104")</f>
        <v>@Kars104</v>
      </c>
      <c r="C34893" s="8" t="s">
        <v>11773</v>
      </c>
      <c r="D34893" s="8">
        <v>425</v>
      </c>
      <c r="E34893" s="8">
        <v>0</v>
      </c>
      <c r="F34893" s="8">
        <v>1762</v>
      </c>
    </row>
    <row r="34894" spans="1:6" ht="12.75">
      <c r="A34894" s="8">
        <v>43888.821296296301</v>
      </c>
      <c r="B34894" s="8" t="str">
        <f>HYPERLINK("https://twitter.com/dean3th","@dean3th")</f>
        <v>@dean3th</v>
      </c>
      <c r="C34894" s="8" t="s">
        <v>593</v>
      </c>
      <c r="D34894" s="8">
        <v>386</v>
      </c>
      <c r="E34894" s="8">
        <v>0</v>
      </c>
      <c r="F34894" s="8">
        <v>449</v>
      </c>
    </row>
    <row r="34895" spans="1:6" ht="12.75">
      <c r="A34895" s="8">
        <v>43888.821111111116</v>
      </c>
      <c r="B34895" s="8" t="str">
        <f>HYPERLINK("https://twitter.com/internetisdork","@internetisdork")</f>
        <v>@internetisdork</v>
      </c>
      <c r="C34895" s="8" t="s">
        <v>13354</v>
      </c>
      <c r="D34895" s="8">
        <v>0</v>
      </c>
      <c r="E34895" s="8">
        <v>0</v>
      </c>
      <c r="F34895" s="8">
        <v>495</v>
      </c>
    </row>
    <row r="34896" spans="1:6" ht="12.75">
      <c r="A34896" s="8">
        <v>43888.798067129625</v>
      </c>
      <c r="B34896" s="8" t="str">
        <f>HYPERLINK("https://twitter.com/pujibrenda","@pujibrenda")</f>
        <v>@pujibrenda</v>
      </c>
      <c r="C34896" s="8" t="s">
        <v>13151</v>
      </c>
      <c r="D34896" s="8">
        <v>6</v>
      </c>
      <c r="E34896" s="8">
        <v>0</v>
      </c>
      <c r="F34896" s="8">
        <v>360</v>
      </c>
    </row>
    <row r="34897" spans="1:6" ht="12.75">
      <c r="A34897" s="8">
        <v>43888.79751157407</v>
      </c>
      <c r="B34897" s="8" t="str">
        <f>HYPERLINK("https://twitter.com/budikayumas","@budikayumas")</f>
        <v>@budikayumas</v>
      </c>
      <c r="C34897" s="8" t="s">
        <v>13355</v>
      </c>
      <c r="D34897" s="8">
        <v>1</v>
      </c>
      <c r="E34897" s="8">
        <v>0</v>
      </c>
      <c r="F34897" s="8">
        <v>4112</v>
      </c>
    </row>
    <row r="34898" spans="1:6" ht="12.75">
      <c r="A34898" s="8">
        <v>43888.79751157407</v>
      </c>
      <c r="B34898" s="8" t="str">
        <f>HYPERLINK("https://twitter.com/rudyp778","@rudyp778")</f>
        <v>@rudyp778</v>
      </c>
      <c r="C34898" s="8" t="s">
        <v>11773</v>
      </c>
      <c r="D34898" s="8">
        <v>422</v>
      </c>
      <c r="E34898" s="8">
        <v>0</v>
      </c>
      <c r="F34898" s="8">
        <v>76</v>
      </c>
    </row>
    <row r="34899" spans="1:6" ht="12.75">
      <c r="A34899" s="8">
        <v>43888.797465277778</v>
      </c>
      <c r="B34899" s="8" t="str">
        <f>HYPERLINK("https://twitter.com/ryanfathurr","@ryanfathurr")</f>
        <v>@ryanfathurr</v>
      </c>
      <c r="C34899" s="8" t="s">
        <v>13151</v>
      </c>
      <c r="D34899" s="8">
        <v>6</v>
      </c>
      <c r="E34899" s="8">
        <v>0</v>
      </c>
      <c r="F34899" s="8">
        <v>307</v>
      </c>
    </row>
    <row r="34900" spans="1:6" ht="12.75">
      <c r="A34900" s="8">
        <v>43888.797349537039</v>
      </c>
      <c r="B34900" s="8" t="str">
        <f>HYPERLINK("https://twitter.com/SketsaUnmul","@SketsaUnmul")</f>
        <v>@SketsaUnmul</v>
      </c>
      <c r="C34900" s="8" t="s">
        <v>13356</v>
      </c>
      <c r="D34900" s="8">
        <v>0</v>
      </c>
      <c r="E34900" s="8">
        <v>0</v>
      </c>
      <c r="F34900" s="8">
        <v>1697</v>
      </c>
    </row>
    <row r="34901" spans="1:6" ht="12.75">
      <c r="A34901" s="8">
        <v>43888.797326388885</v>
      </c>
      <c r="B34901" s="8" t="str">
        <f>HYPERLINK("https://twitter.com/Nurlitapasarib2","@Nurlitapasarib2")</f>
        <v>@Nurlitapasarib2</v>
      </c>
      <c r="C34901" s="8" t="s">
        <v>299</v>
      </c>
      <c r="D34901" s="8">
        <v>4737</v>
      </c>
      <c r="E34901" s="8">
        <v>0</v>
      </c>
      <c r="F34901" s="8">
        <v>4</v>
      </c>
    </row>
    <row r="34902" spans="1:6" ht="12.75">
      <c r="A34902" s="8">
        <v>43888.796689814815</v>
      </c>
      <c r="B34902" s="8" t="str">
        <f>HYPERLINK("https://twitter.com/Adikaputraaa_","@Adikaputraaa_")</f>
        <v>@Adikaputraaa_</v>
      </c>
      <c r="C34902" s="8" t="s">
        <v>13357</v>
      </c>
      <c r="D34902" s="8">
        <v>0</v>
      </c>
      <c r="E34902" s="8">
        <v>0</v>
      </c>
      <c r="F34902" s="8">
        <v>2415</v>
      </c>
    </row>
    <row r="34903" spans="1:6" ht="12.75">
      <c r="A34903" s="8">
        <v>43888.796481481477</v>
      </c>
      <c r="B34903" s="8" t="str">
        <f>HYPERLINK("https://twitter.com/jaqchrome","@jaqchrome")</f>
        <v>@jaqchrome</v>
      </c>
      <c r="C34903" s="8" t="s">
        <v>13358</v>
      </c>
      <c r="D34903" s="8">
        <v>0</v>
      </c>
      <c r="E34903" s="8">
        <v>0</v>
      </c>
      <c r="F34903" s="8">
        <v>2042</v>
      </c>
    </row>
    <row r="34904" spans="1:6" ht="12.75">
      <c r="A34904" s="8">
        <v>43888.796388888892</v>
      </c>
      <c r="B34904" s="8" t="str">
        <f>HYPERLINK("https://twitter.com/chairulachir","@chairulachir")</f>
        <v>@chairulachir</v>
      </c>
      <c r="C34904" s="8" t="s">
        <v>13359</v>
      </c>
      <c r="D34904" s="8">
        <v>1</v>
      </c>
      <c r="E34904" s="8">
        <v>0</v>
      </c>
      <c r="F34904" s="8">
        <v>2664</v>
      </c>
    </row>
    <row r="34905" spans="1:6" ht="12.75">
      <c r="A34905" s="8">
        <v>43888.796377314815</v>
      </c>
      <c r="B34905" s="8" t="str">
        <f>HYPERLINK("https://twitter.com/_wni_","@_wni_")</f>
        <v>@_wni_</v>
      </c>
      <c r="C34905" s="8" t="s">
        <v>13360</v>
      </c>
      <c r="D34905" s="8">
        <v>0</v>
      </c>
      <c r="E34905" s="8">
        <v>0</v>
      </c>
      <c r="F34905" s="8">
        <v>9</v>
      </c>
    </row>
    <row r="34906" spans="1:6" ht="12.75">
      <c r="A34906" s="8">
        <v>43888.796180555553</v>
      </c>
      <c r="B34906" s="8" t="str">
        <f>HYPERLINK("https://twitter.com/1cak__","@1cak__")</f>
        <v>@1cak__</v>
      </c>
      <c r="C34906" s="8" t="s">
        <v>13151</v>
      </c>
      <c r="D34906" s="8">
        <v>6</v>
      </c>
      <c r="E34906" s="8">
        <v>0</v>
      </c>
      <c r="F34906" s="8">
        <v>951</v>
      </c>
    </row>
    <row r="34907" spans="1:6" ht="12.75">
      <c r="A34907" s="8">
        <v>43888.79614583333</v>
      </c>
      <c r="B34907" s="8" t="str">
        <f>HYPERLINK("https://twitter.com/taufiqrast_","@taufiqrast_")</f>
        <v>@taufiqrast_</v>
      </c>
      <c r="C34907" s="8" t="s">
        <v>11102</v>
      </c>
      <c r="D34907" s="8">
        <v>27</v>
      </c>
      <c r="E34907" s="8">
        <v>0</v>
      </c>
      <c r="F34907" s="8">
        <v>582</v>
      </c>
    </row>
    <row r="34908" spans="1:6" ht="12.75">
      <c r="A34908" s="8">
        <v>43888.795717592591</v>
      </c>
      <c r="B34908" s="8" t="str">
        <f>HYPERLINK("https://twitter.com/wisanggeni_084","@wisanggeni_084")</f>
        <v>@wisanggeni_084</v>
      </c>
      <c r="C34908" s="8" t="s">
        <v>13325</v>
      </c>
      <c r="D34908" s="8">
        <v>451</v>
      </c>
      <c r="E34908" s="8">
        <v>0</v>
      </c>
      <c r="F34908" s="8">
        <v>16835</v>
      </c>
    </row>
    <row r="34909" spans="1:6" ht="12.75">
      <c r="A34909" s="8">
        <v>43888.795671296291</v>
      </c>
      <c r="B34909" s="8" t="str">
        <f>HYPERLINK("https://twitter.com/nitakhairi","@nitakhairi")</f>
        <v>@nitakhairi</v>
      </c>
      <c r="C34909" s="8" t="s">
        <v>6888</v>
      </c>
      <c r="D34909" s="8">
        <v>17</v>
      </c>
      <c r="E34909" s="8">
        <v>0</v>
      </c>
      <c r="F34909" s="8">
        <v>403</v>
      </c>
    </row>
    <row r="34910" spans="1:6" ht="12.75">
      <c r="A34910" s="8">
        <v>43888.79552083333</v>
      </c>
      <c r="B34910" s="8" t="str">
        <f>HYPERLINK("https://twitter.com/AnakKolong___","@AnakKolong___")</f>
        <v>@AnakKolong___</v>
      </c>
      <c r="C34910" s="8" t="s">
        <v>13325</v>
      </c>
      <c r="D34910" s="8">
        <v>451</v>
      </c>
      <c r="E34910" s="8">
        <v>0</v>
      </c>
      <c r="F34910" s="8">
        <v>7111</v>
      </c>
    </row>
    <row r="34911" spans="1:6" ht="12.75">
      <c r="A34911" s="8">
        <v>43888.795254629629</v>
      </c>
      <c r="B34911" s="8" t="str">
        <f>HYPERLINK("https://twitter.com/J_Aryoko","@J_Aryoko")</f>
        <v>@J_Aryoko</v>
      </c>
      <c r="C34911" s="8" t="s">
        <v>13361</v>
      </c>
      <c r="D34911" s="8">
        <v>0</v>
      </c>
      <c r="E34911" s="8">
        <v>0</v>
      </c>
      <c r="F34911" s="8">
        <v>1413</v>
      </c>
    </row>
    <row r="34912" spans="1:6" ht="12.75">
      <c r="A34912" s="8">
        <v>43888.795208333337</v>
      </c>
      <c r="B34912" s="8" t="str">
        <f>HYPERLINK("https://twitter.com/arkhaerash","@arkhaerash")</f>
        <v>@arkhaerash</v>
      </c>
      <c r="C34912" s="8" t="s">
        <v>13362</v>
      </c>
      <c r="D34912" s="8">
        <v>0</v>
      </c>
      <c r="E34912" s="8">
        <v>0</v>
      </c>
      <c r="F34912" s="8">
        <v>35</v>
      </c>
    </row>
    <row r="34913" spans="1:6" ht="12.75">
      <c r="A34913" s="8">
        <v>43888.794317129628</v>
      </c>
      <c r="B34913" s="8" t="str">
        <f>HYPERLINK("https://twitter.com/Deldel051296","@Deldel051296")</f>
        <v>@Deldel051296</v>
      </c>
      <c r="C34913" s="8" t="s">
        <v>13151</v>
      </c>
      <c r="D34913" s="8">
        <v>6</v>
      </c>
      <c r="E34913" s="8">
        <v>0</v>
      </c>
      <c r="F34913" s="8">
        <v>47</v>
      </c>
    </row>
    <row r="34914" spans="1:6" ht="12.75">
      <c r="A34914" s="8">
        <v>43888.794178240743</v>
      </c>
      <c r="B34914" s="8" t="str">
        <f>HYPERLINK("https://twitter.com/BadanBahasa","@BadanBahasa")</f>
        <v>@BadanBahasa</v>
      </c>
      <c r="C34914" s="8" t="s">
        <v>13363</v>
      </c>
      <c r="D34914" s="8">
        <v>0</v>
      </c>
      <c r="E34914" s="8">
        <v>0</v>
      </c>
      <c r="F34914" s="8">
        <v>61778</v>
      </c>
    </row>
    <row r="34915" spans="1:6" ht="12.75">
      <c r="A34915" s="8">
        <v>43888.794039351851</v>
      </c>
      <c r="B34915" s="8" t="str">
        <f>HYPERLINK("https://twitter.com/SunandarPS","@SunandarPS")</f>
        <v>@SunandarPS</v>
      </c>
      <c r="C34915" s="8" t="s">
        <v>13364</v>
      </c>
      <c r="D34915" s="8">
        <v>1</v>
      </c>
      <c r="E34915" s="8">
        <v>0</v>
      </c>
      <c r="F34915" s="8">
        <v>1092</v>
      </c>
    </row>
    <row r="34916" spans="1:6" ht="12.75">
      <c r="A34916" s="8">
        <v>43888.793402777781</v>
      </c>
      <c r="B34916" s="8" t="str">
        <f>HYPERLINK("https://twitter.com/kakiangbagoes","@kakiangbagoes")</f>
        <v>@kakiangbagoes</v>
      </c>
      <c r="C34916" s="8" t="s">
        <v>13325</v>
      </c>
      <c r="D34916" s="8">
        <v>451</v>
      </c>
      <c r="E34916" s="8">
        <v>0</v>
      </c>
      <c r="F34916" s="8">
        <v>1147</v>
      </c>
    </row>
    <row r="34917" spans="1:6" ht="12.75">
      <c r="A34917" s="8">
        <v>43888.793356481481</v>
      </c>
      <c r="B34917" s="8" t="str">
        <f>HYPERLINK("https://twitter.com/nandaP73","@nandaP73")</f>
        <v>@nandaP73</v>
      </c>
      <c r="C34917" s="8" t="s">
        <v>13365</v>
      </c>
      <c r="D34917" s="8">
        <v>890</v>
      </c>
      <c r="E34917" s="8">
        <v>0</v>
      </c>
      <c r="F34917" s="8">
        <v>494</v>
      </c>
    </row>
    <row r="34918" spans="1:6" ht="12.75">
      <c r="A34918" s="8">
        <v>43888.793344907404</v>
      </c>
      <c r="B34918" s="8" t="str">
        <f>HYPERLINK("https://twitter.com/republikaonline","@republikaonline")</f>
        <v>@republikaonline</v>
      </c>
      <c r="C34918" s="8" t="s">
        <v>13366</v>
      </c>
      <c r="D34918" s="8">
        <v>0</v>
      </c>
      <c r="E34918" s="8">
        <v>0</v>
      </c>
      <c r="F34918" s="8">
        <v>1214699</v>
      </c>
    </row>
    <row r="34919" spans="1:6" ht="12.75">
      <c r="A34919" s="8">
        <v>43888.792974537035</v>
      </c>
      <c r="B34919" s="8" t="str">
        <f>HYPERLINK("https://twitter.com/Avocado_Minhee","@Avocado_Minhee")</f>
        <v>@Avocado_Minhee</v>
      </c>
      <c r="C34919" s="8" t="s">
        <v>13367</v>
      </c>
      <c r="D34919" s="8">
        <v>0</v>
      </c>
      <c r="E34919" s="8">
        <v>1</v>
      </c>
      <c r="F34919" s="8">
        <v>556</v>
      </c>
    </row>
    <row r="34920" spans="1:6" ht="12.75">
      <c r="A34920" s="8">
        <v>43888.792800925927</v>
      </c>
      <c r="B34920" s="8" t="str">
        <f>HYPERLINK("https://twitter.com/7endralKad_run","@7endralKad_run")</f>
        <v>@7endralKad_run</v>
      </c>
      <c r="C34920" s="8" t="s">
        <v>13368</v>
      </c>
      <c r="D34920" s="8">
        <v>0</v>
      </c>
      <c r="E34920" s="8">
        <v>0</v>
      </c>
      <c r="F34920" s="8">
        <v>681</v>
      </c>
    </row>
    <row r="34921" spans="1:6" ht="12.75">
      <c r="A34921" s="8">
        <v>43888.792685185181</v>
      </c>
      <c r="B34921" s="8" t="str">
        <f>HYPERLINK("https://twitter.com/SaatTobat","@SaatTobat")</f>
        <v>@SaatTobat</v>
      </c>
      <c r="C34921" s="8" t="s">
        <v>13369</v>
      </c>
      <c r="D34921" s="8">
        <v>0</v>
      </c>
      <c r="E34921" s="8">
        <v>0</v>
      </c>
      <c r="F34921" s="8">
        <v>1250</v>
      </c>
    </row>
    <row r="34922" spans="1:6" ht="12.75">
      <c r="A34922" s="8">
        <v>43888.792037037041</v>
      </c>
      <c r="B34922" s="8" t="str">
        <f>HYPERLINK("https://twitter.com/bebek_beruang","@bebek_beruang")</f>
        <v>@bebek_beruang</v>
      </c>
      <c r="C34922" s="8" t="s">
        <v>13370</v>
      </c>
      <c r="D34922" s="8">
        <v>14</v>
      </c>
      <c r="E34922" s="8">
        <v>0</v>
      </c>
      <c r="F34922" s="8">
        <v>47</v>
      </c>
    </row>
    <row r="34923" spans="1:6" ht="12.75">
      <c r="A34923" s="8">
        <v>43888.791956018518</v>
      </c>
      <c r="B34923" s="8" t="str">
        <f>HYPERLINK("https://twitter.com/ekaliajajodoh","@ekaliajajodoh")</f>
        <v>@ekaliajajodoh</v>
      </c>
      <c r="C34923" s="8" t="s">
        <v>13273</v>
      </c>
      <c r="D34923" s="8">
        <v>9</v>
      </c>
      <c r="E34923" s="8">
        <v>0</v>
      </c>
      <c r="F34923" s="8">
        <v>258</v>
      </c>
    </row>
    <row r="34924" spans="1:6" ht="12.75">
      <c r="A34924" s="8">
        <v>43888.791921296295</v>
      </c>
      <c r="B34924" s="8" t="str">
        <f>HYPERLINK("https://twitter.com/VICE_ID","@VICE_ID")</f>
        <v>@VICE_ID</v>
      </c>
      <c r="C34924" s="8" t="s">
        <v>13371</v>
      </c>
      <c r="D34924" s="8">
        <v>6</v>
      </c>
      <c r="E34924" s="8">
        <v>14</v>
      </c>
      <c r="F34924" s="8">
        <v>241156</v>
      </c>
    </row>
    <row r="34925" spans="1:6" ht="12.75">
      <c r="A34925" s="8">
        <v>43888.791678240741</v>
      </c>
      <c r="B34925" s="8" t="str">
        <f>HYPERLINK("https://twitter.com/MeTubeID","@MeTubeID")</f>
        <v>@MeTubeID</v>
      </c>
      <c r="C34925" s="8" t="s">
        <v>13372</v>
      </c>
      <c r="D34925" s="8">
        <v>0</v>
      </c>
      <c r="E34925" s="8">
        <v>0</v>
      </c>
      <c r="F34925" s="8">
        <v>6307</v>
      </c>
    </row>
    <row r="34926" spans="1:6" ht="12.75">
      <c r="A34926" s="8">
        <v>43888.791365740741</v>
      </c>
      <c r="B34926" s="8" t="str">
        <f>HYPERLINK("https://twitter.com/ebithEBITH","@ebithEBITH")</f>
        <v>@ebithEBITH</v>
      </c>
      <c r="C34926" s="8" t="s">
        <v>13296</v>
      </c>
      <c r="D34926" s="8">
        <v>2</v>
      </c>
      <c r="E34926" s="8">
        <v>0</v>
      </c>
      <c r="F34926" s="8">
        <v>29556</v>
      </c>
    </row>
    <row r="34927" spans="1:6" ht="12.75">
      <c r="A34927" s="8">
        <v>43888.791122685187</v>
      </c>
      <c r="B34927" s="8" t="str">
        <f>HYPERLINK("https://twitter.com/kambingngamuk","@kambingngamuk")</f>
        <v>@kambingngamuk</v>
      </c>
      <c r="C34927" s="8" t="s">
        <v>13373</v>
      </c>
      <c r="D34927" s="8">
        <v>0</v>
      </c>
      <c r="E34927" s="8">
        <v>0</v>
      </c>
      <c r="F34927" s="8">
        <v>39</v>
      </c>
    </row>
    <row r="34928" spans="1:6" ht="12.75">
      <c r="A34928" s="8">
        <v>43888.790127314816</v>
      </c>
      <c r="B34928" s="8" t="str">
        <f>HYPERLINK("https://twitter.com/ISIS_Balik_NO","@ISIS_Balik_NO")</f>
        <v>@ISIS_Balik_NO</v>
      </c>
      <c r="C34928" s="8" t="s">
        <v>13374</v>
      </c>
      <c r="D34928" s="8">
        <v>60</v>
      </c>
      <c r="E34928" s="8">
        <v>0</v>
      </c>
      <c r="F34928" s="8">
        <v>6077</v>
      </c>
    </row>
    <row r="34929" spans="1:6" ht="12.75">
      <c r="A34929" s="8">
        <v>43888.790127314816</v>
      </c>
      <c r="B34929" s="8" t="str">
        <f>HYPERLINK("https://twitter.com/mediaacehco","@mediaacehco")</f>
        <v>@mediaacehco</v>
      </c>
      <c r="C34929" s="8" t="s">
        <v>13375</v>
      </c>
      <c r="D34929" s="8">
        <v>0</v>
      </c>
      <c r="E34929" s="8">
        <v>0</v>
      </c>
      <c r="F34929" s="8">
        <v>1393</v>
      </c>
    </row>
    <row r="34930" spans="1:6" ht="12.75">
      <c r="A34930" s="8">
        <v>43888.790104166663</v>
      </c>
      <c r="B34930" s="8" t="str">
        <f>HYPERLINK("https://twitter.com/kambingngamuk","@kambingngamuk")</f>
        <v>@kambingngamuk</v>
      </c>
      <c r="C34930" s="8" t="s">
        <v>13376</v>
      </c>
      <c r="D34930" s="8">
        <v>0</v>
      </c>
      <c r="E34930" s="8">
        <v>0</v>
      </c>
      <c r="F34930" s="8">
        <v>39</v>
      </c>
    </row>
    <row r="34931" spans="1:6" ht="12.75">
      <c r="A34931" s="8">
        <v>43888.789467592593</v>
      </c>
      <c r="B34931" s="8" t="str">
        <f>HYPERLINK("https://twitter.com/hardsgian","@hardsgian")</f>
        <v>@hardsgian</v>
      </c>
      <c r="C34931" s="8" t="s">
        <v>13377</v>
      </c>
      <c r="D34931" s="8">
        <v>0</v>
      </c>
      <c r="E34931" s="8">
        <v>0</v>
      </c>
      <c r="F34931" s="8">
        <v>82</v>
      </c>
    </row>
    <row r="34932" spans="1:6" ht="12.75">
      <c r="A34932" s="8">
        <v>43888.78869212963</v>
      </c>
      <c r="B34932" s="8" t="str">
        <f>HYPERLINK("https://twitter.com/WSuryasana","@WSuryasana")</f>
        <v>@WSuryasana</v>
      </c>
      <c r="C34932" s="8" t="s">
        <v>12730</v>
      </c>
      <c r="D34932" s="8">
        <v>64</v>
      </c>
      <c r="E34932" s="8">
        <v>0</v>
      </c>
      <c r="F34932" s="8">
        <v>5659</v>
      </c>
    </row>
    <row r="34933" spans="1:6" ht="12.75">
      <c r="A34933" s="8">
        <v>43888.788645833338</v>
      </c>
      <c r="B34933" s="8" t="str">
        <f>HYPERLINK("https://twitter.com/ElangLuck","@ElangLuck")</f>
        <v>@ElangLuck</v>
      </c>
      <c r="C34933" s="8" t="s">
        <v>12052</v>
      </c>
      <c r="D34933" s="8">
        <v>85</v>
      </c>
      <c r="E34933" s="8">
        <v>0</v>
      </c>
      <c r="F34933" s="8">
        <v>3033</v>
      </c>
    </row>
    <row r="34934" spans="1:6" ht="12.75">
      <c r="A34934" s="8">
        <v>43888.788587962961</v>
      </c>
      <c r="B34934" s="8" t="str">
        <f>HYPERLINK("https://twitter.com/MegaSimarmata","@MegaSimarmata")</f>
        <v>@MegaSimarmata</v>
      </c>
      <c r="C34934" s="8" t="s">
        <v>6888</v>
      </c>
      <c r="D34934" s="8">
        <v>17</v>
      </c>
      <c r="E34934" s="8">
        <v>0</v>
      </c>
      <c r="F34934" s="8">
        <v>20521</v>
      </c>
    </row>
    <row r="34935" spans="1:6" ht="12.75">
      <c r="A34935" s="8">
        <v>43888.788564814815</v>
      </c>
      <c r="B34935" s="8" t="str">
        <f>HYPERLINK("https://twitter.com/KompasTV","@KompasTV")</f>
        <v>@KompasTV</v>
      </c>
      <c r="C34935" s="8" t="s">
        <v>13378</v>
      </c>
      <c r="D34935" s="8">
        <v>2</v>
      </c>
      <c r="E34935" s="8">
        <v>2</v>
      </c>
      <c r="F34935" s="8">
        <v>2950266</v>
      </c>
    </row>
    <row r="34936" spans="1:6" ht="12.75">
      <c r="A34936" s="8">
        <v>43888.787453703699</v>
      </c>
      <c r="B34936" s="8" t="str">
        <f>HYPERLINK("https://twitter.com/ISIS_Balik_NO","@ISIS_Balik_NO")</f>
        <v>@ISIS_Balik_NO</v>
      </c>
      <c r="C34936" s="8" t="s">
        <v>13379</v>
      </c>
      <c r="D34936" s="8">
        <v>1</v>
      </c>
      <c r="E34936" s="8">
        <v>1</v>
      </c>
      <c r="F34936" s="8">
        <v>6077</v>
      </c>
    </row>
    <row r="34937" spans="1:6" ht="12.75">
      <c r="A34937" s="8">
        <v>43888.787442129629</v>
      </c>
      <c r="B34937" s="8" t="str">
        <f>HYPERLINK("https://twitter.com/angga_ramdhana","@angga_ramdhana")</f>
        <v>@angga_ramdhana</v>
      </c>
      <c r="C34937" s="8" t="s">
        <v>13380</v>
      </c>
      <c r="D34937" s="8">
        <v>0</v>
      </c>
      <c r="E34937" s="8">
        <v>0</v>
      </c>
      <c r="F34937" s="8">
        <v>336</v>
      </c>
    </row>
    <row r="34938" spans="1:6" ht="12.75">
      <c r="A34938" s="8">
        <v>43888.787152777775</v>
      </c>
      <c r="B34938" s="8" t="str">
        <f>HYPERLINK("https://twitter.com/dedekakanana","@dedekakanana")</f>
        <v>@dedekakanana</v>
      </c>
      <c r="C34938" s="8" t="s">
        <v>13381</v>
      </c>
      <c r="D34938" s="8">
        <v>0</v>
      </c>
      <c r="E34938" s="8">
        <v>1</v>
      </c>
      <c r="F34938" s="8">
        <v>101</v>
      </c>
    </row>
    <row r="34939" spans="1:6" ht="12.75">
      <c r="A34939" s="8">
        <v>43888.786886574075</v>
      </c>
      <c r="B34939" s="8" t="str">
        <f>HYPERLINK("https://twitter.com/LaingenLisa","@LaingenLisa")</f>
        <v>@LaingenLisa</v>
      </c>
      <c r="C34939" s="8" t="s">
        <v>13382</v>
      </c>
      <c r="D34939" s="8">
        <v>1</v>
      </c>
      <c r="E34939" s="8">
        <v>0</v>
      </c>
      <c r="F34939" s="8">
        <v>3432</v>
      </c>
    </row>
    <row r="34940" spans="1:6" ht="12.75">
      <c r="A34940" s="8">
        <v>43888.786712962959</v>
      </c>
      <c r="B34940" s="8" t="str">
        <f t="shared" ref="B34940:B34941" si="490">HYPERLINK("https://twitter.com/ISIS_Balik_NO","@ISIS_Balik_NO")</f>
        <v>@ISIS_Balik_NO</v>
      </c>
      <c r="C34940" s="8" t="s">
        <v>13383</v>
      </c>
      <c r="D34940" s="8">
        <v>748</v>
      </c>
      <c r="E34940" s="8">
        <v>0</v>
      </c>
      <c r="F34940" s="8">
        <v>6077</v>
      </c>
    </row>
    <row r="34941" spans="1:6" ht="12.75">
      <c r="A34941" s="8">
        <v>43888.786574074074</v>
      </c>
      <c r="B34941" s="8" t="str">
        <f t="shared" si="490"/>
        <v>@ISIS_Balik_NO</v>
      </c>
      <c r="C34941" s="8" t="s">
        <v>13384</v>
      </c>
      <c r="D34941" s="8">
        <v>0</v>
      </c>
      <c r="E34941" s="8">
        <v>2</v>
      </c>
      <c r="F34941" s="8">
        <v>6077</v>
      </c>
    </row>
    <row r="34942" spans="1:6" ht="12.75">
      <c r="A34942" s="8">
        <v>43888.786250000005</v>
      </c>
      <c r="B34942" s="8" t="str">
        <f>HYPERLINK("https://twitter.com/AryaWBPinatih47","@AryaWBPinatih47")</f>
        <v>@AryaWBPinatih47</v>
      </c>
      <c r="C34942" s="8" t="s">
        <v>11217</v>
      </c>
      <c r="D34942" s="8">
        <v>17</v>
      </c>
      <c r="E34942" s="8">
        <v>0</v>
      </c>
      <c r="F34942" s="8">
        <v>2321</v>
      </c>
    </row>
    <row r="34943" spans="1:6" ht="12.75">
      <c r="A34943" s="8">
        <v>43888.78606481482</v>
      </c>
      <c r="B34943" s="8" t="str">
        <f>HYPERLINK("https://twitter.com/Metro_TV","@Metro_TV")</f>
        <v>@Metro_TV</v>
      </c>
      <c r="C34943" s="8" t="s">
        <v>13385</v>
      </c>
      <c r="D34943" s="8">
        <v>1</v>
      </c>
      <c r="E34943" s="8">
        <v>2</v>
      </c>
      <c r="F34943" s="8">
        <v>10514108</v>
      </c>
    </row>
    <row r="34944" spans="1:6" ht="12.75">
      <c r="A34944" s="8">
        <v>43888.78601851852</v>
      </c>
      <c r="B34944" s="8" t="str">
        <f>HYPERLINK("https://twitter.com/HaziqKhalili","@HaziqKhalili")</f>
        <v>@HaziqKhalili</v>
      </c>
      <c r="C34944" s="8" t="s">
        <v>11102</v>
      </c>
      <c r="D34944" s="8">
        <v>27</v>
      </c>
      <c r="E34944" s="8">
        <v>0</v>
      </c>
      <c r="F34944" s="8">
        <v>351</v>
      </c>
    </row>
    <row r="34945" spans="1:6" ht="12.75">
      <c r="A34945" s="8">
        <v>43888.78601851852</v>
      </c>
      <c r="B34945" s="8" t="str">
        <f>HYPERLINK("https://twitter.com/PolsekSarang","@PolsekSarang")</f>
        <v>@PolsekSarang</v>
      </c>
      <c r="C34945" s="8" t="s">
        <v>13081</v>
      </c>
      <c r="D34945" s="8">
        <v>0</v>
      </c>
      <c r="E34945" s="8">
        <v>0</v>
      </c>
      <c r="F34945" s="8">
        <v>38</v>
      </c>
    </row>
    <row r="34946" spans="1:6" ht="12.75">
      <c r="A34946" s="8">
        <v>43888.78597222222</v>
      </c>
      <c r="B34946" s="8" t="str">
        <f>HYPERLINK("https://twitter.com/inisiklus","@inisiklus")</f>
        <v>@inisiklus</v>
      </c>
      <c r="C34946" s="8" t="s">
        <v>13386</v>
      </c>
      <c r="D34946" s="8">
        <v>0</v>
      </c>
      <c r="E34946" s="8">
        <v>0</v>
      </c>
      <c r="F34946" s="8">
        <v>9</v>
      </c>
    </row>
    <row r="34947" spans="1:6" ht="12.75">
      <c r="A34947" s="8">
        <v>43888.785902777774</v>
      </c>
      <c r="B34947" s="8" t="str">
        <f>HYPERLINK("https://twitter.com/a_nanaku","@a_nanaku")</f>
        <v>@a_nanaku</v>
      </c>
      <c r="C34947" s="8" t="s">
        <v>13387</v>
      </c>
      <c r="D34947" s="8">
        <v>0</v>
      </c>
      <c r="E34947" s="8">
        <v>0</v>
      </c>
      <c r="F34947" s="8">
        <v>207</v>
      </c>
    </row>
    <row r="34948" spans="1:6" ht="12.75">
      <c r="A34948" s="8">
        <v>43888.785775462966</v>
      </c>
      <c r="B34948" s="8" t="str">
        <f>HYPERLINK("https://twitter.com/HaloBCA","@HaloBCA")</f>
        <v>@HaloBCA</v>
      </c>
      <c r="C34948" s="8" t="s">
        <v>13388</v>
      </c>
      <c r="D34948" s="8">
        <v>0</v>
      </c>
      <c r="E34948" s="8">
        <v>0</v>
      </c>
      <c r="F34948" s="8">
        <v>232121</v>
      </c>
    </row>
    <row r="34949" spans="1:6" ht="12.75">
      <c r="A34949" s="8">
        <v>43888.785185185188</v>
      </c>
      <c r="B34949" s="8" t="str">
        <f>HYPERLINK("https://twitter.com/farizi_18","@farizi_18")</f>
        <v>@farizi_18</v>
      </c>
      <c r="C34949" s="8" t="s">
        <v>13389</v>
      </c>
      <c r="D34949" s="8">
        <v>0</v>
      </c>
      <c r="E34949" s="8">
        <v>0</v>
      </c>
      <c r="F34949" s="8">
        <v>325</v>
      </c>
    </row>
    <row r="34950" spans="1:6" ht="12.75">
      <c r="A34950" s="8">
        <v>43888.785034722227</v>
      </c>
      <c r="B34950" s="8" t="str">
        <f>HYPERLINK("https://twitter.com/YWidj","@YWidj")</f>
        <v>@YWidj</v>
      </c>
      <c r="C34950" s="8" t="s">
        <v>13370</v>
      </c>
      <c r="D34950" s="8">
        <v>14</v>
      </c>
      <c r="E34950" s="8">
        <v>0</v>
      </c>
      <c r="F34950" s="8">
        <v>185</v>
      </c>
    </row>
    <row r="34951" spans="1:6" ht="12.75">
      <c r="A34951" s="8">
        <v>43888.784918981481</v>
      </c>
      <c r="B34951" s="8" t="str">
        <f>HYPERLINK("https://twitter.com/KeraGunung","@KeraGunung")</f>
        <v>@KeraGunung</v>
      </c>
      <c r="C34951" s="8" t="s">
        <v>13390</v>
      </c>
      <c r="D34951" s="8">
        <v>0</v>
      </c>
      <c r="E34951" s="8">
        <v>1</v>
      </c>
      <c r="F34951" s="8">
        <v>2144</v>
      </c>
    </row>
    <row r="34952" spans="1:6" ht="12.75">
      <c r="A34952" s="8">
        <v>43888.784895833334</v>
      </c>
      <c r="B34952" s="8" t="str">
        <f>HYPERLINK("https://twitter.com/koyaaww","@koyaaww")</f>
        <v>@koyaaww</v>
      </c>
      <c r="C34952" s="8" t="s">
        <v>13391</v>
      </c>
      <c r="D34952" s="8">
        <v>0</v>
      </c>
      <c r="E34952" s="8">
        <v>0</v>
      </c>
      <c r="F34952" s="8">
        <v>64</v>
      </c>
    </row>
    <row r="34953" spans="1:6" ht="12.75">
      <c r="A34953" s="8">
        <v>43888.784710648149</v>
      </c>
      <c r="B34953" s="8" t="str">
        <f>HYPERLINK("https://twitter.com/sekriiit_","@sekriiit_")</f>
        <v>@sekriiit_</v>
      </c>
      <c r="C34953" s="8" t="s">
        <v>13392</v>
      </c>
      <c r="D34953" s="8">
        <v>1</v>
      </c>
      <c r="E34953" s="8">
        <v>0</v>
      </c>
      <c r="F34953" s="8">
        <v>276</v>
      </c>
    </row>
    <row r="34954" spans="1:6" ht="12.75">
      <c r="A34954" s="8">
        <v>43888.78460648148</v>
      </c>
      <c r="B34954" s="8" t="str">
        <f>HYPERLINK("https://twitter.com/rinigrace","@rinigrace")</f>
        <v>@rinigrace</v>
      </c>
      <c r="C34954" s="8" t="s">
        <v>12730</v>
      </c>
      <c r="D34954" s="8">
        <v>64</v>
      </c>
      <c r="E34954" s="8">
        <v>0</v>
      </c>
      <c r="F34954" s="8">
        <v>562</v>
      </c>
    </row>
    <row r="34955" spans="1:6" ht="12.75">
      <c r="A34955" s="8">
        <v>43888.784398148149</v>
      </c>
      <c r="B34955" s="8" t="str">
        <f>HYPERLINK("https://twitter.com/JhonniSinaga20","@JhonniSinaga20")</f>
        <v>@JhonniSinaga20</v>
      </c>
      <c r="C34955" s="8" t="s">
        <v>13393</v>
      </c>
      <c r="D34955" s="8">
        <v>0</v>
      </c>
      <c r="E34955" s="8">
        <v>1</v>
      </c>
      <c r="F34955" s="8">
        <v>552</v>
      </c>
    </row>
    <row r="34956" spans="1:6" ht="12.75">
      <c r="A34956" s="8">
        <v>43888.784270833334</v>
      </c>
      <c r="B34956" s="8" t="str">
        <f>HYPERLINK("https://twitter.com/WartawanPensiun","@WartawanPensiun")</f>
        <v>@WartawanPensiun</v>
      </c>
      <c r="C34956" s="8" t="s">
        <v>13394</v>
      </c>
      <c r="D34956" s="8">
        <v>1</v>
      </c>
      <c r="E34956" s="8">
        <v>2</v>
      </c>
      <c r="F34956" s="8">
        <v>6539</v>
      </c>
    </row>
    <row r="34957" spans="1:6" ht="12.75">
      <c r="A34957" s="8">
        <v>43888.783414351856</v>
      </c>
      <c r="B34957" s="8" t="str">
        <f>HYPERLINK("https://twitter.com/pei_prillie","@pei_prillie")</f>
        <v>@pei_prillie</v>
      </c>
      <c r="C34957" s="8" t="s">
        <v>13395</v>
      </c>
      <c r="D34957" s="8">
        <v>0</v>
      </c>
      <c r="E34957" s="8">
        <v>0</v>
      </c>
      <c r="F34957" s="8">
        <v>32</v>
      </c>
    </row>
    <row r="34958" spans="1:6" ht="12.75">
      <c r="A34958" s="8">
        <v>43888.783217592594</v>
      </c>
      <c r="B34958" s="8" t="str">
        <f t="shared" ref="B34958:B34959" si="491">HYPERLINK("https://twitter.com/MegaSimarmata","@MegaSimarmata")</f>
        <v>@MegaSimarmata</v>
      </c>
      <c r="C34958" s="8" t="s">
        <v>13396</v>
      </c>
      <c r="D34958" s="8">
        <v>0</v>
      </c>
      <c r="E34958" s="8">
        <v>1</v>
      </c>
      <c r="F34958" s="8">
        <v>20521</v>
      </c>
    </row>
    <row r="34959" spans="1:6" ht="12.75">
      <c r="A34959" s="8">
        <v>43888.783159722225</v>
      </c>
      <c r="B34959" s="8" t="str">
        <f t="shared" si="491"/>
        <v>@MegaSimarmata</v>
      </c>
      <c r="C34959" s="8" t="s">
        <v>13397</v>
      </c>
      <c r="D34959" s="8">
        <v>0</v>
      </c>
      <c r="E34959" s="8">
        <v>0</v>
      </c>
      <c r="F34959" s="8">
        <v>20521</v>
      </c>
    </row>
    <row r="34960" spans="1:6" ht="12.75">
      <c r="A34960" s="8">
        <v>43888.782789351855</v>
      </c>
      <c r="B34960" s="8" t="str">
        <f>HYPERLINK("https://twitter.com/AftonIlmanHud13","@AftonIlmanHud13")</f>
        <v>@AftonIlmanHud13</v>
      </c>
      <c r="C34960" s="8" t="s">
        <v>13398</v>
      </c>
      <c r="D34960" s="8">
        <v>1</v>
      </c>
      <c r="E34960" s="8">
        <v>0</v>
      </c>
      <c r="F34960" s="8">
        <v>2</v>
      </c>
    </row>
    <row r="34961" spans="1:6" ht="12.75">
      <c r="A34961" s="8">
        <v>43888.781817129631</v>
      </c>
      <c r="B34961" s="8" t="str">
        <f>HYPERLINK("https://twitter.com/ales_arema","@ales_arema")</f>
        <v>@ales_arema</v>
      </c>
      <c r="C34961" s="8" t="s">
        <v>13399</v>
      </c>
      <c r="D34961" s="8">
        <v>0</v>
      </c>
      <c r="E34961" s="8">
        <v>0</v>
      </c>
      <c r="F34961" s="8">
        <v>3622</v>
      </c>
    </row>
    <row r="34962" spans="1:6" ht="12.75">
      <c r="A34962" s="8">
        <v>43888.781145833331</v>
      </c>
      <c r="B34962" s="8" t="str">
        <f>HYPERLINK("https://twitter.com/wni_jmsri","@wni_jmsri")</f>
        <v>@wni_jmsri</v>
      </c>
      <c r="C34962" s="8" t="s">
        <v>13400</v>
      </c>
      <c r="D34962" s="8">
        <v>13814</v>
      </c>
      <c r="E34962" s="8">
        <v>0</v>
      </c>
      <c r="F34962" s="8">
        <v>199</v>
      </c>
    </row>
    <row r="34963" spans="1:6" ht="12.75">
      <c r="A34963" s="8">
        <v>43888.780706018515</v>
      </c>
      <c r="B34963" s="8" t="str">
        <f>HYPERLINK("https://twitter.com/7endralKad_run","@7endralKad_run")</f>
        <v>@7endralKad_run</v>
      </c>
      <c r="C34963" s="8" t="s">
        <v>13401</v>
      </c>
      <c r="D34963" s="8">
        <v>0</v>
      </c>
      <c r="E34963" s="8">
        <v>2</v>
      </c>
      <c r="F34963" s="8">
        <v>681</v>
      </c>
    </row>
    <row r="34964" spans="1:6" ht="12.75">
      <c r="A34964" s="8">
        <v>43888.780624999999</v>
      </c>
      <c r="B34964" s="8" t="str">
        <f>HYPERLINK("https://twitter.com/wni_jmsri","@wni_jmsri")</f>
        <v>@wni_jmsri</v>
      </c>
      <c r="C34964" s="8" t="s">
        <v>13402</v>
      </c>
      <c r="D34964" s="8">
        <v>12443</v>
      </c>
      <c r="E34964" s="8">
        <v>0</v>
      </c>
      <c r="F34964" s="8">
        <v>199</v>
      </c>
    </row>
    <row r="34965" spans="1:6" ht="12.75">
      <c r="A34965" s="8">
        <v>43888.780381944445</v>
      </c>
      <c r="B34965" s="8" t="str">
        <f>HYPERLINK("https://twitter.com/Capenk4","@Capenk4")</f>
        <v>@Capenk4</v>
      </c>
      <c r="C34965" s="8" t="s">
        <v>12730</v>
      </c>
      <c r="D34965" s="8">
        <v>64</v>
      </c>
      <c r="E34965" s="8">
        <v>0</v>
      </c>
      <c r="F34965" s="8">
        <v>371</v>
      </c>
    </row>
    <row r="34966" spans="1:6" ht="12.75">
      <c r="A34966" s="8">
        <v>43888.78019675926</v>
      </c>
      <c r="B34966" s="8" t="str">
        <f t="shared" ref="B34966:B34967" si="492">HYPERLINK("https://twitter.com/ISIS_Balik_NO","@ISIS_Balik_NO")</f>
        <v>@ISIS_Balik_NO</v>
      </c>
      <c r="C34966" s="8" t="s">
        <v>13403</v>
      </c>
      <c r="D34966" s="8">
        <v>18</v>
      </c>
      <c r="E34966" s="8">
        <v>0</v>
      </c>
      <c r="F34966" s="8">
        <v>6077</v>
      </c>
    </row>
    <row r="34967" spans="1:6" ht="12.75">
      <c r="A34967" s="8">
        <v>43888.780150462961</v>
      </c>
      <c r="B34967" s="8" t="str">
        <f t="shared" si="492"/>
        <v>@ISIS_Balik_NO</v>
      </c>
      <c r="C34967" s="8" t="s">
        <v>13404</v>
      </c>
      <c r="D34967" s="8">
        <v>18</v>
      </c>
      <c r="E34967" s="8">
        <v>0</v>
      </c>
      <c r="F34967" s="8">
        <v>6077</v>
      </c>
    </row>
    <row r="34968" spans="1:6" ht="12.75">
      <c r="A34968" s="8">
        <v>43888.780150462961</v>
      </c>
      <c r="B34968" s="8" t="str">
        <f>HYPERLINK("https://twitter.com/wni_jmsri","@wni_jmsri")</f>
        <v>@wni_jmsri</v>
      </c>
      <c r="C34968" s="8" t="s">
        <v>13405</v>
      </c>
      <c r="D34968" s="8">
        <v>232</v>
      </c>
      <c r="E34968" s="8">
        <v>0</v>
      </c>
      <c r="F34968" s="8">
        <v>199</v>
      </c>
    </row>
    <row r="34969" spans="1:6" ht="12.75">
      <c r="A34969" s="8">
        <v>43888.780115740738</v>
      </c>
      <c r="B34969" s="8" t="str">
        <f>HYPERLINK("https://twitter.com/ISIS_Balik_NO","@ISIS_Balik_NO")</f>
        <v>@ISIS_Balik_NO</v>
      </c>
      <c r="C34969" s="8" t="s">
        <v>13406</v>
      </c>
      <c r="D34969" s="8">
        <v>73</v>
      </c>
      <c r="E34969" s="8">
        <v>0</v>
      </c>
      <c r="F34969" s="8">
        <v>6077</v>
      </c>
    </row>
    <row r="34970" spans="1:6" ht="12.75">
      <c r="A34970" s="8">
        <v>43888.780046296291</v>
      </c>
      <c r="B34970" s="8" t="str">
        <f>HYPERLINK("https://twitter.com/AgusSal20448330","@AgusSal20448330")</f>
        <v>@AgusSal20448330</v>
      </c>
      <c r="C34970" s="8" t="s">
        <v>13407</v>
      </c>
      <c r="D34970" s="8">
        <v>0</v>
      </c>
      <c r="E34970" s="8">
        <v>0</v>
      </c>
      <c r="F34970" s="8">
        <v>1653</v>
      </c>
    </row>
    <row r="34971" spans="1:6" ht="12.75">
      <c r="A34971" s="8">
        <v>43888.779560185183</v>
      </c>
      <c r="B34971" s="8" t="str">
        <f>HYPERLINK("https://twitter.com/Frogenemy","@Frogenemy")</f>
        <v>@Frogenemy</v>
      </c>
      <c r="C34971" s="8" t="s">
        <v>13408</v>
      </c>
      <c r="D34971" s="8">
        <v>0</v>
      </c>
      <c r="E34971" s="8">
        <v>0</v>
      </c>
      <c r="F34971" s="8">
        <v>1676</v>
      </c>
    </row>
    <row r="34972" spans="1:6" ht="12.75">
      <c r="A34972" s="8">
        <v>43888.779305555552</v>
      </c>
      <c r="B34972" s="8" t="str">
        <f>HYPERLINK("https://twitter.com/dirgantra00","@dirgantra00")</f>
        <v>@dirgantra00</v>
      </c>
      <c r="C34972" s="8" t="s">
        <v>13409</v>
      </c>
      <c r="D34972" s="8">
        <v>9</v>
      </c>
      <c r="E34972" s="8">
        <v>0</v>
      </c>
      <c r="F34972" s="8">
        <v>803</v>
      </c>
    </row>
    <row r="34973" spans="1:6" ht="12.75">
      <c r="A34973" s="8">
        <v>43888.77915509259</v>
      </c>
      <c r="B34973" s="8" t="str">
        <f>HYPERLINK("https://twitter.com/mapanget777","@mapanget777")</f>
        <v>@mapanget777</v>
      </c>
      <c r="C34973" s="8" t="s">
        <v>8036</v>
      </c>
      <c r="D34973" s="8">
        <v>21</v>
      </c>
      <c r="E34973" s="8">
        <v>0</v>
      </c>
      <c r="F34973" s="8">
        <v>1198</v>
      </c>
    </row>
    <row r="34974" spans="1:6" ht="12.75">
      <c r="A34974" s="8">
        <v>43888.779131944444</v>
      </c>
      <c r="B34974" s="8" t="str">
        <f>HYPERLINK("https://twitter.com/wni_jmsri","@wni_jmsri")</f>
        <v>@wni_jmsri</v>
      </c>
      <c r="C34974" s="8" t="s">
        <v>13410</v>
      </c>
      <c r="D34974" s="8">
        <v>3664</v>
      </c>
      <c r="E34974" s="8">
        <v>0</v>
      </c>
      <c r="F34974" s="8">
        <v>199</v>
      </c>
    </row>
    <row r="34975" spans="1:6" ht="12.75">
      <c r="A34975" s="8">
        <v>43888.778807870374</v>
      </c>
      <c r="B34975" s="8" t="str">
        <f>HYPERLINK("https://twitter.com/thanatosaragoto","@thanatosaragoto")</f>
        <v>@thanatosaragoto</v>
      </c>
      <c r="C34975" s="8" t="s">
        <v>13411</v>
      </c>
      <c r="D34975" s="8">
        <v>0</v>
      </c>
      <c r="E34975" s="8">
        <v>0</v>
      </c>
      <c r="F34975" s="8">
        <v>491</v>
      </c>
    </row>
    <row r="34976" spans="1:6" ht="12.75">
      <c r="A34976" s="8">
        <v>43888.778738425928</v>
      </c>
      <c r="B34976" s="8" t="str">
        <f>HYPERLINK("https://twitter.com/dirgantra00","@dirgantra00")</f>
        <v>@dirgantra00</v>
      </c>
      <c r="C34976" s="8" t="s">
        <v>13412</v>
      </c>
      <c r="D34976" s="8">
        <v>20</v>
      </c>
      <c r="E34976" s="8">
        <v>0</v>
      </c>
      <c r="F34976" s="8">
        <v>803</v>
      </c>
    </row>
    <row r="34977" spans="1:6" ht="12.75">
      <c r="A34977" s="8">
        <v>43888.778680555552</v>
      </c>
      <c r="B34977" s="8" t="str">
        <f>HYPERLINK("https://twitter.com/ISIS_Balik_NO","@ISIS_Balik_NO")</f>
        <v>@ISIS_Balik_NO</v>
      </c>
      <c r="C34977" s="8" t="s">
        <v>13413</v>
      </c>
      <c r="D34977" s="8">
        <v>0</v>
      </c>
      <c r="E34977" s="8">
        <v>0</v>
      </c>
      <c r="F34977" s="8">
        <v>6077</v>
      </c>
    </row>
    <row r="34978" spans="1:6" ht="12.75">
      <c r="A34978" s="8">
        <v>43888.778425925921</v>
      </c>
      <c r="B34978" s="8" t="str">
        <f>HYPERLINK("https://twitter.com/Wahyu80801795","@Wahyu80801795")</f>
        <v>@Wahyu80801795</v>
      </c>
      <c r="C34978" s="8" t="s">
        <v>13414</v>
      </c>
      <c r="D34978" s="8">
        <v>0</v>
      </c>
      <c r="E34978" s="8">
        <v>0</v>
      </c>
      <c r="F34978" s="8">
        <v>5</v>
      </c>
    </row>
    <row r="34979" spans="1:6" ht="12.75">
      <c r="A34979" s="8">
        <v>43888.778402777782</v>
      </c>
      <c r="B34979" s="8" t="str">
        <f>HYPERLINK("https://twitter.com/radiantfairy__","@radiantfairy__")</f>
        <v>@radiantfairy__</v>
      </c>
      <c r="C34979" s="8" t="s">
        <v>12143</v>
      </c>
      <c r="D34979" s="8">
        <v>319</v>
      </c>
      <c r="E34979" s="8">
        <v>0</v>
      </c>
      <c r="F34979" s="8">
        <v>134</v>
      </c>
    </row>
    <row r="34980" spans="1:6" ht="12.75">
      <c r="A34980" s="8">
        <v>43888.778078703705</v>
      </c>
      <c r="B34980" s="8" t="str">
        <f>HYPERLINK("https://twitter.com/dirgantra00","@dirgantra00")</f>
        <v>@dirgantra00</v>
      </c>
      <c r="C34980" s="8" t="s">
        <v>13415</v>
      </c>
      <c r="D34980" s="8">
        <v>15</v>
      </c>
      <c r="E34980" s="8">
        <v>0</v>
      </c>
      <c r="F34980" s="8">
        <v>803</v>
      </c>
    </row>
    <row r="34981" spans="1:6" ht="12.75">
      <c r="A34981" s="8">
        <v>43888.777997685189</v>
      </c>
      <c r="B34981" s="8" t="str">
        <f>HYPERLINK("https://twitter.com/bjmnewscom","@bjmnewscom")</f>
        <v>@bjmnewscom</v>
      </c>
      <c r="C34981" s="8" t="s">
        <v>13169</v>
      </c>
      <c r="D34981" s="8">
        <v>0</v>
      </c>
      <c r="E34981" s="8">
        <v>0</v>
      </c>
      <c r="F34981" s="8">
        <v>837</v>
      </c>
    </row>
    <row r="34982" spans="1:6" ht="12.75">
      <c r="A34982" s="8">
        <v>43888.777847222227</v>
      </c>
      <c r="B34982" s="8" t="str">
        <f>HYPERLINK("https://twitter.com/alineadotid","@alineadotid")</f>
        <v>@alineadotid</v>
      </c>
      <c r="C34982" s="8" t="s">
        <v>13416</v>
      </c>
      <c r="D34982" s="8">
        <v>0</v>
      </c>
      <c r="E34982" s="8">
        <v>0</v>
      </c>
      <c r="F34982" s="8">
        <v>611769</v>
      </c>
    </row>
    <row r="34983" spans="1:6" ht="12.75">
      <c r="A34983" s="8">
        <v>43888.777511574073</v>
      </c>
      <c r="B34983" s="8" t="str">
        <f>HYPERLINK("https://twitter.com/delaft_","@delaft_")</f>
        <v>@delaft_</v>
      </c>
      <c r="C34983" s="8" t="s">
        <v>593</v>
      </c>
      <c r="D34983" s="8">
        <v>331</v>
      </c>
      <c r="E34983" s="8">
        <v>0</v>
      </c>
      <c r="F34983" s="8">
        <v>38</v>
      </c>
    </row>
    <row r="34984" spans="1:6" ht="12.75">
      <c r="A34984" s="8">
        <v>43888.777349537035</v>
      </c>
      <c r="B34984" s="8" t="str">
        <f>HYPERLINK("https://twitter.com/dirgantra00","@dirgantra00")</f>
        <v>@dirgantra00</v>
      </c>
      <c r="C34984" s="8" t="s">
        <v>13261</v>
      </c>
      <c r="D34984" s="8">
        <v>8</v>
      </c>
      <c r="E34984" s="8">
        <v>0</v>
      </c>
      <c r="F34984" s="8">
        <v>803</v>
      </c>
    </row>
    <row r="34985" spans="1:6" ht="12.75">
      <c r="A34985" s="8">
        <v>43888.777141203704</v>
      </c>
      <c r="B34985" s="8" t="str">
        <f>HYPERLINK("https://twitter.com/KekeySRiana","@KekeySRiana")</f>
        <v>@KekeySRiana</v>
      </c>
      <c r="C34985" s="8" t="s">
        <v>8036</v>
      </c>
      <c r="D34985" s="8">
        <v>21</v>
      </c>
      <c r="E34985" s="8">
        <v>0</v>
      </c>
      <c r="F34985" s="8">
        <v>1077</v>
      </c>
    </row>
    <row r="34986" spans="1:6" ht="12.75">
      <c r="A34986" s="8">
        <v>43888.776956018519</v>
      </c>
      <c r="B34986" s="8" t="str">
        <f>HYPERLINK("https://twitter.com/vrilsnubia","@vrilsnubia")</f>
        <v>@vrilsnubia</v>
      </c>
      <c r="C34986" s="8" t="s">
        <v>12730</v>
      </c>
      <c r="D34986" s="8">
        <v>64</v>
      </c>
      <c r="E34986" s="8">
        <v>0</v>
      </c>
      <c r="F34986" s="8">
        <v>1598</v>
      </c>
    </row>
    <row r="34987" spans="1:6" ht="12.75">
      <c r="A34987" s="8">
        <v>43888.77679398148</v>
      </c>
      <c r="B34987" s="8" t="str">
        <f>HYPERLINK("https://twitter.com/farabiillyas","@farabiillyas")</f>
        <v>@farabiillyas</v>
      </c>
      <c r="C34987" s="8" t="s">
        <v>13417</v>
      </c>
      <c r="D34987" s="8">
        <v>0</v>
      </c>
      <c r="E34987" s="8">
        <v>0</v>
      </c>
      <c r="F34987" s="8">
        <v>303</v>
      </c>
    </row>
    <row r="34988" spans="1:6" ht="12.75">
      <c r="A34988" s="8">
        <v>43888.776712962965</v>
      </c>
      <c r="B34988" s="8" t="str">
        <f>HYPERLINK("https://twitter.com/AnakKolong___","@AnakKolong___")</f>
        <v>@AnakKolong___</v>
      </c>
      <c r="C34988" s="8" t="s">
        <v>13418</v>
      </c>
      <c r="D34988" s="8">
        <v>2</v>
      </c>
      <c r="E34988" s="8">
        <v>0</v>
      </c>
      <c r="F34988" s="8">
        <v>7111</v>
      </c>
    </row>
    <row r="34989" spans="1:6" ht="12.75">
      <c r="A34989" s="8">
        <v>43888.776631944449</v>
      </c>
      <c r="B34989" s="8" t="str">
        <f>HYPERLINK("https://twitter.com/AmstrongBiring","@AmstrongBiring")</f>
        <v>@AmstrongBiring</v>
      </c>
      <c r="C34989" s="8" t="s">
        <v>13419</v>
      </c>
      <c r="D34989" s="8">
        <v>5</v>
      </c>
      <c r="E34989" s="8">
        <v>0</v>
      </c>
      <c r="F34989" s="8">
        <v>1978</v>
      </c>
    </row>
    <row r="34990" spans="1:6" ht="12.75">
      <c r="A34990" s="8">
        <v>43888.776400462964</v>
      </c>
      <c r="B34990" s="8" t="str">
        <f>HYPERLINK("https://twitter.com/alfionex","@alfionex")</f>
        <v>@alfionex</v>
      </c>
      <c r="C34990" s="8" t="s">
        <v>8036</v>
      </c>
      <c r="D34990" s="8">
        <v>21</v>
      </c>
      <c r="E34990" s="8">
        <v>0</v>
      </c>
      <c r="F34990" s="8">
        <v>2596</v>
      </c>
    </row>
    <row r="34991" spans="1:6" ht="12.75">
      <c r="A34991" s="8">
        <v>43888.776076388887</v>
      </c>
      <c r="B34991" s="8" t="str">
        <f>HYPERLINK("https://twitter.com/wonderrkidz","@wonderrkidz")</f>
        <v>@wonderrkidz</v>
      </c>
      <c r="C34991" s="8" t="s">
        <v>13420</v>
      </c>
      <c r="D34991" s="8">
        <v>0</v>
      </c>
      <c r="E34991" s="8">
        <v>0</v>
      </c>
      <c r="F34991" s="8">
        <v>352</v>
      </c>
    </row>
    <row r="34992" spans="1:6" ht="12.75">
      <c r="A34992" s="8">
        <v>43888.776006944448</v>
      </c>
      <c r="B34992" s="8" t="str">
        <f>HYPERLINK("https://twitter.com/erinsnote","@erinsnote")</f>
        <v>@erinsnote</v>
      </c>
      <c r="C34992" s="8" t="s">
        <v>13421</v>
      </c>
      <c r="D34992" s="8">
        <v>0</v>
      </c>
      <c r="E34992" s="8">
        <v>0</v>
      </c>
      <c r="F34992" s="8">
        <v>1847</v>
      </c>
    </row>
    <row r="34993" spans="1:6" ht="12.75">
      <c r="A34993" s="8">
        <v>43888.775972222225</v>
      </c>
      <c r="B34993" s="8" t="str">
        <f>HYPERLINK("https://twitter.com/Cako26026386","@Cako26026386")</f>
        <v>@Cako26026386</v>
      </c>
      <c r="C34993" s="8" t="s">
        <v>4785</v>
      </c>
      <c r="D34993" s="8">
        <v>447</v>
      </c>
      <c r="E34993" s="8">
        <v>0</v>
      </c>
      <c r="F34993" s="8">
        <v>0</v>
      </c>
    </row>
    <row r="34994" spans="1:6" ht="12.75">
      <c r="A34994" s="8">
        <v>43888.775891203702</v>
      </c>
      <c r="B34994" s="8" t="str">
        <f>HYPERLINK("https://twitter.com/dipayon17","@dipayon17")</f>
        <v>@dipayon17</v>
      </c>
      <c r="C34994" s="8" t="s">
        <v>13422</v>
      </c>
      <c r="D34994" s="8">
        <v>6</v>
      </c>
      <c r="E34994" s="8">
        <v>0</v>
      </c>
      <c r="F34994" s="8">
        <v>1</v>
      </c>
    </row>
    <row r="34995" spans="1:6" ht="12.75">
      <c r="A34995" s="8">
        <v>43888.77506944444</v>
      </c>
      <c r="B34995" s="8" t="str">
        <f>HYPERLINK("https://twitter.com/smartizen_","@smartizen_")</f>
        <v>@smartizen_</v>
      </c>
      <c r="C34995" s="8" t="s">
        <v>13423</v>
      </c>
      <c r="D34995" s="8">
        <v>0</v>
      </c>
      <c r="E34995" s="8">
        <v>0</v>
      </c>
      <c r="F34995" s="8">
        <v>1060</v>
      </c>
    </row>
    <row r="34996" spans="1:6" ht="12.75">
      <c r="A34996" s="8">
        <v>43888.756770833337</v>
      </c>
      <c r="B34996" s="8" t="str">
        <f>HYPERLINK("https://twitter.com/nyimasraturafa","@nyimasraturafa")</f>
        <v>@nyimasraturafa</v>
      </c>
      <c r="C34996" s="8" t="s">
        <v>13424</v>
      </c>
      <c r="D34996" s="8">
        <v>0</v>
      </c>
      <c r="E34996" s="8">
        <v>0</v>
      </c>
      <c r="F34996" s="8">
        <v>60</v>
      </c>
    </row>
    <row r="34997" spans="1:6" ht="12.75">
      <c r="A34997" s="8">
        <v>43888.756203703699</v>
      </c>
      <c r="B34997" s="8" t="str">
        <f>HYPERLINK("https://twitter.com/ryolandafit","@ryolandafit")</f>
        <v>@ryolandafit</v>
      </c>
      <c r="C34997" s="8" t="s">
        <v>13425</v>
      </c>
      <c r="D34997" s="8">
        <v>3</v>
      </c>
      <c r="E34997" s="8">
        <v>0</v>
      </c>
      <c r="F34997" s="8">
        <v>652</v>
      </c>
    </row>
    <row r="34998" spans="1:6" ht="12.75">
      <c r="A34998" s="8">
        <v>43888.756053240737</v>
      </c>
      <c r="B34998" s="8" t="str">
        <f>HYPERLINK("https://twitter.com/AKampretos","@AKampretos")</f>
        <v>@AKampretos</v>
      </c>
      <c r="C34998" s="8" t="s">
        <v>13426</v>
      </c>
      <c r="D34998" s="8">
        <v>0</v>
      </c>
      <c r="E34998" s="8">
        <v>0</v>
      </c>
      <c r="F34998" s="8">
        <v>329</v>
      </c>
    </row>
    <row r="34999" spans="1:6" ht="12.75">
      <c r="A34999" s="8">
        <v>43888.756041666667</v>
      </c>
      <c r="B34999" s="8" t="str">
        <f>HYPERLINK("https://twitter.com/Ayo_Memilih","@Ayo_Memilih")</f>
        <v>@Ayo_Memilih</v>
      </c>
      <c r="C34999" s="8" t="s">
        <v>13427</v>
      </c>
      <c r="D34999" s="8">
        <v>2</v>
      </c>
      <c r="E34999" s="8">
        <v>0</v>
      </c>
      <c r="F34999" s="8">
        <v>2155</v>
      </c>
    </row>
    <row r="35000" spans="1:6" ht="12.75">
      <c r="A35000" s="8">
        <v>43888.755625000005</v>
      </c>
      <c r="B35000" s="8" t="str">
        <f>HYPERLINK("https://twitter.com/nnyzhuxin","@nnyzhuxin")</f>
        <v>@nnyzhuxin</v>
      </c>
      <c r="C35000" s="8" t="s">
        <v>13428</v>
      </c>
      <c r="D35000" s="8">
        <v>5</v>
      </c>
      <c r="E35000" s="8">
        <v>0</v>
      </c>
      <c r="F35000" s="8">
        <v>12086</v>
      </c>
    </row>
    <row r="35001" spans="1:6" ht="12.75">
      <c r="A35001" s="8">
        <v>43888.755266203705</v>
      </c>
      <c r="B35001" s="8" t="str">
        <f>HYPERLINK("https://twitter.com/durysna","@durysna")</f>
        <v>@durysna</v>
      </c>
      <c r="C35001" s="8" t="s">
        <v>8036</v>
      </c>
      <c r="D35001" s="8">
        <v>14</v>
      </c>
      <c r="E35001" s="8">
        <v>0</v>
      </c>
      <c r="F35001" s="8">
        <v>2449</v>
      </c>
    </row>
    <row r="35002" spans="1:6" ht="12.75">
      <c r="A35002" s="8">
        <v>43888.75476851852</v>
      </c>
      <c r="B35002" s="8" t="str">
        <f>HYPERLINK("https://twitter.com/pengelana_10dua","@pengelana_10dua")</f>
        <v>@pengelana_10dua</v>
      </c>
      <c r="C35002" s="8" t="s">
        <v>13429</v>
      </c>
      <c r="D35002" s="8">
        <v>0</v>
      </c>
      <c r="E35002" s="8">
        <v>0</v>
      </c>
      <c r="F35002" s="8">
        <v>551</v>
      </c>
    </row>
    <row r="35003" spans="1:6" ht="12.75">
      <c r="A35003" s="8">
        <v>43888.754745370374</v>
      </c>
      <c r="B35003" s="8" t="str">
        <f>HYPERLINK("https://twitter.com/TjahyoUnky","@TjahyoUnky")</f>
        <v>@TjahyoUnky</v>
      </c>
      <c r="C35003" s="8" t="s">
        <v>12977</v>
      </c>
      <c r="D35003" s="8">
        <v>6</v>
      </c>
      <c r="E35003" s="8">
        <v>0</v>
      </c>
      <c r="F35003" s="8">
        <v>2333</v>
      </c>
    </row>
    <row r="35004" spans="1:6" ht="12.75">
      <c r="A35004" s="8">
        <v>43888.754236111112</v>
      </c>
      <c r="B35004" s="8" t="str">
        <f>HYPERLINK("https://twitter.com/r0nggo05","@r0nggo05")</f>
        <v>@r0nggo05</v>
      </c>
      <c r="C35004" s="8" t="s">
        <v>13430</v>
      </c>
      <c r="D35004" s="8">
        <v>2</v>
      </c>
      <c r="E35004" s="8">
        <v>0</v>
      </c>
      <c r="F35004" s="8">
        <v>326</v>
      </c>
    </row>
    <row r="35005" spans="1:6" ht="12.75">
      <c r="A35005" s="8">
        <v>43888.753888888888</v>
      </c>
      <c r="B35005" s="8" t="str">
        <f>HYPERLINK("https://twitter.com/validnewsco","@validnewsco")</f>
        <v>@validnewsco</v>
      </c>
      <c r="C35005" s="8" t="s">
        <v>13431</v>
      </c>
      <c r="D35005" s="8">
        <v>0</v>
      </c>
      <c r="E35005" s="8">
        <v>0</v>
      </c>
      <c r="F35005" s="8">
        <v>32898</v>
      </c>
    </row>
    <row r="35006" spans="1:6" ht="12.75">
      <c r="A35006" s="8">
        <v>43888.753750000003</v>
      </c>
      <c r="B35006" s="8" t="str">
        <f>HYPERLINK("https://twitter.com/Jaewongsingsong","@Jaewongsingsong")</f>
        <v>@Jaewongsingsong</v>
      </c>
      <c r="C35006" s="8" t="s">
        <v>8036</v>
      </c>
      <c r="D35006" s="8">
        <v>14</v>
      </c>
      <c r="E35006" s="8">
        <v>0</v>
      </c>
      <c r="F35006" s="8">
        <v>843</v>
      </c>
    </row>
    <row r="35007" spans="1:6" ht="12.75">
      <c r="A35007" s="8">
        <v>43888.753472222219</v>
      </c>
      <c r="B35007" s="8" t="str">
        <f>HYPERLINK("https://twitter.com/bangkitriambada","@bangkitriambada")</f>
        <v>@bangkitriambada</v>
      </c>
      <c r="C35007" s="8" t="s">
        <v>13432</v>
      </c>
      <c r="D35007" s="8">
        <v>4</v>
      </c>
      <c r="E35007" s="8">
        <v>0</v>
      </c>
      <c r="F35007" s="8">
        <v>200</v>
      </c>
    </row>
    <row r="35008" spans="1:6" ht="12.75">
      <c r="A35008" s="8">
        <v>43888.753437499996</v>
      </c>
      <c r="B35008" s="8" t="str">
        <f>HYPERLINK("https://twitter.com/IwanPsycho","@IwanPsycho")</f>
        <v>@IwanPsycho</v>
      </c>
      <c r="C35008" s="8" t="s">
        <v>2941</v>
      </c>
      <c r="D35008" s="8">
        <v>1076</v>
      </c>
      <c r="E35008" s="8">
        <v>0</v>
      </c>
      <c r="F35008" s="8">
        <v>231</v>
      </c>
    </row>
    <row r="35009" spans="1:6" ht="12.75">
      <c r="A35009" s="8">
        <v>43888.753333333334</v>
      </c>
      <c r="B35009" s="8" t="str">
        <f>HYPERLINK("https://twitter.com/bangkitriambada","@bangkitriambada")</f>
        <v>@bangkitriambada</v>
      </c>
      <c r="C35009" s="8" t="s">
        <v>13433</v>
      </c>
      <c r="D35009" s="8">
        <v>1</v>
      </c>
      <c r="E35009" s="8">
        <v>0</v>
      </c>
      <c r="F35009" s="8">
        <v>200</v>
      </c>
    </row>
    <row r="35010" spans="1:6" ht="12.75">
      <c r="A35010" s="8">
        <v>43888.753078703703</v>
      </c>
      <c r="B35010" s="8" t="str">
        <f>HYPERLINK("https://twitter.com/ir_yes","@ir_yes")</f>
        <v>@ir_yes</v>
      </c>
      <c r="C35010" s="8" t="s">
        <v>11102</v>
      </c>
      <c r="D35010" s="8">
        <v>23</v>
      </c>
      <c r="E35010" s="8">
        <v>0</v>
      </c>
      <c r="F35010" s="8">
        <v>261</v>
      </c>
    </row>
    <row r="35011" spans="1:6" ht="12.75">
      <c r="A35011" s="8">
        <v>43888.752812499995</v>
      </c>
      <c r="B35011" s="8" t="str">
        <f>HYPERLINK("https://twitter.com/kompascom","@kompascom")</f>
        <v>@kompascom</v>
      </c>
      <c r="C35011" s="8" t="s">
        <v>13434</v>
      </c>
      <c r="D35011" s="8">
        <v>2</v>
      </c>
      <c r="E35011" s="8">
        <v>4</v>
      </c>
      <c r="F35011" s="8">
        <v>7515652</v>
      </c>
    </row>
    <row r="35012" spans="1:6" ht="12.75">
      <c r="A35012" s="8">
        <v>43888.752754629633</v>
      </c>
      <c r="B35012" s="8" t="str">
        <f t="shared" ref="B35012:B35013" si="493">HYPERLINK("https://twitter.com/bangkitriambada","@bangkitriambada")</f>
        <v>@bangkitriambada</v>
      </c>
      <c r="C35012" s="8" t="s">
        <v>13435</v>
      </c>
      <c r="D35012" s="8">
        <v>1</v>
      </c>
      <c r="E35012" s="8">
        <v>0</v>
      </c>
      <c r="F35012" s="8">
        <v>200</v>
      </c>
    </row>
    <row r="35013" spans="1:6" ht="12.75">
      <c r="A35013" s="8">
        <v>43888.752650462964</v>
      </c>
      <c r="B35013" s="8" t="str">
        <f t="shared" si="493"/>
        <v>@bangkitriambada</v>
      </c>
      <c r="C35013" s="8" t="s">
        <v>13436</v>
      </c>
      <c r="D35013" s="8">
        <v>1</v>
      </c>
      <c r="E35013" s="8">
        <v>0</v>
      </c>
      <c r="F35013" s="8">
        <v>200</v>
      </c>
    </row>
    <row r="35014" spans="1:6" ht="12.75">
      <c r="A35014" s="8">
        <v>43888.752500000002</v>
      </c>
      <c r="B35014" s="8" t="str">
        <f>HYPERLINK("https://twitter.com/dikaguzana","@dikaguzana")</f>
        <v>@dikaguzana</v>
      </c>
      <c r="C35014" s="8" t="s">
        <v>13437</v>
      </c>
      <c r="D35014" s="8">
        <v>0</v>
      </c>
      <c r="E35014" s="8">
        <v>0</v>
      </c>
      <c r="F35014" s="8">
        <v>397</v>
      </c>
    </row>
    <row r="35015" spans="1:6" ht="12.75">
      <c r="A35015" s="8">
        <v>43888.752175925925</v>
      </c>
      <c r="B35015" s="8" t="str">
        <f>HYPERLINK("https://twitter.com/rzlf27_","@rzlf27_")</f>
        <v>@rzlf27_</v>
      </c>
      <c r="C35015" s="8" t="s">
        <v>1318</v>
      </c>
      <c r="D35015" s="8">
        <v>23253</v>
      </c>
      <c r="E35015" s="8">
        <v>0</v>
      </c>
      <c r="F35015" s="8">
        <v>16</v>
      </c>
    </row>
    <row r="35016" spans="1:6" ht="12.75">
      <c r="A35016" s="8">
        <v>43888.752037037033</v>
      </c>
      <c r="B35016" s="8" t="str">
        <f>HYPERLINK("https://twitter.com/rofiqsetiawan","@rofiqsetiawan")</f>
        <v>@rofiqsetiawan</v>
      </c>
      <c r="C35016" s="8" t="s">
        <v>6888</v>
      </c>
      <c r="D35016" s="8">
        <v>11</v>
      </c>
      <c r="E35016" s="8">
        <v>0</v>
      </c>
      <c r="F35016" s="8">
        <v>232</v>
      </c>
    </row>
    <row r="35017" spans="1:6" ht="12.75">
      <c r="A35017" s="8">
        <v>43888.751886574071</v>
      </c>
      <c r="B35017" s="8" t="str">
        <f>HYPERLINK("https://twitter.com/maklumatID","@maklumatID")</f>
        <v>@maklumatID</v>
      </c>
      <c r="C35017" s="8" t="s">
        <v>13438</v>
      </c>
      <c r="D35017" s="8">
        <v>0</v>
      </c>
      <c r="E35017" s="8">
        <v>0</v>
      </c>
      <c r="F35017" s="8">
        <v>79</v>
      </c>
    </row>
    <row r="35018" spans="1:6" ht="12.75">
      <c r="A35018" s="8">
        <v>43888.751238425924</v>
      </c>
      <c r="B35018" s="8" t="str">
        <f>HYPERLINK("https://twitter.com/RMasdjoeri","@RMasdjoeri")</f>
        <v>@RMasdjoeri</v>
      </c>
      <c r="C35018" s="8" t="s">
        <v>13439</v>
      </c>
      <c r="D35018" s="8">
        <v>0</v>
      </c>
      <c r="E35018" s="8">
        <v>1</v>
      </c>
      <c r="F35018" s="8">
        <v>74</v>
      </c>
    </row>
    <row r="35019" spans="1:6" ht="12.75">
      <c r="A35019" s="8">
        <v>43888.75100694444</v>
      </c>
      <c r="B35019" s="8" t="str">
        <f>HYPERLINK("https://twitter.com/goenawangn","@goenawangn")</f>
        <v>@goenawangn</v>
      </c>
      <c r="C35019" s="8" t="s">
        <v>13440</v>
      </c>
      <c r="D35019" s="8">
        <v>0</v>
      </c>
      <c r="E35019" s="8">
        <v>0</v>
      </c>
      <c r="F35019" s="8">
        <v>629</v>
      </c>
    </row>
    <row r="35020" spans="1:6" ht="12.75">
      <c r="A35020" s="8">
        <v>43888.750972222224</v>
      </c>
      <c r="B35020" s="8" t="str">
        <f>HYPERLINK("https://twitter.com/aechadaey","@aechadaey")</f>
        <v>@aechadaey</v>
      </c>
      <c r="C35020" s="8" t="s">
        <v>13441</v>
      </c>
      <c r="D35020" s="8">
        <v>0</v>
      </c>
      <c r="E35020" s="8">
        <v>0</v>
      </c>
      <c r="F35020" s="8">
        <v>253</v>
      </c>
    </row>
    <row r="35021" spans="1:6" ht="12.75">
      <c r="A35021" s="8">
        <v>43888.750497685185</v>
      </c>
      <c r="B35021" s="8" t="str">
        <f>HYPERLINK("https://twitter.com/iaz_Raswandhi","@iaz_Raswandhi")</f>
        <v>@iaz_Raswandhi</v>
      </c>
      <c r="C35021" s="8" t="s">
        <v>11773</v>
      </c>
      <c r="D35021" s="8">
        <v>421</v>
      </c>
      <c r="E35021" s="8">
        <v>0</v>
      </c>
      <c r="F35021" s="8">
        <v>312</v>
      </c>
    </row>
    <row r="35022" spans="1:6" ht="12.75">
      <c r="A35022" s="8">
        <v>43888.750300925924</v>
      </c>
      <c r="B35022" s="8" t="str">
        <f>HYPERLINK("https://twitter.com/RMasdjoeri","@RMasdjoeri")</f>
        <v>@RMasdjoeri</v>
      </c>
      <c r="C35022" s="8" t="s">
        <v>13442</v>
      </c>
      <c r="D35022" s="8">
        <v>0</v>
      </c>
      <c r="E35022" s="8">
        <v>1</v>
      </c>
      <c r="F35022" s="8">
        <v>74</v>
      </c>
    </row>
    <row r="35023" spans="1:6" ht="12.75">
      <c r="A35023" s="8">
        <v>43888.750034722223</v>
      </c>
      <c r="B35023" s="8" t="str">
        <f>HYPERLINK("https://twitter.com/rmol_id","@rmol_id")</f>
        <v>@rmol_id</v>
      </c>
      <c r="C35023" s="8" t="s">
        <v>13443</v>
      </c>
      <c r="D35023" s="8">
        <v>0</v>
      </c>
      <c r="E35023" s="8">
        <v>2</v>
      </c>
      <c r="F35023" s="8">
        <v>166616</v>
      </c>
    </row>
    <row r="35024" spans="1:6" ht="12.75">
      <c r="A35024" s="8">
        <v>43888.749826388885</v>
      </c>
      <c r="B35024" s="8" t="str">
        <f>HYPERLINK("https://twitter.com/haswan71511172","@haswan71511172")</f>
        <v>@haswan71511172</v>
      </c>
      <c r="C35024" s="8" t="s">
        <v>12143</v>
      </c>
      <c r="D35024" s="8">
        <v>318</v>
      </c>
      <c r="E35024" s="8">
        <v>0</v>
      </c>
      <c r="F35024" s="8">
        <v>43</v>
      </c>
    </row>
    <row r="35025" spans="1:6" ht="12.75">
      <c r="A35025" s="8">
        <v>43888.74936342593</v>
      </c>
      <c r="B35025" s="8" t="str">
        <f>HYPERLINK("https://twitter.com/dharam2509","@dharam2509")</f>
        <v>@dharam2509</v>
      </c>
      <c r="C35025" s="8" t="s">
        <v>13444</v>
      </c>
      <c r="D35025" s="8">
        <v>0</v>
      </c>
      <c r="E35025" s="8">
        <v>0</v>
      </c>
      <c r="F35025" s="8">
        <v>568</v>
      </c>
    </row>
    <row r="35026" spans="1:6" ht="12.75">
      <c r="A35026" s="8">
        <v>43888.74931712963</v>
      </c>
      <c r="B35026" s="8" t="str">
        <f>HYPERLINK("https://twitter.com/Alichtirom14","@Alichtirom14")</f>
        <v>@Alichtirom14</v>
      </c>
      <c r="C35026" s="8" t="s">
        <v>11338</v>
      </c>
      <c r="D35026" s="8">
        <v>2</v>
      </c>
      <c r="E35026" s="8">
        <v>0</v>
      </c>
      <c r="F35026" s="8">
        <v>291</v>
      </c>
    </row>
    <row r="35027" spans="1:6" ht="12.75">
      <c r="A35027" s="8">
        <v>43888.749293981484</v>
      </c>
      <c r="B35027" s="8" t="str">
        <f>HYPERLINK("https://twitter.com/Sastroklengsre1","@Sastroklengsre1")</f>
        <v>@Sastroklengsre1</v>
      </c>
      <c r="C35027" s="8" t="s">
        <v>8036</v>
      </c>
      <c r="D35027" s="8">
        <v>14</v>
      </c>
      <c r="E35027" s="8">
        <v>0</v>
      </c>
      <c r="F35027" s="8">
        <v>2505</v>
      </c>
    </row>
    <row r="35028" spans="1:6" ht="12.75">
      <c r="A35028" s="8">
        <v>43888.749224537038</v>
      </c>
      <c r="B35028" s="8" t="str">
        <f>HYPERLINK("https://twitter.com/sikecilmarmut","@sikecilmarmut")</f>
        <v>@sikecilmarmut</v>
      </c>
      <c r="C35028" s="8" t="s">
        <v>13445</v>
      </c>
      <c r="D35028" s="8">
        <v>393</v>
      </c>
      <c r="E35028" s="8">
        <v>0</v>
      </c>
      <c r="F35028" s="8">
        <v>2242</v>
      </c>
    </row>
    <row r="35029" spans="1:6" ht="12.75">
      <c r="A35029" s="8">
        <v>43888.749212962968</v>
      </c>
      <c r="B35029" s="8" t="str">
        <f>HYPERLINK("https://twitter.com/vendylicious69","@vendylicious69")</f>
        <v>@vendylicious69</v>
      </c>
      <c r="C35029" s="8" t="s">
        <v>13446</v>
      </c>
      <c r="D35029" s="8">
        <v>2</v>
      </c>
      <c r="E35029" s="8">
        <v>0</v>
      </c>
      <c r="F35029" s="8">
        <v>755</v>
      </c>
    </row>
    <row r="35030" spans="1:6" ht="12.75">
      <c r="A35030" s="8">
        <v>43888.749050925922</v>
      </c>
      <c r="B35030" s="8" t="str">
        <f>HYPERLINK("https://twitter.com/ariefalhabsyi92","@ariefalhabsyi92")</f>
        <v>@ariefalhabsyi92</v>
      </c>
      <c r="C35030" s="8" t="s">
        <v>11773</v>
      </c>
      <c r="D35030" s="8">
        <v>421</v>
      </c>
      <c r="E35030" s="8">
        <v>0</v>
      </c>
      <c r="F35030" s="8">
        <v>775</v>
      </c>
    </row>
    <row r="35031" spans="1:6" ht="12.75">
      <c r="A35031" s="8">
        <v>43888.748912037037</v>
      </c>
      <c r="B35031" s="8" t="str">
        <f>HYPERLINK("https://twitter.com/Sastroklengsre1","@Sastroklengsre1")</f>
        <v>@Sastroklengsre1</v>
      </c>
      <c r="C35031" s="8" t="s">
        <v>11773</v>
      </c>
      <c r="D35031" s="8">
        <v>421</v>
      </c>
      <c r="E35031" s="8">
        <v>0</v>
      </c>
      <c r="F35031" s="8">
        <v>2505</v>
      </c>
    </row>
    <row r="35032" spans="1:6" ht="12.75">
      <c r="A35032" s="8">
        <v>43888.748726851853</v>
      </c>
      <c r="B35032" s="8" t="str">
        <f>HYPERLINK("https://twitter.com/malikextrem","@malikextrem")</f>
        <v>@malikextrem</v>
      </c>
      <c r="C35032" s="8" t="s">
        <v>6888</v>
      </c>
      <c r="D35032" s="8">
        <v>11</v>
      </c>
      <c r="E35032" s="8">
        <v>0</v>
      </c>
      <c r="F35032" s="8">
        <v>498</v>
      </c>
    </row>
    <row r="35033" spans="1:6" ht="12.75">
      <c r="A35033" s="8">
        <v>43888.748680555553</v>
      </c>
      <c r="B35033" s="8" t="str">
        <f>HYPERLINK("https://twitter.com/sikecilmarmut","@sikecilmarmut")</f>
        <v>@sikecilmarmut</v>
      </c>
      <c r="C35033" s="8" t="s">
        <v>13447</v>
      </c>
      <c r="D35033" s="8">
        <v>449</v>
      </c>
      <c r="E35033" s="8">
        <v>0</v>
      </c>
      <c r="F35033" s="8">
        <v>2242</v>
      </c>
    </row>
    <row r="35034" spans="1:6" ht="12.75">
      <c r="A35034" s="8">
        <v>43888.748611111107</v>
      </c>
      <c r="B35034" s="8" t="str">
        <f>HYPERLINK("https://twitter.com/lion_flame777","@lion_flame777")</f>
        <v>@lion_flame777</v>
      </c>
      <c r="C35034" s="8" t="s">
        <v>13448</v>
      </c>
      <c r="D35034" s="8">
        <v>0</v>
      </c>
      <c r="E35034" s="8">
        <v>0</v>
      </c>
      <c r="F35034" s="8">
        <v>1462</v>
      </c>
    </row>
    <row r="35035" spans="1:6" ht="12.75">
      <c r="A35035" s="8">
        <v>43888.748460648145</v>
      </c>
      <c r="B35035" s="8" t="str">
        <f>HYPERLINK("https://twitter.com/DemenAgus","@DemenAgus")</f>
        <v>@DemenAgus</v>
      </c>
      <c r="C35035" s="8" t="s">
        <v>13449</v>
      </c>
      <c r="D35035" s="8">
        <v>0</v>
      </c>
      <c r="E35035" s="8">
        <v>0</v>
      </c>
      <c r="F35035" s="8">
        <v>11</v>
      </c>
    </row>
    <row r="35036" spans="1:6" ht="12.75">
      <c r="A35036" s="8">
        <v>43888.748344907406</v>
      </c>
      <c r="B35036" s="8" t="str">
        <f>HYPERLINK("https://twitter.com/vantaegustd","@vantaegustd")</f>
        <v>@vantaegustd</v>
      </c>
      <c r="C35036" s="8" t="s">
        <v>13450</v>
      </c>
      <c r="D35036" s="8">
        <v>1</v>
      </c>
      <c r="E35036" s="8">
        <v>0</v>
      </c>
      <c r="F35036" s="8">
        <v>167</v>
      </c>
    </row>
    <row r="35037" spans="1:6" ht="12.75">
      <c r="A35037" s="8">
        <v>43888.748136574075</v>
      </c>
      <c r="B35037" s="8" t="str">
        <f>HYPERLINK("https://twitter.com/diana_tyaz","@diana_tyaz")</f>
        <v>@diana_tyaz</v>
      </c>
      <c r="C35037" s="8" t="s">
        <v>11773</v>
      </c>
      <c r="D35037" s="8">
        <v>421</v>
      </c>
      <c r="E35037" s="8">
        <v>0</v>
      </c>
      <c r="F35037" s="8">
        <v>67</v>
      </c>
    </row>
    <row r="35038" spans="1:6" ht="12.75">
      <c r="A35038" s="8">
        <v>43888.747858796298</v>
      </c>
      <c r="B35038" s="8" t="str">
        <f t="shared" ref="B35038:B35040" si="494">HYPERLINK("https://twitter.com/sikecilmarmut","@sikecilmarmut")</f>
        <v>@sikecilmarmut</v>
      </c>
      <c r="C35038" s="8" t="s">
        <v>13451</v>
      </c>
      <c r="D35038" s="8">
        <v>1</v>
      </c>
      <c r="E35038" s="8">
        <v>0</v>
      </c>
      <c r="F35038" s="8">
        <v>2242</v>
      </c>
    </row>
    <row r="35039" spans="1:6" ht="12.75">
      <c r="A35039" s="8">
        <v>43888.747777777782</v>
      </c>
      <c r="B35039" s="8" t="str">
        <f t="shared" si="494"/>
        <v>@sikecilmarmut</v>
      </c>
      <c r="C35039" s="8" t="s">
        <v>13451</v>
      </c>
      <c r="D35039" s="8">
        <v>1</v>
      </c>
      <c r="E35039" s="8">
        <v>0</v>
      </c>
      <c r="F35039" s="8">
        <v>2242</v>
      </c>
    </row>
    <row r="35040" spans="1:6" ht="12.75">
      <c r="A35040" s="8">
        <v>43888.747708333336</v>
      </c>
      <c r="B35040" s="8" t="str">
        <f t="shared" si="494"/>
        <v>@sikecilmarmut</v>
      </c>
      <c r="C35040" s="8" t="s">
        <v>13451</v>
      </c>
      <c r="D35040" s="8">
        <v>0</v>
      </c>
      <c r="E35040" s="8">
        <v>0</v>
      </c>
      <c r="F35040" s="8">
        <v>2242</v>
      </c>
    </row>
    <row r="35041" spans="1:6" ht="12.75">
      <c r="A35041" s="8">
        <v>43888.747673611113</v>
      </c>
      <c r="B35041" s="8" t="str">
        <f>HYPERLINK("https://twitter.com/imanhidayat1280","@imanhidayat1280")</f>
        <v>@imanhidayat1280</v>
      </c>
      <c r="C35041" s="8" t="s">
        <v>12827</v>
      </c>
      <c r="D35041" s="8">
        <v>15</v>
      </c>
      <c r="E35041" s="8">
        <v>0</v>
      </c>
      <c r="F35041" s="8">
        <v>621</v>
      </c>
    </row>
    <row r="35042" spans="1:6" ht="12.75">
      <c r="A35042" s="8">
        <v>43888.747592592597</v>
      </c>
      <c r="B35042" s="8" t="str">
        <f>HYPERLINK("https://twitter.com/threeratno","@threeratno")</f>
        <v>@threeratno</v>
      </c>
      <c r="C35042" s="8" t="s">
        <v>13452</v>
      </c>
      <c r="D35042" s="8">
        <v>0</v>
      </c>
      <c r="E35042" s="8">
        <v>0</v>
      </c>
      <c r="F35042" s="8">
        <v>164</v>
      </c>
    </row>
    <row r="35043" spans="1:6" ht="12.75">
      <c r="A35043" s="8">
        <v>43888.747592592597</v>
      </c>
      <c r="B35043" s="8" t="str">
        <f t="shared" ref="B35043:B35044" si="495">HYPERLINK("https://twitter.com/sikecilmarmut","@sikecilmarmut")</f>
        <v>@sikecilmarmut</v>
      </c>
      <c r="C35043" s="8" t="s">
        <v>13453</v>
      </c>
      <c r="D35043" s="8">
        <v>1</v>
      </c>
      <c r="E35043" s="8">
        <v>0</v>
      </c>
      <c r="F35043" s="8">
        <v>2242</v>
      </c>
    </row>
    <row r="35044" spans="1:6" ht="12.75">
      <c r="A35044" s="8">
        <v>43888.747581018513</v>
      </c>
      <c r="B35044" s="8" t="str">
        <f t="shared" si="495"/>
        <v>@sikecilmarmut</v>
      </c>
      <c r="C35044" s="8" t="s">
        <v>13451</v>
      </c>
      <c r="D35044" s="8">
        <v>1</v>
      </c>
      <c r="E35044" s="8">
        <v>0</v>
      </c>
      <c r="F35044" s="8">
        <v>2242</v>
      </c>
    </row>
    <row r="35045" spans="1:6" ht="12.75">
      <c r="A35045" s="8">
        <v>43888.747476851851</v>
      </c>
      <c r="B35045" s="8" t="str">
        <f>HYPERLINK("https://twitter.com/oneaperture","@oneaperture")</f>
        <v>@oneaperture</v>
      </c>
      <c r="C35045" s="8" t="s">
        <v>12730</v>
      </c>
      <c r="D35045" s="8">
        <v>59</v>
      </c>
      <c r="E35045" s="8">
        <v>0</v>
      </c>
      <c r="F35045" s="8">
        <v>1849</v>
      </c>
    </row>
    <row r="35046" spans="1:6" ht="12.75">
      <c r="A35046" s="8">
        <v>43888.747395833328</v>
      </c>
      <c r="B35046" s="8" t="str">
        <f>HYPERLINK("https://twitter.com/ratih_2297","@ratih_2297")</f>
        <v>@ratih_2297</v>
      </c>
      <c r="C35046" s="8" t="s">
        <v>13446</v>
      </c>
      <c r="D35046" s="8">
        <v>2</v>
      </c>
      <c r="E35046" s="8">
        <v>0</v>
      </c>
      <c r="F35046" s="8">
        <v>1030</v>
      </c>
    </row>
    <row r="35047" spans="1:6" ht="12.75">
      <c r="A35047" s="8">
        <v>43888.747372685189</v>
      </c>
      <c r="B35047" s="8" t="str">
        <f>HYPERLINK("https://twitter.com/sikecilmarmut","@sikecilmarmut")</f>
        <v>@sikecilmarmut</v>
      </c>
      <c r="C35047" s="8" t="s">
        <v>13451</v>
      </c>
      <c r="D35047" s="8">
        <v>1</v>
      </c>
      <c r="E35047" s="8">
        <v>0</v>
      </c>
      <c r="F35047" s="8">
        <v>2242</v>
      </c>
    </row>
    <row r="35048" spans="1:6" ht="12.75">
      <c r="A35048" s="8">
        <v>43888.747372685189</v>
      </c>
      <c r="B35048" s="8" t="str">
        <f>HYPERLINK("https://twitter.com/EricHendrawan3","@EricHendrawan3")</f>
        <v>@EricHendrawan3</v>
      </c>
      <c r="C35048" s="8" t="s">
        <v>13454</v>
      </c>
      <c r="D35048" s="8">
        <v>0</v>
      </c>
      <c r="E35048" s="8">
        <v>0</v>
      </c>
      <c r="F35048" s="8">
        <v>2</v>
      </c>
    </row>
    <row r="35049" spans="1:6" ht="12.75">
      <c r="A35049" s="8">
        <v>43888.74732638889</v>
      </c>
      <c r="B35049" s="8" t="str">
        <f>HYPERLINK("https://twitter.com/DjanChoek","@DjanChoek")</f>
        <v>@DjanChoek</v>
      </c>
      <c r="C35049" s="8" t="s">
        <v>11773</v>
      </c>
      <c r="D35049" s="8">
        <v>421</v>
      </c>
      <c r="E35049" s="8">
        <v>0</v>
      </c>
      <c r="F35049" s="8">
        <v>24622</v>
      </c>
    </row>
    <row r="35050" spans="1:6" ht="12.75">
      <c r="A35050" s="8">
        <v>43888.747303240743</v>
      </c>
      <c r="B35050" s="8" t="str">
        <f t="shared" ref="B35050:B35051" si="496">HYPERLINK("https://twitter.com/sikecilmarmut","@sikecilmarmut")</f>
        <v>@sikecilmarmut</v>
      </c>
      <c r="C35050" s="8" t="s">
        <v>13451</v>
      </c>
      <c r="D35050" s="8">
        <v>1</v>
      </c>
      <c r="E35050" s="8">
        <v>0</v>
      </c>
      <c r="F35050" s="8">
        <v>2242</v>
      </c>
    </row>
    <row r="35051" spans="1:6" ht="12.75">
      <c r="A35051" s="8">
        <v>43888.747094907405</v>
      </c>
      <c r="B35051" s="8" t="str">
        <f t="shared" si="496"/>
        <v>@sikecilmarmut</v>
      </c>
      <c r="C35051" s="8" t="s">
        <v>13451</v>
      </c>
      <c r="D35051" s="8">
        <v>1</v>
      </c>
      <c r="E35051" s="8">
        <v>0</v>
      </c>
      <c r="F35051" s="8">
        <v>2242</v>
      </c>
    </row>
    <row r="35052" spans="1:6" ht="12.75">
      <c r="A35052" s="8">
        <v>43888.747025462959</v>
      </c>
      <c r="B35052" s="8" t="str">
        <f>HYPERLINK("https://twitter.com/Saadiq77000103","@Saadiq77000103")</f>
        <v>@Saadiq77000103</v>
      </c>
      <c r="C35052" s="8" t="s">
        <v>13455</v>
      </c>
      <c r="D35052" s="8">
        <v>0</v>
      </c>
      <c r="E35052" s="8">
        <v>0</v>
      </c>
      <c r="F35052" s="8">
        <v>1</v>
      </c>
    </row>
    <row r="35053" spans="1:6" ht="12.75">
      <c r="A35053" s="8">
        <v>43888.746828703705</v>
      </c>
      <c r="B35053" s="8" t="str">
        <f>HYPERLINK("https://twitter.com/Metro_TV","@Metro_TV")</f>
        <v>@Metro_TV</v>
      </c>
      <c r="C35053" s="8" t="s">
        <v>13456</v>
      </c>
      <c r="D35053" s="8">
        <v>2</v>
      </c>
      <c r="E35053" s="8">
        <v>2</v>
      </c>
      <c r="F35053" s="8">
        <v>10514073</v>
      </c>
    </row>
    <row r="35054" spans="1:6" ht="12.75">
      <c r="A35054" s="8">
        <v>43888.746759259258</v>
      </c>
      <c r="B35054" s="8" t="str">
        <f>HYPERLINK("https://twitter.com/bomiistry_","@bomiistry_")</f>
        <v>@bomiistry_</v>
      </c>
      <c r="C35054" s="8" t="s">
        <v>13457</v>
      </c>
      <c r="D35054" s="8">
        <v>0</v>
      </c>
      <c r="E35054" s="8">
        <v>0</v>
      </c>
      <c r="F35054" s="8">
        <v>36</v>
      </c>
    </row>
    <row r="35055" spans="1:6" ht="12.75">
      <c r="A35055" s="8">
        <v>43888.746736111112</v>
      </c>
      <c r="B35055" s="8" t="str">
        <f>HYPERLINK("https://twitter.com/damianusdalita6","@damianusdalita6")</f>
        <v>@damianusdalita6</v>
      </c>
      <c r="C35055" s="8" t="s">
        <v>8036</v>
      </c>
      <c r="D35055" s="8">
        <v>14</v>
      </c>
      <c r="E35055" s="8">
        <v>0</v>
      </c>
      <c r="F35055" s="8">
        <v>2348</v>
      </c>
    </row>
    <row r="35056" spans="1:6" ht="12.75">
      <c r="A35056" s="8">
        <v>43888.74627314815</v>
      </c>
      <c r="B35056" s="8" t="str">
        <f>HYPERLINK("https://twitter.com/urip_murup","@urip_murup")</f>
        <v>@urip_murup</v>
      </c>
      <c r="C35056" s="8" t="s">
        <v>12755</v>
      </c>
      <c r="D35056" s="8">
        <v>31</v>
      </c>
      <c r="E35056" s="8">
        <v>0</v>
      </c>
      <c r="F35056" s="8">
        <v>240</v>
      </c>
    </row>
    <row r="35057" spans="1:6" ht="12.75">
      <c r="A35057" s="8">
        <v>43888.745775462958</v>
      </c>
      <c r="B35057" s="8" t="str">
        <f>HYPERLINK("https://twitter.com/Lady_StayClassy","@Lady_StayClassy")</f>
        <v>@Lady_StayClassy</v>
      </c>
      <c r="C35057" s="8" t="s">
        <v>11773</v>
      </c>
      <c r="D35057" s="8">
        <v>421</v>
      </c>
      <c r="E35057" s="8">
        <v>0</v>
      </c>
      <c r="F35057" s="8">
        <v>3191</v>
      </c>
    </row>
    <row r="35058" spans="1:6" ht="12.75">
      <c r="A35058" s="8">
        <v>43888.745763888888</v>
      </c>
      <c r="B35058" s="8" t="str">
        <f>HYPERLINK("https://twitter.com/imanhidayat1280","@imanhidayat1280")</f>
        <v>@imanhidayat1280</v>
      </c>
      <c r="C35058" s="8" t="s">
        <v>12807</v>
      </c>
      <c r="D35058" s="8">
        <v>3</v>
      </c>
      <c r="E35058" s="8">
        <v>0</v>
      </c>
      <c r="F35058" s="8">
        <v>621</v>
      </c>
    </row>
    <row r="35059" spans="1:6" ht="12.75">
      <c r="A35059" s="8">
        <v>43888.745613425926</v>
      </c>
      <c r="B35059" s="8" t="str">
        <f>HYPERLINK("https://twitter.com/SriRedjeki2","@SriRedjeki2")</f>
        <v>@SriRedjeki2</v>
      </c>
      <c r="C35059" s="8" t="s">
        <v>13458</v>
      </c>
      <c r="D35059" s="8">
        <v>0</v>
      </c>
      <c r="E35059" s="8">
        <v>0</v>
      </c>
      <c r="F35059" s="8">
        <v>656</v>
      </c>
    </row>
    <row r="35060" spans="1:6" ht="12.75">
      <c r="A35060" s="8">
        <v>43888.745439814811</v>
      </c>
      <c r="B35060" s="8" t="str">
        <f>HYPERLINK("https://twitter.com/kmim28923409","@kmim28923409")</f>
        <v>@kmim28923409</v>
      </c>
      <c r="C35060" s="8" t="s">
        <v>12141</v>
      </c>
      <c r="D35060" s="8">
        <v>3</v>
      </c>
      <c r="E35060" s="8">
        <v>0</v>
      </c>
      <c r="F35060" s="8">
        <v>0</v>
      </c>
    </row>
    <row r="35061" spans="1:6" ht="12.75">
      <c r="A35061" s="8">
        <v>43888.745393518519</v>
      </c>
      <c r="B35061" s="8" t="str">
        <f>HYPERLINK("https://twitter.com/kim_jong_unch","@kim_jong_unch")</f>
        <v>@kim_jong_unch</v>
      </c>
      <c r="C35061" s="8" t="s">
        <v>6863</v>
      </c>
      <c r="D35061" s="8">
        <v>224</v>
      </c>
      <c r="E35061" s="8">
        <v>0</v>
      </c>
      <c r="F35061" s="8">
        <v>184</v>
      </c>
    </row>
    <row r="35062" spans="1:6" ht="12.75">
      <c r="A35062" s="8">
        <v>43888.745243055557</v>
      </c>
      <c r="B35062" s="8" t="str">
        <f>HYPERLINK("https://twitter.com/republikaonline","@republikaonline")</f>
        <v>@republikaonline</v>
      </c>
      <c r="C35062" s="8" t="s">
        <v>13459</v>
      </c>
      <c r="D35062" s="8">
        <v>0</v>
      </c>
      <c r="E35062" s="8">
        <v>2</v>
      </c>
      <c r="F35062" s="8">
        <v>1214687</v>
      </c>
    </row>
    <row r="35063" spans="1:6" ht="12.75">
      <c r="A35063" s="8">
        <v>43888.745208333334</v>
      </c>
      <c r="B35063" s="8" t="str">
        <f>HYPERLINK("https://twitter.com/niningasih","@niningasih")</f>
        <v>@niningasih</v>
      </c>
      <c r="C35063" s="8" t="s">
        <v>13460</v>
      </c>
      <c r="D35063" s="8">
        <v>3</v>
      </c>
      <c r="E35063" s="8">
        <v>0</v>
      </c>
      <c r="F35063" s="8">
        <v>1165</v>
      </c>
    </row>
    <row r="35064" spans="1:6" ht="12.75">
      <c r="A35064" s="8">
        <v>43888.745173611111</v>
      </c>
      <c r="B35064" s="8" t="str">
        <f>HYPERLINK("https://twitter.com/IdMenit","@IdMenit")</f>
        <v>@IdMenit</v>
      </c>
      <c r="C35064" s="8" t="s">
        <v>13461</v>
      </c>
      <c r="D35064" s="8">
        <v>0</v>
      </c>
      <c r="E35064" s="8">
        <v>0</v>
      </c>
      <c r="F35064" s="8">
        <v>15</v>
      </c>
    </row>
    <row r="35065" spans="1:6" ht="12.75">
      <c r="A35065" s="8">
        <v>43888.745173611111</v>
      </c>
      <c r="B35065" s="8" t="str">
        <f>HYPERLINK("https://twitter.com/Erisawbnk_","@Erisawbnk_")</f>
        <v>@Erisawbnk_</v>
      </c>
      <c r="C35065" s="8" t="s">
        <v>6863</v>
      </c>
      <c r="D35065" s="8">
        <v>224</v>
      </c>
      <c r="E35065" s="8">
        <v>0</v>
      </c>
      <c r="F35065" s="8">
        <v>270</v>
      </c>
    </row>
    <row r="35066" spans="1:6" ht="12.75">
      <c r="A35066" s="8">
        <v>43888.745173611111</v>
      </c>
      <c r="B35066" s="8" t="str">
        <f>HYPERLINK("https://twitter.com/niningasih","@niningasih")</f>
        <v>@niningasih</v>
      </c>
      <c r="C35066" s="8" t="s">
        <v>13462</v>
      </c>
      <c r="D35066" s="8">
        <v>2</v>
      </c>
      <c r="E35066" s="8">
        <v>0</v>
      </c>
      <c r="F35066" s="8">
        <v>1165</v>
      </c>
    </row>
    <row r="35067" spans="1:6" ht="12.75">
      <c r="A35067" s="8">
        <v>43888.745081018518</v>
      </c>
      <c r="B35067" s="8" t="str">
        <f>HYPERLINK("https://twitter.com/Jitr0_Tor0i","@Jitr0_Tor0i")</f>
        <v>@Jitr0_Tor0i</v>
      </c>
      <c r="C35067" s="8" t="s">
        <v>8036</v>
      </c>
      <c r="D35067" s="8">
        <v>14</v>
      </c>
      <c r="E35067" s="8">
        <v>0</v>
      </c>
      <c r="F35067" s="8">
        <v>546</v>
      </c>
    </row>
    <row r="35068" spans="1:6" ht="12.75">
      <c r="A35068" s="8">
        <v>43888.745023148149</v>
      </c>
      <c r="B35068" s="8" t="str">
        <f>HYPERLINK("https://twitter.com/republikaonline","@republikaonline")</f>
        <v>@republikaonline</v>
      </c>
      <c r="C35068" s="8" t="s">
        <v>13459</v>
      </c>
      <c r="D35068" s="8">
        <v>1</v>
      </c>
      <c r="E35068" s="8">
        <v>3</v>
      </c>
      <c r="F35068" s="8">
        <v>1214687</v>
      </c>
    </row>
    <row r="35069" spans="1:6" ht="12.75">
      <c r="A35069" s="8">
        <v>43888.744502314818</v>
      </c>
      <c r="B35069" s="8" t="str">
        <f>HYPERLINK("https://twitter.com/MetroNewsCh","@MetroNewsCh")</f>
        <v>@MetroNewsCh</v>
      </c>
      <c r="C35069" s="8" t="s">
        <v>13427</v>
      </c>
      <c r="D35069" s="8">
        <v>2</v>
      </c>
      <c r="E35069" s="8">
        <v>0</v>
      </c>
      <c r="F35069" s="8">
        <v>20882</v>
      </c>
    </row>
    <row r="35070" spans="1:6" ht="12.75">
      <c r="A35070" s="8">
        <v>43888.744166666671</v>
      </c>
      <c r="B35070" s="8" t="str">
        <f>HYPERLINK("https://twitter.com/ughonhope","@ughonhope")</f>
        <v>@ughonhope</v>
      </c>
      <c r="C35070" s="8" t="s">
        <v>13463</v>
      </c>
      <c r="D35070" s="8">
        <v>0</v>
      </c>
      <c r="E35070" s="8">
        <v>0</v>
      </c>
      <c r="F35070" s="8">
        <v>406</v>
      </c>
    </row>
    <row r="35071" spans="1:6" ht="12.75">
      <c r="A35071" s="8">
        <v>43888.743784722217</v>
      </c>
      <c r="B35071" s="8" t="str">
        <f>HYPERLINK("https://twitter.com/yudsus","@yudsus")</f>
        <v>@yudsus</v>
      </c>
      <c r="C35071" s="8" t="s">
        <v>13273</v>
      </c>
      <c r="D35071" s="8">
        <v>8</v>
      </c>
      <c r="E35071" s="8">
        <v>0</v>
      </c>
      <c r="F35071" s="8">
        <v>1264</v>
      </c>
    </row>
    <row r="35072" spans="1:6" ht="12.75">
      <c r="A35072" s="8">
        <v>43888.743495370371</v>
      </c>
      <c r="B35072" s="8" t="str">
        <f>HYPERLINK("https://twitter.com/RMasdjoeri","@RMasdjoeri")</f>
        <v>@RMasdjoeri</v>
      </c>
      <c r="C35072" s="8" t="s">
        <v>13464</v>
      </c>
      <c r="D35072" s="8">
        <v>0</v>
      </c>
      <c r="E35072" s="8">
        <v>0</v>
      </c>
      <c r="F35072" s="8">
        <v>74</v>
      </c>
    </row>
    <row r="35073" spans="1:6" ht="12.75">
      <c r="A35073" s="8">
        <v>43888.743159722224</v>
      </c>
      <c r="B35073" s="8" t="str">
        <f>HYPERLINK("https://twitter.com/an18ping","@an18ping")</f>
        <v>@an18ping</v>
      </c>
      <c r="C35073" s="8" t="s">
        <v>12730</v>
      </c>
      <c r="D35073" s="8">
        <v>59</v>
      </c>
      <c r="E35073" s="8">
        <v>0</v>
      </c>
      <c r="F35073" s="8">
        <v>1251</v>
      </c>
    </row>
    <row r="35074" spans="1:6" ht="12.75">
      <c r="A35074" s="8">
        <v>43888.743055555555</v>
      </c>
      <c r="B35074" s="8" t="str">
        <f>HYPERLINK("https://twitter.com/nakanaaide","@nakanaaide")</f>
        <v>@nakanaaide</v>
      </c>
      <c r="C35074" s="8" t="s">
        <v>13465</v>
      </c>
      <c r="D35074" s="8">
        <v>0</v>
      </c>
      <c r="E35074" s="8">
        <v>0</v>
      </c>
      <c r="F35074" s="8">
        <v>638</v>
      </c>
    </row>
    <row r="35075" spans="1:6" ht="12.75">
      <c r="A35075" s="8">
        <v>43888.742974537032</v>
      </c>
      <c r="B35075" s="8" t="str">
        <f>HYPERLINK("https://twitter.com/tikadhaniis","@tikadhaniis")</f>
        <v>@tikadhaniis</v>
      </c>
      <c r="C35075" s="8" t="s">
        <v>13466</v>
      </c>
      <c r="D35075" s="8">
        <v>0</v>
      </c>
      <c r="E35075" s="8">
        <v>0</v>
      </c>
      <c r="F35075" s="8">
        <v>297</v>
      </c>
    </row>
    <row r="35076" spans="1:6" ht="12.75">
      <c r="A35076" s="8">
        <v>43888.742812500001</v>
      </c>
      <c r="B35076" s="8" t="str">
        <f>HYPERLINK("https://twitter.com/owalahfulky","@owalahfulky")</f>
        <v>@owalahfulky</v>
      </c>
      <c r="C35076" s="8" t="s">
        <v>6863</v>
      </c>
      <c r="D35076" s="8">
        <v>224</v>
      </c>
      <c r="E35076" s="8">
        <v>0</v>
      </c>
      <c r="F35076" s="8">
        <v>168</v>
      </c>
    </row>
    <row r="35077" spans="1:6" ht="12.75">
      <c r="A35077" s="8">
        <v>43888.742777777778</v>
      </c>
      <c r="B35077" s="8" t="str">
        <f>HYPERLINK("https://twitter.com/pantau_com","@pantau_com")</f>
        <v>@pantau_com</v>
      </c>
      <c r="C35077" s="8" t="s">
        <v>13467</v>
      </c>
      <c r="D35077" s="8">
        <v>0</v>
      </c>
      <c r="E35077" s="8">
        <v>0</v>
      </c>
      <c r="F35077" s="8">
        <v>2108</v>
      </c>
    </row>
    <row r="35078" spans="1:6" ht="12.75">
      <c r="A35078" s="8">
        <v>43888.742581018523</v>
      </c>
      <c r="B35078" s="8" t="str">
        <f>HYPERLINK("https://twitter.com/WartawanPensiun","@WartawanPensiun")</f>
        <v>@WartawanPensiun</v>
      </c>
      <c r="C35078" s="8" t="s">
        <v>8036</v>
      </c>
      <c r="D35078" s="8">
        <v>14</v>
      </c>
      <c r="E35078" s="8">
        <v>0</v>
      </c>
      <c r="F35078" s="8">
        <v>6558</v>
      </c>
    </row>
    <row r="35079" spans="1:6" ht="12.75">
      <c r="A35079" s="8">
        <v>43888.74219907407</v>
      </c>
      <c r="B35079" s="8" t="str">
        <f>HYPERLINK("https://twitter.com/RidwanRoti","@RidwanRoti")</f>
        <v>@RidwanRoti</v>
      </c>
      <c r="C35079" s="8" t="s">
        <v>13468</v>
      </c>
      <c r="D35079" s="8">
        <v>0</v>
      </c>
      <c r="E35079" s="8">
        <v>0</v>
      </c>
      <c r="F35079" s="8">
        <v>125</v>
      </c>
    </row>
    <row r="35080" spans="1:6" ht="12.75">
      <c r="A35080" s="8">
        <v>43888.7421875</v>
      </c>
      <c r="B35080" s="8" t="str">
        <f>HYPERLINK("https://twitter.com/CastilloJoshima","@CastilloJoshima")</f>
        <v>@CastilloJoshima</v>
      </c>
      <c r="C35080" s="8" t="s">
        <v>13469</v>
      </c>
      <c r="D35080" s="8">
        <v>1</v>
      </c>
      <c r="E35080" s="8">
        <v>0</v>
      </c>
      <c r="F35080" s="8">
        <v>5416</v>
      </c>
    </row>
    <row r="35081" spans="1:6" ht="12.75">
      <c r="A35081" s="8">
        <v>43888.742129629631</v>
      </c>
      <c r="B35081" s="8" t="str">
        <f>HYPERLINK("https://twitter.com/Wilson_P535","@Wilson_P535")</f>
        <v>@Wilson_P535</v>
      </c>
      <c r="C35081" s="8" t="s">
        <v>13470</v>
      </c>
      <c r="D35081" s="8">
        <v>0</v>
      </c>
      <c r="E35081" s="8">
        <v>0</v>
      </c>
      <c r="F35081" s="8">
        <v>32</v>
      </c>
    </row>
    <row r="35082" spans="1:6" ht="12.75">
      <c r="A35082" s="8">
        <v>43888.741863425923</v>
      </c>
      <c r="B35082" s="8" t="str">
        <f>HYPERLINK("https://twitter.com/kmim28923409","@kmim28923409")</f>
        <v>@kmim28923409</v>
      </c>
      <c r="C35082" s="8" t="s">
        <v>13471</v>
      </c>
      <c r="D35082" s="8">
        <v>7</v>
      </c>
      <c r="E35082" s="8">
        <v>0</v>
      </c>
      <c r="F35082" s="8">
        <v>0</v>
      </c>
    </row>
    <row r="35083" spans="1:6" ht="12.75">
      <c r="A35083" s="8">
        <v>43888.74181712963</v>
      </c>
      <c r="B35083" s="8" t="str">
        <f>HYPERLINK("https://twitter.com/riyan_uzo","@riyan_uzo")</f>
        <v>@riyan_uzo</v>
      </c>
      <c r="C35083" s="8" t="s">
        <v>7243</v>
      </c>
      <c r="D35083" s="8">
        <v>109</v>
      </c>
      <c r="E35083" s="8">
        <v>0</v>
      </c>
      <c r="F35083" s="8">
        <v>524</v>
      </c>
    </row>
    <row r="35084" spans="1:6" ht="12.75">
      <c r="A35084" s="8">
        <v>43888.741643518515</v>
      </c>
      <c r="B35084" s="8" t="str">
        <f>HYPERLINK("https://twitter.com/antaranews","@antaranews")</f>
        <v>@antaranews</v>
      </c>
      <c r="C35084" s="8" t="s">
        <v>13472</v>
      </c>
      <c r="D35084" s="8">
        <v>2</v>
      </c>
      <c r="E35084" s="8">
        <v>4</v>
      </c>
      <c r="F35084" s="8">
        <v>1105521</v>
      </c>
    </row>
    <row r="35085" spans="1:6" ht="12.75">
      <c r="A35085" s="8">
        <v>43888.74150462963</v>
      </c>
      <c r="B35085" s="8" t="str">
        <f>HYPERLINK("https://twitter.com/DemenAgus","@DemenAgus")</f>
        <v>@DemenAgus</v>
      </c>
      <c r="C35085" s="8" t="s">
        <v>13473</v>
      </c>
      <c r="D35085" s="8">
        <v>0</v>
      </c>
      <c r="E35085" s="8">
        <v>0</v>
      </c>
      <c r="F35085" s="8">
        <v>11</v>
      </c>
    </row>
    <row r="35086" spans="1:6" ht="12.75">
      <c r="A35086" s="8">
        <v>43888.741307870368</v>
      </c>
      <c r="B35086" s="8" t="str">
        <f>HYPERLINK("https://twitter.com/antobalboa1","@antobalboa1")</f>
        <v>@antobalboa1</v>
      </c>
      <c r="C35086" s="8" t="s">
        <v>13474</v>
      </c>
      <c r="D35086" s="8">
        <v>0</v>
      </c>
      <c r="E35086" s="8">
        <v>0</v>
      </c>
      <c r="F35086" s="8">
        <v>10</v>
      </c>
    </row>
    <row r="35087" spans="1:6" ht="12.75">
      <c r="A35087" s="8">
        <v>43888.741249999999</v>
      </c>
      <c r="B35087" s="8" t="str">
        <f>HYPERLINK("https://twitter.com/jjsengui","@jjsengui")</f>
        <v>@jjsengui</v>
      </c>
      <c r="C35087" s="8" t="s">
        <v>13475</v>
      </c>
      <c r="D35087" s="8">
        <v>1</v>
      </c>
      <c r="E35087" s="8">
        <v>0</v>
      </c>
      <c r="F35087" s="8">
        <v>841</v>
      </c>
    </row>
    <row r="35088" spans="1:6" ht="12.75">
      <c r="A35088" s="8">
        <v>43888.741076388891</v>
      </c>
      <c r="B35088" s="8" t="str">
        <f>HYPERLINK("https://twitter.com/beritalimacom","@beritalimacom")</f>
        <v>@beritalimacom</v>
      </c>
      <c r="C35088" s="8" t="s">
        <v>12444</v>
      </c>
      <c r="D35088" s="8">
        <v>0</v>
      </c>
      <c r="E35088" s="8">
        <v>0</v>
      </c>
      <c r="F35088" s="8">
        <v>1454</v>
      </c>
    </row>
    <row r="35089" spans="1:6" ht="12.75">
      <c r="A35089" s="8">
        <v>43888.741018518514</v>
      </c>
      <c r="B35089" s="8" t="str">
        <f>HYPERLINK("https://twitter.com/maryatiyati02","@maryatiyati02")</f>
        <v>@maryatiyati02</v>
      </c>
      <c r="C35089" s="8" t="s">
        <v>13476</v>
      </c>
      <c r="D35089" s="8">
        <v>0</v>
      </c>
      <c r="E35089" s="8">
        <v>0</v>
      </c>
      <c r="F35089" s="8">
        <v>29</v>
      </c>
    </row>
    <row r="35090" spans="1:6" ht="12.75">
      <c r="A35090" s="8">
        <v>43888.740706018521</v>
      </c>
      <c r="B35090" s="8" t="str">
        <f>HYPERLINK("https://twitter.com/MrngnStmpl","@MrngnStmpl")</f>
        <v>@MrngnStmpl</v>
      </c>
      <c r="C35090" s="8" t="s">
        <v>6888</v>
      </c>
      <c r="D35090" s="8">
        <v>11</v>
      </c>
      <c r="E35090" s="8">
        <v>0</v>
      </c>
      <c r="F35090" s="8">
        <v>123</v>
      </c>
    </row>
    <row r="35091" spans="1:6" ht="12.75">
      <c r="A35091" s="8">
        <v>43888.740659722222</v>
      </c>
      <c r="B35091" s="8" t="str">
        <f>HYPERLINK("https://twitter.com/ErwinMPakpahan2","@ErwinMPakpahan2")</f>
        <v>@ErwinMPakpahan2</v>
      </c>
      <c r="C35091" s="8" t="s">
        <v>13477</v>
      </c>
      <c r="D35091" s="8">
        <v>0</v>
      </c>
      <c r="E35091" s="8">
        <v>0</v>
      </c>
      <c r="F35091" s="8">
        <v>40</v>
      </c>
    </row>
    <row r="35092" spans="1:6" ht="12.75">
      <c r="A35092" s="8">
        <v>43888.740659722222</v>
      </c>
      <c r="B35092" s="8" t="str">
        <f>HYPERLINK("https://twitter.com/anoe_freelance","@anoe_freelance")</f>
        <v>@anoe_freelance</v>
      </c>
      <c r="C35092" s="8" t="s">
        <v>13430</v>
      </c>
      <c r="D35092" s="8">
        <v>2</v>
      </c>
      <c r="E35092" s="8">
        <v>0</v>
      </c>
      <c r="F35092" s="8">
        <v>842</v>
      </c>
    </row>
    <row r="35093" spans="1:6" ht="12.75">
      <c r="A35093" s="8">
        <v>43888.740069444444</v>
      </c>
      <c r="B35093" s="8" t="str">
        <f>HYPERLINK("https://twitter.com/IBastara","@IBastara")</f>
        <v>@IBastara</v>
      </c>
      <c r="C35093" s="8" t="s">
        <v>13478</v>
      </c>
      <c r="D35093" s="8">
        <v>0</v>
      </c>
      <c r="E35093" s="8">
        <v>0</v>
      </c>
      <c r="F35093" s="8">
        <v>305</v>
      </c>
    </row>
    <row r="35094" spans="1:6" ht="12.75">
      <c r="A35094" s="8">
        <v>43888.740023148144</v>
      </c>
      <c r="B35094" s="8" t="str">
        <f>HYPERLINK("https://twitter.com/SumberPolsek","@SumberPolsek")</f>
        <v>@SumberPolsek</v>
      </c>
      <c r="C35094" s="8" t="s">
        <v>12629</v>
      </c>
      <c r="D35094" s="8">
        <v>0</v>
      </c>
      <c r="E35094" s="8">
        <v>0</v>
      </c>
      <c r="F35094" s="8">
        <v>21</v>
      </c>
    </row>
    <row r="35095" spans="1:6" ht="12.75">
      <c r="A35095" s="8">
        <v>43888.739687499998</v>
      </c>
      <c r="B35095" s="8" t="str">
        <f>HYPERLINK("https://twitter.com/sri_hendrayosma","@sri_hendrayosma")</f>
        <v>@sri_hendrayosma</v>
      </c>
      <c r="C35095" s="8" t="s">
        <v>13479</v>
      </c>
      <c r="D35095" s="8">
        <v>66</v>
      </c>
      <c r="E35095" s="8">
        <v>0</v>
      </c>
      <c r="F35095" s="8">
        <v>233</v>
      </c>
    </row>
    <row r="35096" spans="1:6" ht="12.75">
      <c r="A35096" s="8">
        <v>43888.714907407411</v>
      </c>
      <c r="B35096" s="8" t="str">
        <f>HYPERLINK("https://twitter.com/faizdihar9","@faizdihar9")</f>
        <v>@faizdihar9</v>
      </c>
      <c r="C35096" s="8" t="s">
        <v>11102</v>
      </c>
      <c r="D35096" s="8">
        <v>16</v>
      </c>
      <c r="E35096" s="8">
        <v>0</v>
      </c>
      <c r="F35096" s="8">
        <v>307</v>
      </c>
    </row>
    <row r="35097" spans="1:6" ht="12.75">
      <c r="A35097" s="8">
        <v>43888.714826388888</v>
      </c>
      <c r="B35097" s="8" t="str">
        <f>HYPERLINK("https://twitter.com/seungsukkim","@seungsukkim")</f>
        <v>@seungsukkim</v>
      </c>
      <c r="C35097" s="8" t="s">
        <v>13480</v>
      </c>
      <c r="D35097" s="8">
        <v>0</v>
      </c>
      <c r="E35097" s="8">
        <v>0</v>
      </c>
      <c r="F35097" s="8">
        <v>178</v>
      </c>
    </row>
    <row r="35098" spans="1:6" ht="12.75">
      <c r="A35098" s="8">
        <v>43888.714814814812</v>
      </c>
      <c r="B35098" s="8" t="str">
        <f>HYPERLINK("https://twitter.com/mwnmwn26","@mwnmwn26")</f>
        <v>@mwnmwn26</v>
      </c>
      <c r="C35098" s="8" t="s">
        <v>10773</v>
      </c>
      <c r="D35098" s="8">
        <v>266</v>
      </c>
      <c r="E35098" s="8">
        <v>0</v>
      </c>
      <c r="F35098" s="8">
        <v>995</v>
      </c>
    </row>
    <row r="35099" spans="1:6" ht="12.75">
      <c r="A35099" s="8">
        <v>43888.714699074073</v>
      </c>
      <c r="B35099" s="8" t="str">
        <f>HYPERLINK("https://twitter.com/tsetiady","@tsetiady")</f>
        <v>@tsetiady</v>
      </c>
      <c r="C35099" s="8" t="s">
        <v>12220</v>
      </c>
      <c r="D35099" s="8">
        <v>2</v>
      </c>
      <c r="E35099" s="8">
        <v>0</v>
      </c>
      <c r="F35099" s="8">
        <v>878</v>
      </c>
    </row>
    <row r="35100" spans="1:6" ht="12.75">
      <c r="A35100" s="8">
        <v>43888.714583333334</v>
      </c>
      <c r="B35100" s="8" t="str">
        <f>HYPERLINK("https://twitter.com/nurseilan","@nurseilan")</f>
        <v>@nurseilan</v>
      </c>
      <c r="C35100" s="8" t="s">
        <v>13481</v>
      </c>
      <c r="D35100" s="8">
        <v>0</v>
      </c>
      <c r="E35100" s="8">
        <v>0</v>
      </c>
      <c r="F35100" s="8">
        <v>1387</v>
      </c>
    </row>
    <row r="35101" spans="1:6" ht="12.75">
      <c r="A35101" s="8">
        <v>43888.713796296295</v>
      </c>
      <c r="B35101" s="8" t="str">
        <f>HYPERLINK("https://twitter.com/Ed_Tejasukmana","@Ed_Tejasukmana")</f>
        <v>@Ed_Tejasukmana</v>
      </c>
      <c r="C35101" s="8" t="s">
        <v>7243</v>
      </c>
      <c r="D35101" s="8">
        <v>104</v>
      </c>
      <c r="E35101" s="8">
        <v>0</v>
      </c>
      <c r="F35101" s="8">
        <v>374</v>
      </c>
    </row>
    <row r="35102" spans="1:6" ht="12.75">
      <c r="A35102" s="8">
        <v>43888.713622685187</v>
      </c>
      <c r="B35102" s="8" t="str">
        <f>HYPERLINK("https://twitter.com/GustoHarpana","@GustoHarpana")</f>
        <v>@GustoHarpana</v>
      </c>
      <c r="C35102" s="8" t="s">
        <v>12406</v>
      </c>
      <c r="D35102" s="8">
        <v>126</v>
      </c>
      <c r="E35102" s="8">
        <v>0</v>
      </c>
      <c r="F35102" s="8">
        <v>177</v>
      </c>
    </row>
    <row r="35103" spans="1:6" ht="12.75">
      <c r="A35103" s="8">
        <v>43888.713576388887</v>
      </c>
      <c r="B35103" s="8" t="str">
        <f>HYPERLINK("https://twitter.com/irnanafisah","@irnanafisah")</f>
        <v>@irnanafisah</v>
      </c>
      <c r="C35103" s="8" t="s">
        <v>593</v>
      </c>
      <c r="D35103" s="8">
        <v>327</v>
      </c>
      <c r="E35103" s="8">
        <v>0</v>
      </c>
      <c r="F35103" s="8">
        <v>765</v>
      </c>
    </row>
    <row r="35104" spans="1:6" ht="12.75">
      <c r="A35104" s="8">
        <v>43888.713009259256</v>
      </c>
      <c r="B35104" s="8" t="str">
        <f>HYPERLINK("https://twitter.com/thenameisdaw","@thenameisdaw")</f>
        <v>@thenameisdaw</v>
      </c>
      <c r="C35104" s="8" t="s">
        <v>13273</v>
      </c>
      <c r="D35104" s="8">
        <v>6</v>
      </c>
      <c r="E35104" s="8">
        <v>0</v>
      </c>
      <c r="F35104" s="8">
        <v>158</v>
      </c>
    </row>
    <row r="35105" spans="1:6" ht="12.75">
      <c r="A35105" s="8">
        <v>43888.712962962964</v>
      </c>
      <c r="B35105" s="8" t="str">
        <f>HYPERLINK("https://twitter.com/sj_asep","@sj_asep")</f>
        <v>@sj_asep</v>
      </c>
      <c r="C35105" s="8" t="s">
        <v>13482</v>
      </c>
      <c r="D35105" s="8">
        <v>0</v>
      </c>
      <c r="E35105" s="8">
        <v>0</v>
      </c>
      <c r="F35105" s="8">
        <v>3</v>
      </c>
    </row>
    <row r="35106" spans="1:6" ht="12.75">
      <c r="A35106" s="8">
        <v>43888.712268518517</v>
      </c>
      <c r="B35106" s="8" t="str">
        <f>HYPERLINK("https://twitter.com/lion_nkri","@lion_nkri")</f>
        <v>@lion_nkri</v>
      </c>
      <c r="C35106" s="8" t="s">
        <v>13483</v>
      </c>
      <c r="D35106" s="8">
        <v>0</v>
      </c>
      <c r="E35106" s="8">
        <v>0</v>
      </c>
      <c r="F35106" s="8">
        <v>16</v>
      </c>
    </row>
    <row r="35107" spans="1:6" ht="12.75">
      <c r="A35107" s="8">
        <v>43888.712222222224</v>
      </c>
      <c r="B35107" s="8" t="str">
        <f>HYPERLINK("https://twitter.com/AderadianDian","@AderadianDian")</f>
        <v>@AderadianDian</v>
      </c>
      <c r="C35107" s="8" t="s">
        <v>13468</v>
      </c>
      <c r="D35107" s="8">
        <v>0</v>
      </c>
      <c r="E35107" s="8">
        <v>0</v>
      </c>
      <c r="F35107" s="8">
        <v>45</v>
      </c>
    </row>
    <row r="35108" spans="1:6" ht="12.75">
      <c r="A35108" s="8">
        <v>43888.712199074071</v>
      </c>
      <c r="B35108" s="8" t="str">
        <f>HYPERLINK("https://twitter.com/MonitorCOID","@MonitorCOID")</f>
        <v>@MonitorCOID</v>
      </c>
      <c r="C35108" s="8" t="s">
        <v>13484</v>
      </c>
      <c r="D35108" s="8">
        <v>0</v>
      </c>
      <c r="E35108" s="8">
        <v>0</v>
      </c>
      <c r="F35108" s="8">
        <v>2633</v>
      </c>
    </row>
    <row r="35109" spans="1:6" ht="12.75">
      <c r="A35109" s="8">
        <v>43888.712175925924</v>
      </c>
      <c r="B35109" s="8" t="str">
        <f>HYPERLINK("https://twitter.com/kbharianaceh","@kbharianaceh")</f>
        <v>@kbharianaceh</v>
      </c>
      <c r="C35109" s="8" t="s">
        <v>13485</v>
      </c>
      <c r="D35109" s="8">
        <v>0</v>
      </c>
      <c r="E35109" s="8">
        <v>0</v>
      </c>
      <c r="F35109" s="8">
        <v>1192</v>
      </c>
    </row>
    <row r="35110" spans="1:6" ht="12.75">
      <c r="A35110" s="8">
        <v>43888.712083333332</v>
      </c>
      <c r="B35110" s="8" t="str">
        <f>HYPERLINK("https://twitter.com/cnbcindonesia","@cnbcindonesia")</f>
        <v>@cnbcindonesia</v>
      </c>
      <c r="C35110" s="8" t="s">
        <v>13486</v>
      </c>
      <c r="D35110" s="8">
        <v>0</v>
      </c>
      <c r="E35110" s="8">
        <v>0</v>
      </c>
      <c r="F35110" s="8">
        <v>30923</v>
      </c>
    </row>
    <row r="35111" spans="1:6" ht="12.75">
      <c r="A35111" s="8">
        <v>43888.71199074074</v>
      </c>
      <c r="B35111" s="8" t="str">
        <f>HYPERLINK("https://twitter.com/KBRI__Roma","@KBRI__Roma")</f>
        <v>@KBRI__Roma</v>
      </c>
      <c r="C35111" s="8" t="s">
        <v>13487</v>
      </c>
      <c r="D35111" s="8">
        <v>0</v>
      </c>
      <c r="E35111" s="8">
        <v>0</v>
      </c>
      <c r="F35111" s="8">
        <v>1053</v>
      </c>
    </row>
    <row r="35112" spans="1:6" ht="12.75">
      <c r="A35112" s="8">
        <v>43888.71194444444</v>
      </c>
      <c r="B35112" s="8" t="str">
        <f>HYPERLINK("https://twitter.com/fakhrudinmy","@fakhrudinmy")</f>
        <v>@fakhrudinmy</v>
      </c>
      <c r="C35112" s="8" t="s">
        <v>593</v>
      </c>
      <c r="D35112" s="8">
        <v>327</v>
      </c>
      <c r="E35112" s="8">
        <v>0</v>
      </c>
      <c r="F35112" s="8">
        <v>98</v>
      </c>
    </row>
    <row r="35113" spans="1:6" ht="12.75">
      <c r="A35113" s="8">
        <v>43888.711851851855</v>
      </c>
      <c r="B35113" s="8" t="str">
        <f>HYPERLINK("https://twitter.com/goenawangn","@goenawangn")</f>
        <v>@goenawangn</v>
      </c>
      <c r="C35113" s="8" t="s">
        <v>12730</v>
      </c>
      <c r="D35113" s="8">
        <v>53</v>
      </c>
      <c r="E35113" s="8">
        <v>0</v>
      </c>
      <c r="F35113" s="8">
        <v>628</v>
      </c>
    </row>
    <row r="35114" spans="1:6" ht="12.75">
      <c r="A35114" s="8">
        <v>43888.711828703701</v>
      </c>
      <c r="B35114" s="8" t="str">
        <f>HYPERLINK("https://twitter.com/d2balitour","@d2balitour")</f>
        <v>@d2balitour</v>
      </c>
      <c r="C35114" s="8" t="s">
        <v>6863</v>
      </c>
      <c r="D35114" s="8">
        <v>214</v>
      </c>
      <c r="E35114" s="8">
        <v>0</v>
      </c>
      <c r="F35114" s="8">
        <v>346</v>
      </c>
    </row>
    <row r="35115" spans="1:6" ht="12.75">
      <c r="A35115" s="8">
        <v>43888.71157407407</v>
      </c>
      <c r="B35115" s="8" t="str">
        <f>HYPERLINK("https://twitter.com/dira226","@dira226")</f>
        <v>@dira226</v>
      </c>
      <c r="C35115" s="8" t="s">
        <v>13273</v>
      </c>
      <c r="D35115" s="8">
        <v>6</v>
      </c>
      <c r="E35115" s="8">
        <v>0</v>
      </c>
      <c r="F35115" s="8">
        <v>937</v>
      </c>
    </row>
    <row r="35116" spans="1:6" ht="12.75">
      <c r="A35116" s="8">
        <v>43888.711527777778</v>
      </c>
      <c r="B35116" s="8" t="str">
        <f>HYPERLINK("https://twitter.com/FitriiPipiit","@FitriiPipiit")</f>
        <v>@FitriiPipiit</v>
      </c>
      <c r="C35116" s="8" t="s">
        <v>13488</v>
      </c>
      <c r="D35116" s="8">
        <v>0</v>
      </c>
      <c r="E35116" s="8">
        <v>0</v>
      </c>
      <c r="F35116" s="8">
        <v>500</v>
      </c>
    </row>
    <row r="35117" spans="1:6" ht="12.75">
      <c r="A35117" s="8">
        <v>43888.711469907408</v>
      </c>
      <c r="B35117" s="8" t="str">
        <f>HYPERLINK("https://twitter.com/khaziqashraf","@khaziqashraf")</f>
        <v>@khaziqashraf</v>
      </c>
      <c r="C35117" s="8" t="s">
        <v>11102</v>
      </c>
      <c r="D35117" s="8">
        <v>16</v>
      </c>
      <c r="E35117" s="8">
        <v>0</v>
      </c>
      <c r="F35117" s="8">
        <v>2130</v>
      </c>
    </row>
    <row r="35118" spans="1:6" ht="12.75">
      <c r="A35118" s="8">
        <v>43888.711435185185</v>
      </c>
      <c r="B35118" s="8" t="str">
        <f>HYPERLINK("https://twitter.com/HrPuspita","@HrPuspita")</f>
        <v>@HrPuspita</v>
      </c>
      <c r="C35118" s="8" t="s">
        <v>13489</v>
      </c>
      <c r="D35118" s="8">
        <v>1</v>
      </c>
      <c r="E35118" s="8">
        <v>0</v>
      </c>
      <c r="F35118" s="8">
        <v>194</v>
      </c>
    </row>
    <row r="35119" spans="1:6" ht="12.75">
      <c r="A35119" s="8">
        <v>43888.711319444439</v>
      </c>
      <c r="B35119" s="8" t="str">
        <f>HYPERLINK("https://twitter.com/fachrurroziar","@fachrurroziar")</f>
        <v>@fachrurroziar</v>
      </c>
      <c r="C35119" s="8" t="s">
        <v>13419</v>
      </c>
      <c r="D35119" s="8">
        <v>2</v>
      </c>
      <c r="E35119" s="8">
        <v>0</v>
      </c>
      <c r="F35119" s="8">
        <v>273</v>
      </c>
    </row>
    <row r="35120" spans="1:6" ht="12.75">
      <c r="A35120" s="8">
        <v>43888.711134259254</v>
      </c>
      <c r="B35120" s="8" t="str">
        <f>HYPERLINK("https://twitter.com/Newsmedia20","@Newsmedia20")</f>
        <v>@Newsmedia20</v>
      </c>
      <c r="C35120" s="8" t="s">
        <v>13490</v>
      </c>
      <c r="D35120" s="8">
        <v>0</v>
      </c>
      <c r="E35120" s="8">
        <v>0</v>
      </c>
      <c r="F35120" s="8">
        <v>205</v>
      </c>
    </row>
    <row r="35121" spans="1:6" ht="12.75">
      <c r="A35121" s="8">
        <v>43888.71094907407</v>
      </c>
      <c r="B35121" s="8" t="str">
        <f>HYPERLINK("https://twitter.com/fahmimorphies","@fahmimorphies")</f>
        <v>@fahmimorphies</v>
      </c>
      <c r="C35121" s="8" t="s">
        <v>7243</v>
      </c>
      <c r="D35121" s="8">
        <v>104</v>
      </c>
      <c r="E35121" s="8">
        <v>0</v>
      </c>
      <c r="F35121" s="8">
        <v>58</v>
      </c>
    </row>
    <row r="35122" spans="1:6" ht="12.75">
      <c r="A35122" s="8">
        <v>43888.710902777777</v>
      </c>
      <c r="B35122" s="8" t="str">
        <f>HYPERLINK("https://twitter.com/fatma_choi","@fatma_choi")</f>
        <v>@fatma_choi</v>
      </c>
      <c r="C35122" s="8" t="s">
        <v>12651</v>
      </c>
      <c r="D35122" s="8">
        <v>2</v>
      </c>
      <c r="E35122" s="8">
        <v>0</v>
      </c>
      <c r="F35122" s="8">
        <v>733</v>
      </c>
    </row>
    <row r="35123" spans="1:6" ht="12.75">
      <c r="A35123" s="8">
        <v>43888.710821759261</v>
      </c>
      <c r="B35123" s="8" t="str">
        <f>HYPERLINK("https://twitter.com/rudinhoe11","@rudinhoe11")</f>
        <v>@rudinhoe11</v>
      </c>
      <c r="C35123" s="8" t="s">
        <v>7243</v>
      </c>
      <c r="D35123" s="8">
        <v>104</v>
      </c>
      <c r="E35123" s="8">
        <v>0</v>
      </c>
      <c r="F35123" s="8">
        <v>68</v>
      </c>
    </row>
    <row r="35124" spans="1:6" ht="12.75">
      <c r="A35124" s="8">
        <v>43888.710775462961</v>
      </c>
      <c r="B35124" s="8" t="str">
        <f>HYPERLINK("https://twitter.com/Dane_Lombardo","@Dane_Lombardo")</f>
        <v>@Dane_Lombardo</v>
      </c>
      <c r="C35124" s="8" t="s">
        <v>11102</v>
      </c>
      <c r="D35124" s="8">
        <v>16</v>
      </c>
      <c r="E35124" s="8">
        <v>0</v>
      </c>
      <c r="F35124" s="8">
        <v>408</v>
      </c>
    </row>
    <row r="35125" spans="1:6" ht="12.75">
      <c r="A35125" s="8">
        <v>43888.710636574076</v>
      </c>
      <c r="B35125" s="8" t="str">
        <f>HYPERLINK("https://twitter.com/pinkeumagic","@pinkeumagic")</f>
        <v>@pinkeumagic</v>
      </c>
      <c r="C35125" s="8" t="s">
        <v>13273</v>
      </c>
      <c r="D35125" s="8">
        <v>6</v>
      </c>
      <c r="E35125" s="8">
        <v>0</v>
      </c>
      <c r="F35125" s="8">
        <v>1382</v>
      </c>
    </row>
    <row r="35126" spans="1:6" ht="12.75">
      <c r="A35126" s="8">
        <v>43888.710439814815</v>
      </c>
      <c r="B35126" s="8" t="str">
        <f>HYPERLINK("https://twitter.com/indahpaiq","@indahpaiq")</f>
        <v>@indahpaiq</v>
      </c>
      <c r="C35126" s="8" t="s">
        <v>13491</v>
      </c>
      <c r="D35126" s="8">
        <v>1</v>
      </c>
      <c r="E35126" s="8">
        <v>0</v>
      </c>
      <c r="F35126" s="8">
        <v>14</v>
      </c>
    </row>
    <row r="35127" spans="1:6" ht="12.75">
      <c r="A35127" s="8">
        <v>43888.710347222222</v>
      </c>
      <c r="B35127" s="8" t="str">
        <f>HYPERLINK("https://twitter.com/endang_ano","@endang_ano")</f>
        <v>@endang_ano</v>
      </c>
      <c r="C35127" s="8" t="s">
        <v>13492</v>
      </c>
      <c r="D35127" s="8">
        <v>1</v>
      </c>
      <c r="E35127" s="8">
        <v>0</v>
      </c>
      <c r="F35127" s="8">
        <v>72</v>
      </c>
    </row>
    <row r="35128" spans="1:6" ht="12.75">
      <c r="A35128" s="8">
        <v>43888.710312499999</v>
      </c>
      <c r="B35128" s="8" t="str">
        <f>HYPERLINK("https://twitter.com/ceknricekcom_id","@ceknricekcom_id")</f>
        <v>@ceknricekcom_id</v>
      </c>
      <c r="C35128" s="8" t="s">
        <v>13493</v>
      </c>
      <c r="D35128" s="8">
        <v>0</v>
      </c>
      <c r="E35128" s="8">
        <v>1</v>
      </c>
      <c r="F35128" s="8">
        <v>29571</v>
      </c>
    </row>
    <row r="35129" spans="1:6" ht="12.75">
      <c r="A35129" s="8">
        <v>43888.710277777776</v>
      </c>
      <c r="B35129" s="8" t="str">
        <f>HYPERLINK("https://twitter.com/AimanJudakusum1","@AimanJudakusum1")</f>
        <v>@AimanJudakusum1</v>
      </c>
      <c r="C35129" s="8" t="s">
        <v>12807</v>
      </c>
      <c r="D35129" s="8">
        <v>2</v>
      </c>
      <c r="E35129" s="8">
        <v>0</v>
      </c>
      <c r="F35129" s="8">
        <v>166</v>
      </c>
    </row>
    <row r="35130" spans="1:6" ht="12.75">
      <c r="A35130" s="8">
        <v>43888.710243055553</v>
      </c>
      <c r="B35130" s="8" t="str">
        <f>HYPERLINK("https://twitter.com/JajangPakeJ","@JajangPakeJ")</f>
        <v>@JajangPakeJ</v>
      </c>
      <c r="C35130" s="8" t="s">
        <v>13494</v>
      </c>
      <c r="D35130" s="8">
        <v>1</v>
      </c>
      <c r="E35130" s="8">
        <v>0</v>
      </c>
      <c r="F35130" s="8">
        <v>44</v>
      </c>
    </row>
    <row r="35131" spans="1:6" ht="12.75">
      <c r="A35131" s="8">
        <v>43888.71020833333</v>
      </c>
      <c r="B35131" s="8" t="str">
        <f>HYPERLINK("https://twitter.com/imanhidayat1280","@imanhidayat1280")</f>
        <v>@imanhidayat1280</v>
      </c>
      <c r="C35131" s="8" t="s">
        <v>13495</v>
      </c>
      <c r="D35131" s="8">
        <v>16</v>
      </c>
      <c r="E35131" s="8">
        <v>0</v>
      </c>
      <c r="F35131" s="8">
        <v>618</v>
      </c>
    </row>
    <row r="35132" spans="1:6" ht="12.75">
      <c r="A35132" s="8">
        <v>43888.710104166668</v>
      </c>
      <c r="B35132" s="8" t="str">
        <f>HYPERLINK("https://twitter.com/firaunrebahan","@firaunrebahan")</f>
        <v>@firaunrebahan</v>
      </c>
      <c r="C35132" s="8" t="s">
        <v>299</v>
      </c>
      <c r="D35132" s="8">
        <v>4735</v>
      </c>
      <c r="E35132" s="8">
        <v>0</v>
      </c>
      <c r="F35132" s="8">
        <v>51</v>
      </c>
    </row>
    <row r="35133" spans="1:6" ht="12.75">
      <c r="A35133" s="8">
        <v>43888.709988425922</v>
      </c>
      <c r="B35133" s="8" t="str">
        <f>HYPERLINK("https://twitter.com/Na_Aleeya","@Na_Aleeya")</f>
        <v>@Na_Aleeya</v>
      </c>
      <c r="C35133" s="8" t="s">
        <v>13419</v>
      </c>
      <c r="D35133" s="8">
        <v>2</v>
      </c>
      <c r="E35133" s="8">
        <v>0</v>
      </c>
      <c r="F35133" s="8">
        <v>1872</v>
      </c>
    </row>
    <row r="35134" spans="1:6" ht="12.75">
      <c r="A35134" s="8">
        <v>43888.709652777776</v>
      </c>
      <c r="B35134" s="8" t="str">
        <f>HYPERLINK("https://twitter.com/deniz_bayu","@deniz_bayu")</f>
        <v>@deniz_bayu</v>
      </c>
      <c r="C35134" s="8" t="s">
        <v>13496</v>
      </c>
      <c r="D35134" s="8">
        <v>0</v>
      </c>
      <c r="E35134" s="8">
        <v>0</v>
      </c>
      <c r="F35134" s="8">
        <v>151</v>
      </c>
    </row>
    <row r="35135" spans="1:6" ht="12.75">
      <c r="A35135" s="8">
        <v>43888.709652777776</v>
      </c>
      <c r="B35135" s="8" t="str">
        <f t="shared" ref="B35135:B35136" si="497">HYPERLINK("https://twitter.com/GroovyInsider","@GroovyInsider")</f>
        <v>@GroovyInsider</v>
      </c>
      <c r="C35135" s="8" t="s">
        <v>13497</v>
      </c>
      <c r="D35135" s="8">
        <v>1</v>
      </c>
      <c r="E35135" s="8">
        <v>0</v>
      </c>
      <c r="F35135" s="8">
        <v>455</v>
      </c>
    </row>
    <row r="35136" spans="1:6" ht="12.75">
      <c r="A35136" s="8">
        <v>43888.709594907406</v>
      </c>
      <c r="B35136" s="8" t="str">
        <f t="shared" si="497"/>
        <v>@GroovyInsider</v>
      </c>
      <c r="C35136" s="8" t="s">
        <v>12651</v>
      </c>
      <c r="D35136" s="8">
        <v>2</v>
      </c>
      <c r="E35136" s="8">
        <v>0</v>
      </c>
      <c r="F35136" s="8">
        <v>455</v>
      </c>
    </row>
    <row r="35137" spans="1:6" ht="12.75">
      <c r="A35137" s="8">
        <v>43888.709293981483</v>
      </c>
      <c r="B35137" s="8" t="str">
        <f>HYPERLINK("https://twitter.com/Realsandistd","@Realsandistd")</f>
        <v>@Realsandistd</v>
      </c>
      <c r="C35137" s="8" t="s">
        <v>13273</v>
      </c>
      <c r="D35137" s="8">
        <v>6</v>
      </c>
      <c r="E35137" s="8">
        <v>0</v>
      </c>
      <c r="F35137" s="8">
        <v>1114</v>
      </c>
    </row>
    <row r="35138" spans="1:6" ht="12.75">
      <c r="A35138" s="8">
        <v>43888.709074074075</v>
      </c>
      <c r="B35138" s="8" t="str">
        <f>HYPERLINK("https://twitter.com/agustin_sastra","@agustin_sastra")</f>
        <v>@agustin_sastra</v>
      </c>
      <c r="C35138" s="8" t="s">
        <v>12756</v>
      </c>
      <c r="D35138" s="8">
        <v>33</v>
      </c>
      <c r="E35138" s="8">
        <v>0</v>
      </c>
      <c r="F35138" s="8">
        <v>549</v>
      </c>
    </row>
    <row r="35139" spans="1:6" ht="12.75">
      <c r="A35139" s="8">
        <v>43888.708958333329</v>
      </c>
      <c r="B35139" s="8" t="str">
        <f>HYPERLINK("https://twitter.com/KBRI__Roma","@KBRI__Roma")</f>
        <v>@KBRI__Roma</v>
      </c>
      <c r="C35139" s="8" t="s">
        <v>13498</v>
      </c>
      <c r="D35139" s="8">
        <v>1</v>
      </c>
      <c r="E35139" s="8">
        <v>0</v>
      </c>
      <c r="F35139" s="8">
        <v>1053</v>
      </c>
    </row>
    <row r="35140" spans="1:6" ht="12.75">
      <c r="A35140" s="8">
        <v>43888.708541666667</v>
      </c>
      <c r="B35140" s="8" t="str">
        <f>HYPERLINK("https://twitter.com/erdobani","@erdobani")</f>
        <v>@erdobani</v>
      </c>
      <c r="C35140" s="8" t="s">
        <v>13499</v>
      </c>
      <c r="D35140" s="8">
        <v>0</v>
      </c>
      <c r="E35140" s="8">
        <v>0</v>
      </c>
      <c r="F35140" s="8">
        <v>107</v>
      </c>
    </row>
    <row r="35141" spans="1:6" ht="12.75">
      <c r="A35141" s="8">
        <v>43888.708379629628</v>
      </c>
      <c r="B35141" s="8" t="str">
        <f>HYPERLINK("https://twitter.com/shiningineast","@shiningineast")</f>
        <v>@shiningineast</v>
      </c>
      <c r="C35141" s="8" t="s">
        <v>13273</v>
      </c>
      <c r="D35141" s="8">
        <v>6</v>
      </c>
      <c r="E35141" s="8">
        <v>0</v>
      </c>
      <c r="F35141" s="8">
        <v>1037</v>
      </c>
    </row>
    <row r="35142" spans="1:6" ht="12.75">
      <c r="A35142" s="8">
        <v>43888.708344907413</v>
      </c>
      <c r="B35142" s="8" t="str">
        <f>HYPERLINK("https://twitter.com/MZubir_ID","@MZubir_ID")</f>
        <v>@MZubir_ID</v>
      </c>
      <c r="C35142" s="8" t="s">
        <v>13500</v>
      </c>
      <c r="D35142" s="8">
        <v>0</v>
      </c>
      <c r="E35142" s="8">
        <v>1</v>
      </c>
      <c r="F35142" s="8">
        <v>5862</v>
      </c>
    </row>
    <row r="35143" spans="1:6" ht="12.75">
      <c r="A35143" s="8">
        <v>43888.708333333328</v>
      </c>
      <c r="B35143" s="8" t="str">
        <f>HYPERLINK("https://twitter.com/IndonesiaBaikId","@IndonesiaBaikId")</f>
        <v>@IndonesiaBaikId</v>
      </c>
      <c r="C35143" s="8" t="s">
        <v>13501</v>
      </c>
      <c r="D35143" s="8">
        <v>2</v>
      </c>
      <c r="E35143" s="8">
        <v>1</v>
      </c>
      <c r="F35143" s="8">
        <v>13223</v>
      </c>
    </row>
    <row r="35144" spans="1:6" ht="12.75">
      <c r="A35144" s="8">
        <v>43888.708287037036</v>
      </c>
      <c r="B35144" s="8" t="str">
        <f>HYPERLINK("https://twitter.com/antobalboa1","@antobalboa1")</f>
        <v>@antobalboa1</v>
      </c>
      <c r="C35144" s="8" t="s">
        <v>13502</v>
      </c>
      <c r="D35144" s="8">
        <v>0</v>
      </c>
      <c r="E35144" s="8">
        <v>1</v>
      </c>
      <c r="F35144" s="8">
        <v>10</v>
      </c>
    </row>
    <row r="35145" spans="1:6" ht="12.75">
      <c r="A35145" s="8">
        <v>43888.708182870367</v>
      </c>
      <c r="B35145" s="8" t="str">
        <f>HYPERLINK("https://twitter.com/AgusSup39011241","@AgusSup39011241")</f>
        <v>@AgusSup39011241</v>
      </c>
      <c r="C35145" s="8" t="s">
        <v>13503</v>
      </c>
      <c r="D35145" s="8">
        <v>2</v>
      </c>
      <c r="E35145" s="8">
        <v>0</v>
      </c>
      <c r="F35145" s="8">
        <v>10308</v>
      </c>
    </row>
    <row r="35146" spans="1:6" ht="12.75">
      <c r="A35146" s="8">
        <v>43888.708113425921</v>
      </c>
      <c r="B35146" s="8" t="str">
        <f>HYPERLINK("https://twitter.com/andy_nomicin","@andy_nomicin")</f>
        <v>@andy_nomicin</v>
      </c>
      <c r="C35146" s="8" t="s">
        <v>12899</v>
      </c>
      <c r="D35146" s="8">
        <v>5</v>
      </c>
      <c r="E35146" s="8">
        <v>0</v>
      </c>
      <c r="F35146" s="8">
        <v>7417</v>
      </c>
    </row>
    <row r="35147" spans="1:6" ht="12.75">
      <c r="A35147" s="8">
        <v>43888.708090277782</v>
      </c>
      <c r="B35147" s="8" t="str">
        <f>HYPERLINK("https://twitter.com/diahnovitaa","@diahnovitaa")</f>
        <v>@diahnovitaa</v>
      </c>
      <c r="C35147" s="8" t="s">
        <v>12800</v>
      </c>
      <c r="D35147" s="8">
        <v>204</v>
      </c>
      <c r="E35147" s="8">
        <v>0</v>
      </c>
      <c r="F35147" s="8">
        <v>1055</v>
      </c>
    </row>
    <row r="35148" spans="1:6" ht="12.75">
      <c r="A35148" s="8">
        <v>43888.707997685182</v>
      </c>
      <c r="B35148" s="8" t="str">
        <f>HYPERLINK("https://twitter.com/RidwanRoti","@RidwanRoti")</f>
        <v>@RidwanRoti</v>
      </c>
      <c r="C35148" s="8" t="s">
        <v>13504</v>
      </c>
      <c r="D35148" s="8">
        <v>0</v>
      </c>
      <c r="E35148" s="8">
        <v>0</v>
      </c>
      <c r="F35148" s="8">
        <v>125</v>
      </c>
    </row>
    <row r="35149" spans="1:6" ht="12.75">
      <c r="A35149" s="8">
        <v>43888.707800925928</v>
      </c>
      <c r="B35149" s="8" t="str">
        <f>HYPERLINK("https://twitter.com/MaramisSeprizal","@MaramisSeprizal")</f>
        <v>@MaramisSeprizal</v>
      </c>
      <c r="C35149" s="8" t="s">
        <v>11217</v>
      </c>
      <c r="D35149" s="8">
        <v>11</v>
      </c>
      <c r="E35149" s="8">
        <v>0</v>
      </c>
      <c r="F35149" s="8">
        <v>1477</v>
      </c>
    </row>
    <row r="35150" spans="1:6" ht="12.75">
      <c r="A35150" s="8">
        <v>43888.707789351851</v>
      </c>
      <c r="B35150" s="8" t="str">
        <f>HYPERLINK("https://twitter.com/YogaAdrianyoga6","@YogaAdrianyoga6")</f>
        <v>@YogaAdrianyoga6</v>
      </c>
      <c r="C35150" s="8" t="s">
        <v>13505</v>
      </c>
      <c r="D35150" s="8">
        <v>20</v>
      </c>
      <c r="E35150" s="8">
        <v>0</v>
      </c>
      <c r="F35150" s="8">
        <v>790</v>
      </c>
    </row>
    <row r="35151" spans="1:6" ht="12.75">
      <c r="A35151" s="8">
        <v>43888.707696759258</v>
      </c>
      <c r="B35151" s="8" t="str">
        <f>HYPERLINK("https://twitter.com/diahnovitaa","@diahnovitaa")</f>
        <v>@diahnovitaa</v>
      </c>
      <c r="C35151" s="8" t="s">
        <v>13273</v>
      </c>
      <c r="D35151" s="8">
        <v>6</v>
      </c>
      <c r="E35151" s="8">
        <v>0</v>
      </c>
      <c r="F35151" s="8">
        <v>1055</v>
      </c>
    </row>
    <row r="35152" spans="1:6" ht="12.75">
      <c r="A35152" s="8">
        <v>43888.707604166666</v>
      </c>
      <c r="B35152" s="8" t="str">
        <f>HYPERLINK("https://twitter.com/MhangunMr","@MhangunMr")</f>
        <v>@MhangunMr</v>
      </c>
      <c r="C35152" s="8" t="s">
        <v>13506</v>
      </c>
      <c r="D35152" s="8">
        <v>0</v>
      </c>
      <c r="E35152" s="8">
        <v>0</v>
      </c>
      <c r="F35152" s="8">
        <v>212</v>
      </c>
    </row>
    <row r="35153" spans="1:6" ht="12.75">
      <c r="A35153" s="8">
        <v>43888.707465277781</v>
      </c>
      <c r="B35153" s="8" t="str">
        <f>HYPERLINK("https://twitter.com/AkangJody","@AkangJody")</f>
        <v>@AkangJody</v>
      </c>
      <c r="C35153" s="8" t="s">
        <v>7243</v>
      </c>
      <c r="D35153" s="8">
        <v>104</v>
      </c>
      <c r="E35153" s="8">
        <v>0</v>
      </c>
      <c r="F35153" s="8">
        <v>25</v>
      </c>
    </row>
    <row r="35154" spans="1:6" ht="12.75">
      <c r="A35154" s="8">
        <v>43888.707407407404</v>
      </c>
      <c r="B35154" s="8" t="str">
        <f>HYPERLINK("https://twitter.com/valentinoroti4","@valentinoroti4")</f>
        <v>@valentinoroti4</v>
      </c>
      <c r="C35154" s="8" t="s">
        <v>13507</v>
      </c>
      <c r="D35154" s="8">
        <v>0</v>
      </c>
      <c r="E35154" s="8">
        <v>0</v>
      </c>
      <c r="F35154" s="8">
        <v>7</v>
      </c>
    </row>
    <row r="35155" spans="1:6" ht="12.75">
      <c r="A35155" s="8">
        <v>43888.707303240742</v>
      </c>
      <c r="B35155" s="8" t="str">
        <f>HYPERLINK("https://twitter.com/RapiHerdiansyah","@RapiHerdiansyah")</f>
        <v>@RapiHerdiansyah</v>
      </c>
      <c r="C35155" s="8" t="s">
        <v>13508</v>
      </c>
      <c r="D35155" s="8">
        <v>1</v>
      </c>
      <c r="E35155" s="8">
        <v>0</v>
      </c>
      <c r="F35155" s="8">
        <v>1357</v>
      </c>
    </row>
    <row r="35156" spans="1:6" ht="12.75">
      <c r="A35156" s="8">
        <v>43888.70711805555</v>
      </c>
      <c r="B35156" s="8" t="str">
        <f>HYPERLINK("https://twitter.com/minhyunsc","@minhyunsc")</f>
        <v>@minhyunsc</v>
      </c>
      <c r="C35156" s="8" t="s">
        <v>13509</v>
      </c>
      <c r="D35156" s="8">
        <v>0</v>
      </c>
      <c r="E35156" s="8">
        <v>0</v>
      </c>
      <c r="F35156" s="8">
        <v>7509</v>
      </c>
    </row>
    <row r="35157" spans="1:6" ht="12.75">
      <c r="A35157" s="8">
        <v>43888.70711805555</v>
      </c>
      <c r="B35157" s="8" t="str">
        <f>HYPERLINK("https://twitter.com/matasayu_","@matasayu_")</f>
        <v>@matasayu_</v>
      </c>
      <c r="C35157" s="8" t="s">
        <v>13510</v>
      </c>
      <c r="D35157" s="8">
        <v>1</v>
      </c>
      <c r="E35157" s="8">
        <v>0</v>
      </c>
      <c r="F35157" s="8">
        <v>111</v>
      </c>
    </row>
    <row r="35158" spans="1:6" ht="12.75">
      <c r="A35158" s="8">
        <v>43888.707048611112</v>
      </c>
      <c r="B35158" s="8" t="str">
        <f>HYPERLINK("https://twitter.com/Coki03055491","@Coki03055491")</f>
        <v>@Coki03055491</v>
      </c>
      <c r="C35158" s="8" t="s">
        <v>13511</v>
      </c>
      <c r="D35158" s="8">
        <v>0</v>
      </c>
      <c r="E35158" s="8">
        <v>0</v>
      </c>
      <c r="F35158" s="8">
        <v>55</v>
      </c>
    </row>
    <row r="35159" spans="1:6" ht="12.75">
      <c r="A35159" s="8">
        <v>43888.706967592589</v>
      </c>
      <c r="B35159" s="8" t="str">
        <f>HYPERLINK("https://twitter.com/bc_institut","@bc_institut")</f>
        <v>@bc_institut</v>
      </c>
      <c r="C35159" s="8" t="s">
        <v>13490</v>
      </c>
      <c r="D35159" s="8">
        <v>0</v>
      </c>
      <c r="E35159" s="8">
        <v>0</v>
      </c>
      <c r="F35159" s="8">
        <v>233</v>
      </c>
    </row>
    <row r="35160" spans="1:6" ht="12.75">
      <c r="A35160" s="8">
        <v>43888.706967592589</v>
      </c>
      <c r="B35160" s="8" t="str">
        <f>HYPERLINK("https://twitter.com/DuwiNuraeni","@DuwiNuraeni")</f>
        <v>@DuwiNuraeni</v>
      </c>
      <c r="C35160" s="8" t="s">
        <v>13490</v>
      </c>
      <c r="D35160" s="8">
        <v>0</v>
      </c>
      <c r="E35160" s="8">
        <v>0</v>
      </c>
      <c r="F35160" s="8">
        <v>874</v>
      </c>
    </row>
    <row r="35161" spans="1:6" ht="12.75">
      <c r="A35161" s="8">
        <v>43888.706956018519</v>
      </c>
      <c r="B35161" s="8" t="str">
        <f>HYPERLINK("https://twitter.com/RapiHerdiansyah","@RapiHerdiansyah")</f>
        <v>@RapiHerdiansyah</v>
      </c>
      <c r="C35161" s="8" t="s">
        <v>13490</v>
      </c>
      <c r="D35161" s="8">
        <v>0</v>
      </c>
      <c r="E35161" s="8">
        <v>0</v>
      </c>
      <c r="F35161" s="8">
        <v>1357</v>
      </c>
    </row>
    <row r="35162" spans="1:6" ht="12.75">
      <c r="A35162" s="8">
        <v>43888.706956018519</v>
      </c>
      <c r="B35162" s="8" t="str">
        <f>HYPERLINK("https://twitter.com/Nyang_nyang33","@Nyang_nyang33")</f>
        <v>@Nyang_nyang33</v>
      </c>
      <c r="C35162" s="8" t="s">
        <v>7243</v>
      </c>
      <c r="D35162" s="8">
        <v>104</v>
      </c>
      <c r="E35162" s="8">
        <v>0</v>
      </c>
      <c r="F35162" s="8">
        <v>37</v>
      </c>
    </row>
    <row r="35163" spans="1:6" ht="12.75">
      <c r="A35163" s="8">
        <v>43888.706956018519</v>
      </c>
      <c r="B35163" s="8" t="str">
        <f>HYPERLINK("https://twitter.com/newsmediacoid","@newsmediacoid")</f>
        <v>@newsmediacoid</v>
      </c>
      <c r="C35163" s="8" t="s">
        <v>13490</v>
      </c>
      <c r="D35163" s="8">
        <v>1</v>
      </c>
      <c r="E35163" s="8">
        <v>0</v>
      </c>
      <c r="F35163" s="8">
        <v>1385</v>
      </c>
    </row>
    <row r="35164" spans="1:6" ht="12.75">
      <c r="A35164" s="8">
        <v>43888.706828703704</v>
      </c>
      <c r="B35164" s="8" t="str">
        <f>HYPERLINK("https://twitter.com/erdobani","@erdobani")</f>
        <v>@erdobani</v>
      </c>
      <c r="C35164" s="8" t="s">
        <v>13512</v>
      </c>
      <c r="D35164" s="8">
        <v>0</v>
      </c>
      <c r="E35164" s="8">
        <v>0</v>
      </c>
      <c r="F35164" s="8">
        <v>107</v>
      </c>
    </row>
    <row r="35165" spans="1:6" ht="12.75">
      <c r="A35165" s="8">
        <v>43888.706701388888</v>
      </c>
      <c r="B35165" s="8" t="str">
        <f>HYPERLINK("https://twitter.com/tempodotco","@tempodotco")</f>
        <v>@tempodotco</v>
      </c>
      <c r="C35165" s="8" t="s">
        <v>13513</v>
      </c>
      <c r="D35165" s="8">
        <v>1</v>
      </c>
      <c r="E35165" s="8">
        <v>1</v>
      </c>
      <c r="F35165" s="8">
        <v>1713512</v>
      </c>
    </row>
    <row r="35166" spans="1:6" ht="12.75">
      <c r="A35166" s="8">
        <v>43888.706585648149</v>
      </c>
      <c r="B35166" s="8" t="str">
        <f>HYPERLINK("https://twitter.com/andris44","@andris44")</f>
        <v>@andris44</v>
      </c>
      <c r="C35166" s="8" t="s">
        <v>13514</v>
      </c>
      <c r="D35166" s="8">
        <v>0</v>
      </c>
      <c r="E35166" s="8">
        <v>0</v>
      </c>
      <c r="F35166" s="8">
        <v>1365</v>
      </c>
    </row>
    <row r="35167" spans="1:6" ht="12.75">
      <c r="A35167" s="8">
        <v>43888.706504629634</v>
      </c>
      <c r="B35167" s="8" t="str">
        <f>HYPERLINK("https://twitter.com/idpenamini","@idpenamini")</f>
        <v>@idpenamini</v>
      </c>
      <c r="C35167" s="8" t="s">
        <v>13515</v>
      </c>
      <c r="D35167" s="8">
        <v>0</v>
      </c>
      <c r="E35167" s="8">
        <v>0</v>
      </c>
      <c r="F35167" s="8">
        <v>173</v>
      </c>
    </row>
    <row r="35168" spans="1:6" ht="12.75">
      <c r="A35168" s="8">
        <v>43888.706423611111</v>
      </c>
      <c r="B35168" s="8" t="str">
        <f>HYPERLINK("https://twitter.com/rachflowy","@rachflowy")</f>
        <v>@rachflowy</v>
      </c>
      <c r="C35168" s="8" t="s">
        <v>13516</v>
      </c>
      <c r="D35168" s="8">
        <v>0</v>
      </c>
      <c r="E35168" s="8">
        <v>0</v>
      </c>
      <c r="F35168" s="8">
        <v>53</v>
      </c>
    </row>
    <row r="35169" spans="1:6" ht="12.75">
      <c r="A35169" s="8">
        <v>43888.706354166672</v>
      </c>
      <c r="B35169" s="8" t="str">
        <f>HYPERLINK("https://twitter.com/jatengtodaycom","@jatengtodaycom")</f>
        <v>@jatengtodaycom</v>
      </c>
      <c r="C35169" s="8" t="s">
        <v>13517</v>
      </c>
      <c r="D35169" s="8">
        <v>0</v>
      </c>
      <c r="E35169" s="8">
        <v>0</v>
      </c>
      <c r="F35169" s="8">
        <v>76</v>
      </c>
    </row>
    <row r="35170" spans="1:6" ht="12.75">
      <c r="A35170" s="8">
        <v>43888.706226851849</v>
      </c>
      <c r="B35170" s="8" t="str">
        <f>HYPERLINK("https://twitter.com/KBRI__Roma","@KBRI__Roma")</f>
        <v>@KBRI__Roma</v>
      </c>
      <c r="C35170" s="8" t="s">
        <v>13518</v>
      </c>
      <c r="D35170" s="8">
        <v>2</v>
      </c>
      <c r="E35170" s="8">
        <v>0</v>
      </c>
      <c r="F35170" s="8">
        <v>1053</v>
      </c>
    </row>
    <row r="35171" spans="1:6" ht="12.75">
      <c r="A35171" s="8">
        <v>43888.706111111111</v>
      </c>
      <c r="B35171" s="8" t="str">
        <f>HYPERLINK("https://twitter.com/yogo_prst","@yogo_prst")</f>
        <v>@yogo_prst</v>
      </c>
      <c r="C35171" s="8" t="s">
        <v>13519</v>
      </c>
      <c r="D35171" s="8">
        <v>1</v>
      </c>
      <c r="E35171" s="8">
        <v>0</v>
      </c>
      <c r="F35171" s="8">
        <v>706</v>
      </c>
    </row>
    <row r="35172" spans="1:6" ht="12.75">
      <c r="A35172" s="8">
        <v>43888.706018518518</v>
      </c>
      <c r="B35172" s="8" t="str">
        <f>HYPERLINK("https://twitter.com/Herlina86712408","@Herlina86712408")</f>
        <v>@Herlina86712408</v>
      </c>
      <c r="C35172" s="8" t="s">
        <v>26</v>
      </c>
      <c r="D35172" s="8">
        <v>159</v>
      </c>
      <c r="E35172" s="8">
        <v>0</v>
      </c>
      <c r="F35172" s="8">
        <v>18</v>
      </c>
    </row>
    <row r="35173" spans="1:6" ht="12.75">
      <c r="A35173" s="8">
        <v>43888.706006944441</v>
      </c>
      <c r="B35173" s="8" t="str">
        <f>HYPERLINK("https://twitter.com/MauricioLoren14","@MauricioLoren14")</f>
        <v>@MauricioLoren14</v>
      </c>
      <c r="C35173" s="8" t="s">
        <v>13520</v>
      </c>
      <c r="D35173" s="8">
        <v>1</v>
      </c>
      <c r="E35173" s="8">
        <v>0</v>
      </c>
      <c r="F35173" s="8">
        <v>392</v>
      </c>
    </row>
    <row r="35174" spans="1:6" ht="12.75">
      <c r="A35174" s="8">
        <v>43888.706006944441</v>
      </c>
      <c r="B35174" s="8" t="str">
        <f>HYPERLINK("https://twitter.com/smanti90","@smanti90")</f>
        <v>@smanti90</v>
      </c>
      <c r="C35174" s="8" t="s">
        <v>13521</v>
      </c>
      <c r="D35174" s="8">
        <v>0</v>
      </c>
      <c r="E35174" s="8">
        <v>0</v>
      </c>
      <c r="F35174" s="8">
        <v>264</v>
      </c>
    </row>
    <row r="35175" spans="1:6" ht="12.75">
      <c r="A35175" s="8">
        <v>43888.705949074079</v>
      </c>
      <c r="B35175" s="8" t="str">
        <f>HYPERLINK("https://twitter.com/atiqahhanazafi2","@atiqahhanazafi2")</f>
        <v>@atiqahhanazafi2</v>
      </c>
      <c r="C35175" s="8" t="s">
        <v>13522</v>
      </c>
      <c r="D35175" s="8">
        <v>0</v>
      </c>
      <c r="E35175" s="8">
        <v>1</v>
      </c>
      <c r="F35175" s="8">
        <v>2046</v>
      </c>
    </row>
    <row r="35176" spans="1:6" ht="12.75">
      <c r="A35176" s="8">
        <v>43888.705949074079</v>
      </c>
      <c r="B35176" s="8" t="str">
        <f>HYPERLINK("https://twitter.com/OffieSander","@OffieSander")</f>
        <v>@OffieSander</v>
      </c>
      <c r="C35176" s="8" t="s">
        <v>12730</v>
      </c>
      <c r="D35176" s="8">
        <v>53</v>
      </c>
      <c r="E35176" s="8">
        <v>0</v>
      </c>
      <c r="F35176" s="8">
        <v>558</v>
      </c>
    </row>
    <row r="35177" spans="1:6" ht="12.75">
      <c r="A35177" s="8">
        <v>43888.705937499995</v>
      </c>
      <c r="B35177" s="8" t="str">
        <f>HYPERLINK("https://twitter.com/MegaSimarmata","@MegaSimarmata")</f>
        <v>@MegaSimarmata</v>
      </c>
      <c r="C35177" s="8" t="s">
        <v>13523</v>
      </c>
      <c r="D35177" s="8">
        <v>0</v>
      </c>
      <c r="E35177" s="8">
        <v>0</v>
      </c>
      <c r="F35177" s="8">
        <v>20522</v>
      </c>
    </row>
    <row r="35178" spans="1:6" ht="12.75">
      <c r="A35178" s="8">
        <v>43888.705833333333</v>
      </c>
      <c r="B35178" s="8" t="str">
        <f>HYPERLINK("https://twitter.com/MGEindonesia","@MGEindonesia")</f>
        <v>@MGEindonesia</v>
      </c>
      <c r="C35178" s="8" t="s">
        <v>13524</v>
      </c>
      <c r="D35178" s="8">
        <v>1</v>
      </c>
      <c r="E35178" s="8">
        <v>0</v>
      </c>
      <c r="F35178" s="8">
        <v>7</v>
      </c>
    </row>
    <row r="35179" spans="1:6" ht="12.75">
      <c r="A35179" s="8">
        <v>43888.705821759257</v>
      </c>
      <c r="B35179" s="8" t="str">
        <f>HYPERLINK("https://twitter.com/cnbcindonesia","@cnbcindonesia")</f>
        <v>@cnbcindonesia</v>
      </c>
      <c r="C35179" s="8" t="s">
        <v>13525</v>
      </c>
      <c r="D35179" s="8">
        <v>0</v>
      </c>
      <c r="E35179" s="8">
        <v>0</v>
      </c>
      <c r="F35179" s="8">
        <v>30923</v>
      </c>
    </row>
    <row r="35180" spans="1:6" ht="12.75">
      <c r="A35180" s="8">
        <v>43888.705740740741</v>
      </c>
      <c r="B35180" s="8" t="str">
        <f>HYPERLINK("https://twitter.com/republikaonline","@republikaonline")</f>
        <v>@republikaonline</v>
      </c>
      <c r="C35180" s="8" t="s">
        <v>13526</v>
      </c>
      <c r="D35180" s="8">
        <v>0</v>
      </c>
      <c r="E35180" s="8">
        <v>0</v>
      </c>
      <c r="F35180" s="8">
        <v>1214649</v>
      </c>
    </row>
    <row r="35181" spans="1:6" ht="12.75">
      <c r="A35181" s="8">
        <v>43888.705613425926</v>
      </c>
      <c r="B35181" s="8" t="str">
        <f>HYPERLINK("https://twitter.com/antaranews","@antaranews")</f>
        <v>@antaranews</v>
      </c>
      <c r="C35181" s="8" t="s">
        <v>13527</v>
      </c>
      <c r="D35181" s="8">
        <v>1</v>
      </c>
      <c r="E35181" s="8">
        <v>1</v>
      </c>
      <c r="F35181" s="8">
        <v>1105508</v>
      </c>
    </row>
    <row r="35182" spans="1:6" ht="12.75">
      <c r="A35182" s="8">
        <v>43888.705497685187</v>
      </c>
      <c r="B35182" s="8" t="str">
        <f>HYPERLINK("https://twitter.com/rifian_edo","@rifian_edo")</f>
        <v>@rifian_edo</v>
      </c>
      <c r="C35182" s="8" t="s">
        <v>13528</v>
      </c>
      <c r="D35182" s="8">
        <v>0</v>
      </c>
      <c r="E35182" s="8">
        <v>0</v>
      </c>
      <c r="F35182" s="8">
        <v>854</v>
      </c>
    </row>
    <row r="35183" spans="1:6" ht="12.75">
      <c r="A35183" s="8">
        <v>43888.705405092594</v>
      </c>
      <c r="B35183" s="8" t="str">
        <f>HYPERLINK("https://twitter.com/_mertayoga","@_mertayoga")</f>
        <v>@_mertayoga</v>
      </c>
      <c r="C35183" s="8" t="s">
        <v>11217</v>
      </c>
      <c r="D35183" s="8">
        <v>11</v>
      </c>
      <c r="E35183" s="8">
        <v>0</v>
      </c>
      <c r="F35183" s="8">
        <v>519</v>
      </c>
    </row>
    <row r="35184" spans="1:6" ht="12.75">
      <c r="A35184" s="8">
        <v>43888.705324074079</v>
      </c>
      <c r="B35184" s="8" t="str">
        <f>HYPERLINK("https://twitter.com/CumaDe3","@CumaDe3")</f>
        <v>@CumaDe3</v>
      </c>
      <c r="C35184" s="8" t="s">
        <v>8036</v>
      </c>
      <c r="D35184" s="8">
        <v>6</v>
      </c>
      <c r="E35184" s="8">
        <v>0</v>
      </c>
      <c r="F35184" s="8">
        <v>71</v>
      </c>
    </row>
    <row r="35185" spans="1:6" ht="12.75">
      <c r="A35185" s="8">
        <v>43888.705243055556</v>
      </c>
      <c r="B35185" s="8" t="str">
        <f>HYPERLINK("https://twitter.com/news24_coid","@news24_coid")</f>
        <v>@news24_coid</v>
      </c>
      <c r="C35185" s="8" t="s">
        <v>13529</v>
      </c>
      <c r="D35185" s="8">
        <v>0</v>
      </c>
      <c r="E35185" s="8">
        <v>0</v>
      </c>
      <c r="F35185" s="8">
        <v>16</v>
      </c>
    </row>
    <row r="35186" spans="1:6" ht="12.75">
      <c r="A35186" s="8">
        <v>43888.70521990741</v>
      </c>
      <c r="B35186" s="8" t="str">
        <f>HYPERLINK("https://twitter.com/Herlina86712408","@Herlina86712408")</f>
        <v>@Herlina86712408</v>
      </c>
      <c r="C35186" s="8" t="s">
        <v>4785</v>
      </c>
      <c r="D35186" s="8">
        <v>450</v>
      </c>
      <c r="E35186" s="8">
        <v>0</v>
      </c>
      <c r="F35186" s="8">
        <v>18</v>
      </c>
    </row>
    <row r="35187" spans="1:6" ht="12.75">
      <c r="A35187" s="8">
        <v>43888.705092592594</v>
      </c>
      <c r="B35187" s="8" t="str">
        <f>HYPERLINK("https://twitter.com/mazgres","@mazgres")</f>
        <v>@mazgres</v>
      </c>
      <c r="C35187" s="8" t="s">
        <v>13530</v>
      </c>
      <c r="D35187" s="8">
        <v>0</v>
      </c>
      <c r="E35187" s="8">
        <v>1</v>
      </c>
      <c r="F35187" s="8">
        <v>120</v>
      </c>
    </row>
    <row r="35188" spans="1:6" ht="12.75">
      <c r="A35188" s="8">
        <v>43888.704837962963</v>
      </c>
      <c r="B35188" s="8" t="str">
        <f>HYPERLINK("https://twitter.com/abemuzzzzzz","@abemuzzzzzz")</f>
        <v>@abemuzzzzzz</v>
      </c>
      <c r="C35188" s="8" t="s">
        <v>11102</v>
      </c>
      <c r="D35188" s="8">
        <v>16</v>
      </c>
      <c r="E35188" s="8">
        <v>0</v>
      </c>
      <c r="F35188" s="8">
        <v>36</v>
      </c>
    </row>
    <row r="35189" spans="1:6" ht="12.75">
      <c r="A35189" s="8">
        <v>43888.70480324074</v>
      </c>
      <c r="B35189" s="8" t="str">
        <f>HYPERLINK("https://twitter.com/tikadewi94","@tikadewi94")</f>
        <v>@tikadewi94</v>
      </c>
      <c r="C35189" s="8" t="s">
        <v>593</v>
      </c>
      <c r="D35189" s="8">
        <v>327</v>
      </c>
      <c r="E35189" s="8">
        <v>0</v>
      </c>
      <c r="F35189" s="8">
        <v>843</v>
      </c>
    </row>
    <row r="35190" spans="1:6" ht="12.75">
      <c r="A35190" s="8">
        <v>43888.704085648147</v>
      </c>
      <c r="B35190" s="8" t="str">
        <f>HYPERLINK("https://twitter.com/Gun4w4nAhokers","@Gun4w4nAhokers")</f>
        <v>@Gun4w4nAhokers</v>
      </c>
      <c r="C35190" s="8" t="s">
        <v>12619</v>
      </c>
      <c r="D35190" s="8">
        <v>58</v>
      </c>
      <c r="E35190" s="8">
        <v>0</v>
      </c>
      <c r="F35190" s="8">
        <v>4182</v>
      </c>
    </row>
    <row r="35191" spans="1:6" ht="12.75">
      <c r="A35191" s="8">
        <v>43888.703958333332</v>
      </c>
      <c r="B35191" s="8" t="str">
        <f>HYPERLINK("https://twitter.com/adhyaksh_ji","@adhyaksh_ji")</f>
        <v>@adhyaksh_ji</v>
      </c>
      <c r="C35191" s="8" t="s">
        <v>13531</v>
      </c>
      <c r="D35191" s="8">
        <v>0</v>
      </c>
      <c r="E35191" s="8">
        <v>0</v>
      </c>
      <c r="F35191" s="8">
        <v>350</v>
      </c>
    </row>
    <row r="35192" spans="1:6" ht="12.75">
      <c r="A35192" s="8">
        <v>43888.70376157407</v>
      </c>
      <c r="B35192" s="8" t="str">
        <f>HYPERLINK("https://twitter.com/IdEmbassy_Seoul","@IdEmbassy_Seoul")</f>
        <v>@IdEmbassy_Seoul</v>
      </c>
      <c r="C35192" s="8" t="s">
        <v>13532</v>
      </c>
      <c r="D35192" s="8">
        <v>6</v>
      </c>
      <c r="E35192" s="8">
        <v>3</v>
      </c>
      <c r="F35192" s="8">
        <v>3718</v>
      </c>
    </row>
    <row r="35193" spans="1:6" ht="12.75">
      <c r="A35193" s="8">
        <v>43888.703414351854</v>
      </c>
      <c r="B35193" s="8" t="str">
        <f>HYPERLINK("https://twitter.com/republikaonline","@republikaonline")</f>
        <v>@republikaonline</v>
      </c>
      <c r="C35193" s="8" t="s">
        <v>13533</v>
      </c>
      <c r="D35193" s="8">
        <v>1</v>
      </c>
      <c r="E35193" s="8">
        <v>3</v>
      </c>
      <c r="F35193" s="8">
        <v>1214649</v>
      </c>
    </row>
    <row r="35194" spans="1:6" ht="12.75">
      <c r="A35194" s="8">
        <v>43888.703368055554</v>
      </c>
      <c r="B35194" s="8" t="str">
        <f>HYPERLINK("https://twitter.com/agussup10","@agussup10")</f>
        <v>@agussup10</v>
      </c>
      <c r="C35194" s="8" t="s">
        <v>11773</v>
      </c>
      <c r="D35194" s="8">
        <v>414</v>
      </c>
      <c r="E35194" s="8">
        <v>0</v>
      </c>
      <c r="F35194" s="8">
        <v>145</v>
      </c>
    </row>
    <row r="35195" spans="1:6" ht="12.75">
      <c r="A35195" s="8">
        <v>43888.703171296293</v>
      </c>
      <c r="B35195" s="8" t="str">
        <f>HYPERLINK("https://twitter.com/maryatiyati02","@maryatiyati02")</f>
        <v>@maryatiyati02</v>
      </c>
      <c r="C35195" s="8" t="s">
        <v>13534</v>
      </c>
      <c r="D35195" s="8">
        <v>0</v>
      </c>
      <c r="E35195" s="8">
        <v>0</v>
      </c>
      <c r="F35195" s="8">
        <v>29</v>
      </c>
    </row>
    <row r="35196" spans="1:6" ht="12.75">
      <c r="A35196" s="8">
        <v>43888.673379629632</v>
      </c>
      <c r="B35196" s="8" t="str">
        <f>HYPERLINK("https://twitter.com/nurulsr96","@nurulsr96")</f>
        <v>@nurulsr96</v>
      </c>
      <c r="C35196" s="8" t="s">
        <v>6863</v>
      </c>
      <c r="D35196" s="8">
        <v>209</v>
      </c>
      <c r="E35196" s="8">
        <v>0</v>
      </c>
      <c r="F35196" s="8">
        <v>81</v>
      </c>
    </row>
    <row r="35197" spans="1:6" ht="12.75">
      <c r="A35197" s="8">
        <v>43888.673298611116</v>
      </c>
      <c r="B35197" s="8" t="str">
        <f>HYPERLINK("https://twitter.com/kompascom","@kompascom")</f>
        <v>@kompascom</v>
      </c>
      <c r="C35197" s="8" t="s">
        <v>13535</v>
      </c>
      <c r="D35197" s="8">
        <v>0</v>
      </c>
      <c r="E35197" s="8">
        <v>0</v>
      </c>
      <c r="F35197" s="8">
        <v>7515528</v>
      </c>
    </row>
    <row r="35198" spans="1:6" ht="12.75">
      <c r="A35198" s="8">
        <v>43888.673275462963</v>
      </c>
      <c r="B35198" s="8" t="str">
        <f>HYPERLINK("https://twitter.com/torelwisnu","@torelwisnu")</f>
        <v>@torelwisnu</v>
      </c>
      <c r="C35198" s="8" t="s">
        <v>13536</v>
      </c>
      <c r="D35198" s="8">
        <v>0</v>
      </c>
      <c r="E35198" s="8">
        <v>0</v>
      </c>
      <c r="F35198" s="8">
        <v>1287</v>
      </c>
    </row>
    <row r="35199" spans="1:6" ht="12.75">
      <c r="A35199" s="8">
        <v>43888.67260416667</v>
      </c>
      <c r="B35199" s="8" t="str">
        <f>HYPERLINK("https://twitter.com/chairulachir","@chairulachir")</f>
        <v>@chairulachir</v>
      </c>
      <c r="C35199" s="8" t="s">
        <v>13537</v>
      </c>
      <c r="D35199" s="8">
        <v>1</v>
      </c>
      <c r="E35199" s="8">
        <v>0</v>
      </c>
      <c r="F35199" s="8">
        <v>2665</v>
      </c>
    </row>
    <row r="35200" spans="1:6" ht="12.75">
      <c r="A35200" s="8">
        <v>43888.672118055554</v>
      </c>
      <c r="B35200" s="8" t="str">
        <f>HYPERLINK("https://twitter.com/fadjroeL","@fadjroeL")</f>
        <v>@fadjroeL</v>
      </c>
      <c r="C35200" s="8" t="s">
        <v>12054</v>
      </c>
      <c r="D35200" s="8">
        <v>1</v>
      </c>
      <c r="E35200" s="8">
        <v>0</v>
      </c>
      <c r="F35200" s="8">
        <v>996049</v>
      </c>
    </row>
    <row r="35201" spans="1:6" ht="12.75">
      <c r="A35201" s="8">
        <v>43888.671759259261</v>
      </c>
      <c r="B35201" s="8" t="str">
        <f>HYPERLINK("https://twitter.com/kriptozcurry","@kriptozcurry")</f>
        <v>@kriptozcurry</v>
      </c>
      <c r="C35201" s="8" t="s">
        <v>11773</v>
      </c>
      <c r="D35201" s="8">
        <v>411</v>
      </c>
      <c r="E35201" s="8">
        <v>0</v>
      </c>
      <c r="F35201" s="8">
        <v>576</v>
      </c>
    </row>
    <row r="35202" spans="1:6" ht="12.75">
      <c r="A35202" s="8">
        <v>43888.671678240746</v>
      </c>
      <c r="B35202" s="8" t="str">
        <f>HYPERLINK("https://twitter.com/okezonenews","@okezonenews")</f>
        <v>@okezonenews</v>
      </c>
      <c r="C35202" s="8" t="s">
        <v>13538</v>
      </c>
      <c r="D35202" s="8">
        <v>0</v>
      </c>
      <c r="E35202" s="8">
        <v>0</v>
      </c>
      <c r="F35202" s="8">
        <v>1743758</v>
      </c>
    </row>
    <row r="35203" spans="1:6" ht="12.75">
      <c r="A35203" s="8">
        <v>43888.6715162037</v>
      </c>
      <c r="B35203" s="8" t="str">
        <f>HYPERLINK("https://twitter.com/badrutamamyusa","@badrutamamyusa")</f>
        <v>@badrutamamyusa</v>
      </c>
      <c r="C35203" s="8" t="s">
        <v>7243</v>
      </c>
      <c r="D35203" s="8">
        <v>89</v>
      </c>
      <c r="E35203" s="8">
        <v>0</v>
      </c>
      <c r="F35203" s="8">
        <v>304</v>
      </c>
    </row>
    <row r="35204" spans="1:6" ht="12.75">
      <c r="A35204" s="8">
        <v>43888.671423611115</v>
      </c>
      <c r="B35204" s="8" t="str">
        <f>HYPERLINK("https://twitter.com/UjKomar","@UjKomar")</f>
        <v>@UjKomar</v>
      </c>
      <c r="C35204" s="8" t="s">
        <v>13539</v>
      </c>
      <c r="D35204" s="8">
        <v>1</v>
      </c>
      <c r="E35204" s="8">
        <v>1</v>
      </c>
      <c r="F35204" s="8">
        <v>1177</v>
      </c>
    </row>
    <row r="35205" spans="1:6" ht="12.75">
      <c r="A35205" s="8">
        <v>43888.671157407407</v>
      </c>
      <c r="B35205" s="8" t="str">
        <f>HYPERLINK("https://twitter.com/Subadri20917452","@Subadri20917452")</f>
        <v>@Subadri20917452</v>
      </c>
      <c r="C35205" s="8" t="s">
        <v>13540</v>
      </c>
      <c r="D35205" s="8">
        <v>0</v>
      </c>
      <c r="E35205" s="8">
        <v>0</v>
      </c>
      <c r="F35205" s="8">
        <v>814</v>
      </c>
    </row>
    <row r="35206" spans="1:6" ht="12.75">
      <c r="A35206" s="8">
        <v>43888.671076388884</v>
      </c>
      <c r="B35206" s="8" t="str">
        <f>HYPERLINK("https://twitter.com/Usamozart","@Usamozart")</f>
        <v>@Usamozart</v>
      </c>
      <c r="C35206" s="8" t="s">
        <v>12143</v>
      </c>
      <c r="D35206" s="8">
        <v>314</v>
      </c>
      <c r="E35206" s="8">
        <v>0</v>
      </c>
      <c r="F35206" s="8">
        <v>2213</v>
      </c>
    </row>
    <row r="35207" spans="1:6" ht="12.75">
      <c r="A35207" s="8">
        <v>43888.670648148152</v>
      </c>
      <c r="B35207" s="8" t="str">
        <f>HYPERLINK("https://twitter.com/IcaEndah","@IcaEndah")</f>
        <v>@IcaEndah</v>
      </c>
      <c r="C35207" s="8" t="s">
        <v>13541</v>
      </c>
      <c r="D35207" s="8">
        <v>0</v>
      </c>
      <c r="E35207" s="8">
        <v>0</v>
      </c>
      <c r="F35207" s="8">
        <v>434</v>
      </c>
    </row>
    <row r="35208" spans="1:6" ht="12.75">
      <c r="A35208" s="8">
        <v>43888.670266203699</v>
      </c>
      <c r="B35208" s="8" t="str">
        <f>HYPERLINK("https://twitter.com/SukitmanS","@SukitmanS")</f>
        <v>@SukitmanS</v>
      </c>
      <c r="C35208" s="8" t="s">
        <v>13542</v>
      </c>
      <c r="D35208" s="8">
        <v>2</v>
      </c>
      <c r="E35208" s="8">
        <v>0</v>
      </c>
      <c r="F35208" s="8">
        <v>109</v>
      </c>
    </row>
    <row r="35209" spans="1:6" ht="12.75">
      <c r="A35209" s="8">
        <v>43888.66987268519</v>
      </c>
      <c r="B35209" s="8" t="str">
        <f>HYPERLINK("https://twitter.com/KATADATAcoid","@KATADATAcoid")</f>
        <v>@KATADATAcoid</v>
      </c>
      <c r="C35209" s="8" t="s">
        <v>13543</v>
      </c>
      <c r="D35209" s="8">
        <v>0</v>
      </c>
      <c r="E35209" s="8">
        <v>1</v>
      </c>
      <c r="F35209" s="8">
        <v>41481</v>
      </c>
    </row>
    <row r="35210" spans="1:6" ht="12.75">
      <c r="A35210" s="8">
        <v>43888.669629629629</v>
      </c>
      <c r="B35210" s="8" t="str">
        <f>HYPERLINK("https://twitter.com/Wolveri73739823","@Wolveri73739823")</f>
        <v>@Wolveri73739823</v>
      </c>
      <c r="C35210" s="8" t="s">
        <v>13544</v>
      </c>
      <c r="D35210" s="8">
        <v>0</v>
      </c>
      <c r="E35210" s="8">
        <v>0</v>
      </c>
      <c r="F35210" s="8">
        <v>1</v>
      </c>
    </row>
    <row r="35211" spans="1:6" ht="12.75">
      <c r="A35211" s="8">
        <v>43888.669618055559</v>
      </c>
      <c r="B35211" s="8" t="str">
        <f>HYPERLINK("https://twitter.com/rio_ayong","@rio_ayong")</f>
        <v>@rio_ayong</v>
      </c>
      <c r="C35211" s="8" t="s">
        <v>13329</v>
      </c>
      <c r="D35211" s="8">
        <v>16</v>
      </c>
      <c r="E35211" s="8">
        <v>0</v>
      </c>
      <c r="F35211" s="8">
        <v>226</v>
      </c>
    </row>
    <row r="35212" spans="1:6" ht="12.75">
      <c r="A35212" s="8">
        <v>43888.669560185182</v>
      </c>
      <c r="B35212" s="8" t="str">
        <f>HYPERLINK("https://twitter.com/benaziras","@benaziras")</f>
        <v>@benaziras</v>
      </c>
      <c r="C35212" s="8" t="s">
        <v>13545</v>
      </c>
      <c r="D35212" s="8">
        <v>0</v>
      </c>
      <c r="E35212" s="8">
        <v>0</v>
      </c>
      <c r="F35212" s="8">
        <v>17</v>
      </c>
    </row>
    <row r="35213" spans="1:6" ht="12.75">
      <c r="A35213" s="8">
        <v>43888.669490740736</v>
      </c>
      <c r="B35213" s="8" t="str">
        <f>HYPERLINK("https://twitter.com/mdwipasutrisno","@mdwipasutrisno")</f>
        <v>@mdwipasutrisno</v>
      </c>
      <c r="C35213" s="8" t="s">
        <v>13546</v>
      </c>
      <c r="D35213" s="8">
        <v>0</v>
      </c>
      <c r="E35213" s="8">
        <v>0</v>
      </c>
      <c r="F35213" s="8">
        <v>0</v>
      </c>
    </row>
    <row r="35214" spans="1:6" ht="12.75">
      <c r="A35214" s="8">
        <v>43888.669340277775</v>
      </c>
      <c r="B35214" s="8" t="str">
        <f>HYPERLINK("https://twitter.com/nita_nilik","@nita_nilik")</f>
        <v>@nita_nilik</v>
      </c>
      <c r="C35214" s="8" t="s">
        <v>13547</v>
      </c>
      <c r="D35214" s="8">
        <v>0</v>
      </c>
      <c r="E35214" s="8">
        <v>0</v>
      </c>
      <c r="F35214" s="8">
        <v>126</v>
      </c>
    </row>
    <row r="35215" spans="1:6" ht="12.75">
      <c r="A35215" s="8">
        <v>43888.669328703705</v>
      </c>
      <c r="B35215" s="8" t="str">
        <f>HYPERLINK("https://twitter.com/Julia_Zeed","@Julia_Zeed")</f>
        <v>@Julia_Zeed</v>
      </c>
      <c r="C35215" s="8" t="s">
        <v>12853</v>
      </c>
      <c r="D35215" s="8">
        <v>5</v>
      </c>
      <c r="E35215" s="8">
        <v>0</v>
      </c>
      <c r="F35215" s="8">
        <v>2736</v>
      </c>
    </row>
    <row r="35216" spans="1:6" ht="12.75">
      <c r="A35216" s="8">
        <v>43888.669212962966</v>
      </c>
      <c r="B35216" s="8" t="str">
        <f>HYPERLINK("https://twitter.com/MikirSok","@MikirSok")</f>
        <v>@MikirSok</v>
      </c>
      <c r="C35216" s="8" t="s">
        <v>13548</v>
      </c>
      <c r="D35216" s="8">
        <v>0</v>
      </c>
      <c r="E35216" s="8">
        <v>0</v>
      </c>
      <c r="F35216" s="8">
        <v>16</v>
      </c>
    </row>
    <row r="35217" spans="1:6" ht="12.75">
      <c r="A35217" s="8">
        <v>43888.668391203704</v>
      </c>
      <c r="B35217" s="8" t="str">
        <f>HYPERLINK("https://twitter.com/BillTemporo","@BillTemporo")</f>
        <v>@BillTemporo</v>
      </c>
      <c r="C35217" s="8" t="s">
        <v>323</v>
      </c>
      <c r="D35217" s="8">
        <v>0</v>
      </c>
      <c r="E35217" s="8">
        <v>0</v>
      </c>
      <c r="F35217" s="8">
        <v>11</v>
      </c>
    </row>
    <row r="35218" spans="1:6" ht="12.75">
      <c r="A35218" s="8">
        <v>43888.668206018519</v>
      </c>
      <c r="B35218" s="8" t="str">
        <f>HYPERLINK("https://twitter.com/alea7101","@alea7101")</f>
        <v>@alea7101</v>
      </c>
      <c r="C35218" s="8" t="s">
        <v>13549</v>
      </c>
      <c r="D35218" s="8">
        <v>0</v>
      </c>
      <c r="E35218" s="8">
        <v>0</v>
      </c>
      <c r="F35218" s="8">
        <v>59</v>
      </c>
    </row>
    <row r="35219" spans="1:6" ht="12.75">
      <c r="A35219" s="8">
        <v>43888.66810185185</v>
      </c>
      <c r="B35219" s="8" t="str">
        <f>HYPERLINK("https://twitter.com/pikiran_rakyat","@pikiran_rakyat")</f>
        <v>@pikiran_rakyat</v>
      </c>
      <c r="C35219" s="8" t="s">
        <v>13550</v>
      </c>
      <c r="D35219" s="8">
        <v>0</v>
      </c>
      <c r="E35219" s="8">
        <v>0</v>
      </c>
      <c r="F35219" s="8">
        <v>413008</v>
      </c>
    </row>
    <row r="35220" spans="1:6" ht="12.75">
      <c r="A35220" s="8">
        <v>43888.668078703704</v>
      </c>
      <c r="B35220" s="8" t="str">
        <f>HYPERLINK("https://twitter.com/Julia_Zeed","@Julia_Zeed")</f>
        <v>@Julia_Zeed</v>
      </c>
      <c r="C35220" s="8" t="s">
        <v>13551</v>
      </c>
      <c r="D35220" s="8">
        <v>1</v>
      </c>
      <c r="E35220" s="8">
        <v>0</v>
      </c>
      <c r="F35220" s="8">
        <v>2736</v>
      </c>
    </row>
    <row r="35221" spans="1:6" ht="12.75">
      <c r="A35221" s="8">
        <v>43888.667905092589</v>
      </c>
      <c r="B35221" s="8" t="str">
        <f t="shared" ref="B35221:B35223" si="498">HYPERLINK("https://twitter.com/ronirustamadji","@ronirustamadji")</f>
        <v>@ronirustamadji</v>
      </c>
      <c r="C35221" s="8" t="s">
        <v>13015</v>
      </c>
      <c r="D35221" s="8">
        <v>12</v>
      </c>
      <c r="E35221" s="8">
        <v>0</v>
      </c>
      <c r="F35221" s="8">
        <v>3272</v>
      </c>
    </row>
    <row r="35222" spans="1:6" ht="12.75">
      <c r="A35222" s="8">
        <v>43888.667870370366</v>
      </c>
      <c r="B35222" s="8" t="str">
        <f t="shared" si="498"/>
        <v>@ronirustamadji</v>
      </c>
      <c r="C35222" s="8" t="s">
        <v>13016</v>
      </c>
      <c r="D35222" s="8">
        <v>22</v>
      </c>
      <c r="E35222" s="8">
        <v>0</v>
      </c>
      <c r="F35222" s="8">
        <v>3272</v>
      </c>
    </row>
    <row r="35223" spans="1:6" ht="12.75">
      <c r="A35223" s="8">
        <v>43888.667685185181</v>
      </c>
      <c r="B35223" s="8" t="str">
        <f t="shared" si="498"/>
        <v>@ronirustamadji</v>
      </c>
      <c r="C35223" s="8" t="s">
        <v>13088</v>
      </c>
      <c r="D35223" s="8">
        <v>9</v>
      </c>
      <c r="E35223" s="8">
        <v>0</v>
      </c>
      <c r="F35223" s="8">
        <v>3272</v>
      </c>
    </row>
    <row r="35224" spans="1:6" ht="12.75">
      <c r="A35224" s="8">
        <v>43888.66715277778</v>
      </c>
      <c r="B35224" s="8" t="str">
        <f>HYPERLINK("https://twitter.com/Donalee86","@Donalee86")</f>
        <v>@Donalee86</v>
      </c>
      <c r="C35224" s="8" t="s">
        <v>12610</v>
      </c>
      <c r="D35224" s="8">
        <v>1</v>
      </c>
      <c r="E35224" s="8">
        <v>0</v>
      </c>
      <c r="F35224" s="8">
        <v>7</v>
      </c>
    </row>
    <row r="35225" spans="1:6" ht="12.75">
      <c r="A35225" s="8">
        <v>43888.666967592595</v>
      </c>
      <c r="B35225" s="8" t="str">
        <f>HYPERLINK("https://twitter.com/ronirustamadji","@ronirustamadji")</f>
        <v>@ronirustamadji</v>
      </c>
      <c r="C35225" s="8" t="s">
        <v>13552</v>
      </c>
      <c r="D35225" s="8">
        <v>1</v>
      </c>
      <c r="E35225" s="8">
        <v>0</v>
      </c>
      <c r="F35225" s="8">
        <v>3272</v>
      </c>
    </row>
    <row r="35226" spans="1:6" ht="12.75">
      <c r="A35226" s="8">
        <v>43888.666921296295</v>
      </c>
      <c r="B35226" s="8" t="str">
        <f>HYPERLINK("https://twitter.com/rongs_rong","@rongs_rong")</f>
        <v>@rongs_rong</v>
      </c>
      <c r="C35226" s="8" t="s">
        <v>12730</v>
      </c>
      <c r="D35226" s="8">
        <v>46</v>
      </c>
      <c r="E35226" s="8">
        <v>0</v>
      </c>
      <c r="F35226" s="8">
        <v>3226</v>
      </c>
    </row>
    <row r="35227" spans="1:6" ht="12.75">
      <c r="A35227" s="8">
        <v>43888.666863425926</v>
      </c>
      <c r="B35227" s="8" t="str">
        <f>HYPERLINK("https://twitter.com/ephraym8","@ephraym8")</f>
        <v>@ephraym8</v>
      </c>
      <c r="C35227" s="8" t="s">
        <v>12853</v>
      </c>
      <c r="D35227" s="8">
        <v>5</v>
      </c>
      <c r="E35227" s="8">
        <v>0</v>
      </c>
      <c r="F35227" s="8">
        <v>1173</v>
      </c>
    </row>
    <row r="35228" spans="1:6" ht="12.75">
      <c r="A35228" s="8">
        <v>43888.666018518517</v>
      </c>
      <c r="B35228" s="8" t="str">
        <f>HYPERLINK("https://twitter.com/ruthbin","@ruthbin")</f>
        <v>@ruthbin</v>
      </c>
      <c r="C35228" s="8" t="s">
        <v>13553</v>
      </c>
      <c r="D35228" s="8">
        <v>0</v>
      </c>
      <c r="E35228" s="8">
        <v>0</v>
      </c>
      <c r="F35228" s="8">
        <v>49</v>
      </c>
    </row>
    <row r="35229" spans="1:6" ht="12.75">
      <c r="A35229" s="8">
        <v>43888.665613425925</v>
      </c>
      <c r="B35229" s="8" t="str">
        <f>HYPERLINK("https://twitter.com/Metro_TV","@Metro_TV")</f>
        <v>@Metro_TV</v>
      </c>
      <c r="C35229" s="8" t="s">
        <v>13554</v>
      </c>
      <c r="D35229" s="8">
        <v>1</v>
      </c>
      <c r="E35229" s="8">
        <v>0</v>
      </c>
      <c r="F35229" s="8">
        <v>10514061</v>
      </c>
    </row>
    <row r="35230" spans="1:6" ht="12.75">
      <c r="A35230" s="8">
        <v>43888.665358796294</v>
      </c>
      <c r="B35230" s="8" t="str">
        <f>HYPERLINK("https://twitter.com/nathanaelferian","@nathanaelferian")</f>
        <v>@nathanaelferian</v>
      </c>
      <c r="C35230" s="8" t="s">
        <v>6863</v>
      </c>
      <c r="D35230" s="8">
        <v>209</v>
      </c>
      <c r="E35230" s="8">
        <v>0</v>
      </c>
      <c r="F35230" s="8">
        <v>73</v>
      </c>
    </row>
    <row r="35231" spans="1:6" ht="12.75">
      <c r="A35231" s="8">
        <v>43888.665324074071</v>
      </c>
      <c r="B35231" s="8" t="str">
        <f>HYPERLINK("https://twitter.com/RinduMalam7","@RinduMalam7")</f>
        <v>@RinduMalam7</v>
      </c>
      <c r="C35231" s="8" t="s">
        <v>13555</v>
      </c>
      <c r="D35231" s="8">
        <v>0</v>
      </c>
      <c r="E35231" s="8">
        <v>0</v>
      </c>
      <c r="F35231" s="8">
        <v>9</v>
      </c>
    </row>
    <row r="35232" spans="1:6" ht="12.75">
      <c r="A35232" s="8">
        <v>43888.665312500001</v>
      </c>
      <c r="B35232" s="8" t="str">
        <f>HYPERLINK("https://twitter.com/DSumirane","@DSumirane")</f>
        <v>@DSumirane</v>
      </c>
      <c r="C35232" s="8" t="s">
        <v>13556</v>
      </c>
      <c r="D35232" s="8">
        <v>0</v>
      </c>
      <c r="E35232" s="8">
        <v>2</v>
      </c>
      <c r="F35232" s="8">
        <v>704</v>
      </c>
    </row>
    <row r="35233" spans="1:6" ht="12.75">
      <c r="A35233" s="8">
        <v>43888.665196759262</v>
      </c>
      <c r="B35233" s="8" t="str">
        <f>HYPERLINK("https://twitter.com/ronirustamadji","@ronirustamadji")</f>
        <v>@ronirustamadji</v>
      </c>
      <c r="C35233" s="8" t="s">
        <v>13557</v>
      </c>
      <c r="D35233" s="8">
        <v>1</v>
      </c>
      <c r="E35233" s="8">
        <v>0</v>
      </c>
      <c r="F35233" s="8">
        <v>3272</v>
      </c>
    </row>
    <row r="35234" spans="1:6" ht="12.75">
      <c r="A35234" s="8">
        <v>43888.664918981478</v>
      </c>
      <c r="B35234" s="8" t="str">
        <f>HYPERLINK("https://twitter.com/mbelusuk","@mbelusuk")</f>
        <v>@mbelusuk</v>
      </c>
      <c r="C35234" s="8" t="s">
        <v>4836</v>
      </c>
      <c r="D35234" s="8">
        <v>5405</v>
      </c>
      <c r="E35234" s="8">
        <v>0</v>
      </c>
      <c r="F35234" s="8">
        <v>148</v>
      </c>
    </row>
    <row r="35235" spans="1:6" ht="12.75">
      <c r="A35235" s="8">
        <v>43888.664085648154</v>
      </c>
      <c r="B35235" s="8" t="str">
        <f t="shared" ref="B35235:B35236" si="499">HYPERLINK("https://twitter.com/nizzalsyafiq","@nizzalsyafiq")</f>
        <v>@nizzalsyafiq</v>
      </c>
      <c r="C35235" s="8" t="s">
        <v>13558</v>
      </c>
      <c r="D35235" s="8">
        <v>0</v>
      </c>
      <c r="E35235" s="8">
        <v>4</v>
      </c>
      <c r="F35235" s="8">
        <v>563</v>
      </c>
    </row>
    <row r="35236" spans="1:6" ht="12.75">
      <c r="A35236" s="8">
        <v>43888.663912037038</v>
      </c>
      <c r="B35236" s="8" t="str">
        <f t="shared" si="499"/>
        <v>@nizzalsyafiq</v>
      </c>
      <c r="C35236" s="8" t="s">
        <v>12662</v>
      </c>
      <c r="D35236" s="8">
        <v>0</v>
      </c>
      <c r="E35236" s="8">
        <v>2</v>
      </c>
      <c r="F35236" s="8">
        <v>563</v>
      </c>
    </row>
    <row r="35237" spans="1:6" ht="12.75">
      <c r="A35237" s="8">
        <v>43888.66375</v>
      </c>
      <c r="B35237" s="8" t="str">
        <f>HYPERLINK("https://twitter.com/Detektif_Ngibul","@Detektif_Ngibul")</f>
        <v>@Detektif_Ngibul</v>
      </c>
      <c r="C35237" s="8" t="s">
        <v>13559</v>
      </c>
      <c r="D35237" s="8">
        <v>164</v>
      </c>
      <c r="E35237" s="8">
        <v>0</v>
      </c>
      <c r="F35237" s="8">
        <v>1592</v>
      </c>
    </row>
    <row r="35238" spans="1:6" ht="12.75">
      <c r="A35238" s="8">
        <v>43888.663726851853</v>
      </c>
      <c r="B35238" s="8" t="str">
        <f>HYPERLINK("https://twitter.com/AkmalAhsanuddin","@AkmalAhsanuddin")</f>
        <v>@AkmalAhsanuddin</v>
      </c>
      <c r="C35238" s="8" t="s">
        <v>7243</v>
      </c>
      <c r="D35238" s="8">
        <v>89</v>
      </c>
      <c r="E35238" s="8">
        <v>0</v>
      </c>
      <c r="F35238" s="8">
        <v>173</v>
      </c>
    </row>
    <row r="35239" spans="1:6" ht="12.75">
      <c r="A35239" s="8">
        <v>43888.663495370369</v>
      </c>
      <c r="B35239" s="8" t="str">
        <f>HYPERLINK("https://twitter.com/medcom_id","@medcom_id")</f>
        <v>@medcom_id</v>
      </c>
      <c r="C35239" s="8" t="s">
        <v>13560</v>
      </c>
      <c r="D35239" s="8">
        <v>1</v>
      </c>
      <c r="E35239" s="8">
        <v>2</v>
      </c>
      <c r="F35239" s="8">
        <v>18326</v>
      </c>
    </row>
    <row r="35240" spans="1:6" ht="12.75">
      <c r="A35240" s="8">
        <v>43888.663449074069</v>
      </c>
      <c r="B35240" s="8" t="str">
        <f>HYPERLINK("https://twitter.com/praztDR","@praztDR")</f>
        <v>@praztDR</v>
      </c>
      <c r="C35240" s="8" t="s">
        <v>12619</v>
      </c>
      <c r="D35240" s="8">
        <v>46</v>
      </c>
      <c r="E35240" s="8">
        <v>0</v>
      </c>
      <c r="F35240" s="8">
        <v>448</v>
      </c>
    </row>
    <row r="35241" spans="1:6" ht="12.75">
      <c r="A35241" s="8">
        <v>43888.663171296299</v>
      </c>
      <c r="B35241" s="8" t="str">
        <f>HYPERLINK("https://twitter.com/AuliaRochmah13","@AuliaRochmah13")</f>
        <v>@AuliaRochmah13</v>
      </c>
      <c r="C35241" s="8" t="s">
        <v>13495</v>
      </c>
      <c r="D35241" s="8">
        <v>15</v>
      </c>
      <c r="E35241" s="8">
        <v>0</v>
      </c>
      <c r="F35241" s="8">
        <v>33</v>
      </c>
    </row>
    <row r="35242" spans="1:6" ht="12.75">
      <c r="A35242" s="8">
        <v>43888.663032407407</v>
      </c>
      <c r="B35242" s="8" t="str">
        <f>HYPERLINK("https://twitter.com/Kars104","@Kars104")</f>
        <v>@Kars104</v>
      </c>
      <c r="C35242" s="8" t="s">
        <v>13561</v>
      </c>
      <c r="D35242" s="8">
        <v>0</v>
      </c>
      <c r="E35242" s="8">
        <v>0</v>
      </c>
      <c r="F35242" s="8">
        <v>1762</v>
      </c>
    </row>
    <row r="35243" spans="1:6" ht="12.75">
      <c r="A35243" s="8">
        <v>43888.66300925926</v>
      </c>
      <c r="B35243" s="8" t="str">
        <f>HYPERLINK("https://twitter.com/Iwan0711789451","@Iwan0711789451")</f>
        <v>@Iwan0711789451</v>
      </c>
      <c r="C35243" s="8" t="s">
        <v>13562</v>
      </c>
      <c r="D35243" s="8">
        <v>0</v>
      </c>
      <c r="E35243" s="8">
        <v>0</v>
      </c>
      <c r="F35243" s="8">
        <v>3</v>
      </c>
    </row>
    <row r="35244" spans="1:6" ht="12.75">
      <c r="A35244" s="8">
        <v>43888.662673611107</v>
      </c>
      <c r="B35244" s="8" t="str">
        <f>HYPERLINK("https://twitter.com/widyo_hendy","@widyo_hendy")</f>
        <v>@widyo_hendy</v>
      </c>
      <c r="C35244" s="8" t="s">
        <v>13563</v>
      </c>
      <c r="D35244" s="8">
        <v>0</v>
      </c>
      <c r="E35244" s="8">
        <v>0</v>
      </c>
      <c r="F35244" s="8">
        <v>15</v>
      </c>
    </row>
    <row r="35245" spans="1:6" ht="12.75">
      <c r="A35245" s="8">
        <v>43888.662372685183</v>
      </c>
      <c r="B35245" s="8" t="str">
        <f>HYPERLINK("https://twitter.com/wisanggeni_084","@wisanggeni_084")</f>
        <v>@wisanggeni_084</v>
      </c>
      <c r="C35245" s="8" t="s">
        <v>13564</v>
      </c>
      <c r="D35245" s="8">
        <v>1</v>
      </c>
      <c r="E35245" s="8">
        <v>5</v>
      </c>
      <c r="F35245" s="8">
        <v>16848</v>
      </c>
    </row>
    <row r="35246" spans="1:6" ht="12.75">
      <c r="A35246" s="8">
        <v>43888.662106481483</v>
      </c>
      <c r="B35246" s="8" t="str">
        <f>HYPERLINK("https://twitter.com/don_howei","@don_howei")</f>
        <v>@don_howei</v>
      </c>
      <c r="C35246" s="8" t="s">
        <v>13565</v>
      </c>
      <c r="D35246" s="8">
        <v>0</v>
      </c>
      <c r="E35246" s="8">
        <v>0</v>
      </c>
      <c r="F35246" s="8">
        <v>2254</v>
      </c>
    </row>
    <row r="35247" spans="1:6" ht="12.75">
      <c r="A35247" s="8">
        <v>43888.662094907406</v>
      </c>
      <c r="B35247" s="8" t="str">
        <f>HYPERLINK("https://twitter.com/Qshareina","@Qshareina")</f>
        <v>@Qshareina</v>
      </c>
      <c r="C35247" s="8" t="s">
        <v>13566</v>
      </c>
      <c r="D35247" s="8">
        <v>0</v>
      </c>
      <c r="E35247" s="8">
        <v>0</v>
      </c>
      <c r="F35247" s="8">
        <v>218</v>
      </c>
    </row>
    <row r="35248" spans="1:6" ht="12.75">
      <c r="A35248" s="8">
        <v>43888.661979166667</v>
      </c>
      <c r="B35248" s="8" t="str">
        <f>HYPERLINK("https://twitter.com/tanpasudut","@tanpasudut")</f>
        <v>@tanpasudut</v>
      </c>
      <c r="C35248" s="8" t="s">
        <v>7243</v>
      </c>
      <c r="D35248" s="8">
        <v>89</v>
      </c>
      <c r="E35248" s="8">
        <v>0</v>
      </c>
      <c r="F35248" s="8">
        <v>474</v>
      </c>
    </row>
    <row r="35249" spans="1:6" ht="12.75">
      <c r="A35249" s="8">
        <v>43888.661724537036</v>
      </c>
      <c r="B35249" s="8" t="str">
        <f>HYPERLINK("https://twitter.com/RadioElshinta","@RadioElshinta")</f>
        <v>@RadioElshinta</v>
      </c>
      <c r="C35249" s="8" t="s">
        <v>13567</v>
      </c>
      <c r="D35249" s="8">
        <v>0</v>
      </c>
      <c r="E35249" s="8">
        <v>2</v>
      </c>
      <c r="F35249" s="8">
        <v>3635748</v>
      </c>
    </row>
    <row r="35250" spans="1:6" ht="12.75">
      <c r="A35250" s="8">
        <v>43888.661666666667</v>
      </c>
      <c r="B35250" s="8" t="str">
        <f>HYPERLINK("https://twitter.com/Fannytjio1","@Fannytjio1")</f>
        <v>@Fannytjio1</v>
      </c>
      <c r="C35250" s="8" t="s">
        <v>4785</v>
      </c>
      <c r="D35250" s="8">
        <v>446</v>
      </c>
      <c r="E35250" s="8">
        <v>0</v>
      </c>
      <c r="F35250" s="8">
        <v>39</v>
      </c>
    </row>
    <row r="35251" spans="1:6" ht="12.75">
      <c r="A35251" s="8">
        <v>43888.661400462966</v>
      </c>
      <c r="B35251" s="8" t="str">
        <f>HYPERLINK("https://twitter.com/wni_jmsri","@wni_jmsri")</f>
        <v>@wni_jmsri</v>
      </c>
      <c r="C35251" s="8" t="s">
        <v>13568</v>
      </c>
      <c r="D35251" s="8">
        <v>7991</v>
      </c>
      <c r="E35251" s="8">
        <v>0</v>
      </c>
      <c r="F35251" s="8">
        <v>199</v>
      </c>
    </row>
    <row r="35252" spans="1:6" ht="12.75">
      <c r="A35252" s="8">
        <v>43888.661377314813</v>
      </c>
      <c r="B35252" s="8" t="str">
        <f>HYPERLINK("https://twitter.com/jeankharis","@jeankharis")</f>
        <v>@jeankharis</v>
      </c>
      <c r="C35252" s="8" t="s">
        <v>13569</v>
      </c>
      <c r="D35252" s="8">
        <v>0</v>
      </c>
      <c r="E35252" s="8">
        <v>0</v>
      </c>
      <c r="F35252" s="8">
        <v>25</v>
      </c>
    </row>
    <row r="35253" spans="1:6" ht="12.75">
      <c r="A35253" s="8">
        <v>43888.66134259259</v>
      </c>
      <c r="B35253" s="8" t="str">
        <f>HYPERLINK("https://twitter.com/AgusAwe","@AgusAwe")</f>
        <v>@AgusAwe</v>
      </c>
      <c r="C35253" s="8" t="s">
        <v>13570</v>
      </c>
      <c r="D35253" s="8">
        <v>0</v>
      </c>
      <c r="E35253" s="8">
        <v>0</v>
      </c>
      <c r="F35253" s="8">
        <v>1999</v>
      </c>
    </row>
    <row r="35254" spans="1:6" ht="12.75">
      <c r="A35254" s="8">
        <v>43888.661134259259</v>
      </c>
      <c r="B35254" s="8" t="str">
        <f>HYPERLINK("https://twitter.com/FaicalMA","@FaicalMA")</f>
        <v>@FaicalMA</v>
      </c>
      <c r="C35254" s="8" t="s">
        <v>12730</v>
      </c>
      <c r="D35254" s="8">
        <v>46</v>
      </c>
      <c r="E35254" s="8">
        <v>0</v>
      </c>
      <c r="F35254" s="8">
        <v>329</v>
      </c>
    </row>
    <row r="35255" spans="1:6" ht="12.75">
      <c r="A35255" s="8">
        <v>43888.661030092597</v>
      </c>
      <c r="B35255" s="8" t="str">
        <f>HYPERLINK("https://twitter.com/myjunkoala","@myjunkoala")</f>
        <v>@myjunkoala</v>
      </c>
      <c r="C35255" s="8" t="s">
        <v>13571</v>
      </c>
      <c r="D35255" s="8">
        <v>0</v>
      </c>
      <c r="E35255" s="8">
        <v>0</v>
      </c>
      <c r="F35255" s="8">
        <v>470</v>
      </c>
    </row>
    <row r="35256" spans="1:6" ht="12.75">
      <c r="A35256" s="8">
        <v>43888.660509259258</v>
      </c>
      <c r="B35256" s="8" t="str">
        <f>HYPERLINK("https://twitter.com/republikaonline","@republikaonline")</f>
        <v>@republikaonline</v>
      </c>
      <c r="C35256" s="8" t="s">
        <v>13572</v>
      </c>
      <c r="D35256" s="8">
        <v>0</v>
      </c>
      <c r="E35256" s="8">
        <v>2</v>
      </c>
      <c r="F35256" s="8">
        <v>1214639</v>
      </c>
    </row>
    <row r="35257" spans="1:6" ht="12.75">
      <c r="A35257" s="8">
        <v>43888.660428240742</v>
      </c>
      <c r="B35257" s="8" t="str">
        <f t="shared" ref="B35257:B35258" si="500">HYPERLINK("https://twitter.com/Sugiyan61442128","@Sugiyan61442128")</f>
        <v>@Sugiyan61442128</v>
      </c>
      <c r="C35257" s="8" t="s">
        <v>13573</v>
      </c>
      <c r="D35257" s="8">
        <v>2</v>
      </c>
      <c r="E35257" s="8">
        <v>0</v>
      </c>
      <c r="F35257" s="8">
        <v>243</v>
      </c>
    </row>
    <row r="35258" spans="1:6" ht="12.75">
      <c r="A35258" s="8">
        <v>43888.660358796296</v>
      </c>
      <c r="B35258" s="8" t="str">
        <f t="shared" si="500"/>
        <v>@Sugiyan61442128</v>
      </c>
      <c r="C35258" s="8" t="s">
        <v>13574</v>
      </c>
      <c r="D35258" s="8">
        <v>2</v>
      </c>
      <c r="E35258" s="8">
        <v>0</v>
      </c>
      <c r="F35258" s="8">
        <v>243</v>
      </c>
    </row>
    <row r="35259" spans="1:6" ht="12.75">
      <c r="A35259" s="8">
        <v>43888.660196759258</v>
      </c>
      <c r="B35259" s="8" t="str">
        <f>HYPERLINK("https://twitter.com/RadioElshinta","@RadioElshinta")</f>
        <v>@RadioElshinta</v>
      </c>
      <c r="C35259" s="8" t="s">
        <v>13575</v>
      </c>
      <c r="D35259" s="8">
        <v>0</v>
      </c>
      <c r="E35259" s="8">
        <v>0</v>
      </c>
      <c r="F35259" s="8">
        <v>3635748</v>
      </c>
    </row>
    <row r="35260" spans="1:6" ht="12.75">
      <c r="A35260" s="8">
        <v>43888.659768518519</v>
      </c>
      <c r="B35260" s="8" t="str">
        <f>HYPERLINK("https://twitter.com/frostymochi","@frostymochi")</f>
        <v>@frostymochi</v>
      </c>
      <c r="C35260" s="8" t="s">
        <v>6863</v>
      </c>
      <c r="D35260" s="8">
        <v>209</v>
      </c>
      <c r="E35260" s="8">
        <v>0</v>
      </c>
      <c r="F35260" s="8">
        <v>464</v>
      </c>
    </row>
    <row r="35261" spans="1:6" ht="12.75">
      <c r="A35261" s="8">
        <v>43888.659664351857</v>
      </c>
      <c r="B35261" s="8" t="str">
        <f>HYPERLINK("https://twitter.com/Bimmarby","@Bimmarby")</f>
        <v>@Bimmarby</v>
      </c>
      <c r="C35261" s="8" t="s">
        <v>13576</v>
      </c>
      <c r="D35261" s="8">
        <v>0</v>
      </c>
      <c r="E35261" s="8">
        <v>0</v>
      </c>
      <c r="F35261" s="8">
        <v>80</v>
      </c>
    </row>
    <row r="35262" spans="1:6" ht="12.75">
      <c r="A35262" s="8">
        <v>43888.65960648148</v>
      </c>
      <c r="B35262" s="8" t="str">
        <f>HYPERLINK("https://twitter.com/wni_jmsri","@wni_jmsri")</f>
        <v>@wni_jmsri</v>
      </c>
      <c r="C35262" s="8" t="s">
        <v>13577</v>
      </c>
      <c r="D35262" s="8">
        <v>11957</v>
      </c>
      <c r="E35262" s="8">
        <v>0</v>
      </c>
      <c r="F35262" s="8">
        <v>199</v>
      </c>
    </row>
    <row r="35263" spans="1:6" ht="12.75">
      <c r="A35263" s="8">
        <v>43888.659178240741</v>
      </c>
      <c r="B35263" s="8" t="str">
        <f>HYPERLINK("https://twitter.com/BeraqKapur","@BeraqKapur")</f>
        <v>@BeraqKapur</v>
      </c>
      <c r="C35263" s="8" t="s">
        <v>12143</v>
      </c>
      <c r="D35263" s="8">
        <v>314</v>
      </c>
      <c r="E35263" s="8">
        <v>0</v>
      </c>
      <c r="F35263" s="8">
        <v>241</v>
      </c>
    </row>
    <row r="35264" spans="1:6" ht="12.75">
      <c r="A35264" s="8">
        <v>43888.659155092595</v>
      </c>
      <c r="B35264" s="8" t="str">
        <f>HYPERLINK("https://twitter.com/DeDenSunandar55","@DeDenSunandar55")</f>
        <v>@DeDenSunandar55</v>
      </c>
      <c r="C35264" s="8" t="s">
        <v>13578</v>
      </c>
      <c r="D35264" s="8">
        <v>0</v>
      </c>
      <c r="E35264" s="8">
        <v>1</v>
      </c>
      <c r="F35264" s="8">
        <v>274</v>
      </c>
    </row>
    <row r="35265" spans="1:6" ht="12.75">
      <c r="A35265" s="8">
        <v>43888.658831018518</v>
      </c>
      <c r="B35265" s="8" t="str">
        <f>HYPERLINK("https://twitter.com/kondekturbus_","@kondekturbus_")</f>
        <v>@kondekturbus_</v>
      </c>
      <c r="C35265" s="8" t="s">
        <v>13573</v>
      </c>
      <c r="D35265" s="8">
        <v>2</v>
      </c>
      <c r="E35265" s="8">
        <v>0</v>
      </c>
      <c r="F35265" s="8">
        <v>14287</v>
      </c>
    </row>
    <row r="35266" spans="1:6" ht="12.75">
      <c r="A35266" s="8">
        <v>43888.658043981486</v>
      </c>
      <c r="B35266" s="8" t="str">
        <f>HYPERLINK("https://twitter.com/aldipu","@aldipu")</f>
        <v>@aldipu</v>
      </c>
      <c r="C35266" s="8" t="s">
        <v>13432</v>
      </c>
      <c r="D35266" s="8">
        <v>3</v>
      </c>
      <c r="E35266" s="8">
        <v>0</v>
      </c>
      <c r="F35266" s="8">
        <v>544</v>
      </c>
    </row>
    <row r="35267" spans="1:6" ht="12.75">
      <c r="A35267" s="8">
        <v>43888.658020833333</v>
      </c>
      <c r="B35267" s="8" t="str">
        <f>HYPERLINK("https://twitter.com/ImeldaTheQueen","@ImeldaTheQueen")</f>
        <v>@ImeldaTheQueen</v>
      </c>
      <c r="C35267" s="8" t="s">
        <v>12853</v>
      </c>
      <c r="D35267" s="8">
        <v>5</v>
      </c>
      <c r="E35267" s="8">
        <v>0</v>
      </c>
      <c r="F35267" s="8">
        <v>382</v>
      </c>
    </row>
    <row r="35268" spans="1:6" ht="12.75">
      <c r="A35268" s="8">
        <v>43888.657870370371</v>
      </c>
      <c r="B35268" s="8" t="str">
        <f>HYPERLINK("https://twitter.com/cnbcindonesia","@cnbcindonesia")</f>
        <v>@cnbcindonesia</v>
      </c>
      <c r="C35268" s="8" t="s">
        <v>13579</v>
      </c>
      <c r="D35268" s="8">
        <v>0</v>
      </c>
      <c r="E35268" s="8">
        <v>0</v>
      </c>
      <c r="F35268" s="8">
        <v>30921</v>
      </c>
    </row>
    <row r="35269" spans="1:6" ht="12.75">
      <c r="A35269" s="8">
        <v>43888.657731481479</v>
      </c>
      <c r="B35269" s="8" t="str">
        <f>HYPERLINK("https://twitter.com/Blegodesign","@Blegodesign")</f>
        <v>@Blegodesign</v>
      </c>
      <c r="C35269" s="8" t="s">
        <v>11773</v>
      </c>
      <c r="D35269" s="8">
        <v>411</v>
      </c>
      <c r="E35269" s="8">
        <v>0</v>
      </c>
      <c r="F35269" s="8">
        <v>406</v>
      </c>
    </row>
    <row r="35270" spans="1:6" ht="12.75">
      <c r="A35270" s="8">
        <v>43888.657569444447</v>
      </c>
      <c r="B35270" s="8" t="str">
        <f>HYPERLINK("https://twitter.com/bersatulahnkri","@bersatulahnkri")</f>
        <v>@bersatulahnkri</v>
      </c>
      <c r="C35270" s="8" t="s">
        <v>12730</v>
      </c>
      <c r="D35270" s="8">
        <v>46</v>
      </c>
      <c r="E35270" s="8">
        <v>0</v>
      </c>
      <c r="F35270" s="8">
        <v>2021</v>
      </c>
    </row>
    <row r="35271" spans="1:6" ht="12.75">
      <c r="A35271" s="8">
        <v>43888.657442129625</v>
      </c>
      <c r="B35271" s="8" t="str">
        <f>HYPERLINK("https://twitter.com/TopToross","@TopToross")</f>
        <v>@TopToross</v>
      </c>
      <c r="C35271" s="8" t="s">
        <v>13574</v>
      </c>
      <c r="D35271" s="8">
        <v>2</v>
      </c>
      <c r="E35271" s="8">
        <v>0</v>
      </c>
      <c r="F35271" s="8">
        <v>3303</v>
      </c>
    </row>
    <row r="35272" spans="1:6" ht="12.75">
      <c r="A35272" s="8">
        <v>43888.657233796301</v>
      </c>
      <c r="B35272" s="8" t="str">
        <f>HYPERLINK("https://twitter.com/wkndclbrtn95","@wkndclbrtn95")</f>
        <v>@wkndclbrtn95</v>
      </c>
      <c r="C35272" s="8" t="s">
        <v>7243</v>
      </c>
      <c r="D35272" s="8">
        <v>89</v>
      </c>
      <c r="E35272" s="8">
        <v>0</v>
      </c>
      <c r="F35272" s="8">
        <v>131</v>
      </c>
    </row>
    <row r="35273" spans="1:6" ht="12.75">
      <c r="A35273" s="8">
        <v>43888.657175925924</v>
      </c>
      <c r="B35273" s="8" t="str">
        <f>HYPERLINK("https://twitter.com/RadioElshinta","@RadioElshinta")</f>
        <v>@RadioElshinta</v>
      </c>
      <c r="C35273" s="8" t="s">
        <v>13580</v>
      </c>
      <c r="D35273" s="8">
        <v>2</v>
      </c>
      <c r="E35273" s="8">
        <v>2</v>
      </c>
      <c r="F35273" s="8">
        <v>3635748</v>
      </c>
    </row>
    <row r="35274" spans="1:6" ht="12.75">
      <c r="A35274" s="8">
        <v>43888.656944444447</v>
      </c>
      <c r="B35274" s="8" t="str">
        <f>HYPERLINK("https://twitter.com/KaimanaPoem","@KaimanaPoem")</f>
        <v>@KaimanaPoem</v>
      </c>
      <c r="C35274" s="8" t="s">
        <v>13581</v>
      </c>
      <c r="D35274" s="8">
        <v>0</v>
      </c>
      <c r="E35274" s="8">
        <v>2</v>
      </c>
      <c r="F35274" s="8">
        <v>1291</v>
      </c>
    </row>
    <row r="35275" spans="1:6" ht="12.75">
      <c r="A35275" s="8">
        <v>43888.656747685185</v>
      </c>
      <c r="B35275" s="8" t="str">
        <f>HYPERLINK("https://twitter.com/BagusDenTea","@BagusDenTea")</f>
        <v>@BagusDenTea</v>
      </c>
      <c r="C35275" s="8" t="s">
        <v>11773</v>
      </c>
      <c r="D35275" s="8">
        <v>411</v>
      </c>
      <c r="E35275" s="8">
        <v>0</v>
      </c>
      <c r="F35275" s="8">
        <v>104</v>
      </c>
    </row>
    <row r="35276" spans="1:6" ht="12.75">
      <c r="A35276" s="8">
        <v>43888.656631944439</v>
      </c>
      <c r="B35276" s="8" t="str">
        <f>HYPERLINK("https://twitter.com/RadioElshinta","@RadioElshinta")</f>
        <v>@RadioElshinta</v>
      </c>
      <c r="C35276" s="8" t="s">
        <v>13582</v>
      </c>
      <c r="D35276" s="8">
        <v>2</v>
      </c>
      <c r="E35276" s="8">
        <v>3</v>
      </c>
      <c r="F35276" s="8">
        <v>3635748</v>
      </c>
    </row>
    <row r="35277" spans="1:6" ht="12.75">
      <c r="A35277" s="8">
        <v>43888.656307870369</v>
      </c>
      <c r="B35277" s="8" t="str">
        <f>HYPERLINK("https://twitter.com/ShoutOut3Sub","@ShoutOut3Sub")</f>
        <v>@ShoutOut3Sub</v>
      </c>
      <c r="C35277" s="8" t="s">
        <v>13583</v>
      </c>
      <c r="D35277" s="8">
        <v>0</v>
      </c>
      <c r="E35277" s="8">
        <v>0</v>
      </c>
      <c r="F35277" s="8">
        <v>40231</v>
      </c>
    </row>
    <row r="35278" spans="1:6" ht="12.75">
      <c r="A35278" s="8">
        <v>43888.656226851846</v>
      </c>
      <c r="B35278" s="8" t="str">
        <f>HYPERLINK("https://twitter.com/tempodotco","@tempodotco")</f>
        <v>@tempodotco</v>
      </c>
      <c r="C35278" s="8" t="s">
        <v>13584</v>
      </c>
      <c r="D35278" s="8">
        <v>0</v>
      </c>
      <c r="E35278" s="8">
        <v>4</v>
      </c>
      <c r="F35278" s="8">
        <v>1713471</v>
      </c>
    </row>
    <row r="35279" spans="1:6" ht="12.75">
      <c r="A35279" s="8">
        <v>43888.6558912037</v>
      </c>
      <c r="B35279" s="8" t="str">
        <f>HYPERLINK("https://twitter.com/pabra_id","@pabra_id")</f>
        <v>@pabra_id</v>
      </c>
      <c r="C35279" s="8" t="s">
        <v>4836</v>
      </c>
      <c r="D35279" s="8">
        <v>5405</v>
      </c>
      <c r="E35279" s="8">
        <v>0</v>
      </c>
      <c r="F35279" s="8">
        <v>49</v>
      </c>
    </row>
    <row r="35280" spans="1:6" ht="12.75">
      <c r="A35280" s="8">
        <v>43888.655775462961</v>
      </c>
      <c r="B35280" s="8" t="str">
        <f>HYPERLINK("https://twitter.com/kambingngamuk","@kambingngamuk")</f>
        <v>@kambingngamuk</v>
      </c>
      <c r="C35280" s="8" t="s">
        <v>13585</v>
      </c>
      <c r="D35280" s="8">
        <v>0</v>
      </c>
      <c r="E35280" s="8">
        <v>0</v>
      </c>
      <c r="F35280" s="8">
        <v>38</v>
      </c>
    </row>
    <row r="35281" spans="1:6" ht="12.75">
      <c r="A35281" s="8">
        <v>43888.655694444446</v>
      </c>
      <c r="B35281" s="8" t="str">
        <f>HYPERLINK("https://twitter.com/dsutanandika","@dsutanandika")</f>
        <v>@dsutanandika</v>
      </c>
      <c r="C35281" s="8" t="s">
        <v>13177</v>
      </c>
      <c r="D35281" s="8">
        <v>2</v>
      </c>
      <c r="E35281" s="8">
        <v>0</v>
      </c>
      <c r="F35281" s="8">
        <v>318</v>
      </c>
    </row>
    <row r="35282" spans="1:6" ht="12.75">
      <c r="A35282" s="8">
        <v>43888.655555555553</v>
      </c>
      <c r="B35282" s="8" t="str">
        <f>HYPERLINK("https://twitter.com/natsumiccann","@natsumiccann")</f>
        <v>@natsumiccann</v>
      </c>
      <c r="C35282" s="8" t="s">
        <v>8484</v>
      </c>
      <c r="D35282" s="8">
        <v>1040</v>
      </c>
      <c r="E35282" s="8">
        <v>0</v>
      </c>
      <c r="F35282" s="8">
        <v>2102</v>
      </c>
    </row>
    <row r="35283" spans="1:6" ht="12.75">
      <c r="A35283" s="8">
        <v>43888.655381944445</v>
      </c>
      <c r="B35283" s="8" t="str">
        <f>HYPERLINK("https://twitter.com/manggar3910","@manggar3910")</f>
        <v>@manggar3910</v>
      </c>
      <c r="C35283" s="8" t="s">
        <v>6863</v>
      </c>
      <c r="D35283" s="8">
        <v>209</v>
      </c>
      <c r="E35283" s="8">
        <v>0</v>
      </c>
      <c r="F35283" s="8">
        <v>318</v>
      </c>
    </row>
    <row r="35284" spans="1:6" ht="12.75">
      <c r="A35284" s="8">
        <v>43888.655104166668</v>
      </c>
      <c r="B35284" s="8" t="str">
        <f>HYPERLINK("https://twitter.com/cisskarahayu","@cisskarahayu")</f>
        <v>@cisskarahayu</v>
      </c>
      <c r="C35284" s="8" t="s">
        <v>10773</v>
      </c>
      <c r="D35284" s="8">
        <v>265</v>
      </c>
      <c r="E35284" s="8">
        <v>0</v>
      </c>
      <c r="F35284" s="8">
        <v>2511</v>
      </c>
    </row>
    <row r="35285" spans="1:6" ht="12.75">
      <c r="A35285" s="8">
        <v>43888.654965277776</v>
      </c>
      <c r="B35285" s="8" t="str">
        <f t="shared" ref="B35285:B35286" si="501">HYPERLINK("https://twitter.com/99garislucu","@99garislucu")</f>
        <v>@99garislucu</v>
      </c>
      <c r="C35285" s="8" t="s">
        <v>13586</v>
      </c>
      <c r="D35285" s="8">
        <v>4</v>
      </c>
      <c r="E35285" s="8">
        <v>0</v>
      </c>
      <c r="F35285" s="8">
        <v>976</v>
      </c>
    </row>
    <row r="35286" spans="1:6" ht="12.75">
      <c r="A35286" s="8">
        <v>43888.654837962968</v>
      </c>
      <c r="B35286" s="8" t="str">
        <f t="shared" si="501"/>
        <v>@99garislucu</v>
      </c>
      <c r="C35286" s="8" t="s">
        <v>13587</v>
      </c>
      <c r="D35286" s="8">
        <v>6</v>
      </c>
      <c r="E35286" s="8">
        <v>0</v>
      </c>
      <c r="F35286" s="8">
        <v>976</v>
      </c>
    </row>
    <row r="35287" spans="1:6" ht="12.75">
      <c r="A35287" s="8">
        <v>43888.654606481483</v>
      </c>
      <c r="B35287" s="8" t="str">
        <f>HYPERLINK("https://twitter.com/Bukanbrandalanz","@Bukanbrandalanz")</f>
        <v>@Bukanbrandalanz</v>
      </c>
      <c r="C35287" s="8" t="s">
        <v>12619</v>
      </c>
      <c r="D35287" s="8">
        <v>46</v>
      </c>
      <c r="E35287" s="8">
        <v>0</v>
      </c>
      <c r="F35287" s="8">
        <v>245</v>
      </c>
    </row>
    <row r="35288" spans="1:6" ht="12.75">
      <c r="A35288" s="8">
        <v>43888.654490740737</v>
      </c>
      <c r="B35288" s="8" t="str">
        <f>HYPERLINK("https://twitter.com/AnwaerD","@AnwaerD")</f>
        <v>@AnwaerD</v>
      </c>
      <c r="C35288" s="8" t="s">
        <v>7243</v>
      </c>
      <c r="D35288" s="8">
        <v>89</v>
      </c>
      <c r="E35288" s="8">
        <v>0</v>
      </c>
      <c r="F35288" s="8">
        <v>246</v>
      </c>
    </row>
    <row r="35289" spans="1:6" ht="12.75">
      <c r="A35289" s="8">
        <v>43888.654236111106</v>
      </c>
      <c r="B35289" s="8" t="str">
        <f>HYPERLINK("https://twitter.com/inisayaraka","@inisayaraka")</f>
        <v>@inisayaraka</v>
      </c>
      <c r="C35289" s="8" t="s">
        <v>13588</v>
      </c>
      <c r="D35289" s="8">
        <v>0</v>
      </c>
      <c r="E35289" s="8">
        <v>0</v>
      </c>
      <c r="F35289" s="8">
        <v>275</v>
      </c>
    </row>
    <row r="35290" spans="1:6" ht="12.75">
      <c r="A35290" s="8">
        <v>43888.65420138889</v>
      </c>
      <c r="B35290" s="8" t="str">
        <f>HYPERLINK("https://twitter.com/dreamofDaru","@dreamofDaru")</f>
        <v>@dreamofDaru</v>
      </c>
      <c r="C35290" s="8" t="s">
        <v>2941</v>
      </c>
      <c r="D35290" s="8">
        <v>1075</v>
      </c>
      <c r="E35290" s="8">
        <v>0</v>
      </c>
      <c r="F35290" s="8">
        <v>1085</v>
      </c>
    </row>
    <row r="35291" spans="1:6" ht="12.75">
      <c r="A35291" s="8">
        <v>43888.654039351852</v>
      </c>
      <c r="B35291" s="8" t="str">
        <f>HYPERLINK("https://twitter.com/KeraGunung","@KeraGunung")</f>
        <v>@KeraGunung</v>
      </c>
      <c r="C35291" s="8" t="s">
        <v>13589</v>
      </c>
      <c r="D35291" s="8">
        <v>0</v>
      </c>
      <c r="E35291" s="8">
        <v>0</v>
      </c>
      <c r="F35291" s="8">
        <v>2137</v>
      </c>
    </row>
    <row r="35292" spans="1:6" ht="12.75">
      <c r="A35292" s="8">
        <v>43888.654039351852</v>
      </c>
      <c r="B35292" s="8" t="str">
        <f>HYPERLINK("https://twitter.com/mudha_satriya","@mudha_satriya")</f>
        <v>@mudha_satriya</v>
      </c>
      <c r="C35292" s="8" t="s">
        <v>13590</v>
      </c>
      <c r="D35292" s="8">
        <v>1</v>
      </c>
      <c r="E35292" s="8">
        <v>0</v>
      </c>
      <c r="F35292" s="8">
        <v>1875</v>
      </c>
    </row>
    <row r="35293" spans="1:6" ht="12.75">
      <c r="A35293" s="8">
        <v>43888.654027777782</v>
      </c>
      <c r="B35293" s="8" t="str">
        <f>HYPERLINK("https://twitter.com/KakekHalal","@KakekHalal")</f>
        <v>@KakekHalal</v>
      </c>
      <c r="C35293" s="8" t="s">
        <v>12730</v>
      </c>
      <c r="D35293" s="8">
        <v>46</v>
      </c>
      <c r="E35293" s="8">
        <v>0</v>
      </c>
      <c r="F35293" s="8">
        <v>22720</v>
      </c>
    </row>
    <row r="35294" spans="1:6" ht="12.75">
      <c r="A35294" s="8">
        <v>43888.653831018513</v>
      </c>
      <c r="B35294" s="8" t="str">
        <f>HYPERLINK("https://twitter.com/mudha_satriya","@mudha_satriya")</f>
        <v>@mudha_satriya</v>
      </c>
      <c r="C35294" s="8" t="s">
        <v>13591</v>
      </c>
      <c r="D35294" s="8">
        <v>2</v>
      </c>
      <c r="E35294" s="8">
        <v>0</v>
      </c>
      <c r="F35294" s="8">
        <v>1875</v>
      </c>
    </row>
    <row r="35295" spans="1:6" ht="12.75">
      <c r="A35295" s="8">
        <v>43888.653831018513</v>
      </c>
      <c r="B35295" s="8" t="str">
        <f>HYPERLINK("https://twitter.com/Blegodesign","@Blegodesign")</f>
        <v>@Blegodesign</v>
      </c>
      <c r="C35295" s="8" t="s">
        <v>13592</v>
      </c>
      <c r="D35295" s="8">
        <v>51</v>
      </c>
      <c r="E35295" s="8">
        <v>0</v>
      </c>
      <c r="F35295" s="8">
        <v>406</v>
      </c>
    </row>
    <row r="35296" spans="1:6" ht="12.75">
      <c r="A35296" s="8">
        <v>43888.631678240738</v>
      </c>
      <c r="B35296" s="8" t="str">
        <f>HYPERLINK("https://twitter.com/caturdian29","@caturdian29")</f>
        <v>@caturdian29</v>
      </c>
      <c r="C35296" s="8" t="s">
        <v>4785</v>
      </c>
      <c r="D35296" s="8">
        <v>442</v>
      </c>
      <c r="E35296" s="8">
        <v>0</v>
      </c>
      <c r="F35296" s="8">
        <v>58</v>
      </c>
    </row>
    <row r="35297" spans="1:6" ht="12.75">
      <c r="A35297" s="8">
        <v>43888.631597222222</v>
      </c>
      <c r="B35297" s="8" t="str">
        <f>HYPERLINK("https://twitter.com/natalsetio","@natalsetio")</f>
        <v>@natalsetio</v>
      </c>
      <c r="C35297" s="8" t="s">
        <v>12619</v>
      </c>
      <c r="D35297" s="8">
        <v>36</v>
      </c>
      <c r="E35297" s="8">
        <v>0</v>
      </c>
      <c r="F35297" s="8">
        <v>2124</v>
      </c>
    </row>
    <row r="35298" spans="1:6" ht="12.75">
      <c r="A35298" s="8">
        <v>43888.63113425926</v>
      </c>
      <c r="B35298" s="8" t="str">
        <f>HYPERLINK("https://twitter.com/guhendulenlove","@guhendulenlove")</f>
        <v>@guhendulenlove</v>
      </c>
      <c r="C35298" s="8" t="s">
        <v>13593</v>
      </c>
      <c r="D35298" s="8">
        <v>4</v>
      </c>
      <c r="E35298" s="8">
        <v>0</v>
      </c>
      <c r="F35298" s="8">
        <v>370</v>
      </c>
    </row>
    <row r="35299" spans="1:6" ht="12.75">
      <c r="A35299" s="8">
        <v>43888.631076388891</v>
      </c>
      <c r="B35299" s="8" t="str">
        <f>HYPERLINK("https://twitter.com/double_bagoes","@double_bagoes")</f>
        <v>@double_bagoes</v>
      </c>
      <c r="C35299" s="8" t="s">
        <v>13594</v>
      </c>
      <c r="D35299" s="8">
        <v>0</v>
      </c>
      <c r="E35299" s="8">
        <v>0</v>
      </c>
      <c r="F35299" s="8">
        <v>363</v>
      </c>
    </row>
    <row r="35300" spans="1:6" ht="12.75">
      <c r="A35300" s="8">
        <v>43888.631053240737</v>
      </c>
      <c r="B35300" s="8" t="str">
        <f t="shared" ref="B35300:B35301" si="502">HYPERLINK("https://twitter.com/guhendulenlove","@guhendulenlove")</f>
        <v>@guhendulenlove</v>
      </c>
      <c r="C35300" s="8" t="s">
        <v>12976</v>
      </c>
      <c r="D35300" s="8">
        <v>5</v>
      </c>
      <c r="E35300" s="8">
        <v>0</v>
      </c>
      <c r="F35300" s="8">
        <v>370</v>
      </c>
    </row>
    <row r="35301" spans="1:6" ht="12.75">
      <c r="A35301" s="8">
        <v>43888.630925925929</v>
      </c>
      <c r="B35301" s="8" t="str">
        <f t="shared" si="502"/>
        <v>@guhendulenlove</v>
      </c>
      <c r="C35301" s="8" t="s">
        <v>12977</v>
      </c>
      <c r="D35301" s="8">
        <v>3</v>
      </c>
      <c r="E35301" s="8">
        <v>0</v>
      </c>
      <c r="F35301" s="8">
        <v>370</v>
      </c>
    </row>
    <row r="35302" spans="1:6" ht="12.75">
      <c r="A35302" s="8">
        <v>43888.630856481483</v>
      </c>
      <c r="B35302" s="8" t="str">
        <f>HYPERLINK("https://twitter.com/mrsnail22","@mrsnail22")</f>
        <v>@mrsnail22</v>
      </c>
      <c r="C35302" s="8" t="s">
        <v>12730</v>
      </c>
      <c r="D35302" s="8">
        <v>36</v>
      </c>
      <c r="E35302" s="8">
        <v>0</v>
      </c>
      <c r="F35302" s="8">
        <v>417</v>
      </c>
    </row>
    <row r="35303" spans="1:6" ht="12.75">
      <c r="A35303" s="8">
        <v>43888.630752314813</v>
      </c>
      <c r="B35303" s="8" t="str">
        <f>HYPERLINK("https://twitter.com/guhendulenlove","@guhendulenlove")</f>
        <v>@guhendulenlove</v>
      </c>
      <c r="C35303" s="8" t="s">
        <v>12978</v>
      </c>
      <c r="D35303" s="8">
        <v>3</v>
      </c>
      <c r="E35303" s="8">
        <v>0</v>
      </c>
      <c r="F35303" s="8">
        <v>370</v>
      </c>
    </row>
    <row r="35304" spans="1:6" ht="12.75">
      <c r="A35304" s="8">
        <v>43888.63071759259</v>
      </c>
      <c r="B35304" s="8" t="str">
        <f>HYPERLINK("https://twitter.com/sleepybby_","@sleepybby_")</f>
        <v>@sleepybby_</v>
      </c>
      <c r="C35304" s="8" t="s">
        <v>13595</v>
      </c>
      <c r="D35304" s="8">
        <v>0</v>
      </c>
      <c r="E35304" s="8">
        <v>0</v>
      </c>
      <c r="F35304" s="8">
        <v>4214</v>
      </c>
    </row>
    <row r="35305" spans="1:6" ht="12.75">
      <c r="A35305" s="8">
        <v>43888.63071759259</v>
      </c>
      <c r="B35305" s="8" t="str">
        <f>HYPERLINK("https://twitter.com/guhendulenlove","@guhendulenlove")</f>
        <v>@guhendulenlove</v>
      </c>
      <c r="C35305" s="8" t="s">
        <v>12979</v>
      </c>
      <c r="D35305" s="8">
        <v>3</v>
      </c>
      <c r="E35305" s="8">
        <v>0</v>
      </c>
      <c r="F35305" s="8">
        <v>370</v>
      </c>
    </row>
    <row r="35306" spans="1:6" ht="12.75">
      <c r="A35306" s="8">
        <v>43888.630694444444</v>
      </c>
      <c r="B35306" s="8" t="str">
        <f>HYPERLINK("https://twitter.com/kikou_mewan","@kikou_mewan")</f>
        <v>@kikou_mewan</v>
      </c>
      <c r="C35306" s="8" t="s">
        <v>2940</v>
      </c>
      <c r="D35306" s="8">
        <v>2679</v>
      </c>
      <c r="E35306" s="8">
        <v>0</v>
      </c>
      <c r="F35306" s="8">
        <v>1078</v>
      </c>
    </row>
    <row r="35307" spans="1:6" ht="12.75">
      <c r="A35307" s="8">
        <v>43888.630682870367</v>
      </c>
      <c r="B35307" s="8" t="str">
        <f>HYPERLINK("https://twitter.com/guhendulenlove","@guhendulenlove")</f>
        <v>@guhendulenlove</v>
      </c>
      <c r="C35307" s="8" t="s">
        <v>12899</v>
      </c>
      <c r="D35307" s="8">
        <v>3</v>
      </c>
      <c r="E35307" s="8">
        <v>0</v>
      </c>
      <c r="F35307" s="8">
        <v>370</v>
      </c>
    </row>
    <row r="35308" spans="1:6" ht="12.75">
      <c r="A35308" s="8">
        <v>43888.630648148144</v>
      </c>
      <c r="B35308" s="8" t="str">
        <f>HYPERLINK("https://twitter.com/KurniawatiMilli","@KurniawatiMilli")</f>
        <v>@KurniawatiMilli</v>
      </c>
      <c r="C35308" s="8" t="s">
        <v>4785</v>
      </c>
      <c r="D35308" s="8">
        <v>442</v>
      </c>
      <c r="E35308" s="8">
        <v>0</v>
      </c>
      <c r="F35308" s="8">
        <v>1</v>
      </c>
    </row>
    <row r="35309" spans="1:6" ht="12.75">
      <c r="A35309" s="8">
        <v>43888.630625000005</v>
      </c>
      <c r="B35309" s="8" t="str">
        <f>HYPERLINK("https://twitter.com/SGadline","@SGadline")</f>
        <v>@SGadline</v>
      </c>
      <c r="C35309" s="8" t="s">
        <v>26</v>
      </c>
      <c r="D35309" s="8">
        <v>154</v>
      </c>
      <c r="E35309" s="8">
        <v>0</v>
      </c>
      <c r="F35309" s="8">
        <v>0</v>
      </c>
    </row>
    <row r="35310" spans="1:6" ht="12.75">
      <c r="A35310" s="8">
        <v>43888.63003472222</v>
      </c>
      <c r="B35310" s="8" t="str">
        <f>HYPERLINK("https://twitter.com/susiloandrianto","@susiloandrianto")</f>
        <v>@susiloandrianto</v>
      </c>
      <c r="C35310" s="8" t="s">
        <v>12052</v>
      </c>
      <c r="D35310" s="8">
        <v>78</v>
      </c>
      <c r="E35310" s="8">
        <v>0</v>
      </c>
      <c r="F35310" s="8">
        <v>42</v>
      </c>
    </row>
    <row r="35311" spans="1:6" ht="12.75">
      <c r="A35311" s="8">
        <v>43888.629363425927</v>
      </c>
      <c r="B35311" s="8" t="str">
        <f>HYPERLINK("https://twitter.com/harakatuna","@harakatuna")</f>
        <v>@harakatuna</v>
      </c>
      <c r="C35311" s="8" t="s">
        <v>13596</v>
      </c>
      <c r="D35311" s="8">
        <v>0</v>
      </c>
      <c r="E35311" s="8">
        <v>0</v>
      </c>
      <c r="F35311" s="8">
        <v>412</v>
      </c>
    </row>
    <row r="35312" spans="1:6" ht="12.75">
      <c r="A35312" s="8">
        <v>43888.629340277781</v>
      </c>
      <c r="B35312" s="8" t="str">
        <f>HYPERLINK("https://twitter.com/MikirSok","@MikirSok")</f>
        <v>@MikirSok</v>
      </c>
      <c r="C35312" s="8" t="s">
        <v>13597</v>
      </c>
      <c r="D35312" s="8">
        <v>0</v>
      </c>
      <c r="E35312" s="8">
        <v>0</v>
      </c>
      <c r="F35312" s="8">
        <v>16</v>
      </c>
    </row>
    <row r="35313" spans="1:6" ht="12.75">
      <c r="A35313" s="8">
        <v>43888.629328703704</v>
      </c>
      <c r="B35313" s="8" t="str">
        <f>HYPERLINK("https://twitter.com/himitsu_desu","@himitsu_desu")</f>
        <v>@himitsu_desu</v>
      </c>
      <c r="C35313" s="8" t="s">
        <v>12582</v>
      </c>
      <c r="D35313" s="8">
        <v>60</v>
      </c>
      <c r="E35313" s="8">
        <v>0</v>
      </c>
      <c r="F35313" s="8">
        <v>319</v>
      </c>
    </row>
    <row r="35314" spans="1:6" ht="12.75">
      <c r="A35314" s="8">
        <v>43888.629062499997</v>
      </c>
      <c r="B35314" s="8" t="str">
        <f>HYPERLINK("https://twitter.com/rifaldiakbar","@rifaldiakbar")</f>
        <v>@rifaldiakbar</v>
      </c>
      <c r="C35314" s="8" t="s">
        <v>13591</v>
      </c>
      <c r="D35314" s="8">
        <v>1</v>
      </c>
      <c r="E35314" s="8">
        <v>0</v>
      </c>
      <c r="F35314" s="8">
        <v>562</v>
      </c>
    </row>
    <row r="35315" spans="1:6" ht="12.75">
      <c r="A35315" s="8">
        <v>43888.628761574073</v>
      </c>
      <c r="B35315" s="8" t="str">
        <f>HYPERLINK("https://twitter.com/MuzlimIndonesia","@MuzlimIndonesia")</f>
        <v>@MuzlimIndonesia</v>
      </c>
      <c r="C35315" s="8" t="s">
        <v>12052</v>
      </c>
      <c r="D35315" s="8">
        <v>78</v>
      </c>
      <c r="E35315" s="8">
        <v>0</v>
      </c>
      <c r="F35315" s="8">
        <v>1868</v>
      </c>
    </row>
    <row r="35316" spans="1:6" ht="12.75">
      <c r="A35316" s="8">
        <v>43888.62872685185</v>
      </c>
      <c r="B35316" s="8" t="str">
        <f>HYPERLINK("https://twitter.com/Rikiputra_a","@Rikiputra_a")</f>
        <v>@Rikiputra_a</v>
      </c>
      <c r="C35316" s="8" t="s">
        <v>11773</v>
      </c>
      <c r="D35316" s="8">
        <v>401</v>
      </c>
      <c r="E35316" s="8">
        <v>0</v>
      </c>
      <c r="F35316" s="8">
        <v>153</v>
      </c>
    </row>
    <row r="35317" spans="1:6" ht="12.75">
      <c r="A35317" s="8">
        <v>43888.628657407404</v>
      </c>
      <c r="B35317" s="8" t="str">
        <f>HYPERLINK("https://twitter.com/covesiacom","@covesiacom")</f>
        <v>@covesiacom</v>
      </c>
      <c r="C35317" s="8" t="s">
        <v>13598</v>
      </c>
      <c r="D35317" s="8">
        <v>0</v>
      </c>
      <c r="E35317" s="8">
        <v>0</v>
      </c>
      <c r="F35317" s="8">
        <v>6174</v>
      </c>
    </row>
    <row r="35318" spans="1:6" ht="12.75">
      <c r="A35318" s="8">
        <v>43888.628587962958</v>
      </c>
      <c r="B35318" s="8" t="str">
        <f>HYPERLINK("https://twitter.com/kemenkopmk","@kemenkopmk")</f>
        <v>@kemenkopmk</v>
      </c>
      <c r="C35318" s="8" t="s">
        <v>13599</v>
      </c>
      <c r="D35318" s="8">
        <v>1</v>
      </c>
      <c r="E35318" s="8">
        <v>0</v>
      </c>
      <c r="F35318" s="8">
        <v>130051</v>
      </c>
    </row>
    <row r="35319" spans="1:6" ht="12.75">
      <c r="A35319" s="8">
        <v>43888.627986111111</v>
      </c>
      <c r="B35319" s="8" t="str">
        <f>HYPERLINK("https://twitter.com/InvestorID","@InvestorID")</f>
        <v>@InvestorID</v>
      </c>
      <c r="C35319" s="8" t="s">
        <v>13600</v>
      </c>
      <c r="D35319" s="8">
        <v>0</v>
      </c>
      <c r="E35319" s="8">
        <v>0</v>
      </c>
      <c r="F35319" s="8">
        <v>15327</v>
      </c>
    </row>
    <row r="35320" spans="1:6" ht="12.75">
      <c r="A35320" s="8">
        <v>43888.627939814818</v>
      </c>
      <c r="B35320" s="8" t="str">
        <f>HYPERLINK("https://twitter.com/sampahprincess","@sampahprincess")</f>
        <v>@sampahprincess</v>
      </c>
      <c r="C35320" s="8" t="s">
        <v>13601</v>
      </c>
      <c r="D35320" s="8">
        <v>0</v>
      </c>
      <c r="E35320" s="8">
        <v>0</v>
      </c>
      <c r="F35320" s="8">
        <v>23</v>
      </c>
    </row>
    <row r="35321" spans="1:6" ht="12.75">
      <c r="A35321" s="8">
        <v>43888.627847222218</v>
      </c>
      <c r="B35321" s="8" t="str">
        <f>HYPERLINK("https://twitter.com/__kdniel","@__kdniel")</f>
        <v>@__kdniel</v>
      </c>
      <c r="C35321" s="8" t="s">
        <v>13602</v>
      </c>
      <c r="D35321" s="8">
        <v>0</v>
      </c>
      <c r="E35321" s="8">
        <v>0</v>
      </c>
      <c r="F35321" s="8">
        <v>13</v>
      </c>
    </row>
    <row r="35322" spans="1:6" ht="12.75">
      <c r="A35322" s="8">
        <v>43888.627696759257</v>
      </c>
      <c r="B35322" s="8" t="str">
        <f>HYPERLINK("https://twitter.com/dwiarashi29","@dwiarashi29")</f>
        <v>@dwiarashi29</v>
      </c>
      <c r="C35322" s="8" t="s">
        <v>7243</v>
      </c>
      <c r="D35322" s="8">
        <v>80</v>
      </c>
      <c r="E35322" s="8">
        <v>0</v>
      </c>
      <c r="F35322" s="8">
        <v>210</v>
      </c>
    </row>
    <row r="35323" spans="1:6" ht="12.75">
      <c r="A35323" s="8">
        <v>43888.627476851849</v>
      </c>
      <c r="B35323" s="8" t="str">
        <f>HYPERLINK("https://twitter.com/Yaki_Ngo","@Yaki_Ngo")</f>
        <v>@Yaki_Ngo</v>
      </c>
      <c r="C35323" s="8" t="s">
        <v>13198</v>
      </c>
      <c r="D35323" s="8">
        <v>65</v>
      </c>
      <c r="E35323" s="8">
        <v>0</v>
      </c>
      <c r="F35323" s="8">
        <v>72</v>
      </c>
    </row>
    <row r="35324" spans="1:6" ht="12.75">
      <c r="A35324" s="8">
        <v>43888.627164351856</v>
      </c>
      <c r="B35324" s="8" t="str">
        <f>HYPERLINK("https://twitter.com/egaskalit","@egaskalit")</f>
        <v>@egaskalit</v>
      </c>
      <c r="C35324" s="8" t="s">
        <v>12730</v>
      </c>
      <c r="D35324" s="8">
        <v>36</v>
      </c>
      <c r="E35324" s="8">
        <v>0</v>
      </c>
      <c r="F35324" s="8">
        <v>79</v>
      </c>
    </row>
    <row r="35325" spans="1:6" ht="12.75">
      <c r="A35325" s="8">
        <v>43888.626759259263</v>
      </c>
      <c r="B35325" s="8" t="str">
        <f>HYPERLINK("https://twitter.com/Vendra_Deje","@Vendra_Deje")</f>
        <v>@Vendra_Deje</v>
      </c>
      <c r="C35325" s="8" t="s">
        <v>12755</v>
      </c>
      <c r="D35325" s="8">
        <v>26</v>
      </c>
      <c r="E35325" s="8">
        <v>0</v>
      </c>
      <c r="F35325" s="8">
        <v>3334</v>
      </c>
    </row>
    <row r="35326" spans="1:6" ht="12.75">
      <c r="A35326" s="8">
        <v>43888.626712962963</v>
      </c>
      <c r="B35326" s="8" t="str">
        <f>HYPERLINK("https://twitter.com/BillTemporo","@BillTemporo")</f>
        <v>@BillTemporo</v>
      </c>
      <c r="C35326" s="8" t="s">
        <v>384</v>
      </c>
      <c r="D35326" s="8">
        <v>0</v>
      </c>
      <c r="E35326" s="8">
        <v>0</v>
      </c>
      <c r="F35326" s="8">
        <v>11</v>
      </c>
    </row>
    <row r="35327" spans="1:6" ht="12.75">
      <c r="A35327" s="8">
        <v>43888.626516203702</v>
      </c>
      <c r="B35327" s="8" t="str">
        <f>HYPERLINK("https://twitter.com/NamaSayaLah1","@NamaSayaLah1")</f>
        <v>@NamaSayaLah1</v>
      </c>
      <c r="C35327" s="8" t="s">
        <v>13603</v>
      </c>
      <c r="D35327" s="8">
        <v>0</v>
      </c>
      <c r="E35327" s="8">
        <v>0</v>
      </c>
      <c r="F35327" s="8">
        <v>2</v>
      </c>
    </row>
    <row r="35328" spans="1:6" ht="12.75">
      <c r="A35328" s="8">
        <v>43888.626377314809</v>
      </c>
      <c r="B35328" s="8" t="str">
        <f>HYPERLINK("https://twitter.com/deangels2121","@deangels2121")</f>
        <v>@deangels2121</v>
      </c>
      <c r="C35328" s="8" t="s">
        <v>12853</v>
      </c>
      <c r="D35328" s="8">
        <v>2</v>
      </c>
      <c r="E35328" s="8">
        <v>0</v>
      </c>
      <c r="F35328" s="8">
        <v>743</v>
      </c>
    </row>
    <row r="35329" spans="1:6" ht="12.75">
      <c r="A35329" s="8">
        <v>43888.626331018517</v>
      </c>
      <c r="B35329" s="8" t="str">
        <f>HYPERLINK("https://twitter.com/abdulrhmn07","@abdulrhmn07")</f>
        <v>@abdulrhmn07</v>
      </c>
      <c r="C35329" s="8" t="s">
        <v>7243</v>
      </c>
      <c r="D35329" s="8">
        <v>80</v>
      </c>
      <c r="E35329" s="8">
        <v>0</v>
      </c>
      <c r="F35329" s="8">
        <v>610</v>
      </c>
    </row>
    <row r="35330" spans="1:6" ht="12.75">
      <c r="A35330" s="8">
        <v>43888.626307870371</v>
      </c>
      <c r="B35330" s="8" t="str">
        <f>HYPERLINK("https://twitter.com/Daboyras","@Daboyras")</f>
        <v>@Daboyras</v>
      </c>
      <c r="C35330" s="8" t="s">
        <v>13604</v>
      </c>
      <c r="D35330" s="8">
        <v>0</v>
      </c>
      <c r="E35330" s="8">
        <v>0</v>
      </c>
      <c r="F35330" s="8">
        <v>236</v>
      </c>
    </row>
    <row r="35331" spans="1:6" ht="12.75">
      <c r="A35331" s="8">
        <v>43888.626203703709</v>
      </c>
      <c r="B35331" s="8" t="str">
        <f>HYPERLINK("https://twitter.com/BubuNyaii","@BubuNyaii")</f>
        <v>@BubuNyaii</v>
      </c>
      <c r="C35331" s="8" t="s">
        <v>13605</v>
      </c>
      <c r="D35331" s="8">
        <v>0</v>
      </c>
      <c r="E35331" s="8">
        <v>1</v>
      </c>
      <c r="F35331" s="8">
        <v>3734</v>
      </c>
    </row>
    <row r="35332" spans="1:6" ht="12.75">
      <c r="A35332" s="8">
        <v>43888.626168981486</v>
      </c>
      <c r="B35332" s="8" t="str">
        <f>HYPERLINK("https://twitter.com/lovinjinyoung","@lovinjinyoung")</f>
        <v>@lovinjinyoung</v>
      </c>
      <c r="C35332" s="8" t="s">
        <v>13606</v>
      </c>
      <c r="D35332" s="8">
        <v>0</v>
      </c>
      <c r="E35332" s="8">
        <v>0</v>
      </c>
      <c r="F35332" s="8">
        <v>1530</v>
      </c>
    </row>
    <row r="35333" spans="1:6" ht="12.75">
      <c r="A35333" s="8">
        <v>43888.625775462962</v>
      </c>
      <c r="B35333" s="8" t="str">
        <f>HYPERLINK("https://twitter.com/bulansridevi","@bulansridevi")</f>
        <v>@bulansridevi</v>
      </c>
      <c r="C35333" s="8" t="s">
        <v>13607</v>
      </c>
      <c r="D35333" s="8">
        <v>0</v>
      </c>
      <c r="E35333" s="8">
        <v>1</v>
      </c>
      <c r="F35333" s="8">
        <v>1205</v>
      </c>
    </row>
    <row r="35334" spans="1:6" ht="12.75">
      <c r="A35334" s="8">
        <v>43888.62563657407</v>
      </c>
      <c r="B35334" s="8" t="str">
        <f>HYPERLINK("https://twitter.com/4_devout","@4_devout")</f>
        <v>@4_devout</v>
      </c>
      <c r="C35334" s="8" t="s">
        <v>12730</v>
      </c>
      <c r="D35334" s="8">
        <v>36</v>
      </c>
      <c r="E35334" s="8">
        <v>0</v>
      </c>
      <c r="F35334" s="8">
        <v>608</v>
      </c>
    </row>
    <row r="35335" spans="1:6" ht="12.75">
      <c r="A35335" s="8">
        <v>43888.625462962962</v>
      </c>
      <c r="B35335" s="8" t="str">
        <f>HYPERLINK("https://twitter.com/silitonga95","@silitonga95")</f>
        <v>@silitonga95</v>
      </c>
      <c r="C35335" s="8" t="s">
        <v>12755</v>
      </c>
      <c r="D35335" s="8">
        <v>26</v>
      </c>
      <c r="E35335" s="8">
        <v>0</v>
      </c>
      <c r="F35335" s="8">
        <v>18</v>
      </c>
    </row>
    <row r="35336" spans="1:6" ht="12.75">
      <c r="A35336" s="8">
        <v>43888.625405092593</v>
      </c>
      <c r="B35336" s="8" t="str">
        <f>HYPERLINK("https://twitter.com/xpac_2k","@xpac_2k")</f>
        <v>@xpac_2k</v>
      </c>
      <c r="C35336" s="8" t="s">
        <v>13608</v>
      </c>
      <c r="D35336" s="8">
        <v>0</v>
      </c>
      <c r="E35336" s="8">
        <v>0</v>
      </c>
      <c r="F35336" s="8">
        <v>67</v>
      </c>
    </row>
    <row r="35337" spans="1:6" ht="12.75">
      <c r="A35337" s="8">
        <v>43888.6253125</v>
      </c>
      <c r="B35337" s="8" t="str">
        <f t="shared" ref="B35337:B35338" si="503">HYPERLINK("https://twitter.com/ryolandafit","@ryolandafit")</f>
        <v>@ryolandafit</v>
      </c>
      <c r="C35337" s="8" t="s">
        <v>13609</v>
      </c>
      <c r="D35337" s="8">
        <v>2</v>
      </c>
      <c r="E35337" s="8">
        <v>0</v>
      </c>
      <c r="F35337" s="8">
        <v>652</v>
      </c>
    </row>
    <row r="35338" spans="1:6" ht="12.75">
      <c r="A35338" s="8">
        <v>43888.625289351854</v>
      </c>
      <c r="B35338" s="8" t="str">
        <f t="shared" si="503"/>
        <v>@ryolandafit</v>
      </c>
      <c r="C35338" s="8" t="s">
        <v>13610</v>
      </c>
      <c r="D35338" s="8">
        <v>2</v>
      </c>
      <c r="E35338" s="8">
        <v>0</v>
      </c>
      <c r="F35338" s="8">
        <v>652</v>
      </c>
    </row>
    <row r="35339" spans="1:6" ht="12.75">
      <c r="A35339" s="8">
        <v>43888.625057870369</v>
      </c>
      <c r="B35339" s="8" t="str">
        <f>HYPERLINK("https://twitter.com/Beebayu1","@Beebayu1")</f>
        <v>@Beebayu1</v>
      </c>
      <c r="C35339" s="8" t="s">
        <v>13611</v>
      </c>
      <c r="D35339" s="8">
        <v>0</v>
      </c>
      <c r="E35339" s="8">
        <v>0</v>
      </c>
      <c r="F35339" s="8">
        <v>729</v>
      </c>
    </row>
    <row r="35340" spans="1:6" ht="12.75">
      <c r="A35340" s="8">
        <v>43888.624907407408</v>
      </c>
      <c r="B35340" s="8" t="str">
        <f>HYPERLINK("https://twitter.com/Ernie_es","@Ernie_es")</f>
        <v>@Ernie_es</v>
      </c>
      <c r="C35340" s="8" t="s">
        <v>13593</v>
      </c>
      <c r="D35340" s="8">
        <v>4</v>
      </c>
      <c r="E35340" s="8">
        <v>0</v>
      </c>
      <c r="F35340" s="8">
        <v>3679</v>
      </c>
    </row>
    <row r="35341" spans="1:6" ht="12.75">
      <c r="A35341" s="8">
        <v>43888.624907407408</v>
      </c>
      <c r="B35341" s="8" t="str">
        <f>HYPERLINK("https://twitter.com/don_howei","@don_howei")</f>
        <v>@don_howei</v>
      </c>
      <c r="C35341" s="8" t="s">
        <v>13612</v>
      </c>
      <c r="D35341" s="8">
        <v>0</v>
      </c>
      <c r="E35341" s="8">
        <v>1</v>
      </c>
      <c r="F35341" s="8">
        <v>2252</v>
      </c>
    </row>
    <row r="35342" spans="1:6" ht="12.75">
      <c r="A35342" s="8">
        <v>43888.624861111108</v>
      </c>
      <c r="B35342" s="8" t="str">
        <f>HYPERLINK("https://twitter.com/yourvitc","@yourvitc")</f>
        <v>@yourvitc</v>
      </c>
      <c r="C35342" s="8" t="s">
        <v>10773</v>
      </c>
      <c r="D35342" s="8">
        <v>263</v>
      </c>
      <c r="E35342" s="8">
        <v>0</v>
      </c>
      <c r="F35342" s="8">
        <v>504</v>
      </c>
    </row>
    <row r="35343" spans="1:6" ht="12.75">
      <c r="A35343" s="8">
        <v>43888.624652777777</v>
      </c>
      <c r="B35343" s="8" t="str">
        <f>HYPERLINK("https://twitter.com/ryolandafit","@ryolandafit")</f>
        <v>@ryolandafit</v>
      </c>
      <c r="C35343" s="8" t="s">
        <v>13613</v>
      </c>
      <c r="D35343" s="8">
        <v>3</v>
      </c>
      <c r="E35343" s="8">
        <v>0</v>
      </c>
      <c r="F35343" s="8">
        <v>652</v>
      </c>
    </row>
    <row r="35344" spans="1:6" ht="12.75">
      <c r="A35344" s="8">
        <v>43888.62462962963</v>
      </c>
      <c r="B35344" s="8" t="str">
        <f>HYPERLINK("https://twitter.com/4_devout","@4_devout")</f>
        <v>@4_devout</v>
      </c>
      <c r="C35344" s="8" t="s">
        <v>12052</v>
      </c>
      <c r="D35344" s="8">
        <v>78</v>
      </c>
      <c r="E35344" s="8">
        <v>0</v>
      </c>
      <c r="F35344" s="8">
        <v>608</v>
      </c>
    </row>
    <row r="35345" spans="1:6" ht="12.75">
      <c r="A35345" s="8">
        <v>43888.624479166669</v>
      </c>
      <c r="B35345" s="8" t="str">
        <f>HYPERLINK("https://twitter.com/Avilla_21","@Avilla_21")</f>
        <v>@Avilla_21</v>
      </c>
      <c r="C35345" s="8" t="s">
        <v>13614</v>
      </c>
      <c r="D35345" s="8">
        <v>0</v>
      </c>
      <c r="E35345" s="8">
        <v>1</v>
      </c>
      <c r="F35345" s="8">
        <v>771</v>
      </c>
    </row>
    <row r="35346" spans="1:6" ht="12.75">
      <c r="A35346" s="8">
        <v>43888.624398148153</v>
      </c>
      <c r="B35346" s="8" t="str">
        <f t="shared" ref="B35346:B35347" si="504">HYPERLINK("https://twitter.com/ryolandafit","@ryolandafit")</f>
        <v>@ryolandafit</v>
      </c>
      <c r="C35346" s="8" t="s">
        <v>13615</v>
      </c>
      <c r="D35346" s="8">
        <v>3</v>
      </c>
      <c r="E35346" s="8">
        <v>0</v>
      </c>
      <c r="F35346" s="8">
        <v>652</v>
      </c>
    </row>
    <row r="35347" spans="1:6" ht="12.75">
      <c r="A35347" s="8">
        <v>43888.62427083333</v>
      </c>
      <c r="B35347" s="8" t="str">
        <f t="shared" si="504"/>
        <v>@ryolandafit</v>
      </c>
      <c r="C35347" s="8" t="s">
        <v>13616</v>
      </c>
      <c r="D35347" s="8">
        <v>3</v>
      </c>
      <c r="E35347" s="8">
        <v>0</v>
      </c>
      <c r="F35347" s="8">
        <v>652</v>
      </c>
    </row>
    <row r="35348" spans="1:6" ht="12.75">
      <c r="A35348" s="8">
        <v>43888.624027777776</v>
      </c>
      <c r="B35348" s="8" t="str">
        <f t="shared" ref="B35348:B35349" si="505">HYPERLINK("https://twitter.com/JfKryer","@JfKryer")</f>
        <v>@JfKryer</v>
      </c>
      <c r="C35348" s="8" t="s">
        <v>13617</v>
      </c>
      <c r="D35348" s="8">
        <v>7</v>
      </c>
      <c r="E35348" s="8">
        <v>0</v>
      </c>
      <c r="F35348" s="8">
        <v>0</v>
      </c>
    </row>
    <row r="35349" spans="1:6" ht="12.75">
      <c r="A35349" s="8">
        <v>43888.62400462963</v>
      </c>
      <c r="B35349" s="8" t="str">
        <f t="shared" si="505"/>
        <v>@JfKryer</v>
      </c>
      <c r="C35349" s="8" t="s">
        <v>13073</v>
      </c>
      <c r="D35349" s="8">
        <v>13</v>
      </c>
      <c r="E35349" s="8">
        <v>0</v>
      </c>
      <c r="F35349" s="8">
        <v>0</v>
      </c>
    </row>
    <row r="35350" spans="1:6" ht="12.75">
      <c r="A35350" s="8">
        <v>43888.623923611114</v>
      </c>
      <c r="B35350" s="8" t="str">
        <f>HYPERLINK("https://twitter.com/onomsalam2pas","@onomsalam2pas")</f>
        <v>@onomsalam2pas</v>
      </c>
      <c r="C35350" s="8" t="s">
        <v>13177</v>
      </c>
      <c r="D35350" s="8">
        <v>1</v>
      </c>
      <c r="E35350" s="8">
        <v>0</v>
      </c>
      <c r="F35350" s="8">
        <v>464</v>
      </c>
    </row>
    <row r="35351" spans="1:6" ht="12.75">
      <c r="A35351" s="8">
        <v>43888.623923611114</v>
      </c>
      <c r="B35351" s="8" t="str">
        <f>HYPERLINK("https://twitter.com/ilman__nafian","@ilman__nafian")</f>
        <v>@ilman__nafian</v>
      </c>
      <c r="C35351" s="8" t="s">
        <v>13618</v>
      </c>
      <c r="D35351" s="8">
        <v>0</v>
      </c>
      <c r="E35351" s="8">
        <v>0</v>
      </c>
      <c r="F35351" s="8">
        <v>2411</v>
      </c>
    </row>
    <row r="35352" spans="1:6" ht="12.75">
      <c r="A35352" s="8">
        <v>43888.623900462961</v>
      </c>
      <c r="B35352" s="8" t="str">
        <f>HYPERLINK("https://twitter.com/MikirSok","@MikirSok")</f>
        <v>@MikirSok</v>
      </c>
      <c r="C35352" s="8" t="s">
        <v>13619</v>
      </c>
      <c r="D35352" s="8">
        <v>0</v>
      </c>
      <c r="E35352" s="8">
        <v>0</v>
      </c>
      <c r="F35352" s="8">
        <v>16</v>
      </c>
    </row>
    <row r="35353" spans="1:6" ht="12.75">
      <c r="A35353" s="8">
        <v>43888.623449074075</v>
      </c>
      <c r="B35353" s="8" t="str">
        <f>HYPERLINK("https://twitter.com/morris_jeffri","@morris_jeffri")</f>
        <v>@morris_jeffri</v>
      </c>
      <c r="C35353" s="8" t="s">
        <v>13620</v>
      </c>
      <c r="D35353" s="8">
        <v>0</v>
      </c>
      <c r="E35353" s="8">
        <v>0</v>
      </c>
      <c r="F35353" s="8">
        <v>353</v>
      </c>
    </row>
    <row r="35354" spans="1:6" ht="12.75">
      <c r="A35354" s="8">
        <v>43888.623240740737</v>
      </c>
      <c r="B35354" s="8" t="str">
        <f>HYPERLINK("https://twitter.com/4_devout","@4_devout")</f>
        <v>@4_devout</v>
      </c>
      <c r="C35354" s="8" t="s">
        <v>12619</v>
      </c>
      <c r="D35354" s="8">
        <v>36</v>
      </c>
      <c r="E35354" s="8">
        <v>0</v>
      </c>
      <c r="F35354" s="8">
        <v>608</v>
      </c>
    </row>
    <row r="35355" spans="1:6" ht="12.75">
      <c r="A35355" s="8">
        <v>43888.623020833329</v>
      </c>
      <c r="B35355" s="8" t="str">
        <f>HYPERLINK("https://twitter.com/ceknricekcom_id","@ceknricekcom_id")</f>
        <v>@ceknricekcom_id</v>
      </c>
      <c r="C35355" s="8" t="s">
        <v>13621</v>
      </c>
      <c r="D35355" s="8">
        <v>0</v>
      </c>
      <c r="E35355" s="8">
        <v>0</v>
      </c>
      <c r="F35355" s="8">
        <v>29571</v>
      </c>
    </row>
    <row r="35356" spans="1:6" ht="12.75">
      <c r="A35356" s="8">
        <v>43888.622812500005</v>
      </c>
      <c r="B35356" s="8" t="str">
        <f>HYPERLINK("https://twitter.com/Cak_Didi","@Cak_Didi")</f>
        <v>@Cak_Didi</v>
      </c>
      <c r="C35356" s="8" t="s">
        <v>12686</v>
      </c>
      <c r="D35356" s="8">
        <v>11</v>
      </c>
      <c r="E35356" s="8">
        <v>0</v>
      </c>
      <c r="F35356" s="8">
        <v>2737</v>
      </c>
    </row>
    <row r="35357" spans="1:6" ht="12.75">
      <c r="A35357" s="8">
        <v>43888.622731481482</v>
      </c>
      <c r="B35357" s="8" t="str">
        <f>HYPERLINK("https://twitter.com/desty2_","@desty2_")</f>
        <v>@desty2_</v>
      </c>
      <c r="C35357" s="8" t="s">
        <v>13622</v>
      </c>
      <c r="D35357" s="8">
        <v>0</v>
      </c>
      <c r="E35357" s="8">
        <v>0</v>
      </c>
      <c r="F35357" s="8">
        <v>492</v>
      </c>
    </row>
    <row r="35358" spans="1:6" ht="12.75">
      <c r="A35358" s="8">
        <v>43888.622534722221</v>
      </c>
      <c r="B35358" s="8" t="str">
        <f>HYPERLINK("https://twitter.com/OscarAndry20","@OscarAndry20")</f>
        <v>@OscarAndry20</v>
      </c>
      <c r="C35358" s="8" t="s">
        <v>26</v>
      </c>
      <c r="D35358" s="8">
        <v>154</v>
      </c>
      <c r="E35358" s="8">
        <v>0</v>
      </c>
      <c r="F35358" s="8">
        <v>160</v>
      </c>
    </row>
    <row r="35359" spans="1:6" ht="12.75">
      <c r="A35359" s="8">
        <v>43888.622511574074</v>
      </c>
      <c r="B35359" s="8" t="str">
        <f>HYPERLINK("https://twitter.com/PEDOMAN_id","@PEDOMAN_id")</f>
        <v>@PEDOMAN_id</v>
      </c>
      <c r="C35359" s="8" t="s">
        <v>13623</v>
      </c>
      <c r="D35359" s="8">
        <v>0</v>
      </c>
      <c r="E35359" s="8">
        <v>0</v>
      </c>
      <c r="F35359" s="8">
        <v>60369</v>
      </c>
    </row>
    <row r="35360" spans="1:6" ht="12.75">
      <c r="A35360" s="8">
        <v>43888.622465277775</v>
      </c>
      <c r="B35360" s="8" t="str">
        <f>HYPERLINK("https://twitter.com/dodi_ahmad07","@dodi_ahmad07")</f>
        <v>@dodi_ahmad07</v>
      </c>
      <c r="C35360" s="8" t="s">
        <v>13624</v>
      </c>
      <c r="D35360" s="8">
        <v>2</v>
      </c>
      <c r="E35360" s="8">
        <v>0</v>
      </c>
      <c r="F35360" s="8">
        <v>633</v>
      </c>
    </row>
    <row r="35361" spans="1:6" ht="12.75">
      <c r="A35361" s="8">
        <v>43888.622418981482</v>
      </c>
      <c r="B35361" s="8" t="str">
        <f>HYPERLINK("https://twitter.com/OscarAndry20","@OscarAndry20")</f>
        <v>@OscarAndry20</v>
      </c>
      <c r="C35361" s="8" t="s">
        <v>4785</v>
      </c>
      <c r="D35361" s="8">
        <v>442</v>
      </c>
      <c r="E35361" s="8">
        <v>0</v>
      </c>
      <c r="F35361" s="8">
        <v>160</v>
      </c>
    </row>
    <row r="35362" spans="1:6" ht="12.75">
      <c r="A35362" s="8">
        <v>43888.622314814813</v>
      </c>
      <c r="B35362" s="8" t="str">
        <f>HYPERLINK("https://twitter.com/dodi_ahmad07","@dodi_ahmad07")</f>
        <v>@dodi_ahmad07</v>
      </c>
      <c r="C35362" s="8" t="s">
        <v>13625</v>
      </c>
      <c r="D35362" s="8">
        <v>2</v>
      </c>
      <c r="E35362" s="8">
        <v>0</v>
      </c>
      <c r="F35362" s="8">
        <v>633</v>
      </c>
    </row>
    <row r="35363" spans="1:6" ht="12.75">
      <c r="A35363" s="8">
        <v>43888.622083333335</v>
      </c>
      <c r="B35363" s="8" t="str">
        <f>HYPERLINK("https://twitter.com/ehpret","@ehpret")</f>
        <v>@ehpret</v>
      </c>
      <c r="C35363" s="8" t="s">
        <v>13626</v>
      </c>
      <c r="D35363" s="8">
        <v>1</v>
      </c>
      <c r="E35363" s="8">
        <v>0</v>
      </c>
      <c r="F35363" s="8">
        <v>677</v>
      </c>
    </row>
    <row r="35364" spans="1:6" ht="12.75">
      <c r="A35364" s="8">
        <v>43888.621724537035</v>
      </c>
      <c r="B35364" s="8" t="str">
        <f>HYPERLINK("https://twitter.com/RepublikTweep","@RepublikTweep")</f>
        <v>@RepublikTweep</v>
      </c>
      <c r="C35364" s="8" t="s">
        <v>13627</v>
      </c>
      <c r="D35364" s="8">
        <v>0</v>
      </c>
      <c r="E35364" s="8">
        <v>0</v>
      </c>
      <c r="F35364" s="8">
        <v>27462</v>
      </c>
    </row>
    <row r="35365" spans="1:6" ht="12.75">
      <c r="A35365" s="8">
        <v>43888.621689814812</v>
      </c>
      <c r="B35365" s="8" t="str">
        <f>HYPERLINK("https://twitter.com/zonadamai","@zonadamai")</f>
        <v>@zonadamai</v>
      </c>
      <c r="C35365" s="8" t="s">
        <v>13628</v>
      </c>
      <c r="D35365" s="8">
        <v>0</v>
      </c>
      <c r="E35365" s="8">
        <v>0</v>
      </c>
      <c r="F35365" s="8">
        <v>1107</v>
      </c>
    </row>
    <row r="35366" spans="1:6" ht="12.75">
      <c r="A35366" s="8">
        <v>43888.621562500004</v>
      </c>
      <c r="B35366" s="8" t="str">
        <f>HYPERLINK("https://twitter.com/Cak_Didi","@Cak_Didi")</f>
        <v>@Cak_Didi</v>
      </c>
      <c r="C35366" s="8" t="s">
        <v>13542</v>
      </c>
      <c r="D35366" s="8">
        <v>1</v>
      </c>
      <c r="E35366" s="8">
        <v>0</v>
      </c>
      <c r="F35366" s="8">
        <v>2737</v>
      </c>
    </row>
    <row r="35367" spans="1:6" ht="12.75">
      <c r="A35367" s="8">
        <v>43888.621435185181</v>
      </c>
      <c r="B35367" s="8" t="str">
        <f>HYPERLINK("https://twitter.com/gelaskotak","@gelaskotak")</f>
        <v>@gelaskotak</v>
      </c>
      <c r="C35367" s="8" t="s">
        <v>13629</v>
      </c>
      <c r="D35367" s="8">
        <v>1</v>
      </c>
      <c r="E35367" s="8">
        <v>0</v>
      </c>
      <c r="F35367" s="8">
        <v>296</v>
      </c>
    </row>
    <row r="35368" spans="1:6" ht="12.75">
      <c r="A35368" s="8">
        <v>43888.62091435185</v>
      </c>
      <c r="B35368" s="8" t="str">
        <f>HYPERLINK("https://twitter.com/fadlizon","@fadlizon")</f>
        <v>@fadlizon</v>
      </c>
      <c r="C35368" s="8" t="s">
        <v>13630</v>
      </c>
      <c r="D35368" s="8">
        <v>1</v>
      </c>
      <c r="E35368" s="8">
        <v>3</v>
      </c>
      <c r="F35368" s="8">
        <v>1388403</v>
      </c>
    </row>
    <row r="35369" spans="1:6" ht="12.75">
      <c r="A35369" s="8">
        <v>43888.620451388888</v>
      </c>
      <c r="B35369" s="8" t="str">
        <f t="shared" ref="B35369:B35370" si="506">HYPERLINK("https://twitter.com/Hanifah933","@Hanifah933")</f>
        <v>@Hanifah933</v>
      </c>
      <c r="C35369" s="8" t="s">
        <v>13631</v>
      </c>
      <c r="D35369" s="8">
        <v>2</v>
      </c>
      <c r="E35369" s="8">
        <v>0</v>
      </c>
      <c r="F35369" s="8">
        <v>7112</v>
      </c>
    </row>
    <row r="35370" spans="1:6" ht="12.75">
      <c r="A35370" s="8">
        <v>43888.620405092588</v>
      </c>
      <c r="B35370" s="8" t="str">
        <f t="shared" si="506"/>
        <v>@Hanifah933</v>
      </c>
      <c r="C35370" s="8" t="s">
        <v>13593</v>
      </c>
      <c r="D35370" s="8">
        <v>4</v>
      </c>
      <c r="E35370" s="8">
        <v>0</v>
      </c>
      <c r="F35370" s="8">
        <v>7112</v>
      </c>
    </row>
    <row r="35371" spans="1:6" ht="12.75">
      <c r="A35371" s="8">
        <v>43888.620393518519</v>
      </c>
      <c r="B35371" s="8" t="str">
        <f>HYPERLINK("https://twitter.com/gandhiansyari","@gandhiansyari")</f>
        <v>@gandhiansyari</v>
      </c>
      <c r="C35371" s="8" t="s">
        <v>11773</v>
      </c>
      <c r="D35371" s="8">
        <v>401</v>
      </c>
      <c r="E35371" s="8">
        <v>0</v>
      </c>
      <c r="F35371" s="8">
        <v>551</v>
      </c>
    </row>
    <row r="35372" spans="1:6" ht="12.75">
      <c r="A35372" s="8">
        <v>43888.620173611111</v>
      </c>
      <c r="B35372" s="8" t="str">
        <f>HYPERLINK("https://twitter.com/tjhinfar21","@tjhinfar21")</f>
        <v>@tjhinfar21</v>
      </c>
      <c r="C35372" s="8" t="s">
        <v>12730</v>
      </c>
      <c r="D35372" s="8">
        <v>36</v>
      </c>
      <c r="E35372" s="8">
        <v>0</v>
      </c>
      <c r="F35372" s="8">
        <v>16177</v>
      </c>
    </row>
    <row r="35373" spans="1:6" ht="12.75">
      <c r="A35373" s="8">
        <v>43888.619641203702</v>
      </c>
      <c r="B35373" s="8" t="str">
        <f>HYPERLINK("https://twitter.com/boywithnolove","@boywithnolove")</f>
        <v>@boywithnolove</v>
      </c>
      <c r="C35373" s="8" t="s">
        <v>13112</v>
      </c>
      <c r="D35373" s="8">
        <v>1</v>
      </c>
      <c r="E35373" s="8">
        <v>0</v>
      </c>
      <c r="F35373" s="8">
        <v>672</v>
      </c>
    </row>
    <row r="35374" spans="1:6" ht="12.75">
      <c r="A35374" s="8">
        <v>43888.619594907403</v>
      </c>
      <c r="B35374" s="8" t="str">
        <f>HYPERLINK("https://twitter.com/Andini_932","@Andini_932")</f>
        <v>@Andini_932</v>
      </c>
      <c r="C35374" s="8" t="s">
        <v>13631</v>
      </c>
      <c r="D35374" s="8">
        <v>2</v>
      </c>
      <c r="E35374" s="8">
        <v>0</v>
      </c>
      <c r="F35374" s="8">
        <v>24</v>
      </c>
    </row>
    <row r="35375" spans="1:6" ht="12.75">
      <c r="A35375" s="8">
        <v>43888.619560185187</v>
      </c>
      <c r="B35375" s="8" t="str">
        <f>HYPERLINK("https://twitter.com/cuitanabe","@cuitanabe")</f>
        <v>@cuitanabe</v>
      </c>
      <c r="C35375" s="8" t="s">
        <v>13632</v>
      </c>
      <c r="D35375" s="8">
        <v>3</v>
      </c>
      <c r="E35375" s="8">
        <v>0</v>
      </c>
      <c r="F35375" s="8">
        <v>275</v>
      </c>
    </row>
    <row r="35376" spans="1:6" ht="12.75">
      <c r="A35376" s="8">
        <v>43888.619490740741</v>
      </c>
      <c r="B35376" s="8" t="str">
        <f>HYPERLINK("https://twitter.com/SautSinaga19","@SautSinaga19")</f>
        <v>@SautSinaga19</v>
      </c>
      <c r="C35376" s="8" t="s">
        <v>12756</v>
      </c>
      <c r="D35376" s="8">
        <v>26</v>
      </c>
      <c r="E35376" s="8">
        <v>0</v>
      </c>
      <c r="F35376" s="8">
        <v>40</v>
      </c>
    </row>
    <row r="35377" spans="1:6" ht="12.75">
      <c r="A35377" s="8">
        <v>43888.619479166664</v>
      </c>
      <c r="B35377" s="8" t="str">
        <f>HYPERLINK("https://twitter.com/deksehoon","@deksehoon")</f>
        <v>@deksehoon</v>
      </c>
      <c r="C35377" s="8" t="s">
        <v>13633</v>
      </c>
      <c r="D35377" s="8">
        <v>78</v>
      </c>
      <c r="E35377" s="8">
        <v>0</v>
      </c>
      <c r="F35377" s="8">
        <v>196</v>
      </c>
    </row>
    <row r="35378" spans="1:6" ht="12.75">
      <c r="A35378" s="8">
        <v>43888.619212962964</v>
      </c>
      <c r="B35378" s="8" t="str">
        <f>HYPERLINK("https://twitter.com/Andini_932","@Andini_932")</f>
        <v>@Andini_932</v>
      </c>
      <c r="C35378" s="8" t="s">
        <v>13593</v>
      </c>
      <c r="D35378" s="8">
        <v>4</v>
      </c>
      <c r="E35378" s="8">
        <v>0</v>
      </c>
      <c r="F35378" s="8">
        <v>24</v>
      </c>
    </row>
    <row r="35379" spans="1:6" ht="12.75">
      <c r="A35379" s="8">
        <v>43888.619131944448</v>
      </c>
      <c r="B35379" s="8" t="str">
        <f>HYPERLINK("https://twitter.com/MOTION975FM","@MOTION975FM")</f>
        <v>@MOTION975FM</v>
      </c>
      <c r="C35379" s="8" t="s">
        <v>13634</v>
      </c>
      <c r="D35379" s="8">
        <v>1</v>
      </c>
      <c r="E35379" s="8">
        <v>0</v>
      </c>
      <c r="F35379" s="8">
        <v>50374</v>
      </c>
    </row>
    <row r="35380" spans="1:6" ht="12.75">
      <c r="A35380" s="8">
        <v>43888.619097222225</v>
      </c>
      <c r="B35380" s="8" t="str">
        <f>HYPERLINK("https://twitter.com/KulsumVidal","@KulsumVidal")</f>
        <v>@KulsumVidal</v>
      </c>
      <c r="C35380" s="8" t="s">
        <v>13635</v>
      </c>
      <c r="D35380" s="8">
        <v>0</v>
      </c>
      <c r="E35380" s="8">
        <v>0</v>
      </c>
      <c r="F35380" s="8">
        <v>120</v>
      </c>
    </row>
    <row r="35381" spans="1:6" ht="12.75">
      <c r="A35381" s="8">
        <v>43888.618900462963</v>
      </c>
      <c r="B35381" s="8" t="str">
        <f>HYPERLINK("https://twitter.com/VADUKA__KOLAK","@VADUKA__KOLAK")</f>
        <v>@VADUKA__KOLAK</v>
      </c>
      <c r="C35381" s="8" t="s">
        <v>13636</v>
      </c>
      <c r="D35381" s="8">
        <v>0</v>
      </c>
      <c r="E35381" s="8">
        <v>1</v>
      </c>
      <c r="F35381" s="8">
        <v>26453</v>
      </c>
    </row>
    <row r="35382" spans="1:6" ht="12.75">
      <c r="A35382" s="8">
        <v>43888.618854166663</v>
      </c>
      <c r="B35382" s="8" t="str">
        <f>HYPERLINK("https://twitter.com/radishasliindo","@radishasliindo")</f>
        <v>@radishasliindo</v>
      </c>
      <c r="C35382" s="8" t="s">
        <v>12412</v>
      </c>
      <c r="D35382" s="8">
        <v>0</v>
      </c>
      <c r="E35382" s="8">
        <v>0</v>
      </c>
      <c r="F35382" s="8">
        <v>133</v>
      </c>
    </row>
    <row r="35383" spans="1:6" ht="12.75">
      <c r="A35383" s="8">
        <v>43888.618668981479</v>
      </c>
      <c r="B35383" s="8" t="str">
        <f>HYPERLINK("https://twitter.com/melodramaalbum","@melodramaalbum")</f>
        <v>@melodramaalbum</v>
      </c>
      <c r="C35383" s="8" t="s">
        <v>13637</v>
      </c>
      <c r="D35383" s="8">
        <v>1</v>
      </c>
      <c r="E35383" s="8">
        <v>1</v>
      </c>
      <c r="F35383" s="8">
        <v>1290</v>
      </c>
    </row>
    <row r="35384" spans="1:6" ht="12.75">
      <c r="A35384" s="8">
        <v>43888.618449074071</v>
      </c>
      <c r="B35384" s="8" t="str">
        <f>HYPERLINK("https://twitter.com/basidann","@basidann")</f>
        <v>@basidann</v>
      </c>
      <c r="C35384" s="8" t="s">
        <v>13638</v>
      </c>
      <c r="D35384" s="8">
        <v>0</v>
      </c>
      <c r="E35384" s="8">
        <v>0</v>
      </c>
      <c r="F35384" s="8">
        <v>186</v>
      </c>
    </row>
    <row r="35385" spans="1:6" ht="12.75">
      <c r="A35385" s="8">
        <v>43888.618310185186</v>
      </c>
      <c r="B35385" s="8" t="str">
        <f>HYPERLINK("https://twitter.com/Hanarika8","@Hanarika8")</f>
        <v>@Hanarika8</v>
      </c>
      <c r="C35385" s="8" t="s">
        <v>13639</v>
      </c>
      <c r="D35385" s="8">
        <v>0</v>
      </c>
      <c r="E35385" s="8">
        <v>0</v>
      </c>
      <c r="F35385" s="8">
        <v>7</v>
      </c>
    </row>
    <row r="35386" spans="1:6" ht="12.75">
      <c r="A35386" s="8">
        <v>43888.61755787037</v>
      </c>
      <c r="B35386" s="8" t="str">
        <f>HYPERLINK("https://twitter.com/AryaOrlando4","@AryaOrlando4")</f>
        <v>@AryaOrlando4</v>
      </c>
      <c r="C35386" s="8" t="s">
        <v>26</v>
      </c>
      <c r="D35386" s="8">
        <v>154</v>
      </c>
      <c r="E35386" s="8">
        <v>0</v>
      </c>
      <c r="F35386" s="8">
        <v>42</v>
      </c>
    </row>
    <row r="35387" spans="1:6" ht="12.75">
      <c r="A35387" s="8">
        <v>43888.617326388892</v>
      </c>
      <c r="B35387" s="8" t="str">
        <f>HYPERLINK("https://twitter.com/dodi_ahmad07","@dodi_ahmad07")</f>
        <v>@dodi_ahmad07</v>
      </c>
      <c r="C35387" s="8" t="s">
        <v>13640</v>
      </c>
      <c r="D35387" s="8">
        <v>4</v>
      </c>
      <c r="E35387" s="8">
        <v>0</v>
      </c>
      <c r="F35387" s="8">
        <v>633</v>
      </c>
    </row>
    <row r="35388" spans="1:6" ht="12.75">
      <c r="A35388" s="8">
        <v>43888.616990740746</v>
      </c>
      <c r="B35388" s="8" t="str">
        <f>HYPERLINK("https://twitter.com/SahabatSaber","@SahabatSaber")</f>
        <v>@SahabatSaber</v>
      </c>
      <c r="C35388" s="8" t="s">
        <v>13641</v>
      </c>
      <c r="D35388" s="8">
        <v>2</v>
      </c>
      <c r="E35388" s="8">
        <v>0</v>
      </c>
      <c r="F35388" s="8">
        <v>9097</v>
      </c>
    </row>
    <row r="35389" spans="1:6" ht="12.75">
      <c r="A35389" s="8">
        <v>43888.616701388892</v>
      </c>
      <c r="B35389" s="8" t="str">
        <f>HYPERLINK("https://twitter.com/Haluan_","@Haluan_")</f>
        <v>@Haluan_</v>
      </c>
      <c r="C35389" s="8" t="s">
        <v>13642</v>
      </c>
      <c r="D35389" s="8">
        <v>0</v>
      </c>
      <c r="E35389" s="8">
        <v>0</v>
      </c>
      <c r="F35389" s="8">
        <v>1498</v>
      </c>
    </row>
    <row r="35390" spans="1:6" ht="12.75">
      <c r="A35390" s="8">
        <v>43888.616666666669</v>
      </c>
      <c r="B35390" s="8" t="str">
        <f>HYPERLINK("https://twitter.com/SonoraFM92","@SonoraFM92")</f>
        <v>@SonoraFM92</v>
      </c>
      <c r="C35390" s="8" t="s">
        <v>13643</v>
      </c>
      <c r="D35390" s="8">
        <v>1</v>
      </c>
      <c r="E35390" s="8">
        <v>1</v>
      </c>
      <c r="F35390" s="8">
        <v>293251</v>
      </c>
    </row>
    <row r="35391" spans="1:6" ht="12.75">
      <c r="A35391" s="8">
        <v>43888.616631944446</v>
      </c>
      <c r="B35391" s="8" t="str">
        <f>HYPERLINK("https://twitter.com/jepriadim2","@jepriadim2")</f>
        <v>@jepriadim2</v>
      </c>
      <c r="C35391" s="8" t="s">
        <v>13644</v>
      </c>
      <c r="D35391" s="8">
        <v>0</v>
      </c>
      <c r="E35391" s="8">
        <v>0</v>
      </c>
      <c r="F35391" s="8">
        <v>323</v>
      </c>
    </row>
    <row r="35392" spans="1:6" ht="12.75">
      <c r="A35392" s="8">
        <v>43888.616354166668</v>
      </c>
      <c r="B35392" s="8" t="str">
        <f>HYPERLINK("https://twitter.com/UlarLaut77","@UlarLaut77")</f>
        <v>@UlarLaut77</v>
      </c>
      <c r="C35392" s="8" t="s">
        <v>13616</v>
      </c>
      <c r="D35392" s="8">
        <v>3</v>
      </c>
      <c r="E35392" s="8">
        <v>0</v>
      </c>
      <c r="F35392" s="8">
        <v>66</v>
      </c>
    </row>
    <row r="35393" spans="1:6" ht="12.75">
      <c r="A35393" s="8">
        <v>43888.616238425922</v>
      </c>
      <c r="B35393" s="8" t="str">
        <f>HYPERLINK("https://twitter.com/asepn33","@asepn33")</f>
        <v>@asepn33</v>
      </c>
      <c r="C35393" s="8" t="s">
        <v>7243</v>
      </c>
      <c r="D35393" s="8">
        <v>80</v>
      </c>
      <c r="E35393" s="8">
        <v>0</v>
      </c>
      <c r="F35393" s="8">
        <v>259</v>
      </c>
    </row>
    <row r="35394" spans="1:6" ht="12.75">
      <c r="A35394" s="8">
        <v>43888.616099537037</v>
      </c>
      <c r="B35394" s="8" t="str">
        <f>HYPERLINK("https://twitter.com/canthingku","@canthingku")</f>
        <v>@canthingku</v>
      </c>
      <c r="C35394" s="8" t="s">
        <v>12052</v>
      </c>
      <c r="D35394" s="8">
        <v>78</v>
      </c>
      <c r="E35394" s="8">
        <v>0</v>
      </c>
      <c r="F35394" s="8">
        <v>1089</v>
      </c>
    </row>
    <row r="35395" spans="1:6" ht="12.75">
      <c r="A35395" s="8">
        <v>43888.616064814814</v>
      </c>
      <c r="B35395" s="8" t="str">
        <f>HYPERLINK("https://twitter.com/BejoTriwijaya","@BejoTriwijaya")</f>
        <v>@BejoTriwijaya</v>
      </c>
      <c r="C35395" s="8" t="s">
        <v>12976</v>
      </c>
      <c r="D35395" s="8">
        <v>5</v>
      </c>
      <c r="E35395" s="8">
        <v>0</v>
      </c>
      <c r="F35395" s="8">
        <v>509</v>
      </c>
    </row>
    <row r="35396" spans="1:6" ht="12.75">
      <c r="A35396" s="8">
        <v>43888.589988425927</v>
      </c>
      <c r="B35396" s="8" t="str">
        <f>HYPERLINK("https://twitter.com/cartking111","@cartking111")</f>
        <v>@cartking111</v>
      </c>
      <c r="C35396" s="8" t="s">
        <v>13073</v>
      </c>
      <c r="D35396" s="8">
        <v>11</v>
      </c>
      <c r="E35396" s="8">
        <v>0</v>
      </c>
      <c r="F35396" s="8">
        <v>26</v>
      </c>
    </row>
    <row r="35397" spans="1:6" ht="12.75">
      <c r="A35397" s="8">
        <v>43888.589965277773</v>
      </c>
      <c r="B35397" s="8" t="str">
        <f>HYPERLINK("https://twitter.com/didie_soeharto","@didie_soeharto")</f>
        <v>@didie_soeharto</v>
      </c>
      <c r="C35397" s="8" t="s">
        <v>12730</v>
      </c>
      <c r="D35397" s="8">
        <v>28</v>
      </c>
      <c r="E35397" s="8">
        <v>0</v>
      </c>
      <c r="F35397" s="8">
        <v>1231</v>
      </c>
    </row>
    <row r="35398" spans="1:6" ht="12.75">
      <c r="A35398" s="8">
        <v>43888.589918981481</v>
      </c>
      <c r="B35398" s="8" t="str">
        <f>HYPERLINK("https://twitter.com/MahinFatavit","@MahinFatavit")</f>
        <v>@MahinFatavit</v>
      </c>
      <c r="C35398" s="8" t="s">
        <v>12976</v>
      </c>
      <c r="D35398" s="8">
        <v>2</v>
      </c>
      <c r="E35398" s="8">
        <v>0</v>
      </c>
      <c r="F35398" s="8">
        <v>5993</v>
      </c>
    </row>
    <row r="35399" spans="1:6" ht="12.75">
      <c r="A35399" s="8">
        <v>43888.589641203704</v>
      </c>
      <c r="B35399" s="8" t="str">
        <f>HYPERLINK("https://twitter.com/ParthaSaderi","@ParthaSaderi")</f>
        <v>@ParthaSaderi</v>
      </c>
      <c r="C35399" s="8" t="s">
        <v>13645</v>
      </c>
      <c r="D35399" s="8">
        <v>0</v>
      </c>
      <c r="E35399" s="8">
        <v>0</v>
      </c>
      <c r="F35399" s="8">
        <v>5497</v>
      </c>
    </row>
    <row r="35400" spans="1:6" ht="12.75">
      <c r="A35400" s="8">
        <v>43888.589629629627</v>
      </c>
      <c r="B35400" s="8" t="str">
        <f>HYPERLINK("https://twitter.com/madharafardhan","@madharafardhan")</f>
        <v>@madharafardhan</v>
      </c>
      <c r="C35400" s="8" t="s">
        <v>13646</v>
      </c>
      <c r="D35400" s="8">
        <v>0</v>
      </c>
      <c r="E35400" s="8">
        <v>0</v>
      </c>
      <c r="F35400" s="8">
        <v>88</v>
      </c>
    </row>
    <row r="35401" spans="1:6" ht="12.75">
      <c r="A35401" s="8">
        <v>43888.589270833334</v>
      </c>
      <c r="B35401" s="8" t="str">
        <f>HYPERLINK("https://twitter.com/tm__siahaan","@tm__siahaan")</f>
        <v>@tm__siahaan</v>
      </c>
      <c r="C35401" s="8" t="s">
        <v>12730</v>
      </c>
      <c r="D35401" s="8">
        <v>28</v>
      </c>
      <c r="E35401" s="8">
        <v>0</v>
      </c>
      <c r="F35401" s="8">
        <v>842</v>
      </c>
    </row>
    <row r="35402" spans="1:6" ht="12.75">
      <c r="A35402" s="8">
        <v>43888.588449074072</v>
      </c>
      <c r="B35402" s="8" t="str">
        <f>HYPERLINK("https://twitter.com/R036_____","@R036_____")</f>
        <v>@R036_____</v>
      </c>
      <c r="C35402" s="8" t="s">
        <v>13505</v>
      </c>
      <c r="D35402" s="8">
        <v>19</v>
      </c>
      <c r="E35402" s="8">
        <v>0</v>
      </c>
      <c r="F35402" s="8">
        <v>4498</v>
      </c>
    </row>
    <row r="35403" spans="1:6" ht="12.75">
      <c r="A35403" s="8">
        <v>43888.58798611111</v>
      </c>
      <c r="B35403" s="8" t="str">
        <f>HYPERLINK("https://twitter.com/ShubhangGupta36","@ShubhangGupta36")</f>
        <v>@ShubhangGupta36</v>
      </c>
      <c r="C35403" s="8" t="s">
        <v>13647</v>
      </c>
      <c r="D35403" s="8">
        <v>0</v>
      </c>
      <c r="E35403" s="8">
        <v>0</v>
      </c>
      <c r="F35403" s="8">
        <v>5</v>
      </c>
    </row>
    <row r="35404" spans="1:6" ht="12.75">
      <c r="A35404" s="8">
        <v>43888.587905092594</v>
      </c>
      <c r="B35404" s="8" t="str">
        <f>HYPERLINK("https://twitter.com/ephraym8","@ephraym8")</f>
        <v>@ephraym8</v>
      </c>
      <c r="C35404" s="8" t="s">
        <v>12730</v>
      </c>
      <c r="D35404" s="8">
        <v>28</v>
      </c>
      <c r="E35404" s="8">
        <v>0</v>
      </c>
      <c r="F35404" s="8">
        <v>1171</v>
      </c>
    </row>
    <row r="35405" spans="1:6" ht="12.75">
      <c r="A35405" s="8">
        <v>43888.587592592594</v>
      </c>
      <c r="B35405" s="8" t="str">
        <f>HYPERLINK("https://twitter.com/dikoktara","@dikoktara")</f>
        <v>@dikoktara</v>
      </c>
      <c r="C35405" s="8" t="s">
        <v>13460</v>
      </c>
      <c r="D35405" s="8">
        <v>1</v>
      </c>
      <c r="E35405" s="8">
        <v>0</v>
      </c>
      <c r="F35405" s="8">
        <v>514</v>
      </c>
    </row>
    <row r="35406" spans="1:6" ht="12.75">
      <c r="A35406" s="8">
        <v>43888.587557870371</v>
      </c>
      <c r="B35406" s="8" t="str">
        <f>HYPERLINK("https://twitter.com/suaradotcom","@suaradotcom")</f>
        <v>@suaradotcom</v>
      </c>
      <c r="C35406" s="8" t="s">
        <v>13648</v>
      </c>
      <c r="D35406" s="8">
        <v>0</v>
      </c>
      <c r="E35406" s="8">
        <v>0</v>
      </c>
      <c r="F35406" s="8">
        <v>24254</v>
      </c>
    </row>
    <row r="35407" spans="1:6" ht="12.75">
      <c r="A35407" s="8">
        <v>43888.587407407409</v>
      </c>
      <c r="B35407" s="8" t="str">
        <f>HYPERLINK("https://twitter.com/rachmatnugroho_","@rachmatnugroho_")</f>
        <v>@rachmatnugroho_</v>
      </c>
      <c r="C35407" s="8" t="s">
        <v>13633</v>
      </c>
      <c r="D35407" s="8">
        <v>77</v>
      </c>
      <c r="E35407" s="8">
        <v>0</v>
      </c>
      <c r="F35407" s="8">
        <v>199</v>
      </c>
    </row>
    <row r="35408" spans="1:6" ht="12.75">
      <c r="A35408" s="8">
        <v>43888.587337962963</v>
      </c>
      <c r="B35408" s="8" t="str">
        <f>HYPERLINK("https://twitter.com/ballambinlove","@ballambinlove")</f>
        <v>@ballambinlove</v>
      </c>
      <c r="C35408" s="8" t="s">
        <v>13649</v>
      </c>
      <c r="D35408" s="8">
        <v>2</v>
      </c>
      <c r="E35408" s="8">
        <v>0</v>
      </c>
      <c r="F35408" s="8">
        <v>1013</v>
      </c>
    </row>
    <row r="35409" spans="1:6" ht="12.75">
      <c r="A35409" s="8">
        <v>43888.586875000001</v>
      </c>
      <c r="B35409" s="8" t="str">
        <f>HYPERLINK("https://twitter.com/novblume","@novblume")</f>
        <v>@novblume</v>
      </c>
      <c r="C35409" s="8" t="s">
        <v>593</v>
      </c>
      <c r="D35409" s="8">
        <v>323</v>
      </c>
      <c r="E35409" s="8">
        <v>0</v>
      </c>
      <c r="F35409" s="8">
        <v>295</v>
      </c>
    </row>
    <row r="35410" spans="1:6" ht="12.75">
      <c r="A35410" s="8">
        <v>43888.586828703701</v>
      </c>
      <c r="B35410" s="8" t="str">
        <f>HYPERLINK("https://twitter.com/rmol_id","@rmol_id")</f>
        <v>@rmol_id</v>
      </c>
      <c r="C35410" s="8" t="s">
        <v>13650</v>
      </c>
      <c r="D35410" s="8">
        <v>0</v>
      </c>
      <c r="E35410" s="8">
        <v>0</v>
      </c>
      <c r="F35410" s="8">
        <v>166531</v>
      </c>
    </row>
    <row r="35411" spans="1:6" ht="12.75">
      <c r="A35411" s="8">
        <v>43888.586712962962</v>
      </c>
      <c r="B35411" s="8" t="str">
        <f>HYPERLINK("https://twitter.com/Yahibu2","@Yahibu2")</f>
        <v>@Yahibu2</v>
      </c>
      <c r="C35411" s="8" t="s">
        <v>12143</v>
      </c>
      <c r="D35411" s="8">
        <v>312</v>
      </c>
      <c r="E35411" s="8">
        <v>0</v>
      </c>
      <c r="F35411" s="8">
        <v>113</v>
      </c>
    </row>
    <row r="35412" spans="1:6" ht="12.75">
      <c r="A35412" s="8">
        <v>43888.58657407407</v>
      </c>
      <c r="B35412" s="8" t="str">
        <f>HYPERLINK("https://twitter.com/lanangph","@lanangph")</f>
        <v>@lanangph</v>
      </c>
      <c r="C35412" s="8" t="s">
        <v>12052</v>
      </c>
      <c r="D35412" s="8">
        <v>72</v>
      </c>
      <c r="E35412" s="8">
        <v>0</v>
      </c>
      <c r="F35412" s="8">
        <v>377</v>
      </c>
    </row>
    <row r="35413" spans="1:6" ht="12.75">
      <c r="A35413" s="8">
        <v>43888.586539351847</v>
      </c>
      <c r="B35413" s="8" t="str">
        <f>HYPERLINK("https://twitter.com/nanamptr","@nanamptr")</f>
        <v>@nanamptr</v>
      </c>
      <c r="C35413" s="8" t="s">
        <v>13651</v>
      </c>
      <c r="D35413" s="8">
        <v>8</v>
      </c>
      <c r="E35413" s="8">
        <v>0</v>
      </c>
      <c r="F35413" s="8">
        <v>36</v>
      </c>
    </row>
    <row r="35414" spans="1:6" ht="12.75">
      <c r="A35414" s="8">
        <v>43888.585995370369</v>
      </c>
      <c r="B35414" s="8" t="str">
        <f>HYPERLINK("https://twitter.com/tempodotco","@tempodotco")</f>
        <v>@tempodotco</v>
      </c>
      <c r="C35414" s="8" t="s">
        <v>13652</v>
      </c>
      <c r="D35414" s="8">
        <v>1</v>
      </c>
      <c r="E35414" s="8">
        <v>4</v>
      </c>
      <c r="F35414" s="8">
        <v>1713391</v>
      </c>
    </row>
    <row r="35415" spans="1:6" ht="12.75">
      <c r="A35415" s="8">
        <v>43888.585879629631</v>
      </c>
      <c r="B35415" s="8" t="str">
        <f>HYPERLINK("https://twitter.com/55kaying","@55kaying")</f>
        <v>@55kaying</v>
      </c>
      <c r="C35415" s="8" t="s">
        <v>13007</v>
      </c>
      <c r="D35415" s="8">
        <v>11</v>
      </c>
      <c r="E35415" s="8">
        <v>0</v>
      </c>
      <c r="F35415" s="8">
        <v>310</v>
      </c>
    </row>
    <row r="35416" spans="1:6" ht="12.75">
      <c r="A35416" s="8">
        <v>43888.585787037038</v>
      </c>
      <c r="B35416" s="8" t="str">
        <f>HYPERLINK("https://twitter.com/J_Bianconero","@J_Bianconero")</f>
        <v>@J_Bianconero</v>
      </c>
      <c r="C35416" s="8" t="s">
        <v>13653</v>
      </c>
      <c r="D35416" s="8">
        <v>0</v>
      </c>
      <c r="E35416" s="8">
        <v>0</v>
      </c>
      <c r="F35416" s="8">
        <v>14</v>
      </c>
    </row>
    <row r="35417" spans="1:6" ht="12.75">
      <c r="A35417" s="8">
        <v>43888.585706018523</v>
      </c>
      <c r="B35417" s="8" t="str">
        <f>HYPERLINK("https://twitter.com/love_owe","@love_owe")</f>
        <v>@love_owe</v>
      </c>
      <c r="C35417" s="8" t="s">
        <v>12052</v>
      </c>
      <c r="D35417" s="8">
        <v>72</v>
      </c>
      <c r="E35417" s="8">
        <v>0</v>
      </c>
      <c r="F35417" s="8">
        <v>527</v>
      </c>
    </row>
    <row r="35418" spans="1:6" ht="12.75">
      <c r="A35418" s="8">
        <v>43888.585682870369</v>
      </c>
      <c r="B35418" s="8" t="str">
        <f>HYPERLINK("https://twitter.com/ccciiinnnddd777","@ccciiinnnddd777")</f>
        <v>@ccciiinnnddd777</v>
      </c>
      <c r="C35418" s="8" t="s">
        <v>12730</v>
      </c>
      <c r="D35418" s="8">
        <v>28</v>
      </c>
      <c r="E35418" s="8">
        <v>0</v>
      </c>
      <c r="F35418" s="8">
        <v>57</v>
      </c>
    </row>
    <row r="35419" spans="1:6" ht="12.75">
      <c r="A35419" s="8">
        <v>43888.5856712963</v>
      </c>
      <c r="B35419" s="8" t="str">
        <f>HYPERLINK("https://twitter.com/Kabarsukadotcom","@Kabarsukadotcom")</f>
        <v>@Kabarsukadotcom</v>
      </c>
      <c r="C35419" s="8" t="s">
        <v>3061</v>
      </c>
      <c r="D35419" s="8">
        <v>0</v>
      </c>
      <c r="E35419" s="8">
        <v>0</v>
      </c>
      <c r="F35419" s="8">
        <v>17</v>
      </c>
    </row>
    <row r="35420" spans="1:6" ht="12.75">
      <c r="A35420" s="8">
        <v>43888.585370370369</v>
      </c>
      <c r="B35420" s="8" t="str">
        <f>HYPERLINK("https://twitter.com/dabelyu97","@dabelyu97")</f>
        <v>@dabelyu97</v>
      </c>
      <c r="C35420" s="8" t="s">
        <v>13654</v>
      </c>
      <c r="D35420" s="8">
        <v>0</v>
      </c>
      <c r="E35420" s="8">
        <v>1</v>
      </c>
      <c r="F35420" s="8">
        <v>249</v>
      </c>
    </row>
    <row r="35421" spans="1:6" ht="12.75">
      <c r="A35421" s="8">
        <v>43888.585150462968</v>
      </c>
      <c r="B35421" s="8" t="str">
        <f>HYPERLINK("https://twitter.com/DennyPuteraa","@DennyPuteraa")</f>
        <v>@DennyPuteraa</v>
      </c>
      <c r="C35421" s="8" t="s">
        <v>13655</v>
      </c>
      <c r="D35421" s="8">
        <v>0</v>
      </c>
      <c r="E35421" s="8">
        <v>0</v>
      </c>
      <c r="F35421" s="8">
        <v>492</v>
      </c>
    </row>
    <row r="35422" spans="1:6" ht="12.75">
      <c r="A35422" s="8">
        <v>43888.58488425926</v>
      </c>
      <c r="B35422" s="8" t="str">
        <f>HYPERLINK("https://twitter.com/YogaAdrianyoga6","@YogaAdrianyoga6")</f>
        <v>@YogaAdrianyoga6</v>
      </c>
      <c r="C35422" s="8" t="s">
        <v>12853</v>
      </c>
      <c r="D35422" s="8">
        <v>1</v>
      </c>
      <c r="E35422" s="8">
        <v>0</v>
      </c>
      <c r="F35422" s="8">
        <v>790</v>
      </c>
    </row>
    <row r="35423" spans="1:6" ht="12.75">
      <c r="A35423" s="8">
        <v>43888.584814814814</v>
      </c>
      <c r="B35423" s="8" t="str">
        <f>HYPERLINK("https://twitter.com/IKONOS2","@IKONOS2")</f>
        <v>@IKONOS2</v>
      </c>
      <c r="C35423" s="8" t="s">
        <v>13656</v>
      </c>
      <c r="D35423" s="8">
        <v>0</v>
      </c>
      <c r="E35423" s="8">
        <v>0</v>
      </c>
      <c r="F35423" s="8">
        <v>103</v>
      </c>
    </row>
    <row r="35424" spans="1:6" ht="12.75">
      <c r="A35424" s="8">
        <v>43888.58421296296</v>
      </c>
      <c r="B35424" s="8" t="str">
        <f>HYPERLINK("https://twitter.com/Kaleng_Kurma","@Kaleng_Kurma")</f>
        <v>@Kaleng_Kurma</v>
      </c>
      <c r="C35424" s="8" t="s">
        <v>13615</v>
      </c>
      <c r="D35424" s="8">
        <v>2</v>
      </c>
      <c r="E35424" s="8">
        <v>0</v>
      </c>
      <c r="F35424" s="8">
        <v>216</v>
      </c>
    </row>
    <row r="35425" spans="1:6" ht="12.75">
      <c r="A35425" s="8">
        <v>43888.584166666667</v>
      </c>
      <c r="B35425" s="8" t="str">
        <f>HYPERLINK("https://twitter.com/electrifyminee","@electrifyminee")</f>
        <v>@electrifyminee</v>
      </c>
      <c r="C35425" s="8" t="s">
        <v>13657</v>
      </c>
      <c r="D35425" s="8">
        <v>0</v>
      </c>
      <c r="E35425" s="8">
        <v>0</v>
      </c>
      <c r="F35425" s="8">
        <v>558</v>
      </c>
    </row>
    <row r="35426" spans="1:6" ht="12.75">
      <c r="A35426" s="8">
        <v>43888.583900462967</v>
      </c>
      <c r="B35426" s="8" t="str">
        <f>HYPERLINK("https://twitter.com/KATADATAcoid","@KATADATAcoid")</f>
        <v>@KATADATAcoid</v>
      </c>
      <c r="C35426" s="8" t="s">
        <v>13658</v>
      </c>
      <c r="D35426" s="8">
        <v>0</v>
      </c>
      <c r="E35426" s="8">
        <v>0</v>
      </c>
      <c r="F35426" s="8">
        <v>41476</v>
      </c>
    </row>
    <row r="35427" spans="1:6" ht="12.75">
      <c r="A35427" s="8">
        <v>43888.583611111113</v>
      </c>
      <c r="B35427" s="8" t="str">
        <f>HYPERLINK("https://twitter.com/YusufNurzaman6","@YusufNurzaman6")</f>
        <v>@YusufNurzaman6</v>
      </c>
      <c r="C35427" s="8" t="s">
        <v>13659</v>
      </c>
      <c r="D35427" s="8">
        <v>16</v>
      </c>
      <c r="E35427" s="8">
        <v>0</v>
      </c>
      <c r="F35427" s="8">
        <v>212</v>
      </c>
    </row>
    <row r="35428" spans="1:6" ht="12.75">
      <c r="A35428" s="8">
        <v>43888.583287037036</v>
      </c>
      <c r="B35428" s="8" t="str">
        <f>HYPERLINK("https://twitter.com/finawagey","@finawagey")</f>
        <v>@finawagey</v>
      </c>
      <c r="C35428" s="8" t="s">
        <v>4785</v>
      </c>
      <c r="D35428" s="8">
        <v>433</v>
      </c>
      <c r="E35428" s="8">
        <v>0</v>
      </c>
      <c r="F35428" s="8">
        <v>34</v>
      </c>
    </row>
    <row r="35429" spans="1:6" ht="12.75">
      <c r="A35429" s="8">
        <v>43888.583275462966</v>
      </c>
      <c r="B35429" s="8" t="str">
        <f>HYPERLINK("https://twitter.com/AlvaroDeBazan2","@AlvaroDeBazan2")</f>
        <v>@AlvaroDeBazan2</v>
      </c>
      <c r="C35429" s="8" t="s">
        <v>13615</v>
      </c>
      <c r="D35429" s="8">
        <v>2</v>
      </c>
      <c r="E35429" s="8">
        <v>0</v>
      </c>
      <c r="F35429" s="8">
        <v>251</v>
      </c>
    </row>
    <row r="35430" spans="1:6" ht="12.75">
      <c r="A35430" s="8">
        <v>43888.58289351852</v>
      </c>
      <c r="B35430" s="8" t="str">
        <f>HYPERLINK("https://twitter.com/Bibijum1","@Bibijum1")</f>
        <v>@Bibijum1</v>
      </c>
      <c r="C35430" s="8" t="s">
        <v>13659</v>
      </c>
      <c r="D35430" s="8">
        <v>16</v>
      </c>
      <c r="E35430" s="8">
        <v>0</v>
      </c>
      <c r="F35430" s="8">
        <v>12</v>
      </c>
    </row>
    <row r="35431" spans="1:6" ht="12.75">
      <c r="A35431" s="8">
        <v>43888.582835648151</v>
      </c>
      <c r="B35431" s="8" t="str">
        <f>HYPERLINK("https://twitter.com/jumari_ndangde","@jumari_ndangde")</f>
        <v>@jumari_ndangde</v>
      </c>
      <c r="C35431" s="8" t="s">
        <v>13660</v>
      </c>
      <c r="D35431" s="8">
        <v>0</v>
      </c>
      <c r="E35431" s="8">
        <v>0</v>
      </c>
      <c r="F35431" s="8">
        <v>710</v>
      </c>
    </row>
    <row r="35432" spans="1:6" ht="12.75">
      <c r="A35432" s="8">
        <v>43888.582743055551</v>
      </c>
      <c r="B35432" s="8" t="str">
        <f>HYPERLINK("https://twitter.com/endoe21","@endoe21")</f>
        <v>@endoe21</v>
      </c>
      <c r="C35432" s="8" t="s">
        <v>13505</v>
      </c>
      <c r="D35432" s="8">
        <v>19</v>
      </c>
      <c r="E35432" s="8">
        <v>0</v>
      </c>
      <c r="F35432" s="8">
        <v>2042</v>
      </c>
    </row>
    <row r="35433" spans="1:6" ht="12.75">
      <c r="A35433" s="8">
        <v>43888.582407407404</v>
      </c>
      <c r="B35433" s="8" t="str">
        <f>HYPERLINK("https://twitter.com/ajengpramestyr","@ajengpramestyr")</f>
        <v>@ajengpramestyr</v>
      </c>
      <c r="C35433" s="8" t="s">
        <v>6863</v>
      </c>
      <c r="D35433" s="8">
        <v>196</v>
      </c>
      <c r="E35433" s="8">
        <v>0</v>
      </c>
      <c r="F35433" s="8">
        <v>396</v>
      </c>
    </row>
    <row r="35434" spans="1:6" ht="12.75">
      <c r="A35434" s="8">
        <v>43888.582349537042</v>
      </c>
      <c r="B35434" s="8" t="str">
        <f>HYPERLINK("https://twitter.com/makmunrahmi","@makmunrahmi")</f>
        <v>@makmunrahmi</v>
      </c>
      <c r="C35434" s="8" t="s">
        <v>4836</v>
      </c>
      <c r="D35434" s="8">
        <v>5402</v>
      </c>
      <c r="E35434" s="8">
        <v>0</v>
      </c>
      <c r="F35434" s="8">
        <v>89</v>
      </c>
    </row>
    <row r="35435" spans="1:6" ht="12.75">
      <c r="A35435" s="8">
        <v>43888.582291666666</v>
      </c>
      <c r="B35435" s="8" t="str">
        <f>HYPERLINK("https://twitter.com/Metro_TV","@Metro_TV")</f>
        <v>@Metro_TV</v>
      </c>
      <c r="C35435" s="8" t="s">
        <v>13661</v>
      </c>
      <c r="D35435" s="8">
        <v>2</v>
      </c>
      <c r="E35435" s="8">
        <v>3</v>
      </c>
      <c r="F35435" s="8">
        <v>10514020</v>
      </c>
    </row>
    <row r="35436" spans="1:6" ht="12.75">
      <c r="A35436" s="8">
        <v>43888.581979166665</v>
      </c>
      <c r="B35436" s="8" t="str">
        <f>HYPERLINK("https://twitter.com/Hegie_bae","@Hegie_bae")</f>
        <v>@Hegie_bae</v>
      </c>
      <c r="C35436" s="8" t="s">
        <v>12619</v>
      </c>
      <c r="D35436" s="8">
        <v>29</v>
      </c>
      <c r="E35436" s="8">
        <v>0</v>
      </c>
      <c r="F35436" s="8">
        <v>391</v>
      </c>
    </row>
    <row r="35437" spans="1:6" ht="12.75">
      <c r="A35437" s="8">
        <v>43888.581932870366</v>
      </c>
      <c r="B35437" s="8" t="str">
        <f>HYPERLINK("https://twitter.com/beatrice_health","@beatrice_health")</f>
        <v>@beatrice_health</v>
      </c>
      <c r="C35437" s="8" t="s">
        <v>13613</v>
      </c>
      <c r="D35437" s="8">
        <v>2</v>
      </c>
      <c r="E35437" s="8">
        <v>0</v>
      </c>
      <c r="F35437" s="8">
        <v>403</v>
      </c>
    </row>
    <row r="35438" spans="1:6" ht="12.75">
      <c r="A35438" s="8">
        <v>43888.581909722227</v>
      </c>
      <c r="B35438" s="8" t="str">
        <f t="shared" ref="B35438:B35439" si="507">HYPERLINK("https://twitter.com/Kaleng_Kurma","@Kaleng_Kurma")</f>
        <v>@Kaleng_Kurma</v>
      </c>
      <c r="C35438" s="8" t="s">
        <v>13613</v>
      </c>
      <c r="D35438" s="8">
        <v>2</v>
      </c>
      <c r="E35438" s="8">
        <v>0</v>
      </c>
      <c r="F35438" s="8">
        <v>216</v>
      </c>
    </row>
    <row r="35439" spans="1:6" ht="12.75">
      <c r="A35439" s="8">
        <v>43888.581574074073</v>
      </c>
      <c r="B35439" s="8" t="str">
        <f t="shared" si="507"/>
        <v>@Kaleng_Kurma</v>
      </c>
      <c r="C35439" s="8" t="s">
        <v>13662</v>
      </c>
      <c r="D35439" s="8">
        <v>1</v>
      </c>
      <c r="E35439" s="8">
        <v>0</v>
      </c>
      <c r="F35439" s="8">
        <v>216</v>
      </c>
    </row>
    <row r="35440" spans="1:6" ht="12.75">
      <c r="A35440" s="8">
        <v>43888.581493055557</v>
      </c>
      <c r="B35440" s="8" t="str">
        <f>HYPERLINK("https://twitter.com/azmilandari","@azmilandari")</f>
        <v>@azmilandari</v>
      </c>
      <c r="C35440" s="8" t="s">
        <v>7243</v>
      </c>
      <c r="D35440" s="8">
        <v>70</v>
      </c>
      <c r="E35440" s="8">
        <v>0</v>
      </c>
      <c r="F35440" s="8">
        <v>117</v>
      </c>
    </row>
    <row r="35441" spans="1:6" ht="12.75">
      <c r="A35441" s="8">
        <v>43888.581203703703</v>
      </c>
      <c r="B35441" s="8" t="str">
        <f>HYPERLINK("https://twitter.com/JohnIrwan4","@JohnIrwan4")</f>
        <v>@JohnIrwan4</v>
      </c>
      <c r="C35441" s="8" t="s">
        <v>13663</v>
      </c>
      <c r="D35441" s="8">
        <v>0</v>
      </c>
      <c r="E35441" s="8">
        <v>0</v>
      </c>
      <c r="F35441" s="8">
        <v>2512</v>
      </c>
    </row>
    <row r="35442" spans="1:6" ht="12.75">
      <c r="A35442" s="8">
        <v>43888.580972222218</v>
      </c>
      <c r="B35442" s="8" t="str">
        <f>HYPERLINK("https://twitter.com/OcehanKodok","@OcehanKodok")</f>
        <v>@OcehanKodok</v>
      </c>
      <c r="C35442" s="8" t="s">
        <v>13664</v>
      </c>
      <c r="D35442" s="8">
        <v>0</v>
      </c>
      <c r="E35442" s="8">
        <v>0</v>
      </c>
      <c r="F35442" s="8">
        <v>262</v>
      </c>
    </row>
    <row r="35443" spans="1:6" ht="12.75">
      <c r="A35443" s="8">
        <v>43888.580879629633</v>
      </c>
      <c r="B35443" s="8" t="str">
        <f>HYPERLINK("https://twitter.com/Metro_TV","@Metro_TV")</f>
        <v>@Metro_TV</v>
      </c>
      <c r="C35443" s="8" t="s">
        <v>13665</v>
      </c>
      <c r="D35443" s="8">
        <v>0</v>
      </c>
      <c r="E35443" s="8">
        <v>2</v>
      </c>
      <c r="F35443" s="8">
        <v>10514020</v>
      </c>
    </row>
    <row r="35444" spans="1:6" ht="12.75">
      <c r="A35444" s="8">
        <v>43888.580694444448</v>
      </c>
      <c r="B35444" s="8" t="str">
        <f>HYPERLINK("https://twitter.com/Handoko_Sohardi","@Handoko_Sohardi")</f>
        <v>@Handoko_Sohardi</v>
      </c>
      <c r="C35444" s="8" t="s">
        <v>11773</v>
      </c>
      <c r="D35444" s="8">
        <v>393</v>
      </c>
      <c r="E35444" s="8">
        <v>0</v>
      </c>
      <c r="F35444" s="8">
        <v>91</v>
      </c>
    </row>
    <row r="35445" spans="1:6" ht="12.75">
      <c r="A35445" s="8">
        <v>43888.580659722225</v>
      </c>
      <c r="B35445" s="8" t="str">
        <f>HYPERLINK("https://twitter.com/awkyirun","@awkyirun")</f>
        <v>@awkyirun</v>
      </c>
      <c r="C35445" s="8" t="s">
        <v>12619</v>
      </c>
      <c r="D35445" s="8">
        <v>29</v>
      </c>
      <c r="E35445" s="8">
        <v>0</v>
      </c>
      <c r="F35445" s="8">
        <v>106</v>
      </c>
    </row>
    <row r="35446" spans="1:6" ht="12.75">
      <c r="A35446" s="8">
        <v>43888.580578703702</v>
      </c>
      <c r="B35446" s="8" t="str">
        <f>HYPERLINK("https://twitter.com/VIVAcoid","@VIVAcoid")</f>
        <v>@VIVAcoid</v>
      </c>
      <c r="C35446" s="8" t="s">
        <v>13649</v>
      </c>
      <c r="D35446" s="8">
        <v>2</v>
      </c>
      <c r="E35446" s="8">
        <v>0</v>
      </c>
      <c r="F35446" s="8">
        <v>4172906</v>
      </c>
    </row>
    <row r="35447" spans="1:6" ht="12.75">
      <c r="A35447" s="8">
        <v>43888.580231481479</v>
      </c>
      <c r="B35447" s="8" t="str">
        <f>HYPERLINK("https://twitter.com/vivanewscom","@vivanewscom")</f>
        <v>@vivanewscom</v>
      </c>
      <c r="C35447" s="8" t="s">
        <v>13666</v>
      </c>
      <c r="D35447" s="8">
        <v>2</v>
      </c>
      <c r="E35447" s="8">
        <v>1</v>
      </c>
      <c r="F35447" s="8">
        <v>4455</v>
      </c>
    </row>
    <row r="35448" spans="1:6" ht="12.75">
      <c r="A35448" s="8">
        <v>43888.58012731481</v>
      </c>
      <c r="B35448" s="8" t="str">
        <f>HYPERLINK("https://twitter.com/aya_ddt","@aya_ddt")</f>
        <v>@aya_ddt</v>
      </c>
      <c r="C35448" s="8" t="s">
        <v>12619</v>
      </c>
      <c r="D35448" s="8">
        <v>29</v>
      </c>
      <c r="E35448" s="8">
        <v>0</v>
      </c>
      <c r="F35448" s="8">
        <v>437</v>
      </c>
    </row>
    <row r="35449" spans="1:6" ht="12.75">
      <c r="A35449" s="8">
        <v>43888.580046296294</v>
      </c>
      <c r="B35449" s="8" t="str">
        <f>HYPERLINK("https://twitter.com/Tanti__a","@Tanti__a")</f>
        <v>@Tanti__a</v>
      </c>
      <c r="C35449" s="8" t="s">
        <v>13667</v>
      </c>
      <c r="D35449" s="8">
        <v>0</v>
      </c>
      <c r="E35449" s="8">
        <v>0</v>
      </c>
      <c r="F35449" s="8">
        <v>251</v>
      </c>
    </row>
    <row r="35450" spans="1:6" ht="12.75">
      <c r="A35450" s="8">
        <v>43888.579861111109</v>
      </c>
      <c r="B35450" s="8" t="str">
        <f>HYPERLINK("https://twitter.com/fauziansyahr","@fauziansyahr")</f>
        <v>@fauziansyahr</v>
      </c>
      <c r="C35450" s="8" t="s">
        <v>6863</v>
      </c>
      <c r="D35450" s="8">
        <v>196</v>
      </c>
      <c r="E35450" s="8">
        <v>0</v>
      </c>
      <c r="F35450" s="8">
        <v>265</v>
      </c>
    </row>
    <row r="35451" spans="1:6" ht="12.75">
      <c r="A35451" s="8">
        <v>43888.57917824074</v>
      </c>
      <c r="B35451" s="8" t="str">
        <f>HYPERLINK("https://twitter.com/tempodotco","@tempodotco")</f>
        <v>@tempodotco</v>
      </c>
      <c r="C35451" s="8" t="s">
        <v>13668</v>
      </c>
      <c r="D35451" s="8">
        <v>1</v>
      </c>
      <c r="E35451" s="8">
        <v>4</v>
      </c>
      <c r="F35451" s="8">
        <v>1713391</v>
      </c>
    </row>
    <row r="35452" spans="1:6" ht="12.75">
      <c r="A35452" s="8">
        <v>43888.579074074078</v>
      </c>
      <c r="B35452" s="8" t="str">
        <f>HYPERLINK("https://twitter.com/Metro_TV","@Metro_TV")</f>
        <v>@Metro_TV</v>
      </c>
      <c r="C35452" s="8" t="s">
        <v>13669</v>
      </c>
      <c r="D35452" s="8">
        <v>2</v>
      </c>
      <c r="E35452" s="8">
        <v>2</v>
      </c>
      <c r="F35452" s="8">
        <v>10514020</v>
      </c>
    </row>
    <row r="35453" spans="1:6" ht="12.75">
      <c r="A35453" s="8">
        <v>43888.579062500001</v>
      </c>
      <c r="B35453" s="8" t="str">
        <f>HYPERLINK("https://twitter.com/ummusyhdh_","@ummusyhdh_")</f>
        <v>@ummusyhdh_</v>
      </c>
      <c r="C35453" s="8" t="s">
        <v>13338</v>
      </c>
      <c r="D35453" s="8">
        <v>34</v>
      </c>
      <c r="E35453" s="8">
        <v>0</v>
      </c>
      <c r="F35453" s="8">
        <v>1128</v>
      </c>
    </row>
    <row r="35454" spans="1:6" ht="12.75">
      <c r="A35454" s="8">
        <v>43888.578958333332</v>
      </c>
      <c r="B35454" s="8" t="str">
        <f>HYPERLINK("https://twitter.com/nikinazataa","@nikinazataa")</f>
        <v>@nikinazataa</v>
      </c>
      <c r="C35454" s="8" t="s">
        <v>6863</v>
      </c>
      <c r="D35454" s="8">
        <v>196</v>
      </c>
      <c r="E35454" s="8">
        <v>0</v>
      </c>
      <c r="F35454" s="8">
        <v>271</v>
      </c>
    </row>
    <row r="35455" spans="1:6" ht="12.75">
      <c r="A35455" s="8">
        <v>43888.578842592593</v>
      </c>
      <c r="B35455" s="8" t="str">
        <f>HYPERLINK("https://twitter.com/SeptianYendra","@SeptianYendra")</f>
        <v>@SeptianYendra</v>
      </c>
      <c r="C35455" s="8" t="s">
        <v>7243</v>
      </c>
      <c r="D35455" s="8">
        <v>70</v>
      </c>
      <c r="E35455" s="8">
        <v>0</v>
      </c>
      <c r="F35455" s="8">
        <v>8</v>
      </c>
    </row>
    <row r="35456" spans="1:6" ht="12.75">
      <c r="A35456" s="8">
        <v>43888.57849537037</v>
      </c>
      <c r="B35456" s="8" t="str">
        <f>HYPERLINK("https://twitter.com/kompascom","@kompascom")</f>
        <v>@kompascom</v>
      </c>
      <c r="C35456" s="8" t="s">
        <v>13670</v>
      </c>
      <c r="D35456" s="8">
        <v>1</v>
      </c>
      <c r="E35456" s="8">
        <v>1</v>
      </c>
      <c r="F35456" s="8">
        <v>7515425</v>
      </c>
    </row>
    <row r="35457" spans="1:6" ht="12.75">
      <c r="A35457" s="8">
        <v>43888.578368055554</v>
      </c>
      <c r="B35457" s="8" t="str">
        <f>HYPERLINK("https://twitter.com/awkyirun","@awkyirun")</f>
        <v>@awkyirun</v>
      </c>
      <c r="C35457" s="8" t="s">
        <v>12362</v>
      </c>
      <c r="D35457" s="8">
        <v>4</v>
      </c>
      <c r="E35457" s="8">
        <v>0</v>
      </c>
      <c r="F35457" s="8">
        <v>106</v>
      </c>
    </row>
    <row r="35458" spans="1:6" ht="12.75">
      <c r="A35458" s="8">
        <v>43888.578217592592</v>
      </c>
      <c r="B35458" s="8" t="str">
        <f>HYPERLINK("https://twitter.com/Andini_932","@Andini_932")</f>
        <v>@Andini_932</v>
      </c>
      <c r="C35458" s="8" t="s">
        <v>12976</v>
      </c>
      <c r="D35458" s="8">
        <v>2</v>
      </c>
      <c r="E35458" s="8">
        <v>0</v>
      </c>
      <c r="F35458" s="8">
        <v>23</v>
      </c>
    </row>
    <row r="35459" spans="1:6" ht="12.75">
      <c r="A35459" s="8">
        <v>43888.578206018516</v>
      </c>
      <c r="B35459" s="8" t="str">
        <f>HYPERLINK("https://twitter.com/desmonebenezer2","@desmonebenezer2")</f>
        <v>@desmonebenezer2</v>
      </c>
      <c r="C35459" s="8" t="s">
        <v>11183</v>
      </c>
      <c r="D35459" s="8">
        <v>328</v>
      </c>
      <c r="E35459" s="8">
        <v>0</v>
      </c>
      <c r="F35459" s="8">
        <v>107</v>
      </c>
    </row>
    <row r="35460" spans="1:6" ht="12.75">
      <c r="A35460" s="8">
        <v>43888.577997685185</v>
      </c>
      <c r="B35460" s="8" t="str">
        <f>HYPERLINK("https://twitter.com/UnchaTiranga","@UnchaTiranga")</f>
        <v>@UnchaTiranga</v>
      </c>
      <c r="C35460" s="8" t="s">
        <v>13671</v>
      </c>
      <c r="D35460" s="8">
        <v>0</v>
      </c>
      <c r="E35460" s="8">
        <v>0</v>
      </c>
      <c r="F35460" s="8">
        <v>169</v>
      </c>
    </row>
    <row r="35461" spans="1:6" ht="12.75">
      <c r="A35461" s="8">
        <v>43888.577534722222</v>
      </c>
      <c r="B35461" s="8" t="str">
        <f>HYPERLINK("https://twitter.com/wirianto_pw","@wirianto_pw")</f>
        <v>@wirianto_pw</v>
      </c>
      <c r="C35461" s="8" t="s">
        <v>13672</v>
      </c>
      <c r="D35461" s="8">
        <v>0</v>
      </c>
      <c r="E35461" s="8">
        <v>0</v>
      </c>
      <c r="F35461" s="8">
        <v>253</v>
      </c>
    </row>
    <row r="35462" spans="1:6" ht="12.75">
      <c r="A35462" s="8">
        <v>43888.577511574069</v>
      </c>
      <c r="B35462" s="8" t="str">
        <f>HYPERLINK("https://twitter.com/Beby__J","@Beby__J")</f>
        <v>@Beby__J</v>
      </c>
      <c r="C35462" s="8" t="s">
        <v>11773</v>
      </c>
      <c r="D35462" s="8">
        <v>393</v>
      </c>
      <c r="E35462" s="8">
        <v>0</v>
      </c>
      <c r="F35462" s="8">
        <v>1695</v>
      </c>
    </row>
    <row r="35463" spans="1:6" ht="12.75">
      <c r="A35463" s="8">
        <v>43888.577002314814</v>
      </c>
      <c r="B35463" s="8" t="str">
        <f>HYPERLINK("https://twitter.com/ratnasuryono","@ratnasuryono")</f>
        <v>@ratnasuryono</v>
      </c>
      <c r="C35463" s="8" t="s">
        <v>12052</v>
      </c>
      <c r="D35463" s="8">
        <v>72</v>
      </c>
      <c r="E35463" s="8">
        <v>0</v>
      </c>
      <c r="F35463" s="8">
        <v>1164</v>
      </c>
    </row>
    <row r="35464" spans="1:6" ht="12.75">
      <c r="A35464" s="8">
        <v>43888.576574074075</v>
      </c>
      <c r="B35464" s="8" t="str">
        <f>HYPERLINK("https://twitter.com/Narasiku1","@Narasiku1")</f>
        <v>@Narasiku1</v>
      </c>
      <c r="C35464" s="8" t="s">
        <v>13673</v>
      </c>
      <c r="D35464" s="8">
        <v>0</v>
      </c>
      <c r="E35464" s="8">
        <v>0</v>
      </c>
      <c r="F35464" s="8">
        <v>72</v>
      </c>
    </row>
    <row r="35465" spans="1:6" ht="12.75">
      <c r="A35465" s="8">
        <v>43888.576423611114</v>
      </c>
      <c r="B35465" s="8" t="str">
        <f>HYPERLINK("https://twitter.com/fr8ten","@fr8ten")</f>
        <v>@fr8ten</v>
      </c>
      <c r="C35465" s="8" t="s">
        <v>13674</v>
      </c>
      <c r="D35465" s="8">
        <v>0</v>
      </c>
      <c r="E35465" s="8">
        <v>0</v>
      </c>
      <c r="F35465" s="8">
        <v>91</v>
      </c>
    </row>
    <row r="35466" spans="1:6" ht="12.75">
      <c r="A35466" s="8">
        <v>43888.576319444444</v>
      </c>
      <c r="B35466" s="8" t="str">
        <f>HYPERLINK("https://twitter.com/Onta_buluk","@Onta_buluk")</f>
        <v>@Onta_buluk</v>
      </c>
      <c r="C35466" s="8" t="s">
        <v>12723</v>
      </c>
      <c r="D35466" s="8">
        <v>15</v>
      </c>
      <c r="E35466" s="8">
        <v>0</v>
      </c>
      <c r="F35466" s="8">
        <v>3620</v>
      </c>
    </row>
    <row r="35467" spans="1:6" ht="12.75">
      <c r="A35467" s="8">
        <v>43888.576157407406</v>
      </c>
      <c r="B35467" s="8" t="str">
        <f>HYPERLINK("https://twitter.com/JyotiAysha","@JyotiAysha")</f>
        <v>@JyotiAysha</v>
      </c>
      <c r="C35467" s="8" t="s">
        <v>13675</v>
      </c>
      <c r="D35467" s="8">
        <v>0</v>
      </c>
      <c r="E35467" s="8">
        <v>0</v>
      </c>
      <c r="F35467" s="8">
        <v>1698</v>
      </c>
    </row>
    <row r="35468" spans="1:6" ht="12.75">
      <c r="A35468" s="8">
        <v>43888.576018518521</v>
      </c>
      <c r="B35468" s="8" t="str">
        <f>HYPERLINK("https://twitter.com/Kars104","@Kars104")</f>
        <v>@Kars104</v>
      </c>
      <c r="C35468" s="8" t="s">
        <v>13676</v>
      </c>
      <c r="D35468" s="8">
        <v>0</v>
      </c>
      <c r="E35468" s="8">
        <v>0</v>
      </c>
      <c r="F35468" s="8">
        <v>1760</v>
      </c>
    </row>
    <row r="35469" spans="1:6" ht="12.75">
      <c r="A35469" s="8">
        <v>43888.575671296298</v>
      </c>
      <c r="B35469" s="8" t="str">
        <f>HYPERLINK("https://twitter.com/Sarah_Pndj","@Sarah_Pndj")</f>
        <v>@Sarah_Pndj</v>
      </c>
      <c r="C35469" s="8" t="s">
        <v>12619</v>
      </c>
      <c r="D35469" s="8">
        <v>29</v>
      </c>
      <c r="E35469" s="8">
        <v>0</v>
      </c>
      <c r="F35469" s="8">
        <v>26916</v>
      </c>
    </row>
    <row r="35470" spans="1:6" ht="12.75">
      <c r="A35470" s="8">
        <v>43888.575219907405</v>
      </c>
      <c r="B35470" s="8" t="str">
        <f>HYPERLINK("https://twitter.com/oktafian","@oktafian")</f>
        <v>@oktafian</v>
      </c>
      <c r="C35470" s="8" t="s">
        <v>13007</v>
      </c>
      <c r="D35470" s="8">
        <v>11</v>
      </c>
      <c r="E35470" s="8">
        <v>0</v>
      </c>
      <c r="F35470" s="8">
        <v>462</v>
      </c>
    </row>
    <row r="35471" spans="1:6" ht="12.75">
      <c r="A35471" s="8">
        <v>43888.575150462959</v>
      </c>
      <c r="B35471" s="8" t="str">
        <f>HYPERLINK("https://twitter.com/ssrtna","@ssrtna")</f>
        <v>@ssrtna</v>
      </c>
      <c r="C35471" s="8" t="s">
        <v>6863</v>
      </c>
      <c r="D35471" s="8">
        <v>196</v>
      </c>
      <c r="E35471" s="8">
        <v>0</v>
      </c>
      <c r="F35471" s="8">
        <v>374</v>
      </c>
    </row>
    <row r="35472" spans="1:6" ht="12.75">
      <c r="A35472" s="8">
        <v>43888.575115740736</v>
      </c>
      <c r="B35472" s="8" t="str">
        <f>HYPERLINK("https://twitter.com/InfoCOVID19_id","@InfoCOVID19_id")</f>
        <v>@InfoCOVID19_id</v>
      </c>
      <c r="C35472" s="8" t="s">
        <v>13677</v>
      </c>
      <c r="D35472" s="8">
        <v>1</v>
      </c>
      <c r="E35472" s="8">
        <v>1</v>
      </c>
      <c r="F35472" s="8">
        <v>39</v>
      </c>
    </row>
    <row r="35473" spans="1:6" ht="12.75">
      <c r="A35473" s="8">
        <v>43888.575023148151</v>
      </c>
      <c r="B35473" s="8" t="str">
        <f>HYPERLINK("https://twitter.com/upilitilia","@upilitilia")</f>
        <v>@upilitilia</v>
      </c>
      <c r="C35473" s="8" t="s">
        <v>13678</v>
      </c>
      <c r="D35473" s="8">
        <v>0</v>
      </c>
      <c r="E35473" s="8">
        <v>0</v>
      </c>
      <c r="F35473" s="8">
        <v>2494</v>
      </c>
    </row>
    <row r="35474" spans="1:6" ht="12.75">
      <c r="A35474" s="8">
        <v>43888.574953703705</v>
      </c>
      <c r="B35474" s="8" t="str">
        <f>HYPERLINK("https://twitter.com/anggakarunia","@anggakarunia")</f>
        <v>@anggakarunia</v>
      </c>
      <c r="C35474" s="8" t="s">
        <v>13365</v>
      </c>
      <c r="D35474" s="8">
        <v>886</v>
      </c>
      <c r="E35474" s="8">
        <v>0</v>
      </c>
      <c r="F35474" s="8">
        <v>1682</v>
      </c>
    </row>
    <row r="35475" spans="1:6" ht="12.75">
      <c r="A35475" s="8">
        <v>43888.574895833328</v>
      </c>
      <c r="B35475" s="8" t="str">
        <f>HYPERLINK("https://twitter.com/fpi_sampah","@fpi_sampah")</f>
        <v>@fpi_sampah</v>
      </c>
      <c r="C35475" s="8" t="s">
        <v>13679</v>
      </c>
      <c r="D35475" s="8">
        <v>0</v>
      </c>
      <c r="E35475" s="8">
        <v>0</v>
      </c>
      <c r="F35475" s="8">
        <v>29</v>
      </c>
    </row>
    <row r="35476" spans="1:6" ht="12.75">
      <c r="A35476" s="8">
        <v>43888.574652777781</v>
      </c>
      <c r="B35476" s="8" t="str">
        <f>HYPERLINK("https://twitter.com/puspaswarna","@puspaswarna")</f>
        <v>@puspaswarna</v>
      </c>
      <c r="C35476" s="8" t="s">
        <v>13680</v>
      </c>
      <c r="D35476" s="8">
        <v>0</v>
      </c>
      <c r="E35476" s="8">
        <v>0</v>
      </c>
      <c r="F35476" s="8">
        <v>165</v>
      </c>
    </row>
    <row r="35477" spans="1:6" ht="12.75">
      <c r="A35477" s="8">
        <v>43888.574594907404</v>
      </c>
      <c r="B35477" s="8" t="str">
        <f>HYPERLINK("https://twitter.com/yesmar_banu","@yesmar_banu")</f>
        <v>@yesmar_banu</v>
      </c>
      <c r="C35477" s="8" t="s">
        <v>13681</v>
      </c>
      <c r="D35477" s="8">
        <v>0</v>
      </c>
      <c r="E35477" s="8">
        <v>0</v>
      </c>
      <c r="F35477" s="8">
        <v>403</v>
      </c>
    </row>
    <row r="35478" spans="1:6" ht="12.75">
      <c r="A35478" s="8">
        <v>43888.574571759258</v>
      </c>
      <c r="B35478" s="8" t="str">
        <f>HYPERLINK("https://twitter.com/Beritasatu","@Beritasatu")</f>
        <v>@Beritasatu</v>
      </c>
      <c r="C35478" s="8" t="s">
        <v>13682</v>
      </c>
      <c r="D35478" s="8">
        <v>0</v>
      </c>
      <c r="E35478" s="8">
        <v>0</v>
      </c>
      <c r="F35478" s="8">
        <v>616386</v>
      </c>
    </row>
    <row r="35479" spans="1:6" ht="12.75">
      <c r="A35479" s="8">
        <v>43888.574143518519</v>
      </c>
      <c r="B35479" s="8" t="str">
        <f>HYPERLINK("https://twitter.com/Gusnawi","@Gusnawi")</f>
        <v>@Gusnawi</v>
      </c>
      <c r="C35479" s="8" t="s">
        <v>13683</v>
      </c>
      <c r="D35479" s="8">
        <v>0</v>
      </c>
      <c r="E35479" s="8">
        <v>0</v>
      </c>
      <c r="F35479" s="8">
        <v>300</v>
      </c>
    </row>
    <row r="35480" spans="1:6" ht="12.75">
      <c r="A35480" s="8">
        <v>43888.574016203704</v>
      </c>
      <c r="B35480" s="8" t="str">
        <f>HYPERLINK("https://twitter.com/fpi_sampah","@fpi_sampah")</f>
        <v>@fpi_sampah</v>
      </c>
      <c r="C35480" s="8" t="s">
        <v>13684</v>
      </c>
      <c r="D35480" s="8">
        <v>0</v>
      </c>
      <c r="E35480" s="8">
        <v>0</v>
      </c>
      <c r="F35480" s="8">
        <v>29</v>
      </c>
    </row>
    <row r="35481" spans="1:6" ht="12.75">
      <c r="A35481" s="8">
        <v>43888.573912037042</v>
      </c>
      <c r="B35481" s="8" t="str">
        <f>HYPERLINK("https://twitter.com/tribunpontianak","@tribunpontianak")</f>
        <v>@tribunpontianak</v>
      </c>
      <c r="C35481" s="8" t="s">
        <v>13685</v>
      </c>
      <c r="D35481" s="8">
        <v>0</v>
      </c>
      <c r="E35481" s="8">
        <v>0</v>
      </c>
      <c r="F35481" s="8">
        <v>84058</v>
      </c>
    </row>
    <row r="35482" spans="1:6" ht="12.75">
      <c r="A35482" s="8">
        <v>43888.573784722219</v>
      </c>
      <c r="B35482" s="8" t="str">
        <f>HYPERLINK("https://twitter.com/rienkusayang","@rienkusayang")</f>
        <v>@rienkusayang</v>
      </c>
      <c r="C35482" s="8" t="s">
        <v>13686</v>
      </c>
      <c r="D35482" s="8">
        <v>0</v>
      </c>
      <c r="E35482" s="8">
        <v>2</v>
      </c>
      <c r="F35482" s="8">
        <v>5241</v>
      </c>
    </row>
    <row r="35483" spans="1:6" ht="12.75">
      <c r="A35483" s="8">
        <v>43888.573437500003</v>
      </c>
      <c r="B35483" s="8" t="str">
        <f t="shared" ref="B35483:B35484" si="508">HYPERLINK("https://twitter.com/trirawa","@trirawa")</f>
        <v>@trirawa</v>
      </c>
      <c r="C35483" s="8" t="s">
        <v>4785</v>
      </c>
      <c r="D35483" s="8">
        <v>433</v>
      </c>
      <c r="E35483" s="8">
        <v>0</v>
      </c>
      <c r="F35483" s="8">
        <v>29</v>
      </c>
    </row>
    <row r="35484" spans="1:6" ht="12.75">
      <c r="A35484" s="8">
        <v>43888.573391203703</v>
      </c>
      <c r="B35484" s="8" t="str">
        <f t="shared" si="508"/>
        <v>@trirawa</v>
      </c>
      <c r="C35484" s="8" t="s">
        <v>26</v>
      </c>
      <c r="D35484" s="8">
        <v>150</v>
      </c>
      <c r="E35484" s="8">
        <v>0</v>
      </c>
      <c r="F35484" s="8">
        <v>29</v>
      </c>
    </row>
    <row r="35485" spans="1:6" ht="12.75">
      <c r="A35485" s="8">
        <v>43888.572916666672</v>
      </c>
      <c r="B35485" s="8" t="str">
        <f>HYPERLINK("https://twitter.com/GesuriID","@GesuriID")</f>
        <v>@GesuriID</v>
      </c>
      <c r="C35485" s="8" t="s">
        <v>13687</v>
      </c>
      <c r="D35485" s="8">
        <v>0</v>
      </c>
      <c r="E35485" s="8">
        <v>1</v>
      </c>
      <c r="F35485" s="8">
        <v>197346</v>
      </c>
    </row>
    <row r="35486" spans="1:6" ht="12.75">
      <c r="A35486" s="8">
        <v>43888.572893518518</v>
      </c>
      <c r="B35486" s="8" t="str">
        <f>HYPERLINK("https://twitter.com/tjapoenglaut","@tjapoenglaut")</f>
        <v>@tjapoenglaut</v>
      </c>
      <c r="C35486" s="8" t="s">
        <v>13688</v>
      </c>
      <c r="D35486" s="8">
        <v>3</v>
      </c>
      <c r="E35486" s="8">
        <v>0</v>
      </c>
      <c r="F35486" s="8">
        <v>725</v>
      </c>
    </row>
    <row r="35487" spans="1:6" ht="12.75">
      <c r="A35487" s="8">
        <v>43888.572511574079</v>
      </c>
      <c r="B35487" s="8" t="str">
        <f>HYPERLINK("https://twitter.com/PaiDaMaya","@PaiDaMaya")</f>
        <v>@PaiDaMaya</v>
      </c>
      <c r="C35487" s="8" t="s">
        <v>13689</v>
      </c>
      <c r="D35487" s="8">
        <v>0</v>
      </c>
      <c r="E35487" s="8">
        <v>0</v>
      </c>
      <c r="F35487" s="8">
        <v>996</v>
      </c>
    </row>
    <row r="35488" spans="1:6" ht="12.75">
      <c r="A35488" s="8">
        <v>43888.572060185186</v>
      </c>
      <c r="B35488" s="8" t="str">
        <f>HYPERLINK("https://twitter.com/DanInginTau","@DanInginTau")</f>
        <v>@DanInginTau</v>
      </c>
      <c r="C35488" s="8" t="s">
        <v>13690</v>
      </c>
      <c r="D35488" s="8">
        <v>0</v>
      </c>
      <c r="E35488" s="8">
        <v>0</v>
      </c>
      <c r="F35488" s="8">
        <v>2</v>
      </c>
    </row>
    <row r="35489" spans="1:6" ht="12.75">
      <c r="A35489" s="8">
        <v>43888.57199074074</v>
      </c>
      <c r="B35489" s="8" t="str">
        <f>HYPERLINK("https://twitter.com/h_robbyhabibie","@h_robbyhabibie")</f>
        <v>@h_robbyhabibie</v>
      </c>
      <c r="C35489" s="8" t="s">
        <v>7243</v>
      </c>
      <c r="D35489" s="8">
        <v>70</v>
      </c>
      <c r="E35489" s="8">
        <v>0</v>
      </c>
      <c r="F35489" s="8">
        <v>436</v>
      </c>
    </row>
    <row r="35490" spans="1:6" ht="12.75">
      <c r="A35490" s="8">
        <v>43888.571539351848</v>
      </c>
      <c r="B35490" s="8" t="str">
        <f>HYPERLINK("https://twitter.com/tani_suara","@tani_suara")</f>
        <v>@tani_suara</v>
      </c>
      <c r="C35490" s="8" t="s">
        <v>13691</v>
      </c>
      <c r="D35490" s="8">
        <v>0</v>
      </c>
      <c r="E35490" s="8">
        <v>0</v>
      </c>
      <c r="F35490" s="8">
        <v>73</v>
      </c>
    </row>
    <row r="35491" spans="1:6" ht="12.75">
      <c r="A35491" s="8">
        <v>43888.571377314816</v>
      </c>
      <c r="B35491" s="8" t="str">
        <f>HYPERLINK("https://twitter.com/Gprastawa","@Gprastawa")</f>
        <v>@Gprastawa</v>
      </c>
      <c r="C35491" s="8" t="s">
        <v>7243</v>
      </c>
      <c r="D35491" s="8">
        <v>70</v>
      </c>
      <c r="E35491" s="8">
        <v>0</v>
      </c>
      <c r="F35491" s="8">
        <v>212</v>
      </c>
    </row>
    <row r="35492" spans="1:6" ht="12.75">
      <c r="A35492" s="8">
        <v>43888.571087962962</v>
      </c>
      <c r="B35492" s="8" t="str">
        <f>HYPERLINK("https://twitter.com/Yudisaghassa","@Yudisaghassa")</f>
        <v>@Yudisaghassa</v>
      </c>
      <c r="C35492" s="8" t="s">
        <v>12756</v>
      </c>
      <c r="D35492" s="8">
        <v>24</v>
      </c>
      <c r="E35492" s="8">
        <v>0</v>
      </c>
      <c r="F35492" s="8">
        <v>1859</v>
      </c>
    </row>
    <row r="35493" spans="1:6" ht="12.75">
      <c r="A35493" s="8">
        <v>43888.57104166667</v>
      </c>
      <c r="B35493" s="8" t="str">
        <f>HYPERLINK("https://twitter.com/TNI_AL","@TNI_AL")</f>
        <v>@TNI_AL</v>
      </c>
      <c r="C35493" s="8" t="s">
        <v>13692</v>
      </c>
      <c r="D35493" s="8">
        <v>0</v>
      </c>
      <c r="E35493" s="8">
        <v>2</v>
      </c>
      <c r="F35493" s="8">
        <v>93280</v>
      </c>
    </row>
    <row r="35494" spans="1:6" ht="12.75">
      <c r="A35494" s="8">
        <v>43888.570856481485</v>
      </c>
      <c r="B35494" s="8" t="str">
        <f>HYPERLINK("https://twitter.com/xxzami","@xxzami")</f>
        <v>@xxzami</v>
      </c>
      <c r="C35494" s="8" t="s">
        <v>6863</v>
      </c>
      <c r="D35494" s="8">
        <v>196</v>
      </c>
      <c r="E35494" s="8">
        <v>0</v>
      </c>
      <c r="F35494" s="8">
        <v>2164</v>
      </c>
    </row>
    <row r="35495" spans="1:6" ht="12.75">
      <c r="A35495" s="8">
        <v>43888.570532407408</v>
      </c>
      <c r="B35495" s="8" t="str">
        <f>HYPERLINK("https://twitter.com/wow_keren","@wow_keren")</f>
        <v>@wow_keren</v>
      </c>
      <c r="C35495" s="8" t="s">
        <v>13693</v>
      </c>
      <c r="D35495" s="8">
        <v>0</v>
      </c>
      <c r="E35495" s="8">
        <v>0</v>
      </c>
      <c r="F35495" s="8">
        <v>32028</v>
      </c>
    </row>
    <row r="35496" spans="1:6" ht="12.75">
      <c r="A35496" s="8">
        <v>43888.54850694444</v>
      </c>
      <c r="B35496" s="8" t="str">
        <f>HYPERLINK("https://twitter.com/KJRI_Karachi","@KJRI_Karachi")</f>
        <v>@KJRI_Karachi</v>
      </c>
      <c r="C35496" s="8" t="s">
        <v>13694</v>
      </c>
      <c r="D35496" s="8">
        <v>0</v>
      </c>
      <c r="E35496" s="8">
        <v>0</v>
      </c>
      <c r="F35496" s="8">
        <v>165</v>
      </c>
    </row>
    <row r="35497" spans="1:6" ht="12.75">
      <c r="A35497" s="8">
        <v>43888.548217592594</v>
      </c>
      <c r="B35497" s="8" t="str">
        <f>HYPERLINK("https://twitter.com/alvinbolang_","@alvinbolang_")</f>
        <v>@alvinbolang_</v>
      </c>
      <c r="C35497" s="8" t="s">
        <v>13695</v>
      </c>
      <c r="D35497" s="8">
        <v>3</v>
      </c>
      <c r="E35497" s="8">
        <v>0</v>
      </c>
      <c r="F35497" s="8">
        <v>6604</v>
      </c>
    </row>
    <row r="35498" spans="1:6" ht="12.75">
      <c r="A35498" s="8">
        <v>43888.548194444447</v>
      </c>
      <c r="B35498" s="8" t="str">
        <f>HYPERLINK("https://twitter.com/Indridwiii","@Indridwiii")</f>
        <v>@Indridwiii</v>
      </c>
      <c r="C35498" s="8" t="s">
        <v>6863</v>
      </c>
      <c r="D35498" s="8">
        <v>182</v>
      </c>
      <c r="E35498" s="8">
        <v>0</v>
      </c>
      <c r="F35498" s="8">
        <v>177</v>
      </c>
    </row>
    <row r="35499" spans="1:6" ht="12.75">
      <c r="A35499" s="8">
        <v>43888.548182870371</v>
      </c>
      <c r="B35499" s="8" t="str">
        <f>HYPERLINK("https://twitter.com/hedyanadhrati","@hedyanadhrati")</f>
        <v>@hedyanadhrati</v>
      </c>
      <c r="C35499" s="8" t="s">
        <v>13696</v>
      </c>
      <c r="D35499" s="8">
        <v>0</v>
      </c>
      <c r="E35499" s="8">
        <v>0</v>
      </c>
      <c r="F35499" s="8">
        <v>477</v>
      </c>
    </row>
    <row r="35500" spans="1:6" ht="12.75">
      <c r="A35500" s="8">
        <v>43888.547835648147</v>
      </c>
      <c r="B35500" s="8" t="str">
        <f>HYPERLINK("https://twitter.com/harihariono1","@harihariono1")</f>
        <v>@harihariono1</v>
      </c>
      <c r="C35500" s="8" t="s">
        <v>12052</v>
      </c>
      <c r="D35500" s="8">
        <v>64</v>
      </c>
      <c r="E35500" s="8">
        <v>0</v>
      </c>
      <c r="F35500" s="8">
        <v>9459</v>
      </c>
    </row>
    <row r="35501" spans="1:6" ht="12.75">
      <c r="A35501" s="8">
        <v>43888.547789351855</v>
      </c>
      <c r="B35501" s="8" t="str">
        <f>HYPERLINK("https://twitter.com/tempodotco","@tempodotco")</f>
        <v>@tempodotco</v>
      </c>
      <c r="C35501" s="8" t="s">
        <v>13697</v>
      </c>
      <c r="D35501" s="8">
        <v>0</v>
      </c>
      <c r="E35501" s="8">
        <v>1</v>
      </c>
      <c r="F35501" s="8">
        <v>1713343</v>
      </c>
    </row>
    <row r="35502" spans="1:6" ht="12.75">
      <c r="A35502" s="8">
        <v>43888.547638888893</v>
      </c>
      <c r="B35502" s="8" t="str">
        <f>HYPERLINK("https://twitter.com/crazyzack13","@crazyzack13")</f>
        <v>@crazyzack13</v>
      </c>
      <c r="C35502" s="8" t="s">
        <v>11773</v>
      </c>
      <c r="D35502" s="8">
        <v>385</v>
      </c>
      <c r="E35502" s="8">
        <v>0</v>
      </c>
      <c r="F35502" s="8">
        <v>169</v>
      </c>
    </row>
    <row r="35503" spans="1:6" ht="12.75">
      <c r="A35503" s="8">
        <v>43888.547372685185</v>
      </c>
      <c r="B35503" s="8" t="str">
        <f>HYPERLINK("https://twitter.com/WidAdji","@WidAdji")</f>
        <v>@WidAdji</v>
      </c>
      <c r="C35503" s="8" t="s">
        <v>12052</v>
      </c>
      <c r="D35503" s="8">
        <v>64</v>
      </c>
      <c r="E35503" s="8">
        <v>0</v>
      </c>
      <c r="F35503" s="8">
        <v>2015</v>
      </c>
    </row>
    <row r="35504" spans="1:6" ht="12.75">
      <c r="A35504" s="8">
        <v>43888.547071759254</v>
      </c>
      <c r="B35504" s="8" t="str">
        <f>HYPERLINK("https://twitter.com/orenjicheol","@orenjicheol")</f>
        <v>@orenjicheol</v>
      </c>
      <c r="C35504" s="8" t="s">
        <v>13698</v>
      </c>
      <c r="D35504" s="8">
        <v>0</v>
      </c>
      <c r="E35504" s="8">
        <v>0</v>
      </c>
      <c r="F35504" s="8">
        <v>2122</v>
      </c>
    </row>
    <row r="35505" spans="1:6" ht="12.75">
      <c r="A35505" s="8">
        <v>43888.546747685185</v>
      </c>
      <c r="B35505" s="8" t="str">
        <f>HYPERLINK("https://twitter.com/bazokasmart","@bazokasmart")</f>
        <v>@bazokasmart</v>
      </c>
      <c r="C35505" s="8" t="s">
        <v>13699</v>
      </c>
      <c r="D35505" s="8">
        <v>0</v>
      </c>
      <c r="E35505" s="8">
        <v>0</v>
      </c>
      <c r="F35505" s="8">
        <v>277</v>
      </c>
    </row>
    <row r="35506" spans="1:6" ht="12.75">
      <c r="A35506" s="8">
        <v>43888.546724537038</v>
      </c>
      <c r="B35506" s="8" t="str">
        <f>HYPERLINK("https://twitter.com/Thedecentone3","@Thedecentone3")</f>
        <v>@Thedecentone3</v>
      </c>
      <c r="C35506" s="8" t="s">
        <v>13700</v>
      </c>
      <c r="D35506" s="8">
        <v>0</v>
      </c>
      <c r="E35506" s="8">
        <v>0</v>
      </c>
      <c r="F35506" s="8">
        <v>24</v>
      </c>
    </row>
    <row r="35507" spans="1:6" ht="12.75">
      <c r="A35507" s="8">
        <v>43888.546712962961</v>
      </c>
      <c r="B35507" s="8" t="str">
        <f>HYPERLINK("https://twitter.com/RobbyHens","@RobbyHens")</f>
        <v>@RobbyHens</v>
      </c>
      <c r="C35507" s="8" t="s">
        <v>11773</v>
      </c>
      <c r="D35507" s="8">
        <v>385</v>
      </c>
      <c r="E35507" s="8">
        <v>0</v>
      </c>
      <c r="F35507" s="8">
        <v>144</v>
      </c>
    </row>
    <row r="35508" spans="1:6" ht="12.75">
      <c r="A35508" s="8">
        <v>43888.546655092592</v>
      </c>
      <c r="B35508" s="8" t="str">
        <f>HYPERLINK("https://twitter.com/IDwike07","@IDwike07")</f>
        <v>@IDwike07</v>
      </c>
      <c r="C35508" s="8" t="s">
        <v>6863</v>
      </c>
      <c r="D35508" s="8">
        <v>182</v>
      </c>
      <c r="E35508" s="8">
        <v>0</v>
      </c>
      <c r="F35508" s="8">
        <v>1007</v>
      </c>
    </row>
    <row r="35509" spans="1:6" ht="12.75">
      <c r="A35509" s="8">
        <v>43888.546597222223</v>
      </c>
      <c r="B35509" s="8" t="str">
        <f>HYPERLINK("https://twitter.com/dreizehana","@dreizehana")</f>
        <v>@dreizehana</v>
      </c>
      <c r="C35509" s="8" t="s">
        <v>6863</v>
      </c>
      <c r="D35509" s="8">
        <v>182</v>
      </c>
      <c r="E35509" s="8">
        <v>0</v>
      </c>
      <c r="F35509" s="8">
        <v>104</v>
      </c>
    </row>
    <row r="35510" spans="1:6" ht="12.75">
      <c r="A35510" s="8">
        <v>43888.546469907407</v>
      </c>
      <c r="B35510" s="8" t="str">
        <f>HYPERLINK("https://twitter.com/eggggsie","@eggggsie")</f>
        <v>@eggggsie</v>
      </c>
      <c r="C35510" s="8" t="s">
        <v>13701</v>
      </c>
      <c r="D35510" s="8">
        <v>4</v>
      </c>
      <c r="E35510" s="8">
        <v>0</v>
      </c>
      <c r="F35510" s="8">
        <v>10954</v>
      </c>
    </row>
    <row r="35511" spans="1:6" ht="12.75">
      <c r="A35511" s="8">
        <v>43888.546331018515</v>
      </c>
      <c r="B35511" s="8" t="str">
        <f>HYPERLINK("https://twitter.com/tap_mz","@tap_mz")</f>
        <v>@tap_mz</v>
      </c>
      <c r="C35511" s="8" t="s">
        <v>13702</v>
      </c>
      <c r="D35511" s="8">
        <v>0</v>
      </c>
      <c r="E35511" s="8">
        <v>0</v>
      </c>
      <c r="F35511" s="8">
        <v>673</v>
      </c>
    </row>
    <row r="35512" spans="1:6" ht="12.75">
      <c r="A35512" s="8">
        <v>43888.546122685184</v>
      </c>
      <c r="B35512" s="8" t="str">
        <f>HYPERLINK("https://twitter.com/tweetaje_aje","@tweetaje_aje")</f>
        <v>@tweetaje_aje</v>
      </c>
      <c r="C35512" s="8" t="s">
        <v>13701</v>
      </c>
      <c r="D35512" s="8">
        <v>4</v>
      </c>
      <c r="E35512" s="8">
        <v>0</v>
      </c>
      <c r="F35512" s="8">
        <v>26</v>
      </c>
    </row>
    <row r="35513" spans="1:6" ht="12.75">
      <c r="A35513" s="8">
        <v>43888.546076388884</v>
      </c>
      <c r="B35513" s="8" t="str">
        <f>HYPERLINK("https://twitter.com/kambingngamuk","@kambingngamuk")</f>
        <v>@kambingngamuk</v>
      </c>
      <c r="C35513" s="8" t="s">
        <v>13703</v>
      </c>
      <c r="D35513" s="8">
        <v>0</v>
      </c>
      <c r="E35513" s="8">
        <v>0</v>
      </c>
      <c r="F35513" s="8">
        <v>39</v>
      </c>
    </row>
    <row r="35514" spans="1:6" ht="12.75">
      <c r="A35514" s="8">
        <v>43888.545729166668</v>
      </c>
      <c r="B35514" s="8" t="str">
        <f>HYPERLINK("https://twitter.com/BuruhKasar88","@BuruhKasar88")</f>
        <v>@BuruhKasar88</v>
      </c>
      <c r="C35514" s="8" t="s">
        <v>13704</v>
      </c>
      <c r="D35514" s="8">
        <v>5</v>
      </c>
      <c r="E35514" s="8">
        <v>0</v>
      </c>
      <c r="F35514" s="8">
        <v>932</v>
      </c>
    </row>
    <row r="35515" spans="1:6" ht="12.75">
      <c r="A35515" s="8">
        <v>43888.545439814814</v>
      </c>
      <c r="B35515" s="8" t="str">
        <f>HYPERLINK("https://twitter.com/tahupetismanis","@tahupetismanis")</f>
        <v>@tahupetismanis</v>
      </c>
      <c r="C35515" s="8" t="s">
        <v>13705</v>
      </c>
      <c r="D35515" s="8">
        <v>0</v>
      </c>
      <c r="E35515" s="8">
        <v>0</v>
      </c>
      <c r="F35515" s="8">
        <v>4044</v>
      </c>
    </row>
    <row r="35516" spans="1:6" ht="12.75">
      <c r="A35516" s="8">
        <v>43888.545428240745</v>
      </c>
      <c r="B35516" s="8" t="str">
        <f>HYPERLINK("https://twitter.com/Arvin_HC","@Arvin_HC")</f>
        <v>@Arvin_HC</v>
      </c>
      <c r="C35516" s="8" t="s">
        <v>6863</v>
      </c>
      <c r="D35516" s="8">
        <v>182</v>
      </c>
      <c r="E35516" s="8">
        <v>0</v>
      </c>
      <c r="F35516" s="8">
        <v>258</v>
      </c>
    </row>
    <row r="35517" spans="1:6" ht="12.75">
      <c r="A35517" s="8">
        <v>43888.545185185183</v>
      </c>
      <c r="B35517" s="8" t="str">
        <f>HYPERLINK("https://twitter.com/New_BUFFETT","@New_BUFFETT")</f>
        <v>@New_BUFFETT</v>
      </c>
      <c r="C35517" s="8" t="s">
        <v>13706</v>
      </c>
      <c r="D35517" s="8">
        <v>0</v>
      </c>
      <c r="E35517" s="8">
        <v>0</v>
      </c>
      <c r="F35517" s="8">
        <v>105</v>
      </c>
    </row>
    <row r="35518" spans="1:6" ht="12.75">
      <c r="A35518" s="8">
        <v>43888.544999999998</v>
      </c>
      <c r="B35518" s="8" t="str">
        <f>HYPERLINK("https://twitter.com/harihariono1","@harihariono1")</f>
        <v>@harihariono1</v>
      </c>
      <c r="C35518" s="8" t="s">
        <v>13080</v>
      </c>
      <c r="D35518" s="8">
        <v>2</v>
      </c>
      <c r="E35518" s="8">
        <v>0</v>
      </c>
      <c r="F35518" s="8">
        <v>9459</v>
      </c>
    </row>
    <row r="35519" spans="1:6" ht="12.75">
      <c r="A35519" s="8">
        <v>43888.544618055559</v>
      </c>
      <c r="B35519" s="8" t="str">
        <f>HYPERLINK("https://twitter.com/VADUKA__KOLAK","@VADUKA__KOLAK")</f>
        <v>@VADUKA__KOLAK</v>
      </c>
      <c r="C35519" s="8" t="s">
        <v>13707</v>
      </c>
      <c r="D35519" s="8">
        <v>0</v>
      </c>
      <c r="E35519" s="8">
        <v>0</v>
      </c>
      <c r="F35519" s="8">
        <v>26453</v>
      </c>
    </row>
    <row r="35520" spans="1:6" ht="12.75">
      <c r="A35520" s="8">
        <v>43888.544479166667</v>
      </c>
      <c r="B35520" s="8" t="str">
        <f>HYPERLINK("https://twitter.com/wahhabicc_jabar","@wahhabicc_jabar")</f>
        <v>@wahhabicc_jabar</v>
      </c>
      <c r="C35520" s="8" t="s">
        <v>13704</v>
      </c>
      <c r="D35520" s="8">
        <v>5</v>
      </c>
      <c r="E35520" s="8">
        <v>0</v>
      </c>
      <c r="F35520" s="8">
        <v>30715</v>
      </c>
    </row>
    <row r="35521" spans="1:6" ht="12.75">
      <c r="A35521" s="8">
        <v>43888.544386574074</v>
      </c>
      <c r="B35521" s="8" t="str">
        <f>HYPERLINK("https://twitter.com/mazgres","@mazgres")</f>
        <v>@mazgres</v>
      </c>
      <c r="C35521" s="8" t="s">
        <v>13708</v>
      </c>
      <c r="D35521" s="8">
        <v>0</v>
      </c>
      <c r="E35521" s="8">
        <v>0</v>
      </c>
      <c r="F35521" s="8">
        <v>120</v>
      </c>
    </row>
    <row r="35522" spans="1:6" ht="12.75">
      <c r="A35522" s="8">
        <v>43888.544085648144</v>
      </c>
      <c r="B35522" s="8" t="str">
        <f>HYPERLINK("https://twitter.com/AlbertSolo2","@AlbertSolo2")</f>
        <v>@AlbertSolo2</v>
      </c>
      <c r="C35522" s="8" t="s">
        <v>13701</v>
      </c>
      <c r="D35522" s="8">
        <v>4</v>
      </c>
      <c r="E35522" s="8">
        <v>0</v>
      </c>
      <c r="F35522" s="8">
        <v>685</v>
      </c>
    </row>
    <row r="35523" spans="1:6" ht="12.75">
      <c r="A35523" s="8">
        <v>43888.543854166666</v>
      </c>
      <c r="B35523" s="8" t="str">
        <f>HYPERLINK("https://twitter.com/budhartono","@budhartono")</f>
        <v>@budhartono</v>
      </c>
      <c r="C35523" s="8" t="s">
        <v>13198</v>
      </c>
      <c r="D35523" s="8">
        <v>62</v>
      </c>
      <c r="E35523" s="8">
        <v>0</v>
      </c>
      <c r="F35523" s="8">
        <v>550</v>
      </c>
    </row>
    <row r="35524" spans="1:6" ht="12.75">
      <c r="A35524" s="8">
        <v>43888.543773148151</v>
      </c>
      <c r="B35524" s="8" t="str">
        <f>HYPERLINK("https://twitter.com/edwin_basuki","@edwin_basuki")</f>
        <v>@edwin_basuki</v>
      </c>
      <c r="C35524" s="8" t="s">
        <v>4836</v>
      </c>
      <c r="D35524" s="8">
        <v>5401</v>
      </c>
      <c r="E35524" s="8">
        <v>0</v>
      </c>
      <c r="F35524" s="8">
        <v>197</v>
      </c>
    </row>
    <row r="35525" spans="1:6" ht="12.75">
      <c r="A35525" s="8">
        <v>43888.543599537035</v>
      </c>
      <c r="B35525" s="8" t="str">
        <f>HYPERLINK("https://twitter.com/Yoh4nCh","@Yoh4nCh")</f>
        <v>@Yoh4nCh</v>
      </c>
      <c r="C35525" s="8" t="s">
        <v>13709</v>
      </c>
      <c r="D35525" s="8">
        <v>0</v>
      </c>
      <c r="E35525" s="8">
        <v>0</v>
      </c>
      <c r="F35525" s="8">
        <v>2598</v>
      </c>
    </row>
    <row r="35526" spans="1:6" ht="12.75">
      <c r="A35526" s="8">
        <v>43888.543506944443</v>
      </c>
      <c r="B35526" s="8" t="str">
        <f>HYPERLINK("https://twitter.com/dhyaNKeecciill","@dhyaNKeecciill")</f>
        <v>@dhyaNKeecciill</v>
      </c>
      <c r="C35526" s="8" t="s">
        <v>13701</v>
      </c>
      <c r="D35526" s="8">
        <v>4</v>
      </c>
      <c r="E35526" s="8">
        <v>0</v>
      </c>
      <c r="F35526" s="8">
        <v>364</v>
      </c>
    </row>
    <row r="35527" spans="1:6" ht="12.75">
      <c r="A35527" s="8">
        <v>43888.543182870373</v>
      </c>
      <c r="B35527" s="8" t="str">
        <f>HYPERLINK("https://twitter.com/wahhabicc_jabar","@wahhabicc_jabar")</f>
        <v>@wahhabicc_jabar</v>
      </c>
      <c r="C35527" s="8" t="s">
        <v>12052</v>
      </c>
      <c r="D35527" s="8">
        <v>64</v>
      </c>
      <c r="E35527" s="8">
        <v>0</v>
      </c>
      <c r="F35527" s="8">
        <v>30715</v>
      </c>
    </row>
    <row r="35528" spans="1:6" ht="12.75">
      <c r="A35528" s="8">
        <v>43888.543067129634</v>
      </c>
      <c r="B35528" s="8" t="str">
        <f>HYPERLINK("https://twitter.com/mrifqifahrudin","@mrifqifahrudin")</f>
        <v>@mrifqifahrudin</v>
      </c>
      <c r="C35528" s="8" t="s">
        <v>7243</v>
      </c>
      <c r="D35528" s="8">
        <v>57</v>
      </c>
      <c r="E35528" s="8">
        <v>0</v>
      </c>
      <c r="F35528" s="8">
        <v>20</v>
      </c>
    </row>
    <row r="35529" spans="1:6" ht="12.75">
      <c r="A35529" s="8">
        <v>43888.542962962965</v>
      </c>
      <c r="B35529" s="8" t="str">
        <f>HYPERLINK("https://twitter.com/tap_mz","@tap_mz")</f>
        <v>@tap_mz</v>
      </c>
      <c r="C35529" s="8" t="s">
        <v>13710</v>
      </c>
      <c r="D35529" s="8">
        <v>0</v>
      </c>
      <c r="E35529" s="8">
        <v>1</v>
      </c>
      <c r="F35529" s="8">
        <v>673</v>
      </c>
    </row>
    <row r="35530" spans="1:6" ht="12.75">
      <c r="A35530" s="8">
        <v>43888.542928240742</v>
      </c>
      <c r="B35530" s="8" t="str">
        <f>HYPERLINK("https://twitter.com/Antvnewsplus","@Antvnewsplus")</f>
        <v>@Antvnewsplus</v>
      </c>
      <c r="C35530" s="8" t="s">
        <v>13711</v>
      </c>
      <c r="D35530" s="8">
        <v>0</v>
      </c>
      <c r="E35530" s="8">
        <v>0</v>
      </c>
      <c r="F35530" s="8">
        <v>22392</v>
      </c>
    </row>
    <row r="35531" spans="1:6" ht="12.75">
      <c r="A35531" s="8">
        <v>43888.542858796296</v>
      </c>
      <c r="B35531" s="8" t="str">
        <f>HYPERLINK("https://twitter.com/Vinesulaimanre1","@Vinesulaimanre1")</f>
        <v>@Vinesulaimanre1</v>
      </c>
      <c r="C35531" s="8" t="s">
        <v>13712</v>
      </c>
      <c r="D35531" s="8">
        <v>0</v>
      </c>
      <c r="E35531" s="8">
        <v>3</v>
      </c>
      <c r="F35531" s="8">
        <v>6284</v>
      </c>
    </row>
    <row r="35532" spans="1:6" ht="12.75">
      <c r="A35532" s="8">
        <v>43888.542731481481</v>
      </c>
      <c r="B35532" s="8" t="str">
        <f>HYPERLINK("https://twitter.com/kompascom","@kompascom")</f>
        <v>@kompascom</v>
      </c>
      <c r="C35532" s="8" t="s">
        <v>13713</v>
      </c>
      <c r="D35532" s="8">
        <v>4</v>
      </c>
      <c r="E35532" s="8">
        <v>8</v>
      </c>
      <c r="F35532" s="8">
        <v>7515346</v>
      </c>
    </row>
    <row r="35533" spans="1:6" ht="12.75">
      <c r="A35533" s="8">
        <v>43888.542164351849</v>
      </c>
      <c r="B35533" s="8" t="str">
        <f>HYPERLINK("https://twitter.com/RobbyHens","@RobbyHens")</f>
        <v>@RobbyHens</v>
      </c>
      <c r="C35533" s="8" t="s">
        <v>12619</v>
      </c>
      <c r="D35533" s="8">
        <v>17</v>
      </c>
      <c r="E35533" s="8">
        <v>0</v>
      </c>
      <c r="F35533" s="8">
        <v>144</v>
      </c>
    </row>
    <row r="35534" spans="1:6" ht="12.75">
      <c r="A35534" s="8">
        <v>43888.542071759264</v>
      </c>
      <c r="B35534" s="8" t="str">
        <f t="shared" ref="B35534:B35535" si="509">HYPERLINK("https://twitter.com/egaharianto555","@egaharianto555")</f>
        <v>@egaharianto555</v>
      </c>
      <c r="C35534" s="8" t="s">
        <v>13714</v>
      </c>
      <c r="D35534" s="8">
        <v>0</v>
      </c>
      <c r="E35534" s="8">
        <v>0</v>
      </c>
      <c r="F35534" s="8">
        <v>3</v>
      </c>
    </row>
    <row r="35535" spans="1:6" ht="12.75">
      <c r="A35535" s="8">
        <v>43888.541956018518</v>
      </c>
      <c r="B35535" s="8" t="str">
        <f t="shared" si="509"/>
        <v>@egaharianto555</v>
      </c>
      <c r="C35535" s="8" t="s">
        <v>13715</v>
      </c>
      <c r="D35535" s="8">
        <v>0</v>
      </c>
      <c r="E35535" s="8">
        <v>0</v>
      </c>
      <c r="F35535" s="8">
        <v>3</v>
      </c>
    </row>
    <row r="35536" spans="1:6" ht="12.75">
      <c r="A35536" s="8">
        <v>43888.541921296295</v>
      </c>
      <c r="B35536" s="8" t="str">
        <f>HYPERLINK("https://twitter.com/gX4IK76J9YqkHEn","@gX4IK76J9YqkHEn")</f>
        <v>@gX4IK76J9YqkHEn</v>
      </c>
      <c r="C35536" s="8" t="s">
        <v>13633</v>
      </c>
      <c r="D35536" s="8">
        <v>76</v>
      </c>
      <c r="E35536" s="8">
        <v>0</v>
      </c>
      <c r="F35536" s="8">
        <v>1006</v>
      </c>
    </row>
    <row r="35537" spans="1:6" ht="12.75">
      <c r="A35537" s="8">
        <v>43888.541817129633</v>
      </c>
      <c r="B35537" s="8" t="str">
        <f>HYPERLINK("https://twitter.com/ivooxid","@ivooxid")</f>
        <v>@ivooxid</v>
      </c>
      <c r="C35537" s="8" t="s">
        <v>13716</v>
      </c>
      <c r="D35537" s="8">
        <v>0</v>
      </c>
      <c r="E35537" s="8">
        <v>0</v>
      </c>
      <c r="F35537" s="8">
        <v>1427</v>
      </c>
    </row>
    <row r="35538" spans="1:6" ht="12.75">
      <c r="A35538" s="8">
        <v>43888.541666666672</v>
      </c>
      <c r="B35538" s="8" t="str">
        <f>HYPERLINK("https://twitter.com/KurioID","@KurioID")</f>
        <v>@KurioID</v>
      </c>
      <c r="C35538" s="8" t="s">
        <v>13717</v>
      </c>
      <c r="D35538" s="8">
        <v>0</v>
      </c>
      <c r="E35538" s="8">
        <v>0</v>
      </c>
      <c r="F35538" s="8">
        <v>7992</v>
      </c>
    </row>
    <row r="35539" spans="1:6" ht="12.75">
      <c r="A35539" s="8">
        <v>43888.541527777779</v>
      </c>
      <c r="B35539" s="8" t="str">
        <f>HYPERLINK("https://twitter.com/lukatajam_","@lukatajam_")</f>
        <v>@lukatajam_</v>
      </c>
      <c r="C35539" s="8" t="s">
        <v>13187</v>
      </c>
      <c r="D35539" s="8">
        <v>32</v>
      </c>
      <c r="E35539" s="8">
        <v>0</v>
      </c>
      <c r="F35539" s="8">
        <v>410</v>
      </c>
    </row>
    <row r="35540" spans="1:6" ht="12.75">
      <c r="A35540" s="8">
        <v>43888.541377314818</v>
      </c>
      <c r="B35540" s="8" t="str">
        <f>HYPERLINK("https://twitter.com/Trikusumaning","@Trikusumaning")</f>
        <v>@Trikusumaning</v>
      </c>
      <c r="C35540" s="8" t="s">
        <v>12756</v>
      </c>
      <c r="D35540" s="8">
        <v>20</v>
      </c>
      <c r="E35540" s="8">
        <v>0</v>
      </c>
      <c r="F35540" s="8">
        <v>287</v>
      </c>
    </row>
    <row r="35541" spans="1:6" ht="12.75">
      <c r="A35541" s="8">
        <v>43888.54069444444</v>
      </c>
      <c r="B35541" s="8" t="str">
        <f>HYPERLINK("https://twitter.com/endahse05","@endahse05")</f>
        <v>@endahse05</v>
      </c>
      <c r="C35541" s="8" t="s">
        <v>12619</v>
      </c>
      <c r="D35541" s="8">
        <v>17</v>
      </c>
      <c r="E35541" s="8">
        <v>0</v>
      </c>
      <c r="F35541" s="8">
        <v>184</v>
      </c>
    </row>
    <row r="35542" spans="1:6" ht="12.75">
      <c r="A35542" s="8">
        <v>43888.540613425925</v>
      </c>
      <c r="B35542" s="8" t="str">
        <f>HYPERLINK("https://twitter.com/dabenone2","@dabenone2")</f>
        <v>@dabenone2</v>
      </c>
      <c r="C35542" s="8" t="s">
        <v>13718</v>
      </c>
      <c r="D35542" s="8">
        <v>1</v>
      </c>
      <c r="E35542" s="8">
        <v>0</v>
      </c>
      <c r="F35542" s="8">
        <v>55</v>
      </c>
    </row>
    <row r="35543" spans="1:6" ht="12.75">
      <c r="A35543" s="8">
        <v>43888.540439814809</v>
      </c>
      <c r="B35543" s="8" t="str">
        <f>HYPERLINK("https://twitter.com/harihariono1","@harihariono1")</f>
        <v>@harihariono1</v>
      </c>
      <c r="C35543" s="8" t="s">
        <v>13719</v>
      </c>
      <c r="D35543" s="8">
        <v>6</v>
      </c>
      <c r="E35543" s="8">
        <v>0</v>
      </c>
      <c r="F35543" s="8">
        <v>9459</v>
      </c>
    </row>
    <row r="35544" spans="1:6" ht="12.75">
      <c r="A35544" s="8">
        <v>43888.540370370371</v>
      </c>
      <c r="B35544" s="8" t="str">
        <f>HYPERLINK("https://twitter.com/NursandiGatot","@NursandiGatot")</f>
        <v>@NursandiGatot</v>
      </c>
      <c r="C35544" s="8" t="s">
        <v>13720</v>
      </c>
      <c r="D35544" s="8">
        <v>0</v>
      </c>
      <c r="E35544" s="8">
        <v>0</v>
      </c>
      <c r="F35544" s="8">
        <v>41</v>
      </c>
    </row>
    <row r="35545" spans="1:6" ht="12.75">
      <c r="A35545" s="8">
        <v>43888.539988425924</v>
      </c>
      <c r="B35545" s="8" t="str">
        <f>HYPERLINK("https://twitter.com/SatuReporter","@SatuReporter")</f>
        <v>@SatuReporter</v>
      </c>
      <c r="C35545" s="8" t="s">
        <v>13721</v>
      </c>
      <c r="D35545" s="8">
        <v>0</v>
      </c>
      <c r="E35545" s="8">
        <v>0</v>
      </c>
      <c r="F35545" s="8">
        <v>0</v>
      </c>
    </row>
    <row r="35546" spans="1:6" ht="12.75">
      <c r="A35546" s="8">
        <v>43888.539768518516</v>
      </c>
      <c r="B35546" s="8" t="str">
        <f>HYPERLINK("https://twitter.com/Azimaulana17","@Azimaulana17")</f>
        <v>@Azimaulana17</v>
      </c>
      <c r="C35546" s="8" t="s">
        <v>7243</v>
      </c>
      <c r="D35546" s="8">
        <v>57</v>
      </c>
      <c r="E35546" s="8">
        <v>0</v>
      </c>
      <c r="F35546" s="8">
        <v>121</v>
      </c>
    </row>
    <row r="35547" spans="1:6" ht="12.75">
      <c r="A35547" s="8">
        <v>43888.539479166662</v>
      </c>
      <c r="B35547" s="8" t="str">
        <f>HYPERLINK("https://twitter.com/jeremyowen__","@jeremyowen__")</f>
        <v>@jeremyowen__</v>
      </c>
      <c r="C35547" s="8" t="s">
        <v>12619</v>
      </c>
      <c r="D35547" s="8">
        <v>17</v>
      </c>
      <c r="E35547" s="8">
        <v>0</v>
      </c>
      <c r="F35547" s="8">
        <v>267</v>
      </c>
    </row>
    <row r="35548" spans="1:6" ht="12.75">
      <c r="A35548" s="8">
        <v>43888.538726851853</v>
      </c>
      <c r="B35548" s="8" t="str">
        <f>HYPERLINK("https://twitter.com/Dedenhajji","@Dedenhajji")</f>
        <v>@Dedenhajji</v>
      </c>
      <c r="C35548" s="8" t="s">
        <v>7243</v>
      </c>
      <c r="D35548" s="8">
        <v>57</v>
      </c>
      <c r="E35548" s="8">
        <v>0</v>
      </c>
      <c r="F35548" s="8">
        <v>156</v>
      </c>
    </row>
    <row r="35549" spans="1:6" ht="12.75">
      <c r="A35549" s="8">
        <v>43888.538680555561</v>
      </c>
      <c r="B35549" s="8" t="str">
        <f>HYPERLINK("https://twitter.com/q___cilik","@q___cilik")</f>
        <v>@q___cilik</v>
      </c>
      <c r="C35549" s="8" t="s">
        <v>13722</v>
      </c>
      <c r="D35549" s="8">
        <v>1</v>
      </c>
      <c r="E35549" s="8">
        <v>0</v>
      </c>
      <c r="F35549" s="8">
        <v>2617</v>
      </c>
    </row>
    <row r="35550" spans="1:6" ht="12.75">
      <c r="A35550" s="8">
        <v>43888.538599537038</v>
      </c>
      <c r="B35550" s="8" t="str">
        <f>HYPERLINK("https://twitter.com/wilsonsun","@wilsonsun")</f>
        <v>@wilsonsun</v>
      </c>
      <c r="C35550" s="8" t="s">
        <v>12619</v>
      </c>
      <c r="D35550" s="8">
        <v>17</v>
      </c>
      <c r="E35550" s="8">
        <v>0</v>
      </c>
      <c r="F35550" s="8">
        <v>1180</v>
      </c>
    </row>
    <row r="35551" spans="1:6" ht="12.75">
      <c r="A35551" s="8">
        <v>43888.538356481484</v>
      </c>
      <c r="B35551" s="8" t="str">
        <f>HYPERLINK("https://twitter.com/endahse05","@endahse05")</f>
        <v>@endahse05</v>
      </c>
      <c r="C35551" s="8" t="s">
        <v>13723</v>
      </c>
      <c r="D35551" s="8">
        <v>0</v>
      </c>
      <c r="E35551" s="8">
        <v>0</v>
      </c>
      <c r="F35551" s="8">
        <v>184</v>
      </c>
    </row>
    <row r="35552" spans="1:6" ht="12.75">
      <c r="A35552" s="8">
        <v>43888.538344907407</v>
      </c>
      <c r="B35552" s="8" t="str">
        <f>HYPERLINK("https://twitter.com/Pamungkas_1504","@Pamungkas_1504")</f>
        <v>@Pamungkas_1504</v>
      </c>
      <c r="C35552" s="8" t="s">
        <v>12756</v>
      </c>
      <c r="D35552" s="8">
        <v>20</v>
      </c>
      <c r="E35552" s="8">
        <v>0</v>
      </c>
      <c r="F35552" s="8">
        <v>276</v>
      </c>
    </row>
    <row r="35553" spans="1:6" ht="12.75">
      <c r="A35553" s="8">
        <v>43888.538101851853</v>
      </c>
      <c r="B35553" s="8" t="str">
        <f>HYPERLINK("https://twitter.com/imamimamnawawi2","@imamimamnawawi2")</f>
        <v>@imamimamnawawi2</v>
      </c>
      <c r="C35553" s="8" t="s">
        <v>13724</v>
      </c>
      <c r="D35553" s="8">
        <v>0</v>
      </c>
      <c r="E35553" s="8">
        <v>0</v>
      </c>
      <c r="F35553" s="8">
        <v>16</v>
      </c>
    </row>
    <row r="35554" spans="1:6" ht="12.75">
      <c r="A35554" s="8">
        <v>43888.53805555556</v>
      </c>
      <c r="B35554" s="8" t="str">
        <f>HYPERLINK("https://twitter.com/tempodotco","@tempodotco")</f>
        <v>@tempodotco</v>
      </c>
      <c r="C35554" s="8" t="s">
        <v>13725</v>
      </c>
      <c r="D35554" s="8">
        <v>0</v>
      </c>
      <c r="E35554" s="8">
        <v>0</v>
      </c>
      <c r="F35554" s="8">
        <v>1713343</v>
      </c>
    </row>
    <row r="35555" spans="1:6" ht="12.75">
      <c r="A35555" s="8">
        <v>43888.538043981476</v>
      </c>
      <c r="B35555" s="8" t="str">
        <f>HYPERLINK("https://twitter.com/tap_mz","@tap_mz")</f>
        <v>@tap_mz</v>
      </c>
      <c r="C35555" s="8" t="s">
        <v>13726</v>
      </c>
      <c r="D35555" s="8">
        <v>0</v>
      </c>
      <c r="E35555" s="8">
        <v>1</v>
      </c>
      <c r="F35555" s="8">
        <v>673</v>
      </c>
    </row>
    <row r="35556" spans="1:6" ht="12.75">
      <c r="A35556" s="8">
        <v>43888.537962962961</v>
      </c>
      <c r="B35556" s="8" t="str">
        <f>HYPERLINK("https://twitter.com/Aldi03759296","@Aldi03759296")</f>
        <v>@Aldi03759296</v>
      </c>
      <c r="C35556" s="8" t="s">
        <v>11773</v>
      </c>
      <c r="D35556" s="8">
        <v>385</v>
      </c>
      <c r="E35556" s="8">
        <v>0</v>
      </c>
      <c r="F35556" s="8">
        <v>15</v>
      </c>
    </row>
    <row r="35557" spans="1:6" ht="12.75">
      <c r="A35557" s="8">
        <v>43888.537939814814</v>
      </c>
      <c r="B35557" s="8" t="str">
        <f>HYPERLINK("https://twitter.com/femaw_bloody","@femaw_bloody")</f>
        <v>@femaw_bloody</v>
      </c>
      <c r="C35557" s="8" t="s">
        <v>7243</v>
      </c>
      <c r="D35557" s="8">
        <v>57</v>
      </c>
      <c r="E35557" s="8">
        <v>0</v>
      </c>
      <c r="F35557" s="8">
        <v>601</v>
      </c>
    </row>
    <row r="35558" spans="1:6" ht="12.75">
      <c r="A35558" s="8">
        <v>43888.537719907406</v>
      </c>
      <c r="B35558" s="8" t="str">
        <f>HYPERLINK("https://twitter.com/Aldi03759296","@Aldi03759296")</f>
        <v>@Aldi03759296</v>
      </c>
      <c r="C35558" s="8" t="s">
        <v>12052</v>
      </c>
      <c r="D35558" s="8">
        <v>64</v>
      </c>
      <c r="E35558" s="8">
        <v>0</v>
      </c>
      <c r="F35558" s="8">
        <v>15</v>
      </c>
    </row>
    <row r="35559" spans="1:6" ht="12.75">
      <c r="A35559" s="8">
        <v>43888.53770833333</v>
      </c>
      <c r="B35559" s="8" t="str">
        <f>HYPERLINK("https://twitter.com/AgustinaYurisa","@AgustinaYurisa")</f>
        <v>@AgustinaYurisa</v>
      </c>
      <c r="C35559" s="8" t="s">
        <v>13727</v>
      </c>
      <c r="D35559" s="8">
        <v>1</v>
      </c>
      <c r="E35559" s="8">
        <v>0</v>
      </c>
      <c r="F35559" s="8">
        <v>811</v>
      </c>
    </row>
    <row r="35560" spans="1:6" ht="12.75">
      <c r="A35560" s="8">
        <v>43888.53769675926</v>
      </c>
      <c r="B35560" s="8" t="str">
        <f>HYPERLINK("https://twitter.com/niningasih","@niningasih")</f>
        <v>@niningasih</v>
      </c>
      <c r="C35560" s="8" t="s">
        <v>13728</v>
      </c>
      <c r="D35560" s="8">
        <v>1</v>
      </c>
      <c r="E35560" s="8">
        <v>0</v>
      </c>
      <c r="F35560" s="8">
        <v>1166</v>
      </c>
    </row>
    <row r="35561" spans="1:6" ht="12.75">
      <c r="A35561" s="8">
        <v>43888.537627314814</v>
      </c>
      <c r="B35561" s="8" t="str">
        <f>HYPERLINK("https://twitter.com/KienAnd_","@KienAnd_")</f>
        <v>@KienAnd_</v>
      </c>
      <c r="C35561" s="8" t="s">
        <v>13729</v>
      </c>
      <c r="D35561" s="8">
        <v>0</v>
      </c>
      <c r="E35561" s="8">
        <v>0</v>
      </c>
      <c r="F35561" s="8">
        <v>13580</v>
      </c>
    </row>
    <row r="35562" spans="1:6" ht="12.75">
      <c r="A35562" s="8">
        <v>43888.537395833337</v>
      </c>
      <c r="B35562" s="8" t="str">
        <f>HYPERLINK("https://twitter.com/PrassanaArya","@PrassanaArya")</f>
        <v>@PrassanaArya</v>
      </c>
      <c r="C35562" s="8" t="s">
        <v>13730</v>
      </c>
      <c r="D35562" s="8">
        <v>0</v>
      </c>
      <c r="E35562" s="8">
        <v>0</v>
      </c>
      <c r="F35562" s="8">
        <v>2</v>
      </c>
    </row>
    <row r="35563" spans="1:6" ht="12.75">
      <c r="A35563" s="8">
        <v>43888.537291666667</v>
      </c>
      <c r="B35563" s="8" t="str">
        <f>HYPERLINK("https://twitter.com/airmagzcom","@airmagzcom")</f>
        <v>@airmagzcom</v>
      </c>
      <c r="C35563" s="8" t="s">
        <v>13731</v>
      </c>
      <c r="D35563" s="8">
        <v>0</v>
      </c>
      <c r="E35563" s="8">
        <v>0</v>
      </c>
      <c r="F35563" s="8">
        <v>131</v>
      </c>
    </row>
    <row r="35564" spans="1:6" ht="12.75">
      <c r="A35564" s="8">
        <v>43888.537268518514</v>
      </c>
      <c r="B35564" s="8" t="str">
        <f>HYPERLINK("https://twitter.com/asmadajoel","@asmadajoel")</f>
        <v>@asmadajoel</v>
      </c>
      <c r="C35564" s="8" t="s">
        <v>13732</v>
      </c>
      <c r="D35564" s="8">
        <v>3</v>
      </c>
      <c r="E35564" s="8">
        <v>0</v>
      </c>
      <c r="F35564" s="8">
        <v>3504</v>
      </c>
    </row>
    <row r="35565" spans="1:6" ht="12.75">
      <c r="A35565" s="8">
        <v>43888.537141203706</v>
      </c>
      <c r="B35565" s="8" t="str">
        <f>HYPERLINK("https://twitter.com/Dedirs93","@Dedirs93")</f>
        <v>@Dedirs93</v>
      </c>
      <c r="C35565" s="8" t="s">
        <v>7243</v>
      </c>
      <c r="D35565" s="8">
        <v>57</v>
      </c>
      <c r="E35565" s="8">
        <v>0</v>
      </c>
      <c r="F35565" s="8">
        <v>10</v>
      </c>
    </row>
    <row r="35566" spans="1:6" ht="12.75">
      <c r="A35566" s="8">
        <v>43888.536944444444</v>
      </c>
      <c r="B35566" s="8" t="str">
        <f>HYPERLINK("https://twitter.com/renirisawati","@renirisawati")</f>
        <v>@renirisawati</v>
      </c>
      <c r="C35566" s="8" t="s">
        <v>12619</v>
      </c>
      <c r="D35566" s="8">
        <v>17</v>
      </c>
      <c r="E35566" s="8">
        <v>0</v>
      </c>
      <c r="F35566" s="8">
        <v>140</v>
      </c>
    </row>
    <row r="35567" spans="1:6" ht="12.75">
      <c r="A35567" s="8">
        <v>43888.536678240736</v>
      </c>
      <c r="B35567" s="8" t="str">
        <f>HYPERLINK("https://twitter.com/AkiahDarius","@AkiahDarius")</f>
        <v>@AkiahDarius</v>
      </c>
      <c r="C35567" s="8" t="s">
        <v>7243</v>
      </c>
      <c r="D35567" s="8">
        <v>57</v>
      </c>
      <c r="E35567" s="8">
        <v>0</v>
      </c>
      <c r="F35567" s="8">
        <v>0</v>
      </c>
    </row>
    <row r="35568" spans="1:6" ht="12.75">
      <c r="A35568" s="8">
        <v>43888.536458333328</v>
      </c>
      <c r="B35568" s="8" t="str">
        <f>HYPERLINK("https://twitter.com/dinmul","@dinmul")</f>
        <v>@dinmul</v>
      </c>
      <c r="C35568" s="8" t="s">
        <v>6863</v>
      </c>
      <c r="D35568" s="8">
        <v>182</v>
      </c>
      <c r="E35568" s="8">
        <v>0</v>
      </c>
      <c r="F35568" s="8">
        <v>1060</v>
      </c>
    </row>
    <row r="35569" spans="1:6" ht="12.75">
      <c r="A35569" s="8">
        <v>43888.536238425921</v>
      </c>
      <c r="B35569" s="8" t="str">
        <f>HYPERLINK("https://twitter.com/burungpipit74","@burungpipit74")</f>
        <v>@burungpipit74</v>
      </c>
      <c r="C35569" s="8" t="s">
        <v>13733</v>
      </c>
      <c r="D35569" s="8">
        <v>10</v>
      </c>
      <c r="E35569" s="8">
        <v>0</v>
      </c>
      <c r="F35569" s="8">
        <v>3565</v>
      </c>
    </row>
    <row r="35570" spans="1:6" ht="12.75">
      <c r="A35570" s="8">
        <v>43888.536238425921</v>
      </c>
      <c r="B35570" s="8" t="str">
        <f t="shared" ref="B35570:B35571" si="510">HYPERLINK("https://twitter.com/okezonenews","@okezonenews")</f>
        <v>@okezonenews</v>
      </c>
      <c r="C35570" s="8" t="s">
        <v>13734</v>
      </c>
      <c r="D35570" s="8">
        <v>1</v>
      </c>
      <c r="E35570" s="8">
        <v>0</v>
      </c>
      <c r="F35570" s="8">
        <v>1743760</v>
      </c>
    </row>
    <row r="35571" spans="1:6" ht="12.75">
      <c r="A35571" s="8">
        <v>43888.536238425921</v>
      </c>
      <c r="B35571" s="8" t="str">
        <f t="shared" si="510"/>
        <v>@okezonenews</v>
      </c>
      <c r="C35571" s="8" t="s">
        <v>13735</v>
      </c>
      <c r="D35571" s="8">
        <v>0</v>
      </c>
      <c r="E35571" s="8">
        <v>0</v>
      </c>
      <c r="F35571" s="8">
        <v>1743760</v>
      </c>
    </row>
    <row r="35572" spans="1:6" ht="12.75">
      <c r="A35572" s="8">
        <v>43888.535983796297</v>
      </c>
      <c r="B35572" s="8" t="str">
        <f>HYPERLINK("https://twitter.com/WartawanPensiun","@WartawanPensiun")</f>
        <v>@WartawanPensiun</v>
      </c>
      <c r="C35572" s="8" t="s">
        <v>12619</v>
      </c>
      <c r="D35572" s="8">
        <v>17</v>
      </c>
      <c r="E35572" s="8">
        <v>0</v>
      </c>
      <c r="F35572" s="8">
        <v>6549</v>
      </c>
    </row>
    <row r="35573" spans="1:6" ht="12.75">
      <c r="A35573" s="8">
        <v>43888.535648148143</v>
      </c>
      <c r="B35573" s="8" t="str">
        <f>HYPERLINK("https://twitter.com/Mujirahadi2","@Mujirahadi2")</f>
        <v>@Mujirahadi2</v>
      </c>
      <c r="C35573" s="8" t="s">
        <v>12756</v>
      </c>
      <c r="D35573" s="8">
        <v>20</v>
      </c>
      <c r="E35573" s="8">
        <v>0</v>
      </c>
      <c r="F35573" s="8">
        <v>1730</v>
      </c>
    </row>
    <row r="35574" spans="1:6" ht="12.75">
      <c r="A35574" s="8">
        <v>43888.535439814819</v>
      </c>
      <c r="B35574" s="8" t="str">
        <f t="shared" ref="B35574:B35575" si="511">HYPERLINK("https://twitter.com/PojokNU","@PojokNU")</f>
        <v>@PojokNU</v>
      </c>
      <c r="C35574" s="8" t="s">
        <v>13736</v>
      </c>
      <c r="D35574" s="8">
        <v>0</v>
      </c>
      <c r="E35574" s="8">
        <v>0</v>
      </c>
      <c r="F35574" s="8">
        <v>701</v>
      </c>
    </row>
    <row r="35575" spans="1:6" ht="12.75">
      <c r="A35575" s="8">
        <v>43888.535439814819</v>
      </c>
      <c r="B35575" s="8" t="str">
        <f t="shared" si="511"/>
        <v>@PojokNU</v>
      </c>
      <c r="C35575" s="8" t="s">
        <v>13737</v>
      </c>
      <c r="D35575" s="8">
        <v>0</v>
      </c>
      <c r="E35575" s="8">
        <v>0</v>
      </c>
      <c r="F35575" s="8">
        <v>701</v>
      </c>
    </row>
    <row r="35576" spans="1:6" ht="12.75">
      <c r="A35576" s="8">
        <v>43888.535358796296</v>
      </c>
      <c r="B35576" s="8" t="str">
        <f>HYPERLINK("https://twitter.com/kambingngamuk","@kambingngamuk")</f>
        <v>@kambingngamuk</v>
      </c>
      <c r="C35576" s="8" t="s">
        <v>13738</v>
      </c>
      <c r="D35576" s="8">
        <v>0</v>
      </c>
      <c r="E35576" s="8">
        <v>0</v>
      </c>
      <c r="F35576" s="8">
        <v>39</v>
      </c>
    </row>
    <row r="35577" spans="1:6" ht="12.75">
      <c r="A35577" s="8">
        <v>43888.535173611112</v>
      </c>
      <c r="B35577" s="8" t="str">
        <f>HYPERLINK("https://twitter.com/isyaaal","@isyaaal")</f>
        <v>@isyaaal</v>
      </c>
      <c r="C35577" s="8" t="s">
        <v>6863</v>
      </c>
      <c r="D35577" s="8">
        <v>182</v>
      </c>
      <c r="E35577" s="8">
        <v>0</v>
      </c>
      <c r="F35577" s="8">
        <v>21</v>
      </c>
    </row>
    <row r="35578" spans="1:6" ht="12.75">
      <c r="A35578" s="8">
        <v>43888.535150462965</v>
      </c>
      <c r="B35578" s="8" t="str">
        <f>HYPERLINK("https://twitter.com/baby_alien28","@baby_alien28")</f>
        <v>@baby_alien28</v>
      </c>
      <c r="C35578" s="8" t="s">
        <v>13732</v>
      </c>
      <c r="D35578" s="8">
        <v>3</v>
      </c>
      <c r="E35578" s="8">
        <v>0</v>
      </c>
      <c r="F35578" s="8">
        <v>4221</v>
      </c>
    </row>
    <row r="35579" spans="1:6" ht="12.75">
      <c r="A35579" s="8">
        <v>43888.535104166665</v>
      </c>
      <c r="B35579" s="8" t="str">
        <f>HYPERLINK("https://twitter.com/rzarfandi","@rzarfandi")</f>
        <v>@rzarfandi</v>
      </c>
      <c r="C35579" s="8" t="s">
        <v>12619</v>
      </c>
      <c r="D35579" s="8">
        <v>17</v>
      </c>
      <c r="E35579" s="8">
        <v>0</v>
      </c>
      <c r="F35579" s="8">
        <v>1085</v>
      </c>
    </row>
    <row r="35580" spans="1:6" ht="12.75">
      <c r="A35580" s="8">
        <v>43888.534953703704</v>
      </c>
      <c r="B35580" s="8" t="str">
        <f>HYPERLINK("https://twitter.com/T14503NG","@T14503NG")</f>
        <v>@T14503NG</v>
      </c>
      <c r="C35580" s="8" t="s">
        <v>12619</v>
      </c>
      <c r="D35580" s="8">
        <v>17</v>
      </c>
      <c r="E35580" s="8">
        <v>0</v>
      </c>
      <c r="F35580" s="8">
        <v>842</v>
      </c>
    </row>
    <row r="35581" spans="1:6" ht="12.75">
      <c r="A35581" s="8">
        <v>43888.534942129627</v>
      </c>
      <c r="B35581" s="8" t="str">
        <f>HYPERLINK("https://twitter.com/SetiawanAlyah","@SetiawanAlyah")</f>
        <v>@SetiawanAlyah</v>
      </c>
      <c r="C35581" s="8" t="s">
        <v>11773</v>
      </c>
      <c r="D35581" s="8">
        <v>385</v>
      </c>
      <c r="E35581" s="8">
        <v>0</v>
      </c>
      <c r="F35581" s="8">
        <v>44</v>
      </c>
    </row>
    <row r="35582" spans="1:6" ht="12.75">
      <c r="A35582" s="8">
        <v>43888.534895833334</v>
      </c>
      <c r="B35582" s="8" t="str">
        <f>HYPERLINK("https://twitter.com/kanyaaputriii","@kanyaaputriii")</f>
        <v>@kanyaaputriii</v>
      </c>
      <c r="C35582" s="8" t="s">
        <v>11338</v>
      </c>
      <c r="D35582" s="8">
        <v>1</v>
      </c>
      <c r="E35582" s="8">
        <v>0</v>
      </c>
      <c r="F35582" s="8">
        <v>1695</v>
      </c>
    </row>
    <row r="35583" spans="1:6" ht="12.75">
      <c r="A35583" s="8">
        <v>43888.534849537042</v>
      </c>
      <c r="B35583" s="8" t="str">
        <f>HYPERLINK("https://twitter.com/septiindra","@septiindra")</f>
        <v>@septiindra</v>
      </c>
      <c r="C35583" s="8" t="s">
        <v>7243</v>
      </c>
      <c r="D35583" s="8">
        <v>57</v>
      </c>
      <c r="E35583" s="8">
        <v>0</v>
      </c>
      <c r="F35583" s="8">
        <v>431</v>
      </c>
    </row>
    <row r="35584" spans="1:6" ht="12.75">
      <c r="A35584" s="8">
        <v>43888.534837962958</v>
      </c>
      <c r="B35584" s="8" t="str">
        <f>HYPERLINK("https://twitter.com/Takviri","@Takviri")</f>
        <v>@Takviri</v>
      </c>
      <c r="C35584" s="8" t="s">
        <v>12619</v>
      </c>
      <c r="D35584" s="8">
        <v>17</v>
      </c>
      <c r="E35584" s="8">
        <v>0</v>
      </c>
      <c r="F35584" s="8">
        <v>59400</v>
      </c>
    </row>
    <row r="35585" spans="1:6" ht="12.75">
      <c r="A35585" s="8">
        <v>43888.534733796296</v>
      </c>
      <c r="B35585" s="8" t="str">
        <f>HYPERLINK("https://twitter.com/JURIMARQUEZ","@JURIMARQUEZ")</f>
        <v>@JURIMARQUEZ</v>
      </c>
      <c r="C35585" s="8" t="s">
        <v>2940</v>
      </c>
      <c r="D35585" s="8">
        <v>2678</v>
      </c>
      <c r="E35585" s="8">
        <v>0</v>
      </c>
      <c r="F35585" s="8">
        <v>145</v>
      </c>
    </row>
    <row r="35586" spans="1:6" ht="12.75">
      <c r="A35586" s="8">
        <v>43888.53429398148</v>
      </c>
      <c r="B35586" s="8" t="str">
        <f>HYPERLINK("https://twitter.com/vika_as_","@vika_as_")</f>
        <v>@vika_as_</v>
      </c>
      <c r="C35586" s="8" t="s">
        <v>4836</v>
      </c>
      <c r="D35586" s="8">
        <v>5401</v>
      </c>
      <c r="E35586" s="8">
        <v>0</v>
      </c>
      <c r="F35586" s="8">
        <v>163</v>
      </c>
    </row>
    <row r="35587" spans="1:6" ht="12.75">
      <c r="A35587" s="8">
        <v>43888.534282407403</v>
      </c>
      <c r="B35587" s="8" t="str">
        <f>HYPERLINK("https://twitter.com/kambingngamuk","@kambingngamuk")</f>
        <v>@kambingngamuk</v>
      </c>
      <c r="C35587" s="8" t="s">
        <v>13739</v>
      </c>
      <c r="D35587" s="8">
        <v>0</v>
      </c>
      <c r="E35587" s="8">
        <v>0</v>
      </c>
      <c r="F35587" s="8">
        <v>39</v>
      </c>
    </row>
    <row r="35588" spans="1:6" ht="12.75">
      <c r="A35588" s="8">
        <v>43888.534097222218</v>
      </c>
      <c r="B35588" s="8" t="str">
        <f>HYPERLINK("https://twitter.com/KyoongiD","@KyoongiD")</f>
        <v>@KyoongiD</v>
      </c>
      <c r="C35588" s="8" t="s">
        <v>12885</v>
      </c>
      <c r="D35588" s="8">
        <v>0</v>
      </c>
      <c r="E35588" s="8">
        <v>0</v>
      </c>
      <c r="F35588" s="8">
        <v>120</v>
      </c>
    </row>
    <row r="35589" spans="1:6" ht="12.75">
      <c r="A35589" s="8">
        <v>43888.53398148148</v>
      </c>
      <c r="B35589" s="8" t="str">
        <f>HYPERLINK("https://twitter.com/monamijamet","@monamijamet")</f>
        <v>@monamijamet</v>
      </c>
      <c r="C35589" s="8" t="s">
        <v>13740</v>
      </c>
      <c r="D35589" s="8">
        <v>0</v>
      </c>
      <c r="E35589" s="8">
        <v>0</v>
      </c>
      <c r="F35589" s="8">
        <v>95</v>
      </c>
    </row>
    <row r="35590" spans="1:6" ht="12.75">
      <c r="A35590" s="8">
        <v>43888.53361111111</v>
      </c>
      <c r="B35590" s="8" t="str">
        <f>HYPERLINK("https://twitter.com/agitated_mom","@agitated_mom")</f>
        <v>@agitated_mom</v>
      </c>
      <c r="C35590" s="8" t="s">
        <v>13741</v>
      </c>
      <c r="D35590" s="8">
        <v>0</v>
      </c>
      <c r="E35590" s="8">
        <v>0</v>
      </c>
      <c r="F35590" s="8">
        <v>104</v>
      </c>
    </row>
    <row r="35591" spans="1:6" ht="12.75">
      <c r="A35591" s="8">
        <v>43888.533576388887</v>
      </c>
      <c r="B35591" s="8" t="str">
        <f>HYPERLINK("https://twitter.com/fajarshidq","@fajarshidq")</f>
        <v>@fajarshidq</v>
      </c>
      <c r="C35591" s="8" t="s">
        <v>7243</v>
      </c>
      <c r="D35591" s="8">
        <v>57</v>
      </c>
      <c r="E35591" s="8">
        <v>0</v>
      </c>
      <c r="F35591" s="8">
        <v>246</v>
      </c>
    </row>
    <row r="35592" spans="1:6" ht="12.75">
      <c r="A35592" s="8">
        <v>43888.533368055556</v>
      </c>
      <c r="B35592" s="8" t="str">
        <f>HYPERLINK("https://twitter.com/kambingngamuk","@kambingngamuk")</f>
        <v>@kambingngamuk</v>
      </c>
      <c r="C35592" s="8" t="s">
        <v>13742</v>
      </c>
      <c r="D35592" s="8">
        <v>0</v>
      </c>
      <c r="E35592" s="8">
        <v>0</v>
      </c>
      <c r="F35592" s="8">
        <v>39</v>
      </c>
    </row>
    <row r="35593" spans="1:6" ht="12.75">
      <c r="A35593" s="8">
        <v>43888.533356481479</v>
      </c>
      <c r="B35593" s="8" t="str">
        <f>HYPERLINK("https://twitter.com/antaranews","@antaranews")</f>
        <v>@antaranews</v>
      </c>
      <c r="C35593" s="8" t="s">
        <v>13743</v>
      </c>
      <c r="D35593" s="8">
        <v>1</v>
      </c>
      <c r="E35593" s="8">
        <v>2</v>
      </c>
      <c r="F35593" s="8">
        <v>1105475</v>
      </c>
    </row>
    <row r="35594" spans="1:6" ht="12.75">
      <c r="A35594" s="8">
        <v>43888.53334490741</v>
      </c>
      <c r="B35594" s="8" t="str">
        <f>HYPERLINK("https://twitter.com/__r036","@__r036")</f>
        <v>@__r036</v>
      </c>
      <c r="C35594" s="8" t="s">
        <v>13744</v>
      </c>
      <c r="D35594" s="8">
        <v>0</v>
      </c>
      <c r="E35594" s="8">
        <v>1</v>
      </c>
      <c r="F35594" s="8">
        <v>2712</v>
      </c>
    </row>
    <row r="35595" spans="1:6" ht="12.75">
      <c r="A35595" s="8">
        <v>43888.533182870371</v>
      </c>
      <c r="B35595" s="8" t="str">
        <f>HYPERLINK("https://twitter.com/ditjenkesmas","@ditjenkesmas")</f>
        <v>@ditjenkesmas</v>
      </c>
      <c r="C35595" s="8" t="s">
        <v>12390</v>
      </c>
      <c r="D35595" s="8">
        <v>6</v>
      </c>
      <c r="E35595" s="8">
        <v>0</v>
      </c>
      <c r="F35595" s="8">
        <v>7144</v>
      </c>
    </row>
    <row r="35596" spans="1:6" ht="12.75">
      <c r="A35596" s="8">
        <v>43888.506770833337</v>
      </c>
      <c r="B35596" s="8" t="str">
        <f>HYPERLINK("https://twitter.com/RickyNSas","@RickyNSas")</f>
        <v>@RickyNSas</v>
      </c>
      <c r="C35596" s="8" t="s">
        <v>7243</v>
      </c>
      <c r="D35596" s="8">
        <v>25</v>
      </c>
      <c r="E35596" s="8">
        <v>0</v>
      </c>
      <c r="F35596" s="8">
        <v>3514</v>
      </c>
    </row>
    <row r="35597" spans="1:6" ht="12.75">
      <c r="A35597" s="8">
        <v>43888.506493055553</v>
      </c>
      <c r="B35597" s="8" t="str">
        <f>HYPERLINK("https://twitter.com/IJSimatupang","@IJSimatupang")</f>
        <v>@IJSimatupang</v>
      </c>
      <c r="C35597" s="8" t="s">
        <v>11217</v>
      </c>
      <c r="D35597" s="8">
        <v>6</v>
      </c>
      <c r="E35597" s="8">
        <v>0</v>
      </c>
      <c r="F35597" s="8">
        <v>362</v>
      </c>
    </row>
    <row r="35598" spans="1:6" ht="12.75">
      <c r="A35598" s="8">
        <v>43888.506400462968</v>
      </c>
      <c r="B35598" s="8" t="str">
        <f>HYPERLINK("https://twitter.com/Ahmaadrnld","@Ahmaadrnld")</f>
        <v>@Ahmaadrnld</v>
      </c>
      <c r="C35598" s="8" t="s">
        <v>7243</v>
      </c>
      <c r="D35598" s="8">
        <v>25</v>
      </c>
      <c r="E35598" s="8">
        <v>0</v>
      </c>
      <c r="F35598" s="8">
        <v>90</v>
      </c>
    </row>
    <row r="35599" spans="1:6" ht="12.75">
      <c r="A35599" s="8">
        <v>43888.505983796298</v>
      </c>
      <c r="B35599" s="8" t="str">
        <f>HYPERLINK("https://twitter.com/rebon_alus","@rebon_alus")</f>
        <v>@rebon_alus</v>
      </c>
      <c r="C35599" s="8" t="s">
        <v>12756</v>
      </c>
      <c r="D35599" s="8">
        <v>5</v>
      </c>
      <c r="E35599" s="8">
        <v>0</v>
      </c>
      <c r="F35599" s="8">
        <v>4678</v>
      </c>
    </row>
    <row r="35600" spans="1:6" ht="12.75">
      <c r="A35600" s="8">
        <v>43888.505868055552</v>
      </c>
      <c r="B35600" s="8" t="str">
        <f>HYPERLINK("https://twitter.com/hilmakamile","@hilmakamile")</f>
        <v>@hilmakamile</v>
      </c>
      <c r="C35600" s="8" t="s">
        <v>11773</v>
      </c>
      <c r="D35600" s="8">
        <v>374</v>
      </c>
      <c r="E35600" s="8">
        <v>0</v>
      </c>
      <c r="F35600" s="8">
        <v>40</v>
      </c>
    </row>
    <row r="35601" spans="1:6" ht="12.75">
      <c r="A35601" s="8">
        <v>43888.505729166667</v>
      </c>
      <c r="B35601" s="8" t="str">
        <f>HYPERLINK("https://twitter.com/agustin_sastra","@agustin_sastra")</f>
        <v>@agustin_sastra</v>
      </c>
      <c r="C35601" s="8" t="s">
        <v>13745</v>
      </c>
      <c r="D35601" s="8">
        <v>2</v>
      </c>
      <c r="E35601" s="8">
        <v>0</v>
      </c>
      <c r="F35601" s="8">
        <v>547</v>
      </c>
    </row>
    <row r="35602" spans="1:6" ht="12.75">
      <c r="A35602" s="8">
        <v>43888.505613425921</v>
      </c>
      <c r="B35602" s="8" t="str">
        <f>HYPERLINK("https://twitter.com/merdekadotcom","@merdekadotcom")</f>
        <v>@merdekadotcom</v>
      </c>
      <c r="C35602" s="8" t="s">
        <v>13746</v>
      </c>
      <c r="D35602" s="8">
        <v>0</v>
      </c>
      <c r="E35602" s="8">
        <v>0</v>
      </c>
      <c r="F35602" s="8">
        <v>230968</v>
      </c>
    </row>
    <row r="35603" spans="1:6" ht="12.75">
      <c r="A35603" s="8">
        <v>43888.505590277782</v>
      </c>
      <c r="B35603" s="8" t="str">
        <f>HYPERLINK("https://twitter.com/nisars_","@nisars_")</f>
        <v>@nisars_</v>
      </c>
      <c r="C35603" s="8" t="s">
        <v>12406</v>
      </c>
      <c r="D35603" s="8">
        <v>118</v>
      </c>
      <c r="E35603" s="8">
        <v>0</v>
      </c>
      <c r="F35603" s="8">
        <v>192</v>
      </c>
    </row>
    <row r="35604" spans="1:6" ht="12.75">
      <c r="A35604" s="8">
        <v>43888.505520833336</v>
      </c>
      <c r="B35604" s="8" t="str">
        <f>HYPERLINK("https://twitter.com/Si_Kalacakra","@Si_Kalacakra")</f>
        <v>@Si_Kalacakra</v>
      </c>
      <c r="C35604" s="8" t="s">
        <v>13747</v>
      </c>
      <c r="D35604" s="8">
        <v>0</v>
      </c>
      <c r="E35604" s="8">
        <v>0</v>
      </c>
      <c r="F35604" s="8">
        <v>1210</v>
      </c>
    </row>
    <row r="35605" spans="1:6" ht="12.75">
      <c r="A35605" s="8">
        <v>43888.505486111113</v>
      </c>
      <c r="B35605" s="8" t="str">
        <f>HYPERLINK("https://twitter.com/1blackcoffee888","@1blackcoffee888")</f>
        <v>@1blackcoffee888</v>
      </c>
      <c r="C35605" s="8" t="s">
        <v>12756</v>
      </c>
      <c r="D35605" s="8">
        <v>5</v>
      </c>
      <c r="E35605" s="8">
        <v>0</v>
      </c>
      <c r="F35605" s="8">
        <v>6301</v>
      </c>
    </row>
    <row r="35606" spans="1:6" ht="12.75">
      <c r="A35606" s="8">
        <v>43888.505347222221</v>
      </c>
      <c r="B35606" s="8" t="str">
        <f>HYPERLINK("https://twitter.com/Sandy_ervandi","@Sandy_ervandi")</f>
        <v>@Sandy_ervandi</v>
      </c>
      <c r="C35606" s="8" t="s">
        <v>13198</v>
      </c>
      <c r="D35606" s="8">
        <v>60</v>
      </c>
      <c r="E35606" s="8">
        <v>0</v>
      </c>
      <c r="F35606" s="8">
        <v>98</v>
      </c>
    </row>
    <row r="35607" spans="1:6" ht="12.75">
      <c r="A35607" s="8">
        <v>43888.505196759259</v>
      </c>
      <c r="B35607" s="8" t="str">
        <f>HYPERLINK("https://twitter.com/rby_","@rby_")</f>
        <v>@rby_</v>
      </c>
      <c r="C35607" s="8" t="s">
        <v>12471</v>
      </c>
      <c r="D35607" s="8">
        <v>7</v>
      </c>
      <c r="E35607" s="8">
        <v>0</v>
      </c>
      <c r="F35607" s="8">
        <v>240</v>
      </c>
    </row>
    <row r="35608" spans="1:6" ht="12.75">
      <c r="A35608" s="8">
        <v>43888.505185185189</v>
      </c>
      <c r="B35608" s="8" t="str">
        <f>HYPERLINK("https://twitter.com/SamuelPHarahap","@SamuelPHarahap")</f>
        <v>@SamuelPHarahap</v>
      </c>
      <c r="C35608" s="8" t="s">
        <v>12756</v>
      </c>
      <c r="D35608" s="8">
        <v>5</v>
      </c>
      <c r="E35608" s="8">
        <v>0</v>
      </c>
      <c r="F35608" s="8">
        <v>86</v>
      </c>
    </row>
    <row r="35609" spans="1:6" ht="12.75">
      <c r="A35609" s="8">
        <v>43888.505162037036</v>
      </c>
      <c r="B35609" s="8" t="str">
        <f>HYPERLINK("https://twitter.com/ajibudi_er","@ajibudi_er")</f>
        <v>@ajibudi_er</v>
      </c>
      <c r="C35609" s="8" t="s">
        <v>12756</v>
      </c>
      <c r="D35609" s="8">
        <v>5</v>
      </c>
      <c r="E35609" s="8">
        <v>0</v>
      </c>
      <c r="F35609" s="8">
        <v>3494</v>
      </c>
    </row>
    <row r="35610" spans="1:6" ht="12.75">
      <c r="A35610" s="8">
        <v>43888.504930555559</v>
      </c>
      <c r="B35610" s="8" t="str">
        <f>HYPERLINK("https://twitter.com/Tresnacimahi81","@Tresnacimahi81")</f>
        <v>@Tresnacimahi81</v>
      </c>
      <c r="C35610" s="8" t="s">
        <v>11773</v>
      </c>
      <c r="D35610" s="8">
        <v>374</v>
      </c>
      <c r="E35610" s="8">
        <v>0</v>
      </c>
      <c r="F35610" s="8">
        <v>213</v>
      </c>
    </row>
    <row r="35611" spans="1:6" ht="12.75">
      <c r="A35611" s="8">
        <v>43888.504710648151</v>
      </c>
      <c r="B35611" s="8" t="str">
        <f>HYPERLINK("https://twitter.com/Si_Kalacakra","@Si_Kalacakra")</f>
        <v>@Si_Kalacakra</v>
      </c>
      <c r="C35611" s="8" t="s">
        <v>13748</v>
      </c>
      <c r="D35611" s="8">
        <v>0</v>
      </c>
      <c r="E35611" s="8">
        <v>0</v>
      </c>
      <c r="F35611" s="8">
        <v>1210</v>
      </c>
    </row>
    <row r="35612" spans="1:6" ht="12.75">
      <c r="A35612" s="8">
        <v>43888.504699074074</v>
      </c>
      <c r="B35612" s="8" t="str">
        <f>HYPERLINK("https://twitter.com/SanAscLaw","@SanAscLaw")</f>
        <v>@SanAscLaw</v>
      </c>
      <c r="C35612" s="8" t="s">
        <v>12052</v>
      </c>
      <c r="D35612" s="8">
        <v>58</v>
      </c>
      <c r="E35612" s="8">
        <v>0</v>
      </c>
      <c r="F35612" s="8">
        <v>1154</v>
      </c>
    </row>
    <row r="35613" spans="1:6" ht="12.75">
      <c r="A35613" s="8">
        <v>43888.504618055551</v>
      </c>
      <c r="B35613" s="8" t="str">
        <f>HYPERLINK("https://twitter.com/arjuno_ireng01","@arjuno_ireng01")</f>
        <v>@arjuno_ireng01</v>
      </c>
      <c r="C35613" s="8" t="s">
        <v>12756</v>
      </c>
      <c r="D35613" s="8">
        <v>5</v>
      </c>
      <c r="E35613" s="8">
        <v>0</v>
      </c>
      <c r="F35613" s="8">
        <v>10710</v>
      </c>
    </row>
    <row r="35614" spans="1:6" ht="12.75">
      <c r="A35614" s="8">
        <v>43888.504594907412</v>
      </c>
      <c r="B35614" s="8" t="str">
        <f>HYPERLINK("https://twitter.com/udakabayan","@udakabayan")</f>
        <v>@udakabayan</v>
      </c>
      <c r="C35614" s="8" t="s">
        <v>7243</v>
      </c>
      <c r="D35614" s="8">
        <v>25</v>
      </c>
      <c r="E35614" s="8">
        <v>0</v>
      </c>
      <c r="F35614" s="8">
        <v>163</v>
      </c>
    </row>
    <row r="35615" spans="1:6" ht="12.75">
      <c r="A35615" s="8">
        <v>43888.504537037035</v>
      </c>
      <c r="B35615" s="8" t="str">
        <f>HYPERLINK("https://twitter.com/Mun4fikunn","@Mun4fikunn")</f>
        <v>@Mun4fikunn</v>
      </c>
      <c r="C35615" s="8" t="s">
        <v>11773</v>
      </c>
      <c r="D35615" s="8">
        <v>374</v>
      </c>
      <c r="E35615" s="8">
        <v>0</v>
      </c>
      <c r="F35615" s="8">
        <v>1577</v>
      </c>
    </row>
    <row r="35616" spans="1:6" ht="12.75">
      <c r="A35616" s="8">
        <v>43888.504502314812</v>
      </c>
      <c r="B35616" s="8" t="str">
        <f>HYPERLINK("https://twitter.com/ZaenalTaufikkkk","@ZaenalTaufikkkk")</f>
        <v>@ZaenalTaufikkkk</v>
      </c>
      <c r="C35616" s="8" t="s">
        <v>7243</v>
      </c>
      <c r="D35616" s="8">
        <v>25</v>
      </c>
      <c r="E35616" s="8">
        <v>0</v>
      </c>
      <c r="F35616" s="8">
        <v>9</v>
      </c>
    </row>
    <row r="35617" spans="1:6" ht="12.75">
      <c r="A35617" s="8">
        <v>43888.504189814819</v>
      </c>
      <c r="B35617" s="8" t="str">
        <f>HYPERLINK("https://twitter.com/indonew5id","@indonew5id")</f>
        <v>@indonew5id</v>
      </c>
      <c r="C35617" s="8" t="s">
        <v>13749</v>
      </c>
      <c r="D35617" s="8">
        <v>0</v>
      </c>
      <c r="E35617" s="8">
        <v>0</v>
      </c>
      <c r="F35617" s="8">
        <v>51</v>
      </c>
    </row>
    <row r="35618" spans="1:6" ht="12.75">
      <c r="A35618" s="8">
        <v>43888.504050925927</v>
      </c>
      <c r="B35618" s="8" t="str">
        <f>HYPERLINK("https://twitter.com/03__nakula","@03__nakula")</f>
        <v>@03__nakula</v>
      </c>
      <c r="C35618" s="8" t="s">
        <v>13750</v>
      </c>
      <c r="D35618" s="8">
        <v>5</v>
      </c>
      <c r="E35618" s="8">
        <v>8</v>
      </c>
      <c r="F35618" s="8">
        <v>11468</v>
      </c>
    </row>
    <row r="35619" spans="1:6" ht="12.75">
      <c r="A35619" s="8">
        <v>43888.50381944445</v>
      </c>
      <c r="B35619" s="8" t="str">
        <f>HYPERLINK("https://twitter.com/jefryaritama22","@jefryaritama22")</f>
        <v>@jefryaritama22</v>
      </c>
      <c r="C35619" s="8" t="s">
        <v>13751</v>
      </c>
      <c r="D35619" s="8">
        <v>0</v>
      </c>
      <c r="E35619" s="8">
        <v>0</v>
      </c>
      <c r="F35619" s="8">
        <v>21</v>
      </c>
    </row>
    <row r="35620" spans="1:6" ht="12.75">
      <c r="A35620" s="8">
        <v>43888.503703703704</v>
      </c>
      <c r="B35620" s="8" t="str">
        <f>HYPERLINK("https://twitter.com/IglesiasEggy","@IglesiasEggy")</f>
        <v>@IglesiasEggy</v>
      </c>
      <c r="C35620" s="8" t="s">
        <v>6863</v>
      </c>
      <c r="D35620" s="8">
        <v>167</v>
      </c>
      <c r="E35620" s="8">
        <v>0</v>
      </c>
      <c r="F35620" s="8">
        <v>67</v>
      </c>
    </row>
    <row r="35621" spans="1:6" ht="12.75">
      <c r="A35621" s="8">
        <v>43888.503703703704</v>
      </c>
      <c r="B35621" s="8" t="str">
        <f>HYPERLINK("https://twitter.com/OANTIMOR6","@OANTIMOR6")</f>
        <v>@OANTIMOR6</v>
      </c>
      <c r="C35621" s="8" t="s">
        <v>13752</v>
      </c>
      <c r="D35621" s="8">
        <v>0</v>
      </c>
      <c r="E35621" s="8">
        <v>0</v>
      </c>
      <c r="F35621" s="8">
        <v>20</v>
      </c>
    </row>
    <row r="35622" spans="1:6" ht="12.75">
      <c r="A35622" s="8">
        <v>43888.503634259258</v>
      </c>
      <c r="B35622" s="8" t="str">
        <f>HYPERLINK("https://twitter.com/harakatuna","@harakatuna")</f>
        <v>@harakatuna</v>
      </c>
      <c r="C35622" s="8" t="s">
        <v>13753</v>
      </c>
      <c r="D35622" s="8">
        <v>0</v>
      </c>
      <c r="E35622" s="8">
        <v>0</v>
      </c>
      <c r="F35622" s="8">
        <v>412</v>
      </c>
    </row>
    <row r="35623" spans="1:6" ht="12.75">
      <c r="A35623" s="8">
        <v>43888.503553240742</v>
      </c>
      <c r="B35623" s="8" t="str">
        <f>HYPERLINK("https://twitter.com/jefryaritama22","@jefryaritama22")</f>
        <v>@jefryaritama22</v>
      </c>
      <c r="C35623" s="8" t="s">
        <v>13754</v>
      </c>
      <c r="D35623" s="8">
        <v>0</v>
      </c>
      <c r="E35623" s="8">
        <v>0</v>
      </c>
      <c r="F35623" s="8">
        <v>21</v>
      </c>
    </row>
    <row r="35624" spans="1:6" ht="12.75">
      <c r="A35624" s="8">
        <v>43888.503553240742</v>
      </c>
      <c r="B35624" s="8" t="str">
        <f>HYPERLINK("https://twitter.com/NauriAlg","@NauriAlg")</f>
        <v>@NauriAlg</v>
      </c>
      <c r="C35624" s="8" t="s">
        <v>7243</v>
      </c>
      <c r="D35624" s="8">
        <v>25</v>
      </c>
      <c r="E35624" s="8">
        <v>0</v>
      </c>
      <c r="F35624" s="8">
        <v>102</v>
      </c>
    </row>
    <row r="35625" spans="1:6" ht="12.75">
      <c r="A35625" s="8">
        <v>43888.503472222219</v>
      </c>
      <c r="B35625" s="8" t="str">
        <f>HYPERLINK("https://twitter.com/harakatuna","@harakatuna")</f>
        <v>@harakatuna</v>
      </c>
      <c r="C35625" s="8" t="s">
        <v>13753</v>
      </c>
      <c r="D35625" s="8">
        <v>0</v>
      </c>
      <c r="E35625" s="8">
        <v>0</v>
      </c>
      <c r="F35625" s="8">
        <v>412</v>
      </c>
    </row>
    <row r="35626" spans="1:6" ht="12.75">
      <c r="A35626" s="8">
        <v>43888.503425925926</v>
      </c>
      <c r="B35626" s="8" t="str">
        <f>HYPERLINK("https://twitter.com/sihaloho79","@sihaloho79")</f>
        <v>@sihaloho79</v>
      </c>
      <c r="C35626" s="8" t="s">
        <v>11217</v>
      </c>
      <c r="D35626" s="8">
        <v>6</v>
      </c>
      <c r="E35626" s="8">
        <v>0</v>
      </c>
      <c r="F35626" s="8">
        <v>193</v>
      </c>
    </row>
    <row r="35627" spans="1:6" ht="12.75">
      <c r="A35627" s="8">
        <v>43888.503287037034</v>
      </c>
      <c r="B35627" s="8" t="str">
        <f>HYPERLINK("https://twitter.com/Firdaus07610087","@Firdaus07610087")</f>
        <v>@Firdaus07610087</v>
      </c>
      <c r="C35627" s="8" t="s">
        <v>11773</v>
      </c>
      <c r="D35627" s="8">
        <v>374</v>
      </c>
      <c r="E35627" s="8">
        <v>0</v>
      </c>
      <c r="F35627" s="8">
        <v>312</v>
      </c>
    </row>
    <row r="35628" spans="1:6" ht="12.75">
      <c r="A35628" s="8">
        <v>43888.503159722226</v>
      </c>
      <c r="B35628" s="8" t="str">
        <f>HYPERLINK("https://twitter.com/Metro_TV","@Metro_TV")</f>
        <v>@Metro_TV</v>
      </c>
      <c r="C35628" s="8" t="s">
        <v>13755</v>
      </c>
      <c r="D35628" s="8">
        <v>0</v>
      </c>
      <c r="E35628" s="8">
        <v>4</v>
      </c>
      <c r="F35628" s="8">
        <v>10513972</v>
      </c>
    </row>
    <row r="35629" spans="1:6" ht="12.75">
      <c r="A35629" s="8">
        <v>43888.503136574072</v>
      </c>
      <c r="B35629" s="8" t="str">
        <f>HYPERLINK("https://twitter.com/jg_indonesiaku","@jg_indonesiaku")</f>
        <v>@jg_indonesiaku</v>
      </c>
      <c r="C35629" s="8" t="s">
        <v>13733</v>
      </c>
      <c r="D35629" s="8">
        <v>6</v>
      </c>
      <c r="E35629" s="8">
        <v>0</v>
      </c>
      <c r="F35629" s="8">
        <v>251</v>
      </c>
    </row>
    <row r="35630" spans="1:6" ht="12.75">
      <c r="A35630" s="8">
        <v>43888.503125000003</v>
      </c>
      <c r="B35630" s="8" t="str">
        <f>HYPERLINK("https://twitter.com/alansyah334","@alansyah334")</f>
        <v>@alansyah334</v>
      </c>
      <c r="C35630" s="8" t="s">
        <v>4785</v>
      </c>
      <c r="D35630" s="8">
        <v>412</v>
      </c>
      <c r="E35630" s="8">
        <v>0</v>
      </c>
      <c r="F35630" s="8">
        <v>166</v>
      </c>
    </row>
    <row r="35631" spans="1:6" ht="12.75">
      <c r="A35631" s="8">
        <v>43888.50309027778</v>
      </c>
      <c r="B35631" s="8" t="str">
        <f>HYPERLINK("https://twitter.com/meidy_ns","@meidy_ns")</f>
        <v>@meidy_ns</v>
      </c>
      <c r="C35631" s="8" t="s">
        <v>12730</v>
      </c>
      <c r="D35631" s="8">
        <v>17</v>
      </c>
      <c r="E35631" s="8">
        <v>0</v>
      </c>
      <c r="F35631" s="8">
        <v>154</v>
      </c>
    </row>
    <row r="35632" spans="1:6" ht="12.75">
      <c r="A35632" s="8">
        <v>43888.503067129626</v>
      </c>
      <c r="B35632" s="8" t="str">
        <f>HYPERLINK("https://twitter.com/NewsLibass","@NewsLibass")</f>
        <v>@NewsLibass</v>
      </c>
      <c r="C35632" s="8" t="s">
        <v>13756</v>
      </c>
      <c r="D35632" s="8">
        <v>0</v>
      </c>
      <c r="E35632" s="8">
        <v>0</v>
      </c>
      <c r="F35632" s="8">
        <v>42</v>
      </c>
    </row>
    <row r="35633" spans="1:6" ht="12.75">
      <c r="A35633" s="8">
        <v>43888.503020833334</v>
      </c>
      <c r="B35633" s="8" t="str">
        <f>HYPERLINK("https://twitter.com/bass_aan","@bass_aan")</f>
        <v>@bass_aan</v>
      </c>
      <c r="C35633" s="8" t="s">
        <v>13757</v>
      </c>
      <c r="D35633" s="8">
        <v>0</v>
      </c>
      <c r="E35633" s="8">
        <v>0</v>
      </c>
      <c r="F35633" s="8">
        <v>216</v>
      </c>
    </row>
    <row r="35634" spans="1:6" ht="12.75">
      <c r="A35634" s="8">
        <v>43888.502384259264</v>
      </c>
      <c r="B35634" s="8" t="str">
        <f>HYPERLINK("https://twitter.com/banglintas","@banglintas")</f>
        <v>@banglintas</v>
      </c>
      <c r="C35634" s="8" t="s">
        <v>13731</v>
      </c>
      <c r="D35634" s="8">
        <v>0</v>
      </c>
      <c r="E35634" s="8">
        <v>0</v>
      </c>
      <c r="F35634" s="8">
        <v>54</v>
      </c>
    </row>
    <row r="35635" spans="1:6" ht="12.75">
      <c r="A35635" s="8">
        <v>43888.502164351856</v>
      </c>
      <c r="B35635" s="8" t="str">
        <f>HYPERLINK("https://twitter.com/anjingperpus","@anjingperpus")</f>
        <v>@anjingperpus</v>
      </c>
      <c r="C35635" s="8" t="s">
        <v>11597</v>
      </c>
      <c r="D35635" s="8">
        <v>11</v>
      </c>
      <c r="E35635" s="8">
        <v>0</v>
      </c>
      <c r="F35635" s="8">
        <v>91</v>
      </c>
    </row>
    <row r="35636" spans="1:6" ht="12.75">
      <c r="A35636" s="8">
        <v>43888.501759259263</v>
      </c>
      <c r="B35636" s="8" t="str">
        <f>HYPERLINK("https://twitter.com/GfPlat","@GfPlat")</f>
        <v>@GfPlat</v>
      </c>
      <c r="C35636" s="8" t="s">
        <v>13733</v>
      </c>
      <c r="D35636" s="8">
        <v>6</v>
      </c>
      <c r="E35636" s="8">
        <v>0</v>
      </c>
      <c r="F35636" s="8">
        <v>2552</v>
      </c>
    </row>
    <row r="35637" spans="1:6" ht="12.75">
      <c r="A35637" s="8">
        <v>43888.501655092594</v>
      </c>
      <c r="B35637" s="8" t="str">
        <f>HYPERLINK("https://twitter.com/hamaro_id","@hamaro_id")</f>
        <v>@hamaro_id</v>
      </c>
      <c r="C35637" s="8" t="s">
        <v>12052</v>
      </c>
      <c r="D35637" s="8">
        <v>58</v>
      </c>
      <c r="E35637" s="8">
        <v>0</v>
      </c>
      <c r="F35637" s="8">
        <v>1679</v>
      </c>
    </row>
    <row r="35638" spans="1:6" ht="12.75">
      <c r="A35638" s="8">
        <v>43888.501435185186</v>
      </c>
      <c r="B35638" s="8" t="str">
        <f>HYPERLINK("https://twitter.com/hrdsaputraaa","@hrdsaputraaa")</f>
        <v>@hrdsaputraaa</v>
      </c>
      <c r="C35638" s="8" t="s">
        <v>13751</v>
      </c>
      <c r="D35638" s="8">
        <v>0</v>
      </c>
      <c r="E35638" s="8">
        <v>0</v>
      </c>
      <c r="F35638" s="8">
        <v>14</v>
      </c>
    </row>
    <row r="35639" spans="1:6" ht="12.75">
      <c r="A35639" s="8">
        <v>43888.501273148147</v>
      </c>
      <c r="B35639" s="8" t="str">
        <f>HYPERLINK("https://twitter.com/Gudang_Survivor","@Gudang_Survivor")</f>
        <v>@Gudang_Survivor</v>
      </c>
      <c r="C35639" s="8" t="s">
        <v>11217</v>
      </c>
      <c r="D35639" s="8">
        <v>6</v>
      </c>
      <c r="E35639" s="8">
        <v>0</v>
      </c>
      <c r="F35639" s="8">
        <v>237</v>
      </c>
    </row>
    <row r="35640" spans="1:6" ht="12.75">
      <c r="A35640" s="8">
        <v>43888.501157407409</v>
      </c>
      <c r="B35640" s="8" t="str">
        <f>HYPERLINK("https://twitter.com/hrdsaputraaa","@hrdsaputraaa")</f>
        <v>@hrdsaputraaa</v>
      </c>
      <c r="C35640" s="8" t="s">
        <v>13754</v>
      </c>
      <c r="D35640" s="8">
        <v>0</v>
      </c>
      <c r="E35640" s="8">
        <v>0</v>
      </c>
      <c r="F35640" s="8">
        <v>14</v>
      </c>
    </row>
    <row r="35641" spans="1:6" ht="12.75">
      <c r="A35641" s="8">
        <v>43888.501111111109</v>
      </c>
      <c r="B35641" s="8" t="str">
        <f>HYPERLINK("https://twitter.com/rizka_christian","@rizka_christian")</f>
        <v>@rizka_christian</v>
      </c>
      <c r="C35641" s="8" t="s">
        <v>13758</v>
      </c>
      <c r="D35641" s="8">
        <v>0</v>
      </c>
      <c r="E35641" s="8">
        <v>0</v>
      </c>
      <c r="F35641" s="8">
        <v>1745</v>
      </c>
    </row>
    <row r="35642" spans="1:6" ht="12.75">
      <c r="A35642" s="8">
        <v>43888.501087962963</v>
      </c>
      <c r="B35642" s="8" t="str">
        <f>HYPERLINK("https://twitter.com/saepudinadji21","@saepudinadji21")</f>
        <v>@saepudinadji21</v>
      </c>
      <c r="C35642" s="8" t="s">
        <v>13759</v>
      </c>
      <c r="D35642" s="8">
        <v>0</v>
      </c>
      <c r="E35642" s="8">
        <v>0</v>
      </c>
      <c r="F35642" s="8">
        <v>412</v>
      </c>
    </row>
    <row r="35643" spans="1:6" ht="12.75">
      <c r="A35643" s="8">
        <v>43888.500590277778</v>
      </c>
      <c r="B35643" s="8" t="str">
        <f>HYPERLINK("https://twitter.com/eizanfolks","@eizanfolks")</f>
        <v>@eizanfolks</v>
      </c>
      <c r="C35643" s="8" t="s">
        <v>13733</v>
      </c>
      <c r="D35643" s="8">
        <v>6</v>
      </c>
      <c r="E35643" s="8">
        <v>0</v>
      </c>
      <c r="F35643" s="8">
        <v>8528</v>
      </c>
    </row>
    <row r="35644" spans="1:6" ht="12.75">
      <c r="A35644" s="8">
        <v>43888.500532407408</v>
      </c>
      <c r="B35644" s="8" t="str">
        <f>HYPERLINK("https://twitter.com/ccpsugiono","@ccpsugiono")</f>
        <v>@ccpsugiono</v>
      </c>
      <c r="C35644" s="8" t="s">
        <v>13760</v>
      </c>
      <c r="D35644" s="8">
        <v>0</v>
      </c>
      <c r="E35644" s="8">
        <v>0</v>
      </c>
      <c r="F35644" s="8">
        <v>681</v>
      </c>
    </row>
    <row r="35645" spans="1:6" ht="12.75">
      <c r="A35645" s="8">
        <v>43888.500034722223</v>
      </c>
      <c r="B35645" s="8" t="str">
        <f>HYPERLINK("https://twitter.com/irmansss_","@irmansss_")</f>
        <v>@irmansss_</v>
      </c>
      <c r="C35645" s="8" t="s">
        <v>7243</v>
      </c>
      <c r="D35645" s="8">
        <v>25</v>
      </c>
      <c r="E35645" s="8">
        <v>0</v>
      </c>
      <c r="F35645" s="8">
        <v>271</v>
      </c>
    </row>
    <row r="35646" spans="1:6" ht="12.75">
      <c r="A35646" s="8">
        <v>43888.500034722223</v>
      </c>
      <c r="B35646" s="8" t="str">
        <f>HYPERLINK("https://twitter.com/aprisprast","@aprisprast")</f>
        <v>@aprisprast</v>
      </c>
      <c r="C35646" s="8" t="s">
        <v>7243</v>
      </c>
      <c r="D35646" s="8">
        <v>25</v>
      </c>
      <c r="E35646" s="8">
        <v>0</v>
      </c>
      <c r="F35646" s="8">
        <v>65</v>
      </c>
    </row>
    <row r="35647" spans="1:6" ht="12.75">
      <c r="A35647" s="8">
        <v>43888.499965277777</v>
      </c>
      <c r="B35647" s="8" t="str">
        <f>HYPERLINK("https://twitter.com/firlysavitri","@firlysavitri")</f>
        <v>@firlysavitri</v>
      </c>
      <c r="C35647" s="8" t="s">
        <v>6863</v>
      </c>
      <c r="D35647" s="8">
        <v>167</v>
      </c>
      <c r="E35647" s="8">
        <v>0</v>
      </c>
      <c r="F35647" s="8">
        <v>1722</v>
      </c>
    </row>
    <row r="35648" spans="1:6" ht="12.75">
      <c r="A35648" s="8">
        <v>43888.499768518523</v>
      </c>
      <c r="B35648" s="8" t="str">
        <f>HYPERLINK("https://twitter.com/PLullua","@PLullua")</f>
        <v>@PLullua</v>
      </c>
      <c r="C35648" s="8" t="s">
        <v>13733</v>
      </c>
      <c r="D35648" s="8">
        <v>6</v>
      </c>
      <c r="E35648" s="8">
        <v>0</v>
      </c>
      <c r="F35648" s="8">
        <v>1132</v>
      </c>
    </row>
    <row r="35649" spans="1:6" ht="12.75">
      <c r="A35649" s="8">
        <v>43888.49962962963</v>
      </c>
      <c r="B35649" s="8" t="str">
        <f>HYPERLINK("https://twitter.com/koecing_pasar","@koecing_pasar")</f>
        <v>@koecing_pasar</v>
      </c>
      <c r="C35649" s="8" t="s">
        <v>12052</v>
      </c>
      <c r="D35649" s="8">
        <v>58</v>
      </c>
      <c r="E35649" s="8">
        <v>0</v>
      </c>
      <c r="F35649" s="8">
        <v>1292</v>
      </c>
    </row>
    <row r="35650" spans="1:6" ht="12.75">
      <c r="A35650" s="8">
        <v>43888.499560185184</v>
      </c>
      <c r="B35650" s="8" t="str">
        <f>HYPERLINK("https://twitter.com/hendrikk168","@hendrikk168")</f>
        <v>@hendrikk168</v>
      </c>
      <c r="C35650" s="8" t="s">
        <v>11217</v>
      </c>
      <c r="D35650" s="8">
        <v>6</v>
      </c>
      <c r="E35650" s="8">
        <v>0</v>
      </c>
      <c r="F35650" s="8">
        <v>877</v>
      </c>
    </row>
    <row r="35651" spans="1:6" ht="12.75">
      <c r="A35651" s="8">
        <v>43888.499525462961</v>
      </c>
      <c r="B35651" s="8" t="str">
        <f>HYPERLINK("https://twitter.com/YosuaEric","@YosuaEric")</f>
        <v>@YosuaEric</v>
      </c>
      <c r="C35651" s="8" t="s">
        <v>13007</v>
      </c>
      <c r="D35651" s="8">
        <v>9</v>
      </c>
      <c r="E35651" s="8">
        <v>0</v>
      </c>
      <c r="F35651" s="8">
        <v>35</v>
      </c>
    </row>
    <row r="35652" spans="1:6" ht="12.75">
      <c r="A35652" s="8">
        <v>43888.49936342593</v>
      </c>
      <c r="B35652" s="8" t="str">
        <f>HYPERLINK("https://twitter.com/piwh33","@piwh33")</f>
        <v>@piwh33</v>
      </c>
      <c r="C35652" s="8" t="s">
        <v>7243</v>
      </c>
      <c r="D35652" s="8">
        <v>25</v>
      </c>
      <c r="E35652" s="8">
        <v>0</v>
      </c>
      <c r="F35652" s="8">
        <v>407</v>
      </c>
    </row>
    <row r="35653" spans="1:6" ht="12.75">
      <c r="A35653" s="8">
        <v>43888.499305555553</v>
      </c>
      <c r="B35653" s="8" t="str">
        <f>HYPERLINK("https://twitter.com/onomsalam2pas","@onomsalam2pas")</f>
        <v>@onomsalam2pas</v>
      </c>
      <c r="C35653" s="8" t="s">
        <v>13761</v>
      </c>
      <c r="D35653" s="8">
        <v>3</v>
      </c>
      <c r="E35653" s="8">
        <v>0</v>
      </c>
      <c r="F35653" s="8">
        <v>464</v>
      </c>
    </row>
    <row r="35654" spans="1:6" ht="12.75">
      <c r="A35654" s="8">
        <v>43888.499224537038</v>
      </c>
      <c r="B35654" s="8" t="str">
        <f>HYPERLINK("https://twitter.com/YosuaEric","@YosuaEric")</f>
        <v>@YosuaEric</v>
      </c>
      <c r="C35654" s="8" t="s">
        <v>13198</v>
      </c>
      <c r="D35654" s="8">
        <v>60</v>
      </c>
      <c r="E35654" s="8">
        <v>0</v>
      </c>
      <c r="F35654" s="8">
        <v>35</v>
      </c>
    </row>
    <row r="35655" spans="1:6" ht="12.75">
      <c r="A35655" s="8">
        <v>43888.499189814815</v>
      </c>
      <c r="B35655" s="8" t="str">
        <f>HYPERLINK("https://twitter.com/Robert__Moses","@Robert__Moses")</f>
        <v>@Robert__Moses</v>
      </c>
      <c r="C35655" s="8" t="s">
        <v>13762</v>
      </c>
      <c r="D35655" s="8">
        <v>6</v>
      </c>
      <c r="E35655" s="8">
        <v>9</v>
      </c>
      <c r="F35655" s="8">
        <v>3687</v>
      </c>
    </row>
    <row r="35656" spans="1:6" ht="12.75">
      <c r="A35656" s="8">
        <v>43888.498935185184</v>
      </c>
      <c r="B35656" s="8" t="str">
        <f>HYPERLINK("https://twitter.com/isis_taelorr","@isis_taelorr")</f>
        <v>@isis_taelorr</v>
      </c>
      <c r="C35656" s="8" t="s">
        <v>13763</v>
      </c>
      <c r="D35656" s="8">
        <v>0</v>
      </c>
      <c r="E35656" s="8">
        <v>0</v>
      </c>
      <c r="F35656" s="8">
        <v>240</v>
      </c>
    </row>
    <row r="35657" spans="1:6" ht="12.75">
      <c r="A35657" s="8">
        <v>43888.49864583333</v>
      </c>
      <c r="B35657" s="8" t="str">
        <f>HYPERLINK("https://twitter.com/teto_pati","@teto_pati")</f>
        <v>@teto_pati</v>
      </c>
      <c r="C35657" s="8" t="s">
        <v>11217</v>
      </c>
      <c r="D35657" s="8">
        <v>6</v>
      </c>
      <c r="E35657" s="8">
        <v>0</v>
      </c>
      <c r="F35657" s="8">
        <v>145</v>
      </c>
    </row>
    <row r="35658" spans="1:6" ht="12.75">
      <c r="A35658" s="8">
        <v>43888.498576388884</v>
      </c>
      <c r="B35658" s="8" t="str">
        <f>HYPERLINK("https://twitter.com/xyzjemi","@xyzjemi")</f>
        <v>@xyzjemi</v>
      </c>
      <c r="C35658" s="8" t="s">
        <v>7243</v>
      </c>
      <c r="D35658" s="8">
        <v>25</v>
      </c>
      <c r="E35658" s="8">
        <v>0</v>
      </c>
      <c r="F35658" s="8">
        <v>651</v>
      </c>
    </row>
    <row r="35659" spans="1:6" ht="12.75">
      <c r="A35659" s="8">
        <v>43888.498449074075</v>
      </c>
      <c r="B35659" s="8" t="str">
        <f>HYPERLINK("https://twitter.com/Wahyu05806471","@Wahyu05806471")</f>
        <v>@Wahyu05806471</v>
      </c>
      <c r="C35659" s="8" t="s">
        <v>12730</v>
      </c>
      <c r="D35659" s="8">
        <v>17</v>
      </c>
      <c r="E35659" s="8">
        <v>0</v>
      </c>
      <c r="F35659" s="8">
        <v>408</v>
      </c>
    </row>
    <row r="35660" spans="1:6" ht="12.75">
      <c r="A35660" s="8">
        <v>43888.498402777783</v>
      </c>
      <c r="B35660" s="8" t="str">
        <f>HYPERLINK("https://twitter.com/rezariefp","@rezariefp")</f>
        <v>@rezariefp</v>
      </c>
      <c r="C35660" s="8" t="s">
        <v>7243</v>
      </c>
      <c r="D35660" s="8">
        <v>25</v>
      </c>
      <c r="E35660" s="8">
        <v>0</v>
      </c>
      <c r="F35660" s="8">
        <v>150</v>
      </c>
    </row>
    <row r="35661" spans="1:6" ht="12.75">
      <c r="A35661" s="8">
        <v>43888.498263888891</v>
      </c>
      <c r="B35661" s="8" t="str">
        <f>HYPERLINK("https://twitter.com/heywan__","@heywan__")</f>
        <v>@heywan__</v>
      </c>
      <c r="C35661" s="8" t="s">
        <v>7243</v>
      </c>
      <c r="D35661" s="8">
        <v>25</v>
      </c>
      <c r="E35661" s="8">
        <v>0</v>
      </c>
      <c r="F35661" s="8">
        <v>41</v>
      </c>
    </row>
    <row r="35662" spans="1:6" ht="12.75">
      <c r="A35662" s="8">
        <v>43888.498263888891</v>
      </c>
      <c r="B35662" s="8" t="str">
        <f>HYPERLINK("https://twitter.com/kangmasigit","@kangmasigit")</f>
        <v>@kangmasigit</v>
      </c>
      <c r="C35662" s="8" t="s">
        <v>13659</v>
      </c>
      <c r="D35662" s="8">
        <v>10</v>
      </c>
      <c r="E35662" s="8">
        <v>0</v>
      </c>
      <c r="F35662" s="8">
        <v>185</v>
      </c>
    </row>
    <row r="35663" spans="1:6" ht="12.75">
      <c r="A35663" s="8">
        <v>43888.498159722221</v>
      </c>
      <c r="B35663" s="8" t="str">
        <f>HYPERLINK("https://twitter.com/dorandae_il","@dorandae_il")</f>
        <v>@dorandae_il</v>
      </c>
      <c r="C35663" s="8" t="s">
        <v>13587</v>
      </c>
      <c r="D35663" s="8">
        <v>4</v>
      </c>
      <c r="E35663" s="8">
        <v>0</v>
      </c>
      <c r="F35663" s="8">
        <v>1402</v>
      </c>
    </row>
    <row r="35664" spans="1:6" ht="12.75">
      <c r="A35664" s="8">
        <v>43888.49799768519</v>
      </c>
      <c r="B35664" s="8" t="str">
        <f>HYPERLINK("https://twitter.com/IhsanNurjaman10","@IhsanNurjaman10")</f>
        <v>@IhsanNurjaman10</v>
      </c>
      <c r="C35664" s="8" t="s">
        <v>7243</v>
      </c>
      <c r="D35664" s="8">
        <v>25</v>
      </c>
      <c r="E35664" s="8">
        <v>0</v>
      </c>
      <c r="F35664" s="8">
        <v>751</v>
      </c>
    </row>
    <row r="35665" spans="1:6" ht="12.75">
      <c r="A35665" s="8">
        <v>43888.49790509259</v>
      </c>
      <c r="B35665" s="8" t="str">
        <f>HYPERLINK("https://twitter.com/andiset31","@andiset31")</f>
        <v>@andiset31</v>
      </c>
      <c r="C35665" s="8" t="s">
        <v>13764</v>
      </c>
      <c r="D35665" s="8">
        <v>6</v>
      </c>
      <c r="E35665" s="8">
        <v>0</v>
      </c>
      <c r="F35665" s="8">
        <v>751</v>
      </c>
    </row>
    <row r="35666" spans="1:6" ht="12.75">
      <c r="A35666" s="8">
        <v>43888.497754629629</v>
      </c>
      <c r="B35666" s="8" t="str">
        <f>HYPERLINK("https://twitter.com/raihan_oo7","@raihan_oo7")</f>
        <v>@raihan_oo7</v>
      </c>
      <c r="C35666" s="8" t="s">
        <v>13765</v>
      </c>
      <c r="D35666" s="8">
        <v>0</v>
      </c>
      <c r="E35666" s="8">
        <v>1</v>
      </c>
      <c r="F35666" s="8">
        <v>1861</v>
      </c>
    </row>
    <row r="35667" spans="1:6" ht="12.75">
      <c r="A35667" s="8">
        <v>43888.497673611113</v>
      </c>
      <c r="B35667" s="8" t="str">
        <f>HYPERLINK("https://twitter.com/El_Hamas","@El_Hamas")</f>
        <v>@El_Hamas</v>
      </c>
      <c r="C35667" s="8" t="s">
        <v>7243</v>
      </c>
      <c r="D35667" s="8">
        <v>25</v>
      </c>
      <c r="E35667" s="8">
        <v>0</v>
      </c>
      <c r="F35667" s="8">
        <v>1054</v>
      </c>
    </row>
    <row r="35668" spans="1:6" ht="12.75">
      <c r="A35668" s="8">
        <v>43888.497372685189</v>
      </c>
      <c r="B35668" s="8" t="str">
        <f>HYPERLINK("https://twitter.com/firhanwicaksana","@firhanwicaksana")</f>
        <v>@firhanwicaksana</v>
      </c>
      <c r="C35668" s="8" t="s">
        <v>7243</v>
      </c>
      <c r="D35668" s="8">
        <v>25</v>
      </c>
      <c r="E35668" s="8">
        <v>0</v>
      </c>
      <c r="F35668" s="8">
        <v>649</v>
      </c>
    </row>
    <row r="35669" spans="1:6" ht="12.75">
      <c r="A35669" s="8">
        <v>43888.497013888889</v>
      </c>
      <c r="B35669" s="8" t="str">
        <f>HYPERLINK("https://twitter.com/rakyat_13","@rakyat_13")</f>
        <v>@rakyat_13</v>
      </c>
      <c r="C35669" s="8" t="s">
        <v>593</v>
      </c>
      <c r="D35669" s="8">
        <v>320</v>
      </c>
      <c r="E35669" s="8">
        <v>0</v>
      </c>
      <c r="F35669" s="8">
        <v>209</v>
      </c>
    </row>
    <row r="35670" spans="1:6" ht="12.75">
      <c r="A35670" s="8">
        <v>43888.496979166666</v>
      </c>
      <c r="B35670" s="8" t="str">
        <f>HYPERLINK("https://twitter.com/Sarah_Pndj","@Sarah_Pndj")</f>
        <v>@Sarah_Pndj</v>
      </c>
      <c r="C35670" s="8" t="s">
        <v>11217</v>
      </c>
      <c r="D35670" s="8">
        <v>6</v>
      </c>
      <c r="E35670" s="8">
        <v>0</v>
      </c>
      <c r="F35670" s="8">
        <v>26899</v>
      </c>
    </row>
    <row r="35671" spans="1:6" ht="12.75">
      <c r="A35671" s="8">
        <v>43888.496736111112</v>
      </c>
      <c r="B35671" s="8" t="str">
        <f>HYPERLINK("https://twitter.com/Nurarihidayah","@Nurarihidayah")</f>
        <v>@Nurarihidayah</v>
      </c>
      <c r="C35671" s="8" t="s">
        <v>12406</v>
      </c>
      <c r="D35671" s="8">
        <v>118</v>
      </c>
      <c r="E35671" s="8">
        <v>0</v>
      </c>
      <c r="F35671" s="8">
        <v>41</v>
      </c>
    </row>
    <row r="35672" spans="1:6" ht="12.75">
      <c r="A35672" s="8">
        <v>43888.496689814812</v>
      </c>
      <c r="B35672" s="8" t="str">
        <f>HYPERLINK("https://twitter.com/adiawae","@adiawae")</f>
        <v>@adiawae</v>
      </c>
      <c r="C35672" s="8" t="s">
        <v>13766</v>
      </c>
      <c r="D35672" s="8">
        <v>6</v>
      </c>
      <c r="E35672" s="8">
        <v>2</v>
      </c>
      <c r="F35672" s="8">
        <v>628</v>
      </c>
    </row>
    <row r="35673" spans="1:6" ht="12.75">
      <c r="A35673" s="8">
        <v>43888.496412037042</v>
      </c>
      <c r="B35673" s="8" t="str">
        <f>HYPERLINK("https://twitter.com/esannn111","@esannn111")</f>
        <v>@esannn111</v>
      </c>
      <c r="C35673" s="8" t="s">
        <v>13751</v>
      </c>
      <c r="D35673" s="8">
        <v>0</v>
      </c>
      <c r="E35673" s="8">
        <v>0</v>
      </c>
      <c r="F35673" s="8">
        <v>20</v>
      </c>
    </row>
    <row r="35674" spans="1:6" ht="12.75">
      <c r="A35674" s="8">
        <v>43888.496319444443</v>
      </c>
      <c r="B35674" s="8" t="str">
        <f>HYPERLINK("https://twitter.com/hikmatkali","@hikmatkali")</f>
        <v>@hikmatkali</v>
      </c>
      <c r="C35674" s="8" t="s">
        <v>7243</v>
      </c>
      <c r="D35674" s="8">
        <v>25</v>
      </c>
      <c r="E35674" s="8">
        <v>0</v>
      </c>
      <c r="F35674" s="8">
        <v>270</v>
      </c>
    </row>
    <row r="35675" spans="1:6" ht="12.75">
      <c r="A35675" s="8">
        <v>43888.49622685185</v>
      </c>
      <c r="B35675" s="8" t="str">
        <f>HYPERLINK("https://twitter.com/pecintagarfit","@pecintagarfit")</f>
        <v>@pecintagarfit</v>
      </c>
      <c r="C35675" s="8" t="s">
        <v>7243</v>
      </c>
      <c r="D35675" s="8">
        <v>25</v>
      </c>
      <c r="E35675" s="8">
        <v>0</v>
      </c>
      <c r="F35675" s="8">
        <v>84</v>
      </c>
    </row>
    <row r="35676" spans="1:6" ht="12.75">
      <c r="A35676" s="8">
        <v>43888.496215277773</v>
      </c>
      <c r="B35676" s="8" t="str">
        <f>HYPERLINK("https://twitter.com/esannn111","@esannn111")</f>
        <v>@esannn111</v>
      </c>
      <c r="C35676" s="8" t="s">
        <v>13754</v>
      </c>
      <c r="D35676" s="8">
        <v>0</v>
      </c>
      <c r="E35676" s="8">
        <v>0</v>
      </c>
      <c r="F35676" s="8">
        <v>20</v>
      </c>
    </row>
    <row r="35677" spans="1:6" ht="12.75">
      <c r="A35677" s="8">
        <v>43888.496145833335</v>
      </c>
      <c r="B35677" s="8" t="str">
        <f>HYPERLINK("https://twitter.com/marinir_tni_al","@marinir_tni_al")</f>
        <v>@marinir_tni_al</v>
      </c>
      <c r="C35677" s="8" t="s">
        <v>13767</v>
      </c>
      <c r="D35677" s="8">
        <v>0</v>
      </c>
      <c r="E35677" s="8">
        <v>0</v>
      </c>
      <c r="F35677" s="8">
        <v>517</v>
      </c>
    </row>
    <row r="35678" spans="1:6" ht="12.75">
      <c r="A35678" s="8">
        <v>43888.495983796296</v>
      </c>
      <c r="B35678" s="8" t="str">
        <f>HYPERLINK("https://twitter.com/prhnrswnt","@prhnrswnt")</f>
        <v>@prhnrswnt</v>
      </c>
      <c r="C35678" s="8" t="s">
        <v>7243</v>
      </c>
      <c r="D35678" s="8">
        <v>25</v>
      </c>
      <c r="E35678" s="8">
        <v>0</v>
      </c>
      <c r="F35678" s="8">
        <v>189</v>
      </c>
    </row>
    <row r="35679" spans="1:6" ht="12.75">
      <c r="A35679" s="8">
        <v>43888.49554398148</v>
      </c>
      <c r="B35679" s="8" t="str">
        <f>HYPERLINK("https://twitter.com/beungeutcloth","@beungeutcloth")</f>
        <v>@beungeutcloth</v>
      </c>
      <c r="C35679" s="8" t="s">
        <v>7243</v>
      </c>
      <c r="D35679" s="8">
        <v>25</v>
      </c>
      <c r="E35679" s="8">
        <v>0</v>
      </c>
      <c r="F35679" s="8">
        <v>10174</v>
      </c>
    </row>
    <row r="35680" spans="1:6" ht="12.75">
      <c r="A35680" s="8">
        <v>43888.493981481486</v>
      </c>
      <c r="B35680" s="8" t="str">
        <f>HYPERLINK("https://twitter.com/Antara_Jabar","@Antara_Jabar")</f>
        <v>@Antara_Jabar</v>
      </c>
      <c r="C35680" s="8" t="s">
        <v>13768</v>
      </c>
      <c r="D35680" s="8">
        <v>0</v>
      </c>
      <c r="E35680" s="8">
        <v>0</v>
      </c>
      <c r="F35680" s="8">
        <v>1608</v>
      </c>
    </row>
    <row r="35681" spans="1:6" ht="12.75">
      <c r="A35681" s="8">
        <v>43888.493969907402</v>
      </c>
      <c r="B35681" s="8" t="str">
        <f>HYPERLINK("https://twitter.com/FnandoSidabutar","@FnandoSidabutar")</f>
        <v>@FnandoSidabutar</v>
      </c>
      <c r="C35681" s="8" t="s">
        <v>4785</v>
      </c>
      <c r="D35681" s="8">
        <v>412</v>
      </c>
      <c r="E35681" s="8">
        <v>0</v>
      </c>
      <c r="F35681" s="8">
        <v>591</v>
      </c>
    </row>
    <row r="35682" spans="1:6" ht="12.75">
      <c r="A35682" s="8">
        <v>43888.493935185186</v>
      </c>
      <c r="B35682" s="8" t="str">
        <f>HYPERLINK("https://twitter.com/dov_Now","@dov_Now")</f>
        <v>@dov_Now</v>
      </c>
      <c r="C35682" s="8" t="s">
        <v>12730</v>
      </c>
      <c r="D35682" s="8">
        <v>17</v>
      </c>
      <c r="E35682" s="8">
        <v>0</v>
      </c>
      <c r="F35682" s="8">
        <v>375</v>
      </c>
    </row>
    <row r="35683" spans="1:6" ht="12.75">
      <c r="A35683" s="8">
        <v>43888.493854166663</v>
      </c>
      <c r="B35683" s="8" t="str">
        <f>HYPERLINK("https://twitter.com/BatamPos","@BatamPos")</f>
        <v>@BatamPos</v>
      </c>
      <c r="C35683" s="8" t="s">
        <v>13769</v>
      </c>
      <c r="D35683" s="8">
        <v>0</v>
      </c>
      <c r="E35683" s="8">
        <v>0</v>
      </c>
      <c r="F35683" s="8">
        <v>67409</v>
      </c>
    </row>
    <row r="35684" spans="1:6" ht="12.75">
      <c r="A35684" s="8">
        <v>43888.493842592594</v>
      </c>
      <c r="B35684" s="8" t="str">
        <f>HYPERLINK("https://twitter.com/moedcristiano","@moedcristiano")</f>
        <v>@moedcristiano</v>
      </c>
      <c r="C35684" s="8" t="s">
        <v>12827</v>
      </c>
      <c r="D35684" s="8">
        <v>12</v>
      </c>
      <c r="E35684" s="8">
        <v>0</v>
      </c>
      <c r="F35684" s="8">
        <v>69</v>
      </c>
    </row>
    <row r="35685" spans="1:6" ht="12.75">
      <c r="A35685" s="8">
        <v>43888.493796296301</v>
      </c>
      <c r="B35685" s="8" t="str">
        <f>HYPERLINK("https://twitter.com/nasir_anshari10","@nasir_anshari10")</f>
        <v>@nasir_anshari10</v>
      </c>
      <c r="C35685" s="8" t="s">
        <v>13751</v>
      </c>
      <c r="D35685" s="8">
        <v>0</v>
      </c>
      <c r="E35685" s="8">
        <v>0</v>
      </c>
      <c r="F35685" s="8">
        <v>13</v>
      </c>
    </row>
    <row r="35686" spans="1:6" ht="12.75">
      <c r="A35686" s="8">
        <v>43888.493715277778</v>
      </c>
      <c r="B35686" s="8" t="str">
        <f>HYPERLINK("https://twitter.com/aurijadie","@aurijadie")</f>
        <v>@aurijadie</v>
      </c>
      <c r="C35686" s="8" t="s">
        <v>13770</v>
      </c>
      <c r="D35686" s="8">
        <v>0</v>
      </c>
      <c r="E35686" s="8">
        <v>0</v>
      </c>
      <c r="F35686" s="8">
        <v>37</v>
      </c>
    </row>
    <row r="35687" spans="1:6" ht="12.75">
      <c r="A35687" s="8">
        <v>43888.493587962963</v>
      </c>
      <c r="B35687" s="8" t="str">
        <f>HYPERLINK("https://twitter.com/ifahc8","@ifahc8")</f>
        <v>@ifahc8</v>
      </c>
      <c r="C35687" s="8" t="s">
        <v>6863</v>
      </c>
      <c r="D35687" s="8">
        <v>167</v>
      </c>
      <c r="E35687" s="8">
        <v>0</v>
      </c>
      <c r="F35687" s="8">
        <v>144</v>
      </c>
    </row>
    <row r="35688" spans="1:6" ht="12.75">
      <c r="A35688" s="8">
        <v>43888.49355324074</v>
      </c>
      <c r="B35688" s="8" t="str">
        <f>HYPERLINK("https://twitter.com/nasir_anshari10","@nasir_anshari10")</f>
        <v>@nasir_anshari10</v>
      </c>
      <c r="C35688" s="8" t="s">
        <v>13754</v>
      </c>
      <c r="D35688" s="8">
        <v>0</v>
      </c>
      <c r="E35688" s="8">
        <v>0</v>
      </c>
      <c r="F35688" s="8">
        <v>13</v>
      </c>
    </row>
    <row r="35689" spans="1:6" ht="12.75">
      <c r="A35689" s="8">
        <v>43888.493206018524</v>
      </c>
      <c r="B35689" s="8" t="str">
        <f>HYPERLINK("https://twitter.com/yudhapati88","@yudhapati88")</f>
        <v>@yudhapati88</v>
      </c>
      <c r="C35689" s="8" t="s">
        <v>13764</v>
      </c>
      <c r="D35689" s="8">
        <v>6</v>
      </c>
      <c r="E35689" s="8">
        <v>0</v>
      </c>
      <c r="F35689" s="8">
        <v>3431</v>
      </c>
    </row>
    <row r="35690" spans="1:6" ht="12.75">
      <c r="A35690" s="8">
        <v>43888.493136574078</v>
      </c>
      <c r="B35690" s="8" t="str">
        <f>HYPERLINK("https://twitter.com/jahangir_mehta","@jahangir_mehta")</f>
        <v>@jahangir_mehta</v>
      </c>
      <c r="C35690" s="8" t="s">
        <v>13771</v>
      </c>
      <c r="D35690" s="8">
        <v>0</v>
      </c>
      <c r="E35690" s="8">
        <v>0</v>
      </c>
      <c r="F35690" s="8">
        <v>171</v>
      </c>
    </row>
    <row r="35691" spans="1:6" ht="12.75">
      <c r="A35691" s="8">
        <v>43888.493125000001</v>
      </c>
      <c r="B35691" s="8" t="str">
        <f>HYPERLINK("https://twitter.com/Tukangcumi","@Tukangcumi")</f>
        <v>@Tukangcumi</v>
      </c>
      <c r="C35691" s="8" t="s">
        <v>7243</v>
      </c>
      <c r="D35691" s="8">
        <v>25</v>
      </c>
      <c r="E35691" s="8">
        <v>0</v>
      </c>
      <c r="F35691" s="8">
        <v>301</v>
      </c>
    </row>
    <row r="35692" spans="1:6" ht="12.75">
      <c r="A35692" s="8">
        <v>43888.493078703701</v>
      </c>
      <c r="B35692" s="8" t="str">
        <f>HYPERLINK("https://twitter.com/Haluan_","@Haluan_")</f>
        <v>@Haluan_</v>
      </c>
      <c r="C35692" s="8" t="s">
        <v>13772</v>
      </c>
      <c r="D35692" s="8">
        <v>0</v>
      </c>
      <c r="E35692" s="8">
        <v>0</v>
      </c>
      <c r="F35692" s="8">
        <v>1498</v>
      </c>
    </row>
    <row r="35693" spans="1:6" ht="12.75">
      <c r="A35693" s="8">
        <v>43888.492928240739</v>
      </c>
      <c r="B35693" s="8" t="str">
        <f>HYPERLINK("https://twitter.com/RdAndrian17","@RdAndrian17")</f>
        <v>@RdAndrian17</v>
      </c>
      <c r="C35693" s="8" t="s">
        <v>7243</v>
      </c>
      <c r="D35693" s="8">
        <v>25</v>
      </c>
      <c r="E35693" s="8">
        <v>0</v>
      </c>
      <c r="F35693" s="8">
        <v>801</v>
      </c>
    </row>
    <row r="35694" spans="1:6" ht="12.75">
      <c r="A35694" s="8">
        <v>43888.492858796293</v>
      </c>
      <c r="B35694" s="8" t="str">
        <f>HYPERLINK("https://twitter.com/Angryanto","@Angryanto")</f>
        <v>@Angryanto</v>
      </c>
      <c r="C35694" s="8" t="s">
        <v>12143</v>
      </c>
      <c r="D35694" s="8">
        <v>306</v>
      </c>
      <c r="E35694" s="8">
        <v>0</v>
      </c>
      <c r="F35694" s="8">
        <v>105</v>
      </c>
    </row>
    <row r="35695" spans="1:6" ht="12.75">
      <c r="A35695" s="8">
        <v>43888.492627314816</v>
      </c>
      <c r="B35695" s="8" t="str">
        <f>HYPERLINK("https://twitter.com/Viking_OneKlari","@Viking_OneKlari")</f>
        <v>@Viking_OneKlari</v>
      </c>
      <c r="C35695" s="8" t="s">
        <v>7243</v>
      </c>
      <c r="D35695" s="8">
        <v>25</v>
      </c>
      <c r="E35695" s="8">
        <v>0</v>
      </c>
      <c r="F35695" s="8">
        <v>584</v>
      </c>
    </row>
    <row r="35696" spans="1:6" ht="12.75">
      <c r="A35696" s="8">
        <v>43888.465150462958</v>
      </c>
      <c r="B35696" s="8" t="str">
        <f>HYPERLINK("https://twitter.com/_Henz14","@_Henz14")</f>
        <v>@_Henz14</v>
      </c>
      <c r="C35696" s="8" t="s">
        <v>13773</v>
      </c>
      <c r="D35696" s="8">
        <v>0</v>
      </c>
      <c r="E35696" s="8">
        <v>0</v>
      </c>
      <c r="F35696" s="8">
        <v>468</v>
      </c>
    </row>
    <row r="35697" spans="1:6" ht="12.75">
      <c r="A35697" s="8">
        <v>43888.464965277773</v>
      </c>
      <c r="B35697" s="8" t="str">
        <f>HYPERLINK("https://twitter.com/Ernie_es","@Ernie_es")</f>
        <v>@Ernie_es</v>
      </c>
      <c r="C35697" s="8" t="s">
        <v>13774</v>
      </c>
      <c r="D35697" s="8">
        <v>0</v>
      </c>
      <c r="E35697" s="8">
        <v>0</v>
      </c>
      <c r="F35697" s="8">
        <v>3678</v>
      </c>
    </row>
    <row r="35698" spans="1:6" ht="12.75">
      <c r="A35698" s="8">
        <v>43888.464918981481</v>
      </c>
      <c r="B35698" s="8" t="str">
        <f>HYPERLINK("https://twitter.com/lodysiegers","@lodysiegers")</f>
        <v>@lodysiegers</v>
      </c>
      <c r="C35698" s="8" t="s">
        <v>11773</v>
      </c>
      <c r="D35698" s="8">
        <v>357</v>
      </c>
      <c r="E35698" s="8">
        <v>0</v>
      </c>
      <c r="F35698" s="8">
        <v>340</v>
      </c>
    </row>
    <row r="35699" spans="1:6" ht="12.75">
      <c r="A35699" s="8">
        <v>43888.464895833335</v>
      </c>
      <c r="B35699" s="8" t="str">
        <f>HYPERLINK("https://twitter.com/New_BUFFETT","@New_BUFFETT")</f>
        <v>@New_BUFFETT</v>
      </c>
      <c r="C35699" s="8" t="s">
        <v>13775</v>
      </c>
      <c r="D35699" s="8">
        <v>0</v>
      </c>
      <c r="E35699" s="8">
        <v>0</v>
      </c>
      <c r="F35699" s="8">
        <v>106</v>
      </c>
    </row>
    <row r="35700" spans="1:6" ht="12.75">
      <c r="A35700" s="8">
        <v>43888.464803240742</v>
      </c>
      <c r="B35700" s="8" t="str">
        <f>HYPERLINK("https://twitter.com/Damnyou_Ron","@Damnyou_Ron")</f>
        <v>@Damnyou_Ron</v>
      </c>
      <c r="C35700" s="8" t="s">
        <v>13776</v>
      </c>
      <c r="D35700" s="8">
        <v>0</v>
      </c>
      <c r="E35700" s="8">
        <v>0</v>
      </c>
      <c r="F35700" s="8">
        <v>393</v>
      </c>
    </row>
    <row r="35701" spans="1:6" ht="12.75">
      <c r="A35701" s="8">
        <v>43888.46475694445</v>
      </c>
      <c r="B35701" s="8" t="str">
        <f>HYPERLINK("https://twitter.com/Colly00754391","@Colly00754391")</f>
        <v>@Colly00754391</v>
      </c>
      <c r="C35701" s="8" t="s">
        <v>13777</v>
      </c>
      <c r="D35701" s="8">
        <v>0</v>
      </c>
      <c r="E35701" s="8">
        <v>0</v>
      </c>
      <c r="F35701" s="8">
        <v>0</v>
      </c>
    </row>
    <row r="35702" spans="1:6" ht="12.75">
      <c r="A35702" s="8">
        <v>43888.46471064815</v>
      </c>
      <c r="B35702" s="8" t="str">
        <f>HYPERLINK("https://twitter.com/Gyoucancallme","@Gyoucancallme")</f>
        <v>@Gyoucancallme</v>
      </c>
      <c r="C35702" s="8" t="s">
        <v>12052</v>
      </c>
      <c r="D35702" s="8">
        <v>51</v>
      </c>
      <c r="E35702" s="8">
        <v>0</v>
      </c>
      <c r="F35702" s="8">
        <v>5429</v>
      </c>
    </row>
    <row r="35703" spans="1:6" ht="12.75">
      <c r="A35703" s="8">
        <v>43888.464305555557</v>
      </c>
      <c r="B35703" s="8" t="str">
        <f t="shared" ref="B35703:B35704" si="512">HYPERLINK("https://twitter.com/AndiSumantri","@AndiSumantri")</f>
        <v>@AndiSumantri</v>
      </c>
      <c r="C35703" s="8" t="s">
        <v>12052</v>
      </c>
      <c r="D35703" s="8">
        <v>51</v>
      </c>
      <c r="E35703" s="8">
        <v>0</v>
      </c>
      <c r="F35703" s="8">
        <v>1403</v>
      </c>
    </row>
    <row r="35704" spans="1:6" ht="12.75">
      <c r="A35704" s="8">
        <v>43888.464155092588</v>
      </c>
      <c r="B35704" s="8" t="str">
        <f t="shared" si="512"/>
        <v>@AndiSumantri</v>
      </c>
      <c r="C35704" s="8" t="s">
        <v>12730</v>
      </c>
      <c r="D35704" s="8">
        <v>3</v>
      </c>
      <c r="E35704" s="8">
        <v>0</v>
      </c>
      <c r="F35704" s="8">
        <v>1403</v>
      </c>
    </row>
    <row r="35705" spans="1:6" ht="12.75">
      <c r="A35705" s="8">
        <v>43888.463784722218</v>
      </c>
      <c r="B35705" s="8" t="str">
        <f>HYPERLINK("https://twitter.com/risdiantoji","@risdiantoji")</f>
        <v>@risdiantoji</v>
      </c>
      <c r="C35705" s="8" t="s">
        <v>12972</v>
      </c>
      <c r="D35705" s="8">
        <v>21</v>
      </c>
      <c r="E35705" s="8">
        <v>0</v>
      </c>
      <c r="F35705" s="8">
        <v>1017</v>
      </c>
    </row>
    <row r="35706" spans="1:6" ht="12.75">
      <c r="A35706" s="8">
        <v>43888.463425925926</v>
      </c>
      <c r="B35706" s="8" t="str">
        <f>HYPERLINK("https://twitter.com/AnggiaHariani","@AnggiaHariani")</f>
        <v>@AnggiaHariani</v>
      </c>
      <c r="C35706" s="8" t="s">
        <v>13778</v>
      </c>
      <c r="D35706" s="8">
        <v>109</v>
      </c>
      <c r="E35706" s="8">
        <v>0</v>
      </c>
      <c r="F35706" s="8">
        <v>22</v>
      </c>
    </row>
    <row r="35707" spans="1:6" ht="12.75">
      <c r="A35707" s="8">
        <v>43888.462766203702</v>
      </c>
      <c r="B35707" s="8" t="str">
        <f>HYPERLINK("https://twitter.com/budhartono","@budhartono")</f>
        <v>@budhartono</v>
      </c>
      <c r="C35707" s="8" t="s">
        <v>12730</v>
      </c>
      <c r="D35707" s="8">
        <v>3</v>
      </c>
      <c r="E35707" s="8">
        <v>0</v>
      </c>
      <c r="F35707" s="8">
        <v>549</v>
      </c>
    </row>
    <row r="35708" spans="1:6" ht="12.75">
      <c r="A35708" s="8">
        <v>43888.462766203702</v>
      </c>
      <c r="B35708" s="8" t="str">
        <f>HYPERLINK("https://twitter.com/BERITAKINI_CO","@BERITAKINI_CO")</f>
        <v>@BERITAKINI_CO</v>
      </c>
      <c r="C35708" s="8" t="s">
        <v>13779</v>
      </c>
      <c r="D35708" s="8">
        <v>0</v>
      </c>
      <c r="E35708" s="8">
        <v>0</v>
      </c>
      <c r="F35708" s="8">
        <v>890</v>
      </c>
    </row>
    <row r="35709" spans="1:6" ht="12.75">
      <c r="A35709" s="8">
        <v>43888.462754629625</v>
      </c>
      <c r="B35709" s="8" t="str">
        <f>HYPERLINK("https://twitter.com/lerrycals","@lerrycals")</f>
        <v>@lerrycals</v>
      </c>
      <c r="C35709" s="8" t="s">
        <v>2941</v>
      </c>
      <c r="D35709" s="8">
        <v>1068</v>
      </c>
      <c r="E35709" s="8">
        <v>0</v>
      </c>
      <c r="F35709" s="8">
        <v>674</v>
      </c>
    </row>
    <row r="35710" spans="1:6" ht="12.75">
      <c r="A35710" s="8">
        <v>43888.462592592594</v>
      </c>
      <c r="B35710" s="8" t="str">
        <f>HYPERLINK("https://twitter.com/arjunakiriti","@arjunakiriti")</f>
        <v>@arjunakiriti</v>
      </c>
      <c r="C35710" s="8" t="s">
        <v>12730</v>
      </c>
      <c r="D35710" s="8">
        <v>3</v>
      </c>
      <c r="E35710" s="8">
        <v>0</v>
      </c>
      <c r="F35710" s="8">
        <v>385</v>
      </c>
    </row>
    <row r="35711" spans="1:6" ht="12.75">
      <c r="A35711" s="8">
        <v>43888.462523148148</v>
      </c>
      <c r="B35711" s="8" t="str">
        <f>HYPERLINK("https://twitter.com/unitednet2","@unitednet2")</f>
        <v>@unitednet2</v>
      </c>
      <c r="C35711" s="8" t="s">
        <v>13586</v>
      </c>
      <c r="D35711" s="8">
        <v>1</v>
      </c>
      <c r="E35711" s="8">
        <v>0</v>
      </c>
      <c r="F35711" s="8">
        <v>614</v>
      </c>
    </row>
    <row r="35712" spans="1:6" ht="12.75">
      <c r="A35712" s="8">
        <v>43888.462465277778</v>
      </c>
      <c r="B35712" s="8" t="str">
        <f>HYPERLINK("https://twitter.com/megslodon","@megslodon")</f>
        <v>@megslodon</v>
      </c>
      <c r="C35712" s="8" t="s">
        <v>13780</v>
      </c>
      <c r="D35712" s="8">
        <v>0</v>
      </c>
      <c r="E35712" s="8">
        <v>0</v>
      </c>
      <c r="F35712" s="8">
        <v>29</v>
      </c>
    </row>
    <row r="35713" spans="1:6" ht="12.75">
      <c r="A35713" s="8">
        <v>43888.462280092594</v>
      </c>
      <c r="B35713" s="8" t="str">
        <f>HYPERLINK("https://twitter.com/rasndeso","@rasndeso")</f>
        <v>@rasndeso</v>
      </c>
      <c r="C35713" s="8" t="s">
        <v>13781</v>
      </c>
      <c r="D35713" s="8">
        <v>0</v>
      </c>
      <c r="E35713" s="8">
        <v>0</v>
      </c>
      <c r="F35713" s="8">
        <v>14558</v>
      </c>
    </row>
    <row r="35714" spans="1:6" ht="12.75">
      <c r="A35714" s="8">
        <v>43888.462199074071</v>
      </c>
      <c r="B35714" s="8" t="str">
        <f>HYPERLINK("https://twitter.com/DjaritoSadewo","@DjaritoSadewo")</f>
        <v>@DjaritoSadewo</v>
      </c>
      <c r="C35714" s="8" t="s">
        <v>13782</v>
      </c>
      <c r="D35714" s="8">
        <v>0</v>
      </c>
      <c r="E35714" s="8">
        <v>0</v>
      </c>
      <c r="F35714" s="8">
        <v>1361</v>
      </c>
    </row>
    <row r="35715" spans="1:6" ht="12.75">
      <c r="A35715" s="8">
        <v>43888.462199074071</v>
      </c>
      <c r="B35715" s="8" t="str">
        <f>HYPERLINK("https://twitter.com/kondekturbus_","@kondekturbus_")</f>
        <v>@kondekturbus_</v>
      </c>
      <c r="C35715" s="8" t="s">
        <v>13783</v>
      </c>
      <c r="D35715" s="8">
        <v>0</v>
      </c>
      <c r="E35715" s="8">
        <v>0</v>
      </c>
      <c r="F35715" s="8">
        <v>14274</v>
      </c>
    </row>
    <row r="35716" spans="1:6" ht="12.75">
      <c r="A35716" s="8">
        <v>43888.462060185186</v>
      </c>
      <c r="B35716" s="8" t="str">
        <f>HYPERLINK("https://twitter.com/harakatuna","@harakatuna")</f>
        <v>@harakatuna</v>
      </c>
      <c r="C35716" s="8" t="s">
        <v>13737</v>
      </c>
      <c r="D35716" s="8">
        <v>0</v>
      </c>
      <c r="E35716" s="8">
        <v>0</v>
      </c>
      <c r="F35716" s="8">
        <v>412</v>
      </c>
    </row>
    <row r="35717" spans="1:6" ht="12.75">
      <c r="A35717" s="8">
        <v>43888.461909722224</v>
      </c>
      <c r="B35717" s="8" t="str">
        <f>HYPERLINK("https://twitter.com/Noviapakevbknp","@Noviapakevbknp")</f>
        <v>@Noviapakevbknp</v>
      </c>
      <c r="C35717" s="8" t="s">
        <v>11773</v>
      </c>
      <c r="D35717" s="8">
        <v>357</v>
      </c>
      <c r="E35717" s="8">
        <v>0</v>
      </c>
      <c r="F35717" s="8">
        <v>179</v>
      </c>
    </row>
    <row r="35718" spans="1:6" ht="12.75">
      <c r="A35718" s="8">
        <v>43888.461828703701</v>
      </c>
      <c r="B35718" s="8" t="str">
        <f>HYPERLINK("https://twitter.com/bejoaseli","@bejoaseli")</f>
        <v>@bejoaseli</v>
      </c>
      <c r="C35718" s="8" t="s">
        <v>11773</v>
      </c>
      <c r="D35718" s="8">
        <v>357</v>
      </c>
      <c r="E35718" s="8">
        <v>0</v>
      </c>
      <c r="F35718" s="8">
        <v>162</v>
      </c>
    </row>
    <row r="35719" spans="1:6" ht="12.75">
      <c r="A35719" s="8">
        <v>43888.461712962962</v>
      </c>
      <c r="B35719" s="8" t="str">
        <f>HYPERLINK("https://twitter.com/Ivone_RSZ","@Ivone_RSZ")</f>
        <v>@Ivone_RSZ</v>
      </c>
      <c r="C35719" s="8" t="s">
        <v>13784</v>
      </c>
      <c r="D35719" s="8">
        <v>3</v>
      </c>
      <c r="E35719" s="8">
        <v>4</v>
      </c>
      <c r="F35719" s="8">
        <v>17054</v>
      </c>
    </row>
    <row r="35720" spans="1:6" ht="12.75">
      <c r="A35720" s="8">
        <v>43888.461643518516</v>
      </c>
      <c r="B35720" s="8" t="str">
        <f>HYPERLINK("https://twitter.com/Dafi2708","@Dafi2708")</f>
        <v>@Dafi2708</v>
      </c>
      <c r="C35720" s="8" t="s">
        <v>13785</v>
      </c>
      <c r="D35720" s="8">
        <v>0</v>
      </c>
      <c r="E35720" s="8">
        <v>1</v>
      </c>
      <c r="F35720" s="8">
        <v>9</v>
      </c>
    </row>
    <row r="35721" spans="1:6" ht="12.75">
      <c r="A35721" s="8">
        <v>43888.461550925931</v>
      </c>
      <c r="B35721" s="8" t="str">
        <f>HYPERLINK("https://twitter.com/Bob91719138","@Bob91719138")</f>
        <v>@Bob91719138</v>
      </c>
      <c r="C35721" s="8" t="s">
        <v>13786</v>
      </c>
      <c r="D35721" s="8">
        <v>0</v>
      </c>
      <c r="E35721" s="8">
        <v>0</v>
      </c>
      <c r="F35721" s="8">
        <v>49</v>
      </c>
    </row>
    <row r="35722" spans="1:6" ht="12.75">
      <c r="A35722" s="8">
        <v>43888.461469907408</v>
      </c>
      <c r="B35722" s="8" t="str">
        <f>HYPERLINK("https://twitter.com/neezhae","@neezhae")</f>
        <v>@neezhae</v>
      </c>
      <c r="C35722" s="8" t="s">
        <v>6863</v>
      </c>
      <c r="D35722" s="8">
        <v>157</v>
      </c>
      <c r="E35722" s="8">
        <v>0</v>
      </c>
      <c r="F35722" s="8">
        <v>462</v>
      </c>
    </row>
    <row r="35723" spans="1:6" ht="12.75">
      <c r="A35723" s="8">
        <v>43888.461435185185</v>
      </c>
      <c r="B35723" s="8" t="str">
        <f>HYPERLINK("https://twitter.com/unitednet2","@unitednet2")</f>
        <v>@unitednet2</v>
      </c>
      <c r="C35723" s="8" t="s">
        <v>13587</v>
      </c>
      <c r="D35723" s="8">
        <v>1</v>
      </c>
      <c r="E35723" s="8">
        <v>0</v>
      </c>
      <c r="F35723" s="8">
        <v>614</v>
      </c>
    </row>
    <row r="35724" spans="1:6" ht="12.75">
      <c r="A35724" s="8">
        <v>43888.461377314816</v>
      </c>
      <c r="B35724" s="8" t="str">
        <f>HYPERLINK("https://twitter.com/wongmlaku","@wongmlaku")</f>
        <v>@wongmlaku</v>
      </c>
      <c r="C35724" s="8" t="s">
        <v>12052</v>
      </c>
      <c r="D35724" s="8">
        <v>51</v>
      </c>
      <c r="E35724" s="8">
        <v>0</v>
      </c>
      <c r="F35724" s="8">
        <v>6212</v>
      </c>
    </row>
    <row r="35725" spans="1:6" ht="12.75">
      <c r="A35725" s="8">
        <v>43888.461342592593</v>
      </c>
      <c r="B35725" s="8" t="str">
        <f>HYPERLINK("https://twitter.com/CNNIDdaily","@CNNIDdaily")</f>
        <v>@CNNIDdaily</v>
      </c>
      <c r="C35725" s="8" t="s">
        <v>13787</v>
      </c>
      <c r="D35725" s="8">
        <v>0</v>
      </c>
      <c r="E35725" s="8">
        <v>1</v>
      </c>
      <c r="F35725" s="8">
        <v>119347</v>
      </c>
    </row>
    <row r="35726" spans="1:6" ht="12.75">
      <c r="A35726" s="8">
        <v>43888.461099537039</v>
      </c>
      <c r="B35726" s="8" t="str">
        <f>HYPERLINK("https://twitter.com/LBLiok","@LBLiok")</f>
        <v>@LBLiok</v>
      </c>
      <c r="C35726" s="8" t="s">
        <v>12052</v>
      </c>
      <c r="D35726" s="8">
        <v>51</v>
      </c>
      <c r="E35726" s="8">
        <v>0</v>
      </c>
      <c r="F35726" s="8">
        <v>2258</v>
      </c>
    </row>
    <row r="35727" spans="1:6" ht="12.75">
      <c r="A35727" s="8">
        <v>43888.460879629631</v>
      </c>
      <c r="B35727" s="8" t="str">
        <f>HYPERLINK("https://twitter.com/ricosiswandi","@ricosiswandi")</f>
        <v>@ricosiswandi</v>
      </c>
      <c r="C35727" s="8" t="s">
        <v>12052</v>
      </c>
      <c r="D35727" s="8">
        <v>51</v>
      </c>
      <c r="E35727" s="8">
        <v>0</v>
      </c>
      <c r="F35727" s="8">
        <v>2491</v>
      </c>
    </row>
    <row r="35728" spans="1:6" ht="12.75">
      <c r="A35728" s="8">
        <v>43888.460682870369</v>
      </c>
      <c r="B35728" s="8" t="str">
        <f>HYPERLINK("https://twitter.com/MarcoHexC","@MarcoHexC")</f>
        <v>@MarcoHexC</v>
      </c>
      <c r="C35728" s="8" t="s">
        <v>13788</v>
      </c>
      <c r="D35728" s="8">
        <v>0</v>
      </c>
      <c r="E35728" s="8">
        <v>0</v>
      </c>
      <c r="F35728" s="8">
        <v>29</v>
      </c>
    </row>
    <row r="35729" spans="1:6" ht="12.75">
      <c r="A35729" s="8">
        <v>43888.460405092592</v>
      </c>
      <c r="B35729" s="8" t="str">
        <f>HYPERLINK("https://twitter.com/nagomi_mix","@nagomi_mix")</f>
        <v>@nagomi_mix</v>
      </c>
      <c r="C35729" s="8" t="s">
        <v>2940</v>
      </c>
      <c r="D35729" s="8">
        <v>2674</v>
      </c>
      <c r="E35729" s="8">
        <v>0</v>
      </c>
      <c r="F35729" s="8">
        <v>594</v>
      </c>
    </row>
    <row r="35730" spans="1:6" ht="12.75">
      <c r="A35730" s="8">
        <v>43888.460347222222</v>
      </c>
      <c r="B35730" s="8" t="str">
        <f>HYPERLINK("https://twitter.com/Colly00754391","@Colly00754391")</f>
        <v>@Colly00754391</v>
      </c>
      <c r="C35730" s="8" t="s">
        <v>13789</v>
      </c>
      <c r="D35730" s="8">
        <v>0</v>
      </c>
      <c r="E35730" s="8">
        <v>0</v>
      </c>
      <c r="F35730" s="8">
        <v>0</v>
      </c>
    </row>
    <row r="35731" spans="1:6" ht="12.75">
      <c r="A35731" s="8">
        <v>43888.46025462963</v>
      </c>
      <c r="B35731" s="8" t="str">
        <f>HYPERLINK("https://twitter.com/Ivone_RSZ","@Ivone_RSZ")</f>
        <v>@Ivone_RSZ</v>
      </c>
      <c r="C35731" s="8" t="s">
        <v>11773</v>
      </c>
      <c r="D35731" s="8">
        <v>357</v>
      </c>
      <c r="E35731" s="8">
        <v>0</v>
      </c>
      <c r="F35731" s="8">
        <v>17054</v>
      </c>
    </row>
    <row r="35732" spans="1:6" ht="12.75">
      <c r="A35732" s="8">
        <v>43888.460162037038</v>
      </c>
      <c r="B35732" s="8" t="str">
        <f>HYPERLINK("https://twitter.com/Seuilli","@Seuilli")</f>
        <v>@Seuilli</v>
      </c>
      <c r="C35732" s="8" t="s">
        <v>12827</v>
      </c>
      <c r="D35732" s="8">
        <v>6</v>
      </c>
      <c r="E35732" s="8">
        <v>0</v>
      </c>
      <c r="F35732" s="8">
        <v>419</v>
      </c>
    </row>
    <row r="35733" spans="1:6" ht="12.75">
      <c r="A35733" s="8">
        <v>43888.460115740745</v>
      </c>
      <c r="B35733" s="8" t="str">
        <f>HYPERLINK("https://twitter.com/Ivone_RSZ","@Ivone_RSZ")</f>
        <v>@Ivone_RSZ</v>
      </c>
      <c r="C35733" s="8" t="s">
        <v>12052</v>
      </c>
      <c r="D35733" s="8">
        <v>51</v>
      </c>
      <c r="E35733" s="8">
        <v>0</v>
      </c>
      <c r="F35733" s="8">
        <v>17054</v>
      </c>
    </row>
    <row r="35734" spans="1:6" ht="12.75">
      <c r="A35734" s="8">
        <v>43888.459988425922</v>
      </c>
      <c r="B35734" s="8" t="str">
        <f>HYPERLINK("https://twitter.com/CNNIDdaily","@CNNIDdaily")</f>
        <v>@CNNIDdaily</v>
      </c>
      <c r="C35734" s="8" t="s">
        <v>13790</v>
      </c>
      <c r="D35734" s="8">
        <v>0</v>
      </c>
      <c r="E35734" s="8">
        <v>0</v>
      </c>
      <c r="F35734" s="8">
        <v>119347</v>
      </c>
    </row>
    <row r="35735" spans="1:6" ht="12.75">
      <c r="A35735" s="8">
        <v>43888.459606481483</v>
      </c>
      <c r="B35735" s="8" t="str">
        <f>HYPERLINK("https://twitter.com/WSetyorini2","@WSetyorini2")</f>
        <v>@WSetyorini2</v>
      </c>
      <c r="C35735" s="8" t="s">
        <v>13791</v>
      </c>
      <c r="D35735" s="8">
        <v>1</v>
      </c>
      <c r="E35735" s="8">
        <v>0</v>
      </c>
      <c r="F35735" s="8">
        <v>1165</v>
      </c>
    </row>
    <row r="35736" spans="1:6" ht="12.75">
      <c r="A35736" s="8">
        <v>43888.45958333333</v>
      </c>
      <c r="B35736" s="8" t="str">
        <f>HYPERLINK("https://twitter.com/V7Tara","@V7Tara")</f>
        <v>@V7Tara</v>
      </c>
      <c r="C35736" s="8" t="s">
        <v>13792</v>
      </c>
      <c r="D35736" s="8">
        <v>0</v>
      </c>
      <c r="E35736" s="8">
        <v>0</v>
      </c>
      <c r="F35736" s="8">
        <v>0</v>
      </c>
    </row>
    <row r="35737" spans="1:6" ht="12.75">
      <c r="A35737" s="8">
        <v>43888.459467592591</v>
      </c>
      <c r="B35737" s="8" t="str">
        <f>HYPERLINK("https://twitter.com/BorneoMAX8000","@BorneoMAX8000")</f>
        <v>@BorneoMAX8000</v>
      </c>
      <c r="C35737" s="8" t="s">
        <v>12972</v>
      </c>
      <c r="D35737" s="8">
        <v>21</v>
      </c>
      <c r="E35737" s="8">
        <v>0</v>
      </c>
      <c r="F35737" s="8">
        <v>3084</v>
      </c>
    </row>
    <row r="35738" spans="1:6" ht="12.75">
      <c r="A35738" s="8">
        <v>43888.458923611106</v>
      </c>
      <c r="B35738" s="8" t="str">
        <f>HYPERLINK("https://twitter.com/divaratnasita","@divaratnasita")</f>
        <v>@divaratnasita</v>
      </c>
      <c r="C35738" s="8" t="s">
        <v>13793</v>
      </c>
      <c r="D35738" s="8">
        <v>1</v>
      </c>
      <c r="E35738" s="8">
        <v>0</v>
      </c>
      <c r="F35738" s="8">
        <v>56</v>
      </c>
    </row>
    <row r="35739" spans="1:6" ht="12.75">
      <c r="A35739" s="8">
        <v>43888.458692129629</v>
      </c>
      <c r="B35739" s="8" t="str">
        <f>HYPERLINK("https://twitter.com/amigoshh","@amigoshh")</f>
        <v>@amigoshh</v>
      </c>
      <c r="C35739" s="8" t="s">
        <v>13633</v>
      </c>
      <c r="D35739" s="8">
        <v>74</v>
      </c>
      <c r="E35739" s="8">
        <v>0</v>
      </c>
      <c r="F35739" s="8">
        <v>604</v>
      </c>
    </row>
    <row r="35740" spans="1:6" ht="12.75">
      <c r="A35740" s="8">
        <v>43888.458668981482</v>
      </c>
      <c r="B35740" s="8" t="str">
        <f>HYPERLINK("https://twitter.com/hernandakp_","@hernandakp_")</f>
        <v>@hernandakp_</v>
      </c>
      <c r="C35740" s="8" t="s">
        <v>12406</v>
      </c>
      <c r="D35740" s="8">
        <v>113</v>
      </c>
      <c r="E35740" s="8">
        <v>0</v>
      </c>
      <c r="F35740" s="8">
        <v>428</v>
      </c>
    </row>
    <row r="35741" spans="1:6" ht="12.75">
      <c r="A35741" s="8">
        <v>43888.458645833336</v>
      </c>
      <c r="B35741" s="8" t="str">
        <f>HYPERLINK("https://twitter.com/imanhardianto","@imanhardianto")</f>
        <v>@imanhardianto</v>
      </c>
      <c r="C35741" s="8" t="s">
        <v>13794</v>
      </c>
      <c r="D35741" s="8">
        <v>0</v>
      </c>
      <c r="E35741" s="8">
        <v>0</v>
      </c>
      <c r="F35741" s="8">
        <v>527</v>
      </c>
    </row>
    <row r="35742" spans="1:6" ht="12.75">
      <c r="A35742" s="8">
        <v>43888.458391203705</v>
      </c>
      <c r="B35742" s="8" t="str">
        <f>HYPERLINK("https://twitter.com/BobbyIrwanda","@BobbyIrwanda")</f>
        <v>@BobbyIrwanda</v>
      </c>
      <c r="C35742" s="8" t="s">
        <v>12815</v>
      </c>
      <c r="D35742" s="8">
        <v>3</v>
      </c>
      <c r="E35742" s="8">
        <v>0</v>
      </c>
      <c r="F35742" s="8">
        <v>1662</v>
      </c>
    </row>
    <row r="35743" spans="1:6" ht="12.75">
      <c r="A35743" s="8">
        <v>43888.458333333328</v>
      </c>
      <c r="B35743" s="8" t="str">
        <f>HYPERLINK("https://twitter.com/GTVID_News","@GTVID_News")</f>
        <v>@GTVID_News</v>
      </c>
      <c r="C35743" s="8" t="s">
        <v>13795</v>
      </c>
      <c r="D35743" s="8">
        <v>0</v>
      </c>
      <c r="E35743" s="8">
        <v>0</v>
      </c>
      <c r="F35743" s="8">
        <v>10806</v>
      </c>
    </row>
    <row r="35744" spans="1:6" ht="12.75">
      <c r="A35744" s="8">
        <v>43888.458148148144</v>
      </c>
      <c r="B35744" s="8" t="str">
        <f>HYPERLINK("https://twitter.com/dwiyanaDKM","@dwiyanaDKM")</f>
        <v>@dwiyanaDKM</v>
      </c>
      <c r="C35744" s="8" t="s">
        <v>13370</v>
      </c>
      <c r="D35744" s="8">
        <v>9</v>
      </c>
      <c r="E35744" s="8">
        <v>0</v>
      </c>
      <c r="F35744" s="8">
        <v>1949</v>
      </c>
    </row>
    <row r="35745" spans="1:6" ht="12.75">
      <c r="A35745" s="8">
        <v>43888.458148148144</v>
      </c>
      <c r="B35745" s="8" t="str">
        <f>HYPERLINK("https://twitter.com/yohanesaries_","@yohanesaries_")</f>
        <v>@yohanesaries_</v>
      </c>
      <c r="C35745" s="8" t="s">
        <v>12406</v>
      </c>
      <c r="D35745" s="8">
        <v>113</v>
      </c>
      <c r="E35745" s="8">
        <v>0</v>
      </c>
      <c r="F35745" s="8">
        <v>631</v>
      </c>
    </row>
    <row r="35746" spans="1:6" ht="12.75">
      <c r="A35746" s="8">
        <v>43888.458113425921</v>
      </c>
      <c r="B35746" s="8" t="str">
        <f>HYPERLINK("https://twitter.com/mocacinno2","@mocacinno2")</f>
        <v>@mocacinno2</v>
      </c>
      <c r="C35746" s="8" t="s">
        <v>13495</v>
      </c>
      <c r="D35746" s="8">
        <v>13</v>
      </c>
      <c r="E35746" s="8">
        <v>0</v>
      </c>
      <c r="F35746" s="8">
        <v>84</v>
      </c>
    </row>
    <row r="35747" spans="1:6" ht="12.75">
      <c r="A35747" s="8">
        <v>43888.457997685182</v>
      </c>
      <c r="B35747" s="8" t="str">
        <f>HYPERLINK("https://twitter.com/satria_preda","@satria_preda")</f>
        <v>@satria_preda</v>
      </c>
      <c r="C35747" s="8" t="s">
        <v>13796</v>
      </c>
      <c r="D35747" s="8">
        <v>0</v>
      </c>
      <c r="E35747" s="8">
        <v>0</v>
      </c>
      <c r="F35747" s="8">
        <v>269</v>
      </c>
    </row>
    <row r="35748" spans="1:6" ht="12.75">
      <c r="A35748" s="8">
        <v>43888.457916666666</v>
      </c>
      <c r="B35748" s="8" t="str">
        <f>HYPERLINK("https://twitter.com/WSetyorini2","@WSetyorini2")</f>
        <v>@WSetyorini2</v>
      </c>
      <c r="C35748" s="8" t="s">
        <v>13797</v>
      </c>
      <c r="D35748" s="8">
        <v>1</v>
      </c>
      <c r="E35748" s="8">
        <v>0</v>
      </c>
      <c r="F35748" s="8">
        <v>1165</v>
      </c>
    </row>
    <row r="35749" spans="1:6" ht="12.75">
      <c r="A35749" s="8">
        <v>43888.457881944443</v>
      </c>
      <c r="B35749" s="8" t="str">
        <f>HYPERLINK("https://twitter.com/weddie_s","@weddie_s")</f>
        <v>@weddie_s</v>
      </c>
      <c r="C35749" s="8" t="s">
        <v>12827</v>
      </c>
      <c r="D35749" s="8">
        <v>6</v>
      </c>
      <c r="E35749" s="8">
        <v>0</v>
      </c>
      <c r="F35749" s="8">
        <v>2784</v>
      </c>
    </row>
    <row r="35750" spans="1:6" ht="12.75">
      <c r="A35750" s="8">
        <v>43888.457696759258</v>
      </c>
      <c r="B35750" s="8" t="str">
        <f>HYPERLINK("https://twitter.com/Susanto13895819","@Susanto13895819")</f>
        <v>@Susanto13895819</v>
      </c>
      <c r="C35750" s="8" t="s">
        <v>13798</v>
      </c>
      <c r="D35750" s="8">
        <v>2</v>
      </c>
      <c r="E35750" s="8">
        <v>0</v>
      </c>
      <c r="F35750" s="8">
        <v>459</v>
      </c>
    </row>
    <row r="35751" spans="1:6" ht="12.75">
      <c r="A35751" s="8">
        <v>43888.457696759258</v>
      </c>
      <c r="B35751" s="8" t="str">
        <f>HYPERLINK("https://twitter.com/Annelis61402101","@Annelis61402101")</f>
        <v>@Annelis61402101</v>
      </c>
      <c r="C35751" s="8" t="s">
        <v>11773</v>
      </c>
      <c r="D35751" s="8">
        <v>357</v>
      </c>
      <c r="E35751" s="8">
        <v>0</v>
      </c>
      <c r="F35751" s="8">
        <v>4</v>
      </c>
    </row>
    <row r="35752" spans="1:6" ht="12.75">
      <c r="A35752" s="8">
        <v>43888.457638888889</v>
      </c>
      <c r="B35752" s="8" t="str">
        <f>HYPERLINK("https://twitter.com/GoTotheJek","@GoTotheJek")</f>
        <v>@GoTotheJek</v>
      </c>
      <c r="C35752" s="8" t="s">
        <v>12406</v>
      </c>
      <c r="D35752" s="8">
        <v>113</v>
      </c>
      <c r="E35752" s="8">
        <v>0</v>
      </c>
      <c r="F35752" s="8">
        <v>771</v>
      </c>
    </row>
    <row r="35753" spans="1:6" ht="12.75">
      <c r="A35753" s="8">
        <v>43888.457592592589</v>
      </c>
      <c r="B35753" s="8" t="str">
        <f>HYPERLINK("https://twitter.com/IdNaluri","@IdNaluri")</f>
        <v>@IdNaluri</v>
      </c>
      <c r="C35753" s="8" t="s">
        <v>13799</v>
      </c>
      <c r="D35753" s="8">
        <v>0</v>
      </c>
      <c r="E35753" s="8">
        <v>0</v>
      </c>
      <c r="F35753" s="8">
        <v>6</v>
      </c>
    </row>
    <row r="35754" spans="1:6" ht="12.75">
      <c r="A35754" s="8">
        <v>43888.457465277781</v>
      </c>
      <c r="B35754" s="8" t="str">
        <f>HYPERLINK("https://twitter.com/byBima_","@byBima_")</f>
        <v>@byBima_</v>
      </c>
      <c r="C35754" s="8" t="s">
        <v>12827</v>
      </c>
      <c r="D35754" s="8">
        <v>6</v>
      </c>
      <c r="E35754" s="8">
        <v>0</v>
      </c>
      <c r="F35754" s="8">
        <v>51</v>
      </c>
    </row>
    <row r="35755" spans="1:6" ht="12.75">
      <c r="A35755" s="8">
        <v>43888.457465277781</v>
      </c>
      <c r="B35755" s="8" t="str">
        <f>HYPERLINK("https://twitter.com/republikaonline","@republikaonline")</f>
        <v>@republikaonline</v>
      </c>
      <c r="C35755" s="8" t="s">
        <v>13800</v>
      </c>
      <c r="D35755" s="8">
        <v>0</v>
      </c>
      <c r="E35755" s="8">
        <v>0</v>
      </c>
      <c r="F35755" s="8">
        <v>1214480</v>
      </c>
    </row>
    <row r="35756" spans="1:6" ht="12.75">
      <c r="A35756" s="8">
        <v>43888.45721064815</v>
      </c>
      <c r="B35756" s="8" t="str">
        <f>HYPERLINK("https://twitter.com/Nkrikuindonesi8","@Nkrikuindonesi8")</f>
        <v>@Nkrikuindonesi8</v>
      </c>
      <c r="C35756" s="8" t="s">
        <v>11773</v>
      </c>
      <c r="D35756" s="8">
        <v>357</v>
      </c>
      <c r="E35756" s="8">
        <v>0</v>
      </c>
      <c r="F35756" s="8">
        <v>137</v>
      </c>
    </row>
    <row r="35757" spans="1:6" ht="12.75">
      <c r="A35757" s="8">
        <v>43888.457106481481</v>
      </c>
      <c r="B35757" s="8" t="str">
        <f>HYPERLINK("https://twitter.com/RinjaniJB","@RinjaniJB")</f>
        <v>@RinjaniJB</v>
      </c>
      <c r="C35757" s="8" t="s">
        <v>13801</v>
      </c>
      <c r="D35757" s="8">
        <v>0</v>
      </c>
      <c r="E35757" s="8">
        <v>0</v>
      </c>
      <c r="F35757" s="8">
        <v>19234</v>
      </c>
    </row>
    <row r="35758" spans="1:6" ht="12.75">
      <c r="A35758" s="8">
        <v>43888.456747685181</v>
      </c>
      <c r="B35758" s="8" t="str">
        <f>HYPERLINK("https://twitter.com/primaagus30894","@primaagus30894")</f>
        <v>@primaagus30894</v>
      </c>
      <c r="C35758" s="8" t="s">
        <v>13802</v>
      </c>
      <c r="D35758" s="8">
        <v>0</v>
      </c>
      <c r="E35758" s="8">
        <v>0</v>
      </c>
      <c r="F35758" s="8">
        <v>34</v>
      </c>
    </row>
    <row r="35759" spans="1:6" ht="12.75">
      <c r="A35759" s="8">
        <v>43888.456678240742</v>
      </c>
      <c r="B35759" s="8" t="str">
        <f>HYPERLINK("https://twitter.com/faridz_rasyid","@faridz_rasyid")</f>
        <v>@faridz_rasyid</v>
      </c>
      <c r="C35759" s="8" t="s">
        <v>6863</v>
      </c>
      <c r="D35759" s="8">
        <v>157</v>
      </c>
      <c r="E35759" s="8">
        <v>0</v>
      </c>
      <c r="F35759" s="8">
        <v>611</v>
      </c>
    </row>
    <row r="35760" spans="1:6" ht="12.75">
      <c r="A35760" s="8">
        <v>43888.456412037034</v>
      </c>
      <c r="B35760" s="8" t="str">
        <f>HYPERLINK("https://twitter.com/99garislucu","@99garislucu")</f>
        <v>@99garislucu</v>
      </c>
      <c r="C35760" s="8" t="s">
        <v>12827</v>
      </c>
      <c r="D35760" s="8">
        <v>6</v>
      </c>
      <c r="E35760" s="8">
        <v>0</v>
      </c>
      <c r="F35760" s="8">
        <v>976</v>
      </c>
    </row>
    <row r="35761" spans="1:6" ht="12.75">
      <c r="A35761" s="8">
        <v>43888.456261574072</v>
      </c>
      <c r="B35761" s="8" t="str">
        <f>HYPERLINK("https://twitter.com/Chichisoebroto","@Chichisoebroto")</f>
        <v>@Chichisoebroto</v>
      </c>
      <c r="C35761" s="8" t="s">
        <v>12827</v>
      </c>
      <c r="D35761" s="8">
        <v>6</v>
      </c>
      <c r="E35761" s="8">
        <v>0</v>
      </c>
      <c r="F35761" s="8">
        <v>1375</v>
      </c>
    </row>
    <row r="35762" spans="1:6" ht="12.75">
      <c r="A35762" s="8">
        <v>43888.455879629633</v>
      </c>
      <c r="B35762" s="8" t="str">
        <f>HYPERLINK("https://twitter.com/Cokro_Amijoyo","@Cokro_Amijoyo")</f>
        <v>@Cokro_Amijoyo</v>
      </c>
      <c r="C35762" s="8" t="s">
        <v>13803</v>
      </c>
      <c r="D35762" s="8">
        <v>0</v>
      </c>
      <c r="E35762" s="8">
        <v>2</v>
      </c>
      <c r="F35762" s="8">
        <v>3199</v>
      </c>
    </row>
    <row r="35763" spans="1:6" ht="12.75">
      <c r="A35763" s="8">
        <v>43888.455821759257</v>
      </c>
      <c r="B35763" s="8" t="str">
        <f>HYPERLINK("https://twitter.com/okadnyane","@okadnyane")</f>
        <v>@okadnyane</v>
      </c>
      <c r="C35763" s="8" t="s">
        <v>13804</v>
      </c>
      <c r="D35763" s="8">
        <v>0</v>
      </c>
      <c r="E35763" s="8">
        <v>0</v>
      </c>
      <c r="F35763" s="8">
        <v>9</v>
      </c>
    </row>
    <row r="35764" spans="1:6" ht="12.75">
      <c r="A35764" s="8">
        <v>43888.455752314811</v>
      </c>
      <c r="B35764" s="8" t="str">
        <f>HYPERLINK("https://twitter.com/pakBuena","@pakBuena")</f>
        <v>@pakBuena</v>
      </c>
      <c r="C35764" s="8" t="s">
        <v>13805</v>
      </c>
      <c r="D35764" s="8">
        <v>0</v>
      </c>
      <c r="E35764" s="8">
        <v>0</v>
      </c>
      <c r="F35764" s="8">
        <v>423</v>
      </c>
    </row>
    <row r="35765" spans="1:6" ht="12.75">
      <c r="A35765" s="8">
        <v>43888.455474537041</v>
      </c>
      <c r="B35765" s="8" t="str">
        <f>HYPERLINK("https://twitter.com/dowhatmakesyou4","@dowhatmakesyou4")</f>
        <v>@dowhatmakesyou4</v>
      </c>
      <c r="C35765" s="8" t="s">
        <v>13806</v>
      </c>
      <c r="D35765" s="8">
        <v>2</v>
      </c>
      <c r="E35765" s="8">
        <v>0</v>
      </c>
      <c r="F35765" s="8">
        <v>17</v>
      </c>
    </row>
    <row r="35766" spans="1:6" ht="12.75">
      <c r="A35766" s="8">
        <v>43888.455439814818</v>
      </c>
      <c r="B35766" s="8" t="str">
        <f>HYPERLINK("https://twitter.com/Izznaq","@Izznaq")</f>
        <v>@Izznaq</v>
      </c>
      <c r="C35766" s="8" t="s">
        <v>12827</v>
      </c>
      <c r="D35766" s="8">
        <v>6</v>
      </c>
      <c r="E35766" s="8">
        <v>0</v>
      </c>
      <c r="F35766" s="8">
        <v>892</v>
      </c>
    </row>
    <row r="35767" spans="1:6" ht="12.75">
      <c r="A35767" s="8">
        <v>43888.455208333333</v>
      </c>
      <c r="B35767" s="8" t="str">
        <f>HYPERLINK("https://twitter.com/catore_wahh","@catore_wahh")</f>
        <v>@catore_wahh</v>
      </c>
      <c r="C35767" s="8" t="s">
        <v>11773</v>
      </c>
      <c r="D35767" s="8">
        <v>357</v>
      </c>
      <c r="E35767" s="8">
        <v>0</v>
      </c>
      <c r="F35767" s="8">
        <v>162</v>
      </c>
    </row>
    <row r="35768" spans="1:6" ht="12.75">
      <c r="A35768" s="8">
        <v>43888.455208333333</v>
      </c>
      <c r="B35768" s="8" t="str">
        <f>HYPERLINK("https://twitter.com/diar_ilman","@diar_ilman")</f>
        <v>@diar_ilman</v>
      </c>
      <c r="C35768" s="8" t="s">
        <v>6863</v>
      </c>
      <c r="D35768" s="8">
        <v>157</v>
      </c>
      <c r="E35768" s="8">
        <v>0</v>
      </c>
      <c r="F35768" s="8">
        <v>43</v>
      </c>
    </row>
    <row r="35769" spans="1:6" ht="12.75">
      <c r="A35769" s="8">
        <v>43888.455023148148</v>
      </c>
      <c r="B35769" s="8" t="str">
        <f>HYPERLINK("https://twitter.com/Elina_Vay","@Elina_Vay")</f>
        <v>@Elina_Vay</v>
      </c>
      <c r="C35769" s="8" t="s">
        <v>13807</v>
      </c>
      <c r="D35769" s="8">
        <v>6</v>
      </c>
      <c r="E35769" s="8">
        <v>18</v>
      </c>
      <c r="F35769" s="8">
        <v>21432</v>
      </c>
    </row>
    <row r="35770" spans="1:6" ht="12.75">
      <c r="A35770" s="8">
        <v>43888.455023148148</v>
      </c>
      <c r="B35770" s="8" t="str">
        <f>HYPERLINK("https://twitter.com/UstianaRestian","@UstianaRestian")</f>
        <v>@UstianaRestian</v>
      </c>
      <c r="C35770" s="8" t="s">
        <v>13808</v>
      </c>
      <c r="D35770" s="8">
        <v>0</v>
      </c>
      <c r="E35770" s="8">
        <v>0</v>
      </c>
      <c r="F35770" s="8">
        <v>609</v>
      </c>
    </row>
    <row r="35771" spans="1:6" ht="12.75">
      <c r="A35771" s="8">
        <v>43888.454710648148</v>
      </c>
      <c r="B35771" s="8" t="str">
        <f>HYPERLINK("https://twitter.com/ribedL0e","@ribedL0e")</f>
        <v>@ribedL0e</v>
      </c>
      <c r="C35771" s="8" t="s">
        <v>13809</v>
      </c>
      <c r="D35771" s="8">
        <v>0</v>
      </c>
      <c r="E35771" s="8">
        <v>0</v>
      </c>
      <c r="F35771" s="8">
        <v>43</v>
      </c>
    </row>
    <row r="35772" spans="1:6" ht="12.75">
      <c r="A35772" s="8">
        <v>43888.454062500001</v>
      </c>
      <c r="B35772" s="8" t="str">
        <f>HYPERLINK("https://twitter.com/denniyoga","@denniyoga")</f>
        <v>@denniyoga</v>
      </c>
      <c r="C35772" s="8" t="s">
        <v>6863</v>
      </c>
      <c r="D35772" s="8">
        <v>157</v>
      </c>
      <c r="E35772" s="8">
        <v>0</v>
      </c>
      <c r="F35772" s="8">
        <v>259</v>
      </c>
    </row>
    <row r="35773" spans="1:6" ht="12.75">
      <c r="A35773" s="8">
        <v>43888.453831018516</v>
      </c>
      <c r="B35773" s="8" t="str">
        <f>HYPERLINK("https://twitter.com/okadnyane","@okadnyane")</f>
        <v>@okadnyane</v>
      </c>
      <c r="C35773" s="8" t="s">
        <v>13810</v>
      </c>
      <c r="D35773" s="8">
        <v>0</v>
      </c>
      <c r="E35773" s="8">
        <v>0</v>
      </c>
      <c r="F35773" s="8">
        <v>9</v>
      </c>
    </row>
    <row r="35774" spans="1:6" ht="12.75">
      <c r="A35774" s="8">
        <v>43888.453738425931</v>
      </c>
      <c r="B35774" s="8" t="str">
        <f>HYPERLINK("https://twitter.com/vickydarmawan_","@vickydarmawan_")</f>
        <v>@vickydarmawan_</v>
      </c>
      <c r="C35774" s="8" t="s">
        <v>2941</v>
      </c>
      <c r="D35774" s="8">
        <v>1068</v>
      </c>
      <c r="E35774" s="8">
        <v>0</v>
      </c>
      <c r="F35774" s="8">
        <v>143</v>
      </c>
    </row>
    <row r="35775" spans="1:6" ht="12.75">
      <c r="A35775" s="8">
        <v>43888.453622685185</v>
      </c>
      <c r="B35775" s="8" t="str">
        <f>HYPERLINK("https://twitter.com/ludowidadya19","@ludowidadya19")</f>
        <v>@ludowidadya19</v>
      </c>
      <c r="C35775" s="8" t="s">
        <v>13806</v>
      </c>
      <c r="D35775" s="8">
        <v>2</v>
      </c>
      <c r="E35775" s="8">
        <v>0</v>
      </c>
      <c r="F35775" s="8">
        <v>16</v>
      </c>
    </row>
    <row r="35776" spans="1:6" ht="12.75">
      <c r="A35776" s="8">
        <v>43888.453333333338</v>
      </c>
      <c r="B35776" s="8" t="str">
        <f>HYPERLINK("https://twitter.com/elshinta_smg","@elshinta_smg")</f>
        <v>@elshinta_smg</v>
      </c>
      <c r="C35776" s="8" t="s">
        <v>13811</v>
      </c>
      <c r="D35776" s="8">
        <v>0</v>
      </c>
      <c r="E35776" s="8">
        <v>0</v>
      </c>
      <c r="F35776" s="8">
        <v>3773</v>
      </c>
    </row>
    <row r="35777" spans="1:6" ht="12.75">
      <c r="A35777" s="8">
        <v>43888.453229166669</v>
      </c>
      <c r="B35777" s="8" t="str">
        <f>HYPERLINK("https://twitter.com/psychosaligia","@psychosaligia")</f>
        <v>@psychosaligia</v>
      </c>
      <c r="C35777" s="8" t="s">
        <v>12406</v>
      </c>
      <c r="D35777" s="8">
        <v>113</v>
      </c>
      <c r="E35777" s="8">
        <v>0</v>
      </c>
      <c r="F35777" s="8">
        <v>75</v>
      </c>
    </row>
    <row r="35778" spans="1:6" ht="12.75">
      <c r="A35778" s="8">
        <v>43888.45311342593</v>
      </c>
      <c r="B35778" s="8" t="str">
        <f>HYPERLINK("https://twitter.com/EL_Atheos","@EL_Atheos")</f>
        <v>@EL_Atheos</v>
      </c>
      <c r="C35778" s="8" t="s">
        <v>13812</v>
      </c>
      <c r="D35778" s="8">
        <v>0</v>
      </c>
      <c r="E35778" s="8">
        <v>0</v>
      </c>
      <c r="F35778" s="8">
        <v>2481</v>
      </c>
    </row>
    <row r="35779" spans="1:6" ht="12.75">
      <c r="A35779" s="8">
        <v>43888.452986111108</v>
      </c>
      <c r="B35779" s="8" t="str">
        <f>HYPERLINK("https://twitter.com/SatyaJogja_","@SatyaJogja_")</f>
        <v>@SatyaJogja_</v>
      </c>
      <c r="C35779" s="8" t="s">
        <v>13813</v>
      </c>
      <c r="D35779" s="8">
        <v>0</v>
      </c>
      <c r="E35779" s="8">
        <v>0</v>
      </c>
      <c r="F35779" s="8">
        <v>5276</v>
      </c>
    </row>
    <row r="35780" spans="1:6" ht="12.75">
      <c r="A35780" s="8">
        <v>43888.452986111108</v>
      </c>
      <c r="B35780" s="8" t="str">
        <f>HYPERLINK("https://twitter.com/AnakKolong___","@AnakKolong___")</f>
        <v>@AnakKolong___</v>
      </c>
      <c r="C35780" s="8" t="s">
        <v>13798</v>
      </c>
      <c r="D35780" s="8">
        <v>2</v>
      </c>
      <c r="E35780" s="8">
        <v>0</v>
      </c>
      <c r="F35780" s="8">
        <v>7075</v>
      </c>
    </row>
    <row r="35781" spans="1:6" ht="12.75">
      <c r="A35781" s="8">
        <v>43888.452916666662</v>
      </c>
      <c r="B35781" s="8" t="str">
        <f>HYPERLINK("https://twitter.com/WidiaRiyad","@WidiaRiyad")</f>
        <v>@WidiaRiyad</v>
      </c>
      <c r="C35781" s="8" t="s">
        <v>13814</v>
      </c>
      <c r="D35781" s="8">
        <v>0</v>
      </c>
      <c r="E35781" s="8">
        <v>0</v>
      </c>
      <c r="F35781" s="8">
        <v>677</v>
      </c>
    </row>
    <row r="35782" spans="1:6" ht="12.75">
      <c r="A35782" s="8">
        <v>43888.452870370369</v>
      </c>
      <c r="B35782" s="8" t="str">
        <f>HYPERLINK("https://twitter.com/JunizarT","@JunizarT")</f>
        <v>@JunizarT</v>
      </c>
      <c r="C35782" s="8" t="s">
        <v>13815</v>
      </c>
      <c r="D35782" s="8">
        <v>1</v>
      </c>
      <c r="E35782" s="8">
        <v>0</v>
      </c>
      <c r="F35782" s="8">
        <v>642</v>
      </c>
    </row>
    <row r="35783" spans="1:6" ht="12.75">
      <c r="A35783" s="8">
        <v>43888.4528587963</v>
      </c>
      <c r="B35783" s="8" t="str">
        <f>HYPERLINK("https://twitter.com/raz0rsoft_","@raz0rsoft_")</f>
        <v>@raz0rsoft_</v>
      </c>
      <c r="C35783" s="8" t="s">
        <v>13816</v>
      </c>
      <c r="D35783" s="8">
        <v>0</v>
      </c>
      <c r="E35783" s="8">
        <v>0</v>
      </c>
      <c r="F35783" s="8">
        <v>171</v>
      </c>
    </row>
    <row r="35784" spans="1:6" ht="12.75">
      <c r="A35784" s="8">
        <v>43888.452685185184</v>
      </c>
      <c r="B35784" s="8" t="str">
        <f>HYPERLINK("https://twitter.com/Siskafransiscal","@Siskafransiscal")</f>
        <v>@Siskafransiscal</v>
      </c>
      <c r="C35784" s="8" t="s">
        <v>12143</v>
      </c>
      <c r="D35784" s="8">
        <v>301</v>
      </c>
      <c r="E35784" s="8">
        <v>0</v>
      </c>
      <c r="F35784" s="8">
        <v>284</v>
      </c>
    </row>
    <row r="35785" spans="1:6" ht="12.75">
      <c r="A35785" s="8">
        <v>43888.452685185184</v>
      </c>
      <c r="B35785" s="8" t="str">
        <f>HYPERLINK("https://twitter.com/buzgedebuz1","@buzgedebuz1")</f>
        <v>@buzgedebuz1</v>
      </c>
      <c r="C35785" s="8" t="s">
        <v>13817</v>
      </c>
      <c r="D35785" s="8">
        <v>2</v>
      </c>
      <c r="E35785" s="8">
        <v>2</v>
      </c>
      <c r="F35785" s="8">
        <v>6</v>
      </c>
    </row>
    <row r="35786" spans="1:6" ht="12.75">
      <c r="A35786" s="8">
        <v>43888.452511574069</v>
      </c>
      <c r="B35786" s="8" t="str">
        <f>HYPERLINK("https://twitter.com/KanekiTerry","@KanekiTerry")</f>
        <v>@KanekiTerry</v>
      </c>
      <c r="C35786" s="8" t="s">
        <v>13818</v>
      </c>
      <c r="D35786" s="8">
        <v>0</v>
      </c>
      <c r="E35786" s="8">
        <v>0</v>
      </c>
      <c r="F35786" s="8">
        <v>17</v>
      </c>
    </row>
    <row r="35787" spans="1:6" ht="12.75">
      <c r="A35787" s="8">
        <v>43888.45239583333</v>
      </c>
      <c r="B35787" s="8" t="str">
        <f>HYPERLINK("https://twitter.com/asmadajoel","@asmadajoel")</f>
        <v>@asmadajoel</v>
      </c>
      <c r="C35787" s="8" t="s">
        <v>12815</v>
      </c>
      <c r="D35787" s="8">
        <v>3</v>
      </c>
      <c r="E35787" s="8">
        <v>0</v>
      </c>
      <c r="F35787" s="8">
        <v>3506</v>
      </c>
    </row>
    <row r="35788" spans="1:6" ht="12.75">
      <c r="A35788" s="8">
        <v>43888.452210648145</v>
      </c>
      <c r="B35788" s="8" t="str">
        <f>HYPERLINK("https://twitter.com/okezonenews","@okezonenews")</f>
        <v>@okezonenews</v>
      </c>
      <c r="C35788" s="8" t="s">
        <v>13819</v>
      </c>
      <c r="D35788" s="8">
        <v>0</v>
      </c>
      <c r="E35788" s="8">
        <v>0</v>
      </c>
      <c r="F35788" s="8">
        <v>1743748</v>
      </c>
    </row>
    <row r="35789" spans="1:6" ht="12.75">
      <c r="A35789" s="8">
        <v>43888.451979166668</v>
      </c>
      <c r="B35789" s="8" t="str">
        <f>HYPERLINK("https://twitter.com/kantiwjanis","@kantiwjanis")</f>
        <v>@kantiwjanis</v>
      </c>
      <c r="C35789" s="8" t="s">
        <v>11773</v>
      </c>
      <c r="D35789" s="8">
        <v>357</v>
      </c>
      <c r="E35789" s="8">
        <v>0</v>
      </c>
      <c r="F35789" s="8">
        <v>1026</v>
      </c>
    </row>
    <row r="35790" spans="1:6" ht="12.75">
      <c r="A35790" s="8">
        <v>43888.451481481483</v>
      </c>
      <c r="B35790" s="8" t="str">
        <f>HYPERLINK("https://twitter.com/mamakpriki","@mamakpriki")</f>
        <v>@mamakpriki</v>
      </c>
      <c r="C35790" s="8" t="s">
        <v>12800</v>
      </c>
      <c r="D35790" s="8">
        <v>200</v>
      </c>
      <c r="E35790" s="8">
        <v>0</v>
      </c>
      <c r="F35790" s="8">
        <v>306</v>
      </c>
    </row>
    <row r="35791" spans="1:6" ht="12.75">
      <c r="A35791" s="8">
        <v>43888.451365740737</v>
      </c>
      <c r="B35791" s="8" t="str">
        <f>HYPERLINK("https://twitter.com/nadrpalupi","@nadrpalupi")</f>
        <v>@nadrpalupi</v>
      </c>
      <c r="C35791" s="8" t="s">
        <v>13820</v>
      </c>
      <c r="D35791" s="8">
        <v>0</v>
      </c>
      <c r="E35791" s="8">
        <v>1</v>
      </c>
      <c r="F35791" s="8">
        <v>1235</v>
      </c>
    </row>
    <row r="35792" spans="1:6" ht="12.75">
      <c r="A35792" s="8">
        <v>43888.450729166667</v>
      </c>
      <c r="B35792" s="8" t="str">
        <f>HYPERLINK("https://twitter.com/gatotkacawdki","@gatotkacawdki")</f>
        <v>@gatotkacawdki</v>
      </c>
      <c r="C35792" s="8" t="s">
        <v>13821</v>
      </c>
      <c r="D35792" s="8">
        <v>0</v>
      </c>
      <c r="E35792" s="8">
        <v>0</v>
      </c>
      <c r="F35792" s="8">
        <v>5</v>
      </c>
    </row>
    <row r="35793" spans="1:6" ht="12.75">
      <c r="A35793" s="8">
        <v>43888.450520833328</v>
      </c>
      <c r="B35793" s="8" t="str">
        <f>HYPERLINK("https://twitter.com/CindyyPras","@CindyyPras")</f>
        <v>@CindyyPras</v>
      </c>
      <c r="C35793" s="8" t="s">
        <v>13822</v>
      </c>
      <c r="D35793" s="8">
        <v>0</v>
      </c>
      <c r="E35793" s="8">
        <v>0</v>
      </c>
      <c r="F35793" s="8">
        <v>149</v>
      </c>
    </row>
    <row r="35794" spans="1:6" ht="12.75">
      <c r="A35794" s="8">
        <v>43888.450509259259</v>
      </c>
      <c r="B35794" s="8" t="str">
        <f>HYPERLINK("https://twitter.com/ummarsaidd","@ummarsaidd")</f>
        <v>@ummarsaidd</v>
      </c>
      <c r="C35794" s="8" t="s">
        <v>13823</v>
      </c>
      <c r="D35794" s="8">
        <v>0</v>
      </c>
      <c r="E35794" s="8">
        <v>0</v>
      </c>
      <c r="F35794" s="8">
        <v>117</v>
      </c>
    </row>
    <row r="35795" spans="1:6" ht="12.75">
      <c r="A35795" s="8">
        <v>43888.450138888889</v>
      </c>
      <c r="B35795" s="8" t="str">
        <f>HYPERLINK("https://twitter.com/ameliaachn","@ameliaachn")</f>
        <v>@ameliaachn</v>
      </c>
      <c r="C35795" s="8" t="s">
        <v>13824</v>
      </c>
      <c r="D35795" s="8">
        <v>0</v>
      </c>
      <c r="E35795" s="8">
        <v>0</v>
      </c>
      <c r="F35795" s="8">
        <v>355</v>
      </c>
    </row>
    <row r="35796" spans="1:6" ht="12.75">
      <c r="A35796" s="8">
        <v>43888.423483796301</v>
      </c>
      <c r="B35796" s="8" t="str">
        <f>HYPERLINK("https://twitter.com/HPeridia","@HPeridia")</f>
        <v>@HPeridia</v>
      </c>
      <c r="C35796" s="8" t="s">
        <v>12052</v>
      </c>
      <c r="D35796" s="8">
        <v>42</v>
      </c>
      <c r="E35796" s="8">
        <v>0</v>
      </c>
      <c r="F35796" s="8">
        <v>666</v>
      </c>
    </row>
    <row r="35797" spans="1:6" ht="12.75">
      <c r="A35797" s="8">
        <v>43888.423460648148</v>
      </c>
      <c r="B35797" s="8" t="str">
        <f>HYPERLINK("https://twitter.com/evhia","@evhia")</f>
        <v>@evhia</v>
      </c>
      <c r="C35797" s="8" t="s">
        <v>13825</v>
      </c>
      <c r="D35797" s="8">
        <v>0</v>
      </c>
      <c r="E35797" s="8">
        <v>0</v>
      </c>
      <c r="F35797" s="8">
        <v>869</v>
      </c>
    </row>
    <row r="35798" spans="1:6" ht="12.75">
      <c r="A35798" s="8">
        <v>43888.423437500001</v>
      </c>
      <c r="B35798" s="8" t="str">
        <f>HYPERLINK("https://twitter.com/MiraAnjelita","@MiraAnjelita")</f>
        <v>@MiraAnjelita</v>
      </c>
      <c r="C35798" s="8" t="s">
        <v>4785</v>
      </c>
      <c r="D35798" s="8">
        <v>390</v>
      </c>
      <c r="E35798" s="8">
        <v>0</v>
      </c>
      <c r="F35798" s="8">
        <v>2183</v>
      </c>
    </row>
    <row r="35799" spans="1:6" ht="12.75">
      <c r="A35799" s="8">
        <v>43888.423414351855</v>
      </c>
      <c r="B35799" s="8" t="str">
        <f>HYPERLINK("https://twitter.com/imamhidayatt2","@imamhidayatt2")</f>
        <v>@imamhidayatt2</v>
      </c>
      <c r="C35799" s="8" t="s">
        <v>4785</v>
      </c>
      <c r="D35799" s="8">
        <v>390</v>
      </c>
      <c r="E35799" s="8">
        <v>0</v>
      </c>
      <c r="F35799" s="8">
        <v>1865</v>
      </c>
    </row>
    <row r="35800" spans="1:6" ht="12.75">
      <c r="A35800" s="8">
        <v>43888.423391203702</v>
      </c>
      <c r="B35800" s="8" t="str">
        <f>HYPERLINK("https://twitter.com/DafinaEmalia","@DafinaEmalia")</f>
        <v>@DafinaEmalia</v>
      </c>
      <c r="C35800" s="8" t="s">
        <v>4785</v>
      </c>
      <c r="D35800" s="8">
        <v>390</v>
      </c>
      <c r="E35800" s="8">
        <v>0</v>
      </c>
      <c r="F35800" s="8">
        <v>2328</v>
      </c>
    </row>
    <row r="35801" spans="1:6" ht="12.75">
      <c r="A35801" s="8">
        <v>43888.423344907409</v>
      </c>
      <c r="B35801" s="8" t="str">
        <f>HYPERLINK("https://twitter.com/adillaS3","@adillaS3")</f>
        <v>@adillaS3</v>
      </c>
      <c r="C35801" s="8" t="s">
        <v>4785</v>
      </c>
      <c r="D35801" s="8">
        <v>390</v>
      </c>
      <c r="E35801" s="8">
        <v>0</v>
      </c>
      <c r="F35801" s="8">
        <v>2569</v>
      </c>
    </row>
    <row r="35802" spans="1:6" ht="12.75">
      <c r="A35802" s="8">
        <v>43888.423298611116</v>
      </c>
      <c r="B35802" s="8" t="str">
        <f>HYPERLINK("https://twitter.com/MiraAnjelita","@MiraAnjelita")</f>
        <v>@MiraAnjelita</v>
      </c>
      <c r="C35802" s="8" t="s">
        <v>26</v>
      </c>
      <c r="D35802" s="8">
        <v>127</v>
      </c>
      <c r="E35802" s="8">
        <v>0</v>
      </c>
      <c r="F35802" s="8">
        <v>2183</v>
      </c>
    </row>
    <row r="35803" spans="1:6" ht="12.75">
      <c r="A35803" s="8">
        <v>43888.423275462963</v>
      </c>
      <c r="B35803" s="8" t="str">
        <f>HYPERLINK("https://twitter.com/imamhidayatt2","@imamhidayatt2")</f>
        <v>@imamhidayatt2</v>
      </c>
      <c r="C35803" s="8" t="s">
        <v>26</v>
      </c>
      <c r="D35803" s="8">
        <v>127</v>
      </c>
      <c r="E35803" s="8">
        <v>0</v>
      </c>
      <c r="F35803" s="8">
        <v>1865</v>
      </c>
    </row>
    <row r="35804" spans="1:6" ht="12.75">
      <c r="A35804" s="8">
        <v>43888.42324074074</v>
      </c>
      <c r="B35804" s="8" t="str">
        <f>HYPERLINK("https://twitter.com/DafinaEmalia","@DafinaEmalia")</f>
        <v>@DafinaEmalia</v>
      </c>
      <c r="C35804" s="8" t="s">
        <v>26</v>
      </c>
      <c r="D35804" s="8">
        <v>127</v>
      </c>
      <c r="E35804" s="8">
        <v>0</v>
      </c>
      <c r="F35804" s="8">
        <v>2328</v>
      </c>
    </row>
    <row r="35805" spans="1:6" ht="12.75">
      <c r="A35805" s="8">
        <v>43888.423217592594</v>
      </c>
      <c r="B35805" s="8" t="str">
        <f>HYPERLINK("https://twitter.com/adillaS3","@adillaS3")</f>
        <v>@adillaS3</v>
      </c>
      <c r="C35805" s="8" t="s">
        <v>26</v>
      </c>
      <c r="D35805" s="8">
        <v>127</v>
      </c>
      <c r="E35805" s="8">
        <v>0</v>
      </c>
      <c r="F35805" s="8">
        <v>2569</v>
      </c>
    </row>
    <row r="35806" spans="1:6" ht="12.75">
      <c r="A35806" s="8">
        <v>43888.422962962963</v>
      </c>
      <c r="B35806" s="8" t="str">
        <f t="shared" ref="B35806:B35807" si="513">HYPERLINK("https://twitter.com/Nantaariii","@Nantaariii")</f>
        <v>@Nantaariii</v>
      </c>
      <c r="C35806" s="8" t="s">
        <v>26</v>
      </c>
      <c r="D35806" s="8">
        <v>127</v>
      </c>
      <c r="E35806" s="8">
        <v>0</v>
      </c>
      <c r="F35806" s="8">
        <v>7908</v>
      </c>
    </row>
    <row r="35807" spans="1:6" ht="12.75">
      <c r="A35807" s="8">
        <v>43888.422905092593</v>
      </c>
      <c r="B35807" s="8" t="str">
        <f t="shared" si="513"/>
        <v>@Nantaariii</v>
      </c>
      <c r="C35807" s="8" t="s">
        <v>4785</v>
      </c>
      <c r="D35807" s="8">
        <v>390</v>
      </c>
      <c r="E35807" s="8">
        <v>0</v>
      </c>
      <c r="F35807" s="8">
        <v>7908</v>
      </c>
    </row>
    <row r="35808" spans="1:6" ht="12.75">
      <c r="A35808" s="8">
        <v>43888.422743055555</v>
      </c>
      <c r="B35808" s="8" t="str">
        <f>HYPERLINK("https://twitter.com/ronirustamadji","@ronirustamadji")</f>
        <v>@ronirustamadji</v>
      </c>
      <c r="C35808" s="8" t="s">
        <v>13826</v>
      </c>
      <c r="D35808" s="8">
        <v>1</v>
      </c>
      <c r="E35808" s="8">
        <v>0</v>
      </c>
      <c r="F35808" s="8">
        <v>3267</v>
      </c>
    </row>
    <row r="35809" spans="1:6" ht="12.75">
      <c r="A35809" s="8">
        <v>43888.422175925924</v>
      </c>
      <c r="B35809" s="8" t="str">
        <f>HYPERLINK("https://twitter.com/gyeondilmanhae","@gyeondilmanhae")</f>
        <v>@gyeondilmanhae</v>
      </c>
      <c r="C35809" s="8" t="s">
        <v>6863</v>
      </c>
      <c r="D35809" s="8">
        <v>129</v>
      </c>
      <c r="E35809" s="8">
        <v>0</v>
      </c>
      <c r="F35809" s="8">
        <v>78</v>
      </c>
    </row>
    <row r="35810" spans="1:6" ht="12.75">
      <c r="A35810" s="8">
        <v>43888.421944444446</v>
      </c>
      <c r="B35810" s="8" t="str">
        <f>HYPERLINK("https://twitter.com/anggunaprinasf","@anggunaprinasf")</f>
        <v>@anggunaprinasf</v>
      </c>
      <c r="C35810" s="8" t="s">
        <v>6863</v>
      </c>
      <c r="D35810" s="8">
        <v>129</v>
      </c>
      <c r="E35810" s="8">
        <v>0</v>
      </c>
      <c r="F35810" s="8">
        <v>416</v>
      </c>
    </row>
    <row r="35811" spans="1:6" ht="12.75">
      <c r="A35811" s="8">
        <v>43888.421597222223</v>
      </c>
      <c r="B35811" s="8" t="str">
        <f>HYPERLINK("https://twitter.com/ShevaPratama6","@ShevaPratama6")</f>
        <v>@ShevaPratama6</v>
      </c>
      <c r="C35811" s="8" t="s">
        <v>13827</v>
      </c>
      <c r="D35811" s="8">
        <v>0</v>
      </c>
      <c r="E35811" s="8">
        <v>0</v>
      </c>
      <c r="F35811" s="8">
        <v>2</v>
      </c>
    </row>
    <row r="35812" spans="1:6" ht="12.75">
      <c r="A35812" s="8">
        <v>43888.421527777777</v>
      </c>
      <c r="B35812" s="8" t="str">
        <f>HYPERLINK("https://twitter.com/Kelik_Es","@Kelik_Es")</f>
        <v>@Kelik_Es</v>
      </c>
      <c r="C35812" s="8" t="s">
        <v>12052</v>
      </c>
      <c r="D35812" s="8">
        <v>41</v>
      </c>
      <c r="E35812" s="8">
        <v>0</v>
      </c>
      <c r="F35812" s="8">
        <v>4130</v>
      </c>
    </row>
    <row r="35813" spans="1:6" ht="12.75">
      <c r="A35813" s="8">
        <v>43888.42150462963</v>
      </c>
      <c r="B35813" s="8" t="str">
        <f>HYPERLINK("https://twitter.com/RonaldLampard8","@RonaldLampard8")</f>
        <v>@RonaldLampard8</v>
      </c>
      <c r="C35813" s="8" t="s">
        <v>12755</v>
      </c>
      <c r="D35813" s="8">
        <v>16</v>
      </c>
      <c r="E35813" s="8">
        <v>0</v>
      </c>
      <c r="F35813" s="8">
        <v>3073</v>
      </c>
    </row>
    <row r="35814" spans="1:6" ht="12.75">
      <c r="A35814" s="8">
        <v>43888.42087962963</v>
      </c>
      <c r="B35814" s="8" t="str">
        <f>HYPERLINK("https://twitter.com/anggitanrlw","@anggitanrlw")</f>
        <v>@anggitanrlw</v>
      </c>
      <c r="C35814" s="8" t="s">
        <v>12143</v>
      </c>
      <c r="D35814" s="8">
        <v>299</v>
      </c>
      <c r="E35814" s="8">
        <v>0</v>
      </c>
      <c r="F35814" s="8">
        <v>91</v>
      </c>
    </row>
    <row r="35815" spans="1:6" ht="12.75">
      <c r="A35815" s="8">
        <v>43888.42086805556</v>
      </c>
      <c r="B35815" s="8" t="str">
        <f>HYPERLINK("https://twitter.com/ardiansyahcan","@ardiansyahcan")</f>
        <v>@ardiansyahcan</v>
      </c>
      <c r="C35815" s="8" t="s">
        <v>6863</v>
      </c>
      <c r="D35815" s="8">
        <v>129</v>
      </c>
      <c r="E35815" s="8">
        <v>0</v>
      </c>
      <c r="F35815" s="8">
        <v>466</v>
      </c>
    </row>
    <row r="35816" spans="1:6" ht="12.75">
      <c r="A35816" s="8">
        <v>43888.420798611114</v>
      </c>
      <c r="B35816" s="8" t="str">
        <f>HYPERLINK("https://twitter.com/B_Indradjati","@B_Indradjati")</f>
        <v>@B_Indradjati</v>
      </c>
      <c r="C35816" s="8" t="s">
        <v>6863</v>
      </c>
      <c r="D35816" s="8">
        <v>129</v>
      </c>
      <c r="E35816" s="8">
        <v>0</v>
      </c>
      <c r="F35816" s="8">
        <v>220</v>
      </c>
    </row>
    <row r="35817" spans="1:6" ht="12.75">
      <c r="A35817" s="8">
        <v>43888.420405092591</v>
      </c>
      <c r="B35817" s="8" t="str">
        <f>HYPERLINK("https://twitter.com/azmiegoreng","@azmiegoreng")</f>
        <v>@azmiegoreng</v>
      </c>
      <c r="C35817" s="8" t="s">
        <v>6863</v>
      </c>
      <c r="D35817" s="8">
        <v>129</v>
      </c>
      <c r="E35817" s="8">
        <v>0</v>
      </c>
      <c r="F35817" s="8">
        <v>731</v>
      </c>
    </row>
    <row r="35818" spans="1:6" ht="12.75">
      <c r="A35818" s="8">
        <v>43888.420370370368</v>
      </c>
      <c r="B35818" s="8" t="str">
        <f>HYPERLINK("https://twitter.com/bangtoyib1818","@bangtoyib1818")</f>
        <v>@bangtoyib1818</v>
      </c>
      <c r="C35818" s="8" t="s">
        <v>13828</v>
      </c>
      <c r="D35818" s="8">
        <v>0</v>
      </c>
      <c r="E35818" s="8">
        <v>0</v>
      </c>
      <c r="F35818" s="8">
        <v>907</v>
      </c>
    </row>
    <row r="35819" spans="1:6" ht="12.75">
      <c r="A35819" s="8">
        <v>43888.420219907406</v>
      </c>
      <c r="B35819" s="8" t="str">
        <f>HYPERLINK("https://twitter.com/Lily_Raimun","@Lily_Raimun")</f>
        <v>@Lily_Raimun</v>
      </c>
      <c r="C35819" s="8" t="s">
        <v>13829</v>
      </c>
      <c r="D35819" s="8">
        <v>0</v>
      </c>
      <c r="E35819" s="8">
        <v>0</v>
      </c>
      <c r="F35819" s="8">
        <v>1145</v>
      </c>
    </row>
    <row r="35820" spans="1:6" ht="12.75">
      <c r="A35820" s="8">
        <v>43888.420219907406</v>
      </c>
      <c r="B35820" s="8" t="str">
        <f>HYPERLINK("https://twitter.com/forddyce92","@forddyce92")</f>
        <v>@forddyce92</v>
      </c>
      <c r="C35820" s="8" t="s">
        <v>13830</v>
      </c>
      <c r="D35820" s="8">
        <v>0</v>
      </c>
      <c r="E35820" s="8">
        <v>0</v>
      </c>
      <c r="F35820" s="8">
        <v>27</v>
      </c>
    </row>
    <row r="35821" spans="1:6" ht="12.75">
      <c r="A35821" s="8">
        <v>43888.420023148152</v>
      </c>
      <c r="B35821" s="8" t="str">
        <f>HYPERLINK("https://twitter.com/ditasfeb","@ditasfeb")</f>
        <v>@ditasfeb</v>
      </c>
      <c r="C35821" s="8" t="s">
        <v>2941</v>
      </c>
      <c r="D35821" s="8">
        <v>1066</v>
      </c>
      <c r="E35821" s="8">
        <v>0</v>
      </c>
      <c r="F35821" s="8">
        <v>410</v>
      </c>
    </row>
    <row r="35822" spans="1:6" ht="12.75">
      <c r="A35822" s="8">
        <v>43888.419594907406</v>
      </c>
      <c r="B35822" s="8" t="str">
        <f>HYPERLINK("https://twitter.com/CS_Ramdhani","@CS_Ramdhani")</f>
        <v>@CS_Ramdhani</v>
      </c>
      <c r="C35822" s="8" t="s">
        <v>13198</v>
      </c>
      <c r="D35822" s="8">
        <v>56</v>
      </c>
      <c r="E35822" s="8">
        <v>0</v>
      </c>
      <c r="F35822" s="8">
        <v>363</v>
      </c>
    </row>
    <row r="35823" spans="1:6" ht="12.75">
      <c r="A35823" s="8">
        <v>43888.419502314813</v>
      </c>
      <c r="B35823" s="8" t="str">
        <f>HYPERLINK("https://twitter.com/2020_STMJ","@2020_STMJ")</f>
        <v>@2020_STMJ</v>
      </c>
      <c r="C35823" s="8" t="s">
        <v>13336</v>
      </c>
      <c r="D35823" s="8">
        <v>4</v>
      </c>
      <c r="E35823" s="8">
        <v>0</v>
      </c>
      <c r="F35823" s="8">
        <v>3548</v>
      </c>
    </row>
    <row r="35824" spans="1:6" ht="12.75">
      <c r="A35824" s="8">
        <v>43888.419374999998</v>
      </c>
      <c r="B35824" s="8" t="str">
        <f>HYPERLINK("https://twitter.com/anjho__","@anjho__")</f>
        <v>@anjho__</v>
      </c>
      <c r="C35824" s="8" t="s">
        <v>6863</v>
      </c>
      <c r="D35824" s="8">
        <v>129</v>
      </c>
      <c r="E35824" s="8">
        <v>0</v>
      </c>
      <c r="F35824" s="8">
        <v>1179</v>
      </c>
    </row>
    <row r="35825" spans="1:6" ht="12.75">
      <c r="A35825" s="8">
        <v>43888.419328703705</v>
      </c>
      <c r="B35825" s="8" t="str">
        <f>HYPERLINK("https://twitter.com/ris_nov","@ris_nov")</f>
        <v>@ris_nov</v>
      </c>
      <c r="C35825" s="8" t="s">
        <v>6863</v>
      </c>
      <c r="D35825" s="8">
        <v>129</v>
      </c>
      <c r="E35825" s="8">
        <v>0</v>
      </c>
      <c r="F35825" s="8">
        <v>239</v>
      </c>
    </row>
    <row r="35826" spans="1:6" ht="12.75">
      <c r="A35826" s="8">
        <v>43888.419317129628</v>
      </c>
      <c r="B35826" s="8" t="str">
        <f>HYPERLINK("https://twitter.com/7evenClothes","@7evenClothes")</f>
        <v>@7evenClothes</v>
      </c>
      <c r="C35826" s="8" t="s">
        <v>11773</v>
      </c>
      <c r="D35826" s="8">
        <v>339</v>
      </c>
      <c r="E35826" s="8">
        <v>0</v>
      </c>
      <c r="F35826" s="8">
        <v>3241</v>
      </c>
    </row>
    <row r="35827" spans="1:6" ht="12.75">
      <c r="A35827" s="8">
        <v>43888.41915509259</v>
      </c>
      <c r="B35827" s="8" t="str">
        <f>HYPERLINK("https://twitter.com/moesa_jp02","@moesa_jp02")</f>
        <v>@moesa_jp02</v>
      </c>
      <c r="C35827" s="8" t="s">
        <v>13831</v>
      </c>
      <c r="D35827" s="8">
        <v>0</v>
      </c>
      <c r="E35827" s="8">
        <v>0</v>
      </c>
      <c r="F35827" s="8">
        <v>1395</v>
      </c>
    </row>
    <row r="35828" spans="1:6" ht="12.75">
      <c r="A35828" s="8">
        <v>43888.419016203705</v>
      </c>
      <c r="B35828" s="8" t="str">
        <f>HYPERLINK("https://twitter.com/AnakKolong___","@AnakKolong___")</f>
        <v>@AnakKolong___</v>
      </c>
      <c r="C35828" s="8" t="s">
        <v>13832</v>
      </c>
      <c r="D35828" s="8">
        <v>2</v>
      </c>
      <c r="E35828" s="8">
        <v>0</v>
      </c>
      <c r="F35828" s="8">
        <v>7075</v>
      </c>
    </row>
    <row r="35829" spans="1:6" ht="12.75">
      <c r="A35829" s="8">
        <v>43888.418900462959</v>
      </c>
      <c r="B35829" s="8" t="str">
        <f>HYPERLINK("https://twitter.com/anam_arista","@anam_arista")</f>
        <v>@anam_arista</v>
      </c>
      <c r="C35829" s="8" t="s">
        <v>11773</v>
      </c>
      <c r="D35829" s="8">
        <v>339</v>
      </c>
      <c r="E35829" s="8">
        <v>0</v>
      </c>
      <c r="F35829" s="8">
        <v>32</v>
      </c>
    </row>
    <row r="35830" spans="1:6" ht="12.75">
      <c r="A35830" s="8">
        <v>43888.418634259258</v>
      </c>
      <c r="B35830" s="8" t="str">
        <f>HYPERLINK("https://twitter.com/Hutamadn","@Hutamadn")</f>
        <v>@Hutamadn</v>
      </c>
      <c r="C35830" s="8" t="s">
        <v>13833</v>
      </c>
      <c r="D35830" s="8">
        <v>0</v>
      </c>
      <c r="E35830" s="8">
        <v>0</v>
      </c>
      <c r="F35830" s="8">
        <v>1015</v>
      </c>
    </row>
    <row r="35831" spans="1:6" ht="12.75">
      <c r="A35831" s="8">
        <v>43888.418553240743</v>
      </c>
      <c r="B35831" s="8" t="str">
        <f>HYPERLINK("https://twitter.com/yudhapati88","@yudhapati88")</f>
        <v>@yudhapati88</v>
      </c>
      <c r="C35831" s="8" t="s">
        <v>12406</v>
      </c>
      <c r="D35831" s="8">
        <v>105</v>
      </c>
      <c r="E35831" s="8">
        <v>0</v>
      </c>
      <c r="F35831" s="8">
        <v>3432</v>
      </c>
    </row>
    <row r="35832" spans="1:6" ht="12.75">
      <c r="A35832" s="8">
        <v>43888.418368055558</v>
      </c>
      <c r="B35832" s="8" t="str">
        <f>HYPERLINK("https://twitter.com/yuto052946","@yuto052946")</f>
        <v>@yuto052946</v>
      </c>
      <c r="C35832" s="8" t="s">
        <v>13834</v>
      </c>
      <c r="D35832" s="8">
        <v>176</v>
      </c>
      <c r="E35832" s="8">
        <v>0</v>
      </c>
      <c r="F35832" s="8">
        <v>562</v>
      </c>
    </row>
    <row r="35833" spans="1:6" ht="12.75">
      <c r="A35833" s="8">
        <v>43888.41810185185</v>
      </c>
      <c r="B35833" s="8" t="str">
        <f>HYPERLINK("https://twitter.com/watashiwanano","@watashiwanano")</f>
        <v>@watashiwanano</v>
      </c>
      <c r="C35833" s="8" t="s">
        <v>12406</v>
      </c>
      <c r="D35833" s="8">
        <v>105</v>
      </c>
      <c r="E35833" s="8">
        <v>0</v>
      </c>
      <c r="F35833" s="8">
        <v>247</v>
      </c>
    </row>
    <row r="35834" spans="1:6" ht="12.75">
      <c r="A35834" s="8">
        <v>43888.417997685188</v>
      </c>
      <c r="B35834" s="8" t="str">
        <f>HYPERLINK("https://twitter.com/Lily_Raimun","@Lily_Raimun")</f>
        <v>@Lily_Raimun</v>
      </c>
      <c r="C35834" s="8" t="s">
        <v>13336</v>
      </c>
      <c r="D35834" s="8">
        <v>4</v>
      </c>
      <c r="E35834" s="8">
        <v>0</v>
      </c>
      <c r="F35834" s="8">
        <v>1145</v>
      </c>
    </row>
    <row r="35835" spans="1:6" ht="12.75">
      <c r="A35835" s="8">
        <v>43888.417905092589</v>
      </c>
      <c r="B35835" s="8" t="str">
        <f>HYPERLINK("https://twitter.com/MaswibA","@MaswibA")</f>
        <v>@MaswibA</v>
      </c>
      <c r="C35835" s="8" t="s">
        <v>13835</v>
      </c>
      <c r="D35835" s="8">
        <v>2</v>
      </c>
      <c r="E35835" s="8">
        <v>3</v>
      </c>
      <c r="F35835" s="8">
        <v>1919</v>
      </c>
    </row>
    <row r="35836" spans="1:6" ht="12.75">
      <c r="A35836" s="8">
        <v>43888.417662037042</v>
      </c>
      <c r="B35836" s="8" t="str">
        <f>HYPERLINK("https://twitter.com/Joe62320983","@Joe62320983")</f>
        <v>@Joe62320983</v>
      </c>
      <c r="C35836" s="8" t="s">
        <v>13836</v>
      </c>
      <c r="D35836" s="8">
        <v>0</v>
      </c>
      <c r="E35836" s="8">
        <v>0</v>
      </c>
      <c r="F35836" s="8">
        <v>0</v>
      </c>
    </row>
    <row r="35837" spans="1:6" ht="12.75">
      <c r="A35837" s="8">
        <v>43888.417592592596</v>
      </c>
      <c r="B35837" s="8" t="str">
        <f>HYPERLINK("https://twitter.com/Rikiakbarza","@Rikiakbarza")</f>
        <v>@Rikiakbarza</v>
      </c>
      <c r="C35837" s="8" t="s">
        <v>13837</v>
      </c>
      <c r="D35837" s="8">
        <v>0</v>
      </c>
      <c r="E35837" s="8">
        <v>1</v>
      </c>
      <c r="F35837" s="8">
        <v>798</v>
      </c>
    </row>
    <row r="35838" spans="1:6" ht="12.75">
      <c r="A35838" s="8">
        <v>43888.417222222226</v>
      </c>
      <c r="B35838" s="8" t="str">
        <f>HYPERLINK("https://twitter.com/renseoneday","@renseoneday")</f>
        <v>@renseoneday</v>
      </c>
      <c r="C35838" s="8" t="s">
        <v>12882</v>
      </c>
      <c r="D35838" s="8">
        <v>64</v>
      </c>
      <c r="E35838" s="8">
        <v>0</v>
      </c>
      <c r="F35838" s="8">
        <v>354</v>
      </c>
    </row>
    <row r="35839" spans="1:6" ht="12.75">
      <c r="A35839" s="8">
        <v>43888.416979166665</v>
      </c>
      <c r="B35839" s="8" t="str">
        <f>HYPERLINK("https://twitter.com/Roycoo99","@Roycoo99")</f>
        <v>@Roycoo99</v>
      </c>
      <c r="C35839" s="8" t="s">
        <v>13838</v>
      </c>
      <c r="D35839" s="8">
        <v>0</v>
      </c>
      <c r="E35839" s="8">
        <v>0</v>
      </c>
      <c r="F35839" s="8">
        <v>36</v>
      </c>
    </row>
    <row r="35840" spans="1:6" ht="12.75">
      <c r="A35840" s="8">
        <v>43888.416979166665</v>
      </c>
      <c r="B35840" s="8" t="str">
        <f>HYPERLINK("https://twitter.com/eko2471","@eko2471")</f>
        <v>@eko2471</v>
      </c>
      <c r="C35840" s="8" t="s">
        <v>12052</v>
      </c>
      <c r="D35840" s="8">
        <v>41</v>
      </c>
      <c r="E35840" s="8">
        <v>0</v>
      </c>
      <c r="F35840" s="8">
        <v>1201</v>
      </c>
    </row>
    <row r="35841" spans="1:6" ht="12.75">
      <c r="A35841" s="8">
        <v>43888.416944444441</v>
      </c>
      <c r="B35841" s="8" t="str">
        <f>HYPERLINK("https://twitter.com/hilmankan","@hilmankan")</f>
        <v>@hilmankan</v>
      </c>
      <c r="C35841" s="8" t="s">
        <v>13839</v>
      </c>
      <c r="D35841" s="8">
        <v>5</v>
      </c>
      <c r="E35841" s="8">
        <v>0</v>
      </c>
      <c r="F35841" s="8">
        <v>335</v>
      </c>
    </row>
    <row r="35842" spans="1:6" ht="12.75">
      <c r="A35842" s="8">
        <v>43888.416851851856</v>
      </c>
      <c r="B35842" s="8" t="str">
        <f>HYPERLINK("https://twitter.com/bangtoyib1818","@bangtoyib1818")</f>
        <v>@bangtoyib1818</v>
      </c>
      <c r="C35842" s="8" t="s">
        <v>12723</v>
      </c>
      <c r="D35842" s="8">
        <v>10</v>
      </c>
      <c r="E35842" s="8">
        <v>0</v>
      </c>
      <c r="F35842" s="8">
        <v>907</v>
      </c>
    </row>
    <row r="35843" spans="1:6" ht="12.75">
      <c r="A35843" s="8">
        <v>43888.416516203702</v>
      </c>
      <c r="B35843" s="8" t="str">
        <f>HYPERLINK("https://twitter.com/PrastD2","@PrastD2")</f>
        <v>@PrastD2</v>
      </c>
      <c r="C35843" s="8" t="s">
        <v>13840</v>
      </c>
      <c r="D35843" s="8">
        <v>0</v>
      </c>
      <c r="E35843" s="8">
        <v>0</v>
      </c>
      <c r="F35843" s="8">
        <v>27</v>
      </c>
    </row>
    <row r="35844" spans="1:6" ht="12.75">
      <c r="A35844" s="8">
        <v>43888.416203703702</v>
      </c>
      <c r="B35844" s="8" t="str">
        <f>HYPERLINK("https://twitter.com/gepho_hie","@gepho_hie")</f>
        <v>@gepho_hie</v>
      </c>
      <c r="C35844" s="8" t="s">
        <v>12800</v>
      </c>
      <c r="D35844" s="8">
        <v>199</v>
      </c>
      <c r="E35844" s="8">
        <v>0</v>
      </c>
      <c r="F35844" s="8">
        <v>2287</v>
      </c>
    </row>
    <row r="35845" spans="1:6" ht="12.75">
      <c r="A35845" s="8">
        <v>43888.416180555556</v>
      </c>
      <c r="B35845" s="8" t="str">
        <f>HYPERLINK("https://twitter.com/vyyoland","@vyyoland")</f>
        <v>@vyyoland</v>
      </c>
      <c r="C35845" s="8" t="s">
        <v>6863</v>
      </c>
      <c r="D35845" s="8">
        <v>129</v>
      </c>
      <c r="E35845" s="8">
        <v>0</v>
      </c>
      <c r="F35845" s="8">
        <v>1777</v>
      </c>
    </row>
    <row r="35846" spans="1:6" ht="12.75">
      <c r="A35846" s="8">
        <v>43888.416168981479</v>
      </c>
      <c r="B35846" s="8" t="str">
        <f>HYPERLINK("https://twitter.com/thisisfrenz","@thisisfrenz")</f>
        <v>@thisisfrenz</v>
      </c>
      <c r="C35846" s="8" t="s">
        <v>12406</v>
      </c>
      <c r="D35846" s="8">
        <v>105</v>
      </c>
      <c r="E35846" s="8">
        <v>0</v>
      </c>
      <c r="F35846" s="8">
        <v>138</v>
      </c>
    </row>
    <row r="35847" spans="1:6" ht="12.75">
      <c r="A35847" s="8">
        <v>43888.416041666671</v>
      </c>
      <c r="B35847" s="8" t="str">
        <f>HYPERLINK("https://twitter.com/Fajar_Bege","@Fajar_Bege")</f>
        <v>@Fajar_Bege</v>
      </c>
      <c r="C35847" s="8" t="s">
        <v>6863</v>
      </c>
      <c r="D35847" s="8">
        <v>129</v>
      </c>
      <c r="E35847" s="8">
        <v>0</v>
      </c>
      <c r="F35847" s="8">
        <v>357</v>
      </c>
    </row>
    <row r="35848" spans="1:6" ht="12.75">
      <c r="A35848" s="8">
        <v>43888.415949074071</v>
      </c>
      <c r="B35848" s="8" t="str">
        <f>HYPERLINK("https://twitter.com/pkerjaKasaR","@pkerjaKasaR")</f>
        <v>@pkerjaKasaR</v>
      </c>
      <c r="C35848" s="8" t="s">
        <v>11773</v>
      </c>
      <c r="D35848" s="8">
        <v>339</v>
      </c>
      <c r="E35848" s="8">
        <v>0</v>
      </c>
      <c r="F35848" s="8">
        <v>256</v>
      </c>
    </row>
    <row r="35849" spans="1:6" ht="12.75">
      <c r="A35849" s="8">
        <v>43888.415925925925</v>
      </c>
      <c r="B35849" s="8" t="str">
        <f>HYPERLINK("https://twitter.com/OBiljag","@OBiljag")</f>
        <v>@OBiljag</v>
      </c>
      <c r="C35849" s="8" t="s">
        <v>13841</v>
      </c>
      <c r="D35849" s="8">
        <v>0</v>
      </c>
      <c r="E35849" s="8">
        <v>0</v>
      </c>
      <c r="F35849" s="8">
        <v>0</v>
      </c>
    </row>
    <row r="35850" spans="1:6" ht="12.75">
      <c r="A35850" s="8">
        <v>43888.415462962963</v>
      </c>
      <c r="B35850" s="8" t="str">
        <f>HYPERLINK("https://twitter.com/FanChiangFa","@FanChiangFa")</f>
        <v>@FanChiangFa</v>
      </c>
      <c r="C35850" s="8" t="s">
        <v>4836</v>
      </c>
      <c r="D35850" s="8">
        <v>5394</v>
      </c>
      <c r="E35850" s="8">
        <v>0</v>
      </c>
      <c r="F35850" s="8">
        <v>2330</v>
      </c>
    </row>
    <row r="35851" spans="1:6" ht="12.75">
      <c r="A35851" s="8">
        <v>43888.41541666667</v>
      </c>
      <c r="B35851" s="8" t="str">
        <f>HYPERLINK("https://twitter.com/iseng47783089","@iseng47783089")</f>
        <v>@iseng47783089</v>
      </c>
      <c r="C35851" s="8" t="s">
        <v>13842</v>
      </c>
      <c r="D35851" s="8">
        <v>0</v>
      </c>
      <c r="E35851" s="8">
        <v>0</v>
      </c>
      <c r="F35851" s="8">
        <v>0</v>
      </c>
    </row>
    <row r="35852" spans="1:6" ht="12.75">
      <c r="A35852" s="8">
        <v>43888.415312500001</v>
      </c>
      <c r="B35852" s="8" t="str">
        <f>HYPERLINK("https://twitter.com/wanto_shen","@wanto_shen")</f>
        <v>@wanto_shen</v>
      </c>
      <c r="C35852" s="8" t="s">
        <v>13843</v>
      </c>
      <c r="D35852" s="8">
        <v>0</v>
      </c>
      <c r="E35852" s="8">
        <v>1</v>
      </c>
      <c r="F35852" s="8">
        <v>10</v>
      </c>
    </row>
    <row r="35853" spans="1:6" ht="12.75">
      <c r="A35853" s="8">
        <v>43888.415219907409</v>
      </c>
      <c r="B35853" s="8" t="str">
        <f>HYPERLINK("https://twitter.com/PHILUOCALIST","@PHILUOCALIST")</f>
        <v>@PHILUOCALIST</v>
      </c>
      <c r="C35853" s="8" t="s">
        <v>13187</v>
      </c>
      <c r="D35853" s="8">
        <v>31</v>
      </c>
      <c r="E35853" s="8">
        <v>0</v>
      </c>
      <c r="F35853" s="8">
        <v>420</v>
      </c>
    </row>
    <row r="35854" spans="1:6" ht="12.75">
      <c r="A35854" s="8">
        <v>43888.415104166663</v>
      </c>
      <c r="B35854" s="8" t="str">
        <f>HYPERLINK("https://twitter.com/fruittea_yoong","@fruittea_yoong")</f>
        <v>@fruittea_yoong</v>
      </c>
      <c r="C35854" s="8" t="s">
        <v>12882</v>
      </c>
      <c r="D35854" s="8">
        <v>64</v>
      </c>
      <c r="E35854" s="8">
        <v>0</v>
      </c>
      <c r="F35854" s="8">
        <v>560</v>
      </c>
    </row>
    <row r="35855" spans="1:6" ht="12.75">
      <c r="A35855" s="8">
        <v>43888.415000000001</v>
      </c>
      <c r="B35855" s="8" t="str">
        <f>HYPERLINK("https://twitter.com/Dulur_ErviMalnu","@Dulur_ErviMalnu")</f>
        <v>@Dulur_ErviMalnu</v>
      </c>
      <c r="C35855" s="8" t="s">
        <v>12686</v>
      </c>
      <c r="D35855" s="8">
        <v>9</v>
      </c>
      <c r="E35855" s="8">
        <v>0</v>
      </c>
      <c r="F35855" s="8">
        <v>1338</v>
      </c>
    </row>
    <row r="35856" spans="1:6" ht="12.75">
      <c r="A35856" s="8">
        <v>43888.414814814816</v>
      </c>
      <c r="B35856" s="8" t="str">
        <f>HYPERLINK("https://twitter.com/gembus_1","@gembus_1")</f>
        <v>@gembus_1</v>
      </c>
      <c r="C35856" s="8" t="s">
        <v>11972</v>
      </c>
      <c r="D35856" s="8">
        <v>1</v>
      </c>
      <c r="E35856" s="8">
        <v>0</v>
      </c>
      <c r="F35856" s="8">
        <v>3368</v>
      </c>
    </row>
    <row r="35857" spans="1:6" ht="12.75">
      <c r="A35857" s="8">
        <v>43888.414722222224</v>
      </c>
      <c r="B35857" s="8" t="str">
        <f>HYPERLINK("https://twitter.com/SltWahidin","@SltWahidin")</f>
        <v>@SltWahidin</v>
      </c>
      <c r="C35857" s="8" t="s">
        <v>13844</v>
      </c>
      <c r="D35857" s="8">
        <v>1</v>
      </c>
      <c r="E35857" s="8">
        <v>0</v>
      </c>
      <c r="F35857" s="8">
        <v>16</v>
      </c>
    </row>
    <row r="35858" spans="1:6" ht="12.75">
      <c r="A35858" s="8">
        <v>43888.414363425924</v>
      </c>
      <c r="B35858" s="8" t="str">
        <f>HYPERLINK("https://twitter.com/Indopolitika","@Indopolitika")</f>
        <v>@Indopolitika</v>
      </c>
      <c r="C35858" s="8" t="s">
        <v>13845</v>
      </c>
      <c r="D35858" s="8">
        <v>0</v>
      </c>
      <c r="E35858" s="8">
        <v>0</v>
      </c>
      <c r="F35858" s="8">
        <v>10579</v>
      </c>
    </row>
    <row r="35859" spans="1:6" ht="12.75">
      <c r="A35859" s="8">
        <v>43888.414340277777</v>
      </c>
      <c r="B35859" s="8" t="str">
        <f>HYPERLINK("https://twitter.com/qiunco2761","@qiunco2761")</f>
        <v>@qiunco2761</v>
      </c>
      <c r="C35859" s="8" t="s">
        <v>12906</v>
      </c>
      <c r="D35859" s="8">
        <v>5</v>
      </c>
      <c r="E35859" s="8">
        <v>0</v>
      </c>
      <c r="F35859" s="8">
        <v>4427</v>
      </c>
    </row>
    <row r="35860" spans="1:6" ht="12.75">
      <c r="A35860" s="8">
        <v>43888.414131944446</v>
      </c>
      <c r="B35860" s="8" t="str">
        <f>HYPERLINK("https://twitter.com/Narasiku1","@Narasiku1")</f>
        <v>@Narasiku1</v>
      </c>
      <c r="C35860" s="8" t="s">
        <v>13846</v>
      </c>
      <c r="D35860" s="8">
        <v>0</v>
      </c>
      <c r="E35860" s="8">
        <v>0</v>
      </c>
      <c r="F35860" s="8">
        <v>71</v>
      </c>
    </row>
    <row r="35861" spans="1:6" ht="12.75">
      <c r="A35861" s="8">
        <v>43888.4140625</v>
      </c>
      <c r="B35861" s="8" t="str">
        <f>HYPERLINK("https://twitter.com/Indopolitika","@Indopolitika")</f>
        <v>@Indopolitika</v>
      </c>
      <c r="C35861" s="8" t="s">
        <v>13847</v>
      </c>
      <c r="D35861" s="8">
        <v>0</v>
      </c>
      <c r="E35861" s="8">
        <v>0</v>
      </c>
      <c r="F35861" s="8">
        <v>10579</v>
      </c>
    </row>
    <row r="35862" spans="1:6" ht="12.75">
      <c r="A35862" s="8">
        <v>43888.414039351846</v>
      </c>
      <c r="B35862" s="8" t="str">
        <f>HYPERLINK("https://twitter.com/Arifnaurafatih","@Arifnaurafatih")</f>
        <v>@Arifnaurafatih</v>
      </c>
      <c r="C35862" s="8" t="s">
        <v>13848</v>
      </c>
      <c r="D35862" s="8">
        <v>0</v>
      </c>
      <c r="E35862" s="8">
        <v>0</v>
      </c>
      <c r="F35862" s="8">
        <v>272</v>
      </c>
    </row>
    <row r="35863" spans="1:6" ht="12.75">
      <c r="A35863" s="8">
        <v>43888.413888888885</v>
      </c>
      <c r="B35863" s="8" t="str">
        <f>HYPERLINK("https://twitter.com/HeyDooot","@HeyDooot")</f>
        <v>@HeyDooot</v>
      </c>
      <c r="C35863" s="8" t="s">
        <v>13849</v>
      </c>
      <c r="D35863" s="8">
        <v>0</v>
      </c>
      <c r="E35863" s="8">
        <v>0</v>
      </c>
      <c r="F35863" s="8">
        <v>7043</v>
      </c>
    </row>
    <row r="35864" spans="1:6" ht="12.75">
      <c r="A35864" s="8">
        <v>43888.413726851853</v>
      </c>
      <c r="B35864" s="8" t="str">
        <f>HYPERLINK("https://twitter.com/kawesto78","@kawesto78")</f>
        <v>@kawesto78</v>
      </c>
      <c r="C35864" s="8" t="s">
        <v>11773</v>
      </c>
      <c r="D35864" s="8">
        <v>339</v>
      </c>
      <c r="E35864" s="8">
        <v>0</v>
      </c>
      <c r="F35864" s="8">
        <v>525</v>
      </c>
    </row>
    <row r="35865" spans="1:6" ht="12.75">
      <c r="A35865" s="8">
        <v>43888.413634259261</v>
      </c>
      <c r="B35865" s="8" t="str">
        <f>HYPERLINK("https://twitter.com/antaralampung","@antaralampung")</f>
        <v>@antaralampung</v>
      </c>
      <c r="C35865" s="8" t="s">
        <v>13850</v>
      </c>
      <c r="D35865" s="8">
        <v>0</v>
      </c>
      <c r="E35865" s="8">
        <v>0</v>
      </c>
      <c r="F35865" s="8">
        <v>3924</v>
      </c>
    </row>
    <row r="35866" spans="1:6" ht="12.75">
      <c r="A35866" s="8">
        <v>43888.413622685184</v>
      </c>
      <c r="B35866" s="8" t="str">
        <f>HYPERLINK("https://twitter.com/novapermana8","@novapermana8")</f>
        <v>@novapermana8</v>
      </c>
      <c r="C35866" s="8" t="s">
        <v>13851</v>
      </c>
      <c r="D35866" s="8">
        <v>0</v>
      </c>
      <c r="E35866" s="8">
        <v>0</v>
      </c>
      <c r="F35866" s="8">
        <v>672</v>
      </c>
    </row>
    <row r="35867" spans="1:6" ht="12.75">
      <c r="A35867" s="8">
        <v>43888.413472222222</v>
      </c>
      <c r="B35867" s="8" t="str">
        <f>HYPERLINK("https://twitter.com/PrastD2","@PrastD2")</f>
        <v>@PrastD2</v>
      </c>
      <c r="C35867" s="8" t="s">
        <v>13852</v>
      </c>
      <c r="D35867" s="8">
        <v>1</v>
      </c>
      <c r="E35867" s="8">
        <v>1</v>
      </c>
      <c r="F35867" s="8">
        <v>27</v>
      </c>
    </row>
    <row r="35868" spans="1:6" ht="12.75">
      <c r="A35868" s="8">
        <v>43888.413310185184</v>
      </c>
      <c r="B35868" s="8" t="str">
        <f>HYPERLINK("https://twitter.com/antara_babel","@antara_babel")</f>
        <v>@antara_babel</v>
      </c>
      <c r="C35868" s="8" t="s">
        <v>13853</v>
      </c>
      <c r="D35868" s="8">
        <v>0</v>
      </c>
      <c r="E35868" s="8">
        <v>0</v>
      </c>
      <c r="F35868" s="8">
        <v>722</v>
      </c>
    </row>
    <row r="35869" spans="1:6" ht="12.75">
      <c r="A35869" s="8">
        <v>43888.413240740745</v>
      </c>
      <c r="B35869" s="8" t="str">
        <f>HYPERLINK("https://twitter.com/ArielSalfa","@ArielSalfa")</f>
        <v>@ArielSalfa</v>
      </c>
      <c r="C35869" s="8" t="s">
        <v>13854</v>
      </c>
      <c r="D35869" s="8">
        <v>9749</v>
      </c>
      <c r="E35869" s="8">
        <v>0</v>
      </c>
      <c r="F35869" s="8">
        <v>816</v>
      </c>
    </row>
    <row r="35870" spans="1:6" ht="12.75">
      <c r="A35870" s="8">
        <v>43888.412974537037</v>
      </c>
      <c r="B35870" s="8" t="str">
        <f>HYPERLINK("https://twitter.com/ronirustamadji","@ronirustamadji")</f>
        <v>@ronirustamadji</v>
      </c>
      <c r="C35870" s="8" t="s">
        <v>12906</v>
      </c>
      <c r="D35870" s="8">
        <v>5</v>
      </c>
      <c r="E35870" s="8">
        <v>0</v>
      </c>
      <c r="F35870" s="8">
        <v>3267</v>
      </c>
    </row>
    <row r="35871" spans="1:6" ht="12.75">
      <c r="A35871" s="8">
        <v>43888.412731481483</v>
      </c>
      <c r="B35871" s="8" t="str">
        <f>HYPERLINK("https://twitter.com/2sechan","@2sechan")</f>
        <v>@2sechan</v>
      </c>
      <c r="C35871" s="8" t="s">
        <v>8484</v>
      </c>
      <c r="D35871" s="8">
        <v>1030</v>
      </c>
      <c r="E35871" s="8">
        <v>0</v>
      </c>
      <c r="F35871" s="8">
        <v>31</v>
      </c>
    </row>
    <row r="35872" spans="1:6" ht="12.75">
      <c r="A35872" s="8">
        <v>43888.412407407406</v>
      </c>
      <c r="B35872" s="8" t="str">
        <f>HYPERLINK("https://twitter.com/goenawangn","@goenawangn")</f>
        <v>@goenawangn</v>
      </c>
      <c r="C35872" s="8" t="s">
        <v>12052</v>
      </c>
      <c r="D35872" s="8">
        <v>42</v>
      </c>
      <c r="E35872" s="8">
        <v>0</v>
      </c>
      <c r="F35872" s="8">
        <v>627</v>
      </c>
    </row>
    <row r="35873" spans="1:6" ht="12.75">
      <c r="A35873" s="8">
        <v>43888.41238425926</v>
      </c>
      <c r="B35873" s="8" t="str">
        <f>HYPERLINK("https://twitter.com/bluenrd","@bluenrd")</f>
        <v>@bluenrd</v>
      </c>
      <c r="C35873" s="8" t="s">
        <v>593</v>
      </c>
      <c r="D35873" s="8">
        <v>313</v>
      </c>
      <c r="E35873" s="8">
        <v>0</v>
      </c>
      <c r="F35873" s="8">
        <v>244</v>
      </c>
    </row>
    <row r="35874" spans="1:6" ht="12.75">
      <c r="A35874" s="8">
        <v>43888.412222222221</v>
      </c>
      <c r="B35874" s="8" t="str">
        <f>HYPERLINK("https://twitter.com/almarasya1150","@almarasya1150")</f>
        <v>@almarasya1150</v>
      </c>
      <c r="C35874" s="8" t="s">
        <v>12723</v>
      </c>
      <c r="D35874" s="8">
        <v>10</v>
      </c>
      <c r="E35874" s="8">
        <v>0</v>
      </c>
      <c r="F35874" s="8">
        <v>279</v>
      </c>
    </row>
    <row r="35875" spans="1:6" ht="12.75">
      <c r="A35875" s="8">
        <v>43888.412175925929</v>
      </c>
      <c r="B35875" s="8" t="str">
        <f>HYPERLINK("https://twitter.com/SCTV","@SCTV")</f>
        <v>@SCTV</v>
      </c>
      <c r="C35875" s="8" t="s">
        <v>13855</v>
      </c>
      <c r="D35875" s="8">
        <v>0</v>
      </c>
      <c r="E35875" s="8">
        <v>5</v>
      </c>
      <c r="F35875" s="8">
        <v>4480562</v>
      </c>
    </row>
    <row r="35876" spans="1:6" ht="12.75">
      <c r="A35876" s="8">
        <v>43888.412083333329</v>
      </c>
      <c r="B35876" s="8" t="str">
        <f>HYPERLINK("https://twitter.com/rezakrisna28","@rezakrisna28")</f>
        <v>@rezakrisna28</v>
      </c>
      <c r="C35876" s="8" t="s">
        <v>6863</v>
      </c>
      <c r="D35876" s="8">
        <v>129</v>
      </c>
      <c r="E35876" s="8">
        <v>0</v>
      </c>
      <c r="F35876" s="8">
        <v>264</v>
      </c>
    </row>
    <row r="35877" spans="1:6" ht="12.75">
      <c r="A35877" s="8">
        <v>43888.411979166667</v>
      </c>
      <c r="B35877" s="8" t="str">
        <f>HYPERLINK("https://twitter.com/mutanjava","@mutanjava")</f>
        <v>@mutanjava</v>
      </c>
      <c r="C35877" s="8" t="s">
        <v>13856</v>
      </c>
      <c r="D35877" s="8">
        <v>0</v>
      </c>
      <c r="E35877" s="8">
        <v>0</v>
      </c>
      <c r="F35877" s="8">
        <v>27</v>
      </c>
    </row>
    <row r="35878" spans="1:6" ht="12.75">
      <c r="A35878" s="8">
        <v>43888.411932870367</v>
      </c>
      <c r="B35878" s="8" t="str">
        <f>HYPERLINK("https://twitter.com/kmyohanz","@kmyohanz")</f>
        <v>@kmyohanz</v>
      </c>
      <c r="C35878" s="8" t="s">
        <v>13857</v>
      </c>
      <c r="D35878" s="8">
        <v>0</v>
      </c>
      <c r="E35878" s="8">
        <v>0</v>
      </c>
      <c r="F35878" s="8">
        <v>665</v>
      </c>
    </row>
    <row r="35879" spans="1:6" ht="12.75">
      <c r="A35879" s="8">
        <v>43888.411689814813</v>
      </c>
      <c r="B35879" s="8" t="str">
        <f>HYPERLINK("https://twitter.com/shi__wie","@shi__wie")</f>
        <v>@shi__wie</v>
      </c>
      <c r="C35879" s="8" t="s">
        <v>12406</v>
      </c>
      <c r="D35879" s="8">
        <v>105</v>
      </c>
      <c r="E35879" s="8">
        <v>0</v>
      </c>
      <c r="F35879" s="8">
        <v>331</v>
      </c>
    </row>
    <row r="35880" spans="1:6" ht="12.75">
      <c r="A35880" s="8">
        <v>43888.411458333328</v>
      </c>
      <c r="B35880" s="8" t="str">
        <f>HYPERLINK("https://twitter.com/LilianaNita","@LilianaNita")</f>
        <v>@LilianaNita</v>
      </c>
      <c r="C35880" s="8" t="s">
        <v>13858</v>
      </c>
      <c r="D35880" s="8">
        <v>3</v>
      </c>
      <c r="E35880" s="8">
        <v>0</v>
      </c>
      <c r="F35880" s="8">
        <v>1325</v>
      </c>
    </row>
    <row r="35881" spans="1:6" ht="12.75">
      <c r="A35881" s="8">
        <v>43888.411446759259</v>
      </c>
      <c r="B35881" s="8" t="str">
        <f>HYPERLINK("https://twitter.com/faisholaz","@faisholaz")</f>
        <v>@faisholaz</v>
      </c>
      <c r="C35881" s="8" t="s">
        <v>6863</v>
      </c>
      <c r="D35881" s="8">
        <v>129</v>
      </c>
      <c r="E35881" s="8">
        <v>0</v>
      </c>
      <c r="F35881" s="8">
        <v>318</v>
      </c>
    </row>
    <row r="35882" spans="1:6" ht="12.75">
      <c r="A35882" s="8">
        <v>43888.411365740743</v>
      </c>
      <c r="B35882" s="8" t="str">
        <f>HYPERLINK("https://twitter.com/infoppkk","@infoppkk")</f>
        <v>@infoppkk</v>
      </c>
      <c r="C35882" s="8" t="s">
        <v>12390</v>
      </c>
      <c r="D35882" s="8">
        <v>4</v>
      </c>
      <c r="E35882" s="8">
        <v>0</v>
      </c>
      <c r="F35882" s="8">
        <v>5166</v>
      </c>
    </row>
    <row r="35883" spans="1:6" ht="12.75">
      <c r="A35883" s="8">
        <v>43888.411273148144</v>
      </c>
      <c r="B35883" s="8" t="str">
        <f>HYPERLINK("https://twitter.com/henryaamri","@henryaamri")</f>
        <v>@henryaamri</v>
      </c>
      <c r="C35883" s="8" t="s">
        <v>6863</v>
      </c>
      <c r="D35883" s="8">
        <v>129</v>
      </c>
      <c r="E35883" s="8">
        <v>0</v>
      </c>
      <c r="F35883" s="8">
        <v>328</v>
      </c>
    </row>
    <row r="35884" spans="1:6" ht="12.75">
      <c r="A35884" s="8">
        <v>43888.411215277782</v>
      </c>
      <c r="B35884" s="8" t="str">
        <f>HYPERLINK("https://twitter.com/Narasiku1","@Narasiku1")</f>
        <v>@Narasiku1</v>
      </c>
      <c r="C35884" s="8" t="s">
        <v>13859</v>
      </c>
      <c r="D35884" s="8">
        <v>0</v>
      </c>
      <c r="E35884" s="8">
        <v>0</v>
      </c>
      <c r="F35884" s="8">
        <v>71</v>
      </c>
    </row>
    <row r="35885" spans="1:6" ht="12.75">
      <c r="A35885" s="8">
        <v>43888.410983796297</v>
      </c>
      <c r="B35885" s="8" t="str">
        <f>HYPERLINK("https://twitter.com/Mutiaerlinda","@Mutiaerlinda")</f>
        <v>@Mutiaerlinda</v>
      </c>
      <c r="C35885" s="8" t="s">
        <v>11773</v>
      </c>
      <c r="D35885" s="8">
        <v>339</v>
      </c>
      <c r="E35885" s="8">
        <v>0</v>
      </c>
      <c r="F35885" s="8">
        <v>2</v>
      </c>
    </row>
    <row r="35886" spans="1:6" ht="12.75">
      <c r="A35886" s="8">
        <v>43888.410925925928</v>
      </c>
      <c r="B35886" s="8" t="str">
        <f>HYPERLINK("https://twitter.com/LordGumilar619","@LordGumilar619")</f>
        <v>@LordGumilar619</v>
      </c>
      <c r="C35886" s="8" t="s">
        <v>13860</v>
      </c>
      <c r="D35886" s="8">
        <v>0</v>
      </c>
      <c r="E35886" s="8">
        <v>0</v>
      </c>
      <c r="F35886" s="8">
        <v>8</v>
      </c>
    </row>
    <row r="35887" spans="1:6" ht="12.75">
      <c r="A35887" s="8">
        <v>43888.410844907412</v>
      </c>
      <c r="B35887" s="8" t="str">
        <f>HYPERLINK("https://twitter.com/ImJaya5","@ImJaya5")</f>
        <v>@ImJaya5</v>
      </c>
      <c r="C35887" s="8" t="s">
        <v>13861</v>
      </c>
      <c r="D35887" s="8">
        <v>0</v>
      </c>
      <c r="E35887" s="8">
        <v>1</v>
      </c>
      <c r="F35887" s="8">
        <v>2</v>
      </c>
    </row>
    <row r="35888" spans="1:6" ht="12.75">
      <c r="A35888" s="8">
        <v>43888.38175925926</v>
      </c>
      <c r="B35888" s="8" t="str">
        <f>HYPERLINK("https://twitter.com/sunhaeya","@sunhaeya")</f>
        <v>@sunhaeya</v>
      </c>
      <c r="C35888" s="8" t="s">
        <v>13862</v>
      </c>
      <c r="D35888" s="8">
        <v>4</v>
      </c>
      <c r="E35888" s="8">
        <v>0</v>
      </c>
      <c r="F35888" s="8">
        <v>157</v>
      </c>
    </row>
    <row r="35889" spans="1:6" ht="12.75">
      <c r="A35889" s="8">
        <v>43888.381469907406</v>
      </c>
      <c r="B35889" s="8" t="str">
        <f>HYPERLINK("https://twitter.com/weirdolunatic","@weirdolunatic")</f>
        <v>@weirdolunatic</v>
      </c>
      <c r="C35889" s="8" t="s">
        <v>6863</v>
      </c>
      <c r="D35889" s="8">
        <v>74</v>
      </c>
      <c r="E35889" s="8">
        <v>0</v>
      </c>
      <c r="F35889" s="8">
        <v>11</v>
      </c>
    </row>
    <row r="35890" spans="1:6" ht="12.75">
      <c r="A35890" s="8">
        <v>43888.381261574075</v>
      </c>
      <c r="B35890" s="8" t="str">
        <f>HYPERLINK("https://twitter.com/asepkuswara10","@asepkuswara10")</f>
        <v>@asepkuswara10</v>
      </c>
      <c r="C35890" s="8" t="s">
        <v>6863</v>
      </c>
      <c r="D35890" s="8">
        <v>75</v>
      </c>
      <c r="E35890" s="8">
        <v>0</v>
      </c>
      <c r="F35890" s="8">
        <v>65</v>
      </c>
    </row>
    <row r="35891" spans="1:6" ht="12.75">
      <c r="A35891" s="8">
        <v>43888.380972222221</v>
      </c>
      <c r="B35891" s="8" t="str">
        <f>HYPERLINK("https://twitter.com/dimasericksha","@dimasericksha")</f>
        <v>@dimasericksha</v>
      </c>
      <c r="C35891" s="8" t="s">
        <v>11773</v>
      </c>
      <c r="D35891" s="8">
        <v>326</v>
      </c>
      <c r="E35891" s="8">
        <v>0</v>
      </c>
      <c r="F35891" s="8">
        <v>8</v>
      </c>
    </row>
    <row r="35892" spans="1:6" ht="12.75">
      <c r="A35892" s="8">
        <v>43888.380636574075</v>
      </c>
      <c r="B35892" s="8" t="str">
        <f>HYPERLINK("https://twitter.com/MrsRachelIn","@MrsRachelIn")</f>
        <v>@MrsRachelIn</v>
      </c>
      <c r="C35892" s="8" t="s">
        <v>13863</v>
      </c>
      <c r="D35892" s="8">
        <v>0</v>
      </c>
      <c r="E35892" s="8">
        <v>1</v>
      </c>
      <c r="F35892" s="8">
        <v>3341</v>
      </c>
    </row>
    <row r="35893" spans="1:6" ht="12.75">
      <c r="A35893" s="8">
        <v>43888.380486111113</v>
      </c>
      <c r="B35893" s="8" t="str">
        <f>HYPERLINK("https://twitter.com/EniTurmiasih","@EniTurmiasih")</f>
        <v>@EniTurmiasih</v>
      </c>
      <c r="C35893" s="8" t="s">
        <v>6863</v>
      </c>
      <c r="D35893" s="8">
        <v>75</v>
      </c>
      <c r="E35893" s="8">
        <v>0</v>
      </c>
      <c r="F35893" s="8">
        <v>6</v>
      </c>
    </row>
    <row r="35894" spans="1:6" ht="12.75">
      <c r="A35894" s="8">
        <v>43888.380439814813</v>
      </c>
      <c r="B35894" s="8" t="str">
        <f>HYPERLINK("https://twitter.com/HonorerPejuang","@HonorerPejuang")</f>
        <v>@HonorerPejuang</v>
      </c>
      <c r="C35894" s="8" t="s">
        <v>13864</v>
      </c>
      <c r="D35894" s="8">
        <v>0</v>
      </c>
      <c r="E35894" s="8">
        <v>0</v>
      </c>
      <c r="F35894" s="8">
        <v>49</v>
      </c>
    </row>
    <row r="35895" spans="1:6" ht="12.75">
      <c r="A35895" s="8">
        <v>43888.379375000004</v>
      </c>
      <c r="B35895" s="8" t="str">
        <f>HYPERLINK("https://twitter.com/trisnapangety_","@trisnapangety_")</f>
        <v>@trisnapangety_</v>
      </c>
      <c r="C35895" s="8" t="s">
        <v>13865</v>
      </c>
      <c r="D35895" s="8">
        <v>0</v>
      </c>
      <c r="E35895" s="8">
        <v>0</v>
      </c>
      <c r="F35895" s="8">
        <v>44</v>
      </c>
    </row>
    <row r="35896" spans="1:6" ht="12.75">
      <c r="A35896" s="8">
        <v>43888.379293981481</v>
      </c>
      <c r="B35896" s="8" t="str">
        <f>HYPERLINK("https://twitter.com/dannyym__","@dannyym__")</f>
        <v>@dannyym__</v>
      </c>
      <c r="C35896" s="8" t="s">
        <v>13866</v>
      </c>
      <c r="D35896" s="8">
        <v>0</v>
      </c>
      <c r="E35896" s="8">
        <v>0</v>
      </c>
      <c r="F35896" s="8">
        <v>79</v>
      </c>
    </row>
    <row r="35897" spans="1:6" ht="12.75">
      <c r="A35897" s="8">
        <v>43888.379201388889</v>
      </c>
      <c r="B35897" s="8" t="str">
        <f>HYPERLINK("https://twitter.com/DewaDewadwipa28","@DewaDewadwipa28")</f>
        <v>@DewaDewadwipa28</v>
      </c>
      <c r="C35897" s="8" t="s">
        <v>6863</v>
      </c>
      <c r="D35897" s="8">
        <v>75</v>
      </c>
      <c r="E35897" s="8">
        <v>0</v>
      </c>
      <c r="F35897" s="8">
        <v>137</v>
      </c>
    </row>
    <row r="35898" spans="1:6" ht="12.75">
      <c r="A35898" s="8">
        <v>43888.379004629634</v>
      </c>
      <c r="B35898" s="8" t="str">
        <f>HYPERLINK("https://twitter.com/RadarNegeriku","@RadarNegeriku")</f>
        <v>@RadarNegeriku</v>
      </c>
      <c r="C35898" s="8" t="s">
        <v>13864</v>
      </c>
      <c r="D35898" s="8">
        <v>0</v>
      </c>
      <c r="E35898" s="8">
        <v>0</v>
      </c>
      <c r="F35898" s="8">
        <v>133</v>
      </c>
    </row>
    <row r="35899" spans="1:6" ht="12.75">
      <c r="A35899" s="8">
        <v>43888.378865740742</v>
      </c>
      <c r="B35899" s="8" t="str">
        <f>HYPERLINK("https://twitter.com/Rusdi6518","@Rusdi6518")</f>
        <v>@Rusdi6518</v>
      </c>
      <c r="C35899" s="8" t="s">
        <v>13867</v>
      </c>
      <c r="D35899" s="8">
        <v>0</v>
      </c>
      <c r="E35899" s="8">
        <v>0</v>
      </c>
      <c r="F35899" s="8">
        <v>23</v>
      </c>
    </row>
    <row r="35900" spans="1:6" ht="12.75">
      <c r="A35900" s="8">
        <v>43888.378530092596</v>
      </c>
      <c r="B35900" s="8" t="str">
        <f>HYPERLINK("https://twitter.com/Hin1818","@Hin1818")</f>
        <v>@Hin1818</v>
      </c>
      <c r="C35900" s="8" t="s">
        <v>11773</v>
      </c>
      <c r="D35900" s="8">
        <v>326</v>
      </c>
      <c r="E35900" s="8">
        <v>0</v>
      </c>
      <c r="F35900" s="8">
        <v>343</v>
      </c>
    </row>
    <row r="35901" spans="1:6" ht="12.75">
      <c r="A35901" s="8">
        <v>43888.378483796296</v>
      </c>
      <c r="B35901" s="8" t="str">
        <f>HYPERLINK("https://twitter.com/kickamprt","@kickamprt")</f>
        <v>@kickamprt</v>
      </c>
      <c r="C35901" s="8" t="s">
        <v>13868</v>
      </c>
      <c r="D35901" s="8">
        <v>0</v>
      </c>
      <c r="E35901" s="8">
        <v>0</v>
      </c>
      <c r="F35901" s="8">
        <v>3</v>
      </c>
    </row>
    <row r="35902" spans="1:6" ht="12.75">
      <c r="A35902" s="8">
        <v>43888.378472222219</v>
      </c>
      <c r="B35902" s="8" t="str">
        <f>HYPERLINK("https://twitter.com/jangkarlaut54","@jangkarlaut54")</f>
        <v>@jangkarlaut54</v>
      </c>
      <c r="C35902" s="8" t="s">
        <v>13869</v>
      </c>
      <c r="D35902" s="8">
        <v>0</v>
      </c>
      <c r="E35902" s="8">
        <v>0</v>
      </c>
      <c r="F35902" s="8">
        <v>1356</v>
      </c>
    </row>
    <row r="35903" spans="1:6" ht="12.75">
      <c r="A35903" s="8">
        <v>43888.378425925926</v>
      </c>
      <c r="B35903" s="8" t="str">
        <f>HYPERLINK("https://twitter.com/fakg0TNOrH2fGEp","@fakg0TNOrH2fGEp")</f>
        <v>@fakg0TNOrH2fGEp</v>
      </c>
      <c r="C35903" s="8" t="s">
        <v>8484</v>
      </c>
      <c r="D35903" s="8">
        <v>1025</v>
      </c>
      <c r="E35903" s="8">
        <v>0</v>
      </c>
      <c r="F35903" s="8">
        <v>71</v>
      </c>
    </row>
    <row r="35904" spans="1:6" ht="12.75">
      <c r="A35904" s="8">
        <v>43888.378263888888</v>
      </c>
      <c r="B35904" s="8" t="str">
        <f>HYPERLINK("https://twitter.com/ianbura","@ianbura")</f>
        <v>@ianbura</v>
      </c>
      <c r="C35904" s="8" t="s">
        <v>13870</v>
      </c>
      <c r="D35904" s="8">
        <v>0</v>
      </c>
      <c r="E35904" s="8">
        <v>0</v>
      </c>
      <c r="F35904" s="8">
        <v>742</v>
      </c>
    </row>
    <row r="35905" spans="1:6" ht="12.75">
      <c r="A35905" s="8">
        <v>43888.378229166672</v>
      </c>
      <c r="B35905" s="8" t="str">
        <f>HYPERLINK("https://twitter.com/Frijnoff","@Frijnoff")</f>
        <v>@Frijnoff</v>
      </c>
      <c r="C35905" s="8" t="s">
        <v>13871</v>
      </c>
      <c r="D35905" s="8">
        <v>0</v>
      </c>
      <c r="E35905" s="8">
        <v>0</v>
      </c>
      <c r="F35905" s="8">
        <v>1067</v>
      </c>
    </row>
    <row r="35906" spans="1:6" ht="12.75">
      <c r="A35906" s="8">
        <v>43888.377962962964</v>
      </c>
      <c r="B35906" s="8" t="str">
        <f>HYPERLINK("https://twitter.com/samgyeopshal","@samgyeopshal")</f>
        <v>@samgyeopshal</v>
      </c>
      <c r="C35906" s="8" t="s">
        <v>13862</v>
      </c>
      <c r="D35906" s="8">
        <v>4</v>
      </c>
      <c r="E35906" s="8">
        <v>0</v>
      </c>
      <c r="F35906" s="8">
        <v>549</v>
      </c>
    </row>
    <row r="35907" spans="1:6" ht="12.75">
      <c r="A35907" s="8">
        <v>43888.377766203703</v>
      </c>
      <c r="B35907" s="8" t="str">
        <f>HYPERLINK("https://twitter.com/jurnalis_selow","@jurnalis_selow")</f>
        <v>@jurnalis_selow</v>
      </c>
      <c r="C35907" s="8" t="s">
        <v>13864</v>
      </c>
      <c r="D35907" s="8">
        <v>0</v>
      </c>
      <c r="E35907" s="8">
        <v>0</v>
      </c>
      <c r="F35907" s="8">
        <v>692</v>
      </c>
    </row>
    <row r="35908" spans="1:6" ht="12.75">
      <c r="A35908" s="8">
        <v>43888.377152777779</v>
      </c>
      <c r="B35908" s="8" t="str">
        <f>HYPERLINK("https://twitter.com/cangcingiss","@cangcingiss")</f>
        <v>@cangcingiss</v>
      </c>
      <c r="C35908" s="8" t="s">
        <v>13495</v>
      </c>
      <c r="D35908" s="8">
        <v>12</v>
      </c>
      <c r="E35908" s="8">
        <v>0</v>
      </c>
      <c r="F35908" s="8">
        <v>264</v>
      </c>
    </row>
    <row r="35909" spans="1:6" ht="12.75">
      <c r="A35909" s="8">
        <v>43888.376608796301</v>
      </c>
      <c r="B35909" s="8" t="str">
        <f>HYPERLINK("https://twitter.com/hantumuka2","@hantumuka2")</f>
        <v>@hantumuka2</v>
      </c>
      <c r="C35909" s="8" t="s">
        <v>13872</v>
      </c>
      <c r="D35909" s="8">
        <v>0</v>
      </c>
      <c r="E35909" s="8">
        <v>0</v>
      </c>
      <c r="F35909" s="8">
        <v>36</v>
      </c>
    </row>
    <row r="35910" spans="1:6" ht="12.75">
      <c r="A35910" s="8">
        <v>43888.376412037032</v>
      </c>
      <c r="B35910" s="8" t="str">
        <f>HYPERLINK("https://twitter.com/medya0721","@medya0721")</f>
        <v>@medya0721</v>
      </c>
      <c r="C35910" s="8" t="s">
        <v>12800</v>
      </c>
      <c r="D35910" s="8">
        <v>196</v>
      </c>
      <c r="E35910" s="8">
        <v>0</v>
      </c>
      <c r="F35910" s="8">
        <v>219</v>
      </c>
    </row>
    <row r="35911" spans="1:6" ht="12.75">
      <c r="A35911" s="8">
        <v>43888.376319444447</v>
      </c>
      <c r="B35911" s="8" t="str">
        <f>HYPERLINK("https://twitter.com/Agustok30271387","@Agustok30271387")</f>
        <v>@Agustok30271387</v>
      </c>
      <c r="C35911" s="8" t="s">
        <v>13873</v>
      </c>
      <c r="D35911" s="8">
        <v>0</v>
      </c>
      <c r="E35911" s="8">
        <v>0</v>
      </c>
      <c r="F35911" s="8">
        <v>238</v>
      </c>
    </row>
    <row r="35912" spans="1:6" ht="12.75">
      <c r="A35912" s="8">
        <v>43888.376215277778</v>
      </c>
      <c r="B35912" s="8" t="str">
        <f>HYPERLINK("https://twitter.com/TeyengCekap","@TeyengCekap")</f>
        <v>@TeyengCekap</v>
      </c>
      <c r="C35912" s="8" t="s">
        <v>13874</v>
      </c>
      <c r="D35912" s="8">
        <v>22</v>
      </c>
      <c r="E35912" s="8">
        <v>0</v>
      </c>
      <c r="F35912" s="8">
        <v>5347</v>
      </c>
    </row>
    <row r="35913" spans="1:6" ht="12.75">
      <c r="A35913" s="8">
        <v>43888.376192129625</v>
      </c>
      <c r="B35913" s="8" t="str">
        <f t="shared" ref="B35913:B35914" si="514">HYPERLINK("https://twitter.com/prapti_sulistia","@prapti_sulistia")</f>
        <v>@prapti_sulistia</v>
      </c>
      <c r="C35913" s="8" t="s">
        <v>13875</v>
      </c>
      <c r="D35913" s="8">
        <v>21</v>
      </c>
      <c r="E35913" s="8">
        <v>0</v>
      </c>
      <c r="F35913" s="8">
        <v>364</v>
      </c>
    </row>
    <row r="35914" spans="1:6" ht="12.75">
      <c r="A35914" s="8">
        <v>43888.376180555555</v>
      </c>
      <c r="B35914" s="8" t="str">
        <f t="shared" si="514"/>
        <v>@prapti_sulistia</v>
      </c>
      <c r="C35914" s="8" t="s">
        <v>13876</v>
      </c>
      <c r="D35914" s="8">
        <v>1</v>
      </c>
      <c r="E35914" s="8">
        <v>0</v>
      </c>
      <c r="F35914" s="8">
        <v>364</v>
      </c>
    </row>
    <row r="35915" spans="1:6" ht="12.75">
      <c r="A35915" s="8">
        <v>43888.376122685186</v>
      </c>
      <c r="B35915" s="8" t="str">
        <f>HYPERLINK("https://twitter.com/2Sry1609","@2Sry1609")</f>
        <v>@2Sry1609</v>
      </c>
      <c r="C35915" s="8" t="s">
        <v>13877</v>
      </c>
      <c r="D35915" s="8">
        <v>0</v>
      </c>
      <c r="E35915" s="8">
        <v>0</v>
      </c>
      <c r="F35915" s="8">
        <v>1661</v>
      </c>
    </row>
    <row r="35916" spans="1:6" ht="12.75">
      <c r="A35916" s="8">
        <v>43888.376076388886</v>
      </c>
      <c r="B35916" s="8" t="str">
        <f>HYPERLINK("https://twitter.com/Xtrada08","@Xtrada08")</f>
        <v>@Xtrada08</v>
      </c>
      <c r="C35916" s="8" t="s">
        <v>1435</v>
      </c>
      <c r="D35916" s="8">
        <v>835</v>
      </c>
      <c r="E35916" s="8">
        <v>0</v>
      </c>
      <c r="F35916" s="8">
        <v>430</v>
      </c>
    </row>
    <row r="35917" spans="1:6" ht="12.75">
      <c r="A35917" s="8">
        <v>43888.375740740739</v>
      </c>
      <c r="B35917" s="8" t="str">
        <f>HYPERLINK("https://twitter.com/bruggesbeer","@bruggesbeer")</f>
        <v>@bruggesbeer</v>
      </c>
      <c r="C35917" s="8" t="s">
        <v>6863</v>
      </c>
      <c r="D35917" s="8">
        <v>75</v>
      </c>
      <c r="E35917" s="8">
        <v>0</v>
      </c>
      <c r="F35917" s="8">
        <v>98</v>
      </c>
    </row>
    <row r="35918" spans="1:6" ht="12.75">
      <c r="A35918" s="8">
        <v>43888.375578703708</v>
      </c>
      <c r="B35918" s="8" t="str">
        <f>HYPERLINK("https://twitter.com/syamsulhadi_ae","@syamsulhadi_ae")</f>
        <v>@syamsulhadi_ae</v>
      </c>
      <c r="C35918" s="8" t="s">
        <v>11773</v>
      </c>
      <c r="D35918" s="8">
        <v>326</v>
      </c>
      <c r="E35918" s="8">
        <v>0</v>
      </c>
      <c r="F35918" s="8">
        <v>241</v>
      </c>
    </row>
    <row r="35919" spans="1:6" ht="12.75">
      <c r="A35919" s="8">
        <v>43888.375393518523</v>
      </c>
      <c r="B35919" s="8" t="str">
        <f t="shared" ref="B35919:B35920" si="515">HYPERLINK("https://twitter.com/vickysimatupang","@vickysimatupang")</f>
        <v>@vickysimatupang</v>
      </c>
      <c r="C35919" s="8" t="s">
        <v>13878</v>
      </c>
      <c r="D35919" s="8">
        <v>1</v>
      </c>
      <c r="E35919" s="8">
        <v>0</v>
      </c>
      <c r="F35919" s="8">
        <v>417</v>
      </c>
    </row>
    <row r="35920" spans="1:6" ht="12.75">
      <c r="A35920" s="8">
        <v>43888.375243055554</v>
      </c>
      <c r="B35920" s="8" t="str">
        <f t="shared" si="515"/>
        <v>@vickysimatupang</v>
      </c>
      <c r="C35920" s="8" t="s">
        <v>13879</v>
      </c>
      <c r="D35920" s="8">
        <v>2</v>
      </c>
      <c r="E35920" s="8">
        <v>0</v>
      </c>
      <c r="F35920" s="8">
        <v>417</v>
      </c>
    </row>
    <row r="35921" spans="1:6" ht="12.75">
      <c r="A35921" s="8">
        <v>43888.375104166669</v>
      </c>
      <c r="B35921" s="8" t="str">
        <f>HYPERLINK("https://twitter.com/LOVEYOUMOMMY2","@LOVEYOUMOMMY2")</f>
        <v>@LOVEYOUMOMMY2</v>
      </c>
      <c r="C35921" s="8" t="s">
        <v>13880</v>
      </c>
      <c r="D35921" s="8">
        <v>0</v>
      </c>
      <c r="E35921" s="8">
        <v>0</v>
      </c>
      <c r="F35921" s="8">
        <v>142</v>
      </c>
    </row>
    <row r="35922" spans="1:6" ht="12.75">
      <c r="A35922" s="8">
        <v>43888.374861111108</v>
      </c>
      <c r="B35922" s="8" t="str">
        <f>HYPERLINK("https://twitter.com/TeyengCekap","@TeyengCekap")</f>
        <v>@TeyengCekap</v>
      </c>
      <c r="C35922" s="8" t="s">
        <v>13881</v>
      </c>
      <c r="D35922" s="8">
        <v>9</v>
      </c>
      <c r="E35922" s="8">
        <v>0</v>
      </c>
      <c r="F35922" s="8">
        <v>5347</v>
      </c>
    </row>
    <row r="35923" spans="1:6" ht="12.75">
      <c r="A35923" s="8">
        <v>43888.37462962963</v>
      </c>
      <c r="B35923" s="8" t="str">
        <f>HYPERLINK("https://twitter.com/rosiana_kristia","@rosiana_kristia")</f>
        <v>@rosiana_kristia</v>
      </c>
      <c r="C35923" s="8" t="s">
        <v>6863</v>
      </c>
      <c r="D35923" s="8">
        <v>75</v>
      </c>
      <c r="E35923" s="8">
        <v>0</v>
      </c>
      <c r="F35923" s="8">
        <v>71</v>
      </c>
    </row>
    <row r="35924" spans="1:6" ht="12.75">
      <c r="A35924" s="8">
        <v>43888.374525462961</v>
      </c>
      <c r="B35924" s="8" t="str">
        <f>HYPERLINK("https://twitter.com/KangHendro2","@KangHendro2")</f>
        <v>@KangHendro2</v>
      </c>
      <c r="C35924" s="8" t="s">
        <v>13882</v>
      </c>
      <c r="D35924" s="8">
        <v>0</v>
      </c>
      <c r="E35924" s="8">
        <v>0</v>
      </c>
      <c r="F35924" s="8">
        <v>678</v>
      </c>
    </row>
    <row r="35925" spans="1:6" ht="12.75">
      <c r="A35925" s="8">
        <v>43888.374490740738</v>
      </c>
      <c r="B35925" s="8" t="str">
        <f>HYPERLINK("https://twitter.com/Gemiwee","@Gemiwee")</f>
        <v>@Gemiwee</v>
      </c>
      <c r="C35925" s="8" t="s">
        <v>6863</v>
      </c>
      <c r="D35925" s="8">
        <v>75</v>
      </c>
      <c r="E35925" s="8">
        <v>0</v>
      </c>
      <c r="F35925" s="8">
        <v>398</v>
      </c>
    </row>
    <row r="35926" spans="1:6" ht="12.75">
      <c r="A35926" s="8">
        <v>43888.374212962968</v>
      </c>
      <c r="B35926" s="8" t="str">
        <f>HYPERLINK("https://twitter.com/AnakKolong___","@AnakKolong___")</f>
        <v>@AnakKolong___</v>
      </c>
      <c r="C35926" s="8" t="s">
        <v>13883</v>
      </c>
      <c r="D35926" s="8">
        <v>2</v>
      </c>
      <c r="E35926" s="8">
        <v>0</v>
      </c>
      <c r="F35926" s="8">
        <v>7077</v>
      </c>
    </row>
    <row r="35927" spans="1:6" ht="12.75">
      <c r="A35927" s="8">
        <v>43888.374189814815</v>
      </c>
      <c r="B35927" s="8" t="str">
        <f>HYPERLINK("https://twitter.com/QminCak","@QminCak")</f>
        <v>@QminCak</v>
      </c>
      <c r="C35927" s="8" t="s">
        <v>13884</v>
      </c>
      <c r="D35927" s="8">
        <v>137</v>
      </c>
      <c r="E35927" s="8">
        <v>0</v>
      </c>
      <c r="F35927" s="8">
        <v>870</v>
      </c>
    </row>
    <row r="35928" spans="1:6" ht="12.75">
      <c r="A35928" s="8">
        <v>43888.373680555553</v>
      </c>
      <c r="B35928" s="8" t="str">
        <f>HYPERLINK("https://twitter.com/bangsatwika","@bangsatwika")</f>
        <v>@bangsatwika</v>
      </c>
      <c r="C35928" s="8" t="s">
        <v>13885</v>
      </c>
      <c r="D35928" s="8">
        <v>0</v>
      </c>
      <c r="E35928" s="8">
        <v>0</v>
      </c>
      <c r="F35928" s="8">
        <v>356</v>
      </c>
    </row>
    <row r="35929" spans="1:6" ht="12.75">
      <c r="A35929" s="8">
        <v>43888.373530092591</v>
      </c>
      <c r="B35929" s="8" t="str">
        <f>HYPERLINK("https://twitter.com/noviyntiiii","@noviyntiiii")</f>
        <v>@noviyntiiii</v>
      </c>
      <c r="C35929" s="8" t="s">
        <v>6863</v>
      </c>
      <c r="D35929" s="8">
        <v>75</v>
      </c>
      <c r="E35929" s="8">
        <v>0</v>
      </c>
      <c r="F35929" s="8">
        <v>366</v>
      </c>
    </row>
    <row r="35930" spans="1:6" ht="12.75">
      <c r="A35930" s="8">
        <v>43888.373506944445</v>
      </c>
      <c r="B35930" s="8" t="str">
        <f>HYPERLINK("https://twitter.com/minosrocket","@minosrocket")</f>
        <v>@minosrocket</v>
      </c>
      <c r="C35930" s="8" t="s">
        <v>13886</v>
      </c>
      <c r="D35930" s="8">
        <v>0</v>
      </c>
      <c r="E35930" s="8">
        <v>0</v>
      </c>
      <c r="F35930" s="8">
        <v>160</v>
      </c>
    </row>
    <row r="35931" spans="1:6" ht="12.75">
      <c r="A35931" s="8">
        <v>43888.373495370368</v>
      </c>
      <c r="B35931" s="8" t="str">
        <f>HYPERLINK("https://twitter.com/wassapyoe","@wassapyoe")</f>
        <v>@wassapyoe</v>
      </c>
      <c r="C35931" s="8" t="s">
        <v>12755</v>
      </c>
      <c r="D35931" s="8">
        <v>13</v>
      </c>
      <c r="E35931" s="8">
        <v>0</v>
      </c>
      <c r="F35931" s="8">
        <v>11</v>
      </c>
    </row>
    <row r="35932" spans="1:6" ht="12.75">
      <c r="A35932" s="8">
        <v>43888.373287037037</v>
      </c>
      <c r="B35932" s="8" t="str">
        <f>HYPERLINK("https://twitter.com/dhanyalfian_","@dhanyalfian_")</f>
        <v>@dhanyalfian_</v>
      </c>
      <c r="C35932" s="8" t="s">
        <v>6863</v>
      </c>
      <c r="D35932" s="8">
        <v>75</v>
      </c>
      <c r="E35932" s="8">
        <v>0</v>
      </c>
      <c r="F35932" s="8">
        <v>145</v>
      </c>
    </row>
    <row r="35933" spans="1:6" ht="12.75">
      <c r="A35933" s="8">
        <v>43888.373148148152</v>
      </c>
      <c r="B35933" s="8" t="str">
        <f>HYPERLINK("https://twitter.com/colyhits","@colyhits")</f>
        <v>@colyhits</v>
      </c>
      <c r="C35933" s="8" t="s">
        <v>13887</v>
      </c>
      <c r="D35933" s="8">
        <v>0</v>
      </c>
      <c r="E35933" s="8">
        <v>0</v>
      </c>
      <c r="F35933" s="8">
        <v>3</v>
      </c>
    </row>
    <row r="35934" spans="1:6" ht="12.75">
      <c r="A35934" s="8">
        <v>43888.373078703706</v>
      </c>
      <c r="B35934" s="8" t="str">
        <f>HYPERLINK("https://twitter.com/arian70","@arian70")</f>
        <v>@arian70</v>
      </c>
      <c r="C35934" s="8" t="s">
        <v>12800</v>
      </c>
      <c r="D35934" s="8">
        <v>196</v>
      </c>
      <c r="E35934" s="8">
        <v>0</v>
      </c>
      <c r="F35934" s="8">
        <v>67</v>
      </c>
    </row>
    <row r="35935" spans="1:6" ht="12.75">
      <c r="A35935" s="8">
        <v>43888.373055555552</v>
      </c>
      <c r="B35935" s="8" t="str">
        <f>HYPERLINK("https://twitter.com/AgusKemal3","@AgusKemal3")</f>
        <v>@AgusKemal3</v>
      </c>
      <c r="C35935" s="8" t="s">
        <v>11773</v>
      </c>
      <c r="D35935" s="8">
        <v>326</v>
      </c>
      <c r="E35935" s="8">
        <v>0</v>
      </c>
      <c r="F35935" s="8">
        <v>56</v>
      </c>
    </row>
    <row r="35936" spans="1:6" ht="12.75">
      <c r="A35936" s="8">
        <v>43888.372939814813</v>
      </c>
      <c r="B35936" s="8" t="str">
        <f>HYPERLINK("https://twitter.com/gunoto7","@gunoto7")</f>
        <v>@gunoto7</v>
      </c>
      <c r="C35936" s="8" t="s">
        <v>13888</v>
      </c>
      <c r="D35936" s="8">
        <v>4</v>
      </c>
      <c r="E35936" s="8">
        <v>0</v>
      </c>
      <c r="F35936" s="8">
        <v>2797</v>
      </c>
    </row>
    <row r="35937" spans="1:6" ht="12.75">
      <c r="A35937" s="8">
        <v>43888.372835648144</v>
      </c>
      <c r="B35937" s="8" t="str">
        <f>HYPERLINK("https://twitter.com/HenGTG","@HenGTG")</f>
        <v>@HenGTG</v>
      </c>
      <c r="C35937" s="8" t="s">
        <v>13889</v>
      </c>
      <c r="D35937" s="8">
        <v>0</v>
      </c>
      <c r="E35937" s="8">
        <v>0</v>
      </c>
      <c r="F35937" s="8">
        <v>1966</v>
      </c>
    </row>
    <row r="35938" spans="1:6" ht="12.75">
      <c r="A35938" s="8">
        <v>43888.372800925921</v>
      </c>
      <c r="B35938" s="8" t="str">
        <f>HYPERLINK("https://twitter.com/Kars104","@Kars104")</f>
        <v>@Kars104</v>
      </c>
      <c r="C35938" s="8" t="s">
        <v>13890</v>
      </c>
      <c r="D35938" s="8">
        <v>0</v>
      </c>
      <c r="E35938" s="8">
        <v>0</v>
      </c>
      <c r="F35938" s="8">
        <v>1757</v>
      </c>
    </row>
    <row r="35939" spans="1:6" ht="12.75">
      <c r="A35939" s="8">
        <v>43888.372615740736</v>
      </c>
      <c r="B35939" s="8" t="str">
        <f>HYPERLINK("https://twitter.com/R_Nal2","@R_Nal2")</f>
        <v>@R_Nal2</v>
      </c>
      <c r="C35939" s="8" t="s">
        <v>6863</v>
      </c>
      <c r="D35939" s="8">
        <v>75</v>
      </c>
      <c r="E35939" s="8">
        <v>0</v>
      </c>
      <c r="F35939" s="8">
        <v>7</v>
      </c>
    </row>
    <row r="35940" spans="1:6" ht="12.75">
      <c r="A35940" s="8">
        <v>43888.372604166667</v>
      </c>
      <c r="B35940" s="8" t="str">
        <f>HYPERLINK("https://twitter.com/gunoto7","@gunoto7")</f>
        <v>@gunoto7</v>
      </c>
      <c r="C35940" s="8" t="s">
        <v>13891</v>
      </c>
      <c r="D35940" s="8">
        <v>2</v>
      </c>
      <c r="E35940" s="8">
        <v>0</v>
      </c>
      <c r="F35940" s="8">
        <v>2797</v>
      </c>
    </row>
    <row r="35941" spans="1:6" ht="12.75">
      <c r="A35941" s="8">
        <v>43888.372349537036</v>
      </c>
      <c r="B35941" s="8" t="str">
        <f>HYPERLINK("https://twitter.com/kangrunner","@kangrunner")</f>
        <v>@kangrunner</v>
      </c>
      <c r="C35941" s="8" t="s">
        <v>6863</v>
      </c>
      <c r="D35941" s="8">
        <v>75</v>
      </c>
      <c r="E35941" s="8">
        <v>0</v>
      </c>
      <c r="F35941" s="8">
        <v>80</v>
      </c>
    </row>
    <row r="35942" spans="1:6" ht="12.75">
      <c r="A35942" s="8">
        <v>43888.372233796297</v>
      </c>
      <c r="B35942" s="8" t="str">
        <f>HYPERLINK("https://twitter.com/DidienHazard","@DidienHazard")</f>
        <v>@DidienHazard</v>
      </c>
      <c r="C35942" s="8" t="s">
        <v>6863</v>
      </c>
      <c r="D35942" s="8">
        <v>75</v>
      </c>
      <c r="E35942" s="8">
        <v>0</v>
      </c>
      <c r="F35942" s="8">
        <v>320</v>
      </c>
    </row>
    <row r="35943" spans="1:6" ht="12.75">
      <c r="A35943" s="8">
        <v>43888.372152777782</v>
      </c>
      <c r="B35943" s="8" t="str">
        <f>HYPERLINK("https://twitter.com/gunoto7","@gunoto7")</f>
        <v>@gunoto7</v>
      </c>
      <c r="C35943" s="8" t="s">
        <v>13261</v>
      </c>
      <c r="D35943" s="8">
        <v>3</v>
      </c>
      <c r="E35943" s="8">
        <v>0</v>
      </c>
      <c r="F35943" s="8">
        <v>2797</v>
      </c>
    </row>
    <row r="35944" spans="1:6" ht="12.75">
      <c r="A35944" s="8">
        <v>43888.372129629628</v>
      </c>
      <c r="B35944" s="8" t="str">
        <f>HYPERLINK("https://twitter.com/kitsiangfreddy","@kitsiangfreddy")</f>
        <v>@kitsiangfreddy</v>
      </c>
      <c r="C35944" s="8" t="s">
        <v>13088</v>
      </c>
      <c r="D35944" s="8">
        <v>7</v>
      </c>
      <c r="E35944" s="8">
        <v>0</v>
      </c>
      <c r="F35944" s="8">
        <v>1848</v>
      </c>
    </row>
    <row r="35945" spans="1:6" ht="12.75">
      <c r="A35945" s="8">
        <v>43888.37190972222</v>
      </c>
      <c r="B35945" s="8" t="str">
        <f>HYPERLINK("https://twitter.com/Siskawidiantii1","@Siskawidiantii1")</f>
        <v>@Siskawidiantii1</v>
      </c>
      <c r="C35945" s="8" t="s">
        <v>13892</v>
      </c>
      <c r="D35945" s="8">
        <v>0</v>
      </c>
      <c r="E35945" s="8">
        <v>4</v>
      </c>
      <c r="F35945" s="8">
        <v>30</v>
      </c>
    </row>
    <row r="35946" spans="1:6" ht="12.75">
      <c r="A35946" s="8">
        <v>43888.371759259258</v>
      </c>
      <c r="B35946" s="8" t="str">
        <f>HYPERLINK("https://twitter.com/gunoto7","@gunoto7")</f>
        <v>@gunoto7</v>
      </c>
      <c r="C35946" s="8" t="s">
        <v>13893</v>
      </c>
      <c r="D35946" s="8">
        <v>3</v>
      </c>
      <c r="E35946" s="8">
        <v>0</v>
      </c>
      <c r="F35946" s="8">
        <v>2797</v>
      </c>
    </row>
    <row r="35947" spans="1:6" ht="12.75">
      <c r="A35947" s="8">
        <v>43888.371608796297</v>
      </c>
      <c r="B35947" s="8" t="str">
        <f>HYPERLINK("https://twitter.com/colyhits","@colyhits")</f>
        <v>@colyhits</v>
      </c>
      <c r="C35947" s="8" t="s">
        <v>13894</v>
      </c>
      <c r="D35947" s="8">
        <v>0</v>
      </c>
      <c r="E35947" s="8">
        <v>0</v>
      </c>
      <c r="F35947" s="8">
        <v>3</v>
      </c>
    </row>
    <row r="35948" spans="1:6" ht="12.75">
      <c r="A35948" s="8">
        <v>43888.371574074074</v>
      </c>
      <c r="B35948" s="8" t="str">
        <f>HYPERLINK("https://twitter.com/meakhaulpa","@meakhaulpa")</f>
        <v>@meakhaulpa</v>
      </c>
      <c r="C35948" s="8" t="s">
        <v>13895</v>
      </c>
      <c r="D35948" s="8">
        <v>0</v>
      </c>
      <c r="E35948" s="8">
        <v>0</v>
      </c>
      <c r="F35948" s="8">
        <v>1104</v>
      </c>
    </row>
    <row r="35949" spans="1:6" ht="12.75">
      <c r="A35949" s="8">
        <v>43888.371481481481</v>
      </c>
      <c r="B35949" s="8" t="str">
        <f>HYPERLINK("https://twitter.com/calvinyounglee","@calvinyounglee")</f>
        <v>@calvinyounglee</v>
      </c>
      <c r="C35949" s="8" t="s">
        <v>13896</v>
      </c>
      <c r="D35949" s="8">
        <v>6</v>
      </c>
      <c r="E35949" s="8">
        <v>0</v>
      </c>
      <c r="F35949" s="8">
        <v>393</v>
      </c>
    </row>
    <row r="35950" spans="1:6" ht="12.75">
      <c r="A35950" s="8">
        <v>43888.371469907404</v>
      </c>
      <c r="B35950" s="8" t="str">
        <f>HYPERLINK("https://twitter.com/princhx","@princhx")</f>
        <v>@princhx</v>
      </c>
      <c r="C35950" s="8" t="s">
        <v>13897</v>
      </c>
      <c r="D35950" s="8">
        <v>4</v>
      </c>
      <c r="E35950" s="8">
        <v>0</v>
      </c>
      <c r="F35950" s="8">
        <v>274</v>
      </c>
    </row>
    <row r="35951" spans="1:6" ht="12.75">
      <c r="A35951" s="8">
        <v>43888.371469907404</v>
      </c>
      <c r="B35951" s="8" t="str">
        <f>HYPERLINK("https://twitter.com/ramboamoer","@ramboamoer")</f>
        <v>@ramboamoer</v>
      </c>
      <c r="C35951" s="8" t="s">
        <v>11597</v>
      </c>
      <c r="D35951" s="8">
        <v>10</v>
      </c>
      <c r="E35951" s="8">
        <v>0</v>
      </c>
      <c r="F35951" s="8">
        <v>878</v>
      </c>
    </row>
    <row r="35952" spans="1:6" ht="12.75">
      <c r="A35952" s="8">
        <v>43888.371446759258</v>
      </c>
      <c r="B35952" s="8" t="str">
        <f>HYPERLINK("https://twitter.com/BejoTriwijaya","@BejoTriwijaya")</f>
        <v>@BejoTriwijaya</v>
      </c>
      <c r="C35952" s="8" t="s">
        <v>12143</v>
      </c>
      <c r="D35952" s="8">
        <v>291</v>
      </c>
      <c r="E35952" s="8">
        <v>0</v>
      </c>
      <c r="F35952" s="8">
        <v>508</v>
      </c>
    </row>
    <row r="35953" spans="1:6" ht="12.75">
      <c r="A35953" s="8">
        <v>43888.371400462958</v>
      </c>
      <c r="B35953" s="8" t="str">
        <f>HYPERLINK("https://twitter.com/gunoto7","@gunoto7")</f>
        <v>@gunoto7</v>
      </c>
      <c r="C35953" s="8" t="s">
        <v>13883</v>
      </c>
      <c r="D35953" s="8">
        <v>2</v>
      </c>
      <c r="E35953" s="8">
        <v>0</v>
      </c>
      <c r="F35953" s="8">
        <v>2797</v>
      </c>
    </row>
    <row r="35954" spans="1:6" ht="12.75">
      <c r="A35954" s="8">
        <v>43888.371400462958</v>
      </c>
      <c r="B35954" s="8" t="str">
        <f>HYPERLINK("https://twitter.com/MarcoHexC","@MarcoHexC")</f>
        <v>@MarcoHexC</v>
      </c>
      <c r="C35954" s="8" t="s">
        <v>13898</v>
      </c>
      <c r="D35954" s="8">
        <v>0</v>
      </c>
      <c r="E35954" s="8">
        <v>0</v>
      </c>
      <c r="F35954" s="8">
        <v>29</v>
      </c>
    </row>
    <row r="35955" spans="1:6" ht="12.75">
      <c r="A35955" s="8">
        <v>43888.371238425927</v>
      </c>
      <c r="B35955" s="8" t="str">
        <f>HYPERLINK("https://twitter.com/gunoto7","@gunoto7")</f>
        <v>@gunoto7</v>
      </c>
      <c r="C35955" s="8" t="s">
        <v>13899</v>
      </c>
      <c r="D35955" s="8">
        <v>3</v>
      </c>
      <c r="E35955" s="8">
        <v>0</v>
      </c>
      <c r="F35955" s="8">
        <v>2797</v>
      </c>
    </row>
    <row r="35956" spans="1:6" ht="12.75">
      <c r="A35956" s="8">
        <v>43888.37054398148</v>
      </c>
      <c r="B35956" s="8" t="str">
        <f>HYPERLINK("https://twitter.com/Muhamrildiapari","@Muhamrildiapari")</f>
        <v>@Muhamrildiapari</v>
      </c>
      <c r="C35956" s="8" t="s">
        <v>13900</v>
      </c>
      <c r="D35956" s="8">
        <v>72</v>
      </c>
      <c r="E35956" s="8">
        <v>0</v>
      </c>
      <c r="F35956" s="8">
        <v>302</v>
      </c>
    </row>
    <row r="35957" spans="1:6" ht="12.75">
      <c r="A35957" s="8">
        <v>43888.37054398148</v>
      </c>
      <c r="B35957" s="8" t="str">
        <f>HYPERLINK("https://twitter.com/TaufanSp","@TaufanSp")</f>
        <v>@TaufanSp</v>
      </c>
      <c r="C35957" s="8" t="s">
        <v>6863</v>
      </c>
      <c r="D35957" s="8">
        <v>75</v>
      </c>
      <c r="E35957" s="8">
        <v>0</v>
      </c>
      <c r="F35957" s="8">
        <v>435</v>
      </c>
    </row>
    <row r="35958" spans="1:6" ht="12.75">
      <c r="A35958" s="8">
        <v>43888.370405092588</v>
      </c>
      <c r="B35958" s="8" t="str">
        <f>HYPERLINK("https://twitter.com/NewsLibass","@NewsLibass")</f>
        <v>@NewsLibass</v>
      </c>
      <c r="C35958" s="8" t="s">
        <v>13901</v>
      </c>
      <c r="D35958" s="8">
        <v>0</v>
      </c>
      <c r="E35958" s="8">
        <v>0</v>
      </c>
      <c r="F35958" s="8">
        <v>42</v>
      </c>
    </row>
    <row r="35959" spans="1:6" ht="12.75">
      <c r="A35959" s="8">
        <v>43888.36996527778</v>
      </c>
      <c r="B35959" s="8" t="str">
        <f>HYPERLINK("https://twitter.com/herik3rn","@herik3rn")</f>
        <v>@herik3rn</v>
      </c>
      <c r="C35959" s="8" t="s">
        <v>13902</v>
      </c>
      <c r="D35959" s="8">
        <v>0</v>
      </c>
      <c r="E35959" s="8">
        <v>0</v>
      </c>
      <c r="F35959" s="8">
        <v>67</v>
      </c>
    </row>
    <row r="35960" spans="1:6" ht="12.75">
      <c r="A35960" s="8">
        <v>43888.36991898148</v>
      </c>
      <c r="B35960" s="8" t="str">
        <f>HYPERLINK("https://twitter.com/rotatimu","@rotatimu")</f>
        <v>@rotatimu</v>
      </c>
      <c r="C35960" s="8" t="s">
        <v>13903</v>
      </c>
      <c r="D35960" s="8">
        <v>0</v>
      </c>
      <c r="E35960" s="8">
        <v>0</v>
      </c>
      <c r="F35960" s="8">
        <v>1709</v>
      </c>
    </row>
    <row r="35961" spans="1:6" ht="12.75">
      <c r="A35961" s="8">
        <v>43888.369594907403</v>
      </c>
      <c r="B35961" s="8" t="str">
        <f>HYPERLINK("https://twitter.com/wassapyoe","@wassapyoe")</f>
        <v>@wassapyoe</v>
      </c>
      <c r="C35961" s="8" t="s">
        <v>11773</v>
      </c>
      <c r="D35961" s="8">
        <v>326</v>
      </c>
      <c r="E35961" s="8">
        <v>0</v>
      </c>
      <c r="F35961" s="8">
        <v>11</v>
      </c>
    </row>
    <row r="35962" spans="1:6" ht="12.75">
      <c r="A35962" s="8">
        <v>43888.369537037041</v>
      </c>
      <c r="B35962" s="8" t="str">
        <f>HYPERLINK("https://twitter.com/Kresnayoga","@Kresnayoga")</f>
        <v>@Kresnayoga</v>
      </c>
      <c r="C35962" s="8" t="s">
        <v>13896</v>
      </c>
      <c r="D35962" s="8">
        <v>6</v>
      </c>
      <c r="E35962" s="8">
        <v>0</v>
      </c>
      <c r="F35962" s="8">
        <v>428</v>
      </c>
    </row>
    <row r="35963" spans="1:6" ht="12.75">
      <c r="A35963" s="8">
        <v>43888.369004629625</v>
      </c>
      <c r="B35963" s="8" t="str">
        <f>HYPERLINK("https://twitter.com/desuyato","@desuyato")</f>
        <v>@desuyato</v>
      </c>
      <c r="C35963" s="8" t="s">
        <v>13261</v>
      </c>
      <c r="D35963" s="8">
        <v>3</v>
      </c>
      <c r="E35963" s="8">
        <v>0</v>
      </c>
      <c r="F35963" s="8">
        <v>4414</v>
      </c>
    </row>
    <row r="35964" spans="1:6" ht="12.75">
      <c r="A35964" s="8">
        <v>43888.369004629625</v>
      </c>
      <c r="B35964" s="8" t="str">
        <f>HYPERLINK("https://twitter.com/gramrp_","@gramrp_")</f>
        <v>@gramrp_</v>
      </c>
      <c r="C35964" s="8" t="s">
        <v>13904</v>
      </c>
      <c r="D35964" s="8">
        <v>0</v>
      </c>
      <c r="E35964" s="8">
        <v>0</v>
      </c>
      <c r="F35964" s="8">
        <v>24</v>
      </c>
    </row>
    <row r="35965" spans="1:6" ht="12.75">
      <c r="A35965" s="8">
        <v>43888.368888888886</v>
      </c>
      <c r="B35965" s="8" t="str">
        <f>HYPERLINK("https://twitter.com/nurmaasa","@nurmaasa")</f>
        <v>@nurmaasa</v>
      </c>
      <c r="C35965" s="8" t="s">
        <v>6863</v>
      </c>
      <c r="D35965" s="8">
        <v>75</v>
      </c>
      <c r="E35965" s="8">
        <v>0</v>
      </c>
      <c r="F35965" s="8">
        <v>377</v>
      </c>
    </row>
    <row r="35966" spans="1:6" ht="12.75">
      <c r="A35966" s="8">
        <v>43888.368761574078</v>
      </c>
      <c r="B35966" s="8" t="str">
        <f>HYPERLINK("https://twitter.com/AhlulQohwah","@AhlulQohwah")</f>
        <v>@AhlulQohwah</v>
      </c>
      <c r="C35966" s="8" t="s">
        <v>13905</v>
      </c>
      <c r="D35966" s="8">
        <v>1</v>
      </c>
      <c r="E35966" s="8">
        <v>0</v>
      </c>
      <c r="F35966" s="8">
        <v>10331</v>
      </c>
    </row>
    <row r="35967" spans="1:6" ht="12.75">
      <c r="A35967" s="8">
        <v>43888.368310185186</v>
      </c>
      <c r="B35967" s="8" t="str">
        <f>HYPERLINK("https://twitter.com/MemetEdan1","@MemetEdan1")</f>
        <v>@MemetEdan1</v>
      </c>
      <c r="C35967" s="8" t="s">
        <v>13906</v>
      </c>
      <c r="D35967" s="8">
        <v>1</v>
      </c>
      <c r="E35967" s="8">
        <v>3</v>
      </c>
      <c r="F35967" s="8">
        <v>86</v>
      </c>
    </row>
    <row r="35968" spans="1:6" ht="12.75">
      <c r="A35968" s="8">
        <v>43888.368125000001</v>
      </c>
      <c r="B35968" s="8" t="str">
        <f>HYPERLINK("https://twitter.com/desuyato","@desuyato")</f>
        <v>@desuyato</v>
      </c>
      <c r="C35968" s="8" t="s">
        <v>13888</v>
      </c>
      <c r="D35968" s="8">
        <v>4</v>
      </c>
      <c r="E35968" s="8">
        <v>0</v>
      </c>
      <c r="F35968" s="8">
        <v>4414</v>
      </c>
    </row>
    <row r="35969" spans="1:6" ht="12.75">
      <c r="A35969" s="8">
        <v>43888.368125000001</v>
      </c>
      <c r="B35969" s="8" t="str">
        <f>HYPERLINK("https://twitter.com/27Ichoe","@27Ichoe")</f>
        <v>@27Ichoe</v>
      </c>
      <c r="C35969" s="8" t="s">
        <v>13907</v>
      </c>
      <c r="D35969" s="8">
        <v>0</v>
      </c>
      <c r="E35969" s="8">
        <v>2</v>
      </c>
      <c r="F35969" s="8">
        <v>355</v>
      </c>
    </row>
    <row r="35970" spans="1:6" ht="12.75">
      <c r="A35970" s="8">
        <v>43888.368090277778</v>
      </c>
      <c r="B35970" s="8" t="str">
        <f>HYPERLINK("https://twitter.com/R_SalasAsmi","@R_SalasAsmi")</f>
        <v>@R_SalasAsmi</v>
      </c>
      <c r="C35970" s="8" t="s">
        <v>11773</v>
      </c>
      <c r="D35970" s="8">
        <v>326</v>
      </c>
      <c r="E35970" s="8">
        <v>0</v>
      </c>
      <c r="F35970" s="8">
        <v>233</v>
      </c>
    </row>
    <row r="35971" spans="1:6" ht="12.75">
      <c r="A35971" s="8">
        <v>43888.367986111116</v>
      </c>
      <c r="B35971" s="8" t="str">
        <f>HYPERLINK("https://twitter.com/Salim_Semm","@Salim_Semm")</f>
        <v>@Salim_Semm</v>
      </c>
      <c r="C35971" s="8" t="s">
        <v>13908</v>
      </c>
      <c r="D35971" s="8">
        <v>0</v>
      </c>
      <c r="E35971" s="8">
        <v>1</v>
      </c>
      <c r="F35971" s="8">
        <v>2137</v>
      </c>
    </row>
    <row r="35972" spans="1:6" ht="12.75">
      <c r="A35972" s="8">
        <v>43888.367812500001</v>
      </c>
      <c r="B35972" s="8" t="str">
        <f>HYPERLINK("https://twitter.com/kolangkaling21","@kolangkaling21")</f>
        <v>@kolangkaling21</v>
      </c>
      <c r="C35972" s="8" t="s">
        <v>6863</v>
      </c>
      <c r="D35972" s="8">
        <v>75</v>
      </c>
      <c r="E35972" s="8">
        <v>0</v>
      </c>
      <c r="F35972" s="8">
        <v>58</v>
      </c>
    </row>
    <row r="35973" spans="1:6" ht="12.75">
      <c r="A35973" s="8">
        <v>43888.367581018523</v>
      </c>
      <c r="B35973" s="8" t="str">
        <f t="shared" ref="B35973:B35974" si="516">HYPERLINK("https://twitter.com/AnakKolong___","@AnakKolong___")</f>
        <v>@AnakKolong___</v>
      </c>
      <c r="C35973" s="8" t="s">
        <v>13261</v>
      </c>
      <c r="D35973" s="8">
        <v>3</v>
      </c>
      <c r="E35973" s="8">
        <v>0</v>
      </c>
      <c r="F35973" s="8">
        <v>7077</v>
      </c>
    </row>
    <row r="35974" spans="1:6" ht="12.75">
      <c r="A35974" s="8">
        <v>43888.367326388892</v>
      </c>
      <c r="B35974" s="8" t="str">
        <f t="shared" si="516"/>
        <v>@AnakKolong___</v>
      </c>
      <c r="C35974" s="8" t="s">
        <v>13891</v>
      </c>
      <c r="D35974" s="8">
        <v>2</v>
      </c>
      <c r="E35974" s="8">
        <v>0</v>
      </c>
      <c r="F35974" s="8">
        <v>7077</v>
      </c>
    </row>
    <row r="35975" spans="1:6" ht="12.75">
      <c r="A35975" s="8">
        <v>43888.366863425923</v>
      </c>
      <c r="B35975" s="8" t="str">
        <f>HYPERLINK("https://twitter.com/RiriJreeng","@RiriJreeng")</f>
        <v>@RiriJreeng</v>
      </c>
      <c r="C35975" s="8" t="s">
        <v>13909</v>
      </c>
      <c r="D35975" s="8">
        <v>1</v>
      </c>
      <c r="E35975" s="8">
        <v>0</v>
      </c>
      <c r="F35975" s="8">
        <v>5782</v>
      </c>
    </row>
    <row r="35976" spans="1:6" ht="12.75">
      <c r="A35976" s="8">
        <v>43888.366793981477</v>
      </c>
      <c r="B35976" s="8" t="str">
        <f>HYPERLINK("https://twitter.com/fxtra05","@fxtra05")</f>
        <v>@fxtra05</v>
      </c>
      <c r="C35976" s="8" t="s">
        <v>13910</v>
      </c>
      <c r="D35976" s="8">
        <v>0</v>
      </c>
      <c r="E35976" s="8">
        <v>0</v>
      </c>
      <c r="F35976" s="8">
        <v>47</v>
      </c>
    </row>
    <row r="35977" spans="1:6" ht="12.75">
      <c r="A35977" s="8">
        <v>43888.366747685184</v>
      </c>
      <c r="B35977" s="8" t="str">
        <f>HYPERLINK("https://twitter.com/AnakKolong___","@AnakKolong___")</f>
        <v>@AnakKolong___</v>
      </c>
      <c r="C35977" s="8" t="s">
        <v>13888</v>
      </c>
      <c r="D35977" s="8">
        <v>4</v>
      </c>
      <c r="E35977" s="8">
        <v>0</v>
      </c>
      <c r="F35977" s="8">
        <v>7077</v>
      </c>
    </row>
    <row r="35978" spans="1:6" ht="12.75">
      <c r="A35978" s="8">
        <v>43888.36655092593</v>
      </c>
      <c r="B35978" s="8" t="str">
        <f>HYPERLINK("https://twitter.com/kakiangbagoes","@kakiangbagoes")</f>
        <v>@kakiangbagoes</v>
      </c>
      <c r="C35978" s="8" t="s">
        <v>13911</v>
      </c>
      <c r="D35978" s="8">
        <v>1</v>
      </c>
      <c r="E35978" s="8">
        <v>0</v>
      </c>
      <c r="F35978" s="8">
        <v>1145</v>
      </c>
    </row>
    <row r="35979" spans="1:6" ht="12.75">
      <c r="A35979" s="8">
        <v>43888.366377314815</v>
      </c>
      <c r="B35979" s="8" t="str">
        <f>HYPERLINK("https://twitter.com/KomedianGL","@KomedianGL")</f>
        <v>@KomedianGL</v>
      </c>
      <c r="C35979" s="8" t="s">
        <v>12143</v>
      </c>
      <c r="D35979" s="8">
        <v>291</v>
      </c>
      <c r="E35979" s="8">
        <v>0</v>
      </c>
      <c r="F35979" s="8">
        <v>64</v>
      </c>
    </row>
    <row r="35980" spans="1:6" ht="12.75">
      <c r="A35980" s="8">
        <v>43888.366076388891</v>
      </c>
      <c r="B35980" s="8" t="str">
        <f>HYPERLINK("https://twitter.com/sinaga_fadhilah","@sinaga_fadhilah")</f>
        <v>@sinaga_fadhilah</v>
      </c>
      <c r="C35980" s="8" t="s">
        <v>6863</v>
      </c>
      <c r="D35980" s="8">
        <v>75</v>
      </c>
      <c r="E35980" s="8">
        <v>0</v>
      </c>
      <c r="F35980" s="8">
        <v>11</v>
      </c>
    </row>
    <row r="35981" spans="1:6" ht="12.75">
      <c r="A35981" s="8">
        <v>43888.366041666668</v>
      </c>
      <c r="B35981" s="8" t="str">
        <f>HYPERLINK("https://twitter.com/Salim_Semm","@Salim_Semm")</f>
        <v>@Salim_Semm</v>
      </c>
      <c r="C35981" s="8" t="s">
        <v>13912</v>
      </c>
      <c r="D35981" s="8">
        <v>0</v>
      </c>
      <c r="E35981" s="8">
        <v>1</v>
      </c>
      <c r="F35981" s="8">
        <v>2137</v>
      </c>
    </row>
    <row r="35982" spans="1:6" ht="12.75">
      <c r="A35982" s="8">
        <v>43888.365949074076</v>
      </c>
      <c r="B35982" s="8" t="str">
        <f>HYPERLINK("https://twitter.com/RenelHamid90","@RenelHamid90")</f>
        <v>@RenelHamid90</v>
      </c>
      <c r="C35982" s="8" t="s">
        <v>13896</v>
      </c>
      <c r="D35982" s="8">
        <v>6</v>
      </c>
      <c r="E35982" s="8">
        <v>0</v>
      </c>
      <c r="F35982" s="8">
        <v>136</v>
      </c>
    </row>
    <row r="35983" spans="1:6" ht="12.75">
      <c r="A35983" s="8">
        <v>43888.365798611107</v>
      </c>
      <c r="B35983" s="8" t="str">
        <f>HYPERLINK("https://twitter.com/alfiansatrion","@alfiansatrion")</f>
        <v>@alfiansatrion</v>
      </c>
      <c r="C35983" s="8" t="s">
        <v>593</v>
      </c>
      <c r="D35983" s="8">
        <v>309</v>
      </c>
      <c r="E35983" s="8">
        <v>0</v>
      </c>
      <c r="F35983" s="8">
        <v>46</v>
      </c>
    </row>
    <row r="35984" spans="1:6" ht="12.75">
      <c r="A35984" s="8">
        <v>43888.365636574075</v>
      </c>
      <c r="B35984" s="8" t="str">
        <f>HYPERLINK("https://twitter.com/Azizahy_","@Azizahy_")</f>
        <v>@Azizahy_</v>
      </c>
      <c r="C35984" s="8" t="s">
        <v>6863</v>
      </c>
      <c r="D35984" s="8">
        <v>75</v>
      </c>
      <c r="E35984" s="8">
        <v>0</v>
      </c>
      <c r="F35984" s="8">
        <v>674</v>
      </c>
    </row>
    <row r="35985" spans="1:6" ht="12.75">
      <c r="A35985" s="8">
        <v>43888.365543981483</v>
      </c>
      <c r="B35985" s="8" t="str">
        <f>HYPERLINK("https://twitter.com/Lemtikuskantor","@Lemtikuskantor")</f>
        <v>@Lemtikuskantor</v>
      </c>
      <c r="C35985" s="8" t="s">
        <v>13913</v>
      </c>
      <c r="D35985" s="8">
        <v>0</v>
      </c>
      <c r="E35985" s="8">
        <v>0</v>
      </c>
      <c r="F35985" s="8">
        <v>584</v>
      </c>
    </row>
    <row r="35986" spans="1:6" ht="12.75">
      <c r="A35986" s="8">
        <v>43888.365497685183</v>
      </c>
      <c r="B35986" s="8" t="str">
        <f>HYPERLINK("https://twitter.com/pjy94__","@pjy94__")</f>
        <v>@pjy94__</v>
      </c>
      <c r="C35986" s="8" t="s">
        <v>6863</v>
      </c>
      <c r="D35986" s="8">
        <v>75</v>
      </c>
      <c r="E35986" s="8">
        <v>0</v>
      </c>
      <c r="F35986" s="8">
        <v>5</v>
      </c>
    </row>
    <row r="35987" spans="1:6" ht="12.75">
      <c r="A35987" s="8">
        <v>43888.365266203706</v>
      </c>
      <c r="B35987" s="8" t="str">
        <f>HYPERLINK("https://twitter.com/kakiangbagoes","@kakiangbagoes")</f>
        <v>@kakiangbagoes</v>
      </c>
      <c r="C35987" s="8" t="s">
        <v>13881</v>
      </c>
      <c r="D35987" s="8">
        <v>9</v>
      </c>
      <c r="E35987" s="8">
        <v>0</v>
      </c>
      <c r="F35987" s="8">
        <v>1145</v>
      </c>
    </row>
    <row r="35988" spans="1:6" ht="12.75">
      <c r="A35988" s="8">
        <v>43888.340115740742</v>
      </c>
      <c r="B35988" s="8" t="str">
        <f>HYPERLINK("https://twitter.com/ImbKosta","@ImbKosta")</f>
        <v>@ImbKosta</v>
      </c>
      <c r="C35988" s="8" t="s">
        <v>11773</v>
      </c>
      <c r="D35988" s="8">
        <v>310</v>
      </c>
      <c r="E35988" s="8">
        <v>0</v>
      </c>
      <c r="F35988" s="8">
        <v>49</v>
      </c>
    </row>
    <row r="35989" spans="1:6" ht="12.75">
      <c r="A35989" s="8">
        <v>43888.34</v>
      </c>
      <c r="B35989" s="8" t="str">
        <f>HYPERLINK("https://twitter.com/helmlevel1","@helmlevel1")</f>
        <v>@helmlevel1</v>
      </c>
      <c r="C35989" s="8" t="s">
        <v>6863</v>
      </c>
      <c r="D35989" s="8">
        <v>19</v>
      </c>
      <c r="E35989" s="8">
        <v>0</v>
      </c>
      <c r="F35989" s="8">
        <v>484</v>
      </c>
    </row>
    <row r="35990" spans="1:6" ht="12.75">
      <c r="A35990" s="8">
        <v>43888.339884259258</v>
      </c>
      <c r="B35990" s="8" t="str">
        <f>HYPERLINK("https://twitter.com/freadison","@freadison")</f>
        <v>@freadison</v>
      </c>
      <c r="C35990" s="8" t="s">
        <v>13914</v>
      </c>
      <c r="D35990" s="8">
        <v>0</v>
      </c>
      <c r="E35990" s="8">
        <v>0</v>
      </c>
      <c r="F35990" s="8">
        <v>0</v>
      </c>
    </row>
    <row r="35991" spans="1:6" ht="12.75">
      <c r="A35991" s="8">
        <v>43888.339849537035</v>
      </c>
      <c r="B35991" s="8" t="str">
        <f>HYPERLINK("https://twitter.com/mgoncetw11","@mgoncetw11")</f>
        <v>@mgoncetw11</v>
      </c>
      <c r="C35991" s="8" t="s">
        <v>593</v>
      </c>
      <c r="D35991" s="8">
        <v>306</v>
      </c>
      <c r="E35991" s="8">
        <v>0</v>
      </c>
      <c r="F35991" s="8">
        <v>364</v>
      </c>
    </row>
    <row r="35992" spans="1:6" ht="12.75">
      <c r="A35992" s="8">
        <v>43888.339837962965</v>
      </c>
      <c r="B35992" s="8" t="str">
        <f>HYPERLINK("https://twitter.com/Leoherlambang12","@Leoherlambang12")</f>
        <v>@Leoherlambang12</v>
      </c>
      <c r="C35992" s="8" t="s">
        <v>11773</v>
      </c>
      <c r="D35992" s="8">
        <v>310</v>
      </c>
      <c r="E35992" s="8">
        <v>0</v>
      </c>
      <c r="F35992" s="8">
        <v>77</v>
      </c>
    </row>
    <row r="35993" spans="1:6" ht="12.75">
      <c r="A35993" s="8">
        <v>43888.339780092589</v>
      </c>
      <c r="B35993" s="8" t="str">
        <f>HYPERLINK("https://twitter.com/NovitriMayang24","@NovitriMayang24")</f>
        <v>@NovitriMayang24</v>
      </c>
      <c r="C35993" s="8" t="s">
        <v>6863</v>
      </c>
      <c r="D35993" s="8">
        <v>19</v>
      </c>
      <c r="E35993" s="8">
        <v>0</v>
      </c>
      <c r="F35993" s="8">
        <v>281</v>
      </c>
    </row>
    <row r="35994" spans="1:6" ht="12.75">
      <c r="A35994" s="8">
        <v>43888.339699074073</v>
      </c>
      <c r="B35994" s="8" t="str">
        <f>HYPERLINK("https://twitter.com/Desty_NNN","@Desty_NNN")</f>
        <v>@Desty_NNN</v>
      </c>
      <c r="C35994" s="8" t="s">
        <v>4785</v>
      </c>
      <c r="D35994" s="8">
        <v>376</v>
      </c>
      <c r="E35994" s="8">
        <v>0</v>
      </c>
      <c r="F35994" s="8">
        <v>1069</v>
      </c>
    </row>
    <row r="35995" spans="1:6" ht="12.75">
      <c r="A35995" s="8">
        <v>43888.339548611111</v>
      </c>
      <c r="B35995" s="8" t="str">
        <f>HYPERLINK("https://twitter.com/irwan_cib","@irwan_cib")</f>
        <v>@irwan_cib</v>
      </c>
      <c r="C35995" s="8" t="s">
        <v>13915</v>
      </c>
      <c r="D35995" s="8">
        <v>0</v>
      </c>
      <c r="E35995" s="8">
        <v>0</v>
      </c>
      <c r="F35995" s="8">
        <v>1573</v>
      </c>
    </row>
    <row r="35996" spans="1:6" ht="12.75">
      <c r="A35996" s="8">
        <v>43888.339525462958</v>
      </c>
      <c r="B35996" s="8" t="str">
        <f>HYPERLINK("https://twitter.com/Vhe1301","@Vhe1301")</f>
        <v>@Vhe1301</v>
      </c>
      <c r="C35996" s="8" t="s">
        <v>6863</v>
      </c>
      <c r="D35996" s="8">
        <v>19</v>
      </c>
      <c r="E35996" s="8">
        <v>0</v>
      </c>
      <c r="F35996" s="8">
        <v>1006</v>
      </c>
    </row>
    <row r="35997" spans="1:6" ht="12.75">
      <c r="A35997" s="8">
        <v>43888.339386574073</v>
      </c>
      <c r="B35997" s="8" t="str">
        <f>HYPERLINK("https://twitter.com/Mametmarmut1","@Mametmarmut1")</f>
        <v>@Mametmarmut1</v>
      </c>
      <c r="C35997" s="8" t="s">
        <v>13916</v>
      </c>
      <c r="D35997" s="8">
        <v>0</v>
      </c>
      <c r="E35997" s="8">
        <v>0</v>
      </c>
      <c r="F35997" s="8">
        <v>1579</v>
      </c>
    </row>
    <row r="35998" spans="1:6" ht="12.75">
      <c r="A35998" s="8">
        <v>43888.339259259257</v>
      </c>
      <c r="B35998" s="8" t="str">
        <f>HYPERLINK("https://twitter.com/shintawg","@shintawg")</f>
        <v>@shintawg</v>
      </c>
      <c r="C35998" s="8" t="s">
        <v>13917</v>
      </c>
      <c r="D35998" s="8">
        <v>0</v>
      </c>
      <c r="E35998" s="8">
        <v>0</v>
      </c>
      <c r="F35998" s="8">
        <v>650</v>
      </c>
    </row>
    <row r="35999" spans="1:6" ht="12.75">
      <c r="A35999" s="8">
        <v>43888.339155092588</v>
      </c>
      <c r="B35999" s="8" t="str">
        <f>HYPERLINK("https://twitter.com/OffieSander","@OffieSander")</f>
        <v>@OffieSander</v>
      </c>
      <c r="C35999" s="8" t="s">
        <v>13918</v>
      </c>
      <c r="D35999" s="8">
        <v>7</v>
      </c>
      <c r="E35999" s="8">
        <v>0</v>
      </c>
      <c r="F35999" s="8">
        <v>552</v>
      </c>
    </row>
    <row r="36000" spans="1:6" ht="12.75">
      <c r="A36000" s="8">
        <v>43888.339097222226</v>
      </c>
      <c r="B36000" s="8" t="str">
        <f>HYPERLINK("https://twitter.com/juliatualeka","@juliatualeka")</f>
        <v>@juliatualeka</v>
      </c>
      <c r="C36000" s="8" t="s">
        <v>6863</v>
      </c>
      <c r="D36000" s="8">
        <v>19</v>
      </c>
      <c r="E36000" s="8">
        <v>0</v>
      </c>
      <c r="F36000" s="8">
        <v>807</v>
      </c>
    </row>
    <row r="36001" spans="1:6" ht="12.75">
      <c r="A36001" s="8">
        <v>43888.33898148148</v>
      </c>
      <c r="B36001" s="8" t="str">
        <f>HYPERLINK("https://twitter.com/Choirul03","@Choirul03")</f>
        <v>@Choirul03</v>
      </c>
      <c r="C36001" s="8" t="s">
        <v>6863</v>
      </c>
      <c r="D36001" s="8">
        <v>19</v>
      </c>
      <c r="E36001" s="8">
        <v>0</v>
      </c>
      <c r="F36001" s="8">
        <v>250</v>
      </c>
    </row>
    <row r="36002" spans="1:6" ht="12.75">
      <c r="A36002" s="8">
        <v>43888.338738425926</v>
      </c>
      <c r="B36002" s="8" t="str">
        <f>HYPERLINK("https://twitter.com/Airlangga_yuda","@Airlangga_yuda")</f>
        <v>@Airlangga_yuda</v>
      </c>
      <c r="C36002" s="8" t="s">
        <v>12723</v>
      </c>
      <c r="D36002" s="8">
        <v>1</v>
      </c>
      <c r="E36002" s="8">
        <v>0</v>
      </c>
      <c r="F36002" s="8">
        <v>1018</v>
      </c>
    </row>
    <row r="36003" spans="1:6" ht="12.75">
      <c r="A36003" s="8">
        <v>43888.33866898148</v>
      </c>
      <c r="B36003" s="8" t="str">
        <f>HYPERLINK("https://twitter.com/mayualleira","@mayualleira")</f>
        <v>@mayualleira</v>
      </c>
      <c r="C36003" s="8" t="s">
        <v>13919</v>
      </c>
      <c r="D36003" s="8">
        <v>0</v>
      </c>
      <c r="E36003" s="8">
        <v>0</v>
      </c>
      <c r="F36003" s="8">
        <v>31</v>
      </c>
    </row>
    <row r="36004" spans="1:6" ht="12.75">
      <c r="A36004" s="8">
        <v>43888.33865740741</v>
      </c>
      <c r="B36004" s="8" t="str">
        <f>HYPERLINK("https://twitter.com/disayangaja","@disayangaja")</f>
        <v>@disayangaja</v>
      </c>
      <c r="C36004" s="8" t="s">
        <v>13920</v>
      </c>
      <c r="D36004" s="8">
        <v>0</v>
      </c>
      <c r="E36004" s="8">
        <v>0</v>
      </c>
      <c r="F36004" s="8">
        <v>157</v>
      </c>
    </row>
    <row r="36005" spans="1:6" ht="12.75">
      <c r="A36005" s="8">
        <v>43888.338518518518</v>
      </c>
      <c r="B36005" s="8" t="str">
        <f>HYPERLINK("https://twitter.com/BayuParikesit2","@BayuParikesit2")</f>
        <v>@BayuParikesit2</v>
      </c>
      <c r="C36005" s="8" t="s">
        <v>13921</v>
      </c>
      <c r="D36005" s="8">
        <v>0</v>
      </c>
      <c r="E36005" s="8">
        <v>0</v>
      </c>
      <c r="F36005" s="8">
        <v>90</v>
      </c>
    </row>
    <row r="36006" spans="1:6" ht="12.75">
      <c r="A36006" s="8">
        <v>43888.338437500002</v>
      </c>
      <c r="B36006" s="8" t="str">
        <f>HYPERLINK("https://twitter.com/shintawg","@shintawg")</f>
        <v>@shintawg</v>
      </c>
      <c r="C36006" s="8" t="s">
        <v>13922</v>
      </c>
      <c r="D36006" s="8">
        <v>0</v>
      </c>
      <c r="E36006" s="8">
        <v>0</v>
      </c>
      <c r="F36006" s="8">
        <v>650</v>
      </c>
    </row>
    <row r="36007" spans="1:6" ht="12.75">
      <c r="A36007" s="8">
        <v>43888.338425925926</v>
      </c>
      <c r="B36007" s="8" t="str">
        <f>HYPERLINK("https://twitter.com/alin_raihani","@alin_raihani")</f>
        <v>@alin_raihani</v>
      </c>
      <c r="C36007" s="8" t="s">
        <v>13923</v>
      </c>
      <c r="D36007" s="8">
        <v>0</v>
      </c>
      <c r="E36007" s="8">
        <v>0</v>
      </c>
      <c r="F36007" s="8">
        <v>2</v>
      </c>
    </row>
    <row r="36008" spans="1:6" ht="12.75">
      <c r="A36008" s="8">
        <v>43888.338009259256</v>
      </c>
      <c r="B36008" s="8" t="str">
        <f>HYPERLINK("https://twitter.com/bimaevans","@bimaevans")</f>
        <v>@bimaevans</v>
      </c>
      <c r="C36008" s="8" t="s">
        <v>13924</v>
      </c>
      <c r="D36008" s="8">
        <v>0</v>
      </c>
      <c r="E36008" s="8">
        <v>0</v>
      </c>
      <c r="F36008" s="8">
        <v>1037</v>
      </c>
    </row>
    <row r="36009" spans="1:6" ht="12.75">
      <c r="A36009" s="8">
        <v>43888.337951388894</v>
      </c>
      <c r="B36009" s="8" t="str">
        <f>HYPERLINK("https://twitter.com/andyfirm1","@andyfirm1")</f>
        <v>@andyfirm1</v>
      </c>
      <c r="C36009" s="8" t="s">
        <v>13925</v>
      </c>
      <c r="D36009" s="8">
        <v>0</v>
      </c>
      <c r="E36009" s="8">
        <v>0</v>
      </c>
      <c r="F36009" s="8">
        <v>336</v>
      </c>
    </row>
    <row r="36010" spans="1:6" ht="12.75">
      <c r="A36010" s="8">
        <v>43888.337905092594</v>
      </c>
      <c r="B36010" s="8" t="str">
        <f>HYPERLINK("https://twitter.com/ira_1417","@ira_1417")</f>
        <v>@ira_1417</v>
      </c>
      <c r="C36010" s="8" t="s">
        <v>11773</v>
      </c>
      <c r="D36010" s="8">
        <v>310</v>
      </c>
      <c r="E36010" s="8">
        <v>0</v>
      </c>
      <c r="F36010" s="8">
        <v>99</v>
      </c>
    </row>
    <row r="36011" spans="1:6" ht="12.75">
      <c r="A36011" s="8">
        <v>43888.337893518517</v>
      </c>
      <c r="B36011" s="8" t="str">
        <f>HYPERLINK("https://twitter.com/sam523uelino","@sam523uelino")</f>
        <v>@sam523uelino</v>
      </c>
      <c r="C36011" s="8" t="s">
        <v>11773</v>
      </c>
      <c r="D36011" s="8">
        <v>310</v>
      </c>
      <c r="E36011" s="8">
        <v>0</v>
      </c>
      <c r="F36011" s="8">
        <v>13</v>
      </c>
    </row>
    <row r="36012" spans="1:6" ht="12.75">
      <c r="A36012" s="8">
        <v>43888.337777777779</v>
      </c>
      <c r="B36012" s="8" t="str">
        <f t="shared" ref="B36012:B36013" si="517">HYPERLINK("https://twitter.com/ISIS_Balik_NO","@ISIS_Balik_NO")</f>
        <v>@ISIS_Balik_NO</v>
      </c>
      <c r="C36012" s="8" t="s">
        <v>13926</v>
      </c>
      <c r="D36012" s="8">
        <v>6</v>
      </c>
      <c r="E36012" s="8">
        <v>0</v>
      </c>
      <c r="F36012" s="8">
        <v>6091</v>
      </c>
    </row>
    <row r="36013" spans="1:6" ht="12.75">
      <c r="A36013" s="8">
        <v>43888.33756944444</v>
      </c>
      <c r="B36013" s="8" t="str">
        <f t="shared" si="517"/>
        <v>@ISIS_Balik_NO</v>
      </c>
      <c r="C36013" s="8" t="s">
        <v>13927</v>
      </c>
      <c r="D36013" s="8">
        <v>0</v>
      </c>
      <c r="E36013" s="8">
        <v>0</v>
      </c>
      <c r="F36013" s="8">
        <v>6091</v>
      </c>
    </row>
    <row r="36014" spans="1:6" ht="12.75">
      <c r="A36014" s="8">
        <v>43888.337349537032</v>
      </c>
      <c r="B36014" s="8" t="str">
        <f>HYPERLINK("https://twitter.com/endoe21","@endoe21")</f>
        <v>@endoe21</v>
      </c>
      <c r="C36014" s="8" t="s">
        <v>13899</v>
      </c>
      <c r="D36014" s="8">
        <v>2</v>
      </c>
      <c r="E36014" s="8">
        <v>0</v>
      </c>
      <c r="F36014" s="8">
        <v>2041</v>
      </c>
    </row>
    <row r="36015" spans="1:6" ht="12.75">
      <c r="A36015" s="8">
        <v>43888.337337962963</v>
      </c>
      <c r="B36015" s="8" t="str">
        <f>HYPERLINK("https://twitter.com/oroorodowo40","@oroorodowo40")</f>
        <v>@oroorodowo40</v>
      </c>
      <c r="C36015" s="8" t="s">
        <v>13928</v>
      </c>
      <c r="D36015" s="8">
        <v>1</v>
      </c>
      <c r="E36015" s="8">
        <v>2</v>
      </c>
      <c r="F36015" s="8">
        <v>1666</v>
      </c>
    </row>
    <row r="36016" spans="1:6" ht="12.75">
      <c r="A36016" s="8">
        <v>43888.337337962963</v>
      </c>
      <c r="B36016" s="8" t="str">
        <f>HYPERLINK("https://twitter.com/dwninda","@dwninda")</f>
        <v>@dwninda</v>
      </c>
      <c r="C36016" s="8" t="s">
        <v>6863</v>
      </c>
      <c r="D36016" s="8">
        <v>19</v>
      </c>
      <c r="E36016" s="8">
        <v>0</v>
      </c>
      <c r="F36016" s="8">
        <v>364</v>
      </c>
    </row>
    <row r="36017" spans="1:6" ht="12.75">
      <c r="A36017" s="8">
        <v>43888.337280092594</v>
      </c>
      <c r="B36017" s="8" t="str">
        <f>HYPERLINK("https://twitter.com/Frijnoff","@Frijnoff")</f>
        <v>@Frijnoff</v>
      </c>
      <c r="C36017" s="8" t="s">
        <v>6863</v>
      </c>
      <c r="D36017" s="8">
        <v>19</v>
      </c>
      <c r="E36017" s="8">
        <v>0</v>
      </c>
      <c r="F36017" s="8">
        <v>1067</v>
      </c>
    </row>
    <row r="36018" spans="1:6" ht="12.75">
      <c r="A36018" s="8">
        <v>43888.337199074071</v>
      </c>
      <c r="B36018" s="8" t="str">
        <f>HYPERLINK("https://twitter.com/Shi0kaze17","@Shi0kaze17")</f>
        <v>@Shi0kaze17</v>
      </c>
      <c r="C36018" s="8" t="s">
        <v>6863</v>
      </c>
      <c r="D36018" s="8">
        <v>19</v>
      </c>
      <c r="E36018" s="8">
        <v>0</v>
      </c>
      <c r="F36018" s="8">
        <v>534</v>
      </c>
    </row>
    <row r="36019" spans="1:6" ht="12.75">
      <c r="A36019" s="8">
        <v>43888.337187500001</v>
      </c>
      <c r="B36019" s="8" t="str">
        <f>HYPERLINK("https://twitter.com/ptregn_","@ptregn_")</f>
        <v>@ptregn_</v>
      </c>
      <c r="C36019" s="8" t="s">
        <v>6863</v>
      </c>
      <c r="D36019" s="8">
        <v>19</v>
      </c>
      <c r="E36019" s="8">
        <v>0</v>
      </c>
      <c r="F36019" s="8">
        <v>1810</v>
      </c>
    </row>
    <row r="36020" spans="1:6" ht="12.75">
      <c r="A36020" s="8">
        <v>43888.337094907409</v>
      </c>
      <c r="B36020" s="8" t="str">
        <f>HYPERLINK("https://twitter.com/Frans_Priyo","@Frans_Priyo")</f>
        <v>@Frans_Priyo</v>
      </c>
      <c r="C36020" s="8" t="s">
        <v>13929</v>
      </c>
      <c r="D36020" s="8">
        <v>2</v>
      </c>
      <c r="E36020" s="8">
        <v>0</v>
      </c>
      <c r="F36020" s="8">
        <v>3395</v>
      </c>
    </row>
    <row r="36021" spans="1:6" ht="12.75">
      <c r="A36021" s="8">
        <v>43888.336979166663</v>
      </c>
      <c r="B36021" s="8" t="str">
        <f>HYPERLINK("https://twitter.com/forddyce92","@forddyce92")</f>
        <v>@forddyce92</v>
      </c>
      <c r="C36021" s="8" t="s">
        <v>13930</v>
      </c>
      <c r="D36021" s="8">
        <v>0</v>
      </c>
      <c r="E36021" s="8">
        <v>0</v>
      </c>
      <c r="F36021" s="8">
        <v>27</v>
      </c>
    </row>
    <row r="36022" spans="1:6" ht="12.75">
      <c r="A36022" s="8">
        <v>43888.336967592593</v>
      </c>
      <c r="B36022" s="8" t="str">
        <f>HYPERLINK("https://twitter.com/KURNIAAAA6","@KURNIAAAA6")</f>
        <v>@KURNIAAAA6</v>
      </c>
      <c r="C36022" s="8" t="s">
        <v>6863</v>
      </c>
      <c r="D36022" s="8">
        <v>19</v>
      </c>
      <c r="E36022" s="8">
        <v>0</v>
      </c>
      <c r="F36022" s="8">
        <v>247</v>
      </c>
    </row>
    <row r="36023" spans="1:6" ht="12.75">
      <c r="A36023" s="8">
        <v>43888.336828703701</v>
      </c>
      <c r="B36023" s="8" t="str">
        <f>HYPERLINK("https://twitter.com/endoe21","@endoe21")</f>
        <v>@endoe21</v>
      </c>
      <c r="C36023" s="8" t="s">
        <v>13931</v>
      </c>
      <c r="D36023" s="8">
        <v>0</v>
      </c>
      <c r="E36023" s="8">
        <v>0</v>
      </c>
      <c r="F36023" s="8">
        <v>2041</v>
      </c>
    </row>
    <row r="36024" spans="1:6" ht="12.75">
      <c r="A36024" s="8">
        <v>43888.336712962962</v>
      </c>
      <c r="B36024" s="8" t="str">
        <f>HYPERLINK("https://twitter.com/rchmw_t","@rchmw_t")</f>
        <v>@rchmw_t</v>
      </c>
      <c r="C36024" s="8" t="s">
        <v>6863</v>
      </c>
      <c r="D36024" s="8">
        <v>19</v>
      </c>
      <c r="E36024" s="8">
        <v>0</v>
      </c>
      <c r="F36024" s="8">
        <v>1094</v>
      </c>
    </row>
    <row r="36025" spans="1:6" ht="12.75">
      <c r="A36025" s="8">
        <v>43888.336608796293</v>
      </c>
      <c r="B36025" s="8" t="str">
        <f>HYPERLINK("https://twitter.com/rereeghifari","@rereeghifari")</f>
        <v>@rereeghifari</v>
      </c>
      <c r="C36025" s="8" t="s">
        <v>13932</v>
      </c>
      <c r="D36025" s="8">
        <v>0</v>
      </c>
      <c r="E36025" s="8">
        <v>0</v>
      </c>
      <c r="F36025" s="8">
        <v>231</v>
      </c>
    </row>
    <row r="36026" spans="1:6" ht="12.75">
      <c r="A36026" s="8">
        <v>43888.336585648147</v>
      </c>
      <c r="B36026" s="8" t="str">
        <f>HYPERLINK("https://twitter.com/OffieSander","@OffieSander")</f>
        <v>@OffieSander</v>
      </c>
      <c r="C36026" s="8" t="s">
        <v>12052</v>
      </c>
      <c r="D36026" s="8">
        <v>29</v>
      </c>
      <c r="E36026" s="8">
        <v>0</v>
      </c>
      <c r="F36026" s="8">
        <v>552</v>
      </c>
    </row>
    <row r="36027" spans="1:6" ht="12.75">
      <c r="A36027" s="8">
        <v>43888.336469907408</v>
      </c>
      <c r="B36027" s="8" t="str">
        <f>HYPERLINK("https://twitter.com/Rohman20467","@Rohman20467")</f>
        <v>@Rohman20467</v>
      </c>
      <c r="C36027" s="8" t="s">
        <v>13933</v>
      </c>
      <c r="D36027" s="8">
        <v>0</v>
      </c>
      <c r="E36027" s="8">
        <v>0</v>
      </c>
      <c r="F36027" s="8">
        <v>97</v>
      </c>
    </row>
    <row r="36028" spans="1:6" ht="12.75">
      <c r="A36028" s="8">
        <v>43888.336273148147</v>
      </c>
      <c r="B36028" s="8" t="str">
        <f>HYPERLINK("https://twitter.com/beatrice_health","@beatrice_health")</f>
        <v>@beatrice_health</v>
      </c>
      <c r="C36028" s="8" t="s">
        <v>6863</v>
      </c>
      <c r="D36028" s="8">
        <v>19</v>
      </c>
      <c r="E36028" s="8">
        <v>0</v>
      </c>
      <c r="F36028" s="8">
        <v>400</v>
      </c>
    </row>
    <row r="36029" spans="1:6" ht="12.75">
      <c r="A36029" s="8">
        <v>43888.336238425924</v>
      </c>
      <c r="B36029" s="8" t="str">
        <f>HYPERLINK("https://twitter.com/sweet_gulaly","@sweet_gulaly")</f>
        <v>@sweet_gulaly</v>
      </c>
      <c r="C36029" s="8" t="s">
        <v>6863</v>
      </c>
      <c r="D36029" s="8">
        <v>19</v>
      </c>
      <c r="E36029" s="8">
        <v>0</v>
      </c>
      <c r="F36029" s="8">
        <v>147</v>
      </c>
    </row>
    <row r="36030" spans="1:6" ht="12.75">
      <c r="A36030" s="8">
        <v>43888.336122685185</v>
      </c>
      <c r="B36030" s="8" t="str">
        <f>HYPERLINK("https://twitter.com/manojbjp1","@manojbjp1")</f>
        <v>@manojbjp1</v>
      </c>
      <c r="C36030" s="8" t="s">
        <v>13934</v>
      </c>
      <c r="D36030" s="8">
        <v>0</v>
      </c>
      <c r="E36030" s="8">
        <v>0</v>
      </c>
      <c r="F36030" s="8">
        <v>147</v>
      </c>
    </row>
    <row r="36031" spans="1:6" ht="12.75">
      <c r="A36031" s="8">
        <v>43888.336076388892</v>
      </c>
      <c r="B36031" s="8" t="str">
        <f>HYPERLINK("https://twitter.com/roliraka","@roliraka")</f>
        <v>@roliraka</v>
      </c>
      <c r="C36031" s="8" t="s">
        <v>4785</v>
      </c>
      <c r="D36031" s="8">
        <v>376</v>
      </c>
      <c r="E36031" s="8">
        <v>0</v>
      </c>
      <c r="F36031" s="8">
        <v>31</v>
      </c>
    </row>
    <row r="36032" spans="1:6" ht="12.75">
      <c r="A36032" s="8">
        <v>43888.336041666669</v>
      </c>
      <c r="B36032" s="8" t="str">
        <f>HYPERLINK("https://twitter.com/miedokdokk","@miedokdokk")</f>
        <v>@miedokdokk</v>
      </c>
      <c r="C36032" s="8" t="s">
        <v>593</v>
      </c>
      <c r="D36032" s="8">
        <v>306</v>
      </c>
      <c r="E36032" s="8">
        <v>0</v>
      </c>
      <c r="F36032" s="8">
        <v>323</v>
      </c>
    </row>
    <row r="36033" spans="1:6" ht="12.75">
      <c r="A36033" s="8">
        <v>43888.33592592593</v>
      </c>
      <c r="B36033" s="8" t="str">
        <f>HYPERLINK("https://twitter.com/sugiono_69","@sugiono_69")</f>
        <v>@sugiono_69</v>
      </c>
      <c r="C36033" s="8" t="s">
        <v>12052</v>
      </c>
      <c r="D36033" s="8">
        <v>29</v>
      </c>
      <c r="E36033" s="8">
        <v>0</v>
      </c>
      <c r="F36033" s="8">
        <v>670</v>
      </c>
    </row>
    <row r="36034" spans="1:6" ht="12.75">
      <c r="A36034" s="8">
        <v>43888.335914351846</v>
      </c>
      <c r="B36034" s="8" t="str">
        <f>HYPERLINK("https://twitter.com/Hegie_bae","@Hegie_bae")</f>
        <v>@Hegie_bae</v>
      </c>
      <c r="C36034" s="8" t="s">
        <v>13935</v>
      </c>
      <c r="D36034" s="8">
        <v>2</v>
      </c>
      <c r="E36034" s="8">
        <v>0</v>
      </c>
      <c r="F36034" s="8">
        <v>392</v>
      </c>
    </row>
    <row r="36035" spans="1:6" ht="12.75">
      <c r="A36035" s="8">
        <v>43888.335590277777</v>
      </c>
      <c r="B36035" s="8" t="str">
        <f>HYPERLINK("https://twitter.com/noe_santara","@noe_santara")</f>
        <v>@noe_santara</v>
      </c>
      <c r="C36035" s="8" t="s">
        <v>12755</v>
      </c>
      <c r="D36035" s="8">
        <v>8</v>
      </c>
      <c r="E36035" s="8">
        <v>0</v>
      </c>
      <c r="F36035" s="8">
        <v>1419</v>
      </c>
    </row>
    <row r="36036" spans="1:6" ht="12.75">
      <c r="A36036" s="8">
        <v>43888.335555555561</v>
      </c>
      <c r="B36036" s="8" t="str">
        <f>HYPERLINK("https://twitter.com/rinikusrini2015","@rinikusrini2015")</f>
        <v>@rinikusrini2015</v>
      </c>
      <c r="C36036" s="8" t="s">
        <v>13936</v>
      </c>
      <c r="D36036" s="8">
        <v>2</v>
      </c>
      <c r="E36036" s="8">
        <v>0</v>
      </c>
      <c r="F36036" s="8">
        <v>655</v>
      </c>
    </row>
    <row r="36037" spans="1:6" ht="12.75">
      <c r="A36037" s="8">
        <v>43888.335393518515</v>
      </c>
      <c r="B36037" s="8" t="str">
        <f>HYPERLINK("https://twitter.com/Sulthan29543406","@Sulthan29543406")</f>
        <v>@Sulthan29543406</v>
      </c>
      <c r="C36037" s="8" t="s">
        <v>13937</v>
      </c>
      <c r="D36037" s="8">
        <v>0</v>
      </c>
      <c r="E36037" s="8">
        <v>0</v>
      </c>
      <c r="F36037" s="8">
        <v>55</v>
      </c>
    </row>
    <row r="36038" spans="1:6" ht="12.75">
      <c r="A36038" s="8">
        <v>43888.335381944446</v>
      </c>
      <c r="B36038" s="8" t="str">
        <f>HYPERLINK("https://twitter.com/OffieSander","@OffieSander")</f>
        <v>@OffieSander</v>
      </c>
      <c r="C36038" s="8" t="s">
        <v>11773</v>
      </c>
      <c r="D36038" s="8">
        <v>310</v>
      </c>
      <c r="E36038" s="8">
        <v>0</v>
      </c>
      <c r="F36038" s="8">
        <v>552</v>
      </c>
    </row>
    <row r="36039" spans="1:6" ht="12.75">
      <c r="A36039" s="8">
        <v>43888.335370370369</v>
      </c>
      <c r="B36039" s="8" t="str">
        <f>HYPERLINK("https://twitter.com/apasehhmm","@apasehhmm")</f>
        <v>@apasehhmm</v>
      </c>
      <c r="C36039" s="8" t="s">
        <v>13938</v>
      </c>
      <c r="D36039" s="8">
        <v>0</v>
      </c>
      <c r="E36039" s="8">
        <v>0</v>
      </c>
      <c r="F36039" s="8">
        <v>145</v>
      </c>
    </row>
    <row r="36040" spans="1:6" ht="12.75">
      <c r="A36040" s="8">
        <v>43888.33520833333</v>
      </c>
      <c r="B36040" s="8" t="str">
        <f>HYPERLINK("https://twitter.com/gitainta","@gitainta")</f>
        <v>@gitainta</v>
      </c>
      <c r="C36040" s="8" t="s">
        <v>6863</v>
      </c>
      <c r="D36040" s="8">
        <v>19</v>
      </c>
      <c r="E36040" s="8">
        <v>0</v>
      </c>
      <c r="F36040" s="8">
        <v>105</v>
      </c>
    </row>
    <row r="36041" spans="1:6" ht="12.75">
      <c r="A36041" s="8">
        <v>43888.335115740745</v>
      </c>
      <c r="B36041" s="8" t="str">
        <f>HYPERLINK("https://twitter.com/RafkiHidayat","@RafkiHidayat")</f>
        <v>@RafkiHidayat</v>
      </c>
      <c r="C36041" s="8" t="s">
        <v>6863</v>
      </c>
      <c r="D36041" s="8">
        <v>19</v>
      </c>
      <c r="E36041" s="8">
        <v>0</v>
      </c>
      <c r="F36041" s="8">
        <v>1190</v>
      </c>
    </row>
    <row r="36042" spans="1:6" ht="12.75">
      <c r="A36042" s="8">
        <v>43888.33494212963</v>
      </c>
      <c r="B36042" s="8" t="str">
        <f>HYPERLINK("https://twitter.com/denta_05bang","@denta_05bang")</f>
        <v>@denta_05bang</v>
      </c>
      <c r="C36042" s="8" t="s">
        <v>6863</v>
      </c>
      <c r="D36042" s="8">
        <v>19</v>
      </c>
      <c r="E36042" s="8">
        <v>0</v>
      </c>
      <c r="F36042" s="8">
        <v>1034</v>
      </c>
    </row>
    <row r="36043" spans="1:6" ht="12.75">
      <c r="A36043" s="8">
        <v>43888.334710648152</v>
      </c>
      <c r="B36043" s="8" t="str">
        <f>HYPERLINK("https://twitter.com/rinikusrini2015","@rinikusrini2015")</f>
        <v>@rinikusrini2015</v>
      </c>
      <c r="C36043" s="8" t="s">
        <v>13939</v>
      </c>
      <c r="D36043" s="8">
        <v>4</v>
      </c>
      <c r="E36043" s="8">
        <v>0</v>
      </c>
      <c r="F36043" s="8">
        <v>655</v>
      </c>
    </row>
    <row r="36044" spans="1:6" ht="12.75">
      <c r="A36044" s="8">
        <v>43888.334652777776</v>
      </c>
      <c r="B36044" s="8" t="str">
        <f>HYPERLINK("https://twitter.com/WSatryo","@WSatryo")</f>
        <v>@WSatryo</v>
      </c>
      <c r="C36044" s="8" t="s">
        <v>13940</v>
      </c>
      <c r="D36044" s="8">
        <v>2</v>
      </c>
      <c r="E36044" s="8">
        <v>0</v>
      </c>
      <c r="F36044" s="8">
        <v>187</v>
      </c>
    </row>
    <row r="36045" spans="1:6" ht="12.75">
      <c r="A36045" s="8">
        <v>43888.334525462968</v>
      </c>
      <c r="B36045" s="8" t="str">
        <f>HYPERLINK("https://twitter.com/sfl_aimn","@sfl_aimn")</f>
        <v>@sfl_aimn</v>
      </c>
      <c r="C36045" s="8" t="s">
        <v>13941</v>
      </c>
      <c r="D36045" s="8">
        <v>0</v>
      </c>
      <c r="E36045" s="8">
        <v>0</v>
      </c>
      <c r="F36045" s="8">
        <v>903</v>
      </c>
    </row>
    <row r="36046" spans="1:6" ht="12.75">
      <c r="A36046" s="8">
        <v>43888.334502314814</v>
      </c>
      <c r="B36046" s="8" t="str">
        <f>HYPERLINK("https://twitter.com/voaindonesia","@voaindonesia")</f>
        <v>@voaindonesia</v>
      </c>
      <c r="C36046" s="8" t="s">
        <v>13942</v>
      </c>
      <c r="D36046" s="8">
        <v>19</v>
      </c>
      <c r="E36046" s="8">
        <v>18</v>
      </c>
      <c r="F36046" s="8">
        <v>307800</v>
      </c>
    </row>
    <row r="36047" spans="1:6" ht="12.75">
      <c r="A36047" s="8">
        <v>43888.334456018521</v>
      </c>
      <c r="B36047" s="8" t="str">
        <f>HYPERLINK("https://twitter.com/rinikusrini2015","@rinikusrini2015")</f>
        <v>@rinikusrini2015</v>
      </c>
      <c r="C36047" s="8" t="s">
        <v>13839</v>
      </c>
      <c r="D36047" s="8">
        <v>2</v>
      </c>
      <c r="E36047" s="8">
        <v>0</v>
      </c>
      <c r="F36047" s="8">
        <v>655</v>
      </c>
    </row>
    <row r="36048" spans="1:6" ht="12.75">
      <c r="A36048" s="8">
        <v>43888.33388888889</v>
      </c>
      <c r="B36048" s="8" t="str">
        <f>HYPERLINK("https://twitter.com/kusumovina","@kusumovina")</f>
        <v>@kusumovina</v>
      </c>
      <c r="C36048" s="8" t="s">
        <v>26</v>
      </c>
      <c r="D36048" s="8">
        <v>119</v>
      </c>
      <c r="E36048" s="8">
        <v>0</v>
      </c>
      <c r="F36048" s="8">
        <v>158</v>
      </c>
    </row>
    <row r="36049" spans="1:6" ht="12.75">
      <c r="A36049" s="8">
        <v>43888.333622685182</v>
      </c>
      <c r="B36049" s="8" t="str">
        <f>HYPERLINK("https://twitter.com/arkarimah","@arkarimah")</f>
        <v>@arkarimah</v>
      </c>
      <c r="C36049" s="8" t="s">
        <v>13943</v>
      </c>
      <c r="D36049" s="8">
        <v>2059</v>
      </c>
      <c r="E36049" s="8">
        <v>0</v>
      </c>
      <c r="F36049" s="8">
        <v>0</v>
      </c>
    </row>
    <row r="36050" spans="1:6" ht="12.75">
      <c r="A36050" s="8">
        <v>43888.333611111113</v>
      </c>
      <c r="B36050" s="8" t="str">
        <f>HYPERLINK("https://twitter.com/tvOneNews","@tvOneNews")</f>
        <v>@tvOneNews</v>
      </c>
      <c r="C36050" s="8" t="s">
        <v>13944</v>
      </c>
      <c r="D36050" s="8">
        <v>2</v>
      </c>
      <c r="E36050" s="8">
        <v>2</v>
      </c>
      <c r="F36050" s="8">
        <v>8722139</v>
      </c>
    </row>
    <row r="36051" spans="1:6" ht="12.75">
      <c r="A36051" s="8">
        <v>43888.333472222221</v>
      </c>
      <c r="B36051" s="8" t="str">
        <f>HYPERLINK("https://twitter.com/AlvaroDeBazan2","@AlvaroDeBazan2")</f>
        <v>@AlvaroDeBazan2</v>
      </c>
      <c r="C36051" s="8" t="s">
        <v>13495</v>
      </c>
      <c r="D36051" s="8">
        <v>8</v>
      </c>
      <c r="E36051" s="8">
        <v>0</v>
      </c>
      <c r="F36051" s="8">
        <v>249</v>
      </c>
    </row>
    <row r="36052" spans="1:6" ht="12.75">
      <c r="A36052" s="8">
        <v>43888.333321759259</v>
      </c>
      <c r="B36052" s="8" t="str">
        <f>HYPERLINK("https://twitter.com/vikram6100","@vikram6100")</f>
        <v>@vikram6100</v>
      </c>
      <c r="C36052" s="8" t="s">
        <v>13945</v>
      </c>
      <c r="D36052" s="8">
        <v>0</v>
      </c>
      <c r="E36052" s="8">
        <v>0</v>
      </c>
      <c r="F36052" s="8">
        <v>2451</v>
      </c>
    </row>
    <row r="36053" spans="1:6" ht="12.75">
      <c r="A36053" s="8">
        <v>43888.333252314813</v>
      </c>
      <c r="B36053" s="8" t="str">
        <f>HYPERLINK("https://twitter.com/V_Stone_Kardol","@V_Stone_Kardol")</f>
        <v>@V_Stone_Kardol</v>
      </c>
      <c r="C36053" s="8" t="s">
        <v>13946</v>
      </c>
      <c r="D36053" s="8">
        <v>1</v>
      </c>
      <c r="E36053" s="8">
        <v>0</v>
      </c>
      <c r="F36053" s="8">
        <v>8102</v>
      </c>
    </row>
    <row r="36054" spans="1:6" ht="12.75">
      <c r="A36054" s="8">
        <v>43888.333240740743</v>
      </c>
      <c r="B36054" s="8" t="str">
        <f>HYPERLINK("https://twitter.com/RelawanNusanta1","@RelawanNusanta1")</f>
        <v>@RelawanNusanta1</v>
      </c>
      <c r="C36054" s="8" t="s">
        <v>13947</v>
      </c>
      <c r="D36054" s="8">
        <v>1</v>
      </c>
      <c r="E36054" s="8">
        <v>0</v>
      </c>
      <c r="F36054" s="8">
        <v>1319</v>
      </c>
    </row>
    <row r="36055" spans="1:6" ht="12.75">
      <c r="A36055" s="8">
        <v>43888.333101851851</v>
      </c>
      <c r="B36055" s="8" t="str">
        <f>HYPERLINK("https://twitter.com/dencitro","@dencitro")</f>
        <v>@dencitro</v>
      </c>
      <c r="C36055" s="8" t="s">
        <v>13948</v>
      </c>
      <c r="D36055" s="8">
        <v>0</v>
      </c>
      <c r="E36055" s="8">
        <v>0</v>
      </c>
      <c r="F36055" s="8">
        <v>460</v>
      </c>
    </row>
    <row r="36056" spans="1:6" ht="12.75">
      <c r="A36056" s="8">
        <v>43888.332928240736</v>
      </c>
      <c r="B36056" s="8" t="str">
        <f>HYPERLINK("https://twitter.com/PaijoAryanto__","@PaijoAryanto__")</f>
        <v>@PaijoAryanto__</v>
      </c>
      <c r="C36056" s="8" t="s">
        <v>13949</v>
      </c>
      <c r="D36056" s="8">
        <v>0</v>
      </c>
      <c r="E36056" s="8">
        <v>2</v>
      </c>
      <c r="F36056" s="8">
        <v>734</v>
      </c>
    </row>
    <row r="36057" spans="1:6" ht="12.75">
      <c r="A36057" s="8">
        <v>43888.332534722227</v>
      </c>
      <c r="B36057" s="8" t="str">
        <f>HYPERLINK("https://twitter.com/SydSalesman","@SydSalesman")</f>
        <v>@SydSalesman</v>
      </c>
      <c r="C36057" s="8" t="s">
        <v>12755</v>
      </c>
      <c r="D36057" s="8">
        <v>8</v>
      </c>
      <c r="E36057" s="8">
        <v>0</v>
      </c>
      <c r="F36057" s="8">
        <v>6280</v>
      </c>
    </row>
    <row r="36058" spans="1:6" ht="12.75">
      <c r="A36058" s="8">
        <v>43888.332048611112</v>
      </c>
      <c r="B36058" s="8" t="str">
        <f>HYPERLINK("https://twitter.com/V_Stone_Kardol","@V_Stone_Kardol")</f>
        <v>@V_Stone_Kardol</v>
      </c>
      <c r="C36058" s="8" t="s">
        <v>13950</v>
      </c>
      <c r="D36058" s="8">
        <v>2</v>
      </c>
      <c r="E36058" s="8">
        <v>0</v>
      </c>
      <c r="F36058" s="8">
        <v>8102</v>
      </c>
    </row>
    <row r="36059" spans="1:6" ht="12.75">
      <c r="A36059" s="8">
        <v>43888.332002314812</v>
      </c>
      <c r="B36059" s="8" t="str">
        <f>HYPERLINK("https://twitter.com/SydSalesman","@SydSalesman")</f>
        <v>@SydSalesman</v>
      </c>
      <c r="C36059" s="8" t="s">
        <v>13495</v>
      </c>
      <c r="D36059" s="8">
        <v>8</v>
      </c>
      <c r="E36059" s="8">
        <v>0</v>
      </c>
      <c r="F36059" s="8">
        <v>6280</v>
      </c>
    </row>
    <row r="36060" spans="1:6" ht="12.75">
      <c r="A36060" s="8">
        <v>43888.331909722227</v>
      </c>
      <c r="B36060" s="8" t="str">
        <f>HYPERLINK("https://twitter.com/AnakKolong___","@AnakKolong___")</f>
        <v>@AnakKolong___</v>
      </c>
      <c r="C36060" s="8" t="s">
        <v>13951</v>
      </c>
      <c r="D36060" s="8">
        <v>1</v>
      </c>
      <c r="E36060" s="8">
        <v>0</v>
      </c>
      <c r="F36060" s="8">
        <v>7074</v>
      </c>
    </row>
    <row r="36061" spans="1:6" ht="12.75">
      <c r="A36061" s="8">
        <v>43888.331539351857</v>
      </c>
      <c r="B36061" s="8" t="str">
        <f>HYPERLINK("https://twitter.com/aya_ddt","@aya_ddt")</f>
        <v>@aya_ddt</v>
      </c>
      <c r="C36061" s="8" t="s">
        <v>13505</v>
      </c>
      <c r="D36061" s="8">
        <v>14</v>
      </c>
      <c r="E36061" s="8">
        <v>0</v>
      </c>
      <c r="F36061" s="8">
        <v>435</v>
      </c>
    </row>
    <row r="36062" spans="1:6" ht="12.75">
      <c r="A36062" s="8">
        <v>43888.331296296295</v>
      </c>
      <c r="B36062" s="8" t="str">
        <f>HYPERLINK("https://twitter.com/V_Stone_Kardol","@V_Stone_Kardol")</f>
        <v>@V_Stone_Kardol</v>
      </c>
      <c r="C36062" s="8" t="s">
        <v>13505</v>
      </c>
      <c r="D36062" s="8">
        <v>14</v>
      </c>
      <c r="E36062" s="8">
        <v>0</v>
      </c>
      <c r="F36062" s="8">
        <v>8102</v>
      </c>
    </row>
    <row r="36063" spans="1:6" ht="12.75">
      <c r="A36063" s="8">
        <v>43888.330972222218</v>
      </c>
      <c r="B36063" s="8" t="str">
        <f>HYPERLINK("https://twitter.com/Buzzindi1","@Buzzindi1")</f>
        <v>@Buzzindi1</v>
      </c>
      <c r="C36063" s="8" t="s">
        <v>13952</v>
      </c>
      <c r="D36063" s="8">
        <v>1</v>
      </c>
      <c r="E36063" s="8">
        <v>3</v>
      </c>
      <c r="F36063" s="8">
        <v>86</v>
      </c>
    </row>
    <row r="36064" spans="1:6" ht="12.75">
      <c r="A36064" s="8">
        <v>43888.330694444448</v>
      </c>
      <c r="B36064" s="8" t="str">
        <f>HYPERLINK("https://twitter.com/IvanRT05","@IvanRT05")</f>
        <v>@IvanRT05</v>
      </c>
      <c r="C36064" s="8" t="s">
        <v>13953</v>
      </c>
      <c r="D36064" s="8">
        <v>2</v>
      </c>
      <c r="E36064" s="8">
        <v>0</v>
      </c>
      <c r="F36064" s="8">
        <v>655</v>
      </c>
    </row>
    <row r="36065" spans="1:6" ht="12.75">
      <c r="A36065" s="8">
        <v>43888.330231481479</v>
      </c>
      <c r="B36065" s="8" t="str">
        <f>HYPERLINK("https://twitter.com/Hamstryun","@Hamstryun")</f>
        <v>@Hamstryun</v>
      </c>
      <c r="C36065" s="8" t="s">
        <v>13954</v>
      </c>
      <c r="D36065" s="8">
        <v>0</v>
      </c>
      <c r="E36065" s="8">
        <v>0</v>
      </c>
      <c r="F36065" s="8">
        <v>322</v>
      </c>
    </row>
    <row r="36066" spans="1:6" ht="12.75">
      <c r="A36066" s="8">
        <v>43888.329537037032</v>
      </c>
      <c r="B36066" s="8" t="str">
        <f>HYPERLINK("https://twitter.com/mr_supiansyah","@mr_supiansyah")</f>
        <v>@mr_supiansyah</v>
      </c>
      <c r="C36066" s="8" t="s">
        <v>13187</v>
      </c>
      <c r="D36066" s="8">
        <v>29</v>
      </c>
      <c r="E36066" s="8">
        <v>0</v>
      </c>
      <c r="F36066" s="8">
        <v>2041</v>
      </c>
    </row>
    <row r="36067" spans="1:6" ht="12.75">
      <c r="A36067" s="8">
        <v>43888.329456018517</v>
      </c>
      <c r="B36067" s="8" t="str">
        <f>HYPERLINK("https://twitter.com/aikon_mada","@aikon_mada")</f>
        <v>@aikon_mada</v>
      </c>
      <c r="C36067" s="8" t="s">
        <v>11773</v>
      </c>
      <c r="D36067" s="8">
        <v>310</v>
      </c>
      <c r="E36067" s="8">
        <v>0</v>
      </c>
      <c r="F36067" s="8">
        <v>141</v>
      </c>
    </row>
    <row r="36068" spans="1:6" ht="12.75">
      <c r="A36068" s="8">
        <v>43888.329444444447</v>
      </c>
      <c r="B36068" s="8" t="str">
        <f>HYPERLINK("https://twitter.com/Chikiajadong","@Chikiajadong")</f>
        <v>@Chikiajadong</v>
      </c>
      <c r="C36068" s="8" t="s">
        <v>13955</v>
      </c>
      <c r="D36068" s="8">
        <v>0</v>
      </c>
      <c r="E36068" s="8">
        <v>1</v>
      </c>
      <c r="F36068" s="8">
        <v>480</v>
      </c>
    </row>
    <row r="36069" spans="1:6" ht="12.75">
      <c r="A36069" s="8">
        <v>43888.32917824074</v>
      </c>
      <c r="B36069" s="8" t="str">
        <f>HYPERLINK("https://twitter.com/Biancashm","@Biancashm")</f>
        <v>@Biancashm</v>
      </c>
      <c r="C36069" s="8" t="s">
        <v>13956</v>
      </c>
      <c r="D36069" s="8">
        <v>0</v>
      </c>
      <c r="E36069" s="8">
        <v>0</v>
      </c>
      <c r="F36069" s="8">
        <v>564</v>
      </c>
    </row>
    <row r="36070" spans="1:6" ht="12.75">
      <c r="A36070" s="8">
        <v>43888.329155092593</v>
      </c>
      <c r="B36070" s="8" t="str">
        <f>HYPERLINK("https://twitter.com/HonorerPejuang","@HonorerPejuang")</f>
        <v>@HonorerPejuang</v>
      </c>
      <c r="C36070" s="8" t="s">
        <v>13957</v>
      </c>
      <c r="D36070" s="8">
        <v>1</v>
      </c>
      <c r="E36070" s="8">
        <v>0</v>
      </c>
      <c r="F36070" s="8">
        <v>49</v>
      </c>
    </row>
    <row r="36071" spans="1:6" ht="12.75">
      <c r="A36071" s="8">
        <v>43888.329062500001</v>
      </c>
      <c r="B36071" s="8" t="str">
        <f>HYPERLINK("https://twitter.com/JBargus","@JBargus")</f>
        <v>@JBargus</v>
      </c>
      <c r="C36071" s="8" t="s">
        <v>13958</v>
      </c>
      <c r="D36071" s="8">
        <v>0</v>
      </c>
      <c r="E36071" s="8">
        <v>0</v>
      </c>
      <c r="F36071" s="8">
        <v>7</v>
      </c>
    </row>
    <row r="36072" spans="1:6" ht="12.75">
      <c r="A36072" s="8">
        <v>43888.328842592593</v>
      </c>
      <c r="B36072" s="8" t="str">
        <f>HYPERLINK("https://twitter.com/tanto_majukarep","@tanto_majukarep")</f>
        <v>@tanto_majukarep</v>
      </c>
      <c r="C36072" s="8" t="s">
        <v>13198</v>
      </c>
      <c r="D36072" s="8">
        <v>50</v>
      </c>
      <c r="E36072" s="8">
        <v>0</v>
      </c>
      <c r="F36072" s="8">
        <v>114</v>
      </c>
    </row>
    <row r="36073" spans="1:6" ht="12.75">
      <c r="A36073" s="8">
        <v>43888.32880787037</v>
      </c>
      <c r="B36073" s="8" t="str">
        <f>HYPERLINK("https://twitter.com/dim0716demak","@dim0716demak")</f>
        <v>@dim0716demak</v>
      </c>
      <c r="C36073" s="8" t="s">
        <v>13959</v>
      </c>
      <c r="D36073" s="8">
        <v>0</v>
      </c>
      <c r="E36073" s="8">
        <v>0</v>
      </c>
      <c r="F36073" s="8">
        <v>1210</v>
      </c>
    </row>
    <row r="36074" spans="1:6" ht="12.75">
      <c r="A36074" s="8">
        <v>43888.327928240746</v>
      </c>
      <c r="B36074" s="8" t="str">
        <f>HYPERLINK("https://twitter.com/LiaIsti1","@LiaIsti1")</f>
        <v>@LiaIsti1</v>
      </c>
      <c r="C36074" s="8" t="s">
        <v>13495</v>
      </c>
      <c r="D36074" s="8">
        <v>8</v>
      </c>
      <c r="E36074" s="8">
        <v>0</v>
      </c>
      <c r="F36074" s="8">
        <v>2239</v>
      </c>
    </row>
    <row r="36075" spans="1:6" ht="12.75">
      <c r="A36075" s="8">
        <v>43888.3277662037</v>
      </c>
      <c r="B36075" s="8" t="str">
        <f>HYPERLINK("https://twitter.com/RelawanNusanta1","@RelawanNusanta1")</f>
        <v>@RelawanNusanta1</v>
      </c>
      <c r="C36075" s="8" t="s">
        <v>13960</v>
      </c>
      <c r="D36075" s="8">
        <v>5</v>
      </c>
      <c r="E36075" s="8">
        <v>0</v>
      </c>
      <c r="F36075" s="8">
        <v>1319</v>
      </c>
    </row>
    <row r="36076" spans="1:6" ht="12.75">
      <c r="A36076" s="8">
        <v>43888.326597222222</v>
      </c>
      <c r="B36076" s="8" t="str">
        <f>HYPERLINK("https://twitter.com/Uzea6","@Uzea6")</f>
        <v>@Uzea6</v>
      </c>
      <c r="C36076" s="8" t="s">
        <v>13961</v>
      </c>
      <c r="D36076" s="8">
        <v>0</v>
      </c>
      <c r="E36076" s="8">
        <v>0</v>
      </c>
      <c r="F36076" s="8">
        <v>1</v>
      </c>
    </row>
    <row r="36077" spans="1:6" ht="12.75">
      <c r="A36077" s="8">
        <v>43888.326412037037</v>
      </c>
      <c r="B36077" s="8" t="str">
        <f>HYPERLINK("https://twitter.com/RadarNegeriku","@RadarNegeriku")</f>
        <v>@RadarNegeriku</v>
      </c>
      <c r="C36077" s="8" t="s">
        <v>13962</v>
      </c>
      <c r="D36077" s="8">
        <v>1</v>
      </c>
      <c r="E36077" s="8">
        <v>0</v>
      </c>
      <c r="F36077" s="8">
        <v>133</v>
      </c>
    </row>
    <row r="36078" spans="1:6" ht="12.75">
      <c r="A36078" s="8">
        <v>43888.326157407406</v>
      </c>
      <c r="B36078" s="8" t="str">
        <f>HYPERLINK("https://twitter.com/IndraJPiliang","@IndraJPiliang")</f>
        <v>@IndraJPiliang</v>
      </c>
      <c r="C36078" s="8" t="s">
        <v>13963</v>
      </c>
      <c r="D36078" s="8">
        <v>0</v>
      </c>
      <c r="E36078" s="8">
        <v>3</v>
      </c>
      <c r="F36078" s="8">
        <v>272698</v>
      </c>
    </row>
    <row r="36079" spans="1:6" ht="12.75">
      <c r="A36079" s="8">
        <v>43888.325706018513</v>
      </c>
      <c r="B36079" s="8" t="str">
        <f>HYPERLINK("https://twitter.com/rio_enrico","@rio_enrico")</f>
        <v>@rio_enrico</v>
      </c>
      <c r="C36079" s="8" t="s">
        <v>11773</v>
      </c>
      <c r="D36079" s="8">
        <v>310</v>
      </c>
      <c r="E36079" s="8">
        <v>0</v>
      </c>
      <c r="F36079" s="8">
        <v>212</v>
      </c>
    </row>
    <row r="36080" spans="1:6" ht="12.75">
      <c r="A36080" s="8">
        <v>43888.325555555552</v>
      </c>
      <c r="B36080" s="8" t="str">
        <f>HYPERLINK("https://twitter.com/Tio7Willy","@Tio7Willy")</f>
        <v>@Tio7Willy</v>
      </c>
      <c r="C36080" s="8" t="s">
        <v>13964</v>
      </c>
      <c r="D36080" s="8">
        <v>1</v>
      </c>
      <c r="E36080" s="8">
        <v>0</v>
      </c>
      <c r="F36080" s="8">
        <v>259</v>
      </c>
    </row>
    <row r="36081" spans="1:6" ht="12.75">
      <c r="A36081" s="8">
        <v>43888.325543981482</v>
      </c>
      <c r="B36081" s="8" t="str">
        <f>HYPERLINK("https://twitter.com/AnakKolong___","@AnakKolong___")</f>
        <v>@AnakKolong___</v>
      </c>
      <c r="C36081" s="8" t="s">
        <v>13899</v>
      </c>
      <c r="D36081" s="8">
        <v>2</v>
      </c>
      <c r="E36081" s="8">
        <v>0</v>
      </c>
      <c r="F36081" s="8">
        <v>7074</v>
      </c>
    </row>
    <row r="36082" spans="1:6" ht="12.75">
      <c r="A36082" s="8">
        <v>43888.325486111113</v>
      </c>
      <c r="B36082" s="8" t="str">
        <f>HYPERLINK("https://twitter.com/PemikirGL","@PemikirGL")</f>
        <v>@PemikirGL</v>
      </c>
      <c r="C36082" s="8" t="s">
        <v>13965</v>
      </c>
      <c r="D36082" s="8">
        <v>6</v>
      </c>
      <c r="E36082" s="8">
        <v>0</v>
      </c>
      <c r="F36082" s="8">
        <v>11404</v>
      </c>
    </row>
    <row r="36083" spans="1:6" ht="12.75">
      <c r="A36083" s="8">
        <v>43888.325428240743</v>
      </c>
      <c r="B36083" s="8" t="str">
        <f>HYPERLINK("https://twitter.com/RahmanAkly","@RahmanAkly")</f>
        <v>@RahmanAkly</v>
      </c>
      <c r="C36083" s="8" t="s">
        <v>11773</v>
      </c>
      <c r="D36083" s="8">
        <v>310</v>
      </c>
      <c r="E36083" s="8">
        <v>0</v>
      </c>
      <c r="F36083" s="8">
        <v>484</v>
      </c>
    </row>
    <row r="36084" spans="1:6" ht="12.75">
      <c r="A36084" s="8">
        <v>43888.325092592597</v>
      </c>
      <c r="B36084" s="8" t="str">
        <f>HYPERLINK("https://twitter.com/SaatTobat","@SaatTobat")</f>
        <v>@SaatTobat</v>
      </c>
      <c r="C36084" s="8" t="s">
        <v>12052</v>
      </c>
      <c r="D36084" s="8">
        <v>29</v>
      </c>
      <c r="E36084" s="8">
        <v>0</v>
      </c>
      <c r="F36084" s="8">
        <v>1244</v>
      </c>
    </row>
    <row r="36085" spans="1:6" ht="12.75">
      <c r="A36085" s="8">
        <v>43888.32503472222</v>
      </c>
      <c r="B36085" s="8" t="str">
        <f>HYPERLINK("https://twitter.com/kusumovina","@kusumovina")</f>
        <v>@kusumovina</v>
      </c>
      <c r="C36085" s="8" t="s">
        <v>13198</v>
      </c>
      <c r="D36085" s="8">
        <v>50</v>
      </c>
      <c r="E36085" s="8">
        <v>0</v>
      </c>
      <c r="F36085" s="8">
        <v>158</v>
      </c>
    </row>
    <row r="36086" spans="1:6" ht="12.75">
      <c r="A36086" s="8">
        <v>43888.324988425928</v>
      </c>
      <c r="B36086" s="8" t="str">
        <f>HYPERLINK("https://twitter.com/ngurahsaka","@ngurahsaka")</f>
        <v>@ngurahsaka</v>
      </c>
      <c r="C36086" s="8" t="s">
        <v>13966</v>
      </c>
      <c r="D36086" s="8">
        <v>1</v>
      </c>
      <c r="E36086" s="8">
        <v>1</v>
      </c>
      <c r="F36086" s="8">
        <v>1835</v>
      </c>
    </row>
    <row r="36087" spans="1:6" ht="12.75">
      <c r="A36087" s="8">
        <v>43888.324467592596</v>
      </c>
      <c r="B36087" s="8" t="str">
        <f>HYPERLINK("https://twitter.com/UjiGt","@UjiGt")</f>
        <v>@UjiGt</v>
      </c>
      <c r="C36087" s="8" t="s">
        <v>13495</v>
      </c>
      <c r="D36087" s="8">
        <v>8</v>
      </c>
      <c r="E36087" s="8">
        <v>0</v>
      </c>
      <c r="F36087" s="8">
        <v>820</v>
      </c>
    </row>
    <row r="36088" spans="1:6" ht="12.75">
      <c r="A36088" s="8">
        <v>43888.298206018517</v>
      </c>
      <c r="B36088" s="8" t="str">
        <f>HYPERLINK("https://twitter.com/murianihidayat","@murianihidayat")</f>
        <v>@murianihidayat</v>
      </c>
      <c r="C36088" s="8" t="s">
        <v>13967</v>
      </c>
      <c r="D36088" s="8">
        <v>0</v>
      </c>
      <c r="E36088" s="8">
        <v>0</v>
      </c>
      <c r="F36088" s="8">
        <v>166</v>
      </c>
    </row>
    <row r="36089" spans="1:6" ht="12.75">
      <c r="A36089" s="8">
        <v>43888.297939814816</v>
      </c>
      <c r="B36089" s="8" t="str">
        <f>HYPERLINK("https://twitter.com/7dragon8","@7dragon8")</f>
        <v>@7dragon8</v>
      </c>
      <c r="C36089" s="8" t="s">
        <v>4785</v>
      </c>
      <c r="D36089" s="8">
        <v>366</v>
      </c>
      <c r="E36089" s="8">
        <v>0</v>
      </c>
      <c r="F36089" s="8">
        <v>198</v>
      </c>
    </row>
    <row r="36090" spans="1:6" ht="12.75">
      <c r="A36090" s="8">
        <v>43888.296875</v>
      </c>
      <c r="B36090" s="8" t="str">
        <f>HYPERLINK("https://twitter.com/aabbbbb123","@aabbbbb123")</f>
        <v>@aabbbbb123</v>
      </c>
      <c r="C36090" s="8" t="s">
        <v>8484</v>
      </c>
      <c r="D36090" s="8">
        <v>1019</v>
      </c>
      <c r="E36090" s="8">
        <v>0</v>
      </c>
      <c r="F36090" s="8">
        <v>508</v>
      </c>
    </row>
    <row r="36091" spans="1:6" ht="12.75">
      <c r="A36091" s="8">
        <v>43888.296736111108</v>
      </c>
      <c r="B36091" s="8" t="str">
        <f>HYPERLINK("https://twitter.com/tjhinfar21","@tjhinfar21")</f>
        <v>@tjhinfar21</v>
      </c>
      <c r="C36091" s="8" t="s">
        <v>13968</v>
      </c>
      <c r="D36091" s="8">
        <v>3</v>
      </c>
      <c r="E36091" s="8">
        <v>0</v>
      </c>
      <c r="F36091" s="8">
        <v>16101</v>
      </c>
    </row>
    <row r="36092" spans="1:6" ht="12.75">
      <c r="A36092" s="8">
        <v>43888.2966087963</v>
      </c>
      <c r="B36092" s="8" t="str">
        <f>HYPERLINK("https://twitter.com/becak125cc","@becak125cc")</f>
        <v>@becak125cc</v>
      </c>
      <c r="C36092" s="8" t="s">
        <v>13874</v>
      </c>
      <c r="D36092" s="8">
        <v>21</v>
      </c>
      <c r="E36092" s="8">
        <v>0</v>
      </c>
      <c r="F36092" s="8">
        <v>527</v>
      </c>
    </row>
    <row r="36093" spans="1:6" ht="12.75">
      <c r="A36093" s="8">
        <v>43888.296249999999</v>
      </c>
      <c r="B36093" s="8" t="str">
        <f>HYPERLINK("https://twitter.com/zazukk_","@zazukk_")</f>
        <v>@zazukk_</v>
      </c>
      <c r="C36093" s="8" t="s">
        <v>13969</v>
      </c>
      <c r="D36093" s="8">
        <v>0</v>
      </c>
      <c r="E36093" s="8">
        <v>0</v>
      </c>
      <c r="F36093" s="8">
        <v>56</v>
      </c>
    </row>
    <row r="36094" spans="1:6" ht="12.75">
      <c r="A36094" s="8">
        <v>43888.295983796299</v>
      </c>
      <c r="B36094" s="8" t="str">
        <f>HYPERLINK("https://twitter.com/BebasVisaID","@BebasVisaID")</f>
        <v>@BebasVisaID</v>
      </c>
      <c r="C36094" s="8" t="s">
        <v>13953</v>
      </c>
      <c r="D36094" s="8">
        <v>1</v>
      </c>
      <c r="E36094" s="8">
        <v>0</v>
      </c>
      <c r="F36094" s="8">
        <v>7920</v>
      </c>
    </row>
    <row r="36095" spans="1:6" ht="12.75">
      <c r="A36095" s="8">
        <v>43888.29586805556</v>
      </c>
      <c r="B36095" s="8" t="str">
        <f>HYPERLINK("https://twitter.com/migoyeng08","@migoyeng08")</f>
        <v>@migoyeng08</v>
      </c>
      <c r="C36095" s="8" t="s">
        <v>13970</v>
      </c>
      <c r="D36095" s="8">
        <v>0</v>
      </c>
      <c r="E36095" s="8">
        <v>0</v>
      </c>
      <c r="F36095" s="8">
        <v>378</v>
      </c>
    </row>
    <row r="36096" spans="1:6" ht="12.75">
      <c r="A36096" s="8">
        <v>43888.295833333337</v>
      </c>
      <c r="B36096" s="8" t="str">
        <f>HYPERLINK("https://twitter.com/tsjokka","@tsjokka")</f>
        <v>@tsjokka</v>
      </c>
      <c r="C36096" s="8" t="s">
        <v>13971</v>
      </c>
      <c r="D36096" s="8">
        <v>0</v>
      </c>
      <c r="E36096" s="8">
        <v>0</v>
      </c>
      <c r="F36096" s="8">
        <v>692</v>
      </c>
    </row>
    <row r="36097" spans="1:6" ht="12.75">
      <c r="A36097" s="8">
        <v>43888.295752314814</v>
      </c>
      <c r="B36097" s="8" t="str">
        <f>HYPERLINK("https://twitter.com/becak125cc","@becak125cc")</f>
        <v>@becak125cc</v>
      </c>
      <c r="C36097" s="8" t="s">
        <v>13881</v>
      </c>
      <c r="D36097" s="8">
        <v>4</v>
      </c>
      <c r="E36097" s="8">
        <v>0</v>
      </c>
      <c r="F36097" s="8">
        <v>527</v>
      </c>
    </row>
    <row r="36098" spans="1:6" ht="12.75">
      <c r="A36098" s="8">
        <v>43888.295706018514</v>
      </c>
      <c r="B36098" s="8" t="str">
        <f>HYPERLINK("https://twitter.com/andris44","@andris44")</f>
        <v>@andris44</v>
      </c>
      <c r="C36098" s="8" t="s">
        <v>12143</v>
      </c>
      <c r="D36098" s="8">
        <v>280</v>
      </c>
      <c r="E36098" s="8">
        <v>0</v>
      </c>
      <c r="F36098" s="8">
        <v>1360</v>
      </c>
    </row>
    <row r="36099" spans="1:6" ht="12.75">
      <c r="A36099" s="8">
        <v>43888.295706018514</v>
      </c>
      <c r="B36099" s="8" t="str">
        <f>HYPERLINK("https://twitter.com/damario04","@damario04")</f>
        <v>@damario04</v>
      </c>
      <c r="C36099" s="8" t="s">
        <v>166</v>
      </c>
      <c r="D36099" s="8">
        <v>0</v>
      </c>
      <c r="E36099" s="8">
        <v>0</v>
      </c>
      <c r="F36099" s="8">
        <v>404</v>
      </c>
    </row>
    <row r="36100" spans="1:6" ht="12.75">
      <c r="A36100" s="8">
        <v>43888.295578703706</v>
      </c>
      <c r="B36100" s="8" t="str">
        <f>HYPERLINK("https://twitter.com/Bjang99","@Bjang99")</f>
        <v>@Bjang99</v>
      </c>
      <c r="C36100" s="8" t="s">
        <v>13875</v>
      </c>
      <c r="D36100" s="8">
        <v>19</v>
      </c>
      <c r="E36100" s="8">
        <v>0</v>
      </c>
      <c r="F36100" s="8">
        <v>253</v>
      </c>
    </row>
    <row r="36101" spans="1:6" ht="12.75">
      <c r="A36101" s="8">
        <v>43888.295451388884</v>
      </c>
      <c r="B36101" s="8" t="str">
        <f>HYPERLINK("https://twitter.com/Nouna_jessica94","@Nouna_jessica94")</f>
        <v>@Nouna_jessica94</v>
      </c>
      <c r="C36101" s="8" t="s">
        <v>13972</v>
      </c>
      <c r="D36101" s="8">
        <v>1</v>
      </c>
      <c r="E36101" s="8">
        <v>0</v>
      </c>
      <c r="F36101" s="8">
        <v>14009</v>
      </c>
    </row>
    <row r="36102" spans="1:6" ht="12.75">
      <c r="A36102" s="8">
        <v>43888.29515046296</v>
      </c>
      <c r="B36102" s="8" t="str">
        <f>HYPERLINK("https://twitter.com/NickwIsj","@NickwIsj")</f>
        <v>@NickwIsj</v>
      </c>
      <c r="C36102" s="8" t="s">
        <v>11773</v>
      </c>
      <c r="D36102" s="8">
        <v>287</v>
      </c>
      <c r="E36102" s="8">
        <v>0</v>
      </c>
      <c r="F36102" s="8">
        <v>4</v>
      </c>
    </row>
    <row r="36103" spans="1:6" ht="12.75">
      <c r="A36103" s="8">
        <v>43888.29487268519</v>
      </c>
      <c r="B36103" s="8" t="str">
        <f>HYPERLINK("https://twitter.com/motoi_ibaraki","@motoi_ibaraki")</f>
        <v>@motoi_ibaraki</v>
      </c>
      <c r="C36103" s="8" t="s">
        <v>8484</v>
      </c>
      <c r="D36103" s="8">
        <v>1019</v>
      </c>
      <c r="E36103" s="8">
        <v>0</v>
      </c>
      <c r="F36103" s="8">
        <v>38</v>
      </c>
    </row>
    <row r="36104" spans="1:6" ht="12.75">
      <c r="A36104" s="8">
        <v>43888.294560185182</v>
      </c>
      <c r="B36104" s="8" t="str">
        <f>HYPERLINK("https://twitter.com/turQG4m8Iu7QY3a","@turQG4m8Iu7QY3a")</f>
        <v>@turQG4m8Iu7QY3a</v>
      </c>
      <c r="C36104" s="8" t="s">
        <v>8484</v>
      </c>
      <c r="D36104" s="8">
        <v>1019</v>
      </c>
      <c r="E36104" s="8">
        <v>0</v>
      </c>
      <c r="F36104" s="8">
        <v>372</v>
      </c>
    </row>
    <row r="36105" spans="1:6" ht="12.75">
      <c r="A36105" s="8">
        <v>43888.294386574074</v>
      </c>
      <c r="B36105" s="8" t="str">
        <f>HYPERLINK("https://twitter.com/aidan_magida","@aidan_magida")</f>
        <v>@aidan_magida</v>
      </c>
      <c r="C36105" s="8" t="s">
        <v>13973</v>
      </c>
      <c r="D36105" s="8">
        <v>0</v>
      </c>
      <c r="E36105" s="8">
        <v>1</v>
      </c>
      <c r="F36105" s="8">
        <v>81</v>
      </c>
    </row>
    <row r="36106" spans="1:6" ht="12.75">
      <c r="A36106" s="8">
        <v>43888.293472222227</v>
      </c>
      <c r="B36106" s="8" t="str">
        <f>HYPERLINK("https://twitter.com/weddie_s","@weddie_s")</f>
        <v>@weddie_s</v>
      </c>
      <c r="C36106" s="8" t="s">
        <v>13974</v>
      </c>
      <c r="D36106" s="8">
        <v>3</v>
      </c>
      <c r="E36106" s="8">
        <v>0</v>
      </c>
      <c r="F36106" s="8">
        <v>2774</v>
      </c>
    </row>
    <row r="36107" spans="1:6" ht="12.75">
      <c r="A36107" s="8">
        <v>43888.293182870373</v>
      </c>
      <c r="B36107" s="8" t="str">
        <f>HYPERLINK("https://twitter.com/TrickyRicky20th","@TrickyRicky20th")</f>
        <v>@TrickyRicky20th</v>
      </c>
      <c r="C36107" s="8" t="s">
        <v>13975</v>
      </c>
      <c r="D36107" s="8">
        <v>0</v>
      </c>
      <c r="E36107" s="8">
        <v>1</v>
      </c>
      <c r="F36107" s="8">
        <v>304</v>
      </c>
    </row>
    <row r="36108" spans="1:6" ht="12.75">
      <c r="A36108" s="8">
        <v>43888.293124999997</v>
      </c>
      <c r="B36108" s="8" t="str">
        <f>HYPERLINK("https://twitter.com/giostanov","@giostanov")</f>
        <v>@giostanov</v>
      </c>
      <c r="C36108" s="8" t="s">
        <v>13976</v>
      </c>
      <c r="D36108" s="8">
        <v>0</v>
      </c>
      <c r="E36108" s="8">
        <v>0</v>
      </c>
      <c r="F36108" s="8">
        <v>121</v>
      </c>
    </row>
    <row r="36109" spans="1:6" ht="12.75">
      <c r="A36109" s="8">
        <v>43888.293090277773</v>
      </c>
      <c r="B36109" s="8" t="str">
        <f>HYPERLINK("https://twitter.com/jerin_68","@jerin_68")</f>
        <v>@jerin_68</v>
      </c>
      <c r="C36109" s="8" t="s">
        <v>13977</v>
      </c>
      <c r="D36109" s="8">
        <v>0</v>
      </c>
      <c r="E36109" s="8">
        <v>0</v>
      </c>
      <c r="F36109" s="8">
        <v>632</v>
      </c>
    </row>
    <row r="36110" spans="1:6" ht="12.75">
      <c r="A36110" s="8">
        <v>43888.292997685188</v>
      </c>
      <c r="B36110" s="8" t="str">
        <f>HYPERLINK("https://twitter.com/Michael79820241","@Michael79820241")</f>
        <v>@Michael79820241</v>
      </c>
      <c r="C36110" s="8" t="s">
        <v>13978</v>
      </c>
      <c r="D36110" s="8">
        <v>1</v>
      </c>
      <c r="E36110" s="8">
        <v>0</v>
      </c>
      <c r="F36110" s="8">
        <v>108</v>
      </c>
    </row>
    <row r="36111" spans="1:6" ht="12.75">
      <c r="A36111" s="8">
        <v>43888.292905092589</v>
      </c>
      <c r="B36111" s="8" t="str">
        <f>HYPERLINK("https://twitter.com/nana_mufanna","@nana_mufanna")</f>
        <v>@nana_mufanna</v>
      </c>
      <c r="C36111" s="8" t="s">
        <v>11773</v>
      </c>
      <c r="D36111" s="8">
        <v>287</v>
      </c>
      <c r="E36111" s="8">
        <v>0</v>
      </c>
      <c r="F36111" s="8">
        <v>194</v>
      </c>
    </row>
    <row r="36112" spans="1:6" ht="12.75">
      <c r="A36112" s="8">
        <v>43888.292847222227</v>
      </c>
      <c r="B36112" s="8" t="str">
        <f>HYPERLINK("https://twitter.com/gebetansophie","@gebetansophie")</f>
        <v>@gebetansophie</v>
      </c>
      <c r="C36112" s="8" t="s">
        <v>13979</v>
      </c>
      <c r="D36112" s="8">
        <v>0</v>
      </c>
      <c r="E36112" s="8">
        <v>0</v>
      </c>
      <c r="F36112" s="8">
        <v>4</v>
      </c>
    </row>
    <row r="36113" spans="1:6" ht="12.75">
      <c r="A36113" s="8">
        <v>43888.292719907404</v>
      </c>
      <c r="B36113" s="8" t="str">
        <f>HYPERLINK("https://twitter.com/abdulrosyidaom","@abdulrosyidaom")</f>
        <v>@abdulrosyidaom</v>
      </c>
      <c r="C36113" s="8" t="s">
        <v>13980</v>
      </c>
      <c r="D36113" s="8">
        <v>0</v>
      </c>
      <c r="E36113" s="8">
        <v>0</v>
      </c>
      <c r="F36113" s="8">
        <v>184</v>
      </c>
    </row>
    <row r="36114" spans="1:6" ht="12.75">
      <c r="A36114" s="8">
        <v>43888.292407407411</v>
      </c>
      <c r="B36114" s="8" t="str">
        <f>HYPERLINK("https://twitter.com/fadlisultan81","@fadlisultan81")</f>
        <v>@fadlisultan81</v>
      </c>
      <c r="C36114" s="8" t="s">
        <v>13981</v>
      </c>
      <c r="D36114" s="8">
        <v>0</v>
      </c>
      <c r="E36114" s="8">
        <v>0</v>
      </c>
      <c r="F36114" s="8">
        <v>28</v>
      </c>
    </row>
    <row r="36115" spans="1:6" ht="12.75">
      <c r="A36115" s="8">
        <v>43888.292037037041</v>
      </c>
      <c r="B36115" s="8" t="str">
        <f>HYPERLINK("https://twitter.com/deedee48524931","@deedee48524931")</f>
        <v>@deedee48524931</v>
      </c>
      <c r="C36115" s="8" t="s">
        <v>13982</v>
      </c>
      <c r="D36115" s="8">
        <v>1</v>
      </c>
      <c r="E36115" s="8">
        <v>1</v>
      </c>
      <c r="F36115" s="8">
        <v>1363</v>
      </c>
    </row>
    <row r="36116" spans="1:6" ht="12.75">
      <c r="A36116" s="8">
        <v>43888.291817129633</v>
      </c>
      <c r="B36116" s="8" t="str">
        <f>HYPERLINK("https://twitter.com/Joglosemarnews","@Joglosemarnews")</f>
        <v>@Joglosemarnews</v>
      </c>
      <c r="C36116" s="8" t="s">
        <v>13983</v>
      </c>
      <c r="D36116" s="8">
        <v>0</v>
      </c>
      <c r="E36116" s="8">
        <v>0</v>
      </c>
      <c r="F36116" s="8">
        <v>311</v>
      </c>
    </row>
    <row r="36117" spans="1:6" ht="12.75">
      <c r="A36117" s="8">
        <v>43888.29178240741</v>
      </c>
      <c r="B36117" s="8" t="str">
        <f>HYPERLINK("https://twitter.com/nanatsutaizai99","@nanatsutaizai99")</f>
        <v>@nanatsutaizai99</v>
      </c>
      <c r="C36117" s="8" t="s">
        <v>13984</v>
      </c>
      <c r="D36117" s="8">
        <v>0</v>
      </c>
      <c r="E36117" s="8">
        <v>0</v>
      </c>
      <c r="F36117" s="8">
        <v>77</v>
      </c>
    </row>
    <row r="36118" spans="1:6" ht="12.75">
      <c r="A36118" s="8">
        <v>43888.291481481487</v>
      </c>
      <c r="B36118" s="8" t="str">
        <f>HYPERLINK("https://twitter.com/oak_math_lee_91","@oak_math_lee_91")</f>
        <v>@oak_math_lee_91</v>
      </c>
      <c r="C36118" s="8" t="s">
        <v>13985</v>
      </c>
      <c r="D36118" s="8">
        <v>1</v>
      </c>
      <c r="E36118" s="8">
        <v>2</v>
      </c>
      <c r="F36118" s="8">
        <v>116</v>
      </c>
    </row>
    <row r="36119" spans="1:6" ht="12.75">
      <c r="A36119" s="8">
        <v>43888.291377314818</v>
      </c>
      <c r="B36119" s="8" t="str">
        <f>HYPERLINK("https://twitter.com/nonmolare","@nonmolare")</f>
        <v>@nonmolare</v>
      </c>
      <c r="C36119" s="8" t="s">
        <v>13986</v>
      </c>
      <c r="D36119" s="8">
        <v>5</v>
      </c>
      <c r="E36119" s="8">
        <v>0</v>
      </c>
      <c r="F36119" s="8">
        <v>940</v>
      </c>
    </row>
    <row r="36120" spans="1:6" ht="12.75">
      <c r="A36120" s="8">
        <v>43888.290856481486</v>
      </c>
      <c r="B36120" s="8" t="str">
        <f>HYPERLINK("https://twitter.com/ricohades","@ricohades")</f>
        <v>@ricohades</v>
      </c>
      <c r="C36120" s="8" t="s">
        <v>4785</v>
      </c>
      <c r="D36120" s="8">
        <v>366</v>
      </c>
      <c r="E36120" s="8">
        <v>0</v>
      </c>
      <c r="F36120" s="8">
        <v>537</v>
      </c>
    </row>
    <row r="36121" spans="1:6" ht="12.75">
      <c r="A36121" s="8">
        <v>43888.290636574078</v>
      </c>
      <c r="B36121" s="8" t="str">
        <f>HYPERLINK("https://twitter.com/KecebongGembul","@KecebongGembul")</f>
        <v>@KecebongGembul</v>
      </c>
      <c r="C36121" s="8" t="s">
        <v>13987</v>
      </c>
      <c r="D36121" s="8">
        <v>0</v>
      </c>
      <c r="E36121" s="8">
        <v>0</v>
      </c>
      <c r="F36121" s="8">
        <v>520</v>
      </c>
    </row>
    <row r="36122" spans="1:6" ht="12.75">
      <c r="A36122" s="8">
        <v>43888.290486111116</v>
      </c>
      <c r="B36122" s="8" t="str">
        <f>HYPERLINK("https://twitter.com/kusaniyadi","@kusaniyadi")</f>
        <v>@kusaniyadi</v>
      </c>
      <c r="C36122" s="8" t="s">
        <v>13988</v>
      </c>
      <c r="D36122" s="8">
        <v>1</v>
      </c>
      <c r="E36122" s="8">
        <v>0</v>
      </c>
      <c r="F36122" s="8">
        <v>1936</v>
      </c>
    </row>
    <row r="36123" spans="1:6" ht="12.75">
      <c r="A36123" s="8">
        <v>43888.290162037039</v>
      </c>
      <c r="B36123" s="8" t="str">
        <f>HYPERLINK("https://twitter.com/AbidinZnl","@AbidinZnl")</f>
        <v>@AbidinZnl</v>
      </c>
      <c r="C36123" s="8" t="s">
        <v>13968</v>
      </c>
      <c r="D36123" s="8">
        <v>3</v>
      </c>
      <c r="E36123" s="8">
        <v>0</v>
      </c>
      <c r="F36123" s="8">
        <v>1263</v>
      </c>
    </row>
    <row r="36124" spans="1:6" ht="12.75">
      <c r="A36124" s="8">
        <v>43888.289710648147</v>
      </c>
      <c r="B36124" s="8" t="str">
        <f>HYPERLINK("https://twitter.com/Hendrasugandi","@Hendrasugandi")</f>
        <v>@Hendrasugandi</v>
      </c>
      <c r="C36124" s="8" t="s">
        <v>13989</v>
      </c>
      <c r="D36124" s="8">
        <v>0</v>
      </c>
      <c r="E36124" s="8">
        <v>0</v>
      </c>
      <c r="F36124" s="8">
        <v>366</v>
      </c>
    </row>
    <row r="36125" spans="1:6" ht="12.75">
      <c r="A36125" s="8">
        <v>43888.28875</v>
      </c>
      <c r="B36125" s="8" t="str">
        <f>HYPERLINK("https://twitter.com/DadiPujiadiReza","@DadiPujiadiReza")</f>
        <v>@DadiPujiadiReza</v>
      </c>
      <c r="C36125" s="8" t="s">
        <v>12052</v>
      </c>
      <c r="D36125" s="8">
        <v>16</v>
      </c>
      <c r="E36125" s="8">
        <v>0</v>
      </c>
      <c r="F36125" s="8">
        <v>1758</v>
      </c>
    </row>
    <row r="36126" spans="1:6" ht="12.75">
      <c r="A36126" s="8">
        <v>43888.288530092592</v>
      </c>
      <c r="B36126" s="8" t="str">
        <f>HYPERLINK("https://twitter.com/NgefollowAnda","@NgefollowAnda")</f>
        <v>@NgefollowAnda</v>
      </c>
      <c r="C36126" s="8" t="s">
        <v>11773</v>
      </c>
      <c r="D36126" s="8">
        <v>287</v>
      </c>
      <c r="E36126" s="8">
        <v>0</v>
      </c>
      <c r="F36126" s="8">
        <v>698</v>
      </c>
    </row>
    <row r="36127" spans="1:6" ht="12.75">
      <c r="A36127" s="8">
        <v>43888.288472222222</v>
      </c>
      <c r="B36127" s="8" t="str">
        <f>HYPERLINK("https://twitter.com/lovelyjmshi","@lovelyjmshi")</f>
        <v>@lovelyjmshi</v>
      </c>
      <c r="C36127" s="8" t="s">
        <v>13990</v>
      </c>
      <c r="D36127" s="8">
        <v>0</v>
      </c>
      <c r="E36127" s="8">
        <v>2</v>
      </c>
      <c r="F36127" s="8">
        <v>1358</v>
      </c>
    </row>
    <row r="36128" spans="1:6" ht="12.75">
      <c r="A36128" s="8">
        <v>43888.288402777776</v>
      </c>
      <c r="B36128" s="8" t="str">
        <f>HYPERLINK("https://twitter.com/nurohma11466192","@nurohma11466192")</f>
        <v>@nurohma11466192</v>
      </c>
      <c r="C36128" s="8" t="s">
        <v>12686</v>
      </c>
      <c r="D36128" s="8">
        <v>5</v>
      </c>
      <c r="E36128" s="8">
        <v>0</v>
      </c>
      <c r="F36128" s="8">
        <v>6</v>
      </c>
    </row>
    <row r="36129" spans="1:6" ht="12.75">
      <c r="A36129" s="8">
        <v>43888.288206018522</v>
      </c>
      <c r="B36129" s="8" t="str">
        <f>HYPERLINK("https://twitter.com/WiyaGue","@WiyaGue")</f>
        <v>@WiyaGue</v>
      </c>
      <c r="C36129" s="8" t="s">
        <v>13991</v>
      </c>
      <c r="D36129" s="8">
        <v>0</v>
      </c>
      <c r="E36129" s="8">
        <v>1</v>
      </c>
      <c r="F36129" s="8">
        <v>17</v>
      </c>
    </row>
    <row r="36130" spans="1:6" ht="12.75">
      <c r="A36130" s="8">
        <v>43888.288101851853</v>
      </c>
      <c r="B36130" s="8" t="str">
        <f t="shared" ref="B36130:B36131" si="518">HYPERLINK("https://twitter.com/weddie_s","@weddie_s")</f>
        <v>@weddie_s</v>
      </c>
      <c r="C36130" s="8" t="s">
        <v>13881</v>
      </c>
      <c r="D36130" s="8">
        <v>4</v>
      </c>
      <c r="E36130" s="8">
        <v>0</v>
      </c>
      <c r="F36130" s="8">
        <v>2774</v>
      </c>
    </row>
    <row r="36131" spans="1:6" ht="12.75">
      <c r="A36131" s="8">
        <v>43888.287905092591</v>
      </c>
      <c r="B36131" s="8" t="str">
        <f t="shared" si="518"/>
        <v>@weddie_s</v>
      </c>
      <c r="C36131" s="8" t="s">
        <v>13893</v>
      </c>
      <c r="D36131" s="8">
        <v>2</v>
      </c>
      <c r="E36131" s="8">
        <v>0</v>
      </c>
      <c r="F36131" s="8">
        <v>2774</v>
      </c>
    </row>
    <row r="36132" spans="1:6" ht="12.75">
      <c r="A36132" s="8">
        <v>43888.287800925929</v>
      </c>
      <c r="B36132" s="8" t="str">
        <f>HYPERLINK("https://twitter.com/FarelmaxL","@FarelmaxL")</f>
        <v>@FarelmaxL</v>
      </c>
      <c r="C36132" s="8" t="s">
        <v>13198</v>
      </c>
      <c r="D36132" s="8">
        <v>45</v>
      </c>
      <c r="E36132" s="8">
        <v>0</v>
      </c>
      <c r="F36132" s="8">
        <v>1382</v>
      </c>
    </row>
    <row r="36133" spans="1:6" ht="12.75">
      <c r="A36133" s="8">
        <v>43888.287569444445</v>
      </c>
      <c r="B36133" s="8" t="str">
        <f>HYPERLINK("https://twitter.com/GrbToni","@GrbToni")</f>
        <v>@GrbToni</v>
      </c>
      <c r="C36133" s="8" t="s">
        <v>13992</v>
      </c>
      <c r="D36133" s="8">
        <v>0</v>
      </c>
      <c r="E36133" s="8">
        <v>0</v>
      </c>
      <c r="F36133" s="8">
        <v>2213</v>
      </c>
    </row>
    <row r="36134" spans="1:6" ht="12.75">
      <c r="A36134" s="8">
        <v>43888.287488425922</v>
      </c>
      <c r="B36134" s="8" t="str">
        <f>HYPERLINK("https://twitter.com/sopian333351","@sopian333351")</f>
        <v>@sopian333351</v>
      </c>
      <c r="C36134" s="8" t="s">
        <v>13993</v>
      </c>
      <c r="D36134" s="8">
        <v>0</v>
      </c>
      <c r="E36134" s="8">
        <v>0</v>
      </c>
      <c r="F36134" s="8">
        <v>1141</v>
      </c>
    </row>
    <row r="36135" spans="1:6" ht="12.75">
      <c r="A36135" s="8">
        <v>43888.287488425922</v>
      </c>
      <c r="B36135" s="8" t="str">
        <f>HYPERLINK("https://twitter.com/hasn0religi0n","@hasn0religi0n")</f>
        <v>@hasn0religi0n</v>
      </c>
      <c r="C36135" s="8" t="s">
        <v>12052</v>
      </c>
      <c r="D36135" s="8">
        <v>16</v>
      </c>
      <c r="E36135" s="8">
        <v>0</v>
      </c>
      <c r="F36135" s="8">
        <v>657</v>
      </c>
    </row>
    <row r="36136" spans="1:6" ht="12.75">
      <c r="A36136" s="8">
        <v>43888.28733796296</v>
      </c>
      <c r="B36136" s="8" t="str">
        <f>HYPERLINK("https://twitter.com/Indahwise","@Indahwise")</f>
        <v>@Indahwise</v>
      </c>
      <c r="C36136" s="8" t="s">
        <v>593</v>
      </c>
      <c r="D36136" s="8">
        <v>299</v>
      </c>
      <c r="E36136" s="8">
        <v>0</v>
      </c>
      <c r="F36136" s="8">
        <v>1346</v>
      </c>
    </row>
    <row r="36137" spans="1:6" ht="12.75">
      <c r="A36137" s="8">
        <v>43888.287233796298</v>
      </c>
      <c r="B36137" s="8" t="str">
        <f>HYPERLINK("https://twitter.com/kosimbudianto","@kosimbudianto")</f>
        <v>@kosimbudianto</v>
      </c>
      <c r="C36137" s="8" t="s">
        <v>13731</v>
      </c>
      <c r="D36137" s="8">
        <v>0</v>
      </c>
      <c r="E36137" s="8">
        <v>0</v>
      </c>
      <c r="F36137" s="8">
        <v>125</v>
      </c>
    </row>
    <row r="36138" spans="1:6" ht="12.75">
      <c r="A36138" s="8">
        <v>43888.287222222221</v>
      </c>
      <c r="B36138" s="8" t="str">
        <f>HYPERLINK("https://twitter.com/pandusolusi","@pandusolusi")</f>
        <v>@pandusolusi</v>
      </c>
      <c r="C36138" s="8" t="s">
        <v>13994</v>
      </c>
      <c r="D36138" s="8">
        <v>0</v>
      </c>
      <c r="E36138" s="8">
        <v>1</v>
      </c>
      <c r="F36138" s="8">
        <v>179</v>
      </c>
    </row>
    <row r="36139" spans="1:6" ht="12.75">
      <c r="A36139" s="8">
        <v>43888.286793981482</v>
      </c>
      <c r="B36139" s="8" t="str">
        <f>HYPERLINK("https://twitter.com/TashimBillah4","@TashimBillah4")</f>
        <v>@TashimBillah4</v>
      </c>
      <c r="C36139" s="8" t="s">
        <v>299</v>
      </c>
      <c r="D36139" s="8">
        <v>4734</v>
      </c>
      <c r="E36139" s="8">
        <v>0</v>
      </c>
      <c r="F36139" s="8">
        <v>2</v>
      </c>
    </row>
    <row r="36140" spans="1:6" ht="12.75">
      <c r="A36140" s="8">
        <v>43888.286770833336</v>
      </c>
      <c r="B36140" s="8" t="str">
        <f t="shared" ref="B36140:B36141" si="519">HYPERLINK("https://twitter.com/racc00n0817","@racc00n0817")</f>
        <v>@racc00n0817</v>
      </c>
      <c r="C36140" s="8" t="s">
        <v>26</v>
      </c>
      <c r="D36140" s="8">
        <v>117</v>
      </c>
      <c r="E36140" s="8">
        <v>0</v>
      </c>
      <c r="F36140" s="8">
        <v>236</v>
      </c>
    </row>
    <row r="36141" spans="1:6" ht="12.75">
      <c r="A36141" s="8">
        <v>43888.286666666667</v>
      </c>
      <c r="B36141" s="8" t="str">
        <f t="shared" si="519"/>
        <v>@racc00n0817</v>
      </c>
      <c r="C36141" s="8" t="s">
        <v>4785</v>
      </c>
      <c r="D36141" s="8">
        <v>366</v>
      </c>
      <c r="E36141" s="8">
        <v>0</v>
      </c>
      <c r="F36141" s="8">
        <v>236</v>
      </c>
    </row>
    <row r="36142" spans="1:6" ht="12.75">
      <c r="A36142" s="8">
        <v>43888.28628472222</v>
      </c>
      <c r="B36142" s="8" t="str">
        <f>HYPERLINK("https://twitter.com/sigitbudic","@sigitbudic")</f>
        <v>@sigitbudic</v>
      </c>
      <c r="C36142" s="8" t="s">
        <v>13995</v>
      </c>
      <c r="D36142" s="8">
        <v>0</v>
      </c>
      <c r="E36142" s="8">
        <v>0</v>
      </c>
      <c r="F36142" s="8">
        <v>1148</v>
      </c>
    </row>
    <row r="36143" spans="1:6" ht="12.75">
      <c r="A36143" s="8">
        <v>43888.28606481482</v>
      </c>
      <c r="B36143" s="8" t="str">
        <f>HYPERLINK("https://twitter.com/prdn23","@prdn23")</f>
        <v>@prdn23</v>
      </c>
      <c r="C36143" s="8" t="s">
        <v>13940</v>
      </c>
      <c r="D36143" s="8">
        <v>1</v>
      </c>
      <c r="E36143" s="8">
        <v>0</v>
      </c>
      <c r="F36143" s="8">
        <v>309</v>
      </c>
    </row>
    <row r="36144" spans="1:6" ht="12.75">
      <c r="A36144" s="8">
        <v>43888.28597222222</v>
      </c>
      <c r="B36144" s="8" t="str">
        <f t="shared" ref="B36144:B36145" si="520">HYPERLINK("https://twitter.com/phao_leen","@phao_leen")</f>
        <v>@phao_leen</v>
      </c>
      <c r="C36144" s="8" t="s">
        <v>11773</v>
      </c>
      <c r="D36144" s="8">
        <v>287</v>
      </c>
      <c r="E36144" s="8">
        <v>0</v>
      </c>
      <c r="F36144" s="8">
        <v>79</v>
      </c>
    </row>
    <row r="36145" spans="1:6" ht="12.75">
      <c r="A36145" s="8">
        <v>43888.285868055551</v>
      </c>
      <c r="B36145" s="8" t="str">
        <f t="shared" si="520"/>
        <v>@phao_leen</v>
      </c>
      <c r="C36145" s="8" t="s">
        <v>12052</v>
      </c>
      <c r="D36145" s="8">
        <v>16</v>
      </c>
      <c r="E36145" s="8">
        <v>0</v>
      </c>
      <c r="F36145" s="8">
        <v>79</v>
      </c>
    </row>
    <row r="36146" spans="1:6" ht="12.75">
      <c r="A36146" s="8">
        <v>43888.285810185189</v>
      </c>
      <c r="B36146" s="8" t="str">
        <f>HYPERLINK("https://twitter.com/Hasnabila0508","@Hasnabila0508")</f>
        <v>@Hasnabila0508</v>
      </c>
      <c r="C36146" s="8" t="s">
        <v>13731</v>
      </c>
      <c r="D36146" s="8">
        <v>0</v>
      </c>
      <c r="E36146" s="8">
        <v>0</v>
      </c>
      <c r="F36146" s="8">
        <v>1</v>
      </c>
    </row>
    <row r="36147" spans="1:6" ht="12.75">
      <c r="A36147" s="8">
        <v>43888.285775462966</v>
      </c>
      <c r="B36147" s="8" t="str">
        <f>HYPERLINK("https://twitter.com/umihanif2","@umihanif2")</f>
        <v>@umihanif2</v>
      </c>
      <c r="C36147" s="8" t="s">
        <v>13996</v>
      </c>
      <c r="D36147" s="8">
        <v>0</v>
      </c>
      <c r="E36147" s="8">
        <v>0</v>
      </c>
      <c r="F36147" s="8">
        <v>491</v>
      </c>
    </row>
    <row r="36148" spans="1:6" ht="12.75">
      <c r="A36148" s="8">
        <v>43888.28570601852</v>
      </c>
      <c r="B36148" s="8" t="str">
        <f>HYPERLINK("https://twitter.com/AnakKolong___","@AnakKolong___")</f>
        <v>@AnakKolong___</v>
      </c>
      <c r="C36148" s="8" t="s">
        <v>13893</v>
      </c>
      <c r="D36148" s="8">
        <v>2</v>
      </c>
      <c r="E36148" s="8">
        <v>0</v>
      </c>
      <c r="F36148" s="8">
        <v>7065</v>
      </c>
    </row>
    <row r="36149" spans="1:6" ht="12.75">
      <c r="A36149" s="8">
        <v>43888.285393518519</v>
      </c>
      <c r="B36149" s="8" t="str">
        <f>HYPERLINK("https://twitter.com/lukisaepul","@lukisaepul")</f>
        <v>@lukisaepul</v>
      </c>
      <c r="C36149" s="8" t="s">
        <v>12052</v>
      </c>
      <c r="D36149" s="8">
        <v>16</v>
      </c>
      <c r="E36149" s="8">
        <v>0</v>
      </c>
      <c r="F36149" s="8">
        <v>788</v>
      </c>
    </row>
    <row r="36150" spans="1:6" ht="12.75">
      <c r="A36150" s="8">
        <v>43888.285266203704</v>
      </c>
      <c r="B36150" s="8" t="str">
        <f>HYPERLINK("https://twitter.com/Trimilish","@Trimilish")</f>
        <v>@Trimilish</v>
      </c>
      <c r="C36150" s="8" t="s">
        <v>13997</v>
      </c>
      <c r="D36150" s="8">
        <v>0</v>
      </c>
      <c r="E36150" s="8">
        <v>2</v>
      </c>
      <c r="F36150" s="8">
        <v>123</v>
      </c>
    </row>
    <row r="36151" spans="1:6" ht="12.75">
      <c r="A36151" s="8">
        <v>43888.284918981481</v>
      </c>
      <c r="B36151" s="8" t="str">
        <f>HYPERLINK("https://twitter.com/AnakKolong___","@AnakKolong___")</f>
        <v>@AnakKolong___</v>
      </c>
      <c r="C36151" s="8" t="s">
        <v>13929</v>
      </c>
      <c r="D36151" s="8">
        <v>1</v>
      </c>
      <c r="E36151" s="8">
        <v>0</v>
      </c>
      <c r="F36151" s="8">
        <v>7065</v>
      </c>
    </row>
    <row r="36152" spans="1:6" ht="12.75">
      <c r="A36152" s="8">
        <v>43888.284826388888</v>
      </c>
      <c r="B36152" s="8" t="str">
        <f>HYPERLINK("https://twitter.com/umaleao","@umaleao")</f>
        <v>@umaleao</v>
      </c>
      <c r="C36152" s="8" t="s">
        <v>13998</v>
      </c>
      <c r="D36152" s="8">
        <v>1</v>
      </c>
      <c r="E36152" s="8">
        <v>1</v>
      </c>
      <c r="F36152" s="8">
        <v>26146</v>
      </c>
    </row>
    <row r="36153" spans="1:6" ht="12.75">
      <c r="A36153" s="8">
        <v>43888.284722222219</v>
      </c>
      <c r="B36153" s="8" t="str">
        <f>HYPERLINK("https://twitter.com/aganobito1","@aganobito1")</f>
        <v>@aganobito1</v>
      </c>
      <c r="C36153" s="8" t="s">
        <v>13999</v>
      </c>
      <c r="D36153" s="8">
        <v>0</v>
      </c>
      <c r="E36153" s="8">
        <v>0</v>
      </c>
      <c r="F36153" s="8">
        <v>2</v>
      </c>
    </row>
    <row r="36154" spans="1:6" ht="12.75">
      <c r="A36154" s="8">
        <v>43888.284386574072</v>
      </c>
      <c r="B36154" s="8" t="str">
        <f>HYPERLINK("https://twitter.com/FraksiPKB","@FraksiPKB")</f>
        <v>@FraksiPKB</v>
      </c>
      <c r="C36154" s="8" t="s">
        <v>12686</v>
      </c>
      <c r="D36154" s="8">
        <v>5</v>
      </c>
      <c r="E36154" s="8">
        <v>0</v>
      </c>
      <c r="F36154" s="8">
        <v>27900</v>
      </c>
    </row>
    <row r="36155" spans="1:6" ht="12.75">
      <c r="A36155" s="8">
        <v>43888.284224537041</v>
      </c>
      <c r="B36155" s="8" t="str">
        <f>HYPERLINK("https://twitter.com/DimasyFermana","@DimasyFermana")</f>
        <v>@DimasyFermana</v>
      </c>
      <c r="C36155" s="8" t="s">
        <v>13329</v>
      </c>
      <c r="D36155" s="8">
        <v>13</v>
      </c>
      <c r="E36155" s="8">
        <v>0</v>
      </c>
      <c r="F36155" s="8">
        <v>2118</v>
      </c>
    </row>
    <row r="36156" spans="1:6" ht="12.75">
      <c r="A36156" s="8">
        <v>43888.284201388888</v>
      </c>
      <c r="B36156" s="8" t="str">
        <f>HYPERLINK("https://twitter.com/siti_hayati11","@siti_hayati11")</f>
        <v>@siti_hayati11</v>
      </c>
      <c r="C36156" s="8" t="s">
        <v>13731</v>
      </c>
      <c r="D36156" s="8">
        <v>0</v>
      </c>
      <c r="E36156" s="8">
        <v>0</v>
      </c>
      <c r="F36156" s="8">
        <v>6</v>
      </c>
    </row>
    <row r="36157" spans="1:6" ht="12.75">
      <c r="A36157" s="8">
        <v>43888.283715277779</v>
      </c>
      <c r="B36157" s="8" t="str">
        <f>HYPERLINK("https://twitter.com/ulilagi","@ulilagi")</f>
        <v>@ulilagi</v>
      </c>
      <c r="C36157" s="8" t="s">
        <v>13365</v>
      </c>
      <c r="D36157" s="8">
        <v>878</v>
      </c>
      <c r="E36157" s="8">
        <v>0</v>
      </c>
      <c r="F36157" s="8">
        <v>200</v>
      </c>
    </row>
    <row r="36158" spans="1:6" ht="12.75">
      <c r="A36158" s="8">
        <v>43888.28329861111</v>
      </c>
      <c r="B36158" s="8" t="str">
        <f>HYPERLINK("https://twitter.com/hdiansyah999","@hdiansyah999")</f>
        <v>@hdiansyah999</v>
      </c>
      <c r="C36158" s="8" t="s">
        <v>13731</v>
      </c>
      <c r="D36158" s="8">
        <v>0</v>
      </c>
      <c r="E36158" s="8">
        <v>0</v>
      </c>
      <c r="F36158" s="8">
        <v>6</v>
      </c>
    </row>
    <row r="36159" spans="1:6" ht="12.75">
      <c r="A36159" s="8">
        <v>43888.283287037033</v>
      </c>
      <c r="B36159" s="8" t="str">
        <f t="shared" ref="B36159:B36160" si="521">HYPERLINK("https://twitter.com/AisSyariif","@AisSyariif")</f>
        <v>@AisSyariif</v>
      </c>
      <c r="C36159" s="8" t="s">
        <v>14000</v>
      </c>
      <c r="D36159" s="8">
        <v>43</v>
      </c>
      <c r="E36159" s="8">
        <v>0</v>
      </c>
      <c r="F36159" s="8">
        <v>875</v>
      </c>
    </row>
    <row r="36160" spans="1:6" ht="12.75">
      <c r="A36160" s="8">
        <v>43888.283206018517</v>
      </c>
      <c r="B36160" s="8" t="str">
        <f t="shared" si="521"/>
        <v>@AisSyariif</v>
      </c>
      <c r="C36160" s="8" t="s">
        <v>4785</v>
      </c>
      <c r="D36160" s="8">
        <v>366</v>
      </c>
      <c r="E36160" s="8">
        <v>0</v>
      </c>
      <c r="F36160" s="8">
        <v>875</v>
      </c>
    </row>
    <row r="36161" spans="1:6" ht="12.75">
      <c r="A36161" s="8">
        <v>43888.283206018517</v>
      </c>
      <c r="B36161" s="8" t="str">
        <f>HYPERLINK("https://twitter.com/r3nDYwJy","@r3nDYwJy")</f>
        <v>@r3nDYwJy</v>
      </c>
      <c r="C36161" s="8" t="s">
        <v>14001</v>
      </c>
      <c r="D36161" s="8">
        <v>1</v>
      </c>
      <c r="E36161" s="8">
        <v>2</v>
      </c>
      <c r="F36161" s="8">
        <v>1627</v>
      </c>
    </row>
    <row r="36162" spans="1:6" ht="12.75">
      <c r="A36162" s="8">
        <v>43888.283136574071</v>
      </c>
      <c r="B36162" s="8" t="str">
        <f>HYPERLINK("https://twitter.com/khoirulmustope","@khoirulmustope")</f>
        <v>@khoirulmustope</v>
      </c>
      <c r="C36162" s="8" t="s">
        <v>14002</v>
      </c>
      <c r="D36162" s="8">
        <v>0</v>
      </c>
      <c r="E36162" s="8">
        <v>0</v>
      </c>
      <c r="F36162" s="8">
        <v>24</v>
      </c>
    </row>
    <row r="36163" spans="1:6" ht="12.75">
      <c r="A36163" s="8">
        <v>43888.283113425925</v>
      </c>
      <c r="B36163" s="8" t="str">
        <f>HYPERLINK("https://twitter.com/baesiwooon","@baesiwooon")</f>
        <v>@baesiwooon</v>
      </c>
      <c r="C36163" s="8" t="s">
        <v>14003</v>
      </c>
      <c r="D36163" s="8">
        <v>16</v>
      </c>
      <c r="E36163" s="8">
        <v>0</v>
      </c>
      <c r="F36163" s="8">
        <v>1010</v>
      </c>
    </row>
    <row r="36164" spans="1:6" ht="12.75">
      <c r="A36164" s="8">
        <v>43888.282523148147</v>
      </c>
      <c r="B36164" s="8" t="str">
        <f>HYPERLINK("https://twitter.com/ronindrawan","@ronindrawan")</f>
        <v>@ronindrawan</v>
      </c>
      <c r="C36164" s="8" t="s">
        <v>12052</v>
      </c>
      <c r="D36164" s="8">
        <v>16</v>
      </c>
      <c r="E36164" s="8">
        <v>0</v>
      </c>
      <c r="F36164" s="8">
        <v>718</v>
      </c>
    </row>
    <row r="36165" spans="1:6" ht="12.75">
      <c r="A36165" s="8">
        <v>43888.282025462962</v>
      </c>
      <c r="B36165" s="8" t="str">
        <f>HYPERLINK("https://twitter.com/ArumBene","@ArumBene")</f>
        <v>@ArumBene</v>
      </c>
      <c r="C36165" s="8" t="s">
        <v>13016</v>
      </c>
      <c r="D36165" s="8">
        <v>20</v>
      </c>
      <c r="E36165" s="8">
        <v>0</v>
      </c>
      <c r="F36165" s="8">
        <v>410</v>
      </c>
    </row>
    <row r="36166" spans="1:6" ht="12.75">
      <c r="A36166" s="8">
        <v>43888.281863425931</v>
      </c>
      <c r="B36166" s="8" t="str">
        <f>HYPERLINK("https://twitter.com/menjelangasar","@menjelangasar")</f>
        <v>@menjelangasar</v>
      </c>
      <c r="C36166" s="8" t="s">
        <v>11773</v>
      </c>
      <c r="D36166" s="8">
        <v>287</v>
      </c>
      <c r="E36166" s="8">
        <v>0</v>
      </c>
      <c r="F36166" s="8">
        <v>1378</v>
      </c>
    </row>
    <row r="36167" spans="1:6" ht="12.75">
      <c r="A36167" s="8">
        <v>43888.281863425931</v>
      </c>
      <c r="B36167" s="8" t="str">
        <f>HYPERLINK("https://twitter.com/Fransiskahanes","@Fransiskahanes")</f>
        <v>@Fransiskahanes</v>
      </c>
      <c r="C36167" s="8" t="s">
        <v>13731</v>
      </c>
      <c r="D36167" s="8">
        <v>0</v>
      </c>
      <c r="E36167" s="8">
        <v>0</v>
      </c>
      <c r="F36167" s="8">
        <v>617</v>
      </c>
    </row>
    <row r="36168" spans="1:6" ht="12.75">
      <c r="A36168" s="8">
        <v>43888.281631944439</v>
      </c>
      <c r="B36168" s="8" t="str">
        <f>HYPERLINK("https://twitter.com/tempodotco","@tempodotco")</f>
        <v>@tempodotco</v>
      </c>
      <c r="C36168" s="8" t="s">
        <v>14004</v>
      </c>
      <c r="D36168" s="8">
        <v>0</v>
      </c>
      <c r="E36168" s="8">
        <v>3</v>
      </c>
      <c r="F36168" s="8">
        <v>1713061</v>
      </c>
    </row>
    <row r="36169" spans="1:6" ht="12.75">
      <c r="A36169" s="8">
        <v>43888.281319444446</v>
      </c>
      <c r="B36169" s="8" t="str">
        <f>HYPERLINK("https://twitter.com/ryanndp8","@ryanndp8")</f>
        <v>@ryanndp8</v>
      </c>
      <c r="C36169" s="8" t="s">
        <v>14005</v>
      </c>
      <c r="D36169" s="8">
        <v>0</v>
      </c>
      <c r="E36169" s="8">
        <v>0</v>
      </c>
      <c r="F36169" s="8">
        <v>36</v>
      </c>
    </row>
    <row r="36170" spans="1:6" ht="12.75">
      <c r="A36170" s="8">
        <v>43888.280543981484</v>
      </c>
      <c r="B36170" s="8" t="str">
        <f>HYPERLINK("https://twitter.com/cybercivil_041","@cybercivil_041")</f>
        <v>@cybercivil_041</v>
      </c>
      <c r="C36170" s="8" t="s">
        <v>14006</v>
      </c>
      <c r="D36170" s="8">
        <v>0</v>
      </c>
      <c r="E36170" s="8">
        <v>1</v>
      </c>
      <c r="F36170" s="8">
        <v>2269</v>
      </c>
    </row>
    <row r="36171" spans="1:6" ht="12.75">
      <c r="A36171" s="8">
        <v>43888.280393518522</v>
      </c>
      <c r="B36171" s="8" t="str">
        <f>HYPERLINK("https://twitter.com/denadesinta","@denadesinta")</f>
        <v>@denadesinta</v>
      </c>
      <c r="C36171" s="8" t="s">
        <v>13731</v>
      </c>
      <c r="D36171" s="8">
        <v>0</v>
      </c>
      <c r="E36171" s="8">
        <v>0</v>
      </c>
      <c r="F36171" s="8">
        <v>1</v>
      </c>
    </row>
    <row r="36172" spans="1:6" ht="12.75">
      <c r="A36172" s="8">
        <v>43888.280393518522</v>
      </c>
      <c r="B36172" s="8" t="str">
        <f>HYPERLINK("https://twitter.com/tr4velcompass","@tr4velcompass")</f>
        <v>@tr4velcompass</v>
      </c>
      <c r="C36172" s="8" t="s">
        <v>12052</v>
      </c>
      <c r="D36172" s="8">
        <v>16</v>
      </c>
      <c r="E36172" s="8">
        <v>0</v>
      </c>
      <c r="F36172" s="8">
        <v>574</v>
      </c>
    </row>
    <row r="36173" spans="1:6" ht="12.75">
      <c r="A36173" s="8">
        <v>43888.279872685191</v>
      </c>
      <c r="B36173" s="8" t="str">
        <f>HYPERLINK("https://twitter.com/Adhi_Djo","@Adhi_Djo")</f>
        <v>@Adhi_Djo</v>
      </c>
      <c r="C36173" s="8" t="s">
        <v>13198</v>
      </c>
      <c r="D36173" s="8">
        <v>45</v>
      </c>
      <c r="E36173" s="8">
        <v>0</v>
      </c>
      <c r="F36173" s="8">
        <v>391</v>
      </c>
    </row>
    <row r="36174" spans="1:6" ht="12.75">
      <c r="A36174" s="8">
        <v>43888.279664351852</v>
      </c>
      <c r="B36174" s="8" t="str">
        <f>HYPERLINK("https://twitter.com/candrarizal1978","@candrarizal1978")</f>
        <v>@candrarizal1978</v>
      </c>
      <c r="C36174" s="8" t="s">
        <v>14007</v>
      </c>
      <c r="D36174" s="8">
        <v>0</v>
      </c>
      <c r="E36174" s="8">
        <v>0</v>
      </c>
      <c r="F36174" s="8">
        <v>98</v>
      </c>
    </row>
    <row r="36175" spans="1:6" ht="12.75">
      <c r="A36175" s="8">
        <v>43888.27920138889</v>
      </c>
      <c r="B36175" s="8" t="str">
        <f>HYPERLINK("https://twitter.com/vonbronbiru","@vonbronbiru")</f>
        <v>@vonbronbiru</v>
      </c>
      <c r="C36175" s="8" t="s">
        <v>14008</v>
      </c>
      <c r="D36175" s="8">
        <v>1</v>
      </c>
      <c r="E36175" s="8">
        <v>0</v>
      </c>
      <c r="F36175" s="8">
        <v>1158</v>
      </c>
    </row>
    <row r="36176" spans="1:6" ht="12.75">
      <c r="A36176" s="8">
        <v>43888.279131944444</v>
      </c>
      <c r="B36176" s="8" t="str">
        <f>HYPERLINK("https://twitter.com/balokjati","@balokjati")</f>
        <v>@balokjati</v>
      </c>
      <c r="C36176" s="8" t="s">
        <v>11773</v>
      </c>
      <c r="D36176" s="8">
        <v>287</v>
      </c>
      <c r="E36176" s="8">
        <v>0</v>
      </c>
      <c r="F36176" s="8">
        <v>1182</v>
      </c>
    </row>
    <row r="36177" spans="1:6" ht="12.75">
      <c r="A36177" s="8">
        <v>43888.279131944444</v>
      </c>
      <c r="B36177" s="8" t="str">
        <f>HYPERLINK("https://twitter.com/muclis_rehmen","@muclis_rehmen")</f>
        <v>@muclis_rehmen</v>
      </c>
      <c r="C36177" s="8" t="s">
        <v>4785</v>
      </c>
      <c r="D36177" s="8">
        <v>366</v>
      </c>
      <c r="E36177" s="8">
        <v>0</v>
      </c>
      <c r="F36177" s="8">
        <v>319</v>
      </c>
    </row>
    <row r="36178" spans="1:6" ht="12.75">
      <c r="A36178" s="8">
        <v>43888.279120370367</v>
      </c>
      <c r="B36178" s="8" t="str">
        <f>HYPERLINK("https://twitter.com/Khong_Beng","@Khong_Beng")</f>
        <v>@Khong_Beng</v>
      </c>
      <c r="C36178" s="8" t="s">
        <v>13198</v>
      </c>
      <c r="D36178" s="8">
        <v>45</v>
      </c>
      <c r="E36178" s="8">
        <v>0</v>
      </c>
      <c r="F36178" s="8">
        <v>160</v>
      </c>
    </row>
    <row r="36179" spans="1:6" ht="12.75">
      <c r="A36179" s="8">
        <v>43888.278935185182</v>
      </c>
      <c r="B36179" s="8" t="str">
        <f>HYPERLINK("https://twitter.com/CumiCue","@CumiCue")</f>
        <v>@CumiCue</v>
      </c>
      <c r="C36179" s="8" t="s">
        <v>14009</v>
      </c>
      <c r="D36179" s="8">
        <v>1</v>
      </c>
      <c r="E36179" s="8">
        <v>0</v>
      </c>
      <c r="F36179" s="8">
        <v>4453</v>
      </c>
    </row>
    <row r="36180" spans="1:6" ht="12.75">
      <c r="A36180" s="8">
        <v>43888.278831018513</v>
      </c>
      <c r="B36180" s="8" t="str">
        <f>HYPERLINK("https://twitter.com/lucaspereyro_","@lucaspereyro_")</f>
        <v>@lucaspereyro_</v>
      </c>
      <c r="C36180" s="8" t="s">
        <v>14010</v>
      </c>
      <c r="D36180" s="8">
        <v>0</v>
      </c>
      <c r="E36180" s="8">
        <v>1</v>
      </c>
      <c r="F36180" s="8">
        <v>74</v>
      </c>
    </row>
    <row r="36181" spans="1:6" ht="12.75">
      <c r="A36181" s="8">
        <v>43888.278761574074</v>
      </c>
      <c r="B36181" s="8" t="str">
        <f>HYPERLINK("https://twitter.com/SiKminTz","@SiKminTz")</f>
        <v>@SiKminTz</v>
      </c>
      <c r="C36181" s="8" t="s">
        <v>12052</v>
      </c>
      <c r="D36181" s="8">
        <v>16</v>
      </c>
      <c r="E36181" s="8">
        <v>0</v>
      </c>
      <c r="F36181" s="8">
        <v>38</v>
      </c>
    </row>
    <row r="36182" spans="1:6" ht="12.75">
      <c r="A36182" s="8">
        <v>43888.278483796297</v>
      </c>
      <c r="B36182" s="8" t="str">
        <f>HYPERLINK("https://twitter.com/rpanggahza","@rpanggahza")</f>
        <v>@rpanggahza</v>
      </c>
      <c r="C36182" s="8" t="s">
        <v>14011</v>
      </c>
      <c r="D36182" s="8">
        <v>2</v>
      </c>
      <c r="E36182" s="8">
        <v>3</v>
      </c>
      <c r="F36182" s="8">
        <v>2894</v>
      </c>
    </row>
    <row r="36183" spans="1:6" ht="12.75">
      <c r="A36183" s="8">
        <v>43888.27847222222</v>
      </c>
      <c r="B36183" s="8" t="str">
        <f>HYPERLINK("https://twitter.com/HartonoKetut","@HartonoKetut")</f>
        <v>@HartonoKetut</v>
      </c>
      <c r="C36183" s="8" t="s">
        <v>14012</v>
      </c>
      <c r="D36183" s="8">
        <v>0</v>
      </c>
      <c r="E36183" s="8">
        <v>1</v>
      </c>
      <c r="F36183" s="8">
        <v>56</v>
      </c>
    </row>
    <row r="36184" spans="1:6" ht="12.75">
      <c r="A36184" s="8">
        <v>43888.278310185182</v>
      </c>
      <c r="B36184" s="8" t="str">
        <f>HYPERLINK("https://twitter.com/KekeySRiana","@KekeySRiana")</f>
        <v>@KekeySRiana</v>
      </c>
      <c r="C36184" s="8" t="s">
        <v>14013</v>
      </c>
      <c r="D36184" s="8">
        <v>0</v>
      </c>
      <c r="E36184" s="8">
        <v>0</v>
      </c>
      <c r="F36184" s="8">
        <v>1072</v>
      </c>
    </row>
    <row r="36185" spans="1:6" ht="12.75">
      <c r="A36185" s="8">
        <v>43888.278263888889</v>
      </c>
      <c r="B36185" s="8" t="str">
        <f>HYPERLINK("https://twitter.com/kaikaikaaaaa","@kaikaikaaaaa")</f>
        <v>@kaikaikaaaaa</v>
      </c>
      <c r="C36185" s="8" t="s">
        <v>11773</v>
      </c>
      <c r="D36185" s="8">
        <v>287</v>
      </c>
      <c r="E36185" s="8">
        <v>0</v>
      </c>
      <c r="F36185" s="8">
        <v>21</v>
      </c>
    </row>
    <row r="36186" spans="1:6" ht="12.75">
      <c r="A36186" s="8">
        <v>43888.27825231482</v>
      </c>
      <c r="B36186" s="8" t="str">
        <f>HYPERLINK("https://twitter.com/FanChiangFa","@FanChiangFa")</f>
        <v>@FanChiangFa</v>
      </c>
      <c r="C36186" s="8" t="s">
        <v>14014</v>
      </c>
      <c r="D36186" s="8">
        <v>1</v>
      </c>
      <c r="E36186" s="8">
        <v>0</v>
      </c>
      <c r="F36186" s="8">
        <v>2328</v>
      </c>
    </row>
    <row r="36187" spans="1:6" ht="12.75">
      <c r="A36187" s="8">
        <v>43888.278217592597</v>
      </c>
      <c r="B36187" s="8" t="str">
        <f>HYPERLINK("https://twitter.com/nugrohorofil86","@nugrohorofil86")</f>
        <v>@nugrohorofil86</v>
      </c>
      <c r="C36187" s="8" t="s">
        <v>11773</v>
      </c>
      <c r="D36187" s="8">
        <v>287</v>
      </c>
      <c r="E36187" s="8">
        <v>0</v>
      </c>
      <c r="F36187" s="8">
        <v>68</v>
      </c>
    </row>
    <row r="36188" spans="1:6" ht="12.75">
      <c r="A36188" s="8">
        <v>43888.256747685184</v>
      </c>
      <c r="B36188" s="8" t="str">
        <f>HYPERLINK("https://twitter.com/sueb_soleh","@sueb_soleh")</f>
        <v>@sueb_soleh</v>
      </c>
      <c r="C36188" s="8" t="s">
        <v>14015</v>
      </c>
      <c r="D36188" s="8">
        <v>13</v>
      </c>
      <c r="E36188" s="8">
        <v>0</v>
      </c>
      <c r="F36188" s="8">
        <v>699</v>
      </c>
    </row>
    <row r="36189" spans="1:6" ht="12.75">
      <c r="A36189" s="8">
        <v>43888.256562499999</v>
      </c>
      <c r="B36189" s="8" t="str">
        <f>HYPERLINK("https://twitter.com/isis_silveiraa","@isis_silveiraa")</f>
        <v>@isis_silveiraa</v>
      </c>
      <c r="C36189" s="8" t="s">
        <v>14016</v>
      </c>
      <c r="D36189" s="8">
        <v>0</v>
      </c>
      <c r="E36189" s="8">
        <v>0</v>
      </c>
      <c r="F36189" s="8">
        <v>296</v>
      </c>
    </row>
    <row r="36190" spans="1:6" ht="12.75">
      <c r="A36190" s="8">
        <v>43888.256354166668</v>
      </c>
      <c r="B36190" s="8" t="str">
        <f>HYPERLINK("https://twitter.com/911comand","@911comand")</f>
        <v>@911comand</v>
      </c>
      <c r="C36190" s="8" t="s">
        <v>26</v>
      </c>
      <c r="D36190" s="8">
        <v>114</v>
      </c>
      <c r="E36190" s="8">
        <v>0</v>
      </c>
      <c r="F36190" s="8">
        <v>1087</v>
      </c>
    </row>
    <row r="36191" spans="1:6" ht="12.75">
      <c r="A36191" s="8">
        <v>43888.256076388891</v>
      </c>
      <c r="B36191" s="8" t="str">
        <f>HYPERLINK("https://twitter.com/Clarinhafig_","@Clarinhafig_")</f>
        <v>@Clarinhafig_</v>
      </c>
      <c r="C36191" s="8" t="s">
        <v>14017</v>
      </c>
      <c r="D36191" s="8">
        <v>0</v>
      </c>
      <c r="E36191" s="8">
        <v>0</v>
      </c>
      <c r="F36191" s="8">
        <v>71</v>
      </c>
    </row>
    <row r="36192" spans="1:6" ht="12.75">
      <c r="A36192" s="8">
        <v>43888.255752314813</v>
      </c>
      <c r="B36192" s="8" t="str">
        <f>HYPERLINK("https://twitter.com/Jaewongsingsong","@Jaewongsingsong")</f>
        <v>@Jaewongsingsong</v>
      </c>
      <c r="C36192" s="8" t="s">
        <v>14018</v>
      </c>
      <c r="D36192" s="8">
        <v>0</v>
      </c>
      <c r="E36192" s="8">
        <v>0</v>
      </c>
      <c r="F36192" s="8">
        <v>842</v>
      </c>
    </row>
    <row r="36193" spans="1:6" ht="12.75">
      <c r="A36193" s="8">
        <v>43888.255428240736</v>
      </c>
      <c r="B36193" s="8" t="str">
        <f>HYPERLINK("https://twitter.com/erinsnote","@erinsnote")</f>
        <v>@erinsnote</v>
      </c>
      <c r="C36193" s="8" t="s">
        <v>14019</v>
      </c>
      <c r="D36193" s="8">
        <v>0</v>
      </c>
      <c r="E36193" s="8">
        <v>0</v>
      </c>
      <c r="F36193" s="8">
        <v>1847</v>
      </c>
    </row>
    <row r="36194" spans="1:6" ht="12.75">
      <c r="A36194" s="8">
        <v>43888.255243055552</v>
      </c>
      <c r="B36194" s="8" t="str">
        <f>HYPERLINK("https://twitter.com/her_yang","@her_yang")</f>
        <v>@her_yang</v>
      </c>
      <c r="C36194" s="8" t="s">
        <v>11773</v>
      </c>
      <c r="D36194" s="8">
        <v>263</v>
      </c>
      <c r="E36194" s="8">
        <v>0</v>
      </c>
      <c r="F36194" s="8">
        <v>851</v>
      </c>
    </row>
    <row r="36195" spans="1:6" ht="12.75">
      <c r="A36195" s="8">
        <v>43888.254189814819</v>
      </c>
      <c r="B36195" s="8" t="str">
        <f>HYPERLINK("https://twitter.com/BaLenTra_N2","@BaLenTra_N2")</f>
        <v>@BaLenTra_N2</v>
      </c>
      <c r="C36195" s="8" t="s">
        <v>14020</v>
      </c>
      <c r="D36195" s="8">
        <v>4</v>
      </c>
      <c r="E36195" s="8">
        <v>0</v>
      </c>
      <c r="F36195" s="8">
        <v>566</v>
      </c>
    </row>
    <row r="36196" spans="1:6" ht="12.75">
      <c r="A36196" s="8">
        <v>43888.254120370373</v>
      </c>
      <c r="B36196" s="8" t="str">
        <f>HYPERLINK("https://twitter.com/rio_ayong","@rio_ayong")</f>
        <v>@rio_ayong</v>
      </c>
      <c r="C36196" s="8" t="s">
        <v>11773</v>
      </c>
      <c r="D36196" s="8">
        <v>263</v>
      </c>
      <c r="E36196" s="8">
        <v>0</v>
      </c>
      <c r="F36196" s="8">
        <v>222</v>
      </c>
    </row>
    <row r="36197" spans="1:6" ht="12.75">
      <c r="A36197" s="8">
        <v>43888.253981481481</v>
      </c>
      <c r="B36197" s="8" t="str">
        <f>HYPERLINK("https://twitter.com/tua_serdadu","@tua_serdadu")</f>
        <v>@tua_serdadu</v>
      </c>
      <c r="C36197" s="8" t="s">
        <v>4836</v>
      </c>
      <c r="D36197" s="8">
        <v>5388</v>
      </c>
      <c r="E36197" s="8">
        <v>0</v>
      </c>
      <c r="F36197" s="8">
        <v>983</v>
      </c>
    </row>
    <row r="36198" spans="1:6" ht="12.75">
      <c r="A36198" s="8">
        <v>43888.253344907411</v>
      </c>
      <c r="B36198" s="8" t="str">
        <f>HYPERLINK("https://twitter.com/NgkongRoses","@NgkongRoses")</f>
        <v>@NgkongRoses</v>
      </c>
      <c r="C36198" s="8" t="s">
        <v>13016</v>
      </c>
      <c r="D36198" s="8">
        <v>15</v>
      </c>
      <c r="E36198" s="8">
        <v>0</v>
      </c>
      <c r="F36198" s="8">
        <v>9398</v>
      </c>
    </row>
    <row r="36199" spans="1:6" ht="12.75">
      <c r="A36199" s="8">
        <v>43888.252708333333</v>
      </c>
      <c r="B36199" s="8" t="str">
        <f>HYPERLINK("https://twitter.com/trubusid","@trubusid")</f>
        <v>@trubusid</v>
      </c>
      <c r="C36199" s="8" t="s">
        <v>14021</v>
      </c>
      <c r="D36199" s="8">
        <v>0</v>
      </c>
      <c r="E36199" s="8">
        <v>0</v>
      </c>
      <c r="F36199" s="8">
        <v>1021</v>
      </c>
    </row>
    <row r="36200" spans="1:6" ht="12.75">
      <c r="A36200" s="8">
        <v>43888.252407407403</v>
      </c>
      <c r="B36200" s="8" t="str">
        <f>HYPERLINK("https://twitter.com/meow_leader","@meow_leader")</f>
        <v>@meow_leader</v>
      </c>
      <c r="C36200" s="8" t="s">
        <v>12052</v>
      </c>
      <c r="D36200" s="8">
        <v>5</v>
      </c>
      <c r="E36200" s="8">
        <v>0</v>
      </c>
      <c r="F36200" s="8">
        <v>3710</v>
      </c>
    </row>
    <row r="36201" spans="1:6" ht="12.75">
      <c r="A36201" s="8">
        <v>43888.252233796295</v>
      </c>
      <c r="B36201" s="8" t="str">
        <f>HYPERLINK("https://twitter.com/oohjiseong","@oohjiseong")</f>
        <v>@oohjiseong</v>
      </c>
      <c r="C36201" s="8" t="s">
        <v>12800</v>
      </c>
      <c r="D36201" s="8">
        <v>194</v>
      </c>
      <c r="E36201" s="8">
        <v>0</v>
      </c>
      <c r="F36201" s="8">
        <v>301</v>
      </c>
    </row>
    <row r="36202" spans="1:6" ht="12.75">
      <c r="A36202" s="8">
        <v>43888.25200231481</v>
      </c>
      <c r="B36202" s="8" t="str">
        <f>HYPERLINK("https://twitter.com/FeriPurwo","@FeriPurwo")</f>
        <v>@FeriPurwo</v>
      </c>
      <c r="C36202" s="8" t="s">
        <v>14022</v>
      </c>
      <c r="D36202" s="8">
        <v>0</v>
      </c>
      <c r="E36202" s="8">
        <v>0</v>
      </c>
      <c r="F36202" s="8">
        <v>17207</v>
      </c>
    </row>
    <row r="36203" spans="1:6" ht="12.75">
      <c r="A36203" s="8">
        <v>43888.251712962963</v>
      </c>
      <c r="B36203" s="8" t="str">
        <f>HYPERLINK("https://twitter.com/hisnameisten","@hisnameisten")</f>
        <v>@hisnameisten</v>
      </c>
      <c r="C36203" s="8" t="s">
        <v>12882</v>
      </c>
      <c r="D36203" s="8">
        <v>62</v>
      </c>
      <c r="E36203" s="8">
        <v>0</v>
      </c>
      <c r="F36203" s="8">
        <v>89</v>
      </c>
    </row>
    <row r="36204" spans="1:6" ht="12.75">
      <c r="A36204" s="8">
        <v>43888.251527777778</v>
      </c>
      <c r="B36204" s="8" t="str">
        <f>HYPERLINK("https://twitter.com/theashare","@theashare")</f>
        <v>@theashare</v>
      </c>
      <c r="C36204" s="8" t="s">
        <v>13220</v>
      </c>
      <c r="D36204" s="8">
        <v>3</v>
      </c>
      <c r="E36204" s="8">
        <v>0</v>
      </c>
      <c r="F36204" s="8">
        <v>1719</v>
      </c>
    </row>
    <row r="36205" spans="1:6" ht="12.75">
      <c r="A36205" s="8">
        <v>43888.251192129625</v>
      </c>
      <c r="B36205" s="8" t="str">
        <f>HYPERLINK("https://twitter.com/UtomoFreddy","@UtomoFreddy")</f>
        <v>@UtomoFreddy</v>
      </c>
      <c r="C36205" s="8" t="s">
        <v>12052</v>
      </c>
      <c r="D36205" s="8">
        <v>5</v>
      </c>
      <c r="E36205" s="8">
        <v>0</v>
      </c>
      <c r="F36205" s="8">
        <v>101</v>
      </c>
    </row>
    <row r="36206" spans="1:6" ht="12.75">
      <c r="A36206" s="8">
        <v>43888.250625000001</v>
      </c>
      <c r="B36206" s="8" t="str">
        <f>HYPERLINK("https://twitter.com/mujikasmulya","@mujikasmulya")</f>
        <v>@mujikasmulya</v>
      </c>
      <c r="C36206" s="8" t="s">
        <v>14023</v>
      </c>
      <c r="D36206" s="8">
        <v>0</v>
      </c>
      <c r="E36206" s="8">
        <v>0</v>
      </c>
      <c r="F36206" s="8">
        <v>2170</v>
      </c>
    </row>
    <row r="36207" spans="1:6" ht="12.75">
      <c r="A36207" s="8">
        <v>43888.250428240739</v>
      </c>
      <c r="B36207" s="8" t="str">
        <f t="shared" ref="B36207:B36208" si="522">HYPERLINK("https://twitter.com/translatorbali","@translatorbali")</f>
        <v>@translatorbali</v>
      </c>
      <c r="C36207" s="8" t="s">
        <v>14024</v>
      </c>
      <c r="D36207" s="8">
        <v>1</v>
      </c>
      <c r="E36207" s="8">
        <v>0</v>
      </c>
      <c r="F36207" s="8">
        <v>3863</v>
      </c>
    </row>
    <row r="36208" spans="1:6" ht="12.75">
      <c r="A36208" s="8">
        <v>43888.250254629631</v>
      </c>
      <c r="B36208" s="8" t="str">
        <f t="shared" si="522"/>
        <v>@translatorbali</v>
      </c>
      <c r="C36208" s="8" t="s">
        <v>14025</v>
      </c>
      <c r="D36208" s="8">
        <v>1</v>
      </c>
      <c r="E36208" s="8">
        <v>1</v>
      </c>
      <c r="F36208" s="8">
        <v>3863</v>
      </c>
    </row>
    <row r="36209" spans="1:6" ht="12.75">
      <c r="A36209" s="8">
        <v>43888.250115740739</v>
      </c>
      <c r="B36209" s="8" t="str">
        <f>HYPERLINK("https://twitter.com/aditsih_","@aditsih_")</f>
        <v>@aditsih_</v>
      </c>
      <c r="C36209" s="8" t="s">
        <v>12406</v>
      </c>
      <c r="D36209" s="8">
        <v>84</v>
      </c>
      <c r="E36209" s="8">
        <v>0</v>
      </c>
      <c r="F36209" s="8">
        <v>181</v>
      </c>
    </row>
    <row r="36210" spans="1:6" ht="12.75">
      <c r="A36210" s="8">
        <v>43888.250023148154</v>
      </c>
      <c r="B36210" s="8" t="str">
        <f>HYPERLINK("https://twitter.com/__anomali__","@__anomali__")</f>
        <v>@__anomali__</v>
      </c>
      <c r="C36210" s="8" t="s">
        <v>14026</v>
      </c>
      <c r="D36210" s="8">
        <v>0</v>
      </c>
      <c r="E36210" s="8">
        <v>0</v>
      </c>
      <c r="F36210" s="8">
        <v>2494</v>
      </c>
    </row>
    <row r="36211" spans="1:6" ht="12.75">
      <c r="A36211" s="8">
        <v>43888.249942129631</v>
      </c>
      <c r="B36211" s="8" t="str">
        <f>HYPERLINK("https://twitter.com/lord_sbt","@lord_sbt")</f>
        <v>@lord_sbt</v>
      </c>
      <c r="C36211" s="8" t="s">
        <v>12052</v>
      </c>
      <c r="D36211" s="8">
        <v>5</v>
      </c>
      <c r="E36211" s="8">
        <v>0</v>
      </c>
      <c r="F36211" s="8">
        <v>711</v>
      </c>
    </row>
    <row r="36212" spans="1:6" ht="12.75">
      <c r="A36212" s="8">
        <v>43888.249907407408</v>
      </c>
      <c r="B36212" s="8" t="str">
        <f>HYPERLINK("https://twitter.com/SusyLiao","@SusyLiao")</f>
        <v>@SusyLiao</v>
      </c>
      <c r="C36212" s="8" t="s">
        <v>14027</v>
      </c>
      <c r="D36212" s="8">
        <v>0</v>
      </c>
      <c r="E36212" s="8">
        <v>0</v>
      </c>
      <c r="F36212" s="8">
        <v>305</v>
      </c>
    </row>
    <row r="36213" spans="1:6" ht="12.75">
      <c r="A36213" s="8">
        <v>43888.249259259261</v>
      </c>
      <c r="B36213" s="8" t="str">
        <f>HYPERLINK("https://twitter.com/atsu_the_scrap","@atsu_the_scrap")</f>
        <v>@atsu_the_scrap</v>
      </c>
      <c r="C36213" s="8" t="s">
        <v>8484</v>
      </c>
      <c r="D36213" s="8">
        <v>1018</v>
      </c>
      <c r="E36213" s="8">
        <v>0</v>
      </c>
      <c r="F36213" s="8">
        <v>341</v>
      </c>
    </row>
    <row r="36214" spans="1:6" ht="12.75">
      <c r="A36214" s="8">
        <v>43888.249097222222</v>
      </c>
      <c r="B36214" s="8" t="str">
        <f>HYPERLINK("https://twitter.com/flyfluffy","@flyfluffy")</f>
        <v>@flyfluffy</v>
      </c>
      <c r="C36214" s="8" t="s">
        <v>11773</v>
      </c>
      <c r="D36214" s="8">
        <v>263</v>
      </c>
      <c r="E36214" s="8">
        <v>0</v>
      </c>
      <c r="F36214" s="8">
        <v>569</v>
      </c>
    </row>
    <row r="36215" spans="1:6" ht="12.75">
      <c r="A36215" s="8">
        <v>43888.249062499999</v>
      </c>
      <c r="B36215" s="8" t="str">
        <f>HYPERLINK("https://twitter.com/set140","@set140")</f>
        <v>@set140</v>
      </c>
      <c r="C36215" s="8" t="s">
        <v>12143</v>
      </c>
      <c r="D36215" s="8">
        <v>277</v>
      </c>
      <c r="E36215" s="8">
        <v>0</v>
      </c>
      <c r="F36215" s="8">
        <v>100</v>
      </c>
    </row>
    <row r="36216" spans="1:6" ht="12.75">
      <c r="A36216" s="8">
        <v>43888.248958333337</v>
      </c>
      <c r="B36216" s="8" t="str">
        <f>HYPERLINK("https://twitter.com/SitiRohma1993","@SitiRohma1993")</f>
        <v>@SitiRohma1993</v>
      </c>
      <c r="C36216" s="8" t="s">
        <v>14028</v>
      </c>
      <c r="D36216" s="8">
        <v>0</v>
      </c>
      <c r="E36216" s="8">
        <v>0</v>
      </c>
      <c r="F36216" s="8">
        <v>179</v>
      </c>
    </row>
    <row r="36217" spans="1:6" ht="12.75">
      <c r="A36217" s="8">
        <v>43888.247881944444</v>
      </c>
      <c r="B36217" s="8" t="str">
        <f>HYPERLINK("https://twitter.com/foltrus666","@foltrus666")</f>
        <v>@foltrus666</v>
      </c>
      <c r="C36217" s="8" t="s">
        <v>13365</v>
      </c>
      <c r="D36217" s="8">
        <v>875</v>
      </c>
      <c r="E36217" s="8">
        <v>0</v>
      </c>
      <c r="F36217" s="8">
        <v>476</v>
      </c>
    </row>
    <row r="36218" spans="1:6" ht="12.75">
      <c r="A36218" s="8">
        <v>43888.247685185182</v>
      </c>
      <c r="B36218" s="8" t="str">
        <f>HYPERLINK("https://twitter.com/arasawa_kozue","@arasawa_kozue")</f>
        <v>@arasawa_kozue</v>
      </c>
      <c r="C36218" s="8" t="s">
        <v>2940</v>
      </c>
      <c r="D36218" s="8">
        <v>2671</v>
      </c>
      <c r="E36218" s="8">
        <v>0</v>
      </c>
      <c r="F36218" s="8">
        <v>464</v>
      </c>
    </row>
    <row r="36219" spans="1:6" ht="12.75">
      <c r="A36219" s="8">
        <v>43888.247604166667</v>
      </c>
      <c r="B36219" s="8" t="str">
        <f>HYPERLINK("https://twitter.com/set140","@set140")</f>
        <v>@set140</v>
      </c>
      <c r="C36219" s="8" t="s">
        <v>14029</v>
      </c>
      <c r="D36219" s="8">
        <v>0</v>
      </c>
      <c r="E36219" s="8">
        <v>2</v>
      </c>
      <c r="F36219" s="8">
        <v>100</v>
      </c>
    </row>
    <row r="36220" spans="1:6" ht="12.75">
      <c r="A36220" s="8">
        <v>43888.246921296297</v>
      </c>
      <c r="B36220" s="8" t="str">
        <f>HYPERLINK("https://twitter.com/gebetansophie","@gebetansophie")</f>
        <v>@gebetansophie</v>
      </c>
      <c r="C36220" s="8" t="s">
        <v>14030</v>
      </c>
      <c r="D36220" s="8">
        <v>0</v>
      </c>
      <c r="E36220" s="8">
        <v>0</v>
      </c>
      <c r="F36220" s="8">
        <v>4</v>
      </c>
    </row>
    <row r="36221" spans="1:6" ht="12.75">
      <c r="A36221" s="8">
        <v>43888.246863425928</v>
      </c>
      <c r="B36221" s="8" t="str">
        <f>HYPERLINK("https://twitter.com/Del_tahta","@Del_tahta")</f>
        <v>@Del_tahta</v>
      </c>
      <c r="C36221" s="8" t="s">
        <v>12052</v>
      </c>
      <c r="D36221" s="8">
        <v>5</v>
      </c>
      <c r="E36221" s="8">
        <v>0</v>
      </c>
      <c r="F36221" s="8">
        <v>394</v>
      </c>
    </row>
    <row r="36222" spans="1:6" ht="12.75">
      <c r="A36222" s="8">
        <v>43888.246851851851</v>
      </c>
      <c r="B36222" s="8" t="str">
        <f>HYPERLINK("https://twitter.com/ajibsusanto","@ajibsusanto")</f>
        <v>@ajibsusanto</v>
      </c>
      <c r="C36222" s="8" t="s">
        <v>11773</v>
      </c>
      <c r="D36222" s="8">
        <v>263</v>
      </c>
      <c r="E36222" s="8">
        <v>0</v>
      </c>
      <c r="F36222" s="8">
        <v>4371</v>
      </c>
    </row>
    <row r="36223" spans="1:6" ht="12.75">
      <c r="A36223" s="8">
        <v>43888.246770833328</v>
      </c>
      <c r="B36223" s="8" t="str">
        <f>HYPERLINK("https://twitter.com/katatodaycom","@katatodaycom")</f>
        <v>@katatodaycom</v>
      </c>
      <c r="C36223" s="8" t="s">
        <v>14031</v>
      </c>
      <c r="D36223" s="8">
        <v>0</v>
      </c>
      <c r="E36223" s="8">
        <v>0</v>
      </c>
      <c r="F36223" s="8">
        <v>1132</v>
      </c>
    </row>
    <row r="36224" spans="1:6" ht="12.75">
      <c r="A36224" s="8">
        <v>43888.246597222227</v>
      </c>
      <c r="B36224" s="8" t="str">
        <f>HYPERLINK("https://twitter.com/BangIssan","@BangIssan")</f>
        <v>@BangIssan</v>
      </c>
      <c r="C36224" s="8" t="s">
        <v>13939</v>
      </c>
      <c r="D36224" s="8">
        <v>2</v>
      </c>
      <c r="E36224" s="8">
        <v>0</v>
      </c>
      <c r="F36224" s="8">
        <v>121</v>
      </c>
    </row>
    <row r="36225" spans="1:6" ht="12.75">
      <c r="A36225" s="8">
        <v>43888.24628472222</v>
      </c>
      <c r="B36225" s="8" t="str">
        <f>HYPERLINK("https://twitter.com/duo_hh","@duo_hh")</f>
        <v>@duo_hh</v>
      </c>
      <c r="C36225" s="8" t="s">
        <v>14032</v>
      </c>
      <c r="D36225" s="8">
        <v>0</v>
      </c>
      <c r="E36225" s="8">
        <v>0</v>
      </c>
      <c r="F36225" s="8">
        <v>229</v>
      </c>
    </row>
    <row r="36226" spans="1:6" ht="12.75">
      <c r="A36226" s="8">
        <v>43888.245949074073</v>
      </c>
      <c r="B36226" s="8" t="str">
        <f>HYPERLINK("https://twitter.com/_xerenity","@_xerenity")</f>
        <v>@_xerenity</v>
      </c>
      <c r="C36226" s="8" t="s">
        <v>593</v>
      </c>
      <c r="D36226" s="8">
        <v>297</v>
      </c>
      <c r="E36226" s="8">
        <v>0</v>
      </c>
      <c r="F36226" s="8">
        <v>169</v>
      </c>
    </row>
    <row r="36227" spans="1:6" ht="12.75">
      <c r="A36227" s="8">
        <v>43888.245810185181</v>
      </c>
      <c r="B36227" s="8" t="str">
        <f>HYPERLINK("https://twitter.com/lase_dhanil","@lase_dhanil")</f>
        <v>@lase_dhanil</v>
      </c>
      <c r="C36227" s="8" t="s">
        <v>12052</v>
      </c>
      <c r="D36227" s="8">
        <v>5</v>
      </c>
      <c r="E36227" s="8">
        <v>0</v>
      </c>
      <c r="F36227" s="8">
        <v>472</v>
      </c>
    </row>
    <row r="36228" spans="1:6" ht="12.75">
      <c r="A36228" s="8">
        <v>43888.245381944449</v>
      </c>
      <c r="B36228" s="8" t="str">
        <f>HYPERLINK("https://twitter.com/KingPetra3","@KingPetra3")</f>
        <v>@KingPetra3</v>
      </c>
      <c r="C36228" s="8" t="s">
        <v>14033</v>
      </c>
      <c r="D36228" s="8">
        <v>0</v>
      </c>
      <c r="E36228" s="8">
        <v>0</v>
      </c>
      <c r="F36228" s="8">
        <v>1392</v>
      </c>
    </row>
    <row r="36229" spans="1:6" ht="12.75">
      <c r="A36229" s="8">
        <v>43888.244606481487</v>
      </c>
      <c r="B36229" s="8" t="str">
        <f>HYPERLINK("https://twitter.com/becak125cc","@becak125cc")</f>
        <v>@becak125cc</v>
      </c>
      <c r="C36229" s="8" t="s">
        <v>14034</v>
      </c>
      <c r="D36229" s="8">
        <v>7</v>
      </c>
      <c r="E36229" s="8">
        <v>0</v>
      </c>
      <c r="F36229" s="8">
        <v>527</v>
      </c>
    </row>
    <row r="36230" spans="1:6" ht="12.75">
      <c r="A36230" s="8">
        <v>43888.244571759264</v>
      </c>
      <c r="B36230" s="8" t="str">
        <f>HYPERLINK("https://twitter.com/rio_ayong","@rio_ayong")</f>
        <v>@rio_ayong</v>
      </c>
      <c r="C36230" s="8" t="s">
        <v>4785</v>
      </c>
      <c r="D36230" s="8">
        <v>358</v>
      </c>
      <c r="E36230" s="8">
        <v>0</v>
      </c>
      <c r="F36230" s="8">
        <v>222</v>
      </c>
    </row>
    <row r="36231" spans="1:6" ht="12.75">
      <c r="A36231" s="8">
        <v>43888.244074074071</v>
      </c>
      <c r="B36231" s="8" t="str">
        <f>HYPERLINK("https://twitter.com/anton_sukisno","@anton_sukisno")</f>
        <v>@anton_sukisno</v>
      </c>
      <c r="C36231" s="8" t="s">
        <v>14035</v>
      </c>
      <c r="D36231" s="8">
        <v>0</v>
      </c>
      <c r="E36231" s="8">
        <v>0</v>
      </c>
      <c r="F36231" s="8">
        <v>7</v>
      </c>
    </row>
    <row r="36232" spans="1:6" ht="12.75">
      <c r="A36232" s="8">
        <v>43888.243888888886</v>
      </c>
      <c r="B36232" s="8" t="str">
        <f>HYPERLINK("https://twitter.com/siradepaaz_","@siradepaaz_")</f>
        <v>@siradepaaz_</v>
      </c>
      <c r="C36232" s="8" t="s">
        <v>14036</v>
      </c>
      <c r="D36232" s="8">
        <v>0</v>
      </c>
      <c r="E36232" s="8">
        <v>0</v>
      </c>
      <c r="F36232" s="8">
        <v>129</v>
      </c>
    </row>
    <row r="36233" spans="1:6" ht="12.75">
      <c r="A36233" s="8">
        <v>43888.243425925924</v>
      </c>
      <c r="B36233" s="8" t="str">
        <f>HYPERLINK("https://twitter.com/yoris_ab","@yoris_ab")</f>
        <v>@yoris_ab</v>
      </c>
      <c r="C36233" s="8" t="s">
        <v>11773</v>
      </c>
      <c r="D36233" s="8">
        <v>263</v>
      </c>
      <c r="E36233" s="8">
        <v>0</v>
      </c>
      <c r="F36233" s="8">
        <v>1698</v>
      </c>
    </row>
    <row r="36234" spans="1:6" ht="12.75">
      <c r="A36234" s="8">
        <v>43888.242835648147</v>
      </c>
      <c r="B36234" s="8" t="str">
        <f>HYPERLINK("https://twitter.com/chef_master69","@chef_master69")</f>
        <v>@chef_master69</v>
      </c>
      <c r="C36234" s="8" t="s">
        <v>14037</v>
      </c>
      <c r="D36234" s="8">
        <v>0</v>
      </c>
      <c r="E36234" s="8">
        <v>0</v>
      </c>
      <c r="F36234" s="8">
        <v>153</v>
      </c>
    </row>
    <row r="36235" spans="1:6" ht="12.75">
      <c r="A36235" s="8">
        <v>43888.242800925931</v>
      </c>
      <c r="B36235" s="8" t="str">
        <f>HYPERLINK("https://twitter.com/akang_fadli","@akang_fadli")</f>
        <v>@akang_fadli</v>
      </c>
      <c r="C36235" s="8" t="s">
        <v>14038</v>
      </c>
      <c r="D36235" s="8">
        <v>1</v>
      </c>
      <c r="E36235" s="8">
        <v>0</v>
      </c>
      <c r="F36235" s="8">
        <v>269</v>
      </c>
    </row>
    <row r="36236" spans="1:6" ht="12.75">
      <c r="A36236" s="8">
        <v>43888.242569444439</v>
      </c>
      <c r="B36236" s="8" t="str">
        <f>HYPERLINK("https://twitter.com/republikaonline","@republikaonline")</f>
        <v>@republikaonline</v>
      </c>
      <c r="C36236" s="8" t="s">
        <v>14039</v>
      </c>
      <c r="D36236" s="8">
        <v>0</v>
      </c>
      <c r="E36236" s="8">
        <v>2</v>
      </c>
      <c r="F36236" s="8">
        <v>1214361</v>
      </c>
    </row>
    <row r="36237" spans="1:6" ht="12.75">
      <c r="A36237" s="8">
        <v>43888.241979166662</v>
      </c>
      <c r="B36237" s="8" t="str">
        <f>HYPERLINK("https://twitter.com/ocin71","@ocin71")</f>
        <v>@ocin71</v>
      </c>
      <c r="C36237" s="8" t="s">
        <v>14040</v>
      </c>
      <c r="D36237" s="8">
        <v>2</v>
      </c>
      <c r="E36237" s="8">
        <v>0</v>
      </c>
      <c r="F36237" s="8">
        <v>322</v>
      </c>
    </row>
    <row r="36238" spans="1:6" ht="12.75">
      <c r="A36238" s="8">
        <v>43888.241643518515</v>
      </c>
      <c r="B36238" s="8" t="str">
        <f>HYPERLINK("https://twitter.com/tapibelum","@tapibelum")</f>
        <v>@tapibelum</v>
      </c>
      <c r="C36238" s="8" t="s">
        <v>14041</v>
      </c>
      <c r="D36238" s="8">
        <v>3</v>
      </c>
      <c r="E36238" s="8">
        <v>0</v>
      </c>
      <c r="F36238" s="8">
        <v>53</v>
      </c>
    </row>
    <row r="36239" spans="1:6" ht="12.75">
      <c r="A36239" s="8">
        <v>43888.241365740745</v>
      </c>
      <c r="B36239" s="8" t="str">
        <f>HYPERLINK("https://twitter.com/faa_ra","@faa_ra")</f>
        <v>@faa_ra</v>
      </c>
      <c r="C36239" s="8" t="s">
        <v>14042</v>
      </c>
      <c r="D36239" s="8">
        <v>0</v>
      </c>
      <c r="E36239" s="8">
        <v>0</v>
      </c>
      <c r="F36239" s="8">
        <v>1008</v>
      </c>
    </row>
    <row r="36240" spans="1:6" ht="12.75">
      <c r="A36240" s="8">
        <v>43888.24113425926</v>
      </c>
      <c r="B36240" s="8" t="str">
        <f>HYPERLINK("https://twitter.com/KaimanaPoem","@KaimanaPoem")</f>
        <v>@KaimanaPoem</v>
      </c>
      <c r="C36240" s="8" t="s">
        <v>14043</v>
      </c>
      <c r="D36240" s="8">
        <v>0</v>
      </c>
      <c r="E36240" s="8">
        <v>1</v>
      </c>
      <c r="F36240" s="8">
        <v>1290</v>
      </c>
    </row>
    <row r="36241" spans="1:6" ht="12.75">
      <c r="A36241" s="8">
        <v>43888.240532407406</v>
      </c>
      <c r="B36241" s="8" t="str">
        <f>HYPERLINK("https://twitter.com/puri810210","@puri810210")</f>
        <v>@puri810210</v>
      </c>
      <c r="C36241" s="8" t="s">
        <v>13884</v>
      </c>
      <c r="D36241" s="8">
        <v>136</v>
      </c>
      <c r="E36241" s="8">
        <v>0</v>
      </c>
      <c r="F36241" s="8">
        <v>104</v>
      </c>
    </row>
    <row r="36242" spans="1:6" ht="12.75">
      <c r="A36242" s="8">
        <v>43888.240370370375</v>
      </c>
      <c r="B36242" s="8" t="str">
        <f>HYPERLINK("https://twitter.com/J4lakBali","@J4lakBali")</f>
        <v>@J4lakBali</v>
      </c>
      <c r="C36242" s="8" t="s">
        <v>14041</v>
      </c>
      <c r="D36242" s="8">
        <v>3</v>
      </c>
      <c r="E36242" s="8">
        <v>0</v>
      </c>
      <c r="F36242" s="8">
        <v>3330</v>
      </c>
    </row>
    <row r="36243" spans="1:6" ht="12.75">
      <c r="A36243" s="8">
        <v>43888.240243055552</v>
      </c>
      <c r="B36243" s="8" t="str">
        <f>HYPERLINK("https://twitter.com/Ad1t77","@Ad1t77")</f>
        <v>@Ad1t77</v>
      </c>
      <c r="C36243" s="8" t="s">
        <v>14044</v>
      </c>
      <c r="D36243" s="8">
        <v>0</v>
      </c>
      <c r="E36243" s="8">
        <v>0</v>
      </c>
      <c r="F36243" s="8">
        <v>33</v>
      </c>
    </row>
    <row r="36244" spans="1:6" ht="12.75">
      <c r="A36244" s="8">
        <v>43888.240011574075</v>
      </c>
      <c r="B36244" s="8" t="str">
        <f>HYPERLINK("https://twitter.com/J4lakBali","@J4lakBali")</f>
        <v>@J4lakBali</v>
      </c>
      <c r="C36244" s="8" t="s">
        <v>14045</v>
      </c>
      <c r="D36244" s="8">
        <v>2</v>
      </c>
      <c r="E36244" s="8">
        <v>0</v>
      </c>
      <c r="F36244" s="8">
        <v>3330</v>
      </c>
    </row>
    <row r="36245" spans="1:6" ht="12.75">
      <c r="A36245" s="8">
        <v>43888.239560185189</v>
      </c>
      <c r="B36245" s="8" t="str">
        <f>HYPERLINK("https://twitter.com/karenciscoplus","@karenciscoplus")</f>
        <v>@karenciscoplus</v>
      </c>
      <c r="C36245" s="8" t="s">
        <v>8484</v>
      </c>
      <c r="D36245" s="8">
        <v>1018</v>
      </c>
      <c r="E36245" s="8">
        <v>0</v>
      </c>
      <c r="F36245" s="8">
        <v>164</v>
      </c>
    </row>
    <row r="36246" spans="1:6" ht="12.75">
      <c r="A36246" s="8">
        <v>43888.239444444444</v>
      </c>
      <c r="B36246" s="8" t="str">
        <f>HYPERLINK("https://twitter.com/mam_ku","@mam_ku")</f>
        <v>@mam_ku</v>
      </c>
      <c r="C36246" s="8" t="s">
        <v>8484</v>
      </c>
      <c r="D36246" s="8">
        <v>1018</v>
      </c>
      <c r="E36246" s="8">
        <v>0</v>
      </c>
      <c r="F36246" s="8">
        <v>1292</v>
      </c>
    </row>
    <row r="36247" spans="1:6" ht="12.75">
      <c r="A36247" s="8">
        <v>43888.238576388889</v>
      </c>
      <c r="B36247" s="8" t="str">
        <f>HYPERLINK("https://twitter.com/PerahuBambu","@PerahuBambu")</f>
        <v>@PerahuBambu</v>
      </c>
      <c r="C36247" s="8" t="s">
        <v>14046</v>
      </c>
      <c r="D36247" s="8">
        <v>2</v>
      </c>
      <c r="E36247" s="8">
        <v>0</v>
      </c>
      <c r="F36247" s="8">
        <v>7459</v>
      </c>
    </row>
    <row r="36248" spans="1:6" ht="12.75">
      <c r="A36248" s="8">
        <v>43888.238252314812</v>
      </c>
      <c r="B36248" s="8" t="str">
        <f t="shared" ref="B36248:B36250" si="523">HYPERLINK("https://twitter.com/AnakKolong___","@AnakKolong___")</f>
        <v>@AnakKolong___</v>
      </c>
      <c r="C36248" s="8" t="s">
        <v>13632</v>
      </c>
      <c r="D36248" s="8">
        <v>1</v>
      </c>
      <c r="E36248" s="8">
        <v>0</v>
      </c>
      <c r="F36248" s="8">
        <v>7062</v>
      </c>
    </row>
    <row r="36249" spans="1:6" ht="12.75">
      <c r="A36249" s="8">
        <v>43888.238171296296</v>
      </c>
      <c r="B36249" s="8" t="str">
        <f t="shared" si="523"/>
        <v>@AnakKolong___</v>
      </c>
      <c r="C36249" s="8" t="s">
        <v>14045</v>
      </c>
      <c r="D36249" s="8">
        <v>2</v>
      </c>
      <c r="E36249" s="8">
        <v>0</v>
      </c>
      <c r="F36249" s="8">
        <v>7062</v>
      </c>
    </row>
    <row r="36250" spans="1:6" ht="12.75">
      <c r="A36250" s="8">
        <v>43888.23810185185</v>
      </c>
      <c r="B36250" s="8" t="str">
        <f t="shared" si="523"/>
        <v>@AnakKolong___</v>
      </c>
      <c r="C36250" s="8" t="s">
        <v>14041</v>
      </c>
      <c r="D36250" s="8">
        <v>3</v>
      </c>
      <c r="E36250" s="8">
        <v>0</v>
      </c>
      <c r="F36250" s="8">
        <v>7062</v>
      </c>
    </row>
    <row r="36251" spans="1:6" ht="12.75">
      <c r="A36251" s="8">
        <v>43888.238078703704</v>
      </c>
      <c r="B36251" s="8" t="str">
        <f>HYPERLINK("https://twitter.com/BotPeak","@BotPeak")</f>
        <v>@BotPeak</v>
      </c>
      <c r="C36251" s="8" t="s">
        <v>14047</v>
      </c>
      <c r="D36251" s="8">
        <v>0</v>
      </c>
      <c r="E36251" s="8">
        <v>0</v>
      </c>
      <c r="F36251" s="8">
        <v>26</v>
      </c>
    </row>
    <row r="36252" spans="1:6" ht="12.75">
      <c r="A36252" s="8">
        <v>43888.238078703704</v>
      </c>
      <c r="B36252" s="8" t="str">
        <f>HYPERLINK("https://twitter.com/DediTeulih2016","@DediTeulih2016")</f>
        <v>@DediTeulih2016</v>
      </c>
      <c r="C36252" s="8" t="s">
        <v>11773</v>
      </c>
      <c r="D36252" s="8">
        <v>263</v>
      </c>
      <c r="E36252" s="8">
        <v>0</v>
      </c>
      <c r="F36252" s="8">
        <v>1848</v>
      </c>
    </row>
    <row r="36253" spans="1:6" ht="12.75">
      <c r="A36253" s="8">
        <v>43888.238032407404</v>
      </c>
      <c r="B36253" s="8" t="str">
        <f>HYPERLINK("https://twitter.com/kezelwe","@kezelwe")</f>
        <v>@kezelwe</v>
      </c>
      <c r="C36253" s="8" t="s">
        <v>1318</v>
      </c>
      <c r="D36253" s="8">
        <v>23257</v>
      </c>
      <c r="E36253" s="8">
        <v>0</v>
      </c>
      <c r="F36253" s="8">
        <v>30</v>
      </c>
    </row>
    <row r="36254" spans="1:6" ht="12.75">
      <c r="A36254" s="8">
        <v>43888.238020833334</v>
      </c>
      <c r="B36254" s="8" t="str">
        <f>HYPERLINK("https://twitter.com/wahhabicc_jabar","@wahhabicc_jabar")</f>
        <v>@wahhabicc_jabar</v>
      </c>
      <c r="C36254" s="8" t="s">
        <v>13155</v>
      </c>
      <c r="D36254" s="8">
        <v>1</v>
      </c>
      <c r="E36254" s="8">
        <v>0</v>
      </c>
      <c r="F36254" s="8">
        <v>30689</v>
      </c>
    </row>
    <row r="36255" spans="1:6" ht="12.75">
      <c r="A36255" s="8">
        <v>43888.237893518519</v>
      </c>
      <c r="B36255" s="8" t="str">
        <f>HYPERLINK("https://twitter.com/FaktaNew5","@FaktaNew5")</f>
        <v>@FaktaNew5</v>
      </c>
      <c r="C36255" s="8" t="s">
        <v>13731</v>
      </c>
      <c r="D36255" s="8">
        <v>0</v>
      </c>
      <c r="E36255" s="8">
        <v>0</v>
      </c>
      <c r="F36255" s="8">
        <v>176</v>
      </c>
    </row>
    <row r="36256" spans="1:6" ht="12.75">
      <c r="A36256" s="8">
        <v>43888.237673611111</v>
      </c>
      <c r="B36256" s="8" t="str">
        <f>HYPERLINK("https://twitter.com/RubenLumalessi1","@RubenLumalessi1")</f>
        <v>@RubenLumalessi1</v>
      </c>
      <c r="C36256" s="8" t="s">
        <v>14048</v>
      </c>
      <c r="D36256" s="8">
        <v>1</v>
      </c>
      <c r="E36256" s="8">
        <v>0</v>
      </c>
      <c r="F36256" s="8">
        <v>770</v>
      </c>
    </row>
    <row r="36257" spans="1:6" ht="12.75">
      <c r="A36257" s="8">
        <v>43888.236990740741</v>
      </c>
      <c r="B36257" s="8" t="str">
        <f>HYPERLINK("https://twitter.com/AimanJudakusum1","@AimanJudakusum1")</f>
        <v>@AimanJudakusum1</v>
      </c>
      <c r="C36257" s="8" t="s">
        <v>26</v>
      </c>
      <c r="D36257" s="8">
        <v>114</v>
      </c>
      <c r="E36257" s="8">
        <v>0</v>
      </c>
      <c r="F36257" s="8">
        <v>151</v>
      </c>
    </row>
    <row r="36258" spans="1:6" ht="12.75">
      <c r="A36258" s="8">
        <v>43888.236990740741</v>
      </c>
      <c r="B36258" s="8" t="str">
        <f>HYPERLINK("https://twitter.com/john_is_da_man","@john_is_da_man")</f>
        <v>@john_is_da_man</v>
      </c>
      <c r="C36258" s="8" t="s">
        <v>14049</v>
      </c>
      <c r="D36258" s="8">
        <v>1</v>
      </c>
      <c r="E36258" s="8">
        <v>1</v>
      </c>
      <c r="F36258" s="8">
        <v>118</v>
      </c>
    </row>
    <row r="36259" spans="1:6" ht="12.75">
      <c r="A36259" s="8">
        <v>43888.236944444448</v>
      </c>
      <c r="B36259" s="8" t="str">
        <f>HYPERLINK("https://twitter.com/AimanJudakusum1","@AimanJudakusum1")</f>
        <v>@AimanJudakusum1</v>
      </c>
      <c r="C36259" s="8" t="s">
        <v>4785</v>
      </c>
      <c r="D36259" s="8">
        <v>358</v>
      </c>
      <c r="E36259" s="8">
        <v>0</v>
      </c>
      <c r="F36259" s="8">
        <v>151</v>
      </c>
    </row>
    <row r="36260" spans="1:6" ht="12.75">
      <c r="A36260" s="8">
        <v>43888.234375</v>
      </c>
      <c r="B36260" s="8" t="str">
        <f>HYPERLINK("https://twitter.com/tinybee83","@tinybee83")</f>
        <v>@tinybee83</v>
      </c>
      <c r="C36260" s="8" t="s">
        <v>11773</v>
      </c>
      <c r="D36260" s="8">
        <v>263</v>
      </c>
      <c r="E36260" s="8">
        <v>0</v>
      </c>
      <c r="F36260" s="8">
        <v>160</v>
      </c>
    </row>
    <row r="36261" spans="1:6" ht="12.75">
      <c r="A36261" s="8">
        <v>43888.233773148153</v>
      </c>
      <c r="B36261" s="8" t="str">
        <f>HYPERLINK("https://twitter.com/7endralKad_run","@7endralKad_run")</f>
        <v>@7endralKad_run</v>
      </c>
      <c r="C36261" s="8" t="s">
        <v>14050</v>
      </c>
      <c r="D36261" s="8">
        <v>3</v>
      </c>
      <c r="E36261" s="8">
        <v>6</v>
      </c>
      <c r="F36261" s="8">
        <v>683</v>
      </c>
    </row>
    <row r="36262" spans="1:6" ht="12.75">
      <c r="A36262" s="8">
        <v>43888.233703703707</v>
      </c>
      <c r="B36262" s="8" t="str">
        <f>HYPERLINK("https://twitter.com/Rang_Hoki","@Rang_Hoki")</f>
        <v>@Rang_Hoki</v>
      </c>
      <c r="C36262" s="8" t="s">
        <v>13960</v>
      </c>
      <c r="D36262" s="8">
        <v>2</v>
      </c>
      <c r="E36262" s="8">
        <v>0</v>
      </c>
      <c r="F36262" s="8">
        <v>201</v>
      </c>
    </row>
    <row r="36263" spans="1:6" ht="12.75">
      <c r="A36263" s="8">
        <v>43888.233425925922</v>
      </c>
      <c r="B36263" s="8" t="str">
        <f>HYPERLINK("https://twitter.com/BudiatnoGomarus","@BudiatnoGomarus")</f>
        <v>@BudiatnoGomarus</v>
      </c>
      <c r="C36263" s="8" t="s">
        <v>14051</v>
      </c>
      <c r="D36263" s="8">
        <v>1</v>
      </c>
      <c r="E36263" s="8">
        <v>1</v>
      </c>
      <c r="F36263" s="8">
        <v>3628</v>
      </c>
    </row>
    <row r="36264" spans="1:6" ht="12.75">
      <c r="A36264" s="8">
        <v>43888.233229166668</v>
      </c>
      <c r="B36264" s="8" t="str">
        <f>HYPERLINK("https://twitter.com/Godril_gosong","@Godril_gosong")</f>
        <v>@Godril_gosong</v>
      </c>
      <c r="C36264" s="8" t="s">
        <v>14052</v>
      </c>
      <c r="D36264" s="8">
        <v>0</v>
      </c>
      <c r="E36264" s="8">
        <v>0</v>
      </c>
      <c r="F36264" s="8">
        <v>2380</v>
      </c>
    </row>
    <row r="36265" spans="1:6" ht="12.75">
      <c r="A36265" s="8">
        <v>43888.23300925926</v>
      </c>
      <c r="B36265" s="8" t="str">
        <f>HYPERLINK("https://twitter.com/kht01263","@kht01263")</f>
        <v>@kht01263</v>
      </c>
      <c r="C36265" s="8" t="s">
        <v>4785</v>
      </c>
      <c r="D36265" s="8">
        <v>358</v>
      </c>
      <c r="E36265" s="8">
        <v>0</v>
      </c>
      <c r="F36265" s="8">
        <v>205</v>
      </c>
    </row>
    <row r="36266" spans="1:6" ht="12.75">
      <c r="A36266" s="8">
        <v>43888.232604166667</v>
      </c>
      <c r="B36266" s="8" t="str">
        <f>HYPERLINK("https://twitter.com/AhmedMaduri","@AhmedMaduri")</f>
        <v>@AhmedMaduri</v>
      </c>
      <c r="C36266" s="8" t="s">
        <v>13365</v>
      </c>
      <c r="D36266" s="8">
        <v>875</v>
      </c>
      <c r="E36266" s="8">
        <v>0</v>
      </c>
      <c r="F36266" s="8">
        <v>69</v>
      </c>
    </row>
    <row r="36267" spans="1:6" ht="12.75">
      <c r="A36267" s="8">
        <v>43888.232569444444</v>
      </c>
      <c r="B36267" s="8" t="str">
        <f>HYPERLINK("https://twitter.com/isis_all4me","@isis_all4me")</f>
        <v>@isis_all4me</v>
      </c>
      <c r="C36267" s="8" t="s">
        <v>14053</v>
      </c>
      <c r="D36267" s="8">
        <v>0</v>
      </c>
      <c r="E36267" s="8">
        <v>0</v>
      </c>
      <c r="F36267" s="8">
        <v>8</v>
      </c>
    </row>
    <row r="36268" spans="1:6" ht="12.75">
      <c r="A36268" s="8">
        <v>43888.231990740736</v>
      </c>
      <c r="B36268" s="8" t="str">
        <f>HYPERLINK("https://twitter.com/EdhiLmg","@EdhiLmg")</f>
        <v>@EdhiLmg</v>
      </c>
      <c r="C36268" s="8" t="s">
        <v>14054</v>
      </c>
      <c r="D36268" s="8">
        <v>0</v>
      </c>
      <c r="E36268" s="8">
        <v>0</v>
      </c>
      <c r="F36268" s="8">
        <v>2152</v>
      </c>
    </row>
    <row r="36269" spans="1:6" ht="12.75">
      <c r="A36269" s="8">
        <v>43888.231840277775</v>
      </c>
      <c r="B36269" s="8" t="str">
        <f>HYPERLINK("https://twitter.com/ma99yami88","@ma99yami88")</f>
        <v>@ma99yami88</v>
      </c>
      <c r="C36269" s="8" t="s">
        <v>14055</v>
      </c>
      <c r="D36269" s="8">
        <v>0</v>
      </c>
      <c r="E36269" s="8">
        <v>0</v>
      </c>
      <c r="F36269" s="8">
        <v>95</v>
      </c>
    </row>
    <row r="36270" spans="1:6" ht="12.75">
      <c r="A36270" s="8">
        <v>43888.231736111113</v>
      </c>
      <c r="B36270" s="8" t="str">
        <f>HYPERLINK("https://twitter.com/BubuNyaii","@BubuNyaii")</f>
        <v>@BubuNyaii</v>
      </c>
      <c r="C36270" s="8" t="s">
        <v>14056</v>
      </c>
      <c r="D36270" s="8">
        <v>2</v>
      </c>
      <c r="E36270" s="8">
        <v>4</v>
      </c>
      <c r="F36270" s="8">
        <v>3712</v>
      </c>
    </row>
    <row r="36271" spans="1:6" ht="12.75">
      <c r="A36271" s="8">
        <v>43888.230624999997</v>
      </c>
      <c r="B36271" s="8" t="str">
        <f>HYPERLINK("https://twitter.com/kompascom","@kompascom")</f>
        <v>@kompascom</v>
      </c>
      <c r="C36271" s="8" t="s">
        <v>14057</v>
      </c>
      <c r="D36271" s="8">
        <v>1</v>
      </c>
      <c r="E36271" s="8">
        <v>3</v>
      </c>
      <c r="F36271" s="8">
        <v>7514743</v>
      </c>
    </row>
    <row r="36272" spans="1:6" ht="12.75">
      <c r="A36272" s="8">
        <v>43888.230578703704</v>
      </c>
      <c r="B36272" s="8" t="str">
        <f>HYPERLINK("https://twitter.com/Ad1t77","@Ad1t77")</f>
        <v>@Ad1t77</v>
      </c>
      <c r="C36272" s="8" t="s">
        <v>14058</v>
      </c>
      <c r="D36272" s="8">
        <v>1</v>
      </c>
      <c r="E36272" s="8">
        <v>7</v>
      </c>
      <c r="F36272" s="8">
        <v>33</v>
      </c>
    </row>
    <row r="36273" spans="1:6" ht="12.75">
      <c r="A36273" s="8">
        <v>43888.230324074073</v>
      </c>
      <c r="B36273" s="8" t="str">
        <f>HYPERLINK("https://twitter.com/triajaaa","@triajaaa")</f>
        <v>@triajaaa</v>
      </c>
      <c r="C36273" s="8" t="s">
        <v>13897</v>
      </c>
      <c r="D36273" s="8">
        <v>1</v>
      </c>
      <c r="E36273" s="8">
        <v>0</v>
      </c>
      <c r="F36273" s="8">
        <v>4545</v>
      </c>
    </row>
    <row r="36274" spans="1:6" ht="12.75">
      <c r="A36274" s="8">
        <v>43888.230115740742</v>
      </c>
      <c r="B36274" s="8" t="str">
        <f>HYPERLINK("https://twitter.com/Dickusnadi1","@Dickusnadi1")</f>
        <v>@Dickusnadi1</v>
      </c>
      <c r="C36274" s="8" t="s">
        <v>13884</v>
      </c>
      <c r="D36274" s="8">
        <v>136</v>
      </c>
      <c r="E36274" s="8">
        <v>0</v>
      </c>
      <c r="F36274" s="8">
        <v>5649</v>
      </c>
    </row>
    <row r="36275" spans="1:6" ht="12.75">
      <c r="A36275" s="8">
        <v>43888.229976851857</v>
      </c>
      <c r="B36275" s="8" t="str">
        <f>HYPERLINK("https://twitter.com/heniunique","@heniunique")</f>
        <v>@heniunique</v>
      </c>
      <c r="C36275" s="8" t="s">
        <v>14059</v>
      </c>
      <c r="D36275" s="8">
        <v>2</v>
      </c>
      <c r="E36275" s="8">
        <v>0</v>
      </c>
      <c r="F36275" s="8">
        <v>9908</v>
      </c>
    </row>
    <row r="36276" spans="1:6" ht="12.75">
      <c r="A36276" s="8">
        <v>43888.229907407411</v>
      </c>
      <c r="B36276" s="8" t="str">
        <f>HYPERLINK("https://twitter.com/wanto_shen","@wanto_shen")</f>
        <v>@wanto_shen</v>
      </c>
      <c r="C36276" s="8" t="s">
        <v>14060</v>
      </c>
      <c r="D36276" s="8">
        <v>0</v>
      </c>
      <c r="E36276" s="8">
        <v>0</v>
      </c>
      <c r="F36276" s="8">
        <v>10</v>
      </c>
    </row>
    <row r="36277" spans="1:6" ht="12.75">
      <c r="A36277" s="8">
        <v>43888.229687500003</v>
      </c>
      <c r="B36277" s="8" t="str">
        <f>HYPERLINK("https://twitter.com/Sihombi84779511","@Sihombi84779511")</f>
        <v>@Sihombi84779511</v>
      </c>
      <c r="C36277" s="8" t="s">
        <v>14061</v>
      </c>
      <c r="D36277" s="8">
        <v>0</v>
      </c>
      <c r="E36277" s="8">
        <v>0</v>
      </c>
      <c r="F36277" s="8">
        <v>24</v>
      </c>
    </row>
    <row r="36278" spans="1:6" ht="12.75">
      <c r="A36278" s="8">
        <v>43888.229363425926</v>
      </c>
      <c r="B36278" s="8" t="str">
        <f>HYPERLINK("https://twitter.com/IYA_Juwita","@IYA_Juwita")</f>
        <v>@IYA_Juwita</v>
      </c>
      <c r="C36278" s="8" t="s">
        <v>12686</v>
      </c>
      <c r="D36278" s="8">
        <v>3</v>
      </c>
      <c r="E36278" s="8">
        <v>0</v>
      </c>
      <c r="F36278" s="8">
        <v>1196</v>
      </c>
    </row>
    <row r="36279" spans="1:6" ht="12.75">
      <c r="A36279" s="8">
        <v>43888.228900462964</v>
      </c>
      <c r="B36279" s="8" t="str">
        <f>HYPERLINK("https://twitter.com/humarihidayat","@humarihidayat")</f>
        <v>@humarihidayat</v>
      </c>
      <c r="C36279" s="8" t="s">
        <v>14062</v>
      </c>
      <c r="D36279" s="8">
        <v>0</v>
      </c>
      <c r="E36279" s="8">
        <v>2</v>
      </c>
      <c r="F36279" s="8">
        <v>563</v>
      </c>
    </row>
    <row r="36280" spans="1:6" ht="12.75">
      <c r="A36280" s="8">
        <v>43888.228807870371</v>
      </c>
      <c r="B36280" s="8" t="str">
        <f>HYPERLINK("https://twitter.com/katatodaycom","@katatodaycom")</f>
        <v>@katatodaycom</v>
      </c>
      <c r="C36280" s="8" t="s">
        <v>14019</v>
      </c>
      <c r="D36280" s="8">
        <v>0</v>
      </c>
      <c r="E36280" s="8">
        <v>2</v>
      </c>
      <c r="F36280" s="8">
        <v>1132</v>
      </c>
    </row>
    <row r="36281" spans="1:6" ht="12.75">
      <c r="A36281" s="8">
        <v>43888.228506944448</v>
      </c>
      <c r="B36281" s="8" t="str">
        <f>HYPERLINK("https://twitter.com/ma99yami88","@ma99yami88")</f>
        <v>@ma99yami88</v>
      </c>
      <c r="C36281" s="8" t="s">
        <v>14063</v>
      </c>
      <c r="D36281" s="8">
        <v>0</v>
      </c>
      <c r="E36281" s="8">
        <v>0</v>
      </c>
      <c r="F36281" s="8">
        <v>95</v>
      </c>
    </row>
    <row r="36282" spans="1:6" ht="12.75">
      <c r="A36282" s="8">
        <v>43888.228252314817</v>
      </c>
      <c r="B36282" s="8" t="str">
        <f>HYPERLINK("https://twitter.com/sabar_mbok","@sabar_mbok")</f>
        <v>@sabar_mbok</v>
      </c>
      <c r="C36282" s="8" t="s">
        <v>14064</v>
      </c>
      <c r="D36282" s="8">
        <v>0</v>
      </c>
      <c r="E36282" s="8">
        <v>0</v>
      </c>
      <c r="F36282" s="8">
        <v>284</v>
      </c>
    </row>
    <row r="36283" spans="1:6" ht="12.75">
      <c r="A36283" s="8">
        <v>43888.227893518517</v>
      </c>
      <c r="B36283" s="8" t="str">
        <f>HYPERLINK("https://twitter.com/AnakKolong___","@AnakKolong___")</f>
        <v>@AnakKolong___</v>
      </c>
      <c r="C36283" s="8" t="s">
        <v>14046</v>
      </c>
      <c r="D36283" s="8">
        <v>2</v>
      </c>
      <c r="E36283" s="8">
        <v>0</v>
      </c>
      <c r="F36283" s="8">
        <v>7062</v>
      </c>
    </row>
    <row r="36284" spans="1:6" ht="12.75">
      <c r="A36284" s="8">
        <v>43888.227835648147</v>
      </c>
      <c r="B36284" s="8" t="str">
        <f>HYPERLINK("https://twitter.com/Umarcinema711","@Umarcinema711")</f>
        <v>@Umarcinema711</v>
      </c>
      <c r="C36284" s="8" t="s">
        <v>13900</v>
      </c>
      <c r="D36284" s="8">
        <v>67</v>
      </c>
      <c r="E36284" s="8">
        <v>0</v>
      </c>
      <c r="F36284" s="8">
        <v>839</v>
      </c>
    </row>
    <row r="36285" spans="1:6" ht="12.75">
      <c r="A36285" s="8">
        <v>43888.227546296301</v>
      </c>
      <c r="B36285" s="8" t="str">
        <f>HYPERLINK("https://twitter.com/widi_damar","@widi_damar")</f>
        <v>@widi_damar</v>
      </c>
      <c r="C36285" s="8" t="s">
        <v>14065</v>
      </c>
      <c r="D36285" s="8">
        <v>0</v>
      </c>
      <c r="E36285" s="8">
        <v>0</v>
      </c>
      <c r="F36285" s="8">
        <v>171</v>
      </c>
    </row>
    <row r="36286" spans="1:6" ht="12.75">
      <c r="A36286" s="8">
        <v>43888.227534722224</v>
      </c>
      <c r="B36286" s="8" t="str">
        <f>HYPERLINK("https://twitter.com/Godril_gosong","@Godril_gosong")</f>
        <v>@Godril_gosong</v>
      </c>
      <c r="C36286" s="8" t="s">
        <v>14066</v>
      </c>
      <c r="D36286" s="8">
        <v>0</v>
      </c>
      <c r="E36286" s="8">
        <v>0</v>
      </c>
      <c r="F36286" s="8">
        <v>2380</v>
      </c>
    </row>
    <row r="36287" spans="1:6" ht="12.75">
      <c r="A36287" s="8">
        <v>43888.227175925931</v>
      </c>
      <c r="B36287" s="8" t="str">
        <f>HYPERLINK("https://twitter.com/3mtr1","@3mtr1")</f>
        <v>@3mtr1</v>
      </c>
      <c r="C36287" s="8" t="s">
        <v>14067</v>
      </c>
      <c r="D36287" s="8">
        <v>0</v>
      </c>
      <c r="E36287" s="8">
        <v>0</v>
      </c>
      <c r="F36287" s="8">
        <v>2157</v>
      </c>
    </row>
    <row r="36288" spans="1:6" ht="12.75">
      <c r="A36288" s="8">
        <v>43888.214780092589</v>
      </c>
      <c r="B36288" s="8" t="str">
        <f>HYPERLINK("https://twitter.com/MrsRachelIn","@MrsRachelIn")</f>
        <v>@MrsRachelIn</v>
      </c>
      <c r="C36288" s="8" t="s">
        <v>14068</v>
      </c>
      <c r="D36288" s="8">
        <v>0</v>
      </c>
      <c r="E36288" s="8">
        <v>0</v>
      </c>
      <c r="F36288" s="8">
        <v>3337</v>
      </c>
    </row>
    <row r="36289" spans="1:6" ht="12.75">
      <c r="A36289" s="8">
        <v>43888.214317129634</v>
      </c>
      <c r="B36289" s="8" t="str">
        <f>HYPERLINK("https://twitter.com/VMOldman","@VMOldman")</f>
        <v>@VMOldman</v>
      </c>
      <c r="C36289" s="8" t="s">
        <v>14069</v>
      </c>
      <c r="D36289" s="8">
        <v>0</v>
      </c>
      <c r="E36289" s="8">
        <v>1</v>
      </c>
      <c r="F36289" s="8">
        <v>19</v>
      </c>
    </row>
    <row r="36290" spans="1:6" ht="12.75">
      <c r="A36290" s="8">
        <v>43888.214189814811</v>
      </c>
      <c r="B36290" s="8" t="str">
        <f>HYPERLINK("https://twitter.com/sangamei","@sangamei")</f>
        <v>@sangamei</v>
      </c>
      <c r="C36290" s="8" t="s">
        <v>14070</v>
      </c>
      <c r="D36290" s="8">
        <v>0</v>
      </c>
      <c r="E36290" s="8">
        <v>0</v>
      </c>
      <c r="F36290" s="8">
        <v>1608</v>
      </c>
    </row>
    <row r="36291" spans="1:6" ht="12.75">
      <c r="A36291" s="8">
        <v>43888.214085648149</v>
      </c>
      <c r="B36291" s="8" t="str">
        <f>HYPERLINK("https://twitter.com/HangHery","@HangHery")</f>
        <v>@HangHery</v>
      </c>
      <c r="C36291" s="8" t="s">
        <v>11773</v>
      </c>
      <c r="D36291" s="8">
        <v>252</v>
      </c>
      <c r="E36291" s="8">
        <v>0</v>
      </c>
      <c r="F36291" s="8">
        <v>438</v>
      </c>
    </row>
    <row r="36292" spans="1:6" ht="12.75">
      <c r="A36292" s="8">
        <v>43888.213923611111</v>
      </c>
      <c r="B36292" s="8" t="str">
        <f>HYPERLINK("https://twitter.com/3mtr1","@3mtr1")</f>
        <v>@3mtr1</v>
      </c>
      <c r="C36292" s="8" t="s">
        <v>14071</v>
      </c>
      <c r="D36292" s="8">
        <v>13</v>
      </c>
      <c r="E36292" s="8">
        <v>0</v>
      </c>
      <c r="F36292" s="8">
        <v>2157</v>
      </c>
    </row>
    <row r="36293" spans="1:6" ht="12.75">
      <c r="A36293" s="8">
        <v>43888.213865740741</v>
      </c>
      <c r="B36293" s="8" t="str">
        <f>HYPERLINK("https://twitter.com/MAliSubhan2","@MAliSubhan2")</f>
        <v>@MAliSubhan2</v>
      </c>
      <c r="C36293" s="8" t="s">
        <v>12052</v>
      </c>
      <c r="D36293" s="8">
        <v>0</v>
      </c>
      <c r="E36293" s="8">
        <v>0</v>
      </c>
      <c r="F36293" s="8">
        <v>1204</v>
      </c>
    </row>
    <row r="36294" spans="1:6" ht="12.75">
      <c r="A36294" s="8">
        <v>43888.213449074072</v>
      </c>
      <c r="B36294" s="8" t="str">
        <f>HYPERLINK("https://twitter.com/kbrioslo","@kbrioslo")</f>
        <v>@kbrioslo</v>
      </c>
      <c r="C36294" s="8" t="s">
        <v>14072</v>
      </c>
      <c r="D36294" s="8">
        <v>0</v>
      </c>
      <c r="E36294" s="8">
        <v>0</v>
      </c>
      <c r="F36294" s="8">
        <v>2412</v>
      </c>
    </row>
    <row r="36295" spans="1:6" ht="12.75">
      <c r="A36295" s="8">
        <v>43888.213113425925</v>
      </c>
      <c r="B36295" s="8" t="str">
        <f>HYPERLINK("https://twitter.com/zyad53446220","@zyad53446220")</f>
        <v>@zyad53446220</v>
      </c>
      <c r="C36295" s="8" t="s">
        <v>14073</v>
      </c>
      <c r="D36295" s="8">
        <v>4</v>
      </c>
      <c r="E36295" s="8">
        <v>0</v>
      </c>
      <c r="F36295" s="8">
        <v>1</v>
      </c>
    </row>
    <row r="36296" spans="1:6" ht="12.75">
      <c r="A36296" s="8">
        <v>43888.212824074071</v>
      </c>
      <c r="B36296" s="8" t="str">
        <f>HYPERLINK("https://twitter.com/AlaydrusNanny","@AlaydrusNanny")</f>
        <v>@AlaydrusNanny</v>
      </c>
      <c r="C36296" s="8" t="s">
        <v>4785</v>
      </c>
      <c r="D36296" s="8">
        <v>352</v>
      </c>
      <c r="E36296" s="8">
        <v>0</v>
      </c>
      <c r="F36296" s="8">
        <v>46</v>
      </c>
    </row>
    <row r="36297" spans="1:6" ht="12.75">
      <c r="A36297" s="8">
        <v>43888.212743055556</v>
      </c>
      <c r="B36297" s="8" t="str">
        <f>HYPERLINK("https://twitter.com/MrsRachelIn","@MrsRachelIn")</f>
        <v>@MrsRachelIn</v>
      </c>
      <c r="C36297" s="8" t="s">
        <v>14074</v>
      </c>
      <c r="D36297" s="8">
        <v>0</v>
      </c>
      <c r="E36297" s="8">
        <v>0</v>
      </c>
      <c r="F36297" s="8">
        <v>3337</v>
      </c>
    </row>
    <row r="36298" spans="1:6" ht="12.75">
      <c r="A36298" s="8">
        <v>43888.209953703699</v>
      </c>
      <c r="B36298" s="8" t="str">
        <f>HYPERLINK("https://twitter.com/zyad53446220","@zyad53446220")</f>
        <v>@zyad53446220</v>
      </c>
      <c r="C36298" s="8" t="s">
        <v>14075</v>
      </c>
      <c r="D36298" s="8">
        <v>4</v>
      </c>
      <c r="E36298" s="8">
        <v>0</v>
      </c>
      <c r="F36298" s="8">
        <v>1</v>
      </c>
    </row>
    <row r="36299" spans="1:6" ht="12.75">
      <c r="A36299" s="8">
        <v>43888.206550925926</v>
      </c>
      <c r="B36299" s="8" t="str">
        <f>HYPERLINK("https://twitter.com/donsnomanstream","@donsnomanstream")</f>
        <v>@donsnomanstream</v>
      </c>
      <c r="C36299" s="8" t="s">
        <v>13365</v>
      </c>
      <c r="D36299" s="8">
        <v>871</v>
      </c>
      <c r="E36299" s="8">
        <v>0</v>
      </c>
      <c r="F36299" s="8">
        <v>110</v>
      </c>
    </row>
    <row r="36300" spans="1:6" ht="12.75">
      <c r="A36300" s="8">
        <v>43888.206458333334</v>
      </c>
      <c r="B36300" s="8" t="str">
        <f>HYPERLINK("https://twitter.com/sodiqinsunter","@sodiqinsunter")</f>
        <v>@sodiqinsunter</v>
      </c>
      <c r="C36300" s="8" t="s">
        <v>13365</v>
      </c>
      <c r="D36300" s="8">
        <v>871</v>
      </c>
      <c r="E36300" s="8">
        <v>0</v>
      </c>
      <c r="F36300" s="8">
        <v>27</v>
      </c>
    </row>
    <row r="36301" spans="1:6" ht="12.75">
      <c r="A36301" s="8">
        <v>43888.205497685187</v>
      </c>
      <c r="B36301" s="8" t="str">
        <f>HYPERLINK("https://twitter.com/okada_akihito","@okada_akihito")</f>
        <v>@okada_akihito</v>
      </c>
      <c r="C36301" s="8" t="s">
        <v>8484</v>
      </c>
      <c r="D36301" s="8">
        <v>1014</v>
      </c>
      <c r="E36301" s="8">
        <v>0</v>
      </c>
      <c r="F36301" s="8">
        <v>1371</v>
      </c>
    </row>
    <row r="36302" spans="1:6" ht="12.75">
      <c r="A36302" s="8">
        <v>43888.205312499995</v>
      </c>
      <c r="B36302" s="8" t="str">
        <f>HYPERLINK("https://twitter.com/Kimi58486332","@Kimi58486332")</f>
        <v>@Kimi58486332</v>
      </c>
      <c r="C36302" s="8" t="s">
        <v>14076</v>
      </c>
      <c r="D36302" s="8">
        <v>0</v>
      </c>
      <c r="E36302" s="8">
        <v>0</v>
      </c>
      <c r="F36302" s="8">
        <v>16</v>
      </c>
    </row>
    <row r="36303" spans="1:6" ht="12.75">
      <c r="A36303" s="8">
        <v>43888.204780092594</v>
      </c>
      <c r="B36303" s="8" t="str">
        <f>HYPERLINK("https://twitter.com/bukanpelawak12","@bukanpelawak12")</f>
        <v>@bukanpelawak12</v>
      </c>
      <c r="C36303" s="8" t="s">
        <v>13198</v>
      </c>
      <c r="D36303" s="8">
        <v>40</v>
      </c>
      <c r="E36303" s="8">
        <v>0</v>
      </c>
      <c r="F36303" s="8">
        <v>16</v>
      </c>
    </row>
    <row r="36304" spans="1:6" ht="12.75">
      <c r="A36304" s="8">
        <v>43888.204097222224</v>
      </c>
      <c r="B36304" s="8" t="str">
        <f>HYPERLINK("https://twitter.com/JYP203","@JYP203")</f>
        <v>@JYP203</v>
      </c>
      <c r="C36304" s="8" t="s">
        <v>14077</v>
      </c>
      <c r="D36304" s="8">
        <v>3</v>
      </c>
      <c r="E36304" s="8">
        <v>0</v>
      </c>
      <c r="F36304" s="8">
        <v>45</v>
      </c>
    </row>
    <row r="36305" spans="1:6" ht="12.75">
      <c r="A36305" s="8">
        <v>43888.203182870369</v>
      </c>
      <c r="B36305" s="8" t="str">
        <f>HYPERLINK("https://twitter.com/kasman_vandi","@kasman_vandi")</f>
        <v>@kasman_vandi</v>
      </c>
      <c r="C36305" s="8" t="s">
        <v>14078</v>
      </c>
      <c r="D36305" s="8">
        <v>0</v>
      </c>
      <c r="E36305" s="8">
        <v>0</v>
      </c>
      <c r="F36305" s="8">
        <v>908</v>
      </c>
    </row>
    <row r="36306" spans="1:6" ht="12.75">
      <c r="A36306" s="8">
        <v>43888.202905092592</v>
      </c>
      <c r="B36306" s="8" t="str">
        <f>HYPERLINK("https://twitter.com/althenaksa","@althenaksa")</f>
        <v>@althenaksa</v>
      </c>
      <c r="C36306" s="8" t="s">
        <v>14079</v>
      </c>
      <c r="D36306" s="8">
        <v>0</v>
      </c>
      <c r="E36306" s="8">
        <v>0</v>
      </c>
      <c r="F36306" s="8">
        <v>808</v>
      </c>
    </row>
    <row r="36307" spans="1:6" ht="12.75">
      <c r="A36307" s="8">
        <v>43888.202384259261</v>
      </c>
      <c r="B36307" s="8" t="str">
        <f>HYPERLINK("https://twitter.com/zyad53446220","@zyad53446220")</f>
        <v>@zyad53446220</v>
      </c>
      <c r="C36307" s="8" t="s">
        <v>14080</v>
      </c>
      <c r="D36307" s="8">
        <v>5</v>
      </c>
      <c r="E36307" s="8">
        <v>0</v>
      </c>
      <c r="F36307" s="8">
        <v>1</v>
      </c>
    </row>
    <row r="36308" spans="1:6" ht="12.75">
      <c r="A36308" s="8">
        <v>43888.202337962968</v>
      </c>
      <c r="B36308" s="8" t="str">
        <f>HYPERLINK("https://twitter.com/andry_is","@andry_is")</f>
        <v>@andry_is</v>
      </c>
      <c r="C36308" s="8" t="s">
        <v>14081</v>
      </c>
      <c r="D36308" s="8">
        <v>0</v>
      </c>
      <c r="E36308" s="8">
        <v>1</v>
      </c>
      <c r="F36308" s="8">
        <v>574</v>
      </c>
    </row>
    <row r="36309" spans="1:6" ht="12.75">
      <c r="A36309" s="8">
        <v>43888.201504629629</v>
      </c>
      <c r="B36309" s="8" t="str">
        <f>HYPERLINK("https://twitter.com/AjiMulyaji2","@AjiMulyaji2")</f>
        <v>@AjiMulyaji2</v>
      </c>
      <c r="C36309" s="8" t="s">
        <v>14082</v>
      </c>
      <c r="D36309" s="8">
        <v>0</v>
      </c>
      <c r="E36309" s="8">
        <v>7</v>
      </c>
      <c r="F36309" s="8">
        <v>149</v>
      </c>
    </row>
    <row r="36310" spans="1:6" ht="12.75">
      <c r="A36310" s="8">
        <v>43888.201261574075</v>
      </c>
      <c r="B36310" s="8" t="str">
        <f>HYPERLINK("https://twitter.com/Alex56021116","@Alex56021116")</f>
        <v>@Alex56021116</v>
      </c>
      <c r="C36310" s="8" t="s">
        <v>13198</v>
      </c>
      <c r="D36310" s="8">
        <v>40</v>
      </c>
      <c r="E36310" s="8">
        <v>0</v>
      </c>
      <c r="F36310" s="8">
        <v>51</v>
      </c>
    </row>
    <row r="36311" spans="1:6" ht="12.75">
      <c r="A36311" s="8">
        <v>43888.200497685189</v>
      </c>
      <c r="B36311" s="8" t="str">
        <f>HYPERLINK("https://twitter.com/Maznga_jmikel","@Maznga_jmikel")</f>
        <v>@Maznga_jmikel</v>
      </c>
      <c r="C36311" s="8" t="s">
        <v>13986</v>
      </c>
      <c r="D36311" s="8">
        <v>4</v>
      </c>
      <c r="E36311" s="8">
        <v>0</v>
      </c>
      <c r="F36311" s="8">
        <v>854</v>
      </c>
    </row>
    <row r="36312" spans="1:6" ht="12.75">
      <c r="A36312" s="8">
        <v>43888.199895833328</v>
      </c>
      <c r="B36312" s="8" t="str">
        <f>HYPERLINK("https://twitter.com/case134","@case134")</f>
        <v>@case134</v>
      </c>
      <c r="C36312" s="8" t="s">
        <v>8484</v>
      </c>
      <c r="D36312" s="8">
        <v>1014</v>
      </c>
      <c r="E36312" s="8">
        <v>0</v>
      </c>
      <c r="F36312" s="8">
        <v>202</v>
      </c>
    </row>
    <row r="36313" spans="1:6" ht="12.75">
      <c r="A36313" s="8">
        <v>43888.19913194445</v>
      </c>
      <c r="B36313" s="8" t="str">
        <f>HYPERLINK("https://twitter.com/natalia_dea01","@natalia_dea01")</f>
        <v>@natalia_dea01</v>
      </c>
      <c r="C36313" s="8" t="s">
        <v>2941</v>
      </c>
      <c r="D36313" s="8">
        <v>1064</v>
      </c>
      <c r="E36313" s="8">
        <v>0</v>
      </c>
      <c r="F36313" s="8">
        <v>450</v>
      </c>
    </row>
    <row r="36314" spans="1:6" ht="12.75">
      <c r="A36314" s="8">
        <v>43888.197789351849</v>
      </c>
      <c r="B36314" s="8" t="str">
        <f>HYPERLINK("https://twitter.com/evereeze","@evereeze")</f>
        <v>@evereeze</v>
      </c>
      <c r="C36314" s="8" t="s">
        <v>14059</v>
      </c>
      <c r="D36314" s="8">
        <v>1</v>
      </c>
      <c r="E36314" s="8">
        <v>0</v>
      </c>
      <c r="F36314" s="8">
        <v>297</v>
      </c>
    </row>
    <row r="36315" spans="1:6" ht="12.75">
      <c r="A36315" s="8">
        <v>43888.197465277779</v>
      </c>
      <c r="B36315" s="8" t="str">
        <f>HYPERLINK("https://twitter.com/achingjpl","@achingjpl")</f>
        <v>@achingjpl</v>
      </c>
      <c r="C36315" s="8" t="s">
        <v>14083</v>
      </c>
      <c r="D36315" s="8">
        <v>3</v>
      </c>
      <c r="E36315" s="8">
        <v>0</v>
      </c>
      <c r="F36315" s="8">
        <v>319</v>
      </c>
    </row>
    <row r="36316" spans="1:6" ht="12.75">
      <c r="A36316" s="8">
        <v>43888.197337962964</v>
      </c>
      <c r="B36316" s="8" t="str">
        <f t="shared" ref="B36316:B36317" si="524">HYPERLINK("https://twitter.com/zyad53446220","@zyad53446220")</f>
        <v>@zyad53446220</v>
      </c>
      <c r="C36316" s="8" t="s">
        <v>14084</v>
      </c>
      <c r="D36316" s="8">
        <v>6</v>
      </c>
      <c r="E36316" s="8">
        <v>0</v>
      </c>
      <c r="F36316" s="8">
        <v>1</v>
      </c>
    </row>
    <row r="36317" spans="1:6" ht="12.75">
      <c r="A36317" s="8">
        <v>43888.19731481481</v>
      </c>
      <c r="B36317" s="8" t="str">
        <f t="shared" si="524"/>
        <v>@zyad53446220</v>
      </c>
      <c r="C36317" s="8" t="s">
        <v>13073</v>
      </c>
      <c r="D36317" s="8">
        <v>14</v>
      </c>
      <c r="E36317" s="8">
        <v>0</v>
      </c>
      <c r="F36317" s="8">
        <v>1</v>
      </c>
    </row>
    <row r="36318" spans="1:6" ht="12.75">
      <c r="A36318" s="8">
        <v>43888.196620370371</v>
      </c>
      <c r="B36318" s="8" t="str">
        <f>HYPERLINK("https://twitter.com/Rang_Hoki","@Rang_Hoki")</f>
        <v>@Rang_Hoki</v>
      </c>
      <c r="C36318" s="8" t="s">
        <v>11773</v>
      </c>
      <c r="D36318" s="8">
        <v>252</v>
      </c>
      <c r="E36318" s="8">
        <v>0</v>
      </c>
      <c r="F36318" s="8">
        <v>201</v>
      </c>
    </row>
    <row r="36319" spans="1:6" ht="12.75">
      <c r="A36319" s="8">
        <v>43888.195694444439</v>
      </c>
      <c r="B36319" s="8" t="str">
        <f>HYPERLINK("https://twitter.com/louisdenomad","@louisdenomad")</f>
        <v>@louisdenomad</v>
      </c>
      <c r="C36319" s="8" t="s">
        <v>14085</v>
      </c>
      <c r="D36319" s="8">
        <v>0</v>
      </c>
      <c r="E36319" s="8">
        <v>0</v>
      </c>
      <c r="F36319" s="8">
        <v>56</v>
      </c>
    </row>
    <row r="36320" spans="1:6" ht="12.75">
      <c r="A36320" s="8">
        <v>43888.195497685185</v>
      </c>
      <c r="B36320" s="8" t="str">
        <f>HYPERLINK("https://twitter.com/GisoTrso","@GisoTrso")</f>
        <v>@GisoTrso</v>
      </c>
      <c r="C36320" s="8" t="s">
        <v>14086</v>
      </c>
      <c r="D36320" s="8">
        <v>0</v>
      </c>
      <c r="E36320" s="8">
        <v>1</v>
      </c>
      <c r="F36320" s="8">
        <v>3112</v>
      </c>
    </row>
    <row r="36321" spans="1:6" ht="12.75">
      <c r="A36321" s="8">
        <v>43888.194502314815</v>
      </c>
      <c r="B36321" s="8" t="str">
        <f>HYPERLINK("https://twitter.com/RD1951","@RD1951")</f>
        <v>@RD1951</v>
      </c>
      <c r="C36321" s="8" t="s">
        <v>26</v>
      </c>
      <c r="D36321" s="8">
        <v>110</v>
      </c>
      <c r="E36321" s="8">
        <v>0</v>
      </c>
      <c r="F36321" s="8">
        <v>46</v>
      </c>
    </row>
    <row r="36322" spans="1:6" ht="12.75">
      <c r="A36322" s="8">
        <v>43888.194340277776</v>
      </c>
      <c r="B36322" s="8" t="str">
        <f>HYPERLINK("https://twitter.com/MaskoenLosso","@MaskoenLosso")</f>
        <v>@MaskoenLosso</v>
      </c>
      <c r="C36322" s="8" t="s">
        <v>14087</v>
      </c>
      <c r="D36322" s="8">
        <v>0</v>
      </c>
      <c r="E36322" s="8">
        <v>0</v>
      </c>
      <c r="F36322" s="8">
        <v>920</v>
      </c>
    </row>
    <row r="36323" spans="1:6" ht="12.75">
      <c r="A36323" s="8">
        <v>43888.193796296298</v>
      </c>
      <c r="B36323" s="8" t="str">
        <f>HYPERLINK("https://twitter.com/RD1951","@RD1951")</f>
        <v>@RD1951</v>
      </c>
      <c r="C36323" s="8" t="s">
        <v>4785</v>
      </c>
      <c r="D36323" s="8">
        <v>352</v>
      </c>
      <c r="E36323" s="8">
        <v>0</v>
      </c>
      <c r="F36323" s="8">
        <v>46</v>
      </c>
    </row>
    <row r="36324" spans="1:6" ht="12.75">
      <c r="A36324" s="8">
        <v>43888.193240740744</v>
      </c>
      <c r="B36324" s="8" t="str">
        <f>HYPERLINK("https://twitter.com/anjares90","@anjares90")</f>
        <v>@anjares90</v>
      </c>
      <c r="C36324" s="8" t="s">
        <v>13968</v>
      </c>
      <c r="D36324" s="8">
        <v>1</v>
      </c>
      <c r="E36324" s="8">
        <v>0</v>
      </c>
      <c r="F36324" s="8">
        <v>675</v>
      </c>
    </row>
    <row r="36325" spans="1:6" ht="12.75">
      <c r="A36325" s="8">
        <v>43888.19321759259</v>
      </c>
      <c r="B36325" s="8" t="str">
        <f>HYPERLINK("https://twitter.com/isis_anaira","@isis_anaira")</f>
        <v>@isis_anaira</v>
      </c>
      <c r="C36325" s="8" t="s">
        <v>14088</v>
      </c>
      <c r="D36325" s="8">
        <v>317</v>
      </c>
      <c r="E36325" s="8">
        <v>0</v>
      </c>
      <c r="F36325" s="8">
        <v>111</v>
      </c>
    </row>
    <row r="36326" spans="1:6" ht="12.75">
      <c r="A36326" s="8">
        <v>43888.193113425921</v>
      </c>
      <c r="B36326" s="8" t="str">
        <f>HYPERLINK("https://twitter.com/KompasTV","@KompasTV")</f>
        <v>@KompasTV</v>
      </c>
      <c r="C36326" s="8" t="s">
        <v>14089</v>
      </c>
      <c r="D36326" s="8">
        <v>1</v>
      </c>
      <c r="E36326" s="8">
        <v>7</v>
      </c>
      <c r="F36326" s="8">
        <v>2949759</v>
      </c>
    </row>
    <row r="36327" spans="1:6" ht="12.75">
      <c r="A36327" s="8">
        <v>43888.192997685182</v>
      </c>
      <c r="B36327" s="8" t="str">
        <f>HYPERLINK("https://twitter.com/ravine_awali","@ravine_awali")</f>
        <v>@ravine_awali</v>
      </c>
      <c r="C36327" s="8" t="s">
        <v>14090</v>
      </c>
      <c r="D36327" s="8">
        <v>0</v>
      </c>
      <c r="E36327" s="8">
        <v>0</v>
      </c>
      <c r="F36327" s="8">
        <v>501</v>
      </c>
    </row>
    <row r="36328" spans="1:6" ht="12.75">
      <c r="A36328" s="8">
        <v>43888.190879629634</v>
      </c>
      <c r="B36328" s="8" t="str">
        <f>HYPERLINK("https://twitter.com/pakkom2016","@pakkom2016")</f>
        <v>@pakkom2016</v>
      </c>
      <c r="C36328" s="8" t="s">
        <v>12686</v>
      </c>
      <c r="D36328" s="8">
        <v>2</v>
      </c>
      <c r="E36328" s="8">
        <v>0</v>
      </c>
      <c r="F36328" s="8">
        <v>425</v>
      </c>
    </row>
    <row r="36329" spans="1:6" ht="12.75">
      <c r="A36329" s="8">
        <v>43888.190509259264</v>
      </c>
      <c r="B36329" s="8" t="str">
        <f>HYPERLINK("https://twitter.com/mujtabachowdary","@mujtabachowdary")</f>
        <v>@mujtabachowdary</v>
      </c>
      <c r="C36329" s="8" t="s">
        <v>14091</v>
      </c>
      <c r="D36329" s="8">
        <v>0</v>
      </c>
      <c r="E36329" s="8">
        <v>1</v>
      </c>
      <c r="F36329" s="8">
        <v>82</v>
      </c>
    </row>
    <row r="36330" spans="1:6" ht="12.75">
      <c r="A36330" s="8">
        <v>43888.190127314811</v>
      </c>
      <c r="B36330" s="8" t="str">
        <f>HYPERLINK("https://twitter.com/Rang_Hoki","@Rang_Hoki")</f>
        <v>@Rang_Hoki</v>
      </c>
      <c r="C36330" s="8" t="s">
        <v>12143</v>
      </c>
      <c r="D36330" s="8">
        <v>274</v>
      </c>
      <c r="E36330" s="8">
        <v>0</v>
      </c>
      <c r="F36330" s="8">
        <v>201</v>
      </c>
    </row>
    <row r="36331" spans="1:6" ht="12.75">
      <c r="A36331" s="8">
        <v>43888.189409722225</v>
      </c>
      <c r="B36331" s="8" t="str">
        <f>HYPERLINK("https://twitter.com/KelikMNugroho","@KelikMNugroho")</f>
        <v>@KelikMNugroho</v>
      </c>
      <c r="C36331" s="8" t="s">
        <v>4785</v>
      </c>
      <c r="D36331" s="8">
        <v>352</v>
      </c>
      <c r="E36331" s="8">
        <v>0</v>
      </c>
      <c r="F36331" s="8">
        <v>2586</v>
      </c>
    </row>
    <row r="36332" spans="1:6" ht="12.75">
      <c r="A36332" s="8">
        <v>43888.189293981486</v>
      </c>
      <c r="B36332" s="8" t="str">
        <f>HYPERLINK("https://twitter.com/Nouna_jessica94","@Nouna_jessica94")</f>
        <v>@Nouna_jessica94</v>
      </c>
      <c r="C36332" s="8" t="s">
        <v>14092</v>
      </c>
      <c r="D36332" s="8">
        <v>1</v>
      </c>
      <c r="E36332" s="8">
        <v>4</v>
      </c>
      <c r="F36332" s="8">
        <v>14002</v>
      </c>
    </row>
    <row r="36333" spans="1:6" ht="12.75">
      <c r="A36333" s="8">
        <v>43888.189108796301</v>
      </c>
      <c r="B36333" s="8" t="str">
        <f>HYPERLINK("https://twitter.com/makna_ruci","@makna_ruci")</f>
        <v>@makna_ruci</v>
      </c>
      <c r="C36333" s="8" t="s">
        <v>11773</v>
      </c>
      <c r="D36333" s="8">
        <v>252</v>
      </c>
      <c r="E36333" s="8">
        <v>0</v>
      </c>
      <c r="F36333" s="8">
        <v>4516</v>
      </c>
    </row>
    <row r="36334" spans="1:6" ht="12.75">
      <c r="A36334" s="8">
        <v>43888.189039351855</v>
      </c>
      <c r="B36334" s="8" t="str">
        <f>HYPERLINK("https://twitter.com/John11353891","@John11353891")</f>
        <v>@John11353891</v>
      </c>
      <c r="C36334" s="8" t="s">
        <v>11773</v>
      </c>
      <c r="D36334" s="8">
        <v>252</v>
      </c>
      <c r="E36334" s="8">
        <v>0</v>
      </c>
      <c r="F36334" s="8">
        <v>194</v>
      </c>
    </row>
    <row r="36335" spans="1:6" ht="12.75">
      <c r="A36335" s="8">
        <v>43888.188437500001</v>
      </c>
      <c r="B36335" s="8" t="str">
        <f>HYPERLINK("https://twitter.com/DiumahM","@DiumahM")</f>
        <v>@DiumahM</v>
      </c>
      <c r="C36335" s="8" t="s">
        <v>11773</v>
      </c>
      <c r="D36335" s="8">
        <v>252</v>
      </c>
      <c r="E36335" s="8">
        <v>0</v>
      </c>
      <c r="F36335" s="8">
        <v>52</v>
      </c>
    </row>
    <row r="36336" spans="1:6" ht="12.75">
      <c r="A36336" s="8">
        <v>43888.188402777778</v>
      </c>
      <c r="B36336" s="8" t="str">
        <f>HYPERLINK("https://twitter.com/miladjazuli1","@miladjazuli1")</f>
        <v>@miladjazuli1</v>
      </c>
      <c r="C36336" s="8" t="s">
        <v>14093</v>
      </c>
      <c r="D36336" s="8">
        <v>546</v>
      </c>
      <c r="E36336" s="8">
        <v>0</v>
      </c>
      <c r="F36336" s="8">
        <v>1653</v>
      </c>
    </row>
    <row r="36337" spans="1:6" ht="12.75">
      <c r="A36337" s="8">
        <v>43888.188287037032</v>
      </c>
      <c r="B36337" s="8" t="str">
        <f>HYPERLINK("https://twitter.com/mbahbeungeud","@mbahbeungeud")</f>
        <v>@mbahbeungeud</v>
      </c>
      <c r="C36337" s="8" t="s">
        <v>12406</v>
      </c>
      <c r="D36337" s="8">
        <v>80</v>
      </c>
      <c r="E36337" s="8">
        <v>0</v>
      </c>
      <c r="F36337" s="8">
        <v>360</v>
      </c>
    </row>
    <row r="36338" spans="1:6" ht="12.75">
      <c r="A36338" s="8">
        <v>43888.188275462962</v>
      </c>
      <c r="B36338" s="8" t="str">
        <f>HYPERLINK("https://twitter.com/gunadiagung","@gunadiagung")</f>
        <v>@gunadiagung</v>
      </c>
      <c r="C36338" s="8" t="s">
        <v>14094</v>
      </c>
      <c r="D36338" s="8">
        <v>0</v>
      </c>
      <c r="E36338" s="8">
        <v>0</v>
      </c>
      <c r="F36338" s="8">
        <v>452</v>
      </c>
    </row>
    <row r="36339" spans="1:6" ht="12.75">
      <c r="A36339" s="8">
        <v>43888.187199074076</v>
      </c>
      <c r="B36339" s="8" t="str">
        <f>HYPERLINK("https://twitter.com/KompasTV","@KompasTV")</f>
        <v>@KompasTV</v>
      </c>
      <c r="C36339" s="8" t="s">
        <v>14095</v>
      </c>
      <c r="D36339" s="8">
        <v>0</v>
      </c>
      <c r="E36339" s="8">
        <v>2</v>
      </c>
      <c r="F36339" s="8">
        <v>2949759</v>
      </c>
    </row>
    <row r="36340" spans="1:6" ht="12.75">
      <c r="A36340" s="8">
        <v>43888.186793981484</v>
      </c>
      <c r="B36340" s="8" t="str">
        <f>HYPERLINK("https://twitter.com/FArmijn","@FArmijn")</f>
        <v>@FArmijn</v>
      </c>
      <c r="C36340" s="8" t="s">
        <v>14096</v>
      </c>
      <c r="D36340" s="8">
        <v>0</v>
      </c>
      <c r="E36340" s="8">
        <v>0</v>
      </c>
      <c r="F36340" s="8">
        <v>415</v>
      </c>
    </row>
    <row r="36341" spans="1:6" ht="12.75">
      <c r="A36341" s="8">
        <v>43888.185810185183</v>
      </c>
      <c r="B36341" s="8" t="str">
        <f>HYPERLINK("https://twitter.com/EffHariadi","@EffHariadi")</f>
        <v>@EffHariadi</v>
      </c>
      <c r="C36341" s="8" t="s">
        <v>4785</v>
      </c>
      <c r="D36341" s="8">
        <v>352</v>
      </c>
      <c r="E36341" s="8">
        <v>0</v>
      </c>
      <c r="F36341" s="8">
        <v>120</v>
      </c>
    </row>
    <row r="36342" spans="1:6" ht="12.75">
      <c r="A36342" s="8">
        <v>43888.18545138889</v>
      </c>
      <c r="B36342" s="8" t="str">
        <f>HYPERLINK("https://twitter.com/kasman_vandi","@kasman_vandi")</f>
        <v>@kasman_vandi</v>
      </c>
      <c r="C36342" s="8" t="s">
        <v>14097</v>
      </c>
      <c r="D36342" s="8">
        <v>0</v>
      </c>
      <c r="E36342" s="8">
        <v>0</v>
      </c>
      <c r="F36342" s="8">
        <v>908</v>
      </c>
    </row>
    <row r="36343" spans="1:6" ht="12.75">
      <c r="A36343" s="8">
        <v>43888.184224537035</v>
      </c>
      <c r="B36343" s="8" t="str">
        <f>HYPERLINK("https://twitter.com/EKolhua","@EKolhua")</f>
        <v>@EKolhua</v>
      </c>
      <c r="C36343" s="8" t="s">
        <v>14098</v>
      </c>
      <c r="D36343" s="8">
        <v>0</v>
      </c>
      <c r="E36343" s="8">
        <v>0</v>
      </c>
      <c r="F36343" s="8">
        <v>485</v>
      </c>
    </row>
    <row r="36344" spans="1:6" ht="12.75">
      <c r="A36344" s="8">
        <v>43888.184178240743</v>
      </c>
      <c r="B36344" s="8" t="str">
        <f t="shared" ref="B36344:B36345" si="525">HYPERLINK("https://twitter.com/anjares90","@anjares90")</f>
        <v>@anjares90</v>
      </c>
      <c r="C36344" s="8" t="s">
        <v>4785</v>
      </c>
      <c r="D36344" s="8">
        <v>352</v>
      </c>
      <c r="E36344" s="8">
        <v>0</v>
      </c>
      <c r="F36344" s="8">
        <v>675</v>
      </c>
    </row>
    <row r="36345" spans="1:6" ht="12.75">
      <c r="A36345" s="8">
        <v>43888.184039351851</v>
      </c>
      <c r="B36345" s="8" t="str">
        <f t="shared" si="525"/>
        <v>@anjares90</v>
      </c>
      <c r="C36345" s="8" t="s">
        <v>26</v>
      </c>
      <c r="D36345" s="8">
        <v>110</v>
      </c>
      <c r="E36345" s="8">
        <v>0</v>
      </c>
      <c r="F36345" s="8">
        <v>675</v>
      </c>
    </row>
    <row r="36346" spans="1:6" ht="12.75">
      <c r="A36346" s="8">
        <v>43888.18368055555</v>
      </c>
      <c r="B36346" s="8" t="str">
        <f t="shared" ref="B36346:B36347" si="526">HYPERLINK("https://twitter.com/Zabethhhhh","@Zabethhhhh")</f>
        <v>@Zabethhhhh</v>
      </c>
      <c r="C36346" s="8" t="s">
        <v>26</v>
      </c>
      <c r="D36346" s="8">
        <v>110</v>
      </c>
      <c r="E36346" s="8">
        <v>0</v>
      </c>
      <c r="F36346" s="8">
        <v>28</v>
      </c>
    </row>
    <row r="36347" spans="1:6" ht="12.75">
      <c r="A36347" s="8">
        <v>43888.183194444442</v>
      </c>
      <c r="B36347" s="8" t="str">
        <f t="shared" si="526"/>
        <v>@Zabethhhhh</v>
      </c>
      <c r="C36347" s="8" t="s">
        <v>4785</v>
      </c>
      <c r="D36347" s="8">
        <v>352</v>
      </c>
      <c r="E36347" s="8">
        <v>0</v>
      </c>
      <c r="F36347" s="8">
        <v>28</v>
      </c>
    </row>
    <row r="36348" spans="1:6" ht="12.75">
      <c r="A36348" s="8">
        <v>43888.181527777779</v>
      </c>
      <c r="B36348" s="8" t="str">
        <f>HYPERLINK("https://twitter.com/hendraputrasiag","@hendraputrasiag")</f>
        <v>@hendraputrasiag</v>
      </c>
      <c r="C36348" s="8" t="s">
        <v>11773</v>
      </c>
      <c r="D36348" s="8">
        <v>252</v>
      </c>
      <c r="E36348" s="8">
        <v>0</v>
      </c>
      <c r="F36348" s="8">
        <v>184</v>
      </c>
    </row>
    <row r="36349" spans="1:6" ht="12.75">
      <c r="A36349" s="8">
        <v>43888.180509259255</v>
      </c>
      <c r="B36349" s="8" t="str">
        <f>HYPERLINK("https://twitter.com/AjiMulyaji2","@AjiMulyaji2")</f>
        <v>@AjiMulyaji2</v>
      </c>
      <c r="C36349" s="8" t="s">
        <v>14099</v>
      </c>
      <c r="D36349" s="8">
        <v>0</v>
      </c>
      <c r="E36349" s="8">
        <v>0</v>
      </c>
      <c r="F36349" s="8">
        <v>149</v>
      </c>
    </row>
    <row r="36350" spans="1:6" ht="12.75">
      <c r="A36350" s="8">
        <v>43888.179918981477</v>
      </c>
      <c r="B36350" s="8" t="str">
        <f>HYPERLINK("https://twitter.com/BagusSetyanto2","@BagusSetyanto2")</f>
        <v>@BagusSetyanto2</v>
      </c>
      <c r="C36350" s="8" t="s">
        <v>11773</v>
      </c>
      <c r="D36350" s="8">
        <v>252</v>
      </c>
      <c r="E36350" s="8">
        <v>0</v>
      </c>
      <c r="F36350" s="8">
        <v>11</v>
      </c>
    </row>
    <row r="36351" spans="1:6" ht="12.75">
      <c r="A36351" s="8">
        <v>43888.179432870369</v>
      </c>
      <c r="B36351" s="8" t="str">
        <f>HYPERLINK("https://twitter.com/petrelalminanga","@petrelalminanga")</f>
        <v>@petrelalminanga</v>
      </c>
      <c r="C36351" s="8" t="s">
        <v>13365</v>
      </c>
      <c r="D36351" s="8">
        <v>871</v>
      </c>
      <c r="E36351" s="8">
        <v>0</v>
      </c>
      <c r="F36351" s="8">
        <v>324</v>
      </c>
    </row>
    <row r="36352" spans="1:6" ht="12.75">
      <c r="A36352" s="8">
        <v>43888.178472222222</v>
      </c>
      <c r="B36352" s="8" t="str">
        <f>HYPERLINK("https://twitter.com/adc1408","@adc1408")</f>
        <v>@adc1408</v>
      </c>
      <c r="C36352" s="8" t="s">
        <v>13939</v>
      </c>
      <c r="D36352" s="8">
        <v>1</v>
      </c>
      <c r="E36352" s="8">
        <v>0</v>
      </c>
      <c r="F36352" s="8">
        <v>91</v>
      </c>
    </row>
    <row r="36353" spans="1:6" ht="12.75">
      <c r="A36353" s="8">
        <v>43888.176608796297</v>
      </c>
      <c r="B36353" s="8" t="str">
        <f>HYPERLINK("https://twitter.com/RsRs26767107","@RsRs26767107")</f>
        <v>@RsRs26767107</v>
      </c>
      <c r="C36353" s="8" t="s">
        <v>11773</v>
      </c>
      <c r="D36353" s="8">
        <v>252</v>
      </c>
      <c r="E36353" s="8">
        <v>0</v>
      </c>
      <c r="F36353" s="8">
        <v>32</v>
      </c>
    </row>
    <row r="36354" spans="1:6" ht="12.75">
      <c r="A36354" s="8">
        <v>43888.17491898148</v>
      </c>
      <c r="B36354" s="8" t="str">
        <f>HYPERLINK("https://twitter.com/nuridahayat1275","@nuridahayat1275")</f>
        <v>@nuridahayat1275</v>
      </c>
      <c r="C36354" s="8" t="s">
        <v>13365</v>
      </c>
      <c r="D36354" s="8">
        <v>871</v>
      </c>
      <c r="E36354" s="8">
        <v>0</v>
      </c>
      <c r="F36354" s="8">
        <v>151</v>
      </c>
    </row>
    <row r="36355" spans="1:6" ht="12.75">
      <c r="A36355" s="8">
        <v>43888.173344907409</v>
      </c>
      <c r="B36355" s="8" t="str">
        <f>HYPERLINK("https://twitter.com/GroovyInsider","@GroovyInsider")</f>
        <v>@GroovyInsider</v>
      </c>
      <c r="C36355" s="8" t="s">
        <v>14100</v>
      </c>
      <c r="D36355" s="8">
        <v>9</v>
      </c>
      <c r="E36355" s="8">
        <v>0</v>
      </c>
      <c r="F36355" s="8">
        <v>455</v>
      </c>
    </row>
    <row r="36356" spans="1:6" ht="12.75">
      <c r="A36356" s="8">
        <v>43888.172962962963</v>
      </c>
      <c r="B36356" s="8" t="str">
        <f>HYPERLINK("https://twitter.com/SayidRidho","@SayidRidho")</f>
        <v>@SayidRidho</v>
      </c>
      <c r="C36356" s="8" t="s">
        <v>11773</v>
      </c>
      <c r="D36356" s="8">
        <v>244</v>
      </c>
      <c r="E36356" s="8">
        <v>0</v>
      </c>
      <c r="F36356" s="8">
        <v>575</v>
      </c>
    </row>
    <row r="36357" spans="1:6" ht="12.75">
      <c r="A36357" s="8">
        <v>43888.172013888892</v>
      </c>
      <c r="B36357" s="8" t="str">
        <f>HYPERLINK("https://twitter.com/evereeze","@evereeze")</f>
        <v>@evereeze</v>
      </c>
      <c r="C36357" s="8" t="s">
        <v>593</v>
      </c>
      <c r="D36357" s="8">
        <v>294</v>
      </c>
      <c r="E36357" s="8">
        <v>0</v>
      </c>
      <c r="F36357" s="8">
        <v>294</v>
      </c>
    </row>
    <row r="36358" spans="1:6" ht="12.75">
      <c r="A36358" s="8">
        <v>43888.171180555553</v>
      </c>
      <c r="B36358" s="8" t="str">
        <f>HYPERLINK("https://twitter.com/Lianton21","@Lianton21")</f>
        <v>@Lianton21</v>
      </c>
      <c r="C36358" s="8" t="s">
        <v>11773</v>
      </c>
      <c r="D36358" s="8">
        <v>244</v>
      </c>
      <c r="E36358" s="8">
        <v>0</v>
      </c>
      <c r="F36358" s="8">
        <v>27</v>
      </c>
    </row>
    <row r="36359" spans="1:6" ht="12.75">
      <c r="A36359" s="8">
        <v>43888.17015046296</v>
      </c>
      <c r="B36359" s="8" t="str">
        <f>HYPERLINK("https://twitter.com/Damnnationx","@Damnnationx")</f>
        <v>@Damnnationx</v>
      </c>
      <c r="C36359" s="8" t="s">
        <v>11773</v>
      </c>
      <c r="D36359" s="8">
        <v>244</v>
      </c>
      <c r="E36359" s="8">
        <v>0</v>
      </c>
      <c r="F36359" s="8">
        <v>4</v>
      </c>
    </row>
    <row r="36360" spans="1:6" ht="12.75">
      <c r="A36360" s="8">
        <v>43888.168078703704</v>
      </c>
      <c r="B36360" s="8" t="str">
        <f>HYPERLINK("https://twitter.com/Erick_Lubis","@Erick_Lubis")</f>
        <v>@Erick_Lubis</v>
      </c>
      <c r="C36360" s="8" t="s">
        <v>12143</v>
      </c>
      <c r="D36360" s="8">
        <v>273</v>
      </c>
      <c r="E36360" s="8">
        <v>0</v>
      </c>
      <c r="F36360" s="8">
        <v>102</v>
      </c>
    </row>
    <row r="36361" spans="1:6" ht="12.75">
      <c r="A36361" s="8">
        <v>43888.166967592595</v>
      </c>
      <c r="B36361" s="8" t="str">
        <f>HYPERLINK("https://twitter.com/ampunogross","@ampunogross")</f>
        <v>@ampunogross</v>
      </c>
      <c r="C36361" s="8" t="s">
        <v>14101</v>
      </c>
      <c r="D36361" s="8">
        <v>0</v>
      </c>
      <c r="E36361" s="8">
        <v>0</v>
      </c>
      <c r="F36361" s="8">
        <v>1403</v>
      </c>
    </row>
    <row r="36362" spans="1:6" ht="12.75">
      <c r="A36362" s="8">
        <v>43888.166909722218</v>
      </c>
      <c r="B36362" s="8" t="str">
        <f>HYPERLINK("https://twitter.com/tvOneNews","@tvOneNews")</f>
        <v>@tvOneNews</v>
      </c>
      <c r="C36362" s="8" t="s">
        <v>14102</v>
      </c>
      <c r="D36362" s="8">
        <v>0</v>
      </c>
      <c r="E36362" s="8">
        <v>0</v>
      </c>
      <c r="F36362" s="8">
        <v>8722051</v>
      </c>
    </row>
    <row r="36363" spans="1:6" ht="12.75">
      <c r="A36363" s="8">
        <v>43888.166608796295</v>
      </c>
      <c r="B36363" s="8" t="str">
        <f>HYPERLINK("https://twitter.com/winarno4551","@winarno4551")</f>
        <v>@winarno4551</v>
      </c>
      <c r="C36363" s="8" t="s">
        <v>11773</v>
      </c>
      <c r="D36363" s="8">
        <v>244</v>
      </c>
      <c r="E36363" s="8">
        <v>0</v>
      </c>
      <c r="F36363" s="8">
        <v>1103</v>
      </c>
    </row>
    <row r="36364" spans="1:6" ht="12.75">
      <c r="A36364" s="8">
        <v>43888.16606481481</v>
      </c>
      <c r="B36364" s="8" t="str">
        <f>HYPERLINK("https://twitter.com/dianprasetyahhh","@dianprasetyahhh")</f>
        <v>@dianprasetyahhh</v>
      </c>
      <c r="C36364" s="8" t="s">
        <v>14103</v>
      </c>
      <c r="D36364" s="8">
        <v>0</v>
      </c>
      <c r="E36364" s="8">
        <v>0</v>
      </c>
      <c r="F36364" s="8">
        <v>70</v>
      </c>
    </row>
    <row r="36365" spans="1:6" ht="12.75">
      <c r="A36365" s="8">
        <v>43888.166041666671</v>
      </c>
      <c r="B36365" s="8" t="str">
        <f>HYPERLINK("https://twitter.com/achzam_prabu","@achzam_prabu")</f>
        <v>@achzam_prabu</v>
      </c>
      <c r="C36365" s="8" t="s">
        <v>12143</v>
      </c>
      <c r="D36365" s="8">
        <v>273</v>
      </c>
      <c r="E36365" s="8">
        <v>0</v>
      </c>
      <c r="F36365" s="8">
        <v>4883</v>
      </c>
    </row>
    <row r="36366" spans="1:6" ht="12.75">
      <c r="A36366" s="8">
        <v>43888.165381944447</v>
      </c>
      <c r="B36366" s="8" t="str">
        <f>HYPERLINK("https://twitter.com/refugee_as_hope","@refugee_as_hope")</f>
        <v>@refugee_as_hope</v>
      </c>
      <c r="C36366" s="8" t="s">
        <v>8484</v>
      </c>
      <c r="D36366" s="8">
        <v>1010</v>
      </c>
      <c r="E36366" s="8">
        <v>0</v>
      </c>
      <c r="F36366" s="8">
        <v>66</v>
      </c>
    </row>
    <row r="36367" spans="1:6" ht="12.75">
      <c r="A36367" s="8">
        <v>43888.163611111115</v>
      </c>
      <c r="B36367" s="8" t="str">
        <f>HYPERLINK("https://twitter.com/Rahulvats16","@Rahulvats16")</f>
        <v>@Rahulvats16</v>
      </c>
      <c r="C36367" s="8" t="s">
        <v>14104</v>
      </c>
      <c r="D36367" s="8">
        <v>2</v>
      </c>
      <c r="E36367" s="8">
        <v>0</v>
      </c>
      <c r="F36367" s="8">
        <v>202</v>
      </c>
    </row>
    <row r="36368" spans="1:6" ht="12.75">
      <c r="A36368" s="8">
        <v>43888.162893518514</v>
      </c>
      <c r="B36368" s="8" t="str">
        <f>HYPERLINK("https://twitter.com/Pasukan_5emut","@Pasukan_5emut")</f>
        <v>@Pasukan_5emut</v>
      </c>
      <c r="C36368" s="8" t="s">
        <v>14105</v>
      </c>
      <c r="D36368" s="8">
        <v>1</v>
      </c>
      <c r="E36368" s="8">
        <v>0</v>
      </c>
      <c r="F36368" s="8">
        <v>3383</v>
      </c>
    </row>
    <row r="36369" spans="1:6" ht="12.75">
      <c r="A36369" s="8">
        <v>43888.160821759258</v>
      </c>
      <c r="B36369" s="8" t="str">
        <f t="shared" ref="B36369:B36371" si="527">HYPERLINK("https://twitter.com/ecodaren","@ecodaren")</f>
        <v>@ecodaren</v>
      </c>
      <c r="C36369" s="8" t="s">
        <v>14106</v>
      </c>
      <c r="D36369" s="8">
        <v>161</v>
      </c>
      <c r="E36369" s="8">
        <v>0</v>
      </c>
      <c r="F36369" s="8">
        <v>3402</v>
      </c>
    </row>
    <row r="36370" spans="1:6" ht="12.75">
      <c r="A36370" s="8">
        <v>43888.160763888889</v>
      </c>
      <c r="B36370" s="8" t="str">
        <f t="shared" si="527"/>
        <v>@ecodaren</v>
      </c>
      <c r="C36370" s="8" t="s">
        <v>13834</v>
      </c>
      <c r="D36370" s="8">
        <v>175</v>
      </c>
      <c r="E36370" s="8">
        <v>0</v>
      </c>
      <c r="F36370" s="8">
        <v>3402</v>
      </c>
    </row>
    <row r="36371" spans="1:6" ht="12.75">
      <c r="A36371" s="8">
        <v>43888.160659722227</v>
      </c>
      <c r="B36371" s="8" t="str">
        <f t="shared" si="527"/>
        <v>@ecodaren</v>
      </c>
      <c r="C36371" s="8" t="s">
        <v>8484</v>
      </c>
      <c r="D36371" s="8">
        <v>1010</v>
      </c>
      <c r="E36371" s="8">
        <v>0</v>
      </c>
      <c r="F36371" s="8">
        <v>3402</v>
      </c>
    </row>
    <row r="36372" spans="1:6" ht="12.75">
      <c r="A36372" s="8">
        <v>43888.160555555558</v>
      </c>
      <c r="B36372" s="8" t="str">
        <f>HYPERLINK("https://twitter.com/ludowidadya19","@ludowidadya19")</f>
        <v>@ludowidadya19</v>
      </c>
      <c r="C36372" s="8" t="s">
        <v>11773</v>
      </c>
      <c r="D36372" s="8">
        <v>244</v>
      </c>
      <c r="E36372" s="8">
        <v>0</v>
      </c>
      <c r="F36372" s="8">
        <v>16</v>
      </c>
    </row>
    <row r="36373" spans="1:6" ht="12.75">
      <c r="A36373" s="8">
        <v>43888.16028935185</v>
      </c>
      <c r="B36373" s="8" t="str">
        <f>HYPERLINK("https://twitter.com/andy_jessy","@andy_jessy")</f>
        <v>@andy_jessy</v>
      </c>
      <c r="C36373" s="8" t="s">
        <v>4785</v>
      </c>
      <c r="D36373" s="8">
        <v>342</v>
      </c>
      <c r="E36373" s="8">
        <v>0</v>
      </c>
      <c r="F36373" s="8">
        <v>140</v>
      </c>
    </row>
    <row r="36374" spans="1:6" ht="12.75">
      <c r="A36374" s="8">
        <v>43888.159803240742</v>
      </c>
      <c r="B36374" s="8" t="str">
        <f>HYPERLINK("https://twitter.com/GATRA_News","@GATRA_News")</f>
        <v>@GATRA_News</v>
      </c>
      <c r="C36374" s="8" t="s">
        <v>14107</v>
      </c>
      <c r="D36374" s="8">
        <v>0</v>
      </c>
      <c r="E36374" s="8">
        <v>0</v>
      </c>
      <c r="F36374" s="8">
        <v>23144</v>
      </c>
    </row>
    <row r="36375" spans="1:6" ht="12.75">
      <c r="A36375" s="8">
        <v>43888.157650462963</v>
      </c>
      <c r="B36375" s="8" t="str">
        <f>HYPERLINK("https://twitter.com/H_besar33","@H_besar33")</f>
        <v>@H_besar33</v>
      </c>
      <c r="C36375" s="8" t="s">
        <v>14108</v>
      </c>
      <c r="D36375" s="8">
        <v>0</v>
      </c>
      <c r="E36375" s="8">
        <v>0</v>
      </c>
      <c r="F36375" s="8">
        <v>189</v>
      </c>
    </row>
    <row r="36376" spans="1:6" ht="12.75">
      <c r="A36376" s="8">
        <v>43888.157581018517</v>
      </c>
      <c r="B36376" s="8" t="str">
        <f>HYPERLINK("https://twitter.com/Asmaaa75388186","@Asmaaa75388186")</f>
        <v>@Asmaaa75388186</v>
      </c>
      <c r="C36376" s="8" t="s">
        <v>14109</v>
      </c>
      <c r="D36376" s="8">
        <v>0</v>
      </c>
      <c r="E36376" s="8">
        <v>0</v>
      </c>
      <c r="F36376" s="8">
        <v>0</v>
      </c>
    </row>
    <row r="36377" spans="1:6" ht="12.75">
      <c r="A36377" s="8">
        <v>43888.156087962961</v>
      </c>
      <c r="B36377" s="8" t="str">
        <f>HYPERLINK("https://twitter.com/MuhammadSchuma3","@MuhammadSchuma3")</f>
        <v>@MuhammadSchuma3</v>
      </c>
      <c r="C36377" s="8" t="s">
        <v>4785</v>
      </c>
      <c r="D36377" s="8">
        <v>342</v>
      </c>
      <c r="E36377" s="8">
        <v>0</v>
      </c>
      <c r="F36377" s="8">
        <v>5</v>
      </c>
    </row>
    <row r="36378" spans="1:6" ht="12.75">
      <c r="A36378" s="8">
        <v>43888.156006944446</v>
      </c>
      <c r="B36378" s="8" t="str">
        <f>HYPERLINK("https://twitter.com/steve_yu1","@steve_yu1")</f>
        <v>@steve_yu1</v>
      </c>
      <c r="C36378" s="8" t="s">
        <v>12143</v>
      </c>
      <c r="D36378" s="8">
        <v>273</v>
      </c>
      <c r="E36378" s="8">
        <v>0</v>
      </c>
      <c r="F36378" s="8">
        <v>995</v>
      </c>
    </row>
    <row r="36379" spans="1:6" ht="12.75">
      <c r="A36379" s="8">
        <v>43888.154178240744</v>
      </c>
      <c r="B36379" s="8" t="str">
        <f>HYPERLINK("https://twitter.com/Kabarsukadotcom","@Kabarsukadotcom")</f>
        <v>@Kabarsukadotcom</v>
      </c>
      <c r="C36379" s="8" t="s">
        <v>12</v>
      </c>
      <c r="D36379" s="8">
        <v>0</v>
      </c>
      <c r="E36379" s="8">
        <v>0</v>
      </c>
      <c r="F36379" s="8">
        <v>17</v>
      </c>
    </row>
    <row r="36380" spans="1:6" ht="12.75">
      <c r="A36380" s="8">
        <v>43888.153900462959</v>
      </c>
      <c r="B36380" s="8" t="str">
        <f>HYPERLINK("https://twitter.com/snowmarin0926","@snowmarin0926")</f>
        <v>@snowmarin0926</v>
      </c>
      <c r="C36380" s="8" t="s">
        <v>2940</v>
      </c>
      <c r="D36380" s="8">
        <v>2669</v>
      </c>
      <c r="E36380" s="8">
        <v>0</v>
      </c>
      <c r="F36380" s="8">
        <v>89</v>
      </c>
    </row>
    <row r="36381" spans="1:6" ht="12.75">
      <c r="A36381" s="8">
        <v>43888.153287037036</v>
      </c>
      <c r="B36381" s="8" t="str">
        <f>HYPERLINK("https://twitter.com/Ndrews1162011","@Ndrews1162011")</f>
        <v>@Ndrews1162011</v>
      </c>
      <c r="C36381" s="8" t="s">
        <v>14110</v>
      </c>
      <c r="D36381" s="8">
        <v>0</v>
      </c>
      <c r="E36381" s="8">
        <v>0</v>
      </c>
      <c r="F36381" s="8">
        <v>1154</v>
      </c>
    </row>
    <row r="36382" spans="1:6" ht="12.75">
      <c r="A36382" s="8">
        <v>43888.152245370366</v>
      </c>
      <c r="B36382" s="8" t="str">
        <f>HYPERLINK("https://twitter.com/Fuad1899","@Fuad1899")</f>
        <v>@Fuad1899</v>
      </c>
      <c r="C36382" s="8" t="s">
        <v>14111</v>
      </c>
      <c r="D36382" s="8">
        <v>1</v>
      </c>
      <c r="E36382" s="8">
        <v>1</v>
      </c>
      <c r="F36382" s="8">
        <v>237</v>
      </c>
    </row>
    <row r="36383" spans="1:6" ht="12.75">
      <c r="A36383" s="8">
        <v>43888.151817129634</v>
      </c>
      <c r="B36383" s="8" t="str">
        <f>HYPERLINK("https://twitter.com/URabelli","@URabelli")</f>
        <v>@URabelli</v>
      </c>
      <c r="C36383" s="8" t="s">
        <v>13365</v>
      </c>
      <c r="D36383" s="8">
        <v>867</v>
      </c>
      <c r="E36383" s="8">
        <v>0</v>
      </c>
      <c r="F36383" s="8">
        <v>851</v>
      </c>
    </row>
    <row r="36384" spans="1:6" ht="12.75">
      <c r="A36384" s="8">
        <v>43888.151550925926</v>
      </c>
      <c r="B36384" s="8" t="str">
        <f>HYPERLINK("https://twitter.com/Bamz_DarieNov","@Bamz_DarieNov")</f>
        <v>@Bamz_DarieNov</v>
      </c>
      <c r="C36384" s="8" t="s">
        <v>14112</v>
      </c>
      <c r="D36384" s="8">
        <v>0</v>
      </c>
      <c r="E36384" s="8">
        <v>0</v>
      </c>
      <c r="F36384" s="8">
        <v>47</v>
      </c>
    </row>
    <row r="36385" spans="1:6" ht="12.75">
      <c r="A36385" s="8">
        <v>43888.150590277779</v>
      </c>
      <c r="B36385" s="8" t="str">
        <f>HYPERLINK("https://twitter.com/fadlizon","@fadlizon")</f>
        <v>@fadlizon</v>
      </c>
      <c r="C36385" s="8" t="s">
        <v>14113</v>
      </c>
      <c r="D36385" s="8">
        <v>0</v>
      </c>
      <c r="E36385" s="8">
        <v>3</v>
      </c>
      <c r="F36385" s="8">
        <v>1388259</v>
      </c>
    </row>
    <row r="36386" spans="1:6" ht="12.75">
      <c r="A36386" s="8">
        <v>43888.149722222224</v>
      </c>
      <c r="B36386" s="8" t="str">
        <f>HYPERLINK("https://twitter.com/bwgade1","@bwgade1")</f>
        <v>@bwgade1</v>
      </c>
      <c r="C36386" s="8" t="s">
        <v>13198</v>
      </c>
      <c r="D36386" s="8">
        <v>38</v>
      </c>
      <c r="E36386" s="8">
        <v>0</v>
      </c>
      <c r="F36386" s="8">
        <v>11</v>
      </c>
    </row>
    <row r="36387" spans="1:6" ht="12.75">
      <c r="A36387" s="8">
        <v>43888.147997685184</v>
      </c>
      <c r="B36387" s="8" t="str">
        <f>HYPERLINK("https://twitter.com/ppcat1982","@ppcat1982")</f>
        <v>@ppcat1982</v>
      </c>
      <c r="C36387" s="8" t="s">
        <v>2940</v>
      </c>
      <c r="D36387" s="8">
        <v>2669</v>
      </c>
      <c r="E36387" s="8">
        <v>0</v>
      </c>
      <c r="F36387" s="8">
        <v>1727</v>
      </c>
    </row>
    <row r="36388" spans="1:6" ht="12.75">
      <c r="A36388" s="8">
        <v>43888.146990740745</v>
      </c>
      <c r="B36388" s="8" t="str">
        <f>HYPERLINK("https://twitter.com/Edipurw61113168","@Edipurw61113168")</f>
        <v>@Edipurw61113168</v>
      </c>
      <c r="C36388" s="8" t="s">
        <v>11964</v>
      </c>
      <c r="D36388" s="8">
        <v>525</v>
      </c>
      <c r="E36388" s="8">
        <v>0</v>
      </c>
      <c r="F36388" s="8">
        <v>1300</v>
      </c>
    </row>
    <row r="36389" spans="1:6" ht="12.75">
      <c r="A36389" s="8">
        <v>43888.145891203705</v>
      </c>
      <c r="B36389" s="8" t="str">
        <f>HYPERLINK("https://twitter.com/chairulachir","@chairulachir")</f>
        <v>@chairulachir</v>
      </c>
      <c r="C36389" s="8" t="s">
        <v>11773</v>
      </c>
      <c r="D36389" s="8">
        <v>244</v>
      </c>
      <c r="E36389" s="8">
        <v>0</v>
      </c>
      <c r="F36389" s="8">
        <v>2653</v>
      </c>
    </row>
    <row r="36390" spans="1:6" ht="12.75">
      <c r="A36390" s="8">
        <v>43888.14543981482</v>
      </c>
      <c r="B36390" s="8" t="str">
        <f>HYPERLINK("https://twitter.com/MAliSubhan2","@MAliSubhan2")</f>
        <v>@MAliSubhan2</v>
      </c>
      <c r="C36390" s="8" t="s">
        <v>13198</v>
      </c>
      <c r="D36390" s="8">
        <v>38</v>
      </c>
      <c r="E36390" s="8">
        <v>0</v>
      </c>
      <c r="F36390" s="8">
        <v>1204</v>
      </c>
    </row>
    <row r="36391" spans="1:6" ht="12.75">
      <c r="A36391" s="8">
        <v>43888.144814814819</v>
      </c>
      <c r="B36391" s="8" t="str">
        <f>HYPERLINK("https://twitter.com/_wni_","@_wni_")</f>
        <v>@_wni_</v>
      </c>
      <c r="C36391" s="8" t="s">
        <v>14114</v>
      </c>
      <c r="D36391" s="8">
        <v>5144</v>
      </c>
      <c r="E36391" s="8">
        <v>0</v>
      </c>
      <c r="F36391" s="8">
        <v>9</v>
      </c>
    </row>
    <row r="36392" spans="1:6" ht="12.75">
      <c r="A36392" s="8">
        <v>43888.144282407404</v>
      </c>
      <c r="B36392" s="8" t="str">
        <f>HYPERLINK("https://twitter.com/Tarjin2000","@Tarjin2000")</f>
        <v>@Tarjin2000</v>
      </c>
      <c r="C36392" s="8" t="s">
        <v>14115</v>
      </c>
      <c r="D36392" s="8">
        <v>0</v>
      </c>
      <c r="E36392" s="8">
        <v>0</v>
      </c>
      <c r="F36392" s="8">
        <v>460</v>
      </c>
    </row>
    <row r="36393" spans="1:6" ht="12.75">
      <c r="A36393" s="8">
        <v>43888.143009259264</v>
      </c>
      <c r="B36393" s="8" t="str">
        <f>HYPERLINK("https://twitter.com/ISIS_Balik_NO","@ISIS_Balik_NO")</f>
        <v>@ISIS_Balik_NO</v>
      </c>
      <c r="C36393" s="8" t="s">
        <v>14116</v>
      </c>
      <c r="D36393" s="8">
        <v>212</v>
      </c>
      <c r="E36393" s="8">
        <v>0</v>
      </c>
      <c r="F36393" s="8">
        <v>6092</v>
      </c>
    </row>
    <row r="36394" spans="1:6" ht="12.75">
      <c r="A36394" s="8">
        <v>43888.142025462963</v>
      </c>
      <c r="B36394" s="8" t="str">
        <f>HYPERLINK("https://twitter.com/amyu12","@amyu12")</f>
        <v>@amyu12</v>
      </c>
      <c r="C36394" s="8" t="s">
        <v>14117</v>
      </c>
      <c r="D36394" s="8">
        <v>0</v>
      </c>
      <c r="E36394" s="8">
        <v>0</v>
      </c>
      <c r="F36394" s="8">
        <v>689</v>
      </c>
    </row>
    <row r="36395" spans="1:6" ht="12.75">
      <c r="A36395" s="8">
        <v>43888.141516203701</v>
      </c>
      <c r="B36395" s="8" t="str">
        <f>HYPERLINK("https://twitter.com/Asmaaa75388186","@Asmaaa75388186")</f>
        <v>@Asmaaa75388186</v>
      </c>
      <c r="C36395" s="8" t="s">
        <v>14118</v>
      </c>
      <c r="D36395" s="8">
        <v>0</v>
      </c>
      <c r="E36395" s="8">
        <v>0</v>
      </c>
      <c r="F36395" s="8">
        <v>0</v>
      </c>
    </row>
    <row r="36396" spans="1:6" ht="12.75">
      <c r="A36396" s="8">
        <v>43888.141018518523</v>
      </c>
      <c r="B36396" s="8" t="str">
        <f>HYPERLINK("https://twitter.com/arthuromds","@arthuromds")</f>
        <v>@arthuromds</v>
      </c>
      <c r="C36396" s="8" t="s">
        <v>14119</v>
      </c>
      <c r="D36396" s="8">
        <v>0</v>
      </c>
      <c r="E36396" s="8">
        <v>1</v>
      </c>
      <c r="F36396" s="8">
        <v>122</v>
      </c>
    </row>
    <row r="36397" spans="1:6" ht="12.75">
      <c r="A36397" s="8">
        <v>43888.139675925922</v>
      </c>
      <c r="B36397" s="8" t="str">
        <f>HYPERLINK("https://twitter.com/genpatsuiran","@genpatsuiran")</f>
        <v>@genpatsuiran</v>
      </c>
      <c r="C36397" s="8" t="s">
        <v>8484</v>
      </c>
      <c r="D36397" s="8">
        <v>1010</v>
      </c>
      <c r="E36397" s="8">
        <v>0</v>
      </c>
      <c r="F36397" s="8">
        <v>1611</v>
      </c>
    </row>
    <row r="36398" spans="1:6" ht="12.75">
      <c r="A36398" s="8">
        <v>43888.138958333337</v>
      </c>
      <c r="B36398" s="8" t="str">
        <f>HYPERLINK("https://twitter.com/niluhdevia","@niluhdevia")</f>
        <v>@niluhdevia</v>
      </c>
      <c r="C36398" s="8" t="s">
        <v>13918</v>
      </c>
      <c r="D36398" s="8">
        <v>5</v>
      </c>
      <c r="E36398" s="8">
        <v>0</v>
      </c>
      <c r="F36398" s="8">
        <v>1042</v>
      </c>
    </row>
    <row r="36399" spans="1:6" ht="12.75">
      <c r="A36399" s="8">
        <v>43888.138356481482</v>
      </c>
      <c r="B36399" s="8" t="str">
        <f>HYPERLINK("https://twitter.com/ArSunantoaris","@ArSunantoaris")</f>
        <v>@ArSunantoaris</v>
      </c>
      <c r="C36399" s="8" t="s">
        <v>13198</v>
      </c>
      <c r="D36399" s="8">
        <v>38</v>
      </c>
      <c r="E36399" s="8">
        <v>0</v>
      </c>
      <c r="F36399" s="8">
        <v>3584</v>
      </c>
    </row>
    <row r="36400" spans="1:6" ht="12.75">
      <c r="A36400" s="8">
        <v>43888.138043981482</v>
      </c>
      <c r="B36400" s="8" t="str">
        <f>HYPERLINK("https://twitter.com/niluhdevia","@niluhdevia")</f>
        <v>@niluhdevia</v>
      </c>
      <c r="C36400" s="8" t="s">
        <v>11773</v>
      </c>
      <c r="D36400" s="8">
        <v>244</v>
      </c>
      <c r="E36400" s="8">
        <v>0</v>
      </c>
      <c r="F36400" s="8">
        <v>1042</v>
      </c>
    </row>
    <row r="36401" spans="1:6" ht="12.75">
      <c r="A36401" s="8">
        <v>43888.137546296297</v>
      </c>
      <c r="B36401" s="8" t="str">
        <f>HYPERLINK("https://twitter.com/tidung_woles","@tidung_woles")</f>
        <v>@tidung_woles</v>
      </c>
      <c r="C36401" s="8" t="s">
        <v>14120</v>
      </c>
      <c r="D36401" s="8">
        <v>0</v>
      </c>
      <c r="E36401" s="8">
        <v>0</v>
      </c>
      <c r="F36401" s="8">
        <v>513</v>
      </c>
    </row>
    <row r="36402" spans="1:6" ht="12.75">
      <c r="A36402" s="8">
        <v>43888.136481481481</v>
      </c>
      <c r="B36402" s="8" t="str">
        <f>HYPERLINK("https://twitter.com/BoehariMarumam2","@BoehariMarumam2")</f>
        <v>@BoehariMarumam2</v>
      </c>
      <c r="C36402" s="8" t="s">
        <v>14121</v>
      </c>
      <c r="D36402" s="8">
        <v>0</v>
      </c>
      <c r="E36402" s="8">
        <v>0</v>
      </c>
      <c r="F36402" s="8">
        <v>738</v>
      </c>
    </row>
    <row r="36403" spans="1:6" ht="12.75">
      <c r="A36403" s="8">
        <v>43888.135439814811</v>
      </c>
      <c r="B36403" s="8" t="str">
        <f>HYPERLINK("https://twitter.com/jkomejina","@jkomejina")</f>
        <v>@jkomejina</v>
      </c>
      <c r="C36403" s="8" t="s">
        <v>8484</v>
      </c>
      <c r="D36403" s="8">
        <v>1010</v>
      </c>
      <c r="E36403" s="8">
        <v>0</v>
      </c>
      <c r="F36403" s="8">
        <v>1424</v>
      </c>
    </row>
    <row r="36404" spans="1:6" ht="12.75">
      <c r="A36404" s="8">
        <v>43888.130949074075</v>
      </c>
      <c r="B36404" s="8" t="str">
        <f>HYPERLINK("https://twitter.com/RakyatSumut_","@RakyatSumut_")</f>
        <v>@RakyatSumut_</v>
      </c>
      <c r="C36404" s="8" t="s">
        <v>14122</v>
      </c>
      <c r="D36404" s="8">
        <v>0</v>
      </c>
      <c r="E36404" s="8">
        <v>0</v>
      </c>
      <c r="F36404" s="8">
        <v>53</v>
      </c>
    </row>
    <row r="36405" spans="1:6" ht="12.75">
      <c r="A36405" s="8">
        <v>43888.130520833336</v>
      </c>
      <c r="B36405" s="8" t="str">
        <f>HYPERLINK("https://twitter.com/necobone","@necobone")</f>
        <v>@necobone</v>
      </c>
      <c r="C36405" s="8" t="s">
        <v>8484</v>
      </c>
      <c r="D36405" s="8">
        <v>1004</v>
      </c>
      <c r="E36405" s="8">
        <v>0</v>
      </c>
      <c r="F36405" s="8">
        <v>850</v>
      </c>
    </row>
    <row r="36406" spans="1:6" ht="12.75">
      <c r="A36406" s="8">
        <v>43888.127581018518</v>
      </c>
      <c r="B36406" s="8" t="str">
        <f>HYPERLINK("https://twitter.com/MolviTom","@MolviTom")</f>
        <v>@MolviTom</v>
      </c>
      <c r="C36406" s="8" t="s">
        <v>14123</v>
      </c>
      <c r="D36406" s="8">
        <v>3</v>
      </c>
      <c r="E36406" s="8">
        <v>0</v>
      </c>
      <c r="F36406" s="8">
        <v>571</v>
      </c>
    </row>
    <row r="36407" spans="1:6" ht="12.75">
      <c r="A36407" s="8">
        <v>43888.126608796301</v>
      </c>
      <c r="B36407" s="8" t="str">
        <f>HYPERLINK("https://twitter.com/sarasbeninq","@sarasbeninq")</f>
        <v>@sarasbeninq</v>
      </c>
      <c r="C36407" s="8" t="s">
        <v>13338</v>
      </c>
      <c r="D36407" s="8">
        <v>24</v>
      </c>
      <c r="E36407" s="8">
        <v>0</v>
      </c>
      <c r="F36407" s="8">
        <v>670</v>
      </c>
    </row>
    <row r="36408" spans="1:6" ht="12.75">
      <c r="A36408" s="8">
        <v>43888.124560185184</v>
      </c>
      <c r="B36408" s="8" t="str">
        <f>HYPERLINK("https://twitter.com/rmolbantencom","@rmolbantencom")</f>
        <v>@rmolbantencom</v>
      </c>
      <c r="C36408" s="8" t="s">
        <v>14124</v>
      </c>
      <c r="D36408" s="8">
        <v>1</v>
      </c>
      <c r="E36408" s="8">
        <v>0</v>
      </c>
      <c r="F36408" s="8">
        <v>298</v>
      </c>
    </row>
    <row r="36409" spans="1:6" ht="12.75">
      <c r="A36409" s="8">
        <v>43888.124305555553</v>
      </c>
      <c r="B36409" s="8" t="str">
        <f>HYPERLINK("https://twitter.com/NoBodyRts","@NoBodyRts")</f>
        <v>@NoBodyRts</v>
      </c>
      <c r="C36409" s="8" t="s">
        <v>14123</v>
      </c>
      <c r="D36409" s="8">
        <v>3</v>
      </c>
      <c r="E36409" s="8">
        <v>0</v>
      </c>
      <c r="F36409" s="8">
        <v>450</v>
      </c>
    </row>
    <row r="36410" spans="1:6" ht="12.75">
      <c r="A36410" s="8">
        <v>43888.123796296291</v>
      </c>
      <c r="B36410" s="8" t="str">
        <f>HYPERLINK("https://twitter.com/Mariii913","@Mariii913")</f>
        <v>@Mariii913</v>
      </c>
      <c r="C36410" s="8" t="s">
        <v>14125</v>
      </c>
      <c r="D36410" s="8">
        <v>0</v>
      </c>
      <c r="E36410" s="8">
        <v>1</v>
      </c>
      <c r="F36410" s="8">
        <v>92</v>
      </c>
    </row>
    <row r="36411" spans="1:6" ht="12.75">
      <c r="A36411" s="8">
        <v>43888.12295138889</v>
      </c>
      <c r="B36411" s="8" t="str">
        <f>HYPERLINK("https://twitter.com/ratish67880596","@ratish67880596")</f>
        <v>@ratish67880596</v>
      </c>
      <c r="C36411" s="8" t="s">
        <v>14104</v>
      </c>
      <c r="D36411" s="8">
        <v>1</v>
      </c>
      <c r="E36411" s="8">
        <v>0</v>
      </c>
      <c r="F36411" s="8">
        <v>0</v>
      </c>
    </row>
    <row r="36412" spans="1:6" ht="12.75">
      <c r="A36412" s="8">
        <v>43888.122662037036</v>
      </c>
      <c r="B36412" s="8" t="str">
        <f>HYPERLINK("https://twitter.com/hallalababyboss","@hallalababyboss")</f>
        <v>@hallalababyboss</v>
      </c>
      <c r="C36412" s="8" t="s">
        <v>14123</v>
      </c>
      <c r="D36412" s="8">
        <v>3</v>
      </c>
      <c r="E36412" s="8">
        <v>0</v>
      </c>
      <c r="F36412" s="8">
        <v>282</v>
      </c>
    </row>
    <row r="36413" spans="1:6" ht="12.75">
      <c r="A36413" s="8">
        <v>43888.122476851851</v>
      </c>
      <c r="B36413" s="8" t="str">
        <f>HYPERLINK("https://twitter.com/imelbox","@imelbox")</f>
        <v>@imelbox</v>
      </c>
      <c r="C36413" s="8" t="s">
        <v>14126</v>
      </c>
      <c r="D36413" s="8">
        <v>0</v>
      </c>
      <c r="E36413" s="8">
        <v>0</v>
      </c>
      <c r="F36413" s="8">
        <v>161</v>
      </c>
    </row>
    <row r="36414" spans="1:6" ht="12.75">
      <c r="A36414" s="8">
        <v>43888.121898148151</v>
      </c>
      <c r="B36414" s="8" t="str">
        <f>HYPERLINK("https://twitter.com/dwipcurl","@dwipcurl")</f>
        <v>@dwipcurl</v>
      </c>
      <c r="C36414" s="8" t="s">
        <v>11773</v>
      </c>
      <c r="D36414" s="8">
        <v>237</v>
      </c>
      <c r="E36414" s="8">
        <v>0</v>
      </c>
      <c r="F36414" s="8">
        <v>397</v>
      </c>
    </row>
    <row r="36415" spans="1:6" ht="12.75">
      <c r="A36415" s="8">
        <v>43888.121759259258</v>
      </c>
      <c r="B36415" s="8" t="str">
        <f>HYPERLINK("https://twitter.com/GootkhaWala","@GootkhaWala")</f>
        <v>@GootkhaWala</v>
      </c>
      <c r="C36415" s="8" t="s">
        <v>14127</v>
      </c>
      <c r="D36415" s="8">
        <v>3</v>
      </c>
      <c r="E36415" s="8">
        <v>4</v>
      </c>
      <c r="F36415" s="8">
        <v>221</v>
      </c>
    </row>
    <row r="36416" spans="1:6" ht="12.75">
      <c r="A36416" s="8">
        <v>43888.120613425926</v>
      </c>
      <c r="B36416" s="8" t="str">
        <f>HYPERLINK("https://twitter.com/MUHAMMA07822786","@MUHAMMA07822786")</f>
        <v>@MUHAMMA07822786</v>
      </c>
      <c r="C36416" s="8" t="s">
        <v>4785</v>
      </c>
      <c r="D36416" s="8">
        <v>340</v>
      </c>
      <c r="E36416" s="8">
        <v>0</v>
      </c>
      <c r="F36416" s="8">
        <v>73</v>
      </c>
    </row>
    <row r="36417" spans="1:6" ht="12.75">
      <c r="A36417" s="8">
        <v>43888.119872685187</v>
      </c>
      <c r="B36417" s="8" t="str">
        <f>HYPERLINK("https://twitter.com/jjsengui","@jjsengui")</f>
        <v>@jjsengui</v>
      </c>
      <c r="C36417" s="8" t="s">
        <v>13370</v>
      </c>
      <c r="D36417" s="8">
        <v>4</v>
      </c>
      <c r="E36417" s="8">
        <v>0</v>
      </c>
      <c r="F36417" s="8">
        <v>840</v>
      </c>
    </row>
    <row r="36418" spans="1:6" ht="12.75">
      <c r="A36418" s="8">
        <v>43888.118252314816</v>
      </c>
      <c r="B36418" s="8" t="str">
        <f>HYPERLINK("https://twitter.com/septianyudha73","@septianyudha73")</f>
        <v>@septianyudha73</v>
      </c>
      <c r="C36418" s="8" t="s">
        <v>13338</v>
      </c>
      <c r="D36418" s="8">
        <v>24</v>
      </c>
      <c r="E36418" s="8">
        <v>0</v>
      </c>
      <c r="F36418" s="8">
        <v>750</v>
      </c>
    </row>
    <row r="36419" spans="1:6" ht="12.75">
      <c r="A36419" s="8">
        <v>43888.117129629631</v>
      </c>
      <c r="B36419" s="8" t="str">
        <f>HYPERLINK("https://twitter.com/Fals051","@Fals051")</f>
        <v>@Fals051</v>
      </c>
      <c r="C36419" s="8" t="s">
        <v>14128</v>
      </c>
      <c r="D36419" s="8">
        <v>0</v>
      </c>
      <c r="E36419" s="8">
        <v>0</v>
      </c>
      <c r="F36419" s="8">
        <v>22</v>
      </c>
    </row>
    <row r="36420" spans="1:6" ht="12.75">
      <c r="A36420" s="8">
        <v>43888.116932870369</v>
      </c>
      <c r="B36420" s="8" t="str">
        <f>HYPERLINK("https://twitter.com/NoriNori3224","@NoriNori3224")</f>
        <v>@NoriNori3224</v>
      </c>
      <c r="C36420" s="8" t="s">
        <v>8484</v>
      </c>
      <c r="D36420" s="8">
        <v>1004</v>
      </c>
      <c r="E36420" s="8">
        <v>0</v>
      </c>
      <c r="F36420" s="8">
        <v>244</v>
      </c>
    </row>
    <row r="36421" spans="1:6" ht="12.75">
      <c r="A36421" s="8">
        <v>43888.116701388892</v>
      </c>
      <c r="B36421" s="8" t="str">
        <f>HYPERLINK("https://twitter.com/beten5","@beten5")</f>
        <v>@beten5</v>
      </c>
      <c r="C36421" s="8" t="s">
        <v>14000</v>
      </c>
      <c r="D36421" s="8">
        <v>41</v>
      </c>
      <c r="E36421" s="8">
        <v>0</v>
      </c>
      <c r="F36421" s="8">
        <v>6</v>
      </c>
    </row>
    <row r="36422" spans="1:6" ht="12.75">
      <c r="A36422" s="8">
        <v>43888.116122685184</v>
      </c>
      <c r="B36422" s="8" t="str">
        <f>HYPERLINK("https://twitter.com/AmstrongBiring","@AmstrongBiring")</f>
        <v>@AmstrongBiring</v>
      </c>
      <c r="C36422" s="8" t="s">
        <v>13198</v>
      </c>
      <c r="D36422" s="8">
        <v>34</v>
      </c>
      <c r="E36422" s="8">
        <v>0</v>
      </c>
      <c r="F36422" s="8">
        <v>1979</v>
      </c>
    </row>
    <row r="36423" spans="1:6" ht="12.75">
      <c r="A36423" s="8">
        <v>43888.115844907406</v>
      </c>
      <c r="B36423" s="8" t="str">
        <f>HYPERLINK("https://twitter.com/beten5","@beten5")</f>
        <v>@beten5</v>
      </c>
      <c r="C36423" s="8" t="s">
        <v>14129</v>
      </c>
      <c r="D36423" s="8">
        <v>13</v>
      </c>
      <c r="E36423" s="8">
        <v>0</v>
      </c>
      <c r="F36423" s="8">
        <v>6</v>
      </c>
    </row>
    <row r="36424" spans="1:6" ht="12.75">
      <c r="A36424" s="8">
        <v>43888.113425925927</v>
      </c>
      <c r="B36424" s="8" t="str">
        <f>HYPERLINK("https://twitter.com/AmstrongBiring","@AmstrongBiring")</f>
        <v>@AmstrongBiring</v>
      </c>
      <c r="C36424" s="8" t="s">
        <v>14130</v>
      </c>
      <c r="D36424" s="8">
        <v>0</v>
      </c>
      <c r="E36424" s="8">
        <v>0</v>
      </c>
      <c r="F36424" s="8">
        <v>1979</v>
      </c>
    </row>
    <row r="36425" spans="1:6" ht="12.75">
      <c r="A36425" s="8">
        <v>43888.11204861111</v>
      </c>
      <c r="B36425" s="8" t="str">
        <f>HYPERLINK("https://twitter.com/rotatimu","@rotatimu")</f>
        <v>@rotatimu</v>
      </c>
      <c r="C36425" s="8" t="s">
        <v>13329</v>
      </c>
      <c r="D36425" s="8">
        <v>12</v>
      </c>
      <c r="E36425" s="8">
        <v>0</v>
      </c>
      <c r="F36425" s="8">
        <v>1710</v>
      </c>
    </row>
    <row r="36426" spans="1:6" ht="12.75">
      <c r="A36426" s="8">
        <v>43888.11146990741</v>
      </c>
      <c r="B36426" s="8" t="str">
        <f>HYPERLINK("https://twitter.com/AmstrongBiring","@AmstrongBiring")</f>
        <v>@AmstrongBiring</v>
      </c>
      <c r="C36426" s="8" t="s">
        <v>14131</v>
      </c>
      <c r="D36426" s="8">
        <v>221</v>
      </c>
      <c r="E36426" s="8">
        <v>0</v>
      </c>
      <c r="F36426" s="8">
        <v>1979</v>
      </c>
    </row>
    <row r="36427" spans="1:6" ht="12.75">
      <c r="A36427" s="8">
        <v>43888.110856481479</v>
      </c>
      <c r="B36427" s="8" t="str">
        <f>HYPERLINK("https://twitter.com/Billy_aprianto","@Billy_aprianto")</f>
        <v>@Billy_aprianto</v>
      </c>
      <c r="C36427" s="8" t="s">
        <v>12143</v>
      </c>
      <c r="D36427" s="8">
        <v>266</v>
      </c>
      <c r="E36427" s="8">
        <v>0</v>
      </c>
      <c r="F36427" s="8">
        <v>2848</v>
      </c>
    </row>
    <row r="36428" spans="1:6" ht="12.75">
      <c r="A36428" s="8">
        <v>43888.110231481478</v>
      </c>
      <c r="B36428" s="8" t="str">
        <f>HYPERLINK("https://twitter.com/isakatu","@isakatu")</f>
        <v>@isakatu</v>
      </c>
      <c r="C36428" s="8" t="s">
        <v>8484</v>
      </c>
      <c r="D36428" s="8">
        <v>1004</v>
      </c>
      <c r="E36428" s="8">
        <v>0</v>
      </c>
      <c r="F36428" s="8">
        <v>317</v>
      </c>
    </row>
    <row r="36429" spans="1:6" ht="12.75">
      <c r="A36429" s="8">
        <v>43888.108888888892</v>
      </c>
      <c r="B36429" s="8" t="str">
        <f>HYPERLINK("https://twitter.com/bagastradinata","@bagastradinata")</f>
        <v>@bagastradinata</v>
      </c>
      <c r="C36429" s="8" t="s">
        <v>14132</v>
      </c>
      <c r="D36429" s="8">
        <v>0</v>
      </c>
      <c r="E36429" s="8">
        <v>0</v>
      </c>
      <c r="F36429" s="8">
        <v>63</v>
      </c>
    </row>
    <row r="36430" spans="1:6" ht="12.75">
      <c r="A36430" s="8">
        <v>43888.10832175926</v>
      </c>
      <c r="B36430" s="8" t="str">
        <f>HYPERLINK("https://twitter.com/niluhdevia","@niluhdevia")</f>
        <v>@niluhdevia</v>
      </c>
      <c r="C36430" s="8" t="s">
        <v>4785</v>
      </c>
      <c r="D36430" s="8">
        <v>340</v>
      </c>
      <c r="E36430" s="8">
        <v>0</v>
      </c>
      <c r="F36430" s="8">
        <v>1041</v>
      </c>
    </row>
    <row r="36431" spans="1:6" ht="12.75">
      <c r="A36431" s="8">
        <v>43888.107986111107</v>
      </c>
      <c r="B36431" s="8" t="str">
        <f>HYPERLINK("https://twitter.com/Globalnews222","@Globalnews222")</f>
        <v>@Globalnews222</v>
      </c>
      <c r="C36431" s="8" t="s">
        <v>14133</v>
      </c>
      <c r="D36431" s="8">
        <v>2</v>
      </c>
      <c r="E36431" s="8">
        <v>0</v>
      </c>
      <c r="F36431" s="8">
        <v>30</v>
      </c>
    </row>
    <row r="36432" spans="1:6" ht="12.75">
      <c r="A36432" s="8">
        <v>43888.107060185182</v>
      </c>
      <c r="B36432" s="8" t="str">
        <f>HYPERLINK("https://twitter.com/sanmanobusou77","@sanmanobusou77")</f>
        <v>@sanmanobusou77</v>
      </c>
      <c r="C36432" s="8" t="s">
        <v>8484</v>
      </c>
      <c r="D36432" s="8">
        <v>1004</v>
      </c>
      <c r="E36432" s="8">
        <v>0</v>
      </c>
      <c r="F36432" s="8">
        <v>302</v>
      </c>
    </row>
    <row r="36433" spans="1:6" ht="12.75">
      <c r="A36433" s="8">
        <v>43888.106909722221</v>
      </c>
      <c r="B36433" s="8" t="str">
        <f>HYPERLINK("https://twitter.com/k4ng_C1reNG","@k4ng_C1reNG")</f>
        <v>@k4ng_C1reNG</v>
      </c>
      <c r="C36433" s="8" t="s">
        <v>11773</v>
      </c>
      <c r="D36433" s="8">
        <v>237</v>
      </c>
      <c r="E36433" s="8">
        <v>0</v>
      </c>
      <c r="F36433" s="8">
        <v>3726</v>
      </c>
    </row>
    <row r="36434" spans="1:6" ht="12.75">
      <c r="A36434" s="8">
        <v>43888.106342592597</v>
      </c>
      <c r="B36434" s="8" t="str">
        <f>HYPERLINK("https://twitter.com/desyr777","@desyr777")</f>
        <v>@desyr777</v>
      </c>
      <c r="C36434" s="8" t="s">
        <v>14134</v>
      </c>
      <c r="D36434" s="8">
        <v>0</v>
      </c>
      <c r="E36434" s="8">
        <v>0</v>
      </c>
      <c r="F36434" s="8">
        <v>35</v>
      </c>
    </row>
    <row r="36435" spans="1:6" ht="12.75">
      <c r="A36435" s="8">
        <v>43888.106006944443</v>
      </c>
      <c r="B36435" s="8" t="str">
        <f>HYPERLINK("https://twitter.com/anjingkau93","@anjingkau93")</f>
        <v>@anjingkau93</v>
      </c>
      <c r="C36435" s="8" t="s">
        <v>593</v>
      </c>
      <c r="D36435" s="8">
        <v>293</v>
      </c>
      <c r="E36435" s="8">
        <v>0</v>
      </c>
      <c r="F36435" s="8">
        <v>1</v>
      </c>
    </row>
    <row r="36436" spans="1:6" ht="12.75">
      <c r="A36436" s="8">
        <v>43888.105810185181</v>
      </c>
      <c r="B36436" s="8" t="str">
        <f>HYPERLINK("https://twitter.com/danimaksudi1","@danimaksudi1")</f>
        <v>@danimaksudi1</v>
      </c>
      <c r="C36436" s="8" t="s">
        <v>14135</v>
      </c>
      <c r="D36436" s="8">
        <v>0</v>
      </c>
      <c r="E36436" s="8">
        <v>0</v>
      </c>
      <c r="F36436" s="8">
        <v>338</v>
      </c>
    </row>
    <row r="36437" spans="1:6" ht="12.75">
      <c r="A36437" s="8">
        <v>43888.105775462958</v>
      </c>
      <c r="B36437" s="8" t="str">
        <f>HYPERLINK("https://twitter.com/takoyaki004","@takoyaki004")</f>
        <v>@takoyaki004</v>
      </c>
      <c r="C36437" s="8" t="s">
        <v>8484</v>
      </c>
      <c r="D36437" s="8">
        <v>1004</v>
      </c>
      <c r="E36437" s="8">
        <v>0</v>
      </c>
      <c r="F36437" s="8">
        <v>254</v>
      </c>
    </row>
    <row r="36438" spans="1:6" ht="12.75">
      <c r="A36438" s="8">
        <v>43888.104849537034</v>
      </c>
      <c r="B36438" s="8" t="str">
        <f>HYPERLINK("https://twitter.com/iwakamiyasumi","@iwakamiyasumi")</f>
        <v>@iwakamiyasumi</v>
      </c>
      <c r="C36438" s="8" t="s">
        <v>8484</v>
      </c>
      <c r="D36438" s="8">
        <v>1004</v>
      </c>
      <c r="E36438" s="8">
        <v>0</v>
      </c>
      <c r="F36438" s="8">
        <v>187237</v>
      </c>
    </row>
    <row r="36439" spans="1:6" ht="12.75">
      <c r="A36439" s="8">
        <v>43888.103819444441</v>
      </c>
      <c r="B36439" s="8" t="str">
        <f>HYPERLINK("https://twitter.com/sunflow_ah","@sunflow_ah")</f>
        <v>@sunflow_ah</v>
      </c>
      <c r="C36439" s="8" t="s">
        <v>14136</v>
      </c>
      <c r="D36439" s="8">
        <v>0</v>
      </c>
      <c r="E36439" s="8">
        <v>0</v>
      </c>
      <c r="F36439" s="8">
        <v>548</v>
      </c>
    </row>
    <row r="36440" spans="1:6" ht="12.75">
      <c r="A36440" s="8">
        <v>43888.103807870371</v>
      </c>
      <c r="B36440" s="8" t="str">
        <f>HYPERLINK("https://twitter.com/MAfianto3","@MAfianto3")</f>
        <v>@MAfianto3</v>
      </c>
      <c r="C36440" s="8" t="s">
        <v>4785</v>
      </c>
      <c r="D36440" s="8">
        <v>340</v>
      </c>
      <c r="E36440" s="8">
        <v>0</v>
      </c>
      <c r="F36440" s="8">
        <v>105</v>
      </c>
    </row>
    <row r="36441" spans="1:6" ht="12.75">
      <c r="A36441" s="8">
        <v>43888.103449074071</v>
      </c>
      <c r="B36441" s="8" t="str">
        <f>HYPERLINK("https://twitter.com/Eddianto1","@Eddianto1")</f>
        <v>@Eddianto1</v>
      </c>
      <c r="C36441" s="8" t="s">
        <v>13370</v>
      </c>
      <c r="D36441" s="8">
        <v>4</v>
      </c>
      <c r="E36441" s="8">
        <v>0</v>
      </c>
      <c r="F36441" s="8">
        <v>359</v>
      </c>
    </row>
    <row r="36442" spans="1:6" ht="12.75">
      <c r="A36442" s="8">
        <v>43888.10019675926</v>
      </c>
      <c r="B36442" s="8" t="str">
        <f>HYPERLINK("https://twitter.com/McSofyan","@McSofyan")</f>
        <v>@McSofyan</v>
      </c>
      <c r="C36442" s="8" t="s">
        <v>13365</v>
      </c>
      <c r="D36442" s="8">
        <v>866</v>
      </c>
      <c r="E36442" s="8">
        <v>0</v>
      </c>
      <c r="F36442" s="8">
        <v>431</v>
      </c>
    </row>
    <row r="36443" spans="1:6" ht="12.75">
      <c r="A36443" s="8">
        <v>43888.099131944444</v>
      </c>
      <c r="B36443" s="8" t="str">
        <f>HYPERLINK("https://twitter.com/capekgw1","@capekgw1")</f>
        <v>@capekgw1</v>
      </c>
      <c r="C36443" s="8" t="s">
        <v>14137</v>
      </c>
      <c r="D36443" s="8">
        <v>3</v>
      </c>
      <c r="E36443" s="8">
        <v>0</v>
      </c>
      <c r="F36443" s="8">
        <v>202</v>
      </c>
    </row>
    <row r="36444" spans="1:6" ht="12.75">
      <c r="A36444" s="8">
        <v>43888.099004629628</v>
      </c>
      <c r="B36444" s="8" t="str">
        <f>HYPERLINK("https://twitter.com/DaBradPalace","@DaBradPalace")</f>
        <v>@DaBradPalace</v>
      </c>
      <c r="C36444" s="8" t="s">
        <v>14138</v>
      </c>
      <c r="D36444" s="8">
        <v>0</v>
      </c>
      <c r="E36444" s="8">
        <v>0</v>
      </c>
      <c r="F36444" s="8">
        <v>643</v>
      </c>
    </row>
    <row r="36445" spans="1:6" ht="12.75">
      <c r="A36445" s="8">
        <v>43888.09878472222</v>
      </c>
      <c r="B36445" s="8" t="str">
        <f>HYPERLINK("https://twitter.com/Jchengky1","@Jchengky1")</f>
        <v>@Jchengky1</v>
      </c>
      <c r="C36445" s="8" t="s">
        <v>11773</v>
      </c>
      <c r="D36445" s="8">
        <v>237</v>
      </c>
      <c r="E36445" s="8">
        <v>0</v>
      </c>
      <c r="F36445" s="8">
        <v>204</v>
      </c>
    </row>
    <row r="36446" spans="1:6" ht="12.75">
      <c r="A36446" s="8">
        <v>43888.098553240736</v>
      </c>
      <c r="B36446" s="8" t="str">
        <f>HYPERLINK("https://twitter.com/kidoys","@kidoys")</f>
        <v>@kidoys</v>
      </c>
      <c r="C36446" s="8" t="s">
        <v>14139</v>
      </c>
      <c r="D36446" s="8">
        <v>0</v>
      </c>
      <c r="E36446" s="8">
        <v>0</v>
      </c>
      <c r="F36446" s="8">
        <v>188</v>
      </c>
    </row>
    <row r="36447" spans="1:6" ht="12.75">
      <c r="A36447" s="8">
        <v>43888.098553240736</v>
      </c>
      <c r="B36447" s="8" t="str">
        <f>HYPERLINK("https://twitter.com/bhagwa_e","@bhagwa_e")</f>
        <v>@bhagwa_e</v>
      </c>
      <c r="C36447" s="8" t="s">
        <v>14140</v>
      </c>
      <c r="D36447" s="8">
        <v>1</v>
      </c>
      <c r="E36447" s="8">
        <v>1</v>
      </c>
      <c r="F36447" s="8">
        <v>4</v>
      </c>
    </row>
    <row r="36448" spans="1:6" ht="12.75">
      <c r="A36448" s="8">
        <v>43888.097928240742</v>
      </c>
      <c r="B36448" s="8" t="str">
        <f>HYPERLINK("https://twitter.com/capekgw1","@capekgw1")</f>
        <v>@capekgw1</v>
      </c>
      <c r="C36448" s="8" t="s">
        <v>11773</v>
      </c>
      <c r="D36448" s="8">
        <v>237</v>
      </c>
      <c r="E36448" s="8">
        <v>0</v>
      </c>
      <c r="F36448" s="8">
        <v>202</v>
      </c>
    </row>
    <row r="36449" spans="1:6" ht="12.75">
      <c r="A36449" s="8">
        <v>43888.097777777773</v>
      </c>
      <c r="B36449" s="8" t="str">
        <f>HYPERLINK("https://twitter.com/ISIS_Balik_NO","@ISIS_Balik_NO")</f>
        <v>@ISIS_Balik_NO</v>
      </c>
      <c r="C36449" s="8" t="s">
        <v>14141</v>
      </c>
      <c r="D36449" s="8">
        <v>531</v>
      </c>
      <c r="E36449" s="8">
        <v>0</v>
      </c>
      <c r="F36449" s="8">
        <v>6093</v>
      </c>
    </row>
    <row r="36450" spans="1:6" ht="12.75">
      <c r="A36450" s="8">
        <v>43888.097291666665</v>
      </c>
      <c r="B36450" s="8" t="str">
        <f>HYPERLINK("https://twitter.com/RizwanHhashmi","@RizwanHhashmi")</f>
        <v>@RizwanHhashmi</v>
      </c>
      <c r="C36450" s="8" t="s">
        <v>14142</v>
      </c>
      <c r="D36450" s="8">
        <v>0</v>
      </c>
      <c r="E36450" s="8">
        <v>0</v>
      </c>
      <c r="F36450" s="8">
        <v>236</v>
      </c>
    </row>
    <row r="36451" spans="1:6" ht="12.75">
      <c r="A36451" s="8">
        <v>43888.095462962963</v>
      </c>
      <c r="B36451" s="8" t="str">
        <f>HYPERLINK("https://twitter.com/APutma","@APutma")</f>
        <v>@APutma</v>
      </c>
      <c r="C36451" s="8" t="s">
        <v>12406</v>
      </c>
      <c r="D36451" s="8">
        <v>79</v>
      </c>
      <c r="E36451" s="8">
        <v>0</v>
      </c>
      <c r="F36451" s="8">
        <v>303</v>
      </c>
    </row>
    <row r="36452" spans="1:6" ht="12.75">
      <c r="A36452" s="8">
        <v>43888.094340277778</v>
      </c>
      <c r="B36452" s="8" t="str">
        <f>HYPERLINK("https://twitter.com/defricotto82","@defricotto82")</f>
        <v>@defricotto82</v>
      </c>
      <c r="C36452" s="8" t="s">
        <v>13365</v>
      </c>
      <c r="D36452" s="8">
        <v>866</v>
      </c>
      <c r="E36452" s="8">
        <v>0</v>
      </c>
      <c r="F36452" s="8">
        <v>24</v>
      </c>
    </row>
    <row r="36453" spans="1:6" ht="12.75">
      <c r="A36453" s="8">
        <v>43888.091967592598</v>
      </c>
      <c r="B36453" s="8" t="str">
        <f>HYPERLINK("https://twitter.com/idpenamini","@idpenamini")</f>
        <v>@idpenamini</v>
      </c>
      <c r="C36453" s="8" t="s">
        <v>14143</v>
      </c>
      <c r="D36453" s="8">
        <v>0</v>
      </c>
      <c r="E36453" s="8">
        <v>0</v>
      </c>
      <c r="F36453" s="8">
        <v>173</v>
      </c>
    </row>
    <row r="36454" spans="1:6" ht="12.75">
      <c r="A36454" s="8">
        <v>43888.091053240743</v>
      </c>
      <c r="B36454" s="8" t="str">
        <f>HYPERLINK("https://twitter.com/translatorbali","@translatorbali")</f>
        <v>@translatorbali</v>
      </c>
      <c r="C36454" s="8" t="s">
        <v>14133</v>
      </c>
      <c r="D36454" s="8">
        <v>2</v>
      </c>
      <c r="E36454" s="8">
        <v>0</v>
      </c>
      <c r="F36454" s="8">
        <v>3863</v>
      </c>
    </row>
    <row r="36455" spans="1:6" ht="12.75">
      <c r="A36455" s="8">
        <v>43888.090960648144</v>
      </c>
      <c r="B36455" s="8" t="str">
        <f>HYPERLINK("https://twitter.com/Dd_Bahtiar","@Dd_Bahtiar")</f>
        <v>@Dd_Bahtiar</v>
      </c>
      <c r="C36455" s="8" t="s">
        <v>12406</v>
      </c>
      <c r="D36455" s="8">
        <v>79</v>
      </c>
      <c r="E36455" s="8">
        <v>0</v>
      </c>
      <c r="F36455" s="8">
        <v>284</v>
      </c>
    </row>
    <row r="36456" spans="1:6" ht="12.75">
      <c r="A36456" s="8">
        <v>43888.090925925921</v>
      </c>
      <c r="B36456" s="8" t="str">
        <f>HYPERLINK("https://twitter.com/translatorbali","@translatorbali")</f>
        <v>@translatorbali</v>
      </c>
      <c r="C36456" s="8" t="s">
        <v>14144</v>
      </c>
      <c r="D36456" s="8">
        <v>2</v>
      </c>
      <c r="E36456" s="8">
        <v>2</v>
      </c>
      <c r="F36456" s="8">
        <v>3863</v>
      </c>
    </row>
    <row r="36457" spans="1:6" ht="12.75">
      <c r="A36457" s="8">
        <v>43888.090277777781</v>
      </c>
      <c r="B36457" s="8" t="str">
        <f>HYPERLINK("https://twitter.com/MrsRachelIn","@MrsRachelIn")</f>
        <v>@MrsRachelIn</v>
      </c>
      <c r="C36457" s="8" t="s">
        <v>14145</v>
      </c>
      <c r="D36457" s="8">
        <v>0</v>
      </c>
      <c r="E36457" s="8">
        <v>0</v>
      </c>
      <c r="F36457" s="8">
        <v>3336</v>
      </c>
    </row>
    <row r="36458" spans="1:6" ht="12.75">
      <c r="A36458" s="8">
        <v>43888.090173611112</v>
      </c>
      <c r="B36458" s="8" t="str">
        <f t="shared" ref="B36458:B36459" si="528">HYPERLINK("https://twitter.com/StandBehindJKW","@StandBehindJKW")</f>
        <v>@StandBehindJKW</v>
      </c>
      <c r="C36458" s="8" t="s">
        <v>26</v>
      </c>
      <c r="D36458" s="8">
        <v>100</v>
      </c>
      <c r="E36458" s="8">
        <v>0</v>
      </c>
      <c r="F36458" s="8">
        <v>3253</v>
      </c>
    </row>
    <row r="36459" spans="1:6" ht="12.75">
      <c r="A36459" s="8">
        <v>43888.090150462958</v>
      </c>
      <c r="B36459" s="8" t="str">
        <f t="shared" si="528"/>
        <v>@StandBehindJKW</v>
      </c>
      <c r="C36459" s="8" t="s">
        <v>4785</v>
      </c>
      <c r="D36459" s="8">
        <v>336</v>
      </c>
      <c r="E36459" s="8">
        <v>0</v>
      </c>
      <c r="F36459" s="8">
        <v>3253</v>
      </c>
    </row>
    <row r="36460" spans="1:6" ht="12.75">
      <c r="A36460" s="8">
        <v>43888.088773148149</v>
      </c>
      <c r="B36460" s="8" t="str">
        <f>HYPERLINK("https://twitter.com/B35API","@B35API")</f>
        <v>@B35API</v>
      </c>
      <c r="C36460" s="8" t="s">
        <v>12406</v>
      </c>
      <c r="D36460" s="8">
        <v>71</v>
      </c>
      <c r="E36460" s="8">
        <v>0</v>
      </c>
      <c r="F36460" s="8">
        <v>508</v>
      </c>
    </row>
    <row r="36461" spans="1:6" ht="12.75">
      <c r="A36461" s="8">
        <v>43888.086770833332</v>
      </c>
      <c r="B36461" s="8" t="str">
        <f>HYPERLINK("https://twitter.com/AntonyRiyanto","@AntonyRiyanto")</f>
        <v>@AntonyRiyanto</v>
      </c>
      <c r="C36461" s="8" t="s">
        <v>14146</v>
      </c>
      <c r="D36461" s="8">
        <v>0</v>
      </c>
      <c r="E36461" s="8">
        <v>0</v>
      </c>
      <c r="F36461" s="8">
        <v>425</v>
      </c>
    </row>
    <row r="36462" spans="1:6" ht="12.75">
      <c r="A36462" s="8">
        <v>43888.0862037037</v>
      </c>
      <c r="B36462" s="8" t="str">
        <f>HYPERLINK("https://twitter.com/TjahyoUnky","@TjahyoUnky")</f>
        <v>@TjahyoUnky</v>
      </c>
      <c r="C36462" s="8" t="s">
        <v>4785</v>
      </c>
      <c r="D36462" s="8">
        <v>336</v>
      </c>
      <c r="E36462" s="8">
        <v>0</v>
      </c>
      <c r="F36462" s="8">
        <v>2326</v>
      </c>
    </row>
    <row r="36463" spans="1:6" ht="12.75">
      <c r="A36463" s="8">
        <v>43888.084895833337</v>
      </c>
      <c r="B36463" s="8" t="str">
        <f>HYPERLINK("https://twitter.com/RATIONAL_DUDE_","@RATIONAL_DUDE_")</f>
        <v>@RATIONAL_DUDE_</v>
      </c>
      <c r="C36463" s="8" t="s">
        <v>14147</v>
      </c>
      <c r="D36463" s="8">
        <v>0</v>
      </c>
      <c r="E36463" s="8">
        <v>0</v>
      </c>
      <c r="F36463" s="8">
        <v>42</v>
      </c>
    </row>
    <row r="36464" spans="1:6" ht="12.75">
      <c r="A36464" s="8">
        <v>43888.084861111114</v>
      </c>
      <c r="B36464" s="8" t="str">
        <f>HYPERLINK("https://twitter.com/BillTemporo","@BillTemporo")</f>
        <v>@BillTemporo</v>
      </c>
      <c r="C36464" s="8" t="s">
        <v>323</v>
      </c>
      <c r="D36464" s="8">
        <v>0</v>
      </c>
      <c r="E36464" s="8">
        <v>0</v>
      </c>
      <c r="F36464" s="8">
        <v>11</v>
      </c>
    </row>
    <row r="36465" spans="1:6" ht="12.75">
      <c r="A36465" s="8">
        <v>43888.084097222221</v>
      </c>
      <c r="B36465" s="8" t="str">
        <f>HYPERLINK("https://twitter.com/titanrahadian","@titanrahadian")</f>
        <v>@titanrahadian</v>
      </c>
      <c r="C36465" s="8" t="s">
        <v>13338</v>
      </c>
      <c r="D36465" s="8">
        <v>22</v>
      </c>
      <c r="E36465" s="8">
        <v>0</v>
      </c>
      <c r="F36465" s="8">
        <v>1175</v>
      </c>
    </row>
    <row r="36466" spans="1:6" ht="12.75">
      <c r="A36466" s="8">
        <v>43888.083356481482</v>
      </c>
      <c r="B36466" s="8" t="str">
        <f>HYPERLINK("https://twitter.com/republikaonline","@republikaonline")</f>
        <v>@republikaonline</v>
      </c>
      <c r="C36466" s="8" t="s">
        <v>14148</v>
      </c>
      <c r="D36466" s="8">
        <v>1</v>
      </c>
      <c r="E36466" s="8">
        <v>0</v>
      </c>
      <c r="F36466" s="8">
        <v>1214321</v>
      </c>
    </row>
    <row r="36467" spans="1:6" ht="12.75">
      <c r="A36467" s="8">
        <v>43888.082673611112</v>
      </c>
      <c r="B36467" s="8" t="str">
        <f>HYPERLINK("https://twitter.com/setiawan1710","@setiawan1710")</f>
        <v>@setiawan1710</v>
      </c>
      <c r="C36467" s="8" t="s">
        <v>12143</v>
      </c>
      <c r="D36467" s="8">
        <v>262</v>
      </c>
      <c r="E36467" s="8">
        <v>0</v>
      </c>
      <c r="F36467" s="8">
        <v>469</v>
      </c>
    </row>
    <row r="36468" spans="1:6" ht="12.75">
      <c r="A36468" s="8">
        <v>43888.08211805555</v>
      </c>
      <c r="B36468" s="8" t="str">
        <f t="shared" ref="B36468:B36469" si="529">HYPERLINK("https://twitter.com/langgeng_phia","@langgeng_phia")</f>
        <v>@langgeng_phia</v>
      </c>
      <c r="C36468" s="8" t="s">
        <v>14149</v>
      </c>
      <c r="D36468" s="8">
        <v>34</v>
      </c>
      <c r="E36468" s="8">
        <v>0</v>
      </c>
      <c r="F36468" s="8">
        <v>270</v>
      </c>
    </row>
    <row r="36469" spans="1:6" ht="12.75">
      <c r="A36469" s="8">
        <v>43888.082083333335</v>
      </c>
      <c r="B36469" s="8" t="str">
        <f t="shared" si="529"/>
        <v>@langgeng_phia</v>
      </c>
      <c r="C36469" s="8" t="s">
        <v>14150</v>
      </c>
      <c r="D36469" s="8">
        <v>13</v>
      </c>
      <c r="E36469" s="8">
        <v>0</v>
      </c>
      <c r="F36469" s="8">
        <v>270</v>
      </c>
    </row>
    <row r="36470" spans="1:6" ht="12.75">
      <c r="A36470" s="8">
        <v>43888.077789351853</v>
      </c>
      <c r="B36470" s="8" t="str">
        <f>HYPERLINK("https://twitter.com/Ramadan50971783","@Ramadan50971783")</f>
        <v>@Ramadan50971783</v>
      </c>
      <c r="C36470" s="8" t="s">
        <v>14151</v>
      </c>
      <c r="D36470" s="8">
        <v>13</v>
      </c>
      <c r="E36470" s="8">
        <v>0</v>
      </c>
      <c r="F36470" s="8">
        <v>534</v>
      </c>
    </row>
    <row r="36471" spans="1:6" ht="12.75">
      <c r="A36471" s="8">
        <v>43888.076412037037</v>
      </c>
      <c r="B36471" s="8" t="str">
        <f>HYPERLINK("https://twitter.com/RelawanUMKM","@RelawanUMKM")</f>
        <v>@RelawanUMKM</v>
      </c>
      <c r="C36471" s="8" t="s">
        <v>14152</v>
      </c>
      <c r="D36471" s="8">
        <v>0</v>
      </c>
      <c r="E36471" s="8">
        <v>0</v>
      </c>
      <c r="F36471" s="8">
        <v>388</v>
      </c>
    </row>
    <row r="36472" spans="1:6" ht="12.75">
      <c r="A36472" s="8">
        <v>43888.07603009259</v>
      </c>
      <c r="B36472" s="8" t="str">
        <f>HYPERLINK("https://twitter.com/yandidave","@yandidave")</f>
        <v>@yandidave</v>
      </c>
      <c r="C36472" s="8" t="s">
        <v>14000</v>
      </c>
      <c r="D36472" s="8">
        <v>40</v>
      </c>
      <c r="E36472" s="8">
        <v>0</v>
      </c>
      <c r="F36472" s="8">
        <v>20</v>
      </c>
    </row>
    <row r="36473" spans="1:6" ht="12.75">
      <c r="A36473" s="8">
        <v>43888.075925925921</v>
      </c>
      <c r="B36473" s="8" t="str">
        <f>HYPERLINK("https://twitter.com/Vaibhav26785164","@Vaibhav26785164")</f>
        <v>@Vaibhav26785164</v>
      </c>
      <c r="C36473" s="8" t="s">
        <v>14153</v>
      </c>
      <c r="D36473" s="8">
        <v>0</v>
      </c>
      <c r="E36473" s="8">
        <v>0</v>
      </c>
      <c r="F36473" s="8">
        <v>59</v>
      </c>
    </row>
    <row r="36474" spans="1:6" ht="12.75">
      <c r="A36474" s="8">
        <v>43888.075208333335</v>
      </c>
      <c r="B36474" s="8" t="str">
        <f>HYPERLINK("https://twitter.com/arshasen","@arshasen")</f>
        <v>@arshasen</v>
      </c>
      <c r="C36474" s="8" t="s">
        <v>12143</v>
      </c>
      <c r="D36474" s="8">
        <v>262</v>
      </c>
      <c r="E36474" s="8">
        <v>0</v>
      </c>
      <c r="F36474" s="8">
        <v>348</v>
      </c>
    </row>
    <row r="36475" spans="1:6" ht="12.75">
      <c r="A36475" s="8">
        <v>43888.074247685188</v>
      </c>
      <c r="B36475" s="8" t="str">
        <f>HYPERLINK("https://twitter.com/Aunorysm_Rec","@Aunorysm_Rec")</f>
        <v>@Aunorysm_Rec</v>
      </c>
      <c r="C36475" s="8" t="s">
        <v>12143</v>
      </c>
      <c r="D36475" s="8">
        <v>262</v>
      </c>
      <c r="E36475" s="8">
        <v>0</v>
      </c>
      <c r="F36475" s="8">
        <v>204</v>
      </c>
    </row>
    <row r="36476" spans="1:6" ht="12.75">
      <c r="A36476" s="8">
        <v>43888.073969907404</v>
      </c>
      <c r="B36476" s="8" t="str">
        <f>HYPERLINK("https://twitter.com/jackagnostic","@jackagnostic")</f>
        <v>@jackagnostic</v>
      </c>
      <c r="C36476" s="8" t="s">
        <v>14154</v>
      </c>
      <c r="D36476" s="8">
        <v>0</v>
      </c>
      <c r="E36476" s="8">
        <v>0</v>
      </c>
      <c r="F36476" s="8">
        <v>208</v>
      </c>
    </row>
    <row r="36477" spans="1:6" ht="12.75">
      <c r="A36477" s="8">
        <v>43888.073576388888</v>
      </c>
      <c r="B36477" s="8" t="str">
        <f>HYPERLINK("https://twitter.com/yanala_s","@yanala_s")</f>
        <v>@yanala_s</v>
      </c>
      <c r="C36477" s="8" t="s">
        <v>14155</v>
      </c>
      <c r="D36477" s="8">
        <v>0</v>
      </c>
      <c r="E36477" s="8">
        <v>0</v>
      </c>
      <c r="F36477" s="8">
        <v>469</v>
      </c>
    </row>
    <row r="36478" spans="1:6" ht="12.75">
      <c r="A36478" s="8">
        <v>43888.072662037041</v>
      </c>
      <c r="B36478" s="8" t="str">
        <f>HYPERLINK("https://twitter.com/gyanchandgandhi","@gyanchandgandhi")</f>
        <v>@gyanchandgandhi</v>
      </c>
      <c r="C36478" s="8" t="s">
        <v>14156</v>
      </c>
      <c r="D36478" s="8">
        <v>0</v>
      </c>
      <c r="E36478" s="8">
        <v>0</v>
      </c>
      <c r="F36478" s="8">
        <v>36</v>
      </c>
    </row>
    <row r="36479" spans="1:6" ht="12.75">
      <c r="A36479" s="8">
        <v>43888.072118055556</v>
      </c>
      <c r="B36479" s="8" t="str">
        <f>HYPERLINK("https://twitter.com/Fanny_Oktaviana","@Fanny_Oktaviana")</f>
        <v>@Fanny_Oktaviana</v>
      </c>
      <c r="C36479" s="8" t="s">
        <v>14157</v>
      </c>
      <c r="D36479" s="8">
        <v>2</v>
      </c>
      <c r="E36479" s="8">
        <v>0</v>
      </c>
      <c r="F36479" s="8">
        <v>2344</v>
      </c>
    </row>
    <row r="36480" spans="1:6" ht="12.75">
      <c r="A36480" s="8">
        <v>43888.070034722223</v>
      </c>
      <c r="B36480" s="8" t="str">
        <f>HYPERLINK("https://twitter.com/talentacompy","@talentacompy")</f>
        <v>@talentacompy</v>
      </c>
      <c r="C36480" s="8" t="s">
        <v>13365</v>
      </c>
      <c r="D36480" s="8">
        <v>863</v>
      </c>
      <c r="E36480" s="8">
        <v>0</v>
      </c>
      <c r="F36480" s="8">
        <v>113</v>
      </c>
    </row>
    <row r="36481" spans="1:6" ht="12.75">
      <c r="A36481" s="8">
        <v>43888.069618055553</v>
      </c>
      <c r="B36481" s="8" t="str">
        <f>HYPERLINK("https://twitter.com/erinsnote","@erinsnote")</f>
        <v>@erinsnote</v>
      </c>
      <c r="C36481" s="8" t="s">
        <v>14158</v>
      </c>
      <c r="D36481" s="8">
        <v>0</v>
      </c>
      <c r="E36481" s="8">
        <v>1</v>
      </c>
      <c r="F36481" s="8">
        <v>1847</v>
      </c>
    </row>
    <row r="36482" spans="1:6" ht="12.75">
      <c r="A36482" s="8">
        <v>43888.06832175926</v>
      </c>
      <c r="B36482" s="8" t="str">
        <f t="shared" ref="B36482:B36483" si="530">HYPERLINK("https://twitter.com/bffb300aff02425","@bffb300aff02425")</f>
        <v>@bffb300aff02425</v>
      </c>
      <c r="C36482" s="8" t="s">
        <v>13198</v>
      </c>
      <c r="D36482" s="8">
        <v>34</v>
      </c>
      <c r="E36482" s="8">
        <v>0</v>
      </c>
      <c r="F36482" s="8">
        <v>515</v>
      </c>
    </row>
    <row r="36483" spans="1:6" ht="12.75">
      <c r="A36483" s="8">
        <v>43888.068194444444</v>
      </c>
      <c r="B36483" s="8" t="str">
        <f t="shared" si="530"/>
        <v>@bffb300aff02425</v>
      </c>
      <c r="C36483" s="8" t="s">
        <v>11773</v>
      </c>
      <c r="D36483" s="8">
        <v>227</v>
      </c>
      <c r="E36483" s="8">
        <v>0</v>
      </c>
      <c r="F36483" s="8">
        <v>515</v>
      </c>
    </row>
    <row r="36484" spans="1:6" ht="12.75">
      <c r="A36484" s="8">
        <v>43888.067569444444</v>
      </c>
      <c r="B36484" s="8" t="str">
        <f>HYPERLINK("https://twitter.com/GandozEsparadoz","@GandozEsparadoz")</f>
        <v>@GandozEsparadoz</v>
      </c>
      <c r="C36484" s="8" t="s">
        <v>13198</v>
      </c>
      <c r="D36484" s="8">
        <v>34</v>
      </c>
      <c r="E36484" s="8">
        <v>0</v>
      </c>
      <c r="F36484" s="8">
        <v>594</v>
      </c>
    </row>
    <row r="36485" spans="1:6" ht="12.75">
      <c r="A36485" s="8">
        <v>43888.067083333328</v>
      </c>
      <c r="B36485" s="8" t="str">
        <f t="shared" ref="B36485:B36486" si="531">HYPERLINK("https://twitter.com/OctoRisel","@OctoRisel")</f>
        <v>@OctoRisel</v>
      </c>
      <c r="C36485" s="8" t="s">
        <v>4785</v>
      </c>
      <c r="D36485" s="8">
        <v>336</v>
      </c>
      <c r="E36485" s="8">
        <v>0</v>
      </c>
      <c r="F36485" s="8">
        <v>75</v>
      </c>
    </row>
    <row r="36486" spans="1:6" ht="12.75">
      <c r="A36486" s="8">
        <v>43888.066446759258</v>
      </c>
      <c r="B36486" s="8" t="str">
        <f t="shared" si="531"/>
        <v>@OctoRisel</v>
      </c>
      <c r="C36486" s="8" t="s">
        <v>26</v>
      </c>
      <c r="D36486" s="8">
        <v>100</v>
      </c>
      <c r="E36486" s="8">
        <v>0</v>
      </c>
      <c r="F36486" s="8">
        <v>75</v>
      </c>
    </row>
    <row r="36487" spans="1:6" ht="12.75">
      <c r="A36487" s="8">
        <v>43888.065370370372</v>
      </c>
      <c r="B36487" s="8" t="str">
        <f>HYPERLINK("https://twitter.com/BantenSarerea","@BantenSarerea")</f>
        <v>@BantenSarerea</v>
      </c>
      <c r="C36487" s="8" t="s">
        <v>14159</v>
      </c>
      <c r="D36487" s="8">
        <v>0</v>
      </c>
      <c r="E36487" s="8">
        <v>0</v>
      </c>
      <c r="F36487" s="8">
        <v>5352</v>
      </c>
    </row>
    <row r="36488" spans="1:6" ht="12.75">
      <c r="A36488" s="8">
        <v>43888.064097222217</v>
      </c>
      <c r="B36488" s="8" t="str">
        <f>HYPERLINK("https://twitter.com/BillTemporo","@BillTemporo")</f>
        <v>@BillTemporo</v>
      </c>
      <c r="C36488" s="8" t="s">
        <v>355</v>
      </c>
      <c r="D36488" s="8">
        <v>0</v>
      </c>
      <c r="E36488" s="8">
        <v>0</v>
      </c>
      <c r="F36488" s="8">
        <v>11</v>
      </c>
    </row>
    <row r="36489" spans="1:6" ht="12.75">
      <c r="A36489" s="8">
        <v>43888.063831018517</v>
      </c>
      <c r="B36489" s="8" t="str">
        <f>HYPERLINK("https://twitter.com/HematangFrizal","@HematangFrizal")</f>
        <v>@HematangFrizal</v>
      </c>
      <c r="C36489" s="8" t="s">
        <v>4785</v>
      </c>
      <c r="D36489" s="8">
        <v>336</v>
      </c>
      <c r="E36489" s="8">
        <v>0</v>
      </c>
      <c r="F36489" s="8">
        <v>89</v>
      </c>
    </row>
    <row r="36490" spans="1:6" ht="12.75">
      <c r="A36490" s="8">
        <v>43888.062557870369</v>
      </c>
      <c r="B36490" s="8" t="str">
        <f>HYPERLINK("https://twitter.com/erlitafebriani7","@erlitafebriani7")</f>
        <v>@erlitafebriani7</v>
      </c>
      <c r="C36490" s="8" t="s">
        <v>14160</v>
      </c>
      <c r="D36490" s="8">
        <v>0</v>
      </c>
      <c r="E36490" s="8">
        <v>0</v>
      </c>
      <c r="F36490" s="8">
        <v>175</v>
      </c>
    </row>
    <row r="36491" spans="1:6" ht="12.75">
      <c r="A36491" s="8">
        <v>43888.061435185184</v>
      </c>
      <c r="B36491" s="8" t="str">
        <f>HYPERLINK("https://twitter.com/awerar3","@awerar3")</f>
        <v>@awerar3</v>
      </c>
      <c r="C36491" s="8" t="s">
        <v>13073</v>
      </c>
      <c r="D36491" s="8">
        <v>14</v>
      </c>
      <c r="E36491" s="8">
        <v>0</v>
      </c>
      <c r="F36491" s="8">
        <v>0</v>
      </c>
    </row>
    <row r="36492" spans="1:6" ht="12.75">
      <c r="A36492" s="8">
        <v>43888.061365740738</v>
      </c>
      <c r="B36492" s="8" t="str">
        <f>HYPERLINK("https://twitter.com/erlitafebriani7","@erlitafebriani7")</f>
        <v>@erlitafebriani7</v>
      </c>
      <c r="C36492" s="8" t="s">
        <v>14161</v>
      </c>
      <c r="D36492" s="8">
        <v>0</v>
      </c>
      <c r="E36492" s="8">
        <v>0</v>
      </c>
      <c r="F36492" s="8">
        <v>175</v>
      </c>
    </row>
    <row r="36493" spans="1:6" ht="12.75">
      <c r="A36493" s="8">
        <v>43888.061111111107</v>
      </c>
      <c r="B36493" s="8" t="str">
        <f>HYPERLINK("https://twitter.com/WDhembo","@WDhembo")</f>
        <v>@WDhembo</v>
      </c>
      <c r="C36493" s="8" t="s">
        <v>12143</v>
      </c>
      <c r="D36493" s="8">
        <v>262</v>
      </c>
      <c r="E36493" s="8">
        <v>0</v>
      </c>
      <c r="F36493" s="8">
        <v>103</v>
      </c>
    </row>
    <row r="36494" spans="1:6" ht="12.75">
      <c r="A36494" s="8">
        <v>43888.060856481483</v>
      </c>
      <c r="B36494" s="8" t="str">
        <f>HYPERLINK("https://twitter.com/an_chaubey","@an_chaubey")</f>
        <v>@an_chaubey</v>
      </c>
      <c r="C36494" s="8" t="s">
        <v>14162</v>
      </c>
      <c r="D36494" s="8">
        <v>0</v>
      </c>
      <c r="E36494" s="8">
        <v>0</v>
      </c>
      <c r="F36494" s="8">
        <v>1</v>
      </c>
    </row>
    <row r="36495" spans="1:6" ht="12.75">
      <c r="A36495" s="8">
        <v>43888.059560185182</v>
      </c>
      <c r="B36495" s="8" t="str">
        <f>HYPERLINK("https://twitter.com/RelawanUMKM","@RelawanUMKM")</f>
        <v>@RelawanUMKM</v>
      </c>
      <c r="C36495" s="8" t="s">
        <v>14163</v>
      </c>
      <c r="D36495" s="8">
        <v>0</v>
      </c>
      <c r="E36495" s="8">
        <v>0</v>
      </c>
      <c r="F36495" s="8">
        <v>388</v>
      </c>
    </row>
    <row r="36496" spans="1:6" ht="12.75">
      <c r="A36496" s="8">
        <v>43888.059085648143</v>
      </c>
      <c r="B36496" s="8" t="str">
        <f>HYPERLINK("https://twitter.com/soffel84103944","@soffel84103944")</f>
        <v>@soffel84103944</v>
      </c>
      <c r="C36496" s="8" t="s">
        <v>13370</v>
      </c>
      <c r="D36496" s="8">
        <v>2</v>
      </c>
      <c r="E36496" s="8">
        <v>0</v>
      </c>
      <c r="F36496" s="8">
        <v>569</v>
      </c>
    </row>
    <row r="36497" spans="1:6" ht="12.75">
      <c r="A36497" s="8">
        <v>43888.059039351851</v>
      </c>
      <c r="B36497" s="8" t="str">
        <f>HYPERLINK("https://twitter.com/abdulloh2015","@abdulloh2015")</f>
        <v>@abdulloh2015</v>
      </c>
      <c r="C36497" s="8" t="s">
        <v>859</v>
      </c>
      <c r="D36497" s="8">
        <v>0</v>
      </c>
      <c r="E36497" s="8">
        <v>0</v>
      </c>
      <c r="F36497" s="8">
        <v>61</v>
      </c>
    </row>
    <row r="36498" spans="1:6" ht="12.75">
      <c r="A36498" s="8">
        <v>43888.05777777778</v>
      </c>
      <c r="B36498" s="8" t="str">
        <f>HYPERLINK("https://twitter.com/hercyakirana","@hercyakirana")</f>
        <v>@hercyakirana</v>
      </c>
      <c r="C36498" s="8" t="s">
        <v>14164</v>
      </c>
      <c r="D36498" s="8">
        <v>0</v>
      </c>
      <c r="E36498" s="8">
        <v>0</v>
      </c>
      <c r="F36498" s="8">
        <v>650</v>
      </c>
    </row>
    <row r="36499" spans="1:6" ht="12.75">
      <c r="A36499" s="8">
        <v>43888.057268518518</v>
      </c>
      <c r="B36499" s="8" t="str">
        <f>HYPERLINK("https://twitter.com/oktorinaldoo","@oktorinaldoo")</f>
        <v>@oktorinaldoo</v>
      </c>
      <c r="C36499" s="8" t="s">
        <v>14165</v>
      </c>
      <c r="D36499" s="8">
        <v>1</v>
      </c>
      <c r="E36499" s="8">
        <v>0</v>
      </c>
      <c r="F36499" s="8">
        <v>66</v>
      </c>
    </row>
    <row r="36500" spans="1:6" ht="12.75">
      <c r="A36500" s="8">
        <v>43888.057210648149</v>
      </c>
      <c r="B36500" s="8" t="str">
        <f>HYPERLINK("https://twitter.com/vanillachoreom","@vanillachoreom")</f>
        <v>@vanillachoreom</v>
      </c>
      <c r="C36500" s="8" t="s">
        <v>14003</v>
      </c>
      <c r="D36500" s="8">
        <v>15</v>
      </c>
      <c r="E36500" s="8">
        <v>0</v>
      </c>
      <c r="F36500" s="8">
        <v>139</v>
      </c>
    </row>
    <row r="36501" spans="1:6" ht="12.75">
      <c r="A36501" s="8">
        <v>43888.056921296295</v>
      </c>
      <c r="B36501" s="8" t="str">
        <f>HYPERLINK("https://twitter.com/erwindoparulian","@erwindoparulian")</f>
        <v>@erwindoparulian</v>
      </c>
      <c r="C36501" s="8" t="s">
        <v>14166</v>
      </c>
      <c r="D36501" s="8">
        <v>0</v>
      </c>
      <c r="E36501" s="8">
        <v>0</v>
      </c>
      <c r="F36501" s="8">
        <v>1311</v>
      </c>
    </row>
    <row r="36502" spans="1:6" ht="12.75">
      <c r="A36502" s="8">
        <v>43888.05673611111</v>
      </c>
      <c r="B36502" s="8" t="str">
        <f>HYPERLINK("https://twitter.com/P3nj3l4j4h_id","@P3nj3l4j4h_id")</f>
        <v>@P3nj3l4j4h_id</v>
      </c>
      <c r="C36502" s="8" t="s">
        <v>13370</v>
      </c>
      <c r="D36502" s="8">
        <v>2</v>
      </c>
      <c r="E36502" s="8">
        <v>0</v>
      </c>
      <c r="F36502" s="8">
        <v>15927</v>
      </c>
    </row>
    <row r="36503" spans="1:6" ht="12.75">
      <c r="A36503" s="8">
        <v>43888.056377314817</v>
      </c>
      <c r="B36503" s="8" t="str">
        <f>HYPERLINK("https://twitter.com/AmstrongBiring","@AmstrongBiring")</f>
        <v>@AmstrongBiring</v>
      </c>
      <c r="C36503" s="8" t="s">
        <v>13879</v>
      </c>
      <c r="D36503" s="8">
        <v>1</v>
      </c>
      <c r="E36503" s="8">
        <v>0</v>
      </c>
      <c r="F36503" s="8">
        <v>1980</v>
      </c>
    </row>
    <row r="36504" spans="1:6" ht="12.75">
      <c r="A36504" s="8">
        <v>43888.055636574078</v>
      </c>
      <c r="B36504" s="8" t="str">
        <f>HYPERLINK("https://twitter.com/watchjpr","@watchjpr")</f>
        <v>@watchjpr</v>
      </c>
      <c r="C36504" s="8" t="s">
        <v>2940</v>
      </c>
      <c r="D36504" s="8">
        <v>2669</v>
      </c>
      <c r="E36504" s="8">
        <v>0</v>
      </c>
      <c r="F36504" s="8">
        <v>147</v>
      </c>
    </row>
    <row r="36505" spans="1:6" ht="12.75">
      <c r="A36505" s="8">
        <v>43888.055613425924</v>
      </c>
      <c r="B36505" s="8" t="str">
        <f>HYPERLINK("https://twitter.com/rmolbantencom","@rmolbantencom")</f>
        <v>@rmolbantencom</v>
      </c>
      <c r="C36505" s="8" t="s">
        <v>14167</v>
      </c>
      <c r="D36505" s="8">
        <v>0</v>
      </c>
      <c r="E36505" s="8">
        <v>0</v>
      </c>
      <c r="F36505" s="8">
        <v>298</v>
      </c>
    </row>
    <row r="36506" spans="1:6" ht="12.75">
      <c r="A36506" s="8">
        <v>43888.055578703701</v>
      </c>
      <c r="B36506" s="8" t="str">
        <f>HYPERLINK("https://twitter.com/rmol_id","@rmol_id")</f>
        <v>@rmol_id</v>
      </c>
      <c r="C36506" s="8" t="s">
        <v>14168</v>
      </c>
      <c r="D36506" s="8">
        <v>0</v>
      </c>
      <c r="E36506" s="8">
        <v>1</v>
      </c>
      <c r="F36506" s="8">
        <v>166326</v>
      </c>
    </row>
    <row r="36507" spans="1:6" ht="12.75">
      <c r="A36507" s="8">
        <v>43888.055081018523</v>
      </c>
      <c r="B36507" s="8" t="str">
        <f>HYPERLINK("https://twitter.com/rahardi_ardi","@rahardi_ardi")</f>
        <v>@rahardi_ardi</v>
      </c>
      <c r="C36507" s="8" t="s">
        <v>14169</v>
      </c>
      <c r="D36507" s="8">
        <v>0</v>
      </c>
      <c r="E36507" s="8">
        <v>0</v>
      </c>
      <c r="F36507" s="8">
        <v>280</v>
      </c>
    </row>
    <row r="36508" spans="1:6" ht="12.75">
      <c r="A36508" s="8">
        <v>43888.055081018523</v>
      </c>
      <c r="B36508" s="8" t="str">
        <f>HYPERLINK("https://twitter.com/ardhyyyyy","@ardhyyyyy")</f>
        <v>@ardhyyyyy</v>
      </c>
      <c r="C36508" s="8" t="s">
        <v>12406</v>
      </c>
      <c r="D36508" s="8">
        <v>71</v>
      </c>
      <c r="E36508" s="8">
        <v>0</v>
      </c>
      <c r="F36508" s="8">
        <v>128</v>
      </c>
    </row>
    <row r="36509" spans="1:6" ht="12.75">
      <c r="A36509" s="8">
        <v>43888.054548611108</v>
      </c>
      <c r="B36509" s="8" t="str">
        <f>HYPERLINK("https://twitter.com/endahse05","@endahse05")</f>
        <v>@endahse05</v>
      </c>
      <c r="C36509" s="8" t="s">
        <v>11773</v>
      </c>
      <c r="D36509" s="8">
        <v>227</v>
      </c>
      <c r="E36509" s="8">
        <v>0</v>
      </c>
      <c r="F36509" s="8">
        <v>184</v>
      </c>
    </row>
    <row r="36510" spans="1:6" ht="12.75">
      <c r="A36510" s="8">
        <v>43888.054432870369</v>
      </c>
      <c r="B36510" s="8" t="str">
        <f>HYPERLINK("https://twitter.com/Ari3Pras","@Ari3Pras")</f>
        <v>@Ari3Pras</v>
      </c>
      <c r="C36510" s="8" t="s">
        <v>14170</v>
      </c>
      <c r="D36510" s="8">
        <v>2</v>
      </c>
      <c r="E36510" s="8">
        <v>3</v>
      </c>
      <c r="F36510" s="8">
        <v>7548</v>
      </c>
    </row>
    <row r="36511" spans="1:6" ht="12.75">
      <c r="A36511" s="8">
        <v>43888.05431712963</v>
      </c>
      <c r="B36511" s="8" t="str">
        <f>HYPERLINK("https://twitter.com/ashishrefugee","@ashishrefugee")</f>
        <v>@ashishrefugee</v>
      </c>
      <c r="C36511" s="8" t="s">
        <v>14171</v>
      </c>
      <c r="D36511" s="8">
        <v>0</v>
      </c>
      <c r="E36511" s="8">
        <v>0</v>
      </c>
      <c r="F36511" s="8">
        <v>7127</v>
      </c>
    </row>
    <row r="36512" spans="1:6" ht="12.75">
      <c r="A36512" s="8">
        <v>43888.052546296298</v>
      </c>
      <c r="B36512" s="8" t="str">
        <f>HYPERLINK("https://twitter.com/mohamadfahrozi4","@mohamadfahrozi4")</f>
        <v>@mohamadfahrozi4</v>
      </c>
      <c r="C36512" s="8" t="s">
        <v>4785</v>
      </c>
      <c r="D36512" s="8">
        <v>336</v>
      </c>
      <c r="E36512" s="8">
        <v>0</v>
      </c>
      <c r="F36512" s="8">
        <v>6</v>
      </c>
    </row>
    <row r="36513" spans="1:6" ht="12.75">
      <c r="A36513" s="8">
        <v>43888.052534722221</v>
      </c>
      <c r="B36513" s="8" t="str">
        <f>HYPERLINK("https://twitter.com/AmstrongBiring","@AmstrongBiring")</f>
        <v>@AmstrongBiring</v>
      </c>
      <c r="C36513" s="8" t="s">
        <v>14172</v>
      </c>
      <c r="D36513" s="8">
        <v>0</v>
      </c>
      <c r="E36513" s="8">
        <v>0</v>
      </c>
      <c r="F36513" s="8">
        <v>1980</v>
      </c>
    </row>
    <row r="36514" spans="1:6" ht="12.75">
      <c r="A36514" s="8">
        <v>43888.052465277782</v>
      </c>
      <c r="B36514" s="8" t="str">
        <f>HYPERLINK("https://twitter.com/mohamadfahrozi4","@mohamadfahrozi4")</f>
        <v>@mohamadfahrozi4</v>
      </c>
      <c r="C36514" s="8" t="s">
        <v>26</v>
      </c>
      <c r="D36514" s="8">
        <v>100</v>
      </c>
      <c r="E36514" s="8">
        <v>0</v>
      </c>
      <c r="F36514" s="8">
        <v>6</v>
      </c>
    </row>
    <row r="36515" spans="1:6" ht="12.75">
      <c r="A36515" s="8">
        <v>43888.050671296296</v>
      </c>
      <c r="B36515" s="8" t="str">
        <f>HYPERLINK("https://twitter.com/xaxwindhita","@xaxwindhita")</f>
        <v>@xaxwindhita</v>
      </c>
      <c r="C36515" s="8" t="s">
        <v>12406</v>
      </c>
      <c r="D36515" s="8">
        <v>71</v>
      </c>
      <c r="E36515" s="8">
        <v>0</v>
      </c>
      <c r="F36515" s="8">
        <v>333</v>
      </c>
    </row>
    <row r="36516" spans="1:6" ht="12.75">
      <c r="A36516" s="8">
        <v>43888.050625000003</v>
      </c>
      <c r="B36516" s="8" t="str">
        <f>HYPERLINK("https://twitter.com/3_devout","@3_devout")</f>
        <v>@3_devout</v>
      </c>
      <c r="C36516" s="8" t="s">
        <v>14173</v>
      </c>
      <c r="D36516" s="8">
        <v>4</v>
      </c>
      <c r="E36516" s="8">
        <v>0</v>
      </c>
      <c r="F36516" s="8">
        <v>1062</v>
      </c>
    </row>
    <row r="36517" spans="1:6" ht="12.75">
      <c r="A36517" s="8">
        <v>43888.049039351856</v>
      </c>
      <c r="B36517" s="8" t="str">
        <f t="shared" ref="B36517:B36518" si="532">HYPERLINK("https://twitter.com/AmstrongBiring","@AmstrongBiring")</f>
        <v>@AmstrongBiring</v>
      </c>
      <c r="C36517" s="8" t="s">
        <v>14174</v>
      </c>
      <c r="D36517" s="8">
        <v>2</v>
      </c>
      <c r="E36517" s="8">
        <v>0</v>
      </c>
      <c r="F36517" s="8">
        <v>1980</v>
      </c>
    </row>
    <row r="36518" spans="1:6" ht="12.75">
      <c r="A36518" s="8">
        <v>43888.04887731481</v>
      </c>
      <c r="B36518" s="8" t="str">
        <f t="shared" si="532"/>
        <v>@AmstrongBiring</v>
      </c>
      <c r="C36518" s="8" t="s">
        <v>14175</v>
      </c>
      <c r="D36518" s="8">
        <v>1</v>
      </c>
      <c r="E36518" s="8">
        <v>0</v>
      </c>
      <c r="F36518" s="8">
        <v>1980</v>
      </c>
    </row>
    <row r="36519" spans="1:6" ht="12.75">
      <c r="A36519" s="8">
        <v>43888.048784722225</v>
      </c>
      <c r="B36519" s="8" t="str">
        <f>HYPERLINK("https://twitter.com/alxdottv","@alxdottv")</f>
        <v>@alxdottv</v>
      </c>
      <c r="C36519" s="8" t="s">
        <v>11773</v>
      </c>
      <c r="D36519" s="8">
        <v>227</v>
      </c>
      <c r="E36519" s="8">
        <v>0</v>
      </c>
      <c r="F36519" s="8">
        <v>8</v>
      </c>
    </row>
    <row r="36520" spans="1:6" ht="12.75">
      <c r="A36520" s="8">
        <v>43888.048773148148</v>
      </c>
      <c r="B36520" s="8" t="str">
        <f>HYPERLINK("https://twitter.com/Iamshivambhati1","@Iamshivambhati1")</f>
        <v>@Iamshivambhati1</v>
      </c>
      <c r="C36520" s="8" t="s">
        <v>14176</v>
      </c>
      <c r="D36520" s="8">
        <v>0</v>
      </c>
      <c r="E36520" s="8">
        <v>3</v>
      </c>
      <c r="F36520" s="8">
        <v>21</v>
      </c>
    </row>
    <row r="36521" spans="1:6" ht="12.75">
      <c r="A36521" s="8">
        <v>43888.04855324074</v>
      </c>
      <c r="B36521" s="8" t="str">
        <f>HYPERLINK("https://twitter.com/AriestaRiico","@AriestaRiico")</f>
        <v>@AriestaRiico</v>
      </c>
      <c r="C36521" s="8" t="s">
        <v>11773</v>
      </c>
      <c r="D36521" s="8">
        <v>227</v>
      </c>
      <c r="E36521" s="8">
        <v>0</v>
      </c>
      <c r="F36521" s="8">
        <v>7669</v>
      </c>
    </row>
    <row r="36522" spans="1:6" ht="12.75">
      <c r="A36522" s="8">
        <v>43888.048518518517</v>
      </c>
      <c r="B36522" s="8" t="str">
        <f>HYPERLINK("https://twitter.com/AmstrongBiring","@AmstrongBiring")</f>
        <v>@AmstrongBiring</v>
      </c>
      <c r="C36522" s="8" t="s">
        <v>14177</v>
      </c>
      <c r="D36522" s="8">
        <v>2</v>
      </c>
      <c r="E36522" s="8">
        <v>0</v>
      </c>
      <c r="F36522" s="8">
        <v>1979</v>
      </c>
    </row>
    <row r="36523" spans="1:6" ht="12.75">
      <c r="A36523" s="8">
        <v>43888.047662037032</v>
      </c>
      <c r="B36523" s="8" t="str">
        <f>HYPERLINK("https://twitter.com/CrazyDiscoBull","@CrazyDiscoBull")</f>
        <v>@CrazyDiscoBull</v>
      </c>
      <c r="C36523" s="8" t="s">
        <v>14178</v>
      </c>
      <c r="D36523" s="8">
        <v>0</v>
      </c>
      <c r="E36523" s="8">
        <v>4</v>
      </c>
      <c r="F36523" s="8">
        <v>20</v>
      </c>
    </row>
    <row r="36524" spans="1:6" ht="12.75">
      <c r="A36524" s="8">
        <v>43888.047650462962</v>
      </c>
      <c r="B36524" s="8" t="str">
        <f t="shared" ref="B36524:B36526" si="533">HYPERLINK("https://twitter.com/AmstrongBiring","@AmstrongBiring")</f>
        <v>@AmstrongBiring</v>
      </c>
      <c r="C36524" s="8" t="s">
        <v>14179</v>
      </c>
      <c r="D36524" s="8">
        <v>0</v>
      </c>
      <c r="E36524" s="8">
        <v>0</v>
      </c>
      <c r="F36524" s="8">
        <v>1979</v>
      </c>
    </row>
    <row r="36525" spans="1:6" ht="12.75">
      <c r="A36525" s="8">
        <v>43888.047303240739</v>
      </c>
      <c r="B36525" s="8" t="str">
        <f t="shared" si="533"/>
        <v>@AmstrongBiring</v>
      </c>
      <c r="C36525" s="8" t="s">
        <v>14180</v>
      </c>
      <c r="D36525" s="8">
        <v>1</v>
      </c>
      <c r="E36525" s="8">
        <v>0</v>
      </c>
      <c r="F36525" s="8">
        <v>1979</v>
      </c>
    </row>
    <row r="36526" spans="1:6" ht="12.75">
      <c r="A36526" s="8">
        <v>43888.047129629631</v>
      </c>
      <c r="B36526" s="8" t="str">
        <f t="shared" si="533"/>
        <v>@AmstrongBiring</v>
      </c>
      <c r="C36526" s="8" t="s">
        <v>14181</v>
      </c>
      <c r="D36526" s="8">
        <v>0</v>
      </c>
      <c r="E36526" s="8">
        <v>0</v>
      </c>
      <c r="F36526" s="8">
        <v>1979</v>
      </c>
    </row>
    <row r="36527" spans="1:6" ht="12.75">
      <c r="A36527" s="8">
        <v>43888.047037037039</v>
      </c>
      <c r="B36527" s="8" t="str">
        <f>HYPERLINK("https://twitter.com/sonnyprakosa7","@sonnyprakosa7")</f>
        <v>@sonnyprakosa7</v>
      </c>
      <c r="C36527" s="8" t="s">
        <v>4785</v>
      </c>
      <c r="D36527" s="8">
        <v>326</v>
      </c>
      <c r="E36527" s="8">
        <v>0</v>
      </c>
      <c r="F36527" s="8">
        <v>308</v>
      </c>
    </row>
    <row r="36528" spans="1:6" ht="12.75">
      <c r="A36528" s="8">
        <v>43888.046458333338</v>
      </c>
      <c r="B36528" s="8" t="str">
        <f t="shared" ref="B36528:B36530" si="534">HYPERLINK("https://twitter.com/AmstrongBiring","@AmstrongBiring")</f>
        <v>@AmstrongBiring</v>
      </c>
      <c r="C36528" s="8" t="s">
        <v>14182</v>
      </c>
      <c r="D36528" s="8">
        <v>2</v>
      </c>
      <c r="E36528" s="8">
        <v>0</v>
      </c>
      <c r="F36528" s="8">
        <v>1979</v>
      </c>
    </row>
    <row r="36529" spans="1:6" ht="12.75">
      <c r="A36529" s="8">
        <v>43888.046342592592</v>
      </c>
      <c r="B36529" s="8" t="str">
        <f t="shared" si="534"/>
        <v>@AmstrongBiring</v>
      </c>
      <c r="C36529" s="8" t="s">
        <v>14183</v>
      </c>
      <c r="D36529" s="8">
        <v>0</v>
      </c>
      <c r="E36529" s="8">
        <v>0</v>
      </c>
      <c r="F36529" s="8">
        <v>1979</v>
      </c>
    </row>
    <row r="36530" spans="1:6" ht="12.75">
      <c r="A36530" s="8">
        <v>43888.046122685184</v>
      </c>
      <c r="B36530" s="8" t="str">
        <f t="shared" si="534"/>
        <v>@AmstrongBiring</v>
      </c>
      <c r="C36530" s="8" t="s">
        <v>14184</v>
      </c>
      <c r="D36530" s="8">
        <v>0</v>
      </c>
      <c r="E36530" s="8">
        <v>0</v>
      </c>
      <c r="F36530" s="8">
        <v>1979</v>
      </c>
    </row>
    <row r="36531" spans="1:6" ht="12.75">
      <c r="A36531" s="8">
        <v>43888.045995370368</v>
      </c>
      <c r="B36531" s="8" t="str">
        <f>HYPERLINK("https://twitter.com/tingkeobel","@tingkeobel")</f>
        <v>@tingkeobel</v>
      </c>
      <c r="C36531" s="8" t="s">
        <v>593</v>
      </c>
      <c r="D36531" s="8">
        <v>291</v>
      </c>
      <c r="E36531" s="8">
        <v>0</v>
      </c>
      <c r="F36531" s="8">
        <v>227</v>
      </c>
    </row>
    <row r="36532" spans="1:6" ht="12.75">
      <c r="A36532" s="8">
        <v>43888.044641203705</v>
      </c>
      <c r="B36532" s="8" t="str">
        <f>HYPERLINK("https://twitter.com/jr_jumry","@jr_jumry")</f>
        <v>@jr_jumry</v>
      </c>
      <c r="C36532" s="8" t="s">
        <v>14185</v>
      </c>
      <c r="D36532" s="8">
        <v>3</v>
      </c>
      <c r="E36532" s="8">
        <v>0</v>
      </c>
      <c r="F36532" s="8">
        <v>569</v>
      </c>
    </row>
    <row r="36533" spans="1:6" ht="12.75">
      <c r="A36533" s="8">
        <v>43888.044571759259</v>
      </c>
      <c r="B36533" s="8" t="str">
        <f>HYPERLINK("https://twitter.com/sun200791","@sun200791")</f>
        <v>@sun200791</v>
      </c>
      <c r="C36533" s="8" t="s">
        <v>593</v>
      </c>
      <c r="D36533" s="8">
        <v>291</v>
      </c>
      <c r="E36533" s="8">
        <v>0</v>
      </c>
      <c r="F36533" s="8">
        <v>920</v>
      </c>
    </row>
    <row r="36534" spans="1:6" ht="12.75">
      <c r="A36534" s="8">
        <v>43888.044456018513</v>
      </c>
      <c r="B36534" s="8" t="str">
        <f>HYPERLINK("https://twitter.com/AmstrongBiring","@AmstrongBiring")</f>
        <v>@AmstrongBiring</v>
      </c>
      <c r="C36534" s="8" t="s">
        <v>14083</v>
      </c>
      <c r="D36534" s="8">
        <v>2</v>
      </c>
      <c r="E36534" s="8">
        <v>0</v>
      </c>
      <c r="F36534" s="8">
        <v>1979</v>
      </c>
    </row>
    <row r="36535" spans="1:6" ht="12.75">
      <c r="A36535" s="8">
        <v>43888.044340277775</v>
      </c>
      <c r="B36535" s="8" t="str">
        <f>HYPERLINK("https://twitter.com/rizkisaputra300","@rizkisaputra300")</f>
        <v>@rizkisaputra300</v>
      </c>
      <c r="C36535" s="8" t="s">
        <v>14185</v>
      </c>
      <c r="D36535" s="8">
        <v>3</v>
      </c>
      <c r="E36535" s="8">
        <v>0</v>
      </c>
      <c r="F36535" s="8">
        <v>562</v>
      </c>
    </row>
    <row r="36536" spans="1:6" ht="12.75">
      <c r="A36536" s="8">
        <v>43888.044062500005</v>
      </c>
      <c r="B36536" s="8" t="str">
        <f>HYPERLINK("https://twitter.com/yudhapati88","@yudhapati88")</f>
        <v>@yudhapati88</v>
      </c>
      <c r="C36536" s="8" t="s">
        <v>11773</v>
      </c>
      <c r="D36536" s="8">
        <v>223</v>
      </c>
      <c r="E36536" s="8">
        <v>0</v>
      </c>
      <c r="F36536" s="8">
        <v>3426</v>
      </c>
    </row>
    <row r="36537" spans="1:6" ht="12.75">
      <c r="A36537" s="8">
        <v>43888.043796296297</v>
      </c>
      <c r="B36537" s="8" t="str">
        <f>HYPERLINK("https://twitter.com/papadavid1982","@papadavid1982")</f>
        <v>@papadavid1982</v>
      </c>
      <c r="C36537" s="8" t="s">
        <v>12143</v>
      </c>
      <c r="D36537" s="8">
        <v>258</v>
      </c>
      <c r="E36537" s="8">
        <v>0</v>
      </c>
      <c r="F36537" s="8">
        <v>193</v>
      </c>
    </row>
    <row r="36538" spans="1:6" ht="12.75">
      <c r="A36538" s="8">
        <v>43888.04378472222</v>
      </c>
      <c r="B36538" s="8" t="str">
        <f>HYPERLINK("https://twitter.com/AmstrongBiring","@AmstrongBiring")</f>
        <v>@AmstrongBiring</v>
      </c>
      <c r="C36538" s="8" t="s">
        <v>14186</v>
      </c>
      <c r="D36538" s="8">
        <v>0</v>
      </c>
      <c r="E36538" s="8">
        <v>0</v>
      </c>
      <c r="F36538" s="8">
        <v>1979</v>
      </c>
    </row>
    <row r="36539" spans="1:6" ht="12.75">
      <c r="A36539" s="8">
        <v>43888.043715277774</v>
      </c>
      <c r="B36539" s="8" t="str">
        <f>HYPERLINK("https://twitter.com/rifumiii","@rifumiii")</f>
        <v>@rifumiii</v>
      </c>
      <c r="C36539" s="8" t="s">
        <v>1318</v>
      </c>
      <c r="D36539" s="8">
        <v>23265</v>
      </c>
      <c r="E36539" s="8">
        <v>0</v>
      </c>
      <c r="F36539" s="8">
        <v>17</v>
      </c>
    </row>
    <row r="36540" spans="1:6" ht="12.75">
      <c r="A36540" s="8">
        <v>43888.043425925927</v>
      </c>
      <c r="B36540" s="8" t="str">
        <f>HYPERLINK("https://twitter.com/isis_vic0","@isis_vic0")</f>
        <v>@isis_vic0</v>
      </c>
      <c r="C36540" s="8" t="s">
        <v>14187</v>
      </c>
      <c r="D36540" s="8">
        <v>0</v>
      </c>
      <c r="E36540" s="8">
        <v>0</v>
      </c>
      <c r="F36540" s="8">
        <v>237</v>
      </c>
    </row>
    <row r="36541" spans="1:6" ht="12.75">
      <c r="A36541" s="8">
        <v>43888.043217592596</v>
      </c>
      <c r="B36541" s="8" t="str">
        <f>HYPERLINK("https://twitter.com/AmstrongBiring","@AmstrongBiring")</f>
        <v>@AmstrongBiring</v>
      </c>
      <c r="C36541" s="8" t="s">
        <v>14188</v>
      </c>
      <c r="D36541" s="8">
        <v>3</v>
      </c>
      <c r="E36541" s="8">
        <v>0</v>
      </c>
      <c r="F36541" s="8">
        <v>1979</v>
      </c>
    </row>
    <row r="36542" spans="1:6" ht="12.75">
      <c r="A36542" s="8">
        <v>43888.043206018519</v>
      </c>
      <c r="B36542" s="8" t="str">
        <f>HYPERLINK("https://twitter.com/BillTemporo","@BillTemporo")</f>
        <v>@BillTemporo</v>
      </c>
      <c r="C36542" s="8" t="s">
        <v>384</v>
      </c>
      <c r="D36542" s="8">
        <v>0</v>
      </c>
      <c r="E36542" s="8">
        <v>0</v>
      </c>
      <c r="F36542" s="8">
        <v>11</v>
      </c>
    </row>
    <row r="36543" spans="1:6" ht="12.75">
      <c r="A36543" s="8">
        <v>43888.042905092589</v>
      </c>
      <c r="B36543" s="8" t="str">
        <f>HYPERLINK("https://twitter.com/YEngran","@YEngran")</f>
        <v>@YEngran</v>
      </c>
      <c r="C36543" s="8" t="s">
        <v>14189</v>
      </c>
      <c r="D36543" s="8">
        <v>0</v>
      </c>
      <c r="E36543" s="8">
        <v>0</v>
      </c>
      <c r="F36543" s="8">
        <v>262</v>
      </c>
    </row>
    <row r="36544" spans="1:6" ht="12.75">
      <c r="A36544" s="8">
        <v>43888.042743055557</v>
      </c>
      <c r="B36544" s="8" t="str">
        <f>HYPERLINK("https://twitter.com/kompascom","@kompascom")</f>
        <v>@kompascom</v>
      </c>
      <c r="C36544" s="8" t="s">
        <v>14185</v>
      </c>
      <c r="D36544" s="8">
        <v>3</v>
      </c>
      <c r="E36544" s="8">
        <v>0</v>
      </c>
      <c r="F36544" s="8">
        <v>7514592</v>
      </c>
    </row>
    <row r="36545" spans="1:6" ht="12.75">
      <c r="A36545" s="8">
        <v>43888.042395833334</v>
      </c>
      <c r="B36545" s="8" t="str">
        <f>HYPERLINK("https://twitter.com/munibakhmad1","@munibakhmad1")</f>
        <v>@munibakhmad1</v>
      </c>
      <c r="C36545" s="8" t="s">
        <v>4785</v>
      </c>
      <c r="D36545" s="8">
        <v>326</v>
      </c>
      <c r="E36545" s="8">
        <v>0</v>
      </c>
      <c r="F36545" s="8">
        <v>0</v>
      </c>
    </row>
    <row r="36546" spans="1:6" ht="12.75">
      <c r="A36546" s="8">
        <v>43888.042384259257</v>
      </c>
      <c r="B36546" s="8" t="str">
        <f>HYPERLINK("https://twitter.com/kompasiana","@kompasiana")</f>
        <v>@kompasiana</v>
      </c>
      <c r="C36546" s="8" t="s">
        <v>14190</v>
      </c>
      <c r="D36546" s="8">
        <v>3</v>
      </c>
      <c r="E36546" s="8">
        <v>2</v>
      </c>
      <c r="F36546" s="8">
        <v>930652</v>
      </c>
    </row>
    <row r="36547" spans="1:6" ht="12.75">
      <c r="A36547" s="8">
        <v>43888.041643518518</v>
      </c>
      <c r="B36547" s="8" t="str">
        <f t="shared" ref="B36547:B36548" si="535">HYPERLINK("https://twitter.com/AmstrongBiring","@AmstrongBiring")</f>
        <v>@AmstrongBiring</v>
      </c>
      <c r="C36547" s="8" t="s">
        <v>14191</v>
      </c>
      <c r="D36547" s="8">
        <v>2</v>
      </c>
      <c r="E36547" s="8">
        <v>0</v>
      </c>
      <c r="F36547" s="8">
        <v>1979</v>
      </c>
    </row>
    <row r="36548" spans="1:6" ht="12.75">
      <c r="A36548" s="8">
        <v>43888.041099537033</v>
      </c>
      <c r="B36548" s="8" t="str">
        <f t="shared" si="535"/>
        <v>@AmstrongBiring</v>
      </c>
      <c r="C36548" s="8" t="s">
        <v>14192</v>
      </c>
      <c r="D36548" s="8">
        <v>0</v>
      </c>
      <c r="E36548" s="8">
        <v>0</v>
      </c>
      <c r="F36548" s="8">
        <v>1979</v>
      </c>
    </row>
    <row r="36549" spans="1:6" ht="12.75">
      <c r="A36549" s="8">
        <v>43888.040798611109</v>
      </c>
      <c r="B36549" s="8" t="str">
        <f>HYPERLINK("https://twitter.com/suradiparlan5","@suradiparlan5")</f>
        <v>@suradiparlan5</v>
      </c>
      <c r="C36549" s="8" t="s">
        <v>14137</v>
      </c>
      <c r="D36549" s="8">
        <v>3</v>
      </c>
      <c r="E36549" s="8">
        <v>0</v>
      </c>
      <c r="F36549" s="8">
        <v>1370</v>
      </c>
    </row>
    <row r="36550" spans="1:6" ht="12.75">
      <c r="A36550" s="8">
        <v>43888.04078703704</v>
      </c>
      <c r="B36550" s="8" t="str">
        <f>HYPERLINK("https://twitter.com/AmstrongBiring","@AmstrongBiring")</f>
        <v>@AmstrongBiring</v>
      </c>
      <c r="C36550" s="8" t="s">
        <v>13858</v>
      </c>
      <c r="D36550" s="8">
        <v>2</v>
      </c>
      <c r="E36550" s="8">
        <v>0</v>
      </c>
      <c r="F36550" s="8">
        <v>1979</v>
      </c>
    </row>
    <row r="36551" spans="1:6" ht="12.75">
      <c r="A36551" s="8">
        <v>43888.04011574074</v>
      </c>
      <c r="B36551" s="8" t="str">
        <f>HYPERLINK("https://twitter.com/educated_baccha","@educated_baccha")</f>
        <v>@educated_baccha</v>
      </c>
      <c r="C36551" s="8" t="s">
        <v>14193</v>
      </c>
      <c r="D36551" s="8">
        <v>0</v>
      </c>
      <c r="E36551" s="8">
        <v>0</v>
      </c>
      <c r="F36551" s="8">
        <v>3</v>
      </c>
    </row>
    <row r="36552" spans="1:6" ht="12.75">
      <c r="A36552" s="8">
        <v>43888.039375</v>
      </c>
      <c r="B36552" s="8" t="str">
        <f>HYPERLINK("https://twitter.com/ojandanny1","@ojandanny1")</f>
        <v>@ojandanny1</v>
      </c>
      <c r="C36552" s="8" t="s">
        <v>11773</v>
      </c>
      <c r="D36552" s="8">
        <v>223</v>
      </c>
      <c r="E36552" s="8">
        <v>0</v>
      </c>
      <c r="F36552" s="8">
        <v>33</v>
      </c>
    </row>
    <row r="36553" spans="1:6" ht="12.75">
      <c r="A36553" s="8">
        <v>43888.038483796292</v>
      </c>
      <c r="B36553" s="8" t="str">
        <f>HYPERLINK("https://twitter.com/Bob91719138","@Bob91719138")</f>
        <v>@Bob91719138</v>
      </c>
      <c r="C36553" s="8" t="s">
        <v>11773</v>
      </c>
      <c r="D36553" s="8">
        <v>223</v>
      </c>
      <c r="E36553" s="8">
        <v>0</v>
      </c>
      <c r="F36553" s="8">
        <v>49</v>
      </c>
    </row>
    <row r="36554" spans="1:6" ht="12.75">
      <c r="A36554" s="8">
        <v>43888.037974537037</v>
      </c>
      <c r="B36554" s="8" t="str">
        <f>HYPERLINK("https://twitter.com/Hermesdearaujo4","@Hermesdearaujo4")</f>
        <v>@Hermesdearaujo4</v>
      </c>
      <c r="C36554" s="8" t="s">
        <v>14194</v>
      </c>
      <c r="D36554" s="8">
        <v>0</v>
      </c>
      <c r="E36554" s="8">
        <v>0</v>
      </c>
      <c r="F36554" s="8">
        <v>97</v>
      </c>
    </row>
    <row r="36555" spans="1:6" ht="12.75">
      <c r="A36555" s="8">
        <v>43888.037245370375</v>
      </c>
      <c r="B36555" s="8" t="str">
        <f>HYPERLINK("https://twitter.com/nanininaninna","@nanininaninna")</f>
        <v>@nanininaninna</v>
      </c>
      <c r="C36555" s="8" t="s">
        <v>11773</v>
      </c>
      <c r="D36555" s="8">
        <v>223</v>
      </c>
      <c r="E36555" s="8">
        <v>0</v>
      </c>
      <c r="F36555" s="8">
        <v>2745</v>
      </c>
    </row>
    <row r="36556" spans="1:6" ht="12.75">
      <c r="A36556" s="8">
        <v>43888.036157407405</v>
      </c>
      <c r="B36556" s="8" t="str">
        <f>HYPERLINK("https://twitter.com/purnomo_jati1","@purnomo_jati1")</f>
        <v>@purnomo_jati1</v>
      </c>
      <c r="C36556" s="8" t="s">
        <v>14195</v>
      </c>
      <c r="D36556" s="8">
        <v>0</v>
      </c>
      <c r="E36556" s="8">
        <v>0</v>
      </c>
      <c r="F36556" s="8">
        <v>335</v>
      </c>
    </row>
    <row r="36557" spans="1:6" ht="12.75">
      <c r="A36557" s="8">
        <v>43888.036076388889</v>
      </c>
      <c r="B36557" s="8" t="str">
        <f>HYPERLINK("https://twitter.com/ReggieDotulong","@ReggieDotulong")</f>
        <v>@ReggieDotulong</v>
      </c>
      <c r="C36557" s="8" t="s">
        <v>11773</v>
      </c>
      <c r="D36557" s="8">
        <v>223</v>
      </c>
      <c r="E36557" s="8">
        <v>0</v>
      </c>
      <c r="F36557" s="8">
        <v>261</v>
      </c>
    </row>
    <row r="36558" spans="1:6" ht="12.75">
      <c r="A36558" s="8">
        <v>43888.035381944443</v>
      </c>
      <c r="B36558" s="8" t="str">
        <f>HYPERLINK("https://twitter.com/AmstrongBiring","@AmstrongBiring")</f>
        <v>@AmstrongBiring</v>
      </c>
      <c r="C36558" s="8" t="s">
        <v>14196</v>
      </c>
      <c r="D36558" s="8">
        <v>0</v>
      </c>
      <c r="E36558" s="8">
        <v>0</v>
      </c>
      <c r="F36558" s="8">
        <v>1979</v>
      </c>
    </row>
    <row r="36559" spans="1:6" ht="12.75">
      <c r="A36559" s="8">
        <v>43888.034953703704</v>
      </c>
      <c r="B36559" s="8" t="str">
        <f>HYPERLINK("https://twitter.com/goldstar41","@goldstar41")</f>
        <v>@goldstar41</v>
      </c>
      <c r="C36559" s="8" t="s">
        <v>4785</v>
      </c>
      <c r="D36559" s="8">
        <v>326</v>
      </c>
      <c r="E36559" s="8">
        <v>0</v>
      </c>
      <c r="F36559" s="8">
        <v>2093</v>
      </c>
    </row>
    <row r="36560" spans="1:6" ht="12.75">
      <c r="A36560" s="8">
        <v>43888.034363425926</v>
      </c>
      <c r="B36560" s="8" t="str">
        <f>HYPERLINK("https://twitter.com/yudhapati88","@yudhapati88")</f>
        <v>@yudhapati88</v>
      </c>
      <c r="C36560" s="8" t="s">
        <v>14197</v>
      </c>
      <c r="D36560" s="8">
        <v>0</v>
      </c>
      <c r="E36560" s="8">
        <v>0</v>
      </c>
      <c r="F36560" s="8">
        <v>3426</v>
      </c>
    </row>
    <row r="36561" spans="1:6" ht="12.75">
      <c r="A36561" s="8">
        <v>43888.034259259264</v>
      </c>
      <c r="B36561" s="8" t="str">
        <f>HYPERLINK("https://twitter.com/erikphitoyo1","@erikphitoyo1")</f>
        <v>@erikphitoyo1</v>
      </c>
      <c r="C36561" s="8" t="s">
        <v>4785</v>
      </c>
      <c r="D36561" s="8">
        <v>326</v>
      </c>
      <c r="E36561" s="8">
        <v>0</v>
      </c>
      <c r="F36561" s="8">
        <v>339</v>
      </c>
    </row>
    <row r="36562" spans="1:6" ht="12.75">
      <c r="A36562" s="8">
        <v>43888.033379629633</v>
      </c>
      <c r="B36562" s="8" t="str">
        <f>HYPERLINK("https://twitter.com/BNNK_Balikpapan","@BNNK_Balikpapan")</f>
        <v>@BNNK_Balikpapan</v>
      </c>
      <c r="C36562" s="8" t="s">
        <v>14198</v>
      </c>
      <c r="D36562" s="8">
        <v>0</v>
      </c>
      <c r="E36562" s="8">
        <v>0</v>
      </c>
      <c r="F36562" s="8">
        <v>4424</v>
      </c>
    </row>
    <row r="36563" spans="1:6" ht="12.75">
      <c r="A36563" s="8">
        <v>43888.033356481479</v>
      </c>
      <c r="B36563" s="8" t="str">
        <f>HYPERLINK("https://twitter.com/patipadam","@patipadam")</f>
        <v>@patipadam</v>
      </c>
      <c r="C36563" s="8" t="s">
        <v>14199</v>
      </c>
      <c r="D36563" s="8">
        <v>0</v>
      </c>
      <c r="E36563" s="8">
        <v>0</v>
      </c>
      <c r="F36563" s="8">
        <v>2011</v>
      </c>
    </row>
    <row r="36564" spans="1:6" ht="12.75">
      <c r="A36564" s="8">
        <v>43888.028009259258</v>
      </c>
      <c r="B36564" s="8" t="str">
        <f>HYPERLINK("https://twitter.com/mgk_est_19_xx","@mgk_est_19_xx")</f>
        <v>@mgk_est_19_xx</v>
      </c>
      <c r="C36564" s="8" t="s">
        <v>14174</v>
      </c>
      <c r="D36564" s="8">
        <v>1</v>
      </c>
      <c r="E36564" s="8">
        <v>0</v>
      </c>
      <c r="F36564" s="8">
        <v>275</v>
      </c>
    </row>
    <row r="36565" spans="1:6" ht="12.75">
      <c r="A36565" s="8">
        <v>43888.027939814812</v>
      </c>
      <c r="B36565" s="8" t="str">
        <f>HYPERLINK("https://twitter.com/ediedot108","@ediedot108")</f>
        <v>@ediedot108</v>
      </c>
      <c r="C36565" s="8" t="s">
        <v>14200</v>
      </c>
      <c r="D36565" s="8">
        <v>1</v>
      </c>
      <c r="E36565" s="8">
        <v>0</v>
      </c>
      <c r="F36565" s="8">
        <v>2269</v>
      </c>
    </row>
    <row r="36566" spans="1:6" ht="12.75">
      <c r="A36566" s="8">
        <v>43888.027789351851</v>
      </c>
      <c r="B36566" s="8" t="str">
        <f>HYPERLINK("https://twitter.com/Sanjayaluv","@Sanjayaluv")</f>
        <v>@Sanjayaluv</v>
      </c>
      <c r="C36566" s="8" t="s">
        <v>14201</v>
      </c>
      <c r="D36566" s="8">
        <v>0</v>
      </c>
      <c r="E36566" s="8">
        <v>0</v>
      </c>
      <c r="F36566" s="8">
        <v>3508</v>
      </c>
    </row>
    <row r="36567" spans="1:6" ht="12.75">
      <c r="A36567" s="8">
        <v>43888.027418981481</v>
      </c>
      <c r="B36567" s="8" t="str">
        <f>HYPERLINK("https://twitter.com/Michael79820241","@Michael79820241")</f>
        <v>@Michael79820241</v>
      </c>
      <c r="C36567" s="8" t="s">
        <v>13198</v>
      </c>
      <c r="D36567" s="8">
        <v>32</v>
      </c>
      <c r="E36567" s="8">
        <v>0</v>
      </c>
      <c r="F36567" s="8">
        <v>107</v>
      </c>
    </row>
    <row r="36568" spans="1:6" ht="12.75">
      <c r="A36568" s="8">
        <v>43888.027106481481</v>
      </c>
      <c r="B36568" s="8" t="str">
        <f>HYPERLINK("https://twitter.com/Indianandabori1","@Indianandabori1")</f>
        <v>@Indianandabori1</v>
      </c>
      <c r="C36568" s="8" t="s">
        <v>14202</v>
      </c>
      <c r="D36568" s="8">
        <v>0</v>
      </c>
      <c r="E36568" s="8">
        <v>0</v>
      </c>
      <c r="F36568" s="8">
        <v>0</v>
      </c>
    </row>
    <row r="36569" spans="1:6" ht="12.75">
      <c r="A36569" s="8">
        <v>43888.026597222226</v>
      </c>
      <c r="B36569" s="8" t="str">
        <f>HYPERLINK("https://twitter.com/Antoniowan","@Antoniowan")</f>
        <v>@Antoniowan</v>
      </c>
      <c r="C36569" s="8" t="s">
        <v>11773</v>
      </c>
      <c r="D36569" s="8">
        <v>223</v>
      </c>
      <c r="E36569" s="8">
        <v>0</v>
      </c>
      <c r="F36569" s="8">
        <v>1304</v>
      </c>
    </row>
    <row r="36570" spans="1:6" ht="12.75">
      <c r="A36570" s="8">
        <v>43888.025266203702</v>
      </c>
      <c r="B36570" s="8" t="str">
        <f>HYPERLINK("https://twitter.com/lutfimy__","@lutfimy__")</f>
        <v>@lutfimy__</v>
      </c>
      <c r="C36570" s="8" t="s">
        <v>12143</v>
      </c>
      <c r="D36570" s="8">
        <v>258</v>
      </c>
      <c r="E36570" s="8">
        <v>0</v>
      </c>
      <c r="F36570" s="8">
        <v>272</v>
      </c>
    </row>
    <row r="36571" spans="1:6" ht="12.75">
      <c r="A36571" s="8">
        <v>43888.023622685185</v>
      </c>
      <c r="B36571" s="8" t="str">
        <f>HYPERLINK("https://twitter.com/Mama_Untari","@Mama_Untari")</f>
        <v>@Mama_Untari</v>
      </c>
      <c r="C36571" s="8" t="s">
        <v>13900</v>
      </c>
      <c r="D36571" s="8">
        <v>65</v>
      </c>
      <c r="E36571" s="8">
        <v>0</v>
      </c>
      <c r="F36571" s="8">
        <v>787</v>
      </c>
    </row>
    <row r="36572" spans="1:6" ht="12.75">
      <c r="A36572" s="8">
        <v>43888.023321759261</v>
      </c>
      <c r="B36572" s="8" t="str">
        <f>HYPERLINK("https://twitter.com/rajatsn","@rajatsn")</f>
        <v>@rajatsn</v>
      </c>
      <c r="C36572" s="8" t="s">
        <v>14203</v>
      </c>
      <c r="D36572" s="8">
        <v>0</v>
      </c>
      <c r="E36572" s="8">
        <v>0</v>
      </c>
      <c r="F36572" s="8">
        <v>183</v>
      </c>
    </row>
    <row r="36573" spans="1:6" ht="12.75">
      <c r="A36573" s="8">
        <v>43888.022824074069</v>
      </c>
      <c r="B36573" s="8" t="str">
        <f>HYPERLINK("https://twitter.com/hans_tbn","@hans_tbn")</f>
        <v>@hans_tbn</v>
      </c>
      <c r="C36573" s="8" t="s">
        <v>11773</v>
      </c>
      <c r="D36573" s="8">
        <v>223</v>
      </c>
      <c r="E36573" s="8">
        <v>0</v>
      </c>
      <c r="F36573" s="8">
        <v>430</v>
      </c>
    </row>
    <row r="36574" spans="1:6" ht="12.75">
      <c r="A36574" s="8">
        <v>43888.022731481484</v>
      </c>
      <c r="B36574" s="8" t="str">
        <f>HYPERLINK("https://twitter.com/AmstrongBiring","@AmstrongBiring")</f>
        <v>@AmstrongBiring</v>
      </c>
      <c r="C36574" s="8" t="s">
        <v>14204</v>
      </c>
      <c r="D36574" s="8">
        <v>0</v>
      </c>
      <c r="E36574" s="8">
        <v>0</v>
      </c>
      <c r="F36574" s="8">
        <v>1979</v>
      </c>
    </row>
    <row r="36575" spans="1:6" ht="12.75">
      <c r="A36575" s="8">
        <v>43888.022627314815</v>
      </c>
      <c r="B36575" s="8" t="str">
        <f>HYPERLINK("https://twitter.com/ooomamamay","@ooomamamay")</f>
        <v>@ooomamamay</v>
      </c>
      <c r="C36575" s="8" t="s">
        <v>14205</v>
      </c>
      <c r="D36575" s="8">
        <v>0</v>
      </c>
      <c r="E36575" s="8">
        <v>0</v>
      </c>
      <c r="F36575" s="8">
        <v>2</v>
      </c>
    </row>
    <row r="36576" spans="1:6" ht="12.75">
      <c r="A36576" s="8">
        <v>43888.022557870368</v>
      </c>
      <c r="B36576" s="8" t="str">
        <f>HYPERLINK("https://twitter.com/AmstrongBiring","@AmstrongBiring")</f>
        <v>@AmstrongBiring</v>
      </c>
      <c r="C36576" s="8" t="s">
        <v>14206</v>
      </c>
      <c r="D36576" s="8">
        <v>4</v>
      </c>
      <c r="E36576" s="8">
        <v>0</v>
      </c>
      <c r="F36576" s="8">
        <v>1979</v>
      </c>
    </row>
    <row r="36577" spans="1:6" ht="12.75">
      <c r="A36577" s="8">
        <v>43888.022303240738</v>
      </c>
      <c r="B36577" s="8" t="str">
        <f t="shared" ref="B36577:B36578" si="536">HYPERLINK("https://twitter.com/Michael79820241","@Michael79820241")</f>
        <v>@Michael79820241</v>
      </c>
      <c r="C36577" s="8" t="s">
        <v>13329</v>
      </c>
      <c r="D36577" s="8">
        <v>11</v>
      </c>
      <c r="E36577" s="8">
        <v>0</v>
      </c>
      <c r="F36577" s="8">
        <v>107</v>
      </c>
    </row>
    <row r="36578" spans="1:6" ht="12.75">
      <c r="A36578" s="8">
        <v>43888.022060185191</v>
      </c>
      <c r="B36578" s="8" t="str">
        <f t="shared" si="536"/>
        <v>@Michael79820241</v>
      </c>
      <c r="C36578" s="8" t="s">
        <v>13505</v>
      </c>
      <c r="D36578" s="8">
        <v>9</v>
      </c>
      <c r="E36578" s="8">
        <v>0</v>
      </c>
      <c r="F36578" s="8">
        <v>107</v>
      </c>
    </row>
    <row r="36579" spans="1:6" ht="12.75">
      <c r="A36579" s="8">
        <v>43888.021817129629</v>
      </c>
      <c r="B36579" s="8" t="str">
        <f>HYPERLINK("https://twitter.com/KopiLuw51857120","@KopiLuw51857120")</f>
        <v>@KopiLuw51857120</v>
      </c>
      <c r="C36579" s="8" t="s">
        <v>11773</v>
      </c>
      <c r="D36579" s="8">
        <v>223</v>
      </c>
      <c r="E36579" s="8">
        <v>0</v>
      </c>
      <c r="F36579" s="8">
        <v>890</v>
      </c>
    </row>
    <row r="36580" spans="1:6" ht="12.75">
      <c r="A36580" s="8">
        <v>43888.020844907413</v>
      </c>
      <c r="B36580" s="8" t="str">
        <f>HYPERLINK("https://twitter.com/marpaung913","@marpaung913")</f>
        <v>@marpaung913</v>
      </c>
      <c r="C36580" s="8" t="s">
        <v>14207</v>
      </c>
      <c r="D36580" s="8">
        <v>0</v>
      </c>
      <c r="E36580" s="8">
        <v>0</v>
      </c>
      <c r="F36580" s="8">
        <v>533</v>
      </c>
    </row>
    <row r="36581" spans="1:6" ht="12.75">
      <c r="A36581" s="8">
        <v>43888.020023148143</v>
      </c>
      <c r="B36581" s="8" t="str">
        <f>HYPERLINK("https://twitter.com/DeniRadja3","@DeniRadja3")</f>
        <v>@DeniRadja3</v>
      </c>
      <c r="C36581" s="8" t="s">
        <v>4785</v>
      </c>
      <c r="D36581" s="8">
        <v>326</v>
      </c>
      <c r="E36581" s="8">
        <v>0</v>
      </c>
      <c r="F36581" s="8">
        <v>9</v>
      </c>
    </row>
    <row r="36582" spans="1:6" ht="12.75">
      <c r="A36582" s="8">
        <v>43888.019490740742</v>
      </c>
      <c r="B36582" s="8" t="str">
        <f>HYPERLINK("https://twitter.com/es_raharjo","@es_raharjo")</f>
        <v>@es_raharjo</v>
      </c>
      <c r="C36582" s="8" t="s">
        <v>11773</v>
      </c>
      <c r="D36582" s="8">
        <v>223</v>
      </c>
      <c r="E36582" s="8">
        <v>0</v>
      </c>
      <c r="F36582" s="8">
        <v>1113</v>
      </c>
    </row>
    <row r="36583" spans="1:6" ht="12.75">
      <c r="A36583" s="8">
        <v>43888.019409722227</v>
      </c>
      <c r="B36583" s="8" t="str">
        <f>HYPERLINK("https://twitter.com/imlusirinata","@imlusirinata")</f>
        <v>@imlusirinata</v>
      </c>
      <c r="C36583" s="8" t="s">
        <v>4785</v>
      </c>
      <c r="D36583" s="8">
        <v>326</v>
      </c>
      <c r="E36583" s="8">
        <v>0</v>
      </c>
      <c r="F36583" s="8">
        <v>296</v>
      </c>
    </row>
    <row r="36584" spans="1:6" ht="12.75">
      <c r="A36584" s="8">
        <v>43888.019085648149</v>
      </c>
      <c r="B36584" s="8" t="str">
        <f>HYPERLINK("https://twitter.com/ismaill26093110","@ismaill26093110")</f>
        <v>@ismaill26093110</v>
      </c>
      <c r="C36584" s="8" t="s">
        <v>13073</v>
      </c>
      <c r="D36584" s="8">
        <v>12</v>
      </c>
      <c r="E36584" s="8">
        <v>0</v>
      </c>
      <c r="F36584" s="8">
        <v>1</v>
      </c>
    </row>
    <row r="36585" spans="1:6" ht="12.75">
      <c r="A36585" s="8">
        <v>43888.01898148148</v>
      </c>
      <c r="B36585" s="8" t="str">
        <f>HYPERLINK("https://twitter.com/SaatTobat","@SaatTobat")</f>
        <v>@SaatTobat</v>
      </c>
      <c r="C36585" s="8" t="s">
        <v>12949</v>
      </c>
      <c r="D36585" s="8">
        <v>2</v>
      </c>
      <c r="E36585" s="8">
        <v>0</v>
      </c>
      <c r="F36585" s="8">
        <v>1239</v>
      </c>
    </row>
    <row r="36586" spans="1:6" ht="12.75">
      <c r="A36586" s="8">
        <v>43888.017847222218</v>
      </c>
      <c r="B36586" s="8" t="str">
        <f>HYPERLINK("https://twitter.com/dergrosenjoe135","@dergrosenjoe135")</f>
        <v>@dergrosenjoe135</v>
      </c>
      <c r="C36586" s="8" t="s">
        <v>11773</v>
      </c>
      <c r="D36586" s="8">
        <v>223</v>
      </c>
      <c r="E36586" s="8">
        <v>0</v>
      </c>
      <c r="F36586" s="8">
        <v>2612</v>
      </c>
    </row>
    <row r="36587" spans="1:6" ht="12.75">
      <c r="A36587" s="8">
        <v>43888.017430555556</v>
      </c>
      <c r="B36587" s="8" t="str">
        <f>HYPERLINK("https://twitter.com/milano_ruas","@milano_ruas")</f>
        <v>@milano_ruas</v>
      </c>
      <c r="C36587" s="8" t="s">
        <v>13965</v>
      </c>
      <c r="D36587" s="8">
        <v>5</v>
      </c>
      <c r="E36587" s="8">
        <v>0</v>
      </c>
      <c r="F36587" s="8">
        <v>905</v>
      </c>
    </row>
    <row r="36588" spans="1:6" ht="12.75">
      <c r="A36588" s="8">
        <v>43888.017361111109</v>
      </c>
      <c r="B36588" s="8" t="str">
        <f>HYPERLINK("https://twitter.com/777juniblack","@777juniblack")</f>
        <v>@777juniblack</v>
      </c>
      <c r="C36588" s="8" t="s">
        <v>14177</v>
      </c>
      <c r="D36588" s="8">
        <v>2</v>
      </c>
      <c r="E36588" s="8">
        <v>0</v>
      </c>
      <c r="F36588" s="8">
        <v>2771</v>
      </c>
    </row>
    <row r="36589" spans="1:6" ht="12.75">
      <c r="A36589" s="8">
        <v>43888.017268518517</v>
      </c>
      <c r="B36589" s="8" t="str">
        <f>HYPERLINK("https://twitter.com/TurnBackWahabi","@TurnBackWahabi")</f>
        <v>@TurnBackWahabi</v>
      </c>
      <c r="C36589" s="8" t="s">
        <v>13198</v>
      </c>
      <c r="D36589" s="8">
        <v>32</v>
      </c>
      <c r="E36589" s="8">
        <v>0</v>
      </c>
      <c r="F36589" s="8">
        <v>390</v>
      </c>
    </row>
    <row r="36590" spans="1:6" ht="12.75">
      <c r="A36590" s="8">
        <v>43888.01667824074</v>
      </c>
      <c r="B36590" s="8" t="str">
        <f>HYPERLINK("https://twitter.com/satus_rolas","@satus_rolas")</f>
        <v>@satus_rolas</v>
      </c>
      <c r="C36590" s="8" t="s">
        <v>14208</v>
      </c>
      <c r="D36590" s="8">
        <v>2</v>
      </c>
      <c r="E36590" s="8">
        <v>5</v>
      </c>
      <c r="F36590" s="8">
        <v>2143</v>
      </c>
    </row>
    <row r="36591" spans="1:6" ht="12.75">
      <c r="A36591" s="8">
        <v>43888.01630787037</v>
      </c>
      <c r="B36591" s="8" t="str">
        <f>HYPERLINK("https://twitter.com/Nonarniati1","@Nonarniati1")</f>
        <v>@Nonarniati1</v>
      </c>
      <c r="C36591" s="8" t="s">
        <v>13198</v>
      </c>
      <c r="D36591" s="8">
        <v>32</v>
      </c>
      <c r="E36591" s="8">
        <v>0</v>
      </c>
      <c r="F36591" s="8">
        <v>15</v>
      </c>
    </row>
    <row r="36592" spans="1:6" ht="12.75">
      <c r="A36592" s="8">
        <v>43888.016250000001</v>
      </c>
      <c r="B36592" s="8" t="str">
        <f>HYPERLINK("https://twitter.com/SilitongaEfraim","@SilitongaEfraim")</f>
        <v>@SilitongaEfraim</v>
      </c>
      <c r="C36592" s="8" t="s">
        <v>299</v>
      </c>
      <c r="D36592" s="8">
        <v>4733</v>
      </c>
      <c r="E36592" s="8">
        <v>0</v>
      </c>
      <c r="F36592" s="8">
        <v>2040</v>
      </c>
    </row>
    <row r="36593" spans="1:6" ht="12.75">
      <c r="A36593" s="8">
        <v>43888.016226851847</v>
      </c>
      <c r="B36593" s="8" t="str">
        <f>HYPERLINK("https://twitter.com/FTanjung007","@FTanjung007")</f>
        <v>@FTanjung007</v>
      </c>
      <c r="C36593" s="8" t="s">
        <v>12949</v>
      </c>
      <c r="D36593" s="8">
        <v>2</v>
      </c>
      <c r="E36593" s="8">
        <v>0</v>
      </c>
      <c r="F36593" s="8">
        <v>2667</v>
      </c>
    </row>
    <row r="36594" spans="1:6" ht="12.75">
      <c r="A36594" s="8">
        <v>43888.01599537037</v>
      </c>
      <c r="B36594" s="8" t="str">
        <f>HYPERLINK("https://twitter.com/examicam","@examicam")</f>
        <v>@examicam</v>
      </c>
      <c r="C36594" s="8" t="s">
        <v>14209</v>
      </c>
      <c r="D36594" s="8">
        <v>0</v>
      </c>
      <c r="E36594" s="8">
        <v>0</v>
      </c>
      <c r="F36594" s="8">
        <v>91</v>
      </c>
    </row>
    <row r="36595" spans="1:6" ht="12.75">
      <c r="A36595" s="8">
        <v>43888.01462962963</v>
      </c>
      <c r="B36595" s="8" t="str">
        <f>HYPERLINK("https://twitter.com/sangkur28","@sangkur28")</f>
        <v>@sangkur28</v>
      </c>
      <c r="C36595" s="8" t="s">
        <v>12143</v>
      </c>
      <c r="D36595" s="8">
        <v>258</v>
      </c>
      <c r="E36595" s="8">
        <v>0</v>
      </c>
      <c r="F36595" s="8">
        <v>2427</v>
      </c>
    </row>
    <row r="36596" spans="1:6" ht="12.75">
      <c r="A36596" s="8">
        <v>43888.014062499999</v>
      </c>
      <c r="B36596" s="8" t="str">
        <f>HYPERLINK("https://twitter.com/AnakLolina","@AnakLolina")</f>
        <v>@AnakLolina</v>
      </c>
      <c r="C36596" s="8" t="s">
        <v>13505</v>
      </c>
      <c r="D36596" s="8">
        <v>9</v>
      </c>
      <c r="E36596" s="8">
        <v>0</v>
      </c>
      <c r="F36596" s="8">
        <v>14910</v>
      </c>
    </row>
    <row r="36597" spans="1:6" ht="12.75">
      <c r="A36597" s="8">
        <v>43888.013865740737</v>
      </c>
      <c r="B36597" s="8" t="str">
        <f>HYPERLINK("https://twitter.com/btungka1997","@btungka1997")</f>
        <v>@btungka1997</v>
      </c>
      <c r="C36597" s="8" t="s">
        <v>14071</v>
      </c>
      <c r="D36597" s="8">
        <v>12</v>
      </c>
      <c r="E36597" s="8">
        <v>0</v>
      </c>
      <c r="F36597" s="8">
        <v>424</v>
      </c>
    </row>
    <row r="36598" spans="1:6" ht="12.75">
      <c r="A36598" s="8">
        <v>43888.013831018514</v>
      </c>
      <c r="B36598" s="8" t="str">
        <f>HYPERLINK("https://twitter.com/rakhaabdilah","@rakhaabdilah")</f>
        <v>@rakhaabdilah</v>
      </c>
      <c r="C36598" s="8" t="s">
        <v>2941</v>
      </c>
      <c r="D36598" s="8">
        <v>1059</v>
      </c>
      <c r="E36598" s="8">
        <v>0</v>
      </c>
      <c r="F36598" s="8">
        <v>139</v>
      </c>
    </row>
    <row r="36599" spans="1:6" ht="12.75">
      <c r="A36599" s="8">
        <v>43888.013657407406</v>
      </c>
      <c r="B36599" s="8" t="str">
        <f>HYPERLINK("https://twitter.com/kumarntamilanTN","@kumarntamilanTN")</f>
        <v>@kumarntamilanTN</v>
      </c>
      <c r="C36599" s="8" t="s">
        <v>14210</v>
      </c>
      <c r="D36599" s="8">
        <v>1</v>
      </c>
      <c r="E36599" s="8">
        <v>0</v>
      </c>
      <c r="F36599" s="8">
        <v>8</v>
      </c>
    </row>
    <row r="36600" spans="1:6" ht="12.75">
      <c r="A36600" s="8">
        <v>43888.012766203705</v>
      </c>
      <c r="B36600" s="8" t="str">
        <f>HYPERLINK("https://twitter.com/TurnBackWahabi","@TurnBackWahabi")</f>
        <v>@TurnBackWahabi</v>
      </c>
      <c r="C36600" s="8" t="s">
        <v>11773</v>
      </c>
      <c r="D36600" s="8">
        <v>223</v>
      </c>
      <c r="E36600" s="8">
        <v>0</v>
      </c>
      <c r="F36600" s="8">
        <v>390</v>
      </c>
    </row>
    <row r="36601" spans="1:6" ht="12.75">
      <c r="A36601" s="8">
        <v>43888.012523148151</v>
      </c>
      <c r="B36601" s="8" t="str">
        <f>HYPERLINK("https://twitter.com/NurwendaDeden","@NurwendaDeden")</f>
        <v>@NurwendaDeden</v>
      </c>
      <c r="C36601" s="8" t="s">
        <v>12143</v>
      </c>
      <c r="D36601" s="8">
        <v>258</v>
      </c>
      <c r="E36601" s="8">
        <v>0</v>
      </c>
      <c r="F36601" s="8">
        <v>516</v>
      </c>
    </row>
    <row r="36602" spans="1:6" ht="12.75">
      <c r="A36602" s="8">
        <v>43888.012488425928</v>
      </c>
      <c r="B36602" s="8" t="str">
        <f>HYPERLINK("https://twitter.com/Kennedy_mnl","@Kennedy_mnl")</f>
        <v>@Kennedy_mnl</v>
      </c>
      <c r="C36602" s="8" t="s">
        <v>14211</v>
      </c>
      <c r="D36602" s="8">
        <v>0</v>
      </c>
      <c r="E36602" s="8">
        <v>0</v>
      </c>
      <c r="F36602" s="8">
        <v>175</v>
      </c>
    </row>
    <row r="36603" spans="1:6" ht="12.75">
      <c r="A36603" s="8">
        <v>43888.012453703705</v>
      </c>
      <c r="B36603" s="8" t="str">
        <f>HYPERLINK("https://twitter.com/f_purwatmo","@f_purwatmo")</f>
        <v>@f_purwatmo</v>
      </c>
      <c r="C36603" s="8" t="s">
        <v>12143</v>
      </c>
      <c r="D36603" s="8">
        <v>258</v>
      </c>
      <c r="E36603" s="8">
        <v>0</v>
      </c>
      <c r="F36603" s="8">
        <v>453</v>
      </c>
    </row>
    <row r="36604" spans="1:6" ht="12.75">
      <c r="A36604" s="8">
        <v>43888.012037037042</v>
      </c>
      <c r="B36604" s="8" t="str">
        <f>HYPERLINK("https://twitter.com/Nonarniati1","@Nonarniati1")</f>
        <v>@Nonarniati1</v>
      </c>
      <c r="C36604" s="8" t="s">
        <v>14212</v>
      </c>
      <c r="D36604" s="8">
        <v>1</v>
      </c>
      <c r="E36604" s="8">
        <v>1</v>
      </c>
      <c r="F36604" s="8">
        <v>15</v>
      </c>
    </row>
    <row r="36605" spans="1:6" ht="12.75">
      <c r="A36605" s="8">
        <v>43888.011365740742</v>
      </c>
      <c r="B36605" s="8" t="str">
        <f>HYPERLINK("https://twitter.com/Faiq82046464","@Faiq82046464")</f>
        <v>@Faiq82046464</v>
      </c>
      <c r="C36605" s="8" t="s">
        <v>4785</v>
      </c>
      <c r="D36605" s="8">
        <v>326</v>
      </c>
      <c r="E36605" s="8">
        <v>0</v>
      </c>
      <c r="F36605" s="8">
        <v>12</v>
      </c>
    </row>
    <row r="36606" spans="1:6" ht="12.75">
      <c r="A36606" s="8">
        <v>43888.011203703703</v>
      </c>
      <c r="B36606" s="8" t="str">
        <f>HYPERLINK("https://twitter.com/btungka1997","@btungka1997")</f>
        <v>@btungka1997</v>
      </c>
      <c r="C36606" s="8" t="s">
        <v>12406</v>
      </c>
      <c r="D36606" s="8">
        <v>68</v>
      </c>
      <c r="E36606" s="8">
        <v>0</v>
      </c>
      <c r="F36606" s="8">
        <v>424</v>
      </c>
    </row>
    <row r="36607" spans="1:6" ht="12.75">
      <c r="A36607" s="8">
        <v>43888.010775462964</v>
      </c>
      <c r="B36607" s="8" t="str">
        <f>HYPERLINK("https://twitter.com/suchisow9","@suchisow9")</f>
        <v>@suchisow9</v>
      </c>
      <c r="C36607" s="8" t="s">
        <v>14213</v>
      </c>
      <c r="D36607" s="8">
        <v>1</v>
      </c>
      <c r="E36607" s="8">
        <v>4</v>
      </c>
      <c r="F36607" s="8">
        <v>2088</v>
      </c>
    </row>
    <row r="36608" spans="1:6" ht="12.75">
      <c r="A36608" s="8">
        <v>43888.010740740741</v>
      </c>
      <c r="B36608" s="8" t="str">
        <f>HYPERLINK("https://twitter.com/SantiLim14","@SantiLim14")</f>
        <v>@SantiLim14</v>
      </c>
      <c r="C36608" s="8" t="s">
        <v>14214</v>
      </c>
      <c r="D36608" s="8">
        <v>1</v>
      </c>
      <c r="E36608" s="8">
        <v>0</v>
      </c>
      <c r="F36608" s="8">
        <v>4065</v>
      </c>
    </row>
    <row r="36609" spans="1:6" ht="12.75">
      <c r="A36609" s="8">
        <v>43888.010428240741</v>
      </c>
      <c r="B36609" s="8" t="str">
        <f>HYPERLINK("https://twitter.com/rmol_id","@rmol_id")</f>
        <v>@rmol_id</v>
      </c>
      <c r="C36609" s="8" t="s">
        <v>14215</v>
      </c>
      <c r="D36609" s="8">
        <v>1</v>
      </c>
      <c r="E36609" s="8">
        <v>2</v>
      </c>
      <c r="F36609" s="8">
        <v>166310</v>
      </c>
    </row>
    <row r="36610" spans="1:6" ht="12.75">
      <c r="A36610" s="8">
        <v>43888.009050925924</v>
      </c>
      <c r="B36610" s="8" t="str">
        <f>HYPERLINK("https://twitter.com/camatmexico","@camatmexico")</f>
        <v>@camatmexico</v>
      </c>
      <c r="C36610" s="8" t="s">
        <v>14216</v>
      </c>
      <c r="D36610" s="8">
        <v>0</v>
      </c>
      <c r="E36610" s="8">
        <v>0</v>
      </c>
      <c r="F36610" s="8">
        <v>566</v>
      </c>
    </row>
    <row r="36611" spans="1:6" ht="12.75">
      <c r="A36611" s="8">
        <v>43888.008645833332</v>
      </c>
      <c r="B36611" s="8" t="str">
        <f>HYPERLINK("https://twitter.com/djohankraisler","@djohankraisler")</f>
        <v>@djohankraisler</v>
      </c>
      <c r="C36611" s="8" t="s">
        <v>12406</v>
      </c>
      <c r="D36611" s="8">
        <v>68</v>
      </c>
      <c r="E36611" s="8">
        <v>0</v>
      </c>
      <c r="F36611" s="8">
        <v>157</v>
      </c>
    </row>
    <row r="36612" spans="1:6" ht="12.75">
      <c r="A36612" s="8">
        <v>43888.008402777778</v>
      </c>
      <c r="B36612" s="8" t="str">
        <f>HYPERLINK("https://twitter.com/RudyTank","@RudyTank")</f>
        <v>@RudyTank</v>
      </c>
      <c r="C36612" s="8" t="s">
        <v>4785</v>
      </c>
      <c r="D36612" s="8">
        <v>326</v>
      </c>
      <c r="E36612" s="8">
        <v>0</v>
      </c>
      <c r="F36612" s="8">
        <v>1109</v>
      </c>
    </row>
    <row r="36613" spans="1:6" ht="12.75">
      <c r="A36613" s="8">
        <v>43888.008240740739</v>
      </c>
      <c r="B36613" s="8" t="str">
        <f>HYPERLINK("https://twitter.com/ahmat_bronto","@ahmat_bronto")</f>
        <v>@ahmat_bronto</v>
      </c>
      <c r="C36613" s="8" t="s">
        <v>11773</v>
      </c>
      <c r="D36613" s="8">
        <v>223</v>
      </c>
      <c r="E36613" s="8">
        <v>0</v>
      </c>
      <c r="F36613" s="8">
        <v>365</v>
      </c>
    </row>
    <row r="36614" spans="1:6" ht="12.75">
      <c r="A36614" s="8">
        <v>43888.006643518514</v>
      </c>
      <c r="B36614" s="8" t="str">
        <f>HYPERLINK("https://twitter.com/BuserBhindo","@BuserBhindo")</f>
        <v>@BuserBhindo</v>
      </c>
      <c r="C36614" s="8" t="s">
        <v>14217</v>
      </c>
      <c r="D36614" s="8">
        <v>0</v>
      </c>
      <c r="E36614" s="8">
        <v>0</v>
      </c>
      <c r="F36614" s="8">
        <v>2</v>
      </c>
    </row>
    <row r="36615" spans="1:6" ht="12.75">
      <c r="A36615" s="8">
        <v>43888.006377314814</v>
      </c>
      <c r="B36615" s="8" t="str">
        <f>HYPERLINK("https://twitter.com/JefriJogo","@JefriJogo")</f>
        <v>@JefriJogo</v>
      </c>
      <c r="C36615" s="8" t="s">
        <v>11773</v>
      </c>
      <c r="D36615" s="8">
        <v>211</v>
      </c>
      <c r="E36615" s="8">
        <v>0</v>
      </c>
      <c r="F36615" s="8">
        <v>203</v>
      </c>
    </row>
    <row r="36616" spans="1:6" ht="12.75">
      <c r="A36616" s="8">
        <v>43888.005474537036</v>
      </c>
      <c r="B36616" s="8" t="str">
        <f>HYPERLINK("https://twitter.com/BimoMangkulang1","@BimoMangkulang1")</f>
        <v>@BimoMangkulang1</v>
      </c>
      <c r="C36616" s="8" t="s">
        <v>11773</v>
      </c>
      <c r="D36616" s="8">
        <v>211</v>
      </c>
      <c r="E36616" s="8">
        <v>0</v>
      </c>
      <c r="F36616" s="8">
        <v>285</v>
      </c>
    </row>
    <row r="36617" spans="1:6" ht="12.75">
      <c r="A36617" s="8">
        <v>43888.005000000005</v>
      </c>
      <c r="B36617" s="8" t="str">
        <f>HYPERLINK("https://twitter.com/OncomKnoxville","@OncomKnoxville")</f>
        <v>@OncomKnoxville</v>
      </c>
      <c r="C36617" s="8" t="s">
        <v>14218</v>
      </c>
      <c r="D36617" s="8">
        <v>0</v>
      </c>
      <c r="E36617" s="8">
        <v>0</v>
      </c>
      <c r="F36617" s="8">
        <v>168</v>
      </c>
    </row>
    <row r="36618" spans="1:6" ht="12.75">
      <c r="A36618" s="8">
        <v>43888.004918981482</v>
      </c>
      <c r="B36618" s="8" t="str">
        <f>HYPERLINK("https://twitter.com/hermawanjsp","@hermawanjsp")</f>
        <v>@hermawanjsp</v>
      </c>
      <c r="C36618" s="8" t="s">
        <v>13592</v>
      </c>
      <c r="D36618" s="8">
        <v>43</v>
      </c>
      <c r="E36618" s="8">
        <v>0</v>
      </c>
      <c r="F36618" s="8">
        <v>1179</v>
      </c>
    </row>
    <row r="36619" spans="1:6" ht="12.75">
      <c r="A36619" s="8">
        <v>43888.004861111112</v>
      </c>
      <c r="B36619" s="8" t="str">
        <f>HYPERLINK("https://twitter.com/awanskunk","@awanskunk")</f>
        <v>@awanskunk</v>
      </c>
      <c r="C36619" s="8" t="s">
        <v>12143</v>
      </c>
      <c r="D36619" s="8">
        <v>254</v>
      </c>
      <c r="E36619" s="8">
        <v>0</v>
      </c>
      <c r="F36619" s="8">
        <v>636</v>
      </c>
    </row>
    <row r="36620" spans="1:6" ht="12.75">
      <c r="A36620" s="8">
        <v>43888.00481481482</v>
      </c>
      <c r="B36620" s="8" t="str">
        <f>HYPERLINK("https://twitter.com/bkuntjoro","@bkuntjoro")</f>
        <v>@bkuntjoro</v>
      </c>
      <c r="C36620" s="8" t="s">
        <v>14000</v>
      </c>
      <c r="D36620" s="8">
        <v>38</v>
      </c>
      <c r="E36620" s="8">
        <v>0</v>
      </c>
      <c r="F36620" s="8">
        <v>483</v>
      </c>
    </row>
    <row r="36621" spans="1:6" ht="12.75">
      <c r="A36621" s="8">
        <v>43888.004745370374</v>
      </c>
      <c r="B36621" s="8" t="str">
        <f>HYPERLINK("https://twitter.com/veraagustian_","@veraagustian_")</f>
        <v>@veraagustian_</v>
      </c>
      <c r="C36621" s="8" t="s">
        <v>14219</v>
      </c>
      <c r="D36621" s="8">
        <v>0</v>
      </c>
      <c r="E36621" s="8">
        <v>0</v>
      </c>
      <c r="F36621" s="8">
        <v>3055</v>
      </c>
    </row>
    <row r="36622" spans="1:6" ht="12.75">
      <c r="A36622" s="8">
        <v>43888.004189814819</v>
      </c>
      <c r="B36622" s="8" t="str">
        <f>HYPERLINK("https://twitter.com/VIVAcoid","@VIVAcoid")</f>
        <v>@VIVAcoid</v>
      </c>
      <c r="C36622" s="8" t="s">
        <v>14157</v>
      </c>
      <c r="D36622" s="8">
        <v>1</v>
      </c>
      <c r="E36622" s="8">
        <v>0</v>
      </c>
      <c r="F36622" s="8">
        <v>4172720</v>
      </c>
    </row>
    <row r="36623" spans="1:6" ht="12.75">
      <c r="A36623" s="8">
        <v>43888.003842592589</v>
      </c>
      <c r="B36623" s="8" t="str">
        <f>HYPERLINK("https://twitter.com/vivanewscom","@vivanewscom")</f>
        <v>@vivanewscom</v>
      </c>
      <c r="C36623" s="8" t="s">
        <v>14220</v>
      </c>
      <c r="D36623" s="8">
        <v>1</v>
      </c>
      <c r="E36623" s="8">
        <v>0</v>
      </c>
      <c r="F36623" s="8">
        <v>4428</v>
      </c>
    </row>
    <row r="36624" spans="1:6" ht="12.75">
      <c r="A36624" s="8">
        <v>43888.003680555557</v>
      </c>
      <c r="B36624" s="8" t="str">
        <f>HYPERLINK("https://twitter.com/thellcatshalala","@thellcatshalala")</f>
        <v>@thellcatshalala</v>
      </c>
      <c r="C36624" s="8" t="s">
        <v>14221</v>
      </c>
      <c r="D36624" s="8">
        <v>0</v>
      </c>
      <c r="E36624" s="8">
        <v>0</v>
      </c>
      <c r="F36624" s="8">
        <v>150</v>
      </c>
    </row>
    <row r="36625" spans="1:6" ht="12.75">
      <c r="A36625" s="8">
        <v>43888.003310185188</v>
      </c>
      <c r="B36625" s="8" t="str">
        <f>HYPERLINK("https://twitter.com/Antoniowan","@Antoniowan")</f>
        <v>@Antoniowan</v>
      </c>
      <c r="C36625" s="8" t="s">
        <v>14222</v>
      </c>
      <c r="D36625" s="8">
        <v>0</v>
      </c>
      <c r="E36625" s="8">
        <v>0</v>
      </c>
      <c r="F36625" s="8">
        <v>1303</v>
      </c>
    </row>
    <row r="36626" spans="1:6" ht="12.75">
      <c r="A36626" s="8">
        <v>43888.002928240741</v>
      </c>
      <c r="B36626" s="8" t="str">
        <f>HYPERLINK("https://twitter.com/sagakom","@sagakom")</f>
        <v>@sagakom</v>
      </c>
      <c r="C36626" s="8" t="s">
        <v>13731</v>
      </c>
      <c r="D36626" s="8">
        <v>0</v>
      </c>
      <c r="E36626" s="8">
        <v>0</v>
      </c>
      <c r="F36626" s="8">
        <v>284</v>
      </c>
    </row>
    <row r="36627" spans="1:6" ht="12.75">
      <c r="A36627" s="8">
        <v>43888.002349537041</v>
      </c>
      <c r="B36627" s="8" t="str">
        <f>HYPERLINK("https://twitter.com/DJBaped","@DJBaped")</f>
        <v>@DJBaped</v>
      </c>
      <c r="C36627" s="8" t="s">
        <v>14000</v>
      </c>
      <c r="D36627" s="8">
        <v>38</v>
      </c>
      <c r="E36627" s="8">
        <v>0</v>
      </c>
      <c r="F36627" s="8">
        <v>422</v>
      </c>
    </row>
    <row r="36628" spans="1:6" ht="12.75">
      <c r="A36628" s="8">
        <v>43888.002141203702</v>
      </c>
      <c r="B36628" s="8" t="str">
        <f>HYPERLINK("https://twitter.com/sagakom","@sagakom")</f>
        <v>@sagakom</v>
      </c>
      <c r="C36628" s="8" t="s">
        <v>13175</v>
      </c>
      <c r="D36628" s="8">
        <v>0</v>
      </c>
      <c r="E36628" s="8">
        <v>0</v>
      </c>
      <c r="F36628" s="8">
        <v>284</v>
      </c>
    </row>
    <row r="36629" spans="1:6" ht="12.75">
      <c r="A36629" s="8">
        <v>43888.001979166671</v>
      </c>
      <c r="B36629" s="8" t="str">
        <f>HYPERLINK("https://twitter.com/herlambang_tan","@herlambang_tan")</f>
        <v>@herlambang_tan</v>
      </c>
      <c r="C36629" s="8" t="s">
        <v>12406</v>
      </c>
      <c r="D36629" s="8">
        <v>66</v>
      </c>
      <c r="E36629" s="8">
        <v>0</v>
      </c>
      <c r="F36629" s="8">
        <v>2389</v>
      </c>
    </row>
    <row r="36630" spans="1:6" ht="12.75">
      <c r="A36630" s="8">
        <v>43888.00167824074</v>
      </c>
      <c r="B36630" s="8" t="str">
        <f>HYPERLINK("https://twitter.com/suryakepricom","@suryakepricom")</f>
        <v>@suryakepricom</v>
      </c>
      <c r="C36630" s="8" t="s">
        <v>14223</v>
      </c>
      <c r="D36630" s="8">
        <v>0</v>
      </c>
      <c r="E36630" s="8">
        <v>0</v>
      </c>
      <c r="F36630" s="8">
        <v>20</v>
      </c>
    </row>
    <row r="36631" spans="1:6" ht="12.75">
      <c r="A36631" s="8">
        <v>43888.001655092594</v>
      </c>
      <c r="B36631" s="8" t="str">
        <f>HYPERLINK("https://twitter.com/eddymesakh","@eddymesakh")</f>
        <v>@eddymesakh</v>
      </c>
      <c r="C36631" s="8" t="s">
        <v>14223</v>
      </c>
      <c r="D36631" s="8">
        <v>0</v>
      </c>
      <c r="E36631" s="8">
        <v>0</v>
      </c>
      <c r="F36631" s="8">
        <v>187</v>
      </c>
    </row>
    <row r="36632" spans="1:6" ht="12.75">
      <c r="A36632" s="8">
        <v>43888.00099537037</v>
      </c>
      <c r="B36632" s="8" t="str">
        <f>HYPERLINK("https://twitter.com/sumintaksh72","@sumintaksh72")</f>
        <v>@sumintaksh72</v>
      </c>
      <c r="C36632" s="8" t="s">
        <v>4785</v>
      </c>
      <c r="D36632" s="8">
        <v>317</v>
      </c>
      <c r="E36632" s="8">
        <v>0</v>
      </c>
      <c r="F36632" s="8">
        <v>595</v>
      </c>
    </row>
    <row r="36633" spans="1:6" ht="12.75">
      <c r="A36633" s="8">
        <v>43888.000243055554</v>
      </c>
      <c r="B36633" s="8" t="str">
        <f>HYPERLINK("https://twitter.com/Azp_airone","@Azp_airone")</f>
        <v>@Azp_airone</v>
      </c>
      <c r="C36633" s="8" t="s">
        <v>13365</v>
      </c>
      <c r="D36633" s="8">
        <v>861</v>
      </c>
      <c r="E36633" s="8">
        <v>0</v>
      </c>
      <c r="F36633" s="8">
        <v>532</v>
      </c>
    </row>
    <row r="36634" spans="1:6" ht="12.75">
      <c r="A36634" s="8">
        <v>43887.9996412037</v>
      </c>
      <c r="B36634" s="8" t="str">
        <f>HYPERLINK("https://twitter.com/Aryprasetyo85","@Aryprasetyo85")</f>
        <v>@Aryprasetyo85</v>
      </c>
      <c r="C36634" s="8" t="s">
        <v>14224</v>
      </c>
      <c r="D36634" s="8">
        <v>0</v>
      </c>
      <c r="E36634" s="8">
        <v>1</v>
      </c>
      <c r="F36634" s="8">
        <v>39320</v>
      </c>
    </row>
    <row r="36635" spans="1:6" ht="12.75">
      <c r="A36635" s="8">
        <v>43887.9996412037</v>
      </c>
      <c r="B36635" s="8" t="str">
        <f>HYPERLINK("https://twitter.com/rafli_srh","@rafli_srh")</f>
        <v>@rafli_srh</v>
      </c>
      <c r="C36635" s="8" t="s">
        <v>4785</v>
      </c>
      <c r="D36635" s="8">
        <v>317</v>
      </c>
      <c r="E36635" s="8">
        <v>0</v>
      </c>
      <c r="F36635" s="8">
        <v>13</v>
      </c>
    </row>
    <row r="36636" spans="1:6" ht="12.75">
      <c r="A36636" s="8">
        <v>43887.999398148153</v>
      </c>
      <c r="B36636" s="8" t="str">
        <f>HYPERLINK("https://twitter.com/RachdianPermna","@RachdianPermna")</f>
        <v>@RachdianPermna</v>
      </c>
      <c r="C36636" s="8" t="s">
        <v>4785</v>
      </c>
      <c r="D36636" s="8">
        <v>317</v>
      </c>
      <c r="E36636" s="8">
        <v>0</v>
      </c>
      <c r="F36636" s="8">
        <v>39</v>
      </c>
    </row>
    <row r="36637" spans="1:6" ht="12.75">
      <c r="A36637" s="8">
        <v>43887.998703703706</v>
      </c>
      <c r="B36637" s="8" t="str">
        <f>HYPERLINK("https://twitter.com/SalmaPtr23","@SalmaPtr23")</f>
        <v>@SalmaPtr23</v>
      </c>
      <c r="C36637" s="8" t="s">
        <v>14225</v>
      </c>
      <c r="D36637" s="8">
        <v>0</v>
      </c>
      <c r="E36637" s="8">
        <v>0</v>
      </c>
      <c r="F36637" s="8">
        <v>343</v>
      </c>
    </row>
    <row r="36638" spans="1:6" ht="12.75">
      <c r="A36638" s="8">
        <v>43887.998194444444</v>
      </c>
      <c r="B36638" s="8" t="str">
        <f>HYPERLINK("https://twitter.com/widyo_hendy","@widyo_hendy")</f>
        <v>@widyo_hendy</v>
      </c>
      <c r="C36638" s="8" t="s">
        <v>14226</v>
      </c>
      <c r="D36638" s="8">
        <v>0</v>
      </c>
      <c r="E36638" s="8">
        <v>0</v>
      </c>
      <c r="F36638" s="8">
        <v>15</v>
      </c>
    </row>
    <row r="36639" spans="1:6" ht="12.75">
      <c r="A36639" s="8">
        <v>43887.998124999998</v>
      </c>
      <c r="B36639" s="8" t="str">
        <f>HYPERLINK("https://twitter.com/plecidenPLONGO","@plecidenPLONGO")</f>
        <v>@plecidenPLONGO</v>
      </c>
      <c r="C36639" s="8" t="s">
        <v>14227</v>
      </c>
      <c r="D36639" s="8">
        <v>0</v>
      </c>
      <c r="E36639" s="8">
        <v>0</v>
      </c>
      <c r="F36639" s="8">
        <v>44</v>
      </c>
    </row>
    <row r="36640" spans="1:6" ht="12.75">
      <c r="A36640" s="8">
        <v>43887.997916666667</v>
      </c>
      <c r="B36640" s="8" t="str">
        <f>HYPERLINK("https://twitter.com/mediaindonesia","@mediaindonesia")</f>
        <v>@mediaindonesia</v>
      </c>
      <c r="C36640" s="8" t="s">
        <v>14228</v>
      </c>
      <c r="D36640" s="8">
        <v>1</v>
      </c>
      <c r="E36640" s="8">
        <v>0</v>
      </c>
      <c r="F36640" s="8">
        <v>1418919</v>
      </c>
    </row>
    <row r="36641" spans="1:6" ht="12.75">
      <c r="A36641" s="8">
        <v>43887.997592592597</v>
      </c>
      <c r="B36641" s="8" t="str">
        <f>HYPERLINK("https://twitter.com/aerinilla","@aerinilla")</f>
        <v>@aerinilla</v>
      </c>
      <c r="C36641" s="8" t="s">
        <v>14229</v>
      </c>
      <c r="D36641" s="8">
        <v>1740</v>
      </c>
      <c r="E36641" s="8">
        <v>0</v>
      </c>
      <c r="F36641" s="8">
        <v>0</v>
      </c>
    </row>
    <row r="36642" spans="1:6" ht="12.75">
      <c r="A36642" s="8">
        <v>43887.997592592597</v>
      </c>
      <c r="B36642" s="8" t="str">
        <f>HYPERLINK("https://twitter.com/Aryprasetyo85","@Aryprasetyo85")</f>
        <v>@Aryprasetyo85</v>
      </c>
      <c r="C36642" s="8" t="s">
        <v>14230</v>
      </c>
      <c r="D36642" s="8">
        <v>0</v>
      </c>
      <c r="E36642" s="8">
        <v>2</v>
      </c>
      <c r="F36642" s="8">
        <v>39320</v>
      </c>
    </row>
    <row r="36643" spans="1:6" ht="12.75">
      <c r="A36643" s="8">
        <v>43887.996099537035</v>
      </c>
      <c r="B36643" s="8" t="str">
        <f>HYPERLINK("https://twitter.com/afifiswandi","@afifiswandi")</f>
        <v>@afifiswandi</v>
      </c>
      <c r="C36643" s="8" t="s">
        <v>14231</v>
      </c>
      <c r="D36643" s="8">
        <v>0</v>
      </c>
      <c r="E36643" s="8">
        <v>0</v>
      </c>
      <c r="F36643" s="8">
        <v>656</v>
      </c>
    </row>
    <row r="36644" spans="1:6" ht="12.75">
      <c r="A36644" s="8">
        <v>43887.994756944448</v>
      </c>
      <c r="B36644" s="8" t="str">
        <f>HYPERLINK("https://twitter.com/ZidfanaChipchip","@ZidfanaChipchip")</f>
        <v>@ZidfanaChipchip</v>
      </c>
      <c r="C36644" s="8" t="s">
        <v>14000</v>
      </c>
      <c r="D36644" s="8">
        <v>38</v>
      </c>
      <c r="E36644" s="8">
        <v>0</v>
      </c>
      <c r="F36644" s="8">
        <v>93</v>
      </c>
    </row>
    <row r="36645" spans="1:6" ht="12.75">
      <c r="A36645" s="8">
        <v>43887.994652777779</v>
      </c>
      <c r="B36645" s="8" t="str">
        <f>HYPERLINK("https://twitter.com/ardhi_rasy","@ardhi_rasy")</f>
        <v>@ardhi_rasy</v>
      </c>
      <c r="C36645" s="8" t="s">
        <v>14232</v>
      </c>
      <c r="D36645" s="8">
        <v>0</v>
      </c>
      <c r="E36645" s="8">
        <v>0</v>
      </c>
      <c r="F36645" s="8">
        <v>659</v>
      </c>
    </row>
    <row r="36646" spans="1:6" ht="12.75">
      <c r="A36646" s="8">
        <v>43887.993668981479</v>
      </c>
      <c r="B36646" s="8" t="str">
        <f>HYPERLINK("https://twitter.com/dokterpang","@dokterpang")</f>
        <v>@dokterpang</v>
      </c>
      <c r="C36646" s="8" t="s">
        <v>12406</v>
      </c>
      <c r="D36646" s="8">
        <v>66</v>
      </c>
      <c r="E36646" s="8">
        <v>0</v>
      </c>
      <c r="F36646" s="8">
        <v>128</v>
      </c>
    </row>
    <row r="36647" spans="1:6" ht="12.75">
      <c r="A36647" s="8">
        <v>43887.99355324074</v>
      </c>
      <c r="B36647" s="8" t="str">
        <f>HYPERLINK("https://twitter.com/ridhatobing","@ridhatobing")</f>
        <v>@ridhatobing</v>
      </c>
      <c r="C36647" s="8" t="s">
        <v>14233</v>
      </c>
      <c r="D36647" s="8">
        <v>2</v>
      </c>
      <c r="E36647" s="8">
        <v>0</v>
      </c>
      <c r="F36647" s="8">
        <v>441</v>
      </c>
    </row>
    <row r="36648" spans="1:6" ht="12.75">
      <c r="A36648" s="8">
        <v>43887.993171296301</v>
      </c>
      <c r="B36648" s="8" t="str">
        <f>HYPERLINK("https://twitter.com/rmdeegaming","@rmdeegaming")</f>
        <v>@rmdeegaming</v>
      </c>
      <c r="C36648" s="8" t="s">
        <v>593</v>
      </c>
      <c r="D36648" s="8">
        <v>287</v>
      </c>
      <c r="E36648" s="8">
        <v>0</v>
      </c>
      <c r="F36648" s="8">
        <v>145</v>
      </c>
    </row>
    <row r="36649" spans="1:6" ht="12.75">
      <c r="A36649" s="8">
        <v>43887.992731481485</v>
      </c>
      <c r="B36649" s="8" t="str">
        <f>HYPERLINK("https://twitter.com/PulauTidungTrav","@PulauTidungTrav")</f>
        <v>@PulauTidungTrav</v>
      </c>
      <c r="C36649" s="8" t="s">
        <v>14234</v>
      </c>
      <c r="D36649" s="8">
        <v>0</v>
      </c>
      <c r="E36649" s="8">
        <v>0</v>
      </c>
      <c r="F36649" s="8">
        <v>112</v>
      </c>
    </row>
    <row r="36650" spans="1:6" ht="12.75">
      <c r="A36650" s="8">
        <v>43887.992303240739</v>
      </c>
      <c r="B36650" s="8" t="str">
        <f>HYPERLINK("https://twitter.com/qiunco2761","@qiunco2761")</f>
        <v>@qiunco2761</v>
      </c>
      <c r="C36650" s="8" t="s">
        <v>13986</v>
      </c>
      <c r="D36650" s="8">
        <v>2</v>
      </c>
      <c r="E36650" s="8">
        <v>0</v>
      </c>
      <c r="F36650" s="8">
        <v>4419</v>
      </c>
    </row>
    <row r="36651" spans="1:6" ht="12.75">
      <c r="A36651" s="8">
        <v>43887.992256944446</v>
      </c>
      <c r="B36651" s="8" t="str">
        <f>HYPERLINK("https://twitter.com/sukagi2tsedotan","@sukagi2tsedotan")</f>
        <v>@sukagi2tsedotan</v>
      </c>
      <c r="C36651" s="8" t="s">
        <v>14235</v>
      </c>
      <c r="D36651" s="8">
        <v>0</v>
      </c>
      <c r="E36651" s="8">
        <v>0</v>
      </c>
      <c r="F36651" s="8">
        <v>56</v>
      </c>
    </row>
    <row r="36652" spans="1:6" ht="12.75">
      <c r="A36652" s="8">
        <v>43887.992083333331</v>
      </c>
      <c r="B36652" s="8" t="str">
        <f>HYPERLINK("https://twitter.com/erwin_idrus","@erwin_idrus")</f>
        <v>@erwin_idrus</v>
      </c>
      <c r="C36652" s="8" t="s">
        <v>13198</v>
      </c>
      <c r="D36652" s="8">
        <v>29</v>
      </c>
      <c r="E36652" s="8">
        <v>0</v>
      </c>
      <c r="F36652" s="8">
        <v>256</v>
      </c>
    </row>
    <row r="36653" spans="1:6" ht="12.75">
      <c r="A36653" s="8">
        <v>43887.991875</v>
      </c>
      <c r="B36653" s="8" t="str">
        <f>HYPERLINK("https://twitter.com/marantikananda","@marantikananda")</f>
        <v>@marantikananda</v>
      </c>
      <c r="C36653" s="8" t="s">
        <v>14236</v>
      </c>
      <c r="D36653" s="8">
        <v>6</v>
      </c>
      <c r="E36653" s="8">
        <v>0</v>
      </c>
      <c r="F36653" s="8">
        <v>22</v>
      </c>
    </row>
    <row r="36654" spans="1:6" ht="12.75">
      <c r="A36654" s="8">
        <v>43887.991782407407</v>
      </c>
      <c r="B36654" s="8" t="str">
        <f>HYPERLINK("https://twitter.com/chrna_","@chrna_")</f>
        <v>@chrna_</v>
      </c>
      <c r="C36654" s="8" t="s">
        <v>14237</v>
      </c>
      <c r="D36654" s="8">
        <v>0</v>
      </c>
      <c r="E36654" s="8">
        <v>0</v>
      </c>
      <c r="F36654" s="8">
        <v>120</v>
      </c>
    </row>
    <row r="36655" spans="1:6" ht="12.75">
      <c r="A36655" s="8">
        <v>43887.991712962961</v>
      </c>
      <c r="B36655" s="8" t="str">
        <f>HYPERLINK("https://twitter.com/dabenone2","@dabenone2")</f>
        <v>@dabenone2</v>
      </c>
      <c r="C36655" s="8" t="s">
        <v>13365</v>
      </c>
      <c r="D36655" s="8">
        <v>861</v>
      </c>
      <c r="E36655" s="8">
        <v>0</v>
      </c>
      <c r="F36655" s="8">
        <v>55</v>
      </c>
    </row>
    <row r="36656" spans="1:6" ht="12.75">
      <c r="A36656" s="8">
        <v>43887.990347222221</v>
      </c>
      <c r="B36656" s="8" t="str">
        <f>HYPERLINK("https://twitter.com/C45One","@C45One")</f>
        <v>@C45One</v>
      </c>
      <c r="C36656" s="8" t="s">
        <v>14238</v>
      </c>
      <c r="D36656" s="8">
        <v>1</v>
      </c>
      <c r="E36656" s="8">
        <v>0</v>
      </c>
      <c r="F36656" s="8">
        <v>2061</v>
      </c>
    </row>
    <row r="36657" spans="1:6" ht="12.75">
      <c r="A36657" s="8">
        <v>43887.989965277782</v>
      </c>
      <c r="B36657" s="8" t="str">
        <f>HYPERLINK("https://twitter.com/JefriJogo","@JefriJogo")</f>
        <v>@JefriJogo</v>
      </c>
      <c r="C36657" s="8" t="s">
        <v>11183</v>
      </c>
      <c r="D36657" s="8">
        <v>329</v>
      </c>
      <c r="E36657" s="8">
        <v>0</v>
      </c>
      <c r="F36657" s="8">
        <v>203</v>
      </c>
    </row>
    <row r="36658" spans="1:6" ht="12.75">
      <c r="A36658" s="8">
        <v>43887.989212962959</v>
      </c>
      <c r="B36658" s="8" t="str">
        <f>HYPERLINK("https://twitter.com/Aryprasetyo85","@Aryprasetyo85")</f>
        <v>@Aryprasetyo85</v>
      </c>
      <c r="C36658" s="8" t="s">
        <v>14239</v>
      </c>
      <c r="D36658" s="8">
        <v>2</v>
      </c>
      <c r="E36658" s="8">
        <v>13</v>
      </c>
      <c r="F36658" s="8">
        <v>39320</v>
      </c>
    </row>
    <row r="36659" spans="1:6" ht="12.75">
      <c r="A36659" s="8">
        <v>43887.989201388889</v>
      </c>
      <c r="B36659" s="8" t="str">
        <f>HYPERLINK("https://twitter.com/mardikabebas","@mardikabebas")</f>
        <v>@mardikabebas</v>
      </c>
      <c r="C36659" s="8" t="s">
        <v>11773</v>
      </c>
      <c r="D36659" s="8">
        <v>211</v>
      </c>
      <c r="E36659" s="8">
        <v>0</v>
      </c>
      <c r="F36659" s="8">
        <v>476</v>
      </c>
    </row>
    <row r="36660" spans="1:6" ht="12.75">
      <c r="A36660" s="8">
        <v>43887.989131944443</v>
      </c>
      <c r="B36660" s="8" t="str">
        <f>HYPERLINK("https://twitter.com/jjsengui","@jjsengui")</f>
        <v>@jjsengui</v>
      </c>
      <c r="C36660" s="8" t="s">
        <v>13640</v>
      </c>
      <c r="D36660" s="8">
        <v>2</v>
      </c>
      <c r="E36660" s="8">
        <v>0</v>
      </c>
      <c r="F36660" s="8">
        <v>838</v>
      </c>
    </row>
    <row r="36661" spans="1:6" ht="12.75">
      <c r="A36661" s="8">
        <v>43887.988703703704</v>
      </c>
      <c r="B36661" s="8" t="str">
        <f>HYPERLINK("https://twitter.com/Officials_BS","@Officials_BS")</f>
        <v>@Officials_BS</v>
      </c>
      <c r="C36661" s="8" t="s">
        <v>14240</v>
      </c>
      <c r="D36661" s="8">
        <v>1</v>
      </c>
      <c r="E36661" s="8">
        <v>1</v>
      </c>
      <c r="F36661" s="8">
        <v>153</v>
      </c>
    </row>
    <row r="36662" spans="1:6" ht="12.75">
      <c r="A36662" s="8">
        <v>43887.988692129627</v>
      </c>
      <c r="B36662" s="8" t="str">
        <f>HYPERLINK("https://twitter.com/Tambun_bomb","@Tambun_bomb")</f>
        <v>@Tambun_bomb</v>
      </c>
      <c r="C36662" s="8" t="s">
        <v>12406</v>
      </c>
      <c r="D36662" s="8">
        <v>66</v>
      </c>
      <c r="E36662" s="8">
        <v>0</v>
      </c>
      <c r="F36662" s="8">
        <v>258</v>
      </c>
    </row>
    <row r="36663" spans="1:6" ht="12.75">
      <c r="A36663" s="8">
        <v>43887.988483796296</v>
      </c>
      <c r="B36663" s="8" t="str">
        <f>HYPERLINK("https://twitter.com/artists_choice_","@artists_choice_")</f>
        <v>@artists_choice_</v>
      </c>
      <c r="C36663" s="8" t="s">
        <v>14241</v>
      </c>
      <c r="D36663" s="8">
        <v>0</v>
      </c>
      <c r="E36663" s="8">
        <v>0</v>
      </c>
      <c r="F36663" s="8">
        <v>1819</v>
      </c>
    </row>
    <row r="36664" spans="1:6" ht="12.75">
      <c r="A36664" s="8">
        <v>43887.988217592589</v>
      </c>
      <c r="B36664" s="8" t="str">
        <f>HYPERLINK("https://twitter.com/nnna25","@nnna25")</f>
        <v>@nnna25</v>
      </c>
      <c r="C36664" s="8" t="s">
        <v>26</v>
      </c>
      <c r="D36664" s="8">
        <v>97</v>
      </c>
      <c r="E36664" s="8">
        <v>0</v>
      </c>
      <c r="F36664" s="8">
        <v>93</v>
      </c>
    </row>
    <row r="36665" spans="1:6" ht="12.75">
      <c r="A36665" s="8">
        <v>43887.987743055557</v>
      </c>
      <c r="B36665" s="8" t="str">
        <f>HYPERLINK("https://twitter.com/riyandistaa","@riyandistaa")</f>
        <v>@riyandistaa</v>
      </c>
      <c r="C36665" s="8" t="s">
        <v>14242</v>
      </c>
      <c r="D36665" s="8">
        <v>4</v>
      </c>
      <c r="E36665" s="8">
        <v>0</v>
      </c>
      <c r="F36665" s="8">
        <v>108</v>
      </c>
    </row>
    <row r="36666" spans="1:6" ht="12.75">
      <c r="A36666" s="8">
        <v>43887.987650462965</v>
      </c>
      <c r="B36666" s="8" t="str">
        <f>HYPERLINK("https://twitter.com/_gbregina","@_gbregina")</f>
        <v>@_gbregina</v>
      </c>
      <c r="C36666" s="8" t="s">
        <v>12406</v>
      </c>
      <c r="D36666" s="8">
        <v>66</v>
      </c>
      <c r="E36666" s="8">
        <v>0</v>
      </c>
      <c r="F36666" s="8">
        <v>876</v>
      </c>
    </row>
    <row r="36667" spans="1:6" ht="12.75">
      <c r="A36667" s="8">
        <v>43887.987222222218</v>
      </c>
      <c r="B36667" s="8" t="str">
        <f>HYPERLINK("https://twitter.com/riyandistaa","@riyandistaa")</f>
        <v>@riyandistaa</v>
      </c>
      <c r="C36667" s="8" t="s">
        <v>14243</v>
      </c>
      <c r="D36667" s="8">
        <v>6</v>
      </c>
      <c r="E36667" s="8">
        <v>0</v>
      </c>
      <c r="F36667" s="8">
        <v>108</v>
      </c>
    </row>
    <row r="36668" spans="1:6" ht="12.75">
      <c r="A36668" s="8">
        <v>43887.986527777779</v>
      </c>
      <c r="B36668" s="8" t="str">
        <f>HYPERLINK("https://twitter.com/cahayalilin6","@cahayalilin6")</f>
        <v>@cahayalilin6</v>
      </c>
      <c r="C36668" s="8" t="s">
        <v>11773</v>
      </c>
      <c r="D36668" s="8">
        <v>211</v>
      </c>
      <c r="E36668" s="8">
        <v>0</v>
      </c>
      <c r="F36668" s="8">
        <v>3</v>
      </c>
    </row>
    <row r="36669" spans="1:6" ht="12.75">
      <c r="A36669" s="8">
        <v>43887.986458333333</v>
      </c>
      <c r="B36669" s="8" t="str">
        <f>HYPERLINK("https://twitter.com/susianto_hari","@susianto_hari")</f>
        <v>@susianto_hari</v>
      </c>
      <c r="C36669" s="8" t="s">
        <v>14244</v>
      </c>
      <c r="D36669" s="8">
        <v>6</v>
      </c>
      <c r="E36669" s="8">
        <v>0</v>
      </c>
      <c r="F36669" s="8">
        <v>138</v>
      </c>
    </row>
    <row r="36670" spans="1:6" ht="12.75">
      <c r="A36670" s="8">
        <v>43887.986192129625</v>
      </c>
      <c r="B36670" s="8" t="str">
        <f>HYPERLINK("https://twitter.com/MaruHiroReiwa","@MaruHiroReiwa")</f>
        <v>@MaruHiroReiwa</v>
      </c>
      <c r="C36670" s="8" t="s">
        <v>26</v>
      </c>
      <c r="D36670" s="8">
        <v>97</v>
      </c>
      <c r="E36670" s="8">
        <v>0</v>
      </c>
      <c r="F36670" s="8">
        <v>61</v>
      </c>
    </row>
    <row r="36671" spans="1:6" ht="12.75">
      <c r="A36671" s="8">
        <v>43887.985983796301</v>
      </c>
      <c r="B36671" s="8" t="str">
        <f t="shared" ref="B36671:B36672" si="537">HYPERLINK("https://twitter.com/bpriady","@bpriady")</f>
        <v>@bpriady</v>
      </c>
      <c r="C36671" s="8" t="s">
        <v>11773</v>
      </c>
      <c r="D36671" s="8">
        <v>211</v>
      </c>
      <c r="E36671" s="8">
        <v>0</v>
      </c>
      <c r="F36671" s="8">
        <v>598</v>
      </c>
    </row>
    <row r="36672" spans="1:6" ht="12.75">
      <c r="A36672" s="8">
        <v>43887.985405092593</v>
      </c>
      <c r="B36672" s="8" t="str">
        <f t="shared" si="537"/>
        <v>@bpriady</v>
      </c>
      <c r="C36672" s="8" t="s">
        <v>11597</v>
      </c>
      <c r="D36672" s="8">
        <v>7</v>
      </c>
      <c r="E36672" s="8">
        <v>0</v>
      </c>
      <c r="F36672" s="8">
        <v>598</v>
      </c>
    </row>
    <row r="36673" spans="1:6" ht="12.75">
      <c r="A36673" s="8">
        <v>43887.985046296293</v>
      </c>
      <c r="B36673" s="8" t="str">
        <f t="shared" ref="B36673:B36674" si="538">HYPERLINK("https://twitter.com/fandy18058347","@fandy18058347")</f>
        <v>@fandy18058347</v>
      </c>
      <c r="C36673" s="8" t="s">
        <v>14245</v>
      </c>
      <c r="D36673" s="8">
        <v>4</v>
      </c>
      <c r="E36673" s="8">
        <v>0</v>
      </c>
      <c r="F36673" s="8">
        <v>221</v>
      </c>
    </row>
    <row r="36674" spans="1:6" ht="12.75">
      <c r="A36674" s="8">
        <v>43887.984918981485</v>
      </c>
      <c r="B36674" s="8" t="str">
        <f t="shared" si="538"/>
        <v>@fandy18058347</v>
      </c>
      <c r="C36674" s="8" t="s">
        <v>13592</v>
      </c>
      <c r="D36674" s="8">
        <v>43</v>
      </c>
      <c r="E36674" s="8">
        <v>0</v>
      </c>
      <c r="F36674" s="8">
        <v>221</v>
      </c>
    </row>
    <row r="36675" spans="1:6" ht="12.75">
      <c r="A36675" s="8">
        <v>43887.984768518523</v>
      </c>
      <c r="B36675" s="8" t="str">
        <f>HYPERLINK("https://twitter.com/sheephun94","@sheephun94")</f>
        <v>@sheephun94</v>
      </c>
      <c r="C36675" s="8" t="s">
        <v>14246</v>
      </c>
      <c r="D36675" s="8">
        <v>2821</v>
      </c>
      <c r="E36675" s="8">
        <v>0</v>
      </c>
      <c r="F36675" s="8">
        <v>6</v>
      </c>
    </row>
    <row r="36676" spans="1:6" ht="12.75">
      <c r="A36676" s="8">
        <v>43887.984675925924</v>
      </c>
      <c r="B36676" s="8" t="str">
        <f>HYPERLINK("https://twitter.com/DjaritoSadewo","@DjaritoSadewo")</f>
        <v>@DjaritoSadewo</v>
      </c>
      <c r="C36676" s="8" t="s">
        <v>14247</v>
      </c>
      <c r="D36676" s="8">
        <v>0</v>
      </c>
      <c r="E36676" s="8">
        <v>0</v>
      </c>
      <c r="F36676" s="8">
        <v>1358</v>
      </c>
    </row>
    <row r="36677" spans="1:6" ht="12.75">
      <c r="A36677" s="8">
        <v>43887.983761574069</v>
      </c>
      <c r="B36677" s="8" t="str">
        <f>HYPERLINK("https://twitter.com/sheephun94","@sheephun94")</f>
        <v>@sheephun94</v>
      </c>
      <c r="C36677" s="8" t="s">
        <v>11951</v>
      </c>
      <c r="D36677" s="8">
        <v>686</v>
      </c>
      <c r="E36677" s="8">
        <v>0</v>
      </c>
      <c r="F36677" s="8">
        <v>6</v>
      </c>
    </row>
    <row r="36678" spans="1:6" ht="12.75">
      <c r="A36678" s="8">
        <v>43887.983043981483</v>
      </c>
      <c r="B36678" s="8" t="str">
        <f>HYPERLINK("https://twitter.com/jackquick_frost","@jackquick_frost")</f>
        <v>@jackquick_frost</v>
      </c>
      <c r="C36678" s="8" t="s">
        <v>14248</v>
      </c>
      <c r="D36678" s="8">
        <v>0</v>
      </c>
      <c r="E36678" s="8">
        <v>0</v>
      </c>
      <c r="F36678" s="8">
        <v>466</v>
      </c>
    </row>
    <row r="36679" spans="1:6" ht="12.75">
      <c r="A36679" s="8">
        <v>43887.982175925921</v>
      </c>
      <c r="B36679" s="8" t="str">
        <f>HYPERLINK("https://twitter.com/marthen_rt","@marthen_rt")</f>
        <v>@marthen_rt</v>
      </c>
      <c r="C36679" s="8" t="s">
        <v>13035</v>
      </c>
      <c r="D36679" s="8">
        <v>8</v>
      </c>
      <c r="E36679" s="8">
        <v>0</v>
      </c>
      <c r="F36679" s="8">
        <v>23</v>
      </c>
    </row>
    <row r="36680" spans="1:6" ht="12.75">
      <c r="A36680" s="8">
        <v>43887.982002314813</v>
      </c>
      <c r="B36680" s="8" t="str">
        <f>HYPERLINK("https://twitter.com/Andipiee","@Andipiee")</f>
        <v>@Andipiee</v>
      </c>
      <c r="C36680" s="8" t="s">
        <v>14249</v>
      </c>
      <c r="D36680" s="8">
        <v>0</v>
      </c>
      <c r="E36680" s="8">
        <v>0</v>
      </c>
      <c r="F36680" s="8">
        <v>100</v>
      </c>
    </row>
    <row r="36681" spans="1:6" ht="12.75">
      <c r="A36681" s="8">
        <v>43887.981909722221</v>
      </c>
      <c r="B36681" s="8" t="str">
        <f>HYPERLINK("https://twitter.com/Steve_WoZ","@Steve_WoZ")</f>
        <v>@Steve_WoZ</v>
      </c>
      <c r="C36681" s="8" t="s">
        <v>12143</v>
      </c>
      <c r="D36681" s="8">
        <v>254</v>
      </c>
      <c r="E36681" s="8">
        <v>0</v>
      </c>
      <c r="F36681" s="8">
        <v>226</v>
      </c>
    </row>
    <row r="36682" spans="1:6" ht="12.75">
      <c r="A36682" s="8">
        <v>43887.981840277775</v>
      </c>
      <c r="B36682" s="8" t="str">
        <f>HYPERLINK("https://twitter.com/CastilloJoshima","@CastilloJoshima")</f>
        <v>@CastilloJoshima</v>
      </c>
      <c r="C36682" s="8" t="s">
        <v>14250</v>
      </c>
      <c r="D36682" s="8">
        <v>1</v>
      </c>
      <c r="E36682" s="8">
        <v>0</v>
      </c>
      <c r="F36682" s="8">
        <v>5408</v>
      </c>
    </row>
    <row r="36683" spans="1:6" ht="12.75">
      <c r="A36683" s="8">
        <v>43887.981782407413</v>
      </c>
      <c r="B36683" s="8" t="str">
        <f>HYPERLINK("https://twitter.com/BangIssan","@BangIssan")</f>
        <v>@BangIssan</v>
      </c>
      <c r="C36683" s="8" t="s">
        <v>13108</v>
      </c>
      <c r="D36683" s="8">
        <v>17</v>
      </c>
      <c r="E36683" s="8">
        <v>0</v>
      </c>
      <c r="F36683" s="8">
        <v>120</v>
      </c>
    </row>
    <row r="36684" spans="1:6" ht="12.75">
      <c r="A36684" s="8">
        <v>43887.981203703705</v>
      </c>
      <c r="B36684" s="8" t="str">
        <f>HYPERLINK("https://twitter.com/triefince","@triefince")</f>
        <v>@triefince</v>
      </c>
      <c r="C36684" s="8" t="s">
        <v>14251</v>
      </c>
      <c r="D36684" s="8">
        <v>1</v>
      </c>
      <c r="E36684" s="8">
        <v>3</v>
      </c>
      <c r="F36684" s="8">
        <v>624</v>
      </c>
    </row>
    <row r="36685" spans="1:6" ht="12.75">
      <c r="A36685" s="8">
        <v>43887.980810185181</v>
      </c>
      <c r="B36685" s="8" t="str">
        <f>HYPERLINK("https://twitter.com/milikkenzi","@milikkenzi")</f>
        <v>@milikkenzi</v>
      </c>
      <c r="C36685" s="8" t="s">
        <v>14252</v>
      </c>
      <c r="D36685" s="8">
        <v>0</v>
      </c>
      <c r="E36685" s="8">
        <v>0</v>
      </c>
      <c r="F36685" s="8">
        <v>633</v>
      </c>
    </row>
    <row r="36686" spans="1:6" ht="12.75">
      <c r="A36686" s="8">
        <v>43887.980428240742</v>
      </c>
      <c r="B36686" s="8" t="str">
        <f>HYPERLINK("https://twitter.com/padangmedianews","@padangmedianews")</f>
        <v>@padangmedianews</v>
      </c>
      <c r="C36686" s="8" t="s">
        <v>14253</v>
      </c>
      <c r="D36686" s="8">
        <v>0</v>
      </c>
      <c r="E36686" s="8">
        <v>0</v>
      </c>
      <c r="F36686" s="8">
        <v>59</v>
      </c>
    </row>
    <row r="36687" spans="1:6" ht="12.75">
      <c r="A36687" s="8">
        <v>43887.979212962964</v>
      </c>
      <c r="B36687" s="8" t="str">
        <f>HYPERLINK("https://twitter.com/MaruHiroReiwa","@MaruHiroReiwa")</f>
        <v>@MaruHiroReiwa</v>
      </c>
      <c r="C36687" s="8" t="s">
        <v>4785</v>
      </c>
      <c r="D36687" s="8">
        <v>317</v>
      </c>
      <c r="E36687" s="8">
        <v>0</v>
      </c>
      <c r="F36687" s="8">
        <v>61</v>
      </c>
    </row>
    <row r="36688" spans="1:6" ht="12.75">
      <c r="A36688" s="8">
        <v>43887.978969907403</v>
      </c>
      <c r="B36688" s="8" t="str">
        <f>HYPERLINK("https://twitter.com/Budi201932","@Budi201932")</f>
        <v>@Budi201932</v>
      </c>
      <c r="C36688" s="8" t="s">
        <v>14254</v>
      </c>
      <c r="D36688" s="8">
        <v>0</v>
      </c>
      <c r="E36688" s="8">
        <v>0</v>
      </c>
      <c r="F36688" s="8">
        <v>103</v>
      </c>
    </row>
    <row r="36689" spans="1:6" ht="12.75">
      <c r="A36689" s="8">
        <v>43887.978900462964</v>
      </c>
      <c r="B36689" s="8" t="str">
        <f>HYPERLINK("https://twitter.com/Adiyasag","@Adiyasag")</f>
        <v>@Adiyasag</v>
      </c>
      <c r="C36689" s="8" t="s">
        <v>12406</v>
      </c>
      <c r="D36689" s="8">
        <v>66</v>
      </c>
      <c r="E36689" s="8">
        <v>0</v>
      </c>
      <c r="F36689" s="8">
        <v>24</v>
      </c>
    </row>
    <row r="36690" spans="1:6" ht="12.75">
      <c r="A36690" s="8">
        <v>43887.978726851856</v>
      </c>
      <c r="B36690" s="8" t="str">
        <f>HYPERLINK("https://twitter.com/izarawr","@izarawr")</f>
        <v>@izarawr</v>
      </c>
      <c r="C36690" s="8" t="s">
        <v>11773</v>
      </c>
      <c r="D36690" s="8">
        <v>211</v>
      </c>
      <c r="E36690" s="8">
        <v>0</v>
      </c>
      <c r="F36690" s="8">
        <v>978</v>
      </c>
    </row>
    <row r="36691" spans="1:6" ht="12.75">
      <c r="A36691" s="8">
        <v>43887.978634259256</v>
      </c>
      <c r="B36691" s="8" t="str">
        <f>HYPERLINK("https://twitter.com/Dawul_sukrii","@Dawul_sukrii")</f>
        <v>@Dawul_sukrii</v>
      </c>
      <c r="C36691" s="8" t="s">
        <v>11773</v>
      </c>
      <c r="D36691" s="8">
        <v>211</v>
      </c>
      <c r="E36691" s="8">
        <v>0</v>
      </c>
      <c r="F36691" s="8">
        <v>889</v>
      </c>
    </row>
    <row r="36692" spans="1:6" ht="12.75">
      <c r="A36692" s="8">
        <v>43887.978020833332</v>
      </c>
      <c r="B36692" s="8" t="str">
        <f>HYPERLINK("https://twitter.com/sayahanyazakie","@sayahanyazakie")</f>
        <v>@sayahanyazakie</v>
      </c>
      <c r="C36692" s="8" t="s">
        <v>13198</v>
      </c>
      <c r="D36692" s="8">
        <v>29</v>
      </c>
      <c r="E36692" s="8">
        <v>0</v>
      </c>
      <c r="F36692" s="8">
        <v>452</v>
      </c>
    </row>
    <row r="36693" spans="1:6" ht="12.75">
      <c r="A36693" s="8">
        <v>43887.977754629625</v>
      </c>
      <c r="B36693" s="8" t="str">
        <f t="shared" ref="B36693:B36696" si="539">HYPERLINK("https://twitter.com/AmstrongBiring","@AmstrongBiring")</f>
        <v>@AmstrongBiring</v>
      </c>
      <c r="C36693" s="8" t="s">
        <v>14255</v>
      </c>
      <c r="D36693" s="8">
        <v>1</v>
      </c>
      <c r="E36693" s="8">
        <v>0</v>
      </c>
      <c r="F36693" s="8">
        <v>1979</v>
      </c>
    </row>
    <row r="36694" spans="1:6" ht="12.75">
      <c r="A36694" s="8">
        <v>43887.977673611109</v>
      </c>
      <c r="B36694" s="8" t="str">
        <f t="shared" si="539"/>
        <v>@AmstrongBiring</v>
      </c>
      <c r="C36694" s="8" t="s">
        <v>14256</v>
      </c>
      <c r="D36694" s="8">
        <v>1</v>
      </c>
      <c r="E36694" s="8">
        <v>0</v>
      </c>
      <c r="F36694" s="8">
        <v>1979</v>
      </c>
    </row>
    <row r="36695" spans="1:6" ht="12.75">
      <c r="A36695" s="8">
        <v>43887.97756944444</v>
      </c>
      <c r="B36695" s="8" t="str">
        <f t="shared" si="539"/>
        <v>@AmstrongBiring</v>
      </c>
      <c r="C36695" s="8" t="s">
        <v>14257</v>
      </c>
      <c r="D36695" s="8">
        <v>1</v>
      </c>
      <c r="E36695" s="8">
        <v>0</v>
      </c>
      <c r="F36695" s="8">
        <v>1979</v>
      </c>
    </row>
    <row r="36696" spans="1:6" ht="12.75">
      <c r="A36696" s="8">
        <v>43887.977453703701</v>
      </c>
      <c r="B36696" s="8" t="str">
        <f t="shared" si="539"/>
        <v>@AmstrongBiring</v>
      </c>
      <c r="C36696" s="8" t="s">
        <v>14258</v>
      </c>
      <c r="D36696" s="8">
        <v>1</v>
      </c>
      <c r="E36696" s="8">
        <v>0</v>
      </c>
      <c r="F36696" s="8">
        <v>1979</v>
      </c>
    </row>
    <row r="36697" spans="1:6" ht="12.75">
      <c r="A36697" s="8">
        <v>43887.976516203707</v>
      </c>
      <c r="B36697" s="8" t="str">
        <f>HYPERLINK("https://twitter.com/Ndhra_a","@Ndhra_a")</f>
        <v>@Ndhra_a</v>
      </c>
      <c r="C36697" s="8" t="s">
        <v>14259</v>
      </c>
      <c r="D36697" s="8">
        <v>1</v>
      </c>
      <c r="E36697" s="8">
        <v>0</v>
      </c>
      <c r="F36697" s="8">
        <v>1073</v>
      </c>
    </row>
    <row r="36698" spans="1:6" ht="12.75">
      <c r="A36698" s="8">
        <v>43887.976400462961</v>
      </c>
      <c r="B36698" s="8" t="str">
        <f>HYPERLINK("https://twitter.com/fjpradito","@fjpradito")</f>
        <v>@fjpradito</v>
      </c>
      <c r="C36698" s="8" t="s">
        <v>12406</v>
      </c>
      <c r="D36698" s="8">
        <v>66</v>
      </c>
      <c r="E36698" s="8">
        <v>0</v>
      </c>
      <c r="F36698" s="8">
        <v>529</v>
      </c>
    </row>
    <row r="36699" spans="1:6" ht="12.75">
      <c r="A36699" s="8">
        <v>43887.97592592593</v>
      </c>
      <c r="B36699" s="8" t="str">
        <f>HYPERLINK("https://twitter.com/ikhsanramadan_","@ikhsanramadan_")</f>
        <v>@ikhsanramadan_</v>
      </c>
      <c r="C36699" s="8" t="s">
        <v>13365</v>
      </c>
      <c r="D36699" s="8">
        <v>861</v>
      </c>
      <c r="E36699" s="8">
        <v>0</v>
      </c>
      <c r="F36699" s="8">
        <v>447</v>
      </c>
    </row>
    <row r="36700" spans="1:6" ht="12.75">
      <c r="A36700" s="8">
        <v>43887.974999999999</v>
      </c>
      <c r="B36700" s="8" t="str">
        <f>HYPERLINK("https://twitter.com/starebinsky","@starebinsky")</f>
        <v>@starebinsky</v>
      </c>
      <c r="C36700" s="8" t="s">
        <v>14260</v>
      </c>
      <c r="D36700" s="8">
        <v>0</v>
      </c>
      <c r="E36700" s="8">
        <v>0</v>
      </c>
      <c r="F36700" s="8">
        <v>171</v>
      </c>
    </row>
    <row r="36701" spans="1:6" ht="12.75">
      <c r="A36701" s="8">
        <v>43887.97483796296</v>
      </c>
      <c r="B36701" s="8" t="str">
        <f>HYPERLINK("https://twitter.com/Iyo63579667","@Iyo63579667")</f>
        <v>@Iyo63579667</v>
      </c>
      <c r="C36701" s="8" t="s">
        <v>14261</v>
      </c>
      <c r="D36701" s="8">
        <v>0</v>
      </c>
      <c r="E36701" s="8">
        <v>0</v>
      </c>
      <c r="F36701" s="8">
        <v>87</v>
      </c>
    </row>
    <row r="36702" spans="1:6" ht="12.75">
      <c r="A36702" s="8">
        <v>43887.974814814814</v>
      </c>
      <c r="B36702" s="8" t="str">
        <f>HYPERLINK("https://twitter.com/muioswelong","@muioswelong")</f>
        <v>@muioswelong</v>
      </c>
      <c r="C36702" s="8" t="s">
        <v>14262</v>
      </c>
      <c r="D36702" s="8">
        <v>0</v>
      </c>
      <c r="E36702" s="8">
        <v>0</v>
      </c>
      <c r="F36702" s="8">
        <v>379</v>
      </c>
    </row>
    <row r="36703" spans="1:6" ht="12.75">
      <c r="A36703" s="8">
        <v>43887.974548611106</v>
      </c>
      <c r="B36703" s="8" t="str">
        <f>HYPERLINK("https://twitter.com/RakyatSumut_","@RakyatSumut_")</f>
        <v>@RakyatSumut_</v>
      </c>
      <c r="C36703" s="8" t="s">
        <v>14263</v>
      </c>
      <c r="D36703" s="8">
        <v>0</v>
      </c>
      <c r="E36703" s="8">
        <v>0</v>
      </c>
      <c r="F36703" s="8">
        <v>53</v>
      </c>
    </row>
    <row r="36704" spans="1:6" ht="12.75">
      <c r="A36704" s="8">
        <v>43887.974421296298</v>
      </c>
      <c r="B36704" s="8" t="str">
        <f>HYPERLINK("https://twitter.com/iz_wni","@iz_wni")</f>
        <v>@iz_wni</v>
      </c>
      <c r="C36704" s="8" t="s">
        <v>14264</v>
      </c>
      <c r="D36704" s="8">
        <v>443</v>
      </c>
      <c r="E36704" s="8">
        <v>0</v>
      </c>
      <c r="F36704" s="8">
        <v>85</v>
      </c>
    </row>
    <row r="36705" spans="1:6" ht="12.75">
      <c r="A36705" s="8">
        <v>43887.974085648151</v>
      </c>
      <c r="B36705" s="8" t="str">
        <f>HYPERLINK("https://twitter.com/mudha_satriya","@mudha_satriya")</f>
        <v>@mudha_satriya</v>
      </c>
      <c r="C36705" s="8" t="s">
        <v>14265</v>
      </c>
      <c r="D36705" s="8">
        <v>3</v>
      </c>
      <c r="E36705" s="8">
        <v>0</v>
      </c>
      <c r="F36705" s="8">
        <v>1875</v>
      </c>
    </row>
    <row r="36706" spans="1:6" ht="12.75">
      <c r="A36706" s="8">
        <v>43887.974074074074</v>
      </c>
      <c r="B36706" s="8" t="str">
        <f>HYPERLINK("https://twitter.com/dtsputra","@dtsputra")</f>
        <v>@dtsputra</v>
      </c>
      <c r="C36706" s="8" t="s">
        <v>13198</v>
      </c>
      <c r="D36706" s="8">
        <v>29</v>
      </c>
      <c r="E36706" s="8">
        <v>0</v>
      </c>
      <c r="F36706" s="8">
        <v>40</v>
      </c>
    </row>
    <row r="36707" spans="1:6" ht="12.75">
      <c r="A36707" s="8">
        <v>43887.974016203705</v>
      </c>
      <c r="B36707" s="8" t="str">
        <f>HYPERLINK("https://twitter.com/hendraputrasiag","@hendraputrasiag")</f>
        <v>@hendraputrasiag</v>
      </c>
      <c r="C36707" s="8" t="s">
        <v>4785</v>
      </c>
      <c r="D36707" s="8">
        <v>317</v>
      </c>
      <c r="E36707" s="8">
        <v>0</v>
      </c>
      <c r="F36707" s="8">
        <v>184</v>
      </c>
    </row>
    <row r="36708" spans="1:6" ht="12.75">
      <c r="A36708" s="8">
        <v>43887.973657407405</v>
      </c>
      <c r="B36708" s="8" t="str">
        <f>HYPERLINK("https://twitter.com/mudha_satriya","@mudha_satriya")</f>
        <v>@mudha_satriya</v>
      </c>
      <c r="C36708" s="8" t="s">
        <v>14266</v>
      </c>
      <c r="D36708" s="8">
        <v>3</v>
      </c>
      <c r="E36708" s="8">
        <v>0</v>
      </c>
      <c r="F36708" s="8">
        <v>1875</v>
      </c>
    </row>
    <row r="36709" spans="1:6" ht="12.75">
      <c r="A36709" s="8">
        <v>43887.973368055551</v>
      </c>
      <c r="B36709" s="8" t="str">
        <f>HYPERLINK("https://twitter.com/SeptryFalkry","@SeptryFalkry")</f>
        <v>@SeptryFalkry</v>
      </c>
      <c r="C36709" s="8" t="s">
        <v>13198</v>
      </c>
      <c r="D36709" s="8">
        <v>29</v>
      </c>
      <c r="E36709" s="8">
        <v>0</v>
      </c>
      <c r="F36709" s="8">
        <v>108</v>
      </c>
    </row>
    <row r="36710" spans="1:6" ht="12.75">
      <c r="A36710" s="8">
        <v>43887.97320601852</v>
      </c>
      <c r="B36710" s="8" t="str">
        <f>HYPERLINK("https://twitter.com/hazpohan","@hazpohan")</f>
        <v>@hazpohan</v>
      </c>
      <c r="C36710" s="8" t="s">
        <v>12800</v>
      </c>
      <c r="D36710" s="8">
        <v>191</v>
      </c>
      <c r="E36710" s="8">
        <v>0</v>
      </c>
      <c r="F36710" s="8">
        <v>13842</v>
      </c>
    </row>
    <row r="36711" spans="1:6" ht="12.75">
      <c r="A36711" s="8">
        <v>43887.972893518519</v>
      </c>
      <c r="B36711" s="8" t="str">
        <f>HYPERLINK("https://twitter.com/HarianInhua","@HarianInhua")</f>
        <v>@HarianInhua</v>
      </c>
      <c r="C36711" s="8" t="s">
        <v>14267</v>
      </c>
      <c r="D36711" s="8">
        <v>0</v>
      </c>
      <c r="E36711" s="8">
        <v>0</v>
      </c>
      <c r="F36711" s="8">
        <v>86</v>
      </c>
    </row>
    <row r="36712" spans="1:6" ht="12.75">
      <c r="A36712" s="8">
        <v>43887.972893518519</v>
      </c>
      <c r="B36712" s="8" t="str">
        <f>HYPERLINK("https://twitter.com/mudha_satriya","@mudha_satriya")</f>
        <v>@mudha_satriya</v>
      </c>
      <c r="C36712" s="8" t="s">
        <v>13640</v>
      </c>
      <c r="D36712" s="8">
        <v>2</v>
      </c>
      <c r="E36712" s="8">
        <v>0</v>
      </c>
      <c r="F36712" s="8">
        <v>1875</v>
      </c>
    </row>
    <row r="36713" spans="1:6" ht="12.75">
      <c r="A36713" s="8">
        <v>43887.972893518519</v>
      </c>
      <c r="B36713" s="8" t="str">
        <f>HYPERLINK("https://twitter.com/fajarabaskris","@fajarabaskris")</f>
        <v>@fajarabaskris</v>
      </c>
      <c r="C36713" s="8" t="s">
        <v>14000</v>
      </c>
      <c r="D36713" s="8">
        <v>38</v>
      </c>
      <c r="E36713" s="8">
        <v>0</v>
      </c>
      <c r="F36713" s="8">
        <v>459</v>
      </c>
    </row>
    <row r="36714" spans="1:6" ht="12.75">
      <c r="A36714" s="8">
        <v>43887.964907407411</v>
      </c>
      <c r="B36714" s="8" t="str">
        <f>HYPERLINK("https://twitter.com/iz_wni","@iz_wni")</f>
        <v>@iz_wni</v>
      </c>
      <c r="C36714" s="8" t="s">
        <v>14268</v>
      </c>
      <c r="D36714" s="8">
        <v>4964</v>
      </c>
      <c r="E36714" s="8">
        <v>0</v>
      </c>
      <c r="F36714" s="8">
        <v>85</v>
      </c>
    </row>
    <row r="36715" spans="1:6" ht="12.75">
      <c r="A36715" s="8">
        <v>43887.963877314818</v>
      </c>
      <c r="B36715" s="8" t="str">
        <f>HYPERLINK("https://twitter.com/CastilloJoshima","@CastilloJoshima")</f>
        <v>@CastilloJoshima</v>
      </c>
      <c r="C36715" s="8" t="s">
        <v>14245</v>
      </c>
      <c r="D36715" s="8">
        <v>2</v>
      </c>
      <c r="E36715" s="8">
        <v>0</v>
      </c>
      <c r="F36715" s="8">
        <v>5406</v>
      </c>
    </row>
    <row r="36716" spans="1:6" ht="12.75">
      <c r="A36716" s="8">
        <v>43887.96365740741</v>
      </c>
      <c r="B36716" s="8" t="str">
        <f>HYPERLINK("https://twitter.com/kukuk4kikuk4ku","@kukuk4kikuk4ku")</f>
        <v>@kukuk4kikuk4ku</v>
      </c>
      <c r="C36716" s="8" t="s">
        <v>14245</v>
      </c>
      <c r="D36716" s="8">
        <v>2</v>
      </c>
      <c r="E36716" s="8">
        <v>0</v>
      </c>
      <c r="F36716" s="8">
        <v>89</v>
      </c>
    </row>
    <row r="36717" spans="1:6" ht="12.75">
      <c r="A36717" s="8">
        <v>43887.96361111111</v>
      </c>
      <c r="B36717" s="8" t="str">
        <f>HYPERLINK("https://twitter.com/em_giri","@em_giri")</f>
        <v>@em_giri</v>
      </c>
      <c r="C36717" s="8" t="s">
        <v>11773</v>
      </c>
      <c r="D36717" s="8">
        <v>205</v>
      </c>
      <c r="E36717" s="8">
        <v>0</v>
      </c>
      <c r="F36717" s="8">
        <v>223</v>
      </c>
    </row>
    <row r="36718" spans="1:6" ht="12.75">
      <c r="A36718" s="8">
        <v>43887.963472222225</v>
      </c>
      <c r="B36718" s="8" t="str">
        <f>HYPERLINK("https://twitter.com/zupatista","@zupatista")</f>
        <v>@zupatista</v>
      </c>
      <c r="C36718" s="8" t="s">
        <v>13365</v>
      </c>
      <c r="D36718" s="8">
        <v>860</v>
      </c>
      <c r="E36718" s="8">
        <v>0</v>
      </c>
      <c r="F36718" s="8">
        <v>77</v>
      </c>
    </row>
    <row r="36719" spans="1:6" ht="12.75">
      <c r="A36719" s="8">
        <v>43887.963124999995</v>
      </c>
      <c r="B36719" s="8" t="str">
        <f>HYPERLINK("https://twitter.com/xorion_","@xorion_")</f>
        <v>@xorion_</v>
      </c>
      <c r="C36719" s="8" t="s">
        <v>14093</v>
      </c>
      <c r="D36719" s="8">
        <v>546</v>
      </c>
      <c r="E36719" s="8">
        <v>0</v>
      </c>
      <c r="F36719" s="8">
        <v>341</v>
      </c>
    </row>
    <row r="36720" spans="1:6" ht="12.75">
      <c r="A36720" s="8">
        <v>43887.962766203702</v>
      </c>
      <c r="B36720" s="8" t="str">
        <f>HYPERLINK("https://twitter.com/PutiRani3","@PutiRani3")</f>
        <v>@PutiRani3</v>
      </c>
      <c r="C36720" s="8" t="s">
        <v>14151</v>
      </c>
      <c r="D36720" s="8">
        <v>12</v>
      </c>
      <c r="E36720" s="8">
        <v>0</v>
      </c>
      <c r="F36720" s="8">
        <v>6</v>
      </c>
    </row>
    <row r="36721" spans="1:6" ht="12.75">
      <c r="A36721" s="8">
        <v>43887.962604166663</v>
      </c>
      <c r="B36721" s="8" t="str">
        <f>HYPERLINK("https://twitter.com/Gendorowo3","@Gendorowo3")</f>
        <v>@Gendorowo3</v>
      </c>
      <c r="C36721" s="8" t="s">
        <v>12143</v>
      </c>
      <c r="D36721" s="8">
        <v>248</v>
      </c>
      <c r="E36721" s="8">
        <v>0</v>
      </c>
      <c r="F36721" s="8">
        <v>106</v>
      </c>
    </row>
    <row r="36722" spans="1:6" ht="12.75">
      <c r="A36722" s="8">
        <v>43887.962557870371</v>
      </c>
      <c r="B36722" s="8" t="str">
        <f>HYPERLINK("https://twitter.com/KompasTV","@KompasTV")</f>
        <v>@KompasTV</v>
      </c>
      <c r="C36722" s="8" t="s">
        <v>14269</v>
      </c>
      <c r="D36722" s="8">
        <v>0</v>
      </c>
      <c r="E36722" s="8">
        <v>0</v>
      </c>
      <c r="F36722" s="8">
        <v>2949637</v>
      </c>
    </row>
    <row r="36723" spans="1:6" ht="12.75">
      <c r="A36723" s="8">
        <v>43887.962418981479</v>
      </c>
      <c r="B36723" s="8" t="str">
        <f>HYPERLINK("https://twitter.com/CeriaSinom","@CeriaSinom")</f>
        <v>@CeriaSinom</v>
      </c>
      <c r="C36723" s="8" t="s">
        <v>12143</v>
      </c>
      <c r="D36723" s="8">
        <v>248</v>
      </c>
      <c r="E36723" s="8">
        <v>0</v>
      </c>
      <c r="F36723" s="8">
        <v>143</v>
      </c>
    </row>
    <row r="36724" spans="1:6" ht="12.75">
      <c r="A36724" s="8">
        <v>43887.961840277778</v>
      </c>
      <c r="B36724" s="8" t="str">
        <f>HYPERLINK("https://twitter.com/thesatesa_","@thesatesa_")</f>
        <v>@thesatesa_</v>
      </c>
      <c r="C36724" s="8" t="s">
        <v>13198</v>
      </c>
      <c r="D36724" s="8">
        <v>21</v>
      </c>
      <c r="E36724" s="8">
        <v>0</v>
      </c>
      <c r="F36724" s="8">
        <v>15</v>
      </c>
    </row>
    <row r="36725" spans="1:6" ht="12.75">
      <c r="A36725" s="8">
        <v>43887.961817129632</v>
      </c>
      <c r="B36725" s="8" t="str">
        <f>HYPERLINK("https://twitter.com/kukuk4kikuk4ku","@kukuk4kikuk4ku")</f>
        <v>@kukuk4kikuk4ku</v>
      </c>
      <c r="C36725" s="8" t="s">
        <v>13592</v>
      </c>
      <c r="D36725" s="8">
        <v>43</v>
      </c>
      <c r="E36725" s="8">
        <v>0</v>
      </c>
      <c r="F36725" s="8">
        <v>89</v>
      </c>
    </row>
    <row r="36726" spans="1:6" ht="12.75">
      <c r="A36726" s="8">
        <v>43887.961770833332</v>
      </c>
      <c r="B36726" s="8" t="str">
        <f>HYPERLINK("https://twitter.com/tommymarten","@tommymarten")</f>
        <v>@tommymarten</v>
      </c>
      <c r="C36726" s="8" t="s">
        <v>11773</v>
      </c>
      <c r="D36726" s="8">
        <v>205</v>
      </c>
      <c r="E36726" s="8">
        <v>0</v>
      </c>
      <c r="F36726" s="8">
        <v>184</v>
      </c>
    </row>
    <row r="36727" spans="1:6" ht="12.75">
      <c r="A36727" s="8">
        <v>43887.961469907408</v>
      </c>
      <c r="B36727" s="8" t="str">
        <f>HYPERLINK("https://twitter.com/ismaill26093110","@ismaill26093110")</f>
        <v>@ismaill26093110</v>
      </c>
      <c r="C36727" s="8" t="s">
        <v>13073</v>
      </c>
      <c r="D36727" s="8">
        <v>12</v>
      </c>
      <c r="E36727" s="8">
        <v>0</v>
      </c>
      <c r="F36727" s="8">
        <v>0</v>
      </c>
    </row>
    <row r="36728" spans="1:6" ht="12.75">
      <c r="A36728" s="8">
        <v>43887.961192129631</v>
      </c>
      <c r="B36728" s="8" t="str">
        <f>HYPERLINK("https://twitter.com/Gendorowo3","@Gendorowo3")</f>
        <v>@Gendorowo3</v>
      </c>
      <c r="C36728" s="8" t="s">
        <v>11773</v>
      </c>
      <c r="D36728" s="8">
        <v>205</v>
      </c>
      <c r="E36728" s="8">
        <v>0</v>
      </c>
      <c r="F36728" s="8">
        <v>106</v>
      </c>
    </row>
    <row r="36729" spans="1:6" ht="12.75">
      <c r="A36729" s="8">
        <v>43887.961041666669</v>
      </c>
      <c r="B36729" s="8" t="str">
        <f>HYPERLINK("https://twitter.com/SantiSoerjaatm1","@SantiSoerjaatm1")</f>
        <v>@SantiSoerjaatm1</v>
      </c>
      <c r="C36729" s="8" t="s">
        <v>11773</v>
      </c>
      <c r="D36729" s="8">
        <v>205</v>
      </c>
      <c r="E36729" s="8">
        <v>0</v>
      </c>
      <c r="F36729" s="8">
        <v>40</v>
      </c>
    </row>
    <row r="36730" spans="1:6" ht="12.75">
      <c r="A36730" s="8">
        <v>43887.960972222223</v>
      </c>
      <c r="B36730" s="8" t="str">
        <f>HYPERLINK("https://twitter.com/fahmigibrannn","@fahmigibrannn")</f>
        <v>@fahmigibrannn</v>
      </c>
      <c r="C36730" s="8" t="s">
        <v>12406</v>
      </c>
      <c r="D36730" s="8">
        <v>64</v>
      </c>
      <c r="E36730" s="8">
        <v>0</v>
      </c>
      <c r="F36730" s="8">
        <v>76</v>
      </c>
    </row>
    <row r="36731" spans="1:6" ht="12.75">
      <c r="A36731" s="8">
        <v>43887.960451388892</v>
      </c>
      <c r="B36731" s="8" t="str">
        <f t="shared" ref="B36731:B36732" si="540">HYPERLINK("https://twitter.com/Bambang9310","@Bambang9310")</f>
        <v>@Bambang9310</v>
      </c>
      <c r="C36731" s="8" t="s">
        <v>26</v>
      </c>
      <c r="D36731" s="8">
        <v>99</v>
      </c>
      <c r="E36731" s="8">
        <v>0</v>
      </c>
      <c r="F36731" s="8">
        <v>9</v>
      </c>
    </row>
    <row r="36732" spans="1:6" ht="12.75">
      <c r="A36732" s="8">
        <v>43887.960381944446</v>
      </c>
      <c r="B36732" s="8" t="str">
        <f t="shared" si="540"/>
        <v>@Bambang9310</v>
      </c>
      <c r="C36732" s="8" t="s">
        <v>4785</v>
      </c>
      <c r="D36732" s="8">
        <v>307</v>
      </c>
      <c r="E36732" s="8">
        <v>0</v>
      </c>
      <c r="F36732" s="8">
        <v>9</v>
      </c>
    </row>
    <row r="36733" spans="1:6" ht="12.75">
      <c r="A36733" s="8">
        <v>43887.960162037038</v>
      </c>
      <c r="B36733" s="8" t="str">
        <f>HYPERLINK("https://twitter.com/givwitter","@givwitter")</f>
        <v>@givwitter</v>
      </c>
      <c r="C36733" s="8" t="s">
        <v>593</v>
      </c>
      <c r="D36733" s="8">
        <v>284</v>
      </c>
      <c r="E36733" s="8">
        <v>0</v>
      </c>
      <c r="F36733" s="8">
        <v>2725</v>
      </c>
    </row>
    <row r="36734" spans="1:6" ht="12.75">
      <c r="A36734" s="8">
        <v>43887.960069444445</v>
      </c>
      <c r="B36734" s="8" t="str">
        <f>HYPERLINK("https://twitter.com/Ria_Victoriaa","@Ria_Victoriaa")</f>
        <v>@Ria_Victoriaa</v>
      </c>
      <c r="C36734" s="8" t="s">
        <v>4785</v>
      </c>
      <c r="D36734" s="8">
        <v>307</v>
      </c>
      <c r="E36734" s="8">
        <v>0</v>
      </c>
      <c r="F36734" s="8">
        <v>280</v>
      </c>
    </row>
    <row r="36735" spans="1:6" ht="12.75">
      <c r="A36735" s="8">
        <v>43887.959918981476</v>
      </c>
      <c r="B36735" s="8" t="str">
        <f t="shared" ref="B36735:B36736" si="541">HYPERLINK("https://twitter.com/x_oadjie","@x_oadjie")</f>
        <v>@x_oadjie</v>
      </c>
      <c r="C36735" s="8" t="s">
        <v>26</v>
      </c>
      <c r="D36735" s="8">
        <v>99</v>
      </c>
      <c r="E36735" s="8">
        <v>0</v>
      </c>
      <c r="F36735" s="8">
        <v>506</v>
      </c>
    </row>
    <row r="36736" spans="1:6" ht="12.75">
      <c r="A36736" s="8">
        <v>43887.95988425926</v>
      </c>
      <c r="B36736" s="8" t="str">
        <f t="shared" si="541"/>
        <v>@x_oadjie</v>
      </c>
      <c r="C36736" s="8" t="s">
        <v>4785</v>
      </c>
      <c r="D36736" s="8">
        <v>307</v>
      </c>
      <c r="E36736" s="8">
        <v>0</v>
      </c>
      <c r="F36736" s="8">
        <v>506</v>
      </c>
    </row>
    <row r="36737" spans="1:6" ht="12.75">
      <c r="A36737" s="8">
        <v>43887.959699074076</v>
      </c>
      <c r="B36737" s="8" t="str">
        <f>HYPERLINK("https://twitter.com/MemanggilMantan","@MemanggilMantan")</f>
        <v>@MemanggilMantan</v>
      </c>
      <c r="C36737" s="8" t="s">
        <v>14270</v>
      </c>
      <c r="D36737" s="8">
        <v>0</v>
      </c>
      <c r="E36737" s="8">
        <v>0</v>
      </c>
      <c r="F36737" s="8">
        <v>379</v>
      </c>
    </row>
    <row r="36738" spans="1:6" ht="12.75">
      <c r="A36738" s="8">
        <v>43887.959293981483</v>
      </c>
      <c r="B36738" s="8" t="str">
        <f>HYPERLINK("https://twitter.com/LizaElBe","@LizaElBe")</f>
        <v>@LizaElBe</v>
      </c>
      <c r="C36738" s="8" t="s">
        <v>12143</v>
      </c>
      <c r="D36738" s="8">
        <v>248</v>
      </c>
      <c r="E36738" s="8">
        <v>0</v>
      </c>
      <c r="F36738" s="8">
        <v>2818</v>
      </c>
    </row>
    <row r="36739" spans="1:6" ht="12.75">
      <c r="A36739" s="8">
        <v>43887.959155092598</v>
      </c>
      <c r="B36739" s="8" t="str">
        <f>HYPERLINK("https://twitter.com/lase_dhanil","@lase_dhanil")</f>
        <v>@lase_dhanil</v>
      </c>
      <c r="C36739" s="8" t="s">
        <v>13198</v>
      </c>
      <c r="D36739" s="8">
        <v>21</v>
      </c>
      <c r="E36739" s="8">
        <v>0</v>
      </c>
      <c r="F36739" s="8">
        <v>472</v>
      </c>
    </row>
    <row r="36740" spans="1:6" ht="12.75">
      <c r="A36740" s="8">
        <v>43887.958831018521</v>
      </c>
      <c r="B36740" s="8" t="str">
        <f>HYPERLINK("https://twitter.com/Mike27Bravo","@Mike27Bravo")</f>
        <v>@Mike27Bravo</v>
      </c>
      <c r="C36740" s="8" t="s">
        <v>14271</v>
      </c>
      <c r="D36740" s="8">
        <v>0</v>
      </c>
      <c r="E36740" s="8">
        <v>0</v>
      </c>
      <c r="F36740" s="8">
        <v>7</v>
      </c>
    </row>
    <row r="36741" spans="1:6" ht="12.75">
      <c r="A36741" s="8">
        <v>43887.958796296298</v>
      </c>
      <c r="B36741" s="8" t="str">
        <f>HYPERLINK("https://twitter.com/bungsirait","@bungsirait")</f>
        <v>@bungsirait</v>
      </c>
      <c r="C36741" s="8" t="s">
        <v>14272</v>
      </c>
      <c r="D36741" s="8">
        <v>0</v>
      </c>
      <c r="E36741" s="8">
        <v>1</v>
      </c>
      <c r="F36741" s="8">
        <v>147</v>
      </c>
    </row>
    <row r="36742" spans="1:6" ht="12.75">
      <c r="A36742" s="8">
        <v>43887.958634259259</v>
      </c>
      <c r="B36742" s="8" t="str">
        <f>HYPERLINK("https://twitter.com/JhonniSinaga20","@JhonniSinaga20")</f>
        <v>@JhonniSinaga20</v>
      </c>
      <c r="C36742" s="8" t="s">
        <v>4785</v>
      </c>
      <c r="D36742" s="8">
        <v>307</v>
      </c>
      <c r="E36742" s="8">
        <v>0</v>
      </c>
      <c r="F36742" s="8">
        <v>547</v>
      </c>
    </row>
    <row r="36743" spans="1:6" ht="12.75">
      <c r="A36743" s="8">
        <v>43887.958379629628</v>
      </c>
      <c r="B36743" s="8" t="str">
        <f>HYPERLINK("https://twitter.com/erickchamberlin","@erickchamberlin")</f>
        <v>@erickchamberlin</v>
      </c>
      <c r="C36743" s="8" t="s">
        <v>12406</v>
      </c>
      <c r="D36743" s="8">
        <v>64</v>
      </c>
      <c r="E36743" s="8">
        <v>0</v>
      </c>
      <c r="F36743" s="8">
        <v>607</v>
      </c>
    </row>
    <row r="36744" spans="1:6" ht="12.75">
      <c r="A36744" s="8">
        <v>43887.958229166667</v>
      </c>
      <c r="B36744" s="8" t="str">
        <f>HYPERLINK("https://twitter.com/putuayujp","@putuayujp")</f>
        <v>@putuayujp</v>
      </c>
      <c r="C36744" s="8" t="s">
        <v>26</v>
      </c>
      <c r="D36744" s="8">
        <v>99</v>
      </c>
      <c r="E36744" s="8">
        <v>0</v>
      </c>
      <c r="F36744" s="8">
        <v>248</v>
      </c>
    </row>
    <row r="36745" spans="1:6" ht="12.75">
      <c r="A36745" s="8">
        <v>43887.957974537036</v>
      </c>
      <c r="B36745" s="8" t="str">
        <f>HYPERLINK("https://twitter.com/AzFahru","@AzFahru")</f>
        <v>@AzFahru</v>
      </c>
      <c r="C36745" s="8" t="s">
        <v>13365</v>
      </c>
      <c r="D36745" s="8">
        <v>860</v>
      </c>
      <c r="E36745" s="8">
        <v>0</v>
      </c>
      <c r="F36745" s="8">
        <v>8</v>
      </c>
    </row>
    <row r="36746" spans="1:6" ht="12.75">
      <c r="A36746" s="8">
        <v>43887.957835648151</v>
      </c>
      <c r="B36746" s="8" t="str">
        <f>HYPERLINK("https://twitter.com/RizkiHa57401813","@RizkiHa57401813")</f>
        <v>@RizkiHa57401813</v>
      </c>
      <c r="C36746" s="8" t="s">
        <v>2941</v>
      </c>
      <c r="D36746" s="8">
        <v>1056</v>
      </c>
      <c r="E36746" s="8">
        <v>0</v>
      </c>
      <c r="F36746" s="8">
        <v>1</v>
      </c>
    </row>
    <row r="36747" spans="1:6" ht="12.75">
      <c r="A36747" s="8">
        <v>43887.957743055551</v>
      </c>
      <c r="B36747" s="8" t="str">
        <f>HYPERLINK("https://twitter.com/mediaindonesia","@mediaindonesia")</f>
        <v>@mediaindonesia</v>
      </c>
      <c r="C36747" s="8" t="s">
        <v>14273</v>
      </c>
      <c r="D36747" s="8">
        <v>0</v>
      </c>
      <c r="E36747" s="8">
        <v>0</v>
      </c>
      <c r="F36747" s="8">
        <v>1418905</v>
      </c>
    </row>
    <row r="36748" spans="1:6" ht="12.75">
      <c r="A36748" s="8">
        <v>43887.957569444443</v>
      </c>
      <c r="B36748" s="8" t="str">
        <f>HYPERLINK("https://twitter.com/imayamayam","@imayamayam")</f>
        <v>@imayamayam</v>
      </c>
      <c r="C36748" s="8" t="s">
        <v>14003</v>
      </c>
      <c r="D36748" s="8">
        <v>13</v>
      </c>
      <c r="E36748" s="8">
        <v>0</v>
      </c>
      <c r="F36748" s="8">
        <v>378</v>
      </c>
    </row>
    <row r="36749" spans="1:6" ht="12.75">
      <c r="A36749" s="8">
        <v>43887.957361111112</v>
      </c>
      <c r="B36749" s="8" t="str">
        <f>HYPERLINK("https://twitter.com/Isis_alada","@Isis_alada")</f>
        <v>@Isis_alada</v>
      </c>
      <c r="C36749" s="8" t="s">
        <v>14274</v>
      </c>
      <c r="D36749" s="8">
        <v>0</v>
      </c>
      <c r="E36749" s="8">
        <v>0</v>
      </c>
      <c r="F36749" s="8">
        <v>394</v>
      </c>
    </row>
    <row r="36750" spans="1:6" ht="12.75">
      <c r="A36750" s="8">
        <v>43887.956990740742</v>
      </c>
      <c r="B36750" s="8" t="str">
        <f>HYPERLINK("https://twitter.com/saefudin_zuhrii","@saefudin_zuhrii")</f>
        <v>@saefudin_zuhrii</v>
      </c>
      <c r="C36750" s="8" t="s">
        <v>14275</v>
      </c>
      <c r="D36750" s="8">
        <v>0</v>
      </c>
      <c r="E36750" s="8">
        <v>0</v>
      </c>
      <c r="F36750" s="8">
        <v>196</v>
      </c>
    </row>
    <row r="36751" spans="1:6" ht="12.75">
      <c r="A36751" s="8">
        <v>43887.956863425927</v>
      </c>
      <c r="B36751" s="8" t="str">
        <f>HYPERLINK("https://twitter.com/TrilisaMps","@TrilisaMps")</f>
        <v>@TrilisaMps</v>
      </c>
      <c r="C36751" s="8" t="s">
        <v>26</v>
      </c>
      <c r="D36751" s="8">
        <v>99</v>
      </c>
      <c r="E36751" s="8">
        <v>0</v>
      </c>
      <c r="F36751" s="8">
        <v>575</v>
      </c>
    </row>
    <row r="36752" spans="1:6" ht="12.75">
      <c r="A36752" s="8">
        <v>43887.956805555557</v>
      </c>
      <c r="B36752" s="8" t="str">
        <f>HYPERLINK("https://twitter.com/Hali__lintar","@Hali__lintar")</f>
        <v>@Hali__lintar</v>
      </c>
      <c r="C36752" s="8" t="s">
        <v>14206</v>
      </c>
      <c r="D36752" s="8">
        <v>3</v>
      </c>
      <c r="E36752" s="8">
        <v>0</v>
      </c>
      <c r="F36752" s="8">
        <v>9296</v>
      </c>
    </row>
    <row r="36753" spans="1:6" ht="12.75">
      <c r="A36753" s="8">
        <v>43887.956805555557</v>
      </c>
      <c r="B36753" s="8" t="str">
        <f>HYPERLINK("https://twitter.com/cuk_raimu","@cuk_raimu")</f>
        <v>@cuk_raimu</v>
      </c>
      <c r="C36753" s="8" t="s">
        <v>14276</v>
      </c>
      <c r="D36753" s="8">
        <v>2</v>
      </c>
      <c r="E36753" s="8">
        <v>2</v>
      </c>
      <c r="F36753" s="8">
        <v>31</v>
      </c>
    </row>
    <row r="36754" spans="1:6" ht="12.75">
      <c r="A36754" s="8">
        <v>43887.956493055557</v>
      </c>
      <c r="B36754" s="8" t="str">
        <f>HYPERLINK("https://twitter.com/DenmasBedj0","@DenmasBedj0")</f>
        <v>@DenmasBedj0</v>
      </c>
      <c r="C36754" s="8" t="s">
        <v>12143</v>
      </c>
      <c r="D36754" s="8">
        <v>248</v>
      </c>
      <c r="E36754" s="8">
        <v>0</v>
      </c>
      <c r="F36754" s="8">
        <v>1873</v>
      </c>
    </row>
    <row r="36755" spans="1:6" ht="12.75">
      <c r="A36755" s="8">
        <v>43887.956446759257</v>
      </c>
      <c r="B36755" s="8" t="str">
        <f>HYPERLINK("https://twitter.com/JohnIrwan4","@JohnIrwan4")</f>
        <v>@JohnIrwan4</v>
      </c>
      <c r="C36755" s="8" t="s">
        <v>13329</v>
      </c>
      <c r="D36755" s="8">
        <v>9</v>
      </c>
      <c r="E36755" s="8">
        <v>0</v>
      </c>
      <c r="F36755" s="8">
        <v>2490</v>
      </c>
    </row>
    <row r="36756" spans="1:6" ht="12.75">
      <c r="A36756" s="8">
        <v>43887.956087962964</v>
      </c>
      <c r="B36756" s="8" t="str">
        <f>HYPERLINK("https://twitter.com/UtomoFreddy","@UtomoFreddy")</f>
        <v>@UtomoFreddy</v>
      </c>
      <c r="C36756" s="8" t="s">
        <v>13198</v>
      </c>
      <c r="D36756" s="8">
        <v>21</v>
      </c>
      <c r="E36756" s="8">
        <v>0</v>
      </c>
      <c r="F36756" s="8">
        <v>101</v>
      </c>
    </row>
    <row r="36757" spans="1:6" ht="12.75">
      <c r="A36757" s="8">
        <v>43887.955960648149</v>
      </c>
      <c r="B36757" s="8" t="str">
        <f>HYPERLINK("https://twitter.com/ferrry_ok","@ferrry_ok")</f>
        <v>@ferrry_ok</v>
      </c>
      <c r="C36757" s="8" t="s">
        <v>14277</v>
      </c>
      <c r="D36757" s="8">
        <v>2</v>
      </c>
      <c r="E36757" s="8">
        <v>0</v>
      </c>
      <c r="F36757" s="8">
        <v>31</v>
      </c>
    </row>
    <row r="36758" spans="1:6" ht="12.75">
      <c r="A36758" s="8">
        <v>43887.954872685186</v>
      </c>
      <c r="B36758" s="8" t="str">
        <f>HYPERLINK("https://twitter.com/slash8inbash","@slash8inbash")</f>
        <v>@slash8inbash</v>
      </c>
      <c r="C36758" s="8" t="s">
        <v>13365</v>
      </c>
      <c r="D36758" s="8">
        <v>860</v>
      </c>
      <c r="E36758" s="8">
        <v>0</v>
      </c>
      <c r="F36758" s="8">
        <v>88</v>
      </c>
    </row>
    <row r="36759" spans="1:6" ht="12.75">
      <c r="A36759" s="8">
        <v>43887.954872685186</v>
      </c>
      <c r="B36759" s="8" t="str">
        <f>HYPERLINK("https://twitter.com/nurmaasa","@nurmaasa")</f>
        <v>@nurmaasa</v>
      </c>
      <c r="C36759" s="8" t="s">
        <v>12406</v>
      </c>
      <c r="D36759" s="8">
        <v>64</v>
      </c>
      <c r="E36759" s="8">
        <v>0</v>
      </c>
      <c r="F36759" s="8">
        <v>377</v>
      </c>
    </row>
    <row r="36760" spans="1:6" ht="12.75">
      <c r="A36760" s="8">
        <v>43887.954814814817</v>
      </c>
      <c r="B36760" s="8" t="str">
        <f>HYPERLINK("https://twitter.com/PaijoAryanto__","@PaijoAryanto__")</f>
        <v>@PaijoAryanto__</v>
      </c>
      <c r="C36760" s="8" t="s">
        <v>14278</v>
      </c>
      <c r="D36760" s="8">
        <v>0</v>
      </c>
      <c r="E36760" s="8">
        <v>1</v>
      </c>
      <c r="F36760" s="8">
        <v>732</v>
      </c>
    </row>
    <row r="36761" spans="1:6" ht="12.75">
      <c r="A36761" s="8">
        <v>43887.95480324074</v>
      </c>
      <c r="B36761" s="8" t="str">
        <f>HYPERLINK("https://twitter.com/Riko_Aldiano","@Riko_Aldiano")</f>
        <v>@Riko_Aldiano</v>
      </c>
      <c r="C36761" s="8" t="s">
        <v>14279</v>
      </c>
      <c r="D36761" s="8">
        <v>39</v>
      </c>
      <c r="E36761" s="8">
        <v>0</v>
      </c>
      <c r="F36761" s="8">
        <v>1328</v>
      </c>
    </row>
    <row r="36762" spans="1:6" ht="12.75">
      <c r="A36762" s="8">
        <v>43887.954652777778</v>
      </c>
      <c r="B36762" s="8" t="str">
        <f>HYPERLINK("https://twitter.com/tagarabak","@tagarabak")</f>
        <v>@tagarabak</v>
      </c>
      <c r="C36762" s="8" t="s">
        <v>12143</v>
      </c>
      <c r="D36762" s="8">
        <v>248</v>
      </c>
      <c r="E36762" s="8">
        <v>0</v>
      </c>
      <c r="F36762" s="8">
        <v>400</v>
      </c>
    </row>
    <row r="36763" spans="1:6" ht="12.75">
      <c r="A36763" s="8">
        <v>43887.95447916667</v>
      </c>
      <c r="B36763" s="8" t="str">
        <f>HYPERLINK("https://twitter.com/Otink18","@Otink18")</f>
        <v>@Otink18</v>
      </c>
      <c r="C36763" s="8" t="s">
        <v>14280</v>
      </c>
      <c r="D36763" s="8">
        <v>0</v>
      </c>
      <c r="E36763" s="8">
        <v>0</v>
      </c>
      <c r="F36763" s="8">
        <v>1709</v>
      </c>
    </row>
    <row r="36764" spans="1:6" ht="12.75">
      <c r="A36764" s="8">
        <v>43887.954444444447</v>
      </c>
      <c r="B36764" s="8" t="str">
        <f t="shared" ref="B36764:B36765" si="542">HYPERLINK("https://twitter.com/erlianaerliana2","@erlianaerliana2")</f>
        <v>@erlianaerliana2</v>
      </c>
      <c r="C36764" s="8" t="s">
        <v>4785</v>
      </c>
      <c r="D36764" s="8">
        <v>307</v>
      </c>
      <c r="E36764" s="8">
        <v>0</v>
      </c>
      <c r="F36764" s="8">
        <v>6</v>
      </c>
    </row>
    <row r="36765" spans="1:6" ht="12.75">
      <c r="A36765" s="8">
        <v>43887.954409722224</v>
      </c>
      <c r="B36765" s="8" t="str">
        <f t="shared" si="542"/>
        <v>@erlianaerliana2</v>
      </c>
      <c r="C36765" s="8" t="s">
        <v>26</v>
      </c>
      <c r="D36765" s="8">
        <v>99</v>
      </c>
      <c r="E36765" s="8">
        <v>0</v>
      </c>
      <c r="F36765" s="8">
        <v>6</v>
      </c>
    </row>
    <row r="36766" spans="1:6" ht="12.75">
      <c r="A36766" s="8">
        <v>43887.95412037037</v>
      </c>
      <c r="B36766" s="8" t="str">
        <f>HYPERLINK("https://twitter.com/pratamadhityar","@pratamadhityar")</f>
        <v>@pratamadhityar</v>
      </c>
      <c r="C36766" s="8" t="s">
        <v>13338</v>
      </c>
      <c r="D36766" s="8">
        <v>20</v>
      </c>
      <c r="E36766" s="8">
        <v>0</v>
      </c>
      <c r="F36766" s="8">
        <v>510</v>
      </c>
    </row>
    <row r="36767" spans="1:6" ht="12.75">
      <c r="A36767" s="8">
        <v>43887.953819444447</v>
      </c>
      <c r="B36767" s="8" t="str">
        <f>HYPERLINK("https://twitter.com/KalinyIsis","@KalinyIsis")</f>
        <v>@KalinyIsis</v>
      </c>
      <c r="C36767" s="8" t="s">
        <v>14281</v>
      </c>
      <c r="D36767" s="8">
        <v>0</v>
      </c>
      <c r="E36767" s="8">
        <v>0</v>
      </c>
      <c r="F36767" s="8">
        <v>0</v>
      </c>
    </row>
    <row r="36768" spans="1:6" ht="12.75">
      <c r="A36768" s="8">
        <v>43887.953587962962</v>
      </c>
      <c r="B36768" s="8" t="str">
        <f>HYPERLINK("https://twitter.com/SeeHandy","@SeeHandy")</f>
        <v>@SeeHandy</v>
      </c>
      <c r="C36768" s="8" t="s">
        <v>14282</v>
      </c>
      <c r="D36768" s="8">
        <v>0</v>
      </c>
      <c r="E36768" s="8">
        <v>0</v>
      </c>
      <c r="F36768" s="8">
        <v>815</v>
      </c>
    </row>
    <row r="36769" spans="1:6" ht="12.75">
      <c r="A36769" s="8">
        <v>43887.953425925924</v>
      </c>
      <c r="B36769" s="8" t="str">
        <f>HYPERLINK("https://twitter.com/Lia_MG_JAFRA","@Lia_MG_JAFRA")</f>
        <v>@Lia_MG_JAFRA</v>
      </c>
      <c r="C36769" s="8" t="s">
        <v>14283</v>
      </c>
      <c r="D36769" s="8">
        <v>1</v>
      </c>
      <c r="E36769" s="8">
        <v>1</v>
      </c>
      <c r="F36769" s="8">
        <v>394</v>
      </c>
    </row>
    <row r="36770" spans="1:6" ht="12.75">
      <c r="A36770" s="8">
        <v>43887.952928240746</v>
      </c>
      <c r="B36770" s="8" t="str">
        <f>HYPERLINK("https://twitter.com/su7loo","@su7loo")</f>
        <v>@su7loo</v>
      </c>
      <c r="C36770" s="8" t="s">
        <v>13965</v>
      </c>
      <c r="D36770" s="8">
        <v>4</v>
      </c>
      <c r="E36770" s="8">
        <v>0</v>
      </c>
      <c r="F36770" s="8">
        <v>1167</v>
      </c>
    </row>
    <row r="36771" spans="1:6" ht="12.75">
      <c r="A36771" s="8">
        <v>43887.9528125</v>
      </c>
      <c r="B36771" s="8" t="str">
        <f>HYPERLINK("https://twitter.com/romeophile7","@romeophile7")</f>
        <v>@romeophile7</v>
      </c>
      <c r="C36771" s="8" t="s">
        <v>14284</v>
      </c>
      <c r="D36771" s="8">
        <v>0</v>
      </c>
      <c r="E36771" s="8">
        <v>0</v>
      </c>
      <c r="F36771" s="8">
        <v>261</v>
      </c>
    </row>
    <row r="36772" spans="1:6" ht="12.75">
      <c r="A36772" s="8">
        <v>43887.952569444446</v>
      </c>
      <c r="B36772" s="8" t="str">
        <f>HYPERLINK("https://twitter.com/MBudiwibowo","@MBudiwibowo")</f>
        <v>@MBudiwibowo</v>
      </c>
      <c r="C36772" s="8" t="s">
        <v>12143</v>
      </c>
      <c r="D36772" s="8">
        <v>248</v>
      </c>
      <c r="E36772" s="8">
        <v>0</v>
      </c>
      <c r="F36772" s="8">
        <v>339</v>
      </c>
    </row>
    <row r="36773" spans="1:6" ht="12.75">
      <c r="A36773" s="8">
        <v>43887.95244212963</v>
      </c>
      <c r="B36773" s="8" t="str">
        <f>HYPERLINK("https://twitter.com/AnakLolina","@AnakLolina")</f>
        <v>@AnakLolina</v>
      </c>
      <c r="C36773" s="8" t="s">
        <v>13329</v>
      </c>
      <c r="D36773" s="8">
        <v>9</v>
      </c>
      <c r="E36773" s="8">
        <v>0</v>
      </c>
      <c r="F36773" s="8">
        <v>14911</v>
      </c>
    </row>
    <row r="36774" spans="1:6" ht="12.75">
      <c r="A36774" s="8">
        <v>43887.952141203699</v>
      </c>
      <c r="B36774" s="8" t="str">
        <f>HYPERLINK("https://twitter.com/Firmanbudianap2","@Firmanbudianap2")</f>
        <v>@Firmanbudianap2</v>
      </c>
      <c r="C36774" s="8" t="s">
        <v>14266</v>
      </c>
      <c r="D36774" s="8">
        <v>2</v>
      </c>
      <c r="E36774" s="8">
        <v>0</v>
      </c>
      <c r="F36774" s="8">
        <v>161</v>
      </c>
    </row>
    <row r="36775" spans="1:6" ht="12.75">
      <c r="A36775" s="8">
        <v>43887.952106481476</v>
      </c>
      <c r="B36775" s="8" t="str">
        <f>HYPERLINK("https://twitter.com/etzizu","@etzizu")</f>
        <v>@etzizu</v>
      </c>
      <c r="C36775" s="8" t="s">
        <v>14285</v>
      </c>
      <c r="D36775" s="8">
        <v>0</v>
      </c>
      <c r="E36775" s="8">
        <v>0</v>
      </c>
      <c r="F36775" s="8">
        <v>6</v>
      </c>
    </row>
    <row r="36776" spans="1:6" ht="12.75">
      <c r="A36776" s="8">
        <v>43887.951967592591</v>
      </c>
      <c r="B36776" s="8" t="str">
        <f>HYPERLINK("https://twitter.com/GelapPemuda","@GelapPemuda")</f>
        <v>@GelapPemuda</v>
      </c>
      <c r="C36776" s="8" t="s">
        <v>13198</v>
      </c>
      <c r="D36776" s="8">
        <v>21</v>
      </c>
      <c r="E36776" s="8">
        <v>0</v>
      </c>
      <c r="F36776" s="8">
        <v>2</v>
      </c>
    </row>
    <row r="36777" spans="1:6" ht="12.75">
      <c r="A36777" s="8">
        <v>43887.951886574076</v>
      </c>
      <c r="B36777" s="8" t="str">
        <f>HYPERLINK("https://twitter.com/Luana_LD","@Luana_LD")</f>
        <v>@Luana_LD</v>
      </c>
      <c r="C36777" s="8" t="s">
        <v>14286</v>
      </c>
      <c r="D36777" s="8">
        <v>0</v>
      </c>
      <c r="E36777" s="8">
        <v>1</v>
      </c>
      <c r="F36777" s="8">
        <v>2159</v>
      </c>
    </row>
    <row r="36778" spans="1:6" ht="12.75">
      <c r="A36778" s="8">
        <v>43887.951805555553</v>
      </c>
      <c r="B36778" s="8" t="str">
        <f>HYPERLINK("https://twitter.com/progjo","@progjo")</f>
        <v>@progjo</v>
      </c>
      <c r="C36778" s="8" t="s">
        <v>26</v>
      </c>
      <c r="D36778" s="8">
        <v>99</v>
      </c>
      <c r="E36778" s="8">
        <v>0</v>
      </c>
      <c r="F36778" s="8">
        <v>4418</v>
      </c>
    </row>
    <row r="36779" spans="1:6" ht="12.75">
      <c r="A36779" s="8">
        <v>43887.951712962968</v>
      </c>
      <c r="B36779" s="8" t="str">
        <f>HYPERLINK("https://twitter.com/Rizki_ILLAHI_","@Rizki_ILLAHI_")</f>
        <v>@Rizki_ILLAHI_</v>
      </c>
      <c r="C36779" s="8" t="s">
        <v>14287</v>
      </c>
      <c r="D36779" s="8">
        <v>4</v>
      </c>
      <c r="E36779" s="8">
        <v>0</v>
      </c>
      <c r="F36779" s="8">
        <v>585</v>
      </c>
    </row>
    <row r="36780" spans="1:6" ht="12.75">
      <c r="A36780" s="8">
        <v>43887.951423611114</v>
      </c>
      <c r="B36780" s="8" t="str">
        <f>HYPERLINK("https://twitter.com/nonalian","@nonalian")</f>
        <v>@nonalian</v>
      </c>
      <c r="C36780" s="8" t="s">
        <v>13338</v>
      </c>
      <c r="D36780" s="8">
        <v>20</v>
      </c>
      <c r="E36780" s="8">
        <v>0</v>
      </c>
      <c r="F36780" s="8">
        <v>301</v>
      </c>
    </row>
    <row r="36781" spans="1:6" ht="12.75">
      <c r="A36781" s="8">
        <v>43887.951296296298</v>
      </c>
      <c r="B36781" s="8" t="str">
        <f>HYPERLINK("https://twitter.com/antakara_86","@antakara_86")</f>
        <v>@antakara_86</v>
      </c>
      <c r="C36781" s="8" t="s">
        <v>13329</v>
      </c>
      <c r="D36781" s="8">
        <v>9</v>
      </c>
      <c r="E36781" s="8">
        <v>0</v>
      </c>
      <c r="F36781" s="8">
        <v>5067</v>
      </c>
    </row>
    <row r="36782" spans="1:6" ht="12.75">
      <c r="A36782" s="8">
        <v>43887.951053240744</v>
      </c>
      <c r="B36782" s="8" t="str">
        <f>HYPERLINK("https://twitter.com/PDI_Perjuangan","@PDI_Perjuangan")</f>
        <v>@PDI_Perjuangan</v>
      </c>
      <c r="C36782" s="8" t="s">
        <v>14288</v>
      </c>
      <c r="D36782" s="8">
        <v>0</v>
      </c>
      <c r="E36782" s="8">
        <v>3</v>
      </c>
      <c r="F36782" s="8">
        <v>219696</v>
      </c>
    </row>
    <row r="36783" spans="1:6" ht="12.75">
      <c r="A36783" s="8">
        <v>43887.950983796298</v>
      </c>
      <c r="B36783" s="8" t="str">
        <f>HYPERLINK("https://twitter.com/jeohgyeon","@jeohgyeon")</f>
        <v>@jeohgyeon</v>
      </c>
      <c r="C36783" s="8" t="s">
        <v>14289</v>
      </c>
      <c r="D36783" s="8">
        <v>0</v>
      </c>
      <c r="E36783" s="8">
        <v>1</v>
      </c>
      <c r="F36783" s="8">
        <v>1377</v>
      </c>
    </row>
    <row r="36784" spans="1:6" ht="12.75">
      <c r="A36784" s="8">
        <v>43887.950983796298</v>
      </c>
      <c r="B36784" s="8" t="str">
        <f>HYPERLINK("https://twitter.com/baca_tanda","@baca_tanda")</f>
        <v>@baca_tanda</v>
      </c>
      <c r="C36784" s="8" t="s">
        <v>12143</v>
      </c>
      <c r="D36784" s="8">
        <v>248</v>
      </c>
      <c r="E36784" s="8">
        <v>0</v>
      </c>
      <c r="F36784" s="8">
        <v>994</v>
      </c>
    </row>
    <row r="36785" spans="1:6" ht="12.75">
      <c r="A36785" s="8">
        <v>43887.950601851851</v>
      </c>
      <c r="B36785" s="8" t="str">
        <f>HYPERLINK("https://twitter.com/CastilloJoshima","@CastilloJoshima")</f>
        <v>@CastilloJoshima</v>
      </c>
      <c r="C36785" s="8" t="s">
        <v>14290</v>
      </c>
      <c r="D36785" s="8">
        <v>1</v>
      </c>
      <c r="E36785" s="8">
        <v>0</v>
      </c>
      <c r="F36785" s="8">
        <v>5406</v>
      </c>
    </row>
    <row r="36786" spans="1:6" ht="12.75">
      <c r="A36786" s="8">
        <v>43887.950486111113</v>
      </c>
      <c r="B36786" s="8" t="str">
        <f>HYPERLINK("https://twitter.com/BujangOta","@BujangOta")</f>
        <v>@BujangOta</v>
      </c>
      <c r="C36786" s="8" t="s">
        <v>13365</v>
      </c>
      <c r="D36786" s="8">
        <v>860</v>
      </c>
      <c r="E36786" s="8">
        <v>0</v>
      </c>
      <c r="F36786" s="8">
        <v>18</v>
      </c>
    </row>
    <row r="36787" spans="1:6" ht="12.75">
      <c r="A36787" s="8">
        <v>43887.950439814813</v>
      </c>
      <c r="B36787" s="8" t="str">
        <f>HYPERLINK("https://twitter.com/Nidarosdomen","@Nidarosdomen")</f>
        <v>@Nidarosdomen</v>
      </c>
      <c r="C36787" s="8" t="s">
        <v>14291</v>
      </c>
      <c r="D36787" s="8">
        <v>0</v>
      </c>
      <c r="E36787" s="8">
        <v>0</v>
      </c>
      <c r="F36787" s="8">
        <v>20</v>
      </c>
    </row>
    <row r="36788" spans="1:6" ht="12.75">
      <c r="A36788" s="8">
        <v>43887.950243055559</v>
      </c>
      <c r="B36788" s="8" t="str">
        <f>HYPERLINK("https://twitter.com/Firmanbudianap2","@Firmanbudianap2")</f>
        <v>@Firmanbudianap2</v>
      </c>
      <c r="C36788" s="8" t="s">
        <v>14265</v>
      </c>
      <c r="D36788" s="8">
        <v>2</v>
      </c>
      <c r="E36788" s="8">
        <v>0</v>
      </c>
      <c r="F36788" s="8">
        <v>161</v>
      </c>
    </row>
    <row r="36789" spans="1:6" ht="12.75">
      <c r="A36789" s="8">
        <v>43887.949976851851</v>
      </c>
      <c r="B36789" s="8" t="str">
        <f>HYPERLINK("https://twitter.com/Ariewidyas","@Ariewidyas")</f>
        <v>@Ariewidyas</v>
      </c>
      <c r="C36789" s="8" t="s">
        <v>14292</v>
      </c>
      <c r="D36789" s="8">
        <v>22</v>
      </c>
      <c r="E36789" s="8">
        <v>0</v>
      </c>
      <c r="F36789" s="8">
        <v>137</v>
      </c>
    </row>
    <row r="36790" spans="1:6" ht="12.75">
      <c r="A36790" s="8">
        <v>43887.949953703705</v>
      </c>
      <c r="B36790" s="8" t="str">
        <f>HYPERLINK("https://twitter.com/adeCR26","@adeCR26")</f>
        <v>@adeCR26</v>
      </c>
      <c r="C36790" s="8" t="s">
        <v>12143</v>
      </c>
      <c r="D36790" s="8">
        <v>248</v>
      </c>
      <c r="E36790" s="8">
        <v>0</v>
      </c>
      <c r="F36790" s="8">
        <v>440</v>
      </c>
    </row>
    <row r="36791" spans="1:6" ht="12.75">
      <c r="A36791" s="8">
        <v>43887.949444444443</v>
      </c>
      <c r="B36791" s="8" t="str">
        <f>HYPERLINK("https://twitter.com/WieRamly","@WieRamly")</f>
        <v>@WieRamly</v>
      </c>
      <c r="C36791" s="8" t="s">
        <v>11773</v>
      </c>
      <c r="D36791" s="8">
        <v>205</v>
      </c>
      <c r="E36791" s="8">
        <v>0</v>
      </c>
      <c r="F36791" s="8">
        <v>347</v>
      </c>
    </row>
    <row r="36792" spans="1:6" ht="12.75">
      <c r="A36792" s="8">
        <v>43887.94935185185</v>
      </c>
      <c r="B36792" s="8" t="str">
        <f>HYPERLINK("https://twitter.com/windapiyy","@windapiyy")</f>
        <v>@windapiyy</v>
      </c>
      <c r="C36792" s="8" t="s">
        <v>593</v>
      </c>
      <c r="D36792" s="8">
        <v>284</v>
      </c>
      <c r="E36792" s="8">
        <v>0</v>
      </c>
      <c r="F36792" s="8">
        <v>1009</v>
      </c>
    </row>
    <row r="36793" spans="1:6" ht="12.75">
      <c r="A36793" s="8">
        <v>43887.949282407411</v>
      </c>
      <c r="B36793" s="8" t="str">
        <f>HYPERLINK("https://twitter.com/bagustriatmoj18","@bagustriatmoj18")</f>
        <v>@bagustriatmoj18</v>
      </c>
      <c r="C36793" s="8" t="s">
        <v>14293</v>
      </c>
      <c r="D36793" s="8">
        <v>0</v>
      </c>
      <c r="E36793" s="8">
        <v>0</v>
      </c>
      <c r="F36793" s="8">
        <v>366</v>
      </c>
    </row>
    <row r="36794" spans="1:6" ht="12.75">
      <c r="A36794" s="8">
        <v>43887.94903935185</v>
      </c>
      <c r="B36794" s="8" t="str">
        <f>HYPERLINK("https://twitter.com/wisnuuhh","@wisnuuhh")</f>
        <v>@wisnuuhh</v>
      </c>
      <c r="C36794" s="8" t="s">
        <v>14294</v>
      </c>
      <c r="D36794" s="8">
        <v>0</v>
      </c>
      <c r="E36794" s="8">
        <v>1</v>
      </c>
      <c r="F36794" s="8">
        <v>179</v>
      </c>
    </row>
    <row r="36795" spans="1:6" ht="12.75">
      <c r="A36795" s="8">
        <v>43887.948761574073</v>
      </c>
      <c r="B36795" s="8" t="str">
        <f>HYPERLINK("https://twitter.com/Jalakovic","@Jalakovic")</f>
        <v>@Jalakovic</v>
      </c>
      <c r="C36795" s="8" t="s">
        <v>11773</v>
      </c>
      <c r="D36795" s="8">
        <v>205</v>
      </c>
      <c r="E36795" s="8">
        <v>0</v>
      </c>
      <c r="F36795" s="8">
        <v>38</v>
      </c>
    </row>
    <row r="36796" spans="1:6" ht="12.75">
      <c r="A36796" s="8">
        <v>43887.948564814811</v>
      </c>
      <c r="B36796" s="8" t="str">
        <f>HYPERLINK("https://twitter.com/panggilkepuluu","@panggilkepuluu")</f>
        <v>@panggilkepuluu</v>
      </c>
      <c r="C36796" s="8" t="s">
        <v>13875</v>
      </c>
      <c r="D36796" s="8">
        <v>18</v>
      </c>
      <c r="E36796" s="8">
        <v>0</v>
      </c>
      <c r="F36796" s="8">
        <v>737</v>
      </c>
    </row>
    <row r="36797" spans="1:6" ht="12.75">
      <c r="A36797" s="8">
        <v>43887.948263888888</v>
      </c>
      <c r="B36797" s="8" t="str">
        <f>HYPERLINK("https://twitter.com/vict_isis","@vict_isis")</f>
        <v>@vict_isis</v>
      </c>
      <c r="C36797" s="8" t="s">
        <v>14295</v>
      </c>
      <c r="D36797" s="8">
        <v>1</v>
      </c>
      <c r="E36797" s="8">
        <v>0</v>
      </c>
      <c r="F36797" s="8">
        <v>861</v>
      </c>
    </row>
    <row r="36798" spans="1:6" ht="12.75">
      <c r="A36798" s="8">
        <v>43887.948182870372</v>
      </c>
      <c r="B36798" s="8" t="str">
        <f>HYPERLINK("https://twitter.com/marhatang","@marhatang")</f>
        <v>@marhatang</v>
      </c>
      <c r="C36798" s="8" t="s">
        <v>13365</v>
      </c>
      <c r="D36798" s="8">
        <v>860</v>
      </c>
      <c r="E36798" s="8">
        <v>0</v>
      </c>
      <c r="F36798" s="8">
        <v>40</v>
      </c>
    </row>
    <row r="36799" spans="1:6" ht="12.75">
      <c r="A36799" s="8">
        <v>43887.948136574079</v>
      </c>
      <c r="B36799" s="8" t="str">
        <f>HYPERLINK("https://twitter.com/ign_djo666","@ign_djo666")</f>
        <v>@ign_djo666</v>
      </c>
      <c r="C36799" s="8" t="s">
        <v>14296</v>
      </c>
      <c r="D36799" s="8">
        <v>0</v>
      </c>
      <c r="E36799" s="8">
        <v>0</v>
      </c>
      <c r="F36799" s="8">
        <v>1005</v>
      </c>
    </row>
    <row r="36800" spans="1:6" ht="12.75">
      <c r="A36800" s="8">
        <v>43887.948055555556</v>
      </c>
      <c r="B36800" s="8" t="str">
        <f>HYPERLINK("https://twitter.com/Gulai_puyu","@Gulai_puyu")</f>
        <v>@Gulai_puyu</v>
      </c>
      <c r="C36800" s="8" t="s">
        <v>12143</v>
      </c>
      <c r="D36800" s="8">
        <v>248</v>
      </c>
      <c r="E36800" s="8">
        <v>0</v>
      </c>
      <c r="F36800" s="8">
        <v>456</v>
      </c>
    </row>
    <row r="36801" spans="1:6" ht="12.75">
      <c r="A36801" s="8">
        <v>43887.947905092587</v>
      </c>
      <c r="B36801" s="8" t="str">
        <f>HYPERLINK("https://twitter.com/m1lost","@m1lost")</f>
        <v>@m1lost</v>
      </c>
      <c r="C36801" s="8" t="s">
        <v>14297</v>
      </c>
      <c r="D36801" s="8">
        <v>4</v>
      </c>
      <c r="E36801" s="8">
        <v>0</v>
      </c>
      <c r="F36801" s="8">
        <v>88</v>
      </c>
    </row>
    <row r="36802" spans="1:6" ht="12.75">
      <c r="A36802" s="8">
        <v>43887.94767361111</v>
      </c>
      <c r="B36802" s="8" t="str">
        <f>HYPERLINK("https://twitter.com/Sihle_16","@Sihle_16")</f>
        <v>@Sihle_16</v>
      </c>
      <c r="C36802" s="8" t="s">
        <v>14298</v>
      </c>
      <c r="D36802" s="8">
        <v>0</v>
      </c>
      <c r="E36802" s="8">
        <v>0</v>
      </c>
      <c r="F36802" s="8">
        <v>821</v>
      </c>
    </row>
    <row r="36803" spans="1:6" ht="12.75">
      <c r="A36803" s="8">
        <v>43887.947638888887</v>
      </c>
      <c r="B36803" s="8" t="str">
        <f t="shared" ref="B36803:B36804" si="543">HYPERLINK("https://twitter.com/haro_arnold","@haro_arnold")</f>
        <v>@haro_arnold</v>
      </c>
      <c r="C36803" s="8" t="s">
        <v>13329</v>
      </c>
      <c r="D36803" s="8">
        <v>9</v>
      </c>
      <c r="E36803" s="8">
        <v>0</v>
      </c>
      <c r="F36803" s="8">
        <v>4593</v>
      </c>
    </row>
    <row r="36804" spans="1:6" ht="12.75">
      <c r="A36804" s="8">
        <v>43887.947523148148</v>
      </c>
      <c r="B36804" s="8" t="str">
        <f t="shared" si="543"/>
        <v>@haro_arnold</v>
      </c>
      <c r="C36804" s="8" t="s">
        <v>26</v>
      </c>
      <c r="D36804" s="8">
        <v>99</v>
      </c>
      <c r="E36804" s="8">
        <v>0</v>
      </c>
      <c r="F36804" s="8">
        <v>4593</v>
      </c>
    </row>
    <row r="36805" spans="1:6" ht="12.75">
      <c r="A36805" s="8">
        <v>43887.947511574079</v>
      </c>
      <c r="B36805" s="8" t="str">
        <f>HYPERLINK("https://twitter.com/UrubingDilah","@UrubingDilah")</f>
        <v>@UrubingDilah</v>
      </c>
      <c r="C36805" s="8" t="s">
        <v>4785</v>
      </c>
      <c r="D36805" s="8">
        <v>307</v>
      </c>
      <c r="E36805" s="8">
        <v>0</v>
      </c>
      <c r="F36805" s="8">
        <v>1358</v>
      </c>
    </row>
    <row r="36806" spans="1:6" ht="12.75">
      <c r="A36806" s="8">
        <v>43887.947395833333</v>
      </c>
      <c r="B36806" s="8" t="str">
        <f>HYPERLINK("https://twitter.com/cassadiarta","@cassadiarta")</f>
        <v>@cassadiarta</v>
      </c>
      <c r="C36806" s="8" t="s">
        <v>14299</v>
      </c>
      <c r="D36806" s="8">
        <v>0</v>
      </c>
      <c r="E36806" s="8">
        <v>0</v>
      </c>
      <c r="F36806" s="8">
        <v>271</v>
      </c>
    </row>
    <row r="36807" spans="1:6" ht="12.75">
      <c r="A36807" s="8">
        <v>43887.946712962963</v>
      </c>
      <c r="B36807" s="8" t="str">
        <f>HYPERLINK("https://twitter.com/noisyxeros02_re","@noisyxeros02_re")</f>
        <v>@noisyxeros02_re</v>
      </c>
      <c r="C36807" s="8" t="s">
        <v>8484</v>
      </c>
      <c r="D36807" s="8">
        <v>999</v>
      </c>
      <c r="E36807" s="8">
        <v>0</v>
      </c>
      <c r="F36807" s="8">
        <v>26</v>
      </c>
    </row>
    <row r="36808" spans="1:6" ht="12.75">
      <c r="A36808" s="8">
        <v>43887.946608796294</v>
      </c>
      <c r="B36808" s="8" t="str">
        <f>HYPERLINK("https://twitter.com/starsthought","@starsthought")</f>
        <v>@starsthought</v>
      </c>
      <c r="C36808" s="8" t="s">
        <v>593</v>
      </c>
      <c r="D36808" s="8">
        <v>284</v>
      </c>
      <c r="E36808" s="8">
        <v>0</v>
      </c>
      <c r="F36808" s="8">
        <v>733</v>
      </c>
    </row>
    <row r="36809" spans="1:6" ht="12.75">
      <c r="A36809" s="8">
        <v>43887.946215277778</v>
      </c>
      <c r="B36809" s="8" t="str">
        <f>HYPERLINK("https://twitter.com/nabillahdahlan","@nabillahdahlan")</f>
        <v>@nabillahdahlan</v>
      </c>
      <c r="C36809" s="8" t="s">
        <v>12143</v>
      </c>
      <c r="D36809" s="8">
        <v>248</v>
      </c>
      <c r="E36809" s="8">
        <v>0</v>
      </c>
      <c r="F36809" s="8">
        <v>405</v>
      </c>
    </row>
    <row r="36810" spans="1:6" ht="12.75">
      <c r="A36810" s="8">
        <v>43887.946203703701</v>
      </c>
      <c r="B36810" s="8" t="str">
        <f>HYPERLINK("https://twitter.com/frida_rahardjo","@frida_rahardjo")</f>
        <v>@frida_rahardjo</v>
      </c>
      <c r="C36810" s="8" t="s">
        <v>13505</v>
      </c>
      <c r="D36810" s="8">
        <v>7</v>
      </c>
      <c r="E36810" s="8">
        <v>0</v>
      </c>
      <c r="F36810" s="8">
        <v>1460</v>
      </c>
    </row>
    <row r="36811" spans="1:6" ht="12.75">
      <c r="A36811" s="8">
        <v>43887.946099537032</v>
      </c>
      <c r="B36811" s="8" t="str">
        <f>HYPERLINK("https://twitter.com/noisyxeros02_re","@noisyxeros02_re")</f>
        <v>@noisyxeros02_re</v>
      </c>
      <c r="C36811" s="8" t="s">
        <v>2940</v>
      </c>
      <c r="D36811" s="8">
        <v>2669</v>
      </c>
      <c r="E36811" s="8">
        <v>0</v>
      </c>
      <c r="F36811" s="8">
        <v>26</v>
      </c>
    </row>
    <row r="36812" spans="1:6" ht="12.75">
      <c r="A36812" s="8">
        <v>43887.945868055554</v>
      </c>
      <c r="B36812" s="8" t="str">
        <f>HYPERLINK("https://twitter.com/WMukhlishoh","@WMukhlishoh")</f>
        <v>@WMukhlishoh</v>
      </c>
      <c r="C36812" s="8" t="s">
        <v>2941</v>
      </c>
      <c r="D36812" s="8">
        <v>1056</v>
      </c>
      <c r="E36812" s="8">
        <v>0</v>
      </c>
      <c r="F36812" s="8">
        <v>54</v>
      </c>
    </row>
    <row r="36813" spans="1:6" ht="12.75">
      <c r="A36813" s="8">
        <v>43887.945810185185</v>
      </c>
      <c r="B36813" s="8" t="str">
        <f>HYPERLINK("https://twitter.com/ISIS_Balik_NO","@ISIS_Balik_NO")</f>
        <v>@ISIS_Balik_NO</v>
      </c>
      <c r="C36813" s="8" t="s">
        <v>14300</v>
      </c>
      <c r="D36813" s="8">
        <v>7</v>
      </c>
      <c r="E36813" s="8">
        <v>0</v>
      </c>
      <c r="F36813" s="8">
        <v>6092</v>
      </c>
    </row>
    <row r="36814" spans="1:6" ht="12.75">
      <c r="A36814" s="8">
        <v>43887.923182870371</v>
      </c>
      <c r="B36814" s="8" t="str">
        <f>HYPERLINK("https://twitter.com/MuzlimIndonesia","@MuzlimIndonesia")</f>
        <v>@MuzlimIndonesia</v>
      </c>
      <c r="C36814" s="8" t="s">
        <v>11773</v>
      </c>
      <c r="D36814" s="8">
        <v>190</v>
      </c>
      <c r="E36814" s="8">
        <v>0</v>
      </c>
      <c r="F36814" s="8">
        <v>1871</v>
      </c>
    </row>
    <row r="36815" spans="1:6" ht="12.75">
      <c r="A36815" s="8">
        <v>43887.923067129625</v>
      </c>
      <c r="B36815" s="8" t="str">
        <f>HYPERLINK("https://twitter.com/riskyameliar","@riskyameliar")</f>
        <v>@riskyameliar</v>
      </c>
      <c r="C36815" s="8" t="s">
        <v>13338</v>
      </c>
      <c r="D36815" s="8">
        <v>15</v>
      </c>
      <c r="E36815" s="8">
        <v>0</v>
      </c>
      <c r="F36815" s="8">
        <v>207</v>
      </c>
    </row>
    <row r="36816" spans="1:6" ht="12.75">
      <c r="A36816" s="8">
        <v>43887.923009259262</v>
      </c>
      <c r="B36816" s="8" t="str">
        <f>HYPERLINK("https://twitter.com/whatwouldaindo","@whatwouldaindo")</f>
        <v>@whatwouldaindo</v>
      </c>
      <c r="C36816" s="8" t="s">
        <v>4785</v>
      </c>
      <c r="D36816" s="8">
        <v>299</v>
      </c>
      <c r="E36816" s="8">
        <v>0</v>
      </c>
      <c r="F36816" s="8">
        <v>909</v>
      </c>
    </row>
    <row r="36817" spans="1:6" ht="12.75">
      <c r="A36817" s="8">
        <v>43887.922997685186</v>
      </c>
      <c r="B36817" s="8" t="str">
        <f>HYPERLINK("https://twitter.com/Khong_Beng","@Khong_Beng")</f>
        <v>@Khong_Beng</v>
      </c>
      <c r="C36817" s="8" t="s">
        <v>12143</v>
      </c>
      <c r="D36817" s="8">
        <v>226</v>
      </c>
      <c r="E36817" s="8">
        <v>0</v>
      </c>
      <c r="F36817" s="8">
        <v>160</v>
      </c>
    </row>
    <row r="36818" spans="1:6" ht="12.75">
      <c r="A36818" s="8">
        <v>43887.922962962963</v>
      </c>
      <c r="B36818" s="8" t="str">
        <f>HYPERLINK("https://twitter.com/antar_kabar","@antar_kabar")</f>
        <v>@antar_kabar</v>
      </c>
      <c r="C36818" s="8" t="s">
        <v>14301</v>
      </c>
      <c r="D36818" s="8">
        <v>0</v>
      </c>
      <c r="E36818" s="8">
        <v>0</v>
      </c>
      <c r="F36818" s="8">
        <v>1130</v>
      </c>
    </row>
    <row r="36819" spans="1:6" ht="12.75">
      <c r="A36819" s="8">
        <v>43887.922939814816</v>
      </c>
      <c r="B36819" s="8" t="str">
        <f>HYPERLINK("https://twitter.com/fitriamrgrt","@fitriamrgrt")</f>
        <v>@fitriamrgrt</v>
      </c>
      <c r="C36819" s="8" t="s">
        <v>13633</v>
      </c>
      <c r="D36819" s="8">
        <v>70</v>
      </c>
      <c r="E36819" s="8">
        <v>0</v>
      </c>
      <c r="F36819" s="8">
        <v>69</v>
      </c>
    </row>
    <row r="36820" spans="1:6" ht="12.75">
      <c r="A36820" s="8">
        <v>43887.922453703708</v>
      </c>
      <c r="B36820" s="8" t="str">
        <f>HYPERLINK("https://twitter.com/mrspolldemore","@mrspolldemore")</f>
        <v>@mrspolldemore</v>
      </c>
      <c r="C36820" s="8" t="s">
        <v>12412</v>
      </c>
      <c r="D36820" s="8">
        <v>0</v>
      </c>
      <c r="E36820" s="8">
        <v>0</v>
      </c>
      <c r="F36820" s="8">
        <v>70</v>
      </c>
    </row>
    <row r="36821" spans="1:6" ht="12.75">
      <c r="A36821" s="8">
        <v>43887.922407407408</v>
      </c>
      <c r="B36821" s="8" t="str">
        <f>HYPERLINK("https://twitter.com/antaranews","@antaranews")</f>
        <v>@antaranews</v>
      </c>
      <c r="C36821" s="8" t="s">
        <v>14302</v>
      </c>
      <c r="D36821" s="8">
        <v>0</v>
      </c>
      <c r="E36821" s="8">
        <v>0</v>
      </c>
      <c r="F36821" s="8">
        <v>1105377</v>
      </c>
    </row>
    <row r="36822" spans="1:6" ht="12.75">
      <c r="A36822" s="8">
        <v>43887.92188657407</v>
      </c>
      <c r="B36822" s="8" t="str">
        <f>HYPERLINK("https://twitter.com/chichukai_honya","@chichukai_honya")</f>
        <v>@chichukai_honya</v>
      </c>
      <c r="C36822" s="8" t="s">
        <v>8484</v>
      </c>
      <c r="D36822" s="8">
        <v>994</v>
      </c>
      <c r="E36822" s="8">
        <v>0</v>
      </c>
      <c r="F36822" s="8">
        <v>47</v>
      </c>
    </row>
    <row r="36823" spans="1:6" ht="12.75">
      <c r="A36823" s="8">
        <v>43887.921805555554</v>
      </c>
      <c r="B36823" s="8" t="str">
        <f>HYPERLINK("https://twitter.com/AwanParutang","@AwanParutang")</f>
        <v>@AwanParutang</v>
      </c>
      <c r="C36823" s="8" t="s">
        <v>13198</v>
      </c>
      <c r="D36823" s="8">
        <v>13</v>
      </c>
      <c r="E36823" s="8">
        <v>0</v>
      </c>
      <c r="F36823" s="8">
        <v>309</v>
      </c>
    </row>
    <row r="36824" spans="1:6" ht="12.75">
      <c r="A36824" s="8">
        <v>43887.921712962961</v>
      </c>
      <c r="B36824" s="8" t="str">
        <f>HYPERLINK("https://twitter.com/Ramadha05649419","@Ramadha05649419")</f>
        <v>@Ramadha05649419</v>
      </c>
      <c r="C36824" s="8" t="s">
        <v>14303</v>
      </c>
      <c r="D36824" s="8">
        <v>0</v>
      </c>
      <c r="E36824" s="8">
        <v>0</v>
      </c>
      <c r="F36824" s="8">
        <v>86</v>
      </c>
    </row>
    <row r="36825" spans="1:6" ht="12.75">
      <c r="A36825" s="8">
        <v>43887.921631944446</v>
      </c>
      <c r="B36825" s="8" t="str">
        <f>HYPERLINK("https://twitter.com/iskandar_09sfr","@iskandar_09sfr")</f>
        <v>@iskandar_09sfr</v>
      </c>
      <c r="C36825" s="8" t="s">
        <v>13633</v>
      </c>
      <c r="D36825" s="8">
        <v>70</v>
      </c>
      <c r="E36825" s="8">
        <v>0</v>
      </c>
      <c r="F36825" s="8">
        <v>338</v>
      </c>
    </row>
    <row r="36826" spans="1:6" ht="12.75">
      <c r="A36826" s="8">
        <v>43887.92114583333</v>
      </c>
      <c r="B36826" s="8" t="str">
        <f>HYPERLINK("https://twitter.com/IngNa70","@IngNa70")</f>
        <v>@IngNa70</v>
      </c>
      <c r="C36826" s="8" t="s">
        <v>13505</v>
      </c>
      <c r="D36826" s="8">
        <v>6</v>
      </c>
      <c r="E36826" s="8">
        <v>0</v>
      </c>
      <c r="F36826" s="8">
        <v>574</v>
      </c>
    </row>
    <row r="36827" spans="1:6" ht="12.75">
      <c r="A36827" s="8">
        <v>43887.920254629629</v>
      </c>
      <c r="B36827" s="8" t="str">
        <f>HYPERLINK("https://twitter.com/AnangMr","@AnangMr")</f>
        <v>@AnangMr</v>
      </c>
      <c r="C36827" s="8" t="s">
        <v>12406</v>
      </c>
      <c r="D36827" s="8">
        <v>56</v>
      </c>
      <c r="E36827" s="8">
        <v>0</v>
      </c>
      <c r="F36827" s="8">
        <v>420</v>
      </c>
    </row>
    <row r="36828" spans="1:6" ht="12.75">
      <c r="A36828" s="8">
        <v>43887.920057870375</v>
      </c>
      <c r="B36828" s="8" t="str">
        <f>HYPERLINK("https://twitter.com/katatodaycom","@katatodaycom")</f>
        <v>@katatodaycom</v>
      </c>
      <c r="C36828" s="8" t="s">
        <v>14304</v>
      </c>
      <c r="D36828" s="8">
        <v>0</v>
      </c>
      <c r="E36828" s="8">
        <v>0</v>
      </c>
      <c r="F36828" s="8">
        <v>1133</v>
      </c>
    </row>
    <row r="36829" spans="1:6" ht="12.75">
      <c r="A36829" s="8">
        <v>43887.919675925921</v>
      </c>
      <c r="B36829" s="8" t="str">
        <f>HYPERLINK("https://twitter.com/Khusni_Mub87","@Khusni_Mub87")</f>
        <v>@Khusni_Mub87</v>
      </c>
      <c r="C36829" s="8" t="s">
        <v>13198</v>
      </c>
      <c r="D36829" s="8">
        <v>13</v>
      </c>
      <c r="E36829" s="8">
        <v>0</v>
      </c>
      <c r="F36829" s="8">
        <v>2915</v>
      </c>
    </row>
    <row r="36830" spans="1:6" ht="12.75">
      <c r="A36830" s="8">
        <v>43887.919421296298</v>
      </c>
      <c r="B36830" s="8" t="str">
        <f>HYPERLINK("https://twitter.com/rs1m01976","@rs1m01976")</f>
        <v>@rs1m01976</v>
      </c>
      <c r="C36830" s="8" t="s">
        <v>11773</v>
      </c>
      <c r="D36830" s="8">
        <v>190</v>
      </c>
      <c r="E36830" s="8">
        <v>0</v>
      </c>
      <c r="F36830" s="8">
        <v>1411</v>
      </c>
    </row>
    <row r="36831" spans="1:6" ht="12.75">
      <c r="A36831" s="8">
        <v>43887.919247685189</v>
      </c>
      <c r="B36831" s="8" t="str">
        <f>HYPERLINK("https://twitter.com/AdiMawa22441862","@AdiMawa22441862")</f>
        <v>@AdiMawa22441862</v>
      </c>
      <c r="C36831" s="8" t="s">
        <v>14305</v>
      </c>
      <c r="D36831" s="8">
        <v>0</v>
      </c>
      <c r="E36831" s="8">
        <v>1</v>
      </c>
      <c r="F36831" s="8">
        <v>160</v>
      </c>
    </row>
    <row r="36832" spans="1:6" ht="12.75">
      <c r="A36832" s="8">
        <v>43887.918981481482</v>
      </c>
      <c r="B36832" s="8" t="str">
        <f>HYPERLINK("https://twitter.com/dharukusumahady","@dharukusumahady")</f>
        <v>@dharukusumahady</v>
      </c>
      <c r="C36832" s="8" t="s">
        <v>13592</v>
      </c>
      <c r="D36832" s="8">
        <v>38</v>
      </c>
      <c r="E36832" s="8">
        <v>0</v>
      </c>
      <c r="F36832" s="8">
        <v>589</v>
      </c>
    </row>
    <row r="36833" spans="1:6" ht="12.75">
      <c r="A36833" s="8">
        <v>43887.918912037036</v>
      </c>
      <c r="B36833" s="8" t="str">
        <f>HYPERLINK("https://twitter.com/kucingselam","@kucingselam")</f>
        <v>@kucingselam</v>
      </c>
      <c r="C36833" s="8" t="s">
        <v>14306</v>
      </c>
      <c r="D36833" s="8">
        <v>0</v>
      </c>
      <c r="E36833" s="8">
        <v>0</v>
      </c>
      <c r="F36833" s="8">
        <v>48</v>
      </c>
    </row>
    <row r="36834" spans="1:6" ht="12.75">
      <c r="A36834" s="8">
        <v>43887.918912037036</v>
      </c>
      <c r="B36834" s="8" t="str">
        <f>HYPERLINK("https://twitter.com/ISIS_Balik_NO","@ISIS_Balik_NO")</f>
        <v>@ISIS_Balik_NO</v>
      </c>
      <c r="C36834" s="8" t="s">
        <v>14307</v>
      </c>
      <c r="D36834" s="8">
        <v>444</v>
      </c>
      <c r="E36834" s="8">
        <v>0</v>
      </c>
      <c r="F36834" s="8">
        <v>6092</v>
      </c>
    </row>
    <row r="36835" spans="1:6" ht="12.75">
      <c r="A36835" s="8">
        <v>43887.91887731482</v>
      </c>
      <c r="B36835" s="8" t="str">
        <f>HYPERLINK("https://twitter.com/rudisarupa","@rudisarupa")</f>
        <v>@rudisarupa</v>
      </c>
      <c r="C36835" s="8" t="s">
        <v>11773</v>
      </c>
      <c r="D36835" s="8">
        <v>190</v>
      </c>
      <c r="E36835" s="8">
        <v>0</v>
      </c>
      <c r="F36835" s="8">
        <v>172</v>
      </c>
    </row>
    <row r="36836" spans="1:6" ht="12.75">
      <c r="A36836" s="8">
        <v>43887.91878472222</v>
      </c>
      <c r="B36836" s="8" t="str">
        <f>HYPERLINK("https://twitter.com/kompascom","@kompascom")</f>
        <v>@kompascom</v>
      </c>
      <c r="C36836" s="8" t="s">
        <v>14308</v>
      </c>
      <c r="D36836" s="8">
        <v>0</v>
      </c>
      <c r="E36836" s="8">
        <v>10</v>
      </c>
      <c r="F36836" s="8">
        <v>7514390</v>
      </c>
    </row>
    <row r="36837" spans="1:6" ht="12.75">
      <c r="A36837" s="8">
        <v>43887.918506944443</v>
      </c>
      <c r="B36837" s="8" t="str">
        <f>HYPERLINK("https://twitter.com/sirajapadoha","@sirajapadoha")</f>
        <v>@sirajapadoha</v>
      </c>
      <c r="C36837" s="8" t="s">
        <v>13198</v>
      </c>
      <c r="D36837" s="8">
        <v>13</v>
      </c>
      <c r="E36837" s="8">
        <v>0</v>
      </c>
      <c r="F36837" s="8">
        <v>2459</v>
      </c>
    </row>
    <row r="36838" spans="1:6" ht="12.75">
      <c r="A36838" s="8">
        <v>43887.918391203704</v>
      </c>
      <c r="B36838" s="8" t="str">
        <f>HYPERLINK("https://twitter.com/purnomo_jati1","@purnomo_jati1")</f>
        <v>@purnomo_jati1</v>
      </c>
      <c r="C36838" s="8" t="s">
        <v>12143</v>
      </c>
      <c r="D36838" s="8">
        <v>226</v>
      </c>
      <c r="E36838" s="8">
        <v>0</v>
      </c>
      <c r="F36838" s="8">
        <v>334</v>
      </c>
    </row>
    <row r="36839" spans="1:6" ht="12.75">
      <c r="A36839" s="8">
        <v>43887.918217592596</v>
      </c>
      <c r="B36839" s="8" t="str">
        <f>HYPERLINK("https://twitter.com/chocochello","@chocochello")</f>
        <v>@chocochello</v>
      </c>
      <c r="C36839" s="8" t="s">
        <v>593</v>
      </c>
      <c r="D36839" s="8">
        <v>274</v>
      </c>
      <c r="E36839" s="8">
        <v>0</v>
      </c>
      <c r="F36839" s="8">
        <v>699</v>
      </c>
    </row>
    <row r="36840" spans="1:6" ht="12.75">
      <c r="A36840" s="8">
        <v>43887.918124999997</v>
      </c>
      <c r="B36840" s="8" t="str">
        <f>HYPERLINK("https://twitter.com/curiositysan","@curiositysan")</f>
        <v>@curiositysan</v>
      </c>
      <c r="C36840" s="8" t="s">
        <v>2940</v>
      </c>
      <c r="D36840" s="8">
        <v>2665</v>
      </c>
      <c r="E36840" s="8">
        <v>0</v>
      </c>
      <c r="F36840" s="8">
        <v>123</v>
      </c>
    </row>
    <row r="36841" spans="1:6" ht="12.75">
      <c r="A36841" s="8">
        <v>43887.918124999997</v>
      </c>
      <c r="B36841" s="8" t="str">
        <f>HYPERLINK("https://twitter.com/ISIS_Balik_NO","@ISIS_Balik_NO")</f>
        <v>@ISIS_Balik_NO</v>
      </c>
      <c r="C36841" s="8" t="s">
        <v>14309</v>
      </c>
      <c r="D36841" s="8">
        <v>0</v>
      </c>
      <c r="E36841" s="8">
        <v>0</v>
      </c>
      <c r="F36841" s="8">
        <v>6092</v>
      </c>
    </row>
    <row r="36842" spans="1:6" ht="12.75">
      <c r="A36842" s="8">
        <v>43887.917986111112</v>
      </c>
      <c r="B36842" s="8" t="str">
        <f>HYPERLINK("https://twitter.com/tm_tm76","@tm_tm76")</f>
        <v>@tm_tm76</v>
      </c>
      <c r="C36842" s="8" t="s">
        <v>11773</v>
      </c>
      <c r="D36842" s="8">
        <v>190</v>
      </c>
      <c r="E36842" s="8">
        <v>0</v>
      </c>
      <c r="F36842" s="8">
        <v>3818</v>
      </c>
    </row>
    <row r="36843" spans="1:6" ht="12.75">
      <c r="A36843" s="8">
        <v>43887.91788194445</v>
      </c>
      <c r="B36843" s="8" t="str">
        <f>HYPERLINK("https://twitter.com/arjuno_ireng01","@arjuno_ireng01")</f>
        <v>@arjuno_ireng01</v>
      </c>
      <c r="C36843" s="8" t="s">
        <v>13329</v>
      </c>
      <c r="D36843" s="8">
        <v>3</v>
      </c>
      <c r="E36843" s="8">
        <v>0</v>
      </c>
      <c r="F36843" s="8">
        <v>10692</v>
      </c>
    </row>
    <row r="36844" spans="1:6" ht="12.75">
      <c r="A36844" s="8">
        <v>43887.917511574073</v>
      </c>
      <c r="B36844" s="8" t="str">
        <f>HYPERLINK("https://twitter.com/Izznaq","@Izznaq")</f>
        <v>@Izznaq</v>
      </c>
      <c r="C36844" s="8" t="s">
        <v>14310</v>
      </c>
      <c r="D36844" s="8">
        <v>1</v>
      </c>
      <c r="E36844" s="8">
        <v>0</v>
      </c>
      <c r="F36844" s="8">
        <v>886</v>
      </c>
    </row>
    <row r="36845" spans="1:6" ht="12.75">
      <c r="A36845" s="8">
        <v>43887.917488425926</v>
      </c>
      <c r="B36845" s="8" t="str">
        <f>HYPERLINK("https://twitter.com/anamkoplak","@anamkoplak")</f>
        <v>@anamkoplak</v>
      </c>
      <c r="C36845" s="8" t="s">
        <v>14311</v>
      </c>
      <c r="D36845" s="8">
        <v>0</v>
      </c>
      <c r="E36845" s="8">
        <v>0</v>
      </c>
      <c r="F36845" s="8">
        <v>284</v>
      </c>
    </row>
    <row r="36846" spans="1:6" ht="12.75">
      <c r="A36846" s="8">
        <v>43887.917361111111</v>
      </c>
      <c r="B36846" s="8" t="str">
        <f>HYPERLINK("https://twitter.com/Asihaning","@Asihaning")</f>
        <v>@Asihaning</v>
      </c>
      <c r="C36846" s="8" t="s">
        <v>14312</v>
      </c>
      <c r="D36846" s="8">
        <v>3</v>
      </c>
      <c r="E36846" s="8">
        <v>0</v>
      </c>
      <c r="F36846" s="8">
        <v>366</v>
      </c>
    </row>
    <row r="36847" spans="1:6" ht="12.75">
      <c r="A36847" s="8">
        <v>43887.917256944449</v>
      </c>
      <c r="B36847" s="8" t="str">
        <f>HYPERLINK("https://twitter.com/stuwberry","@stuwberry")</f>
        <v>@stuwberry</v>
      </c>
      <c r="C36847" s="8" t="s">
        <v>593</v>
      </c>
      <c r="D36847" s="8">
        <v>274</v>
      </c>
      <c r="E36847" s="8">
        <v>0</v>
      </c>
      <c r="F36847" s="8">
        <v>169</v>
      </c>
    </row>
    <row r="36848" spans="1:6" ht="12.75">
      <c r="A36848" s="8">
        <v>43887.917129629626</v>
      </c>
      <c r="B36848" s="8" t="str">
        <f>HYPERLINK("https://twitter.com/WahabisLokal","@WahabisLokal")</f>
        <v>@WahabisLokal</v>
      </c>
      <c r="C36848" s="8" t="s">
        <v>13198</v>
      </c>
      <c r="D36848" s="8">
        <v>13</v>
      </c>
      <c r="E36848" s="8">
        <v>0</v>
      </c>
      <c r="F36848" s="8">
        <v>20140</v>
      </c>
    </row>
    <row r="36849" spans="1:6" ht="12.75">
      <c r="A36849" s="8">
        <v>43887.916990740741</v>
      </c>
      <c r="B36849" s="8" t="str">
        <f>HYPERLINK("https://twitter.com/dhd811","@dhd811")</f>
        <v>@dhd811</v>
      </c>
      <c r="C36849" s="8" t="s">
        <v>12406</v>
      </c>
      <c r="D36849" s="8">
        <v>56</v>
      </c>
      <c r="E36849" s="8">
        <v>0</v>
      </c>
      <c r="F36849" s="8">
        <v>169</v>
      </c>
    </row>
    <row r="36850" spans="1:6" ht="12.75">
      <c r="A36850" s="8">
        <v>43887.916979166665</v>
      </c>
      <c r="B36850" s="8" t="str">
        <f>HYPERLINK("https://twitter.com/Asihaning","@Asihaning")</f>
        <v>@Asihaning</v>
      </c>
      <c r="C36850" s="8" t="s">
        <v>14313</v>
      </c>
      <c r="D36850" s="8">
        <v>2</v>
      </c>
      <c r="E36850" s="8">
        <v>0</v>
      </c>
      <c r="F36850" s="8">
        <v>366</v>
      </c>
    </row>
    <row r="36851" spans="1:6" ht="12.75">
      <c r="A36851" s="8">
        <v>43887.916712962964</v>
      </c>
      <c r="B36851" s="8" t="str">
        <f>HYPERLINK("https://twitter.com/rvlvct","@rvlvct")</f>
        <v>@rvlvct</v>
      </c>
      <c r="C36851" s="8" t="s">
        <v>14314</v>
      </c>
      <c r="D36851" s="8">
        <v>0</v>
      </c>
      <c r="E36851" s="8">
        <v>0</v>
      </c>
      <c r="F36851" s="8">
        <v>184</v>
      </c>
    </row>
    <row r="36852" spans="1:6" ht="12.75">
      <c r="A36852" s="8">
        <v>43887.916701388887</v>
      </c>
      <c r="B36852" s="8" t="str">
        <f>HYPERLINK("https://twitter.com/BiLLRaY2019","@BiLLRaY2019")</f>
        <v>@BiLLRaY2019</v>
      </c>
      <c r="C36852" s="8" t="s">
        <v>13329</v>
      </c>
      <c r="D36852" s="8">
        <v>3</v>
      </c>
      <c r="E36852" s="8">
        <v>0</v>
      </c>
      <c r="F36852" s="8">
        <v>10721</v>
      </c>
    </row>
    <row r="36853" spans="1:6" ht="12.75">
      <c r="A36853" s="8">
        <v>43887.916655092587</v>
      </c>
      <c r="B36853" s="8" t="str">
        <f>HYPERLINK("https://twitter.com/moke_fictionary","@moke_fictionary")</f>
        <v>@moke_fictionary</v>
      </c>
      <c r="C36853" s="8" t="s">
        <v>2940</v>
      </c>
      <c r="D36853" s="8">
        <v>2665</v>
      </c>
      <c r="E36853" s="8">
        <v>0</v>
      </c>
      <c r="F36853" s="8">
        <v>424</v>
      </c>
    </row>
    <row r="36854" spans="1:6" ht="12.75">
      <c r="A36854" s="8">
        <v>43887.916620370372</v>
      </c>
      <c r="B36854" s="8" t="str">
        <f>HYPERLINK("https://twitter.com/eggggsie","@eggggsie")</f>
        <v>@eggggsie</v>
      </c>
      <c r="C36854" s="8" t="s">
        <v>14315</v>
      </c>
      <c r="D36854" s="8">
        <v>1</v>
      </c>
      <c r="E36854" s="8">
        <v>0</v>
      </c>
      <c r="F36854" s="8">
        <v>10953</v>
      </c>
    </row>
    <row r="36855" spans="1:6" ht="12.75">
      <c r="A36855" s="8">
        <v>43887.916574074072</v>
      </c>
      <c r="B36855" s="8" t="str">
        <f>HYPERLINK("https://twitter.com/ranbirkw","@ranbirkw")</f>
        <v>@ranbirkw</v>
      </c>
      <c r="C36855" s="8" t="s">
        <v>14316</v>
      </c>
      <c r="D36855" s="8">
        <v>0</v>
      </c>
      <c r="E36855" s="8">
        <v>0</v>
      </c>
      <c r="F36855" s="8">
        <v>106</v>
      </c>
    </row>
    <row r="36856" spans="1:6" ht="12.75">
      <c r="A36856" s="8">
        <v>43887.916458333333</v>
      </c>
      <c r="B36856" s="8" t="str">
        <f>HYPERLINK("https://twitter.com/antonsumaryanto","@antonsumaryanto")</f>
        <v>@antonsumaryanto</v>
      </c>
      <c r="C36856" s="8" t="s">
        <v>13198</v>
      </c>
      <c r="D36856" s="8">
        <v>13</v>
      </c>
      <c r="E36856" s="8">
        <v>0</v>
      </c>
      <c r="F36856" s="8">
        <v>611</v>
      </c>
    </row>
    <row r="36857" spans="1:6" ht="12.75">
      <c r="A36857" s="8">
        <v>43887.916215277779</v>
      </c>
      <c r="B36857" s="8" t="str">
        <f>HYPERLINK("https://twitter.com/JanRohitu","@JanRohitu")</f>
        <v>@JanRohitu</v>
      </c>
      <c r="C36857" s="8" t="s">
        <v>14317</v>
      </c>
      <c r="D36857" s="8">
        <v>0</v>
      </c>
      <c r="E36857" s="8">
        <v>0</v>
      </c>
      <c r="F36857" s="8">
        <v>6</v>
      </c>
    </row>
    <row r="36858" spans="1:6" ht="12.75">
      <c r="A36858" s="8">
        <v>43887.916180555556</v>
      </c>
      <c r="B36858" s="8" t="str">
        <f>HYPERLINK("https://twitter.com/tjahjo_loet","@tjahjo_loet")</f>
        <v>@tjahjo_loet</v>
      </c>
      <c r="C36858" s="8" t="s">
        <v>14292</v>
      </c>
      <c r="D36858" s="8">
        <v>21</v>
      </c>
      <c r="E36858" s="8">
        <v>0</v>
      </c>
      <c r="F36858" s="8">
        <v>10</v>
      </c>
    </row>
    <row r="36859" spans="1:6" ht="12.75">
      <c r="A36859" s="8">
        <v>43887.91615740741</v>
      </c>
      <c r="B36859" s="8" t="str">
        <f>HYPERLINK("https://twitter.com/Asihaning","@Asihaning")</f>
        <v>@Asihaning</v>
      </c>
      <c r="C36859" s="8" t="s">
        <v>13592</v>
      </c>
      <c r="D36859" s="8">
        <v>38</v>
      </c>
      <c r="E36859" s="8">
        <v>0</v>
      </c>
      <c r="F36859" s="8">
        <v>366</v>
      </c>
    </row>
    <row r="36860" spans="1:6" ht="12.75">
      <c r="A36860" s="8">
        <v>43887.916018518517</v>
      </c>
      <c r="B36860" s="8" t="str">
        <f>HYPERLINK("https://twitter.com/YonasBaskoro","@YonasBaskoro")</f>
        <v>@YonasBaskoro</v>
      </c>
      <c r="C36860" s="8" t="s">
        <v>14318</v>
      </c>
      <c r="D36860" s="8">
        <v>0</v>
      </c>
      <c r="E36860" s="8">
        <v>1</v>
      </c>
      <c r="F36860" s="8">
        <v>397</v>
      </c>
    </row>
    <row r="36861" spans="1:6" ht="12.75">
      <c r="A36861" s="8">
        <v>43887.915995370371</v>
      </c>
      <c r="B36861" s="8" t="str">
        <f>HYPERLINK("https://twitter.com/adtaufiq","@adtaufiq")</f>
        <v>@adtaufiq</v>
      </c>
      <c r="C36861" s="8" t="s">
        <v>13198</v>
      </c>
      <c r="D36861" s="8">
        <v>13</v>
      </c>
      <c r="E36861" s="8">
        <v>0</v>
      </c>
      <c r="F36861" s="8">
        <v>8469</v>
      </c>
    </row>
    <row r="36862" spans="1:6" ht="12.75">
      <c r="A36862" s="8">
        <v>43887.915868055556</v>
      </c>
      <c r="B36862" s="8" t="str">
        <f>HYPERLINK("https://twitter.com/You_AreCorrect","@You_AreCorrect")</f>
        <v>@You_AreCorrect</v>
      </c>
      <c r="C36862" s="8" t="s">
        <v>14319</v>
      </c>
      <c r="D36862" s="8">
        <v>0</v>
      </c>
      <c r="E36862" s="8">
        <v>0</v>
      </c>
      <c r="F36862" s="8">
        <v>429</v>
      </c>
    </row>
    <row r="36863" spans="1:6" ht="12.75">
      <c r="A36863" s="8">
        <v>43887.915682870371</v>
      </c>
      <c r="B36863" s="8" t="str">
        <f>HYPERLINK("https://twitter.com/aewin86","@aewin86")</f>
        <v>@aewin86</v>
      </c>
      <c r="C36863" s="8" t="s">
        <v>14320</v>
      </c>
      <c r="D36863" s="8">
        <v>1</v>
      </c>
      <c r="E36863" s="8">
        <v>0</v>
      </c>
      <c r="F36863" s="8">
        <v>16035</v>
      </c>
    </row>
    <row r="36864" spans="1:6" ht="12.75">
      <c r="A36864" s="8">
        <v>43887.915613425925</v>
      </c>
      <c r="B36864" s="8" t="str">
        <f>HYPERLINK("https://twitter.com/BubuNyaii","@BubuNyaii")</f>
        <v>@BubuNyaii</v>
      </c>
      <c r="C36864" s="8" t="s">
        <v>14321</v>
      </c>
      <c r="D36864" s="8">
        <v>0</v>
      </c>
      <c r="E36864" s="8">
        <v>1</v>
      </c>
      <c r="F36864" s="8">
        <v>3702</v>
      </c>
    </row>
    <row r="36865" spans="1:6" ht="12.75">
      <c r="A36865" s="8">
        <v>43887.915567129632</v>
      </c>
      <c r="B36865" s="8" t="str">
        <f>HYPERLINK("https://twitter.com/idpenamini","@idpenamini")</f>
        <v>@idpenamini</v>
      </c>
      <c r="C36865" s="8" t="s">
        <v>14322</v>
      </c>
      <c r="D36865" s="8">
        <v>0</v>
      </c>
      <c r="E36865" s="8">
        <v>0</v>
      </c>
      <c r="F36865" s="8">
        <v>173</v>
      </c>
    </row>
    <row r="36866" spans="1:6" ht="12.75">
      <c r="A36866" s="8">
        <v>43887.915219907409</v>
      </c>
      <c r="B36866" s="8" t="str">
        <f>HYPERLINK("https://twitter.com/wahhabicc_jabar","@wahhabicc_jabar")</f>
        <v>@wahhabicc_jabar</v>
      </c>
      <c r="C36866" s="8" t="s">
        <v>12143</v>
      </c>
      <c r="D36866" s="8">
        <v>226</v>
      </c>
      <c r="E36866" s="8">
        <v>0</v>
      </c>
      <c r="F36866" s="8">
        <v>30682</v>
      </c>
    </row>
    <row r="36867" spans="1:6" ht="12.75">
      <c r="A36867" s="8">
        <v>43887.915162037039</v>
      </c>
      <c r="B36867" s="8" t="str">
        <f>HYPERLINK("https://twitter.com/sohib212","@sohib212")</f>
        <v>@sohib212</v>
      </c>
      <c r="C36867" s="8" t="s">
        <v>13633</v>
      </c>
      <c r="D36867" s="8">
        <v>70</v>
      </c>
      <c r="E36867" s="8">
        <v>0</v>
      </c>
      <c r="F36867" s="8">
        <v>869</v>
      </c>
    </row>
    <row r="36868" spans="1:6" ht="12.75">
      <c r="A36868" s="8">
        <v>43887.915104166663</v>
      </c>
      <c r="B36868" s="8" t="str">
        <f>HYPERLINK("https://twitter.com/aldireyns","@aldireyns")</f>
        <v>@aldireyns</v>
      </c>
      <c r="C36868" s="8" t="s">
        <v>13338</v>
      </c>
      <c r="D36868" s="8">
        <v>15</v>
      </c>
      <c r="E36868" s="8">
        <v>0</v>
      </c>
      <c r="F36868" s="8">
        <v>18</v>
      </c>
    </row>
    <row r="36869" spans="1:6" ht="12.75">
      <c r="A36869" s="8">
        <v>43887.915023148147</v>
      </c>
      <c r="B36869" s="8" t="str">
        <f>HYPERLINK("https://twitter.com/YudassPrice","@YudassPrice")</f>
        <v>@YudassPrice</v>
      </c>
      <c r="C36869" s="8" t="s">
        <v>14323</v>
      </c>
      <c r="D36869" s="8">
        <v>0</v>
      </c>
      <c r="E36869" s="8">
        <v>0</v>
      </c>
      <c r="F36869" s="8">
        <v>108</v>
      </c>
    </row>
    <row r="36870" spans="1:6" ht="12.75">
      <c r="A36870" s="8">
        <v>43887.914953703701</v>
      </c>
      <c r="B36870" s="8" t="str">
        <f>HYPERLINK("https://twitter.com/budhartono","@budhartono")</f>
        <v>@budhartono</v>
      </c>
      <c r="C36870" s="8" t="s">
        <v>12143</v>
      </c>
      <c r="D36870" s="8">
        <v>226</v>
      </c>
      <c r="E36870" s="8">
        <v>0</v>
      </c>
      <c r="F36870" s="8">
        <v>548</v>
      </c>
    </row>
    <row r="36871" spans="1:6" ht="12.75">
      <c r="A36871" s="8">
        <v>43887.914942129632</v>
      </c>
      <c r="B36871" s="8" t="str">
        <f>HYPERLINK("https://twitter.com/Wolverine_Nemo","@Wolverine_Nemo")</f>
        <v>@Wolverine_Nemo</v>
      </c>
      <c r="C36871" s="8" t="s">
        <v>14324</v>
      </c>
      <c r="D36871" s="8">
        <v>1</v>
      </c>
      <c r="E36871" s="8">
        <v>0</v>
      </c>
      <c r="F36871" s="8">
        <v>1167</v>
      </c>
    </row>
    <row r="36872" spans="1:6" ht="12.75">
      <c r="A36872" s="8">
        <v>43887.914895833332</v>
      </c>
      <c r="B36872" s="8" t="str">
        <f>HYPERLINK("https://twitter.com/sikoom","@sikoom")</f>
        <v>@sikoom</v>
      </c>
      <c r="C36872" s="8" t="s">
        <v>14325</v>
      </c>
      <c r="D36872" s="8">
        <v>0</v>
      </c>
      <c r="E36872" s="8">
        <v>0</v>
      </c>
      <c r="F36872" s="8">
        <v>163</v>
      </c>
    </row>
    <row r="36873" spans="1:6" ht="12.75">
      <c r="A36873" s="8">
        <v>43887.914849537032</v>
      </c>
      <c r="B36873" s="8" t="str">
        <f>HYPERLINK("https://twitter.com/meilkusumaaa","@meilkusumaaa")</f>
        <v>@meilkusumaaa</v>
      </c>
      <c r="C36873" s="8" t="s">
        <v>14326</v>
      </c>
      <c r="D36873" s="8">
        <v>0</v>
      </c>
      <c r="E36873" s="8">
        <v>0</v>
      </c>
      <c r="F36873" s="8">
        <v>294</v>
      </c>
    </row>
    <row r="36874" spans="1:6" ht="12.75">
      <c r="A36874" s="8">
        <v>43887.914826388893</v>
      </c>
      <c r="B36874" s="8" t="str">
        <f>HYPERLINK("https://twitter.com/yanisuparno","@yanisuparno")</f>
        <v>@yanisuparno</v>
      </c>
      <c r="C36874" s="8" t="s">
        <v>13633</v>
      </c>
      <c r="D36874" s="8">
        <v>70</v>
      </c>
      <c r="E36874" s="8">
        <v>0</v>
      </c>
      <c r="F36874" s="8">
        <v>469</v>
      </c>
    </row>
    <row r="36875" spans="1:6" ht="12.75">
      <c r="A36875" s="8">
        <v>43887.914722222224</v>
      </c>
      <c r="B36875" s="8" t="str">
        <f>HYPERLINK("https://twitter.com/budhartono","@budhartono")</f>
        <v>@budhartono</v>
      </c>
      <c r="C36875" s="8" t="s">
        <v>13592</v>
      </c>
      <c r="D36875" s="8">
        <v>38</v>
      </c>
      <c r="E36875" s="8">
        <v>0</v>
      </c>
      <c r="F36875" s="8">
        <v>548</v>
      </c>
    </row>
    <row r="36876" spans="1:6" ht="12.75">
      <c r="A36876" s="8">
        <v>43887.914710648147</v>
      </c>
      <c r="B36876" s="8" t="str">
        <f>HYPERLINK("https://twitter.com/tjapoenglaut","@tjapoenglaut")</f>
        <v>@tjapoenglaut</v>
      </c>
      <c r="C36876" s="8" t="s">
        <v>14327</v>
      </c>
      <c r="D36876" s="8">
        <v>1</v>
      </c>
      <c r="E36876" s="8">
        <v>2</v>
      </c>
      <c r="F36876" s="8">
        <v>682</v>
      </c>
    </row>
    <row r="36877" spans="1:6" ht="12.75">
      <c r="A36877" s="8">
        <v>43887.914490740739</v>
      </c>
      <c r="B36877" s="8" t="str">
        <f>HYPERLINK("https://twitter.com/adevelina","@adevelina")</f>
        <v>@adevelina</v>
      </c>
      <c r="C36877" s="8" t="s">
        <v>2941</v>
      </c>
      <c r="D36877" s="8">
        <v>1055</v>
      </c>
      <c r="E36877" s="8">
        <v>0</v>
      </c>
      <c r="F36877" s="8">
        <v>250</v>
      </c>
    </row>
    <row r="36878" spans="1:6" ht="12.75">
      <c r="A36878" s="8">
        <v>43887.914444444439</v>
      </c>
      <c r="B36878" s="8" t="str">
        <f>HYPERLINK("https://twitter.com/Dhe_Kijo","@Dhe_Kijo")</f>
        <v>@Dhe_Kijo</v>
      </c>
      <c r="C36878" s="8" t="s">
        <v>14328</v>
      </c>
      <c r="D36878" s="8">
        <v>0</v>
      </c>
      <c r="E36878" s="8">
        <v>0</v>
      </c>
      <c r="F36878" s="8">
        <v>2079</v>
      </c>
    </row>
    <row r="36879" spans="1:6" ht="12.75">
      <c r="A36879" s="8">
        <v>43887.914259259254</v>
      </c>
      <c r="B36879" s="8" t="str">
        <f>HYPERLINK("https://twitter.com/adiwijaya1968","@adiwijaya1968")</f>
        <v>@adiwijaya1968</v>
      </c>
      <c r="C36879" s="8" t="s">
        <v>14329</v>
      </c>
      <c r="D36879" s="8">
        <v>0</v>
      </c>
      <c r="E36879" s="8">
        <v>0</v>
      </c>
      <c r="F36879" s="8">
        <v>74</v>
      </c>
    </row>
    <row r="36880" spans="1:6" ht="12.75">
      <c r="A36880" s="8">
        <v>43887.914097222223</v>
      </c>
      <c r="B36880" s="8" t="str">
        <f>HYPERLINK("https://twitter.com/es_raharjo","@es_raharjo")</f>
        <v>@es_raharjo</v>
      </c>
      <c r="C36880" s="8" t="s">
        <v>14330</v>
      </c>
      <c r="D36880" s="8">
        <v>2</v>
      </c>
      <c r="E36880" s="8">
        <v>0</v>
      </c>
      <c r="F36880" s="8">
        <v>1113</v>
      </c>
    </row>
    <row r="36881" spans="1:6" ht="12.75">
      <c r="A36881" s="8">
        <v>43887.913981481484</v>
      </c>
      <c r="B36881" s="8" t="str">
        <f>HYPERLINK("https://twitter.com/keraxxaztrol","@keraxxaztrol")</f>
        <v>@keraxxaztrol</v>
      </c>
      <c r="C36881" s="8" t="s">
        <v>11773</v>
      </c>
      <c r="D36881" s="8">
        <v>190</v>
      </c>
      <c r="E36881" s="8">
        <v>0</v>
      </c>
      <c r="F36881" s="8">
        <v>619</v>
      </c>
    </row>
    <row r="36882" spans="1:6" ht="12.75">
      <c r="A36882" s="8">
        <v>43887.913969907408</v>
      </c>
      <c r="B36882" s="8" t="str">
        <f>HYPERLINK("https://twitter.com/ASamroji","@ASamroji")</f>
        <v>@ASamroji</v>
      </c>
      <c r="C36882" s="8" t="s">
        <v>14331</v>
      </c>
      <c r="D36882" s="8">
        <v>2</v>
      </c>
      <c r="E36882" s="8">
        <v>0</v>
      </c>
      <c r="F36882" s="8">
        <v>271</v>
      </c>
    </row>
    <row r="36883" spans="1:6" ht="12.75">
      <c r="A36883" s="8">
        <v>43887.913634259261</v>
      </c>
      <c r="B36883" s="8" t="str">
        <f>HYPERLINK("https://twitter.com/elusiman","@elusiman")</f>
        <v>@elusiman</v>
      </c>
      <c r="C36883" s="8" t="s">
        <v>11597</v>
      </c>
      <c r="D36883" s="8">
        <v>6</v>
      </c>
      <c r="E36883" s="8">
        <v>0</v>
      </c>
      <c r="F36883" s="8">
        <v>122</v>
      </c>
    </row>
    <row r="36884" spans="1:6" ht="12.75">
      <c r="A36884" s="8">
        <v>43887.91337962963</v>
      </c>
      <c r="B36884" s="8" t="str">
        <f>HYPERLINK("https://twitter.com/widywidyar","@widywidyar")</f>
        <v>@widywidyar</v>
      </c>
      <c r="C36884" s="8" t="s">
        <v>2941</v>
      </c>
      <c r="D36884" s="8">
        <v>1055</v>
      </c>
      <c r="E36884" s="8">
        <v>0</v>
      </c>
      <c r="F36884" s="8">
        <v>349</v>
      </c>
    </row>
    <row r="36885" spans="1:6" ht="12.75">
      <c r="A36885" s="8">
        <v>43887.913171296299</v>
      </c>
      <c r="B36885" s="8" t="str">
        <f>HYPERLINK("https://twitter.com/jerry_gemini","@jerry_gemini")</f>
        <v>@jerry_gemini</v>
      </c>
      <c r="C36885" s="8" t="s">
        <v>14332</v>
      </c>
      <c r="D36885" s="8">
        <v>0</v>
      </c>
      <c r="E36885" s="8">
        <v>1</v>
      </c>
      <c r="F36885" s="8">
        <v>2056</v>
      </c>
    </row>
    <row r="36886" spans="1:6" ht="12.75">
      <c r="A36886" s="8">
        <v>43887.91306712963</v>
      </c>
      <c r="B36886" s="8" t="str">
        <f>HYPERLINK("https://twitter.com/mhsantosa","@mhsantosa")</f>
        <v>@mhsantosa</v>
      </c>
      <c r="C36886" s="8" t="s">
        <v>14333</v>
      </c>
      <c r="D36886" s="8">
        <v>0</v>
      </c>
      <c r="E36886" s="8">
        <v>0</v>
      </c>
      <c r="F36886" s="8">
        <v>1919</v>
      </c>
    </row>
    <row r="36887" spans="1:6" ht="12.75">
      <c r="A36887" s="8">
        <v>43887.913020833337</v>
      </c>
      <c r="B36887" s="8" t="str">
        <f>HYPERLINK("https://twitter.com/93712853kL_Bg33","@93712853kL_Bg33")</f>
        <v>@93712853kL_Bg33</v>
      </c>
      <c r="C36887" s="8" t="s">
        <v>13365</v>
      </c>
      <c r="D36887" s="8">
        <v>851</v>
      </c>
      <c r="E36887" s="8">
        <v>0</v>
      </c>
      <c r="F36887" s="8">
        <v>6944</v>
      </c>
    </row>
    <row r="36888" spans="1:6" ht="12.75">
      <c r="A36888" s="8">
        <v>43887.912881944445</v>
      </c>
      <c r="B36888" s="8" t="str">
        <f>HYPERLINK("https://twitter.com/KadrunK","@KadrunK")</f>
        <v>@KadrunK</v>
      </c>
      <c r="C36888" s="8" t="s">
        <v>11773</v>
      </c>
      <c r="D36888" s="8">
        <v>190</v>
      </c>
      <c r="E36888" s="8">
        <v>0</v>
      </c>
      <c r="F36888" s="8">
        <v>14</v>
      </c>
    </row>
    <row r="36889" spans="1:6" ht="12.75">
      <c r="A36889" s="8">
        <v>43887.912604166668</v>
      </c>
      <c r="B36889" s="8" t="str">
        <f>HYPERLINK("https://twitter.com/kak_wew","@kak_wew")</f>
        <v>@kak_wew</v>
      </c>
      <c r="C36889" s="8" t="s">
        <v>14287</v>
      </c>
      <c r="D36889" s="8">
        <v>2</v>
      </c>
      <c r="E36889" s="8">
        <v>0</v>
      </c>
      <c r="F36889" s="8">
        <v>315</v>
      </c>
    </row>
    <row r="36890" spans="1:6" ht="12.75">
      <c r="A36890" s="8">
        <v>43887.912488425922</v>
      </c>
      <c r="B36890" s="8" t="str">
        <f>HYPERLINK("https://twitter.com/matasayu_","@matasayu_")</f>
        <v>@matasayu_</v>
      </c>
      <c r="C36890" s="8" t="s">
        <v>14330</v>
      </c>
      <c r="D36890" s="8">
        <v>2</v>
      </c>
      <c r="E36890" s="8">
        <v>0</v>
      </c>
      <c r="F36890" s="8">
        <v>111</v>
      </c>
    </row>
    <row r="36891" spans="1:6" ht="12.75">
      <c r="A36891" s="8">
        <v>43887.912407407406</v>
      </c>
      <c r="B36891" s="8" t="str">
        <f>HYPERLINK("https://twitter.com/oya_bindhie","@oya_bindhie")</f>
        <v>@oya_bindhie</v>
      </c>
      <c r="C36891" s="8" t="s">
        <v>14334</v>
      </c>
      <c r="D36891" s="8">
        <v>0</v>
      </c>
      <c r="E36891" s="8">
        <v>1</v>
      </c>
      <c r="F36891" s="8">
        <v>336</v>
      </c>
    </row>
    <row r="36892" spans="1:6" ht="12.75">
      <c r="A36892" s="8">
        <v>43887.912175925929</v>
      </c>
      <c r="B36892" s="8" t="str">
        <f>HYPERLINK("https://twitter.com/pikiran_rakyat","@pikiran_rakyat")</f>
        <v>@pikiran_rakyat</v>
      </c>
      <c r="C36892" s="8" t="s">
        <v>14335</v>
      </c>
      <c r="D36892" s="8">
        <v>1</v>
      </c>
      <c r="E36892" s="8">
        <v>2</v>
      </c>
      <c r="F36892" s="8">
        <v>412991</v>
      </c>
    </row>
    <row r="36893" spans="1:6" ht="12.75">
      <c r="A36893" s="8">
        <v>43887.911944444444</v>
      </c>
      <c r="B36893" s="8" t="str">
        <f>HYPERLINK("https://twitter.com/Rahman_Nashir","@Rahman_Nashir")</f>
        <v>@Rahman_Nashir</v>
      </c>
      <c r="C36893" s="8" t="s">
        <v>13198</v>
      </c>
      <c r="D36893" s="8">
        <v>13</v>
      </c>
      <c r="E36893" s="8">
        <v>0</v>
      </c>
      <c r="F36893" s="8">
        <v>3000</v>
      </c>
    </row>
    <row r="36894" spans="1:6" ht="12.75">
      <c r="A36894" s="8">
        <v>43887.911666666667</v>
      </c>
      <c r="B36894" s="8" t="str">
        <f>HYPERLINK("https://twitter.com/Jaysyku","@Jaysyku")</f>
        <v>@Jaysyku</v>
      </c>
      <c r="C36894" s="8" t="s">
        <v>11773</v>
      </c>
      <c r="D36894" s="8">
        <v>190</v>
      </c>
      <c r="E36894" s="8">
        <v>0</v>
      </c>
      <c r="F36894" s="8">
        <v>237</v>
      </c>
    </row>
    <row r="36895" spans="1:6" ht="12.75">
      <c r="A36895" s="8">
        <v>43887.911446759259</v>
      </c>
      <c r="B36895" s="8" t="str">
        <f>HYPERLINK("https://twitter.com/Edut28","@Edut28")</f>
        <v>@Edut28</v>
      </c>
      <c r="C36895" s="8" t="s">
        <v>13365</v>
      </c>
      <c r="D36895" s="8">
        <v>851</v>
      </c>
      <c r="E36895" s="8">
        <v>0</v>
      </c>
      <c r="F36895" s="8">
        <v>2091</v>
      </c>
    </row>
    <row r="36896" spans="1:6" ht="12.75">
      <c r="A36896" s="8">
        <v>43887.911261574074</v>
      </c>
      <c r="B36896" s="8" t="str">
        <f>HYPERLINK("https://twitter.com/SagaSantorini","@SagaSantorini")</f>
        <v>@SagaSantorini</v>
      </c>
      <c r="C36896" s="8" t="s">
        <v>11773</v>
      </c>
      <c r="D36896" s="8">
        <v>190</v>
      </c>
      <c r="E36896" s="8">
        <v>0</v>
      </c>
      <c r="F36896" s="8">
        <v>37</v>
      </c>
    </row>
    <row r="36897" spans="1:6" ht="12.75">
      <c r="A36897" s="8">
        <v>43887.911226851851</v>
      </c>
      <c r="B36897" s="8" t="str">
        <f>HYPERLINK("https://twitter.com/widodogroho","@widodogroho")</f>
        <v>@widodogroho</v>
      </c>
      <c r="C36897" s="8" t="s">
        <v>14336</v>
      </c>
      <c r="D36897" s="8">
        <v>1</v>
      </c>
      <c r="E36897" s="8">
        <v>0</v>
      </c>
      <c r="F36897" s="8">
        <v>798</v>
      </c>
    </row>
    <row r="36898" spans="1:6" ht="12.75">
      <c r="A36898" s="8">
        <v>43887.911168981482</v>
      </c>
      <c r="B36898" s="8" t="str">
        <f>HYPERLINK("https://twitter.com/sarimusdar09","@sarimusdar09")</f>
        <v>@sarimusdar09</v>
      </c>
      <c r="C36898" s="8" t="s">
        <v>13329</v>
      </c>
      <c r="D36898" s="8">
        <v>3</v>
      </c>
      <c r="E36898" s="8">
        <v>0</v>
      </c>
      <c r="F36898" s="8">
        <v>4436</v>
      </c>
    </row>
    <row r="36899" spans="1:6" ht="12.75">
      <c r="A36899" s="8">
        <v>43887.911111111112</v>
      </c>
      <c r="B36899" s="8" t="str">
        <f>HYPERLINK("https://twitter.com/kompascom","@kompascom")</f>
        <v>@kompascom</v>
      </c>
      <c r="C36899" s="8" t="s">
        <v>14337</v>
      </c>
      <c r="D36899" s="8">
        <v>2</v>
      </c>
      <c r="E36899" s="8">
        <v>18</v>
      </c>
      <c r="F36899" s="8">
        <v>7514390</v>
      </c>
    </row>
    <row r="36900" spans="1:6" ht="12.75">
      <c r="A36900" s="8">
        <v>43887.911076388889</v>
      </c>
      <c r="B36900" s="8" t="str">
        <f>HYPERLINK("https://twitter.com/mr_lambe2018","@mr_lambe2018")</f>
        <v>@mr_lambe2018</v>
      </c>
      <c r="C36900" s="8" t="s">
        <v>4785</v>
      </c>
      <c r="D36900" s="8">
        <v>299</v>
      </c>
      <c r="E36900" s="8">
        <v>0</v>
      </c>
      <c r="F36900" s="8">
        <v>1381</v>
      </c>
    </row>
    <row r="36901" spans="1:6" ht="12.75">
      <c r="A36901" s="8">
        <v>43887.911030092597</v>
      </c>
      <c r="B36901" s="8" t="str">
        <f>HYPERLINK("https://twitter.com/jessicaessy","@jessicaessy")</f>
        <v>@jessicaessy</v>
      </c>
      <c r="C36901" s="8" t="s">
        <v>14338</v>
      </c>
      <c r="D36901" s="8">
        <v>2</v>
      </c>
      <c r="E36901" s="8">
        <v>0</v>
      </c>
      <c r="F36901" s="8">
        <v>1136</v>
      </c>
    </row>
    <row r="36902" spans="1:6" ht="12.75">
      <c r="A36902" s="8">
        <v>43887.911030092597</v>
      </c>
      <c r="B36902" s="8" t="str">
        <f>HYPERLINK("https://twitter.com/Nitizen_Zen","@Nitizen_Zen")</f>
        <v>@Nitizen_Zen</v>
      </c>
      <c r="C36902" s="8" t="s">
        <v>13198</v>
      </c>
      <c r="D36902" s="8">
        <v>13</v>
      </c>
      <c r="E36902" s="8">
        <v>0</v>
      </c>
      <c r="F36902" s="8">
        <v>454</v>
      </c>
    </row>
    <row r="36903" spans="1:6" ht="12.75">
      <c r="A36903" s="8">
        <v>43887.910891203705</v>
      </c>
      <c r="B36903" s="8" t="str">
        <f>HYPERLINK("https://twitter.com/LeanNst","@LeanNst")</f>
        <v>@LeanNst</v>
      </c>
      <c r="C36903" s="8" t="s">
        <v>14339</v>
      </c>
      <c r="D36903" s="8">
        <v>0</v>
      </c>
      <c r="E36903" s="8">
        <v>0</v>
      </c>
      <c r="F36903" s="8">
        <v>931</v>
      </c>
    </row>
    <row r="36904" spans="1:6" ht="12.75">
      <c r="A36904" s="8">
        <v>43887.910694444443</v>
      </c>
      <c r="B36904" s="8" t="str">
        <f>HYPERLINK("https://twitter.com/BubuNyaii","@BubuNyaii")</f>
        <v>@BubuNyaii</v>
      </c>
      <c r="C36904" s="8" t="s">
        <v>14340</v>
      </c>
      <c r="D36904" s="8">
        <v>0</v>
      </c>
      <c r="E36904" s="8">
        <v>1</v>
      </c>
      <c r="F36904" s="8">
        <v>3702</v>
      </c>
    </row>
    <row r="36905" spans="1:6" ht="12.75">
      <c r="A36905" s="8">
        <v>43887.910659722227</v>
      </c>
      <c r="B36905" s="8" t="str">
        <f>HYPERLINK("https://twitter.com/Ferdy55277692","@Ferdy55277692")</f>
        <v>@Ferdy55277692</v>
      </c>
      <c r="C36905" s="8" t="s">
        <v>14341</v>
      </c>
      <c r="D36905" s="8">
        <v>0</v>
      </c>
      <c r="E36905" s="8">
        <v>0</v>
      </c>
      <c r="F36905" s="8">
        <v>6</v>
      </c>
    </row>
    <row r="36906" spans="1:6" ht="12.75">
      <c r="A36906" s="8">
        <v>43887.910613425927</v>
      </c>
      <c r="B36906" s="8" t="str">
        <f>HYPERLINK("https://twitter.com/randualit","@randualit")</f>
        <v>@randualit</v>
      </c>
      <c r="C36906" s="8" t="s">
        <v>4785</v>
      </c>
      <c r="D36906" s="8">
        <v>299</v>
      </c>
      <c r="E36906" s="8">
        <v>0</v>
      </c>
      <c r="F36906" s="8">
        <v>7547</v>
      </c>
    </row>
    <row r="36907" spans="1:6" ht="12.75">
      <c r="A36907" s="8">
        <v>43887.910509259258</v>
      </c>
      <c r="B36907" s="8" t="str">
        <f>HYPERLINK("https://twitter.com/Mayvhia","@Mayvhia")</f>
        <v>@Mayvhia</v>
      </c>
      <c r="C36907" s="8" t="s">
        <v>14342</v>
      </c>
      <c r="D36907" s="8">
        <v>0</v>
      </c>
      <c r="E36907" s="8">
        <v>0</v>
      </c>
      <c r="F36907" s="8">
        <v>1328</v>
      </c>
    </row>
    <row r="36908" spans="1:6" ht="12.75">
      <c r="A36908" s="8">
        <v>43887.910486111112</v>
      </c>
      <c r="B36908" s="8" t="str">
        <f>HYPERLINK("https://twitter.com/V_Stone_Kardol","@V_Stone_Kardol")</f>
        <v>@V_Stone_Kardol</v>
      </c>
      <c r="C36908" s="8" t="s">
        <v>14343</v>
      </c>
      <c r="D36908" s="8">
        <v>3</v>
      </c>
      <c r="E36908" s="8">
        <v>6</v>
      </c>
      <c r="F36908" s="8">
        <v>8096</v>
      </c>
    </row>
    <row r="36909" spans="1:6" ht="12.75">
      <c r="A36909" s="8">
        <v>43887.910428240742</v>
      </c>
      <c r="B36909" s="8" t="str">
        <f>HYPERLINK("https://twitter.com/Kris_Sitepu","@Kris_Sitepu")</f>
        <v>@Kris_Sitepu</v>
      </c>
      <c r="C36909" s="8" t="s">
        <v>13035</v>
      </c>
      <c r="D36909" s="8">
        <v>7</v>
      </c>
      <c r="E36909" s="8">
        <v>0</v>
      </c>
      <c r="F36909" s="8">
        <v>68</v>
      </c>
    </row>
    <row r="36910" spans="1:6" ht="12.75">
      <c r="A36910" s="8">
        <v>43887.910358796296</v>
      </c>
      <c r="B36910" s="8" t="str">
        <f>HYPERLINK("https://twitter.com/triyanto_l","@triyanto_l")</f>
        <v>@triyanto_l</v>
      </c>
      <c r="C36910" s="8" t="s">
        <v>13198</v>
      </c>
      <c r="D36910" s="8">
        <v>13</v>
      </c>
      <c r="E36910" s="8">
        <v>0</v>
      </c>
      <c r="F36910" s="8">
        <v>1535</v>
      </c>
    </row>
    <row r="36911" spans="1:6" ht="12.75">
      <c r="A36911" s="8">
        <v>43887.910266203704</v>
      </c>
      <c r="B36911" s="8" t="str">
        <f>HYPERLINK("https://twitter.com/yudhapati88","@yudhapati88")</f>
        <v>@yudhapati88</v>
      </c>
      <c r="C36911" s="8" t="s">
        <v>13592</v>
      </c>
      <c r="D36911" s="8">
        <v>38</v>
      </c>
      <c r="E36911" s="8">
        <v>0</v>
      </c>
      <c r="F36911" s="8">
        <v>3427</v>
      </c>
    </row>
    <row r="36912" spans="1:6" ht="12.75">
      <c r="A36912" s="8">
        <v>43887.910219907411</v>
      </c>
      <c r="B36912" s="8" t="str">
        <f>HYPERLINK("https://twitter.com/triwul82","@triwul82")</f>
        <v>@triwul82</v>
      </c>
      <c r="C36912" s="8" t="s">
        <v>13198</v>
      </c>
      <c r="D36912" s="8">
        <v>13</v>
      </c>
      <c r="E36912" s="8">
        <v>0</v>
      </c>
      <c r="F36912" s="8">
        <v>29107</v>
      </c>
    </row>
    <row r="36913" spans="1:6" ht="12.75">
      <c r="A36913" s="8">
        <v>43887.909942129627</v>
      </c>
      <c r="B36913" s="8" t="str">
        <f>HYPERLINK("https://twitter.com/dhantyamaliamp","@dhantyamaliamp")</f>
        <v>@dhantyamaliamp</v>
      </c>
      <c r="C36913" s="8" t="s">
        <v>6638</v>
      </c>
      <c r="D36913" s="8">
        <v>77</v>
      </c>
      <c r="E36913" s="8">
        <v>0</v>
      </c>
      <c r="F36913" s="8">
        <v>819</v>
      </c>
    </row>
    <row r="36914" spans="1:6" ht="12.75">
      <c r="A36914" s="8">
        <v>43887.881828703699</v>
      </c>
      <c r="B36914" s="8" t="str">
        <f>HYPERLINK("https://twitter.com/Vendra_Deje","@Vendra_Deje")</f>
        <v>@Vendra_Deje</v>
      </c>
      <c r="C36914" s="8" t="s">
        <v>11773</v>
      </c>
      <c r="D36914" s="8">
        <v>161</v>
      </c>
      <c r="E36914" s="8">
        <v>0</v>
      </c>
      <c r="F36914" s="8">
        <v>3332</v>
      </c>
    </row>
    <row r="36915" spans="1:6" ht="12.75">
      <c r="A36915" s="8">
        <v>43887.88181712963</v>
      </c>
      <c r="B36915" s="8" t="str">
        <f>HYPERLINK("https://twitter.com/azissubekti","@azissubekti")</f>
        <v>@azissubekti</v>
      </c>
      <c r="C36915" s="8" t="s">
        <v>14344</v>
      </c>
      <c r="D36915" s="8">
        <v>0</v>
      </c>
      <c r="E36915" s="8">
        <v>0</v>
      </c>
      <c r="F36915" s="8">
        <v>21032</v>
      </c>
    </row>
    <row r="36916" spans="1:6" ht="12.75">
      <c r="A36916" s="8">
        <v>43887.881597222222</v>
      </c>
      <c r="B36916" s="8" t="str">
        <f>HYPERLINK("https://twitter.com/deshbhakt321","@deshbhakt321")</f>
        <v>@deshbhakt321</v>
      </c>
      <c r="C36916" s="8" t="s">
        <v>14345</v>
      </c>
      <c r="D36916" s="8">
        <v>0</v>
      </c>
      <c r="E36916" s="8">
        <v>0</v>
      </c>
      <c r="F36916" s="8">
        <v>12</v>
      </c>
    </row>
    <row r="36917" spans="1:6" ht="12.75">
      <c r="A36917" s="8">
        <v>43887.881516203706</v>
      </c>
      <c r="B36917" s="8" t="str">
        <f>HYPERLINK("https://twitter.com/faridariadno","@faridariadno")</f>
        <v>@faridariadno</v>
      </c>
      <c r="C36917" s="8" t="s">
        <v>14346</v>
      </c>
      <c r="D36917" s="8">
        <v>4</v>
      </c>
      <c r="E36917" s="8">
        <v>0</v>
      </c>
      <c r="F36917" s="8">
        <v>729</v>
      </c>
    </row>
    <row r="36918" spans="1:6" ht="12.75">
      <c r="A36918" s="8">
        <v>43887.881469907406</v>
      </c>
      <c r="B36918" s="8" t="str">
        <f>HYPERLINK("https://twitter.com/Metro_TV","@Metro_TV")</f>
        <v>@Metro_TV</v>
      </c>
      <c r="C36918" s="8" t="s">
        <v>14347</v>
      </c>
      <c r="D36918" s="8">
        <v>0</v>
      </c>
      <c r="E36918" s="8">
        <v>0</v>
      </c>
      <c r="F36918" s="8">
        <v>10513718</v>
      </c>
    </row>
    <row r="36919" spans="1:6" ht="12.75">
      <c r="A36919" s="8">
        <v>43887.881365740745</v>
      </c>
      <c r="B36919" s="8" t="str">
        <f>HYPERLINK("https://twitter.com/Dhe_Gea","@Dhe_Gea")</f>
        <v>@Dhe_Gea</v>
      </c>
      <c r="C36919" s="8" t="s">
        <v>13633</v>
      </c>
      <c r="D36919" s="8">
        <v>57</v>
      </c>
      <c r="E36919" s="8">
        <v>0</v>
      </c>
      <c r="F36919" s="8">
        <v>1383</v>
      </c>
    </row>
    <row r="36920" spans="1:6" ht="12.75">
      <c r="A36920" s="8">
        <v>43887.881307870368</v>
      </c>
      <c r="B36920" s="8" t="str">
        <f>HYPERLINK("https://twitter.com/pendividia","@pendividia")</f>
        <v>@pendividia</v>
      </c>
      <c r="C36920" s="8" t="s">
        <v>13505</v>
      </c>
      <c r="D36920" s="8">
        <v>4</v>
      </c>
      <c r="E36920" s="8">
        <v>0</v>
      </c>
      <c r="F36920" s="8">
        <v>596</v>
      </c>
    </row>
    <row r="36921" spans="1:6" ht="12.75">
      <c r="A36921" s="8">
        <v>43887.881296296298</v>
      </c>
      <c r="B36921" s="8" t="str">
        <f>HYPERLINK("https://twitter.com/gontaliem","@gontaliem")</f>
        <v>@gontaliem</v>
      </c>
      <c r="C36921" s="8" t="s">
        <v>12143</v>
      </c>
      <c r="D36921" s="8">
        <v>216</v>
      </c>
      <c r="E36921" s="8">
        <v>0</v>
      </c>
      <c r="F36921" s="8">
        <v>1071</v>
      </c>
    </row>
    <row r="36922" spans="1:6" ht="12.75">
      <c r="A36922" s="8">
        <v>43887.881261574075</v>
      </c>
      <c r="B36922" s="8" t="str">
        <f>HYPERLINK("https://twitter.com/Mujirahadi2","@Mujirahadi2")</f>
        <v>@Mujirahadi2</v>
      </c>
      <c r="C36922" s="8" t="s">
        <v>13884</v>
      </c>
      <c r="D36922" s="8">
        <v>131</v>
      </c>
      <c r="E36922" s="8">
        <v>0</v>
      </c>
      <c r="F36922" s="8">
        <v>1714</v>
      </c>
    </row>
    <row r="36923" spans="1:6" ht="12.75">
      <c r="A36923" s="8">
        <v>43887.881226851852</v>
      </c>
      <c r="B36923" s="8" t="str">
        <f>HYPERLINK("https://twitter.com/wni_jmsri","@wni_jmsri")</f>
        <v>@wni_jmsri</v>
      </c>
      <c r="C36923" s="8" t="s">
        <v>14348</v>
      </c>
      <c r="D36923" s="8">
        <v>478</v>
      </c>
      <c r="E36923" s="8">
        <v>0</v>
      </c>
      <c r="F36923" s="8">
        <v>195</v>
      </c>
    </row>
    <row r="36924" spans="1:6" ht="12.75">
      <c r="A36924" s="8">
        <v>43887.881053240737</v>
      </c>
      <c r="B36924" s="8" t="str">
        <f>HYPERLINK("https://twitter.com/jondivar","@jondivar")</f>
        <v>@jondivar</v>
      </c>
      <c r="C36924" s="8" t="s">
        <v>14349</v>
      </c>
      <c r="D36924" s="8">
        <v>0</v>
      </c>
      <c r="E36924" s="8">
        <v>0</v>
      </c>
      <c r="F36924" s="8">
        <v>165</v>
      </c>
    </row>
    <row r="36925" spans="1:6" ht="12.75">
      <c r="A36925" s="8">
        <v>43887.881018518514</v>
      </c>
      <c r="B36925" s="8" t="str">
        <f>HYPERLINK("https://twitter.com/kYosIzSfg1NlPE9","@kYosIzSfg1NlPE9")</f>
        <v>@kYosIzSfg1NlPE9</v>
      </c>
      <c r="C36925" s="8" t="s">
        <v>8484</v>
      </c>
      <c r="D36925" s="8">
        <v>993</v>
      </c>
      <c r="E36925" s="8">
        <v>0</v>
      </c>
      <c r="F36925" s="8">
        <v>137</v>
      </c>
    </row>
    <row r="36926" spans="1:6" ht="12.75">
      <c r="A36926" s="8">
        <v>43887.880902777775</v>
      </c>
      <c r="B36926" s="8" t="str">
        <f>HYPERLINK("https://twitter.com/ArSunantoaris","@ArSunantoaris")</f>
        <v>@ArSunantoaris</v>
      </c>
      <c r="C36926" s="8" t="s">
        <v>13884</v>
      </c>
      <c r="D36926" s="8">
        <v>131</v>
      </c>
      <c r="E36926" s="8">
        <v>0</v>
      </c>
      <c r="F36926" s="8">
        <v>3570</v>
      </c>
    </row>
    <row r="36927" spans="1:6" ht="12.75">
      <c r="A36927" s="8">
        <v>43887.880439814813</v>
      </c>
      <c r="B36927" s="8" t="str">
        <f>HYPERLINK("https://twitter.com/Metro_TV","@Metro_TV")</f>
        <v>@Metro_TV</v>
      </c>
      <c r="C36927" s="8" t="s">
        <v>14350</v>
      </c>
      <c r="D36927" s="8">
        <v>0</v>
      </c>
      <c r="E36927" s="8">
        <v>0</v>
      </c>
      <c r="F36927" s="8">
        <v>10513718</v>
      </c>
    </row>
    <row r="36928" spans="1:6" ht="12.75">
      <c r="A36928" s="8">
        <v>43887.880324074074</v>
      </c>
      <c r="B36928" s="8" t="str">
        <f>HYPERLINK("https://twitter.com/Nitizen_Zen","@Nitizen_Zen")</f>
        <v>@Nitizen_Zen</v>
      </c>
      <c r="C36928" s="8" t="s">
        <v>14351</v>
      </c>
      <c r="D36928" s="8">
        <v>1</v>
      </c>
      <c r="E36928" s="8">
        <v>0</v>
      </c>
      <c r="F36928" s="8">
        <v>454</v>
      </c>
    </row>
    <row r="36929" spans="1:6" ht="12.75">
      <c r="A36929" s="8">
        <v>43887.880300925928</v>
      </c>
      <c r="B36929" s="8" t="str">
        <f>HYPERLINK("https://twitter.com/Wihar18","@Wihar18")</f>
        <v>@Wihar18</v>
      </c>
      <c r="C36929" s="8" t="s">
        <v>13633</v>
      </c>
      <c r="D36929" s="8">
        <v>57</v>
      </c>
      <c r="E36929" s="8">
        <v>0</v>
      </c>
      <c r="F36929" s="8">
        <v>27</v>
      </c>
    </row>
    <row r="36930" spans="1:6" ht="12.75">
      <c r="A36930" s="8">
        <v>43887.880254629628</v>
      </c>
      <c r="B36930" s="8" t="str">
        <f>HYPERLINK("https://twitter.com/Acaa48","@Acaa48")</f>
        <v>@Acaa48</v>
      </c>
      <c r="C36930" s="8" t="s">
        <v>14352</v>
      </c>
      <c r="D36930" s="8">
        <v>0</v>
      </c>
      <c r="E36930" s="8">
        <v>0</v>
      </c>
      <c r="F36930" s="8">
        <v>80</v>
      </c>
    </row>
    <row r="36931" spans="1:6" ht="12.75">
      <c r="A36931" s="8">
        <v>43887.880057870367</v>
      </c>
      <c r="B36931" s="8" t="str">
        <f>HYPERLINK("https://twitter.com/jondivar","@jondivar")</f>
        <v>@jondivar</v>
      </c>
      <c r="C36931" s="8" t="s">
        <v>14353</v>
      </c>
      <c r="D36931" s="8">
        <v>0</v>
      </c>
      <c r="E36931" s="8">
        <v>0</v>
      </c>
      <c r="F36931" s="8">
        <v>165</v>
      </c>
    </row>
    <row r="36932" spans="1:6" ht="12.75">
      <c r="A36932" s="8">
        <v>43887.879895833335</v>
      </c>
      <c r="B36932" s="8" t="str">
        <f>HYPERLINK("https://twitter.com/DjanChoek","@DjanChoek")</f>
        <v>@DjanChoek</v>
      </c>
      <c r="C36932" s="8" t="s">
        <v>14354</v>
      </c>
      <c r="D36932" s="8">
        <v>0</v>
      </c>
      <c r="E36932" s="8">
        <v>0</v>
      </c>
      <c r="F36932" s="8">
        <v>24582</v>
      </c>
    </row>
    <row r="36933" spans="1:6" ht="12.75">
      <c r="A36933" s="8">
        <v>43887.879537037035</v>
      </c>
      <c r="B36933" s="8" t="str">
        <f>HYPERLINK("https://twitter.com/Baliantaranews","@Baliantaranews")</f>
        <v>@Baliantaranews</v>
      </c>
      <c r="C36933" s="8" t="s">
        <v>14355</v>
      </c>
      <c r="D36933" s="8">
        <v>1</v>
      </c>
      <c r="E36933" s="8">
        <v>0</v>
      </c>
      <c r="F36933" s="8">
        <v>736</v>
      </c>
    </row>
    <row r="36934" spans="1:6" ht="12.75">
      <c r="A36934" s="8">
        <v>43887.879236111112</v>
      </c>
      <c r="B36934" s="8" t="str">
        <f>HYPERLINK("https://twitter.com/antaranews_bali","@antaranews_bali")</f>
        <v>@antaranews_bali</v>
      </c>
      <c r="C36934" s="8" t="s">
        <v>14356</v>
      </c>
      <c r="D36934" s="8">
        <v>1</v>
      </c>
      <c r="E36934" s="8">
        <v>0</v>
      </c>
      <c r="F36934" s="8">
        <v>4929</v>
      </c>
    </row>
    <row r="36935" spans="1:6" ht="12.75">
      <c r="A36935" s="8">
        <v>43887.879074074073</v>
      </c>
      <c r="B36935" s="8" t="str">
        <f t="shared" ref="B36935:B36936" si="544">HYPERLINK("https://twitter.com/Pangalitna1","@Pangalitna1")</f>
        <v>@Pangalitna1</v>
      </c>
      <c r="C36935" s="8" t="s">
        <v>26</v>
      </c>
      <c r="D36935" s="8">
        <v>90</v>
      </c>
      <c r="E36935" s="8">
        <v>0</v>
      </c>
      <c r="F36935" s="8">
        <v>4</v>
      </c>
    </row>
    <row r="36936" spans="1:6" ht="12.75">
      <c r="A36936" s="8">
        <v>43887.879050925927</v>
      </c>
      <c r="B36936" s="8" t="str">
        <f t="shared" si="544"/>
        <v>@Pangalitna1</v>
      </c>
      <c r="C36936" s="8" t="s">
        <v>4785</v>
      </c>
      <c r="D36936" s="8">
        <v>278</v>
      </c>
      <c r="E36936" s="8">
        <v>0</v>
      </c>
      <c r="F36936" s="8">
        <v>4</v>
      </c>
    </row>
    <row r="36937" spans="1:6" ht="12.75">
      <c r="A36937" s="8">
        <v>43887.87877314815</v>
      </c>
      <c r="B36937" s="8" t="str">
        <f>HYPERLINK("https://twitter.com/raraera19","@raraera19")</f>
        <v>@raraera19</v>
      </c>
      <c r="C36937" s="8" t="s">
        <v>4785</v>
      </c>
      <c r="D36937" s="8">
        <v>278</v>
      </c>
      <c r="E36937" s="8">
        <v>0</v>
      </c>
      <c r="F36937" s="8">
        <v>36</v>
      </c>
    </row>
    <row r="36938" spans="1:6" ht="12.75">
      <c r="A36938" s="8">
        <v>43887.878738425927</v>
      </c>
      <c r="B36938" s="8" t="str">
        <f>HYPERLINK("https://twitter.com/veraagustian_","@veraagustian_")</f>
        <v>@veraagustian_</v>
      </c>
      <c r="C36938" s="8" t="s">
        <v>14034</v>
      </c>
      <c r="D36938" s="8">
        <v>4</v>
      </c>
      <c r="E36938" s="8">
        <v>0</v>
      </c>
      <c r="F36938" s="8">
        <v>3046</v>
      </c>
    </row>
    <row r="36939" spans="1:6" ht="12.75">
      <c r="A36939" s="8">
        <v>43887.878275462965</v>
      </c>
      <c r="B36939" s="8" t="str">
        <f>HYPERLINK("https://twitter.com/dengansetan","@dengansetan")</f>
        <v>@dengansetan</v>
      </c>
      <c r="C36939" s="8" t="s">
        <v>12406</v>
      </c>
      <c r="D36939" s="8">
        <v>46</v>
      </c>
      <c r="E36939" s="8">
        <v>0</v>
      </c>
      <c r="F36939" s="8">
        <v>185</v>
      </c>
    </row>
    <row r="36940" spans="1:6" ht="12.75">
      <c r="A36940" s="8">
        <v>43887.878101851849</v>
      </c>
      <c r="B36940" s="8" t="str">
        <f>HYPERLINK("https://twitter.com/AhlulQohwah","@AhlulQohwah")</f>
        <v>@AhlulQohwah</v>
      </c>
      <c r="C36940" s="8" t="s">
        <v>14357</v>
      </c>
      <c r="D36940" s="8">
        <v>1</v>
      </c>
      <c r="E36940" s="8">
        <v>0</v>
      </c>
      <c r="F36940" s="8">
        <v>10323</v>
      </c>
    </row>
    <row r="36941" spans="1:6" ht="12.75">
      <c r="A36941" s="8">
        <v>43887.877939814818</v>
      </c>
      <c r="B36941" s="8" t="str">
        <f>HYPERLINK("https://twitter.com/denshirenji_to","@denshirenji_to")</f>
        <v>@denshirenji_to</v>
      </c>
      <c r="C36941" s="8" t="s">
        <v>8484</v>
      </c>
      <c r="D36941" s="8">
        <v>993</v>
      </c>
      <c r="E36941" s="8">
        <v>0</v>
      </c>
      <c r="F36941" s="8">
        <v>84</v>
      </c>
    </row>
    <row r="36942" spans="1:6" ht="12.75">
      <c r="A36942" s="8">
        <v>43887.877662037034</v>
      </c>
      <c r="B36942" s="8" t="str">
        <f>HYPERLINK("https://twitter.com/Iwanadityaa_","@Iwanadityaa_")</f>
        <v>@Iwanadityaa_</v>
      </c>
      <c r="C36942" s="8" t="s">
        <v>593</v>
      </c>
      <c r="D36942" s="8">
        <v>266</v>
      </c>
      <c r="E36942" s="8">
        <v>0</v>
      </c>
      <c r="F36942" s="8">
        <v>425</v>
      </c>
    </row>
    <row r="36943" spans="1:6" ht="12.75">
      <c r="A36943" s="8">
        <v>43887.877627314811</v>
      </c>
      <c r="B36943" s="8" t="str">
        <f>HYPERLINK("https://twitter.com/BigBos92186204","@BigBos92186204")</f>
        <v>@BigBos92186204</v>
      </c>
      <c r="C36943" s="8" t="s">
        <v>11773</v>
      </c>
      <c r="D36943" s="8">
        <v>161</v>
      </c>
      <c r="E36943" s="8">
        <v>0</v>
      </c>
      <c r="F36943" s="8">
        <v>85</v>
      </c>
    </row>
    <row r="36944" spans="1:6" ht="12.75">
      <c r="A36944" s="8">
        <v>43887.876909722225</v>
      </c>
      <c r="B36944" s="8" t="str">
        <f>HYPERLINK("https://twitter.com/nursii5","@nursii5")</f>
        <v>@nursii5</v>
      </c>
      <c r="C36944" s="8" t="s">
        <v>14358</v>
      </c>
      <c r="D36944" s="8">
        <v>0</v>
      </c>
      <c r="E36944" s="8">
        <v>0</v>
      </c>
      <c r="F36944" s="8">
        <v>69</v>
      </c>
    </row>
    <row r="36945" spans="1:6" ht="12.75">
      <c r="A36945" s="8">
        <v>43887.876828703702</v>
      </c>
      <c r="B36945" s="8" t="str">
        <f>HYPERLINK("https://twitter.com/johhhnygudhel","@johhhnygudhel")</f>
        <v>@johhhnygudhel</v>
      </c>
      <c r="C36945" s="8" t="s">
        <v>14287</v>
      </c>
      <c r="D36945" s="8">
        <v>1</v>
      </c>
      <c r="E36945" s="8">
        <v>0</v>
      </c>
      <c r="F36945" s="8">
        <v>2601</v>
      </c>
    </row>
    <row r="36946" spans="1:6" ht="12.75">
      <c r="A36946" s="8">
        <v>43887.876782407402</v>
      </c>
      <c r="B36946" s="8" t="str">
        <f>HYPERLINK("https://twitter.com/termanissss","@termanissss")</f>
        <v>@termanissss</v>
      </c>
      <c r="C36946" s="8" t="s">
        <v>14106</v>
      </c>
      <c r="D36946" s="8">
        <v>159</v>
      </c>
      <c r="E36946" s="8">
        <v>0</v>
      </c>
      <c r="F36946" s="8">
        <v>711</v>
      </c>
    </row>
    <row r="36947" spans="1:6" ht="12.75">
      <c r="A36947" s="8">
        <v>43887.876608796301</v>
      </c>
      <c r="B36947" s="8" t="str">
        <f>HYPERLINK("https://twitter.com/bernhardyan2","@bernhardyan2")</f>
        <v>@bernhardyan2</v>
      </c>
      <c r="C36947" s="8" t="s">
        <v>11773</v>
      </c>
      <c r="D36947" s="8">
        <v>161</v>
      </c>
      <c r="E36947" s="8">
        <v>0</v>
      </c>
      <c r="F36947" s="8">
        <v>67</v>
      </c>
    </row>
    <row r="36948" spans="1:6" ht="12.75">
      <c r="A36948" s="8">
        <v>43887.876504629632</v>
      </c>
      <c r="B36948" s="8" t="str">
        <f>HYPERLINK("https://twitter.com/Ndrews1162011","@Ndrews1162011")</f>
        <v>@Ndrews1162011</v>
      </c>
      <c r="C36948" s="8" t="s">
        <v>14359</v>
      </c>
      <c r="D36948" s="8">
        <v>0</v>
      </c>
      <c r="E36948" s="8">
        <v>0</v>
      </c>
      <c r="F36948" s="8">
        <v>1155</v>
      </c>
    </row>
    <row r="36949" spans="1:6" ht="12.75">
      <c r="A36949" s="8">
        <v>43887.876319444447</v>
      </c>
      <c r="B36949" s="8" t="str">
        <f>HYPERLINK("https://twitter.com/kemenkopmk","@kemenkopmk")</f>
        <v>@kemenkopmk</v>
      </c>
      <c r="C36949" s="8" t="s">
        <v>14360</v>
      </c>
      <c r="D36949" s="8">
        <v>0</v>
      </c>
      <c r="E36949" s="8">
        <v>1</v>
      </c>
      <c r="F36949" s="8">
        <v>129995</v>
      </c>
    </row>
    <row r="36950" spans="1:6" ht="12.75">
      <c r="A36950" s="8">
        <v>43887.876203703709</v>
      </c>
      <c r="B36950" s="8" t="str">
        <f>HYPERLINK("https://twitter.com/NagaHitam194","@NagaHitam194")</f>
        <v>@NagaHitam194</v>
      </c>
      <c r="C36950" s="8" t="s">
        <v>11773</v>
      </c>
      <c r="D36950" s="8">
        <v>161</v>
      </c>
      <c r="E36950" s="8">
        <v>0</v>
      </c>
      <c r="F36950" s="8">
        <v>7</v>
      </c>
    </row>
    <row r="36951" spans="1:6" ht="12.75">
      <c r="A36951" s="8">
        <v>43887.876180555555</v>
      </c>
      <c r="B36951" s="8" t="str">
        <f>HYPERLINK("https://twitter.com/olddrummer79","@olddrummer79")</f>
        <v>@olddrummer79</v>
      </c>
      <c r="C36951" s="8" t="s">
        <v>13884</v>
      </c>
      <c r="D36951" s="8">
        <v>131</v>
      </c>
      <c r="E36951" s="8">
        <v>0</v>
      </c>
      <c r="F36951" s="8">
        <v>1132</v>
      </c>
    </row>
    <row r="36952" spans="1:6" ht="12.75">
      <c r="A36952" s="8">
        <v>43887.876145833332</v>
      </c>
      <c r="B36952" s="8" t="str">
        <f>HYPERLINK("https://twitter.com/okta_ngeh","@okta_ngeh")</f>
        <v>@okta_ngeh</v>
      </c>
      <c r="C36952" s="8" t="s">
        <v>14346</v>
      </c>
      <c r="D36952" s="8">
        <v>4</v>
      </c>
      <c r="E36952" s="8">
        <v>0</v>
      </c>
      <c r="F36952" s="8">
        <v>165</v>
      </c>
    </row>
    <row r="36953" spans="1:6" ht="12.75">
      <c r="A36953" s="8">
        <v>43887.875879629632</v>
      </c>
      <c r="B36953" s="8" t="str">
        <f>HYPERLINK("https://twitter.com/bramantareja","@bramantareja")</f>
        <v>@bramantareja</v>
      </c>
      <c r="C36953" s="8" t="s">
        <v>4785</v>
      </c>
      <c r="D36953" s="8">
        <v>278</v>
      </c>
      <c r="E36953" s="8">
        <v>0</v>
      </c>
      <c r="F36953" s="8">
        <v>497</v>
      </c>
    </row>
    <row r="36954" spans="1:6" ht="12.75">
      <c r="A36954" s="8">
        <v>43887.875798611116</v>
      </c>
      <c r="B36954" s="8" t="str">
        <f>HYPERLINK("https://twitter.com/AliObeng","@AliObeng")</f>
        <v>@AliObeng</v>
      </c>
      <c r="C36954" s="8" t="s">
        <v>13884</v>
      </c>
      <c r="D36954" s="8">
        <v>131</v>
      </c>
      <c r="E36954" s="8">
        <v>0</v>
      </c>
      <c r="F36954" s="8">
        <v>3765</v>
      </c>
    </row>
    <row r="36955" spans="1:6" ht="12.75">
      <c r="A36955" s="8">
        <v>43887.875659722224</v>
      </c>
      <c r="B36955" s="8" t="str">
        <f>HYPERLINK("https://twitter.com/GateJannah","@GateJannah")</f>
        <v>@GateJannah</v>
      </c>
      <c r="C36955" s="8" t="s">
        <v>14331</v>
      </c>
      <c r="D36955" s="8">
        <v>1</v>
      </c>
      <c r="E36955" s="8">
        <v>0</v>
      </c>
      <c r="F36955" s="8">
        <v>882</v>
      </c>
    </row>
    <row r="36956" spans="1:6" ht="12.75">
      <c r="A36956" s="8">
        <v>43887.875405092593</v>
      </c>
      <c r="B36956" s="8" t="str">
        <f>HYPERLINK("https://twitter.com/ichigotalks","@ichigotalks")</f>
        <v>@ichigotalks</v>
      </c>
      <c r="C36956" s="8" t="s">
        <v>14361</v>
      </c>
      <c r="D36956" s="8">
        <v>0</v>
      </c>
      <c r="E36956" s="8">
        <v>1</v>
      </c>
      <c r="F36956" s="8">
        <v>15942</v>
      </c>
    </row>
    <row r="36957" spans="1:6" ht="12.75">
      <c r="A36957" s="8">
        <v>43887.87537037037</v>
      </c>
      <c r="B36957" s="8" t="str">
        <f>HYPERLINK("https://twitter.com/dean3th","@dean3th")</f>
        <v>@dean3th</v>
      </c>
      <c r="C36957" s="8" t="s">
        <v>11773</v>
      </c>
      <c r="D36957" s="8">
        <v>161</v>
      </c>
      <c r="E36957" s="8">
        <v>0</v>
      </c>
      <c r="F36957" s="8">
        <v>453</v>
      </c>
    </row>
    <row r="36958" spans="1:6" ht="12.75">
      <c r="A36958" s="8">
        <v>43887.875219907408</v>
      </c>
      <c r="B36958" s="8" t="str">
        <f>HYPERLINK("https://twitter.com/papaslime","@papaslime")</f>
        <v>@papaslime</v>
      </c>
      <c r="C36958" s="8" t="s">
        <v>11773</v>
      </c>
      <c r="D36958" s="8">
        <v>161</v>
      </c>
      <c r="E36958" s="8">
        <v>0</v>
      </c>
      <c r="F36958" s="8">
        <v>111</v>
      </c>
    </row>
    <row r="36959" spans="1:6" ht="12.75">
      <c r="A36959" s="8">
        <v>43887.875185185185</v>
      </c>
      <c r="B36959" s="8" t="str">
        <f>HYPERLINK("https://twitter.com/Widiatis279","@Widiatis279")</f>
        <v>@Widiatis279</v>
      </c>
      <c r="C36959" s="8" t="s">
        <v>13884</v>
      </c>
      <c r="D36959" s="8">
        <v>131</v>
      </c>
      <c r="E36959" s="8">
        <v>0</v>
      </c>
      <c r="F36959" s="8">
        <v>731</v>
      </c>
    </row>
    <row r="36960" spans="1:6" ht="12.75">
      <c r="A36960" s="8">
        <v>43887.875162037039</v>
      </c>
      <c r="B36960" s="8" t="str">
        <f>HYPERLINK("https://twitter.com/MemberOzzy","@MemberOzzy")</f>
        <v>@MemberOzzy</v>
      </c>
      <c r="C36960" s="8" t="s">
        <v>14151</v>
      </c>
      <c r="D36960" s="8">
        <v>11</v>
      </c>
      <c r="E36960" s="8">
        <v>0</v>
      </c>
      <c r="F36960" s="8">
        <v>50</v>
      </c>
    </row>
    <row r="36961" spans="1:6" ht="12.75">
      <c r="A36961" s="8">
        <v>43887.875127314815</v>
      </c>
      <c r="B36961" s="8" t="str">
        <f>HYPERLINK("https://twitter.com/RepublikTweep","@RepublikTweep")</f>
        <v>@RepublikTweep</v>
      </c>
      <c r="C36961" s="8" t="s">
        <v>14362</v>
      </c>
      <c r="D36961" s="8">
        <v>1</v>
      </c>
      <c r="E36961" s="8">
        <v>0</v>
      </c>
      <c r="F36961" s="8">
        <v>27450</v>
      </c>
    </row>
    <row r="36962" spans="1:6" ht="12.75">
      <c r="A36962" s="8">
        <v>43887.874884259261</v>
      </c>
      <c r="B36962" s="8" t="str">
        <f>HYPERLINK("https://twitter.com/MetroTVToday","@MetroTVToday")</f>
        <v>@MetroTVToday</v>
      </c>
      <c r="C36962" s="8" t="s">
        <v>14363</v>
      </c>
      <c r="D36962" s="8">
        <v>0</v>
      </c>
      <c r="E36962" s="8">
        <v>1</v>
      </c>
      <c r="F36962" s="8">
        <v>97690</v>
      </c>
    </row>
    <row r="36963" spans="1:6" ht="12.75">
      <c r="A36963" s="8">
        <v>43887.874884259261</v>
      </c>
      <c r="B36963" s="8" t="str">
        <f>HYPERLINK("https://twitter.com/kemenkopmk","@kemenkopmk")</f>
        <v>@kemenkopmk</v>
      </c>
      <c r="C36963" s="8" t="s">
        <v>14364</v>
      </c>
      <c r="D36963" s="8">
        <v>0</v>
      </c>
      <c r="E36963" s="8">
        <v>2</v>
      </c>
      <c r="F36963" s="8">
        <v>129995</v>
      </c>
    </row>
    <row r="36964" spans="1:6" ht="12.75">
      <c r="A36964" s="8">
        <v>43887.874872685185</v>
      </c>
      <c r="B36964" s="8" t="str">
        <f>HYPERLINK("https://twitter.com/djanuanti","@djanuanti")</f>
        <v>@djanuanti</v>
      </c>
      <c r="C36964" s="8" t="s">
        <v>11773</v>
      </c>
      <c r="D36964" s="8">
        <v>161</v>
      </c>
      <c r="E36964" s="8">
        <v>0</v>
      </c>
      <c r="F36964" s="8">
        <v>471</v>
      </c>
    </row>
    <row r="36965" spans="1:6" ht="12.75">
      <c r="A36965" s="8">
        <v>43887.874837962961</v>
      </c>
      <c r="B36965" s="8" t="str">
        <f>HYPERLINK("https://twitter.com/Suketchiihara","@Suketchiihara")</f>
        <v>@Suketchiihara</v>
      </c>
      <c r="C36965" s="8" t="s">
        <v>14365</v>
      </c>
      <c r="D36965" s="8">
        <v>22</v>
      </c>
      <c r="E36965" s="8">
        <v>0</v>
      </c>
      <c r="F36965" s="8">
        <v>1056</v>
      </c>
    </row>
    <row r="36966" spans="1:6" ht="12.75">
      <c r="A36966" s="8">
        <v>43887.874768518523</v>
      </c>
      <c r="B36966" s="8" t="str">
        <f>HYPERLINK("https://twitter.com/Agussysupriy","@Agussysupriy")</f>
        <v>@Agussysupriy</v>
      </c>
      <c r="C36966" s="8" t="s">
        <v>4785</v>
      </c>
      <c r="D36966" s="8">
        <v>278</v>
      </c>
      <c r="E36966" s="8">
        <v>0</v>
      </c>
      <c r="F36966" s="8">
        <v>141</v>
      </c>
    </row>
    <row r="36967" spans="1:6" ht="12.75">
      <c r="A36967" s="8">
        <v>43887.874768518523</v>
      </c>
      <c r="B36967" s="8" t="str">
        <f>HYPERLINK("https://twitter.com/Metro_TV","@Metro_TV")</f>
        <v>@Metro_TV</v>
      </c>
      <c r="C36967" s="8" t="s">
        <v>14363</v>
      </c>
      <c r="D36967" s="8">
        <v>4</v>
      </c>
      <c r="E36967" s="8">
        <v>2</v>
      </c>
      <c r="F36967" s="8">
        <v>10513718</v>
      </c>
    </row>
    <row r="36968" spans="1:6" ht="12.75">
      <c r="A36968" s="8">
        <v>43887.874571759261</v>
      </c>
      <c r="B36968" s="8" t="str">
        <f>HYPERLINK("https://twitter.com/Melo178n","@Melo178n")</f>
        <v>@Melo178n</v>
      </c>
      <c r="C36968" s="8" t="s">
        <v>8484</v>
      </c>
      <c r="D36968" s="8">
        <v>993</v>
      </c>
      <c r="E36968" s="8">
        <v>0</v>
      </c>
      <c r="F36968" s="8">
        <v>1370</v>
      </c>
    </row>
    <row r="36969" spans="1:6" ht="12.75">
      <c r="A36969" s="8">
        <v>43887.874328703707</v>
      </c>
      <c r="B36969" s="8" t="str">
        <f>HYPERLINK("https://twitter.com/cSharpDictator","@cSharpDictator")</f>
        <v>@cSharpDictator</v>
      </c>
      <c r="C36969" s="8" t="s">
        <v>13365</v>
      </c>
      <c r="D36969" s="8">
        <v>845</v>
      </c>
      <c r="E36969" s="8">
        <v>0</v>
      </c>
      <c r="F36969" s="8">
        <v>150</v>
      </c>
    </row>
    <row r="36970" spans="1:6" ht="12.75">
      <c r="A36970" s="8">
        <v>43887.874282407407</v>
      </c>
      <c r="B36970" s="8" t="str">
        <f>HYPERLINK("https://twitter.com/sukasuka_semua","@sukasuka_semua")</f>
        <v>@sukasuka_semua</v>
      </c>
      <c r="C36970" s="8" t="s">
        <v>12143</v>
      </c>
      <c r="D36970" s="8">
        <v>216</v>
      </c>
      <c r="E36970" s="8">
        <v>0</v>
      </c>
      <c r="F36970" s="8">
        <v>114</v>
      </c>
    </row>
    <row r="36971" spans="1:6" ht="12.75">
      <c r="A36971" s="8">
        <v>43887.874131944445</v>
      </c>
      <c r="B36971" s="8" t="str">
        <f>HYPERLINK("https://twitter.com/bulansridevi","@bulansridevi")</f>
        <v>@bulansridevi</v>
      </c>
      <c r="C36971" s="8" t="s">
        <v>14366</v>
      </c>
      <c r="D36971" s="8">
        <v>0</v>
      </c>
      <c r="E36971" s="8">
        <v>0</v>
      </c>
      <c r="F36971" s="8">
        <v>1165</v>
      </c>
    </row>
    <row r="36972" spans="1:6" ht="12.75">
      <c r="A36972" s="8">
        <v>43887.874085648145</v>
      </c>
      <c r="B36972" s="8" t="str">
        <f>HYPERLINK("https://twitter.com/eddwison","@eddwison")</f>
        <v>@eddwison</v>
      </c>
      <c r="C36972" s="8" t="s">
        <v>2940</v>
      </c>
      <c r="D36972" s="8">
        <v>2660</v>
      </c>
      <c r="E36972" s="8">
        <v>0</v>
      </c>
      <c r="F36972" s="8">
        <v>7</v>
      </c>
    </row>
    <row r="36973" spans="1:6" ht="12.75">
      <c r="A36973" s="8">
        <v>43887.874039351853</v>
      </c>
      <c r="B36973" s="8" t="str">
        <f>HYPERLINK("https://twitter.com/Yusufdwi_m","@Yusufdwi_m")</f>
        <v>@Yusufdwi_m</v>
      </c>
      <c r="C36973" s="8" t="s">
        <v>13633</v>
      </c>
      <c r="D36973" s="8">
        <v>57</v>
      </c>
      <c r="E36973" s="8">
        <v>0</v>
      </c>
      <c r="F36973" s="8">
        <v>644</v>
      </c>
    </row>
    <row r="36974" spans="1:6" ht="12.75">
      <c r="A36974" s="8">
        <v>43887.874016203699</v>
      </c>
      <c r="B36974" s="8" t="str">
        <f>HYPERLINK("https://twitter.com/KBurger79","@KBurger79")</f>
        <v>@KBurger79</v>
      </c>
      <c r="C36974" s="8" t="s">
        <v>11964</v>
      </c>
      <c r="D36974" s="8">
        <v>524</v>
      </c>
      <c r="E36974" s="8">
        <v>0</v>
      </c>
      <c r="F36974" s="8">
        <v>710</v>
      </c>
    </row>
    <row r="36975" spans="1:6" ht="12.75">
      <c r="A36975" s="8">
        <v>43887.873935185184</v>
      </c>
      <c r="B36975" s="8" t="str">
        <f>HYPERLINK("https://twitter.com/tr4velcompass","@tr4velcompass")</f>
        <v>@tr4velcompass</v>
      </c>
      <c r="C36975" s="8" t="s">
        <v>14367</v>
      </c>
      <c r="D36975" s="8">
        <v>0</v>
      </c>
      <c r="E36975" s="8">
        <v>0</v>
      </c>
      <c r="F36975" s="8">
        <v>575</v>
      </c>
    </row>
    <row r="36976" spans="1:6" ht="12.75">
      <c r="A36976" s="8">
        <v>43887.873854166668</v>
      </c>
      <c r="B36976" s="8" t="str">
        <f>HYPERLINK("https://twitter.com/Faath_","@Faath_")</f>
        <v>@Faath_</v>
      </c>
      <c r="C36976" s="8" t="s">
        <v>11597</v>
      </c>
      <c r="D36976" s="8">
        <v>5</v>
      </c>
      <c r="E36976" s="8">
        <v>0</v>
      </c>
      <c r="F36976" s="8">
        <v>212</v>
      </c>
    </row>
    <row r="36977" spans="1:6" ht="12.75">
      <c r="A36977" s="8">
        <v>43887.873807870375</v>
      </c>
      <c r="B36977" s="8" t="str">
        <f>HYPERLINK("https://twitter.com/vonbronbiru","@vonbronbiru")</f>
        <v>@vonbronbiru</v>
      </c>
      <c r="C36977" s="8" t="s">
        <v>14368</v>
      </c>
      <c r="D36977" s="8">
        <v>1</v>
      </c>
      <c r="E36977" s="8">
        <v>0</v>
      </c>
      <c r="F36977" s="8">
        <v>1146</v>
      </c>
    </row>
    <row r="36978" spans="1:6" ht="12.75">
      <c r="A36978" s="8">
        <v>43887.873564814814</v>
      </c>
      <c r="B36978" s="8" t="str">
        <f>HYPERLINK("https://twitter.com/akun_easy","@akun_easy")</f>
        <v>@akun_easy</v>
      </c>
      <c r="C36978" s="8" t="s">
        <v>14369</v>
      </c>
      <c r="D36978" s="8">
        <v>0</v>
      </c>
      <c r="E36978" s="8">
        <v>0</v>
      </c>
      <c r="F36978" s="8">
        <v>2424</v>
      </c>
    </row>
    <row r="36979" spans="1:6" ht="12.75">
      <c r="A36979" s="8">
        <v>43887.873391203699</v>
      </c>
      <c r="B36979" s="8" t="str">
        <f>HYPERLINK("https://twitter.com/rinichan02","@rinichan02")</f>
        <v>@rinichan02</v>
      </c>
      <c r="C36979" s="8" t="s">
        <v>14370</v>
      </c>
      <c r="D36979" s="8">
        <v>1</v>
      </c>
      <c r="E36979" s="8">
        <v>0</v>
      </c>
      <c r="F36979" s="8">
        <v>2847</v>
      </c>
    </row>
    <row r="36980" spans="1:6" ht="12.75">
      <c r="A36980" s="8">
        <v>43887.87327546296</v>
      </c>
      <c r="B36980" s="8" t="str">
        <f>HYPERLINK("https://twitter.com/mfnid","@mfnid")</f>
        <v>@mfnid</v>
      </c>
      <c r="C36980" s="8" t="s">
        <v>13268</v>
      </c>
      <c r="D36980" s="8">
        <v>3</v>
      </c>
      <c r="E36980" s="8">
        <v>0</v>
      </c>
      <c r="F36980" s="8">
        <v>936</v>
      </c>
    </row>
    <row r="36981" spans="1:6" ht="12.75">
      <c r="A36981" s="8">
        <v>43887.872974537036</v>
      </c>
      <c r="B36981" s="8" t="str">
        <f>HYPERLINK("https://twitter.com/desty2_","@desty2_")</f>
        <v>@desty2_</v>
      </c>
      <c r="C36981" s="8" t="s">
        <v>14371</v>
      </c>
      <c r="D36981" s="8">
        <v>0</v>
      </c>
      <c r="E36981" s="8">
        <v>1</v>
      </c>
      <c r="F36981" s="8">
        <v>434</v>
      </c>
    </row>
    <row r="36982" spans="1:6" ht="12.75">
      <c r="A36982" s="8">
        <v>43887.872962962967</v>
      </c>
      <c r="B36982" s="8" t="str">
        <f>HYPERLINK("https://twitter.com/kopikirpikir","@kopikirpikir")</f>
        <v>@kopikirpikir</v>
      </c>
      <c r="C36982" s="8" t="s">
        <v>11773</v>
      </c>
      <c r="D36982" s="8">
        <v>161</v>
      </c>
      <c r="E36982" s="8">
        <v>0</v>
      </c>
      <c r="F36982" s="8">
        <v>1954</v>
      </c>
    </row>
    <row r="36983" spans="1:6" ht="12.75">
      <c r="A36983" s="8">
        <v>43887.872581018513</v>
      </c>
      <c r="B36983" s="8" t="str">
        <f>HYPERLINK("https://twitter.com/sahabat_bangION","@sahabat_bangION")</f>
        <v>@sahabat_bangION</v>
      </c>
      <c r="C36983" s="8" t="s">
        <v>4785</v>
      </c>
      <c r="D36983" s="8">
        <v>278</v>
      </c>
      <c r="E36983" s="8">
        <v>0</v>
      </c>
      <c r="F36983" s="8">
        <v>2235</v>
      </c>
    </row>
    <row r="36984" spans="1:6" ht="12.75">
      <c r="A36984" s="8">
        <v>43887.872557870374</v>
      </c>
      <c r="B36984" s="8" t="str">
        <f>HYPERLINK("https://twitter.com/ZenithLova7","@ZenithLova7")</f>
        <v>@ZenithLova7</v>
      </c>
      <c r="C36984" s="8" t="s">
        <v>593</v>
      </c>
      <c r="D36984" s="8">
        <v>266</v>
      </c>
      <c r="E36984" s="8">
        <v>0</v>
      </c>
      <c r="F36984" s="8">
        <v>1050</v>
      </c>
    </row>
    <row r="36985" spans="1:6" ht="12.75">
      <c r="A36985" s="8">
        <v>43887.872141203705</v>
      </c>
      <c r="B36985" s="8" t="str">
        <f>HYPERLINK("https://twitter.com/i_ma_rk_u","@i_ma_rk_u")</f>
        <v>@i_ma_rk_u</v>
      </c>
      <c r="C36985" s="8" t="s">
        <v>14003</v>
      </c>
      <c r="D36985" s="8">
        <v>11</v>
      </c>
      <c r="E36985" s="8">
        <v>0</v>
      </c>
      <c r="F36985" s="8">
        <v>45</v>
      </c>
    </row>
    <row r="36986" spans="1:6" ht="12.75">
      <c r="A36986" s="8">
        <v>43887.871944444443</v>
      </c>
      <c r="B36986" s="8" t="str">
        <f>HYPERLINK("https://twitter.com/McFatimah","@McFatimah")</f>
        <v>@McFatimah</v>
      </c>
      <c r="C36986" s="8" t="s">
        <v>11773</v>
      </c>
      <c r="D36986" s="8">
        <v>161</v>
      </c>
      <c r="E36986" s="8">
        <v>0</v>
      </c>
      <c r="F36986" s="8">
        <v>1386</v>
      </c>
    </row>
    <row r="36987" spans="1:6" ht="12.75">
      <c r="A36987" s="8">
        <v>43887.871921296297</v>
      </c>
      <c r="B36987" s="8" t="str">
        <f>HYPERLINK("https://twitter.com/rizka_wahyuni","@rizka_wahyuni")</f>
        <v>@rizka_wahyuni</v>
      </c>
      <c r="C36987" s="8" t="s">
        <v>13633</v>
      </c>
      <c r="D36987" s="8">
        <v>57</v>
      </c>
      <c r="E36987" s="8">
        <v>0</v>
      </c>
      <c r="F36987" s="8">
        <v>15</v>
      </c>
    </row>
    <row r="36988" spans="1:6" ht="12.75">
      <c r="A36988" s="8">
        <v>43887.871817129635</v>
      </c>
      <c r="B36988" s="8" t="str">
        <f>HYPERLINK("https://twitter.com/MijnheerDoli","@MijnheerDoli")</f>
        <v>@MijnheerDoli</v>
      </c>
      <c r="C36988" s="8" t="s">
        <v>13965</v>
      </c>
      <c r="D36988" s="8">
        <v>3</v>
      </c>
      <c r="E36988" s="8">
        <v>0</v>
      </c>
      <c r="F36988" s="8">
        <v>1037</v>
      </c>
    </row>
    <row r="36989" spans="1:6" ht="12.75">
      <c r="A36989" s="8">
        <v>43887.871689814812</v>
      </c>
      <c r="B36989" s="8" t="str">
        <f>HYPERLINK("https://twitter.com/mericamica","@mericamica")</f>
        <v>@mericamica</v>
      </c>
      <c r="C36989" s="8" t="s">
        <v>14372</v>
      </c>
      <c r="D36989" s="8">
        <v>0</v>
      </c>
      <c r="E36989" s="8">
        <v>0</v>
      </c>
      <c r="F36989" s="8">
        <v>259</v>
      </c>
    </row>
    <row r="36990" spans="1:6" ht="12.75">
      <c r="A36990" s="8">
        <v>43887.871655092589</v>
      </c>
      <c r="B36990" s="8" t="str">
        <f>HYPERLINK("https://twitter.com/didi_armayanto","@didi_armayanto")</f>
        <v>@didi_armayanto</v>
      </c>
      <c r="C36990" s="8" t="s">
        <v>14373</v>
      </c>
      <c r="D36990" s="8">
        <v>0</v>
      </c>
      <c r="E36990" s="8">
        <v>0</v>
      </c>
      <c r="F36990" s="8">
        <v>4726</v>
      </c>
    </row>
    <row r="36991" spans="1:6" ht="12.75">
      <c r="A36991" s="8">
        <v>43887.871400462958</v>
      </c>
      <c r="B36991" s="8" t="str">
        <f>HYPERLINK("https://twitter.com/eddy_AS_111","@eddy_AS_111")</f>
        <v>@eddy_AS_111</v>
      </c>
      <c r="C36991" s="8" t="s">
        <v>11773</v>
      </c>
      <c r="D36991" s="8">
        <v>161</v>
      </c>
      <c r="E36991" s="8">
        <v>0</v>
      </c>
      <c r="F36991" s="8">
        <v>206</v>
      </c>
    </row>
    <row r="36992" spans="1:6" ht="12.75">
      <c r="A36992" s="8">
        <v>43887.87118055555</v>
      </c>
      <c r="B36992" s="8" t="str">
        <f>HYPERLINK("https://twitter.com/oktori89SEMM","@oktori89SEMM")</f>
        <v>@oktori89SEMM</v>
      </c>
      <c r="C36992" s="8" t="s">
        <v>4785</v>
      </c>
      <c r="D36992" s="8">
        <v>278</v>
      </c>
      <c r="E36992" s="8">
        <v>0</v>
      </c>
      <c r="F36992" s="8">
        <v>1825</v>
      </c>
    </row>
    <row r="36993" spans="1:6" ht="12.75">
      <c r="A36993" s="8">
        <v>43887.871030092589</v>
      </c>
      <c r="B36993" s="8" t="str">
        <f>HYPERLINK("https://twitter.com/DavidDarmawan14","@DavidDarmawan14")</f>
        <v>@DavidDarmawan14</v>
      </c>
      <c r="C36993" s="8" t="s">
        <v>14374</v>
      </c>
      <c r="D36993" s="8">
        <v>0</v>
      </c>
      <c r="E36993" s="8">
        <v>1</v>
      </c>
      <c r="F36993" s="8">
        <v>218</v>
      </c>
    </row>
    <row r="36994" spans="1:6" ht="12.75">
      <c r="A36994" s="8">
        <v>43887.870972222227</v>
      </c>
      <c r="B36994" s="8" t="str">
        <f>HYPERLINK("https://twitter.com/ilman__nafian","@ilman__nafian")</f>
        <v>@ilman__nafian</v>
      </c>
      <c r="C36994" s="8" t="s">
        <v>14375</v>
      </c>
      <c r="D36994" s="8">
        <v>0</v>
      </c>
      <c r="E36994" s="8">
        <v>0</v>
      </c>
      <c r="F36994" s="8">
        <v>2325</v>
      </c>
    </row>
    <row r="36995" spans="1:6" ht="12.75">
      <c r="A36995" s="8">
        <v>43887.87091435185</v>
      </c>
      <c r="B36995" s="8" t="str">
        <f>HYPERLINK("https://twitter.com/mnike_go","@mnike_go")</f>
        <v>@mnike_go</v>
      </c>
      <c r="C36995" s="8" t="s">
        <v>14376</v>
      </c>
      <c r="D36995" s="8">
        <v>0</v>
      </c>
      <c r="E36995" s="8">
        <v>0</v>
      </c>
      <c r="F36995" s="8">
        <v>1590</v>
      </c>
    </row>
    <row r="36996" spans="1:6" ht="12.75">
      <c r="A36996" s="8">
        <v>43887.870694444442</v>
      </c>
      <c r="B36996" s="8" t="str">
        <f>HYPERLINK("https://twitter.com/Gulai_puyu","@Gulai_puyu")</f>
        <v>@Gulai_puyu</v>
      </c>
      <c r="C36996" s="8" t="s">
        <v>11773</v>
      </c>
      <c r="D36996" s="8">
        <v>161</v>
      </c>
      <c r="E36996" s="8">
        <v>0</v>
      </c>
      <c r="F36996" s="8">
        <v>456</v>
      </c>
    </row>
    <row r="36997" spans="1:6" ht="12.75">
      <c r="A36997" s="8">
        <v>43887.870648148149</v>
      </c>
      <c r="B36997" s="8" t="str">
        <f>HYPERLINK("https://twitter.com/V_Stone_Kardol","@V_Stone_Kardol")</f>
        <v>@V_Stone_Kardol</v>
      </c>
      <c r="C36997" s="8" t="s">
        <v>14377</v>
      </c>
      <c r="D36997" s="8">
        <v>3</v>
      </c>
      <c r="E36997" s="8">
        <v>0</v>
      </c>
      <c r="F36997" s="8">
        <v>8093</v>
      </c>
    </row>
    <row r="36998" spans="1:6" ht="12.75">
      <c r="A36998" s="8">
        <v>43887.870150462964</v>
      </c>
      <c r="B36998" s="8" t="str">
        <f>HYPERLINK("https://twitter.com/KBSbatak","@KBSbatak")</f>
        <v>@KBSbatak</v>
      </c>
      <c r="C36998" s="8" t="s">
        <v>14378</v>
      </c>
      <c r="D36998" s="8">
        <v>0</v>
      </c>
      <c r="E36998" s="8">
        <v>0</v>
      </c>
      <c r="F36998" s="8">
        <v>73</v>
      </c>
    </row>
    <row r="36999" spans="1:6" ht="12.75">
      <c r="A36999" s="8">
        <v>43887.870081018518</v>
      </c>
      <c r="B36999" s="8" t="str">
        <f>HYPERLINK("https://twitter.com/King_Noe","@King_Noe")</f>
        <v>@King_Noe</v>
      </c>
      <c r="C36999" s="8" t="s">
        <v>14379</v>
      </c>
      <c r="D36999" s="8">
        <v>0</v>
      </c>
      <c r="E36999" s="8">
        <v>0</v>
      </c>
      <c r="F36999" s="8">
        <v>269</v>
      </c>
    </row>
    <row r="37000" spans="1:6" ht="12.75">
      <c r="A37000" s="8">
        <v>43887.870011574079</v>
      </c>
      <c r="B37000" s="8" t="str">
        <f t="shared" ref="B37000:B37001" si="545">HYPERLINK("https://twitter.com/bwv10311","@bwv10311")</f>
        <v>@bwv10311</v>
      </c>
      <c r="C37000" s="8" t="s">
        <v>14106</v>
      </c>
      <c r="D37000" s="8">
        <v>159</v>
      </c>
      <c r="E37000" s="8">
        <v>0</v>
      </c>
      <c r="F37000" s="8">
        <v>739</v>
      </c>
    </row>
    <row r="37001" spans="1:6" ht="12.75">
      <c r="A37001" s="8">
        <v>43887.869930555556</v>
      </c>
      <c r="B37001" s="8" t="str">
        <f t="shared" si="545"/>
        <v>@bwv10311</v>
      </c>
      <c r="C37001" s="8" t="s">
        <v>13834</v>
      </c>
      <c r="D37001" s="8">
        <v>173</v>
      </c>
      <c r="E37001" s="8">
        <v>0</v>
      </c>
      <c r="F37001" s="8">
        <v>739</v>
      </c>
    </row>
    <row r="37002" spans="1:6" ht="12.75">
      <c r="A37002" s="8">
        <v>43887.869849537034</v>
      </c>
      <c r="B37002" s="8" t="str">
        <f>HYPERLINK("https://twitter.com/frans_munthe29","@frans_munthe29")</f>
        <v>@frans_munthe29</v>
      </c>
      <c r="C37002" s="8" t="s">
        <v>11773</v>
      </c>
      <c r="D37002" s="8">
        <v>161</v>
      </c>
      <c r="E37002" s="8">
        <v>0</v>
      </c>
      <c r="F37002" s="8">
        <v>1475</v>
      </c>
    </row>
    <row r="37003" spans="1:6" ht="12.75">
      <c r="A37003" s="8">
        <v>43887.869791666672</v>
      </c>
      <c r="B37003" s="8" t="str">
        <f>HYPERLINK("https://twitter.com/V_Stone_Kardol","@V_Stone_Kardol")</f>
        <v>@V_Stone_Kardol</v>
      </c>
      <c r="C37003" s="8" t="s">
        <v>14380</v>
      </c>
      <c r="D37003" s="8">
        <v>1</v>
      </c>
      <c r="E37003" s="8">
        <v>0</v>
      </c>
      <c r="F37003" s="8">
        <v>8093</v>
      </c>
    </row>
    <row r="37004" spans="1:6" ht="12.75">
      <c r="A37004" s="8">
        <v>43887.869745370372</v>
      </c>
      <c r="B37004" s="8" t="str">
        <f>HYPERLINK("https://twitter.com/aweeepcy16","@aweeepcy16")</f>
        <v>@aweeepcy16</v>
      </c>
      <c r="C37004" s="8" t="s">
        <v>14106</v>
      </c>
      <c r="D37004" s="8">
        <v>159</v>
      </c>
      <c r="E37004" s="8">
        <v>0</v>
      </c>
      <c r="F37004" s="8">
        <v>131</v>
      </c>
    </row>
    <row r="37005" spans="1:6" ht="12.75">
      <c r="A37005" s="8">
        <v>43887.869629629626</v>
      </c>
      <c r="B37005" s="8" t="str">
        <f>HYPERLINK("https://twitter.com/diii_da","@diii_da")</f>
        <v>@diii_da</v>
      </c>
      <c r="C37005" s="8" t="s">
        <v>12143</v>
      </c>
      <c r="D37005" s="8">
        <v>216</v>
      </c>
      <c r="E37005" s="8">
        <v>0</v>
      </c>
      <c r="F37005" s="8">
        <v>284</v>
      </c>
    </row>
    <row r="37006" spans="1:6" ht="12.75">
      <c r="A37006" s="8">
        <v>43887.869606481487</v>
      </c>
      <c r="B37006" s="8" t="str">
        <f>HYPERLINK("https://twitter.com/jonpulangsekola","@jonpulangsekola")</f>
        <v>@jonpulangsekola</v>
      </c>
      <c r="C37006" s="8" t="s">
        <v>4785</v>
      </c>
      <c r="D37006" s="8">
        <v>278</v>
      </c>
      <c r="E37006" s="8">
        <v>0</v>
      </c>
      <c r="F37006" s="8">
        <v>54</v>
      </c>
    </row>
    <row r="37007" spans="1:6" ht="12.75">
      <c r="A37007" s="8">
        <v>43887.869571759264</v>
      </c>
      <c r="B37007" s="8" t="str">
        <f>HYPERLINK("https://twitter.com/bwv10311","@bwv10311")</f>
        <v>@bwv10311</v>
      </c>
      <c r="C37007" s="8" t="s">
        <v>8484</v>
      </c>
      <c r="D37007" s="8">
        <v>993</v>
      </c>
      <c r="E37007" s="8">
        <v>0</v>
      </c>
      <c r="F37007" s="8">
        <v>739</v>
      </c>
    </row>
    <row r="37008" spans="1:6" ht="12.75">
      <c r="A37008" s="8">
        <v>43887.869120370371</v>
      </c>
      <c r="B37008" s="8" t="str">
        <f>HYPERLINK("https://twitter.com/purnomo_jati1","@purnomo_jati1")</f>
        <v>@purnomo_jati1</v>
      </c>
      <c r="C37008" s="8" t="s">
        <v>11773</v>
      </c>
      <c r="D37008" s="8">
        <v>161</v>
      </c>
      <c r="E37008" s="8">
        <v>0</v>
      </c>
      <c r="F37008" s="8">
        <v>334</v>
      </c>
    </row>
    <row r="37009" spans="1:6" ht="12.75">
      <c r="A37009" s="8">
        <v>43887.868576388893</v>
      </c>
      <c r="B37009" s="8" t="str">
        <f>HYPERLINK("https://twitter.com/aweeepcy16","@aweeepcy16")</f>
        <v>@aweeepcy16</v>
      </c>
      <c r="C37009" s="8" t="s">
        <v>8484</v>
      </c>
      <c r="D37009" s="8">
        <v>993</v>
      </c>
      <c r="E37009" s="8">
        <v>0</v>
      </c>
      <c r="F37009" s="8">
        <v>131</v>
      </c>
    </row>
    <row r="37010" spans="1:6" ht="12.75">
      <c r="A37010" s="8">
        <v>43887.868414351848</v>
      </c>
      <c r="B37010" s="8" t="str">
        <f>HYPERLINK("https://twitter.com/kumarinos23","@kumarinos23")</f>
        <v>@kumarinos23</v>
      </c>
      <c r="C37010" s="8" t="s">
        <v>8484</v>
      </c>
      <c r="D37010" s="8">
        <v>993</v>
      </c>
      <c r="E37010" s="8">
        <v>0</v>
      </c>
      <c r="F37010" s="8">
        <v>102</v>
      </c>
    </row>
    <row r="37011" spans="1:6" ht="12.75">
      <c r="A37011" s="8">
        <v>43887.868356481486</v>
      </c>
      <c r="B37011" s="8" t="str">
        <f>HYPERLINK("https://twitter.com/kumaron123","@kumaron123")</f>
        <v>@kumaron123</v>
      </c>
      <c r="C37011" s="8" t="s">
        <v>8484</v>
      </c>
      <c r="D37011" s="8">
        <v>993</v>
      </c>
      <c r="E37011" s="8">
        <v>0</v>
      </c>
      <c r="F37011" s="8">
        <v>302</v>
      </c>
    </row>
    <row r="37012" spans="1:6" ht="12.75">
      <c r="A37012" s="8">
        <v>43887.868310185186</v>
      </c>
      <c r="B37012" s="8" t="str">
        <f>HYPERLINK("https://twitter.com/Markombur1","@Markombur1")</f>
        <v>@Markombur1</v>
      </c>
      <c r="C37012" s="8" t="s">
        <v>14377</v>
      </c>
      <c r="D37012" s="8">
        <v>3</v>
      </c>
      <c r="E37012" s="8">
        <v>0</v>
      </c>
      <c r="F37012" s="8">
        <v>34</v>
      </c>
    </row>
    <row r="37013" spans="1:6" ht="12.75">
      <c r="A37013" s="8">
        <v>43887.868078703701</v>
      </c>
      <c r="B37013" s="8" t="str">
        <f>HYPERLINK("https://twitter.com/torelwisnu","@torelwisnu")</f>
        <v>@torelwisnu</v>
      </c>
      <c r="C37013" s="8" t="s">
        <v>11773</v>
      </c>
      <c r="D37013" s="8">
        <v>161</v>
      </c>
      <c r="E37013" s="8">
        <v>0</v>
      </c>
      <c r="F37013" s="8">
        <v>1282</v>
      </c>
    </row>
    <row r="37014" spans="1:6" ht="12.75">
      <c r="A37014" s="8">
        <v>43887.840173611112</v>
      </c>
      <c r="B37014" s="8" t="str">
        <f>HYPERLINK("https://twitter.com/lovinghangyul","@lovinghangyul")</f>
        <v>@lovinghangyul</v>
      </c>
      <c r="C37014" s="8" t="s">
        <v>14381</v>
      </c>
      <c r="D37014" s="8">
        <v>0</v>
      </c>
      <c r="E37014" s="8">
        <v>0</v>
      </c>
      <c r="F37014" s="8">
        <v>1085</v>
      </c>
    </row>
    <row r="37015" spans="1:6" ht="12.75">
      <c r="A37015" s="8">
        <v>43887.840046296296</v>
      </c>
      <c r="B37015" s="8" t="str">
        <f>HYPERLINK("https://twitter.com/evandwizra","@evandwizra")</f>
        <v>@evandwizra</v>
      </c>
      <c r="C37015" s="8" t="s">
        <v>13633</v>
      </c>
      <c r="D37015" s="8">
        <v>37</v>
      </c>
      <c r="E37015" s="8">
        <v>0</v>
      </c>
      <c r="F37015" s="8">
        <v>990</v>
      </c>
    </row>
    <row r="37016" spans="1:6" ht="12.75">
      <c r="A37016" s="8">
        <v>43887.839965277773</v>
      </c>
      <c r="B37016" s="8" t="str">
        <f>HYPERLINK("https://twitter.com/KompasTV","@KompasTV")</f>
        <v>@KompasTV</v>
      </c>
      <c r="C37016" s="8" t="s">
        <v>14382</v>
      </c>
      <c r="D37016" s="8">
        <v>0</v>
      </c>
      <c r="E37016" s="8">
        <v>0</v>
      </c>
      <c r="F37016" s="8">
        <v>2949480</v>
      </c>
    </row>
    <row r="37017" spans="1:6" ht="12.75">
      <c r="A37017" s="8">
        <v>43887.839745370366</v>
      </c>
      <c r="B37017" s="8" t="str">
        <f>HYPERLINK("https://twitter.com/7endralKad_run","@7endralKad_run")</f>
        <v>@7endralKad_run</v>
      </c>
      <c r="C37017" s="8" t="s">
        <v>14383</v>
      </c>
      <c r="D37017" s="8">
        <v>1</v>
      </c>
      <c r="E37017" s="8">
        <v>0</v>
      </c>
      <c r="F37017" s="8">
        <v>672</v>
      </c>
    </row>
    <row r="37018" spans="1:6" ht="12.75">
      <c r="A37018" s="8">
        <v>43887.839606481481</v>
      </c>
      <c r="B37018" s="8" t="str">
        <f>HYPERLINK("https://twitter.com/Lampoengaroma","@Lampoengaroma")</f>
        <v>@Lampoengaroma</v>
      </c>
      <c r="C37018" s="8" t="s">
        <v>12143</v>
      </c>
      <c r="D37018" s="8">
        <v>204</v>
      </c>
      <c r="E37018" s="8">
        <v>0</v>
      </c>
      <c r="F37018" s="8">
        <v>93</v>
      </c>
    </row>
    <row r="37019" spans="1:6" ht="12.75">
      <c r="A37019" s="8">
        <v>43887.839432870373</v>
      </c>
      <c r="B37019" s="8" t="str">
        <f>HYPERLINK("https://twitter.com/7endralKad_run","@7endralKad_run")</f>
        <v>@7endralKad_run</v>
      </c>
      <c r="C37019" s="8" t="s">
        <v>14384</v>
      </c>
      <c r="D37019" s="8">
        <v>1</v>
      </c>
      <c r="E37019" s="8">
        <v>1</v>
      </c>
      <c r="F37019" s="8">
        <v>672</v>
      </c>
    </row>
    <row r="37020" spans="1:6" ht="12.75">
      <c r="A37020" s="8">
        <v>43887.839189814811</v>
      </c>
      <c r="B37020" s="8" t="str">
        <f>HYPERLINK("https://twitter.com/enzovaldi","@enzovaldi")</f>
        <v>@enzovaldi</v>
      </c>
      <c r="C37020" s="8" t="s">
        <v>14385</v>
      </c>
      <c r="D37020" s="8">
        <v>0</v>
      </c>
      <c r="E37020" s="8">
        <v>0</v>
      </c>
      <c r="F37020" s="8">
        <v>47</v>
      </c>
    </row>
    <row r="37021" spans="1:6" ht="12.75">
      <c r="A37021" s="8">
        <v>43887.839155092588</v>
      </c>
      <c r="B37021" s="8" t="str">
        <f>HYPERLINK("https://twitter.com/Paltiwest","@Paltiwest")</f>
        <v>@Paltiwest</v>
      </c>
      <c r="C37021" s="8" t="s">
        <v>4785</v>
      </c>
      <c r="D37021" s="8">
        <v>245</v>
      </c>
      <c r="E37021" s="8">
        <v>0</v>
      </c>
      <c r="F37021" s="8">
        <v>10677</v>
      </c>
    </row>
    <row r="37022" spans="1:6" ht="12.75">
      <c r="A37022" s="8">
        <v>43887.838831018518</v>
      </c>
      <c r="B37022" s="8" t="str">
        <f>HYPERLINK("https://twitter.com/carolina_new168","@carolina_new168")</f>
        <v>@carolina_new168</v>
      </c>
      <c r="C37022" s="8" t="s">
        <v>4785</v>
      </c>
      <c r="D37022" s="8">
        <v>245</v>
      </c>
      <c r="E37022" s="8">
        <v>0</v>
      </c>
      <c r="F37022" s="8">
        <v>93</v>
      </c>
    </row>
    <row r="37023" spans="1:6" ht="12.75">
      <c r="A37023" s="8">
        <v>43887.838229166664</v>
      </c>
      <c r="B37023" s="8" t="str">
        <f>HYPERLINK("https://twitter.com/MembangunD","@MembangunD")</f>
        <v>@MembangunD</v>
      </c>
      <c r="C37023" s="8" t="s">
        <v>4785</v>
      </c>
      <c r="D37023" s="8">
        <v>245</v>
      </c>
      <c r="E37023" s="8">
        <v>0</v>
      </c>
      <c r="F37023" s="8">
        <v>308</v>
      </c>
    </row>
    <row r="37024" spans="1:6" ht="12.75">
      <c r="A37024" s="8">
        <v>43887.838229166664</v>
      </c>
      <c r="B37024" s="8" t="str">
        <f>HYPERLINK("https://twitter.com/satirune","@satirune")</f>
        <v>@satirune</v>
      </c>
      <c r="C37024" s="8" t="s">
        <v>2940</v>
      </c>
      <c r="D37024" s="8">
        <v>2656</v>
      </c>
      <c r="E37024" s="8">
        <v>0</v>
      </c>
      <c r="F37024" s="8">
        <v>98</v>
      </c>
    </row>
    <row r="37025" spans="1:6" ht="12.75">
      <c r="A37025" s="8">
        <v>43887.837881944448</v>
      </c>
      <c r="B37025" s="8" t="str">
        <f>HYPERLINK("https://twitter.com/ABaz_KAra","@ABaz_KAra")</f>
        <v>@ABaz_KAra</v>
      </c>
      <c r="C37025" s="8" t="s">
        <v>12143</v>
      </c>
      <c r="D37025" s="8">
        <v>204</v>
      </c>
      <c r="E37025" s="8">
        <v>0</v>
      </c>
      <c r="F37025" s="8">
        <v>427</v>
      </c>
    </row>
    <row r="37026" spans="1:6" ht="12.75">
      <c r="A37026" s="8">
        <v>43887.837824074071</v>
      </c>
      <c r="B37026" s="8" t="str">
        <f>HYPERLINK("https://twitter.com/atripathi5193","@atripathi5193")</f>
        <v>@atripathi5193</v>
      </c>
      <c r="C37026" s="8" t="s">
        <v>14386</v>
      </c>
      <c r="D37026" s="8">
        <v>0</v>
      </c>
      <c r="E37026" s="8">
        <v>0</v>
      </c>
      <c r="F37026" s="8">
        <v>253</v>
      </c>
    </row>
    <row r="37027" spans="1:6" ht="12.75">
      <c r="A37027" s="8">
        <v>43887.83756944444</v>
      </c>
      <c r="B37027" s="8" t="str">
        <f>HYPERLINK("https://twitter.com/achokill","@achokill")</f>
        <v>@achokill</v>
      </c>
      <c r="C37027" s="8" t="s">
        <v>14387</v>
      </c>
      <c r="D37027" s="8">
        <v>0</v>
      </c>
      <c r="E37027" s="8">
        <v>0</v>
      </c>
      <c r="F37027" s="8">
        <v>552</v>
      </c>
    </row>
    <row r="37028" spans="1:6" ht="12.75">
      <c r="A37028" s="8">
        <v>43887.837476851855</v>
      </c>
      <c r="B37028" s="8" t="str">
        <f>HYPERLINK("https://twitter.com/TolisArif","@TolisArif")</f>
        <v>@TolisArif</v>
      </c>
      <c r="C37028" s="8" t="s">
        <v>13365</v>
      </c>
      <c r="D37028" s="8">
        <v>840</v>
      </c>
      <c r="E37028" s="8">
        <v>0</v>
      </c>
      <c r="F37028" s="8">
        <v>22</v>
      </c>
    </row>
    <row r="37029" spans="1:6" ht="12.75">
      <c r="A37029" s="8">
        <v>43887.837256944447</v>
      </c>
      <c r="B37029" s="8" t="str">
        <f>HYPERLINK("https://twitter.com/ismailahadi_","@ismailahadi_")</f>
        <v>@ismailahadi_</v>
      </c>
      <c r="C37029" s="8" t="s">
        <v>12412</v>
      </c>
      <c r="D37029" s="8">
        <v>0</v>
      </c>
      <c r="E37029" s="8">
        <v>0</v>
      </c>
      <c r="F37029" s="8">
        <v>354</v>
      </c>
    </row>
    <row r="37030" spans="1:6" ht="12.75">
      <c r="A37030" s="8">
        <v>43887.837199074071</v>
      </c>
      <c r="B37030" s="8" t="str">
        <f>HYPERLINK("https://twitter.com/joh_puguh","@joh_puguh")</f>
        <v>@joh_puguh</v>
      </c>
      <c r="C37030" s="8" t="s">
        <v>14388</v>
      </c>
      <c r="D37030" s="8">
        <v>0</v>
      </c>
      <c r="E37030" s="8">
        <v>0</v>
      </c>
      <c r="F37030" s="8">
        <v>351</v>
      </c>
    </row>
    <row r="37031" spans="1:6" ht="12.75">
      <c r="A37031" s="8">
        <v>43887.837048611109</v>
      </c>
      <c r="B37031" s="8" t="str">
        <f>HYPERLINK("https://twitter.com/Ervan_jtm","@Ervan_jtm")</f>
        <v>@Ervan_jtm</v>
      </c>
      <c r="C37031" s="8" t="s">
        <v>11773</v>
      </c>
      <c r="D37031" s="8">
        <v>126</v>
      </c>
      <c r="E37031" s="8">
        <v>0</v>
      </c>
      <c r="F37031" s="8">
        <v>161</v>
      </c>
    </row>
    <row r="37032" spans="1:6" ht="12.75">
      <c r="A37032" s="8">
        <v>43887.83693287037</v>
      </c>
      <c r="B37032" s="8" t="str">
        <f>HYPERLINK("https://twitter.com/nisaulfh","@nisaulfh")</f>
        <v>@nisaulfh</v>
      </c>
      <c r="C37032" s="8" t="s">
        <v>2940</v>
      </c>
      <c r="D37032" s="8">
        <v>2656</v>
      </c>
      <c r="E37032" s="8">
        <v>0</v>
      </c>
      <c r="F37032" s="8">
        <v>324</v>
      </c>
    </row>
    <row r="37033" spans="1:6" ht="12.75">
      <c r="A37033" s="8">
        <v>43887.836782407408</v>
      </c>
      <c r="B37033" s="8" t="str">
        <f>HYPERLINK("https://twitter.com/setoadin","@setoadin")</f>
        <v>@setoadin</v>
      </c>
      <c r="C37033" s="8" t="s">
        <v>14292</v>
      </c>
      <c r="D37033" s="8">
        <v>20</v>
      </c>
      <c r="E37033" s="8">
        <v>0</v>
      </c>
      <c r="F37033" s="8">
        <v>404</v>
      </c>
    </row>
    <row r="37034" spans="1:6" ht="12.75">
      <c r="A37034" s="8">
        <v>43887.836770833332</v>
      </c>
      <c r="B37034" s="8" t="str">
        <f>HYPERLINK("https://twitter.com/AlberaD5","@AlberaD5")</f>
        <v>@AlberaD5</v>
      </c>
      <c r="C37034" s="8" t="s">
        <v>14389</v>
      </c>
      <c r="D37034" s="8">
        <v>5</v>
      </c>
      <c r="E37034" s="8">
        <v>0</v>
      </c>
      <c r="F37034" s="8">
        <v>1749</v>
      </c>
    </row>
    <row r="37035" spans="1:6" ht="12.75">
      <c r="A37035" s="8">
        <v>43887.836712962962</v>
      </c>
      <c r="B37035" s="8" t="str">
        <f>HYPERLINK("https://twitter.com/ISIS_Balik_NO","@ISIS_Balik_NO")</f>
        <v>@ISIS_Balik_NO</v>
      </c>
      <c r="C37035" s="8" t="s">
        <v>14390</v>
      </c>
      <c r="D37035" s="8">
        <v>0</v>
      </c>
      <c r="E37035" s="8">
        <v>1</v>
      </c>
      <c r="F37035" s="8">
        <v>6093</v>
      </c>
    </row>
    <row r="37036" spans="1:6" ht="12.75">
      <c r="A37036" s="8">
        <v>43887.836504629631</v>
      </c>
      <c r="B37036" s="8" t="str">
        <f>HYPERLINK("https://twitter.com/_nice69_","@_nice69_")</f>
        <v>@_nice69_</v>
      </c>
      <c r="C37036" s="8" t="s">
        <v>14391</v>
      </c>
      <c r="D37036" s="8">
        <v>0</v>
      </c>
      <c r="E37036" s="8">
        <v>0</v>
      </c>
      <c r="F37036" s="8">
        <v>79</v>
      </c>
    </row>
    <row r="37037" spans="1:6" ht="12.75">
      <c r="A37037" s="8">
        <v>43887.83630787037</v>
      </c>
      <c r="B37037" s="8" t="str">
        <f>HYPERLINK("https://twitter.com/ISIS_Balik_NO","@ISIS_Balik_NO")</f>
        <v>@ISIS_Balik_NO</v>
      </c>
      <c r="C37037" s="8" t="s">
        <v>14392</v>
      </c>
      <c r="D37037" s="8">
        <v>0</v>
      </c>
      <c r="E37037" s="8">
        <v>0</v>
      </c>
      <c r="F37037" s="8">
        <v>6093</v>
      </c>
    </row>
    <row r="37038" spans="1:6" ht="12.75">
      <c r="A37038" s="8">
        <v>43887.835590277777</v>
      </c>
      <c r="B37038" s="8" t="str">
        <f>HYPERLINK("https://twitter.com/m_fikris","@m_fikris")</f>
        <v>@m_fikris</v>
      </c>
      <c r="C37038" s="8" t="s">
        <v>13965</v>
      </c>
      <c r="D37038" s="8">
        <v>1</v>
      </c>
      <c r="E37038" s="8">
        <v>0</v>
      </c>
      <c r="F37038" s="8">
        <v>79</v>
      </c>
    </row>
    <row r="37039" spans="1:6" ht="12.75">
      <c r="A37039" s="8">
        <v>43887.835335648153</v>
      </c>
      <c r="B37039" s="8" t="str">
        <f>HYPERLINK("https://twitter.com/LamsiAmt","@LamsiAmt")</f>
        <v>@LamsiAmt</v>
      </c>
      <c r="C37039" s="8" t="s">
        <v>14393</v>
      </c>
      <c r="D37039" s="8">
        <v>0</v>
      </c>
      <c r="E37039" s="8">
        <v>1</v>
      </c>
      <c r="F37039" s="8">
        <v>522</v>
      </c>
    </row>
    <row r="37040" spans="1:6" ht="12.75">
      <c r="A37040" s="8">
        <v>43887.835092592592</v>
      </c>
      <c r="B37040" s="8" t="str">
        <f>HYPERLINK("https://twitter.com/BusranMekar","@BusranMekar")</f>
        <v>@BusranMekar</v>
      </c>
      <c r="C37040" s="8" t="s">
        <v>14394</v>
      </c>
      <c r="D37040" s="8">
        <v>0</v>
      </c>
      <c r="E37040" s="8">
        <v>0</v>
      </c>
      <c r="F37040" s="8">
        <v>2223</v>
      </c>
    </row>
    <row r="37041" spans="1:6" ht="12.75">
      <c r="A37041" s="8">
        <v>43887.835057870368</v>
      </c>
      <c r="B37041" s="8" t="str">
        <f>HYPERLINK("https://twitter.com/SinghTvitter","@SinghTvitter")</f>
        <v>@SinghTvitter</v>
      </c>
      <c r="C37041" s="8" t="s">
        <v>14395</v>
      </c>
      <c r="D37041" s="8">
        <v>0</v>
      </c>
      <c r="E37041" s="8">
        <v>2</v>
      </c>
      <c r="F37041" s="8">
        <v>1178</v>
      </c>
    </row>
    <row r="37042" spans="1:6" ht="12.75">
      <c r="A37042" s="8">
        <v>43887.834999999999</v>
      </c>
      <c r="B37042" s="8" t="str">
        <f>HYPERLINK("https://twitter.com/mamakkguanlin23","@mamakkguanlin23")</f>
        <v>@mamakkguanlin23</v>
      </c>
      <c r="C37042" s="8" t="s">
        <v>14077</v>
      </c>
      <c r="D37042" s="8">
        <v>1</v>
      </c>
      <c r="E37042" s="8">
        <v>0</v>
      </c>
      <c r="F37042" s="8">
        <v>1790</v>
      </c>
    </row>
    <row r="37043" spans="1:6" ht="12.75">
      <c r="A37043" s="8">
        <v>43887.83493055556</v>
      </c>
      <c r="B37043" s="8" t="str">
        <f>HYPERLINK("https://twitter.com/ferrydirgantara","@ferrydirgantara")</f>
        <v>@ferrydirgantara</v>
      </c>
      <c r="C37043" s="8" t="s">
        <v>4785</v>
      </c>
      <c r="D37043" s="8">
        <v>245</v>
      </c>
      <c r="E37043" s="8">
        <v>0</v>
      </c>
      <c r="F37043" s="8">
        <v>65</v>
      </c>
    </row>
    <row r="37044" spans="1:6" ht="12.75">
      <c r="A37044" s="8">
        <v>43887.834895833337</v>
      </c>
      <c r="B37044" s="8" t="str">
        <f>HYPERLINK("https://twitter.com/hhgg75061051","@hhgg75061051")</f>
        <v>@hhgg75061051</v>
      </c>
      <c r="C37044" s="8" t="s">
        <v>13073</v>
      </c>
      <c r="D37044" s="8">
        <v>11</v>
      </c>
      <c r="E37044" s="8">
        <v>0</v>
      </c>
      <c r="F37044" s="8">
        <v>0</v>
      </c>
    </row>
    <row r="37045" spans="1:6" ht="12.75">
      <c r="A37045" s="8">
        <v>43887.834768518514</v>
      </c>
      <c r="B37045" s="8" t="str">
        <f>HYPERLINK("https://twitter.com/angie_vountan","@angie_vountan")</f>
        <v>@angie_vountan</v>
      </c>
      <c r="C37045" s="8" t="s">
        <v>14000</v>
      </c>
      <c r="D37045" s="8">
        <v>32</v>
      </c>
      <c r="E37045" s="8">
        <v>0</v>
      </c>
      <c r="F37045" s="8">
        <v>115</v>
      </c>
    </row>
    <row r="37046" spans="1:6" ht="12.75">
      <c r="A37046" s="8">
        <v>43887.83430555556</v>
      </c>
      <c r="B37046" s="8" t="str">
        <f>HYPERLINK("https://twitter.com/iwan2701","@iwan2701")</f>
        <v>@iwan2701</v>
      </c>
      <c r="C37046" s="8" t="s">
        <v>11773</v>
      </c>
      <c r="D37046" s="8">
        <v>126</v>
      </c>
      <c r="E37046" s="8">
        <v>0</v>
      </c>
      <c r="F37046" s="8">
        <v>246</v>
      </c>
    </row>
    <row r="37047" spans="1:6" ht="12.75">
      <c r="A37047" s="8">
        <v>43887.833912037036</v>
      </c>
      <c r="B37047" s="8" t="str">
        <f>HYPERLINK("https://twitter.com/WahabisLokal","@WahabisLokal")</f>
        <v>@WahabisLokal</v>
      </c>
      <c r="C37047" s="8" t="s">
        <v>14389</v>
      </c>
      <c r="D37047" s="8">
        <v>5</v>
      </c>
      <c r="E37047" s="8">
        <v>0</v>
      </c>
      <c r="F37047" s="8">
        <v>20121</v>
      </c>
    </row>
    <row r="37048" spans="1:6" ht="12.75">
      <c r="A37048" s="8">
        <v>43887.833611111113</v>
      </c>
      <c r="B37048" s="8" t="str">
        <f>HYPERLINK("https://twitter.com/mdwialfariidzi","@mdwialfariidzi")</f>
        <v>@mdwialfariidzi</v>
      </c>
      <c r="C37048" s="8" t="s">
        <v>2941</v>
      </c>
      <c r="D37048" s="8">
        <v>1048</v>
      </c>
      <c r="E37048" s="8">
        <v>0</v>
      </c>
      <c r="F37048" s="8">
        <v>10</v>
      </c>
    </row>
    <row r="37049" spans="1:6" ht="12.75">
      <c r="A37049" s="8">
        <v>43887.833530092597</v>
      </c>
      <c r="B37049" s="8" t="str">
        <f>HYPERLINK("https://twitter.com/ricoruhukail","@ricoruhukail")</f>
        <v>@ricoruhukail</v>
      </c>
      <c r="C37049" s="8" t="s">
        <v>14396</v>
      </c>
      <c r="D37049" s="8">
        <v>0</v>
      </c>
      <c r="E37049" s="8">
        <v>0</v>
      </c>
      <c r="F37049" s="8">
        <v>26</v>
      </c>
    </row>
    <row r="37050" spans="1:6" ht="12.75">
      <c r="A37050" s="8">
        <v>43887.833483796298</v>
      </c>
      <c r="B37050" s="8" t="str">
        <f>HYPERLINK("https://twitter.com/dursalim2016","@dursalim2016")</f>
        <v>@dursalim2016</v>
      </c>
      <c r="C37050" s="8" t="s">
        <v>14397</v>
      </c>
      <c r="D37050" s="8">
        <v>0</v>
      </c>
      <c r="E37050" s="8">
        <v>0</v>
      </c>
      <c r="F37050" s="8">
        <v>3</v>
      </c>
    </row>
    <row r="37051" spans="1:6" ht="12.75">
      <c r="A37051" s="8">
        <v>43887.833368055552</v>
      </c>
      <c r="B37051" s="8" t="str">
        <f>HYPERLINK("https://twitter.com/ISIS_Balik_NO","@ISIS_Balik_NO")</f>
        <v>@ISIS_Balik_NO</v>
      </c>
      <c r="C37051" s="8" t="s">
        <v>14398</v>
      </c>
      <c r="D37051" s="8">
        <v>31</v>
      </c>
      <c r="E37051" s="8">
        <v>0</v>
      </c>
      <c r="F37051" s="8">
        <v>6093</v>
      </c>
    </row>
    <row r="37052" spans="1:6" ht="12.75">
      <c r="A37052" s="8">
        <v>43887.833356481482</v>
      </c>
      <c r="B37052" s="8" t="str">
        <f>HYPERLINK("https://twitter.com/malkiahmadmady1","@malkiahmadmady1")</f>
        <v>@malkiahmadmady1</v>
      </c>
      <c r="C37052" s="8" t="s">
        <v>4785</v>
      </c>
      <c r="D37052" s="8">
        <v>245</v>
      </c>
      <c r="E37052" s="8">
        <v>0</v>
      </c>
      <c r="F37052" s="8">
        <v>88</v>
      </c>
    </row>
    <row r="37053" spans="1:6" ht="12.75">
      <c r="A37053" s="8">
        <v>43887.833333333328</v>
      </c>
      <c r="B37053" s="8" t="str">
        <f>HYPERLINK("https://twitter.com/Lintas_MNCTV","@Lintas_MNCTV")</f>
        <v>@Lintas_MNCTV</v>
      </c>
      <c r="C37053" s="8" t="s">
        <v>14399</v>
      </c>
      <c r="D37053" s="8">
        <v>0</v>
      </c>
      <c r="E37053" s="8">
        <v>0</v>
      </c>
      <c r="F37053" s="8">
        <v>35905</v>
      </c>
    </row>
    <row r="37054" spans="1:6" ht="12.75">
      <c r="A37054" s="8">
        <v>43887.833333333328</v>
      </c>
      <c r="B37054" s="8" t="str">
        <f>HYPERLINK("https://twitter.com/GesuriID","@GesuriID")</f>
        <v>@GesuriID</v>
      </c>
      <c r="C37054" s="8" t="s">
        <v>14400</v>
      </c>
      <c r="D37054" s="8">
        <v>0</v>
      </c>
      <c r="E37054" s="8">
        <v>0</v>
      </c>
      <c r="F37054" s="8">
        <v>197355</v>
      </c>
    </row>
    <row r="37055" spans="1:6" ht="12.75">
      <c r="A37055" s="8">
        <v>43887.83326388889</v>
      </c>
      <c r="B37055" s="8" t="str">
        <f>HYPERLINK("https://twitter.com/jey_jailbreaker","@jey_jailbreaker")</f>
        <v>@jey_jailbreaker</v>
      </c>
      <c r="C37055" s="8" t="s">
        <v>14401</v>
      </c>
      <c r="D37055" s="8">
        <v>0</v>
      </c>
      <c r="E37055" s="8">
        <v>0</v>
      </c>
      <c r="F37055" s="8">
        <v>143</v>
      </c>
    </row>
    <row r="37056" spans="1:6" ht="12.75">
      <c r="A37056" s="8">
        <v>43887.833067129628</v>
      </c>
      <c r="B37056" s="8" t="str">
        <f>HYPERLINK("https://twitter.com/AlfaOmega0110","@AlfaOmega0110")</f>
        <v>@AlfaOmega0110</v>
      </c>
      <c r="C37056" s="8" t="s">
        <v>14402</v>
      </c>
      <c r="D37056" s="8">
        <v>0</v>
      </c>
      <c r="E37056" s="8">
        <v>1</v>
      </c>
      <c r="F37056" s="8">
        <v>1219</v>
      </c>
    </row>
    <row r="37057" spans="1:6" ht="12.75">
      <c r="A37057" s="8">
        <v>43887.833032407405</v>
      </c>
      <c r="B37057" s="8" t="str">
        <f>HYPERLINK("https://twitter.com/fadhlisofyan","@fadhlisofyan")</f>
        <v>@fadhlisofyan</v>
      </c>
      <c r="C37057" s="8" t="s">
        <v>11597</v>
      </c>
      <c r="D37057" s="8">
        <v>1</v>
      </c>
      <c r="E37057" s="8">
        <v>0</v>
      </c>
      <c r="F37057" s="8">
        <v>935</v>
      </c>
    </row>
    <row r="37058" spans="1:6" ht="12.75">
      <c r="A37058" s="8">
        <v>43887.832951388889</v>
      </c>
      <c r="B37058" s="8" t="str">
        <f>HYPERLINK("https://twitter.com/ichayusifa","@ichayusifa")</f>
        <v>@ichayusifa</v>
      </c>
      <c r="C37058" s="8" t="s">
        <v>1318</v>
      </c>
      <c r="D37058" s="8">
        <v>23251</v>
      </c>
      <c r="E37058" s="8">
        <v>0</v>
      </c>
      <c r="F37058" s="8">
        <v>1012</v>
      </c>
    </row>
    <row r="37059" spans="1:6" ht="12.75">
      <c r="A37059" s="8">
        <v>43887.832465277781</v>
      </c>
      <c r="B37059" s="8" t="str">
        <f>HYPERLINK("https://twitter.com/AmstrongBiring","@AmstrongBiring")</f>
        <v>@AmstrongBiring</v>
      </c>
      <c r="C37059" s="8" t="s">
        <v>14403</v>
      </c>
      <c r="D37059" s="8">
        <v>1</v>
      </c>
      <c r="E37059" s="8">
        <v>0</v>
      </c>
      <c r="F37059" s="8">
        <v>1974</v>
      </c>
    </row>
    <row r="37060" spans="1:6" ht="12.75">
      <c r="A37060" s="8">
        <v>43887.832384259258</v>
      </c>
      <c r="B37060" s="8" t="str">
        <f>HYPERLINK("https://twitter.com/siitaa_arum","@siitaa_arum")</f>
        <v>@siitaa_arum</v>
      </c>
      <c r="C37060" s="8" t="s">
        <v>14404</v>
      </c>
      <c r="D37060" s="8">
        <v>0</v>
      </c>
      <c r="E37060" s="8">
        <v>1</v>
      </c>
      <c r="F37060" s="8">
        <v>8</v>
      </c>
    </row>
    <row r="37061" spans="1:6" ht="12.75">
      <c r="A37061" s="8">
        <v>43887.832372685181</v>
      </c>
      <c r="B37061" s="8" t="str">
        <f>HYPERLINK("https://twitter.com/AmstrongBiring","@AmstrongBiring")</f>
        <v>@AmstrongBiring</v>
      </c>
      <c r="C37061" s="8" t="s">
        <v>14405</v>
      </c>
      <c r="D37061" s="8">
        <v>1</v>
      </c>
      <c r="E37061" s="8">
        <v>0</v>
      </c>
      <c r="F37061" s="8">
        <v>1974</v>
      </c>
    </row>
    <row r="37062" spans="1:6" ht="12.75">
      <c r="A37062" s="8">
        <v>43887.83222222222</v>
      </c>
      <c r="B37062" s="8" t="str">
        <f>HYPERLINK("https://twitter.com/vanidiana","@vanidiana")</f>
        <v>@vanidiana</v>
      </c>
      <c r="C37062" s="8" t="s">
        <v>12143</v>
      </c>
      <c r="D37062" s="8">
        <v>204</v>
      </c>
      <c r="E37062" s="8">
        <v>0</v>
      </c>
      <c r="F37062" s="8">
        <v>566</v>
      </c>
    </row>
    <row r="37063" spans="1:6" ht="12.75">
      <c r="A37063" s="8">
        <v>43887.831909722227</v>
      </c>
      <c r="B37063" s="8" t="str">
        <f>HYPERLINK("https://twitter.com/setipent","@setipent")</f>
        <v>@setipent</v>
      </c>
      <c r="C37063" s="8" t="s">
        <v>11773</v>
      </c>
      <c r="D37063" s="8">
        <v>126</v>
      </c>
      <c r="E37063" s="8">
        <v>0</v>
      </c>
      <c r="F37063" s="8">
        <v>130</v>
      </c>
    </row>
    <row r="37064" spans="1:6" ht="12.75">
      <c r="A37064" s="8">
        <v>43887.831608796296</v>
      </c>
      <c r="B37064" s="8" t="str">
        <f>HYPERLINK("https://twitter.com/meobanget","@meobanget")</f>
        <v>@meobanget</v>
      </c>
      <c r="C37064" s="8" t="s">
        <v>14003</v>
      </c>
      <c r="D37064" s="8">
        <v>10</v>
      </c>
      <c r="E37064" s="8">
        <v>0</v>
      </c>
      <c r="F37064" s="8">
        <v>89</v>
      </c>
    </row>
    <row r="37065" spans="1:6" ht="12.75">
      <c r="A37065" s="8">
        <v>43887.831562499996</v>
      </c>
      <c r="B37065" s="8" t="str">
        <f>HYPERLINK("https://twitter.com/2o20vision","@2o20vision")</f>
        <v>@2o20vision</v>
      </c>
      <c r="C37065" s="8" t="s">
        <v>14406</v>
      </c>
      <c r="D37065" s="8">
        <v>0</v>
      </c>
      <c r="E37065" s="8">
        <v>0</v>
      </c>
      <c r="F37065" s="8">
        <v>28</v>
      </c>
    </row>
    <row r="37066" spans="1:6" ht="12.75">
      <c r="A37066" s="8">
        <v>43887.831562499996</v>
      </c>
      <c r="B37066" s="8" t="str">
        <f>HYPERLINK("https://twitter.com/hekahert","@hekahert")</f>
        <v>@hekahert</v>
      </c>
      <c r="C37066" s="8" t="s">
        <v>14407</v>
      </c>
      <c r="D37066" s="8">
        <v>0</v>
      </c>
      <c r="E37066" s="8">
        <v>0</v>
      </c>
      <c r="F37066" s="8">
        <v>40771</v>
      </c>
    </row>
    <row r="37067" spans="1:6" ht="12.75">
      <c r="A37067" s="8">
        <v>43887.831539351857</v>
      </c>
      <c r="B37067" s="8" t="str">
        <f>HYPERLINK("https://twitter.com/parwati_77","@parwati_77")</f>
        <v>@parwati_77</v>
      </c>
      <c r="C37067" s="8" t="s">
        <v>13918</v>
      </c>
      <c r="D37067" s="8">
        <v>4</v>
      </c>
      <c r="E37067" s="8">
        <v>0</v>
      </c>
      <c r="F37067" s="8">
        <v>94</v>
      </c>
    </row>
    <row r="37068" spans="1:6" ht="12.75">
      <c r="A37068" s="8">
        <v>43887.831539351857</v>
      </c>
      <c r="B37068" s="8" t="str">
        <f>HYPERLINK("https://twitter.com/SinghTvitter","@SinghTvitter")</f>
        <v>@SinghTvitter</v>
      </c>
      <c r="C37068" s="8" t="s">
        <v>14408</v>
      </c>
      <c r="D37068" s="8">
        <v>0</v>
      </c>
      <c r="E37068" s="8">
        <v>0</v>
      </c>
      <c r="F37068" s="8">
        <v>1178</v>
      </c>
    </row>
    <row r="37069" spans="1:6" ht="12.75">
      <c r="A37069" s="8">
        <v>43887.831354166672</v>
      </c>
      <c r="B37069" s="8" t="str">
        <f>HYPERLINK("https://twitter.com/arielaks","@arielaks")</f>
        <v>@arielaks</v>
      </c>
      <c r="C37069" s="8" t="s">
        <v>13875</v>
      </c>
      <c r="D37069" s="8">
        <v>17</v>
      </c>
      <c r="E37069" s="8">
        <v>0</v>
      </c>
      <c r="F37069" s="8">
        <v>16</v>
      </c>
    </row>
    <row r="37070" spans="1:6" ht="12.75">
      <c r="A37070" s="8">
        <v>43887.831238425926</v>
      </c>
      <c r="B37070" s="8" t="str">
        <f>HYPERLINK("https://twitter.com/BandungTV38","@BandungTV38")</f>
        <v>@BandungTV38</v>
      </c>
      <c r="C37070" s="8" t="s">
        <v>14409</v>
      </c>
      <c r="D37070" s="8">
        <v>0</v>
      </c>
      <c r="E37070" s="8">
        <v>0</v>
      </c>
      <c r="F37070" s="8">
        <v>12243</v>
      </c>
    </row>
    <row r="37071" spans="1:6" ht="12.75">
      <c r="A37071" s="8">
        <v>43887.831226851849</v>
      </c>
      <c r="B37071" s="8" t="str">
        <f>HYPERLINK("https://twitter.com/AdennyBross","@AdennyBross")</f>
        <v>@AdennyBross</v>
      </c>
      <c r="C37071" s="8" t="s">
        <v>14410</v>
      </c>
      <c r="D37071" s="8">
        <v>0</v>
      </c>
      <c r="E37071" s="8">
        <v>0</v>
      </c>
      <c r="F37071" s="8">
        <v>214</v>
      </c>
    </row>
    <row r="37072" spans="1:6" ht="12.75">
      <c r="A37072" s="8">
        <v>43887.83112268518</v>
      </c>
      <c r="B37072" s="8" t="str">
        <f>HYPERLINK("https://twitter.com/dvctrnnd","@dvctrnnd")</f>
        <v>@dvctrnnd</v>
      </c>
      <c r="C37072" s="8" t="s">
        <v>13365</v>
      </c>
      <c r="D37072" s="8">
        <v>840</v>
      </c>
      <c r="E37072" s="8">
        <v>0</v>
      </c>
      <c r="F37072" s="8">
        <v>489</v>
      </c>
    </row>
    <row r="37073" spans="1:6" ht="12.75">
      <c r="A37073" s="8">
        <v>43887.831087962964</v>
      </c>
      <c r="B37073" s="8" t="str">
        <f>HYPERLINK("https://twitter.com/hadhmeant","@hadhmeant")</f>
        <v>@hadhmeant</v>
      </c>
      <c r="C37073" s="8" t="s">
        <v>14411</v>
      </c>
      <c r="D37073" s="8">
        <v>3</v>
      </c>
      <c r="E37073" s="8">
        <v>0</v>
      </c>
      <c r="F37073" s="8">
        <v>477</v>
      </c>
    </row>
    <row r="37074" spans="1:6" ht="12.75">
      <c r="A37074" s="8">
        <v>43887.831064814818</v>
      </c>
      <c r="B37074" s="8" t="str">
        <f>HYPERLINK("https://twitter.com/hekahert","@hekahert")</f>
        <v>@hekahert</v>
      </c>
      <c r="C37074" s="8" t="s">
        <v>14412</v>
      </c>
      <c r="D37074" s="8">
        <v>0</v>
      </c>
      <c r="E37074" s="8">
        <v>1</v>
      </c>
      <c r="F37074" s="8">
        <v>40771</v>
      </c>
    </row>
    <row r="37075" spans="1:6" ht="12.75">
      <c r="A37075" s="8">
        <v>43887.830868055556</v>
      </c>
      <c r="B37075" s="8" t="str">
        <f>HYPERLINK("https://twitter.com/jaerenji","@jaerenji")</f>
        <v>@jaerenji</v>
      </c>
      <c r="C37075" s="8" t="s">
        <v>2940</v>
      </c>
      <c r="D37075" s="8">
        <v>2656</v>
      </c>
      <c r="E37075" s="8">
        <v>0</v>
      </c>
      <c r="F37075" s="8">
        <v>16</v>
      </c>
    </row>
    <row r="37076" spans="1:6" ht="12.75">
      <c r="A37076" s="8">
        <v>43887.830775462964</v>
      </c>
      <c r="B37076" s="8" t="str">
        <f>HYPERLINK("https://twitter.com/parwati_77","@parwati_77")</f>
        <v>@parwati_77</v>
      </c>
      <c r="C37076" s="8" t="s">
        <v>11773</v>
      </c>
      <c r="D37076" s="8">
        <v>126</v>
      </c>
      <c r="E37076" s="8">
        <v>0</v>
      </c>
      <c r="F37076" s="8">
        <v>94</v>
      </c>
    </row>
    <row r="37077" spans="1:6" ht="12.75">
      <c r="A37077" s="8">
        <v>43887.830625000002</v>
      </c>
      <c r="B37077" s="8" t="str">
        <f>HYPERLINK("https://twitter.com/andifukuoka","@andifukuoka")</f>
        <v>@andifukuoka</v>
      </c>
      <c r="C37077" s="8" t="s">
        <v>13365</v>
      </c>
      <c r="D37077" s="8">
        <v>840</v>
      </c>
      <c r="E37077" s="8">
        <v>0</v>
      </c>
      <c r="F37077" s="8">
        <v>47</v>
      </c>
    </row>
    <row r="37078" spans="1:6" ht="12.75">
      <c r="A37078" s="8">
        <v>43887.83048611111</v>
      </c>
      <c r="B37078" s="8" t="str">
        <f>HYPERLINK("https://twitter.com/a98ep","@a98ep")</f>
        <v>@a98ep</v>
      </c>
      <c r="C37078" s="8" t="s">
        <v>26</v>
      </c>
      <c r="D37078" s="8">
        <v>84</v>
      </c>
      <c r="E37078" s="8">
        <v>0</v>
      </c>
      <c r="F37078" s="8">
        <v>7</v>
      </c>
    </row>
    <row r="37079" spans="1:6" ht="12.75">
      <c r="A37079" s="8">
        <v>43887.830092592594</v>
      </c>
      <c r="B37079" s="8" t="str">
        <f>HYPERLINK("https://twitter.com/ISIS_Slay3r","@ISIS_Slay3r")</f>
        <v>@ISIS_Slay3r</v>
      </c>
      <c r="C37079" s="8" t="s">
        <v>14413</v>
      </c>
      <c r="D37079" s="8">
        <v>0</v>
      </c>
      <c r="E37079" s="8">
        <v>1</v>
      </c>
      <c r="F37079" s="8">
        <v>312</v>
      </c>
    </row>
    <row r="37080" spans="1:6" ht="12.75">
      <c r="A37080" s="8">
        <v>43887.829907407402</v>
      </c>
      <c r="B37080" s="8" t="str">
        <f>HYPERLINK("https://twitter.com/AgussBaskoro","@AgussBaskoro")</f>
        <v>@AgussBaskoro</v>
      </c>
      <c r="C37080" s="8" t="s">
        <v>13592</v>
      </c>
      <c r="D37080" s="8">
        <v>26</v>
      </c>
      <c r="E37080" s="8">
        <v>0</v>
      </c>
      <c r="F37080" s="8">
        <v>1225</v>
      </c>
    </row>
    <row r="37081" spans="1:6" ht="12.75">
      <c r="A37081" s="8">
        <v>43887.829606481479</v>
      </c>
      <c r="B37081" s="8" t="str">
        <f>HYPERLINK("https://twitter.com/a98ep","@a98ep")</f>
        <v>@a98ep</v>
      </c>
      <c r="C37081" s="8" t="s">
        <v>14414</v>
      </c>
      <c r="D37081" s="8">
        <v>0</v>
      </c>
      <c r="E37081" s="8">
        <v>0</v>
      </c>
      <c r="F37081" s="8">
        <v>7</v>
      </c>
    </row>
    <row r="37082" spans="1:6" ht="12.75">
      <c r="A37082" s="8">
        <v>43887.82947916667</v>
      </c>
      <c r="B37082" s="8" t="str">
        <f>HYPERLINK("https://twitter.com/HendyAgustinus7","@HendyAgustinus7")</f>
        <v>@HendyAgustinus7</v>
      </c>
      <c r="C37082" s="8" t="s">
        <v>4785</v>
      </c>
      <c r="D37082" s="8">
        <v>245</v>
      </c>
      <c r="E37082" s="8">
        <v>0</v>
      </c>
      <c r="F37082" s="8">
        <v>471</v>
      </c>
    </row>
    <row r="37083" spans="1:6" ht="12.75">
      <c r="A37083" s="8">
        <v>43887.829201388886</v>
      </c>
      <c r="B37083" s="8" t="str">
        <f>HYPERLINK("https://twitter.com/wni_jmsri","@wni_jmsri")</f>
        <v>@wni_jmsri</v>
      </c>
      <c r="C37083" s="8" t="s">
        <v>14415</v>
      </c>
      <c r="D37083" s="8">
        <v>1986</v>
      </c>
      <c r="E37083" s="8">
        <v>0</v>
      </c>
      <c r="F37083" s="8">
        <v>195</v>
      </c>
    </row>
    <row r="37084" spans="1:6" ht="12.75">
      <c r="A37084" s="8">
        <v>43887.828599537039</v>
      </c>
      <c r="B37084" s="8" t="str">
        <f>HYPERLINK("https://twitter.com/republikaonline","@republikaonline")</f>
        <v>@republikaonline</v>
      </c>
      <c r="C37084" s="8" t="s">
        <v>14416</v>
      </c>
      <c r="D37084" s="8">
        <v>1</v>
      </c>
      <c r="E37084" s="8">
        <v>4</v>
      </c>
      <c r="F37084" s="8">
        <v>1214134</v>
      </c>
    </row>
    <row r="37085" spans="1:6" ht="12.75">
      <c r="A37085" s="8">
        <v>43887.828449074077</v>
      </c>
      <c r="B37085" s="8" t="str">
        <f>HYPERLINK("https://twitter.com/Basha0115","@Basha0115")</f>
        <v>@Basha0115</v>
      </c>
      <c r="C37085" s="8" t="s">
        <v>4785</v>
      </c>
      <c r="D37085" s="8">
        <v>245</v>
      </c>
      <c r="E37085" s="8">
        <v>0</v>
      </c>
      <c r="F37085" s="8">
        <v>312</v>
      </c>
    </row>
    <row r="37086" spans="1:6" ht="12.75">
      <c r="A37086" s="8">
        <v>43887.828240740739</v>
      </c>
      <c r="B37086" s="8" t="str">
        <f t="shared" ref="B37086:B37087" si="546">HYPERLINK("https://twitter.com/Verinata8","@Verinata8")</f>
        <v>@Verinata8</v>
      </c>
      <c r="C37086" s="8" t="s">
        <v>26</v>
      </c>
      <c r="D37086" s="8">
        <v>84</v>
      </c>
      <c r="E37086" s="8">
        <v>0</v>
      </c>
      <c r="F37086" s="8">
        <v>287</v>
      </c>
    </row>
    <row r="37087" spans="1:6" ht="12.75">
      <c r="A37087" s="8">
        <v>43887.828206018516</v>
      </c>
      <c r="B37087" s="8" t="str">
        <f t="shared" si="546"/>
        <v>@Verinata8</v>
      </c>
      <c r="C37087" s="8" t="s">
        <v>4785</v>
      </c>
      <c r="D37087" s="8">
        <v>245</v>
      </c>
      <c r="E37087" s="8">
        <v>0</v>
      </c>
      <c r="F37087" s="8">
        <v>287</v>
      </c>
    </row>
    <row r="37088" spans="1:6" ht="12.75">
      <c r="A37088" s="8">
        <v>43887.828182870369</v>
      </c>
      <c r="B37088" s="8" t="str">
        <f>HYPERLINK("https://twitter.com/PupungSuminar","@PupungSuminar")</f>
        <v>@PupungSuminar</v>
      </c>
      <c r="C37088" s="8" t="s">
        <v>12143</v>
      </c>
      <c r="D37088" s="8">
        <v>204</v>
      </c>
      <c r="E37088" s="8">
        <v>0</v>
      </c>
      <c r="F37088" s="8">
        <v>290</v>
      </c>
    </row>
    <row r="37089" spans="1:6" ht="12.75">
      <c r="A37089" s="8">
        <v>43887.828055555554</v>
      </c>
      <c r="B37089" s="8" t="str">
        <f>HYPERLINK("https://twitter.com/SinghTvitter","@SinghTvitter")</f>
        <v>@SinghTvitter</v>
      </c>
      <c r="C37089" s="8" t="s">
        <v>14417</v>
      </c>
      <c r="D37089" s="8">
        <v>0</v>
      </c>
      <c r="E37089" s="8">
        <v>0</v>
      </c>
      <c r="F37089" s="8">
        <v>1178</v>
      </c>
    </row>
    <row r="37090" spans="1:6" ht="12.75">
      <c r="A37090" s="8">
        <v>43887.827881944446</v>
      </c>
      <c r="B37090" s="8" t="str">
        <f>HYPERLINK("https://twitter.com/AdityaF35482197","@AdityaF35482197")</f>
        <v>@AdityaF35482197</v>
      </c>
      <c r="C37090" s="8" t="s">
        <v>2941</v>
      </c>
      <c r="D37090" s="8">
        <v>1048</v>
      </c>
      <c r="E37090" s="8">
        <v>0</v>
      </c>
      <c r="F37090" s="8">
        <v>0</v>
      </c>
    </row>
    <row r="37091" spans="1:6" ht="12.75">
      <c r="A37091" s="8">
        <v>43887.827453703707</v>
      </c>
      <c r="B37091" s="8" t="str">
        <f>HYPERLINK("https://twitter.com/kompascom","@kompascom")</f>
        <v>@kompascom</v>
      </c>
      <c r="C37091" s="8" t="s">
        <v>14411</v>
      </c>
      <c r="D37091" s="8">
        <v>3</v>
      </c>
      <c r="E37091" s="8">
        <v>0</v>
      </c>
      <c r="F37091" s="8">
        <v>7514193</v>
      </c>
    </row>
    <row r="37092" spans="1:6" ht="12.75">
      <c r="A37092" s="8">
        <v>43887.827175925922</v>
      </c>
      <c r="B37092" s="8" t="str">
        <f>HYPERLINK("https://twitter.com/kompasiana","@kompasiana")</f>
        <v>@kompasiana</v>
      </c>
      <c r="C37092" s="8" t="s">
        <v>14418</v>
      </c>
      <c r="D37092" s="8">
        <v>3</v>
      </c>
      <c r="E37092" s="8">
        <v>4</v>
      </c>
      <c r="F37092" s="8">
        <v>930574</v>
      </c>
    </row>
    <row r="37093" spans="1:6" ht="12.75">
      <c r="A37093" s="8">
        <v>43887.827152777776</v>
      </c>
      <c r="B37093" s="8" t="str">
        <f>HYPERLINK("https://twitter.com/andy_nomicin","@andy_nomicin")</f>
        <v>@andy_nomicin</v>
      </c>
      <c r="C37093" s="8" t="s">
        <v>14389</v>
      </c>
      <c r="D37093" s="8">
        <v>5</v>
      </c>
      <c r="E37093" s="8">
        <v>0</v>
      </c>
      <c r="F37093" s="8">
        <v>7410</v>
      </c>
    </row>
    <row r="37094" spans="1:6" ht="12.75">
      <c r="A37094" s="8">
        <v>43887.827094907407</v>
      </c>
      <c r="B37094" s="8" t="str">
        <f>HYPERLINK("https://twitter.com/tattaaa__","@tattaaa__")</f>
        <v>@tattaaa__</v>
      </c>
      <c r="C37094" s="8" t="s">
        <v>13900</v>
      </c>
      <c r="D37094" s="8">
        <v>55</v>
      </c>
      <c r="E37094" s="8">
        <v>0</v>
      </c>
      <c r="F37094" s="8">
        <v>1</v>
      </c>
    </row>
    <row r="37095" spans="1:6" ht="12.75">
      <c r="A37095" s="8">
        <v>43887.826458333337</v>
      </c>
      <c r="B37095" s="8" t="str">
        <f>HYPERLINK("https://twitter.com/Aryprasetyo85","@Aryprasetyo85")</f>
        <v>@Aryprasetyo85</v>
      </c>
      <c r="C37095" s="8" t="s">
        <v>4785</v>
      </c>
      <c r="D37095" s="8">
        <v>245</v>
      </c>
      <c r="E37095" s="8">
        <v>0</v>
      </c>
      <c r="F37095" s="8">
        <v>39305</v>
      </c>
    </row>
    <row r="37096" spans="1:6" ht="12.75">
      <c r="A37096" s="8">
        <v>43887.826423611114</v>
      </c>
      <c r="B37096" s="8" t="str">
        <f>HYPERLINK("https://twitter.com/ztw868992","@ztw868992")</f>
        <v>@ztw868992</v>
      </c>
      <c r="C37096" s="8" t="s">
        <v>11773</v>
      </c>
      <c r="D37096" s="8">
        <v>126</v>
      </c>
      <c r="E37096" s="8">
        <v>0</v>
      </c>
      <c r="F37096" s="8">
        <v>3526</v>
      </c>
    </row>
    <row r="37097" spans="1:6" ht="12.75">
      <c r="A37097" s="8">
        <v>43887.826365740737</v>
      </c>
      <c r="B37097" s="8" t="str">
        <f>HYPERLINK("https://twitter.com/Nilliria818","@Nilliria818")</f>
        <v>@Nilliria818</v>
      </c>
      <c r="C37097" s="8" t="s">
        <v>13900</v>
      </c>
      <c r="D37097" s="8">
        <v>55</v>
      </c>
      <c r="E37097" s="8">
        <v>0</v>
      </c>
      <c r="F37097" s="8">
        <v>48</v>
      </c>
    </row>
    <row r="37098" spans="1:6" ht="12.75">
      <c r="A37098" s="8">
        <v>43887.826307870375</v>
      </c>
      <c r="B37098" s="8" t="str">
        <f>HYPERLINK("https://twitter.com/Amardoherty","@Amardoherty")</f>
        <v>@Amardoherty</v>
      </c>
      <c r="C37098" s="8" t="s">
        <v>4785</v>
      </c>
      <c r="D37098" s="8">
        <v>245</v>
      </c>
      <c r="E37098" s="8">
        <v>0</v>
      </c>
      <c r="F37098" s="8">
        <v>719</v>
      </c>
    </row>
    <row r="37099" spans="1:6" ht="12.75">
      <c r="A37099" s="8">
        <v>43887.826249999998</v>
      </c>
      <c r="B37099" s="8" t="str">
        <f>HYPERLINK("https://twitter.com/TempoInstitute","@TempoInstitute")</f>
        <v>@TempoInstitute</v>
      </c>
      <c r="C37099" s="8" t="s">
        <v>14419</v>
      </c>
      <c r="D37099" s="8">
        <v>1</v>
      </c>
      <c r="E37099" s="8">
        <v>2</v>
      </c>
      <c r="F37099" s="8">
        <v>33176</v>
      </c>
    </row>
    <row r="37100" spans="1:6" ht="12.75">
      <c r="A37100" s="8">
        <v>43887.826215277775</v>
      </c>
      <c r="B37100" s="8" t="str">
        <f>HYPERLINK("https://twitter.com/anas_personal","@anas_personal")</f>
        <v>@anas_personal</v>
      </c>
      <c r="C37100" s="8" t="s">
        <v>14420</v>
      </c>
      <c r="D37100" s="8">
        <v>0</v>
      </c>
      <c r="E37100" s="8">
        <v>0</v>
      </c>
      <c r="F37100" s="8">
        <v>310</v>
      </c>
    </row>
    <row r="37101" spans="1:6" ht="12.75">
      <c r="A37101" s="8">
        <v>43887.825891203705</v>
      </c>
      <c r="B37101" s="8" t="str">
        <f>HYPERLINK("https://twitter.com/metro24_co","@metro24_co")</f>
        <v>@metro24_co</v>
      </c>
      <c r="C37101" s="8" t="s">
        <v>14421</v>
      </c>
      <c r="D37101" s="8">
        <v>0</v>
      </c>
      <c r="E37101" s="8">
        <v>0</v>
      </c>
      <c r="F37101" s="8">
        <v>377</v>
      </c>
    </row>
    <row r="37102" spans="1:6" ht="12.75">
      <c r="A37102" s="8">
        <v>43887.825856481482</v>
      </c>
      <c r="B37102" s="8" t="str">
        <f>HYPERLINK("https://twitter.com/Faizal2404","@Faizal2404")</f>
        <v>@Faizal2404</v>
      </c>
      <c r="C37102" s="8" t="s">
        <v>13592</v>
      </c>
      <c r="D37102" s="8">
        <v>26</v>
      </c>
      <c r="E37102" s="8">
        <v>0</v>
      </c>
      <c r="F37102" s="8">
        <v>1460</v>
      </c>
    </row>
    <row r="37103" spans="1:6" ht="12.75">
      <c r="A37103" s="8">
        <v>43887.825694444444</v>
      </c>
      <c r="B37103" s="8" t="str">
        <f>HYPERLINK("https://twitter.com/Novrdx1","@Novrdx1")</f>
        <v>@Novrdx1</v>
      </c>
      <c r="C37103" s="8" t="s">
        <v>14422</v>
      </c>
      <c r="D37103" s="8">
        <v>0</v>
      </c>
      <c r="E37103" s="8">
        <v>1</v>
      </c>
      <c r="F37103" s="8">
        <v>6</v>
      </c>
    </row>
    <row r="37104" spans="1:6" ht="12.75">
      <c r="A37104" s="8">
        <v>43887.82545138889</v>
      </c>
      <c r="B37104" s="8" t="str">
        <f>HYPERLINK("https://twitter.com/oposisianarki","@oposisianarki")</f>
        <v>@oposisianarki</v>
      </c>
      <c r="C37104" s="8" t="s">
        <v>12406</v>
      </c>
      <c r="D37104" s="8">
        <v>45</v>
      </c>
      <c r="E37104" s="8">
        <v>0</v>
      </c>
      <c r="F37104" s="8">
        <v>941</v>
      </c>
    </row>
    <row r="37105" spans="1:6" ht="12.75">
      <c r="A37105" s="8">
        <v>43887.825243055559</v>
      </c>
      <c r="B37105" s="8" t="str">
        <f>HYPERLINK("https://twitter.com/Kris_Sitepu","@Kris_Sitepu")</f>
        <v>@Kris_Sitepu</v>
      </c>
      <c r="C37105" s="8" t="s">
        <v>13900</v>
      </c>
      <c r="D37105" s="8">
        <v>55</v>
      </c>
      <c r="E37105" s="8">
        <v>0</v>
      </c>
      <c r="F37105" s="8">
        <v>68</v>
      </c>
    </row>
    <row r="37106" spans="1:6" ht="12.75">
      <c r="A37106" s="8">
        <v>43887.825011574074</v>
      </c>
      <c r="B37106" s="8" t="str">
        <f>HYPERLINK("https://twitter.com/mochamad_fawaz","@mochamad_fawaz")</f>
        <v>@mochamad_fawaz</v>
      </c>
      <c r="C37106" s="8" t="s">
        <v>13365</v>
      </c>
      <c r="D37106" s="8">
        <v>840</v>
      </c>
      <c r="E37106" s="8">
        <v>0</v>
      </c>
      <c r="F37106" s="8">
        <v>180</v>
      </c>
    </row>
    <row r="37107" spans="1:6" ht="12.75">
      <c r="A37107" s="8">
        <v>43887.824976851851</v>
      </c>
      <c r="B37107" s="8" t="str">
        <f>HYPERLINK("https://twitter.com/CukongLaut","@CukongLaut")</f>
        <v>@CukongLaut</v>
      </c>
      <c r="C37107" s="8" t="s">
        <v>14423</v>
      </c>
      <c r="D37107" s="8">
        <v>0</v>
      </c>
      <c r="E37107" s="8">
        <v>0</v>
      </c>
      <c r="F37107" s="8">
        <v>161</v>
      </c>
    </row>
    <row r="37108" spans="1:6" ht="12.75">
      <c r="A37108" s="8">
        <v>43887.824560185181</v>
      </c>
      <c r="B37108" s="8" t="str">
        <f>HYPERLINK("https://twitter.com/Pratamanuraziz","@Pratamanuraziz")</f>
        <v>@Pratamanuraziz</v>
      </c>
      <c r="C37108" s="8" t="s">
        <v>13900</v>
      </c>
      <c r="D37108" s="8">
        <v>55</v>
      </c>
      <c r="E37108" s="8">
        <v>0</v>
      </c>
      <c r="F37108" s="8">
        <v>5051</v>
      </c>
    </row>
    <row r="37109" spans="1:6" ht="12.75">
      <c r="A37109" s="8">
        <v>43887.824537037042</v>
      </c>
      <c r="B37109" s="8" t="str">
        <f>HYPERLINK("https://twitter.com/wni_jmsri","@wni_jmsri")</f>
        <v>@wni_jmsri</v>
      </c>
      <c r="C37109" s="8" t="s">
        <v>14424</v>
      </c>
      <c r="D37109" s="8">
        <v>13867</v>
      </c>
      <c r="E37109" s="8">
        <v>0</v>
      </c>
      <c r="F37109" s="8">
        <v>195</v>
      </c>
    </row>
    <row r="37110" spans="1:6" ht="12.75">
      <c r="A37110" s="8">
        <v>43887.824097222227</v>
      </c>
      <c r="B37110" s="8" t="str">
        <f>HYPERLINK("https://twitter.com/adekisti","@adekisti")</f>
        <v>@adekisti</v>
      </c>
      <c r="C37110" s="8" t="s">
        <v>593</v>
      </c>
      <c r="D37110" s="8">
        <v>259</v>
      </c>
      <c r="E37110" s="8">
        <v>0</v>
      </c>
      <c r="F37110" s="8">
        <v>68</v>
      </c>
    </row>
    <row r="37111" spans="1:6" ht="12.75">
      <c r="A37111" s="8">
        <v>43887.823935185181</v>
      </c>
      <c r="B37111" s="8" t="str">
        <f>HYPERLINK("https://twitter.com/wbintoro101209","@wbintoro101209")</f>
        <v>@wbintoro101209</v>
      </c>
      <c r="C37111" s="8" t="s">
        <v>11773</v>
      </c>
      <c r="D37111" s="8">
        <v>126</v>
      </c>
      <c r="E37111" s="8">
        <v>0</v>
      </c>
      <c r="F37111" s="8">
        <v>314</v>
      </c>
    </row>
    <row r="37112" spans="1:6" ht="12.75">
      <c r="A37112" s="8">
        <v>43887.823425925926</v>
      </c>
      <c r="B37112" s="8" t="str">
        <f>HYPERLINK("https://twitter.com/erwindoparulian","@erwindoparulian")</f>
        <v>@erwindoparulian</v>
      </c>
      <c r="C37112" s="8" t="s">
        <v>14425</v>
      </c>
      <c r="D37112" s="8">
        <v>0</v>
      </c>
      <c r="E37112" s="8">
        <v>1</v>
      </c>
      <c r="F37112" s="8">
        <v>1312</v>
      </c>
    </row>
    <row r="37113" spans="1:6" ht="12.75">
      <c r="A37113" s="8">
        <v>43887.82340277778</v>
      </c>
      <c r="B37113" s="8" t="str">
        <f>HYPERLINK("https://twitter.com/smile_guys","@smile_guys")</f>
        <v>@smile_guys</v>
      </c>
      <c r="C37113" s="8" t="s">
        <v>14426</v>
      </c>
      <c r="D37113" s="8">
        <v>7</v>
      </c>
      <c r="E37113" s="8">
        <v>0</v>
      </c>
      <c r="F37113" s="8">
        <v>127</v>
      </c>
    </row>
    <row r="37114" spans="1:6" ht="12.75">
      <c r="A37114" s="8">
        <v>43887.798368055555</v>
      </c>
      <c r="B37114" s="8" t="str">
        <f>HYPERLINK("https://twitter.com/arjuno_ireng01","@arjuno_ireng01")</f>
        <v>@arjuno_ireng01</v>
      </c>
      <c r="C37114" s="8" t="s">
        <v>14034</v>
      </c>
      <c r="D37114" s="8">
        <v>2</v>
      </c>
      <c r="E37114" s="8">
        <v>0</v>
      </c>
      <c r="F37114" s="8">
        <v>10690</v>
      </c>
    </row>
    <row r="37115" spans="1:6" ht="12.75">
      <c r="A37115" s="8">
        <v>43887.798287037032</v>
      </c>
      <c r="B37115" s="8" t="str">
        <f>HYPERLINK("https://twitter.com/freddyarjuna","@freddyarjuna")</f>
        <v>@freddyarjuna</v>
      </c>
      <c r="C37115" s="8" t="s">
        <v>14427</v>
      </c>
      <c r="D37115" s="8">
        <v>0</v>
      </c>
      <c r="E37115" s="8">
        <v>0</v>
      </c>
      <c r="F37115" s="8">
        <v>1258</v>
      </c>
    </row>
    <row r="37116" spans="1:6" ht="12.75">
      <c r="A37116" s="8">
        <v>43887.798182870371</v>
      </c>
      <c r="B37116" s="8" t="str">
        <f>HYPERLINK("https://twitter.com/AyoBelaNKRI","@AyoBelaNKRI")</f>
        <v>@AyoBelaNKRI</v>
      </c>
      <c r="C37116" s="8" t="s">
        <v>12143</v>
      </c>
      <c r="D37116" s="8">
        <v>192</v>
      </c>
      <c r="E37116" s="8">
        <v>0</v>
      </c>
      <c r="F37116" s="8">
        <v>227</v>
      </c>
    </row>
    <row r="37117" spans="1:6" ht="12.75">
      <c r="A37117" s="8">
        <v>43887.797858796301</v>
      </c>
      <c r="B37117" s="8" t="str">
        <f>HYPERLINK("https://twitter.com/miswanto80","@miswanto80")</f>
        <v>@miswanto80</v>
      </c>
      <c r="C37117" s="8" t="s">
        <v>26</v>
      </c>
      <c r="D37117" s="8">
        <v>75</v>
      </c>
      <c r="E37117" s="8">
        <v>0</v>
      </c>
      <c r="F37117" s="8">
        <v>3007</v>
      </c>
    </row>
    <row r="37118" spans="1:6" ht="12.75">
      <c r="A37118" s="8">
        <v>43887.797835648147</v>
      </c>
      <c r="B37118" s="8" t="str">
        <f>HYPERLINK("https://twitter.com/xxdeska","@xxdeska")</f>
        <v>@xxdeska</v>
      </c>
      <c r="C37118" s="8" t="s">
        <v>13900</v>
      </c>
      <c r="D37118" s="8">
        <v>47</v>
      </c>
      <c r="E37118" s="8">
        <v>0</v>
      </c>
      <c r="F37118" s="8">
        <v>2</v>
      </c>
    </row>
    <row r="37119" spans="1:6" ht="12.75">
      <c r="A37119" s="8">
        <v>43887.797824074078</v>
      </c>
      <c r="B37119" s="8" t="str">
        <f>HYPERLINK("https://twitter.com/purirohermawan","@purirohermawan")</f>
        <v>@purirohermawan</v>
      </c>
      <c r="C37119" s="8" t="s">
        <v>4785</v>
      </c>
      <c r="D37119" s="8">
        <v>210</v>
      </c>
      <c r="E37119" s="8">
        <v>0</v>
      </c>
      <c r="F37119" s="8">
        <v>224</v>
      </c>
    </row>
    <row r="37120" spans="1:6" ht="12.75">
      <c r="A37120" s="8">
        <v>43887.797719907408</v>
      </c>
      <c r="B37120" s="8" t="str">
        <f>HYPERLINK("https://twitter.com/Fm98Sonora","@Fm98Sonora")</f>
        <v>@Fm98Sonora</v>
      </c>
      <c r="C37120" s="8" t="s">
        <v>14428</v>
      </c>
      <c r="D37120" s="8">
        <v>2</v>
      </c>
      <c r="E37120" s="8">
        <v>0</v>
      </c>
      <c r="F37120" s="8">
        <v>22</v>
      </c>
    </row>
    <row r="37121" spans="1:6" ht="12.75">
      <c r="A37121" s="8">
        <v>43887.797638888893</v>
      </c>
      <c r="B37121" s="8" t="str">
        <f>HYPERLINK("https://twitter.com/miswanto80","@miswanto80")</f>
        <v>@miswanto80</v>
      </c>
      <c r="C37121" s="8" t="s">
        <v>4785</v>
      </c>
      <c r="D37121" s="8">
        <v>210</v>
      </c>
      <c r="E37121" s="8">
        <v>0</v>
      </c>
      <c r="F37121" s="8">
        <v>3007</v>
      </c>
    </row>
    <row r="37122" spans="1:6" ht="12.75">
      <c r="A37122" s="8">
        <v>43887.797523148147</v>
      </c>
      <c r="B37122" s="8" t="str">
        <f>HYPERLINK("https://twitter.com/adikterakir","@adikterakir")</f>
        <v>@adikterakir</v>
      </c>
      <c r="C37122" s="8" t="s">
        <v>11773</v>
      </c>
      <c r="D37122" s="8">
        <v>95</v>
      </c>
      <c r="E37122" s="8">
        <v>0</v>
      </c>
      <c r="F37122" s="8">
        <v>43</v>
      </c>
    </row>
    <row r="37123" spans="1:6" ht="12.75">
      <c r="A37123" s="8">
        <v>43887.797453703708</v>
      </c>
      <c r="B37123" s="8" t="str">
        <f>HYPERLINK("https://twitter.com/iina_surbakti","@iina_surbakti")</f>
        <v>@iina_surbakti</v>
      </c>
      <c r="C37123" s="8" t="s">
        <v>14429</v>
      </c>
      <c r="D37123" s="8">
        <v>0</v>
      </c>
      <c r="E37123" s="8">
        <v>0</v>
      </c>
      <c r="F37123" s="8">
        <v>557</v>
      </c>
    </row>
    <row r="37124" spans="1:6" ht="12.75">
      <c r="A37124" s="8">
        <v>43887.797384259262</v>
      </c>
      <c r="B37124" s="8" t="str">
        <f>HYPERLINK("https://twitter.com/erwin_idrus","@erwin_idrus")</f>
        <v>@erwin_idrus</v>
      </c>
      <c r="C37124" s="8" t="s">
        <v>12143</v>
      </c>
      <c r="D37124" s="8">
        <v>192</v>
      </c>
      <c r="E37124" s="8">
        <v>0</v>
      </c>
      <c r="F37124" s="8">
        <v>255</v>
      </c>
    </row>
    <row r="37125" spans="1:6" ht="12.75">
      <c r="A37125" s="8">
        <v>43887.797361111108</v>
      </c>
      <c r="B37125" s="8" t="str">
        <f>HYPERLINK("https://twitter.com/UtomoFreddy","@UtomoFreddy")</f>
        <v>@UtomoFreddy</v>
      </c>
      <c r="C37125" s="8" t="s">
        <v>4785</v>
      </c>
      <c r="D37125" s="8">
        <v>210</v>
      </c>
      <c r="E37125" s="8">
        <v>0</v>
      </c>
      <c r="F37125" s="8">
        <v>101</v>
      </c>
    </row>
    <row r="37126" spans="1:6" ht="12.75">
      <c r="A37126" s="8">
        <v>43887.797210648147</v>
      </c>
      <c r="B37126" s="8" t="str">
        <f>HYPERLINK("https://twitter.com/Jeyeg78","@Jeyeg78")</f>
        <v>@Jeyeg78</v>
      </c>
      <c r="C37126" s="8" t="s">
        <v>14430</v>
      </c>
      <c r="D37126" s="8">
        <v>105</v>
      </c>
      <c r="E37126" s="8">
        <v>0</v>
      </c>
      <c r="F37126" s="8">
        <v>466</v>
      </c>
    </row>
    <row r="37127" spans="1:6" ht="12.75">
      <c r="A37127" s="8">
        <v>43887.797129629631</v>
      </c>
      <c r="B37127" s="8" t="str">
        <f>HYPERLINK("https://twitter.com/AmstrongBiring","@AmstrongBiring")</f>
        <v>@AmstrongBiring</v>
      </c>
      <c r="C37127" s="8" t="s">
        <v>14431</v>
      </c>
      <c r="D37127" s="8">
        <v>1</v>
      </c>
      <c r="E37127" s="8">
        <v>0</v>
      </c>
      <c r="F37127" s="8">
        <v>1973</v>
      </c>
    </row>
    <row r="37128" spans="1:6" ht="12.75">
      <c r="A37128" s="8">
        <v>43887.797025462962</v>
      </c>
      <c r="B37128" s="8" t="str">
        <f>HYPERLINK("https://twitter.com/Abdussa78534939","@Abdussa78534939")</f>
        <v>@Abdussa78534939</v>
      </c>
      <c r="C37128" s="8" t="s">
        <v>11773</v>
      </c>
      <c r="D37128" s="8">
        <v>95</v>
      </c>
      <c r="E37128" s="8">
        <v>0</v>
      </c>
      <c r="F37128" s="8">
        <v>135</v>
      </c>
    </row>
    <row r="37129" spans="1:6" ht="12.75">
      <c r="A37129" s="8">
        <v>43887.796828703707</v>
      </c>
      <c r="B37129" s="8" t="str">
        <f>HYPERLINK("https://twitter.com/WartawanPensiun","@WartawanPensiun")</f>
        <v>@WartawanPensiun</v>
      </c>
      <c r="C37129" s="8" t="s">
        <v>11773</v>
      </c>
      <c r="D37129" s="8">
        <v>95</v>
      </c>
      <c r="E37129" s="8">
        <v>0</v>
      </c>
      <c r="F37129" s="8">
        <v>6547</v>
      </c>
    </row>
    <row r="37130" spans="1:6" ht="12.75">
      <c r="A37130" s="8">
        <v>43887.796365740738</v>
      </c>
      <c r="B37130" s="8" t="str">
        <f>HYPERLINK("https://twitter.com/CS_Ramdhani","@CS_Ramdhani")</f>
        <v>@CS_Ramdhani</v>
      </c>
      <c r="C37130" s="8" t="s">
        <v>12143</v>
      </c>
      <c r="D37130" s="8">
        <v>192</v>
      </c>
      <c r="E37130" s="8">
        <v>0</v>
      </c>
      <c r="F37130" s="8">
        <v>362</v>
      </c>
    </row>
    <row r="37131" spans="1:6" ht="12.75">
      <c r="A37131" s="8">
        <v>43887.796342592592</v>
      </c>
      <c r="B37131" s="8" t="str">
        <f>HYPERLINK("https://twitter.com/AmstrongBiring","@AmstrongBiring")</f>
        <v>@AmstrongBiring</v>
      </c>
      <c r="C37131" s="8" t="s">
        <v>14432</v>
      </c>
      <c r="D37131" s="8">
        <v>4</v>
      </c>
      <c r="E37131" s="8">
        <v>0</v>
      </c>
      <c r="F37131" s="8">
        <v>1973</v>
      </c>
    </row>
    <row r="37132" spans="1:6" ht="12.75">
      <c r="A37132" s="8">
        <v>43887.796226851853</v>
      </c>
      <c r="B37132" s="8" t="str">
        <f>HYPERLINK("https://twitter.com/Satryows","@Satryows")</f>
        <v>@Satryows</v>
      </c>
      <c r="C37132" s="8" t="s">
        <v>14433</v>
      </c>
      <c r="D37132" s="8">
        <v>0</v>
      </c>
      <c r="E37132" s="8">
        <v>0</v>
      </c>
      <c r="F37132" s="8">
        <v>330</v>
      </c>
    </row>
    <row r="37133" spans="1:6" ht="12.75">
      <c r="A37133" s="8">
        <v>43887.796203703707</v>
      </c>
      <c r="B37133" s="8" t="str">
        <f>HYPERLINK("https://twitter.com/yanidubba","@yanidubba")</f>
        <v>@yanidubba</v>
      </c>
      <c r="C37133" s="8" t="s">
        <v>26</v>
      </c>
      <c r="D37133" s="8">
        <v>75</v>
      </c>
      <c r="E37133" s="8">
        <v>0</v>
      </c>
      <c r="F37133" s="8">
        <v>54</v>
      </c>
    </row>
    <row r="37134" spans="1:6" ht="12.75">
      <c r="A37134" s="8">
        <v>43887.796157407407</v>
      </c>
      <c r="B37134" s="8" t="str">
        <f>HYPERLINK("https://twitter.com/AmstrongBiring","@AmstrongBiring")</f>
        <v>@AmstrongBiring</v>
      </c>
      <c r="C37134" s="8" t="s">
        <v>14434</v>
      </c>
      <c r="D37134" s="8">
        <v>1</v>
      </c>
      <c r="E37134" s="8">
        <v>0</v>
      </c>
      <c r="F37134" s="8">
        <v>1973</v>
      </c>
    </row>
    <row r="37135" spans="1:6" ht="12.75">
      <c r="A37135" s="8">
        <v>43887.796018518522</v>
      </c>
      <c r="B37135" s="8" t="str">
        <f>HYPERLINK("https://twitter.com/yanidubba","@yanidubba")</f>
        <v>@yanidubba</v>
      </c>
      <c r="C37135" s="8" t="s">
        <v>4785</v>
      </c>
      <c r="D37135" s="8">
        <v>210</v>
      </c>
      <c r="E37135" s="8">
        <v>0</v>
      </c>
      <c r="F37135" s="8">
        <v>54</v>
      </c>
    </row>
    <row r="37136" spans="1:6" ht="12.75">
      <c r="A37136" s="8">
        <v>43887.796018518522</v>
      </c>
      <c r="B37136" s="8" t="str">
        <f>HYPERLINK("https://twitter.com/Vickih_worsnop","@Vickih_worsnop")</f>
        <v>@Vickih_worsnop</v>
      </c>
      <c r="C37136" s="8" t="s">
        <v>14435</v>
      </c>
      <c r="D37136" s="8">
        <v>2</v>
      </c>
      <c r="E37136" s="8">
        <v>0</v>
      </c>
      <c r="F37136" s="8">
        <v>216</v>
      </c>
    </row>
    <row r="37137" spans="1:6" ht="12.75">
      <c r="A37137" s="8">
        <v>43887.795648148152</v>
      </c>
      <c r="B37137" s="8" t="str">
        <f>HYPERLINK("https://twitter.com/AmstrongBiring","@AmstrongBiring")</f>
        <v>@AmstrongBiring</v>
      </c>
      <c r="C37137" s="8" t="s">
        <v>14312</v>
      </c>
      <c r="D37137" s="8">
        <v>2</v>
      </c>
      <c r="E37137" s="8">
        <v>0</v>
      </c>
      <c r="F37137" s="8">
        <v>1973</v>
      </c>
    </row>
    <row r="37138" spans="1:6" ht="12.75">
      <c r="A37138" s="8">
        <v>43887.79550925926</v>
      </c>
      <c r="B37138" s="8" t="str">
        <f>HYPERLINK("https://twitter.com/FIMELAdotcom","@FIMELAdotcom")</f>
        <v>@FIMELAdotcom</v>
      </c>
      <c r="C37138" s="8" t="s">
        <v>14436</v>
      </c>
      <c r="D37138" s="8">
        <v>0</v>
      </c>
      <c r="E37138" s="8">
        <v>0</v>
      </c>
      <c r="F37138" s="8">
        <v>42208</v>
      </c>
    </row>
    <row r="37139" spans="1:6" ht="12.75">
      <c r="A37139" s="8">
        <v>43887.795451388884</v>
      </c>
      <c r="B37139" s="8" t="str">
        <f>HYPERLINK("https://twitter.com/kacangbakwan","@kacangbakwan")</f>
        <v>@kacangbakwan</v>
      </c>
      <c r="C37139" s="8" t="s">
        <v>11773</v>
      </c>
      <c r="D37139" s="8">
        <v>95</v>
      </c>
      <c r="E37139" s="8">
        <v>0</v>
      </c>
      <c r="F37139" s="8">
        <v>522</v>
      </c>
    </row>
    <row r="37140" spans="1:6" ht="12.75">
      <c r="A37140" s="8">
        <v>43887.795451388884</v>
      </c>
      <c r="B37140" s="8" t="str">
        <f>HYPERLINK("https://twitter.com/kardusbox08","@kardusbox08")</f>
        <v>@kardusbox08</v>
      </c>
      <c r="C37140" s="8" t="s">
        <v>14437</v>
      </c>
      <c r="D37140" s="8">
        <v>0</v>
      </c>
      <c r="E37140" s="8">
        <v>0</v>
      </c>
      <c r="F37140" s="8">
        <v>1612</v>
      </c>
    </row>
    <row r="37141" spans="1:6" ht="12.75">
      <c r="A37141" s="8">
        <v>43887.795428240745</v>
      </c>
      <c r="B37141" s="8" t="str">
        <f>HYPERLINK("https://twitter.com/stevenevets7","@stevenevets7")</f>
        <v>@stevenevets7</v>
      </c>
      <c r="C37141" s="8" t="s">
        <v>11773</v>
      </c>
      <c r="D37141" s="8">
        <v>95</v>
      </c>
      <c r="E37141" s="8">
        <v>0</v>
      </c>
      <c r="F37141" s="8">
        <v>714</v>
      </c>
    </row>
    <row r="37142" spans="1:6" ht="12.75">
      <c r="A37142" s="8">
        <v>43887.795335648145</v>
      </c>
      <c r="B37142" s="8" t="str">
        <f>HYPERLINK("https://twitter.com/AmstrongBiring","@AmstrongBiring")</f>
        <v>@AmstrongBiring</v>
      </c>
      <c r="C37142" s="8" t="s">
        <v>14438</v>
      </c>
      <c r="D37142" s="8">
        <v>2</v>
      </c>
      <c r="E37142" s="8">
        <v>0</v>
      </c>
      <c r="F37142" s="8">
        <v>1973</v>
      </c>
    </row>
    <row r="37143" spans="1:6" ht="12.75">
      <c r="A37143" s="8">
        <v>43887.795162037037</v>
      </c>
      <c r="B37143" s="8" t="str">
        <f>HYPERLINK("https://twitter.com/mikage_AA","@mikage_AA")</f>
        <v>@mikage_AA</v>
      </c>
      <c r="C37143" s="8" t="s">
        <v>2940</v>
      </c>
      <c r="D37143" s="8">
        <v>2645</v>
      </c>
      <c r="E37143" s="8">
        <v>0</v>
      </c>
      <c r="F37143" s="8">
        <v>212</v>
      </c>
    </row>
    <row r="37144" spans="1:6" ht="12.75">
      <c r="A37144" s="8">
        <v>43887.795081018514</v>
      </c>
      <c r="B37144" s="8" t="str">
        <f>HYPERLINK("https://twitter.com/Yodha22998838","@Yodha22998838")</f>
        <v>@Yodha22998838</v>
      </c>
      <c r="C37144" s="8" t="s">
        <v>12143</v>
      </c>
      <c r="D37144" s="8">
        <v>192</v>
      </c>
      <c r="E37144" s="8">
        <v>0</v>
      </c>
      <c r="F37144" s="8">
        <v>55</v>
      </c>
    </row>
    <row r="37145" spans="1:6" ht="12.75">
      <c r="A37145" s="8">
        <v>43887.795034722221</v>
      </c>
      <c r="B37145" s="8" t="str">
        <f>HYPERLINK("https://twitter.com/K9VV0gEJa0wQfbf","@K9VV0gEJa0wQfbf")</f>
        <v>@K9VV0gEJa0wQfbf</v>
      </c>
      <c r="C37145" s="8" t="s">
        <v>2940</v>
      </c>
      <c r="D37145" s="8">
        <v>2645</v>
      </c>
      <c r="E37145" s="8">
        <v>0</v>
      </c>
      <c r="F37145" s="8">
        <v>88</v>
      </c>
    </row>
    <row r="37146" spans="1:6" ht="12.75">
      <c r="A37146" s="8">
        <v>43887.794907407406</v>
      </c>
      <c r="B37146" s="8" t="str">
        <f>HYPERLINK("https://twitter.com/najmarasiekhaa","@najmarasiekhaa")</f>
        <v>@najmarasiekhaa</v>
      </c>
      <c r="C37146" s="8" t="s">
        <v>14439</v>
      </c>
      <c r="D37146" s="8">
        <v>13</v>
      </c>
      <c r="E37146" s="8">
        <v>0</v>
      </c>
      <c r="F37146" s="8">
        <v>559</v>
      </c>
    </row>
    <row r="37147" spans="1:6" ht="12.75">
      <c r="A37147" s="8">
        <v>43887.794895833329</v>
      </c>
      <c r="B37147" s="8" t="str">
        <f>HYPERLINK("https://twitter.com/JannesHutajulu","@JannesHutajulu")</f>
        <v>@JannesHutajulu</v>
      </c>
      <c r="C37147" s="8" t="s">
        <v>11773</v>
      </c>
      <c r="D37147" s="8">
        <v>95</v>
      </c>
      <c r="E37147" s="8">
        <v>0</v>
      </c>
      <c r="F37147" s="8">
        <v>2405</v>
      </c>
    </row>
    <row r="37148" spans="1:6" ht="12.75">
      <c r="A37148" s="8">
        <v>43887.79488425926</v>
      </c>
      <c r="B37148" s="8" t="str">
        <f>HYPERLINK("https://twitter.com/Iwan_Kapuk","@Iwan_Kapuk")</f>
        <v>@Iwan_Kapuk</v>
      </c>
      <c r="C37148" s="8" t="s">
        <v>11773</v>
      </c>
      <c r="D37148" s="8">
        <v>95</v>
      </c>
      <c r="E37148" s="8">
        <v>0</v>
      </c>
      <c r="F37148" s="8">
        <v>2772</v>
      </c>
    </row>
    <row r="37149" spans="1:6" ht="12.75">
      <c r="A37149" s="8">
        <v>43887.794849537036</v>
      </c>
      <c r="B37149" s="8" t="str">
        <f>HYPERLINK("https://twitter.com/khermaw","@khermaw")</f>
        <v>@khermaw</v>
      </c>
      <c r="C37149" s="8" t="s">
        <v>13365</v>
      </c>
      <c r="D37149" s="8">
        <v>832</v>
      </c>
      <c r="E37149" s="8">
        <v>0</v>
      </c>
      <c r="F37149" s="8">
        <v>1138</v>
      </c>
    </row>
    <row r="37150" spans="1:6" ht="12.75">
      <c r="A37150" s="8">
        <v>43887.79482638889</v>
      </c>
      <c r="B37150" s="8" t="str">
        <f>HYPERLINK("https://twitter.com/RiriJreeng","@RiriJreeng")</f>
        <v>@RiriJreeng</v>
      </c>
      <c r="C37150" s="8" t="s">
        <v>14426</v>
      </c>
      <c r="D37150" s="8">
        <v>3</v>
      </c>
      <c r="E37150" s="8">
        <v>0</v>
      </c>
      <c r="F37150" s="8">
        <v>5783</v>
      </c>
    </row>
    <row r="37151" spans="1:6" ht="12.75">
      <c r="A37151" s="8">
        <v>43887.79482638889</v>
      </c>
      <c r="B37151" s="8" t="str">
        <f>HYPERLINK("https://twitter.com/Jabodetabek_","@Jabodetabek_")</f>
        <v>@Jabodetabek_</v>
      </c>
      <c r="C37151" s="8" t="s">
        <v>14440</v>
      </c>
      <c r="D37151" s="8">
        <v>0</v>
      </c>
      <c r="E37151" s="8">
        <v>0</v>
      </c>
      <c r="F37151" s="8">
        <v>29503</v>
      </c>
    </row>
    <row r="37152" spans="1:6" ht="12.75">
      <c r="A37152" s="8">
        <v>43887.794791666667</v>
      </c>
      <c r="B37152" s="8" t="str">
        <f>HYPERLINK("https://twitter.com/ning_jova","@ning_jova")</f>
        <v>@ning_jova</v>
      </c>
      <c r="C37152" s="8" t="s">
        <v>14441</v>
      </c>
      <c r="D37152" s="8">
        <v>0</v>
      </c>
      <c r="E37152" s="8">
        <v>0</v>
      </c>
      <c r="F37152" s="8">
        <v>137</v>
      </c>
    </row>
    <row r="37153" spans="1:6" ht="12.75">
      <c r="A37153" s="8">
        <v>43887.794456018513</v>
      </c>
      <c r="B37153" s="8" t="str">
        <f>HYPERLINK("https://twitter.com/yanidubba","@yanidubba")</f>
        <v>@yanidubba</v>
      </c>
      <c r="C37153" s="8" t="s">
        <v>14442</v>
      </c>
      <c r="D37153" s="8">
        <v>0</v>
      </c>
      <c r="E37153" s="8">
        <v>0</v>
      </c>
      <c r="F37153" s="8">
        <v>54</v>
      </c>
    </row>
    <row r="37154" spans="1:6" ht="12.75">
      <c r="A37154" s="8">
        <v>43887.794409722221</v>
      </c>
      <c r="B37154" s="8" t="str">
        <f>HYPERLINK("https://twitter.com/Vickih_worsnop","@Vickih_worsnop")</f>
        <v>@Vickih_worsnop</v>
      </c>
      <c r="C37154" s="8" t="s">
        <v>14443</v>
      </c>
      <c r="D37154" s="8">
        <v>2</v>
      </c>
      <c r="E37154" s="8">
        <v>0</v>
      </c>
      <c r="F37154" s="8">
        <v>216</v>
      </c>
    </row>
    <row r="37155" spans="1:6" ht="12.75">
      <c r="A37155" s="8">
        <v>43887.794351851851</v>
      </c>
      <c r="B37155" s="8" t="str">
        <f>HYPERLINK("https://twitter.com/alambaskoroke4","@alambaskoroke4")</f>
        <v>@alambaskoroke4</v>
      </c>
      <c r="C37155" s="8" t="s">
        <v>4785</v>
      </c>
      <c r="D37155" s="8">
        <v>210</v>
      </c>
      <c r="E37155" s="8">
        <v>0</v>
      </c>
      <c r="F37155" s="8">
        <v>334</v>
      </c>
    </row>
    <row r="37156" spans="1:6" ht="12.75">
      <c r="A37156" s="8">
        <v>43887.794270833328</v>
      </c>
      <c r="B37156" s="8" t="str">
        <f>HYPERLINK("https://twitter.com/amrudinnejad_","@amrudinnejad_")</f>
        <v>@amrudinnejad_</v>
      </c>
      <c r="C37156" s="8" t="s">
        <v>11773</v>
      </c>
      <c r="D37156" s="8">
        <v>95</v>
      </c>
      <c r="E37156" s="8">
        <v>0</v>
      </c>
      <c r="F37156" s="8">
        <v>7940</v>
      </c>
    </row>
    <row r="37157" spans="1:6" ht="12.75">
      <c r="A37157" s="8">
        <v>43887.794085648144</v>
      </c>
      <c r="B37157" s="8" t="str">
        <f>HYPERLINK("https://twitter.com/Vickih_worsnop","@Vickih_worsnop")</f>
        <v>@Vickih_worsnop</v>
      </c>
      <c r="C37157" s="8" t="s">
        <v>14444</v>
      </c>
      <c r="D37157" s="8">
        <v>1</v>
      </c>
      <c r="E37157" s="8">
        <v>0</v>
      </c>
      <c r="F37157" s="8">
        <v>216</v>
      </c>
    </row>
    <row r="37158" spans="1:6" ht="12.75">
      <c r="A37158" s="8">
        <v>43887.794016203705</v>
      </c>
      <c r="B37158" s="8" t="str">
        <f>HYPERLINK("https://twitter.com/MollyHS","@MollyHS")</f>
        <v>@MollyHS</v>
      </c>
      <c r="C37158" s="8" t="s">
        <v>4785</v>
      </c>
      <c r="D37158" s="8">
        <v>210</v>
      </c>
      <c r="E37158" s="8">
        <v>0</v>
      </c>
      <c r="F37158" s="8">
        <v>261</v>
      </c>
    </row>
    <row r="37159" spans="1:6" ht="12.75">
      <c r="A37159" s="8">
        <v>43887.793854166666</v>
      </c>
      <c r="B37159" s="8" t="str">
        <f>HYPERLINK("https://twitter.com/TafaWidjaya","@TafaWidjaya")</f>
        <v>@TafaWidjaya</v>
      </c>
      <c r="C37159" s="8" t="s">
        <v>11773</v>
      </c>
      <c r="D37159" s="8">
        <v>95</v>
      </c>
      <c r="E37159" s="8">
        <v>0</v>
      </c>
      <c r="F37159" s="8">
        <v>201</v>
      </c>
    </row>
    <row r="37160" spans="1:6" ht="12.75">
      <c r="A37160" s="8">
        <v>43887.79378472222</v>
      </c>
      <c r="B37160" s="8" t="str">
        <f>HYPERLINK("https://twitter.com/KelianBanjar_GK","@KelianBanjar_GK")</f>
        <v>@KelianBanjar_GK</v>
      </c>
      <c r="C37160" s="8" t="s">
        <v>14426</v>
      </c>
      <c r="D37160" s="8">
        <v>3</v>
      </c>
      <c r="E37160" s="8">
        <v>0</v>
      </c>
      <c r="F37160" s="8">
        <v>8765</v>
      </c>
    </row>
    <row r="37161" spans="1:6" ht="12.75">
      <c r="A37161" s="8">
        <v>43887.793275462958</v>
      </c>
      <c r="B37161" s="8" t="str">
        <f>HYPERLINK("https://twitter.com/nanditodit","@nanditodit")</f>
        <v>@nanditodit</v>
      </c>
      <c r="C37161" s="8" t="s">
        <v>14445</v>
      </c>
      <c r="D37161" s="8">
        <v>0</v>
      </c>
      <c r="E37161" s="8">
        <v>1</v>
      </c>
      <c r="F37161" s="8">
        <v>0</v>
      </c>
    </row>
    <row r="37162" spans="1:6" ht="12.75">
      <c r="A37162" s="8">
        <v>43887.793136574073</v>
      </c>
      <c r="B37162" s="8" t="str">
        <f t="shared" ref="B37162:B37163" si="547">HYPERLINK("https://twitter.com/JGowex","@JGowex")</f>
        <v>@JGowex</v>
      </c>
      <c r="C37162" s="8" t="s">
        <v>26</v>
      </c>
      <c r="D37162" s="8">
        <v>75</v>
      </c>
      <c r="E37162" s="8">
        <v>0</v>
      </c>
      <c r="F37162" s="8">
        <v>2</v>
      </c>
    </row>
    <row r="37163" spans="1:6" ht="12.75">
      <c r="A37163" s="8">
        <v>43887.793090277773</v>
      </c>
      <c r="B37163" s="8" t="str">
        <f t="shared" si="547"/>
        <v>@JGowex</v>
      </c>
      <c r="C37163" s="8" t="s">
        <v>4785</v>
      </c>
      <c r="D37163" s="8">
        <v>210</v>
      </c>
      <c r="E37163" s="8">
        <v>0</v>
      </c>
      <c r="F37163" s="8">
        <v>2</v>
      </c>
    </row>
    <row r="37164" spans="1:6" ht="12.75">
      <c r="A37164" s="8">
        <v>43887.792893518519</v>
      </c>
      <c r="B37164" s="8" t="str">
        <f>HYPERLINK("https://twitter.com/visitortwt1","@visitortwt1")</f>
        <v>@visitortwt1</v>
      </c>
      <c r="C37164" s="8" t="s">
        <v>14438</v>
      </c>
      <c r="D37164" s="8">
        <v>2</v>
      </c>
      <c r="E37164" s="8">
        <v>0</v>
      </c>
      <c r="F37164" s="8">
        <v>413</v>
      </c>
    </row>
    <row r="37165" spans="1:6" ht="12.75">
      <c r="A37165" s="8">
        <v>43887.792800925927</v>
      </c>
      <c r="B37165" s="8" t="str">
        <f>HYPERLINK("https://twitter.com/V_Stone_Kardol","@V_Stone_Kardol")</f>
        <v>@V_Stone_Kardol</v>
      </c>
      <c r="C37165" s="8" t="s">
        <v>14446</v>
      </c>
      <c r="D37165" s="8">
        <v>2</v>
      </c>
      <c r="E37165" s="8">
        <v>4</v>
      </c>
      <c r="F37165" s="8">
        <v>8097</v>
      </c>
    </row>
    <row r="37166" spans="1:6" ht="12.75">
      <c r="A37166" s="8">
        <v>43887.792476851857</v>
      </c>
      <c r="B37166" s="8" t="str">
        <f>HYPERLINK("https://twitter.com/arifmbe","@arifmbe")</f>
        <v>@arifmbe</v>
      </c>
      <c r="C37166" s="8" t="s">
        <v>14447</v>
      </c>
      <c r="D37166" s="8">
        <v>0</v>
      </c>
      <c r="E37166" s="8">
        <v>0</v>
      </c>
      <c r="F37166" s="8">
        <v>570</v>
      </c>
    </row>
    <row r="37167" spans="1:6" ht="12.75">
      <c r="A37167" s="8">
        <v>43887.792291666672</v>
      </c>
      <c r="B37167" s="8" t="str">
        <f>HYPERLINK("https://twitter.com/dutchiemerth","@dutchiemerth")</f>
        <v>@dutchiemerth</v>
      </c>
      <c r="C37167" s="8" t="s">
        <v>12406</v>
      </c>
      <c r="D37167" s="8">
        <v>43</v>
      </c>
      <c r="E37167" s="8">
        <v>0</v>
      </c>
      <c r="F37167" s="8">
        <v>416</v>
      </c>
    </row>
    <row r="37168" spans="1:6" ht="12.75">
      <c r="A37168" s="8">
        <v>43887.792268518519</v>
      </c>
      <c r="B37168" s="8" t="str">
        <f>HYPERLINK("https://twitter.com/AmstrongBiring","@AmstrongBiring")</f>
        <v>@AmstrongBiring</v>
      </c>
      <c r="C37168" s="8" t="s">
        <v>14448</v>
      </c>
      <c r="D37168" s="8">
        <v>1</v>
      </c>
      <c r="E37168" s="8">
        <v>0</v>
      </c>
      <c r="F37168" s="8">
        <v>1973</v>
      </c>
    </row>
    <row r="37169" spans="1:6" ht="12.75">
      <c r="A37169" s="8">
        <v>43887.791886574079</v>
      </c>
      <c r="B37169" s="8" t="str">
        <f>HYPERLINK("https://twitter.com/her_soebijoto","@her_soebijoto")</f>
        <v>@her_soebijoto</v>
      </c>
      <c r="C37169" s="8" t="s">
        <v>14449</v>
      </c>
      <c r="D37169" s="8">
        <v>0</v>
      </c>
      <c r="E37169" s="8">
        <v>0</v>
      </c>
      <c r="F37169" s="8">
        <v>504</v>
      </c>
    </row>
    <row r="37170" spans="1:6" ht="12.75">
      <c r="A37170" s="8">
        <v>43887.791805555556</v>
      </c>
      <c r="B37170" s="8" t="str">
        <f>HYPERLINK("https://twitter.com/nita_nilik","@nita_nilik")</f>
        <v>@nita_nilik</v>
      </c>
      <c r="C37170" s="8" t="s">
        <v>11773</v>
      </c>
      <c r="D37170" s="8">
        <v>95</v>
      </c>
      <c r="E37170" s="8">
        <v>0</v>
      </c>
      <c r="F37170" s="8">
        <v>126</v>
      </c>
    </row>
    <row r="37171" spans="1:6" ht="12.75">
      <c r="A37171" s="8">
        <v>43887.791805555556</v>
      </c>
      <c r="B37171" s="8" t="str">
        <f>HYPERLINK("https://twitter.com/jangankepo841","@jangankepo841")</f>
        <v>@jangankepo841</v>
      </c>
      <c r="C37171" s="8" t="s">
        <v>4785</v>
      </c>
      <c r="D37171" s="8">
        <v>210</v>
      </c>
      <c r="E37171" s="8">
        <v>0</v>
      </c>
      <c r="F37171" s="8">
        <v>16</v>
      </c>
    </row>
    <row r="37172" spans="1:6" ht="12.75">
      <c r="A37172" s="8">
        <v>43887.791493055556</v>
      </c>
      <c r="B37172" s="8" t="str">
        <f>HYPERLINK("https://twitter.com/AmstrongBiring","@AmstrongBiring")</f>
        <v>@AmstrongBiring</v>
      </c>
      <c r="C37172" s="8" t="s">
        <v>14450</v>
      </c>
      <c r="D37172" s="8">
        <v>1</v>
      </c>
      <c r="E37172" s="8">
        <v>0</v>
      </c>
      <c r="F37172" s="8">
        <v>1973</v>
      </c>
    </row>
    <row r="37173" spans="1:6" ht="12.75">
      <c r="A37173" s="8">
        <v>43887.791458333333</v>
      </c>
      <c r="B37173" s="8" t="str">
        <f>HYPERLINK("https://twitter.com/bagus15siwon","@bagus15siwon")</f>
        <v>@bagus15siwon</v>
      </c>
      <c r="C37173" s="8" t="s">
        <v>26</v>
      </c>
      <c r="D37173" s="8">
        <v>75</v>
      </c>
      <c r="E37173" s="8">
        <v>0</v>
      </c>
      <c r="F37173" s="8">
        <v>339</v>
      </c>
    </row>
    <row r="37174" spans="1:6" ht="12.75">
      <c r="A37174" s="8">
        <v>43887.791192129633</v>
      </c>
      <c r="B37174" s="8" t="str">
        <f>HYPERLINK("https://twitter.com/AmstrongBiring","@AmstrongBiring")</f>
        <v>@AmstrongBiring</v>
      </c>
      <c r="C37174" s="8" t="s">
        <v>14451</v>
      </c>
      <c r="D37174" s="8">
        <v>0</v>
      </c>
      <c r="E37174" s="8">
        <v>0</v>
      </c>
      <c r="F37174" s="8">
        <v>1973</v>
      </c>
    </row>
    <row r="37175" spans="1:6" ht="12.75">
      <c r="A37175" s="8">
        <v>43887.790960648148</v>
      </c>
      <c r="B37175" s="8" t="str">
        <f>HYPERLINK("https://twitter.com/arsynadiaa","@arsynadiaa")</f>
        <v>@arsynadiaa</v>
      </c>
      <c r="C37175" s="8" t="s">
        <v>12412</v>
      </c>
      <c r="D37175" s="8">
        <v>0</v>
      </c>
      <c r="E37175" s="8">
        <v>0</v>
      </c>
      <c r="F37175" s="8">
        <v>357</v>
      </c>
    </row>
    <row r="37176" spans="1:6" ht="12.75">
      <c r="A37176" s="8">
        <v>43887.790775462963</v>
      </c>
      <c r="B37176" s="8" t="str">
        <f>HYPERLINK("https://twitter.com/AmstrongBiring","@AmstrongBiring")</f>
        <v>@AmstrongBiring</v>
      </c>
      <c r="C37176" s="8" t="s">
        <v>14452</v>
      </c>
      <c r="D37176" s="8">
        <v>1</v>
      </c>
      <c r="E37176" s="8">
        <v>0</v>
      </c>
      <c r="F37176" s="8">
        <v>1973</v>
      </c>
    </row>
    <row r="37177" spans="1:6" ht="12.75">
      <c r="A37177" s="8">
        <v>43887.79074074074</v>
      </c>
      <c r="B37177" s="8" t="str">
        <f>HYPERLINK("https://twitter.com/Gevensky","@Gevensky")</f>
        <v>@Gevensky</v>
      </c>
      <c r="C37177" s="8" t="s">
        <v>14453</v>
      </c>
      <c r="D37177" s="8">
        <v>0</v>
      </c>
      <c r="E37177" s="8">
        <v>0</v>
      </c>
      <c r="F37177" s="8">
        <v>3263</v>
      </c>
    </row>
    <row r="37178" spans="1:6" ht="12.75">
      <c r="A37178" s="8">
        <v>43887.790682870371</v>
      </c>
      <c r="B37178" s="8" t="str">
        <f>HYPERLINK("https://twitter.com/fatih_bintoro","@fatih_bintoro")</f>
        <v>@fatih_bintoro</v>
      </c>
      <c r="C37178" s="8" t="s">
        <v>14454</v>
      </c>
      <c r="D37178" s="8">
        <v>0</v>
      </c>
      <c r="E37178" s="8">
        <v>0</v>
      </c>
      <c r="F37178" s="8">
        <v>635</v>
      </c>
    </row>
    <row r="37179" spans="1:6" ht="12.75">
      <c r="A37179" s="8">
        <v>43887.790636574078</v>
      </c>
      <c r="B37179" s="8" t="str">
        <f>HYPERLINK("https://twitter.com/FaGtng","@FaGtng")</f>
        <v>@FaGtng</v>
      </c>
      <c r="C37179" s="8" t="s">
        <v>14455</v>
      </c>
      <c r="D37179" s="8">
        <v>2</v>
      </c>
      <c r="E37179" s="8">
        <v>2</v>
      </c>
      <c r="F37179" s="8">
        <v>16300</v>
      </c>
    </row>
    <row r="37180" spans="1:6" ht="12.75">
      <c r="A37180" s="8">
        <v>43887.790543981479</v>
      </c>
      <c r="B37180" s="8" t="str">
        <f>HYPERLINK("https://twitter.com/iniilhamasli","@iniilhamasli")</f>
        <v>@iniilhamasli</v>
      </c>
      <c r="C37180" s="8" t="s">
        <v>12406</v>
      </c>
      <c r="D37180" s="8">
        <v>43</v>
      </c>
      <c r="E37180" s="8">
        <v>0</v>
      </c>
      <c r="F37180" s="8">
        <v>476</v>
      </c>
    </row>
    <row r="37181" spans="1:6" ht="12.75">
      <c r="A37181" s="8">
        <v>43887.790509259255</v>
      </c>
      <c r="B37181" s="8" t="str">
        <f>HYPERLINK("https://twitter.com/_Ywd12","@_Ywd12")</f>
        <v>@_Ywd12</v>
      </c>
      <c r="C37181" s="8" t="s">
        <v>4785</v>
      </c>
      <c r="D37181" s="8">
        <v>210</v>
      </c>
      <c r="E37181" s="8">
        <v>0</v>
      </c>
      <c r="F37181" s="8">
        <v>110</v>
      </c>
    </row>
    <row r="37182" spans="1:6" ht="12.75">
      <c r="A37182" s="8">
        <v>43887.790462962963</v>
      </c>
      <c r="B37182" s="8" t="str">
        <f>HYPERLINK("https://twitter.com/FarelmaxL","@FarelmaxL")</f>
        <v>@FarelmaxL</v>
      </c>
      <c r="C37182" s="8" t="s">
        <v>14456</v>
      </c>
      <c r="D37182" s="8">
        <v>0</v>
      </c>
      <c r="E37182" s="8">
        <v>0</v>
      </c>
      <c r="F37182" s="8">
        <v>1380</v>
      </c>
    </row>
    <row r="37183" spans="1:6" ht="12.75">
      <c r="A37183" s="8">
        <v>43887.790439814809</v>
      </c>
      <c r="B37183" s="8" t="str">
        <f>HYPERLINK("https://twitter.com/kem0ceng","@kem0ceng")</f>
        <v>@kem0ceng</v>
      </c>
      <c r="C37183" s="8" t="s">
        <v>11773</v>
      </c>
      <c r="D37183" s="8">
        <v>95</v>
      </c>
      <c r="E37183" s="8">
        <v>0</v>
      </c>
      <c r="F37183" s="8">
        <v>40</v>
      </c>
    </row>
    <row r="37184" spans="1:6" ht="12.75">
      <c r="A37184" s="8">
        <v>43887.790254629625</v>
      </c>
      <c r="B37184" s="8" t="str">
        <f>HYPERLINK("https://twitter.com/adisatya","@adisatya")</f>
        <v>@adisatya</v>
      </c>
      <c r="C37184" s="8" t="s">
        <v>14457</v>
      </c>
      <c r="D37184" s="8">
        <v>1</v>
      </c>
      <c r="E37184" s="8">
        <v>2</v>
      </c>
      <c r="F37184" s="8">
        <v>1249</v>
      </c>
    </row>
    <row r="37185" spans="1:6" ht="12.75">
      <c r="A37185" s="8">
        <v>43887.790138888886</v>
      </c>
      <c r="B37185" s="8" t="str">
        <f>HYPERLINK("https://twitter.com/becak125cc","@becak125cc")</f>
        <v>@becak125cc</v>
      </c>
      <c r="C37185" s="8" t="s">
        <v>11773</v>
      </c>
      <c r="D37185" s="8">
        <v>95</v>
      </c>
      <c r="E37185" s="8">
        <v>0</v>
      </c>
      <c r="F37185" s="8">
        <v>529</v>
      </c>
    </row>
    <row r="37186" spans="1:6" ht="12.75">
      <c r="A37186" s="8">
        <v>43887.790127314816</v>
      </c>
      <c r="B37186" s="8" t="str">
        <f>HYPERLINK("https://twitter.com/Hariyanto152","@Hariyanto152")</f>
        <v>@Hariyanto152</v>
      </c>
      <c r="C37186" s="8" t="s">
        <v>14458</v>
      </c>
      <c r="D37186" s="8">
        <v>0</v>
      </c>
      <c r="E37186" s="8">
        <v>1</v>
      </c>
      <c r="F37186" s="8">
        <v>3827</v>
      </c>
    </row>
    <row r="37187" spans="1:6" ht="12.75">
      <c r="A37187" s="8">
        <v>43887.790092592593</v>
      </c>
      <c r="B37187" s="8" t="str">
        <f>HYPERLINK("https://twitter.com/heyndrik","@heyndrik")</f>
        <v>@heyndrik</v>
      </c>
      <c r="C37187" s="8" t="s">
        <v>4785</v>
      </c>
      <c r="D37187" s="8">
        <v>210</v>
      </c>
      <c r="E37187" s="8">
        <v>0</v>
      </c>
      <c r="F37187" s="8">
        <v>579</v>
      </c>
    </row>
    <row r="37188" spans="1:6" ht="12.75">
      <c r="A37188" s="8">
        <v>43887.789849537032</v>
      </c>
      <c r="B37188" s="8" t="str">
        <f>HYPERLINK("https://twitter.com/Abdussa78534939","@Abdussa78534939")</f>
        <v>@Abdussa78534939</v>
      </c>
      <c r="C37188" s="8" t="s">
        <v>4785</v>
      </c>
      <c r="D37188" s="8">
        <v>210</v>
      </c>
      <c r="E37188" s="8">
        <v>0</v>
      </c>
      <c r="F37188" s="8">
        <v>135</v>
      </c>
    </row>
    <row r="37189" spans="1:6" ht="12.75">
      <c r="A37189" s="8">
        <v>43887.78979166667</v>
      </c>
      <c r="B37189" s="8" t="str">
        <f>HYPERLINK("https://twitter.com/InfoDenpasar_","@InfoDenpasar_")</f>
        <v>@InfoDenpasar_</v>
      </c>
      <c r="C37189" s="8" t="s">
        <v>14459</v>
      </c>
      <c r="D37189" s="8">
        <v>0</v>
      </c>
      <c r="E37189" s="8">
        <v>1</v>
      </c>
      <c r="F37189" s="8">
        <v>96</v>
      </c>
    </row>
    <row r="37190" spans="1:6" ht="12.75">
      <c r="A37190" s="8">
        <v>43887.7893287037</v>
      </c>
      <c r="B37190" s="8" t="str">
        <f>HYPERLINK("https://twitter.com/CoklatKejuSusu_","@CoklatKejuSusu_")</f>
        <v>@CoklatKejuSusu_</v>
      </c>
      <c r="C37190" s="8" t="s">
        <v>13633</v>
      </c>
      <c r="D37190" s="8">
        <v>28</v>
      </c>
      <c r="E37190" s="8">
        <v>0</v>
      </c>
      <c r="F37190" s="8">
        <v>150</v>
      </c>
    </row>
    <row r="37191" spans="1:6" ht="12.75">
      <c r="A37191" s="8">
        <v>43887.789305555554</v>
      </c>
      <c r="B37191" s="8" t="str">
        <f>HYPERLINK("https://twitter.com/96Gino1","@96Gino1")</f>
        <v>@96Gino1</v>
      </c>
      <c r="C37191" s="8" t="s">
        <v>14460</v>
      </c>
      <c r="D37191" s="8">
        <v>0</v>
      </c>
      <c r="E37191" s="8">
        <v>1</v>
      </c>
      <c r="F37191" s="8">
        <v>141</v>
      </c>
    </row>
    <row r="37192" spans="1:6" ht="12.75">
      <c r="A37192" s="8">
        <v>43887.789166666669</v>
      </c>
      <c r="B37192" s="8" t="str">
        <f>HYPERLINK("https://twitter.com/pippith","@pippith")</f>
        <v>@pippith</v>
      </c>
      <c r="C37192" s="8" t="s">
        <v>14461</v>
      </c>
      <c r="D37192" s="8">
        <v>0</v>
      </c>
      <c r="E37192" s="8">
        <v>0</v>
      </c>
      <c r="F37192" s="8">
        <v>243</v>
      </c>
    </row>
    <row r="37193" spans="1:6" ht="12.75">
      <c r="A37193" s="8">
        <v>43887.789097222223</v>
      </c>
      <c r="B37193" s="8" t="str">
        <f>HYPERLINK("https://twitter.com/WargaJurnal","@WargaJurnal")</f>
        <v>@WargaJurnal</v>
      </c>
      <c r="C37193" s="8" t="s">
        <v>14462</v>
      </c>
      <c r="D37193" s="8">
        <v>0</v>
      </c>
      <c r="E37193" s="8">
        <v>0</v>
      </c>
      <c r="F37193" s="8">
        <v>255</v>
      </c>
    </row>
    <row r="37194" spans="1:6" ht="12.75">
      <c r="A37194" s="8">
        <v>43887.78905092593</v>
      </c>
      <c r="B37194" s="8" t="str">
        <f>HYPERLINK("https://twitter.com/SNurhidajati","@SNurhidajati")</f>
        <v>@SNurhidajati</v>
      </c>
      <c r="C37194" s="8" t="s">
        <v>13900</v>
      </c>
      <c r="D37194" s="8">
        <v>47</v>
      </c>
      <c r="E37194" s="8">
        <v>0</v>
      </c>
      <c r="F37194" s="8">
        <v>25</v>
      </c>
    </row>
    <row r="37195" spans="1:6" ht="12.75">
      <c r="A37195" s="8">
        <v>43887.788935185185</v>
      </c>
      <c r="B37195" s="8" t="str">
        <f>HYPERLINK("https://twitter.com/Yayatbet2","@Yayatbet2")</f>
        <v>@Yayatbet2</v>
      </c>
      <c r="C37195" s="8" t="s">
        <v>13633</v>
      </c>
      <c r="D37195" s="8">
        <v>28</v>
      </c>
      <c r="E37195" s="8">
        <v>0</v>
      </c>
      <c r="F37195" s="8">
        <v>37</v>
      </c>
    </row>
    <row r="37196" spans="1:6" ht="12.75">
      <c r="A37196" s="8">
        <v>43887.788923611108</v>
      </c>
      <c r="B37196" s="8" t="str">
        <f>HYPERLINK("https://twitter.com/masdhafm","@masdhafm")</f>
        <v>@masdhafm</v>
      </c>
      <c r="C37196" s="8" t="s">
        <v>14463</v>
      </c>
      <c r="D37196" s="8">
        <v>0</v>
      </c>
      <c r="E37196" s="8">
        <v>0</v>
      </c>
      <c r="F37196" s="8">
        <v>2826</v>
      </c>
    </row>
    <row r="37197" spans="1:6" ht="12.75">
      <c r="A37197" s="8">
        <v>43887.788715277777</v>
      </c>
      <c r="B37197" s="8" t="str">
        <f>HYPERLINK("https://twitter.com/AmstrongBiring","@AmstrongBiring")</f>
        <v>@AmstrongBiring</v>
      </c>
      <c r="C37197" s="8" t="s">
        <v>14464</v>
      </c>
      <c r="D37197" s="8">
        <v>11</v>
      </c>
      <c r="E37197" s="8">
        <v>0</v>
      </c>
      <c r="F37197" s="8">
        <v>1973</v>
      </c>
    </row>
    <row r="37198" spans="1:6" ht="12.75">
      <c r="A37198" s="8">
        <v>43887.788715277777</v>
      </c>
      <c r="B37198" s="8" t="str">
        <f>HYPERLINK("https://twitter.com/EoBartom","@EoBartom")</f>
        <v>@EoBartom</v>
      </c>
      <c r="C37198" s="8" t="s">
        <v>11773</v>
      </c>
      <c r="D37198" s="8">
        <v>95</v>
      </c>
      <c r="E37198" s="8">
        <v>0</v>
      </c>
      <c r="F37198" s="8">
        <v>1610</v>
      </c>
    </row>
    <row r="37199" spans="1:6" ht="12.75">
      <c r="A37199" s="8">
        <v>43887.788622685184</v>
      </c>
      <c r="B37199" s="8" t="str">
        <f>HYPERLINK("https://twitter.com/lonelyman40200","@lonelyman40200")</f>
        <v>@lonelyman40200</v>
      </c>
      <c r="C37199" s="8" t="s">
        <v>13633</v>
      </c>
      <c r="D37199" s="8">
        <v>28</v>
      </c>
      <c r="E37199" s="8">
        <v>0</v>
      </c>
      <c r="F37199" s="8">
        <v>214</v>
      </c>
    </row>
    <row r="37200" spans="1:6" ht="12.75">
      <c r="A37200" s="8">
        <v>43887.788530092592</v>
      </c>
      <c r="B37200" s="8" t="str">
        <f>HYPERLINK("https://twitter.com/dieepakkumar","@dieepakkumar")</f>
        <v>@dieepakkumar</v>
      </c>
      <c r="C37200" s="8" t="s">
        <v>14465</v>
      </c>
      <c r="D37200" s="8">
        <v>0</v>
      </c>
      <c r="E37200" s="8">
        <v>0</v>
      </c>
      <c r="F37200" s="8">
        <v>63</v>
      </c>
    </row>
    <row r="37201" spans="1:6" ht="12.75">
      <c r="A37201" s="8">
        <v>43887.788495370369</v>
      </c>
      <c r="B37201" s="8" t="str">
        <f>HYPERLINK("https://twitter.com/AmstrongBiring","@AmstrongBiring")</f>
        <v>@AmstrongBiring</v>
      </c>
      <c r="C37201" s="8" t="s">
        <v>14236</v>
      </c>
      <c r="D37201" s="8">
        <v>5</v>
      </c>
      <c r="E37201" s="8">
        <v>0</v>
      </c>
      <c r="F37201" s="8">
        <v>1973</v>
      </c>
    </row>
    <row r="37202" spans="1:6" ht="12.75">
      <c r="A37202" s="8">
        <v>43887.788460648153</v>
      </c>
      <c r="B37202" s="8" t="str">
        <f>HYPERLINK("https://twitter.com/FaGtng","@FaGtng")</f>
        <v>@FaGtng</v>
      </c>
      <c r="C37202" s="8" t="s">
        <v>14466</v>
      </c>
      <c r="D37202" s="8">
        <v>1</v>
      </c>
      <c r="E37202" s="8">
        <v>0</v>
      </c>
      <c r="F37202" s="8">
        <v>16300</v>
      </c>
    </row>
    <row r="37203" spans="1:6" ht="12.75">
      <c r="A37203" s="8">
        <v>43887.788275462968</v>
      </c>
      <c r="B37203" s="8" t="str">
        <f>HYPERLINK("https://twitter.com/NisaKaiba","@NisaKaiba")</f>
        <v>@NisaKaiba</v>
      </c>
      <c r="C37203" s="8" t="s">
        <v>4785</v>
      </c>
      <c r="D37203" s="8">
        <v>210</v>
      </c>
      <c r="E37203" s="8">
        <v>0</v>
      </c>
      <c r="F37203" s="8">
        <v>13</v>
      </c>
    </row>
    <row r="37204" spans="1:6" ht="12.75">
      <c r="A37204" s="8">
        <v>43887.788275462968</v>
      </c>
      <c r="B37204" s="8" t="str">
        <f>HYPERLINK("https://twitter.com/antaranews","@antaranews")</f>
        <v>@antaranews</v>
      </c>
      <c r="C37204" s="8" t="s">
        <v>14467</v>
      </c>
      <c r="D37204" s="8">
        <v>1</v>
      </c>
      <c r="E37204" s="8">
        <v>4</v>
      </c>
      <c r="F37204" s="8">
        <v>1105340</v>
      </c>
    </row>
    <row r="37205" spans="1:6" ht="12.75">
      <c r="A37205" s="8">
        <v>43887.788252314815</v>
      </c>
      <c r="B37205" s="8" t="str">
        <f>HYPERLINK("https://twitter.com/Vickih_worsnop","@Vickih_worsnop")</f>
        <v>@Vickih_worsnop</v>
      </c>
      <c r="C37205" s="8" t="s">
        <v>14468</v>
      </c>
      <c r="D37205" s="8">
        <v>6</v>
      </c>
      <c r="E37205" s="8">
        <v>0</v>
      </c>
      <c r="F37205" s="8">
        <v>216</v>
      </c>
    </row>
    <row r="37206" spans="1:6" ht="12.75">
      <c r="A37206" s="8">
        <v>43887.788229166668</v>
      </c>
      <c r="B37206" s="8" t="str">
        <f>HYPERLINK("https://twitter.com/AmstrongBiring","@AmstrongBiring")</f>
        <v>@AmstrongBiring</v>
      </c>
      <c r="C37206" s="8" t="s">
        <v>14469</v>
      </c>
      <c r="D37206" s="8">
        <v>6</v>
      </c>
      <c r="E37206" s="8">
        <v>0</v>
      </c>
      <c r="F37206" s="8">
        <v>1973</v>
      </c>
    </row>
    <row r="37207" spans="1:6" ht="12.75">
      <c r="A37207" s="8">
        <v>43887.788182870368</v>
      </c>
      <c r="B37207" s="8" t="str">
        <f t="shared" ref="B37207:B37208" si="548">HYPERLINK("https://twitter.com/Vickih_worsnop","@Vickih_worsnop")</f>
        <v>@Vickih_worsnop</v>
      </c>
      <c r="C37207" s="8" t="s">
        <v>14470</v>
      </c>
      <c r="D37207" s="8">
        <v>2</v>
      </c>
      <c r="E37207" s="8">
        <v>0</v>
      </c>
      <c r="F37207" s="8">
        <v>216</v>
      </c>
    </row>
    <row r="37208" spans="1:6" ht="12.75">
      <c r="A37208" s="8">
        <v>43887.788136574076</v>
      </c>
      <c r="B37208" s="8" t="str">
        <f t="shared" si="548"/>
        <v>@Vickih_worsnop</v>
      </c>
      <c r="C37208" s="8" t="s">
        <v>14471</v>
      </c>
      <c r="D37208" s="8">
        <v>4</v>
      </c>
      <c r="E37208" s="8">
        <v>0</v>
      </c>
      <c r="F37208" s="8">
        <v>216</v>
      </c>
    </row>
    <row r="37209" spans="1:6" ht="12.75">
      <c r="A37209" s="8">
        <v>43887.788020833337</v>
      </c>
      <c r="B37209" s="8" t="str">
        <f>HYPERLINK("https://twitter.com/AmstrongBiring","@AmstrongBiring")</f>
        <v>@AmstrongBiring</v>
      </c>
      <c r="C37209" s="8" t="s">
        <v>14472</v>
      </c>
      <c r="D37209" s="8">
        <v>1</v>
      </c>
      <c r="E37209" s="8">
        <v>0</v>
      </c>
      <c r="F37209" s="8">
        <v>1973</v>
      </c>
    </row>
    <row r="37210" spans="1:6" ht="12.75">
      <c r="A37210" s="8">
        <v>43887.787986111114</v>
      </c>
      <c r="B37210" s="8" t="str">
        <f>HYPERLINK("https://twitter.com/icecreammochiii","@icecreammochiii")</f>
        <v>@icecreammochiii</v>
      </c>
      <c r="C37210" s="8" t="s">
        <v>13900</v>
      </c>
      <c r="D37210" s="8">
        <v>47</v>
      </c>
      <c r="E37210" s="8">
        <v>0</v>
      </c>
      <c r="F37210" s="8">
        <v>9</v>
      </c>
    </row>
    <row r="37211" spans="1:6" ht="12.75">
      <c r="A37211" s="8">
        <v>43887.787962962961</v>
      </c>
      <c r="B37211" s="8" t="str">
        <f>HYPERLINK("https://twitter.com/sabbathaci","@sabbathaci")</f>
        <v>@sabbathaci</v>
      </c>
      <c r="C37211" s="8" t="s">
        <v>12406</v>
      </c>
      <c r="D37211" s="8">
        <v>43</v>
      </c>
      <c r="E37211" s="8">
        <v>0</v>
      </c>
      <c r="F37211" s="8">
        <v>387</v>
      </c>
    </row>
    <row r="37212" spans="1:6" ht="12.75">
      <c r="A37212" s="8">
        <v>43887.787847222222</v>
      </c>
      <c r="B37212" s="8" t="str">
        <f>HYPERLINK("https://twitter.com/partypoisonsss","@partypoisonsss")</f>
        <v>@partypoisonsss</v>
      </c>
      <c r="C37212" s="8" t="s">
        <v>13633</v>
      </c>
      <c r="D37212" s="8">
        <v>28</v>
      </c>
      <c r="E37212" s="8">
        <v>0</v>
      </c>
      <c r="F37212" s="8">
        <v>59</v>
      </c>
    </row>
    <row r="37213" spans="1:6" ht="12.75">
      <c r="A37213" s="8">
        <v>43887.787719907406</v>
      </c>
      <c r="B37213" s="8" t="str">
        <f>HYPERLINK("https://twitter.com/AmstrongBiring","@AmstrongBiring")</f>
        <v>@AmstrongBiring</v>
      </c>
      <c r="C37213" s="8" t="s">
        <v>11773</v>
      </c>
      <c r="D37213" s="8">
        <v>95</v>
      </c>
      <c r="E37213" s="8">
        <v>0</v>
      </c>
      <c r="F37213" s="8">
        <v>1973</v>
      </c>
    </row>
    <row r="37214" spans="1:6" ht="12.75">
      <c r="A37214" s="8">
        <v>43887.756747685184</v>
      </c>
      <c r="B37214" s="8" t="str">
        <f>HYPERLINK("https://twitter.com/LianaAnggun","@LianaAnggun")</f>
        <v>@LianaAnggun</v>
      </c>
      <c r="C37214" s="8" t="s">
        <v>26</v>
      </c>
      <c r="D37214" s="8">
        <v>58</v>
      </c>
      <c r="E37214" s="8">
        <v>0</v>
      </c>
      <c r="F37214" s="8">
        <v>556</v>
      </c>
    </row>
    <row r="37215" spans="1:6" ht="12.75">
      <c r="A37215" s="8">
        <v>43887.756608796291</v>
      </c>
      <c r="B37215" s="8" t="str">
        <f>HYPERLINK("https://twitter.com/rambutwheein","@rambutwheein")</f>
        <v>@rambutwheein</v>
      </c>
      <c r="C37215" s="8" t="s">
        <v>13633</v>
      </c>
      <c r="D37215" s="8">
        <v>13</v>
      </c>
      <c r="E37215" s="8">
        <v>0</v>
      </c>
      <c r="F37215" s="8">
        <v>12</v>
      </c>
    </row>
    <row r="37216" spans="1:6" ht="12.75">
      <c r="A37216" s="8">
        <v>43887.756597222222</v>
      </c>
      <c r="B37216" s="8" t="str">
        <f>HYPERLINK("https://twitter.com/Zudis5","@Zudis5")</f>
        <v>@Zudis5</v>
      </c>
      <c r="C37216" s="8" t="s">
        <v>4785</v>
      </c>
      <c r="D37216" s="8">
        <v>157</v>
      </c>
      <c r="E37216" s="8">
        <v>0</v>
      </c>
      <c r="F37216" s="8">
        <v>237</v>
      </c>
    </row>
    <row r="37217" spans="1:6" ht="12.75">
      <c r="A37217" s="8">
        <v>43887.75645833333</v>
      </c>
      <c r="B37217" s="8" t="str">
        <f>HYPERLINK("https://twitter.com/metya_nur","@metya_nur")</f>
        <v>@metya_nur</v>
      </c>
      <c r="C37217" s="8" t="s">
        <v>4785</v>
      </c>
      <c r="D37217" s="8">
        <v>157</v>
      </c>
      <c r="E37217" s="8">
        <v>0</v>
      </c>
      <c r="F37217" s="8">
        <v>27</v>
      </c>
    </row>
    <row r="37218" spans="1:6" ht="12.75">
      <c r="A37218" s="8">
        <v>43887.756365740745</v>
      </c>
      <c r="B37218" s="8" t="str">
        <f>HYPERLINK("https://twitter.com/itswahyuni","@itswahyuni")</f>
        <v>@itswahyuni</v>
      </c>
      <c r="C37218" s="8" t="s">
        <v>593</v>
      </c>
      <c r="D37218" s="8">
        <v>246</v>
      </c>
      <c r="E37218" s="8">
        <v>0</v>
      </c>
      <c r="F37218" s="8">
        <v>858</v>
      </c>
    </row>
    <row r="37219" spans="1:6" ht="12.75">
      <c r="A37219" s="8">
        <v>43887.756273148145</v>
      </c>
      <c r="B37219" s="8" t="str">
        <f>HYPERLINK("https://twitter.com/Jody_Nst","@Jody_Nst")</f>
        <v>@Jody_Nst</v>
      </c>
      <c r="C37219" s="8" t="s">
        <v>11773</v>
      </c>
      <c r="D37219" s="8">
        <v>37</v>
      </c>
      <c r="E37219" s="8">
        <v>0</v>
      </c>
      <c r="F37219" s="8">
        <v>39012</v>
      </c>
    </row>
    <row r="37220" spans="1:6" ht="12.75">
      <c r="A37220" s="8">
        <v>43887.756226851852</v>
      </c>
      <c r="B37220" s="8" t="str">
        <f>HYPERLINK("https://twitter.com/kamaruchan69","@kamaruchan69")</f>
        <v>@kamaruchan69</v>
      </c>
      <c r="C37220" s="8" t="s">
        <v>14473</v>
      </c>
      <c r="D37220" s="8">
        <v>0</v>
      </c>
      <c r="E37220" s="8">
        <v>0</v>
      </c>
      <c r="F37220" s="8">
        <v>90</v>
      </c>
    </row>
    <row r="37221" spans="1:6" ht="12.75">
      <c r="A37221" s="8">
        <v>43887.756203703699</v>
      </c>
      <c r="B37221" s="8" t="str">
        <f>HYPERLINK("https://twitter.com/ArielFatR","@ArielFatR")</f>
        <v>@ArielFatR</v>
      </c>
      <c r="C37221" s="8" t="s">
        <v>14474</v>
      </c>
      <c r="D37221" s="8">
        <v>0</v>
      </c>
      <c r="E37221" s="8">
        <v>0</v>
      </c>
      <c r="F37221" s="8">
        <v>581</v>
      </c>
    </row>
    <row r="37222" spans="1:6" ht="12.75">
      <c r="A37222" s="8">
        <v>43887.756145833337</v>
      </c>
      <c r="B37222" s="8" t="str">
        <f>HYPERLINK("https://twitter.com/SydSalesman","@SydSalesman")</f>
        <v>@SydSalesman</v>
      </c>
      <c r="C37222" s="8" t="s">
        <v>11773</v>
      </c>
      <c r="D37222" s="8">
        <v>37</v>
      </c>
      <c r="E37222" s="8">
        <v>0</v>
      </c>
      <c r="F37222" s="8">
        <v>6283</v>
      </c>
    </row>
    <row r="37223" spans="1:6" ht="12.75">
      <c r="A37223" s="8">
        <v>43887.75613425926</v>
      </c>
      <c r="B37223" s="8" t="str">
        <f>HYPERLINK("https://twitter.com/Reemeora1","@Reemeora1")</f>
        <v>@Reemeora1</v>
      </c>
      <c r="C37223" s="8" t="s">
        <v>11773</v>
      </c>
      <c r="D37223" s="8">
        <v>37</v>
      </c>
      <c r="E37223" s="8">
        <v>0</v>
      </c>
      <c r="F37223" s="8">
        <v>1342</v>
      </c>
    </row>
    <row r="37224" spans="1:6" ht="12.75">
      <c r="A37224" s="8">
        <v>43887.756053240737</v>
      </c>
      <c r="B37224" s="8" t="str">
        <f>HYPERLINK("https://twitter.com/NgaritCommunity","@NgaritCommunity")</f>
        <v>@NgaritCommunity</v>
      </c>
      <c r="C37224" s="8" t="s">
        <v>14475</v>
      </c>
      <c r="D37224" s="8">
        <v>259</v>
      </c>
      <c r="E37224" s="8">
        <v>0</v>
      </c>
      <c r="F37224" s="8">
        <v>445</v>
      </c>
    </row>
    <row r="37225" spans="1:6" ht="12.75">
      <c r="A37225" s="8">
        <v>43887.755995370375</v>
      </c>
      <c r="B37225" s="8" t="str">
        <f>HYPERLINK("https://twitter.com/DidikSatriaDar1","@DidikSatriaDar1")</f>
        <v>@DidikSatriaDar1</v>
      </c>
      <c r="C37225" s="8" t="s">
        <v>4785</v>
      </c>
      <c r="D37225" s="8">
        <v>157</v>
      </c>
      <c r="E37225" s="8">
        <v>0</v>
      </c>
      <c r="F37225" s="8">
        <v>108</v>
      </c>
    </row>
    <row r="37226" spans="1:6" ht="12.75">
      <c r="A37226" s="8">
        <v>43887.75581018519</v>
      </c>
      <c r="B37226" s="8" t="str">
        <f>HYPERLINK("https://twitter.com/youthact_","@youthact_")</f>
        <v>@youthact_</v>
      </c>
      <c r="C37226" s="8" t="s">
        <v>2941</v>
      </c>
      <c r="D37226" s="8">
        <v>1041</v>
      </c>
      <c r="E37226" s="8">
        <v>0</v>
      </c>
      <c r="F37226" s="8">
        <v>59</v>
      </c>
    </row>
    <row r="37227" spans="1:6" ht="12.75">
      <c r="A37227" s="8">
        <v>43887.755648148144</v>
      </c>
      <c r="B37227" s="8" t="str">
        <f>HYPERLINK("https://twitter.com/MitaWullur","@MitaWullur")</f>
        <v>@MitaWullur</v>
      </c>
      <c r="C37227" s="8" t="s">
        <v>12143</v>
      </c>
      <c r="D37227" s="8">
        <v>177</v>
      </c>
      <c r="E37227" s="8">
        <v>0</v>
      </c>
      <c r="F37227" s="8">
        <v>1458</v>
      </c>
    </row>
    <row r="37228" spans="1:6" ht="12.75">
      <c r="A37228" s="8">
        <v>43887.755648148144</v>
      </c>
      <c r="B37228" s="8" t="str">
        <f>HYPERLINK("https://twitter.com/fsyahrian","@fsyahrian")</f>
        <v>@fsyahrian</v>
      </c>
      <c r="C37228" s="8" t="s">
        <v>12889</v>
      </c>
      <c r="D37228" s="8">
        <v>2</v>
      </c>
      <c r="E37228" s="8">
        <v>0</v>
      </c>
      <c r="F37228" s="8">
        <v>259</v>
      </c>
    </row>
    <row r="37229" spans="1:6" ht="12.75">
      <c r="A37229" s="8">
        <v>43887.755567129629</v>
      </c>
      <c r="B37229" s="8" t="str">
        <f>HYPERLINK("https://twitter.com/Baliantaranews","@Baliantaranews")</f>
        <v>@Baliantaranews</v>
      </c>
      <c r="C37229" s="8" t="s">
        <v>14476</v>
      </c>
      <c r="D37229" s="8">
        <v>1</v>
      </c>
      <c r="E37229" s="8">
        <v>0</v>
      </c>
      <c r="F37229" s="8">
        <v>736</v>
      </c>
    </row>
    <row r="37230" spans="1:6" ht="12.75">
      <c r="A37230" s="8">
        <v>43887.755277777775</v>
      </c>
      <c r="B37230" s="8" t="str">
        <f>HYPERLINK("https://twitter.com/HerlinaOktavia1","@HerlinaOktavia1")</f>
        <v>@HerlinaOktavia1</v>
      </c>
      <c r="C37230" s="8" t="s">
        <v>13900</v>
      </c>
      <c r="D37230" s="8">
        <v>32</v>
      </c>
      <c r="E37230" s="8">
        <v>0</v>
      </c>
      <c r="F37230" s="8">
        <v>477</v>
      </c>
    </row>
    <row r="37231" spans="1:6" ht="12.75">
      <c r="A37231" s="8">
        <v>43887.755266203705</v>
      </c>
      <c r="B37231" s="8" t="str">
        <f t="shared" ref="B37231:B37232" si="549">HYPERLINK("https://twitter.com/ArdikSulaiman","@ArdikSulaiman")</f>
        <v>@ArdikSulaiman</v>
      </c>
      <c r="C37231" s="8" t="s">
        <v>26</v>
      </c>
      <c r="D37231" s="8">
        <v>58</v>
      </c>
      <c r="E37231" s="8">
        <v>0</v>
      </c>
      <c r="F37231" s="8">
        <v>4</v>
      </c>
    </row>
    <row r="37232" spans="1:6" ht="12.75">
      <c r="A37232" s="8">
        <v>43887.755208333328</v>
      </c>
      <c r="B37232" s="8" t="str">
        <f t="shared" si="549"/>
        <v>@ArdikSulaiman</v>
      </c>
      <c r="C37232" s="8" t="s">
        <v>4785</v>
      </c>
      <c r="D37232" s="8">
        <v>157</v>
      </c>
      <c r="E37232" s="8">
        <v>0</v>
      </c>
      <c r="F37232" s="8">
        <v>4</v>
      </c>
    </row>
    <row r="37233" spans="1:6" ht="12.75">
      <c r="A37233" s="8">
        <v>43887.755150462966</v>
      </c>
      <c r="B37233" s="8" t="str">
        <f>HYPERLINK("https://twitter.com/Anggela141","@Anggela141")</f>
        <v>@Anggela141</v>
      </c>
      <c r="C37233" s="8" t="s">
        <v>13633</v>
      </c>
      <c r="D37233" s="8">
        <v>13</v>
      </c>
      <c r="E37233" s="8">
        <v>0</v>
      </c>
      <c r="F37233" s="8">
        <v>3</v>
      </c>
    </row>
    <row r="37234" spans="1:6" ht="12.75">
      <c r="A37234" s="8">
        <v>43887.754988425921</v>
      </c>
      <c r="B37234" s="8" t="str">
        <f>HYPERLINK("https://twitter.com/kobatogogo","@kobatogogo")</f>
        <v>@kobatogogo</v>
      </c>
      <c r="C37234" s="8" t="s">
        <v>8484</v>
      </c>
      <c r="D37234" s="8">
        <v>975</v>
      </c>
      <c r="E37234" s="8">
        <v>0</v>
      </c>
      <c r="F37234" s="8">
        <v>32</v>
      </c>
    </row>
    <row r="37235" spans="1:6" ht="12.75">
      <c r="A37235" s="8">
        <v>43887.754918981482</v>
      </c>
      <c r="B37235" s="8" t="str">
        <f>HYPERLINK("https://twitter.com/SilalahiFabian","@SilalahiFabian")</f>
        <v>@SilalahiFabian</v>
      </c>
      <c r="C37235" s="8" t="s">
        <v>11773</v>
      </c>
      <c r="D37235" s="8">
        <v>37</v>
      </c>
      <c r="E37235" s="8">
        <v>0</v>
      </c>
      <c r="F37235" s="8">
        <v>169</v>
      </c>
    </row>
    <row r="37236" spans="1:6" ht="12.75">
      <c r="A37236" s="8">
        <v>43887.754907407405</v>
      </c>
      <c r="B37236" s="8" t="str">
        <f>HYPERLINK("https://twitter.com/antaranews_bali","@antaranews_bali")</f>
        <v>@antaranews_bali</v>
      </c>
      <c r="C37236" s="8" t="s">
        <v>14477</v>
      </c>
      <c r="D37236" s="8">
        <v>1</v>
      </c>
      <c r="E37236" s="8">
        <v>0</v>
      </c>
      <c r="F37236" s="8">
        <v>4928</v>
      </c>
    </row>
    <row r="37237" spans="1:6" ht="12.75">
      <c r="A37237" s="8">
        <v>43887.754490740743</v>
      </c>
      <c r="B37237" s="8" t="str">
        <f>HYPERLINK("https://twitter.com/ali_njajali","@ali_njajali")</f>
        <v>@ali_njajali</v>
      </c>
      <c r="C37237" s="8" t="s">
        <v>14292</v>
      </c>
      <c r="D37237" s="8">
        <v>14</v>
      </c>
      <c r="E37237" s="8">
        <v>0</v>
      </c>
      <c r="F37237" s="8">
        <v>967</v>
      </c>
    </row>
    <row r="37238" spans="1:6" ht="12.75">
      <c r="A37238" s="8">
        <v>43887.754259259258</v>
      </c>
      <c r="B37238" s="8" t="str">
        <f>HYPERLINK("https://twitter.com/djcenud","@djcenud")</f>
        <v>@djcenud</v>
      </c>
      <c r="C37238" s="8" t="s">
        <v>14478</v>
      </c>
      <c r="D37238" s="8">
        <v>0</v>
      </c>
      <c r="E37238" s="8">
        <v>0</v>
      </c>
      <c r="F37238" s="8">
        <v>1176</v>
      </c>
    </row>
    <row r="37239" spans="1:6" ht="12.75">
      <c r="A37239" s="8">
        <v>43887.754166666666</v>
      </c>
      <c r="B37239" s="8" t="str">
        <f>HYPERLINK("https://twitter.com/Harald23632868","@Harald23632868")</f>
        <v>@Harald23632868</v>
      </c>
      <c r="C37239" s="8" t="s">
        <v>14479</v>
      </c>
      <c r="D37239" s="8">
        <v>2</v>
      </c>
      <c r="E37239" s="8">
        <v>0</v>
      </c>
      <c r="F37239" s="8">
        <v>47</v>
      </c>
    </row>
    <row r="37240" spans="1:6" ht="12.75">
      <c r="A37240" s="8">
        <v>43887.754155092596</v>
      </c>
      <c r="B37240" s="8" t="str">
        <f>HYPERLINK("https://twitter.com/evereeze","@evereeze")</f>
        <v>@evereeze</v>
      </c>
      <c r="C37240" s="8" t="s">
        <v>14480</v>
      </c>
      <c r="D37240" s="8">
        <v>1</v>
      </c>
      <c r="E37240" s="8">
        <v>0</v>
      </c>
      <c r="F37240" s="8">
        <v>292</v>
      </c>
    </row>
    <row r="37241" spans="1:6" ht="12.75">
      <c r="A37241" s="8">
        <v>43887.754120370373</v>
      </c>
      <c r="B37241" s="8" t="str">
        <f>HYPERLINK("https://twitter.com/achzam_prabu","@achzam_prabu")</f>
        <v>@achzam_prabu</v>
      </c>
      <c r="C37241" s="8" t="s">
        <v>4785</v>
      </c>
      <c r="D37241" s="8">
        <v>157</v>
      </c>
      <c r="E37241" s="8">
        <v>0</v>
      </c>
      <c r="F37241" s="8">
        <v>4876</v>
      </c>
    </row>
    <row r="37242" spans="1:6" ht="12.75">
      <c r="A37242" s="8">
        <v>43887.754108796296</v>
      </c>
      <c r="B37242" s="8" t="str">
        <f>HYPERLINK("https://twitter.com/Av1Dlm","@Av1Dlm")</f>
        <v>@Av1Dlm</v>
      </c>
      <c r="C37242" s="8" t="s">
        <v>4785</v>
      </c>
      <c r="D37242" s="8">
        <v>157</v>
      </c>
      <c r="E37242" s="8">
        <v>0</v>
      </c>
      <c r="F37242" s="8">
        <v>316</v>
      </c>
    </row>
    <row r="37243" spans="1:6" ht="12.75">
      <c r="A37243" s="8">
        <v>43887.754004629634</v>
      </c>
      <c r="B37243" s="8" t="str">
        <f>HYPERLINK("https://twitter.com/idpenamini","@idpenamini")</f>
        <v>@idpenamini</v>
      </c>
      <c r="C37243" s="8" t="s">
        <v>14481</v>
      </c>
      <c r="D37243" s="8">
        <v>0</v>
      </c>
      <c r="E37243" s="8">
        <v>0</v>
      </c>
      <c r="F37243" s="8">
        <v>173</v>
      </c>
    </row>
    <row r="37244" spans="1:6" ht="12.75">
      <c r="A37244" s="8">
        <v>43887.753935185188</v>
      </c>
      <c r="B37244" s="8" t="str">
        <f>HYPERLINK("https://twitter.com/ftrhds","@ftrhds")</f>
        <v>@ftrhds</v>
      </c>
      <c r="C37244" s="8" t="s">
        <v>12406</v>
      </c>
      <c r="D37244" s="8">
        <v>35</v>
      </c>
      <c r="E37244" s="8">
        <v>0</v>
      </c>
      <c r="F37244" s="8">
        <v>178</v>
      </c>
    </row>
    <row r="37245" spans="1:6" ht="12.75">
      <c r="A37245" s="8">
        <v>43887.753657407404</v>
      </c>
      <c r="B37245" s="8" t="str">
        <f>HYPERLINK("https://twitter.com/forddyce92","@forddyce92")</f>
        <v>@forddyce92</v>
      </c>
      <c r="C37245" s="8" t="s">
        <v>14482</v>
      </c>
      <c r="D37245" s="8">
        <v>0</v>
      </c>
      <c r="E37245" s="8">
        <v>0</v>
      </c>
      <c r="F37245" s="8">
        <v>27</v>
      </c>
    </row>
    <row r="37246" spans="1:6" ht="12.75">
      <c r="A37246" s="8">
        <v>43887.753599537042</v>
      </c>
      <c r="B37246" s="8" t="str">
        <f>HYPERLINK("https://twitter.com/arm4di0n","@arm4di0n")</f>
        <v>@arm4di0n</v>
      </c>
      <c r="C37246" s="8" t="s">
        <v>14483</v>
      </c>
      <c r="D37246" s="8">
        <v>11</v>
      </c>
      <c r="E37246" s="8">
        <v>0</v>
      </c>
      <c r="F37246" s="8">
        <v>573</v>
      </c>
    </row>
    <row r="37247" spans="1:6" ht="12.75">
      <c r="A37247" s="8">
        <v>43887.753449074073</v>
      </c>
      <c r="B37247" s="8" t="str">
        <f>HYPERLINK("https://twitter.com/novelhardi","@novelhardi")</f>
        <v>@novelhardi</v>
      </c>
      <c r="C37247" s="8" t="s">
        <v>13633</v>
      </c>
      <c r="D37247" s="8">
        <v>13</v>
      </c>
      <c r="E37247" s="8">
        <v>0</v>
      </c>
      <c r="F37247" s="8">
        <v>516</v>
      </c>
    </row>
    <row r="37248" spans="1:6" ht="12.75">
      <c r="A37248" s="8">
        <v>43887.753414351857</v>
      </c>
      <c r="B37248" s="8" t="str">
        <f>HYPERLINK("https://twitter.com/rinaldy_420","@rinaldy_420")</f>
        <v>@rinaldy_420</v>
      </c>
      <c r="C37248" s="8" t="s">
        <v>4785</v>
      </c>
      <c r="D37248" s="8">
        <v>157</v>
      </c>
      <c r="E37248" s="8">
        <v>0</v>
      </c>
      <c r="F37248" s="8">
        <v>201</v>
      </c>
    </row>
    <row r="37249" spans="1:6" ht="12.75">
      <c r="A37249" s="8">
        <v>43887.753379629634</v>
      </c>
      <c r="B37249" s="8" t="str">
        <f>HYPERLINK("https://twitter.com/MasDenvil07","@MasDenvil07")</f>
        <v>@MasDenvil07</v>
      </c>
      <c r="C37249" s="8" t="s">
        <v>4785</v>
      </c>
      <c r="D37249" s="8">
        <v>157</v>
      </c>
      <c r="E37249" s="8">
        <v>0</v>
      </c>
      <c r="F37249" s="8">
        <v>95</v>
      </c>
    </row>
    <row r="37250" spans="1:6" ht="12.75">
      <c r="A37250" s="8">
        <v>43887.753321759257</v>
      </c>
      <c r="B37250" s="8" t="str">
        <f>HYPERLINK("https://twitter.com/su7loo","@su7loo")</f>
        <v>@su7loo</v>
      </c>
      <c r="C37250" s="8" t="s">
        <v>11773</v>
      </c>
      <c r="D37250" s="8">
        <v>37</v>
      </c>
      <c r="E37250" s="8">
        <v>0</v>
      </c>
      <c r="F37250" s="8">
        <v>1170</v>
      </c>
    </row>
    <row r="37251" spans="1:6" ht="12.75">
      <c r="A37251" s="8">
        <v>43887.753171296295</v>
      </c>
      <c r="B37251" s="8" t="str">
        <f>HYPERLINK("https://twitter.com/Carlos_Dennis_C","@Carlos_Dennis_C")</f>
        <v>@Carlos_Dennis_C</v>
      </c>
      <c r="C37251" s="8" t="s">
        <v>14000</v>
      </c>
      <c r="D37251" s="8">
        <v>29</v>
      </c>
      <c r="E37251" s="8">
        <v>0</v>
      </c>
      <c r="F37251" s="8">
        <v>153</v>
      </c>
    </row>
    <row r="37252" spans="1:6" ht="12.75">
      <c r="A37252" s="8">
        <v>43887.75304398148</v>
      </c>
      <c r="B37252" s="8" t="str">
        <f>HYPERLINK("https://twitter.com/mrizalramlee","@mrizalramlee")</f>
        <v>@mrizalramlee</v>
      </c>
      <c r="C37252" s="8" t="s">
        <v>14484</v>
      </c>
      <c r="D37252" s="8">
        <v>0</v>
      </c>
      <c r="E37252" s="8">
        <v>0</v>
      </c>
      <c r="F37252" s="8">
        <v>6</v>
      </c>
    </row>
    <row r="37253" spans="1:6" ht="12.75">
      <c r="A37253" s="8">
        <v>43887.752962962964</v>
      </c>
      <c r="B37253" s="8" t="str">
        <f>HYPERLINK("https://twitter.com/adtaufiq","@adtaufiq")</f>
        <v>@adtaufiq</v>
      </c>
      <c r="C37253" s="8" t="s">
        <v>14188</v>
      </c>
      <c r="D37253" s="8">
        <v>1</v>
      </c>
      <c r="E37253" s="8">
        <v>0</v>
      </c>
      <c r="F37253" s="8">
        <v>8468</v>
      </c>
    </row>
    <row r="37254" spans="1:6" ht="12.75">
      <c r="A37254" s="8">
        <v>43887.752766203703</v>
      </c>
      <c r="B37254" s="8" t="str">
        <f>HYPERLINK("https://twitter.com/Tere_one34","@Tere_one34")</f>
        <v>@Tere_one34</v>
      </c>
      <c r="C37254" s="8" t="s">
        <v>11973</v>
      </c>
      <c r="D37254" s="8">
        <v>14</v>
      </c>
      <c r="E37254" s="8">
        <v>0</v>
      </c>
      <c r="F37254" s="8">
        <v>4533</v>
      </c>
    </row>
    <row r="37255" spans="1:6" ht="12.75">
      <c r="A37255" s="8">
        <v>43887.75273148148</v>
      </c>
      <c r="B37255" s="8" t="str">
        <f>HYPERLINK("https://twitter.com/LidiaKaban","@LidiaKaban")</f>
        <v>@LidiaKaban</v>
      </c>
      <c r="C37255" s="8" t="s">
        <v>14485</v>
      </c>
      <c r="D37255" s="8">
        <v>1</v>
      </c>
      <c r="E37255" s="8">
        <v>0</v>
      </c>
      <c r="F37255" s="8">
        <v>319</v>
      </c>
    </row>
    <row r="37256" spans="1:6" ht="12.75">
      <c r="A37256" s="8">
        <v>43887.752395833333</v>
      </c>
      <c r="B37256" s="8" t="str">
        <f>HYPERLINK("https://twitter.com/gifarryst","@gifarryst")</f>
        <v>@gifarryst</v>
      </c>
      <c r="C37256" s="8" t="s">
        <v>14486</v>
      </c>
      <c r="D37256" s="8">
        <v>0</v>
      </c>
      <c r="E37256" s="8">
        <v>0</v>
      </c>
      <c r="F37256" s="8">
        <v>2</v>
      </c>
    </row>
    <row r="37257" spans="1:6" ht="12.75">
      <c r="A37257" s="8">
        <v>43887.75236111111</v>
      </c>
      <c r="B37257" s="8" t="str">
        <f>HYPERLINK("https://twitter.com/fr8ten","@fr8ten")</f>
        <v>@fr8ten</v>
      </c>
      <c r="C37257" s="8" t="s">
        <v>13875</v>
      </c>
      <c r="D37257" s="8">
        <v>9</v>
      </c>
      <c r="E37257" s="8">
        <v>0</v>
      </c>
      <c r="F37257" s="8">
        <v>92</v>
      </c>
    </row>
    <row r="37258" spans="1:6" ht="12.75">
      <c r="A37258" s="8">
        <v>43887.75204861111</v>
      </c>
      <c r="B37258" s="8" t="str">
        <f>HYPERLINK("https://twitter.com/cebinakal","@cebinakal")</f>
        <v>@cebinakal</v>
      </c>
      <c r="C37258" s="8" t="s">
        <v>4785</v>
      </c>
      <c r="D37258" s="8">
        <v>157</v>
      </c>
      <c r="E37258" s="8">
        <v>0</v>
      </c>
      <c r="F37258" s="8">
        <v>1414</v>
      </c>
    </row>
    <row r="37259" spans="1:6" ht="12.75">
      <c r="A37259" s="8">
        <v>43887.751689814817</v>
      </c>
      <c r="B37259" s="8" t="str">
        <f>HYPERLINK("https://twitter.com/dewi_darmawati","@dewi_darmawati")</f>
        <v>@dewi_darmawati</v>
      </c>
      <c r="C37259" s="8" t="s">
        <v>14487</v>
      </c>
      <c r="D37259" s="8">
        <v>1</v>
      </c>
      <c r="E37259" s="8">
        <v>0</v>
      </c>
      <c r="F37259" s="8">
        <v>4302</v>
      </c>
    </row>
    <row r="37260" spans="1:6" ht="12.75">
      <c r="A37260" s="8">
        <v>43887.751608796301</v>
      </c>
      <c r="B37260" s="8" t="str">
        <f>HYPERLINK("https://twitter.com/anto_astha","@anto_astha")</f>
        <v>@anto_astha</v>
      </c>
      <c r="C37260" s="8" t="s">
        <v>14292</v>
      </c>
      <c r="D37260" s="8">
        <v>14</v>
      </c>
      <c r="E37260" s="8">
        <v>0</v>
      </c>
      <c r="F37260" s="8">
        <v>302</v>
      </c>
    </row>
    <row r="37261" spans="1:6" ht="12.75">
      <c r="A37261" s="8">
        <v>43887.751504629632</v>
      </c>
      <c r="B37261" s="8" t="str">
        <f>HYPERLINK("https://twitter.com/frederichkel1","@frederichkel1")</f>
        <v>@frederichkel1</v>
      </c>
      <c r="C37261" s="8" t="s">
        <v>11773</v>
      </c>
      <c r="D37261" s="8">
        <v>37</v>
      </c>
      <c r="E37261" s="8">
        <v>0</v>
      </c>
      <c r="F37261" s="8">
        <v>14</v>
      </c>
    </row>
    <row r="37262" spans="1:6" ht="12.75">
      <c r="A37262" s="8">
        <v>43887.751076388886</v>
      </c>
      <c r="B37262" s="8" t="str">
        <f>HYPERLINK("https://twitter.com/sillysone","@sillysone")</f>
        <v>@sillysone</v>
      </c>
      <c r="C37262" s="8" t="s">
        <v>26</v>
      </c>
      <c r="D37262" s="8">
        <v>58</v>
      </c>
      <c r="E37262" s="8">
        <v>0</v>
      </c>
      <c r="F37262" s="8">
        <v>452</v>
      </c>
    </row>
    <row r="37263" spans="1:6" ht="12.75">
      <c r="A37263" s="8">
        <v>43887.751076388886</v>
      </c>
      <c r="B37263" s="8" t="str">
        <f>HYPERLINK("https://twitter.com/Kecebon06563249","@Kecebon06563249")</f>
        <v>@Kecebon06563249</v>
      </c>
      <c r="C37263" s="8" t="s">
        <v>11773</v>
      </c>
      <c r="D37263" s="8">
        <v>37</v>
      </c>
      <c r="E37263" s="8">
        <v>0</v>
      </c>
      <c r="F37263" s="8">
        <v>4031</v>
      </c>
    </row>
    <row r="37264" spans="1:6" ht="12.75">
      <c r="A37264" s="8">
        <v>43887.751064814816</v>
      </c>
      <c r="B37264" s="8" t="str">
        <f>HYPERLINK("https://twitter.com/sillysone","@sillysone")</f>
        <v>@sillysone</v>
      </c>
      <c r="C37264" s="8" t="s">
        <v>4785</v>
      </c>
      <c r="D37264" s="8">
        <v>157</v>
      </c>
      <c r="E37264" s="8">
        <v>0</v>
      </c>
      <c r="F37264" s="8">
        <v>452</v>
      </c>
    </row>
    <row r="37265" spans="1:6" ht="12.75">
      <c r="A37265" s="8">
        <v>43887.75105324074</v>
      </c>
      <c r="B37265" s="8" t="str">
        <f>HYPERLINK("https://twitter.com/miraperma","@miraperma")</f>
        <v>@miraperma</v>
      </c>
      <c r="C37265" s="8" t="s">
        <v>13592</v>
      </c>
      <c r="D37265" s="8">
        <v>13</v>
      </c>
      <c r="E37265" s="8">
        <v>0</v>
      </c>
      <c r="F37265" s="8">
        <v>234</v>
      </c>
    </row>
    <row r="37266" spans="1:6" ht="12.75">
      <c r="A37266" s="8">
        <v>43887.750856481478</v>
      </c>
      <c r="B37266" s="8" t="str">
        <f>HYPERLINK("https://twitter.com/tempodotco","@tempodotco")</f>
        <v>@tempodotco</v>
      </c>
      <c r="C37266" s="8" t="s">
        <v>14488</v>
      </c>
      <c r="D37266" s="8">
        <v>0</v>
      </c>
      <c r="E37266" s="8">
        <v>1</v>
      </c>
      <c r="F37266" s="8">
        <v>1712664</v>
      </c>
    </row>
    <row r="37267" spans="1:6" ht="12.75">
      <c r="A37267" s="8">
        <v>43887.750763888893</v>
      </c>
      <c r="B37267" s="8" t="str">
        <f>HYPERLINK("https://twitter.com/numpanglihat","@numpanglihat")</f>
        <v>@numpanglihat</v>
      </c>
      <c r="C37267" s="8" t="s">
        <v>14292</v>
      </c>
      <c r="D37267" s="8">
        <v>14</v>
      </c>
      <c r="E37267" s="8">
        <v>0</v>
      </c>
      <c r="F37267" s="8">
        <v>111</v>
      </c>
    </row>
    <row r="37268" spans="1:6" ht="12.75">
      <c r="A37268" s="8">
        <v>43887.750451388885</v>
      </c>
      <c r="B37268" s="8" t="str">
        <f>HYPERLINK("https://twitter.com/sunda_002","@sunda_002")</f>
        <v>@sunda_002</v>
      </c>
      <c r="C37268" s="8" t="s">
        <v>14489</v>
      </c>
      <c r="D37268" s="8">
        <v>0</v>
      </c>
      <c r="E37268" s="8">
        <v>1</v>
      </c>
      <c r="F37268" s="8">
        <v>936</v>
      </c>
    </row>
    <row r="37269" spans="1:6" ht="12.75">
      <c r="A37269" s="8">
        <v>43887.750405092593</v>
      </c>
      <c r="B37269" s="8" t="str">
        <f>HYPERLINK("https://twitter.com/validnewsco","@validnewsco")</f>
        <v>@validnewsco</v>
      </c>
      <c r="C37269" s="8" t="s">
        <v>14490</v>
      </c>
      <c r="D37269" s="8">
        <v>0</v>
      </c>
      <c r="E37269" s="8">
        <v>0</v>
      </c>
      <c r="F37269" s="8">
        <v>32909</v>
      </c>
    </row>
    <row r="37270" spans="1:6" ht="12.75">
      <c r="A37270" s="8">
        <v>43887.750277777777</v>
      </c>
      <c r="B37270" s="8" t="str">
        <f>HYPERLINK("https://twitter.com/franxvvv","@franxvvv")</f>
        <v>@franxvvv</v>
      </c>
      <c r="C37270" s="8" t="s">
        <v>13592</v>
      </c>
      <c r="D37270" s="8">
        <v>13</v>
      </c>
      <c r="E37270" s="8">
        <v>0</v>
      </c>
      <c r="F37270" s="8">
        <v>1396</v>
      </c>
    </row>
    <row r="37271" spans="1:6" ht="12.75">
      <c r="A37271" s="8">
        <v>43887.750092592592</v>
      </c>
      <c r="B37271" s="8" t="str">
        <f>HYPERLINK("https://twitter.com/FarelmaxL","@FarelmaxL")</f>
        <v>@FarelmaxL</v>
      </c>
      <c r="C37271" s="8" t="s">
        <v>14071</v>
      </c>
      <c r="D37271" s="8">
        <v>11</v>
      </c>
      <c r="E37271" s="8">
        <v>0</v>
      </c>
      <c r="F37271" s="8">
        <v>1379</v>
      </c>
    </row>
    <row r="37272" spans="1:6" ht="12.75">
      <c r="A37272" s="8">
        <v>43887.750046296293</v>
      </c>
      <c r="B37272" s="8" t="str">
        <f>HYPERLINK("https://twitter.com/forddyce92","@forddyce92")</f>
        <v>@forddyce92</v>
      </c>
      <c r="C37272" s="8" t="s">
        <v>14482</v>
      </c>
      <c r="D37272" s="8">
        <v>0</v>
      </c>
      <c r="E37272" s="8">
        <v>0</v>
      </c>
      <c r="F37272" s="8">
        <v>27</v>
      </c>
    </row>
    <row r="37273" spans="1:6" ht="12.75">
      <c r="A37273" s="8">
        <v>43887.749942129631</v>
      </c>
      <c r="B37273" s="8" t="str">
        <f>HYPERLINK("https://twitter.com/Miracleforwei","@Miracleforwei")</f>
        <v>@Miracleforwei</v>
      </c>
      <c r="C37273" s="8" t="s">
        <v>14491</v>
      </c>
      <c r="D37273" s="8">
        <v>0</v>
      </c>
      <c r="E37273" s="8">
        <v>2</v>
      </c>
      <c r="F37273" s="8">
        <v>1495</v>
      </c>
    </row>
    <row r="37274" spans="1:6" ht="12.75">
      <c r="A37274" s="8">
        <v>43887.7497337963</v>
      </c>
      <c r="B37274" s="8" t="str">
        <f>HYPERLINK("https://twitter.com/99garislucu","@99garislucu")</f>
        <v>@99garislucu</v>
      </c>
      <c r="C37274" s="8" t="s">
        <v>13875</v>
      </c>
      <c r="D37274" s="8">
        <v>9</v>
      </c>
      <c r="E37274" s="8">
        <v>0</v>
      </c>
      <c r="F37274" s="8">
        <v>976</v>
      </c>
    </row>
    <row r="37275" spans="1:6" ht="12.75">
      <c r="A37275" s="8">
        <v>43887.749560185184</v>
      </c>
      <c r="B37275" s="8" t="str">
        <f>HYPERLINK("https://twitter.com/RobetDeNiru","@RobetDeNiru")</f>
        <v>@RobetDeNiru</v>
      </c>
      <c r="C37275" s="8" t="s">
        <v>14292</v>
      </c>
      <c r="D37275" s="8">
        <v>14</v>
      </c>
      <c r="E37275" s="8">
        <v>0</v>
      </c>
      <c r="F37275" s="8">
        <v>134</v>
      </c>
    </row>
    <row r="37276" spans="1:6" ht="12.75">
      <c r="A37276" s="8">
        <v>43887.749305555553</v>
      </c>
      <c r="B37276" s="8" t="str">
        <f>HYPERLINK("https://twitter.com/PEDOMAN_id","@PEDOMAN_id")</f>
        <v>@PEDOMAN_id</v>
      </c>
      <c r="C37276" s="8" t="s">
        <v>14492</v>
      </c>
      <c r="D37276" s="8">
        <v>0</v>
      </c>
      <c r="E37276" s="8">
        <v>0</v>
      </c>
      <c r="F37276" s="8">
        <v>60373</v>
      </c>
    </row>
    <row r="37277" spans="1:6" ht="12.75">
      <c r="A37277" s="8">
        <v>43887.749085648145</v>
      </c>
      <c r="B37277" s="8" t="str">
        <f>HYPERLINK("https://twitter.com/agataizalabdi","@agataizalabdi")</f>
        <v>@agataizalabdi</v>
      </c>
      <c r="C37277" s="8" t="s">
        <v>13365</v>
      </c>
      <c r="D37277" s="8">
        <v>822</v>
      </c>
      <c r="E37277" s="8">
        <v>0</v>
      </c>
      <c r="F37277" s="8">
        <v>246</v>
      </c>
    </row>
    <row r="37278" spans="1:6" ht="12.75">
      <c r="A37278" s="8">
        <v>43887.748865740738</v>
      </c>
      <c r="B37278" s="8" t="str">
        <f>HYPERLINK("https://twitter.com/___sunbae","@___sunbae")</f>
        <v>@___sunbae</v>
      </c>
      <c r="C37278" s="8" t="s">
        <v>11301</v>
      </c>
      <c r="D37278" s="8">
        <v>23</v>
      </c>
      <c r="E37278" s="8">
        <v>0</v>
      </c>
      <c r="F37278" s="8">
        <v>1394</v>
      </c>
    </row>
    <row r="37279" spans="1:6" ht="12.75">
      <c r="A37279" s="8">
        <v>43887.748819444445</v>
      </c>
      <c r="B37279" s="8" t="str">
        <f>HYPERLINK("https://twitter.com/MHParuhumSinaga","@MHParuhumSinaga")</f>
        <v>@MHParuhumSinaga</v>
      </c>
      <c r="C37279" s="8" t="s">
        <v>12406</v>
      </c>
      <c r="D37279" s="8">
        <v>35</v>
      </c>
      <c r="E37279" s="8">
        <v>0</v>
      </c>
      <c r="F37279" s="8">
        <v>73</v>
      </c>
    </row>
    <row r="37280" spans="1:6" ht="12.75">
      <c r="A37280" s="8">
        <v>43887.748587962968</v>
      </c>
      <c r="B37280" s="8" t="str">
        <f t="shared" ref="B37280:B37281" si="550">HYPERLINK("https://twitter.com/faisalramdani23","@faisalramdani23")</f>
        <v>@faisalramdani23</v>
      </c>
      <c r="C37280" s="8" t="s">
        <v>26</v>
      </c>
      <c r="D37280" s="8">
        <v>58</v>
      </c>
      <c r="E37280" s="8">
        <v>0</v>
      </c>
      <c r="F37280" s="8">
        <v>447</v>
      </c>
    </row>
    <row r="37281" spans="1:6" ht="12.75">
      <c r="A37281" s="8">
        <v>43887.748576388884</v>
      </c>
      <c r="B37281" s="8" t="str">
        <f t="shared" si="550"/>
        <v>@faisalramdani23</v>
      </c>
      <c r="C37281" s="8" t="s">
        <v>4785</v>
      </c>
      <c r="D37281" s="8">
        <v>157</v>
      </c>
      <c r="E37281" s="8">
        <v>0</v>
      </c>
      <c r="F37281" s="8">
        <v>447</v>
      </c>
    </row>
    <row r="37282" spans="1:6" ht="12.75">
      <c r="A37282" s="8">
        <v>43887.748506944445</v>
      </c>
      <c r="B37282" s="8" t="str">
        <f>HYPERLINK("https://twitter.com/WartaKotaTribun","@WartaKotaTribun")</f>
        <v>@WartaKotaTribun</v>
      </c>
      <c r="C37282" s="8" t="s">
        <v>14493</v>
      </c>
      <c r="D37282" s="8">
        <v>0</v>
      </c>
      <c r="E37282" s="8">
        <v>0</v>
      </c>
      <c r="F37282" s="8">
        <v>781</v>
      </c>
    </row>
    <row r="37283" spans="1:6" ht="12.75">
      <c r="A37283" s="8">
        <v>43887.748472222222</v>
      </c>
      <c r="B37283" s="8" t="str">
        <f>HYPERLINK("https://twitter.com/ryanxyz","@ryanxyz")</f>
        <v>@ryanxyz</v>
      </c>
      <c r="C37283" s="8" t="s">
        <v>13592</v>
      </c>
      <c r="D37283" s="8">
        <v>13</v>
      </c>
      <c r="E37283" s="8">
        <v>0</v>
      </c>
      <c r="F37283" s="8">
        <v>1218</v>
      </c>
    </row>
    <row r="37284" spans="1:6" ht="12.75">
      <c r="A37284" s="8">
        <v>43887.748344907406</v>
      </c>
      <c r="B37284" s="8" t="str">
        <f>HYPERLINK("https://twitter.com/FarelmaxL","@FarelmaxL")</f>
        <v>@FarelmaxL</v>
      </c>
      <c r="C37284" s="8" t="s">
        <v>11773</v>
      </c>
      <c r="D37284" s="8">
        <v>37</v>
      </c>
      <c r="E37284" s="8">
        <v>0</v>
      </c>
      <c r="F37284" s="8">
        <v>1379</v>
      </c>
    </row>
    <row r="37285" spans="1:6" ht="12.75">
      <c r="A37285" s="8">
        <v>43887.748113425929</v>
      </c>
      <c r="B37285" s="8" t="str">
        <f>HYPERLINK("https://twitter.com/you_are_see","@you_are_see")</f>
        <v>@you_are_see</v>
      </c>
      <c r="C37285" s="8" t="s">
        <v>14494</v>
      </c>
      <c r="D37285" s="8">
        <v>0</v>
      </c>
      <c r="E37285" s="8">
        <v>0</v>
      </c>
      <c r="F37285" s="8">
        <v>30</v>
      </c>
    </row>
    <row r="37286" spans="1:6" ht="12.75">
      <c r="A37286" s="8">
        <v>43887.747939814813</v>
      </c>
      <c r="B37286" s="8" t="str">
        <f>HYPERLINK("https://twitter.com/estananto","@estananto")</f>
        <v>@estananto</v>
      </c>
      <c r="C37286" s="8" t="s">
        <v>14495</v>
      </c>
      <c r="D37286" s="8">
        <v>1</v>
      </c>
      <c r="E37286" s="8">
        <v>0</v>
      </c>
      <c r="F37286" s="8">
        <v>2552</v>
      </c>
    </row>
    <row r="37287" spans="1:6" ht="12.75">
      <c r="A37287" s="8">
        <v>43887.747928240744</v>
      </c>
      <c r="B37287" s="8" t="str">
        <f>HYPERLINK("https://twitter.com/dherhita","@dherhita")</f>
        <v>@dherhita</v>
      </c>
      <c r="C37287" s="8" t="s">
        <v>13875</v>
      </c>
      <c r="D37287" s="8">
        <v>9</v>
      </c>
      <c r="E37287" s="8">
        <v>0</v>
      </c>
      <c r="F37287" s="8">
        <v>58</v>
      </c>
    </row>
    <row r="37288" spans="1:6" ht="12.75">
      <c r="A37288" s="8">
        <v>43887.74790509259</v>
      </c>
      <c r="B37288" s="8" t="str">
        <f>HYPERLINK("https://twitter.com/soffel84103944","@soffel84103944")</f>
        <v>@soffel84103944</v>
      </c>
      <c r="C37288" s="8" t="s">
        <v>12143</v>
      </c>
      <c r="D37288" s="8">
        <v>177</v>
      </c>
      <c r="E37288" s="8">
        <v>0</v>
      </c>
      <c r="F37288" s="8">
        <v>572</v>
      </c>
    </row>
    <row r="37289" spans="1:6" ht="12.75">
      <c r="A37289" s="8">
        <v>43887.747893518521</v>
      </c>
      <c r="B37289" s="8" t="str">
        <f>HYPERLINK("https://twitter.com/signorinaberli","@signorinaberli")</f>
        <v>@signorinaberli</v>
      </c>
      <c r="C37289" s="8" t="s">
        <v>13875</v>
      </c>
      <c r="D37289" s="8">
        <v>9</v>
      </c>
      <c r="E37289" s="8">
        <v>0</v>
      </c>
      <c r="F37289" s="8">
        <v>186</v>
      </c>
    </row>
    <row r="37290" spans="1:6" ht="12.75">
      <c r="A37290" s="8">
        <v>43887.747800925921</v>
      </c>
      <c r="B37290" s="8" t="str">
        <f>HYPERLINK("https://twitter.com/syahrulahadi","@syahrulahadi")</f>
        <v>@syahrulahadi</v>
      </c>
      <c r="C37290" s="8" t="s">
        <v>13365</v>
      </c>
      <c r="D37290" s="8">
        <v>822</v>
      </c>
      <c r="E37290" s="8">
        <v>0</v>
      </c>
      <c r="F37290" s="8">
        <v>79</v>
      </c>
    </row>
    <row r="37291" spans="1:6" ht="12.75">
      <c r="A37291" s="8">
        <v>43887.747696759259</v>
      </c>
      <c r="B37291" s="8" t="str">
        <f>HYPERLINK("https://twitter.com/MDAGUSS","@MDAGUSS")</f>
        <v>@MDAGUSS</v>
      </c>
      <c r="C37291" s="8" t="s">
        <v>26</v>
      </c>
      <c r="D37291" s="8">
        <v>58</v>
      </c>
      <c r="E37291" s="8">
        <v>0</v>
      </c>
      <c r="F37291" s="8">
        <v>197</v>
      </c>
    </row>
    <row r="37292" spans="1:6" ht="12.75">
      <c r="A37292" s="8">
        <v>43887.747673611113</v>
      </c>
      <c r="B37292" s="8" t="str">
        <f>HYPERLINK("https://twitter.com/podcomeon","@podcomeon")</f>
        <v>@podcomeon</v>
      </c>
      <c r="C37292" s="8" t="s">
        <v>4785</v>
      </c>
      <c r="D37292" s="8">
        <v>157</v>
      </c>
      <c r="E37292" s="8">
        <v>0</v>
      </c>
      <c r="F37292" s="8">
        <v>2</v>
      </c>
    </row>
    <row r="37293" spans="1:6" ht="12.75">
      <c r="A37293" s="8">
        <v>43887.747662037036</v>
      </c>
      <c r="B37293" s="8" t="str">
        <f>HYPERLINK("https://twitter.com/MustKethoel","@MustKethoel")</f>
        <v>@MustKethoel</v>
      </c>
      <c r="C37293" s="8" t="s">
        <v>4785</v>
      </c>
      <c r="D37293" s="8">
        <v>157</v>
      </c>
      <c r="E37293" s="8">
        <v>0</v>
      </c>
      <c r="F37293" s="8">
        <v>79</v>
      </c>
    </row>
    <row r="37294" spans="1:6" ht="12.75">
      <c r="A37294" s="8">
        <v>43887.747604166667</v>
      </c>
      <c r="B37294" s="8" t="str">
        <f t="shared" ref="B37294:B37295" si="551">HYPERLINK("https://twitter.com/DedyNad_id","@DedyNad_id")</f>
        <v>@DedyNad_id</v>
      </c>
      <c r="C37294" s="8" t="s">
        <v>4785</v>
      </c>
      <c r="D37294" s="8">
        <v>157</v>
      </c>
      <c r="E37294" s="8">
        <v>0</v>
      </c>
      <c r="F37294" s="8">
        <v>3909</v>
      </c>
    </row>
    <row r="37295" spans="1:6" ht="12.75">
      <c r="A37295" s="8">
        <v>43887.747534722221</v>
      </c>
      <c r="B37295" s="8" t="str">
        <f t="shared" si="551"/>
        <v>@DedyNad_id</v>
      </c>
      <c r="C37295" s="8" t="s">
        <v>26</v>
      </c>
      <c r="D37295" s="8">
        <v>58</v>
      </c>
      <c r="E37295" s="8">
        <v>0</v>
      </c>
      <c r="F37295" s="8">
        <v>3909</v>
      </c>
    </row>
    <row r="37296" spans="1:6" ht="12.75">
      <c r="A37296" s="8">
        <v>43887.747303240743</v>
      </c>
      <c r="B37296" s="8" t="str">
        <f>HYPERLINK("https://twitter.com/Abrata73647759","@Abrata73647759")</f>
        <v>@Abrata73647759</v>
      </c>
      <c r="C37296" s="8" t="s">
        <v>13224</v>
      </c>
      <c r="D37296" s="8">
        <v>2</v>
      </c>
      <c r="E37296" s="8">
        <v>0</v>
      </c>
      <c r="F37296" s="8">
        <v>63</v>
      </c>
    </row>
    <row r="37297" spans="1:6" ht="12.75">
      <c r="A37297" s="8">
        <v>43887.747256944444</v>
      </c>
      <c r="B37297" s="8" t="str">
        <f>HYPERLINK("https://twitter.com/lion_nkri","@lion_nkri")</f>
        <v>@lion_nkri</v>
      </c>
      <c r="C37297" s="8" t="s">
        <v>4785</v>
      </c>
      <c r="D37297" s="8">
        <v>157</v>
      </c>
      <c r="E37297" s="8">
        <v>0</v>
      </c>
      <c r="F37297" s="8">
        <v>7</v>
      </c>
    </row>
    <row r="37298" spans="1:6" ht="12.75">
      <c r="A37298" s="8">
        <v>43887.747210648144</v>
      </c>
      <c r="B37298" s="8" t="str">
        <f>HYPERLINK("https://twitter.com/dewaruci1945","@dewaruci1945")</f>
        <v>@dewaruci1945</v>
      </c>
      <c r="C37298" s="8" t="s">
        <v>13900</v>
      </c>
      <c r="D37298" s="8">
        <v>32</v>
      </c>
      <c r="E37298" s="8">
        <v>0</v>
      </c>
      <c r="F37298" s="8">
        <v>49</v>
      </c>
    </row>
    <row r="37299" spans="1:6" ht="12.75">
      <c r="A37299" s="8">
        <v>43887.747025462959</v>
      </c>
      <c r="B37299" s="8" t="str">
        <f>HYPERLINK("https://twitter.com/MegaSimarmata","@MegaSimarmata")</f>
        <v>@MegaSimarmata</v>
      </c>
      <c r="C37299" s="8" t="s">
        <v>14496</v>
      </c>
      <c r="D37299" s="8">
        <v>1</v>
      </c>
      <c r="E37299" s="8">
        <v>1</v>
      </c>
      <c r="F37299" s="8">
        <v>20523</v>
      </c>
    </row>
    <row r="37300" spans="1:6" ht="12.75">
      <c r="A37300" s="8">
        <v>43887.74700231482</v>
      </c>
      <c r="B37300" s="8" t="str">
        <f>HYPERLINK("https://twitter.com/okezonenews","@okezonenews")</f>
        <v>@okezonenews</v>
      </c>
      <c r="C37300" s="8" t="s">
        <v>14497</v>
      </c>
      <c r="D37300" s="8">
        <v>0</v>
      </c>
      <c r="E37300" s="8">
        <v>0</v>
      </c>
      <c r="F37300" s="8">
        <v>1743710</v>
      </c>
    </row>
    <row r="37301" spans="1:6" ht="12.75">
      <c r="A37301" s="8">
        <v>43887.746759259258</v>
      </c>
      <c r="B37301" s="8" t="str">
        <f>HYPERLINK("https://twitter.com/Qistinaqqhi","@Qistinaqqhi")</f>
        <v>@Qistinaqqhi</v>
      </c>
      <c r="C37301" s="8" t="s">
        <v>12143</v>
      </c>
      <c r="D37301" s="8">
        <v>177</v>
      </c>
      <c r="E37301" s="8">
        <v>0</v>
      </c>
      <c r="F37301" s="8">
        <v>946</v>
      </c>
    </row>
    <row r="37302" spans="1:6" ht="12.75">
      <c r="A37302" s="8">
        <v>43887.746631944443</v>
      </c>
      <c r="B37302" s="8" t="str">
        <f>HYPERLINK("https://twitter.com/BenMamat1","@BenMamat1")</f>
        <v>@BenMamat1</v>
      </c>
      <c r="C37302" s="8" t="s">
        <v>4785</v>
      </c>
      <c r="D37302" s="8">
        <v>157</v>
      </c>
      <c r="E37302" s="8">
        <v>0</v>
      </c>
      <c r="F37302" s="8">
        <v>7</v>
      </c>
    </row>
    <row r="37303" spans="1:6" ht="12.75">
      <c r="A37303" s="8">
        <v>43887.746597222227</v>
      </c>
      <c r="B37303" s="8" t="str">
        <f>HYPERLINK("https://twitter.com/SukhendroPragul","@SukhendroPragul")</f>
        <v>@SukhendroPragul</v>
      </c>
      <c r="C37303" s="8" t="s">
        <v>14498</v>
      </c>
      <c r="D37303" s="8">
        <v>0</v>
      </c>
      <c r="E37303" s="8">
        <v>1</v>
      </c>
      <c r="F37303" s="8">
        <v>2019</v>
      </c>
    </row>
    <row r="37304" spans="1:6" ht="12.75">
      <c r="A37304" s="8">
        <v>43887.746388888889</v>
      </c>
      <c r="B37304" s="8" t="str">
        <f>HYPERLINK("https://twitter.com/andrebima24","@andrebima24")</f>
        <v>@andrebima24</v>
      </c>
      <c r="C37304" s="8" t="s">
        <v>12406</v>
      </c>
      <c r="D37304" s="8">
        <v>35</v>
      </c>
      <c r="E37304" s="8">
        <v>0</v>
      </c>
      <c r="F37304" s="8">
        <v>429</v>
      </c>
    </row>
    <row r="37305" spans="1:6" ht="12.75">
      <c r="A37305" s="8">
        <v>43887.746296296296</v>
      </c>
      <c r="B37305" s="8" t="str">
        <f>HYPERLINK("https://twitter.com/Nigellasativa5","@Nigellasativa5")</f>
        <v>@Nigellasativa5</v>
      </c>
      <c r="C37305" s="8" t="s">
        <v>13633</v>
      </c>
      <c r="D37305" s="8">
        <v>13</v>
      </c>
      <c r="E37305" s="8">
        <v>0</v>
      </c>
      <c r="F37305" s="8">
        <v>4149</v>
      </c>
    </row>
    <row r="37306" spans="1:6" ht="12.75">
      <c r="A37306" s="8">
        <v>43887.746192129634</v>
      </c>
      <c r="B37306" s="8" t="str">
        <f>HYPERLINK("https://twitter.com/fuvckvvin","@fuvckvvin")</f>
        <v>@fuvckvvin</v>
      </c>
      <c r="C37306" s="8" t="s">
        <v>13633</v>
      </c>
      <c r="D37306" s="8">
        <v>13</v>
      </c>
      <c r="E37306" s="8">
        <v>0</v>
      </c>
      <c r="F37306" s="8">
        <v>245</v>
      </c>
    </row>
    <row r="37307" spans="1:6" ht="12.75">
      <c r="A37307" s="8">
        <v>43887.746157407411</v>
      </c>
      <c r="B37307" s="8" t="str">
        <f>HYPERLINK("https://twitter.com/real1ikaa_","@real1ikaa_")</f>
        <v>@real1ikaa_</v>
      </c>
      <c r="C37307" s="8" t="s">
        <v>2941</v>
      </c>
      <c r="D37307" s="8">
        <v>1041</v>
      </c>
      <c r="E37307" s="8">
        <v>0</v>
      </c>
      <c r="F37307" s="8">
        <v>169</v>
      </c>
    </row>
    <row r="37308" spans="1:6" ht="12.75">
      <c r="A37308" s="8">
        <v>43887.74596064815</v>
      </c>
      <c r="B37308" s="8" t="str">
        <f>HYPERLINK("https://twitter.com/KalitRizal","@KalitRizal")</f>
        <v>@KalitRizal</v>
      </c>
      <c r="C37308" s="8" t="s">
        <v>13875</v>
      </c>
      <c r="D37308" s="8">
        <v>9</v>
      </c>
      <c r="E37308" s="8">
        <v>0</v>
      </c>
      <c r="F37308" s="8">
        <v>1387</v>
      </c>
    </row>
    <row r="37309" spans="1:6" ht="12.75">
      <c r="A37309" s="8">
        <v>43887.74591435185</v>
      </c>
      <c r="B37309" s="8" t="str">
        <f t="shared" ref="B37309:B37310" si="552">HYPERLINK("https://twitter.com/bindunada","@bindunada")</f>
        <v>@bindunada</v>
      </c>
      <c r="C37309" s="8" t="s">
        <v>26</v>
      </c>
      <c r="D37309" s="8">
        <v>58</v>
      </c>
      <c r="E37309" s="8">
        <v>0</v>
      </c>
      <c r="F37309" s="8">
        <v>1062</v>
      </c>
    </row>
    <row r="37310" spans="1:6" ht="12.75">
      <c r="A37310" s="8">
        <v>43887.745879629627</v>
      </c>
      <c r="B37310" s="8" t="str">
        <f t="shared" si="552"/>
        <v>@bindunada</v>
      </c>
      <c r="C37310" s="8" t="s">
        <v>4785</v>
      </c>
      <c r="D37310" s="8">
        <v>157</v>
      </c>
      <c r="E37310" s="8">
        <v>0</v>
      </c>
      <c r="F37310" s="8">
        <v>1062</v>
      </c>
    </row>
    <row r="37311" spans="1:6" ht="12.75">
      <c r="A37311" s="8">
        <v>43887.745844907404</v>
      </c>
      <c r="B37311" s="8" t="str">
        <f>HYPERLINK("https://twitter.com/BbSihombing","@BbSihombing")</f>
        <v>@BbSihombing</v>
      </c>
      <c r="C37311" s="8" t="s">
        <v>4785</v>
      </c>
      <c r="D37311" s="8">
        <v>157</v>
      </c>
      <c r="E37311" s="8">
        <v>0</v>
      </c>
      <c r="F37311" s="8">
        <v>58</v>
      </c>
    </row>
    <row r="37312" spans="1:6" ht="12.75">
      <c r="A37312" s="8">
        <v>43887.745833333334</v>
      </c>
      <c r="B37312" s="8" t="str">
        <f>HYPERLINK("https://twitter.com/mediaindonesia","@mediaindonesia")</f>
        <v>@mediaindonesia</v>
      </c>
      <c r="C37312" s="8" t="s">
        <v>14499</v>
      </c>
      <c r="D37312" s="8">
        <v>1</v>
      </c>
      <c r="E37312" s="8">
        <v>2</v>
      </c>
      <c r="F37312" s="8">
        <v>1418833</v>
      </c>
    </row>
    <row r="37313" spans="1:6" ht="12.75">
      <c r="A37313" s="8">
        <v>43887.745763888888</v>
      </c>
      <c r="B37313" s="8" t="str">
        <f>HYPERLINK("https://twitter.com/widodogroho","@widodogroho")</f>
        <v>@widodogroho</v>
      </c>
      <c r="C37313" s="8" t="s">
        <v>13900</v>
      </c>
      <c r="D37313" s="8">
        <v>32</v>
      </c>
      <c r="E37313" s="8">
        <v>0</v>
      </c>
      <c r="F37313" s="8">
        <v>791</v>
      </c>
    </row>
    <row r="37314" spans="1:6" ht="12.75">
      <c r="A37314" s="8">
        <v>43887.715150462958</v>
      </c>
      <c r="B37314" s="8" t="str">
        <f>HYPERLINK("https://twitter.com/nisrina_hsn","@nisrina_hsn")</f>
        <v>@nisrina_hsn</v>
      </c>
      <c r="C37314" s="8" t="s">
        <v>12800</v>
      </c>
      <c r="D37314" s="8">
        <v>178</v>
      </c>
      <c r="E37314" s="8">
        <v>0</v>
      </c>
      <c r="F37314" s="8">
        <v>35</v>
      </c>
    </row>
    <row r="37315" spans="1:6" ht="12.75">
      <c r="A37315" s="8">
        <v>43887.715115740742</v>
      </c>
      <c r="B37315" s="8" t="str">
        <f>HYPERLINK("https://twitter.com/veraagustian_","@veraagustian_")</f>
        <v>@veraagustian_</v>
      </c>
      <c r="C37315" s="8" t="s">
        <v>14500</v>
      </c>
      <c r="D37315" s="8">
        <v>1</v>
      </c>
      <c r="E37315" s="8">
        <v>0</v>
      </c>
      <c r="F37315" s="8">
        <v>3055</v>
      </c>
    </row>
    <row r="37316" spans="1:6" ht="12.75">
      <c r="A37316" s="8">
        <v>43887.715046296296</v>
      </c>
      <c r="B37316" s="8" t="str">
        <f>HYPERLINK("https://twitter.com/azwardiacla","@azwardiacla")</f>
        <v>@azwardiacla</v>
      </c>
      <c r="C37316" s="8" t="s">
        <v>4785</v>
      </c>
      <c r="D37316" s="8">
        <v>66</v>
      </c>
      <c r="E37316" s="8">
        <v>0</v>
      </c>
      <c r="F37316" s="8">
        <v>843</v>
      </c>
    </row>
    <row r="37317" spans="1:6" ht="12.75">
      <c r="A37317" s="8">
        <v>43887.714965277773</v>
      </c>
      <c r="B37317" s="8" t="str">
        <f>HYPERLINK("https://twitter.com/ilman__nafian","@ilman__nafian")</f>
        <v>@ilman__nafian</v>
      </c>
      <c r="C37317" s="8" t="s">
        <v>14501</v>
      </c>
      <c r="D37317" s="8">
        <v>3</v>
      </c>
      <c r="E37317" s="8">
        <v>0</v>
      </c>
      <c r="F37317" s="8">
        <v>2325</v>
      </c>
    </row>
    <row r="37318" spans="1:6" ht="12.75">
      <c r="A37318" s="8">
        <v>43887.714965277773</v>
      </c>
      <c r="B37318" s="8" t="str">
        <f>HYPERLINK("https://twitter.com/sirajapadoha","@sirajapadoha")</f>
        <v>@sirajapadoha</v>
      </c>
      <c r="C37318" s="8" t="s">
        <v>14502</v>
      </c>
      <c r="D37318" s="8">
        <v>1</v>
      </c>
      <c r="E37318" s="8">
        <v>1</v>
      </c>
      <c r="F37318" s="8">
        <v>2462</v>
      </c>
    </row>
    <row r="37319" spans="1:6" ht="12.75">
      <c r="A37319" s="8">
        <v>43887.714606481481</v>
      </c>
      <c r="B37319" s="8" t="str">
        <f>HYPERLINK("https://twitter.com/nana040461","@nana040461")</f>
        <v>@nana040461</v>
      </c>
      <c r="C37319" s="8" t="s">
        <v>14503</v>
      </c>
      <c r="D37319" s="8">
        <v>2</v>
      </c>
      <c r="E37319" s="8">
        <v>0</v>
      </c>
      <c r="F37319" s="8">
        <v>1869</v>
      </c>
    </row>
    <row r="37320" spans="1:6" ht="12.75">
      <c r="A37320" s="8">
        <v>43887.714571759258</v>
      </c>
      <c r="B37320" s="8" t="str">
        <f>HYPERLINK("https://twitter.com/1006_VRL","@1006_VRL")</f>
        <v>@1006_VRL</v>
      </c>
      <c r="C37320" s="8" t="s">
        <v>593</v>
      </c>
      <c r="D37320" s="8">
        <v>232</v>
      </c>
      <c r="E37320" s="8">
        <v>0</v>
      </c>
      <c r="F37320" s="8">
        <v>334</v>
      </c>
    </row>
    <row r="37321" spans="1:6" ht="12.75">
      <c r="A37321" s="8">
        <v>43887.714317129634</v>
      </c>
      <c r="B37321" s="8" t="str">
        <f t="shared" ref="B37321:B37322" si="553">HYPERLINK("https://twitter.com/Wennyyyy_","@Wennyyyy_")</f>
        <v>@Wennyyyy_</v>
      </c>
      <c r="C37321" s="8" t="s">
        <v>26</v>
      </c>
      <c r="D37321" s="8">
        <v>23</v>
      </c>
      <c r="E37321" s="8">
        <v>0</v>
      </c>
      <c r="F37321" s="8">
        <v>544</v>
      </c>
    </row>
    <row r="37322" spans="1:6" ht="12.75">
      <c r="A37322" s="8">
        <v>43887.714270833334</v>
      </c>
      <c r="B37322" s="8" t="str">
        <f t="shared" si="553"/>
        <v>@Wennyyyy_</v>
      </c>
      <c r="C37322" s="8" t="s">
        <v>4785</v>
      </c>
      <c r="D37322" s="8">
        <v>66</v>
      </c>
      <c r="E37322" s="8">
        <v>0</v>
      </c>
      <c r="F37322" s="8">
        <v>544</v>
      </c>
    </row>
    <row r="37323" spans="1:6" ht="12.75">
      <c r="A37323" s="8">
        <v>43887.714178240742</v>
      </c>
      <c r="B37323" s="8" t="str">
        <f>HYPERLINK("https://twitter.com/mazgres","@mazgres")</f>
        <v>@mazgres</v>
      </c>
      <c r="C37323" s="8" t="s">
        <v>14504</v>
      </c>
      <c r="D37323" s="8">
        <v>0</v>
      </c>
      <c r="E37323" s="8">
        <v>0</v>
      </c>
      <c r="F37323" s="8">
        <v>120</v>
      </c>
    </row>
    <row r="37324" spans="1:6" ht="12.75">
      <c r="A37324" s="8">
        <v>43887.714085648149</v>
      </c>
      <c r="B37324" s="8" t="str">
        <f>HYPERLINK("https://twitter.com/Arifudi51901521","@Arifudi51901521")</f>
        <v>@Arifudi51901521</v>
      </c>
      <c r="C37324" s="8" t="s">
        <v>26</v>
      </c>
      <c r="D37324" s="8">
        <v>23</v>
      </c>
      <c r="E37324" s="8">
        <v>0</v>
      </c>
      <c r="F37324" s="8">
        <v>0</v>
      </c>
    </row>
    <row r="37325" spans="1:6" ht="12.75">
      <c r="A37325" s="8">
        <v>43887.71402777778</v>
      </c>
      <c r="B37325" s="8" t="str">
        <f t="shared" ref="B37325:B37326" si="554">HYPERLINK("https://twitter.com/YusufNusantara1","@YusufNusantara1")</f>
        <v>@YusufNusantara1</v>
      </c>
      <c r="C37325" s="8" t="s">
        <v>26</v>
      </c>
      <c r="D37325" s="8">
        <v>23</v>
      </c>
      <c r="E37325" s="8">
        <v>0</v>
      </c>
      <c r="F37325" s="8">
        <v>735</v>
      </c>
    </row>
    <row r="37326" spans="1:6" ht="12.75">
      <c r="A37326" s="8">
        <v>43887.713912037041</v>
      </c>
      <c r="B37326" s="8" t="str">
        <f t="shared" si="554"/>
        <v>@YusufNusantara1</v>
      </c>
      <c r="C37326" s="8" t="s">
        <v>4785</v>
      </c>
      <c r="D37326" s="8">
        <v>66</v>
      </c>
      <c r="E37326" s="8">
        <v>0</v>
      </c>
      <c r="F37326" s="8">
        <v>735</v>
      </c>
    </row>
    <row r="37327" spans="1:6" ht="12.75">
      <c r="A37327" s="8">
        <v>43887.713807870372</v>
      </c>
      <c r="B37327" s="8" t="str">
        <f>HYPERLINK("https://twitter.com/indrimky_","@indrimky_")</f>
        <v>@indrimky_</v>
      </c>
      <c r="C37327" s="8" t="s">
        <v>4785</v>
      </c>
      <c r="D37327" s="8">
        <v>66</v>
      </c>
      <c r="E37327" s="8">
        <v>0</v>
      </c>
      <c r="F37327" s="8">
        <v>238</v>
      </c>
    </row>
    <row r="37328" spans="1:6" ht="12.75">
      <c r="A37328" s="8">
        <v>43887.713726851856</v>
      </c>
      <c r="B37328" s="8" t="str">
        <f>HYPERLINK("https://twitter.com/aanoooy1","@aanoooy1")</f>
        <v>@aanoooy1</v>
      </c>
      <c r="C37328" s="8" t="s">
        <v>2941</v>
      </c>
      <c r="D37328" s="8">
        <v>1032</v>
      </c>
      <c r="E37328" s="8">
        <v>0</v>
      </c>
      <c r="F37328" s="8">
        <v>89</v>
      </c>
    </row>
    <row r="37329" spans="1:6" ht="12.75">
      <c r="A37329" s="8">
        <v>43887.713553240741</v>
      </c>
      <c r="B37329" s="8" t="str">
        <f>HYPERLINK("https://twitter.com/ulinyusron","@ulinyusron")</f>
        <v>@ulinyusron</v>
      </c>
      <c r="C37329" s="8" t="s">
        <v>4785</v>
      </c>
      <c r="D37329" s="8">
        <v>66</v>
      </c>
      <c r="E37329" s="8">
        <v>0</v>
      </c>
      <c r="F37329" s="8">
        <v>142729</v>
      </c>
    </row>
    <row r="37330" spans="1:6" ht="12.75">
      <c r="A37330" s="8">
        <v>43887.713391203702</v>
      </c>
      <c r="B37330" s="8" t="str">
        <f>HYPERLINK("https://twitter.com/Dinar13_","@Dinar13_")</f>
        <v>@Dinar13_</v>
      </c>
      <c r="C37330" s="8" t="s">
        <v>13900</v>
      </c>
      <c r="D37330" s="8">
        <v>12</v>
      </c>
      <c r="E37330" s="8">
        <v>0</v>
      </c>
      <c r="F37330" s="8">
        <v>680</v>
      </c>
    </row>
    <row r="37331" spans="1:6" ht="12.75">
      <c r="A37331" s="8">
        <v>43887.713368055556</v>
      </c>
      <c r="B37331" s="8" t="str">
        <f>HYPERLINK("https://twitter.com/Yos5Ku","@Yos5Ku")</f>
        <v>@Yos5Ku</v>
      </c>
      <c r="C37331" s="8" t="s">
        <v>13224</v>
      </c>
      <c r="D37331" s="8">
        <v>1</v>
      </c>
      <c r="E37331" s="8">
        <v>0</v>
      </c>
      <c r="F37331" s="8">
        <v>1475</v>
      </c>
    </row>
    <row r="37332" spans="1:6" ht="12.75">
      <c r="A37332" s="8">
        <v>43887.71329861111</v>
      </c>
      <c r="B37332" s="8" t="str">
        <f>HYPERLINK("https://twitter.com/yogo_prst","@yogo_prst")</f>
        <v>@yogo_prst</v>
      </c>
      <c r="C37332" s="8" t="s">
        <v>26</v>
      </c>
      <c r="D37332" s="8">
        <v>23</v>
      </c>
      <c r="E37332" s="8">
        <v>0</v>
      </c>
      <c r="F37332" s="8">
        <v>709</v>
      </c>
    </row>
    <row r="37333" spans="1:6" ht="12.75">
      <c r="A37333" s="8">
        <v>43887.713217592594</v>
      </c>
      <c r="B37333" s="8" t="str">
        <f>HYPERLINK("https://twitter.com/ChristWamea","@ChristWamea")</f>
        <v>@ChristWamea</v>
      </c>
      <c r="C37333" s="8" t="s">
        <v>4785</v>
      </c>
      <c r="D37333" s="8">
        <v>66</v>
      </c>
      <c r="E37333" s="8">
        <v>0</v>
      </c>
      <c r="F37333" s="8">
        <v>28701</v>
      </c>
    </row>
    <row r="37334" spans="1:6" ht="12.75">
      <c r="A37334" s="8">
        <v>43887.713194444441</v>
      </c>
      <c r="B37334" s="8" t="str">
        <f>HYPERLINK("https://twitter.com/Arifudi51901521","@Arifudi51901521")</f>
        <v>@Arifudi51901521</v>
      </c>
      <c r="C37334" s="8" t="s">
        <v>4785</v>
      </c>
      <c r="D37334" s="8">
        <v>66</v>
      </c>
      <c r="E37334" s="8">
        <v>0</v>
      </c>
      <c r="F37334" s="8">
        <v>0</v>
      </c>
    </row>
    <row r="37335" spans="1:6" ht="12.75">
      <c r="A37335" s="8">
        <v>43887.713009259256</v>
      </c>
      <c r="B37335" s="8" t="str">
        <f t="shared" ref="B37335:B37336" si="555">HYPERLINK("https://twitter.com/ahmadhito","@ahmadhito")</f>
        <v>@ahmadhito</v>
      </c>
      <c r="C37335" s="8" t="s">
        <v>26</v>
      </c>
      <c r="D37335" s="8">
        <v>23</v>
      </c>
      <c r="E37335" s="8">
        <v>0</v>
      </c>
      <c r="F37335" s="8">
        <v>1673</v>
      </c>
    </row>
    <row r="37336" spans="1:6" ht="12.75">
      <c r="A37336" s="8">
        <v>43887.71298611111</v>
      </c>
      <c r="B37336" s="8" t="str">
        <f t="shared" si="555"/>
        <v>@ahmadhito</v>
      </c>
      <c r="C37336" s="8" t="s">
        <v>4785</v>
      </c>
      <c r="D37336" s="8">
        <v>66</v>
      </c>
      <c r="E37336" s="8">
        <v>0</v>
      </c>
      <c r="F37336" s="8">
        <v>1673</v>
      </c>
    </row>
    <row r="37337" spans="1:6" ht="12.75">
      <c r="A37337" s="8">
        <v>43887.712824074071</v>
      </c>
      <c r="B37337" s="8" t="str">
        <f>HYPERLINK("https://twitter.com/tuankurio","@tuankurio")</f>
        <v>@tuankurio</v>
      </c>
      <c r="C37337" s="8" t="s">
        <v>14505</v>
      </c>
      <c r="D37337" s="8">
        <v>5</v>
      </c>
      <c r="E37337" s="8">
        <v>0</v>
      </c>
      <c r="F37337" s="8">
        <v>184</v>
      </c>
    </row>
    <row r="37338" spans="1:6" ht="12.75">
      <c r="A37338" s="8">
        <v>43887.712731481486</v>
      </c>
      <c r="B37338" s="8" t="str">
        <f>HYPERLINK("https://twitter.com/hyujinee","@hyujinee")</f>
        <v>@hyujinee</v>
      </c>
      <c r="C37338" s="8" t="s">
        <v>4785</v>
      </c>
      <c r="D37338" s="8">
        <v>66</v>
      </c>
      <c r="E37338" s="8">
        <v>0</v>
      </c>
      <c r="F37338" s="8">
        <v>62</v>
      </c>
    </row>
    <row r="37339" spans="1:6" ht="12.75">
      <c r="A37339" s="8">
        <v>43887.712719907402</v>
      </c>
      <c r="B37339" s="8" t="str">
        <f>HYPERLINK("https://twitter.com/akuputraaa","@akuputraaa")</f>
        <v>@akuputraaa</v>
      </c>
      <c r="C37339" s="8" t="s">
        <v>4785</v>
      </c>
      <c r="D37339" s="8">
        <v>66</v>
      </c>
      <c r="E37339" s="8">
        <v>0</v>
      </c>
      <c r="F37339" s="8">
        <v>471</v>
      </c>
    </row>
    <row r="37340" spans="1:6" ht="12.75">
      <c r="A37340" s="8">
        <v>43887.712708333333</v>
      </c>
      <c r="B37340" s="8" t="str">
        <f>HYPERLINK("https://twitter.com/buruhmigran","@buruhmigran")</f>
        <v>@buruhmigran</v>
      </c>
      <c r="C37340" s="8" t="s">
        <v>14506</v>
      </c>
      <c r="D37340" s="8">
        <v>0</v>
      </c>
      <c r="E37340" s="8">
        <v>0</v>
      </c>
      <c r="F37340" s="8">
        <v>173</v>
      </c>
    </row>
    <row r="37341" spans="1:6" ht="12.75">
      <c r="A37341" s="8">
        <v>43887.712673611109</v>
      </c>
      <c r="B37341" s="8" t="str">
        <f t="shared" ref="B37341:B37342" si="556">HYPERLINK("https://twitter.com/gpnasdempapua","@gpnasdempapua")</f>
        <v>@gpnasdempapua</v>
      </c>
      <c r="C37341" s="8" t="s">
        <v>14507</v>
      </c>
      <c r="D37341" s="8">
        <v>0</v>
      </c>
      <c r="E37341" s="8">
        <v>0</v>
      </c>
      <c r="F37341" s="8">
        <v>10</v>
      </c>
    </row>
    <row r="37342" spans="1:6" ht="12.75">
      <c r="A37342" s="8">
        <v>43887.71266203704</v>
      </c>
      <c r="B37342" s="8" t="str">
        <f t="shared" si="556"/>
        <v>@gpnasdempapua</v>
      </c>
      <c r="C37342" s="8" t="s">
        <v>14508</v>
      </c>
      <c r="D37342" s="8">
        <v>0</v>
      </c>
      <c r="E37342" s="8">
        <v>0</v>
      </c>
      <c r="F37342" s="8">
        <v>10</v>
      </c>
    </row>
    <row r="37343" spans="1:6" ht="12.75">
      <c r="A37343" s="8">
        <v>43887.712627314817</v>
      </c>
      <c r="B37343" s="8" t="str">
        <f>HYPERLINK("https://twitter.com/kemaaaaaall","@kemaaaaaall")</f>
        <v>@kemaaaaaall</v>
      </c>
      <c r="C37343" s="8" t="s">
        <v>2941</v>
      </c>
      <c r="D37343" s="8">
        <v>1032</v>
      </c>
      <c r="E37343" s="8">
        <v>0</v>
      </c>
      <c r="F37343" s="8">
        <v>13</v>
      </c>
    </row>
    <row r="37344" spans="1:6" ht="12.75">
      <c r="A37344" s="8">
        <v>43887.712627314817</v>
      </c>
      <c r="B37344" s="8" t="str">
        <f>HYPERLINK("https://twitter.com/lusyuli01","@lusyuli01")</f>
        <v>@lusyuli01</v>
      </c>
      <c r="C37344" s="8" t="s">
        <v>4785</v>
      </c>
      <c r="D37344" s="8">
        <v>66</v>
      </c>
      <c r="E37344" s="8">
        <v>0</v>
      </c>
      <c r="F37344" s="8">
        <v>45</v>
      </c>
    </row>
    <row r="37345" spans="1:6" ht="12.75">
      <c r="A37345" s="8">
        <v>43887.71261574074</v>
      </c>
      <c r="B37345" s="8" t="str">
        <f>HYPERLINK("https://twitter.com/akuputraaa","@akuputraaa")</f>
        <v>@akuputraaa</v>
      </c>
      <c r="C37345" s="8" t="s">
        <v>26</v>
      </c>
      <c r="D37345" s="8">
        <v>23</v>
      </c>
      <c r="E37345" s="8">
        <v>0</v>
      </c>
      <c r="F37345" s="8">
        <v>471</v>
      </c>
    </row>
    <row r="37346" spans="1:6" ht="12.75">
      <c r="A37346" s="8">
        <v>43887.712523148148</v>
      </c>
      <c r="B37346" s="8" t="str">
        <f t="shared" ref="B37346:B37347" si="557">HYPERLINK("https://twitter.com/tuankurio","@tuankurio")</f>
        <v>@tuankurio</v>
      </c>
      <c r="C37346" s="8" t="s">
        <v>14509</v>
      </c>
      <c r="D37346" s="8">
        <v>1</v>
      </c>
      <c r="E37346" s="8">
        <v>0</v>
      </c>
      <c r="F37346" s="8">
        <v>184</v>
      </c>
    </row>
    <row r="37347" spans="1:6" ht="12.75">
      <c r="A37347" s="8">
        <v>43887.712418981479</v>
      </c>
      <c r="B37347" s="8" t="str">
        <f t="shared" si="557"/>
        <v>@tuankurio</v>
      </c>
      <c r="C37347" s="8" t="s">
        <v>14510</v>
      </c>
      <c r="D37347" s="8">
        <v>1</v>
      </c>
      <c r="E37347" s="8">
        <v>0</v>
      </c>
      <c r="F37347" s="8">
        <v>184</v>
      </c>
    </row>
    <row r="37348" spans="1:6" ht="12.75">
      <c r="A37348" s="8">
        <v>43887.712013888886</v>
      </c>
      <c r="B37348" s="8" t="str">
        <f>HYPERLINK("https://twitter.com/mfnid","@mfnid")</f>
        <v>@mfnid</v>
      </c>
      <c r="C37348" s="8" t="s">
        <v>26</v>
      </c>
      <c r="D37348" s="8">
        <v>23</v>
      </c>
      <c r="E37348" s="8">
        <v>0</v>
      </c>
      <c r="F37348" s="8">
        <v>936</v>
      </c>
    </row>
    <row r="37349" spans="1:6" ht="12.75">
      <c r="A37349" s="8">
        <v>43887.712002314816</v>
      </c>
      <c r="B37349" s="8" t="str">
        <f>HYPERLINK("https://twitter.com/kbharianaceh","@kbharianaceh")</f>
        <v>@kbharianaceh</v>
      </c>
      <c r="C37349" s="8" t="s">
        <v>14511</v>
      </c>
      <c r="D37349" s="8">
        <v>0</v>
      </c>
      <c r="E37349" s="8">
        <v>0</v>
      </c>
      <c r="F37349" s="8">
        <v>1192</v>
      </c>
    </row>
    <row r="37350" spans="1:6" ht="12.75">
      <c r="A37350" s="8">
        <v>43887.711921296301</v>
      </c>
      <c r="B37350" s="8" t="str">
        <f>HYPERLINK("https://twitter.com/mfnid","@mfnid")</f>
        <v>@mfnid</v>
      </c>
      <c r="C37350" s="8" t="s">
        <v>4785</v>
      </c>
      <c r="D37350" s="8">
        <v>66</v>
      </c>
      <c r="E37350" s="8">
        <v>0</v>
      </c>
      <c r="F37350" s="8">
        <v>936</v>
      </c>
    </row>
    <row r="37351" spans="1:6" ht="12.75">
      <c r="A37351" s="8">
        <v>43887.711793981478</v>
      </c>
      <c r="B37351" s="8" t="str">
        <f>HYPERLINK("https://twitter.com/ichaaycha","@ichaaycha")</f>
        <v>@ichaaycha</v>
      </c>
      <c r="C37351" s="8" t="s">
        <v>26</v>
      </c>
      <c r="D37351" s="8">
        <v>23</v>
      </c>
      <c r="E37351" s="8">
        <v>0</v>
      </c>
      <c r="F37351" s="8">
        <v>395</v>
      </c>
    </row>
    <row r="37352" spans="1:6" ht="12.75">
      <c r="A37352" s="8">
        <v>43887.711724537032</v>
      </c>
      <c r="B37352" s="8" t="str">
        <f t="shared" ref="B37352:B37353" si="558">HYPERLINK("https://twitter.com/mury_eko","@mury_eko")</f>
        <v>@mury_eko</v>
      </c>
      <c r="C37352" s="8" t="s">
        <v>26</v>
      </c>
      <c r="D37352" s="8">
        <v>23</v>
      </c>
      <c r="E37352" s="8">
        <v>0</v>
      </c>
      <c r="F37352" s="8">
        <v>1564</v>
      </c>
    </row>
    <row r="37353" spans="1:6" ht="12.75">
      <c r="A37353" s="8">
        <v>43887.711655092593</v>
      </c>
      <c r="B37353" s="8" t="str">
        <f t="shared" si="558"/>
        <v>@mury_eko</v>
      </c>
      <c r="C37353" s="8" t="s">
        <v>4785</v>
      </c>
      <c r="D37353" s="8">
        <v>66</v>
      </c>
      <c r="E37353" s="8">
        <v>0</v>
      </c>
      <c r="F37353" s="8">
        <v>1564</v>
      </c>
    </row>
    <row r="37354" spans="1:6" ht="12.75">
      <c r="A37354" s="8">
        <v>43887.711631944447</v>
      </c>
      <c r="B37354" s="8" t="str">
        <f>HYPERLINK("https://twitter.com/kombicapil","@kombicapil")</f>
        <v>@kombicapil</v>
      </c>
      <c r="C37354" s="8" t="s">
        <v>14512</v>
      </c>
      <c r="D37354" s="8">
        <v>1</v>
      </c>
      <c r="E37354" s="8">
        <v>0</v>
      </c>
      <c r="F37354" s="8">
        <v>381</v>
      </c>
    </row>
    <row r="37355" spans="1:6" ht="12.75">
      <c r="A37355" s="8">
        <v>43887.711562500001</v>
      </c>
      <c r="B37355" s="8" t="str">
        <f>HYPERLINK("https://twitter.com/totosudarmongi","@totosudarmongi")</f>
        <v>@totosudarmongi</v>
      </c>
      <c r="C37355" s="8" t="s">
        <v>14513</v>
      </c>
      <c r="D37355" s="8">
        <v>1</v>
      </c>
      <c r="E37355" s="8">
        <v>0</v>
      </c>
      <c r="F37355" s="8">
        <v>30109</v>
      </c>
    </row>
    <row r="37356" spans="1:6" ht="12.75">
      <c r="A37356" s="8">
        <v>43887.711516203708</v>
      </c>
      <c r="B37356" s="8" t="str">
        <f>HYPERLINK("https://twitter.com/jjunplay","@jjunplay")</f>
        <v>@jjunplay</v>
      </c>
      <c r="C37356" s="8" t="s">
        <v>4785</v>
      </c>
      <c r="D37356" s="8">
        <v>66</v>
      </c>
      <c r="E37356" s="8">
        <v>0</v>
      </c>
      <c r="F37356" s="8">
        <v>392</v>
      </c>
    </row>
    <row r="37357" spans="1:6" ht="12.75">
      <c r="A37357" s="8">
        <v>43887.711458333331</v>
      </c>
      <c r="B37357" s="8" t="str">
        <f>HYPERLINK("https://twitter.com/lorasama","@lorasama")</f>
        <v>@lorasama</v>
      </c>
      <c r="C37357" s="8" t="s">
        <v>14514</v>
      </c>
      <c r="D37357" s="8">
        <v>0</v>
      </c>
      <c r="E37357" s="8">
        <v>0</v>
      </c>
      <c r="F37357" s="8">
        <v>333</v>
      </c>
    </row>
    <row r="37358" spans="1:6" ht="12.75">
      <c r="A37358" s="8">
        <v>43887.711400462962</v>
      </c>
      <c r="B37358" s="8" t="str">
        <f>HYPERLINK("https://twitter.com/AdyPray13943265","@AdyPray13943265")</f>
        <v>@AdyPray13943265</v>
      </c>
      <c r="C37358" s="8" t="s">
        <v>4785</v>
      </c>
      <c r="D37358" s="8">
        <v>66</v>
      </c>
      <c r="E37358" s="8">
        <v>0</v>
      </c>
      <c r="F37358" s="8">
        <v>5</v>
      </c>
    </row>
    <row r="37359" spans="1:6" ht="12.75">
      <c r="A37359" s="8">
        <v>43887.711319444439</v>
      </c>
      <c r="B37359" s="8" t="str">
        <f>HYPERLINK("https://twitter.com/Fely19891","@Fely19891")</f>
        <v>@Fely19891</v>
      </c>
      <c r="C37359" s="8" t="s">
        <v>14515</v>
      </c>
      <c r="D37359" s="8">
        <v>0</v>
      </c>
      <c r="E37359" s="8">
        <v>0</v>
      </c>
      <c r="F37359" s="8">
        <v>43</v>
      </c>
    </row>
    <row r="37360" spans="1:6" ht="12.75">
      <c r="A37360" s="8">
        <v>43887.711076388892</v>
      </c>
      <c r="B37360" s="8" t="str">
        <f>HYPERLINK("https://twitter.com/FerryM1","@FerryM1")</f>
        <v>@FerryM1</v>
      </c>
      <c r="C37360" s="8" t="s">
        <v>26</v>
      </c>
      <c r="D37360" s="8">
        <v>23</v>
      </c>
      <c r="E37360" s="8">
        <v>0</v>
      </c>
      <c r="F37360" s="8">
        <v>2320</v>
      </c>
    </row>
    <row r="37361" spans="1:6" ht="12.75">
      <c r="A37361" s="8">
        <v>43887.710972222223</v>
      </c>
      <c r="B37361" s="8" t="str">
        <f>HYPERLINK("https://twitter.com/AbuAmr_AlAslamy","@AbuAmr_AlAslamy")</f>
        <v>@AbuAmr_AlAslamy</v>
      </c>
      <c r="C37361" s="8" t="s">
        <v>14516</v>
      </c>
      <c r="D37361" s="8">
        <v>0</v>
      </c>
      <c r="E37361" s="8">
        <v>0</v>
      </c>
      <c r="F37361" s="8">
        <v>403</v>
      </c>
    </row>
    <row r="37362" spans="1:6" ht="12.75">
      <c r="A37362" s="8">
        <v>43887.7109375</v>
      </c>
      <c r="B37362" s="8" t="str">
        <f>HYPERLINK("https://twitter.com/iespowers","@iespowers")</f>
        <v>@iespowers</v>
      </c>
      <c r="C37362" s="8" t="s">
        <v>14517</v>
      </c>
      <c r="D37362" s="8">
        <v>0</v>
      </c>
      <c r="E37362" s="8">
        <v>0</v>
      </c>
      <c r="F37362" s="8">
        <v>5</v>
      </c>
    </row>
    <row r="37363" spans="1:6" ht="12.75">
      <c r="A37363" s="8">
        <v>43887.710914351846</v>
      </c>
      <c r="B37363" s="8" t="str">
        <f>HYPERLINK("https://twitter.com/FerryM1","@FerryM1")</f>
        <v>@FerryM1</v>
      </c>
      <c r="C37363" s="8" t="s">
        <v>4785</v>
      </c>
      <c r="D37363" s="8">
        <v>66</v>
      </c>
      <c r="E37363" s="8">
        <v>0</v>
      </c>
      <c r="F37363" s="8">
        <v>2320</v>
      </c>
    </row>
    <row r="37364" spans="1:6" ht="12.75">
      <c r="A37364" s="8">
        <v>43887.710868055554</v>
      </c>
      <c r="B37364" s="8" t="str">
        <f t="shared" ref="B37364:B37365" si="559">HYPERLINK("https://twitter.com/sanny_bp","@sanny_bp")</f>
        <v>@sanny_bp</v>
      </c>
      <c r="C37364" s="8" t="s">
        <v>26</v>
      </c>
      <c r="D37364" s="8">
        <v>23</v>
      </c>
      <c r="E37364" s="8">
        <v>0</v>
      </c>
      <c r="F37364" s="8">
        <v>152</v>
      </c>
    </row>
    <row r="37365" spans="1:6" ht="12.75">
      <c r="A37365" s="8">
        <v>43887.710833333331</v>
      </c>
      <c r="B37365" s="8" t="str">
        <f t="shared" si="559"/>
        <v>@sanny_bp</v>
      </c>
      <c r="C37365" s="8" t="s">
        <v>4785</v>
      </c>
      <c r="D37365" s="8">
        <v>66</v>
      </c>
      <c r="E37365" s="8">
        <v>0</v>
      </c>
      <c r="F37365" s="8">
        <v>152</v>
      </c>
    </row>
    <row r="37366" spans="1:6" ht="12.75">
      <c r="A37366" s="8">
        <v>43887.710775462961</v>
      </c>
      <c r="B37366" s="8" t="str">
        <f>HYPERLINK("https://twitter.com/B4T_","@B4T_")</f>
        <v>@B4T_</v>
      </c>
      <c r="C37366" s="8" t="s">
        <v>4785</v>
      </c>
      <c r="D37366" s="8">
        <v>66</v>
      </c>
      <c r="E37366" s="8">
        <v>0</v>
      </c>
      <c r="F37366" s="8">
        <v>6</v>
      </c>
    </row>
    <row r="37367" spans="1:6" ht="12.75">
      <c r="A37367" s="8">
        <v>43887.710763888885</v>
      </c>
      <c r="B37367" s="8" t="str">
        <f>HYPERLINK("https://twitter.com/Bias___","@Bias___")</f>
        <v>@Bias___</v>
      </c>
      <c r="C37367" s="8" t="s">
        <v>4785</v>
      </c>
      <c r="D37367" s="8">
        <v>66</v>
      </c>
      <c r="E37367" s="8">
        <v>0</v>
      </c>
      <c r="F37367" s="8">
        <v>600</v>
      </c>
    </row>
    <row r="37368" spans="1:6" ht="12.75">
      <c r="A37368" s="8">
        <v>43887.710636574076</v>
      </c>
      <c r="B37368" s="8" t="str">
        <f>HYPERLINK("https://twitter.com/96Gino1","@96Gino1")</f>
        <v>@96Gino1</v>
      </c>
      <c r="C37368" s="8" t="s">
        <v>14518</v>
      </c>
      <c r="D37368" s="8">
        <v>0</v>
      </c>
      <c r="E37368" s="8">
        <v>1</v>
      </c>
      <c r="F37368" s="8">
        <v>141</v>
      </c>
    </row>
    <row r="37369" spans="1:6" ht="12.75">
      <c r="A37369" s="8">
        <v>43887.71056712963</v>
      </c>
      <c r="B37369" s="8" t="str">
        <f>HYPERLINK("https://twitter.com/buruhmigran","@buruhmigran")</f>
        <v>@buruhmigran</v>
      </c>
      <c r="C37369" s="8" t="s">
        <v>14519</v>
      </c>
      <c r="D37369" s="8">
        <v>0</v>
      </c>
      <c r="E37369" s="8">
        <v>0</v>
      </c>
      <c r="F37369" s="8">
        <v>173</v>
      </c>
    </row>
    <row r="37370" spans="1:6" ht="12.75">
      <c r="A37370" s="8">
        <v>43887.710474537038</v>
      </c>
      <c r="B37370" s="8" t="str">
        <f>HYPERLINK("https://twitter.com/kardusIndomie_","@kardusIndomie_")</f>
        <v>@kardusIndomie_</v>
      </c>
      <c r="C37370" s="8" t="s">
        <v>4785</v>
      </c>
      <c r="D37370" s="8">
        <v>66</v>
      </c>
      <c r="E37370" s="8">
        <v>0</v>
      </c>
      <c r="F37370" s="8">
        <v>99</v>
      </c>
    </row>
    <row r="37371" spans="1:6" ht="12.75">
      <c r="A37371" s="8">
        <v>43887.710324074069</v>
      </c>
      <c r="B37371" s="8" t="str">
        <f>HYPERLINK("https://twitter.com/Ongalsan","@Ongalsan")</f>
        <v>@Ongalsan</v>
      </c>
      <c r="C37371" s="8" t="s">
        <v>26</v>
      </c>
      <c r="D37371" s="8">
        <v>23</v>
      </c>
      <c r="E37371" s="8">
        <v>0</v>
      </c>
      <c r="F37371" s="8">
        <v>160</v>
      </c>
    </row>
    <row r="37372" spans="1:6" ht="12.75">
      <c r="A37372" s="8">
        <v>43887.710277777776</v>
      </c>
      <c r="B37372" s="8" t="str">
        <f>HYPERLINK("https://twitter.com/Mohamad50983447","@Mohamad50983447")</f>
        <v>@Mohamad50983447</v>
      </c>
      <c r="C37372" s="8" t="s">
        <v>14151</v>
      </c>
      <c r="D37372" s="8">
        <v>10</v>
      </c>
      <c r="E37372" s="8">
        <v>0</v>
      </c>
      <c r="F37372" s="8">
        <v>124</v>
      </c>
    </row>
    <row r="37373" spans="1:6" ht="12.75">
      <c r="A37373" s="8">
        <v>43887.71025462963</v>
      </c>
      <c r="B37373" s="8" t="str">
        <f>HYPERLINK("https://twitter.com/_kehidupanku_","@_kehidupanku_")</f>
        <v>@_kehidupanku_</v>
      </c>
      <c r="C37373" s="8" t="s">
        <v>14520</v>
      </c>
      <c r="D37373" s="8">
        <v>3</v>
      </c>
      <c r="E37373" s="8">
        <v>0</v>
      </c>
      <c r="F37373" s="8">
        <v>2</v>
      </c>
    </row>
    <row r="37374" spans="1:6" ht="12.75">
      <c r="A37374" s="8">
        <v>43887.710231481484</v>
      </c>
      <c r="B37374" s="8" t="str">
        <f>HYPERLINK("https://twitter.com/ockyRizkey","@ockyRizkey")</f>
        <v>@ockyRizkey</v>
      </c>
      <c r="C37374" s="8" t="s">
        <v>26</v>
      </c>
      <c r="D37374" s="8">
        <v>23</v>
      </c>
      <c r="E37374" s="8">
        <v>0</v>
      </c>
      <c r="F37374" s="8">
        <v>219</v>
      </c>
    </row>
    <row r="37375" spans="1:6" ht="12.75">
      <c r="A37375" s="8">
        <v>43887.710185185184</v>
      </c>
      <c r="B37375" s="8" t="str">
        <f>HYPERLINK("https://twitter.com/DedySuwadha","@DedySuwadha")</f>
        <v>@DedySuwadha</v>
      </c>
      <c r="C37375" s="8" t="s">
        <v>14521</v>
      </c>
      <c r="D37375" s="8">
        <v>0</v>
      </c>
      <c r="E37375" s="8">
        <v>0</v>
      </c>
      <c r="F37375" s="8">
        <v>1876</v>
      </c>
    </row>
    <row r="37376" spans="1:6" ht="12.75">
      <c r="A37376" s="8">
        <v>43887.710034722222</v>
      </c>
      <c r="B37376" s="8" t="str">
        <f>HYPERLINK("https://twitter.com/SayankNanda","@SayankNanda")</f>
        <v>@SayankNanda</v>
      </c>
      <c r="C37376" s="8" t="s">
        <v>14522</v>
      </c>
      <c r="D37376" s="8">
        <v>0</v>
      </c>
      <c r="E37376" s="8">
        <v>0</v>
      </c>
      <c r="F37376" s="8">
        <v>0</v>
      </c>
    </row>
    <row r="37377" spans="1:6" ht="12.75">
      <c r="A37377" s="8">
        <v>43887.709849537037</v>
      </c>
      <c r="B37377" s="8" t="str">
        <f>HYPERLINK("https://twitter.com/GardaKharisma","@GardaKharisma")</f>
        <v>@GardaKharisma</v>
      </c>
      <c r="C37377" s="8" t="s">
        <v>4785</v>
      </c>
      <c r="D37377" s="8">
        <v>66</v>
      </c>
      <c r="E37377" s="8">
        <v>0</v>
      </c>
      <c r="F37377" s="8">
        <v>526</v>
      </c>
    </row>
    <row r="37378" spans="1:6" ht="12.75">
      <c r="A37378" s="8">
        <v>43887.709791666668</v>
      </c>
      <c r="B37378" s="8" t="str">
        <f>HYPERLINK("https://twitter.com/kapasbawah","@kapasbawah")</f>
        <v>@kapasbawah</v>
      </c>
      <c r="C37378" s="8" t="s">
        <v>4785</v>
      </c>
      <c r="D37378" s="8">
        <v>66</v>
      </c>
      <c r="E37378" s="8">
        <v>0</v>
      </c>
      <c r="F37378" s="8">
        <v>93</v>
      </c>
    </row>
    <row r="37379" spans="1:6" ht="12.75">
      <c r="A37379" s="8">
        <v>43887.709791666668</v>
      </c>
      <c r="B37379" s="8" t="str">
        <f>HYPERLINK("https://twitter.com/kondekturbus_","@kondekturbus_")</f>
        <v>@kondekturbus_</v>
      </c>
      <c r="C37379" s="8" t="s">
        <v>26</v>
      </c>
      <c r="D37379" s="8">
        <v>23</v>
      </c>
      <c r="E37379" s="8">
        <v>0</v>
      </c>
      <c r="F37379" s="8">
        <v>14248</v>
      </c>
    </row>
    <row r="37380" spans="1:6" ht="12.75">
      <c r="A37380" s="8">
        <v>43887.709756944445</v>
      </c>
      <c r="B37380" s="8" t="str">
        <f>HYPERLINK("https://twitter.com/yudhifyzella","@yudhifyzella")</f>
        <v>@yudhifyzella</v>
      </c>
      <c r="C37380" s="8" t="s">
        <v>4785</v>
      </c>
      <c r="D37380" s="8">
        <v>66</v>
      </c>
      <c r="E37380" s="8">
        <v>0</v>
      </c>
      <c r="F37380" s="8">
        <v>56</v>
      </c>
    </row>
    <row r="37381" spans="1:6" ht="12.75">
      <c r="A37381" s="8">
        <v>43887.709733796291</v>
      </c>
      <c r="B37381" s="8" t="str">
        <f>HYPERLINK("https://twitter.com/semarman","@semarman")</f>
        <v>@semarman</v>
      </c>
      <c r="C37381" s="8" t="s">
        <v>12406</v>
      </c>
      <c r="D37381" s="8">
        <v>26</v>
      </c>
      <c r="E37381" s="8">
        <v>0</v>
      </c>
      <c r="F37381" s="8">
        <v>513</v>
      </c>
    </row>
    <row r="37382" spans="1:6" ht="12.75">
      <c r="A37382" s="8">
        <v>43887.709699074076</v>
      </c>
      <c r="B37382" s="8" t="str">
        <f>HYPERLINK("https://twitter.com/kangewink","@kangewink")</f>
        <v>@kangewink</v>
      </c>
      <c r="C37382" s="8" t="s">
        <v>13365</v>
      </c>
      <c r="D37382" s="8">
        <v>812</v>
      </c>
      <c r="E37382" s="8">
        <v>0</v>
      </c>
      <c r="F37382" s="8">
        <v>140</v>
      </c>
    </row>
    <row r="37383" spans="1:6" ht="12.75">
      <c r="A37383" s="8">
        <v>43887.709687499999</v>
      </c>
      <c r="B37383" s="8" t="str">
        <f>HYPERLINK("https://twitter.com/Duran92146738","@Duran92146738")</f>
        <v>@Duran92146738</v>
      </c>
      <c r="C37383" s="8" t="s">
        <v>26</v>
      </c>
      <c r="D37383" s="8">
        <v>23</v>
      </c>
      <c r="E37383" s="8">
        <v>0</v>
      </c>
      <c r="F37383" s="8">
        <v>28</v>
      </c>
    </row>
    <row r="37384" spans="1:6" ht="12.75">
      <c r="A37384" s="8">
        <v>43887.709664351853</v>
      </c>
      <c r="B37384" s="8" t="str">
        <f>HYPERLINK("https://twitter.com/kondekturbus_","@kondekturbus_")</f>
        <v>@kondekturbus_</v>
      </c>
      <c r="C37384" s="8" t="s">
        <v>4785</v>
      </c>
      <c r="D37384" s="8">
        <v>66</v>
      </c>
      <c r="E37384" s="8">
        <v>0</v>
      </c>
      <c r="F37384" s="8">
        <v>14248</v>
      </c>
    </row>
    <row r="37385" spans="1:6" ht="12.75">
      <c r="A37385" s="8">
        <v>43887.709618055553</v>
      </c>
      <c r="B37385" s="8" t="str">
        <f>HYPERLINK("https://twitter.com/Duran92146738","@Duran92146738")</f>
        <v>@Duran92146738</v>
      </c>
      <c r="C37385" s="8" t="s">
        <v>4785</v>
      </c>
      <c r="D37385" s="8">
        <v>66</v>
      </c>
      <c r="E37385" s="8">
        <v>0</v>
      </c>
      <c r="F37385" s="8">
        <v>28</v>
      </c>
    </row>
    <row r="37386" spans="1:6" ht="12.75">
      <c r="A37386" s="8">
        <v>43887.70958333333</v>
      </c>
      <c r="B37386" s="8" t="str">
        <f>HYPERLINK("https://twitter.com/YoyokSubandriy3","@YoyokSubandriy3")</f>
        <v>@YoyokSubandriy3</v>
      </c>
      <c r="C37386" s="8" t="s">
        <v>4785</v>
      </c>
      <c r="D37386" s="8">
        <v>66</v>
      </c>
      <c r="E37386" s="8">
        <v>0</v>
      </c>
      <c r="F37386" s="8">
        <v>1386</v>
      </c>
    </row>
    <row r="37387" spans="1:6" ht="12.75">
      <c r="A37387" s="8">
        <v>43887.709467592591</v>
      </c>
      <c r="B37387" s="8" t="str">
        <f>HYPERLINK("https://twitter.com/BeautifullLlama","@BeautifullLlama")</f>
        <v>@BeautifullLlama</v>
      </c>
      <c r="C37387" s="8" t="s">
        <v>4785</v>
      </c>
      <c r="D37387" s="8">
        <v>66</v>
      </c>
      <c r="E37387" s="8">
        <v>0</v>
      </c>
      <c r="F37387" s="8">
        <v>37</v>
      </c>
    </row>
    <row r="37388" spans="1:6" ht="12.75">
      <c r="A37388" s="8">
        <v>43887.709421296298</v>
      </c>
      <c r="B37388" s="8" t="str">
        <f t="shared" ref="B37388:B37389" si="560">HYPERLINK("https://twitter.com/merdekadotcom","@merdekadotcom")</f>
        <v>@merdekadotcom</v>
      </c>
      <c r="C37388" s="8" t="s">
        <v>14523</v>
      </c>
      <c r="D37388" s="8">
        <v>1</v>
      </c>
      <c r="E37388" s="8">
        <v>1</v>
      </c>
      <c r="F37388" s="8">
        <v>230866</v>
      </c>
    </row>
    <row r="37389" spans="1:6" ht="12.75">
      <c r="A37389" s="8">
        <v>43887.709409722222</v>
      </c>
      <c r="B37389" s="8" t="str">
        <f t="shared" si="560"/>
        <v>@merdekadotcom</v>
      </c>
      <c r="C37389" s="8" t="s">
        <v>14524</v>
      </c>
      <c r="D37389" s="8">
        <v>0</v>
      </c>
      <c r="E37389" s="8">
        <v>0</v>
      </c>
      <c r="F37389" s="8">
        <v>230866</v>
      </c>
    </row>
    <row r="37390" spans="1:6" ht="12.75">
      <c r="A37390" s="8">
        <v>43887.709351851852</v>
      </c>
      <c r="B37390" s="8" t="str">
        <f>HYPERLINK("https://twitter.com/MMunirfm","@MMunirfm")</f>
        <v>@MMunirfm</v>
      </c>
      <c r="C37390" s="8" t="s">
        <v>4785</v>
      </c>
      <c r="D37390" s="8">
        <v>66</v>
      </c>
      <c r="E37390" s="8">
        <v>0</v>
      </c>
      <c r="F37390" s="8">
        <v>601</v>
      </c>
    </row>
    <row r="37391" spans="1:6" ht="12.75">
      <c r="A37391" s="8">
        <v>43887.709328703699</v>
      </c>
      <c r="B37391" s="8" t="str">
        <f>HYPERLINK("https://twitter.com/solikin14x","@solikin14x")</f>
        <v>@solikin14x</v>
      </c>
      <c r="C37391" s="8" t="s">
        <v>14525</v>
      </c>
      <c r="D37391" s="8">
        <v>0</v>
      </c>
      <c r="E37391" s="8">
        <v>0</v>
      </c>
      <c r="F37391" s="8">
        <v>178</v>
      </c>
    </row>
    <row r="37392" spans="1:6" ht="12.75">
      <c r="A37392" s="8">
        <v>43887.709293981483</v>
      </c>
      <c r="B37392" s="8" t="str">
        <f>HYPERLINK("https://twitter.com/TatoSurato","@TatoSurato")</f>
        <v>@TatoSurato</v>
      </c>
      <c r="C37392" s="8" t="s">
        <v>4785</v>
      </c>
      <c r="D37392" s="8">
        <v>66</v>
      </c>
      <c r="E37392" s="8">
        <v>0</v>
      </c>
      <c r="F37392" s="8">
        <v>9</v>
      </c>
    </row>
    <row r="37393" spans="1:6" ht="12.75">
      <c r="A37393" s="8">
        <v>43887.70925925926</v>
      </c>
      <c r="B37393" s="8" t="str">
        <f>HYPERLINK("https://twitter.com/Dpjoss72","@Dpjoss72")</f>
        <v>@Dpjoss72</v>
      </c>
      <c r="C37393" s="8" t="s">
        <v>4785</v>
      </c>
      <c r="D37393" s="8">
        <v>66</v>
      </c>
      <c r="E37393" s="8">
        <v>0</v>
      </c>
      <c r="F37393" s="8">
        <v>125</v>
      </c>
    </row>
    <row r="37394" spans="1:6" ht="12.75">
      <c r="A37394" s="8">
        <v>43887.709247685183</v>
      </c>
      <c r="B37394" s="8" t="str">
        <f t="shared" ref="B37394:B37395" si="561">HYPERLINK("https://twitter.com/bara_juang","@bara_juang")</f>
        <v>@bara_juang</v>
      </c>
      <c r="C37394" s="8" t="s">
        <v>14526</v>
      </c>
      <c r="D37394" s="8">
        <v>0</v>
      </c>
      <c r="E37394" s="8">
        <v>0</v>
      </c>
      <c r="F37394" s="8">
        <v>14</v>
      </c>
    </row>
    <row r="37395" spans="1:6" ht="12.75">
      <c r="A37395" s="8">
        <v>43887.709236111114</v>
      </c>
      <c r="B37395" s="8" t="str">
        <f t="shared" si="561"/>
        <v>@bara_juang</v>
      </c>
      <c r="C37395" s="8" t="s">
        <v>14527</v>
      </c>
      <c r="D37395" s="8">
        <v>0</v>
      </c>
      <c r="E37395" s="8">
        <v>0</v>
      </c>
      <c r="F37395" s="8">
        <v>14</v>
      </c>
    </row>
    <row r="37396" spans="1:6" ht="12.75">
      <c r="A37396" s="8">
        <v>43887.709201388891</v>
      </c>
      <c r="B37396" s="8" t="str">
        <f>HYPERLINK("https://twitter.com/xfspk_","@xfspk_")</f>
        <v>@xfspk_</v>
      </c>
      <c r="C37396" s="8" t="s">
        <v>4785</v>
      </c>
      <c r="D37396" s="8">
        <v>66</v>
      </c>
      <c r="E37396" s="8">
        <v>0</v>
      </c>
      <c r="F37396" s="8">
        <v>193</v>
      </c>
    </row>
    <row r="37397" spans="1:6" ht="12.75">
      <c r="A37397" s="8">
        <v>43887.709143518514</v>
      </c>
      <c r="B37397" s="8" t="str">
        <f>HYPERLINK("https://twitter.com/i_Pras","@i_Pras")</f>
        <v>@i_Pras</v>
      </c>
      <c r="C37397" s="8" t="s">
        <v>4785</v>
      </c>
      <c r="D37397" s="8">
        <v>66</v>
      </c>
      <c r="E37397" s="8">
        <v>0</v>
      </c>
      <c r="F37397" s="8">
        <v>1049</v>
      </c>
    </row>
    <row r="37398" spans="1:6" ht="12.75">
      <c r="A37398" s="8">
        <v>43887.709050925929</v>
      </c>
      <c r="B37398" s="8" t="str">
        <f>HYPERLINK("https://twitter.com/KalitRizal","@KalitRizal")</f>
        <v>@KalitRizal</v>
      </c>
      <c r="C37398" s="8" t="s">
        <v>14292</v>
      </c>
      <c r="D37398" s="8">
        <v>9</v>
      </c>
      <c r="E37398" s="8">
        <v>0</v>
      </c>
      <c r="F37398" s="8">
        <v>1388</v>
      </c>
    </row>
    <row r="37399" spans="1:6" ht="12.75">
      <c r="A37399" s="8">
        <v>43887.708796296298</v>
      </c>
      <c r="B37399" s="8" t="str">
        <f>HYPERLINK("https://twitter.com/OanTimor5","@OanTimor5")</f>
        <v>@OanTimor5</v>
      </c>
      <c r="C37399" s="8" t="s">
        <v>12560</v>
      </c>
      <c r="D37399" s="8">
        <v>29</v>
      </c>
      <c r="E37399" s="8">
        <v>0</v>
      </c>
      <c r="F37399" s="8">
        <v>76</v>
      </c>
    </row>
    <row r="37400" spans="1:6" ht="12.75">
      <c r="A37400" s="8">
        <v>43887.708761574075</v>
      </c>
      <c r="B37400" s="8" t="str">
        <f>HYPERLINK("https://twitter.com/JengBonek","@JengBonek")</f>
        <v>@JengBonek</v>
      </c>
      <c r="C37400" s="8" t="s">
        <v>13365</v>
      </c>
      <c r="D37400" s="8">
        <v>812</v>
      </c>
      <c r="E37400" s="8">
        <v>0</v>
      </c>
      <c r="F37400" s="8">
        <v>15</v>
      </c>
    </row>
    <row r="37401" spans="1:6" ht="12.75">
      <c r="A37401" s="8">
        <v>43887.708750000005</v>
      </c>
      <c r="B37401" s="8" t="str">
        <f>HYPERLINK("https://twitter.com/faarrrhrdns","@faarrrhrdns")</f>
        <v>@faarrrhrdns</v>
      </c>
      <c r="C37401" s="8" t="s">
        <v>4785</v>
      </c>
      <c r="D37401" s="8">
        <v>66</v>
      </c>
      <c r="E37401" s="8">
        <v>0</v>
      </c>
      <c r="F37401" s="8">
        <v>340</v>
      </c>
    </row>
    <row r="37402" spans="1:6" ht="12.75">
      <c r="A37402" s="8">
        <v>43887.708668981482</v>
      </c>
      <c r="B37402" s="8" t="str">
        <f>HYPERLINK("https://twitter.com/DenyDeep69","@DenyDeep69")</f>
        <v>@DenyDeep69</v>
      </c>
      <c r="C37402" s="8" t="s">
        <v>4785</v>
      </c>
      <c r="D37402" s="8">
        <v>66</v>
      </c>
      <c r="E37402" s="8">
        <v>0</v>
      </c>
      <c r="F37402" s="8">
        <v>72</v>
      </c>
    </row>
    <row r="37403" spans="1:6" ht="12.75">
      <c r="A37403" s="8">
        <v>43887.708622685182</v>
      </c>
      <c r="B37403" s="8" t="str">
        <f>HYPERLINK("https://twitter.com/MiharjoTulus","@MiharjoTulus")</f>
        <v>@MiharjoTulus</v>
      </c>
      <c r="C37403" s="8" t="s">
        <v>4785</v>
      </c>
      <c r="D37403" s="8">
        <v>66</v>
      </c>
      <c r="E37403" s="8">
        <v>0</v>
      </c>
      <c r="F37403" s="8">
        <v>1384</v>
      </c>
    </row>
    <row r="37404" spans="1:6" ht="12.75">
      <c r="A37404" s="8">
        <v>43887.708530092597</v>
      </c>
      <c r="B37404" s="8" t="str">
        <f>HYPERLINK("https://twitter.com/veraagustian_","@veraagustian_")</f>
        <v>@veraagustian_</v>
      </c>
      <c r="C37404" s="8" t="s">
        <v>26</v>
      </c>
      <c r="D37404" s="8">
        <v>23</v>
      </c>
      <c r="E37404" s="8">
        <v>0</v>
      </c>
      <c r="F37404" s="8">
        <v>3055</v>
      </c>
    </row>
    <row r="37405" spans="1:6" ht="12.75">
      <c r="A37405" s="8">
        <v>43887.708506944444</v>
      </c>
      <c r="B37405" s="8" t="str">
        <f>HYPERLINK("https://twitter.com/bbh_oldy","@bbh_oldy")</f>
        <v>@bbh_oldy</v>
      </c>
      <c r="C37405" s="8" t="s">
        <v>4785</v>
      </c>
      <c r="D37405" s="8">
        <v>66</v>
      </c>
      <c r="E37405" s="8">
        <v>0</v>
      </c>
      <c r="F37405" s="8">
        <v>3123</v>
      </c>
    </row>
    <row r="37406" spans="1:6" ht="12.75">
      <c r="A37406" s="8">
        <v>43887.708483796298</v>
      </c>
      <c r="B37406" s="8" t="str">
        <f t="shared" ref="B37406:B37407" si="562">HYPERLINK("https://twitter.com/utamiaeri","@utamiaeri")</f>
        <v>@utamiaeri</v>
      </c>
      <c r="C37406" s="8" t="s">
        <v>26</v>
      </c>
      <c r="D37406" s="8">
        <v>23</v>
      </c>
      <c r="E37406" s="8">
        <v>0</v>
      </c>
      <c r="F37406" s="8">
        <v>1897</v>
      </c>
    </row>
    <row r="37407" spans="1:6" ht="12.75">
      <c r="A37407" s="8">
        <v>43887.708460648151</v>
      </c>
      <c r="B37407" s="8" t="str">
        <f t="shared" si="562"/>
        <v>@utamiaeri</v>
      </c>
      <c r="C37407" s="8" t="s">
        <v>4785</v>
      </c>
      <c r="D37407" s="8">
        <v>66</v>
      </c>
      <c r="E37407" s="8">
        <v>0</v>
      </c>
      <c r="F37407" s="8">
        <v>1897</v>
      </c>
    </row>
    <row r="37408" spans="1:6" ht="12.75">
      <c r="A37408" s="8">
        <v>43887.708425925928</v>
      </c>
      <c r="B37408" s="8" t="str">
        <f>HYPERLINK("https://twitter.com/YoyokSubandriy3","@YoyokSubandriy3")</f>
        <v>@YoyokSubandriy3</v>
      </c>
      <c r="C37408" s="8" t="s">
        <v>13900</v>
      </c>
      <c r="D37408" s="8">
        <v>12</v>
      </c>
      <c r="E37408" s="8">
        <v>0</v>
      </c>
      <c r="F37408" s="8">
        <v>1386</v>
      </c>
    </row>
    <row r="37409" spans="1:6" ht="12.75">
      <c r="A37409" s="8">
        <v>43887.708425925928</v>
      </c>
      <c r="B37409" s="8" t="str">
        <f>HYPERLINK("https://twitter.com/gugunariyandar","@gugunariyandar")</f>
        <v>@gugunariyandar</v>
      </c>
      <c r="C37409" s="8" t="s">
        <v>4785</v>
      </c>
      <c r="D37409" s="8">
        <v>66</v>
      </c>
      <c r="E37409" s="8">
        <v>0</v>
      </c>
      <c r="F37409" s="8">
        <v>674</v>
      </c>
    </row>
    <row r="37410" spans="1:6" ht="12.75">
      <c r="A37410" s="8">
        <v>43887.708414351851</v>
      </c>
      <c r="B37410" s="8" t="str">
        <f>HYPERLINK("https://twitter.com/abdul_charim","@abdul_charim")</f>
        <v>@abdul_charim</v>
      </c>
      <c r="C37410" s="8" t="s">
        <v>26</v>
      </c>
      <c r="D37410" s="8">
        <v>23</v>
      </c>
      <c r="E37410" s="8">
        <v>0</v>
      </c>
      <c r="F37410" s="8">
        <v>352</v>
      </c>
    </row>
    <row r="37411" spans="1:6" ht="12.75">
      <c r="A37411" s="8">
        <v>43887.708379629628</v>
      </c>
      <c r="B37411" s="8" t="str">
        <f>HYPERLINK("https://twitter.com/drumbrisix","@drumbrisix")</f>
        <v>@drumbrisix</v>
      </c>
      <c r="C37411" s="8" t="s">
        <v>4785</v>
      </c>
      <c r="D37411" s="8">
        <v>66</v>
      </c>
      <c r="E37411" s="8">
        <v>0</v>
      </c>
      <c r="F37411" s="8">
        <v>267</v>
      </c>
    </row>
    <row r="37412" spans="1:6" ht="12.75">
      <c r="A37412" s="8">
        <v>43887.708356481482</v>
      </c>
      <c r="B37412" s="8" t="str">
        <f>HYPERLINK("https://twitter.com/Mudakir04274377","@Mudakir04274377")</f>
        <v>@Mudakir04274377</v>
      </c>
      <c r="C37412" s="8" t="s">
        <v>4785</v>
      </c>
      <c r="D37412" s="8">
        <v>66</v>
      </c>
      <c r="E37412" s="8">
        <v>0</v>
      </c>
      <c r="F37412" s="8">
        <v>10</v>
      </c>
    </row>
    <row r="37413" spans="1:6" ht="12.75">
      <c r="A37413" s="8">
        <v>43887.708344907413</v>
      </c>
      <c r="B37413" s="8" t="str">
        <f>HYPERLINK("https://twitter.com/abdul_charim","@abdul_charim")</f>
        <v>@abdul_charim</v>
      </c>
      <c r="C37413" s="8" t="s">
        <v>4785</v>
      </c>
      <c r="D37413" s="8">
        <v>66</v>
      </c>
      <c r="E37413" s="8">
        <v>0</v>
      </c>
      <c r="F37413" s="8">
        <v>352</v>
      </c>
    </row>
    <row r="37414" spans="1:6" ht="12.75">
      <c r="A37414" s="8">
        <v>43887.673634259263</v>
      </c>
      <c r="B37414" s="8" t="str">
        <f>HYPERLINK("https://twitter.com/harunmasikuh","@harunmasikuh")</f>
        <v>@harunmasikuh</v>
      </c>
      <c r="C37414" s="8" t="s">
        <v>14528</v>
      </c>
      <c r="D37414" s="8">
        <v>0</v>
      </c>
      <c r="E37414" s="8">
        <v>0</v>
      </c>
      <c r="F37414" s="8">
        <v>687</v>
      </c>
    </row>
    <row r="37415" spans="1:6" ht="12.75">
      <c r="A37415" s="8">
        <v>43887.673136574071</v>
      </c>
      <c r="B37415" s="8" t="str">
        <f>HYPERLINK("https://twitter.com/Metro_TV","@Metro_TV")</f>
        <v>@Metro_TV</v>
      </c>
      <c r="C37415" s="8" t="s">
        <v>14529</v>
      </c>
      <c r="D37415" s="8">
        <v>0</v>
      </c>
      <c r="E37415" s="8">
        <v>0</v>
      </c>
      <c r="F37415" s="8">
        <v>10513613</v>
      </c>
    </row>
    <row r="37416" spans="1:6" ht="12.75">
      <c r="A37416" s="8">
        <v>43887.672939814816</v>
      </c>
      <c r="B37416" s="8" t="str">
        <f>HYPERLINK("https://twitter.com/psptamel","@psptamel")</f>
        <v>@psptamel</v>
      </c>
      <c r="C37416" s="8" t="s">
        <v>2941</v>
      </c>
      <c r="D37416" s="8">
        <v>1023</v>
      </c>
      <c r="E37416" s="8">
        <v>0</v>
      </c>
      <c r="F37416" s="8">
        <v>57</v>
      </c>
    </row>
    <row r="37417" spans="1:6" ht="12.75">
      <c r="A37417" s="8">
        <v>43887.672673611116</v>
      </c>
      <c r="B37417" s="8" t="str">
        <f>HYPERLINK("https://twitter.com/jaehyunshalf","@jaehyunshalf")</f>
        <v>@jaehyunshalf</v>
      </c>
      <c r="C37417" s="8" t="s">
        <v>593</v>
      </c>
      <c r="D37417" s="8">
        <v>220</v>
      </c>
      <c r="E37417" s="8">
        <v>0</v>
      </c>
      <c r="F37417" s="8">
        <v>1524</v>
      </c>
    </row>
    <row r="37418" spans="1:6" ht="12.75">
      <c r="A37418" s="8">
        <v>43887.672500000001</v>
      </c>
      <c r="B37418" s="8" t="str">
        <f>HYPERLINK("https://twitter.com/Atha_kanz","@Atha_kanz")</f>
        <v>@Atha_kanz</v>
      </c>
      <c r="C37418" s="8" t="s">
        <v>13365</v>
      </c>
      <c r="D37418" s="8">
        <v>799</v>
      </c>
      <c r="E37418" s="8">
        <v>0</v>
      </c>
      <c r="F37418" s="8">
        <v>77</v>
      </c>
    </row>
    <row r="37419" spans="1:6" ht="12.75">
      <c r="A37419" s="8">
        <v>43887.672418981485</v>
      </c>
      <c r="B37419" s="8" t="str">
        <f>HYPERLINK("https://twitter.com/wni_jmsri","@wni_jmsri")</f>
        <v>@wni_jmsri</v>
      </c>
      <c r="C37419" s="8" t="s">
        <v>14530</v>
      </c>
      <c r="D37419" s="8">
        <v>13660</v>
      </c>
      <c r="E37419" s="8">
        <v>0</v>
      </c>
      <c r="F37419" s="8">
        <v>195</v>
      </c>
    </row>
    <row r="37420" spans="1:6" ht="12.75">
      <c r="A37420" s="8">
        <v>43887.672048611115</v>
      </c>
      <c r="B37420" s="8" t="str">
        <f>HYPERLINK("https://twitter.com/Y00uNpi","@Y00uNpi")</f>
        <v>@Y00uNpi</v>
      </c>
      <c r="C37420" s="8" t="s">
        <v>12800</v>
      </c>
      <c r="D37420" s="8">
        <v>176</v>
      </c>
      <c r="E37420" s="8">
        <v>0</v>
      </c>
      <c r="F37420" s="8">
        <v>163</v>
      </c>
    </row>
    <row r="37421" spans="1:6" ht="12.75">
      <c r="A37421" s="8">
        <v>43887.671643518523</v>
      </c>
      <c r="B37421" s="8" t="str">
        <f>HYPERLINK("https://twitter.com/Gilangprdana","@Gilangprdana")</f>
        <v>@Gilangprdana</v>
      </c>
      <c r="C37421" s="8" t="s">
        <v>13365</v>
      </c>
      <c r="D37421" s="8">
        <v>799</v>
      </c>
      <c r="E37421" s="8">
        <v>0</v>
      </c>
      <c r="F37421" s="8">
        <v>420</v>
      </c>
    </row>
    <row r="37422" spans="1:6" ht="12.75">
      <c r="A37422" s="8">
        <v>43887.6715625</v>
      </c>
      <c r="B37422" s="8" t="str">
        <f>HYPERLINK("https://twitter.com/kompascom","@kompascom")</f>
        <v>@kompascom</v>
      </c>
      <c r="C37422" s="8" t="s">
        <v>14531</v>
      </c>
      <c r="D37422" s="8">
        <v>0</v>
      </c>
      <c r="E37422" s="8">
        <v>0</v>
      </c>
      <c r="F37422" s="8">
        <v>7513864</v>
      </c>
    </row>
    <row r="37423" spans="1:6" ht="12.75">
      <c r="A37423" s="8">
        <v>43887.671527777777</v>
      </c>
      <c r="B37423" s="8" t="str">
        <f>HYPERLINK("https://twitter.com/sabar_mbok","@sabar_mbok")</f>
        <v>@sabar_mbok</v>
      </c>
      <c r="C37423" s="8" t="s">
        <v>14532</v>
      </c>
      <c r="D37423" s="8">
        <v>0</v>
      </c>
      <c r="E37423" s="8">
        <v>0</v>
      </c>
      <c r="F37423" s="8">
        <v>284</v>
      </c>
    </row>
    <row r="37424" spans="1:6" ht="12.75">
      <c r="A37424" s="8">
        <v>43887.671296296292</v>
      </c>
      <c r="B37424" s="8" t="str">
        <f>HYPERLINK("https://twitter.com/wni_jmsri","@wni_jmsri")</f>
        <v>@wni_jmsri</v>
      </c>
      <c r="C37424" s="8" t="s">
        <v>14533</v>
      </c>
      <c r="D37424" s="8">
        <v>47</v>
      </c>
      <c r="E37424" s="8">
        <v>0</v>
      </c>
      <c r="F37424" s="8">
        <v>195</v>
      </c>
    </row>
    <row r="37425" spans="1:6" ht="12.75">
      <c r="A37425" s="8">
        <v>43887.671273148153</v>
      </c>
      <c r="B37425" s="8" t="str">
        <f>HYPERLINK("https://twitter.com/ayusnita_21","@ayusnita_21")</f>
        <v>@ayusnita_21</v>
      </c>
      <c r="C37425" s="8" t="s">
        <v>12800</v>
      </c>
      <c r="D37425" s="8">
        <v>176</v>
      </c>
      <c r="E37425" s="8">
        <v>0</v>
      </c>
      <c r="F37425" s="8">
        <v>214</v>
      </c>
    </row>
    <row r="37426" spans="1:6" ht="12.75">
      <c r="A37426" s="8">
        <v>43887.670856481476</v>
      </c>
      <c r="B37426" s="8" t="str">
        <f>HYPERLINK("https://twitter.com/RivaldiZakie","@RivaldiZakie")</f>
        <v>@RivaldiZakie</v>
      </c>
      <c r="C37426" s="8" t="s">
        <v>14534</v>
      </c>
      <c r="D37426" s="8">
        <v>7</v>
      </c>
      <c r="E37426" s="8">
        <v>0</v>
      </c>
      <c r="F37426" s="8">
        <v>15</v>
      </c>
    </row>
    <row r="37427" spans="1:6" ht="12.75">
      <c r="A37427" s="8">
        <v>43887.670694444445</v>
      </c>
      <c r="B37427" s="8" t="str">
        <f>HYPERLINK("https://twitter.com/ReskrimD","@ReskrimD")</f>
        <v>@ReskrimD</v>
      </c>
      <c r="C37427" s="8" t="s">
        <v>14535</v>
      </c>
      <c r="D37427" s="8">
        <v>1</v>
      </c>
      <c r="E37427" s="8">
        <v>0</v>
      </c>
      <c r="F37427" s="8">
        <v>5</v>
      </c>
    </row>
    <row r="37428" spans="1:6" ht="12.75">
      <c r="A37428" s="8">
        <v>43887.670335648145</v>
      </c>
      <c r="B37428" s="8" t="str">
        <f>HYPERLINK("https://twitter.com/Indonesianews15","@Indonesianews15")</f>
        <v>@Indonesianews15</v>
      </c>
      <c r="C37428" s="8" t="s">
        <v>14536</v>
      </c>
      <c r="D37428" s="8">
        <v>0</v>
      </c>
      <c r="E37428" s="8">
        <v>0</v>
      </c>
      <c r="F37428" s="8">
        <v>12582</v>
      </c>
    </row>
    <row r="37429" spans="1:6" ht="12.75">
      <c r="A37429" s="8">
        <v>43887.669953703706</v>
      </c>
      <c r="B37429" s="8" t="str">
        <f>HYPERLINK("https://twitter.com/ifull_mild","@ifull_mild")</f>
        <v>@ifull_mild</v>
      </c>
      <c r="C37429" s="8" t="s">
        <v>12143</v>
      </c>
      <c r="D37429" s="8">
        <v>169</v>
      </c>
      <c r="E37429" s="8">
        <v>0</v>
      </c>
      <c r="F37429" s="8">
        <v>719</v>
      </c>
    </row>
    <row r="37430" spans="1:6" ht="12.75">
      <c r="A37430" s="8">
        <v>43887.669907407406</v>
      </c>
      <c r="B37430" s="8" t="str">
        <f>HYPERLINK("https://twitter.com/RivaldiZakie","@RivaldiZakie")</f>
        <v>@RivaldiZakie</v>
      </c>
      <c r="C37430" s="8" t="s">
        <v>14537</v>
      </c>
      <c r="D37430" s="8">
        <v>2</v>
      </c>
      <c r="E37430" s="8">
        <v>0</v>
      </c>
      <c r="F37430" s="8">
        <v>15</v>
      </c>
    </row>
    <row r="37431" spans="1:6" ht="12.75">
      <c r="A37431" s="8">
        <v>43887.669803240744</v>
      </c>
      <c r="B37431" s="8" t="str">
        <f>HYPERLINK("https://twitter.com/veraagustian_","@veraagustian_")</f>
        <v>@veraagustian_</v>
      </c>
      <c r="C37431" s="8" t="s">
        <v>14538</v>
      </c>
      <c r="D37431" s="8">
        <v>7</v>
      </c>
      <c r="E37431" s="8">
        <v>0</v>
      </c>
      <c r="F37431" s="8">
        <v>3056</v>
      </c>
    </row>
    <row r="37432" spans="1:6" ht="12.75">
      <c r="A37432" s="8">
        <v>43887.669791666667</v>
      </c>
      <c r="B37432" s="8" t="str">
        <f>HYPERLINK("https://twitter.com/MrsRachelIn","@MrsRachelIn")</f>
        <v>@MrsRachelIn</v>
      </c>
      <c r="C37432" s="8" t="s">
        <v>299</v>
      </c>
      <c r="D37432" s="8">
        <v>4734</v>
      </c>
      <c r="E37432" s="8">
        <v>0</v>
      </c>
      <c r="F37432" s="8">
        <v>3332</v>
      </c>
    </row>
    <row r="37433" spans="1:6" ht="12.75">
      <c r="A37433" s="8">
        <v>43887.669745370367</v>
      </c>
      <c r="B37433" s="8" t="str">
        <f>HYPERLINK("https://twitter.com/angginovind","@angginovind")</f>
        <v>@angginovind</v>
      </c>
      <c r="C37433" s="8" t="s">
        <v>593</v>
      </c>
      <c r="D37433" s="8">
        <v>220</v>
      </c>
      <c r="E37433" s="8">
        <v>0</v>
      </c>
      <c r="F37433" s="8">
        <v>13</v>
      </c>
    </row>
    <row r="37434" spans="1:6" ht="12.75">
      <c r="A37434" s="8">
        <v>43887.669652777782</v>
      </c>
      <c r="B37434" s="8" t="str">
        <f>HYPERLINK("https://twitter.com/billysmbring366","@billysmbring366")</f>
        <v>@billysmbring366</v>
      </c>
      <c r="C37434" s="8" t="s">
        <v>14000</v>
      </c>
      <c r="D37434" s="8">
        <v>24</v>
      </c>
      <c r="E37434" s="8">
        <v>0</v>
      </c>
      <c r="F37434" s="8">
        <v>151</v>
      </c>
    </row>
    <row r="37435" spans="1:6" ht="12.75">
      <c r="A37435" s="8">
        <v>43887.669247685189</v>
      </c>
      <c r="B37435" s="8" t="str">
        <f>HYPERLINK("https://twitter.com/JoeSuisTanjung","@JoeSuisTanjung")</f>
        <v>@JoeSuisTanjung</v>
      </c>
      <c r="C37435" s="8" t="s">
        <v>14539</v>
      </c>
      <c r="D37435" s="8">
        <v>0</v>
      </c>
      <c r="E37435" s="8">
        <v>1</v>
      </c>
      <c r="F37435" s="8">
        <v>1792</v>
      </c>
    </row>
    <row r="37436" spans="1:6" ht="12.75">
      <c r="A37436" s="8">
        <v>43887.669189814813</v>
      </c>
      <c r="B37436" s="8" t="str">
        <f>HYPERLINK("https://twitter.com/Mulia07094480","@Mulia07094480")</f>
        <v>@Mulia07094480</v>
      </c>
      <c r="C37436" s="8" t="s">
        <v>14540</v>
      </c>
      <c r="D37436" s="8">
        <v>0</v>
      </c>
      <c r="E37436" s="8">
        <v>0</v>
      </c>
      <c r="F37436" s="8">
        <v>773</v>
      </c>
    </row>
    <row r="37437" spans="1:6" ht="12.75">
      <c r="A37437" s="8">
        <v>43887.668819444443</v>
      </c>
      <c r="B37437" s="8" t="str">
        <f>HYPERLINK("https://twitter.com/cnbcindonesia","@cnbcindonesia")</f>
        <v>@cnbcindonesia</v>
      </c>
      <c r="C37437" s="8" t="s">
        <v>14541</v>
      </c>
      <c r="D37437" s="8">
        <v>0</v>
      </c>
      <c r="E37437" s="8">
        <v>1</v>
      </c>
      <c r="F37437" s="8">
        <v>30834</v>
      </c>
    </row>
    <row r="37438" spans="1:6" ht="12.75">
      <c r="A37438" s="8">
        <v>43887.668692129635</v>
      </c>
      <c r="B37438" s="8" t="str">
        <f>HYPERLINK("https://twitter.com/banglintas","@banglintas")</f>
        <v>@banglintas</v>
      </c>
      <c r="C37438" s="8" t="s">
        <v>13175</v>
      </c>
      <c r="D37438" s="8">
        <v>0</v>
      </c>
      <c r="E37438" s="8">
        <v>0</v>
      </c>
      <c r="F37438" s="8">
        <v>54</v>
      </c>
    </row>
    <row r="37439" spans="1:6" ht="12.75">
      <c r="A37439" s="8">
        <v>43887.668564814812</v>
      </c>
      <c r="B37439" s="8" t="str">
        <f>HYPERLINK("https://twitter.com/tahupetismanis","@tahupetismanis")</f>
        <v>@tahupetismanis</v>
      </c>
      <c r="C37439" s="8" t="s">
        <v>14538</v>
      </c>
      <c r="D37439" s="8">
        <v>7</v>
      </c>
      <c r="E37439" s="8">
        <v>0</v>
      </c>
      <c r="F37439" s="8">
        <v>4040</v>
      </c>
    </row>
    <row r="37440" spans="1:6" ht="12.75">
      <c r="A37440" s="8">
        <v>43887.668078703704</v>
      </c>
      <c r="B37440" s="8" t="str">
        <f>HYPERLINK("https://twitter.com/VivinFindyka","@VivinFindyka")</f>
        <v>@VivinFindyka</v>
      </c>
      <c r="C37440" s="8" t="s">
        <v>14542</v>
      </c>
      <c r="D37440" s="8">
        <v>0</v>
      </c>
      <c r="E37440" s="8">
        <v>0</v>
      </c>
      <c r="F37440" s="8">
        <v>564</v>
      </c>
    </row>
    <row r="37441" spans="1:6" ht="12.75">
      <c r="A37441" s="8">
        <v>43887.667928240742</v>
      </c>
      <c r="B37441" s="8" t="str">
        <f>HYPERLINK("https://twitter.com/Savira1030","@Savira1030")</f>
        <v>@Savira1030</v>
      </c>
      <c r="C37441" s="8" t="s">
        <v>14543</v>
      </c>
      <c r="D37441" s="8">
        <v>12</v>
      </c>
      <c r="E37441" s="8">
        <v>0</v>
      </c>
      <c r="F37441" s="8">
        <v>7283</v>
      </c>
    </row>
    <row r="37442" spans="1:6" ht="12.75">
      <c r="A37442" s="8">
        <v>43887.667592592596</v>
      </c>
      <c r="B37442" s="8" t="str">
        <f>HYPERLINK("https://twitter.com/Aceh_INA","@Aceh_INA")</f>
        <v>@Aceh_INA</v>
      </c>
      <c r="C37442" s="8" t="s">
        <v>14544</v>
      </c>
      <c r="D37442" s="8">
        <v>0</v>
      </c>
      <c r="E37442" s="8">
        <v>0</v>
      </c>
      <c r="F37442" s="8">
        <v>957</v>
      </c>
    </row>
    <row r="37443" spans="1:6" ht="12.75">
      <c r="A37443" s="8">
        <v>43887.667569444442</v>
      </c>
      <c r="B37443" s="8" t="str">
        <f>HYPERLINK("https://twitter.com/aihaibaraq","@aihaibaraq")</f>
        <v>@aihaibaraq</v>
      </c>
      <c r="C37443" s="8" t="s">
        <v>14151</v>
      </c>
      <c r="D37443" s="8">
        <v>8</v>
      </c>
      <c r="E37443" s="8">
        <v>0</v>
      </c>
      <c r="F37443" s="8">
        <v>246</v>
      </c>
    </row>
    <row r="37444" spans="1:6" ht="12.75">
      <c r="A37444" s="8">
        <v>43887.667488425926</v>
      </c>
      <c r="B37444" s="8" t="str">
        <f>HYPERLINK("https://twitter.com/iNewsID","@iNewsID")</f>
        <v>@iNewsID</v>
      </c>
      <c r="C37444" s="8" t="s">
        <v>14545</v>
      </c>
      <c r="D37444" s="8">
        <v>0</v>
      </c>
      <c r="E37444" s="8">
        <v>0</v>
      </c>
      <c r="F37444" s="8">
        <v>1334</v>
      </c>
    </row>
    <row r="37445" spans="1:6" ht="12.75">
      <c r="A37445" s="8">
        <v>43887.667442129634</v>
      </c>
      <c r="B37445" s="8" t="str">
        <f>HYPERLINK("https://twitter.com/dheanishaa","@dheanishaa")</f>
        <v>@dheanishaa</v>
      </c>
      <c r="C37445" s="8" t="s">
        <v>13365</v>
      </c>
      <c r="D37445" s="8">
        <v>799</v>
      </c>
      <c r="E37445" s="8">
        <v>0</v>
      </c>
      <c r="F37445" s="8">
        <v>495</v>
      </c>
    </row>
    <row r="37446" spans="1:6" ht="12.75">
      <c r="A37446" s="8">
        <v>43887.667048611111</v>
      </c>
      <c r="B37446" s="8" t="str">
        <f>HYPERLINK("https://twitter.com/sultanss07","@sultanss07")</f>
        <v>@sultanss07</v>
      </c>
      <c r="C37446" s="8" t="s">
        <v>2941</v>
      </c>
      <c r="D37446" s="8">
        <v>1023</v>
      </c>
      <c r="E37446" s="8">
        <v>0</v>
      </c>
      <c r="F37446" s="8">
        <v>14</v>
      </c>
    </row>
    <row r="37447" spans="1:6" ht="12.75">
      <c r="A37447" s="8">
        <v>43887.666956018518</v>
      </c>
      <c r="B37447" s="8" t="str">
        <f>HYPERLINK("https://twitter.com/yohanseungwooxx","@yohanseungwooxx")</f>
        <v>@yohanseungwooxx</v>
      </c>
      <c r="C37447" s="8" t="s">
        <v>12800</v>
      </c>
      <c r="D37447" s="8">
        <v>176</v>
      </c>
      <c r="E37447" s="8">
        <v>0</v>
      </c>
      <c r="F37447" s="8">
        <v>525</v>
      </c>
    </row>
    <row r="37448" spans="1:6" ht="12.75">
      <c r="A37448" s="8">
        <v>43887.66684027778</v>
      </c>
      <c r="B37448" s="8" t="str">
        <f>HYPERLINK("https://twitter.com/NoeyHariandi","@NoeyHariandi")</f>
        <v>@NoeyHariandi</v>
      </c>
      <c r="C37448" s="8" t="s">
        <v>14546</v>
      </c>
      <c r="D37448" s="8">
        <v>1</v>
      </c>
      <c r="E37448" s="8">
        <v>0</v>
      </c>
      <c r="F37448" s="8">
        <v>319</v>
      </c>
    </row>
    <row r="37449" spans="1:6" ht="12.75">
      <c r="A37449" s="8">
        <v>43887.666539351849</v>
      </c>
      <c r="B37449" s="8" t="str">
        <f>HYPERLINK("https://twitter.com/LumintangYanthy","@LumintangYanthy")</f>
        <v>@LumintangYanthy</v>
      </c>
      <c r="C37449" s="8" t="s">
        <v>14000</v>
      </c>
      <c r="D37449" s="8">
        <v>24</v>
      </c>
      <c r="E37449" s="8">
        <v>0</v>
      </c>
      <c r="F37449" s="8">
        <v>22</v>
      </c>
    </row>
    <row r="37450" spans="1:6" ht="12.75">
      <c r="A37450" s="8">
        <v>43887.666469907403</v>
      </c>
      <c r="B37450" s="8" t="str">
        <f>HYPERLINK("https://twitter.com/Mohamad50983447","@Mohamad50983447")</f>
        <v>@Mohamad50983447</v>
      </c>
      <c r="C37450" s="8" t="s">
        <v>14547</v>
      </c>
      <c r="D37450" s="8">
        <v>0</v>
      </c>
      <c r="E37450" s="8">
        <v>1</v>
      </c>
      <c r="F37450" s="8">
        <v>124</v>
      </c>
    </row>
    <row r="37451" spans="1:6" ht="12.75">
      <c r="A37451" s="8">
        <v>43887.666354166664</v>
      </c>
      <c r="B37451" s="8" t="str">
        <f>HYPERLINK("https://twitter.com/yazid_fadhlan","@yazid_fadhlan")</f>
        <v>@yazid_fadhlan</v>
      </c>
      <c r="C37451" s="8" t="s">
        <v>14548</v>
      </c>
      <c r="D37451" s="8">
        <v>0</v>
      </c>
      <c r="E37451" s="8">
        <v>0</v>
      </c>
      <c r="F37451" s="8">
        <v>630</v>
      </c>
    </row>
    <row r="37452" spans="1:6" ht="12.75">
      <c r="A37452" s="8">
        <v>43887.666030092594</v>
      </c>
      <c r="B37452" s="8" t="str">
        <f>HYPERLINK("https://twitter.com/mijita212","@mijita212")</f>
        <v>@mijita212</v>
      </c>
      <c r="C37452" s="8" t="s">
        <v>8484</v>
      </c>
      <c r="D37452" s="8">
        <v>971</v>
      </c>
      <c r="E37452" s="8">
        <v>0</v>
      </c>
      <c r="F37452" s="8">
        <v>3427</v>
      </c>
    </row>
    <row r="37453" spans="1:6" ht="12.75">
      <c r="A37453" s="8">
        <v>43887.665983796294</v>
      </c>
      <c r="B37453" s="8" t="str">
        <f>HYPERLINK("https://twitter.com/Hariannie3","@Hariannie3")</f>
        <v>@Hariannie3</v>
      </c>
      <c r="C37453" s="8" t="s">
        <v>14549</v>
      </c>
      <c r="D37453" s="8">
        <v>0</v>
      </c>
      <c r="E37453" s="8">
        <v>1</v>
      </c>
      <c r="F37453" s="8">
        <v>130</v>
      </c>
    </row>
    <row r="37454" spans="1:6" ht="12.75">
      <c r="A37454" s="8">
        <v>43887.665752314817</v>
      </c>
      <c r="B37454" s="8" t="str">
        <f>HYPERLINK("https://twitter.com/JoeSuisTanjung","@JoeSuisTanjung")</f>
        <v>@JoeSuisTanjung</v>
      </c>
      <c r="C37454" s="8" t="s">
        <v>14550</v>
      </c>
      <c r="D37454" s="8">
        <v>0</v>
      </c>
      <c r="E37454" s="8">
        <v>1</v>
      </c>
      <c r="F37454" s="8">
        <v>1792</v>
      </c>
    </row>
    <row r="37455" spans="1:6" ht="12.75">
      <c r="A37455" s="8">
        <v>43887.664733796293</v>
      </c>
      <c r="B37455" s="8" t="str">
        <f>HYPERLINK("https://twitter.com/Okojtabeh2014","@Okojtabeh2014")</f>
        <v>@Okojtabeh2014</v>
      </c>
      <c r="C37455" s="8" t="s">
        <v>13365</v>
      </c>
      <c r="D37455" s="8">
        <v>799</v>
      </c>
      <c r="E37455" s="8">
        <v>0</v>
      </c>
      <c r="F37455" s="8">
        <v>142</v>
      </c>
    </row>
    <row r="37456" spans="1:6" ht="12.75">
      <c r="A37456" s="8">
        <v>43887.664375</v>
      </c>
      <c r="B37456" s="8" t="str">
        <f>HYPERLINK("https://twitter.com/auliaadisti","@auliaadisti")</f>
        <v>@auliaadisti</v>
      </c>
      <c r="C37456" s="8" t="s">
        <v>593</v>
      </c>
      <c r="D37456" s="8">
        <v>220</v>
      </c>
      <c r="E37456" s="8">
        <v>0</v>
      </c>
      <c r="F37456" s="8">
        <v>350</v>
      </c>
    </row>
    <row r="37457" spans="1:6" ht="12.75">
      <c r="A37457" s="8">
        <v>43887.664293981477</v>
      </c>
      <c r="B37457" s="8" t="str">
        <f>HYPERLINK("https://twitter.com/Rudi_Tarigan","@Rudi_Tarigan")</f>
        <v>@Rudi_Tarigan</v>
      </c>
      <c r="C37457" s="8" t="s">
        <v>14551</v>
      </c>
      <c r="D37457" s="8">
        <v>3</v>
      </c>
      <c r="E37457" s="8">
        <v>0</v>
      </c>
      <c r="F37457" s="8">
        <v>660</v>
      </c>
    </row>
    <row r="37458" spans="1:6" ht="12.75">
      <c r="A37458" s="8">
        <v>43887.664259259254</v>
      </c>
      <c r="B37458" s="8" t="str">
        <f>HYPERLINK("https://twitter.com/republikaonline","@republikaonline")</f>
        <v>@republikaonline</v>
      </c>
      <c r="C37458" s="8" t="s">
        <v>14552</v>
      </c>
      <c r="D37458" s="8">
        <v>0</v>
      </c>
      <c r="E37458" s="8">
        <v>3</v>
      </c>
      <c r="F37458" s="8">
        <v>1214019</v>
      </c>
    </row>
    <row r="37459" spans="1:6" ht="12.75">
      <c r="A37459" s="8">
        <v>43887.663715277777</v>
      </c>
      <c r="B37459" s="8" t="str">
        <f>HYPERLINK("https://twitter.com/goentoerss","@goentoerss")</f>
        <v>@goentoerss</v>
      </c>
      <c r="C37459" s="8" t="s">
        <v>12406</v>
      </c>
      <c r="D37459" s="8">
        <v>3</v>
      </c>
      <c r="E37459" s="8">
        <v>0</v>
      </c>
      <c r="F37459" s="8">
        <v>73</v>
      </c>
    </row>
    <row r="37460" spans="1:6" ht="12.75">
      <c r="A37460" s="8">
        <v>43887.663541666669</v>
      </c>
      <c r="B37460" s="8" t="str">
        <f>HYPERLINK("https://twitter.com/RinjaniJB","@RinjaniJB")</f>
        <v>@RinjaniJB</v>
      </c>
      <c r="C37460" s="8" t="s">
        <v>14538</v>
      </c>
      <c r="D37460" s="8">
        <v>7</v>
      </c>
      <c r="E37460" s="8">
        <v>0</v>
      </c>
      <c r="F37460" s="8">
        <v>19232</v>
      </c>
    </row>
    <row r="37461" spans="1:6" ht="12.75">
      <c r="A37461" s="8">
        <v>43887.66337962963</v>
      </c>
      <c r="B37461" s="8" t="str">
        <f>HYPERLINK("https://twitter.com/ReyArton","@ReyArton")</f>
        <v>@ReyArton</v>
      </c>
      <c r="C37461" s="8" t="s">
        <v>14553</v>
      </c>
      <c r="D37461" s="8">
        <v>0</v>
      </c>
      <c r="E37461" s="8">
        <v>0</v>
      </c>
      <c r="F37461" s="8">
        <v>74</v>
      </c>
    </row>
    <row r="37462" spans="1:6" ht="12.75">
      <c r="A37462" s="8">
        <v>43887.662777777776</v>
      </c>
      <c r="B37462" s="8" t="str">
        <f>HYPERLINK("https://twitter.com/_bdyn","@_bdyn")</f>
        <v>@_bdyn</v>
      </c>
      <c r="C37462" s="8" t="s">
        <v>14554</v>
      </c>
      <c r="D37462" s="8">
        <v>0</v>
      </c>
      <c r="E37462" s="8">
        <v>0</v>
      </c>
      <c r="F37462" s="8">
        <v>91</v>
      </c>
    </row>
    <row r="37463" spans="1:6" ht="12.75">
      <c r="A37463" s="8">
        <v>43887.66269675926</v>
      </c>
      <c r="B37463" s="8" t="str">
        <f>HYPERLINK("https://twitter.com/sutarbabeh97","@sutarbabeh97")</f>
        <v>@sutarbabeh97</v>
      </c>
      <c r="C37463" s="8" t="s">
        <v>14555</v>
      </c>
      <c r="D37463" s="8">
        <v>0</v>
      </c>
      <c r="E37463" s="8">
        <v>0</v>
      </c>
      <c r="F37463" s="8">
        <v>2</v>
      </c>
    </row>
    <row r="37464" spans="1:6" ht="12.75">
      <c r="A37464" s="8">
        <v>43887.662673611107</v>
      </c>
      <c r="B37464" s="8" t="str">
        <f>HYPERLINK("https://twitter.com/Nadyaaurelagri1","@Nadyaaurelagri1")</f>
        <v>@Nadyaaurelagri1</v>
      </c>
      <c r="C37464" s="8" t="s">
        <v>2941</v>
      </c>
      <c r="D37464" s="8">
        <v>1023</v>
      </c>
      <c r="E37464" s="8">
        <v>0</v>
      </c>
      <c r="F37464" s="8">
        <v>60</v>
      </c>
    </row>
    <row r="37465" spans="1:6" ht="12.75">
      <c r="A37465" s="8">
        <v>43887.662569444445</v>
      </c>
      <c r="B37465" s="8" t="str">
        <f>HYPERLINK("https://twitter.com/ItsMeNSand","@ItsMeNSand")</f>
        <v>@ItsMeNSand</v>
      </c>
      <c r="C37465" s="8" t="s">
        <v>2941</v>
      </c>
      <c r="D37465" s="8">
        <v>1023</v>
      </c>
      <c r="E37465" s="8">
        <v>0</v>
      </c>
      <c r="F37465" s="8">
        <v>404</v>
      </c>
    </row>
    <row r="37466" spans="1:6" ht="12.75">
      <c r="A37466" s="8">
        <v>43887.662453703699</v>
      </c>
      <c r="B37466" s="8" t="str">
        <f>HYPERLINK("https://twitter.com/JL_Apatheia","@JL_Apatheia")</f>
        <v>@JL_Apatheia</v>
      </c>
      <c r="C37466" s="8" t="s">
        <v>12406</v>
      </c>
      <c r="D37466" s="8">
        <v>3</v>
      </c>
      <c r="E37466" s="8">
        <v>0</v>
      </c>
      <c r="F37466" s="8">
        <v>2393</v>
      </c>
    </row>
    <row r="37467" spans="1:6" ht="12.75">
      <c r="A37467" s="8">
        <v>43887.662442129629</v>
      </c>
      <c r="B37467" s="8" t="str">
        <f>HYPERLINK("https://twitter.com/Muhammadanggik","@Muhammadanggik")</f>
        <v>@Muhammadanggik</v>
      </c>
      <c r="C37467" s="8" t="s">
        <v>12143</v>
      </c>
      <c r="D37467" s="8">
        <v>169</v>
      </c>
      <c r="E37467" s="8">
        <v>0</v>
      </c>
      <c r="F37467" s="8">
        <v>827</v>
      </c>
    </row>
    <row r="37468" spans="1:6" ht="12.75">
      <c r="A37468" s="8">
        <v>43887.661828703705</v>
      </c>
      <c r="B37468" s="8" t="str">
        <f>HYPERLINK("https://twitter.com/drunkenowl_","@drunkenowl_")</f>
        <v>@drunkenowl_</v>
      </c>
      <c r="C37468" s="8" t="s">
        <v>13365</v>
      </c>
      <c r="D37468" s="8">
        <v>799</v>
      </c>
      <c r="E37468" s="8">
        <v>0</v>
      </c>
      <c r="F37468" s="8">
        <v>679</v>
      </c>
    </row>
    <row r="37469" spans="1:6" ht="12.75">
      <c r="A37469" s="8">
        <v>43887.661712962959</v>
      </c>
      <c r="B37469" s="8" t="str">
        <f>HYPERLINK("https://twitter.com/VAzzeLO","@VAzzeLO")</f>
        <v>@VAzzeLO</v>
      </c>
      <c r="C37469" s="8" t="s">
        <v>2940</v>
      </c>
      <c r="D37469" s="8">
        <v>2637</v>
      </c>
      <c r="E37469" s="8">
        <v>0</v>
      </c>
      <c r="F37469" s="8">
        <v>764</v>
      </c>
    </row>
    <row r="37470" spans="1:6" ht="12.75">
      <c r="A37470" s="8">
        <v>43887.66133101852</v>
      </c>
      <c r="B37470" s="8" t="str">
        <f>HYPERLINK("https://twitter.com/SlamatNKRI","@SlamatNKRI")</f>
        <v>@SlamatNKRI</v>
      </c>
      <c r="C37470" s="8" t="s">
        <v>12143</v>
      </c>
      <c r="D37470" s="8">
        <v>169</v>
      </c>
      <c r="E37470" s="8">
        <v>0</v>
      </c>
      <c r="F37470" s="8">
        <v>138</v>
      </c>
    </row>
    <row r="37471" spans="1:6" ht="12.75">
      <c r="A37471" s="8">
        <v>43887.661238425921</v>
      </c>
      <c r="B37471" s="8" t="str">
        <f>HYPERLINK("https://twitter.com/sipenyukakopi","@sipenyukakopi")</f>
        <v>@sipenyukakopi</v>
      </c>
      <c r="C37471" s="8" t="s">
        <v>13365</v>
      </c>
      <c r="D37471" s="8">
        <v>799</v>
      </c>
      <c r="E37471" s="8">
        <v>0</v>
      </c>
      <c r="F37471" s="8">
        <v>5</v>
      </c>
    </row>
    <row r="37472" spans="1:6" ht="12.75">
      <c r="A37472" s="8">
        <v>43887.660787037035</v>
      </c>
      <c r="B37472" s="8" t="str">
        <f>HYPERLINK("https://twitter.com/ghassanizahara","@ghassanizahara")</f>
        <v>@ghassanizahara</v>
      </c>
      <c r="C37472" s="8" t="s">
        <v>593</v>
      </c>
      <c r="D37472" s="8">
        <v>220</v>
      </c>
      <c r="E37472" s="8">
        <v>0</v>
      </c>
      <c r="F37472" s="8">
        <v>645</v>
      </c>
    </row>
    <row r="37473" spans="1:6" ht="12.75">
      <c r="A37473" s="8">
        <v>43887.660381944443</v>
      </c>
      <c r="B37473" s="8" t="str">
        <f>HYPERLINK("https://twitter.com/haidir_setiawan","@haidir_setiawan")</f>
        <v>@haidir_setiawan</v>
      </c>
      <c r="C37473" s="8" t="s">
        <v>14015</v>
      </c>
      <c r="D37473" s="8">
        <v>11</v>
      </c>
      <c r="E37473" s="8">
        <v>0</v>
      </c>
      <c r="F37473" s="8">
        <v>2295</v>
      </c>
    </row>
    <row r="37474" spans="1:6" ht="12.75">
      <c r="A37474" s="8">
        <v>43887.660254629634</v>
      </c>
      <c r="B37474" s="8" t="str">
        <f>HYPERLINK("https://twitter.com/banglintas","@banglintas")</f>
        <v>@banglintas</v>
      </c>
      <c r="C37474" s="8" t="s">
        <v>14335</v>
      </c>
      <c r="D37474" s="8">
        <v>0</v>
      </c>
      <c r="E37474" s="8">
        <v>0</v>
      </c>
      <c r="F37474" s="8">
        <v>54</v>
      </c>
    </row>
    <row r="37475" spans="1:6" ht="12.75">
      <c r="A37475" s="8">
        <v>43887.66006944445</v>
      </c>
      <c r="B37475" s="8" t="str">
        <f>HYPERLINK("https://twitter.com/aprianxmaulana","@aprianxmaulana")</f>
        <v>@aprianxmaulana</v>
      </c>
      <c r="C37475" s="8" t="s">
        <v>12406</v>
      </c>
      <c r="D37475" s="8">
        <v>3</v>
      </c>
      <c r="E37475" s="8">
        <v>0</v>
      </c>
      <c r="F37475" s="8">
        <v>116</v>
      </c>
    </row>
    <row r="37476" spans="1:6" ht="12.75">
      <c r="A37476" s="8">
        <v>43887.659872685181</v>
      </c>
      <c r="B37476" s="8" t="str">
        <f>HYPERLINK("https://twitter.com/heniunique","@heniunique")</f>
        <v>@heniunique</v>
      </c>
      <c r="C37476" s="8" t="s">
        <v>14071</v>
      </c>
      <c r="D37476" s="8">
        <v>10</v>
      </c>
      <c r="E37476" s="8">
        <v>0</v>
      </c>
      <c r="F37476" s="8">
        <v>9910</v>
      </c>
    </row>
    <row r="37477" spans="1:6" ht="12.75">
      <c r="A37477" s="8">
        <v>43887.659652777773</v>
      </c>
      <c r="B37477" s="8" t="str">
        <f>HYPERLINK("https://twitter.com/see_venice","@see_venice")</f>
        <v>@see_venice</v>
      </c>
      <c r="C37477" s="8" t="s">
        <v>2940</v>
      </c>
      <c r="D37477" s="8">
        <v>2637</v>
      </c>
      <c r="E37477" s="8">
        <v>0</v>
      </c>
      <c r="F37477" s="8">
        <v>360</v>
      </c>
    </row>
    <row r="37478" spans="1:6" ht="12.75">
      <c r="A37478" s="8">
        <v>43887.658738425926</v>
      </c>
      <c r="B37478" s="8" t="str">
        <f>HYPERLINK("https://twitter.com/sammyfish13","@sammyfish13")</f>
        <v>@sammyfish13</v>
      </c>
      <c r="C37478" s="8" t="s">
        <v>14000</v>
      </c>
      <c r="D37478" s="8">
        <v>24</v>
      </c>
      <c r="E37478" s="8">
        <v>0</v>
      </c>
      <c r="F37478" s="8">
        <v>452</v>
      </c>
    </row>
    <row r="37479" spans="1:6" ht="12.75">
      <c r="A37479" s="8">
        <v>43887.65829861111</v>
      </c>
      <c r="B37479" s="8" t="str">
        <f>HYPERLINK("https://twitter.com/muslimpribumi","@muslimpribumi")</f>
        <v>@muslimpribumi</v>
      </c>
      <c r="C37479" s="8" t="s">
        <v>14483</v>
      </c>
      <c r="D37479" s="8">
        <v>5</v>
      </c>
      <c r="E37479" s="8">
        <v>0</v>
      </c>
      <c r="F37479" s="8">
        <v>2176</v>
      </c>
    </row>
    <row r="37480" spans="1:6" ht="12.75">
      <c r="A37480" s="8">
        <v>43887.658101851848</v>
      </c>
      <c r="B37480" s="8" t="str">
        <f>HYPERLINK("https://twitter.com/Weje09667293","@Weje09667293")</f>
        <v>@Weje09667293</v>
      </c>
      <c r="C37480" s="8" t="s">
        <v>14556</v>
      </c>
      <c r="D37480" s="8">
        <v>0</v>
      </c>
      <c r="E37480" s="8">
        <v>0</v>
      </c>
      <c r="F37480" s="8">
        <v>35</v>
      </c>
    </row>
    <row r="37481" spans="1:6" ht="12.75">
      <c r="A37481" s="8">
        <v>43887.657916666663</v>
      </c>
      <c r="B37481" s="8" t="str">
        <f>HYPERLINK("https://twitter.com/OWeyai","@OWeyai")</f>
        <v>@OWeyai</v>
      </c>
      <c r="C37481" s="8" t="s">
        <v>14557</v>
      </c>
      <c r="D37481" s="8">
        <v>0</v>
      </c>
      <c r="E37481" s="8">
        <v>0</v>
      </c>
      <c r="F37481" s="8">
        <v>484</v>
      </c>
    </row>
    <row r="37482" spans="1:6" ht="12.75">
      <c r="A37482" s="8">
        <v>43887.657905092594</v>
      </c>
      <c r="B37482" s="8" t="str">
        <f>HYPERLINK("https://twitter.com/SetyawatIka","@SetyawatIka")</f>
        <v>@SetyawatIka</v>
      </c>
      <c r="C37482" s="8" t="s">
        <v>14505</v>
      </c>
      <c r="D37482" s="8">
        <v>3</v>
      </c>
      <c r="E37482" s="8">
        <v>0</v>
      </c>
      <c r="F37482" s="8">
        <v>511</v>
      </c>
    </row>
    <row r="37483" spans="1:6" ht="12.75">
      <c r="A37483" s="8">
        <v>43887.657430555555</v>
      </c>
      <c r="B37483" s="8" t="str">
        <f>HYPERLINK("https://twitter.com/yosnunut","@yosnunut")</f>
        <v>@yosnunut</v>
      </c>
      <c r="C37483" s="8" t="s">
        <v>13592</v>
      </c>
      <c r="D37483" s="8">
        <v>5</v>
      </c>
      <c r="E37483" s="8">
        <v>0</v>
      </c>
      <c r="F37483" s="8">
        <v>400</v>
      </c>
    </row>
    <row r="37484" spans="1:6" ht="12.75">
      <c r="A37484" s="8">
        <v>43887.657280092593</v>
      </c>
      <c r="B37484" s="8" t="str">
        <f>HYPERLINK("https://twitter.com/VTerhangat","@VTerhangat")</f>
        <v>@VTerhangat</v>
      </c>
      <c r="C37484" s="8" t="s">
        <v>14558</v>
      </c>
      <c r="D37484" s="8">
        <v>0</v>
      </c>
      <c r="E37484" s="8">
        <v>0</v>
      </c>
      <c r="F37484" s="8">
        <v>24</v>
      </c>
    </row>
    <row r="37485" spans="1:6" ht="12.75">
      <c r="A37485" s="8">
        <v>43887.656909722224</v>
      </c>
      <c r="B37485" s="8" t="str">
        <f>HYPERLINK("https://twitter.com/CastilloJoshima","@CastilloJoshima")</f>
        <v>@CastilloJoshima</v>
      </c>
      <c r="C37485" s="8" t="s">
        <v>13719</v>
      </c>
      <c r="D37485" s="8">
        <v>3</v>
      </c>
      <c r="E37485" s="8">
        <v>0</v>
      </c>
      <c r="F37485" s="8">
        <v>5408</v>
      </c>
    </row>
    <row r="37486" spans="1:6" ht="12.75">
      <c r="A37486" s="8">
        <v>43887.656666666662</v>
      </c>
      <c r="B37486" s="8" t="str">
        <f>HYPERLINK("https://twitter.com/Nusantara_TV","@Nusantara_TV")</f>
        <v>@Nusantara_TV</v>
      </c>
      <c r="C37486" s="8" t="s">
        <v>14559</v>
      </c>
      <c r="D37486" s="8">
        <v>0</v>
      </c>
      <c r="E37486" s="8">
        <v>0</v>
      </c>
      <c r="F37486" s="8">
        <v>493</v>
      </c>
    </row>
    <row r="37487" spans="1:6" ht="12.75">
      <c r="A37487" s="8">
        <v>43887.656666666662</v>
      </c>
      <c r="B37487" s="8" t="str">
        <f>HYPERLINK("https://twitter.com/nadskyh","@nadskyh")</f>
        <v>@nadskyh</v>
      </c>
      <c r="C37487" s="8" t="s">
        <v>593</v>
      </c>
      <c r="D37487" s="8">
        <v>220</v>
      </c>
      <c r="E37487" s="8">
        <v>0</v>
      </c>
      <c r="F37487" s="8">
        <v>3</v>
      </c>
    </row>
    <row r="37488" spans="1:6" ht="12.75">
      <c r="A37488" s="8">
        <v>43887.656574074077</v>
      </c>
      <c r="B37488" s="8" t="str">
        <f>HYPERLINK("https://twitter.com/holerise","@holerise")</f>
        <v>@holerise</v>
      </c>
      <c r="C37488" s="8" t="s">
        <v>12800</v>
      </c>
      <c r="D37488" s="8">
        <v>176</v>
      </c>
      <c r="E37488" s="8">
        <v>0</v>
      </c>
      <c r="F37488" s="8">
        <v>853</v>
      </c>
    </row>
    <row r="37489" spans="1:6" ht="12.75">
      <c r="A37489" s="8">
        <v>43887.656458333338</v>
      </c>
      <c r="B37489" s="8" t="str">
        <f>HYPERLINK("https://twitter.com/Tanpaagama","@Tanpaagama")</f>
        <v>@Tanpaagama</v>
      </c>
      <c r="C37489" s="8" t="s">
        <v>14560</v>
      </c>
      <c r="D37489" s="8">
        <v>3</v>
      </c>
      <c r="E37489" s="8">
        <v>13</v>
      </c>
      <c r="F37489" s="8">
        <v>23709</v>
      </c>
    </row>
    <row r="37490" spans="1:6" ht="12.75">
      <c r="A37490" s="8">
        <v>43887.655995370369</v>
      </c>
      <c r="B37490" s="8" t="str">
        <f>HYPERLINK("https://twitter.com/GfPlat","@GfPlat")</f>
        <v>@GfPlat</v>
      </c>
      <c r="C37490" s="8" t="s">
        <v>14537</v>
      </c>
      <c r="D37490" s="8">
        <v>2</v>
      </c>
      <c r="E37490" s="8">
        <v>0</v>
      </c>
      <c r="F37490" s="8">
        <v>2473</v>
      </c>
    </row>
    <row r="37491" spans="1:6" ht="12.75">
      <c r="A37491" s="8">
        <v>43887.655995370369</v>
      </c>
      <c r="B37491" s="8" t="str">
        <f>HYPERLINK("https://twitter.com/ivafahrudi","@ivafahrudi")</f>
        <v>@ivafahrudi</v>
      </c>
      <c r="C37491" s="8" t="s">
        <v>12412</v>
      </c>
      <c r="D37491" s="8">
        <v>0</v>
      </c>
      <c r="E37491" s="8">
        <v>0</v>
      </c>
      <c r="F37491" s="8">
        <v>1112</v>
      </c>
    </row>
    <row r="37492" spans="1:6" ht="12.75">
      <c r="A37492" s="8">
        <v>43887.6559837963</v>
      </c>
      <c r="B37492" s="8" t="str">
        <f>HYPERLINK("https://twitter.com/luxlung","@luxlung")</f>
        <v>@luxlung</v>
      </c>
      <c r="C37492" s="8" t="s">
        <v>13117</v>
      </c>
      <c r="D37492" s="8">
        <v>15</v>
      </c>
      <c r="E37492" s="8">
        <v>0</v>
      </c>
      <c r="F37492" s="8">
        <v>2447</v>
      </c>
    </row>
    <row r="37493" spans="1:6" ht="12.75">
      <c r="A37493" s="8">
        <v>43887.655960648146</v>
      </c>
      <c r="B37493" s="8" t="str">
        <f>HYPERLINK("https://twitter.com/sukaqoriya","@sukaqoriya")</f>
        <v>@sukaqoriya</v>
      </c>
      <c r="C37493" s="8" t="s">
        <v>12800</v>
      </c>
      <c r="D37493" s="8">
        <v>176</v>
      </c>
      <c r="E37493" s="8">
        <v>0</v>
      </c>
      <c r="F37493" s="8">
        <v>912</v>
      </c>
    </row>
    <row r="37494" spans="1:6" ht="12.75">
      <c r="A37494" s="8">
        <v>43887.655729166669</v>
      </c>
      <c r="B37494" s="8" t="str">
        <f>HYPERLINK("https://twitter.com/KemensetnegRI","@KemensetnegRI")</f>
        <v>@KemensetnegRI</v>
      </c>
      <c r="C37494" s="8" t="s">
        <v>14335</v>
      </c>
      <c r="D37494" s="8">
        <v>2</v>
      </c>
      <c r="E37494" s="8">
        <v>6</v>
      </c>
      <c r="F37494" s="8">
        <v>404381</v>
      </c>
    </row>
    <row r="37495" spans="1:6" ht="12.75">
      <c r="A37495" s="8">
        <v>43887.65552083333</v>
      </c>
      <c r="B37495" s="8" t="str">
        <f>HYPERLINK("https://twitter.com/Nruulll","@Nruulll")</f>
        <v>@Nruulll</v>
      </c>
      <c r="C37495" s="8" t="s">
        <v>14561</v>
      </c>
      <c r="D37495" s="8">
        <v>1</v>
      </c>
      <c r="E37495" s="8">
        <v>0</v>
      </c>
      <c r="F37495" s="8">
        <v>513</v>
      </c>
    </row>
    <row r="37496" spans="1:6" ht="12.75">
      <c r="A37496" s="8">
        <v>43887.655451388884</v>
      </c>
      <c r="B37496" s="8" t="str">
        <f>HYPERLINK("https://twitter.com/ryolandafit","@ryolandafit")</f>
        <v>@ryolandafit</v>
      </c>
      <c r="C37496" s="8" t="s">
        <v>14505</v>
      </c>
      <c r="D37496" s="8">
        <v>3</v>
      </c>
      <c r="E37496" s="8">
        <v>0</v>
      </c>
      <c r="F37496" s="8">
        <v>651</v>
      </c>
    </row>
    <row r="37497" spans="1:6" ht="12.75">
      <c r="A37497" s="8">
        <v>43887.654976851853</v>
      </c>
      <c r="B37497" s="8" t="str">
        <f>HYPERLINK("https://twitter.com/ErlanKarnos","@ErlanKarnos")</f>
        <v>@ErlanKarnos</v>
      </c>
      <c r="C37497" s="8" t="s">
        <v>14562</v>
      </c>
      <c r="D37497" s="8">
        <v>0</v>
      </c>
      <c r="E37497" s="8">
        <v>0</v>
      </c>
      <c r="F37497" s="8">
        <v>20</v>
      </c>
    </row>
    <row r="37498" spans="1:6" ht="12.75">
      <c r="A37498" s="8">
        <v>43887.654594907406</v>
      </c>
      <c r="B37498" s="8" t="str">
        <f>HYPERLINK("https://twitter.com/biru20s","@biru20s")</f>
        <v>@biru20s</v>
      </c>
      <c r="C37498" s="8" t="s">
        <v>14551</v>
      </c>
      <c r="D37498" s="8">
        <v>3</v>
      </c>
      <c r="E37498" s="8">
        <v>0</v>
      </c>
      <c r="F37498" s="8">
        <v>1140</v>
      </c>
    </row>
    <row r="37499" spans="1:6" ht="12.75">
      <c r="A37499" s="8">
        <v>43887.654386574075</v>
      </c>
      <c r="B37499" s="8" t="str">
        <f>HYPERLINK("https://twitter.com/IamIrshanAli","@IamIrshanAli")</f>
        <v>@IamIrshanAli</v>
      </c>
      <c r="C37499" s="8" t="s">
        <v>14563</v>
      </c>
      <c r="D37499" s="8">
        <v>0</v>
      </c>
      <c r="E37499" s="8">
        <v>0</v>
      </c>
      <c r="F37499" s="8">
        <v>313</v>
      </c>
    </row>
    <row r="37500" spans="1:6" ht="12.75">
      <c r="A37500" s="8">
        <v>43887.654120370367</v>
      </c>
      <c r="B37500" s="8" t="str">
        <f>HYPERLINK("https://twitter.com/CastilloJoshima","@CastilloJoshima")</f>
        <v>@CastilloJoshima</v>
      </c>
      <c r="C37500" s="8" t="s">
        <v>14564</v>
      </c>
      <c r="D37500" s="8">
        <v>3</v>
      </c>
      <c r="E37500" s="8">
        <v>6</v>
      </c>
      <c r="F37500" s="8">
        <v>5408</v>
      </c>
    </row>
    <row r="37501" spans="1:6" ht="12.75">
      <c r="A37501" s="8">
        <v>43887.653877314813</v>
      </c>
      <c r="B37501" s="8" t="str">
        <f>HYPERLINK("https://twitter.com/antaranews","@antaranews")</f>
        <v>@antaranews</v>
      </c>
      <c r="C37501" s="8" t="s">
        <v>14565</v>
      </c>
      <c r="D37501" s="8">
        <v>0</v>
      </c>
      <c r="E37501" s="8">
        <v>3</v>
      </c>
      <c r="F37501" s="8">
        <v>1105319</v>
      </c>
    </row>
    <row r="37502" spans="1:6" ht="12.75">
      <c r="A37502" s="8">
        <v>43887.653819444444</v>
      </c>
      <c r="B37502" s="8" t="str">
        <f>HYPERLINK("https://twitter.com/vibizmediacom","@vibizmediacom")</f>
        <v>@vibizmediacom</v>
      </c>
      <c r="C37502" s="8" t="s">
        <v>14566</v>
      </c>
      <c r="D37502" s="8">
        <v>0</v>
      </c>
      <c r="E37502" s="8">
        <v>0</v>
      </c>
      <c r="F37502" s="8">
        <v>420</v>
      </c>
    </row>
    <row r="37503" spans="1:6" ht="12.75">
      <c r="A37503" s="8">
        <v>43887.653634259259</v>
      </c>
      <c r="B37503" s="8" t="str">
        <f>HYPERLINK("https://twitter.com/MomoiroTalks","@MomoiroTalks")</f>
        <v>@MomoiroTalks</v>
      </c>
      <c r="C37503" s="8" t="s">
        <v>13117</v>
      </c>
      <c r="D37503" s="8">
        <v>15</v>
      </c>
      <c r="E37503" s="8">
        <v>0</v>
      </c>
      <c r="F37503" s="8">
        <v>896</v>
      </c>
    </row>
    <row r="37504" spans="1:6" ht="12.75">
      <c r="A37504" s="8">
        <v>43887.65351851852</v>
      </c>
      <c r="B37504" s="8" t="str">
        <f>HYPERLINK("https://twitter.com/renveIvet","@renveIvet")</f>
        <v>@renveIvet</v>
      </c>
      <c r="C37504" s="8" t="s">
        <v>14567</v>
      </c>
      <c r="D37504" s="8">
        <v>0</v>
      </c>
      <c r="E37504" s="8">
        <v>0</v>
      </c>
      <c r="F37504" s="8">
        <v>522</v>
      </c>
    </row>
    <row r="37505" spans="1:6" ht="12.75">
      <c r="A37505" s="8">
        <v>43887.653194444443</v>
      </c>
      <c r="B37505" s="8" t="str">
        <f>HYPERLINK("https://twitter.com/cintada17","@cintada17")</f>
        <v>@cintada17</v>
      </c>
      <c r="C37505" s="8" t="s">
        <v>14538</v>
      </c>
      <c r="D37505" s="8">
        <v>7</v>
      </c>
      <c r="E37505" s="8">
        <v>0</v>
      </c>
      <c r="F37505" s="8">
        <v>7754</v>
      </c>
    </row>
    <row r="37506" spans="1:6" ht="12.75">
      <c r="A37506" s="8">
        <v>43887.653171296297</v>
      </c>
      <c r="B37506" s="8" t="str">
        <f>HYPERLINK("https://twitter.com/TRANS7","@TRANS7")</f>
        <v>@TRANS7</v>
      </c>
      <c r="C37506" s="8" t="s">
        <v>14568</v>
      </c>
      <c r="D37506" s="8">
        <v>3</v>
      </c>
      <c r="E37506" s="8">
        <v>6</v>
      </c>
      <c r="F37506" s="8">
        <v>5576560</v>
      </c>
    </row>
    <row r="37507" spans="1:6" ht="12.75">
      <c r="A37507" s="8">
        <v>43887.65315972222</v>
      </c>
      <c r="B37507" s="8" t="str">
        <f>HYPERLINK("https://twitter.com/redaksisore_t7","@redaksisore_t7")</f>
        <v>@redaksisore_t7</v>
      </c>
      <c r="C37507" s="8" t="s">
        <v>14568</v>
      </c>
      <c r="D37507" s="8">
        <v>0</v>
      </c>
      <c r="E37507" s="8">
        <v>0</v>
      </c>
      <c r="F37507" s="8">
        <v>12112</v>
      </c>
    </row>
    <row r="37508" spans="1:6" ht="12.75">
      <c r="A37508" s="8">
        <v>43887.65252314815</v>
      </c>
      <c r="B37508" s="8" t="str">
        <f>HYPERLINK("https://twitter.com/ryolandafit","@ryolandafit")</f>
        <v>@ryolandafit</v>
      </c>
      <c r="C37508" s="8" t="s">
        <v>14569</v>
      </c>
      <c r="D37508" s="8">
        <v>1</v>
      </c>
      <c r="E37508" s="8">
        <v>0</v>
      </c>
      <c r="F37508" s="8">
        <v>651</v>
      </c>
    </row>
    <row r="37509" spans="1:6" ht="12.75">
      <c r="A37509" s="8">
        <v>43887.65252314815</v>
      </c>
      <c r="B37509" s="8" t="str">
        <f>HYPERLINK("https://twitter.com/suzannasmart2","@suzannasmart2")</f>
        <v>@suzannasmart2</v>
      </c>
      <c r="C37509" s="8" t="s">
        <v>14293</v>
      </c>
      <c r="D37509" s="8">
        <v>0</v>
      </c>
      <c r="E37509" s="8">
        <v>0</v>
      </c>
      <c r="F37509" s="8">
        <v>3</v>
      </c>
    </row>
    <row r="37510" spans="1:6" ht="12.75">
      <c r="A37510" s="8">
        <v>43887.652372685188</v>
      </c>
      <c r="B37510" s="8" t="str">
        <f>HYPERLINK("https://twitter.com/ryolandafit","@ryolandafit")</f>
        <v>@ryolandafit</v>
      </c>
      <c r="C37510" s="8" t="s">
        <v>14570</v>
      </c>
      <c r="D37510" s="8">
        <v>2</v>
      </c>
      <c r="E37510" s="8">
        <v>0</v>
      </c>
      <c r="F37510" s="8">
        <v>651</v>
      </c>
    </row>
    <row r="37511" spans="1:6" ht="12.75">
      <c r="A37511" s="8">
        <v>43887.652349537035</v>
      </c>
      <c r="B37511" s="8" t="str">
        <f>HYPERLINK("https://twitter.com/ElshintaDotcom","@ElshintaDotcom")</f>
        <v>@ElshintaDotcom</v>
      </c>
      <c r="C37511" s="8" t="s">
        <v>14571</v>
      </c>
      <c r="D37511" s="8">
        <v>0</v>
      </c>
      <c r="E37511" s="8">
        <v>0</v>
      </c>
      <c r="F37511" s="8">
        <v>27919</v>
      </c>
    </row>
    <row r="37512" spans="1:6" ht="12.75">
      <c r="A37512" s="8">
        <v>43887.652326388888</v>
      </c>
      <c r="B37512" s="8" t="str">
        <f>HYPERLINK("https://twitter.com/ryolandafit","@ryolandafit")</f>
        <v>@ryolandafit</v>
      </c>
      <c r="C37512" s="8" t="s">
        <v>14572</v>
      </c>
      <c r="D37512" s="8">
        <v>1</v>
      </c>
      <c r="E37512" s="8">
        <v>0</v>
      </c>
      <c r="F37512" s="8">
        <v>651</v>
      </c>
    </row>
    <row r="37513" spans="1:6" ht="12.75">
      <c r="A37513" s="8">
        <v>43887.652106481481</v>
      </c>
      <c r="B37513" s="8" t="str">
        <f>HYPERLINK("https://twitter.com/Beritabaruco","@Beritabaruco")</f>
        <v>@Beritabaruco</v>
      </c>
      <c r="C37513" s="8" t="s">
        <v>14573</v>
      </c>
      <c r="D37513" s="8">
        <v>0</v>
      </c>
      <c r="E37513" s="8">
        <v>0</v>
      </c>
      <c r="F37513" s="8">
        <v>186</v>
      </c>
    </row>
    <row r="37514" spans="1:6" ht="12.75">
      <c r="A37514" s="8">
        <v>43887.631770833337</v>
      </c>
      <c r="B37514" s="8" t="str">
        <f>HYPERLINK("https://twitter.com/PolsekDayeuhko2","@PolsekDayeuhko2")</f>
        <v>@PolsekDayeuhko2</v>
      </c>
      <c r="C37514" s="8" t="s">
        <v>14574</v>
      </c>
      <c r="D37514" s="8">
        <v>0</v>
      </c>
      <c r="E37514" s="8">
        <v>0</v>
      </c>
      <c r="F37514" s="8">
        <v>10</v>
      </c>
    </row>
    <row r="37515" spans="1:6" ht="12.75">
      <c r="A37515" s="8">
        <v>43887.631701388891</v>
      </c>
      <c r="B37515" s="8" t="str">
        <f>HYPERLINK("https://twitter.com/saluran8","@saluran8")</f>
        <v>@saluran8</v>
      </c>
      <c r="C37515" s="8" t="s">
        <v>14575</v>
      </c>
      <c r="D37515" s="8">
        <v>0</v>
      </c>
      <c r="E37515" s="8">
        <v>0</v>
      </c>
      <c r="F37515" s="8">
        <v>128755</v>
      </c>
    </row>
    <row r="37516" spans="1:6" ht="12.75">
      <c r="A37516" s="8">
        <v>43887.631388888884</v>
      </c>
      <c r="B37516" s="8" t="str">
        <f>HYPERLINK("https://twitter.com/sulistyamahara","@sulistyamahara")</f>
        <v>@sulistyamahara</v>
      </c>
      <c r="C37516" s="8" t="s">
        <v>593</v>
      </c>
      <c r="D37516" s="8">
        <v>208</v>
      </c>
      <c r="E37516" s="8">
        <v>0</v>
      </c>
      <c r="F37516" s="8">
        <v>44</v>
      </c>
    </row>
    <row r="37517" spans="1:6" ht="12.75">
      <c r="A37517" s="8">
        <v>43887.631261574075</v>
      </c>
      <c r="B37517" s="8" t="str">
        <f>HYPERLINK("https://twitter.com/mk12537a","@mk12537a")</f>
        <v>@mk12537a</v>
      </c>
      <c r="C37517" s="8" t="s">
        <v>2940</v>
      </c>
      <c r="D37517" s="8">
        <v>2634</v>
      </c>
      <c r="E37517" s="8">
        <v>0</v>
      </c>
      <c r="F37517" s="8">
        <v>94</v>
      </c>
    </row>
    <row r="37518" spans="1:6" ht="12.75">
      <c r="A37518" s="8">
        <v>43887.63113425926</v>
      </c>
      <c r="B37518" s="8" t="str">
        <f>HYPERLINK("https://twitter.com/ChristWamea","@ChristWamea")</f>
        <v>@ChristWamea</v>
      </c>
      <c r="C37518" s="8" t="s">
        <v>14534</v>
      </c>
      <c r="D37518" s="8">
        <v>1</v>
      </c>
      <c r="E37518" s="8">
        <v>0</v>
      </c>
      <c r="F37518" s="8">
        <v>28689</v>
      </c>
    </row>
    <row r="37519" spans="1:6" ht="12.75">
      <c r="A37519" s="8">
        <v>43887.630983796298</v>
      </c>
      <c r="B37519" s="8" t="str">
        <f>HYPERLINK("https://twitter.com/Fredy_Santana01","@Fredy_Santana01")</f>
        <v>@Fredy_Santana01</v>
      </c>
      <c r="C37519" s="8" t="s">
        <v>12143</v>
      </c>
      <c r="D37519" s="8">
        <v>151</v>
      </c>
      <c r="E37519" s="8">
        <v>0</v>
      </c>
      <c r="F37519" s="8">
        <v>1701</v>
      </c>
    </row>
    <row r="37520" spans="1:6" ht="12.75">
      <c r="A37520" s="8">
        <v>43887.63081018519</v>
      </c>
      <c r="B37520" s="8" t="str">
        <f>HYPERLINK("https://twitter.com/ErlanKarnos","@ErlanKarnos")</f>
        <v>@ErlanKarnos</v>
      </c>
      <c r="C37520" s="8" t="s">
        <v>14576</v>
      </c>
      <c r="D37520" s="8">
        <v>0</v>
      </c>
      <c r="E37520" s="8">
        <v>0</v>
      </c>
      <c r="F37520" s="8">
        <v>20</v>
      </c>
    </row>
    <row r="37521" spans="1:6" ht="12.75">
      <c r="A37521" s="8">
        <v>43887.630578703705</v>
      </c>
      <c r="B37521" s="8" t="str">
        <f t="shared" ref="B37521:B37522" si="563">HYPERLINK("https://twitter.com/Baliantaranews","@Baliantaranews")</f>
        <v>@Baliantaranews</v>
      </c>
      <c r="C37521" s="8" t="s">
        <v>14577</v>
      </c>
      <c r="D37521" s="8">
        <v>1</v>
      </c>
      <c r="E37521" s="8">
        <v>0</v>
      </c>
      <c r="F37521" s="8">
        <v>736</v>
      </c>
    </row>
    <row r="37522" spans="1:6" ht="12.75">
      <c r="A37522" s="8">
        <v>43887.630578703705</v>
      </c>
      <c r="B37522" s="8" t="str">
        <f t="shared" si="563"/>
        <v>@Baliantaranews</v>
      </c>
      <c r="C37522" s="8" t="s">
        <v>14578</v>
      </c>
      <c r="D37522" s="8">
        <v>1</v>
      </c>
      <c r="E37522" s="8">
        <v>0</v>
      </c>
      <c r="F37522" s="8">
        <v>736</v>
      </c>
    </row>
    <row r="37523" spans="1:6" ht="12.75">
      <c r="A37523" s="8">
        <v>43887.630254629628</v>
      </c>
      <c r="B37523" s="8" t="str">
        <f t="shared" ref="B37523:B37524" si="564">HYPERLINK("https://twitter.com/antaranews_bali","@antaranews_bali")</f>
        <v>@antaranews_bali</v>
      </c>
      <c r="C37523" s="8" t="s">
        <v>14579</v>
      </c>
      <c r="D37523" s="8">
        <v>1</v>
      </c>
      <c r="E37523" s="8">
        <v>0</v>
      </c>
      <c r="F37523" s="8">
        <v>4928</v>
      </c>
    </row>
    <row r="37524" spans="1:6" ht="12.75">
      <c r="A37524" s="8">
        <v>43887.630243055552</v>
      </c>
      <c r="B37524" s="8" t="str">
        <f t="shared" si="564"/>
        <v>@antaranews_bali</v>
      </c>
      <c r="C37524" s="8" t="s">
        <v>14580</v>
      </c>
      <c r="D37524" s="8">
        <v>1</v>
      </c>
      <c r="E37524" s="8">
        <v>0</v>
      </c>
      <c r="F37524" s="8">
        <v>4928</v>
      </c>
    </row>
    <row r="37525" spans="1:6" ht="12.75">
      <c r="A37525" s="8">
        <v>43887.630219907413</v>
      </c>
      <c r="B37525" s="8" t="str">
        <f>HYPERLINK("https://twitter.com/pastagurih","@pastagurih")</f>
        <v>@pastagurih</v>
      </c>
      <c r="C37525" s="8" t="s">
        <v>593</v>
      </c>
      <c r="D37525" s="8">
        <v>208</v>
      </c>
      <c r="E37525" s="8">
        <v>0</v>
      </c>
      <c r="F37525" s="8">
        <v>188</v>
      </c>
    </row>
    <row r="37526" spans="1:6" ht="12.75">
      <c r="A37526" s="8">
        <v>43887.630219907413</v>
      </c>
      <c r="B37526" s="8" t="str">
        <f>HYPERLINK("https://twitter.com/okezonenews","@okezonenews")</f>
        <v>@okezonenews</v>
      </c>
      <c r="C37526" s="8" t="s">
        <v>14581</v>
      </c>
      <c r="D37526" s="8">
        <v>1</v>
      </c>
      <c r="E37526" s="8">
        <v>0</v>
      </c>
      <c r="F37526" s="8">
        <v>1743710</v>
      </c>
    </row>
    <row r="37527" spans="1:6" ht="12.75">
      <c r="A37527" s="8">
        <v>43887.629641203705</v>
      </c>
      <c r="B37527" s="8" t="str">
        <f>HYPERLINK("https://twitter.com/kutipan_lagu22","@kutipan_lagu22")</f>
        <v>@kutipan_lagu22</v>
      </c>
      <c r="C37527" s="8" t="s">
        <v>237</v>
      </c>
      <c r="D37527" s="8">
        <v>0</v>
      </c>
      <c r="E37527" s="8">
        <v>0</v>
      </c>
      <c r="F37527" s="8">
        <v>284</v>
      </c>
    </row>
    <row r="37528" spans="1:6" ht="12.75">
      <c r="A37528" s="8">
        <v>43887.629479166666</v>
      </c>
      <c r="B37528" s="8" t="str">
        <f>HYPERLINK("https://twitter.com/setkabgoid","@setkabgoid")</f>
        <v>@setkabgoid</v>
      </c>
      <c r="C37528" s="8" t="s">
        <v>14582</v>
      </c>
      <c r="D37528" s="8">
        <v>1</v>
      </c>
      <c r="E37528" s="8">
        <v>2</v>
      </c>
      <c r="F37528" s="8">
        <v>1027478</v>
      </c>
    </row>
    <row r="37529" spans="1:6" ht="12.75">
      <c r="A37529" s="8">
        <v>43887.629120370373</v>
      </c>
      <c r="B37529" s="8" t="str">
        <f>HYPERLINK("https://twitter.com/rudisarupa","@rudisarupa")</f>
        <v>@rudisarupa</v>
      </c>
      <c r="C37529" s="8" t="s">
        <v>12143</v>
      </c>
      <c r="D37529" s="8">
        <v>151</v>
      </c>
      <c r="E37529" s="8">
        <v>0</v>
      </c>
      <c r="F37529" s="8">
        <v>172</v>
      </c>
    </row>
    <row r="37530" spans="1:6" ht="12.75">
      <c r="A37530" s="8">
        <v>43887.62909722222</v>
      </c>
      <c r="B37530" s="8" t="str">
        <f>HYPERLINK("https://twitter.com/Sinar_Harapan","@Sinar_Harapan")</f>
        <v>@Sinar_Harapan</v>
      </c>
      <c r="C37530" s="8" t="s">
        <v>14583</v>
      </c>
      <c r="D37530" s="8">
        <v>0</v>
      </c>
      <c r="E37530" s="8">
        <v>0</v>
      </c>
      <c r="F37530" s="8">
        <v>4970</v>
      </c>
    </row>
    <row r="37531" spans="1:6" ht="12.75">
      <c r="A37531" s="8">
        <v>43887.628807870366</v>
      </c>
      <c r="B37531" s="8" t="str">
        <f>HYPERLINK("https://twitter.com/covesiacom","@covesiacom")</f>
        <v>@covesiacom</v>
      </c>
      <c r="C37531" s="8" t="s">
        <v>14584</v>
      </c>
      <c r="D37531" s="8">
        <v>0</v>
      </c>
      <c r="E37531" s="8">
        <v>0</v>
      </c>
      <c r="F37531" s="8">
        <v>6174</v>
      </c>
    </row>
    <row r="37532" spans="1:6" ht="12.75">
      <c r="A37532" s="8">
        <v>43887.628750000003</v>
      </c>
      <c r="B37532" s="8" t="str">
        <f t="shared" ref="B37532:B37533" si="565">HYPERLINK("https://twitter.com/kbharianaceh","@kbharianaceh")</f>
        <v>@kbharianaceh</v>
      </c>
      <c r="C37532" s="8" t="s">
        <v>14585</v>
      </c>
      <c r="D37532" s="8">
        <v>0</v>
      </c>
      <c r="E37532" s="8">
        <v>0</v>
      </c>
      <c r="F37532" s="8">
        <v>1192</v>
      </c>
    </row>
    <row r="37533" spans="1:6" ht="12.75">
      <c r="A37533" s="8">
        <v>43887.62872685185</v>
      </c>
      <c r="B37533" s="8" t="str">
        <f t="shared" si="565"/>
        <v>@kbharianaceh</v>
      </c>
      <c r="C37533" s="8" t="s">
        <v>14586</v>
      </c>
      <c r="D37533" s="8">
        <v>0</v>
      </c>
      <c r="E37533" s="8">
        <v>0</v>
      </c>
      <c r="F37533" s="8">
        <v>1192</v>
      </c>
    </row>
    <row r="37534" spans="1:6" ht="12.75">
      <c r="A37534" s="8">
        <v>43887.628634259258</v>
      </c>
      <c r="B37534" s="8" t="str">
        <f>HYPERLINK("https://twitter.com/noer_arians","@noer_arians")</f>
        <v>@noer_arians</v>
      </c>
      <c r="C37534" s="8" t="s">
        <v>13365</v>
      </c>
      <c r="D37534" s="8">
        <v>787</v>
      </c>
      <c r="E37534" s="8">
        <v>0</v>
      </c>
      <c r="F37534" s="8">
        <v>140</v>
      </c>
    </row>
    <row r="37535" spans="1:6" ht="12.75">
      <c r="A37535" s="8">
        <v>43887.628576388888</v>
      </c>
      <c r="B37535" s="8" t="str">
        <f>HYPERLINK("https://twitter.com/joejoe_tango","@joejoe_tango")</f>
        <v>@joejoe_tango</v>
      </c>
      <c r="C37535" s="8" t="s">
        <v>14587</v>
      </c>
      <c r="D37535" s="8">
        <v>0</v>
      </c>
      <c r="E37535" s="8">
        <v>0</v>
      </c>
      <c r="F37535" s="8">
        <v>4754</v>
      </c>
    </row>
    <row r="37536" spans="1:6" ht="12.75">
      <c r="A37536" s="8">
        <v>43887.628483796296</v>
      </c>
      <c r="B37536" s="8" t="str">
        <f>HYPERLINK("https://twitter.com/Dra_satria","@Dra_satria")</f>
        <v>@Dra_satria</v>
      </c>
      <c r="C37536" s="8" t="s">
        <v>13365</v>
      </c>
      <c r="D37536" s="8">
        <v>787</v>
      </c>
      <c r="E37536" s="8">
        <v>0</v>
      </c>
      <c r="F37536" s="8">
        <v>1492</v>
      </c>
    </row>
    <row r="37537" spans="1:6" ht="12.75">
      <c r="A37537" s="8">
        <v>43887.628483796296</v>
      </c>
      <c r="B37537" s="8" t="str">
        <f>HYPERLINK("https://twitter.com/TediteaTedi","@TediteaTedi")</f>
        <v>@TediteaTedi</v>
      </c>
      <c r="C37537" s="8" t="s">
        <v>13365</v>
      </c>
      <c r="D37537" s="8">
        <v>787</v>
      </c>
      <c r="E37537" s="8">
        <v>0</v>
      </c>
      <c r="F37537" s="8">
        <v>65</v>
      </c>
    </row>
    <row r="37538" spans="1:6" ht="12.75">
      <c r="A37538" s="8">
        <v>43887.62767361111</v>
      </c>
      <c r="B37538" s="8" t="str">
        <f>HYPERLINK("https://twitter.com/asundamai","@asundamai")</f>
        <v>@asundamai</v>
      </c>
      <c r="C37538" s="8" t="s">
        <v>14588</v>
      </c>
      <c r="D37538" s="8">
        <v>0</v>
      </c>
      <c r="E37538" s="8">
        <v>0</v>
      </c>
      <c r="F37538" s="8">
        <v>1901</v>
      </c>
    </row>
    <row r="37539" spans="1:6" ht="12.75">
      <c r="A37539" s="8">
        <v>43887.626469907409</v>
      </c>
      <c r="B37539" s="8" t="str">
        <f>HYPERLINK("https://twitter.com/merdekadotcom","@merdekadotcom")</f>
        <v>@merdekadotcom</v>
      </c>
      <c r="C37539" s="8" t="s">
        <v>14589</v>
      </c>
      <c r="D37539" s="8">
        <v>0</v>
      </c>
      <c r="E37539" s="8">
        <v>0</v>
      </c>
      <c r="F37539" s="8">
        <v>230850</v>
      </c>
    </row>
    <row r="37540" spans="1:6" ht="12.75">
      <c r="A37540" s="8">
        <v>43887.626400462963</v>
      </c>
      <c r="B37540" s="8" t="str">
        <f>HYPERLINK("https://twitter.com/rosanindyas","@rosanindyas")</f>
        <v>@rosanindyas</v>
      </c>
      <c r="C37540" s="8" t="s">
        <v>2941</v>
      </c>
      <c r="D37540" s="8">
        <v>1011</v>
      </c>
      <c r="E37540" s="8">
        <v>0</v>
      </c>
      <c r="F37540" s="8">
        <v>21</v>
      </c>
    </row>
    <row r="37541" spans="1:6" ht="12.75">
      <c r="A37541" s="8">
        <v>43887.626331018517</v>
      </c>
      <c r="B37541" s="8" t="str">
        <f>HYPERLINK("https://twitter.com/falsepromise04","@falsepromise04")</f>
        <v>@falsepromise04</v>
      </c>
      <c r="C37541" s="8" t="s">
        <v>14590</v>
      </c>
      <c r="D37541" s="8">
        <v>0</v>
      </c>
      <c r="E37541" s="8">
        <v>0</v>
      </c>
      <c r="F37541" s="8">
        <v>136</v>
      </c>
    </row>
    <row r="37542" spans="1:6" ht="12.75">
      <c r="A37542" s="8">
        <v>43887.626099537039</v>
      </c>
      <c r="B37542" s="8" t="str">
        <f>HYPERLINK("https://twitter.com/HeechulB","@HeechulB")</f>
        <v>@HeechulB</v>
      </c>
      <c r="C37542" s="8" t="s">
        <v>14591</v>
      </c>
      <c r="D37542" s="8">
        <v>12</v>
      </c>
      <c r="E37542" s="8">
        <v>0</v>
      </c>
      <c r="F37542" s="8">
        <v>39</v>
      </c>
    </row>
    <row r="37543" spans="1:6" ht="12.75">
      <c r="A37543" s="8">
        <v>43887.626030092593</v>
      </c>
      <c r="B37543" s="8" t="str">
        <f>HYPERLINK("https://twitter.com/JamalatulM","@JamalatulM")</f>
        <v>@JamalatulM</v>
      </c>
      <c r="C37543" s="8" t="s">
        <v>593</v>
      </c>
      <c r="D37543" s="8">
        <v>208</v>
      </c>
      <c r="E37543" s="8">
        <v>0</v>
      </c>
      <c r="F37543" s="8">
        <v>66</v>
      </c>
    </row>
    <row r="37544" spans="1:6" ht="12.75">
      <c r="A37544" s="8">
        <v>43887.625821759255</v>
      </c>
      <c r="B37544" s="8" t="str">
        <f>HYPERLINK("https://twitter.com/ArtiHar","@ArtiHar")</f>
        <v>@ArtiHar</v>
      </c>
      <c r="C37544" s="8" t="s">
        <v>14000</v>
      </c>
      <c r="D37544" s="8">
        <v>19</v>
      </c>
      <c r="E37544" s="8">
        <v>0</v>
      </c>
      <c r="F37544" s="8">
        <v>614</v>
      </c>
    </row>
    <row r="37545" spans="1:6" ht="12.75">
      <c r="A37545" s="8">
        <v>43887.625706018516</v>
      </c>
      <c r="B37545" s="8" t="str">
        <f>HYPERLINK("https://twitter.com/_khasmah","@_khasmah")</f>
        <v>@_khasmah</v>
      </c>
      <c r="C37545" s="8" t="s">
        <v>593</v>
      </c>
      <c r="D37545" s="8">
        <v>208</v>
      </c>
      <c r="E37545" s="8">
        <v>0</v>
      </c>
      <c r="F37545" s="8">
        <v>689</v>
      </c>
    </row>
    <row r="37546" spans="1:6" ht="12.75">
      <c r="A37546" s="8">
        <v>43887.625659722224</v>
      </c>
      <c r="B37546" s="8" t="str">
        <f>HYPERLINK("https://twitter.com/ReiMichie99","@ReiMichie99")</f>
        <v>@ReiMichie99</v>
      </c>
      <c r="C37546" s="8" t="s">
        <v>14592</v>
      </c>
      <c r="D37546" s="8">
        <v>0</v>
      </c>
      <c r="E37546" s="8">
        <v>0</v>
      </c>
      <c r="F37546" s="8">
        <v>41</v>
      </c>
    </row>
    <row r="37547" spans="1:6" ht="12.75">
      <c r="A37547" s="8">
        <v>43887.625509259262</v>
      </c>
      <c r="B37547" s="8" t="str">
        <f>HYPERLINK("https://twitter.com/kifli127","@kifli127")</f>
        <v>@kifli127</v>
      </c>
      <c r="C37547" s="8" t="s">
        <v>14483</v>
      </c>
      <c r="D37547" s="8">
        <v>2</v>
      </c>
      <c r="E37547" s="8">
        <v>0</v>
      </c>
      <c r="F37547" s="8">
        <v>5851</v>
      </c>
    </row>
    <row r="37548" spans="1:6" ht="12.75">
      <c r="A37548" s="8">
        <v>43887.625231481477</v>
      </c>
      <c r="B37548" s="8" t="str">
        <f>HYPERLINK("https://twitter.com/mediaindonesia","@mediaindonesia")</f>
        <v>@mediaindonesia</v>
      </c>
      <c r="C37548" s="8" t="s">
        <v>14593</v>
      </c>
      <c r="D37548" s="8">
        <v>0</v>
      </c>
      <c r="E37548" s="8">
        <v>1</v>
      </c>
      <c r="F37548" s="8">
        <v>1418811</v>
      </c>
    </row>
    <row r="37549" spans="1:6" ht="12.75">
      <c r="A37549" s="8">
        <v>43887.625150462962</v>
      </c>
      <c r="B37549" s="8" t="str">
        <f>HYPERLINK("https://twitter.com/gomuslim","@gomuslim")</f>
        <v>@gomuslim</v>
      </c>
      <c r="C37549" s="8" t="s">
        <v>14594</v>
      </c>
      <c r="D37549" s="8">
        <v>0</v>
      </c>
      <c r="E37549" s="8">
        <v>0</v>
      </c>
      <c r="F37549" s="8">
        <v>1232</v>
      </c>
    </row>
    <row r="37550" spans="1:6" ht="12.75">
      <c r="A37550" s="8">
        <v>43887.625092592592</v>
      </c>
      <c r="B37550" s="8" t="str">
        <f>HYPERLINK("https://twitter.com/tisss12","@tisss12")</f>
        <v>@tisss12</v>
      </c>
      <c r="C37550" s="8" t="s">
        <v>2940</v>
      </c>
      <c r="D37550" s="8">
        <v>2634</v>
      </c>
      <c r="E37550" s="8">
        <v>0</v>
      </c>
      <c r="F37550" s="8">
        <v>437</v>
      </c>
    </row>
    <row r="37551" spans="1:6" ht="12.75">
      <c r="A37551" s="8">
        <v>43887.625</v>
      </c>
      <c r="B37551" s="8" t="str">
        <f>HYPERLINK("https://twitter.com/lensaRTV","@lensaRTV")</f>
        <v>@lensaRTV</v>
      </c>
      <c r="C37551" s="8" t="s">
        <v>14595</v>
      </c>
      <c r="D37551" s="8">
        <v>0</v>
      </c>
      <c r="E37551" s="8">
        <v>0</v>
      </c>
      <c r="F37551" s="8">
        <v>9513</v>
      </c>
    </row>
    <row r="37552" spans="1:6" ht="12.75">
      <c r="A37552" s="8">
        <v>43887.624803240746</v>
      </c>
      <c r="B37552" s="8" t="str">
        <f>HYPERLINK("https://twitter.com/akusayah2","@akusayah2")</f>
        <v>@akusayah2</v>
      </c>
      <c r="C37552" s="8" t="s">
        <v>14596</v>
      </c>
      <c r="D37552" s="8">
        <v>8</v>
      </c>
      <c r="E37552" s="8">
        <v>0</v>
      </c>
      <c r="F37552" s="8">
        <v>13</v>
      </c>
    </row>
    <row r="37553" spans="1:6" ht="12.75">
      <c r="A37553" s="8">
        <v>43887.624652777777</v>
      </c>
      <c r="B37553" s="8" t="str">
        <f>HYPERLINK("https://twitter.com/nanuths","@nanuths")</f>
        <v>@nanuths</v>
      </c>
      <c r="C37553" s="8" t="s">
        <v>14000</v>
      </c>
      <c r="D37553" s="8">
        <v>19</v>
      </c>
      <c r="E37553" s="8">
        <v>0</v>
      </c>
      <c r="F37553" s="8">
        <v>653</v>
      </c>
    </row>
    <row r="37554" spans="1:6" ht="12.75">
      <c r="A37554" s="8">
        <v>43887.62462962963</v>
      </c>
      <c r="B37554" s="8" t="str">
        <f>HYPERLINK("https://twitter.com/hasna_fzyyh","@hasna_fzyyh")</f>
        <v>@hasna_fzyyh</v>
      </c>
      <c r="C37554" s="8" t="s">
        <v>593</v>
      </c>
      <c r="D37554" s="8">
        <v>208</v>
      </c>
      <c r="E37554" s="8">
        <v>0</v>
      </c>
      <c r="F37554" s="8">
        <v>577</v>
      </c>
    </row>
    <row r="37555" spans="1:6" ht="12.75">
      <c r="A37555" s="8">
        <v>43887.624618055561</v>
      </c>
      <c r="B37555" s="8" t="str">
        <f>HYPERLINK("https://twitter.com/jeckun","@jeckun")</f>
        <v>@jeckun</v>
      </c>
      <c r="C37555" s="8" t="s">
        <v>13365</v>
      </c>
      <c r="D37555" s="8">
        <v>787</v>
      </c>
      <c r="E37555" s="8">
        <v>0</v>
      </c>
      <c r="F37555" s="8">
        <v>104</v>
      </c>
    </row>
    <row r="37556" spans="1:6" ht="12.75">
      <c r="A37556" s="8">
        <v>43887.624618055561</v>
      </c>
      <c r="B37556" s="8" t="str">
        <f>HYPERLINK("https://twitter.com/dRewChristianJr","@dRewChristianJr")</f>
        <v>@dRewChristianJr</v>
      </c>
      <c r="C37556" s="8" t="s">
        <v>593</v>
      </c>
      <c r="D37556" s="8">
        <v>208</v>
      </c>
      <c r="E37556" s="8">
        <v>0</v>
      </c>
      <c r="F37556" s="8">
        <v>3042</v>
      </c>
    </row>
    <row r="37557" spans="1:6" ht="12.75">
      <c r="A37557" s="8">
        <v>43887.624097222222</v>
      </c>
      <c r="B37557" s="8" t="str">
        <f>HYPERLINK("https://twitter.com/KATADATAcoid","@KATADATAcoid")</f>
        <v>@KATADATAcoid</v>
      </c>
      <c r="C37557" s="8" t="s">
        <v>14597</v>
      </c>
      <c r="D37557" s="8">
        <v>0</v>
      </c>
      <c r="E37557" s="8">
        <v>1</v>
      </c>
      <c r="F37557" s="8">
        <v>41434</v>
      </c>
    </row>
    <row r="37558" spans="1:6" ht="12.75">
      <c r="A37558" s="8">
        <v>43887.623831018514</v>
      </c>
      <c r="B37558" s="8" t="str">
        <f>HYPERLINK("https://twitter.com/wisanggeni_084","@wisanggeni_084")</f>
        <v>@wisanggeni_084</v>
      </c>
      <c r="C37558" s="8" t="s">
        <v>14598</v>
      </c>
      <c r="D37558" s="8">
        <v>1</v>
      </c>
      <c r="E37558" s="8">
        <v>0</v>
      </c>
      <c r="F37558" s="8">
        <v>16765</v>
      </c>
    </row>
    <row r="37559" spans="1:6" ht="12.75">
      <c r="A37559" s="8">
        <v>43887.623796296291</v>
      </c>
      <c r="B37559" s="8" t="str">
        <f>HYPERLINK("https://twitter.com/JubirPresidenRI","@JubirPresidenRI")</f>
        <v>@JubirPresidenRI</v>
      </c>
      <c r="C37559" s="8" t="s">
        <v>14599</v>
      </c>
      <c r="D37559" s="8">
        <v>0</v>
      </c>
      <c r="E37559" s="8">
        <v>1</v>
      </c>
      <c r="F37559" s="8">
        <v>476</v>
      </c>
    </row>
    <row r="37560" spans="1:6" ht="12.75">
      <c r="A37560" s="8">
        <v>43887.623761574076</v>
      </c>
      <c r="B37560" s="8" t="str">
        <f>HYPERLINK("https://twitter.com/haro_arnold","@haro_arnold")</f>
        <v>@haro_arnold</v>
      </c>
      <c r="C37560" s="8" t="s">
        <v>14000</v>
      </c>
      <c r="D37560" s="8">
        <v>19</v>
      </c>
      <c r="E37560" s="8">
        <v>0</v>
      </c>
      <c r="F37560" s="8">
        <v>4595</v>
      </c>
    </row>
    <row r="37561" spans="1:6" ht="12.75">
      <c r="A37561" s="8">
        <v>43887.623622685191</v>
      </c>
      <c r="B37561" s="8" t="str">
        <f>HYPERLINK("https://twitter.com/toetihs","@toetihs")</f>
        <v>@toetihs</v>
      </c>
      <c r="C37561" s="8" t="s">
        <v>14600</v>
      </c>
      <c r="D37561" s="8">
        <v>21</v>
      </c>
      <c r="E37561" s="8">
        <v>0</v>
      </c>
      <c r="F37561" s="8">
        <v>33</v>
      </c>
    </row>
    <row r="37562" spans="1:6" ht="12.75">
      <c r="A37562" s="8">
        <v>43887.623449074075</v>
      </c>
      <c r="B37562" s="8" t="str">
        <f>HYPERLINK("https://twitter.com/pemikir5","@pemikir5")</f>
        <v>@pemikir5</v>
      </c>
      <c r="C37562" s="8" t="s">
        <v>14601</v>
      </c>
      <c r="D37562" s="8">
        <v>2</v>
      </c>
      <c r="E37562" s="8">
        <v>5</v>
      </c>
      <c r="F37562" s="8">
        <v>14938</v>
      </c>
    </row>
    <row r="37563" spans="1:6" ht="12.75">
      <c r="A37563" s="8">
        <v>43887.623333333337</v>
      </c>
      <c r="B37563" s="8" t="str">
        <f>HYPERLINK("https://twitter.com/Reemeora1","@Reemeora1")</f>
        <v>@Reemeora1</v>
      </c>
      <c r="C37563" s="8" t="s">
        <v>14602</v>
      </c>
      <c r="D37563" s="8">
        <v>1</v>
      </c>
      <c r="E37563" s="8">
        <v>1</v>
      </c>
      <c r="F37563" s="8">
        <v>1340</v>
      </c>
    </row>
    <row r="37564" spans="1:6" ht="12.75">
      <c r="A37564" s="8">
        <v>43887.62327546296</v>
      </c>
      <c r="B37564" s="8" t="str">
        <f>HYPERLINK("https://twitter.com/SonoraFM92","@SonoraFM92")</f>
        <v>@SonoraFM92</v>
      </c>
      <c r="C37564" s="8" t="s">
        <v>14603</v>
      </c>
      <c r="D37564" s="8">
        <v>0</v>
      </c>
      <c r="E37564" s="8">
        <v>0</v>
      </c>
      <c r="F37564" s="8">
        <v>293232</v>
      </c>
    </row>
    <row r="37565" spans="1:6" ht="12.75">
      <c r="A37565" s="8">
        <v>43887.622870370367</v>
      </c>
      <c r="B37565" s="8" t="str">
        <f>HYPERLINK("https://twitter.com/reshirese","@reshirese")</f>
        <v>@reshirese</v>
      </c>
      <c r="C37565" s="8" t="s">
        <v>2941</v>
      </c>
      <c r="D37565" s="8">
        <v>1011</v>
      </c>
      <c r="E37565" s="8">
        <v>0</v>
      </c>
      <c r="F37565" s="8">
        <v>21</v>
      </c>
    </row>
    <row r="37566" spans="1:6" ht="12.75">
      <c r="A37566" s="8">
        <v>43887.622696759259</v>
      </c>
      <c r="B37566" s="8" t="str">
        <f>HYPERLINK("https://twitter.com/TakashimaSeiji","@TakashimaSeiji")</f>
        <v>@TakashimaSeiji</v>
      </c>
      <c r="C37566" s="8" t="s">
        <v>2940</v>
      </c>
      <c r="D37566" s="8">
        <v>2634</v>
      </c>
      <c r="E37566" s="8">
        <v>0</v>
      </c>
      <c r="F37566" s="8">
        <v>365</v>
      </c>
    </row>
    <row r="37567" spans="1:6" ht="12.75">
      <c r="A37567" s="8">
        <v>43887.622592592597</v>
      </c>
      <c r="B37567" s="8" t="str">
        <f>HYPERLINK("https://twitter.com/YtHoldMe_","@YtHoldMe_")</f>
        <v>@YtHoldMe_</v>
      </c>
      <c r="C37567" s="8" t="s">
        <v>2941</v>
      </c>
      <c r="D37567" s="8">
        <v>1011</v>
      </c>
      <c r="E37567" s="8">
        <v>0</v>
      </c>
      <c r="F37567" s="8">
        <v>151</v>
      </c>
    </row>
    <row r="37568" spans="1:6" ht="12.75">
      <c r="A37568" s="8">
        <v>43887.622581018513</v>
      </c>
      <c r="B37568" s="8" t="str">
        <f>HYPERLINK("https://twitter.com/wiiiiiiiik","@wiiiiiiiik")</f>
        <v>@wiiiiiiiik</v>
      </c>
      <c r="C37568" s="8" t="s">
        <v>14604</v>
      </c>
      <c r="D37568" s="8">
        <v>0</v>
      </c>
      <c r="E37568" s="8">
        <v>0</v>
      </c>
      <c r="F37568" s="8">
        <v>162</v>
      </c>
    </row>
    <row r="37569" spans="1:6" ht="12.75">
      <c r="A37569" s="8">
        <v>43887.622083333335</v>
      </c>
      <c r="B37569" s="8" t="str">
        <f>HYPERLINK("https://twitter.com/nursazliyana","@nursazliyana")</f>
        <v>@nursazliyana</v>
      </c>
      <c r="C37569" s="8" t="s">
        <v>14605</v>
      </c>
      <c r="D37569" s="8">
        <v>1</v>
      </c>
      <c r="E37569" s="8">
        <v>0</v>
      </c>
      <c r="F37569" s="8">
        <v>204</v>
      </c>
    </row>
    <row r="37570" spans="1:6" ht="12.75">
      <c r="A37570" s="8">
        <v>43887.621666666666</v>
      </c>
      <c r="B37570" s="8" t="str">
        <f>HYPERLINK("https://twitter.com/danang_njo","@danang_njo")</f>
        <v>@danang_njo</v>
      </c>
      <c r="C37570" s="8" t="s">
        <v>14606</v>
      </c>
      <c r="D37570" s="8">
        <v>0</v>
      </c>
      <c r="E37570" s="8">
        <v>0</v>
      </c>
      <c r="F37570" s="8">
        <v>67</v>
      </c>
    </row>
    <row r="37571" spans="1:6" ht="12.75">
      <c r="A37571" s="8">
        <v>43887.621631944443</v>
      </c>
      <c r="B37571" s="8" t="str">
        <f>HYPERLINK("https://twitter.com/miyunjii","@miyunjii")</f>
        <v>@miyunjii</v>
      </c>
      <c r="C37571" s="8" t="s">
        <v>593</v>
      </c>
      <c r="D37571" s="8">
        <v>208</v>
      </c>
      <c r="E37571" s="8">
        <v>0</v>
      </c>
      <c r="F37571" s="8">
        <v>713</v>
      </c>
    </row>
    <row r="37572" spans="1:6" ht="12.75">
      <c r="A37572" s="8">
        <v>43887.621562500004</v>
      </c>
      <c r="B37572" s="8" t="str">
        <f>HYPERLINK("https://twitter.com/kompascom","@kompascom")</f>
        <v>@kompascom</v>
      </c>
      <c r="C37572" s="8" t="s">
        <v>14607</v>
      </c>
      <c r="D37572" s="8">
        <v>2</v>
      </c>
      <c r="E37572" s="8">
        <v>5</v>
      </c>
      <c r="F37572" s="8">
        <v>7513791</v>
      </c>
    </row>
    <row r="37573" spans="1:6" ht="12.75">
      <c r="A37573" s="8">
        <v>43887.621331018519</v>
      </c>
      <c r="B37573" s="8" t="str">
        <f>HYPERLINK("https://twitter.com/RikaMubarika","@RikaMubarika")</f>
        <v>@RikaMubarika</v>
      </c>
      <c r="C37573" s="8" t="s">
        <v>593</v>
      </c>
      <c r="D37573" s="8">
        <v>208</v>
      </c>
      <c r="E37573" s="8">
        <v>0</v>
      </c>
      <c r="F37573" s="8">
        <v>866</v>
      </c>
    </row>
    <row r="37574" spans="1:6" ht="12.75">
      <c r="A37574" s="8">
        <v>43887.621157407411</v>
      </c>
      <c r="B37574" s="8" t="str">
        <f>HYPERLINK("https://twitter.com/whidy_an","@whidy_an")</f>
        <v>@whidy_an</v>
      </c>
      <c r="C37574" s="8" t="s">
        <v>14608</v>
      </c>
      <c r="D37574" s="8">
        <v>0</v>
      </c>
      <c r="E37574" s="8">
        <v>0</v>
      </c>
      <c r="F37574" s="8">
        <v>1284</v>
      </c>
    </row>
    <row r="37575" spans="1:6" ht="12.75">
      <c r="A37575" s="8">
        <v>43887.621134259258</v>
      </c>
      <c r="B37575" s="8" t="str">
        <f>HYPERLINK("https://twitter.com/131kee_","@131kee_")</f>
        <v>@131kee_</v>
      </c>
      <c r="C37575" s="8" t="s">
        <v>14003</v>
      </c>
      <c r="D37575" s="8">
        <v>6</v>
      </c>
      <c r="E37575" s="8">
        <v>0</v>
      </c>
      <c r="F37575" s="8">
        <v>803</v>
      </c>
    </row>
    <row r="37576" spans="1:6" ht="12.75">
      <c r="A37576" s="8">
        <v>43887.62091435185</v>
      </c>
      <c r="B37576" s="8" t="str">
        <f>HYPERLINK("https://twitter.com/kangyogatea","@kangyogatea")</f>
        <v>@kangyogatea</v>
      </c>
      <c r="C37576" s="8" t="s">
        <v>2941</v>
      </c>
      <c r="D37576" s="8">
        <v>1011</v>
      </c>
      <c r="E37576" s="8">
        <v>0</v>
      </c>
      <c r="F37576" s="8">
        <v>385</v>
      </c>
    </row>
    <row r="37577" spans="1:6" ht="12.75">
      <c r="A37577" s="8">
        <v>43887.620891203704</v>
      </c>
      <c r="B37577" s="8" t="str">
        <f>HYPERLINK("https://twitter.com/paijowzzzz","@paijowzzzz")</f>
        <v>@paijowzzzz</v>
      </c>
      <c r="C37577" s="8" t="s">
        <v>11183</v>
      </c>
      <c r="D37577" s="8">
        <v>322</v>
      </c>
      <c r="E37577" s="8">
        <v>0</v>
      </c>
      <c r="F37577" s="8">
        <v>648</v>
      </c>
    </row>
    <row r="37578" spans="1:6" ht="12.75">
      <c r="A37578" s="8">
        <v>43887.620532407411</v>
      </c>
      <c r="B37578" s="8" t="str">
        <f>HYPERLINK("https://twitter.com/Ari3Pras","@Ari3Pras")</f>
        <v>@Ari3Pras</v>
      </c>
      <c r="C37578" s="8" t="s">
        <v>14609</v>
      </c>
      <c r="D37578" s="8">
        <v>10</v>
      </c>
      <c r="E37578" s="8">
        <v>0</v>
      </c>
      <c r="F37578" s="8">
        <v>7545</v>
      </c>
    </row>
    <row r="37579" spans="1:6" ht="12.75">
      <c r="A37579" s="8">
        <v>43887.620486111111</v>
      </c>
      <c r="B37579" s="8" t="str">
        <f>HYPERLINK("https://twitter.com/d_siunyil","@d_siunyil")</f>
        <v>@d_siunyil</v>
      </c>
      <c r="C37579" s="8" t="s">
        <v>12143</v>
      </c>
      <c r="D37579" s="8">
        <v>151</v>
      </c>
      <c r="E37579" s="8">
        <v>0</v>
      </c>
      <c r="F37579" s="8">
        <v>109</v>
      </c>
    </row>
    <row r="37580" spans="1:6" ht="12.75">
      <c r="A37580" s="8">
        <v>43887.620393518519</v>
      </c>
      <c r="B37580" s="8" t="str">
        <f>HYPERLINK("https://twitter.com/ApriliaLin","@ApriliaLin")</f>
        <v>@ApriliaLin</v>
      </c>
      <c r="C37580" s="8" t="s">
        <v>14609</v>
      </c>
      <c r="D37580" s="8">
        <v>10</v>
      </c>
      <c r="E37580" s="8">
        <v>0</v>
      </c>
      <c r="F37580" s="8">
        <v>26777</v>
      </c>
    </row>
    <row r="37581" spans="1:6" ht="12.75">
      <c r="A37581" s="8">
        <v>43887.620150462964</v>
      </c>
      <c r="B37581" s="8" t="str">
        <f>HYPERLINK("https://twitter.com/uyonable","@uyonable")</f>
        <v>@uyonable</v>
      </c>
      <c r="C37581" s="8" t="s">
        <v>12800</v>
      </c>
      <c r="D37581" s="8">
        <v>164</v>
      </c>
      <c r="E37581" s="8">
        <v>0</v>
      </c>
      <c r="F37581" s="8">
        <v>38</v>
      </c>
    </row>
    <row r="37582" spans="1:6" ht="12.75">
      <c r="A37582" s="8">
        <v>43887.620138888888</v>
      </c>
      <c r="B37582" s="8" t="str">
        <f>HYPERLINK("https://twitter.com/vidya0711","@vidya0711")</f>
        <v>@vidya0711</v>
      </c>
      <c r="C37582" s="8" t="s">
        <v>593</v>
      </c>
      <c r="D37582" s="8">
        <v>208</v>
      </c>
      <c r="E37582" s="8">
        <v>0</v>
      </c>
      <c r="F37582" s="8">
        <v>285</v>
      </c>
    </row>
    <row r="37583" spans="1:6" ht="12.75">
      <c r="A37583" s="8">
        <v>43887.619849537034</v>
      </c>
      <c r="B37583" s="8" t="str">
        <f>HYPERLINK("https://twitter.com/muhruslirasyid","@muhruslirasyid")</f>
        <v>@muhruslirasyid</v>
      </c>
      <c r="C37583" s="8" t="s">
        <v>13365</v>
      </c>
      <c r="D37583" s="8">
        <v>787</v>
      </c>
      <c r="E37583" s="8">
        <v>0</v>
      </c>
      <c r="F37583" s="8">
        <v>9</v>
      </c>
    </row>
    <row r="37584" spans="1:6" ht="12.75">
      <c r="A37584" s="8">
        <v>43887.619791666672</v>
      </c>
      <c r="B37584" s="8" t="str">
        <f>HYPERLINK("https://twitter.com/8294diyah_ro","@8294diyah_ro")</f>
        <v>@8294diyah_ro</v>
      </c>
      <c r="C37584" s="8" t="s">
        <v>13592</v>
      </c>
      <c r="D37584" s="8">
        <v>4</v>
      </c>
      <c r="E37584" s="8">
        <v>0</v>
      </c>
      <c r="F37584" s="8">
        <v>7346</v>
      </c>
    </row>
    <row r="37585" spans="1:6" ht="12.75">
      <c r="A37585" s="8">
        <v>43887.619201388894</v>
      </c>
      <c r="B37585" s="8" t="str">
        <f>HYPERLINK("https://twitter.com/her_soebijoto","@her_soebijoto")</f>
        <v>@her_soebijoto</v>
      </c>
      <c r="C37585" s="8" t="s">
        <v>14610</v>
      </c>
      <c r="D37585" s="8">
        <v>0</v>
      </c>
      <c r="E37585" s="8">
        <v>0</v>
      </c>
      <c r="F37585" s="8">
        <v>504</v>
      </c>
    </row>
    <row r="37586" spans="1:6" ht="12.75">
      <c r="A37586" s="8">
        <v>43887.618657407409</v>
      </c>
      <c r="B37586" s="8" t="str">
        <f>HYPERLINK("https://twitter.com/99garislucu","@99garislucu")</f>
        <v>@99garislucu</v>
      </c>
      <c r="C37586" s="8" t="s">
        <v>14611</v>
      </c>
      <c r="D37586" s="8">
        <v>1</v>
      </c>
      <c r="E37586" s="8">
        <v>0</v>
      </c>
      <c r="F37586" s="8">
        <v>977</v>
      </c>
    </row>
    <row r="37587" spans="1:6" ht="12.75">
      <c r="A37587" s="8">
        <v>43887.618368055555</v>
      </c>
      <c r="B37587" s="8" t="str">
        <f>HYPERLINK("https://twitter.com/teh_tariq","@teh_tariq")</f>
        <v>@teh_tariq</v>
      </c>
      <c r="C37587" s="8" t="s">
        <v>14612</v>
      </c>
      <c r="D37587" s="8">
        <v>0</v>
      </c>
      <c r="E37587" s="8">
        <v>0</v>
      </c>
      <c r="F37587" s="8">
        <v>6798</v>
      </c>
    </row>
    <row r="37588" spans="1:6" ht="12.75">
      <c r="A37588" s="8">
        <v>43887.618310185186</v>
      </c>
      <c r="B37588" s="8" t="str">
        <f>HYPERLINK("https://twitter.com/okezonenews","@okezonenews")</f>
        <v>@okezonenews</v>
      </c>
      <c r="C37588" s="8" t="s">
        <v>14613</v>
      </c>
      <c r="D37588" s="8">
        <v>0</v>
      </c>
      <c r="E37588" s="8">
        <v>1</v>
      </c>
      <c r="F37588" s="8">
        <v>1743710</v>
      </c>
    </row>
    <row r="37589" spans="1:6" ht="12.75">
      <c r="A37589" s="8">
        <v>43887.618101851855</v>
      </c>
      <c r="B37589" s="8" t="str">
        <f>HYPERLINK("https://twitter.com/KontanNews","@KontanNews")</f>
        <v>@KontanNews</v>
      </c>
      <c r="C37589" s="8" t="s">
        <v>14614</v>
      </c>
      <c r="D37589" s="8">
        <v>1</v>
      </c>
      <c r="E37589" s="8">
        <v>1</v>
      </c>
      <c r="F37589" s="8">
        <v>317395</v>
      </c>
    </row>
    <row r="37590" spans="1:6" ht="12.75">
      <c r="A37590" s="8">
        <v>43887.618078703701</v>
      </c>
      <c r="B37590" s="8" t="str">
        <f>HYPERLINK("https://twitter.com/WSetyorini2","@WSetyorini2")</f>
        <v>@WSetyorini2</v>
      </c>
      <c r="C37590" s="8" t="s">
        <v>14615</v>
      </c>
      <c r="D37590" s="8">
        <v>1</v>
      </c>
      <c r="E37590" s="8">
        <v>0</v>
      </c>
      <c r="F37590" s="8">
        <v>1163</v>
      </c>
    </row>
    <row r="37591" spans="1:6" ht="12.75">
      <c r="A37591" s="8">
        <v>43887.617986111116</v>
      </c>
      <c r="B37591" s="8" t="str">
        <f>HYPERLINK("https://twitter.com/visitortwt1","@visitortwt1")</f>
        <v>@visitortwt1</v>
      </c>
      <c r="C37591" s="8" t="s">
        <v>14071</v>
      </c>
      <c r="D37591" s="8">
        <v>8</v>
      </c>
      <c r="E37591" s="8">
        <v>0</v>
      </c>
      <c r="F37591" s="8">
        <v>410</v>
      </c>
    </row>
    <row r="37592" spans="1:6" ht="12.75">
      <c r="A37592" s="8">
        <v>43887.617986111116</v>
      </c>
      <c r="B37592" s="8" t="str">
        <f>HYPERLINK("https://twitter.com/wni_jmsri","@wni_jmsri")</f>
        <v>@wni_jmsri</v>
      </c>
      <c r="C37592" s="8" t="s">
        <v>14616</v>
      </c>
      <c r="D37592" s="8">
        <v>2</v>
      </c>
      <c r="E37592" s="8">
        <v>0</v>
      </c>
      <c r="F37592" s="8">
        <v>195</v>
      </c>
    </row>
    <row r="37593" spans="1:6" ht="12.75">
      <c r="A37593" s="8">
        <v>43887.617905092593</v>
      </c>
      <c r="B37593" s="8" t="str">
        <f>HYPERLINK("https://twitter.com/Dewie34292319","@Dewie34292319")</f>
        <v>@Dewie34292319</v>
      </c>
      <c r="C37593" s="8" t="s">
        <v>13633</v>
      </c>
      <c r="D37593" s="8">
        <v>2</v>
      </c>
      <c r="E37593" s="8">
        <v>0</v>
      </c>
      <c r="F37593" s="8">
        <v>1732</v>
      </c>
    </row>
    <row r="37594" spans="1:6" ht="12.75">
      <c r="A37594" s="8">
        <v>43887.617754629631</v>
      </c>
      <c r="B37594" s="8" t="str">
        <f>HYPERLINK("https://twitter.com/whidy_an","@whidy_an")</f>
        <v>@whidy_an</v>
      </c>
      <c r="C37594" s="8" t="s">
        <v>14617</v>
      </c>
      <c r="D37594" s="8">
        <v>0</v>
      </c>
      <c r="E37594" s="8">
        <v>1</v>
      </c>
      <c r="F37594" s="8">
        <v>1284</v>
      </c>
    </row>
    <row r="37595" spans="1:6" ht="12.75">
      <c r="A37595" s="8">
        <v>43887.6175</v>
      </c>
      <c r="B37595" s="8" t="str">
        <f>HYPERLINK("https://twitter.com/BagusAfifi","@BagusAfifi")</f>
        <v>@BagusAfifi</v>
      </c>
      <c r="C37595" s="8" t="s">
        <v>2941</v>
      </c>
      <c r="D37595" s="8">
        <v>1011</v>
      </c>
      <c r="E37595" s="8">
        <v>0</v>
      </c>
      <c r="F37595" s="8">
        <v>494</v>
      </c>
    </row>
    <row r="37596" spans="1:6" ht="12.75">
      <c r="A37596" s="8">
        <v>43887.617395833338</v>
      </c>
      <c r="B37596" s="8" t="str">
        <f>HYPERLINK("https://twitter.com/ndwer","@ndwer")</f>
        <v>@ndwer</v>
      </c>
      <c r="C37596" s="8" t="s">
        <v>2941</v>
      </c>
      <c r="D37596" s="8">
        <v>1011</v>
      </c>
      <c r="E37596" s="8">
        <v>0</v>
      </c>
      <c r="F37596" s="8">
        <v>362</v>
      </c>
    </row>
    <row r="37597" spans="1:6" ht="12.75">
      <c r="A37597" s="8">
        <v>43887.617291666669</v>
      </c>
      <c r="B37597" s="8" t="str">
        <f>HYPERLINK("https://twitter.com/joswito","@joswito")</f>
        <v>@joswito</v>
      </c>
      <c r="C37597" s="8" t="s">
        <v>14618</v>
      </c>
      <c r="D37597" s="8">
        <v>0</v>
      </c>
      <c r="E37597" s="8">
        <v>0</v>
      </c>
      <c r="F37597" s="8">
        <v>1248</v>
      </c>
    </row>
    <row r="37598" spans="1:6" ht="12.75">
      <c r="A37598" s="8">
        <v>43887.6171875</v>
      </c>
      <c r="B37598" s="8" t="str">
        <f>HYPERLINK("https://twitter.com/WartawanPensiun","@WartawanPensiun")</f>
        <v>@WartawanPensiun</v>
      </c>
      <c r="C37598" s="8" t="s">
        <v>593</v>
      </c>
      <c r="D37598" s="8">
        <v>208</v>
      </c>
      <c r="E37598" s="8">
        <v>0</v>
      </c>
      <c r="F37598" s="8">
        <v>6547</v>
      </c>
    </row>
    <row r="37599" spans="1:6" ht="12.75">
      <c r="A37599" s="8">
        <v>43887.617025462961</v>
      </c>
      <c r="B37599" s="8" t="str">
        <f>HYPERLINK("https://twitter.com/OohEva3","@OohEva3")</f>
        <v>@OohEva3</v>
      </c>
      <c r="C37599" s="8" t="s">
        <v>14619</v>
      </c>
      <c r="D37599" s="8">
        <v>0</v>
      </c>
      <c r="E37599" s="8">
        <v>0</v>
      </c>
      <c r="F37599" s="8">
        <v>231</v>
      </c>
    </row>
    <row r="37600" spans="1:6" ht="12.75">
      <c r="A37600" s="8">
        <v>43887.616666666669</v>
      </c>
      <c r="B37600" s="8" t="str">
        <f>HYPERLINK("https://twitter.com/SonoraFM92","@SonoraFM92")</f>
        <v>@SonoraFM92</v>
      </c>
      <c r="C37600" s="8" t="s">
        <v>13643</v>
      </c>
      <c r="D37600" s="8">
        <v>0</v>
      </c>
      <c r="E37600" s="8">
        <v>0</v>
      </c>
      <c r="F37600" s="8">
        <v>293232</v>
      </c>
    </row>
    <row r="37601" spans="1:6" ht="12.75">
      <c r="A37601" s="8">
        <v>43887.616203703699</v>
      </c>
      <c r="B37601" s="8" t="str">
        <f>HYPERLINK("https://twitter.com/isis_eb","@isis_eb")</f>
        <v>@isis_eb</v>
      </c>
      <c r="C37601" s="8" t="s">
        <v>14620</v>
      </c>
      <c r="D37601" s="8">
        <v>25</v>
      </c>
      <c r="E37601" s="8">
        <v>0</v>
      </c>
      <c r="F37601" s="8">
        <v>359</v>
      </c>
    </row>
    <row r="37602" spans="1:6" ht="12.75">
      <c r="A37602" s="8">
        <v>43887.616111111114</v>
      </c>
      <c r="B37602" s="8" t="str">
        <f>HYPERLINK("https://twitter.com/beritalimacom","@beritalimacom")</f>
        <v>@beritalimacom</v>
      </c>
      <c r="C37602" s="8" t="s">
        <v>14335</v>
      </c>
      <c r="D37602" s="8">
        <v>0</v>
      </c>
      <c r="E37602" s="8">
        <v>0</v>
      </c>
      <c r="F37602" s="8">
        <v>1453</v>
      </c>
    </row>
    <row r="37603" spans="1:6" ht="12.75">
      <c r="A37603" s="8">
        <v>43887.615902777776</v>
      </c>
      <c r="B37603" s="8" t="str">
        <f>HYPERLINK("https://twitter.com/andrirahmat77","@andrirahmat77")</f>
        <v>@andrirahmat77</v>
      </c>
      <c r="C37603" s="8" t="s">
        <v>14621</v>
      </c>
      <c r="D37603" s="8">
        <v>0</v>
      </c>
      <c r="E37603" s="8">
        <v>0</v>
      </c>
      <c r="F37603" s="8">
        <v>82</v>
      </c>
    </row>
    <row r="37604" spans="1:6" ht="12.75">
      <c r="A37604" s="8">
        <v>43887.615787037037</v>
      </c>
      <c r="B37604" s="8" t="str">
        <f>HYPERLINK("https://twitter.com/Indrapurnadi","@Indrapurnadi")</f>
        <v>@Indrapurnadi</v>
      </c>
      <c r="C37604" s="8" t="s">
        <v>13365</v>
      </c>
      <c r="D37604" s="8">
        <v>787</v>
      </c>
      <c r="E37604" s="8">
        <v>0</v>
      </c>
      <c r="F37604" s="8">
        <v>1011</v>
      </c>
    </row>
    <row r="37605" spans="1:6" ht="12.75">
      <c r="A37605" s="8">
        <v>43887.61555555556</v>
      </c>
      <c r="B37605" s="8" t="str">
        <f>HYPERLINK("https://twitter.com/lingsirIATP","@lingsirIATP")</f>
        <v>@lingsirIATP</v>
      </c>
      <c r="C37605" s="8" t="s">
        <v>14622</v>
      </c>
      <c r="D37605" s="8">
        <v>0</v>
      </c>
      <c r="E37605" s="8">
        <v>1</v>
      </c>
      <c r="F37605" s="8">
        <v>959</v>
      </c>
    </row>
    <row r="37606" spans="1:6" ht="12.75">
      <c r="A37606" s="8">
        <v>43887.615335648152</v>
      </c>
      <c r="B37606" s="8" t="str">
        <f>HYPERLINK("https://twitter.com/LaingenLisa","@LaingenLisa")</f>
        <v>@LaingenLisa</v>
      </c>
      <c r="C37606" s="8" t="s">
        <v>14071</v>
      </c>
      <c r="D37606" s="8">
        <v>8</v>
      </c>
      <c r="E37606" s="8">
        <v>0</v>
      </c>
      <c r="F37606" s="8">
        <v>3438</v>
      </c>
    </row>
    <row r="37607" spans="1:6" ht="12.75">
      <c r="A37607" s="8">
        <v>43887.615324074075</v>
      </c>
      <c r="B37607" s="8" t="str">
        <f>HYPERLINK("https://twitter.com/quantxmleap","@quantxmleap")</f>
        <v>@quantxmleap</v>
      </c>
      <c r="C37607" s="8" t="s">
        <v>593</v>
      </c>
      <c r="D37607" s="8">
        <v>208</v>
      </c>
      <c r="E37607" s="8">
        <v>0</v>
      </c>
      <c r="F37607" s="8">
        <v>641</v>
      </c>
    </row>
    <row r="37608" spans="1:6" ht="12.75">
      <c r="A37608" s="8">
        <v>43887.615023148144</v>
      </c>
      <c r="B37608" s="8" t="str">
        <f>HYPERLINK("https://twitter.com/januryanur1226","@januryanur1226")</f>
        <v>@januryanur1226</v>
      </c>
      <c r="C37608" s="8" t="s">
        <v>14623</v>
      </c>
      <c r="D37608" s="8">
        <v>0</v>
      </c>
      <c r="E37608" s="8">
        <v>1</v>
      </c>
      <c r="F37608" s="8">
        <v>1813</v>
      </c>
    </row>
    <row r="37609" spans="1:6" ht="12.75">
      <c r="A37609" s="8">
        <v>43887.614988425921</v>
      </c>
      <c r="B37609" s="8" t="str">
        <f>HYPERLINK("https://twitter.com/Kirashyan","@Kirashyan")</f>
        <v>@Kirashyan</v>
      </c>
      <c r="C37609" s="8" t="s">
        <v>14106</v>
      </c>
      <c r="D37609" s="8">
        <v>151</v>
      </c>
      <c r="E37609" s="8">
        <v>0</v>
      </c>
      <c r="F37609" s="8">
        <v>282</v>
      </c>
    </row>
    <row r="37610" spans="1:6" ht="12.75">
      <c r="A37610" s="8">
        <v>43887.614849537036</v>
      </c>
      <c r="B37610" s="8" t="str">
        <f>HYPERLINK("https://twitter.com/jakartasatucom","@jakartasatucom")</f>
        <v>@jakartasatucom</v>
      </c>
      <c r="C37610" s="8" t="s">
        <v>14624</v>
      </c>
      <c r="D37610" s="8">
        <v>0</v>
      </c>
      <c r="E37610" s="8">
        <v>0</v>
      </c>
      <c r="F37610" s="8">
        <v>201</v>
      </c>
    </row>
    <row r="37611" spans="1:6" ht="12.75">
      <c r="A37611" s="8">
        <v>43887.614745370374</v>
      </c>
      <c r="B37611" s="8" t="str">
        <f>HYPERLINK("https://twitter.com/Nancha111","@Nancha111")</f>
        <v>@Nancha111</v>
      </c>
      <c r="C37611" s="8" t="s">
        <v>2941</v>
      </c>
      <c r="D37611" s="8">
        <v>1011</v>
      </c>
      <c r="E37611" s="8">
        <v>0</v>
      </c>
      <c r="F37611" s="8">
        <v>0</v>
      </c>
    </row>
    <row r="37612" spans="1:6" ht="12.75">
      <c r="A37612" s="8">
        <v>43887.614664351851</v>
      </c>
      <c r="B37612" s="8" t="str">
        <f>HYPERLINK("https://twitter.com/Kirashyan","@Kirashyan")</f>
        <v>@Kirashyan</v>
      </c>
      <c r="C37612" s="8" t="s">
        <v>13834</v>
      </c>
      <c r="D37612" s="8">
        <v>167</v>
      </c>
      <c r="E37612" s="8">
        <v>0</v>
      </c>
      <c r="F37612" s="8">
        <v>282</v>
      </c>
    </row>
    <row r="37613" spans="1:6" ht="12.75">
      <c r="A37613" s="8">
        <v>43887.614664351851</v>
      </c>
      <c r="B37613" s="8" t="str">
        <f>HYPERLINK("https://twitter.com/GATRA_News","@GATRA_News")</f>
        <v>@GATRA_News</v>
      </c>
      <c r="C37613" s="8" t="s">
        <v>14625</v>
      </c>
      <c r="D37613" s="8">
        <v>0</v>
      </c>
      <c r="E37613" s="8">
        <v>0</v>
      </c>
      <c r="F37613" s="8">
        <v>23148</v>
      </c>
    </row>
    <row r="37614" spans="1:6" ht="12.75">
      <c r="A37614" s="8">
        <v>43887.590150462958</v>
      </c>
      <c r="B37614" s="8" t="str">
        <f>HYPERLINK("https://twitter.com/pekerja_malam2","@pekerja_malam2")</f>
        <v>@pekerja_malam2</v>
      </c>
      <c r="C37614" s="8" t="s">
        <v>14626</v>
      </c>
      <c r="D37614" s="8">
        <v>1</v>
      </c>
      <c r="E37614" s="8">
        <v>0</v>
      </c>
      <c r="F37614" s="8">
        <v>562</v>
      </c>
    </row>
    <row r="37615" spans="1:6" ht="12.75">
      <c r="A37615" s="8">
        <v>43887.590069444443</v>
      </c>
      <c r="B37615" s="8" t="str">
        <f>HYPERLINK("https://twitter.com/jodi_wirawan","@jodi_wirawan")</f>
        <v>@jodi_wirawan</v>
      </c>
      <c r="C37615" s="8" t="s">
        <v>14627</v>
      </c>
      <c r="D37615" s="8">
        <v>2</v>
      </c>
      <c r="E37615" s="8">
        <v>0</v>
      </c>
      <c r="F37615" s="8">
        <v>151</v>
      </c>
    </row>
    <row r="37616" spans="1:6" ht="12.75">
      <c r="A37616" s="8">
        <v>43887.59</v>
      </c>
      <c r="B37616" s="8" t="str">
        <f>HYPERLINK("https://twitter.com/ajihado","@ajihado")</f>
        <v>@ajihado</v>
      </c>
      <c r="C37616" s="8" t="s">
        <v>14628</v>
      </c>
      <c r="D37616" s="8">
        <v>0</v>
      </c>
      <c r="E37616" s="8">
        <v>0</v>
      </c>
      <c r="F37616" s="8">
        <v>5</v>
      </c>
    </row>
    <row r="37617" spans="1:6" ht="12.75">
      <c r="A37617" s="8">
        <v>43887.589594907404</v>
      </c>
      <c r="B37617" s="8" t="str">
        <f>HYPERLINK("https://twitter.com/Metro_TV","@Metro_TV")</f>
        <v>@Metro_TV</v>
      </c>
      <c r="C37617" s="8" t="s">
        <v>14629</v>
      </c>
      <c r="D37617" s="8">
        <v>0</v>
      </c>
      <c r="E37617" s="8">
        <v>0</v>
      </c>
      <c r="F37617" s="8">
        <v>10513575</v>
      </c>
    </row>
    <row r="37618" spans="1:6" ht="12.75">
      <c r="A37618" s="8">
        <v>43887.589432870373</v>
      </c>
      <c r="B37618" s="8" t="str">
        <f>HYPERLINK("https://twitter.com/Beritasatu","@Beritasatu")</f>
        <v>@Beritasatu</v>
      </c>
      <c r="C37618" s="8" t="s">
        <v>14630</v>
      </c>
      <c r="D37618" s="8">
        <v>1</v>
      </c>
      <c r="E37618" s="8">
        <v>1</v>
      </c>
      <c r="F37618" s="8">
        <v>616176</v>
      </c>
    </row>
    <row r="37619" spans="1:6" ht="12.75">
      <c r="A37619" s="8">
        <v>43887.589282407411</v>
      </c>
      <c r="B37619" s="8" t="str">
        <f>HYPERLINK("https://twitter.com/titoAERO","@titoAERO")</f>
        <v>@titoAERO</v>
      </c>
      <c r="C37619" s="8" t="s">
        <v>593</v>
      </c>
      <c r="D37619" s="8">
        <v>173</v>
      </c>
      <c r="E37619" s="8">
        <v>0</v>
      </c>
      <c r="F37619" s="8">
        <v>2412</v>
      </c>
    </row>
    <row r="37620" spans="1:6" ht="12.75">
      <c r="A37620" s="8">
        <v>43887.588645833333</v>
      </c>
      <c r="B37620" s="8" t="str">
        <f>HYPERLINK("https://twitter.com/ardigung","@ardigung")</f>
        <v>@ardigung</v>
      </c>
      <c r="C37620" s="8" t="s">
        <v>2941</v>
      </c>
      <c r="D37620" s="8">
        <v>993</v>
      </c>
      <c r="E37620" s="8">
        <v>0</v>
      </c>
      <c r="F37620" s="8">
        <v>362</v>
      </c>
    </row>
    <row r="37621" spans="1:6" ht="12.75">
      <c r="A37621" s="8">
        <v>43887.588055555556</v>
      </c>
      <c r="B37621" s="8" t="str">
        <f>HYPERLINK("https://twitter.com/kmrsjmt","@kmrsjmt")</f>
        <v>@kmrsjmt</v>
      </c>
      <c r="C37621" s="8" t="s">
        <v>14631</v>
      </c>
      <c r="D37621" s="8">
        <v>0</v>
      </c>
      <c r="E37621" s="8">
        <v>0</v>
      </c>
      <c r="F37621" s="8">
        <v>45</v>
      </c>
    </row>
    <row r="37622" spans="1:6" ht="12.75">
      <c r="A37622" s="8">
        <v>43887.588009259256</v>
      </c>
      <c r="B37622" s="8" t="str">
        <f>HYPERLINK("https://twitter.com/OanTimor5","@OanTimor5")</f>
        <v>@OanTimor5</v>
      </c>
      <c r="C37622" s="8" t="s">
        <v>14000</v>
      </c>
      <c r="D37622" s="8">
        <v>11</v>
      </c>
      <c r="E37622" s="8">
        <v>0</v>
      </c>
      <c r="F37622" s="8">
        <v>74</v>
      </c>
    </row>
    <row r="37623" spans="1:6" ht="12.75">
      <c r="A37623" s="8">
        <v>43887.587673611109</v>
      </c>
      <c r="B37623" s="8" t="str">
        <f>HYPERLINK("https://twitter.com/sunarto2009","@sunarto2009")</f>
        <v>@sunarto2009</v>
      </c>
      <c r="C37623" s="8" t="s">
        <v>12143</v>
      </c>
      <c r="D37623" s="8">
        <v>136</v>
      </c>
      <c r="E37623" s="8">
        <v>0</v>
      </c>
      <c r="F37623" s="8">
        <v>234</v>
      </c>
    </row>
    <row r="37624" spans="1:6" ht="12.75">
      <c r="A37624" s="8">
        <v>43887.58756944444</v>
      </c>
      <c r="B37624" s="8" t="str">
        <f>HYPERLINK("https://twitter.com/konewb","@konewb")</f>
        <v>@konewb</v>
      </c>
      <c r="C37624" s="8" t="s">
        <v>593</v>
      </c>
      <c r="D37624" s="8">
        <v>173</v>
      </c>
      <c r="E37624" s="8">
        <v>0</v>
      </c>
      <c r="F37624" s="8">
        <v>10</v>
      </c>
    </row>
    <row r="37625" spans="1:6" ht="12.75">
      <c r="A37625" s="8">
        <v>43887.587210648147</v>
      </c>
      <c r="B37625" s="8" t="str">
        <f>HYPERLINK("https://twitter.com/Mr_wan2","@Mr_wan2")</f>
        <v>@Mr_wan2</v>
      </c>
      <c r="C37625" s="8" t="s">
        <v>13365</v>
      </c>
      <c r="D37625" s="8">
        <v>772</v>
      </c>
      <c r="E37625" s="8">
        <v>0</v>
      </c>
      <c r="F37625" s="8">
        <v>445</v>
      </c>
    </row>
    <row r="37626" spans="1:6" ht="12.75">
      <c r="A37626" s="8">
        <v>43887.587199074071</v>
      </c>
      <c r="B37626" s="8" t="str">
        <f>HYPERLINK("https://twitter.com/KompasTV","@KompasTV")</f>
        <v>@KompasTV</v>
      </c>
      <c r="C37626" s="8" t="s">
        <v>14632</v>
      </c>
      <c r="D37626" s="8">
        <v>0</v>
      </c>
      <c r="E37626" s="8">
        <v>1</v>
      </c>
      <c r="F37626" s="8">
        <v>2949240</v>
      </c>
    </row>
    <row r="37627" spans="1:6" ht="12.75">
      <c r="A37627" s="8">
        <v>43887.587199074071</v>
      </c>
      <c r="B37627" s="8" t="str">
        <f>HYPERLINK("https://twitter.com/IamRrrr","@IamRrrr")</f>
        <v>@IamRrrr</v>
      </c>
      <c r="C37627" s="8" t="s">
        <v>14633</v>
      </c>
      <c r="D37627" s="8">
        <v>3</v>
      </c>
      <c r="E37627" s="8">
        <v>0</v>
      </c>
      <c r="F37627" s="8">
        <v>93</v>
      </c>
    </row>
    <row r="37628" spans="1:6" ht="12.75">
      <c r="A37628" s="8">
        <v>43887.587187500001</v>
      </c>
      <c r="B37628" s="8" t="str">
        <f>HYPERLINK("https://twitter.com/pikiran_rakyat","@pikiran_rakyat")</f>
        <v>@pikiran_rakyat</v>
      </c>
      <c r="C37628" s="8" t="s">
        <v>14634</v>
      </c>
      <c r="D37628" s="8">
        <v>0</v>
      </c>
      <c r="E37628" s="8">
        <v>0</v>
      </c>
      <c r="F37628" s="8">
        <v>412969</v>
      </c>
    </row>
    <row r="37629" spans="1:6" ht="12.75">
      <c r="A37629" s="8">
        <v>43887.587175925924</v>
      </c>
      <c r="B37629" s="8" t="str">
        <f>HYPERLINK("https://twitter.com/vmiraove","@vmiraove")</f>
        <v>@vmiraove</v>
      </c>
      <c r="C37629" s="8" t="s">
        <v>593</v>
      </c>
      <c r="D37629" s="8">
        <v>173</v>
      </c>
      <c r="E37629" s="8">
        <v>0</v>
      </c>
      <c r="F37629" s="8">
        <v>1204</v>
      </c>
    </row>
    <row r="37630" spans="1:6" ht="12.75">
      <c r="A37630" s="8">
        <v>43887.586793981478</v>
      </c>
      <c r="B37630" s="8" t="str">
        <f>HYPERLINK("https://twitter.com/cyffyn","@cyffyn")</f>
        <v>@cyffyn</v>
      </c>
      <c r="C37630" s="8" t="s">
        <v>14635</v>
      </c>
      <c r="D37630" s="8">
        <v>0</v>
      </c>
      <c r="E37630" s="8">
        <v>0</v>
      </c>
      <c r="F37630" s="8">
        <v>22</v>
      </c>
    </row>
    <row r="37631" spans="1:6" ht="12.75">
      <c r="A37631" s="8">
        <v>43887.586747685185</v>
      </c>
      <c r="B37631" s="8" t="str">
        <f>HYPERLINK("https://twitter.com/hanifhisbulloh","@hanifhisbulloh")</f>
        <v>@hanifhisbulloh</v>
      </c>
      <c r="C37631" s="8" t="s">
        <v>2941</v>
      </c>
      <c r="D37631" s="8">
        <v>993</v>
      </c>
      <c r="E37631" s="8">
        <v>0</v>
      </c>
      <c r="F37631" s="8">
        <v>12</v>
      </c>
    </row>
    <row r="37632" spans="1:6" ht="12.75">
      <c r="A37632" s="8">
        <v>43887.586550925931</v>
      </c>
      <c r="B37632" s="8" t="str">
        <f>HYPERLINK("https://twitter.com/MDhiantika","@MDhiantika")</f>
        <v>@MDhiantika</v>
      </c>
      <c r="C37632" s="8" t="s">
        <v>14636</v>
      </c>
      <c r="D37632" s="8">
        <v>0</v>
      </c>
      <c r="E37632" s="8">
        <v>1</v>
      </c>
      <c r="F37632" s="8">
        <v>204</v>
      </c>
    </row>
    <row r="37633" spans="1:6" ht="12.75">
      <c r="A37633" s="8">
        <v>43887.586539351847</v>
      </c>
      <c r="B37633" s="8" t="str">
        <f>HYPERLINK("https://twitter.com/miraldo5050","@miraldo5050")</f>
        <v>@miraldo5050</v>
      </c>
      <c r="C37633" s="8" t="s">
        <v>14637</v>
      </c>
      <c r="D37633" s="8">
        <v>0</v>
      </c>
      <c r="E37633" s="8">
        <v>1</v>
      </c>
      <c r="F37633" s="8">
        <v>146</v>
      </c>
    </row>
    <row r="37634" spans="1:6" ht="12.75">
      <c r="A37634" s="8">
        <v>43887.586446759262</v>
      </c>
      <c r="B37634" s="8" t="str">
        <f>HYPERLINK("https://twitter.com/warta_tangerang","@warta_tangerang")</f>
        <v>@warta_tangerang</v>
      </c>
      <c r="C37634" s="8" t="s">
        <v>14335</v>
      </c>
      <c r="D37634" s="8">
        <v>0</v>
      </c>
      <c r="E37634" s="8">
        <v>0</v>
      </c>
      <c r="F37634" s="8">
        <v>8559</v>
      </c>
    </row>
    <row r="37635" spans="1:6" ht="12.75">
      <c r="A37635" s="8">
        <v>43887.586377314816</v>
      </c>
      <c r="B37635" s="8" t="str">
        <f>HYPERLINK("https://twitter.com/wartaIDN","@wartaIDN")</f>
        <v>@wartaIDN</v>
      </c>
      <c r="C37635" s="8" t="s">
        <v>14335</v>
      </c>
      <c r="D37635" s="8">
        <v>0</v>
      </c>
      <c r="E37635" s="8">
        <v>0</v>
      </c>
      <c r="F37635" s="8">
        <v>7772</v>
      </c>
    </row>
    <row r="37636" spans="1:6" ht="12.75">
      <c r="A37636" s="8">
        <v>43887.586099537039</v>
      </c>
      <c r="B37636" s="8" t="str">
        <f>HYPERLINK("https://twitter.com/AgungRizkyPerm1","@AgungRizkyPerm1")</f>
        <v>@AgungRizkyPerm1</v>
      </c>
      <c r="C37636" s="8" t="s">
        <v>14638</v>
      </c>
      <c r="D37636" s="8">
        <v>0</v>
      </c>
      <c r="E37636" s="8">
        <v>0</v>
      </c>
      <c r="F37636" s="8">
        <v>47</v>
      </c>
    </row>
    <row r="37637" spans="1:6" ht="12.75">
      <c r="A37637" s="8">
        <v>43887.585821759261</v>
      </c>
      <c r="B37637" s="8" t="str">
        <f>HYPERLINK("https://twitter.com/Firmanbudianap2","@Firmanbudianap2")</f>
        <v>@Firmanbudianap2</v>
      </c>
      <c r="C37637" s="8" t="s">
        <v>14639</v>
      </c>
      <c r="D37637" s="8">
        <v>3</v>
      </c>
      <c r="E37637" s="8">
        <v>0</v>
      </c>
      <c r="F37637" s="8">
        <v>161</v>
      </c>
    </row>
    <row r="37638" spans="1:6" ht="12.75">
      <c r="A37638" s="8">
        <v>43887.585787037038</v>
      </c>
      <c r="B37638" s="8" t="str">
        <f>HYPERLINK("https://twitter.com/nhiarjuniar","@nhiarjuniar")</f>
        <v>@nhiarjuniar</v>
      </c>
      <c r="C37638" s="8" t="s">
        <v>13633</v>
      </c>
      <c r="D37638" s="8">
        <v>1</v>
      </c>
      <c r="E37638" s="8">
        <v>0</v>
      </c>
      <c r="F37638" s="8">
        <v>2300</v>
      </c>
    </row>
    <row r="37639" spans="1:6" ht="12.75">
      <c r="A37639" s="8">
        <v>43887.585682870369</v>
      </c>
      <c r="B37639" s="8" t="str">
        <f>HYPERLINK("https://twitter.com/retno_ays","@retno_ays")</f>
        <v>@retno_ays</v>
      </c>
      <c r="C37639" s="8" t="s">
        <v>593</v>
      </c>
      <c r="D37639" s="8">
        <v>173</v>
      </c>
      <c r="E37639" s="8">
        <v>0</v>
      </c>
      <c r="F37639" s="8">
        <v>204</v>
      </c>
    </row>
    <row r="37640" spans="1:6" ht="12.75">
      <c r="A37640" s="8">
        <v>43887.585590277777</v>
      </c>
      <c r="B37640" s="8" t="str">
        <f>HYPERLINK("https://twitter.com/ANTARASumsel","@ANTARASumsel")</f>
        <v>@ANTARASumsel</v>
      </c>
      <c r="C37640" s="8" t="s">
        <v>14640</v>
      </c>
      <c r="D37640" s="8">
        <v>0</v>
      </c>
      <c r="E37640" s="8">
        <v>0</v>
      </c>
      <c r="F37640" s="8">
        <v>1110</v>
      </c>
    </row>
    <row r="37641" spans="1:6" ht="12.75">
      <c r="A37641" s="8">
        <v>43887.58556712963</v>
      </c>
      <c r="B37641" s="8" t="str">
        <f>HYPERLINK("https://twitter.com/gwncn","@gwncn")</f>
        <v>@gwncn</v>
      </c>
      <c r="C37641" s="8" t="s">
        <v>593</v>
      </c>
      <c r="D37641" s="8">
        <v>173</v>
      </c>
      <c r="E37641" s="8">
        <v>0</v>
      </c>
      <c r="F37641" s="8">
        <v>806</v>
      </c>
    </row>
    <row r="37642" spans="1:6" ht="12.75">
      <c r="A37642" s="8">
        <v>43887.585497685184</v>
      </c>
      <c r="B37642" s="8" t="str">
        <f>HYPERLINK("https://twitter.com/bandar_pasir","@bandar_pasir")</f>
        <v>@bandar_pasir</v>
      </c>
      <c r="C37642" s="8" t="s">
        <v>14000</v>
      </c>
      <c r="D37642" s="8">
        <v>11</v>
      </c>
      <c r="E37642" s="8">
        <v>0</v>
      </c>
      <c r="F37642" s="8">
        <v>232</v>
      </c>
    </row>
    <row r="37643" spans="1:6" ht="12.75">
      <c r="A37643" s="8">
        <v>43887.585474537038</v>
      </c>
      <c r="B37643" s="8" t="str">
        <f>HYPERLINK("https://twitter.com/merdekadotcom","@merdekadotcom")</f>
        <v>@merdekadotcom</v>
      </c>
      <c r="C37643" s="8" t="s">
        <v>14641</v>
      </c>
      <c r="D37643" s="8">
        <v>0</v>
      </c>
      <c r="E37643" s="8">
        <v>0</v>
      </c>
      <c r="F37643" s="8">
        <v>230845</v>
      </c>
    </row>
    <row r="37644" spans="1:6" ht="12.75">
      <c r="A37644" s="8">
        <v>43887.584861111114</v>
      </c>
      <c r="B37644" s="8" t="str">
        <f>HYPERLINK("https://twitter.com/zredhexswani","@zredhexswani")</f>
        <v>@zredhexswani</v>
      </c>
      <c r="C37644" s="8" t="s">
        <v>2941</v>
      </c>
      <c r="D37644" s="8">
        <v>993</v>
      </c>
      <c r="E37644" s="8">
        <v>0</v>
      </c>
      <c r="F37644" s="8">
        <v>13</v>
      </c>
    </row>
    <row r="37645" spans="1:6" ht="12.75">
      <c r="A37645" s="8">
        <v>43887.584826388891</v>
      </c>
      <c r="B37645" s="8" t="str">
        <f>HYPERLINK("https://twitter.com/mimiweeka","@mimiweeka")</f>
        <v>@mimiweeka</v>
      </c>
      <c r="C37645" s="8" t="s">
        <v>14000</v>
      </c>
      <c r="D37645" s="8">
        <v>11</v>
      </c>
      <c r="E37645" s="8">
        <v>0</v>
      </c>
      <c r="F37645" s="8">
        <v>452</v>
      </c>
    </row>
    <row r="37646" spans="1:6" ht="12.75">
      <c r="A37646" s="8">
        <v>43887.584444444445</v>
      </c>
      <c r="B37646" s="8" t="str">
        <f>HYPERLINK("https://twitter.com/EkaPutriLorena5","@EkaPutriLorena5")</f>
        <v>@EkaPutriLorena5</v>
      </c>
      <c r="C37646" s="8" t="s">
        <v>593</v>
      </c>
      <c r="D37646" s="8">
        <v>173</v>
      </c>
      <c r="E37646" s="8">
        <v>0</v>
      </c>
      <c r="F37646" s="8">
        <v>41</v>
      </c>
    </row>
    <row r="37647" spans="1:6" ht="12.75">
      <c r="A37647" s="8">
        <v>43887.58425925926</v>
      </c>
      <c r="B37647" s="8" t="str">
        <f>HYPERLINK("https://twitter.com/ys_t3","@ys_t3")</f>
        <v>@ys_t3</v>
      </c>
      <c r="C37647" s="8" t="s">
        <v>8484</v>
      </c>
      <c r="D37647" s="8">
        <v>966</v>
      </c>
      <c r="E37647" s="8">
        <v>0</v>
      </c>
      <c r="F37647" s="8">
        <v>126</v>
      </c>
    </row>
    <row r="37648" spans="1:6" ht="12.75">
      <c r="A37648" s="8">
        <v>43887.584131944444</v>
      </c>
      <c r="B37648" s="8" t="str">
        <f>HYPERLINK("https://twitter.com/tamaralani","@tamaralani")</f>
        <v>@tamaralani</v>
      </c>
      <c r="C37648" s="8" t="s">
        <v>593</v>
      </c>
      <c r="D37648" s="8">
        <v>173</v>
      </c>
      <c r="E37648" s="8">
        <v>0</v>
      </c>
      <c r="F37648" s="8">
        <v>839</v>
      </c>
    </row>
    <row r="37649" spans="1:6" ht="12.75">
      <c r="A37649" s="8">
        <v>43887.584120370375</v>
      </c>
      <c r="B37649" s="8" t="str">
        <f>HYPERLINK("https://twitter.com/Hadisang70","@Hadisang70")</f>
        <v>@Hadisang70</v>
      </c>
      <c r="C37649" s="8" t="s">
        <v>14000</v>
      </c>
      <c r="D37649" s="8">
        <v>11</v>
      </c>
      <c r="E37649" s="8">
        <v>0</v>
      </c>
      <c r="F37649" s="8">
        <v>1199</v>
      </c>
    </row>
    <row r="37650" spans="1:6" ht="12.75">
      <c r="A37650" s="8">
        <v>43887.584108796298</v>
      </c>
      <c r="B37650" s="8" t="str">
        <f>HYPERLINK("https://twitter.com/adtaufiq","@adtaufiq")</f>
        <v>@adtaufiq</v>
      </c>
      <c r="C37650" s="8" t="s">
        <v>14609</v>
      </c>
      <c r="D37650" s="8">
        <v>5</v>
      </c>
      <c r="E37650" s="8">
        <v>0</v>
      </c>
      <c r="F37650" s="8">
        <v>8467</v>
      </c>
    </row>
    <row r="37651" spans="1:6" ht="12.75">
      <c r="A37651" s="8">
        <v>43887.583807870367</v>
      </c>
      <c r="B37651" s="8" t="str">
        <f>HYPERLINK("https://twitter.com/GlHindu","@GlHindu")</f>
        <v>@GlHindu</v>
      </c>
      <c r="C37651" s="8" t="s">
        <v>14642</v>
      </c>
      <c r="D37651" s="8">
        <v>0</v>
      </c>
      <c r="E37651" s="8">
        <v>1</v>
      </c>
      <c r="F37651" s="8">
        <v>52498</v>
      </c>
    </row>
    <row r="37652" spans="1:6" ht="12.75">
      <c r="A37652" s="8">
        <v>43887.583807870367</v>
      </c>
      <c r="B37652" s="8" t="str">
        <f>HYPERLINK("https://twitter.com/makna_ruci","@makna_ruci")</f>
        <v>@makna_ruci</v>
      </c>
      <c r="C37652" s="8" t="s">
        <v>14609</v>
      </c>
      <c r="D37652" s="8">
        <v>5</v>
      </c>
      <c r="E37652" s="8">
        <v>0</v>
      </c>
      <c r="F37652" s="8">
        <v>4511</v>
      </c>
    </row>
    <row r="37653" spans="1:6" ht="12.75">
      <c r="A37653" s="8">
        <v>43887.583773148144</v>
      </c>
      <c r="B37653" s="8" t="str">
        <f>HYPERLINK("https://twitter.com/zlametabidin","@zlametabidin")</f>
        <v>@zlametabidin</v>
      </c>
      <c r="C37653" s="8" t="s">
        <v>14000</v>
      </c>
      <c r="D37653" s="8">
        <v>11</v>
      </c>
      <c r="E37653" s="8">
        <v>0</v>
      </c>
      <c r="F37653" s="8">
        <v>1804</v>
      </c>
    </row>
    <row r="37654" spans="1:6" ht="12.75">
      <c r="A37654" s="8">
        <v>43887.583564814813</v>
      </c>
      <c r="B37654" s="8" t="str">
        <f>HYPERLINK("https://twitter.com/lilistiandono","@lilistiandono")</f>
        <v>@lilistiandono</v>
      </c>
      <c r="C37654" s="8" t="s">
        <v>593</v>
      </c>
      <c r="D37654" s="8">
        <v>173</v>
      </c>
      <c r="E37654" s="8">
        <v>0</v>
      </c>
      <c r="F37654" s="8">
        <v>134</v>
      </c>
    </row>
    <row r="37655" spans="1:6" ht="12.75">
      <c r="A37655" s="8">
        <v>43887.583449074074</v>
      </c>
      <c r="B37655" s="8" t="str">
        <f>HYPERLINK("https://twitter.com/quretaorg","@quretaorg")</f>
        <v>@quretaorg</v>
      </c>
      <c r="C37655" s="8" t="s">
        <v>14643</v>
      </c>
      <c r="D37655" s="8">
        <v>0</v>
      </c>
      <c r="E37655" s="8">
        <v>0</v>
      </c>
      <c r="F37655" s="8">
        <v>1488</v>
      </c>
    </row>
    <row r="37656" spans="1:6" ht="12.75">
      <c r="A37656" s="8">
        <v>43887.583020833335</v>
      </c>
      <c r="B37656" s="8" t="str">
        <f>HYPERLINK("https://twitter.com/kompascom","@kompascom")</f>
        <v>@kompascom</v>
      </c>
      <c r="C37656" s="8" t="s">
        <v>14644</v>
      </c>
      <c r="D37656" s="8">
        <v>0</v>
      </c>
      <c r="E37656" s="8">
        <v>1</v>
      </c>
      <c r="F37656" s="8">
        <v>7513745</v>
      </c>
    </row>
    <row r="37657" spans="1:6" ht="12.75">
      <c r="A37657" s="8">
        <v>43887.582997685182</v>
      </c>
      <c r="B37657" s="8" t="str">
        <f>HYPERLINK("https://twitter.com/YRadianto","@YRadianto")</f>
        <v>@YRadianto</v>
      </c>
      <c r="C37657" s="8" t="s">
        <v>13409</v>
      </c>
      <c r="D37657" s="8">
        <v>8</v>
      </c>
      <c r="E37657" s="8">
        <v>0</v>
      </c>
      <c r="F37657" s="8">
        <v>28624</v>
      </c>
    </row>
    <row r="37658" spans="1:6" ht="12.75">
      <c r="A37658" s="8">
        <v>43887.582465277781</v>
      </c>
      <c r="B37658" s="8" t="str">
        <f>HYPERLINK("https://twitter.com/kokurikofufu","@kokurikofufu")</f>
        <v>@kokurikofufu</v>
      </c>
      <c r="C37658" s="8" t="s">
        <v>2940</v>
      </c>
      <c r="D37658" s="8">
        <v>2631</v>
      </c>
      <c r="E37658" s="8">
        <v>0</v>
      </c>
      <c r="F37658" s="8">
        <v>2031</v>
      </c>
    </row>
    <row r="37659" spans="1:6" ht="12.75">
      <c r="A37659" s="8">
        <v>43887.582418981481</v>
      </c>
      <c r="B37659" s="8" t="str">
        <f>HYPERLINK("https://twitter.com/Juninnnn_Jr","@Juninnnn_Jr")</f>
        <v>@Juninnnn_Jr</v>
      </c>
      <c r="C37659" s="8" t="s">
        <v>14645</v>
      </c>
      <c r="D37659" s="8">
        <v>0</v>
      </c>
      <c r="E37659" s="8">
        <v>0</v>
      </c>
      <c r="F37659" s="8">
        <v>603</v>
      </c>
    </row>
    <row r="37660" spans="1:6" ht="12.75">
      <c r="A37660" s="8">
        <v>43887.582361111112</v>
      </c>
      <c r="B37660" s="8" t="str">
        <f>HYPERLINK("https://twitter.com/ign_loona","@ign_loona")</f>
        <v>@ign_loona</v>
      </c>
      <c r="C37660" s="8" t="s">
        <v>14646</v>
      </c>
      <c r="D37660" s="8">
        <v>0</v>
      </c>
      <c r="E37660" s="8">
        <v>0</v>
      </c>
      <c r="F37660" s="8">
        <v>555</v>
      </c>
    </row>
    <row r="37661" spans="1:6" ht="12.75">
      <c r="A37661" s="8">
        <v>43887.582291666666</v>
      </c>
      <c r="B37661" s="8" t="str">
        <f>HYPERLINK("https://twitter.com/wymphi","@wymphi")</f>
        <v>@wymphi</v>
      </c>
      <c r="C37661" s="8" t="s">
        <v>14609</v>
      </c>
      <c r="D37661" s="8">
        <v>5</v>
      </c>
      <c r="E37661" s="8">
        <v>0</v>
      </c>
      <c r="F37661" s="8">
        <v>175</v>
      </c>
    </row>
    <row r="37662" spans="1:6" ht="12.75">
      <c r="A37662" s="8">
        <v>43887.582013888888</v>
      </c>
      <c r="B37662" s="8" t="str">
        <f>HYPERLINK("https://twitter.com/bungsulananggg","@bungsulananggg")</f>
        <v>@bungsulananggg</v>
      </c>
      <c r="C37662" s="8" t="s">
        <v>593</v>
      </c>
      <c r="D37662" s="8">
        <v>173</v>
      </c>
      <c r="E37662" s="8">
        <v>0</v>
      </c>
      <c r="F37662" s="8">
        <v>31995</v>
      </c>
    </row>
    <row r="37663" spans="1:6" ht="12.75">
      <c r="A37663" s="8">
        <v>43887.58185185185</v>
      </c>
      <c r="B37663" s="8" t="str">
        <f>HYPERLINK("https://twitter.com/cecilcecillia","@cecilcecillia")</f>
        <v>@cecilcecillia</v>
      </c>
      <c r="C37663" s="8" t="s">
        <v>12800</v>
      </c>
      <c r="D37663" s="8">
        <v>156</v>
      </c>
      <c r="E37663" s="8">
        <v>0</v>
      </c>
      <c r="F37663" s="8">
        <v>84</v>
      </c>
    </row>
    <row r="37664" spans="1:6" ht="12.75">
      <c r="A37664" s="8">
        <v>43887.581770833334</v>
      </c>
      <c r="B37664" s="8" t="str">
        <f>HYPERLINK("https://twitter.com/HannafNurul","@HannafNurul")</f>
        <v>@HannafNurul</v>
      </c>
      <c r="C37664" s="8" t="s">
        <v>593</v>
      </c>
      <c r="D37664" s="8">
        <v>173</v>
      </c>
      <c r="E37664" s="8">
        <v>0</v>
      </c>
      <c r="F37664" s="8">
        <v>211</v>
      </c>
    </row>
    <row r="37665" spans="1:6" ht="12.75">
      <c r="A37665" s="8">
        <v>43887.581701388888</v>
      </c>
      <c r="B37665" s="8" t="str">
        <f>HYPERLINK("https://twitter.com/YRadianto","@YRadianto")</f>
        <v>@YRadianto</v>
      </c>
      <c r="C37665" s="8" t="s">
        <v>13412</v>
      </c>
      <c r="D37665" s="8">
        <v>19</v>
      </c>
      <c r="E37665" s="8">
        <v>0</v>
      </c>
      <c r="F37665" s="8">
        <v>28624</v>
      </c>
    </row>
    <row r="37666" spans="1:6" ht="12.75">
      <c r="A37666" s="8">
        <v>43887.581666666665</v>
      </c>
      <c r="B37666" s="8" t="str">
        <f>HYPERLINK("https://twitter.com/qoIaq","@qoIaq")</f>
        <v>@qoIaq</v>
      </c>
      <c r="C37666" s="8" t="s">
        <v>14596</v>
      </c>
      <c r="D37666" s="8">
        <v>6</v>
      </c>
      <c r="E37666" s="8">
        <v>0</v>
      </c>
      <c r="F37666" s="8">
        <v>18</v>
      </c>
    </row>
    <row r="37667" spans="1:6" ht="12.75">
      <c r="A37667" s="8">
        <v>43887.581435185188</v>
      </c>
      <c r="B37667" s="8" t="str">
        <f>HYPERLINK("https://twitter.com/Shinhye_1016","@Shinhye_1016")</f>
        <v>@Shinhye_1016</v>
      </c>
      <c r="C37667" s="8" t="s">
        <v>593</v>
      </c>
      <c r="D37667" s="8">
        <v>173</v>
      </c>
      <c r="E37667" s="8">
        <v>0</v>
      </c>
      <c r="F37667" s="8">
        <v>15</v>
      </c>
    </row>
    <row r="37668" spans="1:6" ht="12.75">
      <c r="A37668" s="8">
        <v>43887.581284722226</v>
      </c>
      <c r="B37668" s="8" t="str">
        <f>HYPERLINK("https://twitter.com/mputrong","@mputrong")</f>
        <v>@mputrong</v>
      </c>
      <c r="C37668" s="8" t="s">
        <v>2941</v>
      </c>
      <c r="D37668" s="8">
        <v>993</v>
      </c>
      <c r="E37668" s="8">
        <v>0</v>
      </c>
      <c r="F37668" s="8">
        <v>14</v>
      </c>
    </row>
    <row r="37669" spans="1:6" ht="12.75">
      <c r="A37669" s="8">
        <v>43887.581087962964</v>
      </c>
      <c r="B37669" s="8" t="str">
        <f>HYPERLINK("https://twitter.com/shiningars","@shiningars")</f>
        <v>@shiningars</v>
      </c>
      <c r="C37669" s="8" t="s">
        <v>12800</v>
      </c>
      <c r="D37669" s="8">
        <v>156</v>
      </c>
      <c r="E37669" s="8">
        <v>0</v>
      </c>
      <c r="F37669" s="8">
        <v>252</v>
      </c>
    </row>
    <row r="37670" spans="1:6" ht="12.75">
      <c r="A37670" s="8">
        <v>43887.580949074079</v>
      </c>
      <c r="B37670" s="8" t="str">
        <f>HYPERLINK("https://twitter.com/aliurophlie","@aliurophlie")</f>
        <v>@aliurophlie</v>
      </c>
      <c r="C37670" s="8" t="s">
        <v>14647</v>
      </c>
      <c r="D37670" s="8">
        <v>0</v>
      </c>
      <c r="E37670" s="8">
        <v>0</v>
      </c>
      <c r="F37670" s="8">
        <v>400</v>
      </c>
    </row>
    <row r="37671" spans="1:6" ht="12.75">
      <c r="A37671" s="8">
        <v>43887.580925925926</v>
      </c>
      <c r="B37671" s="8" t="str">
        <f>HYPERLINK("https://twitter.com/redwxine","@redwxine")</f>
        <v>@redwxine</v>
      </c>
      <c r="C37671" s="8" t="s">
        <v>14596</v>
      </c>
      <c r="D37671" s="8">
        <v>6</v>
      </c>
      <c r="E37671" s="8">
        <v>0</v>
      </c>
      <c r="F37671" s="8">
        <v>253</v>
      </c>
    </row>
    <row r="37672" spans="1:6" ht="12.75">
      <c r="A37672" s="8">
        <v>43887.580752314811</v>
      </c>
      <c r="B37672" s="8" t="str">
        <f>HYPERLINK("https://twitter.com/okezonenews","@okezonenews")</f>
        <v>@okezonenews</v>
      </c>
      <c r="C37672" s="8" t="s">
        <v>14648</v>
      </c>
      <c r="D37672" s="8">
        <v>0</v>
      </c>
      <c r="E37672" s="8">
        <v>0</v>
      </c>
      <c r="F37672" s="8">
        <v>1743706</v>
      </c>
    </row>
    <row r="37673" spans="1:6" ht="12.75">
      <c r="A37673" s="8">
        <v>43887.580324074079</v>
      </c>
      <c r="B37673" s="8" t="str">
        <f>HYPERLINK("https://twitter.com/Mahmudi32521910","@Mahmudi32521910")</f>
        <v>@Mahmudi32521910</v>
      </c>
      <c r="C37673" s="8" t="s">
        <v>14649</v>
      </c>
      <c r="D37673" s="8">
        <v>0</v>
      </c>
      <c r="E37673" s="8">
        <v>2</v>
      </c>
      <c r="F37673" s="8">
        <v>1201</v>
      </c>
    </row>
    <row r="37674" spans="1:6" ht="12.75">
      <c r="A37674" s="8">
        <v>43887.580254629633</v>
      </c>
      <c r="B37674" s="8" t="str">
        <f>HYPERLINK("https://twitter.com/padmarlynes","@padmarlynes")</f>
        <v>@padmarlynes</v>
      </c>
      <c r="C37674" s="8" t="s">
        <v>593</v>
      </c>
      <c r="D37674" s="8">
        <v>173</v>
      </c>
      <c r="E37674" s="8">
        <v>0</v>
      </c>
      <c r="F37674" s="8">
        <v>270</v>
      </c>
    </row>
    <row r="37675" spans="1:6" ht="12.75">
      <c r="A37675" s="8">
        <v>43887.580208333333</v>
      </c>
      <c r="B37675" s="8" t="str">
        <f>HYPERLINK("https://twitter.com/YRadianto","@YRadianto")</f>
        <v>@YRadianto</v>
      </c>
      <c r="C37675" s="8" t="s">
        <v>13415</v>
      </c>
      <c r="D37675" s="8">
        <v>14</v>
      </c>
      <c r="E37675" s="8">
        <v>0</v>
      </c>
      <c r="F37675" s="8">
        <v>28624</v>
      </c>
    </row>
    <row r="37676" spans="1:6" ht="12.75">
      <c r="A37676" s="8">
        <v>43887.579837962963</v>
      </c>
      <c r="B37676" s="8" t="str">
        <f>HYPERLINK("https://twitter.com/makibao_indo","@makibao_indo")</f>
        <v>@makibao_indo</v>
      </c>
      <c r="C37676" s="8" t="s">
        <v>14000</v>
      </c>
      <c r="D37676" s="8">
        <v>11</v>
      </c>
      <c r="E37676" s="8">
        <v>0</v>
      </c>
      <c r="F37676" s="8">
        <v>628</v>
      </c>
    </row>
    <row r="37677" spans="1:6" ht="12.75">
      <c r="A37677" s="8">
        <v>43887.579780092594</v>
      </c>
      <c r="B37677" s="8" t="str">
        <f>HYPERLINK("https://twitter.com/Ganifourtwenty","@Ganifourtwenty")</f>
        <v>@Ganifourtwenty</v>
      </c>
      <c r="C37677" s="8" t="s">
        <v>14650</v>
      </c>
      <c r="D37677" s="8">
        <v>0</v>
      </c>
      <c r="E37677" s="8">
        <v>0</v>
      </c>
      <c r="F37677" s="8">
        <v>12</v>
      </c>
    </row>
    <row r="37678" spans="1:6" ht="12.75">
      <c r="A37678" s="8">
        <v>43887.579664351855</v>
      </c>
      <c r="B37678" s="8" t="str">
        <f>HYPERLINK("https://twitter.com/Beattaryn","@Beattaryn")</f>
        <v>@Beattaryn</v>
      </c>
      <c r="C37678" s="8" t="s">
        <v>14651</v>
      </c>
      <c r="D37678" s="8">
        <v>0</v>
      </c>
      <c r="E37678" s="8">
        <v>0</v>
      </c>
      <c r="F37678" s="8">
        <v>263</v>
      </c>
    </row>
    <row r="37679" spans="1:6" ht="12.75">
      <c r="A37679" s="8">
        <v>43887.579502314809</v>
      </c>
      <c r="B37679" s="8" t="str">
        <f>HYPERLINK("https://twitter.com/Arjuna_100","@Arjuna_100")</f>
        <v>@Arjuna_100</v>
      </c>
      <c r="C37679" s="8" t="s">
        <v>13187</v>
      </c>
      <c r="D37679" s="8">
        <v>23</v>
      </c>
      <c r="E37679" s="8">
        <v>0</v>
      </c>
      <c r="F37679" s="8">
        <v>87</v>
      </c>
    </row>
    <row r="37680" spans="1:6" ht="12.75">
      <c r="A37680" s="8">
        <v>43887.579386574071</v>
      </c>
      <c r="B37680" s="8" t="str">
        <f>HYPERLINK("https://twitter.com/NabilahPrbwt17","@NabilahPrbwt17")</f>
        <v>@NabilahPrbwt17</v>
      </c>
      <c r="C37680" s="8" t="s">
        <v>593</v>
      </c>
      <c r="D37680" s="8">
        <v>173</v>
      </c>
      <c r="E37680" s="8">
        <v>0</v>
      </c>
      <c r="F37680" s="8">
        <v>379</v>
      </c>
    </row>
    <row r="37681" spans="1:6" ht="12.75">
      <c r="A37681" s="8">
        <v>43887.579305555555</v>
      </c>
      <c r="B37681" s="8" t="str">
        <f>HYPERLINK("https://twitter.com/P3nj3l4j4h_id","@P3nj3l4j4h_id")</f>
        <v>@P3nj3l4j4h_id</v>
      </c>
      <c r="C37681" s="8" t="s">
        <v>14652</v>
      </c>
      <c r="D37681" s="8">
        <v>5</v>
      </c>
      <c r="E37681" s="8">
        <v>9</v>
      </c>
      <c r="F37681" s="8">
        <v>15916</v>
      </c>
    </row>
    <row r="37682" spans="1:6" ht="12.75">
      <c r="A37682" s="8">
        <v>43887.579293981486</v>
      </c>
      <c r="B37682" s="8" t="str">
        <f>HYPERLINK("https://twitter.com/yoonangel93","@yoonangel93")</f>
        <v>@yoonangel93</v>
      </c>
      <c r="C37682" s="8" t="s">
        <v>593</v>
      </c>
      <c r="D37682" s="8">
        <v>173</v>
      </c>
      <c r="E37682" s="8">
        <v>0</v>
      </c>
      <c r="F37682" s="8">
        <v>548</v>
      </c>
    </row>
    <row r="37683" spans="1:6" ht="12.75">
      <c r="A37683" s="8">
        <v>43887.579236111109</v>
      </c>
      <c r="B37683" s="8" t="str">
        <f>HYPERLINK("https://twitter.com/GoTotheJek","@GoTotheJek")</f>
        <v>@GoTotheJek</v>
      </c>
      <c r="C37683" s="8" t="s">
        <v>12143</v>
      </c>
      <c r="D37683" s="8">
        <v>136</v>
      </c>
      <c r="E37683" s="8">
        <v>0</v>
      </c>
      <c r="F37683" s="8">
        <v>772</v>
      </c>
    </row>
    <row r="37684" spans="1:6" ht="12.75">
      <c r="A37684" s="8">
        <v>43887.578993055555</v>
      </c>
      <c r="B37684" s="8" t="str">
        <f>HYPERLINK("https://twitter.com/jjjjinanie","@jjjjinanie")</f>
        <v>@jjjjinanie</v>
      </c>
      <c r="C37684" s="8" t="s">
        <v>2941</v>
      </c>
      <c r="D37684" s="8">
        <v>993</v>
      </c>
      <c r="E37684" s="8">
        <v>0</v>
      </c>
      <c r="F37684" s="8">
        <v>915</v>
      </c>
    </row>
    <row r="37685" spans="1:6" ht="12.75">
      <c r="A37685" s="8">
        <v>43887.578981481478</v>
      </c>
      <c r="B37685" s="8" t="str">
        <f>HYPERLINK("https://twitter.com/liaaul_","@liaaul_")</f>
        <v>@liaaul_</v>
      </c>
      <c r="C37685" s="8" t="s">
        <v>593</v>
      </c>
      <c r="D37685" s="8">
        <v>173</v>
      </c>
      <c r="E37685" s="8">
        <v>0</v>
      </c>
      <c r="F37685" s="8">
        <v>493</v>
      </c>
    </row>
    <row r="37686" spans="1:6" ht="12.75">
      <c r="A37686" s="8">
        <v>43887.578900462962</v>
      </c>
      <c r="B37686" s="8" t="str">
        <f>HYPERLINK("https://twitter.com/kht01263","@kht01263")</f>
        <v>@kht01263</v>
      </c>
      <c r="C37686" s="8" t="s">
        <v>14000</v>
      </c>
      <c r="D37686" s="8">
        <v>11</v>
      </c>
      <c r="E37686" s="8">
        <v>0</v>
      </c>
      <c r="F37686" s="8">
        <v>206</v>
      </c>
    </row>
    <row r="37687" spans="1:6" ht="12.75">
      <c r="A37687" s="8">
        <v>43887.578877314816</v>
      </c>
      <c r="B37687" s="8" t="str">
        <f>HYPERLINK("https://twitter.com/bucinqu","@bucinqu")</f>
        <v>@bucinqu</v>
      </c>
      <c r="C37687" s="8" t="s">
        <v>14596</v>
      </c>
      <c r="D37687" s="8">
        <v>6</v>
      </c>
      <c r="E37687" s="8">
        <v>0</v>
      </c>
      <c r="F37687" s="8">
        <v>2375</v>
      </c>
    </row>
    <row r="37688" spans="1:6" ht="12.75">
      <c r="A37688" s="8">
        <v>43887.578599537039</v>
      </c>
      <c r="B37688" s="8" t="str">
        <f>HYPERLINK("https://twitter.com/yunisakd","@yunisakd")</f>
        <v>@yunisakd</v>
      </c>
      <c r="C37688" s="8" t="s">
        <v>14236</v>
      </c>
      <c r="D37688" s="8">
        <v>4</v>
      </c>
      <c r="E37688" s="8">
        <v>0</v>
      </c>
      <c r="F37688" s="8">
        <v>361</v>
      </c>
    </row>
    <row r="37689" spans="1:6" ht="12.75">
      <c r="A37689" s="8">
        <v>43887.578553240739</v>
      </c>
      <c r="B37689" s="8" t="str">
        <f>HYPERLINK("https://twitter.com/WilieaEffendi","@WilieaEffendi")</f>
        <v>@WilieaEffendi</v>
      </c>
      <c r="C37689" s="8" t="s">
        <v>593</v>
      </c>
      <c r="D37689" s="8">
        <v>173</v>
      </c>
      <c r="E37689" s="8">
        <v>0</v>
      </c>
      <c r="F37689" s="8">
        <v>722</v>
      </c>
    </row>
    <row r="37690" spans="1:6" ht="12.75">
      <c r="A37690" s="8">
        <v>43887.578368055554</v>
      </c>
      <c r="B37690" s="8" t="str">
        <f>HYPERLINK("https://twitter.com/annisanahdif2","@annisanahdif2")</f>
        <v>@annisanahdif2</v>
      </c>
      <c r="C37690" s="8" t="s">
        <v>14243</v>
      </c>
      <c r="D37690" s="8">
        <v>5</v>
      </c>
      <c r="E37690" s="8">
        <v>0</v>
      </c>
      <c r="F37690" s="8">
        <v>95</v>
      </c>
    </row>
    <row r="37691" spans="1:6" ht="12.75">
      <c r="A37691" s="8">
        <v>43887.578125</v>
      </c>
      <c r="B37691" s="8" t="str">
        <f>HYPERLINK("https://twitter.com/Fm98Sonora","@Fm98Sonora")</f>
        <v>@Fm98Sonora</v>
      </c>
      <c r="C37691" s="8" t="s">
        <v>14639</v>
      </c>
      <c r="D37691" s="8">
        <v>3</v>
      </c>
      <c r="E37691" s="8">
        <v>0</v>
      </c>
      <c r="F37691" s="8">
        <v>21</v>
      </c>
    </row>
    <row r="37692" spans="1:6" ht="12.75">
      <c r="A37692" s="8">
        <v>43887.578020833331</v>
      </c>
      <c r="B37692" s="8" t="str">
        <f>HYPERLINK("https://twitter.com/hgberry","@hgberry")</f>
        <v>@hgberry</v>
      </c>
      <c r="C37692" s="8" t="s">
        <v>13719</v>
      </c>
      <c r="D37692" s="8">
        <v>2</v>
      </c>
      <c r="E37692" s="8">
        <v>0</v>
      </c>
      <c r="F37692" s="8">
        <v>1647</v>
      </c>
    </row>
    <row r="37693" spans="1:6" ht="12.75">
      <c r="A37693" s="8">
        <v>43887.577499999999</v>
      </c>
      <c r="B37693" s="8" t="str">
        <f>HYPERLINK("https://twitter.com/yolskey","@yolskey")</f>
        <v>@yolskey</v>
      </c>
      <c r="C37693" s="8" t="s">
        <v>12800</v>
      </c>
      <c r="D37693" s="8">
        <v>156</v>
      </c>
      <c r="E37693" s="8">
        <v>0</v>
      </c>
      <c r="F37693" s="8">
        <v>1363</v>
      </c>
    </row>
    <row r="37694" spans="1:6" ht="12.75">
      <c r="A37694" s="8">
        <v>43887.577372685184</v>
      </c>
      <c r="B37694" s="8" t="str">
        <f>HYPERLINK("https://twitter.com/0111_kaede","@0111_kaede")</f>
        <v>@0111_kaede</v>
      </c>
      <c r="C37694" s="8" t="s">
        <v>2940</v>
      </c>
      <c r="D37694" s="8">
        <v>2631</v>
      </c>
      <c r="E37694" s="8">
        <v>0</v>
      </c>
      <c r="F37694" s="8">
        <v>237</v>
      </c>
    </row>
    <row r="37695" spans="1:6" ht="12.75">
      <c r="A37695" s="8">
        <v>43887.577152777776</v>
      </c>
      <c r="B37695" s="8" t="str">
        <f t="shared" ref="B37695:B37696" si="566">HYPERLINK("https://twitter.com/VIVAcoid","@VIVAcoid")</f>
        <v>@VIVAcoid</v>
      </c>
      <c r="C37695" s="8" t="s">
        <v>14653</v>
      </c>
      <c r="D37695" s="8">
        <v>1</v>
      </c>
      <c r="E37695" s="8">
        <v>0</v>
      </c>
      <c r="F37695" s="8">
        <v>4172551</v>
      </c>
    </row>
    <row r="37696" spans="1:6" ht="12.75">
      <c r="A37696" s="8">
        <v>43887.57712962963</v>
      </c>
      <c r="B37696" s="8" t="str">
        <f t="shared" si="566"/>
        <v>@VIVAcoid</v>
      </c>
      <c r="C37696" s="8" t="s">
        <v>14654</v>
      </c>
      <c r="D37696" s="8">
        <v>1</v>
      </c>
      <c r="E37696" s="8">
        <v>0</v>
      </c>
      <c r="F37696" s="8">
        <v>4172551</v>
      </c>
    </row>
    <row r="37697" spans="1:6" ht="12.75">
      <c r="A37697" s="8">
        <v>43887.57711805556</v>
      </c>
      <c r="B37697" s="8" t="str">
        <f>HYPERLINK("https://twitter.com/KompasTV","@KompasTV")</f>
        <v>@KompasTV</v>
      </c>
      <c r="C37697" s="8" t="s">
        <v>14655</v>
      </c>
      <c r="D37697" s="8">
        <v>3</v>
      </c>
      <c r="E37697" s="8">
        <v>0</v>
      </c>
      <c r="F37697" s="8">
        <v>2949240</v>
      </c>
    </row>
    <row r="37698" spans="1:6" ht="12.75">
      <c r="A37698" s="8">
        <v>43887.577106481476</v>
      </c>
      <c r="B37698" s="8" t="str">
        <f>HYPERLINK("https://twitter.com/pikiran_rakyat","@pikiran_rakyat")</f>
        <v>@pikiran_rakyat</v>
      </c>
      <c r="C37698" s="8" t="s">
        <v>14656</v>
      </c>
      <c r="D37698" s="8">
        <v>1</v>
      </c>
      <c r="E37698" s="8">
        <v>1</v>
      </c>
      <c r="F37698" s="8">
        <v>412969</v>
      </c>
    </row>
    <row r="37699" spans="1:6" ht="12.75">
      <c r="A37699" s="8">
        <v>43887.576886574076</v>
      </c>
      <c r="B37699" s="8" t="str">
        <f>HYPERLINK("https://twitter.com/Nurhadi9913","@Nurhadi9913")</f>
        <v>@Nurhadi9913</v>
      </c>
      <c r="C37699" s="8" t="s">
        <v>14657</v>
      </c>
      <c r="D37699" s="8">
        <v>7</v>
      </c>
      <c r="E37699" s="8">
        <v>0</v>
      </c>
      <c r="F37699" s="8">
        <v>147</v>
      </c>
    </row>
    <row r="37700" spans="1:6" ht="12.75">
      <c r="A37700" s="8">
        <v>43887.576736111107</v>
      </c>
      <c r="B37700" s="8" t="str">
        <f>HYPERLINK("https://twitter.com/PriyoBudiS","@PriyoBudiS")</f>
        <v>@PriyoBudiS</v>
      </c>
      <c r="C37700" s="8" t="s">
        <v>14242</v>
      </c>
      <c r="D37700" s="8">
        <v>2</v>
      </c>
      <c r="E37700" s="8">
        <v>0</v>
      </c>
      <c r="F37700" s="8">
        <v>202867</v>
      </c>
    </row>
    <row r="37701" spans="1:6" ht="12.75">
      <c r="A37701" s="8">
        <v>43887.576736111107</v>
      </c>
      <c r="B37701" s="8" t="str">
        <f>HYPERLINK("https://twitter.com/BatamPos","@BatamPos")</f>
        <v>@BatamPos</v>
      </c>
      <c r="C37701" s="8" t="s">
        <v>14658</v>
      </c>
      <c r="D37701" s="8">
        <v>0</v>
      </c>
      <c r="E37701" s="8">
        <v>0</v>
      </c>
      <c r="F37701" s="8">
        <v>67398</v>
      </c>
    </row>
    <row r="37702" spans="1:6" ht="12.75">
      <c r="A37702" s="8">
        <v>43887.576458333337</v>
      </c>
      <c r="B37702" s="8" t="str">
        <f>HYPERLINK("https://twitter.com/vivanewscom","@vivanewscom")</f>
        <v>@vivanewscom</v>
      </c>
      <c r="C37702" s="8" t="s">
        <v>14659</v>
      </c>
      <c r="D37702" s="8">
        <v>1</v>
      </c>
      <c r="E37702" s="8">
        <v>0</v>
      </c>
      <c r="F37702" s="8">
        <v>4417</v>
      </c>
    </row>
    <row r="37703" spans="1:6" ht="12.75">
      <c r="A37703" s="8">
        <v>43887.576423611114</v>
      </c>
      <c r="B37703" s="8" t="str">
        <f>HYPERLINK("https://twitter.com/blackphosporus","@blackphosporus")</f>
        <v>@blackphosporus</v>
      </c>
      <c r="C37703" s="8" t="s">
        <v>12800</v>
      </c>
      <c r="D37703" s="8">
        <v>156</v>
      </c>
      <c r="E37703" s="8">
        <v>0</v>
      </c>
      <c r="F37703" s="8">
        <v>346</v>
      </c>
    </row>
    <row r="37704" spans="1:6" ht="12.75">
      <c r="A37704" s="8">
        <v>43887.57640046296</v>
      </c>
      <c r="B37704" s="8" t="str">
        <f>HYPERLINK("https://twitter.com/vivanewscom","@vivanewscom")</f>
        <v>@vivanewscom</v>
      </c>
      <c r="C37704" s="8" t="s">
        <v>14660</v>
      </c>
      <c r="D37704" s="8">
        <v>1</v>
      </c>
      <c r="E37704" s="8">
        <v>1</v>
      </c>
      <c r="F37704" s="8">
        <v>4417</v>
      </c>
    </row>
    <row r="37705" spans="1:6" ht="12.75">
      <c r="A37705" s="8">
        <v>43887.57640046296</v>
      </c>
      <c r="B37705" s="8" t="str">
        <f>HYPERLINK("https://twitter.com/KartikaFeni","@KartikaFeni")</f>
        <v>@KartikaFeni</v>
      </c>
      <c r="C37705" s="8" t="s">
        <v>593</v>
      </c>
      <c r="D37705" s="8">
        <v>173</v>
      </c>
      <c r="E37705" s="8">
        <v>0</v>
      </c>
      <c r="F37705" s="8">
        <v>243</v>
      </c>
    </row>
    <row r="37706" spans="1:6" ht="12.75">
      <c r="A37706" s="8">
        <v>43887.576331018514</v>
      </c>
      <c r="B37706" s="8" t="str">
        <f>HYPERLINK("https://twitter.com/Thizka_","@Thizka_")</f>
        <v>@Thizka_</v>
      </c>
      <c r="C37706" s="8" t="s">
        <v>14661</v>
      </c>
      <c r="D37706" s="8">
        <v>1</v>
      </c>
      <c r="E37706" s="8">
        <v>0</v>
      </c>
      <c r="F37706" s="8">
        <v>379</v>
      </c>
    </row>
    <row r="37707" spans="1:6" ht="12.75">
      <c r="A37707" s="8">
        <v>43887.576053240744</v>
      </c>
      <c r="B37707" s="8" t="str">
        <f>HYPERLINK("https://twitter.com/sekarrnfh","@sekarrnfh")</f>
        <v>@sekarrnfh</v>
      </c>
      <c r="C37707" s="8" t="s">
        <v>6638</v>
      </c>
      <c r="D37707" s="8">
        <v>71</v>
      </c>
      <c r="E37707" s="8">
        <v>0</v>
      </c>
      <c r="F37707" s="8">
        <v>759</v>
      </c>
    </row>
    <row r="37708" spans="1:6" ht="12.75">
      <c r="A37708" s="8">
        <v>43887.576041666667</v>
      </c>
      <c r="B37708" s="8" t="str">
        <f>HYPERLINK("https://twitter.com/khotimahk87","@khotimahk87")</f>
        <v>@khotimahk87</v>
      </c>
      <c r="C37708" s="8" t="s">
        <v>593</v>
      </c>
      <c r="D37708" s="8">
        <v>173</v>
      </c>
      <c r="E37708" s="8">
        <v>0</v>
      </c>
      <c r="F37708" s="8">
        <v>361</v>
      </c>
    </row>
    <row r="37709" spans="1:6" ht="12.75">
      <c r="A37709" s="8">
        <v>43887.575949074075</v>
      </c>
      <c r="B37709" s="8" t="str">
        <f>HYPERLINK("https://twitter.com/hasniaiks","@hasniaiks")</f>
        <v>@hasniaiks</v>
      </c>
      <c r="C37709" s="8" t="s">
        <v>593</v>
      </c>
      <c r="D37709" s="8">
        <v>173</v>
      </c>
      <c r="E37709" s="8">
        <v>0</v>
      </c>
      <c r="F37709" s="8">
        <v>4</v>
      </c>
    </row>
    <row r="37710" spans="1:6" ht="12.75">
      <c r="A37710" s="8">
        <v>43887.575868055559</v>
      </c>
      <c r="B37710" s="8" t="str">
        <f>HYPERLINK("https://twitter.com/ediedot108","@ediedot108")</f>
        <v>@ediedot108</v>
      </c>
      <c r="C37710" s="8" t="s">
        <v>14071</v>
      </c>
      <c r="D37710" s="8">
        <v>2</v>
      </c>
      <c r="E37710" s="8">
        <v>0</v>
      </c>
      <c r="F37710" s="8">
        <v>2269</v>
      </c>
    </row>
    <row r="37711" spans="1:6" ht="12.75">
      <c r="A37711" s="8">
        <v>43887.575370370367</v>
      </c>
      <c r="B37711" s="8" t="str">
        <f>HYPERLINK("https://twitter.com/Lithshine","@Lithshine")</f>
        <v>@Lithshine</v>
      </c>
      <c r="C37711" s="8" t="s">
        <v>593</v>
      </c>
      <c r="D37711" s="8">
        <v>173</v>
      </c>
      <c r="E37711" s="8">
        <v>0</v>
      </c>
      <c r="F37711" s="8">
        <v>309</v>
      </c>
    </row>
    <row r="37712" spans="1:6" ht="12.75">
      <c r="A37712" s="8">
        <v>43887.575185185182</v>
      </c>
      <c r="B37712" s="8" t="str">
        <f>HYPERLINK("https://twitter.com/seruanhl","@seruanhl")</f>
        <v>@seruanhl</v>
      </c>
      <c r="C37712" s="8" t="s">
        <v>13117</v>
      </c>
      <c r="D37712" s="8">
        <v>11</v>
      </c>
      <c r="E37712" s="8">
        <v>0</v>
      </c>
      <c r="F37712" s="8">
        <v>12756</v>
      </c>
    </row>
    <row r="37713" spans="1:6" ht="12.75">
      <c r="A37713" s="8">
        <v>43887.575115740736</v>
      </c>
      <c r="B37713" s="8" t="str">
        <f>HYPERLINK("https://twitter.com/ariefbudhi_h","@ariefbudhi_h")</f>
        <v>@ariefbudhi_h</v>
      </c>
      <c r="C37713" s="8" t="s">
        <v>13365</v>
      </c>
      <c r="D37713" s="8">
        <v>772</v>
      </c>
      <c r="E37713" s="8">
        <v>0</v>
      </c>
      <c r="F37713" s="8">
        <v>273</v>
      </c>
    </row>
    <row r="37714" spans="1:6" ht="12.75">
      <c r="A37714" s="8">
        <v>43887.54822916667</v>
      </c>
      <c r="B37714" s="8" t="str">
        <f>HYPERLINK("https://twitter.com/mazgres","@mazgres")</f>
        <v>@mazgres</v>
      </c>
      <c r="C37714" s="8" t="s">
        <v>14662</v>
      </c>
      <c r="D37714" s="8">
        <v>0</v>
      </c>
      <c r="E37714" s="8">
        <v>0</v>
      </c>
      <c r="F37714" s="8">
        <v>118</v>
      </c>
    </row>
    <row r="37715" spans="1:6" ht="12.75">
      <c r="A37715" s="8">
        <v>43887.548159722224</v>
      </c>
      <c r="B37715" s="8" t="str">
        <f>HYPERLINK("https://twitter.com/kondekturbus_","@kondekturbus_")</f>
        <v>@kondekturbus_</v>
      </c>
      <c r="C37715" s="8" t="s">
        <v>14663</v>
      </c>
      <c r="D37715" s="8">
        <v>0</v>
      </c>
      <c r="E37715" s="8">
        <v>0</v>
      </c>
      <c r="F37715" s="8">
        <v>14243</v>
      </c>
    </row>
    <row r="37716" spans="1:6" ht="12.75">
      <c r="A37716" s="8">
        <v>43887.548148148147</v>
      </c>
      <c r="B37716" s="8" t="str">
        <f>HYPERLINK("https://twitter.com/krapjaesix","@krapjaesix")</f>
        <v>@krapjaesix</v>
      </c>
      <c r="C37716" s="8" t="s">
        <v>12800</v>
      </c>
      <c r="D37716" s="8">
        <v>145</v>
      </c>
      <c r="E37716" s="8">
        <v>0</v>
      </c>
      <c r="F37716" s="8">
        <v>89</v>
      </c>
    </row>
    <row r="37717" spans="1:6" ht="12.75">
      <c r="A37717" s="8">
        <v>43887.547951388886</v>
      </c>
      <c r="B37717" s="8" t="str">
        <f>HYPERLINK("https://twitter.com/callmetiarara","@callmetiarara")</f>
        <v>@callmetiarara</v>
      </c>
      <c r="C37717" s="8" t="s">
        <v>593</v>
      </c>
      <c r="D37717" s="8">
        <v>89</v>
      </c>
      <c r="E37717" s="8">
        <v>0</v>
      </c>
      <c r="F37717" s="8">
        <v>23</v>
      </c>
    </row>
    <row r="37718" spans="1:6" ht="12.75">
      <c r="A37718" s="8">
        <v>43887.547789351855</v>
      </c>
      <c r="B37718" s="8" t="str">
        <f>HYPERLINK("https://twitter.com/hooneylemoon","@hooneylemoon")</f>
        <v>@hooneylemoon</v>
      </c>
      <c r="C37718" s="8" t="s">
        <v>593</v>
      </c>
      <c r="D37718" s="8">
        <v>89</v>
      </c>
      <c r="E37718" s="8">
        <v>0</v>
      </c>
      <c r="F37718" s="8">
        <v>47</v>
      </c>
    </row>
    <row r="37719" spans="1:6" ht="12.75">
      <c r="A37719" s="8">
        <v>43887.547731481478</v>
      </c>
      <c r="B37719" s="8" t="str">
        <f>HYPERLINK("https://twitter.com/X1isComing__","@X1isComing__")</f>
        <v>@X1isComing__</v>
      </c>
      <c r="C37719" s="8" t="s">
        <v>593</v>
      </c>
      <c r="D37719" s="8">
        <v>89</v>
      </c>
      <c r="E37719" s="8">
        <v>0</v>
      </c>
      <c r="F37719" s="8">
        <v>123</v>
      </c>
    </row>
    <row r="37720" spans="1:6" ht="12.75">
      <c r="A37720" s="8">
        <v>43887.547523148147</v>
      </c>
      <c r="B37720" s="8" t="str">
        <f>HYPERLINK("https://twitter.com/jumadi097","@jumadi097")</f>
        <v>@jumadi097</v>
      </c>
      <c r="C37720" s="8" t="s">
        <v>593</v>
      </c>
      <c r="D37720" s="8">
        <v>89</v>
      </c>
      <c r="E37720" s="8">
        <v>0</v>
      </c>
      <c r="F37720" s="8">
        <v>1024</v>
      </c>
    </row>
    <row r="37721" spans="1:6" ht="12.75">
      <c r="A37721" s="8">
        <v>43887.547372685185</v>
      </c>
      <c r="B37721" s="8" t="str">
        <f>HYPERLINK("https://twitter.com/rhestinharlan","@rhestinharlan")</f>
        <v>@rhestinharlan</v>
      </c>
      <c r="C37721" s="8" t="s">
        <v>593</v>
      </c>
      <c r="D37721" s="8">
        <v>89</v>
      </c>
      <c r="E37721" s="8">
        <v>0</v>
      </c>
      <c r="F37721" s="8">
        <v>104</v>
      </c>
    </row>
    <row r="37722" spans="1:6" ht="12.75">
      <c r="A37722" s="8">
        <v>43887.547268518523</v>
      </c>
      <c r="B37722" s="8" t="str">
        <f>HYPERLINK("https://twitter.com/ssuryoseptono","@ssuryoseptono")</f>
        <v>@ssuryoseptono</v>
      </c>
      <c r="C37722" s="8" t="s">
        <v>13117</v>
      </c>
      <c r="D37722" s="8">
        <v>9</v>
      </c>
      <c r="E37722" s="8">
        <v>0</v>
      </c>
      <c r="F37722" s="8">
        <v>1399</v>
      </c>
    </row>
    <row r="37723" spans="1:6" ht="12.75">
      <c r="A37723" s="8">
        <v>43887.547222222223</v>
      </c>
      <c r="B37723" s="8" t="str">
        <f>HYPERLINK("https://twitter.com/hwangcistus","@hwangcistus")</f>
        <v>@hwangcistus</v>
      </c>
      <c r="C37723" s="8" t="s">
        <v>593</v>
      </c>
      <c r="D37723" s="8">
        <v>89</v>
      </c>
      <c r="E37723" s="8">
        <v>0</v>
      </c>
      <c r="F37723" s="8">
        <v>878</v>
      </c>
    </row>
    <row r="37724" spans="1:6" ht="12.75">
      <c r="A37724" s="8">
        <v>43887.547083333338</v>
      </c>
      <c r="B37724" s="8" t="str">
        <f>HYPERLINK("https://twitter.com/cindynurfa","@cindynurfa")</f>
        <v>@cindynurfa</v>
      </c>
      <c r="C37724" s="8" t="s">
        <v>593</v>
      </c>
      <c r="D37724" s="8">
        <v>89</v>
      </c>
      <c r="E37724" s="8">
        <v>0</v>
      </c>
      <c r="F37724" s="8">
        <v>570</v>
      </c>
    </row>
    <row r="37725" spans="1:6" ht="12.75">
      <c r="A37725" s="8">
        <v>43887.547013888892</v>
      </c>
      <c r="B37725" s="8" t="str">
        <f>HYPERLINK("https://twitter.com/ediedot108","@ediedot108")</f>
        <v>@ediedot108</v>
      </c>
      <c r="C37725" s="8" t="s">
        <v>12143</v>
      </c>
      <c r="D37725" s="8">
        <v>123</v>
      </c>
      <c r="E37725" s="8">
        <v>0</v>
      </c>
      <c r="F37725" s="8">
        <v>2269</v>
      </c>
    </row>
    <row r="37726" spans="1:6" ht="12.75">
      <c r="A37726" s="8">
        <v>43887.546875</v>
      </c>
      <c r="B37726" s="8" t="str">
        <f>HYPERLINK("https://twitter.com/Gracielanjanett","@Gracielanjanett")</f>
        <v>@Gracielanjanett</v>
      </c>
      <c r="C37726" s="8" t="s">
        <v>593</v>
      </c>
      <c r="D37726" s="8">
        <v>89</v>
      </c>
      <c r="E37726" s="8">
        <v>0</v>
      </c>
      <c r="F37726" s="8">
        <v>1607</v>
      </c>
    </row>
    <row r="37727" spans="1:6" ht="12.75">
      <c r="A37727" s="8">
        <v>43887.546747685185</v>
      </c>
      <c r="B37727" s="8" t="str">
        <f>HYPERLINK("https://twitter.com/justoneitable","@justoneitable")</f>
        <v>@justoneitable</v>
      </c>
      <c r="C37727" s="8" t="s">
        <v>12800</v>
      </c>
      <c r="D37727" s="8">
        <v>145</v>
      </c>
      <c r="E37727" s="8">
        <v>0</v>
      </c>
      <c r="F37727" s="8">
        <v>10</v>
      </c>
    </row>
    <row r="37728" spans="1:6" ht="12.75">
      <c r="A37728" s="8">
        <v>43887.546342592592</v>
      </c>
      <c r="B37728" s="8" t="str">
        <f>HYPERLINK("https://twitter.com/calvinyounglee","@calvinyounglee")</f>
        <v>@calvinyounglee</v>
      </c>
      <c r="C37728" s="8" t="s">
        <v>14469</v>
      </c>
      <c r="D37728" s="8">
        <v>2</v>
      </c>
      <c r="E37728" s="8">
        <v>0</v>
      </c>
      <c r="F37728" s="8">
        <v>395</v>
      </c>
    </row>
    <row r="37729" spans="1:6" ht="12.75">
      <c r="A37729" s="8">
        <v>43887.54623842593</v>
      </c>
      <c r="B37729" s="8" t="str">
        <f>HYPERLINK("https://twitter.com/jeonwonlust","@jeonwonlust")</f>
        <v>@jeonwonlust</v>
      </c>
      <c r="C37729" s="8" t="s">
        <v>593</v>
      </c>
      <c r="D37729" s="8">
        <v>89</v>
      </c>
      <c r="E37729" s="8">
        <v>0</v>
      </c>
      <c r="F37729" s="8">
        <v>196</v>
      </c>
    </row>
    <row r="37730" spans="1:6" ht="12.75">
      <c r="A37730" s="8">
        <v>43887.546111111107</v>
      </c>
      <c r="B37730" s="8" t="str">
        <f>HYPERLINK("https://twitter.com/RatnaDAstuti1","@RatnaDAstuti1")</f>
        <v>@RatnaDAstuti1</v>
      </c>
      <c r="C37730" s="8" t="s">
        <v>593</v>
      </c>
      <c r="D37730" s="8">
        <v>89</v>
      </c>
      <c r="E37730" s="8">
        <v>0</v>
      </c>
      <c r="F37730" s="8">
        <v>25</v>
      </c>
    </row>
    <row r="37731" spans="1:6" ht="12.75">
      <c r="A37731" s="8">
        <v>43887.546064814815</v>
      </c>
      <c r="B37731" s="8" t="str">
        <f>HYPERLINK("https://twitter.com/sseungsseunguu","@sseungsseunguu")</f>
        <v>@sseungsseunguu</v>
      </c>
      <c r="C37731" s="8" t="s">
        <v>593</v>
      </c>
      <c r="D37731" s="8">
        <v>89</v>
      </c>
      <c r="E37731" s="8">
        <v>0</v>
      </c>
      <c r="F37731" s="8">
        <v>77</v>
      </c>
    </row>
    <row r="37732" spans="1:6" ht="12.75">
      <c r="A37732" s="8">
        <v>43887.545891203699</v>
      </c>
      <c r="B37732" s="8" t="str">
        <f>HYPERLINK("https://twitter.com/Hachizenko","@Hachizenko")</f>
        <v>@Hachizenko</v>
      </c>
      <c r="C37732" s="8" t="s">
        <v>593</v>
      </c>
      <c r="D37732" s="8">
        <v>89</v>
      </c>
      <c r="E37732" s="8">
        <v>0</v>
      </c>
      <c r="F37732" s="8">
        <v>93</v>
      </c>
    </row>
    <row r="37733" spans="1:6" ht="12.75">
      <c r="A37733" s="8">
        <v>43887.545740740738</v>
      </c>
      <c r="B37733" s="8" t="str">
        <f>HYPERLINK("https://twitter.com/BatamPos","@BatamPos")</f>
        <v>@BatamPos</v>
      </c>
      <c r="C37733" s="8" t="s">
        <v>14664</v>
      </c>
      <c r="D37733" s="8">
        <v>0</v>
      </c>
      <c r="E37733" s="8">
        <v>0</v>
      </c>
      <c r="F37733" s="8">
        <v>67398</v>
      </c>
    </row>
    <row r="37734" spans="1:6" ht="12.75">
      <c r="A37734" s="8">
        <v>43887.545740740738</v>
      </c>
      <c r="B37734" s="8" t="str">
        <f>HYPERLINK("https://twitter.com/rdaisyann","@rdaisyann")</f>
        <v>@rdaisyann</v>
      </c>
      <c r="C37734" s="8" t="s">
        <v>593</v>
      </c>
      <c r="D37734" s="8">
        <v>89</v>
      </c>
      <c r="E37734" s="8">
        <v>0</v>
      </c>
      <c r="F37734" s="8">
        <v>1074</v>
      </c>
    </row>
    <row r="37735" spans="1:6" ht="12.75">
      <c r="A37735" s="8">
        <v>43887.545636574076</v>
      </c>
      <c r="B37735" s="8" t="str">
        <f>HYPERLINK("https://twitter.com/NUGROS13","@NUGROS13")</f>
        <v>@NUGROS13</v>
      </c>
      <c r="C37735" s="8" t="s">
        <v>14665</v>
      </c>
      <c r="D37735" s="8">
        <v>1</v>
      </c>
      <c r="E37735" s="8">
        <v>0</v>
      </c>
      <c r="F37735" s="8">
        <v>830</v>
      </c>
    </row>
    <row r="37736" spans="1:6" ht="12.75">
      <c r="A37736" s="8">
        <v>43887.545555555553</v>
      </c>
      <c r="B37736" s="8" t="str">
        <f>HYPERLINK("https://twitter.com/Rosdiantiarab","@Rosdiantiarab")</f>
        <v>@Rosdiantiarab</v>
      </c>
      <c r="C37736" s="8" t="s">
        <v>2941</v>
      </c>
      <c r="D37736" s="8">
        <v>975</v>
      </c>
      <c r="E37736" s="8">
        <v>0</v>
      </c>
      <c r="F37736" s="8">
        <v>172</v>
      </c>
    </row>
    <row r="37737" spans="1:6" ht="12.75">
      <c r="A37737" s="8">
        <v>43887.545381944445</v>
      </c>
      <c r="B37737" s="8" t="str">
        <f>HYPERLINK("https://twitter.com/X_SamURay63","@X_SamURay63")</f>
        <v>@X_SamURay63</v>
      </c>
      <c r="C37737" s="8" t="s">
        <v>13365</v>
      </c>
      <c r="D37737" s="8">
        <v>763</v>
      </c>
      <c r="E37737" s="8">
        <v>0</v>
      </c>
      <c r="F37737" s="8">
        <v>3922</v>
      </c>
    </row>
    <row r="37738" spans="1:6" ht="12.75">
      <c r="A37738" s="8">
        <v>43887.545370370368</v>
      </c>
      <c r="B37738" s="8" t="str">
        <f>HYPERLINK("https://twitter.com/radityusuuf","@radityusuuf")</f>
        <v>@radityusuuf</v>
      </c>
      <c r="C37738" s="8" t="s">
        <v>593</v>
      </c>
      <c r="D37738" s="8">
        <v>89</v>
      </c>
      <c r="E37738" s="8">
        <v>0</v>
      </c>
      <c r="F37738" s="8">
        <v>294</v>
      </c>
    </row>
    <row r="37739" spans="1:6" ht="12.75">
      <c r="A37739" s="8">
        <v>43887.545358796298</v>
      </c>
      <c r="B37739" s="8" t="str">
        <f>HYPERLINK("https://twitter.com/Xaveraaa24","@Xaveraaa24")</f>
        <v>@Xaveraaa24</v>
      </c>
      <c r="C37739" s="8" t="s">
        <v>593</v>
      </c>
      <c r="D37739" s="8">
        <v>89</v>
      </c>
      <c r="E37739" s="8">
        <v>0</v>
      </c>
      <c r="F37739" s="8">
        <v>1063</v>
      </c>
    </row>
    <row r="37740" spans="1:6" ht="12.75">
      <c r="A37740" s="8">
        <v>43887.545347222222</v>
      </c>
      <c r="B37740" s="8" t="str">
        <f>HYPERLINK("https://twitter.com/iwankgt3838","@iwankgt3838")</f>
        <v>@iwankgt3838</v>
      </c>
      <c r="C37740" s="8" t="s">
        <v>14469</v>
      </c>
      <c r="D37740" s="8">
        <v>2</v>
      </c>
      <c r="E37740" s="8">
        <v>0</v>
      </c>
      <c r="F37740" s="8">
        <v>78</v>
      </c>
    </row>
    <row r="37741" spans="1:6" ht="12.75">
      <c r="A37741" s="8">
        <v>43887.545347222222</v>
      </c>
      <c r="B37741" s="8" t="str">
        <f>HYPERLINK("https://twitter.com/odoro8","@odoro8")</f>
        <v>@odoro8</v>
      </c>
      <c r="C37741" s="8" t="s">
        <v>2940</v>
      </c>
      <c r="D37741" s="8">
        <v>2629</v>
      </c>
      <c r="E37741" s="8">
        <v>0</v>
      </c>
      <c r="F37741" s="8">
        <v>1536</v>
      </c>
    </row>
    <row r="37742" spans="1:6" ht="12.75">
      <c r="A37742" s="8">
        <v>43887.545335648145</v>
      </c>
      <c r="B37742" s="8" t="str">
        <f>HYPERLINK("https://twitter.com/Jaya_Ind","@Jaya_Ind")</f>
        <v>@Jaya_Ind</v>
      </c>
      <c r="C37742" s="8" t="s">
        <v>11183</v>
      </c>
      <c r="D37742" s="8">
        <v>318</v>
      </c>
      <c r="E37742" s="8">
        <v>0</v>
      </c>
      <c r="F37742" s="8">
        <v>2728</v>
      </c>
    </row>
    <row r="37743" spans="1:6" ht="12.75">
      <c r="A37743" s="8">
        <v>43887.54487268519</v>
      </c>
      <c r="B37743" s="8" t="str">
        <f>HYPERLINK("https://twitter.com/cheesydinner","@cheesydinner")</f>
        <v>@cheesydinner</v>
      </c>
      <c r="C37743" s="8" t="s">
        <v>593</v>
      </c>
      <c r="D37743" s="8">
        <v>89</v>
      </c>
      <c r="E37743" s="8">
        <v>0</v>
      </c>
      <c r="F37743" s="8">
        <v>26</v>
      </c>
    </row>
    <row r="37744" spans="1:6" ht="12.75">
      <c r="A37744" s="8">
        <v>43887.544490740736</v>
      </c>
      <c r="B37744" s="8" t="str">
        <f>HYPERLINK("https://twitter.com/sari_abank","@sari_abank")</f>
        <v>@sari_abank</v>
      </c>
      <c r="C37744" s="8" t="s">
        <v>14666</v>
      </c>
      <c r="D37744" s="8">
        <v>0</v>
      </c>
      <c r="E37744" s="8">
        <v>0</v>
      </c>
      <c r="F37744" s="8">
        <v>160</v>
      </c>
    </row>
    <row r="37745" spans="1:6" ht="12.75">
      <c r="A37745" s="8">
        <v>43887.544317129628</v>
      </c>
      <c r="B37745" s="8" t="str">
        <f>HYPERLINK("https://twitter.com/Melody__100","@Melody__100")</f>
        <v>@Melody__100</v>
      </c>
      <c r="C37745" s="8" t="s">
        <v>2940</v>
      </c>
      <c r="D37745" s="8">
        <v>2629</v>
      </c>
      <c r="E37745" s="8">
        <v>0</v>
      </c>
      <c r="F37745" s="8">
        <v>763</v>
      </c>
    </row>
    <row r="37746" spans="1:6" ht="12.75">
      <c r="A37746" s="8">
        <v>43887.544293981482</v>
      </c>
      <c r="B37746" s="8" t="str">
        <f>HYPERLINK("https://twitter.com/thewonderof_you","@thewonderof_you")</f>
        <v>@thewonderof_you</v>
      </c>
      <c r="C37746" s="8" t="s">
        <v>14667</v>
      </c>
      <c r="D37746" s="8">
        <v>0</v>
      </c>
      <c r="E37746" s="8">
        <v>0</v>
      </c>
      <c r="F37746" s="8">
        <v>753</v>
      </c>
    </row>
    <row r="37747" spans="1:6" ht="12.75">
      <c r="A37747" s="8">
        <v>43887.54415509259</v>
      </c>
      <c r="B37747" s="8" t="str">
        <f>HYPERLINK("https://twitter.com/zizyyA","@zizyyA")</f>
        <v>@zizyyA</v>
      </c>
      <c r="C37747" s="8" t="s">
        <v>593</v>
      </c>
      <c r="D37747" s="8">
        <v>89</v>
      </c>
      <c r="E37747" s="8">
        <v>0</v>
      </c>
      <c r="F37747" s="8">
        <v>286</v>
      </c>
    </row>
    <row r="37748" spans="1:6" ht="12.75">
      <c r="A37748" s="8">
        <v>43887.543599537035</v>
      </c>
      <c r="B37748" s="8" t="str">
        <f>HYPERLINK("https://twitter.com/santosoheribudi","@santosoheribudi")</f>
        <v>@santosoheribudi</v>
      </c>
      <c r="C37748" s="8" t="s">
        <v>14668</v>
      </c>
      <c r="D37748" s="8">
        <v>0</v>
      </c>
      <c r="E37748" s="8">
        <v>0</v>
      </c>
      <c r="F37748" s="8">
        <v>242</v>
      </c>
    </row>
    <row r="37749" spans="1:6" ht="12.75">
      <c r="A37749" s="8">
        <v>43887.543310185181</v>
      </c>
      <c r="B37749" s="8" t="str">
        <f>HYPERLINK("https://twitter.com/Tandaseru_id","@Tandaseru_id")</f>
        <v>@Tandaseru_id</v>
      </c>
      <c r="C37749" s="8" t="s">
        <v>14669</v>
      </c>
      <c r="D37749" s="8">
        <v>0</v>
      </c>
      <c r="E37749" s="8">
        <v>0</v>
      </c>
      <c r="F37749" s="8">
        <v>535</v>
      </c>
    </row>
    <row r="37750" spans="1:6" ht="12.75">
      <c r="A37750" s="8">
        <v>43887.542870370366</v>
      </c>
      <c r="B37750" s="8" t="str">
        <f>HYPERLINK("https://twitter.com/bipbipbarabi","@bipbipbarabi")</f>
        <v>@bipbipbarabi</v>
      </c>
      <c r="C37750" s="8" t="s">
        <v>2941</v>
      </c>
      <c r="D37750" s="8">
        <v>975</v>
      </c>
      <c r="E37750" s="8">
        <v>0</v>
      </c>
      <c r="F37750" s="8">
        <v>86</v>
      </c>
    </row>
    <row r="37751" spans="1:6" ht="12.75">
      <c r="A37751" s="8">
        <v>43887.542858796296</v>
      </c>
      <c r="B37751" s="8" t="str">
        <f>HYPERLINK("https://twitter.com/serinana","@serinana")</f>
        <v>@serinana</v>
      </c>
      <c r="C37751" s="8" t="s">
        <v>593</v>
      </c>
      <c r="D37751" s="8">
        <v>89</v>
      </c>
      <c r="E37751" s="8">
        <v>0</v>
      </c>
      <c r="F37751" s="8">
        <v>340</v>
      </c>
    </row>
    <row r="37752" spans="1:6" ht="12.75">
      <c r="A37752" s="8">
        <v>43887.542812500003</v>
      </c>
      <c r="B37752" s="8" t="str">
        <f>HYPERLINK("https://twitter.com/Junaidi_A217","@Junaidi_A217")</f>
        <v>@Junaidi_A217</v>
      </c>
      <c r="C37752" s="8" t="s">
        <v>13365</v>
      </c>
      <c r="D37752" s="8">
        <v>763</v>
      </c>
      <c r="E37752" s="8">
        <v>0</v>
      </c>
      <c r="F37752" s="8">
        <v>43</v>
      </c>
    </row>
    <row r="37753" spans="1:6" ht="12.75">
      <c r="A37753" s="8">
        <v>43887.54277777778</v>
      </c>
      <c r="B37753" s="8" t="str">
        <f>HYPERLINK("https://twitter.com/parkchelia","@parkchelia")</f>
        <v>@parkchelia</v>
      </c>
      <c r="C37753" s="8" t="s">
        <v>593</v>
      </c>
      <c r="D37753" s="8">
        <v>89</v>
      </c>
      <c r="E37753" s="8">
        <v>0</v>
      </c>
      <c r="F37753" s="8">
        <v>24</v>
      </c>
    </row>
    <row r="37754" spans="1:6" ht="12.75">
      <c r="A37754" s="8">
        <v>43887.542499999996</v>
      </c>
      <c r="B37754" s="8" t="str">
        <f>HYPERLINK("https://twitter.com/H_mints","@H_mints")</f>
        <v>@H_mints</v>
      </c>
      <c r="C37754" s="8" t="s">
        <v>14670</v>
      </c>
      <c r="D37754" s="8">
        <v>0</v>
      </c>
      <c r="E37754" s="8">
        <v>0</v>
      </c>
      <c r="F37754" s="8">
        <v>43</v>
      </c>
    </row>
    <row r="37755" spans="1:6" ht="12.75">
      <c r="A37755" s="8">
        <v>43887.542118055557</v>
      </c>
      <c r="B37755" s="8" t="str">
        <f>HYPERLINK("https://twitter.com/dipityshine","@dipityshine")</f>
        <v>@dipityshine</v>
      </c>
      <c r="C37755" s="8" t="s">
        <v>12800</v>
      </c>
      <c r="D37755" s="8">
        <v>145</v>
      </c>
      <c r="E37755" s="8">
        <v>0</v>
      </c>
      <c r="F37755" s="8">
        <v>1051</v>
      </c>
    </row>
    <row r="37756" spans="1:6" ht="12.75">
      <c r="A37756" s="8">
        <v>43887.542013888888</v>
      </c>
      <c r="B37756" s="8" t="str">
        <f>HYPERLINK("https://twitter.com/noviindahR","@noviindahR")</f>
        <v>@noviindahR</v>
      </c>
      <c r="C37756" s="8" t="s">
        <v>593</v>
      </c>
      <c r="D37756" s="8">
        <v>89</v>
      </c>
      <c r="E37756" s="8">
        <v>0</v>
      </c>
      <c r="F37756" s="8">
        <v>697</v>
      </c>
    </row>
    <row r="37757" spans="1:6" ht="12.75">
      <c r="A37757" s="8">
        <v>43887.541666666672</v>
      </c>
      <c r="B37757" s="8" t="str">
        <f>HYPERLINK("https://twitter.com/KompasTV","@KompasTV")</f>
        <v>@KompasTV</v>
      </c>
      <c r="C37757" s="8" t="s">
        <v>14671</v>
      </c>
      <c r="D37757" s="8">
        <v>2</v>
      </c>
      <c r="E37757" s="8">
        <v>9</v>
      </c>
      <c r="F37757" s="8">
        <v>2949190</v>
      </c>
    </row>
    <row r="37758" spans="1:6" ht="12.75">
      <c r="A37758" s="8">
        <v>43887.541574074072</v>
      </c>
      <c r="B37758" s="8" t="str">
        <f>HYPERLINK("https://twitter.com/Riefky_H","@Riefky_H")</f>
        <v>@Riefky_H</v>
      </c>
      <c r="C37758" s="8" t="s">
        <v>2941</v>
      </c>
      <c r="D37758" s="8">
        <v>975</v>
      </c>
      <c r="E37758" s="8">
        <v>0</v>
      </c>
      <c r="F37758" s="8">
        <v>62</v>
      </c>
    </row>
    <row r="37759" spans="1:6" ht="12.75">
      <c r="A37759" s="8">
        <v>43887.541400462964</v>
      </c>
      <c r="B37759" s="8" t="str">
        <f>HYPERLINK("https://twitter.com/Lizbeth09112","@Lizbeth09112")</f>
        <v>@Lizbeth09112</v>
      </c>
      <c r="C37759" s="8" t="s">
        <v>2941</v>
      </c>
      <c r="D37759" s="8">
        <v>975</v>
      </c>
      <c r="E37759" s="8">
        <v>0</v>
      </c>
      <c r="F37759" s="8">
        <v>1</v>
      </c>
    </row>
    <row r="37760" spans="1:6" ht="12.75">
      <c r="A37760" s="8">
        <v>43887.541134259256</v>
      </c>
      <c r="B37760" s="8" t="str">
        <f>HYPERLINK("https://twitter.com/wawandarmaone","@wawandarmaone")</f>
        <v>@wawandarmaone</v>
      </c>
      <c r="C37760" s="8" t="s">
        <v>13365</v>
      </c>
      <c r="D37760" s="8">
        <v>763</v>
      </c>
      <c r="E37760" s="8">
        <v>0</v>
      </c>
      <c r="F37760" s="8">
        <v>494</v>
      </c>
    </row>
    <row r="37761" spans="1:6" ht="12.75">
      <c r="A37761" s="8">
        <v>43887.540949074071</v>
      </c>
      <c r="B37761" s="8" t="str">
        <f>HYPERLINK("https://twitter.com/anyelirdevi","@anyelirdevi")</f>
        <v>@anyelirdevi</v>
      </c>
      <c r="C37761" s="8" t="s">
        <v>593</v>
      </c>
      <c r="D37761" s="8">
        <v>89</v>
      </c>
      <c r="E37761" s="8">
        <v>0</v>
      </c>
      <c r="F37761" s="8">
        <v>28</v>
      </c>
    </row>
    <row r="37762" spans="1:6" ht="12.75">
      <c r="A37762" s="8">
        <v>43887.540891203702</v>
      </c>
      <c r="B37762" s="8" t="str">
        <f>HYPERLINK("https://twitter.com/RivaldiZakie","@RivaldiZakie")</f>
        <v>@RivaldiZakie</v>
      </c>
      <c r="C37762" s="8" t="s">
        <v>14672</v>
      </c>
      <c r="D37762" s="8">
        <v>1</v>
      </c>
      <c r="E37762" s="8">
        <v>0</v>
      </c>
      <c r="F37762" s="8">
        <v>15</v>
      </c>
    </row>
    <row r="37763" spans="1:6" ht="12.75">
      <c r="A37763" s="8">
        <v>43887.540810185186</v>
      </c>
      <c r="B37763" s="8" t="str">
        <f>HYPERLINK("https://twitter.com/unillaN","@unillaN")</f>
        <v>@unillaN</v>
      </c>
      <c r="C37763" s="8" t="s">
        <v>2940</v>
      </c>
      <c r="D37763" s="8">
        <v>2629</v>
      </c>
      <c r="E37763" s="8">
        <v>0</v>
      </c>
      <c r="F37763" s="8">
        <v>547</v>
      </c>
    </row>
    <row r="37764" spans="1:6" ht="12.75">
      <c r="A37764" s="8">
        <v>43887.540810185186</v>
      </c>
      <c r="B37764" s="8" t="str">
        <f>HYPERLINK("https://twitter.com/eradotid","@eradotid")</f>
        <v>@eradotid</v>
      </c>
      <c r="C37764" s="8" t="s">
        <v>14673</v>
      </c>
      <c r="D37764" s="8">
        <v>0</v>
      </c>
      <c r="E37764" s="8">
        <v>2</v>
      </c>
      <c r="F37764" s="8">
        <v>2605</v>
      </c>
    </row>
    <row r="37765" spans="1:6" ht="12.75">
      <c r="A37765" s="8">
        <v>43887.540590277778</v>
      </c>
      <c r="B37765" s="8" t="str">
        <f>HYPERLINK("https://twitter.com/brainstatics","@brainstatics")</f>
        <v>@brainstatics</v>
      </c>
      <c r="C37765" s="8" t="s">
        <v>593</v>
      </c>
      <c r="D37765" s="8">
        <v>89</v>
      </c>
      <c r="E37765" s="8">
        <v>0</v>
      </c>
      <c r="F37765" s="8">
        <v>26</v>
      </c>
    </row>
    <row r="37766" spans="1:6" ht="12.75">
      <c r="A37766" s="8">
        <v>43887.540555555555</v>
      </c>
      <c r="B37766" s="8" t="str">
        <f>HYPERLINK("https://twitter.com/_roseblackpink","@_roseblackpink")</f>
        <v>@_roseblackpink</v>
      </c>
      <c r="C37766" s="8" t="s">
        <v>593</v>
      </c>
      <c r="D37766" s="8">
        <v>89</v>
      </c>
      <c r="E37766" s="8">
        <v>0</v>
      </c>
      <c r="F37766" s="8">
        <v>486</v>
      </c>
    </row>
    <row r="37767" spans="1:6" ht="12.75">
      <c r="A37767" s="8">
        <v>43887.540543981479</v>
      </c>
      <c r="B37767" s="8" t="str">
        <f>HYPERLINK("https://twitter.com/Yustindisr","@Yustindisr")</f>
        <v>@Yustindisr</v>
      </c>
      <c r="C37767" s="8" t="s">
        <v>593</v>
      </c>
      <c r="D37767" s="8">
        <v>89</v>
      </c>
      <c r="E37767" s="8">
        <v>0</v>
      </c>
      <c r="F37767" s="8">
        <v>418</v>
      </c>
    </row>
    <row r="37768" spans="1:6" ht="12.75">
      <c r="A37768" s="8">
        <v>43887.54042824074</v>
      </c>
      <c r="B37768" s="8" t="str">
        <f>HYPERLINK("https://twitter.com/dandanielion","@dandanielion")</f>
        <v>@dandanielion</v>
      </c>
      <c r="C37768" s="8" t="s">
        <v>593</v>
      </c>
      <c r="D37768" s="8">
        <v>89</v>
      </c>
      <c r="E37768" s="8">
        <v>0</v>
      </c>
      <c r="F37768" s="8">
        <v>51</v>
      </c>
    </row>
    <row r="37769" spans="1:6" ht="12.75">
      <c r="A37769" s="8">
        <v>43887.540300925924</v>
      </c>
      <c r="B37769" s="8" t="str">
        <f>HYPERLINK("https://twitter.com/kayodaimido","@kayodaimido")</f>
        <v>@kayodaimido</v>
      </c>
      <c r="C37769" s="8" t="s">
        <v>2940</v>
      </c>
      <c r="D37769" s="8">
        <v>2629</v>
      </c>
      <c r="E37769" s="8">
        <v>0</v>
      </c>
      <c r="F37769" s="8">
        <v>197</v>
      </c>
    </row>
    <row r="37770" spans="1:6" ht="12.75">
      <c r="A37770" s="8">
        <v>43887.539942129632</v>
      </c>
      <c r="B37770" s="8" t="str">
        <f>HYPERLINK("https://twitter.com/anitajnst","@anitajnst")</f>
        <v>@anitajnst</v>
      </c>
      <c r="C37770" s="8" t="s">
        <v>593</v>
      </c>
      <c r="D37770" s="8">
        <v>89</v>
      </c>
      <c r="E37770" s="8">
        <v>0</v>
      </c>
      <c r="F37770" s="8">
        <v>1049</v>
      </c>
    </row>
    <row r="37771" spans="1:6" ht="12.75">
      <c r="A37771" s="8">
        <v>43887.539849537032</v>
      </c>
      <c r="B37771" s="8" t="str">
        <f>HYPERLINK("https://twitter.com/UswatunSahara","@UswatunSahara")</f>
        <v>@UswatunSahara</v>
      </c>
      <c r="C37771" s="8" t="s">
        <v>593</v>
      </c>
      <c r="D37771" s="8">
        <v>89</v>
      </c>
      <c r="E37771" s="8">
        <v>0</v>
      </c>
      <c r="F37771" s="8">
        <v>153</v>
      </c>
    </row>
    <row r="37772" spans="1:6" ht="12.75">
      <c r="A37772" s="8">
        <v>43887.539849537032</v>
      </c>
      <c r="B37772" s="8" t="str">
        <f>HYPERLINK("https://twitter.com/kittycatsu","@kittycatsu")</f>
        <v>@kittycatsu</v>
      </c>
      <c r="C37772" s="8" t="s">
        <v>593</v>
      </c>
      <c r="D37772" s="8">
        <v>89</v>
      </c>
      <c r="E37772" s="8">
        <v>0</v>
      </c>
      <c r="F37772" s="8">
        <v>85</v>
      </c>
    </row>
    <row r="37773" spans="1:6" ht="12.75">
      <c r="A37773" s="8">
        <v>43887.539814814816</v>
      </c>
      <c r="B37773" s="8" t="str">
        <f>HYPERLINK("https://twitter.com/Adsrw23","@Adsrw23")</f>
        <v>@Adsrw23</v>
      </c>
      <c r="C37773" s="8" t="s">
        <v>12800</v>
      </c>
      <c r="D37773" s="8">
        <v>145</v>
      </c>
      <c r="E37773" s="8">
        <v>0</v>
      </c>
      <c r="F37773" s="8">
        <v>20</v>
      </c>
    </row>
    <row r="37774" spans="1:6" ht="12.75">
      <c r="A37774" s="8">
        <v>43887.539594907408</v>
      </c>
      <c r="B37774" s="8" t="str">
        <f>HYPERLINK("https://twitter.com/nytecrawlr","@nytecrawlr")</f>
        <v>@nytecrawlr</v>
      </c>
      <c r="C37774" s="8" t="s">
        <v>593</v>
      </c>
      <c r="D37774" s="8">
        <v>89</v>
      </c>
      <c r="E37774" s="8">
        <v>0</v>
      </c>
      <c r="F37774" s="8">
        <v>96</v>
      </c>
    </row>
    <row r="37775" spans="1:6" ht="12.75">
      <c r="A37775" s="8">
        <v>43887.539548611108</v>
      </c>
      <c r="B37775" s="8" t="str">
        <f>HYPERLINK("https://twitter.com/whtduwnt","@whtduwnt")</f>
        <v>@whtduwnt</v>
      </c>
      <c r="C37775" s="8" t="s">
        <v>593</v>
      </c>
      <c r="D37775" s="8">
        <v>89</v>
      </c>
      <c r="E37775" s="8">
        <v>0</v>
      </c>
      <c r="F37775" s="8">
        <v>158</v>
      </c>
    </row>
    <row r="37776" spans="1:6" ht="12.75">
      <c r="A37776" s="8">
        <v>43887.539525462962</v>
      </c>
      <c r="B37776" s="8" t="str">
        <f>HYPERLINK("https://twitter.com/muammarsyarbini","@muammarsyarbini")</f>
        <v>@muammarsyarbini</v>
      </c>
      <c r="C37776" s="8" t="s">
        <v>593</v>
      </c>
      <c r="D37776" s="8">
        <v>89</v>
      </c>
      <c r="E37776" s="8">
        <v>0</v>
      </c>
      <c r="F37776" s="8">
        <v>916</v>
      </c>
    </row>
    <row r="37777" spans="1:6" ht="12.75">
      <c r="A37777" s="8">
        <v>43887.539479166662</v>
      </c>
      <c r="B37777" s="8" t="str">
        <f>HYPERLINK("https://twitter.com/Liza_Eri","@Liza_Eri")</f>
        <v>@Liza_Eri</v>
      </c>
      <c r="C37777" s="8" t="s">
        <v>593</v>
      </c>
      <c r="D37777" s="8">
        <v>89</v>
      </c>
      <c r="E37777" s="8">
        <v>0</v>
      </c>
      <c r="F37777" s="8">
        <v>663</v>
      </c>
    </row>
    <row r="37778" spans="1:6" ht="12.75">
      <c r="A37778" s="8">
        <v>43887.539444444439</v>
      </c>
      <c r="B37778" s="8" t="str">
        <f>HYPERLINK("https://twitter.com/Addarief","@Addarief")</f>
        <v>@Addarief</v>
      </c>
      <c r="C37778" s="8" t="s">
        <v>593</v>
      </c>
      <c r="D37778" s="8">
        <v>89</v>
      </c>
      <c r="E37778" s="8">
        <v>0</v>
      </c>
      <c r="F37778" s="8">
        <v>132</v>
      </c>
    </row>
    <row r="37779" spans="1:6" ht="12.75">
      <c r="A37779" s="8">
        <v>43887.539375</v>
      </c>
      <c r="B37779" s="8" t="str">
        <f>HYPERLINK("https://twitter.com/josuatamba","@josuatamba")</f>
        <v>@josuatamba</v>
      </c>
      <c r="C37779" s="8" t="s">
        <v>593</v>
      </c>
      <c r="D37779" s="8">
        <v>89</v>
      </c>
      <c r="E37779" s="8">
        <v>0</v>
      </c>
      <c r="F37779" s="8">
        <v>504</v>
      </c>
    </row>
    <row r="37780" spans="1:6" ht="12.75">
      <c r="A37780" s="8">
        <v>43887.539085648154</v>
      </c>
      <c r="B37780" s="8" t="str">
        <f>HYPERLINK("https://twitter.com/triwardhani","@triwardhani")</f>
        <v>@triwardhani</v>
      </c>
      <c r="C37780" s="8" t="s">
        <v>14674</v>
      </c>
      <c r="D37780" s="8">
        <v>0</v>
      </c>
      <c r="E37780" s="8">
        <v>0</v>
      </c>
      <c r="F37780" s="8">
        <v>501</v>
      </c>
    </row>
    <row r="37781" spans="1:6" ht="12.75">
      <c r="A37781" s="8">
        <v>43887.538865740746</v>
      </c>
      <c r="B37781" s="8" t="str">
        <f>HYPERLINK("https://twitter.com/putriaasnk","@putriaasnk")</f>
        <v>@putriaasnk</v>
      </c>
      <c r="C37781" s="8" t="s">
        <v>593</v>
      </c>
      <c r="D37781" s="8">
        <v>89</v>
      </c>
      <c r="E37781" s="8">
        <v>0</v>
      </c>
      <c r="F37781" s="8">
        <v>758</v>
      </c>
    </row>
    <row r="37782" spans="1:6" ht="12.75">
      <c r="A37782" s="8">
        <v>43887.538854166662</v>
      </c>
      <c r="B37782" s="8" t="str">
        <f>HYPERLINK("https://twitter.com/panggilajanopi","@panggilajanopi")</f>
        <v>@panggilajanopi</v>
      </c>
      <c r="C37782" s="8" t="s">
        <v>593</v>
      </c>
      <c r="D37782" s="8">
        <v>89</v>
      </c>
      <c r="E37782" s="8">
        <v>0</v>
      </c>
      <c r="F37782" s="8">
        <v>46</v>
      </c>
    </row>
    <row r="37783" spans="1:6" ht="12.75">
      <c r="A37783" s="8">
        <v>43887.538564814815</v>
      </c>
      <c r="B37783" s="8" t="str">
        <f>HYPERLINK("https://twitter.com/IADiahKartika","@IADiahKartika")</f>
        <v>@IADiahKartika</v>
      </c>
      <c r="C37783" s="8" t="s">
        <v>593</v>
      </c>
      <c r="D37783" s="8">
        <v>89</v>
      </c>
      <c r="E37783" s="8">
        <v>0</v>
      </c>
      <c r="F37783" s="8">
        <v>146</v>
      </c>
    </row>
    <row r="37784" spans="1:6" ht="12.75">
      <c r="A37784" s="8">
        <v>43887.538483796292</v>
      </c>
      <c r="B37784" s="8" t="str">
        <f>HYPERLINK("https://twitter.com/ygayunan_","@ygayunan_")</f>
        <v>@ygayunan_</v>
      </c>
      <c r="C37784" s="8" t="s">
        <v>593</v>
      </c>
      <c r="D37784" s="8">
        <v>89</v>
      </c>
      <c r="E37784" s="8">
        <v>0</v>
      </c>
      <c r="F37784" s="8">
        <v>20</v>
      </c>
    </row>
    <row r="37785" spans="1:6" ht="12.75">
      <c r="A37785" s="8">
        <v>43887.538194444445</v>
      </c>
      <c r="B37785" s="8" t="str">
        <f>HYPERLINK("https://twitter.com/maspaushitam","@maspaushitam")</f>
        <v>@maspaushitam</v>
      </c>
      <c r="C37785" s="8" t="s">
        <v>593</v>
      </c>
      <c r="D37785" s="8">
        <v>89</v>
      </c>
      <c r="E37785" s="8">
        <v>0</v>
      </c>
      <c r="F37785" s="8">
        <v>18383</v>
      </c>
    </row>
    <row r="37786" spans="1:6" ht="12.75">
      <c r="A37786" s="8">
        <v>43887.538090277776</v>
      </c>
      <c r="B37786" s="8" t="str">
        <f>HYPERLINK("https://twitter.com/aisyeaah","@aisyeaah")</f>
        <v>@aisyeaah</v>
      </c>
      <c r="C37786" s="8" t="s">
        <v>593</v>
      </c>
      <c r="D37786" s="8">
        <v>89</v>
      </c>
      <c r="E37786" s="8">
        <v>0</v>
      </c>
      <c r="F37786" s="8">
        <v>59</v>
      </c>
    </row>
    <row r="37787" spans="1:6" ht="12.75">
      <c r="A37787" s="8">
        <v>43887.537997685184</v>
      </c>
      <c r="B37787" s="8" t="str">
        <f>HYPERLINK("https://twitter.com/63Bunnny","@63Bunnny")</f>
        <v>@63Bunnny</v>
      </c>
      <c r="C37787" s="8" t="s">
        <v>593</v>
      </c>
      <c r="D37787" s="8">
        <v>89</v>
      </c>
      <c r="E37787" s="8">
        <v>0</v>
      </c>
      <c r="F37787" s="8">
        <v>42</v>
      </c>
    </row>
    <row r="37788" spans="1:6" ht="12.75">
      <c r="A37788" s="8">
        <v>43887.537974537037</v>
      </c>
      <c r="B37788" s="8" t="str">
        <f>HYPERLINK("https://twitter.com/pacarkamunih","@pacarkamunih")</f>
        <v>@pacarkamunih</v>
      </c>
      <c r="C37788" s="8" t="s">
        <v>593</v>
      </c>
      <c r="D37788" s="8">
        <v>89</v>
      </c>
      <c r="E37788" s="8">
        <v>0</v>
      </c>
      <c r="F37788" s="8">
        <v>297</v>
      </c>
    </row>
    <row r="37789" spans="1:6" ht="12.75">
      <c r="A37789" s="8">
        <v>43887.537754629629</v>
      </c>
      <c r="B37789" s="8" t="str">
        <f>HYPERLINK("https://twitter.com/dianvtsri","@dianvtsri")</f>
        <v>@dianvtsri</v>
      </c>
      <c r="C37789" s="8" t="s">
        <v>593</v>
      </c>
      <c r="D37789" s="8">
        <v>89</v>
      </c>
      <c r="E37789" s="8">
        <v>0</v>
      </c>
      <c r="F37789" s="8">
        <v>117</v>
      </c>
    </row>
    <row r="37790" spans="1:6" ht="12.75">
      <c r="A37790" s="8">
        <v>43887.537685185191</v>
      </c>
      <c r="B37790" s="8" t="str">
        <f>HYPERLINK("https://twitter.com/sunda_002","@sunda_002")</f>
        <v>@sunda_002</v>
      </c>
      <c r="C37790" s="8" t="s">
        <v>14675</v>
      </c>
      <c r="D37790" s="8">
        <v>0</v>
      </c>
      <c r="E37790" s="8">
        <v>2</v>
      </c>
      <c r="F37790" s="8">
        <v>937</v>
      </c>
    </row>
    <row r="37791" spans="1:6" ht="12.75">
      <c r="A37791" s="8">
        <v>43887.537627314814</v>
      </c>
      <c r="B37791" s="8" t="str">
        <f>HYPERLINK("https://twitter.com/DewiAmiroh1","@DewiAmiroh1")</f>
        <v>@DewiAmiroh1</v>
      </c>
      <c r="C37791" s="8" t="s">
        <v>593</v>
      </c>
      <c r="D37791" s="8">
        <v>89</v>
      </c>
      <c r="E37791" s="8">
        <v>0</v>
      </c>
      <c r="F37791" s="8">
        <v>23</v>
      </c>
    </row>
    <row r="37792" spans="1:6" ht="12.75">
      <c r="A37792" s="8">
        <v>43887.537442129629</v>
      </c>
      <c r="B37792" s="8" t="str">
        <f>HYPERLINK("https://twitter.com/noneacid","@noneacid")</f>
        <v>@noneacid</v>
      </c>
      <c r="C37792" s="8" t="s">
        <v>593</v>
      </c>
      <c r="D37792" s="8">
        <v>89</v>
      </c>
      <c r="E37792" s="8">
        <v>0</v>
      </c>
      <c r="F37792" s="8">
        <v>761</v>
      </c>
    </row>
    <row r="37793" spans="1:6" ht="12.75">
      <c r="A37793" s="8">
        <v>43887.537395833337</v>
      </c>
      <c r="B37793" s="8" t="str">
        <f>HYPERLINK("https://twitter.com/Thallasxphile","@Thallasxphile")</f>
        <v>@Thallasxphile</v>
      </c>
      <c r="C37793" s="8" t="s">
        <v>593</v>
      </c>
      <c r="D37793" s="8">
        <v>89</v>
      </c>
      <c r="E37793" s="8">
        <v>0</v>
      </c>
      <c r="F37793" s="8">
        <v>514</v>
      </c>
    </row>
    <row r="37794" spans="1:6" ht="12.75">
      <c r="A37794" s="8">
        <v>43887.53733796296</v>
      </c>
      <c r="B37794" s="8" t="str">
        <f>HYPERLINK("https://twitter.com/husnaa_a","@husnaa_a")</f>
        <v>@husnaa_a</v>
      </c>
      <c r="C37794" s="8" t="s">
        <v>593</v>
      </c>
      <c r="D37794" s="8">
        <v>89</v>
      </c>
      <c r="E37794" s="8">
        <v>0</v>
      </c>
      <c r="F37794" s="8">
        <v>493</v>
      </c>
    </row>
    <row r="37795" spans="1:6" ht="12.75">
      <c r="A37795" s="8">
        <v>43887.537106481483</v>
      </c>
      <c r="B37795" s="8" t="str">
        <f>HYPERLINK("https://twitter.com/WillySamawea","@WillySamawea")</f>
        <v>@WillySamawea</v>
      </c>
      <c r="C37795" s="8" t="s">
        <v>14471</v>
      </c>
      <c r="D37795" s="8">
        <v>3</v>
      </c>
      <c r="E37795" s="8">
        <v>0</v>
      </c>
      <c r="F37795" s="8">
        <v>72</v>
      </c>
    </row>
    <row r="37796" spans="1:6" ht="12.75">
      <c r="A37796" s="8">
        <v>43887.536956018521</v>
      </c>
      <c r="B37796" s="8" t="str">
        <f>HYPERLINK("https://twitter.com/snowtalesss","@snowtalesss")</f>
        <v>@snowtalesss</v>
      </c>
      <c r="C37796" s="8" t="s">
        <v>593</v>
      </c>
      <c r="D37796" s="8">
        <v>89</v>
      </c>
      <c r="E37796" s="8">
        <v>0</v>
      </c>
      <c r="F37796" s="8">
        <v>351</v>
      </c>
    </row>
    <row r="37797" spans="1:6" ht="12.75">
      <c r="A37797" s="8">
        <v>43887.536956018521</v>
      </c>
      <c r="B37797" s="8" t="str">
        <f>HYPERLINK("https://twitter.com/lalanurmala27","@lalanurmala27")</f>
        <v>@lalanurmala27</v>
      </c>
      <c r="C37797" s="8" t="s">
        <v>2941</v>
      </c>
      <c r="D37797" s="8">
        <v>975</v>
      </c>
      <c r="E37797" s="8">
        <v>0</v>
      </c>
      <c r="F37797" s="8">
        <v>88</v>
      </c>
    </row>
    <row r="37798" spans="1:6" ht="12.75">
      <c r="A37798" s="8">
        <v>43887.536793981482</v>
      </c>
      <c r="B37798" s="8" t="str">
        <f>HYPERLINK("https://twitter.com/Pokemon__Air","@Pokemon__Air")</f>
        <v>@Pokemon__Air</v>
      </c>
      <c r="C37798" s="8" t="s">
        <v>593</v>
      </c>
      <c r="D37798" s="8">
        <v>89</v>
      </c>
      <c r="E37798" s="8">
        <v>0</v>
      </c>
      <c r="F37798" s="8">
        <v>197</v>
      </c>
    </row>
    <row r="37799" spans="1:6" ht="12.75">
      <c r="A37799" s="8">
        <v>43887.536770833336</v>
      </c>
      <c r="B37799" s="8" t="str">
        <f>HYPERLINK("https://twitter.com/hfdzmaulana","@hfdzmaulana")</f>
        <v>@hfdzmaulana</v>
      </c>
      <c r="C37799" s="8" t="s">
        <v>593</v>
      </c>
      <c r="D37799" s="8">
        <v>89</v>
      </c>
      <c r="E37799" s="8">
        <v>0</v>
      </c>
      <c r="F37799" s="8">
        <v>225</v>
      </c>
    </row>
    <row r="37800" spans="1:6" ht="12.75">
      <c r="A37800" s="8">
        <v>43887.536724537036</v>
      </c>
      <c r="B37800" s="8" t="str">
        <f>HYPERLINK("https://twitter.com/wisnuchop","@wisnuchop")</f>
        <v>@wisnuchop</v>
      </c>
      <c r="C37800" s="8" t="s">
        <v>13365</v>
      </c>
      <c r="D37800" s="8">
        <v>763</v>
      </c>
      <c r="E37800" s="8">
        <v>0</v>
      </c>
      <c r="F37800" s="8">
        <v>222</v>
      </c>
    </row>
    <row r="37801" spans="1:6" ht="12.75">
      <c r="A37801" s="8">
        <v>43887.536678240736</v>
      </c>
      <c r="B37801" s="8" t="str">
        <f>HYPERLINK("https://twitter.com/infoppkk","@infoppkk")</f>
        <v>@infoppkk</v>
      </c>
      <c r="C37801" s="8" t="s">
        <v>12390</v>
      </c>
      <c r="D37801" s="8">
        <v>1</v>
      </c>
      <c r="E37801" s="8">
        <v>0</v>
      </c>
      <c r="F37801" s="8">
        <v>5166</v>
      </c>
    </row>
    <row r="37802" spans="1:6" ht="12.75">
      <c r="A37802" s="8">
        <v>43887.536620370374</v>
      </c>
      <c r="B37802" s="8" t="str">
        <f>HYPERLINK("https://twitter.com/elizabethpkphn","@elizabethpkphn")</f>
        <v>@elizabethpkphn</v>
      </c>
      <c r="C37802" s="8" t="s">
        <v>14676</v>
      </c>
      <c r="D37802" s="8">
        <v>0</v>
      </c>
      <c r="E37802" s="8">
        <v>0</v>
      </c>
      <c r="F37802" s="8">
        <v>351</v>
      </c>
    </row>
    <row r="37803" spans="1:6" ht="12.75">
      <c r="A37803" s="8">
        <v>43887.536620370374</v>
      </c>
      <c r="B37803" s="8" t="str">
        <f>HYPERLINK("https://twitter.com/AgneesLS","@AgneesLS")</f>
        <v>@AgneesLS</v>
      </c>
      <c r="C37803" s="8" t="s">
        <v>593</v>
      </c>
      <c r="D37803" s="8">
        <v>89</v>
      </c>
      <c r="E37803" s="8">
        <v>0</v>
      </c>
      <c r="F37803" s="8">
        <v>1218</v>
      </c>
    </row>
    <row r="37804" spans="1:6" ht="12.75">
      <c r="A37804" s="8">
        <v>43887.536504629628</v>
      </c>
      <c r="B37804" s="8" t="str">
        <f>HYPERLINK("https://twitter.com/farizcahyoo","@farizcahyoo")</f>
        <v>@farizcahyoo</v>
      </c>
      <c r="C37804" s="8" t="s">
        <v>593</v>
      </c>
      <c r="D37804" s="8">
        <v>89</v>
      </c>
      <c r="E37804" s="8">
        <v>0</v>
      </c>
      <c r="F37804" s="8">
        <v>771</v>
      </c>
    </row>
    <row r="37805" spans="1:6" ht="12.75">
      <c r="A37805" s="8">
        <v>43887.536504629628</v>
      </c>
      <c r="B37805" s="8" t="str">
        <f>HYPERLINK("https://twitter.com/ratekajo","@ratekajo")</f>
        <v>@ratekajo</v>
      </c>
      <c r="C37805" s="8" t="s">
        <v>13365</v>
      </c>
      <c r="D37805" s="8">
        <v>763</v>
      </c>
      <c r="E37805" s="8">
        <v>0</v>
      </c>
      <c r="F37805" s="8">
        <v>267</v>
      </c>
    </row>
    <row r="37806" spans="1:6" ht="12.75">
      <c r="A37806" s="8">
        <v>43887.536493055552</v>
      </c>
      <c r="B37806" s="8" t="str">
        <f>HYPERLINK("https://twitter.com/dwytono","@dwytono")</f>
        <v>@dwytono</v>
      </c>
      <c r="C37806" s="8" t="s">
        <v>14677</v>
      </c>
      <c r="D37806" s="8">
        <v>0</v>
      </c>
      <c r="E37806" s="8">
        <v>0</v>
      </c>
      <c r="F37806" s="8">
        <v>1862</v>
      </c>
    </row>
    <row r="37807" spans="1:6" ht="12.75">
      <c r="A37807" s="8">
        <v>43887.536423611113</v>
      </c>
      <c r="B37807" s="8" t="str">
        <f>HYPERLINK("https://twitter.com/Dyah_kor","@Dyah_kor")</f>
        <v>@Dyah_kor</v>
      </c>
      <c r="C37807" s="8" t="s">
        <v>593</v>
      </c>
      <c r="D37807" s="8">
        <v>89</v>
      </c>
      <c r="E37807" s="8">
        <v>0</v>
      </c>
      <c r="F37807" s="8">
        <v>973</v>
      </c>
    </row>
    <row r="37808" spans="1:6" ht="12.75">
      <c r="A37808" s="8">
        <v>43887.536307870367</v>
      </c>
      <c r="B37808" s="8" t="str">
        <f>HYPERLINK("https://twitter.com/alaskaxa","@alaskaxa")</f>
        <v>@alaskaxa</v>
      </c>
      <c r="C37808" s="8" t="s">
        <v>593</v>
      </c>
      <c r="D37808" s="8">
        <v>89</v>
      </c>
      <c r="E37808" s="8">
        <v>0</v>
      </c>
      <c r="F37808" s="8">
        <v>338</v>
      </c>
    </row>
    <row r="37809" spans="1:6" ht="12.75">
      <c r="A37809" s="8">
        <v>43887.536296296297</v>
      </c>
      <c r="B37809" s="8" t="str">
        <f>HYPERLINK("https://twitter.com/Yrisma19","@Yrisma19")</f>
        <v>@Yrisma19</v>
      </c>
      <c r="C37809" s="8" t="s">
        <v>12800</v>
      </c>
      <c r="D37809" s="8">
        <v>145</v>
      </c>
      <c r="E37809" s="8">
        <v>0</v>
      </c>
      <c r="F37809" s="8">
        <v>17</v>
      </c>
    </row>
    <row r="37810" spans="1:6" ht="12.75">
      <c r="A37810" s="8">
        <v>43887.536215277782</v>
      </c>
      <c r="B37810" s="8" t="str">
        <f>HYPERLINK("https://twitter.com/yogapraditow","@yogapraditow")</f>
        <v>@yogapraditow</v>
      </c>
      <c r="C37810" s="8" t="s">
        <v>14678</v>
      </c>
      <c r="D37810" s="8">
        <v>1</v>
      </c>
      <c r="E37810" s="8">
        <v>0</v>
      </c>
      <c r="F37810" s="8">
        <v>410</v>
      </c>
    </row>
    <row r="37811" spans="1:6" ht="12.75">
      <c r="A37811" s="8">
        <v>43887.536030092597</v>
      </c>
      <c r="B37811" s="8" t="str">
        <f>HYPERLINK("https://twitter.com/aryapro_961","@aryapro_961")</f>
        <v>@aryapro_961</v>
      </c>
      <c r="C37811" s="8" t="s">
        <v>2941</v>
      </c>
      <c r="D37811" s="8">
        <v>975</v>
      </c>
      <c r="E37811" s="8">
        <v>0</v>
      </c>
      <c r="F37811" s="8">
        <v>10</v>
      </c>
    </row>
    <row r="37812" spans="1:6" ht="12.75">
      <c r="A37812" s="8">
        <v>43887.535983796297</v>
      </c>
      <c r="B37812" s="8" t="str">
        <f>HYPERLINK("https://twitter.com/yetyysoerjadi","@yetyysoerjadi")</f>
        <v>@yetyysoerjadi</v>
      </c>
      <c r="C37812" s="8" t="s">
        <v>593</v>
      </c>
      <c r="D37812" s="8">
        <v>89</v>
      </c>
      <c r="E37812" s="8">
        <v>0</v>
      </c>
      <c r="F37812" s="8">
        <v>37</v>
      </c>
    </row>
    <row r="37813" spans="1:6" ht="12.75">
      <c r="A37813" s="8">
        <v>43887.535983796297</v>
      </c>
      <c r="B37813" s="8" t="str">
        <f>HYPERLINK("https://twitter.com/pascalshinji","@pascalshinji")</f>
        <v>@pascalshinji</v>
      </c>
      <c r="C37813" s="8" t="s">
        <v>14679</v>
      </c>
      <c r="D37813" s="8">
        <v>0</v>
      </c>
      <c r="E37813" s="8">
        <v>0</v>
      </c>
      <c r="F37813" s="8">
        <v>77</v>
      </c>
    </row>
    <row r="37814" spans="1:6" ht="12.75">
      <c r="A37814" s="8">
        <v>43887.50675925926</v>
      </c>
      <c r="B37814" s="8" t="str">
        <f>HYPERLINK("https://twitter.com/apipa_iya","@apipa_iya")</f>
        <v>@apipa_iya</v>
      </c>
      <c r="C37814" s="8" t="s">
        <v>2941</v>
      </c>
      <c r="D37814" s="8">
        <v>957</v>
      </c>
      <c r="E37814" s="8">
        <v>0</v>
      </c>
      <c r="F37814" s="8">
        <v>6</v>
      </c>
    </row>
    <row r="37815" spans="1:6" ht="12.75">
      <c r="A37815" s="8">
        <v>43887.506620370375</v>
      </c>
      <c r="B37815" s="8" t="str">
        <f>HYPERLINK("https://twitter.com/sabhatansabiz","@sabhatansabiz")</f>
        <v>@sabhatansabiz</v>
      </c>
      <c r="C37815" s="8" t="s">
        <v>14680</v>
      </c>
      <c r="D37815" s="8">
        <v>1</v>
      </c>
      <c r="E37815" s="8">
        <v>0</v>
      </c>
      <c r="F37815" s="8">
        <v>1586</v>
      </c>
    </row>
    <row r="37816" spans="1:6" ht="12.75">
      <c r="A37816" s="8">
        <v>43887.506527777776</v>
      </c>
      <c r="B37816" s="8" t="str">
        <f>HYPERLINK("https://twitter.com/lestyaqmarina","@lestyaqmarina")</f>
        <v>@lestyaqmarina</v>
      </c>
      <c r="C37816" s="8" t="s">
        <v>14681</v>
      </c>
      <c r="D37816" s="8">
        <v>0</v>
      </c>
      <c r="E37816" s="8">
        <v>0</v>
      </c>
      <c r="F37816" s="8">
        <v>769</v>
      </c>
    </row>
    <row r="37817" spans="1:6" ht="12.75">
      <c r="A37817" s="8">
        <v>43887.506307870368</v>
      </c>
      <c r="B37817" s="8" t="str">
        <f>HYPERLINK("https://twitter.com/radar_malang","@radar_malang")</f>
        <v>@radar_malang</v>
      </c>
      <c r="C37817" s="8" t="s">
        <v>14682</v>
      </c>
      <c r="D37817" s="8">
        <v>1</v>
      </c>
      <c r="E37817" s="8">
        <v>0</v>
      </c>
      <c r="F37817" s="8">
        <v>108684</v>
      </c>
    </row>
    <row r="37818" spans="1:6" ht="12.75">
      <c r="A37818" s="8">
        <v>43887.506226851852</v>
      </c>
      <c r="B37818" s="8" t="str">
        <f>HYPERLINK("https://twitter.com/_hanbee96","@_hanbee96")</f>
        <v>@_hanbee96</v>
      </c>
      <c r="C37818" s="8" t="s">
        <v>12800</v>
      </c>
      <c r="D37818" s="8">
        <v>119</v>
      </c>
      <c r="E37818" s="8">
        <v>0</v>
      </c>
      <c r="F37818" s="8">
        <v>214</v>
      </c>
    </row>
    <row r="37819" spans="1:6" ht="12.75">
      <c r="A37819" s="8">
        <v>43887.505694444444</v>
      </c>
      <c r="B37819" s="8" t="str">
        <f>HYPERLINK("https://twitter.com/rinnuneo0904g7","@rinnuneo0904g7")</f>
        <v>@rinnuneo0904g7</v>
      </c>
      <c r="C37819" s="8" t="s">
        <v>12800</v>
      </c>
      <c r="D37819" s="8">
        <v>119</v>
      </c>
      <c r="E37819" s="8">
        <v>0</v>
      </c>
      <c r="F37819" s="8">
        <v>182</v>
      </c>
    </row>
    <row r="37820" spans="1:6" ht="12.75">
      <c r="A37820" s="8">
        <v>43887.505486111113</v>
      </c>
      <c r="B37820" s="8" t="str">
        <f>HYPERLINK("https://twitter.com/anw_SDT99","@anw_SDT99")</f>
        <v>@anw_SDT99</v>
      </c>
      <c r="C37820" s="8" t="s">
        <v>12143</v>
      </c>
      <c r="D37820" s="8">
        <v>107</v>
      </c>
      <c r="E37820" s="8">
        <v>0</v>
      </c>
      <c r="F37820" s="8">
        <v>281</v>
      </c>
    </row>
    <row r="37821" spans="1:6" ht="12.75">
      <c r="A37821" s="8">
        <v>43887.505312499998</v>
      </c>
      <c r="B37821" s="8" t="str">
        <f>HYPERLINK("https://twitter.com/ceknricekcom_id","@ceknricekcom_id")</f>
        <v>@ceknricekcom_id</v>
      </c>
      <c r="C37821" s="8" t="s">
        <v>14683</v>
      </c>
      <c r="D37821" s="8">
        <v>0</v>
      </c>
      <c r="E37821" s="8">
        <v>0</v>
      </c>
      <c r="F37821" s="8">
        <v>29569</v>
      </c>
    </row>
    <row r="37822" spans="1:6" ht="12.75">
      <c r="A37822" s="8">
        <v>43887.505173611113</v>
      </c>
      <c r="B37822" s="8" t="str">
        <f>HYPERLINK("https://twitter.com/Qwerty53676690","@Qwerty53676690")</f>
        <v>@Qwerty53676690</v>
      </c>
      <c r="C37822" s="8" t="s">
        <v>13365</v>
      </c>
      <c r="D37822" s="8">
        <v>745</v>
      </c>
      <c r="E37822" s="8">
        <v>0</v>
      </c>
      <c r="F37822" s="8">
        <v>13</v>
      </c>
    </row>
    <row r="37823" spans="1:6" ht="12.75">
      <c r="A37823" s="8">
        <v>43887.505162037036</v>
      </c>
      <c r="B37823" s="8" t="str">
        <f>HYPERLINK("https://twitter.com/nonlogicist","@nonlogicist")</f>
        <v>@nonlogicist</v>
      </c>
      <c r="C37823" s="8" t="s">
        <v>14684</v>
      </c>
      <c r="D37823" s="8">
        <v>0</v>
      </c>
      <c r="E37823" s="8">
        <v>0</v>
      </c>
      <c r="F37823" s="8">
        <v>39</v>
      </c>
    </row>
    <row r="37824" spans="1:6" ht="12.75">
      <c r="A37824" s="8">
        <v>43887.504988425921</v>
      </c>
      <c r="B37824" s="8" t="str">
        <f>HYPERLINK("https://twitter.com/tempodotco","@tempodotco")</f>
        <v>@tempodotco</v>
      </c>
      <c r="C37824" s="8" t="s">
        <v>14685</v>
      </c>
      <c r="D37824" s="8">
        <v>0</v>
      </c>
      <c r="E37824" s="8">
        <v>1</v>
      </c>
      <c r="F37824" s="8">
        <v>1712396</v>
      </c>
    </row>
    <row r="37825" spans="1:6" ht="12.75">
      <c r="A37825" s="8">
        <v>43887.504872685182</v>
      </c>
      <c r="B37825" s="8" t="str">
        <f>HYPERLINK("https://twitter.com/ruelpjt","@ruelpjt")</f>
        <v>@ruelpjt</v>
      </c>
      <c r="C37825" s="8" t="s">
        <v>2941</v>
      </c>
      <c r="D37825" s="8">
        <v>957</v>
      </c>
      <c r="E37825" s="8">
        <v>0</v>
      </c>
      <c r="F37825" s="8">
        <v>241</v>
      </c>
    </row>
    <row r="37826" spans="1:6" ht="12.75">
      <c r="A37826" s="8">
        <v>43887.504629629635</v>
      </c>
      <c r="B37826" s="8" t="str">
        <f>HYPERLINK("https://twitter.com/awnacil_","@awnacil_")</f>
        <v>@awnacil_</v>
      </c>
      <c r="C37826" s="8" t="s">
        <v>2941</v>
      </c>
      <c r="D37826" s="8">
        <v>957</v>
      </c>
      <c r="E37826" s="8">
        <v>0</v>
      </c>
      <c r="F37826" s="8">
        <v>142</v>
      </c>
    </row>
    <row r="37827" spans="1:6" ht="12.75">
      <c r="A37827" s="8">
        <v>43887.504467592589</v>
      </c>
      <c r="B37827" s="8" t="str">
        <f>HYPERLINK("https://twitter.com/prajnamu","@prajnamu")</f>
        <v>@prajnamu</v>
      </c>
      <c r="C37827" s="8" t="s">
        <v>14686</v>
      </c>
      <c r="D37827" s="8">
        <v>0</v>
      </c>
      <c r="E37827" s="8">
        <v>0</v>
      </c>
      <c r="F37827" s="8">
        <v>2337</v>
      </c>
    </row>
    <row r="37828" spans="1:6" ht="12.75">
      <c r="A37828" s="8">
        <v>43887.504398148143</v>
      </c>
      <c r="B37828" s="8" t="str">
        <f>HYPERLINK("https://twitter.com/BudiMedan5","@BudiMedan5")</f>
        <v>@BudiMedan5</v>
      </c>
      <c r="C37828" s="8" t="s">
        <v>13365</v>
      </c>
      <c r="D37828" s="8">
        <v>745</v>
      </c>
      <c r="E37828" s="8">
        <v>0</v>
      </c>
      <c r="F37828" s="8">
        <v>19</v>
      </c>
    </row>
    <row r="37829" spans="1:6" ht="12.75">
      <c r="A37829" s="8">
        <v>43887.504120370373</v>
      </c>
      <c r="B37829" s="8" t="str">
        <f>HYPERLINK("https://twitter.com/WPBergerak","@WPBergerak")</f>
        <v>@WPBergerak</v>
      </c>
      <c r="C37829" s="8" t="s">
        <v>2940</v>
      </c>
      <c r="D37829" s="8">
        <v>2616</v>
      </c>
      <c r="E37829" s="8">
        <v>0</v>
      </c>
      <c r="F37829" s="8">
        <v>68</v>
      </c>
    </row>
    <row r="37830" spans="1:6" ht="12.75">
      <c r="A37830" s="8">
        <v>43887.50399305555</v>
      </c>
      <c r="B37830" s="8" t="str">
        <f>HYPERLINK("https://twitter.com/nurruhmah18","@nurruhmah18")</f>
        <v>@nurruhmah18</v>
      </c>
      <c r="C37830" s="8" t="s">
        <v>2941</v>
      </c>
      <c r="D37830" s="8">
        <v>956</v>
      </c>
      <c r="E37830" s="8">
        <v>0</v>
      </c>
      <c r="F37830" s="8">
        <v>27</v>
      </c>
    </row>
    <row r="37831" spans="1:6" ht="12.75">
      <c r="A37831" s="8">
        <v>43887.503958333335</v>
      </c>
      <c r="B37831" s="8" t="str">
        <f>HYPERLINK("https://twitter.com/cicasyu","@cicasyu")</f>
        <v>@cicasyu</v>
      </c>
      <c r="C37831" s="8" t="s">
        <v>14003</v>
      </c>
      <c r="D37831" s="8">
        <v>1</v>
      </c>
      <c r="E37831" s="8">
        <v>0</v>
      </c>
      <c r="F37831" s="8">
        <v>157</v>
      </c>
    </row>
    <row r="37832" spans="1:6" ht="12.75">
      <c r="A37832" s="8">
        <v>43887.503761574073</v>
      </c>
      <c r="B37832" s="8" t="str">
        <f>HYPERLINK("https://twitter.com/imyourahgase","@imyourahgase")</f>
        <v>@imyourahgase</v>
      </c>
      <c r="C37832" s="8" t="s">
        <v>12800</v>
      </c>
      <c r="D37832" s="8">
        <v>119</v>
      </c>
      <c r="E37832" s="8">
        <v>0</v>
      </c>
      <c r="F37832" s="8">
        <v>64</v>
      </c>
    </row>
    <row r="37833" spans="1:6" ht="12.75">
      <c r="A37833" s="8">
        <v>43887.503761574073</v>
      </c>
      <c r="B37833" s="8" t="str">
        <f>HYPERLINK("https://twitter.com/fransiskussbayu","@fransiskussbayu")</f>
        <v>@fransiskussbayu</v>
      </c>
      <c r="C37833" s="8" t="s">
        <v>2941</v>
      </c>
      <c r="D37833" s="8">
        <v>957</v>
      </c>
      <c r="E37833" s="8">
        <v>0</v>
      </c>
      <c r="F37833" s="8">
        <v>368</v>
      </c>
    </row>
    <row r="37834" spans="1:6" ht="12.75">
      <c r="A37834" s="8">
        <v>43887.503750000003</v>
      </c>
      <c r="B37834" s="8" t="str">
        <f>HYPERLINK("https://twitter.com/WPBergerak","@WPBergerak")</f>
        <v>@WPBergerak</v>
      </c>
      <c r="C37834" s="8" t="s">
        <v>2941</v>
      </c>
      <c r="D37834" s="8">
        <v>957</v>
      </c>
      <c r="E37834" s="8">
        <v>0</v>
      </c>
      <c r="F37834" s="8">
        <v>68</v>
      </c>
    </row>
    <row r="37835" spans="1:6" ht="12.75">
      <c r="A37835" s="8">
        <v>43887.503333333334</v>
      </c>
      <c r="B37835" s="8" t="str">
        <f>HYPERLINK("https://twitter.com/Sofism3","@Sofism3")</f>
        <v>@Sofism3</v>
      </c>
      <c r="C37835" s="8" t="s">
        <v>12800</v>
      </c>
      <c r="D37835" s="8">
        <v>119</v>
      </c>
      <c r="E37835" s="8">
        <v>0</v>
      </c>
      <c r="F37835" s="8">
        <v>216</v>
      </c>
    </row>
    <row r="37836" spans="1:6" ht="12.75">
      <c r="A37836" s="8">
        <v>43887.503321759257</v>
      </c>
      <c r="B37836" s="8" t="str">
        <f>HYPERLINK("https://twitter.com/Nazta08","@Nazta08")</f>
        <v>@Nazta08</v>
      </c>
      <c r="C37836" s="8" t="s">
        <v>12143</v>
      </c>
      <c r="D37836" s="8">
        <v>107</v>
      </c>
      <c r="E37836" s="8">
        <v>0</v>
      </c>
      <c r="F37836" s="8">
        <v>589</v>
      </c>
    </row>
    <row r="37837" spans="1:6" ht="12.75">
      <c r="A37837" s="8">
        <v>43887.503101851849</v>
      </c>
      <c r="B37837" s="8" t="str">
        <f>HYPERLINK("https://twitter.com/hardimanos","@hardimanos")</f>
        <v>@hardimanos</v>
      </c>
      <c r="C37837" s="8" t="s">
        <v>2941</v>
      </c>
      <c r="D37837" s="8">
        <v>957</v>
      </c>
      <c r="E37837" s="8">
        <v>0</v>
      </c>
      <c r="F37837" s="8">
        <v>547</v>
      </c>
    </row>
    <row r="37838" spans="1:6" ht="12.75">
      <c r="A37838" s="8">
        <v>43887.502939814818</v>
      </c>
      <c r="B37838" s="8" t="str">
        <f>HYPERLINK("https://twitter.com/kalangliwoo","@kalangliwoo")</f>
        <v>@kalangliwoo</v>
      </c>
      <c r="C37838" s="8" t="s">
        <v>14687</v>
      </c>
      <c r="D37838" s="8">
        <v>0</v>
      </c>
      <c r="E37838" s="8">
        <v>3</v>
      </c>
      <c r="F37838" s="8">
        <v>216</v>
      </c>
    </row>
    <row r="37839" spans="1:6" ht="12.75">
      <c r="A37839" s="8">
        <v>43887.502476851849</v>
      </c>
      <c r="B37839" s="8" t="str">
        <f>HYPERLINK("https://twitter.com/EmmySumangkut","@EmmySumangkut")</f>
        <v>@EmmySumangkut</v>
      </c>
      <c r="C37839" s="8" t="s">
        <v>13365</v>
      </c>
      <c r="D37839" s="8">
        <v>745</v>
      </c>
      <c r="E37839" s="8">
        <v>0</v>
      </c>
      <c r="F37839" s="8">
        <v>1310</v>
      </c>
    </row>
    <row r="37840" spans="1:6" ht="12.75">
      <c r="A37840" s="8">
        <v>43887.502187499995</v>
      </c>
      <c r="B37840" s="8" t="str">
        <f>HYPERLINK("https://twitter.com/ylchaniago","@ylchaniago")</f>
        <v>@ylchaniago</v>
      </c>
      <c r="C37840" s="8" t="s">
        <v>14688</v>
      </c>
      <c r="D37840" s="8">
        <v>0</v>
      </c>
      <c r="E37840" s="8">
        <v>1</v>
      </c>
      <c r="F37840" s="8">
        <v>5347</v>
      </c>
    </row>
    <row r="37841" spans="1:6" ht="12.75">
      <c r="A37841" s="8">
        <v>43887.501736111109</v>
      </c>
      <c r="B37841" s="8" t="str">
        <f>HYPERLINK("https://twitter.com/Mygyuwies","@Mygyuwies")</f>
        <v>@Mygyuwies</v>
      </c>
      <c r="C37841" s="8" t="s">
        <v>14151</v>
      </c>
      <c r="D37841" s="8">
        <v>2</v>
      </c>
      <c r="E37841" s="8">
        <v>0</v>
      </c>
      <c r="F37841" s="8">
        <v>541</v>
      </c>
    </row>
    <row r="37842" spans="1:6" ht="12.75">
      <c r="A37842" s="8">
        <v>43887.501666666663</v>
      </c>
      <c r="B37842" s="8" t="str">
        <f>HYPERLINK("https://twitter.com/BillTemporo","@BillTemporo")</f>
        <v>@BillTemporo</v>
      </c>
      <c r="C37842" s="8" t="s">
        <v>323</v>
      </c>
      <c r="D37842" s="8">
        <v>0</v>
      </c>
      <c r="E37842" s="8">
        <v>0</v>
      </c>
      <c r="F37842" s="8">
        <v>11</v>
      </c>
    </row>
    <row r="37843" spans="1:6" ht="12.75">
      <c r="A37843" s="8">
        <v>43887.501574074078</v>
      </c>
      <c r="B37843" s="8" t="str">
        <f t="shared" ref="B37843:B37844" si="567">HYPERLINK("https://twitter.com/sagakom","@sagakom")</f>
        <v>@sagakom</v>
      </c>
      <c r="C37843" s="8" t="s">
        <v>14689</v>
      </c>
      <c r="D37843" s="8">
        <v>0</v>
      </c>
      <c r="E37843" s="8">
        <v>0</v>
      </c>
      <c r="F37843" s="8">
        <v>284</v>
      </c>
    </row>
    <row r="37844" spans="1:6" ht="12.75">
      <c r="A37844" s="8">
        <v>43887.501574074078</v>
      </c>
      <c r="B37844" s="8" t="str">
        <f t="shared" si="567"/>
        <v>@sagakom</v>
      </c>
      <c r="C37844" s="8" t="s">
        <v>14690</v>
      </c>
      <c r="D37844" s="8">
        <v>0</v>
      </c>
      <c r="E37844" s="8">
        <v>0</v>
      </c>
      <c r="F37844" s="8">
        <v>284</v>
      </c>
    </row>
    <row r="37845" spans="1:6" ht="12.75">
      <c r="A37845" s="8">
        <v>43887.50100694444</v>
      </c>
      <c r="B37845" s="8" t="str">
        <f>HYPERLINK("https://twitter.com/MayHera","@MayHera")</f>
        <v>@MayHera</v>
      </c>
      <c r="C37845" s="8" t="s">
        <v>14691</v>
      </c>
      <c r="D37845" s="8">
        <v>0</v>
      </c>
      <c r="E37845" s="8">
        <v>0</v>
      </c>
      <c r="F37845" s="8">
        <v>462</v>
      </c>
    </row>
    <row r="37846" spans="1:6" ht="12.75">
      <c r="A37846" s="8">
        <v>43887.499907407408</v>
      </c>
      <c r="B37846" s="8" t="str">
        <f>HYPERLINK("https://twitter.com/nelliputri43","@nelliputri43")</f>
        <v>@nelliputri43</v>
      </c>
      <c r="C37846" s="8" t="s">
        <v>2941</v>
      </c>
      <c r="D37846" s="8">
        <v>957</v>
      </c>
      <c r="E37846" s="8">
        <v>0</v>
      </c>
      <c r="F37846" s="8">
        <v>647</v>
      </c>
    </row>
    <row r="37847" spans="1:6" ht="12.75">
      <c r="A37847" s="8">
        <v>43887.499594907407</v>
      </c>
      <c r="B37847" s="8" t="str">
        <f>HYPERLINK("https://twitter.com/MbahnyaNasya45","@MbahnyaNasya45")</f>
        <v>@MbahnyaNasya45</v>
      </c>
      <c r="C37847" s="8" t="s">
        <v>13365</v>
      </c>
      <c r="D37847" s="8">
        <v>745</v>
      </c>
      <c r="E37847" s="8">
        <v>0</v>
      </c>
      <c r="F37847" s="8">
        <v>22</v>
      </c>
    </row>
    <row r="37848" spans="1:6" ht="12.75">
      <c r="A37848" s="8">
        <v>43887.499456018515</v>
      </c>
      <c r="B37848" s="8" t="str">
        <f>HYPERLINK("https://twitter.com/leviana_fitri","@leviana_fitri")</f>
        <v>@leviana_fitri</v>
      </c>
      <c r="C37848" s="8" t="s">
        <v>12800</v>
      </c>
      <c r="D37848" s="8">
        <v>119</v>
      </c>
      <c r="E37848" s="8">
        <v>0</v>
      </c>
      <c r="F37848" s="8">
        <v>42</v>
      </c>
    </row>
    <row r="37849" spans="1:6" ht="12.75">
      <c r="A37849" s="8">
        <v>43887.499398148153</v>
      </c>
      <c r="B37849" s="8" t="str">
        <f>HYPERLINK("https://twitter.com/dewdewmentari","@dewdewmentari")</f>
        <v>@dewdewmentari</v>
      </c>
      <c r="C37849" s="8" t="s">
        <v>14692</v>
      </c>
      <c r="D37849" s="8">
        <v>1</v>
      </c>
      <c r="E37849" s="8">
        <v>0</v>
      </c>
      <c r="F37849" s="8">
        <v>383</v>
      </c>
    </row>
    <row r="37850" spans="1:6" ht="12.75">
      <c r="A37850" s="8">
        <v>43887.499374999999</v>
      </c>
      <c r="B37850" s="8" t="str">
        <f>HYPERLINK("https://twitter.com/onyou98","@onyou98")</f>
        <v>@onyou98</v>
      </c>
      <c r="C37850" s="8" t="s">
        <v>12800</v>
      </c>
      <c r="D37850" s="8">
        <v>119</v>
      </c>
      <c r="E37850" s="8">
        <v>0</v>
      </c>
      <c r="F37850" s="8">
        <v>406</v>
      </c>
    </row>
    <row r="37851" spans="1:6" ht="12.75">
      <c r="A37851" s="8">
        <v>43887.499247685184</v>
      </c>
      <c r="B37851" s="8" t="str">
        <f>HYPERLINK("https://twitter.com/BudiMedan5","@BudiMedan5")</f>
        <v>@BudiMedan5</v>
      </c>
      <c r="C37851" s="8" t="s">
        <v>14151</v>
      </c>
      <c r="D37851" s="8">
        <v>2</v>
      </c>
      <c r="E37851" s="8">
        <v>0</v>
      </c>
      <c r="F37851" s="8">
        <v>19</v>
      </c>
    </row>
    <row r="37852" spans="1:6" ht="12.75">
      <c r="A37852" s="8">
        <v>43887.498437499999</v>
      </c>
      <c r="B37852" s="8" t="str">
        <f>HYPERLINK("https://twitter.com/alangkiby","@alangkiby")</f>
        <v>@alangkiby</v>
      </c>
      <c r="C37852" s="8" t="s">
        <v>14693</v>
      </c>
      <c r="D37852" s="8">
        <v>0</v>
      </c>
      <c r="E37852" s="8">
        <v>0</v>
      </c>
      <c r="F37852" s="8">
        <v>103</v>
      </c>
    </row>
    <row r="37853" spans="1:6" ht="12.75">
      <c r="A37853" s="8">
        <v>43887.498356481483</v>
      </c>
      <c r="B37853" s="8" t="str">
        <f>HYPERLINK("https://twitter.com/MataJiwa6","@MataJiwa6")</f>
        <v>@MataJiwa6</v>
      </c>
      <c r="C37853" s="8" t="s">
        <v>12143</v>
      </c>
      <c r="D37853" s="8">
        <v>107</v>
      </c>
      <c r="E37853" s="8">
        <v>0</v>
      </c>
      <c r="F37853" s="8">
        <v>271</v>
      </c>
    </row>
    <row r="37854" spans="1:6" ht="12.75">
      <c r="A37854" s="8">
        <v>43887.498136574075</v>
      </c>
      <c r="B37854" s="8" t="str">
        <f>HYPERLINK("https://twitter.com/BatamPos","@BatamPos")</f>
        <v>@BatamPos</v>
      </c>
      <c r="C37854" s="8" t="s">
        <v>14694</v>
      </c>
      <c r="D37854" s="8">
        <v>0</v>
      </c>
      <c r="E37854" s="8">
        <v>0</v>
      </c>
      <c r="F37854" s="8">
        <v>67398</v>
      </c>
    </row>
    <row r="37855" spans="1:6" ht="12.75">
      <c r="A37855" s="8">
        <v>43887.497696759259</v>
      </c>
      <c r="B37855" s="8" t="str">
        <f>HYPERLINK("https://twitter.com/wHoAm_i4","@wHoAm_i4")</f>
        <v>@wHoAm_i4</v>
      </c>
      <c r="C37855" s="8" t="s">
        <v>12800</v>
      </c>
      <c r="D37855" s="8">
        <v>119</v>
      </c>
      <c r="E37855" s="8">
        <v>0</v>
      </c>
      <c r="F37855" s="8">
        <v>4</v>
      </c>
    </row>
    <row r="37856" spans="1:6" ht="12.75">
      <c r="A37856" s="8">
        <v>43887.497650462959</v>
      </c>
      <c r="B37856" s="8" t="str">
        <f>HYPERLINK("https://twitter.com/margareena_","@margareena_")</f>
        <v>@margareena_</v>
      </c>
      <c r="C37856" s="8" t="s">
        <v>14695</v>
      </c>
      <c r="D37856" s="8">
        <v>1</v>
      </c>
      <c r="E37856" s="8">
        <v>2</v>
      </c>
      <c r="F37856" s="8">
        <v>2406</v>
      </c>
    </row>
    <row r="37857" spans="1:6" ht="12.75">
      <c r="A37857" s="8">
        <v>43887.497384259259</v>
      </c>
      <c r="B37857" s="8" t="str">
        <f>HYPERLINK("https://twitter.com/Carissaamd","@Carissaamd")</f>
        <v>@Carissaamd</v>
      </c>
      <c r="C37857" s="8" t="s">
        <v>12800</v>
      </c>
      <c r="D37857" s="8">
        <v>119</v>
      </c>
      <c r="E37857" s="8">
        <v>0</v>
      </c>
      <c r="F37857" s="8">
        <v>295</v>
      </c>
    </row>
    <row r="37858" spans="1:6" ht="12.75">
      <c r="A37858" s="8">
        <v>43887.497372685189</v>
      </c>
      <c r="B37858" s="8" t="str">
        <f>HYPERLINK("https://twitter.com/Derri_dayen","@Derri_dayen")</f>
        <v>@Derri_dayen</v>
      </c>
      <c r="C37858" s="8" t="s">
        <v>14696</v>
      </c>
      <c r="D37858" s="8">
        <v>4</v>
      </c>
      <c r="E37858" s="8">
        <v>0</v>
      </c>
      <c r="F37858" s="8">
        <v>670</v>
      </c>
    </row>
    <row r="37859" spans="1:6" ht="12.75">
      <c r="A37859" s="8">
        <v>43887.497256944444</v>
      </c>
      <c r="B37859" s="8" t="str">
        <f>HYPERLINK("https://twitter.com/silkmissile2017","@silkmissile2017")</f>
        <v>@silkmissile2017</v>
      </c>
      <c r="C37859" s="8" t="s">
        <v>8484</v>
      </c>
      <c r="D37859" s="8">
        <v>959</v>
      </c>
      <c r="E37859" s="8">
        <v>0</v>
      </c>
      <c r="F37859" s="8">
        <v>336</v>
      </c>
    </row>
    <row r="37860" spans="1:6" ht="12.75">
      <c r="A37860" s="8">
        <v>43887.496874999997</v>
      </c>
      <c r="B37860" s="8" t="str">
        <f>HYPERLINK("https://twitter.com/FerdinandHaean2","@FerdinandHaean2")</f>
        <v>@FerdinandHaean2</v>
      </c>
      <c r="C37860" s="8" t="s">
        <v>14697</v>
      </c>
      <c r="D37860" s="8">
        <v>2</v>
      </c>
      <c r="E37860" s="8">
        <v>5</v>
      </c>
      <c r="F37860" s="8">
        <v>46807</v>
      </c>
    </row>
    <row r="37861" spans="1:6" ht="12.75">
      <c r="A37861" s="8">
        <v>43887.496782407412</v>
      </c>
      <c r="B37861" s="8" t="str">
        <f>HYPERLINK("https://twitter.com/ardana333","@ardana333")</f>
        <v>@ardana333</v>
      </c>
      <c r="C37861" s="8" t="s">
        <v>12143</v>
      </c>
      <c r="D37861" s="8">
        <v>107</v>
      </c>
      <c r="E37861" s="8">
        <v>0</v>
      </c>
      <c r="F37861" s="8">
        <v>349</v>
      </c>
    </row>
    <row r="37862" spans="1:6" ht="12.75">
      <c r="A37862" s="8">
        <v>43887.496597222227</v>
      </c>
      <c r="B37862" s="8" t="str">
        <f>HYPERLINK("https://twitter.com/donny_waldi","@donny_waldi")</f>
        <v>@donny_waldi</v>
      </c>
      <c r="C37862" s="8" t="s">
        <v>14698</v>
      </c>
      <c r="D37862" s="8">
        <v>0</v>
      </c>
      <c r="E37862" s="8">
        <v>0</v>
      </c>
      <c r="F37862" s="8">
        <v>9</v>
      </c>
    </row>
    <row r="37863" spans="1:6" ht="12.75">
      <c r="A37863" s="8">
        <v>43887.496585648143</v>
      </c>
      <c r="B37863" s="8" t="str">
        <f>HYPERLINK("https://twitter.com/JeteLenonFarisi","@JeteLenonFarisi")</f>
        <v>@JeteLenonFarisi</v>
      </c>
      <c r="C37863" s="8" t="s">
        <v>14699</v>
      </c>
      <c r="D37863" s="8">
        <v>0</v>
      </c>
      <c r="E37863" s="8">
        <v>0</v>
      </c>
      <c r="F37863" s="8">
        <v>105</v>
      </c>
    </row>
    <row r="37864" spans="1:6" ht="12.75">
      <c r="A37864" s="8">
        <v>43887.496574074074</v>
      </c>
      <c r="B37864" s="8" t="str">
        <f>HYPERLINK("https://twitter.com/ScientiaID","@ScientiaID")</f>
        <v>@ScientiaID</v>
      </c>
      <c r="C37864" s="8" t="s">
        <v>14698</v>
      </c>
      <c r="D37864" s="8">
        <v>0</v>
      </c>
      <c r="E37864" s="8">
        <v>0</v>
      </c>
      <c r="F37864" s="8">
        <v>686</v>
      </c>
    </row>
    <row r="37865" spans="1:6" ht="12.75">
      <c r="A37865" s="8">
        <v>43887.496469907404</v>
      </c>
      <c r="B37865" s="8" t="str">
        <f>HYPERLINK("https://twitter.com/baca_pesan","@baca_pesan")</f>
        <v>@baca_pesan</v>
      </c>
      <c r="C37865" s="8" t="s">
        <v>14700</v>
      </c>
      <c r="D37865" s="8">
        <v>0</v>
      </c>
      <c r="E37865" s="8">
        <v>0</v>
      </c>
      <c r="F37865" s="8">
        <v>99</v>
      </c>
    </row>
    <row r="37866" spans="1:6" ht="12.75">
      <c r="A37866" s="8">
        <v>43887.496319444443</v>
      </c>
      <c r="B37866" s="8" t="str">
        <f>HYPERLINK("https://twitter.com/KelinciPaskah","@KelinciPaskah")</f>
        <v>@KelinciPaskah</v>
      </c>
      <c r="C37866" s="8" t="s">
        <v>12143</v>
      </c>
      <c r="D37866" s="8">
        <v>107</v>
      </c>
      <c r="E37866" s="8">
        <v>0</v>
      </c>
      <c r="F37866" s="8">
        <v>5693</v>
      </c>
    </row>
    <row r="37867" spans="1:6" ht="12.75">
      <c r="A37867" s="8">
        <v>43887.496307870373</v>
      </c>
      <c r="B37867" s="8" t="str">
        <f>HYPERLINK("https://twitter.com/ranoehardja","@ranoehardja")</f>
        <v>@ranoehardja</v>
      </c>
      <c r="C37867" s="8" t="s">
        <v>13365</v>
      </c>
      <c r="D37867" s="8">
        <v>745</v>
      </c>
      <c r="E37867" s="8">
        <v>0</v>
      </c>
      <c r="F37867" s="8">
        <v>184</v>
      </c>
    </row>
    <row r="37868" spans="1:6" ht="12.75">
      <c r="A37868" s="8">
        <v>43887.495821759258</v>
      </c>
      <c r="B37868" s="8" t="str">
        <f>HYPERLINK("https://twitter.com/jinyukieusokie","@jinyukieusokie")</f>
        <v>@jinyukieusokie</v>
      </c>
      <c r="C37868" s="8" t="s">
        <v>12800</v>
      </c>
      <c r="D37868" s="8">
        <v>119</v>
      </c>
      <c r="E37868" s="8">
        <v>0</v>
      </c>
      <c r="F37868" s="8">
        <v>84</v>
      </c>
    </row>
    <row r="37869" spans="1:6" ht="12.75">
      <c r="A37869" s="8">
        <v>43887.495624999996</v>
      </c>
      <c r="B37869" s="8" t="str">
        <f>HYPERLINK("https://twitter.com/ca_wa","@ca_wa")</f>
        <v>@ca_wa</v>
      </c>
      <c r="C37869" s="8" t="s">
        <v>12800</v>
      </c>
      <c r="D37869" s="8">
        <v>119</v>
      </c>
      <c r="E37869" s="8">
        <v>0</v>
      </c>
      <c r="F37869" s="8">
        <v>11</v>
      </c>
    </row>
    <row r="37870" spans="1:6" ht="12.75">
      <c r="A37870" s="8">
        <v>43887.495381944449</v>
      </c>
      <c r="B37870" s="8" t="str">
        <f>HYPERLINK("https://twitter.com/NgkongRoses","@NgkongRoses")</f>
        <v>@NgkongRoses</v>
      </c>
      <c r="C37870" s="8" t="s">
        <v>14701</v>
      </c>
      <c r="D37870" s="8">
        <v>2</v>
      </c>
      <c r="E37870" s="8">
        <v>0</v>
      </c>
      <c r="F37870" s="8">
        <v>9388</v>
      </c>
    </row>
    <row r="37871" spans="1:6" ht="12.75">
      <c r="A37871" s="8">
        <v>43887.495289351849</v>
      </c>
      <c r="B37871" s="8" t="str">
        <f>HYPERLINK("https://twitter.com/ppalgom","@ppalgom")</f>
        <v>@ppalgom</v>
      </c>
      <c r="C37871" s="8" t="s">
        <v>12800</v>
      </c>
      <c r="D37871" s="8">
        <v>119</v>
      </c>
      <c r="E37871" s="8">
        <v>0</v>
      </c>
      <c r="F37871" s="8">
        <v>183</v>
      </c>
    </row>
    <row r="37872" spans="1:6" ht="12.75">
      <c r="A37872" s="8">
        <v>43887.495173611111</v>
      </c>
      <c r="B37872" s="8" t="str">
        <f>HYPERLINK("https://twitter.com/meldaifqiyyah","@meldaifqiyyah")</f>
        <v>@meldaifqiyyah</v>
      </c>
      <c r="C37872" s="8" t="s">
        <v>2941</v>
      </c>
      <c r="D37872" s="8">
        <v>957</v>
      </c>
      <c r="E37872" s="8">
        <v>0</v>
      </c>
      <c r="F37872" s="8">
        <v>336</v>
      </c>
    </row>
    <row r="37873" spans="1:6" ht="12.75">
      <c r="A37873" s="8">
        <v>43887.494942129633</v>
      </c>
      <c r="B37873" s="8" t="str">
        <f>HYPERLINK("https://twitter.com/thisisaclownery","@thisisaclownery")</f>
        <v>@thisisaclownery</v>
      </c>
      <c r="C37873" s="8" t="s">
        <v>6638</v>
      </c>
      <c r="D37873" s="8">
        <v>69</v>
      </c>
      <c r="E37873" s="8">
        <v>0</v>
      </c>
      <c r="F37873" s="8">
        <v>40</v>
      </c>
    </row>
    <row r="37874" spans="1:6" ht="12.75">
      <c r="A37874" s="8">
        <v>43887.494849537034</v>
      </c>
      <c r="B37874" s="8" t="str">
        <f>HYPERLINK("https://twitter.com/03__nakula","@03__nakula")</f>
        <v>@03__nakula</v>
      </c>
      <c r="C37874" s="8" t="s">
        <v>14701</v>
      </c>
      <c r="D37874" s="8">
        <v>2</v>
      </c>
      <c r="E37874" s="8">
        <v>0</v>
      </c>
      <c r="F37874" s="8">
        <v>11475</v>
      </c>
    </row>
    <row r="37875" spans="1:6" ht="12.75">
      <c r="A37875" s="8">
        <v>43887.494525462964</v>
      </c>
      <c r="B37875" s="8" t="str">
        <f>HYPERLINK("https://twitter.com/antaranews","@antaranews")</f>
        <v>@antaranews</v>
      </c>
      <c r="C37875" s="8" t="s">
        <v>14702</v>
      </c>
      <c r="D37875" s="8">
        <v>0</v>
      </c>
      <c r="E37875" s="8">
        <v>0</v>
      </c>
      <c r="F37875" s="8">
        <v>1105276</v>
      </c>
    </row>
    <row r="37876" spans="1:6" ht="12.75">
      <c r="A37876" s="8">
        <v>43887.494386574079</v>
      </c>
      <c r="B37876" s="8" t="str">
        <f>HYPERLINK("https://twitter.com/PEDOMAN_id","@PEDOMAN_id")</f>
        <v>@PEDOMAN_id</v>
      </c>
      <c r="C37876" s="8" t="s">
        <v>14703</v>
      </c>
      <c r="D37876" s="8">
        <v>0</v>
      </c>
      <c r="E37876" s="8">
        <v>0</v>
      </c>
      <c r="F37876" s="8">
        <v>60375</v>
      </c>
    </row>
    <row r="37877" spans="1:6" ht="12.75">
      <c r="A37877" s="8">
        <v>43887.494328703702</v>
      </c>
      <c r="B37877" s="8" t="str">
        <f>HYPERLINK("https://twitter.com/apriadisofyan","@apriadisofyan")</f>
        <v>@apriadisofyan</v>
      </c>
      <c r="C37877" s="8" t="s">
        <v>13365</v>
      </c>
      <c r="D37877" s="8">
        <v>745</v>
      </c>
      <c r="E37877" s="8">
        <v>0</v>
      </c>
      <c r="F37877" s="8">
        <v>137</v>
      </c>
    </row>
    <row r="37878" spans="1:6" ht="12.75">
      <c r="A37878" s="8">
        <v>43887.494155092594</v>
      </c>
      <c r="B37878" s="8" t="str">
        <f>HYPERLINK("https://twitter.com/2_onta","@2_onta")</f>
        <v>@2_onta</v>
      </c>
      <c r="C37878" s="8" t="s">
        <v>14704</v>
      </c>
      <c r="D37878" s="8">
        <v>0</v>
      </c>
      <c r="E37878" s="8">
        <v>0</v>
      </c>
      <c r="F37878" s="8">
        <v>37</v>
      </c>
    </row>
    <row r="37879" spans="1:6" ht="12.75">
      <c r="A37879" s="8">
        <v>43887.494131944448</v>
      </c>
      <c r="B37879" s="8" t="str">
        <f>HYPERLINK("https://twitter.com/Mrkoday","@Mrkoday")</f>
        <v>@Mrkoday</v>
      </c>
      <c r="C37879" s="8" t="s">
        <v>14705</v>
      </c>
      <c r="D37879" s="8">
        <v>0</v>
      </c>
      <c r="E37879" s="8">
        <v>0</v>
      </c>
      <c r="F37879" s="8">
        <v>98</v>
      </c>
    </row>
    <row r="37880" spans="1:6" ht="12.75">
      <c r="A37880" s="8">
        <v>43887.493888888886</v>
      </c>
      <c r="B37880" s="8" t="str">
        <f>HYPERLINK("https://twitter.com/msubhan21okt","@msubhan21okt")</f>
        <v>@msubhan21okt</v>
      </c>
      <c r="C37880" s="8" t="s">
        <v>14706</v>
      </c>
      <c r="D37880" s="8">
        <v>7</v>
      </c>
      <c r="E37880" s="8">
        <v>0</v>
      </c>
      <c r="F37880" s="8">
        <v>315</v>
      </c>
    </row>
    <row r="37881" spans="1:6" ht="12.75">
      <c r="A37881" s="8">
        <v>43887.493449074071</v>
      </c>
      <c r="B37881" s="8" t="str">
        <f>HYPERLINK("https://twitter.com/pikiran_rakyat","@pikiran_rakyat")</f>
        <v>@pikiran_rakyat</v>
      </c>
      <c r="C37881" s="8" t="s">
        <v>14707</v>
      </c>
      <c r="D37881" s="8">
        <v>0</v>
      </c>
      <c r="E37881" s="8">
        <v>1</v>
      </c>
      <c r="F37881" s="8">
        <v>412962</v>
      </c>
    </row>
    <row r="37882" spans="1:6" ht="12.75">
      <c r="A37882" s="8">
        <v>43887.493090277778</v>
      </c>
      <c r="B37882" s="8" t="str">
        <f>HYPERLINK("https://twitter.com/updatedotid","@updatedotid")</f>
        <v>@updatedotid</v>
      </c>
      <c r="C37882" s="8" t="s">
        <v>14708</v>
      </c>
      <c r="D37882" s="8">
        <v>2</v>
      </c>
      <c r="E37882" s="8">
        <v>0</v>
      </c>
      <c r="F37882" s="8">
        <v>1618</v>
      </c>
    </row>
    <row r="37883" spans="1:6" ht="12.75">
      <c r="A37883" s="8">
        <v>43887.492962962962</v>
      </c>
      <c r="B37883" s="8" t="str">
        <f>HYPERLINK("https://twitter.com/mncsrswt95","@mncsrswt95")</f>
        <v>@mncsrswt95</v>
      </c>
      <c r="C37883" s="8" t="s">
        <v>2941</v>
      </c>
      <c r="D37883" s="8">
        <v>957</v>
      </c>
      <c r="E37883" s="8">
        <v>0</v>
      </c>
      <c r="F37883" s="8">
        <v>374</v>
      </c>
    </row>
    <row r="37884" spans="1:6" ht="12.75">
      <c r="A37884" s="8">
        <v>43887.492754629631</v>
      </c>
      <c r="B37884" s="8" t="str">
        <f>HYPERLINK("https://twitter.com/hafizizza1","@hafizizza1")</f>
        <v>@hafizizza1</v>
      </c>
      <c r="C37884" s="8" t="s">
        <v>2941</v>
      </c>
      <c r="D37884" s="8">
        <v>957</v>
      </c>
      <c r="E37884" s="8">
        <v>0</v>
      </c>
      <c r="F37884" s="8">
        <v>565</v>
      </c>
    </row>
    <row r="37885" spans="1:6" ht="12.75">
      <c r="A37885" s="8">
        <v>43887.492731481485</v>
      </c>
      <c r="B37885" s="8" t="str">
        <f>HYPERLINK("https://twitter.com/hi_bitna","@hi_bitna")</f>
        <v>@hi_bitna</v>
      </c>
      <c r="C37885" s="8" t="s">
        <v>12800</v>
      </c>
      <c r="D37885" s="8">
        <v>119</v>
      </c>
      <c r="E37885" s="8">
        <v>0</v>
      </c>
      <c r="F37885" s="8">
        <v>20</v>
      </c>
    </row>
    <row r="37886" spans="1:6" ht="12.75">
      <c r="A37886" s="8">
        <v>43887.492627314816</v>
      </c>
      <c r="B37886" s="8" t="str">
        <f>HYPERLINK("https://twitter.com/ChristWamea","@ChristWamea")</f>
        <v>@ChristWamea</v>
      </c>
      <c r="C37886" s="8" t="s">
        <v>14709</v>
      </c>
      <c r="D37886" s="8">
        <v>3</v>
      </c>
      <c r="E37886" s="8">
        <v>0</v>
      </c>
      <c r="F37886" s="8">
        <v>28671</v>
      </c>
    </row>
    <row r="37887" spans="1:6" ht="12.75">
      <c r="A37887" s="8">
        <v>43887.492615740739</v>
      </c>
      <c r="B37887" s="8" t="str">
        <f>HYPERLINK("https://twitter.com/sunshine_9892","@sunshine_9892")</f>
        <v>@sunshine_9892</v>
      </c>
      <c r="C37887" s="8" t="s">
        <v>12800</v>
      </c>
      <c r="D37887" s="8">
        <v>119</v>
      </c>
      <c r="E37887" s="8">
        <v>0</v>
      </c>
      <c r="F37887" s="8">
        <v>154</v>
      </c>
    </row>
    <row r="37888" spans="1:6" ht="12.75">
      <c r="A37888" s="8">
        <v>43887.492395833338</v>
      </c>
      <c r="B37888" s="8" t="str">
        <f>HYPERLINK("https://twitter.com/Chocholatteer","@Chocholatteer")</f>
        <v>@Chocholatteer</v>
      </c>
      <c r="C37888" s="8" t="s">
        <v>12800</v>
      </c>
      <c r="D37888" s="8">
        <v>119</v>
      </c>
      <c r="E37888" s="8">
        <v>0</v>
      </c>
      <c r="F37888" s="8">
        <v>65</v>
      </c>
    </row>
    <row r="37889" spans="1:6" ht="12.75">
      <c r="A37889" s="8">
        <v>43887.492164351846</v>
      </c>
      <c r="B37889" s="8" t="str">
        <f>HYPERLINK("https://twitter.com/munhadji","@munhadji")</f>
        <v>@munhadji</v>
      </c>
      <c r="C37889" s="8" t="s">
        <v>12143</v>
      </c>
      <c r="D37889" s="8">
        <v>107</v>
      </c>
      <c r="E37889" s="8">
        <v>0</v>
      </c>
      <c r="F37889" s="8">
        <v>231</v>
      </c>
    </row>
    <row r="37890" spans="1:6" ht="12.75">
      <c r="A37890" s="8">
        <v>43887.492106481484</v>
      </c>
      <c r="B37890" s="8" t="str">
        <f>HYPERLINK("https://twitter.com/miluvyuu","@miluvyuu")</f>
        <v>@miluvyuu</v>
      </c>
      <c r="C37890" s="8" t="s">
        <v>12800</v>
      </c>
      <c r="D37890" s="8">
        <v>119</v>
      </c>
      <c r="E37890" s="8">
        <v>0</v>
      </c>
      <c r="F37890" s="8">
        <v>201</v>
      </c>
    </row>
    <row r="37891" spans="1:6" ht="12.75">
      <c r="A37891" s="8">
        <v>43887.491932870369</v>
      </c>
      <c r="B37891" s="8" t="str">
        <f>HYPERLINK("https://twitter.com/rebahanenakk","@rebahanenakk")</f>
        <v>@rebahanenakk</v>
      </c>
      <c r="C37891" s="8" t="s">
        <v>13365</v>
      </c>
      <c r="D37891" s="8">
        <v>745</v>
      </c>
      <c r="E37891" s="8">
        <v>0</v>
      </c>
      <c r="F37891" s="8">
        <v>56</v>
      </c>
    </row>
    <row r="37892" spans="1:6" ht="12.75">
      <c r="A37892" s="8">
        <v>43887.491770833338</v>
      </c>
      <c r="B37892" s="8" t="str">
        <f>HYPERLINK("https://twitter.com/ridhatobing","@ridhatobing")</f>
        <v>@ridhatobing</v>
      </c>
      <c r="C37892" s="8" t="s">
        <v>14710</v>
      </c>
      <c r="D37892" s="8">
        <v>2</v>
      </c>
      <c r="E37892" s="8">
        <v>0</v>
      </c>
      <c r="F37892" s="8">
        <v>441</v>
      </c>
    </row>
    <row r="37893" spans="1:6" ht="12.75">
      <c r="A37893" s="8">
        <v>43887.491689814815</v>
      </c>
      <c r="B37893" s="8" t="str">
        <f>HYPERLINK("https://twitter.com/sabhatansabiz","@sabhatansabiz")</f>
        <v>@sabhatansabiz</v>
      </c>
      <c r="C37893" s="8" t="s">
        <v>14708</v>
      </c>
      <c r="D37893" s="8">
        <v>2</v>
      </c>
      <c r="E37893" s="8">
        <v>0</v>
      </c>
      <c r="F37893" s="8">
        <v>1586</v>
      </c>
    </row>
    <row r="37894" spans="1:6" ht="12.75">
      <c r="A37894" s="8">
        <v>43887.491608796292</v>
      </c>
      <c r="B37894" s="8" t="str">
        <f>HYPERLINK("https://twitter.com/heybbyoun00","@heybbyoun00")</f>
        <v>@heybbyoun00</v>
      </c>
      <c r="C37894" s="8" t="s">
        <v>12800</v>
      </c>
      <c r="D37894" s="8">
        <v>119</v>
      </c>
      <c r="E37894" s="8">
        <v>0</v>
      </c>
      <c r="F37894" s="8">
        <v>2165</v>
      </c>
    </row>
    <row r="37895" spans="1:6" ht="12.75">
      <c r="A37895" s="8">
        <v>43887.491342592592</v>
      </c>
      <c r="B37895" s="8" t="str">
        <f>HYPERLINK("https://twitter.com/radar_malang","@radar_malang")</f>
        <v>@radar_malang</v>
      </c>
      <c r="C37895" s="8" t="s">
        <v>14711</v>
      </c>
      <c r="D37895" s="8">
        <v>2</v>
      </c>
      <c r="E37895" s="8">
        <v>1</v>
      </c>
      <c r="F37895" s="8">
        <v>108684</v>
      </c>
    </row>
    <row r="37896" spans="1:6" ht="12.75">
      <c r="A37896" s="8">
        <v>43887.491261574076</v>
      </c>
      <c r="B37896" s="8" t="str">
        <f>HYPERLINK("https://twitter.com/dsprmsnti","@dsprmsnti")</f>
        <v>@dsprmsnti</v>
      </c>
      <c r="C37896" s="8" t="s">
        <v>14439</v>
      </c>
      <c r="D37896" s="8">
        <v>12</v>
      </c>
      <c r="E37896" s="8">
        <v>0</v>
      </c>
      <c r="F37896" s="8">
        <v>441</v>
      </c>
    </row>
    <row r="37897" spans="1:6" ht="12.75">
      <c r="A37897" s="8">
        <v>43887.491030092591</v>
      </c>
      <c r="B37897" s="8" t="str">
        <f>HYPERLINK("https://twitter.com/KosmetikDinda","@KosmetikDinda")</f>
        <v>@KosmetikDinda</v>
      </c>
      <c r="C37897" s="8" t="s">
        <v>14709</v>
      </c>
      <c r="D37897" s="8">
        <v>3</v>
      </c>
      <c r="E37897" s="8">
        <v>0</v>
      </c>
      <c r="F37897" s="8">
        <v>1285</v>
      </c>
    </row>
    <row r="37898" spans="1:6" ht="12.75">
      <c r="A37898" s="8">
        <v>43887.490902777776</v>
      </c>
      <c r="B37898" s="8" t="str">
        <f>HYPERLINK("https://twitter.com/s_arpanto","@s_arpanto")</f>
        <v>@s_arpanto</v>
      </c>
      <c r="C37898" s="8" t="s">
        <v>14712</v>
      </c>
      <c r="D37898" s="8">
        <v>0</v>
      </c>
      <c r="E37898" s="8">
        <v>0</v>
      </c>
      <c r="F37898" s="8">
        <v>126</v>
      </c>
    </row>
    <row r="37899" spans="1:6" ht="12.75">
      <c r="A37899" s="8">
        <v>43887.490775462968</v>
      </c>
      <c r="B37899" s="8" t="str">
        <f>HYPERLINK("https://twitter.com/veyloz","@veyloz")</f>
        <v>@veyloz</v>
      </c>
      <c r="C37899" s="8" t="s">
        <v>6638</v>
      </c>
      <c r="D37899" s="8">
        <v>69</v>
      </c>
      <c r="E37899" s="8">
        <v>0</v>
      </c>
      <c r="F37899" s="8">
        <v>3</v>
      </c>
    </row>
    <row r="37900" spans="1:6" ht="12.75">
      <c r="A37900" s="8">
        <v>43887.490636574075</v>
      </c>
      <c r="B37900" s="8" t="str">
        <f>HYPERLINK("https://twitter.com/AniNigeriawati","@AniNigeriawati")</f>
        <v>@AniNigeriawati</v>
      </c>
      <c r="C37900" s="8" t="s">
        <v>12800</v>
      </c>
      <c r="D37900" s="8">
        <v>119</v>
      </c>
      <c r="E37900" s="8">
        <v>0</v>
      </c>
      <c r="F37900" s="8">
        <v>31</v>
      </c>
    </row>
    <row r="37901" spans="1:6" ht="12.75">
      <c r="A37901" s="8">
        <v>43887.490613425922</v>
      </c>
      <c r="B37901" s="8" t="str">
        <f>HYPERLINK("https://twitter.com/UlehAbdoellah1","@UlehAbdoellah1")</f>
        <v>@UlehAbdoellah1</v>
      </c>
      <c r="C37901" s="8" t="s">
        <v>14713</v>
      </c>
      <c r="D37901" s="8">
        <v>0</v>
      </c>
      <c r="E37901" s="8">
        <v>0</v>
      </c>
      <c r="F37901" s="8">
        <v>40</v>
      </c>
    </row>
    <row r="37902" spans="1:6" ht="12.75">
      <c r="A37902" s="8">
        <v>43887.49055555556</v>
      </c>
      <c r="B37902" s="8" t="str">
        <f>HYPERLINK("https://twitter.com/salmahalbia","@salmahalbia")</f>
        <v>@salmahalbia</v>
      </c>
      <c r="C37902" s="8" t="s">
        <v>12800</v>
      </c>
      <c r="D37902" s="8">
        <v>119</v>
      </c>
      <c r="E37902" s="8">
        <v>0</v>
      </c>
      <c r="F37902" s="8">
        <v>690</v>
      </c>
    </row>
    <row r="37903" spans="1:6" ht="12.75">
      <c r="A37903" s="8">
        <v>43887.490312499998</v>
      </c>
      <c r="B37903" s="8" t="str">
        <f>HYPERLINK("https://twitter.com/MahCassie","@MahCassie")</f>
        <v>@MahCassie</v>
      </c>
      <c r="C37903" s="8" t="s">
        <v>14709</v>
      </c>
      <c r="D37903" s="8">
        <v>3</v>
      </c>
      <c r="E37903" s="8">
        <v>0</v>
      </c>
      <c r="F37903" s="8">
        <v>276</v>
      </c>
    </row>
    <row r="37904" spans="1:6" ht="12.75">
      <c r="A37904" s="8">
        <v>43887.490312499998</v>
      </c>
      <c r="B37904" s="8" t="str">
        <f>HYPERLINK("https://twitter.com/iz_wni","@iz_wni")</f>
        <v>@iz_wni</v>
      </c>
      <c r="C37904" s="8" t="s">
        <v>14714</v>
      </c>
      <c r="D37904" s="8">
        <v>22</v>
      </c>
      <c r="E37904" s="8">
        <v>0</v>
      </c>
      <c r="F37904" s="8">
        <v>85</v>
      </c>
    </row>
    <row r="37905" spans="1:6" ht="12.75">
      <c r="A37905" s="8">
        <v>43887.490266203706</v>
      </c>
      <c r="B37905" s="8" t="str">
        <f>HYPERLINK("https://twitter.com/NUGROS13","@NUGROS13")</f>
        <v>@NUGROS13</v>
      </c>
      <c r="C37905" s="8" t="s">
        <v>11964</v>
      </c>
      <c r="D37905" s="8">
        <v>521</v>
      </c>
      <c r="E37905" s="8">
        <v>0</v>
      </c>
      <c r="F37905" s="8">
        <v>830</v>
      </c>
    </row>
    <row r="37906" spans="1:6" ht="12.75">
      <c r="A37906" s="8">
        <v>43887.489849537036</v>
      </c>
      <c r="B37906" s="8" t="str">
        <f>HYPERLINK("https://twitter.com/bona_rong2","@bona_rong2")</f>
        <v>@bona_rong2</v>
      </c>
      <c r="C37906" s="8" t="s">
        <v>13365</v>
      </c>
      <c r="D37906" s="8">
        <v>745</v>
      </c>
      <c r="E37906" s="8">
        <v>0</v>
      </c>
      <c r="F37906" s="8">
        <v>660</v>
      </c>
    </row>
    <row r="37907" spans="1:6" ht="12.75">
      <c r="A37907" s="8">
        <v>43887.489594907413</v>
      </c>
      <c r="B37907" s="8" t="str">
        <f>HYPERLINK("https://twitter.com/republikaonline","@republikaonline")</f>
        <v>@republikaonline</v>
      </c>
      <c r="C37907" s="8" t="s">
        <v>14715</v>
      </c>
      <c r="D37907" s="8">
        <v>3</v>
      </c>
      <c r="E37907" s="8">
        <v>6</v>
      </c>
      <c r="F37907" s="8">
        <v>1213886</v>
      </c>
    </row>
    <row r="37908" spans="1:6" ht="12.75">
      <c r="A37908" s="8">
        <v>43887.489525462966</v>
      </c>
      <c r="B37908" s="8" t="str">
        <f>HYPERLINK("https://twitter.com/Nandacoups1","@Nandacoups1")</f>
        <v>@Nandacoups1</v>
      </c>
      <c r="C37908" s="8" t="s">
        <v>12800</v>
      </c>
      <c r="D37908" s="8">
        <v>119</v>
      </c>
      <c r="E37908" s="8">
        <v>0</v>
      </c>
      <c r="F37908" s="8">
        <v>43</v>
      </c>
    </row>
    <row r="37909" spans="1:6" ht="12.75">
      <c r="A37909" s="8">
        <v>43887.489525462966</v>
      </c>
      <c r="B37909" s="8" t="str">
        <f>HYPERLINK("https://twitter.com/iz_wni","@iz_wni")</f>
        <v>@iz_wni</v>
      </c>
      <c r="C37909" s="8" t="s">
        <v>14716</v>
      </c>
      <c r="D37909" s="8">
        <v>628</v>
      </c>
      <c r="E37909" s="8">
        <v>0</v>
      </c>
      <c r="F37909" s="8">
        <v>85</v>
      </c>
    </row>
    <row r="37910" spans="1:6" ht="12.75">
      <c r="A37910" s="8">
        <v>43887.488807870366</v>
      </c>
      <c r="B37910" s="8" t="str">
        <f>HYPERLINK("https://twitter.com/SabangMerauke08","@SabangMerauke08")</f>
        <v>@SabangMerauke08</v>
      </c>
      <c r="C37910" s="8" t="s">
        <v>14710</v>
      </c>
      <c r="D37910" s="8">
        <v>2</v>
      </c>
      <c r="E37910" s="8">
        <v>0</v>
      </c>
      <c r="F37910" s="8">
        <v>1755</v>
      </c>
    </row>
    <row r="37911" spans="1:6" ht="12.75">
      <c r="A37911" s="8">
        <v>43887.488773148143</v>
      </c>
      <c r="B37911" s="8" t="str">
        <f>HYPERLINK("https://twitter.com/antoanto_","@antoanto_")</f>
        <v>@antoanto_</v>
      </c>
      <c r="C37911" s="8" t="s">
        <v>13365</v>
      </c>
      <c r="D37911" s="8">
        <v>745</v>
      </c>
      <c r="E37911" s="8">
        <v>0</v>
      </c>
      <c r="F37911" s="8">
        <v>87</v>
      </c>
    </row>
    <row r="37912" spans="1:6" ht="12.75">
      <c r="A37912" s="8">
        <v>43887.488518518519</v>
      </c>
      <c r="B37912" s="8" t="str">
        <f>HYPERLINK("https://twitter.com/ayyarachmania","@ayyarachmania")</f>
        <v>@ayyarachmania</v>
      </c>
      <c r="C37912" s="8" t="s">
        <v>12800</v>
      </c>
      <c r="D37912" s="8">
        <v>119</v>
      </c>
      <c r="E37912" s="8">
        <v>0</v>
      </c>
      <c r="F37912" s="8">
        <v>540</v>
      </c>
    </row>
    <row r="37913" spans="1:6" ht="12.75">
      <c r="A37913" s="8">
        <v>43887.488043981481</v>
      </c>
      <c r="B37913" s="8" t="str">
        <f>HYPERLINK("https://twitter.com/sirajapadoha","@sirajapadoha")</f>
        <v>@sirajapadoha</v>
      </c>
      <c r="C37913" s="8" t="s">
        <v>14717</v>
      </c>
      <c r="D37913" s="8">
        <v>0</v>
      </c>
      <c r="E37913" s="8">
        <v>0</v>
      </c>
      <c r="F37913" s="8">
        <v>2460</v>
      </c>
    </row>
    <row r="37914" spans="1:6" ht="12.75">
      <c r="A37914" s="8">
        <v>43887.465127314819</v>
      </c>
      <c r="B37914" s="8" t="str">
        <f>HYPERLINK("https://twitter.com/akunadomusowo","@akunadomusowo")</f>
        <v>@akunadomusowo</v>
      </c>
      <c r="C37914" s="8" t="s">
        <v>12800</v>
      </c>
      <c r="D37914" s="8">
        <v>40</v>
      </c>
      <c r="E37914" s="8">
        <v>0</v>
      </c>
      <c r="F37914" s="8">
        <v>82</v>
      </c>
    </row>
    <row r="37915" spans="1:6" ht="12.75">
      <c r="A37915" s="8">
        <v>43887.464814814812</v>
      </c>
      <c r="B37915" s="8" t="str">
        <f>HYPERLINK("https://twitter.com/gotchillxcv","@gotchillxcv")</f>
        <v>@gotchillxcv</v>
      </c>
      <c r="C37915" s="8" t="s">
        <v>12800</v>
      </c>
      <c r="D37915" s="8">
        <v>40</v>
      </c>
      <c r="E37915" s="8">
        <v>0</v>
      </c>
      <c r="F37915" s="8">
        <v>526</v>
      </c>
    </row>
    <row r="37916" spans="1:6" ht="12.75">
      <c r="A37916" s="8">
        <v>43887.464791666665</v>
      </c>
      <c r="B37916" s="8" t="str">
        <f>HYPERLINK("https://twitter.com/dechibee","@dechibee")</f>
        <v>@dechibee</v>
      </c>
      <c r="C37916" s="8" t="s">
        <v>12800</v>
      </c>
      <c r="D37916" s="8">
        <v>40</v>
      </c>
      <c r="E37916" s="8">
        <v>0</v>
      </c>
      <c r="F37916" s="8">
        <v>35</v>
      </c>
    </row>
    <row r="37917" spans="1:6" ht="12.75">
      <c r="A37917" s="8">
        <v>43887.464745370366</v>
      </c>
      <c r="B37917" s="8" t="str">
        <f>HYPERLINK("https://twitter.com/AgamKupie","@AgamKupie")</f>
        <v>@AgamKupie</v>
      </c>
      <c r="C37917" s="8" t="s">
        <v>14718</v>
      </c>
      <c r="D37917" s="8">
        <v>0</v>
      </c>
      <c r="E37917" s="8">
        <v>0</v>
      </c>
      <c r="F37917" s="8">
        <v>365</v>
      </c>
    </row>
    <row r="37918" spans="1:6" ht="12.75">
      <c r="A37918" s="8">
        <v>43887.46466435185</v>
      </c>
      <c r="B37918" s="8" t="str">
        <f>HYPERLINK("https://twitter.com/flyhigh114","@flyhigh114")</f>
        <v>@flyhigh114</v>
      </c>
      <c r="C37918" s="8" t="s">
        <v>12800</v>
      </c>
      <c r="D37918" s="8">
        <v>40</v>
      </c>
      <c r="E37918" s="8">
        <v>0</v>
      </c>
      <c r="F37918" s="8">
        <v>156</v>
      </c>
    </row>
    <row r="37919" spans="1:6" ht="12.75">
      <c r="A37919" s="8">
        <v>43887.464641203704</v>
      </c>
      <c r="B37919" s="8" t="str">
        <f>HYPERLINK("https://twitter.com/mine_gyou","@mine_gyou")</f>
        <v>@mine_gyou</v>
      </c>
      <c r="C37919" s="8" t="s">
        <v>12800</v>
      </c>
      <c r="D37919" s="8">
        <v>40</v>
      </c>
      <c r="E37919" s="8">
        <v>0</v>
      </c>
      <c r="F37919" s="8">
        <v>890</v>
      </c>
    </row>
    <row r="37920" spans="1:6" ht="12.75">
      <c r="A37920" s="8">
        <v>43887.464571759258</v>
      </c>
      <c r="B37920" s="8" t="str">
        <f>HYPERLINK("https://twitter.com/zeedn_a","@zeedn_a")</f>
        <v>@zeedn_a</v>
      </c>
      <c r="C37920" s="8" t="s">
        <v>14015</v>
      </c>
      <c r="D37920" s="8">
        <v>9</v>
      </c>
      <c r="E37920" s="8">
        <v>0</v>
      </c>
      <c r="F37920" s="8">
        <v>351</v>
      </c>
    </row>
    <row r="37921" spans="1:6" ht="12.75">
      <c r="A37921" s="8">
        <v>43887.464548611111</v>
      </c>
      <c r="B37921" s="8" t="str">
        <f>HYPERLINK("https://twitter.com/PHILUOCALIST","@PHILUOCALIST")</f>
        <v>@PHILUOCALIST</v>
      </c>
      <c r="C37921" s="8" t="s">
        <v>12800</v>
      </c>
      <c r="D37921" s="8">
        <v>40</v>
      </c>
      <c r="E37921" s="8">
        <v>0</v>
      </c>
      <c r="F37921" s="8">
        <v>421</v>
      </c>
    </row>
    <row r="37922" spans="1:6" ht="12.75">
      <c r="A37922" s="8">
        <v>43887.464490740742</v>
      </c>
      <c r="B37922" s="8" t="str">
        <f>HYPERLINK("https://twitter.com/Haykal96","@Haykal96")</f>
        <v>@Haykal96</v>
      </c>
      <c r="C37922" s="8" t="s">
        <v>2941</v>
      </c>
      <c r="D37922" s="8">
        <v>935</v>
      </c>
      <c r="E37922" s="8">
        <v>0</v>
      </c>
      <c r="F37922" s="8">
        <v>33</v>
      </c>
    </row>
    <row r="37923" spans="1:6" ht="12.75">
      <c r="A37923" s="8">
        <v>43887.464432870373</v>
      </c>
      <c r="B37923" s="8" t="str">
        <f>HYPERLINK("https://twitter.com/rhapsody_Bali","@rhapsody_Bali")</f>
        <v>@rhapsody_Bali</v>
      </c>
      <c r="C37923" s="8" t="s">
        <v>13117</v>
      </c>
      <c r="D37923" s="8">
        <v>8</v>
      </c>
      <c r="E37923" s="8">
        <v>0</v>
      </c>
      <c r="F37923" s="8">
        <v>1191</v>
      </c>
    </row>
    <row r="37924" spans="1:6" ht="12.75">
      <c r="A37924" s="8">
        <v>43887.464259259257</v>
      </c>
      <c r="B37924" s="8" t="str">
        <f>HYPERLINK("https://twitter.com/chochoseungyoun","@chochoseungyoun")</f>
        <v>@chochoseungyoun</v>
      </c>
      <c r="C37924" s="8" t="s">
        <v>12800</v>
      </c>
      <c r="D37924" s="8">
        <v>40</v>
      </c>
      <c r="E37924" s="8">
        <v>0</v>
      </c>
      <c r="F37924" s="8">
        <v>19703</v>
      </c>
    </row>
    <row r="37925" spans="1:6" ht="12.75">
      <c r="A37925" s="8">
        <v>43887.464236111111</v>
      </c>
      <c r="B37925" s="8" t="str">
        <f>HYPERLINK("https://twitter.com/thearenata11","@thearenata11")</f>
        <v>@thearenata11</v>
      </c>
      <c r="C37925" s="8" t="s">
        <v>12800</v>
      </c>
      <c r="D37925" s="8">
        <v>40</v>
      </c>
      <c r="E37925" s="8">
        <v>0</v>
      </c>
      <c r="F37925" s="8">
        <v>339</v>
      </c>
    </row>
    <row r="37926" spans="1:6" ht="12.75">
      <c r="A37926" s="8">
        <v>43887.464108796295</v>
      </c>
      <c r="B37926" s="8" t="str">
        <f>HYPERLINK("https://twitter.com/Julian303","@Julian303")</f>
        <v>@Julian303</v>
      </c>
      <c r="C37926" s="8" t="s">
        <v>13365</v>
      </c>
      <c r="D37926" s="8">
        <v>713</v>
      </c>
      <c r="E37926" s="8">
        <v>0</v>
      </c>
      <c r="F37926" s="8">
        <v>1378</v>
      </c>
    </row>
    <row r="37927" spans="1:6" ht="12.75">
      <c r="A37927" s="8">
        <v>43887.463912037041</v>
      </c>
      <c r="B37927" s="8" t="str">
        <f>HYPERLINK("https://twitter.com/Rfk_memymine","@Rfk_memymine")</f>
        <v>@Rfk_memymine</v>
      </c>
      <c r="C37927" s="8" t="s">
        <v>12800</v>
      </c>
      <c r="D37927" s="8">
        <v>40</v>
      </c>
      <c r="E37927" s="8">
        <v>0</v>
      </c>
      <c r="F37927" s="8">
        <v>5</v>
      </c>
    </row>
    <row r="37928" spans="1:6" ht="12.75">
      <c r="A37928" s="8">
        <v>43887.463854166665</v>
      </c>
      <c r="B37928" s="8" t="str">
        <f>HYPERLINK("https://twitter.com/wannable708","@wannable708")</f>
        <v>@wannable708</v>
      </c>
      <c r="C37928" s="8" t="s">
        <v>12800</v>
      </c>
      <c r="D37928" s="8">
        <v>40</v>
      </c>
      <c r="E37928" s="8">
        <v>0</v>
      </c>
      <c r="F37928" s="8">
        <v>8</v>
      </c>
    </row>
    <row r="37929" spans="1:6" ht="12.75">
      <c r="A37929" s="8">
        <v>43887.463229166664</v>
      </c>
      <c r="B37929" s="8" t="str">
        <f>HYPERLINK("https://twitter.com/evisuryanti10","@evisuryanti10")</f>
        <v>@evisuryanti10</v>
      </c>
      <c r="C37929" s="8" t="s">
        <v>12143</v>
      </c>
      <c r="D37929" s="8">
        <v>92</v>
      </c>
      <c r="E37929" s="8">
        <v>0</v>
      </c>
      <c r="F37929" s="8">
        <v>4136</v>
      </c>
    </row>
    <row r="37930" spans="1:6" ht="12.75">
      <c r="A37930" s="8">
        <v>43887.46303240741</v>
      </c>
      <c r="B37930" s="8" t="str">
        <f>HYPERLINK("https://twitter.com/DindinNugraha","@DindinNugraha")</f>
        <v>@DindinNugraha</v>
      </c>
      <c r="C37930" s="8" t="s">
        <v>14719</v>
      </c>
      <c r="D37930" s="8">
        <v>0</v>
      </c>
      <c r="E37930" s="8">
        <v>0</v>
      </c>
      <c r="F37930" s="8">
        <v>212</v>
      </c>
    </row>
    <row r="37931" spans="1:6" ht="12.75">
      <c r="A37931" s="8">
        <v>43887.462997685187</v>
      </c>
      <c r="B37931" s="8" t="str">
        <f>HYPERLINK("https://twitter.com/miniewoodzeu","@miniewoodzeu")</f>
        <v>@miniewoodzeu</v>
      </c>
      <c r="C37931" s="8" t="s">
        <v>12800</v>
      </c>
      <c r="D37931" s="8">
        <v>40</v>
      </c>
      <c r="E37931" s="8">
        <v>0</v>
      </c>
      <c r="F37931" s="8">
        <v>264</v>
      </c>
    </row>
    <row r="37932" spans="1:6" ht="12.75">
      <c r="A37932" s="8">
        <v>43887.462997685187</v>
      </c>
      <c r="B37932" s="8" t="str">
        <f>HYPERLINK("https://twitter.com/sunflowerssy","@sunflowerssy")</f>
        <v>@sunflowerssy</v>
      </c>
      <c r="C37932" s="8" t="s">
        <v>12800</v>
      </c>
      <c r="D37932" s="8">
        <v>40</v>
      </c>
      <c r="E37932" s="8">
        <v>0</v>
      </c>
      <c r="F37932" s="8">
        <v>706</v>
      </c>
    </row>
    <row r="37933" spans="1:6" ht="12.75">
      <c r="A37933" s="8">
        <v>43887.462870370371</v>
      </c>
      <c r="B37933" s="8" t="str">
        <f>HYPERLINK("https://twitter.com/Chonamgyulx","@Chonamgyulx")</f>
        <v>@Chonamgyulx</v>
      </c>
      <c r="C37933" s="8" t="s">
        <v>12800</v>
      </c>
      <c r="D37933" s="8">
        <v>40</v>
      </c>
      <c r="E37933" s="8">
        <v>0</v>
      </c>
      <c r="F37933" s="8">
        <v>2426</v>
      </c>
    </row>
    <row r="37934" spans="1:6" ht="12.75">
      <c r="A37934" s="8">
        <v>43887.462847222225</v>
      </c>
      <c r="B37934" s="8" t="str">
        <f>HYPERLINK("https://twitter.com/nourafay","@nourafay")</f>
        <v>@nourafay</v>
      </c>
      <c r="C37934" s="8" t="s">
        <v>14720</v>
      </c>
      <c r="D37934" s="8">
        <v>0</v>
      </c>
      <c r="E37934" s="8">
        <v>0</v>
      </c>
      <c r="F37934" s="8">
        <v>1459</v>
      </c>
    </row>
    <row r="37935" spans="1:6" ht="12.75">
      <c r="A37935" s="8">
        <v>43887.462731481486</v>
      </c>
      <c r="B37935" s="8" t="str">
        <f>HYPERLINK("https://twitter.com/apadahlu_","@apadahlu_")</f>
        <v>@apadahlu_</v>
      </c>
      <c r="C37935" s="8" t="s">
        <v>13365</v>
      </c>
      <c r="D37935" s="8">
        <v>713</v>
      </c>
      <c r="E37935" s="8">
        <v>0</v>
      </c>
      <c r="F37935" s="8">
        <v>232</v>
      </c>
    </row>
    <row r="37936" spans="1:6" ht="12.75">
      <c r="A37936" s="8">
        <v>43887.462314814809</v>
      </c>
      <c r="B37936" s="8" t="str">
        <f>HYPERLINK("https://twitter.com/Ruby_kuuipo","@Ruby_kuuipo")</f>
        <v>@Ruby_kuuipo</v>
      </c>
      <c r="C37936" s="8" t="s">
        <v>2941</v>
      </c>
      <c r="D37936" s="8">
        <v>935</v>
      </c>
      <c r="E37936" s="8">
        <v>0</v>
      </c>
      <c r="F37936" s="8">
        <v>122</v>
      </c>
    </row>
    <row r="37937" spans="1:6" ht="12.75">
      <c r="A37937" s="8">
        <v>43887.462222222224</v>
      </c>
      <c r="B37937" s="8" t="str">
        <f>HYPERLINK("https://twitter.com/aibisidiilafyou","@aibisidiilafyou")</f>
        <v>@aibisidiilafyou</v>
      </c>
      <c r="C37937" s="8" t="s">
        <v>12800</v>
      </c>
      <c r="D37937" s="8">
        <v>40</v>
      </c>
      <c r="E37937" s="8">
        <v>0</v>
      </c>
      <c r="F37937" s="8">
        <v>740</v>
      </c>
    </row>
    <row r="37938" spans="1:6" ht="12.75">
      <c r="A37938" s="8">
        <v>43887.462141203709</v>
      </c>
      <c r="B37938" s="8" t="str">
        <f>HYPERLINK("https://twitter.com/tani_suara","@tani_suara")</f>
        <v>@tani_suara</v>
      </c>
      <c r="C37938" s="8" t="s">
        <v>14721</v>
      </c>
      <c r="D37938" s="8">
        <v>0</v>
      </c>
      <c r="E37938" s="8">
        <v>0</v>
      </c>
      <c r="F37938" s="8">
        <v>73</v>
      </c>
    </row>
    <row r="37939" spans="1:6" ht="12.75">
      <c r="A37939" s="8">
        <v>43887.46199074074</v>
      </c>
      <c r="B37939" s="8" t="str">
        <f>HYPERLINK("https://twitter.com/HellowKiaaaa","@HellowKiaaaa")</f>
        <v>@HellowKiaaaa</v>
      </c>
      <c r="C37939" s="8" t="s">
        <v>12800</v>
      </c>
      <c r="D37939" s="8">
        <v>40</v>
      </c>
      <c r="E37939" s="8">
        <v>0</v>
      </c>
      <c r="F37939" s="8">
        <v>224</v>
      </c>
    </row>
    <row r="37940" spans="1:6" ht="12.75">
      <c r="A37940" s="8">
        <v>43887.461967592593</v>
      </c>
      <c r="B37940" s="8" t="str">
        <f>HYPERLINK("https://twitter.com/mnctrijayafm","@mnctrijayafm")</f>
        <v>@mnctrijayafm</v>
      </c>
      <c r="C37940" s="8" t="s">
        <v>14722</v>
      </c>
      <c r="D37940" s="8">
        <v>0</v>
      </c>
      <c r="E37940" s="8">
        <v>0</v>
      </c>
      <c r="F37940" s="8">
        <v>43730</v>
      </c>
    </row>
    <row r="37941" spans="1:6" ht="12.75">
      <c r="A37941" s="8">
        <v>43887.46194444444</v>
      </c>
      <c r="B37941" s="8" t="str">
        <f>HYPERLINK("https://twitter.com/sweetpink2505","@sweetpink2505")</f>
        <v>@sweetpink2505</v>
      </c>
      <c r="C37941" s="8" t="s">
        <v>12800</v>
      </c>
      <c r="D37941" s="8">
        <v>40</v>
      </c>
      <c r="E37941" s="8">
        <v>0</v>
      </c>
      <c r="F37941" s="8">
        <v>82</v>
      </c>
    </row>
    <row r="37942" spans="1:6" ht="12.75">
      <c r="A37942" s="8">
        <v>43887.461736111116</v>
      </c>
      <c r="B37942" s="8" t="str">
        <f>HYPERLINK("https://twitter.com/ranayesjam","@ranayesjam")</f>
        <v>@ranayesjam</v>
      </c>
      <c r="C37942" s="8" t="s">
        <v>2941</v>
      </c>
      <c r="D37942" s="8">
        <v>935</v>
      </c>
      <c r="E37942" s="8">
        <v>0</v>
      </c>
      <c r="F37942" s="8">
        <v>2</v>
      </c>
    </row>
    <row r="37943" spans="1:6" ht="12.75">
      <c r="A37943" s="8">
        <v>43887.461539351847</v>
      </c>
      <c r="B37943" s="8" t="str">
        <f>HYPERLINK("https://twitter.com/Dogohyogon","@Dogohyogon")</f>
        <v>@Dogohyogon</v>
      </c>
      <c r="C37943" s="8" t="s">
        <v>12800</v>
      </c>
      <c r="D37943" s="8">
        <v>40</v>
      </c>
      <c r="E37943" s="8">
        <v>0</v>
      </c>
      <c r="F37943" s="8">
        <v>330</v>
      </c>
    </row>
    <row r="37944" spans="1:6" ht="12.75">
      <c r="A37944" s="8">
        <v>43887.461527777778</v>
      </c>
      <c r="B37944" s="8" t="str">
        <f>HYPERLINK("https://twitter.com/erutufym2","@erutufym2")</f>
        <v>@erutufym2</v>
      </c>
      <c r="C37944" s="8" t="s">
        <v>12800</v>
      </c>
      <c r="D37944" s="8">
        <v>40</v>
      </c>
      <c r="E37944" s="8">
        <v>0</v>
      </c>
      <c r="F37944" s="8">
        <v>896</v>
      </c>
    </row>
    <row r="37945" spans="1:6" ht="12.75">
      <c r="A37945" s="8">
        <v>43887.461516203708</v>
      </c>
      <c r="B37945" s="8" t="str">
        <f>HYPERLINK("https://twitter.com/SeungSang1111","@SeungSang1111")</f>
        <v>@SeungSang1111</v>
      </c>
      <c r="C37945" s="8" t="s">
        <v>12800</v>
      </c>
      <c r="D37945" s="8">
        <v>40</v>
      </c>
      <c r="E37945" s="8">
        <v>0</v>
      </c>
      <c r="F37945" s="8">
        <v>50</v>
      </c>
    </row>
    <row r="37946" spans="1:6" ht="12.75">
      <c r="A37946" s="8">
        <v>43887.461435185185</v>
      </c>
      <c r="B37946" s="8" t="str">
        <f>HYPERLINK("https://twitter.com/swoopybae4","@swoopybae4")</f>
        <v>@swoopybae4</v>
      </c>
      <c r="C37946" s="8" t="s">
        <v>12800</v>
      </c>
      <c r="D37946" s="8">
        <v>40</v>
      </c>
      <c r="E37946" s="8">
        <v>0</v>
      </c>
      <c r="F37946" s="8">
        <v>675</v>
      </c>
    </row>
    <row r="37947" spans="1:6" ht="12.75">
      <c r="A37947" s="8">
        <v>43887.461412037039</v>
      </c>
      <c r="B37947" s="8" t="str">
        <f>HYPERLINK("https://twitter.com/sepuluhhari","@sepuluhhari")</f>
        <v>@sepuluhhari</v>
      </c>
      <c r="C37947" s="8" t="s">
        <v>12800</v>
      </c>
      <c r="D37947" s="8">
        <v>40</v>
      </c>
      <c r="E37947" s="8">
        <v>0</v>
      </c>
      <c r="F37947" s="8">
        <v>140</v>
      </c>
    </row>
    <row r="37948" spans="1:6" ht="12.75">
      <c r="A37948" s="8">
        <v>43887.461273148147</v>
      </c>
      <c r="B37948" s="8" t="str">
        <f>HYPERLINK("https://twitter.com/givzas","@givzas")</f>
        <v>@givzas</v>
      </c>
      <c r="C37948" s="8" t="s">
        <v>14723</v>
      </c>
      <c r="D37948" s="8">
        <v>0</v>
      </c>
      <c r="E37948" s="8">
        <v>0</v>
      </c>
      <c r="F37948" s="8">
        <v>2475</v>
      </c>
    </row>
    <row r="37949" spans="1:6" ht="12.75">
      <c r="A37949" s="8">
        <v>43887.460787037038</v>
      </c>
      <c r="B37949" s="8" t="str">
        <f>HYPERLINK("https://twitter.com/mabelsprivate","@mabelsprivate")</f>
        <v>@mabelsprivate</v>
      </c>
      <c r="C37949" s="8" t="s">
        <v>12800</v>
      </c>
      <c r="D37949" s="8">
        <v>40</v>
      </c>
      <c r="E37949" s="8">
        <v>0</v>
      </c>
      <c r="F37949" s="8">
        <v>173</v>
      </c>
    </row>
    <row r="37950" spans="1:6" ht="12.75">
      <c r="A37950" s="8">
        <v>43887.460763888885</v>
      </c>
      <c r="B37950" s="8" t="str">
        <f>HYPERLINK("https://twitter.com/bunnykhansaa","@bunnykhansaa")</f>
        <v>@bunnykhansaa</v>
      </c>
      <c r="C37950" s="8" t="s">
        <v>12800</v>
      </c>
      <c r="D37950" s="8">
        <v>40</v>
      </c>
      <c r="E37950" s="8">
        <v>0</v>
      </c>
      <c r="F37950" s="8">
        <v>669</v>
      </c>
    </row>
    <row r="37951" spans="1:6" ht="12.75">
      <c r="A37951" s="8">
        <v>43887.460590277777</v>
      </c>
      <c r="B37951" s="8" t="str">
        <f>HYPERLINK("https://twitter.com/HOSHeartLove","@HOSHeartLove")</f>
        <v>@HOSHeartLove</v>
      </c>
      <c r="C37951" s="8" t="s">
        <v>12800</v>
      </c>
      <c r="D37951" s="8">
        <v>40</v>
      </c>
      <c r="E37951" s="8">
        <v>0</v>
      </c>
      <c r="F37951" s="8">
        <v>412</v>
      </c>
    </row>
    <row r="37952" spans="1:6" ht="12.75">
      <c r="A37952" s="8">
        <v>43887.460393518515</v>
      </c>
      <c r="B37952" s="8" t="str">
        <f>HYPERLINK("https://twitter.com/kiyowoii","@kiyowoii")</f>
        <v>@kiyowoii</v>
      </c>
      <c r="C37952" s="8" t="s">
        <v>12800</v>
      </c>
      <c r="D37952" s="8">
        <v>40</v>
      </c>
      <c r="E37952" s="8">
        <v>0</v>
      </c>
      <c r="F37952" s="8">
        <v>539</v>
      </c>
    </row>
    <row r="37953" spans="1:6" ht="12.75">
      <c r="A37953" s="8">
        <v>43887.460196759261</v>
      </c>
      <c r="B37953" s="8" t="str">
        <f>HYPERLINK("https://twitter.com/fika_wn","@fika_wn")</f>
        <v>@fika_wn</v>
      </c>
      <c r="C37953" s="8" t="s">
        <v>12800</v>
      </c>
      <c r="D37953" s="8">
        <v>40</v>
      </c>
      <c r="E37953" s="8">
        <v>0</v>
      </c>
      <c r="F37953" s="8">
        <v>586</v>
      </c>
    </row>
    <row r="37954" spans="1:6" ht="12.75">
      <c r="A37954" s="8">
        <v>43887.460115740745</v>
      </c>
      <c r="B37954" s="8" t="str">
        <f>HYPERLINK("https://twitter.com/chonamgyuldz","@chonamgyuldz")</f>
        <v>@chonamgyuldz</v>
      </c>
      <c r="C37954" s="8" t="s">
        <v>12800</v>
      </c>
      <c r="D37954" s="8">
        <v>40</v>
      </c>
      <c r="E37954" s="8">
        <v>0</v>
      </c>
      <c r="F37954" s="8">
        <v>230</v>
      </c>
    </row>
    <row r="37955" spans="1:6" ht="12.75">
      <c r="A37955" s="8">
        <v>43887.459918981476</v>
      </c>
      <c r="B37955" s="8" t="str">
        <f>HYPERLINK("https://twitter.com/BillTemporo","@BillTemporo")</f>
        <v>@BillTemporo</v>
      </c>
      <c r="C37955" s="8" t="s">
        <v>384</v>
      </c>
      <c r="D37955" s="8">
        <v>0</v>
      </c>
      <c r="E37955" s="8">
        <v>0</v>
      </c>
      <c r="F37955" s="8">
        <v>11</v>
      </c>
    </row>
    <row r="37956" spans="1:6" ht="12.75">
      <c r="A37956" s="8">
        <v>43887.45988425926</v>
      </c>
      <c r="B37956" s="8" t="str">
        <f>HYPERLINK("https://twitter.com/Ervan_jtm","@Ervan_jtm")</f>
        <v>@Ervan_jtm</v>
      </c>
      <c r="C37956" s="8" t="s">
        <v>14724</v>
      </c>
      <c r="D37956" s="8">
        <v>5</v>
      </c>
      <c r="E37956" s="8">
        <v>0</v>
      </c>
      <c r="F37956" s="8">
        <v>161</v>
      </c>
    </row>
    <row r="37957" spans="1:6" ht="12.75">
      <c r="A37957" s="8">
        <v>43887.459768518514</v>
      </c>
      <c r="B37957" s="8" t="str">
        <f>HYPERLINK("https://twitter.com/jippong_01","@jippong_01")</f>
        <v>@jippong_01</v>
      </c>
      <c r="C37957" s="8" t="s">
        <v>12800</v>
      </c>
      <c r="D37957" s="8">
        <v>40</v>
      </c>
      <c r="E37957" s="8">
        <v>0</v>
      </c>
      <c r="F37957" s="8">
        <v>37</v>
      </c>
    </row>
    <row r="37958" spans="1:6" ht="12.75">
      <c r="A37958" s="8">
        <v>43887.459710648152</v>
      </c>
      <c r="B37958" s="8" t="str">
        <f>HYPERLINK("https://twitter.com/Ervan_jtm","@Ervan_jtm")</f>
        <v>@Ervan_jtm</v>
      </c>
      <c r="C37958" s="8" t="s">
        <v>14725</v>
      </c>
      <c r="D37958" s="8">
        <v>0</v>
      </c>
      <c r="E37958" s="8">
        <v>0</v>
      </c>
      <c r="F37958" s="8">
        <v>161</v>
      </c>
    </row>
    <row r="37959" spans="1:6" ht="12.75">
      <c r="A37959" s="8">
        <v>43887.459363425922</v>
      </c>
      <c r="B37959" s="8" t="str">
        <f>HYPERLINK("https://twitter.com/af1res","@af1res")</f>
        <v>@af1res</v>
      </c>
      <c r="C37959" s="8" t="s">
        <v>14726</v>
      </c>
      <c r="D37959" s="8">
        <v>0</v>
      </c>
      <c r="E37959" s="8">
        <v>0</v>
      </c>
      <c r="F37959" s="8">
        <v>1075</v>
      </c>
    </row>
    <row r="37960" spans="1:6" ht="12.75">
      <c r="A37960" s="8">
        <v>43887.459328703699</v>
      </c>
      <c r="B37960" s="8" t="str">
        <f>HYPERLINK("https://twitter.com/RAhyawari","@RAhyawari")</f>
        <v>@RAhyawari</v>
      </c>
      <c r="C37960" s="8" t="s">
        <v>12143</v>
      </c>
      <c r="D37960" s="8">
        <v>92</v>
      </c>
      <c r="E37960" s="8">
        <v>0</v>
      </c>
      <c r="F37960" s="8">
        <v>497</v>
      </c>
    </row>
    <row r="37961" spans="1:6" ht="12.75">
      <c r="A37961" s="8">
        <v>43887.459224537037</v>
      </c>
      <c r="B37961" s="8" t="str">
        <f>HYPERLINK("https://twitter.com/DineshP16493048","@DineshP16493048")</f>
        <v>@DineshP16493048</v>
      </c>
      <c r="C37961" s="8" t="s">
        <v>14727</v>
      </c>
      <c r="D37961" s="8">
        <v>0</v>
      </c>
      <c r="E37961" s="8">
        <v>0</v>
      </c>
      <c r="F37961" s="8">
        <v>262</v>
      </c>
    </row>
    <row r="37962" spans="1:6" ht="12.75">
      <c r="A37962" s="8">
        <v>43887.459016203706</v>
      </c>
      <c r="B37962" s="8" t="str">
        <f>HYPERLINK("https://twitter.com/alhaqcentre","@alhaqcentre")</f>
        <v>@alhaqcentre</v>
      </c>
      <c r="C37962" s="8" t="s">
        <v>14728</v>
      </c>
      <c r="D37962" s="8">
        <v>0</v>
      </c>
      <c r="E37962" s="8">
        <v>0</v>
      </c>
      <c r="F37962" s="8">
        <v>669</v>
      </c>
    </row>
    <row r="37963" spans="1:6" ht="12.75">
      <c r="A37963" s="8">
        <v>43887.458807870367</v>
      </c>
      <c r="B37963" s="8" t="str">
        <f>HYPERLINK("https://twitter.com/HaruDonghae86","@HaruDonghae86")</f>
        <v>@HaruDonghae86</v>
      </c>
      <c r="C37963" s="8" t="s">
        <v>12800</v>
      </c>
      <c r="D37963" s="8">
        <v>40</v>
      </c>
      <c r="E37963" s="8">
        <v>0</v>
      </c>
      <c r="F37963" s="8">
        <v>569</v>
      </c>
    </row>
    <row r="37964" spans="1:6" ht="12.75">
      <c r="A37964" s="8">
        <v>43887.458449074074</v>
      </c>
      <c r="B37964" s="8" t="str">
        <f t="shared" ref="B37964:B37965" si="568">HYPERLINK("https://twitter.com/kuroyasu17","@kuroyasu17")</f>
        <v>@kuroyasu17</v>
      </c>
      <c r="C37964" s="8" t="s">
        <v>14106</v>
      </c>
      <c r="D37964" s="8">
        <v>149</v>
      </c>
      <c r="E37964" s="8">
        <v>0</v>
      </c>
      <c r="F37964" s="8">
        <v>1615</v>
      </c>
    </row>
    <row r="37965" spans="1:6" ht="12.75">
      <c r="A37965" s="8">
        <v>43887.458414351851</v>
      </c>
      <c r="B37965" s="8" t="str">
        <f t="shared" si="568"/>
        <v>@kuroyasu17</v>
      </c>
      <c r="C37965" s="8" t="s">
        <v>13834</v>
      </c>
      <c r="D37965" s="8">
        <v>165</v>
      </c>
      <c r="E37965" s="8">
        <v>0</v>
      </c>
      <c r="F37965" s="8">
        <v>1615</v>
      </c>
    </row>
    <row r="37966" spans="1:6" ht="12.75">
      <c r="A37966" s="8">
        <v>43887.458391203705</v>
      </c>
      <c r="B37966" s="8" t="str">
        <f>HYPERLINK("https://twitter.com/ari_ramadona25","@ari_ramadona25")</f>
        <v>@ari_ramadona25</v>
      </c>
      <c r="C37966" s="8" t="s">
        <v>2941</v>
      </c>
      <c r="D37966" s="8">
        <v>935</v>
      </c>
      <c r="E37966" s="8">
        <v>0</v>
      </c>
      <c r="F37966" s="8">
        <v>1340</v>
      </c>
    </row>
    <row r="37967" spans="1:6" ht="12.75">
      <c r="A37967" s="8">
        <v>43887.458344907413</v>
      </c>
      <c r="B37967" s="8" t="str">
        <f>HYPERLINK("https://twitter.com/kuroyasu17","@kuroyasu17")</f>
        <v>@kuroyasu17</v>
      </c>
      <c r="C37967" s="8" t="s">
        <v>8484</v>
      </c>
      <c r="D37967" s="8">
        <v>957</v>
      </c>
      <c r="E37967" s="8">
        <v>0</v>
      </c>
      <c r="F37967" s="8">
        <v>1615</v>
      </c>
    </row>
    <row r="37968" spans="1:6" ht="12.75">
      <c r="A37968" s="8">
        <v>43887.458321759259</v>
      </c>
      <c r="B37968" s="8" t="str">
        <f>HYPERLINK("https://twitter.com/Jokowinomics_id","@Jokowinomics_id")</f>
        <v>@Jokowinomics_id</v>
      </c>
      <c r="C37968" s="8" t="s">
        <v>14729</v>
      </c>
      <c r="D37968" s="8">
        <v>0</v>
      </c>
      <c r="E37968" s="8">
        <v>0</v>
      </c>
      <c r="F37968" s="8">
        <v>1640</v>
      </c>
    </row>
    <row r="37969" spans="1:6" ht="12.75">
      <c r="A37969" s="8">
        <v>43887.458240740743</v>
      </c>
      <c r="B37969" s="8" t="str">
        <f>HYPERLINK("https://twitter.com/kuroyasu17","@kuroyasu17")</f>
        <v>@kuroyasu17</v>
      </c>
      <c r="C37969" s="8" t="s">
        <v>2940</v>
      </c>
      <c r="D37969" s="8">
        <v>2613</v>
      </c>
      <c r="E37969" s="8">
        <v>0</v>
      </c>
      <c r="F37969" s="8">
        <v>1615</v>
      </c>
    </row>
    <row r="37970" spans="1:6" ht="12.75">
      <c r="A37970" s="8">
        <v>43887.458125000005</v>
      </c>
      <c r="B37970" s="8" t="str">
        <f>HYPERLINK("https://twitter.com/marpaung913","@marpaung913")</f>
        <v>@marpaung913</v>
      </c>
      <c r="C37970" s="8" t="s">
        <v>14730</v>
      </c>
      <c r="D37970" s="8">
        <v>0</v>
      </c>
      <c r="E37970" s="8">
        <v>0</v>
      </c>
      <c r="F37970" s="8">
        <v>530</v>
      </c>
    </row>
    <row r="37971" spans="1:6" ht="12.75">
      <c r="A37971" s="8">
        <v>43887.457557870366</v>
      </c>
      <c r="B37971" s="8" t="str">
        <f>HYPERLINK("https://twitter.com/RambuRumba","@RambuRumba")</f>
        <v>@RambuRumba</v>
      </c>
      <c r="C37971" s="8" t="s">
        <v>13365</v>
      </c>
      <c r="D37971" s="8">
        <v>713</v>
      </c>
      <c r="E37971" s="8">
        <v>0</v>
      </c>
      <c r="F37971" s="8">
        <v>836</v>
      </c>
    </row>
    <row r="37972" spans="1:6" ht="12.75">
      <c r="A37972" s="8">
        <v>43887.457534722227</v>
      </c>
      <c r="B37972" s="8" t="str">
        <f>HYPERLINK("https://twitter.com/Danu_DJMiko","@Danu_DJMiko")</f>
        <v>@Danu_DJMiko</v>
      </c>
      <c r="C37972" s="8" t="s">
        <v>13365</v>
      </c>
      <c r="D37972" s="8">
        <v>713</v>
      </c>
      <c r="E37972" s="8">
        <v>0</v>
      </c>
      <c r="F37972" s="8">
        <v>109</v>
      </c>
    </row>
    <row r="37973" spans="1:6" ht="12.75">
      <c r="A37973" s="8">
        <v>43887.457326388889</v>
      </c>
      <c r="B37973" s="8" t="str">
        <f>HYPERLINK("https://twitter.com/nabilasalwafaj","@nabilasalwafaj")</f>
        <v>@nabilasalwafaj</v>
      </c>
      <c r="C37973" s="8" t="s">
        <v>13365</v>
      </c>
      <c r="D37973" s="8">
        <v>713</v>
      </c>
      <c r="E37973" s="8">
        <v>0</v>
      </c>
      <c r="F37973" s="8">
        <v>4</v>
      </c>
    </row>
    <row r="37974" spans="1:6" ht="12.75">
      <c r="A37974" s="8">
        <v>43887.457280092596</v>
      </c>
      <c r="B37974" s="8" t="str">
        <f>HYPERLINK("https://twitter.com/Sid_bisa","@Sid_bisa")</f>
        <v>@Sid_bisa</v>
      </c>
      <c r="C37974" s="8" t="s">
        <v>14731</v>
      </c>
      <c r="D37974" s="8">
        <v>0</v>
      </c>
      <c r="E37974" s="8">
        <v>0</v>
      </c>
      <c r="F37974" s="8">
        <v>72</v>
      </c>
    </row>
    <row r="37975" spans="1:6" ht="12.75">
      <c r="A37975" s="8">
        <v>43887.45685185185</v>
      </c>
      <c r="B37975" s="8" t="str">
        <f>HYPERLINK("https://twitter.com/iz_wni","@iz_wni")</f>
        <v>@iz_wni</v>
      </c>
      <c r="C37975" s="8" t="s">
        <v>14732</v>
      </c>
      <c r="D37975" s="8">
        <v>42</v>
      </c>
      <c r="E37975" s="8">
        <v>0</v>
      </c>
      <c r="F37975" s="8">
        <v>85</v>
      </c>
    </row>
    <row r="37976" spans="1:6" ht="12.75">
      <c r="A37976" s="8">
        <v>43887.456793981481</v>
      </c>
      <c r="B37976" s="8" t="str">
        <f>HYPERLINK("https://twitter.com/Ryan_zipur","@Ryan_zipur")</f>
        <v>@Ryan_zipur</v>
      </c>
      <c r="C37976" s="8" t="s">
        <v>13365</v>
      </c>
      <c r="D37976" s="8">
        <v>713</v>
      </c>
      <c r="E37976" s="8">
        <v>0</v>
      </c>
      <c r="F37976" s="8">
        <v>319</v>
      </c>
    </row>
    <row r="37977" spans="1:6" ht="12.75">
      <c r="A37977" s="8">
        <v>43887.456678240742</v>
      </c>
      <c r="B37977" s="8" t="str">
        <f>HYPERLINK("https://twitter.com/triwul82","@triwul82")</f>
        <v>@triwul82</v>
      </c>
      <c r="C37977" s="8" t="s">
        <v>14733</v>
      </c>
      <c r="D37977" s="8">
        <v>0</v>
      </c>
      <c r="E37977" s="8">
        <v>2</v>
      </c>
      <c r="F37977" s="8">
        <v>29104</v>
      </c>
    </row>
    <row r="37978" spans="1:6" ht="12.75">
      <c r="A37978" s="8">
        <v>43887.456527777773</v>
      </c>
      <c r="B37978" s="8" t="str">
        <f>HYPERLINK("https://twitter.com/shiningineast","@shiningineast")</f>
        <v>@shiningineast</v>
      </c>
      <c r="C37978" s="8" t="s">
        <v>12800</v>
      </c>
      <c r="D37978" s="8">
        <v>40</v>
      </c>
      <c r="E37978" s="8">
        <v>0</v>
      </c>
      <c r="F37978" s="8">
        <v>1035</v>
      </c>
    </row>
    <row r="37979" spans="1:6" ht="12.75">
      <c r="A37979" s="8">
        <v>43887.456342592588</v>
      </c>
      <c r="B37979" s="8" t="str">
        <f>HYPERLINK("https://twitter.com/g4lihpurwo","@g4lihpurwo")</f>
        <v>@g4lihpurwo</v>
      </c>
      <c r="C37979" s="8" t="s">
        <v>14734</v>
      </c>
      <c r="D37979" s="8">
        <v>21</v>
      </c>
      <c r="E37979" s="8">
        <v>0</v>
      </c>
      <c r="F37979" s="8">
        <v>3056</v>
      </c>
    </row>
    <row r="37980" spans="1:6" ht="12.75">
      <c r="A37980" s="8">
        <v>43887.456192129626</v>
      </c>
      <c r="B37980" s="8" t="str">
        <f>HYPERLINK("https://twitter.com/ronirustamadji","@ronirustamadji")</f>
        <v>@ronirustamadji</v>
      </c>
      <c r="C37980" s="8" t="s">
        <v>12143</v>
      </c>
      <c r="D37980" s="8">
        <v>92</v>
      </c>
      <c r="E37980" s="8">
        <v>0</v>
      </c>
      <c r="F37980" s="8">
        <v>3264</v>
      </c>
    </row>
    <row r="37981" spans="1:6" ht="12.75">
      <c r="A37981" s="8">
        <v>43887.45616898148</v>
      </c>
      <c r="B37981" s="8" t="str">
        <f>HYPERLINK("https://twitter.com/shunshou45","@shunshou45")</f>
        <v>@shunshou45</v>
      </c>
      <c r="C37981" s="8" t="s">
        <v>2940</v>
      </c>
      <c r="D37981" s="8">
        <v>2613</v>
      </c>
      <c r="E37981" s="8">
        <v>0</v>
      </c>
      <c r="F37981" s="8">
        <v>189</v>
      </c>
    </row>
    <row r="37982" spans="1:6" ht="12.75">
      <c r="A37982" s="8">
        <v>43887.456030092595</v>
      </c>
      <c r="B37982" s="8" t="str">
        <f>HYPERLINK("https://twitter.com/darksong33","@darksong33")</f>
        <v>@darksong33</v>
      </c>
      <c r="C37982" s="8" t="s">
        <v>2940</v>
      </c>
      <c r="D37982" s="8">
        <v>2613</v>
      </c>
      <c r="E37982" s="8">
        <v>0</v>
      </c>
      <c r="F37982" s="8">
        <v>61</v>
      </c>
    </row>
    <row r="37983" spans="1:6" ht="12.75">
      <c r="A37983" s="8">
        <v>43887.456018518518</v>
      </c>
      <c r="B37983" s="8" t="str">
        <f>HYPERLINK("https://twitter.com/Gun4w4nAhokers","@Gun4w4nAhokers")</f>
        <v>@Gun4w4nAhokers</v>
      </c>
      <c r="C37983" s="8" t="s">
        <v>12143</v>
      </c>
      <c r="D37983" s="8">
        <v>92</v>
      </c>
      <c r="E37983" s="8">
        <v>0</v>
      </c>
      <c r="F37983" s="8">
        <v>4182</v>
      </c>
    </row>
    <row r="37984" spans="1:6" ht="12.75">
      <c r="A37984" s="8">
        <v>43887.455983796295</v>
      </c>
      <c r="B37984" s="8" t="str">
        <f>HYPERLINK("https://twitter.com/aoao_efre","@aoao_efre")</f>
        <v>@aoao_efre</v>
      </c>
      <c r="C37984" s="8" t="s">
        <v>2940</v>
      </c>
      <c r="D37984" s="8">
        <v>2613</v>
      </c>
      <c r="E37984" s="8">
        <v>0</v>
      </c>
      <c r="F37984" s="8">
        <v>37</v>
      </c>
    </row>
    <row r="37985" spans="1:6" ht="12.75">
      <c r="A37985" s="8">
        <v>43887.455358796295</v>
      </c>
      <c r="B37985" s="8" t="str">
        <f>HYPERLINK("https://twitter.com/Saya95789550","@Saya95789550")</f>
        <v>@Saya95789550</v>
      </c>
      <c r="C37985" s="8" t="s">
        <v>2941</v>
      </c>
      <c r="D37985" s="8">
        <v>935</v>
      </c>
      <c r="E37985" s="8">
        <v>0</v>
      </c>
      <c r="F37985" s="8">
        <v>82</v>
      </c>
    </row>
    <row r="37986" spans="1:6" ht="12.75">
      <c r="A37986" s="8">
        <v>43887.455231481479</v>
      </c>
      <c r="B37986" s="8" t="str">
        <f>HYPERLINK("https://twitter.com/VIVAcoid","@VIVAcoid")</f>
        <v>@VIVAcoid</v>
      </c>
      <c r="C37986" s="8" t="s">
        <v>14735</v>
      </c>
      <c r="D37986" s="8">
        <v>2</v>
      </c>
      <c r="E37986" s="8">
        <v>0</v>
      </c>
      <c r="F37986" s="8">
        <v>4172509</v>
      </c>
    </row>
    <row r="37987" spans="1:6" ht="12.75">
      <c r="A37987" s="8">
        <v>43887.455092592594</v>
      </c>
      <c r="B37987" s="8" t="str">
        <f>HYPERLINK("https://twitter.com/MilkywayZombie","@MilkywayZombie")</f>
        <v>@MilkywayZombie</v>
      </c>
      <c r="C37987" s="8" t="s">
        <v>2940</v>
      </c>
      <c r="D37987" s="8">
        <v>2613</v>
      </c>
      <c r="E37987" s="8">
        <v>0</v>
      </c>
      <c r="F37987" s="8">
        <v>146</v>
      </c>
    </row>
    <row r="37988" spans="1:6" ht="12.75">
      <c r="A37988" s="8">
        <v>43887.455069444448</v>
      </c>
      <c r="B37988" s="8" t="str">
        <f>HYPERLINK("https://twitter.com/sesilian16","@sesilian16")</f>
        <v>@sesilian16</v>
      </c>
      <c r="C37988" s="8" t="s">
        <v>1318</v>
      </c>
      <c r="D37988" s="8">
        <v>23250</v>
      </c>
      <c r="E37988" s="8">
        <v>0</v>
      </c>
      <c r="F37988" s="8">
        <v>17</v>
      </c>
    </row>
    <row r="37989" spans="1:6" ht="12.75">
      <c r="A37989" s="8">
        <v>43887.454884259263</v>
      </c>
      <c r="B37989" s="8" t="str">
        <f>HYPERLINK("https://twitter.com/vivanewscom","@vivanewscom")</f>
        <v>@vivanewscom</v>
      </c>
      <c r="C37989" s="8" t="s">
        <v>14736</v>
      </c>
      <c r="D37989" s="8">
        <v>2</v>
      </c>
      <c r="E37989" s="8">
        <v>6</v>
      </c>
      <c r="F37989" s="8">
        <v>4410</v>
      </c>
    </row>
    <row r="37990" spans="1:6" ht="12.75">
      <c r="A37990" s="8">
        <v>43887.454745370371</v>
      </c>
      <c r="B37990" s="8" t="str">
        <f>HYPERLINK("https://twitter.com/suryakachandra","@suryakachandra")</f>
        <v>@suryakachandra</v>
      </c>
      <c r="C37990" s="8" t="s">
        <v>14737</v>
      </c>
      <c r="D37990" s="8">
        <v>0</v>
      </c>
      <c r="E37990" s="8">
        <v>0</v>
      </c>
      <c r="F37990" s="8">
        <v>747</v>
      </c>
    </row>
    <row r="37991" spans="1:6" ht="12.75">
      <c r="A37991" s="8">
        <v>43887.454745370371</v>
      </c>
      <c r="B37991" s="8" t="str">
        <f>HYPERLINK("https://twitter.com/sorisorisorijek","@sorisorisorijek")</f>
        <v>@sorisorisorijek</v>
      </c>
      <c r="C37991" s="8" t="s">
        <v>13365</v>
      </c>
      <c r="D37991" s="8">
        <v>713</v>
      </c>
      <c r="E37991" s="8">
        <v>0</v>
      </c>
      <c r="F37991" s="8">
        <v>49</v>
      </c>
    </row>
    <row r="37992" spans="1:6" ht="12.75">
      <c r="A37992" s="8">
        <v>43887.454606481479</v>
      </c>
      <c r="B37992" s="8" t="str">
        <f>HYPERLINK("https://twitter.com/purikp_","@purikp_")</f>
        <v>@purikp_</v>
      </c>
      <c r="C37992" s="8" t="s">
        <v>14738</v>
      </c>
      <c r="D37992" s="8">
        <v>2</v>
      </c>
      <c r="E37992" s="8">
        <v>0</v>
      </c>
      <c r="F37992" s="8">
        <v>1500</v>
      </c>
    </row>
    <row r="37993" spans="1:6" ht="12.75">
      <c r="A37993" s="8">
        <v>43887.454097222224</v>
      </c>
      <c r="B37993" s="8" t="str">
        <f>HYPERLINK("https://twitter.com/bberyvee","@bberyvee")</f>
        <v>@bberyvee</v>
      </c>
      <c r="C37993" s="8" t="s">
        <v>13365</v>
      </c>
      <c r="D37993" s="8">
        <v>713</v>
      </c>
      <c r="E37993" s="8">
        <v>0</v>
      </c>
      <c r="F37993" s="8">
        <v>684</v>
      </c>
    </row>
    <row r="37994" spans="1:6" ht="12.75">
      <c r="A37994" s="8">
        <v>43887.454050925924</v>
      </c>
      <c r="B37994" s="8" t="str">
        <f>HYPERLINK("https://twitter.com/tempodotco","@tempodotco")</f>
        <v>@tempodotco</v>
      </c>
      <c r="C37994" s="8" t="s">
        <v>14739</v>
      </c>
      <c r="D37994" s="8">
        <v>2</v>
      </c>
      <c r="E37994" s="8">
        <v>5</v>
      </c>
      <c r="F37994" s="8">
        <v>1712342</v>
      </c>
    </row>
    <row r="37995" spans="1:6" ht="12.75">
      <c r="A37995" s="8">
        <v>43887.453715277778</v>
      </c>
      <c r="B37995" s="8" t="str">
        <f>HYPERLINK("https://twitter.com/Sasha0680094840","@Sasha0680094840")</f>
        <v>@Sasha0680094840</v>
      </c>
      <c r="C37995" s="8" t="s">
        <v>13365</v>
      </c>
      <c r="D37995" s="8">
        <v>713</v>
      </c>
      <c r="E37995" s="8">
        <v>0</v>
      </c>
      <c r="F37995" s="8">
        <v>27</v>
      </c>
    </row>
    <row r="37996" spans="1:6" ht="12.75">
      <c r="A37996" s="8">
        <v>43887.453148148154</v>
      </c>
      <c r="B37996" s="8" t="str">
        <f>HYPERLINK("https://twitter.com/ferimut","@ferimut")</f>
        <v>@ferimut</v>
      </c>
      <c r="C37996" s="8" t="s">
        <v>14740</v>
      </c>
      <c r="D37996" s="8">
        <v>0</v>
      </c>
      <c r="E37996" s="8">
        <v>0</v>
      </c>
      <c r="F37996" s="8">
        <v>360</v>
      </c>
    </row>
    <row r="37997" spans="1:6" ht="12.75">
      <c r="A37997" s="8">
        <v>43887.453055555554</v>
      </c>
      <c r="B37997" s="8" t="str">
        <f>HYPERLINK("https://twitter.com/iekaede","@iekaede")</f>
        <v>@iekaede</v>
      </c>
      <c r="C37997" s="8" t="s">
        <v>2940</v>
      </c>
      <c r="D37997" s="8">
        <v>2613</v>
      </c>
      <c r="E37997" s="8">
        <v>0</v>
      </c>
      <c r="F37997" s="8">
        <v>64</v>
      </c>
    </row>
    <row r="37998" spans="1:6" ht="12.75">
      <c r="A37998" s="8">
        <v>43887.452916666662</v>
      </c>
      <c r="B37998" s="8" t="str">
        <f>HYPERLINK("https://twitter.com/VakeelSaab_","@VakeelSaab_")</f>
        <v>@VakeelSaab_</v>
      </c>
      <c r="C37998" s="8" t="s">
        <v>14741</v>
      </c>
      <c r="D37998" s="8">
        <v>0</v>
      </c>
      <c r="E37998" s="8">
        <v>0</v>
      </c>
      <c r="F37998" s="8">
        <v>244</v>
      </c>
    </row>
    <row r="37999" spans="1:6" ht="12.75">
      <c r="A37999" s="8">
        <v>43887.452905092592</v>
      </c>
      <c r="B37999" s="8" t="str">
        <f>HYPERLINK("https://twitter.com/namaireumname","@namaireumname")</f>
        <v>@namaireumname</v>
      </c>
      <c r="C37999" s="8" t="s">
        <v>13365</v>
      </c>
      <c r="D37999" s="8">
        <v>713</v>
      </c>
      <c r="E37999" s="8">
        <v>0</v>
      </c>
      <c r="F37999" s="8">
        <v>3</v>
      </c>
    </row>
    <row r="38000" spans="1:6" ht="12.75">
      <c r="A38000" s="8">
        <v>43887.452719907407</v>
      </c>
      <c r="B38000" s="8" t="str">
        <f>HYPERLINK("https://twitter.com/trubusid","@trubusid")</f>
        <v>@trubusid</v>
      </c>
      <c r="C38000" s="8" t="s">
        <v>14742</v>
      </c>
      <c r="D38000" s="8">
        <v>0</v>
      </c>
      <c r="E38000" s="8">
        <v>0</v>
      </c>
      <c r="F38000" s="8">
        <v>1021</v>
      </c>
    </row>
    <row r="38001" spans="1:6" ht="12.75">
      <c r="A38001" s="8">
        <v>43887.452627314815</v>
      </c>
      <c r="B38001" s="8" t="str">
        <f>HYPERLINK("https://twitter.com/cendananews","@cendananews")</f>
        <v>@cendananews</v>
      </c>
      <c r="C38001" s="8" t="s">
        <v>14743</v>
      </c>
      <c r="D38001" s="8">
        <v>0</v>
      </c>
      <c r="E38001" s="8">
        <v>0</v>
      </c>
      <c r="F38001" s="8">
        <v>4562</v>
      </c>
    </row>
    <row r="38002" spans="1:6" ht="12.75">
      <c r="A38002" s="8">
        <v>43887.452361111107</v>
      </c>
      <c r="B38002" s="8" t="str">
        <f>HYPERLINK("https://twitter.com/herisetz","@herisetz")</f>
        <v>@herisetz</v>
      </c>
      <c r="C38002" s="8" t="s">
        <v>13365</v>
      </c>
      <c r="D38002" s="8">
        <v>713</v>
      </c>
      <c r="E38002" s="8">
        <v>0</v>
      </c>
      <c r="F38002" s="8">
        <v>557</v>
      </c>
    </row>
    <row r="38003" spans="1:6" ht="12.75">
      <c r="A38003" s="8">
        <v>43887.451689814814</v>
      </c>
      <c r="B38003" s="8" t="str">
        <f>HYPERLINK("https://twitter.com/jsuisjaune","@jsuisjaune")</f>
        <v>@jsuisjaune</v>
      </c>
      <c r="C38003" s="8" t="s">
        <v>2941</v>
      </c>
      <c r="D38003" s="8">
        <v>935</v>
      </c>
      <c r="E38003" s="8">
        <v>0</v>
      </c>
      <c r="F38003" s="8">
        <v>327</v>
      </c>
    </row>
    <row r="38004" spans="1:6" ht="12.75">
      <c r="A38004" s="8">
        <v>43887.451249999998</v>
      </c>
      <c r="B38004" s="8" t="str">
        <f>HYPERLINK("https://twitter.com/ikrar_bhakti","@ikrar_bhakti")</f>
        <v>@ikrar_bhakti</v>
      </c>
      <c r="C38004" s="8" t="s">
        <v>14744</v>
      </c>
      <c r="D38004" s="8">
        <v>0</v>
      </c>
      <c r="E38004" s="8">
        <v>0</v>
      </c>
      <c r="F38004" s="8">
        <v>13</v>
      </c>
    </row>
    <row r="38005" spans="1:6" ht="12.75">
      <c r="A38005" s="8">
        <v>43887.451238425929</v>
      </c>
      <c r="B38005" s="8" t="str">
        <f>HYPERLINK("https://twitter.com/NurlelySiregar","@NurlelySiregar")</f>
        <v>@NurlelySiregar</v>
      </c>
      <c r="C38005" s="8" t="s">
        <v>13365</v>
      </c>
      <c r="D38005" s="8">
        <v>713</v>
      </c>
      <c r="E38005" s="8">
        <v>0</v>
      </c>
      <c r="F38005" s="8">
        <v>8182</v>
      </c>
    </row>
    <row r="38006" spans="1:6" ht="12.75">
      <c r="A38006" s="8">
        <v>43887.45103009259</v>
      </c>
      <c r="B38006" s="8" t="str">
        <f>HYPERLINK("https://twitter.com/sesilian16","@sesilian16")</f>
        <v>@sesilian16</v>
      </c>
      <c r="C38006" s="8" t="s">
        <v>14745</v>
      </c>
      <c r="D38006" s="8">
        <v>0</v>
      </c>
      <c r="E38006" s="8">
        <v>0</v>
      </c>
      <c r="F38006" s="8">
        <v>17</v>
      </c>
    </row>
    <row r="38007" spans="1:6" ht="12.75">
      <c r="A38007" s="8">
        <v>43887.450740740736</v>
      </c>
      <c r="B38007" s="8" t="str">
        <f>HYPERLINK("https://twitter.com/MuhtaromTara","@MuhtaromTara")</f>
        <v>@MuhtaromTara</v>
      </c>
      <c r="C38007" s="8" t="s">
        <v>14746</v>
      </c>
      <c r="D38007" s="8">
        <v>102</v>
      </c>
      <c r="E38007" s="8">
        <v>0</v>
      </c>
      <c r="F38007" s="8">
        <v>38</v>
      </c>
    </row>
    <row r="38008" spans="1:6" ht="12.75">
      <c r="A38008" s="8">
        <v>43887.450474537036</v>
      </c>
      <c r="B38008" s="8" t="str">
        <f>HYPERLINK("https://twitter.com/gnptri","@gnptri")</f>
        <v>@gnptri</v>
      </c>
      <c r="C38008" s="8" t="s">
        <v>13365</v>
      </c>
      <c r="D38008" s="8">
        <v>713</v>
      </c>
      <c r="E38008" s="8">
        <v>0</v>
      </c>
      <c r="F38008" s="8">
        <v>208</v>
      </c>
    </row>
    <row r="38009" spans="1:6" ht="12.75">
      <c r="A38009" s="8">
        <v>43887.450266203705</v>
      </c>
      <c r="B38009" s="8" t="str">
        <f>HYPERLINK("https://twitter.com/muammarluthfi","@muammarluthfi")</f>
        <v>@muammarluthfi</v>
      </c>
      <c r="C38009" s="8" t="s">
        <v>12800</v>
      </c>
      <c r="D38009" s="8">
        <v>40</v>
      </c>
      <c r="E38009" s="8">
        <v>0</v>
      </c>
      <c r="F38009" s="8">
        <v>333</v>
      </c>
    </row>
    <row r="38010" spans="1:6" ht="12.75">
      <c r="A38010" s="8">
        <v>43887.450150462959</v>
      </c>
      <c r="B38010" s="8" t="str">
        <f>HYPERLINK("https://twitter.com/BillyDolke","@BillyDolke")</f>
        <v>@BillyDolke</v>
      </c>
      <c r="C38010" s="8" t="s">
        <v>2941</v>
      </c>
      <c r="D38010" s="8">
        <v>935</v>
      </c>
      <c r="E38010" s="8">
        <v>0</v>
      </c>
      <c r="F38010" s="8">
        <v>54</v>
      </c>
    </row>
    <row r="38011" spans="1:6" ht="12.75">
      <c r="A38011" s="8">
        <v>43887.449965277774</v>
      </c>
      <c r="B38011" s="8" t="str">
        <f>HYPERLINK("https://twitter.com/bluechocos","@bluechocos")</f>
        <v>@bluechocos</v>
      </c>
      <c r="C38011" s="8" t="s">
        <v>12800</v>
      </c>
      <c r="D38011" s="8">
        <v>40</v>
      </c>
      <c r="E38011" s="8">
        <v>0</v>
      </c>
      <c r="F38011" s="8">
        <v>113</v>
      </c>
    </row>
    <row r="38012" spans="1:6" ht="12.75">
      <c r="A38012" s="8">
        <v>43887.44976851852</v>
      </c>
      <c r="B38012" s="8" t="str">
        <f>HYPERLINK("https://twitter.com/05d95a682cea478","@05d95a682cea478")</f>
        <v>@05d95a682cea478</v>
      </c>
      <c r="C38012" s="8" t="s">
        <v>14747</v>
      </c>
      <c r="D38012" s="8">
        <v>0</v>
      </c>
      <c r="E38012" s="8">
        <v>0</v>
      </c>
      <c r="F38012" s="8">
        <v>13</v>
      </c>
    </row>
    <row r="38013" spans="1:6" ht="12.75">
      <c r="A38013" s="8">
        <v>43887.449733796297</v>
      </c>
      <c r="B38013" s="8" t="str">
        <f>HYPERLINK("https://twitter.com/Uchii29100","@Uchii29100")</f>
        <v>@Uchii29100</v>
      </c>
      <c r="C38013" s="8" t="s">
        <v>13365</v>
      </c>
      <c r="D38013" s="8">
        <v>713</v>
      </c>
      <c r="E38013" s="8">
        <v>0</v>
      </c>
      <c r="F38013" s="8">
        <v>82</v>
      </c>
    </row>
    <row r="38014" spans="1:6" ht="12.75">
      <c r="A38014" s="8">
        <v>43887.423182870371</v>
      </c>
      <c r="B38014" s="8" t="str">
        <f>HYPERLINK("https://twitter.com/nicolaslkh","@nicolaslkh")</f>
        <v>@nicolaslkh</v>
      </c>
      <c r="C38014" s="8" t="s">
        <v>12143</v>
      </c>
      <c r="D38014" s="8">
        <v>74</v>
      </c>
      <c r="E38014" s="8">
        <v>0</v>
      </c>
      <c r="F38014" s="8">
        <v>401</v>
      </c>
    </row>
    <row r="38015" spans="1:6" ht="12.75">
      <c r="A38015" s="8">
        <v>43887.423171296294</v>
      </c>
      <c r="B38015" s="8" t="str">
        <f>HYPERLINK("https://twitter.com/03__nakula","@03__nakula")</f>
        <v>@03__nakula</v>
      </c>
      <c r="C38015" s="8" t="s">
        <v>14748</v>
      </c>
      <c r="D38015" s="8">
        <v>0</v>
      </c>
      <c r="E38015" s="8">
        <v>0</v>
      </c>
      <c r="F38015" s="8">
        <v>11475</v>
      </c>
    </row>
    <row r="38016" spans="1:6" ht="12.75">
      <c r="A38016" s="8">
        <v>43887.423125000001</v>
      </c>
      <c r="B38016" s="8" t="str">
        <f>HYPERLINK("https://twitter.com/RahmanAkly","@RahmanAkly")</f>
        <v>@RahmanAkly</v>
      </c>
      <c r="C38016" s="8" t="s">
        <v>12143</v>
      </c>
      <c r="D38016" s="8">
        <v>74</v>
      </c>
      <c r="E38016" s="8">
        <v>0</v>
      </c>
      <c r="F38016" s="8">
        <v>483</v>
      </c>
    </row>
    <row r="38017" spans="1:6" ht="12.75">
      <c r="A38017" s="8">
        <v>43887.422905092593</v>
      </c>
      <c r="B38017" s="8" t="str">
        <f>HYPERLINK("https://twitter.com/maoudynrni","@maoudynrni")</f>
        <v>@maoudynrni</v>
      </c>
      <c r="C38017" s="8" t="s">
        <v>2941</v>
      </c>
      <c r="D38017" s="8">
        <v>904</v>
      </c>
      <c r="E38017" s="8">
        <v>0</v>
      </c>
      <c r="F38017" s="8">
        <v>791</v>
      </c>
    </row>
    <row r="38018" spans="1:6" ht="12.75">
      <c r="A38018" s="8">
        <v>43887.422569444447</v>
      </c>
      <c r="B38018" s="8" t="str">
        <f>HYPERLINK("https://twitter.com/MaisaSeptiani","@MaisaSeptiani")</f>
        <v>@MaisaSeptiani</v>
      </c>
      <c r="C38018" s="8" t="s">
        <v>13187</v>
      </c>
      <c r="D38018" s="8">
        <v>15</v>
      </c>
      <c r="E38018" s="8">
        <v>0</v>
      </c>
      <c r="F38018" s="8">
        <v>30</v>
      </c>
    </row>
    <row r="38019" spans="1:6" ht="12.75">
      <c r="A38019" s="8">
        <v>43887.422349537039</v>
      </c>
      <c r="B38019" s="8" t="str">
        <f>HYPERLINK("https://twitter.com/Laduni_Sadja","@Laduni_Sadja")</f>
        <v>@Laduni_Sadja</v>
      </c>
      <c r="C38019" s="8" t="s">
        <v>14749</v>
      </c>
      <c r="D38019" s="8">
        <v>0</v>
      </c>
      <c r="E38019" s="8">
        <v>0</v>
      </c>
      <c r="F38019" s="8">
        <v>1179</v>
      </c>
    </row>
    <row r="38020" spans="1:6" ht="12.75">
      <c r="A38020" s="8">
        <v>43887.421550925923</v>
      </c>
      <c r="B38020" s="8" t="str">
        <f>HYPERLINK("https://twitter.com/merdekadotcom","@merdekadotcom")</f>
        <v>@merdekadotcom</v>
      </c>
      <c r="C38020" s="8" t="s">
        <v>14750</v>
      </c>
      <c r="D38020" s="8">
        <v>0</v>
      </c>
      <c r="E38020" s="8">
        <v>0</v>
      </c>
      <c r="F38020" s="8">
        <v>230811</v>
      </c>
    </row>
    <row r="38021" spans="1:6" ht="12.75">
      <c r="A38021" s="8">
        <v>43887.420960648145</v>
      </c>
      <c r="B38021" s="8" t="str">
        <f>HYPERLINK("https://twitter.com/YogaBagas","@YogaBagas")</f>
        <v>@YogaBagas</v>
      </c>
      <c r="C38021" s="8" t="s">
        <v>13365</v>
      </c>
      <c r="D38021" s="8">
        <v>674</v>
      </c>
      <c r="E38021" s="8">
        <v>0</v>
      </c>
      <c r="F38021" s="8">
        <v>275</v>
      </c>
    </row>
    <row r="38022" spans="1:6" ht="12.75">
      <c r="A38022" s="8">
        <v>43887.420717592591</v>
      </c>
      <c r="B38022" s="8" t="str">
        <f>HYPERLINK("https://twitter.com/VionaTalakua","@VionaTalakua")</f>
        <v>@VionaTalakua</v>
      </c>
      <c r="C38022" s="8" t="s">
        <v>12920</v>
      </c>
      <c r="D38022" s="8">
        <v>1545</v>
      </c>
      <c r="E38022" s="8">
        <v>0</v>
      </c>
      <c r="F38022" s="8">
        <v>1478</v>
      </c>
    </row>
    <row r="38023" spans="1:6" ht="12.75">
      <c r="A38023" s="8">
        <v>43887.42015046296</v>
      </c>
      <c r="B38023" s="8" t="str">
        <f>HYPERLINK("https://twitter.com/monitordaycom","@monitordaycom")</f>
        <v>@monitordaycom</v>
      </c>
      <c r="C38023" s="8" t="s">
        <v>14751</v>
      </c>
      <c r="D38023" s="8">
        <v>0</v>
      </c>
      <c r="E38023" s="8">
        <v>0</v>
      </c>
      <c r="F38023" s="8">
        <v>140</v>
      </c>
    </row>
    <row r="38024" spans="1:6" ht="12.75">
      <c r="A38024" s="8">
        <v>43887.419444444444</v>
      </c>
      <c r="B38024" s="8" t="str">
        <f>HYPERLINK("https://twitter.com/RudyPRONKRI","@RudyPRONKRI")</f>
        <v>@RudyPRONKRI</v>
      </c>
      <c r="C38024" s="8" t="s">
        <v>12143</v>
      </c>
      <c r="D38024" s="8">
        <v>74</v>
      </c>
      <c r="E38024" s="8">
        <v>0</v>
      </c>
      <c r="F38024" s="8">
        <v>3091</v>
      </c>
    </row>
    <row r="38025" spans="1:6" ht="12.75">
      <c r="A38025" s="8">
        <v>43887.419444444444</v>
      </c>
      <c r="B38025" s="8" t="str">
        <f>HYPERLINK("https://twitter.com/bearglizzy_","@bearglizzy_")</f>
        <v>@bearglizzy_</v>
      </c>
      <c r="C38025" s="8" t="s">
        <v>14752</v>
      </c>
      <c r="D38025" s="8">
        <v>14</v>
      </c>
      <c r="E38025" s="8">
        <v>0</v>
      </c>
      <c r="F38025" s="8">
        <v>14</v>
      </c>
    </row>
    <row r="38026" spans="1:6" ht="12.75">
      <c r="A38026" s="8">
        <v>43887.419363425928</v>
      </c>
      <c r="B38026" s="8" t="str">
        <f>HYPERLINK("https://twitter.com/Ahmaddaud04","@Ahmaddaud04")</f>
        <v>@Ahmaddaud04</v>
      </c>
      <c r="C38026" s="8" t="s">
        <v>13365</v>
      </c>
      <c r="D38026" s="8">
        <v>674</v>
      </c>
      <c r="E38026" s="8">
        <v>0</v>
      </c>
      <c r="F38026" s="8">
        <v>137</v>
      </c>
    </row>
    <row r="38027" spans="1:6" ht="12.75">
      <c r="A38027" s="8">
        <v>43887.418472222227</v>
      </c>
      <c r="B38027" s="8" t="str">
        <f>HYPERLINK("https://twitter.com/berryyywilson","@berryyywilson")</f>
        <v>@berryyywilson</v>
      </c>
      <c r="C38027" s="8" t="s">
        <v>14753</v>
      </c>
      <c r="D38027" s="8">
        <v>0</v>
      </c>
      <c r="E38027" s="8">
        <v>0</v>
      </c>
      <c r="F38027" s="8">
        <v>386</v>
      </c>
    </row>
    <row r="38028" spans="1:6" ht="12.75">
      <c r="A38028" s="8">
        <v>43887.418090277773</v>
      </c>
      <c r="B38028" s="8" t="str">
        <f>HYPERLINK("https://twitter.com/AskaraOfficial","@AskaraOfficial")</f>
        <v>@AskaraOfficial</v>
      </c>
      <c r="C38028" s="8" t="s">
        <v>14754</v>
      </c>
      <c r="D38028" s="8">
        <v>0</v>
      </c>
      <c r="E38028" s="8">
        <v>0</v>
      </c>
      <c r="F38028" s="8">
        <v>1</v>
      </c>
    </row>
    <row r="38029" spans="1:6" ht="12.75">
      <c r="A38029" s="8">
        <v>43887.417858796296</v>
      </c>
      <c r="B38029" s="8" t="str">
        <f>HYPERLINK("https://twitter.com/ryolandafit","@ryolandafit")</f>
        <v>@ryolandafit</v>
      </c>
      <c r="C38029" s="8" t="s">
        <v>13343</v>
      </c>
      <c r="D38029" s="8">
        <v>2</v>
      </c>
      <c r="E38029" s="8">
        <v>0</v>
      </c>
      <c r="F38029" s="8">
        <v>650</v>
      </c>
    </row>
    <row r="38030" spans="1:6" ht="12.75">
      <c r="A38030" s="8">
        <v>43887.417361111111</v>
      </c>
      <c r="B38030" s="8" t="str">
        <f>HYPERLINK("https://twitter.com/elshintamedan","@elshintamedan")</f>
        <v>@elshintamedan</v>
      </c>
      <c r="C38030" s="8" t="s">
        <v>14755</v>
      </c>
      <c r="D38030" s="8">
        <v>0</v>
      </c>
      <c r="E38030" s="8">
        <v>0</v>
      </c>
      <c r="F38030" s="8">
        <v>1733</v>
      </c>
    </row>
    <row r="38031" spans="1:6" ht="12.75">
      <c r="A38031" s="8">
        <v>43887.417094907403</v>
      </c>
      <c r="B38031" s="8" t="str">
        <f>HYPERLINK("https://twitter.com/clfxxx","@clfxxx")</f>
        <v>@clfxxx</v>
      </c>
      <c r="C38031" s="8" t="s">
        <v>13365</v>
      </c>
      <c r="D38031" s="8">
        <v>674</v>
      </c>
      <c r="E38031" s="8">
        <v>0</v>
      </c>
      <c r="F38031" s="8">
        <v>17</v>
      </c>
    </row>
    <row r="38032" spans="1:6" ht="12.75">
      <c r="A38032" s="8">
        <v>43887.41684027778</v>
      </c>
      <c r="B38032" s="8" t="str">
        <f>HYPERLINK("https://twitter.com/LokadataID","@LokadataID")</f>
        <v>@LokadataID</v>
      </c>
      <c r="C38032" s="8" t="s">
        <v>14756</v>
      </c>
      <c r="D38032" s="8">
        <v>0</v>
      </c>
      <c r="E38032" s="8">
        <v>0</v>
      </c>
      <c r="F38032" s="8">
        <v>512824</v>
      </c>
    </row>
    <row r="38033" spans="1:6" ht="12.75">
      <c r="A38033" s="8">
        <v>43887.416747685187</v>
      </c>
      <c r="B38033" s="8" t="str">
        <f>HYPERLINK("https://twitter.com/ivanchristi3","@ivanchristi3")</f>
        <v>@ivanchristi3</v>
      </c>
      <c r="C38033" s="8" t="s">
        <v>14757</v>
      </c>
      <c r="D38033" s="8">
        <v>193</v>
      </c>
      <c r="E38033" s="8">
        <v>0</v>
      </c>
      <c r="F38033" s="8">
        <v>2228</v>
      </c>
    </row>
    <row r="38034" spans="1:6" ht="12.75">
      <c r="A38034" s="8">
        <v>43887.416261574079</v>
      </c>
      <c r="B38034" s="8" t="str">
        <f>HYPERLINK("https://twitter.com/piiluss","@piiluss")</f>
        <v>@piiluss</v>
      </c>
      <c r="C38034" s="8" t="s">
        <v>2941</v>
      </c>
      <c r="D38034" s="8">
        <v>904</v>
      </c>
      <c r="E38034" s="8">
        <v>0</v>
      </c>
      <c r="F38034" s="8">
        <v>1929</v>
      </c>
    </row>
    <row r="38035" spans="1:6" ht="12.75">
      <c r="A38035" s="8">
        <v>43887.415844907402</v>
      </c>
      <c r="B38035" s="8" t="str">
        <f>HYPERLINK("https://twitter.com/iestea","@iestea")</f>
        <v>@iestea</v>
      </c>
      <c r="C38035" s="8" t="s">
        <v>14758</v>
      </c>
      <c r="D38035" s="8">
        <v>0</v>
      </c>
      <c r="E38035" s="8">
        <v>0</v>
      </c>
      <c r="F38035" s="8">
        <v>231</v>
      </c>
    </row>
    <row r="38036" spans="1:6" ht="12.75">
      <c r="A38036" s="8">
        <v>43887.415671296301</v>
      </c>
      <c r="B38036" s="8" t="str">
        <f>HYPERLINK("https://twitter.com/Putridwiy1","@Putridwiy1")</f>
        <v>@Putridwiy1</v>
      </c>
      <c r="C38036" s="8" t="s">
        <v>13365</v>
      </c>
      <c r="D38036" s="8">
        <v>674</v>
      </c>
      <c r="E38036" s="8">
        <v>0</v>
      </c>
      <c r="F38036" s="8">
        <v>10</v>
      </c>
    </row>
    <row r="38037" spans="1:6" ht="12.75">
      <c r="A38037" s="8">
        <v>43887.415289351848</v>
      </c>
      <c r="B38037" s="8" t="str">
        <f>HYPERLINK("https://twitter.com/jusdoit9","@jusdoit9")</f>
        <v>@jusdoit9</v>
      </c>
      <c r="C38037" s="8" t="s">
        <v>14759</v>
      </c>
      <c r="D38037" s="8">
        <v>0</v>
      </c>
      <c r="E38037" s="8">
        <v>0</v>
      </c>
      <c r="F38037" s="8">
        <v>126</v>
      </c>
    </row>
    <row r="38038" spans="1:6" ht="12.75">
      <c r="A38038" s="8">
        <v>43887.415185185186</v>
      </c>
      <c r="B38038" s="8" t="str">
        <f>HYPERLINK("https://twitter.com/callmeIntann","@callmeIntann")</f>
        <v>@callmeIntann</v>
      </c>
      <c r="C38038" s="8" t="s">
        <v>13365</v>
      </c>
      <c r="D38038" s="8">
        <v>674</v>
      </c>
      <c r="E38038" s="8">
        <v>0</v>
      </c>
      <c r="F38038" s="8">
        <v>77</v>
      </c>
    </row>
    <row r="38039" spans="1:6" ht="12.75">
      <c r="A38039" s="8">
        <v>43887.414652777778</v>
      </c>
      <c r="B38039" s="8" t="str">
        <f>HYPERLINK("https://twitter.com/Zeed_RWT","@Zeed_RWT")</f>
        <v>@Zeed_RWT</v>
      </c>
      <c r="C38039" s="8" t="s">
        <v>13365</v>
      </c>
      <c r="D38039" s="8">
        <v>674</v>
      </c>
      <c r="E38039" s="8">
        <v>0</v>
      </c>
      <c r="F38039" s="8">
        <v>0</v>
      </c>
    </row>
    <row r="38040" spans="1:6" ht="12.75">
      <c r="A38040" s="8">
        <v>43887.414386574077</v>
      </c>
      <c r="B38040" s="8" t="str">
        <f>HYPERLINK("https://twitter.com/bearglizzy_","@bearglizzy_")</f>
        <v>@bearglizzy_</v>
      </c>
      <c r="C38040" s="8" t="s">
        <v>14760</v>
      </c>
      <c r="D38040" s="8">
        <v>61</v>
      </c>
      <c r="E38040" s="8">
        <v>0</v>
      </c>
      <c r="F38040" s="8">
        <v>14</v>
      </c>
    </row>
    <row r="38041" spans="1:6" ht="12.75">
      <c r="A38041" s="8">
        <v>43887.414131944446</v>
      </c>
      <c r="B38041" s="8" t="str">
        <f>HYPERLINK("https://twitter.com/deandry","@deandry")</f>
        <v>@deandry</v>
      </c>
      <c r="C38041" s="8" t="s">
        <v>13365</v>
      </c>
      <c r="D38041" s="8">
        <v>674</v>
      </c>
      <c r="E38041" s="8">
        <v>0</v>
      </c>
      <c r="F38041" s="8">
        <v>2148</v>
      </c>
    </row>
    <row r="38042" spans="1:6" ht="12.75">
      <c r="A38042" s="8">
        <v>43887.413865740746</v>
      </c>
      <c r="B38042" s="8" t="str">
        <f>HYPERLINK("https://twitter.com/JamesZzz4","@JamesZzz4")</f>
        <v>@JamesZzz4</v>
      </c>
      <c r="C38042" s="8" t="s">
        <v>13365</v>
      </c>
      <c r="D38042" s="8">
        <v>674</v>
      </c>
      <c r="E38042" s="8">
        <v>0</v>
      </c>
      <c r="F38042" s="8">
        <v>61</v>
      </c>
    </row>
    <row r="38043" spans="1:6" ht="12.75">
      <c r="A38043" s="8">
        <v>43887.413495370369</v>
      </c>
      <c r="B38043" s="8" t="str">
        <f>HYPERLINK("https://twitter.com/shiaLebaou","@shiaLebaou")</f>
        <v>@shiaLebaou</v>
      </c>
      <c r="C38043" s="8" t="s">
        <v>14761</v>
      </c>
      <c r="D38043" s="8">
        <v>0</v>
      </c>
      <c r="E38043" s="8">
        <v>1</v>
      </c>
      <c r="F38043" s="8">
        <v>1392</v>
      </c>
    </row>
    <row r="38044" spans="1:6" ht="12.75">
      <c r="A38044" s="8">
        <v>43887.412905092591</v>
      </c>
      <c r="B38044" s="8" t="str">
        <f>HYPERLINK("https://twitter.com/jennyferica","@jennyferica")</f>
        <v>@jennyferica</v>
      </c>
      <c r="C38044" s="8" t="s">
        <v>1435</v>
      </c>
      <c r="D38044" s="8">
        <v>833</v>
      </c>
      <c r="E38044" s="8">
        <v>0</v>
      </c>
      <c r="F38044" s="8">
        <v>903</v>
      </c>
    </row>
    <row r="38045" spans="1:6" ht="12.75">
      <c r="A38045" s="8">
        <v>43887.412418981483</v>
      </c>
      <c r="B38045" s="8" t="str">
        <f>HYPERLINK("https://twitter.com/tirtanahl","@tirtanahl")</f>
        <v>@tirtanahl</v>
      </c>
      <c r="C38045" s="8" t="s">
        <v>13365</v>
      </c>
      <c r="D38045" s="8">
        <v>674</v>
      </c>
      <c r="E38045" s="8">
        <v>0</v>
      </c>
      <c r="F38045" s="8">
        <v>1430</v>
      </c>
    </row>
    <row r="38046" spans="1:6" ht="12.75">
      <c r="A38046" s="8">
        <v>43887.412118055552</v>
      </c>
      <c r="B38046" s="8" t="str">
        <f>HYPERLINK("https://twitter.com/AdellaWibawa","@AdellaWibawa")</f>
        <v>@AdellaWibawa</v>
      </c>
      <c r="C38046" s="8" t="s">
        <v>11183</v>
      </c>
      <c r="D38046" s="8">
        <v>306</v>
      </c>
      <c r="E38046" s="8">
        <v>0</v>
      </c>
      <c r="F38046" s="8">
        <v>6309</v>
      </c>
    </row>
    <row r="38047" spans="1:6" ht="12.75">
      <c r="A38047" s="8">
        <v>43887.41207175926</v>
      </c>
      <c r="B38047" s="8" t="str">
        <f>HYPERLINK("https://twitter.com/deb0rs","@deb0rs")</f>
        <v>@deb0rs</v>
      </c>
      <c r="C38047" s="8" t="s">
        <v>2941</v>
      </c>
      <c r="D38047" s="8">
        <v>904</v>
      </c>
      <c r="E38047" s="8">
        <v>0</v>
      </c>
      <c r="F38047" s="8">
        <v>325</v>
      </c>
    </row>
    <row r="38048" spans="1:6" ht="12.75">
      <c r="A38048" s="8">
        <v>43887.411805555559</v>
      </c>
      <c r="B38048" s="8" t="str">
        <f>HYPERLINK("https://twitter.com/judantoro","@judantoro")</f>
        <v>@judantoro</v>
      </c>
      <c r="C38048" s="8" t="s">
        <v>14762</v>
      </c>
      <c r="D38048" s="8">
        <v>0</v>
      </c>
      <c r="E38048" s="8">
        <v>0</v>
      </c>
      <c r="F38048" s="8">
        <v>5</v>
      </c>
    </row>
    <row r="38049" spans="1:6" ht="12.75">
      <c r="A38049" s="8">
        <v>43887.411712962959</v>
      </c>
      <c r="B38049" s="8" t="str">
        <f>HYPERLINK("https://twitter.com/prawiro_warno","@prawiro_warno")</f>
        <v>@prawiro_warno</v>
      </c>
      <c r="C38049" s="8" t="s">
        <v>14763</v>
      </c>
      <c r="D38049" s="8">
        <v>3</v>
      </c>
      <c r="E38049" s="8">
        <v>0</v>
      </c>
      <c r="F38049" s="8">
        <v>595</v>
      </c>
    </row>
    <row r="38050" spans="1:6" ht="12.75">
      <c r="A38050" s="8">
        <v>43887.41170138889</v>
      </c>
      <c r="B38050" s="8" t="str">
        <f>HYPERLINK("https://twitter.com/KKhawarij","@KKhawarij")</f>
        <v>@KKhawarij</v>
      </c>
      <c r="C38050" s="8" t="s">
        <v>12143</v>
      </c>
      <c r="D38050" s="8">
        <v>74</v>
      </c>
      <c r="E38050" s="8">
        <v>0</v>
      </c>
      <c r="F38050" s="8">
        <v>204</v>
      </c>
    </row>
    <row r="38051" spans="1:6" ht="12.75">
      <c r="A38051" s="8">
        <v>43887.411620370374</v>
      </c>
      <c r="B38051" s="8" t="str">
        <f>HYPERLINK("https://twitter.com/JaYaNeger1Ku","@JaYaNeger1Ku")</f>
        <v>@JaYaNeger1Ku</v>
      </c>
      <c r="C38051" s="8" t="s">
        <v>14764</v>
      </c>
      <c r="D38051" s="8">
        <v>994</v>
      </c>
      <c r="E38051" s="8">
        <v>0</v>
      </c>
      <c r="F38051" s="8">
        <v>645</v>
      </c>
    </row>
    <row r="38052" spans="1:6" ht="12.75">
      <c r="A38052" s="8">
        <v>43887.410960648151</v>
      </c>
      <c r="B38052" s="8" t="str">
        <f>HYPERLINK("https://twitter.com/plushiety","@plushiety")</f>
        <v>@plushiety</v>
      </c>
      <c r="C38052" s="8" t="s">
        <v>14765</v>
      </c>
      <c r="D38052" s="8">
        <v>0</v>
      </c>
      <c r="E38052" s="8">
        <v>0</v>
      </c>
      <c r="F38052" s="8">
        <v>33</v>
      </c>
    </row>
    <row r="38053" spans="1:6" ht="12.75">
      <c r="A38053" s="8">
        <v>43887.410844907412</v>
      </c>
      <c r="B38053" s="8" t="str">
        <f>HYPERLINK("https://twitter.com/Firmanbudianap2","@Firmanbudianap2")</f>
        <v>@Firmanbudianap2</v>
      </c>
      <c r="C38053" s="8" t="s">
        <v>14763</v>
      </c>
      <c r="D38053" s="8">
        <v>3</v>
      </c>
      <c r="E38053" s="8">
        <v>0</v>
      </c>
      <c r="F38053" s="8">
        <v>162</v>
      </c>
    </row>
    <row r="38054" spans="1:6" ht="12.75">
      <c r="A38054" s="8">
        <v>43887.410810185189</v>
      </c>
      <c r="B38054" s="8" t="str">
        <f>HYPERLINK("https://twitter.com/xoxohow886","@xoxohow886")</f>
        <v>@xoxohow886</v>
      </c>
      <c r="C38054" s="8" t="s">
        <v>13365</v>
      </c>
      <c r="D38054" s="8">
        <v>674</v>
      </c>
      <c r="E38054" s="8">
        <v>0</v>
      </c>
      <c r="F38054" s="8">
        <v>130</v>
      </c>
    </row>
    <row r="38055" spans="1:6" ht="12.75">
      <c r="A38055" s="8">
        <v>43887.410405092596</v>
      </c>
      <c r="B38055" s="8" t="str">
        <f>HYPERLINK("https://twitter.com/Delta_tofu","@Delta_tofu")</f>
        <v>@Delta_tofu</v>
      </c>
      <c r="C38055" s="8" t="s">
        <v>13365</v>
      </c>
      <c r="D38055" s="8">
        <v>674</v>
      </c>
      <c r="E38055" s="8">
        <v>0</v>
      </c>
      <c r="F38055" s="8">
        <v>597</v>
      </c>
    </row>
    <row r="38056" spans="1:6" ht="12.75">
      <c r="A38056" s="8">
        <v>43887.410150462965</v>
      </c>
      <c r="B38056" s="8" t="str">
        <f>HYPERLINK("https://twitter.com/fikriboow","@fikriboow")</f>
        <v>@fikriboow</v>
      </c>
      <c r="C38056" s="8" t="s">
        <v>2941</v>
      </c>
      <c r="D38056" s="8">
        <v>904</v>
      </c>
      <c r="E38056" s="8">
        <v>0</v>
      </c>
      <c r="F38056" s="8">
        <v>406</v>
      </c>
    </row>
    <row r="38057" spans="1:6" ht="12.75">
      <c r="A38057" s="8">
        <v>43887.409953703704</v>
      </c>
      <c r="B38057" s="8" t="str">
        <f>HYPERLINK("https://twitter.com/zola_angelina","@zola_angelina")</f>
        <v>@zola_angelina</v>
      </c>
      <c r="C38057" s="8" t="s">
        <v>14766</v>
      </c>
      <c r="D38057" s="8">
        <v>37</v>
      </c>
      <c r="E38057" s="8">
        <v>0</v>
      </c>
      <c r="F38057" s="8">
        <v>5</v>
      </c>
    </row>
    <row r="38058" spans="1:6" ht="12.75">
      <c r="A38058" s="8">
        <v>43887.409814814819</v>
      </c>
      <c r="B38058" s="8" t="str">
        <f>HYPERLINK("https://twitter.com/LintangLesmanaa","@LintangLesmanaa")</f>
        <v>@LintangLesmanaa</v>
      </c>
      <c r="C38058" s="8" t="s">
        <v>14767</v>
      </c>
      <c r="D38058" s="8">
        <v>0</v>
      </c>
      <c r="E38058" s="8">
        <v>0</v>
      </c>
      <c r="F38058" s="8">
        <v>146</v>
      </c>
    </row>
    <row r="38059" spans="1:6" ht="12.75">
      <c r="A38059" s="8">
        <v>43887.409780092596</v>
      </c>
      <c r="B38059" s="8" t="str">
        <f>HYPERLINK("https://twitter.com/ErnaZahra","@ErnaZahra")</f>
        <v>@ErnaZahra</v>
      </c>
      <c r="C38059" s="8" t="s">
        <v>11183</v>
      </c>
      <c r="D38059" s="8">
        <v>306</v>
      </c>
      <c r="E38059" s="8">
        <v>0</v>
      </c>
      <c r="F38059" s="8">
        <v>950</v>
      </c>
    </row>
    <row r="38060" spans="1:6" ht="12.75">
      <c r="A38060" s="8">
        <v>43887.409756944442</v>
      </c>
      <c r="B38060" s="8" t="str">
        <f t="shared" ref="B38060:B38061" si="569">HYPERLINK("https://twitter.com/zola_angelina","@zola_angelina")</f>
        <v>@zola_angelina</v>
      </c>
      <c r="C38060" s="8" t="s">
        <v>1435</v>
      </c>
      <c r="D38060" s="8">
        <v>833</v>
      </c>
      <c r="E38060" s="8">
        <v>0</v>
      </c>
      <c r="F38060" s="8">
        <v>5</v>
      </c>
    </row>
    <row r="38061" spans="1:6" ht="12.75">
      <c r="A38061" s="8">
        <v>43887.409664351857</v>
      </c>
      <c r="B38061" s="8" t="str">
        <f t="shared" si="569"/>
        <v>@zola_angelina</v>
      </c>
      <c r="C38061" s="8" t="s">
        <v>13834</v>
      </c>
      <c r="D38061" s="8">
        <v>164</v>
      </c>
      <c r="E38061" s="8">
        <v>0</v>
      </c>
      <c r="F38061" s="8">
        <v>5</v>
      </c>
    </row>
    <row r="38062" spans="1:6" ht="12.75">
      <c r="A38062" s="8">
        <v>43887.409490740742</v>
      </c>
      <c r="B38062" s="8" t="str">
        <f>HYPERLINK("https://twitter.com/anan_maru1009","@anan_maru1009")</f>
        <v>@anan_maru1009</v>
      </c>
      <c r="C38062" s="8" t="s">
        <v>2940</v>
      </c>
      <c r="D38062" s="8">
        <v>2605</v>
      </c>
      <c r="E38062" s="8">
        <v>0</v>
      </c>
      <c r="F38062" s="8">
        <v>401</v>
      </c>
    </row>
    <row r="38063" spans="1:6" ht="12.75">
      <c r="A38063" s="8">
        <v>43887.409398148149</v>
      </c>
      <c r="B38063" s="8" t="str">
        <f>HYPERLINK("https://twitter.com/raafiDs","@raafiDs")</f>
        <v>@raafiDs</v>
      </c>
      <c r="C38063" s="8" t="s">
        <v>7320</v>
      </c>
      <c r="D38063" s="8">
        <v>2</v>
      </c>
      <c r="E38063" s="8">
        <v>0</v>
      </c>
      <c r="F38063" s="8">
        <v>716</v>
      </c>
    </row>
    <row r="38064" spans="1:6" ht="12.75">
      <c r="A38064" s="8">
        <v>43887.409224537041</v>
      </c>
      <c r="B38064" s="8" t="str">
        <f>HYPERLINK("https://twitter.com/tempodotco","@tempodotco")</f>
        <v>@tempodotco</v>
      </c>
      <c r="C38064" s="8" t="s">
        <v>14768</v>
      </c>
      <c r="D38064" s="8">
        <v>3</v>
      </c>
      <c r="E38064" s="8">
        <v>4</v>
      </c>
      <c r="F38064" s="8">
        <v>1712297</v>
      </c>
    </row>
    <row r="38065" spans="1:6" ht="12.75">
      <c r="A38065" s="8">
        <v>43887.408842592587</v>
      </c>
      <c r="B38065" s="8" t="str">
        <f>HYPERLINK("https://twitter.com/dutashampo__","@dutashampo__")</f>
        <v>@dutashampo__</v>
      </c>
      <c r="C38065" s="8" t="s">
        <v>13365</v>
      </c>
      <c r="D38065" s="8">
        <v>674</v>
      </c>
      <c r="E38065" s="8">
        <v>0</v>
      </c>
      <c r="F38065" s="8">
        <v>117</v>
      </c>
    </row>
    <row r="38066" spans="1:6" ht="12.75">
      <c r="A38066" s="8">
        <v>43887.408796296295</v>
      </c>
      <c r="B38066" s="8" t="str">
        <f>HYPERLINK("https://twitter.com/plushiety","@plushiety")</f>
        <v>@plushiety</v>
      </c>
      <c r="C38066" s="8" t="s">
        <v>14769</v>
      </c>
      <c r="D38066" s="8">
        <v>0</v>
      </c>
      <c r="E38066" s="8">
        <v>0</v>
      </c>
      <c r="F38066" s="8">
        <v>33</v>
      </c>
    </row>
    <row r="38067" spans="1:6" ht="12.75">
      <c r="A38067" s="8">
        <v>43887.408553240741</v>
      </c>
      <c r="B38067" s="8" t="str">
        <f>HYPERLINK("https://twitter.com/KrisnaFirda","@KrisnaFirda")</f>
        <v>@KrisnaFirda</v>
      </c>
      <c r="C38067" s="8" t="s">
        <v>14770</v>
      </c>
      <c r="D38067" s="8">
        <v>0</v>
      </c>
      <c r="E38067" s="8">
        <v>0</v>
      </c>
      <c r="F38067" s="8">
        <v>1533</v>
      </c>
    </row>
    <row r="38068" spans="1:6" ht="12.75">
      <c r="A38068" s="8">
        <v>43887.407812500001</v>
      </c>
      <c r="B38068" s="8" t="str">
        <f>HYPERLINK("https://twitter.com/askmearmything","@askmearmything")</f>
        <v>@askmearmything</v>
      </c>
      <c r="C38068" s="8" t="s">
        <v>14771</v>
      </c>
      <c r="D38068" s="8">
        <v>0</v>
      </c>
      <c r="E38068" s="8">
        <v>0</v>
      </c>
      <c r="F38068" s="8">
        <v>474</v>
      </c>
    </row>
    <row r="38069" spans="1:6" ht="12.75">
      <c r="A38069" s="8">
        <v>43887.407592592594</v>
      </c>
      <c r="B38069" s="8" t="str">
        <f>HYPERLINK("https://twitter.com/Anand_Krishna_","@Anand_Krishna_")</f>
        <v>@Anand_Krishna_</v>
      </c>
      <c r="C38069" s="8" t="s">
        <v>14734</v>
      </c>
      <c r="D38069" s="8">
        <v>20</v>
      </c>
      <c r="E38069" s="8">
        <v>0</v>
      </c>
      <c r="F38069" s="8">
        <v>3720</v>
      </c>
    </row>
    <row r="38070" spans="1:6" ht="12.75">
      <c r="A38070" s="8">
        <v>43887.407592592594</v>
      </c>
      <c r="B38070" s="8" t="str">
        <f>HYPERLINK("https://twitter.com/HumorPolitikINA","@HumorPolitikINA")</f>
        <v>@HumorPolitikINA</v>
      </c>
      <c r="C38070" s="8" t="s">
        <v>14772</v>
      </c>
      <c r="D38070" s="8">
        <v>0</v>
      </c>
      <c r="E38070" s="8">
        <v>0</v>
      </c>
      <c r="F38070" s="8">
        <v>2518</v>
      </c>
    </row>
    <row r="38071" spans="1:6" ht="12.75">
      <c r="A38071" s="8">
        <v>43887.407129629632</v>
      </c>
      <c r="B38071" s="8" t="str">
        <f>HYPERLINK("https://twitter.com/YoyokSubandriy3","@YoyokSubandriy3")</f>
        <v>@YoyokSubandriy3</v>
      </c>
      <c r="C38071" s="8" t="s">
        <v>7320</v>
      </c>
      <c r="D38071" s="8">
        <v>2</v>
      </c>
      <c r="E38071" s="8">
        <v>0</v>
      </c>
      <c r="F38071" s="8">
        <v>1384</v>
      </c>
    </row>
    <row r="38072" spans="1:6" ht="12.75">
      <c r="A38072" s="8">
        <v>43887.407060185185</v>
      </c>
      <c r="B38072" s="8" t="str">
        <f>HYPERLINK("https://twitter.com/Fm98Sonora","@Fm98Sonora")</f>
        <v>@Fm98Sonora</v>
      </c>
      <c r="C38072" s="8" t="s">
        <v>14773</v>
      </c>
      <c r="D38072" s="8">
        <v>4</v>
      </c>
      <c r="E38072" s="8">
        <v>0</v>
      </c>
      <c r="F38072" s="8">
        <v>21</v>
      </c>
    </row>
    <row r="38073" spans="1:6" ht="12.75">
      <c r="A38073" s="8">
        <v>43887.406770833331</v>
      </c>
      <c r="B38073" s="8" t="str">
        <f>HYPERLINK("https://twitter.com/Gin_Droger","@Gin_Droger")</f>
        <v>@Gin_Droger</v>
      </c>
      <c r="C38073" s="8" t="s">
        <v>2941</v>
      </c>
      <c r="D38073" s="8">
        <v>904</v>
      </c>
      <c r="E38073" s="8">
        <v>0</v>
      </c>
      <c r="F38073" s="8">
        <v>12</v>
      </c>
    </row>
    <row r="38074" spans="1:6" ht="12.75">
      <c r="A38074" s="8">
        <v>43887.406493055554</v>
      </c>
      <c r="B38074" s="8" t="str">
        <f>HYPERLINK("https://twitter.com/sukron_ab","@sukron_ab")</f>
        <v>@sukron_ab</v>
      </c>
      <c r="C38074" s="8" t="s">
        <v>14774</v>
      </c>
      <c r="D38074" s="8">
        <v>0</v>
      </c>
      <c r="E38074" s="8">
        <v>2</v>
      </c>
      <c r="F38074" s="8">
        <v>5471</v>
      </c>
    </row>
    <row r="38075" spans="1:6" ht="12.75">
      <c r="A38075" s="8">
        <v>43887.406446759254</v>
      </c>
      <c r="B38075" s="8" t="str">
        <f>HYPERLINK("https://twitter.com/hobisunmi","@hobisunmi")</f>
        <v>@hobisunmi</v>
      </c>
      <c r="C38075" s="8" t="s">
        <v>14775</v>
      </c>
      <c r="D38075" s="8">
        <v>0</v>
      </c>
      <c r="E38075" s="8">
        <v>0</v>
      </c>
      <c r="F38075" s="8">
        <v>6362</v>
      </c>
    </row>
    <row r="38076" spans="1:6" ht="12.75">
      <c r="A38076" s="8">
        <v>43887.406168981484</v>
      </c>
      <c r="B38076" s="8" t="str">
        <f>HYPERLINK("https://twitter.com/dimitrisarch","@dimitrisarch")</f>
        <v>@dimitrisarch</v>
      </c>
      <c r="C38076" s="8" t="s">
        <v>14776</v>
      </c>
      <c r="D38076" s="8">
        <v>0</v>
      </c>
      <c r="E38076" s="8">
        <v>0</v>
      </c>
      <c r="F38076" s="8">
        <v>36</v>
      </c>
    </row>
    <row r="38077" spans="1:6" ht="12.75">
      <c r="A38077" s="8">
        <v>43887.405821759261</v>
      </c>
      <c r="B38077" s="8" t="str">
        <f>HYPERLINK("https://twitter.com/wintaebearrr","@wintaebearrr")</f>
        <v>@wintaebearrr</v>
      </c>
      <c r="C38077" s="8" t="s">
        <v>14777</v>
      </c>
      <c r="D38077" s="8">
        <v>0</v>
      </c>
      <c r="E38077" s="8">
        <v>0</v>
      </c>
      <c r="F38077" s="8">
        <v>538</v>
      </c>
    </row>
    <row r="38078" spans="1:6" ht="12.75">
      <c r="A38078" s="8">
        <v>43887.404675925922</v>
      </c>
      <c r="B38078" s="8" t="str">
        <f>HYPERLINK("https://twitter.com/Bubeng_siansu","@Bubeng_siansu")</f>
        <v>@Bubeng_siansu</v>
      </c>
      <c r="C38078" s="8" t="s">
        <v>13117</v>
      </c>
      <c r="D38078" s="8">
        <v>5</v>
      </c>
      <c r="E38078" s="8">
        <v>0</v>
      </c>
      <c r="F38078" s="8">
        <v>2341</v>
      </c>
    </row>
    <row r="38079" spans="1:6" ht="12.75">
      <c r="A38079" s="8">
        <v>43887.404178240744</v>
      </c>
      <c r="B38079" s="8" t="str">
        <f>HYPERLINK("https://twitter.com/ISIS_Balik_NO","@ISIS_Balik_NO")</f>
        <v>@ISIS_Balik_NO</v>
      </c>
      <c r="C38079" s="8" t="s">
        <v>14778</v>
      </c>
      <c r="D38079" s="8">
        <v>97</v>
      </c>
      <c r="E38079" s="8">
        <v>0</v>
      </c>
      <c r="F38079" s="8">
        <v>6091</v>
      </c>
    </row>
    <row r="38080" spans="1:6" ht="12.75">
      <c r="A38080" s="8">
        <v>43887.403738425928</v>
      </c>
      <c r="B38080" s="8" t="str">
        <f>HYPERLINK("https://twitter.com/abyalif74_noni","@abyalif74_noni")</f>
        <v>@abyalif74_noni</v>
      </c>
      <c r="C38080" s="8" t="s">
        <v>13365</v>
      </c>
      <c r="D38080" s="8">
        <v>674</v>
      </c>
      <c r="E38080" s="8">
        <v>0</v>
      </c>
      <c r="F38080" s="8">
        <v>3962</v>
      </c>
    </row>
    <row r="38081" spans="1:6" ht="12.75">
      <c r="A38081" s="8">
        <v>43887.403622685189</v>
      </c>
      <c r="B38081" s="8" t="str">
        <f>HYPERLINK("https://twitter.com/zola_angelina","@zola_angelina")</f>
        <v>@zola_angelina</v>
      </c>
      <c r="C38081" s="8" t="s">
        <v>2940</v>
      </c>
      <c r="D38081" s="8">
        <v>2605</v>
      </c>
      <c r="E38081" s="8">
        <v>0</v>
      </c>
      <c r="F38081" s="8">
        <v>5</v>
      </c>
    </row>
    <row r="38082" spans="1:6" ht="12.75">
      <c r="A38082" s="8">
        <v>43887.403564814813</v>
      </c>
      <c r="B38082" s="8" t="str">
        <f>HYPERLINK("https://twitter.com/EliteInteligent","@EliteInteligent")</f>
        <v>@EliteInteligent</v>
      </c>
      <c r="C38082" s="8" t="s">
        <v>13365</v>
      </c>
      <c r="D38082" s="8">
        <v>674</v>
      </c>
      <c r="E38082" s="8">
        <v>0</v>
      </c>
      <c r="F38082" s="8">
        <v>1441</v>
      </c>
    </row>
    <row r="38083" spans="1:6" ht="12.75">
      <c r="A38083" s="8">
        <v>43887.403541666667</v>
      </c>
      <c r="B38083" s="8" t="str">
        <f>HYPERLINK("https://twitter.com/zola_angelina","@zola_angelina")</f>
        <v>@zola_angelina</v>
      </c>
      <c r="C38083" s="8" t="s">
        <v>8484</v>
      </c>
      <c r="D38083" s="8">
        <v>953</v>
      </c>
      <c r="E38083" s="8">
        <v>0</v>
      </c>
      <c r="F38083" s="8">
        <v>5</v>
      </c>
    </row>
    <row r="38084" spans="1:6" ht="12.75">
      <c r="A38084" s="8">
        <v>43887.402303240742</v>
      </c>
      <c r="B38084" s="8" t="str">
        <f>HYPERLINK("https://twitter.com/novvi_dewi","@novvi_dewi")</f>
        <v>@novvi_dewi</v>
      </c>
      <c r="C38084" s="8" t="s">
        <v>14779</v>
      </c>
      <c r="D38084" s="8">
        <v>0</v>
      </c>
      <c r="E38084" s="8">
        <v>1</v>
      </c>
      <c r="F38084" s="8">
        <v>369</v>
      </c>
    </row>
    <row r="38085" spans="1:6" ht="12.75">
      <c r="A38085" s="8">
        <v>43887.402048611111</v>
      </c>
      <c r="B38085" s="8" t="str">
        <f>HYPERLINK("https://twitter.com/CaesarDcandra","@CaesarDcandra")</f>
        <v>@CaesarDcandra</v>
      </c>
      <c r="C38085" s="8" t="s">
        <v>14780</v>
      </c>
      <c r="D38085" s="8">
        <v>0</v>
      </c>
      <c r="E38085" s="8">
        <v>0</v>
      </c>
      <c r="F38085" s="8">
        <v>12</v>
      </c>
    </row>
    <row r="38086" spans="1:6" ht="12.75">
      <c r="A38086" s="8">
        <v>43887.402025462958</v>
      </c>
      <c r="B38086" s="8" t="str">
        <f>HYPERLINK("https://twitter.com/yanamariakenzo","@yanamariakenzo")</f>
        <v>@yanamariakenzo</v>
      </c>
      <c r="C38086" s="8" t="s">
        <v>13365</v>
      </c>
      <c r="D38086" s="8">
        <v>674</v>
      </c>
      <c r="E38086" s="8">
        <v>0</v>
      </c>
      <c r="F38086" s="8">
        <v>27</v>
      </c>
    </row>
    <row r="38087" spans="1:6" ht="12.75">
      <c r="A38087" s="8">
        <v>43887.401967592596</v>
      </c>
      <c r="B38087" s="8" t="str">
        <f>HYPERLINK("https://twitter.com/Julius_D_Irawan","@Julius_D_Irawan")</f>
        <v>@Julius_D_Irawan</v>
      </c>
      <c r="C38087" s="8" t="s">
        <v>11183</v>
      </c>
      <c r="D38087" s="8">
        <v>306</v>
      </c>
      <c r="E38087" s="8">
        <v>0</v>
      </c>
      <c r="F38087" s="8">
        <v>68</v>
      </c>
    </row>
    <row r="38088" spans="1:6" ht="12.75">
      <c r="A38088" s="8">
        <v>43887.401689814811</v>
      </c>
      <c r="B38088" s="8" t="str">
        <f>HYPERLINK("https://twitter.com/Yusuf_K","@Yusuf_K")</f>
        <v>@Yusuf_K</v>
      </c>
      <c r="C38088" s="8" t="s">
        <v>14781</v>
      </c>
      <c r="D38088" s="8">
        <v>0</v>
      </c>
      <c r="E38088" s="8">
        <v>0</v>
      </c>
      <c r="F38088" s="8">
        <v>56</v>
      </c>
    </row>
    <row r="38089" spans="1:6" ht="12.75">
      <c r="A38089" s="8">
        <v>43887.401423611111</v>
      </c>
      <c r="B38089" s="8" t="str">
        <f>HYPERLINK("https://twitter.com/miho_1412","@miho_1412")</f>
        <v>@miho_1412</v>
      </c>
      <c r="C38089" s="8" t="s">
        <v>2940</v>
      </c>
      <c r="D38089" s="8">
        <v>2605</v>
      </c>
      <c r="E38089" s="8">
        <v>0</v>
      </c>
      <c r="F38089" s="8">
        <v>2</v>
      </c>
    </row>
    <row r="38090" spans="1:6" ht="12.75">
      <c r="A38090" s="8">
        <v>43887.401226851856</v>
      </c>
      <c r="B38090" s="8" t="str">
        <f>HYPERLINK("https://twitter.com/hwesvt","@hwesvt")</f>
        <v>@hwesvt</v>
      </c>
      <c r="C38090" s="8" t="s">
        <v>14782</v>
      </c>
      <c r="D38090" s="8">
        <v>0</v>
      </c>
      <c r="E38090" s="8">
        <v>1</v>
      </c>
      <c r="F38090" s="8">
        <v>1080</v>
      </c>
    </row>
    <row r="38091" spans="1:6" ht="12.75">
      <c r="A38091" s="8">
        <v>43887.40111111111</v>
      </c>
      <c r="B38091" s="8" t="str">
        <f>HYPERLINK("https://twitter.com/adeartie","@adeartie")</f>
        <v>@adeartie</v>
      </c>
      <c r="C38091" s="8" t="s">
        <v>2941</v>
      </c>
      <c r="D38091" s="8">
        <v>904</v>
      </c>
      <c r="E38091" s="8">
        <v>0</v>
      </c>
      <c r="F38091" s="8">
        <v>98</v>
      </c>
    </row>
    <row r="38092" spans="1:6" ht="12.75">
      <c r="A38092" s="8">
        <v>43887.400775462964</v>
      </c>
      <c r="B38092" s="8" t="str">
        <f t="shared" ref="B38092:B38094" si="570">HYPERLINK("https://twitter.com/MarilynMonq","@MarilynMonq")</f>
        <v>@MarilynMonq</v>
      </c>
      <c r="C38092" s="8" t="s">
        <v>14106</v>
      </c>
      <c r="D38092" s="8">
        <v>148</v>
      </c>
      <c r="E38092" s="8">
        <v>0</v>
      </c>
      <c r="F38092" s="8">
        <v>64</v>
      </c>
    </row>
    <row r="38093" spans="1:6" ht="12.75">
      <c r="A38093" s="8">
        <v>43887.400752314818</v>
      </c>
      <c r="B38093" s="8" t="str">
        <f t="shared" si="570"/>
        <v>@MarilynMonq</v>
      </c>
      <c r="C38093" s="8" t="s">
        <v>13834</v>
      </c>
      <c r="D38093" s="8">
        <v>164</v>
      </c>
      <c r="E38093" s="8">
        <v>0</v>
      </c>
      <c r="F38093" s="8">
        <v>64</v>
      </c>
    </row>
    <row r="38094" spans="1:6" ht="12.75">
      <c r="A38094" s="8">
        <v>43887.400706018518</v>
      </c>
      <c r="B38094" s="8" t="str">
        <f t="shared" si="570"/>
        <v>@MarilynMonq</v>
      </c>
      <c r="C38094" s="8" t="s">
        <v>8484</v>
      </c>
      <c r="D38094" s="8">
        <v>953</v>
      </c>
      <c r="E38094" s="8">
        <v>0</v>
      </c>
      <c r="F38094" s="8">
        <v>64</v>
      </c>
    </row>
    <row r="38095" spans="1:6" ht="12.75">
      <c r="A38095" s="8">
        <v>43887.400682870371</v>
      </c>
      <c r="B38095" s="8" t="str">
        <f>HYPERLINK("https://twitter.com/ISIS_Balik_NO","@ISIS_Balik_NO")</f>
        <v>@ISIS_Balik_NO</v>
      </c>
      <c r="C38095" s="8" t="s">
        <v>14783</v>
      </c>
      <c r="D38095" s="8">
        <v>0</v>
      </c>
      <c r="E38095" s="8">
        <v>0</v>
      </c>
      <c r="F38095" s="8">
        <v>6091</v>
      </c>
    </row>
    <row r="38096" spans="1:6" ht="12.75">
      <c r="A38096" s="8">
        <v>43887.400671296295</v>
      </c>
      <c r="B38096" s="8" t="str">
        <f>HYPERLINK("https://twitter.com/RengginangBulat","@RengginangBulat")</f>
        <v>@RengginangBulat</v>
      </c>
      <c r="C38096" s="8" t="s">
        <v>12143</v>
      </c>
      <c r="D38096" s="8">
        <v>74</v>
      </c>
      <c r="E38096" s="8">
        <v>0</v>
      </c>
      <c r="F38096" s="8">
        <v>898</v>
      </c>
    </row>
    <row r="38097" spans="1:6" ht="12.75">
      <c r="A38097" s="8">
        <v>43887.400636574079</v>
      </c>
      <c r="B38097" s="8" t="str">
        <f>HYPERLINK("https://twitter.com/MarilynMonq","@MarilynMonq")</f>
        <v>@MarilynMonq</v>
      </c>
      <c r="C38097" s="8" t="s">
        <v>2940</v>
      </c>
      <c r="D38097" s="8">
        <v>2605</v>
      </c>
      <c r="E38097" s="8">
        <v>0</v>
      </c>
      <c r="F38097" s="8">
        <v>64</v>
      </c>
    </row>
    <row r="38098" spans="1:6" ht="12.75">
      <c r="A38098" s="8">
        <v>43887.399745370371</v>
      </c>
      <c r="B38098" s="8" t="str">
        <f>HYPERLINK("https://twitter.com/MENANGCURANGKAU","@MENANGCURANGKAU")</f>
        <v>@MENANGCURANGKAU</v>
      </c>
      <c r="C38098" s="8" t="s">
        <v>13365</v>
      </c>
      <c r="D38098" s="8">
        <v>674</v>
      </c>
      <c r="E38098" s="8">
        <v>0</v>
      </c>
      <c r="F38098" s="8">
        <v>1539</v>
      </c>
    </row>
    <row r="38099" spans="1:6" ht="12.75">
      <c r="A38099" s="8">
        <v>43887.399178240739</v>
      </c>
      <c r="B38099" s="8" t="str">
        <f>HYPERLINK("https://twitter.com/ECherdiaty","@ECherdiaty")</f>
        <v>@ECherdiaty</v>
      </c>
      <c r="C38099" s="8" t="s">
        <v>13365</v>
      </c>
      <c r="D38099" s="8">
        <v>674</v>
      </c>
      <c r="E38099" s="8">
        <v>0</v>
      </c>
      <c r="F38099" s="8">
        <v>420</v>
      </c>
    </row>
    <row r="38100" spans="1:6" ht="12.75">
      <c r="A38100" s="8">
        <v>43887.39916666667</v>
      </c>
      <c r="B38100" s="8" t="str">
        <f>HYPERLINK("https://twitter.com/omytama","@omytama")</f>
        <v>@omytama</v>
      </c>
      <c r="C38100" s="8" t="s">
        <v>13365</v>
      </c>
      <c r="D38100" s="8">
        <v>674</v>
      </c>
      <c r="E38100" s="8">
        <v>0</v>
      </c>
      <c r="F38100" s="8">
        <v>70</v>
      </c>
    </row>
    <row r="38101" spans="1:6" ht="12.75">
      <c r="A38101" s="8">
        <v>43887.398738425924</v>
      </c>
      <c r="B38101" s="8" t="str">
        <f>HYPERLINK("https://twitter.com/koekoeh","@koekoeh")</f>
        <v>@koekoeh</v>
      </c>
      <c r="C38101" s="8" t="s">
        <v>14784</v>
      </c>
      <c r="D38101" s="8">
        <v>0</v>
      </c>
      <c r="E38101" s="8">
        <v>0</v>
      </c>
      <c r="F38101" s="8">
        <v>3218</v>
      </c>
    </row>
    <row r="38102" spans="1:6" ht="12.75">
      <c r="A38102" s="8">
        <v>43887.398611111115</v>
      </c>
      <c r="B38102" s="8" t="str">
        <f>HYPERLINK("https://twitter.com/NOOKE8iZ8js5z22","@NOOKE8iZ8js5z22")</f>
        <v>@NOOKE8iZ8js5z22</v>
      </c>
      <c r="C38102" s="8" t="s">
        <v>3581</v>
      </c>
      <c r="D38102" s="8">
        <v>360</v>
      </c>
      <c r="E38102" s="8">
        <v>0</v>
      </c>
      <c r="F38102" s="8">
        <v>0</v>
      </c>
    </row>
    <row r="38103" spans="1:6" ht="12.75">
      <c r="A38103" s="8">
        <v>43887.398611111115</v>
      </c>
      <c r="B38103" s="8" t="str">
        <f>HYPERLINK("https://twitter.com/JagoTrace","@JagoTrace")</f>
        <v>@JagoTrace</v>
      </c>
      <c r="C38103" s="8" t="s">
        <v>14785</v>
      </c>
      <c r="D38103" s="8">
        <v>2</v>
      </c>
      <c r="E38103" s="8">
        <v>2</v>
      </c>
      <c r="F38103" s="8">
        <v>113</v>
      </c>
    </row>
    <row r="38104" spans="1:6" ht="12.75">
      <c r="A38104" s="8">
        <v>43887.398287037038</v>
      </c>
      <c r="B38104" s="8" t="str">
        <f>HYPERLINK("https://twitter.com/hartatahtasenja","@hartatahtasenja")</f>
        <v>@hartatahtasenja</v>
      </c>
      <c r="C38104" s="8" t="s">
        <v>2941</v>
      </c>
      <c r="D38104" s="8">
        <v>904</v>
      </c>
      <c r="E38104" s="8">
        <v>0</v>
      </c>
      <c r="F38104" s="8">
        <v>851</v>
      </c>
    </row>
    <row r="38105" spans="1:6" ht="12.75">
      <c r="A38105" s="8">
        <v>43887.397337962961</v>
      </c>
      <c r="B38105" s="8" t="str">
        <f>HYPERLINK("https://twitter.com/Ryan_Jose","@Ryan_Jose")</f>
        <v>@Ryan_Jose</v>
      </c>
      <c r="C38105" s="8" t="s">
        <v>13365</v>
      </c>
      <c r="D38105" s="8">
        <v>674</v>
      </c>
      <c r="E38105" s="8">
        <v>0</v>
      </c>
      <c r="F38105" s="8">
        <v>947</v>
      </c>
    </row>
    <row r="38106" spans="1:6" ht="12.75">
      <c r="A38106" s="8">
        <v>43887.397256944445</v>
      </c>
      <c r="B38106" s="8" t="str">
        <f>HYPERLINK("https://twitter.com/FabiFranco106","@FabiFranco106")</f>
        <v>@FabiFranco106</v>
      </c>
      <c r="C38106" s="8" t="s">
        <v>14786</v>
      </c>
      <c r="D38106" s="8">
        <v>0</v>
      </c>
      <c r="E38106" s="8">
        <v>0</v>
      </c>
      <c r="F38106" s="8">
        <v>93</v>
      </c>
    </row>
    <row r="38107" spans="1:6" ht="12.75">
      <c r="A38107" s="8">
        <v>43887.396817129629</v>
      </c>
      <c r="B38107" s="8" t="str">
        <f>HYPERLINK("https://twitter.com/pasektohpati","@pasektohpati")</f>
        <v>@pasektohpati</v>
      </c>
      <c r="C38107" s="8" t="s">
        <v>14734</v>
      </c>
      <c r="D38107" s="8">
        <v>20</v>
      </c>
      <c r="E38107" s="8">
        <v>0</v>
      </c>
      <c r="F38107" s="8">
        <v>2100</v>
      </c>
    </row>
    <row r="38108" spans="1:6" ht="12.75">
      <c r="A38108" s="8">
        <v>43887.396354166667</v>
      </c>
      <c r="B38108" s="8" t="str">
        <f>HYPERLINK("https://twitter.com/uburuburrebah","@uburuburrebah")</f>
        <v>@uburuburrebah</v>
      </c>
      <c r="C38108" s="8" t="s">
        <v>14787</v>
      </c>
      <c r="D38108" s="8">
        <v>0</v>
      </c>
      <c r="E38108" s="8">
        <v>0</v>
      </c>
      <c r="F38108" s="8">
        <v>14</v>
      </c>
    </row>
    <row r="38109" spans="1:6" ht="12.75">
      <c r="A38109" s="8">
        <v>43887.396250000005</v>
      </c>
      <c r="B38109" s="8" t="str">
        <f>HYPERLINK("https://twitter.com/mujikasmulya","@mujikasmulya")</f>
        <v>@mujikasmulya</v>
      </c>
      <c r="C38109" s="8" t="s">
        <v>13117</v>
      </c>
      <c r="D38109" s="8">
        <v>5</v>
      </c>
      <c r="E38109" s="8">
        <v>0</v>
      </c>
      <c r="F38109" s="8">
        <v>2167</v>
      </c>
    </row>
    <row r="38110" spans="1:6" ht="12.75">
      <c r="A38110" s="8">
        <v>43887.395833333328</v>
      </c>
      <c r="B38110" s="8" t="str">
        <f>HYPERLINK("https://twitter.com/Lintas_MNCTV","@Lintas_MNCTV")</f>
        <v>@Lintas_MNCTV</v>
      </c>
      <c r="C38110" s="8" t="s">
        <v>14788</v>
      </c>
      <c r="D38110" s="8">
        <v>0</v>
      </c>
      <c r="E38110" s="8">
        <v>1</v>
      </c>
      <c r="F38110" s="8">
        <v>35903</v>
      </c>
    </row>
    <row r="38111" spans="1:6" ht="12.75">
      <c r="A38111" s="8">
        <v>43887.395451388889</v>
      </c>
      <c r="B38111" s="8" t="str">
        <f>HYPERLINK("https://twitter.com/atessaagra","@atessaagra")</f>
        <v>@atessaagra</v>
      </c>
      <c r="C38111" s="8" t="s">
        <v>13365</v>
      </c>
      <c r="D38111" s="8">
        <v>674</v>
      </c>
      <c r="E38111" s="8">
        <v>0</v>
      </c>
      <c r="F38111" s="8">
        <v>328</v>
      </c>
    </row>
    <row r="38112" spans="1:6" ht="12.75">
      <c r="A38112" s="8">
        <v>43887.395381944443</v>
      </c>
      <c r="B38112" s="8" t="str">
        <f>HYPERLINK("https://twitter.com/Kadrun25433555","@Kadrun25433555")</f>
        <v>@Kadrun25433555</v>
      </c>
      <c r="C38112" s="8" t="s">
        <v>13187</v>
      </c>
      <c r="D38112" s="8">
        <v>15</v>
      </c>
      <c r="E38112" s="8">
        <v>0</v>
      </c>
      <c r="F38112" s="8">
        <v>90</v>
      </c>
    </row>
    <row r="38113" spans="1:6" ht="12.75">
      <c r="A38113" s="8">
        <v>43887.395266203705</v>
      </c>
      <c r="B38113" s="8" t="str">
        <f>HYPERLINK("https://twitter.com/YanHarahap","@YanHarahap")</f>
        <v>@YanHarahap</v>
      </c>
      <c r="C38113" s="8" t="s">
        <v>14789</v>
      </c>
      <c r="D38113" s="8">
        <v>4</v>
      </c>
      <c r="E38113" s="8">
        <v>0</v>
      </c>
      <c r="F38113" s="8">
        <v>5395</v>
      </c>
    </row>
    <row r="38114" spans="1:6" ht="12.75">
      <c r="A38114" s="8">
        <v>43887.381689814814</v>
      </c>
      <c r="B38114" s="8" t="str">
        <f>HYPERLINK("https://twitter.com/mayazulfam","@mayazulfam")</f>
        <v>@mayazulfam</v>
      </c>
      <c r="C38114" s="8" t="s">
        <v>13365</v>
      </c>
      <c r="D38114" s="8">
        <v>635</v>
      </c>
      <c r="E38114" s="8">
        <v>0</v>
      </c>
      <c r="F38114" s="8">
        <v>4</v>
      </c>
    </row>
    <row r="38115" spans="1:6" ht="12.75">
      <c r="A38115" s="8">
        <v>43887.381678240738</v>
      </c>
      <c r="B38115" s="8" t="str">
        <f>HYPERLINK("https://twitter.com/restu_yulani","@restu_yulani")</f>
        <v>@restu_yulani</v>
      </c>
      <c r="C38115" s="8" t="s">
        <v>2941</v>
      </c>
      <c r="D38115" s="8">
        <v>884</v>
      </c>
      <c r="E38115" s="8">
        <v>0</v>
      </c>
      <c r="F38115" s="8">
        <v>19</v>
      </c>
    </row>
    <row r="38116" spans="1:6" ht="12.75">
      <c r="A38116" s="8">
        <v>43887.381666666668</v>
      </c>
      <c r="B38116" s="8" t="str">
        <f>HYPERLINK("https://twitter.com/BatamPos","@BatamPos")</f>
        <v>@BatamPos</v>
      </c>
      <c r="C38116" s="8" t="s">
        <v>14790</v>
      </c>
      <c r="D38116" s="8">
        <v>0</v>
      </c>
      <c r="E38116" s="8">
        <v>0</v>
      </c>
      <c r="F38116" s="8">
        <v>67398</v>
      </c>
    </row>
    <row r="38117" spans="1:6" ht="12.75">
      <c r="A38117" s="8">
        <v>43887.381203703699</v>
      </c>
      <c r="B38117" s="8" t="str">
        <f>HYPERLINK("https://twitter.com/ratnagalihw","@ratnagalihw")</f>
        <v>@ratnagalihw</v>
      </c>
      <c r="C38117" s="8" t="s">
        <v>14791</v>
      </c>
      <c r="D38117" s="8">
        <v>1</v>
      </c>
      <c r="E38117" s="8">
        <v>0</v>
      </c>
      <c r="F38117" s="8">
        <v>834</v>
      </c>
    </row>
    <row r="38118" spans="1:6" ht="12.75">
      <c r="A38118" s="8">
        <v>43887.381203703699</v>
      </c>
      <c r="B38118" s="8" t="str">
        <f>HYPERLINK("https://twitter.com/ichigotalks","@ichigotalks")</f>
        <v>@ichigotalks</v>
      </c>
      <c r="C38118" s="8" t="s">
        <v>14792</v>
      </c>
      <c r="D38118" s="8">
        <v>0</v>
      </c>
      <c r="E38118" s="8">
        <v>0</v>
      </c>
      <c r="F38118" s="8">
        <v>15960</v>
      </c>
    </row>
    <row r="38119" spans="1:6" ht="12.75">
      <c r="A38119" s="8">
        <v>43887.380648148144</v>
      </c>
      <c r="B38119" s="8" t="str">
        <f>HYPERLINK("https://twitter.com/Berkah88057601","@Berkah88057601")</f>
        <v>@Berkah88057601</v>
      </c>
      <c r="C38119" s="8" t="s">
        <v>13365</v>
      </c>
      <c r="D38119" s="8">
        <v>635</v>
      </c>
      <c r="E38119" s="8">
        <v>0</v>
      </c>
      <c r="F38119" s="8">
        <v>63</v>
      </c>
    </row>
    <row r="38120" spans="1:6" ht="12.75">
      <c r="A38120" s="8">
        <v>43887.380567129629</v>
      </c>
      <c r="B38120" s="8" t="str">
        <f>HYPERLINK("https://twitter.com/Kenzo_Hamtaro","@Kenzo_Hamtaro")</f>
        <v>@Kenzo_Hamtaro</v>
      </c>
      <c r="C38120" s="8" t="s">
        <v>2941</v>
      </c>
      <c r="D38120" s="8">
        <v>884</v>
      </c>
      <c r="E38120" s="8">
        <v>0</v>
      </c>
      <c r="F38120" s="8">
        <v>1532</v>
      </c>
    </row>
    <row r="38121" spans="1:6" ht="12.75">
      <c r="A38121" s="8">
        <v>43887.380347222221</v>
      </c>
      <c r="B38121" s="8" t="str">
        <f>HYPERLINK("https://twitter.com/Costavina9","@Costavina9")</f>
        <v>@Costavina9</v>
      </c>
      <c r="C38121" s="8" t="s">
        <v>12143</v>
      </c>
      <c r="D38121" s="8">
        <v>62</v>
      </c>
      <c r="E38121" s="8">
        <v>0</v>
      </c>
      <c r="F38121" s="8">
        <v>54</v>
      </c>
    </row>
    <row r="38122" spans="1:6" ht="12.75">
      <c r="A38122" s="8">
        <v>43887.37972222222</v>
      </c>
      <c r="B38122" s="8" t="str">
        <f>HYPERLINK("https://twitter.com/KemensetnegRI","@KemensetnegRI")</f>
        <v>@KemensetnegRI</v>
      </c>
      <c r="C38122" s="8" t="s">
        <v>14793</v>
      </c>
      <c r="D38122" s="8">
        <v>0</v>
      </c>
      <c r="E38122" s="8">
        <v>0</v>
      </c>
      <c r="F38122" s="8">
        <v>404296</v>
      </c>
    </row>
    <row r="38123" spans="1:6" ht="12.75">
      <c r="A38123" s="8">
        <v>43887.379606481481</v>
      </c>
      <c r="B38123" s="8" t="str">
        <f>HYPERLINK("https://twitter.com/yadisariyadi","@yadisariyadi")</f>
        <v>@yadisariyadi</v>
      </c>
      <c r="C38123" s="8" t="s">
        <v>13365</v>
      </c>
      <c r="D38123" s="8">
        <v>635</v>
      </c>
      <c r="E38123" s="8">
        <v>0</v>
      </c>
      <c r="F38123" s="8">
        <v>172</v>
      </c>
    </row>
    <row r="38124" spans="1:6" ht="12.75">
      <c r="A38124" s="8">
        <v>43887.379282407404</v>
      </c>
      <c r="B38124" s="8" t="str">
        <f>HYPERLINK("https://twitter.com/scopycoklat","@scopycoklat")</f>
        <v>@scopycoklat</v>
      </c>
      <c r="C38124" s="8" t="s">
        <v>13365</v>
      </c>
      <c r="D38124" s="8">
        <v>635</v>
      </c>
      <c r="E38124" s="8">
        <v>0</v>
      </c>
      <c r="F38124" s="8">
        <v>111</v>
      </c>
    </row>
    <row r="38125" spans="1:6" ht="12.75">
      <c r="A38125" s="8">
        <v>43887.379247685181</v>
      </c>
      <c r="B38125" s="8" t="str">
        <f>HYPERLINK("https://twitter.com/budiarth4","@budiarth4")</f>
        <v>@budiarth4</v>
      </c>
      <c r="C38125" s="8" t="s">
        <v>14734</v>
      </c>
      <c r="D38125" s="8">
        <v>18</v>
      </c>
      <c r="E38125" s="8">
        <v>0</v>
      </c>
      <c r="F38125" s="8">
        <v>870</v>
      </c>
    </row>
    <row r="38126" spans="1:6" ht="12.75">
      <c r="A38126" s="8">
        <v>43887.378923611112</v>
      </c>
      <c r="B38126" s="8" t="str">
        <f>HYPERLINK("https://twitter.com/Satrianaufalin2","@Satrianaufalin2")</f>
        <v>@Satrianaufalin2</v>
      </c>
      <c r="C38126" s="8" t="s">
        <v>2941</v>
      </c>
      <c r="D38126" s="8">
        <v>884</v>
      </c>
      <c r="E38126" s="8">
        <v>0</v>
      </c>
      <c r="F38126" s="8">
        <v>44</v>
      </c>
    </row>
    <row r="38127" spans="1:6" ht="12.75">
      <c r="A38127" s="8">
        <v>43887.378379629634</v>
      </c>
      <c r="B38127" s="8" t="str">
        <f>HYPERLINK("https://twitter.com/doyokijay","@doyokijay")</f>
        <v>@doyokijay</v>
      </c>
      <c r="C38127" s="8" t="s">
        <v>12143</v>
      </c>
      <c r="D38127" s="8">
        <v>62</v>
      </c>
      <c r="E38127" s="8">
        <v>0</v>
      </c>
      <c r="F38127" s="8">
        <v>310</v>
      </c>
    </row>
    <row r="38128" spans="1:6" ht="12.75">
      <c r="A38128" s="8">
        <v>43887.37835648148</v>
      </c>
      <c r="B38128" s="8" t="str">
        <f>HYPERLINK("https://twitter.com/HarryEshage","@HarryEshage")</f>
        <v>@HarryEshage</v>
      </c>
      <c r="C38128" s="8" t="s">
        <v>14794</v>
      </c>
      <c r="D38128" s="8">
        <v>0</v>
      </c>
      <c r="E38128" s="8">
        <v>0</v>
      </c>
      <c r="F38128" s="8">
        <v>0</v>
      </c>
    </row>
    <row r="38129" spans="1:6" ht="12.75">
      <c r="A38129" s="8">
        <v>43887.377893518518</v>
      </c>
      <c r="B38129" s="8" t="str">
        <f>HYPERLINK("https://twitter.com/harakatuna","@harakatuna")</f>
        <v>@harakatuna</v>
      </c>
      <c r="C38129" s="8" t="s">
        <v>14795</v>
      </c>
      <c r="D38129" s="8">
        <v>0</v>
      </c>
      <c r="E38129" s="8">
        <v>0</v>
      </c>
      <c r="F38129" s="8">
        <v>411</v>
      </c>
    </row>
    <row r="38130" spans="1:6" ht="12.75">
      <c r="A38130" s="8">
        <v>43887.377812499995</v>
      </c>
      <c r="B38130" s="8" t="str">
        <f>HYPERLINK("https://twitter.com/katakinidotcom","@katakinidotcom")</f>
        <v>@katakinidotcom</v>
      </c>
      <c r="C38130" s="8" t="s">
        <v>14796</v>
      </c>
      <c r="D38130" s="8">
        <v>0</v>
      </c>
      <c r="E38130" s="8">
        <v>0</v>
      </c>
      <c r="F38130" s="8">
        <v>571</v>
      </c>
    </row>
    <row r="38131" spans="1:6" ht="12.75">
      <c r="A38131" s="8">
        <v>43887.377500000002</v>
      </c>
      <c r="B38131" s="8" t="str">
        <f>HYPERLINK("https://twitter.com/Chairulx","@Chairulx")</f>
        <v>@Chairulx</v>
      </c>
      <c r="C38131" s="8" t="s">
        <v>13365</v>
      </c>
      <c r="D38131" s="8">
        <v>635</v>
      </c>
      <c r="E38131" s="8">
        <v>0</v>
      </c>
      <c r="F38131" s="8">
        <v>29</v>
      </c>
    </row>
    <row r="38132" spans="1:6" ht="12.75">
      <c r="A38132" s="8">
        <v>43887.377442129626</v>
      </c>
      <c r="B38132" s="8" t="str">
        <f>HYPERLINK("https://twitter.com/theng_sd","@theng_sd")</f>
        <v>@theng_sd</v>
      </c>
      <c r="C38132" s="8" t="s">
        <v>14797</v>
      </c>
      <c r="D38132" s="8">
        <v>0</v>
      </c>
      <c r="E38132" s="8">
        <v>0</v>
      </c>
      <c r="F38132" s="8">
        <v>282</v>
      </c>
    </row>
    <row r="38133" spans="1:6" ht="12.75">
      <c r="A38133" s="8">
        <v>43887.377256944441</v>
      </c>
      <c r="B38133" s="8" t="str">
        <f>HYPERLINK("https://twitter.com/aki0614_m","@aki0614_m")</f>
        <v>@aki0614_m</v>
      </c>
      <c r="C38133" s="8" t="s">
        <v>8484</v>
      </c>
      <c r="D38133" s="8">
        <v>949</v>
      </c>
      <c r="E38133" s="8">
        <v>0</v>
      </c>
      <c r="F38133" s="8">
        <v>779</v>
      </c>
    </row>
    <row r="38134" spans="1:6" ht="12.75">
      <c r="A38134" s="8">
        <v>43887.377222222218</v>
      </c>
      <c r="B38134" s="8" t="str">
        <f>HYPERLINK("https://twitter.com/novaliatriana","@novaliatriana")</f>
        <v>@novaliatriana</v>
      </c>
      <c r="C38134" s="8" t="s">
        <v>2941</v>
      </c>
      <c r="D38134" s="8">
        <v>884</v>
      </c>
      <c r="E38134" s="8">
        <v>0</v>
      </c>
      <c r="F38134" s="8">
        <v>410</v>
      </c>
    </row>
    <row r="38135" spans="1:6" ht="12.75">
      <c r="A38135" s="8">
        <v>43887.377222222218</v>
      </c>
      <c r="B38135" s="8" t="str">
        <f>HYPERLINK("https://twitter.com/waffepuffle","@waffepuffle")</f>
        <v>@waffepuffle</v>
      </c>
      <c r="C38135" s="8" t="s">
        <v>14430</v>
      </c>
      <c r="D38135" s="8">
        <v>97</v>
      </c>
      <c r="E38135" s="8">
        <v>0</v>
      </c>
      <c r="F38135" s="8">
        <v>550</v>
      </c>
    </row>
    <row r="38136" spans="1:6" ht="12.75">
      <c r="A38136" s="8">
        <v>43887.377152777779</v>
      </c>
      <c r="B38136" s="8" t="str">
        <f>HYPERLINK("https://twitter.com/KemensetnegRI","@KemensetnegRI")</f>
        <v>@KemensetnegRI</v>
      </c>
      <c r="C38136" s="8" t="s">
        <v>14798</v>
      </c>
      <c r="D38136" s="8">
        <v>1</v>
      </c>
      <c r="E38136" s="8">
        <v>1</v>
      </c>
      <c r="F38136" s="8">
        <v>404296</v>
      </c>
    </row>
    <row r="38137" spans="1:6" ht="12.75">
      <c r="A38137" s="8">
        <v>43887.376388888893</v>
      </c>
      <c r="B38137" s="8" t="str">
        <f>HYPERLINK("https://twitter.com/Rang_Hoki","@Rang_Hoki")</f>
        <v>@Rang_Hoki</v>
      </c>
      <c r="C38137" s="8" t="s">
        <v>14236</v>
      </c>
      <c r="D38137" s="8">
        <v>1</v>
      </c>
      <c r="E38137" s="8">
        <v>0</v>
      </c>
      <c r="F38137" s="8">
        <v>201</v>
      </c>
    </row>
    <row r="38138" spans="1:6" ht="12.75">
      <c r="A38138" s="8">
        <v>43887.376226851848</v>
      </c>
      <c r="B38138" s="8" t="str">
        <f>HYPERLINK("https://twitter.com/F3sgj50mBVXOEdL","@F3sgj50mBVXOEdL")</f>
        <v>@F3sgj50mBVXOEdL</v>
      </c>
      <c r="C38138" s="8" t="s">
        <v>14106</v>
      </c>
      <c r="D38138" s="8">
        <v>146</v>
      </c>
      <c r="E38138" s="8">
        <v>0</v>
      </c>
      <c r="F38138" s="8">
        <v>74</v>
      </c>
    </row>
    <row r="38139" spans="1:6" ht="12.75">
      <c r="A38139" s="8">
        <v>43887.376180555555</v>
      </c>
      <c r="B38139" s="8" t="str">
        <f>HYPERLINK("https://twitter.com/ElshintaDotcom","@ElshintaDotcom")</f>
        <v>@ElshintaDotcom</v>
      </c>
      <c r="C38139" s="8" t="s">
        <v>14799</v>
      </c>
      <c r="D38139" s="8">
        <v>0</v>
      </c>
      <c r="E38139" s="8">
        <v>0</v>
      </c>
      <c r="F38139" s="8">
        <v>27917</v>
      </c>
    </row>
    <row r="38140" spans="1:6" ht="12.75">
      <c r="A38140" s="8">
        <v>43887.376180555555</v>
      </c>
      <c r="B38140" s="8" t="str">
        <f t="shared" ref="B38140:B38141" si="571">HYPERLINK("https://twitter.com/F3sgj50mBVXOEdL","@F3sgj50mBVXOEdL")</f>
        <v>@F3sgj50mBVXOEdL</v>
      </c>
      <c r="C38140" s="8" t="s">
        <v>13834</v>
      </c>
      <c r="D38140" s="8">
        <v>161</v>
      </c>
      <c r="E38140" s="8">
        <v>0</v>
      </c>
      <c r="F38140" s="8">
        <v>74</v>
      </c>
    </row>
    <row r="38141" spans="1:6" ht="12.75">
      <c r="A38141" s="8">
        <v>43887.376087962963</v>
      </c>
      <c r="B38141" s="8" t="str">
        <f t="shared" si="571"/>
        <v>@F3sgj50mBVXOEdL</v>
      </c>
      <c r="C38141" s="8" t="s">
        <v>8484</v>
      </c>
      <c r="D38141" s="8">
        <v>949</v>
      </c>
      <c r="E38141" s="8">
        <v>0</v>
      </c>
      <c r="F38141" s="8">
        <v>74</v>
      </c>
    </row>
    <row r="38142" spans="1:6" ht="12.75">
      <c r="A38142" s="8">
        <v>43887.376030092593</v>
      </c>
      <c r="B38142" s="8" t="str">
        <f>HYPERLINK("https://twitter.com/yodisetiawan_","@yodisetiawan_")</f>
        <v>@yodisetiawan_</v>
      </c>
      <c r="C38142" s="8" t="s">
        <v>2941</v>
      </c>
      <c r="D38142" s="8">
        <v>884</v>
      </c>
      <c r="E38142" s="8">
        <v>0</v>
      </c>
      <c r="F38142" s="8">
        <v>21</v>
      </c>
    </row>
    <row r="38143" spans="1:6" ht="12.75">
      <c r="A38143" s="8">
        <v>43887.375972222224</v>
      </c>
      <c r="B38143" s="8" t="str">
        <f>HYPERLINK("https://twitter.com/PFuranda","@PFuranda")</f>
        <v>@PFuranda</v>
      </c>
      <c r="C38143" s="8" t="s">
        <v>13365</v>
      </c>
      <c r="D38143" s="8">
        <v>635</v>
      </c>
      <c r="E38143" s="8">
        <v>0</v>
      </c>
      <c r="F38143" s="8">
        <v>44</v>
      </c>
    </row>
    <row r="38144" spans="1:6" ht="12.75">
      <c r="A38144" s="8">
        <v>43887.375937500001</v>
      </c>
      <c r="B38144" s="8" t="str">
        <f>HYPERLINK("https://twitter.com/F3sgj50mBVXOEdL","@F3sgj50mBVXOEdL")</f>
        <v>@F3sgj50mBVXOEdL</v>
      </c>
      <c r="C38144" s="8" t="s">
        <v>2940</v>
      </c>
      <c r="D38144" s="8">
        <v>2604</v>
      </c>
      <c r="E38144" s="8">
        <v>0</v>
      </c>
      <c r="F38144" s="8">
        <v>74</v>
      </c>
    </row>
    <row r="38145" spans="1:6" ht="12.75">
      <c r="A38145" s="8">
        <v>43887.37568287037</v>
      </c>
      <c r="B38145" s="8" t="str">
        <f>HYPERLINK("https://twitter.com/agistriseptiani","@agistriseptiani")</f>
        <v>@agistriseptiani</v>
      </c>
      <c r="C38145" s="8" t="s">
        <v>2941</v>
      </c>
      <c r="D38145" s="8">
        <v>884</v>
      </c>
      <c r="E38145" s="8">
        <v>0</v>
      </c>
      <c r="F38145" s="8">
        <v>377</v>
      </c>
    </row>
    <row r="38146" spans="1:6" ht="12.75">
      <c r="A38146" s="8">
        <v>43887.375</v>
      </c>
      <c r="B38146" s="8" t="str">
        <f>HYPERLINK("https://twitter.com/arifin_alif","@arifin_alif")</f>
        <v>@arifin_alif</v>
      </c>
      <c r="C38146" s="8" t="s">
        <v>14800</v>
      </c>
      <c r="D38146" s="8">
        <v>0</v>
      </c>
      <c r="E38146" s="8">
        <v>0</v>
      </c>
      <c r="F38146" s="8">
        <v>871</v>
      </c>
    </row>
    <row r="38147" spans="1:6" ht="12.75">
      <c r="A38147" s="8">
        <v>43887.374652777777</v>
      </c>
      <c r="B38147" s="8" t="str">
        <f>HYPERLINK("https://twitter.com/booyaayaaa","@booyaayaaa")</f>
        <v>@booyaayaaa</v>
      </c>
      <c r="C38147" s="8" t="s">
        <v>14801</v>
      </c>
      <c r="D38147" s="8">
        <v>0</v>
      </c>
      <c r="E38147" s="8">
        <v>0</v>
      </c>
      <c r="F38147" s="8">
        <v>46</v>
      </c>
    </row>
    <row r="38148" spans="1:6" ht="12.75">
      <c r="A38148" s="8">
        <v>43887.373888888891</v>
      </c>
      <c r="B38148" s="8" t="str">
        <f>HYPERLINK("https://twitter.com/randiemon","@randiemon")</f>
        <v>@randiemon</v>
      </c>
      <c r="C38148" s="8" t="s">
        <v>14802</v>
      </c>
      <c r="D38148" s="8">
        <v>4</v>
      </c>
      <c r="E38148" s="8">
        <v>0</v>
      </c>
      <c r="F38148" s="8">
        <v>384</v>
      </c>
    </row>
    <row r="38149" spans="1:6" ht="12.75">
      <c r="A38149" s="8">
        <v>43887.373622685191</v>
      </c>
      <c r="B38149" s="8" t="str">
        <f>HYPERLINK("https://twitter.com/VoxPopuliID","@VoxPopuliID")</f>
        <v>@VoxPopuliID</v>
      </c>
      <c r="C38149" s="8" t="s">
        <v>14803</v>
      </c>
      <c r="D38149" s="8">
        <v>0</v>
      </c>
      <c r="E38149" s="8">
        <v>0</v>
      </c>
      <c r="F38149" s="8">
        <v>728</v>
      </c>
    </row>
    <row r="38150" spans="1:6" ht="12.75">
      <c r="A38150" s="8">
        <v>43887.373553240745</v>
      </c>
      <c r="B38150" s="8" t="str">
        <f>HYPERLINK("https://twitter.com/spirit_1945","@spirit_1945")</f>
        <v>@spirit_1945</v>
      </c>
      <c r="C38150" s="8" t="s">
        <v>14803</v>
      </c>
      <c r="D38150" s="8">
        <v>0</v>
      </c>
      <c r="E38150" s="8">
        <v>0</v>
      </c>
      <c r="F38150" s="8">
        <v>120</v>
      </c>
    </row>
    <row r="38151" spans="1:6" ht="12.75">
      <c r="A38151" s="8">
        <v>43887.373530092591</v>
      </c>
      <c r="B38151" s="8" t="str">
        <f>HYPERLINK("https://twitter.com/rkdw_","@rkdw_")</f>
        <v>@rkdw_</v>
      </c>
      <c r="C38151" s="8" t="s">
        <v>2941</v>
      </c>
      <c r="D38151" s="8">
        <v>884</v>
      </c>
      <c r="E38151" s="8">
        <v>0</v>
      </c>
      <c r="F38151" s="8">
        <v>31</v>
      </c>
    </row>
    <row r="38152" spans="1:6" ht="12.75">
      <c r="A38152" s="8">
        <v>43887.373495370368</v>
      </c>
      <c r="B38152" s="8" t="str">
        <f>HYPERLINK("https://twitter.com/kurakuraninjaid","@kurakuraninjaid")</f>
        <v>@kurakuraninjaid</v>
      </c>
      <c r="C38152" s="8" t="s">
        <v>14803</v>
      </c>
      <c r="D38152" s="8">
        <v>0</v>
      </c>
      <c r="E38152" s="8">
        <v>0</v>
      </c>
      <c r="F38152" s="8">
        <v>309</v>
      </c>
    </row>
    <row r="38153" spans="1:6" ht="12.75">
      <c r="A38153" s="8">
        <v>43887.373402777783</v>
      </c>
      <c r="B38153" s="8" t="str">
        <f>HYPERLINK("https://twitter.com/igo_benjamin","@igo_benjamin")</f>
        <v>@igo_benjamin</v>
      </c>
      <c r="C38153" s="8" t="s">
        <v>2941</v>
      </c>
      <c r="D38153" s="8">
        <v>884</v>
      </c>
      <c r="E38153" s="8">
        <v>0</v>
      </c>
      <c r="F38153" s="8">
        <v>28</v>
      </c>
    </row>
    <row r="38154" spans="1:6" ht="12.75">
      <c r="A38154" s="8">
        <v>43887.373391203699</v>
      </c>
      <c r="B38154" s="8" t="str">
        <f>HYPERLINK("https://twitter.com/cikyber","@cikyber")</f>
        <v>@cikyber</v>
      </c>
      <c r="C38154" s="8" t="s">
        <v>14803</v>
      </c>
      <c r="D38154" s="8">
        <v>0</v>
      </c>
      <c r="E38154" s="8">
        <v>0</v>
      </c>
      <c r="F38154" s="8">
        <v>291</v>
      </c>
    </row>
    <row r="38155" spans="1:6" ht="12.75">
      <c r="A38155" s="8">
        <v>43887.373344907406</v>
      </c>
      <c r="B38155" s="8" t="str">
        <f>HYPERLINK("https://twitter.com/AbdullahMujeed","@AbdullahMujeed")</f>
        <v>@AbdullahMujeed</v>
      </c>
      <c r="C38155" s="8" t="s">
        <v>14803</v>
      </c>
      <c r="D38155" s="8">
        <v>0</v>
      </c>
      <c r="E38155" s="8">
        <v>0</v>
      </c>
      <c r="F38155" s="8">
        <v>3</v>
      </c>
    </row>
    <row r="38156" spans="1:6" ht="12.75">
      <c r="A38156" s="8">
        <v>43887.373287037037</v>
      </c>
      <c r="B38156" s="8" t="str">
        <f>HYPERLINK("https://twitter.com/bensutasoma","@bensutasoma")</f>
        <v>@bensutasoma</v>
      </c>
      <c r="C38156" s="8" t="s">
        <v>14803</v>
      </c>
      <c r="D38156" s="8">
        <v>0</v>
      </c>
      <c r="E38156" s="8">
        <v>0</v>
      </c>
      <c r="F38156" s="8">
        <v>1</v>
      </c>
    </row>
    <row r="38157" spans="1:6" ht="12.75">
      <c r="A38157" s="8">
        <v>43887.373240740737</v>
      </c>
      <c r="B38157" s="8" t="str">
        <f>HYPERLINK("https://twitter.com/garisdepannkri","@garisdepannkri")</f>
        <v>@garisdepannkri</v>
      </c>
      <c r="C38157" s="8" t="s">
        <v>14803</v>
      </c>
      <c r="D38157" s="8">
        <v>0</v>
      </c>
      <c r="E38157" s="8">
        <v>0</v>
      </c>
      <c r="F38157" s="8">
        <v>7</v>
      </c>
    </row>
    <row r="38158" spans="1:6" ht="12.75">
      <c r="A38158" s="8">
        <v>43887.37295138889</v>
      </c>
      <c r="B38158" s="8" t="str">
        <f>HYPERLINK("https://twitter.com/Agilangbimanyu","@Agilangbimanyu")</f>
        <v>@Agilangbimanyu</v>
      </c>
      <c r="C38158" s="8" t="s">
        <v>14804</v>
      </c>
      <c r="D38158" s="8">
        <v>10</v>
      </c>
      <c r="E38158" s="8">
        <v>0</v>
      </c>
      <c r="F38158" s="8">
        <v>19</v>
      </c>
    </row>
    <row r="38159" spans="1:6" ht="12.75">
      <c r="A38159" s="8">
        <v>43887.371979166666</v>
      </c>
      <c r="B38159" s="8" t="str">
        <f>HYPERLINK("https://twitter.com/rudysatt","@rudysatt")</f>
        <v>@rudysatt</v>
      </c>
      <c r="C38159" s="8" t="s">
        <v>14805</v>
      </c>
      <c r="D38159" s="8">
        <v>12</v>
      </c>
      <c r="E38159" s="8">
        <v>0</v>
      </c>
      <c r="F38159" s="8">
        <v>253</v>
      </c>
    </row>
    <row r="38160" spans="1:6" ht="12.75">
      <c r="A38160" s="8">
        <v>43887.371759259258</v>
      </c>
      <c r="B38160" s="8" t="str">
        <f>HYPERLINK("https://twitter.com/kotamati1999","@kotamati1999")</f>
        <v>@kotamati1999</v>
      </c>
      <c r="C38160" s="8" t="s">
        <v>12143</v>
      </c>
      <c r="D38160" s="8">
        <v>62</v>
      </c>
      <c r="E38160" s="8">
        <v>0</v>
      </c>
      <c r="F38160" s="8">
        <v>21</v>
      </c>
    </row>
    <row r="38161" spans="1:6" ht="12.75">
      <c r="A38161" s="8">
        <v>43887.371423611112</v>
      </c>
      <c r="B38161" s="8" t="str">
        <f>HYPERLINK("https://twitter.com/sonoralampung","@sonoralampung")</f>
        <v>@sonoralampung</v>
      </c>
      <c r="C38161" s="8" t="s">
        <v>13343</v>
      </c>
      <c r="D38161" s="8">
        <v>1</v>
      </c>
      <c r="E38161" s="8">
        <v>0</v>
      </c>
      <c r="F38161" s="8">
        <v>3165</v>
      </c>
    </row>
    <row r="38162" spans="1:6" ht="12.75">
      <c r="A38162" s="8">
        <v>43887.371400462958</v>
      </c>
      <c r="B38162" s="8" t="str">
        <f>HYPERLINK("https://twitter.com/Beritabalicom","@Beritabalicom")</f>
        <v>@Beritabalicom</v>
      </c>
      <c r="C38162" s="8" t="s">
        <v>14806</v>
      </c>
      <c r="D38162" s="8">
        <v>0</v>
      </c>
      <c r="E38162" s="8">
        <v>0</v>
      </c>
      <c r="F38162" s="8">
        <v>2952</v>
      </c>
    </row>
    <row r="38163" spans="1:6" ht="12.75">
      <c r="A38163" s="8">
        <v>43887.371203703704</v>
      </c>
      <c r="B38163" s="8" t="str">
        <f>HYPERLINK("https://twitter.com/SebastianBara4","@SebastianBara4")</f>
        <v>@SebastianBara4</v>
      </c>
      <c r="C38163" s="8" t="s">
        <v>14803</v>
      </c>
      <c r="D38163" s="8">
        <v>0</v>
      </c>
      <c r="E38163" s="8">
        <v>0</v>
      </c>
      <c r="F38163" s="8">
        <v>1</v>
      </c>
    </row>
    <row r="38164" spans="1:6" ht="12.75">
      <c r="A38164" s="8">
        <v>43887.371157407411</v>
      </c>
      <c r="B38164" s="8" t="str">
        <f>HYPERLINK("https://twitter.com/Niakurnia22_08","@Niakurnia22_08")</f>
        <v>@Niakurnia22_08</v>
      </c>
      <c r="C38164" s="8" t="s">
        <v>2941</v>
      </c>
      <c r="D38164" s="8">
        <v>884</v>
      </c>
      <c r="E38164" s="8">
        <v>0</v>
      </c>
      <c r="F38164" s="8">
        <v>32</v>
      </c>
    </row>
    <row r="38165" spans="1:6" ht="12.75">
      <c r="A38165" s="8">
        <v>43887.370925925927</v>
      </c>
      <c r="B38165" s="8" t="str">
        <f>HYPERLINK("https://twitter.com/fr8ten","@fr8ten")</f>
        <v>@fr8ten</v>
      </c>
      <c r="C38165" s="8" t="s">
        <v>14734</v>
      </c>
      <c r="D38165" s="8">
        <v>18</v>
      </c>
      <c r="E38165" s="8">
        <v>0</v>
      </c>
      <c r="F38165" s="8">
        <v>92</v>
      </c>
    </row>
    <row r="38166" spans="1:6" ht="12.75">
      <c r="A38166" s="8">
        <v>43887.370381944449</v>
      </c>
      <c r="B38166" s="8" t="str">
        <f>HYPERLINK("https://twitter.com/maula679","@maula679")</f>
        <v>@maula679</v>
      </c>
      <c r="C38166" s="8" t="s">
        <v>13365</v>
      </c>
      <c r="D38166" s="8">
        <v>635</v>
      </c>
      <c r="E38166" s="8">
        <v>0</v>
      </c>
      <c r="F38166" s="8">
        <v>1006</v>
      </c>
    </row>
    <row r="38167" spans="1:6" ht="12.75">
      <c r="A38167" s="8">
        <v>43887.370300925926</v>
      </c>
      <c r="B38167" s="8" t="str">
        <f>HYPERLINK("https://twitter.com/sellajayanti","@sellajayanti")</f>
        <v>@sellajayanti</v>
      </c>
      <c r="C38167" s="8" t="s">
        <v>2941</v>
      </c>
      <c r="D38167" s="8">
        <v>884</v>
      </c>
      <c r="E38167" s="8">
        <v>0</v>
      </c>
      <c r="F38167" s="8">
        <v>835</v>
      </c>
    </row>
    <row r="38168" spans="1:6" ht="12.75">
      <c r="A38168" s="8">
        <v>43887.370162037041</v>
      </c>
      <c r="B38168" s="8" t="str">
        <f>HYPERLINK("https://twitter.com/ryscauliaa","@ryscauliaa")</f>
        <v>@ryscauliaa</v>
      </c>
      <c r="C38168" s="8" t="s">
        <v>2941</v>
      </c>
      <c r="D38168" s="8">
        <v>884</v>
      </c>
      <c r="E38168" s="8">
        <v>0</v>
      </c>
      <c r="F38168" s="8">
        <v>63</v>
      </c>
    </row>
    <row r="38169" spans="1:6" ht="12.75">
      <c r="A38169" s="8">
        <v>43887.369814814811</v>
      </c>
      <c r="B38169" s="8" t="str">
        <f>HYPERLINK("https://twitter.com/ArifZulfikri","@ArifZulfikri")</f>
        <v>@ArifZulfikri</v>
      </c>
      <c r="C38169" s="8" t="s">
        <v>2941</v>
      </c>
      <c r="D38169" s="8">
        <v>884</v>
      </c>
      <c r="E38169" s="8">
        <v>0</v>
      </c>
      <c r="F38169" s="8">
        <v>242</v>
      </c>
    </row>
    <row r="38170" spans="1:6" ht="12.75">
      <c r="A38170" s="8">
        <v>43887.369722222225</v>
      </c>
      <c r="B38170" s="8" t="str">
        <f>HYPERLINK("https://twitter.com/varshasalsaa","@varshasalsaa")</f>
        <v>@varshasalsaa</v>
      </c>
      <c r="C38170" s="8" t="s">
        <v>14802</v>
      </c>
      <c r="D38170" s="8">
        <v>4</v>
      </c>
      <c r="E38170" s="8">
        <v>0</v>
      </c>
      <c r="F38170" s="8">
        <v>805</v>
      </c>
    </row>
    <row r="38171" spans="1:6" ht="12.75">
      <c r="A38171" s="8">
        <v>43887.369432870371</v>
      </c>
      <c r="B38171" s="8" t="str">
        <f>HYPERLINK("https://twitter.com/_noerra","@_noerra")</f>
        <v>@_noerra</v>
      </c>
      <c r="C38171" s="8" t="s">
        <v>2941</v>
      </c>
      <c r="D38171" s="8">
        <v>884</v>
      </c>
      <c r="E38171" s="8">
        <v>0</v>
      </c>
      <c r="F38171" s="8">
        <v>235</v>
      </c>
    </row>
    <row r="38172" spans="1:6" ht="12.75">
      <c r="A38172" s="8">
        <v>43887.369317129633</v>
      </c>
      <c r="B38172" s="8" t="str">
        <f>HYPERLINK("https://twitter.com/Eli_Innocent","@Eli_Innocent")</f>
        <v>@Eli_Innocent</v>
      </c>
      <c r="C38172" s="8" t="s">
        <v>2940</v>
      </c>
      <c r="D38172" s="8">
        <v>2604</v>
      </c>
      <c r="E38172" s="8">
        <v>0</v>
      </c>
      <c r="F38172" s="8">
        <v>338</v>
      </c>
    </row>
    <row r="38173" spans="1:6" ht="12.75">
      <c r="A38173" s="8">
        <v>43887.369305555556</v>
      </c>
      <c r="B38173" s="8" t="str">
        <f>HYPERLINK("https://twitter.com/wniings","@wniings")</f>
        <v>@wniings</v>
      </c>
      <c r="C38173" s="8" t="s">
        <v>14802</v>
      </c>
      <c r="D38173" s="8">
        <v>4</v>
      </c>
      <c r="E38173" s="8">
        <v>0</v>
      </c>
      <c r="F38173" s="8">
        <v>369</v>
      </c>
    </row>
    <row r="38174" spans="1:6" ht="12.75">
      <c r="A38174" s="8">
        <v>43887.369270833333</v>
      </c>
      <c r="B38174" s="8" t="str">
        <f>HYPERLINK("https://twitter.com/okezonenews","@okezonenews")</f>
        <v>@okezonenews</v>
      </c>
      <c r="C38174" s="8" t="s">
        <v>14807</v>
      </c>
      <c r="D38174" s="8">
        <v>0</v>
      </c>
      <c r="E38174" s="8">
        <v>4</v>
      </c>
      <c r="F38174" s="8">
        <v>1743679</v>
      </c>
    </row>
    <row r="38175" spans="1:6" ht="12.75">
      <c r="A38175" s="8">
        <v>43887.368946759263</v>
      </c>
      <c r="B38175" s="8" t="str">
        <f>HYPERLINK("https://twitter.com/isiscbl_","@isiscbl_")</f>
        <v>@isiscbl_</v>
      </c>
      <c r="C38175" s="8" t="s">
        <v>14808</v>
      </c>
      <c r="D38175" s="8">
        <v>0</v>
      </c>
      <c r="E38175" s="8">
        <v>0</v>
      </c>
      <c r="F38175" s="8">
        <v>231</v>
      </c>
    </row>
    <row r="38176" spans="1:6" ht="12.75">
      <c r="A38176" s="8">
        <v>43887.368587962963</v>
      </c>
      <c r="B38176" s="8" t="str">
        <f>HYPERLINK("https://twitter.com/KEZIAAM0UR","@KEZIAAM0UR")</f>
        <v>@KEZIAAM0UR</v>
      </c>
      <c r="C38176" s="8" t="s">
        <v>14809</v>
      </c>
      <c r="D38176" s="8">
        <v>0</v>
      </c>
      <c r="E38176" s="8">
        <v>0</v>
      </c>
      <c r="F38176" s="8">
        <v>99</v>
      </c>
    </row>
    <row r="38177" spans="1:6" ht="12.75">
      <c r="A38177" s="8">
        <v>43887.368333333332</v>
      </c>
      <c r="B38177" s="8" t="str">
        <f>HYPERLINK("https://twitter.com/DiyahHabsyi","@DiyahHabsyi")</f>
        <v>@DiyahHabsyi</v>
      </c>
      <c r="C38177" s="8" t="s">
        <v>13365</v>
      </c>
      <c r="D38177" s="8">
        <v>635</v>
      </c>
      <c r="E38177" s="8">
        <v>0</v>
      </c>
      <c r="F38177" s="8">
        <v>322</v>
      </c>
    </row>
    <row r="38178" spans="1:6" ht="12.75">
      <c r="A38178" s="8">
        <v>43887.367766203708</v>
      </c>
      <c r="B38178" s="8" t="str">
        <f>HYPERLINK("https://twitter.com/hotradiofm","@hotradiofm")</f>
        <v>@hotradiofm</v>
      </c>
      <c r="C38178" s="8" t="s">
        <v>14810</v>
      </c>
      <c r="D38178" s="8">
        <v>0</v>
      </c>
      <c r="E38178" s="8">
        <v>0</v>
      </c>
      <c r="F38178" s="8">
        <v>847</v>
      </c>
    </row>
    <row r="38179" spans="1:6" ht="12.75">
      <c r="A38179" s="8">
        <v>43887.367754629631</v>
      </c>
      <c r="B38179" s="8" t="str">
        <f>HYPERLINK("https://twitter.com/akgatauu","@akgatauu")</f>
        <v>@akgatauu</v>
      </c>
      <c r="C38179" s="8" t="s">
        <v>2941</v>
      </c>
      <c r="D38179" s="8">
        <v>884</v>
      </c>
      <c r="E38179" s="8">
        <v>0</v>
      </c>
      <c r="F38179" s="8">
        <v>3918</v>
      </c>
    </row>
    <row r="38180" spans="1:6" ht="12.75">
      <c r="A38180" s="8">
        <v>43887.3675</v>
      </c>
      <c r="B38180" s="8" t="str">
        <f>HYPERLINK("https://twitter.com/BucinnyaJulianC","@BucinnyaJulianC")</f>
        <v>@BucinnyaJulianC</v>
      </c>
      <c r="C38180" s="8" t="s">
        <v>14802</v>
      </c>
      <c r="D38180" s="8">
        <v>4</v>
      </c>
      <c r="E38180" s="8">
        <v>0</v>
      </c>
      <c r="F38180" s="8">
        <v>582</v>
      </c>
    </row>
    <row r="38181" spans="1:6" ht="12.75">
      <c r="A38181" s="8">
        <v>43887.367384259254</v>
      </c>
      <c r="B38181" s="8" t="str">
        <f>HYPERLINK("https://twitter.com/EkonomiMonitor","@EkonomiMonitor")</f>
        <v>@EkonomiMonitor</v>
      </c>
      <c r="C38181" s="8" t="s">
        <v>11183</v>
      </c>
      <c r="D38181" s="8">
        <v>300</v>
      </c>
      <c r="E38181" s="8">
        <v>0</v>
      </c>
      <c r="F38181" s="8">
        <v>293</v>
      </c>
    </row>
    <row r="38182" spans="1:6" ht="12.75">
      <c r="A38182" s="8">
        <v>43887.367037037038</v>
      </c>
      <c r="B38182" s="8" t="str">
        <f>HYPERLINK("https://twitter.com/KompasTV","@KompasTV")</f>
        <v>@KompasTV</v>
      </c>
      <c r="C38182" s="8" t="s">
        <v>14811</v>
      </c>
      <c r="D38182" s="8">
        <v>1</v>
      </c>
      <c r="E38182" s="8">
        <v>6</v>
      </c>
      <c r="F38182" s="8">
        <v>2949013</v>
      </c>
    </row>
    <row r="38183" spans="1:6" ht="12.75">
      <c r="A38183" s="8">
        <v>43887.366678240738</v>
      </c>
      <c r="B38183" s="8" t="str">
        <f>HYPERLINK("https://twitter.com/egafi","@egafi")</f>
        <v>@egafi</v>
      </c>
      <c r="C38183" s="8" t="s">
        <v>12143</v>
      </c>
      <c r="D38183" s="8">
        <v>62</v>
      </c>
      <c r="E38183" s="8">
        <v>0</v>
      </c>
      <c r="F38183" s="8">
        <v>131</v>
      </c>
    </row>
    <row r="38184" spans="1:6" ht="12.75">
      <c r="A38184" s="8">
        <v>43887.366631944446</v>
      </c>
      <c r="B38184" s="8" t="str">
        <f>HYPERLINK("https://twitter.com/Firmanbudianap2","@Firmanbudianap2")</f>
        <v>@Firmanbudianap2</v>
      </c>
      <c r="C38184" s="8" t="s">
        <v>14805</v>
      </c>
      <c r="D38184" s="8">
        <v>12</v>
      </c>
      <c r="E38184" s="8">
        <v>0</v>
      </c>
      <c r="F38184" s="8">
        <v>162</v>
      </c>
    </row>
    <row r="38185" spans="1:6" ht="12.75">
      <c r="A38185" s="8">
        <v>43887.366145833337</v>
      </c>
      <c r="B38185" s="8" t="str">
        <f>HYPERLINK("https://twitter.com/ridhanuryana","@ridhanuryana")</f>
        <v>@ridhanuryana</v>
      </c>
      <c r="C38185" s="8" t="s">
        <v>299</v>
      </c>
      <c r="D38185" s="8">
        <v>4732</v>
      </c>
      <c r="E38185" s="8">
        <v>0</v>
      </c>
      <c r="F38185" s="8">
        <v>88</v>
      </c>
    </row>
    <row r="38186" spans="1:6" ht="12.75">
      <c r="A38186" s="8">
        <v>43887.366122685184</v>
      </c>
      <c r="B38186" s="8" t="str">
        <f>HYPERLINK("https://twitter.com/egafi","@egafi")</f>
        <v>@egafi</v>
      </c>
      <c r="C38186" s="8" t="s">
        <v>13365</v>
      </c>
      <c r="D38186" s="8">
        <v>635</v>
      </c>
      <c r="E38186" s="8">
        <v>0</v>
      </c>
      <c r="F38186" s="8">
        <v>131</v>
      </c>
    </row>
    <row r="38187" spans="1:6" ht="12.75">
      <c r="A38187" s="8">
        <v>43887.366030092591</v>
      </c>
      <c r="B38187" s="8" t="str">
        <f>HYPERLINK("https://twitter.com/Negaprions","@Negaprions")</f>
        <v>@Negaprions</v>
      </c>
      <c r="C38187" s="8" t="s">
        <v>12143</v>
      </c>
      <c r="D38187" s="8">
        <v>62</v>
      </c>
      <c r="E38187" s="8">
        <v>0</v>
      </c>
      <c r="F38187" s="8">
        <v>1173</v>
      </c>
    </row>
    <row r="38188" spans="1:6" ht="12.75">
      <c r="A38188" s="8">
        <v>43887.365960648152</v>
      </c>
      <c r="B38188" s="8" t="str">
        <f>HYPERLINK("https://twitter.com/AzizFadhillah","@AzizFadhillah")</f>
        <v>@AzizFadhillah</v>
      </c>
      <c r="C38188" s="8" t="s">
        <v>13365</v>
      </c>
      <c r="D38188" s="8">
        <v>635</v>
      </c>
      <c r="E38188" s="8">
        <v>0</v>
      </c>
      <c r="F38188" s="8">
        <v>1093</v>
      </c>
    </row>
    <row r="38189" spans="1:6" ht="12.75">
      <c r="A38189" s="8">
        <v>43887.365925925929</v>
      </c>
      <c r="B38189" s="8" t="str">
        <f>HYPERLINK("https://twitter.com/inggiedvictory","@inggiedvictory")</f>
        <v>@inggiedvictory</v>
      </c>
      <c r="C38189" s="8" t="s">
        <v>14812</v>
      </c>
      <c r="D38189" s="8">
        <v>0</v>
      </c>
      <c r="E38189" s="8">
        <v>0</v>
      </c>
      <c r="F38189" s="8">
        <v>335</v>
      </c>
    </row>
    <row r="38190" spans="1:6" ht="12.75">
      <c r="A38190" s="8">
        <v>43887.365624999999</v>
      </c>
      <c r="B38190" s="8" t="str">
        <f>HYPERLINK("https://twitter.com/GiaPratamaMD","@GiaPratamaMD")</f>
        <v>@GiaPratamaMD</v>
      </c>
      <c r="C38190" s="8" t="s">
        <v>14813</v>
      </c>
      <c r="D38190" s="8">
        <v>4</v>
      </c>
      <c r="E38190" s="8">
        <v>28</v>
      </c>
      <c r="F38190" s="8">
        <v>250141</v>
      </c>
    </row>
    <row r="38191" spans="1:6" ht="12.75">
      <c r="A38191" s="8">
        <v>43887.365543981483</v>
      </c>
      <c r="B38191" s="8" t="str">
        <f>HYPERLINK("https://twitter.com/Yoshihito_T","@Yoshihito_T")</f>
        <v>@Yoshihito_T</v>
      </c>
      <c r="C38191" s="8" t="s">
        <v>2940</v>
      </c>
      <c r="D38191" s="8">
        <v>2604</v>
      </c>
      <c r="E38191" s="8">
        <v>0</v>
      </c>
      <c r="F38191" s="8">
        <v>682</v>
      </c>
    </row>
    <row r="38192" spans="1:6" ht="12.75">
      <c r="A38192" s="8">
        <v>43887.364942129629</v>
      </c>
      <c r="B38192" s="8" t="str">
        <f>HYPERLINK("https://twitter.com/MukhlisOke","@MukhlisOke")</f>
        <v>@MukhlisOke</v>
      </c>
      <c r="C38192" s="8" t="s">
        <v>12143</v>
      </c>
      <c r="D38192" s="8">
        <v>62</v>
      </c>
      <c r="E38192" s="8">
        <v>0</v>
      </c>
      <c r="F38192" s="8">
        <v>286</v>
      </c>
    </row>
    <row r="38193" spans="1:6" ht="12.75">
      <c r="A38193" s="8">
        <v>43887.364629629628</v>
      </c>
      <c r="B38193" s="8" t="str">
        <f>HYPERLINK("https://twitter.com/forddyce92","@forddyce92")</f>
        <v>@forddyce92</v>
      </c>
      <c r="C38193" s="8" t="s">
        <v>14814</v>
      </c>
      <c r="D38193" s="8">
        <v>0</v>
      </c>
      <c r="E38193" s="8">
        <v>0</v>
      </c>
      <c r="F38193" s="8">
        <v>27</v>
      </c>
    </row>
    <row r="38194" spans="1:6" ht="12.75">
      <c r="A38194" s="8">
        <v>43887.364166666666</v>
      </c>
      <c r="B38194" s="8" t="str">
        <f>HYPERLINK("https://twitter.com/DJanapria","@DJanapria")</f>
        <v>@DJanapria</v>
      </c>
      <c r="C38194" s="8" t="s">
        <v>14815</v>
      </c>
      <c r="D38194" s="8">
        <v>0</v>
      </c>
      <c r="E38194" s="8">
        <v>0</v>
      </c>
      <c r="F38194" s="8">
        <v>114</v>
      </c>
    </row>
    <row r="38195" spans="1:6" ht="12.75">
      <c r="A38195" s="8">
        <v>43887.363541666666</v>
      </c>
      <c r="B38195" s="8" t="str">
        <f>HYPERLINK("https://twitter.com/ary_nightkidz","@ary_nightkidz")</f>
        <v>@ary_nightkidz</v>
      </c>
      <c r="C38195" s="8" t="s">
        <v>12143</v>
      </c>
      <c r="D38195" s="8">
        <v>62</v>
      </c>
      <c r="E38195" s="8">
        <v>0</v>
      </c>
      <c r="F38195" s="8">
        <v>92</v>
      </c>
    </row>
    <row r="38196" spans="1:6" ht="12.75">
      <c r="A38196" s="8">
        <v>43887.363298611112</v>
      </c>
      <c r="B38196" s="8" t="str">
        <f>HYPERLINK("https://twitter.com/Arviananrs","@Arviananrs")</f>
        <v>@Arviananrs</v>
      </c>
      <c r="C38196" s="8" t="s">
        <v>2941</v>
      </c>
      <c r="D38196" s="8">
        <v>884</v>
      </c>
      <c r="E38196" s="8">
        <v>0</v>
      </c>
      <c r="F38196" s="8">
        <v>11</v>
      </c>
    </row>
    <row r="38197" spans="1:6" ht="12.75">
      <c r="A38197" s="8">
        <v>43887.36273148148</v>
      </c>
      <c r="B38197" s="8" t="str">
        <f>HYPERLINK("https://twitter.com/julie_laras","@julie_laras")</f>
        <v>@julie_laras</v>
      </c>
      <c r="C38197" s="8" t="s">
        <v>14816</v>
      </c>
      <c r="D38197" s="8">
        <v>0</v>
      </c>
      <c r="E38197" s="8">
        <v>1</v>
      </c>
      <c r="F38197" s="8">
        <v>3079</v>
      </c>
    </row>
    <row r="38198" spans="1:6" ht="12.75">
      <c r="A38198" s="8">
        <v>43887.36273148148</v>
      </c>
      <c r="B38198" s="8" t="str">
        <f>HYPERLINK("https://twitter.com/wadinug","@wadinug")</f>
        <v>@wadinug</v>
      </c>
      <c r="C38198" s="8" t="s">
        <v>13365</v>
      </c>
      <c r="D38198" s="8">
        <v>635</v>
      </c>
      <c r="E38198" s="8">
        <v>0</v>
      </c>
      <c r="F38198" s="8">
        <v>1319</v>
      </c>
    </row>
    <row r="38199" spans="1:6" ht="12.75">
      <c r="A38199" s="8">
        <v>43887.362337962964</v>
      </c>
      <c r="B38199" s="8" t="str">
        <f>HYPERLINK("https://twitter.com/NoviantoSa","@NoviantoSa")</f>
        <v>@NoviantoSa</v>
      </c>
      <c r="C38199" s="8" t="s">
        <v>13365</v>
      </c>
      <c r="D38199" s="8">
        <v>635</v>
      </c>
      <c r="E38199" s="8">
        <v>0</v>
      </c>
      <c r="F38199" s="8">
        <v>145</v>
      </c>
    </row>
    <row r="38200" spans="1:6" ht="12.75">
      <c r="A38200" s="8">
        <v>43887.362256944441</v>
      </c>
      <c r="B38200" s="8" t="str">
        <f>HYPERLINK("https://twitter.com/houschen","@houschen")</f>
        <v>@houschen</v>
      </c>
      <c r="C38200" s="8" t="s">
        <v>12143</v>
      </c>
      <c r="D38200" s="8">
        <v>62</v>
      </c>
      <c r="E38200" s="8">
        <v>0</v>
      </c>
      <c r="F38200" s="8">
        <v>1145</v>
      </c>
    </row>
    <row r="38201" spans="1:6" ht="12.75">
      <c r="A38201" s="8">
        <v>43887.36215277778</v>
      </c>
      <c r="B38201" s="8" t="str">
        <f>HYPERLINK("https://twitter.com/Ali_Sopan","@Ali_Sopan")</f>
        <v>@Ali_Sopan</v>
      </c>
      <c r="C38201" s="8" t="s">
        <v>14805</v>
      </c>
      <c r="D38201" s="8">
        <v>12</v>
      </c>
      <c r="E38201" s="8">
        <v>0</v>
      </c>
      <c r="F38201" s="8">
        <v>369</v>
      </c>
    </row>
    <row r="38202" spans="1:6" ht="12.75">
      <c r="A38202" s="8">
        <v>43887.361956018518</v>
      </c>
      <c r="B38202" s="8" t="str">
        <f>HYPERLINK("https://twitter.com/Fafairfa","@Fafairfa")</f>
        <v>@Fafairfa</v>
      </c>
      <c r="C38202" s="8" t="s">
        <v>13365</v>
      </c>
      <c r="D38202" s="8">
        <v>635</v>
      </c>
      <c r="E38202" s="8">
        <v>0</v>
      </c>
      <c r="F38202" s="8">
        <v>461</v>
      </c>
    </row>
    <row r="38203" spans="1:6" ht="12.75">
      <c r="A38203" s="8">
        <v>43887.361666666664</v>
      </c>
      <c r="B38203" s="8" t="str">
        <f>HYPERLINK("https://twitter.com/wickyandhika","@wickyandhika")</f>
        <v>@wickyandhika</v>
      </c>
      <c r="C38203" s="8" t="s">
        <v>2941</v>
      </c>
      <c r="D38203" s="8">
        <v>884</v>
      </c>
      <c r="E38203" s="8">
        <v>0</v>
      </c>
      <c r="F38203" s="8">
        <v>448</v>
      </c>
    </row>
    <row r="38204" spans="1:6" ht="12.75">
      <c r="A38204" s="8">
        <v>43887.36136574074</v>
      </c>
      <c r="B38204" s="8" t="str">
        <f>HYPERLINK("https://twitter.com/hientea","@hientea")</f>
        <v>@hientea</v>
      </c>
      <c r="C38204" s="8" t="s">
        <v>14805</v>
      </c>
      <c r="D38204" s="8">
        <v>12</v>
      </c>
      <c r="E38204" s="8">
        <v>0</v>
      </c>
      <c r="F38204" s="8">
        <v>174</v>
      </c>
    </row>
    <row r="38205" spans="1:6" ht="12.75">
      <c r="A38205" s="8">
        <v>43887.361342592594</v>
      </c>
      <c r="B38205" s="8" t="str">
        <f>HYPERLINK("https://twitter.com/muhammadmeydi","@muhammadmeydi")</f>
        <v>@muhammadmeydi</v>
      </c>
      <c r="C38205" s="8" t="s">
        <v>2941</v>
      </c>
      <c r="D38205" s="8">
        <v>884</v>
      </c>
      <c r="E38205" s="8">
        <v>0</v>
      </c>
      <c r="F38205" s="8">
        <v>3</v>
      </c>
    </row>
    <row r="38206" spans="1:6" ht="12.75">
      <c r="A38206" s="8">
        <v>43887.361296296294</v>
      </c>
      <c r="B38206" s="8" t="str">
        <f>HYPERLINK("https://twitter.com/ocin71","@ocin71")</f>
        <v>@ocin71</v>
      </c>
      <c r="C38206" s="8" t="s">
        <v>13365</v>
      </c>
      <c r="D38206" s="8">
        <v>635</v>
      </c>
      <c r="E38206" s="8">
        <v>0</v>
      </c>
      <c r="F38206" s="8">
        <v>324</v>
      </c>
    </row>
    <row r="38207" spans="1:6" ht="12.75">
      <c r="A38207" s="8">
        <v>43887.361226851848</v>
      </c>
      <c r="B38207" s="8" t="str">
        <f>HYPERLINK("https://twitter.com/DavinRulli","@DavinRulli")</f>
        <v>@DavinRulli</v>
      </c>
      <c r="C38207" s="8" t="s">
        <v>14817</v>
      </c>
      <c r="D38207" s="8">
        <v>5</v>
      </c>
      <c r="E38207" s="8">
        <v>0</v>
      </c>
      <c r="F38207" s="8">
        <v>200</v>
      </c>
    </row>
    <row r="38208" spans="1:6" ht="12.75">
      <c r="A38208" s="8">
        <v>43887.361076388886</v>
      </c>
      <c r="B38208" s="8" t="str">
        <f>HYPERLINK("https://twitter.com/Heybotnek16","@Heybotnek16")</f>
        <v>@Heybotnek16</v>
      </c>
      <c r="C38208" s="8" t="s">
        <v>14805</v>
      </c>
      <c r="D38208" s="8">
        <v>12</v>
      </c>
      <c r="E38208" s="8">
        <v>0</v>
      </c>
      <c r="F38208" s="8">
        <v>125</v>
      </c>
    </row>
    <row r="38209" spans="1:6" ht="12.75">
      <c r="A38209" s="8">
        <v>43887.360902777778</v>
      </c>
      <c r="B38209" s="8" t="str">
        <f>HYPERLINK("https://twitter.com/indra_ibn7","@indra_ibn7")</f>
        <v>@indra_ibn7</v>
      </c>
      <c r="C38209" s="8" t="s">
        <v>13365</v>
      </c>
      <c r="D38209" s="8">
        <v>635</v>
      </c>
      <c r="E38209" s="8">
        <v>0</v>
      </c>
      <c r="F38209" s="8">
        <v>101</v>
      </c>
    </row>
    <row r="38210" spans="1:6" ht="12.75">
      <c r="A38210" s="8">
        <v>43887.360891203702</v>
      </c>
      <c r="B38210" s="8" t="str">
        <f>HYPERLINK("https://twitter.com/ohmyrenjun23","@ohmyrenjun23")</f>
        <v>@ohmyrenjun23</v>
      </c>
      <c r="C38210" s="8" t="s">
        <v>13365</v>
      </c>
      <c r="D38210" s="8">
        <v>635</v>
      </c>
      <c r="E38210" s="8">
        <v>0</v>
      </c>
      <c r="F38210" s="8">
        <v>169</v>
      </c>
    </row>
    <row r="38211" spans="1:6" ht="12.75">
      <c r="A38211" s="8">
        <v>43887.360763888893</v>
      </c>
      <c r="B38211" s="8" t="str">
        <f>HYPERLINK("https://twitter.com/FanChiangFa","@FanChiangFa")</f>
        <v>@FanChiangFa</v>
      </c>
      <c r="C38211" s="8" t="s">
        <v>14818</v>
      </c>
      <c r="D38211" s="8">
        <v>0</v>
      </c>
      <c r="E38211" s="8">
        <v>1</v>
      </c>
      <c r="F38211" s="8">
        <v>2327</v>
      </c>
    </row>
    <row r="38212" spans="1:6" ht="12.75">
      <c r="A38212" s="8">
        <v>43887.360717592594</v>
      </c>
      <c r="B38212" s="8" t="str">
        <f>HYPERLINK("https://twitter.com/MarieskaV","@MarieskaV")</f>
        <v>@MarieskaV</v>
      </c>
      <c r="C38212" s="8" t="s">
        <v>14819</v>
      </c>
      <c r="D38212" s="8">
        <v>0</v>
      </c>
      <c r="E38212" s="8">
        <v>0</v>
      </c>
      <c r="F38212" s="8">
        <v>303</v>
      </c>
    </row>
    <row r="38213" spans="1:6" ht="12.75">
      <c r="A38213" s="8">
        <v>43887.360567129625</v>
      </c>
      <c r="B38213" s="8" t="str">
        <f>HYPERLINK("https://twitter.com/houschen","@houschen")</f>
        <v>@houschen</v>
      </c>
      <c r="C38213" s="8" t="s">
        <v>13365</v>
      </c>
      <c r="D38213" s="8">
        <v>635</v>
      </c>
      <c r="E38213" s="8">
        <v>0</v>
      </c>
      <c r="F38213" s="8">
        <v>1145</v>
      </c>
    </row>
    <row r="38214" spans="1:6" ht="12.75">
      <c r="A38214" s="8">
        <v>43887.340011574073</v>
      </c>
      <c r="B38214" s="8" t="str">
        <f>HYPERLINK("https://twitter.com/Rita8213","@Rita8213")</f>
        <v>@Rita8213</v>
      </c>
      <c r="C38214" s="8" t="s">
        <v>11183</v>
      </c>
      <c r="D38214" s="8">
        <v>293</v>
      </c>
      <c r="E38214" s="8">
        <v>0</v>
      </c>
      <c r="F38214" s="8">
        <v>115</v>
      </c>
    </row>
    <row r="38215" spans="1:6" ht="12.75">
      <c r="A38215" s="8">
        <v>43887.339872685188</v>
      </c>
      <c r="B38215" s="8" t="str">
        <f>HYPERLINK("https://twitter.com/mutmn","@mutmn")</f>
        <v>@mutmn</v>
      </c>
      <c r="C38215" s="8" t="s">
        <v>2940</v>
      </c>
      <c r="D38215" s="8">
        <v>2596</v>
      </c>
      <c r="E38215" s="8">
        <v>0</v>
      </c>
      <c r="F38215" s="8">
        <v>227</v>
      </c>
    </row>
    <row r="38216" spans="1:6" ht="12.75">
      <c r="A38216" s="8">
        <v>43887.339791666665</v>
      </c>
      <c r="B38216" s="8" t="str">
        <f>HYPERLINK("https://twitter.com/pedang_manthili","@pedang_manthili")</f>
        <v>@pedang_manthili</v>
      </c>
      <c r="C38216" s="8" t="s">
        <v>13365</v>
      </c>
      <c r="D38216" s="8">
        <v>582</v>
      </c>
      <c r="E38216" s="8">
        <v>0</v>
      </c>
      <c r="F38216" s="8">
        <v>289</v>
      </c>
    </row>
    <row r="38217" spans="1:6" ht="12.75">
      <c r="A38217" s="8">
        <v>43887.339675925927</v>
      </c>
      <c r="B38217" s="8" t="str">
        <f>HYPERLINK("https://twitter.com/KosmetikDinda","@KosmetikDinda")</f>
        <v>@KosmetikDinda</v>
      </c>
      <c r="C38217" s="8" t="s">
        <v>12143</v>
      </c>
      <c r="D38217" s="8">
        <v>42</v>
      </c>
      <c r="E38217" s="8">
        <v>0</v>
      </c>
      <c r="F38217" s="8">
        <v>1286</v>
      </c>
    </row>
    <row r="38218" spans="1:6" ht="12.75">
      <c r="A38218" s="8">
        <v>43887.339571759258</v>
      </c>
      <c r="B38218" s="8" t="str">
        <f>HYPERLINK("https://twitter.com/dokterparu","@dokterparu")</f>
        <v>@dokterparu</v>
      </c>
      <c r="C38218" s="8" t="s">
        <v>13365</v>
      </c>
      <c r="D38218" s="8">
        <v>582</v>
      </c>
      <c r="E38218" s="8">
        <v>0</v>
      </c>
      <c r="F38218" s="8">
        <v>792</v>
      </c>
    </row>
    <row r="38219" spans="1:6" ht="12.75">
      <c r="A38219" s="8">
        <v>43887.339016203703</v>
      </c>
      <c r="B38219" s="8" t="str">
        <f>HYPERLINK("https://twitter.com/EKaranggo","@EKaranggo")</f>
        <v>@EKaranggo</v>
      </c>
      <c r="C38219" s="8" t="s">
        <v>13365</v>
      </c>
      <c r="D38219" s="8">
        <v>582</v>
      </c>
      <c r="E38219" s="8">
        <v>0</v>
      </c>
      <c r="F38219" s="8">
        <v>1133</v>
      </c>
    </row>
    <row r="38220" spans="1:6" ht="12.75">
      <c r="A38220" s="8">
        <v>43887.338564814811</v>
      </c>
      <c r="B38220" s="8" t="str">
        <f>HYPERLINK("https://twitter.com/kompascom","@kompascom")</f>
        <v>@kompascom</v>
      </c>
      <c r="C38220" s="8" t="s">
        <v>14820</v>
      </c>
      <c r="D38220" s="8">
        <v>1</v>
      </c>
      <c r="E38220" s="8">
        <v>8</v>
      </c>
      <c r="F38220" s="8">
        <v>7513157</v>
      </c>
    </row>
    <row r="38221" spans="1:6" ht="12.75">
      <c r="A38221" s="8">
        <v>43887.338391203702</v>
      </c>
      <c r="B38221" s="8" t="str">
        <f>HYPERLINK("https://twitter.com/blackcurrent_1","@blackcurrent_1")</f>
        <v>@blackcurrent_1</v>
      </c>
      <c r="C38221" s="8" t="s">
        <v>13365</v>
      </c>
      <c r="D38221" s="8">
        <v>582</v>
      </c>
      <c r="E38221" s="8">
        <v>0</v>
      </c>
      <c r="F38221" s="8">
        <v>3333</v>
      </c>
    </row>
    <row r="38222" spans="1:6" ht="12.75">
      <c r="A38222" s="8">
        <v>43887.338101851856</v>
      </c>
      <c r="B38222" s="8" t="str">
        <f>HYPERLINK("https://twitter.com/miswanto80","@miswanto80")</f>
        <v>@miswanto80</v>
      </c>
      <c r="C38222" s="8" t="s">
        <v>14821</v>
      </c>
      <c r="D38222" s="8">
        <v>5</v>
      </c>
      <c r="E38222" s="8">
        <v>0</v>
      </c>
      <c r="F38222" s="8">
        <v>2993</v>
      </c>
    </row>
    <row r="38223" spans="1:6" ht="12.75">
      <c r="A38223" s="8">
        <v>43887.338043981479</v>
      </c>
      <c r="B38223" s="8" t="str">
        <f>HYPERLINK("https://twitter.com/mahathirr","@mahathirr")</f>
        <v>@mahathirr</v>
      </c>
      <c r="C38223" s="8" t="s">
        <v>13365</v>
      </c>
      <c r="D38223" s="8">
        <v>582</v>
      </c>
      <c r="E38223" s="8">
        <v>0</v>
      </c>
      <c r="F38223" s="8">
        <v>413</v>
      </c>
    </row>
    <row r="38224" spans="1:6" ht="12.75">
      <c r="A38224" s="8">
        <v>43887.33792824074</v>
      </c>
      <c r="B38224" s="8" t="str">
        <f>HYPERLINK("https://twitter.com/FerryWachjudi","@FerryWachjudi")</f>
        <v>@FerryWachjudi</v>
      </c>
      <c r="C38224" s="8" t="s">
        <v>13187</v>
      </c>
      <c r="D38224" s="8">
        <v>10</v>
      </c>
      <c r="E38224" s="8">
        <v>0</v>
      </c>
      <c r="F38224" s="8">
        <v>371</v>
      </c>
    </row>
    <row r="38225" spans="1:6" ht="12.75">
      <c r="A38225" s="8">
        <v>43887.337361111116</v>
      </c>
      <c r="B38225" s="8" t="str">
        <f>HYPERLINK("https://twitter.com/AchmadShonnyArc","@AchmadShonnyArc")</f>
        <v>@AchmadShonnyArc</v>
      </c>
      <c r="C38225" s="8" t="s">
        <v>14015</v>
      </c>
      <c r="D38225" s="8">
        <v>2</v>
      </c>
      <c r="E38225" s="8">
        <v>0</v>
      </c>
      <c r="F38225" s="8">
        <v>580</v>
      </c>
    </row>
    <row r="38226" spans="1:6" ht="12.75">
      <c r="A38226" s="8">
        <v>43887.337314814809</v>
      </c>
      <c r="B38226" s="8" t="str">
        <f>HYPERLINK("https://twitter.com/n42if","@n42if")</f>
        <v>@n42if</v>
      </c>
      <c r="C38226" s="8" t="s">
        <v>12143</v>
      </c>
      <c r="D38226" s="8">
        <v>42</v>
      </c>
      <c r="E38226" s="8">
        <v>0</v>
      </c>
      <c r="F38226" s="8">
        <v>488</v>
      </c>
    </row>
    <row r="38227" spans="1:6" ht="12.75">
      <c r="A38227" s="8">
        <v>43887.337118055555</v>
      </c>
      <c r="B38227" s="8" t="str">
        <f>HYPERLINK("https://twitter.com/caroldesuu","@caroldesuu")</f>
        <v>@caroldesuu</v>
      </c>
      <c r="C38227" s="8" t="s">
        <v>2940</v>
      </c>
      <c r="D38227" s="8">
        <v>2596</v>
      </c>
      <c r="E38227" s="8">
        <v>0</v>
      </c>
      <c r="F38227" s="8">
        <v>560</v>
      </c>
    </row>
    <row r="38228" spans="1:6" ht="12.75">
      <c r="A38228" s="8">
        <v>43887.337106481486</v>
      </c>
      <c r="B38228" s="8" t="str">
        <f>HYPERLINK("https://twitter.com/D_tyow","@D_tyow")</f>
        <v>@D_tyow</v>
      </c>
      <c r="C38228" s="8" t="s">
        <v>11183</v>
      </c>
      <c r="D38228" s="8">
        <v>293</v>
      </c>
      <c r="E38228" s="8">
        <v>0</v>
      </c>
      <c r="F38228" s="8">
        <v>953</v>
      </c>
    </row>
    <row r="38229" spans="1:6" ht="12.75">
      <c r="A38229" s="8">
        <v>43887.337002314816</v>
      </c>
      <c r="B38229" s="8" t="str">
        <f>HYPERLINK("https://twitter.com/Irwa66681754","@Irwa66681754")</f>
        <v>@Irwa66681754</v>
      </c>
      <c r="C38229" s="8" t="s">
        <v>13365</v>
      </c>
      <c r="D38229" s="8">
        <v>582</v>
      </c>
      <c r="E38229" s="8">
        <v>0</v>
      </c>
      <c r="F38229" s="8">
        <v>3</v>
      </c>
    </row>
    <row r="38230" spans="1:6" ht="12.75">
      <c r="A38230" s="8">
        <v>43887.336909722224</v>
      </c>
      <c r="B38230" s="8" t="str">
        <f>HYPERLINK("https://twitter.com/BudiPramPramono","@BudiPramPramono")</f>
        <v>@BudiPramPramono</v>
      </c>
      <c r="C38230" s="8" t="s">
        <v>13365</v>
      </c>
      <c r="D38230" s="8">
        <v>582</v>
      </c>
      <c r="E38230" s="8">
        <v>0</v>
      </c>
      <c r="F38230" s="8">
        <v>16</v>
      </c>
    </row>
    <row r="38231" spans="1:6" ht="12.75">
      <c r="A38231" s="8">
        <v>43887.336909722224</v>
      </c>
      <c r="B38231" s="8" t="str">
        <f>HYPERLINK("https://twitter.com/mbalei23","@mbalei23")</f>
        <v>@mbalei23</v>
      </c>
      <c r="C38231" s="8" t="s">
        <v>14821</v>
      </c>
      <c r="D38231" s="8">
        <v>5</v>
      </c>
      <c r="E38231" s="8">
        <v>0</v>
      </c>
      <c r="F38231" s="8">
        <v>733</v>
      </c>
    </row>
    <row r="38232" spans="1:6" ht="12.75">
      <c r="A38232" s="8">
        <v>43887.336886574078</v>
      </c>
      <c r="B38232" s="8" t="str">
        <f>HYPERLINK("https://twitter.com/suishi5577","@suishi5577")</f>
        <v>@suishi5577</v>
      </c>
      <c r="C38232" s="8" t="s">
        <v>8484</v>
      </c>
      <c r="D38232" s="8">
        <v>948</v>
      </c>
      <c r="E38232" s="8">
        <v>0</v>
      </c>
      <c r="F38232" s="8">
        <v>859</v>
      </c>
    </row>
    <row r="38233" spans="1:6" ht="12.75">
      <c r="A38233" s="8">
        <v>43887.336875000001</v>
      </c>
      <c r="B38233" s="8" t="str">
        <f>HYPERLINK("https://twitter.com/yoreyke","@yoreyke")</f>
        <v>@yoreyke</v>
      </c>
      <c r="C38233" s="8" t="s">
        <v>2941</v>
      </c>
      <c r="D38233" s="8">
        <v>857</v>
      </c>
      <c r="E38233" s="8">
        <v>0</v>
      </c>
      <c r="F38233" s="8">
        <v>47</v>
      </c>
    </row>
    <row r="38234" spans="1:6" ht="12.75">
      <c r="A38234" s="8">
        <v>43887.336851851855</v>
      </c>
      <c r="B38234" s="8" t="str">
        <f>HYPERLINK("https://twitter.com/CimaHusein","@CimaHusein")</f>
        <v>@CimaHusein</v>
      </c>
      <c r="C38234" s="8" t="s">
        <v>2941</v>
      </c>
      <c r="D38234" s="8">
        <v>857</v>
      </c>
      <c r="E38234" s="8">
        <v>0</v>
      </c>
      <c r="F38234" s="8">
        <v>1195</v>
      </c>
    </row>
    <row r="38235" spans="1:6" ht="12.75">
      <c r="A38235" s="8">
        <v>43887.336828703701</v>
      </c>
      <c r="B38235" s="8" t="str">
        <f>HYPERLINK("https://twitter.com/republikaonline","@republikaonline")</f>
        <v>@republikaonline</v>
      </c>
      <c r="C38235" s="8" t="s">
        <v>14822</v>
      </c>
      <c r="D38235" s="8">
        <v>0</v>
      </c>
      <c r="E38235" s="8">
        <v>0</v>
      </c>
      <c r="F38235" s="8">
        <v>1213760</v>
      </c>
    </row>
    <row r="38236" spans="1:6" ht="12.75">
      <c r="A38236" s="8">
        <v>43887.336655092593</v>
      </c>
      <c r="B38236" s="8" t="str">
        <f>HYPERLINK("https://twitter.com/AgustinusAmawi","@AgustinusAmawi")</f>
        <v>@AgustinusAmawi</v>
      </c>
      <c r="C38236" s="8" t="s">
        <v>14823</v>
      </c>
      <c r="D38236" s="8">
        <v>0</v>
      </c>
      <c r="E38236" s="8">
        <v>0</v>
      </c>
      <c r="F38236" s="8">
        <v>2</v>
      </c>
    </row>
    <row r="38237" spans="1:6" ht="12.75">
      <c r="A38237" s="8">
        <v>43887.336655092593</v>
      </c>
      <c r="B38237" s="8" t="str">
        <f>HYPERLINK("https://twitter.com/DASEW01","@DASEW01")</f>
        <v>@DASEW01</v>
      </c>
      <c r="C38237" s="8" t="s">
        <v>8484</v>
      </c>
      <c r="D38237" s="8">
        <v>948</v>
      </c>
      <c r="E38237" s="8">
        <v>0</v>
      </c>
      <c r="F38237" s="8">
        <v>518</v>
      </c>
    </row>
    <row r="38238" spans="1:6" ht="12.75">
      <c r="A38238" s="8">
        <v>43887.336608796293</v>
      </c>
      <c r="B38238" s="8" t="str">
        <f>HYPERLINK("https://twitter.com/Nyonya_Tl","@Nyonya_Tl")</f>
        <v>@Nyonya_Tl</v>
      </c>
      <c r="C38238" s="8" t="s">
        <v>14824</v>
      </c>
      <c r="D38238" s="8">
        <v>0</v>
      </c>
      <c r="E38238" s="8">
        <v>0</v>
      </c>
      <c r="F38238" s="8">
        <v>1865</v>
      </c>
    </row>
    <row r="38239" spans="1:6" ht="12.75">
      <c r="A38239" s="8">
        <v>43887.336608796293</v>
      </c>
      <c r="B38239" s="8" t="str">
        <f>HYPERLINK("https://twitter.com/fdistiani","@fdistiani")</f>
        <v>@fdistiani</v>
      </c>
      <c r="C38239" s="8" t="s">
        <v>13365</v>
      </c>
      <c r="D38239" s="8">
        <v>582</v>
      </c>
      <c r="E38239" s="8">
        <v>0</v>
      </c>
      <c r="F38239" s="8">
        <v>48</v>
      </c>
    </row>
    <row r="38240" spans="1:6" ht="12.75">
      <c r="A38240" s="8">
        <v>43887.336481481485</v>
      </c>
      <c r="B38240" s="8" t="str">
        <f>HYPERLINK("https://twitter.com/updatedotid","@updatedotid")</f>
        <v>@updatedotid</v>
      </c>
      <c r="C38240" s="8" t="s">
        <v>14825</v>
      </c>
      <c r="D38240" s="8">
        <v>2</v>
      </c>
      <c r="E38240" s="8">
        <v>0</v>
      </c>
      <c r="F38240" s="8">
        <v>1618</v>
      </c>
    </row>
    <row r="38241" spans="1:6" ht="12.75">
      <c r="A38241" s="8">
        <v>43887.336458333331</v>
      </c>
      <c r="B38241" s="8" t="str">
        <f>HYPERLINK("https://twitter.com/suryacakung","@suryacakung")</f>
        <v>@suryacakung</v>
      </c>
      <c r="C38241" s="8" t="s">
        <v>13365</v>
      </c>
      <c r="D38241" s="8">
        <v>582</v>
      </c>
      <c r="E38241" s="8">
        <v>0</v>
      </c>
      <c r="F38241" s="8">
        <v>585</v>
      </c>
    </row>
    <row r="38242" spans="1:6" ht="12.75">
      <c r="A38242" s="8">
        <v>43887.33630787037</v>
      </c>
      <c r="B38242" s="8" t="str">
        <f>HYPERLINK("https://twitter.com/wanitakampung","@wanitakampung")</f>
        <v>@wanitakampung</v>
      </c>
      <c r="C38242" s="8" t="s">
        <v>14826</v>
      </c>
      <c r="D38242" s="8">
        <v>0</v>
      </c>
      <c r="E38242" s="8">
        <v>0</v>
      </c>
      <c r="F38242" s="8">
        <v>308</v>
      </c>
    </row>
    <row r="38243" spans="1:6" ht="12.75">
      <c r="A38243" s="8">
        <v>43887.336273148147</v>
      </c>
      <c r="B38243" s="8" t="str">
        <f>HYPERLINK("https://twitter.com/_BayuPrasetya","@_BayuPrasetya")</f>
        <v>@_BayuPrasetya</v>
      </c>
      <c r="C38243" s="8" t="s">
        <v>2941</v>
      </c>
      <c r="D38243" s="8">
        <v>857</v>
      </c>
      <c r="E38243" s="8">
        <v>0</v>
      </c>
      <c r="F38243" s="8">
        <v>2896</v>
      </c>
    </row>
    <row r="38244" spans="1:6" ht="12.75">
      <c r="A38244" s="8">
        <v>43887.336226851854</v>
      </c>
      <c r="B38244" s="8" t="str">
        <f>HYPERLINK("https://twitter.com/BentoroID","@BentoroID")</f>
        <v>@BentoroID</v>
      </c>
      <c r="C38244" s="8" t="s">
        <v>14827</v>
      </c>
      <c r="D38244" s="8">
        <v>0</v>
      </c>
      <c r="E38244" s="8">
        <v>0</v>
      </c>
      <c r="F38244" s="8">
        <v>136</v>
      </c>
    </row>
    <row r="38245" spans="1:6" ht="12.75">
      <c r="A38245" s="8">
        <v>43887.336192129631</v>
      </c>
      <c r="B38245" s="8" t="str">
        <f>HYPERLINK("https://twitter.com/bicara______asa","@bicara______asa")</f>
        <v>@bicara______asa</v>
      </c>
      <c r="C38245" s="8" t="s">
        <v>2941</v>
      </c>
      <c r="D38245" s="8">
        <v>857</v>
      </c>
      <c r="E38245" s="8">
        <v>0</v>
      </c>
      <c r="F38245" s="8">
        <v>109</v>
      </c>
    </row>
    <row r="38246" spans="1:6" ht="12.75">
      <c r="A38246" s="8">
        <v>43887.336006944446</v>
      </c>
      <c r="B38246" s="8" t="str">
        <f>HYPERLINK("https://twitter.com/kusaniyadi","@kusaniyadi")</f>
        <v>@kusaniyadi</v>
      </c>
      <c r="C38246" s="8" t="s">
        <v>14821</v>
      </c>
      <c r="D38246" s="8">
        <v>5</v>
      </c>
      <c r="E38246" s="8">
        <v>0</v>
      </c>
      <c r="F38246" s="8">
        <v>1929</v>
      </c>
    </row>
    <row r="38247" spans="1:6" ht="12.75">
      <c r="A38247" s="8">
        <v>43887.335763888885</v>
      </c>
      <c r="B38247" s="8" t="str">
        <f>HYPERLINK("https://twitter.com/gatauaww","@gatauaww")</f>
        <v>@gatauaww</v>
      </c>
      <c r="C38247" s="8" t="s">
        <v>13365</v>
      </c>
      <c r="D38247" s="8">
        <v>582</v>
      </c>
      <c r="E38247" s="8">
        <v>0</v>
      </c>
      <c r="F38247" s="8">
        <v>463</v>
      </c>
    </row>
    <row r="38248" spans="1:6" ht="12.75">
      <c r="A38248" s="8">
        <v>43887.335729166662</v>
      </c>
      <c r="B38248" s="8" t="str">
        <f>HYPERLINK("https://twitter.com/NannyAlexendry","@NannyAlexendry")</f>
        <v>@NannyAlexendry</v>
      </c>
      <c r="C38248" s="8" t="s">
        <v>14821</v>
      </c>
      <c r="D38248" s="8">
        <v>5</v>
      </c>
      <c r="E38248" s="8">
        <v>0</v>
      </c>
      <c r="F38248" s="8">
        <v>2927</v>
      </c>
    </row>
    <row r="38249" spans="1:6" ht="12.75">
      <c r="A38249" s="8">
        <v>43887.335416666669</v>
      </c>
      <c r="B38249" s="8" t="str">
        <f>HYPERLINK("https://twitter.com/agama_nusantara","@agama_nusantara")</f>
        <v>@agama_nusantara</v>
      </c>
      <c r="C38249" s="8" t="s">
        <v>14821</v>
      </c>
      <c r="D38249" s="8">
        <v>5</v>
      </c>
      <c r="E38249" s="8">
        <v>0</v>
      </c>
      <c r="F38249" s="8">
        <v>7364</v>
      </c>
    </row>
    <row r="38250" spans="1:6" ht="12.75">
      <c r="A38250" s="8">
        <v>43887.335219907407</v>
      </c>
      <c r="B38250" s="8" t="str">
        <f>HYPERLINK("https://twitter.com/syahrulfire","@syahrulfire")</f>
        <v>@syahrulfire</v>
      </c>
      <c r="C38250" s="8" t="s">
        <v>13365</v>
      </c>
      <c r="D38250" s="8">
        <v>582</v>
      </c>
      <c r="E38250" s="8">
        <v>0</v>
      </c>
      <c r="F38250" s="8">
        <v>555</v>
      </c>
    </row>
    <row r="38251" spans="1:6" ht="12.75">
      <c r="A38251" s="8">
        <v>43887.335196759261</v>
      </c>
      <c r="B38251" s="8" t="str">
        <f>HYPERLINK("https://twitter.com/caplun6","@caplun6")</f>
        <v>@caplun6</v>
      </c>
      <c r="C38251" s="8" t="s">
        <v>14828</v>
      </c>
      <c r="D38251" s="8">
        <v>14</v>
      </c>
      <c r="E38251" s="8">
        <v>0</v>
      </c>
      <c r="F38251" s="8">
        <v>2623</v>
      </c>
    </row>
    <row r="38252" spans="1:6" ht="12.75">
      <c r="A38252" s="8">
        <v>43887.334918981476</v>
      </c>
      <c r="B38252" s="8" t="str">
        <f>HYPERLINK("https://twitter.com/Aryprasetyo85","@Aryprasetyo85")</f>
        <v>@Aryprasetyo85</v>
      </c>
      <c r="C38252" s="8" t="s">
        <v>14829</v>
      </c>
      <c r="D38252" s="8">
        <v>5</v>
      </c>
      <c r="E38252" s="8">
        <v>11</v>
      </c>
      <c r="F38252" s="8">
        <v>39278</v>
      </c>
    </row>
    <row r="38253" spans="1:6" ht="12.75">
      <c r="A38253" s="8">
        <v>43887.334745370375</v>
      </c>
      <c r="B38253" s="8" t="str">
        <f>HYPERLINK("https://twitter.com/sabhatansabiz","@sabhatansabiz")</f>
        <v>@sabhatansabiz</v>
      </c>
      <c r="C38253" s="8" t="s">
        <v>14825</v>
      </c>
      <c r="D38253" s="8">
        <v>2</v>
      </c>
      <c r="E38253" s="8">
        <v>0</v>
      </c>
      <c r="F38253" s="8">
        <v>1585</v>
      </c>
    </row>
    <row r="38254" spans="1:6" ht="12.75">
      <c r="A38254" s="8">
        <v>43887.334398148145</v>
      </c>
      <c r="B38254" s="8" t="str">
        <f>HYPERLINK("https://twitter.com/radar_malang","@radar_malang")</f>
        <v>@radar_malang</v>
      </c>
      <c r="C38254" s="8" t="s">
        <v>14819</v>
      </c>
      <c r="D38254" s="8">
        <v>2</v>
      </c>
      <c r="E38254" s="8">
        <v>0</v>
      </c>
      <c r="F38254" s="8">
        <v>108680</v>
      </c>
    </row>
    <row r="38255" spans="1:6" ht="12.75">
      <c r="A38255" s="8">
        <v>43887.334293981483</v>
      </c>
      <c r="B38255" s="8" t="str">
        <f>HYPERLINK("https://twitter.com/ronavioleta","@ronavioleta")</f>
        <v>@ronavioleta</v>
      </c>
      <c r="C38255" s="8" t="s">
        <v>13365</v>
      </c>
      <c r="D38255" s="8">
        <v>582</v>
      </c>
      <c r="E38255" s="8">
        <v>0</v>
      </c>
      <c r="F38255" s="8">
        <v>55822</v>
      </c>
    </row>
    <row r="38256" spans="1:6" ht="12.75">
      <c r="A38256" s="8">
        <v>43887.333900462967</v>
      </c>
      <c r="B38256" s="8" t="str">
        <f>HYPERLINK("https://twitter.com/singdorukun","@singdorukun")</f>
        <v>@singdorukun</v>
      </c>
      <c r="C38256" s="8" t="s">
        <v>14830</v>
      </c>
      <c r="D38256" s="8">
        <v>0</v>
      </c>
      <c r="E38256" s="8">
        <v>1</v>
      </c>
      <c r="F38256" s="8">
        <v>12</v>
      </c>
    </row>
    <row r="38257" spans="1:6" ht="12.75">
      <c r="A38257" s="8">
        <v>43887.333784722221</v>
      </c>
      <c r="B38257" s="8" t="str">
        <f>HYPERLINK("https://twitter.com/PHNCX","@PHNCX")</f>
        <v>@PHNCX</v>
      </c>
      <c r="C38257" s="8" t="s">
        <v>14773</v>
      </c>
      <c r="D38257" s="8">
        <v>3</v>
      </c>
      <c r="E38257" s="8">
        <v>0</v>
      </c>
      <c r="F38257" s="8">
        <v>418</v>
      </c>
    </row>
    <row r="38258" spans="1:6" ht="12.75">
      <c r="A38258" s="8">
        <v>43887.333784722221</v>
      </c>
      <c r="B38258" s="8" t="str">
        <f>HYPERLINK("https://twitter.com/Arusky9","@Arusky9")</f>
        <v>@Arusky9</v>
      </c>
      <c r="C38258" s="8" t="s">
        <v>8484</v>
      </c>
      <c r="D38258" s="8">
        <v>948</v>
      </c>
      <c r="E38258" s="8">
        <v>0</v>
      </c>
      <c r="F38258" s="8">
        <v>285</v>
      </c>
    </row>
    <row r="38259" spans="1:6" ht="12.75">
      <c r="A38259" s="8">
        <v>43887.333645833336</v>
      </c>
      <c r="B38259" s="8" t="str">
        <f>HYPERLINK("https://twitter.com/fanyrachma","@fanyrachma")</f>
        <v>@fanyrachma</v>
      </c>
      <c r="C38259" s="8" t="s">
        <v>13365</v>
      </c>
      <c r="D38259" s="8">
        <v>582</v>
      </c>
      <c r="E38259" s="8">
        <v>0</v>
      </c>
      <c r="F38259" s="8">
        <v>1783</v>
      </c>
    </row>
    <row r="38260" spans="1:6" ht="12.75">
      <c r="A38260" s="8">
        <v>43887.333333333328</v>
      </c>
      <c r="B38260" s="8" t="str">
        <f>HYPERLINK("https://twitter.com/rramenforwonho","@rramenforwonho")</f>
        <v>@rramenforwonho</v>
      </c>
      <c r="C38260" s="8" t="s">
        <v>14831</v>
      </c>
      <c r="D38260" s="8">
        <v>64</v>
      </c>
      <c r="E38260" s="8">
        <v>0</v>
      </c>
      <c r="F38260" s="8">
        <v>478</v>
      </c>
    </row>
    <row r="38261" spans="1:6" ht="12.75">
      <c r="A38261" s="8">
        <v>43887.333182870367</v>
      </c>
      <c r="B38261" s="8" t="str">
        <f>HYPERLINK("https://twitter.com/yofasugara","@yofasugara")</f>
        <v>@yofasugara</v>
      </c>
      <c r="C38261" s="8" t="s">
        <v>2941</v>
      </c>
      <c r="D38261" s="8">
        <v>857</v>
      </c>
      <c r="E38261" s="8">
        <v>0</v>
      </c>
      <c r="F38261" s="8">
        <v>667</v>
      </c>
    </row>
    <row r="38262" spans="1:6" ht="12.75">
      <c r="A38262" s="8">
        <v>43887.333090277782</v>
      </c>
      <c r="B38262" s="8" t="str">
        <f>HYPERLINK("https://twitter.com/subhannugraha","@subhannugraha")</f>
        <v>@subhannugraha</v>
      </c>
      <c r="C38262" s="8" t="s">
        <v>13365</v>
      </c>
      <c r="D38262" s="8">
        <v>582</v>
      </c>
      <c r="E38262" s="8">
        <v>0</v>
      </c>
      <c r="F38262" s="8">
        <v>260</v>
      </c>
    </row>
    <row r="38263" spans="1:6" ht="12.75">
      <c r="A38263" s="8">
        <v>43887.333009259259</v>
      </c>
      <c r="B38263" s="8" t="str">
        <f>HYPERLINK("https://twitter.com/sueb_soleh","@sueb_soleh")</f>
        <v>@sueb_soleh</v>
      </c>
      <c r="C38263" s="8" t="s">
        <v>14832</v>
      </c>
      <c r="D38263" s="8">
        <v>0</v>
      </c>
      <c r="E38263" s="8">
        <v>0</v>
      </c>
      <c r="F38263" s="8">
        <v>690</v>
      </c>
    </row>
    <row r="38264" spans="1:6" ht="12.75">
      <c r="A38264" s="8">
        <v>43887.332997685182</v>
      </c>
      <c r="B38264" s="8" t="str">
        <f>HYPERLINK("https://twitter.com/an_neenn","@an_neenn")</f>
        <v>@an_neenn</v>
      </c>
      <c r="C38264" s="8" t="s">
        <v>13365</v>
      </c>
      <c r="D38264" s="8">
        <v>582</v>
      </c>
      <c r="E38264" s="8">
        <v>0</v>
      </c>
      <c r="F38264" s="8">
        <v>458</v>
      </c>
    </row>
    <row r="38265" spans="1:6" ht="12.75">
      <c r="A38265" s="8">
        <v>43887.332650462966</v>
      </c>
      <c r="B38265" s="8" t="str">
        <f>HYPERLINK("https://twitter.com/Rita8213","@Rita8213")</f>
        <v>@Rita8213</v>
      </c>
      <c r="C38265" s="8" t="s">
        <v>14129</v>
      </c>
      <c r="D38265" s="8">
        <v>11</v>
      </c>
      <c r="E38265" s="8">
        <v>0</v>
      </c>
      <c r="F38265" s="8">
        <v>115</v>
      </c>
    </row>
    <row r="38266" spans="1:6" ht="12.75">
      <c r="A38266" s="8">
        <v>43887.332557870366</v>
      </c>
      <c r="B38266" s="8" t="str">
        <f>HYPERLINK("https://twitter.com/ryolandafit","@ryolandafit")</f>
        <v>@ryolandafit</v>
      </c>
      <c r="C38266" s="8" t="s">
        <v>14773</v>
      </c>
      <c r="D38266" s="8">
        <v>3</v>
      </c>
      <c r="E38266" s="8">
        <v>0</v>
      </c>
      <c r="F38266" s="8">
        <v>650</v>
      </c>
    </row>
    <row r="38267" spans="1:6" ht="12.75">
      <c r="A38267" s="8">
        <v>43887.332430555558</v>
      </c>
      <c r="B38267" s="8" t="str">
        <f>HYPERLINK("https://twitter.com/RISKIsyah","@RISKIsyah")</f>
        <v>@RISKIsyah</v>
      </c>
      <c r="C38267" s="8" t="s">
        <v>2941</v>
      </c>
      <c r="D38267" s="8">
        <v>857</v>
      </c>
      <c r="E38267" s="8">
        <v>0</v>
      </c>
      <c r="F38267" s="8">
        <v>474</v>
      </c>
    </row>
    <row r="38268" spans="1:6" ht="12.75">
      <c r="A38268" s="8">
        <v>43887.332256944443</v>
      </c>
      <c r="B38268" s="8" t="str">
        <f>HYPERLINK("https://twitter.com/eydhoh","@eydhoh")</f>
        <v>@eydhoh</v>
      </c>
      <c r="C38268" s="8" t="s">
        <v>13365</v>
      </c>
      <c r="D38268" s="8">
        <v>582</v>
      </c>
      <c r="E38268" s="8">
        <v>0</v>
      </c>
      <c r="F38268" s="8">
        <v>342</v>
      </c>
    </row>
    <row r="38269" spans="1:6" ht="12.75">
      <c r="A38269" s="8">
        <v>43887.332025462965</v>
      </c>
      <c r="B38269" s="8" t="str">
        <f>HYPERLINK("https://twitter.com/jun2yos","@jun2yos")</f>
        <v>@jun2yos</v>
      </c>
      <c r="C38269" s="8" t="s">
        <v>2940</v>
      </c>
      <c r="D38269" s="8">
        <v>2596</v>
      </c>
      <c r="E38269" s="8">
        <v>0</v>
      </c>
      <c r="F38269" s="8">
        <v>251</v>
      </c>
    </row>
    <row r="38270" spans="1:6" ht="12.75">
      <c r="A38270" s="8">
        <v>43887.331655092596</v>
      </c>
      <c r="B38270" s="8" t="str">
        <f>HYPERLINK("https://twitter.com/bacotanichul","@bacotanichul")</f>
        <v>@bacotanichul</v>
      </c>
      <c r="C38270" s="8" t="s">
        <v>13365</v>
      </c>
      <c r="D38270" s="8">
        <v>582</v>
      </c>
      <c r="E38270" s="8">
        <v>0</v>
      </c>
      <c r="F38270" s="8">
        <v>52</v>
      </c>
    </row>
    <row r="38271" spans="1:6" ht="12.75">
      <c r="A38271" s="8">
        <v>43887.331250000003</v>
      </c>
      <c r="B38271" s="8" t="str">
        <f>HYPERLINK("https://twitter.com/rosadijamani","@rosadijamani")</f>
        <v>@rosadijamani</v>
      </c>
      <c r="C38271" s="8" t="s">
        <v>14833</v>
      </c>
      <c r="D38271" s="8">
        <v>0</v>
      </c>
      <c r="E38271" s="8">
        <v>2</v>
      </c>
      <c r="F38271" s="8">
        <v>3185</v>
      </c>
    </row>
    <row r="38272" spans="1:6" ht="12.75">
      <c r="A38272" s="8">
        <v>43887.331238425926</v>
      </c>
      <c r="B38272" s="8" t="str">
        <f>HYPERLINK("https://twitter.com/mario43949328","@mario43949328")</f>
        <v>@mario43949328</v>
      </c>
      <c r="C38272" s="8" t="s">
        <v>14834</v>
      </c>
      <c r="D38272" s="8">
        <v>1</v>
      </c>
      <c r="E38272" s="8">
        <v>0</v>
      </c>
      <c r="F38272" s="8">
        <v>5</v>
      </c>
    </row>
    <row r="38273" spans="1:6" ht="12.75">
      <c r="A38273" s="8">
        <v>43887.330810185187</v>
      </c>
      <c r="B38273" s="8" t="str">
        <f>HYPERLINK("https://twitter.com/ayuLarass_","@ayuLarass_")</f>
        <v>@ayuLarass_</v>
      </c>
      <c r="C38273" s="8" t="s">
        <v>12143</v>
      </c>
      <c r="D38273" s="8">
        <v>42</v>
      </c>
      <c r="E38273" s="8">
        <v>0</v>
      </c>
      <c r="F38273" s="8">
        <v>469</v>
      </c>
    </row>
    <row r="38274" spans="1:6" ht="12.75">
      <c r="A38274" s="8">
        <v>43887.330648148149</v>
      </c>
      <c r="B38274" s="8" t="str">
        <f>HYPERLINK("https://twitter.com/pramiomio","@pramiomio")</f>
        <v>@pramiomio</v>
      </c>
      <c r="C38274" s="8" t="s">
        <v>13365</v>
      </c>
      <c r="D38274" s="8">
        <v>582</v>
      </c>
      <c r="E38274" s="8">
        <v>0</v>
      </c>
      <c r="F38274" s="8">
        <v>198</v>
      </c>
    </row>
    <row r="38275" spans="1:6" ht="12.75">
      <c r="A38275" s="8">
        <v>43887.330231481479</v>
      </c>
      <c r="B38275" s="8" t="str">
        <f>HYPERLINK("https://twitter.com/CendolAbang","@CendolAbang")</f>
        <v>@CendolAbang</v>
      </c>
      <c r="C38275" s="8" t="s">
        <v>13365</v>
      </c>
      <c r="D38275" s="8">
        <v>582</v>
      </c>
      <c r="E38275" s="8">
        <v>0</v>
      </c>
      <c r="F38275" s="8">
        <v>79</v>
      </c>
    </row>
    <row r="38276" spans="1:6" ht="12.75">
      <c r="A38276" s="8">
        <v>43887.330196759256</v>
      </c>
      <c r="B38276" s="8" t="str">
        <f>HYPERLINK("https://twitter.com/dyah1955","@dyah1955")</f>
        <v>@dyah1955</v>
      </c>
      <c r="C38276" s="8" t="s">
        <v>14835</v>
      </c>
      <c r="D38276" s="8">
        <v>2</v>
      </c>
      <c r="E38276" s="8">
        <v>1</v>
      </c>
      <c r="F38276" s="8">
        <v>2254</v>
      </c>
    </row>
    <row r="38277" spans="1:6" ht="12.75">
      <c r="A38277" s="8">
        <v>43887.32984953704</v>
      </c>
      <c r="B38277" s="8" t="str">
        <f>HYPERLINK("https://twitter.com/mediaindonesia","@mediaindonesia")</f>
        <v>@mediaindonesia</v>
      </c>
      <c r="C38277" s="8" t="s">
        <v>14836</v>
      </c>
      <c r="D38277" s="8">
        <v>0</v>
      </c>
      <c r="E38277" s="8">
        <v>5</v>
      </c>
      <c r="F38277" s="8">
        <v>1418738</v>
      </c>
    </row>
    <row r="38278" spans="1:6" ht="12.75">
      <c r="A38278" s="8">
        <v>43887.329386574071</v>
      </c>
      <c r="B38278" s="8" t="str">
        <f>HYPERLINK("https://twitter.com/AEPishere","@AEPishere")</f>
        <v>@AEPishere</v>
      </c>
      <c r="C38278" s="8" t="s">
        <v>14773</v>
      </c>
      <c r="D38278" s="8">
        <v>3</v>
      </c>
      <c r="E38278" s="8">
        <v>0</v>
      </c>
      <c r="F38278" s="8">
        <v>3015</v>
      </c>
    </row>
    <row r="38279" spans="1:6" ht="12.75">
      <c r="A38279" s="8">
        <v>43887.328993055555</v>
      </c>
      <c r="B38279" s="8" t="str">
        <f>HYPERLINK("https://twitter.com/Rifal1989","@Rifal1989")</f>
        <v>@Rifal1989</v>
      </c>
      <c r="C38279" s="8" t="s">
        <v>13365</v>
      </c>
      <c r="D38279" s="8">
        <v>582</v>
      </c>
      <c r="E38279" s="8">
        <v>0</v>
      </c>
      <c r="F38279" s="8">
        <v>501</v>
      </c>
    </row>
    <row r="38280" spans="1:6" ht="12.75">
      <c r="A38280" s="8">
        <v>43887.328541666662</v>
      </c>
      <c r="B38280" s="8" t="str">
        <f>HYPERLINK("https://twitter.com/Hidup92119032","@Hidup92119032")</f>
        <v>@Hidup92119032</v>
      </c>
      <c r="C38280" s="8" t="s">
        <v>13365</v>
      </c>
      <c r="D38280" s="8">
        <v>582</v>
      </c>
      <c r="E38280" s="8">
        <v>0</v>
      </c>
      <c r="F38280" s="8">
        <v>14</v>
      </c>
    </row>
    <row r="38281" spans="1:6" ht="12.75">
      <c r="A38281" s="8">
        <v>43887.328530092593</v>
      </c>
      <c r="B38281" s="8" t="str">
        <f>HYPERLINK("https://twitter.com/TanSue10","@TanSue10")</f>
        <v>@TanSue10</v>
      </c>
      <c r="C38281" s="8" t="s">
        <v>14837</v>
      </c>
      <c r="D38281" s="8">
        <v>0</v>
      </c>
      <c r="E38281" s="8">
        <v>0</v>
      </c>
      <c r="F38281" s="8">
        <v>27</v>
      </c>
    </row>
    <row r="38282" spans="1:6" ht="12.75">
      <c r="A38282" s="8">
        <v>43887.3283912037</v>
      </c>
      <c r="B38282" s="8" t="str">
        <f>HYPERLINK("https://twitter.com/diniputriyani_","@diniputriyani_")</f>
        <v>@diniputriyani_</v>
      </c>
      <c r="C38282" s="8" t="s">
        <v>2941</v>
      </c>
      <c r="D38282" s="8">
        <v>857</v>
      </c>
      <c r="E38282" s="8">
        <v>0</v>
      </c>
      <c r="F38282" s="8">
        <v>573</v>
      </c>
    </row>
    <row r="38283" spans="1:6" ht="12.75">
      <c r="A38283" s="8">
        <v>43887.328368055554</v>
      </c>
      <c r="B38283" s="8" t="str">
        <f>HYPERLINK("https://twitter.com/sikecilmarmut","@sikecilmarmut")</f>
        <v>@sikecilmarmut</v>
      </c>
      <c r="C38283" s="8" t="s">
        <v>14838</v>
      </c>
      <c r="D38283" s="8">
        <v>1</v>
      </c>
      <c r="E38283" s="8">
        <v>0</v>
      </c>
      <c r="F38283" s="8">
        <v>2243</v>
      </c>
    </row>
    <row r="38284" spans="1:6" ht="12.75">
      <c r="A38284" s="8">
        <v>43887.328148148154</v>
      </c>
      <c r="B38284" s="8" t="str">
        <f>HYPERLINK("https://twitter.com/hartanto_mas","@hartanto_mas")</f>
        <v>@hartanto_mas</v>
      </c>
      <c r="C38284" s="8" t="s">
        <v>13365</v>
      </c>
      <c r="D38284" s="8">
        <v>582</v>
      </c>
      <c r="E38284" s="8">
        <v>0</v>
      </c>
      <c r="F38284" s="8">
        <v>1051</v>
      </c>
    </row>
    <row r="38285" spans="1:6" ht="12.75">
      <c r="A38285" s="8">
        <v>43887.328078703707</v>
      </c>
      <c r="B38285" s="8" t="str">
        <f t="shared" ref="B38285:B38286" si="572">HYPERLINK("https://twitter.com/sikecilmarmut","@sikecilmarmut")</f>
        <v>@sikecilmarmut</v>
      </c>
      <c r="C38285" s="8" t="s">
        <v>12143</v>
      </c>
      <c r="D38285" s="8">
        <v>42</v>
      </c>
      <c r="E38285" s="8">
        <v>0</v>
      </c>
      <c r="F38285" s="8">
        <v>2243</v>
      </c>
    </row>
    <row r="38286" spans="1:6" ht="12.75">
      <c r="A38286" s="8">
        <v>43887.327928240746</v>
      </c>
      <c r="B38286" s="8" t="str">
        <f t="shared" si="572"/>
        <v>@sikecilmarmut</v>
      </c>
      <c r="C38286" s="8" t="s">
        <v>13365</v>
      </c>
      <c r="D38286" s="8">
        <v>582</v>
      </c>
      <c r="E38286" s="8">
        <v>0</v>
      </c>
      <c r="F38286" s="8">
        <v>2243</v>
      </c>
    </row>
    <row r="38287" spans="1:6" ht="12.75">
      <c r="A38287" s="8">
        <v>43887.327847222223</v>
      </c>
      <c r="B38287" s="8" t="str">
        <f>HYPERLINK("https://twitter.com/Ypsdya","@Ypsdya")</f>
        <v>@Ypsdya</v>
      </c>
      <c r="C38287" s="8" t="s">
        <v>2941</v>
      </c>
      <c r="D38287" s="8">
        <v>857</v>
      </c>
      <c r="E38287" s="8">
        <v>0</v>
      </c>
      <c r="F38287" s="8">
        <v>307</v>
      </c>
    </row>
    <row r="38288" spans="1:6" ht="12.75">
      <c r="A38288" s="8">
        <v>43887.3278125</v>
      </c>
      <c r="B38288" s="8" t="str">
        <f>HYPERLINK("https://twitter.com/KompasTV","@KompasTV")</f>
        <v>@KompasTV</v>
      </c>
      <c r="C38288" s="8" t="s">
        <v>14839</v>
      </c>
      <c r="D38288" s="8">
        <v>3</v>
      </c>
      <c r="E38288" s="8">
        <v>5</v>
      </c>
      <c r="F38288" s="8">
        <v>2948959</v>
      </c>
    </row>
    <row r="38289" spans="1:6" ht="12.75">
      <c r="A38289" s="8">
        <v>43887.327372685184</v>
      </c>
      <c r="B38289" s="8" t="str">
        <f>HYPERLINK("https://twitter.com/apuyman1","@apuyman1")</f>
        <v>@apuyman1</v>
      </c>
      <c r="C38289" s="8" t="s">
        <v>13187</v>
      </c>
      <c r="D38289" s="8">
        <v>10</v>
      </c>
      <c r="E38289" s="8">
        <v>0</v>
      </c>
      <c r="F38289" s="8">
        <v>595</v>
      </c>
    </row>
    <row r="38290" spans="1:6" ht="12.75">
      <c r="A38290" s="8">
        <v>43887.327326388884</v>
      </c>
      <c r="B38290" s="8" t="str">
        <f>HYPERLINK("https://twitter.com/Dave_aritonang","@Dave_aritonang")</f>
        <v>@Dave_aritonang</v>
      </c>
      <c r="C38290" s="8" t="s">
        <v>11183</v>
      </c>
      <c r="D38290" s="8">
        <v>293</v>
      </c>
      <c r="E38290" s="8">
        <v>0</v>
      </c>
      <c r="F38290" s="8">
        <v>701</v>
      </c>
    </row>
    <row r="38291" spans="1:6" ht="12.75">
      <c r="A38291" s="8">
        <v>43887.327303240745</v>
      </c>
      <c r="B38291" s="8" t="str">
        <f>HYPERLINK("https://twitter.com/Cuetie2","@Cuetie2")</f>
        <v>@Cuetie2</v>
      </c>
      <c r="C38291" s="8" t="s">
        <v>8484</v>
      </c>
      <c r="D38291" s="8">
        <v>948</v>
      </c>
      <c r="E38291" s="8">
        <v>0</v>
      </c>
      <c r="F38291" s="8">
        <v>670</v>
      </c>
    </row>
    <row r="38292" spans="1:6" ht="12.75">
      <c r="A38292" s="8">
        <v>43887.327187499999</v>
      </c>
      <c r="B38292" s="8" t="str">
        <f>HYPERLINK("https://twitter.com/BadrunJamrud","@BadrunJamrud")</f>
        <v>@BadrunJamrud</v>
      </c>
      <c r="C38292" s="8" t="s">
        <v>14840</v>
      </c>
      <c r="D38292" s="8">
        <v>2</v>
      </c>
      <c r="E38292" s="8">
        <v>0</v>
      </c>
      <c r="F38292" s="8">
        <v>27</v>
      </c>
    </row>
    <row r="38293" spans="1:6" ht="12.75">
      <c r="A38293" s="8">
        <v>43887.326851851853</v>
      </c>
      <c r="B38293" s="8" t="str">
        <f>HYPERLINK("https://twitter.com/whiteshoess_","@whiteshoess_")</f>
        <v>@whiteshoess_</v>
      </c>
      <c r="C38293" s="8" t="s">
        <v>2941</v>
      </c>
      <c r="D38293" s="8">
        <v>857</v>
      </c>
      <c r="E38293" s="8">
        <v>0</v>
      </c>
      <c r="F38293" s="8">
        <v>550</v>
      </c>
    </row>
    <row r="38294" spans="1:6" ht="12.75">
      <c r="A38294" s="8">
        <v>43887.326643518521</v>
      </c>
      <c r="B38294" s="8" t="str">
        <f>HYPERLINK("https://twitter.com/oksmash","@oksmash")</f>
        <v>@oksmash</v>
      </c>
      <c r="C38294" s="8" t="s">
        <v>2940</v>
      </c>
      <c r="D38294" s="8">
        <v>2596</v>
      </c>
      <c r="E38294" s="8">
        <v>0</v>
      </c>
      <c r="F38294" s="8">
        <v>162</v>
      </c>
    </row>
    <row r="38295" spans="1:6" ht="12.75">
      <c r="A38295" s="8">
        <v>43887.326620370368</v>
      </c>
      <c r="B38295" s="8" t="str">
        <f>HYPERLINK("https://twitter.com/FernandoMorrzie","@FernandoMorrzie")</f>
        <v>@FernandoMorrzie</v>
      </c>
      <c r="C38295" s="8" t="s">
        <v>13365</v>
      </c>
      <c r="D38295" s="8">
        <v>582</v>
      </c>
      <c r="E38295" s="8">
        <v>0</v>
      </c>
      <c r="F38295" s="8">
        <v>36</v>
      </c>
    </row>
    <row r="38296" spans="1:6" ht="12.75">
      <c r="A38296" s="8">
        <v>43887.326608796298</v>
      </c>
      <c r="B38296" s="8" t="str">
        <f>HYPERLINK("https://twitter.com/frdsrmdhn","@frdsrmdhn")</f>
        <v>@frdsrmdhn</v>
      </c>
      <c r="C38296" s="8" t="s">
        <v>13365</v>
      </c>
      <c r="D38296" s="8">
        <v>582</v>
      </c>
      <c r="E38296" s="8">
        <v>0</v>
      </c>
      <c r="F38296" s="8">
        <v>44</v>
      </c>
    </row>
    <row r="38297" spans="1:6" ht="12.75">
      <c r="A38297" s="8">
        <v>43887.32649305556</v>
      </c>
      <c r="B38297" s="8" t="str">
        <f>HYPERLINK("https://twitter.com/ivanazhari","@ivanazhari")</f>
        <v>@ivanazhari</v>
      </c>
      <c r="C38297" s="8" t="s">
        <v>12143</v>
      </c>
      <c r="D38297" s="8">
        <v>42</v>
      </c>
      <c r="E38297" s="8">
        <v>0</v>
      </c>
      <c r="F38297" s="8">
        <v>190</v>
      </c>
    </row>
    <row r="38298" spans="1:6" ht="12.75">
      <c r="A38298" s="8">
        <v>43887.326296296298</v>
      </c>
      <c r="B38298" s="8" t="str">
        <f>HYPERLINK("https://twitter.com/cucumberhaters","@cucumberhaters")</f>
        <v>@cucumberhaters</v>
      </c>
      <c r="C38298" s="8" t="s">
        <v>14831</v>
      </c>
      <c r="D38298" s="8">
        <v>64</v>
      </c>
      <c r="E38298" s="8">
        <v>0</v>
      </c>
      <c r="F38298" s="8">
        <v>763</v>
      </c>
    </row>
    <row r="38299" spans="1:6" ht="12.75">
      <c r="A38299" s="8">
        <v>43887.32612268519</v>
      </c>
      <c r="B38299" s="8" t="str">
        <f>HYPERLINK("https://twitter.com/z_gentile","@z_gentile")</f>
        <v>@z_gentile</v>
      </c>
      <c r="C38299" s="8" t="s">
        <v>2940</v>
      </c>
      <c r="D38299" s="8">
        <v>2596</v>
      </c>
      <c r="E38299" s="8">
        <v>0</v>
      </c>
      <c r="F38299" s="8">
        <v>134</v>
      </c>
    </row>
    <row r="38300" spans="1:6" ht="12.75">
      <c r="A38300" s="8">
        <v>43887.325925925921</v>
      </c>
      <c r="B38300" s="8" t="str">
        <f>HYPERLINK("https://twitter.com/nanonanoxxxx","@nanonanoxxxx")</f>
        <v>@nanonanoxxxx</v>
      </c>
      <c r="C38300" s="8" t="s">
        <v>13187</v>
      </c>
      <c r="D38300" s="8">
        <v>10</v>
      </c>
      <c r="E38300" s="8">
        <v>0</v>
      </c>
      <c r="F38300" s="8">
        <v>70</v>
      </c>
    </row>
    <row r="38301" spans="1:6" ht="12.75">
      <c r="A38301" s="8">
        <v>43887.325833333336</v>
      </c>
      <c r="B38301" s="8" t="str">
        <f>HYPERLINK("https://twitter.com/diezitoe","@diezitoe")</f>
        <v>@diezitoe</v>
      </c>
      <c r="C38301" s="8" t="s">
        <v>13365</v>
      </c>
      <c r="D38301" s="8">
        <v>582</v>
      </c>
      <c r="E38301" s="8">
        <v>0</v>
      </c>
      <c r="F38301" s="8">
        <v>377</v>
      </c>
    </row>
    <row r="38302" spans="1:6" ht="12.75">
      <c r="A38302" s="8">
        <v>43887.32576388889</v>
      </c>
      <c r="B38302" s="8" t="str">
        <f>HYPERLINK("https://twitter.com/ameliaaaacc","@ameliaaaacc")</f>
        <v>@ameliaaaacc</v>
      </c>
      <c r="C38302" s="8" t="s">
        <v>13365</v>
      </c>
      <c r="D38302" s="8">
        <v>582</v>
      </c>
      <c r="E38302" s="8">
        <v>0</v>
      </c>
      <c r="F38302" s="8">
        <v>86</v>
      </c>
    </row>
    <row r="38303" spans="1:6" ht="12.75">
      <c r="A38303" s="8">
        <v>43887.325266203705</v>
      </c>
      <c r="B38303" s="8" t="str">
        <f>HYPERLINK("https://twitter.com/lukisaepul","@lukisaepul")</f>
        <v>@lukisaepul</v>
      </c>
      <c r="C38303" s="8" t="s">
        <v>14841</v>
      </c>
      <c r="D38303" s="8">
        <v>1</v>
      </c>
      <c r="E38303" s="8">
        <v>0</v>
      </c>
      <c r="F38303" s="8">
        <v>788</v>
      </c>
    </row>
    <row r="38304" spans="1:6" ht="12.75">
      <c r="A38304" s="8">
        <v>43887.325185185182</v>
      </c>
      <c r="B38304" s="8" t="str">
        <f>HYPERLINK("https://twitter.com/dulhomot","@dulhomot")</f>
        <v>@dulhomot</v>
      </c>
      <c r="C38304" s="8" t="s">
        <v>13365</v>
      </c>
      <c r="D38304" s="8">
        <v>582</v>
      </c>
      <c r="E38304" s="8">
        <v>0</v>
      </c>
      <c r="F38304" s="8">
        <v>185</v>
      </c>
    </row>
    <row r="38305" spans="1:6" ht="12.75">
      <c r="A38305" s="8">
        <v>43887.324999999997</v>
      </c>
      <c r="B38305" s="8" t="str">
        <f>HYPERLINK("https://twitter.com/mogen__","@mogen__")</f>
        <v>@mogen__</v>
      </c>
      <c r="C38305" s="8" t="s">
        <v>13365</v>
      </c>
      <c r="D38305" s="8">
        <v>582</v>
      </c>
      <c r="E38305" s="8">
        <v>0</v>
      </c>
      <c r="F38305" s="8">
        <v>71</v>
      </c>
    </row>
    <row r="38306" spans="1:6" ht="12.75">
      <c r="A38306" s="8">
        <v>43887.324490740742</v>
      </c>
      <c r="B38306" s="8" t="str">
        <f>HYPERLINK("https://twitter.com/MischordiasD","@MischordiasD")</f>
        <v>@MischordiasD</v>
      </c>
      <c r="C38306" s="8" t="s">
        <v>14842</v>
      </c>
      <c r="D38306" s="8">
        <v>1</v>
      </c>
      <c r="E38306" s="8">
        <v>0</v>
      </c>
      <c r="F38306" s="8">
        <v>25</v>
      </c>
    </row>
    <row r="38307" spans="1:6" ht="12.75">
      <c r="A38307" s="8">
        <v>43887.323877314819</v>
      </c>
      <c r="B38307" s="8" t="str">
        <f>HYPERLINK("https://twitter.com/PFTee","@PFTee")</f>
        <v>@PFTee</v>
      </c>
      <c r="C38307" s="8" t="s">
        <v>14843</v>
      </c>
      <c r="D38307" s="8">
        <v>1</v>
      </c>
      <c r="E38307" s="8">
        <v>1</v>
      </c>
      <c r="F38307" s="8">
        <v>1499</v>
      </c>
    </row>
    <row r="38308" spans="1:6" ht="12.75">
      <c r="A38308" s="8">
        <v>43887.323773148149</v>
      </c>
      <c r="B38308" s="8" t="str">
        <f>HYPERLINK("https://twitter.com/wijayaaswan","@wijayaaswan")</f>
        <v>@wijayaaswan</v>
      </c>
      <c r="C38308" s="8" t="s">
        <v>13365</v>
      </c>
      <c r="D38308" s="8">
        <v>582</v>
      </c>
      <c r="E38308" s="8">
        <v>0</v>
      </c>
      <c r="F38308" s="8">
        <v>592</v>
      </c>
    </row>
    <row r="38309" spans="1:6" ht="12.75">
      <c r="A38309" s="8">
        <v>43887.32366898148</v>
      </c>
      <c r="B38309" s="8" t="str">
        <f>HYPERLINK("https://twitter.com/CorneliusGalih","@CorneliusGalih")</f>
        <v>@CorneliusGalih</v>
      </c>
      <c r="C38309" s="8" t="s">
        <v>2941</v>
      </c>
      <c r="D38309" s="8">
        <v>857</v>
      </c>
      <c r="E38309" s="8">
        <v>0</v>
      </c>
      <c r="F38309" s="8">
        <v>211</v>
      </c>
    </row>
    <row r="38310" spans="1:6" ht="12.75">
      <c r="A38310" s="8">
        <v>43887.323599537034</v>
      </c>
      <c r="B38310" s="8" t="str">
        <f>HYPERLINK("https://twitter.com/HJulkifliMarbun","@HJulkifliMarbun")</f>
        <v>@HJulkifliMarbun</v>
      </c>
      <c r="C38310" s="8" t="s">
        <v>14844</v>
      </c>
      <c r="D38310" s="8">
        <v>1</v>
      </c>
      <c r="E38310" s="8">
        <v>0</v>
      </c>
      <c r="F38310" s="8">
        <v>68</v>
      </c>
    </row>
    <row r="38311" spans="1:6" ht="12.75">
      <c r="A38311" s="8">
        <v>43887.32335648148</v>
      </c>
      <c r="B38311" s="8" t="str">
        <f>HYPERLINK("https://twitter.com/Erlina_wati98","@Erlina_wati98")</f>
        <v>@Erlina_wati98</v>
      </c>
      <c r="C38311" s="8" t="s">
        <v>2941</v>
      </c>
      <c r="D38311" s="8">
        <v>857</v>
      </c>
      <c r="E38311" s="8">
        <v>0</v>
      </c>
      <c r="F38311" s="8">
        <v>47</v>
      </c>
    </row>
    <row r="38312" spans="1:6" ht="12.75">
      <c r="A38312" s="8">
        <v>43887.323206018518</v>
      </c>
      <c r="B38312" s="8" t="str">
        <f>HYPERLINK("https://twitter.com/immabiasalook","@immabiasalook")</f>
        <v>@immabiasalook</v>
      </c>
      <c r="C38312" s="8" t="s">
        <v>14845</v>
      </c>
      <c r="D38312" s="8">
        <v>0</v>
      </c>
      <c r="E38312" s="8">
        <v>0</v>
      </c>
      <c r="F38312" s="8">
        <v>12</v>
      </c>
    </row>
    <row r="38313" spans="1:6" ht="12.75">
      <c r="A38313" s="8">
        <v>43887.323171296295</v>
      </c>
      <c r="B38313" s="8" t="str">
        <f>HYPERLINK("https://twitter.com/nirmalaaa5","@nirmalaaa5")</f>
        <v>@nirmalaaa5</v>
      </c>
      <c r="C38313" s="8" t="s">
        <v>13365</v>
      </c>
      <c r="D38313" s="8">
        <v>582</v>
      </c>
      <c r="E38313" s="8">
        <v>0</v>
      </c>
      <c r="F38313" s="8">
        <v>3</v>
      </c>
    </row>
    <row r="38314" spans="1:6" ht="12.75">
      <c r="A38314" s="8">
        <v>43887.298495370371</v>
      </c>
      <c r="B38314" s="8" t="str">
        <f>HYPERLINK("https://twitter.com/BerlinPamungkas","@BerlinPamungkas")</f>
        <v>@BerlinPamungkas</v>
      </c>
      <c r="C38314" s="8" t="s">
        <v>14225</v>
      </c>
      <c r="D38314" s="8">
        <v>0</v>
      </c>
      <c r="E38314" s="8">
        <v>0</v>
      </c>
      <c r="F38314" s="8">
        <v>365</v>
      </c>
    </row>
    <row r="38315" spans="1:6" ht="12.75">
      <c r="A38315" s="8">
        <v>43887.29822916667</v>
      </c>
      <c r="B38315" s="8" t="str">
        <f>HYPERLINK("https://twitter.com/diasprdk","@diasprdk")</f>
        <v>@diasprdk</v>
      </c>
      <c r="C38315" s="8" t="s">
        <v>13365</v>
      </c>
      <c r="D38315" s="8">
        <v>513</v>
      </c>
      <c r="E38315" s="8">
        <v>0</v>
      </c>
      <c r="F38315" s="8">
        <v>656</v>
      </c>
    </row>
    <row r="38316" spans="1:6" ht="12.75">
      <c r="A38316" s="8">
        <v>43887.298217592594</v>
      </c>
      <c r="B38316" s="8" t="str">
        <f>HYPERLINK("https://twitter.com/Acui26994002","@Acui26994002")</f>
        <v>@Acui26994002</v>
      </c>
      <c r="C38316" s="8" t="s">
        <v>11183</v>
      </c>
      <c r="D38316" s="8">
        <v>285</v>
      </c>
      <c r="E38316" s="8">
        <v>0</v>
      </c>
      <c r="F38316" s="8">
        <v>1362</v>
      </c>
    </row>
    <row r="38317" spans="1:6" ht="12.75">
      <c r="A38317" s="8">
        <v>43887.298090277778</v>
      </c>
      <c r="B38317" s="8" t="str">
        <f>HYPERLINK("https://twitter.com/SiegenSan","@SiegenSan")</f>
        <v>@SiegenSan</v>
      </c>
      <c r="C38317" s="8" t="s">
        <v>13365</v>
      </c>
      <c r="D38317" s="8">
        <v>513</v>
      </c>
      <c r="E38317" s="8">
        <v>0</v>
      </c>
      <c r="F38317" s="8">
        <v>67</v>
      </c>
    </row>
    <row r="38318" spans="1:6" ht="12.75">
      <c r="A38318" s="8">
        <v>43887.297858796301</v>
      </c>
      <c r="B38318" s="8" t="str">
        <f>HYPERLINK("https://twitter.com/mi051420","@mi051420")</f>
        <v>@mi051420</v>
      </c>
      <c r="C38318" s="8" t="s">
        <v>2940</v>
      </c>
      <c r="D38318" s="8">
        <v>2586</v>
      </c>
      <c r="E38318" s="8">
        <v>0</v>
      </c>
      <c r="F38318" s="8">
        <v>17</v>
      </c>
    </row>
    <row r="38319" spans="1:6" ht="12.75">
      <c r="A38319" s="8">
        <v>43887.297627314816</v>
      </c>
      <c r="B38319" s="8" t="str">
        <f>HYPERLINK("https://twitter.com/najun_k","@najun_k")</f>
        <v>@najun_k</v>
      </c>
      <c r="C38319" s="8" t="s">
        <v>14831</v>
      </c>
      <c r="D38319" s="8">
        <v>60</v>
      </c>
      <c r="E38319" s="8">
        <v>0</v>
      </c>
      <c r="F38319" s="8">
        <v>716</v>
      </c>
    </row>
    <row r="38320" spans="1:6" ht="12.75">
      <c r="A38320" s="8">
        <v>43887.297395833331</v>
      </c>
      <c r="B38320" s="8" t="str">
        <f>HYPERLINK("https://twitter.com/52kur1k0","@52kur1k0")</f>
        <v>@52kur1k0</v>
      </c>
      <c r="C38320" s="8" t="s">
        <v>8484</v>
      </c>
      <c r="D38320" s="8">
        <v>943</v>
      </c>
      <c r="E38320" s="8">
        <v>0</v>
      </c>
      <c r="F38320" s="8">
        <v>118</v>
      </c>
    </row>
    <row r="38321" spans="1:6" ht="12.75">
      <c r="A38321" s="8">
        <v>43887.297025462962</v>
      </c>
      <c r="B38321" s="8" t="str">
        <f>HYPERLINK("https://twitter.com/asrilaksmi","@asrilaksmi")</f>
        <v>@asrilaksmi</v>
      </c>
      <c r="C38321" s="8" t="s">
        <v>14365</v>
      </c>
      <c r="D38321" s="8">
        <v>21</v>
      </c>
      <c r="E38321" s="8">
        <v>0</v>
      </c>
      <c r="F38321" s="8">
        <v>570</v>
      </c>
    </row>
    <row r="38322" spans="1:6" ht="12.75">
      <c r="A38322" s="8">
        <v>43887.296782407408</v>
      </c>
      <c r="B38322" s="8" t="str">
        <f>HYPERLINK("https://twitter.com/rezal_akbar","@rezal_akbar")</f>
        <v>@rezal_akbar</v>
      </c>
      <c r="C38322" s="8" t="s">
        <v>13365</v>
      </c>
      <c r="D38322" s="8">
        <v>513</v>
      </c>
      <c r="E38322" s="8">
        <v>0</v>
      </c>
      <c r="F38322" s="8">
        <v>444</v>
      </c>
    </row>
    <row r="38323" spans="1:6" ht="12.75">
      <c r="A38323" s="8">
        <v>43887.296550925923</v>
      </c>
      <c r="B38323" s="8" t="str">
        <f>HYPERLINK("https://twitter.com/__fckeverything","@__fckeverything")</f>
        <v>@__fckeverything</v>
      </c>
      <c r="C38323" s="8" t="s">
        <v>13365</v>
      </c>
      <c r="D38323" s="8">
        <v>513</v>
      </c>
      <c r="E38323" s="8">
        <v>0</v>
      </c>
      <c r="F38323" s="8">
        <v>45</v>
      </c>
    </row>
    <row r="38324" spans="1:6" ht="12.75">
      <c r="A38324" s="8">
        <v>43887.296377314815</v>
      </c>
      <c r="B38324" s="8" t="str">
        <f>HYPERLINK("https://twitter.com/sabar_mbok","@sabar_mbok")</f>
        <v>@sabar_mbok</v>
      </c>
      <c r="C38324" s="8" t="s">
        <v>12143</v>
      </c>
      <c r="D38324" s="8">
        <v>20</v>
      </c>
      <c r="E38324" s="8">
        <v>0</v>
      </c>
      <c r="F38324" s="8">
        <v>284</v>
      </c>
    </row>
    <row r="38325" spans="1:6" ht="12.75">
      <c r="A38325" s="8">
        <v>43887.296296296292</v>
      </c>
      <c r="B38325" s="8" t="str">
        <f>HYPERLINK("https://twitter.com/masayaharuhi","@masayaharuhi")</f>
        <v>@masayaharuhi</v>
      </c>
      <c r="C38325" s="8" t="s">
        <v>13365</v>
      </c>
      <c r="D38325" s="8">
        <v>513</v>
      </c>
      <c r="E38325" s="8">
        <v>0</v>
      </c>
      <c r="F38325" s="8">
        <v>993</v>
      </c>
    </row>
    <row r="38326" spans="1:6" ht="12.75">
      <c r="A38326" s="8">
        <v>43887.29586805556</v>
      </c>
      <c r="B38326" s="8" t="str">
        <f>HYPERLINK("https://twitter.com/_wni_","@_wni_")</f>
        <v>@_wni_</v>
      </c>
      <c r="C38326" s="8" t="s">
        <v>14846</v>
      </c>
      <c r="D38326" s="8">
        <v>2682</v>
      </c>
      <c r="E38326" s="8">
        <v>0</v>
      </c>
      <c r="F38326" s="8">
        <v>9</v>
      </c>
    </row>
    <row r="38327" spans="1:6" ht="12.75">
      <c r="A38327" s="8">
        <v>43887.295706018514</v>
      </c>
      <c r="B38327" s="8" t="str">
        <f>HYPERLINK("https://twitter.com/damario04","@damario04")</f>
        <v>@damario04</v>
      </c>
      <c r="C38327" s="8" t="s">
        <v>166</v>
      </c>
      <c r="D38327" s="8">
        <v>0</v>
      </c>
      <c r="E38327" s="8">
        <v>0</v>
      </c>
      <c r="F38327" s="8">
        <v>404</v>
      </c>
    </row>
    <row r="38328" spans="1:6" ht="12.75">
      <c r="A38328" s="8">
        <v>43887.295706018514</v>
      </c>
      <c r="B38328" s="8" t="str">
        <f>HYPERLINK("https://twitter.com/_wni_","@_wni_")</f>
        <v>@_wni_</v>
      </c>
      <c r="C38328" s="8" t="s">
        <v>14847</v>
      </c>
      <c r="D38328" s="8">
        <v>0</v>
      </c>
      <c r="E38328" s="8">
        <v>0</v>
      </c>
      <c r="F38328" s="8">
        <v>9</v>
      </c>
    </row>
    <row r="38329" spans="1:6" ht="12.75">
      <c r="A38329" s="8">
        <v>43887.295451388884</v>
      </c>
      <c r="B38329" s="8" t="str">
        <f>HYPERLINK("https://twitter.com/tatagakemana","@tatagakemana")</f>
        <v>@tatagakemana</v>
      </c>
      <c r="C38329" s="8" t="s">
        <v>14848</v>
      </c>
      <c r="D38329" s="8">
        <v>0</v>
      </c>
      <c r="E38329" s="8">
        <v>0</v>
      </c>
      <c r="F38329" s="8">
        <v>32</v>
      </c>
    </row>
    <row r="38330" spans="1:6" ht="12.75">
      <c r="A38330" s="8">
        <v>43887.295173611114</v>
      </c>
      <c r="B38330" s="8" t="str">
        <f>HYPERLINK("https://twitter.com/Dhanymandan","@Dhanymandan")</f>
        <v>@Dhanymandan</v>
      </c>
      <c r="C38330" s="8" t="s">
        <v>12143</v>
      </c>
      <c r="D38330" s="8">
        <v>20</v>
      </c>
      <c r="E38330" s="8">
        <v>0</v>
      </c>
      <c r="F38330" s="8">
        <v>598</v>
      </c>
    </row>
    <row r="38331" spans="1:6" ht="12.75">
      <c r="A38331" s="8">
        <v>43887.295138888891</v>
      </c>
      <c r="B38331" s="8" t="str">
        <f>HYPERLINK("https://twitter.com/dir1ku","@dir1ku")</f>
        <v>@dir1ku</v>
      </c>
      <c r="C38331" s="8" t="s">
        <v>14849</v>
      </c>
      <c r="D38331" s="8">
        <v>2</v>
      </c>
      <c r="E38331" s="8">
        <v>0</v>
      </c>
      <c r="F38331" s="8">
        <v>1657</v>
      </c>
    </row>
    <row r="38332" spans="1:6" ht="12.75">
      <c r="A38332" s="8">
        <v>43887.294722222221</v>
      </c>
      <c r="B38332" s="8" t="str">
        <f>HYPERLINK("https://twitter.com/Lily_Raimun","@Lily_Raimun")</f>
        <v>@Lily_Raimun</v>
      </c>
      <c r="C38332" s="8" t="s">
        <v>12143</v>
      </c>
      <c r="D38332" s="8">
        <v>20</v>
      </c>
      <c r="E38332" s="8">
        <v>0</v>
      </c>
      <c r="F38332" s="8">
        <v>1143</v>
      </c>
    </row>
    <row r="38333" spans="1:6" ht="12.75">
      <c r="A38333" s="8">
        <v>43887.294710648144</v>
      </c>
      <c r="B38333" s="8" t="str">
        <f t="shared" ref="B38333:B38334" si="573">HYPERLINK("https://twitter.com/NanakoNobuko","@NanakoNobuko")</f>
        <v>@NanakoNobuko</v>
      </c>
      <c r="C38333" s="8" t="s">
        <v>14106</v>
      </c>
      <c r="D38333" s="8">
        <v>146</v>
      </c>
      <c r="E38333" s="8">
        <v>0</v>
      </c>
      <c r="F38333" s="8">
        <v>2342</v>
      </c>
    </row>
    <row r="38334" spans="1:6" ht="12.75">
      <c r="A38334" s="8">
        <v>43887.294490740736</v>
      </c>
      <c r="B38334" s="8" t="str">
        <f t="shared" si="573"/>
        <v>@NanakoNobuko</v>
      </c>
      <c r="C38334" s="8" t="s">
        <v>13834</v>
      </c>
      <c r="D38334" s="8">
        <v>159</v>
      </c>
      <c r="E38334" s="8">
        <v>0</v>
      </c>
      <c r="F38334" s="8">
        <v>2342</v>
      </c>
    </row>
    <row r="38335" spans="1:6" ht="12.75">
      <c r="A38335" s="8">
        <v>43887.294374999998</v>
      </c>
      <c r="B38335" s="8" t="str">
        <f>HYPERLINK("https://twitter.com/princes35649018","@princes35649018")</f>
        <v>@princes35649018</v>
      </c>
      <c r="C38335" s="8" t="s">
        <v>2941</v>
      </c>
      <c r="D38335" s="8">
        <v>831</v>
      </c>
      <c r="E38335" s="8">
        <v>0</v>
      </c>
      <c r="F38335" s="8">
        <v>4</v>
      </c>
    </row>
    <row r="38336" spans="1:6" ht="12.75">
      <c r="A38336" s="8">
        <v>43887.294270833328</v>
      </c>
      <c r="B38336" s="8" t="str">
        <f>HYPERLINK("https://twitter.com/tribunnews","@tribunnews")</f>
        <v>@tribunnews</v>
      </c>
      <c r="C38336" s="8" t="s">
        <v>14850</v>
      </c>
      <c r="D38336" s="8">
        <v>2</v>
      </c>
      <c r="E38336" s="8">
        <v>4</v>
      </c>
      <c r="F38336" s="8">
        <v>881638</v>
      </c>
    </row>
    <row r="38337" spans="1:6" ht="12.75">
      <c r="A38337" s="8">
        <v>43887.294039351851</v>
      </c>
      <c r="B38337" s="8" t="str">
        <f>HYPERLINK("https://twitter.com/NanakoNobuko","@NanakoNobuko")</f>
        <v>@NanakoNobuko</v>
      </c>
      <c r="C38337" s="8" t="s">
        <v>8484</v>
      </c>
      <c r="D38337" s="8">
        <v>943</v>
      </c>
      <c r="E38337" s="8">
        <v>0</v>
      </c>
      <c r="F38337" s="8">
        <v>2342</v>
      </c>
    </row>
    <row r="38338" spans="1:6" ht="12.75">
      <c r="A38338" s="8">
        <v>43887.293935185182</v>
      </c>
      <c r="B38338" s="8" t="str">
        <f>HYPERLINK("https://twitter.com/lulusnya2022","@lulusnya2022")</f>
        <v>@lulusnya2022</v>
      </c>
      <c r="C38338" s="8" t="s">
        <v>13365</v>
      </c>
      <c r="D38338" s="8">
        <v>513</v>
      </c>
      <c r="E38338" s="8">
        <v>0</v>
      </c>
      <c r="F38338" s="8">
        <v>79</v>
      </c>
    </row>
    <row r="38339" spans="1:6" ht="12.75">
      <c r="A38339" s="8">
        <v>43887.293333333335</v>
      </c>
      <c r="B38339" s="8" t="str">
        <f>HYPERLINK("https://twitter.com/sorayavioglenna","@sorayavioglenna")</f>
        <v>@sorayavioglenna</v>
      </c>
      <c r="C38339" s="8" t="s">
        <v>2941</v>
      </c>
      <c r="D38339" s="8">
        <v>831</v>
      </c>
      <c r="E38339" s="8">
        <v>0</v>
      </c>
      <c r="F38339" s="8">
        <v>41</v>
      </c>
    </row>
    <row r="38340" spans="1:6" ht="12.75">
      <c r="A38340" s="8">
        <v>43887.293240740742</v>
      </c>
      <c r="B38340" s="8" t="str">
        <f>HYPERLINK("https://twitter.com/itswiwiet","@itswiwiet")</f>
        <v>@itswiwiet</v>
      </c>
      <c r="C38340" s="8" t="s">
        <v>13365</v>
      </c>
      <c r="D38340" s="8">
        <v>513</v>
      </c>
      <c r="E38340" s="8">
        <v>0</v>
      </c>
      <c r="F38340" s="8">
        <v>2633</v>
      </c>
    </row>
    <row r="38341" spans="1:6" ht="12.75">
      <c r="A38341" s="8">
        <v>43887.293194444443</v>
      </c>
      <c r="B38341" s="8" t="str">
        <f>HYPERLINK("https://twitter.com/denny_the_fish","@denny_the_fish")</f>
        <v>@denny_the_fish</v>
      </c>
      <c r="C38341" s="8" t="s">
        <v>13365</v>
      </c>
      <c r="D38341" s="8">
        <v>513</v>
      </c>
      <c r="E38341" s="8">
        <v>0</v>
      </c>
      <c r="F38341" s="8">
        <v>355</v>
      </c>
    </row>
    <row r="38342" spans="1:6" ht="12.75">
      <c r="A38342" s="8">
        <v>43887.293032407411</v>
      </c>
      <c r="B38342" s="8" t="str">
        <f>HYPERLINK("https://twitter.com/Plattically","@Plattically")</f>
        <v>@Plattically</v>
      </c>
      <c r="C38342" s="8" t="s">
        <v>14851</v>
      </c>
      <c r="D38342" s="8">
        <v>0</v>
      </c>
      <c r="E38342" s="8">
        <v>0</v>
      </c>
      <c r="F38342" s="8">
        <v>37</v>
      </c>
    </row>
    <row r="38343" spans="1:6" ht="12.75">
      <c r="A38343" s="8">
        <v>43887.292916666665</v>
      </c>
      <c r="B38343" s="8" t="str">
        <f>HYPERLINK("https://twitter.com/rudysamosir_","@rudysamosir_")</f>
        <v>@rudysamosir_</v>
      </c>
      <c r="C38343" s="8" t="s">
        <v>11183</v>
      </c>
      <c r="D38343" s="8">
        <v>285</v>
      </c>
      <c r="E38343" s="8">
        <v>0</v>
      </c>
      <c r="F38343" s="8">
        <v>402</v>
      </c>
    </row>
    <row r="38344" spans="1:6" ht="12.75">
      <c r="A38344" s="8">
        <v>43887.29277777778</v>
      </c>
      <c r="B38344" s="8" t="str">
        <f>HYPERLINK("https://twitter.com/krismastopo","@krismastopo")</f>
        <v>@krismastopo</v>
      </c>
      <c r="C38344" s="8" t="s">
        <v>14852</v>
      </c>
      <c r="D38344" s="8">
        <v>0</v>
      </c>
      <c r="E38344" s="8">
        <v>0</v>
      </c>
      <c r="F38344" s="8">
        <v>67</v>
      </c>
    </row>
    <row r="38345" spans="1:6" ht="12.75">
      <c r="A38345" s="8">
        <v>43887.292488425926</v>
      </c>
      <c r="B38345" s="8" t="str">
        <f>HYPERLINK("https://twitter.com/VerzaBoiboiboi","@VerzaBoiboiboi")</f>
        <v>@VerzaBoiboiboi</v>
      </c>
      <c r="C38345" s="8" t="s">
        <v>13365</v>
      </c>
      <c r="D38345" s="8">
        <v>513</v>
      </c>
      <c r="E38345" s="8">
        <v>0</v>
      </c>
      <c r="F38345" s="8">
        <v>7</v>
      </c>
    </row>
    <row r="38346" spans="1:6" ht="12.75">
      <c r="A38346" s="8">
        <v>43887.292129629626</v>
      </c>
      <c r="B38346" s="8" t="str">
        <f>HYPERLINK("https://twitter.com/yuris_man","@yuris_man")</f>
        <v>@yuris_man</v>
      </c>
      <c r="C38346" s="8" t="s">
        <v>13365</v>
      </c>
      <c r="D38346" s="8">
        <v>513</v>
      </c>
      <c r="E38346" s="8">
        <v>0</v>
      </c>
      <c r="F38346" s="8">
        <v>85</v>
      </c>
    </row>
    <row r="38347" spans="1:6" ht="12.75">
      <c r="A38347" s="8">
        <v>43887.291909722218</v>
      </c>
      <c r="B38347" s="8" t="str">
        <f>HYPERLINK("https://twitter.com/lilobrr","@lilobrr")</f>
        <v>@lilobrr</v>
      </c>
      <c r="C38347" s="8" t="s">
        <v>14853</v>
      </c>
      <c r="D38347" s="8">
        <v>0</v>
      </c>
      <c r="E38347" s="8">
        <v>1</v>
      </c>
      <c r="F38347" s="8">
        <v>132</v>
      </c>
    </row>
    <row r="38348" spans="1:6" ht="12.75">
      <c r="A38348" s="8">
        <v>43887.291689814811</v>
      </c>
      <c r="B38348" s="8" t="str">
        <f>HYPERLINK("https://twitter.com/Nadanjh2","@Nadanjh2")</f>
        <v>@Nadanjh2</v>
      </c>
      <c r="C38348" s="8" t="s">
        <v>13365</v>
      </c>
      <c r="D38348" s="8">
        <v>513</v>
      </c>
      <c r="E38348" s="8">
        <v>0</v>
      </c>
      <c r="F38348" s="8">
        <v>35</v>
      </c>
    </row>
    <row r="38349" spans="1:6" ht="12.75">
      <c r="A38349" s="8">
        <v>43887.291608796295</v>
      </c>
      <c r="B38349" s="8" t="str">
        <f>HYPERLINK("https://twitter.com/dewi_darmawati","@dewi_darmawati")</f>
        <v>@dewi_darmawati</v>
      </c>
      <c r="C38349" s="8" t="s">
        <v>14854</v>
      </c>
      <c r="D38349" s="8">
        <v>0</v>
      </c>
      <c r="E38349" s="8">
        <v>0</v>
      </c>
      <c r="F38349" s="8">
        <v>4286</v>
      </c>
    </row>
    <row r="38350" spans="1:6" ht="12.75">
      <c r="A38350" s="8">
        <v>43887.291539351849</v>
      </c>
      <c r="B38350" s="8" t="str">
        <f>HYPERLINK("https://twitter.com/a1s2d7","@a1s2d7")</f>
        <v>@a1s2d7</v>
      </c>
      <c r="C38350" s="8" t="s">
        <v>2940</v>
      </c>
      <c r="D38350" s="8">
        <v>2586</v>
      </c>
      <c r="E38350" s="8">
        <v>0</v>
      </c>
      <c r="F38350" s="8">
        <v>585</v>
      </c>
    </row>
    <row r="38351" spans="1:6" ht="12.75">
      <c r="A38351" s="8">
        <v>43887.291388888887</v>
      </c>
      <c r="B38351" s="8" t="str">
        <f>HYPERLINK("https://twitter.com/asni8228","@asni8228")</f>
        <v>@asni8228</v>
      </c>
      <c r="C38351" s="8" t="s">
        <v>2941</v>
      </c>
      <c r="D38351" s="8">
        <v>831</v>
      </c>
      <c r="E38351" s="8">
        <v>0</v>
      </c>
      <c r="F38351" s="8">
        <v>127</v>
      </c>
    </row>
    <row r="38352" spans="1:6" ht="12.75">
      <c r="A38352" s="8">
        <v>43887.291377314818</v>
      </c>
      <c r="B38352" s="8" t="str">
        <f>HYPERLINK("https://twitter.com/lilobrr","@lilobrr")</f>
        <v>@lilobrr</v>
      </c>
      <c r="C38352" s="8" t="s">
        <v>14855</v>
      </c>
      <c r="D38352" s="8">
        <v>0</v>
      </c>
      <c r="E38352" s="8">
        <v>1</v>
      </c>
      <c r="F38352" s="8">
        <v>132</v>
      </c>
    </row>
    <row r="38353" spans="1:6" ht="12.75">
      <c r="A38353" s="8">
        <v>43887.29111111111</v>
      </c>
      <c r="B38353" s="8" t="str">
        <f>HYPERLINK("https://twitter.com/05d95a682cea478","@05d95a682cea478")</f>
        <v>@05d95a682cea478</v>
      </c>
      <c r="C38353" s="8" t="s">
        <v>14856</v>
      </c>
      <c r="D38353" s="8">
        <v>0</v>
      </c>
      <c r="E38353" s="8">
        <v>0</v>
      </c>
      <c r="F38353" s="8">
        <v>10</v>
      </c>
    </row>
    <row r="38354" spans="1:6" ht="12.75">
      <c r="A38354" s="8">
        <v>43887.290833333333</v>
      </c>
      <c r="B38354" s="8" t="str">
        <f>HYPERLINK("https://twitter.com/aya_db","@aya_db")</f>
        <v>@aya_db</v>
      </c>
      <c r="C38354" s="8" t="s">
        <v>13365</v>
      </c>
      <c r="D38354" s="8">
        <v>513</v>
      </c>
      <c r="E38354" s="8">
        <v>0</v>
      </c>
      <c r="F38354" s="8">
        <v>320</v>
      </c>
    </row>
    <row r="38355" spans="1:6" ht="12.75">
      <c r="A38355" s="8">
        <v>43887.29078703704</v>
      </c>
      <c r="B38355" s="8" t="str">
        <f>HYPERLINK("https://twitter.com/Ooh1024","@Ooh1024")</f>
        <v>@Ooh1024</v>
      </c>
      <c r="C38355" s="8" t="s">
        <v>2940</v>
      </c>
      <c r="D38355" s="8">
        <v>2586</v>
      </c>
      <c r="E38355" s="8">
        <v>0</v>
      </c>
      <c r="F38355" s="8">
        <v>1174</v>
      </c>
    </row>
    <row r="38356" spans="1:6" ht="12.75">
      <c r="A38356" s="8">
        <v>43887.290682870371</v>
      </c>
      <c r="B38356" s="8" t="str">
        <f>HYPERLINK("https://twitter.com/suplex1127","@suplex1127")</f>
        <v>@suplex1127</v>
      </c>
      <c r="C38356" s="8" t="s">
        <v>8484</v>
      </c>
      <c r="D38356" s="8">
        <v>943</v>
      </c>
      <c r="E38356" s="8">
        <v>0</v>
      </c>
      <c r="F38356" s="8">
        <v>1137</v>
      </c>
    </row>
    <row r="38357" spans="1:6" ht="12.75">
      <c r="A38357" s="8">
        <v>43887.290520833332</v>
      </c>
      <c r="B38357" s="8" t="str">
        <f>HYPERLINK("https://twitter.com/nurfuadhi","@nurfuadhi")</f>
        <v>@nurfuadhi</v>
      </c>
      <c r="C38357" s="8" t="s">
        <v>13365</v>
      </c>
      <c r="D38357" s="8">
        <v>513</v>
      </c>
      <c r="E38357" s="8">
        <v>0</v>
      </c>
      <c r="F38357" s="8">
        <v>240</v>
      </c>
    </row>
    <row r="38358" spans="1:6" ht="12.75">
      <c r="A38358" s="8">
        <v>43887.290486111116</v>
      </c>
      <c r="B38358" s="8" t="str">
        <f>HYPERLINK("https://twitter.com/boodoughnut","@boodoughnut")</f>
        <v>@boodoughnut</v>
      </c>
      <c r="C38358" s="8" t="s">
        <v>14831</v>
      </c>
      <c r="D38358" s="8">
        <v>60</v>
      </c>
      <c r="E38358" s="8">
        <v>0</v>
      </c>
      <c r="F38358" s="8">
        <v>800</v>
      </c>
    </row>
    <row r="38359" spans="1:6" ht="12.75">
      <c r="A38359" s="8">
        <v>43887.290335648147</v>
      </c>
      <c r="B38359" s="8" t="str">
        <f>HYPERLINK("https://twitter.com/Ooh1024","@Ooh1024")</f>
        <v>@Ooh1024</v>
      </c>
      <c r="C38359" s="8" t="s">
        <v>8484</v>
      </c>
      <c r="D38359" s="8">
        <v>943</v>
      </c>
      <c r="E38359" s="8">
        <v>0</v>
      </c>
      <c r="F38359" s="8">
        <v>1174</v>
      </c>
    </row>
    <row r="38360" spans="1:6" ht="12.75">
      <c r="A38360" s="8">
        <v>43887.290277777778</v>
      </c>
      <c r="B38360" s="8" t="str">
        <f>HYPERLINK("https://twitter.com/Bagus_1403","@Bagus_1403")</f>
        <v>@Bagus_1403</v>
      </c>
      <c r="C38360" s="8" t="s">
        <v>2941</v>
      </c>
      <c r="D38360" s="8">
        <v>831</v>
      </c>
      <c r="E38360" s="8">
        <v>0</v>
      </c>
      <c r="F38360" s="8">
        <v>4</v>
      </c>
    </row>
    <row r="38361" spans="1:6" ht="12.75">
      <c r="A38361" s="8">
        <v>43887.290254629625</v>
      </c>
      <c r="B38361" s="8" t="str">
        <f>HYPERLINK("https://twitter.com/AriestyYin","@AriestyYin")</f>
        <v>@AriestyYin</v>
      </c>
      <c r="C38361" s="8" t="s">
        <v>2941</v>
      </c>
      <c r="D38361" s="8">
        <v>831</v>
      </c>
      <c r="E38361" s="8">
        <v>0</v>
      </c>
      <c r="F38361" s="8">
        <v>89</v>
      </c>
    </row>
    <row r="38362" spans="1:6" ht="12.75">
      <c r="A38362" s="8">
        <v>43887.290196759262</v>
      </c>
      <c r="B38362" s="8" t="str">
        <f>HYPERLINK("https://twitter.com/CetakBalikpapan","@CetakBalikpapan")</f>
        <v>@CetakBalikpapan</v>
      </c>
      <c r="C38362" s="8" t="s">
        <v>12143</v>
      </c>
      <c r="D38362" s="8">
        <v>20</v>
      </c>
      <c r="E38362" s="8">
        <v>0</v>
      </c>
      <c r="F38362" s="8">
        <v>1680</v>
      </c>
    </row>
    <row r="38363" spans="1:6" ht="12.75">
      <c r="A38363" s="8">
        <v>43887.290150462963</v>
      </c>
      <c r="B38363" s="8" t="str">
        <f>HYPERLINK("https://twitter.com/suplex1127","@suplex1127")</f>
        <v>@suplex1127</v>
      </c>
      <c r="C38363" s="8" t="s">
        <v>2940</v>
      </c>
      <c r="D38363" s="8">
        <v>2586</v>
      </c>
      <c r="E38363" s="8">
        <v>0</v>
      </c>
      <c r="F38363" s="8">
        <v>1137</v>
      </c>
    </row>
    <row r="38364" spans="1:6" ht="12.75">
      <c r="A38364" s="8">
        <v>43887.29005787037</v>
      </c>
      <c r="B38364" s="8" t="str">
        <f>HYPERLINK("https://twitter.com/chymbumGZB","@chymbumGZB")</f>
        <v>@chymbumGZB</v>
      </c>
      <c r="C38364" s="8" t="s">
        <v>13365</v>
      </c>
      <c r="D38364" s="8">
        <v>513</v>
      </c>
      <c r="E38364" s="8">
        <v>0</v>
      </c>
      <c r="F38364" s="8">
        <v>1829</v>
      </c>
    </row>
    <row r="38365" spans="1:6" ht="12.75">
      <c r="A38365" s="8">
        <v>43887.289756944447</v>
      </c>
      <c r="B38365" s="8" t="str">
        <f>HYPERLINK("https://twitter.com/virgoandco","@virgoandco")</f>
        <v>@virgoandco</v>
      </c>
      <c r="C38365" s="8" t="s">
        <v>2940</v>
      </c>
      <c r="D38365" s="8">
        <v>2586</v>
      </c>
      <c r="E38365" s="8">
        <v>0</v>
      </c>
      <c r="F38365" s="8">
        <v>1732</v>
      </c>
    </row>
    <row r="38366" spans="1:6" ht="12.75">
      <c r="A38366" s="8">
        <v>43887.289571759262</v>
      </c>
      <c r="B38366" s="8" t="str">
        <f>HYPERLINK("https://twitter.com/dewizahara94","@dewizahara94")</f>
        <v>@dewizahara94</v>
      </c>
      <c r="C38366" s="8" t="s">
        <v>12143</v>
      </c>
      <c r="D38366" s="8">
        <v>20</v>
      </c>
      <c r="E38366" s="8">
        <v>0</v>
      </c>
      <c r="F38366" s="8">
        <v>35</v>
      </c>
    </row>
    <row r="38367" spans="1:6" ht="12.75">
      <c r="A38367" s="8">
        <v>43887.2893287037</v>
      </c>
      <c r="B38367" s="8" t="str">
        <f>HYPERLINK("https://twitter.com/Nuke_Fit","@Nuke_Fit")</f>
        <v>@Nuke_Fit</v>
      </c>
      <c r="C38367" s="8" t="s">
        <v>11183</v>
      </c>
      <c r="D38367" s="8">
        <v>285</v>
      </c>
      <c r="E38367" s="8">
        <v>0</v>
      </c>
      <c r="F38367" s="8">
        <v>410</v>
      </c>
    </row>
    <row r="38368" spans="1:6" ht="12.75">
      <c r="A38368" s="8">
        <v>43887.288981481484</v>
      </c>
      <c r="B38368" s="8" t="str">
        <f>HYPERLINK("https://twitter.com/Macan4sia","@Macan4sia")</f>
        <v>@Macan4sia</v>
      </c>
      <c r="C38368" s="8" t="s">
        <v>14857</v>
      </c>
      <c r="D38368" s="8">
        <v>0</v>
      </c>
      <c r="E38368" s="8">
        <v>0</v>
      </c>
      <c r="F38368" s="8">
        <v>185</v>
      </c>
    </row>
    <row r="38369" spans="1:6" ht="12.75">
      <c r="A38369" s="8">
        <v>43887.288611111115</v>
      </c>
      <c r="B38369" s="8" t="str">
        <f>HYPERLINK("https://twitter.com/IoTID2","@IoTID2")</f>
        <v>@IoTID2</v>
      </c>
      <c r="C38369" s="8" t="s">
        <v>14225</v>
      </c>
      <c r="D38369" s="8">
        <v>0</v>
      </c>
      <c r="E38369" s="8">
        <v>0</v>
      </c>
      <c r="F38369" s="8">
        <v>381</v>
      </c>
    </row>
    <row r="38370" spans="1:6" ht="12.75">
      <c r="A38370" s="8">
        <v>43887.288587962961</v>
      </c>
      <c r="B38370" s="8" t="str">
        <f>HYPERLINK("https://twitter.com/WartawanPensiun","@WartawanPensiun")</f>
        <v>@WartawanPensiun</v>
      </c>
      <c r="C38370" s="8" t="s">
        <v>12143</v>
      </c>
      <c r="D38370" s="8">
        <v>20</v>
      </c>
      <c r="E38370" s="8">
        <v>0</v>
      </c>
      <c r="F38370" s="8">
        <v>6540</v>
      </c>
    </row>
    <row r="38371" spans="1:6" ht="12.75">
      <c r="A38371" s="8">
        <v>43887.28833333333</v>
      </c>
      <c r="B38371" s="8" t="str">
        <f>HYPERLINK("https://twitter.com/YaaDumas","@YaaDumas")</f>
        <v>@YaaDumas</v>
      </c>
      <c r="C38371" s="8" t="s">
        <v>2941</v>
      </c>
      <c r="D38371" s="8">
        <v>831</v>
      </c>
      <c r="E38371" s="8">
        <v>0</v>
      </c>
      <c r="F38371" s="8">
        <v>26</v>
      </c>
    </row>
    <row r="38372" spans="1:6" ht="12.75">
      <c r="A38372" s="8">
        <v>43887.288298611107</v>
      </c>
      <c r="B38372" s="8" t="str">
        <f>HYPERLINK("https://twitter.com/khairulyuslizar","@khairulyuslizar")</f>
        <v>@khairulyuslizar</v>
      </c>
      <c r="C38372" s="8" t="s">
        <v>13365</v>
      </c>
      <c r="D38372" s="8">
        <v>513</v>
      </c>
      <c r="E38372" s="8">
        <v>0</v>
      </c>
      <c r="F38372" s="8">
        <v>706</v>
      </c>
    </row>
    <row r="38373" spans="1:6" ht="12.75">
      <c r="A38373" s="8">
        <v>43887.288252314815</v>
      </c>
      <c r="B38373" s="8" t="str">
        <f>HYPERLINK("https://twitter.com/wigunaary1","@wigunaary1")</f>
        <v>@wigunaary1</v>
      </c>
      <c r="C38373" s="8" t="s">
        <v>14858</v>
      </c>
      <c r="D38373" s="8">
        <v>296</v>
      </c>
      <c r="E38373" s="8">
        <v>0</v>
      </c>
      <c r="F38373" s="8">
        <v>11</v>
      </c>
    </row>
    <row r="38374" spans="1:6" ht="12.75">
      <c r="A38374" s="8">
        <v>43887.28806712963</v>
      </c>
      <c r="B38374" s="8" t="str">
        <f>HYPERLINK("https://twitter.com/wonho_luvmbb","@wonho_luvmbb")</f>
        <v>@wonho_luvmbb</v>
      </c>
      <c r="C38374" s="8" t="s">
        <v>14831</v>
      </c>
      <c r="D38374" s="8">
        <v>60</v>
      </c>
      <c r="E38374" s="8">
        <v>0</v>
      </c>
      <c r="F38374" s="8">
        <v>2150</v>
      </c>
    </row>
    <row r="38375" spans="1:6" ht="12.75">
      <c r="A38375" s="8">
        <v>43887.28806712963</v>
      </c>
      <c r="B38375" s="8" t="str">
        <f>HYPERLINK("https://twitter.com/AshaFalsafia1","@AshaFalsafia1")</f>
        <v>@AshaFalsafia1</v>
      </c>
      <c r="C38375" s="8" t="s">
        <v>2941</v>
      </c>
      <c r="D38375" s="8">
        <v>831</v>
      </c>
      <c r="E38375" s="8">
        <v>0</v>
      </c>
      <c r="F38375" s="8">
        <v>202</v>
      </c>
    </row>
    <row r="38376" spans="1:6" ht="12.75">
      <c r="A38376" s="8">
        <v>43887.287962962961</v>
      </c>
      <c r="B38376" s="8" t="str">
        <f>HYPERLINK("https://twitter.com/dnoto_s","@dnoto_s")</f>
        <v>@dnoto_s</v>
      </c>
      <c r="C38376" s="8" t="s">
        <v>13365</v>
      </c>
      <c r="D38376" s="8">
        <v>513</v>
      </c>
      <c r="E38376" s="8">
        <v>0</v>
      </c>
      <c r="F38376" s="8">
        <v>98</v>
      </c>
    </row>
    <row r="38377" spans="1:6" ht="12.75">
      <c r="A38377" s="8">
        <v>43887.287800925929</v>
      </c>
      <c r="B38377" s="8" t="str">
        <f>HYPERLINK("https://twitter.com/Kaj4o","@Kaj4o")</f>
        <v>@Kaj4o</v>
      </c>
      <c r="C38377" s="8" t="s">
        <v>13365</v>
      </c>
      <c r="D38377" s="8">
        <v>513</v>
      </c>
      <c r="E38377" s="8">
        <v>0</v>
      </c>
      <c r="F38377" s="8">
        <v>674</v>
      </c>
    </row>
    <row r="38378" spans="1:6" ht="12.75">
      <c r="A38378" s="8">
        <v>43887.287476851852</v>
      </c>
      <c r="B38378" s="8" t="str">
        <f>HYPERLINK("https://twitter.com/Nigellasativa5","@Nigellasativa5")</f>
        <v>@Nigellasativa5</v>
      </c>
      <c r="C38378" s="8" t="s">
        <v>13365</v>
      </c>
      <c r="D38378" s="8">
        <v>513</v>
      </c>
      <c r="E38378" s="8">
        <v>0</v>
      </c>
      <c r="F38378" s="8">
        <v>4150</v>
      </c>
    </row>
    <row r="38379" spans="1:6" ht="12.75">
      <c r="A38379" s="8">
        <v>43887.287407407406</v>
      </c>
      <c r="B38379" s="8" t="str">
        <f>HYPERLINK("https://twitter.com/oktalubis602","@oktalubis602")</f>
        <v>@oktalubis602</v>
      </c>
      <c r="C38379" s="8" t="s">
        <v>13365</v>
      </c>
      <c r="D38379" s="8">
        <v>513</v>
      </c>
      <c r="E38379" s="8">
        <v>0</v>
      </c>
      <c r="F38379" s="8">
        <v>11</v>
      </c>
    </row>
    <row r="38380" spans="1:6" ht="12.75">
      <c r="A38380" s="8">
        <v>43887.287245370375</v>
      </c>
      <c r="B38380" s="8" t="str">
        <f>HYPERLINK("https://twitter.com/heyhayi","@heyhayi")</f>
        <v>@heyhayi</v>
      </c>
      <c r="C38380" s="8" t="s">
        <v>14859</v>
      </c>
      <c r="D38380" s="8">
        <v>64</v>
      </c>
      <c r="E38380" s="8">
        <v>0</v>
      </c>
      <c r="F38380" s="8">
        <v>95</v>
      </c>
    </row>
    <row r="38381" spans="1:6" ht="12.75">
      <c r="A38381" s="8">
        <v>43887.28707175926</v>
      </c>
      <c r="B38381" s="8" t="str">
        <f>HYPERLINK("https://twitter.com/CakMan70489610","@CakMan70489610")</f>
        <v>@CakMan70489610</v>
      </c>
      <c r="C38381" s="8" t="s">
        <v>13365</v>
      </c>
      <c r="D38381" s="8">
        <v>513</v>
      </c>
      <c r="E38381" s="8">
        <v>0</v>
      </c>
      <c r="F38381" s="8">
        <v>499</v>
      </c>
    </row>
    <row r="38382" spans="1:6" ht="12.75">
      <c r="A38382" s="8">
        <v>43887.287037037036</v>
      </c>
      <c r="B38382" s="8" t="str">
        <f>HYPERLINK("https://twitter.com/rio_yosua","@rio_yosua")</f>
        <v>@rio_yosua</v>
      </c>
      <c r="C38382" s="8" t="s">
        <v>11183</v>
      </c>
      <c r="D38382" s="8">
        <v>285</v>
      </c>
      <c r="E38382" s="8">
        <v>0</v>
      </c>
      <c r="F38382" s="8">
        <v>182</v>
      </c>
    </row>
    <row r="38383" spans="1:6" ht="12.75">
      <c r="A38383" s="8">
        <v>43887.286377314813</v>
      </c>
      <c r="B38383" s="8" t="str">
        <f>HYPERLINK("https://twitter.com/uburubursakti","@uburubursakti")</f>
        <v>@uburubursakti</v>
      </c>
      <c r="C38383" s="8" t="s">
        <v>14860</v>
      </c>
      <c r="D38383" s="8">
        <v>0</v>
      </c>
      <c r="E38383" s="8">
        <v>4</v>
      </c>
      <c r="F38383" s="8">
        <v>32</v>
      </c>
    </row>
    <row r="38384" spans="1:6" ht="12.75">
      <c r="A38384" s="8">
        <v>43887.285960648151</v>
      </c>
      <c r="B38384" s="8" t="str">
        <f>HYPERLINK("https://twitter.com/YaaDumas","@YaaDumas")</f>
        <v>@YaaDumas</v>
      </c>
      <c r="C38384" s="8" t="s">
        <v>13365</v>
      </c>
      <c r="D38384" s="8">
        <v>513</v>
      </c>
      <c r="E38384" s="8">
        <v>0</v>
      </c>
      <c r="F38384" s="8">
        <v>26</v>
      </c>
    </row>
    <row r="38385" spans="1:6" ht="12.75">
      <c r="A38385" s="8">
        <v>43887.285324074073</v>
      </c>
      <c r="B38385" s="8" t="str">
        <f>HYPERLINK("https://twitter.com/dagelan_dunia","@dagelan_dunia")</f>
        <v>@dagelan_dunia</v>
      </c>
      <c r="C38385" s="8" t="s">
        <v>13365</v>
      </c>
      <c r="D38385" s="8">
        <v>513</v>
      </c>
      <c r="E38385" s="8">
        <v>0</v>
      </c>
      <c r="F38385" s="8">
        <v>187</v>
      </c>
    </row>
    <row r="38386" spans="1:6" ht="12.75">
      <c r="A38386" s="8">
        <v>43887.285312499997</v>
      </c>
      <c r="B38386" s="8" t="str">
        <f>HYPERLINK("https://twitter.com/Surya64846115","@Surya64846115")</f>
        <v>@Surya64846115</v>
      </c>
      <c r="C38386" s="8" t="s">
        <v>2941</v>
      </c>
      <c r="D38386" s="8">
        <v>831</v>
      </c>
      <c r="E38386" s="8">
        <v>0</v>
      </c>
      <c r="F38386" s="8">
        <v>11</v>
      </c>
    </row>
    <row r="38387" spans="1:6" ht="12.75">
      <c r="A38387" s="8">
        <v>43887.284513888888</v>
      </c>
      <c r="B38387" s="8" t="str">
        <f>HYPERLINK("https://twitter.com/thepatriot2019","@thepatriot2019")</f>
        <v>@thepatriot2019</v>
      </c>
      <c r="C38387" s="8" t="s">
        <v>14861</v>
      </c>
      <c r="D38387" s="8">
        <v>0</v>
      </c>
      <c r="E38387" s="8">
        <v>0</v>
      </c>
      <c r="F38387" s="8">
        <v>380</v>
      </c>
    </row>
    <row r="38388" spans="1:6" ht="12.75">
      <c r="A38388" s="8">
        <v>43887.284328703703</v>
      </c>
      <c r="B38388" s="8" t="str">
        <f>HYPERLINK("https://twitter.com/jiieAs891017","@jiieAs891017")</f>
        <v>@jiieAs891017</v>
      </c>
      <c r="C38388" s="8" t="s">
        <v>12143</v>
      </c>
      <c r="D38388" s="8">
        <v>20</v>
      </c>
      <c r="E38388" s="8">
        <v>0</v>
      </c>
      <c r="F38388" s="8">
        <v>22</v>
      </c>
    </row>
    <row r="38389" spans="1:6" ht="12.75">
      <c r="A38389" s="8">
        <v>43887.284259259264</v>
      </c>
      <c r="B38389" s="8" t="str">
        <f>HYPERLINK("https://twitter.com/ChadijahSarah","@ChadijahSarah")</f>
        <v>@ChadijahSarah</v>
      </c>
      <c r="C38389" s="8" t="s">
        <v>2941</v>
      </c>
      <c r="D38389" s="8">
        <v>831</v>
      </c>
      <c r="E38389" s="8">
        <v>0</v>
      </c>
      <c r="F38389" s="8">
        <v>35</v>
      </c>
    </row>
    <row r="38390" spans="1:6" ht="12.75">
      <c r="A38390" s="8">
        <v>43887.283807870372</v>
      </c>
      <c r="B38390" s="8" t="str">
        <f>HYPERLINK("https://twitter.com/_wni_","@_wni_")</f>
        <v>@_wni_</v>
      </c>
      <c r="C38390" s="8" t="s">
        <v>14862</v>
      </c>
      <c r="D38390" s="8">
        <v>0</v>
      </c>
      <c r="E38390" s="8">
        <v>0</v>
      </c>
      <c r="F38390" s="8">
        <v>9</v>
      </c>
    </row>
    <row r="38391" spans="1:6" ht="12.75">
      <c r="A38391" s="8">
        <v>43887.283229166671</v>
      </c>
      <c r="B38391" s="8" t="str">
        <f>HYPERLINK("https://twitter.com/syahroeladjah","@syahroeladjah")</f>
        <v>@syahroeladjah</v>
      </c>
      <c r="C38391" s="8" t="s">
        <v>14696</v>
      </c>
      <c r="D38391" s="8">
        <v>3</v>
      </c>
      <c r="E38391" s="8">
        <v>0</v>
      </c>
      <c r="F38391" s="8">
        <v>1297</v>
      </c>
    </row>
    <row r="38392" spans="1:6" ht="12.75">
      <c r="A38392" s="8">
        <v>43887.283148148148</v>
      </c>
      <c r="B38392" s="8" t="str">
        <f>HYPERLINK("https://twitter.com/yuli_wand","@yuli_wand")</f>
        <v>@yuli_wand</v>
      </c>
      <c r="C38392" s="8" t="s">
        <v>2941</v>
      </c>
      <c r="D38392" s="8">
        <v>831</v>
      </c>
      <c r="E38392" s="8">
        <v>0</v>
      </c>
      <c r="F38392" s="8">
        <v>2</v>
      </c>
    </row>
    <row r="38393" spans="1:6" ht="12.75">
      <c r="A38393" s="8">
        <v>43887.282754629632</v>
      </c>
      <c r="B38393" s="8" t="str">
        <f>HYPERLINK("https://twitter.com/tiaraadm19","@tiaraadm19")</f>
        <v>@tiaraadm19</v>
      </c>
      <c r="C38393" s="8" t="s">
        <v>2941</v>
      </c>
      <c r="D38393" s="8">
        <v>831</v>
      </c>
      <c r="E38393" s="8">
        <v>0</v>
      </c>
      <c r="F38393" s="8">
        <v>178</v>
      </c>
    </row>
    <row r="38394" spans="1:6" ht="12.75">
      <c r="A38394" s="8">
        <v>43887.282326388886</v>
      </c>
      <c r="B38394" s="8" t="str">
        <f>HYPERLINK("https://twitter.com/telltalefeliks","@telltalefeliks")</f>
        <v>@telltalefeliks</v>
      </c>
      <c r="C38394" s="8" t="s">
        <v>2941</v>
      </c>
      <c r="D38394" s="8">
        <v>831</v>
      </c>
      <c r="E38394" s="8">
        <v>0</v>
      </c>
      <c r="F38394" s="8">
        <v>149</v>
      </c>
    </row>
    <row r="38395" spans="1:6" ht="12.75">
      <c r="A38395" s="8">
        <v>43887.282118055555</v>
      </c>
      <c r="B38395" s="8" t="str">
        <f>HYPERLINK("https://twitter.com/NOGOSASTRO","@NOGOSASTRO")</f>
        <v>@NOGOSASTRO</v>
      </c>
      <c r="C38395" s="8" t="s">
        <v>12143</v>
      </c>
      <c r="D38395" s="8">
        <v>20</v>
      </c>
      <c r="E38395" s="8">
        <v>0</v>
      </c>
      <c r="F38395" s="8">
        <v>349</v>
      </c>
    </row>
    <row r="38396" spans="1:6" ht="12.75">
      <c r="A38396" s="8">
        <v>43887.281863425931</v>
      </c>
      <c r="B38396" s="8" t="str">
        <f>HYPERLINK("https://twitter.com/KangDan65112920","@KangDan65112920")</f>
        <v>@KangDan65112920</v>
      </c>
      <c r="C38396" s="8" t="s">
        <v>13365</v>
      </c>
      <c r="D38396" s="8">
        <v>513</v>
      </c>
      <c r="E38396" s="8">
        <v>0</v>
      </c>
      <c r="F38396" s="8">
        <v>64</v>
      </c>
    </row>
    <row r="38397" spans="1:6" ht="12.75">
      <c r="A38397" s="8">
        <v>43887.281736111108</v>
      </c>
      <c r="B38397" s="8" t="str">
        <f>HYPERLINK("https://twitter.com/_wni_","@_wni_")</f>
        <v>@_wni_</v>
      </c>
      <c r="C38397" s="8" t="s">
        <v>14863</v>
      </c>
      <c r="D38397" s="8">
        <v>163</v>
      </c>
      <c r="E38397" s="8">
        <v>0</v>
      </c>
      <c r="F38397" s="8">
        <v>9</v>
      </c>
    </row>
    <row r="38398" spans="1:6" ht="12.75">
      <c r="A38398" s="8">
        <v>43887.281435185185</v>
      </c>
      <c r="B38398" s="8" t="str">
        <f>HYPERLINK("https://twitter.com/daelyshit","@daelyshit")</f>
        <v>@daelyshit</v>
      </c>
      <c r="C38398" s="8" t="s">
        <v>2941</v>
      </c>
      <c r="D38398" s="8">
        <v>831</v>
      </c>
      <c r="E38398" s="8">
        <v>0</v>
      </c>
      <c r="F38398" s="8">
        <v>160</v>
      </c>
    </row>
    <row r="38399" spans="1:6" ht="12.75">
      <c r="A38399" s="8">
        <v>43887.281273148154</v>
      </c>
      <c r="B38399" s="8" t="str">
        <f>HYPERLINK("https://twitter.com/NotOurBaby1","@NotOurBaby1")</f>
        <v>@NotOurBaby1</v>
      </c>
      <c r="C38399" s="8" t="s">
        <v>13365</v>
      </c>
      <c r="D38399" s="8">
        <v>513</v>
      </c>
      <c r="E38399" s="8">
        <v>0</v>
      </c>
      <c r="F38399" s="8">
        <v>1</v>
      </c>
    </row>
    <row r="38400" spans="1:6" ht="12.75">
      <c r="A38400" s="8">
        <v>43887.280821759261</v>
      </c>
      <c r="B38400" s="8" t="str">
        <f>HYPERLINK("https://twitter.com/_wni_","@_wni_")</f>
        <v>@_wni_</v>
      </c>
      <c r="C38400" s="8" t="s">
        <v>14864</v>
      </c>
      <c r="D38400" s="8">
        <v>7002</v>
      </c>
      <c r="E38400" s="8">
        <v>0</v>
      </c>
      <c r="F38400" s="8">
        <v>9</v>
      </c>
    </row>
    <row r="38401" spans="1:6" ht="12.75">
      <c r="A38401" s="8">
        <v>43887.280682870369</v>
      </c>
      <c r="B38401" s="8" t="str">
        <f>HYPERLINK("https://twitter.com/ginanjar_khaq","@ginanjar_khaq")</f>
        <v>@ginanjar_khaq</v>
      </c>
      <c r="C38401" s="8" t="s">
        <v>2941</v>
      </c>
      <c r="D38401" s="8">
        <v>831</v>
      </c>
      <c r="E38401" s="8">
        <v>0</v>
      </c>
      <c r="F38401" s="8">
        <v>497</v>
      </c>
    </row>
    <row r="38402" spans="1:6" ht="12.75">
      <c r="A38402" s="8">
        <v>43887.280624999999</v>
      </c>
      <c r="B38402" s="8" t="str">
        <f>HYPERLINK("https://twitter.com/feerzylant","@feerzylant")</f>
        <v>@feerzylant</v>
      </c>
      <c r="C38402" s="8" t="s">
        <v>13365</v>
      </c>
      <c r="D38402" s="8">
        <v>513</v>
      </c>
      <c r="E38402" s="8">
        <v>0</v>
      </c>
      <c r="F38402" s="8">
        <v>451</v>
      </c>
    </row>
    <row r="38403" spans="1:6" ht="12.75">
      <c r="A38403" s="8">
        <v>43887.280405092592</v>
      </c>
      <c r="B38403" s="8" t="str">
        <f>HYPERLINK("https://twitter.com/hal_ddi","@hal_ddi")</f>
        <v>@hal_ddi</v>
      </c>
      <c r="C38403" s="8" t="s">
        <v>14236</v>
      </c>
      <c r="D38403" s="8">
        <v>0</v>
      </c>
      <c r="E38403" s="8">
        <v>0</v>
      </c>
      <c r="F38403" s="8">
        <v>532</v>
      </c>
    </row>
    <row r="38404" spans="1:6" ht="12.75">
      <c r="A38404" s="8">
        <v>43887.280324074076</v>
      </c>
      <c r="B38404" s="8" t="str">
        <f>HYPERLINK("https://twitter.com/ricopelitabaru","@ricopelitabaru")</f>
        <v>@ricopelitabaru</v>
      </c>
      <c r="C38404" s="8" t="s">
        <v>13365</v>
      </c>
      <c r="D38404" s="8">
        <v>513</v>
      </c>
      <c r="E38404" s="8">
        <v>0</v>
      </c>
      <c r="F38404" s="8">
        <v>56</v>
      </c>
    </row>
    <row r="38405" spans="1:6" ht="12.75">
      <c r="A38405" s="8">
        <v>43887.279456018514</v>
      </c>
      <c r="B38405" s="8" t="str">
        <f>HYPERLINK("https://twitter.com/yogesh_boxer","@yogesh_boxer")</f>
        <v>@yogesh_boxer</v>
      </c>
      <c r="C38405" s="8" t="s">
        <v>14865</v>
      </c>
      <c r="D38405" s="8">
        <v>0</v>
      </c>
      <c r="E38405" s="8">
        <v>0</v>
      </c>
      <c r="F38405" s="8">
        <v>10</v>
      </c>
    </row>
    <row r="38406" spans="1:6" ht="12.75">
      <c r="A38406" s="8">
        <v>43887.279432870375</v>
      </c>
      <c r="B38406" s="8" t="str">
        <f>HYPERLINK("https://twitter.com/kyururin325","@kyururin325")</f>
        <v>@kyururin325</v>
      </c>
      <c r="C38406" s="8" t="s">
        <v>8484</v>
      </c>
      <c r="D38406" s="8">
        <v>943</v>
      </c>
      <c r="E38406" s="8">
        <v>0</v>
      </c>
      <c r="F38406" s="8">
        <v>193</v>
      </c>
    </row>
    <row r="38407" spans="1:6" ht="12.75">
      <c r="A38407" s="8">
        <v>43887.278842592597</v>
      </c>
      <c r="B38407" s="8" t="str">
        <f>HYPERLINK("https://twitter.com/dean3th","@dean3th")</f>
        <v>@dean3th</v>
      </c>
      <c r="C38407" s="8" t="s">
        <v>14734</v>
      </c>
      <c r="D38407" s="8">
        <v>15</v>
      </c>
      <c r="E38407" s="8">
        <v>0</v>
      </c>
      <c r="F38407" s="8">
        <v>454</v>
      </c>
    </row>
    <row r="38408" spans="1:6" ht="12.75">
      <c r="A38408" s="8">
        <v>43887.278356481482</v>
      </c>
      <c r="B38408" s="8" t="str">
        <f>HYPERLINK("https://twitter.com/walreds","@walreds")</f>
        <v>@walreds</v>
      </c>
      <c r="C38408" s="8" t="s">
        <v>14129</v>
      </c>
      <c r="D38408" s="8">
        <v>10</v>
      </c>
      <c r="E38408" s="8">
        <v>0</v>
      </c>
      <c r="F38408" s="8">
        <v>152</v>
      </c>
    </row>
    <row r="38409" spans="1:6" ht="12.75">
      <c r="A38409" s="8">
        <v>43887.277997685189</v>
      </c>
      <c r="B38409" s="8" t="str">
        <f>HYPERLINK("https://twitter.com/BenedictaLL","@BenedictaLL")</f>
        <v>@BenedictaLL</v>
      </c>
      <c r="C38409" s="8" t="s">
        <v>2941</v>
      </c>
      <c r="D38409" s="8">
        <v>831</v>
      </c>
      <c r="E38409" s="8">
        <v>0</v>
      </c>
      <c r="F38409" s="8">
        <v>609</v>
      </c>
    </row>
    <row r="38410" spans="1:6" ht="12.75">
      <c r="A38410" s="8">
        <v>43887.277777777781</v>
      </c>
      <c r="B38410" s="8" t="str">
        <f>HYPERLINK("https://twitter.com/WahyuEkoW","@WahyuEkoW")</f>
        <v>@WahyuEkoW</v>
      </c>
      <c r="C38410" s="8" t="s">
        <v>13365</v>
      </c>
      <c r="D38410" s="8">
        <v>513</v>
      </c>
      <c r="E38410" s="8">
        <v>0</v>
      </c>
      <c r="F38410" s="8">
        <v>463</v>
      </c>
    </row>
    <row r="38411" spans="1:6" ht="12.75">
      <c r="A38411" s="8">
        <v>43887.277453703704</v>
      </c>
      <c r="B38411" s="8" t="str">
        <f>HYPERLINK("https://twitter.com/tatsumi08171965","@tatsumi08171965")</f>
        <v>@tatsumi08171965</v>
      </c>
      <c r="C38411" s="8" t="s">
        <v>2940</v>
      </c>
      <c r="D38411" s="8">
        <v>2586</v>
      </c>
      <c r="E38411" s="8">
        <v>0</v>
      </c>
      <c r="F38411" s="8">
        <v>72</v>
      </c>
    </row>
    <row r="38412" spans="1:6" ht="12.75">
      <c r="A38412" s="8">
        <v>43887.277407407411</v>
      </c>
      <c r="B38412" s="8" t="str">
        <f>HYPERLINK("https://twitter.com/Alfiani_Guntari","@Alfiani_Guntari")</f>
        <v>@Alfiani_Guntari</v>
      </c>
      <c r="C38412" s="8" t="s">
        <v>13365</v>
      </c>
      <c r="D38412" s="8">
        <v>513</v>
      </c>
      <c r="E38412" s="8">
        <v>0</v>
      </c>
      <c r="F38412" s="8">
        <v>293</v>
      </c>
    </row>
    <row r="38413" spans="1:6" ht="12.75">
      <c r="A38413" s="8">
        <v>43887.277384259258</v>
      </c>
      <c r="B38413" s="8" t="str">
        <f>HYPERLINK("https://twitter.com/heonitrash","@heonitrash")</f>
        <v>@heonitrash</v>
      </c>
      <c r="C38413" s="8" t="s">
        <v>14831</v>
      </c>
      <c r="D38413" s="8">
        <v>60</v>
      </c>
      <c r="E38413" s="8">
        <v>0</v>
      </c>
      <c r="F38413" s="8">
        <v>606</v>
      </c>
    </row>
    <row r="38414" spans="1:6" ht="12.75">
      <c r="A38414" s="8">
        <v>43887.256168981483</v>
      </c>
      <c r="B38414" s="8" t="str">
        <f>HYPERLINK("https://twitter.com/pakarduz","@pakarduz")</f>
        <v>@pakarduz</v>
      </c>
      <c r="C38414" s="8" t="s">
        <v>13365</v>
      </c>
      <c r="D38414" s="8">
        <v>438</v>
      </c>
      <c r="E38414" s="8">
        <v>0</v>
      </c>
      <c r="F38414" s="8">
        <v>29</v>
      </c>
    </row>
    <row r="38415" spans="1:6" ht="12.75">
      <c r="A38415" s="8">
        <v>43887.255868055552</v>
      </c>
      <c r="B38415" s="8" t="str">
        <f>HYPERLINK("https://twitter.com/ArumiShasa","@ArumiShasa")</f>
        <v>@ArumiShasa</v>
      </c>
      <c r="C38415" s="8" t="s">
        <v>13365</v>
      </c>
      <c r="D38415" s="8">
        <v>438</v>
      </c>
      <c r="E38415" s="8">
        <v>0</v>
      </c>
      <c r="F38415" s="8">
        <v>131</v>
      </c>
    </row>
    <row r="38416" spans="1:6" ht="12.75">
      <c r="A38416" s="8">
        <v>43887.254687499997</v>
      </c>
      <c r="B38416" s="8" t="str">
        <f>HYPERLINK("https://twitter.com/Andr333S","@Andr333S")</f>
        <v>@Andr333S</v>
      </c>
      <c r="C38416" s="8" t="s">
        <v>13365</v>
      </c>
      <c r="D38416" s="8">
        <v>438</v>
      </c>
      <c r="E38416" s="8">
        <v>0</v>
      </c>
      <c r="F38416" s="8">
        <v>64</v>
      </c>
    </row>
    <row r="38417" spans="1:6" ht="12.75">
      <c r="A38417" s="8">
        <v>43887.254224537042</v>
      </c>
      <c r="B38417" s="8" t="str">
        <f>HYPERLINK("https://twitter.com/JOKOAS","@JOKOAS")</f>
        <v>@JOKOAS</v>
      </c>
      <c r="C38417" s="8" t="s">
        <v>13365</v>
      </c>
      <c r="D38417" s="8">
        <v>438</v>
      </c>
      <c r="E38417" s="8">
        <v>0</v>
      </c>
      <c r="F38417" s="8">
        <v>1054</v>
      </c>
    </row>
    <row r="38418" spans="1:6" ht="12.75">
      <c r="A38418" s="8">
        <v>43887.25403935185</v>
      </c>
      <c r="B38418" s="8" t="str">
        <f>HYPERLINK("https://twitter.com/nonukes___","@nonukes___")</f>
        <v>@nonukes___</v>
      </c>
      <c r="C38418" s="8" t="s">
        <v>8484</v>
      </c>
      <c r="D38418" s="8">
        <v>933</v>
      </c>
      <c r="E38418" s="8">
        <v>0</v>
      </c>
      <c r="F38418" s="8">
        <v>3362</v>
      </c>
    </row>
    <row r="38419" spans="1:6" ht="12.75">
      <c r="A38419" s="8">
        <v>43887.254016203704</v>
      </c>
      <c r="B38419" s="8" t="str">
        <f>HYPERLINK("https://twitter.com/GqZ6HoLcyITrJcK","@GqZ6HoLcyITrJcK")</f>
        <v>@GqZ6HoLcyITrJcK</v>
      </c>
      <c r="C38419" s="8" t="s">
        <v>14866</v>
      </c>
      <c r="D38419" s="8">
        <v>0</v>
      </c>
      <c r="E38419" s="8">
        <v>0</v>
      </c>
      <c r="F38419" s="8">
        <v>100</v>
      </c>
    </row>
    <row r="38420" spans="1:6" ht="12.75">
      <c r="A38420" s="8">
        <v>43887.253958333335</v>
      </c>
      <c r="B38420" s="8" t="str">
        <f>HYPERLINK("https://twitter.com/fxxkpeeps","@fxxkpeeps")</f>
        <v>@fxxkpeeps</v>
      </c>
      <c r="C38420" s="8" t="s">
        <v>13365</v>
      </c>
      <c r="D38420" s="8">
        <v>438</v>
      </c>
      <c r="E38420" s="8">
        <v>0</v>
      </c>
      <c r="F38420" s="8">
        <v>629</v>
      </c>
    </row>
    <row r="38421" spans="1:6" ht="12.75">
      <c r="A38421" s="8">
        <v>43887.253831018519</v>
      </c>
      <c r="B38421" s="8" t="str">
        <f>HYPERLINK("https://twitter.com/KukuhSatria19","@KukuhSatria19")</f>
        <v>@KukuhSatria19</v>
      </c>
      <c r="C38421" s="8" t="s">
        <v>12920</v>
      </c>
      <c r="D38421" s="8">
        <v>1544</v>
      </c>
      <c r="E38421" s="8">
        <v>0</v>
      </c>
      <c r="F38421" s="8">
        <v>37</v>
      </c>
    </row>
    <row r="38422" spans="1:6" ht="12.75">
      <c r="A38422" s="8">
        <v>43887.253553240742</v>
      </c>
      <c r="B38422" s="8" t="str">
        <f>HYPERLINK("https://twitter.com/bandorobrojo","@bandorobrojo")</f>
        <v>@bandorobrojo</v>
      </c>
      <c r="C38422" s="8" t="s">
        <v>13365</v>
      </c>
      <c r="D38422" s="8">
        <v>438</v>
      </c>
      <c r="E38422" s="8">
        <v>0</v>
      </c>
      <c r="F38422" s="8">
        <v>681</v>
      </c>
    </row>
    <row r="38423" spans="1:6" ht="12.75">
      <c r="A38423" s="8">
        <v>43887.253437499996</v>
      </c>
      <c r="B38423" s="8" t="str">
        <f>HYPERLINK("https://twitter.com/fevi_istiaan","@fevi_istiaan")</f>
        <v>@fevi_istiaan</v>
      </c>
      <c r="C38423" s="8" t="s">
        <v>14867</v>
      </c>
      <c r="D38423" s="8">
        <v>0</v>
      </c>
      <c r="E38423" s="8">
        <v>0</v>
      </c>
      <c r="F38423" s="8">
        <v>717</v>
      </c>
    </row>
    <row r="38424" spans="1:6" ht="12.75">
      <c r="A38424" s="8">
        <v>43887.253437499996</v>
      </c>
      <c r="B38424" s="8" t="str">
        <f>HYPERLINK("https://twitter.com/fathorrasid4","@fathorrasid4")</f>
        <v>@fathorrasid4</v>
      </c>
      <c r="C38424" s="8" t="s">
        <v>13365</v>
      </c>
      <c r="D38424" s="8">
        <v>438</v>
      </c>
      <c r="E38424" s="8">
        <v>0</v>
      </c>
      <c r="F38424" s="8">
        <v>3</v>
      </c>
    </row>
    <row r="38425" spans="1:6" ht="12.75">
      <c r="A38425" s="8">
        <v>43887.253252314811</v>
      </c>
      <c r="B38425" s="8" t="str">
        <f t="shared" ref="B38425:B38426" si="574">HYPERLINK("https://twitter.com/gc_cic","@gc_cic")</f>
        <v>@gc_cic</v>
      </c>
      <c r="C38425" s="8" t="s">
        <v>2940</v>
      </c>
      <c r="D38425" s="8">
        <v>2575</v>
      </c>
      <c r="E38425" s="8">
        <v>0</v>
      </c>
      <c r="F38425" s="8">
        <v>1408</v>
      </c>
    </row>
    <row r="38426" spans="1:6" ht="12.75">
      <c r="A38426" s="8">
        <v>43887.253159722226</v>
      </c>
      <c r="B38426" s="8" t="str">
        <f t="shared" si="574"/>
        <v>@gc_cic</v>
      </c>
      <c r="C38426" s="8" t="s">
        <v>8484</v>
      </c>
      <c r="D38426" s="8">
        <v>933</v>
      </c>
      <c r="E38426" s="8">
        <v>0</v>
      </c>
      <c r="F38426" s="8">
        <v>1408</v>
      </c>
    </row>
    <row r="38427" spans="1:6" ht="12.75">
      <c r="A38427" s="8">
        <v>43887.253148148149</v>
      </c>
      <c r="B38427" s="8" t="str">
        <f>HYPERLINK("https://twitter.com/hendra235","@hendra235")</f>
        <v>@hendra235</v>
      </c>
      <c r="C38427" s="8" t="s">
        <v>14868</v>
      </c>
      <c r="D38427" s="8">
        <v>0</v>
      </c>
      <c r="E38427" s="8">
        <v>0</v>
      </c>
      <c r="F38427" s="8">
        <v>297</v>
      </c>
    </row>
    <row r="38428" spans="1:6" ht="12.75">
      <c r="A38428" s="8">
        <v>43887.252453703702</v>
      </c>
      <c r="B38428" s="8" t="str">
        <f>HYPERLINK("https://twitter.com/abdulrosyid417","@abdulrosyid417")</f>
        <v>@abdulrosyid417</v>
      </c>
      <c r="C38428" s="8" t="s">
        <v>13365</v>
      </c>
      <c r="D38428" s="8">
        <v>438</v>
      </c>
      <c r="E38428" s="8">
        <v>0</v>
      </c>
      <c r="F38428" s="8">
        <v>69</v>
      </c>
    </row>
    <row r="38429" spans="1:6" ht="12.75">
      <c r="A38429" s="8">
        <v>43887.252245370371</v>
      </c>
      <c r="B38429" s="8" t="str">
        <f>HYPERLINK("https://twitter.com/Hanumprstw","@Hanumprstw")</f>
        <v>@Hanumprstw</v>
      </c>
      <c r="C38429" s="8" t="s">
        <v>2941</v>
      </c>
      <c r="D38429" s="8">
        <v>792</v>
      </c>
      <c r="E38429" s="8">
        <v>0</v>
      </c>
      <c r="F38429" s="8">
        <v>193</v>
      </c>
    </row>
    <row r="38430" spans="1:6" ht="12.75">
      <c r="A38430" s="8">
        <v>43887.25167824074</v>
      </c>
      <c r="B38430" s="8" t="str">
        <f>HYPERLINK("https://twitter.com/Rifqizuhdi28I","@Rifqizuhdi28I")</f>
        <v>@Rifqizuhdi28I</v>
      </c>
      <c r="C38430" s="8" t="s">
        <v>13365</v>
      </c>
      <c r="D38430" s="8">
        <v>438</v>
      </c>
      <c r="E38430" s="8">
        <v>0</v>
      </c>
      <c r="F38430" s="8">
        <v>7</v>
      </c>
    </row>
    <row r="38431" spans="1:6" ht="12.75">
      <c r="A38431" s="8">
        <v>43887.251388888893</v>
      </c>
      <c r="B38431" s="8" t="str">
        <f>HYPERLINK("https://twitter.com/the_geotimes","@the_geotimes")</f>
        <v>@the_geotimes</v>
      </c>
      <c r="C38431" s="8" t="s">
        <v>14869</v>
      </c>
      <c r="D38431" s="8">
        <v>0</v>
      </c>
      <c r="E38431" s="8">
        <v>0</v>
      </c>
      <c r="F38431" s="8">
        <v>49680</v>
      </c>
    </row>
    <row r="38432" spans="1:6" ht="12.75">
      <c r="A38432" s="8">
        <v>43887.250925925924</v>
      </c>
      <c r="B38432" s="8" t="str">
        <f>HYPERLINK("https://twitter.com/portalcibubur","@portalcibubur")</f>
        <v>@portalcibubur</v>
      </c>
      <c r="C38432" s="8" t="s">
        <v>2941</v>
      </c>
      <c r="D38432" s="8">
        <v>792</v>
      </c>
      <c r="E38432" s="8">
        <v>0</v>
      </c>
      <c r="F38432" s="8">
        <v>0</v>
      </c>
    </row>
    <row r="38433" spans="1:6" ht="12.75">
      <c r="A38433" s="8">
        <v>43887.250462962962</v>
      </c>
      <c r="B38433" s="8" t="str">
        <f>HYPERLINK("https://twitter.com/wied_goes","@wied_goes")</f>
        <v>@wied_goes</v>
      </c>
      <c r="C38433" s="8" t="s">
        <v>13365</v>
      </c>
      <c r="D38433" s="8">
        <v>438</v>
      </c>
      <c r="E38433" s="8">
        <v>0</v>
      </c>
      <c r="F38433" s="8">
        <v>21</v>
      </c>
    </row>
    <row r="38434" spans="1:6" ht="12.75">
      <c r="A38434" s="8">
        <v>43887.250393518523</v>
      </c>
      <c r="B38434" s="8" t="str">
        <f>HYPERLINK("https://twitter.com/GqZ6HoLcyITrJcK","@GqZ6HoLcyITrJcK")</f>
        <v>@GqZ6HoLcyITrJcK</v>
      </c>
      <c r="C38434" s="8" t="s">
        <v>14870</v>
      </c>
      <c r="D38434" s="8">
        <v>0</v>
      </c>
      <c r="E38434" s="8">
        <v>1</v>
      </c>
      <c r="F38434" s="8">
        <v>100</v>
      </c>
    </row>
    <row r="38435" spans="1:6" ht="12.75">
      <c r="A38435" s="8">
        <v>43887.250381944439</v>
      </c>
      <c r="B38435" s="8" t="str">
        <f>HYPERLINK("https://twitter.com/Hore552","@Hore552")</f>
        <v>@Hore552</v>
      </c>
      <c r="C38435" s="8" t="s">
        <v>13365</v>
      </c>
      <c r="D38435" s="8">
        <v>438</v>
      </c>
      <c r="E38435" s="8">
        <v>0</v>
      </c>
      <c r="F38435" s="8">
        <v>61</v>
      </c>
    </row>
    <row r="38436" spans="1:6" ht="12.75">
      <c r="A38436" s="8">
        <v>43887.250381944439</v>
      </c>
      <c r="B38436" s="8" t="str">
        <f>HYPERLINK("https://twitter.com/DietzNo","@DietzNo")</f>
        <v>@DietzNo</v>
      </c>
      <c r="C38436" s="8" t="s">
        <v>11183</v>
      </c>
      <c r="D38436" s="8">
        <v>275</v>
      </c>
      <c r="E38436" s="8">
        <v>0</v>
      </c>
      <c r="F38436" s="8">
        <v>1332</v>
      </c>
    </row>
    <row r="38437" spans="1:6" ht="12.75">
      <c r="A38437" s="8">
        <v>43887.250057870369</v>
      </c>
      <c r="B38437" s="8" t="str">
        <f>HYPERLINK("https://twitter.com/quretaorg","@quretaorg")</f>
        <v>@quretaorg</v>
      </c>
      <c r="C38437" s="8" t="s">
        <v>14871</v>
      </c>
      <c r="D38437" s="8">
        <v>0</v>
      </c>
      <c r="E38437" s="8">
        <v>0</v>
      </c>
      <c r="F38437" s="8">
        <v>1488</v>
      </c>
    </row>
    <row r="38438" spans="1:6" ht="12.75">
      <c r="A38438" s="8">
        <v>43887.250023148154</v>
      </c>
      <c r="B38438" s="8" t="str">
        <f>HYPERLINK("https://twitter.com/RosaHerdiansyah","@RosaHerdiansyah")</f>
        <v>@RosaHerdiansyah</v>
      </c>
      <c r="C38438" s="8" t="s">
        <v>13365</v>
      </c>
      <c r="D38438" s="8">
        <v>438</v>
      </c>
      <c r="E38438" s="8">
        <v>0</v>
      </c>
      <c r="F38438" s="8">
        <v>2476</v>
      </c>
    </row>
    <row r="38439" spans="1:6" ht="12.75">
      <c r="A38439" s="8">
        <v>43887.249386574069</v>
      </c>
      <c r="B38439" s="8" t="str">
        <f>HYPERLINK("https://twitter.com/BiemLugiek","@BiemLugiek")</f>
        <v>@BiemLugiek</v>
      </c>
      <c r="C38439" s="8" t="s">
        <v>11183</v>
      </c>
      <c r="D38439" s="8">
        <v>275</v>
      </c>
      <c r="E38439" s="8">
        <v>0</v>
      </c>
      <c r="F38439" s="8">
        <v>131</v>
      </c>
    </row>
    <row r="38440" spans="1:6" ht="12.75">
      <c r="A38440" s="8">
        <v>43887.249340277776</v>
      </c>
      <c r="B38440" s="8" t="str">
        <f>HYPERLINK("https://twitter.com/kompascom","@kompascom")</f>
        <v>@kompascom</v>
      </c>
      <c r="C38440" s="8" t="s">
        <v>14872</v>
      </c>
      <c r="D38440" s="8">
        <v>1</v>
      </c>
      <c r="E38440" s="8">
        <v>8</v>
      </c>
      <c r="F38440" s="8">
        <v>7513017</v>
      </c>
    </row>
    <row r="38441" spans="1:6" ht="12.75">
      <c r="A38441" s="8">
        <v>43887.248437499999</v>
      </c>
      <c r="B38441" s="8" t="str">
        <f>HYPERLINK("https://twitter.com/teukurevi_","@teukurevi_")</f>
        <v>@teukurevi_</v>
      </c>
      <c r="C38441" s="8" t="s">
        <v>13365</v>
      </c>
      <c r="D38441" s="8">
        <v>438</v>
      </c>
      <c r="E38441" s="8">
        <v>0</v>
      </c>
      <c r="F38441" s="8">
        <v>361</v>
      </c>
    </row>
    <row r="38442" spans="1:6" ht="12.75">
      <c r="A38442" s="8">
        <v>43887.24799768519</v>
      </c>
      <c r="B38442" s="8" t="str">
        <f>HYPERLINK("https://twitter.com/akuntww","@akuntww")</f>
        <v>@akuntww</v>
      </c>
      <c r="C38442" s="8" t="s">
        <v>13365</v>
      </c>
      <c r="D38442" s="8">
        <v>438</v>
      </c>
      <c r="E38442" s="8">
        <v>0</v>
      </c>
      <c r="F38442" s="8">
        <v>526</v>
      </c>
    </row>
    <row r="38443" spans="1:6" ht="12.75">
      <c r="A38443" s="8">
        <v>43887.247835648144</v>
      </c>
      <c r="B38443" s="8" t="str">
        <f>HYPERLINK("https://twitter.com/rowanromano","@rowanromano")</f>
        <v>@rowanromano</v>
      </c>
      <c r="C38443" s="8" t="s">
        <v>14873</v>
      </c>
      <c r="D38443" s="8">
        <v>1</v>
      </c>
      <c r="E38443" s="8">
        <v>0</v>
      </c>
      <c r="F38443" s="8">
        <v>175</v>
      </c>
    </row>
    <row r="38444" spans="1:6" ht="12.75">
      <c r="A38444" s="8">
        <v>43887.24728009259</v>
      </c>
      <c r="B38444" s="8" t="str">
        <f>HYPERLINK("https://twitter.com/ElangTohpati","@ElangTohpati")</f>
        <v>@ElangTohpati</v>
      </c>
      <c r="C38444" s="8" t="s">
        <v>13365</v>
      </c>
      <c r="D38444" s="8">
        <v>438</v>
      </c>
      <c r="E38444" s="8">
        <v>0</v>
      </c>
      <c r="F38444" s="8">
        <v>65</v>
      </c>
    </row>
    <row r="38445" spans="1:6" ht="12.75">
      <c r="A38445" s="8">
        <v>43887.24690972222</v>
      </c>
      <c r="B38445" s="8" t="str">
        <f>HYPERLINK("https://twitter.com/shellyzaenn","@shellyzaenn")</f>
        <v>@shellyzaenn</v>
      </c>
      <c r="C38445" s="8" t="s">
        <v>13365</v>
      </c>
      <c r="D38445" s="8">
        <v>438</v>
      </c>
      <c r="E38445" s="8">
        <v>0</v>
      </c>
      <c r="F38445" s="8">
        <v>280</v>
      </c>
    </row>
    <row r="38446" spans="1:6" ht="12.75">
      <c r="A38446" s="8">
        <v>43887.246562500004</v>
      </c>
      <c r="B38446" s="8" t="str">
        <f>HYPERLINK("https://twitter.com/tempodotco","@tempodotco")</f>
        <v>@tempodotco</v>
      </c>
      <c r="C38446" s="8" t="s">
        <v>14874</v>
      </c>
      <c r="D38446" s="8">
        <v>1</v>
      </c>
      <c r="E38446" s="8">
        <v>1</v>
      </c>
      <c r="F38446" s="8">
        <v>1712093</v>
      </c>
    </row>
    <row r="38447" spans="1:6" ht="12.75">
      <c r="A38447" s="8">
        <v>43887.246064814812</v>
      </c>
      <c r="B38447" s="8" t="str">
        <f>HYPERLINK("https://twitter.com/dina88_","@dina88_")</f>
        <v>@dina88_</v>
      </c>
      <c r="C38447" s="8" t="s">
        <v>14129</v>
      </c>
      <c r="D38447" s="8">
        <v>9</v>
      </c>
      <c r="E38447" s="8">
        <v>0</v>
      </c>
      <c r="F38447" s="8">
        <v>770</v>
      </c>
    </row>
    <row r="38448" spans="1:6" ht="12.75">
      <c r="A38448" s="8">
        <v>43887.245567129634</v>
      </c>
      <c r="B38448" s="8" t="str">
        <f>HYPERLINK("https://twitter.com/Joe_Evandri","@Joe_Evandri")</f>
        <v>@Joe_Evandri</v>
      </c>
      <c r="C38448" s="8" t="s">
        <v>13365</v>
      </c>
      <c r="D38448" s="8">
        <v>438</v>
      </c>
      <c r="E38448" s="8">
        <v>0</v>
      </c>
      <c r="F38448" s="8">
        <v>447</v>
      </c>
    </row>
    <row r="38449" spans="1:6" ht="12.75">
      <c r="A38449" s="8">
        <v>43887.245474537034</v>
      </c>
      <c r="B38449" s="8" t="str">
        <f>HYPERLINK("https://twitter.com/0223_tum","@0223_tum")</f>
        <v>@0223_tum</v>
      </c>
      <c r="C38449" s="8" t="s">
        <v>2940</v>
      </c>
      <c r="D38449" s="8">
        <v>2575</v>
      </c>
      <c r="E38449" s="8">
        <v>0</v>
      </c>
      <c r="F38449" s="8">
        <v>40</v>
      </c>
    </row>
    <row r="38450" spans="1:6" ht="12.75">
      <c r="A38450" s="8">
        <v>43887.245370370365</v>
      </c>
      <c r="B38450" s="8" t="str">
        <f>HYPERLINK("https://twitter.com/AmbrEquinox","@AmbrEquinox")</f>
        <v>@AmbrEquinox</v>
      </c>
      <c r="C38450" s="8" t="s">
        <v>13365</v>
      </c>
      <c r="D38450" s="8">
        <v>438</v>
      </c>
      <c r="E38450" s="8">
        <v>0</v>
      </c>
      <c r="F38450" s="8">
        <v>1111</v>
      </c>
    </row>
    <row r="38451" spans="1:6" ht="12.75">
      <c r="A38451" s="8">
        <v>43887.24490740741</v>
      </c>
      <c r="B38451" s="8" t="str">
        <f>HYPERLINK("https://twitter.com/Surya_Nusantara","@Surya_Nusantara")</f>
        <v>@Surya_Nusantara</v>
      </c>
      <c r="C38451" s="8" t="s">
        <v>14734</v>
      </c>
      <c r="D38451" s="8">
        <v>12</v>
      </c>
      <c r="E38451" s="8">
        <v>0</v>
      </c>
      <c r="F38451" s="8">
        <v>1492</v>
      </c>
    </row>
    <row r="38452" spans="1:6" ht="12.75">
      <c r="A38452" s="8">
        <v>43887.244699074072</v>
      </c>
      <c r="B38452" s="8" t="str">
        <f>HYPERLINK("https://twitter.com/bon_nugroho","@bon_nugroho")</f>
        <v>@bon_nugroho</v>
      </c>
      <c r="C38452" s="8" t="s">
        <v>13365</v>
      </c>
      <c r="D38452" s="8">
        <v>438</v>
      </c>
      <c r="E38452" s="8">
        <v>0</v>
      </c>
      <c r="F38452" s="8">
        <v>493</v>
      </c>
    </row>
    <row r="38453" spans="1:6" ht="12.75">
      <c r="A38453" s="8">
        <v>43887.244687500002</v>
      </c>
      <c r="B38453" s="8" t="str">
        <f>HYPERLINK("https://twitter.com/yayayamamoto","@yayayamamoto")</f>
        <v>@yayayamamoto</v>
      </c>
      <c r="C38453" s="8" t="s">
        <v>8484</v>
      </c>
      <c r="D38453" s="8">
        <v>933</v>
      </c>
      <c r="E38453" s="8">
        <v>0</v>
      </c>
      <c r="F38453" s="8">
        <v>536</v>
      </c>
    </row>
    <row r="38454" spans="1:6" ht="12.75">
      <c r="A38454" s="8">
        <v>43887.244062500002</v>
      </c>
      <c r="B38454" s="8" t="str">
        <f>HYPERLINK("https://twitter.com/FNt70","@FNt70")</f>
        <v>@FNt70</v>
      </c>
      <c r="C38454" s="8" t="s">
        <v>14875</v>
      </c>
      <c r="D38454" s="8">
        <v>0</v>
      </c>
      <c r="E38454" s="8">
        <v>0</v>
      </c>
      <c r="F38454" s="8">
        <v>575</v>
      </c>
    </row>
    <row r="38455" spans="1:6" ht="12.75">
      <c r="A38455" s="8">
        <v>43887.24391203704</v>
      </c>
      <c r="B38455" s="8" t="str">
        <f>HYPERLINK("https://twitter.com/matsuball","@matsuball")</f>
        <v>@matsuball</v>
      </c>
      <c r="C38455" s="8" t="s">
        <v>8484</v>
      </c>
      <c r="D38455" s="8">
        <v>933</v>
      </c>
      <c r="E38455" s="8">
        <v>0</v>
      </c>
      <c r="F38455" s="8">
        <v>1042</v>
      </c>
    </row>
    <row r="38456" spans="1:6" ht="12.75">
      <c r="A38456" s="8">
        <v>43887.243715277778</v>
      </c>
      <c r="B38456" s="8" t="str">
        <f>HYPERLINK("https://twitter.com/andi_saja","@andi_saja")</f>
        <v>@andi_saja</v>
      </c>
      <c r="C38456" s="8" t="s">
        <v>14876</v>
      </c>
      <c r="D38456" s="8">
        <v>2</v>
      </c>
      <c r="E38456" s="8">
        <v>0</v>
      </c>
      <c r="F38456" s="8">
        <v>1711</v>
      </c>
    </row>
    <row r="38457" spans="1:6" ht="12.75">
      <c r="A38457" s="8">
        <v>43887.243668981479</v>
      </c>
      <c r="B38457" s="8" t="str">
        <f>HYPERLINK("https://twitter.com/MuslihatO","@MuslihatO")</f>
        <v>@MuslihatO</v>
      </c>
      <c r="C38457" s="8" t="s">
        <v>11964</v>
      </c>
      <c r="D38457" s="8">
        <v>513</v>
      </c>
      <c r="E38457" s="8">
        <v>0</v>
      </c>
      <c r="F38457" s="8">
        <v>1035</v>
      </c>
    </row>
    <row r="38458" spans="1:6" ht="12.75">
      <c r="A38458" s="8">
        <v>43887.24354166667</v>
      </c>
      <c r="B38458" s="8" t="str">
        <f>HYPERLINK("https://twitter.com/abdurrahmanhadi","@abdurrahmanhadi")</f>
        <v>@abdurrahmanhadi</v>
      </c>
      <c r="C38458" s="8" t="s">
        <v>13365</v>
      </c>
      <c r="D38458" s="8">
        <v>438</v>
      </c>
      <c r="E38458" s="8">
        <v>0</v>
      </c>
      <c r="F38458" s="8">
        <v>411</v>
      </c>
    </row>
    <row r="38459" spans="1:6" ht="12.75">
      <c r="A38459" s="8">
        <v>43887.24319444444</v>
      </c>
      <c r="B38459" s="8" t="str">
        <f>HYPERLINK("https://twitter.com/DimitriYusuf","@DimitriYusuf")</f>
        <v>@DimitriYusuf</v>
      </c>
      <c r="C38459" s="8" t="s">
        <v>13365</v>
      </c>
      <c r="D38459" s="8">
        <v>438</v>
      </c>
      <c r="E38459" s="8">
        <v>0</v>
      </c>
      <c r="F38459" s="8">
        <v>1467</v>
      </c>
    </row>
    <row r="38460" spans="1:6" ht="12.75">
      <c r="A38460" s="8">
        <v>43887.24319444444</v>
      </c>
      <c r="B38460" s="8" t="str">
        <f>HYPERLINK("https://twitter.com/elan_gusma","@elan_gusma")</f>
        <v>@elan_gusma</v>
      </c>
      <c r="C38460" s="8" t="s">
        <v>11964</v>
      </c>
      <c r="D38460" s="8">
        <v>513</v>
      </c>
      <c r="E38460" s="8">
        <v>0</v>
      </c>
      <c r="F38460" s="8">
        <v>3594</v>
      </c>
    </row>
    <row r="38461" spans="1:6" ht="12.75">
      <c r="A38461" s="8">
        <v>43887.24318287037</v>
      </c>
      <c r="B38461" s="8" t="str">
        <f t="shared" ref="B38461:B38462" si="575">HYPERLINK("https://twitter.com/trv1ZWslG0Mzobb","@trv1ZWslG0Mzobb")</f>
        <v>@trv1ZWslG0Mzobb</v>
      </c>
      <c r="C38461" s="8" t="s">
        <v>14106</v>
      </c>
      <c r="D38461" s="8">
        <v>143</v>
      </c>
      <c r="E38461" s="8">
        <v>0</v>
      </c>
      <c r="F38461" s="8">
        <v>3491</v>
      </c>
    </row>
    <row r="38462" spans="1:6" ht="12.75">
      <c r="A38462" s="8">
        <v>43887.243009259255</v>
      </c>
      <c r="B38462" s="8" t="str">
        <f t="shared" si="575"/>
        <v>@trv1ZWslG0Mzobb</v>
      </c>
      <c r="C38462" s="8" t="s">
        <v>13834</v>
      </c>
      <c r="D38462" s="8">
        <v>157</v>
      </c>
      <c r="E38462" s="8">
        <v>0</v>
      </c>
      <c r="F38462" s="8">
        <v>3491</v>
      </c>
    </row>
    <row r="38463" spans="1:6" ht="12.75">
      <c r="A38463" s="8">
        <v>43887.242986111116</v>
      </c>
      <c r="B38463" s="8" t="str">
        <f>HYPERLINK("https://twitter.com/rakyat_melawan","@rakyat_melawan")</f>
        <v>@rakyat_melawan</v>
      </c>
      <c r="C38463" s="8" t="s">
        <v>2941</v>
      </c>
      <c r="D38463" s="8">
        <v>792</v>
      </c>
      <c r="E38463" s="8">
        <v>0</v>
      </c>
      <c r="F38463" s="8">
        <v>80</v>
      </c>
    </row>
    <row r="38464" spans="1:6" ht="12.75">
      <c r="A38464" s="8">
        <v>43887.242048611108</v>
      </c>
      <c r="B38464" s="8" t="str">
        <f>HYPERLINK("https://twitter.com/taehyungsbliss","@taehyungsbliss")</f>
        <v>@taehyungsbliss</v>
      </c>
      <c r="C38464" s="8" t="s">
        <v>14877</v>
      </c>
      <c r="D38464" s="8">
        <v>0</v>
      </c>
      <c r="E38464" s="8">
        <v>0</v>
      </c>
      <c r="F38464" s="8">
        <v>345</v>
      </c>
    </row>
    <row r="38465" spans="1:6" ht="12.75">
      <c r="A38465" s="8">
        <v>43887.241805555561</v>
      </c>
      <c r="B38465" s="8" t="str">
        <f>HYPERLINK("https://twitter.com/bunskiBunyamin","@bunskiBunyamin")</f>
        <v>@bunskiBunyamin</v>
      </c>
      <c r="C38465" s="8" t="s">
        <v>13365</v>
      </c>
      <c r="D38465" s="8">
        <v>438</v>
      </c>
      <c r="E38465" s="8">
        <v>0</v>
      </c>
      <c r="F38465" s="8">
        <v>282</v>
      </c>
    </row>
    <row r="38466" spans="1:6" ht="12.75">
      <c r="A38466" s="8">
        <v>43887.241238425922</v>
      </c>
      <c r="B38466" s="8" t="str">
        <f>HYPERLINK("https://twitter.com/arygion","@arygion")</f>
        <v>@arygion</v>
      </c>
      <c r="C38466" s="8" t="s">
        <v>13365</v>
      </c>
      <c r="D38466" s="8">
        <v>438</v>
      </c>
      <c r="E38466" s="8">
        <v>0</v>
      </c>
      <c r="F38466" s="8">
        <v>185</v>
      </c>
    </row>
    <row r="38467" spans="1:6" ht="12.75">
      <c r="A38467" s="8">
        <v>43887.241064814814</v>
      </c>
      <c r="B38467" s="8" t="str">
        <f>HYPERLINK("https://twitter.com/Sionn1224","@Sionn1224")</f>
        <v>@Sionn1224</v>
      </c>
      <c r="C38467" s="8" t="s">
        <v>2940</v>
      </c>
      <c r="D38467" s="8">
        <v>2575</v>
      </c>
      <c r="E38467" s="8">
        <v>0</v>
      </c>
      <c r="F38467" s="8">
        <v>511</v>
      </c>
    </row>
    <row r="38468" spans="1:6" ht="12.75">
      <c r="A38468" s="8">
        <v>43887.241053240738</v>
      </c>
      <c r="B38468" s="8" t="str">
        <f>HYPERLINK("https://twitter.com/trv1ZWslG0Mzobb","@trv1ZWslG0Mzobb")</f>
        <v>@trv1ZWslG0Mzobb</v>
      </c>
      <c r="C38468" s="8" t="s">
        <v>2940</v>
      </c>
      <c r="D38468" s="8">
        <v>2575</v>
      </c>
      <c r="E38468" s="8">
        <v>0</v>
      </c>
      <c r="F38468" s="8">
        <v>3491</v>
      </c>
    </row>
    <row r="38469" spans="1:6" ht="12.75">
      <c r="A38469" s="8">
        <v>43887.240925925929</v>
      </c>
      <c r="B38469" s="8" t="str">
        <f>HYPERLINK("https://twitter.com/evereeze","@evereeze")</f>
        <v>@evereeze</v>
      </c>
      <c r="C38469" s="8" t="s">
        <v>2941</v>
      </c>
      <c r="D38469" s="8">
        <v>792</v>
      </c>
      <c r="E38469" s="8">
        <v>0</v>
      </c>
      <c r="F38469" s="8">
        <v>293</v>
      </c>
    </row>
    <row r="38470" spans="1:6" ht="12.75">
      <c r="A38470" s="8">
        <v>43887.240393518514</v>
      </c>
      <c r="B38470" s="8" t="str">
        <f>HYPERLINK("https://twitter.com/xbal_robil","@xbal_robil")</f>
        <v>@xbal_robil</v>
      </c>
      <c r="C38470" s="8" t="s">
        <v>13365</v>
      </c>
      <c r="D38470" s="8">
        <v>438</v>
      </c>
      <c r="E38470" s="8">
        <v>0</v>
      </c>
      <c r="F38470" s="8">
        <v>85</v>
      </c>
    </row>
    <row r="38471" spans="1:6" ht="12.75">
      <c r="A38471" s="8">
        <v>43887.240254629629</v>
      </c>
      <c r="B38471" s="8" t="str">
        <f>HYPERLINK("https://twitter.com/ObsessionNews_","@ObsessionNews_")</f>
        <v>@ObsessionNews_</v>
      </c>
      <c r="C38471" s="8" t="s">
        <v>14878</v>
      </c>
      <c r="D38471" s="8">
        <v>0</v>
      </c>
      <c r="E38471" s="8">
        <v>0</v>
      </c>
      <c r="F38471" s="8">
        <v>13</v>
      </c>
    </row>
    <row r="38472" spans="1:6" ht="12.75">
      <c r="A38472" s="8">
        <v>43887.24018518519</v>
      </c>
      <c r="B38472" s="8" t="str">
        <f>HYPERLINK("https://twitter.com/nnnaauff","@nnnaauff")</f>
        <v>@nnnaauff</v>
      </c>
      <c r="C38472" s="8" t="s">
        <v>13365</v>
      </c>
      <c r="D38472" s="8">
        <v>438</v>
      </c>
      <c r="E38472" s="8">
        <v>0</v>
      </c>
      <c r="F38472" s="8">
        <v>19</v>
      </c>
    </row>
    <row r="38473" spans="1:6" ht="12.75">
      <c r="A38473" s="8">
        <v>43887.239560185189</v>
      </c>
      <c r="B38473" s="8" t="str">
        <f>HYPERLINK("https://twitter.com/PENELUSURAN_ILM","@PENELUSURAN_ILM")</f>
        <v>@PENELUSURAN_ILM</v>
      </c>
      <c r="C38473" s="8" t="s">
        <v>11964</v>
      </c>
      <c r="D38473" s="8">
        <v>513</v>
      </c>
      <c r="E38473" s="8">
        <v>0</v>
      </c>
      <c r="F38473" s="8">
        <v>915</v>
      </c>
    </row>
    <row r="38474" spans="1:6" ht="12.75">
      <c r="A38474" s="8">
        <v>43887.239525462966</v>
      </c>
      <c r="B38474" s="8" t="str">
        <f>HYPERLINK("https://twitter.com/Radiy15","@Radiy15")</f>
        <v>@Radiy15</v>
      </c>
      <c r="C38474" s="8" t="s">
        <v>13365</v>
      </c>
      <c r="D38474" s="8">
        <v>438</v>
      </c>
      <c r="E38474" s="8">
        <v>0</v>
      </c>
      <c r="F38474" s="8">
        <v>408</v>
      </c>
    </row>
    <row r="38475" spans="1:6" ht="12.75">
      <c r="A38475" s="8">
        <v>43887.239502314813</v>
      </c>
      <c r="B38475" s="8" t="str">
        <f>HYPERLINK("https://twitter.com/milaadiyah","@milaadiyah")</f>
        <v>@milaadiyah</v>
      </c>
      <c r="C38475" s="8" t="s">
        <v>2941</v>
      </c>
      <c r="D38475" s="8">
        <v>792</v>
      </c>
      <c r="E38475" s="8">
        <v>0</v>
      </c>
      <c r="F38475" s="8">
        <v>251</v>
      </c>
    </row>
    <row r="38476" spans="1:6" ht="12.75">
      <c r="A38476" s="8">
        <v>43887.239490740743</v>
      </c>
      <c r="B38476" s="8" t="str">
        <f>HYPERLINK("https://twitter.com/KhairilPajeri","@KhairilPajeri")</f>
        <v>@KhairilPajeri</v>
      </c>
      <c r="C38476" s="8" t="s">
        <v>11964</v>
      </c>
      <c r="D38476" s="8">
        <v>513</v>
      </c>
      <c r="E38476" s="8">
        <v>0</v>
      </c>
      <c r="F38476" s="8">
        <v>31</v>
      </c>
    </row>
    <row r="38477" spans="1:6" ht="12.75">
      <c r="A38477" s="8">
        <v>43887.238912037035</v>
      </c>
      <c r="B38477" s="8" t="str">
        <f>HYPERLINK("https://twitter.com/1101Azizah","@1101Azizah")</f>
        <v>@1101Azizah</v>
      </c>
      <c r="C38477" s="8" t="s">
        <v>13365</v>
      </c>
      <c r="D38477" s="8">
        <v>438</v>
      </c>
      <c r="E38477" s="8">
        <v>0</v>
      </c>
      <c r="F38477" s="8">
        <v>15</v>
      </c>
    </row>
    <row r="38478" spans="1:6" ht="12.75">
      <c r="A38478" s="8">
        <v>43887.238854166666</v>
      </c>
      <c r="B38478" s="8" t="str">
        <f>HYPERLINK("https://twitter.com/beatrice_health","@beatrice_health")</f>
        <v>@beatrice_health</v>
      </c>
      <c r="C38478" s="8" t="s">
        <v>13365</v>
      </c>
      <c r="D38478" s="8">
        <v>438</v>
      </c>
      <c r="E38478" s="8">
        <v>0</v>
      </c>
      <c r="F38478" s="8">
        <v>377</v>
      </c>
    </row>
    <row r="38479" spans="1:6" ht="12.75">
      <c r="A38479" s="8">
        <v>43887.238819444443</v>
      </c>
      <c r="B38479" s="8" t="str">
        <f>HYPERLINK("https://twitter.com/dadarrrrrr","@dadarrrrrr")</f>
        <v>@dadarrrrrr</v>
      </c>
      <c r="C38479" s="8" t="s">
        <v>13365</v>
      </c>
      <c r="D38479" s="8">
        <v>438</v>
      </c>
      <c r="E38479" s="8">
        <v>0</v>
      </c>
      <c r="F38479" s="8">
        <v>366</v>
      </c>
    </row>
    <row r="38480" spans="1:6" ht="12.75">
      <c r="A38480" s="8">
        <v>43887.238217592589</v>
      </c>
      <c r="B38480" s="8" t="str">
        <f>HYPERLINK("https://twitter.com/wtfteisco221","@wtfteisco221")</f>
        <v>@wtfteisco221</v>
      </c>
      <c r="C38480" s="8" t="s">
        <v>2940</v>
      </c>
      <c r="D38480" s="8">
        <v>2575</v>
      </c>
      <c r="E38480" s="8">
        <v>0</v>
      </c>
      <c r="F38480" s="8">
        <v>159</v>
      </c>
    </row>
    <row r="38481" spans="1:6" ht="12.75">
      <c r="A38481" s="8">
        <v>43887.23810185185</v>
      </c>
      <c r="B38481" s="8" t="str">
        <f>HYPERLINK("https://twitter.com/inu_ratih1","@inu_ratih1")</f>
        <v>@inu_ratih1</v>
      </c>
      <c r="C38481" s="8" t="s">
        <v>13365</v>
      </c>
      <c r="D38481" s="8">
        <v>438</v>
      </c>
      <c r="E38481" s="8">
        <v>0</v>
      </c>
      <c r="F38481" s="8">
        <v>93</v>
      </c>
    </row>
    <row r="38482" spans="1:6" ht="12.75">
      <c r="A38482" s="8">
        <v>43887.237997685181</v>
      </c>
      <c r="B38482" s="8" t="str">
        <f>HYPERLINK("https://twitter.com/nabilaalfaini_","@nabilaalfaini_")</f>
        <v>@nabilaalfaini_</v>
      </c>
      <c r="C38482" s="8" t="s">
        <v>13365</v>
      </c>
      <c r="D38482" s="8">
        <v>438</v>
      </c>
      <c r="E38482" s="8">
        <v>0</v>
      </c>
      <c r="F38482" s="8">
        <v>30</v>
      </c>
    </row>
    <row r="38483" spans="1:6" ht="12.75">
      <c r="A38483" s="8">
        <v>43887.237766203703</v>
      </c>
      <c r="B38483" s="8" t="str">
        <f>HYPERLINK("https://twitter.com/buayacans","@buayacans")</f>
        <v>@buayacans</v>
      </c>
      <c r="C38483" s="8" t="s">
        <v>13365</v>
      </c>
      <c r="D38483" s="8">
        <v>438</v>
      </c>
      <c r="E38483" s="8">
        <v>0</v>
      </c>
      <c r="F38483" s="8">
        <v>921</v>
      </c>
    </row>
    <row r="38484" spans="1:6" ht="12.75">
      <c r="A38484" s="8">
        <v>43887.235636574071</v>
      </c>
      <c r="B38484" s="8" t="str">
        <f>HYPERLINK("https://twitter.com/Barbaarrrr","@Barbaarrrr")</f>
        <v>@Barbaarrrr</v>
      </c>
      <c r="C38484" s="8" t="s">
        <v>13365</v>
      </c>
      <c r="D38484" s="8">
        <v>438</v>
      </c>
      <c r="E38484" s="8">
        <v>0</v>
      </c>
      <c r="F38484" s="8">
        <v>413</v>
      </c>
    </row>
    <row r="38485" spans="1:6" ht="12.75">
      <c r="A38485" s="8">
        <v>43887.235196759255</v>
      </c>
      <c r="B38485" s="8" t="str">
        <f>HYPERLINK("https://twitter.com/donirom75372941","@donirom75372941")</f>
        <v>@donirom75372941</v>
      </c>
      <c r="C38485" s="8" t="s">
        <v>14879</v>
      </c>
      <c r="D38485" s="8">
        <v>21</v>
      </c>
      <c r="E38485" s="8">
        <v>0</v>
      </c>
      <c r="F38485" s="8">
        <v>111</v>
      </c>
    </row>
    <row r="38486" spans="1:6" ht="12.75">
      <c r="A38486" s="8">
        <v>43887.235023148147</v>
      </c>
      <c r="B38486" s="8" t="str">
        <f>HYPERLINK("https://twitter.com/anakpetaniii","@anakpetaniii")</f>
        <v>@anakpetaniii</v>
      </c>
      <c r="C38486" s="8" t="s">
        <v>14430</v>
      </c>
      <c r="D38486" s="8">
        <v>96</v>
      </c>
      <c r="E38486" s="8">
        <v>0</v>
      </c>
      <c r="F38486" s="8">
        <v>1296</v>
      </c>
    </row>
    <row r="38487" spans="1:6" ht="12.75">
      <c r="A38487" s="8">
        <v>43887.234907407408</v>
      </c>
      <c r="B38487" s="8" t="str">
        <f>HYPERLINK("https://twitter.com/HafitSetyabudi","@HafitSetyabudi")</f>
        <v>@HafitSetyabudi</v>
      </c>
      <c r="C38487" s="8" t="s">
        <v>13365</v>
      </c>
      <c r="D38487" s="8">
        <v>438</v>
      </c>
      <c r="E38487" s="8">
        <v>0</v>
      </c>
      <c r="F38487" s="8">
        <v>2081</v>
      </c>
    </row>
    <row r="38488" spans="1:6" ht="12.75">
      <c r="A38488" s="8">
        <v>43887.234525462962</v>
      </c>
      <c r="B38488" s="8" t="str">
        <f>HYPERLINK("https://twitter.com/voel01","@voel01")</f>
        <v>@voel01</v>
      </c>
      <c r="C38488" s="8" t="s">
        <v>13365</v>
      </c>
      <c r="D38488" s="8">
        <v>438</v>
      </c>
      <c r="E38488" s="8">
        <v>0</v>
      </c>
      <c r="F38488" s="8">
        <v>238</v>
      </c>
    </row>
    <row r="38489" spans="1:6" ht="12.75">
      <c r="A38489" s="8">
        <v>43887.233819444446</v>
      </c>
      <c r="B38489" s="8" t="str">
        <f>HYPERLINK("https://twitter.com/asriprad","@asriprad")</f>
        <v>@asriprad</v>
      </c>
      <c r="C38489" s="8" t="s">
        <v>14880</v>
      </c>
      <c r="D38489" s="8">
        <v>1</v>
      </c>
      <c r="E38489" s="8">
        <v>0</v>
      </c>
      <c r="F38489" s="8">
        <v>1058</v>
      </c>
    </row>
    <row r="38490" spans="1:6" ht="12.75">
      <c r="A38490" s="8">
        <v>43887.23364583333</v>
      </c>
      <c r="B38490" s="8" t="str">
        <f>HYPERLINK("https://twitter.com/AlphaZenyth","@AlphaZenyth")</f>
        <v>@AlphaZenyth</v>
      </c>
      <c r="C38490" s="8" t="s">
        <v>2941</v>
      </c>
      <c r="D38490" s="8">
        <v>792</v>
      </c>
      <c r="E38490" s="8">
        <v>0</v>
      </c>
      <c r="F38490" s="8">
        <v>39</v>
      </c>
    </row>
    <row r="38491" spans="1:6" ht="12.75">
      <c r="A38491" s="8">
        <v>43887.233032407406</v>
      </c>
      <c r="B38491" s="8" t="str">
        <f>HYPERLINK("https://twitter.com/NekoAndPeace","@NekoAndPeace")</f>
        <v>@NekoAndPeace</v>
      </c>
      <c r="C38491" s="8" t="s">
        <v>2940</v>
      </c>
      <c r="D38491" s="8">
        <v>2575</v>
      </c>
      <c r="E38491" s="8">
        <v>0</v>
      </c>
      <c r="F38491" s="8">
        <v>1957</v>
      </c>
    </row>
    <row r="38492" spans="1:6" ht="12.75">
      <c r="A38492" s="8">
        <v>43887.232546296298</v>
      </c>
      <c r="B38492" s="8" t="str">
        <f>HYPERLINK("https://twitter.com/moesa_jp02","@moesa_jp02")</f>
        <v>@moesa_jp02</v>
      </c>
      <c r="C38492" s="8" t="s">
        <v>11183</v>
      </c>
      <c r="D38492" s="8">
        <v>275</v>
      </c>
      <c r="E38492" s="8">
        <v>0</v>
      </c>
      <c r="F38492" s="8">
        <v>1395</v>
      </c>
    </row>
    <row r="38493" spans="1:6" ht="12.75">
      <c r="A38493" s="8">
        <v>43887.232465277775</v>
      </c>
      <c r="B38493" s="8" t="str">
        <f>HYPERLINK("https://twitter.com/kafara666","@kafara666")</f>
        <v>@kafara666</v>
      </c>
      <c r="C38493" s="8" t="s">
        <v>14881</v>
      </c>
      <c r="D38493" s="8">
        <v>0</v>
      </c>
      <c r="E38493" s="8">
        <v>0</v>
      </c>
      <c r="F38493" s="8">
        <v>70</v>
      </c>
    </row>
    <row r="38494" spans="1:6" ht="12.75">
      <c r="A38494" s="8">
        <v>43887.232268518521</v>
      </c>
      <c r="B38494" s="8" t="str">
        <f>HYPERLINK("https://twitter.com/AHasanif","@AHasanif")</f>
        <v>@AHasanif</v>
      </c>
      <c r="C38494" s="8" t="s">
        <v>13365</v>
      </c>
      <c r="D38494" s="8">
        <v>438</v>
      </c>
      <c r="E38494" s="8">
        <v>0</v>
      </c>
      <c r="F38494" s="8">
        <v>134</v>
      </c>
    </row>
    <row r="38495" spans="1:6" ht="12.75">
      <c r="A38495" s="8">
        <v>43887.231550925921</v>
      </c>
      <c r="B38495" s="8" t="str">
        <f>HYPERLINK("https://twitter.com/rennotantoyo","@rennotantoyo")</f>
        <v>@rennotantoyo</v>
      </c>
      <c r="C38495" s="8" t="s">
        <v>13365</v>
      </c>
      <c r="D38495" s="8">
        <v>438</v>
      </c>
      <c r="E38495" s="8">
        <v>0</v>
      </c>
      <c r="F38495" s="8">
        <v>280</v>
      </c>
    </row>
    <row r="38496" spans="1:6" ht="12.75">
      <c r="A38496" s="8">
        <v>43887.230636574073</v>
      </c>
      <c r="B38496" s="8" t="str">
        <f>HYPERLINK("https://twitter.com/morrisssey","@morrisssey")</f>
        <v>@morrisssey</v>
      </c>
      <c r="C38496" s="8" t="s">
        <v>13365</v>
      </c>
      <c r="D38496" s="8">
        <v>438</v>
      </c>
      <c r="E38496" s="8">
        <v>0</v>
      </c>
      <c r="F38496" s="8">
        <v>288</v>
      </c>
    </row>
    <row r="38497" spans="1:6" ht="12.75">
      <c r="A38497" s="8">
        <v>43887.230451388888</v>
      </c>
      <c r="B38497" s="8" t="str">
        <f>HYPERLINK("https://twitter.com/sabriahrazak","@sabriahrazak")</f>
        <v>@sabriahrazak</v>
      </c>
      <c r="C38497" s="8" t="s">
        <v>11964</v>
      </c>
      <c r="D38497" s="8">
        <v>513</v>
      </c>
      <c r="E38497" s="8">
        <v>0</v>
      </c>
      <c r="F38497" s="8">
        <v>2285</v>
      </c>
    </row>
    <row r="38498" spans="1:6" ht="12.75">
      <c r="A38498" s="8">
        <v>43887.230393518519</v>
      </c>
      <c r="B38498" s="8" t="str">
        <f>HYPERLINK("https://twitter.com/GNotopriyanto","@GNotopriyanto")</f>
        <v>@GNotopriyanto</v>
      </c>
      <c r="C38498" s="8" t="s">
        <v>13365</v>
      </c>
      <c r="D38498" s="8">
        <v>438</v>
      </c>
      <c r="E38498" s="8">
        <v>0</v>
      </c>
      <c r="F38498" s="8">
        <v>28</v>
      </c>
    </row>
    <row r="38499" spans="1:6" ht="12.75">
      <c r="A38499" s="8">
        <v>43887.23038194445</v>
      </c>
      <c r="B38499" s="8" t="str">
        <f>HYPERLINK("https://twitter.com/puffclawndoryn","@puffclawndoryn")</f>
        <v>@puffclawndoryn</v>
      </c>
      <c r="C38499" s="8" t="s">
        <v>2940</v>
      </c>
      <c r="D38499" s="8">
        <v>2575</v>
      </c>
      <c r="E38499" s="8">
        <v>0</v>
      </c>
      <c r="F38499" s="8">
        <v>2620</v>
      </c>
    </row>
    <row r="38500" spans="1:6" ht="12.75">
      <c r="A38500" s="8">
        <v>43887.229930555557</v>
      </c>
      <c r="B38500" s="8" t="str">
        <f>HYPERLINK("https://twitter.com/GafurHalim","@GafurHalim")</f>
        <v>@GafurHalim</v>
      </c>
      <c r="C38500" s="8" t="s">
        <v>13365</v>
      </c>
      <c r="D38500" s="8">
        <v>438</v>
      </c>
      <c r="E38500" s="8">
        <v>0</v>
      </c>
      <c r="F38500" s="8">
        <v>164</v>
      </c>
    </row>
    <row r="38501" spans="1:6" ht="12.75">
      <c r="A38501" s="8">
        <v>43887.229386574079</v>
      </c>
      <c r="B38501" s="8" t="str">
        <f>HYPERLINK("https://twitter.com/bacotkadangg","@bacotkadangg")</f>
        <v>@bacotkadangg</v>
      </c>
      <c r="C38501" s="8" t="s">
        <v>14430</v>
      </c>
      <c r="D38501" s="8">
        <v>96</v>
      </c>
      <c r="E38501" s="8">
        <v>0</v>
      </c>
      <c r="F38501" s="8">
        <v>1744</v>
      </c>
    </row>
    <row r="38502" spans="1:6" ht="12.75">
      <c r="A38502" s="8">
        <v>43887.228495370371</v>
      </c>
      <c r="B38502" s="8" t="str">
        <f>HYPERLINK("https://twitter.com/djadasjah","@djadasjah")</f>
        <v>@djadasjah</v>
      </c>
      <c r="C38502" s="8" t="s">
        <v>14882</v>
      </c>
      <c r="D38502" s="8">
        <v>5</v>
      </c>
      <c r="E38502" s="8">
        <v>0</v>
      </c>
      <c r="F38502" s="8">
        <v>515</v>
      </c>
    </row>
    <row r="38503" spans="1:6" ht="12.75">
      <c r="A38503" s="8">
        <v>43887.228344907402</v>
      </c>
      <c r="B38503" s="8" t="str">
        <f>HYPERLINK("https://twitter.com/aprayugo2","@aprayugo2")</f>
        <v>@aprayugo2</v>
      </c>
      <c r="C38503" s="8" t="s">
        <v>2941</v>
      </c>
      <c r="D38503" s="8">
        <v>792</v>
      </c>
      <c r="E38503" s="8">
        <v>0</v>
      </c>
      <c r="F38503" s="8">
        <v>366</v>
      </c>
    </row>
    <row r="38504" spans="1:6" ht="12.75">
      <c r="A38504" s="8">
        <v>43887.226990740739</v>
      </c>
      <c r="B38504" s="8" t="str">
        <f>HYPERLINK("https://twitter.com/a_daud_ppnp","@a_daud_ppnp")</f>
        <v>@a_daud_ppnp</v>
      </c>
      <c r="C38504" s="8" t="s">
        <v>13365</v>
      </c>
      <c r="D38504" s="8">
        <v>438</v>
      </c>
      <c r="E38504" s="8">
        <v>0</v>
      </c>
      <c r="F38504" s="8">
        <v>134</v>
      </c>
    </row>
    <row r="38505" spans="1:6" ht="12.75">
      <c r="A38505" s="8">
        <v>43887.226620370369</v>
      </c>
      <c r="B38505" s="8" t="str">
        <f>HYPERLINK("https://twitter.com/ArhanPrahadi","@ArhanPrahadi")</f>
        <v>@ArhanPrahadi</v>
      </c>
      <c r="C38505" s="8" t="s">
        <v>13365</v>
      </c>
      <c r="D38505" s="8">
        <v>438</v>
      </c>
      <c r="E38505" s="8">
        <v>0</v>
      </c>
      <c r="F38505" s="8">
        <v>28</v>
      </c>
    </row>
    <row r="38506" spans="1:6" ht="12.75">
      <c r="A38506" s="8">
        <v>43887.226354166662</v>
      </c>
      <c r="B38506" s="8" t="str">
        <f>HYPERLINK("https://twitter.com/BangKarto86","@BangKarto86")</f>
        <v>@BangKarto86</v>
      </c>
      <c r="C38506" s="8" t="s">
        <v>13365</v>
      </c>
      <c r="D38506" s="8">
        <v>438</v>
      </c>
      <c r="E38506" s="8">
        <v>0</v>
      </c>
      <c r="F38506" s="8">
        <v>1166</v>
      </c>
    </row>
    <row r="38507" spans="1:6" ht="12.75">
      <c r="A38507" s="8">
        <v>43887.225752314815</v>
      </c>
      <c r="B38507" s="8" t="str">
        <f>HYPERLINK("https://twitter.com/afkarh","@afkarh")</f>
        <v>@afkarh</v>
      </c>
      <c r="C38507" s="8" t="s">
        <v>13365</v>
      </c>
      <c r="D38507" s="8">
        <v>438</v>
      </c>
      <c r="E38507" s="8">
        <v>0</v>
      </c>
      <c r="F38507" s="8">
        <v>482</v>
      </c>
    </row>
    <row r="38508" spans="1:6" ht="12.75">
      <c r="A38508" s="8">
        <v>43887.22555555556</v>
      </c>
      <c r="B38508" s="8" t="str">
        <f>HYPERLINK("https://twitter.com/turangga2618","@turangga2618")</f>
        <v>@turangga2618</v>
      </c>
      <c r="C38508" s="8" t="s">
        <v>2940</v>
      </c>
      <c r="D38508" s="8">
        <v>2575</v>
      </c>
      <c r="E38508" s="8">
        <v>0</v>
      </c>
      <c r="F38508" s="8">
        <v>58</v>
      </c>
    </row>
    <row r="38509" spans="1:6" ht="12.75">
      <c r="A38509" s="8">
        <v>43887.225474537037</v>
      </c>
      <c r="B38509" s="8" t="str">
        <f>HYPERLINK("https://twitter.com/Singh62963292","@Singh62963292")</f>
        <v>@Singh62963292</v>
      </c>
      <c r="C38509" s="8" t="s">
        <v>14883</v>
      </c>
      <c r="D38509" s="8">
        <v>2</v>
      </c>
      <c r="E38509" s="8">
        <v>0</v>
      </c>
      <c r="F38509" s="8">
        <v>1</v>
      </c>
    </row>
    <row r="38510" spans="1:6" ht="12.75">
      <c r="A38510" s="8">
        <v>43887.224849537037</v>
      </c>
      <c r="B38510" s="8" t="str">
        <f>HYPERLINK("https://twitter.com/ayambebeks","@ayambebeks")</f>
        <v>@ayambebeks</v>
      </c>
      <c r="C38510" s="8" t="s">
        <v>13365</v>
      </c>
      <c r="D38510" s="8">
        <v>438</v>
      </c>
      <c r="E38510" s="8">
        <v>0</v>
      </c>
      <c r="F38510" s="8">
        <v>254</v>
      </c>
    </row>
    <row r="38511" spans="1:6" ht="12.75">
      <c r="A38511" s="8">
        <v>43887.224502314813</v>
      </c>
      <c r="B38511" s="8" t="str">
        <f>HYPERLINK("https://twitter.com/IArief18","@IArief18")</f>
        <v>@IArief18</v>
      </c>
      <c r="C38511" s="8" t="s">
        <v>13365</v>
      </c>
      <c r="D38511" s="8">
        <v>438</v>
      </c>
      <c r="E38511" s="8">
        <v>0</v>
      </c>
      <c r="F38511" s="8">
        <v>20</v>
      </c>
    </row>
    <row r="38512" spans="1:6" ht="12.75">
      <c r="A38512" s="8">
        <v>43887.224085648151</v>
      </c>
      <c r="B38512" s="8" t="str">
        <f>HYPERLINK("https://twitter.com/UncleRain2","@UncleRain2")</f>
        <v>@UncleRain2</v>
      </c>
      <c r="C38512" s="8" t="s">
        <v>13365</v>
      </c>
      <c r="D38512" s="8">
        <v>438</v>
      </c>
      <c r="E38512" s="8">
        <v>0</v>
      </c>
      <c r="F38512" s="8">
        <v>667</v>
      </c>
    </row>
    <row r="38513" spans="1:6" ht="12.75">
      <c r="A38513" s="8">
        <v>43887.224085648151</v>
      </c>
      <c r="B38513" s="8" t="str">
        <f>HYPERLINK("https://twitter.com/jack_setengah12","@jack_setengah12")</f>
        <v>@jack_setengah12</v>
      </c>
      <c r="C38513" s="8" t="s">
        <v>14884</v>
      </c>
      <c r="D38513" s="8">
        <v>0</v>
      </c>
      <c r="E38513" s="8">
        <v>0</v>
      </c>
      <c r="F38513" s="8">
        <v>1</v>
      </c>
    </row>
    <row r="38514" spans="1:6" ht="12.75">
      <c r="A38514" s="8">
        <v>43887.214872685188</v>
      </c>
      <c r="B38514" s="8" t="str">
        <f t="shared" ref="B38514:B38515" si="576">HYPERLINK("https://twitter.com/sunaf_kin_R","@sunaf_kin_R")</f>
        <v>@sunaf_kin_R</v>
      </c>
      <c r="C38514" s="8" t="s">
        <v>13834</v>
      </c>
      <c r="D38514" s="8">
        <v>156</v>
      </c>
      <c r="E38514" s="8">
        <v>0</v>
      </c>
      <c r="F38514" s="8">
        <v>1450</v>
      </c>
    </row>
    <row r="38515" spans="1:6" ht="12.75">
      <c r="A38515" s="8">
        <v>43887.214467592596</v>
      </c>
      <c r="B38515" s="8" t="str">
        <f t="shared" si="576"/>
        <v>@sunaf_kin_R</v>
      </c>
      <c r="C38515" s="8" t="s">
        <v>8484</v>
      </c>
      <c r="D38515" s="8">
        <v>929</v>
      </c>
      <c r="E38515" s="8">
        <v>0</v>
      </c>
      <c r="F38515" s="8">
        <v>1450</v>
      </c>
    </row>
    <row r="38516" spans="1:6" ht="12.75">
      <c r="A38516" s="8">
        <v>43887.214386574073</v>
      </c>
      <c r="B38516" s="8" t="str">
        <f>HYPERLINK("https://twitter.com/pupu0875","@pupu0875")</f>
        <v>@pupu0875</v>
      </c>
      <c r="C38516" s="8" t="s">
        <v>13365</v>
      </c>
      <c r="D38516" s="8">
        <v>378</v>
      </c>
      <c r="E38516" s="8">
        <v>0</v>
      </c>
      <c r="F38516" s="8">
        <v>60</v>
      </c>
    </row>
    <row r="38517" spans="1:6" ht="12.75">
      <c r="A38517" s="8">
        <v>43887.213958333334</v>
      </c>
      <c r="B38517" s="8" t="str">
        <f>HYPERLINK("https://twitter.com/AgusPerjaka","@AgusPerjaka")</f>
        <v>@AgusPerjaka</v>
      </c>
      <c r="C38517" s="8" t="s">
        <v>13365</v>
      </c>
      <c r="D38517" s="8">
        <v>378</v>
      </c>
      <c r="E38517" s="8">
        <v>0</v>
      </c>
      <c r="F38517" s="8">
        <v>332</v>
      </c>
    </row>
    <row r="38518" spans="1:6" ht="12.75">
      <c r="A38518" s="8">
        <v>43887.213865740741</v>
      </c>
      <c r="B38518" s="8" t="str">
        <f>HYPERLINK("https://twitter.com/febirizkyr","@febirizkyr")</f>
        <v>@febirizkyr</v>
      </c>
      <c r="C38518" s="8" t="s">
        <v>13365</v>
      </c>
      <c r="D38518" s="8">
        <v>378</v>
      </c>
      <c r="E38518" s="8">
        <v>0</v>
      </c>
      <c r="F38518" s="8">
        <v>103</v>
      </c>
    </row>
    <row r="38519" spans="1:6" ht="12.75">
      <c r="A38519" s="8">
        <v>43887.213460648149</v>
      </c>
      <c r="B38519" s="8" t="str">
        <f>HYPERLINK("https://twitter.com/ISIS_Kasiab","@ISIS_Kasiab")</f>
        <v>@ISIS_Kasiab</v>
      </c>
      <c r="C38519" s="8" t="s">
        <v>14885</v>
      </c>
      <c r="D38519" s="8">
        <v>0</v>
      </c>
      <c r="E38519" s="8">
        <v>0</v>
      </c>
      <c r="F38519" s="8">
        <v>139</v>
      </c>
    </row>
    <row r="38520" spans="1:6" ht="12.75">
      <c r="A38520" s="8">
        <v>43887.213275462964</v>
      </c>
      <c r="B38520" s="8" t="str">
        <f>HYPERLINK("https://twitter.com/HambaAl37320305","@HambaAl37320305")</f>
        <v>@HambaAl37320305</v>
      </c>
      <c r="C38520" s="8" t="s">
        <v>13365</v>
      </c>
      <c r="D38520" s="8">
        <v>378</v>
      </c>
      <c r="E38520" s="8">
        <v>0</v>
      </c>
      <c r="F38520" s="8">
        <v>58</v>
      </c>
    </row>
    <row r="38521" spans="1:6" ht="12.75">
      <c r="A38521" s="8">
        <v>43887.212673611109</v>
      </c>
      <c r="B38521" s="8" t="str">
        <f>HYPERLINK("https://twitter.com/hhxneybee__","@hhxneybee__")</f>
        <v>@hhxneybee__</v>
      </c>
      <c r="C38521" s="8" t="s">
        <v>2941</v>
      </c>
      <c r="D38521" s="8">
        <v>780</v>
      </c>
      <c r="E38521" s="8">
        <v>0</v>
      </c>
      <c r="F38521" s="8">
        <v>1308</v>
      </c>
    </row>
    <row r="38522" spans="1:6" ht="12.75">
      <c r="A38522" s="8">
        <v>43887.211261574077</v>
      </c>
      <c r="B38522" s="8" t="str">
        <f>HYPERLINK("https://twitter.com/KopBam","@KopBam")</f>
        <v>@KopBam</v>
      </c>
      <c r="C38522" s="8" t="s">
        <v>13365</v>
      </c>
      <c r="D38522" s="8">
        <v>378</v>
      </c>
      <c r="E38522" s="8">
        <v>0</v>
      </c>
      <c r="F38522" s="8">
        <v>539</v>
      </c>
    </row>
    <row r="38523" spans="1:6" ht="12.75">
      <c r="A38523" s="8">
        <v>43887.211180555554</v>
      </c>
      <c r="B38523" s="8" t="str">
        <f>HYPERLINK("https://twitter.com/ISIS_Kasiab","@ISIS_Kasiab")</f>
        <v>@ISIS_Kasiab</v>
      </c>
      <c r="C38523" s="8" t="s">
        <v>14886</v>
      </c>
      <c r="D38523" s="8">
        <v>0</v>
      </c>
      <c r="E38523" s="8">
        <v>0</v>
      </c>
      <c r="F38523" s="8">
        <v>139</v>
      </c>
    </row>
    <row r="38524" spans="1:6" ht="12.75">
      <c r="A38524" s="8">
        <v>43887.210902777777</v>
      </c>
      <c r="B38524" s="8" t="str">
        <f>HYPERLINK("https://twitter.com/Npta_","@Npta_")</f>
        <v>@Npta_</v>
      </c>
      <c r="C38524" s="8" t="s">
        <v>13365</v>
      </c>
      <c r="D38524" s="8">
        <v>378</v>
      </c>
      <c r="E38524" s="8">
        <v>0</v>
      </c>
      <c r="F38524" s="8">
        <v>397</v>
      </c>
    </row>
    <row r="38525" spans="1:6" ht="12.75">
      <c r="A38525" s="8">
        <v>43887.210740740746</v>
      </c>
      <c r="B38525" s="8" t="str">
        <f>HYPERLINK("https://twitter.com/sakuryumame","@sakuryumame")</f>
        <v>@sakuryumame</v>
      </c>
      <c r="C38525" s="8" t="s">
        <v>8484</v>
      </c>
      <c r="D38525" s="8">
        <v>929</v>
      </c>
      <c r="E38525" s="8">
        <v>0</v>
      </c>
      <c r="F38525" s="8">
        <v>243</v>
      </c>
    </row>
    <row r="38526" spans="1:6" ht="12.75">
      <c r="A38526" s="8">
        <v>43887.209606481483</v>
      </c>
      <c r="B38526" s="8" t="str">
        <f>HYPERLINK("https://twitter.com/isna72rosyid","@isna72rosyid")</f>
        <v>@isna72rosyid</v>
      </c>
      <c r="C38526" s="8" t="s">
        <v>14887</v>
      </c>
      <c r="D38526" s="8">
        <v>62</v>
      </c>
      <c r="E38526" s="8">
        <v>0</v>
      </c>
      <c r="F38526" s="8">
        <v>2021</v>
      </c>
    </row>
    <row r="38527" spans="1:6" ht="12.75">
      <c r="A38527" s="8">
        <v>43887.209270833337</v>
      </c>
      <c r="B38527" s="8" t="str">
        <f>HYPERLINK("https://twitter.com/jack_bidexs","@jack_bidexs")</f>
        <v>@jack_bidexs</v>
      </c>
      <c r="C38527" s="8" t="s">
        <v>13365</v>
      </c>
      <c r="D38527" s="8">
        <v>378</v>
      </c>
      <c r="E38527" s="8">
        <v>0</v>
      </c>
      <c r="F38527" s="8">
        <v>722</v>
      </c>
    </row>
    <row r="38528" spans="1:6" ht="12.75">
      <c r="A38528" s="8">
        <v>43887.209004629629</v>
      </c>
      <c r="B38528" s="8" t="str">
        <f>HYPERLINK("https://twitter.com/LokadataID","@LokadataID")</f>
        <v>@LokadataID</v>
      </c>
      <c r="C38528" s="8" t="s">
        <v>14888</v>
      </c>
      <c r="D38528" s="8">
        <v>0</v>
      </c>
      <c r="E38528" s="8">
        <v>0</v>
      </c>
      <c r="F38528" s="8">
        <v>512823</v>
      </c>
    </row>
    <row r="38529" spans="1:6" ht="12.75">
      <c r="A38529" s="8">
        <v>43887.208784722221</v>
      </c>
      <c r="B38529" s="8" t="str">
        <f>HYPERLINK("https://twitter.com/kawakitakoji","@kawakitakoji")</f>
        <v>@kawakitakoji</v>
      </c>
      <c r="C38529" s="8" t="s">
        <v>8484</v>
      </c>
      <c r="D38529" s="8">
        <v>929</v>
      </c>
      <c r="E38529" s="8">
        <v>0</v>
      </c>
      <c r="F38529" s="8">
        <v>129</v>
      </c>
    </row>
    <row r="38530" spans="1:6" ht="12.75">
      <c r="A38530" s="8">
        <v>43887.208518518513</v>
      </c>
      <c r="B38530" s="8" t="str">
        <f>HYPERLINK("https://twitter.com/DeswitaNualf","@DeswitaNualf")</f>
        <v>@DeswitaNualf</v>
      </c>
      <c r="C38530" s="8" t="s">
        <v>13365</v>
      </c>
      <c r="D38530" s="8">
        <v>378</v>
      </c>
      <c r="E38530" s="8">
        <v>0</v>
      </c>
      <c r="F38530" s="8">
        <v>11</v>
      </c>
    </row>
    <row r="38531" spans="1:6" ht="12.75">
      <c r="A38531" s="8">
        <v>43887.208414351851</v>
      </c>
      <c r="B38531" s="8" t="str">
        <f>HYPERLINK("https://twitter.com/kritisrasional","@kritisrasional")</f>
        <v>@kritisrasional</v>
      </c>
      <c r="C38531" s="8" t="s">
        <v>13365</v>
      </c>
      <c r="D38531" s="8">
        <v>378</v>
      </c>
      <c r="E38531" s="8">
        <v>0</v>
      </c>
      <c r="F38531" s="8">
        <v>88</v>
      </c>
    </row>
    <row r="38532" spans="1:6" ht="12.75">
      <c r="A38532" s="8">
        <v>43887.20820601852</v>
      </c>
      <c r="B38532" s="8" t="str">
        <f>HYPERLINK("https://twitter.com/AmaliaDesta2","@AmaliaDesta2")</f>
        <v>@AmaliaDesta2</v>
      </c>
      <c r="C38532" s="8" t="s">
        <v>14225</v>
      </c>
      <c r="D38532" s="8">
        <v>0</v>
      </c>
      <c r="E38532" s="8">
        <v>0</v>
      </c>
      <c r="F38532" s="8">
        <v>351</v>
      </c>
    </row>
    <row r="38533" spans="1:6" ht="12.75">
      <c r="A38533" s="8">
        <v>43887.208067129628</v>
      </c>
      <c r="B38533" s="8" t="str">
        <f>HYPERLINK("https://twitter.com/upqn","@upqn")</f>
        <v>@upqn</v>
      </c>
      <c r="C38533" s="8" t="s">
        <v>2940</v>
      </c>
      <c r="D38533" s="8">
        <v>2566</v>
      </c>
      <c r="E38533" s="8">
        <v>0</v>
      </c>
      <c r="F38533" s="8">
        <v>145</v>
      </c>
    </row>
    <row r="38534" spans="1:6" ht="12.75">
      <c r="A38534" s="8">
        <v>43887.208020833335</v>
      </c>
      <c r="B38534" s="8" t="str">
        <f>HYPERLINK("https://twitter.com/NurulAmlia01","@NurulAmlia01")</f>
        <v>@NurulAmlia01</v>
      </c>
      <c r="C38534" s="8" t="s">
        <v>14225</v>
      </c>
      <c r="D38534" s="8">
        <v>0</v>
      </c>
      <c r="E38534" s="8">
        <v>0</v>
      </c>
      <c r="F38534" s="8">
        <v>428</v>
      </c>
    </row>
    <row r="38535" spans="1:6" ht="12.75">
      <c r="A38535" s="8">
        <v>43887.207696759258</v>
      </c>
      <c r="B38535" s="8" t="str">
        <f>HYPERLINK("https://twitter.com/sobatmeong","@sobatmeong")</f>
        <v>@sobatmeong</v>
      </c>
      <c r="C38535" s="8" t="s">
        <v>6638</v>
      </c>
      <c r="D38535" s="8">
        <v>63</v>
      </c>
      <c r="E38535" s="8">
        <v>0</v>
      </c>
      <c r="F38535" s="8">
        <v>46</v>
      </c>
    </row>
    <row r="38536" spans="1:6" ht="12.75">
      <c r="A38536" s="8">
        <v>43887.20694444445</v>
      </c>
      <c r="B38536" s="8" t="str">
        <f>HYPERLINK("https://twitter.com/idayu_wien","@idayu_wien")</f>
        <v>@idayu_wien</v>
      </c>
      <c r="C38536" s="8" t="s">
        <v>13365</v>
      </c>
      <c r="D38536" s="8">
        <v>378</v>
      </c>
      <c r="E38536" s="8">
        <v>0</v>
      </c>
      <c r="F38536" s="8">
        <v>1360</v>
      </c>
    </row>
    <row r="38537" spans="1:6" ht="12.75">
      <c r="A38537" s="8">
        <v>43887.206886574073</v>
      </c>
      <c r="B38537" s="8" t="str">
        <f>HYPERLINK("https://twitter.com/ddtairlangga","@ddtairlangga")</f>
        <v>@ddtairlangga</v>
      </c>
      <c r="C38537" s="8" t="s">
        <v>13365</v>
      </c>
      <c r="D38537" s="8">
        <v>378</v>
      </c>
      <c r="E38537" s="8">
        <v>0</v>
      </c>
      <c r="F38537" s="8">
        <v>352</v>
      </c>
    </row>
    <row r="38538" spans="1:6" ht="12.75">
      <c r="A38538" s="8">
        <v>43887.206319444449</v>
      </c>
      <c r="B38538" s="8" t="str">
        <f>HYPERLINK("https://twitter.com/DivaRadioqu","@DivaRadioqu")</f>
        <v>@DivaRadioqu</v>
      </c>
      <c r="C38538" s="8" t="s">
        <v>14889</v>
      </c>
      <c r="D38538" s="8">
        <v>0</v>
      </c>
      <c r="E38538" s="8">
        <v>0</v>
      </c>
      <c r="F38538" s="8">
        <v>256</v>
      </c>
    </row>
    <row r="38539" spans="1:6" ht="12.75">
      <c r="A38539" s="8">
        <v>43887.205057870371</v>
      </c>
      <c r="B38539" s="8" t="str">
        <f>HYPERLINK("https://twitter.com/rofiqma_mun","@rofiqma_mun")</f>
        <v>@rofiqma_mun</v>
      </c>
      <c r="C38539" s="8" t="s">
        <v>11183</v>
      </c>
      <c r="D38539" s="8">
        <v>267</v>
      </c>
      <c r="E38539" s="8">
        <v>0</v>
      </c>
      <c r="F38539" s="8">
        <v>1326</v>
      </c>
    </row>
    <row r="38540" spans="1:6" ht="12.75">
      <c r="A38540" s="8">
        <v>43887.20475694444</v>
      </c>
      <c r="B38540" s="8" t="str">
        <f>HYPERLINK("https://twitter.com/Arisyanabassama","@Arisyanabassama")</f>
        <v>@Arisyanabassama</v>
      </c>
      <c r="C38540" s="8" t="s">
        <v>13365</v>
      </c>
      <c r="D38540" s="8">
        <v>378</v>
      </c>
      <c r="E38540" s="8">
        <v>0</v>
      </c>
      <c r="F38540" s="8">
        <v>400</v>
      </c>
    </row>
    <row r="38541" spans="1:6" ht="12.75">
      <c r="A38541" s="8">
        <v>43887.20447916667</v>
      </c>
      <c r="B38541" s="8" t="str">
        <f>HYPERLINK("https://twitter.com/Fajar_RAR","@Fajar_RAR")</f>
        <v>@Fajar_RAR</v>
      </c>
      <c r="C38541" s="8" t="s">
        <v>13365</v>
      </c>
      <c r="D38541" s="8">
        <v>378</v>
      </c>
      <c r="E38541" s="8">
        <v>0</v>
      </c>
      <c r="F38541" s="8">
        <v>632</v>
      </c>
    </row>
    <row r="38542" spans="1:6" ht="12.75">
      <c r="A38542" s="8">
        <v>43887.20412037037</v>
      </c>
      <c r="B38542" s="8" t="str">
        <f>HYPERLINK("https://twitter.com/v_aji","@v_aji")</f>
        <v>@v_aji</v>
      </c>
      <c r="C38542" s="8" t="s">
        <v>11964</v>
      </c>
      <c r="D38542" s="8">
        <v>508</v>
      </c>
      <c r="E38542" s="8">
        <v>0</v>
      </c>
      <c r="F38542" s="8">
        <v>220</v>
      </c>
    </row>
    <row r="38543" spans="1:6" ht="12.75">
      <c r="A38543" s="8">
        <v>43887.201597222222</v>
      </c>
      <c r="B38543" s="8" t="str">
        <f>HYPERLINK("https://twitter.com/Elmirakid","@Elmirakid")</f>
        <v>@Elmirakid</v>
      </c>
      <c r="C38543" s="8" t="s">
        <v>13365</v>
      </c>
      <c r="D38543" s="8">
        <v>378</v>
      </c>
      <c r="E38543" s="8">
        <v>0</v>
      </c>
      <c r="F38543" s="8">
        <v>1968</v>
      </c>
    </row>
    <row r="38544" spans="1:6" ht="12.75">
      <c r="A38544" s="8">
        <v>43887.200972222221</v>
      </c>
      <c r="B38544" s="8" t="str">
        <f>HYPERLINK("https://twitter.com/syaimsyaim","@syaimsyaim")</f>
        <v>@syaimsyaim</v>
      </c>
      <c r="C38544" s="8" t="s">
        <v>2941</v>
      </c>
      <c r="D38544" s="8">
        <v>780</v>
      </c>
      <c r="E38544" s="8">
        <v>0</v>
      </c>
      <c r="F38544" s="8">
        <v>408</v>
      </c>
    </row>
    <row r="38545" spans="1:6" ht="12.75">
      <c r="A38545" s="8">
        <v>43887.200729166667</v>
      </c>
      <c r="B38545" s="8" t="str">
        <f>HYPERLINK("https://twitter.com/boxgata","@boxgata")</f>
        <v>@boxgata</v>
      </c>
      <c r="C38545" s="8" t="s">
        <v>2940</v>
      </c>
      <c r="D38545" s="8">
        <v>2566</v>
      </c>
      <c r="E38545" s="8">
        <v>0</v>
      </c>
      <c r="F38545" s="8">
        <v>397</v>
      </c>
    </row>
    <row r="38546" spans="1:6" ht="12.75">
      <c r="A38546" s="8">
        <v>43887.199895833328</v>
      </c>
      <c r="B38546" s="8" t="str">
        <f t="shared" ref="B38546:B38547" si="577">HYPERLINK("https://twitter.com/mzirkir8989","@mzirkir8989")</f>
        <v>@mzirkir8989</v>
      </c>
      <c r="C38546" s="8" t="s">
        <v>14106</v>
      </c>
      <c r="D38546" s="8">
        <v>142</v>
      </c>
      <c r="E38546" s="8">
        <v>0</v>
      </c>
      <c r="F38546" s="8">
        <v>1618</v>
      </c>
    </row>
    <row r="38547" spans="1:6" ht="12.75">
      <c r="A38547" s="8">
        <v>43887.199837962966</v>
      </c>
      <c r="B38547" s="8" t="str">
        <f t="shared" si="577"/>
        <v>@mzirkir8989</v>
      </c>
      <c r="C38547" s="8" t="s">
        <v>13834</v>
      </c>
      <c r="D38547" s="8">
        <v>156</v>
      </c>
      <c r="E38547" s="8">
        <v>0</v>
      </c>
      <c r="F38547" s="8">
        <v>1618</v>
      </c>
    </row>
    <row r="38548" spans="1:6" ht="12.75">
      <c r="A38548" s="8">
        <v>43887.199745370366</v>
      </c>
      <c r="B38548" s="8" t="str">
        <f>HYPERLINK("https://twitter.com/boxgata","@boxgata")</f>
        <v>@boxgata</v>
      </c>
      <c r="C38548" s="8" t="s">
        <v>8484</v>
      </c>
      <c r="D38548" s="8">
        <v>929</v>
      </c>
      <c r="E38548" s="8">
        <v>0</v>
      </c>
      <c r="F38548" s="8">
        <v>397</v>
      </c>
    </row>
    <row r="38549" spans="1:6" ht="12.75">
      <c r="A38549" s="8">
        <v>43887.199594907404</v>
      </c>
      <c r="B38549" s="8" t="str">
        <f>HYPERLINK("https://twitter.com/mzirkir8989","@mzirkir8989")</f>
        <v>@mzirkir8989</v>
      </c>
      <c r="C38549" s="8" t="s">
        <v>8484</v>
      </c>
      <c r="D38549" s="8">
        <v>929</v>
      </c>
      <c r="E38549" s="8">
        <v>0</v>
      </c>
      <c r="F38549" s="8">
        <v>1618</v>
      </c>
    </row>
    <row r="38550" spans="1:6" ht="12.75">
      <c r="A38550" s="8">
        <v>43887.199178240742</v>
      </c>
      <c r="B38550" s="8" t="str">
        <f>HYPERLINK("https://twitter.com/akuntww","@akuntww")</f>
        <v>@akuntww</v>
      </c>
      <c r="C38550" s="8" t="s">
        <v>2941</v>
      </c>
      <c r="D38550" s="8">
        <v>780</v>
      </c>
      <c r="E38550" s="8">
        <v>0</v>
      </c>
      <c r="F38550" s="8">
        <v>526</v>
      </c>
    </row>
    <row r="38551" spans="1:6" ht="12.75">
      <c r="A38551" s="8">
        <v>43887.199155092589</v>
      </c>
      <c r="B38551" s="8" t="str">
        <f>HYPERLINK("https://twitter.com/mzirkir8989","@mzirkir8989")</f>
        <v>@mzirkir8989</v>
      </c>
      <c r="C38551" s="8" t="s">
        <v>2940</v>
      </c>
      <c r="D38551" s="8">
        <v>2566</v>
      </c>
      <c r="E38551" s="8">
        <v>0</v>
      </c>
      <c r="F38551" s="8">
        <v>1618</v>
      </c>
    </row>
    <row r="38552" spans="1:6" ht="12.75">
      <c r="A38552" s="8">
        <v>43887.198425925926</v>
      </c>
      <c r="B38552" s="8" t="str">
        <f>HYPERLINK("https://twitter.com/AiAiAine","@AiAiAine")</f>
        <v>@AiAiAine</v>
      </c>
      <c r="C38552" s="8" t="s">
        <v>2940</v>
      </c>
      <c r="D38552" s="8">
        <v>2566</v>
      </c>
      <c r="E38552" s="8">
        <v>0</v>
      </c>
      <c r="F38552" s="8">
        <v>2468</v>
      </c>
    </row>
    <row r="38553" spans="1:6" ht="12.75">
      <c r="A38553" s="8">
        <v>43887.198078703703</v>
      </c>
      <c r="B38553" s="8" t="str">
        <f>HYPERLINK("https://twitter.com/empukyangnyaman","@empukyangnyaman")</f>
        <v>@empukyangnyaman</v>
      </c>
      <c r="C38553" s="8" t="s">
        <v>2941</v>
      </c>
      <c r="D38553" s="8">
        <v>780</v>
      </c>
      <c r="E38553" s="8">
        <v>0</v>
      </c>
      <c r="F38553" s="8">
        <v>909</v>
      </c>
    </row>
    <row r="38554" spans="1:6" ht="12.75">
      <c r="A38554" s="8">
        <v>43887.198020833333</v>
      </c>
      <c r="B38554" s="8" t="str">
        <f>HYPERLINK("https://twitter.com/sumqid","@sumqid")</f>
        <v>@sumqid</v>
      </c>
      <c r="C38554" s="8" t="s">
        <v>14365</v>
      </c>
      <c r="D38554" s="8">
        <v>20</v>
      </c>
      <c r="E38554" s="8">
        <v>0</v>
      </c>
      <c r="F38554" s="8">
        <v>444</v>
      </c>
    </row>
    <row r="38555" spans="1:6" ht="12.75">
      <c r="A38555" s="8">
        <v>43887.197858796295</v>
      </c>
      <c r="B38555" s="8" t="str">
        <f>HYPERLINK("https://twitter.com/ariansyahz","@ariansyahz")</f>
        <v>@ariansyahz</v>
      </c>
      <c r="C38555" s="8" t="s">
        <v>13365</v>
      </c>
      <c r="D38555" s="8">
        <v>378</v>
      </c>
      <c r="E38555" s="8">
        <v>0</v>
      </c>
      <c r="F38555" s="8">
        <v>3204</v>
      </c>
    </row>
    <row r="38556" spans="1:6" ht="12.75">
      <c r="A38556" s="8">
        <v>43887.197754629626</v>
      </c>
      <c r="B38556" s="8" t="str">
        <f>HYPERLINK("https://twitter.com/JajeToples","@JajeToples")</f>
        <v>@JajeToples</v>
      </c>
      <c r="C38556" s="8" t="s">
        <v>13365</v>
      </c>
      <c r="D38556" s="8">
        <v>378</v>
      </c>
      <c r="E38556" s="8">
        <v>0</v>
      </c>
      <c r="F38556" s="8">
        <v>291</v>
      </c>
    </row>
    <row r="38557" spans="1:6" ht="12.75">
      <c r="A38557" s="8">
        <v>43887.197488425925</v>
      </c>
      <c r="B38557" s="8" t="str">
        <f>HYPERLINK("https://twitter.com/edithzafirah","@edithzafirah")</f>
        <v>@edithzafirah</v>
      </c>
      <c r="C38557" s="8" t="s">
        <v>13365</v>
      </c>
      <c r="D38557" s="8">
        <v>378</v>
      </c>
      <c r="E38557" s="8">
        <v>0</v>
      </c>
      <c r="F38557" s="8">
        <v>311</v>
      </c>
    </row>
    <row r="38558" spans="1:6" ht="12.75">
      <c r="A38558" s="8">
        <v>43887.197430555556</v>
      </c>
      <c r="B38558" s="8" t="str">
        <f>HYPERLINK("https://twitter.com/bhaja27","@bhaja27")</f>
        <v>@bhaja27</v>
      </c>
      <c r="C38558" s="8" t="s">
        <v>14882</v>
      </c>
      <c r="D38558" s="8">
        <v>4</v>
      </c>
      <c r="E38558" s="8">
        <v>0</v>
      </c>
      <c r="F38558" s="8">
        <v>748</v>
      </c>
    </row>
    <row r="38559" spans="1:6" ht="12.75">
      <c r="A38559" s="8">
        <v>43887.197164351848</v>
      </c>
      <c r="B38559" s="8" t="str">
        <f>HYPERLINK("https://twitter.com/Astrydrmynti","@Astrydrmynti")</f>
        <v>@Astrydrmynti</v>
      </c>
      <c r="C38559" s="8" t="s">
        <v>2941</v>
      </c>
      <c r="D38559" s="8">
        <v>780</v>
      </c>
      <c r="E38559" s="8">
        <v>0</v>
      </c>
      <c r="F38559" s="8">
        <v>839</v>
      </c>
    </row>
    <row r="38560" spans="1:6" ht="12.75">
      <c r="A38560" s="8">
        <v>43887.196932870371</v>
      </c>
      <c r="B38560" s="8" t="str">
        <f>HYPERLINK("https://twitter.com/qingxiang_wushu","@qingxiang_wushu")</f>
        <v>@qingxiang_wushu</v>
      </c>
      <c r="C38560" s="8" t="s">
        <v>2940</v>
      </c>
      <c r="D38560" s="8">
        <v>2566</v>
      </c>
      <c r="E38560" s="8">
        <v>0</v>
      </c>
      <c r="F38560" s="8">
        <v>2964</v>
      </c>
    </row>
    <row r="38561" spans="1:6" ht="12.75">
      <c r="A38561" s="8">
        <v>43887.19631944444</v>
      </c>
      <c r="B38561" s="8" t="str">
        <f>HYPERLINK("https://twitter.com/lilobrr","@lilobrr")</f>
        <v>@lilobrr</v>
      </c>
      <c r="C38561" s="8" t="s">
        <v>14890</v>
      </c>
      <c r="D38561" s="8">
        <v>0</v>
      </c>
      <c r="E38561" s="8">
        <v>0</v>
      </c>
      <c r="F38561" s="8">
        <v>132</v>
      </c>
    </row>
    <row r="38562" spans="1:6" ht="12.75">
      <c r="A38562" s="8">
        <v>43887.195879629631</v>
      </c>
      <c r="B38562" s="8" t="str">
        <f>HYPERLINK("https://twitter.com/Tyan80625836","@Tyan80625836")</f>
        <v>@Tyan80625836</v>
      </c>
      <c r="C38562" s="8" t="s">
        <v>13365</v>
      </c>
      <c r="D38562" s="8">
        <v>378</v>
      </c>
      <c r="E38562" s="8">
        <v>0</v>
      </c>
      <c r="F38562" s="8">
        <v>10</v>
      </c>
    </row>
    <row r="38563" spans="1:6" ht="12.75">
      <c r="A38563" s="8">
        <v>43887.195740740739</v>
      </c>
      <c r="B38563" s="8" t="str">
        <f>HYPERLINK("https://twitter.com/adefadlee","@adefadlee")</f>
        <v>@adefadlee</v>
      </c>
      <c r="C38563" s="8" t="s">
        <v>13181</v>
      </c>
      <c r="D38563" s="8">
        <v>1174</v>
      </c>
      <c r="E38563" s="8">
        <v>0</v>
      </c>
      <c r="F38563" s="8">
        <v>211</v>
      </c>
    </row>
    <row r="38564" spans="1:6" ht="12.75">
      <c r="A38564" s="8">
        <v>43887.195474537039</v>
      </c>
      <c r="B38564" s="8" t="str">
        <f>HYPERLINK("https://twitter.com/mangkuyudan4","@mangkuyudan4")</f>
        <v>@mangkuyudan4</v>
      </c>
      <c r="C38564" s="8" t="s">
        <v>2941</v>
      </c>
      <c r="D38564" s="8">
        <v>780</v>
      </c>
      <c r="E38564" s="8">
        <v>0</v>
      </c>
      <c r="F38564" s="8">
        <v>233</v>
      </c>
    </row>
    <row r="38565" spans="1:6" ht="12.75">
      <c r="A38565" s="8">
        <v>43887.195162037038</v>
      </c>
      <c r="B38565" s="8" t="str">
        <f>HYPERLINK("https://twitter.com/AbuMuqbil4","@AbuMuqbil4")</f>
        <v>@AbuMuqbil4</v>
      </c>
      <c r="C38565" s="8" t="s">
        <v>13365</v>
      </c>
      <c r="D38565" s="8">
        <v>378</v>
      </c>
      <c r="E38565" s="8">
        <v>0</v>
      </c>
      <c r="F38565" s="8">
        <v>35</v>
      </c>
    </row>
    <row r="38566" spans="1:6" ht="12.75">
      <c r="A38566" s="8">
        <v>43887.194930555561</v>
      </c>
      <c r="B38566" s="8" t="str">
        <f>HYPERLINK("https://twitter.com/Doel15806331","@Doel15806331")</f>
        <v>@Doel15806331</v>
      </c>
      <c r="C38566" s="8" t="s">
        <v>14891</v>
      </c>
      <c r="D38566" s="8">
        <v>943</v>
      </c>
      <c r="E38566" s="8">
        <v>0</v>
      </c>
      <c r="F38566" s="8">
        <v>523</v>
      </c>
    </row>
    <row r="38567" spans="1:6" ht="12.75">
      <c r="A38567" s="8">
        <v>43887.193703703699</v>
      </c>
      <c r="B38567" s="8" t="str">
        <f>HYPERLINK("https://twitter.com/jeroen_sluiter","@jeroen_sluiter")</f>
        <v>@jeroen_sluiter</v>
      </c>
      <c r="C38567" s="8" t="s">
        <v>14892</v>
      </c>
      <c r="D38567" s="8">
        <v>0</v>
      </c>
      <c r="E38567" s="8">
        <v>0</v>
      </c>
      <c r="F38567" s="8">
        <v>503</v>
      </c>
    </row>
    <row r="38568" spans="1:6" ht="12.75">
      <c r="A38568" s="8">
        <v>43887.193622685183</v>
      </c>
      <c r="B38568" s="8" t="str">
        <f>HYPERLINK("https://twitter.com/FitriaYUUUUUUU","@FitriaYUUUUUUU")</f>
        <v>@FitriaYUUUUUUU</v>
      </c>
      <c r="C38568" s="8" t="s">
        <v>14225</v>
      </c>
      <c r="D38568" s="8">
        <v>0</v>
      </c>
      <c r="E38568" s="8">
        <v>0</v>
      </c>
      <c r="F38568" s="8">
        <v>103</v>
      </c>
    </row>
    <row r="38569" spans="1:6" ht="12.75">
      <c r="A38569" s="8">
        <v>43887.19259259259</v>
      </c>
      <c r="B38569" s="8" t="str">
        <f>HYPERLINK("https://twitter.com/abreu_isis","@abreu_isis")</f>
        <v>@abreu_isis</v>
      </c>
      <c r="C38569" s="8" t="s">
        <v>14893</v>
      </c>
      <c r="D38569" s="8">
        <v>2055</v>
      </c>
      <c r="E38569" s="8">
        <v>0</v>
      </c>
      <c r="F38569" s="8">
        <v>303</v>
      </c>
    </row>
    <row r="38570" spans="1:6" ht="12.75">
      <c r="A38570" s="8">
        <v>43887.191446759258</v>
      </c>
      <c r="B38570" s="8" t="str">
        <f>HYPERLINK("https://twitter.com/MissFourtune","@MissFourtune")</f>
        <v>@MissFourtune</v>
      </c>
      <c r="C38570" s="8" t="s">
        <v>14894</v>
      </c>
      <c r="D38570" s="8">
        <v>0</v>
      </c>
      <c r="E38570" s="8">
        <v>1</v>
      </c>
      <c r="F38570" s="8">
        <v>789</v>
      </c>
    </row>
    <row r="38571" spans="1:6" ht="12.75">
      <c r="A38571" s="8">
        <v>43887.190983796296</v>
      </c>
      <c r="B38571" s="8" t="str">
        <f>HYPERLINK("https://twitter.com/destiwie8","@destiwie8")</f>
        <v>@destiwie8</v>
      </c>
      <c r="C38571" s="8" t="s">
        <v>13365</v>
      </c>
      <c r="D38571" s="8">
        <v>378</v>
      </c>
      <c r="E38571" s="8">
        <v>0</v>
      </c>
      <c r="F38571" s="8">
        <v>156</v>
      </c>
    </row>
    <row r="38572" spans="1:6" ht="12.75">
      <c r="A38572" s="8">
        <v>43887.190717592588</v>
      </c>
      <c r="B38572" s="8" t="str">
        <f>HYPERLINK("https://twitter.com/jun73319","@jun73319")</f>
        <v>@jun73319</v>
      </c>
      <c r="C38572" s="8" t="s">
        <v>2940</v>
      </c>
      <c r="D38572" s="8">
        <v>2566</v>
      </c>
      <c r="E38572" s="8">
        <v>0</v>
      </c>
      <c r="F38572" s="8">
        <v>41</v>
      </c>
    </row>
    <row r="38573" spans="1:6" ht="12.75">
      <c r="A38573" s="8">
        <v>43887.189270833333</v>
      </c>
      <c r="B38573" s="8" t="str">
        <f>HYPERLINK("https://twitter.com/rahmiak25","@rahmiak25")</f>
        <v>@rahmiak25</v>
      </c>
      <c r="C38573" s="8" t="s">
        <v>14365</v>
      </c>
      <c r="D38573" s="8">
        <v>20</v>
      </c>
      <c r="E38573" s="8">
        <v>0</v>
      </c>
      <c r="F38573" s="8">
        <v>69</v>
      </c>
    </row>
    <row r="38574" spans="1:6" ht="12.75">
      <c r="A38574" s="8">
        <v>43887.187685185185</v>
      </c>
      <c r="B38574" s="8" t="str">
        <f>HYPERLINK("https://twitter.com/RizkiGraha17","@RizkiGraha17")</f>
        <v>@RizkiGraha17</v>
      </c>
      <c r="C38574" s="8" t="s">
        <v>2941</v>
      </c>
      <c r="D38574" s="8">
        <v>780</v>
      </c>
      <c r="E38574" s="8">
        <v>0</v>
      </c>
      <c r="F38574" s="8">
        <v>657</v>
      </c>
    </row>
    <row r="38575" spans="1:6" ht="12.75">
      <c r="A38575" s="8">
        <v>43887.187592592592</v>
      </c>
      <c r="B38575" s="8" t="str">
        <f>HYPERLINK("https://twitter.com/27Pecuk","@27Pecuk")</f>
        <v>@27Pecuk</v>
      </c>
      <c r="C38575" s="8" t="s">
        <v>13365</v>
      </c>
      <c r="D38575" s="8">
        <v>378</v>
      </c>
      <c r="E38575" s="8">
        <v>0</v>
      </c>
      <c r="F38575" s="8">
        <v>10</v>
      </c>
    </row>
    <row r="38576" spans="1:6" ht="12.75">
      <c r="A38576" s="8">
        <v>43887.186909722222</v>
      </c>
      <c r="B38576" s="8" t="str">
        <f>HYPERLINK("https://twitter.com/maya_inimaya","@maya_inimaya")</f>
        <v>@maya_inimaya</v>
      </c>
      <c r="C38576" s="8" t="s">
        <v>14895</v>
      </c>
      <c r="D38576" s="8">
        <v>0</v>
      </c>
      <c r="E38576" s="8">
        <v>0</v>
      </c>
      <c r="F38576" s="8">
        <v>122</v>
      </c>
    </row>
    <row r="38577" spans="1:6" ht="12.75">
      <c r="A38577" s="8">
        <v>43887.18677083333</v>
      </c>
      <c r="B38577" s="8" t="str">
        <f>HYPERLINK("https://twitter.com/fathanrifki_","@fathanrifki_")</f>
        <v>@fathanrifki_</v>
      </c>
      <c r="C38577" s="8" t="s">
        <v>13365</v>
      </c>
      <c r="D38577" s="8">
        <v>378</v>
      </c>
      <c r="E38577" s="8">
        <v>0</v>
      </c>
      <c r="F38577" s="8">
        <v>169</v>
      </c>
    </row>
    <row r="38578" spans="1:6" ht="12.75">
      <c r="A38578" s="8">
        <v>43887.18644675926</v>
      </c>
      <c r="B38578" s="8" t="str">
        <f>HYPERLINK("https://twitter.com/foreverjeon__","@foreverjeon__")</f>
        <v>@foreverjeon__</v>
      </c>
      <c r="C38578" s="8" t="s">
        <v>14896</v>
      </c>
      <c r="D38578" s="8">
        <v>0</v>
      </c>
      <c r="E38578" s="8">
        <v>1</v>
      </c>
      <c r="F38578" s="8">
        <v>4933</v>
      </c>
    </row>
    <row r="38579" spans="1:6" ht="12.75">
      <c r="A38579" s="8">
        <v>43887.185798611114</v>
      </c>
      <c r="B38579" s="8" t="str">
        <f>HYPERLINK("https://twitter.com/milk60485259","@milk60485259")</f>
        <v>@milk60485259</v>
      </c>
      <c r="C38579" s="8" t="s">
        <v>2940</v>
      </c>
      <c r="D38579" s="8">
        <v>2566</v>
      </c>
      <c r="E38579" s="8">
        <v>0</v>
      </c>
      <c r="F38579" s="8">
        <v>811</v>
      </c>
    </row>
    <row r="38580" spans="1:6" ht="12.75">
      <c r="A38580" s="8">
        <v>43887.185798611114</v>
      </c>
      <c r="B38580" s="8" t="str">
        <f>HYPERLINK("https://twitter.com/ayanamama3","@ayanamama3")</f>
        <v>@ayanamama3</v>
      </c>
      <c r="C38580" s="8" t="s">
        <v>8484</v>
      </c>
      <c r="D38580" s="8">
        <v>929</v>
      </c>
      <c r="E38580" s="8">
        <v>0</v>
      </c>
      <c r="F38580" s="8">
        <v>141</v>
      </c>
    </row>
    <row r="38581" spans="1:6" ht="12.75">
      <c r="A38581" s="8">
        <v>43887.185694444444</v>
      </c>
      <c r="B38581" s="8" t="str">
        <f>HYPERLINK("https://twitter.com/musadad5120","@musadad5120")</f>
        <v>@musadad5120</v>
      </c>
      <c r="C38581" s="8" t="s">
        <v>13365</v>
      </c>
      <c r="D38581" s="8">
        <v>378</v>
      </c>
      <c r="E38581" s="8">
        <v>0</v>
      </c>
      <c r="F38581" s="8">
        <v>1337</v>
      </c>
    </row>
    <row r="38582" spans="1:6" ht="12.75">
      <c r="A38582" s="8">
        <v>43887.185069444444</v>
      </c>
      <c r="B38582" s="8" t="str">
        <f>HYPERLINK("https://twitter.com/Syaifuddinnor7","@Syaifuddinnor7")</f>
        <v>@Syaifuddinnor7</v>
      </c>
      <c r="C38582" s="8" t="s">
        <v>14879</v>
      </c>
      <c r="D38582" s="8">
        <v>20</v>
      </c>
      <c r="E38582" s="8">
        <v>0</v>
      </c>
      <c r="F38582" s="8">
        <v>562</v>
      </c>
    </row>
    <row r="38583" spans="1:6" ht="12.75">
      <c r="A38583" s="8">
        <v>43887.184131944443</v>
      </c>
      <c r="B38583" s="8" t="str">
        <f>HYPERLINK("https://twitter.com/Learnfx01","@Learnfx01")</f>
        <v>@Learnfx01</v>
      </c>
      <c r="C38583" s="8" t="s">
        <v>14734</v>
      </c>
      <c r="D38583" s="8">
        <v>11</v>
      </c>
      <c r="E38583" s="8">
        <v>0</v>
      </c>
      <c r="F38583" s="8">
        <v>2343</v>
      </c>
    </row>
    <row r="38584" spans="1:6" ht="12.75">
      <c r="A38584" s="8">
        <v>43887.184050925927</v>
      </c>
      <c r="B38584" s="8" t="str">
        <f>HYPERLINK("https://twitter.com/abdulloh2015","@abdulloh2015")</f>
        <v>@abdulloh2015</v>
      </c>
      <c r="C38584" s="8" t="s">
        <v>859</v>
      </c>
      <c r="D38584" s="8">
        <v>0</v>
      </c>
      <c r="E38584" s="8">
        <v>0</v>
      </c>
      <c r="F38584" s="8">
        <v>61</v>
      </c>
    </row>
    <row r="38585" spans="1:6" ht="12.75">
      <c r="A38585" s="8">
        <v>43887.182488425926</v>
      </c>
      <c r="B38585" s="8" t="str">
        <f>HYPERLINK("https://twitter.com/LieDetectorID","@LieDetectorID")</f>
        <v>@LieDetectorID</v>
      </c>
      <c r="C38585" s="8" t="s">
        <v>11183</v>
      </c>
      <c r="D38585" s="8">
        <v>267</v>
      </c>
      <c r="E38585" s="8">
        <v>0</v>
      </c>
      <c r="F38585" s="8">
        <v>10388</v>
      </c>
    </row>
    <row r="38586" spans="1:6" ht="12.75">
      <c r="A38586" s="8">
        <v>43887.18104166667</v>
      </c>
      <c r="B38586" s="8" t="str">
        <f>HYPERLINK("https://twitter.com/raniefirda_","@raniefirda_")</f>
        <v>@raniefirda_</v>
      </c>
      <c r="C38586" s="8" t="s">
        <v>14897</v>
      </c>
      <c r="D38586" s="8">
        <v>0</v>
      </c>
      <c r="E38586" s="8">
        <v>0</v>
      </c>
      <c r="F38586" s="8">
        <v>386</v>
      </c>
    </row>
    <row r="38587" spans="1:6" ht="12.75">
      <c r="A38587" s="8">
        <v>43887.179976851854</v>
      </c>
      <c r="B38587" s="8" t="str">
        <f>HYPERLINK("https://twitter.com/shxxsheV","@shxxsheV")</f>
        <v>@shxxsheV</v>
      </c>
      <c r="C38587" s="8" t="s">
        <v>14898</v>
      </c>
      <c r="D38587" s="8">
        <v>0</v>
      </c>
      <c r="E38587" s="8">
        <v>0</v>
      </c>
      <c r="F38587" s="8">
        <v>720</v>
      </c>
    </row>
    <row r="38588" spans="1:6" ht="12.75">
      <c r="A38588" s="8">
        <v>43887.179872685185</v>
      </c>
      <c r="B38588" s="8" t="str">
        <f>HYPERLINK("https://twitter.com/kopikirpikir","@kopikirpikir")</f>
        <v>@kopikirpikir</v>
      </c>
      <c r="C38588" s="8" t="s">
        <v>14899</v>
      </c>
      <c r="D38588" s="8">
        <v>108</v>
      </c>
      <c r="E38588" s="8">
        <v>0</v>
      </c>
      <c r="F38588" s="8">
        <v>1954</v>
      </c>
    </row>
    <row r="38589" spans="1:6" ht="12.75">
      <c r="A38589" s="8">
        <v>43887.179641203707</v>
      </c>
      <c r="B38589" s="8" t="str">
        <f>HYPERLINK("https://twitter.com/munasikochi","@munasikochi")</f>
        <v>@munasikochi</v>
      </c>
      <c r="C38589" s="8" t="s">
        <v>13365</v>
      </c>
      <c r="D38589" s="8">
        <v>378</v>
      </c>
      <c r="E38589" s="8">
        <v>0</v>
      </c>
      <c r="F38589" s="8">
        <v>252</v>
      </c>
    </row>
    <row r="38590" spans="1:6" ht="12.75">
      <c r="A38590" s="8">
        <v>43887.179270833338</v>
      </c>
      <c r="B38590" s="8" t="str">
        <f t="shared" ref="B38590:B38591" si="578">HYPERLINK("https://twitter.com/visi1231","@visi1231")</f>
        <v>@visi1231</v>
      </c>
      <c r="C38590" s="8" t="s">
        <v>14900</v>
      </c>
      <c r="D38590" s="8">
        <v>0</v>
      </c>
      <c r="E38590" s="8">
        <v>0</v>
      </c>
      <c r="F38590" s="8">
        <v>2</v>
      </c>
    </row>
    <row r="38591" spans="1:6" ht="12.75">
      <c r="A38591" s="8">
        <v>43887.178761574076</v>
      </c>
      <c r="B38591" s="8" t="str">
        <f t="shared" si="578"/>
        <v>@visi1231</v>
      </c>
      <c r="C38591" s="8" t="s">
        <v>14901</v>
      </c>
      <c r="D38591" s="8">
        <v>0</v>
      </c>
      <c r="E38591" s="8">
        <v>0</v>
      </c>
      <c r="F38591" s="8">
        <v>2</v>
      </c>
    </row>
    <row r="38592" spans="1:6" ht="12.75">
      <c r="A38592" s="8">
        <v>43887.176388888889</v>
      </c>
      <c r="B38592" s="8" t="str">
        <f>HYPERLINK("https://twitter.com/OJibe3","@OJibe3")</f>
        <v>@OJibe3</v>
      </c>
      <c r="C38592" s="8" t="s">
        <v>2940</v>
      </c>
      <c r="D38592" s="8">
        <v>2566</v>
      </c>
      <c r="E38592" s="8">
        <v>0</v>
      </c>
      <c r="F38592" s="8">
        <v>107</v>
      </c>
    </row>
    <row r="38593" spans="1:6" ht="12.75">
      <c r="A38593" s="8">
        <v>43887.176354166666</v>
      </c>
      <c r="B38593" s="8" t="str">
        <f>HYPERLINK("https://twitter.com/kopikirpikir","@kopikirpikir")</f>
        <v>@kopikirpikir</v>
      </c>
      <c r="C38593" s="8" t="s">
        <v>12920</v>
      </c>
      <c r="D38593" s="8">
        <v>1543</v>
      </c>
      <c r="E38593" s="8">
        <v>0</v>
      </c>
      <c r="F38593" s="8">
        <v>1954</v>
      </c>
    </row>
    <row r="38594" spans="1:6" ht="12.75">
      <c r="A38594" s="8">
        <v>43887.17586805555</v>
      </c>
      <c r="B38594" s="8" t="str">
        <f>HYPERLINK("https://twitter.com/atriantoro2","@atriantoro2")</f>
        <v>@atriantoro2</v>
      </c>
      <c r="C38594" s="8" t="s">
        <v>2941</v>
      </c>
      <c r="D38594" s="8">
        <v>780</v>
      </c>
      <c r="E38594" s="8">
        <v>0</v>
      </c>
      <c r="F38594" s="8">
        <v>193</v>
      </c>
    </row>
    <row r="38595" spans="1:6" ht="12.75">
      <c r="A38595" s="8">
        <v>43887.173842592594</v>
      </c>
      <c r="B38595" s="8" t="str">
        <f>HYPERLINK("https://twitter.com/Jojo_Entis","@Jojo_Entis")</f>
        <v>@Jojo_Entis</v>
      </c>
      <c r="C38595" s="8" t="s">
        <v>11183</v>
      </c>
      <c r="D38595" s="8">
        <v>267</v>
      </c>
      <c r="E38595" s="8">
        <v>0</v>
      </c>
      <c r="F38595" s="8">
        <v>128</v>
      </c>
    </row>
    <row r="38596" spans="1:6" ht="12.75">
      <c r="A38596" s="8">
        <v>43887.173263888893</v>
      </c>
      <c r="B38596" s="8" t="str">
        <f>HYPERLINK("https://twitter.com/bangunkarol","@bangunkarol")</f>
        <v>@bangunkarol</v>
      </c>
      <c r="C38596" s="8" t="s">
        <v>2941</v>
      </c>
      <c r="D38596" s="8">
        <v>771</v>
      </c>
      <c r="E38596" s="8">
        <v>0</v>
      </c>
      <c r="F38596" s="8">
        <v>112</v>
      </c>
    </row>
    <row r="38597" spans="1:6" ht="12.75">
      <c r="A38597" s="8">
        <v>43887.173217592594</v>
      </c>
      <c r="B38597" s="8" t="str">
        <f>HYPERLINK("https://twitter.com/AhmadRosidi1982","@AhmadRosidi1982")</f>
        <v>@AhmadRosidi1982</v>
      </c>
      <c r="C38597" s="8" t="s">
        <v>14902</v>
      </c>
      <c r="D38597" s="8">
        <v>9</v>
      </c>
      <c r="E38597" s="8">
        <v>0</v>
      </c>
      <c r="F38597" s="8">
        <v>940</v>
      </c>
    </row>
    <row r="38598" spans="1:6" ht="12.75">
      <c r="A38598" s="8">
        <v>43887.171990740739</v>
      </c>
      <c r="B38598" s="8" t="str">
        <f>HYPERLINK("https://twitter.com/Yuanita_Almira","@Yuanita_Almira")</f>
        <v>@Yuanita_Almira</v>
      </c>
      <c r="C38598" s="8" t="s">
        <v>2941</v>
      </c>
      <c r="D38598" s="8">
        <v>771</v>
      </c>
      <c r="E38598" s="8">
        <v>0</v>
      </c>
      <c r="F38598" s="8">
        <v>887</v>
      </c>
    </row>
    <row r="38599" spans="1:6" ht="12.75">
      <c r="A38599" s="8">
        <v>43887.17188657407</v>
      </c>
      <c r="B38599" s="8" t="str">
        <f>HYPERLINK("https://twitter.com/DiartonoSapto","@DiartonoSapto")</f>
        <v>@DiartonoSapto</v>
      </c>
      <c r="C38599" s="8" t="s">
        <v>14879</v>
      </c>
      <c r="D38599" s="8">
        <v>19</v>
      </c>
      <c r="E38599" s="8">
        <v>0</v>
      </c>
      <c r="F38599" s="8">
        <v>488</v>
      </c>
    </row>
    <row r="38600" spans="1:6" ht="12.75">
      <c r="A38600" s="8">
        <v>43887.170624999999</v>
      </c>
      <c r="B38600" s="8" t="str">
        <f>HYPERLINK("https://twitter.com/erlang_dimas","@erlang_dimas")</f>
        <v>@erlang_dimas</v>
      </c>
      <c r="C38600" s="8" t="s">
        <v>14903</v>
      </c>
      <c r="D38600" s="8">
        <v>4</v>
      </c>
      <c r="E38600" s="8">
        <v>0</v>
      </c>
      <c r="F38600" s="8">
        <v>45</v>
      </c>
    </row>
    <row r="38601" spans="1:6" ht="12.75">
      <c r="A38601" s="8">
        <v>43887.169861111106</v>
      </c>
      <c r="B38601" s="8" t="str">
        <f>HYPERLINK("https://twitter.com/ENangka33","@ENangka33")</f>
        <v>@ENangka33</v>
      </c>
      <c r="C38601" s="8" t="s">
        <v>14879</v>
      </c>
      <c r="D38601" s="8">
        <v>19</v>
      </c>
      <c r="E38601" s="8">
        <v>0</v>
      </c>
      <c r="F38601" s="8">
        <v>27</v>
      </c>
    </row>
    <row r="38602" spans="1:6" ht="12.75">
      <c r="A38602" s="8">
        <v>43887.165972222225</v>
      </c>
      <c r="B38602" s="8" t="str">
        <f>HYPERLINK("https://twitter.com/miqbalz","@miqbalz")</f>
        <v>@miqbalz</v>
      </c>
      <c r="C38602" s="8" t="s">
        <v>13365</v>
      </c>
      <c r="D38602" s="8">
        <v>351</v>
      </c>
      <c r="E38602" s="8">
        <v>0</v>
      </c>
      <c r="F38602" s="8">
        <v>527</v>
      </c>
    </row>
    <row r="38603" spans="1:6" ht="12.75">
      <c r="A38603" s="8">
        <v>43887.165543981479</v>
      </c>
      <c r="B38603" s="8" t="str">
        <f>HYPERLINK("https://twitter.com/leeho_seok","@leeho_seok")</f>
        <v>@leeho_seok</v>
      </c>
      <c r="C38603" s="8" t="s">
        <v>14831</v>
      </c>
      <c r="D38603" s="8">
        <v>55</v>
      </c>
      <c r="E38603" s="8">
        <v>0</v>
      </c>
      <c r="F38603" s="8">
        <v>1035</v>
      </c>
    </row>
    <row r="38604" spans="1:6" ht="12.75">
      <c r="A38604" s="8">
        <v>43887.165335648147</v>
      </c>
      <c r="B38604" s="8" t="str">
        <f>HYPERLINK("https://twitter.com/EkoPh18","@EkoPh18")</f>
        <v>@EkoPh18</v>
      </c>
      <c r="C38604" s="8" t="s">
        <v>13365</v>
      </c>
      <c r="D38604" s="8">
        <v>351</v>
      </c>
      <c r="E38604" s="8">
        <v>0</v>
      </c>
      <c r="F38604" s="8">
        <v>305</v>
      </c>
    </row>
    <row r="38605" spans="1:6" ht="12.75">
      <c r="A38605" s="8">
        <v>43887.165219907409</v>
      </c>
      <c r="B38605" s="8" t="str">
        <f>HYPERLINK("https://twitter.com/hilda_revika","@hilda_revika")</f>
        <v>@hilda_revika</v>
      </c>
      <c r="C38605" s="8" t="s">
        <v>14904</v>
      </c>
      <c r="D38605" s="8">
        <v>0</v>
      </c>
      <c r="E38605" s="8">
        <v>0</v>
      </c>
      <c r="F38605" s="8">
        <v>35</v>
      </c>
    </row>
    <row r="38606" spans="1:6" ht="12.75">
      <c r="A38606" s="8">
        <v>43887.162604166668</v>
      </c>
      <c r="B38606" s="8" t="str">
        <f>HYPERLINK("https://twitter.com/dubie_tina","@dubie_tina")</f>
        <v>@dubie_tina</v>
      </c>
      <c r="C38606" s="8" t="s">
        <v>14876</v>
      </c>
      <c r="D38606" s="8">
        <v>1</v>
      </c>
      <c r="E38606" s="8">
        <v>0</v>
      </c>
      <c r="F38606" s="8">
        <v>1056</v>
      </c>
    </row>
    <row r="38607" spans="1:6" ht="12.75">
      <c r="A38607" s="8">
        <v>43887.162534722222</v>
      </c>
      <c r="B38607" s="8" t="str">
        <f>HYPERLINK("https://twitter.com/mynewsindo","@mynewsindo")</f>
        <v>@mynewsindo</v>
      </c>
      <c r="C38607" s="8" t="s">
        <v>14905</v>
      </c>
      <c r="D38607" s="8">
        <v>0</v>
      </c>
      <c r="E38607" s="8">
        <v>0</v>
      </c>
      <c r="F38607" s="8">
        <v>153</v>
      </c>
    </row>
    <row r="38608" spans="1:6" ht="12.75">
      <c r="A38608" s="8">
        <v>43887.161921296298</v>
      </c>
      <c r="B38608" s="8" t="str">
        <f>HYPERLINK("https://twitter.com/Amresh38077335","@Amresh38077335")</f>
        <v>@Amresh38077335</v>
      </c>
      <c r="C38608" s="8" t="s">
        <v>14906</v>
      </c>
      <c r="D38608" s="8">
        <v>0</v>
      </c>
      <c r="E38608" s="8">
        <v>0</v>
      </c>
      <c r="F38608" s="8">
        <v>687</v>
      </c>
    </row>
    <row r="38609" spans="1:6" ht="12.75">
      <c r="A38609" s="8">
        <v>43887.161319444444</v>
      </c>
      <c r="B38609" s="8" t="str">
        <f>HYPERLINK("https://twitter.com/dubie_tina","@dubie_tina")</f>
        <v>@dubie_tina</v>
      </c>
      <c r="C38609" s="8" t="s">
        <v>14907</v>
      </c>
      <c r="D38609" s="8">
        <v>1</v>
      </c>
      <c r="E38609" s="8">
        <v>0</v>
      </c>
      <c r="F38609" s="8">
        <v>1056</v>
      </c>
    </row>
    <row r="38610" spans="1:6" ht="12.75">
      <c r="A38610" s="8">
        <v>43887.16101851852</v>
      </c>
      <c r="B38610" s="8" t="str">
        <f>HYPERLINK("https://twitter.com/ChristWamea","@ChristWamea")</f>
        <v>@ChristWamea</v>
      </c>
      <c r="C38610" s="8" t="s">
        <v>14882</v>
      </c>
      <c r="D38610" s="8">
        <v>3</v>
      </c>
      <c r="E38610" s="8">
        <v>0</v>
      </c>
      <c r="F38610" s="8">
        <v>28629</v>
      </c>
    </row>
    <row r="38611" spans="1:6" ht="12.75">
      <c r="A38611" s="8">
        <v>43887.160787037035</v>
      </c>
      <c r="B38611" s="8" t="str">
        <f>HYPERLINK("https://twitter.com/hmsalvi29","@hmsalvi29")</f>
        <v>@hmsalvi29</v>
      </c>
      <c r="C38611" s="8" t="s">
        <v>14908</v>
      </c>
      <c r="D38611" s="8">
        <v>0</v>
      </c>
      <c r="E38611" s="8">
        <v>0</v>
      </c>
      <c r="F38611" s="8">
        <v>1</v>
      </c>
    </row>
    <row r="38612" spans="1:6" ht="12.75">
      <c r="A38612" s="8">
        <v>43887.160729166666</v>
      </c>
      <c r="B38612" s="8" t="str">
        <f>HYPERLINK("https://twitter.com/RickyCesarean","@RickyCesarean")</f>
        <v>@RickyCesarean</v>
      </c>
      <c r="C38612" s="8" t="s">
        <v>14909</v>
      </c>
      <c r="D38612" s="8">
        <v>0</v>
      </c>
      <c r="E38612" s="8">
        <v>0</v>
      </c>
      <c r="F38612" s="8">
        <v>26</v>
      </c>
    </row>
    <row r="38613" spans="1:6" ht="12.75">
      <c r="A38613" s="8">
        <v>43887.16034722222</v>
      </c>
      <c r="B38613" s="8" t="str">
        <f>HYPERLINK("https://twitter.com/AcehSelatanSatu","@AcehSelatanSatu")</f>
        <v>@AcehSelatanSatu</v>
      </c>
      <c r="C38613" s="8" t="s">
        <v>14882</v>
      </c>
      <c r="D38613" s="8">
        <v>3</v>
      </c>
      <c r="E38613" s="8">
        <v>0</v>
      </c>
      <c r="F38613" s="8">
        <v>15110</v>
      </c>
    </row>
    <row r="38614" spans="1:6" ht="12.75">
      <c r="A38614" s="8">
        <v>43887.15960648148</v>
      </c>
      <c r="B38614" s="8" t="str">
        <f>HYPERLINK("https://twitter.com/endanghidayat","@endanghidayat")</f>
        <v>@endanghidayat</v>
      </c>
      <c r="C38614" s="8" t="s">
        <v>13365</v>
      </c>
      <c r="D38614" s="8">
        <v>351</v>
      </c>
      <c r="E38614" s="8">
        <v>0</v>
      </c>
      <c r="F38614" s="8">
        <v>630</v>
      </c>
    </row>
    <row r="38615" spans="1:6" ht="12.75">
      <c r="A38615" s="8">
        <v>43887.158136574071</v>
      </c>
      <c r="B38615" s="8" t="str">
        <f>HYPERLINK("https://twitter.com/ranimarliani_th","@ranimarliani_th")</f>
        <v>@ranimarliani_th</v>
      </c>
      <c r="C38615" s="8" t="s">
        <v>14225</v>
      </c>
      <c r="D38615" s="8">
        <v>0</v>
      </c>
      <c r="E38615" s="8">
        <v>0</v>
      </c>
      <c r="F38615" s="8">
        <v>668</v>
      </c>
    </row>
    <row r="38616" spans="1:6" ht="12.75">
      <c r="A38616" s="8">
        <v>43887.157465277778</v>
      </c>
      <c r="B38616" s="8" t="str">
        <f>HYPERLINK("https://twitter.com/ArmyAnnaaaa21","@ArmyAnnaaaa21")</f>
        <v>@ArmyAnnaaaa21</v>
      </c>
      <c r="C38616" s="8" t="s">
        <v>13365</v>
      </c>
      <c r="D38616" s="8">
        <v>351</v>
      </c>
      <c r="E38616" s="8">
        <v>0</v>
      </c>
      <c r="F38616" s="8">
        <v>94</v>
      </c>
    </row>
    <row r="38617" spans="1:6" ht="12.75">
      <c r="A38617" s="8">
        <v>43887.157094907408</v>
      </c>
      <c r="B38617" s="8" t="str">
        <f>HYPERLINK("https://twitter.com/pungkiasyari04","@pungkiasyari04")</f>
        <v>@pungkiasyari04</v>
      </c>
      <c r="C38617" s="8" t="s">
        <v>13365</v>
      </c>
      <c r="D38617" s="8">
        <v>351</v>
      </c>
      <c r="E38617" s="8">
        <v>0</v>
      </c>
      <c r="F38617" s="8">
        <v>5</v>
      </c>
    </row>
    <row r="38618" spans="1:6" ht="12.75">
      <c r="A38618" s="8">
        <v>43887.156759259262</v>
      </c>
      <c r="B38618" s="8" t="str">
        <f>HYPERLINK("https://twitter.com/Destriif","@Destriif")</f>
        <v>@Destriif</v>
      </c>
      <c r="C38618" s="8" t="s">
        <v>13365</v>
      </c>
      <c r="D38618" s="8">
        <v>351</v>
      </c>
      <c r="E38618" s="8">
        <v>0</v>
      </c>
      <c r="F38618" s="8">
        <v>16</v>
      </c>
    </row>
    <row r="38619" spans="1:6" ht="12.75">
      <c r="A38619" s="8">
        <v>43887.156446759254</v>
      </c>
      <c r="B38619" s="8" t="str">
        <f>HYPERLINK("https://twitter.com/vmaqorposanto","@vmaqorposanto")</f>
        <v>@vmaqorposanto</v>
      </c>
      <c r="C38619" s="8" t="s">
        <v>14910</v>
      </c>
      <c r="D38619" s="8">
        <v>0</v>
      </c>
      <c r="E38619" s="8">
        <v>0</v>
      </c>
      <c r="F38619" s="8">
        <v>629</v>
      </c>
    </row>
    <row r="38620" spans="1:6" ht="12.75">
      <c r="A38620" s="8">
        <v>43887.155370370368</v>
      </c>
      <c r="B38620" s="8" t="str">
        <f>HYPERLINK("https://twitter.com/albagamador","@albagamador")</f>
        <v>@albagamador</v>
      </c>
      <c r="C38620" s="8" t="s">
        <v>14911</v>
      </c>
      <c r="D38620" s="8">
        <v>0</v>
      </c>
      <c r="E38620" s="8">
        <v>0</v>
      </c>
      <c r="F38620" s="8">
        <v>187</v>
      </c>
    </row>
    <row r="38621" spans="1:6" ht="12.75">
      <c r="A38621" s="8">
        <v>43887.155057870375</v>
      </c>
      <c r="B38621" s="8" t="str">
        <f>HYPERLINK("https://twitter.com/juntabuwana","@juntabuwana")</f>
        <v>@juntabuwana</v>
      </c>
      <c r="C38621" s="8" t="s">
        <v>14912</v>
      </c>
      <c r="D38621" s="8">
        <v>6</v>
      </c>
      <c r="E38621" s="8">
        <v>0</v>
      </c>
      <c r="F38621" s="8">
        <v>252</v>
      </c>
    </row>
    <row r="38622" spans="1:6" ht="12.75">
      <c r="A38622" s="8">
        <v>43887.153738425928</v>
      </c>
      <c r="B38622" s="8" t="str">
        <f>HYPERLINK("https://twitter.com/netralwindi","@netralwindi")</f>
        <v>@netralwindi</v>
      </c>
      <c r="C38622" s="8" t="s">
        <v>13365</v>
      </c>
      <c r="D38622" s="8">
        <v>351</v>
      </c>
      <c r="E38622" s="8">
        <v>0</v>
      </c>
      <c r="F38622" s="8">
        <v>66</v>
      </c>
    </row>
    <row r="38623" spans="1:6" ht="12.75">
      <c r="A38623" s="8">
        <v>43887.153333333335</v>
      </c>
      <c r="B38623" s="8" t="str">
        <f>HYPERLINK("https://twitter.com/beten5","@beten5")</f>
        <v>@beten5</v>
      </c>
      <c r="C38623" s="8" t="s">
        <v>14913</v>
      </c>
      <c r="D38623" s="8">
        <v>21</v>
      </c>
      <c r="E38623" s="8">
        <v>0</v>
      </c>
      <c r="F38623" s="8">
        <v>6</v>
      </c>
    </row>
    <row r="38624" spans="1:6" ht="12.75">
      <c r="A38624" s="8">
        <v>43887.152187500003</v>
      </c>
      <c r="B38624" s="8" t="str">
        <f>HYPERLINK("https://twitter.com/sunny7331","@sunny7331")</f>
        <v>@sunny7331</v>
      </c>
      <c r="C38624" s="8" t="s">
        <v>8484</v>
      </c>
      <c r="D38624" s="8">
        <v>923</v>
      </c>
      <c r="E38624" s="8">
        <v>0</v>
      </c>
      <c r="F38624" s="8">
        <v>35</v>
      </c>
    </row>
    <row r="38625" spans="1:6" ht="12.75">
      <c r="A38625" s="8">
        <v>43887.150729166664</v>
      </c>
      <c r="B38625" s="8" t="str">
        <f>HYPERLINK("https://twitter.com/ottalosub","@ottalosub")</f>
        <v>@ottalosub</v>
      </c>
      <c r="C38625" s="8" t="s">
        <v>13365</v>
      </c>
      <c r="D38625" s="8">
        <v>351</v>
      </c>
      <c r="E38625" s="8">
        <v>0</v>
      </c>
      <c r="F38625" s="8">
        <v>14</v>
      </c>
    </row>
    <row r="38626" spans="1:6" ht="12.75">
      <c r="A38626" s="8">
        <v>43887.150231481486</v>
      </c>
      <c r="B38626" s="8" t="str">
        <f>HYPERLINK("https://twitter.com/hope_ster","@hope_ster")</f>
        <v>@hope_ster</v>
      </c>
      <c r="C38626" s="8" t="s">
        <v>2940</v>
      </c>
      <c r="D38626" s="8">
        <v>2557</v>
      </c>
      <c r="E38626" s="8">
        <v>0</v>
      </c>
      <c r="F38626" s="8">
        <v>709</v>
      </c>
    </row>
    <row r="38627" spans="1:6" ht="12.75">
      <c r="A38627" s="8">
        <v>43887.149050925931</v>
      </c>
      <c r="B38627" s="8" t="str">
        <f>HYPERLINK("https://twitter.com/ylchaniago","@ylchaniago")</f>
        <v>@ylchaniago</v>
      </c>
      <c r="C38627" s="8" t="s">
        <v>14914</v>
      </c>
      <c r="D38627" s="8">
        <v>0</v>
      </c>
      <c r="E38627" s="8">
        <v>1</v>
      </c>
      <c r="F38627" s="8">
        <v>5351</v>
      </c>
    </row>
    <row r="38628" spans="1:6" ht="12.75">
      <c r="A38628" s="8">
        <v>43887.148900462962</v>
      </c>
      <c r="B38628" s="8" t="str">
        <f>HYPERLINK("https://twitter.com/LMedianti","@LMedianti")</f>
        <v>@LMedianti</v>
      </c>
      <c r="C38628" s="8" t="s">
        <v>14225</v>
      </c>
      <c r="D38628" s="8">
        <v>0</v>
      </c>
      <c r="E38628" s="8">
        <v>0</v>
      </c>
      <c r="F38628" s="8">
        <v>178</v>
      </c>
    </row>
    <row r="38629" spans="1:6" ht="12.75">
      <c r="A38629" s="8">
        <v>43887.148831018523</v>
      </c>
      <c r="B38629" s="8" t="str">
        <f>HYPERLINK("https://twitter.com/ketiktia","@ketiktia")</f>
        <v>@ketiktia</v>
      </c>
      <c r="C38629" s="8" t="s">
        <v>14100</v>
      </c>
      <c r="D38629" s="8">
        <v>8</v>
      </c>
      <c r="E38629" s="8">
        <v>0</v>
      </c>
      <c r="F38629" s="8">
        <v>920</v>
      </c>
    </row>
    <row r="38630" spans="1:6" ht="12.75">
      <c r="A38630" s="8">
        <v>43887.147951388892</v>
      </c>
      <c r="B38630" s="8" t="str">
        <f>HYPERLINK("https://twitter.com/Rj19tushar","@Rj19tushar")</f>
        <v>@Rj19tushar</v>
      </c>
      <c r="C38630" s="8" t="s">
        <v>14915</v>
      </c>
      <c r="D38630" s="8">
        <v>0</v>
      </c>
      <c r="E38630" s="8">
        <v>0</v>
      </c>
      <c r="F38630" s="8">
        <v>1</v>
      </c>
    </row>
    <row r="38631" spans="1:6" ht="12.75">
      <c r="A38631" s="8">
        <v>43887.14738425926</v>
      </c>
      <c r="B38631" s="8" t="str">
        <f>HYPERLINK("https://twitter.com/ylchaniago","@ylchaniago")</f>
        <v>@ylchaniago</v>
      </c>
      <c r="C38631" s="8" t="s">
        <v>14916</v>
      </c>
      <c r="D38631" s="8">
        <v>0</v>
      </c>
      <c r="E38631" s="8">
        <v>1</v>
      </c>
      <c r="F38631" s="8">
        <v>5351</v>
      </c>
    </row>
    <row r="38632" spans="1:6" ht="12.75">
      <c r="A38632" s="8">
        <v>43887.145555555559</v>
      </c>
      <c r="B38632" s="8" t="str">
        <f>HYPERLINK("https://twitter.com/upjohn_freak","@upjohn_freak")</f>
        <v>@upjohn_freak</v>
      </c>
      <c r="C38632" s="8" t="s">
        <v>8484</v>
      </c>
      <c r="D38632" s="8">
        <v>923</v>
      </c>
      <c r="E38632" s="8">
        <v>0</v>
      </c>
      <c r="F38632" s="8">
        <v>300</v>
      </c>
    </row>
    <row r="38633" spans="1:6" ht="12.75">
      <c r="A38633" s="8">
        <v>43887.145208333328</v>
      </c>
      <c r="B38633" s="8" t="str">
        <f>HYPERLINK("https://twitter.com/jjsengui","@jjsengui")</f>
        <v>@jjsengui</v>
      </c>
      <c r="C38633" s="8" t="s">
        <v>14917</v>
      </c>
      <c r="D38633" s="8">
        <v>2</v>
      </c>
      <c r="E38633" s="8">
        <v>0</v>
      </c>
      <c r="F38633" s="8">
        <v>841</v>
      </c>
    </row>
    <row r="38634" spans="1:6" ht="12.75">
      <c r="A38634" s="8">
        <v>43887.143726851849</v>
      </c>
      <c r="B38634" s="8" t="str">
        <f>HYPERLINK("https://twitter.com/DesyaPurnama2","@DesyaPurnama2")</f>
        <v>@DesyaPurnama2</v>
      </c>
      <c r="C38634" s="8" t="s">
        <v>13365</v>
      </c>
      <c r="D38634" s="8">
        <v>351</v>
      </c>
      <c r="E38634" s="8">
        <v>0</v>
      </c>
      <c r="F38634" s="8">
        <v>327</v>
      </c>
    </row>
    <row r="38635" spans="1:6" ht="12.75">
      <c r="A38635" s="8">
        <v>43887.142997685187</v>
      </c>
      <c r="B38635" s="8" t="str">
        <f>HYPERLINK("https://twitter.com/Lutfialfazri1","@Lutfialfazri1")</f>
        <v>@Lutfialfazri1</v>
      </c>
      <c r="C38635" s="8" t="s">
        <v>13365</v>
      </c>
      <c r="D38635" s="8">
        <v>351</v>
      </c>
      <c r="E38635" s="8">
        <v>0</v>
      </c>
      <c r="F38635" s="8">
        <v>2</v>
      </c>
    </row>
    <row r="38636" spans="1:6" ht="12.75">
      <c r="A38636" s="8">
        <v>43887.142974537041</v>
      </c>
      <c r="B38636" s="8" t="str">
        <f>HYPERLINK("https://twitter.com/gwenlisa6","@gwenlisa6")</f>
        <v>@gwenlisa6</v>
      </c>
      <c r="C38636" s="8" t="s">
        <v>14225</v>
      </c>
      <c r="D38636" s="8">
        <v>0</v>
      </c>
      <c r="E38636" s="8">
        <v>0</v>
      </c>
      <c r="F38636" s="8">
        <v>430</v>
      </c>
    </row>
    <row r="38637" spans="1:6" ht="12.75">
      <c r="A38637" s="8">
        <v>43887.142384259263</v>
      </c>
      <c r="B38637" s="8" t="str">
        <f>HYPERLINK("https://twitter.com/republikaonline","@republikaonline")</f>
        <v>@republikaonline</v>
      </c>
      <c r="C38637" s="8" t="s">
        <v>14918</v>
      </c>
      <c r="D38637" s="8">
        <v>0</v>
      </c>
      <c r="E38637" s="8">
        <v>2</v>
      </c>
      <c r="F38637" s="8">
        <v>1213639</v>
      </c>
    </row>
    <row r="38638" spans="1:6" ht="12.75">
      <c r="A38638" s="8">
        <v>43887.142118055555</v>
      </c>
      <c r="B38638" s="8" t="str">
        <f>HYPERLINK("https://twitter.com/ArisantiGhina","@ArisantiGhina")</f>
        <v>@ArisantiGhina</v>
      </c>
      <c r="C38638" s="8" t="s">
        <v>14225</v>
      </c>
      <c r="D38638" s="8">
        <v>0</v>
      </c>
      <c r="E38638" s="8">
        <v>0</v>
      </c>
      <c r="F38638" s="8">
        <v>183</v>
      </c>
    </row>
    <row r="38639" spans="1:6" ht="12.75">
      <c r="A38639" s="8">
        <v>43887.141724537039</v>
      </c>
      <c r="B38639" s="8" t="str">
        <f>HYPERLINK("https://twitter.com/STN_Nanda","@STN_Nanda")</f>
        <v>@STN_Nanda</v>
      </c>
      <c r="C38639" s="8" t="s">
        <v>11301</v>
      </c>
      <c r="D38639" s="8">
        <v>18</v>
      </c>
      <c r="E38639" s="8">
        <v>0</v>
      </c>
      <c r="F38639" s="8">
        <v>119</v>
      </c>
    </row>
    <row r="38640" spans="1:6" ht="12.75">
      <c r="A38640" s="8">
        <v>43887.141342592593</v>
      </c>
      <c r="B38640" s="8" t="str">
        <f>HYPERLINK("https://twitter.com/sanpelangi","@sanpelangi")</f>
        <v>@sanpelangi</v>
      </c>
      <c r="C38640" s="8" t="s">
        <v>11964</v>
      </c>
      <c r="D38640" s="8">
        <v>506</v>
      </c>
      <c r="E38640" s="8">
        <v>0</v>
      </c>
      <c r="F38640" s="8">
        <v>197</v>
      </c>
    </row>
    <row r="38641" spans="1:6" ht="12.75">
      <c r="A38641" s="8">
        <v>43887.140949074077</v>
      </c>
      <c r="B38641" s="8" t="str">
        <f>HYPERLINK("https://twitter.com/HermanGrid","@HermanGrid")</f>
        <v>@HermanGrid</v>
      </c>
      <c r="C38641" s="8" t="s">
        <v>2940</v>
      </c>
      <c r="D38641" s="8">
        <v>2557</v>
      </c>
      <c r="E38641" s="8">
        <v>0</v>
      </c>
      <c r="F38641" s="8">
        <v>794</v>
      </c>
    </row>
    <row r="38642" spans="1:6" ht="12.75">
      <c r="A38642" s="8">
        <v>43887.140868055554</v>
      </c>
      <c r="B38642" s="8" t="str">
        <f>HYPERLINK("https://twitter.com/rstykcts","@rstykcts")</f>
        <v>@rstykcts</v>
      </c>
      <c r="C38642" s="8" t="s">
        <v>2941</v>
      </c>
      <c r="D38642" s="8">
        <v>771</v>
      </c>
      <c r="E38642" s="8">
        <v>0</v>
      </c>
      <c r="F38642" s="8">
        <v>581</v>
      </c>
    </row>
    <row r="38643" spans="1:6" ht="12.75">
      <c r="A38643" s="8">
        <v>43887.140868055554</v>
      </c>
      <c r="B38643" s="8" t="str">
        <f>HYPERLINK("https://twitter.com/IndonesiainBern","@IndonesiainBern")</f>
        <v>@IndonesiainBern</v>
      </c>
      <c r="C38643" s="8" t="s">
        <v>14919</v>
      </c>
      <c r="D38643" s="8">
        <v>0</v>
      </c>
      <c r="E38643" s="8">
        <v>0</v>
      </c>
      <c r="F38643" s="8">
        <v>1812</v>
      </c>
    </row>
    <row r="38644" spans="1:6" ht="12.75">
      <c r="A38644" s="8">
        <v>43887.139305555553</v>
      </c>
      <c r="B38644" s="8" t="str">
        <f>HYPERLINK("https://twitter.com/harset2013","@harset2013")</f>
        <v>@harset2013</v>
      </c>
      <c r="C38644" s="8" t="s">
        <v>14734</v>
      </c>
      <c r="D38644" s="8">
        <v>10</v>
      </c>
      <c r="E38644" s="8">
        <v>0</v>
      </c>
      <c r="F38644" s="8">
        <v>1267</v>
      </c>
    </row>
    <row r="38645" spans="1:6" ht="12.75">
      <c r="A38645" s="8">
        <v>43887.139004629629</v>
      </c>
      <c r="B38645" s="8" t="str">
        <f>HYPERLINK("https://twitter.com/DS_Aji","@DS_Aji")</f>
        <v>@DS_Aji</v>
      </c>
      <c r="C38645" s="8" t="s">
        <v>11964</v>
      </c>
      <c r="D38645" s="8">
        <v>506</v>
      </c>
      <c r="E38645" s="8">
        <v>0</v>
      </c>
      <c r="F38645" s="8">
        <v>391</v>
      </c>
    </row>
    <row r="38646" spans="1:6" ht="12.75">
      <c r="A38646" s="8">
        <v>43887.138784722221</v>
      </c>
      <c r="B38646" s="8" t="str">
        <f>HYPERLINK("https://twitter.com/derymdh","@derymdh")</f>
        <v>@derymdh</v>
      </c>
      <c r="C38646" s="8" t="s">
        <v>14920</v>
      </c>
      <c r="D38646" s="8">
        <v>0</v>
      </c>
      <c r="E38646" s="8">
        <v>1</v>
      </c>
      <c r="F38646" s="8">
        <v>266</v>
      </c>
    </row>
    <row r="38647" spans="1:6" ht="12.75">
      <c r="A38647" s="8">
        <v>43887.136249999996</v>
      </c>
      <c r="B38647" s="8" t="str">
        <f>HYPERLINK("https://twitter.com/LaRose78992426","@LaRose78992426")</f>
        <v>@LaRose78992426</v>
      </c>
      <c r="C38647" s="8" t="s">
        <v>14921</v>
      </c>
      <c r="D38647" s="8">
        <v>10</v>
      </c>
      <c r="E38647" s="8">
        <v>0</v>
      </c>
      <c r="F38647" s="8">
        <v>272</v>
      </c>
    </row>
    <row r="38648" spans="1:6" ht="12.75">
      <c r="A38648" s="8">
        <v>43887.136030092588</v>
      </c>
      <c r="B38648" s="8" t="str">
        <f>HYPERLINK("https://twitter.com/iknum_ario","@iknum_ario")</f>
        <v>@iknum_ario</v>
      </c>
      <c r="C38648" s="8" t="s">
        <v>14734</v>
      </c>
      <c r="D38648" s="8">
        <v>10</v>
      </c>
      <c r="E38648" s="8">
        <v>0</v>
      </c>
      <c r="F38648" s="8">
        <v>2973</v>
      </c>
    </row>
    <row r="38649" spans="1:6" ht="12.75">
      <c r="A38649" s="8">
        <v>43887.135081018518</v>
      </c>
      <c r="B38649" s="8" t="str">
        <f>HYPERLINK("https://twitter.com/mudha_satriya","@mudha_satriya")</f>
        <v>@mudha_satriya</v>
      </c>
      <c r="C38649" s="8" t="s">
        <v>1435</v>
      </c>
      <c r="D38649" s="8">
        <v>831</v>
      </c>
      <c r="E38649" s="8">
        <v>0</v>
      </c>
      <c r="F38649" s="8">
        <v>1875</v>
      </c>
    </row>
    <row r="38650" spans="1:6" ht="12.75">
      <c r="A38650" s="8">
        <v>43887.132303240738</v>
      </c>
      <c r="B38650" s="8" t="str">
        <f>HYPERLINK("https://twitter.com/xeniavanza","@xeniavanza")</f>
        <v>@xeniavanza</v>
      </c>
      <c r="C38650" s="8" t="s">
        <v>14740</v>
      </c>
      <c r="D38650" s="8">
        <v>0</v>
      </c>
      <c r="E38650" s="8">
        <v>0</v>
      </c>
      <c r="F38650" s="8">
        <v>398</v>
      </c>
    </row>
    <row r="38651" spans="1:6" ht="12.75">
      <c r="A38651" s="8">
        <v>43887.131562499999</v>
      </c>
      <c r="B38651" s="8" t="str">
        <f>HYPERLINK("https://twitter.com/RedWineMalbec","@RedWineMalbec")</f>
        <v>@RedWineMalbec</v>
      </c>
      <c r="C38651" s="8" t="s">
        <v>14129</v>
      </c>
      <c r="D38651" s="8">
        <v>8</v>
      </c>
      <c r="E38651" s="8">
        <v>0</v>
      </c>
      <c r="F38651" s="8">
        <v>549</v>
      </c>
    </row>
    <row r="38652" spans="1:6" ht="12.75">
      <c r="A38652" s="8">
        <v>43887.129733796297</v>
      </c>
      <c r="B38652" s="8" t="str">
        <f>HYPERLINK("https://twitter.com/Lolosato1","@Lolosato1")</f>
        <v>@Lolosato1</v>
      </c>
      <c r="C38652" s="8" t="s">
        <v>2940</v>
      </c>
      <c r="D38652" s="8">
        <v>2555</v>
      </c>
      <c r="E38652" s="8">
        <v>0</v>
      </c>
      <c r="F38652" s="8">
        <v>1479</v>
      </c>
    </row>
    <row r="38653" spans="1:6" ht="12.75">
      <c r="A38653" s="8">
        <v>43887.127858796295</v>
      </c>
      <c r="B38653" s="8" t="str">
        <f>HYPERLINK("https://twitter.com/jjsengui","@jjsengui")</f>
        <v>@jjsengui</v>
      </c>
      <c r="C38653" s="8" t="s">
        <v>14922</v>
      </c>
      <c r="D38653" s="8">
        <v>6</v>
      </c>
      <c r="E38653" s="8">
        <v>0</v>
      </c>
      <c r="F38653" s="8">
        <v>841</v>
      </c>
    </row>
    <row r="38654" spans="1:6" ht="12.75">
      <c r="A38654" s="8">
        <v>43887.127604166672</v>
      </c>
      <c r="B38654" s="8" t="str">
        <f>HYPERLINK("https://twitter.com/yanisuparno","@yanisuparno")</f>
        <v>@yanisuparno</v>
      </c>
      <c r="C38654" s="8" t="s">
        <v>13365</v>
      </c>
      <c r="D38654" s="8">
        <v>340</v>
      </c>
      <c r="E38654" s="8">
        <v>0</v>
      </c>
      <c r="F38654" s="8">
        <v>462</v>
      </c>
    </row>
    <row r="38655" spans="1:6" ht="12.75">
      <c r="A38655" s="8">
        <v>43887.127488425926</v>
      </c>
      <c r="B38655" s="8" t="str">
        <f>HYPERLINK("https://twitter.com/kekokeko5529","@kekokeko5529")</f>
        <v>@kekokeko5529</v>
      </c>
      <c r="C38655" s="8" t="s">
        <v>2940</v>
      </c>
      <c r="D38655" s="8">
        <v>2555</v>
      </c>
      <c r="E38655" s="8">
        <v>0</v>
      </c>
      <c r="F38655" s="8">
        <v>507</v>
      </c>
    </row>
    <row r="38656" spans="1:6" ht="12.75">
      <c r="A38656" s="8">
        <v>43887.127465277779</v>
      </c>
      <c r="B38656" s="8" t="str">
        <f>HYPERLINK("https://twitter.com/haihomeless","@haihomeless")</f>
        <v>@haihomeless</v>
      </c>
      <c r="C38656" s="8" t="s">
        <v>14923</v>
      </c>
      <c r="D38656" s="8">
        <v>0</v>
      </c>
      <c r="E38656" s="8">
        <v>0</v>
      </c>
      <c r="F38656" s="8">
        <v>176</v>
      </c>
    </row>
    <row r="38657" spans="1:6" ht="12.75">
      <c r="A38657" s="8">
        <v>43887.125196759254</v>
      </c>
      <c r="B38657" s="8" t="str">
        <f>HYPERLINK("https://twitter.com/IchsanWicakson1","@IchsanWicakson1")</f>
        <v>@IchsanWicakson1</v>
      </c>
      <c r="C38657" s="8" t="s">
        <v>2941</v>
      </c>
      <c r="D38657" s="8">
        <v>765</v>
      </c>
      <c r="E38657" s="8">
        <v>0</v>
      </c>
      <c r="F38657" s="8">
        <v>176</v>
      </c>
    </row>
    <row r="38658" spans="1:6" ht="12.75">
      <c r="A38658" s="8">
        <v>43887.1247337963</v>
      </c>
      <c r="B38658" s="8" t="str">
        <f>HYPERLINK("https://twitter.com/ziajijo","@ziajijo")</f>
        <v>@ziajijo</v>
      </c>
      <c r="C38658" s="8" t="s">
        <v>14365</v>
      </c>
      <c r="D38658" s="8">
        <v>18</v>
      </c>
      <c r="E38658" s="8">
        <v>0</v>
      </c>
      <c r="F38658" s="8">
        <v>663</v>
      </c>
    </row>
    <row r="38659" spans="1:6" ht="12.75">
      <c r="A38659" s="8">
        <v>43887.124409722222</v>
      </c>
      <c r="B38659" s="8" t="str">
        <f>HYPERLINK("https://twitter.com/rudhizalfa","@rudhizalfa")</f>
        <v>@rudhizalfa</v>
      </c>
      <c r="C38659" s="8" t="s">
        <v>14879</v>
      </c>
      <c r="D38659" s="8">
        <v>17</v>
      </c>
      <c r="E38659" s="8">
        <v>0</v>
      </c>
      <c r="F38659" s="8">
        <v>625</v>
      </c>
    </row>
    <row r="38660" spans="1:6" ht="12.75">
      <c r="A38660" s="8">
        <v>43887.123564814814</v>
      </c>
      <c r="B38660" s="8" t="str">
        <f>HYPERLINK("https://twitter.com/isis_rb7","@isis_rb7")</f>
        <v>@isis_rb7</v>
      </c>
      <c r="C38660" s="8" t="s">
        <v>14924</v>
      </c>
      <c r="D38660" s="8">
        <v>2</v>
      </c>
      <c r="E38660" s="8">
        <v>0</v>
      </c>
      <c r="F38660" s="8">
        <v>1931</v>
      </c>
    </row>
    <row r="38661" spans="1:6" ht="12.75">
      <c r="A38661" s="8">
        <v>43887.123055555552</v>
      </c>
      <c r="B38661" s="8" t="str">
        <f>HYPERLINK("https://twitter.com/hariepraseno","@hariepraseno")</f>
        <v>@hariepraseno</v>
      </c>
      <c r="C38661" s="8" t="s">
        <v>2941</v>
      </c>
      <c r="D38661" s="8">
        <v>765</v>
      </c>
      <c r="E38661" s="8">
        <v>0</v>
      </c>
      <c r="F38661" s="8">
        <v>86</v>
      </c>
    </row>
    <row r="38662" spans="1:6" ht="12.75">
      <c r="A38662" s="8">
        <v>43887.122314814813</v>
      </c>
      <c r="B38662" s="8" t="str">
        <f>HYPERLINK("https://twitter.com/Al_Jamalli_531","@Al_Jamalli_531")</f>
        <v>@Al_Jamalli_531</v>
      </c>
      <c r="C38662" s="8" t="s">
        <v>13365</v>
      </c>
      <c r="D38662" s="8">
        <v>340</v>
      </c>
      <c r="E38662" s="8">
        <v>0</v>
      </c>
      <c r="F38662" s="8">
        <v>2650</v>
      </c>
    </row>
    <row r="38663" spans="1:6" ht="12.75">
      <c r="A38663" s="8">
        <v>43887.121759259258</v>
      </c>
      <c r="B38663" s="8" t="str">
        <f>HYPERLINK("https://twitter.com/isiisbc","@isiisbc")</f>
        <v>@isiisbc</v>
      </c>
      <c r="C38663" s="8" t="s">
        <v>14925</v>
      </c>
      <c r="D38663" s="8">
        <v>0</v>
      </c>
      <c r="E38663" s="8">
        <v>0</v>
      </c>
      <c r="F38663" s="8">
        <v>144</v>
      </c>
    </row>
    <row r="38664" spans="1:6" ht="12.75">
      <c r="A38664" s="8">
        <v>43887.121724537035</v>
      </c>
      <c r="B38664" s="8" t="str">
        <f>HYPERLINK("https://twitter.com/fitri_hndayan","@fitri_hndayan")</f>
        <v>@fitri_hndayan</v>
      </c>
      <c r="C38664" s="8" t="s">
        <v>13365</v>
      </c>
      <c r="D38664" s="8">
        <v>340</v>
      </c>
      <c r="E38664" s="8">
        <v>0</v>
      </c>
      <c r="F38664" s="8">
        <v>321</v>
      </c>
    </row>
    <row r="38665" spans="1:6" ht="12.75">
      <c r="A38665" s="8">
        <v>43887.117812500001</v>
      </c>
      <c r="B38665" s="8" t="str">
        <f>HYPERLINK("https://twitter.com/isis_rb7","@isis_rb7")</f>
        <v>@isis_rb7</v>
      </c>
      <c r="C38665" s="8" t="s">
        <v>14926</v>
      </c>
      <c r="D38665" s="8">
        <v>2</v>
      </c>
      <c r="E38665" s="8">
        <v>7</v>
      </c>
      <c r="F38665" s="8">
        <v>1931</v>
      </c>
    </row>
    <row r="38666" spans="1:6" ht="12.75">
      <c r="A38666" s="8">
        <v>43887.117523148147</v>
      </c>
      <c r="B38666" s="8" t="str">
        <f>HYPERLINK("https://twitter.com/HiroshiHootoo","@HiroshiHootoo")</f>
        <v>@HiroshiHootoo</v>
      </c>
      <c r="C38666" s="8" t="s">
        <v>8484</v>
      </c>
      <c r="D38666" s="8">
        <v>921</v>
      </c>
      <c r="E38666" s="8">
        <v>0</v>
      </c>
      <c r="F38666" s="8">
        <v>5899</v>
      </c>
    </row>
    <row r="38667" spans="1:6" ht="12.75">
      <c r="A38667" s="8">
        <v>43887.117511574077</v>
      </c>
      <c r="B38667" s="8" t="str">
        <f>HYPERLINK("https://twitter.com/nikemild","@nikemild")</f>
        <v>@nikemild</v>
      </c>
      <c r="C38667" s="8" t="s">
        <v>2940</v>
      </c>
      <c r="D38667" s="8">
        <v>2555</v>
      </c>
      <c r="E38667" s="8">
        <v>0</v>
      </c>
      <c r="F38667" s="8">
        <v>348</v>
      </c>
    </row>
    <row r="38668" spans="1:6" ht="12.75">
      <c r="A38668" s="8">
        <v>43887.117361111115</v>
      </c>
      <c r="B38668" s="8" t="str">
        <f>HYPERLINK("https://twitter.com/AgusSetiawanAr4","@AgusSetiawanAr4")</f>
        <v>@AgusSetiawanAr4</v>
      </c>
      <c r="C38668" s="8" t="s">
        <v>14927</v>
      </c>
      <c r="D38668" s="8">
        <v>0</v>
      </c>
      <c r="E38668" s="8">
        <v>0</v>
      </c>
      <c r="F38668" s="8">
        <v>22</v>
      </c>
    </row>
    <row r="38669" spans="1:6" ht="12.75">
      <c r="A38669" s="8">
        <v>43887.117291666669</v>
      </c>
      <c r="B38669" s="8" t="str">
        <f>HYPERLINK("https://twitter.com/DoraRuh","@DoraRuh")</f>
        <v>@DoraRuh</v>
      </c>
      <c r="C38669" s="8" t="s">
        <v>2941</v>
      </c>
      <c r="D38669" s="8">
        <v>765</v>
      </c>
      <c r="E38669" s="8">
        <v>0</v>
      </c>
      <c r="F38669" s="8">
        <v>37</v>
      </c>
    </row>
    <row r="38670" spans="1:6" ht="12.75">
      <c r="A38670" s="8">
        <v>43887.116967592592</v>
      </c>
      <c r="B38670" s="8" t="str">
        <f>HYPERLINK("https://twitter.com/HiroshiHootoo","@HiroshiHootoo")</f>
        <v>@HiroshiHootoo</v>
      </c>
      <c r="C38670" s="8" t="s">
        <v>2940</v>
      </c>
      <c r="D38670" s="8">
        <v>2555</v>
      </c>
      <c r="E38670" s="8">
        <v>0</v>
      </c>
      <c r="F38670" s="8">
        <v>5899</v>
      </c>
    </row>
    <row r="38671" spans="1:6" ht="12.75">
      <c r="A38671" s="8">
        <v>43887.116932870369</v>
      </c>
      <c r="B38671" s="8" t="str">
        <f>HYPERLINK("https://twitter.com/ElynHandayani","@ElynHandayani")</f>
        <v>@ElynHandayani</v>
      </c>
      <c r="C38671" s="8" t="s">
        <v>11964</v>
      </c>
      <c r="D38671" s="8">
        <v>504</v>
      </c>
      <c r="E38671" s="8">
        <v>0</v>
      </c>
      <c r="F38671" s="8">
        <v>520</v>
      </c>
    </row>
    <row r="38672" spans="1:6" ht="12.75">
      <c r="A38672" s="8">
        <v>43887.116875</v>
      </c>
      <c r="B38672" s="8" t="str">
        <f>HYPERLINK("https://twitter.com/FaiteVino","@FaiteVino")</f>
        <v>@FaiteVino</v>
      </c>
      <c r="C38672" s="8" t="s">
        <v>13834</v>
      </c>
      <c r="D38672" s="8">
        <v>154</v>
      </c>
      <c r="E38672" s="8">
        <v>0</v>
      </c>
      <c r="F38672" s="8">
        <v>7</v>
      </c>
    </row>
    <row r="38673" spans="1:6" ht="12.75">
      <c r="A38673" s="8">
        <v>43887.116875</v>
      </c>
      <c r="B38673" s="8" t="str">
        <f t="shared" ref="B38673:B38674" si="579">HYPERLINK("https://twitter.com/miharja_ozzy","@miharja_ozzy")</f>
        <v>@miharja_ozzy</v>
      </c>
      <c r="C38673" s="8" t="s">
        <v>13365</v>
      </c>
      <c r="D38673" s="8">
        <v>340</v>
      </c>
      <c r="E38673" s="8">
        <v>0</v>
      </c>
      <c r="F38673" s="8">
        <v>62</v>
      </c>
    </row>
    <row r="38674" spans="1:6" ht="12.75">
      <c r="A38674" s="8">
        <v>43887.116145833337</v>
      </c>
      <c r="B38674" s="8" t="str">
        <f t="shared" si="579"/>
        <v>@miharja_ozzy</v>
      </c>
      <c r="C38674" s="8" t="s">
        <v>11964</v>
      </c>
      <c r="D38674" s="8">
        <v>504</v>
      </c>
      <c r="E38674" s="8">
        <v>0</v>
      </c>
      <c r="F38674" s="8">
        <v>62</v>
      </c>
    </row>
    <row r="38675" spans="1:6" ht="12.75">
      <c r="A38675" s="8">
        <v>43887.114675925928</v>
      </c>
      <c r="B38675" s="8" t="str">
        <f>HYPERLINK("https://twitter.com/ENEMYNDRD","@ENEMYNDRD")</f>
        <v>@ENEMYNDRD</v>
      </c>
      <c r="C38675" s="8" t="s">
        <v>11964</v>
      </c>
      <c r="D38675" s="8">
        <v>504</v>
      </c>
      <c r="E38675" s="8">
        <v>0</v>
      </c>
      <c r="F38675" s="8">
        <v>427</v>
      </c>
    </row>
    <row r="38676" spans="1:6" ht="12.75">
      <c r="A38676" s="8">
        <v>43887.114537037036</v>
      </c>
      <c r="B38676" s="8" t="str">
        <f>HYPERLINK("https://twitter.com/koloni_saham","@koloni_saham")</f>
        <v>@koloni_saham</v>
      </c>
      <c r="C38676" s="8" t="s">
        <v>14928</v>
      </c>
      <c r="D38676" s="8">
        <v>0</v>
      </c>
      <c r="E38676" s="8">
        <v>0</v>
      </c>
      <c r="F38676" s="8">
        <v>53</v>
      </c>
    </row>
    <row r="38677" spans="1:6" ht="12.75">
      <c r="A38677" s="8">
        <v>43887.112905092596</v>
      </c>
      <c r="B38677" s="8" t="str">
        <f>HYPERLINK("https://twitter.com/EcaFifah","@EcaFifah")</f>
        <v>@EcaFifah</v>
      </c>
      <c r="C38677" s="8" t="s">
        <v>14225</v>
      </c>
      <c r="D38677" s="8">
        <v>0</v>
      </c>
      <c r="E38677" s="8">
        <v>0</v>
      </c>
      <c r="F38677" s="8">
        <v>213</v>
      </c>
    </row>
    <row r="38678" spans="1:6" ht="12.75">
      <c r="A38678" s="8">
        <v>43887.111967592587</v>
      </c>
      <c r="B38678" s="8" t="str">
        <f>HYPERLINK("https://twitter.com/indonesiazagreb","@indonesiazagreb")</f>
        <v>@indonesiazagreb</v>
      </c>
      <c r="C38678" s="8" t="s">
        <v>14929</v>
      </c>
      <c r="D38678" s="8">
        <v>0</v>
      </c>
      <c r="E38678" s="8">
        <v>0</v>
      </c>
      <c r="F38678" s="8">
        <v>266</v>
      </c>
    </row>
    <row r="38679" spans="1:6" ht="12.75">
      <c r="A38679" s="8">
        <v>43887.111307870371</v>
      </c>
      <c r="B38679" s="8" t="str">
        <f>HYPERLINK("https://twitter.com/Nurulele","@Nurulele")</f>
        <v>@Nurulele</v>
      </c>
      <c r="C38679" s="8" t="s">
        <v>2941</v>
      </c>
      <c r="D38679" s="8">
        <v>765</v>
      </c>
      <c r="E38679" s="8">
        <v>0</v>
      </c>
      <c r="F38679" s="8">
        <v>510</v>
      </c>
    </row>
    <row r="38680" spans="1:6" ht="12.75">
      <c r="A38680" s="8">
        <v>43887.110613425924</v>
      </c>
      <c r="B38680" s="8" t="str">
        <f>HYPERLINK("https://twitter.com/dindun80","@dindun80")</f>
        <v>@dindun80</v>
      </c>
      <c r="C38680" s="8" t="s">
        <v>13365</v>
      </c>
      <c r="D38680" s="8">
        <v>340</v>
      </c>
      <c r="E38680" s="8">
        <v>0</v>
      </c>
      <c r="F38680" s="8">
        <v>105</v>
      </c>
    </row>
    <row r="38681" spans="1:6" ht="12.75">
      <c r="A38681" s="8">
        <v>43887.108437499999</v>
      </c>
      <c r="B38681" s="8" t="str">
        <f>HYPERLINK("https://twitter.com/teguhpositif","@teguhpositif")</f>
        <v>@teguhpositif</v>
      </c>
      <c r="C38681" s="8" t="s">
        <v>13365</v>
      </c>
      <c r="D38681" s="8">
        <v>340</v>
      </c>
      <c r="E38681" s="8">
        <v>0</v>
      </c>
      <c r="F38681" s="8">
        <v>509</v>
      </c>
    </row>
    <row r="38682" spans="1:6" ht="12.75">
      <c r="A38682" s="8">
        <v>43887.107523148152</v>
      </c>
      <c r="B38682" s="8" t="str">
        <f>HYPERLINK("https://twitter.com/kkeeppiinn","@kkeeppiinn")</f>
        <v>@kkeeppiinn</v>
      </c>
      <c r="C38682" s="8" t="s">
        <v>13365</v>
      </c>
      <c r="D38682" s="8">
        <v>340</v>
      </c>
      <c r="E38682" s="8">
        <v>0</v>
      </c>
      <c r="F38682" s="8">
        <v>158</v>
      </c>
    </row>
    <row r="38683" spans="1:6" ht="12.75">
      <c r="A38683" s="8">
        <v>43887.107210648144</v>
      </c>
      <c r="B38683" s="8" t="str">
        <f>HYPERLINK("https://twitter.com/bonihargens","@bonihargens")</f>
        <v>@bonihargens</v>
      </c>
      <c r="C38683" s="8" t="s">
        <v>2941</v>
      </c>
      <c r="D38683" s="8">
        <v>765</v>
      </c>
      <c r="E38683" s="8">
        <v>0</v>
      </c>
      <c r="F38683" s="8">
        <v>1467124</v>
      </c>
    </row>
    <row r="38684" spans="1:6" ht="12.75">
      <c r="A38684" s="8">
        <v>43887.107129629629</v>
      </c>
      <c r="B38684" s="8" t="str">
        <f>HYPERLINK("https://twitter.com/balqis_zhahira","@balqis_zhahira")</f>
        <v>@balqis_zhahira</v>
      </c>
      <c r="C38684" s="8" t="s">
        <v>14930</v>
      </c>
      <c r="D38684" s="8">
        <v>0</v>
      </c>
      <c r="E38684" s="8">
        <v>0</v>
      </c>
      <c r="F38684" s="8">
        <v>442</v>
      </c>
    </row>
    <row r="38685" spans="1:6" ht="12.75">
      <c r="A38685" s="8">
        <v>43887.106423611112</v>
      </c>
      <c r="B38685" s="8" t="str">
        <f>HYPERLINK("https://twitter.com/AFarabih","@AFarabih")</f>
        <v>@AFarabih</v>
      </c>
      <c r="C38685" s="8" t="s">
        <v>13365</v>
      </c>
      <c r="D38685" s="8">
        <v>340</v>
      </c>
      <c r="E38685" s="8">
        <v>0</v>
      </c>
      <c r="F38685" s="8">
        <v>108</v>
      </c>
    </row>
    <row r="38686" spans="1:6" ht="12.75">
      <c r="A38686" s="8">
        <v>43887.106203703705</v>
      </c>
      <c r="B38686" s="8" t="str">
        <f>HYPERLINK("https://twitter.com/oodhyar","@oodhyar")</f>
        <v>@oodhyar</v>
      </c>
      <c r="C38686" s="8" t="s">
        <v>2941</v>
      </c>
      <c r="D38686" s="8">
        <v>765</v>
      </c>
      <c r="E38686" s="8">
        <v>0</v>
      </c>
      <c r="F38686" s="8">
        <v>32</v>
      </c>
    </row>
    <row r="38687" spans="1:6" ht="12.75">
      <c r="A38687" s="8">
        <v>43887.105949074074</v>
      </c>
      <c r="B38687" s="8" t="str">
        <f>HYPERLINK("https://twitter.com/Suyarno13","@Suyarno13")</f>
        <v>@Suyarno13</v>
      </c>
      <c r="C38687" s="8" t="s">
        <v>14879</v>
      </c>
      <c r="D38687" s="8">
        <v>17</v>
      </c>
      <c r="E38687" s="8">
        <v>0</v>
      </c>
      <c r="F38687" s="8">
        <v>255</v>
      </c>
    </row>
    <row r="38688" spans="1:6" ht="12.75">
      <c r="A38688" s="8">
        <v>43887.104872685188</v>
      </c>
      <c r="B38688" s="8" t="str">
        <f>HYPERLINK("https://twitter.com/PutraMerdeka9","@PutraMerdeka9")</f>
        <v>@PutraMerdeka9</v>
      </c>
      <c r="C38688" s="8" t="s">
        <v>13365</v>
      </c>
      <c r="D38688" s="8">
        <v>340</v>
      </c>
      <c r="E38688" s="8">
        <v>0</v>
      </c>
      <c r="F38688" s="8">
        <v>708</v>
      </c>
    </row>
    <row r="38689" spans="1:6" ht="12.75">
      <c r="A38689" s="8">
        <v>43887.104837962965</v>
      </c>
      <c r="B38689" s="8" t="str">
        <f>HYPERLINK("https://twitter.com/msaid_didu","@msaid_didu")</f>
        <v>@msaid_didu</v>
      </c>
      <c r="C38689" s="8" t="s">
        <v>14879</v>
      </c>
      <c r="D38689" s="8">
        <v>17</v>
      </c>
      <c r="E38689" s="8">
        <v>0</v>
      </c>
      <c r="F38689" s="8">
        <v>233002</v>
      </c>
    </row>
    <row r="38690" spans="1:6" ht="12.75">
      <c r="A38690" s="8">
        <v>43887.104780092588</v>
      </c>
      <c r="B38690" s="8" t="str">
        <f>HYPERLINK("https://twitter.com/hendraputrasiag","@hendraputrasiag")</f>
        <v>@hendraputrasiag</v>
      </c>
      <c r="C38690" s="8" t="s">
        <v>14129</v>
      </c>
      <c r="D38690" s="8">
        <v>8</v>
      </c>
      <c r="E38690" s="8">
        <v>0</v>
      </c>
      <c r="F38690" s="8">
        <v>184</v>
      </c>
    </row>
    <row r="38691" spans="1:6" ht="12.75">
      <c r="A38691" s="8">
        <v>43887.104733796295</v>
      </c>
      <c r="B38691" s="8" t="str">
        <f>HYPERLINK("https://twitter.com/vict_isis","@vict_isis")</f>
        <v>@vict_isis</v>
      </c>
      <c r="C38691" s="8" t="s">
        <v>14931</v>
      </c>
      <c r="D38691" s="8">
        <v>0</v>
      </c>
      <c r="E38691" s="8">
        <v>0</v>
      </c>
      <c r="F38691" s="8">
        <v>866</v>
      </c>
    </row>
    <row r="38692" spans="1:6" ht="12.75">
      <c r="A38692" s="8">
        <v>43887.10423611111</v>
      </c>
      <c r="B38692" s="8" t="str">
        <f>HYPERLINK("https://twitter.com/MVVZ3","@MVVZ3")</f>
        <v>@MVVZ3</v>
      </c>
      <c r="C38692" s="8" t="s">
        <v>14543</v>
      </c>
      <c r="D38692" s="8">
        <v>11</v>
      </c>
      <c r="E38692" s="8">
        <v>0</v>
      </c>
      <c r="F38692" s="8">
        <v>1056</v>
      </c>
    </row>
    <row r="38693" spans="1:6" ht="12.75">
      <c r="A38693" s="8">
        <v>43887.102685185186</v>
      </c>
      <c r="B38693" s="8" t="str">
        <f>HYPERLINK("https://twitter.com/tajigennorihiro","@tajigennorihiro")</f>
        <v>@tajigennorihiro</v>
      </c>
      <c r="C38693" s="8" t="s">
        <v>8484</v>
      </c>
      <c r="D38693" s="8">
        <v>921</v>
      </c>
      <c r="E38693" s="8">
        <v>0</v>
      </c>
      <c r="F38693" s="8">
        <v>764</v>
      </c>
    </row>
    <row r="38694" spans="1:6" ht="12.75">
      <c r="A38694" s="8">
        <v>43887.101620370369</v>
      </c>
      <c r="B38694" s="8" t="str">
        <f>HYPERLINK("https://twitter.com/AEPishere","@AEPishere")</f>
        <v>@AEPishere</v>
      </c>
      <c r="C38694" s="8" t="s">
        <v>14129</v>
      </c>
      <c r="D38694" s="8">
        <v>8</v>
      </c>
      <c r="E38694" s="8">
        <v>0</v>
      </c>
      <c r="F38694" s="8">
        <v>3015</v>
      </c>
    </row>
    <row r="38695" spans="1:6" ht="12.75">
      <c r="A38695" s="8">
        <v>43887.101527777777</v>
      </c>
      <c r="B38695" s="8" t="str">
        <f>HYPERLINK("https://twitter.com/uusbustami","@uusbustami")</f>
        <v>@uusbustami</v>
      </c>
      <c r="C38695" s="8" t="s">
        <v>11964</v>
      </c>
      <c r="D38695" s="8">
        <v>504</v>
      </c>
      <c r="E38695" s="8">
        <v>0</v>
      </c>
      <c r="F38695" s="8">
        <v>943</v>
      </c>
    </row>
    <row r="38696" spans="1:6" ht="12.75">
      <c r="A38696" s="8">
        <v>43887.101388888885</v>
      </c>
      <c r="B38696" s="8" t="str">
        <f>HYPERLINK("https://twitter.com/Sagemuly","@Sagemuly")</f>
        <v>@Sagemuly</v>
      </c>
      <c r="C38696" s="8" t="s">
        <v>11964</v>
      </c>
      <c r="D38696" s="8">
        <v>504</v>
      </c>
      <c r="E38696" s="8">
        <v>0</v>
      </c>
      <c r="F38696" s="8">
        <v>88</v>
      </c>
    </row>
    <row r="38697" spans="1:6" ht="12.75">
      <c r="A38697" s="8">
        <v>43887.101273148146</v>
      </c>
      <c r="B38697" s="8" t="str">
        <f>HYPERLINK("https://twitter.com/Janissa46815527","@Janissa46815527")</f>
        <v>@Janissa46815527</v>
      </c>
      <c r="C38697" s="8" t="s">
        <v>13365</v>
      </c>
      <c r="D38697" s="8">
        <v>340</v>
      </c>
      <c r="E38697" s="8">
        <v>0</v>
      </c>
      <c r="F38697" s="8">
        <v>179</v>
      </c>
    </row>
    <row r="38698" spans="1:6" ht="12.75">
      <c r="A38698" s="8">
        <v>43887.10083333333</v>
      </c>
      <c r="B38698" s="8" t="str">
        <f>HYPERLINK("https://twitter.com/marathonday6","@marathonday6")</f>
        <v>@marathonday6</v>
      </c>
      <c r="C38698" s="8" t="s">
        <v>14932</v>
      </c>
      <c r="D38698" s="8">
        <v>0</v>
      </c>
      <c r="E38698" s="8">
        <v>0</v>
      </c>
      <c r="F38698" s="8">
        <v>154</v>
      </c>
    </row>
    <row r="38699" spans="1:6" ht="12.75">
      <c r="A38699" s="8">
        <v>43887.10050925926</v>
      </c>
      <c r="B38699" s="8" t="str">
        <f>HYPERLINK("https://twitter.com/fd_SatuLagi","@fd_SatuLagi")</f>
        <v>@fd_SatuLagi</v>
      </c>
      <c r="C38699" s="8" t="s">
        <v>13365</v>
      </c>
      <c r="D38699" s="8">
        <v>340</v>
      </c>
      <c r="E38699" s="8">
        <v>0</v>
      </c>
      <c r="F38699" s="8">
        <v>794</v>
      </c>
    </row>
    <row r="38700" spans="1:6" ht="12.75">
      <c r="A38700" s="8">
        <v>43887.098310185189</v>
      </c>
      <c r="B38700" s="8" t="str">
        <f>HYPERLINK("https://twitter.com/Dyah_kor","@Dyah_kor")</f>
        <v>@Dyah_kor</v>
      </c>
      <c r="C38700" s="8" t="s">
        <v>13365</v>
      </c>
      <c r="D38700" s="8">
        <v>340</v>
      </c>
      <c r="E38700" s="8">
        <v>0</v>
      </c>
      <c r="F38700" s="8">
        <v>973</v>
      </c>
    </row>
    <row r="38701" spans="1:6" ht="12.75">
      <c r="A38701" s="8">
        <v>43887.097881944443</v>
      </c>
      <c r="B38701" s="8" t="str">
        <f>HYPERLINK("https://twitter.com/s_mulyatie","@s_mulyatie")</f>
        <v>@s_mulyatie</v>
      </c>
      <c r="C38701" s="8" t="s">
        <v>13365</v>
      </c>
      <c r="D38701" s="8">
        <v>340</v>
      </c>
      <c r="E38701" s="8">
        <v>0</v>
      </c>
      <c r="F38701" s="8">
        <v>1661</v>
      </c>
    </row>
    <row r="38702" spans="1:6" ht="12.75">
      <c r="A38702" s="8">
        <v>43887.097777777773</v>
      </c>
      <c r="B38702" s="8" t="str">
        <f>HYPERLINK("https://twitter.com/RosyidSulaiman1","@RosyidSulaiman1")</f>
        <v>@RosyidSulaiman1</v>
      </c>
      <c r="C38702" s="8" t="s">
        <v>14225</v>
      </c>
      <c r="D38702" s="8">
        <v>0</v>
      </c>
      <c r="E38702" s="8">
        <v>0</v>
      </c>
      <c r="F38702" s="8">
        <v>345</v>
      </c>
    </row>
    <row r="38703" spans="1:6" ht="12.75">
      <c r="A38703" s="8">
        <v>43887.096990740742</v>
      </c>
      <c r="B38703" s="8" t="str">
        <f>HYPERLINK("https://twitter.com/JakartaStar","@JakartaStar")</f>
        <v>@JakartaStar</v>
      </c>
      <c r="C38703" s="8" t="s">
        <v>14734</v>
      </c>
      <c r="D38703" s="8">
        <v>8</v>
      </c>
      <c r="E38703" s="8">
        <v>0</v>
      </c>
      <c r="F38703" s="8">
        <v>5598</v>
      </c>
    </row>
    <row r="38704" spans="1:6" ht="12.75">
      <c r="A38704" s="8">
        <v>43887.096932870365</v>
      </c>
      <c r="B38704" s="8" t="str">
        <f>HYPERLINK("https://twitter.com/PetrusSubagyo","@PetrusSubagyo")</f>
        <v>@PetrusSubagyo</v>
      </c>
      <c r="C38704" s="8" t="s">
        <v>11183</v>
      </c>
      <c r="D38704" s="8">
        <v>264</v>
      </c>
      <c r="E38704" s="8">
        <v>0</v>
      </c>
      <c r="F38704" s="8">
        <v>60</v>
      </c>
    </row>
    <row r="38705" spans="1:6" ht="12.75">
      <c r="A38705" s="8">
        <v>43887.096643518518</v>
      </c>
      <c r="B38705" s="8" t="str">
        <f>HYPERLINK("https://twitter.com/max_shia","@max_shia")</f>
        <v>@max_shia</v>
      </c>
      <c r="C38705" s="8" t="s">
        <v>14933</v>
      </c>
      <c r="D38705" s="8">
        <v>0</v>
      </c>
      <c r="E38705" s="8">
        <v>0</v>
      </c>
      <c r="F38705" s="8">
        <v>194</v>
      </c>
    </row>
    <row r="38706" spans="1:6" ht="12.75">
      <c r="A38706" s="8">
        <v>43887.09646990741</v>
      </c>
      <c r="B38706" s="8" t="str">
        <f>HYPERLINK("https://twitter.com/marathonday6","@marathonday6")</f>
        <v>@marathonday6</v>
      </c>
      <c r="C38706" s="8" t="s">
        <v>14912</v>
      </c>
      <c r="D38706" s="8">
        <v>5</v>
      </c>
      <c r="E38706" s="8">
        <v>0</v>
      </c>
      <c r="F38706" s="8">
        <v>154</v>
      </c>
    </row>
    <row r="38707" spans="1:6" ht="12.75">
      <c r="A38707" s="8">
        <v>43887.096307870372</v>
      </c>
      <c r="B38707" s="8" t="str">
        <f>HYPERLINK("https://twitter.com/Kazzu89","@Kazzu89")</f>
        <v>@Kazzu89</v>
      </c>
      <c r="C38707" s="8" t="s">
        <v>14934</v>
      </c>
      <c r="D38707" s="8">
        <v>1</v>
      </c>
      <c r="E38707" s="8">
        <v>0</v>
      </c>
      <c r="F38707" s="8">
        <v>358</v>
      </c>
    </row>
    <row r="38708" spans="1:6" ht="12.75">
      <c r="A38708" s="8">
        <v>43887.095393518517</v>
      </c>
      <c r="B38708" s="8" t="str">
        <f>HYPERLINK("https://twitter.com/panjimao","@panjimao")</f>
        <v>@panjimao</v>
      </c>
      <c r="C38708" s="8" t="s">
        <v>14935</v>
      </c>
      <c r="D38708" s="8">
        <v>3</v>
      </c>
      <c r="E38708" s="8">
        <v>0</v>
      </c>
      <c r="F38708" s="8">
        <v>387</v>
      </c>
    </row>
    <row r="38709" spans="1:6" ht="12.75">
      <c r="A38709" s="8">
        <v>43887.095358796301</v>
      </c>
      <c r="B38709" s="8" t="str">
        <f>HYPERLINK("https://twitter.com/GalihGieloof","@GalihGieloof")</f>
        <v>@GalihGieloof</v>
      </c>
      <c r="C38709" s="8" t="s">
        <v>13365</v>
      </c>
      <c r="D38709" s="8">
        <v>340</v>
      </c>
      <c r="E38709" s="8">
        <v>0</v>
      </c>
      <c r="F38709" s="8">
        <v>272</v>
      </c>
    </row>
    <row r="38710" spans="1:6" ht="12.75">
      <c r="A38710" s="8">
        <v>43887.094247685185</v>
      </c>
      <c r="B38710" s="8" t="str">
        <f>HYPERLINK("https://twitter.com/KHartama","@KHartama")</f>
        <v>@KHartama</v>
      </c>
      <c r="C38710" s="8" t="s">
        <v>13365</v>
      </c>
      <c r="D38710" s="8">
        <v>340</v>
      </c>
      <c r="E38710" s="8">
        <v>0</v>
      </c>
      <c r="F38710" s="8">
        <v>422</v>
      </c>
    </row>
    <row r="38711" spans="1:6" ht="12.75">
      <c r="A38711" s="8">
        <v>43887.093831018516</v>
      </c>
      <c r="B38711" s="8" t="str">
        <f>HYPERLINK("https://twitter.com/quuqiilaa","@quuqiilaa")</f>
        <v>@quuqiilaa</v>
      </c>
      <c r="C38711" s="8" t="s">
        <v>14734</v>
      </c>
      <c r="D38711" s="8">
        <v>8</v>
      </c>
      <c r="E38711" s="8">
        <v>0</v>
      </c>
      <c r="F38711" s="8">
        <v>2919</v>
      </c>
    </row>
    <row r="38712" spans="1:6" ht="12.75">
      <c r="A38712" s="8">
        <v>43887.093622685185</v>
      </c>
      <c r="B38712" s="8" t="str">
        <f>HYPERLINK("https://twitter.com/IlhamAr35219135","@IlhamAr35219135")</f>
        <v>@IlhamAr35219135</v>
      </c>
      <c r="C38712" s="8" t="s">
        <v>13365</v>
      </c>
      <c r="D38712" s="8">
        <v>340</v>
      </c>
      <c r="E38712" s="8">
        <v>0</v>
      </c>
      <c r="F38712" s="8">
        <v>44</v>
      </c>
    </row>
    <row r="38713" spans="1:6" ht="12.75">
      <c r="A38713" s="8">
        <v>43887.093101851853</v>
      </c>
      <c r="B38713" s="8" t="str">
        <f>HYPERLINK("https://twitter.com/mporatne","@mporatne")</f>
        <v>@mporatne</v>
      </c>
      <c r="C38713" s="8" t="s">
        <v>14936</v>
      </c>
      <c r="D38713" s="8">
        <v>1</v>
      </c>
      <c r="E38713" s="8">
        <v>0</v>
      </c>
      <c r="F38713" s="8">
        <v>3455</v>
      </c>
    </row>
    <row r="38714" spans="1:6" ht="12.75">
      <c r="A38714" s="8">
        <v>43887.092951388884</v>
      </c>
      <c r="B38714" s="8" t="str">
        <f>HYPERLINK("https://twitter.com/JeanFP5","@JeanFP5")</f>
        <v>@JeanFP5</v>
      </c>
      <c r="C38714" s="8" t="s">
        <v>2941</v>
      </c>
      <c r="D38714" s="8">
        <v>765</v>
      </c>
      <c r="E38714" s="8">
        <v>0</v>
      </c>
      <c r="F38714" s="8">
        <v>3</v>
      </c>
    </row>
    <row r="38715" spans="1:6" ht="12.75">
      <c r="A38715" s="8">
        <v>43887.092291666668</v>
      </c>
      <c r="B38715" s="8" t="str">
        <f>HYPERLINK("https://twitter.com/visi1231","@visi1231")</f>
        <v>@visi1231</v>
      </c>
      <c r="C38715" s="8" t="s">
        <v>14937</v>
      </c>
      <c r="D38715" s="8">
        <v>0</v>
      </c>
      <c r="E38715" s="8">
        <v>0</v>
      </c>
      <c r="F38715" s="8">
        <v>2</v>
      </c>
    </row>
    <row r="38716" spans="1:6" ht="12.75">
      <c r="A38716" s="8">
        <v>43887.090902777782</v>
      </c>
      <c r="B38716" s="8" t="str">
        <f>HYPERLINK("https://twitter.com/okezonenews","@okezonenews")</f>
        <v>@okezonenews</v>
      </c>
      <c r="C38716" s="8" t="s">
        <v>14938</v>
      </c>
      <c r="D38716" s="8">
        <v>1</v>
      </c>
      <c r="E38716" s="8">
        <v>1</v>
      </c>
      <c r="F38716" s="8">
        <v>1743648</v>
      </c>
    </row>
    <row r="38717" spans="1:6" ht="12.75">
      <c r="A38717" s="8">
        <v>43887.089768518519</v>
      </c>
      <c r="B38717" s="8" t="str">
        <f>HYPERLINK("https://twitter.com/chlorinemist","@chlorinemist")</f>
        <v>@chlorinemist</v>
      </c>
      <c r="C38717" s="8" t="s">
        <v>14939</v>
      </c>
      <c r="D38717" s="8">
        <v>0</v>
      </c>
      <c r="E38717" s="8">
        <v>0</v>
      </c>
      <c r="F38717" s="8">
        <v>853</v>
      </c>
    </row>
    <row r="38718" spans="1:6" ht="12.75">
      <c r="A38718" s="8">
        <v>43887.089432870373</v>
      </c>
      <c r="B38718" s="8" t="str">
        <f>HYPERLINK("https://twitter.com/Nurdjanatin1","@Nurdjanatin1")</f>
        <v>@Nurdjanatin1</v>
      </c>
      <c r="C38718" s="8" t="s">
        <v>13365</v>
      </c>
      <c r="D38718" s="8">
        <v>322</v>
      </c>
      <c r="E38718" s="8">
        <v>0</v>
      </c>
      <c r="F38718" s="8">
        <v>1273</v>
      </c>
    </row>
    <row r="38719" spans="1:6" ht="12.75">
      <c r="A38719" s="8">
        <v>43887.086134259254</v>
      </c>
      <c r="B38719" s="8" t="str">
        <f>HYPERLINK("https://twitter.com/RadarNegeriku","@RadarNegeriku")</f>
        <v>@RadarNegeriku</v>
      </c>
      <c r="C38719" s="8" t="s">
        <v>14940</v>
      </c>
      <c r="D38719" s="8">
        <v>0</v>
      </c>
      <c r="E38719" s="8">
        <v>0</v>
      </c>
      <c r="F38719" s="8">
        <v>133</v>
      </c>
    </row>
    <row r="38720" spans="1:6" ht="12.75">
      <c r="A38720" s="8">
        <v>43887.085752314815</v>
      </c>
      <c r="B38720" s="8" t="str">
        <f>HYPERLINK("https://twitter.com/001RamVedi","@001RamVedi")</f>
        <v>@001RamVedi</v>
      </c>
      <c r="C38720" s="8" t="s">
        <v>14941</v>
      </c>
      <c r="D38720" s="8">
        <v>0</v>
      </c>
      <c r="E38720" s="8">
        <v>0</v>
      </c>
      <c r="F38720" s="8">
        <v>24</v>
      </c>
    </row>
    <row r="38721" spans="1:6" ht="12.75">
      <c r="A38721" s="8">
        <v>43887.085451388892</v>
      </c>
      <c r="B38721" s="8" t="str">
        <f>HYPERLINK("https://twitter.com/IntanRubby_8","@IntanRubby_8")</f>
        <v>@IntanRubby_8</v>
      </c>
      <c r="C38721" s="8" t="s">
        <v>13365</v>
      </c>
      <c r="D38721" s="8">
        <v>322</v>
      </c>
      <c r="E38721" s="8">
        <v>0</v>
      </c>
      <c r="F38721" s="8">
        <v>23</v>
      </c>
    </row>
    <row r="38722" spans="1:6" ht="12.75">
      <c r="A38722" s="8">
        <v>43887.084999999999</v>
      </c>
      <c r="B38722" s="8" t="str">
        <f>HYPERLINK("https://twitter.com/rabbitcoffee123","@rabbitcoffee123")</f>
        <v>@rabbitcoffee123</v>
      </c>
      <c r="C38722" s="8" t="s">
        <v>13365</v>
      </c>
      <c r="D38722" s="8">
        <v>322</v>
      </c>
      <c r="E38722" s="8">
        <v>0</v>
      </c>
      <c r="F38722" s="8">
        <v>31</v>
      </c>
    </row>
    <row r="38723" spans="1:6" ht="12.75">
      <c r="A38723" s="8">
        <v>43887.084652777776</v>
      </c>
      <c r="B38723" s="8" t="str">
        <f>HYPERLINK("https://twitter.com/MomoSak67438750","@MomoSak67438750")</f>
        <v>@MomoSak67438750</v>
      </c>
      <c r="C38723" s="8" t="s">
        <v>8484</v>
      </c>
      <c r="D38723" s="8">
        <v>919</v>
      </c>
      <c r="E38723" s="8">
        <v>0</v>
      </c>
      <c r="F38723" s="8">
        <v>127</v>
      </c>
    </row>
    <row r="38724" spans="1:6" ht="12.75">
      <c r="A38724" s="8">
        <v>43887.083912037036</v>
      </c>
      <c r="B38724" s="8" t="str">
        <f>HYPERLINK("https://twitter.com/aliftataq_","@aliftataq_")</f>
        <v>@aliftataq_</v>
      </c>
      <c r="C38724" s="8" t="s">
        <v>13365</v>
      </c>
      <c r="D38724" s="8">
        <v>322</v>
      </c>
      <c r="E38724" s="8">
        <v>0</v>
      </c>
      <c r="F38724" s="8">
        <v>58</v>
      </c>
    </row>
    <row r="38725" spans="1:6" ht="12.75">
      <c r="A38725" s="8">
        <v>43887.083900462967</v>
      </c>
      <c r="B38725" s="8" t="str">
        <f>HYPERLINK("https://twitter.com/M_BagusSetiawan","@M_BagusSetiawan")</f>
        <v>@M_BagusSetiawan</v>
      </c>
      <c r="C38725" s="8" t="s">
        <v>13365</v>
      </c>
      <c r="D38725" s="8">
        <v>322</v>
      </c>
      <c r="E38725" s="8">
        <v>0</v>
      </c>
      <c r="F38725" s="8">
        <v>213</v>
      </c>
    </row>
    <row r="38726" spans="1:6" ht="12.75">
      <c r="A38726" s="8">
        <v>43887.083865740744</v>
      </c>
      <c r="B38726" s="8" t="str">
        <f>HYPERLINK("https://twitter.com/inadisini","@inadisini")</f>
        <v>@inadisini</v>
      </c>
      <c r="C38726" s="8" t="s">
        <v>13365</v>
      </c>
      <c r="D38726" s="8">
        <v>322</v>
      </c>
      <c r="E38726" s="8">
        <v>0</v>
      </c>
      <c r="F38726" s="8">
        <v>734</v>
      </c>
    </row>
    <row r="38727" spans="1:6" ht="12.75">
      <c r="A38727" s="8">
        <v>43887.083495370374</v>
      </c>
      <c r="B38727" s="8" t="str">
        <f>HYPERLINK("https://twitter.com/rouut","@rouut")</f>
        <v>@rouut</v>
      </c>
      <c r="C38727" s="8" t="s">
        <v>14942</v>
      </c>
      <c r="D38727" s="8">
        <v>0</v>
      </c>
      <c r="E38727" s="8">
        <v>0</v>
      </c>
      <c r="F38727" s="8">
        <v>306</v>
      </c>
    </row>
    <row r="38728" spans="1:6" ht="12.75">
      <c r="A38728" s="8">
        <v>43887.083333333328</v>
      </c>
      <c r="B38728" s="8" t="str">
        <f>HYPERLINK("https://twitter.com/GTVID_News","@GTVID_News")</f>
        <v>@GTVID_News</v>
      </c>
      <c r="C38728" s="8" t="s">
        <v>14943</v>
      </c>
      <c r="D38728" s="8">
        <v>0</v>
      </c>
      <c r="E38728" s="8">
        <v>0</v>
      </c>
      <c r="F38728" s="8">
        <v>10804</v>
      </c>
    </row>
    <row r="38729" spans="1:6" ht="12.75">
      <c r="A38729" s="8">
        <v>43887.082615740743</v>
      </c>
      <c r="B38729" s="8" t="str">
        <f>HYPERLINK("https://twitter.com/danishabrina","@danishabrina")</f>
        <v>@danishabrina</v>
      </c>
      <c r="C38729" s="8" t="s">
        <v>2941</v>
      </c>
      <c r="D38729" s="8">
        <v>758</v>
      </c>
      <c r="E38729" s="8">
        <v>0</v>
      </c>
      <c r="F38729" s="8">
        <v>323</v>
      </c>
    </row>
    <row r="38730" spans="1:6" ht="12.75">
      <c r="A38730" s="8">
        <v>43887.082337962958</v>
      </c>
      <c r="B38730" s="8" t="str">
        <f>HYPERLINK("https://twitter.com/Harian_Jogja","@Harian_Jogja")</f>
        <v>@Harian_Jogja</v>
      </c>
      <c r="C38730" s="8" t="s">
        <v>14944</v>
      </c>
      <c r="D38730" s="8">
        <v>0</v>
      </c>
      <c r="E38730" s="8">
        <v>0</v>
      </c>
      <c r="F38730" s="8">
        <v>154361</v>
      </c>
    </row>
    <row r="38731" spans="1:6" ht="12.75">
      <c r="A38731" s="8">
        <v>43887.08185185185</v>
      </c>
      <c r="B38731" s="8" t="str">
        <f>HYPERLINK("https://twitter.com/001RamVedi","@001RamVedi")</f>
        <v>@001RamVedi</v>
      </c>
      <c r="C38731" s="8" t="s">
        <v>14945</v>
      </c>
      <c r="D38731" s="8">
        <v>0</v>
      </c>
      <c r="E38731" s="8">
        <v>0</v>
      </c>
      <c r="F38731" s="8">
        <v>24</v>
      </c>
    </row>
    <row r="38732" spans="1:6" ht="12.75">
      <c r="A38732" s="8">
        <v>43887.080925925926</v>
      </c>
      <c r="B38732" s="8" t="str">
        <f>HYPERLINK("https://twitter.com/MuhamadRikie","@MuhamadRikie")</f>
        <v>@MuhamadRikie</v>
      </c>
      <c r="C38732" s="8" t="s">
        <v>2941</v>
      </c>
      <c r="D38732" s="8">
        <v>758</v>
      </c>
      <c r="E38732" s="8">
        <v>0</v>
      </c>
      <c r="F38732" s="8">
        <v>54</v>
      </c>
    </row>
    <row r="38733" spans="1:6" ht="12.75">
      <c r="A38733" s="8">
        <v>43887.080451388887</v>
      </c>
      <c r="B38733" s="8" t="str">
        <f>HYPERLINK("https://twitter.com/jamalkieraha71","@jamalkieraha71")</f>
        <v>@jamalkieraha71</v>
      </c>
      <c r="C38733" s="8" t="s">
        <v>11964</v>
      </c>
      <c r="D38733" s="8">
        <v>499</v>
      </c>
      <c r="E38733" s="8">
        <v>0</v>
      </c>
      <c r="F38733" s="8">
        <v>1019</v>
      </c>
    </row>
    <row r="38734" spans="1:6" ht="12.75">
      <c r="A38734" s="8">
        <v>43887.080405092594</v>
      </c>
      <c r="B38734" s="8" t="str">
        <f>HYPERLINK("https://twitter.com/monacrk","@monacrk")</f>
        <v>@monacrk</v>
      </c>
      <c r="C38734" s="8" t="s">
        <v>14946</v>
      </c>
      <c r="D38734" s="8">
        <v>7</v>
      </c>
      <c r="E38734" s="8">
        <v>0</v>
      </c>
      <c r="F38734" s="8">
        <v>5</v>
      </c>
    </row>
    <row r="38735" spans="1:6" ht="12.75">
      <c r="A38735" s="8">
        <v>43887.080231481479</v>
      </c>
      <c r="B38735" s="8" t="str">
        <f>HYPERLINK("https://twitter.com/PratikMahetani","@PratikMahetani")</f>
        <v>@PratikMahetani</v>
      </c>
      <c r="C38735" s="8" t="s">
        <v>14947</v>
      </c>
      <c r="D38735" s="8">
        <v>0</v>
      </c>
      <c r="E38735" s="8">
        <v>0</v>
      </c>
      <c r="F38735" s="8">
        <v>4</v>
      </c>
    </row>
    <row r="38736" spans="1:6" ht="12.75">
      <c r="A38736" s="8">
        <v>43887.080208333333</v>
      </c>
      <c r="B38736" s="8" t="str">
        <f>HYPERLINK("https://twitter.com/khanfaruk1993","@khanfaruk1993")</f>
        <v>@khanfaruk1993</v>
      </c>
      <c r="C38736" s="8" t="s">
        <v>14948</v>
      </c>
      <c r="D38736" s="8">
        <v>0</v>
      </c>
      <c r="E38736" s="8">
        <v>0</v>
      </c>
      <c r="F38736" s="8">
        <v>10</v>
      </c>
    </row>
    <row r="38737" spans="1:6" ht="12.75">
      <c r="A38737" s="8">
        <v>43887.080150462964</v>
      </c>
      <c r="B38737" s="8" t="str">
        <f>HYPERLINK("https://twitter.com/elasrihanda","@elasrihanda")</f>
        <v>@elasrihanda</v>
      </c>
      <c r="C38737" s="8" t="s">
        <v>2941</v>
      </c>
      <c r="D38737" s="8">
        <v>758</v>
      </c>
      <c r="E38737" s="8">
        <v>0</v>
      </c>
      <c r="F38737" s="8">
        <v>2464</v>
      </c>
    </row>
    <row r="38738" spans="1:6" ht="12.75">
      <c r="A38738" s="8">
        <v>43887.078877314816</v>
      </c>
      <c r="B38738" s="8" t="str">
        <f>HYPERLINK("https://twitter.com/AdrisNafsak","@AdrisNafsak")</f>
        <v>@AdrisNafsak</v>
      </c>
      <c r="C38738" s="8" t="s">
        <v>11964</v>
      </c>
      <c r="D38738" s="8">
        <v>499</v>
      </c>
      <c r="E38738" s="8">
        <v>0</v>
      </c>
      <c r="F38738" s="8">
        <v>398</v>
      </c>
    </row>
    <row r="38739" spans="1:6" ht="12.75">
      <c r="A38739" s="8">
        <v>43887.077476851853</v>
      </c>
      <c r="B38739" s="8" t="str">
        <f>HYPERLINK("https://twitter.com/iffind_love","@iffind_love")</f>
        <v>@iffind_love</v>
      </c>
      <c r="C38739" s="8" t="s">
        <v>14913</v>
      </c>
      <c r="D38739" s="8">
        <v>20</v>
      </c>
      <c r="E38739" s="8">
        <v>0</v>
      </c>
      <c r="F38739" s="8">
        <v>65</v>
      </c>
    </row>
    <row r="38740" spans="1:6" ht="12.75">
      <c r="A38740" s="8">
        <v>43887.076342592598</v>
      </c>
      <c r="B38740" s="8" t="str">
        <f>HYPERLINK("https://twitter.com/DediBinBuchori","@DediBinBuchori")</f>
        <v>@DediBinBuchori</v>
      </c>
      <c r="C38740" s="8" t="s">
        <v>13365</v>
      </c>
      <c r="D38740" s="8">
        <v>322</v>
      </c>
      <c r="E38740" s="8">
        <v>0</v>
      </c>
      <c r="F38740" s="8">
        <v>501</v>
      </c>
    </row>
    <row r="38741" spans="1:6" ht="12.75">
      <c r="A38741" s="8">
        <v>43887.076249999998</v>
      </c>
      <c r="B38741" s="8" t="str">
        <f>HYPERLINK("https://twitter.com/iffind_love","@iffind_love")</f>
        <v>@iffind_love</v>
      </c>
      <c r="C38741" s="8" t="s">
        <v>10901</v>
      </c>
      <c r="D38741" s="8">
        <v>109</v>
      </c>
      <c r="E38741" s="8">
        <v>0</v>
      </c>
      <c r="F38741" s="8">
        <v>65</v>
      </c>
    </row>
    <row r="38742" spans="1:6" ht="12.75">
      <c r="A38742" s="8">
        <v>43887.076053240744</v>
      </c>
      <c r="B38742" s="8" t="str">
        <f>HYPERLINK("https://twitter.com/danang_cu","@danang_cu")</f>
        <v>@danang_cu</v>
      </c>
      <c r="C38742" s="8" t="s">
        <v>6638</v>
      </c>
      <c r="D38742" s="8">
        <v>61</v>
      </c>
      <c r="E38742" s="8">
        <v>0</v>
      </c>
      <c r="F38742" s="8">
        <v>14</v>
      </c>
    </row>
    <row r="38743" spans="1:6" ht="12.75">
      <c r="A38743" s="8">
        <v>43887.075046296297</v>
      </c>
      <c r="B38743" s="8" t="str">
        <f>HYPERLINK("https://twitter.com/rachell_za","@rachell_za")</f>
        <v>@rachell_za</v>
      </c>
      <c r="C38743" s="8" t="s">
        <v>14949</v>
      </c>
      <c r="D38743" s="8">
        <v>0</v>
      </c>
      <c r="E38743" s="8">
        <v>0</v>
      </c>
      <c r="F38743" s="8">
        <v>104</v>
      </c>
    </row>
    <row r="38744" spans="1:6" ht="12.75">
      <c r="A38744" s="8">
        <v>43887.07430555555</v>
      </c>
      <c r="B38744" s="8" t="str">
        <f>HYPERLINK("https://twitter.com/rayansahel1","@rayansahel1")</f>
        <v>@rayansahel1</v>
      </c>
      <c r="C38744" s="8" t="s">
        <v>13365</v>
      </c>
      <c r="D38744" s="8">
        <v>322</v>
      </c>
      <c r="E38744" s="8">
        <v>0</v>
      </c>
      <c r="F38744" s="8">
        <v>135</v>
      </c>
    </row>
    <row r="38745" spans="1:6" ht="12.75">
      <c r="A38745" s="8">
        <v>43887.073923611111</v>
      </c>
      <c r="B38745" s="8" t="str">
        <f>HYPERLINK("https://twitter.com/kuruart","@kuruart")</f>
        <v>@kuruart</v>
      </c>
      <c r="C38745" s="8" t="s">
        <v>2941</v>
      </c>
      <c r="D38745" s="8">
        <v>758</v>
      </c>
      <c r="E38745" s="8">
        <v>0</v>
      </c>
      <c r="F38745" s="8">
        <v>245</v>
      </c>
    </row>
    <row r="38746" spans="1:6" ht="12.75">
      <c r="A38746" s="8">
        <v>43887.072997685187</v>
      </c>
      <c r="B38746" s="8" t="str">
        <f>HYPERLINK("https://twitter.com/KiN9_James","@KiN9_James")</f>
        <v>@KiN9_James</v>
      </c>
      <c r="C38746" s="8" t="s">
        <v>14887</v>
      </c>
      <c r="D38746" s="8">
        <v>61</v>
      </c>
      <c r="E38746" s="8">
        <v>0</v>
      </c>
      <c r="F38746" s="8">
        <v>360</v>
      </c>
    </row>
    <row r="38747" spans="1:6" ht="12.75">
      <c r="A38747" s="8">
        <v>43887.072824074072</v>
      </c>
      <c r="B38747" s="8" t="str">
        <f>HYPERLINK("https://twitter.com/rizki_50","@rizki_50")</f>
        <v>@rizki_50</v>
      </c>
      <c r="C38747" s="8" t="s">
        <v>13365</v>
      </c>
      <c r="D38747" s="8">
        <v>322</v>
      </c>
      <c r="E38747" s="8">
        <v>0</v>
      </c>
      <c r="F38747" s="8">
        <v>2048</v>
      </c>
    </row>
    <row r="38748" spans="1:6" ht="12.75">
      <c r="A38748" s="8">
        <v>43887.072094907402</v>
      </c>
      <c r="B38748" s="8" t="str">
        <f>HYPERLINK("https://twitter.com/pemuda_bajakan","@pemuda_bajakan")</f>
        <v>@pemuda_bajakan</v>
      </c>
      <c r="C38748" s="8" t="s">
        <v>2941</v>
      </c>
      <c r="D38748" s="8">
        <v>758</v>
      </c>
      <c r="E38748" s="8">
        <v>0</v>
      </c>
      <c r="F38748" s="8">
        <v>5</v>
      </c>
    </row>
    <row r="38749" spans="1:6" ht="12.75">
      <c r="A38749" s="8">
        <v>43887.071064814816</v>
      </c>
      <c r="B38749" s="8" t="str">
        <f>HYPERLINK("https://twitter.com/EvaVEffendy","@EvaVEffendy")</f>
        <v>@EvaVEffendy</v>
      </c>
      <c r="C38749" s="8" t="s">
        <v>13365</v>
      </c>
      <c r="D38749" s="8">
        <v>322</v>
      </c>
      <c r="E38749" s="8">
        <v>0</v>
      </c>
      <c r="F38749" s="8">
        <v>21</v>
      </c>
    </row>
    <row r="38750" spans="1:6" ht="12.75">
      <c r="A38750" s="8">
        <v>43887.070787037039</v>
      </c>
      <c r="B38750" s="8" t="str">
        <f>HYPERLINK("https://twitter.com/itsmerrry","@itsmerrry")</f>
        <v>@itsmerrry</v>
      </c>
      <c r="C38750" s="8" t="s">
        <v>2941</v>
      </c>
      <c r="D38750" s="8">
        <v>758</v>
      </c>
      <c r="E38750" s="8">
        <v>0</v>
      </c>
      <c r="F38750" s="8">
        <v>632</v>
      </c>
    </row>
    <row r="38751" spans="1:6" ht="12.75">
      <c r="A38751" s="8">
        <v>43887.070625</v>
      </c>
      <c r="B38751" s="8" t="str">
        <f>HYPERLINK("https://twitter.com/lonelywhipcream","@lonelywhipcream")</f>
        <v>@lonelywhipcream</v>
      </c>
      <c r="C38751" s="8" t="s">
        <v>14950</v>
      </c>
      <c r="D38751" s="8">
        <v>0</v>
      </c>
      <c r="E38751" s="8">
        <v>0</v>
      </c>
      <c r="F38751" s="8">
        <v>5004</v>
      </c>
    </row>
    <row r="38752" spans="1:6" ht="12.75">
      <c r="A38752" s="8">
        <v>43887.069826388892</v>
      </c>
      <c r="B38752" s="8" t="str">
        <f>HYPERLINK("https://twitter.com/FireBirdFeniks","@FireBirdFeniks")</f>
        <v>@FireBirdFeniks</v>
      </c>
      <c r="C38752" s="8" t="s">
        <v>14129</v>
      </c>
      <c r="D38752" s="8">
        <v>5</v>
      </c>
      <c r="E38752" s="8">
        <v>0</v>
      </c>
      <c r="F38752" s="8">
        <v>1771</v>
      </c>
    </row>
    <row r="38753" spans="1:6" ht="12.75">
      <c r="A38753" s="8">
        <v>43887.069571759261</v>
      </c>
      <c r="B38753" s="8" t="str">
        <f>HYPERLINK("https://twitter.com/yudhapurnamp","@yudhapurnamp")</f>
        <v>@yudhapurnamp</v>
      </c>
      <c r="C38753" s="8" t="s">
        <v>12920</v>
      </c>
      <c r="D38753" s="8">
        <v>1541</v>
      </c>
      <c r="E38753" s="8">
        <v>0</v>
      </c>
      <c r="F38753" s="8">
        <v>375</v>
      </c>
    </row>
    <row r="38754" spans="1:6" ht="12.75">
      <c r="A38754" s="8">
        <v>43887.069479166668</v>
      </c>
      <c r="B38754" s="8" t="str">
        <f>HYPERLINK("https://twitter.com/mudha_satriya","@mudha_satriya")</f>
        <v>@mudha_satriya</v>
      </c>
      <c r="C38754" s="8" t="s">
        <v>14129</v>
      </c>
      <c r="D38754" s="8">
        <v>5</v>
      </c>
      <c r="E38754" s="8">
        <v>0</v>
      </c>
      <c r="F38754" s="8">
        <v>1874</v>
      </c>
    </row>
    <row r="38755" spans="1:6" ht="12.75">
      <c r="A38755" s="8">
        <v>43887.069328703699</v>
      </c>
      <c r="B38755" s="8" t="str">
        <f t="shared" ref="B38755:B38756" si="580">HYPERLINK("https://twitter.com/kazzhero1105","@kazzhero1105")</f>
        <v>@kazzhero1105</v>
      </c>
      <c r="C38755" s="8" t="s">
        <v>8484</v>
      </c>
      <c r="D38755" s="8">
        <v>919</v>
      </c>
      <c r="E38755" s="8">
        <v>0</v>
      </c>
      <c r="F38755" s="8">
        <v>875</v>
      </c>
    </row>
    <row r="38756" spans="1:6" ht="12.75">
      <c r="A38756" s="8">
        <v>43887.069201388891</v>
      </c>
      <c r="B38756" s="8" t="str">
        <f t="shared" si="580"/>
        <v>@kazzhero1105</v>
      </c>
      <c r="C38756" s="8" t="s">
        <v>2940</v>
      </c>
      <c r="D38756" s="8">
        <v>2551</v>
      </c>
      <c r="E38756" s="8">
        <v>0</v>
      </c>
      <c r="F38756" s="8">
        <v>875</v>
      </c>
    </row>
    <row r="38757" spans="1:6" ht="12.75">
      <c r="A38757" s="8">
        <v>43887.068611111114</v>
      </c>
      <c r="B38757" s="8" t="str">
        <f>HYPERLINK("https://twitter.com/hiroshinozawa3","@hiroshinozawa3")</f>
        <v>@hiroshinozawa3</v>
      </c>
      <c r="C38757" s="8" t="s">
        <v>2940</v>
      </c>
      <c r="D38757" s="8">
        <v>2551</v>
      </c>
      <c r="E38757" s="8">
        <v>0</v>
      </c>
      <c r="F38757" s="8">
        <v>175</v>
      </c>
    </row>
    <row r="38758" spans="1:6" ht="12.75">
      <c r="A38758" s="8">
        <v>43887.068541666667</v>
      </c>
      <c r="B38758" s="8" t="str">
        <f>HYPERLINK("https://twitter.com/andrefajarmuha1","@andrefajarmuha1")</f>
        <v>@andrefajarmuha1</v>
      </c>
      <c r="C38758" s="8" t="s">
        <v>14225</v>
      </c>
      <c r="D38758" s="8">
        <v>0</v>
      </c>
      <c r="E38758" s="8">
        <v>0</v>
      </c>
      <c r="F38758" s="8">
        <v>305</v>
      </c>
    </row>
    <row r="38759" spans="1:6" ht="12.75">
      <c r="A38759" s="8">
        <v>43887.067060185189</v>
      </c>
      <c r="B38759" s="8" t="str">
        <f>HYPERLINK("https://twitter.com/monacrk","@monacrk")</f>
        <v>@monacrk</v>
      </c>
      <c r="C38759" s="8" t="s">
        <v>14080</v>
      </c>
      <c r="D38759" s="8">
        <v>4</v>
      </c>
      <c r="E38759" s="8">
        <v>0</v>
      </c>
      <c r="F38759" s="8">
        <v>5</v>
      </c>
    </row>
    <row r="38760" spans="1:6" ht="12.75">
      <c r="A38760" s="8">
        <v>43887.06649305555</v>
      </c>
      <c r="B38760" s="8" t="str">
        <f>HYPERLINK("https://twitter.com/Widodo_By","@Widodo_By")</f>
        <v>@Widodo_By</v>
      </c>
      <c r="C38760" s="8" t="s">
        <v>14951</v>
      </c>
      <c r="D38760" s="8">
        <v>0</v>
      </c>
      <c r="E38760" s="8">
        <v>1</v>
      </c>
      <c r="F38760" s="8">
        <v>179</v>
      </c>
    </row>
    <row r="38761" spans="1:6" ht="12.75">
      <c r="A38761" s="8">
        <v>43887.065833333334</v>
      </c>
      <c r="B38761" s="8" t="str">
        <f>HYPERLINK("https://twitter.com/AlfianFahmiM","@AlfianFahmiM")</f>
        <v>@AlfianFahmiM</v>
      </c>
      <c r="C38761" s="8" t="s">
        <v>2941</v>
      </c>
      <c r="D38761" s="8">
        <v>758</v>
      </c>
      <c r="E38761" s="8">
        <v>0</v>
      </c>
      <c r="F38761" s="8">
        <v>2961</v>
      </c>
    </row>
    <row r="38762" spans="1:6" ht="12.75">
      <c r="A38762" s="8">
        <v>43887.065312499995</v>
      </c>
      <c r="B38762" s="8" t="str">
        <f>HYPERLINK("https://twitter.com/Radikalisme_13","@Radikalisme_13")</f>
        <v>@Radikalisme_13</v>
      </c>
      <c r="C38762" s="8" t="s">
        <v>14952</v>
      </c>
      <c r="D38762" s="8">
        <v>0</v>
      </c>
      <c r="E38762" s="8">
        <v>0</v>
      </c>
      <c r="F38762" s="8">
        <v>1534</v>
      </c>
    </row>
    <row r="38763" spans="1:6" ht="12.75">
      <c r="A38763" s="8">
        <v>43887.064525462964</v>
      </c>
      <c r="B38763" s="8" t="str">
        <f>HYPERLINK("https://twitter.com/toms98750690","@toms98750690")</f>
        <v>@toms98750690</v>
      </c>
      <c r="C38763" s="8" t="s">
        <v>11183</v>
      </c>
      <c r="D38763" s="8">
        <v>263</v>
      </c>
      <c r="E38763" s="8">
        <v>0</v>
      </c>
      <c r="F38763" s="8">
        <v>79</v>
      </c>
    </row>
    <row r="38764" spans="1:6" ht="12.75">
      <c r="A38764" s="8">
        <v>43887.06386574074</v>
      </c>
      <c r="B38764" s="8" t="str">
        <f>HYPERLINK("https://twitter.com/AmalbidomUdin","@AmalbidomUdin")</f>
        <v>@AmalbidomUdin</v>
      </c>
      <c r="C38764" s="8" t="s">
        <v>2940</v>
      </c>
      <c r="D38764" s="8">
        <v>2551</v>
      </c>
      <c r="E38764" s="8">
        <v>0</v>
      </c>
      <c r="F38764" s="8">
        <v>20</v>
      </c>
    </row>
    <row r="38765" spans="1:6" ht="12.75">
      <c r="A38765" s="8">
        <v>43887.062291666662</v>
      </c>
      <c r="B38765" s="8" t="str">
        <f>HYPERLINK("https://twitter.com/SyahriAlghifari","@SyahriAlghifari")</f>
        <v>@SyahriAlghifari</v>
      </c>
      <c r="C38765" s="8" t="s">
        <v>13365</v>
      </c>
      <c r="D38765" s="8">
        <v>322</v>
      </c>
      <c r="E38765" s="8">
        <v>0</v>
      </c>
      <c r="F38765" s="8">
        <v>131</v>
      </c>
    </row>
    <row r="38766" spans="1:6" ht="12.75">
      <c r="A38766" s="8">
        <v>43887.062002314815</v>
      </c>
      <c r="B38766" s="8" t="str">
        <f>HYPERLINK("https://twitter.com/rhmtefndy","@rhmtefndy")</f>
        <v>@rhmtefndy</v>
      </c>
      <c r="C38766" s="8" t="s">
        <v>13365</v>
      </c>
      <c r="D38766" s="8">
        <v>322</v>
      </c>
      <c r="E38766" s="8">
        <v>0</v>
      </c>
      <c r="F38766" s="8">
        <v>20</v>
      </c>
    </row>
    <row r="38767" spans="1:6" ht="12.75">
      <c r="A38767" s="8">
        <v>43887.061921296292</v>
      </c>
      <c r="B38767" s="8" t="str">
        <f>HYPERLINK("https://twitter.com/hendikairawan","@hendikairawan")</f>
        <v>@hendikairawan</v>
      </c>
      <c r="C38767" s="8" t="s">
        <v>2941</v>
      </c>
      <c r="D38767" s="8">
        <v>758</v>
      </c>
      <c r="E38767" s="8">
        <v>0</v>
      </c>
      <c r="F38767" s="8">
        <v>19</v>
      </c>
    </row>
    <row r="38768" spans="1:6" ht="12.75">
      <c r="A38768" s="8">
        <v>43887.061597222222</v>
      </c>
      <c r="B38768" s="8" t="str">
        <f>HYPERLINK("https://twitter.com/brother_morrow","@brother_morrow")</f>
        <v>@brother_morrow</v>
      </c>
      <c r="C38768" s="8" t="s">
        <v>11183</v>
      </c>
      <c r="D38768" s="8">
        <v>263</v>
      </c>
      <c r="E38768" s="8">
        <v>0</v>
      </c>
      <c r="F38768" s="8">
        <v>379</v>
      </c>
    </row>
    <row r="38769" spans="1:6" ht="12.75">
      <c r="A38769" s="8">
        <v>43887.06149305556</v>
      </c>
      <c r="B38769" s="8" t="str">
        <f>HYPERLINK("https://twitter.com/RatulangiSamy","@RatulangiSamy")</f>
        <v>@RatulangiSamy</v>
      </c>
      <c r="C38769" s="8" t="s">
        <v>13365</v>
      </c>
      <c r="D38769" s="8">
        <v>322</v>
      </c>
      <c r="E38769" s="8">
        <v>0</v>
      </c>
      <c r="F38769" s="8">
        <v>2504</v>
      </c>
    </row>
    <row r="38770" spans="1:6" ht="12.75">
      <c r="A38770" s="8">
        <v>43887.061435185184</v>
      </c>
      <c r="B38770" s="8" t="str">
        <f>HYPERLINK("https://twitter.com/billytnjng","@billytnjng")</f>
        <v>@billytnjng</v>
      </c>
      <c r="C38770" s="8" t="s">
        <v>14953</v>
      </c>
      <c r="D38770" s="8">
        <v>0</v>
      </c>
      <c r="E38770" s="8">
        <v>0</v>
      </c>
      <c r="F38770" s="8">
        <v>6241</v>
      </c>
    </row>
    <row r="38771" spans="1:6" ht="12.75">
      <c r="A38771" s="8">
        <v>43887.060682870375</v>
      </c>
      <c r="B38771" s="8" t="str">
        <f>HYPERLINK("https://twitter.com/sephianya","@sephianya")</f>
        <v>@sephianya</v>
      </c>
      <c r="C38771" s="8" t="s">
        <v>14954</v>
      </c>
      <c r="D38771" s="8">
        <v>0</v>
      </c>
      <c r="E38771" s="8">
        <v>0</v>
      </c>
      <c r="F38771" s="8">
        <v>326</v>
      </c>
    </row>
    <row r="38772" spans="1:6" ht="12.75">
      <c r="A38772" s="8">
        <v>43887.059884259259</v>
      </c>
      <c r="B38772" s="8" t="str">
        <f>HYPERLINK("https://twitter.com/wooR8BpyYPeBvda","@wooR8BpyYPeBvda")</f>
        <v>@wooR8BpyYPeBvda</v>
      </c>
      <c r="C38772" s="8" t="s">
        <v>2940</v>
      </c>
      <c r="D38772" s="8">
        <v>2551</v>
      </c>
      <c r="E38772" s="8">
        <v>0</v>
      </c>
      <c r="F38772" s="8">
        <v>250</v>
      </c>
    </row>
    <row r="38773" spans="1:6" ht="12.75">
      <c r="A38773" s="8">
        <v>43887.059525462959</v>
      </c>
      <c r="B38773" s="8" t="str">
        <f>HYPERLINK("https://twitter.com/PenyairRadikal","@PenyairRadikal")</f>
        <v>@PenyairRadikal</v>
      </c>
      <c r="C38773" s="8" t="s">
        <v>13365</v>
      </c>
      <c r="D38773" s="8">
        <v>322</v>
      </c>
      <c r="E38773" s="8">
        <v>0</v>
      </c>
      <c r="F38773" s="8">
        <v>106</v>
      </c>
    </row>
    <row r="38774" spans="1:6" ht="12.75">
      <c r="A38774" s="8">
        <v>43887.059236111112</v>
      </c>
      <c r="B38774" s="8" t="str">
        <f>HYPERLINK("https://twitter.com/Ato04139675","@Ato04139675")</f>
        <v>@Ato04139675</v>
      </c>
      <c r="C38774" s="8" t="s">
        <v>11964</v>
      </c>
      <c r="D38774" s="8">
        <v>499</v>
      </c>
      <c r="E38774" s="8">
        <v>0</v>
      </c>
      <c r="F38774" s="8">
        <v>626</v>
      </c>
    </row>
    <row r="38775" spans="1:6" ht="12.75">
      <c r="A38775" s="8">
        <v>43887.059224537035</v>
      </c>
      <c r="B38775" s="8" t="str">
        <f>HYPERLINK("https://twitter.com/ridwanhdk","@ridwanhdk")</f>
        <v>@ridwanhdk</v>
      </c>
      <c r="C38775" s="8" t="s">
        <v>2940</v>
      </c>
      <c r="D38775" s="8">
        <v>2551</v>
      </c>
      <c r="E38775" s="8">
        <v>0</v>
      </c>
      <c r="F38775" s="8">
        <v>371</v>
      </c>
    </row>
    <row r="38776" spans="1:6" ht="12.75">
      <c r="A38776" s="8">
        <v>43887.057916666672</v>
      </c>
      <c r="B38776" s="8" t="str">
        <f>HYPERLINK("https://twitter.com/Miftah48831858","@Miftah48831858")</f>
        <v>@Miftah48831858</v>
      </c>
      <c r="C38776" s="8" t="s">
        <v>2941</v>
      </c>
      <c r="D38776" s="8">
        <v>758</v>
      </c>
      <c r="E38776" s="8">
        <v>0</v>
      </c>
      <c r="F38776" s="8">
        <v>1</v>
      </c>
    </row>
    <row r="38777" spans="1:6" ht="12.75">
      <c r="A38777" s="8">
        <v>43887.055590277778</v>
      </c>
      <c r="B38777" s="8" t="str">
        <f>HYPERLINK("https://twitter.com/iga_bonobo","@iga_bonobo")</f>
        <v>@iga_bonobo</v>
      </c>
      <c r="C38777" s="8" t="s">
        <v>2940</v>
      </c>
      <c r="D38777" s="8">
        <v>2551</v>
      </c>
      <c r="E38777" s="8">
        <v>0</v>
      </c>
      <c r="F38777" s="8">
        <v>785</v>
      </c>
    </row>
    <row r="38778" spans="1:6" ht="12.75">
      <c r="A38778" s="8">
        <v>43887.054895833338</v>
      </c>
      <c r="B38778" s="8" t="str">
        <f>HYPERLINK("https://twitter.com/ixan253","@ixan253")</f>
        <v>@ixan253</v>
      </c>
      <c r="C38778" s="8" t="s">
        <v>13365</v>
      </c>
      <c r="D38778" s="8">
        <v>322</v>
      </c>
      <c r="E38778" s="8">
        <v>0</v>
      </c>
      <c r="F38778" s="8">
        <v>1424</v>
      </c>
    </row>
    <row r="38779" spans="1:6" ht="12.75">
      <c r="A38779" s="8">
        <v>43887.054513888885</v>
      </c>
      <c r="B38779" s="8" t="str">
        <f>HYPERLINK("https://twitter.com/NovriSusan","@NovriSusan")</f>
        <v>@NovriSusan</v>
      </c>
      <c r="C38779" s="8" t="s">
        <v>14129</v>
      </c>
      <c r="D38779" s="8">
        <v>5</v>
      </c>
      <c r="E38779" s="8">
        <v>0</v>
      </c>
      <c r="F38779" s="8">
        <v>14</v>
      </c>
    </row>
    <row r="38780" spans="1:6" ht="12.75">
      <c r="A38780" s="8">
        <v>43887.054212962961</v>
      </c>
      <c r="B38780" s="8" t="str">
        <f>HYPERLINK("https://twitter.com/aditpanjie","@aditpanjie")</f>
        <v>@aditpanjie</v>
      </c>
      <c r="C38780" s="8" t="s">
        <v>2941</v>
      </c>
      <c r="D38780" s="8">
        <v>758</v>
      </c>
      <c r="E38780" s="8">
        <v>0</v>
      </c>
      <c r="F38780" s="8">
        <v>996</v>
      </c>
    </row>
    <row r="38781" spans="1:6" ht="12.75">
      <c r="A38781" s="8">
        <v>43887.053275462968</v>
      </c>
      <c r="B38781" s="8" t="str">
        <f>HYPERLINK("https://twitter.com/iiskomalaa","@iiskomalaa")</f>
        <v>@iiskomalaa</v>
      </c>
      <c r="C38781" s="8" t="s">
        <v>14955</v>
      </c>
      <c r="D38781" s="8">
        <v>0</v>
      </c>
      <c r="E38781" s="8">
        <v>0</v>
      </c>
      <c r="F38781" s="8">
        <v>600</v>
      </c>
    </row>
    <row r="38782" spans="1:6" ht="12.75">
      <c r="A38782" s="8">
        <v>43887.053275462968</v>
      </c>
      <c r="B38782" s="8" t="str">
        <f>HYPERLINK("https://twitter.com/monacrk","@monacrk")</f>
        <v>@monacrk</v>
      </c>
      <c r="C38782" s="8" t="s">
        <v>14956</v>
      </c>
      <c r="D38782" s="8">
        <v>4</v>
      </c>
      <c r="E38782" s="8">
        <v>0</v>
      </c>
      <c r="F38782" s="8">
        <v>5</v>
      </c>
    </row>
    <row r="38783" spans="1:6" ht="12.75">
      <c r="A38783" s="8">
        <v>43887.052812499998</v>
      </c>
      <c r="B38783" s="8" t="str">
        <f>HYPERLINK("https://twitter.com/raja_mohsi","@raja_mohsi")</f>
        <v>@raja_mohsi</v>
      </c>
      <c r="C38783" s="8" t="s">
        <v>14957</v>
      </c>
      <c r="D38783" s="8">
        <v>0</v>
      </c>
      <c r="E38783" s="8">
        <v>0</v>
      </c>
      <c r="F38783" s="8">
        <v>300</v>
      </c>
    </row>
    <row r="38784" spans="1:6" ht="12.75">
      <c r="A38784" s="8">
        <v>43887.052754629629</v>
      </c>
      <c r="B38784" s="8" t="str">
        <f>HYPERLINK("https://twitter.com/emangngapasii","@emangngapasii")</f>
        <v>@emangngapasii</v>
      </c>
      <c r="C38784" s="8" t="s">
        <v>11964</v>
      </c>
      <c r="D38784" s="8">
        <v>499</v>
      </c>
      <c r="E38784" s="8">
        <v>0</v>
      </c>
      <c r="F38784" s="8">
        <v>323</v>
      </c>
    </row>
    <row r="38785" spans="1:6" ht="12.75">
      <c r="A38785" s="8">
        <v>43887.05263888889</v>
      </c>
      <c r="B38785" s="8" t="str">
        <f>HYPERLINK("https://twitter.com/sshellesshella","@sshellesshella")</f>
        <v>@sshellesshella</v>
      </c>
      <c r="C38785" s="8" t="s">
        <v>14958</v>
      </c>
      <c r="D38785" s="8">
        <v>0</v>
      </c>
      <c r="E38785" s="8">
        <v>0</v>
      </c>
      <c r="F38785" s="8">
        <v>555</v>
      </c>
    </row>
    <row r="38786" spans="1:6" ht="12.75">
      <c r="A38786" s="8">
        <v>43887.052581018521</v>
      </c>
      <c r="B38786" s="8" t="str">
        <f>HYPERLINK("https://twitter.com/rosi_suharto","@rosi_suharto")</f>
        <v>@rosi_suharto</v>
      </c>
      <c r="C38786" s="8" t="s">
        <v>11183</v>
      </c>
      <c r="D38786" s="8">
        <v>263</v>
      </c>
      <c r="E38786" s="8">
        <v>0</v>
      </c>
      <c r="F38786" s="8">
        <v>75</v>
      </c>
    </row>
    <row r="38787" spans="1:6" ht="12.75">
      <c r="A38787" s="8">
        <v>43887.052557870367</v>
      </c>
      <c r="B38787" s="8" t="str">
        <f>HYPERLINK("https://twitter.com/WajahPribumi__","@WajahPribumi__")</f>
        <v>@WajahPribumi__</v>
      </c>
      <c r="C38787" s="8" t="s">
        <v>14129</v>
      </c>
      <c r="D38787" s="8">
        <v>5</v>
      </c>
      <c r="E38787" s="8">
        <v>0</v>
      </c>
      <c r="F38787" s="8">
        <v>3471</v>
      </c>
    </row>
    <row r="38788" spans="1:6" ht="12.75">
      <c r="A38788" s="8">
        <v>43887.052442129629</v>
      </c>
      <c r="B38788" s="8" t="str">
        <f>HYPERLINK("https://twitter.com/NaraEgy24","@NaraEgy24")</f>
        <v>@NaraEgy24</v>
      </c>
      <c r="C38788" s="8" t="s">
        <v>13365</v>
      </c>
      <c r="D38788" s="8">
        <v>322</v>
      </c>
      <c r="E38788" s="8">
        <v>0</v>
      </c>
      <c r="F38788" s="8">
        <v>301</v>
      </c>
    </row>
    <row r="38789" spans="1:6" ht="12.75">
      <c r="A38789" s="8">
        <v>43887.052025462966</v>
      </c>
      <c r="B38789" s="8" t="str">
        <f>HYPERLINK("https://twitter.com/Ezeddy3","@Ezeddy3")</f>
        <v>@Ezeddy3</v>
      </c>
      <c r="C38789" s="8" t="s">
        <v>14959</v>
      </c>
      <c r="D38789" s="8">
        <v>0</v>
      </c>
      <c r="E38789" s="8">
        <v>0</v>
      </c>
      <c r="F38789" s="8">
        <v>14</v>
      </c>
    </row>
    <row r="38790" spans="1:6" ht="12.75">
      <c r="A38790" s="8">
        <v>43887.05201388889</v>
      </c>
      <c r="B38790" s="8" t="str">
        <f>HYPERLINK("https://twitter.com/destivaniaa","@destivaniaa")</f>
        <v>@destivaniaa</v>
      </c>
      <c r="C38790" s="8" t="s">
        <v>2941</v>
      </c>
      <c r="D38790" s="8">
        <v>758</v>
      </c>
      <c r="E38790" s="8">
        <v>0</v>
      </c>
      <c r="F38790" s="8">
        <v>580</v>
      </c>
    </row>
    <row r="38791" spans="1:6" ht="12.75">
      <c r="A38791" s="8">
        <v>43887.051261574074</v>
      </c>
      <c r="B38791" s="8" t="str">
        <f>HYPERLINK("https://twitter.com/fadli_wp","@fadli_wp")</f>
        <v>@fadli_wp</v>
      </c>
      <c r="C38791" s="8" t="s">
        <v>14912</v>
      </c>
      <c r="D38791" s="8">
        <v>3</v>
      </c>
      <c r="E38791" s="8">
        <v>0</v>
      </c>
      <c r="F38791" s="8">
        <v>330</v>
      </c>
    </row>
    <row r="38792" spans="1:6" ht="12.75">
      <c r="A38792" s="8">
        <v>43887.051226851851</v>
      </c>
      <c r="B38792" s="8" t="str">
        <f>HYPERLINK("https://twitter.com/JakartaStar","@JakartaStar")</f>
        <v>@JakartaStar</v>
      </c>
      <c r="C38792" s="8" t="s">
        <v>14129</v>
      </c>
      <c r="D38792" s="8">
        <v>5</v>
      </c>
      <c r="E38792" s="8">
        <v>0</v>
      </c>
      <c r="F38792" s="8">
        <v>5597</v>
      </c>
    </row>
    <row r="38793" spans="1:6" ht="12.75">
      <c r="A38793" s="8">
        <v>43887.05096064815</v>
      </c>
      <c r="B38793" s="8" t="str">
        <f>HYPERLINK("https://twitter.com/Bobby_Ibrahim","@Bobby_Ibrahim")</f>
        <v>@Bobby_Ibrahim</v>
      </c>
      <c r="C38793" s="8" t="s">
        <v>13365</v>
      </c>
      <c r="D38793" s="8">
        <v>322</v>
      </c>
      <c r="E38793" s="8">
        <v>0</v>
      </c>
      <c r="F38793" s="8">
        <v>251</v>
      </c>
    </row>
    <row r="38794" spans="1:6" ht="12.75">
      <c r="A38794" s="8">
        <v>43887.050844907411</v>
      </c>
      <c r="B38794" s="8" t="str">
        <f>HYPERLINK("https://twitter.com/dina88_","@dina88_")</f>
        <v>@dina88_</v>
      </c>
      <c r="C38794" s="8" t="s">
        <v>14913</v>
      </c>
      <c r="D38794" s="8">
        <v>20</v>
      </c>
      <c r="E38794" s="8">
        <v>0</v>
      </c>
      <c r="F38794" s="8">
        <v>770</v>
      </c>
    </row>
    <row r="38795" spans="1:6" ht="12.75">
      <c r="A38795" s="8">
        <v>43887.050729166665</v>
      </c>
      <c r="B38795" s="8" t="str">
        <f>HYPERLINK("https://twitter.com/pacaynanonano","@pacaynanonano")</f>
        <v>@pacaynanonano</v>
      </c>
      <c r="C38795" s="8" t="s">
        <v>13365</v>
      </c>
      <c r="D38795" s="8">
        <v>322</v>
      </c>
      <c r="E38795" s="8">
        <v>0</v>
      </c>
      <c r="F38795" s="8">
        <v>309</v>
      </c>
    </row>
    <row r="38796" spans="1:6" ht="12.75">
      <c r="A38796" s="8">
        <v>43887.050509259258</v>
      </c>
      <c r="B38796" s="8" t="str">
        <f>HYPERLINK("https://twitter.com/dina88_","@dina88_")</f>
        <v>@dina88_</v>
      </c>
      <c r="C38796" s="8" t="s">
        <v>14960</v>
      </c>
      <c r="D38796" s="8">
        <v>6</v>
      </c>
      <c r="E38796" s="8">
        <v>0</v>
      </c>
      <c r="F38796" s="8">
        <v>770</v>
      </c>
    </row>
    <row r="38797" spans="1:6" ht="12.75">
      <c r="A38797" s="8">
        <v>43887.049560185187</v>
      </c>
      <c r="B38797" s="8" t="str">
        <f>HYPERLINK("https://twitter.com/sukatanyaj","@sukatanyaj")</f>
        <v>@sukatanyaj</v>
      </c>
      <c r="C38797" s="8" t="s">
        <v>13365</v>
      </c>
      <c r="D38797" s="8">
        <v>322</v>
      </c>
      <c r="E38797" s="8">
        <v>0</v>
      </c>
      <c r="F38797" s="8">
        <v>5690</v>
      </c>
    </row>
    <row r="38798" spans="1:6" ht="12.75">
      <c r="A38798" s="8">
        <v>43887.049490740741</v>
      </c>
      <c r="B38798" s="8" t="str">
        <f>HYPERLINK("https://twitter.com/Endodi328","@Endodi328")</f>
        <v>@Endodi328</v>
      </c>
      <c r="C38798" s="8" t="s">
        <v>14912</v>
      </c>
      <c r="D38798" s="8">
        <v>3</v>
      </c>
      <c r="E38798" s="8">
        <v>0</v>
      </c>
      <c r="F38798" s="8">
        <v>349</v>
      </c>
    </row>
    <row r="38799" spans="1:6" ht="12.75">
      <c r="A38799" s="8">
        <v>43887.049178240741</v>
      </c>
      <c r="B38799" s="8" t="str">
        <f>HYPERLINK("https://twitter.com/hzhelle","@hzhelle")</f>
        <v>@hzhelle</v>
      </c>
      <c r="C38799" s="8" t="s">
        <v>13365</v>
      </c>
      <c r="D38799" s="8">
        <v>322</v>
      </c>
      <c r="E38799" s="8">
        <v>0</v>
      </c>
      <c r="F38799" s="8">
        <v>10</v>
      </c>
    </row>
    <row r="38800" spans="1:6" ht="12.75">
      <c r="A38800" s="8">
        <v>43887.049155092594</v>
      </c>
      <c r="B38800" s="8" t="str">
        <f>HYPERLINK("https://twitter.com/fadjroeL","@fadjroeL")</f>
        <v>@fadjroeL</v>
      </c>
      <c r="C38800" s="8" t="s">
        <v>14961</v>
      </c>
      <c r="D38800" s="8">
        <v>5</v>
      </c>
      <c r="E38800" s="8">
        <v>9</v>
      </c>
      <c r="F38800" s="8">
        <v>995876</v>
      </c>
    </row>
    <row r="38801" spans="1:6" ht="12.75">
      <c r="A38801" s="8">
        <v>43887.048611111109</v>
      </c>
      <c r="B38801" s="8" t="str">
        <f>HYPERLINK("https://twitter.com/indonesiana","@indonesiana")</f>
        <v>@indonesiana</v>
      </c>
      <c r="C38801" s="8" t="s">
        <v>14962</v>
      </c>
      <c r="D38801" s="8">
        <v>0</v>
      </c>
      <c r="E38801" s="8">
        <v>1</v>
      </c>
      <c r="F38801" s="8">
        <v>49663</v>
      </c>
    </row>
    <row r="38802" spans="1:6" ht="12.75">
      <c r="A38802" s="8">
        <v>43887.048159722224</v>
      </c>
      <c r="B38802" s="8" t="str">
        <f>HYPERLINK("https://twitter.com/elnrdnt","@elnrdnt")</f>
        <v>@elnrdnt</v>
      </c>
      <c r="C38802" s="8" t="s">
        <v>2941</v>
      </c>
      <c r="D38802" s="8">
        <v>739</v>
      </c>
      <c r="E38802" s="8">
        <v>0</v>
      </c>
      <c r="F38802" s="8">
        <v>546</v>
      </c>
    </row>
    <row r="38803" spans="1:6" ht="12.75">
      <c r="A38803" s="8">
        <v>43887.047939814816</v>
      </c>
      <c r="B38803" s="8" t="str">
        <f>HYPERLINK("https://twitter.com/zeedn_a","@zeedn_a")</f>
        <v>@zeedn_a</v>
      </c>
      <c r="C38803" s="8" t="s">
        <v>13365</v>
      </c>
      <c r="D38803" s="8">
        <v>298</v>
      </c>
      <c r="E38803" s="8">
        <v>0</v>
      </c>
      <c r="F38803" s="8">
        <v>350</v>
      </c>
    </row>
    <row r="38804" spans="1:6" ht="12.75">
      <c r="A38804" s="8">
        <v>43887.047592592593</v>
      </c>
      <c r="B38804" s="8" t="str">
        <f>HYPERLINK("https://twitter.com/faizstwn","@faizstwn")</f>
        <v>@faizstwn</v>
      </c>
      <c r="C38804" s="8" t="s">
        <v>13365</v>
      </c>
      <c r="D38804" s="8">
        <v>298</v>
      </c>
      <c r="E38804" s="8">
        <v>0</v>
      </c>
      <c r="F38804" s="8">
        <v>30</v>
      </c>
    </row>
    <row r="38805" spans="1:6" ht="12.75">
      <c r="A38805" s="8">
        <v>43887.046469907407</v>
      </c>
      <c r="B38805" s="8" t="str">
        <f>HYPERLINK("https://twitter.com/thereisaIien","@thereisaIien")</f>
        <v>@thereisaIien</v>
      </c>
      <c r="C38805" s="8" t="s">
        <v>14912</v>
      </c>
      <c r="D38805" s="8">
        <v>1</v>
      </c>
      <c r="E38805" s="8">
        <v>0</v>
      </c>
      <c r="F38805" s="8">
        <v>1272</v>
      </c>
    </row>
    <row r="38806" spans="1:6" ht="12.75">
      <c r="A38806" s="8">
        <v>43887.046111111107</v>
      </c>
      <c r="B38806" s="8" t="str">
        <f>HYPERLINK("https://twitter.com/RKhoiryah","@RKhoiryah")</f>
        <v>@RKhoiryah</v>
      </c>
      <c r="C38806" s="8" t="s">
        <v>13365</v>
      </c>
      <c r="D38806" s="8">
        <v>298</v>
      </c>
      <c r="E38806" s="8">
        <v>0</v>
      </c>
      <c r="F38806" s="8">
        <v>42</v>
      </c>
    </row>
    <row r="38807" spans="1:6" ht="12.75">
      <c r="A38807" s="8">
        <v>43887.046099537038</v>
      </c>
      <c r="B38807" s="8" t="str">
        <f>HYPERLINK("https://twitter.com/ebet_philip","@ebet_philip")</f>
        <v>@ebet_philip</v>
      </c>
      <c r="C38807" s="8" t="s">
        <v>2941</v>
      </c>
      <c r="D38807" s="8">
        <v>739</v>
      </c>
      <c r="E38807" s="8">
        <v>0</v>
      </c>
      <c r="F38807" s="8">
        <v>58</v>
      </c>
    </row>
    <row r="38808" spans="1:6" ht="12.75">
      <c r="A38808" s="8">
        <v>43887.045833333337</v>
      </c>
      <c r="B38808" s="8" t="str">
        <f>HYPERLINK("https://twitter.com/liputan6dotcom","@liputan6dotcom")</f>
        <v>@liputan6dotcom</v>
      </c>
      <c r="C38808" s="8" t="s">
        <v>14963</v>
      </c>
      <c r="D38808" s="8">
        <v>1</v>
      </c>
      <c r="E38808" s="8">
        <v>1</v>
      </c>
      <c r="F38808" s="8">
        <v>3629507</v>
      </c>
    </row>
    <row r="38809" spans="1:6" ht="12.75">
      <c r="A38809" s="8">
        <v>43887.044432870374</v>
      </c>
      <c r="B38809" s="8" t="str">
        <f>HYPERLINK("https://twitter.com/feldyyy_","@feldyyy_")</f>
        <v>@feldyyy_</v>
      </c>
      <c r="C38809" s="8" t="s">
        <v>2941</v>
      </c>
      <c r="D38809" s="8">
        <v>739</v>
      </c>
      <c r="E38809" s="8">
        <v>0</v>
      </c>
      <c r="F38809" s="8">
        <v>153</v>
      </c>
    </row>
    <row r="38810" spans="1:6" ht="12.75">
      <c r="A38810" s="8">
        <v>43887.044236111113</v>
      </c>
      <c r="B38810" s="8" t="str">
        <f>HYPERLINK("https://twitter.com/theomeliala","@theomeliala")</f>
        <v>@theomeliala</v>
      </c>
      <c r="C38810" s="8" t="s">
        <v>2941</v>
      </c>
      <c r="D38810" s="8">
        <v>739</v>
      </c>
      <c r="E38810" s="8">
        <v>0</v>
      </c>
      <c r="F38810" s="8">
        <v>195</v>
      </c>
    </row>
    <row r="38811" spans="1:6" ht="12.75">
      <c r="A38811" s="8">
        <v>43887.044050925921</v>
      </c>
      <c r="B38811" s="8" t="str">
        <f>HYPERLINK("https://twitter.com/nseablue19","@nseablue19")</f>
        <v>@nseablue19</v>
      </c>
      <c r="C38811" s="8" t="s">
        <v>14430</v>
      </c>
      <c r="D38811" s="8">
        <v>94</v>
      </c>
      <c r="E38811" s="8">
        <v>0</v>
      </c>
      <c r="F38811" s="8">
        <v>155</v>
      </c>
    </row>
    <row r="38812" spans="1:6" ht="12.75">
      <c r="A38812" s="8">
        <v>43887.043657407412</v>
      </c>
      <c r="B38812" s="8" t="str">
        <f>HYPERLINK("https://twitter.com/ica3lisa","@ica3lisa")</f>
        <v>@ica3lisa</v>
      </c>
      <c r="C38812" s="8" t="s">
        <v>13365</v>
      </c>
      <c r="D38812" s="8">
        <v>298</v>
      </c>
      <c r="E38812" s="8">
        <v>0</v>
      </c>
      <c r="F38812" s="8">
        <v>51</v>
      </c>
    </row>
    <row r="38813" spans="1:6" ht="12.75">
      <c r="A38813" s="8">
        <v>43887.043437500004</v>
      </c>
      <c r="B38813" s="8" t="str">
        <f>HYPERLINK("https://twitter.com/monacrk","@monacrk")</f>
        <v>@monacrk</v>
      </c>
      <c r="C38813" s="8" t="s">
        <v>14075</v>
      </c>
      <c r="D38813" s="8">
        <v>3</v>
      </c>
      <c r="E38813" s="8">
        <v>0</v>
      </c>
      <c r="F38813" s="8">
        <v>4</v>
      </c>
    </row>
    <row r="38814" spans="1:6" ht="12.75">
      <c r="A38814" s="8">
        <v>43887.043240740742</v>
      </c>
      <c r="B38814" s="8" t="str">
        <f>HYPERLINK("https://twitter.com/WawanNurIwan1","@WawanNurIwan1")</f>
        <v>@WawanNurIwan1</v>
      </c>
      <c r="C38814" s="8" t="s">
        <v>13365</v>
      </c>
      <c r="D38814" s="8">
        <v>298</v>
      </c>
      <c r="E38814" s="8">
        <v>0</v>
      </c>
      <c r="F38814" s="8">
        <v>219</v>
      </c>
    </row>
    <row r="38815" spans="1:6" ht="12.75">
      <c r="A38815" s="8">
        <v>43887.042546296296</v>
      </c>
      <c r="B38815" s="8" t="str">
        <f>HYPERLINK("https://twitter.com/MZubir_ID","@MZubir_ID")</f>
        <v>@MZubir_ID</v>
      </c>
      <c r="C38815" s="8" t="s">
        <v>14964</v>
      </c>
      <c r="D38815" s="8">
        <v>0</v>
      </c>
      <c r="E38815" s="8">
        <v>0</v>
      </c>
      <c r="F38815" s="8">
        <v>5864</v>
      </c>
    </row>
    <row r="38816" spans="1:6" ht="12.75">
      <c r="A38816" s="8">
        <v>43887.042164351849</v>
      </c>
      <c r="B38816" s="8" t="str">
        <f>HYPERLINK("https://twitter.com/Zulpanajadulu_","@Zulpanajadulu_")</f>
        <v>@Zulpanajadulu_</v>
      </c>
      <c r="C38816" s="8" t="s">
        <v>13365</v>
      </c>
      <c r="D38816" s="8">
        <v>298</v>
      </c>
      <c r="E38816" s="8">
        <v>0</v>
      </c>
      <c r="F38816" s="8">
        <v>509</v>
      </c>
    </row>
    <row r="38817" spans="1:6" ht="12.75">
      <c r="A38817" s="8">
        <v>43887.04206018518</v>
      </c>
      <c r="B38817" s="8" t="str">
        <f>HYPERLINK("https://twitter.com/kumpulanbali","@kumpulanbali")</f>
        <v>@kumpulanbali</v>
      </c>
      <c r="C38817" s="8" t="s">
        <v>14965</v>
      </c>
      <c r="D38817" s="8">
        <v>0</v>
      </c>
      <c r="E38817" s="8">
        <v>0</v>
      </c>
      <c r="F38817" s="8">
        <v>3664</v>
      </c>
    </row>
    <row r="38818" spans="1:6" ht="12.75">
      <c r="A38818" s="8">
        <v>43887.041666666672</v>
      </c>
      <c r="B38818" s="8" t="str">
        <f>HYPERLINK("https://twitter.com/Danimas19","@Danimas19")</f>
        <v>@Danimas19</v>
      </c>
      <c r="C38818" s="8" t="s">
        <v>12920</v>
      </c>
      <c r="D38818" s="8">
        <v>1540</v>
      </c>
      <c r="E38818" s="8">
        <v>0</v>
      </c>
      <c r="F38818" s="8">
        <v>19</v>
      </c>
    </row>
    <row r="38819" spans="1:6" ht="12.75">
      <c r="A38819" s="8">
        <v>43887.041365740741</v>
      </c>
      <c r="B38819" s="8" t="str">
        <f>HYPERLINK("https://twitter.com/izaalwayss","@izaalwayss")</f>
        <v>@izaalwayss</v>
      </c>
      <c r="C38819" s="8" t="s">
        <v>14966</v>
      </c>
      <c r="D38819" s="8">
        <v>0</v>
      </c>
      <c r="E38819" s="8">
        <v>1</v>
      </c>
      <c r="F38819" s="8">
        <v>11458</v>
      </c>
    </row>
    <row r="38820" spans="1:6" ht="12.75">
      <c r="A38820" s="8">
        <v>43887.041249999995</v>
      </c>
      <c r="B38820" s="8" t="str">
        <f>HYPERLINK("https://twitter.com/sando_sasako","@sando_sasako")</f>
        <v>@sando_sasako</v>
      </c>
      <c r="C38820" s="8" t="s">
        <v>13365</v>
      </c>
      <c r="D38820" s="8">
        <v>298</v>
      </c>
      <c r="E38820" s="8">
        <v>0</v>
      </c>
      <c r="F38820" s="8">
        <v>70</v>
      </c>
    </row>
    <row r="38821" spans="1:6" ht="12.75">
      <c r="A38821" s="8">
        <v>43887.040937500002</v>
      </c>
      <c r="B38821" s="8" t="str">
        <f>HYPERLINK("https://twitter.com/Fariz_Davin","@Fariz_Davin")</f>
        <v>@Fariz_Davin</v>
      </c>
      <c r="C38821" s="8" t="s">
        <v>13365</v>
      </c>
      <c r="D38821" s="8">
        <v>298</v>
      </c>
      <c r="E38821" s="8">
        <v>0</v>
      </c>
      <c r="F38821" s="8">
        <v>1132</v>
      </c>
    </row>
    <row r="38822" spans="1:6" ht="12.75">
      <c r="A38822" s="8">
        <v>43887.039907407408</v>
      </c>
      <c r="B38822" s="8" t="str">
        <f>HYPERLINK("https://twitter.com/ivcckk","@ivcckk")</f>
        <v>@ivcckk</v>
      </c>
      <c r="C38822" s="8" t="s">
        <v>13365</v>
      </c>
      <c r="D38822" s="8">
        <v>298</v>
      </c>
      <c r="E38822" s="8">
        <v>0</v>
      </c>
      <c r="F38822" s="8">
        <v>0</v>
      </c>
    </row>
    <row r="38823" spans="1:6" ht="12.75">
      <c r="A38823" s="8">
        <v>43887.03979166667</v>
      </c>
      <c r="B38823" s="8" t="str">
        <f>HYPERLINK("https://twitter.com/MasSugi49538181","@MasSugi49538181")</f>
        <v>@MasSugi49538181</v>
      </c>
      <c r="C38823" s="8" t="s">
        <v>6666</v>
      </c>
      <c r="D38823" s="8">
        <v>25</v>
      </c>
      <c r="E38823" s="8">
        <v>0</v>
      </c>
      <c r="F38823" s="8">
        <v>250</v>
      </c>
    </row>
    <row r="38824" spans="1:6" ht="12.75">
      <c r="A38824" s="8">
        <v>43887.039456018523</v>
      </c>
      <c r="B38824" s="8" t="str">
        <f>HYPERLINK("https://twitter.com/dhifadiba","@dhifadiba")</f>
        <v>@dhifadiba</v>
      </c>
      <c r="C38824" s="8" t="s">
        <v>2941</v>
      </c>
      <c r="D38824" s="8">
        <v>739</v>
      </c>
      <c r="E38824" s="8">
        <v>0</v>
      </c>
      <c r="F38824" s="8">
        <v>223</v>
      </c>
    </row>
    <row r="38825" spans="1:6" ht="12.75">
      <c r="A38825" s="8">
        <v>43887.039212962962</v>
      </c>
      <c r="B38825" s="8" t="str">
        <f>HYPERLINK("https://twitter.com/rizkiwhym","@rizkiwhym")</f>
        <v>@rizkiwhym</v>
      </c>
      <c r="C38825" s="8" t="s">
        <v>13365</v>
      </c>
      <c r="D38825" s="8">
        <v>298</v>
      </c>
      <c r="E38825" s="8">
        <v>0</v>
      </c>
      <c r="F38825" s="8">
        <v>210</v>
      </c>
    </row>
    <row r="38826" spans="1:6" ht="12.75">
      <c r="A38826" s="8">
        <v>43887.038229166668</v>
      </c>
      <c r="B38826" s="8" t="str">
        <f>HYPERLINK("https://twitter.com/Resurrection_Oh","@Resurrection_Oh")</f>
        <v>@Resurrection_Oh</v>
      </c>
      <c r="C38826" s="8" t="s">
        <v>13365</v>
      </c>
      <c r="D38826" s="8">
        <v>298</v>
      </c>
      <c r="E38826" s="8">
        <v>0</v>
      </c>
      <c r="F38826" s="8">
        <v>3</v>
      </c>
    </row>
    <row r="38827" spans="1:6" ht="12.75">
      <c r="A38827" s="8">
        <v>43887.038194444445</v>
      </c>
      <c r="B38827" s="8" t="str">
        <f>HYPERLINK("https://twitter.com/lonelywhipcream","@lonelywhipcream")</f>
        <v>@lonelywhipcream</v>
      </c>
      <c r="C38827" s="8" t="s">
        <v>14967</v>
      </c>
      <c r="D38827" s="8">
        <v>0</v>
      </c>
      <c r="E38827" s="8">
        <v>0</v>
      </c>
      <c r="F38827" s="8">
        <v>5004</v>
      </c>
    </row>
    <row r="38828" spans="1:6" ht="12.75">
      <c r="A38828" s="8">
        <v>43887.037858796291</v>
      </c>
      <c r="B38828" s="8" t="str">
        <f>HYPERLINK("https://twitter.com/Hitamputih2010","@Hitamputih2010")</f>
        <v>@Hitamputih2010</v>
      </c>
      <c r="C38828" s="8" t="s">
        <v>11964</v>
      </c>
      <c r="D38828" s="8">
        <v>495</v>
      </c>
      <c r="E38828" s="8">
        <v>0</v>
      </c>
      <c r="F38828" s="8">
        <v>128</v>
      </c>
    </row>
    <row r="38829" spans="1:6" ht="12.75">
      <c r="A38829" s="8">
        <v>43887.037291666667</v>
      </c>
      <c r="B38829" s="8" t="str">
        <f>HYPERLINK("https://twitter.com/yuriedy11","@yuriedy11")</f>
        <v>@yuriedy11</v>
      </c>
      <c r="C38829" s="8" t="s">
        <v>13365</v>
      </c>
      <c r="D38829" s="8">
        <v>298</v>
      </c>
      <c r="E38829" s="8">
        <v>0</v>
      </c>
      <c r="F38829" s="8">
        <v>55</v>
      </c>
    </row>
    <row r="38830" spans="1:6" ht="12.75">
      <c r="A38830" s="8">
        <v>43887.037256944444</v>
      </c>
      <c r="B38830" s="8" t="str">
        <f>HYPERLINK("https://twitter.com/SantiErfina","@SantiErfina")</f>
        <v>@SantiErfina</v>
      </c>
      <c r="C38830" s="8" t="s">
        <v>13365</v>
      </c>
      <c r="D38830" s="8">
        <v>298</v>
      </c>
      <c r="E38830" s="8">
        <v>0</v>
      </c>
      <c r="F38830" s="8">
        <v>401</v>
      </c>
    </row>
    <row r="38831" spans="1:6" ht="12.75">
      <c r="A38831" s="8">
        <v>43887.036979166667</v>
      </c>
      <c r="B38831" s="8" t="str">
        <f>HYPERLINK("https://twitter.com/prathee11641530","@prathee11641530")</f>
        <v>@prathee11641530</v>
      </c>
      <c r="C38831" s="8" t="s">
        <v>14734</v>
      </c>
      <c r="D38831" s="8">
        <v>6</v>
      </c>
      <c r="E38831" s="8">
        <v>0</v>
      </c>
      <c r="F38831" s="8">
        <v>178</v>
      </c>
    </row>
    <row r="38832" spans="1:6" ht="12.75">
      <c r="A38832" s="8">
        <v>43887.036481481482</v>
      </c>
      <c r="B38832" s="8" t="str">
        <f>HYPERLINK("https://twitter.com/MasSugi49538181","@MasSugi49538181")</f>
        <v>@MasSugi49538181</v>
      </c>
      <c r="C38832" s="8" t="s">
        <v>13365</v>
      </c>
      <c r="D38832" s="8">
        <v>298</v>
      </c>
      <c r="E38832" s="8">
        <v>0</v>
      </c>
      <c r="F38832" s="8">
        <v>250</v>
      </c>
    </row>
    <row r="38833" spans="1:6" ht="12.75">
      <c r="A38833" s="8">
        <v>43887.036296296297</v>
      </c>
      <c r="B38833" s="8" t="str">
        <f>HYPERLINK("https://twitter.com/indariantiutami","@indariantiutami")</f>
        <v>@indariantiutami</v>
      </c>
      <c r="C38833" s="8" t="s">
        <v>14430</v>
      </c>
      <c r="D38833" s="8">
        <v>94</v>
      </c>
      <c r="E38833" s="8">
        <v>0</v>
      </c>
      <c r="F38833" s="8">
        <v>411</v>
      </c>
    </row>
    <row r="38834" spans="1:6" ht="12.75">
      <c r="A38834" s="8">
        <v>43887.036168981482</v>
      </c>
      <c r="B38834" s="8" t="str">
        <f t="shared" ref="B38834:B38835" si="581">HYPERLINK("https://twitter.com/SeekGraphic","@SeekGraphic")</f>
        <v>@SeekGraphic</v>
      </c>
      <c r="C38834" s="8" t="s">
        <v>14968</v>
      </c>
      <c r="D38834" s="8">
        <v>1</v>
      </c>
      <c r="E38834" s="8">
        <v>0</v>
      </c>
      <c r="F38834" s="8">
        <v>1</v>
      </c>
    </row>
    <row r="38835" spans="1:6" ht="12.75">
      <c r="A38835" s="8">
        <v>43887.036145833335</v>
      </c>
      <c r="B38835" s="8" t="str">
        <f t="shared" si="581"/>
        <v>@SeekGraphic</v>
      </c>
      <c r="C38835" s="8" t="s">
        <v>14969</v>
      </c>
      <c r="D38835" s="8">
        <v>1</v>
      </c>
      <c r="E38835" s="8">
        <v>0</v>
      </c>
      <c r="F38835" s="8">
        <v>1</v>
      </c>
    </row>
    <row r="38836" spans="1:6" ht="12.75">
      <c r="A38836" s="8">
        <v>43887.035173611112</v>
      </c>
      <c r="B38836" s="8" t="str">
        <f>HYPERLINK("https://twitter.com/Chalink15311048","@Chalink15311048")</f>
        <v>@Chalink15311048</v>
      </c>
      <c r="C38836" s="8" t="s">
        <v>2941</v>
      </c>
      <c r="D38836" s="8">
        <v>739</v>
      </c>
      <c r="E38836" s="8">
        <v>0</v>
      </c>
      <c r="F38836" s="8">
        <v>677</v>
      </c>
    </row>
    <row r="38837" spans="1:6" ht="12.75">
      <c r="A38837" s="8">
        <v>43887.035150462965</v>
      </c>
      <c r="B38837" s="8" t="str">
        <f>HYPERLINK("https://twitter.com/WilsonPatrick__","@WilsonPatrick__")</f>
        <v>@WilsonPatrick__</v>
      </c>
      <c r="C38837" s="8" t="s">
        <v>13365</v>
      </c>
      <c r="D38837" s="8">
        <v>298</v>
      </c>
      <c r="E38837" s="8">
        <v>0</v>
      </c>
      <c r="F38837" s="8">
        <v>76</v>
      </c>
    </row>
    <row r="38838" spans="1:6" ht="12.75">
      <c r="A38838" s="8">
        <v>43887.035000000003</v>
      </c>
      <c r="B38838" s="8" t="str">
        <f>HYPERLINK("https://twitter.com/PankajN93588724","@PankajN93588724")</f>
        <v>@PankajN93588724</v>
      </c>
      <c r="C38838" s="8" t="s">
        <v>14970</v>
      </c>
      <c r="D38838" s="8">
        <v>1</v>
      </c>
      <c r="E38838" s="8">
        <v>0</v>
      </c>
      <c r="F38838" s="8">
        <v>6</v>
      </c>
    </row>
    <row r="38839" spans="1:6" ht="12.75">
      <c r="A38839" s="8">
        <v>43887.034803240742</v>
      </c>
      <c r="B38839" s="8" t="str">
        <f>HYPERLINK("https://twitter.com/ridhalmuh","@ridhalmuh")</f>
        <v>@ridhalmuh</v>
      </c>
      <c r="C38839" s="8" t="s">
        <v>13365</v>
      </c>
      <c r="D38839" s="8">
        <v>298</v>
      </c>
      <c r="E38839" s="8">
        <v>0</v>
      </c>
      <c r="F38839" s="8">
        <v>630</v>
      </c>
    </row>
    <row r="38840" spans="1:6" ht="12.75">
      <c r="A38840" s="8">
        <v>43887.034224537041</v>
      </c>
      <c r="B38840" s="8" t="str">
        <f>HYPERLINK("https://twitter.com/AlannMaulana","@AlannMaulana")</f>
        <v>@AlannMaulana</v>
      </c>
      <c r="C38840" s="8" t="s">
        <v>13365</v>
      </c>
      <c r="D38840" s="8">
        <v>298</v>
      </c>
      <c r="E38840" s="8">
        <v>0</v>
      </c>
      <c r="F38840" s="8">
        <v>156</v>
      </c>
    </row>
    <row r="38841" spans="1:6" ht="12.75">
      <c r="A38841" s="8">
        <v>43887.033854166672</v>
      </c>
      <c r="B38841" s="8" t="str">
        <f>HYPERLINK("https://twitter.com/Maulidyasw_","@Maulidyasw_")</f>
        <v>@Maulidyasw_</v>
      </c>
      <c r="C38841" s="8" t="s">
        <v>14430</v>
      </c>
      <c r="D38841" s="8">
        <v>94</v>
      </c>
      <c r="E38841" s="8">
        <v>0</v>
      </c>
      <c r="F38841" s="8">
        <v>666</v>
      </c>
    </row>
    <row r="38842" spans="1:6" ht="12.75">
      <c r="A38842" s="8">
        <v>43887.033067129625</v>
      </c>
      <c r="B38842" s="8" t="str">
        <f>HYPERLINK("https://twitter.com/saltypab","@saltypab")</f>
        <v>@saltypab</v>
      </c>
      <c r="C38842" s="8" t="s">
        <v>2940</v>
      </c>
      <c r="D38842" s="8">
        <v>2545</v>
      </c>
      <c r="E38842" s="8">
        <v>0</v>
      </c>
      <c r="F38842" s="8">
        <v>22</v>
      </c>
    </row>
    <row r="38843" spans="1:6" ht="12.75">
      <c r="A38843" s="8">
        <v>43887.032916666663</v>
      </c>
      <c r="B38843" s="8" t="str">
        <f>HYPERLINK("https://twitter.com/smalleyes_kimm","@smalleyes_kimm")</f>
        <v>@smalleyes_kimm</v>
      </c>
      <c r="C38843" s="8" t="s">
        <v>14430</v>
      </c>
      <c r="D38843" s="8">
        <v>94</v>
      </c>
      <c r="E38843" s="8">
        <v>0</v>
      </c>
      <c r="F38843" s="8">
        <v>54</v>
      </c>
    </row>
    <row r="38844" spans="1:6" ht="12.75">
      <c r="A38844" s="8">
        <v>43887.03260416667</v>
      </c>
      <c r="B38844" s="8" t="str">
        <f>HYPERLINK("https://twitter.com/riopLuR","@riopLuR")</f>
        <v>@riopLuR</v>
      </c>
      <c r="C38844" s="8" t="s">
        <v>2941</v>
      </c>
      <c r="D38844" s="8">
        <v>739</v>
      </c>
      <c r="E38844" s="8">
        <v>0</v>
      </c>
      <c r="F38844" s="8">
        <v>604</v>
      </c>
    </row>
    <row r="38845" spans="1:6" ht="12.75">
      <c r="A38845" s="8">
        <v>43887.032511574071</v>
      </c>
      <c r="B38845" s="8" t="str">
        <f>HYPERLINK("https://twitter.com/sho0825s","@sho0825s")</f>
        <v>@sho0825s</v>
      </c>
      <c r="C38845" s="8" t="s">
        <v>2940</v>
      </c>
      <c r="D38845" s="8">
        <v>2545</v>
      </c>
      <c r="E38845" s="8">
        <v>0</v>
      </c>
      <c r="F38845" s="8">
        <v>38</v>
      </c>
    </row>
    <row r="38846" spans="1:6" ht="12.75">
      <c r="A38846" s="8">
        <v>43887.031400462962</v>
      </c>
      <c r="B38846" s="8" t="str">
        <f>HYPERLINK("https://twitter.com/rhyoz","@rhyoz")</f>
        <v>@rhyoz</v>
      </c>
      <c r="C38846" s="8" t="s">
        <v>14887</v>
      </c>
      <c r="D38846" s="8">
        <v>60</v>
      </c>
      <c r="E38846" s="8">
        <v>0</v>
      </c>
      <c r="F38846" s="8">
        <v>236</v>
      </c>
    </row>
    <row r="38847" spans="1:6" ht="12.75">
      <c r="A38847" s="8">
        <v>43887.031319444446</v>
      </c>
      <c r="B38847" s="8" t="str">
        <f>HYPERLINK("https://twitter.com/dede33069084","@dede33069084")</f>
        <v>@dede33069084</v>
      </c>
      <c r="C38847" s="8" t="s">
        <v>2941</v>
      </c>
      <c r="D38847" s="8">
        <v>739</v>
      </c>
      <c r="E38847" s="8">
        <v>0</v>
      </c>
      <c r="F38847" s="8">
        <v>26</v>
      </c>
    </row>
    <row r="38848" spans="1:6" ht="12.75">
      <c r="A38848" s="8">
        <v>43887.031296296293</v>
      </c>
      <c r="B38848" s="8" t="str">
        <f>HYPERLINK("https://twitter.com/BNNK_Balikpapan","@BNNK_Balikpapan")</f>
        <v>@BNNK_Balikpapan</v>
      </c>
      <c r="C38848" s="8" t="s">
        <v>14198</v>
      </c>
      <c r="D38848" s="8">
        <v>0</v>
      </c>
      <c r="E38848" s="8">
        <v>0</v>
      </c>
      <c r="F38848" s="8">
        <v>4423</v>
      </c>
    </row>
    <row r="38849" spans="1:6" ht="12.75">
      <c r="A38849" s="8">
        <v>43887.031099537038</v>
      </c>
      <c r="B38849" s="8" t="str">
        <f>HYPERLINK("https://twitter.com/hilda_revika","@hilda_revika")</f>
        <v>@hilda_revika</v>
      </c>
      <c r="C38849" s="8" t="s">
        <v>14971</v>
      </c>
      <c r="D38849" s="8">
        <v>0</v>
      </c>
      <c r="E38849" s="8">
        <v>0</v>
      </c>
      <c r="F38849" s="8">
        <v>35</v>
      </c>
    </row>
    <row r="38850" spans="1:6" ht="12.75">
      <c r="A38850" s="8">
        <v>43887.031018518523</v>
      </c>
      <c r="B38850" s="8" t="str">
        <f>HYPERLINK("https://twitter.com/iammhk","@iammhk")</f>
        <v>@iammhk</v>
      </c>
      <c r="C38850" s="8" t="s">
        <v>14734</v>
      </c>
      <c r="D38850" s="8">
        <v>6</v>
      </c>
      <c r="E38850" s="8">
        <v>0</v>
      </c>
      <c r="F38850" s="8">
        <v>128</v>
      </c>
    </row>
    <row r="38851" spans="1:6" ht="12.75">
      <c r="A38851" s="8">
        <v>43887.03061342593</v>
      </c>
      <c r="B38851" s="8" t="str">
        <f>HYPERLINK("https://twitter.com/porbotialora","@porbotialora")</f>
        <v>@porbotialora</v>
      </c>
      <c r="C38851" s="8" t="s">
        <v>14734</v>
      </c>
      <c r="D38851" s="8">
        <v>6</v>
      </c>
      <c r="E38851" s="8">
        <v>0</v>
      </c>
      <c r="F38851" s="8">
        <v>5485</v>
      </c>
    </row>
    <row r="38852" spans="1:6" ht="12.75">
      <c r="A38852" s="8">
        <v>43887.030324074076</v>
      </c>
      <c r="B38852" s="8" t="str">
        <f>HYPERLINK("https://twitter.com/SajakSenja7","@SajakSenja7")</f>
        <v>@SajakSenja7</v>
      </c>
      <c r="C38852" s="8" t="s">
        <v>14972</v>
      </c>
      <c r="D38852" s="8">
        <v>0</v>
      </c>
      <c r="E38852" s="8">
        <v>0</v>
      </c>
      <c r="F38852" s="8">
        <v>417</v>
      </c>
    </row>
    <row r="38853" spans="1:6" ht="12.75">
      <c r="A38853" s="8">
        <v>43887.030162037037</v>
      </c>
      <c r="B38853" s="8" t="str">
        <f>HYPERLINK("https://twitter.com/gallennugra","@gallennugra")</f>
        <v>@gallennugra</v>
      </c>
      <c r="C38853" s="8" t="s">
        <v>2941</v>
      </c>
      <c r="D38853" s="8">
        <v>739</v>
      </c>
      <c r="E38853" s="8">
        <v>0</v>
      </c>
      <c r="F38853" s="8">
        <v>16</v>
      </c>
    </row>
    <row r="38854" spans="1:6" ht="12.75">
      <c r="A38854" s="8">
        <v>43887.029722222222</v>
      </c>
      <c r="B38854" s="8" t="str">
        <f>HYPERLINK("https://twitter.com/DimasAlfyan","@DimasAlfyan")</f>
        <v>@DimasAlfyan</v>
      </c>
      <c r="C38854" s="8" t="s">
        <v>13365</v>
      </c>
      <c r="D38854" s="8">
        <v>298</v>
      </c>
      <c r="E38854" s="8">
        <v>0</v>
      </c>
      <c r="F38854" s="8">
        <v>266</v>
      </c>
    </row>
    <row r="38855" spans="1:6" ht="12.75">
      <c r="A38855" s="8">
        <v>43887.029490740737</v>
      </c>
      <c r="B38855" s="8" t="str">
        <f>HYPERLINK("https://twitter.com/joe63210388","@joe63210388")</f>
        <v>@joe63210388</v>
      </c>
      <c r="C38855" s="8" t="s">
        <v>13365</v>
      </c>
      <c r="D38855" s="8">
        <v>298</v>
      </c>
      <c r="E38855" s="8">
        <v>0</v>
      </c>
      <c r="F38855" s="8">
        <v>177</v>
      </c>
    </row>
    <row r="38856" spans="1:6" ht="12.75">
      <c r="A38856" s="8">
        <v>43887.029120370367</v>
      </c>
      <c r="B38856" s="8" t="str">
        <f>HYPERLINK("https://twitter.com/deessemyoui","@deessemyoui")</f>
        <v>@deessemyoui</v>
      </c>
      <c r="C38856" s="8" t="s">
        <v>14591</v>
      </c>
      <c r="D38856" s="8">
        <v>9</v>
      </c>
      <c r="E38856" s="8">
        <v>0</v>
      </c>
      <c r="F38856" s="8">
        <v>992</v>
      </c>
    </row>
    <row r="38857" spans="1:6" ht="12.75">
      <c r="A38857" s="8">
        <v>43887.02888888889</v>
      </c>
      <c r="B38857" s="8" t="str">
        <f t="shared" ref="B38857:B38858" si="582">HYPERLINK("https://twitter.com/SDwiatya","@SDwiatya")</f>
        <v>@SDwiatya</v>
      </c>
      <c r="C38857" s="8" t="s">
        <v>14973</v>
      </c>
      <c r="D38857" s="8">
        <v>0</v>
      </c>
      <c r="E38857" s="8">
        <v>0</v>
      </c>
      <c r="F38857" s="8">
        <v>31</v>
      </c>
    </row>
    <row r="38858" spans="1:6" ht="12.75">
      <c r="A38858" s="8">
        <v>43887.028599537036</v>
      </c>
      <c r="B38858" s="8" t="str">
        <f t="shared" si="582"/>
        <v>@SDwiatya</v>
      </c>
      <c r="C38858" s="8" t="s">
        <v>14974</v>
      </c>
      <c r="D38858" s="8">
        <v>0</v>
      </c>
      <c r="E38858" s="8">
        <v>0</v>
      </c>
      <c r="F38858" s="8">
        <v>31</v>
      </c>
    </row>
    <row r="38859" spans="1:6" ht="12.75">
      <c r="A38859" s="8">
        <v>43887.027916666666</v>
      </c>
      <c r="B38859" s="8" t="str">
        <f>HYPERLINK("https://twitter.com/iantrucker","@iantrucker")</f>
        <v>@iantrucker</v>
      </c>
      <c r="C38859" s="8" t="s">
        <v>14975</v>
      </c>
      <c r="D38859" s="8">
        <v>3</v>
      </c>
      <c r="E38859" s="8">
        <v>0</v>
      </c>
      <c r="F38859" s="8">
        <v>342</v>
      </c>
    </row>
    <row r="38860" spans="1:6" ht="12.75">
      <c r="A38860" s="8">
        <v>43887.027824074074</v>
      </c>
      <c r="B38860" s="8" t="str">
        <f>HYPERLINK("https://twitter.com/yourbigdaddies","@yourbigdaddies")</f>
        <v>@yourbigdaddies</v>
      </c>
      <c r="C38860" s="8" t="s">
        <v>6638</v>
      </c>
      <c r="D38860" s="8">
        <v>60</v>
      </c>
      <c r="E38860" s="8">
        <v>0</v>
      </c>
      <c r="F38860" s="8">
        <v>355</v>
      </c>
    </row>
    <row r="38861" spans="1:6" ht="12.75">
      <c r="A38861" s="8">
        <v>43887.027395833335</v>
      </c>
      <c r="B38861" s="8" t="str">
        <f>HYPERLINK("https://twitter.com/akukansudah","@akukansudah")</f>
        <v>@akukansudah</v>
      </c>
      <c r="C38861" s="8" t="s">
        <v>2941</v>
      </c>
      <c r="D38861" s="8">
        <v>739</v>
      </c>
      <c r="E38861" s="8">
        <v>0</v>
      </c>
      <c r="F38861" s="8">
        <v>677</v>
      </c>
    </row>
    <row r="38862" spans="1:6" ht="12.75">
      <c r="A38862" s="8">
        <v>43887.025960648149</v>
      </c>
      <c r="B38862" s="8" t="str">
        <f>HYPERLINK("https://twitter.com/andreasnuryan2","@andreasnuryan2")</f>
        <v>@andreasnuryan2</v>
      </c>
      <c r="C38862" s="8" t="s">
        <v>11183</v>
      </c>
      <c r="D38862" s="8">
        <v>259</v>
      </c>
      <c r="E38862" s="8">
        <v>0</v>
      </c>
      <c r="F38862" s="8">
        <v>697</v>
      </c>
    </row>
    <row r="38863" spans="1:6" ht="12.75">
      <c r="A38863" s="8">
        <v>43887.025775462964</v>
      </c>
      <c r="B38863" s="8" t="str">
        <f>HYPERLINK("https://twitter.com/DugongdugonAya","@DugongdugonAya")</f>
        <v>@DugongdugonAya</v>
      </c>
      <c r="C38863" s="8" t="s">
        <v>2940</v>
      </c>
      <c r="D38863" s="8">
        <v>2545</v>
      </c>
      <c r="E38863" s="8">
        <v>0</v>
      </c>
      <c r="F38863" s="8">
        <v>683</v>
      </c>
    </row>
    <row r="38864" spans="1:6" ht="12.75">
      <c r="A38864" s="8">
        <v>43887.02449074074</v>
      </c>
      <c r="B38864" s="8" t="str">
        <f>HYPERLINK("https://twitter.com/milkycoffe","@milkycoffe")</f>
        <v>@milkycoffe</v>
      </c>
      <c r="C38864" s="8" t="s">
        <v>2941</v>
      </c>
      <c r="D38864" s="8">
        <v>739</v>
      </c>
      <c r="E38864" s="8">
        <v>0</v>
      </c>
      <c r="F38864" s="8">
        <v>33</v>
      </c>
    </row>
    <row r="38865" spans="1:6" ht="12.75">
      <c r="A38865" s="8">
        <v>43887.024479166663</v>
      </c>
      <c r="B38865" s="8" t="str">
        <f>HYPERLINK("https://twitter.com/zahrasarki1","@zahrasarki1")</f>
        <v>@zahrasarki1</v>
      </c>
      <c r="C38865" s="8" t="s">
        <v>14976</v>
      </c>
      <c r="D38865" s="8">
        <v>0</v>
      </c>
      <c r="E38865" s="8">
        <v>0</v>
      </c>
      <c r="F38865" s="8">
        <v>616</v>
      </c>
    </row>
    <row r="38866" spans="1:6" ht="12.75">
      <c r="A38866" s="8">
        <v>43887.023402777777</v>
      </c>
      <c r="B38866" s="8" t="str">
        <f>HYPERLINK("https://twitter.com/Addin_15","@Addin_15")</f>
        <v>@Addin_15</v>
      </c>
      <c r="C38866" s="8" t="s">
        <v>2941</v>
      </c>
      <c r="D38866" s="8">
        <v>739</v>
      </c>
      <c r="E38866" s="8">
        <v>0</v>
      </c>
      <c r="F38866" s="8">
        <v>6</v>
      </c>
    </row>
    <row r="38867" spans="1:6" ht="12.75">
      <c r="A38867" s="8">
        <v>43887.022870370369</v>
      </c>
      <c r="B38867" s="8" t="str">
        <f>HYPERLINK("https://twitter.com/Om_Datuk","@Om_Datuk")</f>
        <v>@Om_Datuk</v>
      </c>
      <c r="C38867" s="8" t="s">
        <v>13365</v>
      </c>
      <c r="D38867" s="8">
        <v>298</v>
      </c>
      <c r="E38867" s="8">
        <v>0</v>
      </c>
      <c r="F38867" s="8">
        <v>622</v>
      </c>
    </row>
    <row r="38868" spans="1:6" ht="12.75">
      <c r="A38868" s="8">
        <v>43887.022847222222</v>
      </c>
      <c r="B38868" s="8" t="str">
        <f>HYPERLINK("https://twitter.com/CandYourBae666","@CandYourBae666")</f>
        <v>@CandYourBae666</v>
      </c>
      <c r="C38868" s="8" t="s">
        <v>2941</v>
      </c>
      <c r="D38868" s="8">
        <v>739</v>
      </c>
      <c r="E38868" s="8">
        <v>0</v>
      </c>
      <c r="F38868" s="8">
        <v>1</v>
      </c>
    </row>
    <row r="38869" spans="1:6" ht="12.75">
      <c r="A38869" s="8">
        <v>43887.02243055556</v>
      </c>
      <c r="B38869" s="8" t="str">
        <f>HYPERLINK("https://twitter.com/akir8yana1","@akir8yana1")</f>
        <v>@akir8yana1</v>
      </c>
      <c r="C38869" s="8" t="s">
        <v>8484</v>
      </c>
      <c r="D38869" s="8">
        <v>916</v>
      </c>
      <c r="E38869" s="8">
        <v>0</v>
      </c>
      <c r="F38869" s="8">
        <v>483</v>
      </c>
    </row>
    <row r="38870" spans="1:6" ht="12.75">
      <c r="A38870" s="8">
        <v>43887.022303240738</v>
      </c>
      <c r="B38870" s="8" t="str">
        <f t="shared" ref="B38870:B38871" si="583">HYPERLINK("https://twitter.com/adi_iswantoro","@adi_iswantoro")</f>
        <v>@adi_iswantoro</v>
      </c>
      <c r="C38870" s="8" t="s">
        <v>14977</v>
      </c>
      <c r="D38870" s="8">
        <v>2</v>
      </c>
      <c r="E38870" s="8">
        <v>0</v>
      </c>
      <c r="F38870" s="8">
        <v>160</v>
      </c>
    </row>
    <row r="38871" spans="1:6" ht="12.75">
      <c r="A38871" s="8">
        <v>43887.021874999999</v>
      </c>
      <c r="B38871" s="8" t="str">
        <f t="shared" si="583"/>
        <v>@adi_iswantoro</v>
      </c>
      <c r="C38871" s="8" t="s">
        <v>14978</v>
      </c>
      <c r="D38871" s="8">
        <v>0</v>
      </c>
      <c r="E38871" s="8">
        <v>1</v>
      </c>
      <c r="F38871" s="8">
        <v>160</v>
      </c>
    </row>
    <row r="38872" spans="1:6" ht="12.75">
      <c r="A38872" s="8">
        <v>43887.021504629629</v>
      </c>
      <c r="B38872" s="8" t="str">
        <f>HYPERLINK("https://twitter.com/hEN4eTBj28Q5TFB","@hEN4eTBj28Q5TFB")</f>
        <v>@hEN4eTBj28Q5TFB</v>
      </c>
      <c r="C38872" s="8" t="s">
        <v>2940</v>
      </c>
      <c r="D38872" s="8">
        <v>2545</v>
      </c>
      <c r="E38872" s="8">
        <v>0</v>
      </c>
      <c r="F38872" s="8">
        <v>7</v>
      </c>
    </row>
    <row r="38873" spans="1:6" ht="12.75">
      <c r="A38873" s="8">
        <v>43887.021215277782</v>
      </c>
      <c r="B38873" s="8" t="str">
        <f>HYPERLINK("https://twitter.com/alfiipoy","@alfiipoy")</f>
        <v>@alfiipoy</v>
      </c>
      <c r="C38873" s="8" t="s">
        <v>2941</v>
      </c>
      <c r="D38873" s="8">
        <v>739</v>
      </c>
      <c r="E38873" s="8">
        <v>0</v>
      </c>
      <c r="F38873" s="8">
        <v>563</v>
      </c>
    </row>
    <row r="38874" spans="1:6" ht="12.75">
      <c r="A38874" s="8">
        <v>43887.021145833336</v>
      </c>
      <c r="B38874" s="8" t="str">
        <f>HYPERLINK("https://twitter.com/Rizal_almaun","@Rizal_almaun")</f>
        <v>@Rizal_almaun</v>
      </c>
      <c r="C38874" s="8" t="s">
        <v>13365</v>
      </c>
      <c r="D38874" s="8">
        <v>298</v>
      </c>
      <c r="E38874" s="8">
        <v>0</v>
      </c>
      <c r="F38874" s="8">
        <v>350</v>
      </c>
    </row>
    <row r="38875" spans="1:6" ht="12.75">
      <c r="A38875" s="8">
        <v>43887.021087962959</v>
      </c>
      <c r="B38875" s="8" t="str">
        <f>HYPERLINK("https://twitter.com/presa_kautsar","@presa_kautsar")</f>
        <v>@presa_kautsar</v>
      </c>
      <c r="C38875" s="8" t="s">
        <v>2941</v>
      </c>
      <c r="D38875" s="8">
        <v>739</v>
      </c>
      <c r="E38875" s="8">
        <v>0</v>
      </c>
      <c r="F38875" s="8">
        <v>165</v>
      </c>
    </row>
    <row r="38876" spans="1:6" ht="12.75">
      <c r="A38876" s="8">
        <v>43887.020810185189</v>
      </c>
      <c r="B38876" s="8" t="str">
        <f>HYPERLINK("https://twitter.com/vicky98785332","@vicky98785332")</f>
        <v>@vicky98785332</v>
      </c>
      <c r="C38876" s="8" t="s">
        <v>14979</v>
      </c>
      <c r="D38876" s="8">
        <v>0</v>
      </c>
      <c r="E38876" s="8">
        <v>0</v>
      </c>
      <c r="F38876" s="8">
        <v>12</v>
      </c>
    </row>
    <row r="38877" spans="1:6" ht="12.75">
      <c r="A38877" s="8">
        <v>43887.02065972222</v>
      </c>
      <c r="B38877" s="8" t="str">
        <f>HYPERLINK("https://twitter.com/dedisetiawan30","@dedisetiawan30")</f>
        <v>@dedisetiawan30</v>
      </c>
      <c r="C38877" s="8" t="s">
        <v>11183</v>
      </c>
      <c r="D38877" s="8">
        <v>259</v>
      </c>
      <c r="E38877" s="8">
        <v>0</v>
      </c>
      <c r="F38877" s="8">
        <v>343</v>
      </c>
    </row>
    <row r="38878" spans="1:6" ht="12.75">
      <c r="A38878" s="8">
        <v>43887.019699074073</v>
      </c>
      <c r="B38878" s="8" t="str">
        <f>HYPERLINK("https://twitter.com/star_lust_","@star_lust_")</f>
        <v>@star_lust_</v>
      </c>
      <c r="C38878" s="8" t="s">
        <v>2941</v>
      </c>
      <c r="D38878" s="8">
        <v>739</v>
      </c>
      <c r="E38878" s="8">
        <v>0</v>
      </c>
      <c r="F38878" s="8">
        <v>3226</v>
      </c>
    </row>
    <row r="38879" spans="1:6" ht="12.75">
      <c r="A38879" s="8">
        <v>43887.019502314812</v>
      </c>
      <c r="B38879" s="8" t="str">
        <f>HYPERLINK("https://twitter.com/AVG_90LEO","@AVG_90LEO")</f>
        <v>@AVG_90LEO</v>
      </c>
      <c r="C38879" s="8" t="s">
        <v>14980</v>
      </c>
      <c r="D38879" s="8">
        <v>0</v>
      </c>
      <c r="E38879" s="8">
        <v>0</v>
      </c>
      <c r="F38879" s="8">
        <v>3776</v>
      </c>
    </row>
    <row r="38880" spans="1:6" ht="12.75">
      <c r="A38880" s="8">
        <v>43887.019432870366</v>
      </c>
      <c r="B38880" s="8" t="str">
        <f>HYPERLINK("https://twitter.com/Abdulla39149067","@Abdulla39149067")</f>
        <v>@Abdulla39149067</v>
      </c>
      <c r="C38880" s="8" t="s">
        <v>14981</v>
      </c>
      <c r="D38880" s="8">
        <v>0</v>
      </c>
      <c r="E38880" s="8">
        <v>0</v>
      </c>
      <c r="F38880" s="8">
        <v>15</v>
      </c>
    </row>
    <row r="38881" spans="1:6" ht="12.75">
      <c r="A38881" s="8">
        <v>43887.019016203703</v>
      </c>
      <c r="B38881" s="8" t="str">
        <f>HYPERLINK("https://twitter.com/ALAKKITA1","@ALAKKITA1")</f>
        <v>@ALAKKITA1</v>
      </c>
      <c r="C38881" s="8" t="s">
        <v>13365</v>
      </c>
      <c r="D38881" s="8">
        <v>298</v>
      </c>
      <c r="E38881" s="8">
        <v>0</v>
      </c>
      <c r="F38881" s="8">
        <v>52</v>
      </c>
    </row>
    <row r="38882" spans="1:6" ht="12.75">
      <c r="A38882" s="8">
        <v>43887.018993055557</v>
      </c>
      <c r="B38882" s="8" t="str">
        <f>HYPERLINK("https://twitter.com/ranzkia","@ranzkia")</f>
        <v>@ranzkia</v>
      </c>
      <c r="C38882" s="8" t="s">
        <v>14591</v>
      </c>
      <c r="D38882" s="8">
        <v>9</v>
      </c>
      <c r="E38882" s="8">
        <v>0</v>
      </c>
      <c r="F38882" s="8">
        <v>366</v>
      </c>
    </row>
    <row r="38883" spans="1:6" ht="12.75">
      <c r="A38883" s="8">
        <v>43887.018472222218</v>
      </c>
      <c r="B38883" s="8" t="str">
        <f>HYPERLINK("https://twitter.com/Toyezzz1","@Toyezzz1")</f>
        <v>@Toyezzz1</v>
      </c>
      <c r="C38883" s="8" t="s">
        <v>14982</v>
      </c>
      <c r="D38883" s="8">
        <v>0</v>
      </c>
      <c r="E38883" s="8">
        <v>1</v>
      </c>
      <c r="F38883" s="8">
        <v>77</v>
      </c>
    </row>
    <row r="38884" spans="1:6" ht="12.75">
      <c r="A38884" s="8">
        <v>43887.018113425926</v>
      </c>
      <c r="B38884" s="8" t="str">
        <f>HYPERLINK("https://twitter.com/kakuwomiru","@kakuwomiru")</f>
        <v>@kakuwomiru</v>
      </c>
      <c r="C38884" s="8" t="s">
        <v>14106</v>
      </c>
      <c r="D38884" s="8">
        <v>141</v>
      </c>
      <c r="E38884" s="8">
        <v>0</v>
      </c>
      <c r="F38884" s="8">
        <v>894</v>
      </c>
    </row>
    <row r="38885" spans="1:6" ht="12.75">
      <c r="A38885" s="8">
        <v>43887.017847222218</v>
      </c>
      <c r="B38885" s="8" t="str">
        <f>HYPERLINK("https://twitter.com/AndiIrwandi19","@AndiIrwandi19")</f>
        <v>@AndiIrwandi19</v>
      </c>
      <c r="C38885" s="8" t="s">
        <v>2941</v>
      </c>
      <c r="D38885" s="8">
        <v>739</v>
      </c>
      <c r="E38885" s="8">
        <v>0</v>
      </c>
      <c r="F38885" s="8">
        <v>1</v>
      </c>
    </row>
    <row r="38886" spans="1:6" ht="12.75">
      <c r="A38886" s="8">
        <v>43887.017800925925</v>
      </c>
      <c r="B38886" s="8" t="str">
        <f>HYPERLINK("https://twitter.com/kakuwomiru","@kakuwomiru")</f>
        <v>@kakuwomiru</v>
      </c>
      <c r="C38886" s="8" t="s">
        <v>13834</v>
      </c>
      <c r="D38886" s="8">
        <v>153</v>
      </c>
      <c r="E38886" s="8">
        <v>0</v>
      </c>
      <c r="F38886" s="8">
        <v>894</v>
      </c>
    </row>
    <row r="38887" spans="1:6" ht="12.75">
      <c r="A38887" s="8">
        <v>43887.017453703702</v>
      </c>
      <c r="B38887" s="8" t="str">
        <f>HYPERLINK("https://twitter.com/Jelantik5","@Jelantik5")</f>
        <v>@Jelantik5</v>
      </c>
      <c r="C38887" s="8" t="s">
        <v>14734</v>
      </c>
      <c r="D38887" s="8">
        <v>6</v>
      </c>
      <c r="E38887" s="8">
        <v>0</v>
      </c>
      <c r="F38887" s="8">
        <v>6464</v>
      </c>
    </row>
    <row r="38888" spans="1:6" ht="12.75">
      <c r="A38888" s="8">
        <v>43887.017326388886</v>
      </c>
      <c r="B38888" s="8" t="str">
        <f>HYPERLINK("https://twitter.com/MayangsariEka3","@MayangsariEka3")</f>
        <v>@MayangsariEka3</v>
      </c>
      <c r="C38888" s="8" t="s">
        <v>14983</v>
      </c>
      <c r="D38888" s="8">
        <v>0</v>
      </c>
      <c r="E38888" s="8">
        <v>0</v>
      </c>
      <c r="F38888" s="8">
        <v>13</v>
      </c>
    </row>
    <row r="38889" spans="1:6" ht="12.75">
      <c r="A38889" s="8">
        <v>43887.017268518517</v>
      </c>
      <c r="B38889" s="8" t="str">
        <f>HYPERLINK("https://twitter.com/HendraZandi","@HendraZandi")</f>
        <v>@HendraZandi</v>
      </c>
      <c r="C38889" s="8" t="s">
        <v>12373</v>
      </c>
      <c r="D38889" s="8">
        <v>37</v>
      </c>
      <c r="E38889" s="8">
        <v>0</v>
      </c>
      <c r="F38889" s="8">
        <v>845</v>
      </c>
    </row>
    <row r="38890" spans="1:6" ht="12.75">
      <c r="A38890" s="8">
        <v>43887.016423611116</v>
      </c>
      <c r="B38890" s="8" t="str">
        <f>HYPERLINK("https://twitter.com/Addin_15","@Addin_15")</f>
        <v>@Addin_15</v>
      </c>
      <c r="C38890" s="8" t="s">
        <v>13108</v>
      </c>
      <c r="D38890" s="8">
        <v>15</v>
      </c>
      <c r="E38890" s="8">
        <v>0</v>
      </c>
      <c r="F38890" s="8">
        <v>6</v>
      </c>
    </row>
    <row r="38891" spans="1:6" ht="12.75">
      <c r="A38891" s="8">
        <v>43887.015821759254</v>
      </c>
      <c r="B38891" s="8" t="str">
        <f>HYPERLINK("https://twitter.com/nshinji1","@nshinji1")</f>
        <v>@nshinji1</v>
      </c>
      <c r="C38891" s="8" t="s">
        <v>2940</v>
      </c>
      <c r="D38891" s="8">
        <v>2545</v>
      </c>
      <c r="E38891" s="8">
        <v>0</v>
      </c>
      <c r="F38891" s="8">
        <v>378</v>
      </c>
    </row>
    <row r="38892" spans="1:6" ht="12.75">
      <c r="A38892" s="8">
        <v>43887.015671296293</v>
      </c>
      <c r="B38892" s="8" t="str">
        <f>HYPERLINK("https://twitter.com/RidwanH_18","@RidwanH_18")</f>
        <v>@RidwanH_18</v>
      </c>
      <c r="C38892" s="8" t="s">
        <v>13108</v>
      </c>
      <c r="D38892" s="8">
        <v>15</v>
      </c>
      <c r="E38892" s="8">
        <v>0</v>
      </c>
      <c r="F38892" s="8">
        <v>237</v>
      </c>
    </row>
    <row r="38893" spans="1:6" ht="12.75">
      <c r="A38893" s="8">
        <v>43887.015567129631</v>
      </c>
      <c r="B38893" s="8" t="str">
        <f>HYPERLINK("https://twitter.com/kakuwomiru","@kakuwomiru")</f>
        <v>@kakuwomiru</v>
      </c>
      <c r="C38893" s="8" t="s">
        <v>8484</v>
      </c>
      <c r="D38893" s="8">
        <v>916</v>
      </c>
      <c r="E38893" s="8">
        <v>0</v>
      </c>
      <c r="F38893" s="8">
        <v>894</v>
      </c>
    </row>
    <row r="38894" spans="1:6" ht="12.75">
      <c r="A38894" s="8">
        <v>43887.01489583333</v>
      </c>
      <c r="B38894" s="8" t="str">
        <f>HYPERLINK("https://twitter.com/agngpriambodo","@agngpriambodo")</f>
        <v>@agngpriambodo</v>
      </c>
      <c r="C38894" s="8" t="s">
        <v>2941</v>
      </c>
      <c r="D38894" s="8">
        <v>739</v>
      </c>
      <c r="E38894" s="8">
        <v>0</v>
      </c>
      <c r="F38894" s="8">
        <v>443</v>
      </c>
    </row>
    <row r="38895" spans="1:6" ht="12.75">
      <c r="A38895" s="8">
        <v>43887.014675925922</v>
      </c>
      <c r="B38895" s="8" t="str">
        <f>HYPERLINK("https://twitter.com/ggaretha","@ggaretha")</f>
        <v>@ggaretha</v>
      </c>
      <c r="C38895" s="8" t="s">
        <v>2941</v>
      </c>
      <c r="D38895" s="8">
        <v>739</v>
      </c>
      <c r="E38895" s="8">
        <v>0</v>
      </c>
      <c r="F38895" s="8">
        <v>533</v>
      </c>
    </row>
    <row r="38896" spans="1:6" ht="12.75">
      <c r="A38896" s="8">
        <v>43887.014675925922</v>
      </c>
      <c r="B38896" s="8" t="str">
        <f>HYPERLINK("https://twitter.com/kabarpolitik","@kabarpolitik")</f>
        <v>@kabarpolitik</v>
      </c>
      <c r="C38896" s="8" t="s">
        <v>14984</v>
      </c>
      <c r="D38896" s="8">
        <v>0</v>
      </c>
      <c r="E38896" s="8">
        <v>0</v>
      </c>
      <c r="F38896" s="8">
        <v>16787</v>
      </c>
    </row>
    <row r="38897" spans="1:6" ht="12.75">
      <c r="A38897" s="8">
        <v>43887.014374999999</v>
      </c>
      <c r="B38897" s="8" t="str">
        <f>HYPERLINK("https://twitter.com/HRNOLGA24","@HRNOLGA24")</f>
        <v>@HRNOLGA24</v>
      </c>
      <c r="C38897" s="8" t="s">
        <v>8484</v>
      </c>
      <c r="D38897" s="8">
        <v>916</v>
      </c>
      <c r="E38897" s="8">
        <v>0</v>
      </c>
      <c r="F38897" s="8">
        <v>254</v>
      </c>
    </row>
    <row r="38898" spans="1:6" ht="12.75">
      <c r="A38898" s="8">
        <v>43887.014293981483</v>
      </c>
      <c r="B38898" s="8" t="str">
        <f>HYPERLINK("https://twitter.com/sayahanyazakie","@sayahanyazakie")</f>
        <v>@sayahanyazakie</v>
      </c>
      <c r="C38898" s="8" t="s">
        <v>13108</v>
      </c>
      <c r="D38898" s="8">
        <v>15</v>
      </c>
      <c r="E38898" s="8">
        <v>0</v>
      </c>
      <c r="F38898" s="8">
        <v>453</v>
      </c>
    </row>
    <row r="38899" spans="1:6" ht="12.75">
      <c r="A38899" s="8">
        <v>43887.01427083333</v>
      </c>
      <c r="B38899" s="8" t="str">
        <f>HYPERLINK("https://twitter.com/sigit_bms","@sigit_bms")</f>
        <v>@sigit_bms</v>
      </c>
      <c r="C38899" s="8" t="s">
        <v>13365</v>
      </c>
      <c r="D38899" s="8">
        <v>298</v>
      </c>
      <c r="E38899" s="8">
        <v>0</v>
      </c>
      <c r="F38899" s="8">
        <v>560</v>
      </c>
    </row>
    <row r="38900" spans="1:6" ht="12.75">
      <c r="A38900" s="8">
        <v>43887.014085648145</v>
      </c>
      <c r="B38900" s="8" t="str">
        <f>HYPERLINK("https://twitter.com/gianko_81","@gianko_81")</f>
        <v>@gianko_81</v>
      </c>
      <c r="C38900" s="8" t="s">
        <v>14543</v>
      </c>
      <c r="D38900" s="8">
        <v>10</v>
      </c>
      <c r="E38900" s="8">
        <v>0</v>
      </c>
      <c r="F38900" s="8">
        <v>174</v>
      </c>
    </row>
    <row r="38901" spans="1:6" ht="12.75">
      <c r="A38901" s="8">
        <v>43887.01394675926</v>
      </c>
      <c r="B38901" s="8" t="str">
        <f>HYPERLINK("https://twitter.com/Thariq_aziz0386","@Thariq_aziz0386")</f>
        <v>@Thariq_aziz0386</v>
      </c>
      <c r="C38901" s="8" t="s">
        <v>13365</v>
      </c>
      <c r="D38901" s="8">
        <v>298</v>
      </c>
      <c r="E38901" s="8">
        <v>0</v>
      </c>
      <c r="F38901" s="8">
        <v>30</v>
      </c>
    </row>
    <row r="38902" spans="1:6" ht="12.75">
      <c r="A38902" s="8">
        <v>43887.006365740745</v>
      </c>
      <c r="B38902" s="8" t="str">
        <f>HYPERLINK("https://twitter.com/SylviaWorung","@SylviaWorung")</f>
        <v>@SylviaWorung</v>
      </c>
      <c r="C38902" s="8" t="s">
        <v>14734</v>
      </c>
      <c r="D38902" s="8">
        <v>1</v>
      </c>
      <c r="E38902" s="8">
        <v>0</v>
      </c>
      <c r="F38902" s="8">
        <v>2470</v>
      </c>
    </row>
    <row r="38903" spans="1:6" ht="12.75">
      <c r="A38903" s="8">
        <v>43887.006284722222</v>
      </c>
      <c r="B38903" s="8" t="str">
        <f>HYPERLINK("https://twitter.com/HendrikSugara2","@HendrikSugara2")</f>
        <v>@HendrikSugara2</v>
      </c>
      <c r="C38903" s="8" t="s">
        <v>14985</v>
      </c>
      <c r="D38903" s="8">
        <v>0</v>
      </c>
      <c r="E38903" s="8">
        <v>0</v>
      </c>
      <c r="F38903" s="8">
        <v>79</v>
      </c>
    </row>
    <row r="38904" spans="1:6" ht="12.75">
      <c r="A38904" s="8">
        <v>43887.006192129629</v>
      </c>
      <c r="B38904" s="8" t="str">
        <f>HYPERLINK("https://twitter.com/Inlander21","@Inlander21")</f>
        <v>@Inlander21</v>
      </c>
      <c r="C38904" s="8" t="s">
        <v>13365</v>
      </c>
      <c r="D38904" s="8">
        <v>263</v>
      </c>
      <c r="E38904" s="8">
        <v>0</v>
      </c>
      <c r="F38904" s="8">
        <v>684</v>
      </c>
    </row>
    <row r="38905" spans="1:6" ht="12.75">
      <c r="A38905" s="8">
        <v>43887.006076388891</v>
      </c>
      <c r="B38905" s="8" t="str">
        <f>HYPERLINK("https://twitter.com/AremaNita__","@AremaNita__")</f>
        <v>@AremaNita__</v>
      </c>
      <c r="C38905" s="8" t="s">
        <v>14986</v>
      </c>
      <c r="D38905" s="8">
        <v>1</v>
      </c>
      <c r="E38905" s="8">
        <v>2</v>
      </c>
      <c r="F38905" s="8">
        <v>8276</v>
      </c>
    </row>
    <row r="38906" spans="1:6" ht="12.75">
      <c r="A38906" s="8">
        <v>43887.006006944444</v>
      </c>
      <c r="B38906" s="8" t="str">
        <f>HYPERLINK("https://twitter.com/emakkuat","@emakkuat")</f>
        <v>@emakkuat</v>
      </c>
      <c r="C38906" s="8" t="s">
        <v>13365</v>
      </c>
      <c r="D38906" s="8">
        <v>263</v>
      </c>
      <c r="E38906" s="8">
        <v>0</v>
      </c>
      <c r="F38906" s="8">
        <v>22</v>
      </c>
    </row>
    <row r="38907" spans="1:6" ht="12.75">
      <c r="A38907" s="8">
        <v>43887.004976851851</v>
      </c>
      <c r="B38907" s="8" t="str">
        <f>HYPERLINK("https://twitter.com/rinoasquall_","@rinoasquall_")</f>
        <v>@rinoasquall_</v>
      </c>
      <c r="C38907" s="8" t="s">
        <v>2941</v>
      </c>
      <c r="D38907" s="8">
        <v>713</v>
      </c>
      <c r="E38907" s="8">
        <v>0</v>
      </c>
      <c r="F38907" s="8">
        <v>531</v>
      </c>
    </row>
    <row r="38908" spans="1:6" ht="12.75">
      <c r="A38908" s="8">
        <v>43887.004652777774</v>
      </c>
      <c r="B38908" s="8" t="str">
        <f>HYPERLINK("https://twitter.com/degdegree","@degdegree")</f>
        <v>@degdegree</v>
      </c>
      <c r="C38908" s="8" t="s">
        <v>2940</v>
      </c>
      <c r="D38908" s="8">
        <v>2538</v>
      </c>
      <c r="E38908" s="8">
        <v>0</v>
      </c>
      <c r="F38908" s="8">
        <v>869</v>
      </c>
    </row>
    <row r="38909" spans="1:6" ht="12.75">
      <c r="A38909" s="8">
        <v>43887.004525462966</v>
      </c>
      <c r="B38909" s="8" t="str">
        <f>HYPERLINK("https://twitter.com/gidry3","@gidry3")</f>
        <v>@gidry3</v>
      </c>
      <c r="C38909" s="8" t="s">
        <v>14987</v>
      </c>
      <c r="D38909" s="8">
        <v>0</v>
      </c>
      <c r="E38909" s="8">
        <v>0</v>
      </c>
      <c r="F38909" s="8">
        <v>33</v>
      </c>
    </row>
    <row r="38910" spans="1:6" ht="12.75">
      <c r="A38910" s="8">
        <v>43887.004351851851</v>
      </c>
      <c r="B38910" s="8" t="str">
        <f>HYPERLINK("https://twitter.com/Juseok6","@Juseok6")</f>
        <v>@Juseok6</v>
      </c>
      <c r="C38910" s="8" t="s">
        <v>2941</v>
      </c>
      <c r="D38910" s="8">
        <v>713</v>
      </c>
      <c r="E38910" s="8">
        <v>0</v>
      </c>
      <c r="F38910" s="8">
        <v>23</v>
      </c>
    </row>
    <row r="38911" spans="1:6" ht="12.75">
      <c r="A38911" s="8">
        <v>43887.004224537042</v>
      </c>
      <c r="B38911" s="8" t="str">
        <f>HYPERLINK("https://twitter.com/halotood","@halotood")</f>
        <v>@halotood</v>
      </c>
      <c r="C38911" s="8" t="s">
        <v>14988</v>
      </c>
      <c r="D38911" s="8">
        <v>0</v>
      </c>
      <c r="E38911" s="8">
        <v>0</v>
      </c>
      <c r="F38911" s="8">
        <v>264</v>
      </c>
    </row>
    <row r="38912" spans="1:6" ht="12.75">
      <c r="A38912" s="8">
        <v>43887.004166666666</v>
      </c>
      <c r="B38912" s="8" t="str">
        <f>HYPERLINK("https://twitter.com/si_sam","@si_sam")</f>
        <v>@si_sam</v>
      </c>
      <c r="C38912" s="8" t="s">
        <v>13365</v>
      </c>
      <c r="D38912" s="8">
        <v>263</v>
      </c>
      <c r="E38912" s="8">
        <v>0</v>
      </c>
      <c r="F38912" s="8">
        <v>847</v>
      </c>
    </row>
    <row r="38913" spans="1:6" ht="12.75">
      <c r="A38913" s="8">
        <v>43887.00403935185</v>
      </c>
      <c r="B38913" s="8" t="str">
        <f>HYPERLINK("https://twitter.com/echowibowo","@echowibowo")</f>
        <v>@echowibowo</v>
      </c>
      <c r="C38913" s="8" t="s">
        <v>11183</v>
      </c>
      <c r="D38913" s="8">
        <v>256</v>
      </c>
      <c r="E38913" s="8">
        <v>0</v>
      </c>
      <c r="F38913" s="8">
        <v>183</v>
      </c>
    </row>
    <row r="38914" spans="1:6" ht="12.75">
      <c r="A38914" s="8">
        <v>43887.003437499996</v>
      </c>
      <c r="B38914" s="8" t="str">
        <f>HYPERLINK("https://twitter.com/One2020Al","@One2020Al")</f>
        <v>@One2020Al</v>
      </c>
      <c r="C38914" s="8" t="s">
        <v>11964</v>
      </c>
      <c r="D38914" s="8">
        <v>492</v>
      </c>
      <c r="E38914" s="8">
        <v>0</v>
      </c>
      <c r="F38914" s="8">
        <v>2</v>
      </c>
    </row>
    <row r="38915" spans="1:6" ht="12.75">
      <c r="A38915" s="8">
        <v>43887.003032407403</v>
      </c>
      <c r="B38915" s="8" t="str">
        <f>HYPERLINK("https://twitter.com/arifbudd04","@arifbudd04")</f>
        <v>@arifbudd04</v>
      </c>
      <c r="C38915" s="8" t="s">
        <v>2941</v>
      </c>
      <c r="D38915" s="8">
        <v>713</v>
      </c>
      <c r="E38915" s="8">
        <v>0</v>
      </c>
      <c r="F38915" s="8">
        <v>115</v>
      </c>
    </row>
    <row r="38916" spans="1:6" ht="12.75">
      <c r="A38916" s="8">
        <v>43887.002847222218</v>
      </c>
      <c r="B38916" s="8" t="str">
        <f>HYPERLINK("https://twitter.com/BaruPenganten","@BaruPenganten")</f>
        <v>@BaruPenganten</v>
      </c>
      <c r="C38916" s="8" t="s">
        <v>2941</v>
      </c>
      <c r="D38916" s="8">
        <v>713</v>
      </c>
      <c r="E38916" s="8">
        <v>0</v>
      </c>
      <c r="F38916" s="8">
        <v>6</v>
      </c>
    </row>
    <row r="38917" spans="1:6" ht="12.75">
      <c r="A38917" s="8">
        <v>43887.00209490741</v>
      </c>
      <c r="B38917" s="8" t="str">
        <f>HYPERLINK("https://twitter.com/febyalianaa","@febyalianaa")</f>
        <v>@febyalianaa</v>
      </c>
      <c r="C38917" s="8" t="s">
        <v>2941</v>
      </c>
      <c r="D38917" s="8">
        <v>713</v>
      </c>
      <c r="E38917" s="8">
        <v>0</v>
      </c>
      <c r="F38917" s="8">
        <v>475</v>
      </c>
    </row>
    <row r="38918" spans="1:6" ht="12.75">
      <c r="A38918" s="8">
        <v>43887.00204861111</v>
      </c>
      <c r="B38918" s="8" t="str">
        <f>HYPERLINK("https://twitter.com/sudirwan_iwan","@sudirwan_iwan")</f>
        <v>@sudirwan_iwan</v>
      </c>
      <c r="C38918" s="8" t="s">
        <v>13365</v>
      </c>
      <c r="D38918" s="8">
        <v>263</v>
      </c>
      <c r="E38918" s="8">
        <v>0</v>
      </c>
      <c r="F38918" s="8">
        <v>21</v>
      </c>
    </row>
    <row r="38919" spans="1:6" ht="12.75">
      <c r="A38919" s="8">
        <v>43887.001921296294</v>
      </c>
      <c r="B38919" s="8" t="str">
        <f>HYPERLINK("https://twitter.com/ZheeOmega","@ZheeOmega")</f>
        <v>@ZheeOmega</v>
      </c>
      <c r="C38919" s="8" t="s">
        <v>11183</v>
      </c>
      <c r="D38919" s="8">
        <v>256</v>
      </c>
      <c r="E38919" s="8">
        <v>0</v>
      </c>
      <c r="F38919" s="8">
        <v>17757</v>
      </c>
    </row>
    <row r="38920" spans="1:6" ht="12.75">
      <c r="A38920" s="8">
        <v>43887.001643518517</v>
      </c>
      <c r="B38920" s="8" t="str">
        <f>HYPERLINK("https://twitter.com/DhaniaIman","@DhaniaIman")</f>
        <v>@DhaniaIman</v>
      </c>
      <c r="C38920" s="8" t="s">
        <v>14975</v>
      </c>
      <c r="D38920" s="8">
        <v>2</v>
      </c>
      <c r="E38920" s="8">
        <v>0</v>
      </c>
      <c r="F38920" s="8">
        <v>907</v>
      </c>
    </row>
    <row r="38921" spans="1:6" ht="12.75">
      <c r="A38921" s="8">
        <v>43887.001504629632</v>
      </c>
      <c r="B38921" s="8" t="str">
        <f>HYPERLINK("https://twitter.com/CabutinY","@CabutinY")</f>
        <v>@CabutinY</v>
      </c>
      <c r="C38921" s="8" t="s">
        <v>14989</v>
      </c>
      <c r="D38921" s="8">
        <v>0</v>
      </c>
      <c r="E38921" s="8">
        <v>0</v>
      </c>
      <c r="F38921" s="8">
        <v>0</v>
      </c>
    </row>
    <row r="38922" spans="1:6" ht="12.75">
      <c r="A38922" s="8">
        <v>43887.001307870371</v>
      </c>
      <c r="B38922" s="8" t="str">
        <f>HYPERLINK("https://twitter.com/chikeyxx","@chikeyxx")</f>
        <v>@chikeyxx</v>
      </c>
      <c r="C38922" s="8" t="s">
        <v>14859</v>
      </c>
      <c r="D38922" s="8">
        <v>63</v>
      </c>
      <c r="E38922" s="8">
        <v>0</v>
      </c>
      <c r="F38922" s="8">
        <v>503</v>
      </c>
    </row>
    <row r="38923" spans="1:6" ht="12.75">
      <c r="A38923" s="8">
        <v>43887.000879629632</v>
      </c>
      <c r="B38923" s="8" t="str">
        <f>HYPERLINK("https://twitter.com/GaliehDewi","@GaliehDewi")</f>
        <v>@GaliehDewi</v>
      </c>
      <c r="C38923" s="8" t="s">
        <v>14990</v>
      </c>
      <c r="D38923" s="8">
        <v>5</v>
      </c>
      <c r="E38923" s="8">
        <v>0</v>
      </c>
      <c r="F38923" s="8">
        <v>307</v>
      </c>
    </row>
    <row r="38924" spans="1:6" ht="12.75">
      <c r="A38924" s="8">
        <v>43887.000810185185</v>
      </c>
      <c r="B38924" s="8" t="str">
        <f>HYPERLINK("https://twitter.com/areumonxtob","@areumonxtob")</f>
        <v>@areumonxtob</v>
      </c>
      <c r="C38924" s="8" t="s">
        <v>14831</v>
      </c>
      <c r="D38924" s="8">
        <v>53</v>
      </c>
      <c r="E38924" s="8">
        <v>0</v>
      </c>
      <c r="F38924" s="8">
        <v>907</v>
      </c>
    </row>
    <row r="38925" spans="1:6" ht="12.75">
      <c r="A38925" s="8">
        <v>43887.000474537039</v>
      </c>
      <c r="B38925" s="8" t="str">
        <f>HYPERLINK("https://twitter.com/janisB_SG","@janisB_SG")</f>
        <v>@janisB_SG</v>
      </c>
      <c r="C38925" s="8" t="s">
        <v>14991</v>
      </c>
      <c r="D38925" s="8">
        <v>0</v>
      </c>
      <c r="E38925" s="8">
        <v>0</v>
      </c>
      <c r="F38925" s="8">
        <v>112</v>
      </c>
    </row>
    <row r="38926" spans="1:6" ht="12.75">
      <c r="A38926" s="8">
        <v>43887.000162037039</v>
      </c>
      <c r="B38926" s="8" t="str">
        <f>HYPERLINK("https://twitter.com/AtmanagaraZ","@AtmanagaraZ")</f>
        <v>@AtmanagaraZ</v>
      </c>
      <c r="C38926" s="8" t="s">
        <v>13365</v>
      </c>
      <c r="D38926" s="8">
        <v>263</v>
      </c>
      <c r="E38926" s="8">
        <v>0</v>
      </c>
      <c r="F38926" s="8">
        <v>223</v>
      </c>
    </row>
    <row r="38927" spans="1:6" ht="12.75">
      <c r="A38927" s="8">
        <v>43887.000057870369</v>
      </c>
      <c r="B38927" s="8" t="str">
        <f>HYPERLINK("https://twitter.com/OpiiHippo","@OpiiHippo")</f>
        <v>@OpiiHippo</v>
      </c>
      <c r="C38927" s="8" t="s">
        <v>2941</v>
      </c>
      <c r="D38927" s="8">
        <v>713</v>
      </c>
      <c r="E38927" s="8">
        <v>0</v>
      </c>
      <c r="F38927" s="8">
        <v>813</v>
      </c>
    </row>
    <row r="38928" spans="1:6" ht="12.75">
      <c r="A38928" s="8">
        <v>43887.000057870369</v>
      </c>
      <c r="B38928" s="8" t="str">
        <f>HYPERLINK("https://twitter.com/korantempo","@korantempo")</f>
        <v>@korantempo</v>
      </c>
      <c r="C38928" s="8" t="s">
        <v>14992</v>
      </c>
      <c r="D38928" s="8">
        <v>0</v>
      </c>
      <c r="E38928" s="8">
        <v>0</v>
      </c>
      <c r="F38928" s="8">
        <v>1748425</v>
      </c>
    </row>
    <row r="38929" spans="1:6" ht="12.75">
      <c r="A38929" s="8">
        <v>43886.999895833331</v>
      </c>
      <c r="B38929" s="8" t="str">
        <f>HYPERLINK("https://twitter.com/ofujicyan","@ofujicyan")</f>
        <v>@ofujicyan</v>
      </c>
      <c r="C38929" s="8" t="s">
        <v>8484</v>
      </c>
      <c r="D38929" s="8">
        <v>912</v>
      </c>
      <c r="E38929" s="8">
        <v>0</v>
      </c>
      <c r="F38929" s="8">
        <v>918</v>
      </c>
    </row>
    <row r="38930" spans="1:6" ht="12.75">
      <c r="A38930" s="8">
        <v>43886.999861111108</v>
      </c>
      <c r="B38930" s="8" t="str">
        <f>HYPERLINK("https://twitter.com/MasTrimo9","@MasTrimo9")</f>
        <v>@MasTrimo9</v>
      </c>
      <c r="C38930" s="8" t="s">
        <v>11964</v>
      </c>
      <c r="D38930" s="8">
        <v>492</v>
      </c>
      <c r="E38930" s="8">
        <v>0</v>
      </c>
      <c r="F38930" s="8">
        <v>309</v>
      </c>
    </row>
    <row r="38931" spans="1:6" ht="12.75">
      <c r="A38931" s="8">
        <v>43886.999606481477</v>
      </c>
      <c r="B38931" s="8" t="str">
        <f>HYPERLINK("https://twitter.com/madimaks17","@madimaks17")</f>
        <v>@madimaks17</v>
      </c>
      <c r="C38931" s="8" t="s">
        <v>13365</v>
      </c>
      <c r="D38931" s="8">
        <v>263</v>
      </c>
      <c r="E38931" s="8">
        <v>0</v>
      </c>
      <c r="F38931" s="8">
        <v>256</v>
      </c>
    </row>
    <row r="38932" spans="1:6" ht="12.75">
      <c r="A38932" s="8">
        <v>43886.999421296292</v>
      </c>
      <c r="B38932" s="8" t="str">
        <f>HYPERLINK("https://twitter.com/tigapercent","@tigapercent")</f>
        <v>@tigapercent</v>
      </c>
      <c r="C38932" s="8" t="s">
        <v>2941</v>
      </c>
      <c r="D38932" s="8">
        <v>713</v>
      </c>
      <c r="E38932" s="8">
        <v>0</v>
      </c>
      <c r="F38932" s="8">
        <v>33</v>
      </c>
    </row>
    <row r="38933" spans="1:6" ht="12.75">
      <c r="A38933" s="8">
        <v>43886.999328703707</v>
      </c>
      <c r="B38933" s="8" t="str">
        <f>HYPERLINK("https://twitter.com/voaindonesia","@voaindonesia")</f>
        <v>@voaindonesia</v>
      </c>
      <c r="C38933" s="8" t="s">
        <v>14993</v>
      </c>
      <c r="D38933" s="8">
        <v>2</v>
      </c>
      <c r="E38933" s="8">
        <v>4</v>
      </c>
      <c r="F38933" s="8">
        <v>307771</v>
      </c>
    </row>
    <row r="38934" spans="1:6" ht="12.75">
      <c r="A38934" s="8">
        <v>43886.998483796298</v>
      </c>
      <c r="B38934" s="8" t="str">
        <f>HYPERLINK("https://twitter.com/haidir_setiawan","@haidir_setiawan")</f>
        <v>@haidir_setiawan</v>
      </c>
      <c r="C38934" s="8" t="s">
        <v>11964</v>
      </c>
      <c r="D38934" s="8">
        <v>492</v>
      </c>
      <c r="E38934" s="8">
        <v>0</v>
      </c>
      <c r="F38934" s="8">
        <v>2296</v>
      </c>
    </row>
    <row r="38935" spans="1:6" ht="12.75">
      <c r="A38935" s="8">
        <v>43886.998402777783</v>
      </c>
      <c r="B38935" s="8" t="str">
        <f>HYPERLINK("https://twitter.com/asyahafidha","@asyahafidha")</f>
        <v>@asyahafidha</v>
      </c>
      <c r="C38935" s="8" t="s">
        <v>2941</v>
      </c>
      <c r="D38935" s="8">
        <v>713</v>
      </c>
      <c r="E38935" s="8">
        <v>0</v>
      </c>
      <c r="F38935" s="8">
        <v>63</v>
      </c>
    </row>
    <row r="38936" spans="1:6" ht="12.75">
      <c r="A38936" s="8">
        <v>43886.997361111113</v>
      </c>
      <c r="B38936" s="8" t="str">
        <f>HYPERLINK("https://twitter.com/haqi11official","@haqi11official")</f>
        <v>@haqi11official</v>
      </c>
      <c r="C38936" s="8" t="s">
        <v>13365</v>
      </c>
      <c r="D38936" s="8">
        <v>263</v>
      </c>
      <c r="E38936" s="8">
        <v>0</v>
      </c>
      <c r="F38936" s="8">
        <v>508</v>
      </c>
    </row>
    <row r="38937" spans="1:6" ht="12.75">
      <c r="A38937" s="8">
        <v>43886.99726851852</v>
      </c>
      <c r="B38937" s="8" t="str">
        <f>HYPERLINK("https://twitter.com/Naruzaky","@Naruzaky")</f>
        <v>@Naruzaky</v>
      </c>
      <c r="C38937" s="8" t="s">
        <v>13365</v>
      </c>
      <c r="D38937" s="8">
        <v>263</v>
      </c>
      <c r="E38937" s="8">
        <v>0</v>
      </c>
      <c r="F38937" s="8">
        <v>415</v>
      </c>
    </row>
    <row r="38938" spans="1:6" ht="12.75">
      <c r="A38938" s="8">
        <v>43886.997106481482</v>
      </c>
      <c r="B38938" s="8" t="str">
        <f>HYPERLINK("https://twitter.com/ANS19842","@ANS19842")</f>
        <v>@ANS19842</v>
      </c>
      <c r="C38938" s="8" t="s">
        <v>13365</v>
      </c>
      <c r="D38938" s="8">
        <v>263</v>
      </c>
      <c r="E38938" s="8">
        <v>0</v>
      </c>
      <c r="F38938" s="8">
        <v>21</v>
      </c>
    </row>
    <row r="38939" spans="1:6" ht="12.75">
      <c r="A38939" s="8">
        <v>43886.996817129635</v>
      </c>
      <c r="B38939" s="8" t="str">
        <f>HYPERLINK("https://twitter.com/ojeckerz","@ojeckerz")</f>
        <v>@ojeckerz</v>
      </c>
      <c r="C38939" s="8" t="s">
        <v>11183</v>
      </c>
      <c r="D38939" s="8">
        <v>256</v>
      </c>
      <c r="E38939" s="8">
        <v>0</v>
      </c>
      <c r="F38939" s="8">
        <v>247</v>
      </c>
    </row>
    <row r="38940" spans="1:6" ht="12.75">
      <c r="A38940" s="8">
        <v>43886.996400462958</v>
      </c>
      <c r="B38940" s="8" t="str">
        <f>HYPERLINK("https://twitter.com/pemantau69","@pemantau69")</f>
        <v>@pemantau69</v>
      </c>
      <c r="C38940" s="8" t="s">
        <v>13365</v>
      </c>
      <c r="D38940" s="8">
        <v>263</v>
      </c>
      <c r="E38940" s="8">
        <v>0</v>
      </c>
      <c r="F38940" s="8">
        <v>93</v>
      </c>
    </row>
    <row r="38941" spans="1:6" ht="12.75">
      <c r="A38941" s="8">
        <v>43886.996307870373</v>
      </c>
      <c r="B38941" s="8" t="str">
        <f>HYPERLINK("https://twitter.com/Hidup_Toleransi","@Hidup_Toleransi")</f>
        <v>@Hidup_Toleransi</v>
      </c>
      <c r="C38941" s="8" t="s">
        <v>11183</v>
      </c>
      <c r="D38941" s="8">
        <v>256</v>
      </c>
      <c r="E38941" s="8">
        <v>0</v>
      </c>
      <c r="F38941" s="8">
        <v>26</v>
      </c>
    </row>
    <row r="38942" spans="1:6" ht="12.75">
      <c r="A38942" s="8">
        <v>43886.996307870373</v>
      </c>
      <c r="B38942" s="8" t="str">
        <f>HYPERLINK("https://twitter.com/FajarRizqy8","@FajarRizqy8")</f>
        <v>@FajarRizqy8</v>
      </c>
      <c r="C38942" s="8" t="s">
        <v>2941</v>
      </c>
      <c r="D38942" s="8">
        <v>713</v>
      </c>
      <c r="E38942" s="8">
        <v>0</v>
      </c>
      <c r="F38942" s="8">
        <v>29</v>
      </c>
    </row>
    <row r="38943" spans="1:6" ht="12.75">
      <c r="A38943" s="8">
        <v>43886.996018518519</v>
      </c>
      <c r="B38943" s="8" t="str">
        <f>HYPERLINK("https://twitter.com/irfan_musarin","@irfan_musarin")</f>
        <v>@irfan_musarin</v>
      </c>
      <c r="C38943" s="8" t="s">
        <v>14994</v>
      </c>
      <c r="D38943" s="8">
        <v>2</v>
      </c>
      <c r="E38943" s="8">
        <v>0</v>
      </c>
      <c r="F38943" s="8">
        <v>559</v>
      </c>
    </row>
    <row r="38944" spans="1:6" ht="12.75">
      <c r="A38944" s="8">
        <v>43886.995972222227</v>
      </c>
      <c r="B38944" s="8" t="str">
        <f>HYPERLINK("https://twitter.com/Anti_Kacung","@Anti_Kacung")</f>
        <v>@Anti_Kacung</v>
      </c>
      <c r="C38944" s="8" t="s">
        <v>13365</v>
      </c>
      <c r="D38944" s="8">
        <v>263</v>
      </c>
      <c r="E38944" s="8">
        <v>0</v>
      </c>
      <c r="F38944" s="8">
        <v>260</v>
      </c>
    </row>
    <row r="38945" spans="1:6" ht="12.75">
      <c r="A38945" s="8">
        <v>43886.995601851857</v>
      </c>
      <c r="B38945" s="8" t="str">
        <f>HYPERLINK("https://twitter.com/kabarpol","@kabarpol")</f>
        <v>@kabarpol</v>
      </c>
      <c r="C38945" s="8" t="s">
        <v>14984</v>
      </c>
      <c r="D38945" s="8">
        <v>0</v>
      </c>
      <c r="E38945" s="8">
        <v>0</v>
      </c>
      <c r="F38945" s="8">
        <v>52</v>
      </c>
    </row>
    <row r="38946" spans="1:6" ht="12.75">
      <c r="A38946" s="8">
        <v>43886.995555555557</v>
      </c>
      <c r="B38946" s="8" t="str">
        <f>HYPERLINK("https://twitter.com/kabarpolitik","@kabarpolitik")</f>
        <v>@kabarpolitik</v>
      </c>
      <c r="C38946" s="8" t="s">
        <v>14984</v>
      </c>
      <c r="D38946" s="8">
        <v>0</v>
      </c>
      <c r="E38946" s="8">
        <v>0</v>
      </c>
      <c r="F38946" s="8">
        <v>16787</v>
      </c>
    </row>
    <row r="38947" spans="1:6" ht="12.75">
      <c r="A38947" s="8">
        <v>43886.995393518519</v>
      </c>
      <c r="B38947" s="8" t="str">
        <f>HYPERLINK("https://twitter.com/ANS19842","@ANS19842")</f>
        <v>@ANS19842</v>
      </c>
      <c r="C38947" s="8" t="s">
        <v>11964</v>
      </c>
      <c r="D38947" s="8">
        <v>492</v>
      </c>
      <c r="E38947" s="8">
        <v>0</v>
      </c>
      <c r="F38947" s="8">
        <v>21</v>
      </c>
    </row>
    <row r="38948" spans="1:6" ht="12.75">
      <c r="A38948" s="8">
        <v>43886.99527777778</v>
      </c>
      <c r="B38948" s="8" t="str">
        <f>HYPERLINK("https://twitter.com/Donna_Alifia","@Donna_Alifia")</f>
        <v>@Donna_Alifia</v>
      </c>
      <c r="C38948" s="8" t="s">
        <v>14995</v>
      </c>
      <c r="D38948" s="8">
        <v>0</v>
      </c>
      <c r="E38948" s="8">
        <v>0</v>
      </c>
      <c r="F38948" s="8">
        <v>293</v>
      </c>
    </row>
    <row r="38949" spans="1:6" ht="12.75">
      <c r="A38949" s="8">
        <v>43886.995196759264</v>
      </c>
      <c r="B38949" s="8" t="str">
        <f>HYPERLINK("https://twitter.com/teapocii","@teapocii")</f>
        <v>@teapocii</v>
      </c>
      <c r="C38949" s="8" t="s">
        <v>14430</v>
      </c>
      <c r="D38949" s="8">
        <v>89</v>
      </c>
      <c r="E38949" s="8">
        <v>0</v>
      </c>
      <c r="F38949" s="8">
        <v>493</v>
      </c>
    </row>
    <row r="38950" spans="1:6" ht="12.75">
      <c r="A38950" s="8">
        <v>43886.994143518517</v>
      </c>
      <c r="B38950" s="8" t="str">
        <f>HYPERLINK("https://twitter.com/JoniIrian","@JoniIrian")</f>
        <v>@JoniIrian</v>
      </c>
      <c r="C38950" s="8" t="s">
        <v>13365</v>
      </c>
      <c r="D38950" s="8">
        <v>263</v>
      </c>
      <c r="E38950" s="8">
        <v>0</v>
      </c>
      <c r="F38950" s="8">
        <v>309</v>
      </c>
    </row>
    <row r="38951" spans="1:6" ht="12.75">
      <c r="A38951" s="8">
        <v>43886.994097222225</v>
      </c>
      <c r="B38951" s="8" t="str">
        <f>HYPERLINK("https://twitter.com/faisallmaulana3","@faisallmaulana3")</f>
        <v>@faisallmaulana3</v>
      </c>
      <c r="C38951" s="8" t="s">
        <v>2941</v>
      </c>
      <c r="D38951" s="8">
        <v>713</v>
      </c>
      <c r="E38951" s="8">
        <v>0</v>
      </c>
      <c r="F38951" s="8">
        <v>11</v>
      </c>
    </row>
    <row r="38952" spans="1:6" ht="12.75">
      <c r="A38952" s="8">
        <v>43886.993877314817</v>
      </c>
      <c r="B38952" s="8" t="str">
        <f>HYPERLINK("https://twitter.com/Macilsky","@Macilsky")</f>
        <v>@Macilsky</v>
      </c>
      <c r="C38952" s="8" t="s">
        <v>2941</v>
      </c>
      <c r="D38952" s="8">
        <v>713</v>
      </c>
      <c r="E38952" s="8">
        <v>0</v>
      </c>
      <c r="F38952" s="8">
        <v>37</v>
      </c>
    </row>
    <row r="38953" spans="1:6" ht="12.75">
      <c r="A38953" s="8">
        <v>43886.993495370371</v>
      </c>
      <c r="B38953" s="8" t="str">
        <f>HYPERLINK("https://twitter.com/TantyDunn","@TantyDunn")</f>
        <v>@TantyDunn</v>
      </c>
      <c r="C38953" s="8" t="s">
        <v>2941</v>
      </c>
      <c r="D38953" s="8">
        <v>713</v>
      </c>
      <c r="E38953" s="8">
        <v>0</v>
      </c>
      <c r="F38953" s="8">
        <v>1475</v>
      </c>
    </row>
    <row r="38954" spans="1:6" ht="12.75">
      <c r="A38954" s="8">
        <v>43886.993287037039</v>
      </c>
      <c r="B38954" s="8" t="str">
        <f>HYPERLINK("https://twitter.com/NadeshikoAyur_2","@NadeshikoAyur_2")</f>
        <v>@NadeshikoAyur_2</v>
      </c>
      <c r="C38954" s="8" t="s">
        <v>2940</v>
      </c>
      <c r="D38954" s="8">
        <v>2538</v>
      </c>
      <c r="E38954" s="8">
        <v>0</v>
      </c>
      <c r="F38954" s="8">
        <v>270</v>
      </c>
    </row>
    <row r="38955" spans="1:6" ht="12.75">
      <c r="A38955" s="8">
        <v>43886.993263888886</v>
      </c>
      <c r="B38955" s="8" t="str">
        <f>HYPERLINK("https://twitter.com/RikaFRZK2","@RikaFRZK2")</f>
        <v>@RikaFRZK2</v>
      </c>
      <c r="C38955" s="8" t="s">
        <v>14831</v>
      </c>
      <c r="D38955" s="8">
        <v>53</v>
      </c>
      <c r="E38955" s="8">
        <v>0</v>
      </c>
      <c r="F38955" s="8">
        <v>934</v>
      </c>
    </row>
    <row r="38956" spans="1:6" ht="12.75">
      <c r="A38956" s="8">
        <v>43886.992256944446</v>
      </c>
      <c r="B38956" s="8" t="str">
        <f>HYPERLINK("https://twitter.com/minokeyo","@minokeyo")</f>
        <v>@minokeyo</v>
      </c>
      <c r="C38956" s="8" t="s">
        <v>14996</v>
      </c>
      <c r="D38956" s="8">
        <v>0</v>
      </c>
      <c r="E38956" s="8">
        <v>0</v>
      </c>
      <c r="F38956" s="8">
        <v>117</v>
      </c>
    </row>
    <row r="38957" spans="1:6" ht="12.75">
      <c r="A38957" s="8">
        <v>43886.992210648154</v>
      </c>
      <c r="B38957" s="8" t="str">
        <f>HYPERLINK("https://twitter.com/Nudin_112","@Nudin_112")</f>
        <v>@Nudin_112</v>
      </c>
      <c r="C38957" s="8" t="s">
        <v>2941</v>
      </c>
      <c r="D38957" s="8">
        <v>713</v>
      </c>
      <c r="E38957" s="8">
        <v>0</v>
      </c>
      <c r="F38957" s="8">
        <v>42</v>
      </c>
    </row>
    <row r="38958" spans="1:6" ht="12.75">
      <c r="A38958" s="8">
        <v>43886.991967592592</v>
      </c>
      <c r="B38958" s="8" t="str">
        <f>HYPERLINK("https://twitter.com/stephanie_there","@stephanie_there")</f>
        <v>@stephanie_there</v>
      </c>
      <c r="C38958" s="8" t="s">
        <v>14997</v>
      </c>
      <c r="D38958" s="8">
        <v>0</v>
      </c>
      <c r="E38958" s="8">
        <v>0</v>
      </c>
      <c r="F38958" s="8">
        <v>121</v>
      </c>
    </row>
    <row r="38959" spans="1:6" ht="12.75">
      <c r="A38959" s="8">
        <v>43886.991597222222</v>
      </c>
      <c r="B38959" s="8" t="str">
        <f>HYPERLINK("https://twitter.com/Benuday","@Benuday")</f>
        <v>@Benuday</v>
      </c>
      <c r="C38959" s="8" t="s">
        <v>13365</v>
      </c>
      <c r="D38959" s="8">
        <v>263</v>
      </c>
      <c r="E38959" s="8">
        <v>0</v>
      </c>
      <c r="F38959" s="8">
        <v>406</v>
      </c>
    </row>
    <row r="38960" spans="1:6" ht="12.75">
      <c r="A38960" s="8">
        <v>43886.991469907407</v>
      </c>
      <c r="B38960" s="8" t="str">
        <f>HYPERLINK("https://twitter.com/mumuh_yahya","@mumuh_yahya")</f>
        <v>@mumuh_yahya</v>
      </c>
      <c r="C38960" s="8" t="s">
        <v>11964</v>
      </c>
      <c r="D38960" s="8">
        <v>492</v>
      </c>
      <c r="E38960" s="8">
        <v>0</v>
      </c>
      <c r="F38960" s="8">
        <v>624</v>
      </c>
    </row>
    <row r="38961" spans="1:6" ht="12.75">
      <c r="A38961" s="8">
        <v>43886.99113425926</v>
      </c>
      <c r="B38961" s="8" t="str">
        <f>HYPERLINK("https://twitter.com/fajrinhazmi","@fajrinhazmi")</f>
        <v>@fajrinhazmi</v>
      </c>
      <c r="C38961" s="8" t="s">
        <v>13365</v>
      </c>
      <c r="D38961" s="8">
        <v>263</v>
      </c>
      <c r="E38961" s="8">
        <v>0</v>
      </c>
      <c r="F38961" s="8">
        <v>256</v>
      </c>
    </row>
    <row r="38962" spans="1:6" ht="12.75">
      <c r="A38962" s="8">
        <v>43886.990532407406</v>
      </c>
      <c r="B38962" s="8" t="str">
        <f>HYPERLINK("https://twitter.com/machbeach","@machbeach")</f>
        <v>@machbeach</v>
      </c>
      <c r="C38962" s="8" t="s">
        <v>14998</v>
      </c>
      <c r="D38962" s="8">
        <v>0</v>
      </c>
      <c r="E38962" s="8">
        <v>0</v>
      </c>
      <c r="F38962" s="8">
        <v>937</v>
      </c>
    </row>
    <row r="38963" spans="1:6" ht="12.75">
      <c r="A38963" s="8">
        <v>43886.990497685183</v>
      </c>
      <c r="B38963" s="8" t="str">
        <f>HYPERLINK("https://twitter.com/sayidmachmoed","@sayidmachmoed")</f>
        <v>@sayidmachmoed</v>
      </c>
      <c r="C38963" s="8" t="s">
        <v>14999</v>
      </c>
      <c r="D38963" s="8">
        <v>0</v>
      </c>
      <c r="E38963" s="8">
        <v>0</v>
      </c>
      <c r="F38963" s="8">
        <v>11406</v>
      </c>
    </row>
    <row r="38964" spans="1:6" ht="12.75">
      <c r="A38964" s="8">
        <v>43886.99013888889</v>
      </c>
      <c r="B38964" s="8" t="str">
        <f>HYPERLINK("https://twitter.com/ficusreligiosa","@ficusreligiosa")</f>
        <v>@ficusreligiosa</v>
      </c>
      <c r="C38964" s="8" t="s">
        <v>13365</v>
      </c>
      <c r="D38964" s="8">
        <v>263</v>
      </c>
      <c r="E38964" s="8">
        <v>0</v>
      </c>
      <c r="F38964" s="8">
        <v>178</v>
      </c>
    </row>
    <row r="38965" spans="1:6" ht="12.75">
      <c r="A38965" s="8">
        <v>43886.990081018521</v>
      </c>
      <c r="B38965" s="8" t="str">
        <f>HYPERLINK("https://twitter.com/zeideriza_putra","@zeideriza_putra")</f>
        <v>@zeideriza_putra</v>
      </c>
      <c r="C38965" s="8" t="s">
        <v>13365</v>
      </c>
      <c r="D38965" s="8">
        <v>263</v>
      </c>
      <c r="E38965" s="8">
        <v>0</v>
      </c>
      <c r="F38965" s="8">
        <v>107</v>
      </c>
    </row>
    <row r="38966" spans="1:6" ht="12.75">
      <c r="A38966" s="8">
        <v>43886.989780092597</v>
      </c>
      <c r="B38966" s="8" t="str">
        <f t="shared" ref="B38966:B38967" si="584">HYPERLINK("https://twitter.com/Indopolitika","@Indopolitika")</f>
        <v>@Indopolitika</v>
      </c>
      <c r="C38966" s="8" t="s">
        <v>14984</v>
      </c>
      <c r="D38966" s="8">
        <v>0</v>
      </c>
      <c r="E38966" s="8">
        <v>0</v>
      </c>
      <c r="F38966" s="8">
        <v>10578</v>
      </c>
    </row>
    <row r="38967" spans="1:6" ht="12.75">
      <c r="A38967" s="8">
        <v>43886.989664351851</v>
      </c>
      <c r="B38967" s="8" t="str">
        <f t="shared" si="584"/>
        <v>@Indopolitika</v>
      </c>
      <c r="C38967" s="8" t="s">
        <v>15000</v>
      </c>
      <c r="D38967" s="8">
        <v>0</v>
      </c>
      <c r="E38967" s="8">
        <v>0</v>
      </c>
      <c r="F38967" s="8">
        <v>10578</v>
      </c>
    </row>
    <row r="38968" spans="1:6" ht="12.75">
      <c r="A38968" s="8">
        <v>43886.989560185189</v>
      </c>
      <c r="B38968" s="8" t="str">
        <f>HYPERLINK("https://twitter.com/ayeshashb","@ayeshashb")</f>
        <v>@ayeshashb</v>
      </c>
      <c r="C38968" s="8" t="s">
        <v>2941</v>
      </c>
      <c r="D38968" s="8">
        <v>713</v>
      </c>
      <c r="E38968" s="8">
        <v>0</v>
      </c>
      <c r="F38968" s="8">
        <v>200</v>
      </c>
    </row>
    <row r="38969" spans="1:6" ht="12.75">
      <c r="A38969" s="8">
        <v>43886.988726851851</v>
      </c>
      <c r="B38969" s="8" t="str">
        <f>HYPERLINK("https://twitter.com/Mutiaulias96","@Mutiaulias96")</f>
        <v>@Mutiaulias96</v>
      </c>
      <c r="C38969" s="8" t="s">
        <v>2941</v>
      </c>
      <c r="D38969" s="8">
        <v>713</v>
      </c>
      <c r="E38969" s="8">
        <v>0</v>
      </c>
      <c r="F38969" s="8">
        <v>509</v>
      </c>
    </row>
    <row r="38970" spans="1:6" ht="12.75">
      <c r="A38970" s="8">
        <v>43886.988136574073</v>
      </c>
      <c r="B38970" s="8" t="str">
        <f>HYPERLINK("https://twitter.com/GueChokY","@GueChokY")</f>
        <v>@GueChokY</v>
      </c>
      <c r="C38970" s="8" t="s">
        <v>11183</v>
      </c>
      <c r="D38970" s="8">
        <v>256</v>
      </c>
      <c r="E38970" s="8">
        <v>0</v>
      </c>
      <c r="F38970" s="8">
        <v>2156</v>
      </c>
    </row>
    <row r="38971" spans="1:6" ht="12.75">
      <c r="A38971" s="8">
        <v>43886.987743055557</v>
      </c>
      <c r="B38971" s="8" t="str">
        <f>HYPERLINK("https://twitter.com/ocyarasan","@ocyarasan")</f>
        <v>@ocyarasan</v>
      </c>
      <c r="C38971" s="8" t="s">
        <v>8484</v>
      </c>
      <c r="D38971" s="8">
        <v>912</v>
      </c>
      <c r="E38971" s="8">
        <v>0</v>
      </c>
      <c r="F38971" s="8">
        <v>1263</v>
      </c>
    </row>
    <row r="38972" spans="1:6" ht="12.75">
      <c r="A38972" s="8">
        <v>43886.987395833334</v>
      </c>
      <c r="B38972" s="8" t="str">
        <f>HYPERLINK("https://twitter.com/_wahyusaputro","@_wahyusaputro")</f>
        <v>@_wahyusaputro</v>
      </c>
      <c r="C38972" s="8" t="s">
        <v>13365</v>
      </c>
      <c r="D38972" s="8">
        <v>263</v>
      </c>
      <c r="E38972" s="8">
        <v>0</v>
      </c>
      <c r="F38972" s="8">
        <v>1871</v>
      </c>
    </row>
    <row r="38973" spans="1:6" ht="12.75">
      <c r="A38973" s="8">
        <v>43886.987037037034</v>
      </c>
      <c r="B38973" s="8" t="str">
        <f>HYPERLINK("https://twitter.com/eryscha_","@eryscha_")</f>
        <v>@eryscha_</v>
      </c>
      <c r="C38973" s="8" t="s">
        <v>15001</v>
      </c>
      <c r="D38973" s="8">
        <v>1</v>
      </c>
      <c r="E38973" s="8">
        <v>0</v>
      </c>
      <c r="F38973" s="8">
        <v>56</v>
      </c>
    </row>
    <row r="38974" spans="1:6" ht="12.75">
      <c r="A38974" s="8">
        <v>43886.986863425926</v>
      </c>
      <c r="B38974" s="8" t="str">
        <f>HYPERLINK("https://twitter.com/cici_1945","@cici_1945")</f>
        <v>@cici_1945</v>
      </c>
      <c r="C38974" s="8" t="s">
        <v>11964</v>
      </c>
      <c r="D38974" s="8">
        <v>492</v>
      </c>
      <c r="E38974" s="8">
        <v>0</v>
      </c>
      <c r="F38974" s="8">
        <v>402</v>
      </c>
    </row>
    <row r="38975" spans="1:6" ht="12.75">
      <c r="A38975" s="8">
        <v>43886.986504629633</v>
      </c>
      <c r="B38975" s="8" t="str">
        <f>HYPERLINK("https://twitter.com/agussari","@agussari")</f>
        <v>@agussari</v>
      </c>
      <c r="C38975" s="8" t="s">
        <v>11183</v>
      </c>
      <c r="D38975" s="8">
        <v>256</v>
      </c>
      <c r="E38975" s="8">
        <v>0</v>
      </c>
      <c r="F38975" s="8">
        <v>19769</v>
      </c>
    </row>
    <row r="38976" spans="1:6" ht="12.75">
      <c r="A38976" s="8">
        <v>43886.98637731481</v>
      </c>
      <c r="B38976" s="8" t="str">
        <f>HYPERLINK("https://twitter.com/nugrohosudarso1","@nugrohosudarso1")</f>
        <v>@nugrohosudarso1</v>
      </c>
      <c r="C38976" s="8" t="s">
        <v>13365</v>
      </c>
      <c r="D38976" s="8">
        <v>263</v>
      </c>
      <c r="E38976" s="8">
        <v>0</v>
      </c>
      <c r="F38976" s="8">
        <v>317</v>
      </c>
    </row>
    <row r="38977" spans="1:6" ht="12.75">
      <c r="A38977" s="8">
        <v>43886.985034722224</v>
      </c>
      <c r="B38977" s="8" t="str">
        <f>HYPERLINK("https://twitter.com/wulanhdyn","@wulanhdyn")</f>
        <v>@wulanhdyn</v>
      </c>
      <c r="C38977" s="8" t="s">
        <v>14591</v>
      </c>
      <c r="D38977" s="8">
        <v>6</v>
      </c>
      <c r="E38977" s="8">
        <v>0</v>
      </c>
      <c r="F38977" s="8">
        <v>207</v>
      </c>
    </row>
    <row r="38978" spans="1:6" ht="12.75">
      <c r="A38978" s="8">
        <v>43886.984826388885</v>
      </c>
      <c r="B38978" s="8" t="str">
        <f>HYPERLINK("https://twitter.com/nosa_her","@nosa_her")</f>
        <v>@nosa_her</v>
      </c>
      <c r="C38978" s="8" t="s">
        <v>11183</v>
      </c>
      <c r="D38978" s="8">
        <v>256</v>
      </c>
      <c r="E38978" s="8">
        <v>0</v>
      </c>
      <c r="F38978" s="8">
        <v>354</v>
      </c>
    </row>
    <row r="38979" spans="1:6" ht="12.75">
      <c r="A38979" s="8">
        <v>43886.984756944439</v>
      </c>
      <c r="B38979" s="8" t="str">
        <f>HYPERLINK("https://twitter.com/RMOL_TV","@RMOL_TV")</f>
        <v>@RMOL_TV</v>
      </c>
      <c r="C38979" s="8" t="s">
        <v>15002</v>
      </c>
      <c r="D38979" s="8">
        <v>0</v>
      </c>
      <c r="E38979" s="8">
        <v>0</v>
      </c>
      <c r="F38979" s="8">
        <v>856</v>
      </c>
    </row>
    <row r="38980" spans="1:6" ht="12.75">
      <c r="A38980" s="8">
        <v>43886.9847337963</v>
      </c>
      <c r="B38980" s="8" t="str">
        <f>HYPERLINK("https://twitter.com/toranaga3000","@toranaga3000")</f>
        <v>@toranaga3000</v>
      </c>
      <c r="C38980" s="8" t="s">
        <v>13365</v>
      </c>
      <c r="D38980" s="8">
        <v>263</v>
      </c>
      <c r="E38980" s="8">
        <v>0</v>
      </c>
      <c r="F38980" s="8">
        <v>2437</v>
      </c>
    </row>
    <row r="38981" spans="1:6" ht="12.75">
      <c r="A38981" s="8">
        <v>43886.984409722223</v>
      </c>
      <c r="B38981" s="8" t="str">
        <f>HYPERLINK("https://twitter.com/KompasTV","@KompasTV")</f>
        <v>@KompasTV</v>
      </c>
      <c r="C38981" s="8" t="s">
        <v>15003</v>
      </c>
      <c r="D38981" s="8">
        <v>0</v>
      </c>
      <c r="E38981" s="8">
        <v>6</v>
      </c>
      <c r="F38981" s="8">
        <v>2948752</v>
      </c>
    </row>
    <row r="38982" spans="1:6" ht="12.75">
      <c r="A38982" s="8">
        <v>43886.984340277777</v>
      </c>
      <c r="B38982" s="8" t="str">
        <f>HYPERLINK("https://twitter.com/antar_kabar","@antar_kabar")</f>
        <v>@antar_kabar</v>
      </c>
      <c r="C38982" s="8" t="s">
        <v>15004</v>
      </c>
      <c r="D38982" s="8">
        <v>0</v>
      </c>
      <c r="E38982" s="8">
        <v>0</v>
      </c>
      <c r="F38982" s="8">
        <v>1130</v>
      </c>
    </row>
    <row r="38983" spans="1:6" ht="12.75">
      <c r="A38983" s="8">
        <v>43886.983749999999</v>
      </c>
      <c r="B38983" s="8" t="str">
        <f>HYPERLINK("https://twitter.com/bnbeys","@bnbeys")</f>
        <v>@bnbeys</v>
      </c>
      <c r="C38983" s="8" t="s">
        <v>2941</v>
      </c>
      <c r="D38983" s="8">
        <v>713</v>
      </c>
      <c r="E38983" s="8">
        <v>0</v>
      </c>
      <c r="F38983" s="8">
        <v>441</v>
      </c>
    </row>
    <row r="38984" spans="1:6" ht="12.75">
      <c r="A38984" s="8">
        <v>43886.983043981483</v>
      </c>
      <c r="B38984" s="8" t="str">
        <f>HYPERLINK("https://twitter.com/alif_taufan","@alif_taufan")</f>
        <v>@alif_taufan</v>
      </c>
      <c r="C38984" s="8" t="s">
        <v>13365</v>
      </c>
      <c r="D38984" s="8">
        <v>263</v>
      </c>
      <c r="E38984" s="8">
        <v>0</v>
      </c>
      <c r="F38984" s="8">
        <v>581</v>
      </c>
    </row>
    <row r="38985" spans="1:6" ht="12.75">
      <c r="A38985" s="8">
        <v>43886.982951388884</v>
      </c>
      <c r="B38985" s="8" t="str">
        <f>HYPERLINK("https://twitter.com/antar_kabar","@antar_kabar")</f>
        <v>@antar_kabar</v>
      </c>
      <c r="C38985" s="8" t="s">
        <v>15005</v>
      </c>
      <c r="D38985" s="8">
        <v>0</v>
      </c>
      <c r="E38985" s="8">
        <v>0</v>
      </c>
      <c r="F38985" s="8">
        <v>1130</v>
      </c>
    </row>
    <row r="38986" spans="1:6" ht="12.75">
      <c r="A38986" s="8">
        <v>43886.982627314814</v>
      </c>
      <c r="B38986" s="8" t="str">
        <f>HYPERLINK("https://twitter.com/akuailoh","@akuailoh")</f>
        <v>@akuailoh</v>
      </c>
      <c r="C38986" s="8" t="s">
        <v>2941</v>
      </c>
      <c r="D38986" s="8">
        <v>713</v>
      </c>
      <c r="E38986" s="8">
        <v>0</v>
      </c>
      <c r="F38986" s="8">
        <v>138</v>
      </c>
    </row>
    <row r="38987" spans="1:6" ht="12.75">
      <c r="A38987" s="8">
        <v>43886.982430555552</v>
      </c>
      <c r="B38987" s="8" t="str">
        <f>HYPERLINK("https://twitter.com/erikgnwn_","@erikgnwn_")</f>
        <v>@erikgnwn_</v>
      </c>
      <c r="C38987" s="8" t="s">
        <v>2941</v>
      </c>
      <c r="D38987" s="8">
        <v>713</v>
      </c>
      <c r="E38987" s="8">
        <v>0</v>
      </c>
      <c r="F38987" s="8">
        <v>106</v>
      </c>
    </row>
    <row r="38988" spans="1:6" ht="12.75">
      <c r="A38988" s="8">
        <v>43886.981724537036</v>
      </c>
      <c r="B38988" s="8" t="str">
        <f>HYPERLINK("https://twitter.com/yusuf_anggrian","@yusuf_anggrian")</f>
        <v>@yusuf_anggrian</v>
      </c>
      <c r="C38988" s="8" t="s">
        <v>15006</v>
      </c>
      <c r="D38988" s="8">
        <v>3</v>
      </c>
      <c r="E38988" s="8">
        <v>0</v>
      </c>
      <c r="F38988" s="8">
        <v>437</v>
      </c>
    </row>
    <row r="38989" spans="1:6" ht="12.75">
      <c r="A38989" s="8">
        <v>43886.981527777782</v>
      </c>
      <c r="B38989" s="8" t="str">
        <f>HYPERLINK("https://twitter.com/antar_kabar","@antar_kabar")</f>
        <v>@antar_kabar</v>
      </c>
      <c r="C38989" s="8" t="s">
        <v>15007</v>
      </c>
      <c r="D38989" s="8">
        <v>0</v>
      </c>
      <c r="E38989" s="8">
        <v>0</v>
      </c>
      <c r="F38989" s="8">
        <v>1130</v>
      </c>
    </row>
    <row r="38990" spans="1:6" ht="12.75">
      <c r="A38990" s="8">
        <v>43886.981238425928</v>
      </c>
      <c r="B38990" s="8" t="str">
        <f>HYPERLINK("https://twitter.com/arkuyyy","@arkuyyy")</f>
        <v>@arkuyyy</v>
      </c>
      <c r="C38990" s="8" t="s">
        <v>15008</v>
      </c>
      <c r="D38990" s="8">
        <v>0</v>
      </c>
      <c r="E38990" s="8">
        <v>0</v>
      </c>
      <c r="F38990" s="8">
        <v>712</v>
      </c>
    </row>
    <row r="38991" spans="1:6" ht="12.75">
      <c r="A38991" s="8">
        <v>43886.980474537035</v>
      </c>
      <c r="B38991" s="8" t="str">
        <f>HYPERLINK("https://twitter.com/WongWarAsss","@WongWarAsss")</f>
        <v>@WongWarAsss</v>
      </c>
      <c r="C38991" s="8" t="s">
        <v>13365</v>
      </c>
      <c r="D38991" s="8">
        <v>263</v>
      </c>
      <c r="E38991" s="8">
        <v>0</v>
      </c>
      <c r="F38991" s="8">
        <v>699</v>
      </c>
    </row>
    <row r="38992" spans="1:6" ht="12.75">
      <c r="A38992" s="8">
        <v>43886.980266203704</v>
      </c>
      <c r="B38992" s="8" t="str">
        <f>HYPERLINK("https://twitter.com/dianpetet91","@dianpetet91")</f>
        <v>@dianpetet91</v>
      </c>
      <c r="C38992" s="8" t="s">
        <v>11964</v>
      </c>
      <c r="D38992" s="8">
        <v>492</v>
      </c>
      <c r="E38992" s="8">
        <v>0</v>
      </c>
      <c r="F38992" s="8">
        <v>59</v>
      </c>
    </row>
    <row r="38993" spans="1:6" ht="12.75">
      <c r="A38993" s="8">
        <v>43886.980266203704</v>
      </c>
      <c r="B38993" s="8" t="str">
        <f>HYPERLINK("https://twitter.com/88Gemilang","@88Gemilang")</f>
        <v>@88Gemilang</v>
      </c>
      <c r="C38993" s="8" t="s">
        <v>13365</v>
      </c>
      <c r="D38993" s="8">
        <v>263</v>
      </c>
      <c r="E38993" s="8">
        <v>0</v>
      </c>
      <c r="F38993" s="8">
        <v>61</v>
      </c>
    </row>
    <row r="38994" spans="1:6" ht="12.75">
      <c r="A38994" s="8">
        <v>43886.980081018519</v>
      </c>
      <c r="B38994" s="8" t="str">
        <f>HYPERLINK("https://twitter.com/Nadamariskaaa","@Nadamariskaaa")</f>
        <v>@Nadamariskaaa</v>
      </c>
      <c r="C38994" s="8" t="s">
        <v>13365</v>
      </c>
      <c r="D38994" s="8">
        <v>263</v>
      </c>
      <c r="E38994" s="8">
        <v>0</v>
      </c>
      <c r="F38994" s="8">
        <v>1665</v>
      </c>
    </row>
    <row r="38995" spans="1:6" ht="12.75">
      <c r="A38995" s="8">
        <v>43886.980046296296</v>
      </c>
      <c r="B38995" s="8" t="str">
        <f>HYPERLINK("https://twitter.com/0nc075","@0nc075")</f>
        <v>@0nc075</v>
      </c>
      <c r="C38995" s="8" t="s">
        <v>13365</v>
      </c>
      <c r="D38995" s="8">
        <v>263</v>
      </c>
      <c r="E38995" s="8">
        <v>0</v>
      </c>
      <c r="F38995" s="8">
        <v>63</v>
      </c>
    </row>
    <row r="38996" spans="1:6" ht="12.75">
      <c r="A38996" s="8">
        <v>43886.979791666672</v>
      </c>
      <c r="B38996" s="8" t="str">
        <f>HYPERLINK("https://twitter.com/SadmokoHP","@SadmokoHP")</f>
        <v>@SadmokoHP</v>
      </c>
      <c r="C38996" s="8" t="s">
        <v>13365</v>
      </c>
      <c r="D38996" s="8">
        <v>263</v>
      </c>
      <c r="E38996" s="8">
        <v>0</v>
      </c>
      <c r="F38996" s="8">
        <v>311</v>
      </c>
    </row>
    <row r="38997" spans="1:6" ht="12.75">
      <c r="A38997" s="8">
        <v>43886.979432870372</v>
      </c>
      <c r="B38997" s="8" t="str">
        <f>HYPERLINK("https://twitter.com/ISIS_Balik_NO","@ISIS_Balik_NO")</f>
        <v>@ISIS_Balik_NO</v>
      </c>
      <c r="C38997" s="8" t="s">
        <v>15009</v>
      </c>
      <c r="D38997" s="8">
        <v>0</v>
      </c>
      <c r="E38997" s="8">
        <v>0</v>
      </c>
      <c r="F38997" s="8">
        <v>6089</v>
      </c>
    </row>
    <row r="38998" spans="1:6" ht="12.75">
      <c r="A38998" s="8">
        <v>43886.979398148149</v>
      </c>
      <c r="B38998" s="8" t="str">
        <f>HYPERLINK("https://twitter.com/ArSunantoaris","@ArSunantoaris")</f>
        <v>@ArSunantoaris</v>
      </c>
      <c r="C38998" s="8" t="s">
        <v>15010</v>
      </c>
      <c r="D38998" s="8">
        <v>0</v>
      </c>
      <c r="E38998" s="8">
        <v>0</v>
      </c>
      <c r="F38998" s="8">
        <v>3561</v>
      </c>
    </row>
    <row r="38999" spans="1:6" ht="12.75">
      <c r="A38999" s="8">
        <v>43886.979224537034</v>
      </c>
      <c r="B38999" s="8" t="str">
        <f>HYPERLINK("https://twitter.com/hasmohsin","@hasmohsin")</f>
        <v>@hasmohsin</v>
      </c>
      <c r="C38999" s="8" t="s">
        <v>15011</v>
      </c>
      <c r="D38999" s="8">
        <v>0</v>
      </c>
      <c r="E38999" s="8">
        <v>0</v>
      </c>
      <c r="F38999" s="8">
        <v>88</v>
      </c>
    </row>
    <row r="39000" spans="1:6" ht="12.75">
      <c r="A39000" s="8">
        <v>43886.979224537034</v>
      </c>
      <c r="B39000" s="8" t="str">
        <f>HYPERLINK("https://twitter.com/GATRA_News","@GATRA_News")</f>
        <v>@GATRA_News</v>
      </c>
      <c r="C39000" s="8" t="s">
        <v>15012</v>
      </c>
      <c r="D39000" s="8">
        <v>0</v>
      </c>
      <c r="E39000" s="8">
        <v>0</v>
      </c>
      <c r="F39000" s="8">
        <v>23145</v>
      </c>
    </row>
    <row r="39001" spans="1:6" ht="12.75">
      <c r="A39001" s="8">
        <v>43886.978946759264</v>
      </c>
      <c r="B39001" s="8" t="str">
        <f>HYPERLINK("https://twitter.com/Markombur1","@Markombur1")</f>
        <v>@Markombur1</v>
      </c>
      <c r="C39001" s="8" t="s">
        <v>14887</v>
      </c>
      <c r="D39001" s="8">
        <v>59</v>
      </c>
      <c r="E39001" s="8">
        <v>0</v>
      </c>
      <c r="F39001" s="8">
        <v>34</v>
      </c>
    </row>
    <row r="39002" spans="1:6" ht="12.75">
      <c r="A39002" s="8">
        <v>43886.964965277773</v>
      </c>
      <c r="B39002" s="8" t="str">
        <f>HYPERLINK("https://twitter.com/KompasTV","@KompasTV")</f>
        <v>@KompasTV</v>
      </c>
      <c r="C39002" s="8" t="s">
        <v>15013</v>
      </c>
      <c r="D39002" s="8">
        <v>0</v>
      </c>
      <c r="E39002" s="8">
        <v>0</v>
      </c>
      <c r="F39002" s="8">
        <v>2948708</v>
      </c>
    </row>
    <row r="39003" spans="1:6" ht="12.75">
      <c r="A39003" s="8">
        <v>43886.96471064815</v>
      </c>
      <c r="B39003" s="8" t="str">
        <f>HYPERLINK("https://twitter.com/zka007","@zka007")</f>
        <v>@zka007</v>
      </c>
      <c r="C39003" s="8" t="s">
        <v>13365</v>
      </c>
      <c r="D39003" s="8">
        <v>208</v>
      </c>
      <c r="E39003" s="8">
        <v>0</v>
      </c>
      <c r="F39003" s="8">
        <v>351</v>
      </c>
    </row>
    <row r="39004" spans="1:6" ht="12.75">
      <c r="A39004" s="8">
        <v>43886.96465277778</v>
      </c>
      <c r="B39004" s="8" t="str">
        <f>HYPERLINK("https://twitter.com/17ofAugust","@17ofAugust")</f>
        <v>@17ofAugust</v>
      </c>
      <c r="C39004" s="8" t="s">
        <v>13365</v>
      </c>
      <c r="D39004" s="8">
        <v>208</v>
      </c>
      <c r="E39004" s="8">
        <v>0</v>
      </c>
      <c r="F39004" s="8">
        <v>172</v>
      </c>
    </row>
    <row r="39005" spans="1:6" ht="12.75">
      <c r="A39005" s="8">
        <v>43886.964444444442</v>
      </c>
      <c r="B39005" s="8" t="str">
        <f>HYPERLINK("https://twitter.com/Zinpeerzone","@Zinpeerzone")</f>
        <v>@Zinpeerzone</v>
      </c>
      <c r="C39005" s="8" t="s">
        <v>13365</v>
      </c>
      <c r="D39005" s="8">
        <v>208</v>
      </c>
      <c r="E39005" s="8">
        <v>0</v>
      </c>
      <c r="F39005" s="8">
        <v>561</v>
      </c>
    </row>
    <row r="39006" spans="1:6" ht="12.75">
      <c r="A39006" s="8">
        <v>43886.963842592595</v>
      </c>
      <c r="B39006" s="8" t="str">
        <f>HYPERLINK("https://twitter.com/Cathnevanos","@Cathnevanos")</f>
        <v>@Cathnevanos</v>
      </c>
      <c r="C39006" s="8" t="s">
        <v>15014</v>
      </c>
      <c r="D39006" s="8">
        <v>0</v>
      </c>
      <c r="E39006" s="8">
        <v>0</v>
      </c>
      <c r="F39006" s="8">
        <v>272</v>
      </c>
    </row>
    <row r="39007" spans="1:6" ht="12.75">
      <c r="A39007" s="8">
        <v>43886.963749999995</v>
      </c>
      <c r="B39007" s="8" t="str">
        <f>HYPERLINK("https://twitter.com/dedirahimuddin","@dedirahimuddin")</f>
        <v>@dedirahimuddin</v>
      </c>
      <c r="C39007" s="8" t="s">
        <v>13365</v>
      </c>
      <c r="D39007" s="8">
        <v>208</v>
      </c>
      <c r="E39007" s="8">
        <v>0</v>
      </c>
      <c r="F39007" s="8">
        <v>524</v>
      </c>
    </row>
    <row r="39008" spans="1:6" ht="12.75">
      <c r="A39008" s="8">
        <v>43886.963460648149</v>
      </c>
      <c r="B39008" s="8" t="str">
        <f>HYPERLINK("https://twitter.com/Stnnr27185240","@Stnnr27185240")</f>
        <v>@Stnnr27185240</v>
      </c>
      <c r="C39008" s="8" t="s">
        <v>6638</v>
      </c>
      <c r="D39008" s="8">
        <v>59</v>
      </c>
      <c r="E39008" s="8">
        <v>0</v>
      </c>
      <c r="F39008" s="8">
        <v>2</v>
      </c>
    </row>
    <row r="39009" spans="1:6" ht="12.75">
      <c r="A39009" s="8">
        <v>43886.963414351849</v>
      </c>
      <c r="B39009" s="8" t="str">
        <f>HYPERLINK("https://twitter.com/esterjill","@esterjill")</f>
        <v>@esterjill</v>
      </c>
      <c r="C39009" s="8" t="s">
        <v>2940</v>
      </c>
      <c r="D39009" s="8">
        <v>2536</v>
      </c>
      <c r="E39009" s="8">
        <v>0</v>
      </c>
      <c r="F39009" s="8">
        <v>609</v>
      </c>
    </row>
    <row r="39010" spans="1:6" ht="12.75">
      <c r="A39010" s="8">
        <v>43886.963356481487</v>
      </c>
      <c r="B39010" s="8" t="str">
        <f>HYPERLINK("https://twitter.com/ridwansihombing","@ridwansihombing")</f>
        <v>@ridwansihombing</v>
      </c>
      <c r="C39010" s="8" t="s">
        <v>11183</v>
      </c>
      <c r="D39010" s="8">
        <v>243</v>
      </c>
      <c r="E39010" s="8">
        <v>0</v>
      </c>
      <c r="F39010" s="8">
        <v>83</v>
      </c>
    </row>
    <row r="39011" spans="1:6" ht="12.75">
      <c r="A39011" s="8">
        <v>43886.963148148148</v>
      </c>
      <c r="B39011" s="8" t="str">
        <f>HYPERLINK("https://twitter.com/natanael_juan","@natanael_juan")</f>
        <v>@natanael_juan</v>
      </c>
      <c r="C39011" s="8" t="s">
        <v>2941</v>
      </c>
      <c r="D39011" s="8">
        <v>676</v>
      </c>
      <c r="E39011" s="8">
        <v>0</v>
      </c>
      <c r="F39011" s="8">
        <v>198</v>
      </c>
    </row>
    <row r="39012" spans="1:6" ht="12.75">
      <c r="A39012" s="8">
        <v>43886.962800925925</v>
      </c>
      <c r="B39012" s="8" t="str">
        <f>HYPERLINK("https://twitter.com/kafiradikal","@kafiradikal")</f>
        <v>@kafiradikal</v>
      </c>
      <c r="C39012" s="8" t="s">
        <v>13365</v>
      </c>
      <c r="D39012" s="8">
        <v>208</v>
      </c>
      <c r="E39012" s="8">
        <v>0</v>
      </c>
      <c r="F39012" s="8">
        <v>19027</v>
      </c>
    </row>
    <row r="39013" spans="1:6" ht="12.75">
      <c r="A39013" s="8">
        <v>43886.962777777779</v>
      </c>
      <c r="B39013" s="8" t="str">
        <f>HYPERLINK("https://twitter.com/prdscute","@prdscute")</f>
        <v>@prdscute</v>
      </c>
      <c r="C39013" s="8" t="s">
        <v>2941</v>
      </c>
      <c r="D39013" s="8">
        <v>676</v>
      </c>
      <c r="E39013" s="8">
        <v>0</v>
      </c>
      <c r="F39013" s="8">
        <v>313</v>
      </c>
    </row>
    <row r="39014" spans="1:6" ht="12.75">
      <c r="A39014" s="8">
        <v>43886.962743055556</v>
      </c>
      <c r="B39014" s="8" t="str">
        <f>HYPERLINK("https://twitter.com/fendisyarif","@fendisyarif")</f>
        <v>@fendisyarif</v>
      </c>
      <c r="C39014" s="8" t="s">
        <v>11964</v>
      </c>
      <c r="D39014" s="8">
        <v>484</v>
      </c>
      <c r="E39014" s="8">
        <v>0</v>
      </c>
      <c r="F39014" s="8">
        <v>285</v>
      </c>
    </row>
    <row r="39015" spans="1:6" ht="12.75">
      <c r="A39015" s="8">
        <v>43886.962488425925</v>
      </c>
      <c r="B39015" s="8" t="str">
        <f>HYPERLINK("https://twitter.com/liputan6dotcom","@liputan6dotcom")</f>
        <v>@liputan6dotcom</v>
      </c>
      <c r="C39015" s="8" t="s">
        <v>15015</v>
      </c>
      <c r="D39015" s="8">
        <v>0</v>
      </c>
      <c r="E39015" s="8">
        <v>1</v>
      </c>
      <c r="F39015" s="8">
        <v>3629475</v>
      </c>
    </row>
    <row r="39016" spans="1:6" ht="12.75">
      <c r="A39016" s="8">
        <v>43886.962476851855</v>
      </c>
      <c r="B39016" s="8" t="str">
        <f>HYPERLINK("https://twitter.com/LarasRyswana666","@LarasRyswana666")</f>
        <v>@LarasRyswana666</v>
      </c>
      <c r="C39016" s="8" t="s">
        <v>15016</v>
      </c>
      <c r="D39016" s="8">
        <v>0</v>
      </c>
      <c r="E39016" s="8">
        <v>0</v>
      </c>
      <c r="F39016" s="8">
        <v>186</v>
      </c>
    </row>
    <row r="39017" spans="1:6" ht="12.75">
      <c r="A39017" s="8">
        <v>43886.962465277778</v>
      </c>
      <c r="B39017" s="8" t="str">
        <f>HYPERLINK("https://twitter.com/tyaschiem","@tyaschiem")</f>
        <v>@tyaschiem</v>
      </c>
      <c r="C39017" s="8" t="s">
        <v>2941</v>
      </c>
      <c r="D39017" s="8">
        <v>676</v>
      </c>
      <c r="E39017" s="8">
        <v>0</v>
      </c>
      <c r="F39017" s="8">
        <v>316</v>
      </c>
    </row>
    <row r="39018" spans="1:6" ht="12.75">
      <c r="A39018" s="8">
        <v>43886.962453703702</v>
      </c>
      <c r="B39018" s="8" t="str">
        <f>HYPERLINK("https://twitter.com/amelAR_","@amelAR_")</f>
        <v>@amelAR_</v>
      </c>
      <c r="C39018" s="8" t="s">
        <v>2941</v>
      </c>
      <c r="D39018" s="8">
        <v>676</v>
      </c>
      <c r="E39018" s="8">
        <v>0</v>
      </c>
      <c r="F39018" s="8">
        <v>405</v>
      </c>
    </row>
    <row r="39019" spans="1:6" ht="12.75">
      <c r="A39019" s="8">
        <v>43886.962442129632</v>
      </c>
      <c r="B39019" s="8" t="str">
        <f>HYPERLINK("https://twitter.com/tentarakeraton","@tentarakeraton")</f>
        <v>@tentarakeraton</v>
      </c>
      <c r="C39019" s="8" t="s">
        <v>11183</v>
      </c>
      <c r="D39019" s="8">
        <v>243</v>
      </c>
      <c r="E39019" s="8">
        <v>0</v>
      </c>
      <c r="F39019" s="8">
        <v>258</v>
      </c>
    </row>
    <row r="39020" spans="1:6" ht="12.75">
      <c r="A39020" s="8">
        <v>43886.962094907409</v>
      </c>
      <c r="B39020" s="8" t="str">
        <f>HYPERLINK("https://twitter.com/azis_nudin","@azis_nudin")</f>
        <v>@azis_nudin</v>
      </c>
      <c r="C39020" s="8" t="s">
        <v>13365</v>
      </c>
      <c r="D39020" s="8">
        <v>208</v>
      </c>
      <c r="E39020" s="8">
        <v>0</v>
      </c>
      <c r="F39020" s="8">
        <v>28</v>
      </c>
    </row>
    <row r="39021" spans="1:6" ht="12.75">
      <c r="A39021" s="8">
        <v>43886.962060185186</v>
      </c>
      <c r="B39021" s="8" t="str">
        <f>HYPERLINK("https://twitter.com/Novaandriany8","@Novaandriany8")</f>
        <v>@Novaandriany8</v>
      </c>
      <c r="C39021" s="8" t="s">
        <v>15016</v>
      </c>
      <c r="D39021" s="8">
        <v>0</v>
      </c>
      <c r="E39021" s="8">
        <v>0</v>
      </c>
      <c r="F39021" s="8">
        <v>321</v>
      </c>
    </row>
    <row r="39022" spans="1:6" ht="12.75">
      <c r="A39022" s="8">
        <v>43886.961863425924</v>
      </c>
      <c r="B39022" s="8" t="str">
        <f>HYPERLINK("https://twitter.com/kerjacerdas","@kerjacerdas")</f>
        <v>@kerjacerdas</v>
      </c>
      <c r="C39022" s="8" t="s">
        <v>11964</v>
      </c>
      <c r="D39022" s="8">
        <v>484</v>
      </c>
      <c r="E39022" s="8">
        <v>0</v>
      </c>
      <c r="F39022" s="8">
        <v>829</v>
      </c>
    </row>
    <row r="39023" spans="1:6" ht="12.75">
      <c r="A39023" s="8">
        <v>43886.961759259255</v>
      </c>
      <c r="B39023" s="8" t="str">
        <f>HYPERLINK("https://twitter.com/benicahyof","@benicahyof")</f>
        <v>@benicahyof</v>
      </c>
      <c r="C39023" s="8" t="s">
        <v>13365</v>
      </c>
      <c r="D39023" s="8">
        <v>208</v>
      </c>
      <c r="E39023" s="8">
        <v>0</v>
      </c>
      <c r="F39023" s="8">
        <v>186</v>
      </c>
    </row>
    <row r="39024" spans="1:6" ht="12.75">
      <c r="A39024" s="8">
        <v>43886.961122685185</v>
      </c>
      <c r="B39024" s="8" t="str">
        <f>HYPERLINK("https://twitter.com/kungfupanduu","@kungfupanduu")</f>
        <v>@kungfupanduu</v>
      </c>
      <c r="C39024" s="8" t="s">
        <v>2941</v>
      </c>
      <c r="D39024" s="8">
        <v>676</v>
      </c>
      <c r="E39024" s="8">
        <v>0</v>
      </c>
      <c r="F39024" s="8">
        <v>275</v>
      </c>
    </row>
    <row r="39025" spans="1:6" ht="12.75">
      <c r="A39025" s="8">
        <v>43886.960625</v>
      </c>
      <c r="B39025" s="8" t="str">
        <f>HYPERLINK("https://twitter.com/fa_riz23","@fa_riz23")</f>
        <v>@fa_riz23</v>
      </c>
      <c r="C39025" s="8" t="s">
        <v>4423</v>
      </c>
      <c r="D39025" s="8">
        <v>5</v>
      </c>
      <c r="E39025" s="8">
        <v>0</v>
      </c>
      <c r="F39025" s="8">
        <v>237</v>
      </c>
    </row>
    <row r="39026" spans="1:6" ht="12.75">
      <c r="A39026" s="8">
        <v>43886.960115740745</v>
      </c>
      <c r="B39026" s="8" t="str">
        <f>HYPERLINK("https://twitter.com/soffel84103944","@soffel84103944")</f>
        <v>@soffel84103944</v>
      </c>
      <c r="C39026" s="8" t="s">
        <v>11183</v>
      </c>
      <c r="D39026" s="8">
        <v>243</v>
      </c>
      <c r="E39026" s="8">
        <v>0</v>
      </c>
      <c r="F39026" s="8">
        <v>570</v>
      </c>
    </row>
    <row r="39027" spans="1:6" ht="12.75">
      <c r="A39027" s="8">
        <v>43886.959988425922</v>
      </c>
      <c r="B39027" s="8" t="str">
        <f>HYPERLINK("https://twitter.com/IniPastiDotCom","@IniPastiDotCom")</f>
        <v>@IniPastiDotCom</v>
      </c>
      <c r="C39027" s="8" t="s">
        <v>15017</v>
      </c>
      <c r="D39027" s="8">
        <v>0</v>
      </c>
      <c r="E39027" s="8">
        <v>0</v>
      </c>
      <c r="F39027" s="8">
        <v>276</v>
      </c>
    </row>
    <row r="39028" spans="1:6" ht="12.75">
      <c r="A39028" s="8">
        <v>43886.959606481483</v>
      </c>
      <c r="B39028" s="8" t="str">
        <f>HYPERLINK("https://twitter.com/rakjat4","@rakjat4")</f>
        <v>@rakjat4</v>
      </c>
      <c r="C39028" s="8" t="s">
        <v>12373</v>
      </c>
      <c r="D39028" s="8">
        <v>36</v>
      </c>
      <c r="E39028" s="8">
        <v>0</v>
      </c>
      <c r="F39028" s="8">
        <v>959</v>
      </c>
    </row>
    <row r="39029" spans="1:6" ht="12.75">
      <c r="A39029" s="8">
        <v>43886.959560185191</v>
      </c>
      <c r="B39029" s="8" t="str">
        <f>HYPERLINK("https://twitter.com/Matchaindonesia","@Matchaindonesia")</f>
        <v>@Matchaindonesia</v>
      </c>
      <c r="C39029" s="8" t="s">
        <v>13365</v>
      </c>
      <c r="D39029" s="8">
        <v>208</v>
      </c>
      <c r="E39029" s="8">
        <v>0</v>
      </c>
      <c r="F39029" s="8">
        <v>185</v>
      </c>
    </row>
    <row r="39030" spans="1:6" ht="12.75">
      <c r="A39030" s="8">
        <v>43886.959386574075</v>
      </c>
      <c r="B39030" s="8" t="str">
        <f>HYPERLINK("https://twitter.com/SayaSamad","@SayaSamad")</f>
        <v>@SayaSamad</v>
      </c>
      <c r="C39030" s="8" t="s">
        <v>13365</v>
      </c>
      <c r="D39030" s="8">
        <v>208</v>
      </c>
      <c r="E39030" s="8">
        <v>0</v>
      </c>
      <c r="F39030" s="8">
        <v>34</v>
      </c>
    </row>
    <row r="39031" spans="1:6" ht="12.75">
      <c r="A39031" s="8">
        <v>43886.959108796298</v>
      </c>
      <c r="B39031" s="8" t="str">
        <f>HYPERLINK("https://twitter.com/TrioMacari2000","@TrioMacari2000")</f>
        <v>@TrioMacari2000</v>
      </c>
      <c r="C39031" s="8" t="s">
        <v>14543</v>
      </c>
      <c r="D39031" s="8">
        <v>9</v>
      </c>
      <c r="E39031" s="8">
        <v>0</v>
      </c>
      <c r="F39031" s="8">
        <v>6520</v>
      </c>
    </row>
    <row r="39032" spans="1:6" ht="12.75">
      <c r="A39032" s="8">
        <v>43886.959039351852</v>
      </c>
      <c r="B39032" s="8" t="str">
        <f>HYPERLINK("https://twitter.com/B3rvboo","@B3rvboo")</f>
        <v>@B3rvboo</v>
      </c>
      <c r="C39032" s="8" t="s">
        <v>11301</v>
      </c>
      <c r="D39032" s="8">
        <v>17</v>
      </c>
      <c r="E39032" s="8">
        <v>0</v>
      </c>
      <c r="F39032" s="8">
        <v>622</v>
      </c>
    </row>
    <row r="39033" spans="1:6" ht="12.75">
      <c r="A39033" s="8">
        <v>43886.95888888889</v>
      </c>
      <c r="B39033" s="8" t="str">
        <f>HYPERLINK("https://twitter.com/KosasihID","@KosasihID")</f>
        <v>@KosasihID</v>
      </c>
      <c r="C39033" s="8" t="s">
        <v>15018</v>
      </c>
      <c r="D39033" s="8">
        <v>0</v>
      </c>
      <c r="E39033" s="8">
        <v>0</v>
      </c>
      <c r="F39033" s="8">
        <v>288</v>
      </c>
    </row>
    <row r="39034" spans="1:6" ht="12.75">
      <c r="A39034" s="8">
        <v>43886.958865740744</v>
      </c>
      <c r="B39034" s="8" t="str">
        <f>HYPERLINK("https://twitter.com/ZheeOmega","@ZheeOmega")</f>
        <v>@ZheeOmega</v>
      </c>
      <c r="C39034" s="8" t="s">
        <v>14922</v>
      </c>
      <c r="D39034" s="8">
        <v>5</v>
      </c>
      <c r="E39034" s="8">
        <v>0</v>
      </c>
      <c r="F39034" s="8">
        <v>17758</v>
      </c>
    </row>
    <row r="39035" spans="1:6" ht="12.75">
      <c r="A39035" s="8">
        <v>43886.958819444444</v>
      </c>
      <c r="B39035" s="8" t="str">
        <f>HYPERLINK("https://twitter.com/kataartiskita","@kataartiskita")</f>
        <v>@kataartiskita</v>
      </c>
      <c r="C39035" s="8" t="s">
        <v>12920</v>
      </c>
      <c r="D39035" s="8">
        <v>1539</v>
      </c>
      <c r="E39035" s="8">
        <v>0</v>
      </c>
      <c r="F39035" s="8">
        <v>922</v>
      </c>
    </row>
    <row r="39036" spans="1:6" ht="12.75">
      <c r="A39036" s="8">
        <v>43886.958564814813</v>
      </c>
      <c r="B39036" s="8" t="str">
        <f>HYPERLINK("https://twitter.com/UseRonT1","@UseRonT1")</f>
        <v>@UseRonT1</v>
      </c>
      <c r="C39036" s="8" t="s">
        <v>11964</v>
      </c>
      <c r="D39036" s="8">
        <v>484</v>
      </c>
      <c r="E39036" s="8">
        <v>0</v>
      </c>
      <c r="F39036" s="8">
        <v>689</v>
      </c>
    </row>
    <row r="39037" spans="1:6" ht="12.75">
      <c r="A39037" s="8">
        <v>43886.958356481482</v>
      </c>
      <c r="B39037" s="8" t="str">
        <f>HYPERLINK("https://twitter.com/bukansjwsjw","@bukansjwsjw")</f>
        <v>@bukansjwsjw</v>
      </c>
      <c r="C39037" s="8" t="s">
        <v>2941</v>
      </c>
      <c r="D39037" s="8">
        <v>676</v>
      </c>
      <c r="E39037" s="8">
        <v>0</v>
      </c>
      <c r="F39037" s="8">
        <v>274</v>
      </c>
    </row>
    <row r="39038" spans="1:6" ht="12.75">
      <c r="A39038" s="8">
        <v>43886.957615740743</v>
      </c>
      <c r="B39038" s="8" t="str">
        <f>HYPERLINK("https://twitter.com/dirhand","@dirhand")</f>
        <v>@dirhand</v>
      </c>
      <c r="C39038" s="8" t="s">
        <v>13365</v>
      </c>
      <c r="D39038" s="8">
        <v>208</v>
      </c>
      <c r="E39038" s="8">
        <v>0</v>
      </c>
      <c r="F39038" s="8">
        <v>323</v>
      </c>
    </row>
    <row r="39039" spans="1:6" ht="12.75">
      <c r="A39039" s="8">
        <v>43886.957488425927</v>
      </c>
      <c r="B39039" s="8" t="str">
        <f>HYPERLINK("https://twitter.com/H3N1_BangoR","@H3N1_BangoR")</f>
        <v>@H3N1_BangoR</v>
      </c>
      <c r="C39039" s="8" t="s">
        <v>13365</v>
      </c>
      <c r="D39039" s="8">
        <v>208</v>
      </c>
      <c r="E39039" s="8">
        <v>0</v>
      </c>
      <c r="F39039" s="8">
        <v>667</v>
      </c>
    </row>
    <row r="39040" spans="1:6" ht="12.75">
      <c r="A39040" s="8">
        <v>43886.957361111112</v>
      </c>
      <c r="B39040" s="8" t="str">
        <f>HYPERLINK("https://twitter.com/pakarduz","@pakarduz")</f>
        <v>@pakarduz</v>
      </c>
      <c r="C39040" s="8" t="s">
        <v>11964</v>
      </c>
      <c r="D39040" s="8">
        <v>484</v>
      </c>
      <c r="E39040" s="8">
        <v>0</v>
      </c>
      <c r="F39040" s="8">
        <v>30</v>
      </c>
    </row>
    <row r="39041" spans="1:6" ht="12.75">
      <c r="A39041" s="8">
        <v>43886.95721064815</v>
      </c>
      <c r="B39041" s="8" t="str">
        <f>HYPERLINK("https://twitter.com/demirakyt007","@demirakyt007")</f>
        <v>@demirakyt007</v>
      </c>
      <c r="C39041" s="8" t="s">
        <v>13365</v>
      </c>
      <c r="D39041" s="8">
        <v>208</v>
      </c>
      <c r="E39041" s="8">
        <v>0</v>
      </c>
      <c r="F39041" s="8">
        <v>68</v>
      </c>
    </row>
    <row r="39042" spans="1:6" ht="12.75">
      <c r="A39042" s="8">
        <v>43886.956967592589</v>
      </c>
      <c r="B39042" s="8" t="str">
        <f>HYPERLINK("https://twitter.com/DSXL3","@DSXL3")</f>
        <v>@DSXL3</v>
      </c>
      <c r="C39042" s="8" t="s">
        <v>13365</v>
      </c>
      <c r="D39042" s="8">
        <v>208</v>
      </c>
      <c r="E39042" s="8">
        <v>0</v>
      </c>
      <c r="F39042" s="8">
        <v>3640</v>
      </c>
    </row>
    <row r="39043" spans="1:6" ht="12.75">
      <c r="A39043" s="8">
        <v>43886.956909722227</v>
      </c>
      <c r="B39043" s="8" t="str">
        <f>HYPERLINK("https://twitter.com/ISIS_Balik_NO","@ISIS_Balik_NO")</f>
        <v>@ISIS_Balik_NO</v>
      </c>
      <c r="C39043" s="8" t="s">
        <v>15019</v>
      </c>
      <c r="D39043" s="8">
        <v>0</v>
      </c>
      <c r="E39043" s="8">
        <v>0</v>
      </c>
      <c r="F39043" s="8">
        <v>6087</v>
      </c>
    </row>
    <row r="39044" spans="1:6" ht="12.75">
      <c r="A39044" s="8">
        <v>43886.956712962958</v>
      </c>
      <c r="B39044" s="8" t="str">
        <f>HYPERLINK("https://twitter.com/HappySharma540","@HappySharma540")</f>
        <v>@HappySharma540</v>
      </c>
      <c r="C39044" s="8" t="s">
        <v>15020</v>
      </c>
      <c r="D39044" s="8">
        <v>0</v>
      </c>
      <c r="E39044" s="8">
        <v>0</v>
      </c>
      <c r="F39044" s="8">
        <v>17</v>
      </c>
    </row>
    <row r="39045" spans="1:6" ht="12.75">
      <c r="A39045" s="8">
        <v>43886.956423611111</v>
      </c>
      <c r="B39045" s="8" t="str">
        <f>HYPERLINK("https://twitter.com/Zalzalahdunya","@Zalzalahdunya")</f>
        <v>@Zalzalahdunya</v>
      </c>
      <c r="C39045" s="8" t="s">
        <v>13365</v>
      </c>
      <c r="D39045" s="8">
        <v>208</v>
      </c>
      <c r="E39045" s="8">
        <v>0</v>
      </c>
      <c r="F39045" s="8">
        <v>52</v>
      </c>
    </row>
    <row r="39046" spans="1:6" ht="12.75">
      <c r="A39046" s="8">
        <v>43886.956388888888</v>
      </c>
      <c r="B39046" s="8" t="str">
        <f>HYPERLINK("https://twitter.com/SamoelGidheta","@SamoelGidheta")</f>
        <v>@SamoelGidheta</v>
      </c>
      <c r="C39046" s="8" t="s">
        <v>11964</v>
      </c>
      <c r="D39046" s="8">
        <v>484</v>
      </c>
      <c r="E39046" s="8">
        <v>0</v>
      </c>
      <c r="F39046" s="8">
        <v>1540</v>
      </c>
    </row>
    <row r="39047" spans="1:6" ht="12.75">
      <c r="A39047" s="8">
        <v>43886.956377314811</v>
      </c>
      <c r="B39047" s="8" t="str">
        <f>HYPERLINK("https://twitter.com/Cherul16","@Cherul16")</f>
        <v>@Cherul16</v>
      </c>
      <c r="C39047" s="8" t="s">
        <v>15021</v>
      </c>
      <c r="D39047" s="8">
        <v>1</v>
      </c>
      <c r="E39047" s="8">
        <v>0</v>
      </c>
      <c r="F39047" s="8">
        <v>1501</v>
      </c>
    </row>
    <row r="39048" spans="1:6" ht="12.75">
      <c r="A39048" s="8">
        <v>43886.956342592588</v>
      </c>
      <c r="B39048" s="8" t="str">
        <f>HYPERLINK("https://twitter.com/KPUGate","@KPUGate")</f>
        <v>@KPUGate</v>
      </c>
      <c r="C39048" s="8" t="s">
        <v>15022</v>
      </c>
      <c r="D39048" s="8">
        <v>0</v>
      </c>
      <c r="E39048" s="8">
        <v>3</v>
      </c>
      <c r="F39048" s="8">
        <v>4819</v>
      </c>
    </row>
    <row r="39049" spans="1:6" ht="12.75">
      <c r="A39049" s="8">
        <v>43886.956273148149</v>
      </c>
      <c r="B39049" s="8" t="str">
        <f>HYPERLINK("https://twitter.com/ikanuryantika","@ikanuryantika")</f>
        <v>@ikanuryantika</v>
      </c>
      <c r="C39049" s="8" t="s">
        <v>15023</v>
      </c>
      <c r="D39049" s="8">
        <v>0</v>
      </c>
      <c r="E39049" s="8">
        <v>0</v>
      </c>
      <c r="F39049" s="8">
        <v>282</v>
      </c>
    </row>
    <row r="39050" spans="1:6" ht="12.75">
      <c r="A39050" s="8">
        <v>43886.95621527778</v>
      </c>
      <c r="B39050" s="8" t="str">
        <f>HYPERLINK("https://twitter.com/JokowiPemuja","@JokowiPemuja")</f>
        <v>@JokowiPemuja</v>
      </c>
      <c r="C39050" s="8" t="s">
        <v>2941</v>
      </c>
      <c r="D39050" s="8">
        <v>676</v>
      </c>
      <c r="E39050" s="8">
        <v>0</v>
      </c>
      <c r="F39050" s="8">
        <v>87</v>
      </c>
    </row>
    <row r="39051" spans="1:6" ht="12.75">
      <c r="A39051" s="8">
        <v>43886.955381944441</v>
      </c>
      <c r="B39051" s="8" t="str">
        <f>HYPERLINK("https://twitter.com/4yuch4n","@4yuch4n")</f>
        <v>@4yuch4n</v>
      </c>
      <c r="C39051" s="8" t="s">
        <v>8484</v>
      </c>
      <c r="D39051" s="8">
        <v>907</v>
      </c>
      <c r="E39051" s="8">
        <v>0</v>
      </c>
      <c r="F39051" s="8">
        <v>77</v>
      </c>
    </row>
    <row r="39052" spans="1:6" ht="12.75">
      <c r="A39052" s="8">
        <v>43886.95511574074</v>
      </c>
      <c r="B39052" s="8" t="str">
        <f>HYPERLINK("https://twitter.com/ilalangRexvin","@ilalangRexvin")</f>
        <v>@ilalangRexvin</v>
      </c>
      <c r="C39052" s="8" t="s">
        <v>15024</v>
      </c>
      <c r="D39052" s="8">
        <v>0</v>
      </c>
      <c r="E39052" s="8">
        <v>0</v>
      </c>
      <c r="F39052" s="8">
        <v>210</v>
      </c>
    </row>
    <row r="39053" spans="1:6" ht="12.75">
      <c r="A39053" s="8">
        <v>43886.955069444448</v>
      </c>
      <c r="B39053" s="8" t="str">
        <f>HYPERLINK("https://twitter.com/Aryaadi67273603","@Aryaadi67273603")</f>
        <v>@Aryaadi67273603</v>
      </c>
      <c r="C39053" s="8" t="s">
        <v>13365</v>
      </c>
      <c r="D39053" s="8">
        <v>208</v>
      </c>
      <c r="E39053" s="8">
        <v>0</v>
      </c>
      <c r="F39053" s="8">
        <v>19</v>
      </c>
    </row>
    <row r="39054" spans="1:6" ht="12.75">
      <c r="A39054" s="8">
        <v>43886.954976851848</v>
      </c>
      <c r="B39054" s="8" t="str">
        <f>HYPERLINK("https://twitter.com/ItemYopi","@ItemYopi")</f>
        <v>@ItemYopi</v>
      </c>
      <c r="C39054" s="8" t="s">
        <v>11183</v>
      </c>
      <c r="D39054" s="8">
        <v>243</v>
      </c>
      <c r="E39054" s="8">
        <v>0</v>
      </c>
      <c r="F39054" s="8">
        <v>1141</v>
      </c>
    </row>
    <row r="39055" spans="1:6" ht="12.75">
      <c r="A39055" s="8">
        <v>43886.954918981486</v>
      </c>
      <c r="B39055" s="8" t="str">
        <f>HYPERLINK("https://twitter.com/GATRA_News","@GATRA_News")</f>
        <v>@GATRA_News</v>
      </c>
      <c r="C39055" s="8" t="s">
        <v>15025</v>
      </c>
      <c r="D39055" s="8">
        <v>0</v>
      </c>
      <c r="E39055" s="8">
        <v>0</v>
      </c>
      <c r="F39055" s="8">
        <v>23145</v>
      </c>
    </row>
    <row r="39056" spans="1:6" ht="12.75">
      <c r="A39056" s="8">
        <v>43886.954814814817</v>
      </c>
      <c r="B39056" s="8" t="str">
        <f>HYPERLINK("https://twitter.com/noor_cak","@noor_cak")</f>
        <v>@noor_cak</v>
      </c>
      <c r="C39056" s="8" t="s">
        <v>14600</v>
      </c>
      <c r="D39056" s="8">
        <v>20</v>
      </c>
      <c r="E39056" s="8">
        <v>0</v>
      </c>
      <c r="F39056" s="8">
        <v>554</v>
      </c>
    </row>
    <row r="39057" spans="1:6" ht="12.75">
      <c r="A39057" s="8">
        <v>43886.954618055555</v>
      </c>
      <c r="B39057" s="8" t="str">
        <f>HYPERLINK("https://twitter.com/nytecrawlr","@nytecrawlr")</f>
        <v>@nytecrawlr</v>
      </c>
      <c r="C39057" s="8" t="s">
        <v>2941</v>
      </c>
      <c r="D39057" s="8">
        <v>676</v>
      </c>
      <c r="E39057" s="8">
        <v>0</v>
      </c>
      <c r="F39057" s="8">
        <v>96</v>
      </c>
    </row>
    <row r="39058" spans="1:6" ht="12.75">
      <c r="A39058" s="8">
        <v>43886.954548611116</v>
      </c>
      <c r="B39058" s="8" t="str">
        <f>HYPERLINK("https://twitter.com/padawanboi","@padawanboi")</f>
        <v>@padawanboi</v>
      </c>
      <c r="C39058" s="8" t="s">
        <v>2941</v>
      </c>
      <c r="D39058" s="8">
        <v>676</v>
      </c>
      <c r="E39058" s="8">
        <v>0</v>
      </c>
      <c r="F39058" s="8">
        <v>53</v>
      </c>
    </row>
    <row r="39059" spans="1:6" ht="12.75">
      <c r="A39059" s="8">
        <v>43886.95447916667</v>
      </c>
      <c r="B39059" s="8" t="str">
        <f>HYPERLINK("https://twitter.com/ISIS_Balik_NO","@ISIS_Balik_NO")</f>
        <v>@ISIS_Balik_NO</v>
      </c>
      <c r="C39059" s="8" t="s">
        <v>15026</v>
      </c>
      <c r="D39059" s="8">
        <v>39</v>
      </c>
      <c r="E39059" s="8">
        <v>0</v>
      </c>
      <c r="F39059" s="8">
        <v>6087</v>
      </c>
    </row>
    <row r="39060" spans="1:6" ht="12.75">
      <c r="A39060" s="8">
        <v>43886.954282407409</v>
      </c>
      <c r="B39060" s="8" t="str">
        <f>HYPERLINK("https://twitter.com/yudhapati88","@yudhapati88")</f>
        <v>@yudhapati88</v>
      </c>
      <c r="C39060" s="8" t="s">
        <v>15027</v>
      </c>
      <c r="D39060" s="8">
        <v>0</v>
      </c>
      <c r="E39060" s="8">
        <v>0</v>
      </c>
      <c r="F39060" s="8">
        <v>3427</v>
      </c>
    </row>
    <row r="39061" spans="1:6" ht="12.75">
      <c r="A39061" s="8">
        <v>43886.954224537039</v>
      </c>
      <c r="B39061" s="8" t="str">
        <f>HYPERLINK("https://twitter.com/fadlunrahman","@fadlunrahman")</f>
        <v>@fadlunrahman</v>
      </c>
      <c r="C39061" s="8" t="s">
        <v>13365</v>
      </c>
      <c r="D39061" s="8">
        <v>208</v>
      </c>
      <c r="E39061" s="8">
        <v>0</v>
      </c>
      <c r="F39061" s="8">
        <v>2460</v>
      </c>
    </row>
    <row r="39062" spans="1:6" ht="12.75">
      <c r="A39062" s="8">
        <v>43886.954016203701</v>
      </c>
      <c r="B39062" s="8" t="str">
        <f>HYPERLINK("https://twitter.com/mikicimik","@mikicimik")</f>
        <v>@mikicimik</v>
      </c>
      <c r="C39062" s="8" t="s">
        <v>13365</v>
      </c>
      <c r="D39062" s="8">
        <v>208</v>
      </c>
      <c r="E39062" s="8">
        <v>0</v>
      </c>
      <c r="F39062" s="8">
        <v>177</v>
      </c>
    </row>
    <row r="39063" spans="1:6" ht="12.75">
      <c r="A39063" s="8">
        <v>43886.953900462962</v>
      </c>
      <c r="B39063" s="8" t="str">
        <f>HYPERLINK("https://twitter.com/HasanZezen","@HasanZezen")</f>
        <v>@HasanZezen</v>
      </c>
      <c r="C39063" s="8" t="s">
        <v>13365</v>
      </c>
      <c r="D39063" s="8">
        <v>208</v>
      </c>
      <c r="E39063" s="8">
        <v>0</v>
      </c>
      <c r="F39063" s="8">
        <v>20</v>
      </c>
    </row>
    <row r="39064" spans="1:6" ht="12.75">
      <c r="A39064" s="8">
        <v>43886.953773148147</v>
      </c>
      <c r="B39064" s="8" t="str">
        <f>HYPERLINK("https://twitter.com/TQCAMp96","@TQCAMp96")</f>
        <v>@TQCAMp96</v>
      </c>
      <c r="C39064" s="8" t="s">
        <v>13365</v>
      </c>
      <c r="D39064" s="8">
        <v>208</v>
      </c>
      <c r="E39064" s="8">
        <v>0</v>
      </c>
      <c r="F39064" s="8">
        <v>139</v>
      </c>
    </row>
    <row r="39065" spans="1:6" ht="12.75">
      <c r="A39065" s="8">
        <v>43886.953541666662</v>
      </c>
      <c r="B39065" s="8" t="str">
        <f>HYPERLINK("https://twitter.com/ISIS_Balik_NO","@ISIS_Balik_NO")</f>
        <v>@ISIS_Balik_NO</v>
      </c>
      <c r="C39065" s="8" t="s">
        <v>15028</v>
      </c>
      <c r="D39065" s="8">
        <v>0</v>
      </c>
      <c r="E39065" s="8">
        <v>2</v>
      </c>
      <c r="F39065" s="8">
        <v>6087</v>
      </c>
    </row>
    <row r="39066" spans="1:6" ht="12.75">
      <c r="A39066" s="8">
        <v>43886.953148148154</v>
      </c>
      <c r="B39066" s="8" t="str">
        <f>HYPERLINK("https://twitter.com/deedionne","@deedionne")</f>
        <v>@deedionne</v>
      </c>
      <c r="C39066" s="8" t="s">
        <v>15029</v>
      </c>
      <c r="D39066" s="8">
        <v>0</v>
      </c>
      <c r="E39066" s="8">
        <v>0</v>
      </c>
      <c r="F39066" s="8">
        <v>186</v>
      </c>
    </row>
    <row r="39067" spans="1:6" ht="12.75">
      <c r="A39067" s="8">
        <v>43886.952777777777</v>
      </c>
      <c r="B39067" s="8" t="str">
        <f>HYPERLINK("https://twitter.com/ISIS_Balik_NO","@ISIS_Balik_NO")</f>
        <v>@ISIS_Balik_NO</v>
      </c>
      <c r="C39067" s="8" t="s">
        <v>15030</v>
      </c>
      <c r="D39067" s="8">
        <v>45</v>
      </c>
      <c r="E39067" s="8">
        <v>0</v>
      </c>
      <c r="F39067" s="8">
        <v>6087</v>
      </c>
    </row>
    <row r="39068" spans="1:6" ht="12.75">
      <c r="A39068" s="8">
        <v>43886.952650462961</v>
      </c>
      <c r="B39068" s="8" t="str">
        <f>HYPERLINK("https://twitter.com/endoe21","@endoe21")</f>
        <v>@endoe21</v>
      </c>
      <c r="C39068" s="8" t="s">
        <v>11183</v>
      </c>
      <c r="D39068" s="8">
        <v>243</v>
      </c>
      <c r="E39068" s="8">
        <v>0</v>
      </c>
      <c r="F39068" s="8">
        <v>2041</v>
      </c>
    </row>
    <row r="39069" spans="1:6" ht="12.75">
      <c r="A39069" s="8">
        <v>43886.952523148153</v>
      </c>
      <c r="B39069" s="8" t="str">
        <f>HYPERLINK("https://twitter.com/bnWhLqZ9MoJzEQ0","@bnWhLqZ9MoJzEQ0")</f>
        <v>@bnWhLqZ9MoJzEQ0</v>
      </c>
      <c r="C39069" s="8" t="s">
        <v>2940</v>
      </c>
      <c r="D39069" s="8">
        <v>2536</v>
      </c>
      <c r="E39069" s="8">
        <v>0</v>
      </c>
      <c r="F39069" s="8">
        <v>117</v>
      </c>
    </row>
    <row r="39070" spans="1:6" ht="12.75">
      <c r="A39070" s="8">
        <v>43886.952361111107</v>
      </c>
      <c r="B39070" s="8" t="str">
        <f>HYPERLINK("https://twitter.com/ISIS_Balik_NO","@ISIS_Balik_NO")</f>
        <v>@ISIS_Balik_NO</v>
      </c>
      <c r="C39070" s="8" t="s">
        <v>15031</v>
      </c>
      <c r="D39070" s="8">
        <v>141</v>
      </c>
      <c r="E39070" s="8">
        <v>0</v>
      </c>
      <c r="F39070" s="8">
        <v>6087</v>
      </c>
    </row>
    <row r="39071" spans="1:6" ht="12.75">
      <c r="A39071" s="8">
        <v>43886.952233796299</v>
      </c>
      <c r="B39071" s="8" t="str">
        <f>HYPERLINK("https://twitter.com/5apto","@5apto")</f>
        <v>@5apto</v>
      </c>
      <c r="C39071" s="8" t="s">
        <v>2941</v>
      </c>
      <c r="D39071" s="8">
        <v>676</v>
      </c>
      <c r="E39071" s="8">
        <v>0</v>
      </c>
      <c r="F39071" s="8">
        <v>148</v>
      </c>
    </row>
    <row r="39072" spans="1:6" ht="12.75">
      <c r="A39072" s="8">
        <v>43886.952187499999</v>
      </c>
      <c r="B39072" s="8" t="str">
        <f>HYPERLINK("https://twitter.com/EdiIswardi","@EdiIswardi")</f>
        <v>@EdiIswardi</v>
      </c>
      <c r="C39072" s="8" t="s">
        <v>13365</v>
      </c>
      <c r="D39072" s="8">
        <v>208</v>
      </c>
      <c r="E39072" s="8">
        <v>0</v>
      </c>
      <c r="F39072" s="8">
        <v>1903</v>
      </c>
    </row>
    <row r="39073" spans="1:6" ht="12.75">
      <c r="A39073" s="8">
        <v>43886.952002314814</v>
      </c>
      <c r="B39073" s="8" t="str">
        <f>HYPERLINK("https://twitter.com/prilcila","@prilcila")</f>
        <v>@prilcila</v>
      </c>
      <c r="C39073" s="8" t="s">
        <v>11183</v>
      </c>
      <c r="D39073" s="8">
        <v>243</v>
      </c>
      <c r="E39073" s="8">
        <v>0</v>
      </c>
      <c r="F39073" s="8">
        <v>1472</v>
      </c>
    </row>
    <row r="39074" spans="1:6" ht="12.75">
      <c r="A39074" s="8">
        <v>43886.951840277776</v>
      </c>
      <c r="B39074" s="8" t="str">
        <f>HYPERLINK("https://twitter.com/AdhyAriyanto2","@AdhyAriyanto2")</f>
        <v>@AdhyAriyanto2</v>
      </c>
      <c r="C39074" s="8" t="s">
        <v>15032</v>
      </c>
      <c r="D39074" s="8">
        <v>0</v>
      </c>
      <c r="E39074" s="8">
        <v>0</v>
      </c>
      <c r="F39074" s="8">
        <v>7</v>
      </c>
    </row>
    <row r="39075" spans="1:6" ht="12.75">
      <c r="A39075" s="8">
        <v>43886.951782407406</v>
      </c>
      <c r="B39075" s="8" t="str">
        <f>HYPERLINK("https://twitter.com/kiyudgirl","@kiyudgirl")</f>
        <v>@kiyudgirl</v>
      </c>
      <c r="C39075" s="8" t="s">
        <v>15033</v>
      </c>
      <c r="D39075" s="8">
        <v>0</v>
      </c>
      <c r="E39075" s="8">
        <v>0</v>
      </c>
      <c r="F39075" s="8">
        <v>1935</v>
      </c>
    </row>
    <row r="39076" spans="1:6" ht="12.75">
      <c r="A39076" s="8">
        <v>43886.951157407406</v>
      </c>
      <c r="B39076" s="8" t="str">
        <f>HYPERLINK("https://twitter.com/OposisiNyentrik","@OposisiNyentrik")</f>
        <v>@OposisiNyentrik</v>
      </c>
      <c r="C39076" s="8" t="s">
        <v>14696</v>
      </c>
      <c r="D39076" s="8">
        <v>1</v>
      </c>
      <c r="E39076" s="8">
        <v>0</v>
      </c>
      <c r="F39076" s="8">
        <v>388</v>
      </c>
    </row>
    <row r="39077" spans="1:6" ht="12.75">
      <c r="A39077" s="8">
        <v>43886.950902777782</v>
      </c>
      <c r="B39077" s="8" t="str">
        <f>HYPERLINK("https://twitter.com/blackpink828","@blackpink828")</f>
        <v>@blackpink828</v>
      </c>
      <c r="C39077" s="8" t="s">
        <v>15034</v>
      </c>
      <c r="D39077" s="8">
        <v>22</v>
      </c>
      <c r="E39077" s="8">
        <v>0</v>
      </c>
      <c r="F39077" s="8">
        <v>2842</v>
      </c>
    </row>
    <row r="39078" spans="1:6" ht="12.75">
      <c r="A39078" s="8">
        <v>43886.950833333336</v>
      </c>
      <c r="B39078" s="8" t="str">
        <f>HYPERLINK("https://twitter.com/hadifianwidjaja","@hadifianwidjaja")</f>
        <v>@hadifianwidjaja</v>
      </c>
      <c r="C39078" s="8" t="s">
        <v>15035</v>
      </c>
      <c r="D39078" s="8">
        <v>0</v>
      </c>
      <c r="E39078" s="8">
        <v>0</v>
      </c>
      <c r="F39078" s="8">
        <v>512</v>
      </c>
    </row>
    <row r="39079" spans="1:6" ht="12.75">
      <c r="A39079" s="8">
        <v>43886.950706018513</v>
      </c>
      <c r="B39079" s="8" t="str">
        <f>HYPERLINK("https://twitter.com/erwinzulfikar","@erwinzulfikar")</f>
        <v>@erwinzulfikar</v>
      </c>
      <c r="C39079" s="8" t="s">
        <v>13365</v>
      </c>
      <c r="D39079" s="8">
        <v>208</v>
      </c>
      <c r="E39079" s="8">
        <v>0</v>
      </c>
      <c r="F39079" s="8">
        <v>443</v>
      </c>
    </row>
    <row r="39080" spans="1:6" ht="12.75">
      <c r="A39080" s="8">
        <v>43886.950682870374</v>
      </c>
      <c r="B39080" s="8" t="str">
        <f>HYPERLINK("https://twitter.com/xixie13","@xixie13")</f>
        <v>@xixie13</v>
      </c>
      <c r="C39080" s="8" t="s">
        <v>11183</v>
      </c>
      <c r="D39080" s="8">
        <v>243</v>
      </c>
      <c r="E39080" s="8">
        <v>0</v>
      </c>
      <c r="F39080" s="8">
        <v>36</v>
      </c>
    </row>
    <row r="39081" spans="1:6" ht="12.75">
      <c r="A39081" s="8">
        <v>43886.950636574074</v>
      </c>
      <c r="B39081" s="8" t="str">
        <f>HYPERLINK("https://twitter.com/Leoherlambang12","@Leoherlambang12")</f>
        <v>@Leoherlambang12</v>
      </c>
      <c r="C39081" s="8" t="s">
        <v>14921</v>
      </c>
      <c r="D39081" s="8">
        <v>9</v>
      </c>
      <c r="E39081" s="8">
        <v>0</v>
      </c>
      <c r="F39081" s="8">
        <v>78</v>
      </c>
    </row>
    <row r="39082" spans="1:6" ht="12.75">
      <c r="A39082" s="8">
        <v>43886.950613425928</v>
      </c>
      <c r="B39082" s="8" t="str">
        <f>HYPERLINK("https://twitter.com/TrioMacari2000","@TrioMacari2000")</f>
        <v>@TrioMacari2000</v>
      </c>
      <c r="C39082" s="8" t="s">
        <v>13365</v>
      </c>
      <c r="D39082" s="8">
        <v>208</v>
      </c>
      <c r="E39082" s="8">
        <v>0</v>
      </c>
      <c r="F39082" s="8">
        <v>6520</v>
      </c>
    </row>
    <row r="39083" spans="1:6" ht="12.75">
      <c r="A39083" s="8">
        <v>43886.950370370367</v>
      </c>
      <c r="B39083" s="8" t="str">
        <f>HYPERLINK("https://twitter.com/GunGunG49169853","@GunGunG49169853")</f>
        <v>@GunGunG49169853</v>
      </c>
      <c r="C39083" s="8" t="s">
        <v>11964</v>
      </c>
      <c r="D39083" s="8">
        <v>484</v>
      </c>
      <c r="E39083" s="8">
        <v>0</v>
      </c>
      <c r="F39083" s="8">
        <v>1028</v>
      </c>
    </row>
    <row r="39084" spans="1:6" ht="12.75">
      <c r="A39084" s="8">
        <v>43886.950254629628</v>
      </c>
      <c r="B39084" s="8" t="str">
        <f>HYPERLINK("https://twitter.com/TrioMacari2000","@TrioMacari2000")</f>
        <v>@TrioMacari2000</v>
      </c>
      <c r="C39084" s="8" t="s">
        <v>14600</v>
      </c>
      <c r="D39084" s="8">
        <v>20</v>
      </c>
      <c r="E39084" s="8">
        <v>0</v>
      </c>
      <c r="F39084" s="8">
        <v>6520</v>
      </c>
    </row>
    <row r="39085" spans="1:6" ht="12.75">
      <c r="A39085" s="8">
        <v>43886.950185185182</v>
      </c>
      <c r="B39085" s="8" t="str">
        <f>HYPERLINK("https://twitter.com/Syaitoonn","@Syaitoonn")</f>
        <v>@Syaitoonn</v>
      </c>
      <c r="C39085" s="8" t="s">
        <v>13365</v>
      </c>
      <c r="D39085" s="8">
        <v>208</v>
      </c>
      <c r="E39085" s="8">
        <v>0</v>
      </c>
      <c r="F39085" s="8">
        <v>496</v>
      </c>
    </row>
    <row r="39086" spans="1:6" ht="12.75">
      <c r="A39086" s="8">
        <v>43886.950173611112</v>
      </c>
      <c r="B39086" s="8" t="str">
        <f>HYPERLINK("https://twitter.com/prilcila","@prilcila")</f>
        <v>@prilcila</v>
      </c>
      <c r="C39086" s="8" t="s">
        <v>14921</v>
      </c>
      <c r="D39086" s="8">
        <v>9</v>
      </c>
      <c r="E39086" s="8">
        <v>0</v>
      </c>
      <c r="F39086" s="8">
        <v>1472</v>
      </c>
    </row>
    <row r="39087" spans="1:6" ht="12.75">
      <c r="A39087" s="8">
        <v>43886.950023148151</v>
      </c>
      <c r="B39087" s="8" t="str">
        <f>HYPERLINK("https://twitter.com/AgungWidrajat","@AgungWidrajat")</f>
        <v>@AgungWidrajat</v>
      </c>
      <c r="C39087" s="8" t="s">
        <v>14922</v>
      </c>
      <c r="D39087" s="8">
        <v>5</v>
      </c>
      <c r="E39087" s="8">
        <v>0</v>
      </c>
      <c r="F39087" s="8">
        <v>2317</v>
      </c>
    </row>
    <row r="39088" spans="1:6" ht="12.75">
      <c r="A39088" s="8">
        <v>43886.949745370366</v>
      </c>
      <c r="B39088" s="8" t="str">
        <f>HYPERLINK("https://twitter.com/Atha879","@Atha879")</f>
        <v>@Atha879</v>
      </c>
      <c r="C39088" s="8" t="s">
        <v>11301</v>
      </c>
      <c r="D39088" s="8">
        <v>17</v>
      </c>
      <c r="E39088" s="8">
        <v>0</v>
      </c>
      <c r="F39088" s="8">
        <v>1448</v>
      </c>
    </row>
    <row r="39089" spans="1:6" ht="12.75">
      <c r="A39089" s="8">
        <v>43886.949641203704</v>
      </c>
      <c r="B39089" s="8" t="str">
        <f>HYPERLINK("https://twitter.com/amanda_batrisya","@amanda_batrisya")</f>
        <v>@amanda_batrisya</v>
      </c>
      <c r="C39089" s="8" t="s">
        <v>13365</v>
      </c>
      <c r="D39089" s="8">
        <v>208</v>
      </c>
      <c r="E39089" s="8">
        <v>0</v>
      </c>
      <c r="F39089" s="8">
        <v>1022</v>
      </c>
    </row>
    <row r="39090" spans="1:6" ht="12.75">
      <c r="A39090" s="8">
        <v>43886.949525462958</v>
      </c>
      <c r="B39090" s="8" t="str">
        <f>HYPERLINK("https://twitter.com/ariefirsyad15","@ariefirsyad15")</f>
        <v>@ariefirsyad15</v>
      </c>
      <c r="C39090" s="8" t="s">
        <v>13365</v>
      </c>
      <c r="D39090" s="8">
        <v>208</v>
      </c>
      <c r="E39090" s="8">
        <v>0</v>
      </c>
      <c r="F39090" s="8">
        <v>416</v>
      </c>
    </row>
    <row r="39091" spans="1:6" ht="12.75">
      <c r="A39091" s="8">
        <v>43886.949432870373</v>
      </c>
      <c r="B39091" s="8" t="str">
        <f>HYPERLINK("https://twitter.com/anfadhila_","@anfadhila_")</f>
        <v>@anfadhila_</v>
      </c>
      <c r="C39091" s="8" t="s">
        <v>2941</v>
      </c>
      <c r="D39091" s="8">
        <v>676</v>
      </c>
      <c r="E39091" s="8">
        <v>0</v>
      </c>
      <c r="F39091" s="8">
        <v>267</v>
      </c>
    </row>
    <row r="39092" spans="1:6" ht="12.75">
      <c r="A39092" s="8">
        <v>43886.949340277773</v>
      </c>
      <c r="B39092" s="8" t="str">
        <f>HYPERLINK("https://twitter.com/OnlyToday01","@OnlyToday01")</f>
        <v>@OnlyToday01</v>
      </c>
      <c r="C39092" s="8" t="s">
        <v>13365</v>
      </c>
      <c r="D39092" s="8">
        <v>208</v>
      </c>
      <c r="E39092" s="8">
        <v>0</v>
      </c>
      <c r="F39092" s="8">
        <v>1411</v>
      </c>
    </row>
    <row r="39093" spans="1:6" ht="12.75">
      <c r="A39093" s="8">
        <v>43886.949259259258</v>
      </c>
      <c r="B39093" s="8" t="str">
        <f>HYPERLINK("https://twitter.com/AnakKolong___","@AnakKolong___")</f>
        <v>@AnakKolong___</v>
      </c>
      <c r="C39093" s="8" t="s">
        <v>14922</v>
      </c>
      <c r="D39093" s="8">
        <v>5</v>
      </c>
      <c r="E39093" s="8">
        <v>0</v>
      </c>
      <c r="F39093" s="8">
        <v>6933</v>
      </c>
    </row>
    <row r="39094" spans="1:6" ht="12.75">
      <c r="A39094" s="8">
        <v>43886.94908564815</v>
      </c>
      <c r="B39094" s="8" t="str">
        <f>HYPERLINK("https://twitter.com/abangifoel","@abangifoel")</f>
        <v>@abangifoel</v>
      </c>
      <c r="C39094" s="8" t="s">
        <v>15034</v>
      </c>
      <c r="D39094" s="8">
        <v>22</v>
      </c>
      <c r="E39094" s="8">
        <v>0</v>
      </c>
      <c r="F39094" s="8">
        <v>6746</v>
      </c>
    </row>
    <row r="39095" spans="1:6" ht="12.75">
      <c r="A39095" s="8">
        <v>43886.949074074073</v>
      </c>
      <c r="B39095" s="8" t="str">
        <f>HYPERLINK("https://twitter.com/tamaralxndr","@tamaralxndr")</f>
        <v>@tamaralxndr</v>
      </c>
      <c r="C39095" s="8" t="s">
        <v>2941</v>
      </c>
      <c r="D39095" s="8">
        <v>676</v>
      </c>
      <c r="E39095" s="8">
        <v>0</v>
      </c>
      <c r="F39095" s="8">
        <v>22</v>
      </c>
    </row>
    <row r="39096" spans="1:6" ht="12.75">
      <c r="A39096" s="8">
        <v>43886.948981481481</v>
      </c>
      <c r="B39096" s="8" t="str">
        <f>HYPERLINK("https://twitter.com/wni_jmsri","@wni_jmsri")</f>
        <v>@wni_jmsri</v>
      </c>
      <c r="C39096" s="8" t="s">
        <v>15036</v>
      </c>
      <c r="D39096" s="8">
        <v>20</v>
      </c>
      <c r="E39096" s="8">
        <v>0</v>
      </c>
      <c r="F39096" s="8">
        <v>196</v>
      </c>
    </row>
    <row r="39097" spans="1:6" ht="12.75">
      <c r="A39097" s="8">
        <v>43886.948958333334</v>
      </c>
      <c r="B39097" s="8" t="str">
        <f>HYPERLINK("https://twitter.com/ISIS_Balik_NO","@ISIS_Balik_NO")</f>
        <v>@ISIS_Balik_NO</v>
      </c>
      <c r="C39097" s="8" t="s">
        <v>15037</v>
      </c>
      <c r="D39097" s="8">
        <v>334</v>
      </c>
      <c r="E39097" s="8">
        <v>0</v>
      </c>
      <c r="F39097" s="8">
        <v>6087</v>
      </c>
    </row>
    <row r="39098" spans="1:6" ht="12.75">
      <c r="A39098" s="8">
        <v>43886.948865740742</v>
      </c>
      <c r="B39098" s="8" t="str">
        <f>HYPERLINK("https://twitter.com/RapidVolcano","@RapidVolcano")</f>
        <v>@RapidVolcano</v>
      </c>
      <c r="C39098" s="8" t="s">
        <v>11183</v>
      </c>
      <c r="D39098" s="8">
        <v>243</v>
      </c>
      <c r="E39098" s="8">
        <v>0</v>
      </c>
      <c r="F39098" s="8">
        <v>245</v>
      </c>
    </row>
    <row r="39099" spans="1:6" ht="12.75">
      <c r="A39099" s="8">
        <v>43886.948865740742</v>
      </c>
      <c r="B39099" s="8" t="str">
        <f>HYPERLINK("https://twitter.com/Iwan_OConner","@Iwan_OConner")</f>
        <v>@Iwan_OConner</v>
      </c>
      <c r="C39099" s="8" t="s">
        <v>13365</v>
      </c>
      <c r="D39099" s="8">
        <v>208</v>
      </c>
      <c r="E39099" s="8">
        <v>0</v>
      </c>
      <c r="F39099" s="8">
        <v>301</v>
      </c>
    </row>
    <row r="39100" spans="1:6" ht="12.75">
      <c r="A39100" s="8">
        <v>43886.948773148149</v>
      </c>
      <c r="B39100" s="8" t="str">
        <f>HYPERLINK("https://twitter.com/LampardWirky","@LampardWirky")</f>
        <v>@LampardWirky</v>
      </c>
      <c r="C39100" s="8" t="s">
        <v>13365</v>
      </c>
      <c r="D39100" s="8">
        <v>208</v>
      </c>
      <c r="E39100" s="8">
        <v>0</v>
      </c>
      <c r="F39100" s="8">
        <v>40</v>
      </c>
    </row>
    <row r="39101" spans="1:6" ht="12.75">
      <c r="A39101" s="8">
        <v>43886.948749999996</v>
      </c>
      <c r="B39101" s="8" t="str">
        <f>HYPERLINK("https://twitter.com/SinghTvitter","@SinghTvitter")</f>
        <v>@SinghTvitter</v>
      </c>
      <c r="C39101" s="8" t="s">
        <v>15038</v>
      </c>
      <c r="D39101" s="8">
        <v>0</v>
      </c>
      <c r="E39101" s="8">
        <v>0</v>
      </c>
      <c r="F39101" s="8">
        <v>1177</v>
      </c>
    </row>
    <row r="39102" spans="1:6" ht="12.75">
      <c r="A39102" s="8">
        <v>43886.923402777778</v>
      </c>
      <c r="B39102" s="8" t="str">
        <f>HYPERLINK("https://twitter.com/vidha_kusuma","@vidha_kusuma")</f>
        <v>@vidha_kusuma</v>
      </c>
      <c r="C39102" s="8" t="s">
        <v>6638</v>
      </c>
      <c r="D39102" s="8">
        <v>53</v>
      </c>
      <c r="E39102" s="8">
        <v>0</v>
      </c>
      <c r="F39102" s="8">
        <v>1131</v>
      </c>
    </row>
    <row r="39103" spans="1:6" ht="12.75">
      <c r="A39103" s="8">
        <v>43886.923206018517</v>
      </c>
      <c r="B39103" s="8" t="str">
        <f>HYPERLINK("https://twitter.com/Hermawa04408791","@Hermawa04408791")</f>
        <v>@Hermawa04408791</v>
      </c>
      <c r="C39103" s="8" t="s">
        <v>13365</v>
      </c>
      <c r="D39103" s="8">
        <v>133</v>
      </c>
      <c r="E39103" s="8">
        <v>0</v>
      </c>
      <c r="F39103" s="8">
        <v>22</v>
      </c>
    </row>
    <row r="39104" spans="1:6" ht="12.75">
      <c r="A39104" s="8">
        <v>43886.922858796301</v>
      </c>
      <c r="B39104" s="8" t="str">
        <f>HYPERLINK("https://twitter.com/duabela69862203","@duabela69862203")</f>
        <v>@duabela69862203</v>
      </c>
      <c r="C39104" s="8" t="s">
        <v>15039</v>
      </c>
      <c r="D39104" s="8">
        <v>0</v>
      </c>
      <c r="E39104" s="8">
        <v>0</v>
      </c>
      <c r="F39104" s="8">
        <v>69</v>
      </c>
    </row>
    <row r="39105" spans="1:6" ht="12.75">
      <c r="A39105" s="8">
        <v>43886.922638888893</v>
      </c>
      <c r="B39105" s="8" t="str">
        <f>HYPERLINK("https://twitter.com/Burhan75568087","@Burhan75568087")</f>
        <v>@Burhan75568087</v>
      </c>
      <c r="C39105" s="8" t="s">
        <v>2941</v>
      </c>
      <c r="D39105" s="8">
        <v>619</v>
      </c>
      <c r="E39105" s="8">
        <v>0</v>
      </c>
      <c r="F39105" s="8">
        <v>2185</v>
      </c>
    </row>
    <row r="39106" spans="1:6" ht="12.75">
      <c r="A39106" s="8">
        <v>43886.922222222223</v>
      </c>
      <c r="B39106" s="8" t="str">
        <f>HYPERLINK("https://twitter.com/nuriiiin_91","@nuriiiin_91")</f>
        <v>@nuriiiin_91</v>
      </c>
      <c r="C39106" s="8" t="s">
        <v>11301</v>
      </c>
      <c r="D39106" s="8">
        <v>14</v>
      </c>
      <c r="E39106" s="8">
        <v>0</v>
      </c>
      <c r="F39106" s="8">
        <v>141</v>
      </c>
    </row>
    <row r="39107" spans="1:6" ht="12.75">
      <c r="A39107" s="8">
        <v>43886.922129629631</v>
      </c>
      <c r="B39107" s="8" t="str">
        <f>HYPERLINK("https://twitter.com/ShyaReepah","@ShyaReepah")</f>
        <v>@ShyaReepah</v>
      </c>
      <c r="C39107" s="8" t="s">
        <v>11301</v>
      </c>
      <c r="D39107" s="8">
        <v>14</v>
      </c>
      <c r="E39107" s="8">
        <v>0</v>
      </c>
      <c r="F39107" s="8">
        <v>1026</v>
      </c>
    </row>
    <row r="39108" spans="1:6" ht="12.75">
      <c r="A39108" s="8">
        <v>43886.922129629631</v>
      </c>
      <c r="B39108" s="8" t="str">
        <f>HYPERLINK("https://twitter.com/Nadhifa_NaQ","@Nadhifa_NaQ")</f>
        <v>@Nadhifa_NaQ</v>
      </c>
      <c r="C39108" s="8" t="s">
        <v>13365</v>
      </c>
      <c r="D39108" s="8">
        <v>133</v>
      </c>
      <c r="E39108" s="8">
        <v>0</v>
      </c>
      <c r="F39108" s="8">
        <v>837</v>
      </c>
    </row>
    <row r="39109" spans="1:6" ht="12.75">
      <c r="A39109" s="8">
        <v>43886.921712962961</v>
      </c>
      <c r="B39109" s="8" t="str">
        <f>HYPERLINK("https://twitter.com/RapidVolcano","@RapidVolcano")</f>
        <v>@RapidVolcano</v>
      </c>
      <c r="C39109" s="8" t="s">
        <v>2941</v>
      </c>
      <c r="D39109" s="8">
        <v>619</v>
      </c>
      <c r="E39109" s="8">
        <v>0</v>
      </c>
      <c r="F39109" s="8">
        <v>245</v>
      </c>
    </row>
    <row r="39110" spans="1:6" ht="12.75">
      <c r="A39110" s="8">
        <v>43886.921631944446</v>
      </c>
      <c r="B39110" s="8" t="str">
        <f>HYPERLINK("https://twitter.com/genrioka","@genrioka")</f>
        <v>@genrioka</v>
      </c>
      <c r="C39110" s="8" t="s">
        <v>11964</v>
      </c>
      <c r="D39110" s="8">
        <v>472</v>
      </c>
      <c r="E39110" s="8">
        <v>0</v>
      </c>
      <c r="F39110" s="8">
        <v>65</v>
      </c>
    </row>
    <row r="39111" spans="1:6" ht="12.75">
      <c r="A39111" s="8">
        <v>43886.9216087963</v>
      </c>
      <c r="B39111" s="8" t="str">
        <f>HYPERLINK("https://twitter.com/msyulias","@msyulias")</f>
        <v>@msyulias</v>
      </c>
      <c r="C39111" s="8" t="s">
        <v>2941</v>
      </c>
      <c r="D39111" s="8">
        <v>619</v>
      </c>
      <c r="E39111" s="8">
        <v>0</v>
      </c>
      <c r="F39111" s="8">
        <v>25</v>
      </c>
    </row>
    <row r="39112" spans="1:6" ht="12.75">
      <c r="A39112" s="8">
        <v>43886.921446759261</v>
      </c>
      <c r="B39112" s="8" t="str">
        <f>HYPERLINK("https://twitter.com/Derri_dayen","@Derri_dayen")</f>
        <v>@Derri_dayen</v>
      </c>
      <c r="C39112" s="8" t="s">
        <v>11964</v>
      </c>
      <c r="D39112" s="8">
        <v>472</v>
      </c>
      <c r="E39112" s="8">
        <v>0</v>
      </c>
      <c r="F39112" s="8">
        <v>671</v>
      </c>
    </row>
    <row r="39113" spans="1:6" ht="12.75">
      <c r="A39113" s="8">
        <v>43886.921365740738</v>
      </c>
      <c r="B39113" s="8" t="str">
        <f>HYPERLINK("https://twitter.com/BangNe0","@BangNe0")</f>
        <v>@BangNe0</v>
      </c>
      <c r="C39113" s="8" t="s">
        <v>11964</v>
      </c>
      <c r="D39113" s="8">
        <v>472</v>
      </c>
      <c r="E39113" s="8">
        <v>0</v>
      </c>
      <c r="F39113" s="8">
        <v>521</v>
      </c>
    </row>
    <row r="39114" spans="1:6" ht="12.75">
      <c r="A39114" s="8">
        <v>43886.921284722222</v>
      </c>
      <c r="B39114" s="8" t="str">
        <f>HYPERLINK("https://twitter.com/rockripp","@rockripp")</f>
        <v>@rockripp</v>
      </c>
      <c r="C39114" s="8" t="s">
        <v>14430</v>
      </c>
      <c r="D39114" s="8">
        <v>83</v>
      </c>
      <c r="E39114" s="8">
        <v>0</v>
      </c>
      <c r="F39114" s="8">
        <v>406</v>
      </c>
    </row>
    <row r="39115" spans="1:6" ht="12.75">
      <c r="A39115" s="8">
        <v>43886.921226851853</v>
      </c>
      <c r="B39115" s="8" t="str">
        <f>HYPERLINK("https://twitter.com/SfHarry2","@SfHarry2")</f>
        <v>@SfHarry2</v>
      </c>
      <c r="C39115" s="8" t="s">
        <v>8484</v>
      </c>
      <c r="D39115" s="8">
        <v>901</v>
      </c>
      <c r="E39115" s="8">
        <v>0</v>
      </c>
      <c r="F39115" s="8">
        <v>2615</v>
      </c>
    </row>
    <row r="39116" spans="1:6" ht="12.75">
      <c r="A39116" s="8">
        <v>43886.920891203699</v>
      </c>
      <c r="B39116" s="8" t="str">
        <f>HYPERLINK("https://twitter.com/KompasTV","@KompasTV")</f>
        <v>@KompasTV</v>
      </c>
      <c r="C39116" s="8" t="s">
        <v>15040</v>
      </c>
      <c r="D39116" s="8">
        <v>0</v>
      </c>
      <c r="E39116" s="8">
        <v>0</v>
      </c>
      <c r="F39116" s="8">
        <v>2948667</v>
      </c>
    </row>
    <row r="39117" spans="1:6" ht="12.75">
      <c r="A39117" s="8">
        <v>43886.920856481476</v>
      </c>
      <c r="B39117" s="8" t="str">
        <f>HYPERLINK("https://twitter.com/bodoamaatlah","@bodoamaatlah")</f>
        <v>@bodoamaatlah</v>
      </c>
      <c r="C39117" s="8" t="s">
        <v>2941</v>
      </c>
      <c r="D39117" s="8">
        <v>619</v>
      </c>
      <c r="E39117" s="8">
        <v>0</v>
      </c>
      <c r="F39117" s="8">
        <v>240</v>
      </c>
    </row>
    <row r="39118" spans="1:6" ht="12.75">
      <c r="A39118" s="8">
        <v>43886.920543981483</v>
      </c>
      <c r="B39118" s="8" t="str">
        <f>HYPERLINK("https://twitter.com/Cahyo22543290","@Cahyo22543290")</f>
        <v>@Cahyo22543290</v>
      </c>
      <c r="C39118" s="8" t="s">
        <v>2941</v>
      </c>
      <c r="D39118" s="8">
        <v>619</v>
      </c>
      <c r="E39118" s="8">
        <v>0</v>
      </c>
      <c r="F39118" s="8">
        <v>117</v>
      </c>
    </row>
    <row r="39119" spans="1:6" ht="12.75">
      <c r="A39119" s="8">
        <v>43886.920335648145</v>
      </c>
      <c r="B39119" s="8" t="str">
        <f>HYPERLINK("https://twitter.com/Candramasi1","@Candramasi1")</f>
        <v>@Candramasi1</v>
      </c>
      <c r="C39119" s="8" t="s">
        <v>13365</v>
      </c>
      <c r="D39119" s="8">
        <v>133</v>
      </c>
      <c r="E39119" s="8">
        <v>0</v>
      </c>
      <c r="F39119" s="8">
        <v>203</v>
      </c>
    </row>
    <row r="39120" spans="1:6" ht="12.75">
      <c r="A39120" s="8">
        <v>43886.92024305556</v>
      </c>
      <c r="B39120" s="8" t="str">
        <f>HYPERLINK("https://twitter.com/fchkautsar","@fchkautsar")</f>
        <v>@fchkautsar</v>
      </c>
      <c r="C39120" s="8" t="s">
        <v>13365</v>
      </c>
      <c r="D39120" s="8">
        <v>133</v>
      </c>
      <c r="E39120" s="8">
        <v>0</v>
      </c>
      <c r="F39120" s="8">
        <v>32</v>
      </c>
    </row>
    <row r="39121" spans="1:6" ht="12.75">
      <c r="A39121" s="8">
        <v>43886.920115740737</v>
      </c>
      <c r="B39121" s="8" t="str">
        <f>HYPERLINK("https://twitter.com/AyundhaDewi2","@AyundhaDewi2")</f>
        <v>@AyundhaDewi2</v>
      </c>
      <c r="C39121" s="8" t="s">
        <v>15041</v>
      </c>
      <c r="D39121" s="8">
        <v>0</v>
      </c>
      <c r="E39121" s="8">
        <v>0</v>
      </c>
      <c r="F39121" s="8">
        <v>17</v>
      </c>
    </row>
    <row r="39122" spans="1:6" ht="12.75">
      <c r="A39122" s="8">
        <v>43886.920069444444</v>
      </c>
      <c r="B39122" s="8" t="str">
        <f>HYPERLINK("https://twitter.com/DeniSuryadani","@DeniSuryadani")</f>
        <v>@DeniSuryadani</v>
      </c>
      <c r="C39122" s="8" t="s">
        <v>14921</v>
      </c>
      <c r="D39122" s="8">
        <v>4</v>
      </c>
      <c r="E39122" s="8">
        <v>0</v>
      </c>
      <c r="F39122" s="8">
        <v>835</v>
      </c>
    </row>
    <row r="39123" spans="1:6" ht="12.75">
      <c r="A39123" s="8">
        <v>43886.919965277775</v>
      </c>
      <c r="B39123" s="8" t="str">
        <f>HYPERLINK("https://twitter.com/trisnafajar00","@trisnafajar00")</f>
        <v>@trisnafajar00</v>
      </c>
      <c r="C39123" s="8" t="s">
        <v>2941</v>
      </c>
      <c r="D39123" s="8">
        <v>619</v>
      </c>
      <c r="E39123" s="8">
        <v>0</v>
      </c>
      <c r="F39123" s="8">
        <v>2</v>
      </c>
    </row>
    <row r="39124" spans="1:6" ht="12.75">
      <c r="A39124" s="8">
        <v>43886.919710648144</v>
      </c>
      <c r="B39124" s="8" t="str">
        <f>HYPERLINK("https://twitter.com/Elasarabu","@Elasarabu")</f>
        <v>@Elasarabu</v>
      </c>
      <c r="C39124" s="8" t="s">
        <v>15042</v>
      </c>
      <c r="D39124" s="8">
        <v>0</v>
      </c>
      <c r="E39124" s="8">
        <v>0</v>
      </c>
      <c r="F39124" s="8">
        <v>1</v>
      </c>
    </row>
    <row r="39125" spans="1:6" ht="12.75">
      <c r="A39125" s="8">
        <v>43886.918993055559</v>
      </c>
      <c r="B39125" s="8" t="str">
        <f>HYPERLINK("https://twitter.com/uwudeen","@uwudeen")</f>
        <v>@uwudeen</v>
      </c>
      <c r="C39125" s="8" t="s">
        <v>14430</v>
      </c>
      <c r="D39125" s="8">
        <v>83</v>
      </c>
      <c r="E39125" s="8">
        <v>0</v>
      </c>
      <c r="F39125" s="8">
        <v>613</v>
      </c>
    </row>
    <row r="39126" spans="1:6" ht="12.75">
      <c r="A39126" s="8">
        <v>43886.918819444443</v>
      </c>
      <c r="B39126" s="8" t="str">
        <f>HYPERLINK("https://twitter.com/suaradotcom","@suaradotcom")</f>
        <v>@suaradotcom</v>
      </c>
      <c r="C39126" s="8" t="s">
        <v>15043</v>
      </c>
      <c r="D39126" s="8">
        <v>0</v>
      </c>
      <c r="E39126" s="8">
        <v>0</v>
      </c>
      <c r="F39126" s="8">
        <v>24237</v>
      </c>
    </row>
    <row r="39127" spans="1:6" ht="12.75">
      <c r="A39127" s="8">
        <v>43886.918645833328</v>
      </c>
      <c r="B39127" s="8" t="str">
        <f>HYPERLINK("https://twitter.com/andrialhadid","@andrialhadid")</f>
        <v>@andrialhadid</v>
      </c>
      <c r="C39127" s="8" t="s">
        <v>2941</v>
      </c>
      <c r="D39127" s="8">
        <v>619</v>
      </c>
      <c r="E39127" s="8">
        <v>0</v>
      </c>
      <c r="F39127" s="8">
        <v>12</v>
      </c>
    </row>
    <row r="39128" spans="1:6" ht="12.75">
      <c r="A39128" s="8">
        <v>43886.918437500004</v>
      </c>
      <c r="B39128" s="8" t="str">
        <f>HYPERLINK("https://twitter.com/BillTemporo","@BillTemporo")</f>
        <v>@BillTemporo</v>
      </c>
      <c r="C39128" s="8" t="s">
        <v>323</v>
      </c>
      <c r="D39128" s="8">
        <v>0</v>
      </c>
      <c r="E39128" s="8">
        <v>0</v>
      </c>
      <c r="F39128" s="8">
        <v>11</v>
      </c>
    </row>
    <row r="39129" spans="1:6" ht="12.75">
      <c r="A39129" s="8">
        <v>43886.918310185181</v>
      </c>
      <c r="B39129" s="8" t="str">
        <f>HYPERLINK("https://twitter.com/samudranesiaID","@samudranesiaID")</f>
        <v>@samudranesiaID</v>
      </c>
      <c r="C39129" s="8" t="s">
        <v>15044</v>
      </c>
      <c r="D39129" s="8">
        <v>0</v>
      </c>
      <c r="E39129" s="8">
        <v>0</v>
      </c>
      <c r="F39129" s="8">
        <v>357</v>
      </c>
    </row>
    <row r="39130" spans="1:6" ht="12.75">
      <c r="A39130" s="8">
        <v>43886.918171296296</v>
      </c>
      <c r="B39130" s="8" t="str">
        <f>HYPERLINK("https://twitter.com/riva_bond","@riva_bond")</f>
        <v>@riva_bond</v>
      </c>
      <c r="C39130" s="8" t="s">
        <v>13365</v>
      </c>
      <c r="D39130" s="8">
        <v>133</v>
      </c>
      <c r="E39130" s="8">
        <v>0</v>
      </c>
      <c r="F39130" s="8">
        <v>379</v>
      </c>
    </row>
    <row r="39131" spans="1:6" ht="12.75">
      <c r="A39131" s="8">
        <v>43886.917997685188</v>
      </c>
      <c r="B39131" s="8" t="str">
        <f>HYPERLINK("https://twitter.com/buahlangka","@buahlangka")</f>
        <v>@buahlangka</v>
      </c>
      <c r="C39131" s="8" t="s">
        <v>2941</v>
      </c>
      <c r="D39131" s="8">
        <v>619</v>
      </c>
      <c r="E39131" s="8">
        <v>0</v>
      </c>
      <c r="F39131" s="8">
        <v>415</v>
      </c>
    </row>
    <row r="39132" spans="1:6" ht="12.75">
      <c r="A39132" s="8">
        <v>43886.917511574073</v>
      </c>
      <c r="B39132" s="8" t="str">
        <f>HYPERLINK("https://twitter.com/BudiRahadian5","@BudiRahadian5")</f>
        <v>@BudiRahadian5</v>
      </c>
      <c r="C39132" s="8" t="s">
        <v>11183</v>
      </c>
      <c r="D39132" s="8">
        <v>223</v>
      </c>
      <c r="E39132" s="8">
        <v>0</v>
      </c>
      <c r="F39132" s="8">
        <v>1314</v>
      </c>
    </row>
    <row r="39133" spans="1:6" ht="12.75">
      <c r="A39133" s="8">
        <v>43886.916944444441</v>
      </c>
      <c r="B39133" s="8" t="str">
        <f>HYPERLINK("https://twitter.com/FizaHasna9","@FizaHasna9")</f>
        <v>@FizaHasna9</v>
      </c>
      <c r="C39133" s="8" t="s">
        <v>2941</v>
      </c>
      <c r="D39133" s="8">
        <v>619</v>
      </c>
      <c r="E39133" s="8">
        <v>0</v>
      </c>
      <c r="F39133" s="8">
        <v>48</v>
      </c>
    </row>
    <row r="39134" spans="1:6" ht="12.75">
      <c r="A39134" s="8">
        <v>43886.916874999995</v>
      </c>
      <c r="B39134" s="8" t="str">
        <f>HYPERLINK("https://twitter.com/Muhamad_42","@Muhamad_42")</f>
        <v>@Muhamad_42</v>
      </c>
      <c r="C39134" s="8" t="s">
        <v>2940</v>
      </c>
      <c r="D39134" s="8">
        <v>2529</v>
      </c>
      <c r="E39134" s="8">
        <v>0</v>
      </c>
      <c r="F39134" s="8">
        <v>2473</v>
      </c>
    </row>
    <row r="39135" spans="1:6" ht="12.75">
      <c r="A39135" s="8">
        <v>43886.916678240741</v>
      </c>
      <c r="B39135" s="8" t="str">
        <f>HYPERLINK("https://twitter.com/KompasTV","@KompasTV")</f>
        <v>@KompasTV</v>
      </c>
      <c r="C39135" s="8" t="s">
        <v>15045</v>
      </c>
      <c r="D39135" s="8">
        <v>0</v>
      </c>
      <c r="E39135" s="8">
        <v>2</v>
      </c>
      <c r="F39135" s="8">
        <v>2948667</v>
      </c>
    </row>
    <row r="39136" spans="1:6" ht="12.75">
      <c r="A39136" s="8">
        <v>43886.91642361111</v>
      </c>
      <c r="B39136" s="8" t="str">
        <f>HYPERLINK("https://twitter.com/kaapaloo","@kaapaloo")</f>
        <v>@kaapaloo</v>
      </c>
      <c r="C39136" s="8" t="s">
        <v>13365</v>
      </c>
      <c r="D39136" s="8">
        <v>133</v>
      </c>
      <c r="E39136" s="8">
        <v>0</v>
      </c>
      <c r="F39136" s="8">
        <v>105</v>
      </c>
    </row>
    <row r="39137" spans="1:6" ht="12.75">
      <c r="A39137" s="8">
        <v>43886.916377314818</v>
      </c>
      <c r="B39137" s="8" t="str">
        <f>HYPERLINK("https://twitter.com/uazmi_","@uazmi_")</f>
        <v>@uazmi_</v>
      </c>
      <c r="C39137" s="8" t="s">
        <v>15046</v>
      </c>
      <c r="D39137" s="8">
        <v>0</v>
      </c>
      <c r="E39137" s="8">
        <v>0</v>
      </c>
      <c r="F39137" s="8">
        <v>107</v>
      </c>
    </row>
    <row r="39138" spans="1:6" ht="12.75">
      <c r="A39138" s="8">
        <v>43886.916307870371</v>
      </c>
      <c r="B39138" s="8" t="str">
        <f>HYPERLINK("https://twitter.com/nonnbanon","@nonnbanon")</f>
        <v>@nonnbanon</v>
      </c>
      <c r="C39138" s="8" t="s">
        <v>14600</v>
      </c>
      <c r="D39138" s="8">
        <v>17</v>
      </c>
      <c r="E39138" s="8">
        <v>0</v>
      </c>
      <c r="F39138" s="8">
        <v>608</v>
      </c>
    </row>
    <row r="39139" spans="1:6" ht="12.75">
      <c r="A39139" s="8">
        <v>43886.916284722218</v>
      </c>
      <c r="B39139" s="8" t="str">
        <f>HYPERLINK("https://twitter.com/anis120763","@anis120763")</f>
        <v>@anis120763</v>
      </c>
      <c r="C39139" s="8" t="s">
        <v>11964</v>
      </c>
      <c r="D39139" s="8">
        <v>472</v>
      </c>
      <c r="E39139" s="8">
        <v>0</v>
      </c>
      <c r="F39139" s="8">
        <v>673</v>
      </c>
    </row>
    <row r="39140" spans="1:6" ht="12.75">
      <c r="A39140" s="8">
        <v>43886.916134259256</v>
      </c>
      <c r="B39140" s="8" t="str">
        <f>HYPERLINK("https://twitter.com/sindipminanda","@sindipminanda")</f>
        <v>@sindipminanda</v>
      </c>
      <c r="C39140" s="8" t="s">
        <v>15047</v>
      </c>
      <c r="D39140" s="8">
        <v>1</v>
      </c>
      <c r="E39140" s="8">
        <v>0</v>
      </c>
      <c r="F39140" s="8">
        <v>309</v>
      </c>
    </row>
    <row r="39141" spans="1:6" ht="12.75">
      <c r="A39141" s="8">
        <v>43886.915844907402</v>
      </c>
      <c r="B39141" s="8" t="str">
        <f>HYPERLINK("https://twitter.com/Mala_VMH","@Mala_VMH")</f>
        <v>@Mala_VMH</v>
      </c>
      <c r="C39141" s="8" t="s">
        <v>13365</v>
      </c>
      <c r="D39141" s="8">
        <v>133</v>
      </c>
      <c r="E39141" s="8">
        <v>0</v>
      </c>
      <c r="F39141" s="8">
        <v>2632</v>
      </c>
    </row>
    <row r="39142" spans="1:6" ht="12.75">
      <c r="A39142" s="8">
        <v>43886.915659722217</v>
      </c>
      <c r="B39142" s="8" t="str">
        <f>HYPERLINK("https://twitter.com/paimo65","@paimo65")</f>
        <v>@paimo65</v>
      </c>
      <c r="C39142" s="8" t="s">
        <v>15048</v>
      </c>
      <c r="D39142" s="8">
        <v>2</v>
      </c>
      <c r="E39142" s="8">
        <v>0</v>
      </c>
      <c r="F39142" s="8">
        <v>367</v>
      </c>
    </row>
    <row r="39143" spans="1:6" ht="12.75">
      <c r="A39143" s="8">
        <v>43886.915439814809</v>
      </c>
      <c r="B39143" s="8" t="str">
        <f>HYPERLINK("https://twitter.com/liputan6dotcom","@liputan6dotcom")</f>
        <v>@liputan6dotcom</v>
      </c>
      <c r="C39143" s="8" t="s">
        <v>15049</v>
      </c>
      <c r="D39143" s="8">
        <v>1</v>
      </c>
      <c r="E39143" s="8">
        <v>2</v>
      </c>
      <c r="F39143" s="8">
        <v>3629453</v>
      </c>
    </row>
    <row r="39144" spans="1:6" ht="12.75">
      <c r="A39144" s="8">
        <v>43886.915266203709</v>
      </c>
      <c r="B39144" s="8" t="str">
        <f>HYPERLINK("https://twitter.com/ippei_murayama","@ippei_murayama")</f>
        <v>@ippei_murayama</v>
      </c>
      <c r="C39144" s="8" t="s">
        <v>8484</v>
      </c>
      <c r="D39144" s="8">
        <v>901</v>
      </c>
      <c r="E39144" s="8">
        <v>0</v>
      </c>
      <c r="F39144" s="8">
        <v>52</v>
      </c>
    </row>
    <row r="39145" spans="1:6" ht="12.75">
      <c r="A39145" s="8">
        <v>43886.915173611109</v>
      </c>
      <c r="B39145" s="8" t="str">
        <f>HYPERLINK("https://twitter.com/JunizarT","@JunizarT")</f>
        <v>@JunizarT</v>
      </c>
      <c r="C39145" s="8" t="s">
        <v>11183</v>
      </c>
      <c r="D39145" s="8">
        <v>223</v>
      </c>
      <c r="E39145" s="8">
        <v>0</v>
      </c>
      <c r="F39145" s="8">
        <v>639</v>
      </c>
    </row>
    <row r="39146" spans="1:6" ht="12.75">
      <c r="A39146" s="8">
        <v>43886.915011574078</v>
      </c>
      <c r="B39146" s="8" t="str">
        <f>HYPERLINK("https://twitter.com/aseptuloh","@aseptuloh")</f>
        <v>@aseptuloh</v>
      </c>
      <c r="C39146" s="8" t="s">
        <v>13365</v>
      </c>
      <c r="D39146" s="8">
        <v>133</v>
      </c>
      <c r="E39146" s="8">
        <v>0</v>
      </c>
      <c r="F39146" s="8">
        <v>38</v>
      </c>
    </row>
    <row r="39147" spans="1:6" ht="12.75">
      <c r="A39147" s="8">
        <v>43886.914849537032</v>
      </c>
      <c r="B39147" s="8" t="str">
        <f>HYPERLINK("https://twitter.com/FirdaSyeban","@FirdaSyeban")</f>
        <v>@FirdaSyeban</v>
      </c>
      <c r="C39147" s="8" t="s">
        <v>13365</v>
      </c>
      <c r="D39147" s="8">
        <v>133</v>
      </c>
      <c r="E39147" s="8">
        <v>0</v>
      </c>
      <c r="F39147" s="8">
        <v>1305</v>
      </c>
    </row>
    <row r="39148" spans="1:6" ht="12.75">
      <c r="A39148" s="8">
        <v>43886.914733796293</v>
      </c>
      <c r="B39148" s="8" t="str">
        <f>HYPERLINK("https://twitter.com/Sofia_ardani","@Sofia_ardani")</f>
        <v>@Sofia_ardani</v>
      </c>
      <c r="C39148" s="8" t="s">
        <v>13365</v>
      </c>
      <c r="D39148" s="8">
        <v>133</v>
      </c>
      <c r="E39148" s="8">
        <v>0</v>
      </c>
      <c r="F39148" s="8">
        <v>863</v>
      </c>
    </row>
    <row r="39149" spans="1:6" ht="12.75">
      <c r="A39149" s="8">
        <v>43886.914722222224</v>
      </c>
      <c r="B39149" s="8" t="str">
        <f>HYPERLINK("https://twitter.com/cinderella177","@cinderella177")</f>
        <v>@cinderella177</v>
      </c>
      <c r="C39149" s="8" t="s">
        <v>13365</v>
      </c>
      <c r="D39149" s="8">
        <v>133</v>
      </c>
      <c r="E39149" s="8">
        <v>0</v>
      </c>
      <c r="F39149" s="8">
        <v>1479</v>
      </c>
    </row>
    <row r="39150" spans="1:6" ht="12.75">
      <c r="A39150" s="8">
        <v>43886.914224537039</v>
      </c>
      <c r="B39150" s="8" t="str">
        <f>HYPERLINK("https://twitter.com/iamwearblack","@iamwearblack")</f>
        <v>@iamwearblack</v>
      </c>
      <c r="C39150" s="8" t="s">
        <v>2941</v>
      </c>
      <c r="D39150" s="8">
        <v>619</v>
      </c>
      <c r="E39150" s="8">
        <v>0</v>
      </c>
      <c r="F39150" s="8">
        <v>1091</v>
      </c>
    </row>
    <row r="39151" spans="1:6" ht="12.75">
      <c r="A39151" s="8">
        <v>43886.914097222223</v>
      </c>
      <c r="B39151" s="8" t="str">
        <f>HYPERLINK("https://twitter.com/ichalmattul","@ichalmattul")</f>
        <v>@ichalmattul</v>
      </c>
      <c r="C39151" s="8" t="s">
        <v>13365</v>
      </c>
      <c r="D39151" s="8">
        <v>133</v>
      </c>
      <c r="E39151" s="8">
        <v>0</v>
      </c>
      <c r="F39151" s="8">
        <v>441</v>
      </c>
    </row>
    <row r="39152" spans="1:6" ht="12.75">
      <c r="A39152" s="8">
        <v>43886.914085648154</v>
      </c>
      <c r="B39152" s="8" t="str">
        <f>HYPERLINK("https://twitter.com/monokuwrobo","@monokuwrobo")</f>
        <v>@monokuwrobo</v>
      </c>
      <c r="C39152" s="8" t="s">
        <v>14430</v>
      </c>
      <c r="D39152" s="8">
        <v>83</v>
      </c>
      <c r="E39152" s="8">
        <v>0</v>
      </c>
      <c r="F39152" s="8">
        <v>9439</v>
      </c>
    </row>
    <row r="39153" spans="1:6" ht="12.75">
      <c r="A39153" s="8">
        <v>43886.91405092593</v>
      </c>
      <c r="B39153" s="8" t="str">
        <f>HYPERLINK("https://twitter.com/AlexHrw","@AlexHrw")</f>
        <v>@AlexHrw</v>
      </c>
      <c r="C39153" s="8" t="s">
        <v>11183</v>
      </c>
      <c r="D39153" s="8">
        <v>223</v>
      </c>
      <c r="E39153" s="8">
        <v>0</v>
      </c>
      <c r="F39153" s="8">
        <v>1468</v>
      </c>
    </row>
    <row r="39154" spans="1:6" ht="12.75">
      <c r="A39154" s="8">
        <v>43886.913981481484</v>
      </c>
      <c r="B39154" s="8" t="str">
        <f>HYPERLINK("https://twitter.com/Kenzo_Hamtaro","@Kenzo_Hamtaro")</f>
        <v>@Kenzo_Hamtaro</v>
      </c>
      <c r="C39154" s="8" t="s">
        <v>13365</v>
      </c>
      <c r="D39154" s="8">
        <v>133</v>
      </c>
      <c r="E39154" s="8">
        <v>0</v>
      </c>
      <c r="F39154" s="8">
        <v>1532</v>
      </c>
    </row>
    <row r="39155" spans="1:6" ht="12.75">
      <c r="A39155" s="8">
        <v>43886.913923611108</v>
      </c>
      <c r="B39155" s="8" t="str">
        <f>HYPERLINK("https://twitter.com/dafin_edrin","@dafin_edrin")</f>
        <v>@dafin_edrin</v>
      </c>
      <c r="C39155" s="8" t="s">
        <v>13365</v>
      </c>
      <c r="D39155" s="8">
        <v>133</v>
      </c>
      <c r="E39155" s="8">
        <v>0</v>
      </c>
      <c r="F39155" s="8">
        <v>5</v>
      </c>
    </row>
    <row r="39156" spans="1:6" ht="12.75">
      <c r="A39156" s="8">
        <v>43886.913842592592</v>
      </c>
      <c r="B39156" s="8" t="str">
        <f>HYPERLINK("https://twitter.com/masmoe_adi","@masmoe_adi")</f>
        <v>@masmoe_adi</v>
      </c>
      <c r="C39156" s="8" t="s">
        <v>13108</v>
      </c>
      <c r="D39156" s="8">
        <v>11</v>
      </c>
      <c r="E39156" s="8">
        <v>0</v>
      </c>
      <c r="F39156" s="8">
        <v>862</v>
      </c>
    </row>
    <row r="39157" spans="1:6" ht="12.75">
      <c r="A39157" s="8">
        <v>43886.913831018523</v>
      </c>
      <c r="B39157" s="8" t="str">
        <f>HYPERLINK("https://twitter.com/PKumis29","@PKumis29")</f>
        <v>@PKumis29</v>
      </c>
      <c r="C39157" s="8" t="s">
        <v>14600</v>
      </c>
      <c r="D39157" s="8">
        <v>17</v>
      </c>
      <c r="E39157" s="8">
        <v>0</v>
      </c>
      <c r="F39157" s="8">
        <v>34</v>
      </c>
    </row>
    <row r="39158" spans="1:6" ht="12.75">
      <c r="A39158" s="8">
        <v>43886.913726851853</v>
      </c>
      <c r="B39158" s="8" t="str">
        <f>HYPERLINK("https://twitter.com/Adolf2004","@Adolf2004")</f>
        <v>@Adolf2004</v>
      </c>
      <c r="C39158" s="8" t="s">
        <v>15006</v>
      </c>
      <c r="D39158" s="8">
        <v>2</v>
      </c>
      <c r="E39158" s="8">
        <v>0</v>
      </c>
      <c r="F39158" s="8">
        <v>271</v>
      </c>
    </row>
    <row r="39159" spans="1:6" ht="12.75">
      <c r="A39159" s="8">
        <v>43886.913564814815</v>
      </c>
      <c r="B39159" s="8" t="str">
        <f>HYPERLINK("https://twitter.com/CorneliaMegaa","@CorneliaMegaa")</f>
        <v>@CorneliaMegaa</v>
      </c>
      <c r="C39159" s="8" t="s">
        <v>2941</v>
      </c>
      <c r="D39159" s="8">
        <v>619</v>
      </c>
      <c r="E39159" s="8">
        <v>0</v>
      </c>
      <c r="F39159" s="8">
        <v>479</v>
      </c>
    </row>
    <row r="39160" spans="1:6" ht="12.75">
      <c r="A39160" s="8">
        <v>43886.912407407406</v>
      </c>
      <c r="B39160" s="8" t="str">
        <f>HYPERLINK("https://twitter.com/giilang93","@giilang93")</f>
        <v>@giilang93</v>
      </c>
      <c r="C39160" s="8" t="s">
        <v>14430</v>
      </c>
      <c r="D39160" s="8">
        <v>83</v>
      </c>
      <c r="E39160" s="8">
        <v>0</v>
      </c>
      <c r="F39160" s="8">
        <v>110</v>
      </c>
    </row>
    <row r="39161" spans="1:6" ht="12.75">
      <c r="A39161" s="8">
        <v>43886.912175925929</v>
      </c>
      <c r="B39161" s="8" t="str">
        <f>HYPERLINK("https://twitter.com/syanana999","@syanana999")</f>
        <v>@syanana999</v>
      </c>
      <c r="C39161" s="8" t="s">
        <v>8484</v>
      </c>
      <c r="D39161" s="8">
        <v>901</v>
      </c>
      <c r="E39161" s="8">
        <v>0</v>
      </c>
      <c r="F39161" s="8">
        <v>246</v>
      </c>
    </row>
    <row r="39162" spans="1:6" ht="12.75">
      <c r="A39162" s="8">
        <v>43886.912106481483</v>
      </c>
      <c r="B39162" s="8" t="str">
        <f>HYPERLINK("https://twitter.com/merdekadotcom","@merdekadotcom")</f>
        <v>@merdekadotcom</v>
      </c>
      <c r="C39162" s="8" t="s">
        <v>15050</v>
      </c>
      <c r="D39162" s="8">
        <v>0</v>
      </c>
      <c r="E39162" s="8">
        <v>1</v>
      </c>
      <c r="F39162" s="8">
        <v>230758</v>
      </c>
    </row>
    <row r="39163" spans="1:6" ht="12.75">
      <c r="A39163" s="8">
        <v>43886.911678240736</v>
      </c>
      <c r="B39163" s="8" t="str">
        <f>HYPERLINK("https://twitter.com/okonomisakulove","@okonomisakulove")</f>
        <v>@okonomisakulove</v>
      </c>
      <c r="C39163" s="8" t="s">
        <v>2940</v>
      </c>
      <c r="D39163" s="8">
        <v>2529</v>
      </c>
      <c r="E39163" s="8">
        <v>0</v>
      </c>
      <c r="F39163" s="8">
        <v>859</v>
      </c>
    </row>
    <row r="39164" spans="1:6" ht="12.75">
      <c r="A39164" s="8">
        <v>43886.911481481482</v>
      </c>
      <c r="B39164" s="8" t="str">
        <f>HYPERLINK("https://twitter.com/tempodotco","@tempodotco")</f>
        <v>@tempodotco</v>
      </c>
      <c r="C39164" s="8" t="s">
        <v>14962</v>
      </c>
      <c r="D39164" s="8">
        <v>2</v>
      </c>
      <c r="E39164" s="8">
        <v>5</v>
      </c>
      <c r="F39164" s="8">
        <v>1711858</v>
      </c>
    </row>
    <row r="39165" spans="1:6" ht="12.75">
      <c r="A39165" s="8">
        <v>43886.911053240736</v>
      </c>
      <c r="B39165" s="8" t="str">
        <f>HYPERLINK("https://twitter.com/wni_jmsri","@wni_jmsri")</f>
        <v>@wni_jmsri</v>
      </c>
      <c r="C39165" s="8" t="s">
        <v>15051</v>
      </c>
      <c r="D39165" s="8">
        <v>1253</v>
      </c>
      <c r="E39165" s="8">
        <v>0</v>
      </c>
      <c r="F39165" s="8">
        <v>196</v>
      </c>
    </row>
    <row r="39166" spans="1:6" ht="12.75">
      <c r="A39166" s="8">
        <v>43886.910902777774</v>
      </c>
      <c r="B39166" s="8" t="str">
        <f>HYPERLINK("https://twitter.com/ronnyfahrudin","@ronnyfahrudin")</f>
        <v>@ronnyfahrudin</v>
      </c>
      <c r="C39166" s="8" t="s">
        <v>15052</v>
      </c>
      <c r="D39166" s="8">
        <v>0</v>
      </c>
      <c r="E39166" s="8">
        <v>2</v>
      </c>
      <c r="F39166" s="8">
        <v>507</v>
      </c>
    </row>
    <row r="39167" spans="1:6" ht="12.75">
      <c r="A39167" s="8">
        <v>43886.910844907412</v>
      </c>
      <c r="B39167" s="8" t="str">
        <f>HYPERLINK("https://twitter.com/AndyPra02506159","@AndyPra02506159")</f>
        <v>@AndyPra02506159</v>
      </c>
      <c r="C39167" s="8" t="s">
        <v>11964</v>
      </c>
      <c r="D39167" s="8">
        <v>472</v>
      </c>
      <c r="E39167" s="8">
        <v>0</v>
      </c>
      <c r="F39167" s="8">
        <v>487</v>
      </c>
    </row>
    <row r="39168" spans="1:6" ht="12.75">
      <c r="A39168" s="8">
        <v>43886.910833333328</v>
      </c>
      <c r="B39168" s="8" t="str">
        <f>HYPERLINK("https://twitter.com/Pandeka_Cyber","@Pandeka_Cyber")</f>
        <v>@Pandeka_Cyber</v>
      </c>
      <c r="C39168" s="8" t="s">
        <v>11964</v>
      </c>
      <c r="D39168" s="8">
        <v>472</v>
      </c>
      <c r="E39168" s="8">
        <v>0</v>
      </c>
      <c r="F39168" s="8">
        <v>2432</v>
      </c>
    </row>
    <row r="39169" spans="1:6" ht="12.75">
      <c r="A39169" s="8">
        <v>43886.91070601852</v>
      </c>
      <c r="B39169" s="8" t="str">
        <f>HYPERLINK("https://twitter.com/ChunkSphr","@ChunkSphr")</f>
        <v>@ChunkSphr</v>
      </c>
      <c r="C39169" s="8" t="s">
        <v>14600</v>
      </c>
      <c r="D39169" s="8">
        <v>17</v>
      </c>
      <c r="E39169" s="8">
        <v>0</v>
      </c>
      <c r="F39169" s="8">
        <v>72</v>
      </c>
    </row>
    <row r="39170" spans="1:6" ht="12.75">
      <c r="A39170" s="8">
        <v>43886.910312499997</v>
      </c>
      <c r="B39170" s="8" t="str">
        <f>HYPERLINK("https://twitter.com/AliR32a","@AliR32a")</f>
        <v>@AliR32a</v>
      </c>
      <c r="C39170" s="8" t="s">
        <v>13365</v>
      </c>
      <c r="D39170" s="8">
        <v>133</v>
      </c>
      <c r="E39170" s="8">
        <v>0</v>
      </c>
      <c r="F39170" s="8">
        <v>11</v>
      </c>
    </row>
    <row r="39171" spans="1:6" ht="12.75">
      <c r="A39171" s="8">
        <v>43886.910115740742</v>
      </c>
      <c r="B39171" s="8" t="str">
        <f>HYPERLINK("https://twitter.com/faranatasay","@faranatasay")</f>
        <v>@faranatasay</v>
      </c>
      <c r="C39171" s="8" t="s">
        <v>14591</v>
      </c>
      <c r="D39171" s="8">
        <v>3</v>
      </c>
      <c r="E39171" s="8">
        <v>0</v>
      </c>
      <c r="F39171" s="8">
        <v>94</v>
      </c>
    </row>
    <row r="39172" spans="1:6" ht="12.75">
      <c r="A39172" s="8">
        <v>43886.910081018519</v>
      </c>
      <c r="B39172" s="8" t="str">
        <f>HYPERLINK("https://twitter.com/LC01L","@LC01L")</f>
        <v>@LC01L</v>
      </c>
      <c r="C39172" s="8" t="s">
        <v>11183</v>
      </c>
      <c r="D39172" s="8">
        <v>223</v>
      </c>
      <c r="E39172" s="8">
        <v>0</v>
      </c>
      <c r="F39172" s="8">
        <v>231</v>
      </c>
    </row>
    <row r="39173" spans="1:6" ht="12.75">
      <c r="A39173" s="8">
        <v>43886.90996527778</v>
      </c>
      <c r="B39173" s="8" t="str">
        <f>HYPERLINK("https://twitter.com/Suyarno13","@Suyarno13")</f>
        <v>@Suyarno13</v>
      </c>
      <c r="C39173" s="8" t="s">
        <v>15048</v>
      </c>
      <c r="D39173" s="8">
        <v>2</v>
      </c>
      <c r="E39173" s="8">
        <v>0</v>
      </c>
      <c r="F39173" s="8">
        <v>255</v>
      </c>
    </row>
    <row r="39174" spans="1:6" ht="12.75">
      <c r="A39174" s="8">
        <v>43886.909594907411</v>
      </c>
      <c r="B39174" s="8" t="str">
        <f>HYPERLINK("https://twitter.com/JhondoexlxG","@JhondoexlxG")</f>
        <v>@JhondoexlxG</v>
      </c>
      <c r="C39174" s="8" t="s">
        <v>13365</v>
      </c>
      <c r="D39174" s="8">
        <v>133</v>
      </c>
      <c r="E39174" s="8">
        <v>0</v>
      </c>
      <c r="F39174" s="8">
        <v>464</v>
      </c>
    </row>
    <row r="39175" spans="1:6" ht="12.75">
      <c r="A39175" s="8">
        <v>43886.909537037034</v>
      </c>
      <c r="B39175" s="8" t="str">
        <f>HYPERLINK("https://twitter.com/Riuh04184487","@Riuh04184487")</f>
        <v>@Riuh04184487</v>
      </c>
      <c r="C39175" s="8" t="s">
        <v>13365</v>
      </c>
      <c r="D39175" s="8">
        <v>133</v>
      </c>
      <c r="E39175" s="8">
        <v>0</v>
      </c>
      <c r="F39175" s="8">
        <v>166</v>
      </c>
    </row>
    <row r="39176" spans="1:6" ht="12.75">
      <c r="A39176" s="8">
        <v>43886.908993055556</v>
      </c>
      <c r="B39176" s="8" t="str">
        <f>HYPERLINK("https://twitter.com/ocee_me08","@ocee_me08")</f>
        <v>@ocee_me08</v>
      </c>
      <c r="C39176" s="8" t="s">
        <v>13365</v>
      </c>
      <c r="D39176" s="8">
        <v>133</v>
      </c>
      <c r="E39176" s="8">
        <v>0</v>
      </c>
      <c r="F39176" s="8">
        <v>5208</v>
      </c>
    </row>
    <row r="39177" spans="1:6" ht="12.75">
      <c r="A39177" s="8">
        <v>43886.908993055556</v>
      </c>
      <c r="B39177" s="8" t="str">
        <f>HYPERLINK("https://twitter.com/farah_farr","@farah_farr")</f>
        <v>@farah_farr</v>
      </c>
      <c r="C39177" s="8" t="s">
        <v>2941</v>
      </c>
      <c r="D39177" s="8">
        <v>619</v>
      </c>
      <c r="E39177" s="8">
        <v>0</v>
      </c>
      <c r="F39177" s="8">
        <v>146</v>
      </c>
    </row>
    <row r="39178" spans="1:6" ht="12.75">
      <c r="A39178" s="8">
        <v>43886.908750000002</v>
      </c>
      <c r="B39178" s="8" t="str">
        <f>HYPERLINK("https://twitter.com/itadoang99","@itadoang99")</f>
        <v>@itadoang99</v>
      </c>
      <c r="C39178" s="8" t="s">
        <v>14990</v>
      </c>
      <c r="D39178" s="8">
        <v>4</v>
      </c>
      <c r="E39178" s="8">
        <v>0</v>
      </c>
      <c r="F39178" s="8">
        <v>1240</v>
      </c>
    </row>
    <row r="39179" spans="1:6" ht="12.75">
      <c r="A39179" s="8">
        <v>43886.908703703702</v>
      </c>
      <c r="B39179" s="8" t="str">
        <f>HYPERLINK("https://twitter.com/IndriSintaoctr","@IndriSintaoctr")</f>
        <v>@IndriSintaoctr</v>
      </c>
      <c r="C39179" s="8" t="s">
        <v>2941</v>
      </c>
      <c r="D39179" s="8">
        <v>619</v>
      </c>
      <c r="E39179" s="8">
        <v>0</v>
      </c>
      <c r="F39179" s="8">
        <v>136</v>
      </c>
    </row>
    <row r="39180" spans="1:6" ht="12.75">
      <c r="A39180" s="8">
        <v>43886.908576388887</v>
      </c>
      <c r="B39180" s="8" t="str">
        <f>HYPERLINK("https://twitter.com/annabarle","@annabarle")</f>
        <v>@annabarle</v>
      </c>
      <c r="C39180" s="8" t="s">
        <v>2941</v>
      </c>
      <c r="D39180" s="8">
        <v>619</v>
      </c>
      <c r="E39180" s="8">
        <v>0</v>
      </c>
      <c r="F39180" s="8">
        <v>300</v>
      </c>
    </row>
    <row r="39181" spans="1:6" ht="12.75">
      <c r="A39181" s="8">
        <v>43886.908483796295</v>
      </c>
      <c r="B39181" s="8" t="str">
        <f>HYPERLINK("https://twitter.com/MamauRusfa","@MamauRusfa")</f>
        <v>@MamauRusfa</v>
      </c>
      <c r="C39181" s="8" t="s">
        <v>2941</v>
      </c>
      <c r="D39181" s="8">
        <v>619</v>
      </c>
      <c r="E39181" s="8">
        <v>0</v>
      </c>
      <c r="F39181" s="8">
        <v>11</v>
      </c>
    </row>
    <row r="39182" spans="1:6" ht="12.75">
      <c r="A39182" s="8">
        <v>43886.908472222218</v>
      </c>
      <c r="B39182" s="8" t="str">
        <f>HYPERLINK("https://twitter.com/bpriady","@bpriady")</f>
        <v>@bpriady</v>
      </c>
      <c r="C39182" s="8" t="s">
        <v>14600</v>
      </c>
      <c r="D39182" s="8">
        <v>17</v>
      </c>
      <c r="E39182" s="8">
        <v>0</v>
      </c>
      <c r="F39182" s="8">
        <v>598</v>
      </c>
    </row>
    <row r="39183" spans="1:6" ht="12.75">
      <c r="A39183" s="8">
        <v>43886.908275462964</v>
      </c>
      <c r="B39183" s="8" t="str">
        <f>HYPERLINK("https://twitter.com/stevyudi","@stevyudi")</f>
        <v>@stevyudi</v>
      </c>
      <c r="C39183" s="8" t="s">
        <v>11183</v>
      </c>
      <c r="D39183" s="8">
        <v>223</v>
      </c>
      <c r="E39183" s="8">
        <v>0</v>
      </c>
      <c r="F39183" s="8">
        <v>68</v>
      </c>
    </row>
    <row r="39184" spans="1:6" ht="12.75">
      <c r="A39184" s="8">
        <v>43886.908055555556</v>
      </c>
      <c r="B39184" s="8" t="str">
        <f>HYPERLINK("https://twitter.com/Rido_Lizze","@Rido_Lizze")</f>
        <v>@Rido_Lizze</v>
      </c>
      <c r="C39184" s="8" t="s">
        <v>11964</v>
      </c>
      <c r="D39184" s="8">
        <v>472</v>
      </c>
      <c r="E39184" s="8">
        <v>0</v>
      </c>
      <c r="F39184" s="8">
        <v>1318</v>
      </c>
    </row>
    <row r="39185" spans="1:6" ht="12.75">
      <c r="A39185" s="8">
        <v>43886.907951388886</v>
      </c>
      <c r="B39185" s="8" t="str">
        <f>HYPERLINK("https://twitter.com/maurinkarani","@maurinkarani")</f>
        <v>@maurinkarani</v>
      </c>
      <c r="C39185" s="8" t="s">
        <v>2941</v>
      </c>
      <c r="D39185" s="8">
        <v>619</v>
      </c>
      <c r="E39185" s="8">
        <v>0</v>
      </c>
      <c r="F39185" s="8">
        <v>422</v>
      </c>
    </row>
    <row r="39186" spans="1:6" ht="12.75">
      <c r="A39186" s="8">
        <v>43886.907847222217</v>
      </c>
      <c r="B39186" s="8" t="str">
        <f>HYPERLINK("https://twitter.com/annisarm23","@annisarm23")</f>
        <v>@annisarm23</v>
      </c>
      <c r="C39186" s="8" t="s">
        <v>13365</v>
      </c>
      <c r="D39186" s="8">
        <v>133</v>
      </c>
      <c r="E39186" s="8">
        <v>0</v>
      </c>
      <c r="F39186" s="8">
        <v>264</v>
      </c>
    </row>
    <row r="39187" spans="1:6" ht="12.75">
      <c r="A39187" s="8">
        <v>43886.907638888893</v>
      </c>
      <c r="B39187" s="8" t="str">
        <f>HYPERLINK("https://twitter.com/humarihidayat","@humarihidayat")</f>
        <v>@humarihidayat</v>
      </c>
      <c r="C39187" s="8" t="s">
        <v>13365</v>
      </c>
      <c r="D39187" s="8">
        <v>133</v>
      </c>
      <c r="E39187" s="8">
        <v>0</v>
      </c>
      <c r="F39187" s="8">
        <v>564</v>
      </c>
    </row>
    <row r="39188" spans="1:6" ht="12.75">
      <c r="A39188" s="8">
        <v>43886.907592592594</v>
      </c>
      <c r="B39188" s="8" t="str">
        <f>HYPERLINK("https://twitter.com/prillyone","@prillyone")</f>
        <v>@prillyone</v>
      </c>
      <c r="C39188" s="8" t="s">
        <v>11301</v>
      </c>
      <c r="D39188" s="8">
        <v>14</v>
      </c>
      <c r="E39188" s="8">
        <v>0</v>
      </c>
      <c r="F39188" s="8">
        <v>254</v>
      </c>
    </row>
    <row r="39189" spans="1:6" ht="12.75">
      <c r="A39189" s="8">
        <v>43886.907546296294</v>
      </c>
      <c r="B39189" s="8" t="str">
        <f>HYPERLINK("https://twitter.com/uyet_buyu","@uyet_buyu")</f>
        <v>@uyet_buyu</v>
      </c>
      <c r="C39189" s="8" t="s">
        <v>11301</v>
      </c>
      <c r="D39189" s="8">
        <v>14</v>
      </c>
      <c r="E39189" s="8">
        <v>0</v>
      </c>
      <c r="F39189" s="8">
        <v>808</v>
      </c>
    </row>
    <row r="39190" spans="1:6" ht="12.75">
      <c r="A39190" s="8">
        <v>43886.907511574071</v>
      </c>
      <c r="B39190" s="8" t="str">
        <f>HYPERLINK("https://twitter.com/kangsaiful_","@kangsaiful_")</f>
        <v>@kangsaiful_</v>
      </c>
      <c r="C39190" s="8" t="s">
        <v>15053</v>
      </c>
      <c r="D39190" s="8">
        <v>46</v>
      </c>
      <c r="E39190" s="8">
        <v>0</v>
      </c>
      <c r="F39190" s="8">
        <v>98</v>
      </c>
    </row>
    <row r="39191" spans="1:6" ht="12.75">
      <c r="A39191" s="8">
        <v>43886.907430555555</v>
      </c>
      <c r="B39191" s="8" t="str">
        <f>HYPERLINK("https://twitter.com/RezaWtp","@RezaWtp")</f>
        <v>@RezaWtp</v>
      </c>
      <c r="C39191" s="8" t="s">
        <v>13365</v>
      </c>
      <c r="D39191" s="8">
        <v>133</v>
      </c>
      <c r="E39191" s="8">
        <v>0</v>
      </c>
      <c r="F39191" s="8">
        <v>9</v>
      </c>
    </row>
    <row r="39192" spans="1:6" ht="12.75">
      <c r="A39192" s="8">
        <v>43886.907291666663</v>
      </c>
      <c r="B39192" s="8" t="str">
        <f>HYPERLINK("https://twitter.com/din_dyyn77","@din_dyyn77")</f>
        <v>@din_dyyn77</v>
      </c>
      <c r="C39192" s="8" t="s">
        <v>13365</v>
      </c>
      <c r="D39192" s="8">
        <v>133</v>
      </c>
      <c r="E39192" s="8">
        <v>0</v>
      </c>
      <c r="F39192" s="8">
        <v>22</v>
      </c>
    </row>
    <row r="39193" spans="1:6" ht="12.75">
      <c r="A39193" s="8">
        <v>43886.907175925924</v>
      </c>
      <c r="B39193" s="8" t="str">
        <f>HYPERLINK("https://twitter.com/Cintain09670662","@Cintain09670662")</f>
        <v>@Cintain09670662</v>
      </c>
      <c r="C39193" s="8" t="s">
        <v>15054</v>
      </c>
      <c r="D39193" s="8">
        <v>0</v>
      </c>
      <c r="E39193" s="8">
        <v>0</v>
      </c>
      <c r="F39193" s="8">
        <v>1</v>
      </c>
    </row>
    <row r="39194" spans="1:6" ht="12.75">
      <c r="A39194" s="8">
        <v>43886.906863425931</v>
      </c>
      <c r="B39194" s="8" t="str">
        <f>HYPERLINK("https://twitter.com/bumburampai","@bumburampai")</f>
        <v>@bumburampai</v>
      </c>
      <c r="C39194" s="8" t="s">
        <v>13365</v>
      </c>
      <c r="D39194" s="8">
        <v>133</v>
      </c>
      <c r="E39194" s="8">
        <v>0</v>
      </c>
      <c r="F39194" s="8">
        <v>20</v>
      </c>
    </row>
    <row r="39195" spans="1:6" ht="12.75">
      <c r="A39195" s="8">
        <v>43886.906747685185</v>
      </c>
      <c r="B39195" s="8" t="str">
        <f>HYPERLINK("https://twitter.com/indamzz","@indamzz")</f>
        <v>@indamzz</v>
      </c>
      <c r="C39195" s="8" t="s">
        <v>2941</v>
      </c>
      <c r="D39195" s="8">
        <v>619</v>
      </c>
      <c r="E39195" s="8">
        <v>0</v>
      </c>
      <c r="F39195" s="8">
        <v>35</v>
      </c>
    </row>
    <row r="39196" spans="1:6" ht="12.75">
      <c r="A39196" s="8">
        <v>43886.906736111108</v>
      </c>
      <c r="B39196" s="8" t="str">
        <f>HYPERLINK("https://twitter.com/BangKunLubis","@BangKunLubis")</f>
        <v>@BangKunLubis</v>
      </c>
      <c r="C39196" s="8" t="s">
        <v>13365</v>
      </c>
      <c r="D39196" s="8">
        <v>133</v>
      </c>
      <c r="E39196" s="8">
        <v>0</v>
      </c>
      <c r="F39196" s="8">
        <v>299</v>
      </c>
    </row>
    <row r="39197" spans="1:6" ht="12.75">
      <c r="A39197" s="8">
        <v>43886.905601851853</v>
      </c>
      <c r="B39197" s="8" t="str">
        <f>HYPERLINK("https://twitter.com/jcnugie","@jcnugie")</f>
        <v>@jcnugie</v>
      </c>
      <c r="C39197" s="8" t="s">
        <v>13365</v>
      </c>
      <c r="D39197" s="8">
        <v>133</v>
      </c>
      <c r="E39197" s="8">
        <v>0</v>
      </c>
      <c r="F39197" s="8">
        <v>105</v>
      </c>
    </row>
    <row r="39198" spans="1:6" ht="12.75">
      <c r="A39198" s="8">
        <v>43886.905590277776</v>
      </c>
      <c r="B39198" s="8" t="str">
        <f>HYPERLINK("https://twitter.com/tinydustt","@tinydustt")</f>
        <v>@tinydustt</v>
      </c>
      <c r="C39198" s="8" t="s">
        <v>15055</v>
      </c>
      <c r="D39198" s="8">
        <v>0</v>
      </c>
      <c r="E39198" s="8">
        <v>0</v>
      </c>
      <c r="F39198" s="8">
        <v>313</v>
      </c>
    </row>
    <row r="39199" spans="1:6" ht="12.75">
      <c r="A39199" s="8">
        <v>43886.90524305556</v>
      </c>
      <c r="B39199" s="8" t="str">
        <f>HYPERLINK("https://twitter.com/ennyelf2","@ennyelf2")</f>
        <v>@ennyelf2</v>
      </c>
      <c r="C39199" s="8" t="s">
        <v>11964</v>
      </c>
      <c r="D39199" s="8">
        <v>472</v>
      </c>
      <c r="E39199" s="8">
        <v>0</v>
      </c>
      <c r="F39199" s="8">
        <v>365</v>
      </c>
    </row>
    <row r="39200" spans="1:6" ht="12.75">
      <c r="A39200" s="8">
        <v>43886.905138888891</v>
      </c>
      <c r="B39200" s="8" t="str">
        <f>HYPERLINK("https://twitter.com/PemburuMalam87","@PemburuMalam87")</f>
        <v>@PemburuMalam87</v>
      </c>
      <c r="C39200" s="8" t="s">
        <v>13365</v>
      </c>
      <c r="D39200" s="8">
        <v>133</v>
      </c>
      <c r="E39200" s="8">
        <v>0</v>
      </c>
      <c r="F39200" s="8">
        <v>324</v>
      </c>
    </row>
    <row r="39201" spans="1:6" ht="12.75">
      <c r="A39201" s="8">
        <v>43886.905011574076</v>
      </c>
      <c r="B39201" s="8" t="str">
        <f>HYPERLINK("https://twitter.com/kimiko_kimono","@kimiko_kimono")</f>
        <v>@kimiko_kimono</v>
      </c>
      <c r="C39201" s="8" t="s">
        <v>2940</v>
      </c>
      <c r="D39201" s="8">
        <v>2529</v>
      </c>
      <c r="E39201" s="8">
        <v>0</v>
      </c>
      <c r="F39201" s="8">
        <v>84</v>
      </c>
    </row>
    <row r="39202" spans="1:6" ht="12.75">
      <c r="A39202" s="8">
        <v>43886.881712962961</v>
      </c>
      <c r="B39202" s="8" t="str">
        <f>HYPERLINK("https://twitter.com/dequeen0111","@dequeen0111")</f>
        <v>@dequeen0111</v>
      </c>
      <c r="C39202" s="8" t="s">
        <v>2941</v>
      </c>
      <c r="D39202" s="8">
        <v>559</v>
      </c>
      <c r="E39202" s="8">
        <v>0</v>
      </c>
      <c r="F39202" s="8">
        <v>10</v>
      </c>
    </row>
    <row r="39203" spans="1:6" ht="12.75">
      <c r="A39203" s="8">
        <v>43886.881655092591</v>
      </c>
      <c r="B39203" s="8" t="str">
        <f>HYPERLINK("https://twitter.com/Zazuni4","@Zazuni4")</f>
        <v>@Zazuni4</v>
      </c>
      <c r="C39203" s="8" t="s">
        <v>15056</v>
      </c>
      <c r="D39203" s="8">
        <v>0</v>
      </c>
      <c r="E39203" s="8">
        <v>0</v>
      </c>
      <c r="F39203" s="8">
        <v>16</v>
      </c>
    </row>
    <row r="39204" spans="1:6" ht="12.75">
      <c r="A39204" s="8">
        <v>43886.881493055553</v>
      </c>
      <c r="B39204" s="8" t="str">
        <f>HYPERLINK("https://twitter.com/sidodolipret","@sidodolipret")</f>
        <v>@sidodolipret</v>
      </c>
      <c r="C39204" s="8" t="s">
        <v>13365</v>
      </c>
      <c r="D39204" s="8">
        <v>48</v>
      </c>
      <c r="E39204" s="8">
        <v>0</v>
      </c>
      <c r="F39204" s="8">
        <v>859</v>
      </c>
    </row>
    <row r="39205" spans="1:6" ht="12.75">
      <c r="A39205" s="8">
        <v>43886.881388888884</v>
      </c>
      <c r="B39205" s="8" t="str">
        <f>HYPERLINK("https://twitter.com/reezaherdik","@reezaherdik")</f>
        <v>@reezaherdik</v>
      </c>
      <c r="C39205" s="8" t="s">
        <v>13365</v>
      </c>
      <c r="D39205" s="8">
        <v>48</v>
      </c>
      <c r="E39205" s="8">
        <v>0</v>
      </c>
      <c r="F39205" s="8">
        <v>4</v>
      </c>
    </row>
    <row r="39206" spans="1:6" ht="12.75">
      <c r="A39206" s="8">
        <v>43886.881273148145</v>
      </c>
      <c r="B39206" s="8" t="str">
        <f>HYPERLINK("https://twitter.com/AsepMul07664829","@AsepMul07664829")</f>
        <v>@AsepMul07664829</v>
      </c>
      <c r="C39206" s="8" t="s">
        <v>13365</v>
      </c>
      <c r="D39206" s="8">
        <v>48</v>
      </c>
      <c r="E39206" s="8">
        <v>0</v>
      </c>
      <c r="F39206" s="8">
        <v>748</v>
      </c>
    </row>
    <row r="39207" spans="1:6" ht="12.75">
      <c r="A39207" s="8">
        <v>43886.881215277783</v>
      </c>
      <c r="B39207" s="8" t="str">
        <f>HYPERLINK("https://twitter.com/pemantau69","@pemantau69")</f>
        <v>@pemantau69</v>
      </c>
      <c r="C39207" s="8" t="s">
        <v>11964</v>
      </c>
      <c r="D39207" s="8">
        <v>458</v>
      </c>
      <c r="E39207" s="8">
        <v>0</v>
      </c>
      <c r="F39207" s="8">
        <v>93</v>
      </c>
    </row>
    <row r="39208" spans="1:6" ht="12.75">
      <c r="A39208" s="8">
        <v>43886.880972222221</v>
      </c>
      <c r="B39208" s="8" t="str">
        <f>HYPERLINK("https://twitter.com/nuytarigan","@nuytarigan")</f>
        <v>@nuytarigan</v>
      </c>
      <c r="C39208" s="8" t="s">
        <v>2941</v>
      </c>
      <c r="D39208" s="8">
        <v>559</v>
      </c>
      <c r="E39208" s="8">
        <v>0</v>
      </c>
      <c r="F39208" s="8">
        <v>3577</v>
      </c>
    </row>
    <row r="39209" spans="1:6" ht="12.75">
      <c r="A39209" s="8">
        <v>43886.880798611106</v>
      </c>
      <c r="B39209" s="8" t="str">
        <f>HYPERLINK("https://twitter.com/Handoyo_NP_06","@Handoyo_NP_06")</f>
        <v>@Handoyo_NP_06</v>
      </c>
      <c r="C39209" s="8" t="s">
        <v>13365</v>
      </c>
      <c r="D39209" s="8">
        <v>48</v>
      </c>
      <c r="E39209" s="8">
        <v>0</v>
      </c>
      <c r="F39209" s="8">
        <v>979</v>
      </c>
    </row>
    <row r="39210" spans="1:6" ht="12.75">
      <c r="A39210" s="8">
        <v>43886.880798611106</v>
      </c>
      <c r="B39210" s="8" t="str">
        <f>HYPERLINK("https://twitter.com/translatorbali","@translatorbali")</f>
        <v>@translatorbali</v>
      </c>
      <c r="C39210" s="8" t="s">
        <v>14804</v>
      </c>
      <c r="D39210" s="8">
        <v>7</v>
      </c>
      <c r="E39210" s="8">
        <v>0</v>
      </c>
      <c r="F39210" s="8">
        <v>3864</v>
      </c>
    </row>
    <row r="39211" spans="1:6" ht="12.75">
      <c r="A39211" s="8">
        <v>43886.880752314813</v>
      </c>
      <c r="B39211" s="8" t="str">
        <f>HYPERLINK("https://twitter.com/viskaya","@viskaya")</f>
        <v>@viskaya</v>
      </c>
      <c r="C39211" s="8" t="s">
        <v>13365</v>
      </c>
      <c r="D39211" s="8">
        <v>48</v>
      </c>
      <c r="E39211" s="8">
        <v>0</v>
      </c>
      <c r="F39211" s="8">
        <v>778</v>
      </c>
    </row>
    <row r="39212" spans="1:6" ht="12.75">
      <c r="A39212" s="8">
        <v>43886.880682870367</v>
      </c>
      <c r="B39212" s="8" t="str">
        <f>HYPERLINK("https://twitter.com/IamYogas","@IamYogas")</f>
        <v>@IamYogas</v>
      </c>
      <c r="C39212" s="8" t="s">
        <v>11183</v>
      </c>
      <c r="D39212" s="8">
        <v>204</v>
      </c>
      <c r="E39212" s="8">
        <v>0</v>
      </c>
      <c r="F39212" s="8">
        <v>269</v>
      </c>
    </row>
    <row r="39213" spans="1:6" ht="12.75">
      <c r="A39213" s="8">
        <v>43886.880520833336</v>
      </c>
      <c r="B39213" s="8" t="str">
        <f>HYPERLINK("https://twitter.com/aditya_njr","@aditya_njr")</f>
        <v>@aditya_njr</v>
      </c>
      <c r="C39213" s="8" t="s">
        <v>13365</v>
      </c>
      <c r="D39213" s="8">
        <v>48</v>
      </c>
      <c r="E39213" s="8">
        <v>0</v>
      </c>
      <c r="F39213" s="8">
        <v>239</v>
      </c>
    </row>
    <row r="39214" spans="1:6" ht="12.75">
      <c r="A39214" s="8">
        <v>43886.88045138889</v>
      </c>
      <c r="B39214" s="8" t="str">
        <f>HYPERLINK("https://twitter.com/Wafa_Sofwan","@Wafa_Sofwan")</f>
        <v>@Wafa_Sofwan</v>
      </c>
      <c r="C39214" s="8" t="s">
        <v>13108</v>
      </c>
      <c r="D39214" s="8">
        <v>9</v>
      </c>
      <c r="E39214" s="8">
        <v>0</v>
      </c>
      <c r="F39214" s="8">
        <v>583</v>
      </c>
    </row>
    <row r="39215" spans="1:6" ht="12.75">
      <c r="A39215" s="8">
        <v>43886.880416666667</v>
      </c>
      <c r="B39215" s="8" t="str">
        <f>HYPERLINK("https://twitter.com/SekarangJugaSih","@SekarangJugaSih")</f>
        <v>@SekarangJugaSih</v>
      </c>
      <c r="C39215" s="8" t="s">
        <v>15057</v>
      </c>
      <c r="D39215" s="8">
        <v>0</v>
      </c>
      <c r="E39215" s="8">
        <v>0</v>
      </c>
      <c r="F39215" s="8">
        <v>228</v>
      </c>
    </row>
    <row r="39216" spans="1:6" ht="12.75">
      <c r="A39216" s="8">
        <v>43886.880266203705</v>
      </c>
      <c r="B39216" s="8" t="str">
        <f>HYPERLINK("https://twitter.com/jokoselong","@jokoselong")</f>
        <v>@jokoselong</v>
      </c>
      <c r="C39216" s="8" t="s">
        <v>13365</v>
      </c>
      <c r="D39216" s="8">
        <v>48</v>
      </c>
      <c r="E39216" s="8">
        <v>0</v>
      </c>
      <c r="F39216" s="8">
        <v>1772</v>
      </c>
    </row>
    <row r="39217" spans="1:6" ht="12.75">
      <c r="A39217" s="8">
        <v>43886.880243055552</v>
      </c>
      <c r="B39217" s="8" t="str">
        <f>HYPERLINK("https://twitter.com/mcgonggo","@mcgonggo")</f>
        <v>@mcgonggo</v>
      </c>
      <c r="C39217" s="8" t="s">
        <v>13365</v>
      </c>
      <c r="D39217" s="8">
        <v>48</v>
      </c>
      <c r="E39217" s="8">
        <v>0</v>
      </c>
      <c r="F39217" s="8">
        <v>37</v>
      </c>
    </row>
    <row r="39218" spans="1:6" ht="12.75">
      <c r="A39218" s="8">
        <v>43886.880069444444</v>
      </c>
      <c r="B39218" s="8" t="str">
        <f>HYPERLINK("https://twitter.com/idpenamini","@idpenamini")</f>
        <v>@idpenamini</v>
      </c>
      <c r="C39218" s="8" t="s">
        <v>15058</v>
      </c>
      <c r="D39218" s="8">
        <v>0</v>
      </c>
      <c r="E39218" s="8">
        <v>0</v>
      </c>
      <c r="F39218" s="8">
        <v>173</v>
      </c>
    </row>
    <row r="39219" spans="1:6" ht="12.75">
      <c r="A39219" s="8">
        <v>43886.87972222222</v>
      </c>
      <c r="B39219" s="8" t="str">
        <f>HYPERLINK("https://twitter.com/CDavinG","@CDavinG")</f>
        <v>@CDavinG</v>
      </c>
      <c r="C39219" s="8" t="s">
        <v>2941</v>
      </c>
      <c r="D39219" s="8">
        <v>559</v>
      </c>
      <c r="E39219" s="8">
        <v>0</v>
      </c>
      <c r="F39219" s="8">
        <v>23</v>
      </c>
    </row>
    <row r="39220" spans="1:6" ht="12.75">
      <c r="A39220" s="8">
        <v>43886.879664351851</v>
      </c>
      <c r="B39220" s="8" t="str">
        <f>HYPERLINK("https://twitter.com/SakinahAbdull11","@SakinahAbdull11")</f>
        <v>@SakinahAbdull11</v>
      </c>
      <c r="C39220" s="8" t="s">
        <v>13365</v>
      </c>
      <c r="D39220" s="8">
        <v>48</v>
      </c>
      <c r="E39220" s="8">
        <v>0</v>
      </c>
      <c r="F39220" s="8">
        <v>702</v>
      </c>
    </row>
    <row r="39221" spans="1:6" ht="12.75">
      <c r="A39221" s="8">
        <v>43886.879490740743</v>
      </c>
      <c r="B39221" s="8" t="str">
        <f>HYPERLINK("https://twitter.com/BriliAgung","@BriliAgung")</f>
        <v>@BriliAgung</v>
      </c>
      <c r="C39221" s="8" t="s">
        <v>13365</v>
      </c>
      <c r="D39221" s="8">
        <v>48</v>
      </c>
      <c r="E39221" s="8">
        <v>0</v>
      </c>
      <c r="F39221" s="8">
        <v>18769</v>
      </c>
    </row>
    <row r="39222" spans="1:6" ht="12.75">
      <c r="A39222" s="8">
        <v>43886.879490740743</v>
      </c>
      <c r="B39222" s="8" t="str">
        <f>HYPERLINK("https://twitter.com/acunsoe","@acunsoe")</f>
        <v>@acunsoe</v>
      </c>
      <c r="C39222" s="8" t="s">
        <v>13695</v>
      </c>
      <c r="D39222" s="8">
        <v>2</v>
      </c>
      <c r="E39222" s="8">
        <v>0</v>
      </c>
      <c r="F39222" s="8">
        <v>533</v>
      </c>
    </row>
    <row r="39223" spans="1:6" ht="12.75">
      <c r="A39223" s="8">
        <v>43886.879178240742</v>
      </c>
      <c r="B39223" s="8" t="str">
        <f>HYPERLINK("https://twitter.com/zahidashl","@zahidashl")</f>
        <v>@zahidashl</v>
      </c>
      <c r="C39223" s="8" t="s">
        <v>13365</v>
      </c>
      <c r="D39223" s="8">
        <v>48</v>
      </c>
      <c r="E39223" s="8">
        <v>0</v>
      </c>
      <c r="F39223" s="8">
        <v>744</v>
      </c>
    </row>
    <row r="39224" spans="1:6" ht="12.75">
      <c r="A39224" s="8">
        <v>43886.879074074073</v>
      </c>
      <c r="B39224" s="8" t="str">
        <f>HYPERLINK("https://twitter.com/GuccianoRie","@GuccianoRie")</f>
        <v>@GuccianoRie</v>
      </c>
      <c r="C39224" s="8" t="s">
        <v>13365</v>
      </c>
      <c r="D39224" s="8">
        <v>48</v>
      </c>
      <c r="E39224" s="8">
        <v>0</v>
      </c>
      <c r="F39224" s="8">
        <v>9181</v>
      </c>
    </row>
    <row r="39225" spans="1:6" ht="12.75">
      <c r="A39225" s="8">
        <v>43886.878842592589</v>
      </c>
      <c r="B39225" s="8" t="str">
        <f>HYPERLINK("https://twitter.com/Dukun081","@Dukun081")</f>
        <v>@Dukun081</v>
      </c>
      <c r="C39225" s="8" t="s">
        <v>13365</v>
      </c>
      <c r="D39225" s="8">
        <v>48</v>
      </c>
      <c r="E39225" s="8">
        <v>0</v>
      </c>
      <c r="F39225" s="8">
        <v>972</v>
      </c>
    </row>
    <row r="39226" spans="1:6" ht="12.75">
      <c r="A39226" s="8">
        <v>43886.87881944445</v>
      </c>
      <c r="B39226" s="8" t="str">
        <f>HYPERLINK("https://twitter.com/VF_Seokjin001","@VF_Seokjin001")</f>
        <v>@VF_Seokjin001</v>
      </c>
      <c r="C39226" s="8" t="s">
        <v>15059</v>
      </c>
      <c r="D39226" s="8">
        <v>0</v>
      </c>
      <c r="E39226" s="8">
        <v>2</v>
      </c>
      <c r="F39226" s="8">
        <v>594</v>
      </c>
    </row>
    <row r="39227" spans="1:6" ht="12.75">
      <c r="A39227" s="8">
        <v>43886.878414351857</v>
      </c>
      <c r="B39227" s="8" t="str">
        <f>HYPERLINK("https://twitter.com/ibnu_hima","@ibnu_hima")</f>
        <v>@ibnu_hima</v>
      </c>
      <c r="C39227" s="8" t="s">
        <v>13365</v>
      </c>
      <c r="D39227" s="8">
        <v>48</v>
      </c>
      <c r="E39227" s="8">
        <v>0</v>
      </c>
      <c r="F39227" s="8">
        <v>1322</v>
      </c>
    </row>
    <row r="39228" spans="1:6" ht="12.75">
      <c r="A39228" s="8">
        <v>43886.878148148149</v>
      </c>
      <c r="B39228" s="8" t="str">
        <f>HYPERLINK("https://twitter.com/meieyh","@meieyh")</f>
        <v>@meieyh</v>
      </c>
      <c r="C39228" s="8" t="s">
        <v>13365</v>
      </c>
      <c r="D39228" s="8">
        <v>48</v>
      </c>
      <c r="E39228" s="8">
        <v>0</v>
      </c>
      <c r="F39228" s="8">
        <v>214</v>
      </c>
    </row>
    <row r="39229" spans="1:6" ht="12.75">
      <c r="A39229" s="8">
        <v>43886.877893518518</v>
      </c>
      <c r="B39229" s="8" t="str">
        <f>HYPERLINK("https://twitter.com/_racunapi","@_racunapi")</f>
        <v>@_racunapi</v>
      </c>
      <c r="C39229" s="8" t="s">
        <v>14990</v>
      </c>
      <c r="D39229" s="8">
        <v>3</v>
      </c>
      <c r="E39229" s="8">
        <v>0</v>
      </c>
      <c r="F39229" s="8">
        <v>78</v>
      </c>
    </row>
    <row r="39230" spans="1:6" ht="12.75">
      <c r="A39230" s="8">
        <v>43886.877708333333</v>
      </c>
      <c r="B39230" s="8" t="str">
        <f>HYPERLINK("https://twitter.com/terra_kunny","@terra_kunny")</f>
        <v>@terra_kunny</v>
      </c>
      <c r="C39230" s="8" t="s">
        <v>8484</v>
      </c>
      <c r="D39230" s="8">
        <v>892</v>
      </c>
      <c r="E39230" s="8">
        <v>0</v>
      </c>
      <c r="F39230" s="8">
        <v>117</v>
      </c>
    </row>
    <row r="39231" spans="1:6" ht="12.75">
      <c r="A39231" s="8">
        <v>43886.877638888887</v>
      </c>
      <c r="B39231" s="8" t="str">
        <f>HYPERLINK("https://twitter.com/salppnya2","@salppnya2")</f>
        <v>@salppnya2</v>
      </c>
      <c r="C39231" s="8" t="s">
        <v>2941</v>
      </c>
      <c r="D39231" s="8">
        <v>559</v>
      </c>
      <c r="E39231" s="8">
        <v>0</v>
      </c>
      <c r="F39231" s="8">
        <v>213</v>
      </c>
    </row>
    <row r="39232" spans="1:6" ht="12.75">
      <c r="A39232" s="8">
        <v>43886.877615740741</v>
      </c>
      <c r="B39232" s="8" t="str">
        <f>HYPERLINK("https://twitter.com/sherlilo","@sherlilo")</f>
        <v>@sherlilo</v>
      </c>
      <c r="C39232" s="8" t="s">
        <v>2941</v>
      </c>
      <c r="D39232" s="8">
        <v>559</v>
      </c>
      <c r="E39232" s="8">
        <v>0</v>
      </c>
      <c r="F39232" s="8">
        <v>467</v>
      </c>
    </row>
    <row r="39233" spans="1:6" ht="12.75">
      <c r="A39233" s="8">
        <v>43886.877546296295</v>
      </c>
      <c r="B39233" s="8" t="str">
        <f>HYPERLINK("https://twitter.com/yessyryan","@yessyryan")</f>
        <v>@yessyryan</v>
      </c>
      <c r="C39233" s="8" t="s">
        <v>14858</v>
      </c>
      <c r="D39233" s="8">
        <v>295</v>
      </c>
      <c r="E39233" s="8">
        <v>0</v>
      </c>
      <c r="F39233" s="8">
        <v>72</v>
      </c>
    </row>
    <row r="39234" spans="1:6" ht="12.75">
      <c r="A39234" s="8">
        <v>43886.877453703702</v>
      </c>
      <c r="B39234" s="8" t="str">
        <f>HYPERLINK("https://twitter.com/mawisevendry","@mawisevendry")</f>
        <v>@mawisevendry</v>
      </c>
      <c r="C39234" s="8" t="s">
        <v>13365</v>
      </c>
      <c r="D39234" s="8">
        <v>48</v>
      </c>
      <c r="E39234" s="8">
        <v>0</v>
      </c>
      <c r="F39234" s="8">
        <v>962</v>
      </c>
    </row>
    <row r="39235" spans="1:6" ht="12.75">
      <c r="A39235" s="8">
        <v>43886.877314814818</v>
      </c>
      <c r="B39235" s="8" t="str">
        <f>HYPERLINK("https://twitter.com/idpenamini","@idpenamini")</f>
        <v>@idpenamini</v>
      </c>
      <c r="C39235" s="8" t="s">
        <v>15060</v>
      </c>
      <c r="D39235" s="8">
        <v>0</v>
      </c>
      <c r="E39235" s="8">
        <v>0</v>
      </c>
      <c r="F39235" s="8">
        <v>173</v>
      </c>
    </row>
    <row r="39236" spans="1:6" ht="12.75">
      <c r="A39236" s="8">
        <v>43886.877303240741</v>
      </c>
      <c r="B39236" s="8" t="str">
        <f>HYPERLINK("https://twitter.com/demokrasicoid","@demokrasicoid")</f>
        <v>@demokrasicoid</v>
      </c>
      <c r="C39236" s="8" t="s">
        <v>15061</v>
      </c>
      <c r="D39236" s="8">
        <v>0</v>
      </c>
      <c r="E39236" s="8">
        <v>0</v>
      </c>
      <c r="F39236" s="8">
        <v>22629</v>
      </c>
    </row>
    <row r="39237" spans="1:6" ht="12.75">
      <c r="A39237" s="8">
        <v>43886.877280092594</v>
      </c>
      <c r="B39237" s="8" t="str">
        <f>HYPERLINK("https://twitter.com/mr_supiansyah","@mr_supiansyah")</f>
        <v>@mr_supiansyah</v>
      </c>
      <c r="C39237" s="8" t="s">
        <v>15062</v>
      </c>
      <c r="D39237" s="8">
        <v>3</v>
      </c>
      <c r="E39237" s="8">
        <v>0</v>
      </c>
      <c r="F39237" s="8">
        <v>2042</v>
      </c>
    </row>
    <row r="39238" spans="1:6" ht="12.75">
      <c r="A39238" s="8">
        <v>43886.877164351856</v>
      </c>
      <c r="B39238" s="8" t="str">
        <f>HYPERLINK("https://twitter.com/adityadarojat","@adityadarojat")</f>
        <v>@adityadarojat</v>
      </c>
      <c r="C39238" s="8" t="s">
        <v>2941</v>
      </c>
      <c r="D39238" s="8">
        <v>559</v>
      </c>
      <c r="E39238" s="8">
        <v>0</v>
      </c>
      <c r="F39238" s="8">
        <v>154</v>
      </c>
    </row>
    <row r="39239" spans="1:6" ht="12.75">
      <c r="A39239" s="8">
        <v>43886.877013888894</v>
      </c>
      <c r="B39239" s="8" t="str">
        <f>HYPERLINK("https://twitter.com/pernuel","@pernuel")</f>
        <v>@pernuel</v>
      </c>
      <c r="C39239" s="8" t="s">
        <v>2941</v>
      </c>
      <c r="D39239" s="8">
        <v>559</v>
      </c>
      <c r="E39239" s="8">
        <v>0</v>
      </c>
      <c r="F39239" s="8">
        <v>363</v>
      </c>
    </row>
    <row r="39240" spans="1:6" ht="12.75">
      <c r="A39240" s="8">
        <v>43886.876932870371</v>
      </c>
      <c r="B39240" s="8" t="str">
        <f>HYPERLINK("https://twitter.com/keep_calem","@keep_calem")</f>
        <v>@keep_calem</v>
      </c>
      <c r="C39240" s="8" t="s">
        <v>13365</v>
      </c>
      <c r="D39240" s="8">
        <v>48</v>
      </c>
      <c r="E39240" s="8">
        <v>0</v>
      </c>
      <c r="F39240" s="8">
        <v>99</v>
      </c>
    </row>
    <row r="39241" spans="1:6" ht="12.75">
      <c r="A39241" s="8">
        <v>43886.876562500001</v>
      </c>
      <c r="B39241" s="8" t="str">
        <f>HYPERLINK("https://twitter.com/BillTemporo","@BillTemporo")</f>
        <v>@BillTemporo</v>
      </c>
      <c r="C39241" s="8" t="s">
        <v>384</v>
      </c>
      <c r="D39241" s="8">
        <v>0</v>
      </c>
      <c r="E39241" s="8">
        <v>0</v>
      </c>
      <c r="F39241" s="8">
        <v>11</v>
      </c>
    </row>
    <row r="39242" spans="1:6" ht="12.75">
      <c r="A39242" s="8">
        <v>43886.876504629632</v>
      </c>
      <c r="B39242" s="8" t="str">
        <f>HYPERLINK("https://twitter.com/Konco_82","@Konco_82")</f>
        <v>@Konco_82</v>
      </c>
      <c r="C39242" s="8" t="s">
        <v>13365</v>
      </c>
      <c r="D39242" s="8">
        <v>48</v>
      </c>
      <c r="E39242" s="8">
        <v>0</v>
      </c>
      <c r="F39242" s="8">
        <v>1699</v>
      </c>
    </row>
    <row r="39243" spans="1:6" ht="12.75">
      <c r="A39243" s="8">
        <v>43886.876446759255</v>
      </c>
      <c r="B39243" s="8" t="str">
        <f>HYPERLINK("https://twitter.com/alif_aristya","@alif_aristya")</f>
        <v>@alif_aristya</v>
      </c>
      <c r="C39243" s="8" t="s">
        <v>15063</v>
      </c>
      <c r="D39243" s="8">
        <v>0</v>
      </c>
      <c r="E39243" s="8">
        <v>0</v>
      </c>
      <c r="F39243" s="8">
        <v>23</v>
      </c>
    </row>
    <row r="39244" spans="1:6" ht="12.75">
      <c r="A39244" s="8">
        <v>43886.876273148147</v>
      </c>
      <c r="B39244" s="8" t="str">
        <f>HYPERLINK("https://twitter.com/opin_mudroff","@opin_mudroff")</f>
        <v>@opin_mudroff</v>
      </c>
      <c r="C39244" s="8" t="s">
        <v>15064</v>
      </c>
      <c r="D39244" s="8">
        <v>0</v>
      </c>
      <c r="E39244" s="8">
        <v>0</v>
      </c>
      <c r="F39244" s="8">
        <v>671</v>
      </c>
    </row>
    <row r="39245" spans="1:6" ht="12.75">
      <c r="A39245" s="8">
        <v>43886.876018518524</v>
      </c>
      <c r="B39245" s="8" t="str">
        <f>HYPERLINK("https://twitter.com/ChristWamea","@ChristWamea")</f>
        <v>@ChristWamea</v>
      </c>
      <c r="C39245" s="8" t="s">
        <v>15062</v>
      </c>
      <c r="D39245" s="8">
        <v>3</v>
      </c>
      <c r="E39245" s="8">
        <v>0</v>
      </c>
      <c r="F39245" s="8">
        <v>28604</v>
      </c>
    </row>
    <row r="39246" spans="1:6" ht="12.75">
      <c r="A39246" s="8">
        <v>43886.875949074078</v>
      </c>
      <c r="B39246" s="8" t="str">
        <f>HYPERLINK("https://twitter.com/andra_rbs7","@andra_rbs7")</f>
        <v>@andra_rbs7</v>
      </c>
      <c r="C39246" s="8" t="s">
        <v>11964</v>
      </c>
      <c r="D39246" s="8">
        <v>458</v>
      </c>
      <c r="E39246" s="8">
        <v>0</v>
      </c>
      <c r="F39246" s="8">
        <v>21</v>
      </c>
    </row>
    <row r="39247" spans="1:6" ht="12.75">
      <c r="A39247" s="8">
        <v>43886.875914351855</v>
      </c>
      <c r="B39247" s="8" t="str">
        <f>HYPERLINK("https://twitter.com/aahh_____","@aahh_____")</f>
        <v>@aahh_____</v>
      </c>
      <c r="C39247" s="8" t="s">
        <v>15065</v>
      </c>
      <c r="D39247" s="8">
        <v>0</v>
      </c>
      <c r="E39247" s="8">
        <v>0</v>
      </c>
      <c r="F39247" s="8">
        <v>4848</v>
      </c>
    </row>
    <row r="39248" spans="1:6" ht="12.75">
      <c r="A39248" s="8">
        <v>43886.875868055555</v>
      </c>
      <c r="B39248" s="8" t="str">
        <f>HYPERLINK("https://twitter.com/TalutaDongni","@TalutaDongni")</f>
        <v>@TalutaDongni</v>
      </c>
      <c r="C39248" s="8" t="s">
        <v>12295</v>
      </c>
      <c r="D39248" s="8">
        <v>4</v>
      </c>
      <c r="E39248" s="8">
        <v>0</v>
      </c>
      <c r="F39248" s="8">
        <v>293</v>
      </c>
    </row>
    <row r="39249" spans="1:6" ht="12.75">
      <c r="A39249" s="8">
        <v>43886.875844907408</v>
      </c>
      <c r="B39249" s="8" t="str">
        <f>HYPERLINK("https://twitter.com/yannsuardana","@yannsuardana")</f>
        <v>@yannsuardana</v>
      </c>
      <c r="C39249" s="8" t="s">
        <v>15066</v>
      </c>
      <c r="D39249" s="8">
        <v>3</v>
      </c>
      <c r="E39249" s="8">
        <v>0</v>
      </c>
      <c r="F39249" s="8">
        <v>71</v>
      </c>
    </row>
    <row r="39250" spans="1:6" ht="12.75">
      <c r="A39250" s="8">
        <v>43886.875763888893</v>
      </c>
      <c r="B39250" s="8" t="str">
        <f>HYPERLINK("https://twitter.com/xatya_ak","@xatya_ak")</f>
        <v>@xatya_ak</v>
      </c>
      <c r="C39250" s="8" t="s">
        <v>15067</v>
      </c>
      <c r="D39250" s="8">
        <v>5</v>
      </c>
      <c r="E39250" s="8">
        <v>0</v>
      </c>
      <c r="F39250" s="8">
        <v>522</v>
      </c>
    </row>
    <row r="39251" spans="1:6" ht="12.75">
      <c r="A39251" s="8">
        <v>43886.875451388885</v>
      </c>
      <c r="B39251" s="8" t="str">
        <f>HYPERLINK("https://twitter.com/Reyhan96365540","@Reyhan96365540")</f>
        <v>@Reyhan96365540</v>
      </c>
      <c r="C39251" s="8" t="s">
        <v>13365</v>
      </c>
      <c r="D39251" s="8">
        <v>48</v>
      </c>
      <c r="E39251" s="8">
        <v>0</v>
      </c>
      <c r="F39251" s="8">
        <v>0</v>
      </c>
    </row>
    <row r="39252" spans="1:6" ht="12.75">
      <c r="A39252" s="8">
        <v>43886.875405092593</v>
      </c>
      <c r="B39252" s="8" t="str">
        <f>HYPERLINK("https://twitter.com/teguhsutrisno92","@teguhsutrisno92")</f>
        <v>@teguhsutrisno92</v>
      </c>
      <c r="C39252" s="8" t="s">
        <v>13108</v>
      </c>
      <c r="D39252" s="8">
        <v>9</v>
      </c>
      <c r="E39252" s="8">
        <v>0</v>
      </c>
      <c r="F39252" s="8">
        <v>104</v>
      </c>
    </row>
    <row r="39253" spans="1:6" ht="12.75">
      <c r="A39253" s="8">
        <v>43886.875300925924</v>
      </c>
      <c r="B39253" s="8" t="str">
        <f>HYPERLINK("https://twitter.com/malaya_asis","@malaya_asis")</f>
        <v>@malaya_asis</v>
      </c>
      <c r="C39253" s="8" t="s">
        <v>15068</v>
      </c>
      <c r="D39253" s="8">
        <v>0</v>
      </c>
      <c r="E39253" s="8">
        <v>0</v>
      </c>
      <c r="F39253" s="8">
        <v>26</v>
      </c>
    </row>
    <row r="39254" spans="1:6" ht="12.75">
      <c r="A39254" s="8">
        <v>43886.875254629631</v>
      </c>
      <c r="B39254" s="8" t="str">
        <f>HYPERLINK("https://twitter.com/Ningrum_Ningyum","@Ningrum_Ningyum")</f>
        <v>@Ningrum_Ningyum</v>
      </c>
      <c r="C39254" s="8" t="s">
        <v>6638</v>
      </c>
      <c r="D39254" s="8">
        <v>48</v>
      </c>
      <c r="E39254" s="8">
        <v>0</v>
      </c>
      <c r="F39254" s="8">
        <v>935</v>
      </c>
    </row>
    <row r="39255" spans="1:6" ht="12.75">
      <c r="A39255" s="8">
        <v>43886.875173611115</v>
      </c>
      <c r="B39255" s="8" t="str">
        <f>HYPERLINK("https://twitter.com/DreamersRadioID","@DreamersRadioID")</f>
        <v>@DreamersRadioID</v>
      </c>
      <c r="C39255" s="8" t="s">
        <v>15069</v>
      </c>
      <c r="D39255" s="8">
        <v>0</v>
      </c>
      <c r="E39255" s="8">
        <v>0</v>
      </c>
      <c r="F39255" s="8">
        <v>75484</v>
      </c>
    </row>
    <row r="39256" spans="1:6" ht="12.75">
      <c r="A39256" s="8">
        <v>43886.875069444446</v>
      </c>
      <c r="B39256" s="8" t="str">
        <f>HYPERLINK("https://twitter.com/adixiety","@adixiety")</f>
        <v>@adixiety</v>
      </c>
      <c r="C39256" s="8" t="s">
        <v>15070</v>
      </c>
      <c r="D39256" s="8">
        <v>0</v>
      </c>
      <c r="E39256" s="8">
        <v>0</v>
      </c>
      <c r="F39256" s="8">
        <v>12</v>
      </c>
    </row>
    <row r="39257" spans="1:6" ht="12.75">
      <c r="A39257" s="8">
        <v>43886.875023148154</v>
      </c>
      <c r="B39257" s="8" t="str">
        <f>HYPERLINK("https://twitter.com/rmol_id","@rmol_id")</f>
        <v>@rmol_id</v>
      </c>
      <c r="C39257" s="8" t="s">
        <v>15071</v>
      </c>
      <c r="D39257" s="8">
        <v>3</v>
      </c>
      <c r="E39257" s="8">
        <v>1</v>
      </c>
      <c r="F39257" s="8">
        <v>165689</v>
      </c>
    </row>
    <row r="39258" spans="1:6" ht="12.75">
      <c r="A39258" s="8">
        <v>43886.874849537038</v>
      </c>
      <c r="B39258" s="8" t="str">
        <f>HYPERLINK("https://twitter.com/nowodjati","@nowodjati")</f>
        <v>@nowodjati</v>
      </c>
      <c r="C39258" s="8" t="s">
        <v>13365</v>
      </c>
      <c r="D39258" s="8">
        <v>48</v>
      </c>
      <c r="E39258" s="8">
        <v>0</v>
      </c>
      <c r="F39258" s="8">
        <v>103</v>
      </c>
    </row>
    <row r="39259" spans="1:6" ht="12.75">
      <c r="A39259" s="8">
        <v>43886.874756944446</v>
      </c>
      <c r="B39259" s="8" t="str">
        <f>HYPERLINK("https://twitter.com/IsroyaniC","@IsroyaniC")</f>
        <v>@IsroyaniC</v>
      </c>
      <c r="C39259" s="8" t="s">
        <v>14543</v>
      </c>
      <c r="D39259" s="8">
        <v>6</v>
      </c>
      <c r="E39259" s="8">
        <v>0</v>
      </c>
      <c r="F39259" s="8">
        <v>186</v>
      </c>
    </row>
    <row r="39260" spans="1:6" ht="12.75">
      <c r="A39260" s="8">
        <v>43886.8746875</v>
      </c>
      <c r="B39260" s="8" t="str">
        <f>HYPERLINK("https://twitter.com/p4pi11on","@p4pi11on")</f>
        <v>@p4pi11on</v>
      </c>
      <c r="C39260" s="8" t="s">
        <v>13365</v>
      </c>
      <c r="D39260" s="8">
        <v>48</v>
      </c>
      <c r="E39260" s="8">
        <v>0</v>
      </c>
      <c r="F39260" s="8">
        <v>1119</v>
      </c>
    </row>
    <row r="39261" spans="1:6" ht="12.75">
      <c r="A39261" s="8">
        <v>43886.87462962963</v>
      </c>
      <c r="B39261" s="8" t="str">
        <f>HYPERLINK("https://twitter.com/AMajeedDXB","@AMajeedDXB")</f>
        <v>@AMajeedDXB</v>
      </c>
      <c r="C39261" s="8" t="s">
        <v>15072</v>
      </c>
      <c r="D39261" s="8">
        <v>0</v>
      </c>
      <c r="E39261" s="8">
        <v>0</v>
      </c>
      <c r="F39261" s="8">
        <v>109</v>
      </c>
    </row>
    <row r="39262" spans="1:6" ht="12.75">
      <c r="A39262" s="8">
        <v>43886.874560185184</v>
      </c>
      <c r="B39262" s="8" t="str">
        <f>HYPERLINK("https://twitter.com/yayachenleya","@yayachenleya")</f>
        <v>@yayachenleya</v>
      </c>
      <c r="C39262" s="8" t="s">
        <v>15073</v>
      </c>
      <c r="D39262" s="8">
        <v>0</v>
      </c>
      <c r="E39262" s="8">
        <v>0</v>
      </c>
      <c r="F39262" s="8">
        <v>574</v>
      </c>
    </row>
    <row r="39263" spans="1:6" ht="12.75">
      <c r="A39263" s="8">
        <v>43886.874467592592</v>
      </c>
      <c r="B39263" s="8" t="str">
        <f>HYPERLINK("https://twitter.com/LauraFadillah1","@LauraFadillah1")</f>
        <v>@LauraFadillah1</v>
      </c>
      <c r="C39263" s="8" t="s">
        <v>13365</v>
      </c>
      <c r="D39263" s="8">
        <v>48</v>
      </c>
      <c r="E39263" s="8">
        <v>0</v>
      </c>
      <c r="F39263" s="8">
        <v>410</v>
      </c>
    </row>
    <row r="39264" spans="1:6" ht="12.75">
      <c r="A39264" s="8">
        <v>43886.874293981484</v>
      </c>
      <c r="B39264" s="8" t="str">
        <f>HYPERLINK("https://twitter.com/nomilklimon","@nomilklimon")</f>
        <v>@nomilklimon</v>
      </c>
      <c r="C39264" s="8" t="s">
        <v>15074</v>
      </c>
      <c r="D39264" s="8">
        <v>0</v>
      </c>
      <c r="E39264" s="8">
        <v>0</v>
      </c>
      <c r="F39264" s="8">
        <v>489</v>
      </c>
    </row>
    <row r="39265" spans="1:6" ht="12.75">
      <c r="A39265" s="8">
        <v>43886.874050925922</v>
      </c>
      <c r="B39265" s="8" t="str">
        <f>HYPERLINK("https://twitter.com/zack_segeir","@zack_segeir")</f>
        <v>@zack_segeir</v>
      </c>
      <c r="C39265" s="8" t="s">
        <v>13365</v>
      </c>
      <c r="D39265" s="8">
        <v>48</v>
      </c>
      <c r="E39265" s="8">
        <v>0</v>
      </c>
      <c r="F39265" s="8">
        <v>720</v>
      </c>
    </row>
    <row r="39266" spans="1:6" ht="12.75">
      <c r="A39266" s="8">
        <v>43886.87400462963</v>
      </c>
      <c r="B39266" s="8" t="str">
        <f>HYPERLINK("https://twitter.com/bucinmartabak","@bucinmartabak")</f>
        <v>@bucinmartabak</v>
      </c>
      <c r="C39266" s="8" t="s">
        <v>2941</v>
      </c>
      <c r="D39266" s="8">
        <v>559</v>
      </c>
      <c r="E39266" s="8">
        <v>0</v>
      </c>
      <c r="F39266" s="8">
        <v>334</v>
      </c>
    </row>
    <row r="39267" spans="1:6" ht="12.75">
      <c r="A39267" s="8">
        <v>43886.87399305556</v>
      </c>
      <c r="B39267" s="8" t="str">
        <f>HYPERLINK("https://twitter.com/mas__piyuuu","@mas__piyuuu")</f>
        <v>@mas__piyuuu</v>
      </c>
      <c r="C39267" s="8" t="s">
        <v>13365</v>
      </c>
      <c r="D39267" s="8">
        <v>48</v>
      </c>
      <c r="E39267" s="8">
        <v>0</v>
      </c>
      <c r="F39267" s="8">
        <v>76631</v>
      </c>
    </row>
    <row r="39268" spans="1:6" ht="12.75">
      <c r="A39268" s="8">
        <v>43886.873969907407</v>
      </c>
      <c r="B39268" s="8" t="str">
        <f>HYPERLINK("https://twitter.com/demokrasicoid","@demokrasicoid")</f>
        <v>@demokrasicoid</v>
      </c>
      <c r="C39268" s="8" t="s">
        <v>14857</v>
      </c>
      <c r="D39268" s="8">
        <v>1</v>
      </c>
      <c r="E39268" s="8">
        <v>0</v>
      </c>
      <c r="F39268" s="8">
        <v>22629</v>
      </c>
    </row>
    <row r="39269" spans="1:6" ht="12.75">
      <c r="A39269" s="8">
        <v>43886.873888888891</v>
      </c>
      <c r="B39269" s="8" t="str">
        <f>HYPERLINK("https://twitter.com/nurulshanti","@nurulshanti")</f>
        <v>@nurulshanti</v>
      </c>
      <c r="C39269" s="8" t="s">
        <v>14828</v>
      </c>
      <c r="D39269" s="8">
        <v>11</v>
      </c>
      <c r="E39269" s="8">
        <v>0</v>
      </c>
      <c r="F39269" s="8">
        <v>2150</v>
      </c>
    </row>
    <row r="39270" spans="1:6" ht="12.75">
      <c r="A39270" s="8">
        <v>43886.873773148152</v>
      </c>
      <c r="B39270" s="8" t="str">
        <f>HYPERLINK("https://twitter.com/beautydyah","@beautydyah")</f>
        <v>@beautydyah</v>
      </c>
      <c r="C39270" s="8" t="s">
        <v>13365</v>
      </c>
      <c r="D39270" s="8">
        <v>48</v>
      </c>
      <c r="E39270" s="8">
        <v>0</v>
      </c>
      <c r="F39270" s="8">
        <v>3392</v>
      </c>
    </row>
    <row r="39271" spans="1:6" ht="12.75">
      <c r="A39271" s="8">
        <v>43886.873657407406</v>
      </c>
      <c r="B39271" s="8" t="str">
        <f>HYPERLINK("https://twitter.com/haiKay99","@haiKay99")</f>
        <v>@haiKay99</v>
      </c>
      <c r="C39271" s="8" t="s">
        <v>2941</v>
      </c>
      <c r="D39271" s="8">
        <v>559</v>
      </c>
      <c r="E39271" s="8">
        <v>0</v>
      </c>
      <c r="F39271" s="8">
        <v>116</v>
      </c>
    </row>
    <row r="39272" spans="1:6" ht="12.75">
      <c r="A39272" s="8">
        <v>43886.87363425926</v>
      </c>
      <c r="B39272" s="8" t="str">
        <f>HYPERLINK("https://twitter.com/singgih_always","@singgih_always")</f>
        <v>@singgih_always</v>
      </c>
      <c r="C39272" s="8" t="s">
        <v>13365</v>
      </c>
      <c r="D39272" s="8">
        <v>48</v>
      </c>
      <c r="E39272" s="8">
        <v>0</v>
      </c>
      <c r="F39272" s="8">
        <v>790</v>
      </c>
    </row>
    <row r="39273" spans="1:6" ht="12.75">
      <c r="A39273" s="8">
        <v>43886.873622685191</v>
      </c>
      <c r="B39273" s="8" t="str">
        <f>HYPERLINK("https://twitter.com/rifqyzeydan","@rifqyzeydan")</f>
        <v>@rifqyzeydan</v>
      </c>
      <c r="C39273" s="8" t="s">
        <v>15075</v>
      </c>
      <c r="D39273" s="8">
        <v>0</v>
      </c>
      <c r="E39273" s="8">
        <v>0</v>
      </c>
      <c r="F39273" s="8">
        <v>239</v>
      </c>
    </row>
    <row r="39274" spans="1:6" ht="12.75">
      <c r="A39274" s="8">
        <v>43886.873587962968</v>
      </c>
      <c r="B39274" s="8" t="str">
        <f>HYPERLINK("https://twitter.com/AntiPengPeng","@AntiPengPeng")</f>
        <v>@AntiPengPeng</v>
      </c>
      <c r="C39274" s="8" t="s">
        <v>13365</v>
      </c>
      <c r="D39274" s="8">
        <v>48</v>
      </c>
      <c r="E39274" s="8">
        <v>0</v>
      </c>
      <c r="F39274" s="8">
        <v>4248</v>
      </c>
    </row>
    <row r="39275" spans="1:6" ht="12.75">
      <c r="A39275" s="8">
        <v>43886.87332175926</v>
      </c>
      <c r="B39275" s="8" t="str">
        <f>HYPERLINK("https://twitter.com/seiimiya","@seiimiya")</f>
        <v>@seiimiya</v>
      </c>
      <c r="C39275" s="8" t="s">
        <v>2940</v>
      </c>
      <c r="D39275" s="8">
        <v>2524</v>
      </c>
      <c r="E39275" s="8">
        <v>0</v>
      </c>
      <c r="F39275" s="8">
        <v>300</v>
      </c>
    </row>
    <row r="39276" spans="1:6" ht="12.75">
      <c r="A39276" s="8">
        <v>43886.873194444444</v>
      </c>
      <c r="B39276" s="8" t="str">
        <f>HYPERLINK("https://twitter.com/JefriHimura","@JefriHimura")</f>
        <v>@JefriHimura</v>
      </c>
      <c r="C39276" s="8" t="s">
        <v>13365</v>
      </c>
      <c r="D39276" s="8">
        <v>48</v>
      </c>
      <c r="E39276" s="8">
        <v>0</v>
      </c>
      <c r="F39276" s="8">
        <v>45</v>
      </c>
    </row>
    <row r="39277" spans="1:6" ht="12.75">
      <c r="A39277" s="8">
        <v>43886.873020833329</v>
      </c>
      <c r="B39277" s="8" t="str">
        <f>HYPERLINK("https://twitter.com/JangRantau","@JangRantau")</f>
        <v>@JangRantau</v>
      </c>
      <c r="C39277" s="8" t="s">
        <v>13365</v>
      </c>
      <c r="D39277" s="8">
        <v>48</v>
      </c>
      <c r="E39277" s="8">
        <v>0</v>
      </c>
      <c r="F39277" s="8">
        <v>628</v>
      </c>
    </row>
    <row r="39278" spans="1:6" ht="12.75">
      <c r="A39278" s="8">
        <v>43886.873020833329</v>
      </c>
      <c r="B39278" s="8" t="str">
        <f>HYPERLINK("https://twitter.com/TarsonoKetip","@TarsonoKetip")</f>
        <v>@TarsonoKetip</v>
      </c>
      <c r="C39278" s="8" t="s">
        <v>13365</v>
      </c>
      <c r="D39278" s="8">
        <v>48</v>
      </c>
      <c r="E39278" s="8">
        <v>0</v>
      </c>
      <c r="F39278" s="8">
        <v>1255</v>
      </c>
    </row>
    <row r="39279" spans="1:6" ht="12.75">
      <c r="A39279" s="8">
        <v>43886.872939814813</v>
      </c>
      <c r="B39279" s="8" t="str">
        <f>HYPERLINK("https://twitter.com/seiimiya","@seiimiya")</f>
        <v>@seiimiya</v>
      </c>
      <c r="C39279" s="8" t="s">
        <v>8484</v>
      </c>
      <c r="D39279" s="8">
        <v>892</v>
      </c>
      <c r="E39279" s="8">
        <v>0</v>
      </c>
      <c r="F39279" s="8">
        <v>300</v>
      </c>
    </row>
    <row r="39280" spans="1:6" ht="12.75">
      <c r="A39280" s="8">
        <v>43886.872766203705</v>
      </c>
      <c r="B39280" s="8" t="str">
        <f>HYPERLINK("https://twitter.com/AhnafMirza1","@AhnafMirza1")</f>
        <v>@AhnafMirza1</v>
      </c>
      <c r="C39280" s="8" t="s">
        <v>13365</v>
      </c>
      <c r="D39280" s="8">
        <v>48</v>
      </c>
      <c r="E39280" s="8">
        <v>0</v>
      </c>
      <c r="F39280" s="8">
        <v>156</v>
      </c>
    </row>
    <row r="39281" spans="1:6" ht="12.75">
      <c r="A39281" s="8">
        <v>43886.872719907406</v>
      </c>
      <c r="B39281" s="8" t="str">
        <f>HYPERLINK("https://twitter.com/kicepkicep","@kicepkicep")</f>
        <v>@kicepkicep</v>
      </c>
      <c r="C39281" s="8" t="s">
        <v>13365</v>
      </c>
      <c r="D39281" s="8">
        <v>48</v>
      </c>
      <c r="E39281" s="8">
        <v>0</v>
      </c>
      <c r="F39281" s="8">
        <v>1231</v>
      </c>
    </row>
    <row r="39282" spans="1:6" ht="12.75">
      <c r="A39282" s="8">
        <v>43886.87263888889</v>
      </c>
      <c r="B39282" s="8" t="str">
        <f>HYPERLINK("https://twitter.com/arigathanksx","@arigathanksx")</f>
        <v>@arigathanksx</v>
      </c>
      <c r="C39282" s="8" t="s">
        <v>14430</v>
      </c>
      <c r="D39282" s="8">
        <v>79</v>
      </c>
      <c r="E39282" s="8">
        <v>0</v>
      </c>
      <c r="F39282" s="8">
        <v>338</v>
      </c>
    </row>
    <row r="39283" spans="1:6" ht="12.75">
      <c r="A39283" s="8">
        <v>43886.872453703705</v>
      </c>
      <c r="B39283" s="8" t="str">
        <f>HYPERLINK("https://twitter.com/bakwaannnn","@bakwaannnn")</f>
        <v>@bakwaannnn</v>
      </c>
      <c r="C39283" s="8" t="s">
        <v>13365</v>
      </c>
      <c r="D39283" s="8">
        <v>48</v>
      </c>
      <c r="E39283" s="8">
        <v>0</v>
      </c>
      <c r="F39283" s="8">
        <v>183</v>
      </c>
    </row>
    <row r="39284" spans="1:6" ht="12.75">
      <c r="A39284" s="8">
        <v>43886.872256944444</v>
      </c>
      <c r="B39284" s="8" t="str">
        <f>HYPERLINK("https://twitter.com/oryjone","@oryjone")</f>
        <v>@oryjone</v>
      </c>
      <c r="C39284" s="8" t="s">
        <v>13365</v>
      </c>
      <c r="D39284" s="8">
        <v>48</v>
      </c>
      <c r="E39284" s="8">
        <v>0</v>
      </c>
      <c r="F39284" s="8">
        <v>261</v>
      </c>
    </row>
    <row r="39285" spans="1:6" ht="12.75">
      <c r="A39285" s="8">
        <v>43886.872175925921</v>
      </c>
      <c r="B39285" s="8" t="str">
        <f>HYPERLINK("https://twitter.com/budisuroso53","@budisuroso53")</f>
        <v>@budisuroso53</v>
      </c>
      <c r="C39285" s="8" t="s">
        <v>13365</v>
      </c>
      <c r="D39285" s="8">
        <v>48</v>
      </c>
      <c r="E39285" s="8">
        <v>0</v>
      </c>
      <c r="F39285" s="8">
        <v>116</v>
      </c>
    </row>
    <row r="39286" spans="1:6" ht="12.75">
      <c r="A39286" s="8">
        <v>43886.872129629628</v>
      </c>
      <c r="B39286" s="8" t="str">
        <f>HYPERLINK("https://twitter.com/beatrice_health","@beatrice_health")</f>
        <v>@beatrice_health</v>
      </c>
      <c r="C39286" s="8" t="s">
        <v>13365</v>
      </c>
      <c r="D39286" s="8">
        <v>48</v>
      </c>
      <c r="E39286" s="8">
        <v>0</v>
      </c>
      <c r="F39286" s="8">
        <v>364</v>
      </c>
    </row>
    <row r="39287" spans="1:6" ht="12.75">
      <c r="A39287" s="8">
        <v>43886.872106481482</v>
      </c>
      <c r="B39287" s="8" t="str">
        <f>HYPERLINK("https://twitter.com/Farizsamanha","@Farizsamanha")</f>
        <v>@Farizsamanha</v>
      </c>
      <c r="C39287" s="8" t="s">
        <v>13365</v>
      </c>
      <c r="D39287" s="8">
        <v>48</v>
      </c>
      <c r="E39287" s="8">
        <v>0</v>
      </c>
      <c r="F39287" s="8">
        <v>438</v>
      </c>
    </row>
    <row r="39288" spans="1:6" ht="12.75">
      <c r="A39288" s="8">
        <v>43886.872048611112</v>
      </c>
      <c r="B39288" s="8" t="str">
        <f>HYPERLINK("https://twitter.com/DiartonoSapto","@DiartonoSapto")</f>
        <v>@DiartonoSapto</v>
      </c>
      <c r="C39288" s="8" t="s">
        <v>13365</v>
      </c>
      <c r="D39288" s="8">
        <v>48</v>
      </c>
      <c r="E39288" s="8">
        <v>0</v>
      </c>
      <c r="F39288" s="8">
        <v>489</v>
      </c>
    </row>
    <row r="39289" spans="1:6" ht="12.75">
      <c r="A39289" s="8">
        <v>43886.872025462959</v>
      </c>
      <c r="B39289" s="8" t="str">
        <f>HYPERLINK("https://twitter.com/KobusKeneng","@KobusKeneng")</f>
        <v>@KobusKeneng</v>
      </c>
      <c r="C39289" s="8" t="s">
        <v>11183</v>
      </c>
      <c r="D39289" s="8">
        <v>204</v>
      </c>
      <c r="E39289" s="8">
        <v>0</v>
      </c>
      <c r="F39289" s="8">
        <v>214</v>
      </c>
    </row>
    <row r="39290" spans="1:6" ht="12.75">
      <c r="A39290" s="8">
        <v>43886.872013888889</v>
      </c>
      <c r="B39290" s="8" t="str">
        <f>HYPERLINK("https://twitter.com/Rhmnnisasr24","@Rhmnnisasr24")</f>
        <v>@Rhmnnisasr24</v>
      </c>
      <c r="C39290" s="8" t="s">
        <v>2941</v>
      </c>
      <c r="D39290" s="8">
        <v>559</v>
      </c>
      <c r="E39290" s="8">
        <v>0</v>
      </c>
      <c r="F39290" s="8">
        <v>1662</v>
      </c>
    </row>
    <row r="39291" spans="1:6" ht="12.75">
      <c r="A39291" s="8">
        <v>43886.87200231482</v>
      </c>
      <c r="B39291" s="8" t="str">
        <f>HYPERLINK("https://twitter.com/FAdiSaputra","@FAdiSaputra")</f>
        <v>@FAdiSaputra</v>
      </c>
      <c r="C39291" s="8" t="s">
        <v>2941</v>
      </c>
      <c r="D39291" s="8">
        <v>559</v>
      </c>
      <c r="E39291" s="8">
        <v>0</v>
      </c>
      <c r="F39291" s="8">
        <v>507</v>
      </c>
    </row>
    <row r="39292" spans="1:6" ht="12.75">
      <c r="A39292" s="8">
        <v>43886.871793981481</v>
      </c>
      <c r="B39292" s="8" t="str">
        <f>HYPERLINK("https://twitter.com/HenkMizell","@HenkMizell")</f>
        <v>@HenkMizell</v>
      </c>
      <c r="C39292" s="8" t="s">
        <v>15076</v>
      </c>
      <c r="D39292" s="8">
        <v>0</v>
      </c>
      <c r="E39292" s="8">
        <v>0</v>
      </c>
      <c r="F39292" s="8">
        <v>22</v>
      </c>
    </row>
    <row r="39293" spans="1:6" ht="12.75">
      <c r="A39293" s="8">
        <v>43886.871550925927</v>
      </c>
      <c r="B39293" s="8" t="str">
        <f>HYPERLINK("https://twitter.com/nandothok","@nandothok")</f>
        <v>@nandothok</v>
      </c>
      <c r="C39293" s="8" t="s">
        <v>14859</v>
      </c>
      <c r="D39293" s="8">
        <v>56</v>
      </c>
      <c r="E39293" s="8">
        <v>0</v>
      </c>
      <c r="F39293" s="8">
        <v>333</v>
      </c>
    </row>
    <row r="39294" spans="1:6" ht="12.75">
      <c r="A39294" s="8">
        <v>43886.871203703704</v>
      </c>
      <c r="B39294" s="8" t="str">
        <f>HYPERLINK("https://twitter.com/Er55188937","@Er55188937")</f>
        <v>@Er55188937</v>
      </c>
      <c r="C39294" s="8" t="s">
        <v>13365</v>
      </c>
      <c r="D39294" s="8">
        <v>48</v>
      </c>
      <c r="E39294" s="8">
        <v>0</v>
      </c>
      <c r="F39294" s="8">
        <v>293</v>
      </c>
    </row>
    <row r="39295" spans="1:6" ht="12.75">
      <c r="A39295" s="8">
        <v>43886.871168981481</v>
      </c>
      <c r="B39295" s="8" t="str">
        <f>HYPERLINK("https://twitter.com/hilmyageng","@hilmyageng")</f>
        <v>@hilmyageng</v>
      </c>
      <c r="C39295" s="8" t="s">
        <v>2941</v>
      </c>
      <c r="D39295" s="8">
        <v>559</v>
      </c>
      <c r="E39295" s="8">
        <v>0</v>
      </c>
      <c r="F39295" s="8">
        <v>98</v>
      </c>
    </row>
    <row r="39296" spans="1:6" ht="12.75">
      <c r="A39296" s="8">
        <v>43886.871053240742</v>
      </c>
      <c r="B39296" s="8" t="str">
        <f>HYPERLINK("https://twitter.com/rezimhantu","@rezimhantu")</f>
        <v>@rezimhantu</v>
      </c>
      <c r="C39296" s="8" t="s">
        <v>13365</v>
      </c>
      <c r="D39296" s="8">
        <v>48</v>
      </c>
      <c r="E39296" s="8">
        <v>0</v>
      </c>
      <c r="F39296" s="8">
        <v>606</v>
      </c>
    </row>
    <row r="39297" spans="1:6" ht="12.75">
      <c r="A39297" s="8">
        <v>43886.870972222227</v>
      </c>
      <c r="B39297" s="8" t="str">
        <f>HYPERLINK("https://twitter.com/DesemberDal","@DesemberDal")</f>
        <v>@DesemberDal</v>
      </c>
      <c r="C39297" s="8" t="s">
        <v>2941</v>
      </c>
      <c r="D39297" s="8">
        <v>559</v>
      </c>
      <c r="E39297" s="8">
        <v>0</v>
      </c>
      <c r="F39297" s="8">
        <v>31</v>
      </c>
    </row>
    <row r="39298" spans="1:6" ht="12.75">
      <c r="A39298" s="8">
        <v>43886.87096064815</v>
      </c>
      <c r="B39298" s="8" t="str">
        <f t="shared" ref="B39298:B39299" si="585">HYPERLINK("https://twitter.com/inkysters","@inkysters")</f>
        <v>@inkysters</v>
      </c>
      <c r="C39298" s="8" t="s">
        <v>14106</v>
      </c>
      <c r="D39298" s="8">
        <v>138</v>
      </c>
      <c r="E39298" s="8">
        <v>0</v>
      </c>
      <c r="F39298" s="8">
        <v>218</v>
      </c>
    </row>
    <row r="39299" spans="1:6" ht="12.75">
      <c r="A39299" s="8">
        <v>43886.870925925927</v>
      </c>
      <c r="B39299" s="8" t="str">
        <f t="shared" si="585"/>
        <v>@inkysters</v>
      </c>
      <c r="C39299" s="8" t="s">
        <v>13834</v>
      </c>
      <c r="D39299" s="8">
        <v>150</v>
      </c>
      <c r="E39299" s="8">
        <v>0</v>
      </c>
      <c r="F39299" s="8">
        <v>218</v>
      </c>
    </row>
    <row r="39300" spans="1:6" ht="12.75">
      <c r="A39300" s="8">
        <v>43886.870879629627</v>
      </c>
      <c r="B39300" s="8" t="str">
        <f>HYPERLINK("https://twitter.com/naturapersada","@naturapersada")</f>
        <v>@naturapersada</v>
      </c>
      <c r="C39300" s="8" t="s">
        <v>15077</v>
      </c>
      <c r="D39300" s="8">
        <v>0</v>
      </c>
      <c r="E39300" s="8">
        <v>0</v>
      </c>
      <c r="F39300" s="8">
        <v>1617</v>
      </c>
    </row>
    <row r="39301" spans="1:6" ht="12.75">
      <c r="A39301" s="8">
        <v>43886.870844907404</v>
      </c>
      <c r="B39301" s="8" t="str">
        <f>HYPERLINK("https://twitter.com/inkysters","@inkysters")</f>
        <v>@inkysters</v>
      </c>
      <c r="C39301" s="8" t="s">
        <v>8484</v>
      </c>
      <c r="D39301" s="8">
        <v>892</v>
      </c>
      <c r="E39301" s="8">
        <v>0</v>
      </c>
      <c r="F39301" s="8">
        <v>218</v>
      </c>
    </row>
    <row r="39302" spans="1:6" ht="12.75">
      <c r="A39302" s="8">
        <v>43886.839861111112</v>
      </c>
      <c r="B39302" s="8" t="str">
        <f>HYPERLINK("https://twitter.com/destilaras13","@destilaras13")</f>
        <v>@destilaras13</v>
      </c>
      <c r="C39302" s="8" t="s">
        <v>2941</v>
      </c>
      <c r="D39302" s="8">
        <v>486</v>
      </c>
      <c r="E39302" s="8">
        <v>0</v>
      </c>
      <c r="F39302" s="8">
        <v>499</v>
      </c>
    </row>
    <row r="39303" spans="1:6" ht="12.75">
      <c r="A39303" s="8">
        <v>43886.839814814812</v>
      </c>
      <c r="B39303" s="8" t="str">
        <f>HYPERLINK("https://twitter.com/mr_supiansyah","@mr_supiansyah")</f>
        <v>@mr_supiansyah</v>
      </c>
      <c r="C39303" s="8" t="s">
        <v>11964</v>
      </c>
      <c r="D39303" s="8">
        <v>449</v>
      </c>
      <c r="E39303" s="8">
        <v>0</v>
      </c>
      <c r="F39303" s="8">
        <v>2042</v>
      </c>
    </row>
    <row r="39304" spans="1:6" ht="12.75">
      <c r="A39304" s="8">
        <v>43886.839166666672</v>
      </c>
      <c r="B39304" s="8" t="str">
        <f>HYPERLINK("https://twitter.com/seriussedunia","@seriussedunia")</f>
        <v>@seriussedunia</v>
      </c>
      <c r="C39304" s="8" t="s">
        <v>14430</v>
      </c>
      <c r="D39304" s="8">
        <v>71</v>
      </c>
      <c r="E39304" s="8">
        <v>0</v>
      </c>
      <c r="F39304" s="8">
        <v>142</v>
      </c>
    </row>
    <row r="39305" spans="1:6" ht="12.75">
      <c r="A39305" s="8">
        <v>43886.839004629626</v>
      </c>
      <c r="B39305" s="8" t="str">
        <f>HYPERLINK("https://twitter.com/Maswiro3","@Maswiro3")</f>
        <v>@Maswiro3</v>
      </c>
      <c r="C39305" s="8" t="s">
        <v>11964</v>
      </c>
      <c r="D39305" s="8">
        <v>449</v>
      </c>
      <c r="E39305" s="8">
        <v>0</v>
      </c>
      <c r="F39305" s="8">
        <v>1675</v>
      </c>
    </row>
    <row r="39306" spans="1:6" ht="12.75">
      <c r="A39306" s="8">
        <v>43886.838703703703</v>
      </c>
      <c r="B39306" s="8" t="str">
        <f>HYPERLINK("https://twitter.com/DeZone5f","@DeZone5f")</f>
        <v>@DeZone5f</v>
      </c>
      <c r="C39306" s="8" t="s">
        <v>2941</v>
      </c>
      <c r="D39306" s="8">
        <v>486</v>
      </c>
      <c r="E39306" s="8">
        <v>0</v>
      </c>
      <c r="F39306" s="8">
        <v>3</v>
      </c>
    </row>
    <row r="39307" spans="1:6" ht="12.75">
      <c r="A39307" s="8">
        <v>43886.838576388887</v>
      </c>
      <c r="B39307" s="8" t="str">
        <f>HYPERLINK("https://twitter.com/Christ_henry_","@Christ_henry_")</f>
        <v>@Christ_henry_</v>
      </c>
      <c r="C39307" s="8" t="s">
        <v>15078</v>
      </c>
      <c r="D39307" s="8">
        <v>0</v>
      </c>
      <c r="E39307" s="8">
        <v>0</v>
      </c>
      <c r="F39307" s="8">
        <v>211</v>
      </c>
    </row>
    <row r="39308" spans="1:6" ht="12.75">
      <c r="A39308" s="8">
        <v>43886.838287037041</v>
      </c>
      <c r="B39308" s="8" t="str">
        <f>HYPERLINK("https://twitter.com/republikaonline","@republikaonline")</f>
        <v>@republikaonline</v>
      </c>
      <c r="C39308" s="8" t="s">
        <v>15079</v>
      </c>
      <c r="D39308" s="8">
        <v>0</v>
      </c>
      <c r="E39308" s="8">
        <v>0</v>
      </c>
      <c r="F39308" s="8">
        <v>1213492</v>
      </c>
    </row>
    <row r="39309" spans="1:6" ht="12.75">
      <c r="A39309" s="8">
        <v>43886.838113425925</v>
      </c>
      <c r="B39309" s="8" t="str">
        <f>HYPERLINK("https://twitter.com/ObaiIdon","@ObaiIdon")</f>
        <v>@ObaiIdon</v>
      </c>
      <c r="C39309" s="8" t="s">
        <v>11183</v>
      </c>
      <c r="D39309" s="8">
        <v>182</v>
      </c>
      <c r="E39309" s="8">
        <v>0</v>
      </c>
      <c r="F39309" s="8">
        <v>181</v>
      </c>
    </row>
    <row r="39310" spans="1:6" ht="12.75">
      <c r="A39310" s="8">
        <v>43886.838043981479</v>
      </c>
      <c r="B39310" s="8" t="str">
        <f>HYPERLINK("https://twitter.com/Christ_henry_","@Christ_henry_")</f>
        <v>@Christ_henry_</v>
      </c>
      <c r="C39310" s="8" t="s">
        <v>15080</v>
      </c>
      <c r="D39310" s="8">
        <v>0</v>
      </c>
      <c r="E39310" s="8">
        <v>0</v>
      </c>
      <c r="F39310" s="8">
        <v>211</v>
      </c>
    </row>
    <row r="39311" spans="1:6" ht="12.75">
      <c r="A39311" s="8">
        <v>43886.837881944448</v>
      </c>
      <c r="B39311" s="8" t="str">
        <f>HYPERLINK("https://twitter.com/kompascom","@kompascom")</f>
        <v>@kompascom</v>
      </c>
      <c r="C39311" s="8" t="s">
        <v>15081</v>
      </c>
      <c r="D39311" s="8">
        <v>0</v>
      </c>
      <c r="E39311" s="8">
        <v>4</v>
      </c>
      <c r="F39311" s="8">
        <v>7512428</v>
      </c>
    </row>
    <row r="39312" spans="1:6" ht="12.75">
      <c r="A39312" s="8">
        <v>43886.837881944448</v>
      </c>
      <c r="B39312" s="8" t="str">
        <f>HYPERLINK("https://twitter.com/suaradotcom","@suaradotcom")</f>
        <v>@suaradotcom</v>
      </c>
      <c r="C39312" s="8" t="s">
        <v>15082</v>
      </c>
      <c r="D39312" s="8">
        <v>0</v>
      </c>
      <c r="E39312" s="8">
        <v>0</v>
      </c>
      <c r="F39312" s="8">
        <v>24237</v>
      </c>
    </row>
    <row r="39313" spans="1:6" ht="12.75">
      <c r="A39313" s="8">
        <v>43886.837800925925</v>
      </c>
      <c r="B39313" s="8" t="str">
        <f>HYPERLINK("https://twitter.com/rizzalaldy_","@rizzalaldy_")</f>
        <v>@rizzalaldy_</v>
      </c>
      <c r="C39313" s="8" t="s">
        <v>2941</v>
      </c>
      <c r="D39313" s="8">
        <v>486</v>
      </c>
      <c r="E39313" s="8">
        <v>0</v>
      </c>
      <c r="F39313" s="8">
        <v>190</v>
      </c>
    </row>
    <row r="39314" spans="1:6" ht="12.75">
      <c r="A39314" s="8">
        <v>43886.83761574074</v>
      </c>
      <c r="B39314" s="8" t="str">
        <f>HYPERLINK("https://twitter.com/okkylf","@okkylf")</f>
        <v>@okkylf</v>
      </c>
      <c r="C39314" s="8" t="s">
        <v>2941</v>
      </c>
      <c r="D39314" s="8">
        <v>486</v>
      </c>
      <c r="E39314" s="8">
        <v>0</v>
      </c>
      <c r="F39314" s="8">
        <v>118</v>
      </c>
    </row>
    <row r="39315" spans="1:6" ht="12.75">
      <c r="A39315" s="8">
        <v>43886.837256944447</v>
      </c>
      <c r="B39315" s="8" t="str">
        <f>HYPERLINK("https://twitter.com/yijianfeng1412","@yijianfeng1412")</f>
        <v>@yijianfeng1412</v>
      </c>
      <c r="C39315" s="8" t="s">
        <v>2941</v>
      </c>
      <c r="D39315" s="8">
        <v>486</v>
      </c>
      <c r="E39315" s="8">
        <v>0</v>
      </c>
      <c r="F39315" s="8">
        <v>8</v>
      </c>
    </row>
    <row r="39316" spans="1:6" ht="12.75">
      <c r="A39316" s="8">
        <v>43886.837048611109</v>
      </c>
      <c r="B39316" s="8" t="str">
        <f>HYPERLINK("https://twitter.com/okezonenews","@okezonenews")</f>
        <v>@okezonenews</v>
      </c>
      <c r="C39316" s="8" t="s">
        <v>15083</v>
      </c>
      <c r="D39316" s="8">
        <v>0</v>
      </c>
      <c r="E39316" s="8">
        <v>0</v>
      </c>
      <c r="F39316" s="8">
        <v>1743624</v>
      </c>
    </row>
    <row r="39317" spans="1:6" ht="12.75">
      <c r="A39317" s="8">
        <v>43886.836782407408</v>
      </c>
      <c r="B39317" s="8" t="str">
        <f>HYPERLINK("https://twitter.com/FloDeQueen","@FloDeQueen")</f>
        <v>@FloDeQueen</v>
      </c>
      <c r="C39317" s="8" t="s">
        <v>15084</v>
      </c>
      <c r="D39317" s="8">
        <v>0</v>
      </c>
      <c r="E39317" s="8">
        <v>0</v>
      </c>
      <c r="F39317" s="8">
        <v>2678</v>
      </c>
    </row>
    <row r="39318" spans="1:6" ht="12.75">
      <c r="A39318" s="8">
        <v>43886.836678240739</v>
      </c>
      <c r="B39318" s="8" t="str">
        <f>HYPERLINK("https://twitter.com/CrowDits","@CrowDits")</f>
        <v>@CrowDits</v>
      </c>
      <c r="C39318" s="8" t="s">
        <v>15085</v>
      </c>
      <c r="D39318" s="8">
        <v>0</v>
      </c>
      <c r="E39318" s="8">
        <v>0</v>
      </c>
      <c r="F39318" s="8">
        <v>735</v>
      </c>
    </row>
    <row r="39319" spans="1:6" ht="12.75">
      <c r="A39319" s="8">
        <v>43886.836643518516</v>
      </c>
      <c r="B39319" s="8" t="str">
        <f>HYPERLINK("https://twitter.com/AmyakaHELLCAT","@AmyakaHELLCAT")</f>
        <v>@AmyakaHELLCAT</v>
      </c>
      <c r="C39319" s="8" t="s">
        <v>8484</v>
      </c>
      <c r="D39319" s="8">
        <v>878</v>
      </c>
      <c r="E39319" s="8">
        <v>0</v>
      </c>
      <c r="F39319" s="8">
        <v>2853</v>
      </c>
    </row>
    <row r="39320" spans="1:6" ht="12.75">
      <c r="A39320" s="8">
        <v>43886.836458333331</v>
      </c>
      <c r="B39320" s="8" t="str">
        <f>HYPERLINK("https://twitter.com/Ulama_Sangean","@Ulama_Sangean")</f>
        <v>@Ulama_Sangean</v>
      </c>
      <c r="C39320" s="8" t="s">
        <v>15086</v>
      </c>
      <c r="D39320" s="8">
        <v>0</v>
      </c>
      <c r="E39320" s="8">
        <v>0</v>
      </c>
      <c r="F39320" s="8">
        <v>733</v>
      </c>
    </row>
    <row r="39321" spans="1:6" ht="12.75">
      <c r="A39321" s="8">
        <v>43886.836354166662</v>
      </c>
      <c r="B39321" s="8" t="str">
        <f>HYPERLINK("https://twitter.com/meeonggg","@meeonggg")</f>
        <v>@meeonggg</v>
      </c>
      <c r="C39321" s="8" t="s">
        <v>6638</v>
      </c>
      <c r="D39321" s="8">
        <v>43</v>
      </c>
      <c r="E39321" s="8">
        <v>0</v>
      </c>
      <c r="F39321" s="8">
        <v>1783</v>
      </c>
    </row>
    <row r="39322" spans="1:6" ht="12.75">
      <c r="A39322" s="8">
        <v>43886.836238425924</v>
      </c>
      <c r="B39322" s="8" t="str">
        <f>HYPERLINK("https://twitter.com/hpermadi","@hpermadi")</f>
        <v>@hpermadi</v>
      </c>
      <c r="C39322" s="8" t="s">
        <v>13108</v>
      </c>
      <c r="D39322" s="8">
        <v>7</v>
      </c>
      <c r="E39322" s="8">
        <v>0</v>
      </c>
      <c r="F39322" s="8">
        <v>944</v>
      </c>
    </row>
    <row r="39323" spans="1:6" ht="12.75">
      <c r="A39323" s="8">
        <v>43886.836238425924</v>
      </c>
      <c r="B39323" s="8" t="str">
        <f>HYPERLINK("https://twitter.com/GoTotheJek","@GoTotheJek")</f>
        <v>@GoTotheJek</v>
      </c>
      <c r="C39323" s="8" t="s">
        <v>15087</v>
      </c>
      <c r="D39323" s="8">
        <v>2</v>
      </c>
      <c r="E39323" s="8">
        <v>0</v>
      </c>
      <c r="F39323" s="8">
        <v>771</v>
      </c>
    </row>
    <row r="39324" spans="1:6" ht="12.75">
      <c r="A39324" s="8">
        <v>43886.836053240739</v>
      </c>
      <c r="B39324" s="8" t="str">
        <f>HYPERLINK("https://twitter.com/JudeWikrama","@JudeWikrama")</f>
        <v>@JudeWikrama</v>
      </c>
      <c r="C39324" s="8" t="s">
        <v>15088</v>
      </c>
      <c r="D39324" s="8">
        <v>0</v>
      </c>
      <c r="E39324" s="8">
        <v>0</v>
      </c>
      <c r="F39324" s="8">
        <v>214</v>
      </c>
    </row>
    <row r="39325" spans="1:6" ht="12.75">
      <c r="A39325" s="8">
        <v>43886.835763888885</v>
      </c>
      <c r="B39325" s="8" t="str">
        <f>HYPERLINK("https://twitter.com/hannarachmi","@hannarachmi")</f>
        <v>@hannarachmi</v>
      </c>
      <c r="C39325" s="8" t="s">
        <v>2941</v>
      </c>
      <c r="D39325" s="8">
        <v>486</v>
      </c>
      <c r="E39325" s="8">
        <v>0</v>
      </c>
      <c r="F39325" s="8">
        <v>954</v>
      </c>
    </row>
    <row r="39326" spans="1:6" ht="12.75">
      <c r="A39326" s="8">
        <v>43886.835740740746</v>
      </c>
      <c r="B39326" s="8" t="str">
        <f>HYPERLINK("https://twitter.com/SantilidiaW","@SantilidiaW")</f>
        <v>@SantilidiaW</v>
      </c>
      <c r="C39326" s="8" t="s">
        <v>15089</v>
      </c>
      <c r="D39326" s="8">
        <v>0</v>
      </c>
      <c r="E39326" s="8">
        <v>0</v>
      </c>
      <c r="F39326" s="8">
        <v>13</v>
      </c>
    </row>
    <row r="39327" spans="1:6" ht="12.75">
      <c r="A39327" s="8">
        <v>43886.835590277777</v>
      </c>
      <c r="B39327" s="8" t="str">
        <f>HYPERLINK("https://twitter.com/ypalwaguna","@ypalwaguna")</f>
        <v>@ypalwaguna</v>
      </c>
      <c r="C39327" s="8" t="s">
        <v>14430</v>
      </c>
      <c r="D39327" s="8">
        <v>71</v>
      </c>
      <c r="E39327" s="8">
        <v>0</v>
      </c>
      <c r="F39327" s="8">
        <v>403</v>
      </c>
    </row>
    <row r="39328" spans="1:6" ht="12.75">
      <c r="A39328" s="8">
        <v>43886.834953703699</v>
      </c>
      <c r="B39328" s="8" t="str">
        <f>HYPERLINK("https://twitter.com/tweetaje_aje","@tweetaje_aje")</f>
        <v>@tweetaje_aje</v>
      </c>
      <c r="C39328" s="8" t="s">
        <v>15090</v>
      </c>
      <c r="D39328" s="8">
        <v>2</v>
      </c>
      <c r="E39328" s="8">
        <v>0</v>
      </c>
      <c r="F39328" s="8">
        <v>26</v>
      </c>
    </row>
    <row r="39329" spans="1:6" ht="12.75">
      <c r="A39329" s="8">
        <v>43886.834409722222</v>
      </c>
      <c r="B39329" s="8" t="str">
        <f>HYPERLINK("https://twitter.com/davidpurba1102","@davidpurba1102")</f>
        <v>@davidpurba1102</v>
      </c>
      <c r="C39329" s="8" t="s">
        <v>11183</v>
      </c>
      <c r="D39329" s="8">
        <v>182</v>
      </c>
      <c r="E39329" s="8">
        <v>0</v>
      </c>
      <c r="F39329" s="8">
        <v>144</v>
      </c>
    </row>
    <row r="39330" spans="1:6" ht="12.75">
      <c r="A39330" s="8">
        <v>43886.834363425922</v>
      </c>
      <c r="B39330" s="8" t="str">
        <f>HYPERLINK("https://twitter.com/asarfahsita","@asarfahsita")</f>
        <v>@asarfahsita</v>
      </c>
      <c r="C39330" s="8" t="s">
        <v>2941</v>
      </c>
      <c r="D39330" s="8">
        <v>486</v>
      </c>
      <c r="E39330" s="8">
        <v>0</v>
      </c>
      <c r="F39330" s="8">
        <v>102</v>
      </c>
    </row>
    <row r="39331" spans="1:6" ht="12.75">
      <c r="A39331" s="8">
        <v>43886.834328703699</v>
      </c>
      <c r="B39331" s="8" t="str">
        <f>HYPERLINK("https://twitter.com/TegarM_A","@TegarM_A")</f>
        <v>@TegarM_A</v>
      </c>
      <c r="C39331" s="8" t="s">
        <v>2941</v>
      </c>
      <c r="D39331" s="8">
        <v>486</v>
      </c>
      <c r="E39331" s="8">
        <v>0</v>
      </c>
      <c r="F39331" s="8">
        <v>39</v>
      </c>
    </row>
    <row r="39332" spans="1:6" ht="12.75">
      <c r="A39332" s="8">
        <v>43886.834050925929</v>
      </c>
      <c r="B39332" s="8" t="str">
        <f>HYPERLINK("https://twitter.com/wasathiyyah","@wasathiyyah")</f>
        <v>@wasathiyyah</v>
      </c>
      <c r="C39332" s="8" t="s">
        <v>15091</v>
      </c>
      <c r="D39332" s="8">
        <v>0</v>
      </c>
      <c r="E39332" s="8">
        <v>0</v>
      </c>
      <c r="F39332" s="8">
        <v>133</v>
      </c>
    </row>
    <row r="39333" spans="1:6" ht="12.75">
      <c r="A39333" s="8">
        <v>43886.833912037036</v>
      </c>
      <c r="B39333" s="8" t="str">
        <f>HYPERLINK("https://twitter.com/ImeldaTheQueen","@ImeldaTheQueen")</f>
        <v>@ImeldaTheQueen</v>
      </c>
      <c r="C39333" s="8" t="s">
        <v>15092</v>
      </c>
      <c r="D39333" s="8">
        <v>0</v>
      </c>
      <c r="E39333" s="8">
        <v>0</v>
      </c>
      <c r="F39333" s="8">
        <v>384</v>
      </c>
    </row>
    <row r="39334" spans="1:6" ht="12.75">
      <c r="A39334" s="8">
        <v>43886.833796296298</v>
      </c>
      <c r="B39334" s="8" t="str">
        <f>HYPERLINK("https://twitter.com/validnewsco","@validnewsco")</f>
        <v>@validnewsco</v>
      </c>
      <c r="C39334" s="8" t="s">
        <v>15093</v>
      </c>
      <c r="D39334" s="8">
        <v>0</v>
      </c>
      <c r="E39334" s="8">
        <v>0</v>
      </c>
      <c r="F39334" s="8">
        <v>32953</v>
      </c>
    </row>
    <row r="39335" spans="1:6" ht="12.75">
      <c r="A39335" s="8">
        <v>43886.833715277782</v>
      </c>
      <c r="B39335" s="8" t="str">
        <f>HYPERLINK("https://twitter.com/saa_NNS","@saa_NNS")</f>
        <v>@saa_NNS</v>
      </c>
      <c r="C39335" s="8" t="s">
        <v>2940</v>
      </c>
      <c r="D39335" s="8">
        <v>2512</v>
      </c>
      <c r="E39335" s="8">
        <v>0</v>
      </c>
      <c r="F39335" s="8">
        <v>77</v>
      </c>
    </row>
    <row r="39336" spans="1:6" ht="12.75">
      <c r="A39336" s="8">
        <v>43886.833391203705</v>
      </c>
      <c r="B39336" s="8" t="str">
        <f>HYPERLINK("https://twitter.com/tioutamaa","@tioutamaa")</f>
        <v>@tioutamaa</v>
      </c>
      <c r="C39336" s="8" t="s">
        <v>6638</v>
      </c>
      <c r="D39336" s="8">
        <v>43</v>
      </c>
      <c r="E39336" s="8">
        <v>0</v>
      </c>
      <c r="F39336" s="8">
        <v>464</v>
      </c>
    </row>
    <row r="39337" spans="1:6" ht="12.75">
      <c r="A39337" s="8">
        <v>43886.833333333328</v>
      </c>
      <c r="B39337" s="8" t="str">
        <f>HYPERLINK("https://twitter.com/MNCNewsroom","@MNCNewsroom")</f>
        <v>@MNCNewsroom</v>
      </c>
      <c r="C39337" s="8" t="s">
        <v>15094</v>
      </c>
      <c r="D39337" s="8">
        <v>0</v>
      </c>
      <c r="E39337" s="8">
        <v>0</v>
      </c>
      <c r="F39337" s="8">
        <v>17555</v>
      </c>
    </row>
    <row r="39338" spans="1:6" ht="12.75">
      <c r="A39338" s="8">
        <v>43886.833136574074</v>
      </c>
      <c r="B39338" s="8" t="str">
        <f>HYPERLINK("https://twitter.com/YEngran","@YEngran")</f>
        <v>@YEngran</v>
      </c>
      <c r="C39338" s="8" t="s">
        <v>15095</v>
      </c>
      <c r="D39338" s="8">
        <v>0</v>
      </c>
      <c r="E39338" s="8">
        <v>0</v>
      </c>
      <c r="F39338" s="8">
        <v>266</v>
      </c>
    </row>
    <row r="39339" spans="1:6" ht="12.75">
      <c r="A39339" s="8">
        <v>43886.833067129628</v>
      </c>
      <c r="B39339" s="8" t="str">
        <f>HYPERLINK("https://twitter.com/hmmgituyah","@hmmgituyah")</f>
        <v>@hmmgituyah</v>
      </c>
      <c r="C39339" s="8" t="s">
        <v>15096</v>
      </c>
      <c r="D39339" s="8">
        <v>0</v>
      </c>
      <c r="E39339" s="8">
        <v>0</v>
      </c>
      <c r="F39339" s="8">
        <v>15</v>
      </c>
    </row>
    <row r="39340" spans="1:6" ht="12.75">
      <c r="A39340" s="8">
        <v>43886.833020833335</v>
      </c>
      <c r="B39340" s="8" t="str">
        <f>HYPERLINK("https://twitter.com/restataaa","@restataaa")</f>
        <v>@restataaa</v>
      </c>
      <c r="C39340" s="8" t="s">
        <v>2941</v>
      </c>
      <c r="D39340" s="8">
        <v>486</v>
      </c>
      <c r="E39340" s="8">
        <v>0</v>
      </c>
      <c r="F39340" s="8">
        <v>5</v>
      </c>
    </row>
    <row r="39341" spans="1:6" ht="12.75">
      <c r="A39341" s="8">
        <v>43886.832685185189</v>
      </c>
      <c r="B39341" s="8" t="str">
        <f>HYPERLINK("https://twitter.com/KompasTV","@KompasTV")</f>
        <v>@KompasTV</v>
      </c>
      <c r="C39341" s="8" t="s">
        <v>15097</v>
      </c>
      <c r="D39341" s="8">
        <v>0</v>
      </c>
      <c r="E39341" s="8">
        <v>0</v>
      </c>
      <c r="F39341" s="8">
        <v>2948562</v>
      </c>
    </row>
    <row r="39342" spans="1:6" ht="12.75">
      <c r="A39342" s="8">
        <v>43886.832534722227</v>
      </c>
      <c r="B39342" s="8" t="str">
        <f>HYPERLINK("https://twitter.com/WahyuCandraJ","@WahyuCandraJ")</f>
        <v>@WahyuCandraJ</v>
      </c>
      <c r="C39342" s="8" t="s">
        <v>2941</v>
      </c>
      <c r="D39342" s="8">
        <v>486</v>
      </c>
      <c r="E39342" s="8">
        <v>0</v>
      </c>
      <c r="F39342" s="8">
        <v>59</v>
      </c>
    </row>
    <row r="39343" spans="1:6" ht="12.75">
      <c r="A39343" s="8">
        <v>43886.832349537042</v>
      </c>
      <c r="B39343" s="8" t="str">
        <f>HYPERLINK("https://twitter.com/septasaputra_","@septasaputra_")</f>
        <v>@septasaputra_</v>
      </c>
      <c r="C39343" s="8" t="s">
        <v>2941</v>
      </c>
      <c r="D39343" s="8">
        <v>486</v>
      </c>
      <c r="E39343" s="8">
        <v>0</v>
      </c>
      <c r="F39343" s="8">
        <v>13</v>
      </c>
    </row>
    <row r="39344" spans="1:6" ht="12.75">
      <c r="A39344" s="8">
        <v>43886.832303240742</v>
      </c>
      <c r="B39344" s="8" t="str">
        <f>HYPERLINK("https://twitter.com/eef_heryanto","@eef_heryanto")</f>
        <v>@eef_heryanto</v>
      </c>
      <c r="C39344" s="8" t="s">
        <v>11964</v>
      </c>
      <c r="D39344" s="8">
        <v>449</v>
      </c>
      <c r="E39344" s="8">
        <v>0</v>
      </c>
      <c r="F39344" s="8">
        <v>345</v>
      </c>
    </row>
    <row r="39345" spans="1:6" ht="12.75">
      <c r="A39345" s="8">
        <v>43886.831932870366</v>
      </c>
      <c r="B39345" s="8" t="str">
        <f>HYPERLINK("https://twitter.com/Rihidara_","@Rihidara_")</f>
        <v>@Rihidara_</v>
      </c>
      <c r="C39345" s="8" t="s">
        <v>15098</v>
      </c>
      <c r="D39345" s="8">
        <v>0</v>
      </c>
      <c r="E39345" s="8">
        <v>0</v>
      </c>
      <c r="F39345" s="8">
        <v>292</v>
      </c>
    </row>
    <row r="39346" spans="1:6" ht="12.75">
      <c r="A39346" s="8">
        <v>43886.831631944442</v>
      </c>
      <c r="B39346" s="8" t="str">
        <f>HYPERLINK("https://twitter.com/RahmatTopa","@RahmatTopa")</f>
        <v>@RahmatTopa</v>
      </c>
      <c r="C39346" s="8" t="s">
        <v>2941</v>
      </c>
      <c r="D39346" s="8">
        <v>486</v>
      </c>
      <c r="E39346" s="8">
        <v>0</v>
      </c>
      <c r="F39346" s="8">
        <v>364</v>
      </c>
    </row>
    <row r="39347" spans="1:6" ht="12.75">
      <c r="A39347" s="8">
        <v>43886.831574074073</v>
      </c>
      <c r="B39347" s="8" t="str">
        <f>HYPERLINK("https://twitter.com/Khifni6","@Khifni6")</f>
        <v>@Khifni6</v>
      </c>
      <c r="C39347" s="8" t="s">
        <v>15099</v>
      </c>
      <c r="D39347" s="8">
        <v>0</v>
      </c>
      <c r="E39347" s="8">
        <v>0</v>
      </c>
      <c r="F39347" s="8">
        <v>31</v>
      </c>
    </row>
    <row r="39348" spans="1:6" ht="12.75">
      <c r="A39348" s="8">
        <v>43886.831574074073</v>
      </c>
      <c r="B39348" s="8" t="str">
        <f>HYPERLINK("https://twitter.com/nashishirakaba1","@nashishirakaba1")</f>
        <v>@nashishirakaba1</v>
      </c>
      <c r="C39348" s="8" t="s">
        <v>8484</v>
      </c>
      <c r="D39348" s="8">
        <v>878</v>
      </c>
      <c r="E39348" s="8">
        <v>0</v>
      </c>
      <c r="F39348" s="8">
        <v>178</v>
      </c>
    </row>
    <row r="39349" spans="1:6" ht="12.75">
      <c r="A39349" s="8">
        <v>43886.831435185188</v>
      </c>
      <c r="B39349" s="8" t="str">
        <f>HYPERLINK("https://twitter.com/BiotopeGarden","@BiotopeGarden")</f>
        <v>@BiotopeGarden</v>
      </c>
      <c r="C39349" s="8" t="s">
        <v>8484</v>
      </c>
      <c r="D39349" s="8">
        <v>878</v>
      </c>
      <c r="E39349" s="8">
        <v>0</v>
      </c>
      <c r="F39349" s="8">
        <v>1282</v>
      </c>
    </row>
    <row r="39350" spans="1:6" ht="12.75">
      <c r="A39350" s="8">
        <v>43886.831435185188</v>
      </c>
      <c r="B39350" s="8" t="str">
        <f>HYPERLINK("https://twitter.com/Pna86893312","@Pna86893312")</f>
        <v>@Pna86893312</v>
      </c>
      <c r="C39350" s="8" t="s">
        <v>15100</v>
      </c>
      <c r="D39350" s="8">
        <v>0</v>
      </c>
      <c r="E39350" s="8">
        <v>0</v>
      </c>
      <c r="F39350" s="8">
        <v>0</v>
      </c>
    </row>
    <row r="39351" spans="1:6" ht="12.75">
      <c r="A39351" s="8">
        <v>43886.831412037034</v>
      </c>
      <c r="B39351" s="8" t="str">
        <f>HYPERLINK("https://twitter.com/okezonenews","@okezonenews")</f>
        <v>@okezonenews</v>
      </c>
      <c r="C39351" s="8" t="s">
        <v>15101</v>
      </c>
      <c r="D39351" s="8">
        <v>0</v>
      </c>
      <c r="E39351" s="8">
        <v>0</v>
      </c>
      <c r="F39351" s="8">
        <v>1743624</v>
      </c>
    </row>
    <row r="39352" spans="1:6" ht="12.75">
      <c r="A39352" s="8">
        <v>43886.831377314811</v>
      </c>
      <c r="B39352" s="8" t="str">
        <f>HYPERLINK("https://twitter.com/Iday22788399","@Iday22788399")</f>
        <v>@Iday22788399</v>
      </c>
      <c r="C39352" s="8" t="s">
        <v>2941</v>
      </c>
      <c r="D39352" s="8">
        <v>486</v>
      </c>
      <c r="E39352" s="8">
        <v>0</v>
      </c>
      <c r="F39352" s="8">
        <v>0</v>
      </c>
    </row>
    <row r="39353" spans="1:6" ht="12.75">
      <c r="A39353" s="8">
        <v>43886.831365740742</v>
      </c>
      <c r="B39353" s="8" t="str">
        <f>HYPERLINK("https://twitter.com/tweetaje_aje","@tweetaje_aje")</f>
        <v>@tweetaje_aje</v>
      </c>
      <c r="C39353" s="8" t="s">
        <v>15102</v>
      </c>
      <c r="D39353" s="8">
        <v>1</v>
      </c>
      <c r="E39353" s="8">
        <v>0</v>
      </c>
      <c r="F39353" s="8">
        <v>26</v>
      </c>
    </row>
    <row r="39354" spans="1:6" ht="12.75">
      <c r="A39354" s="8">
        <v>43886.831250000003</v>
      </c>
      <c r="B39354" s="8" t="str">
        <f>HYPERLINK("https://twitter.com/jaymaholdtra","@jaymaholdtra")</f>
        <v>@jaymaholdtra</v>
      </c>
      <c r="C39354" s="8" t="s">
        <v>11964</v>
      </c>
      <c r="D39354" s="8">
        <v>449</v>
      </c>
      <c r="E39354" s="8">
        <v>0</v>
      </c>
      <c r="F39354" s="8">
        <v>72</v>
      </c>
    </row>
    <row r="39355" spans="1:6" ht="12.75">
      <c r="A39355" s="8">
        <v>43886.831134259264</v>
      </c>
      <c r="B39355" s="8" t="str">
        <f>HYPERLINK("https://twitter.com/pritikittyy","@pritikittyy")</f>
        <v>@pritikittyy</v>
      </c>
      <c r="C39355" s="8" t="s">
        <v>15103</v>
      </c>
      <c r="D39355" s="8">
        <v>0</v>
      </c>
      <c r="E39355" s="8">
        <v>0</v>
      </c>
      <c r="F39355" s="8">
        <v>15</v>
      </c>
    </row>
    <row r="39356" spans="1:6" ht="12.75">
      <c r="A39356" s="8">
        <v>43886.830810185187</v>
      </c>
      <c r="B39356" s="8" t="str">
        <f>HYPERLINK("https://twitter.com/KarmaPUBG","@KarmaPUBG")</f>
        <v>@KarmaPUBG</v>
      </c>
      <c r="C39356" s="8" t="s">
        <v>15087</v>
      </c>
      <c r="D39356" s="8">
        <v>2</v>
      </c>
      <c r="E39356" s="8">
        <v>0</v>
      </c>
      <c r="F39356" s="8">
        <v>2378</v>
      </c>
    </row>
    <row r="39357" spans="1:6" ht="12.75">
      <c r="A39357" s="8">
        <v>43886.830810185187</v>
      </c>
      <c r="B39357" s="8" t="str">
        <f>HYPERLINK("https://twitter.com/VF_Seokjin001","@VF_Seokjin001")</f>
        <v>@VF_Seokjin001</v>
      </c>
      <c r="C39357" s="8" t="s">
        <v>15104</v>
      </c>
      <c r="D39357" s="8">
        <v>0</v>
      </c>
      <c r="E39357" s="8">
        <v>0</v>
      </c>
      <c r="F39357" s="8">
        <v>594</v>
      </c>
    </row>
    <row r="39358" spans="1:6" ht="12.75">
      <c r="A39358" s="8">
        <v>43886.830752314811</v>
      </c>
      <c r="B39358" s="8" t="str">
        <f>HYPERLINK("https://twitter.com/sefiiin","@sefiiin")</f>
        <v>@sefiiin</v>
      </c>
      <c r="C39358" s="8" t="s">
        <v>2941</v>
      </c>
      <c r="D39358" s="8">
        <v>486</v>
      </c>
      <c r="E39358" s="8">
        <v>0</v>
      </c>
      <c r="F39358" s="8">
        <v>2795</v>
      </c>
    </row>
    <row r="39359" spans="1:6" ht="12.75">
      <c r="A39359" s="8">
        <v>43886.830659722225</v>
      </c>
      <c r="B39359" s="8" t="str">
        <f>HYPERLINK("https://twitter.com/Sudipta_Sarkar_","@Sudipta_Sarkar_")</f>
        <v>@Sudipta_Sarkar_</v>
      </c>
      <c r="C39359" s="8" t="s">
        <v>15105</v>
      </c>
      <c r="D39359" s="8">
        <v>0</v>
      </c>
      <c r="E39359" s="8">
        <v>0</v>
      </c>
      <c r="F39359" s="8">
        <v>9</v>
      </c>
    </row>
    <row r="39360" spans="1:6" ht="12.75">
      <c r="A39360" s="8">
        <v>43886.830416666664</v>
      </c>
      <c r="B39360" s="8" t="str">
        <f>HYPERLINK("https://twitter.com/Media_sumutku","@Media_sumutku")</f>
        <v>@Media_sumutku</v>
      </c>
      <c r="C39360" s="8" t="s">
        <v>15106</v>
      </c>
      <c r="D39360" s="8">
        <v>0</v>
      </c>
      <c r="E39360" s="8">
        <v>0</v>
      </c>
      <c r="F39360" s="8">
        <v>28</v>
      </c>
    </row>
    <row r="39361" spans="1:6" ht="12.75">
      <c r="A39361" s="8">
        <v>43886.830046296294</v>
      </c>
      <c r="B39361" s="8" t="str">
        <f>HYPERLINK("https://twitter.com/amanidelm","@amanidelm")</f>
        <v>@amanidelm</v>
      </c>
      <c r="C39361" s="8" t="s">
        <v>15107</v>
      </c>
      <c r="D39361" s="8">
        <v>306</v>
      </c>
      <c r="E39361" s="8">
        <v>0</v>
      </c>
      <c r="F39361" s="8">
        <v>2048</v>
      </c>
    </row>
    <row r="39362" spans="1:6" ht="12.75">
      <c r="A39362" s="8">
        <v>43886.829895833333</v>
      </c>
      <c r="B39362" s="8" t="str">
        <f>HYPERLINK("https://twitter.com/forddyce92","@forddyce92")</f>
        <v>@forddyce92</v>
      </c>
      <c r="C39362" s="8" t="s">
        <v>15108</v>
      </c>
      <c r="D39362" s="8">
        <v>0</v>
      </c>
      <c r="E39362" s="8">
        <v>0</v>
      </c>
      <c r="F39362" s="8">
        <v>27</v>
      </c>
    </row>
    <row r="39363" spans="1:6" ht="12.75">
      <c r="A39363" s="8">
        <v>43886.82980324074</v>
      </c>
      <c r="B39363" s="8" t="str">
        <f>HYPERLINK("https://twitter.com/sarahzetaa","@sarahzetaa")</f>
        <v>@sarahzetaa</v>
      </c>
      <c r="C39363" s="8" t="s">
        <v>2941</v>
      </c>
      <c r="D39363" s="8">
        <v>486</v>
      </c>
      <c r="E39363" s="8">
        <v>0</v>
      </c>
      <c r="F39363" s="8">
        <v>34</v>
      </c>
    </row>
    <row r="39364" spans="1:6" ht="12.75">
      <c r="A39364" s="8">
        <v>43886.829664351855</v>
      </c>
      <c r="B39364" s="8" t="str">
        <f>HYPERLINK("https://twitter.com/ParmonanganRaja","@ParmonanganRaja")</f>
        <v>@ParmonanganRaja</v>
      </c>
      <c r="C39364" s="8" t="s">
        <v>11183</v>
      </c>
      <c r="D39364" s="8">
        <v>182</v>
      </c>
      <c r="E39364" s="8">
        <v>0</v>
      </c>
      <c r="F39364" s="8">
        <v>185</v>
      </c>
    </row>
    <row r="39365" spans="1:6" ht="12.75">
      <c r="A39365" s="8">
        <v>43886.829664351855</v>
      </c>
      <c r="B39365" s="8" t="str">
        <f>HYPERLINK("https://twitter.com/ayuma_morie","@ayuma_morie")</f>
        <v>@ayuma_morie</v>
      </c>
      <c r="C39365" s="8" t="s">
        <v>14430</v>
      </c>
      <c r="D39365" s="8">
        <v>71</v>
      </c>
      <c r="E39365" s="8">
        <v>0</v>
      </c>
      <c r="F39365" s="8">
        <v>3065</v>
      </c>
    </row>
    <row r="39366" spans="1:6" ht="12.75">
      <c r="A39366" s="8">
        <v>43886.829560185186</v>
      </c>
      <c r="B39366" s="8" t="str">
        <f>HYPERLINK("https://twitter.com/ShivSha33400586","@ShivSha33400586")</f>
        <v>@ShivSha33400586</v>
      </c>
      <c r="C39366" s="8" t="s">
        <v>15109</v>
      </c>
      <c r="D39366" s="8">
        <v>0</v>
      </c>
      <c r="E39366" s="8">
        <v>0</v>
      </c>
      <c r="F39366" s="8">
        <v>89</v>
      </c>
    </row>
    <row r="39367" spans="1:6" ht="12.75">
      <c r="A39367" s="8">
        <v>43886.829432870371</v>
      </c>
      <c r="B39367" s="8" t="str">
        <f>HYPERLINK("https://twitter.com/ParmonanganRaja","@ParmonanganRaja")</f>
        <v>@ParmonanganRaja</v>
      </c>
      <c r="C39367" s="8" t="s">
        <v>15090</v>
      </c>
      <c r="D39367" s="8">
        <v>2</v>
      </c>
      <c r="E39367" s="8">
        <v>0</v>
      </c>
      <c r="F39367" s="8">
        <v>185</v>
      </c>
    </row>
    <row r="39368" spans="1:6" ht="12.75">
      <c r="A39368" s="8">
        <v>43886.829340277778</v>
      </c>
      <c r="B39368" s="8" t="str">
        <f>HYPERLINK("https://twitter.com/Khong_Beng","@Khong_Beng")</f>
        <v>@Khong_Beng</v>
      </c>
      <c r="C39368" s="8" t="s">
        <v>11183</v>
      </c>
      <c r="D39368" s="8">
        <v>182</v>
      </c>
      <c r="E39368" s="8">
        <v>0</v>
      </c>
      <c r="F39368" s="8">
        <v>161</v>
      </c>
    </row>
    <row r="39369" spans="1:6" ht="12.75">
      <c r="A39369" s="8">
        <v>43886.829270833332</v>
      </c>
      <c r="B39369" s="8" t="str">
        <f>HYPERLINK("https://twitter.com/Realitarakyat01","@Realitarakyat01")</f>
        <v>@Realitarakyat01</v>
      </c>
      <c r="C39369" s="8" t="s">
        <v>15110</v>
      </c>
      <c r="D39369" s="8">
        <v>0</v>
      </c>
      <c r="E39369" s="8">
        <v>0</v>
      </c>
      <c r="F39369" s="8">
        <v>125</v>
      </c>
    </row>
    <row r="39370" spans="1:6" ht="12.75">
      <c r="A39370" s="8">
        <v>43886.829201388886</v>
      </c>
      <c r="B39370" s="8" t="str">
        <f>HYPERLINK("https://twitter.com/kompascom","@kompascom")</f>
        <v>@kompascom</v>
      </c>
      <c r="C39370" s="8" t="s">
        <v>15111</v>
      </c>
      <c r="D39370" s="8">
        <v>2</v>
      </c>
      <c r="E39370" s="8">
        <v>8</v>
      </c>
      <c r="F39370" s="8">
        <v>7512428</v>
      </c>
    </row>
    <row r="39371" spans="1:6" ht="12.75">
      <c r="A39371" s="8">
        <v>43886.829074074078</v>
      </c>
      <c r="B39371" s="8" t="str">
        <f>HYPERLINK("https://twitter.com/ArifanValevi","@ArifanValevi")</f>
        <v>@ArifanValevi</v>
      </c>
      <c r="C39371" s="8" t="s">
        <v>2941</v>
      </c>
      <c r="D39371" s="8">
        <v>486</v>
      </c>
      <c r="E39371" s="8">
        <v>0</v>
      </c>
      <c r="F39371" s="8">
        <v>56</v>
      </c>
    </row>
    <row r="39372" spans="1:6" ht="12.75">
      <c r="A39372" s="8">
        <v>43886.829039351855</v>
      </c>
      <c r="B39372" s="8" t="str">
        <f>HYPERLINK("https://twitter.com/AnjouDauphin","@AnjouDauphin")</f>
        <v>@AnjouDauphin</v>
      </c>
      <c r="C39372" s="8" t="s">
        <v>15112</v>
      </c>
      <c r="D39372" s="8">
        <v>0</v>
      </c>
      <c r="E39372" s="8">
        <v>0</v>
      </c>
      <c r="F39372" s="8">
        <v>2039</v>
      </c>
    </row>
    <row r="39373" spans="1:6" ht="12.75">
      <c r="A39373" s="8">
        <v>43886.829039351855</v>
      </c>
      <c r="B39373" s="8" t="str">
        <f>HYPERLINK("https://twitter.com/wongsipill","@wongsipill")</f>
        <v>@wongsipill</v>
      </c>
      <c r="C39373" s="8" t="s">
        <v>2941</v>
      </c>
      <c r="D39373" s="8">
        <v>486</v>
      </c>
      <c r="E39373" s="8">
        <v>0</v>
      </c>
      <c r="F39373" s="8">
        <v>14</v>
      </c>
    </row>
    <row r="39374" spans="1:6" ht="12.75">
      <c r="A39374" s="8">
        <v>43886.828622685185</v>
      </c>
      <c r="B39374" s="8" t="str">
        <f>HYPERLINK("https://twitter.com/madaabimanyuu","@madaabimanyuu")</f>
        <v>@madaabimanyuu</v>
      </c>
      <c r="C39374" s="8" t="s">
        <v>2941</v>
      </c>
      <c r="D39374" s="8">
        <v>486</v>
      </c>
      <c r="E39374" s="8">
        <v>0</v>
      </c>
      <c r="F39374" s="8">
        <v>15</v>
      </c>
    </row>
    <row r="39375" spans="1:6" ht="12.75">
      <c r="A39375" s="8">
        <v>43886.828553240739</v>
      </c>
      <c r="B39375" s="8" t="str">
        <f>HYPERLINK("https://twitter.com/TAMTAM_555_","@TAMTAM_555_")</f>
        <v>@TAMTAM_555_</v>
      </c>
      <c r="C39375" s="8" t="s">
        <v>2940</v>
      </c>
      <c r="D39375" s="8">
        <v>2512</v>
      </c>
      <c r="E39375" s="8">
        <v>0</v>
      </c>
      <c r="F39375" s="8">
        <v>2</v>
      </c>
    </row>
    <row r="39376" spans="1:6" ht="12.75">
      <c r="A39376" s="8">
        <v>43886.828460648147</v>
      </c>
      <c r="B39376" s="8" t="str">
        <f>HYPERLINK("https://twitter.com/tweetaje_aje","@tweetaje_aje")</f>
        <v>@tweetaje_aje</v>
      </c>
      <c r="C39376" s="8" t="s">
        <v>15113</v>
      </c>
      <c r="D39376" s="8">
        <v>2</v>
      </c>
      <c r="E39376" s="8">
        <v>0</v>
      </c>
      <c r="F39376" s="8">
        <v>26</v>
      </c>
    </row>
    <row r="39377" spans="1:6" ht="12.75">
      <c r="A39377" s="8">
        <v>43886.828333333338</v>
      </c>
      <c r="B39377" s="8" t="str">
        <f>HYPERLINK("https://twitter.com/Tumbrasss","@Tumbrasss")</f>
        <v>@Tumbrasss</v>
      </c>
      <c r="C39377" s="8" t="s">
        <v>11964</v>
      </c>
      <c r="D39377" s="8">
        <v>449</v>
      </c>
      <c r="E39377" s="8">
        <v>0</v>
      </c>
      <c r="F39377" s="8">
        <v>1028</v>
      </c>
    </row>
    <row r="39378" spans="1:6" ht="12.75">
      <c r="A39378" s="8">
        <v>43886.828252314815</v>
      </c>
      <c r="B39378" s="8" t="str">
        <f>HYPERLINK("https://twitter.com/herusnts","@herusnts")</f>
        <v>@herusnts</v>
      </c>
      <c r="C39378" s="8" t="s">
        <v>2941</v>
      </c>
      <c r="D39378" s="8">
        <v>486</v>
      </c>
      <c r="E39378" s="8">
        <v>0</v>
      </c>
      <c r="F39378" s="8">
        <v>235</v>
      </c>
    </row>
    <row r="39379" spans="1:6" ht="12.75">
      <c r="A39379" s="8">
        <v>43886.828009259261</v>
      </c>
      <c r="B39379" s="8" t="str">
        <f>HYPERLINK("https://twitter.com/budinugraha1209","@budinugraha1209")</f>
        <v>@budinugraha1209</v>
      </c>
      <c r="C39379" s="8" t="s">
        <v>15114</v>
      </c>
      <c r="D39379" s="8">
        <v>0</v>
      </c>
      <c r="E39379" s="8">
        <v>0</v>
      </c>
      <c r="F39379" s="8">
        <v>44</v>
      </c>
    </row>
    <row r="39380" spans="1:6" ht="12.75">
      <c r="A39380" s="8">
        <v>43886.827673611115</v>
      </c>
      <c r="B39380" s="8" t="str">
        <f>HYPERLINK("https://twitter.com/bubuibulan8","@bubuibulan8")</f>
        <v>@bubuibulan8</v>
      </c>
      <c r="C39380" s="8" t="s">
        <v>2941</v>
      </c>
      <c r="D39380" s="8">
        <v>486</v>
      </c>
      <c r="E39380" s="8">
        <v>0</v>
      </c>
      <c r="F39380" s="8">
        <v>355</v>
      </c>
    </row>
    <row r="39381" spans="1:6" ht="12.75">
      <c r="A39381" s="8">
        <v>43886.827650462961</v>
      </c>
      <c r="B39381" s="8" t="str">
        <f>HYPERLINK("https://twitter.com/realprincetotty","@realprincetotty")</f>
        <v>@realprincetotty</v>
      </c>
      <c r="C39381" s="8" t="s">
        <v>15115</v>
      </c>
      <c r="D39381" s="8">
        <v>3</v>
      </c>
      <c r="E39381" s="8">
        <v>0</v>
      </c>
      <c r="F39381" s="8">
        <v>733</v>
      </c>
    </row>
    <row r="39382" spans="1:6" ht="12.75">
      <c r="A39382" s="8">
        <v>43886.827557870369</v>
      </c>
      <c r="B39382" s="8" t="str">
        <f>HYPERLINK("https://twitter.com/Sudipta_Sarkar_","@Sudipta_Sarkar_")</f>
        <v>@Sudipta_Sarkar_</v>
      </c>
      <c r="C39382" s="8" t="s">
        <v>15116</v>
      </c>
      <c r="D39382" s="8">
        <v>0</v>
      </c>
      <c r="E39382" s="8">
        <v>0</v>
      </c>
      <c r="F39382" s="8">
        <v>9</v>
      </c>
    </row>
    <row r="39383" spans="1:6" ht="12.75">
      <c r="A39383" s="8">
        <v>43886.827418981484</v>
      </c>
      <c r="B39383" s="8" t="str">
        <f>HYPERLINK("https://twitter.com/BodobodoMusafir","@BodobodoMusafir")</f>
        <v>@BodobodoMusafir</v>
      </c>
      <c r="C39383" s="8" t="s">
        <v>15117</v>
      </c>
      <c r="D39383" s="8">
        <v>0</v>
      </c>
      <c r="E39383" s="8">
        <v>0</v>
      </c>
      <c r="F39383" s="8">
        <v>801</v>
      </c>
    </row>
    <row r="39384" spans="1:6" ht="12.75">
      <c r="A39384" s="8">
        <v>43886.827199074076</v>
      </c>
      <c r="B39384" s="8" t="str">
        <f>HYPERLINK("https://twitter.com/Meika_Jewels","@Meika_Jewels")</f>
        <v>@Meika_Jewels</v>
      </c>
      <c r="C39384" s="8" t="s">
        <v>15118</v>
      </c>
      <c r="D39384" s="8">
        <v>0</v>
      </c>
      <c r="E39384" s="8">
        <v>0</v>
      </c>
      <c r="F39384" s="8">
        <v>111</v>
      </c>
    </row>
    <row r="39385" spans="1:6" ht="12.75">
      <c r="A39385" s="8">
        <v>43886.827164351853</v>
      </c>
      <c r="B39385" s="8" t="str">
        <f>HYPERLINK("https://twitter.com/adeilmaauliana","@adeilmaauliana")</f>
        <v>@adeilmaauliana</v>
      </c>
      <c r="C39385" s="8" t="s">
        <v>15119</v>
      </c>
      <c r="D39385" s="8">
        <v>3</v>
      </c>
      <c r="E39385" s="8">
        <v>0</v>
      </c>
      <c r="F39385" s="8">
        <v>128</v>
      </c>
    </row>
    <row r="39386" spans="1:6" ht="12.75">
      <c r="A39386" s="8">
        <v>43886.827094907407</v>
      </c>
      <c r="B39386" s="8" t="str">
        <f>HYPERLINK("https://twitter.com/nemosyus","@nemosyus")</f>
        <v>@nemosyus</v>
      </c>
      <c r="C39386" s="8" t="s">
        <v>11183</v>
      </c>
      <c r="D39386" s="8">
        <v>182</v>
      </c>
      <c r="E39386" s="8">
        <v>0</v>
      </c>
      <c r="F39386" s="8">
        <v>506</v>
      </c>
    </row>
    <row r="39387" spans="1:6" ht="12.75">
      <c r="A39387" s="8">
        <v>43886.827048611114</v>
      </c>
      <c r="B39387" s="8" t="str">
        <f>HYPERLINK("https://twitter.com/rommysetiawann","@rommysetiawann")</f>
        <v>@rommysetiawann</v>
      </c>
      <c r="C39387" s="8" t="s">
        <v>2941</v>
      </c>
      <c r="D39387" s="8">
        <v>486</v>
      </c>
      <c r="E39387" s="8">
        <v>0</v>
      </c>
      <c r="F39387" s="8">
        <v>581</v>
      </c>
    </row>
    <row r="39388" spans="1:6" ht="12.75">
      <c r="A39388" s="8">
        <v>43886.826944444445</v>
      </c>
      <c r="B39388" s="8" t="str">
        <f t="shared" ref="B39388:B39390" si="586">HYPERLINK("https://twitter.com/honnon371","@honnon371")</f>
        <v>@honnon371</v>
      </c>
      <c r="C39388" s="8" t="s">
        <v>14106</v>
      </c>
      <c r="D39388" s="8">
        <v>137</v>
      </c>
      <c r="E39388" s="8">
        <v>0</v>
      </c>
      <c r="F39388" s="8">
        <v>29</v>
      </c>
    </row>
    <row r="39389" spans="1:6" ht="12.75">
      <c r="A39389" s="8">
        <v>43886.826898148152</v>
      </c>
      <c r="B39389" s="8" t="str">
        <f t="shared" si="586"/>
        <v>@honnon371</v>
      </c>
      <c r="C39389" s="8" t="s">
        <v>13834</v>
      </c>
      <c r="D39389" s="8">
        <v>149</v>
      </c>
      <c r="E39389" s="8">
        <v>0</v>
      </c>
      <c r="F39389" s="8">
        <v>29</v>
      </c>
    </row>
    <row r="39390" spans="1:6" ht="12.75">
      <c r="A39390" s="8">
        <v>43886.826805555553</v>
      </c>
      <c r="B39390" s="8" t="str">
        <f t="shared" si="586"/>
        <v>@honnon371</v>
      </c>
      <c r="C39390" s="8" t="s">
        <v>8484</v>
      </c>
      <c r="D39390" s="8">
        <v>878</v>
      </c>
      <c r="E39390" s="8">
        <v>0</v>
      </c>
      <c r="F39390" s="8">
        <v>29</v>
      </c>
    </row>
    <row r="39391" spans="1:6" ht="12.75">
      <c r="A39391" s="8">
        <v>43886.826747685191</v>
      </c>
      <c r="B39391" s="8" t="str">
        <f>HYPERLINK("https://twitter.com/Anggi_han2","@Anggi_han2")</f>
        <v>@Anggi_han2</v>
      </c>
      <c r="C39391" s="8" t="s">
        <v>2941</v>
      </c>
      <c r="D39391" s="8">
        <v>486</v>
      </c>
      <c r="E39391" s="8">
        <v>0</v>
      </c>
      <c r="F39391" s="8">
        <v>238</v>
      </c>
    </row>
    <row r="39392" spans="1:6" ht="12.75">
      <c r="A39392" s="8">
        <v>43886.826655092591</v>
      </c>
      <c r="B39392" s="8" t="str">
        <f>HYPERLINK("https://twitter.com/honnon371","@honnon371")</f>
        <v>@honnon371</v>
      </c>
      <c r="C39392" s="8" t="s">
        <v>2940</v>
      </c>
      <c r="D39392" s="8">
        <v>2512</v>
      </c>
      <c r="E39392" s="8">
        <v>0</v>
      </c>
      <c r="F39392" s="8">
        <v>29</v>
      </c>
    </row>
    <row r="39393" spans="1:6" ht="12.75">
      <c r="A39393" s="8">
        <v>43886.82644675926</v>
      </c>
      <c r="B39393" s="8" t="str">
        <f>HYPERLINK("https://twitter.com/levanterscle","@levanterscle")</f>
        <v>@levanterscle</v>
      </c>
      <c r="C39393" s="8" t="s">
        <v>14831</v>
      </c>
      <c r="D39393" s="8">
        <v>51</v>
      </c>
      <c r="E39393" s="8">
        <v>0</v>
      </c>
      <c r="F39393" s="8">
        <v>2120</v>
      </c>
    </row>
    <row r="39394" spans="1:6" ht="12.75">
      <c r="A39394" s="8">
        <v>43886.82640046296</v>
      </c>
      <c r="B39394" s="8" t="str">
        <f>HYPERLINK("https://twitter.com/toarsent","@toarsent")</f>
        <v>@toarsent</v>
      </c>
      <c r="C39394" s="8" t="s">
        <v>2941</v>
      </c>
      <c r="D39394" s="8">
        <v>486</v>
      </c>
      <c r="E39394" s="8">
        <v>0</v>
      </c>
      <c r="F39394" s="8">
        <v>319</v>
      </c>
    </row>
    <row r="39395" spans="1:6" ht="12.75">
      <c r="A39395" s="8">
        <v>43886.826273148152</v>
      </c>
      <c r="B39395" s="8" t="str">
        <f>HYPERLINK("https://twitter.com/chanshxne","@chanshxne")</f>
        <v>@chanshxne</v>
      </c>
      <c r="C39395" s="8" t="s">
        <v>15120</v>
      </c>
      <c r="D39395" s="8">
        <v>0</v>
      </c>
      <c r="E39395" s="8">
        <v>0</v>
      </c>
      <c r="F39395" s="8">
        <v>257</v>
      </c>
    </row>
    <row r="39396" spans="1:6" ht="12.75">
      <c r="A39396" s="8">
        <v>43886.826203703706</v>
      </c>
      <c r="B39396" s="8" t="str">
        <f>HYPERLINK("https://twitter.com/maday_isis","@maday_isis")</f>
        <v>@maday_isis</v>
      </c>
      <c r="C39396" s="8" t="s">
        <v>15121</v>
      </c>
      <c r="D39396" s="8">
        <v>0</v>
      </c>
      <c r="E39396" s="8">
        <v>0</v>
      </c>
      <c r="F39396" s="8">
        <v>72</v>
      </c>
    </row>
    <row r="39397" spans="1:6" ht="12.75">
      <c r="A39397" s="8">
        <v>43886.82612268519</v>
      </c>
      <c r="B39397" s="8" t="str">
        <f>HYPERLINK("https://twitter.com/Anaksemut4","@Anaksemut4")</f>
        <v>@Anaksemut4</v>
      </c>
      <c r="C39397" s="8" t="s">
        <v>11964</v>
      </c>
      <c r="D39397" s="8">
        <v>449</v>
      </c>
      <c r="E39397" s="8">
        <v>0</v>
      </c>
      <c r="F39397" s="8">
        <v>4117</v>
      </c>
    </row>
    <row r="39398" spans="1:6" ht="12.75">
      <c r="A39398" s="8">
        <v>43886.825312500005</v>
      </c>
      <c r="B39398" s="8" t="str">
        <f>HYPERLINK("https://twitter.com/snowangja","@snowangja")</f>
        <v>@snowangja</v>
      </c>
      <c r="C39398" s="8" t="s">
        <v>14831</v>
      </c>
      <c r="D39398" s="8">
        <v>51</v>
      </c>
      <c r="E39398" s="8">
        <v>0</v>
      </c>
      <c r="F39398" s="8">
        <v>3193</v>
      </c>
    </row>
    <row r="39399" spans="1:6" ht="12.75">
      <c r="A39399" s="8">
        <v>43886.825115740736</v>
      </c>
      <c r="B39399" s="8" t="str">
        <f>HYPERLINK("https://twitter.com/soepono42","@soepono42")</f>
        <v>@soepono42</v>
      </c>
      <c r="C39399" s="8" t="s">
        <v>15122</v>
      </c>
      <c r="D39399" s="8">
        <v>0</v>
      </c>
      <c r="E39399" s="8">
        <v>0</v>
      </c>
      <c r="F39399" s="8">
        <v>1238</v>
      </c>
    </row>
    <row r="39400" spans="1:6" ht="12.75">
      <c r="A39400" s="8">
        <v>43886.825069444443</v>
      </c>
      <c r="B39400" s="8" t="str">
        <f>HYPERLINK("https://twitter.com/minamints","@minamints")</f>
        <v>@minamints</v>
      </c>
      <c r="C39400" s="8" t="s">
        <v>8484</v>
      </c>
      <c r="D39400" s="8">
        <v>878</v>
      </c>
      <c r="E39400" s="8">
        <v>0</v>
      </c>
      <c r="F39400" s="8">
        <v>935</v>
      </c>
    </row>
    <row r="39401" spans="1:6" ht="12.75">
      <c r="A39401" s="8">
        <v>43886.825011574074</v>
      </c>
      <c r="B39401" s="8" t="str">
        <f>HYPERLINK("https://twitter.com/naomy_nk","@naomy_nk")</f>
        <v>@naomy_nk</v>
      </c>
      <c r="C39401" s="8" t="s">
        <v>15123</v>
      </c>
      <c r="D39401" s="8">
        <v>0</v>
      </c>
      <c r="E39401" s="8">
        <v>0</v>
      </c>
      <c r="F39401" s="8">
        <v>39</v>
      </c>
    </row>
    <row r="39402" spans="1:6" ht="12.75">
      <c r="A39402" s="8">
        <v>43886.798495370371</v>
      </c>
      <c r="B39402" s="8" t="str">
        <f>HYPERLINK("https://twitter.com/HafidzAlattas","@HafidzAlattas")</f>
        <v>@HafidzAlattas</v>
      </c>
      <c r="C39402" s="8" t="s">
        <v>15124</v>
      </c>
      <c r="D39402" s="8">
        <v>0</v>
      </c>
      <c r="E39402" s="8">
        <v>0</v>
      </c>
      <c r="F39402" s="8">
        <v>1683</v>
      </c>
    </row>
    <row r="39403" spans="1:6" ht="12.75">
      <c r="A39403" s="8">
        <v>43886.798472222217</v>
      </c>
      <c r="B39403" s="8" t="str">
        <f>HYPERLINK("https://twitter.com/kartikaaie","@kartikaaie")</f>
        <v>@kartikaaie</v>
      </c>
      <c r="C39403" s="8" t="s">
        <v>11183</v>
      </c>
      <c r="D39403" s="8">
        <v>162</v>
      </c>
      <c r="E39403" s="8">
        <v>0</v>
      </c>
      <c r="F39403" s="8">
        <v>121</v>
      </c>
    </row>
    <row r="39404" spans="1:6" ht="12.75">
      <c r="A39404" s="8">
        <v>43886.798379629632</v>
      </c>
      <c r="B39404" s="8" t="str">
        <f>HYPERLINK("https://twitter.com/elvagustina","@elvagustina")</f>
        <v>@elvagustina</v>
      </c>
      <c r="C39404" s="8" t="s">
        <v>2941</v>
      </c>
      <c r="D39404" s="8">
        <v>391</v>
      </c>
      <c r="E39404" s="8">
        <v>0</v>
      </c>
      <c r="F39404" s="8">
        <v>17</v>
      </c>
    </row>
    <row r="39405" spans="1:6" ht="12.75">
      <c r="A39405" s="8">
        <v>43886.798275462963</v>
      </c>
      <c r="B39405" s="8" t="str">
        <f>HYPERLINK("https://twitter.com/DinsyahUmar","@DinsyahUmar")</f>
        <v>@DinsyahUmar</v>
      </c>
      <c r="C39405" s="8" t="s">
        <v>6638</v>
      </c>
      <c r="D39405" s="8">
        <v>30</v>
      </c>
      <c r="E39405" s="8">
        <v>0</v>
      </c>
      <c r="F39405" s="8">
        <v>33</v>
      </c>
    </row>
    <row r="39406" spans="1:6" ht="12.75">
      <c r="A39406" s="8">
        <v>43886.798217592594</v>
      </c>
      <c r="B39406" s="8" t="str">
        <f>HYPERLINK("https://twitter.com/afniliani_","@afniliani_")</f>
        <v>@afniliani_</v>
      </c>
      <c r="C39406" s="8" t="s">
        <v>2941</v>
      </c>
      <c r="D39406" s="8">
        <v>391</v>
      </c>
      <c r="E39406" s="8">
        <v>0</v>
      </c>
      <c r="F39406" s="8">
        <v>139</v>
      </c>
    </row>
    <row r="39407" spans="1:6" ht="12.75">
      <c r="A39407" s="8">
        <v>43886.798032407409</v>
      </c>
      <c r="B39407" s="8" t="str">
        <f>HYPERLINK("https://twitter.com/Supirangkot12","@Supirangkot12")</f>
        <v>@Supirangkot12</v>
      </c>
      <c r="C39407" s="8" t="s">
        <v>15125</v>
      </c>
      <c r="D39407" s="8">
        <v>40</v>
      </c>
      <c r="E39407" s="8">
        <v>0</v>
      </c>
      <c r="F39407" s="8">
        <v>46</v>
      </c>
    </row>
    <row r="39408" spans="1:6" ht="12.75">
      <c r="A39408" s="8">
        <v>43886.797986111109</v>
      </c>
      <c r="B39408" s="8" t="str">
        <f>HYPERLINK("https://twitter.com/mikaherna","@mikaherna")</f>
        <v>@mikaherna</v>
      </c>
      <c r="C39408" s="8" t="s">
        <v>2941</v>
      </c>
      <c r="D39408" s="8">
        <v>391</v>
      </c>
      <c r="E39408" s="8">
        <v>0</v>
      </c>
      <c r="F39408" s="8">
        <v>52</v>
      </c>
    </row>
    <row r="39409" spans="1:6" ht="12.75">
      <c r="A39409" s="8">
        <v>43886.797939814816</v>
      </c>
      <c r="B39409" s="8" t="str">
        <f>HYPERLINK("https://twitter.com/chicocico324","@chicocico324")</f>
        <v>@chicocico324</v>
      </c>
      <c r="C39409" s="8" t="s">
        <v>8484</v>
      </c>
      <c r="D39409" s="8">
        <v>864</v>
      </c>
      <c r="E39409" s="8">
        <v>0</v>
      </c>
      <c r="F39409" s="8">
        <v>86</v>
      </c>
    </row>
    <row r="39410" spans="1:6" ht="12.75">
      <c r="A39410" s="8">
        <v>43886.797916666663</v>
      </c>
      <c r="B39410" s="8" t="str">
        <f>HYPERLINK("https://twitter.com/IsnaSabbullah","@IsnaSabbullah")</f>
        <v>@IsnaSabbullah</v>
      </c>
      <c r="C39410" s="8" t="s">
        <v>15126</v>
      </c>
      <c r="D39410" s="8">
        <v>14</v>
      </c>
      <c r="E39410" s="8">
        <v>0</v>
      </c>
      <c r="F39410" s="8">
        <v>106</v>
      </c>
    </row>
    <row r="39411" spans="1:6" ht="12.75">
      <c r="A39411" s="8">
        <v>43886.79787037037</v>
      </c>
      <c r="B39411" s="8" t="str">
        <f>HYPERLINK("https://twitter.com/ridlwandjogja","@ridlwandjogja")</f>
        <v>@ridlwandjogja</v>
      </c>
      <c r="C39411" s="8" t="s">
        <v>15127</v>
      </c>
      <c r="D39411" s="8">
        <v>0</v>
      </c>
      <c r="E39411" s="8">
        <v>0</v>
      </c>
      <c r="F39411" s="8">
        <v>33632</v>
      </c>
    </row>
    <row r="39412" spans="1:6" ht="12.75">
      <c r="A39412" s="8">
        <v>43886.797835648147</v>
      </c>
      <c r="B39412" s="8" t="str">
        <f>HYPERLINK("https://twitter.com/hellatte","@hellatte")</f>
        <v>@hellatte</v>
      </c>
      <c r="C39412" s="8" t="s">
        <v>15128</v>
      </c>
      <c r="D39412" s="8">
        <v>0</v>
      </c>
      <c r="E39412" s="8">
        <v>0</v>
      </c>
      <c r="F39412" s="8">
        <v>330</v>
      </c>
    </row>
    <row r="39413" spans="1:6" ht="12.75">
      <c r="A39413" s="8">
        <v>43886.797800925924</v>
      </c>
      <c r="B39413" s="8" t="str">
        <f>HYPERLINK("https://twitter.com/MVVZ3","@MVVZ3")</f>
        <v>@MVVZ3</v>
      </c>
      <c r="C39413" s="8" t="s">
        <v>15129</v>
      </c>
      <c r="D39413" s="8">
        <v>12</v>
      </c>
      <c r="E39413" s="8">
        <v>0</v>
      </c>
      <c r="F39413" s="8">
        <v>1055</v>
      </c>
    </row>
    <row r="39414" spans="1:6" ht="12.75">
      <c r="A39414" s="8">
        <v>43886.797743055555</v>
      </c>
      <c r="B39414" s="8" t="str">
        <f>HYPERLINK("https://twitter.com/RiriJreeng","@RiriJreeng")</f>
        <v>@RiriJreeng</v>
      </c>
      <c r="C39414" s="8" t="s">
        <v>14817</v>
      </c>
      <c r="D39414" s="8">
        <v>4</v>
      </c>
      <c r="E39414" s="8">
        <v>0</v>
      </c>
      <c r="F39414" s="8">
        <v>5780</v>
      </c>
    </row>
    <row r="39415" spans="1:6" ht="12.75">
      <c r="A39415" s="8">
        <v>43886.797662037032</v>
      </c>
      <c r="B39415" s="8" t="str">
        <f>HYPERLINK("https://twitter.com/baskara_putra15","@baskara_putra15")</f>
        <v>@baskara_putra15</v>
      </c>
      <c r="C39415" s="8" t="s">
        <v>2941</v>
      </c>
      <c r="D39415" s="8">
        <v>391</v>
      </c>
      <c r="E39415" s="8">
        <v>0</v>
      </c>
      <c r="F39415" s="8">
        <v>44</v>
      </c>
    </row>
    <row r="39416" spans="1:6" ht="12.75">
      <c r="A39416" s="8">
        <v>43886.797303240739</v>
      </c>
      <c r="B39416" s="8" t="str">
        <f>HYPERLINK("https://twitter.com/WPa5nan","@WPa5nan")</f>
        <v>@WPa5nan</v>
      </c>
      <c r="C39416" s="8" t="s">
        <v>15130</v>
      </c>
      <c r="D39416" s="8">
        <v>0</v>
      </c>
      <c r="E39416" s="8">
        <v>0</v>
      </c>
      <c r="F39416" s="8">
        <v>1159</v>
      </c>
    </row>
    <row r="39417" spans="1:6" ht="12.75">
      <c r="A39417" s="8">
        <v>43886.7971412037</v>
      </c>
      <c r="B39417" s="8" t="str">
        <f>HYPERLINK("https://twitter.com/harlandarf","@harlandarf")</f>
        <v>@harlandarf</v>
      </c>
      <c r="C39417" s="8" t="s">
        <v>2941</v>
      </c>
      <c r="D39417" s="8">
        <v>391</v>
      </c>
      <c r="E39417" s="8">
        <v>0</v>
      </c>
      <c r="F39417" s="8">
        <v>551</v>
      </c>
    </row>
    <row r="39418" spans="1:6" ht="12.75">
      <c r="A39418" s="8">
        <v>43886.796655092592</v>
      </c>
      <c r="B39418" s="8" t="str">
        <f>HYPERLINK("https://twitter.com/roboticmaster44","@roboticmaster44")</f>
        <v>@roboticmaster44</v>
      </c>
      <c r="C39418" s="8" t="s">
        <v>2941</v>
      </c>
      <c r="D39418" s="8">
        <v>391</v>
      </c>
      <c r="E39418" s="8">
        <v>0</v>
      </c>
      <c r="F39418" s="8">
        <v>3</v>
      </c>
    </row>
    <row r="39419" spans="1:6" ht="12.75">
      <c r="A39419" s="8">
        <v>43886.796215277776</v>
      </c>
      <c r="B39419" s="8" t="str">
        <f>HYPERLINK("https://twitter.com/kompascom","@kompascom")</f>
        <v>@kompascom</v>
      </c>
      <c r="C39419" s="8" t="s">
        <v>15131</v>
      </c>
      <c r="D39419" s="8">
        <v>0</v>
      </c>
      <c r="E39419" s="8">
        <v>0</v>
      </c>
      <c r="F39419" s="8">
        <v>7512337</v>
      </c>
    </row>
    <row r="39420" spans="1:6" ht="12.75">
      <c r="A39420" s="8">
        <v>43886.795972222222</v>
      </c>
      <c r="B39420" s="8" t="str">
        <f>HYPERLINK("https://twitter.com/lilobrr","@lilobrr")</f>
        <v>@lilobrr</v>
      </c>
      <c r="C39420" s="8" t="s">
        <v>15132</v>
      </c>
      <c r="D39420" s="8">
        <v>0</v>
      </c>
      <c r="E39420" s="8">
        <v>0</v>
      </c>
      <c r="F39420" s="8">
        <v>132</v>
      </c>
    </row>
    <row r="39421" spans="1:6" ht="12.75">
      <c r="A39421" s="8">
        <v>43886.795497685191</v>
      </c>
      <c r="B39421" s="8" t="str">
        <f>HYPERLINK("https://twitter.com/IxNdheso","@IxNdheso")</f>
        <v>@IxNdheso</v>
      </c>
      <c r="C39421" s="8" t="s">
        <v>15133</v>
      </c>
      <c r="D39421" s="8">
        <v>0</v>
      </c>
      <c r="E39421" s="8">
        <v>0</v>
      </c>
      <c r="F39421" s="8">
        <v>1269</v>
      </c>
    </row>
    <row r="39422" spans="1:6" ht="12.75">
      <c r="A39422" s="8">
        <v>43886.795393518521</v>
      </c>
      <c r="B39422" s="8" t="str">
        <f>HYPERLINK("https://twitter.com/Kazuma_0021","@Kazuma_0021")</f>
        <v>@Kazuma_0021</v>
      </c>
      <c r="C39422" s="8" t="s">
        <v>8484</v>
      </c>
      <c r="D39422" s="8">
        <v>864</v>
      </c>
      <c r="E39422" s="8">
        <v>0</v>
      </c>
      <c r="F39422" s="8">
        <v>74</v>
      </c>
    </row>
    <row r="39423" spans="1:6" ht="12.75">
      <c r="A39423" s="8">
        <v>43886.795162037037</v>
      </c>
      <c r="B39423" s="8" t="str">
        <f>HYPERLINK("https://twitter.com/AdamRivansyah","@AdamRivansyah")</f>
        <v>@AdamRivansyah</v>
      </c>
      <c r="C39423" s="8" t="s">
        <v>2941</v>
      </c>
      <c r="D39423" s="8">
        <v>391</v>
      </c>
      <c r="E39423" s="8">
        <v>0</v>
      </c>
      <c r="F39423" s="8">
        <v>256</v>
      </c>
    </row>
    <row r="39424" spans="1:6" ht="12.75">
      <c r="A39424" s="8">
        <v>43886.795057870375</v>
      </c>
      <c r="B39424" s="8" t="str">
        <f>HYPERLINK("https://twitter.com/lazuardanie82","@lazuardanie82")</f>
        <v>@lazuardanie82</v>
      </c>
      <c r="C39424" s="8" t="s">
        <v>15067</v>
      </c>
      <c r="D39424" s="8">
        <v>3</v>
      </c>
      <c r="E39424" s="8">
        <v>0</v>
      </c>
      <c r="F39424" s="8">
        <v>485</v>
      </c>
    </row>
    <row r="39425" spans="1:6" ht="12.75">
      <c r="A39425" s="8">
        <v>43886.794999999998</v>
      </c>
      <c r="B39425" s="8" t="str">
        <f>HYPERLINK("https://twitter.com/_wni_","@_wni_")</f>
        <v>@_wni_</v>
      </c>
      <c r="C39425" s="8" t="s">
        <v>15134</v>
      </c>
      <c r="D39425" s="8">
        <v>767</v>
      </c>
      <c r="E39425" s="8">
        <v>0</v>
      </c>
      <c r="F39425" s="8">
        <v>8</v>
      </c>
    </row>
    <row r="39426" spans="1:6" ht="12.75">
      <c r="A39426" s="8">
        <v>43886.794814814813</v>
      </c>
      <c r="B39426" s="8" t="str">
        <f>HYPERLINK("https://twitter.com/CDelisa13","@CDelisa13")</f>
        <v>@CDelisa13</v>
      </c>
      <c r="C39426" s="8" t="s">
        <v>15135</v>
      </c>
      <c r="D39426" s="8">
        <v>0</v>
      </c>
      <c r="E39426" s="8">
        <v>1</v>
      </c>
      <c r="F39426" s="8">
        <v>205</v>
      </c>
    </row>
    <row r="39427" spans="1:6" ht="12.75">
      <c r="A39427" s="8">
        <v>43886.794733796298</v>
      </c>
      <c r="B39427" s="8" t="str">
        <f>HYPERLINK("https://twitter.com/frsmtikrm","@frsmtikrm")</f>
        <v>@frsmtikrm</v>
      </c>
      <c r="C39427" s="8" t="s">
        <v>2941</v>
      </c>
      <c r="D39427" s="8">
        <v>391</v>
      </c>
      <c r="E39427" s="8">
        <v>0</v>
      </c>
      <c r="F39427" s="8">
        <v>179</v>
      </c>
    </row>
    <row r="39428" spans="1:6" ht="12.75">
      <c r="A39428" s="8">
        <v>43886.794652777782</v>
      </c>
      <c r="B39428" s="8" t="str">
        <f>HYPERLINK("https://twitter.com/jodietriawan","@jodietriawan")</f>
        <v>@jodietriawan</v>
      </c>
      <c r="C39428" s="8" t="s">
        <v>2941</v>
      </c>
      <c r="D39428" s="8">
        <v>391</v>
      </c>
      <c r="E39428" s="8">
        <v>0</v>
      </c>
      <c r="F39428" s="8">
        <v>165</v>
      </c>
    </row>
    <row r="39429" spans="1:6" ht="12.75">
      <c r="A39429" s="8">
        <v>43886.794583333336</v>
      </c>
      <c r="B39429" s="8" t="str">
        <f>HYPERLINK("https://twitter.com/AdhieJo","@AdhieJo")</f>
        <v>@AdhieJo</v>
      </c>
      <c r="C39429" s="8" t="s">
        <v>11964</v>
      </c>
      <c r="D39429" s="8">
        <v>434</v>
      </c>
      <c r="E39429" s="8">
        <v>0</v>
      </c>
      <c r="F39429" s="8">
        <v>23</v>
      </c>
    </row>
    <row r="39430" spans="1:6" ht="12.75">
      <c r="A39430" s="8">
        <v>43886.794560185182</v>
      </c>
      <c r="B39430" s="8" t="str">
        <f>HYPERLINK("https://twitter.com/Nilnaeh","@Nilnaeh")</f>
        <v>@Nilnaeh</v>
      </c>
      <c r="C39430" s="8" t="s">
        <v>2941</v>
      </c>
      <c r="D39430" s="8">
        <v>391</v>
      </c>
      <c r="E39430" s="8">
        <v>0</v>
      </c>
      <c r="F39430" s="8">
        <v>48</v>
      </c>
    </row>
    <row r="39431" spans="1:6" ht="12.75">
      <c r="A39431" s="8">
        <v>43886.794398148151</v>
      </c>
      <c r="B39431" s="8" t="str">
        <f>HYPERLINK("https://twitter.com/elfinaaelda","@elfinaaelda")</f>
        <v>@elfinaaelda</v>
      </c>
      <c r="C39431" s="8" t="s">
        <v>2941</v>
      </c>
      <c r="D39431" s="8">
        <v>391</v>
      </c>
      <c r="E39431" s="8">
        <v>0</v>
      </c>
      <c r="F39431" s="8">
        <v>110</v>
      </c>
    </row>
    <row r="39432" spans="1:6" ht="12.75">
      <c r="A39432" s="8">
        <v>43886.794236111113</v>
      </c>
      <c r="B39432" s="8" t="str">
        <f>HYPERLINK("https://twitter.com/marpaung913","@marpaung913")</f>
        <v>@marpaung913</v>
      </c>
      <c r="C39432" s="8" t="s">
        <v>15136</v>
      </c>
      <c r="D39432" s="8">
        <v>0</v>
      </c>
      <c r="E39432" s="8">
        <v>0</v>
      </c>
      <c r="F39432" s="8">
        <v>530</v>
      </c>
    </row>
    <row r="39433" spans="1:6" ht="12.75">
      <c r="A39433" s="8">
        <v>43886.794189814813</v>
      </c>
      <c r="B39433" s="8" t="str">
        <f>HYPERLINK("https://twitter.com/IniMagelangKu","@IniMagelangKu")</f>
        <v>@IniMagelangKu</v>
      </c>
      <c r="C39433" s="8" t="s">
        <v>15137</v>
      </c>
      <c r="D39433" s="8">
        <v>1</v>
      </c>
      <c r="E39433" s="8">
        <v>0</v>
      </c>
      <c r="F39433" s="8">
        <v>14953</v>
      </c>
    </row>
    <row r="39434" spans="1:6" ht="12.75">
      <c r="A39434" s="8">
        <v>43886.794016203705</v>
      </c>
      <c r="B39434" s="8" t="str">
        <f>HYPERLINK("https://twitter.com/yoojungmu","@yoojungmu")</f>
        <v>@yoojungmu</v>
      </c>
      <c r="C39434" s="8" t="s">
        <v>15138</v>
      </c>
      <c r="D39434" s="8">
        <v>0</v>
      </c>
      <c r="E39434" s="8">
        <v>0</v>
      </c>
      <c r="F39434" s="8">
        <v>8621</v>
      </c>
    </row>
    <row r="39435" spans="1:6" ht="12.75">
      <c r="A39435" s="8">
        <v>43886.793854166666</v>
      </c>
      <c r="B39435" s="8" t="str">
        <f>HYPERLINK("https://twitter.com/iamlisty","@iamlisty")</f>
        <v>@iamlisty</v>
      </c>
      <c r="C39435" s="8" t="s">
        <v>2941</v>
      </c>
      <c r="D39435" s="8">
        <v>391</v>
      </c>
      <c r="E39435" s="8">
        <v>0</v>
      </c>
      <c r="F39435" s="8">
        <v>728</v>
      </c>
    </row>
    <row r="39436" spans="1:6" ht="12.75">
      <c r="A39436" s="8">
        <v>43886.793599537035</v>
      </c>
      <c r="B39436" s="8" t="str">
        <f>HYPERLINK("https://twitter.com/mrhardian_","@mrhardian_")</f>
        <v>@mrhardian_</v>
      </c>
      <c r="C39436" s="8" t="s">
        <v>2941</v>
      </c>
      <c r="D39436" s="8">
        <v>391</v>
      </c>
      <c r="E39436" s="8">
        <v>0</v>
      </c>
      <c r="F39436" s="8">
        <v>892</v>
      </c>
    </row>
    <row r="39437" spans="1:6" ht="12.75">
      <c r="A39437" s="8">
        <v>43886.793587962966</v>
      </c>
      <c r="B39437" s="8" t="str">
        <f>HYPERLINK("https://twitter.com/faizalputraf","@faizalputraf")</f>
        <v>@faizalputraf</v>
      </c>
      <c r="C39437" s="8" t="s">
        <v>6638</v>
      </c>
      <c r="D39437" s="8">
        <v>30</v>
      </c>
      <c r="E39437" s="8">
        <v>0</v>
      </c>
      <c r="F39437" s="8">
        <v>162</v>
      </c>
    </row>
    <row r="39438" spans="1:6" ht="12.75">
      <c r="A39438" s="8">
        <v>43886.793553240743</v>
      </c>
      <c r="B39438" s="8" t="str">
        <f>HYPERLINK("https://twitter.com/ditarevita","@ditarevita")</f>
        <v>@ditarevita</v>
      </c>
      <c r="C39438" s="8" t="s">
        <v>2941</v>
      </c>
      <c r="D39438" s="8">
        <v>391</v>
      </c>
      <c r="E39438" s="8">
        <v>0</v>
      </c>
      <c r="F39438" s="8">
        <v>432</v>
      </c>
    </row>
    <row r="39439" spans="1:6" ht="12.75">
      <c r="A39439" s="8">
        <v>43886.793553240743</v>
      </c>
      <c r="B39439" s="8" t="str">
        <f>HYPERLINK("https://twitter.com/damara_ridho","@damara_ridho")</f>
        <v>@damara_ridho</v>
      </c>
      <c r="C39439" s="8" t="s">
        <v>6638</v>
      </c>
      <c r="D39439" s="8">
        <v>30</v>
      </c>
      <c r="E39439" s="8">
        <v>0</v>
      </c>
      <c r="F39439" s="8">
        <v>643</v>
      </c>
    </row>
    <row r="39440" spans="1:6" ht="12.75">
      <c r="A39440" s="8">
        <v>43886.793553240743</v>
      </c>
      <c r="B39440" s="8" t="str">
        <f>HYPERLINK("https://twitter.com/B3rvboo","@B3rvboo")</f>
        <v>@B3rvboo</v>
      </c>
      <c r="C39440" s="8" t="s">
        <v>15139</v>
      </c>
      <c r="D39440" s="8">
        <v>0</v>
      </c>
      <c r="E39440" s="8">
        <v>0</v>
      </c>
      <c r="F39440" s="8">
        <v>622</v>
      </c>
    </row>
    <row r="39441" spans="1:6" ht="12.75">
      <c r="A39441" s="8">
        <v>43886.793506944443</v>
      </c>
      <c r="B39441" s="8" t="str">
        <f>HYPERLINK("https://twitter.com/sixty9shirts","@sixty9shirts")</f>
        <v>@sixty9shirts</v>
      </c>
      <c r="C39441" s="8" t="s">
        <v>2941</v>
      </c>
      <c r="D39441" s="8">
        <v>391</v>
      </c>
      <c r="E39441" s="8">
        <v>0</v>
      </c>
      <c r="F39441" s="8">
        <v>2605</v>
      </c>
    </row>
    <row r="39442" spans="1:6" ht="12.75">
      <c r="A39442" s="8">
        <v>43886.793263888889</v>
      </c>
      <c r="B39442" s="8" t="str">
        <f>HYPERLINK("https://twitter.com/JKafela","@JKafela")</f>
        <v>@JKafela</v>
      </c>
      <c r="C39442" s="8" t="s">
        <v>2941</v>
      </c>
      <c r="D39442" s="8">
        <v>391</v>
      </c>
      <c r="E39442" s="8">
        <v>0</v>
      </c>
      <c r="F39442" s="8">
        <v>141</v>
      </c>
    </row>
    <row r="39443" spans="1:6" ht="12.75">
      <c r="A39443" s="8">
        <v>43886.793136574073</v>
      </c>
      <c r="B39443" s="8" t="str">
        <f>HYPERLINK("https://twitter.com/seftirahayuuu","@seftirahayuuu")</f>
        <v>@seftirahayuuu</v>
      </c>
      <c r="C39443" s="8" t="s">
        <v>15140</v>
      </c>
      <c r="D39443" s="8">
        <v>0</v>
      </c>
      <c r="E39443" s="8">
        <v>0</v>
      </c>
      <c r="F39443" s="8">
        <v>30</v>
      </c>
    </row>
    <row r="39444" spans="1:6" ht="12.75">
      <c r="A39444" s="8">
        <v>43886.79305555555</v>
      </c>
      <c r="B39444" s="8" t="str">
        <f>HYPERLINK("https://twitter.com/w_anisya","@w_anisya")</f>
        <v>@w_anisya</v>
      </c>
      <c r="C39444" s="8" t="s">
        <v>2941</v>
      </c>
      <c r="D39444" s="8">
        <v>391</v>
      </c>
      <c r="E39444" s="8">
        <v>0</v>
      </c>
      <c r="F39444" s="8">
        <v>548</v>
      </c>
    </row>
    <row r="39445" spans="1:6" ht="12.75">
      <c r="A39445" s="8">
        <v>43886.792997685188</v>
      </c>
      <c r="B39445" s="8" t="str">
        <f>HYPERLINK("https://twitter.com/acicapu","@acicapu")</f>
        <v>@acicapu</v>
      </c>
      <c r="C39445" s="8" t="s">
        <v>6638</v>
      </c>
      <c r="D39445" s="8">
        <v>30</v>
      </c>
      <c r="E39445" s="8">
        <v>0</v>
      </c>
      <c r="F39445" s="8">
        <v>757</v>
      </c>
    </row>
    <row r="39446" spans="1:6" ht="12.75">
      <c r="A39446" s="8">
        <v>43886.792905092589</v>
      </c>
      <c r="B39446" s="8" t="str">
        <f>HYPERLINK("https://twitter.com/indomilkkaramel","@indomilkkaramel")</f>
        <v>@indomilkkaramel</v>
      </c>
      <c r="C39446" s="8" t="s">
        <v>14859</v>
      </c>
      <c r="D39446" s="8">
        <v>55</v>
      </c>
      <c r="E39446" s="8">
        <v>0</v>
      </c>
      <c r="F39446" s="8">
        <v>449</v>
      </c>
    </row>
    <row r="39447" spans="1:6" ht="12.75">
      <c r="A39447" s="8">
        <v>43886.79277777778</v>
      </c>
      <c r="B39447" s="8" t="str">
        <f>HYPERLINK("https://twitter.com/beten5","@beten5")</f>
        <v>@beten5</v>
      </c>
      <c r="C39447" s="8" t="s">
        <v>15141</v>
      </c>
      <c r="D39447" s="8">
        <v>17</v>
      </c>
      <c r="E39447" s="8">
        <v>0</v>
      </c>
      <c r="F39447" s="8">
        <v>6</v>
      </c>
    </row>
    <row r="39448" spans="1:6" ht="12.75">
      <c r="A39448" s="8">
        <v>43886.792650462958</v>
      </c>
      <c r="B39448" s="8" t="str">
        <f>HYPERLINK("https://twitter.com/minehyukie","@minehyukie")</f>
        <v>@minehyukie</v>
      </c>
      <c r="C39448" s="8" t="s">
        <v>14831</v>
      </c>
      <c r="D39448" s="8">
        <v>49</v>
      </c>
      <c r="E39448" s="8">
        <v>0</v>
      </c>
      <c r="F39448" s="8">
        <v>624</v>
      </c>
    </row>
    <row r="39449" spans="1:6" ht="12.75">
      <c r="A39449" s="8">
        <v>43886.792002314818</v>
      </c>
      <c r="B39449" s="8" t="str">
        <f>HYPERLINK("https://twitter.com/MawarniChika","@MawarniChika")</f>
        <v>@MawarniChika</v>
      </c>
      <c r="C39449" s="8" t="s">
        <v>2941</v>
      </c>
      <c r="D39449" s="8">
        <v>391</v>
      </c>
      <c r="E39449" s="8">
        <v>0</v>
      </c>
      <c r="F39449" s="8">
        <v>362</v>
      </c>
    </row>
    <row r="39450" spans="1:6" ht="12.75">
      <c r="A39450" s="8">
        <v>43886.791724537034</v>
      </c>
      <c r="B39450" s="8" t="str">
        <f>HYPERLINK("https://twitter.com/saya_minoritas","@saya_minoritas")</f>
        <v>@saya_minoritas</v>
      </c>
      <c r="C39450" s="8" t="s">
        <v>11183</v>
      </c>
      <c r="D39450" s="8">
        <v>162</v>
      </c>
      <c r="E39450" s="8">
        <v>0</v>
      </c>
      <c r="F39450" s="8">
        <v>744</v>
      </c>
    </row>
    <row r="39451" spans="1:6" ht="12.75">
      <c r="A39451" s="8">
        <v>43886.791655092587</v>
      </c>
      <c r="B39451" s="8" t="str">
        <f>HYPERLINK("https://twitter.com/Dimasaulll","@Dimasaulll")</f>
        <v>@Dimasaulll</v>
      </c>
      <c r="C39451" s="8" t="s">
        <v>2941</v>
      </c>
      <c r="D39451" s="8">
        <v>391</v>
      </c>
      <c r="E39451" s="8">
        <v>0</v>
      </c>
      <c r="F39451" s="8">
        <v>34</v>
      </c>
    </row>
    <row r="39452" spans="1:6" ht="12.75">
      <c r="A39452" s="8">
        <v>43886.791620370372</v>
      </c>
      <c r="B39452" s="8" t="str">
        <f>HYPERLINK("https://twitter.com/rizkalutfiyah","@rizkalutfiyah")</f>
        <v>@rizkalutfiyah</v>
      </c>
      <c r="C39452" s="8" t="s">
        <v>2941</v>
      </c>
      <c r="D39452" s="8">
        <v>391</v>
      </c>
      <c r="E39452" s="8">
        <v>0</v>
      </c>
      <c r="F39452" s="8">
        <v>417</v>
      </c>
    </row>
    <row r="39453" spans="1:6" ht="12.75">
      <c r="A39453" s="8">
        <v>43886.791562500002</v>
      </c>
      <c r="B39453" s="8" t="str">
        <f>HYPERLINK("https://twitter.com/yunanin4d","@yunanin4d")</f>
        <v>@yunanin4d</v>
      </c>
      <c r="C39453" s="8" t="s">
        <v>2941</v>
      </c>
      <c r="D39453" s="8">
        <v>391</v>
      </c>
      <c r="E39453" s="8">
        <v>0</v>
      </c>
      <c r="F39453" s="8">
        <v>781</v>
      </c>
    </row>
    <row r="39454" spans="1:6" ht="12.75">
      <c r="A39454" s="8">
        <v>43886.791504629626</v>
      </c>
      <c r="B39454" s="8" t="str">
        <f>HYPERLINK("https://twitter.com/Yehezkiel_CP","@Yehezkiel_CP")</f>
        <v>@Yehezkiel_CP</v>
      </c>
      <c r="C39454" s="8" t="s">
        <v>6638</v>
      </c>
      <c r="D39454" s="8">
        <v>30</v>
      </c>
      <c r="E39454" s="8">
        <v>0</v>
      </c>
      <c r="F39454" s="8">
        <v>7025</v>
      </c>
    </row>
    <row r="39455" spans="1:6" ht="12.75">
      <c r="A39455" s="8">
        <v>43886.791238425925</v>
      </c>
      <c r="B39455" s="8" t="str">
        <f>HYPERLINK("https://twitter.com/angga_s_prabowo","@angga_s_prabowo")</f>
        <v>@angga_s_prabowo</v>
      </c>
      <c r="C39455" s="8" t="s">
        <v>2941</v>
      </c>
      <c r="D39455" s="8">
        <v>391</v>
      </c>
      <c r="E39455" s="8">
        <v>0</v>
      </c>
      <c r="F39455" s="8">
        <v>151</v>
      </c>
    </row>
    <row r="39456" spans="1:6" ht="12.75">
      <c r="A39456" s="8">
        <v>43886.791226851856</v>
      </c>
      <c r="B39456" s="8" t="str">
        <f>HYPERLINK("https://twitter.com/cupacupapa","@cupacupapa")</f>
        <v>@cupacupapa</v>
      </c>
      <c r="C39456" s="8" t="s">
        <v>14430</v>
      </c>
      <c r="D39456" s="8">
        <v>62</v>
      </c>
      <c r="E39456" s="8">
        <v>0</v>
      </c>
      <c r="F39456" s="8">
        <v>515</v>
      </c>
    </row>
    <row r="39457" spans="1:6" ht="12.75">
      <c r="A39457" s="8">
        <v>43886.791215277779</v>
      </c>
      <c r="B39457" s="8" t="str">
        <f>HYPERLINK("https://twitter.com/thebaim","@thebaim")</f>
        <v>@thebaim</v>
      </c>
      <c r="C39457" s="8" t="s">
        <v>2941</v>
      </c>
      <c r="D39457" s="8">
        <v>391</v>
      </c>
      <c r="E39457" s="8">
        <v>0</v>
      </c>
      <c r="F39457" s="8">
        <v>235</v>
      </c>
    </row>
    <row r="39458" spans="1:6" ht="12.75">
      <c r="A39458" s="8">
        <v>43886.791134259256</v>
      </c>
      <c r="B39458" s="8" t="str">
        <f>HYPERLINK("https://twitter.com/kodokpangeran5","@kodokpangeran5")</f>
        <v>@kodokpangeran5</v>
      </c>
      <c r="C39458" s="8" t="s">
        <v>15142</v>
      </c>
      <c r="D39458" s="8">
        <v>0</v>
      </c>
      <c r="E39458" s="8">
        <v>0</v>
      </c>
      <c r="F39458" s="8">
        <v>98</v>
      </c>
    </row>
    <row r="39459" spans="1:6" ht="12.75">
      <c r="A39459" s="8">
        <v>43886.790914351848</v>
      </c>
      <c r="B39459" s="8" t="str">
        <f>HYPERLINK("https://twitter.com/jungkryy","@jungkryy")</f>
        <v>@jungkryy</v>
      </c>
      <c r="C39459" s="8" t="s">
        <v>6638</v>
      </c>
      <c r="D39459" s="8">
        <v>30</v>
      </c>
      <c r="E39459" s="8">
        <v>0</v>
      </c>
      <c r="F39459" s="8">
        <v>146</v>
      </c>
    </row>
    <row r="39460" spans="1:6" ht="12.75">
      <c r="A39460" s="8">
        <v>43886.790729166663</v>
      </c>
      <c r="B39460" s="8" t="str">
        <f>HYPERLINK("https://twitter.com/iiwanmunandar","@iiwanmunandar")</f>
        <v>@iiwanmunandar</v>
      </c>
      <c r="C39460" s="8" t="s">
        <v>2941</v>
      </c>
      <c r="D39460" s="8">
        <v>391</v>
      </c>
      <c r="E39460" s="8">
        <v>0</v>
      </c>
      <c r="F39460" s="8">
        <v>98</v>
      </c>
    </row>
    <row r="39461" spans="1:6" ht="12.75">
      <c r="A39461" s="8">
        <v>43886.790659722217</v>
      </c>
      <c r="B39461" s="8" t="str">
        <f>HYPERLINK("https://twitter.com/adtyaagusti","@adtyaagusti")</f>
        <v>@adtyaagusti</v>
      </c>
      <c r="C39461" s="8" t="s">
        <v>2941</v>
      </c>
      <c r="D39461" s="8">
        <v>391</v>
      </c>
      <c r="E39461" s="8">
        <v>0</v>
      </c>
      <c r="F39461" s="8">
        <v>174</v>
      </c>
    </row>
    <row r="39462" spans="1:6" ht="12.75">
      <c r="A39462" s="8">
        <v>43886.790277777778</v>
      </c>
      <c r="B39462" s="8" t="str">
        <f>HYPERLINK("https://twitter.com/Rudiwaluyo11","@Rudiwaluyo11")</f>
        <v>@Rudiwaluyo11</v>
      </c>
      <c r="C39462" s="8" t="s">
        <v>15143</v>
      </c>
      <c r="D39462" s="8">
        <v>0</v>
      </c>
      <c r="E39462" s="8">
        <v>0</v>
      </c>
      <c r="F39462" s="8">
        <v>38</v>
      </c>
    </row>
    <row r="39463" spans="1:6" ht="12.75">
      <c r="A39463" s="8">
        <v>43886.790266203709</v>
      </c>
      <c r="B39463" s="8" t="str">
        <f>HYPERLINK("https://twitter.com/hafizihamid","@hafizihamid")</f>
        <v>@hafizihamid</v>
      </c>
      <c r="C39463" s="8" t="s">
        <v>2941</v>
      </c>
      <c r="D39463" s="8">
        <v>391</v>
      </c>
      <c r="E39463" s="8">
        <v>0</v>
      </c>
      <c r="F39463" s="8">
        <v>384</v>
      </c>
    </row>
    <row r="39464" spans="1:6" ht="12.75">
      <c r="A39464" s="8">
        <v>43886.790243055555</v>
      </c>
      <c r="B39464" s="8" t="str">
        <f>HYPERLINK("https://twitter.com/andriarift","@andriarift")</f>
        <v>@andriarift</v>
      </c>
      <c r="C39464" s="8" t="s">
        <v>2941</v>
      </c>
      <c r="D39464" s="8">
        <v>391</v>
      </c>
      <c r="E39464" s="8">
        <v>0</v>
      </c>
      <c r="F39464" s="8">
        <v>216</v>
      </c>
    </row>
    <row r="39465" spans="1:6" ht="12.75">
      <c r="A39465" s="8">
        <v>43886.790231481486</v>
      </c>
      <c r="B39465" s="8" t="str">
        <f>HYPERLINK("https://twitter.com/prhayu_","@prhayu_")</f>
        <v>@prhayu_</v>
      </c>
      <c r="C39465" s="8" t="s">
        <v>2941</v>
      </c>
      <c r="D39465" s="8">
        <v>391</v>
      </c>
      <c r="E39465" s="8">
        <v>0</v>
      </c>
      <c r="F39465" s="8">
        <v>14</v>
      </c>
    </row>
    <row r="39466" spans="1:6" ht="12.75">
      <c r="A39466" s="8">
        <v>43886.790231481486</v>
      </c>
      <c r="B39466" s="8" t="str">
        <f>HYPERLINK("https://twitter.com/_wni_","@_wni_")</f>
        <v>@_wni_</v>
      </c>
      <c r="C39466" s="8" t="s">
        <v>15144</v>
      </c>
      <c r="D39466" s="8">
        <v>0</v>
      </c>
      <c r="E39466" s="8">
        <v>0</v>
      </c>
      <c r="F39466" s="8">
        <v>8</v>
      </c>
    </row>
    <row r="39467" spans="1:6" ht="12.75">
      <c r="A39467" s="8">
        <v>43886.790127314816</v>
      </c>
      <c r="B39467" s="8" t="str">
        <f>HYPERLINK("https://twitter.com/mxmb_21","@mxmb_21")</f>
        <v>@mxmb_21</v>
      </c>
      <c r="C39467" s="8" t="s">
        <v>14831</v>
      </c>
      <c r="D39467" s="8">
        <v>49</v>
      </c>
      <c r="E39467" s="8">
        <v>0</v>
      </c>
      <c r="F39467" s="8">
        <v>804</v>
      </c>
    </row>
    <row r="39468" spans="1:6" ht="12.75">
      <c r="A39468" s="8">
        <v>43886.790034722224</v>
      </c>
      <c r="B39468" s="8" t="str">
        <f>HYPERLINK("https://twitter.com/PolitikToday","@PolitikToday")</f>
        <v>@PolitikToday</v>
      </c>
      <c r="C39468" s="8" t="s">
        <v>15145</v>
      </c>
      <c r="D39468" s="8">
        <v>0</v>
      </c>
      <c r="E39468" s="8">
        <v>1</v>
      </c>
      <c r="F39468" s="8">
        <v>6998</v>
      </c>
    </row>
    <row r="39469" spans="1:6" ht="12.75">
      <c r="A39469" s="8">
        <v>43886.789965277778</v>
      </c>
      <c r="B39469" s="8" t="str">
        <f>HYPERLINK("https://twitter.com/dionduren","@dionduren")</f>
        <v>@dionduren</v>
      </c>
      <c r="C39469" s="8" t="s">
        <v>2941</v>
      </c>
      <c r="D39469" s="8">
        <v>391</v>
      </c>
      <c r="E39469" s="8">
        <v>0</v>
      </c>
      <c r="F39469" s="8">
        <v>855</v>
      </c>
    </row>
    <row r="39470" spans="1:6" ht="12.75">
      <c r="A39470" s="8">
        <v>43886.789756944447</v>
      </c>
      <c r="B39470" s="8" t="str">
        <f>HYPERLINK("https://twitter.com/AzmiarAl","@AzmiarAl")</f>
        <v>@AzmiarAl</v>
      </c>
      <c r="C39470" s="8" t="s">
        <v>2941</v>
      </c>
      <c r="D39470" s="8">
        <v>391</v>
      </c>
      <c r="E39470" s="8">
        <v>0</v>
      </c>
      <c r="F39470" s="8">
        <v>64</v>
      </c>
    </row>
    <row r="39471" spans="1:6" ht="12.75">
      <c r="A39471" s="8">
        <v>43886.789733796293</v>
      </c>
      <c r="B39471" s="8" t="str">
        <f>HYPERLINK("https://twitter.com/AmalianingA","@AmalianingA")</f>
        <v>@AmalianingA</v>
      </c>
      <c r="C39471" s="8" t="s">
        <v>2941</v>
      </c>
      <c r="D39471" s="8">
        <v>391</v>
      </c>
      <c r="E39471" s="8">
        <v>0</v>
      </c>
      <c r="F39471" s="8">
        <v>1528</v>
      </c>
    </row>
    <row r="39472" spans="1:6" ht="12.75">
      <c r="A39472" s="8">
        <v>43886.789479166662</v>
      </c>
      <c r="B39472" s="8" t="str">
        <f>HYPERLINK("https://twitter.com/_wni_","@_wni_")</f>
        <v>@_wni_</v>
      </c>
      <c r="C39472" s="8" t="s">
        <v>15146</v>
      </c>
      <c r="D39472" s="8">
        <v>4993</v>
      </c>
      <c r="E39472" s="8">
        <v>0</v>
      </c>
      <c r="F39472" s="8">
        <v>8</v>
      </c>
    </row>
    <row r="39473" spans="1:6" ht="12.75">
      <c r="A39473" s="8">
        <v>43886.789456018523</v>
      </c>
      <c r="B39473" s="8" t="str">
        <f>HYPERLINK("https://twitter.com/itsmulfandarea","@itsmulfandarea")</f>
        <v>@itsmulfandarea</v>
      </c>
      <c r="C39473" s="8" t="s">
        <v>15147</v>
      </c>
      <c r="D39473" s="8">
        <v>0</v>
      </c>
      <c r="E39473" s="8">
        <v>0</v>
      </c>
      <c r="F39473" s="8">
        <v>585</v>
      </c>
    </row>
    <row r="39474" spans="1:6" ht="12.75">
      <c r="A39474" s="8">
        <v>43886.789212962962</v>
      </c>
      <c r="B39474" s="8" t="str">
        <f>HYPERLINK("https://twitter.com/garnettta_","@garnettta_")</f>
        <v>@garnettta_</v>
      </c>
      <c r="C39474" s="8" t="s">
        <v>6638</v>
      </c>
      <c r="D39474" s="8">
        <v>30</v>
      </c>
      <c r="E39474" s="8">
        <v>0</v>
      </c>
      <c r="F39474" s="8">
        <v>800</v>
      </c>
    </row>
    <row r="39475" spans="1:6" ht="12.75">
      <c r="A39475" s="8">
        <v>43886.789178240739</v>
      </c>
      <c r="B39475" s="8" t="str">
        <f>HYPERLINK("https://twitter.com/yuyunsentosa","@yuyunsentosa")</f>
        <v>@yuyunsentosa</v>
      </c>
      <c r="C39475" s="8" t="s">
        <v>6638</v>
      </c>
      <c r="D39475" s="8">
        <v>30</v>
      </c>
      <c r="E39475" s="8">
        <v>0</v>
      </c>
      <c r="F39475" s="8">
        <v>315</v>
      </c>
    </row>
    <row r="39476" spans="1:6" ht="12.75">
      <c r="A39476" s="8">
        <v>43886.789178240739</v>
      </c>
      <c r="B39476" s="8" t="str">
        <f>HYPERLINK("https://twitter.com/57555M","@57555M")</f>
        <v>@57555M</v>
      </c>
      <c r="C39476" s="8" t="s">
        <v>11964</v>
      </c>
      <c r="D39476" s="8">
        <v>434</v>
      </c>
      <c r="E39476" s="8">
        <v>0</v>
      </c>
      <c r="F39476" s="8">
        <v>1134</v>
      </c>
    </row>
    <row r="39477" spans="1:6" ht="12.75">
      <c r="A39477" s="8">
        <v>43886.789016203707</v>
      </c>
      <c r="B39477" s="8" t="str">
        <f>HYPERLINK("https://twitter.com/yanidubba","@yanidubba")</f>
        <v>@yanidubba</v>
      </c>
      <c r="C39477" s="8" t="s">
        <v>15148</v>
      </c>
      <c r="D39477" s="8">
        <v>2</v>
      </c>
      <c r="E39477" s="8">
        <v>0</v>
      </c>
      <c r="F39477" s="8">
        <v>55</v>
      </c>
    </row>
    <row r="39478" spans="1:6" ht="12.75">
      <c r="A39478" s="8">
        <v>43886.788865740746</v>
      </c>
      <c r="B39478" s="8" t="str">
        <f>HYPERLINK("https://twitter.com/iminhyukie","@iminhyukie")</f>
        <v>@iminhyukie</v>
      </c>
      <c r="C39478" s="8" t="s">
        <v>6638</v>
      </c>
      <c r="D39478" s="8">
        <v>30</v>
      </c>
      <c r="E39478" s="8">
        <v>0</v>
      </c>
      <c r="F39478" s="8">
        <v>706</v>
      </c>
    </row>
    <row r="39479" spans="1:6" ht="12.75">
      <c r="A39479" s="8">
        <v>43886.788784722223</v>
      </c>
      <c r="B39479" s="8" t="str">
        <f>HYPERLINK("https://twitter.com/bambangpeee","@bambangpeee")</f>
        <v>@bambangpeee</v>
      </c>
      <c r="C39479" s="8" t="s">
        <v>2941</v>
      </c>
      <c r="D39479" s="8">
        <v>391</v>
      </c>
      <c r="E39479" s="8">
        <v>0</v>
      </c>
      <c r="F39479" s="8">
        <v>113</v>
      </c>
    </row>
    <row r="39480" spans="1:6" ht="12.75">
      <c r="A39480" s="8">
        <v>43886.788715277777</v>
      </c>
      <c r="B39480" s="8" t="str">
        <f>HYPERLINK("https://twitter.com/simanis_aggoy","@simanis_aggoy")</f>
        <v>@simanis_aggoy</v>
      </c>
      <c r="C39480" s="8" t="s">
        <v>2941</v>
      </c>
      <c r="D39480" s="8">
        <v>391</v>
      </c>
      <c r="E39480" s="8">
        <v>0</v>
      </c>
      <c r="F39480" s="8">
        <v>61</v>
      </c>
    </row>
    <row r="39481" spans="1:6" ht="12.75">
      <c r="A39481" s="8">
        <v>43886.788414351853</v>
      </c>
      <c r="B39481" s="8" t="str">
        <f>HYPERLINK("https://twitter.com/_lifeXsucks_","@_lifeXsucks_")</f>
        <v>@_lifeXsucks_</v>
      </c>
      <c r="C39481" s="8" t="s">
        <v>2941</v>
      </c>
      <c r="D39481" s="8">
        <v>391</v>
      </c>
      <c r="E39481" s="8">
        <v>0</v>
      </c>
      <c r="F39481" s="8">
        <v>423</v>
      </c>
    </row>
    <row r="39482" spans="1:6" ht="12.75">
      <c r="A39482" s="8">
        <v>43886.788229166668</v>
      </c>
      <c r="B39482" s="8" t="str">
        <f>HYPERLINK("https://twitter.com/JambiCintaDamai","@JambiCintaDamai")</f>
        <v>@JambiCintaDamai</v>
      </c>
      <c r="C39482" s="8" t="s">
        <v>15149</v>
      </c>
      <c r="D39482" s="8">
        <v>1</v>
      </c>
      <c r="E39482" s="8">
        <v>0</v>
      </c>
      <c r="F39482" s="8">
        <v>543</v>
      </c>
    </row>
    <row r="39483" spans="1:6" ht="12.75">
      <c r="A39483" s="8">
        <v>43886.788217592592</v>
      </c>
      <c r="B39483" s="8" t="str">
        <f>HYPERLINK("https://twitter.com/alambaskoroke4","@alambaskoroke4")</f>
        <v>@alambaskoroke4</v>
      </c>
      <c r="C39483" s="8" t="s">
        <v>15067</v>
      </c>
      <c r="D39483" s="8">
        <v>3</v>
      </c>
      <c r="E39483" s="8">
        <v>0</v>
      </c>
      <c r="F39483" s="8">
        <v>324</v>
      </c>
    </row>
    <row r="39484" spans="1:6" ht="12.75">
      <c r="A39484" s="8">
        <v>43886.788206018522</v>
      </c>
      <c r="B39484" s="8" t="str">
        <f>HYPERLINK("https://twitter.com/ArqasasPutra","@ArqasasPutra")</f>
        <v>@ArqasasPutra</v>
      </c>
      <c r="C39484" s="8" t="s">
        <v>2941</v>
      </c>
      <c r="D39484" s="8">
        <v>391</v>
      </c>
      <c r="E39484" s="8">
        <v>0</v>
      </c>
      <c r="F39484" s="8">
        <v>82</v>
      </c>
    </row>
    <row r="39485" spans="1:6" ht="12.75">
      <c r="A39485" s="8">
        <v>43886.788171296299</v>
      </c>
      <c r="B39485" s="8" t="str">
        <f>HYPERLINK("https://twitter.com/ddearmando","@ddearmando")</f>
        <v>@ddearmando</v>
      </c>
      <c r="C39485" s="8" t="s">
        <v>15150</v>
      </c>
      <c r="D39485" s="8">
        <v>2</v>
      </c>
      <c r="E39485" s="8">
        <v>0</v>
      </c>
      <c r="F39485" s="8">
        <v>892</v>
      </c>
    </row>
    <row r="39486" spans="1:6" ht="12.75">
      <c r="A39486" s="8">
        <v>43886.787962962961</v>
      </c>
      <c r="B39486" s="8" t="str">
        <f>HYPERLINK("https://twitter.com/AGNK7","@AGNK7")</f>
        <v>@AGNK7</v>
      </c>
      <c r="C39486" s="8" t="s">
        <v>2941</v>
      </c>
      <c r="D39486" s="8">
        <v>391</v>
      </c>
      <c r="E39486" s="8">
        <v>0</v>
      </c>
      <c r="F39486" s="8">
        <v>379</v>
      </c>
    </row>
    <row r="39487" spans="1:6" ht="12.75">
      <c r="A39487" s="8">
        <v>43886.787858796291</v>
      </c>
      <c r="B39487" s="8" t="str">
        <f>HYPERLINK("https://twitter.com/Sujarwo91631233","@Sujarwo91631233")</f>
        <v>@Sujarwo91631233</v>
      </c>
      <c r="C39487" s="8" t="s">
        <v>2941</v>
      </c>
      <c r="D39487" s="8">
        <v>391</v>
      </c>
      <c r="E39487" s="8">
        <v>0</v>
      </c>
      <c r="F39487" s="8">
        <v>50</v>
      </c>
    </row>
    <row r="39488" spans="1:6" ht="12.75">
      <c r="A39488" s="8">
        <v>43886.787777777776</v>
      </c>
      <c r="B39488" s="8" t="str">
        <f>HYPERLINK("https://twitter.com/efralte","@efralte")</f>
        <v>@efralte</v>
      </c>
      <c r="C39488" s="8" t="s">
        <v>2941</v>
      </c>
      <c r="D39488" s="8">
        <v>391</v>
      </c>
      <c r="E39488" s="8">
        <v>0</v>
      </c>
      <c r="F39488" s="8">
        <v>257</v>
      </c>
    </row>
    <row r="39489" spans="1:6" ht="12.75">
      <c r="A39489" s="8">
        <v>43886.787754629629</v>
      </c>
      <c r="B39489" s="8" t="str">
        <f>HYPERLINK("https://twitter.com/GANAIX","@GANAIX")</f>
        <v>@GANAIX</v>
      </c>
      <c r="C39489" s="8" t="s">
        <v>2940</v>
      </c>
      <c r="D39489" s="8">
        <v>2501</v>
      </c>
      <c r="E39489" s="8">
        <v>0</v>
      </c>
      <c r="F39489" s="8">
        <v>103</v>
      </c>
    </row>
    <row r="39490" spans="1:6" ht="12.75">
      <c r="A39490" s="8">
        <v>43886.787685185191</v>
      </c>
      <c r="B39490" s="8" t="str">
        <f>HYPERLINK("https://twitter.com/irtupard","@irtupard")</f>
        <v>@irtupard</v>
      </c>
      <c r="C39490" s="8" t="s">
        <v>6638</v>
      </c>
      <c r="D39490" s="8">
        <v>30</v>
      </c>
      <c r="E39490" s="8">
        <v>0</v>
      </c>
      <c r="F39490" s="8">
        <v>616</v>
      </c>
    </row>
    <row r="39491" spans="1:6" ht="12.75">
      <c r="A39491" s="8">
        <v>43886.787488425922</v>
      </c>
      <c r="B39491" s="8" t="str">
        <f>HYPERLINK("https://twitter.com/_wni_","@_wni_")</f>
        <v>@_wni_</v>
      </c>
      <c r="C39491" s="8" t="s">
        <v>15151</v>
      </c>
      <c r="D39491" s="8">
        <v>0</v>
      </c>
      <c r="E39491" s="8">
        <v>0</v>
      </c>
      <c r="F39491" s="8">
        <v>8</v>
      </c>
    </row>
    <row r="39492" spans="1:6" ht="12.75">
      <c r="A39492" s="8">
        <v>43886.78743055556</v>
      </c>
      <c r="B39492" s="8" t="str">
        <f>HYPERLINK("https://twitter.com/dewrisma10","@dewrisma10")</f>
        <v>@dewrisma10</v>
      </c>
      <c r="C39492" s="8" t="s">
        <v>14831</v>
      </c>
      <c r="D39492" s="8">
        <v>49</v>
      </c>
      <c r="E39492" s="8">
        <v>0</v>
      </c>
      <c r="F39492" s="8">
        <v>54</v>
      </c>
    </row>
    <row r="39493" spans="1:6" ht="12.75">
      <c r="A39493" s="8">
        <v>43886.78738425926</v>
      </c>
      <c r="B39493" s="8" t="str">
        <f>HYPERLINK("https://twitter.com/fatraDH","@fatraDH")</f>
        <v>@fatraDH</v>
      </c>
      <c r="C39493" s="8" t="s">
        <v>2941</v>
      </c>
      <c r="D39493" s="8">
        <v>391</v>
      </c>
      <c r="E39493" s="8">
        <v>0</v>
      </c>
      <c r="F39493" s="8">
        <v>178</v>
      </c>
    </row>
    <row r="39494" spans="1:6" ht="12.75">
      <c r="A39494" s="8">
        <v>43886.787372685183</v>
      </c>
      <c r="B39494" s="8" t="str">
        <f>HYPERLINK("https://twitter.com/krustycraph","@krustycraph")</f>
        <v>@krustycraph</v>
      </c>
      <c r="C39494" s="8" t="s">
        <v>6638</v>
      </c>
      <c r="D39494" s="8">
        <v>30</v>
      </c>
      <c r="E39494" s="8">
        <v>0</v>
      </c>
      <c r="F39494" s="8">
        <v>259</v>
      </c>
    </row>
    <row r="39495" spans="1:6" ht="12.75">
      <c r="A39495" s="8">
        <v>43886.78733796296</v>
      </c>
      <c r="B39495" s="8" t="str">
        <f>HYPERLINK("https://twitter.com/Randu_Mahendra","@Randu_Mahendra")</f>
        <v>@Randu_Mahendra</v>
      </c>
      <c r="C39495" s="8" t="s">
        <v>2941</v>
      </c>
      <c r="D39495" s="8">
        <v>391</v>
      </c>
      <c r="E39495" s="8">
        <v>0</v>
      </c>
      <c r="F39495" s="8">
        <v>1773</v>
      </c>
    </row>
    <row r="39496" spans="1:6" ht="12.75">
      <c r="A39496" s="8">
        <v>43886.787187499998</v>
      </c>
      <c r="B39496" s="8" t="str">
        <f>HYPERLINK("https://twitter.com/karinakarinyu","@karinakarinyu")</f>
        <v>@karinakarinyu</v>
      </c>
      <c r="C39496" s="8" t="s">
        <v>15152</v>
      </c>
      <c r="D39496" s="8">
        <v>0</v>
      </c>
      <c r="E39496" s="8">
        <v>0</v>
      </c>
      <c r="F39496" s="8">
        <v>25</v>
      </c>
    </row>
    <row r="39497" spans="1:6" ht="12.75">
      <c r="A39497" s="8">
        <v>43886.78707175926</v>
      </c>
      <c r="B39497" s="8" t="str">
        <f>HYPERLINK("https://twitter.com/novasanti13","@novasanti13")</f>
        <v>@novasanti13</v>
      </c>
      <c r="C39497" s="8" t="s">
        <v>15150</v>
      </c>
      <c r="D39497" s="8">
        <v>2</v>
      </c>
      <c r="E39497" s="8">
        <v>0</v>
      </c>
      <c r="F39497" s="8">
        <v>215</v>
      </c>
    </row>
    <row r="39498" spans="1:6" ht="12.75">
      <c r="A39498" s="8">
        <v>43886.786886574075</v>
      </c>
      <c r="B39498" s="8" t="str">
        <f>HYPERLINK("https://twitter.com/SPall4JC","@SPall4JC")</f>
        <v>@SPall4JC</v>
      </c>
      <c r="C39498" s="8" t="s">
        <v>11183</v>
      </c>
      <c r="D39498" s="8">
        <v>162</v>
      </c>
      <c r="E39498" s="8">
        <v>0</v>
      </c>
      <c r="F39498" s="8">
        <v>1619</v>
      </c>
    </row>
    <row r="39499" spans="1:6" ht="12.75">
      <c r="A39499" s="8">
        <v>43886.786828703705</v>
      </c>
      <c r="B39499" s="8" t="str">
        <f>HYPERLINK("https://twitter.com/Meredit36346531","@Meredit36346531")</f>
        <v>@Meredit36346531</v>
      </c>
      <c r="C39499" s="8" t="s">
        <v>2940</v>
      </c>
      <c r="D39499" s="8">
        <v>2501</v>
      </c>
      <c r="E39499" s="8">
        <v>0</v>
      </c>
      <c r="F39499" s="8">
        <v>76</v>
      </c>
    </row>
    <row r="39500" spans="1:6" ht="12.75">
      <c r="A39500" s="8">
        <v>43886.786828703705</v>
      </c>
      <c r="B39500" s="8" t="str">
        <f>HYPERLINK("https://twitter.com/KompasTV","@KompasTV")</f>
        <v>@KompasTV</v>
      </c>
      <c r="C39500" s="8" t="s">
        <v>15153</v>
      </c>
      <c r="D39500" s="8">
        <v>0</v>
      </c>
      <c r="E39500" s="8">
        <v>0</v>
      </c>
      <c r="F39500" s="8">
        <v>2948528</v>
      </c>
    </row>
    <row r="39501" spans="1:6" ht="12.75">
      <c r="A39501" s="8">
        <v>43886.78670138889</v>
      </c>
      <c r="B39501" s="8" t="str">
        <f>HYPERLINK("https://twitter.com/bangjaaal","@bangjaaal")</f>
        <v>@bangjaaal</v>
      </c>
      <c r="C39501" s="8" t="s">
        <v>6638</v>
      </c>
      <c r="D39501" s="8">
        <v>30</v>
      </c>
      <c r="E39501" s="8">
        <v>0</v>
      </c>
      <c r="F39501" s="8">
        <v>256</v>
      </c>
    </row>
    <row r="39502" spans="1:6" ht="12.75">
      <c r="A39502" s="8">
        <v>43886.756840277776</v>
      </c>
      <c r="B39502" s="8" t="str">
        <f>HYPERLINK("https://twitter.com/TVRINasional","@TVRINasional")</f>
        <v>@TVRINasional</v>
      </c>
      <c r="C39502" s="8" t="s">
        <v>15154</v>
      </c>
      <c r="D39502" s="8">
        <v>0</v>
      </c>
      <c r="E39502" s="8">
        <v>0</v>
      </c>
      <c r="F39502" s="8">
        <v>104272</v>
      </c>
    </row>
    <row r="39503" spans="1:6" ht="12.75">
      <c r="A39503" s="8">
        <v>43886.756793981476</v>
      </c>
      <c r="B39503" s="8" t="str">
        <f>HYPERLINK("https://twitter.com/TretanMuslim","@TretanMuslim")</f>
        <v>@TretanMuslim</v>
      </c>
      <c r="C39503" s="8" t="s">
        <v>2941</v>
      </c>
      <c r="D39503" s="8">
        <v>201</v>
      </c>
      <c r="E39503" s="8">
        <v>0</v>
      </c>
      <c r="F39503" s="8">
        <v>323170</v>
      </c>
    </row>
    <row r="39504" spans="1:6" ht="12.75">
      <c r="A39504" s="8">
        <v>43886.756782407407</v>
      </c>
      <c r="B39504" s="8" t="str">
        <f>HYPERLINK("https://twitter.com/Mygyuwies","@Mygyuwies")</f>
        <v>@Mygyuwies</v>
      </c>
      <c r="C39504" s="8" t="s">
        <v>14990</v>
      </c>
      <c r="D39504" s="8">
        <v>1</v>
      </c>
      <c r="E39504" s="8">
        <v>0</v>
      </c>
      <c r="F39504" s="8">
        <v>542</v>
      </c>
    </row>
    <row r="39505" spans="1:6" ht="12.75">
      <c r="A39505" s="8">
        <v>43886.756562499999</v>
      </c>
      <c r="B39505" s="8" t="str">
        <f>HYPERLINK("https://twitter.com/bungasuryanta_","@bungasuryanta_")</f>
        <v>@bungasuryanta_</v>
      </c>
      <c r="C39505" s="8" t="s">
        <v>2941</v>
      </c>
      <c r="D39505" s="8">
        <v>201</v>
      </c>
      <c r="E39505" s="8">
        <v>0</v>
      </c>
      <c r="F39505" s="8">
        <v>329</v>
      </c>
    </row>
    <row r="39506" spans="1:6" ht="12.75">
      <c r="A39506" s="8">
        <v>43886.756527777776</v>
      </c>
      <c r="B39506" s="8" t="str">
        <f>HYPERLINK("https://twitter.com/rendroko","@rendroko")</f>
        <v>@rendroko</v>
      </c>
      <c r="C39506" s="8" t="s">
        <v>2941</v>
      </c>
      <c r="D39506" s="8">
        <v>201</v>
      </c>
      <c r="E39506" s="8">
        <v>0</v>
      </c>
      <c r="F39506" s="8">
        <v>1024</v>
      </c>
    </row>
    <row r="39507" spans="1:6" ht="12.75">
      <c r="A39507" s="8">
        <v>43886.756307870368</v>
      </c>
      <c r="B39507" s="8" t="str">
        <f>HYPERLINK("https://twitter.com/ulalala24","@ulalala24")</f>
        <v>@ulalala24</v>
      </c>
      <c r="C39507" s="8" t="s">
        <v>2941</v>
      </c>
      <c r="D39507" s="8">
        <v>201</v>
      </c>
      <c r="E39507" s="8">
        <v>0</v>
      </c>
      <c r="F39507" s="8">
        <v>56</v>
      </c>
    </row>
    <row r="39508" spans="1:6" ht="12.75">
      <c r="A39508" s="8">
        <v>43886.756249999999</v>
      </c>
      <c r="B39508" s="8" t="str">
        <f>HYPERLINK("https://twitter.com/DwitaEndah","@DwitaEndah")</f>
        <v>@DwitaEndah</v>
      </c>
      <c r="C39508" s="8" t="s">
        <v>11183</v>
      </c>
      <c r="D39508" s="8">
        <v>144</v>
      </c>
      <c r="E39508" s="8">
        <v>0</v>
      </c>
      <c r="F39508" s="8">
        <v>214</v>
      </c>
    </row>
    <row r="39509" spans="1:6" ht="12.75">
      <c r="A39509" s="8">
        <v>43886.755925925929</v>
      </c>
      <c r="B39509" s="8" t="str">
        <f>HYPERLINK("https://twitter.com/pemudamijah12","@pemudamijah12")</f>
        <v>@pemudamijah12</v>
      </c>
      <c r="C39509" s="8" t="s">
        <v>2941</v>
      </c>
      <c r="D39509" s="8">
        <v>201</v>
      </c>
      <c r="E39509" s="8">
        <v>0</v>
      </c>
      <c r="F39509" s="8">
        <v>519</v>
      </c>
    </row>
    <row r="39510" spans="1:6" ht="12.75">
      <c r="A39510" s="8">
        <v>43886.755856481483</v>
      </c>
      <c r="B39510" s="8" t="str">
        <f>HYPERLINK("https://twitter.com/KosmetikDinda","@KosmetikDinda")</f>
        <v>@KosmetikDinda</v>
      </c>
      <c r="C39510" s="8" t="s">
        <v>15155</v>
      </c>
      <c r="D39510" s="8">
        <v>1</v>
      </c>
      <c r="E39510" s="8">
        <v>0</v>
      </c>
      <c r="F39510" s="8">
        <v>1285</v>
      </c>
    </row>
    <row r="39511" spans="1:6" ht="12.75">
      <c r="A39511" s="8">
        <v>43886.755844907406</v>
      </c>
      <c r="B39511" s="8" t="str">
        <f>HYPERLINK("https://twitter.com/BatamPos","@BatamPos")</f>
        <v>@BatamPos</v>
      </c>
      <c r="C39511" s="8" t="s">
        <v>15156</v>
      </c>
      <c r="D39511" s="8">
        <v>0</v>
      </c>
      <c r="E39511" s="8">
        <v>0</v>
      </c>
      <c r="F39511" s="8">
        <v>67397</v>
      </c>
    </row>
    <row r="39512" spans="1:6" ht="12.75">
      <c r="A39512" s="8">
        <v>43886.755833333329</v>
      </c>
      <c r="B39512" s="8" t="str">
        <f>HYPERLINK("https://twitter.com/fitriarhmsr","@fitriarhmsr")</f>
        <v>@fitriarhmsr</v>
      </c>
      <c r="C39512" s="8" t="s">
        <v>2941</v>
      </c>
      <c r="D39512" s="8">
        <v>201</v>
      </c>
      <c r="E39512" s="8">
        <v>0</v>
      </c>
      <c r="F39512" s="8">
        <v>53</v>
      </c>
    </row>
    <row r="39513" spans="1:6" ht="12.75">
      <c r="A39513" s="8">
        <v>43886.754930555559</v>
      </c>
      <c r="B39513" s="8" t="str">
        <f>HYPERLINK("https://twitter.com/ArirahmatR","@ArirahmatR")</f>
        <v>@ArirahmatR</v>
      </c>
      <c r="C39513" s="8" t="s">
        <v>2941</v>
      </c>
      <c r="D39513" s="8">
        <v>201</v>
      </c>
      <c r="E39513" s="8">
        <v>0</v>
      </c>
      <c r="F39513" s="8">
        <v>379</v>
      </c>
    </row>
    <row r="39514" spans="1:6" ht="12.75">
      <c r="A39514" s="8">
        <v>43886.754918981482</v>
      </c>
      <c r="B39514" s="8" t="str">
        <f>HYPERLINK("https://twitter.com/bayu_adianto","@bayu_adianto")</f>
        <v>@bayu_adianto</v>
      </c>
      <c r="C39514" s="8" t="s">
        <v>11183</v>
      </c>
      <c r="D39514" s="8">
        <v>144</v>
      </c>
      <c r="E39514" s="8">
        <v>0</v>
      </c>
      <c r="F39514" s="8">
        <v>172</v>
      </c>
    </row>
    <row r="39515" spans="1:6" ht="12.75">
      <c r="A39515" s="8">
        <v>43886.754189814819</v>
      </c>
      <c r="B39515" s="8" t="str">
        <f>HYPERLINK("https://twitter.com/tempodotco","@tempodotco")</f>
        <v>@tempodotco</v>
      </c>
      <c r="C39515" s="8" t="s">
        <v>15157</v>
      </c>
      <c r="D39515" s="8">
        <v>0</v>
      </c>
      <c r="E39515" s="8">
        <v>0</v>
      </c>
      <c r="F39515" s="8">
        <v>1711643</v>
      </c>
    </row>
    <row r="39516" spans="1:6" ht="12.75">
      <c r="A39516" s="8">
        <v>43886.754178240742</v>
      </c>
      <c r="B39516" s="8" t="str">
        <f>HYPERLINK("https://twitter.com/ibradhik","@ibradhik")</f>
        <v>@ibradhik</v>
      </c>
      <c r="C39516" s="8" t="s">
        <v>11183</v>
      </c>
      <c r="D39516" s="8">
        <v>144</v>
      </c>
      <c r="E39516" s="8">
        <v>0</v>
      </c>
      <c r="F39516" s="8">
        <v>222</v>
      </c>
    </row>
    <row r="39517" spans="1:6" ht="12.75">
      <c r="A39517" s="8">
        <v>43886.754120370373</v>
      </c>
      <c r="B39517" s="8" t="str">
        <f>HYPERLINK("https://twitter.com/DramaBrother","@DramaBrother")</f>
        <v>@DramaBrother</v>
      </c>
      <c r="C39517" s="8" t="s">
        <v>237</v>
      </c>
      <c r="D39517" s="8">
        <v>0</v>
      </c>
      <c r="E39517" s="8">
        <v>0</v>
      </c>
      <c r="F39517" s="8">
        <v>164</v>
      </c>
    </row>
    <row r="39518" spans="1:6" ht="12.75">
      <c r="A39518" s="8">
        <v>43886.753935185188</v>
      </c>
      <c r="B39518" s="8" t="str">
        <f>HYPERLINK("https://twitter.com/lmaobebby","@lmaobebby")</f>
        <v>@lmaobebby</v>
      </c>
      <c r="C39518" s="8" t="s">
        <v>2941</v>
      </c>
      <c r="D39518" s="8">
        <v>201</v>
      </c>
      <c r="E39518" s="8">
        <v>0</v>
      </c>
      <c r="F39518" s="8">
        <v>326</v>
      </c>
    </row>
    <row r="39519" spans="1:6" ht="12.75">
      <c r="A39519" s="8">
        <v>43886.753877314812</v>
      </c>
      <c r="B39519" s="8" t="str">
        <f>HYPERLINK("https://twitter.com/Budi1409Bs","@Budi1409Bs")</f>
        <v>@Budi1409Bs</v>
      </c>
      <c r="C39519" s="8" t="s">
        <v>11964</v>
      </c>
      <c r="D39519" s="8">
        <v>424</v>
      </c>
      <c r="E39519" s="8">
        <v>0</v>
      </c>
      <c r="F39519" s="8">
        <v>584</v>
      </c>
    </row>
    <row r="39520" spans="1:6" ht="12.75">
      <c r="A39520" s="8">
        <v>43886.753692129627</v>
      </c>
      <c r="B39520" s="8" t="str">
        <f>HYPERLINK("https://twitter.com/mahendrasharawy","@mahendrasharawy")</f>
        <v>@mahendrasharawy</v>
      </c>
      <c r="C39520" s="8" t="s">
        <v>2941</v>
      </c>
      <c r="D39520" s="8">
        <v>201</v>
      </c>
      <c r="E39520" s="8">
        <v>0</v>
      </c>
      <c r="F39520" s="8">
        <v>5</v>
      </c>
    </row>
    <row r="39521" spans="1:6" ht="12.75">
      <c r="A39521" s="8">
        <v>43886.753657407404</v>
      </c>
      <c r="B39521" s="8" t="str">
        <f>HYPERLINK("https://twitter.com/republikaonline","@republikaonline")</f>
        <v>@republikaonline</v>
      </c>
      <c r="C39521" s="8" t="s">
        <v>15158</v>
      </c>
      <c r="D39521" s="8">
        <v>1</v>
      </c>
      <c r="E39521" s="8">
        <v>1</v>
      </c>
      <c r="F39521" s="8">
        <v>1213421</v>
      </c>
    </row>
    <row r="39522" spans="1:6" ht="12.75">
      <c r="A39522" s="8">
        <v>43886.752916666665</v>
      </c>
      <c r="B39522" s="8" t="str">
        <f>HYPERLINK("https://twitter.com/kembangkertas97","@kembangkertas97")</f>
        <v>@kembangkertas97</v>
      </c>
      <c r="C39522" s="8" t="s">
        <v>2941</v>
      </c>
      <c r="D39522" s="8">
        <v>201</v>
      </c>
      <c r="E39522" s="8">
        <v>0</v>
      </c>
      <c r="F39522" s="8">
        <v>4338</v>
      </c>
    </row>
    <row r="39523" spans="1:6" ht="12.75">
      <c r="A39523" s="8">
        <v>43886.75271990741</v>
      </c>
      <c r="B39523" s="8" t="str">
        <f>HYPERLINK("https://twitter.com/pedpoe","@pedpoe")</f>
        <v>@pedpoe</v>
      </c>
      <c r="C39523" s="8" t="s">
        <v>2941</v>
      </c>
      <c r="D39523" s="8">
        <v>201</v>
      </c>
      <c r="E39523" s="8">
        <v>0</v>
      </c>
      <c r="F39523" s="8">
        <v>223</v>
      </c>
    </row>
    <row r="39524" spans="1:6" ht="12.75">
      <c r="A39524" s="8">
        <v>43886.75271990741</v>
      </c>
      <c r="B39524" s="8" t="str">
        <f>HYPERLINK("https://twitter.com/arapa_sawaleng","@arapa_sawaleng")</f>
        <v>@arapa_sawaleng</v>
      </c>
      <c r="C39524" s="8" t="s">
        <v>15159</v>
      </c>
      <c r="D39524" s="8">
        <v>0</v>
      </c>
      <c r="E39524" s="8">
        <v>0</v>
      </c>
      <c r="F39524" s="8">
        <v>5</v>
      </c>
    </row>
    <row r="39525" spans="1:6" ht="12.75">
      <c r="A39525" s="8">
        <v>43886.751435185186</v>
      </c>
      <c r="B39525" s="8" t="str">
        <f>HYPERLINK("https://twitter.com/Gideon_rose1224","@Gideon_rose1224")</f>
        <v>@Gideon_rose1224</v>
      </c>
      <c r="C39525" s="8" t="s">
        <v>2940</v>
      </c>
      <c r="D39525" s="8">
        <v>2487</v>
      </c>
      <c r="E39525" s="8">
        <v>0</v>
      </c>
      <c r="F39525" s="8">
        <v>2654</v>
      </c>
    </row>
    <row r="39526" spans="1:6" ht="12.75">
      <c r="A39526" s="8">
        <v>43886.751342592594</v>
      </c>
      <c r="B39526" s="8" t="str">
        <f>HYPERLINK("https://twitter.com/haqqal","@haqqal")</f>
        <v>@haqqal</v>
      </c>
      <c r="C39526" s="8" t="s">
        <v>14430</v>
      </c>
      <c r="D39526" s="8">
        <v>55</v>
      </c>
      <c r="E39526" s="8">
        <v>0</v>
      </c>
      <c r="F39526" s="8">
        <v>595</v>
      </c>
    </row>
    <row r="39527" spans="1:6" ht="12.75">
      <c r="A39527" s="8">
        <v>43886.751134259262</v>
      </c>
      <c r="B39527" s="8" t="str">
        <f>HYPERLINK("https://twitter.com/bembieadhitya","@bembieadhitya")</f>
        <v>@bembieadhitya</v>
      </c>
      <c r="C39527" s="8" t="s">
        <v>11183</v>
      </c>
      <c r="D39527" s="8">
        <v>144</v>
      </c>
      <c r="E39527" s="8">
        <v>0</v>
      </c>
      <c r="F39527" s="8">
        <v>293</v>
      </c>
    </row>
    <row r="39528" spans="1:6" ht="12.75">
      <c r="A39528" s="8">
        <v>43886.751064814816</v>
      </c>
      <c r="B39528" s="8" t="str">
        <f>HYPERLINK("https://twitter.com/kompascom","@kompascom")</f>
        <v>@kompascom</v>
      </c>
      <c r="C39528" s="8" t="s">
        <v>15160</v>
      </c>
      <c r="D39528" s="8">
        <v>0</v>
      </c>
      <c r="E39528" s="8">
        <v>0</v>
      </c>
      <c r="F39528" s="8">
        <v>7512239</v>
      </c>
    </row>
    <row r="39529" spans="1:6" ht="12.75">
      <c r="A39529" s="8">
        <v>43886.751064814816</v>
      </c>
      <c r="B39529" s="8" t="str">
        <f>HYPERLINK("https://twitter.com/Kabar24","@Kabar24")</f>
        <v>@Kabar24</v>
      </c>
      <c r="C39529" s="8" t="s">
        <v>15161</v>
      </c>
      <c r="D39529" s="8">
        <v>0</v>
      </c>
      <c r="E39529" s="8">
        <v>0</v>
      </c>
      <c r="F39529" s="8">
        <v>20128</v>
      </c>
    </row>
    <row r="39530" spans="1:6" ht="12.75">
      <c r="A39530" s="8">
        <v>43886.750601851847</v>
      </c>
      <c r="B39530" s="8" t="str">
        <f>HYPERLINK("https://twitter.com/coinceavec8994_","@coinceavec8994_")</f>
        <v>@coinceavec8994_</v>
      </c>
      <c r="C39530" s="8" t="s">
        <v>2941</v>
      </c>
      <c r="D39530" s="8">
        <v>201</v>
      </c>
      <c r="E39530" s="8">
        <v>0</v>
      </c>
      <c r="F39530" s="8">
        <v>1358</v>
      </c>
    </row>
    <row r="39531" spans="1:6" ht="12.75">
      <c r="A39531" s="8">
        <v>43886.750486111108</v>
      </c>
      <c r="B39531" s="8" t="str">
        <f>HYPERLINK("https://twitter.com/UmulMin","@UmulMin")</f>
        <v>@UmulMin</v>
      </c>
      <c r="C39531" s="8" t="s">
        <v>11964</v>
      </c>
      <c r="D39531" s="8">
        <v>424</v>
      </c>
      <c r="E39531" s="8">
        <v>0</v>
      </c>
      <c r="F39531" s="8">
        <v>157</v>
      </c>
    </row>
    <row r="39532" spans="1:6" ht="12.75">
      <c r="A39532" s="8">
        <v>43886.750474537039</v>
      </c>
      <c r="B39532" s="8" t="str">
        <f>HYPERLINK("https://twitter.com/kulit_kcang","@kulit_kcang")</f>
        <v>@kulit_kcang</v>
      </c>
      <c r="C39532" s="8" t="s">
        <v>15162</v>
      </c>
      <c r="D39532" s="8">
        <v>1</v>
      </c>
      <c r="E39532" s="8">
        <v>1</v>
      </c>
      <c r="F39532" s="8">
        <v>3399</v>
      </c>
    </row>
    <row r="39533" spans="1:6" ht="12.75">
      <c r="A39533" s="8">
        <v>43886.750231481477</v>
      </c>
      <c r="B39533" s="8" t="str">
        <f>HYPERLINK("https://twitter.com/Marufamin22","@Marufamin22")</f>
        <v>@Marufamin22</v>
      </c>
      <c r="C39533" s="8" t="s">
        <v>2941</v>
      </c>
      <c r="D39533" s="8">
        <v>201</v>
      </c>
      <c r="E39533" s="8">
        <v>0</v>
      </c>
      <c r="F39533" s="8">
        <v>128</v>
      </c>
    </row>
    <row r="39534" spans="1:6" ht="12.75">
      <c r="A39534" s="8">
        <v>43886.75</v>
      </c>
      <c r="B39534" s="8" t="str">
        <f>HYPERLINK("https://twitter.com/MeTubeID","@MeTubeID")</f>
        <v>@MeTubeID</v>
      </c>
      <c r="C39534" s="8" t="s">
        <v>11826</v>
      </c>
      <c r="D39534" s="8">
        <v>0</v>
      </c>
      <c r="E39534" s="8">
        <v>0</v>
      </c>
      <c r="F39534" s="8">
        <v>6306</v>
      </c>
    </row>
    <row r="39535" spans="1:6" ht="12.75">
      <c r="A39535" s="8">
        <v>43886.749930555554</v>
      </c>
      <c r="B39535" s="8" t="str">
        <f>HYPERLINK("https://twitter.com/minaminatuo","@minaminatuo")</f>
        <v>@minaminatuo</v>
      </c>
      <c r="C39535" s="8" t="s">
        <v>8484</v>
      </c>
      <c r="D39535" s="8">
        <v>856</v>
      </c>
      <c r="E39535" s="8">
        <v>0</v>
      </c>
      <c r="F39535" s="8">
        <v>660</v>
      </c>
    </row>
    <row r="39536" spans="1:6" ht="12.75">
      <c r="A39536" s="8">
        <v>43886.749814814815</v>
      </c>
      <c r="B39536" s="8" t="str">
        <f>HYPERLINK("https://twitter.com/New0wl","@New0wl")</f>
        <v>@New0wl</v>
      </c>
      <c r="C39536" s="8" t="s">
        <v>2941</v>
      </c>
      <c r="D39536" s="8">
        <v>201</v>
      </c>
      <c r="E39536" s="8">
        <v>0</v>
      </c>
      <c r="F39536" s="8">
        <v>113</v>
      </c>
    </row>
    <row r="39537" spans="1:6" ht="12.75">
      <c r="A39537" s="8">
        <v>43886.7496875</v>
      </c>
      <c r="B39537" s="8" t="str">
        <f>HYPERLINK("https://twitter.com/sonnysetia","@sonnysetia")</f>
        <v>@sonnysetia</v>
      </c>
      <c r="C39537" s="8" t="s">
        <v>11964</v>
      </c>
      <c r="D39537" s="8">
        <v>424</v>
      </c>
      <c r="E39537" s="8">
        <v>0</v>
      </c>
      <c r="F39537" s="8">
        <v>2383</v>
      </c>
    </row>
    <row r="39538" spans="1:6" ht="12.75">
      <c r="A39538" s="8">
        <v>43886.749560185184</v>
      </c>
      <c r="B39538" s="8" t="str">
        <f>HYPERLINK("https://twitter.com/muhammad__qosim","@muhammad__qosim")</f>
        <v>@muhammad__qosim</v>
      </c>
      <c r="C39538" s="8" t="s">
        <v>2941</v>
      </c>
      <c r="D39538" s="8">
        <v>201</v>
      </c>
      <c r="E39538" s="8">
        <v>0</v>
      </c>
      <c r="F39538" s="8">
        <v>495</v>
      </c>
    </row>
    <row r="39539" spans="1:6" ht="12.75">
      <c r="A39539" s="8">
        <v>43886.749548611115</v>
      </c>
      <c r="B39539" s="8" t="str">
        <f>HYPERLINK("https://twitter.com/ummyulvairoh","@ummyulvairoh")</f>
        <v>@ummyulvairoh</v>
      </c>
      <c r="C39539" s="8" t="s">
        <v>2941</v>
      </c>
      <c r="D39539" s="8">
        <v>201</v>
      </c>
      <c r="E39539" s="8">
        <v>0</v>
      </c>
      <c r="F39539" s="8">
        <v>404</v>
      </c>
    </row>
    <row r="39540" spans="1:6" ht="12.75">
      <c r="A39540" s="8">
        <v>43886.749479166669</v>
      </c>
      <c r="B39540" s="8" t="str">
        <f>HYPERLINK("https://twitter.com/aya_ddt","@aya_ddt")</f>
        <v>@aya_ddt</v>
      </c>
      <c r="C39540" s="8" t="s">
        <v>15163</v>
      </c>
      <c r="D39540" s="8">
        <v>6</v>
      </c>
      <c r="E39540" s="8">
        <v>0</v>
      </c>
      <c r="F39540" s="8">
        <v>435</v>
      </c>
    </row>
    <row r="39541" spans="1:6" ht="12.75">
      <c r="A39541" s="8">
        <v>43886.749374999999</v>
      </c>
      <c r="B39541" s="8" t="str">
        <f>HYPERLINK("https://twitter.com/presiaangelika","@presiaangelika")</f>
        <v>@presiaangelika</v>
      </c>
      <c r="C39541" s="8" t="s">
        <v>2941</v>
      </c>
      <c r="D39541" s="8">
        <v>201</v>
      </c>
      <c r="E39541" s="8">
        <v>0</v>
      </c>
      <c r="F39541" s="8">
        <v>382</v>
      </c>
    </row>
    <row r="39542" spans="1:6" ht="12.75">
      <c r="A39542" s="8">
        <v>43886.749178240745</v>
      </c>
      <c r="B39542" s="8" t="str">
        <f>HYPERLINK("https://twitter.com/Pejuang__","@Pejuang__")</f>
        <v>@Pejuang__</v>
      </c>
      <c r="C39542" s="8" t="s">
        <v>11964</v>
      </c>
      <c r="D39542" s="8">
        <v>424</v>
      </c>
      <c r="E39542" s="8">
        <v>0</v>
      </c>
      <c r="F39542" s="8">
        <v>402</v>
      </c>
    </row>
    <row r="39543" spans="1:6" ht="12.75">
      <c r="A39543" s="8">
        <v>43886.749155092592</v>
      </c>
      <c r="B39543" s="8" t="str">
        <f>HYPERLINK("https://twitter.com/EiffelLingga","@EiffelLingga")</f>
        <v>@EiffelLingga</v>
      </c>
      <c r="C39543" s="8" t="s">
        <v>11183</v>
      </c>
      <c r="D39543" s="8">
        <v>144</v>
      </c>
      <c r="E39543" s="8">
        <v>0</v>
      </c>
      <c r="F39543" s="8">
        <v>548</v>
      </c>
    </row>
    <row r="39544" spans="1:6" ht="12.75">
      <c r="A39544" s="8">
        <v>43886.749131944445</v>
      </c>
      <c r="B39544" s="8" t="str">
        <f>HYPERLINK("https://twitter.com/ManaoFlorius","@ManaoFlorius")</f>
        <v>@ManaoFlorius</v>
      </c>
      <c r="C39544" s="8" t="s">
        <v>11183</v>
      </c>
      <c r="D39544" s="8">
        <v>144</v>
      </c>
      <c r="E39544" s="8">
        <v>0</v>
      </c>
      <c r="F39544" s="8">
        <v>172</v>
      </c>
    </row>
    <row r="39545" spans="1:6" ht="12.75">
      <c r="A39545" s="8">
        <v>43886.748958333337</v>
      </c>
      <c r="B39545" s="8" t="str">
        <f>HYPERLINK("https://twitter.com/imrohatulL","@imrohatulL")</f>
        <v>@imrohatulL</v>
      </c>
      <c r="C39545" s="8" t="s">
        <v>2941</v>
      </c>
      <c r="D39545" s="8">
        <v>201</v>
      </c>
      <c r="E39545" s="8">
        <v>0</v>
      </c>
      <c r="F39545" s="8">
        <v>875</v>
      </c>
    </row>
    <row r="39546" spans="1:6" ht="12.75">
      <c r="A39546" s="8">
        <v>43886.748738425929</v>
      </c>
      <c r="B39546" s="8" t="str">
        <f>HYPERLINK("https://twitter.com/tempodotco","@tempodotco")</f>
        <v>@tempodotco</v>
      </c>
      <c r="C39546" s="8" t="s">
        <v>15164</v>
      </c>
      <c r="D39546" s="8">
        <v>0</v>
      </c>
      <c r="E39546" s="8">
        <v>0</v>
      </c>
      <c r="F39546" s="8">
        <v>1711643</v>
      </c>
    </row>
    <row r="39547" spans="1:6" ht="12.75">
      <c r="A39547" s="8">
        <v>43886.748715277776</v>
      </c>
      <c r="B39547" s="8" t="str">
        <f>HYPERLINK("https://twitter.com/marissagunawan9","@marissagunawan9")</f>
        <v>@marissagunawan9</v>
      </c>
      <c r="C39547" s="8" t="s">
        <v>15165</v>
      </c>
      <c r="D39547" s="8">
        <v>0</v>
      </c>
      <c r="E39547" s="8">
        <v>0</v>
      </c>
      <c r="F39547" s="8">
        <v>467</v>
      </c>
    </row>
    <row r="39548" spans="1:6" ht="12.75">
      <c r="A39548" s="8">
        <v>43886.74863425926</v>
      </c>
      <c r="B39548" s="8" t="str">
        <f>HYPERLINK("https://twitter.com/Mizan743","@Mizan743")</f>
        <v>@Mizan743</v>
      </c>
      <c r="C39548" s="8" t="s">
        <v>11183</v>
      </c>
      <c r="D39548" s="8">
        <v>144</v>
      </c>
      <c r="E39548" s="8">
        <v>0</v>
      </c>
      <c r="F39548" s="8">
        <v>733</v>
      </c>
    </row>
    <row r="39549" spans="1:6" ht="12.75">
      <c r="A39549" s="8">
        <v>43886.748587962968</v>
      </c>
      <c r="B39549" s="8" t="str">
        <f>HYPERLINK("https://twitter.com/adeadag1","@adeadag1")</f>
        <v>@adeadag1</v>
      </c>
      <c r="C39549" s="8" t="s">
        <v>11964</v>
      </c>
      <c r="D39549" s="8">
        <v>424</v>
      </c>
      <c r="E39549" s="8">
        <v>0</v>
      </c>
      <c r="F39549" s="8">
        <v>542</v>
      </c>
    </row>
    <row r="39550" spans="1:6" ht="12.75">
      <c r="A39550" s="8">
        <v>43886.74832175926</v>
      </c>
      <c r="B39550" s="8" t="str">
        <f>HYPERLINK("https://twitter.com/dawasa","@dawasa")</f>
        <v>@dawasa</v>
      </c>
      <c r="C39550" s="8" t="s">
        <v>8484</v>
      </c>
      <c r="D39550" s="8">
        <v>856</v>
      </c>
      <c r="E39550" s="8">
        <v>0</v>
      </c>
      <c r="F39550" s="8">
        <v>704</v>
      </c>
    </row>
    <row r="39551" spans="1:6" ht="12.75">
      <c r="A39551" s="8">
        <v>43886.747974537036</v>
      </c>
      <c r="B39551" s="8" t="str">
        <f>HYPERLINK("https://twitter.com/wedhargalih","@wedhargalih")</f>
        <v>@wedhargalih</v>
      </c>
      <c r="C39551" s="8" t="s">
        <v>2941</v>
      </c>
      <c r="D39551" s="8">
        <v>201</v>
      </c>
      <c r="E39551" s="8">
        <v>0</v>
      </c>
      <c r="F39551" s="8">
        <v>323</v>
      </c>
    </row>
    <row r="39552" spans="1:6" ht="12.75">
      <c r="A39552" s="8">
        <v>43886.747847222221</v>
      </c>
      <c r="B39552" s="8" t="str">
        <f>HYPERLINK("https://twitter.com/rosgiantisalma","@rosgiantisalma")</f>
        <v>@rosgiantisalma</v>
      </c>
      <c r="C39552" s="8" t="s">
        <v>2941</v>
      </c>
      <c r="D39552" s="8">
        <v>201</v>
      </c>
      <c r="E39552" s="8">
        <v>0</v>
      </c>
      <c r="F39552" s="8">
        <v>299</v>
      </c>
    </row>
    <row r="39553" spans="1:6" ht="12.75">
      <c r="A39553" s="8">
        <v>43886.747847222221</v>
      </c>
      <c r="B39553" s="8" t="str">
        <f>HYPERLINK("https://twitter.com/MijnheerDoli","@MijnheerDoli")</f>
        <v>@MijnheerDoli</v>
      </c>
      <c r="C39553" s="8" t="s">
        <v>11183</v>
      </c>
      <c r="D39553" s="8">
        <v>144</v>
      </c>
      <c r="E39553" s="8">
        <v>0</v>
      </c>
      <c r="F39553" s="8">
        <v>1038</v>
      </c>
    </row>
    <row r="39554" spans="1:6" ht="12.75">
      <c r="A39554" s="8">
        <v>43886.747812500005</v>
      </c>
      <c r="B39554" s="8" t="str">
        <f>HYPERLINK("https://twitter.com/sarahannida","@sarahannida")</f>
        <v>@sarahannida</v>
      </c>
      <c r="C39554" s="8" t="s">
        <v>2941</v>
      </c>
      <c r="D39554" s="8">
        <v>201</v>
      </c>
      <c r="E39554" s="8">
        <v>0</v>
      </c>
      <c r="F39554" s="8">
        <v>989</v>
      </c>
    </row>
    <row r="39555" spans="1:6" ht="12.75">
      <c r="A39555" s="8">
        <v>43886.747812500005</v>
      </c>
      <c r="B39555" s="8" t="str">
        <f>HYPERLINK("https://twitter.com/guagatauapaapa","@guagatauapaapa")</f>
        <v>@guagatauapaapa</v>
      </c>
      <c r="C39555" s="8" t="s">
        <v>15166</v>
      </c>
      <c r="D39555" s="8">
        <v>0</v>
      </c>
      <c r="E39555" s="8">
        <v>0</v>
      </c>
      <c r="F39555" s="8">
        <v>10</v>
      </c>
    </row>
    <row r="39556" spans="1:6" ht="12.75">
      <c r="A39556" s="8">
        <v>43886.747800925921</v>
      </c>
      <c r="B39556" s="8" t="str">
        <f>HYPERLINK("https://twitter.com/Mohamad50983447","@Mohamad50983447")</f>
        <v>@Mohamad50983447</v>
      </c>
      <c r="C39556" s="8" t="s">
        <v>14887</v>
      </c>
      <c r="D39556" s="8">
        <v>54</v>
      </c>
      <c r="E39556" s="8">
        <v>0</v>
      </c>
      <c r="F39556" s="8">
        <v>114</v>
      </c>
    </row>
    <row r="39557" spans="1:6" ht="12.75">
      <c r="A39557" s="8">
        <v>43886.747766203705</v>
      </c>
      <c r="B39557" s="8" t="str">
        <f>HYPERLINK("https://twitter.com/kimrahmahwang","@kimrahmahwang")</f>
        <v>@kimrahmahwang</v>
      </c>
      <c r="C39557" s="8" t="s">
        <v>2941</v>
      </c>
      <c r="D39557" s="8">
        <v>201</v>
      </c>
      <c r="E39557" s="8">
        <v>0</v>
      </c>
      <c r="F39557" s="8">
        <v>900</v>
      </c>
    </row>
    <row r="39558" spans="1:6" ht="12.75">
      <c r="A39558" s="8">
        <v>43886.747766203705</v>
      </c>
      <c r="B39558" s="8" t="str">
        <f>HYPERLINK("https://twitter.com/rektoruwqsw","@rektoruwqsw")</f>
        <v>@rektoruwqsw</v>
      </c>
      <c r="C39558" s="8" t="s">
        <v>15167</v>
      </c>
      <c r="D39558" s="8">
        <v>0</v>
      </c>
      <c r="E39558" s="8">
        <v>0</v>
      </c>
      <c r="F39558" s="8">
        <v>215</v>
      </c>
    </row>
    <row r="39559" spans="1:6" ht="12.75">
      <c r="A39559" s="8">
        <v>43886.747048611112</v>
      </c>
      <c r="B39559" s="8" t="str">
        <f>HYPERLINK("https://twitter.com/gatausihaha","@gatausihaha")</f>
        <v>@gatausihaha</v>
      </c>
      <c r="C39559" s="8" t="s">
        <v>2941</v>
      </c>
      <c r="D39559" s="8">
        <v>201</v>
      </c>
      <c r="E39559" s="8">
        <v>0</v>
      </c>
      <c r="F39559" s="8">
        <v>3</v>
      </c>
    </row>
    <row r="39560" spans="1:6" ht="12.75">
      <c r="A39560" s="8">
        <v>43886.74700231482</v>
      </c>
      <c r="B39560" s="8" t="str">
        <f>HYPERLINK("https://twitter.com/putrifauziah407","@putrifauziah407")</f>
        <v>@putrifauziah407</v>
      </c>
      <c r="C39560" s="8" t="s">
        <v>2941</v>
      </c>
      <c r="D39560" s="8">
        <v>201</v>
      </c>
      <c r="E39560" s="8">
        <v>0</v>
      </c>
      <c r="F39560" s="8">
        <v>454</v>
      </c>
    </row>
    <row r="39561" spans="1:6" ht="12.75">
      <c r="A39561" s="8">
        <v>43886.746793981481</v>
      </c>
      <c r="B39561" s="8" t="str">
        <f>HYPERLINK("https://twitter.com/integritymylife","@integritymylife")</f>
        <v>@integritymylife</v>
      </c>
      <c r="C39561" s="8" t="s">
        <v>8484</v>
      </c>
      <c r="D39561" s="8">
        <v>856</v>
      </c>
      <c r="E39561" s="8">
        <v>0</v>
      </c>
      <c r="F39561" s="8">
        <v>994</v>
      </c>
    </row>
    <row r="39562" spans="1:6" ht="12.75">
      <c r="A39562" s="8">
        <v>43886.746747685189</v>
      </c>
      <c r="B39562" s="8" t="str">
        <f>HYPERLINK("https://twitter.com/kodokburik10","@kodokburik10")</f>
        <v>@kodokburik10</v>
      </c>
      <c r="C39562" s="8" t="s">
        <v>15168</v>
      </c>
      <c r="D39562" s="8">
        <v>0</v>
      </c>
      <c r="E39562" s="8">
        <v>0</v>
      </c>
      <c r="F39562" s="8">
        <v>1</v>
      </c>
    </row>
    <row r="39563" spans="1:6" ht="12.75">
      <c r="A39563" s="8">
        <v>43886.746585648143</v>
      </c>
      <c r="B39563" s="8" t="str">
        <f>HYPERLINK("https://twitter.com/sulsel_satu","@sulsel_satu")</f>
        <v>@sulsel_satu</v>
      </c>
      <c r="C39563" s="8" t="s">
        <v>15169</v>
      </c>
      <c r="D39563" s="8">
        <v>0</v>
      </c>
      <c r="E39563" s="8">
        <v>0</v>
      </c>
      <c r="F39563" s="8">
        <v>699</v>
      </c>
    </row>
    <row r="39564" spans="1:6" ht="12.75">
      <c r="A39564" s="8">
        <v>43886.746076388888</v>
      </c>
      <c r="B39564" s="8" t="str">
        <f>HYPERLINK("https://twitter.com/Mahira_Osu","@Mahira_Osu")</f>
        <v>@Mahira_Osu</v>
      </c>
      <c r="C39564" s="8" t="s">
        <v>15170</v>
      </c>
      <c r="D39564" s="8">
        <v>0</v>
      </c>
      <c r="E39564" s="8">
        <v>0</v>
      </c>
      <c r="F39564" s="8">
        <v>15</v>
      </c>
    </row>
    <row r="39565" spans="1:6" ht="12.75">
      <c r="A39565" s="8">
        <v>43886.745821759258</v>
      </c>
      <c r="B39565" s="8" t="str">
        <f>HYPERLINK("https://twitter.com/albertusaditya","@albertusaditya")</f>
        <v>@albertusaditya</v>
      </c>
      <c r="C39565" s="8" t="s">
        <v>11183</v>
      </c>
      <c r="D39565" s="8">
        <v>144</v>
      </c>
      <c r="E39565" s="8">
        <v>0</v>
      </c>
      <c r="F39565" s="8">
        <v>210</v>
      </c>
    </row>
    <row r="39566" spans="1:6" ht="12.75">
      <c r="A39566" s="8">
        <v>43886.745486111111</v>
      </c>
      <c r="B39566" s="8" t="str">
        <f>HYPERLINK("https://twitter.com/ABCDenii","@ABCDenii")</f>
        <v>@ABCDenii</v>
      </c>
      <c r="C39566" s="8" t="s">
        <v>14430</v>
      </c>
      <c r="D39566" s="8">
        <v>55</v>
      </c>
      <c r="E39566" s="8">
        <v>0</v>
      </c>
      <c r="F39566" s="8">
        <v>605</v>
      </c>
    </row>
    <row r="39567" spans="1:6" ht="12.75">
      <c r="A39567" s="8">
        <v>43886.745416666672</v>
      </c>
      <c r="B39567" s="8" t="str">
        <f>HYPERLINK("https://twitter.com/yudapanjaitan","@yudapanjaitan")</f>
        <v>@yudapanjaitan</v>
      </c>
      <c r="C39567" s="8" t="s">
        <v>14430</v>
      </c>
      <c r="D39567" s="8">
        <v>55</v>
      </c>
      <c r="E39567" s="8">
        <v>0</v>
      </c>
      <c r="F39567" s="8">
        <v>12061</v>
      </c>
    </row>
    <row r="39568" spans="1:6" ht="12.75">
      <c r="A39568" s="8">
        <v>43886.74496527778</v>
      </c>
      <c r="B39568" s="8" t="str">
        <f>HYPERLINK("https://twitter.com/Saiyo2N","@Saiyo2N")</f>
        <v>@Saiyo2N</v>
      </c>
      <c r="C39568" s="8" t="s">
        <v>2941</v>
      </c>
      <c r="D39568" s="8">
        <v>201</v>
      </c>
      <c r="E39568" s="8">
        <v>0</v>
      </c>
      <c r="F39568" s="8">
        <v>61</v>
      </c>
    </row>
    <row r="39569" spans="1:6" ht="12.75">
      <c r="A39569" s="8">
        <v>43886.744583333333</v>
      </c>
      <c r="B39569" s="8" t="str">
        <f>HYPERLINK("https://twitter.com/nddablek","@nddablek")</f>
        <v>@nddablek</v>
      </c>
      <c r="C39569" s="8" t="s">
        <v>15171</v>
      </c>
      <c r="D39569" s="8">
        <v>0</v>
      </c>
      <c r="E39569" s="8">
        <v>0</v>
      </c>
      <c r="F39569" s="8">
        <v>22</v>
      </c>
    </row>
    <row r="39570" spans="1:6" ht="12.75">
      <c r="A39570" s="8">
        <v>43886.744502314818</v>
      </c>
      <c r="B39570" s="8" t="str">
        <f>HYPERLINK("https://twitter.com/Karisma_Jakarta","@Karisma_Jakarta")</f>
        <v>@Karisma_Jakarta</v>
      </c>
      <c r="C39570" s="8" t="s">
        <v>11964</v>
      </c>
      <c r="D39570" s="8">
        <v>424</v>
      </c>
      <c r="E39570" s="8">
        <v>0</v>
      </c>
      <c r="F39570" s="8">
        <v>534</v>
      </c>
    </row>
    <row r="39571" spans="1:6" ht="12.75">
      <c r="A39571" s="8">
        <v>43886.744363425925</v>
      </c>
      <c r="B39571" s="8" t="str">
        <f t="shared" ref="B39571:B39573" si="587">HYPERLINK("https://twitter.com/ikemeso90","@ikemeso90")</f>
        <v>@ikemeso90</v>
      </c>
      <c r="C39571" s="8" t="s">
        <v>14106</v>
      </c>
      <c r="D39571" s="8">
        <v>135</v>
      </c>
      <c r="E39571" s="8">
        <v>0</v>
      </c>
      <c r="F39571" s="8">
        <v>278</v>
      </c>
    </row>
    <row r="39572" spans="1:6" ht="12.75">
      <c r="A39572" s="8">
        <v>43886.744340277779</v>
      </c>
      <c r="B39572" s="8" t="str">
        <f t="shared" si="587"/>
        <v>@ikemeso90</v>
      </c>
      <c r="C39572" s="8" t="s">
        <v>13834</v>
      </c>
      <c r="D39572" s="8">
        <v>146</v>
      </c>
      <c r="E39572" s="8">
        <v>0</v>
      </c>
      <c r="F39572" s="8">
        <v>278</v>
      </c>
    </row>
    <row r="39573" spans="1:6" ht="12.75">
      <c r="A39573" s="8">
        <v>43886.744270833333</v>
      </c>
      <c r="B39573" s="8" t="str">
        <f t="shared" si="587"/>
        <v>@ikemeso90</v>
      </c>
      <c r="C39573" s="8" t="s">
        <v>8484</v>
      </c>
      <c r="D39573" s="8">
        <v>856</v>
      </c>
      <c r="E39573" s="8">
        <v>0</v>
      </c>
      <c r="F39573" s="8">
        <v>278</v>
      </c>
    </row>
    <row r="39574" spans="1:6" ht="12.75">
      <c r="A39574" s="8">
        <v>43886.74417824074</v>
      </c>
      <c r="B39574" s="8" t="str">
        <f>HYPERLINK("https://twitter.com/Silvanohajid","@Silvanohajid")</f>
        <v>@Silvanohajid</v>
      </c>
      <c r="C39574" s="8" t="s">
        <v>2941</v>
      </c>
      <c r="D39574" s="8">
        <v>201</v>
      </c>
      <c r="E39574" s="8">
        <v>0</v>
      </c>
      <c r="F39574" s="8">
        <v>2495</v>
      </c>
    </row>
    <row r="39575" spans="1:6" ht="12.75">
      <c r="A39575" s="8">
        <v>43886.743888888886</v>
      </c>
      <c r="B39575" s="8" t="str">
        <f>HYPERLINK("https://twitter.com/leejooheonwife","@leejooheonwife")</f>
        <v>@leejooheonwife</v>
      </c>
      <c r="C39575" s="8" t="s">
        <v>14831</v>
      </c>
      <c r="D39575" s="8">
        <v>45</v>
      </c>
      <c r="E39575" s="8">
        <v>0</v>
      </c>
      <c r="F39575" s="8">
        <v>295</v>
      </c>
    </row>
    <row r="39576" spans="1:6" ht="12.75">
      <c r="A39576" s="8">
        <v>43886.74381944444</v>
      </c>
      <c r="B39576" s="8" t="str">
        <f>HYPERLINK("https://twitter.com/ikemeso90","@ikemeso90")</f>
        <v>@ikemeso90</v>
      </c>
      <c r="C39576" s="8" t="s">
        <v>2940</v>
      </c>
      <c r="D39576" s="8">
        <v>2487</v>
      </c>
      <c r="E39576" s="8">
        <v>0</v>
      </c>
      <c r="F39576" s="8">
        <v>278</v>
      </c>
    </row>
    <row r="39577" spans="1:6" ht="12.75">
      <c r="A39577" s="8">
        <v>43886.743587962963</v>
      </c>
      <c r="B39577" s="8" t="str">
        <f>HYPERLINK("https://twitter.com/LaylaNurrachma","@LaylaNurrachma")</f>
        <v>@LaylaNurrachma</v>
      </c>
      <c r="C39577" s="8" t="s">
        <v>2941</v>
      </c>
      <c r="D39577" s="8">
        <v>201</v>
      </c>
      <c r="E39577" s="8">
        <v>0</v>
      </c>
      <c r="F39577" s="8">
        <v>486</v>
      </c>
    </row>
    <row r="39578" spans="1:6" ht="12.75">
      <c r="A39578" s="8">
        <v>43886.743576388893</v>
      </c>
      <c r="B39578" s="8" t="str">
        <f>HYPERLINK("https://twitter.com/baliqnerek","@baliqnerek")</f>
        <v>@baliqnerek</v>
      </c>
      <c r="C39578" s="8" t="s">
        <v>11964</v>
      </c>
      <c r="D39578" s="8">
        <v>424</v>
      </c>
      <c r="E39578" s="8">
        <v>0</v>
      </c>
      <c r="F39578" s="8">
        <v>330</v>
      </c>
    </row>
    <row r="39579" spans="1:6" ht="12.75">
      <c r="A39579" s="8">
        <v>43886.743472222224</v>
      </c>
      <c r="B39579" s="8" t="str">
        <f>HYPERLINK("https://twitter.com/ratu_adil","@ratu_adil")</f>
        <v>@ratu_adil</v>
      </c>
      <c r="C39579" s="8" t="s">
        <v>15172</v>
      </c>
      <c r="D39579" s="8">
        <v>0</v>
      </c>
      <c r="E39579" s="8">
        <v>0</v>
      </c>
      <c r="F39579" s="8">
        <v>52857</v>
      </c>
    </row>
    <row r="39580" spans="1:6" ht="12.75">
      <c r="A39580" s="8">
        <v>43886.743287037039</v>
      </c>
      <c r="B39580" s="8" t="str">
        <f>HYPERLINK("https://twitter.com/afnanboma10","@afnanboma10")</f>
        <v>@afnanboma10</v>
      </c>
      <c r="C39580" s="8" t="s">
        <v>2941</v>
      </c>
      <c r="D39580" s="8">
        <v>201</v>
      </c>
      <c r="E39580" s="8">
        <v>0</v>
      </c>
      <c r="F39580" s="8">
        <v>51</v>
      </c>
    </row>
    <row r="39581" spans="1:6" ht="12.75">
      <c r="A39581" s="8">
        <v>43886.743229166663</v>
      </c>
      <c r="B39581" s="8" t="str">
        <f>HYPERLINK("https://twitter.com/retweeterer_","@retweeterer_")</f>
        <v>@retweeterer_</v>
      </c>
      <c r="C39581" s="8" t="s">
        <v>6666</v>
      </c>
      <c r="D39581" s="8">
        <v>21</v>
      </c>
      <c r="E39581" s="8">
        <v>0</v>
      </c>
      <c r="F39581" s="8">
        <v>366</v>
      </c>
    </row>
    <row r="39582" spans="1:6" ht="12.75">
      <c r="A39582" s="8">
        <v>43886.74319444444</v>
      </c>
      <c r="B39582" s="8" t="str">
        <f>HYPERLINK("https://twitter.com/suarwijana","@suarwijana")</f>
        <v>@suarwijana</v>
      </c>
      <c r="C39582" s="8" t="s">
        <v>15173</v>
      </c>
      <c r="D39582" s="8">
        <v>0</v>
      </c>
      <c r="E39582" s="8">
        <v>2</v>
      </c>
      <c r="F39582" s="8">
        <v>706</v>
      </c>
    </row>
    <row r="39583" spans="1:6" ht="12.75">
      <c r="A39583" s="8">
        <v>43886.743101851855</v>
      </c>
      <c r="B39583" s="8" t="str">
        <f>HYPERLINK("https://twitter.com/KontanNews","@KontanNews")</f>
        <v>@KontanNews</v>
      </c>
      <c r="C39583" s="8" t="s">
        <v>15174</v>
      </c>
      <c r="D39583" s="8">
        <v>0</v>
      </c>
      <c r="E39583" s="8">
        <v>0</v>
      </c>
      <c r="F39583" s="8">
        <v>317302</v>
      </c>
    </row>
    <row r="39584" spans="1:6" ht="12.75">
      <c r="A39584" s="8">
        <v>43886.743090277778</v>
      </c>
      <c r="B39584" s="8" t="str">
        <f>HYPERLINK("https://twitter.com/laailyrhus","@laailyrhus")</f>
        <v>@laailyrhus</v>
      </c>
      <c r="C39584" s="8" t="s">
        <v>2941</v>
      </c>
      <c r="D39584" s="8">
        <v>201</v>
      </c>
      <c r="E39584" s="8">
        <v>0</v>
      </c>
      <c r="F39584" s="8">
        <v>262</v>
      </c>
    </row>
    <row r="39585" spans="1:6" ht="12.75">
      <c r="A39585" s="8">
        <v>43886.743043981478</v>
      </c>
      <c r="B39585" s="8" t="str">
        <f>HYPERLINK("https://twitter.com/KicauSunyi","@KicauSunyi")</f>
        <v>@KicauSunyi</v>
      </c>
      <c r="C39585" s="8" t="s">
        <v>15163</v>
      </c>
      <c r="D39585" s="8">
        <v>6</v>
      </c>
      <c r="E39585" s="8">
        <v>0</v>
      </c>
      <c r="F39585" s="8">
        <v>3670</v>
      </c>
    </row>
    <row r="39586" spans="1:6" ht="12.75">
      <c r="A39586" s="8">
        <v>43886.742708333331</v>
      </c>
      <c r="B39586" s="8" t="str">
        <f>HYPERLINK("https://twitter.com/missasoen","@missasoen")</f>
        <v>@missasoen</v>
      </c>
      <c r="C39586" s="8" t="s">
        <v>2940</v>
      </c>
      <c r="D39586" s="8">
        <v>2487</v>
      </c>
      <c r="E39586" s="8">
        <v>0</v>
      </c>
      <c r="F39586" s="8">
        <v>245</v>
      </c>
    </row>
    <row r="39587" spans="1:6" ht="12.75">
      <c r="A39587" s="8">
        <v>43886.742384259254</v>
      </c>
      <c r="B39587" s="8" t="str">
        <f>HYPERLINK("https://twitter.com/Chaplienz666","@Chaplienz666")</f>
        <v>@Chaplienz666</v>
      </c>
      <c r="C39587" s="8" t="s">
        <v>11964</v>
      </c>
      <c r="D39587" s="8">
        <v>424</v>
      </c>
      <c r="E39587" s="8">
        <v>0</v>
      </c>
      <c r="F39587" s="8">
        <v>82</v>
      </c>
    </row>
    <row r="39588" spans="1:6" ht="12.75">
      <c r="A39588" s="8">
        <v>43886.742245370369</v>
      </c>
      <c r="B39588" s="8" t="str">
        <f>HYPERLINK("https://twitter.com/yamamokazemo","@yamamokazemo")</f>
        <v>@yamamokazemo</v>
      </c>
      <c r="C39588" s="8" t="s">
        <v>15175</v>
      </c>
      <c r="D39588" s="8">
        <v>0</v>
      </c>
      <c r="E39588" s="8">
        <v>0</v>
      </c>
      <c r="F39588" s="8">
        <v>184</v>
      </c>
    </row>
    <row r="39589" spans="1:6" ht="12.75">
      <c r="A39589" s="8">
        <v>43886.741886574076</v>
      </c>
      <c r="B39589" s="8" t="str">
        <f>HYPERLINK("https://twitter.com/LamanKita_","@LamanKita_")</f>
        <v>@LamanKita_</v>
      </c>
      <c r="C39589" s="8" t="s">
        <v>15176</v>
      </c>
      <c r="D39589" s="8">
        <v>0</v>
      </c>
      <c r="E39589" s="8">
        <v>0</v>
      </c>
      <c r="F39589" s="8">
        <v>138617</v>
      </c>
    </row>
    <row r="39590" spans="1:6" ht="12.75">
      <c r="A39590" s="8">
        <v>43886.741678240738</v>
      </c>
      <c r="B39590" s="8" t="str">
        <f>HYPERLINK("https://twitter.com/RizkyBS","@RizkyBS")</f>
        <v>@RizkyBS</v>
      </c>
      <c r="C39590" s="8" t="s">
        <v>2941</v>
      </c>
      <c r="D39590" s="8">
        <v>201</v>
      </c>
      <c r="E39590" s="8">
        <v>0</v>
      </c>
      <c r="F39590" s="8">
        <v>221</v>
      </c>
    </row>
    <row r="39591" spans="1:6" ht="12.75">
      <c r="A39591" s="8">
        <v>43886.741585648153</v>
      </c>
      <c r="B39591" s="8" t="str">
        <f>HYPERLINK("https://twitter.com/tahupetismanis","@tahupetismanis")</f>
        <v>@tahupetismanis</v>
      </c>
      <c r="C39591" s="8" t="s">
        <v>15177</v>
      </c>
      <c r="D39591" s="8">
        <v>2</v>
      </c>
      <c r="E39591" s="8">
        <v>0</v>
      </c>
      <c r="F39591" s="8">
        <v>4038</v>
      </c>
    </row>
    <row r="39592" spans="1:6" ht="12.75">
      <c r="A39592" s="8">
        <v>43886.741516203707</v>
      </c>
      <c r="B39592" s="8" t="str">
        <f>HYPERLINK("https://twitter.com/fx_beats","@fx_beats")</f>
        <v>@fx_beats</v>
      </c>
      <c r="C39592" s="8" t="s">
        <v>2941</v>
      </c>
      <c r="D39592" s="8">
        <v>201</v>
      </c>
      <c r="E39592" s="8">
        <v>0</v>
      </c>
      <c r="F39592" s="8">
        <v>2494</v>
      </c>
    </row>
    <row r="39593" spans="1:6" ht="12.75">
      <c r="A39593" s="8">
        <v>43886.741481481484</v>
      </c>
      <c r="B39593" s="8" t="str">
        <f>HYPERLINK("https://twitter.com/Dewie34292319","@Dewie34292319")</f>
        <v>@Dewie34292319</v>
      </c>
      <c r="C39593" s="8" t="s">
        <v>6666</v>
      </c>
      <c r="D39593" s="8">
        <v>21</v>
      </c>
      <c r="E39593" s="8">
        <v>0</v>
      </c>
      <c r="F39593" s="8">
        <v>1719</v>
      </c>
    </row>
    <row r="39594" spans="1:6" ht="12.75">
      <c r="A39594" s="8">
        <v>43886.741400462968</v>
      </c>
      <c r="B39594" s="8" t="str">
        <f>HYPERLINK("https://twitter.com/MeilaniRismawa2","@MeilaniRismawa2")</f>
        <v>@MeilaniRismawa2</v>
      </c>
      <c r="C39594" s="8" t="s">
        <v>2941</v>
      </c>
      <c r="D39594" s="8">
        <v>201</v>
      </c>
      <c r="E39594" s="8">
        <v>0</v>
      </c>
      <c r="F39594" s="8">
        <v>3</v>
      </c>
    </row>
    <row r="39595" spans="1:6" ht="12.75">
      <c r="A39595" s="8">
        <v>43886.741342592592</v>
      </c>
      <c r="B39595" s="8" t="str">
        <f>HYPERLINK("https://twitter.com/tahupetismanis","@tahupetismanis")</f>
        <v>@tahupetismanis</v>
      </c>
      <c r="C39595" s="8" t="s">
        <v>15178</v>
      </c>
      <c r="D39595" s="8">
        <v>1</v>
      </c>
      <c r="E39595" s="8">
        <v>0</v>
      </c>
      <c r="F39595" s="8">
        <v>4038</v>
      </c>
    </row>
    <row r="39596" spans="1:6" ht="12.75">
      <c r="A39596" s="8">
        <v>43886.74113425926</v>
      </c>
      <c r="B39596" s="8" t="str">
        <f>HYPERLINK("https://twitter.com/Cahkuwut","@Cahkuwut")</f>
        <v>@Cahkuwut</v>
      </c>
      <c r="C39596" s="8" t="s">
        <v>15179</v>
      </c>
      <c r="D39596" s="8">
        <v>28</v>
      </c>
      <c r="E39596" s="8">
        <v>0</v>
      </c>
      <c r="F39596" s="8">
        <v>676</v>
      </c>
    </row>
    <row r="39597" spans="1:6" ht="12.75">
      <c r="A39597" s="8">
        <v>43886.741087962961</v>
      </c>
      <c r="B39597" s="8" t="str">
        <f>HYPERLINK("https://twitter.com/ivooxid","@ivooxid")</f>
        <v>@ivooxid</v>
      </c>
      <c r="C39597" s="8" t="s">
        <v>15180</v>
      </c>
      <c r="D39597" s="8">
        <v>0</v>
      </c>
      <c r="E39597" s="8">
        <v>0</v>
      </c>
      <c r="F39597" s="8">
        <v>1426</v>
      </c>
    </row>
    <row r="39598" spans="1:6" ht="12.75">
      <c r="A39598" s="8">
        <v>43886.741064814814</v>
      </c>
      <c r="B39598" s="8" t="str">
        <f>HYPERLINK("https://twitter.com/agoroaga","@agoroaga")</f>
        <v>@agoroaga</v>
      </c>
      <c r="C39598" s="8" t="s">
        <v>15181</v>
      </c>
      <c r="D39598" s="8">
        <v>0</v>
      </c>
      <c r="E39598" s="8">
        <v>0</v>
      </c>
      <c r="F39598" s="8">
        <v>278</v>
      </c>
    </row>
    <row r="39599" spans="1:6" ht="12.75">
      <c r="A39599" s="8">
        <v>43886.74082175926</v>
      </c>
      <c r="B39599" s="8" t="str">
        <f>HYPERLINK("https://twitter.com/SilalahiFabian","@SilalahiFabian")</f>
        <v>@SilalahiFabian</v>
      </c>
      <c r="C39599" s="8" t="s">
        <v>11183</v>
      </c>
      <c r="D39599" s="8">
        <v>144</v>
      </c>
      <c r="E39599" s="8">
        <v>0</v>
      </c>
      <c r="F39599" s="8">
        <v>169</v>
      </c>
    </row>
    <row r="39600" spans="1:6" ht="12.75">
      <c r="A39600" s="8">
        <v>43886.740532407406</v>
      </c>
      <c r="B39600" s="8" t="str">
        <f>HYPERLINK("https://twitter.com/IndonesiaR4Y4","@IndonesiaR4Y4")</f>
        <v>@IndonesiaR4Y4</v>
      </c>
      <c r="C39600" s="8" t="s">
        <v>15177</v>
      </c>
      <c r="D39600" s="8">
        <v>2</v>
      </c>
      <c r="E39600" s="8">
        <v>0</v>
      </c>
      <c r="F39600" s="8">
        <v>1932</v>
      </c>
    </row>
    <row r="39601" spans="1:6" ht="12.75">
      <c r="A39601" s="8">
        <v>43886.740324074075</v>
      </c>
      <c r="B39601" s="8" t="str">
        <f>HYPERLINK("https://twitter.com/ikbaldunn","@ikbaldunn")</f>
        <v>@ikbaldunn</v>
      </c>
      <c r="C39601" s="8" t="s">
        <v>2941</v>
      </c>
      <c r="D39601" s="8">
        <v>201</v>
      </c>
      <c r="E39601" s="8">
        <v>0</v>
      </c>
      <c r="F39601" s="8">
        <v>368</v>
      </c>
    </row>
    <row r="39602" spans="1:6" ht="12.75">
      <c r="A39602" s="8">
        <v>43886.714999999997</v>
      </c>
      <c r="B39602" s="8" t="str">
        <f>HYPERLINK("https://twitter.com/itkmtktn","@itkmtktn")</f>
        <v>@itkmtktn</v>
      </c>
      <c r="C39602" s="8" t="s">
        <v>2940</v>
      </c>
      <c r="D39602" s="8">
        <v>2475</v>
      </c>
      <c r="E39602" s="8">
        <v>0</v>
      </c>
      <c r="F39602" s="8">
        <v>2223</v>
      </c>
    </row>
    <row r="39603" spans="1:6" ht="12.75">
      <c r="A39603" s="8">
        <v>43886.714965277773</v>
      </c>
      <c r="B39603" s="8" t="str">
        <f>HYPERLINK("https://twitter.com/andreefendi_","@andreefendi_")</f>
        <v>@andreefendi_</v>
      </c>
      <c r="C39603" s="8" t="s">
        <v>2941</v>
      </c>
      <c r="D39603" s="8">
        <v>63</v>
      </c>
      <c r="E39603" s="8">
        <v>0</v>
      </c>
      <c r="F39603" s="8">
        <v>382</v>
      </c>
    </row>
    <row r="39604" spans="1:6" ht="12.75">
      <c r="A39604" s="8">
        <v>43886.714849537035</v>
      </c>
      <c r="B39604" s="8" t="str">
        <f>HYPERLINK("https://twitter.com/gauravy773981","@gauravy773981")</f>
        <v>@gauravy773981</v>
      </c>
      <c r="C39604" s="8" t="s">
        <v>15182</v>
      </c>
      <c r="D39604" s="8">
        <v>0</v>
      </c>
      <c r="E39604" s="8">
        <v>0</v>
      </c>
      <c r="F39604" s="8">
        <v>5</v>
      </c>
    </row>
    <row r="39605" spans="1:6" ht="12.75">
      <c r="A39605" s="8">
        <v>43886.714733796296</v>
      </c>
      <c r="B39605" s="8" t="str">
        <f>HYPERLINK("https://twitter.com/ghazyalfarras","@ghazyalfarras")</f>
        <v>@ghazyalfarras</v>
      </c>
      <c r="C39605" s="8" t="s">
        <v>2941</v>
      </c>
      <c r="D39605" s="8">
        <v>63</v>
      </c>
      <c r="E39605" s="8">
        <v>0</v>
      </c>
      <c r="F39605" s="8">
        <v>3946</v>
      </c>
    </row>
    <row r="39606" spans="1:6" ht="12.75">
      <c r="A39606" s="8">
        <v>43886.714606481481</v>
      </c>
      <c r="B39606" s="8" t="str">
        <f>HYPERLINK("https://twitter.com/uikinahani","@uikinahani")</f>
        <v>@uikinahani</v>
      </c>
      <c r="C39606" s="8" t="s">
        <v>2941</v>
      </c>
      <c r="D39606" s="8">
        <v>63</v>
      </c>
      <c r="E39606" s="8">
        <v>0</v>
      </c>
      <c r="F39606" s="8">
        <v>1</v>
      </c>
    </row>
    <row r="39607" spans="1:6" ht="12.75">
      <c r="A39607" s="8">
        <v>43886.714537037042</v>
      </c>
      <c r="B39607" s="8" t="str">
        <f>HYPERLINK("https://twitter.com/ArisKoerniawan3","@ArisKoerniawan3")</f>
        <v>@ArisKoerniawan3</v>
      </c>
      <c r="C39607" s="8" t="s">
        <v>11183</v>
      </c>
      <c r="D39607" s="8">
        <v>123</v>
      </c>
      <c r="E39607" s="8">
        <v>0</v>
      </c>
      <c r="F39607" s="8">
        <v>480</v>
      </c>
    </row>
    <row r="39608" spans="1:6" ht="12.75">
      <c r="A39608" s="8">
        <v>43886.714421296296</v>
      </c>
      <c r="B39608" s="8" t="str">
        <f>HYPERLINK("https://twitter.com/developedbyaldo","@developedbyaldo")</f>
        <v>@developedbyaldo</v>
      </c>
      <c r="C39608" s="8" t="s">
        <v>2941</v>
      </c>
      <c r="D39608" s="8">
        <v>63</v>
      </c>
      <c r="E39608" s="8">
        <v>0</v>
      </c>
      <c r="F39608" s="8">
        <v>1079</v>
      </c>
    </row>
    <row r="39609" spans="1:6" ht="12.75">
      <c r="A39609" s="8">
        <v>43886.714409722219</v>
      </c>
      <c r="B39609" s="8" t="str">
        <f>HYPERLINK("https://twitter.com/pinkieggs","@pinkieggs")</f>
        <v>@pinkieggs</v>
      </c>
      <c r="C39609" s="8" t="s">
        <v>2941</v>
      </c>
      <c r="D39609" s="8">
        <v>63</v>
      </c>
      <c r="E39609" s="8">
        <v>0</v>
      </c>
      <c r="F39609" s="8">
        <v>231</v>
      </c>
    </row>
    <row r="39610" spans="1:6" ht="12.75">
      <c r="A39610" s="8">
        <v>43886.714351851857</v>
      </c>
      <c r="B39610" s="8" t="str">
        <f>HYPERLINK("https://twitter.com/zephyrus1947","@zephyrus1947")</f>
        <v>@zephyrus1947</v>
      </c>
      <c r="C39610" s="8" t="s">
        <v>2940</v>
      </c>
      <c r="D39610" s="8">
        <v>2475</v>
      </c>
      <c r="E39610" s="8">
        <v>0</v>
      </c>
      <c r="F39610" s="8">
        <v>53</v>
      </c>
    </row>
    <row r="39611" spans="1:6" ht="12.75">
      <c r="A39611" s="8">
        <v>43886.714201388888</v>
      </c>
      <c r="B39611" s="8" t="str">
        <f>HYPERLINK("https://twitter.com/wisnuwids1","@wisnuwids1")</f>
        <v>@wisnuwids1</v>
      </c>
      <c r="C39611" s="8" t="s">
        <v>2941</v>
      </c>
      <c r="D39611" s="8">
        <v>63</v>
      </c>
      <c r="E39611" s="8">
        <v>0</v>
      </c>
      <c r="F39611" s="8">
        <v>496</v>
      </c>
    </row>
    <row r="39612" spans="1:6" ht="12.75">
      <c r="A39612" s="8">
        <v>43886.713969907403</v>
      </c>
      <c r="B39612" s="8" t="str">
        <f>HYPERLINK("https://twitter.com/rahulshukla_PRG","@rahulshukla_PRG")</f>
        <v>@rahulshukla_PRG</v>
      </c>
      <c r="C39612" s="8" t="s">
        <v>15183</v>
      </c>
      <c r="D39612" s="8">
        <v>0</v>
      </c>
      <c r="E39612" s="8">
        <v>0</v>
      </c>
      <c r="F39612" s="8">
        <v>605</v>
      </c>
    </row>
    <row r="39613" spans="1:6" ht="12.75">
      <c r="A39613" s="8">
        <v>43886.713819444441</v>
      </c>
      <c r="B39613" s="8" t="str">
        <f>HYPERLINK("https://twitter.com/DsSupriyady","@DsSupriyady")</f>
        <v>@DsSupriyady</v>
      </c>
      <c r="C39613" s="8" t="s">
        <v>2941</v>
      </c>
      <c r="D39613" s="8">
        <v>63</v>
      </c>
      <c r="E39613" s="8">
        <v>0</v>
      </c>
      <c r="F39613" s="8">
        <v>3854</v>
      </c>
    </row>
    <row r="39614" spans="1:6" ht="12.75">
      <c r="A39614" s="8">
        <v>43886.713472222225</v>
      </c>
      <c r="B39614" s="8" t="str">
        <f>HYPERLINK("https://twitter.com/efremsiregar","@efremsiregar")</f>
        <v>@efremsiregar</v>
      </c>
      <c r="C39614" s="8" t="s">
        <v>2941</v>
      </c>
      <c r="D39614" s="8">
        <v>63</v>
      </c>
      <c r="E39614" s="8">
        <v>0</v>
      </c>
      <c r="F39614" s="8">
        <v>997</v>
      </c>
    </row>
    <row r="39615" spans="1:6" ht="12.75">
      <c r="A39615" s="8">
        <v>43886.713344907403</v>
      </c>
      <c r="B39615" s="8" t="str">
        <f>HYPERLINK("https://twitter.com/varshasalsaa","@varshasalsaa")</f>
        <v>@varshasalsaa</v>
      </c>
      <c r="C39615" s="8" t="s">
        <v>2941</v>
      </c>
      <c r="D39615" s="8">
        <v>63</v>
      </c>
      <c r="E39615" s="8">
        <v>0</v>
      </c>
      <c r="F39615" s="8">
        <v>805</v>
      </c>
    </row>
    <row r="39616" spans="1:6" ht="12.75">
      <c r="A39616" s="8">
        <v>43886.713206018518</v>
      </c>
      <c r="B39616" s="8" t="str">
        <f>HYPERLINK("https://twitter.com/fireboolt","@fireboolt")</f>
        <v>@fireboolt</v>
      </c>
      <c r="C39616" s="8" t="s">
        <v>2941</v>
      </c>
      <c r="D39616" s="8">
        <v>63</v>
      </c>
      <c r="E39616" s="8">
        <v>0</v>
      </c>
      <c r="F39616" s="8">
        <v>710</v>
      </c>
    </row>
    <row r="39617" spans="1:6" ht="12.75">
      <c r="A39617" s="8">
        <v>43886.713148148148</v>
      </c>
      <c r="B39617" s="8" t="str">
        <f>HYPERLINK("https://twitter.com/bz__arakure","@bz__arakure")</f>
        <v>@bz__arakure</v>
      </c>
      <c r="C39617" s="8" t="s">
        <v>8484</v>
      </c>
      <c r="D39617" s="8">
        <v>839</v>
      </c>
      <c r="E39617" s="8">
        <v>0</v>
      </c>
      <c r="F39617" s="8">
        <v>986</v>
      </c>
    </row>
    <row r="39618" spans="1:6" ht="12.75">
      <c r="A39618" s="8">
        <v>43886.712858796294</v>
      </c>
      <c r="B39618" s="8" t="str">
        <f>HYPERLINK("https://twitter.com/dony_catatan","@dony_catatan")</f>
        <v>@dony_catatan</v>
      </c>
      <c r="C39618" s="8" t="s">
        <v>2941</v>
      </c>
      <c r="D39618" s="8">
        <v>63</v>
      </c>
      <c r="E39618" s="8">
        <v>0</v>
      </c>
      <c r="F39618" s="8">
        <v>411</v>
      </c>
    </row>
    <row r="39619" spans="1:6" ht="12.75">
      <c r="A39619" s="8">
        <v>43886.712650462963</v>
      </c>
      <c r="B39619" s="8" t="str">
        <f>HYPERLINK("https://twitter.com/hsskytd","@hsskytd")</f>
        <v>@hsskytd</v>
      </c>
      <c r="C39619" s="8" t="s">
        <v>11183</v>
      </c>
      <c r="D39619" s="8">
        <v>123</v>
      </c>
      <c r="E39619" s="8">
        <v>0</v>
      </c>
      <c r="F39619" s="8">
        <v>235</v>
      </c>
    </row>
    <row r="39620" spans="1:6" ht="12.75">
      <c r="A39620" s="8">
        <v>43886.71261574074</v>
      </c>
      <c r="B39620" s="8" t="str">
        <f>HYPERLINK("https://twitter.com/xpindhr","@xpindhr")</f>
        <v>@xpindhr</v>
      </c>
      <c r="C39620" s="8" t="s">
        <v>15184</v>
      </c>
      <c r="D39620" s="8">
        <v>0</v>
      </c>
      <c r="E39620" s="8">
        <v>0</v>
      </c>
      <c r="F39620" s="8">
        <v>104</v>
      </c>
    </row>
    <row r="39621" spans="1:6" ht="12.75">
      <c r="A39621" s="8">
        <v>43886.712581018517</v>
      </c>
      <c r="B39621" s="8" t="str">
        <f>HYPERLINK("https://twitter.com/FawwazEric","@FawwazEric")</f>
        <v>@FawwazEric</v>
      </c>
      <c r="C39621" s="8" t="s">
        <v>15185</v>
      </c>
      <c r="D39621" s="8">
        <v>0</v>
      </c>
      <c r="E39621" s="8">
        <v>0</v>
      </c>
      <c r="F39621" s="8">
        <v>8</v>
      </c>
    </row>
    <row r="39622" spans="1:6" ht="12.75">
      <c r="A39622" s="8">
        <v>43886.712476851855</v>
      </c>
      <c r="B39622" s="8" t="str">
        <f>HYPERLINK("https://twitter.com/yourvobo","@yourvobo")</f>
        <v>@yourvobo</v>
      </c>
      <c r="C39622" s="8" t="s">
        <v>2941</v>
      </c>
      <c r="D39622" s="8">
        <v>63</v>
      </c>
      <c r="E39622" s="8">
        <v>0</v>
      </c>
      <c r="F39622" s="8">
        <v>28</v>
      </c>
    </row>
    <row r="39623" spans="1:6" ht="12.75">
      <c r="A39623" s="8">
        <v>43886.712442129632</v>
      </c>
      <c r="B39623" s="8" t="str">
        <f>HYPERLINK("https://twitter.com/rctvey","@rctvey")</f>
        <v>@rctvey</v>
      </c>
      <c r="C39623" s="8" t="s">
        <v>2941</v>
      </c>
      <c r="D39623" s="8">
        <v>63</v>
      </c>
      <c r="E39623" s="8">
        <v>0</v>
      </c>
      <c r="F39623" s="8">
        <v>833</v>
      </c>
    </row>
    <row r="39624" spans="1:6" ht="12.75">
      <c r="A39624" s="8">
        <v>43886.712349537032</v>
      </c>
      <c r="B39624" s="8" t="str">
        <f>HYPERLINK("https://twitter.com/TsTsp71","@TsTsp71")</f>
        <v>@TsTsp71</v>
      </c>
      <c r="C39624" s="8" t="s">
        <v>2941</v>
      </c>
      <c r="D39624" s="8">
        <v>63</v>
      </c>
      <c r="E39624" s="8">
        <v>0</v>
      </c>
      <c r="F39624" s="8">
        <v>557</v>
      </c>
    </row>
    <row r="39625" spans="1:6" ht="12.75">
      <c r="A39625" s="8">
        <v>43886.71229166667</v>
      </c>
      <c r="B39625" s="8" t="str">
        <f>HYPERLINK("https://twitter.com/coneejjr","@coneejjr")</f>
        <v>@coneejjr</v>
      </c>
      <c r="C39625" s="8" t="s">
        <v>8484</v>
      </c>
      <c r="D39625" s="8">
        <v>839</v>
      </c>
      <c r="E39625" s="8">
        <v>0</v>
      </c>
      <c r="F39625" s="8">
        <v>1061</v>
      </c>
    </row>
    <row r="39626" spans="1:6" ht="12.75">
      <c r="A39626" s="8">
        <v>43886.712118055555</v>
      </c>
      <c r="B39626" s="8" t="str">
        <f>HYPERLINK("https://twitter.com/nyongambon420","@nyongambon420")</f>
        <v>@nyongambon420</v>
      </c>
      <c r="C39626" s="8" t="s">
        <v>2941</v>
      </c>
      <c r="D39626" s="8">
        <v>63</v>
      </c>
      <c r="E39626" s="8">
        <v>0</v>
      </c>
      <c r="F39626" s="8">
        <v>115</v>
      </c>
    </row>
    <row r="39627" spans="1:6" ht="12.75">
      <c r="A39627" s="8">
        <v>43886.712106481486</v>
      </c>
      <c r="B39627" s="8" t="str">
        <f>HYPERLINK("https://twitter.com/neo_AnginSorga","@neo_AnginSorga")</f>
        <v>@neo_AnginSorga</v>
      </c>
      <c r="C39627" s="8" t="s">
        <v>2941</v>
      </c>
      <c r="D39627" s="8">
        <v>63</v>
      </c>
      <c r="E39627" s="8">
        <v>0</v>
      </c>
      <c r="F39627" s="8">
        <v>266</v>
      </c>
    </row>
    <row r="39628" spans="1:6" ht="12.75">
      <c r="A39628" s="8">
        <v>43886.711979166663</v>
      </c>
      <c r="B39628" s="8" t="str">
        <f>HYPERLINK("https://twitter.com/brokeninsideo","@brokeninsideo")</f>
        <v>@brokeninsideo</v>
      </c>
      <c r="C39628" s="8" t="s">
        <v>2941</v>
      </c>
      <c r="D39628" s="8">
        <v>63</v>
      </c>
      <c r="E39628" s="8">
        <v>0</v>
      </c>
      <c r="F39628" s="8">
        <v>15</v>
      </c>
    </row>
    <row r="39629" spans="1:6" ht="12.75">
      <c r="A39629" s="8">
        <v>43886.711736111116</v>
      </c>
      <c r="B39629" s="8" t="str">
        <f>HYPERLINK("https://twitter.com/cryingtee","@cryingtee")</f>
        <v>@cryingtee</v>
      </c>
      <c r="C39629" s="8" t="s">
        <v>2941</v>
      </c>
      <c r="D39629" s="8">
        <v>63</v>
      </c>
      <c r="E39629" s="8">
        <v>0</v>
      </c>
      <c r="F39629" s="8">
        <v>2040</v>
      </c>
    </row>
    <row r="39630" spans="1:6" ht="12.75">
      <c r="A39630" s="8">
        <v>43886.711481481485</v>
      </c>
      <c r="B39630" s="8" t="str">
        <f>HYPERLINK("https://twitter.com/kompascom","@kompascom")</f>
        <v>@kompascom</v>
      </c>
      <c r="C39630" s="8" t="s">
        <v>15186</v>
      </c>
      <c r="D39630" s="8">
        <v>0</v>
      </c>
      <c r="E39630" s="8">
        <v>2</v>
      </c>
      <c r="F39630" s="8">
        <v>7512201</v>
      </c>
    </row>
    <row r="39631" spans="1:6" ht="12.75">
      <c r="A39631" s="8">
        <v>43886.711319444439</v>
      </c>
      <c r="B39631" s="8" t="str">
        <f>HYPERLINK("https://twitter.com/Pasirgombong1","@Pasirgombong1")</f>
        <v>@Pasirgombong1</v>
      </c>
      <c r="C39631" s="8" t="s">
        <v>2941</v>
      </c>
      <c r="D39631" s="8">
        <v>63</v>
      </c>
      <c r="E39631" s="8">
        <v>0</v>
      </c>
      <c r="F39631" s="8">
        <v>3</v>
      </c>
    </row>
    <row r="39632" spans="1:6" ht="12.75">
      <c r="A39632" s="8">
        <v>43886.71125</v>
      </c>
      <c r="B39632" s="8" t="str">
        <f>HYPERLINK("https://twitter.com/oglaogre","@oglaogre")</f>
        <v>@oglaogre</v>
      </c>
      <c r="C39632" s="8" t="s">
        <v>2940</v>
      </c>
      <c r="D39632" s="8">
        <v>2475</v>
      </c>
      <c r="E39632" s="8">
        <v>0</v>
      </c>
      <c r="F39632" s="8">
        <v>84</v>
      </c>
    </row>
    <row r="39633" spans="1:6" ht="12.75">
      <c r="A39633" s="8">
        <v>43886.711087962962</v>
      </c>
      <c r="B39633" s="8" t="str">
        <f>HYPERLINK("https://twitter.com/ggnalig","@ggnalig")</f>
        <v>@ggnalig</v>
      </c>
      <c r="C39633" s="8" t="s">
        <v>14430</v>
      </c>
      <c r="D39633" s="8">
        <v>49</v>
      </c>
      <c r="E39633" s="8">
        <v>0</v>
      </c>
      <c r="F39633" s="8">
        <v>312</v>
      </c>
    </row>
    <row r="39634" spans="1:6" ht="12.75">
      <c r="A39634" s="8">
        <v>43886.711053240739</v>
      </c>
      <c r="B39634" s="8" t="str">
        <f>HYPERLINK("https://twitter.com/hajarwahyudi","@hajarwahyudi")</f>
        <v>@hajarwahyudi</v>
      </c>
      <c r="C39634" s="8" t="s">
        <v>2941</v>
      </c>
      <c r="D39634" s="8">
        <v>63</v>
      </c>
      <c r="E39634" s="8">
        <v>0</v>
      </c>
      <c r="F39634" s="8">
        <v>292</v>
      </c>
    </row>
    <row r="39635" spans="1:6" ht="12.75">
      <c r="A39635" s="8">
        <v>43886.710960648154</v>
      </c>
      <c r="B39635" s="8" t="str">
        <f>HYPERLINK("https://twitter.com/usmaidibinaffan","@usmaidibinaffan")</f>
        <v>@usmaidibinaffan</v>
      </c>
      <c r="C39635" s="8" t="s">
        <v>2941</v>
      </c>
      <c r="D39635" s="8">
        <v>63</v>
      </c>
      <c r="E39635" s="8">
        <v>0</v>
      </c>
      <c r="F39635" s="8">
        <v>53</v>
      </c>
    </row>
    <row r="39636" spans="1:6" ht="12.75">
      <c r="A39636" s="8">
        <v>43886.710856481484</v>
      </c>
      <c r="B39636" s="8" t="str">
        <f>HYPERLINK("https://twitter.com/oglaogre","@oglaogre")</f>
        <v>@oglaogre</v>
      </c>
      <c r="C39636" s="8" t="s">
        <v>14430</v>
      </c>
      <c r="D39636" s="8">
        <v>49</v>
      </c>
      <c r="E39636" s="8">
        <v>0</v>
      </c>
      <c r="F39636" s="8">
        <v>84</v>
      </c>
    </row>
    <row r="39637" spans="1:6" ht="12.75">
      <c r="A39637" s="8">
        <v>43886.710798611108</v>
      </c>
      <c r="B39637" s="8" t="str">
        <f>HYPERLINK("https://twitter.com/54V10UR_9","@54V10UR_9")</f>
        <v>@54V10UR_9</v>
      </c>
      <c r="C39637" s="8" t="s">
        <v>15187</v>
      </c>
      <c r="D39637" s="8">
        <v>0</v>
      </c>
      <c r="E39637" s="8">
        <v>0</v>
      </c>
      <c r="F39637" s="8">
        <v>8168</v>
      </c>
    </row>
    <row r="39638" spans="1:6" ht="12.75">
      <c r="A39638" s="8">
        <v>43886.710532407407</v>
      </c>
      <c r="B39638" s="8" t="str">
        <f>HYPERLINK("https://twitter.com/bekokjin","@bekokjin")</f>
        <v>@bekokjin</v>
      </c>
      <c r="C39638" s="8" t="s">
        <v>2941</v>
      </c>
      <c r="D39638" s="8">
        <v>63</v>
      </c>
      <c r="E39638" s="8">
        <v>0</v>
      </c>
      <c r="F39638" s="8">
        <v>941</v>
      </c>
    </row>
    <row r="39639" spans="1:6" ht="12.75">
      <c r="A39639" s="8">
        <v>43886.710520833338</v>
      </c>
      <c r="B39639" s="8" t="str">
        <f>HYPERLINK("https://twitter.com/erikaayuf_","@erikaayuf_")</f>
        <v>@erikaayuf_</v>
      </c>
      <c r="C39639" s="8" t="s">
        <v>2941</v>
      </c>
      <c r="D39639" s="8">
        <v>63</v>
      </c>
      <c r="E39639" s="8">
        <v>0</v>
      </c>
      <c r="F39639" s="8">
        <v>51</v>
      </c>
    </row>
    <row r="39640" spans="1:6" ht="12.75">
      <c r="A39640" s="8">
        <v>43886.710405092592</v>
      </c>
      <c r="B39640" s="8" t="str">
        <f>HYPERLINK("https://twitter.com/muuteng","@muuteng")</f>
        <v>@muuteng</v>
      </c>
      <c r="C39640" s="8" t="s">
        <v>2941</v>
      </c>
      <c r="D39640" s="8">
        <v>63</v>
      </c>
      <c r="E39640" s="8">
        <v>0</v>
      </c>
      <c r="F39640" s="8">
        <v>27</v>
      </c>
    </row>
    <row r="39641" spans="1:6" ht="12.75">
      <c r="A39641" s="8">
        <v>43886.710393518515</v>
      </c>
      <c r="B39641" s="8" t="str">
        <f>HYPERLINK("https://twitter.com/pardi_kodrat","@pardi_kodrat")</f>
        <v>@pardi_kodrat</v>
      </c>
      <c r="C39641" s="8" t="s">
        <v>15188</v>
      </c>
      <c r="D39641" s="8">
        <v>0</v>
      </c>
      <c r="E39641" s="8">
        <v>0</v>
      </c>
      <c r="F39641" s="8">
        <v>430</v>
      </c>
    </row>
    <row r="39642" spans="1:6" ht="12.75">
      <c r="A39642" s="8">
        <v>43886.710393518515</v>
      </c>
      <c r="B39642" s="8" t="str">
        <f>HYPERLINK("https://twitter.com/ekaandaa","@ekaandaa")</f>
        <v>@ekaandaa</v>
      </c>
      <c r="C39642" s="8" t="s">
        <v>2941</v>
      </c>
      <c r="D39642" s="8">
        <v>63</v>
      </c>
      <c r="E39642" s="8">
        <v>0</v>
      </c>
      <c r="F39642" s="8">
        <v>606</v>
      </c>
    </row>
    <row r="39643" spans="1:6" ht="12.75">
      <c r="A39643" s="8">
        <v>43886.710289351853</v>
      </c>
      <c r="B39643" s="8" t="str">
        <f>HYPERLINK("https://twitter.com/keeefffeeeddd__","@keeefffeeeddd__")</f>
        <v>@keeefffeeeddd__</v>
      </c>
      <c r="C39643" s="8" t="s">
        <v>2940</v>
      </c>
      <c r="D39643" s="8">
        <v>2475</v>
      </c>
      <c r="E39643" s="8">
        <v>0</v>
      </c>
      <c r="F39643" s="8">
        <v>93</v>
      </c>
    </row>
    <row r="39644" spans="1:6" ht="12.75">
      <c r="A39644" s="8">
        <v>43886.71025462963</v>
      </c>
      <c r="B39644" s="8" t="str">
        <f>HYPERLINK("https://twitter.com/un13q","@un13q")</f>
        <v>@un13q</v>
      </c>
      <c r="C39644" s="8" t="s">
        <v>2941</v>
      </c>
      <c r="D39644" s="8">
        <v>63</v>
      </c>
      <c r="E39644" s="8">
        <v>0</v>
      </c>
      <c r="F39644" s="8">
        <v>120</v>
      </c>
    </row>
    <row r="39645" spans="1:6" ht="12.75">
      <c r="A39645" s="8">
        <v>43886.710243055553</v>
      </c>
      <c r="B39645" s="8" t="str">
        <f>HYPERLINK("https://twitter.com/Ujang_SILET","@Ujang_SILET")</f>
        <v>@Ujang_SILET</v>
      </c>
      <c r="C39645" s="8" t="s">
        <v>2941</v>
      </c>
      <c r="D39645" s="8">
        <v>63</v>
      </c>
      <c r="E39645" s="8">
        <v>0</v>
      </c>
      <c r="F39645" s="8">
        <v>529</v>
      </c>
    </row>
    <row r="39646" spans="1:6" ht="12.75">
      <c r="A39646" s="8">
        <v>43886.710057870368</v>
      </c>
      <c r="B39646" s="8" t="str">
        <f>HYPERLINK("https://twitter.com/rafipalugada","@rafipalugada")</f>
        <v>@rafipalugada</v>
      </c>
      <c r="C39646" s="8" t="s">
        <v>2941</v>
      </c>
      <c r="D39646" s="8">
        <v>63</v>
      </c>
      <c r="E39646" s="8">
        <v>0</v>
      </c>
      <c r="F39646" s="8">
        <v>74</v>
      </c>
    </row>
    <row r="39647" spans="1:6" ht="12.75">
      <c r="A39647" s="8">
        <v>43886.709745370375</v>
      </c>
      <c r="B39647" s="8" t="str">
        <f>HYPERLINK("https://twitter.com/antaranews","@antaranews")</f>
        <v>@antaranews</v>
      </c>
      <c r="C39647" s="8" t="s">
        <v>15189</v>
      </c>
      <c r="D39647" s="8">
        <v>0</v>
      </c>
      <c r="E39647" s="8">
        <v>1</v>
      </c>
      <c r="F39647" s="8">
        <v>1105099</v>
      </c>
    </row>
    <row r="39648" spans="1:6" ht="12.75">
      <c r="A39648" s="8">
        <v>43886.709745370375</v>
      </c>
      <c r="B39648" s="8" t="str">
        <f>HYPERLINK("https://twitter.com/ayukurusun","@ayukurusun")</f>
        <v>@ayukurusun</v>
      </c>
      <c r="C39648" s="8" t="s">
        <v>2941</v>
      </c>
      <c r="D39648" s="8">
        <v>63</v>
      </c>
      <c r="E39648" s="8">
        <v>0</v>
      </c>
      <c r="F39648" s="8">
        <v>44</v>
      </c>
    </row>
    <row r="39649" spans="1:6" ht="12.75">
      <c r="A39649" s="8">
        <v>43886.709710648152</v>
      </c>
      <c r="B39649" s="8" t="str">
        <f>HYPERLINK("https://twitter.com/yoniardihusada","@yoniardihusada")</f>
        <v>@yoniardihusada</v>
      </c>
      <c r="C39649" s="8" t="s">
        <v>2941</v>
      </c>
      <c r="D39649" s="8">
        <v>63</v>
      </c>
      <c r="E39649" s="8">
        <v>0</v>
      </c>
      <c r="F39649" s="8">
        <v>1618</v>
      </c>
    </row>
    <row r="39650" spans="1:6" ht="12.75">
      <c r="A39650" s="8">
        <v>43886.709687499999</v>
      </c>
      <c r="B39650" s="8" t="str">
        <f>HYPERLINK("https://twitter.com/Fu74974303","@Fu74974303")</f>
        <v>@Fu74974303</v>
      </c>
      <c r="C39650" s="8" t="s">
        <v>11964</v>
      </c>
      <c r="D39650" s="8">
        <v>406</v>
      </c>
      <c r="E39650" s="8">
        <v>0</v>
      </c>
      <c r="F39650" s="8">
        <v>210</v>
      </c>
    </row>
    <row r="39651" spans="1:6" ht="12.75">
      <c r="A39651" s="8">
        <v>43886.709618055553</v>
      </c>
      <c r="B39651" s="8" t="str">
        <f>HYPERLINK("https://twitter.com/HalahQintil","@HalahQintil")</f>
        <v>@HalahQintil</v>
      </c>
      <c r="C39651" s="8" t="s">
        <v>2941</v>
      </c>
      <c r="D39651" s="8">
        <v>63</v>
      </c>
      <c r="E39651" s="8">
        <v>0</v>
      </c>
      <c r="F39651" s="8">
        <v>1365</v>
      </c>
    </row>
    <row r="39652" spans="1:6" ht="12.75">
      <c r="A39652" s="8">
        <v>43886.709548611107</v>
      </c>
      <c r="B39652" s="8" t="str">
        <f>HYPERLINK("https://twitter.com/RinduAdil2","@RinduAdil2")</f>
        <v>@RinduAdil2</v>
      </c>
      <c r="C39652" s="8" t="s">
        <v>2941</v>
      </c>
      <c r="D39652" s="8">
        <v>63</v>
      </c>
      <c r="E39652" s="8">
        <v>0</v>
      </c>
      <c r="F39652" s="8">
        <v>2</v>
      </c>
    </row>
    <row r="39653" spans="1:6" ht="12.75">
      <c r="A39653" s="8">
        <v>43886.709363425922</v>
      </c>
      <c r="B39653" s="8" t="str">
        <f>HYPERLINK("https://twitter.com/IwanSukarno7","@IwanSukarno7")</f>
        <v>@IwanSukarno7</v>
      </c>
      <c r="C39653" s="8" t="s">
        <v>11183</v>
      </c>
      <c r="D39653" s="8">
        <v>123</v>
      </c>
      <c r="E39653" s="8">
        <v>0</v>
      </c>
      <c r="F39653" s="8">
        <v>471</v>
      </c>
    </row>
    <row r="39654" spans="1:6" ht="12.75">
      <c r="A39654" s="8">
        <v>43886.709247685183</v>
      </c>
      <c r="B39654" s="8" t="str">
        <f>HYPERLINK("https://twitter.com/bureoaura","@bureoaura")</f>
        <v>@bureoaura</v>
      </c>
      <c r="C39654" s="8" t="s">
        <v>14831</v>
      </c>
      <c r="D39654" s="8">
        <v>34</v>
      </c>
      <c r="E39654" s="8">
        <v>0</v>
      </c>
      <c r="F39654" s="8">
        <v>1078</v>
      </c>
    </row>
    <row r="39655" spans="1:6" ht="12.75">
      <c r="A39655" s="8">
        <v>43886.708784722221</v>
      </c>
      <c r="B39655" s="8" t="str">
        <f>HYPERLINK("https://twitter.com/AliyahIsmi","@AliyahIsmi")</f>
        <v>@AliyahIsmi</v>
      </c>
      <c r="C39655" s="8" t="s">
        <v>2941</v>
      </c>
      <c r="D39655" s="8">
        <v>63</v>
      </c>
      <c r="E39655" s="8">
        <v>0</v>
      </c>
      <c r="F39655" s="8">
        <v>148</v>
      </c>
    </row>
    <row r="39656" spans="1:6" ht="12.75">
      <c r="A39656" s="8">
        <v>43886.708495370374</v>
      </c>
      <c r="B39656" s="8" t="str">
        <f>HYPERLINK("https://twitter.com/soendoet1980","@soendoet1980")</f>
        <v>@soendoet1980</v>
      </c>
      <c r="C39656" s="8" t="s">
        <v>11964</v>
      </c>
      <c r="D39656" s="8">
        <v>406</v>
      </c>
      <c r="E39656" s="8">
        <v>0</v>
      </c>
      <c r="F39656" s="8">
        <v>326</v>
      </c>
    </row>
    <row r="39657" spans="1:6" ht="12.75">
      <c r="A39657" s="8">
        <v>43886.708460648151</v>
      </c>
      <c r="B39657" s="8" t="str">
        <f>HYPERLINK("https://twitter.com/715asuna66","@715asuna66")</f>
        <v>@715asuna66</v>
      </c>
      <c r="C39657" s="8" t="s">
        <v>8484</v>
      </c>
      <c r="D39657" s="8">
        <v>839</v>
      </c>
      <c r="E39657" s="8">
        <v>0</v>
      </c>
      <c r="F39657" s="8">
        <v>65</v>
      </c>
    </row>
    <row r="39658" spans="1:6" ht="12.75">
      <c r="A39658" s="8">
        <v>43886.708460648151</v>
      </c>
      <c r="B39658" s="8" t="str">
        <f>HYPERLINK("https://twitter.com/_dewimaulida","@_dewimaulida")</f>
        <v>@_dewimaulida</v>
      </c>
      <c r="C39658" s="8" t="s">
        <v>2941</v>
      </c>
      <c r="D39658" s="8">
        <v>63</v>
      </c>
      <c r="E39658" s="8">
        <v>0</v>
      </c>
      <c r="F39658" s="8">
        <v>62</v>
      </c>
    </row>
    <row r="39659" spans="1:6" ht="12.75">
      <c r="A39659" s="8">
        <v>43886.708402777775</v>
      </c>
      <c r="B39659" s="8" t="str">
        <f>HYPERLINK("https://twitter.com/SandrawuriA","@SandrawuriA")</f>
        <v>@SandrawuriA</v>
      </c>
      <c r="C39659" s="8" t="s">
        <v>2941</v>
      </c>
      <c r="D39659" s="8">
        <v>63</v>
      </c>
      <c r="E39659" s="8">
        <v>0</v>
      </c>
      <c r="F39659" s="8">
        <v>929</v>
      </c>
    </row>
    <row r="39660" spans="1:6" ht="12.75">
      <c r="A39660" s="8">
        <v>43886.708171296297</v>
      </c>
      <c r="B39660" s="8" t="str">
        <f>HYPERLINK("https://twitter.com/ratnajk_","@ratnajk_")</f>
        <v>@ratnajk_</v>
      </c>
      <c r="C39660" s="8" t="s">
        <v>15190</v>
      </c>
      <c r="D39660" s="8">
        <v>0</v>
      </c>
      <c r="E39660" s="8">
        <v>1</v>
      </c>
      <c r="F39660" s="8">
        <v>123</v>
      </c>
    </row>
    <row r="39661" spans="1:6" ht="12.75">
      <c r="A39661" s="8">
        <v>43886.707986111112</v>
      </c>
      <c r="B39661" s="8" t="str">
        <f>HYPERLINK("https://twitter.com/cyjm96","@cyjm96")</f>
        <v>@cyjm96</v>
      </c>
      <c r="C39661" s="8" t="s">
        <v>14831</v>
      </c>
      <c r="D39661" s="8">
        <v>34</v>
      </c>
      <c r="E39661" s="8">
        <v>0</v>
      </c>
      <c r="F39661" s="8">
        <v>339</v>
      </c>
    </row>
    <row r="39662" spans="1:6" ht="12.75">
      <c r="A39662" s="8">
        <v>43886.707962962959</v>
      </c>
      <c r="B39662" s="8" t="str">
        <f>HYPERLINK("https://twitter.com/RRIPro2Ternate","@RRIPro2Ternate")</f>
        <v>@RRIPro2Ternate</v>
      </c>
      <c r="C39662" s="8" t="s">
        <v>15191</v>
      </c>
      <c r="D39662" s="8">
        <v>0</v>
      </c>
      <c r="E39662" s="8">
        <v>0</v>
      </c>
      <c r="F39662" s="8">
        <v>5187</v>
      </c>
    </row>
    <row r="39663" spans="1:6" ht="12.75">
      <c r="A39663" s="8">
        <v>43886.707800925928</v>
      </c>
      <c r="B39663" s="8" t="str">
        <f>HYPERLINK("https://twitter.com/keitabubu","@keitabubu")</f>
        <v>@keitabubu</v>
      </c>
      <c r="C39663" s="8" t="s">
        <v>2941</v>
      </c>
      <c r="D39663" s="8">
        <v>63</v>
      </c>
      <c r="E39663" s="8">
        <v>0</v>
      </c>
      <c r="F39663" s="8">
        <v>350</v>
      </c>
    </row>
    <row r="39664" spans="1:6" ht="12.75">
      <c r="A39664" s="8">
        <v>43886.707673611112</v>
      </c>
      <c r="B39664" s="8" t="str">
        <f>HYPERLINK("https://twitter.com/Diti44668265","@Diti44668265")</f>
        <v>@Diti44668265</v>
      </c>
      <c r="C39664" s="8" t="s">
        <v>11183</v>
      </c>
      <c r="D39664" s="8">
        <v>123</v>
      </c>
      <c r="E39664" s="8">
        <v>0</v>
      </c>
      <c r="F39664" s="8">
        <v>1366</v>
      </c>
    </row>
    <row r="39665" spans="1:6" ht="12.75">
      <c r="A39665" s="8">
        <v>43886.707465277781</v>
      </c>
      <c r="B39665" s="8" t="str">
        <f>HYPERLINK("https://twitter.com/AcengMuska","@AcengMuska")</f>
        <v>@AcengMuska</v>
      </c>
      <c r="C39665" s="8" t="s">
        <v>2941</v>
      </c>
      <c r="D39665" s="8">
        <v>63</v>
      </c>
      <c r="E39665" s="8">
        <v>0</v>
      </c>
      <c r="F39665" s="8">
        <v>637</v>
      </c>
    </row>
    <row r="39666" spans="1:6" ht="12.75">
      <c r="A39666" s="8">
        <v>43886.707407407404</v>
      </c>
      <c r="B39666" s="8" t="str">
        <f>HYPERLINK("https://twitter.com/gemaydeh","@gemaydeh")</f>
        <v>@gemaydeh</v>
      </c>
      <c r="C39666" s="8" t="s">
        <v>14831</v>
      </c>
      <c r="D39666" s="8">
        <v>34</v>
      </c>
      <c r="E39666" s="8">
        <v>0</v>
      </c>
      <c r="F39666" s="8">
        <v>638</v>
      </c>
    </row>
    <row r="39667" spans="1:6" ht="12.75">
      <c r="A39667" s="8">
        <v>43886.707060185188</v>
      </c>
      <c r="B39667" s="8" t="str">
        <f>HYPERLINK("https://twitter.com/7tTHATyKUDrZkrH","@7tTHATyKUDrZkrH")</f>
        <v>@7tTHATyKUDrZkrH</v>
      </c>
      <c r="C39667" s="8" t="s">
        <v>2940</v>
      </c>
      <c r="D39667" s="8">
        <v>2475</v>
      </c>
      <c r="E39667" s="8">
        <v>0</v>
      </c>
      <c r="F39667" s="8">
        <v>6</v>
      </c>
    </row>
    <row r="39668" spans="1:6" ht="12.75">
      <c r="A39668" s="8">
        <v>43886.707048611112</v>
      </c>
      <c r="B39668" s="8" t="str">
        <f>HYPERLINK("https://twitter.com/mbah_lemper","@mbah_lemper")</f>
        <v>@mbah_lemper</v>
      </c>
      <c r="C39668" s="8" t="s">
        <v>15192</v>
      </c>
      <c r="D39668" s="8">
        <v>0</v>
      </c>
      <c r="E39668" s="8">
        <v>0</v>
      </c>
      <c r="F39668" s="8">
        <v>5033</v>
      </c>
    </row>
    <row r="39669" spans="1:6" ht="12.75">
      <c r="A39669" s="8">
        <v>43886.70684027778</v>
      </c>
      <c r="B39669" s="8" t="str">
        <f>HYPERLINK("https://twitter.com/tjenteng1","@tjenteng1")</f>
        <v>@tjenteng1</v>
      </c>
      <c r="C39669" s="8" t="s">
        <v>11964</v>
      </c>
      <c r="D39669" s="8">
        <v>406</v>
      </c>
      <c r="E39669" s="8">
        <v>0</v>
      </c>
      <c r="F39669" s="8">
        <v>20</v>
      </c>
    </row>
    <row r="39670" spans="1:6" ht="12.75">
      <c r="A39670" s="8">
        <v>43886.706828703704</v>
      </c>
      <c r="B39670" s="8" t="str">
        <f>HYPERLINK("https://twitter.com/a_doni95","@a_doni95")</f>
        <v>@a_doni95</v>
      </c>
      <c r="C39670" s="8" t="s">
        <v>15193</v>
      </c>
      <c r="D39670" s="8">
        <v>0</v>
      </c>
      <c r="E39670" s="8">
        <v>0</v>
      </c>
      <c r="F39670" s="8">
        <v>43</v>
      </c>
    </row>
    <row r="39671" spans="1:6" ht="12.75">
      <c r="A39671" s="8">
        <v>43886.706817129627</v>
      </c>
      <c r="B39671" s="8" t="str">
        <f>HYPERLINK("https://twitter.com/Hello_Danis","@Hello_Danis")</f>
        <v>@Hello_Danis</v>
      </c>
      <c r="C39671" s="8" t="s">
        <v>2941</v>
      </c>
      <c r="D39671" s="8">
        <v>63</v>
      </c>
      <c r="E39671" s="8">
        <v>0</v>
      </c>
      <c r="F39671" s="8">
        <v>80</v>
      </c>
    </row>
    <row r="39672" spans="1:6" ht="12.75">
      <c r="A39672" s="8">
        <v>43886.706805555557</v>
      </c>
      <c r="B39672" s="8" t="str">
        <f>HYPERLINK("https://twitter.com/othonks","@othonks")</f>
        <v>@othonks</v>
      </c>
      <c r="C39672" s="8" t="s">
        <v>2941</v>
      </c>
      <c r="D39672" s="8">
        <v>63</v>
      </c>
      <c r="E39672" s="8">
        <v>0</v>
      </c>
      <c r="F39672" s="8">
        <v>1059</v>
      </c>
    </row>
    <row r="39673" spans="1:6" ht="12.75">
      <c r="A39673" s="8">
        <v>43886.706643518519</v>
      </c>
      <c r="B39673" s="8" t="str">
        <f>HYPERLINK("https://twitter.com/WiratamaJody","@WiratamaJody")</f>
        <v>@WiratamaJody</v>
      </c>
      <c r="C39673" s="8" t="s">
        <v>2941</v>
      </c>
      <c r="D39673" s="8">
        <v>63</v>
      </c>
      <c r="E39673" s="8">
        <v>0</v>
      </c>
      <c r="F39673" s="8">
        <v>700</v>
      </c>
    </row>
    <row r="39674" spans="1:6" ht="12.75">
      <c r="A39674" s="8">
        <v>43886.706620370373</v>
      </c>
      <c r="B39674" s="8" t="str">
        <f>HYPERLINK("https://twitter.com/jonetjons","@jonetjons")</f>
        <v>@jonetjons</v>
      </c>
      <c r="C39674" s="8" t="s">
        <v>2941</v>
      </c>
      <c r="D39674" s="8">
        <v>63</v>
      </c>
      <c r="E39674" s="8">
        <v>0</v>
      </c>
      <c r="F39674" s="8">
        <v>302</v>
      </c>
    </row>
    <row r="39675" spans="1:6" ht="12.75">
      <c r="A39675" s="8">
        <v>43886.706539351857</v>
      </c>
      <c r="B39675" s="8" t="str">
        <f>HYPERLINK("https://twitter.com/g3mb3s","@g3mb3s")</f>
        <v>@g3mb3s</v>
      </c>
      <c r="C39675" s="8" t="s">
        <v>2941</v>
      </c>
      <c r="D39675" s="8">
        <v>63</v>
      </c>
      <c r="E39675" s="8">
        <v>0</v>
      </c>
      <c r="F39675" s="8">
        <v>480</v>
      </c>
    </row>
    <row r="39676" spans="1:6" ht="12.75">
      <c r="A39676" s="8">
        <v>43886.70648148148</v>
      </c>
      <c r="B39676" s="8" t="str">
        <f>HYPERLINK("https://twitter.com/foddie_dreamer","@foddie_dreamer")</f>
        <v>@foddie_dreamer</v>
      </c>
      <c r="C39676" s="8" t="s">
        <v>2941</v>
      </c>
      <c r="D39676" s="8">
        <v>63</v>
      </c>
      <c r="E39676" s="8">
        <v>0</v>
      </c>
      <c r="F39676" s="8">
        <v>245</v>
      </c>
    </row>
    <row r="39677" spans="1:6" ht="12.75">
      <c r="A39677" s="8">
        <v>43886.706354166672</v>
      </c>
      <c r="B39677" s="8" t="str">
        <f>HYPERLINK("https://twitter.com/Rafiest","@Rafiest")</f>
        <v>@Rafiest</v>
      </c>
      <c r="C39677" s="8" t="s">
        <v>2941</v>
      </c>
      <c r="D39677" s="8">
        <v>63</v>
      </c>
      <c r="E39677" s="8">
        <v>0</v>
      </c>
      <c r="F39677" s="8">
        <v>1525</v>
      </c>
    </row>
    <row r="39678" spans="1:6" ht="12.75">
      <c r="A39678" s="8">
        <v>43886.706319444449</v>
      </c>
      <c r="B39678" s="8" t="str">
        <f>HYPERLINK("https://twitter.com/gitasls","@gitasls")</f>
        <v>@gitasls</v>
      </c>
      <c r="C39678" s="8" t="s">
        <v>2941</v>
      </c>
      <c r="D39678" s="8">
        <v>63</v>
      </c>
      <c r="E39678" s="8">
        <v>0</v>
      </c>
      <c r="F39678" s="8">
        <v>629</v>
      </c>
    </row>
    <row r="39679" spans="1:6" ht="12.75">
      <c r="A39679" s="8">
        <v>43886.706238425926</v>
      </c>
      <c r="B39679" s="8" t="str">
        <f>HYPERLINK("https://twitter.com/flopterus","@flopterus")</f>
        <v>@flopterus</v>
      </c>
      <c r="C39679" s="8" t="s">
        <v>14859</v>
      </c>
      <c r="D39679" s="8">
        <v>47</v>
      </c>
      <c r="E39679" s="8">
        <v>0</v>
      </c>
      <c r="F39679" s="8">
        <v>2145</v>
      </c>
    </row>
    <row r="39680" spans="1:6" ht="12.75">
      <c r="A39680" s="8">
        <v>43886.706076388888</v>
      </c>
      <c r="B39680" s="8" t="str">
        <f>HYPERLINK("https://twitter.com/Om_Datuk","@Om_Datuk")</f>
        <v>@Om_Datuk</v>
      </c>
      <c r="C39680" s="8" t="s">
        <v>11964</v>
      </c>
      <c r="D39680" s="8">
        <v>406</v>
      </c>
      <c r="E39680" s="8">
        <v>0</v>
      </c>
      <c r="F39680" s="8">
        <v>620</v>
      </c>
    </row>
    <row r="39681" spans="1:6" ht="12.75">
      <c r="A39681" s="8">
        <v>43886.706053240741</v>
      </c>
      <c r="B39681" s="8" t="str">
        <f>HYPERLINK("https://twitter.com/my_is_may","@my_is_may")</f>
        <v>@my_is_may</v>
      </c>
      <c r="C39681" s="8" t="s">
        <v>2941</v>
      </c>
      <c r="D39681" s="8">
        <v>63</v>
      </c>
      <c r="E39681" s="8">
        <v>0</v>
      </c>
      <c r="F39681" s="8">
        <v>589</v>
      </c>
    </row>
    <row r="39682" spans="1:6" ht="12.75">
      <c r="A39682" s="8">
        <v>43886.705995370372</v>
      </c>
      <c r="B39682" s="8" t="str">
        <f>HYPERLINK("https://twitter.com/watanclub","@watanclub")</f>
        <v>@watanclub</v>
      </c>
      <c r="C39682" s="8" t="s">
        <v>15194</v>
      </c>
      <c r="D39682" s="8">
        <v>0</v>
      </c>
      <c r="E39682" s="8">
        <v>0</v>
      </c>
      <c r="F39682" s="8">
        <v>449</v>
      </c>
    </row>
    <row r="39683" spans="1:6" ht="12.75">
      <c r="A39683" s="8">
        <v>43886.705995370372</v>
      </c>
      <c r="B39683" s="8" t="str">
        <f>HYPERLINK("https://twitter.com/lailaelf","@lailaelf")</f>
        <v>@lailaelf</v>
      </c>
      <c r="C39683" s="8" t="s">
        <v>2941</v>
      </c>
      <c r="D39683" s="8">
        <v>63</v>
      </c>
      <c r="E39683" s="8">
        <v>0</v>
      </c>
      <c r="F39683" s="8">
        <v>129</v>
      </c>
    </row>
    <row r="39684" spans="1:6" ht="12.75">
      <c r="A39684" s="8">
        <v>43886.70548611111</v>
      </c>
      <c r="B39684" s="8" t="str">
        <f>HYPERLINK("https://twitter.com/hanonymouss","@hanonymouss")</f>
        <v>@hanonymouss</v>
      </c>
      <c r="C39684" s="8" t="s">
        <v>14831</v>
      </c>
      <c r="D39684" s="8">
        <v>34</v>
      </c>
      <c r="E39684" s="8">
        <v>0</v>
      </c>
      <c r="F39684" s="8">
        <v>106</v>
      </c>
    </row>
    <row r="39685" spans="1:6" ht="12.75">
      <c r="A39685" s="8">
        <v>43886.705462962964</v>
      </c>
      <c r="B39685" s="8" t="str">
        <f>HYPERLINK("https://twitter.com/Saifulmedia","@Saifulmedia")</f>
        <v>@Saifulmedia</v>
      </c>
      <c r="C39685" s="8" t="s">
        <v>15195</v>
      </c>
      <c r="D39685" s="8">
        <v>0</v>
      </c>
      <c r="E39685" s="8">
        <v>0</v>
      </c>
      <c r="F39685" s="8">
        <v>250</v>
      </c>
    </row>
    <row r="39686" spans="1:6" ht="12.75">
      <c r="A39686" s="8">
        <v>43886.705312499995</v>
      </c>
      <c r="B39686" s="8" t="str">
        <f>HYPERLINK("https://twitter.com/JhonniSinaga20","@JhonniSinaga20")</f>
        <v>@JhonniSinaga20</v>
      </c>
      <c r="C39686" s="8" t="s">
        <v>11183</v>
      </c>
      <c r="D39686" s="8">
        <v>123</v>
      </c>
      <c r="E39686" s="8">
        <v>0</v>
      </c>
      <c r="F39686" s="8">
        <v>544</v>
      </c>
    </row>
    <row r="39687" spans="1:6" ht="12.75">
      <c r="A39687" s="8">
        <v>43886.705300925925</v>
      </c>
      <c r="B39687" s="8" t="str">
        <f>HYPERLINK("https://twitter.com/Deswoko","@Deswoko")</f>
        <v>@Deswoko</v>
      </c>
      <c r="C39687" s="8" t="s">
        <v>11183</v>
      </c>
      <c r="D39687" s="8">
        <v>123</v>
      </c>
      <c r="E39687" s="8">
        <v>0</v>
      </c>
      <c r="F39687" s="8">
        <v>115</v>
      </c>
    </row>
    <row r="39688" spans="1:6" ht="12.75">
      <c r="A39688" s="8">
        <v>43886.705196759256</v>
      </c>
      <c r="B39688" s="8" t="str">
        <f>HYPERLINK("https://twitter.com/BBCIndonesia","@BBCIndonesia")</f>
        <v>@BBCIndonesia</v>
      </c>
      <c r="C39688" s="8" t="s">
        <v>15196</v>
      </c>
      <c r="D39688" s="8">
        <v>63</v>
      </c>
      <c r="E39688" s="8">
        <v>107</v>
      </c>
      <c r="F39688" s="8">
        <v>1196006</v>
      </c>
    </row>
    <row r="39689" spans="1:6" ht="12.75">
      <c r="A39689" s="8">
        <v>43886.705034722225</v>
      </c>
      <c r="B39689" s="8" t="str">
        <f>HYPERLINK("https://twitter.com/beatrice_health","@beatrice_health")</f>
        <v>@beatrice_health</v>
      </c>
      <c r="C39689" s="8" t="s">
        <v>15197</v>
      </c>
      <c r="D39689" s="8">
        <v>1</v>
      </c>
      <c r="E39689" s="8">
        <v>0</v>
      </c>
      <c r="F39689" s="8">
        <v>360</v>
      </c>
    </row>
    <row r="39690" spans="1:6" ht="12.75">
      <c r="A39690" s="8">
        <v>43886.704988425925</v>
      </c>
      <c r="B39690" s="8" t="str">
        <f>HYPERLINK("https://twitter.com/watanclub","@watanclub")</f>
        <v>@watanclub</v>
      </c>
      <c r="C39690" s="8" t="s">
        <v>13104</v>
      </c>
      <c r="D39690" s="8">
        <v>1</v>
      </c>
      <c r="E39690" s="8">
        <v>0</v>
      </c>
      <c r="F39690" s="8">
        <v>449</v>
      </c>
    </row>
    <row r="39691" spans="1:6" ht="12.75">
      <c r="A39691" s="8">
        <v>43886.70385416667</v>
      </c>
      <c r="B39691" s="8" t="str">
        <f>HYPERLINK("https://twitter.com/fumi_pooh2275","@fumi_pooh2275")</f>
        <v>@fumi_pooh2275</v>
      </c>
      <c r="C39691" s="8" t="s">
        <v>8484</v>
      </c>
      <c r="D39691" s="8">
        <v>839</v>
      </c>
      <c r="E39691" s="8">
        <v>0</v>
      </c>
      <c r="F39691" s="8">
        <v>7</v>
      </c>
    </row>
    <row r="39692" spans="1:6" ht="12.75">
      <c r="A39692" s="8">
        <v>43886.703587962962</v>
      </c>
      <c r="B39692" s="8" t="str">
        <f>HYPERLINK("https://twitter.com/xpindhr","@xpindhr")</f>
        <v>@xpindhr</v>
      </c>
      <c r="C39692" s="8" t="s">
        <v>15198</v>
      </c>
      <c r="D39692" s="8">
        <v>0</v>
      </c>
      <c r="E39692" s="8">
        <v>0</v>
      </c>
      <c r="F39692" s="8">
        <v>104</v>
      </c>
    </row>
    <row r="39693" spans="1:6" ht="12.75">
      <c r="A39693" s="8">
        <v>43886.7034837963</v>
      </c>
      <c r="B39693" s="8" t="str">
        <f>HYPERLINK("https://twitter.com/irul127","@irul127")</f>
        <v>@irul127</v>
      </c>
      <c r="C39693" s="8" t="s">
        <v>15199</v>
      </c>
      <c r="D39693" s="8">
        <v>2</v>
      </c>
      <c r="E39693" s="8">
        <v>0</v>
      </c>
      <c r="F39693" s="8">
        <v>275</v>
      </c>
    </row>
    <row r="39694" spans="1:6" ht="12.75">
      <c r="A39694" s="8">
        <v>43886.703414351854</v>
      </c>
      <c r="B39694" s="8" t="str">
        <f>HYPERLINK("https://twitter.com/olus59338447","@olus59338447")</f>
        <v>@olus59338447</v>
      </c>
      <c r="C39694" s="8" t="s">
        <v>11183</v>
      </c>
      <c r="D39694" s="8">
        <v>123</v>
      </c>
      <c r="E39694" s="8">
        <v>0</v>
      </c>
      <c r="F39694" s="8">
        <v>124</v>
      </c>
    </row>
    <row r="39695" spans="1:6" ht="12.75">
      <c r="A39695" s="8">
        <v>43886.703368055554</v>
      </c>
      <c r="B39695" s="8" t="str">
        <f>HYPERLINK("https://twitter.com/wni_jmsri","@wni_jmsri")</f>
        <v>@wni_jmsri</v>
      </c>
      <c r="C39695" s="8" t="s">
        <v>15200</v>
      </c>
      <c r="D39695" s="8">
        <v>6563</v>
      </c>
      <c r="E39695" s="8">
        <v>0</v>
      </c>
      <c r="F39695" s="8">
        <v>196</v>
      </c>
    </row>
    <row r="39696" spans="1:6" ht="12.75">
      <c r="A39696" s="8">
        <v>43886.702372685184</v>
      </c>
      <c r="B39696" s="8" t="str">
        <f>HYPERLINK("https://twitter.com/yor_betrays","@yor_betrays")</f>
        <v>@yor_betrays</v>
      </c>
      <c r="C39696" s="8" t="s">
        <v>14430</v>
      </c>
      <c r="D39696" s="8">
        <v>49</v>
      </c>
      <c r="E39696" s="8">
        <v>0</v>
      </c>
      <c r="F39696" s="8">
        <v>556</v>
      </c>
    </row>
    <row r="39697" spans="1:6" ht="12.75">
      <c r="A39697" s="8">
        <v>43886.701643518521</v>
      </c>
      <c r="B39697" s="8" t="str">
        <f>HYPERLINK("https://twitter.com/Fluffyfriedtofu","@Fluffyfriedtofu")</f>
        <v>@Fluffyfriedtofu</v>
      </c>
      <c r="C39697" s="8" t="s">
        <v>14831</v>
      </c>
      <c r="D39697" s="8">
        <v>34</v>
      </c>
      <c r="E39697" s="8">
        <v>0</v>
      </c>
      <c r="F39697" s="8">
        <v>4202</v>
      </c>
    </row>
    <row r="39698" spans="1:6" ht="12.75">
      <c r="A39698" s="8">
        <v>43886.701539351852</v>
      </c>
      <c r="B39698" s="8" t="str">
        <f>HYPERLINK("https://twitter.com/AriefSyam16","@AriefSyam16")</f>
        <v>@AriefSyam16</v>
      </c>
      <c r="C39698" s="8" t="s">
        <v>11964</v>
      </c>
      <c r="D39698" s="8">
        <v>406</v>
      </c>
      <c r="E39698" s="8">
        <v>0</v>
      </c>
      <c r="F39698" s="8">
        <v>236</v>
      </c>
    </row>
    <row r="39699" spans="1:6" ht="12.75">
      <c r="A39699" s="8">
        <v>43886.701469907406</v>
      </c>
      <c r="B39699" s="8" t="str">
        <f>HYPERLINK("https://twitter.com/KakekHalal","@KakekHalal")</f>
        <v>@KakekHalal</v>
      </c>
      <c r="C39699" s="8" t="s">
        <v>11183</v>
      </c>
      <c r="D39699" s="8">
        <v>123</v>
      </c>
      <c r="E39699" s="8">
        <v>0</v>
      </c>
      <c r="F39699" s="8">
        <v>22584</v>
      </c>
    </row>
    <row r="39700" spans="1:6" ht="12.75">
      <c r="A39700" s="8">
        <v>43886.701215277775</v>
      </c>
      <c r="B39700" s="8" t="str">
        <f>HYPERLINK("https://twitter.com/hayatiunga","@hayatiunga")</f>
        <v>@hayatiunga</v>
      </c>
      <c r="C39700" s="8" t="s">
        <v>15201</v>
      </c>
      <c r="D39700" s="8">
        <v>0</v>
      </c>
      <c r="E39700" s="8">
        <v>0</v>
      </c>
      <c r="F39700" s="8">
        <v>12</v>
      </c>
    </row>
    <row r="39701" spans="1:6" ht="12.75">
      <c r="A39701" s="8">
        <v>43886.701053240744</v>
      </c>
      <c r="B39701" s="8" t="str">
        <f>HYPERLINK("https://twitter.com/CeriaSinom","@CeriaSinom")</f>
        <v>@CeriaSinom</v>
      </c>
      <c r="C39701" s="8" t="s">
        <v>14817</v>
      </c>
      <c r="D39701" s="8">
        <v>3</v>
      </c>
      <c r="E39701" s="8">
        <v>0</v>
      </c>
      <c r="F39701" s="8">
        <v>143</v>
      </c>
    </row>
    <row r="39702" spans="1:6" ht="12.75">
      <c r="A39702" s="8">
        <v>43886.673368055555</v>
      </c>
      <c r="B39702" s="8" t="str">
        <f>HYPERLINK("https://twitter.com/republikaonline","@republikaonline")</f>
        <v>@republikaonline</v>
      </c>
      <c r="C39702" s="8" t="s">
        <v>15202</v>
      </c>
      <c r="D39702" s="8">
        <v>0</v>
      </c>
      <c r="E39702" s="8">
        <v>0</v>
      </c>
      <c r="F39702" s="8">
        <v>1213356</v>
      </c>
    </row>
    <row r="39703" spans="1:6" ht="12.75">
      <c r="A39703" s="8">
        <v>43886.672986111109</v>
      </c>
      <c r="B39703" s="8" t="str">
        <f>HYPERLINK("https://twitter.com/brillianson","@brillianson")</f>
        <v>@brillianson</v>
      </c>
      <c r="C39703" s="8" t="s">
        <v>2940</v>
      </c>
      <c r="D39703" s="8">
        <v>2454</v>
      </c>
      <c r="E39703" s="8">
        <v>0</v>
      </c>
      <c r="F39703" s="8">
        <v>94</v>
      </c>
    </row>
    <row r="39704" spans="1:6" ht="12.75">
      <c r="A39704" s="8">
        <v>43886.672719907408</v>
      </c>
      <c r="B39704" s="8" t="str">
        <f>HYPERLINK("https://twitter.com/JokoPinokio","@JokoPinokio")</f>
        <v>@JokoPinokio</v>
      </c>
      <c r="C39704" s="8" t="s">
        <v>2940</v>
      </c>
      <c r="D39704" s="8">
        <v>2454</v>
      </c>
      <c r="E39704" s="8">
        <v>0</v>
      </c>
      <c r="F39704" s="8">
        <v>767</v>
      </c>
    </row>
    <row r="39705" spans="1:6" ht="12.75">
      <c r="A39705" s="8">
        <v>43886.672569444447</v>
      </c>
      <c r="B39705" s="8" t="str">
        <f>HYPERLINK("https://twitter.com/nutdn","@nutdn")</f>
        <v>@nutdn</v>
      </c>
      <c r="C39705" s="8" t="s">
        <v>15203</v>
      </c>
      <c r="D39705" s="8">
        <v>0</v>
      </c>
      <c r="E39705" s="8">
        <v>0</v>
      </c>
      <c r="F39705" s="8">
        <v>725</v>
      </c>
    </row>
    <row r="39706" spans="1:6" ht="12.75">
      <c r="A39706" s="8">
        <v>43886.672453703708</v>
      </c>
      <c r="B39706" s="8" t="str">
        <f>HYPERLINK("https://twitter.com/EkiQarismayah","@EkiQarismayah")</f>
        <v>@EkiQarismayah</v>
      </c>
      <c r="C39706" s="8" t="s">
        <v>15204</v>
      </c>
      <c r="D39706" s="8">
        <v>1</v>
      </c>
      <c r="E39706" s="8">
        <v>0</v>
      </c>
      <c r="F39706" s="8">
        <v>3</v>
      </c>
    </row>
    <row r="39707" spans="1:6" ht="12.75">
      <c r="A39707" s="8">
        <v>43886.672280092593</v>
      </c>
      <c r="B39707" s="8" t="str">
        <f>HYPERLINK("https://twitter.com/amandavenska2","@amandavenska2")</f>
        <v>@amandavenska2</v>
      </c>
      <c r="C39707" s="8" t="s">
        <v>2940</v>
      </c>
      <c r="D39707" s="8">
        <v>2454</v>
      </c>
      <c r="E39707" s="8">
        <v>0</v>
      </c>
      <c r="F39707" s="8">
        <v>2924</v>
      </c>
    </row>
    <row r="39708" spans="1:6" ht="12.75">
      <c r="A39708" s="8">
        <v>43886.671770833331</v>
      </c>
      <c r="B39708" s="8" t="str">
        <f>HYPERLINK("https://twitter.com/MasHarun12","@MasHarun12")</f>
        <v>@MasHarun12</v>
      </c>
      <c r="C39708" s="8" t="s">
        <v>11964</v>
      </c>
      <c r="D39708" s="8">
        <v>388</v>
      </c>
      <c r="E39708" s="8">
        <v>0</v>
      </c>
      <c r="F39708" s="8">
        <v>11</v>
      </c>
    </row>
    <row r="39709" spans="1:6" ht="12.75">
      <c r="A39709" s="8">
        <v>43886.671678240746</v>
      </c>
      <c r="B39709" s="8" t="str">
        <f>HYPERLINK("https://twitter.com/jawapos","@jawapos")</f>
        <v>@jawapos</v>
      </c>
      <c r="C39709" s="8" t="s">
        <v>15205</v>
      </c>
      <c r="D39709" s="8">
        <v>1</v>
      </c>
      <c r="E39709" s="8">
        <v>1</v>
      </c>
      <c r="F39709" s="8">
        <v>121694</v>
      </c>
    </row>
    <row r="39710" spans="1:6" ht="12.75">
      <c r="A39710" s="8">
        <v>43886.6715625</v>
      </c>
      <c r="B39710" s="8" t="str">
        <f>HYPERLINK("https://twitter.com/kompascom","@kompascom")</f>
        <v>@kompascom</v>
      </c>
      <c r="C39710" s="8" t="s">
        <v>15206</v>
      </c>
      <c r="D39710" s="8">
        <v>1</v>
      </c>
      <c r="E39710" s="8">
        <v>0</v>
      </c>
      <c r="F39710" s="8">
        <v>7512105</v>
      </c>
    </row>
    <row r="39711" spans="1:6" ht="12.75">
      <c r="A39711" s="8">
        <v>43886.671446759261</v>
      </c>
      <c r="B39711" s="8" t="str">
        <f>HYPERLINK("https://twitter.com/jaya1perkasa","@jaya1perkasa")</f>
        <v>@jaya1perkasa</v>
      </c>
      <c r="C39711" s="8" t="s">
        <v>11964</v>
      </c>
      <c r="D39711" s="8">
        <v>388</v>
      </c>
      <c r="E39711" s="8">
        <v>0</v>
      </c>
      <c r="F39711" s="8">
        <v>621</v>
      </c>
    </row>
    <row r="39712" spans="1:6" ht="12.75">
      <c r="A39712" s="8">
        <v>43886.671446759261</v>
      </c>
      <c r="B39712" s="8" t="str">
        <f>HYPERLINK("https://twitter.com/untirutt1220","@untirutt1220")</f>
        <v>@untirutt1220</v>
      </c>
      <c r="C39712" s="8" t="s">
        <v>2940</v>
      </c>
      <c r="D39712" s="8">
        <v>2454</v>
      </c>
      <c r="E39712" s="8">
        <v>0</v>
      </c>
      <c r="F39712" s="8">
        <v>172</v>
      </c>
    </row>
    <row r="39713" spans="1:6" ht="12.75">
      <c r="A39713" s="8">
        <v>43886.671261574069</v>
      </c>
      <c r="B39713" s="8" t="str">
        <f>HYPERLINK("https://twitter.com/ahmadsdqq","@ahmadsdqq")</f>
        <v>@ahmadsdqq</v>
      </c>
      <c r="C39713" s="8" t="s">
        <v>2120</v>
      </c>
      <c r="D39713" s="8">
        <v>595</v>
      </c>
      <c r="E39713" s="8">
        <v>0</v>
      </c>
      <c r="F39713" s="8">
        <v>23</v>
      </c>
    </row>
    <row r="39714" spans="1:6" ht="12.75">
      <c r="A39714" s="8">
        <v>43886.671053240745</v>
      </c>
      <c r="B39714" s="8" t="str">
        <f>HYPERLINK("https://twitter.com/Buyuang13841239","@Buyuang13841239")</f>
        <v>@Buyuang13841239</v>
      </c>
      <c r="C39714" s="8" t="s">
        <v>15207</v>
      </c>
      <c r="D39714" s="8">
        <v>0</v>
      </c>
      <c r="E39714" s="8">
        <v>0</v>
      </c>
      <c r="F39714" s="8">
        <v>10</v>
      </c>
    </row>
    <row r="39715" spans="1:6" ht="12.75">
      <c r="A39715" s="8">
        <v>43886.671030092592</v>
      </c>
      <c r="B39715" s="8" t="str">
        <f>HYPERLINK("https://twitter.com/kidsluckyy","@kidsluckyy")</f>
        <v>@kidsluckyy</v>
      </c>
      <c r="C39715" s="8" t="s">
        <v>14430</v>
      </c>
      <c r="D39715" s="8">
        <v>38</v>
      </c>
      <c r="E39715" s="8">
        <v>0</v>
      </c>
      <c r="F39715" s="8">
        <v>3018</v>
      </c>
    </row>
    <row r="39716" spans="1:6" ht="12.75">
      <c r="A39716" s="8">
        <v>43886.670844907407</v>
      </c>
      <c r="B39716" s="8" t="str">
        <f>HYPERLINK("https://twitter.com/dan36351187","@dan36351187")</f>
        <v>@dan36351187</v>
      </c>
      <c r="C39716" s="8" t="s">
        <v>8484</v>
      </c>
      <c r="D39716" s="8">
        <v>827</v>
      </c>
      <c r="E39716" s="8">
        <v>0</v>
      </c>
      <c r="F39716" s="8">
        <v>21</v>
      </c>
    </row>
    <row r="39717" spans="1:6" ht="12.75">
      <c r="A39717" s="8">
        <v>43886.670717592591</v>
      </c>
      <c r="B39717" s="8" t="str">
        <f>HYPERLINK("https://twitter.com/afkarh","@afkarh")</f>
        <v>@afkarh</v>
      </c>
      <c r="C39717" s="8" t="s">
        <v>15208</v>
      </c>
      <c r="D39717" s="8">
        <v>8</v>
      </c>
      <c r="E39717" s="8">
        <v>0</v>
      </c>
      <c r="F39717" s="8">
        <v>482</v>
      </c>
    </row>
    <row r="39718" spans="1:6" ht="12.75">
      <c r="A39718" s="8">
        <v>43886.670613425929</v>
      </c>
      <c r="B39718" s="8" t="str">
        <f>HYPERLINK("https://twitter.com/priadi_t","@priadi_t")</f>
        <v>@priadi_t</v>
      </c>
      <c r="C39718" s="8" t="s">
        <v>12920</v>
      </c>
      <c r="D39718" s="8">
        <v>1534</v>
      </c>
      <c r="E39718" s="8">
        <v>0</v>
      </c>
      <c r="F39718" s="8">
        <v>1</v>
      </c>
    </row>
    <row r="39719" spans="1:6" ht="12.75">
      <c r="A39719" s="8">
        <v>43886.67052083333</v>
      </c>
      <c r="B39719" s="8" t="str">
        <f>HYPERLINK("https://twitter.com/kompascom","@kompascom")</f>
        <v>@kompascom</v>
      </c>
      <c r="C39719" s="8" t="s">
        <v>15209</v>
      </c>
      <c r="D39719" s="8">
        <v>1</v>
      </c>
      <c r="E39719" s="8">
        <v>2</v>
      </c>
      <c r="F39719" s="8">
        <v>7512105</v>
      </c>
    </row>
    <row r="39720" spans="1:6" ht="12.75">
      <c r="A39720" s="8">
        <v>43886.670347222222</v>
      </c>
      <c r="B39720" s="8" t="str">
        <f>HYPERLINK("https://twitter.com/kbharianaceh","@kbharianaceh")</f>
        <v>@kbharianaceh</v>
      </c>
      <c r="C39720" s="8" t="s">
        <v>15210</v>
      </c>
      <c r="D39720" s="8">
        <v>0</v>
      </c>
      <c r="E39720" s="8">
        <v>0</v>
      </c>
      <c r="F39720" s="8">
        <v>1191</v>
      </c>
    </row>
    <row r="39721" spans="1:6" ht="12.75">
      <c r="A39721" s="8">
        <v>43886.669814814813</v>
      </c>
      <c r="B39721" s="8" t="str">
        <f>HYPERLINK("https://twitter.com/PankajN93588724","@PankajN93588724")</f>
        <v>@PankajN93588724</v>
      </c>
      <c r="C39721" s="8" t="s">
        <v>15211</v>
      </c>
      <c r="D39721" s="8">
        <v>0</v>
      </c>
      <c r="E39721" s="8">
        <v>0</v>
      </c>
      <c r="F39721" s="8">
        <v>6</v>
      </c>
    </row>
    <row r="39722" spans="1:6" ht="12.75">
      <c r="A39722" s="8">
        <v>43886.669386574074</v>
      </c>
      <c r="B39722" s="8" t="str">
        <f>HYPERLINK("https://twitter.com/vbabvaab","@vbabvaab")</f>
        <v>@vbabvaab</v>
      </c>
      <c r="C39722" s="8" t="s">
        <v>14430</v>
      </c>
      <c r="D39722" s="8">
        <v>38</v>
      </c>
      <c r="E39722" s="8">
        <v>0</v>
      </c>
      <c r="F39722" s="8">
        <v>1685</v>
      </c>
    </row>
    <row r="39723" spans="1:6" ht="12.75">
      <c r="A39723" s="8">
        <v>43886.668981481482</v>
      </c>
      <c r="B39723" s="8" t="str">
        <f>HYPERLINK("https://twitter.com/ns_irawan","@ns_irawan")</f>
        <v>@ns_irawan</v>
      </c>
      <c r="C39723" s="8" t="s">
        <v>15212</v>
      </c>
      <c r="D39723" s="8">
        <v>3</v>
      </c>
      <c r="E39723" s="8">
        <v>0</v>
      </c>
      <c r="F39723" s="8">
        <v>15</v>
      </c>
    </row>
    <row r="39724" spans="1:6" ht="12.75">
      <c r="A39724" s="8">
        <v>43886.66878472222</v>
      </c>
      <c r="B39724" s="8" t="str">
        <f>HYPERLINK("https://twitter.com/airaaagjls","@airaaagjls")</f>
        <v>@airaaagjls</v>
      </c>
      <c r="C39724" s="8" t="s">
        <v>14858</v>
      </c>
      <c r="D39724" s="8">
        <v>294</v>
      </c>
      <c r="E39724" s="8">
        <v>0</v>
      </c>
      <c r="F39724" s="8">
        <v>4</v>
      </c>
    </row>
    <row r="39725" spans="1:6" ht="12.75">
      <c r="A39725" s="8">
        <v>43886.668634259258</v>
      </c>
      <c r="B39725" s="8" t="str">
        <f>HYPERLINK("https://twitter.com/bpriady","@bpriady")</f>
        <v>@bpriady</v>
      </c>
      <c r="C39725" s="8" t="s">
        <v>11183</v>
      </c>
      <c r="D39725" s="8">
        <v>103</v>
      </c>
      <c r="E39725" s="8">
        <v>0</v>
      </c>
      <c r="F39725" s="8">
        <v>598</v>
      </c>
    </row>
    <row r="39726" spans="1:6" ht="12.75">
      <c r="A39726" s="8">
        <v>43886.668310185181</v>
      </c>
      <c r="B39726" s="8" t="str">
        <f>HYPERLINK("https://twitter.com/riabaebae","@riabaebae")</f>
        <v>@riabaebae</v>
      </c>
      <c r="C39726" s="8" t="s">
        <v>15213</v>
      </c>
      <c r="D39726" s="8">
        <v>0</v>
      </c>
      <c r="E39726" s="8">
        <v>0</v>
      </c>
      <c r="F39726" s="8">
        <v>75</v>
      </c>
    </row>
    <row r="39727" spans="1:6" ht="12.75">
      <c r="A39727" s="8">
        <v>43886.667766203704</v>
      </c>
      <c r="B39727" s="8" t="str">
        <f>HYPERLINK("https://twitter.com/_monbaby_","@_monbaby_")</f>
        <v>@_monbaby_</v>
      </c>
      <c r="C39727" s="8" t="s">
        <v>14831</v>
      </c>
      <c r="D39727" s="8">
        <v>22</v>
      </c>
      <c r="E39727" s="8">
        <v>0</v>
      </c>
      <c r="F39727" s="8">
        <v>252</v>
      </c>
    </row>
    <row r="39728" spans="1:6" ht="12.75">
      <c r="A39728" s="8">
        <v>43886.667719907404</v>
      </c>
      <c r="B39728" s="8" t="str">
        <f>HYPERLINK("https://twitter.com/wulansari__","@wulansari__")</f>
        <v>@wulansari__</v>
      </c>
      <c r="C39728" s="8" t="s">
        <v>2940</v>
      </c>
      <c r="D39728" s="8">
        <v>2454</v>
      </c>
      <c r="E39728" s="8">
        <v>0</v>
      </c>
      <c r="F39728" s="8">
        <v>375</v>
      </c>
    </row>
    <row r="39729" spans="1:6" ht="12.75">
      <c r="A39729" s="8">
        <v>43886.666805555556</v>
      </c>
      <c r="B39729" s="8" t="str">
        <f>HYPERLINK("https://twitter.com/Budi30971592","@Budi30971592")</f>
        <v>@Budi30971592</v>
      </c>
      <c r="C39729" s="8" t="s">
        <v>11964</v>
      </c>
      <c r="D39729" s="8">
        <v>388</v>
      </c>
      <c r="E39729" s="8">
        <v>0</v>
      </c>
      <c r="F39729" s="8">
        <v>45</v>
      </c>
    </row>
    <row r="39730" spans="1:6" ht="12.75">
      <c r="A39730" s="8">
        <v>43886.66678240741</v>
      </c>
      <c r="B39730" s="8" t="str">
        <f>HYPERLINK("https://twitter.com/paolayys","@paolayys")</f>
        <v>@paolayys</v>
      </c>
      <c r="C39730" s="8" t="s">
        <v>15214</v>
      </c>
      <c r="D39730" s="8">
        <v>0</v>
      </c>
      <c r="E39730" s="8">
        <v>0</v>
      </c>
      <c r="F39730" s="8">
        <v>217</v>
      </c>
    </row>
    <row r="39731" spans="1:6" ht="12.75">
      <c r="A39731" s="8">
        <v>43886.666493055556</v>
      </c>
      <c r="B39731" s="8" t="str">
        <f>HYPERLINK("https://twitter.com/Itanurisnaeni","@Itanurisnaeni")</f>
        <v>@Itanurisnaeni</v>
      </c>
      <c r="C39731" s="8" t="s">
        <v>2940</v>
      </c>
      <c r="D39731" s="8">
        <v>2454</v>
      </c>
      <c r="E39731" s="8">
        <v>0</v>
      </c>
      <c r="F39731" s="8">
        <v>789</v>
      </c>
    </row>
    <row r="39732" spans="1:6" ht="12.75">
      <c r="A39732" s="8">
        <v>43886.666377314818</v>
      </c>
      <c r="B39732" s="8" t="str">
        <f>HYPERLINK("https://twitter.com/kakkccenRe","@kakkccenRe")</f>
        <v>@kakkccenRe</v>
      </c>
      <c r="C39732" s="8" t="s">
        <v>8484</v>
      </c>
      <c r="D39732" s="8">
        <v>827</v>
      </c>
      <c r="E39732" s="8">
        <v>0</v>
      </c>
      <c r="F39732" s="8">
        <v>894</v>
      </c>
    </row>
    <row r="39733" spans="1:6" ht="12.75">
      <c r="A39733" s="8">
        <v>43886.666365740741</v>
      </c>
      <c r="B39733" s="8" t="str">
        <f>HYPERLINK("https://twitter.com/BonekSiSegoElek","@BonekSiSegoElek")</f>
        <v>@BonekSiSegoElek</v>
      </c>
      <c r="C39733" s="8" t="s">
        <v>15215</v>
      </c>
      <c r="D39733" s="8">
        <v>0</v>
      </c>
      <c r="E39733" s="8">
        <v>0</v>
      </c>
      <c r="F39733" s="8">
        <v>62</v>
      </c>
    </row>
    <row r="39734" spans="1:6" ht="12.75">
      <c r="A39734" s="8">
        <v>43886.666145833333</v>
      </c>
      <c r="B39734" s="8" t="str">
        <f>HYPERLINK("https://twitter.com/Kabayan93813286","@Kabayan93813286")</f>
        <v>@Kabayan93813286</v>
      </c>
      <c r="C39734" s="8" t="s">
        <v>11964</v>
      </c>
      <c r="D39734" s="8">
        <v>388</v>
      </c>
      <c r="E39734" s="8">
        <v>0</v>
      </c>
      <c r="F39734" s="8">
        <v>256</v>
      </c>
    </row>
    <row r="39735" spans="1:6" ht="12.75">
      <c r="A39735" s="8">
        <v>43886.666087962964</v>
      </c>
      <c r="B39735" s="8" t="str">
        <f>HYPERLINK("https://twitter.com/Ikhwan_Jr","@Ikhwan_Jr")</f>
        <v>@Ikhwan_Jr</v>
      </c>
      <c r="C39735" s="8" t="s">
        <v>11964</v>
      </c>
      <c r="D39735" s="8">
        <v>388</v>
      </c>
      <c r="E39735" s="8">
        <v>0</v>
      </c>
      <c r="F39735" s="8">
        <v>759</v>
      </c>
    </row>
    <row r="39736" spans="1:6" ht="12.75">
      <c r="A39736" s="8">
        <v>43886.666030092594</v>
      </c>
      <c r="B39736" s="8" t="str">
        <f>HYPERLINK("https://twitter.com/pait_pait_pait","@pait_pait_pait")</f>
        <v>@pait_pait_pait</v>
      </c>
      <c r="C39736" s="8" t="s">
        <v>14365</v>
      </c>
      <c r="D39736" s="8">
        <v>12</v>
      </c>
      <c r="E39736" s="8">
        <v>0</v>
      </c>
      <c r="F39736" s="8">
        <v>98</v>
      </c>
    </row>
    <row r="39737" spans="1:6" ht="12.75">
      <c r="A39737" s="8">
        <v>43886.665613425925</v>
      </c>
      <c r="B39737" s="8" t="str">
        <f>HYPERLINK("https://twitter.com/antaranews","@antaranews")</f>
        <v>@antaranews</v>
      </c>
      <c r="C39737" s="8" t="s">
        <v>15216</v>
      </c>
      <c r="D39737" s="8">
        <v>0</v>
      </c>
      <c r="E39737" s="8">
        <v>3</v>
      </c>
      <c r="F39737" s="8">
        <v>1105088</v>
      </c>
    </row>
    <row r="39738" spans="1:6" ht="12.75">
      <c r="A39738" s="8">
        <v>43886.665266203709</v>
      </c>
      <c r="B39738" s="8" t="str">
        <f>HYPERLINK("https://twitter.com/_m256K_y_k","@_m256K_y_k")</f>
        <v>@_m256K_y_k</v>
      </c>
      <c r="C39738" s="8" t="s">
        <v>2940</v>
      </c>
      <c r="D39738" s="8">
        <v>2454</v>
      </c>
      <c r="E39738" s="8">
        <v>0</v>
      </c>
      <c r="F39738" s="8">
        <v>1948</v>
      </c>
    </row>
    <row r="39739" spans="1:6" ht="12.75">
      <c r="A39739" s="8">
        <v>43886.664837962962</v>
      </c>
      <c r="B39739" s="8" t="str">
        <f>HYPERLINK("https://twitter.com/HirdaaNov","@HirdaaNov")</f>
        <v>@HirdaaNov</v>
      </c>
      <c r="C39739" s="8" t="s">
        <v>15217</v>
      </c>
      <c r="D39739" s="8">
        <v>1</v>
      </c>
      <c r="E39739" s="8">
        <v>0</v>
      </c>
      <c r="F39739" s="8">
        <v>709</v>
      </c>
    </row>
    <row r="39740" spans="1:6" ht="12.75">
      <c r="A39740" s="8">
        <v>43886.664560185185</v>
      </c>
      <c r="B39740" s="8" t="str">
        <f>HYPERLINK("https://twitter.com/Art_fleck_14","@Art_fleck_14")</f>
        <v>@Art_fleck_14</v>
      </c>
      <c r="C39740" s="8" t="s">
        <v>6666</v>
      </c>
      <c r="D39740" s="8">
        <v>18</v>
      </c>
      <c r="E39740" s="8">
        <v>0</v>
      </c>
      <c r="F39740" s="8">
        <v>6299</v>
      </c>
    </row>
    <row r="39741" spans="1:6" ht="12.75">
      <c r="A39741" s="8">
        <v>43886.664386574077</v>
      </c>
      <c r="B39741" s="8" t="str">
        <f>HYPERLINK("https://twitter.com/Moel82683153","@Moel82683153")</f>
        <v>@Moel82683153</v>
      </c>
      <c r="C39741" s="8" t="s">
        <v>11964</v>
      </c>
      <c r="D39741" s="8">
        <v>388</v>
      </c>
      <c r="E39741" s="8">
        <v>0</v>
      </c>
      <c r="F39741" s="8">
        <v>134</v>
      </c>
    </row>
    <row r="39742" spans="1:6" ht="12.75">
      <c r="A39742" s="8">
        <v>43886.664201388892</v>
      </c>
      <c r="B39742" s="8" t="str">
        <f>HYPERLINK("https://twitter.com/HirdaaNov","@HirdaaNov")</f>
        <v>@HirdaaNov</v>
      </c>
      <c r="C39742" s="8" t="s">
        <v>14817</v>
      </c>
      <c r="D39742" s="8">
        <v>2</v>
      </c>
      <c r="E39742" s="8">
        <v>0</v>
      </c>
      <c r="F39742" s="8">
        <v>709</v>
      </c>
    </row>
    <row r="39743" spans="1:6" ht="12.75">
      <c r="A39743" s="8">
        <v>43886.664108796293</v>
      </c>
      <c r="B39743" s="8" t="str">
        <f>HYPERLINK("https://twitter.com/amicoyamigos","@amicoyamigos")</f>
        <v>@amicoyamigos</v>
      </c>
      <c r="C39743" s="8" t="s">
        <v>8484</v>
      </c>
      <c r="D39743" s="8">
        <v>827</v>
      </c>
      <c r="E39743" s="8">
        <v>0</v>
      </c>
      <c r="F39743" s="8">
        <v>674</v>
      </c>
    </row>
    <row r="39744" spans="1:6" ht="12.75">
      <c r="A39744" s="8">
        <v>43886.6640625</v>
      </c>
      <c r="B39744" s="8" t="str">
        <f>HYPERLINK("https://twitter.com/akhileshpadha","@akhileshpadha")</f>
        <v>@akhileshpadha</v>
      </c>
      <c r="C39744" s="8" t="s">
        <v>15218</v>
      </c>
      <c r="D39744" s="8">
        <v>0</v>
      </c>
      <c r="E39744" s="8">
        <v>0</v>
      </c>
      <c r="F39744" s="8">
        <v>110</v>
      </c>
    </row>
    <row r="39745" spans="1:6" ht="12.75">
      <c r="A39745" s="8">
        <v>43886.663935185185</v>
      </c>
      <c r="B39745" s="8" t="str">
        <f>HYPERLINK("https://twitter.com/mato_alang","@mato_alang")</f>
        <v>@mato_alang</v>
      </c>
      <c r="C39745" s="8" t="s">
        <v>11964</v>
      </c>
      <c r="D39745" s="8">
        <v>388</v>
      </c>
      <c r="E39745" s="8">
        <v>0</v>
      </c>
      <c r="F39745" s="8">
        <v>257</v>
      </c>
    </row>
    <row r="39746" spans="1:6" ht="12.75">
      <c r="A39746" s="8">
        <v>43886.6637037037</v>
      </c>
      <c r="B39746" s="8" t="str">
        <f>HYPERLINK("https://twitter.com/Mameet17","@Mameet17")</f>
        <v>@Mameet17</v>
      </c>
      <c r="C39746" s="8" t="s">
        <v>11964</v>
      </c>
      <c r="D39746" s="8">
        <v>388</v>
      </c>
      <c r="E39746" s="8">
        <v>0</v>
      </c>
      <c r="F39746" s="8">
        <v>329</v>
      </c>
    </row>
    <row r="39747" spans="1:6" ht="12.75">
      <c r="A39747" s="8">
        <v>43886.663668981477</v>
      </c>
      <c r="B39747" s="8" t="str">
        <f>HYPERLINK("https://twitter.com/siriuslyelmo","@siriuslyelmo")</f>
        <v>@siriuslyelmo</v>
      </c>
      <c r="C39747" s="8" t="s">
        <v>14365</v>
      </c>
      <c r="D39747" s="8">
        <v>12</v>
      </c>
      <c r="E39747" s="8">
        <v>0</v>
      </c>
      <c r="F39747" s="8">
        <v>2336</v>
      </c>
    </row>
    <row r="39748" spans="1:6" ht="12.75">
      <c r="A39748" s="8">
        <v>43886.663553240738</v>
      </c>
      <c r="B39748" s="8" t="str">
        <f>HYPERLINK("https://twitter.com/haemjji_x","@haemjji_x")</f>
        <v>@haemjji_x</v>
      </c>
      <c r="C39748" s="8" t="s">
        <v>14831</v>
      </c>
      <c r="D39748" s="8">
        <v>22</v>
      </c>
      <c r="E39748" s="8">
        <v>0</v>
      </c>
      <c r="F39748" s="8">
        <v>116</v>
      </c>
    </row>
    <row r="39749" spans="1:6" ht="12.75">
      <c r="A39749" s="8">
        <v>43886.66342592593</v>
      </c>
      <c r="B39749" s="8" t="str">
        <f>HYPERLINK("https://twitter.com/akawanpi","@akawanpi")</f>
        <v>@akawanpi</v>
      </c>
      <c r="C39749" s="8" t="s">
        <v>14365</v>
      </c>
      <c r="D39749" s="8">
        <v>12</v>
      </c>
      <c r="E39749" s="8">
        <v>0</v>
      </c>
      <c r="F39749" s="8">
        <v>376</v>
      </c>
    </row>
    <row r="39750" spans="1:6" ht="12.75">
      <c r="A39750" s="8">
        <v>43886.663368055553</v>
      </c>
      <c r="B39750" s="8" t="str">
        <f>HYPERLINK("https://twitter.com/oAu1bDpWdrlmVtg","@oAu1bDpWdrlmVtg")</f>
        <v>@oAu1bDpWdrlmVtg</v>
      </c>
      <c r="C39750" s="8" t="s">
        <v>8484</v>
      </c>
      <c r="D39750" s="8">
        <v>827</v>
      </c>
      <c r="E39750" s="8">
        <v>0</v>
      </c>
      <c r="F39750" s="8">
        <v>1299</v>
      </c>
    </row>
    <row r="39751" spans="1:6" ht="12.75">
      <c r="A39751" s="8">
        <v>43886.663275462968</v>
      </c>
      <c r="B39751" s="8" t="str">
        <f>HYPERLINK("https://twitter.com/saladberhenti","@saladberhenti")</f>
        <v>@saladberhenti</v>
      </c>
      <c r="C39751" s="8" t="s">
        <v>2940</v>
      </c>
      <c r="D39751" s="8">
        <v>2454</v>
      </c>
      <c r="E39751" s="8">
        <v>0</v>
      </c>
      <c r="F39751" s="8">
        <v>568</v>
      </c>
    </row>
    <row r="39752" spans="1:6" ht="12.75">
      <c r="A39752" s="8">
        <v>43886.663263888884</v>
      </c>
      <c r="B39752" s="8" t="str">
        <f>HYPERLINK("https://twitter.com/salehdaulay","@salehdaulay")</f>
        <v>@salehdaulay</v>
      </c>
      <c r="C39752" s="8" t="s">
        <v>15219</v>
      </c>
      <c r="D39752" s="8">
        <v>0</v>
      </c>
      <c r="E39752" s="8">
        <v>0</v>
      </c>
      <c r="F39752" s="8">
        <v>4017</v>
      </c>
    </row>
    <row r="39753" spans="1:6" ht="12.75">
      <c r="A39753" s="8">
        <v>43886.663171296299</v>
      </c>
      <c r="B39753" s="8" t="str">
        <f>HYPERLINK("https://twitter.com/RinjaniJB","@RinjaniJB")</f>
        <v>@RinjaniJB</v>
      </c>
      <c r="C39753" s="8" t="s">
        <v>15220</v>
      </c>
      <c r="D39753" s="8">
        <v>1</v>
      </c>
      <c r="E39753" s="8">
        <v>0</v>
      </c>
      <c r="F39753" s="8">
        <v>19221</v>
      </c>
    </row>
    <row r="39754" spans="1:6" ht="12.75">
      <c r="A39754" s="8">
        <v>43886.663159722222</v>
      </c>
      <c r="B39754" s="8" t="str">
        <f>HYPERLINK("https://twitter.com/dehasabatdi2","@dehasabatdi2")</f>
        <v>@dehasabatdi2</v>
      </c>
      <c r="C39754" s="8" t="s">
        <v>15221</v>
      </c>
      <c r="D39754" s="8">
        <v>61</v>
      </c>
      <c r="E39754" s="8">
        <v>0</v>
      </c>
      <c r="F39754" s="8">
        <v>88</v>
      </c>
    </row>
    <row r="39755" spans="1:6" ht="12.75">
      <c r="A39755" s="8">
        <v>43886.662604166668</v>
      </c>
      <c r="B39755" s="8" t="str">
        <f>HYPERLINK("https://twitter.com/muslimpribumi","@muslimpribumi")</f>
        <v>@muslimpribumi</v>
      </c>
      <c r="C39755" s="8" t="s">
        <v>14106</v>
      </c>
      <c r="D39755" s="8">
        <v>133</v>
      </c>
      <c r="E39755" s="8">
        <v>0</v>
      </c>
      <c r="F39755" s="8">
        <v>2170</v>
      </c>
    </row>
    <row r="39756" spans="1:6" ht="12.75">
      <c r="A39756" s="8">
        <v>43886.662499999999</v>
      </c>
      <c r="B39756" s="8" t="str">
        <f>HYPERLINK("https://twitter.com/salehdaulay","@salehdaulay")</f>
        <v>@salehdaulay</v>
      </c>
      <c r="C39756" s="8" t="s">
        <v>15222</v>
      </c>
      <c r="D39756" s="8">
        <v>0</v>
      </c>
      <c r="E39756" s="8">
        <v>0</v>
      </c>
      <c r="F39756" s="8">
        <v>4017</v>
      </c>
    </row>
    <row r="39757" spans="1:6" ht="12.75">
      <c r="A39757" s="8">
        <v>43886.66243055556</v>
      </c>
      <c r="B39757" s="8" t="str">
        <f>HYPERLINK("https://twitter.com/myosotisylv","@myosotisylv")</f>
        <v>@myosotisylv</v>
      </c>
      <c r="C39757" s="8" t="s">
        <v>14831</v>
      </c>
      <c r="D39757" s="8">
        <v>22</v>
      </c>
      <c r="E39757" s="8">
        <v>0</v>
      </c>
      <c r="F39757" s="8">
        <v>62</v>
      </c>
    </row>
    <row r="39758" spans="1:6" ht="12.75">
      <c r="A39758" s="8">
        <v>43886.661562499998</v>
      </c>
      <c r="B39758" s="8" t="str">
        <f>HYPERLINK("https://twitter.com/remugon3","@remugon3")</f>
        <v>@remugon3</v>
      </c>
      <c r="C39758" s="8" t="s">
        <v>2940</v>
      </c>
      <c r="D39758" s="8">
        <v>2454</v>
      </c>
      <c r="E39758" s="8">
        <v>0</v>
      </c>
      <c r="F39758" s="8">
        <v>37</v>
      </c>
    </row>
    <row r="39759" spans="1:6" ht="12.75">
      <c r="A39759" s="8">
        <v>43886.661250000005</v>
      </c>
      <c r="B39759" s="8" t="str">
        <f>HYPERLINK("https://twitter.com/seishirou99","@seishirou99")</f>
        <v>@seishirou99</v>
      </c>
      <c r="C39759" s="8" t="s">
        <v>14365</v>
      </c>
      <c r="D39759" s="8">
        <v>12</v>
      </c>
      <c r="E39759" s="8">
        <v>0</v>
      </c>
      <c r="F39759" s="8">
        <v>573</v>
      </c>
    </row>
    <row r="39760" spans="1:6" ht="12.75">
      <c r="A39760" s="8">
        <v>43886.661099537036</v>
      </c>
      <c r="B39760" s="8" t="str">
        <f>HYPERLINK("https://twitter.com/RinjaniJB","@RinjaniJB")</f>
        <v>@RinjaniJB</v>
      </c>
      <c r="C39760" s="8" t="s">
        <v>14817</v>
      </c>
      <c r="D39760" s="8">
        <v>2</v>
      </c>
      <c r="E39760" s="8">
        <v>0</v>
      </c>
      <c r="F39760" s="8">
        <v>19221</v>
      </c>
    </row>
    <row r="39761" spans="1:6" ht="12.75">
      <c r="A39761" s="8">
        <v>43886.660648148143</v>
      </c>
      <c r="B39761" s="8" t="str">
        <f>HYPERLINK("https://twitter.com/remugon3","@remugon3")</f>
        <v>@remugon3</v>
      </c>
      <c r="C39761" s="8" t="s">
        <v>8484</v>
      </c>
      <c r="D39761" s="8">
        <v>827</v>
      </c>
      <c r="E39761" s="8">
        <v>0</v>
      </c>
      <c r="F39761" s="8">
        <v>37</v>
      </c>
    </row>
    <row r="39762" spans="1:6" ht="12.75">
      <c r="A39762" s="8">
        <v>43886.660439814819</v>
      </c>
      <c r="B39762" s="8" t="str">
        <f>HYPERLINK("https://twitter.com/twentxseven","@twentxseven")</f>
        <v>@twentxseven</v>
      </c>
      <c r="C39762" s="8" t="s">
        <v>14430</v>
      </c>
      <c r="D39762" s="8">
        <v>38</v>
      </c>
      <c r="E39762" s="8">
        <v>0</v>
      </c>
      <c r="F39762" s="8">
        <v>310</v>
      </c>
    </row>
    <row r="39763" spans="1:6" ht="12.75">
      <c r="A39763" s="8">
        <v>43886.660416666666</v>
      </c>
      <c r="B39763" s="8" t="str">
        <f>HYPERLINK("https://twitter.com/Firmanbudianap2","@Firmanbudianap2")</f>
        <v>@Firmanbudianap2</v>
      </c>
      <c r="C39763" s="8" t="s">
        <v>15223</v>
      </c>
      <c r="D39763" s="8">
        <v>4</v>
      </c>
      <c r="E39763" s="8">
        <v>0</v>
      </c>
      <c r="F39763" s="8">
        <v>161</v>
      </c>
    </row>
    <row r="39764" spans="1:6" ht="12.75">
      <c r="A39764" s="8">
        <v>43886.660173611112</v>
      </c>
      <c r="B39764" s="8" t="str">
        <f>HYPERLINK("https://twitter.com/muhammadanis22","@muhammadanis22")</f>
        <v>@muhammadanis22</v>
      </c>
      <c r="C39764" s="8" t="s">
        <v>15224</v>
      </c>
      <c r="D39764" s="8">
        <v>0</v>
      </c>
      <c r="E39764" s="8">
        <v>0</v>
      </c>
      <c r="F39764" s="8">
        <v>744</v>
      </c>
    </row>
    <row r="39765" spans="1:6" ht="12.75">
      <c r="A39765" s="8">
        <v>43886.659930555557</v>
      </c>
      <c r="B39765" s="8" t="str">
        <f>HYPERLINK("https://twitter.com/AnKu2Seda15Sak","@AnKu2Seda15Sak")</f>
        <v>@AnKu2Seda15Sak</v>
      </c>
      <c r="C39765" s="8" t="s">
        <v>2940</v>
      </c>
      <c r="D39765" s="8">
        <v>2454</v>
      </c>
      <c r="E39765" s="8">
        <v>0</v>
      </c>
      <c r="F39765" s="8">
        <v>1767</v>
      </c>
    </row>
    <row r="39766" spans="1:6" ht="12.75">
      <c r="A39766" s="8">
        <v>43886.659826388888</v>
      </c>
      <c r="B39766" s="8" t="str">
        <f t="shared" ref="B39766:B39767" si="588">HYPERLINK("https://twitter.com/haidir_setiawan","@haidir_setiawan")</f>
        <v>@haidir_setiawan</v>
      </c>
      <c r="C39766" s="8" t="s">
        <v>14106</v>
      </c>
      <c r="D39766" s="8">
        <v>133</v>
      </c>
      <c r="E39766" s="8">
        <v>0</v>
      </c>
      <c r="F39766" s="8">
        <v>2293</v>
      </c>
    </row>
    <row r="39767" spans="1:6" ht="12.75">
      <c r="A39767" s="8">
        <v>43886.659780092596</v>
      </c>
      <c r="B39767" s="8" t="str">
        <f t="shared" si="588"/>
        <v>@haidir_setiawan</v>
      </c>
      <c r="C39767" s="8" t="s">
        <v>13834</v>
      </c>
      <c r="D39767" s="8">
        <v>143</v>
      </c>
      <c r="E39767" s="8">
        <v>0</v>
      </c>
      <c r="F39767" s="8">
        <v>2293</v>
      </c>
    </row>
    <row r="39768" spans="1:6" ht="12.75">
      <c r="A39768" s="8">
        <v>43886.659675925926</v>
      </c>
      <c r="B39768" s="8" t="str">
        <f t="shared" ref="B39768:B39769" si="589">HYPERLINK("https://twitter.com/KEIMINKEI","@KEIMINKEI")</f>
        <v>@KEIMINKEI</v>
      </c>
      <c r="C39768" s="8" t="s">
        <v>14106</v>
      </c>
      <c r="D39768" s="8">
        <v>133</v>
      </c>
      <c r="E39768" s="8">
        <v>0</v>
      </c>
      <c r="F39768" s="8">
        <v>314</v>
      </c>
    </row>
    <row r="39769" spans="1:6" ht="12.75">
      <c r="A39769" s="8">
        <v>43886.659629629634</v>
      </c>
      <c r="B39769" s="8" t="str">
        <f t="shared" si="589"/>
        <v>@KEIMINKEI</v>
      </c>
      <c r="C39769" s="8" t="s">
        <v>13834</v>
      </c>
      <c r="D39769" s="8">
        <v>143</v>
      </c>
      <c r="E39769" s="8">
        <v>0</v>
      </c>
      <c r="F39769" s="8">
        <v>314</v>
      </c>
    </row>
    <row r="39770" spans="1:6" ht="12.75">
      <c r="A39770" s="8">
        <v>43886.659571759257</v>
      </c>
      <c r="B39770" s="8" t="str">
        <f>HYPERLINK("https://twitter.com/haidir_setiawan","@haidir_setiawan")</f>
        <v>@haidir_setiawan</v>
      </c>
      <c r="C39770" s="8" t="s">
        <v>8484</v>
      </c>
      <c r="D39770" s="8">
        <v>827</v>
      </c>
      <c r="E39770" s="8">
        <v>0</v>
      </c>
      <c r="F39770" s="8">
        <v>2293</v>
      </c>
    </row>
    <row r="39771" spans="1:6" ht="12.75">
      <c r="A39771" s="8">
        <v>43886.659548611111</v>
      </c>
      <c r="B39771" s="8" t="str">
        <f>HYPERLINK("https://twitter.com/KEIMINKEI","@KEIMINKEI")</f>
        <v>@KEIMINKEI</v>
      </c>
      <c r="C39771" s="8" t="s">
        <v>8484</v>
      </c>
      <c r="D39771" s="8">
        <v>827</v>
      </c>
      <c r="E39771" s="8">
        <v>0</v>
      </c>
      <c r="F39771" s="8">
        <v>314</v>
      </c>
    </row>
    <row r="39772" spans="1:6" ht="12.75">
      <c r="A39772" s="8">
        <v>43886.659421296295</v>
      </c>
      <c r="B39772" s="8" t="str">
        <f>HYPERLINK("https://twitter.com/saraahaghnia","@saraahaghnia")</f>
        <v>@saraahaghnia</v>
      </c>
      <c r="C39772" s="8" t="s">
        <v>2940</v>
      </c>
      <c r="D39772" s="8">
        <v>2454</v>
      </c>
      <c r="E39772" s="8">
        <v>0</v>
      </c>
      <c r="F39772" s="8">
        <v>510</v>
      </c>
    </row>
    <row r="39773" spans="1:6" ht="12.75">
      <c r="A39773" s="8">
        <v>43886.659409722226</v>
      </c>
      <c r="B39773" s="8" t="str">
        <f>HYPERLINK("https://twitter.com/KEIMINKEI","@KEIMINKEI")</f>
        <v>@KEIMINKEI</v>
      </c>
      <c r="C39773" s="8" t="s">
        <v>2940</v>
      </c>
      <c r="D39773" s="8">
        <v>2454</v>
      </c>
      <c r="E39773" s="8">
        <v>0</v>
      </c>
      <c r="F39773" s="8">
        <v>314</v>
      </c>
    </row>
    <row r="39774" spans="1:6" ht="12.75">
      <c r="A39774" s="8">
        <v>43886.659270833334</v>
      </c>
      <c r="B39774" s="8" t="str">
        <f>HYPERLINK("https://twitter.com/haidir_setiawan","@haidir_setiawan")</f>
        <v>@haidir_setiawan</v>
      </c>
      <c r="C39774" s="8" t="s">
        <v>2940</v>
      </c>
      <c r="D39774" s="8">
        <v>2454</v>
      </c>
      <c r="E39774" s="8">
        <v>0</v>
      </c>
      <c r="F39774" s="8">
        <v>2293</v>
      </c>
    </row>
    <row r="39775" spans="1:6" ht="12.75">
      <c r="A39775" s="8">
        <v>43886.659120370372</v>
      </c>
      <c r="B39775" s="8" t="str">
        <f>HYPERLINK("https://twitter.com/RyuukaTamae","@RyuukaTamae")</f>
        <v>@RyuukaTamae</v>
      </c>
      <c r="C39775" s="8" t="s">
        <v>14365</v>
      </c>
      <c r="D39775" s="8">
        <v>12</v>
      </c>
      <c r="E39775" s="8">
        <v>0</v>
      </c>
      <c r="F39775" s="8">
        <v>256</v>
      </c>
    </row>
    <row r="39776" spans="1:6" ht="12.75">
      <c r="A39776" s="8">
        <v>43886.659085648149</v>
      </c>
      <c r="B39776" s="8" t="str">
        <f>HYPERLINK("https://twitter.com/otomutsusan","@otomutsusan")</f>
        <v>@otomutsusan</v>
      </c>
      <c r="C39776" s="8" t="s">
        <v>8484</v>
      </c>
      <c r="D39776" s="8">
        <v>827</v>
      </c>
      <c r="E39776" s="8">
        <v>0</v>
      </c>
      <c r="F39776" s="8">
        <v>48</v>
      </c>
    </row>
    <row r="39777" spans="1:6" ht="12.75">
      <c r="A39777" s="8">
        <v>43886.658842592587</v>
      </c>
      <c r="B39777" s="8" t="str">
        <f>HYPERLINK("https://twitter.com/berrylmuhammadi","@berrylmuhammadi")</f>
        <v>@berrylmuhammadi</v>
      </c>
      <c r="C39777" s="8" t="s">
        <v>2940</v>
      </c>
      <c r="D39777" s="8">
        <v>2454</v>
      </c>
      <c r="E39777" s="8">
        <v>0</v>
      </c>
      <c r="F39777" s="8">
        <v>425</v>
      </c>
    </row>
    <row r="39778" spans="1:6" ht="12.75">
      <c r="A39778" s="8">
        <v>43886.658784722225</v>
      </c>
      <c r="B39778" s="8" t="str">
        <f>HYPERLINK("https://twitter.com/RizkaAmalyaaa","@RizkaAmalyaaa")</f>
        <v>@RizkaAmalyaaa</v>
      </c>
      <c r="C39778" s="8" t="s">
        <v>2940</v>
      </c>
      <c r="D39778" s="8">
        <v>2454</v>
      </c>
      <c r="E39778" s="8">
        <v>0</v>
      </c>
      <c r="F39778" s="8">
        <v>339</v>
      </c>
    </row>
    <row r="39779" spans="1:6" ht="12.75">
      <c r="A39779" s="8">
        <v>43886.658738425926</v>
      </c>
      <c r="B39779" s="8" t="str">
        <f>HYPERLINK("https://twitter.com/kageron_shin","@kageron_shin")</f>
        <v>@kageron_shin</v>
      </c>
      <c r="C39779" s="8" t="s">
        <v>8484</v>
      </c>
      <c r="D39779" s="8">
        <v>827</v>
      </c>
      <c r="E39779" s="8">
        <v>0</v>
      </c>
      <c r="F39779" s="8">
        <v>200</v>
      </c>
    </row>
    <row r="39780" spans="1:6" ht="12.75">
      <c r="A39780" s="8">
        <v>43886.65861111111</v>
      </c>
      <c r="B39780" s="8" t="str">
        <f>HYPERLINK("https://twitter.com/monchouchoo","@monchouchoo")</f>
        <v>@monchouchoo</v>
      </c>
      <c r="C39780" s="8" t="s">
        <v>15225</v>
      </c>
      <c r="D39780" s="8">
        <v>0</v>
      </c>
      <c r="E39780" s="8">
        <v>0</v>
      </c>
      <c r="F39780" s="8">
        <v>112</v>
      </c>
    </row>
    <row r="39781" spans="1:6" ht="12.75">
      <c r="A39781" s="8">
        <v>43886.65792824074</v>
      </c>
      <c r="B39781" s="8" t="str">
        <f>HYPERLINK("https://twitter.com/AnKu2Seda15Sak","@AnKu2Seda15Sak")</f>
        <v>@AnKu2Seda15Sak</v>
      </c>
      <c r="C39781" s="8" t="s">
        <v>8484</v>
      </c>
      <c r="D39781" s="8">
        <v>827</v>
      </c>
      <c r="E39781" s="8">
        <v>0</v>
      </c>
      <c r="F39781" s="8">
        <v>1767</v>
      </c>
    </row>
    <row r="39782" spans="1:6" ht="12.75">
      <c r="A39782" s="8">
        <v>43886.657824074078</v>
      </c>
      <c r="B39782" s="8" t="str">
        <f>HYPERLINK("https://twitter.com/rinichan02","@rinichan02")</f>
        <v>@rinichan02</v>
      </c>
      <c r="C39782" s="8" t="s">
        <v>15226</v>
      </c>
      <c r="D39782" s="8">
        <v>0</v>
      </c>
      <c r="E39782" s="8">
        <v>4</v>
      </c>
      <c r="F39782" s="8">
        <v>2852</v>
      </c>
    </row>
    <row r="39783" spans="1:6" ht="12.75">
      <c r="A39783" s="8">
        <v>43886.657685185186</v>
      </c>
      <c r="B39783" s="8" t="str">
        <f>HYPERLINK("https://twitter.com/okapiromi","@okapiromi")</f>
        <v>@okapiromi</v>
      </c>
      <c r="C39783" s="8" t="s">
        <v>8484</v>
      </c>
      <c r="D39783" s="8">
        <v>827</v>
      </c>
      <c r="E39783" s="8">
        <v>0</v>
      </c>
      <c r="F39783" s="8">
        <v>37</v>
      </c>
    </row>
    <row r="39784" spans="1:6" ht="12.75">
      <c r="A39784" s="8">
        <v>43886.657488425924</v>
      </c>
      <c r="B39784" s="8" t="str">
        <f>HYPERLINK("https://twitter.com/mikicimik","@mikicimik")</f>
        <v>@mikicimik</v>
      </c>
      <c r="C39784" s="8" t="s">
        <v>11964</v>
      </c>
      <c r="D39784" s="8">
        <v>388</v>
      </c>
      <c r="E39784" s="8">
        <v>0</v>
      </c>
      <c r="F39784" s="8">
        <v>177</v>
      </c>
    </row>
    <row r="39785" spans="1:6" ht="12.75">
      <c r="A39785" s="8">
        <v>43886.657025462962</v>
      </c>
      <c r="B39785" s="8" t="str">
        <f>HYPERLINK("https://twitter.com/asmadajoel","@asmadajoel")</f>
        <v>@asmadajoel</v>
      </c>
      <c r="C39785" s="8" t="s">
        <v>15227</v>
      </c>
      <c r="D39785" s="8">
        <v>0</v>
      </c>
      <c r="E39785" s="8">
        <v>0</v>
      </c>
      <c r="F39785" s="8">
        <v>3507</v>
      </c>
    </row>
    <row r="39786" spans="1:6" ht="12.75">
      <c r="A39786" s="8">
        <v>43886.657013888893</v>
      </c>
      <c r="B39786" s="8" t="str">
        <f>HYPERLINK("https://twitter.com/Widyarenee","@Widyarenee")</f>
        <v>@Widyarenee</v>
      </c>
      <c r="C39786" s="8" t="s">
        <v>15228</v>
      </c>
      <c r="D39786" s="8">
        <v>2</v>
      </c>
      <c r="E39786" s="8">
        <v>5</v>
      </c>
      <c r="F39786" s="8">
        <v>8231</v>
      </c>
    </row>
    <row r="39787" spans="1:6" ht="12.75">
      <c r="A39787" s="8">
        <v>43886.656921296293</v>
      </c>
      <c r="B39787" s="8" t="str">
        <f>HYPERLINK("https://twitter.com/yoursgrbby","@yoursgrbby")</f>
        <v>@yoursgrbby</v>
      </c>
      <c r="C39787" s="8" t="s">
        <v>15229</v>
      </c>
      <c r="D39787" s="8">
        <v>0</v>
      </c>
      <c r="E39787" s="8">
        <v>0</v>
      </c>
      <c r="F39787" s="8">
        <v>619</v>
      </c>
    </row>
    <row r="39788" spans="1:6" ht="12.75">
      <c r="A39788" s="8">
        <v>43886.656817129631</v>
      </c>
      <c r="B39788" s="8" t="str">
        <f>HYPERLINK("https://twitter.com/Tribun_Solo","@Tribun_Solo")</f>
        <v>@Tribun_Solo</v>
      </c>
      <c r="C39788" s="8" t="s">
        <v>15230</v>
      </c>
      <c r="D39788" s="8">
        <v>0</v>
      </c>
      <c r="E39788" s="8">
        <v>0</v>
      </c>
      <c r="F39788" s="8">
        <v>2188</v>
      </c>
    </row>
    <row r="39789" spans="1:6" ht="12.75">
      <c r="A39789" s="8">
        <v>43886.65625</v>
      </c>
      <c r="B39789" s="8" t="str">
        <f>HYPERLINK("https://twitter.com/rangermera","@rangermera")</f>
        <v>@rangermera</v>
      </c>
      <c r="C39789" s="8" t="s">
        <v>15231</v>
      </c>
      <c r="D39789" s="8">
        <v>0</v>
      </c>
      <c r="E39789" s="8">
        <v>0</v>
      </c>
      <c r="F39789" s="8">
        <v>82</v>
      </c>
    </row>
    <row r="39790" spans="1:6" ht="12.75">
      <c r="A39790" s="8">
        <v>43886.656006944446</v>
      </c>
      <c r="B39790" s="8" t="str">
        <f>HYPERLINK("https://twitter.com/minhyunsc","@minhyunsc")</f>
        <v>@minhyunsc</v>
      </c>
      <c r="C39790" s="8" t="s">
        <v>15232</v>
      </c>
      <c r="D39790" s="8">
        <v>0</v>
      </c>
      <c r="E39790" s="8">
        <v>0</v>
      </c>
      <c r="F39790" s="8">
        <v>7516</v>
      </c>
    </row>
    <row r="39791" spans="1:6" ht="12.75">
      <c r="A39791" s="8">
        <v>43886.655462962968</v>
      </c>
      <c r="B39791" s="8" t="str">
        <f>HYPERLINK("https://twitter.com/FobosMkz","@FobosMkz")</f>
        <v>@FobosMkz</v>
      </c>
      <c r="C39791" s="8" t="s">
        <v>2940</v>
      </c>
      <c r="D39791" s="8">
        <v>2454</v>
      </c>
      <c r="E39791" s="8">
        <v>0</v>
      </c>
      <c r="F39791" s="8">
        <v>194</v>
      </c>
    </row>
    <row r="39792" spans="1:6" ht="12.75">
      <c r="A39792" s="8">
        <v>43886.655300925922</v>
      </c>
      <c r="B39792" s="8" t="str">
        <f>HYPERLINK("https://twitter.com/punkerokan","@punkerokan")</f>
        <v>@punkerokan</v>
      </c>
      <c r="C39792" s="8" t="s">
        <v>15233</v>
      </c>
      <c r="D39792" s="8">
        <v>0</v>
      </c>
      <c r="E39792" s="8">
        <v>0</v>
      </c>
      <c r="F39792" s="8">
        <v>14</v>
      </c>
    </row>
    <row r="39793" spans="1:6" ht="12.75">
      <c r="A39793" s="8">
        <v>43886.655277777776</v>
      </c>
      <c r="B39793" s="8" t="str">
        <f>HYPERLINK("https://twitter.com/pandusolusi","@pandusolusi")</f>
        <v>@pandusolusi</v>
      </c>
      <c r="C39793" s="8" t="s">
        <v>15234</v>
      </c>
      <c r="D39793" s="8">
        <v>0</v>
      </c>
      <c r="E39793" s="8">
        <v>0</v>
      </c>
      <c r="F39793" s="8">
        <v>179</v>
      </c>
    </row>
    <row r="39794" spans="1:6" ht="12.75">
      <c r="A39794" s="8">
        <v>43886.655138888891</v>
      </c>
      <c r="B39794" s="8" t="str">
        <f>HYPERLINK("https://twitter.com/TurnBackWahabi","@TurnBackWahabi")</f>
        <v>@TurnBackWahabi</v>
      </c>
      <c r="C39794" s="8" t="s">
        <v>15235</v>
      </c>
      <c r="D39794" s="8">
        <v>3</v>
      </c>
      <c r="E39794" s="8">
        <v>0</v>
      </c>
      <c r="F39794" s="8">
        <v>390</v>
      </c>
    </row>
    <row r="39795" spans="1:6" ht="12.75">
      <c r="A39795" s="8">
        <v>43886.654907407406</v>
      </c>
      <c r="B39795" s="8" t="str">
        <f>HYPERLINK("https://twitter.com/kevin_sijabat","@kevin_sijabat")</f>
        <v>@kevin_sijabat</v>
      </c>
      <c r="C39795" s="8" t="s">
        <v>2940</v>
      </c>
      <c r="D39795" s="8">
        <v>2454</v>
      </c>
      <c r="E39795" s="8">
        <v>0</v>
      </c>
      <c r="F39795" s="8">
        <v>398</v>
      </c>
    </row>
    <row r="39796" spans="1:6" ht="12.75">
      <c r="A39796" s="8">
        <v>43886.654745370368</v>
      </c>
      <c r="B39796" s="8" t="str">
        <f>HYPERLINK("https://twitter.com/FerriNanto","@FerriNanto")</f>
        <v>@FerriNanto</v>
      </c>
      <c r="C39796" s="8" t="s">
        <v>11183</v>
      </c>
      <c r="D39796" s="8">
        <v>103</v>
      </c>
      <c r="E39796" s="8">
        <v>0</v>
      </c>
      <c r="F39796" s="8">
        <v>1163</v>
      </c>
    </row>
    <row r="39797" spans="1:6" ht="12.75">
      <c r="A39797" s="8">
        <v>43886.654675925922</v>
      </c>
      <c r="B39797" s="8" t="str">
        <f>HYPERLINK("https://twitter.com/TamagotakeY","@TamagotakeY")</f>
        <v>@TamagotakeY</v>
      </c>
      <c r="C39797" s="8" t="s">
        <v>8484</v>
      </c>
      <c r="D39797" s="8">
        <v>827</v>
      </c>
      <c r="E39797" s="8">
        <v>0</v>
      </c>
      <c r="F39797" s="8">
        <v>308</v>
      </c>
    </row>
    <row r="39798" spans="1:6" ht="12.75">
      <c r="A39798" s="8">
        <v>43886.654363425929</v>
      </c>
      <c r="B39798" s="8" t="str">
        <f>HYPERLINK("https://twitter.com/TahuPedas7","@TahuPedas7")</f>
        <v>@TahuPedas7</v>
      </c>
      <c r="C39798" s="8" t="s">
        <v>15236</v>
      </c>
      <c r="D39798" s="8">
        <v>0</v>
      </c>
      <c r="E39798" s="8">
        <v>0</v>
      </c>
      <c r="F39798" s="8">
        <v>93</v>
      </c>
    </row>
    <row r="39799" spans="1:6" ht="12.75">
      <c r="A39799" s="8">
        <v>43886.654224537036</v>
      </c>
      <c r="B39799" s="8" t="str">
        <f>HYPERLINK("https://twitter.com/gugukcoklat","@gugukcoklat")</f>
        <v>@gugukcoklat</v>
      </c>
      <c r="C39799" s="8" t="s">
        <v>2940</v>
      </c>
      <c r="D39799" s="8">
        <v>2454</v>
      </c>
      <c r="E39799" s="8">
        <v>0</v>
      </c>
      <c r="F39799" s="8">
        <v>60</v>
      </c>
    </row>
    <row r="39800" spans="1:6" ht="12.75">
      <c r="A39800" s="8">
        <v>43886.654131944444</v>
      </c>
      <c r="B39800" s="8" t="str">
        <f>HYPERLINK("https://twitter.com/ISIS_Balik_NO","@ISIS_Balik_NO")</f>
        <v>@ISIS_Balik_NO</v>
      </c>
      <c r="C39800" s="8" t="s">
        <v>15237</v>
      </c>
      <c r="D39800" s="8">
        <v>0</v>
      </c>
      <c r="E39800" s="8">
        <v>4</v>
      </c>
      <c r="F39800" s="8">
        <v>6095</v>
      </c>
    </row>
    <row r="39801" spans="1:6" ht="12.75">
      <c r="A39801" s="8">
        <v>43886.653935185182</v>
      </c>
      <c r="B39801" s="8" t="str">
        <f>HYPERLINK("https://twitter.com/ShafiraYmnsh","@ShafiraYmnsh")</f>
        <v>@ShafiraYmnsh</v>
      </c>
      <c r="C39801" s="8" t="s">
        <v>2940</v>
      </c>
      <c r="D39801" s="8">
        <v>2454</v>
      </c>
      <c r="E39801" s="8">
        <v>0</v>
      </c>
      <c r="F39801" s="8">
        <v>689</v>
      </c>
    </row>
    <row r="39802" spans="1:6" ht="12.75">
      <c r="A39802" s="8">
        <v>43886.631354166668</v>
      </c>
      <c r="B39802" s="8" t="str">
        <f>HYPERLINK("https://twitter.com/IndonesiaRAW","@IndonesiaRAW")</f>
        <v>@IndonesiaRAW</v>
      </c>
      <c r="C39802" s="8" t="s">
        <v>15238</v>
      </c>
      <c r="D39802" s="8">
        <v>0</v>
      </c>
      <c r="E39802" s="8">
        <v>0</v>
      </c>
      <c r="F39802" s="8">
        <v>201767</v>
      </c>
    </row>
    <row r="39803" spans="1:6" ht="12.75">
      <c r="A39803" s="8">
        <v>43886.631296296298</v>
      </c>
      <c r="B39803" s="8" t="str">
        <f>HYPERLINK("https://twitter.com/11brantakan","@11brantakan")</f>
        <v>@11brantakan</v>
      </c>
      <c r="C39803" s="8" t="s">
        <v>11964</v>
      </c>
      <c r="D39803" s="8">
        <v>372</v>
      </c>
      <c r="E39803" s="8">
        <v>0</v>
      </c>
      <c r="F39803" s="8">
        <v>360</v>
      </c>
    </row>
    <row r="39804" spans="1:6" ht="12.75">
      <c r="A39804" s="8">
        <v>43886.631145833337</v>
      </c>
      <c r="B39804" s="8" t="str">
        <f>HYPERLINK("https://twitter.com/CumiCue","@CumiCue")</f>
        <v>@CumiCue</v>
      </c>
      <c r="C39804" s="8" t="s">
        <v>14439</v>
      </c>
      <c r="D39804" s="8">
        <v>3</v>
      </c>
      <c r="E39804" s="8">
        <v>0</v>
      </c>
      <c r="F39804" s="8">
        <v>4456</v>
      </c>
    </row>
    <row r="39805" spans="1:6" ht="12.75">
      <c r="A39805" s="8">
        <v>43886.631145833337</v>
      </c>
      <c r="B39805" s="8" t="str">
        <f>HYPERLINK("https://twitter.com/psychologist_kj","@psychologist_kj")</f>
        <v>@psychologist_kj</v>
      </c>
      <c r="C39805" s="8" t="s">
        <v>8484</v>
      </c>
      <c r="D39805" s="8">
        <v>799</v>
      </c>
      <c r="E39805" s="8">
        <v>0</v>
      </c>
      <c r="F39805" s="8">
        <v>746</v>
      </c>
    </row>
    <row r="39806" spans="1:6" ht="12.75">
      <c r="A39806" s="8">
        <v>43886.630578703705</v>
      </c>
      <c r="B39806" s="8" t="str">
        <f>HYPERLINK("https://twitter.com/sadawo1123","@sadawo1123")</f>
        <v>@sadawo1123</v>
      </c>
      <c r="C39806" s="8" t="s">
        <v>2940</v>
      </c>
      <c r="D39806" s="8">
        <v>2416</v>
      </c>
      <c r="E39806" s="8">
        <v>0</v>
      </c>
      <c r="F39806" s="8">
        <v>19</v>
      </c>
    </row>
    <row r="39807" spans="1:6" ht="12.75">
      <c r="A39807" s="8">
        <v>43886.630208333328</v>
      </c>
      <c r="B39807" s="8" t="str">
        <f>HYPERLINK("https://twitter.com/Bagas89337309","@Bagas89337309")</f>
        <v>@Bagas89337309</v>
      </c>
      <c r="C39807" s="8" t="s">
        <v>2940</v>
      </c>
      <c r="D39807" s="8">
        <v>2416</v>
      </c>
      <c r="E39807" s="8">
        <v>0</v>
      </c>
      <c r="F39807" s="8">
        <v>64</v>
      </c>
    </row>
    <row r="39808" spans="1:6" ht="12.75">
      <c r="A39808" s="8">
        <v>43886.629942129628</v>
      </c>
      <c r="B39808" s="8" t="str">
        <f>HYPERLINK("https://twitter.com/Aiek_Channel__","@Aiek_Channel__")</f>
        <v>@Aiek_Channel__</v>
      </c>
      <c r="C39808" s="8" t="s">
        <v>15239</v>
      </c>
      <c r="D39808" s="8">
        <v>1</v>
      </c>
      <c r="E39808" s="8">
        <v>0</v>
      </c>
      <c r="F39808" s="8">
        <v>8871</v>
      </c>
    </row>
    <row r="39809" spans="1:6" ht="12.75">
      <c r="A39809" s="8">
        <v>43886.628969907411</v>
      </c>
      <c r="B39809" s="8" t="str">
        <f>HYPERLINK("https://twitter.com/Batu_Karang69","@Batu_Karang69")</f>
        <v>@Batu_Karang69</v>
      </c>
      <c r="C39809" s="8" t="s">
        <v>15240</v>
      </c>
      <c r="D39809" s="8">
        <v>0</v>
      </c>
      <c r="E39809" s="8">
        <v>0</v>
      </c>
      <c r="F39809" s="8">
        <v>183</v>
      </c>
    </row>
    <row r="39810" spans="1:6" ht="12.75">
      <c r="A39810" s="8">
        <v>43886.628402777773</v>
      </c>
      <c r="B39810" s="8" t="str">
        <f>HYPERLINK("https://twitter.com/r_nazilah","@r_nazilah")</f>
        <v>@r_nazilah</v>
      </c>
      <c r="C39810" s="8" t="s">
        <v>15241</v>
      </c>
      <c r="D39810" s="8">
        <v>0</v>
      </c>
      <c r="E39810" s="8">
        <v>0</v>
      </c>
      <c r="F39810" s="8">
        <v>162</v>
      </c>
    </row>
    <row r="39811" spans="1:6" ht="12.75">
      <c r="A39811" s="8">
        <v>43886.628229166672</v>
      </c>
      <c r="B39811" s="8" t="str">
        <f>HYPERLINK("https://twitter.com/Bodenkkokko","@Bodenkkokko")</f>
        <v>@Bodenkkokko</v>
      </c>
      <c r="C39811" s="8" t="s">
        <v>11183</v>
      </c>
      <c r="D39811" s="8">
        <v>94</v>
      </c>
      <c r="E39811" s="8">
        <v>0</v>
      </c>
      <c r="F39811" s="8">
        <v>255</v>
      </c>
    </row>
    <row r="39812" spans="1:6" ht="12.75">
      <c r="A39812" s="8">
        <v>43886.628009259264</v>
      </c>
      <c r="B39812" s="8" t="str">
        <f>HYPERLINK("https://twitter.com/My_garden0709","@My_garden0709")</f>
        <v>@My_garden0709</v>
      </c>
      <c r="C39812" s="8" t="s">
        <v>8484</v>
      </c>
      <c r="D39812" s="8">
        <v>799</v>
      </c>
      <c r="E39812" s="8">
        <v>0</v>
      </c>
      <c r="F39812" s="8">
        <v>859</v>
      </c>
    </row>
    <row r="39813" spans="1:6" ht="12.75">
      <c r="A39813" s="8">
        <v>43886.627905092595</v>
      </c>
      <c r="B39813" s="8" t="str">
        <f>HYPERLINK("https://twitter.com/FayyadhAtsauri","@FayyadhAtsauri")</f>
        <v>@FayyadhAtsauri</v>
      </c>
      <c r="C39813" s="8" t="s">
        <v>15125</v>
      </c>
      <c r="D39813" s="8">
        <v>39</v>
      </c>
      <c r="E39813" s="8">
        <v>0</v>
      </c>
      <c r="F39813" s="8">
        <v>243</v>
      </c>
    </row>
    <row r="39814" spans="1:6" ht="12.75">
      <c r="A39814" s="8">
        <v>43886.627476851849</v>
      </c>
      <c r="B39814" s="8" t="str">
        <f>HYPERLINK("https://twitter.com/My_garden0709","@My_garden0709")</f>
        <v>@My_garden0709</v>
      </c>
      <c r="C39814" s="8" t="s">
        <v>2940</v>
      </c>
      <c r="D39814" s="8">
        <v>2416</v>
      </c>
      <c r="E39814" s="8">
        <v>0</v>
      </c>
      <c r="F39814" s="8">
        <v>859</v>
      </c>
    </row>
    <row r="39815" spans="1:6" ht="12.75">
      <c r="A39815" s="8">
        <v>43886.627372685187</v>
      </c>
      <c r="B39815" s="8" t="str">
        <f>HYPERLINK("https://twitter.com/nuridahayat1275","@nuridahayat1275")</f>
        <v>@nuridahayat1275</v>
      </c>
      <c r="C39815" s="8" t="s">
        <v>11964</v>
      </c>
      <c r="D39815" s="8">
        <v>372</v>
      </c>
      <c r="E39815" s="8">
        <v>0</v>
      </c>
      <c r="F39815" s="8">
        <v>148</v>
      </c>
    </row>
    <row r="39816" spans="1:6" ht="12.75">
      <c r="A39816" s="8">
        <v>43886.626550925925</v>
      </c>
      <c r="B39816" s="8" t="str">
        <f>HYPERLINK("https://twitter.com/r_nazilah","@r_nazilah")</f>
        <v>@r_nazilah</v>
      </c>
      <c r="C39816" s="8" t="s">
        <v>15242</v>
      </c>
      <c r="D39816" s="8">
        <v>0</v>
      </c>
      <c r="E39816" s="8">
        <v>0</v>
      </c>
      <c r="F39816" s="8">
        <v>162</v>
      </c>
    </row>
    <row r="39817" spans="1:6" ht="12.75">
      <c r="A39817" s="8">
        <v>43886.626527777778</v>
      </c>
      <c r="B39817" s="8" t="str">
        <f>HYPERLINK("https://twitter.com/LHidayatullah05","@LHidayatullah05")</f>
        <v>@LHidayatullah05</v>
      </c>
      <c r="C39817" s="8" t="s">
        <v>15243</v>
      </c>
      <c r="D39817" s="8">
        <v>1</v>
      </c>
      <c r="E39817" s="8">
        <v>0</v>
      </c>
      <c r="F39817" s="8">
        <v>288</v>
      </c>
    </row>
    <row r="39818" spans="1:6" ht="12.75">
      <c r="A39818" s="8">
        <v>43886.626388888893</v>
      </c>
      <c r="B39818" s="8" t="str">
        <f>HYPERLINK("https://twitter.com/the_geotimes","@the_geotimes")</f>
        <v>@the_geotimes</v>
      </c>
      <c r="C39818" s="8" t="s">
        <v>14869</v>
      </c>
      <c r="D39818" s="8">
        <v>0</v>
      </c>
      <c r="E39818" s="8">
        <v>2</v>
      </c>
      <c r="F39818" s="8">
        <v>49678</v>
      </c>
    </row>
    <row r="39819" spans="1:6" ht="12.75">
      <c r="A39819" s="8">
        <v>43886.626145833332</v>
      </c>
      <c r="B39819" s="8" t="str">
        <f>HYPERLINK("https://twitter.com/ridwanmputra","@ridwanmputra")</f>
        <v>@ridwanmputra</v>
      </c>
      <c r="C39819" s="8" t="s">
        <v>14430</v>
      </c>
      <c r="D39819" s="8">
        <v>25</v>
      </c>
      <c r="E39819" s="8">
        <v>0</v>
      </c>
      <c r="F39819" s="8">
        <v>354</v>
      </c>
    </row>
    <row r="39820" spans="1:6" ht="12.75">
      <c r="A39820" s="8">
        <v>43886.625925925924</v>
      </c>
      <c r="B39820" s="8" t="str">
        <f>HYPERLINK("https://twitter.com/dakurage","@dakurage")</f>
        <v>@dakurage</v>
      </c>
      <c r="C39820" s="8" t="s">
        <v>8484</v>
      </c>
      <c r="D39820" s="8">
        <v>799</v>
      </c>
      <c r="E39820" s="8">
        <v>0</v>
      </c>
      <c r="F39820" s="8">
        <v>2959</v>
      </c>
    </row>
    <row r="39821" spans="1:6" ht="12.75">
      <c r="A39821" s="8">
        <v>43886.62572916667</v>
      </c>
      <c r="B39821" s="8" t="str">
        <f>HYPERLINK("https://twitter.com/kompascom","@kompascom")</f>
        <v>@kompascom</v>
      </c>
      <c r="C39821" s="8" t="s">
        <v>15244</v>
      </c>
      <c r="D39821" s="8">
        <v>1</v>
      </c>
      <c r="E39821" s="8">
        <v>2</v>
      </c>
      <c r="F39821" s="8">
        <v>7512029</v>
      </c>
    </row>
    <row r="39822" spans="1:6" ht="12.75">
      <c r="A39822" s="8">
        <v>43886.625625000001</v>
      </c>
      <c r="B39822" s="8" t="str">
        <f>HYPERLINK("https://twitter.com/IRMANZO1","@IRMANZO1")</f>
        <v>@IRMANZO1</v>
      </c>
      <c r="C39822" s="8" t="s">
        <v>2940</v>
      </c>
      <c r="D39822" s="8">
        <v>2416</v>
      </c>
      <c r="E39822" s="8">
        <v>0</v>
      </c>
      <c r="F39822" s="8">
        <v>268</v>
      </c>
    </row>
    <row r="39823" spans="1:6" ht="12.75">
      <c r="A39823" s="8">
        <v>43886.625277777777</v>
      </c>
      <c r="B39823" s="8" t="str">
        <f>HYPERLINK("https://twitter.com/mediaindonesia","@mediaindonesia")</f>
        <v>@mediaindonesia</v>
      </c>
      <c r="C39823" s="8" t="s">
        <v>15245</v>
      </c>
      <c r="D39823" s="8">
        <v>1</v>
      </c>
      <c r="E39823" s="8">
        <v>0</v>
      </c>
      <c r="F39823" s="8">
        <v>1418597</v>
      </c>
    </row>
    <row r="39824" spans="1:6" ht="12.75">
      <c r="A39824" s="8">
        <v>43886.625115740739</v>
      </c>
      <c r="B39824" s="8" t="str">
        <f>HYPERLINK("https://twitter.com/cupcake1718","@cupcake1718")</f>
        <v>@cupcake1718</v>
      </c>
      <c r="C39824" s="8" t="s">
        <v>8484</v>
      </c>
      <c r="D39824" s="8">
        <v>799</v>
      </c>
      <c r="E39824" s="8">
        <v>0</v>
      </c>
      <c r="F39824" s="8">
        <v>380</v>
      </c>
    </row>
    <row r="39825" spans="1:6" ht="12.75">
      <c r="A39825" s="8">
        <v>43886.625023148154</v>
      </c>
      <c r="B39825" s="8" t="str">
        <f>HYPERLINK("https://twitter.com/VIVAcoid","@VIVAcoid")</f>
        <v>@VIVAcoid</v>
      </c>
      <c r="C39825" s="8" t="s">
        <v>15246</v>
      </c>
      <c r="D39825" s="8">
        <v>1</v>
      </c>
      <c r="E39825" s="8">
        <v>0</v>
      </c>
      <c r="F39825" s="8">
        <v>4172220</v>
      </c>
    </row>
    <row r="39826" spans="1:6" ht="12.75">
      <c r="A39826" s="8">
        <v>43886.624675925923</v>
      </c>
      <c r="B39826" s="8" t="str">
        <f>HYPERLINK("https://twitter.com/vivanewscom","@vivanewscom")</f>
        <v>@vivanewscom</v>
      </c>
      <c r="C39826" s="8" t="s">
        <v>15247</v>
      </c>
      <c r="D39826" s="8">
        <v>1</v>
      </c>
      <c r="E39826" s="8">
        <v>0</v>
      </c>
      <c r="F39826" s="8">
        <v>4388</v>
      </c>
    </row>
    <row r="39827" spans="1:6" ht="12.75">
      <c r="A39827" s="8">
        <v>43886.624456018515</v>
      </c>
      <c r="B39827" s="8" t="str">
        <f>HYPERLINK("https://twitter.com/wni_jmsri","@wni_jmsri")</f>
        <v>@wni_jmsri</v>
      </c>
      <c r="C39827" s="8" t="s">
        <v>15248</v>
      </c>
      <c r="D39827" s="8">
        <v>0</v>
      </c>
      <c r="E39827" s="8">
        <v>0</v>
      </c>
      <c r="F39827" s="8">
        <v>196</v>
      </c>
    </row>
    <row r="39828" spans="1:6" ht="12.75">
      <c r="A39828" s="8">
        <v>43886.624097222222</v>
      </c>
      <c r="B39828" s="8" t="str">
        <f>HYPERLINK("https://twitter.com/IlBJzFN7rmCjrDZ","@IlBJzFN7rmCjrDZ")</f>
        <v>@IlBJzFN7rmCjrDZ</v>
      </c>
      <c r="C39828" s="8" t="s">
        <v>8484</v>
      </c>
      <c r="D39828" s="8">
        <v>799</v>
      </c>
      <c r="E39828" s="8">
        <v>0</v>
      </c>
      <c r="F39828" s="8">
        <v>60</v>
      </c>
    </row>
    <row r="39829" spans="1:6" ht="12.75">
      <c r="A39829" s="8">
        <v>43886.622939814813</v>
      </c>
      <c r="B39829" s="8" t="str">
        <f>HYPERLINK("https://twitter.com/republikaonline","@republikaonline")</f>
        <v>@republikaonline</v>
      </c>
      <c r="C39829" s="8" t="s">
        <v>15249</v>
      </c>
      <c r="D39829" s="8">
        <v>0</v>
      </c>
      <c r="E39829" s="8">
        <v>0</v>
      </c>
      <c r="F39829" s="8">
        <v>1213330</v>
      </c>
    </row>
    <row r="39830" spans="1:6" ht="12.75">
      <c r="A39830" s="8">
        <v>43886.622812500005</v>
      </c>
      <c r="B39830" s="8" t="str">
        <f>HYPERLINK("https://twitter.com/echoPiR","@echoPiR")</f>
        <v>@echoPiR</v>
      </c>
      <c r="C39830" s="8" t="s">
        <v>15250</v>
      </c>
      <c r="D39830" s="8">
        <v>2</v>
      </c>
      <c r="E39830" s="8">
        <v>0</v>
      </c>
      <c r="F39830" s="8">
        <v>155</v>
      </c>
    </row>
    <row r="39831" spans="1:6" ht="12.75">
      <c r="A39831" s="8">
        <v>43886.622789351852</v>
      </c>
      <c r="B39831" s="8" t="str">
        <f>HYPERLINK("https://twitter.com/PenyairRadikal","@PenyairRadikal")</f>
        <v>@PenyairRadikal</v>
      </c>
      <c r="C39831" s="8" t="s">
        <v>11964</v>
      </c>
      <c r="D39831" s="8">
        <v>372</v>
      </c>
      <c r="E39831" s="8">
        <v>0</v>
      </c>
      <c r="F39831" s="8">
        <v>104</v>
      </c>
    </row>
    <row r="39832" spans="1:6" ht="12.75">
      <c r="A39832" s="8">
        <v>43886.622662037036</v>
      </c>
      <c r="B39832" s="8" t="str">
        <f>HYPERLINK("https://twitter.com/Donal_golan","@Donal_golan")</f>
        <v>@Donal_golan</v>
      </c>
      <c r="C39832" s="8" t="s">
        <v>15251</v>
      </c>
      <c r="D39832" s="8">
        <v>0</v>
      </c>
      <c r="E39832" s="8">
        <v>1</v>
      </c>
      <c r="F39832" s="8">
        <v>766</v>
      </c>
    </row>
    <row r="39833" spans="1:6" ht="12.75">
      <c r="A39833" s="8">
        <v>43886.622106481482</v>
      </c>
      <c r="B39833" s="8" t="str">
        <f>HYPERLINK("https://twitter.com/aannurrohmatull","@aannurrohmatull")</f>
        <v>@aannurrohmatull</v>
      </c>
      <c r="C39833" s="8" t="s">
        <v>11964</v>
      </c>
      <c r="D39833" s="8">
        <v>372</v>
      </c>
      <c r="E39833" s="8">
        <v>0</v>
      </c>
      <c r="F39833" s="8">
        <v>655</v>
      </c>
    </row>
    <row r="39834" spans="1:6" ht="12.75">
      <c r="A39834" s="8">
        <v>43886.622094907405</v>
      </c>
      <c r="B39834" s="8" t="str">
        <f>HYPERLINK("https://twitter.com/wni_jmsri","@wni_jmsri")</f>
        <v>@wni_jmsri</v>
      </c>
      <c r="C39834" s="8" t="s">
        <v>15252</v>
      </c>
      <c r="D39834" s="8">
        <v>3</v>
      </c>
      <c r="E39834" s="8">
        <v>0</v>
      </c>
      <c r="F39834" s="8">
        <v>196</v>
      </c>
    </row>
    <row r="39835" spans="1:6" ht="12.75">
      <c r="A39835" s="8">
        <v>43886.621990740736</v>
      </c>
      <c r="B39835" s="8" t="str">
        <f>HYPERLINK("https://twitter.com/n_nonaka","@n_nonaka")</f>
        <v>@n_nonaka</v>
      </c>
      <c r="C39835" s="8" t="s">
        <v>8484</v>
      </c>
      <c r="D39835" s="8">
        <v>799</v>
      </c>
      <c r="E39835" s="8">
        <v>0</v>
      </c>
      <c r="F39835" s="8">
        <v>161</v>
      </c>
    </row>
    <row r="39836" spans="1:6" ht="12.75">
      <c r="A39836" s="8">
        <v>43886.62164351852</v>
      </c>
      <c r="B39836" s="8" t="str">
        <f>HYPERLINK("https://twitter.com/bokushinomusuko","@bokushinomusuko")</f>
        <v>@bokushinomusuko</v>
      </c>
      <c r="C39836" s="8" t="s">
        <v>8484</v>
      </c>
      <c r="D39836" s="8">
        <v>799</v>
      </c>
      <c r="E39836" s="8">
        <v>0</v>
      </c>
      <c r="F39836" s="8">
        <v>142</v>
      </c>
    </row>
    <row r="39837" spans="1:6" ht="12.75">
      <c r="A39837" s="8">
        <v>43886.621018518519</v>
      </c>
      <c r="B39837" s="8" t="str">
        <f>HYPERLINK("https://twitter.com/ann_antique","@ann_antique")</f>
        <v>@ann_antique</v>
      </c>
      <c r="C39837" s="8" t="s">
        <v>8484</v>
      </c>
      <c r="D39837" s="8">
        <v>799</v>
      </c>
      <c r="E39837" s="8">
        <v>0</v>
      </c>
      <c r="F39837" s="8">
        <v>106</v>
      </c>
    </row>
    <row r="39838" spans="1:6" ht="12.75">
      <c r="A39838" s="8">
        <v>43886.620752314819</v>
      </c>
      <c r="B39838" s="8" t="str">
        <f>HYPERLINK("https://twitter.com/Yne2Z4M8zvqThZX","@Yne2Z4M8zvqThZX")</f>
        <v>@Yne2Z4M8zvqThZX</v>
      </c>
      <c r="C39838" s="8" t="s">
        <v>8484</v>
      </c>
      <c r="D39838" s="8">
        <v>799</v>
      </c>
      <c r="E39838" s="8">
        <v>0</v>
      </c>
      <c r="F39838" s="8">
        <v>565</v>
      </c>
    </row>
    <row r="39839" spans="1:6" ht="12.75">
      <c r="A39839" s="8">
        <v>43886.620162037041</v>
      </c>
      <c r="B39839" s="8" t="str">
        <f>HYPERLINK("https://twitter.com/VIVAcoid","@VIVAcoid")</f>
        <v>@VIVAcoid</v>
      </c>
      <c r="C39839" s="8" t="s">
        <v>15250</v>
      </c>
      <c r="D39839" s="8">
        <v>2</v>
      </c>
      <c r="E39839" s="8">
        <v>0</v>
      </c>
      <c r="F39839" s="8">
        <v>4172220</v>
      </c>
    </row>
    <row r="39840" spans="1:6" ht="12.75">
      <c r="A39840" s="8">
        <v>43886.619837962964</v>
      </c>
      <c r="B39840" s="8" t="str">
        <f>HYPERLINK("https://twitter.com/pro37655559","@pro37655559")</f>
        <v>@pro37655559</v>
      </c>
      <c r="C39840" s="8" t="s">
        <v>13073</v>
      </c>
      <c r="D39840" s="8">
        <v>11</v>
      </c>
      <c r="E39840" s="8">
        <v>0</v>
      </c>
      <c r="F39840" s="8">
        <v>4</v>
      </c>
    </row>
    <row r="39841" spans="1:6" ht="12.75">
      <c r="A39841" s="8">
        <v>43886.619814814811</v>
      </c>
      <c r="B39841" s="8" t="str">
        <f>HYPERLINK("https://twitter.com/vivanewscom","@vivanewscom")</f>
        <v>@vivanewscom</v>
      </c>
      <c r="C39841" s="8" t="s">
        <v>15253</v>
      </c>
      <c r="D39841" s="8">
        <v>2</v>
      </c>
      <c r="E39841" s="8">
        <v>1</v>
      </c>
      <c r="F39841" s="8">
        <v>4388</v>
      </c>
    </row>
    <row r="39842" spans="1:6" ht="12.75">
      <c r="A39842" s="8">
        <v>43886.619421296295</v>
      </c>
      <c r="B39842" s="8" t="str">
        <f>HYPERLINK("https://twitter.com/HopsIndonesia","@HopsIndonesia")</f>
        <v>@HopsIndonesia</v>
      </c>
      <c r="C39842" s="8" t="s">
        <v>15254</v>
      </c>
      <c r="D39842" s="8">
        <v>0</v>
      </c>
      <c r="E39842" s="8">
        <v>0</v>
      </c>
      <c r="F39842" s="8">
        <v>9</v>
      </c>
    </row>
    <row r="39843" spans="1:6" ht="12.75">
      <c r="A39843" s="8">
        <v>43886.619062500002</v>
      </c>
      <c r="B39843" s="8" t="str">
        <f>HYPERLINK("https://twitter.com/cesar60967231","@cesar60967231")</f>
        <v>@cesar60967231</v>
      </c>
      <c r="C39843" s="8" t="s">
        <v>2940</v>
      </c>
      <c r="D39843" s="8">
        <v>2416</v>
      </c>
      <c r="E39843" s="8">
        <v>0</v>
      </c>
      <c r="F39843" s="8">
        <v>71</v>
      </c>
    </row>
    <row r="39844" spans="1:6" ht="12.75">
      <c r="A39844" s="8">
        <v>43886.618703703702</v>
      </c>
      <c r="B39844" s="8" t="str">
        <f>HYPERLINK("https://twitter.com/marpaung913","@marpaung913")</f>
        <v>@marpaung913</v>
      </c>
      <c r="C39844" s="8" t="s">
        <v>15255</v>
      </c>
      <c r="D39844" s="8">
        <v>6</v>
      </c>
      <c r="E39844" s="8">
        <v>0</v>
      </c>
      <c r="F39844" s="8">
        <v>531</v>
      </c>
    </row>
    <row r="39845" spans="1:6" ht="12.75">
      <c r="A39845" s="8">
        <v>43886.618576388893</v>
      </c>
      <c r="B39845" s="8" t="str">
        <f>HYPERLINK("https://twitter.com/Ludhi_N","@Ludhi_N")</f>
        <v>@Ludhi_N</v>
      </c>
      <c r="C39845" s="8" t="s">
        <v>15208</v>
      </c>
      <c r="D39845" s="8">
        <v>5</v>
      </c>
      <c r="E39845" s="8">
        <v>0</v>
      </c>
      <c r="F39845" s="8">
        <v>375</v>
      </c>
    </row>
    <row r="39846" spans="1:6" ht="12.75">
      <c r="A39846" s="8">
        <v>43886.618344907409</v>
      </c>
      <c r="B39846" s="8" t="str">
        <f>HYPERLINK("https://twitter.com/tioharimurtie","@tioharimurtie")</f>
        <v>@tioharimurtie</v>
      </c>
      <c r="C39846" s="8" t="s">
        <v>11183</v>
      </c>
      <c r="D39846" s="8">
        <v>94</v>
      </c>
      <c r="E39846" s="8">
        <v>0</v>
      </c>
      <c r="F39846" s="8">
        <v>3629</v>
      </c>
    </row>
    <row r="39847" spans="1:6" ht="12.75">
      <c r="A39847" s="8">
        <v>43886.618310185186</v>
      </c>
      <c r="B39847" s="8" t="str">
        <f>HYPERLINK("https://twitter.com/mugiya_wardhany","@mugiya_wardhany")</f>
        <v>@mugiya_wardhany</v>
      </c>
      <c r="C39847" s="8" t="s">
        <v>11964</v>
      </c>
      <c r="D39847" s="8">
        <v>372</v>
      </c>
      <c r="E39847" s="8">
        <v>0</v>
      </c>
      <c r="F39847" s="8">
        <v>1661</v>
      </c>
    </row>
    <row r="39848" spans="1:6" ht="12.75">
      <c r="A39848" s="8">
        <v>43886.61824074074</v>
      </c>
      <c r="B39848" s="8" t="str">
        <f>HYPERLINK("https://twitter.com/zarazettirazr","@zarazettirazr")</f>
        <v>@zarazettirazr</v>
      </c>
      <c r="C39848" s="8" t="s">
        <v>15255</v>
      </c>
      <c r="D39848" s="8">
        <v>6</v>
      </c>
      <c r="E39848" s="8">
        <v>0</v>
      </c>
      <c r="F39848" s="8">
        <v>250668</v>
      </c>
    </row>
    <row r="39849" spans="1:6" ht="12.75">
      <c r="A39849" s="8">
        <v>43886.618229166663</v>
      </c>
      <c r="B39849" s="8" t="str">
        <f>HYPERLINK("https://twitter.com/KekeySRiana","@KekeySRiana")</f>
        <v>@KekeySRiana</v>
      </c>
      <c r="C39849" s="8" t="s">
        <v>15255</v>
      </c>
      <c r="D39849" s="8">
        <v>6</v>
      </c>
      <c r="E39849" s="8">
        <v>0</v>
      </c>
      <c r="F39849" s="8">
        <v>1066</v>
      </c>
    </row>
    <row r="39850" spans="1:6" ht="12.75">
      <c r="A39850" s="8">
        <v>43886.61719907407</v>
      </c>
      <c r="B39850" s="8" t="str">
        <f>HYPERLINK("https://twitter.com/Donal_golan","@Donal_golan")</f>
        <v>@Donal_golan</v>
      </c>
      <c r="C39850" s="8" t="s">
        <v>15256</v>
      </c>
      <c r="D39850" s="8">
        <v>0</v>
      </c>
      <c r="E39850" s="8">
        <v>0</v>
      </c>
      <c r="F39850" s="8">
        <v>766</v>
      </c>
    </row>
    <row r="39851" spans="1:6" ht="12.75">
      <c r="A39851" s="8">
        <v>43886.617071759261</v>
      </c>
      <c r="B39851" s="8" t="str">
        <f>HYPERLINK("https://twitter.com/tsabithamaghfr","@tsabithamaghfr")</f>
        <v>@tsabithamaghfr</v>
      </c>
      <c r="C39851" s="8" t="s">
        <v>14859</v>
      </c>
      <c r="D39851" s="8">
        <v>42</v>
      </c>
      <c r="E39851" s="8">
        <v>0</v>
      </c>
      <c r="F39851" s="8">
        <v>2414</v>
      </c>
    </row>
    <row r="39852" spans="1:6" ht="12.75">
      <c r="A39852" s="8">
        <v>43886.616956018523</v>
      </c>
      <c r="B39852" s="8" t="str">
        <f>HYPERLINK("https://twitter.com/sosorasora3","@sosorasora3")</f>
        <v>@sosorasora3</v>
      </c>
      <c r="C39852" s="8" t="s">
        <v>8484</v>
      </c>
      <c r="D39852" s="8">
        <v>799</v>
      </c>
      <c r="E39852" s="8">
        <v>0</v>
      </c>
      <c r="F39852" s="8">
        <v>5750</v>
      </c>
    </row>
    <row r="39853" spans="1:6" ht="12.75">
      <c r="A39853" s="8">
        <v>43886.616956018523</v>
      </c>
      <c r="B39853" s="8" t="str">
        <f>HYPERLINK("https://twitter.com/haurasyauqy2210","@haurasyauqy2210")</f>
        <v>@haurasyauqy2210</v>
      </c>
      <c r="C39853" s="8" t="s">
        <v>15257</v>
      </c>
      <c r="D39853" s="8">
        <v>1</v>
      </c>
      <c r="E39853" s="8">
        <v>0</v>
      </c>
      <c r="F39853" s="8">
        <v>163</v>
      </c>
    </row>
    <row r="39854" spans="1:6" ht="12.75">
      <c r="A39854" s="8">
        <v>43886.616875</v>
      </c>
      <c r="B39854" s="8" t="str">
        <f>HYPERLINK("https://twitter.com/Mrkoday","@Mrkoday")</f>
        <v>@Mrkoday</v>
      </c>
      <c r="C39854" s="8" t="s">
        <v>14430</v>
      </c>
      <c r="D39854" s="8">
        <v>25</v>
      </c>
      <c r="E39854" s="8">
        <v>0</v>
      </c>
      <c r="F39854" s="8">
        <v>98</v>
      </c>
    </row>
    <row r="39855" spans="1:6" ht="12.75">
      <c r="A39855" s="8">
        <v>43886.616805555561</v>
      </c>
      <c r="B39855" s="8" t="str">
        <f>HYPERLINK("https://twitter.com/Loeyra3","@Loeyra3")</f>
        <v>@Loeyra3</v>
      </c>
      <c r="C39855" s="8" t="s">
        <v>15258</v>
      </c>
      <c r="D39855" s="8">
        <v>0</v>
      </c>
      <c r="E39855" s="8">
        <v>0</v>
      </c>
      <c r="F39855" s="8">
        <v>108</v>
      </c>
    </row>
    <row r="39856" spans="1:6" ht="12.75">
      <c r="A39856" s="8">
        <v>43886.616666666669</v>
      </c>
      <c r="B39856" s="8" t="str">
        <f>HYPERLINK("https://twitter.com/SonoraFM92","@SonoraFM92")</f>
        <v>@SonoraFM92</v>
      </c>
      <c r="C39856" s="8" t="s">
        <v>13643</v>
      </c>
      <c r="D39856" s="8">
        <v>0</v>
      </c>
      <c r="E39856" s="8">
        <v>0</v>
      </c>
      <c r="F39856" s="8">
        <v>293148</v>
      </c>
    </row>
    <row r="39857" spans="1:6" ht="12.75">
      <c r="A39857" s="8">
        <v>43886.616597222222</v>
      </c>
      <c r="B39857" s="8" t="str">
        <f>HYPERLINK("https://twitter.com/kanasando2004","@kanasando2004")</f>
        <v>@kanasando2004</v>
      </c>
      <c r="C39857" s="8" t="s">
        <v>2940</v>
      </c>
      <c r="D39857" s="8">
        <v>2416</v>
      </c>
      <c r="E39857" s="8">
        <v>0</v>
      </c>
      <c r="F39857" s="8">
        <v>208</v>
      </c>
    </row>
    <row r="39858" spans="1:6" ht="12.75">
      <c r="A39858" s="8">
        <v>43886.616099537037</v>
      </c>
      <c r="B39858" s="8" t="str">
        <f>HYPERLINK("https://twitter.com/urisaran","@urisaran")</f>
        <v>@urisaran</v>
      </c>
      <c r="C39858" s="8" t="s">
        <v>8484</v>
      </c>
      <c r="D39858" s="8">
        <v>799</v>
      </c>
      <c r="E39858" s="8">
        <v>0</v>
      </c>
      <c r="F39858" s="8">
        <v>161</v>
      </c>
    </row>
    <row r="39859" spans="1:6" ht="12.75">
      <c r="A39859" s="8">
        <v>43886.616076388891</v>
      </c>
      <c r="B39859" s="8" t="str">
        <f>HYPERLINK("https://twitter.com/Iwanneh","@Iwanneh")</f>
        <v>@Iwanneh</v>
      </c>
      <c r="C39859" s="8" t="s">
        <v>15259</v>
      </c>
      <c r="D39859" s="8">
        <v>0</v>
      </c>
      <c r="E39859" s="8">
        <v>1</v>
      </c>
      <c r="F39859" s="8">
        <v>5447</v>
      </c>
    </row>
    <row r="39860" spans="1:6" ht="12.75">
      <c r="A39860" s="8">
        <v>43886.616041666668</v>
      </c>
      <c r="B39860" s="8" t="str">
        <f t="shared" ref="B39860:B39863" si="590">HYPERLINK("https://twitter.com/sitesirius","@sitesirius")</f>
        <v>@sitesirius</v>
      </c>
      <c r="C39860" s="8" t="s">
        <v>14106</v>
      </c>
      <c r="D39860" s="8">
        <v>130</v>
      </c>
      <c r="E39860" s="8">
        <v>0</v>
      </c>
      <c r="F39860" s="8">
        <v>1619</v>
      </c>
    </row>
    <row r="39861" spans="1:6" ht="12.75">
      <c r="A39861" s="8">
        <v>43886.616006944445</v>
      </c>
      <c r="B39861" s="8" t="str">
        <f t="shared" si="590"/>
        <v>@sitesirius</v>
      </c>
      <c r="C39861" s="8" t="s">
        <v>13834</v>
      </c>
      <c r="D39861" s="8">
        <v>141</v>
      </c>
      <c r="E39861" s="8">
        <v>0</v>
      </c>
      <c r="F39861" s="8">
        <v>1619</v>
      </c>
    </row>
    <row r="39862" spans="1:6" ht="12.75">
      <c r="A39862" s="8">
        <v>43886.615937499999</v>
      </c>
      <c r="B39862" s="8" t="str">
        <f t="shared" si="590"/>
        <v>@sitesirius</v>
      </c>
      <c r="C39862" s="8" t="s">
        <v>8484</v>
      </c>
      <c r="D39862" s="8">
        <v>799</v>
      </c>
      <c r="E39862" s="8">
        <v>0</v>
      </c>
      <c r="F39862" s="8">
        <v>1619</v>
      </c>
    </row>
    <row r="39863" spans="1:6" ht="12.75">
      <c r="A39863" s="8">
        <v>43886.61582175926</v>
      </c>
      <c r="B39863" s="8" t="str">
        <f t="shared" si="590"/>
        <v>@sitesirius</v>
      </c>
      <c r="C39863" s="8" t="s">
        <v>2940</v>
      </c>
      <c r="D39863" s="8">
        <v>2416</v>
      </c>
      <c r="E39863" s="8">
        <v>0</v>
      </c>
      <c r="F39863" s="8">
        <v>1619</v>
      </c>
    </row>
    <row r="39864" spans="1:6" ht="12.75">
      <c r="A39864" s="8">
        <v>43886.615740740745</v>
      </c>
      <c r="B39864" s="8" t="str">
        <f>HYPERLINK("https://twitter.com/detii0730","@detii0730")</f>
        <v>@detii0730</v>
      </c>
      <c r="C39864" s="8" t="s">
        <v>15260</v>
      </c>
      <c r="D39864" s="8">
        <v>0</v>
      </c>
      <c r="E39864" s="8">
        <v>0</v>
      </c>
      <c r="F39864" s="8">
        <v>888</v>
      </c>
    </row>
    <row r="39865" spans="1:6" ht="12.75">
      <c r="A39865" s="8">
        <v>43886.615601851852</v>
      </c>
      <c r="B39865" s="8" t="str">
        <f>HYPERLINK("https://twitter.com/wulhae","@wulhae")</f>
        <v>@wulhae</v>
      </c>
      <c r="C39865" s="8" t="s">
        <v>15208</v>
      </c>
      <c r="D39865" s="8">
        <v>5</v>
      </c>
      <c r="E39865" s="8">
        <v>0</v>
      </c>
      <c r="F39865" s="8">
        <v>156</v>
      </c>
    </row>
    <row r="39866" spans="1:6" ht="12.75">
      <c r="A39866" s="8">
        <v>43886.61550925926</v>
      </c>
      <c r="B39866" s="8" t="str">
        <f>HYPERLINK("https://twitter.com/raisoooturu","@raisoooturu")</f>
        <v>@raisoooturu</v>
      </c>
      <c r="C39866" s="8" t="s">
        <v>2940</v>
      </c>
      <c r="D39866" s="8">
        <v>2416</v>
      </c>
      <c r="E39866" s="8">
        <v>0</v>
      </c>
      <c r="F39866" s="8">
        <v>372</v>
      </c>
    </row>
    <row r="39867" spans="1:6" ht="12.75">
      <c r="A39867" s="8">
        <v>43886.615416666667</v>
      </c>
      <c r="B39867" s="8" t="str">
        <f>HYPERLINK("https://twitter.com/Batu_Karang69","@Batu_Karang69")</f>
        <v>@Batu_Karang69</v>
      </c>
      <c r="C39867" s="8" t="s">
        <v>15261</v>
      </c>
      <c r="D39867" s="8">
        <v>1</v>
      </c>
      <c r="E39867" s="8">
        <v>0</v>
      </c>
      <c r="F39867" s="8">
        <v>183</v>
      </c>
    </row>
    <row r="39868" spans="1:6" ht="12.75">
      <c r="A39868" s="8">
        <v>43886.615370370375</v>
      </c>
      <c r="B39868" s="8" t="str">
        <f>HYPERLINK("https://twitter.com/zoelgelox","@zoelgelox")</f>
        <v>@zoelgelox</v>
      </c>
      <c r="C39868" s="8" t="s">
        <v>15255</v>
      </c>
      <c r="D39868" s="8">
        <v>6</v>
      </c>
      <c r="E39868" s="8">
        <v>0</v>
      </c>
      <c r="F39868" s="8">
        <v>232</v>
      </c>
    </row>
    <row r="39869" spans="1:6" ht="12.75">
      <c r="A39869" s="8">
        <v>43886.615358796298</v>
      </c>
      <c r="B39869" s="8" t="str">
        <f>HYPERLINK("https://twitter.com/jiyong0818iye88","@jiyong0818iye88")</f>
        <v>@jiyong0818iye88</v>
      </c>
      <c r="C39869" s="8" t="s">
        <v>8484</v>
      </c>
      <c r="D39869" s="8">
        <v>799</v>
      </c>
      <c r="E39869" s="8">
        <v>0</v>
      </c>
      <c r="F39869" s="8">
        <v>23</v>
      </c>
    </row>
    <row r="39870" spans="1:6" ht="12.75">
      <c r="A39870" s="8">
        <v>43886.615277777775</v>
      </c>
      <c r="B39870" s="8" t="str">
        <f>HYPERLINK("https://twitter.com/setiawanh46","@setiawanh46")</f>
        <v>@setiawanh46</v>
      </c>
      <c r="C39870" s="8" t="s">
        <v>11183</v>
      </c>
      <c r="D39870" s="8">
        <v>94</v>
      </c>
      <c r="E39870" s="8">
        <v>0</v>
      </c>
      <c r="F39870" s="8">
        <v>1918</v>
      </c>
    </row>
    <row r="39871" spans="1:6" ht="12.75">
      <c r="A39871" s="8">
        <v>43886.615219907406</v>
      </c>
      <c r="B39871" s="8" t="str">
        <f>HYPERLINK("https://twitter.com/ghoriii95","@ghoriii95")</f>
        <v>@ghoriii95</v>
      </c>
      <c r="C39871" s="8" t="s">
        <v>15208</v>
      </c>
      <c r="D39871" s="8">
        <v>5</v>
      </c>
      <c r="E39871" s="8">
        <v>0</v>
      </c>
      <c r="F39871" s="8">
        <v>205</v>
      </c>
    </row>
    <row r="39872" spans="1:6" ht="12.75">
      <c r="A39872" s="8">
        <v>43886.614965277782</v>
      </c>
      <c r="B39872" s="8" t="str">
        <f>HYPERLINK("https://twitter.com/lustrousgalaxy","@lustrousgalaxy")</f>
        <v>@lustrousgalaxy</v>
      </c>
      <c r="C39872" s="8" t="s">
        <v>15262</v>
      </c>
      <c r="D39872" s="8">
        <v>0</v>
      </c>
      <c r="E39872" s="8">
        <v>0</v>
      </c>
      <c r="F39872" s="8">
        <v>260</v>
      </c>
    </row>
    <row r="39873" spans="1:6" ht="12.75">
      <c r="A39873" s="8">
        <v>43886.614652777775</v>
      </c>
      <c r="B39873" s="8" t="str">
        <f>HYPERLINK("https://twitter.com/nnnisrina","@nnnisrina")</f>
        <v>@nnnisrina</v>
      </c>
      <c r="C39873" s="8" t="s">
        <v>2940</v>
      </c>
      <c r="D39873" s="8">
        <v>2416</v>
      </c>
      <c r="E39873" s="8">
        <v>0</v>
      </c>
      <c r="F39873" s="8">
        <v>126</v>
      </c>
    </row>
    <row r="39874" spans="1:6" ht="12.75">
      <c r="A39874" s="8">
        <v>43886.614606481482</v>
      </c>
      <c r="B39874" s="8" t="str">
        <f>HYPERLINK("https://twitter.com/Dukun081","@Dukun081")</f>
        <v>@Dukun081</v>
      </c>
      <c r="C39874" s="8" t="s">
        <v>11964</v>
      </c>
      <c r="D39874" s="8">
        <v>372</v>
      </c>
      <c r="E39874" s="8">
        <v>0</v>
      </c>
      <c r="F39874" s="8">
        <v>971</v>
      </c>
    </row>
    <row r="39875" spans="1:6" ht="12.75">
      <c r="A39875" s="8">
        <v>43886.614583333328</v>
      </c>
      <c r="B39875" s="8" t="str">
        <f>HYPERLINK("https://twitter.com/GOAL_ID","@GOAL_ID")</f>
        <v>@GOAL_ID</v>
      </c>
      <c r="C39875" s="8" t="s">
        <v>15263</v>
      </c>
      <c r="D39875" s="8">
        <v>5</v>
      </c>
      <c r="E39875" s="8">
        <v>20</v>
      </c>
      <c r="F39875" s="8">
        <v>2211844</v>
      </c>
    </row>
    <row r="39876" spans="1:6" ht="12.75">
      <c r="A39876" s="8">
        <v>43886.613287037035</v>
      </c>
      <c r="B39876" s="8" t="str">
        <f>HYPERLINK("https://twitter.com/nisdimana","@nisdimana")</f>
        <v>@nisdimana</v>
      </c>
      <c r="C39876" s="8" t="s">
        <v>14430</v>
      </c>
      <c r="D39876" s="8">
        <v>25</v>
      </c>
      <c r="E39876" s="8">
        <v>0</v>
      </c>
      <c r="F39876" s="8">
        <v>858</v>
      </c>
    </row>
    <row r="39877" spans="1:6" ht="12.75">
      <c r="A39877" s="8">
        <v>43886.612881944442</v>
      </c>
      <c r="B39877" s="8" t="str">
        <f>HYPERLINK("https://twitter.com/l0stcactus","@l0stcactus")</f>
        <v>@l0stcactus</v>
      </c>
      <c r="C39877" s="8" t="s">
        <v>2940</v>
      </c>
      <c r="D39877" s="8">
        <v>2416</v>
      </c>
      <c r="E39877" s="8">
        <v>0</v>
      </c>
      <c r="F39877" s="8">
        <v>1040</v>
      </c>
    </row>
    <row r="39878" spans="1:6" ht="12.75">
      <c r="A39878" s="8">
        <v>43886.612870370373</v>
      </c>
      <c r="B39878" s="8" t="str">
        <f>HYPERLINK("https://twitter.com/kompascom","@kompascom")</f>
        <v>@kompascom</v>
      </c>
      <c r="C39878" s="8" t="s">
        <v>15264</v>
      </c>
      <c r="D39878" s="8">
        <v>6</v>
      </c>
      <c r="E39878" s="8">
        <v>10</v>
      </c>
      <c r="F39878" s="8">
        <v>7512029</v>
      </c>
    </row>
    <row r="39879" spans="1:6" ht="12.75">
      <c r="A39879" s="8">
        <v>43886.612662037034</v>
      </c>
      <c r="B39879" s="8" t="str">
        <f>HYPERLINK("https://twitter.com/heyataa","@heyataa")</f>
        <v>@heyataa</v>
      </c>
      <c r="C39879" s="8" t="s">
        <v>14430</v>
      </c>
      <c r="D39879" s="8">
        <v>25</v>
      </c>
      <c r="E39879" s="8">
        <v>0</v>
      </c>
      <c r="F39879" s="8">
        <v>469</v>
      </c>
    </row>
    <row r="39880" spans="1:6" ht="12.75">
      <c r="A39880" s="8">
        <v>43886.611979166672</v>
      </c>
      <c r="B39880" s="8" t="str">
        <f>HYPERLINK("https://twitter.com/ibalthirty","@ibalthirty")</f>
        <v>@ibalthirty</v>
      </c>
      <c r="C39880" s="8" t="s">
        <v>14430</v>
      </c>
      <c r="D39880" s="8">
        <v>25</v>
      </c>
      <c r="E39880" s="8">
        <v>0</v>
      </c>
      <c r="F39880" s="8">
        <v>469</v>
      </c>
    </row>
    <row r="39881" spans="1:6" ht="12.75">
      <c r="A39881" s="8">
        <v>43886.611805555556</v>
      </c>
      <c r="B39881" s="8" t="str">
        <f>HYPERLINK("https://twitter.com/rosegoldmeteor","@rosegoldmeteor")</f>
        <v>@rosegoldmeteor</v>
      </c>
      <c r="C39881" s="8" t="s">
        <v>2940</v>
      </c>
      <c r="D39881" s="8">
        <v>2416</v>
      </c>
      <c r="E39881" s="8">
        <v>0</v>
      </c>
      <c r="F39881" s="8">
        <v>500</v>
      </c>
    </row>
    <row r="39882" spans="1:6" ht="12.75">
      <c r="A39882" s="8">
        <v>43886.611759259264</v>
      </c>
      <c r="B39882" s="8" t="str">
        <f>HYPERLINK("https://twitter.com/Tandaseru_id","@Tandaseru_id")</f>
        <v>@Tandaseru_id</v>
      </c>
      <c r="C39882" s="8" t="s">
        <v>15265</v>
      </c>
      <c r="D39882" s="8">
        <v>0</v>
      </c>
      <c r="E39882" s="8">
        <v>0</v>
      </c>
      <c r="F39882" s="8">
        <v>536</v>
      </c>
    </row>
    <row r="39883" spans="1:6" ht="12.75">
      <c r="A39883" s="8">
        <v>43886.611516203702</v>
      </c>
      <c r="B39883" s="8" t="str">
        <f>HYPERLINK("https://twitter.com/nancy_mw","@nancy_mw")</f>
        <v>@nancy_mw</v>
      </c>
      <c r="C39883" s="8" t="s">
        <v>15141</v>
      </c>
      <c r="D39883" s="8">
        <v>16</v>
      </c>
      <c r="E39883" s="8">
        <v>0</v>
      </c>
      <c r="F39883" s="8">
        <v>425</v>
      </c>
    </row>
    <row r="39884" spans="1:6" ht="12.75">
      <c r="A39884" s="8">
        <v>43886.61142361111</v>
      </c>
      <c r="B39884" s="8" t="str">
        <f>HYPERLINK("https://twitter.com/innamei","@innamei")</f>
        <v>@innamei</v>
      </c>
      <c r="C39884" s="8" t="s">
        <v>11964</v>
      </c>
      <c r="D39884" s="8">
        <v>372</v>
      </c>
      <c r="E39884" s="8">
        <v>0</v>
      </c>
      <c r="F39884" s="8">
        <v>640</v>
      </c>
    </row>
    <row r="39885" spans="1:6" ht="12.75">
      <c r="A39885" s="8">
        <v>43886.611354166671</v>
      </c>
      <c r="B39885" s="8" t="str">
        <f>HYPERLINK("https://twitter.com/BabangBachri","@BabangBachri")</f>
        <v>@BabangBachri</v>
      </c>
      <c r="C39885" s="8" t="s">
        <v>11964</v>
      </c>
      <c r="D39885" s="8">
        <v>372</v>
      </c>
      <c r="E39885" s="8">
        <v>0</v>
      </c>
      <c r="F39885" s="8">
        <v>446</v>
      </c>
    </row>
    <row r="39886" spans="1:6" ht="12.75">
      <c r="A39886" s="8">
        <v>43886.611157407402</v>
      </c>
      <c r="B39886" s="8" t="str">
        <f>HYPERLINK("https://twitter.com/ShenRu013","@ShenRu013")</f>
        <v>@ShenRu013</v>
      </c>
      <c r="C39886" s="8" t="s">
        <v>15266</v>
      </c>
      <c r="D39886" s="8">
        <v>2</v>
      </c>
      <c r="E39886" s="8">
        <v>0</v>
      </c>
      <c r="F39886" s="8">
        <v>409</v>
      </c>
    </row>
    <row r="39887" spans="1:6" ht="12.75">
      <c r="A39887" s="8">
        <v>43886.611134259263</v>
      </c>
      <c r="B39887" s="8" t="str">
        <f>HYPERLINK("https://twitter.com/bokohalal","@bokohalal")</f>
        <v>@bokohalal</v>
      </c>
      <c r="C39887" s="8" t="s">
        <v>15163</v>
      </c>
      <c r="D39887" s="8">
        <v>4</v>
      </c>
      <c r="E39887" s="8">
        <v>0</v>
      </c>
      <c r="F39887" s="8">
        <v>141</v>
      </c>
    </row>
    <row r="39888" spans="1:6" ht="12.75">
      <c r="A39888" s="8">
        <v>43886.611041666663</v>
      </c>
      <c r="B39888" s="8" t="str">
        <f>HYPERLINK("https://twitter.com/desioctaviana8","@desioctaviana8")</f>
        <v>@desioctaviana8</v>
      </c>
      <c r="C39888" s="8" t="s">
        <v>14430</v>
      </c>
      <c r="D39888" s="8">
        <v>25</v>
      </c>
      <c r="E39888" s="8">
        <v>0</v>
      </c>
      <c r="F39888" s="8">
        <v>419</v>
      </c>
    </row>
    <row r="39889" spans="1:6" ht="12.75">
      <c r="A39889" s="8">
        <v>43886.610960648148</v>
      </c>
      <c r="B39889" s="8" t="str">
        <f>HYPERLINK("https://twitter.com/RamliSindi","@RamliSindi")</f>
        <v>@RamliSindi</v>
      </c>
      <c r="C39889" s="8" t="s">
        <v>11183</v>
      </c>
      <c r="D39889" s="8">
        <v>94</v>
      </c>
      <c r="E39889" s="8">
        <v>0</v>
      </c>
      <c r="F39889" s="8">
        <v>111</v>
      </c>
    </row>
    <row r="39890" spans="1:6" ht="12.75">
      <c r="A39890" s="8">
        <v>43886.610821759255</v>
      </c>
      <c r="B39890" s="8" t="str">
        <f>HYPERLINK("https://twitter.com/SofyanAmris","@SofyanAmris")</f>
        <v>@SofyanAmris</v>
      </c>
      <c r="C39890" s="8" t="s">
        <v>14430</v>
      </c>
      <c r="D39890" s="8">
        <v>25</v>
      </c>
      <c r="E39890" s="8">
        <v>0</v>
      </c>
      <c r="F39890" s="8">
        <v>410</v>
      </c>
    </row>
    <row r="39891" spans="1:6" ht="12.75">
      <c r="A39891" s="8">
        <v>43886.610787037032</v>
      </c>
      <c r="B39891" s="8" t="str">
        <f>HYPERLINK("https://twitter.com/BuletinNusantar","@BuletinNusantar")</f>
        <v>@BuletinNusantar</v>
      </c>
      <c r="C39891" s="8" t="s">
        <v>15267</v>
      </c>
      <c r="D39891" s="8">
        <v>0</v>
      </c>
      <c r="E39891" s="8">
        <v>0</v>
      </c>
      <c r="F39891" s="8">
        <v>116</v>
      </c>
    </row>
    <row r="39892" spans="1:6" ht="12.75">
      <c r="A39892" s="8">
        <v>43886.610636574071</v>
      </c>
      <c r="B39892" s="8" t="str">
        <f>HYPERLINK("https://twitter.com/catreonot","@catreonot")</f>
        <v>@catreonot</v>
      </c>
      <c r="C39892" s="8" t="s">
        <v>14430</v>
      </c>
      <c r="D39892" s="8">
        <v>25</v>
      </c>
      <c r="E39892" s="8">
        <v>0</v>
      </c>
      <c r="F39892" s="8">
        <v>212</v>
      </c>
    </row>
    <row r="39893" spans="1:6" ht="12.75">
      <c r="A39893" s="8">
        <v>43886.610578703709</v>
      </c>
      <c r="B39893" s="8" t="str">
        <f>HYPERLINK("https://twitter.com/CoShadows64_L","@CoShadows64_L")</f>
        <v>@CoShadows64_L</v>
      </c>
      <c r="C39893" s="8" t="s">
        <v>14430</v>
      </c>
      <c r="D39893" s="8">
        <v>25</v>
      </c>
      <c r="E39893" s="8">
        <v>0</v>
      </c>
      <c r="F39893" s="8">
        <v>27</v>
      </c>
    </row>
    <row r="39894" spans="1:6" ht="12.75">
      <c r="A39894" s="8">
        <v>43886.610567129625</v>
      </c>
      <c r="B39894" s="8" t="str">
        <f>HYPERLINK("https://twitter.com/http_panni","@http_panni")</f>
        <v>@http_panni</v>
      </c>
      <c r="C39894" s="8" t="s">
        <v>14430</v>
      </c>
      <c r="D39894" s="8">
        <v>25</v>
      </c>
      <c r="E39894" s="8">
        <v>0</v>
      </c>
      <c r="F39894" s="8">
        <v>33</v>
      </c>
    </row>
    <row r="39895" spans="1:6" ht="12.75">
      <c r="A39895" s="8">
        <v>43886.610555555555</v>
      </c>
      <c r="B39895" s="8" t="str">
        <f>HYPERLINK("https://twitter.com/confvndvs","@confvndvs")</f>
        <v>@confvndvs</v>
      </c>
      <c r="C39895" s="8" t="s">
        <v>14430</v>
      </c>
      <c r="D39895" s="8">
        <v>25</v>
      </c>
      <c r="E39895" s="8">
        <v>0</v>
      </c>
      <c r="F39895" s="8">
        <v>329</v>
      </c>
    </row>
    <row r="39896" spans="1:6" ht="12.75">
      <c r="A39896" s="8">
        <v>43886.610277777778</v>
      </c>
      <c r="B39896" s="8" t="str">
        <f>HYPERLINK("https://twitter.com/FifiListiana","@FifiListiana")</f>
        <v>@FifiListiana</v>
      </c>
      <c r="C39896" s="8" t="s">
        <v>14430</v>
      </c>
      <c r="D39896" s="8">
        <v>25</v>
      </c>
      <c r="E39896" s="8">
        <v>0</v>
      </c>
      <c r="F39896" s="8">
        <v>448</v>
      </c>
    </row>
    <row r="39897" spans="1:6" ht="12.75">
      <c r="A39897" s="8">
        <v>43886.610231481478</v>
      </c>
      <c r="B39897" s="8" t="str">
        <f>HYPERLINK("https://twitter.com/wiwigaga_","@wiwigaga_")</f>
        <v>@wiwigaga_</v>
      </c>
      <c r="C39897" s="8" t="s">
        <v>14430</v>
      </c>
      <c r="D39897" s="8">
        <v>25</v>
      </c>
      <c r="E39897" s="8">
        <v>0</v>
      </c>
      <c r="F39897" s="8">
        <v>650</v>
      </c>
    </row>
    <row r="39898" spans="1:6" ht="12.75">
      <c r="A39898" s="8">
        <v>43886.610115740739</v>
      </c>
      <c r="B39898" s="8" t="str">
        <f>HYPERLINK("https://twitter.com/_sleepykoala","@_sleepykoala")</f>
        <v>@_sleepykoala</v>
      </c>
      <c r="C39898" s="8" t="s">
        <v>14430</v>
      </c>
      <c r="D39898" s="8">
        <v>25</v>
      </c>
      <c r="E39898" s="8">
        <v>0</v>
      </c>
      <c r="F39898" s="8">
        <v>815</v>
      </c>
    </row>
    <row r="39899" spans="1:6" ht="12.75">
      <c r="A39899" s="8">
        <v>43886.609918981485</v>
      </c>
      <c r="B39899" s="8" t="str">
        <f>HYPERLINK("https://twitter.com/catuaries","@catuaries")</f>
        <v>@catuaries</v>
      </c>
      <c r="C39899" s="8" t="s">
        <v>2940</v>
      </c>
      <c r="D39899" s="8">
        <v>2416</v>
      </c>
      <c r="E39899" s="8">
        <v>0</v>
      </c>
      <c r="F39899" s="8">
        <v>8589</v>
      </c>
    </row>
    <row r="39900" spans="1:6" ht="12.75">
      <c r="A39900" s="8">
        <v>43886.609756944439</v>
      </c>
      <c r="B39900" s="8" t="str">
        <f>HYPERLINK("https://twitter.com/mr_kenkent","@mr_kenkent")</f>
        <v>@mr_kenkent</v>
      </c>
      <c r="C39900" s="8" t="s">
        <v>2940</v>
      </c>
      <c r="D39900" s="8">
        <v>2416</v>
      </c>
      <c r="E39900" s="8">
        <v>0</v>
      </c>
      <c r="F39900" s="8">
        <v>154</v>
      </c>
    </row>
    <row r="39901" spans="1:6" ht="12.75">
      <c r="A39901" s="8">
        <v>43886.609722222223</v>
      </c>
      <c r="B39901" s="8" t="str">
        <f>HYPERLINK("https://twitter.com/_wni_","@_wni_")</f>
        <v>@_wni_</v>
      </c>
      <c r="C39901" s="8" t="s">
        <v>15268</v>
      </c>
      <c r="D39901" s="8">
        <v>29181</v>
      </c>
      <c r="E39901" s="8">
        <v>0</v>
      </c>
      <c r="F39901" s="8">
        <v>8</v>
      </c>
    </row>
    <row r="39902" spans="1:6" ht="12.75">
      <c r="A39902" s="8">
        <v>43886.59002314815</v>
      </c>
      <c r="B39902" s="8" t="str">
        <f>HYPERLINK("https://twitter.com/AlHijaz46792964","@AlHijaz46792964")</f>
        <v>@AlHijaz46792964</v>
      </c>
      <c r="C39902" s="8" t="s">
        <v>11964</v>
      </c>
      <c r="D39902" s="8">
        <v>354</v>
      </c>
      <c r="E39902" s="8">
        <v>0</v>
      </c>
      <c r="F39902" s="8">
        <v>324</v>
      </c>
    </row>
    <row r="39903" spans="1:6" ht="12.75">
      <c r="A39903" s="8">
        <v>43886.589872685188</v>
      </c>
      <c r="B39903" s="8" t="str">
        <f>HYPERLINK("https://twitter.com/GatenTohchan","@GatenTohchan")</f>
        <v>@GatenTohchan</v>
      </c>
      <c r="C39903" s="8" t="s">
        <v>2940</v>
      </c>
      <c r="D39903" s="8">
        <v>2386</v>
      </c>
      <c r="E39903" s="8">
        <v>0</v>
      </c>
      <c r="F39903" s="8">
        <v>219</v>
      </c>
    </row>
    <row r="39904" spans="1:6" ht="12.75">
      <c r="A39904" s="8">
        <v>43886.589687500003</v>
      </c>
      <c r="B39904" s="8" t="str">
        <f>HYPERLINK("https://twitter.com/el_choooo","@el_choooo")</f>
        <v>@el_choooo</v>
      </c>
      <c r="C39904" s="8" t="s">
        <v>11183</v>
      </c>
      <c r="D39904" s="8">
        <v>85</v>
      </c>
      <c r="E39904" s="8">
        <v>0</v>
      </c>
      <c r="F39904" s="8">
        <v>437</v>
      </c>
    </row>
    <row r="39905" spans="1:6" ht="12.75">
      <c r="A39905" s="8">
        <v>43886.589675925927</v>
      </c>
      <c r="B39905" s="8" t="str">
        <f t="shared" ref="B39905:B39906" si="591">HYPERLINK("https://twitter.com/sakusaku_e","@sakusaku_e")</f>
        <v>@sakusaku_e</v>
      </c>
      <c r="C39905" s="8" t="s">
        <v>13834</v>
      </c>
      <c r="D39905" s="8">
        <v>137</v>
      </c>
      <c r="E39905" s="8">
        <v>0</v>
      </c>
      <c r="F39905" s="8">
        <v>16</v>
      </c>
    </row>
    <row r="39906" spans="1:6" ht="12.75">
      <c r="A39906" s="8">
        <v>43886.589548611111</v>
      </c>
      <c r="B39906" s="8" t="str">
        <f t="shared" si="591"/>
        <v>@sakusaku_e</v>
      </c>
      <c r="C39906" s="8" t="s">
        <v>8484</v>
      </c>
      <c r="D39906" s="8">
        <v>768</v>
      </c>
      <c r="E39906" s="8">
        <v>0</v>
      </c>
      <c r="F39906" s="8">
        <v>16</v>
      </c>
    </row>
    <row r="39907" spans="1:6" ht="12.75">
      <c r="A39907" s="8">
        <v>43886.589247685188</v>
      </c>
      <c r="B39907" s="8" t="str">
        <f>HYPERLINK("https://twitter.com/djayantiaprilia","@djayantiaprilia")</f>
        <v>@djayantiaprilia</v>
      </c>
      <c r="C39907" s="8" t="s">
        <v>15269</v>
      </c>
      <c r="D39907" s="8">
        <v>0</v>
      </c>
      <c r="E39907" s="8">
        <v>0</v>
      </c>
      <c r="F39907" s="8">
        <v>533</v>
      </c>
    </row>
    <row r="39908" spans="1:6" ht="12.75">
      <c r="A39908" s="8">
        <v>43886.588749999995</v>
      </c>
      <c r="B39908" s="8" t="str">
        <f>HYPERLINK("https://twitter.com/tamamamaxy","@tamamamaxy")</f>
        <v>@tamamamaxy</v>
      </c>
      <c r="C39908" s="8" t="s">
        <v>8484</v>
      </c>
      <c r="D39908" s="8">
        <v>768</v>
      </c>
      <c r="E39908" s="8">
        <v>0</v>
      </c>
      <c r="F39908" s="8">
        <v>431</v>
      </c>
    </row>
    <row r="39909" spans="1:6" ht="12.75">
      <c r="A39909" s="8">
        <v>43886.58865740741</v>
      </c>
      <c r="B39909" s="8" t="str">
        <f>HYPERLINK("https://twitter.com/mulsareang2","@mulsareang2")</f>
        <v>@mulsareang2</v>
      </c>
      <c r="C39909" s="8" t="s">
        <v>11183</v>
      </c>
      <c r="D39909" s="8">
        <v>85</v>
      </c>
      <c r="E39909" s="8">
        <v>0</v>
      </c>
      <c r="F39909" s="8">
        <v>1222</v>
      </c>
    </row>
    <row r="39910" spans="1:6" ht="12.75">
      <c r="A39910" s="8">
        <v>43886.588020833333</v>
      </c>
      <c r="B39910" s="8" t="str">
        <f>HYPERLINK("https://twitter.com/lismawati_evi","@lismawati_evi")</f>
        <v>@lismawati_evi</v>
      </c>
      <c r="C39910" s="8" t="s">
        <v>15270</v>
      </c>
      <c r="D39910" s="8">
        <v>0</v>
      </c>
      <c r="E39910" s="8">
        <v>0</v>
      </c>
      <c r="F39910" s="8">
        <v>53</v>
      </c>
    </row>
    <row r="39911" spans="1:6" ht="12.75">
      <c r="A39911" s="8">
        <v>43886.587812500002</v>
      </c>
      <c r="B39911" s="8" t="str">
        <f>HYPERLINK("https://twitter.com/nana040461","@nana040461")</f>
        <v>@nana040461</v>
      </c>
      <c r="C39911" s="8" t="s">
        <v>6666</v>
      </c>
      <c r="D39911" s="8">
        <v>16</v>
      </c>
      <c r="E39911" s="8">
        <v>0</v>
      </c>
      <c r="F39911" s="8">
        <v>1857</v>
      </c>
    </row>
    <row r="39912" spans="1:6" ht="12.75">
      <c r="A39912" s="8">
        <v>43886.587800925925</v>
      </c>
      <c r="B39912" s="8" t="str">
        <f>HYPERLINK("https://twitter.com/Ammex6","@Ammex6")</f>
        <v>@Ammex6</v>
      </c>
      <c r="C39912" s="8" t="s">
        <v>15125</v>
      </c>
      <c r="D39912" s="8">
        <v>36</v>
      </c>
      <c r="E39912" s="8">
        <v>0</v>
      </c>
      <c r="F39912" s="8">
        <v>342</v>
      </c>
    </row>
    <row r="39913" spans="1:6" ht="12.75">
      <c r="A39913" s="8">
        <v>43886.587708333333</v>
      </c>
      <c r="B39913" s="8" t="str">
        <f>HYPERLINK("https://twitter.com/Owlish_01","@Owlish_01")</f>
        <v>@Owlish_01</v>
      </c>
      <c r="C39913" s="8" t="s">
        <v>8484</v>
      </c>
      <c r="D39913" s="8">
        <v>768</v>
      </c>
      <c r="E39913" s="8">
        <v>0</v>
      </c>
      <c r="F39913" s="8">
        <v>80</v>
      </c>
    </row>
    <row r="39914" spans="1:6" ht="12.75">
      <c r="A39914" s="8">
        <v>43886.58766203704</v>
      </c>
      <c r="B39914" s="8" t="str">
        <f>HYPERLINK("https://twitter.com/Serimurni14","@Serimurni14")</f>
        <v>@Serimurni14</v>
      </c>
      <c r="C39914" s="8" t="s">
        <v>15271</v>
      </c>
      <c r="D39914" s="8">
        <v>0</v>
      </c>
      <c r="E39914" s="8">
        <v>0</v>
      </c>
      <c r="F39914" s="8">
        <v>33</v>
      </c>
    </row>
    <row r="39915" spans="1:6" ht="12.75">
      <c r="A39915" s="8">
        <v>43886.587604166663</v>
      </c>
      <c r="B39915" s="8" t="str">
        <f>HYPERLINK("https://twitter.com/syahroeladjah","@syahroeladjah")</f>
        <v>@syahroeladjah</v>
      </c>
      <c r="C39915" s="8" t="s">
        <v>11964</v>
      </c>
      <c r="D39915" s="8">
        <v>354</v>
      </c>
      <c r="E39915" s="8">
        <v>0</v>
      </c>
      <c r="F39915" s="8">
        <v>1288</v>
      </c>
    </row>
    <row r="39916" spans="1:6" ht="12.75">
      <c r="A39916" s="8">
        <v>43886.587546296301</v>
      </c>
      <c r="B39916" s="8" t="str">
        <f>HYPERLINK("https://twitter.com/AbuGhaGha","@AbuGhaGha")</f>
        <v>@AbuGhaGha</v>
      </c>
      <c r="C39916" s="8" t="s">
        <v>15272</v>
      </c>
      <c r="D39916" s="8">
        <v>0</v>
      </c>
      <c r="E39916" s="8">
        <v>0</v>
      </c>
      <c r="F39916" s="8">
        <v>498</v>
      </c>
    </row>
    <row r="39917" spans="1:6" ht="12.75">
      <c r="A39917" s="8">
        <v>43886.587372685186</v>
      </c>
      <c r="B39917" s="8" t="str">
        <f>HYPERLINK("https://twitter.com/msaid_didu","@msaid_didu")</f>
        <v>@msaid_didu</v>
      </c>
      <c r="C39917" s="8" t="s">
        <v>15125</v>
      </c>
      <c r="D39917" s="8">
        <v>36</v>
      </c>
      <c r="E39917" s="8">
        <v>0</v>
      </c>
      <c r="F39917" s="8">
        <v>232767</v>
      </c>
    </row>
    <row r="39918" spans="1:6" ht="12.75">
      <c r="A39918" s="8">
        <v>43886.587106481486</v>
      </c>
      <c r="B39918" s="8" t="str">
        <f>HYPERLINK("https://twitter.com/absimor","@absimor")</f>
        <v>@absimor</v>
      </c>
      <c r="C39918" s="8" t="s">
        <v>15273</v>
      </c>
      <c r="D39918" s="8">
        <v>0</v>
      </c>
      <c r="E39918" s="8">
        <v>0</v>
      </c>
      <c r="F39918" s="8">
        <v>0</v>
      </c>
    </row>
    <row r="39919" spans="1:6" ht="12.75">
      <c r="A39919" s="8">
        <v>43886.586875000001</v>
      </c>
      <c r="B39919" s="8" t="str">
        <f>HYPERLINK("https://twitter.com/soloposdotcom","@soloposdotcom")</f>
        <v>@soloposdotcom</v>
      </c>
      <c r="C39919" s="8" t="s">
        <v>15274</v>
      </c>
      <c r="D39919" s="8">
        <v>0</v>
      </c>
      <c r="E39919" s="8">
        <v>0</v>
      </c>
      <c r="F39919" s="8">
        <v>59854</v>
      </c>
    </row>
    <row r="39920" spans="1:6" ht="12.75">
      <c r="A39920" s="8">
        <v>43886.5862962963</v>
      </c>
      <c r="B39920" s="8" t="str">
        <f>HYPERLINK("https://twitter.com/tougeichan","@tougeichan")</f>
        <v>@tougeichan</v>
      </c>
      <c r="C39920" s="8" t="s">
        <v>8484</v>
      </c>
      <c r="D39920" s="8">
        <v>768</v>
      </c>
      <c r="E39920" s="8">
        <v>0</v>
      </c>
      <c r="F39920" s="8">
        <v>715</v>
      </c>
    </row>
    <row r="39921" spans="1:6" ht="12.75">
      <c r="A39921" s="8">
        <v>43886.5862962963</v>
      </c>
      <c r="B39921" s="8" t="str">
        <f>HYPERLINK("https://twitter.com/rimasikinaja","@rimasikinaja")</f>
        <v>@rimasikinaja</v>
      </c>
      <c r="C39921" s="8" t="s">
        <v>15275</v>
      </c>
      <c r="D39921" s="8">
        <v>4</v>
      </c>
      <c r="E39921" s="8">
        <v>0</v>
      </c>
      <c r="F39921" s="8">
        <v>1393</v>
      </c>
    </row>
    <row r="39922" spans="1:6" ht="12.75">
      <c r="A39922" s="8">
        <v>43886.586238425924</v>
      </c>
      <c r="B39922" s="8" t="str">
        <f>HYPERLINK("https://twitter.com/McTell1","@McTell1")</f>
        <v>@McTell1</v>
      </c>
      <c r="C39922" s="8" t="s">
        <v>8484</v>
      </c>
      <c r="D39922" s="8">
        <v>768</v>
      </c>
      <c r="E39922" s="8">
        <v>0</v>
      </c>
      <c r="F39922" s="8">
        <v>51</v>
      </c>
    </row>
    <row r="39923" spans="1:6" ht="12.75">
      <c r="A39923" s="8">
        <v>43886.585092592592</v>
      </c>
      <c r="B39923" s="8" t="str">
        <f>HYPERLINK("https://twitter.com/Riau1Official","@Riau1Official")</f>
        <v>@Riau1Official</v>
      </c>
      <c r="C39923" s="8" t="s">
        <v>15276</v>
      </c>
      <c r="D39923" s="8">
        <v>0</v>
      </c>
      <c r="E39923" s="8">
        <v>0</v>
      </c>
      <c r="F39923" s="8">
        <v>81</v>
      </c>
    </row>
    <row r="39924" spans="1:6" ht="12.75">
      <c r="A39924" s="8">
        <v>43886.585081018522</v>
      </c>
      <c r="B39924" s="8" t="str">
        <f>HYPERLINK("https://twitter.com/SZhibond","@SZhibond")</f>
        <v>@SZhibond</v>
      </c>
      <c r="C39924" s="8" t="s">
        <v>11964</v>
      </c>
      <c r="D39924" s="8">
        <v>354</v>
      </c>
      <c r="E39924" s="8">
        <v>0</v>
      </c>
      <c r="F39924" s="8">
        <v>2008</v>
      </c>
    </row>
    <row r="39925" spans="1:6" ht="12.75">
      <c r="A39925" s="8">
        <v>43886.584224537037</v>
      </c>
      <c r="B39925" s="8" t="str">
        <f>HYPERLINK("https://twitter.com/RepublikTweep","@RepublikTweep")</f>
        <v>@RepublikTweep</v>
      </c>
      <c r="C39925" s="8" t="s">
        <v>15141</v>
      </c>
      <c r="D39925" s="8">
        <v>14</v>
      </c>
      <c r="E39925" s="8">
        <v>0</v>
      </c>
      <c r="F39925" s="8">
        <v>27447</v>
      </c>
    </row>
    <row r="39926" spans="1:6" ht="12.75">
      <c r="A39926" s="8">
        <v>43886.58357638889</v>
      </c>
      <c r="B39926" s="8" t="str">
        <f>HYPERLINK("https://twitter.com/golden_barrell","@golden_barrell")</f>
        <v>@golden_barrell</v>
      </c>
      <c r="C39926" s="8" t="s">
        <v>15277</v>
      </c>
      <c r="D39926" s="8">
        <v>0</v>
      </c>
      <c r="E39926" s="8">
        <v>0</v>
      </c>
      <c r="F39926" s="8">
        <v>0</v>
      </c>
    </row>
    <row r="39927" spans="1:6" ht="12.75">
      <c r="A39927" s="8">
        <v>43886.58321759259</v>
      </c>
      <c r="B39927" s="8" t="str">
        <f>HYPERLINK("https://twitter.com/na_sth","@na_sth")</f>
        <v>@na_sth</v>
      </c>
      <c r="C39927" s="8" t="s">
        <v>2940</v>
      </c>
      <c r="D39927" s="8">
        <v>2386</v>
      </c>
      <c r="E39927" s="8">
        <v>0</v>
      </c>
      <c r="F39927" s="8">
        <v>576</v>
      </c>
    </row>
    <row r="39928" spans="1:6" ht="12.75">
      <c r="A39928" s="8">
        <v>43886.58320601852</v>
      </c>
      <c r="B39928" s="8" t="str">
        <f>HYPERLINK("https://twitter.com/rumi_okubo","@rumi_okubo")</f>
        <v>@rumi_okubo</v>
      </c>
      <c r="C39928" s="8" t="s">
        <v>2940</v>
      </c>
      <c r="D39928" s="8">
        <v>2386</v>
      </c>
      <c r="E39928" s="8">
        <v>0</v>
      </c>
      <c r="F39928" s="8">
        <v>171</v>
      </c>
    </row>
    <row r="39929" spans="1:6" ht="12.75">
      <c r="A39929" s="8">
        <v>43886.582916666666</v>
      </c>
      <c r="B39929" s="8" t="str">
        <f>HYPERLINK("https://twitter.com/Putra_F4jar","@Putra_F4jar")</f>
        <v>@Putra_F4jar</v>
      </c>
      <c r="C39929" s="8" t="s">
        <v>6666</v>
      </c>
      <c r="D39929" s="8">
        <v>16</v>
      </c>
      <c r="E39929" s="8">
        <v>0</v>
      </c>
      <c r="F39929" s="8">
        <v>2978</v>
      </c>
    </row>
    <row r="39930" spans="1:6" ht="12.75">
      <c r="A39930" s="8">
        <v>43886.582708333328</v>
      </c>
      <c r="B39930" s="8" t="str">
        <f>HYPERLINK("https://twitter.com/RashidunNavy","@RashidunNavy")</f>
        <v>@RashidunNavy</v>
      </c>
      <c r="C39930" s="8" t="s">
        <v>11964</v>
      </c>
      <c r="D39930" s="8">
        <v>354</v>
      </c>
      <c r="E39930" s="8">
        <v>0</v>
      </c>
      <c r="F39930" s="8">
        <v>1596</v>
      </c>
    </row>
    <row r="39931" spans="1:6" ht="12.75">
      <c r="A39931" s="8">
        <v>43886.582673611112</v>
      </c>
      <c r="B39931" s="8" t="str">
        <f>HYPERLINK("https://twitter.com/abdullah_fahrud","@abdullah_fahrud")</f>
        <v>@abdullah_fahrud</v>
      </c>
      <c r="C39931" s="8" t="s">
        <v>11183</v>
      </c>
      <c r="D39931" s="8">
        <v>85</v>
      </c>
      <c r="E39931" s="8">
        <v>0</v>
      </c>
      <c r="F39931" s="8">
        <v>193</v>
      </c>
    </row>
    <row r="39932" spans="1:6" ht="12.75">
      <c r="A39932" s="8">
        <v>43886.582013888888</v>
      </c>
      <c r="B39932" s="8" t="str">
        <f>HYPERLINK("https://twitter.com/hitorisan_bot","@hitorisan_bot")</f>
        <v>@hitorisan_bot</v>
      </c>
      <c r="C39932" s="8" t="s">
        <v>2940</v>
      </c>
      <c r="D39932" s="8">
        <v>2386</v>
      </c>
      <c r="E39932" s="8">
        <v>0</v>
      </c>
      <c r="F39932" s="8">
        <v>263</v>
      </c>
    </row>
    <row r="39933" spans="1:6" ht="12.75">
      <c r="A39933" s="8">
        <v>43886.581967592589</v>
      </c>
      <c r="B39933" s="8" t="str">
        <f>HYPERLINK("https://twitter.com/beraniadilhebat","@beraniadilhebat")</f>
        <v>@beraniadilhebat</v>
      </c>
      <c r="C39933" s="8" t="s">
        <v>11964</v>
      </c>
      <c r="D39933" s="8">
        <v>354</v>
      </c>
      <c r="E39933" s="8">
        <v>0</v>
      </c>
      <c r="F39933" s="8">
        <v>1297</v>
      </c>
    </row>
    <row r="39934" spans="1:6" ht="12.75">
      <c r="A39934" s="8">
        <v>43886.581875000003</v>
      </c>
      <c r="B39934" s="8" t="str">
        <f>HYPERLINK("https://twitter.com/miripyoga","@miripyoga")</f>
        <v>@miripyoga</v>
      </c>
      <c r="C39934" s="8" t="s">
        <v>15278</v>
      </c>
      <c r="D39934" s="8">
        <v>0</v>
      </c>
      <c r="E39934" s="8">
        <v>0</v>
      </c>
      <c r="F39934" s="8">
        <v>278</v>
      </c>
    </row>
    <row r="39935" spans="1:6" ht="12.75">
      <c r="A39935" s="8">
        <v>43886.581828703704</v>
      </c>
      <c r="B39935" s="8" t="str">
        <f>HYPERLINK("https://twitter.com/AmelliaFara","@AmelliaFara")</f>
        <v>@AmelliaFara</v>
      </c>
      <c r="C39935" s="8" t="s">
        <v>15279</v>
      </c>
      <c r="D39935" s="8">
        <v>0</v>
      </c>
      <c r="E39935" s="8">
        <v>1</v>
      </c>
      <c r="F39935" s="8">
        <v>125</v>
      </c>
    </row>
    <row r="39936" spans="1:6" ht="12.75">
      <c r="A39936" s="8">
        <v>43886.581331018519</v>
      </c>
      <c r="B39936" s="8" t="str">
        <f>HYPERLINK("https://twitter.com/moin5re","@moin5re")</f>
        <v>@moin5re</v>
      </c>
      <c r="C39936" s="8" t="s">
        <v>2940</v>
      </c>
      <c r="D39936" s="8">
        <v>2386</v>
      </c>
      <c r="E39936" s="8">
        <v>0</v>
      </c>
      <c r="F39936" s="8">
        <v>44</v>
      </c>
    </row>
    <row r="39937" spans="1:6" ht="12.75">
      <c r="A39937" s="8">
        <v>43886.581192129626</v>
      </c>
      <c r="B39937" s="8" t="str">
        <f>HYPERLINK("https://twitter.com/AbilYasir","@AbilYasir")</f>
        <v>@AbilYasir</v>
      </c>
      <c r="C39937" s="8" t="s">
        <v>15280</v>
      </c>
      <c r="D39937" s="8">
        <v>0</v>
      </c>
      <c r="E39937" s="8">
        <v>0</v>
      </c>
      <c r="F39937" s="8">
        <v>483</v>
      </c>
    </row>
    <row r="39938" spans="1:6" ht="12.75">
      <c r="A39938" s="8">
        <v>43886.580196759256</v>
      </c>
      <c r="B39938" s="8" t="str">
        <f>HYPERLINK("https://twitter.com/yori2a","@yori2a")</f>
        <v>@yori2a</v>
      </c>
      <c r="C39938" s="8" t="s">
        <v>2940</v>
      </c>
      <c r="D39938" s="8">
        <v>2386</v>
      </c>
      <c r="E39938" s="8">
        <v>0</v>
      </c>
      <c r="F39938" s="8">
        <v>7</v>
      </c>
    </row>
    <row r="39939" spans="1:6" ht="12.75">
      <c r="A39939" s="8">
        <v>43886.580092592594</v>
      </c>
      <c r="B39939" s="8" t="str">
        <f>HYPERLINK("https://twitter.com/B3rvboo","@B3rvboo")</f>
        <v>@B3rvboo</v>
      </c>
      <c r="C39939" s="8" t="s">
        <v>15281</v>
      </c>
      <c r="D39939" s="8">
        <v>0</v>
      </c>
      <c r="E39939" s="8">
        <v>0</v>
      </c>
      <c r="F39939" s="8">
        <v>622</v>
      </c>
    </row>
    <row r="39940" spans="1:6" ht="12.75">
      <c r="A39940" s="8">
        <v>43886.579363425924</v>
      </c>
      <c r="B39940" s="8" t="str">
        <f>HYPERLINK("https://twitter.com/kabarpolitik","@kabarpolitik")</f>
        <v>@kabarpolitik</v>
      </c>
      <c r="C39940" s="8" t="s">
        <v>15282</v>
      </c>
      <c r="D39940" s="8">
        <v>0</v>
      </c>
      <c r="E39940" s="8">
        <v>0</v>
      </c>
      <c r="F39940" s="8">
        <v>16789</v>
      </c>
    </row>
    <row r="39941" spans="1:6" ht="12.75">
      <c r="A39941" s="8">
        <v>43886.5784837963</v>
      </c>
      <c r="B39941" s="8" t="str">
        <f>HYPERLINK("https://twitter.com/chochocho4","@chochocho4")</f>
        <v>@chochocho4</v>
      </c>
      <c r="C39941" s="8" t="s">
        <v>2940</v>
      </c>
      <c r="D39941" s="8">
        <v>2386</v>
      </c>
      <c r="E39941" s="8">
        <v>0</v>
      </c>
      <c r="F39941" s="8">
        <v>240</v>
      </c>
    </row>
    <row r="39942" spans="1:6" ht="12.75">
      <c r="A39942" s="8">
        <v>43886.577986111108</v>
      </c>
      <c r="B39942" s="8" t="str">
        <f>HYPERLINK("https://twitter.com/Miko14974069","@Miko14974069")</f>
        <v>@Miko14974069</v>
      </c>
      <c r="C39942" s="8" t="s">
        <v>2940</v>
      </c>
      <c r="D39942" s="8">
        <v>2386</v>
      </c>
      <c r="E39942" s="8">
        <v>0</v>
      </c>
      <c r="F39942" s="8">
        <v>53</v>
      </c>
    </row>
    <row r="39943" spans="1:6" ht="12.75">
      <c r="A39943" s="8">
        <v>43886.577789351853</v>
      </c>
      <c r="B39943" s="8" t="str">
        <f>HYPERLINK("https://twitter.com/newstweetsRI","@newstweetsRI")</f>
        <v>@newstweetsRI</v>
      </c>
      <c r="C39943" s="8" t="s">
        <v>11964</v>
      </c>
      <c r="D39943" s="8">
        <v>354</v>
      </c>
      <c r="E39943" s="8">
        <v>0</v>
      </c>
      <c r="F39943" s="8">
        <v>22</v>
      </c>
    </row>
    <row r="39944" spans="1:6" ht="12.75">
      <c r="A39944" s="8">
        <v>43886.577696759261</v>
      </c>
      <c r="B39944" s="8" t="str">
        <f>HYPERLINK("https://twitter.com/anonymo0us_","@anonymo0us_")</f>
        <v>@anonymo0us_</v>
      </c>
      <c r="C39944" s="8" t="s">
        <v>15283</v>
      </c>
      <c r="D39944" s="8">
        <v>0</v>
      </c>
      <c r="E39944" s="8">
        <v>0</v>
      </c>
      <c r="F39944" s="8">
        <v>343</v>
      </c>
    </row>
    <row r="39945" spans="1:6" ht="12.75">
      <c r="A39945" s="8">
        <v>43886.577349537038</v>
      </c>
      <c r="B39945" s="8" t="str">
        <f>HYPERLINK("https://twitter.com/nurel_effah","@nurel_effah")</f>
        <v>@nurel_effah</v>
      </c>
      <c r="C39945" s="8" t="s">
        <v>15284</v>
      </c>
      <c r="D39945" s="8">
        <v>4</v>
      </c>
      <c r="E39945" s="8">
        <v>0</v>
      </c>
      <c r="F39945" s="8">
        <v>3602</v>
      </c>
    </row>
    <row r="39946" spans="1:6" ht="12.75">
      <c r="A39946" s="8">
        <v>43886.57711805556</v>
      </c>
      <c r="B39946" s="8" t="str">
        <f>HYPERLINK("https://twitter.com/dbestheartbreak","@dbestheartbreak")</f>
        <v>@dbestheartbreak</v>
      </c>
      <c r="C39946" s="8" t="s">
        <v>12882</v>
      </c>
      <c r="D39946" s="8">
        <v>58</v>
      </c>
      <c r="E39946" s="8">
        <v>0</v>
      </c>
      <c r="F39946" s="8">
        <v>109</v>
      </c>
    </row>
    <row r="39947" spans="1:6" ht="12.75">
      <c r="A39947" s="8">
        <v>43886.577083333337</v>
      </c>
      <c r="B39947" s="8" t="str">
        <f>HYPERLINK("https://twitter.com/Sarah_Pndj","@Sarah_Pndj")</f>
        <v>@Sarah_Pndj</v>
      </c>
      <c r="C39947" s="8" t="s">
        <v>14439</v>
      </c>
      <c r="D39947" s="8">
        <v>2</v>
      </c>
      <c r="E39947" s="8">
        <v>0</v>
      </c>
      <c r="F39947" s="8">
        <v>26872</v>
      </c>
    </row>
    <row r="39948" spans="1:6" ht="12.75">
      <c r="A39948" s="8">
        <v>43886.576898148152</v>
      </c>
      <c r="B39948" s="8" t="str">
        <f>HYPERLINK("https://twitter.com/chip_kookmin","@chip_kookmin")</f>
        <v>@chip_kookmin</v>
      </c>
      <c r="C39948" s="8" t="s">
        <v>8484</v>
      </c>
      <c r="D39948" s="8">
        <v>768</v>
      </c>
      <c r="E39948" s="8">
        <v>0</v>
      </c>
      <c r="F39948" s="8">
        <v>46</v>
      </c>
    </row>
    <row r="39949" spans="1:6" ht="12.75">
      <c r="A39949" s="8">
        <v>43886.575949074075</v>
      </c>
      <c r="B39949" s="8" t="str">
        <f>HYPERLINK("https://twitter.com/kicepkicep","@kicepkicep")</f>
        <v>@kicepkicep</v>
      </c>
      <c r="C39949" s="8" t="s">
        <v>11964</v>
      </c>
      <c r="D39949" s="8">
        <v>354</v>
      </c>
      <c r="E39949" s="8">
        <v>0</v>
      </c>
      <c r="F39949" s="8">
        <v>1230</v>
      </c>
    </row>
    <row r="39950" spans="1:6" ht="12.75">
      <c r="A39950" s="8">
        <v>43886.575706018513</v>
      </c>
      <c r="B39950" s="8" t="str">
        <f>HYPERLINK("https://twitter.com/VIVAcoid","@VIVAcoid")</f>
        <v>@VIVAcoid</v>
      </c>
      <c r="C39950" s="8" t="s">
        <v>15285</v>
      </c>
      <c r="D39950" s="8">
        <v>2</v>
      </c>
      <c r="E39950" s="8">
        <v>0</v>
      </c>
      <c r="F39950" s="8">
        <v>4172196</v>
      </c>
    </row>
    <row r="39951" spans="1:6" ht="12.75">
      <c r="A39951" s="8">
        <v>43886.575706018513</v>
      </c>
      <c r="B39951" s="8" t="str">
        <f>HYPERLINK("https://twitter.com/IngNa70","@IngNa70")</f>
        <v>@IngNa70</v>
      </c>
      <c r="C39951" s="8" t="s">
        <v>14439</v>
      </c>
      <c r="D39951" s="8">
        <v>2</v>
      </c>
      <c r="E39951" s="8">
        <v>0</v>
      </c>
      <c r="F39951" s="8">
        <v>574</v>
      </c>
    </row>
    <row r="39952" spans="1:6" ht="12.75">
      <c r="A39952" s="8">
        <v>43886.575671296298</v>
      </c>
      <c r="B39952" s="8" t="str">
        <f>HYPERLINK("https://twitter.com/kkkmmm08999022","@kkkmmm08999022")</f>
        <v>@kkkmmm08999022</v>
      </c>
      <c r="C39952" s="8" t="s">
        <v>8484</v>
      </c>
      <c r="D39952" s="8">
        <v>768</v>
      </c>
      <c r="E39952" s="8">
        <v>0</v>
      </c>
      <c r="F39952" s="8">
        <v>12</v>
      </c>
    </row>
    <row r="39953" spans="1:6" ht="12.75">
      <c r="A39953" s="8">
        <v>43886.575624999998</v>
      </c>
      <c r="B39953" s="8" t="str">
        <f>HYPERLINK("https://twitter.com/elisabethkirche","@elisabethkirche")</f>
        <v>@elisabethkirche</v>
      </c>
      <c r="C39953" s="8" t="s">
        <v>8484</v>
      </c>
      <c r="D39953" s="8">
        <v>768</v>
      </c>
      <c r="E39953" s="8">
        <v>0</v>
      </c>
      <c r="F39953" s="8">
        <v>762</v>
      </c>
    </row>
    <row r="39954" spans="1:6" ht="12.75">
      <c r="A39954" s="8">
        <v>43886.575578703705</v>
      </c>
      <c r="B39954" s="8" t="str">
        <f>HYPERLINK("https://twitter.com/yuya_sekitani","@yuya_sekitani")</f>
        <v>@yuya_sekitani</v>
      </c>
      <c r="C39954" s="8" t="s">
        <v>8484</v>
      </c>
      <c r="D39954" s="8">
        <v>768</v>
      </c>
      <c r="E39954" s="8">
        <v>0</v>
      </c>
      <c r="F39954" s="8">
        <v>186</v>
      </c>
    </row>
    <row r="39955" spans="1:6" ht="12.75">
      <c r="A39955" s="8">
        <v>43886.575370370367</v>
      </c>
      <c r="B39955" s="8" t="str">
        <f>HYPERLINK("https://twitter.com/vivanewscom","@vivanewscom")</f>
        <v>@vivanewscom</v>
      </c>
      <c r="C39955" s="8" t="s">
        <v>15286</v>
      </c>
      <c r="D39955" s="8">
        <v>2</v>
      </c>
      <c r="E39955" s="8">
        <v>2</v>
      </c>
      <c r="F39955" s="8">
        <v>4388</v>
      </c>
    </row>
    <row r="39956" spans="1:6" ht="12.75">
      <c r="A39956" s="8">
        <v>43886.574513888889</v>
      </c>
      <c r="B39956" s="8" t="str">
        <f>HYPERLINK("https://twitter.com/Bimo13454965","@Bimo13454965")</f>
        <v>@Bimo13454965</v>
      </c>
      <c r="C39956" s="8" t="s">
        <v>15287</v>
      </c>
      <c r="D39956" s="8">
        <v>50</v>
      </c>
      <c r="E39956" s="8">
        <v>0</v>
      </c>
      <c r="F39956" s="8">
        <v>0</v>
      </c>
    </row>
    <row r="39957" spans="1:6" ht="12.75">
      <c r="A39957" s="8">
        <v>43886.570983796293</v>
      </c>
      <c r="B39957" s="8" t="str">
        <f>HYPERLINK("https://twitter.com/SundaeKiss0921","@SundaeKiss0921")</f>
        <v>@SundaeKiss0921</v>
      </c>
      <c r="C39957" s="8" t="s">
        <v>15288</v>
      </c>
      <c r="D39957" s="8">
        <v>0</v>
      </c>
      <c r="E39957" s="8">
        <v>4</v>
      </c>
      <c r="F39957" s="8">
        <v>1720</v>
      </c>
    </row>
    <row r="39958" spans="1:6" ht="12.75">
      <c r="A39958" s="8">
        <v>43886.570625</v>
      </c>
      <c r="B39958" s="8" t="str">
        <f>HYPERLINK("https://twitter.com/2yevWrqPtMeyetD","@2yevWrqPtMeyetD")</f>
        <v>@2yevWrqPtMeyetD</v>
      </c>
      <c r="C39958" s="8" t="s">
        <v>8484</v>
      </c>
      <c r="D39958" s="8">
        <v>768</v>
      </c>
      <c r="E39958" s="8">
        <v>0</v>
      </c>
      <c r="F39958" s="8">
        <v>7</v>
      </c>
    </row>
    <row r="39959" spans="1:6" ht="12.75">
      <c r="A39959" s="8">
        <v>43886.570590277777</v>
      </c>
      <c r="B39959" s="8" t="str">
        <f>HYPERLINK("https://twitter.com/herlambang_tan","@herlambang_tan")</f>
        <v>@herlambang_tan</v>
      </c>
      <c r="C39959" s="8" t="s">
        <v>11183</v>
      </c>
      <c r="D39959" s="8">
        <v>85</v>
      </c>
      <c r="E39959" s="8">
        <v>0</v>
      </c>
      <c r="F39959" s="8">
        <v>2379</v>
      </c>
    </row>
    <row r="39960" spans="1:6" ht="12.75">
      <c r="A39960" s="8">
        <v>43886.570486111115</v>
      </c>
      <c r="B39960" s="8" t="str">
        <f>HYPERLINK("https://twitter.com/HRMalik12","@HRMalik12")</f>
        <v>@HRMalik12</v>
      </c>
      <c r="C39960" s="8" t="s">
        <v>11183</v>
      </c>
      <c r="D39960" s="8">
        <v>85</v>
      </c>
      <c r="E39960" s="8">
        <v>0</v>
      </c>
      <c r="F39960" s="8">
        <v>214</v>
      </c>
    </row>
    <row r="39961" spans="1:6" ht="12.75">
      <c r="A39961" s="8">
        <v>43886.570173611108</v>
      </c>
      <c r="B39961" s="8" t="str">
        <f>HYPERLINK("https://twitter.com/ummusyhdh_","@ummusyhdh_")</f>
        <v>@ummusyhdh_</v>
      </c>
      <c r="C39961" s="8" t="s">
        <v>15289</v>
      </c>
      <c r="D39961" s="8">
        <v>3</v>
      </c>
      <c r="E39961" s="8">
        <v>0</v>
      </c>
      <c r="F39961" s="8">
        <v>1126</v>
      </c>
    </row>
    <row r="39962" spans="1:6" ht="12.75">
      <c r="A39962" s="8">
        <v>43886.569618055553</v>
      </c>
      <c r="B39962" s="8" t="str">
        <f>HYPERLINK("https://twitter.com/Alimoha60223674","@Alimoha60223674")</f>
        <v>@Alimoha60223674</v>
      </c>
      <c r="C39962" s="8" t="s">
        <v>15290</v>
      </c>
      <c r="D39962" s="8">
        <v>0</v>
      </c>
      <c r="E39962" s="8">
        <v>1</v>
      </c>
      <c r="F39962" s="8">
        <v>965</v>
      </c>
    </row>
    <row r="39963" spans="1:6" ht="12.75">
      <c r="A39963" s="8">
        <v>43886.568819444445</v>
      </c>
      <c r="B39963" s="8" t="str">
        <f>HYPERLINK("https://twitter.com/KemenkesRI","@KemenkesRI")</f>
        <v>@KemenkesRI</v>
      </c>
      <c r="C39963" s="8" t="s">
        <v>15291</v>
      </c>
      <c r="D39963" s="8">
        <v>3</v>
      </c>
      <c r="E39963" s="8">
        <v>3</v>
      </c>
      <c r="F39963" s="8">
        <v>247833</v>
      </c>
    </row>
    <row r="39964" spans="1:6" ht="12.75">
      <c r="A39964" s="8">
        <v>43886.568460648152</v>
      </c>
      <c r="B39964" s="8" t="str">
        <f>HYPERLINK("https://twitter.com/danang_ap","@danang_ap")</f>
        <v>@danang_ap</v>
      </c>
      <c r="C39964" s="8" t="s">
        <v>11183</v>
      </c>
      <c r="D39964" s="8">
        <v>85</v>
      </c>
      <c r="E39964" s="8">
        <v>0</v>
      </c>
      <c r="F39964" s="8">
        <v>1726</v>
      </c>
    </row>
    <row r="39965" spans="1:6" ht="12.75">
      <c r="A39965" s="8">
        <v>43886.568009259259</v>
      </c>
      <c r="B39965" s="8" t="str">
        <f>HYPERLINK("https://twitter.com/HaniahHanamichi","@HaniahHanamichi")</f>
        <v>@HaniahHanamichi</v>
      </c>
      <c r="C39965" s="8" t="s">
        <v>15284</v>
      </c>
      <c r="D39965" s="8">
        <v>4</v>
      </c>
      <c r="E39965" s="8">
        <v>0</v>
      </c>
      <c r="F39965" s="8">
        <v>2338</v>
      </c>
    </row>
    <row r="39966" spans="1:6" ht="12.75">
      <c r="A39966" s="8">
        <v>43886.567743055552</v>
      </c>
      <c r="B39966" s="8" t="str">
        <f>HYPERLINK("https://twitter.com/SriNeng70160486","@SriNeng70160486")</f>
        <v>@SriNeng70160486</v>
      </c>
      <c r="C39966" s="8" t="s">
        <v>12373</v>
      </c>
      <c r="D39966" s="8">
        <v>24</v>
      </c>
      <c r="E39966" s="8">
        <v>0</v>
      </c>
      <c r="F39966" s="8">
        <v>557</v>
      </c>
    </row>
    <row r="39967" spans="1:6" ht="12.75">
      <c r="A39967" s="8">
        <v>43886.567719907413</v>
      </c>
      <c r="B39967" s="8" t="str">
        <f>HYPERLINK("https://twitter.com/beatrice_health","@beatrice_health")</f>
        <v>@beatrice_health</v>
      </c>
      <c r="C39967" s="8" t="s">
        <v>15292</v>
      </c>
      <c r="D39967" s="8">
        <v>1</v>
      </c>
      <c r="E39967" s="8">
        <v>0</v>
      </c>
      <c r="F39967" s="8">
        <v>359</v>
      </c>
    </row>
    <row r="39968" spans="1:6" ht="12.75">
      <c r="A39968" s="8">
        <v>43886.567719907413</v>
      </c>
      <c r="B39968" s="8" t="str">
        <f>HYPERLINK("https://twitter.com/titisanselgom","@titisanselgom")</f>
        <v>@titisanselgom</v>
      </c>
      <c r="C39968" s="8" t="s">
        <v>15293</v>
      </c>
      <c r="D39968" s="8">
        <v>0</v>
      </c>
      <c r="E39968" s="8">
        <v>0</v>
      </c>
      <c r="F39968" s="8">
        <v>621</v>
      </c>
    </row>
    <row r="39969" spans="1:6" ht="12.75">
      <c r="A39969" s="8">
        <v>43886.567708333328</v>
      </c>
      <c r="B39969" s="8" t="str">
        <f>HYPERLINK("https://twitter.com/enisutomo_","@enisutomo_")</f>
        <v>@enisutomo_</v>
      </c>
      <c r="C39969" s="8" t="s">
        <v>15294</v>
      </c>
      <c r="D39969" s="8">
        <v>0</v>
      </c>
      <c r="E39969" s="8">
        <v>0</v>
      </c>
      <c r="F39969" s="8">
        <v>710</v>
      </c>
    </row>
    <row r="39970" spans="1:6" ht="12.75">
      <c r="A39970" s="8">
        <v>43886.567696759259</v>
      </c>
      <c r="B39970" s="8" t="str">
        <f>HYPERLINK("https://twitter.com/beatrice_health","@beatrice_health")</f>
        <v>@beatrice_health</v>
      </c>
      <c r="C39970" s="8" t="s">
        <v>15295</v>
      </c>
      <c r="D39970" s="8">
        <v>1</v>
      </c>
      <c r="E39970" s="8">
        <v>0</v>
      </c>
      <c r="F39970" s="8">
        <v>359</v>
      </c>
    </row>
    <row r="39971" spans="1:6" ht="12.75">
      <c r="A39971" s="8">
        <v>43886.567662037036</v>
      </c>
      <c r="B39971" s="8" t="str">
        <f>HYPERLINK("https://twitter.com/kabarpol","@kabarpol")</f>
        <v>@kabarpol</v>
      </c>
      <c r="C39971" s="8" t="s">
        <v>15296</v>
      </c>
      <c r="D39971" s="8">
        <v>1</v>
      </c>
      <c r="E39971" s="8">
        <v>0</v>
      </c>
      <c r="F39971" s="8">
        <v>52</v>
      </c>
    </row>
    <row r="39972" spans="1:6" ht="12.75">
      <c r="A39972" s="8">
        <v>43886.567615740743</v>
      </c>
      <c r="B39972" s="8" t="str">
        <f>HYPERLINK("https://twitter.com/kabarpolitik","@kabarpolitik")</f>
        <v>@kabarpolitik</v>
      </c>
      <c r="C39972" s="8" t="s">
        <v>15296</v>
      </c>
      <c r="D39972" s="8">
        <v>1</v>
      </c>
      <c r="E39972" s="8">
        <v>0</v>
      </c>
      <c r="F39972" s="8">
        <v>16789</v>
      </c>
    </row>
    <row r="39973" spans="1:6" ht="12.75">
      <c r="A39973" s="8">
        <v>43886.567442129628</v>
      </c>
      <c r="B39973" s="8" t="str">
        <f>HYPERLINK("https://twitter.com/Amitkum92437828","@Amitkum92437828")</f>
        <v>@Amitkum92437828</v>
      </c>
      <c r="C39973" s="8" t="s">
        <v>15297</v>
      </c>
      <c r="D39973" s="8">
        <v>0</v>
      </c>
      <c r="E39973" s="8">
        <v>0</v>
      </c>
      <c r="F39973" s="8">
        <v>78</v>
      </c>
    </row>
    <row r="39974" spans="1:6" ht="12.75">
      <c r="A39974" s="8">
        <v>43886.567430555559</v>
      </c>
      <c r="B39974" s="8" t="str">
        <f>HYPERLINK("https://twitter.com/SeZulfahmi","@SeZulfahmi")</f>
        <v>@SeZulfahmi</v>
      </c>
      <c r="C39974" s="8" t="s">
        <v>11964</v>
      </c>
      <c r="D39974" s="8">
        <v>354</v>
      </c>
      <c r="E39974" s="8">
        <v>0</v>
      </c>
      <c r="F39974" s="8">
        <v>754</v>
      </c>
    </row>
    <row r="39975" spans="1:6" ht="12.75">
      <c r="A39975" s="8">
        <v>43886.567337962959</v>
      </c>
      <c r="B39975" s="8" t="str">
        <f>HYPERLINK("https://twitter.com/ukiam0907","@ukiam0907")</f>
        <v>@ukiam0907</v>
      </c>
      <c r="C39975" s="8" t="s">
        <v>8484</v>
      </c>
      <c r="D39975" s="8">
        <v>768</v>
      </c>
      <c r="E39975" s="8">
        <v>0</v>
      </c>
      <c r="F39975" s="8">
        <v>264</v>
      </c>
    </row>
    <row r="39976" spans="1:6" ht="12.75">
      <c r="A39976" s="8">
        <v>43886.567002314812</v>
      </c>
      <c r="B39976" s="8" t="str">
        <f t="shared" ref="B39976:B39978" si="592">HYPERLINK("https://twitter.com/Rambling_Hermit","@Rambling_Hermit")</f>
        <v>@Rambling_Hermit</v>
      </c>
      <c r="C39976" s="8" t="s">
        <v>14106</v>
      </c>
      <c r="D39976" s="8">
        <v>127</v>
      </c>
      <c r="E39976" s="8">
        <v>0</v>
      </c>
      <c r="F39976" s="8">
        <v>273</v>
      </c>
    </row>
    <row r="39977" spans="1:6" ht="12.75">
      <c r="A39977" s="8">
        <v>43886.566979166666</v>
      </c>
      <c r="B39977" s="8" t="str">
        <f t="shared" si="592"/>
        <v>@Rambling_Hermit</v>
      </c>
      <c r="C39977" s="8" t="s">
        <v>13834</v>
      </c>
      <c r="D39977" s="8">
        <v>137</v>
      </c>
      <c r="E39977" s="8">
        <v>0</v>
      </c>
      <c r="F39977" s="8">
        <v>273</v>
      </c>
    </row>
    <row r="39978" spans="1:6" ht="12.75">
      <c r="A39978" s="8">
        <v>43886.566898148143</v>
      </c>
      <c r="B39978" s="8" t="str">
        <f t="shared" si="592"/>
        <v>@Rambling_Hermit</v>
      </c>
      <c r="C39978" s="8" t="s">
        <v>8484</v>
      </c>
      <c r="D39978" s="8">
        <v>768</v>
      </c>
      <c r="E39978" s="8">
        <v>0</v>
      </c>
      <c r="F39978" s="8">
        <v>273</v>
      </c>
    </row>
    <row r="39979" spans="1:6" ht="12.75">
      <c r="A39979" s="8">
        <v>43886.566851851851</v>
      </c>
      <c r="B39979" s="8" t="str">
        <f>HYPERLINK("https://twitter.com/agusboy_1973","@agusboy_1973")</f>
        <v>@agusboy_1973</v>
      </c>
      <c r="C39979" s="8" t="s">
        <v>11964</v>
      </c>
      <c r="D39979" s="8">
        <v>354</v>
      </c>
      <c r="E39979" s="8">
        <v>0</v>
      </c>
      <c r="F39979" s="8">
        <v>4791</v>
      </c>
    </row>
    <row r="39980" spans="1:6" ht="12.75">
      <c r="A39980" s="8">
        <v>43886.566793981481</v>
      </c>
      <c r="B39980" s="8" t="str">
        <f>HYPERLINK("https://twitter.com/Kakokita1Goya","@Kakokita1Goya")</f>
        <v>@Kakokita1Goya</v>
      </c>
      <c r="C39980" s="8" t="s">
        <v>2940</v>
      </c>
      <c r="D39980" s="8">
        <v>2386</v>
      </c>
      <c r="E39980" s="8">
        <v>0</v>
      </c>
      <c r="F39980" s="8">
        <v>124</v>
      </c>
    </row>
    <row r="39981" spans="1:6" ht="12.75">
      <c r="A39981" s="8">
        <v>43886.566712962958</v>
      </c>
      <c r="B39981" s="8" t="str">
        <f>HYPERLINK("https://twitter.com/Suryaevani","@Suryaevani")</f>
        <v>@Suryaevani</v>
      </c>
      <c r="C39981" s="8" t="s">
        <v>14883</v>
      </c>
      <c r="D39981" s="8">
        <v>1</v>
      </c>
      <c r="E39981" s="8">
        <v>0</v>
      </c>
      <c r="F39981" s="8">
        <v>472</v>
      </c>
    </row>
    <row r="39982" spans="1:6" ht="12.75">
      <c r="A39982" s="8">
        <v>43886.56622685185</v>
      </c>
      <c r="B39982" s="8" t="str">
        <f>HYPERLINK("https://twitter.com/EKaranggo","@EKaranggo")</f>
        <v>@EKaranggo</v>
      </c>
      <c r="C39982" s="8" t="s">
        <v>11964</v>
      </c>
      <c r="D39982" s="8">
        <v>354</v>
      </c>
      <c r="E39982" s="8">
        <v>0</v>
      </c>
      <c r="F39982" s="8">
        <v>1128</v>
      </c>
    </row>
    <row r="39983" spans="1:6" ht="12.75">
      <c r="A39983" s="8">
        <v>43886.566168981481</v>
      </c>
      <c r="B39983" s="8" t="str">
        <f>HYPERLINK("https://twitter.com/debtor2000000","@debtor2000000")</f>
        <v>@debtor2000000</v>
      </c>
      <c r="C39983" s="8" t="s">
        <v>8484</v>
      </c>
      <c r="D39983" s="8">
        <v>768</v>
      </c>
      <c r="E39983" s="8">
        <v>0</v>
      </c>
      <c r="F39983" s="8">
        <v>1209</v>
      </c>
    </row>
    <row r="39984" spans="1:6" ht="12.75">
      <c r="A39984" s="8">
        <v>43886.565370370372</v>
      </c>
      <c r="B39984" s="8" t="str">
        <f>HYPERLINK("https://twitter.com/AbdurrahmanSH9","@AbdurrahmanSH9")</f>
        <v>@AbdurrahmanSH9</v>
      </c>
      <c r="C39984" s="8" t="s">
        <v>2120</v>
      </c>
      <c r="D39984" s="8">
        <v>592</v>
      </c>
      <c r="E39984" s="8">
        <v>0</v>
      </c>
      <c r="F39984" s="8">
        <v>9</v>
      </c>
    </row>
    <row r="39985" spans="1:6" ht="12.75">
      <c r="A39985" s="8">
        <v>43886.564664351856</v>
      </c>
      <c r="B39985" s="8" t="str">
        <f>HYPERLINK("https://twitter.com/brightestarss","@brightestarss")</f>
        <v>@brightestarss</v>
      </c>
      <c r="C39985" s="8" t="s">
        <v>12882</v>
      </c>
      <c r="D39985" s="8">
        <v>58</v>
      </c>
      <c r="E39985" s="8">
        <v>0</v>
      </c>
      <c r="F39985" s="8">
        <v>1382</v>
      </c>
    </row>
    <row r="39986" spans="1:6" ht="12.75">
      <c r="A39986" s="8">
        <v>43886.564467592594</v>
      </c>
      <c r="B39986" s="8" t="str">
        <f>HYPERLINK("https://twitter.com/bz_mf","@bz_mf")</f>
        <v>@bz_mf</v>
      </c>
      <c r="C39986" s="8" t="s">
        <v>2940</v>
      </c>
      <c r="D39986" s="8">
        <v>2386</v>
      </c>
      <c r="E39986" s="8">
        <v>0</v>
      </c>
      <c r="F39986" s="8">
        <v>1940</v>
      </c>
    </row>
    <row r="39987" spans="1:6" ht="12.75">
      <c r="A39987" s="8">
        <v>43886.564456018517</v>
      </c>
      <c r="B39987" s="8" t="str">
        <f>HYPERLINK("https://twitter.com/ISIS_Balik_NO","@ISIS_Balik_NO")</f>
        <v>@ISIS_Balik_NO</v>
      </c>
      <c r="C39987" s="8" t="s">
        <v>15298</v>
      </c>
      <c r="D39987" s="8">
        <v>2</v>
      </c>
      <c r="E39987" s="8">
        <v>0</v>
      </c>
      <c r="F39987" s="8">
        <v>6097</v>
      </c>
    </row>
    <row r="39988" spans="1:6" ht="12.75">
      <c r="A39988" s="8">
        <v>43886.564409722225</v>
      </c>
      <c r="B39988" s="8" t="str">
        <f>HYPERLINK("https://twitter.com/NovendraPutra4","@NovendraPutra4")</f>
        <v>@NovendraPutra4</v>
      </c>
      <c r="C39988" s="8" t="s">
        <v>11964</v>
      </c>
      <c r="D39988" s="8">
        <v>354</v>
      </c>
      <c r="E39988" s="8">
        <v>0</v>
      </c>
      <c r="F39988" s="8">
        <v>10</v>
      </c>
    </row>
    <row r="39989" spans="1:6" ht="12.75">
      <c r="A39989" s="8">
        <v>43886.563981481479</v>
      </c>
      <c r="B39989" s="8" t="str">
        <f>HYPERLINK("https://twitter.com/seabuki","@seabuki")</f>
        <v>@seabuki</v>
      </c>
      <c r="C39989" s="8" t="s">
        <v>2940</v>
      </c>
      <c r="D39989" s="8">
        <v>2386</v>
      </c>
      <c r="E39989" s="8">
        <v>0</v>
      </c>
      <c r="F39989" s="8">
        <v>2575</v>
      </c>
    </row>
    <row r="39990" spans="1:6" ht="12.75">
      <c r="A39990" s="8">
        <v>43886.563587962963</v>
      </c>
      <c r="B39990" s="8" t="str">
        <f>HYPERLINK("https://twitter.com/ISIS_Balik_NO","@ISIS_Balik_NO")</f>
        <v>@ISIS_Balik_NO</v>
      </c>
      <c r="C39990" s="8" t="s">
        <v>15299</v>
      </c>
      <c r="D39990" s="8">
        <v>0</v>
      </c>
      <c r="E39990" s="8">
        <v>0</v>
      </c>
      <c r="F39990" s="8">
        <v>6097</v>
      </c>
    </row>
    <row r="39991" spans="1:6" ht="12.75">
      <c r="A39991" s="8">
        <v>43886.563113425931</v>
      </c>
      <c r="B39991" s="8" t="str">
        <f>HYPERLINK("https://twitter.com/asmadajoel","@asmadajoel")</f>
        <v>@asmadajoel</v>
      </c>
      <c r="C39991" s="8" t="s">
        <v>15300</v>
      </c>
      <c r="D39991" s="8">
        <v>0</v>
      </c>
      <c r="E39991" s="8">
        <v>0</v>
      </c>
      <c r="F39991" s="8">
        <v>3508</v>
      </c>
    </row>
    <row r="39992" spans="1:6" ht="12.75">
      <c r="A39992" s="8">
        <v>43886.562314814815</v>
      </c>
      <c r="B39992" s="8" t="str">
        <f>HYPERLINK("https://twitter.com/taro34973085","@taro34973085")</f>
        <v>@taro34973085</v>
      </c>
      <c r="C39992" s="8" t="s">
        <v>8484</v>
      </c>
      <c r="D39992" s="8">
        <v>768</v>
      </c>
      <c r="E39992" s="8">
        <v>0</v>
      </c>
      <c r="F39992" s="8">
        <v>1212</v>
      </c>
    </row>
    <row r="39993" spans="1:6" ht="12.75">
      <c r="A39993" s="8">
        <v>43886.562152777777</v>
      </c>
      <c r="B39993" s="8" t="str">
        <f>HYPERLINK("https://twitter.com/senjamrahjingga","@senjamrahjingga")</f>
        <v>@senjamrahjingga</v>
      </c>
      <c r="C39993" s="8" t="s">
        <v>15301</v>
      </c>
      <c r="D39993" s="8">
        <v>0</v>
      </c>
      <c r="E39993" s="8">
        <v>0</v>
      </c>
      <c r="F39993" s="8">
        <v>557</v>
      </c>
    </row>
    <row r="39994" spans="1:6" ht="12.75">
      <c r="A39994" s="8">
        <v>43886.5621412037</v>
      </c>
      <c r="B39994" s="8" t="str">
        <f>HYPERLINK("https://twitter.com/matthewnathnael","@matthewnathnael")</f>
        <v>@matthewnathnael</v>
      </c>
      <c r="C39994" s="8" t="s">
        <v>15302</v>
      </c>
      <c r="D39994" s="8">
        <v>0</v>
      </c>
      <c r="E39994" s="8">
        <v>0</v>
      </c>
      <c r="F39994" s="8">
        <v>509</v>
      </c>
    </row>
    <row r="39995" spans="1:6" ht="12.75">
      <c r="A39995" s="8">
        <v>43886.562094907407</v>
      </c>
      <c r="B39995" s="8" t="str">
        <f>HYPERLINK("https://twitter.com/Harrypl2","@Harrypl2")</f>
        <v>@Harrypl2</v>
      </c>
      <c r="C39995" s="8" t="s">
        <v>12920</v>
      </c>
      <c r="D39995" s="8">
        <v>1529</v>
      </c>
      <c r="E39995" s="8">
        <v>0</v>
      </c>
      <c r="F39995" s="8">
        <v>10</v>
      </c>
    </row>
    <row r="39996" spans="1:6" ht="12.75">
      <c r="A39996" s="8">
        <v>43886.561979166669</v>
      </c>
      <c r="B39996" s="8" t="str">
        <f>HYPERLINK("https://twitter.com/Indopolitika","@Indopolitika")</f>
        <v>@Indopolitika</v>
      </c>
      <c r="C39996" s="8" t="s">
        <v>15296</v>
      </c>
      <c r="D39996" s="8">
        <v>0</v>
      </c>
      <c r="E39996" s="8">
        <v>0</v>
      </c>
      <c r="F39996" s="8">
        <v>10578</v>
      </c>
    </row>
    <row r="39997" spans="1:6" ht="12.75">
      <c r="A39997" s="8">
        <v>43886.56186342593</v>
      </c>
      <c r="B39997" s="8" t="str">
        <f>HYPERLINK("https://twitter.com/owatari1999","@owatari1999")</f>
        <v>@owatari1999</v>
      </c>
      <c r="C39997" s="8" t="s">
        <v>2940</v>
      </c>
      <c r="D39997" s="8">
        <v>2386</v>
      </c>
      <c r="E39997" s="8">
        <v>0</v>
      </c>
      <c r="F39997" s="8">
        <v>223</v>
      </c>
    </row>
    <row r="39998" spans="1:6" ht="12.75">
      <c r="A39998" s="8">
        <v>43886.56186342593</v>
      </c>
      <c r="B39998" s="8" t="str">
        <f>HYPERLINK("https://twitter.com/Indopolitika","@Indopolitika")</f>
        <v>@Indopolitika</v>
      </c>
      <c r="C39998" s="8" t="s">
        <v>15303</v>
      </c>
      <c r="D39998" s="8">
        <v>0</v>
      </c>
      <c r="E39998" s="8">
        <v>0</v>
      </c>
      <c r="F39998" s="8">
        <v>10578</v>
      </c>
    </row>
    <row r="39999" spans="1:6" ht="12.75">
      <c r="A39999" s="8">
        <v>43886.560717592598</v>
      </c>
      <c r="B39999" s="8" t="str">
        <f>HYPERLINK("https://twitter.com/flomaria02","@flomaria02")</f>
        <v>@flomaria02</v>
      </c>
      <c r="C39999" s="8" t="s">
        <v>11183</v>
      </c>
      <c r="D39999" s="8">
        <v>85</v>
      </c>
      <c r="E39999" s="8">
        <v>0</v>
      </c>
      <c r="F39999" s="8">
        <v>225</v>
      </c>
    </row>
    <row r="40000" spans="1:6" ht="12.75">
      <c r="A40000" s="8">
        <v>43886.560659722221</v>
      </c>
      <c r="B40000" s="8" t="str">
        <f>HYPERLINK("https://twitter.com/ocin71","@ocin71")</f>
        <v>@ocin71</v>
      </c>
      <c r="C40000" s="8" t="s">
        <v>11964</v>
      </c>
      <c r="D40000" s="8">
        <v>354</v>
      </c>
      <c r="E40000" s="8">
        <v>0</v>
      </c>
      <c r="F40000" s="8">
        <v>325</v>
      </c>
    </row>
    <row r="40001" spans="1:6" ht="12.75">
      <c r="A40001" s="8">
        <v>43886.560358796298</v>
      </c>
      <c r="B40001" s="8" t="str">
        <f>HYPERLINK("https://twitter.com/JanggutMbah","@JanggutMbah")</f>
        <v>@JanggutMbah</v>
      </c>
      <c r="C40001" s="8" t="s">
        <v>15284</v>
      </c>
      <c r="D40001" s="8">
        <v>4</v>
      </c>
      <c r="E40001" s="8">
        <v>0</v>
      </c>
      <c r="F40001" s="8">
        <v>2419</v>
      </c>
    </row>
    <row r="40002" spans="1:6" ht="12.75">
      <c r="A40002" s="8">
        <v>43886.548344907409</v>
      </c>
      <c r="B40002" s="8" t="str">
        <f>HYPERLINK("https://twitter.com/lo_key69","@lo_key69")</f>
        <v>@lo_key69</v>
      </c>
      <c r="C40002" s="8" t="s">
        <v>15304</v>
      </c>
      <c r="D40002" s="8">
        <v>0</v>
      </c>
      <c r="E40002" s="8">
        <v>0</v>
      </c>
      <c r="F40002" s="8">
        <v>71</v>
      </c>
    </row>
    <row r="40003" spans="1:6" ht="12.75">
      <c r="A40003" s="8">
        <v>43886.547164351854</v>
      </c>
      <c r="B40003" s="8" t="str">
        <f>HYPERLINK("https://twitter.com/RakyatSumut_","@RakyatSumut_")</f>
        <v>@RakyatSumut_</v>
      </c>
      <c r="C40003" s="8" t="s">
        <v>15305</v>
      </c>
      <c r="D40003" s="8">
        <v>0</v>
      </c>
      <c r="E40003" s="8">
        <v>0</v>
      </c>
      <c r="F40003" s="8">
        <v>52</v>
      </c>
    </row>
    <row r="40004" spans="1:6" ht="12.75">
      <c r="A40004" s="8">
        <v>43886.546967592592</v>
      </c>
      <c r="B40004" s="8" t="str">
        <f>HYPERLINK("https://twitter.com/ik_marem","@ik_marem")</f>
        <v>@ik_marem</v>
      </c>
      <c r="C40004" s="8" t="s">
        <v>15306</v>
      </c>
      <c r="D40004" s="8">
        <v>1</v>
      </c>
      <c r="E40004" s="8">
        <v>0</v>
      </c>
      <c r="F40004" s="8">
        <v>3087</v>
      </c>
    </row>
    <row r="40005" spans="1:6" ht="12.75">
      <c r="A40005" s="8">
        <v>43886.546898148154</v>
      </c>
      <c r="B40005" s="8" t="str">
        <f>HYPERLINK("https://twitter.com/prkshe2","@prkshe2")</f>
        <v>@prkshe2</v>
      </c>
      <c r="C40005" s="8" t="s">
        <v>15307</v>
      </c>
      <c r="D40005" s="8">
        <v>0</v>
      </c>
      <c r="E40005" s="8">
        <v>0</v>
      </c>
      <c r="F40005" s="8">
        <v>159</v>
      </c>
    </row>
    <row r="40006" spans="1:6" ht="12.75">
      <c r="A40006" s="8">
        <v>43886.5466087963</v>
      </c>
      <c r="B40006" s="8" t="str">
        <f>HYPERLINK("https://twitter.com/Dani_Cicadas","@Dani_Cicadas")</f>
        <v>@Dani_Cicadas</v>
      </c>
      <c r="C40006" s="8" t="s">
        <v>11964</v>
      </c>
      <c r="D40006" s="8">
        <v>331</v>
      </c>
      <c r="E40006" s="8">
        <v>0</v>
      </c>
      <c r="F40006" s="8">
        <v>1120</v>
      </c>
    </row>
    <row r="40007" spans="1:6" ht="12.75">
      <c r="A40007" s="8">
        <v>43886.546307870369</v>
      </c>
      <c r="B40007" s="8" t="str">
        <f>HYPERLINK("https://twitter.com/umaremania87","@umaremania87")</f>
        <v>@umaremania87</v>
      </c>
      <c r="C40007" s="8" t="s">
        <v>15126</v>
      </c>
      <c r="D40007" s="8">
        <v>13</v>
      </c>
      <c r="E40007" s="8">
        <v>0</v>
      </c>
      <c r="F40007" s="8">
        <v>315</v>
      </c>
    </row>
    <row r="40008" spans="1:6" ht="12.75">
      <c r="A40008" s="8">
        <v>43886.545856481476</v>
      </c>
      <c r="B40008" s="8" t="str">
        <f>HYPERLINK("https://twitter.com/visitortwt1","@visitortwt1")</f>
        <v>@visitortwt1</v>
      </c>
      <c r="C40008" s="8" t="s">
        <v>11183</v>
      </c>
      <c r="D40008" s="8">
        <v>72</v>
      </c>
      <c r="E40008" s="8">
        <v>0</v>
      </c>
      <c r="F40008" s="8">
        <v>371</v>
      </c>
    </row>
    <row r="40009" spans="1:6" ht="12.75">
      <c r="A40009" s="8">
        <v>43886.545833333337</v>
      </c>
      <c r="B40009" s="8" t="str">
        <f>HYPERLINK("https://twitter.com/Galuhramadhania","@Galuhramadhania")</f>
        <v>@Galuhramadhania</v>
      </c>
      <c r="C40009" s="8" t="s">
        <v>15284</v>
      </c>
      <c r="D40009" s="8">
        <v>1</v>
      </c>
      <c r="E40009" s="8">
        <v>0</v>
      </c>
      <c r="F40009" s="8">
        <v>1970</v>
      </c>
    </row>
    <row r="40010" spans="1:6" ht="12.75">
      <c r="A40010" s="8">
        <v>43886.545798611114</v>
      </c>
      <c r="B40010" s="8" t="str">
        <f>HYPERLINK("https://twitter.com/scoutdrms","@scoutdrms")</f>
        <v>@scoutdrms</v>
      </c>
      <c r="C40010" s="8" t="s">
        <v>15308</v>
      </c>
      <c r="D40010" s="8">
        <v>0</v>
      </c>
      <c r="E40010" s="8">
        <v>0</v>
      </c>
      <c r="F40010" s="8">
        <v>1810</v>
      </c>
    </row>
    <row r="40011" spans="1:6" ht="12.75">
      <c r="A40011" s="8">
        <v>43886.545740740738</v>
      </c>
      <c r="B40011" s="8" t="str">
        <f>HYPERLINK("https://twitter.com/aiek_esthreem__","@aiek_esthreem__")</f>
        <v>@aiek_esthreem__</v>
      </c>
      <c r="C40011" s="8" t="s">
        <v>15309</v>
      </c>
      <c r="D40011" s="8">
        <v>0</v>
      </c>
      <c r="E40011" s="8">
        <v>0</v>
      </c>
      <c r="F40011" s="8">
        <v>16857</v>
      </c>
    </row>
    <row r="40012" spans="1:6" ht="12.75">
      <c r="A40012" s="8">
        <v>43886.545706018514</v>
      </c>
      <c r="B40012" s="8" t="str">
        <f>HYPERLINK("https://twitter.com/Bagas36406270","@Bagas36406270")</f>
        <v>@Bagas36406270</v>
      </c>
      <c r="C40012" s="8" t="s">
        <v>12373</v>
      </c>
      <c r="D40012" s="8">
        <v>22</v>
      </c>
      <c r="E40012" s="8">
        <v>0</v>
      </c>
      <c r="F40012" s="8">
        <v>1252</v>
      </c>
    </row>
    <row r="40013" spans="1:6" ht="12.75">
      <c r="A40013" s="8">
        <v>43886.545578703706</v>
      </c>
      <c r="B40013" s="8" t="str">
        <f>HYPERLINK("https://twitter.com/beautydyah","@beautydyah")</f>
        <v>@beautydyah</v>
      </c>
      <c r="C40013" s="8" t="s">
        <v>11964</v>
      </c>
      <c r="D40013" s="8">
        <v>331</v>
      </c>
      <c r="E40013" s="8">
        <v>0</v>
      </c>
      <c r="F40013" s="8">
        <v>3389</v>
      </c>
    </row>
    <row r="40014" spans="1:6" ht="12.75">
      <c r="A40014" s="8">
        <v>43886.545543981483</v>
      </c>
      <c r="B40014" s="8" t="str">
        <f>HYPERLINK("https://twitter.com/te_nago","@te_nago")</f>
        <v>@te_nago</v>
      </c>
      <c r="C40014" s="8" t="s">
        <v>11964</v>
      </c>
      <c r="D40014" s="8">
        <v>331</v>
      </c>
      <c r="E40014" s="8">
        <v>0</v>
      </c>
      <c r="F40014" s="8">
        <v>439</v>
      </c>
    </row>
    <row r="40015" spans="1:6" ht="12.75">
      <c r="A40015" s="8">
        <v>43886.544409722221</v>
      </c>
      <c r="B40015" s="8" t="str">
        <f>HYPERLINK("https://twitter.com/dindarahayu97","@dindarahayu97")</f>
        <v>@dindarahayu97</v>
      </c>
      <c r="C40015" s="8" t="s">
        <v>15310</v>
      </c>
      <c r="D40015" s="8">
        <v>1</v>
      </c>
      <c r="E40015" s="8">
        <v>0</v>
      </c>
      <c r="F40015" s="8">
        <v>601</v>
      </c>
    </row>
    <row r="40016" spans="1:6" ht="12.75">
      <c r="A40016" s="8">
        <v>43886.544305555552</v>
      </c>
      <c r="B40016" s="8" t="str">
        <f>HYPERLINK("https://twitter.com/gunawanperawang","@gunawanperawang")</f>
        <v>@gunawanperawang</v>
      </c>
      <c r="C40016" s="8" t="s">
        <v>11964</v>
      </c>
      <c r="D40016" s="8">
        <v>331</v>
      </c>
      <c r="E40016" s="8">
        <v>0</v>
      </c>
      <c r="F40016" s="8">
        <v>286</v>
      </c>
    </row>
    <row r="40017" spans="1:6" ht="12.75">
      <c r="A40017" s="8">
        <v>43886.543796296297</v>
      </c>
      <c r="B40017" s="8" t="str">
        <f>HYPERLINK("https://twitter.com/Muhamma75997578","@Muhamma75997578")</f>
        <v>@Muhamma75997578</v>
      </c>
      <c r="C40017" s="8" t="s">
        <v>11964</v>
      </c>
      <c r="D40017" s="8">
        <v>331</v>
      </c>
      <c r="E40017" s="8">
        <v>0</v>
      </c>
      <c r="F40017" s="8">
        <v>28</v>
      </c>
    </row>
    <row r="40018" spans="1:6" ht="12.75">
      <c r="A40018" s="8">
        <v>43886.543402777781</v>
      </c>
      <c r="B40018" s="8" t="str">
        <f>HYPERLINK("https://twitter.com/asmarsis","@asmarsis")</f>
        <v>@asmarsis</v>
      </c>
      <c r="C40018" s="8" t="s">
        <v>15311</v>
      </c>
      <c r="D40018" s="8">
        <v>0</v>
      </c>
      <c r="E40018" s="8">
        <v>0</v>
      </c>
      <c r="F40018" s="8">
        <v>443</v>
      </c>
    </row>
    <row r="40019" spans="1:6" ht="12.75">
      <c r="A40019" s="8">
        <v>43886.543217592596</v>
      </c>
      <c r="B40019" s="8" t="str">
        <f>HYPERLINK("https://twitter.com/xxynerva","@xxynerva")</f>
        <v>@xxynerva</v>
      </c>
      <c r="C40019" s="8" t="s">
        <v>15312</v>
      </c>
      <c r="D40019" s="8">
        <v>0</v>
      </c>
      <c r="E40019" s="8">
        <v>0</v>
      </c>
      <c r="F40019" s="8">
        <v>146</v>
      </c>
    </row>
    <row r="40020" spans="1:6" ht="12.75">
      <c r="A40020" s="8">
        <v>43886.542951388888</v>
      </c>
      <c r="B40020" s="8" t="str">
        <f>HYPERLINK("https://twitter.com/babe_Ahmad","@babe_Ahmad")</f>
        <v>@babe_Ahmad</v>
      </c>
      <c r="C40020" s="8" t="s">
        <v>11964</v>
      </c>
      <c r="D40020" s="8">
        <v>331</v>
      </c>
      <c r="E40020" s="8">
        <v>0</v>
      </c>
      <c r="F40020" s="8">
        <v>1504</v>
      </c>
    </row>
    <row r="40021" spans="1:6" ht="12.75">
      <c r="A40021" s="8">
        <v>43886.542592592596</v>
      </c>
      <c r="B40021" s="8" t="str">
        <f>HYPERLINK("https://twitter.com/xunflowe","@xunflowe")</f>
        <v>@xunflowe</v>
      </c>
      <c r="C40021" s="8" t="s">
        <v>14859</v>
      </c>
      <c r="D40021" s="8">
        <v>40</v>
      </c>
      <c r="E40021" s="8">
        <v>0</v>
      </c>
      <c r="F40021" s="8">
        <v>478</v>
      </c>
    </row>
    <row r="40022" spans="1:6" ht="12.75">
      <c r="A40022" s="8">
        <v>43886.542499999996</v>
      </c>
      <c r="B40022" s="8" t="str">
        <f>HYPERLINK("https://twitter.com/ayoonhoistic","@ayoonhoistic")</f>
        <v>@ayoonhoistic</v>
      </c>
      <c r="C40022" s="8" t="s">
        <v>2940</v>
      </c>
      <c r="D40022" s="8">
        <v>2366</v>
      </c>
      <c r="E40022" s="8">
        <v>0</v>
      </c>
      <c r="F40022" s="8">
        <v>637</v>
      </c>
    </row>
    <row r="40023" spans="1:6" ht="12.75">
      <c r="A40023" s="8">
        <v>43886.541851851856</v>
      </c>
      <c r="B40023" s="8" t="str">
        <f>HYPERLINK("https://twitter.com/lifeofbashox","@lifeofbashox")</f>
        <v>@lifeofbashox</v>
      </c>
      <c r="C40023" s="8" t="s">
        <v>15313</v>
      </c>
      <c r="D40023" s="8">
        <v>0</v>
      </c>
      <c r="E40023" s="8">
        <v>0</v>
      </c>
      <c r="F40023" s="8">
        <v>6301</v>
      </c>
    </row>
    <row r="40024" spans="1:6" ht="12.75">
      <c r="A40024" s="8">
        <v>43886.541562500002</v>
      </c>
      <c r="B40024" s="8" t="str">
        <f>HYPERLINK("https://twitter.com/olivianevanda_","@olivianevanda_")</f>
        <v>@olivianevanda_</v>
      </c>
      <c r="C40024" s="8" t="s">
        <v>15314</v>
      </c>
      <c r="D40024" s="8">
        <v>0</v>
      </c>
      <c r="E40024" s="8">
        <v>0</v>
      </c>
      <c r="F40024" s="8">
        <v>546</v>
      </c>
    </row>
    <row r="40025" spans="1:6" ht="12.75">
      <c r="A40025" s="8">
        <v>43886.541354166664</v>
      </c>
      <c r="B40025" s="8" t="str">
        <f>HYPERLINK("https://twitter.com/Ahardi377","@Ahardi377")</f>
        <v>@Ahardi377</v>
      </c>
      <c r="C40025" s="8" t="s">
        <v>11964</v>
      </c>
      <c r="D40025" s="8">
        <v>331</v>
      </c>
      <c r="E40025" s="8">
        <v>0</v>
      </c>
      <c r="F40025" s="8">
        <v>14</v>
      </c>
    </row>
    <row r="40026" spans="1:6" ht="12.75">
      <c r="A40026" s="8">
        <v>43886.541087962964</v>
      </c>
      <c r="B40026" s="8" t="str">
        <f>HYPERLINK("https://twitter.com/kyontoya","@kyontoya")</f>
        <v>@kyontoya</v>
      </c>
      <c r="C40026" s="8" t="s">
        <v>2940</v>
      </c>
      <c r="D40026" s="8">
        <v>2366</v>
      </c>
      <c r="E40026" s="8">
        <v>0</v>
      </c>
      <c r="F40026" s="8">
        <v>118</v>
      </c>
    </row>
    <row r="40027" spans="1:6" ht="12.75">
      <c r="A40027" s="8">
        <v>43886.540358796294</v>
      </c>
      <c r="B40027" s="8" t="str">
        <f>HYPERLINK("https://twitter.com/mtaufikmJKT48","@mtaufikmJKT48")</f>
        <v>@mtaufikmJKT48</v>
      </c>
      <c r="C40027" s="8" t="s">
        <v>15315</v>
      </c>
      <c r="D40027" s="8">
        <v>6</v>
      </c>
      <c r="E40027" s="8">
        <v>0</v>
      </c>
      <c r="F40027" s="8">
        <v>1459</v>
      </c>
    </row>
    <row r="40028" spans="1:6" ht="12.75">
      <c r="A40028" s="8">
        <v>43886.540347222224</v>
      </c>
      <c r="B40028" s="8" t="str">
        <f>HYPERLINK("https://twitter.com/Suswant65202349","@Suswant65202349")</f>
        <v>@Suswant65202349</v>
      </c>
      <c r="C40028" s="8" t="s">
        <v>11964</v>
      </c>
      <c r="D40028" s="8">
        <v>331</v>
      </c>
      <c r="E40028" s="8">
        <v>0</v>
      </c>
      <c r="F40028" s="8">
        <v>23</v>
      </c>
    </row>
    <row r="40029" spans="1:6" ht="12.75">
      <c r="A40029" s="8">
        <v>43886.53974537037</v>
      </c>
      <c r="B40029" s="8" t="str">
        <f>HYPERLINK("https://twitter.com/s322eud62n","@s322eud62n")</f>
        <v>@s322eud62n</v>
      </c>
      <c r="C40029" s="8" t="s">
        <v>8484</v>
      </c>
      <c r="D40029" s="8">
        <v>748</v>
      </c>
      <c r="E40029" s="8">
        <v>0</v>
      </c>
      <c r="F40029" s="8">
        <v>105</v>
      </c>
    </row>
    <row r="40030" spans="1:6" ht="12.75">
      <c r="A40030" s="8">
        <v>43886.53974537037</v>
      </c>
      <c r="B40030" s="8" t="str">
        <f>HYPERLINK("https://twitter.com/AEPishere","@AEPishere")</f>
        <v>@AEPishere</v>
      </c>
      <c r="C40030" s="8" t="s">
        <v>15316</v>
      </c>
      <c r="D40030" s="8">
        <v>1</v>
      </c>
      <c r="E40030" s="8">
        <v>0</v>
      </c>
      <c r="F40030" s="8">
        <v>3016</v>
      </c>
    </row>
    <row r="40031" spans="1:6" ht="12.75">
      <c r="A40031" s="8">
        <v>43886.539456018523</v>
      </c>
      <c r="B40031" s="8" t="str">
        <f>HYPERLINK("https://twitter.com/Yudi87287092","@Yudi87287092")</f>
        <v>@Yudi87287092</v>
      </c>
      <c r="C40031" s="8" t="s">
        <v>15317</v>
      </c>
      <c r="D40031" s="8">
        <v>0</v>
      </c>
      <c r="E40031" s="8">
        <v>0</v>
      </c>
      <c r="F40031" s="8">
        <v>4</v>
      </c>
    </row>
    <row r="40032" spans="1:6" ht="12.75">
      <c r="A40032" s="8">
        <v>43886.539143518516</v>
      </c>
      <c r="B40032" s="8" t="str">
        <f>HYPERLINK("https://twitter.com/da_MA_bee_YAH","@da_MA_bee_YAH")</f>
        <v>@da_MA_bee_YAH</v>
      </c>
      <c r="C40032" s="8" t="s">
        <v>15163</v>
      </c>
      <c r="D40032" s="8">
        <v>1</v>
      </c>
      <c r="E40032" s="8">
        <v>0</v>
      </c>
      <c r="F40032" s="8">
        <v>296</v>
      </c>
    </row>
    <row r="40033" spans="1:6" ht="12.75">
      <c r="A40033" s="8">
        <v>43886.539143518516</v>
      </c>
      <c r="B40033" s="8" t="str">
        <f>HYPERLINK("https://twitter.com/Agus10618284","@Agus10618284")</f>
        <v>@Agus10618284</v>
      </c>
      <c r="C40033" s="8" t="s">
        <v>11964</v>
      </c>
      <c r="D40033" s="8">
        <v>331</v>
      </c>
      <c r="E40033" s="8">
        <v>0</v>
      </c>
      <c r="F40033" s="8">
        <v>1239</v>
      </c>
    </row>
    <row r="40034" spans="1:6" ht="12.75">
      <c r="A40034" s="8">
        <v>43886.539039351846</v>
      </c>
      <c r="B40034" s="8" t="str">
        <f>HYPERLINK("https://twitter.com/Sunardi88110096","@Sunardi88110096")</f>
        <v>@Sunardi88110096</v>
      </c>
      <c r="C40034" s="8" t="s">
        <v>15318</v>
      </c>
      <c r="D40034" s="8">
        <v>0</v>
      </c>
      <c r="E40034" s="8">
        <v>0</v>
      </c>
      <c r="F40034" s="8">
        <v>18</v>
      </c>
    </row>
    <row r="40035" spans="1:6" ht="12.75">
      <c r="A40035" s="8">
        <v>43886.538159722222</v>
      </c>
      <c r="B40035" s="8" t="str">
        <f>HYPERLINK("https://twitter.com/Kingdaud14","@Kingdaud14")</f>
        <v>@Kingdaud14</v>
      </c>
      <c r="C40035" s="8" t="s">
        <v>15319</v>
      </c>
      <c r="D40035" s="8">
        <v>0</v>
      </c>
      <c r="E40035" s="8">
        <v>1</v>
      </c>
      <c r="F40035" s="8">
        <v>2</v>
      </c>
    </row>
    <row r="40036" spans="1:6" ht="12.75">
      <c r="A40036" s="8">
        <v>43886.538136574076</v>
      </c>
      <c r="B40036" s="8" t="str">
        <f>HYPERLINK("https://twitter.com/cantankerous313","@cantankerous313")</f>
        <v>@cantankerous313</v>
      </c>
      <c r="C40036" s="8" t="s">
        <v>11964</v>
      </c>
      <c r="D40036" s="8">
        <v>331</v>
      </c>
      <c r="E40036" s="8">
        <v>0</v>
      </c>
      <c r="F40036" s="8">
        <v>2071</v>
      </c>
    </row>
    <row r="40037" spans="1:6" ht="12.75">
      <c r="A40037" s="8">
        <v>43886.53805555556</v>
      </c>
      <c r="B40037" s="8" t="str">
        <f>HYPERLINK("https://twitter.com/nyah_hall","@nyah_hall")</f>
        <v>@nyah_hall</v>
      </c>
      <c r="C40037" s="8" t="s">
        <v>11964</v>
      </c>
      <c r="D40037" s="8">
        <v>331</v>
      </c>
      <c r="E40037" s="8">
        <v>0</v>
      </c>
      <c r="F40037" s="8">
        <v>1142</v>
      </c>
    </row>
    <row r="40038" spans="1:6" ht="12.75">
      <c r="A40038" s="8">
        <v>43886.538032407407</v>
      </c>
      <c r="B40038" s="8" t="str">
        <f>HYPERLINK("https://twitter.com/Betadin7","@Betadin7")</f>
        <v>@Betadin7</v>
      </c>
      <c r="C40038" s="8" t="s">
        <v>11964</v>
      </c>
      <c r="D40038" s="8">
        <v>331</v>
      </c>
      <c r="E40038" s="8">
        <v>0</v>
      </c>
      <c r="F40038" s="8">
        <v>260</v>
      </c>
    </row>
    <row r="40039" spans="1:6" ht="12.75">
      <c r="A40039" s="8">
        <v>43886.537731481483</v>
      </c>
      <c r="B40039" s="8" t="str">
        <f>HYPERLINK("https://twitter.com/yaniprawiro1","@yaniprawiro1")</f>
        <v>@yaniprawiro1</v>
      </c>
      <c r="C40039" s="8" t="s">
        <v>11964</v>
      </c>
      <c r="D40039" s="8">
        <v>331</v>
      </c>
      <c r="E40039" s="8">
        <v>0</v>
      </c>
      <c r="F40039" s="8">
        <v>301</v>
      </c>
    </row>
    <row r="40040" spans="1:6" ht="12.75">
      <c r="A40040" s="8">
        <v>43886.53769675926</v>
      </c>
      <c r="B40040" s="8" t="str">
        <f>HYPERLINK("https://twitter.com/AminBachtiar3","@AminBachtiar3")</f>
        <v>@AminBachtiar3</v>
      </c>
      <c r="C40040" s="8" t="s">
        <v>11964</v>
      </c>
      <c r="D40040" s="8">
        <v>331</v>
      </c>
      <c r="E40040" s="8">
        <v>0</v>
      </c>
      <c r="F40040" s="8">
        <v>31</v>
      </c>
    </row>
    <row r="40041" spans="1:6" ht="12.75">
      <c r="A40041" s="8">
        <v>43886.537499999999</v>
      </c>
      <c r="B40041" s="8" t="str">
        <f>HYPERLINK("https://twitter.com/AbolichdZ","@AbolichdZ")</f>
        <v>@AbolichdZ</v>
      </c>
      <c r="C40041" s="8" t="s">
        <v>11964</v>
      </c>
      <c r="D40041" s="8">
        <v>331</v>
      </c>
      <c r="E40041" s="8">
        <v>0</v>
      </c>
      <c r="F40041" s="8">
        <v>812</v>
      </c>
    </row>
    <row r="40042" spans="1:6" ht="12.75">
      <c r="A40042" s="8">
        <v>43886.53670138889</v>
      </c>
      <c r="B40042" s="8" t="str">
        <f>HYPERLINK("https://twitter.com/lawanprovokator","@lawanprovokator")</f>
        <v>@lawanprovokator</v>
      </c>
      <c r="C40042" s="8" t="s">
        <v>11183</v>
      </c>
      <c r="D40042" s="8">
        <v>72</v>
      </c>
      <c r="E40042" s="8">
        <v>0</v>
      </c>
      <c r="F40042" s="8">
        <v>221</v>
      </c>
    </row>
    <row r="40043" spans="1:6" ht="12.75">
      <c r="A40043" s="8">
        <v>43886.536574074074</v>
      </c>
      <c r="B40043" s="8" t="str">
        <f>HYPERLINK("https://twitter.com/singgihk8","@singgihk8")</f>
        <v>@singgihk8</v>
      </c>
      <c r="C40043" s="8" t="s">
        <v>11183</v>
      </c>
      <c r="D40043" s="8">
        <v>72</v>
      </c>
      <c r="E40043" s="8">
        <v>0</v>
      </c>
      <c r="F40043" s="8">
        <v>1482</v>
      </c>
    </row>
    <row r="40044" spans="1:6" ht="12.75">
      <c r="A40044" s="8">
        <v>43886.536504629628</v>
      </c>
      <c r="B40044" s="8" t="str">
        <f>HYPERLINK("https://twitter.com/Khaibar92110952","@Khaibar92110952")</f>
        <v>@Khaibar92110952</v>
      </c>
      <c r="C40044" s="8" t="s">
        <v>11964</v>
      </c>
      <c r="D40044" s="8">
        <v>331</v>
      </c>
      <c r="E40044" s="8">
        <v>0</v>
      </c>
      <c r="F40044" s="8">
        <v>51</v>
      </c>
    </row>
    <row r="40045" spans="1:6" ht="12.75">
      <c r="A40045" s="8">
        <v>43886.536504629628</v>
      </c>
      <c r="B40045" s="8" t="str">
        <f>HYPERLINK("https://twitter.com/voidotid","@voidotid")</f>
        <v>@voidotid</v>
      </c>
      <c r="C40045" s="8" t="s">
        <v>15320</v>
      </c>
      <c r="D40045" s="8">
        <v>0</v>
      </c>
      <c r="E40045" s="8">
        <v>1</v>
      </c>
      <c r="F40045" s="8">
        <v>1931</v>
      </c>
    </row>
    <row r="40046" spans="1:6" ht="12.75">
      <c r="A40046" s="8">
        <v>43886.53634259259</v>
      </c>
      <c r="B40046" s="8" t="str">
        <f>HYPERLINK("https://twitter.com/zahrafitrin","@zahrafitrin")</f>
        <v>@zahrafitrin</v>
      </c>
      <c r="C40046" s="8" t="s">
        <v>11964</v>
      </c>
      <c r="D40046" s="8">
        <v>331</v>
      </c>
      <c r="E40046" s="8">
        <v>0</v>
      </c>
      <c r="F40046" s="8">
        <v>136</v>
      </c>
    </row>
    <row r="40047" spans="1:6" ht="12.75">
      <c r="A40047" s="8">
        <v>43886.536261574074</v>
      </c>
      <c r="B40047" s="8" t="str">
        <f>HYPERLINK("https://twitter.com/rusdian01796366","@rusdian01796366")</f>
        <v>@rusdian01796366</v>
      </c>
      <c r="C40047" s="8" t="s">
        <v>11964</v>
      </c>
      <c r="D40047" s="8">
        <v>331</v>
      </c>
      <c r="E40047" s="8">
        <v>0</v>
      </c>
      <c r="F40047" s="8">
        <v>724</v>
      </c>
    </row>
    <row r="40048" spans="1:6" ht="12.75">
      <c r="A40048" s="8">
        <v>43886.536226851851</v>
      </c>
      <c r="B40048" s="8" t="str">
        <f>HYPERLINK("https://twitter.com/SadeBimantara","@SadeBimantara")</f>
        <v>@SadeBimantara</v>
      </c>
      <c r="C40048" s="8" t="s">
        <v>14100</v>
      </c>
      <c r="D40048" s="8">
        <v>6</v>
      </c>
      <c r="E40048" s="8">
        <v>0</v>
      </c>
      <c r="F40048" s="8">
        <v>1512</v>
      </c>
    </row>
    <row r="40049" spans="1:6" ht="12.75">
      <c r="A40049" s="8">
        <v>43886.536215277782</v>
      </c>
      <c r="B40049" s="8" t="str">
        <f>HYPERLINK("https://twitter.com/meow_leader","@meow_leader")</f>
        <v>@meow_leader</v>
      </c>
      <c r="C40049" s="8" t="s">
        <v>11183</v>
      </c>
      <c r="D40049" s="8">
        <v>72</v>
      </c>
      <c r="E40049" s="8">
        <v>0</v>
      </c>
      <c r="F40049" s="8">
        <v>3715</v>
      </c>
    </row>
    <row r="40050" spans="1:6" ht="12.75">
      <c r="A40050" s="8">
        <v>43886.536041666666</v>
      </c>
      <c r="B40050" s="8" t="str">
        <f>HYPERLINK("https://twitter.com/muktarlim","@muktarlim")</f>
        <v>@muktarlim</v>
      </c>
      <c r="C40050" s="8" t="s">
        <v>15321</v>
      </c>
      <c r="D40050" s="8">
        <v>1</v>
      </c>
      <c r="E40050" s="8">
        <v>1</v>
      </c>
      <c r="F40050" s="8">
        <v>2703</v>
      </c>
    </row>
    <row r="40051" spans="1:6" ht="12.75">
      <c r="A40051" s="8">
        <v>43886.535960648151</v>
      </c>
      <c r="B40051" s="8" t="str">
        <f>HYPERLINK("https://twitter.com/fd_SatuLagi","@fd_SatuLagi")</f>
        <v>@fd_SatuLagi</v>
      </c>
      <c r="C40051" s="8" t="s">
        <v>11964</v>
      </c>
      <c r="D40051" s="8">
        <v>331</v>
      </c>
      <c r="E40051" s="8">
        <v>0</v>
      </c>
      <c r="F40051" s="8">
        <v>794</v>
      </c>
    </row>
    <row r="40052" spans="1:6" ht="12.75">
      <c r="A40052" s="8">
        <v>43886.535914351851</v>
      </c>
      <c r="B40052" s="8" t="str">
        <f>HYPERLINK("https://twitter.com/AyesRAYA","@AyesRAYA")</f>
        <v>@AyesRAYA</v>
      </c>
      <c r="C40052" s="8" t="s">
        <v>11964</v>
      </c>
      <c r="D40052" s="8">
        <v>331</v>
      </c>
      <c r="E40052" s="8">
        <v>0</v>
      </c>
      <c r="F40052" s="8">
        <v>131</v>
      </c>
    </row>
    <row r="40053" spans="1:6" ht="12.75">
      <c r="A40053" s="8">
        <v>43886.535625000004</v>
      </c>
      <c r="B40053" s="8" t="str">
        <f>HYPERLINK("https://twitter.com/I_Luv300","@I_Luv300")</f>
        <v>@I_Luv300</v>
      </c>
      <c r="C40053" s="8" t="s">
        <v>11964</v>
      </c>
      <c r="D40053" s="8">
        <v>331</v>
      </c>
      <c r="E40053" s="8">
        <v>0</v>
      </c>
      <c r="F40053" s="8">
        <v>87</v>
      </c>
    </row>
    <row r="40054" spans="1:6" ht="12.75">
      <c r="A40054" s="8">
        <v>43886.534884259258</v>
      </c>
      <c r="B40054" s="8" t="str">
        <f>HYPERLINK("https://twitter.com/YudhiMira","@YudhiMira")</f>
        <v>@YudhiMira</v>
      </c>
      <c r="C40054" s="8" t="s">
        <v>11964</v>
      </c>
      <c r="D40054" s="8">
        <v>331</v>
      </c>
      <c r="E40054" s="8">
        <v>0</v>
      </c>
      <c r="F40054" s="8">
        <v>520</v>
      </c>
    </row>
    <row r="40055" spans="1:6" ht="12.75">
      <c r="A40055" s="8">
        <v>43886.534375000003</v>
      </c>
      <c r="B40055" s="8" t="str">
        <f>HYPERLINK("https://twitter.com/tama2354","@tama2354")</f>
        <v>@tama2354</v>
      </c>
      <c r="C40055" s="8" t="s">
        <v>2940</v>
      </c>
      <c r="D40055" s="8">
        <v>2366</v>
      </c>
      <c r="E40055" s="8">
        <v>0</v>
      </c>
      <c r="F40055" s="8">
        <v>969</v>
      </c>
    </row>
    <row r="40056" spans="1:6" ht="12.75">
      <c r="A40056" s="8">
        <v>43886.533946759257</v>
      </c>
      <c r="B40056" s="8" t="str">
        <f>HYPERLINK("https://twitter.com/gilang__prakasa","@gilang__prakasa")</f>
        <v>@gilang__prakasa</v>
      </c>
      <c r="C40056" s="8" t="s">
        <v>12920</v>
      </c>
      <c r="D40056" s="8">
        <v>1528</v>
      </c>
      <c r="E40056" s="8">
        <v>0</v>
      </c>
      <c r="F40056" s="8">
        <v>22</v>
      </c>
    </row>
    <row r="40057" spans="1:6" ht="12.75">
      <c r="A40057" s="8">
        <v>43886.533113425925</v>
      </c>
      <c r="B40057" s="8" t="str">
        <f>HYPERLINK("https://twitter.com/mudha_satriya","@mudha_satriya")</f>
        <v>@mudha_satriya</v>
      </c>
      <c r="C40057" s="8" t="s">
        <v>15322</v>
      </c>
      <c r="D40057" s="8">
        <v>2</v>
      </c>
      <c r="E40057" s="8">
        <v>0</v>
      </c>
      <c r="F40057" s="8">
        <v>1874</v>
      </c>
    </row>
    <row r="40058" spans="1:6" ht="12.75">
      <c r="A40058" s="8">
        <v>43886.532569444447</v>
      </c>
      <c r="B40058" s="8" t="str">
        <f>HYPERLINK("https://twitter.com/Delta_tofu","@Delta_tofu")</f>
        <v>@Delta_tofu</v>
      </c>
      <c r="C40058" s="8" t="s">
        <v>11964</v>
      </c>
      <c r="D40058" s="8">
        <v>331</v>
      </c>
      <c r="E40058" s="8">
        <v>0</v>
      </c>
      <c r="F40058" s="8">
        <v>596</v>
      </c>
    </row>
    <row r="40059" spans="1:6" ht="12.75">
      <c r="A40059" s="8">
        <v>43886.531458333338</v>
      </c>
      <c r="B40059" s="8" t="str">
        <f>HYPERLINK("https://twitter.com/Inder_nayak18","@Inder_nayak18")</f>
        <v>@Inder_nayak18</v>
      </c>
      <c r="C40059" s="8" t="s">
        <v>15323</v>
      </c>
      <c r="D40059" s="8">
        <v>0</v>
      </c>
      <c r="E40059" s="8">
        <v>0</v>
      </c>
      <c r="F40059" s="8">
        <v>56</v>
      </c>
    </row>
    <row r="40060" spans="1:6" ht="12.75">
      <c r="A40060" s="8">
        <v>43886.531400462962</v>
      </c>
      <c r="B40060" s="8" t="str">
        <f>HYPERLINK("https://twitter.com/Winar11046769","@Winar11046769")</f>
        <v>@Winar11046769</v>
      </c>
      <c r="C40060" s="8" t="s">
        <v>11964</v>
      </c>
      <c r="D40060" s="8">
        <v>331</v>
      </c>
      <c r="E40060" s="8">
        <v>0</v>
      </c>
      <c r="F40060" s="8">
        <v>400</v>
      </c>
    </row>
    <row r="40061" spans="1:6" ht="12.75">
      <c r="A40061" s="8">
        <v>43886.531192129631</v>
      </c>
      <c r="B40061" s="8" t="str">
        <f>HYPERLINK("https://twitter.com/EBRoestono","@EBRoestono")</f>
        <v>@EBRoestono</v>
      </c>
      <c r="C40061" s="8" t="s">
        <v>11964</v>
      </c>
      <c r="D40061" s="8">
        <v>331</v>
      </c>
      <c r="E40061" s="8">
        <v>0</v>
      </c>
      <c r="F40061" s="8">
        <v>740</v>
      </c>
    </row>
    <row r="40062" spans="1:6" ht="12.75">
      <c r="A40062" s="8">
        <v>43886.531030092592</v>
      </c>
      <c r="B40062" s="8" t="str">
        <f>HYPERLINK("https://twitter.com/Arrale4","@Arrale4")</f>
        <v>@Arrale4</v>
      </c>
      <c r="C40062" s="8" t="s">
        <v>11964</v>
      </c>
      <c r="D40062" s="8">
        <v>331</v>
      </c>
      <c r="E40062" s="8">
        <v>0</v>
      </c>
      <c r="F40062" s="8">
        <v>338</v>
      </c>
    </row>
    <row r="40063" spans="1:6" ht="12.75">
      <c r="A40063" s="8">
        <v>43886.5308912037</v>
      </c>
      <c r="B40063" s="8" t="str">
        <f>HYPERLINK("https://twitter.com/Anto75408129","@Anto75408129")</f>
        <v>@Anto75408129</v>
      </c>
      <c r="C40063" s="8" t="s">
        <v>11964</v>
      </c>
      <c r="D40063" s="8">
        <v>331</v>
      </c>
      <c r="E40063" s="8">
        <v>0</v>
      </c>
      <c r="F40063" s="8">
        <v>131</v>
      </c>
    </row>
    <row r="40064" spans="1:6" ht="12.75">
      <c r="A40064" s="8">
        <v>43886.530081018514</v>
      </c>
      <c r="B40064" s="8" t="str">
        <f>HYPERLINK("https://twitter.com/Chiroru_ne","@Chiroru_ne")</f>
        <v>@Chiroru_ne</v>
      </c>
      <c r="C40064" s="8" t="s">
        <v>8484</v>
      </c>
      <c r="D40064" s="8">
        <v>748</v>
      </c>
      <c r="E40064" s="8">
        <v>0</v>
      </c>
      <c r="F40064" s="8">
        <v>584</v>
      </c>
    </row>
    <row r="40065" spans="1:6" ht="12.75">
      <c r="A40065" s="8">
        <v>43886.52988425926</v>
      </c>
      <c r="B40065" s="8" t="str">
        <f>HYPERLINK("https://twitter.com/GoAcehco","@GoAcehco")</f>
        <v>@GoAcehco</v>
      </c>
      <c r="C40065" s="8" t="s">
        <v>15324</v>
      </c>
      <c r="D40065" s="8">
        <v>0</v>
      </c>
      <c r="E40065" s="8">
        <v>0</v>
      </c>
      <c r="F40065" s="8">
        <v>4078</v>
      </c>
    </row>
    <row r="40066" spans="1:6" ht="12.75">
      <c r="A40066" s="8">
        <v>43886.529189814813</v>
      </c>
      <c r="B40066" s="8" t="str">
        <f>HYPERLINK("https://twitter.com/rifyalmumtaz","@rifyalmumtaz")</f>
        <v>@rifyalmumtaz</v>
      </c>
      <c r="C40066" s="8" t="s">
        <v>6666</v>
      </c>
      <c r="D40066" s="8">
        <v>14</v>
      </c>
      <c r="E40066" s="8">
        <v>0</v>
      </c>
      <c r="F40066" s="8">
        <v>1163</v>
      </c>
    </row>
    <row r="40067" spans="1:6" ht="12.75">
      <c r="A40067" s="8">
        <v>43886.528680555552</v>
      </c>
      <c r="B40067" s="8" t="str">
        <f>HYPERLINK("https://twitter.com/honestMe19","@honestMe19")</f>
        <v>@honestMe19</v>
      </c>
      <c r="C40067" s="8" t="s">
        <v>11964</v>
      </c>
      <c r="D40067" s="8">
        <v>331</v>
      </c>
      <c r="E40067" s="8">
        <v>0</v>
      </c>
      <c r="F40067" s="8">
        <v>28</v>
      </c>
    </row>
    <row r="40068" spans="1:6" ht="12.75">
      <c r="A40068" s="8">
        <v>43886.528645833328</v>
      </c>
      <c r="B40068" s="8" t="str">
        <f>HYPERLINK("https://twitter.com/mjnhk3","@mjnhk3")</f>
        <v>@mjnhk3</v>
      </c>
      <c r="C40068" s="8" t="s">
        <v>2940</v>
      </c>
      <c r="D40068" s="8">
        <v>2366</v>
      </c>
      <c r="E40068" s="8">
        <v>0</v>
      </c>
      <c r="F40068" s="8">
        <v>148</v>
      </c>
    </row>
    <row r="40069" spans="1:6" ht="12.75">
      <c r="A40069" s="8">
        <v>43886.528344907405</v>
      </c>
      <c r="B40069" s="8" t="str">
        <f>HYPERLINK("https://twitter.com/BatubaraFahreza","@BatubaraFahreza")</f>
        <v>@BatubaraFahreza</v>
      </c>
      <c r="C40069" s="8" t="s">
        <v>11964</v>
      </c>
      <c r="D40069" s="8">
        <v>331</v>
      </c>
      <c r="E40069" s="8">
        <v>0</v>
      </c>
      <c r="F40069" s="8">
        <v>618</v>
      </c>
    </row>
    <row r="40070" spans="1:6" ht="12.75">
      <c r="A40070" s="8">
        <v>43886.528113425928</v>
      </c>
      <c r="B40070" s="8" t="str">
        <f>HYPERLINK("https://twitter.com/AbyMaula","@AbyMaula")</f>
        <v>@AbyMaula</v>
      </c>
      <c r="C40070" s="8" t="s">
        <v>11183</v>
      </c>
      <c r="D40070" s="8">
        <v>72</v>
      </c>
      <c r="E40070" s="8">
        <v>0</v>
      </c>
      <c r="F40070" s="8">
        <v>94</v>
      </c>
    </row>
    <row r="40071" spans="1:6" ht="12.75">
      <c r="A40071" s="8">
        <v>43886.527245370366</v>
      </c>
      <c r="B40071" s="8" t="str">
        <f>HYPERLINK("https://twitter.com/EZahtra","@EZahtra")</f>
        <v>@EZahtra</v>
      </c>
      <c r="C40071" s="8" t="s">
        <v>15325</v>
      </c>
      <c r="D40071" s="8">
        <v>0</v>
      </c>
      <c r="E40071" s="8">
        <v>0</v>
      </c>
      <c r="F40071" s="8">
        <v>4</v>
      </c>
    </row>
    <row r="40072" spans="1:6" ht="12.75">
      <c r="A40072" s="8">
        <v>43886.52721064815</v>
      </c>
      <c r="B40072" s="8" t="str">
        <f>HYPERLINK("https://twitter.com/Muhamad09147404","@Muhamad09147404")</f>
        <v>@Muhamad09147404</v>
      </c>
      <c r="C40072" s="8" t="s">
        <v>11964</v>
      </c>
      <c r="D40072" s="8">
        <v>331</v>
      </c>
      <c r="E40072" s="8">
        <v>0</v>
      </c>
      <c r="F40072" s="8">
        <v>669</v>
      </c>
    </row>
    <row r="40073" spans="1:6" ht="12.75">
      <c r="A40073" s="8">
        <v>43886.527060185181</v>
      </c>
      <c r="B40073" s="8" t="str">
        <f>HYPERLINK("https://twitter.com/Serimurni14","@Serimurni14")</f>
        <v>@Serimurni14</v>
      </c>
      <c r="C40073" s="8" t="s">
        <v>15326</v>
      </c>
      <c r="D40073" s="8">
        <v>0</v>
      </c>
      <c r="E40073" s="8">
        <v>0</v>
      </c>
      <c r="F40073" s="8">
        <v>33</v>
      </c>
    </row>
    <row r="40074" spans="1:6" ht="12.75">
      <c r="A40074" s="8">
        <v>43886.526909722219</v>
      </c>
      <c r="B40074" s="8" t="str">
        <f>HYPERLINK("https://twitter.com/sato_shoten","@sato_shoten")</f>
        <v>@sato_shoten</v>
      </c>
      <c r="C40074" s="8" t="s">
        <v>2940</v>
      </c>
      <c r="D40074" s="8">
        <v>2366</v>
      </c>
      <c r="E40074" s="8">
        <v>0</v>
      </c>
      <c r="F40074" s="8">
        <v>720</v>
      </c>
    </row>
    <row r="40075" spans="1:6" ht="12.75">
      <c r="A40075" s="8">
        <v>43886.526747685188</v>
      </c>
      <c r="B40075" s="8" t="str">
        <f>HYPERLINK("https://twitter.com/bandarcung","@bandarcung")</f>
        <v>@bandarcung</v>
      </c>
      <c r="C40075" s="8" t="s">
        <v>15327</v>
      </c>
      <c r="D40075" s="8">
        <v>0</v>
      </c>
      <c r="E40075" s="8">
        <v>0</v>
      </c>
      <c r="F40075" s="8">
        <v>117</v>
      </c>
    </row>
    <row r="40076" spans="1:6" ht="12.75">
      <c r="A40076" s="8">
        <v>43886.525995370372</v>
      </c>
      <c r="B40076" s="8" t="str">
        <f>HYPERLINK("https://twitter.com/tomato_suki6888","@tomato_suki6888")</f>
        <v>@tomato_suki6888</v>
      </c>
      <c r="C40076" s="8" t="s">
        <v>2940</v>
      </c>
      <c r="D40076" s="8">
        <v>2366</v>
      </c>
      <c r="E40076" s="8">
        <v>0</v>
      </c>
      <c r="F40076" s="8">
        <v>2</v>
      </c>
    </row>
    <row r="40077" spans="1:6" ht="12.75">
      <c r="A40077" s="8">
        <v>43886.525960648149</v>
      </c>
      <c r="B40077" s="8" t="str">
        <f>HYPERLINK("https://twitter.com/RahmanAkly","@RahmanAkly")</f>
        <v>@RahmanAkly</v>
      </c>
      <c r="C40077" s="8" t="s">
        <v>11183</v>
      </c>
      <c r="D40077" s="8">
        <v>72</v>
      </c>
      <c r="E40077" s="8">
        <v>0</v>
      </c>
      <c r="F40077" s="8">
        <v>481</v>
      </c>
    </row>
    <row r="40078" spans="1:6" ht="12.75">
      <c r="A40078" s="8">
        <v>43886.525879629626</v>
      </c>
      <c r="B40078" s="8" t="str">
        <f>HYPERLINK("https://twitter.com/shadinemahala","@shadinemahala")</f>
        <v>@shadinemahala</v>
      </c>
      <c r="C40078" s="8" t="s">
        <v>15328</v>
      </c>
      <c r="D40078" s="8">
        <v>0</v>
      </c>
      <c r="E40078" s="8">
        <v>0</v>
      </c>
      <c r="F40078" s="8">
        <v>345</v>
      </c>
    </row>
    <row r="40079" spans="1:6" ht="12.75">
      <c r="A40079" s="8">
        <v>43886.525659722218</v>
      </c>
      <c r="B40079" s="8" t="str">
        <f>HYPERLINK("https://twitter.com/HadiantoBroer","@HadiantoBroer")</f>
        <v>@HadiantoBroer</v>
      </c>
      <c r="C40079" s="8" t="s">
        <v>11964</v>
      </c>
      <c r="D40079" s="8">
        <v>331</v>
      </c>
      <c r="E40079" s="8">
        <v>0</v>
      </c>
      <c r="F40079" s="8">
        <v>400</v>
      </c>
    </row>
    <row r="40080" spans="1:6" ht="12.75">
      <c r="A40080" s="8">
        <v>43886.525405092594</v>
      </c>
      <c r="B40080" s="8" t="str">
        <f>HYPERLINK("https://twitter.com/sultonhadie","@sultonhadie")</f>
        <v>@sultonhadie</v>
      </c>
      <c r="C40080" s="8" t="s">
        <v>15329</v>
      </c>
      <c r="D40080" s="8">
        <v>10</v>
      </c>
      <c r="E40080" s="8">
        <v>0</v>
      </c>
      <c r="F40080" s="8">
        <v>330</v>
      </c>
    </row>
    <row r="40081" spans="1:6" ht="12.75">
      <c r="A40081" s="8">
        <v>43886.525277777779</v>
      </c>
      <c r="B40081" s="8" t="str">
        <f>HYPERLINK("https://twitter.com/X_SamURay63","@X_SamURay63")</f>
        <v>@X_SamURay63</v>
      </c>
      <c r="C40081" s="8" t="s">
        <v>11964</v>
      </c>
      <c r="D40081" s="8">
        <v>331</v>
      </c>
      <c r="E40081" s="8">
        <v>0</v>
      </c>
      <c r="F40081" s="8">
        <v>3922</v>
      </c>
    </row>
    <row r="40082" spans="1:6" ht="12.75">
      <c r="A40082" s="8">
        <v>43886.52449074074</v>
      </c>
      <c r="B40082" s="8" t="str">
        <f>HYPERLINK("https://twitter.com/suarantbcom","@suarantbcom")</f>
        <v>@suarantbcom</v>
      </c>
      <c r="C40082" s="8" t="s">
        <v>15330</v>
      </c>
      <c r="D40082" s="8">
        <v>0</v>
      </c>
      <c r="E40082" s="8">
        <v>0</v>
      </c>
      <c r="F40082" s="8">
        <v>3086</v>
      </c>
    </row>
    <row r="40083" spans="1:6" ht="12.75">
      <c r="A40083" s="8">
        <v>43886.524189814816</v>
      </c>
      <c r="B40083" s="8" t="str">
        <f>HYPERLINK("https://twitter.com/tribuntimur","@tribuntimur")</f>
        <v>@tribuntimur</v>
      </c>
      <c r="C40083" s="8" t="s">
        <v>15331</v>
      </c>
      <c r="D40083" s="8">
        <v>0</v>
      </c>
      <c r="E40083" s="8">
        <v>0</v>
      </c>
      <c r="F40083" s="8">
        <v>177971</v>
      </c>
    </row>
    <row r="40084" spans="1:6" ht="12.75">
      <c r="A40084" s="8">
        <v>43886.52407407407</v>
      </c>
      <c r="B40084" s="8" t="str">
        <f>HYPERLINK("https://twitter.com/wkoik1102","@wkoik1102")</f>
        <v>@wkoik1102</v>
      </c>
      <c r="C40084" s="8" t="s">
        <v>2940</v>
      </c>
      <c r="D40084" s="8">
        <v>2366</v>
      </c>
      <c r="E40084" s="8">
        <v>0</v>
      </c>
      <c r="F40084" s="8">
        <v>3392</v>
      </c>
    </row>
    <row r="40085" spans="1:6" ht="12.75">
      <c r="A40085" s="8">
        <v>43886.523310185185</v>
      </c>
      <c r="B40085" s="8" t="str">
        <f>HYPERLINK("https://twitter.com/Haluan_","@Haluan_")</f>
        <v>@Haluan_</v>
      </c>
      <c r="C40085" s="8" t="s">
        <v>15332</v>
      </c>
      <c r="D40085" s="8">
        <v>0</v>
      </c>
      <c r="E40085" s="8">
        <v>0</v>
      </c>
      <c r="F40085" s="8">
        <v>1489</v>
      </c>
    </row>
    <row r="40086" spans="1:6" ht="12.75">
      <c r="A40086" s="8">
        <v>43886.522766203707</v>
      </c>
      <c r="B40086" s="8" t="str">
        <f>HYPERLINK("https://twitter.com/laodesahrulan","@laodesahrulan")</f>
        <v>@laodesahrulan</v>
      </c>
      <c r="C40086" s="8" t="s">
        <v>11964</v>
      </c>
      <c r="D40086" s="8">
        <v>331</v>
      </c>
      <c r="E40086" s="8">
        <v>0</v>
      </c>
      <c r="F40086" s="8">
        <v>702</v>
      </c>
    </row>
    <row r="40087" spans="1:6" ht="12.75">
      <c r="A40087" s="8">
        <v>43886.522245370375</v>
      </c>
      <c r="B40087" s="8" t="str">
        <f>HYPERLINK("https://twitter.com/GoRiauCom","@GoRiauCom")</f>
        <v>@GoRiauCom</v>
      </c>
      <c r="C40087" s="8" t="s">
        <v>15324</v>
      </c>
      <c r="D40087" s="8">
        <v>0</v>
      </c>
      <c r="E40087" s="8">
        <v>1</v>
      </c>
      <c r="F40087" s="8">
        <v>84668</v>
      </c>
    </row>
    <row r="40088" spans="1:6" ht="12.75">
      <c r="A40088" s="8">
        <v>43886.522048611107</v>
      </c>
      <c r="B40088" s="8" t="str">
        <f>HYPERLINK("https://twitter.com/WaskitoHan","@WaskitoHan")</f>
        <v>@WaskitoHan</v>
      </c>
      <c r="C40088" s="8" t="s">
        <v>12920</v>
      </c>
      <c r="D40088" s="8">
        <v>1528</v>
      </c>
      <c r="E40088" s="8">
        <v>0</v>
      </c>
      <c r="F40088" s="8">
        <v>113</v>
      </c>
    </row>
    <row r="40089" spans="1:6" ht="12.75">
      <c r="A40089" s="8">
        <v>43886.522002314814</v>
      </c>
      <c r="B40089" s="8" t="str">
        <f>HYPERLINK("https://twitter.com/bang_sofy","@bang_sofy")</f>
        <v>@bang_sofy</v>
      </c>
      <c r="C40089" s="8" t="s">
        <v>15333</v>
      </c>
      <c r="D40089" s="8">
        <v>0</v>
      </c>
      <c r="E40089" s="8">
        <v>0</v>
      </c>
      <c r="F40089" s="8">
        <v>455</v>
      </c>
    </row>
    <row r="40090" spans="1:6" ht="12.75">
      <c r="A40090" s="8">
        <v>43886.521736111114</v>
      </c>
      <c r="B40090" s="8" t="str">
        <f>HYPERLINK("https://twitter.com/waratteikiru121","@waratteikiru121")</f>
        <v>@waratteikiru121</v>
      </c>
      <c r="C40090" s="8" t="s">
        <v>8484</v>
      </c>
      <c r="D40090" s="8">
        <v>748</v>
      </c>
      <c r="E40090" s="8">
        <v>0</v>
      </c>
      <c r="F40090" s="8">
        <v>69</v>
      </c>
    </row>
    <row r="40091" spans="1:6" ht="12.75">
      <c r="A40091" s="8">
        <v>43886.521331018521</v>
      </c>
      <c r="B40091" s="8" t="str">
        <f>HYPERLINK("https://twitter.com/ikasirom1","@ikasirom1")</f>
        <v>@ikasirom1</v>
      </c>
      <c r="C40091" s="8" t="s">
        <v>2940</v>
      </c>
      <c r="D40091" s="8">
        <v>2366</v>
      </c>
      <c r="E40091" s="8">
        <v>0</v>
      </c>
      <c r="F40091" s="8">
        <v>467</v>
      </c>
    </row>
    <row r="40092" spans="1:6" ht="12.75">
      <c r="A40092" s="8">
        <v>43886.521099537036</v>
      </c>
      <c r="B40092" s="8" t="str">
        <f>HYPERLINK("https://twitter.com/Syahrizwan2","@Syahrizwan2")</f>
        <v>@Syahrizwan2</v>
      </c>
      <c r="C40092" s="8" t="s">
        <v>11964</v>
      </c>
      <c r="D40092" s="8">
        <v>331</v>
      </c>
      <c r="E40092" s="8">
        <v>0</v>
      </c>
      <c r="F40092" s="8">
        <v>281</v>
      </c>
    </row>
    <row r="40093" spans="1:6" ht="12.75">
      <c r="A40093" s="8">
        <v>43886.521006944444</v>
      </c>
      <c r="B40093" s="8" t="str">
        <f>HYPERLINK("https://twitter.com/ororon617","@ororon617")</f>
        <v>@ororon617</v>
      </c>
      <c r="C40093" s="8" t="s">
        <v>8484</v>
      </c>
      <c r="D40093" s="8">
        <v>748</v>
      </c>
      <c r="E40093" s="8">
        <v>0</v>
      </c>
      <c r="F40093" s="8">
        <v>46</v>
      </c>
    </row>
    <row r="40094" spans="1:6" ht="12.75">
      <c r="A40094" s="8">
        <v>43886.520891203705</v>
      </c>
      <c r="B40094" s="8" t="str">
        <f>HYPERLINK("https://twitter.com/forddyce92","@forddyce92")</f>
        <v>@forddyce92</v>
      </c>
      <c r="C40094" s="8" t="s">
        <v>15334</v>
      </c>
      <c r="D40094" s="8">
        <v>0</v>
      </c>
      <c r="E40094" s="8">
        <v>0</v>
      </c>
      <c r="F40094" s="8">
        <v>27</v>
      </c>
    </row>
    <row r="40095" spans="1:6" ht="12.75">
      <c r="A40095" s="8">
        <v>43886.520787037036</v>
      </c>
      <c r="B40095" s="8" t="str">
        <f>HYPERLINK("https://twitter.com/blackpink828","@blackpink828")</f>
        <v>@blackpink828</v>
      </c>
      <c r="C40095" s="8" t="s">
        <v>15335</v>
      </c>
      <c r="D40095" s="8">
        <v>0</v>
      </c>
      <c r="E40095" s="8">
        <v>0</v>
      </c>
      <c r="F40095" s="8">
        <v>2837</v>
      </c>
    </row>
    <row r="40096" spans="1:6" ht="12.75">
      <c r="A40096" s="8">
        <v>43886.520509259259</v>
      </c>
      <c r="B40096" s="8" t="str">
        <f>HYPERLINK("https://twitter.com/happymasterkt","@happymasterkt")</f>
        <v>@happymasterkt</v>
      </c>
      <c r="C40096" s="8" t="s">
        <v>15336</v>
      </c>
      <c r="D40096" s="8">
        <v>0</v>
      </c>
      <c r="E40096" s="8">
        <v>0</v>
      </c>
      <c r="F40096" s="8">
        <v>43</v>
      </c>
    </row>
    <row r="40097" spans="1:6" ht="12.75">
      <c r="A40097" s="8">
        <v>43886.520219907412</v>
      </c>
      <c r="B40097" s="8" t="str">
        <f>HYPERLINK("https://twitter.com/aya_ddt","@aya_ddt")</f>
        <v>@aya_ddt</v>
      </c>
      <c r="C40097" s="8" t="s">
        <v>15337</v>
      </c>
      <c r="D40097" s="8">
        <v>0</v>
      </c>
      <c r="E40097" s="8">
        <v>5</v>
      </c>
      <c r="F40097" s="8">
        <v>435</v>
      </c>
    </row>
    <row r="40098" spans="1:6" ht="12.75">
      <c r="A40098" s="8">
        <v>43886.520046296297</v>
      </c>
      <c r="B40098" s="8" t="str">
        <f>HYPERLINK("https://twitter.com/Aliffitrindewor","@Aliffitrindewor")</f>
        <v>@Aliffitrindewor</v>
      </c>
      <c r="C40098" s="8" t="s">
        <v>12373</v>
      </c>
      <c r="D40098" s="8">
        <v>22</v>
      </c>
      <c r="E40098" s="8">
        <v>0</v>
      </c>
      <c r="F40098" s="8">
        <v>548</v>
      </c>
    </row>
    <row r="40099" spans="1:6" ht="12.75">
      <c r="A40099" s="8">
        <v>43886.519814814819</v>
      </c>
      <c r="B40099" s="8" t="str">
        <f>HYPERLINK("https://twitter.com/GoSumutdotcom","@GoSumutdotcom")</f>
        <v>@GoSumutdotcom</v>
      </c>
      <c r="C40099" s="8" t="s">
        <v>15324</v>
      </c>
      <c r="D40099" s="8">
        <v>0</v>
      </c>
      <c r="E40099" s="8">
        <v>0</v>
      </c>
      <c r="F40099" s="8">
        <v>4626</v>
      </c>
    </row>
    <row r="40100" spans="1:6" ht="12.75">
      <c r="A40100" s="8">
        <v>43886.519641203704</v>
      </c>
      <c r="B40100" s="8" t="str">
        <f>HYPERLINK("https://twitter.com/thouautumn","@thouautumn")</f>
        <v>@thouautumn</v>
      </c>
      <c r="C40100" s="8" t="s">
        <v>2940</v>
      </c>
      <c r="D40100" s="8">
        <v>2366</v>
      </c>
      <c r="E40100" s="8">
        <v>0</v>
      </c>
      <c r="F40100" s="8">
        <v>3264</v>
      </c>
    </row>
    <row r="40101" spans="1:6" ht="12.75">
      <c r="A40101" s="8">
        <v>43886.519282407404</v>
      </c>
      <c r="B40101" s="8" t="str">
        <f>HYPERLINK("https://twitter.com/DEVANANDAM1977","@DEVANANDAM1977")</f>
        <v>@DEVANANDAM1977</v>
      </c>
      <c r="C40101" s="8" t="s">
        <v>15338</v>
      </c>
      <c r="D40101" s="8">
        <v>0</v>
      </c>
      <c r="E40101" s="8">
        <v>0</v>
      </c>
      <c r="F40101" s="8">
        <v>157</v>
      </c>
    </row>
    <row r="40102" spans="1:6" ht="12.75">
      <c r="A40102" s="8">
        <v>43886.506828703699</v>
      </c>
      <c r="B40102" s="8" t="str">
        <f>HYPERLINK("https://twitter.com/AlfaOmega0110","@AlfaOmega0110")</f>
        <v>@AlfaOmega0110</v>
      </c>
      <c r="C40102" s="8" t="s">
        <v>15339</v>
      </c>
      <c r="D40102" s="8">
        <v>0</v>
      </c>
      <c r="E40102" s="8">
        <v>0</v>
      </c>
      <c r="F40102" s="8">
        <v>1212</v>
      </c>
    </row>
    <row r="40103" spans="1:6" ht="12.75">
      <c r="A40103" s="8">
        <v>43886.506701388891</v>
      </c>
      <c r="B40103" s="8" t="str">
        <f>HYPERLINK("https://twitter.com/yumemitasugi","@yumemitasugi")</f>
        <v>@yumemitasugi</v>
      </c>
      <c r="C40103" s="8" t="s">
        <v>2940</v>
      </c>
      <c r="D40103" s="8">
        <v>2351</v>
      </c>
      <c r="E40103" s="8">
        <v>0</v>
      </c>
      <c r="F40103" s="8">
        <v>19</v>
      </c>
    </row>
    <row r="40104" spans="1:6" ht="12.75">
      <c r="A40104" s="8">
        <v>43886.506122685183</v>
      </c>
      <c r="B40104" s="8" t="str">
        <f>HYPERLINK("https://twitter.com/Gwennoz2","@Gwennoz2")</f>
        <v>@Gwennoz2</v>
      </c>
      <c r="C40104" s="8" t="s">
        <v>15340</v>
      </c>
      <c r="D40104" s="8">
        <v>34</v>
      </c>
      <c r="E40104" s="8">
        <v>0</v>
      </c>
      <c r="F40104" s="8">
        <v>13</v>
      </c>
    </row>
    <row r="40105" spans="1:6" ht="12.75">
      <c r="A40105" s="8">
        <v>43886.505925925929</v>
      </c>
      <c r="B40105" s="8" t="str">
        <f>HYPERLINK("https://twitter.com/widi_kartika","@widi_kartika")</f>
        <v>@widi_kartika</v>
      </c>
      <c r="C40105" s="8" t="s">
        <v>6666</v>
      </c>
      <c r="D40105" s="8">
        <v>11</v>
      </c>
      <c r="E40105" s="8">
        <v>0</v>
      </c>
      <c r="F40105" s="8">
        <v>1943</v>
      </c>
    </row>
    <row r="40106" spans="1:6" ht="12.75">
      <c r="A40106" s="8">
        <v>43886.505659722221</v>
      </c>
      <c r="B40106" s="8" t="str">
        <f>HYPERLINK("https://twitter.com/inihansedbert","@inihansedbert")</f>
        <v>@inihansedbert</v>
      </c>
      <c r="C40106" s="8" t="s">
        <v>11964</v>
      </c>
      <c r="D40106" s="8">
        <v>282</v>
      </c>
      <c r="E40106" s="8">
        <v>0</v>
      </c>
      <c r="F40106" s="8">
        <v>233</v>
      </c>
    </row>
    <row r="40107" spans="1:6" ht="12.75">
      <c r="A40107" s="8">
        <v>43886.505636574075</v>
      </c>
      <c r="B40107" s="8" t="str">
        <f>HYPERLINK("https://twitter.com/Putie_bahara","@Putie_bahara")</f>
        <v>@Putie_bahara</v>
      </c>
      <c r="C40107" s="8" t="s">
        <v>15341</v>
      </c>
      <c r="D40107" s="8">
        <v>0</v>
      </c>
      <c r="E40107" s="8">
        <v>0</v>
      </c>
      <c r="F40107" s="8">
        <v>75</v>
      </c>
    </row>
    <row r="40108" spans="1:6" ht="12.75">
      <c r="A40108" s="8">
        <v>43886.505613425921</v>
      </c>
      <c r="B40108" s="8" t="str">
        <f>HYPERLINK("https://twitter.com/sueb_soleh","@sueb_soleh")</f>
        <v>@sueb_soleh</v>
      </c>
      <c r="C40108" s="8" t="s">
        <v>6666</v>
      </c>
      <c r="D40108" s="8">
        <v>11</v>
      </c>
      <c r="E40108" s="8">
        <v>0</v>
      </c>
      <c r="F40108" s="8">
        <v>687</v>
      </c>
    </row>
    <row r="40109" spans="1:6" ht="12.75">
      <c r="A40109" s="8">
        <v>43886.50408564815</v>
      </c>
      <c r="B40109" s="8" t="str">
        <f>HYPERLINK("https://twitter.com/fujieda007","@fujieda007")</f>
        <v>@fujieda007</v>
      </c>
      <c r="C40109" s="8" t="s">
        <v>8484</v>
      </c>
      <c r="D40109" s="8">
        <v>737</v>
      </c>
      <c r="E40109" s="8">
        <v>0</v>
      </c>
      <c r="F40109" s="8">
        <v>34</v>
      </c>
    </row>
    <row r="40110" spans="1:6" ht="12.75">
      <c r="A40110" s="8">
        <v>43886.50403935185</v>
      </c>
      <c r="B40110" s="8" t="str">
        <f>HYPERLINK("https://twitter.com/Bhadawarraj1","@Bhadawarraj1")</f>
        <v>@Bhadawarraj1</v>
      </c>
      <c r="C40110" s="8" t="s">
        <v>15342</v>
      </c>
      <c r="D40110" s="8">
        <v>0</v>
      </c>
      <c r="E40110" s="8">
        <v>0</v>
      </c>
      <c r="F40110" s="8">
        <v>38</v>
      </c>
    </row>
    <row r="40111" spans="1:6" ht="12.75">
      <c r="A40111" s="8">
        <v>43886.503634259258</v>
      </c>
      <c r="B40111" s="8" t="str">
        <f>HYPERLINK("https://twitter.com/AlfaOmega0110","@AlfaOmega0110")</f>
        <v>@AlfaOmega0110</v>
      </c>
      <c r="C40111" s="8" t="s">
        <v>15343</v>
      </c>
      <c r="D40111" s="8">
        <v>0</v>
      </c>
      <c r="E40111" s="8">
        <v>0</v>
      </c>
      <c r="F40111" s="8">
        <v>1212</v>
      </c>
    </row>
    <row r="40112" spans="1:6" ht="12.75">
      <c r="A40112" s="8">
        <v>43886.503402777773</v>
      </c>
      <c r="B40112" s="8" t="str">
        <f>HYPERLINK("https://twitter.com/Nandagustiann","@Nandagustiann")</f>
        <v>@Nandagustiann</v>
      </c>
      <c r="C40112" s="8" t="s">
        <v>15344</v>
      </c>
      <c r="D40112" s="8">
        <v>0</v>
      </c>
      <c r="E40112" s="8">
        <v>0</v>
      </c>
      <c r="F40112" s="8">
        <v>82</v>
      </c>
    </row>
    <row r="40113" spans="1:6" ht="12.75">
      <c r="A40113" s="8">
        <v>43886.503321759257</v>
      </c>
      <c r="B40113" s="8" t="str">
        <f t="shared" ref="B40113:B40115" si="593">HYPERLINK("https://twitter.com/hiyochann","@hiyochann")</f>
        <v>@hiyochann</v>
      </c>
      <c r="C40113" s="8" t="s">
        <v>14106</v>
      </c>
      <c r="D40113" s="8">
        <v>124</v>
      </c>
      <c r="E40113" s="8">
        <v>0</v>
      </c>
      <c r="F40113" s="8">
        <v>3093</v>
      </c>
    </row>
    <row r="40114" spans="1:6" ht="12.75">
      <c r="A40114" s="8">
        <v>43886.503217592588</v>
      </c>
      <c r="B40114" s="8" t="str">
        <f t="shared" si="593"/>
        <v>@hiyochann</v>
      </c>
      <c r="C40114" s="8" t="s">
        <v>8484</v>
      </c>
      <c r="D40114" s="8">
        <v>737</v>
      </c>
      <c r="E40114" s="8">
        <v>0</v>
      </c>
      <c r="F40114" s="8">
        <v>3093</v>
      </c>
    </row>
    <row r="40115" spans="1:6" ht="12.75">
      <c r="A40115" s="8">
        <v>43886.503078703703</v>
      </c>
      <c r="B40115" s="8" t="str">
        <f t="shared" si="593"/>
        <v>@hiyochann</v>
      </c>
      <c r="C40115" s="8" t="s">
        <v>2940</v>
      </c>
      <c r="D40115" s="8">
        <v>2350</v>
      </c>
      <c r="E40115" s="8">
        <v>0</v>
      </c>
      <c r="F40115" s="8">
        <v>3093</v>
      </c>
    </row>
    <row r="40116" spans="1:6" ht="12.75">
      <c r="A40116" s="8">
        <v>43886.502951388888</v>
      </c>
      <c r="B40116" s="8" t="str">
        <f>HYPERLINK("https://twitter.com/Upik1610","@Upik1610")</f>
        <v>@Upik1610</v>
      </c>
      <c r="C40116" s="8" t="s">
        <v>15345</v>
      </c>
      <c r="D40116" s="8">
        <v>1</v>
      </c>
      <c r="E40116" s="8">
        <v>0</v>
      </c>
      <c r="F40116" s="8">
        <v>807</v>
      </c>
    </row>
    <row r="40117" spans="1:6" ht="12.75">
      <c r="A40117" s="8">
        <v>43886.502743055556</v>
      </c>
      <c r="B40117" s="8" t="str">
        <f>HYPERLINK("https://twitter.com/ari_sup","@ari_sup")</f>
        <v>@ari_sup</v>
      </c>
      <c r="C40117" s="8" t="s">
        <v>15346</v>
      </c>
      <c r="D40117" s="8">
        <v>1</v>
      </c>
      <c r="E40117" s="8">
        <v>0</v>
      </c>
      <c r="F40117" s="8">
        <v>1279</v>
      </c>
    </row>
    <row r="40118" spans="1:6" ht="12.75">
      <c r="A40118" s="8">
        <v>43886.502662037034</v>
      </c>
      <c r="B40118" s="8" t="str">
        <f>HYPERLINK("https://twitter.com/1_devout","@1_devout")</f>
        <v>@1_devout</v>
      </c>
      <c r="C40118" s="8" t="s">
        <v>15347</v>
      </c>
      <c r="D40118" s="8">
        <v>6</v>
      </c>
      <c r="E40118" s="8">
        <v>0</v>
      </c>
      <c r="F40118" s="8">
        <v>40</v>
      </c>
    </row>
    <row r="40119" spans="1:6" ht="12.75">
      <c r="A40119" s="8">
        <v>43886.502430555556</v>
      </c>
      <c r="B40119" s="8" t="str">
        <f>HYPERLINK("https://twitter.com/clingybutcute","@clingybutcute")</f>
        <v>@clingybutcute</v>
      </c>
      <c r="C40119" s="8" t="s">
        <v>15348</v>
      </c>
      <c r="D40119" s="8">
        <v>0</v>
      </c>
      <c r="E40119" s="8">
        <v>0</v>
      </c>
      <c r="F40119" s="8">
        <v>203</v>
      </c>
    </row>
    <row r="40120" spans="1:6" ht="12.75">
      <c r="A40120" s="8">
        <v>43886.502083333333</v>
      </c>
      <c r="B40120" s="8" t="str">
        <f>HYPERLINK("https://twitter.com/rishabulan94","@rishabulan94")</f>
        <v>@rishabulan94</v>
      </c>
      <c r="C40120" s="8" t="s">
        <v>15349</v>
      </c>
      <c r="D40120" s="8">
        <v>0</v>
      </c>
      <c r="E40120" s="8">
        <v>0</v>
      </c>
      <c r="F40120" s="8">
        <v>37</v>
      </c>
    </row>
    <row r="40121" spans="1:6" ht="12.75">
      <c r="A40121" s="8">
        <v>43886.501944444448</v>
      </c>
      <c r="B40121" s="8" t="str">
        <f>HYPERLINK("https://twitter.com/aki_nyanco_desu","@aki_nyanco_desu")</f>
        <v>@aki_nyanco_desu</v>
      </c>
      <c r="C40121" s="8" t="s">
        <v>2940</v>
      </c>
      <c r="D40121" s="8">
        <v>2351</v>
      </c>
      <c r="E40121" s="8">
        <v>0</v>
      </c>
      <c r="F40121" s="8">
        <v>384</v>
      </c>
    </row>
    <row r="40122" spans="1:6" ht="12.75">
      <c r="A40122" s="8">
        <v>43886.501562500001</v>
      </c>
      <c r="B40122" s="8" t="str">
        <f>HYPERLINK("https://twitter.com/Maulana11423281","@Maulana11423281")</f>
        <v>@Maulana11423281</v>
      </c>
      <c r="C40122" s="8" t="s">
        <v>11964</v>
      </c>
      <c r="D40122" s="8">
        <v>282</v>
      </c>
      <c r="E40122" s="8">
        <v>0</v>
      </c>
      <c r="F40122" s="8">
        <v>222</v>
      </c>
    </row>
    <row r="40123" spans="1:6" ht="12.75">
      <c r="A40123" s="8">
        <v>43886.501469907409</v>
      </c>
      <c r="B40123" s="8" t="str">
        <f>HYPERLINK("https://twitter.com/ciprutciprut6","@ciprutciprut6")</f>
        <v>@ciprutciprut6</v>
      </c>
      <c r="C40123" s="8" t="s">
        <v>6666</v>
      </c>
      <c r="D40123" s="8">
        <v>11</v>
      </c>
      <c r="E40123" s="8">
        <v>0</v>
      </c>
      <c r="F40123" s="8">
        <v>349</v>
      </c>
    </row>
    <row r="40124" spans="1:6" ht="12.75">
      <c r="A40124" s="8">
        <v>43886.501435185186</v>
      </c>
      <c r="B40124" s="8" t="str">
        <f>HYPERLINK("https://twitter.com/dinamatahari94","@dinamatahari94")</f>
        <v>@dinamatahari94</v>
      </c>
      <c r="C40124" s="8" t="s">
        <v>15349</v>
      </c>
      <c r="D40124" s="8">
        <v>1</v>
      </c>
      <c r="E40124" s="8">
        <v>0</v>
      </c>
      <c r="F40124" s="8">
        <v>48</v>
      </c>
    </row>
    <row r="40125" spans="1:6" ht="12.75">
      <c r="A40125" s="8">
        <v>43886.501215277778</v>
      </c>
      <c r="B40125" s="8" t="str">
        <f>HYPERLINK("https://twitter.com/sidneyalesandra","@sidneyalesandra")</f>
        <v>@sidneyalesandra</v>
      </c>
      <c r="C40125" s="8" t="s">
        <v>15350</v>
      </c>
      <c r="D40125" s="8">
        <v>0</v>
      </c>
      <c r="E40125" s="8">
        <v>0</v>
      </c>
      <c r="F40125" s="8">
        <v>770</v>
      </c>
    </row>
    <row r="40126" spans="1:6" ht="12.75">
      <c r="A40126" s="8">
        <v>43886.500925925924</v>
      </c>
      <c r="B40126" s="8" t="str">
        <f>HYPERLINK("https://twitter.com/Seiri_san","@Seiri_san")</f>
        <v>@Seiri_san</v>
      </c>
      <c r="C40126" s="8" t="s">
        <v>15351</v>
      </c>
      <c r="D40126" s="8">
        <v>0</v>
      </c>
      <c r="E40126" s="8">
        <v>0</v>
      </c>
      <c r="F40126" s="8">
        <v>5</v>
      </c>
    </row>
    <row r="40127" spans="1:6" ht="12.75">
      <c r="A40127" s="8">
        <v>43886.500717592593</v>
      </c>
      <c r="B40127" s="8" t="str">
        <f>HYPERLINK("https://twitter.com/bontang_post","@bontang_post")</f>
        <v>@bontang_post</v>
      </c>
      <c r="C40127" s="8" t="s">
        <v>15352</v>
      </c>
      <c r="D40127" s="8">
        <v>0</v>
      </c>
      <c r="E40127" s="8">
        <v>0</v>
      </c>
      <c r="F40127" s="8">
        <v>334</v>
      </c>
    </row>
    <row r="40128" spans="1:6" ht="12.75">
      <c r="A40128" s="8">
        <v>43886.500694444447</v>
      </c>
      <c r="B40128" s="8" t="str">
        <f>HYPERLINK("https://twitter.com/rektoruwqsw","@rektoruwqsw")</f>
        <v>@rektoruwqsw</v>
      </c>
      <c r="C40128" s="8" t="s">
        <v>15353</v>
      </c>
      <c r="D40128" s="8">
        <v>0</v>
      </c>
      <c r="E40128" s="8">
        <v>0</v>
      </c>
      <c r="F40128" s="8">
        <v>215</v>
      </c>
    </row>
    <row r="40129" spans="1:6" ht="12.75">
      <c r="A40129" s="8">
        <v>43886.500324074077</v>
      </c>
      <c r="B40129" s="8" t="str">
        <f>HYPERLINK("https://twitter.com/BoN_009_","@BoN_009_")</f>
        <v>@BoN_009_</v>
      </c>
      <c r="C40129" s="8" t="s">
        <v>6666</v>
      </c>
      <c r="D40129" s="8">
        <v>11</v>
      </c>
      <c r="E40129" s="8">
        <v>0</v>
      </c>
      <c r="F40129" s="8">
        <v>4389</v>
      </c>
    </row>
    <row r="40130" spans="1:6" ht="12.75">
      <c r="A40130" s="8">
        <v>43886.500289351854</v>
      </c>
      <c r="B40130" s="8" t="str">
        <f>HYPERLINK("https://twitter.com/bihatuko756","@bihatuko756")</f>
        <v>@bihatuko756</v>
      </c>
      <c r="C40130" s="8" t="s">
        <v>15354</v>
      </c>
      <c r="D40130" s="8">
        <v>2</v>
      </c>
      <c r="E40130" s="8">
        <v>0</v>
      </c>
      <c r="F40130" s="8">
        <v>24</v>
      </c>
    </row>
    <row r="40131" spans="1:6" ht="12.75">
      <c r="A40131" s="8">
        <v>43886.500277777777</v>
      </c>
      <c r="B40131" s="8" t="str">
        <f>HYPERLINK("https://twitter.com/paramanand_3","@paramanand_3")</f>
        <v>@paramanand_3</v>
      </c>
      <c r="C40131" s="8" t="s">
        <v>15355</v>
      </c>
      <c r="D40131" s="8">
        <v>0</v>
      </c>
      <c r="E40131" s="8">
        <v>1</v>
      </c>
      <c r="F40131" s="8">
        <v>973</v>
      </c>
    </row>
    <row r="40132" spans="1:6" ht="12.75">
      <c r="A40132" s="8">
        <v>43886.500115740739</v>
      </c>
      <c r="B40132" s="8" t="str">
        <f>HYPERLINK("https://twitter.com/HalSegala","@HalSegala")</f>
        <v>@HalSegala</v>
      </c>
      <c r="C40132" s="8" t="s">
        <v>15356</v>
      </c>
      <c r="D40132" s="8">
        <v>0</v>
      </c>
      <c r="E40132" s="8">
        <v>0</v>
      </c>
      <c r="F40132" s="8">
        <v>0</v>
      </c>
    </row>
    <row r="40133" spans="1:6" ht="12.75">
      <c r="A40133" s="8">
        <v>43886.5</v>
      </c>
      <c r="B40133" s="8" t="str">
        <f>HYPERLINK("https://twitter.com/OfficialiNewsTV","@OfficialiNewsTV")</f>
        <v>@OfficialiNewsTV</v>
      </c>
      <c r="C40133" s="8" t="s">
        <v>15357</v>
      </c>
      <c r="D40133" s="8">
        <v>1</v>
      </c>
      <c r="E40133" s="8">
        <v>3</v>
      </c>
      <c r="F40133" s="8">
        <v>96243</v>
      </c>
    </row>
    <row r="40134" spans="1:6" ht="12.75">
      <c r="A40134" s="8">
        <v>43886.499976851846</v>
      </c>
      <c r="B40134" s="8" t="str">
        <f>HYPERLINK("https://twitter.com/minionkemem","@minionkemem")</f>
        <v>@minionkemem</v>
      </c>
      <c r="C40134" s="8" t="s">
        <v>15349</v>
      </c>
      <c r="D40134" s="8">
        <v>0</v>
      </c>
      <c r="E40134" s="8">
        <v>1</v>
      </c>
      <c r="F40134" s="8">
        <v>13</v>
      </c>
    </row>
    <row r="40135" spans="1:6" ht="12.75">
      <c r="A40135" s="8">
        <v>43886.499884259261</v>
      </c>
      <c r="B40135" s="8" t="str">
        <f>HYPERLINK("https://twitter.com/soepono42","@soepono42")</f>
        <v>@soepono42</v>
      </c>
      <c r="C40135" s="8" t="s">
        <v>15358</v>
      </c>
      <c r="D40135" s="8">
        <v>0</v>
      </c>
      <c r="E40135" s="8">
        <v>0</v>
      </c>
      <c r="F40135" s="8">
        <v>1236</v>
      </c>
    </row>
    <row r="40136" spans="1:6" ht="12.75">
      <c r="A40136" s="8">
        <v>43886.499861111108</v>
      </c>
      <c r="B40136" s="8" t="str">
        <f>HYPERLINK("https://twitter.com/AlSubahri","@AlSubahri")</f>
        <v>@AlSubahri</v>
      </c>
      <c r="C40136" s="8" t="s">
        <v>11964</v>
      </c>
      <c r="D40136" s="8">
        <v>282</v>
      </c>
      <c r="E40136" s="8">
        <v>0</v>
      </c>
      <c r="F40136" s="8">
        <v>178</v>
      </c>
    </row>
    <row r="40137" spans="1:6" ht="12.75">
      <c r="A40137" s="8">
        <v>43886.499664351853</v>
      </c>
      <c r="B40137" s="8" t="str">
        <f>HYPERLINK("https://twitter.com/Ipinmuach","@Ipinmuach")</f>
        <v>@Ipinmuach</v>
      </c>
      <c r="C40137" s="8" t="s">
        <v>15359</v>
      </c>
      <c r="D40137" s="8">
        <v>4</v>
      </c>
      <c r="E40137" s="8">
        <v>0</v>
      </c>
      <c r="F40137" s="8">
        <v>21</v>
      </c>
    </row>
    <row r="40138" spans="1:6" ht="12.75">
      <c r="A40138" s="8">
        <v>43886.499421296292</v>
      </c>
      <c r="B40138" s="8" t="str">
        <f>HYPERLINK("https://twitter.com/nancy_mw","@nancy_mw")</f>
        <v>@nancy_mw</v>
      </c>
      <c r="C40138" s="8" t="s">
        <v>11183</v>
      </c>
      <c r="D40138" s="8">
        <v>61</v>
      </c>
      <c r="E40138" s="8">
        <v>0</v>
      </c>
      <c r="F40138" s="8">
        <v>423</v>
      </c>
    </row>
    <row r="40139" spans="1:6" ht="12.75">
      <c r="A40139" s="8">
        <v>43886.498541666668</v>
      </c>
      <c r="B40139" s="8" t="str">
        <f>HYPERLINK("https://twitter.com/muel_power","@muel_power")</f>
        <v>@muel_power</v>
      </c>
      <c r="C40139" s="8" t="s">
        <v>15360</v>
      </c>
      <c r="D40139" s="8">
        <v>0</v>
      </c>
      <c r="E40139" s="8">
        <v>0</v>
      </c>
      <c r="F40139" s="8">
        <v>1266</v>
      </c>
    </row>
    <row r="40140" spans="1:6" ht="12.75">
      <c r="A40140" s="8">
        <v>43886.498495370368</v>
      </c>
      <c r="B40140" s="8" t="str">
        <f>HYPERLINK("https://twitter.com/Zinpeerzone","@Zinpeerzone")</f>
        <v>@Zinpeerzone</v>
      </c>
      <c r="C40140" s="8" t="s">
        <v>11964</v>
      </c>
      <c r="D40140" s="8">
        <v>282</v>
      </c>
      <c r="E40140" s="8">
        <v>0</v>
      </c>
      <c r="F40140" s="8">
        <v>560</v>
      </c>
    </row>
    <row r="40141" spans="1:6" ht="12.75">
      <c r="A40141" s="8">
        <v>43886.49795138889</v>
      </c>
      <c r="B40141" s="8" t="str">
        <f>HYPERLINK("https://twitter.com/faisalramdani23","@faisalramdani23")</f>
        <v>@faisalramdani23</v>
      </c>
      <c r="C40141" s="8" t="s">
        <v>15361</v>
      </c>
      <c r="D40141" s="8">
        <v>2</v>
      </c>
      <c r="E40141" s="8">
        <v>0</v>
      </c>
      <c r="F40141" s="8">
        <v>448</v>
      </c>
    </row>
    <row r="40142" spans="1:6" ht="12.75">
      <c r="A40142" s="8">
        <v>43886.497916666667</v>
      </c>
      <c r="B40142" s="8" t="str">
        <f>HYPERLINK("https://twitter.com/robiharyadi86","@robiharyadi86")</f>
        <v>@robiharyadi86</v>
      </c>
      <c r="C40142" s="8" t="s">
        <v>11964</v>
      </c>
      <c r="D40142" s="8">
        <v>282</v>
      </c>
      <c r="E40142" s="8">
        <v>0</v>
      </c>
      <c r="F40142" s="8">
        <v>103</v>
      </c>
    </row>
    <row r="40143" spans="1:6" ht="12.75">
      <c r="A40143" s="8">
        <v>43886.496898148151</v>
      </c>
      <c r="B40143" s="8" t="str">
        <f>HYPERLINK("https://twitter.com/aslam38285926","@aslam38285926")</f>
        <v>@aslam38285926</v>
      </c>
      <c r="C40143" s="8" t="s">
        <v>15362</v>
      </c>
      <c r="D40143" s="8">
        <v>0</v>
      </c>
      <c r="E40143" s="8">
        <v>0</v>
      </c>
      <c r="F40143" s="8">
        <v>0</v>
      </c>
    </row>
    <row r="40144" spans="1:6" ht="12.75">
      <c r="A40144" s="8">
        <v>43886.496423611112</v>
      </c>
      <c r="B40144" s="8" t="str">
        <f>HYPERLINK("https://twitter.com/nicolaslkh","@nicolaslkh")</f>
        <v>@nicolaslkh</v>
      </c>
      <c r="C40144" s="8" t="s">
        <v>11183</v>
      </c>
      <c r="D40144" s="8">
        <v>61</v>
      </c>
      <c r="E40144" s="8">
        <v>0</v>
      </c>
      <c r="F40144" s="8">
        <v>400</v>
      </c>
    </row>
    <row r="40145" spans="1:6" ht="12.75">
      <c r="A40145" s="8">
        <v>43886.496354166666</v>
      </c>
      <c r="B40145" s="8" t="str">
        <f>HYPERLINK("https://twitter.com/Aluna_Safitri","@Aluna_Safitri")</f>
        <v>@Aluna_Safitri</v>
      </c>
      <c r="C40145" s="8" t="s">
        <v>15363</v>
      </c>
      <c r="D40145" s="8">
        <v>0</v>
      </c>
      <c r="E40145" s="8">
        <v>1</v>
      </c>
      <c r="F40145" s="8">
        <v>267</v>
      </c>
    </row>
    <row r="40146" spans="1:6" ht="12.75">
      <c r="A40146" s="8">
        <v>43886.496296296296</v>
      </c>
      <c r="B40146" s="8" t="str">
        <f>HYPERLINK("https://twitter.com/kaichx_","@kaichx_")</f>
        <v>@kaichx_</v>
      </c>
      <c r="C40146" s="8" t="s">
        <v>15364</v>
      </c>
      <c r="D40146" s="8">
        <v>0</v>
      </c>
      <c r="E40146" s="8">
        <v>0</v>
      </c>
      <c r="F40146" s="8">
        <v>887</v>
      </c>
    </row>
    <row r="40147" spans="1:6" ht="12.75">
      <c r="A40147" s="8">
        <v>43886.49627314815</v>
      </c>
      <c r="B40147" s="8" t="str">
        <f>HYPERLINK("https://twitter.com/Herman10942336","@Herman10942336")</f>
        <v>@Herman10942336</v>
      </c>
      <c r="C40147" s="8" t="s">
        <v>15365</v>
      </c>
      <c r="D40147" s="8">
        <v>51</v>
      </c>
      <c r="E40147" s="8">
        <v>0</v>
      </c>
      <c r="F40147" s="8">
        <v>66</v>
      </c>
    </row>
    <row r="40148" spans="1:6" ht="12.75">
      <c r="A40148" s="8">
        <v>43886.496134259258</v>
      </c>
      <c r="B40148" s="8" t="str">
        <f>HYPERLINK("https://twitter.com/auliya_imn_sh","@auliya_imn_sh")</f>
        <v>@auliya_imn_sh</v>
      </c>
      <c r="C40148" s="8" t="s">
        <v>15366</v>
      </c>
      <c r="D40148" s="8">
        <v>0</v>
      </c>
      <c r="E40148" s="8">
        <v>0</v>
      </c>
      <c r="F40148" s="8">
        <v>74</v>
      </c>
    </row>
    <row r="40149" spans="1:6" ht="12.75">
      <c r="A40149" s="8">
        <v>43886.496087962965</v>
      </c>
      <c r="B40149" s="8" t="str">
        <f>HYPERLINK("https://twitter.com/boyezbb","@boyezbb")</f>
        <v>@boyezbb</v>
      </c>
      <c r="C40149" s="8" t="s">
        <v>15367</v>
      </c>
      <c r="D40149" s="8">
        <v>0</v>
      </c>
      <c r="E40149" s="8">
        <v>0</v>
      </c>
      <c r="F40149" s="8">
        <v>194</v>
      </c>
    </row>
    <row r="40150" spans="1:6" ht="12.75">
      <c r="A40150" s="8">
        <v>43886.496041666665</v>
      </c>
      <c r="B40150" s="8" t="str">
        <f>HYPERLINK("https://twitter.com/Tonwart2","@Tonwart2")</f>
        <v>@Tonwart2</v>
      </c>
      <c r="C40150" s="8" t="s">
        <v>15368</v>
      </c>
      <c r="D40150" s="8">
        <v>0</v>
      </c>
      <c r="E40150" s="8">
        <v>0</v>
      </c>
      <c r="F40150" s="8">
        <v>568</v>
      </c>
    </row>
    <row r="40151" spans="1:6" ht="12.75">
      <c r="A40151" s="8">
        <v>43886.495578703703</v>
      </c>
      <c r="B40151" s="8" t="str">
        <f>HYPERLINK("https://twitter.com/_____Tobat","@_____Tobat")</f>
        <v>@_____Tobat</v>
      </c>
      <c r="C40151" s="8" t="s">
        <v>11183</v>
      </c>
      <c r="D40151" s="8">
        <v>61</v>
      </c>
      <c r="E40151" s="8">
        <v>0</v>
      </c>
      <c r="F40151" s="8">
        <v>2440</v>
      </c>
    </row>
    <row r="40152" spans="1:6" ht="12.75">
      <c r="A40152" s="8">
        <v>43886.495532407411</v>
      </c>
      <c r="B40152" s="8" t="str">
        <f>HYPERLINK("https://twitter.com/Azzam793","@Azzam793")</f>
        <v>@Azzam793</v>
      </c>
      <c r="C40152" s="8" t="s">
        <v>14879</v>
      </c>
      <c r="D40152" s="8">
        <v>13</v>
      </c>
      <c r="E40152" s="8">
        <v>0</v>
      </c>
      <c r="F40152" s="8">
        <v>59</v>
      </c>
    </row>
    <row r="40153" spans="1:6" ht="12.75">
      <c r="A40153" s="8">
        <v>43886.495046296295</v>
      </c>
      <c r="B40153" s="8" t="str">
        <f>HYPERLINK("https://twitter.com/aizahputri","@aizahputri")</f>
        <v>@aizahputri</v>
      </c>
      <c r="C40153" s="8" t="s">
        <v>15369</v>
      </c>
      <c r="D40153" s="8">
        <v>1</v>
      </c>
      <c r="E40153" s="8">
        <v>0</v>
      </c>
      <c r="F40153" s="8">
        <v>1647</v>
      </c>
    </row>
    <row r="40154" spans="1:6" ht="12.75">
      <c r="A40154" s="8">
        <v>43886.494594907403</v>
      </c>
      <c r="B40154" s="8" t="str">
        <f>HYPERLINK("https://twitter.com/Rifin_90","@Rifin_90")</f>
        <v>@Rifin_90</v>
      </c>
      <c r="C40154" s="8" t="s">
        <v>11964</v>
      </c>
      <c r="D40154" s="8">
        <v>282</v>
      </c>
      <c r="E40154" s="8">
        <v>0</v>
      </c>
      <c r="F40154" s="8">
        <v>719</v>
      </c>
    </row>
    <row r="40155" spans="1:6" ht="12.75">
      <c r="A40155" s="8">
        <v>43886.49428240741</v>
      </c>
      <c r="B40155" s="8" t="str">
        <f>HYPERLINK("https://twitter.com/DakwahOnline114","@DakwahOnline114")</f>
        <v>@DakwahOnline114</v>
      </c>
      <c r="C40155" s="8" t="s">
        <v>11964</v>
      </c>
      <c r="D40155" s="8">
        <v>282</v>
      </c>
      <c r="E40155" s="8">
        <v>0</v>
      </c>
      <c r="F40155" s="8">
        <v>1091</v>
      </c>
    </row>
    <row r="40156" spans="1:6" ht="12.75">
      <c r="A40156" s="8">
        <v>43886.494120370371</v>
      </c>
      <c r="B40156" s="8" t="str">
        <f>HYPERLINK("https://twitter.com/6850013","@6850013")</f>
        <v>@6850013</v>
      </c>
      <c r="C40156" s="8" t="s">
        <v>2940</v>
      </c>
      <c r="D40156" s="8">
        <v>2351</v>
      </c>
      <c r="E40156" s="8">
        <v>0</v>
      </c>
      <c r="F40156" s="8">
        <v>1005</v>
      </c>
    </row>
    <row r="40157" spans="1:6" ht="12.75">
      <c r="A40157" s="8">
        <v>43886.493738425925</v>
      </c>
      <c r="B40157" s="8" t="str">
        <f>HYPERLINK("https://twitter.com/Nanakim94491560","@Nanakim94491560")</f>
        <v>@Nanakim94491560</v>
      </c>
      <c r="C40157" s="8" t="s">
        <v>15370</v>
      </c>
      <c r="D40157" s="8">
        <v>1</v>
      </c>
      <c r="E40157" s="8">
        <v>0</v>
      </c>
      <c r="F40157" s="8">
        <v>253</v>
      </c>
    </row>
    <row r="40158" spans="1:6" ht="12.75">
      <c r="A40158" s="8">
        <v>43886.493298611109</v>
      </c>
      <c r="B40158" s="8" t="str">
        <f>HYPERLINK("https://twitter.com/Antok114","@Antok114")</f>
        <v>@Antok114</v>
      </c>
      <c r="C40158" s="8" t="s">
        <v>11964</v>
      </c>
      <c r="D40158" s="8">
        <v>282</v>
      </c>
      <c r="E40158" s="8">
        <v>0</v>
      </c>
      <c r="F40158" s="8">
        <v>872</v>
      </c>
    </row>
    <row r="40159" spans="1:6" ht="12.75">
      <c r="A40159" s="8">
        <v>43886.493125000001</v>
      </c>
      <c r="B40159" s="8" t="str">
        <f>HYPERLINK("https://twitter.com/toranaga3000","@toranaga3000")</f>
        <v>@toranaga3000</v>
      </c>
      <c r="C40159" s="8" t="s">
        <v>15125</v>
      </c>
      <c r="D40159" s="8">
        <v>35</v>
      </c>
      <c r="E40159" s="8">
        <v>0</v>
      </c>
      <c r="F40159" s="8">
        <v>2435</v>
      </c>
    </row>
    <row r="40160" spans="1:6" ht="12.75">
      <c r="A40160" s="8">
        <v>43886.493067129632</v>
      </c>
      <c r="B40160" s="8" t="str">
        <f>HYPERLINK("https://twitter.com/aintgoods","@aintgoods")</f>
        <v>@aintgoods</v>
      </c>
      <c r="C40160" s="8" t="s">
        <v>15371</v>
      </c>
      <c r="D40160" s="8">
        <v>19</v>
      </c>
      <c r="E40160" s="8">
        <v>0</v>
      </c>
      <c r="F40160" s="8">
        <v>142</v>
      </c>
    </row>
    <row r="40161" spans="1:6" ht="12.75">
      <c r="A40161" s="8">
        <v>43886.492939814816</v>
      </c>
      <c r="B40161" s="8" t="str">
        <f>HYPERLINK("https://twitter.com/mcdevx","@mcdevx")</f>
        <v>@mcdevx</v>
      </c>
      <c r="C40161" s="8" t="s">
        <v>11964</v>
      </c>
      <c r="D40161" s="8">
        <v>282</v>
      </c>
      <c r="E40161" s="8">
        <v>0</v>
      </c>
      <c r="F40161" s="8">
        <v>432</v>
      </c>
    </row>
    <row r="40162" spans="1:6" ht="12.75">
      <c r="A40162" s="8">
        <v>43886.492847222224</v>
      </c>
      <c r="B40162" s="8" t="str">
        <f>HYPERLINK("https://twitter.com/Ammhrk2","@Ammhrk2")</f>
        <v>@Ammhrk2</v>
      </c>
      <c r="C40162" s="8" t="s">
        <v>8484</v>
      </c>
      <c r="D40162" s="8">
        <v>737</v>
      </c>
      <c r="E40162" s="8">
        <v>0</v>
      </c>
      <c r="F40162" s="8">
        <v>694</v>
      </c>
    </row>
    <row r="40163" spans="1:6" ht="12.75">
      <c r="A40163" s="8">
        <v>43886.492696759262</v>
      </c>
      <c r="B40163" s="8" t="str">
        <f>HYPERLINK("https://twitter.com/hitomaroaka","@hitomaroaka")</f>
        <v>@hitomaroaka</v>
      </c>
      <c r="C40163" s="8" t="s">
        <v>8484</v>
      </c>
      <c r="D40163" s="8">
        <v>737</v>
      </c>
      <c r="E40163" s="8">
        <v>0</v>
      </c>
      <c r="F40163" s="8">
        <v>488</v>
      </c>
    </row>
    <row r="40164" spans="1:6" ht="12.75">
      <c r="A40164" s="8">
        <v>43886.492534722223</v>
      </c>
      <c r="B40164" s="8" t="str">
        <f>HYPERLINK("https://twitter.com/PariAgoes","@PariAgoes")</f>
        <v>@PariAgoes</v>
      </c>
      <c r="C40164" s="8" t="s">
        <v>11964</v>
      </c>
      <c r="D40164" s="8">
        <v>282</v>
      </c>
      <c r="E40164" s="8">
        <v>0</v>
      </c>
      <c r="F40164" s="8">
        <v>3265</v>
      </c>
    </row>
    <row r="40165" spans="1:6" ht="12.75">
      <c r="A40165" s="8">
        <v>43886.492314814815</v>
      </c>
      <c r="B40165" s="8" t="str">
        <f>HYPERLINK("https://twitter.com/charleparis","@charleparis")</f>
        <v>@charleparis</v>
      </c>
      <c r="C40165" s="8" t="s">
        <v>14100</v>
      </c>
      <c r="D40165" s="8">
        <v>5</v>
      </c>
      <c r="E40165" s="8">
        <v>0</v>
      </c>
      <c r="F40165" s="8">
        <v>312</v>
      </c>
    </row>
    <row r="40166" spans="1:6" ht="12.75">
      <c r="A40166" s="8">
        <v>43886.492118055554</v>
      </c>
      <c r="B40166" s="8" t="str">
        <f>HYPERLINK("https://twitter.com/Torito_bacon","@Torito_bacon")</f>
        <v>@Torito_bacon</v>
      </c>
      <c r="C40166" s="8" t="s">
        <v>15372</v>
      </c>
      <c r="D40166" s="8">
        <v>0</v>
      </c>
      <c r="E40166" s="8">
        <v>0</v>
      </c>
      <c r="F40166" s="8">
        <v>6986</v>
      </c>
    </row>
    <row r="40167" spans="1:6" ht="12.75">
      <c r="A40167" s="8">
        <v>43886.492048611108</v>
      </c>
      <c r="B40167" s="8" t="str">
        <f>HYPERLINK("https://twitter.com/Eyang1955","@Eyang1955")</f>
        <v>@Eyang1955</v>
      </c>
      <c r="C40167" s="8" t="s">
        <v>15373</v>
      </c>
      <c r="D40167" s="8">
        <v>0</v>
      </c>
      <c r="E40167" s="8">
        <v>0</v>
      </c>
      <c r="F40167" s="8">
        <v>341</v>
      </c>
    </row>
    <row r="40168" spans="1:6" ht="12.75">
      <c r="A40168" s="8">
        <v>43886.491585648153</v>
      </c>
      <c r="B40168" s="8" t="str">
        <f>HYPERLINK("https://twitter.com/maitake_a","@maitake_a")</f>
        <v>@maitake_a</v>
      </c>
      <c r="C40168" s="8" t="s">
        <v>2940</v>
      </c>
      <c r="D40168" s="8">
        <v>2351</v>
      </c>
      <c r="E40168" s="8">
        <v>0</v>
      </c>
      <c r="F40168" s="8">
        <v>22</v>
      </c>
    </row>
    <row r="40169" spans="1:6" ht="12.75">
      <c r="A40169" s="8">
        <v>43886.491562499999</v>
      </c>
      <c r="B40169" s="8" t="str">
        <f>HYPERLINK("https://twitter.com/AASHISHMUDGIL19","@AASHISHMUDGIL19")</f>
        <v>@AASHISHMUDGIL19</v>
      </c>
      <c r="C40169" s="8" t="s">
        <v>15374</v>
      </c>
      <c r="D40169" s="8">
        <v>0</v>
      </c>
      <c r="E40169" s="8">
        <v>0</v>
      </c>
      <c r="F40169" s="8">
        <v>419</v>
      </c>
    </row>
    <row r="40170" spans="1:6" ht="12.75">
      <c r="A40170" s="8">
        <v>43886.491076388891</v>
      </c>
      <c r="B40170" s="8" t="str">
        <f>HYPERLINK("https://twitter.com/soepono42","@soepono42")</f>
        <v>@soepono42</v>
      </c>
      <c r="C40170" s="8" t="s">
        <v>15375</v>
      </c>
      <c r="D40170" s="8">
        <v>0</v>
      </c>
      <c r="E40170" s="8">
        <v>0</v>
      </c>
      <c r="F40170" s="8">
        <v>1236</v>
      </c>
    </row>
    <row r="40171" spans="1:6" ht="12.75">
      <c r="A40171" s="8">
        <v>43886.491018518514</v>
      </c>
      <c r="B40171" s="8" t="str">
        <f>HYPERLINK("https://twitter.com/budhiasty","@budhiasty")</f>
        <v>@budhiasty</v>
      </c>
      <c r="C40171" s="8" t="s">
        <v>15376</v>
      </c>
      <c r="D40171" s="8">
        <v>0</v>
      </c>
      <c r="E40171" s="8">
        <v>1</v>
      </c>
      <c r="F40171" s="8">
        <v>241</v>
      </c>
    </row>
    <row r="40172" spans="1:6" ht="12.75">
      <c r="A40172" s="8">
        <v>43886.490208333329</v>
      </c>
      <c r="B40172" s="8" t="str">
        <f>HYPERLINK("https://twitter.com/yogapraditow","@yogapraditow")</f>
        <v>@yogapraditow</v>
      </c>
      <c r="C40172" s="8" t="s">
        <v>15377</v>
      </c>
      <c r="D40172" s="8">
        <v>5</v>
      </c>
      <c r="E40172" s="8">
        <v>0</v>
      </c>
      <c r="F40172" s="8">
        <v>411</v>
      </c>
    </row>
    <row r="40173" spans="1:6" ht="12.75">
      <c r="A40173" s="8">
        <v>43886.490081018521</v>
      </c>
      <c r="B40173" s="8" t="str">
        <f>HYPERLINK("https://twitter.com/Khairul33577477","@Khairul33577477")</f>
        <v>@Khairul33577477</v>
      </c>
      <c r="C40173" s="8" t="s">
        <v>11964</v>
      </c>
      <c r="D40173" s="8">
        <v>282</v>
      </c>
      <c r="E40173" s="8">
        <v>0</v>
      </c>
      <c r="F40173" s="8">
        <v>224</v>
      </c>
    </row>
    <row r="40174" spans="1:6" ht="12.75">
      <c r="A40174" s="8">
        <v>43886.489976851852</v>
      </c>
      <c r="B40174" s="8" t="str">
        <f>HYPERLINK("https://twitter.com/babygvrllll","@babygvrllll")</f>
        <v>@babygvrllll</v>
      </c>
      <c r="C40174" s="8" t="s">
        <v>14858</v>
      </c>
      <c r="D40174" s="8">
        <v>293</v>
      </c>
      <c r="E40174" s="8">
        <v>0</v>
      </c>
      <c r="F40174" s="8">
        <v>2</v>
      </c>
    </row>
    <row r="40175" spans="1:6" ht="12.75">
      <c r="A40175" s="8">
        <v>43886.489942129629</v>
      </c>
      <c r="B40175" s="8" t="str">
        <f>HYPERLINK("https://twitter.com/lambejisung","@lambejisung")</f>
        <v>@lambejisung</v>
      </c>
      <c r="C40175" s="8" t="s">
        <v>15378</v>
      </c>
      <c r="D40175" s="8">
        <v>0</v>
      </c>
      <c r="E40175" s="8">
        <v>0</v>
      </c>
      <c r="F40175" s="8">
        <v>2640</v>
      </c>
    </row>
    <row r="40176" spans="1:6" ht="12.75">
      <c r="A40176" s="8">
        <v>43886.489907407406</v>
      </c>
      <c r="B40176" s="8" t="str">
        <f>HYPERLINK("https://twitter.com/IqbalHarris","@IqbalHarris")</f>
        <v>@IqbalHarris</v>
      </c>
      <c r="C40176" s="8" t="s">
        <v>15377</v>
      </c>
      <c r="D40176" s="8">
        <v>5</v>
      </c>
      <c r="E40176" s="8">
        <v>0</v>
      </c>
      <c r="F40176" s="8">
        <v>202</v>
      </c>
    </row>
    <row r="40177" spans="1:6" ht="12.75">
      <c r="A40177" s="8">
        <v>43886.489872685182</v>
      </c>
      <c r="B40177" s="8" t="str">
        <f>HYPERLINK("https://twitter.com/Poj06070388","@Poj06070388")</f>
        <v>@Poj06070388</v>
      </c>
      <c r="C40177" s="8" t="s">
        <v>11964</v>
      </c>
      <c r="D40177" s="8">
        <v>282</v>
      </c>
      <c r="E40177" s="8">
        <v>0</v>
      </c>
      <c r="F40177" s="8">
        <v>17</v>
      </c>
    </row>
    <row r="40178" spans="1:6" ht="12.75">
      <c r="A40178" s="8">
        <v>43886.489849537036</v>
      </c>
      <c r="B40178" s="8" t="str">
        <f>HYPERLINK("https://twitter.com/alightlily","@alightlily")</f>
        <v>@alightlily</v>
      </c>
      <c r="C40178" s="8" t="s">
        <v>15379</v>
      </c>
      <c r="D40178" s="8">
        <v>1</v>
      </c>
      <c r="E40178" s="8">
        <v>0</v>
      </c>
      <c r="F40178" s="8">
        <v>366</v>
      </c>
    </row>
    <row r="40179" spans="1:6" ht="12.75">
      <c r="A40179" s="8">
        <v>43886.489780092597</v>
      </c>
      <c r="B40179" s="8" t="str">
        <f>HYPERLINK("https://twitter.com/CameronRiyan","@CameronRiyan")</f>
        <v>@CameronRiyan</v>
      </c>
      <c r="C40179" s="8" t="s">
        <v>15380</v>
      </c>
      <c r="D40179" s="8">
        <v>1</v>
      </c>
      <c r="E40179" s="8">
        <v>0</v>
      </c>
      <c r="F40179" s="8">
        <v>3019</v>
      </c>
    </row>
    <row r="40180" spans="1:6" ht="12.75">
      <c r="A40180" s="8">
        <v>43886.489652777775</v>
      </c>
      <c r="B40180" s="8" t="str">
        <f>HYPERLINK("https://twitter.com/soreshan","@soreshan")</f>
        <v>@soreshan</v>
      </c>
      <c r="C40180" s="8" t="s">
        <v>2940</v>
      </c>
      <c r="D40180" s="8">
        <v>2351</v>
      </c>
      <c r="E40180" s="8">
        <v>0</v>
      </c>
      <c r="F40180" s="8">
        <v>21</v>
      </c>
    </row>
    <row r="40181" spans="1:6" ht="12.75">
      <c r="A40181" s="8">
        <v>43886.489641203705</v>
      </c>
      <c r="B40181" s="8" t="str">
        <f>HYPERLINK("https://twitter.com/aris74817082","@aris74817082")</f>
        <v>@aris74817082</v>
      </c>
      <c r="C40181" s="8" t="s">
        <v>11183</v>
      </c>
      <c r="D40181" s="8">
        <v>61</v>
      </c>
      <c r="E40181" s="8">
        <v>0</v>
      </c>
      <c r="F40181" s="8">
        <v>185</v>
      </c>
    </row>
    <row r="40182" spans="1:6" ht="12.75">
      <c r="A40182" s="8">
        <v>43886.489583333328</v>
      </c>
      <c r="B40182" s="8" t="str">
        <f>HYPERLINK("https://twitter.com/KangBangunan","@KangBangunan")</f>
        <v>@KangBangunan</v>
      </c>
      <c r="C40182" s="8" t="s">
        <v>15381</v>
      </c>
      <c r="D40182" s="8">
        <v>1</v>
      </c>
      <c r="E40182" s="8">
        <v>1</v>
      </c>
      <c r="F40182" s="8">
        <v>2975</v>
      </c>
    </row>
    <row r="40183" spans="1:6" ht="12.75">
      <c r="A40183" s="8">
        <v>43886.489398148144</v>
      </c>
      <c r="B40183" s="8" t="str">
        <f>HYPERLINK("https://twitter.com/Gumanti95485609","@Gumanti95485609")</f>
        <v>@Gumanti95485609</v>
      </c>
      <c r="C40183" s="8" t="s">
        <v>15382</v>
      </c>
      <c r="D40183" s="8">
        <v>0</v>
      </c>
      <c r="E40183" s="8">
        <v>0</v>
      </c>
      <c r="F40183" s="8">
        <v>31</v>
      </c>
    </row>
    <row r="40184" spans="1:6" ht="12.75">
      <c r="A40184" s="8">
        <v>43886.489236111112</v>
      </c>
      <c r="B40184" s="8" t="str">
        <f>HYPERLINK("https://twitter.com/eyesongyu","@eyesongyu")</f>
        <v>@eyesongyu</v>
      </c>
      <c r="C40184" s="8" t="s">
        <v>14859</v>
      </c>
      <c r="D40184" s="8">
        <v>38</v>
      </c>
      <c r="E40184" s="8">
        <v>0</v>
      </c>
      <c r="F40184" s="8">
        <v>30</v>
      </c>
    </row>
    <row r="40185" spans="1:6" ht="12.75">
      <c r="A40185" s="8">
        <v>43886.488784722227</v>
      </c>
      <c r="B40185" s="8" t="str">
        <f>HYPERLINK("https://twitter.com/yogapraditow","@yogapraditow")</f>
        <v>@yogapraditow</v>
      </c>
      <c r="C40185" s="8" t="s">
        <v>6666</v>
      </c>
      <c r="D40185" s="8">
        <v>11</v>
      </c>
      <c r="E40185" s="8">
        <v>0</v>
      </c>
      <c r="F40185" s="8">
        <v>411</v>
      </c>
    </row>
    <row r="40186" spans="1:6" ht="12.75">
      <c r="A40186" s="8">
        <v>43886.488587962958</v>
      </c>
      <c r="B40186" s="8" t="str">
        <f>HYPERLINK("https://twitter.com/Macan4sia","@Macan4sia")</f>
        <v>@Macan4sia</v>
      </c>
      <c r="C40186" s="8" t="s">
        <v>15383</v>
      </c>
      <c r="D40186" s="8">
        <v>1</v>
      </c>
      <c r="E40186" s="8">
        <v>0</v>
      </c>
      <c r="F40186" s="8">
        <v>185</v>
      </c>
    </row>
    <row r="40187" spans="1:6" ht="12.75">
      <c r="A40187" s="8">
        <v>43886.488391203704</v>
      </c>
      <c r="B40187" s="8" t="str">
        <f>HYPERLINK("https://twitter.com/Erick911","@Erick911")</f>
        <v>@Erick911</v>
      </c>
      <c r="C40187" s="8" t="s">
        <v>15384</v>
      </c>
      <c r="D40187" s="8">
        <v>0</v>
      </c>
      <c r="E40187" s="8">
        <v>0</v>
      </c>
      <c r="F40187" s="8">
        <v>19</v>
      </c>
    </row>
    <row r="40188" spans="1:6" ht="12.75">
      <c r="A40188" s="8">
        <v>43886.488287037035</v>
      </c>
      <c r="B40188" s="8" t="str">
        <f>HYPERLINK("https://twitter.com/florentinawull","@florentinawull")</f>
        <v>@florentinawull</v>
      </c>
      <c r="C40188" s="8" t="s">
        <v>15385</v>
      </c>
      <c r="D40188" s="8">
        <v>0</v>
      </c>
      <c r="E40188" s="8">
        <v>0</v>
      </c>
      <c r="F40188" s="8">
        <v>317</v>
      </c>
    </row>
    <row r="40189" spans="1:6" ht="12.75">
      <c r="A40189" s="8">
        <v>43886.488275462965</v>
      </c>
      <c r="B40189" s="8" t="str">
        <f>HYPERLINK("https://twitter.com/Lupusrex_","@Lupusrex_")</f>
        <v>@Lupusrex_</v>
      </c>
      <c r="C40189" s="8" t="s">
        <v>11964</v>
      </c>
      <c r="D40189" s="8">
        <v>282</v>
      </c>
      <c r="E40189" s="8">
        <v>0</v>
      </c>
      <c r="F40189" s="8">
        <v>10</v>
      </c>
    </row>
    <row r="40190" spans="1:6" ht="12.75">
      <c r="A40190" s="8">
        <v>43886.487685185188</v>
      </c>
      <c r="B40190" s="8" t="str">
        <f>HYPERLINK("https://twitter.com/Mike27Bravo","@Mike27Bravo")</f>
        <v>@Mike27Bravo</v>
      </c>
      <c r="C40190" s="8" t="s">
        <v>15386</v>
      </c>
      <c r="D40190" s="8">
        <v>0</v>
      </c>
      <c r="E40190" s="8">
        <v>0</v>
      </c>
      <c r="F40190" s="8">
        <v>8</v>
      </c>
    </row>
    <row r="40191" spans="1:6" ht="12.75">
      <c r="A40191" s="8">
        <v>43886.487592592588</v>
      </c>
      <c r="B40191" s="8" t="str">
        <f>HYPERLINK("https://twitter.com/F46un6","@F46un6")</f>
        <v>@F46un6</v>
      </c>
      <c r="C40191" s="8" t="s">
        <v>14879</v>
      </c>
      <c r="D40191" s="8">
        <v>13</v>
      </c>
      <c r="E40191" s="8">
        <v>0</v>
      </c>
      <c r="F40191" s="8">
        <v>1893</v>
      </c>
    </row>
    <row r="40192" spans="1:6" ht="12.75">
      <c r="A40192" s="8">
        <v>43886.487384259264</v>
      </c>
      <c r="B40192" s="8" t="str">
        <f>HYPERLINK("https://twitter.com/735T312","@735T312")</f>
        <v>@735T312</v>
      </c>
      <c r="C40192" s="8" t="s">
        <v>11964</v>
      </c>
      <c r="D40192" s="8">
        <v>282</v>
      </c>
      <c r="E40192" s="8">
        <v>0</v>
      </c>
      <c r="F40192" s="8">
        <v>151</v>
      </c>
    </row>
    <row r="40193" spans="1:6" ht="12.75">
      <c r="A40193" s="8">
        <v>43886.48715277778</v>
      </c>
      <c r="B40193" s="8" t="str">
        <f>HYPERLINK("https://twitter.com/Lukman88755658","@Lukman88755658")</f>
        <v>@Lukman88755658</v>
      </c>
      <c r="C40193" s="8" t="s">
        <v>12920</v>
      </c>
      <c r="D40193" s="8">
        <v>1526</v>
      </c>
      <c r="E40193" s="8">
        <v>0</v>
      </c>
      <c r="F40193" s="8">
        <v>347</v>
      </c>
    </row>
    <row r="40194" spans="1:6" ht="12.75">
      <c r="A40194" s="8">
        <v>43886.48704861111</v>
      </c>
      <c r="B40194" s="8" t="str">
        <f>HYPERLINK("https://twitter.com/ibnucapek","@ibnucapek")</f>
        <v>@ibnucapek</v>
      </c>
      <c r="C40194" s="8" t="s">
        <v>15387</v>
      </c>
      <c r="D40194" s="8">
        <v>0</v>
      </c>
      <c r="E40194" s="8">
        <v>1</v>
      </c>
      <c r="F40194" s="8">
        <v>27</v>
      </c>
    </row>
    <row r="40195" spans="1:6" ht="12.75">
      <c r="A40195" s="8">
        <v>43886.486828703702</v>
      </c>
      <c r="B40195" s="8" t="str">
        <f>HYPERLINK("https://twitter.com/dmwsdq","@dmwsdq")</f>
        <v>@dmwsdq</v>
      </c>
      <c r="C40195" s="8" t="s">
        <v>14859</v>
      </c>
      <c r="D40195" s="8">
        <v>38</v>
      </c>
      <c r="E40195" s="8">
        <v>0</v>
      </c>
      <c r="F40195" s="8">
        <v>902</v>
      </c>
    </row>
    <row r="40196" spans="1:6" ht="12.75">
      <c r="A40196" s="8">
        <v>43886.486388888894</v>
      </c>
      <c r="B40196" s="8" t="str">
        <f>HYPERLINK("https://twitter.com/vanny_fadhillah","@vanny_fadhillah")</f>
        <v>@vanny_fadhillah</v>
      </c>
      <c r="C40196" s="8" t="s">
        <v>15388</v>
      </c>
      <c r="D40196" s="8">
        <v>0</v>
      </c>
      <c r="E40196" s="8">
        <v>0</v>
      </c>
      <c r="F40196" s="8">
        <v>859</v>
      </c>
    </row>
    <row r="40197" spans="1:6" ht="12.75">
      <c r="A40197" s="8">
        <v>43886.48609953704</v>
      </c>
      <c r="B40197" s="8" t="str">
        <f>HYPERLINK("https://twitter.com/musicanova40","@musicanova40")</f>
        <v>@musicanova40</v>
      </c>
      <c r="C40197" s="8" t="s">
        <v>8484</v>
      </c>
      <c r="D40197" s="8">
        <v>737</v>
      </c>
      <c r="E40197" s="8">
        <v>0</v>
      </c>
      <c r="F40197" s="8">
        <v>589</v>
      </c>
    </row>
    <row r="40198" spans="1:6" ht="12.75">
      <c r="A40198" s="8">
        <v>43886.486030092594</v>
      </c>
      <c r="B40198" s="8" t="str">
        <f>HYPERLINK("https://twitter.com/seokgyutiful","@seokgyutiful")</f>
        <v>@seokgyutiful</v>
      </c>
      <c r="C40198" s="8" t="s">
        <v>15389</v>
      </c>
      <c r="D40198" s="8">
        <v>0</v>
      </c>
      <c r="E40198" s="8">
        <v>0</v>
      </c>
      <c r="F40198" s="8">
        <v>540</v>
      </c>
    </row>
    <row r="40199" spans="1:6" ht="12.75">
      <c r="A40199" s="8">
        <v>43886.485405092593</v>
      </c>
      <c r="B40199" s="8" t="str">
        <f>HYPERLINK("https://twitter.com/Aditkusu","@Aditkusu")</f>
        <v>@Aditkusu</v>
      </c>
      <c r="C40199" s="8" t="s">
        <v>14859</v>
      </c>
      <c r="D40199" s="8">
        <v>38</v>
      </c>
      <c r="E40199" s="8">
        <v>0</v>
      </c>
      <c r="F40199" s="8">
        <v>218</v>
      </c>
    </row>
    <row r="40200" spans="1:6" ht="12.75">
      <c r="A40200" s="8">
        <v>43886.484375</v>
      </c>
      <c r="B40200" s="8" t="str">
        <f>HYPERLINK("https://twitter.com/LegiminYahya","@LegiminYahya")</f>
        <v>@LegiminYahya</v>
      </c>
      <c r="C40200" s="8" t="s">
        <v>11964</v>
      </c>
      <c r="D40200" s="8">
        <v>282</v>
      </c>
      <c r="E40200" s="8">
        <v>0</v>
      </c>
      <c r="F40200" s="8">
        <v>283</v>
      </c>
    </row>
    <row r="40201" spans="1:6" ht="12.75">
      <c r="A40201" s="8">
        <v>43886.483969907407</v>
      </c>
      <c r="B40201" s="8" t="str">
        <f>HYPERLINK("https://twitter.com/bang_qfly","@bang_qfly")</f>
        <v>@bang_qfly</v>
      </c>
      <c r="C40201" s="8" t="s">
        <v>11964</v>
      </c>
      <c r="D40201" s="8">
        <v>282</v>
      </c>
      <c r="E40201" s="8">
        <v>0</v>
      </c>
      <c r="F40201" s="8">
        <v>438</v>
      </c>
    </row>
    <row r="40202" spans="1:6" ht="12.75">
      <c r="A40202" s="8">
        <v>43886.464780092589</v>
      </c>
      <c r="B40202" s="8" t="str">
        <f>HYPERLINK("https://twitter.com/isis_artusi","@isis_artusi")</f>
        <v>@isis_artusi</v>
      </c>
      <c r="C40202" s="8" t="s">
        <v>15390</v>
      </c>
      <c r="D40202" s="8">
        <v>0</v>
      </c>
      <c r="E40202" s="8">
        <v>0</v>
      </c>
      <c r="F40202" s="8">
        <v>917</v>
      </c>
    </row>
    <row r="40203" spans="1:6" ht="12.75">
      <c r="A40203" s="8">
        <v>43886.464097222226</v>
      </c>
      <c r="B40203" s="8" t="str">
        <f>HYPERLINK("https://twitter.com/toromingo","@toromingo")</f>
        <v>@toromingo</v>
      </c>
      <c r="C40203" s="8" t="s">
        <v>11964</v>
      </c>
      <c r="D40203" s="8">
        <v>246</v>
      </c>
      <c r="E40203" s="8">
        <v>0</v>
      </c>
      <c r="F40203" s="8">
        <v>317</v>
      </c>
    </row>
    <row r="40204" spans="1:6" ht="12.75">
      <c r="A40204" s="8">
        <v>43886.463993055557</v>
      </c>
      <c r="B40204" s="8" t="str">
        <f>HYPERLINK("https://twitter.com/IrfanSkapa","@IrfanSkapa")</f>
        <v>@IrfanSkapa</v>
      </c>
      <c r="C40204" s="8" t="s">
        <v>11964</v>
      </c>
      <c r="D40204" s="8">
        <v>246</v>
      </c>
      <c r="E40204" s="8">
        <v>0</v>
      </c>
      <c r="F40204" s="8">
        <v>1392</v>
      </c>
    </row>
    <row r="40205" spans="1:6" ht="12.75">
      <c r="A40205" s="8">
        <v>43886.463993055557</v>
      </c>
      <c r="B40205" s="8" t="str">
        <f>HYPERLINK("https://twitter.com/airmagzcom","@airmagzcom")</f>
        <v>@airmagzcom</v>
      </c>
      <c r="C40205" s="8" t="s">
        <v>14793</v>
      </c>
      <c r="D40205" s="8">
        <v>0</v>
      </c>
      <c r="E40205" s="8">
        <v>0</v>
      </c>
      <c r="F40205" s="8">
        <v>130</v>
      </c>
    </row>
    <row r="40206" spans="1:6" ht="12.75">
      <c r="A40206" s="8">
        <v>43886.463865740741</v>
      </c>
      <c r="B40206" s="8" t="str">
        <f>HYPERLINK("https://twitter.com/2dibukaB","@2dibukaB")</f>
        <v>@2dibukaB</v>
      </c>
      <c r="C40206" s="8" t="s">
        <v>12373</v>
      </c>
      <c r="D40206" s="8">
        <v>16</v>
      </c>
      <c r="E40206" s="8">
        <v>0</v>
      </c>
      <c r="F40206" s="8">
        <v>1529</v>
      </c>
    </row>
    <row r="40207" spans="1:6" ht="12.75">
      <c r="A40207" s="8">
        <v>43886.463541666672</v>
      </c>
      <c r="B40207" s="8" t="str">
        <f>HYPERLINK("https://twitter.com/abcd2878","@abcd2878")</f>
        <v>@abcd2878</v>
      </c>
      <c r="C40207" s="8" t="s">
        <v>15129</v>
      </c>
      <c r="D40207" s="8">
        <v>9</v>
      </c>
      <c r="E40207" s="8">
        <v>0</v>
      </c>
      <c r="F40207" s="8">
        <v>128</v>
      </c>
    </row>
    <row r="40208" spans="1:6" ht="12.75">
      <c r="A40208" s="8">
        <v>43886.463449074072</v>
      </c>
      <c r="B40208" s="8" t="str">
        <f>HYPERLINK("https://twitter.com/poissonajuice","@poissonajuice")</f>
        <v>@poissonajuice</v>
      </c>
      <c r="C40208" s="8" t="s">
        <v>15391</v>
      </c>
      <c r="D40208" s="8">
        <v>0</v>
      </c>
      <c r="E40208" s="8">
        <v>0</v>
      </c>
      <c r="F40208" s="8">
        <v>718</v>
      </c>
    </row>
    <row r="40209" spans="1:6" ht="12.75">
      <c r="A40209" s="8">
        <v>43886.462881944448</v>
      </c>
      <c r="B40209" s="8" t="str">
        <f>HYPERLINK("https://twitter.com/eqy_franky","@eqy_franky")</f>
        <v>@eqy_franky</v>
      </c>
      <c r="C40209" s="8" t="s">
        <v>2940</v>
      </c>
      <c r="D40209" s="8">
        <v>2338</v>
      </c>
      <c r="E40209" s="8">
        <v>0</v>
      </c>
      <c r="F40209" s="8">
        <v>1340</v>
      </c>
    </row>
    <row r="40210" spans="1:6" ht="12.75">
      <c r="A40210" s="8">
        <v>43886.462708333333</v>
      </c>
      <c r="B40210" s="8" t="str">
        <f>HYPERLINK("https://twitter.com/syarifptk","@syarifptk")</f>
        <v>@syarifptk</v>
      </c>
      <c r="C40210" s="8" t="s">
        <v>15129</v>
      </c>
      <c r="D40210" s="8">
        <v>9</v>
      </c>
      <c r="E40210" s="8">
        <v>0</v>
      </c>
      <c r="F40210" s="8">
        <v>1492</v>
      </c>
    </row>
    <row r="40211" spans="1:6" ht="12.75">
      <c r="A40211" s="8">
        <v>43886.462696759263</v>
      </c>
      <c r="B40211" s="8" t="str">
        <f>HYPERLINK("https://twitter.com/adhet11a","@adhet11a")</f>
        <v>@adhet11a</v>
      </c>
      <c r="C40211" s="8" t="s">
        <v>12373</v>
      </c>
      <c r="D40211" s="8">
        <v>16</v>
      </c>
      <c r="E40211" s="8">
        <v>0</v>
      </c>
      <c r="F40211" s="8">
        <v>229</v>
      </c>
    </row>
    <row r="40212" spans="1:6" ht="12.75">
      <c r="A40212" s="8">
        <v>43886.46266203704</v>
      </c>
      <c r="B40212" s="8" t="str">
        <f>HYPERLINK("https://twitter.com/akhiy_aduy","@akhiy_aduy")</f>
        <v>@akhiy_aduy</v>
      </c>
      <c r="C40212" s="8" t="s">
        <v>11964</v>
      </c>
      <c r="D40212" s="8">
        <v>246</v>
      </c>
      <c r="E40212" s="8">
        <v>0</v>
      </c>
      <c r="F40212" s="8">
        <v>185</v>
      </c>
    </row>
    <row r="40213" spans="1:6" ht="12.75">
      <c r="A40213" s="8">
        <v>43886.462210648147</v>
      </c>
      <c r="B40213" s="8" t="str">
        <f t="shared" ref="B40213:B40214" si="594">HYPERLINK("https://twitter.com/tit_tit_tit","@tit_tit_tit")</f>
        <v>@tit_tit_tit</v>
      </c>
      <c r="C40213" s="8" t="s">
        <v>14106</v>
      </c>
      <c r="D40213" s="8">
        <v>123</v>
      </c>
      <c r="E40213" s="8">
        <v>0</v>
      </c>
      <c r="F40213" s="8">
        <v>2081</v>
      </c>
    </row>
    <row r="40214" spans="1:6" ht="12.75">
      <c r="A40214" s="8">
        <v>43886.462094907409</v>
      </c>
      <c r="B40214" s="8" t="str">
        <f t="shared" si="594"/>
        <v>@tit_tit_tit</v>
      </c>
      <c r="C40214" s="8" t="s">
        <v>13834</v>
      </c>
      <c r="D40214" s="8">
        <v>134</v>
      </c>
      <c r="E40214" s="8">
        <v>0</v>
      </c>
      <c r="F40214" s="8">
        <v>2081</v>
      </c>
    </row>
    <row r="40215" spans="1:6" ht="12.75">
      <c r="A40215" s="8">
        <v>43886.46194444444</v>
      </c>
      <c r="B40215" s="8" t="str">
        <f>HYPERLINK("https://twitter.com/salehdaulay","@salehdaulay")</f>
        <v>@salehdaulay</v>
      </c>
      <c r="C40215" s="8" t="s">
        <v>15392</v>
      </c>
      <c r="D40215" s="8">
        <v>0</v>
      </c>
      <c r="E40215" s="8">
        <v>0</v>
      </c>
      <c r="F40215" s="8">
        <v>4016</v>
      </c>
    </row>
    <row r="40216" spans="1:6" ht="12.75">
      <c r="A40216" s="8">
        <v>43886.461898148147</v>
      </c>
      <c r="B40216" s="8" t="str">
        <f>HYPERLINK("https://twitter.com/RudySt6","@RudySt6")</f>
        <v>@RudySt6</v>
      </c>
      <c r="C40216" s="8" t="s">
        <v>12373</v>
      </c>
      <c r="D40216" s="8">
        <v>16</v>
      </c>
      <c r="E40216" s="8">
        <v>0</v>
      </c>
      <c r="F40216" s="8">
        <v>358</v>
      </c>
    </row>
    <row r="40217" spans="1:6" ht="12.75">
      <c r="A40217" s="8">
        <v>43886.461828703701</v>
      </c>
      <c r="B40217" s="8" t="str">
        <f>HYPERLINK("https://twitter.com/rmoljabar","@rmoljabar")</f>
        <v>@rmoljabar</v>
      </c>
      <c r="C40217" s="8" t="s">
        <v>15393</v>
      </c>
      <c r="D40217" s="8">
        <v>0</v>
      </c>
      <c r="E40217" s="8">
        <v>0</v>
      </c>
      <c r="F40217" s="8">
        <v>6048</v>
      </c>
    </row>
    <row r="40218" spans="1:6" ht="12.75">
      <c r="A40218" s="8">
        <v>43886.461747685185</v>
      </c>
      <c r="B40218" s="8" t="str">
        <f>HYPERLINK("https://twitter.com/tit_tit_tit","@tit_tit_tit")</f>
        <v>@tit_tit_tit</v>
      </c>
      <c r="C40218" s="8" t="s">
        <v>8484</v>
      </c>
      <c r="D40218" s="8">
        <v>730</v>
      </c>
      <c r="E40218" s="8">
        <v>0</v>
      </c>
      <c r="F40218" s="8">
        <v>2081</v>
      </c>
    </row>
    <row r="40219" spans="1:6" ht="12.75">
      <c r="A40219" s="8">
        <v>43886.461539351847</v>
      </c>
      <c r="B40219" s="8" t="str">
        <f>HYPERLINK("https://twitter.com/fariedjufry","@fariedjufry")</f>
        <v>@fariedjufry</v>
      </c>
      <c r="C40219" s="8" t="s">
        <v>13108</v>
      </c>
      <c r="D40219" s="8">
        <v>1</v>
      </c>
      <c r="E40219" s="8">
        <v>0</v>
      </c>
      <c r="F40219" s="8">
        <v>1435</v>
      </c>
    </row>
    <row r="40220" spans="1:6" ht="12.75">
      <c r="A40220" s="8">
        <v>43886.461527777778</v>
      </c>
      <c r="B40220" s="8" t="str">
        <f>HYPERLINK("https://twitter.com/r3nDYwJy","@r3nDYwJy")</f>
        <v>@r3nDYwJy</v>
      </c>
      <c r="C40220" s="8" t="s">
        <v>15394</v>
      </c>
      <c r="D40220" s="8">
        <v>0</v>
      </c>
      <c r="E40220" s="8">
        <v>1</v>
      </c>
      <c r="F40220" s="8">
        <v>1618</v>
      </c>
    </row>
    <row r="40221" spans="1:6" ht="12.75">
      <c r="A40221" s="8">
        <v>43886.461342592593</v>
      </c>
      <c r="B40221" s="8" t="str">
        <f>HYPERLINK("https://twitter.com/penerbitimania","@penerbitimania")</f>
        <v>@penerbitimania</v>
      </c>
      <c r="C40221" s="8" t="s">
        <v>15395</v>
      </c>
      <c r="D40221" s="8">
        <v>1</v>
      </c>
      <c r="E40221" s="8">
        <v>0</v>
      </c>
      <c r="F40221" s="8">
        <v>11334</v>
      </c>
    </row>
    <row r="40222" spans="1:6" ht="12.75">
      <c r="A40222" s="8">
        <v>43886.461319444439</v>
      </c>
      <c r="B40222" s="8" t="str">
        <f>HYPERLINK("https://twitter.com/becak125cc","@becak125cc")</f>
        <v>@becak125cc</v>
      </c>
      <c r="C40222" s="8" t="s">
        <v>11183</v>
      </c>
      <c r="D40222" s="8">
        <v>51</v>
      </c>
      <c r="E40222" s="8">
        <v>0</v>
      </c>
      <c r="F40222" s="8">
        <v>520</v>
      </c>
    </row>
    <row r="40223" spans="1:6" ht="12.75">
      <c r="A40223" s="8">
        <v>43886.4612962963</v>
      </c>
      <c r="B40223" s="8" t="str">
        <f>HYPERLINK("https://twitter.com/305_Btrack","@305_Btrack")</f>
        <v>@305_Btrack</v>
      </c>
      <c r="C40223" s="8" t="s">
        <v>6666</v>
      </c>
      <c r="D40223" s="8">
        <v>3</v>
      </c>
      <c r="E40223" s="8">
        <v>0</v>
      </c>
      <c r="F40223" s="8">
        <v>73</v>
      </c>
    </row>
    <row r="40224" spans="1:6" ht="12.75">
      <c r="A40224" s="8">
        <v>43886.460428240738</v>
      </c>
      <c r="B40224" s="8" t="str">
        <f>HYPERLINK("https://twitter.com/rosemarie_fairy","@rosemarie_fairy")</f>
        <v>@rosemarie_fairy</v>
      </c>
      <c r="C40224" s="8" t="s">
        <v>8484</v>
      </c>
      <c r="D40224" s="8">
        <v>730</v>
      </c>
      <c r="E40224" s="8">
        <v>0</v>
      </c>
      <c r="F40224" s="8">
        <v>217</v>
      </c>
    </row>
    <row r="40225" spans="1:6" ht="12.75">
      <c r="A40225" s="8">
        <v>43886.460081018522</v>
      </c>
      <c r="B40225" s="8" t="str">
        <f>HYPERLINK("https://twitter.com/visiau","@visiau")</f>
        <v>@visiau</v>
      </c>
      <c r="C40225" s="8" t="s">
        <v>11964</v>
      </c>
      <c r="D40225" s="8">
        <v>246</v>
      </c>
      <c r="E40225" s="8">
        <v>0</v>
      </c>
      <c r="F40225" s="8">
        <v>1761</v>
      </c>
    </row>
    <row r="40226" spans="1:6" ht="12.75">
      <c r="A40226" s="8">
        <v>43886.459849537037</v>
      </c>
      <c r="B40226" s="8" t="str">
        <f>HYPERLINK("https://twitter.com/therensoOlrenli","@therensoOlrenli")</f>
        <v>@therensoOlrenli</v>
      </c>
      <c r="C40226" s="8" t="s">
        <v>15396</v>
      </c>
      <c r="D40226" s="8">
        <v>0</v>
      </c>
      <c r="E40226" s="8">
        <v>0</v>
      </c>
      <c r="F40226" s="8">
        <v>532</v>
      </c>
    </row>
    <row r="40227" spans="1:6" ht="12.75">
      <c r="A40227" s="8">
        <v>43886.459560185191</v>
      </c>
      <c r="B40227" s="8" t="str">
        <f>HYPERLINK("https://twitter.com/JacksQuevara","@JacksQuevara")</f>
        <v>@JacksQuevara</v>
      </c>
      <c r="C40227" s="8" t="s">
        <v>2940</v>
      </c>
      <c r="D40227" s="8">
        <v>2338</v>
      </c>
      <c r="E40227" s="8">
        <v>0</v>
      </c>
      <c r="F40227" s="8">
        <v>1043</v>
      </c>
    </row>
    <row r="40228" spans="1:6" ht="12.75">
      <c r="A40228" s="8">
        <v>43886.459444444445</v>
      </c>
      <c r="B40228" s="8" t="str">
        <f>HYPERLINK("https://twitter.com/uskn51375","@uskn51375")</f>
        <v>@uskn51375</v>
      </c>
      <c r="C40228" s="8" t="s">
        <v>8484</v>
      </c>
      <c r="D40228" s="8">
        <v>730</v>
      </c>
      <c r="E40228" s="8">
        <v>0</v>
      </c>
      <c r="F40228" s="8">
        <v>46</v>
      </c>
    </row>
    <row r="40229" spans="1:6" ht="12.75">
      <c r="A40229" s="8">
        <v>43886.458923611106</v>
      </c>
      <c r="B40229" s="8" t="str">
        <f>HYPERLINK("https://twitter.com/papasuzu2","@papasuzu2")</f>
        <v>@papasuzu2</v>
      </c>
      <c r="C40229" s="8" t="s">
        <v>8484</v>
      </c>
      <c r="D40229" s="8">
        <v>730</v>
      </c>
      <c r="E40229" s="8">
        <v>0</v>
      </c>
      <c r="F40229" s="8">
        <v>213</v>
      </c>
    </row>
    <row r="40230" spans="1:6" ht="12.75">
      <c r="A40230" s="8">
        <v>43886.458877314813</v>
      </c>
      <c r="B40230" s="8" t="str">
        <f>HYPERLINK("https://twitter.com/AisSyariif","@AisSyariif")</f>
        <v>@AisSyariif</v>
      </c>
      <c r="C40230" s="8" t="s">
        <v>14913</v>
      </c>
      <c r="D40230" s="8">
        <v>17</v>
      </c>
      <c r="E40230" s="8">
        <v>0</v>
      </c>
      <c r="F40230" s="8">
        <v>873</v>
      </c>
    </row>
    <row r="40231" spans="1:6" ht="12.75">
      <c r="A40231" s="8">
        <v>43886.458726851852</v>
      </c>
      <c r="B40231" s="8" t="str">
        <f>HYPERLINK("https://twitter.com/sorotnews","@sorotnews")</f>
        <v>@sorotnews</v>
      </c>
      <c r="C40231" s="8" t="s">
        <v>15383</v>
      </c>
      <c r="D40231" s="8">
        <v>0</v>
      </c>
      <c r="E40231" s="8">
        <v>0</v>
      </c>
      <c r="F40231" s="8">
        <v>3689</v>
      </c>
    </row>
    <row r="40232" spans="1:6" ht="12.75">
      <c r="A40232" s="8">
        <v>43886.458495370374</v>
      </c>
      <c r="B40232" s="8" t="str">
        <f>HYPERLINK("https://twitter.com/gabrobasal","@gabrobasal")</f>
        <v>@gabrobasal</v>
      </c>
      <c r="C40232" s="8" t="s">
        <v>15397</v>
      </c>
      <c r="D40232" s="8">
        <v>0</v>
      </c>
      <c r="E40232" s="8">
        <v>0</v>
      </c>
      <c r="F40232" s="8">
        <v>12</v>
      </c>
    </row>
    <row r="40233" spans="1:6" ht="12.75">
      <c r="A40233" s="8">
        <v>43886.458483796298</v>
      </c>
      <c r="B40233" s="8" t="str">
        <f>HYPERLINK("https://twitter.com/realprincetotty","@realprincetotty")</f>
        <v>@realprincetotty</v>
      </c>
      <c r="C40233" s="8" t="s">
        <v>15398</v>
      </c>
      <c r="D40233" s="8">
        <v>1</v>
      </c>
      <c r="E40233" s="8">
        <v>0</v>
      </c>
      <c r="F40233" s="8">
        <v>730</v>
      </c>
    </row>
    <row r="40234" spans="1:6" ht="12.75">
      <c r="A40234" s="8">
        <v>43886.458483796298</v>
      </c>
      <c r="B40234" s="8" t="str">
        <f>HYPERLINK("https://twitter.com/nemosyus","@nemosyus")</f>
        <v>@nemosyus</v>
      </c>
      <c r="C40234" s="8" t="s">
        <v>15399</v>
      </c>
      <c r="D40234" s="8">
        <v>2</v>
      </c>
      <c r="E40234" s="8">
        <v>0</v>
      </c>
      <c r="F40234" s="8">
        <v>504</v>
      </c>
    </row>
    <row r="40235" spans="1:6" ht="12.75">
      <c r="A40235" s="8">
        <v>43886.458344907413</v>
      </c>
      <c r="B40235" s="8" t="str">
        <f>HYPERLINK("https://twitter.com/HiroX1010x","@HiroX1010x")</f>
        <v>@HiroX1010x</v>
      </c>
      <c r="C40235" s="8" t="s">
        <v>8484</v>
      </c>
      <c r="D40235" s="8">
        <v>730</v>
      </c>
      <c r="E40235" s="8">
        <v>0</v>
      </c>
      <c r="F40235" s="8">
        <v>332</v>
      </c>
    </row>
    <row r="40236" spans="1:6" ht="12.75">
      <c r="A40236" s="8">
        <v>43886.458333333328</v>
      </c>
      <c r="B40236" s="8" t="str">
        <f>HYPERLINK("https://twitter.com/DcEliana","@DcEliana")</f>
        <v>@DcEliana</v>
      </c>
      <c r="C40236" s="8" t="s">
        <v>11183</v>
      </c>
      <c r="D40236" s="8">
        <v>51</v>
      </c>
      <c r="E40236" s="8">
        <v>0</v>
      </c>
      <c r="F40236" s="8">
        <v>151</v>
      </c>
    </row>
    <row r="40237" spans="1:6" ht="12.75">
      <c r="A40237" s="8">
        <v>43886.45820601852</v>
      </c>
      <c r="B40237" s="8" t="str">
        <f>HYPERLINK("https://twitter.com/airmagzcom","@airmagzcom")</f>
        <v>@airmagzcom</v>
      </c>
      <c r="C40237" s="8" t="s">
        <v>14798</v>
      </c>
      <c r="D40237" s="8">
        <v>0</v>
      </c>
      <c r="E40237" s="8">
        <v>0</v>
      </c>
      <c r="F40237" s="8">
        <v>130</v>
      </c>
    </row>
    <row r="40238" spans="1:6" ht="12.75">
      <c r="A40238" s="8">
        <v>43886.458125000005</v>
      </c>
      <c r="B40238" s="8" t="str">
        <f>HYPERLINK("https://twitter.com/aadhmusic_dadan","@aadhmusic_dadan")</f>
        <v>@aadhmusic_dadan</v>
      </c>
      <c r="C40238" s="8" t="s">
        <v>15400</v>
      </c>
      <c r="D40238" s="8">
        <v>0</v>
      </c>
      <c r="E40238" s="8">
        <v>1</v>
      </c>
      <c r="F40238" s="8">
        <v>348</v>
      </c>
    </row>
    <row r="40239" spans="1:6" ht="12.75">
      <c r="A40239" s="8">
        <v>43886.457604166666</v>
      </c>
      <c r="B40239" s="8" t="str">
        <f>HYPERLINK("https://twitter.com/WidiarsoKris","@WidiarsoKris")</f>
        <v>@WidiarsoKris</v>
      </c>
      <c r="C40239" s="8" t="s">
        <v>15401</v>
      </c>
      <c r="D40239" s="8">
        <v>0</v>
      </c>
      <c r="E40239" s="8">
        <v>1</v>
      </c>
      <c r="F40239" s="8">
        <v>121</v>
      </c>
    </row>
    <row r="40240" spans="1:6" ht="12.75">
      <c r="A40240" s="8">
        <v>43886.457256944443</v>
      </c>
      <c r="B40240" s="8" t="str">
        <f>HYPERLINK("https://twitter.com/Dodi76650439","@Dodi76650439")</f>
        <v>@Dodi76650439</v>
      </c>
      <c r="C40240" s="8" t="s">
        <v>11183</v>
      </c>
      <c r="D40240" s="8">
        <v>51</v>
      </c>
      <c r="E40240" s="8">
        <v>0</v>
      </c>
      <c r="F40240" s="8">
        <v>75</v>
      </c>
    </row>
    <row r="40241" spans="1:6" ht="12.75">
      <c r="A40241" s="8">
        <v>43886.45722222222</v>
      </c>
      <c r="B40241" s="8" t="str">
        <f>HYPERLINK("https://twitter.com/Sunarti25231614","@Sunarti25231614")</f>
        <v>@Sunarti25231614</v>
      </c>
      <c r="C40241" s="8" t="s">
        <v>11964</v>
      </c>
      <c r="D40241" s="8">
        <v>246</v>
      </c>
      <c r="E40241" s="8">
        <v>0</v>
      </c>
      <c r="F40241" s="8">
        <v>101</v>
      </c>
    </row>
    <row r="40242" spans="1:6" ht="12.75">
      <c r="A40242" s="8">
        <v>43886.456793981481</v>
      </c>
      <c r="B40242" s="8" t="str">
        <f>HYPERLINK("https://twitter.com/kokorosoranoue","@kokorosoranoue")</f>
        <v>@kokorosoranoue</v>
      </c>
      <c r="C40242" s="8" t="s">
        <v>2940</v>
      </c>
      <c r="D40242" s="8">
        <v>2338</v>
      </c>
      <c r="E40242" s="8">
        <v>0</v>
      </c>
      <c r="F40242" s="8">
        <v>197</v>
      </c>
    </row>
    <row r="40243" spans="1:6" ht="12.75">
      <c r="A40243" s="8">
        <v>43886.456273148149</v>
      </c>
      <c r="B40243" s="8" t="str">
        <f>HYPERLINK("https://twitter.com/richard38846789","@richard38846789")</f>
        <v>@richard38846789</v>
      </c>
      <c r="C40243" s="8" t="s">
        <v>15402</v>
      </c>
      <c r="D40243" s="8">
        <v>0</v>
      </c>
      <c r="E40243" s="8">
        <v>0</v>
      </c>
      <c r="F40243" s="8">
        <v>3</v>
      </c>
    </row>
    <row r="40244" spans="1:6" ht="12.75">
      <c r="A40244" s="8">
        <v>43886.456250000003</v>
      </c>
      <c r="B40244" s="8" t="str">
        <f>HYPERLINK("https://twitter.com/tribunnews","@tribunnews")</f>
        <v>@tribunnews</v>
      </c>
      <c r="C40244" s="8" t="s">
        <v>15403</v>
      </c>
      <c r="D40244" s="8">
        <v>1</v>
      </c>
      <c r="E40244" s="8">
        <v>4</v>
      </c>
      <c r="F40244" s="8">
        <v>880880</v>
      </c>
    </row>
    <row r="40245" spans="1:6" ht="12.75">
      <c r="A40245" s="8">
        <v>43886.456099537041</v>
      </c>
      <c r="B40245" s="8" t="str">
        <f>HYPERLINK("https://twitter.com/OohEva3","@OohEva3")</f>
        <v>@OohEva3</v>
      </c>
      <c r="C40245" s="8" t="s">
        <v>15404</v>
      </c>
      <c r="D40245" s="8">
        <v>0</v>
      </c>
      <c r="E40245" s="8">
        <v>0</v>
      </c>
      <c r="F40245" s="8">
        <v>227</v>
      </c>
    </row>
    <row r="40246" spans="1:6" ht="12.75">
      <c r="A40246" s="8">
        <v>43886.45584490741</v>
      </c>
      <c r="B40246" s="8" t="str">
        <f>HYPERLINK("https://twitter.com/zara_melia","@zara_melia")</f>
        <v>@zara_melia</v>
      </c>
      <c r="C40246" s="8" t="s">
        <v>15405</v>
      </c>
      <c r="D40246" s="8">
        <v>24</v>
      </c>
      <c r="E40246" s="8">
        <v>0</v>
      </c>
      <c r="F40246" s="8">
        <v>602</v>
      </c>
    </row>
    <row r="40247" spans="1:6" ht="12.75">
      <c r="A40247" s="8">
        <v>43886.455821759257</v>
      </c>
      <c r="B40247" s="8" t="str">
        <f>HYPERLINK("https://twitter.com/saririnboo","@saririnboo")</f>
        <v>@saririnboo</v>
      </c>
      <c r="C40247" s="8" t="s">
        <v>2940</v>
      </c>
      <c r="D40247" s="8">
        <v>2338</v>
      </c>
      <c r="E40247" s="8">
        <v>0</v>
      </c>
      <c r="F40247" s="8">
        <v>74</v>
      </c>
    </row>
    <row r="40248" spans="1:6" ht="12.75">
      <c r="A40248" s="8">
        <v>43886.455740740741</v>
      </c>
      <c r="B40248" s="8" t="str">
        <f>HYPERLINK("https://twitter.com/WidiarsoKris","@WidiarsoKris")</f>
        <v>@WidiarsoKris</v>
      </c>
      <c r="C40248" s="8" t="s">
        <v>15406</v>
      </c>
      <c r="D40248" s="8">
        <v>0</v>
      </c>
      <c r="E40248" s="8">
        <v>1</v>
      </c>
      <c r="F40248" s="8">
        <v>121</v>
      </c>
    </row>
    <row r="40249" spans="1:6" ht="12.75">
      <c r="A40249" s="8">
        <v>43886.455358796295</v>
      </c>
      <c r="B40249" s="8" t="str">
        <f>HYPERLINK("https://twitter.com/Lusi73265492","@Lusi73265492")</f>
        <v>@Lusi73265492</v>
      </c>
      <c r="C40249" s="8" t="s">
        <v>15407</v>
      </c>
      <c r="D40249" s="8">
        <v>0</v>
      </c>
      <c r="E40249" s="8">
        <v>0</v>
      </c>
      <c r="F40249" s="8">
        <v>126</v>
      </c>
    </row>
    <row r="40250" spans="1:6" ht="12.75">
      <c r="A40250" s="8">
        <v>43886.455046296294</v>
      </c>
      <c r="B40250" s="8" t="str">
        <f>HYPERLINK("https://twitter.com/Widiantoro","@Widiantoro")</f>
        <v>@Widiantoro</v>
      </c>
      <c r="C40250" s="8" t="s">
        <v>11183</v>
      </c>
      <c r="D40250" s="8">
        <v>51</v>
      </c>
      <c r="E40250" s="8">
        <v>0</v>
      </c>
      <c r="F40250" s="8">
        <v>206</v>
      </c>
    </row>
    <row r="40251" spans="1:6" ht="12.75">
      <c r="A40251" s="8">
        <v>43886.455023148148</v>
      </c>
      <c r="B40251" s="8" t="str">
        <f>HYPERLINK("https://twitter.com/Dawning_1","@Dawning_1")</f>
        <v>@Dawning_1</v>
      </c>
      <c r="C40251" s="8" t="s">
        <v>2940</v>
      </c>
      <c r="D40251" s="8">
        <v>2338</v>
      </c>
      <c r="E40251" s="8">
        <v>0</v>
      </c>
      <c r="F40251" s="8">
        <v>1422</v>
      </c>
    </row>
    <row r="40252" spans="1:6" ht="12.75">
      <c r="A40252" s="8">
        <v>43886.454745370371</v>
      </c>
      <c r="B40252" s="8" t="str">
        <f>HYPERLINK("https://twitter.com/TanSue10","@TanSue10")</f>
        <v>@TanSue10</v>
      </c>
      <c r="C40252" s="8" t="s">
        <v>15408</v>
      </c>
      <c r="D40252" s="8">
        <v>0</v>
      </c>
      <c r="E40252" s="8">
        <v>0</v>
      </c>
      <c r="F40252" s="8">
        <v>25</v>
      </c>
    </row>
    <row r="40253" spans="1:6" ht="12.75">
      <c r="A40253" s="8">
        <v>43886.454074074078</v>
      </c>
      <c r="B40253" s="8" t="str">
        <f>HYPERLINK("https://twitter.com/achmadsyaifudn","@achmadsyaifudn")</f>
        <v>@achmadsyaifudn</v>
      </c>
      <c r="C40253" s="8" t="s">
        <v>12920</v>
      </c>
      <c r="D40253" s="8">
        <v>1524</v>
      </c>
      <c r="E40253" s="8">
        <v>0</v>
      </c>
      <c r="F40253" s="8">
        <v>93</v>
      </c>
    </row>
    <row r="40254" spans="1:6" ht="12.75">
      <c r="A40254" s="8">
        <v>43886.454074074078</v>
      </c>
      <c r="B40254" s="8" t="str">
        <f t="shared" ref="B40254:B40255" si="595">HYPERLINK("https://twitter.com/mm101421","@mm101421")</f>
        <v>@mm101421</v>
      </c>
      <c r="C40254" s="8" t="s">
        <v>13834</v>
      </c>
      <c r="D40254" s="8">
        <v>134</v>
      </c>
      <c r="E40254" s="8">
        <v>0</v>
      </c>
      <c r="F40254" s="8">
        <v>51</v>
      </c>
    </row>
    <row r="40255" spans="1:6" ht="12.75">
      <c r="A40255" s="8">
        <v>43886.454004629632</v>
      </c>
      <c r="B40255" s="8" t="str">
        <f t="shared" si="595"/>
        <v>@mm101421</v>
      </c>
      <c r="C40255" s="8" t="s">
        <v>8484</v>
      </c>
      <c r="D40255" s="8">
        <v>730</v>
      </c>
      <c r="E40255" s="8">
        <v>0</v>
      </c>
      <c r="F40255" s="8">
        <v>51</v>
      </c>
    </row>
    <row r="40256" spans="1:6" ht="12.75">
      <c r="A40256" s="8">
        <v>43886.453449074077</v>
      </c>
      <c r="B40256" s="8" t="str">
        <f>HYPERLINK("https://twitter.com/filihan","@filihan")</f>
        <v>@filihan</v>
      </c>
      <c r="C40256" s="8" t="s">
        <v>14887</v>
      </c>
      <c r="D40256" s="8">
        <v>44</v>
      </c>
      <c r="E40256" s="8">
        <v>0</v>
      </c>
      <c r="F40256" s="8">
        <v>526</v>
      </c>
    </row>
    <row r="40257" spans="1:6" ht="12.75">
      <c r="A40257" s="8">
        <v>43886.452361111107</v>
      </c>
      <c r="B40257" s="8" t="str">
        <f>HYPERLINK("https://twitter.com/ragilsaputra645","@ragilsaputra645")</f>
        <v>@ragilsaputra645</v>
      </c>
      <c r="C40257" s="8" t="s">
        <v>11964</v>
      </c>
      <c r="D40257" s="8">
        <v>246</v>
      </c>
      <c r="E40257" s="8">
        <v>0</v>
      </c>
      <c r="F40257" s="8">
        <v>400</v>
      </c>
    </row>
    <row r="40258" spans="1:6" ht="12.75">
      <c r="A40258" s="8">
        <v>43886.452164351853</v>
      </c>
      <c r="B40258" s="8" t="str">
        <f>HYPERLINK("https://twitter.com/_PR0FES0NG","@_PR0FES0NG")</f>
        <v>@_PR0FES0NG</v>
      </c>
      <c r="C40258" s="8" t="s">
        <v>6666</v>
      </c>
      <c r="D40258" s="8">
        <v>3</v>
      </c>
      <c r="E40258" s="8">
        <v>0</v>
      </c>
      <c r="F40258" s="8">
        <v>2183</v>
      </c>
    </row>
    <row r="40259" spans="1:6" ht="12.75">
      <c r="A40259" s="8">
        <v>43886.45212962963</v>
      </c>
      <c r="B40259" s="8" t="str">
        <f>HYPERLINK("https://twitter.com/jee_creepers","@jee_creepers")</f>
        <v>@jee_creepers</v>
      </c>
      <c r="C40259" s="8" t="s">
        <v>14887</v>
      </c>
      <c r="D40259" s="8">
        <v>44</v>
      </c>
      <c r="E40259" s="8">
        <v>0</v>
      </c>
      <c r="F40259" s="8">
        <v>710</v>
      </c>
    </row>
    <row r="40260" spans="1:6" ht="12.75">
      <c r="A40260" s="8">
        <v>43886.451851851853</v>
      </c>
      <c r="B40260" s="8" t="str">
        <f>HYPERLINK("https://twitter.com/labakuma","@labakuma")</f>
        <v>@labakuma</v>
      </c>
      <c r="C40260" s="8" t="s">
        <v>11183</v>
      </c>
      <c r="D40260" s="8">
        <v>51</v>
      </c>
      <c r="E40260" s="8">
        <v>0</v>
      </c>
      <c r="F40260" s="8">
        <v>202</v>
      </c>
    </row>
    <row r="40261" spans="1:6" ht="12.75">
      <c r="A40261" s="8">
        <v>43886.451805555553</v>
      </c>
      <c r="B40261" s="8" t="str">
        <f>HYPERLINK("https://twitter.com/BrickedBrains","@BrickedBrains")</f>
        <v>@BrickedBrains</v>
      </c>
      <c r="C40261" s="8" t="s">
        <v>11964</v>
      </c>
      <c r="D40261" s="8">
        <v>246</v>
      </c>
      <c r="E40261" s="8">
        <v>0</v>
      </c>
      <c r="F40261" s="8">
        <v>131</v>
      </c>
    </row>
    <row r="40262" spans="1:6" ht="12.75">
      <c r="A40262" s="8">
        <v>43886.451724537037</v>
      </c>
      <c r="B40262" s="8" t="str">
        <f>HYPERLINK("https://twitter.com/ballambinlove","@ballambinlove")</f>
        <v>@ballambinlove</v>
      </c>
      <c r="C40262" s="8" t="s">
        <v>15129</v>
      </c>
      <c r="D40262" s="8">
        <v>9</v>
      </c>
      <c r="E40262" s="8">
        <v>0</v>
      </c>
      <c r="F40262" s="8">
        <v>1013</v>
      </c>
    </row>
    <row r="40263" spans="1:6" ht="12.75">
      <c r="A40263" s="8">
        <v>43886.451469907406</v>
      </c>
      <c r="B40263" s="8" t="str">
        <f>HYPERLINK("https://twitter.com/KosmetikDinda","@KosmetikDinda")</f>
        <v>@KosmetikDinda</v>
      </c>
      <c r="C40263" s="8" t="s">
        <v>15129</v>
      </c>
      <c r="D40263" s="8">
        <v>9</v>
      </c>
      <c r="E40263" s="8">
        <v>0</v>
      </c>
      <c r="F40263" s="8">
        <v>1285</v>
      </c>
    </row>
    <row r="40264" spans="1:6" ht="12.75">
      <c r="A40264" s="8">
        <v>43886.451388888891</v>
      </c>
      <c r="B40264" s="8" t="str">
        <f>HYPERLINK("https://twitter.com/ID_Fixed","@ID_Fixed")</f>
        <v>@ID_Fixed</v>
      </c>
      <c r="C40264" s="8" t="s">
        <v>15409</v>
      </c>
      <c r="D40264" s="8">
        <v>3</v>
      </c>
      <c r="E40264" s="8">
        <v>0</v>
      </c>
      <c r="F40264" s="8">
        <v>7166</v>
      </c>
    </row>
    <row r="40265" spans="1:6" ht="12.75">
      <c r="A40265" s="8">
        <v>43886.45107638889</v>
      </c>
      <c r="B40265" s="8" t="str">
        <f>HYPERLINK("https://twitter.com/prasetycio","@prasetycio")</f>
        <v>@prasetycio</v>
      </c>
      <c r="C40265" s="8" t="s">
        <v>15129</v>
      </c>
      <c r="D40265" s="8">
        <v>9</v>
      </c>
      <c r="E40265" s="8">
        <v>0</v>
      </c>
      <c r="F40265" s="8">
        <v>361</v>
      </c>
    </row>
    <row r="40266" spans="1:6" ht="12.75">
      <c r="A40266" s="8">
        <v>43886.450543981482</v>
      </c>
      <c r="B40266" s="8" t="str">
        <f>HYPERLINK("https://twitter.com/amin_romen","@amin_romen")</f>
        <v>@amin_romen</v>
      </c>
      <c r="C40266" s="8" t="s">
        <v>2940</v>
      </c>
      <c r="D40266" s="8">
        <v>2338</v>
      </c>
      <c r="E40266" s="8">
        <v>0</v>
      </c>
      <c r="F40266" s="8">
        <v>252</v>
      </c>
    </row>
    <row r="40267" spans="1:6" ht="12.75">
      <c r="A40267" s="8">
        <v>43886.45040509259</v>
      </c>
      <c r="B40267" s="8" t="str">
        <f>HYPERLINK("https://twitter.com/airmagzcom","@airmagzcom")</f>
        <v>@airmagzcom</v>
      </c>
      <c r="C40267" s="8" t="s">
        <v>15410</v>
      </c>
      <c r="D40267" s="8">
        <v>0</v>
      </c>
      <c r="E40267" s="8">
        <v>0</v>
      </c>
      <c r="F40267" s="8">
        <v>130</v>
      </c>
    </row>
    <row r="40268" spans="1:6" ht="12.75">
      <c r="A40268" s="8">
        <v>43886.450208333335</v>
      </c>
      <c r="B40268" s="8" t="str">
        <f>HYPERLINK("https://twitter.com/adysiswanto12","@adysiswanto12")</f>
        <v>@adysiswanto12</v>
      </c>
      <c r="C40268" s="8" t="s">
        <v>15411</v>
      </c>
      <c r="D40268" s="8">
        <v>0</v>
      </c>
      <c r="E40268" s="8">
        <v>0</v>
      </c>
      <c r="F40268" s="8">
        <v>319</v>
      </c>
    </row>
    <row r="40269" spans="1:6" ht="12.75">
      <c r="A40269" s="8">
        <v>43886.450092592597</v>
      </c>
      <c r="B40269" s="8" t="str">
        <f>HYPERLINK("https://twitter.com/fIcal85360324","@fIcal85360324")</f>
        <v>@fIcal85360324</v>
      </c>
      <c r="C40269" s="8" t="s">
        <v>12373</v>
      </c>
      <c r="D40269" s="8">
        <v>16</v>
      </c>
      <c r="E40269" s="8">
        <v>0</v>
      </c>
      <c r="F40269" s="8">
        <v>523</v>
      </c>
    </row>
    <row r="40270" spans="1:6" ht="12.75">
      <c r="A40270" s="8">
        <v>43886.450023148151</v>
      </c>
      <c r="B40270" s="8" t="str">
        <f>HYPERLINK("https://twitter.com/LelangLahe","@LelangLahe")</f>
        <v>@LelangLahe</v>
      </c>
      <c r="C40270" s="8" t="s">
        <v>11964</v>
      </c>
      <c r="D40270" s="8">
        <v>246</v>
      </c>
      <c r="E40270" s="8">
        <v>0</v>
      </c>
      <c r="F40270" s="8">
        <v>31</v>
      </c>
    </row>
    <row r="40271" spans="1:6" ht="12.75">
      <c r="A40271" s="8">
        <v>43886.449930555551</v>
      </c>
      <c r="B40271" s="8" t="str">
        <f>HYPERLINK("https://twitter.com/ebithEBITH","@ebithEBITH")</f>
        <v>@ebithEBITH</v>
      </c>
      <c r="C40271" s="8" t="s">
        <v>15129</v>
      </c>
      <c r="D40271" s="8">
        <v>9</v>
      </c>
      <c r="E40271" s="8">
        <v>0</v>
      </c>
      <c r="F40271" s="8">
        <v>29567</v>
      </c>
    </row>
    <row r="40272" spans="1:6" ht="12.75">
      <c r="A40272" s="8">
        <v>43886.449803240743</v>
      </c>
      <c r="B40272" s="8" t="str">
        <f>HYPERLINK("https://twitter.com/di_shui","@di_shui")</f>
        <v>@di_shui</v>
      </c>
      <c r="C40272" s="8" t="s">
        <v>8484</v>
      </c>
      <c r="D40272" s="8">
        <v>730</v>
      </c>
      <c r="E40272" s="8">
        <v>0</v>
      </c>
      <c r="F40272" s="8">
        <v>583</v>
      </c>
    </row>
    <row r="40273" spans="1:6" ht="12.75">
      <c r="A40273" s="8">
        <v>43886.449583333335</v>
      </c>
      <c r="B40273" s="8" t="str">
        <f>HYPERLINK("https://twitter.com/tribunpontianak","@tribunpontianak")</f>
        <v>@tribunpontianak</v>
      </c>
      <c r="C40273" s="8" t="s">
        <v>15412</v>
      </c>
      <c r="D40273" s="8">
        <v>0</v>
      </c>
      <c r="E40273" s="8">
        <v>0</v>
      </c>
      <c r="F40273" s="8">
        <v>84030</v>
      </c>
    </row>
    <row r="40274" spans="1:6" ht="12.75">
      <c r="A40274" s="8">
        <v>43886.449525462958</v>
      </c>
      <c r="B40274" s="8" t="str">
        <f>HYPERLINK("https://twitter.com/RitayanaCdp","@RitayanaCdp")</f>
        <v>@RitayanaCdp</v>
      </c>
      <c r="C40274" s="8" t="s">
        <v>15129</v>
      </c>
      <c r="D40274" s="8">
        <v>9</v>
      </c>
      <c r="E40274" s="8">
        <v>0</v>
      </c>
      <c r="F40274" s="8">
        <v>405</v>
      </c>
    </row>
    <row r="40275" spans="1:6" ht="12.75">
      <c r="A40275" s="8">
        <v>43886.449467592596</v>
      </c>
      <c r="B40275" s="8" t="str">
        <f>HYPERLINK("https://twitter.com/hd_love_sugar","@hd_love_sugar")</f>
        <v>@hd_love_sugar</v>
      </c>
      <c r="C40275" s="8" t="s">
        <v>8484</v>
      </c>
      <c r="D40275" s="8">
        <v>730</v>
      </c>
      <c r="E40275" s="8">
        <v>0</v>
      </c>
      <c r="F40275" s="8">
        <v>11</v>
      </c>
    </row>
    <row r="40276" spans="1:6" ht="12.75">
      <c r="A40276" s="8">
        <v>43886.448587962965</v>
      </c>
      <c r="B40276" s="8" t="str">
        <f>HYPERLINK("https://twitter.com/geloraco","@geloraco")</f>
        <v>@geloraco</v>
      </c>
      <c r="C40276" s="8" t="s">
        <v>15383</v>
      </c>
      <c r="D40276" s="8">
        <v>9</v>
      </c>
      <c r="E40276" s="8">
        <v>5</v>
      </c>
      <c r="F40276" s="8">
        <v>101974</v>
      </c>
    </row>
    <row r="40277" spans="1:6" ht="12.75">
      <c r="A40277" s="8">
        <v>43886.448460648149</v>
      </c>
      <c r="B40277" s="8" t="str">
        <f>HYPERLINK("https://twitter.com/avocadofloat20","@avocadofloat20")</f>
        <v>@avocadofloat20</v>
      </c>
      <c r="C40277" s="8" t="s">
        <v>15413</v>
      </c>
      <c r="D40277" s="8">
        <v>0</v>
      </c>
      <c r="E40277" s="8">
        <v>0</v>
      </c>
      <c r="F40277" s="8">
        <v>135</v>
      </c>
    </row>
    <row r="40278" spans="1:6" ht="12.75">
      <c r="A40278" s="8">
        <v>43886.448298611111</v>
      </c>
      <c r="B40278" s="8" t="str">
        <f>HYPERLINK("https://twitter.com/natafosca","@natafosca")</f>
        <v>@natafosca</v>
      </c>
      <c r="C40278" s="8" t="s">
        <v>15414</v>
      </c>
      <c r="D40278" s="8">
        <v>0</v>
      </c>
      <c r="E40278" s="8">
        <v>0</v>
      </c>
      <c r="F40278" s="8">
        <v>605</v>
      </c>
    </row>
    <row r="40279" spans="1:6" ht="12.75">
      <c r="A40279" s="8">
        <v>43886.44767361111</v>
      </c>
      <c r="B40279" s="8" t="str">
        <f>HYPERLINK("https://twitter.com/brondslover","@brondslover")</f>
        <v>@brondslover</v>
      </c>
      <c r="C40279" s="8" t="s">
        <v>12920</v>
      </c>
      <c r="D40279" s="8">
        <v>1524</v>
      </c>
      <c r="E40279" s="8">
        <v>0</v>
      </c>
      <c r="F40279" s="8">
        <v>123</v>
      </c>
    </row>
    <row r="40280" spans="1:6" ht="12.75">
      <c r="A40280" s="8">
        <v>43886.447465277779</v>
      </c>
      <c r="B40280" s="8" t="str">
        <f>HYPERLINK("https://twitter.com/agung88910","@agung88910")</f>
        <v>@agung88910</v>
      </c>
      <c r="C40280" s="8" t="s">
        <v>6666</v>
      </c>
      <c r="D40280" s="8">
        <v>3</v>
      </c>
      <c r="E40280" s="8">
        <v>0</v>
      </c>
      <c r="F40280" s="8">
        <v>28</v>
      </c>
    </row>
    <row r="40281" spans="1:6" ht="12.75">
      <c r="A40281" s="8">
        <v>43886.447094907402</v>
      </c>
      <c r="B40281" s="8" t="str">
        <f>HYPERLINK("https://twitter.com/rievy_ipy","@rievy_ipy")</f>
        <v>@rievy_ipy</v>
      </c>
      <c r="C40281" s="8" t="s">
        <v>12920</v>
      </c>
      <c r="D40281" s="8">
        <v>1524</v>
      </c>
      <c r="E40281" s="8">
        <v>0</v>
      </c>
      <c r="F40281" s="8">
        <v>11337</v>
      </c>
    </row>
    <row r="40282" spans="1:6" ht="12.75">
      <c r="A40282" s="8">
        <v>43886.446724537032</v>
      </c>
      <c r="B40282" s="8" t="str">
        <f>HYPERLINK("https://twitter.com/senagunardi","@senagunardi")</f>
        <v>@senagunardi</v>
      </c>
      <c r="C40282" s="8" t="s">
        <v>15415</v>
      </c>
      <c r="D40282" s="8">
        <v>3</v>
      </c>
      <c r="E40282" s="8">
        <v>4</v>
      </c>
      <c r="F40282" s="8">
        <v>2179</v>
      </c>
    </row>
    <row r="40283" spans="1:6" ht="12.75">
      <c r="A40283" s="8">
        <v>43886.446435185186</v>
      </c>
      <c r="B40283" s="8" t="str">
        <f>HYPERLINK("https://twitter.com/syarifptk","@syarifptk")</f>
        <v>@syarifptk</v>
      </c>
      <c r="C40283" s="8" t="s">
        <v>11964</v>
      </c>
      <c r="D40283" s="8">
        <v>246</v>
      </c>
      <c r="E40283" s="8">
        <v>0</v>
      </c>
      <c r="F40283" s="8">
        <v>1492</v>
      </c>
    </row>
    <row r="40284" spans="1:6" ht="12.75">
      <c r="A40284" s="8">
        <v>43886.446087962962</v>
      </c>
      <c r="B40284" s="8" t="str">
        <f>HYPERLINK("https://twitter.com/ErickPapua","@ErickPapua")</f>
        <v>@ErickPapua</v>
      </c>
      <c r="C40284" s="8" t="s">
        <v>14887</v>
      </c>
      <c r="D40284" s="8">
        <v>44</v>
      </c>
      <c r="E40284" s="8">
        <v>0</v>
      </c>
      <c r="F40284" s="8">
        <v>1053</v>
      </c>
    </row>
    <row r="40285" spans="1:6" ht="12.75">
      <c r="A40285" s="8">
        <v>43886.446030092593</v>
      </c>
      <c r="B40285" s="8" t="str">
        <f>HYPERLINK("https://twitter.com/Anto07233406","@Anto07233406")</f>
        <v>@Anto07233406</v>
      </c>
      <c r="C40285" s="8" t="s">
        <v>15416</v>
      </c>
      <c r="D40285" s="8">
        <v>0</v>
      </c>
      <c r="E40285" s="8">
        <v>0</v>
      </c>
      <c r="F40285" s="8">
        <v>1</v>
      </c>
    </row>
    <row r="40286" spans="1:6" ht="12.75">
      <c r="A40286" s="8">
        <v>43886.445567129631</v>
      </c>
      <c r="B40286" s="8" t="str">
        <f>HYPERLINK("https://twitter.com/tohohokanri","@tohohokanri")</f>
        <v>@tohohokanri</v>
      </c>
      <c r="C40286" s="8" t="s">
        <v>8484</v>
      </c>
      <c r="D40286" s="8">
        <v>730</v>
      </c>
      <c r="E40286" s="8">
        <v>0</v>
      </c>
      <c r="F40286" s="8">
        <v>2208</v>
      </c>
    </row>
    <row r="40287" spans="1:6" ht="12.75">
      <c r="A40287" s="8">
        <v>43886.444467592592</v>
      </c>
      <c r="B40287" s="8" t="str">
        <f>HYPERLINK("https://twitter.com/rmol_id","@rmol_id")</f>
        <v>@rmol_id</v>
      </c>
      <c r="C40287" s="8" t="s">
        <v>15417</v>
      </c>
      <c r="D40287" s="8">
        <v>0</v>
      </c>
      <c r="E40287" s="8">
        <v>1</v>
      </c>
      <c r="F40287" s="8">
        <v>165451</v>
      </c>
    </row>
    <row r="40288" spans="1:6" ht="12.75">
      <c r="A40288" s="8">
        <v>43886.444351851853</v>
      </c>
      <c r="B40288" s="8" t="str">
        <f>HYPERLINK("https://twitter.com/SCTV","@SCTV")</f>
        <v>@SCTV</v>
      </c>
      <c r="C40288" s="8" t="s">
        <v>15418</v>
      </c>
      <c r="D40288" s="8">
        <v>0</v>
      </c>
      <c r="E40288" s="8">
        <v>5</v>
      </c>
      <c r="F40288" s="8">
        <v>4480049</v>
      </c>
    </row>
    <row r="40289" spans="1:6" ht="12.75">
      <c r="A40289" s="8">
        <v>43886.444328703699</v>
      </c>
      <c r="B40289" s="8" t="str">
        <f>HYPERLINK("https://twitter.com/senjamrahjingga","@senjamrahjingga")</f>
        <v>@senjamrahjingga</v>
      </c>
      <c r="C40289" s="8" t="s">
        <v>15419</v>
      </c>
      <c r="D40289" s="8">
        <v>0</v>
      </c>
      <c r="E40289" s="8">
        <v>0</v>
      </c>
      <c r="F40289" s="8">
        <v>557</v>
      </c>
    </row>
    <row r="40290" spans="1:6" ht="12.75">
      <c r="A40290" s="8">
        <v>43886.444166666668</v>
      </c>
      <c r="B40290" s="8" t="str">
        <f>HYPERLINK("https://twitter.com/picoyai","@picoyai")</f>
        <v>@picoyai</v>
      </c>
      <c r="C40290" s="8" t="s">
        <v>8484</v>
      </c>
      <c r="D40290" s="8">
        <v>730</v>
      </c>
      <c r="E40290" s="8">
        <v>0</v>
      </c>
      <c r="F40290" s="8">
        <v>8996</v>
      </c>
    </row>
    <row r="40291" spans="1:6" ht="12.75">
      <c r="A40291" s="8">
        <v>43886.44363425926</v>
      </c>
      <c r="B40291" s="8" t="str">
        <f>HYPERLINK("https://twitter.com/Harunaga1129","@Harunaga1129")</f>
        <v>@Harunaga1129</v>
      </c>
      <c r="C40291" s="8" t="s">
        <v>2940</v>
      </c>
      <c r="D40291" s="8">
        <v>2338</v>
      </c>
      <c r="E40291" s="8">
        <v>0</v>
      </c>
      <c r="F40291" s="8">
        <v>58</v>
      </c>
    </row>
    <row r="40292" spans="1:6" ht="12.75">
      <c r="A40292" s="8">
        <v>43886.442939814813</v>
      </c>
      <c r="B40292" s="8" t="str">
        <f>HYPERLINK("https://twitter.com/hanjilow","@hanjilow")</f>
        <v>@hanjilow</v>
      </c>
      <c r="C40292" s="8" t="s">
        <v>2940</v>
      </c>
      <c r="D40292" s="8">
        <v>2338</v>
      </c>
      <c r="E40292" s="8">
        <v>0</v>
      </c>
      <c r="F40292" s="8">
        <v>392</v>
      </c>
    </row>
    <row r="40293" spans="1:6" ht="12.75">
      <c r="A40293" s="8">
        <v>43886.442696759259</v>
      </c>
      <c r="B40293" s="8" t="str">
        <f>HYPERLINK("https://twitter.com/harihariono1","@harihariono1")</f>
        <v>@harihariono1</v>
      </c>
      <c r="C40293" s="8" t="s">
        <v>15399</v>
      </c>
      <c r="D40293" s="8">
        <v>2</v>
      </c>
      <c r="E40293" s="8">
        <v>0</v>
      </c>
      <c r="F40293" s="8">
        <v>9445</v>
      </c>
    </row>
    <row r="40294" spans="1:6" ht="12.75">
      <c r="A40294" s="8">
        <v>43886.44253472222</v>
      </c>
      <c r="B40294" s="8" t="str">
        <f>HYPERLINK("https://twitter.com/trinugroho162","@trinugroho162")</f>
        <v>@trinugroho162</v>
      </c>
      <c r="C40294" s="8" t="s">
        <v>11964</v>
      </c>
      <c r="D40294" s="8">
        <v>246</v>
      </c>
      <c r="E40294" s="8">
        <v>0</v>
      </c>
      <c r="F40294" s="8">
        <v>1687</v>
      </c>
    </row>
    <row r="40295" spans="1:6" ht="12.75">
      <c r="A40295" s="8">
        <v>43886.442407407405</v>
      </c>
      <c r="B40295" s="8" t="str">
        <f>HYPERLINK("https://twitter.com/arena51","@arena51")</f>
        <v>@arena51</v>
      </c>
      <c r="C40295" s="8" t="s">
        <v>15420</v>
      </c>
      <c r="D40295" s="8">
        <v>3</v>
      </c>
      <c r="E40295" s="8">
        <v>0</v>
      </c>
      <c r="F40295" s="8">
        <v>1796</v>
      </c>
    </row>
    <row r="40296" spans="1:6" ht="12.75">
      <c r="A40296" s="8">
        <v>43886.442256944443</v>
      </c>
      <c r="B40296" s="8" t="str">
        <f>HYPERLINK("https://twitter.com/ndCapio","@ndCapio")</f>
        <v>@ndCapio</v>
      </c>
      <c r="C40296" s="8" t="s">
        <v>11964</v>
      </c>
      <c r="D40296" s="8">
        <v>246</v>
      </c>
      <c r="E40296" s="8">
        <v>0</v>
      </c>
      <c r="F40296" s="8">
        <v>639</v>
      </c>
    </row>
    <row r="40297" spans="1:6" ht="12.75">
      <c r="A40297" s="8">
        <v>43886.441990740743</v>
      </c>
      <c r="B40297" s="8" t="str">
        <f>HYPERLINK("https://twitter.com/fIcal85360324","@fIcal85360324")</f>
        <v>@fIcal85360324</v>
      </c>
      <c r="C40297" s="8" t="s">
        <v>11964</v>
      </c>
      <c r="D40297" s="8">
        <v>246</v>
      </c>
      <c r="E40297" s="8">
        <v>0</v>
      </c>
      <c r="F40297" s="8">
        <v>523</v>
      </c>
    </row>
    <row r="40298" spans="1:6" ht="12.75">
      <c r="A40298" s="8">
        <v>43886.44149305555</v>
      </c>
      <c r="B40298" s="8" t="str">
        <f>HYPERLINK("https://twitter.com/NamHsie","@NamHsie")</f>
        <v>@NamHsie</v>
      </c>
      <c r="C40298" s="8" t="s">
        <v>12920</v>
      </c>
      <c r="D40298" s="8">
        <v>1524</v>
      </c>
      <c r="E40298" s="8">
        <v>0</v>
      </c>
      <c r="F40298" s="8">
        <v>2</v>
      </c>
    </row>
    <row r="40299" spans="1:6" ht="12.75">
      <c r="A40299" s="8">
        <v>43886.44121527778</v>
      </c>
      <c r="B40299" s="8" t="str">
        <f>HYPERLINK("https://twitter.com/aliandotcomm","@aliandotcomm")</f>
        <v>@aliandotcomm</v>
      </c>
      <c r="C40299" s="8" t="s">
        <v>11964</v>
      </c>
      <c r="D40299" s="8">
        <v>246</v>
      </c>
      <c r="E40299" s="8">
        <v>0</v>
      </c>
      <c r="F40299" s="8">
        <v>452</v>
      </c>
    </row>
    <row r="40300" spans="1:6" ht="12.75">
      <c r="A40300" s="8">
        <v>43886.440868055557</v>
      </c>
      <c r="B40300" s="8" t="str">
        <f>HYPERLINK("https://twitter.com/D3DpuDIADgXdPQp","@D3DpuDIADgXdPQp")</f>
        <v>@D3DpuDIADgXdPQp</v>
      </c>
      <c r="C40300" s="8" t="s">
        <v>8484</v>
      </c>
      <c r="D40300" s="8">
        <v>730</v>
      </c>
      <c r="E40300" s="8">
        <v>0</v>
      </c>
      <c r="F40300" s="8">
        <v>867</v>
      </c>
    </row>
    <row r="40301" spans="1:6" ht="12.75">
      <c r="A40301" s="8">
        <v>43886.440682870365</v>
      </c>
      <c r="B40301" s="8" t="str">
        <f>HYPERLINK("https://twitter.com/AchmadShonnyArc","@AchmadShonnyArc")</f>
        <v>@AchmadShonnyArc</v>
      </c>
      <c r="C40301" s="8" t="s">
        <v>12373</v>
      </c>
      <c r="D40301" s="8">
        <v>16</v>
      </c>
      <c r="E40301" s="8">
        <v>0</v>
      </c>
      <c r="F40301" s="8">
        <v>580</v>
      </c>
    </row>
    <row r="40302" spans="1:6" ht="12.75">
      <c r="A40302" s="8">
        <v>43886.423287037032</v>
      </c>
      <c r="B40302" s="8" t="str">
        <f>HYPERLINK("https://twitter.com/iketutmandia","@iketutmandia")</f>
        <v>@iketutmandia</v>
      </c>
      <c r="C40302" s="8" t="s">
        <v>15421</v>
      </c>
      <c r="D40302" s="8">
        <v>0</v>
      </c>
      <c r="E40302" s="8">
        <v>0</v>
      </c>
      <c r="F40302" s="8">
        <v>42</v>
      </c>
    </row>
    <row r="40303" spans="1:6" ht="12.75">
      <c r="A40303" s="8">
        <v>43886.423136574071</v>
      </c>
      <c r="B40303" s="8" t="str">
        <f>HYPERLINK("https://twitter.com/Pakde688668","@Pakde688668")</f>
        <v>@Pakde688668</v>
      </c>
      <c r="C40303" s="8" t="s">
        <v>15422</v>
      </c>
      <c r="D40303" s="8">
        <v>1</v>
      </c>
      <c r="E40303" s="8">
        <v>0</v>
      </c>
      <c r="F40303" s="8">
        <v>206</v>
      </c>
    </row>
    <row r="40304" spans="1:6" ht="12.75">
      <c r="A40304" s="8">
        <v>43886.422858796301</v>
      </c>
      <c r="B40304" s="8" t="str">
        <f>HYPERLINK("https://twitter.com/smstaa","@smstaa")</f>
        <v>@smstaa</v>
      </c>
      <c r="C40304" s="8" t="s">
        <v>15423</v>
      </c>
      <c r="D40304" s="8">
        <v>0</v>
      </c>
      <c r="E40304" s="8">
        <v>0</v>
      </c>
      <c r="F40304" s="8">
        <v>179</v>
      </c>
    </row>
    <row r="40305" spans="1:6" ht="12.75">
      <c r="A40305" s="8">
        <v>43886.422442129631</v>
      </c>
      <c r="B40305" s="8" t="str">
        <f>HYPERLINK("https://twitter.com/KelikMNugroho","@KelikMNugroho")</f>
        <v>@KelikMNugroho</v>
      </c>
      <c r="C40305" s="8" t="s">
        <v>14913</v>
      </c>
      <c r="D40305" s="8">
        <v>15</v>
      </c>
      <c r="E40305" s="8">
        <v>0</v>
      </c>
      <c r="F40305" s="8">
        <v>2584</v>
      </c>
    </row>
    <row r="40306" spans="1:6" ht="12.75">
      <c r="A40306" s="8">
        <v>43886.422349537039</v>
      </c>
      <c r="B40306" s="8" t="str">
        <f>HYPERLINK("https://twitter.com/gun_mastercuan","@gun_mastercuan")</f>
        <v>@gun_mastercuan</v>
      </c>
      <c r="C40306" s="8" t="s">
        <v>14879</v>
      </c>
      <c r="D40306" s="8">
        <v>6</v>
      </c>
      <c r="E40306" s="8">
        <v>0</v>
      </c>
      <c r="F40306" s="8">
        <v>553</v>
      </c>
    </row>
    <row r="40307" spans="1:6" ht="12.75">
      <c r="A40307" s="8">
        <v>43886.422303240739</v>
      </c>
      <c r="B40307" s="8" t="str">
        <f>HYPERLINK("https://twitter.com/erniS1909","@erniS1909")</f>
        <v>@erniS1909</v>
      </c>
      <c r="C40307" s="8" t="s">
        <v>15424</v>
      </c>
      <c r="D40307" s="8">
        <v>0</v>
      </c>
      <c r="E40307" s="8">
        <v>0</v>
      </c>
      <c r="F40307" s="8">
        <v>501</v>
      </c>
    </row>
    <row r="40308" spans="1:6" ht="12.75">
      <c r="A40308" s="8">
        <v>43886.422210648147</v>
      </c>
      <c r="B40308" s="8" t="str">
        <f>HYPERLINK("https://twitter.com/dzack_alghazi","@dzack_alghazi")</f>
        <v>@dzack_alghazi</v>
      </c>
      <c r="C40308" s="8" t="s">
        <v>12373</v>
      </c>
      <c r="D40308" s="8">
        <v>4</v>
      </c>
      <c r="E40308" s="8">
        <v>0</v>
      </c>
      <c r="F40308" s="8">
        <v>401</v>
      </c>
    </row>
    <row r="40309" spans="1:6" ht="12.75">
      <c r="A40309" s="8">
        <v>43886.4221875</v>
      </c>
      <c r="B40309" s="8" t="str">
        <f>HYPERLINK("https://twitter.com/machbeach","@machbeach")</f>
        <v>@machbeach</v>
      </c>
      <c r="C40309" s="8" t="s">
        <v>11964</v>
      </c>
      <c r="D40309" s="8">
        <v>212</v>
      </c>
      <c r="E40309" s="8">
        <v>0</v>
      </c>
      <c r="F40309" s="8">
        <v>937</v>
      </c>
    </row>
    <row r="40310" spans="1:6" ht="12.75">
      <c r="A40310" s="8">
        <v>43886.421631944446</v>
      </c>
      <c r="B40310" s="8" t="str">
        <f>HYPERLINK("https://twitter.com/ObaiIdon","@ObaiIdon")</f>
        <v>@ObaiIdon</v>
      </c>
      <c r="C40310" s="8" t="s">
        <v>14887</v>
      </c>
      <c r="D40310" s="8">
        <v>38</v>
      </c>
      <c r="E40310" s="8">
        <v>0</v>
      </c>
      <c r="F40310" s="8">
        <v>180</v>
      </c>
    </row>
    <row r="40311" spans="1:6" ht="12.75">
      <c r="A40311" s="8">
        <v>43886.419722222221</v>
      </c>
      <c r="B40311" s="8" t="str">
        <f>HYPERLINK("https://twitter.com/dianbejo1","@dianbejo1")</f>
        <v>@dianbejo1</v>
      </c>
      <c r="C40311" s="8" t="s">
        <v>11964</v>
      </c>
      <c r="D40311" s="8">
        <v>212</v>
      </c>
      <c r="E40311" s="8">
        <v>0</v>
      </c>
      <c r="F40311" s="8">
        <v>587</v>
      </c>
    </row>
    <row r="40312" spans="1:6" ht="12.75">
      <c r="A40312" s="8">
        <v>43886.419710648144</v>
      </c>
      <c r="B40312" s="8" t="str">
        <f>HYPERLINK("https://twitter.com/CepOmes","@CepOmes")</f>
        <v>@CepOmes</v>
      </c>
      <c r="C40312" s="8" t="s">
        <v>15425</v>
      </c>
      <c r="D40312" s="8">
        <v>0</v>
      </c>
      <c r="E40312" s="8">
        <v>1</v>
      </c>
      <c r="F40312" s="8">
        <v>803</v>
      </c>
    </row>
    <row r="40313" spans="1:6" ht="12.75">
      <c r="A40313" s="8">
        <v>43886.419340277775</v>
      </c>
      <c r="B40313" s="8" t="str">
        <f>HYPERLINK("https://twitter.com/Daeng11421693","@Daeng11421693")</f>
        <v>@Daeng11421693</v>
      </c>
      <c r="C40313" s="8" t="s">
        <v>11964</v>
      </c>
      <c r="D40313" s="8">
        <v>212</v>
      </c>
      <c r="E40313" s="8">
        <v>0</v>
      </c>
      <c r="F40313" s="8">
        <v>521</v>
      </c>
    </row>
    <row r="40314" spans="1:6" ht="12.75">
      <c r="A40314" s="8">
        <v>43886.419317129628</v>
      </c>
      <c r="B40314" s="8" t="str">
        <f>HYPERLINK("https://twitter.com/taro_sugi","@taro_sugi")</f>
        <v>@taro_sugi</v>
      </c>
      <c r="C40314" s="8" t="s">
        <v>8484</v>
      </c>
      <c r="D40314" s="8">
        <v>708</v>
      </c>
      <c r="E40314" s="8">
        <v>0</v>
      </c>
      <c r="F40314" s="8">
        <v>67</v>
      </c>
    </row>
    <row r="40315" spans="1:6" ht="12.75">
      <c r="A40315" s="8">
        <v>43886.419305555552</v>
      </c>
      <c r="B40315" s="8" t="str">
        <f>HYPERLINK("https://twitter.com/andry_is","@andry_is")</f>
        <v>@andry_is</v>
      </c>
      <c r="C40315" s="8" t="s">
        <v>15426</v>
      </c>
      <c r="D40315" s="8">
        <v>3</v>
      </c>
      <c r="E40315" s="8">
        <v>0</v>
      </c>
      <c r="F40315" s="8">
        <v>574</v>
      </c>
    </row>
    <row r="40316" spans="1:6" ht="12.75">
      <c r="A40316" s="8">
        <v>43886.41920138889</v>
      </c>
      <c r="B40316" s="8" t="str">
        <f>HYPERLINK("https://twitter.com/BudiyantoQiu","@BudiyantoQiu")</f>
        <v>@BudiyantoQiu</v>
      </c>
      <c r="C40316" s="8" t="s">
        <v>15427</v>
      </c>
      <c r="D40316" s="8">
        <v>0</v>
      </c>
      <c r="E40316" s="8">
        <v>0</v>
      </c>
      <c r="F40316" s="8">
        <v>41</v>
      </c>
    </row>
    <row r="40317" spans="1:6" ht="12.75">
      <c r="A40317" s="8">
        <v>43886.418229166666</v>
      </c>
      <c r="B40317" s="8" t="str">
        <f>HYPERLINK("https://twitter.com/syamsudin085","@syamsudin085")</f>
        <v>@syamsudin085</v>
      </c>
      <c r="C40317" s="8" t="s">
        <v>11964</v>
      </c>
      <c r="D40317" s="8">
        <v>212</v>
      </c>
      <c r="E40317" s="8">
        <v>0</v>
      </c>
      <c r="F40317" s="8">
        <v>62</v>
      </c>
    </row>
    <row r="40318" spans="1:6" ht="12.75">
      <c r="A40318" s="8">
        <v>43886.418229166666</v>
      </c>
      <c r="B40318" s="8" t="str">
        <f>HYPERLINK("https://twitter.com/BonnieAjah","@BonnieAjah")</f>
        <v>@BonnieAjah</v>
      </c>
      <c r="C40318" s="8" t="s">
        <v>11183</v>
      </c>
      <c r="D40318" s="8">
        <v>39</v>
      </c>
      <c r="E40318" s="8">
        <v>0</v>
      </c>
      <c r="F40318" s="8">
        <v>4199</v>
      </c>
    </row>
    <row r="40319" spans="1:6" ht="12.75">
      <c r="A40319" s="8">
        <v>43886.417939814812</v>
      </c>
      <c r="B40319" s="8" t="str">
        <f>HYPERLINK("https://twitter.com/Pride_N_Dignity","@Pride_N_Dignity")</f>
        <v>@Pride_N_Dignity</v>
      </c>
      <c r="C40319" s="8" t="s">
        <v>11964</v>
      </c>
      <c r="D40319" s="8">
        <v>212</v>
      </c>
      <c r="E40319" s="8">
        <v>0</v>
      </c>
      <c r="F40319" s="8">
        <v>462</v>
      </c>
    </row>
    <row r="40320" spans="1:6" ht="12.75">
      <c r="A40320" s="8">
        <v>43886.417766203704</v>
      </c>
      <c r="B40320" s="8" t="str">
        <f>HYPERLINK("https://twitter.com/harihariono1","@harihariono1")</f>
        <v>@harihariono1</v>
      </c>
      <c r="C40320" s="8" t="s">
        <v>11183</v>
      </c>
      <c r="D40320" s="8">
        <v>39</v>
      </c>
      <c r="E40320" s="8">
        <v>0</v>
      </c>
      <c r="F40320" s="8">
        <v>9445</v>
      </c>
    </row>
    <row r="40321" spans="1:6" ht="12.75">
      <c r="A40321" s="8">
        <v>43886.417696759258</v>
      </c>
      <c r="B40321" s="8" t="str">
        <f>HYPERLINK("https://twitter.com/abyalif74_noni","@abyalif74_noni")</f>
        <v>@abyalif74_noni</v>
      </c>
      <c r="C40321" s="8" t="s">
        <v>11964</v>
      </c>
      <c r="D40321" s="8">
        <v>212</v>
      </c>
      <c r="E40321" s="8">
        <v>0</v>
      </c>
      <c r="F40321" s="8">
        <v>3964</v>
      </c>
    </row>
    <row r="40322" spans="1:6" ht="12.75">
      <c r="A40322" s="8">
        <v>43886.417129629626</v>
      </c>
      <c r="B40322" s="8" t="str">
        <f>HYPERLINK("https://twitter.com/Koces871","@Koces871")</f>
        <v>@Koces871</v>
      </c>
      <c r="C40322" s="8" t="s">
        <v>11964</v>
      </c>
      <c r="D40322" s="8">
        <v>212</v>
      </c>
      <c r="E40322" s="8">
        <v>0</v>
      </c>
      <c r="F40322" s="8">
        <v>1722</v>
      </c>
    </row>
    <row r="40323" spans="1:6" ht="12.75">
      <c r="A40323" s="8">
        <v>43886.417025462964</v>
      </c>
      <c r="B40323" s="8" t="str">
        <f>HYPERLINK("https://twitter.com/adriankusaihir1","@adriankusaihir1")</f>
        <v>@adriankusaihir1</v>
      </c>
      <c r="C40323" s="8" t="s">
        <v>12373</v>
      </c>
      <c r="D40323" s="8">
        <v>4</v>
      </c>
      <c r="E40323" s="8">
        <v>0</v>
      </c>
      <c r="F40323" s="8">
        <v>122</v>
      </c>
    </row>
    <row r="40324" spans="1:6" ht="12.75">
      <c r="A40324" s="8">
        <v>43886.416550925926</v>
      </c>
      <c r="B40324" s="8" t="str">
        <f>HYPERLINK("https://twitter.com/SonyaWiharjo","@SonyaWiharjo")</f>
        <v>@SonyaWiharjo</v>
      </c>
      <c r="C40324" s="8" t="s">
        <v>15428</v>
      </c>
      <c r="D40324" s="8">
        <v>0</v>
      </c>
      <c r="E40324" s="8">
        <v>0</v>
      </c>
      <c r="F40324" s="8">
        <v>3</v>
      </c>
    </row>
    <row r="40325" spans="1:6" ht="12.75">
      <c r="A40325" s="8">
        <v>43886.416527777779</v>
      </c>
      <c r="B40325" s="8" t="str">
        <f>HYPERLINK("https://twitter.com/LauraFadillah1","@LauraFadillah1")</f>
        <v>@LauraFadillah1</v>
      </c>
      <c r="C40325" s="8" t="s">
        <v>12373</v>
      </c>
      <c r="D40325" s="8">
        <v>4</v>
      </c>
      <c r="E40325" s="8">
        <v>0</v>
      </c>
      <c r="F40325" s="8">
        <v>414</v>
      </c>
    </row>
    <row r="40326" spans="1:6" ht="12.75">
      <c r="A40326" s="8">
        <v>43886.416469907403</v>
      </c>
      <c r="B40326" s="8" t="str">
        <f>HYPERLINK("https://twitter.com/TanjungSyahril","@TanjungSyahril")</f>
        <v>@TanjungSyahril</v>
      </c>
      <c r="C40326" s="8" t="s">
        <v>11964</v>
      </c>
      <c r="D40326" s="8">
        <v>212</v>
      </c>
      <c r="E40326" s="8">
        <v>0</v>
      </c>
      <c r="F40326" s="8">
        <v>2149</v>
      </c>
    </row>
    <row r="40327" spans="1:6" ht="12.75">
      <c r="A40327" s="8">
        <v>43886.416296296295</v>
      </c>
      <c r="B40327" s="8" t="str">
        <f>HYPERLINK("https://twitter.com/Jovanka_vanke","@Jovanka_vanke")</f>
        <v>@Jovanka_vanke</v>
      </c>
      <c r="C40327" s="8" t="s">
        <v>14887</v>
      </c>
      <c r="D40327" s="8">
        <v>38</v>
      </c>
      <c r="E40327" s="8">
        <v>0</v>
      </c>
      <c r="F40327" s="8">
        <v>839</v>
      </c>
    </row>
    <row r="40328" spans="1:6" ht="12.75">
      <c r="A40328" s="8">
        <v>43886.416226851856</v>
      </c>
      <c r="B40328" s="8" t="str">
        <f>HYPERLINK("https://twitter.com/WattimenaHG","@WattimenaHG")</f>
        <v>@WattimenaHG</v>
      </c>
      <c r="C40328" s="8" t="s">
        <v>11964</v>
      </c>
      <c r="D40328" s="8">
        <v>212</v>
      </c>
      <c r="E40328" s="8">
        <v>0</v>
      </c>
      <c r="F40328" s="8">
        <v>90</v>
      </c>
    </row>
    <row r="40329" spans="1:6" ht="12.75">
      <c r="A40329" s="8">
        <v>43886.415324074071</v>
      </c>
      <c r="B40329" s="8" t="str">
        <f>HYPERLINK("https://twitter.com/alexander_murfi","@alexander_murfi")</f>
        <v>@alexander_murfi</v>
      </c>
      <c r="C40329" s="8" t="s">
        <v>15429</v>
      </c>
      <c r="D40329" s="8">
        <v>4</v>
      </c>
      <c r="E40329" s="8">
        <v>10</v>
      </c>
      <c r="F40329" s="8">
        <v>12095</v>
      </c>
    </row>
    <row r="40330" spans="1:6" ht="12.75">
      <c r="A40330" s="8">
        <v>43886.415300925924</v>
      </c>
      <c r="B40330" s="8" t="str">
        <f>HYPERLINK("https://twitter.com/rudysamosir_","@rudysamosir_")</f>
        <v>@rudysamosir_</v>
      </c>
      <c r="C40330" s="8" t="s">
        <v>11964</v>
      </c>
      <c r="D40330" s="8">
        <v>212</v>
      </c>
      <c r="E40330" s="8">
        <v>0</v>
      </c>
      <c r="F40330" s="8">
        <v>401</v>
      </c>
    </row>
    <row r="40331" spans="1:6" ht="12.75">
      <c r="A40331" s="8">
        <v>43886.414988425924</v>
      </c>
      <c r="B40331" s="8" t="str">
        <f>HYPERLINK("https://twitter.com/abanglurus","@abanglurus")</f>
        <v>@abanglurus</v>
      </c>
      <c r="C40331" s="8" t="s">
        <v>11964</v>
      </c>
      <c r="D40331" s="8">
        <v>212</v>
      </c>
      <c r="E40331" s="8">
        <v>0</v>
      </c>
      <c r="F40331" s="8">
        <v>158</v>
      </c>
    </row>
    <row r="40332" spans="1:6" ht="12.75">
      <c r="A40332" s="8">
        <v>43886.414849537032</v>
      </c>
      <c r="B40332" s="8" t="str">
        <f>HYPERLINK("https://twitter.com/Ali_Siregar1","@Ali_Siregar1")</f>
        <v>@Ali_Siregar1</v>
      </c>
      <c r="C40332" s="8" t="s">
        <v>15430</v>
      </c>
      <c r="D40332" s="8">
        <v>0</v>
      </c>
      <c r="E40332" s="8">
        <v>0</v>
      </c>
      <c r="F40332" s="8">
        <v>577</v>
      </c>
    </row>
    <row r="40333" spans="1:6" ht="12.75">
      <c r="A40333" s="8">
        <v>43886.414826388893</v>
      </c>
      <c r="B40333" s="8" t="str">
        <f>HYPERLINK("https://twitter.com/yasiryas_","@yasiryas_")</f>
        <v>@yasiryas_</v>
      </c>
      <c r="C40333" s="8" t="s">
        <v>11964</v>
      </c>
      <c r="D40333" s="8">
        <v>212</v>
      </c>
      <c r="E40333" s="8">
        <v>0</v>
      </c>
      <c r="F40333" s="8">
        <v>29</v>
      </c>
    </row>
    <row r="40334" spans="1:6" ht="12.75">
      <c r="A40334" s="8">
        <v>43886.414571759262</v>
      </c>
      <c r="B40334" s="8" t="str">
        <f>HYPERLINK("https://twitter.com/PaijoAryanto__","@PaijoAryanto__")</f>
        <v>@PaijoAryanto__</v>
      </c>
      <c r="C40334" s="8" t="s">
        <v>15431</v>
      </c>
      <c r="D40334" s="8">
        <v>0</v>
      </c>
      <c r="E40334" s="8">
        <v>0</v>
      </c>
      <c r="F40334" s="8">
        <v>730</v>
      </c>
    </row>
    <row r="40335" spans="1:6" ht="12.75">
      <c r="A40335" s="8">
        <v>43886.414571759262</v>
      </c>
      <c r="B40335" s="8" t="str">
        <f>HYPERLINK("https://twitter.com/tirarestwo","@tirarestwo")</f>
        <v>@tirarestwo</v>
      </c>
      <c r="C40335" s="8" t="s">
        <v>15432</v>
      </c>
      <c r="D40335" s="8">
        <v>0</v>
      </c>
      <c r="E40335" s="8">
        <v>0</v>
      </c>
      <c r="F40335" s="8">
        <v>1320</v>
      </c>
    </row>
    <row r="40336" spans="1:6" ht="12.75">
      <c r="A40336" s="8">
        <v>43886.414166666669</v>
      </c>
      <c r="B40336" s="8" t="str">
        <f>HYPERLINK("https://twitter.com/ObaiIdon","@ObaiIdon")</f>
        <v>@ObaiIdon</v>
      </c>
      <c r="C40336" s="8" t="s">
        <v>15433</v>
      </c>
      <c r="D40336" s="8">
        <v>2</v>
      </c>
      <c r="E40336" s="8">
        <v>0</v>
      </c>
      <c r="F40336" s="8">
        <v>180</v>
      </c>
    </row>
    <row r="40337" spans="1:6" ht="12.75">
      <c r="A40337" s="8">
        <v>43886.414097222223</v>
      </c>
      <c r="B40337" s="8" t="str">
        <f>HYPERLINK("https://twitter.com/tomyyuliann","@tomyyuliann")</f>
        <v>@tomyyuliann</v>
      </c>
      <c r="C40337" s="8" t="s">
        <v>4423</v>
      </c>
      <c r="D40337" s="8">
        <v>2</v>
      </c>
      <c r="E40337" s="8">
        <v>0</v>
      </c>
      <c r="F40337" s="8">
        <v>171</v>
      </c>
    </row>
    <row r="40338" spans="1:6" ht="12.75">
      <c r="A40338" s="8">
        <v>43886.413888888885</v>
      </c>
      <c r="B40338" s="8" t="str">
        <f>HYPERLINK("https://twitter.com/Awwcioo","@Awwcioo")</f>
        <v>@Awwcioo</v>
      </c>
      <c r="C40338" s="8" t="s">
        <v>15434</v>
      </c>
      <c r="D40338" s="8">
        <v>1</v>
      </c>
      <c r="E40338" s="8">
        <v>0</v>
      </c>
      <c r="F40338" s="8">
        <v>756</v>
      </c>
    </row>
    <row r="40339" spans="1:6" ht="12.75">
      <c r="A40339" s="8">
        <v>43886.413726851853</v>
      </c>
      <c r="B40339" s="8" t="str">
        <f>HYPERLINK("https://twitter.com/tempodotco","@tempodotco")</f>
        <v>@tempodotco</v>
      </c>
      <c r="C40339" s="8" t="s">
        <v>15435</v>
      </c>
      <c r="D40339" s="8">
        <v>0</v>
      </c>
      <c r="E40339" s="8">
        <v>3</v>
      </c>
      <c r="F40339" s="8">
        <v>1711201</v>
      </c>
    </row>
    <row r="40340" spans="1:6" ht="12.75">
      <c r="A40340" s="8">
        <v>43886.413182870368</v>
      </c>
      <c r="B40340" s="8" t="str">
        <f>HYPERLINK("https://twitter.com/Rajisapotra","@Rajisapotra")</f>
        <v>@Rajisapotra</v>
      </c>
      <c r="C40340" s="8" t="s">
        <v>11964</v>
      </c>
      <c r="D40340" s="8">
        <v>212</v>
      </c>
      <c r="E40340" s="8">
        <v>0</v>
      </c>
      <c r="F40340" s="8">
        <v>499</v>
      </c>
    </row>
    <row r="40341" spans="1:6" ht="12.75">
      <c r="A40341" s="8">
        <v>43886.413171296299</v>
      </c>
      <c r="B40341" s="8" t="str">
        <f>HYPERLINK("https://twitter.com/APriatno9","@APriatno9")</f>
        <v>@APriatno9</v>
      </c>
      <c r="C40341" s="8" t="s">
        <v>11964</v>
      </c>
      <c r="D40341" s="8">
        <v>212</v>
      </c>
      <c r="E40341" s="8">
        <v>0</v>
      </c>
      <c r="F40341" s="8">
        <v>468</v>
      </c>
    </row>
    <row r="40342" spans="1:6" ht="12.75">
      <c r="A40342" s="8">
        <v>43886.41305555556</v>
      </c>
      <c r="B40342" s="8" t="str">
        <f>HYPERLINK("https://twitter.com/DediSap76","@DediSap76")</f>
        <v>@DediSap76</v>
      </c>
      <c r="C40342" s="8" t="s">
        <v>15436</v>
      </c>
      <c r="D40342" s="8">
        <v>0</v>
      </c>
      <c r="E40342" s="8">
        <v>0</v>
      </c>
      <c r="F40342" s="8">
        <v>611</v>
      </c>
    </row>
    <row r="40343" spans="1:6" ht="12.75">
      <c r="A40343" s="8">
        <v>43886.41269675926</v>
      </c>
      <c r="B40343" s="8" t="str">
        <f>HYPERLINK("https://twitter.com/ISIS_Balik_NO","@ISIS_Balik_NO")</f>
        <v>@ISIS_Balik_NO</v>
      </c>
      <c r="C40343" s="8" t="s">
        <v>15437</v>
      </c>
      <c r="D40343" s="8">
        <v>14</v>
      </c>
      <c r="E40343" s="8">
        <v>0</v>
      </c>
      <c r="F40343" s="8">
        <v>6093</v>
      </c>
    </row>
    <row r="40344" spans="1:6" ht="12.75">
      <c r="A40344" s="8">
        <v>43886.412476851852</v>
      </c>
      <c r="B40344" s="8" t="str">
        <f>HYPERLINK("https://twitter.com/eddy_qassam","@eddy_qassam")</f>
        <v>@eddy_qassam</v>
      </c>
      <c r="C40344" s="8" t="s">
        <v>11964</v>
      </c>
      <c r="D40344" s="8">
        <v>212</v>
      </c>
      <c r="E40344" s="8">
        <v>0</v>
      </c>
      <c r="F40344" s="8">
        <v>41</v>
      </c>
    </row>
    <row r="40345" spans="1:6" ht="12.75">
      <c r="A40345" s="8">
        <v>43886.412442129629</v>
      </c>
      <c r="B40345" s="8" t="str">
        <f>HYPERLINK("https://twitter.com/chea_pao","@chea_pao")</f>
        <v>@chea_pao</v>
      </c>
      <c r="C40345" s="8" t="s">
        <v>2940</v>
      </c>
      <c r="D40345" s="8">
        <v>2316</v>
      </c>
      <c r="E40345" s="8">
        <v>0</v>
      </c>
      <c r="F40345" s="8">
        <v>40</v>
      </c>
    </row>
    <row r="40346" spans="1:6" ht="12.75">
      <c r="A40346" s="8">
        <v>43886.41233796296</v>
      </c>
      <c r="B40346" s="8" t="str">
        <f>HYPERLINK("https://twitter.com/Benzjava_","@Benzjava_")</f>
        <v>@Benzjava_</v>
      </c>
      <c r="C40346" s="8" t="s">
        <v>14879</v>
      </c>
      <c r="D40346" s="8">
        <v>6</v>
      </c>
      <c r="E40346" s="8">
        <v>0</v>
      </c>
      <c r="F40346" s="8">
        <v>404</v>
      </c>
    </row>
    <row r="40347" spans="1:6" ht="12.75">
      <c r="A40347" s="8">
        <v>43886.412222222221</v>
      </c>
      <c r="B40347" s="8" t="str">
        <f>HYPERLINK("https://twitter.com/ino_mufc","@ino_mufc")</f>
        <v>@ino_mufc</v>
      </c>
      <c r="C40347" s="8" t="s">
        <v>11964</v>
      </c>
      <c r="D40347" s="8">
        <v>212</v>
      </c>
      <c r="E40347" s="8">
        <v>0</v>
      </c>
      <c r="F40347" s="8">
        <v>393</v>
      </c>
    </row>
    <row r="40348" spans="1:6" ht="12.75">
      <c r="A40348" s="8">
        <v>43886.411678240736</v>
      </c>
      <c r="B40348" s="8" t="str">
        <f>HYPERLINK("https://twitter.com/itsjanice00","@itsjanice00")</f>
        <v>@itsjanice00</v>
      </c>
      <c r="C40348" s="8" t="s">
        <v>15438</v>
      </c>
      <c r="D40348" s="8">
        <v>0</v>
      </c>
      <c r="E40348" s="8">
        <v>0</v>
      </c>
      <c r="F40348" s="8">
        <v>80</v>
      </c>
    </row>
    <row r="40349" spans="1:6" ht="12.75">
      <c r="A40349" s="8">
        <v>43886.411400462966</v>
      </c>
      <c r="B40349" s="8" t="str">
        <f>HYPERLINK("https://twitter.com/Rezamorset1","@Rezamorset1")</f>
        <v>@Rezamorset1</v>
      </c>
      <c r="C40349" s="8" t="s">
        <v>11964</v>
      </c>
      <c r="D40349" s="8">
        <v>212</v>
      </c>
      <c r="E40349" s="8">
        <v>0</v>
      </c>
      <c r="F40349" s="8">
        <v>2271</v>
      </c>
    </row>
    <row r="40350" spans="1:6" ht="12.75">
      <c r="A40350" s="8">
        <v>43886.411377314813</v>
      </c>
      <c r="B40350" s="8" t="str">
        <f>HYPERLINK("https://twitter.com/kuuuu86349634","@kuuuu86349634")</f>
        <v>@kuuuu86349634</v>
      </c>
      <c r="C40350" s="8" t="s">
        <v>8484</v>
      </c>
      <c r="D40350" s="8">
        <v>708</v>
      </c>
      <c r="E40350" s="8">
        <v>0</v>
      </c>
      <c r="F40350" s="8">
        <v>8</v>
      </c>
    </row>
    <row r="40351" spans="1:6" ht="12.75">
      <c r="A40351" s="8">
        <v>43886.411180555559</v>
      </c>
      <c r="B40351" s="8" t="str">
        <f>HYPERLINK("https://twitter.com/dannydhe","@dannydhe")</f>
        <v>@dannydhe</v>
      </c>
      <c r="C40351" s="8" t="s">
        <v>11964</v>
      </c>
      <c r="D40351" s="8">
        <v>212</v>
      </c>
      <c r="E40351" s="8">
        <v>0</v>
      </c>
      <c r="F40351" s="8">
        <v>3484</v>
      </c>
    </row>
    <row r="40352" spans="1:6" ht="12.75">
      <c r="A40352" s="8">
        <v>43886.410856481481</v>
      </c>
      <c r="B40352" s="8" t="str">
        <f>HYPERLINK("https://twitter.com/Rajisapotra","@Rajisapotra")</f>
        <v>@Rajisapotra</v>
      </c>
      <c r="C40352" s="8" t="s">
        <v>15125</v>
      </c>
      <c r="D40352" s="8">
        <v>34</v>
      </c>
      <c r="E40352" s="8">
        <v>0</v>
      </c>
      <c r="F40352" s="8">
        <v>499</v>
      </c>
    </row>
    <row r="40353" spans="1:6" ht="12.75">
      <c r="A40353" s="8">
        <v>43886.410671296297</v>
      </c>
      <c r="B40353" s="8" t="str">
        <f>HYPERLINK("https://twitter.com/adtaufiq","@adtaufiq")</f>
        <v>@adtaufiq</v>
      </c>
      <c r="C40353" s="8" t="s">
        <v>14887</v>
      </c>
      <c r="D40353" s="8">
        <v>38</v>
      </c>
      <c r="E40353" s="8">
        <v>0</v>
      </c>
      <c r="F40353" s="8">
        <v>8454</v>
      </c>
    </row>
    <row r="40354" spans="1:6" ht="12.75">
      <c r="A40354" s="8">
        <v>43886.410428240742</v>
      </c>
      <c r="B40354" s="8" t="str">
        <f>HYPERLINK("https://twitter.com/coldeubrew","@coldeubrew")</f>
        <v>@coldeubrew</v>
      </c>
      <c r="C40354" s="8" t="s">
        <v>2940</v>
      </c>
      <c r="D40354" s="8">
        <v>2316</v>
      </c>
      <c r="E40354" s="8">
        <v>0</v>
      </c>
      <c r="F40354" s="8">
        <v>536</v>
      </c>
    </row>
    <row r="40355" spans="1:6" ht="12.75">
      <c r="A40355" s="8">
        <v>43886.410150462965</v>
      </c>
      <c r="B40355" s="8" t="str">
        <f>HYPERLINK("https://twitter.com/tempodotco","@tempodotco")</f>
        <v>@tempodotco</v>
      </c>
      <c r="C40355" s="8" t="s">
        <v>15439</v>
      </c>
      <c r="D40355" s="8">
        <v>0</v>
      </c>
      <c r="E40355" s="8">
        <v>1</v>
      </c>
      <c r="F40355" s="8">
        <v>1711201</v>
      </c>
    </row>
    <row r="40356" spans="1:6" ht="12.75">
      <c r="A40356" s="8">
        <v>43886.409722222219</v>
      </c>
      <c r="B40356" s="8" t="str">
        <f>HYPERLINK("https://twitter.com/ElshintaTegal_","@ElshintaTegal_")</f>
        <v>@ElshintaTegal_</v>
      </c>
      <c r="C40356" s="8" t="s">
        <v>15440</v>
      </c>
      <c r="D40356" s="8">
        <v>0</v>
      </c>
      <c r="E40356" s="8">
        <v>0</v>
      </c>
      <c r="F40356" s="8">
        <v>33</v>
      </c>
    </row>
    <row r="40357" spans="1:6" ht="12.75">
      <c r="A40357" s="8">
        <v>43886.409421296295</v>
      </c>
      <c r="B40357" s="8" t="str">
        <f>HYPERLINK("https://twitter.com/kenkenews","@kenkenews")</f>
        <v>@kenkenews</v>
      </c>
      <c r="C40357" s="8" t="s">
        <v>15441</v>
      </c>
      <c r="D40357" s="8">
        <v>0</v>
      </c>
      <c r="E40357" s="8">
        <v>1</v>
      </c>
      <c r="F40357" s="8">
        <v>150</v>
      </c>
    </row>
    <row r="40358" spans="1:6" ht="12.75">
      <c r="A40358" s="8">
        <v>43886.409178240741</v>
      </c>
      <c r="B40358" s="8" t="str">
        <f>HYPERLINK("https://twitter.com/nandit0s","@nandit0s")</f>
        <v>@nandit0s</v>
      </c>
      <c r="C40358" s="8" t="s">
        <v>12920</v>
      </c>
      <c r="D40358" s="8">
        <v>1517</v>
      </c>
      <c r="E40358" s="8">
        <v>0</v>
      </c>
      <c r="F40358" s="8">
        <v>6</v>
      </c>
    </row>
    <row r="40359" spans="1:6" ht="12.75">
      <c r="A40359" s="8">
        <v>43886.409074074079</v>
      </c>
      <c r="B40359" s="8" t="str">
        <f>HYPERLINK("https://twitter.com/AsepDad54369089","@AsepDad54369089")</f>
        <v>@AsepDad54369089</v>
      </c>
      <c r="C40359" s="8" t="s">
        <v>11964</v>
      </c>
      <c r="D40359" s="8">
        <v>212</v>
      </c>
      <c r="E40359" s="8">
        <v>0</v>
      </c>
      <c r="F40359" s="8">
        <v>94</v>
      </c>
    </row>
    <row r="40360" spans="1:6" ht="12.75">
      <c r="A40360" s="8">
        <v>43886.408692129626</v>
      </c>
      <c r="B40360" s="8" t="str">
        <f>HYPERLINK("https://twitter.com/annisaratr","@annisaratr")</f>
        <v>@annisaratr</v>
      </c>
      <c r="C40360" s="8" t="s">
        <v>15442</v>
      </c>
      <c r="D40360" s="8">
        <v>1</v>
      </c>
      <c r="E40360" s="8">
        <v>0</v>
      </c>
      <c r="F40360" s="8">
        <v>118</v>
      </c>
    </row>
    <row r="40361" spans="1:6" ht="12.75">
      <c r="A40361" s="8">
        <v>43886.408472222218</v>
      </c>
      <c r="B40361" s="8" t="str">
        <f>HYPERLINK("https://twitter.com/hgberry","@hgberry")</f>
        <v>@hgberry</v>
      </c>
      <c r="C40361" s="8" t="s">
        <v>15340</v>
      </c>
      <c r="D40361" s="8">
        <v>33</v>
      </c>
      <c r="E40361" s="8">
        <v>0</v>
      </c>
      <c r="F40361" s="8">
        <v>1646</v>
      </c>
    </row>
    <row r="40362" spans="1:6" ht="12.75">
      <c r="A40362" s="8">
        <v>43886.408055555556</v>
      </c>
      <c r="B40362" s="8" t="str">
        <f>HYPERLINK("https://twitter.com/Nurdintea18","@Nurdintea18")</f>
        <v>@Nurdintea18</v>
      </c>
      <c r="C40362" s="8" t="s">
        <v>15443</v>
      </c>
      <c r="D40362" s="8">
        <v>0</v>
      </c>
      <c r="E40362" s="8">
        <v>0</v>
      </c>
      <c r="F40362" s="8">
        <v>815</v>
      </c>
    </row>
    <row r="40363" spans="1:6" ht="12.75">
      <c r="A40363" s="8">
        <v>43886.40797453704</v>
      </c>
      <c r="B40363" s="8" t="str">
        <f>HYPERLINK("https://twitter.com/Fikko36190951","@Fikko36190951")</f>
        <v>@Fikko36190951</v>
      </c>
      <c r="C40363" s="8" t="s">
        <v>11964</v>
      </c>
      <c r="D40363" s="8">
        <v>212</v>
      </c>
      <c r="E40363" s="8">
        <v>0</v>
      </c>
      <c r="F40363" s="8">
        <v>15</v>
      </c>
    </row>
    <row r="40364" spans="1:6" ht="12.75">
      <c r="A40364" s="8">
        <v>43886.407627314809</v>
      </c>
      <c r="B40364" s="8" t="str">
        <f>HYPERLINK("https://twitter.com/Among79","@Among79")</f>
        <v>@Among79</v>
      </c>
      <c r="C40364" s="8" t="s">
        <v>11183</v>
      </c>
      <c r="D40364" s="8">
        <v>39</v>
      </c>
      <c r="E40364" s="8">
        <v>0</v>
      </c>
      <c r="F40364" s="8">
        <v>393</v>
      </c>
    </row>
    <row r="40365" spans="1:6" ht="12.75">
      <c r="A40365" s="8">
        <v>43886.407523148147</v>
      </c>
      <c r="B40365" s="8" t="str">
        <f>HYPERLINK("https://twitter.com/Anto_D_ES","@Anto_D_ES")</f>
        <v>@Anto_D_ES</v>
      </c>
      <c r="C40365" s="8" t="s">
        <v>14879</v>
      </c>
      <c r="D40365" s="8">
        <v>6</v>
      </c>
      <c r="E40365" s="8">
        <v>0</v>
      </c>
      <c r="F40365" s="8">
        <v>196</v>
      </c>
    </row>
    <row r="40366" spans="1:6" ht="12.75">
      <c r="A40366" s="8">
        <v>43886.407523148147</v>
      </c>
      <c r="B40366" s="8" t="str">
        <f>HYPERLINK("https://twitter.com/halim______","@halim______")</f>
        <v>@halim______</v>
      </c>
      <c r="C40366" s="8" t="s">
        <v>11964</v>
      </c>
      <c r="D40366" s="8">
        <v>212</v>
      </c>
      <c r="E40366" s="8">
        <v>0</v>
      </c>
      <c r="F40366" s="8">
        <v>1335</v>
      </c>
    </row>
    <row r="40367" spans="1:6" ht="12.75">
      <c r="A40367" s="8">
        <v>43886.407488425924</v>
      </c>
      <c r="B40367" s="8" t="str">
        <f>HYPERLINK("https://twitter.com/abdullah201179","@abdullah201179")</f>
        <v>@abdullah201179</v>
      </c>
      <c r="C40367" s="8" t="s">
        <v>11964</v>
      </c>
      <c r="D40367" s="8">
        <v>212</v>
      </c>
      <c r="E40367" s="8">
        <v>0</v>
      </c>
      <c r="F40367" s="8">
        <v>525</v>
      </c>
    </row>
    <row r="40368" spans="1:6" ht="12.75">
      <c r="A40368" s="8">
        <v>43886.407395833332</v>
      </c>
      <c r="B40368" s="8" t="str">
        <f>HYPERLINK("https://twitter.com/minarwn711","@minarwn711")</f>
        <v>@minarwn711</v>
      </c>
      <c r="C40368" s="8" t="s">
        <v>11964</v>
      </c>
      <c r="D40368" s="8">
        <v>212</v>
      </c>
      <c r="E40368" s="8">
        <v>0</v>
      </c>
      <c r="F40368" s="8">
        <v>235</v>
      </c>
    </row>
    <row r="40369" spans="1:6" ht="12.75">
      <c r="A40369" s="8">
        <v>43886.407291666663</v>
      </c>
      <c r="B40369" s="8" t="str">
        <f>HYPERLINK("https://twitter.com/iya_althaf","@iya_althaf")</f>
        <v>@iya_althaf</v>
      </c>
      <c r="C40369" s="8" t="s">
        <v>14879</v>
      </c>
      <c r="D40369" s="8">
        <v>6</v>
      </c>
      <c r="E40369" s="8">
        <v>0</v>
      </c>
      <c r="F40369" s="8">
        <v>764</v>
      </c>
    </row>
    <row r="40370" spans="1:6" ht="12.75">
      <c r="A40370" s="8">
        <v>43886.40724537037</v>
      </c>
      <c r="B40370" s="8" t="str">
        <f>HYPERLINK("https://twitter.com/joserasyid","@joserasyid")</f>
        <v>@joserasyid</v>
      </c>
      <c r="C40370" s="8" t="s">
        <v>11964</v>
      </c>
      <c r="D40370" s="8">
        <v>212</v>
      </c>
      <c r="E40370" s="8">
        <v>0</v>
      </c>
      <c r="F40370" s="8">
        <v>262</v>
      </c>
    </row>
    <row r="40371" spans="1:6" ht="12.75">
      <c r="A40371" s="8">
        <v>43886.407106481478</v>
      </c>
      <c r="B40371" s="8" t="str">
        <f>HYPERLINK("https://twitter.com/AWChuz","@AWChuz")</f>
        <v>@AWChuz</v>
      </c>
      <c r="C40371" s="8" t="s">
        <v>15444</v>
      </c>
      <c r="D40371" s="8">
        <v>1</v>
      </c>
      <c r="E40371" s="8">
        <v>0</v>
      </c>
      <c r="F40371" s="8">
        <v>1278</v>
      </c>
    </row>
    <row r="40372" spans="1:6" ht="12.75">
      <c r="A40372" s="8">
        <v>43886.406736111108</v>
      </c>
      <c r="B40372" s="8" t="str">
        <f>HYPERLINK("https://twitter.com/DitaLestariTHA","@DitaLestariTHA")</f>
        <v>@DitaLestariTHA</v>
      </c>
      <c r="C40372" s="8" t="s">
        <v>4423</v>
      </c>
      <c r="D40372" s="8">
        <v>2</v>
      </c>
      <c r="E40372" s="8">
        <v>0</v>
      </c>
      <c r="F40372" s="8">
        <v>976</v>
      </c>
    </row>
    <row r="40373" spans="1:6" ht="12.75">
      <c r="A40373" s="8">
        <v>43886.406493055554</v>
      </c>
      <c r="B40373" s="8" t="str">
        <f>HYPERLINK("https://twitter.com/DadangRusian","@DadangRusian")</f>
        <v>@DadangRusian</v>
      </c>
      <c r="C40373" s="8" t="s">
        <v>14879</v>
      </c>
      <c r="D40373" s="8">
        <v>6</v>
      </c>
      <c r="E40373" s="8">
        <v>0</v>
      </c>
      <c r="F40373" s="8">
        <v>846</v>
      </c>
    </row>
    <row r="40374" spans="1:6" ht="12.75">
      <c r="A40374" s="8">
        <v>43886.405925925923</v>
      </c>
      <c r="B40374" s="8" t="str">
        <f>HYPERLINK("https://twitter.com/IrmanputraSidin","@IrmanputraSidin")</f>
        <v>@IrmanputraSidin</v>
      </c>
      <c r="C40374" s="8" t="s">
        <v>15445</v>
      </c>
      <c r="D40374" s="8">
        <v>6</v>
      </c>
      <c r="E40374" s="8">
        <v>13</v>
      </c>
      <c r="F40374" s="8">
        <v>34748</v>
      </c>
    </row>
    <row r="40375" spans="1:6" ht="12.75">
      <c r="A40375" s="8">
        <v>43886.405636574069</v>
      </c>
      <c r="B40375" s="8" t="str">
        <f>HYPERLINK("https://twitter.com/AWChuz","@AWChuz")</f>
        <v>@AWChuz</v>
      </c>
      <c r="C40375" s="8" t="s">
        <v>15446</v>
      </c>
      <c r="D40375" s="8">
        <v>0</v>
      </c>
      <c r="E40375" s="8">
        <v>0</v>
      </c>
      <c r="F40375" s="8">
        <v>1278</v>
      </c>
    </row>
    <row r="40376" spans="1:6" ht="12.75">
      <c r="A40376" s="8">
        <v>43886.405115740738</v>
      </c>
      <c r="B40376" s="8" t="str">
        <f>HYPERLINK("https://twitter.com/Jimmy73600634","@Jimmy73600634")</f>
        <v>@Jimmy73600634</v>
      </c>
      <c r="C40376" s="8" t="s">
        <v>11964</v>
      </c>
      <c r="D40376" s="8">
        <v>212</v>
      </c>
      <c r="E40376" s="8">
        <v>0</v>
      </c>
      <c r="F40376" s="8">
        <v>106</v>
      </c>
    </row>
    <row r="40377" spans="1:6" ht="12.75">
      <c r="A40377" s="8">
        <v>43886.405057870375</v>
      </c>
      <c r="B40377" s="8" t="str">
        <f>HYPERLINK("https://twitter.com/DianVeei","@DianVeei")</f>
        <v>@DianVeei</v>
      </c>
      <c r="C40377" s="8" t="s">
        <v>14887</v>
      </c>
      <c r="D40377" s="8">
        <v>38</v>
      </c>
      <c r="E40377" s="8">
        <v>0</v>
      </c>
      <c r="F40377" s="8">
        <v>1153</v>
      </c>
    </row>
    <row r="40378" spans="1:6" ht="12.75">
      <c r="A40378" s="8">
        <v>43886.403900462959</v>
      </c>
      <c r="B40378" s="8" t="str">
        <f>HYPERLINK("https://twitter.com/AgusSul93688054","@AgusSul93688054")</f>
        <v>@AgusSul93688054</v>
      </c>
      <c r="C40378" s="8" t="s">
        <v>11964</v>
      </c>
      <c r="D40378" s="8">
        <v>212</v>
      </c>
      <c r="E40378" s="8">
        <v>0</v>
      </c>
      <c r="F40378" s="8">
        <v>117</v>
      </c>
    </row>
    <row r="40379" spans="1:6" ht="12.75">
      <c r="A40379" s="8">
        <v>43886.40388888889</v>
      </c>
      <c r="B40379" s="8" t="str">
        <f>HYPERLINK("https://twitter.com/ennyelf2","@ennyelf2")</f>
        <v>@ennyelf2</v>
      </c>
      <c r="C40379" s="8" t="s">
        <v>15447</v>
      </c>
      <c r="D40379" s="8">
        <v>4</v>
      </c>
      <c r="E40379" s="8">
        <v>0</v>
      </c>
      <c r="F40379" s="8">
        <v>361</v>
      </c>
    </row>
    <row r="40380" spans="1:6" ht="12.75">
      <c r="A40380" s="8">
        <v>43886.403356481482</v>
      </c>
      <c r="B40380" s="8" t="str">
        <f>HYPERLINK("https://twitter.com/hartanto_mas","@hartanto_mas")</f>
        <v>@hartanto_mas</v>
      </c>
      <c r="C40380" s="8" t="s">
        <v>11964</v>
      </c>
      <c r="D40380" s="8">
        <v>212</v>
      </c>
      <c r="E40380" s="8">
        <v>0</v>
      </c>
      <c r="F40380" s="8">
        <v>1049</v>
      </c>
    </row>
    <row r="40381" spans="1:6" ht="12.75">
      <c r="A40381" s="8">
        <v>43886.402847222227</v>
      </c>
      <c r="B40381" s="8" t="str">
        <f>HYPERLINK("https://twitter.com/jaakaajeeka","@jaakaajeeka")</f>
        <v>@jaakaajeeka</v>
      </c>
      <c r="C40381" s="8" t="s">
        <v>11964</v>
      </c>
      <c r="D40381" s="8">
        <v>212</v>
      </c>
      <c r="E40381" s="8">
        <v>0</v>
      </c>
      <c r="F40381" s="8">
        <v>1053</v>
      </c>
    </row>
    <row r="40382" spans="1:6" ht="12.75">
      <c r="A40382" s="8">
        <v>43886.402719907404</v>
      </c>
      <c r="B40382" s="8" t="str">
        <f>HYPERLINK("https://twitter.com/Veenone","@Veenone")</f>
        <v>@Veenone</v>
      </c>
      <c r="C40382" s="8" t="s">
        <v>11964</v>
      </c>
      <c r="D40382" s="8">
        <v>212</v>
      </c>
      <c r="E40382" s="8">
        <v>0</v>
      </c>
      <c r="F40382" s="8">
        <v>1206</v>
      </c>
    </row>
    <row r="40383" spans="1:6" ht="12.75">
      <c r="A40383" s="8">
        <v>43886.402581018519</v>
      </c>
      <c r="B40383" s="8" t="str">
        <f>HYPERLINK("https://twitter.com/AdiNurmen","@AdiNurmen")</f>
        <v>@AdiNurmen</v>
      </c>
      <c r="C40383" s="8" t="s">
        <v>11964</v>
      </c>
      <c r="D40383" s="8">
        <v>212</v>
      </c>
      <c r="E40383" s="8">
        <v>0</v>
      </c>
      <c r="F40383" s="8">
        <v>311</v>
      </c>
    </row>
    <row r="40384" spans="1:6" ht="12.75">
      <c r="A40384" s="8">
        <v>43886.402499999997</v>
      </c>
      <c r="B40384" s="8" t="str">
        <f>HYPERLINK("https://twitter.com/soldera_riserva","@soldera_riserva")</f>
        <v>@soldera_riserva</v>
      </c>
      <c r="C40384" s="8" t="s">
        <v>2940</v>
      </c>
      <c r="D40384" s="8">
        <v>2316</v>
      </c>
      <c r="E40384" s="8">
        <v>0</v>
      </c>
      <c r="F40384" s="8">
        <v>115</v>
      </c>
    </row>
    <row r="40385" spans="1:6" ht="12.75">
      <c r="A40385" s="8">
        <v>43886.401655092588</v>
      </c>
      <c r="B40385" s="8" t="str">
        <f>HYPERLINK("https://twitter.com/Az_7878","@Az_7878")</f>
        <v>@Az_7878</v>
      </c>
      <c r="C40385" s="8" t="s">
        <v>11964</v>
      </c>
      <c r="D40385" s="8">
        <v>212</v>
      </c>
      <c r="E40385" s="8">
        <v>0</v>
      </c>
      <c r="F40385" s="8">
        <v>8</v>
      </c>
    </row>
    <row r="40386" spans="1:6" ht="12.75">
      <c r="A40386" s="8">
        <v>43886.401458333334</v>
      </c>
      <c r="B40386" s="8" t="str">
        <f>HYPERLINK("https://twitter.com/koputa","@koputa")</f>
        <v>@koputa</v>
      </c>
      <c r="C40386" s="8" t="s">
        <v>2940</v>
      </c>
      <c r="D40386" s="8">
        <v>2316</v>
      </c>
      <c r="E40386" s="8">
        <v>0</v>
      </c>
      <c r="F40386" s="8">
        <v>84</v>
      </c>
    </row>
    <row r="40387" spans="1:6" ht="12.75">
      <c r="A40387" s="8">
        <v>43886.401412037041</v>
      </c>
      <c r="B40387" s="8" t="str">
        <f>HYPERLINK("https://twitter.com/palbapang1","@palbapang1")</f>
        <v>@palbapang1</v>
      </c>
      <c r="C40387" s="8" t="s">
        <v>11964</v>
      </c>
      <c r="D40387" s="8">
        <v>212</v>
      </c>
      <c r="E40387" s="8">
        <v>0</v>
      </c>
      <c r="F40387" s="8">
        <v>1189</v>
      </c>
    </row>
    <row r="40388" spans="1:6" ht="12.75">
      <c r="A40388" s="8">
        <v>43886.401412037041</v>
      </c>
      <c r="B40388" s="8" t="str">
        <f>HYPERLINK("https://twitter.com/kuranaka_com","@kuranaka_com")</f>
        <v>@kuranaka_com</v>
      </c>
      <c r="C40388" s="8" t="s">
        <v>2940</v>
      </c>
      <c r="D40388" s="8">
        <v>2316</v>
      </c>
      <c r="E40388" s="8">
        <v>0</v>
      </c>
      <c r="F40388" s="8">
        <v>361</v>
      </c>
    </row>
    <row r="40389" spans="1:6" ht="12.75">
      <c r="A40389" s="8">
        <v>43886.401238425926</v>
      </c>
      <c r="B40389" s="8" t="str">
        <f>HYPERLINK("https://twitter.com/geloraco","@geloraco")</f>
        <v>@geloraco</v>
      </c>
      <c r="C40389" s="8" t="s">
        <v>15448</v>
      </c>
      <c r="D40389" s="8">
        <v>1</v>
      </c>
      <c r="E40389" s="8">
        <v>4</v>
      </c>
      <c r="F40389" s="8">
        <v>101964</v>
      </c>
    </row>
    <row r="40390" spans="1:6" ht="12.75">
      <c r="A40390" s="8">
        <v>43886.401053240741</v>
      </c>
      <c r="B40390" s="8" t="str">
        <f>HYPERLINK("https://twitter.com/MijnheerDoli","@MijnheerDoli")</f>
        <v>@MijnheerDoli</v>
      </c>
      <c r="C40390" s="8" t="s">
        <v>15449</v>
      </c>
      <c r="D40390" s="8">
        <v>9</v>
      </c>
      <c r="E40390" s="8">
        <v>0</v>
      </c>
      <c r="F40390" s="8">
        <v>1038</v>
      </c>
    </row>
    <row r="40391" spans="1:6" ht="12.75">
      <c r="A40391" s="8">
        <v>43886.40016203704</v>
      </c>
      <c r="B40391" s="8" t="str">
        <f>HYPERLINK("https://twitter.com/7thbali","@7thbali")</f>
        <v>@7thbali</v>
      </c>
      <c r="C40391" s="8" t="s">
        <v>11964</v>
      </c>
      <c r="D40391" s="8">
        <v>212</v>
      </c>
      <c r="E40391" s="8">
        <v>0</v>
      </c>
      <c r="F40391" s="8">
        <v>54</v>
      </c>
    </row>
    <row r="40392" spans="1:6" ht="12.75">
      <c r="A40392" s="8">
        <v>43886.39949074074</v>
      </c>
      <c r="B40392" s="8" t="str">
        <f>HYPERLINK("https://twitter.com/Bayouiraone1","@Bayouiraone1")</f>
        <v>@Bayouiraone1</v>
      </c>
      <c r="C40392" s="8" t="s">
        <v>15450</v>
      </c>
      <c r="D40392" s="8">
        <v>0</v>
      </c>
      <c r="E40392" s="8">
        <v>0</v>
      </c>
      <c r="F40392" s="8">
        <v>741</v>
      </c>
    </row>
    <row r="40393" spans="1:6" ht="12.75">
      <c r="A40393" s="8">
        <v>43886.399363425924</v>
      </c>
      <c r="B40393" s="8" t="str">
        <f>HYPERLINK("https://twitter.com/douton1519","@douton1519")</f>
        <v>@douton1519</v>
      </c>
      <c r="C40393" s="8" t="s">
        <v>14887</v>
      </c>
      <c r="D40393" s="8">
        <v>38</v>
      </c>
      <c r="E40393" s="8">
        <v>0</v>
      </c>
      <c r="F40393" s="8">
        <v>17</v>
      </c>
    </row>
    <row r="40394" spans="1:6" ht="12.75">
      <c r="A40394" s="8">
        <v>43886.398946759262</v>
      </c>
      <c r="B40394" s="8" t="str">
        <f>HYPERLINK("https://twitter.com/masnur_moh","@masnur_moh")</f>
        <v>@masnur_moh</v>
      </c>
      <c r="C40394" s="8" t="s">
        <v>11964</v>
      </c>
      <c r="D40394" s="8">
        <v>212</v>
      </c>
      <c r="E40394" s="8">
        <v>0</v>
      </c>
      <c r="F40394" s="8">
        <v>96</v>
      </c>
    </row>
    <row r="40395" spans="1:6" ht="12.75">
      <c r="A40395" s="8">
        <v>43886.39875</v>
      </c>
      <c r="B40395" s="8" t="str">
        <f>HYPERLINK("https://twitter.com/wisnu66265003","@wisnu66265003")</f>
        <v>@wisnu66265003</v>
      </c>
      <c r="C40395" s="8" t="s">
        <v>11964</v>
      </c>
      <c r="D40395" s="8">
        <v>212</v>
      </c>
      <c r="E40395" s="8">
        <v>0</v>
      </c>
      <c r="F40395" s="8">
        <v>11</v>
      </c>
    </row>
    <row r="40396" spans="1:6" ht="12.75">
      <c r="A40396" s="8">
        <v>43886.398576388892</v>
      </c>
      <c r="B40396" s="8" t="str">
        <f>HYPERLINK("https://twitter.com/langgeng_phia","@langgeng_phia")</f>
        <v>@langgeng_phia</v>
      </c>
      <c r="C40396" s="8" t="s">
        <v>15451</v>
      </c>
      <c r="D40396" s="8">
        <v>6</v>
      </c>
      <c r="E40396" s="8">
        <v>0</v>
      </c>
      <c r="F40396" s="8">
        <v>269</v>
      </c>
    </row>
    <row r="40397" spans="1:6" ht="12.75">
      <c r="A40397" s="8">
        <v>43886.398460648154</v>
      </c>
      <c r="B40397" s="8" t="str">
        <f>HYPERLINK("https://twitter.com/IniItuKataGue","@IniItuKataGue")</f>
        <v>@IniItuKataGue</v>
      </c>
      <c r="C40397" s="8" t="s">
        <v>3958</v>
      </c>
      <c r="D40397" s="8">
        <v>0</v>
      </c>
      <c r="E40397" s="8">
        <v>0</v>
      </c>
      <c r="F40397" s="8">
        <v>3467</v>
      </c>
    </row>
    <row r="40398" spans="1:6" ht="12.75">
      <c r="A40398" s="8">
        <v>43886.39844907407</v>
      </c>
      <c r="B40398" s="8" t="str">
        <f>HYPERLINK("https://twitter.com/WidiarsoKris","@WidiarsoKris")</f>
        <v>@WidiarsoKris</v>
      </c>
      <c r="C40398" s="8" t="s">
        <v>15452</v>
      </c>
      <c r="D40398" s="8">
        <v>0</v>
      </c>
      <c r="E40398" s="8">
        <v>1</v>
      </c>
      <c r="F40398" s="8">
        <v>121</v>
      </c>
    </row>
    <row r="40399" spans="1:6" ht="12.75">
      <c r="A40399" s="8">
        <v>43886.398240740746</v>
      </c>
      <c r="B40399" s="8" t="str">
        <f>HYPERLINK("https://twitter.com/coto412","@coto412")</f>
        <v>@coto412</v>
      </c>
      <c r="C40399" s="8" t="s">
        <v>2940</v>
      </c>
      <c r="D40399" s="8">
        <v>2316</v>
      </c>
      <c r="E40399" s="8">
        <v>0</v>
      </c>
      <c r="F40399" s="8">
        <v>542</v>
      </c>
    </row>
    <row r="40400" spans="1:6" ht="12.75">
      <c r="A40400" s="8">
        <v>43886.39806712963</v>
      </c>
      <c r="B40400" s="8" t="str">
        <f>HYPERLINK("https://twitter.com/Fm98Sonora","@Fm98Sonora")</f>
        <v>@Fm98Sonora</v>
      </c>
      <c r="C40400" s="8" t="s">
        <v>15453</v>
      </c>
      <c r="D40400" s="8">
        <v>4</v>
      </c>
      <c r="E40400" s="8">
        <v>0</v>
      </c>
      <c r="F40400" s="8">
        <v>20</v>
      </c>
    </row>
    <row r="40401" spans="1:6" ht="12.75">
      <c r="A40401" s="8">
        <v>43886.397777777776</v>
      </c>
      <c r="B40401" s="8" t="str">
        <f>HYPERLINK("https://twitter.com/khulevii","@khulevii")</f>
        <v>@khulevii</v>
      </c>
      <c r="C40401" s="8" t="s">
        <v>11964</v>
      </c>
      <c r="D40401" s="8">
        <v>212</v>
      </c>
      <c r="E40401" s="8">
        <v>0</v>
      </c>
      <c r="F40401" s="8">
        <v>230</v>
      </c>
    </row>
    <row r="40402" spans="1:6" ht="12.75">
      <c r="A40402" s="8">
        <v>43886.381423611107</v>
      </c>
      <c r="B40402" s="8" t="str">
        <f>HYPERLINK("https://twitter.com/HakimGarisLurus","@HakimGarisLurus")</f>
        <v>@HakimGarisLurus</v>
      </c>
      <c r="C40402" s="8" t="s">
        <v>11183</v>
      </c>
      <c r="D40402" s="8">
        <v>26</v>
      </c>
      <c r="E40402" s="8">
        <v>0</v>
      </c>
      <c r="F40402" s="8">
        <v>1445</v>
      </c>
    </row>
    <row r="40403" spans="1:6" ht="12.75">
      <c r="A40403" s="8">
        <v>43886.381400462968</v>
      </c>
      <c r="B40403" s="8" t="str">
        <f>HYPERLINK("https://twitter.com/Sinyo58479497","@Sinyo58479497")</f>
        <v>@Sinyo58479497</v>
      </c>
      <c r="C40403" s="8" t="s">
        <v>15454</v>
      </c>
      <c r="D40403" s="8">
        <v>0</v>
      </c>
      <c r="E40403" s="8">
        <v>0</v>
      </c>
      <c r="F40403" s="8">
        <v>2</v>
      </c>
    </row>
    <row r="40404" spans="1:6" ht="12.75">
      <c r="A40404" s="8">
        <v>43886.381342592591</v>
      </c>
      <c r="B40404" s="8" t="str">
        <f>HYPERLINK("https://twitter.com/aya_ddt","@aya_ddt")</f>
        <v>@aya_ddt</v>
      </c>
      <c r="C40404" s="8" t="s">
        <v>15347</v>
      </c>
      <c r="D40404" s="8">
        <v>4</v>
      </c>
      <c r="E40404" s="8">
        <v>0</v>
      </c>
      <c r="F40404" s="8">
        <v>433</v>
      </c>
    </row>
    <row r="40405" spans="1:6" ht="12.75">
      <c r="A40405" s="8">
        <v>43886.381296296298</v>
      </c>
      <c r="B40405" s="8" t="str">
        <f>HYPERLINK("https://twitter.com/hotel_tugujogja","@hotel_tugujogja")</f>
        <v>@hotel_tugujogja</v>
      </c>
      <c r="C40405" s="8" t="s">
        <v>11964</v>
      </c>
      <c r="D40405" s="8">
        <v>160</v>
      </c>
      <c r="E40405" s="8">
        <v>0</v>
      </c>
      <c r="F40405" s="8">
        <v>339</v>
      </c>
    </row>
    <row r="40406" spans="1:6" ht="12.75">
      <c r="A40406" s="8">
        <v>43886.381203703699</v>
      </c>
      <c r="B40406" s="8" t="str">
        <f>HYPERLINK("https://twitter.com/cadarmerah","@cadarmerah")</f>
        <v>@cadarmerah</v>
      </c>
      <c r="C40406" s="8" t="s">
        <v>11183</v>
      </c>
      <c r="D40406" s="8">
        <v>26</v>
      </c>
      <c r="E40406" s="8">
        <v>0</v>
      </c>
      <c r="F40406" s="8">
        <v>5659</v>
      </c>
    </row>
    <row r="40407" spans="1:6" ht="12.75">
      <c r="A40407" s="8">
        <v>43886.381192129629</v>
      </c>
      <c r="B40407" s="8" t="str">
        <f>HYPERLINK("https://twitter.com/tobata_akihiro","@tobata_akihiro")</f>
        <v>@tobata_akihiro</v>
      </c>
      <c r="C40407" s="8" t="s">
        <v>2940</v>
      </c>
      <c r="D40407" s="8">
        <v>2302</v>
      </c>
      <c r="E40407" s="8">
        <v>0</v>
      </c>
      <c r="F40407" s="8">
        <v>668</v>
      </c>
    </row>
    <row r="40408" spans="1:6" ht="12.75">
      <c r="A40408" s="8">
        <v>43886.380972222221</v>
      </c>
      <c r="B40408" s="8" t="str">
        <f>HYPERLINK("https://twitter.com/aya_ddt","@aya_ddt")</f>
        <v>@aya_ddt</v>
      </c>
      <c r="C40408" s="8" t="s">
        <v>15455</v>
      </c>
      <c r="D40408" s="8">
        <v>12</v>
      </c>
      <c r="E40408" s="8">
        <v>0</v>
      </c>
      <c r="F40408" s="8">
        <v>433</v>
      </c>
    </row>
    <row r="40409" spans="1:6" ht="12.75">
      <c r="A40409" s="8">
        <v>43886.380844907406</v>
      </c>
      <c r="B40409" s="8" t="str">
        <f>HYPERLINK("https://twitter.com/ta_ma_ko0123","@ta_ma_ko0123")</f>
        <v>@ta_ma_ko0123</v>
      </c>
      <c r="C40409" s="8" t="s">
        <v>2940</v>
      </c>
      <c r="D40409" s="8">
        <v>2302</v>
      </c>
      <c r="E40409" s="8">
        <v>0</v>
      </c>
      <c r="F40409" s="8">
        <v>259</v>
      </c>
    </row>
    <row r="40410" spans="1:6" ht="12.75">
      <c r="A40410" s="8">
        <v>43886.380729166667</v>
      </c>
      <c r="B40410" s="8" t="str">
        <f>HYPERLINK("https://twitter.com/ameliaprimarini","@ameliaprimarini")</f>
        <v>@ameliaprimarini</v>
      </c>
      <c r="C40410" s="8" t="s">
        <v>15456</v>
      </c>
      <c r="D40410" s="8">
        <v>1</v>
      </c>
      <c r="E40410" s="8">
        <v>0</v>
      </c>
      <c r="F40410" s="8">
        <v>981</v>
      </c>
    </row>
    <row r="40411" spans="1:6" ht="12.75">
      <c r="A40411" s="8">
        <v>43886.38071759259</v>
      </c>
      <c r="B40411" s="8" t="str">
        <f>HYPERLINK("https://twitter.com/SyarifAlkadrie3","@SyarifAlkadrie3")</f>
        <v>@SyarifAlkadrie3</v>
      </c>
      <c r="C40411" s="8" t="s">
        <v>11964</v>
      </c>
      <c r="D40411" s="8">
        <v>160</v>
      </c>
      <c r="E40411" s="8">
        <v>0</v>
      </c>
      <c r="F40411" s="8">
        <v>960</v>
      </c>
    </row>
    <row r="40412" spans="1:6" ht="12.75">
      <c r="A40412" s="8">
        <v>43886.380486111113</v>
      </c>
      <c r="B40412" s="8" t="str">
        <f>HYPERLINK("https://twitter.com/badir03","@badir03")</f>
        <v>@badir03</v>
      </c>
      <c r="C40412" s="8" t="s">
        <v>11964</v>
      </c>
      <c r="D40412" s="8">
        <v>160</v>
      </c>
      <c r="E40412" s="8">
        <v>0</v>
      </c>
      <c r="F40412" s="8">
        <v>269</v>
      </c>
    </row>
    <row r="40413" spans="1:6" ht="12.75">
      <c r="A40413" s="8">
        <v>43886.380335648151</v>
      </c>
      <c r="B40413" s="8" t="str">
        <f>HYPERLINK("https://twitter.com/RoyNasu63702098","@RoyNasu63702098")</f>
        <v>@RoyNasu63702098</v>
      </c>
      <c r="C40413" s="8" t="s">
        <v>11964</v>
      </c>
      <c r="D40413" s="8">
        <v>160</v>
      </c>
      <c r="E40413" s="8">
        <v>0</v>
      </c>
      <c r="F40413" s="8">
        <v>269</v>
      </c>
    </row>
    <row r="40414" spans="1:6" ht="12.75">
      <c r="A40414" s="8">
        <v>43886.380104166667</v>
      </c>
      <c r="B40414" s="8" t="str">
        <f>HYPERLINK("https://twitter.com/pxAw5ZAJ0URhZxO","@pxAw5ZAJ0URhZxO")</f>
        <v>@pxAw5ZAJ0URhZxO</v>
      </c>
      <c r="C40414" s="8" t="s">
        <v>8484</v>
      </c>
      <c r="D40414" s="8">
        <v>698</v>
      </c>
      <c r="E40414" s="8">
        <v>0</v>
      </c>
      <c r="F40414" s="8">
        <v>562</v>
      </c>
    </row>
    <row r="40415" spans="1:6" ht="12.75">
      <c r="A40415" s="8">
        <v>43886.379652777774</v>
      </c>
      <c r="B40415" s="8" t="str">
        <f>HYPERLINK("https://twitter.com/richardodhstio","@richardodhstio")</f>
        <v>@richardodhstio</v>
      </c>
      <c r="C40415" s="8" t="s">
        <v>15449</v>
      </c>
      <c r="D40415" s="8">
        <v>8</v>
      </c>
      <c r="E40415" s="8">
        <v>0</v>
      </c>
      <c r="F40415" s="8">
        <v>2753</v>
      </c>
    </row>
    <row r="40416" spans="1:6" ht="12.75">
      <c r="A40416" s="8">
        <v>43886.379583333328</v>
      </c>
      <c r="B40416" s="8" t="str">
        <f>HYPERLINK("https://twitter.com/00mamim","@00mamim")</f>
        <v>@00mamim</v>
      </c>
      <c r="C40416" s="8" t="s">
        <v>2940</v>
      </c>
      <c r="D40416" s="8">
        <v>2302</v>
      </c>
      <c r="E40416" s="8">
        <v>0</v>
      </c>
      <c r="F40416" s="8">
        <v>333</v>
      </c>
    </row>
    <row r="40417" spans="1:6" ht="12.75">
      <c r="A40417" s="8">
        <v>43886.379548611112</v>
      </c>
      <c r="B40417" s="8" t="str">
        <f t="shared" ref="B40417:B40419" si="596">HYPERLINK("https://twitter.com/tempodotco","@tempodotco")</f>
        <v>@tempodotco</v>
      </c>
      <c r="C40417" s="8" t="s">
        <v>15457</v>
      </c>
      <c r="D40417" s="8">
        <v>1</v>
      </c>
      <c r="E40417" s="8">
        <v>0</v>
      </c>
      <c r="F40417" s="8">
        <v>1711163</v>
      </c>
    </row>
    <row r="40418" spans="1:6" ht="12.75">
      <c r="A40418" s="8">
        <v>43886.379548611112</v>
      </c>
      <c r="B40418" s="8" t="str">
        <f t="shared" si="596"/>
        <v>@tempodotco</v>
      </c>
      <c r="C40418" s="8" t="s">
        <v>15458</v>
      </c>
      <c r="D40418" s="8">
        <v>0</v>
      </c>
      <c r="E40418" s="8">
        <v>0</v>
      </c>
      <c r="F40418" s="8">
        <v>1711163</v>
      </c>
    </row>
    <row r="40419" spans="1:6" ht="12.75">
      <c r="A40419" s="8">
        <v>43886.379537037035</v>
      </c>
      <c r="B40419" s="8" t="str">
        <f t="shared" si="596"/>
        <v>@tempodotco</v>
      </c>
      <c r="C40419" s="8" t="s">
        <v>15459</v>
      </c>
      <c r="D40419" s="8">
        <v>0</v>
      </c>
      <c r="E40419" s="8">
        <v>0</v>
      </c>
      <c r="F40419" s="8">
        <v>1711163</v>
      </c>
    </row>
    <row r="40420" spans="1:6" ht="12.75">
      <c r="A40420" s="8">
        <v>43886.379421296297</v>
      </c>
      <c r="B40420" s="8" t="str">
        <f>HYPERLINK("https://twitter.com/asma_ramaputri","@asma_ramaputri")</f>
        <v>@asma_ramaputri</v>
      </c>
      <c r="C40420" s="8" t="s">
        <v>15460</v>
      </c>
      <c r="D40420" s="8">
        <v>2</v>
      </c>
      <c r="E40420" s="8">
        <v>0</v>
      </c>
      <c r="F40420" s="8">
        <v>250</v>
      </c>
    </row>
    <row r="40421" spans="1:6" ht="12.75">
      <c r="A40421" s="8">
        <v>43886.379340277781</v>
      </c>
      <c r="B40421" s="8" t="str">
        <f>HYPERLINK("https://twitter.com/minminmin198401","@minminmin198401")</f>
        <v>@minminmin198401</v>
      </c>
      <c r="C40421" s="8" t="s">
        <v>2940</v>
      </c>
      <c r="D40421" s="8">
        <v>2302</v>
      </c>
      <c r="E40421" s="8">
        <v>0</v>
      </c>
      <c r="F40421" s="8">
        <v>168</v>
      </c>
    </row>
    <row r="40422" spans="1:6" ht="12.75">
      <c r="A40422" s="8">
        <v>43886.379178240742</v>
      </c>
      <c r="B40422" s="8" t="str">
        <f>HYPERLINK("https://twitter.com/si_doel07","@si_doel07")</f>
        <v>@si_doel07</v>
      </c>
      <c r="C40422" s="8" t="s">
        <v>11964</v>
      </c>
      <c r="D40422" s="8">
        <v>160</v>
      </c>
      <c r="E40422" s="8">
        <v>0</v>
      </c>
      <c r="F40422" s="8">
        <v>169</v>
      </c>
    </row>
    <row r="40423" spans="1:6" ht="12.75">
      <c r="A40423" s="8">
        <v>43886.379143518519</v>
      </c>
      <c r="B40423" s="8" t="str">
        <f>HYPERLINK("https://twitter.com/Qwerty53676690","@Qwerty53676690")</f>
        <v>@Qwerty53676690</v>
      </c>
      <c r="C40423" s="8" t="s">
        <v>11964</v>
      </c>
      <c r="D40423" s="8">
        <v>160</v>
      </c>
      <c r="E40423" s="8">
        <v>0</v>
      </c>
      <c r="F40423" s="8">
        <v>12</v>
      </c>
    </row>
    <row r="40424" spans="1:6" ht="12.75">
      <c r="A40424" s="8">
        <v>43886.378750000003</v>
      </c>
      <c r="B40424" s="8" t="str">
        <f>HYPERLINK("https://twitter.com/y_axl_m","@y_axl_m")</f>
        <v>@y_axl_m</v>
      </c>
      <c r="C40424" s="8" t="s">
        <v>2940</v>
      </c>
      <c r="D40424" s="8">
        <v>2302</v>
      </c>
      <c r="E40424" s="8">
        <v>0</v>
      </c>
      <c r="F40424" s="8">
        <v>533</v>
      </c>
    </row>
    <row r="40425" spans="1:6" ht="12.75">
      <c r="A40425" s="8">
        <v>43886.378668981481</v>
      </c>
      <c r="B40425" s="8" t="str">
        <f>HYPERLINK("https://twitter.com/_Error49_","@_Error49_")</f>
        <v>@_Error49_</v>
      </c>
      <c r="C40425" s="8" t="s">
        <v>15461</v>
      </c>
      <c r="D40425" s="8">
        <v>0</v>
      </c>
      <c r="E40425" s="8">
        <v>0</v>
      </c>
      <c r="F40425" s="8">
        <v>6</v>
      </c>
    </row>
    <row r="40426" spans="1:6" ht="12.75">
      <c r="A40426" s="8">
        <v>43886.378136574072</v>
      </c>
      <c r="B40426" s="8" t="str">
        <f>HYPERLINK("https://twitter.com/tsupriyadi","@tsupriyadi")</f>
        <v>@tsupriyadi</v>
      </c>
      <c r="C40426" s="8" t="s">
        <v>11964</v>
      </c>
      <c r="D40426" s="8">
        <v>160</v>
      </c>
      <c r="E40426" s="8">
        <v>0</v>
      </c>
      <c r="F40426" s="8">
        <v>283</v>
      </c>
    </row>
    <row r="40427" spans="1:6" ht="12.75">
      <c r="A40427" s="8">
        <v>43886.378055555557</v>
      </c>
      <c r="B40427" s="8" t="str">
        <f>HYPERLINK("https://twitter.com/okinantan","@okinantan")</f>
        <v>@okinantan</v>
      </c>
      <c r="C40427" s="8" t="s">
        <v>14859</v>
      </c>
      <c r="D40427" s="8">
        <v>31</v>
      </c>
      <c r="E40427" s="8">
        <v>0</v>
      </c>
      <c r="F40427" s="8">
        <v>1008</v>
      </c>
    </row>
    <row r="40428" spans="1:6" ht="12.75">
      <c r="A40428" s="8">
        <v>43886.377557870372</v>
      </c>
      <c r="B40428" s="8" t="str">
        <f>HYPERLINK("https://twitter.com/tokyotale","@tokyotale")</f>
        <v>@tokyotale</v>
      </c>
      <c r="C40428" s="8" t="s">
        <v>14859</v>
      </c>
      <c r="D40428" s="8">
        <v>31</v>
      </c>
      <c r="E40428" s="8">
        <v>0</v>
      </c>
      <c r="F40428" s="8">
        <v>70</v>
      </c>
    </row>
    <row r="40429" spans="1:6" ht="12.75">
      <c r="A40429" s="8">
        <v>43886.377291666664</v>
      </c>
      <c r="B40429" s="8" t="str">
        <f>HYPERLINK("https://twitter.com/tribunmaduracom","@tribunmaduracom")</f>
        <v>@tribunmaduracom</v>
      </c>
      <c r="C40429" s="8" t="s">
        <v>15462</v>
      </c>
      <c r="D40429" s="8">
        <v>0</v>
      </c>
      <c r="E40429" s="8">
        <v>0</v>
      </c>
      <c r="F40429" s="8">
        <v>118</v>
      </c>
    </row>
    <row r="40430" spans="1:6" ht="12.75">
      <c r="A40430" s="8">
        <v>43886.377280092594</v>
      </c>
      <c r="B40430" s="8" t="str">
        <f>HYPERLINK("https://twitter.com/KonnoKOICHI","@KonnoKOICHI")</f>
        <v>@KonnoKOICHI</v>
      </c>
      <c r="C40430" s="8" t="s">
        <v>8484</v>
      </c>
      <c r="D40430" s="8">
        <v>698</v>
      </c>
      <c r="E40430" s="8">
        <v>0</v>
      </c>
      <c r="F40430" s="8">
        <v>332</v>
      </c>
    </row>
    <row r="40431" spans="1:6" ht="12.75">
      <c r="A40431" s="8">
        <v>43886.377141203702</v>
      </c>
      <c r="B40431" s="8" t="str">
        <f>HYPERLINK("https://twitter.com/pongharjatmo","@pongharjatmo")</f>
        <v>@pongharjatmo</v>
      </c>
      <c r="C40431" s="8" t="s">
        <v>15463</v>
      </c>
      <c r="D40431" s="8">
        <v>0</v>
      </c>
      <c r="E40431" s="8">
        <v>0</v>
      </c>
      <c r="F40431" s="8">
        <v>122</v>
      </c>
    </row>
    <row r="40432" spans="1:6" ht="12.75">
      <c r="A40432" s="8">
        <v>43886.37709490741</v>
      </c>
      <c r="B40432" s="8" t="str">
        <f>HYPERLINK("https://twitter.com/jesostro","@jesostro")</f>
        <v>@jesostro</v>
      </c>
      <c r="C40432" s="8" t="s">
        <v>15464</v>
      </c>
      <c r="D40432" s="8">
        <v>0</v>
      </c>
      <c r="E40432" s="8">
        <v>0</v>
      </c>
      <c r="F40432" s="8">
        <v>18</v>
      </c>
    </row>
    <row r="40433" spans="1:6" ht="12.75">
      <c r="A40433" s="8">
        <v>43886.377060185187</v>
      </c>
      <c r="B40433" s="8" t="str">
        <f>HYPERLINK("https://twitter.com/nailasolihah","@nailasolihah")</f>
        <v>@nailasolihah</v>
      </c>
      <c r="C40433" s="8" t="s">
        <v>11964</v>
      </c>
      <c r="D40433" s="8">
        <v>160</v>
      </c>
      <c r="E40433" s="8">
        <v>0</v>
      </c>
      <c r="F40433" s="8">
        <v>232</v>
      </c>
    </row>
    <row r="40434" spans="1:6" ht="12.75">
      <c r="A40434" s="8">
        <v>43886.376770833333</v>
      </c>
      <c r="B40434" s="8" t="str">
        <f>HYPERLINK("https://twitter.com/satozousan","@satozousan")</f>
        <v>@satozousan</v>
      </c>
      <c r="C40434" s="8" t="s">
        <v>8484</v>
      </c>
      <c r="D40434" s="8">
        <v>698</v>
      </c>
      <c r="E40434" s="8">
        <v>0</v>
      </c>
      <c r="F40434" s="8">
        <v>360</v>
      </c>
    </row>
    <row r="40435" spans="1:6" ht="12.75">
      <c r="A40435" s="8">
        <v>43886.376539351855</v>
      </c>
      <c r="B40435" s="8" t="str">
        <f>HYPERLINK("https://twitter.com/Arianto10427511","@Arianto10427511")</f>
        <v>@Arianto10427511</v>
      </c>
      <c r="C40435" s="8" t="s">
        <v>11964</v>
      </c>
      <c r="D40435" s="8">
        <v>160</v>
      </c>
      <c r="E40435" s="8">
        <v>0</v>
      </c>
      <c r="F40435" s="8">
        <v>437</v>
      </c>
    </row>
    <row r="40436" spans="1:6" ht="12.75">
      <c r="A40436" s="8">
        <v>43886.376168981486</v>
      </c>
      <c r="B40436" s="8" t="str">
        <f>HYPERLINK("https://twitter.com/aya_ddt","@aya_ddt")</f>
        <v>@aya_ddt</v>
      </c>
      <c r="C40436" s="8" t="s">
        <v>14887</v>
      </c>
      <c r="D40436" s="8">
        <v>32</v>
      </c>
      <c r="E40436" s="8">
        <v>0</v>
      </c>
      <c r="F40436" s="8">
        <v>433</v>
      </c>
    </row>
    <row r="40437" spans="1:6" ht="12.75">
      <c r="A40437" s="8">
        <v>43886.376145833332</v>
      </c>
      <c r="B40437" s="8" t="str">
        <f t="shared" ref="B40437:B40439" si="597">HYPERLINK("https://twitter.com/0naganuma","@0naganuma")</f>
        <v>@0naganuma</v>
      </c>
      <c r="C40437" s="8" t="s">
        <v>14106</v>
      </c>
      <c r="D40437" s="8">
        <v>119</v>
      </c>
      <c r="E40437" s="8">
        <v>0</v>
      </c>
      <c r="F40437" s="8">
        <v>310</v>
      </c>
    </row>
    <row r="40438" spans="1:6" ht="12.75">
      <c r="A40438" s="8">
        <v>43886.376111111109</v>
      </c>
      <c r="B40438" s="8" t="str">
        <f t="shared" si="597"/>
        <v>@0naganuma</v>
      </c>
      <c r="C40438" s="8" t="s">
        <v>13834</v>
      </c>
      <c r="D40438" s="8">
        <v>130</v>
      </c>
      <c r="E40438" s="8">
        <v>0</v>
      </c>
      <c r="F40438" s="8">
        <v>310</v>
      </c>
    </row>
    <row r="40439" spans="1:6" ht="12.75">
      <c r="A40439" s="8">
        <v>43886.37605324074</v>
      </c>
      <c r="B40439" s="8" t="str">
        <f t="shared" si="597"/>
        <v>@0naganuma</v>
      </c>
      <c r="C40439" s="8" t="s">
        <v>8484</v>
      </c>
      <c r="D40439" s="8">
        <v>698</v>
      </c>
      <c r="E40439" s="8">
        <v>0</v>
      </c>
      <c r="F40439" s="8">
        <v>310</v>
      </c>
    </row>
    <row r="40440" spans="1:6" ht="12.75">
      <c r="A40440" s="8">
        <v>43886.376018518524</v>
      </c>
      <c r="B40440" s="8" t="str">
        <f>HYPERLINK("https://twitter.com/cnbcindonesia","@cnbcindonesia")</f>
        <v>@cnbcindonesia</v>
      </c>
      <c r="C40440" s="8" t="s">
        <v>15465</v>
      </c>
      <c r="D40440" s="8">
        <v>0</v>
      </c>
      <c r="E40440" s="8">
        <v>1</v>
      </c>
      <c r="F40440" s="8">
        <v>30749</v>
      </c>
    </row>
    <row r="40441" spans="1:6" ht="12.75">
      <c r="A40441" s="8">
        <v>43886.375949074078</v>
      </c>
      <c r="B40441" s="8" t="str">
        <f>HYPERLINK("https://twitter.com/0naganuma","@0naganuma")</f>
        <v>@0naganuma</v>
      </c>
      <c r="C40441" s="8" t="s">
        <v>2940</v>
      </c>
      <c r="D40441" s="8">
        <v>2302</v>
      </c>
      <c r="E40441" s="8">
        <v>0</v>
      </c>
      <c r="F40441" s="8">
        <v>310</v>
      </c>
    </row>
    <row r="40442" spans="1:6" ht="12.75">
      <c r="A40442" s="8">
        <v>43886.375856481478</v>
      </c>
      <c r="B40442" s="8" t="str">
        <f>HYPERLINK("https://twitter.com/kz_rshass","@kz_rshass")</f>
        <v>@kz_rshass</v>
      </c>
      <c r="C40442" s="8" t="s">
        <v>8484</v>
      </c>
      <c r="D40442" s="8">
        <v>698</v>
      </c>
      <c r="E40442" s="8">
        <v>0</v>
      </c>
      <c r="F40442" s="8">
        <v>404</v>
      </c>
    </row>
    <row r="40443" spans="1:6" ht="12.75">
      <c r="A40443" s="8">
        <v>43886.375752314816</v>
      </c>
      <c r="B40443" s="8" t="str">
        <f>HYPERLINK("https://twitter.com/Obit63634002","@Obit63634002")</f>
        <v>@Obit63634002</v>
      </c>
      <c r="C40443" s="8" t="s">
        <v>15466</v>
      </c>
      <c r="D40443" s="8">
        <v>0</v>
      </c>
      <c r="E40443" s="8">
        <v>0</v>
      </c>
      <c r="F40443" s="8">
        <v>0</v>
      </c>
    </row>
    <row r="40444" spans="1:6" ht="12.75">
      <c r="A40444" s="8">
        <v>43886.375694444447</v>
      </c>
      <c r="B40444" s="8" t="str">
        <f>HYPERLINK("https://twitter.com/dw_indonesia","@dw_indonesia")</f>
        <v>@dw_indonesia</v>
      </c>
      <c r="C40444" s="8" t="s">
        <v>15467</v>
      </c>
      <c r="D40444" s="8">
        <v>0</v>
      </c>
      <c r="E40444" s="8">
        <v>3</v>
      </c>
      <c r="F40444" s="8">
        <v>55197</v>
      </c>
    </row>
    <row r="40445" spans="1:6" ht="12.75">
      <c r="A40445" s="8">
        <v>43886.375497685185</v>
      </c>
      <c r="B40445" s="8" t="str">
        <f>HYPERLINK("https://twitter.com/NeXTSTEP2OSX","@NeXTSTEP2OSX")</f>
        <v>@NeXTSTEP2OSX</v>
      </c>
      <c r="C40445" s="8" t="s">
        <v>8484</v>
      </c>
      <c r="D40445" s="8">
        <v>698</v>
      </c>
      <c r="E40445" s="8">
        <v>0</v>
      </c>
      <c r="F40445" s="8">
        <v>3224</v>
      </c>
    </row>
    <row r="40446" spans="1:6" ht="12.75">
      <c r="A40446" s="8">
        <v>43886.3752662037</v>
      </c>
      <c r="B40446" s="8" t="str">
        <f>HYPERLINK("https://twitter.com/radiosushifm","@radiosushifm")</f>
        <v>@radiosushifm</v>
      </c>
      <c r="C40446" s="8" t="s">
        <v>15468</v>
      </c>
      <c r="D40446" s="8">
        <v>0</v>
      </c>
      <c r="E40446" s="8">
        <v>0</v>
      </c>
      <c r="F40446" s="8">
        <v>23724</v>
      </c>
    </row>
    <row r="40447" spans="1:6" ht="12.75">
      <c r="A40447" s="8">
        <v>43886.3752662037</v>
      </c>
      <c r="B40447" s="8" t="str">
        <f>HYPERLINK("https://twitter.com/kz_rshass","@kz_rshass")</f>
        <v>@kz_rshass</v>
      </c>
      <c r="C40447" s="8" t="s">
        <v>2940</v>
      </c>
      <c r="D40447" s="8">
        <v>2302</v>
      </c>
      <c r="E40447" s="8">
        <v>0</v>
      </c>
      <c r="F40447" s="8">
        <v>404</v>
      </c>
    </row>
    <row r="40448" spans="1:6" ht="12.75">
      <c r="A40448" s="8">
        <v>43886.375219907408</v>
      </c>
      <c r="B40448" s="8" t="str">
        <f>HYPERLINK("https://twitter.com/esti_upay","@esti_upay")</f>
        <v>@esti_upay</v>
      </c>
      <c r="C40448" s="8" t="s">
        <v>11964</v>
      </c>
      <c r="D40448" s="8">
        <v>160</v>
      </c>
      <c r="E40448" s="8">
        <v>0</v>
      </c>
      <c r="F40448" s="8">
        <v>1375</v>
      </c>
    </row>
    <row r="40449" spans="1:6" ht="12.75">
      <c r="A40449" s="8">
        <v>43886.374675925923</v>
      </c>
      <c r="B40449" s="8" t="str">
        <f>HYPERLINK("https://twitter.com/OpiniRakyat2","@OpiniRakyat2")</f>
        <v>@OpiniRakyat2</v>
      </c>
      <c r="C40449" s="8" t="s">
        <v>11964</v>
      </c>
      <c r="D40449" s="8">
        <v>160</v>
      </c>
      <c r="E40449" s="8">
        <v>0</v>
      </c>
      <c r="F40449" s="8">
        <v>197</v>
      </c>
    </row>
    <row r="40450" spans="1:6" ht="12.75">
      <c r="A40450" s="8">
        <v>43886.374282407407</v>
      </c>
      <c r="B40450" s="8" t="str">
        <f>HYPERLINK("https://twitter.com/FFMatudo","@FFMatudo")</f>
        <v>@FFMatudo</v>
      </c>
      <c r="C40450" s="8" t="s">
        <v>2940</v>
      </c>
      <c r="D40450" s="8">
        <v>2302</v>
      </c>
      <c r="E40450" s="8">
        <v>0</v>
      </c>
      <c r="F40450" s="8">
        <v>3147</v>
      </c>
    </row>
    <row r="40451" spans="1:6" ht="12.75">
      <c r="A40451" s="8">
        <v>43886.374166666668</v>
      </c>
      <c r="B40451" s="8" t="str">
        <f>HYPERLINK("https://twitter.com/fahmiabas70","@fahmiabas70")</f>
        <v>@fahmiabas70</v>
      </c>
      <c r="C40451" s="8" t="s">
        <v>11964</v>
      </c>
      <c r="D40451" s="8">
        <v>160</v>
      </c>
      <c r="E40451" s="8">
        <v>0</v>
      </c>
      <c r="F40451" s="8">
        <v>1561</v>
      </c>
    </row>
    <row r="40452" spans="1:6" ht="12.75">
      <c r="A40452" s="8">
        <v>43886.37364583333</v>
      </c>
      <c r="B40452" s="8" t="str">
        <f>HYPERLINK("https://twitter.com/pikiran_rakyat","@pikiran_rakyat")</f>
        <v>@pikiran_rakyat</v>
      </c>
      <c r="C40452" s="8" t="s">
        <v>15469</v>
      </c>
      <c r="D40452" s="8">
        <v>0</v>
      </c>
      <c r="E40452" s="8">
        <v>1</v>
      </c>
      <c r="F40452" s="8">
        <v>412893</v>
      </c>
    </row>
    <row r="40453" spans="1:6" ht="12.75">
      <c r="A40453" s="8">
        <v>43886.373043981483</v>
      </c>
      <c r="B40453" s="8" t="str">
        <f>HYPERLINK("https://twitter.com/ZheevauF","@ZheevauF")</f>
        <v>@ZheevauF</v>
      </c>
      <c r="C40453" s="8" t="s">
        <v>11964</v>
      </c>
      <c r="D40453" s="8">
        <v>160</v>
      </c>
      <c r="E40453" s="8">
        <v>0</v>
      </c>
      <c r="F40453" s="8">
        <v>97</v>
      </c>
    </row>
    <row r="40454" spans="1:6" ht="12.75">
      <c r="A40454" s="8">
        <v>43886.372523148151</v>
      </c>
      <c r="B40454" s="8" t="str">
        <f t="shared" ref="B40454:B40457" si="598">HYPERLINK("https://twitter.com/13131mgmtmhm","@13131mgmtmhm")</f>
        <v>@13131mgmtmhm</v>
      </c>
      <c r="C40454" s="8" t="s">
        <v>14106</v>
      </c>
      <c r="D40454" s="8">
        <v>119</v>
      </c>
      <c r="E40454" s="8">
        <v>0</v>
      </c>
      <c r="F40454" s="8">
        <v>491</v>
      </c>
    </row>
    <row r="40455" spans="1:6" ht="12.75">
      <c r="A40455" s="8">
        <v>43886.372499999998</v>
      </c>
      <c r="B40455" s="8" t="str">
        <f t="shared" si="598"/>
        <v>@13131mgmtmhm</v>
      </c>
      <c r="C40455" s="8" t="s">
        <v>13834</v>
      </c>
      <c r="D40455" s="8">
        <v>130</v>
      </c>
      <c r="E40455" s="8">
        <v>0</v>
      </c>
      <c r="F40455" s="8">
        <v>491</v>
      </c>
    </row>
    <row r="40456" spans="1:6" ht="12.75">
      <c r="A40456" s="8">
        <v>43886.372430555552</v>
      </c>
      <c r="B40456" s="8" t="str">
        <f t="shared" si="598"/>
        <v>@13131mgmtmhm</v>
      </c>
      <c r="C40456" s="8" t="s">
        <v>8484</v>
      </c>
      <c r="D40456" s="8">
        <v>698</v>
      </c>
      <c r="E40456" s="8">
        <v>0</v>
      </c>
      <c r="F40456" s="8">
        <v>491</v>
      </c>
    </row>
    <row r="40457" spans="1:6" ht="12.75">
      <c r="A40457" s="8">
        <v>43886.372361111113</v>
      </c>
      <c r="B40457" s="8" t="str">
        <f t="shared" si="598"/>
        <v>@13131mgmtmhm</v>
      </c>
      <c r="C40457" s="8" t="s">
        <v>2940</v>
      </c>
      <c r="D40457" s="8">
        <v>2302</v>
      </c>
      <c r="E40457" s="8">
        <v>0</v>
      </c>
      <c r="F40457" s="8">
        <v>491</v>
      </c>
    </row>
    <row r="40458" spans="1:6" ht="12.75">
      <c r="A40458" s="8">
        <v>43886.372245370367</v>
      </c>
      <c r="B40458" s="8" t="str">
        <f>HYPERLINK("https://twitter.com/studiomechanic","@studiomechanic")</f>
        <v>@studiomechanic</v>
      </c>
      <c r="C40458" s="8" t="s">
        <v>8484</v>
      </c>
      <c r="D40458" s="8">
        <v>698</v>
      </c>
      <c r="E40458" s="8">
        <v>0</v>
      </c>
      <c r="F40458" s="8">
        <v>2123</v>
      </c>
    </row>
    <row r="40459" spans="1:6" ht="12.75">
      <c r="A40459" s="8">
        <v>43886.372129629628</v>
      </c>
      <c r="B40459" s="8" t="str">
        <f>HYPERLINK("https://twitter.com/Anandaapr_","@Anandaapr_")</f>
        <v>@Anandaapr_</v>
      </c>
      <c r="C40459" s="8" t="s">
        <v>15470</v>
      </c>
      <c r="D40459" s="8">
        <v>1</v>
      </c>
      <c r="E40459" s="8">
        <v>0</v>
      </c>
      <c r="F40459" s="8">
        <v>186</v>
      </c>
    </row>
    <row r="40460" spans="1:6" ht="12.75">
      <c r="A40460" s="8">
        <v>43886.372118055559</v>
      </c>
      <c r="B40460" s="8" t="str">
        <f>HYPERLINK("https://twitter.com/giselavely","@giselavely")</f>
        <v>@giselavely</v>
      </c>
      <c r="C40460" s="8" t="s">
        <v>15471</v>
      </c>
      <c r="D40460" s="8">
        <v>126</v>
      </c>
      <c r="E40460" s="8">
        <v>0</v>
      </c>
      <c r="F40460" s="8">
        <v>358</v>
      </c>
    </row>
    <row r="40461" spans="1:6" ht="12.75">
      <c r="A40461" s="8">
        <v>43886.372118055559</v>
      </c>
      <c r="B40461" s="8" t="str">
        <f>HYPERLINK("https://twitter.com/kakikecilID","@kakikecilID")</f>
        <v>@kakikecilID</v>
      </c>
      <c r="C40461" s="8" t="s">
        <v>11964</v>
      </c>
      <c r="D40461" s="8">
        <v>160</v>
      </c>
      <c r="E40461" s="8">
        <v>0</v>
      </c>
      <c r="F40461" s="8">
        <v>4</v>
      </c>
    </row>
    <row r="40462" spans="1:6" ht="12.75">
      <c r="A40462" s="8">
        <v>43886.371666666666</v>
      </c>
      <c r="B40462" s="8" t="str">
        <f>HYPERLINK("https://twitter.com/izzakfatih","@izzakfatih")</f>
        <v>@izzakfatih</v>
      </c>
      <c r="C40462" s="8" t="s">
        <v>15426</v>
      </c>
      <c r="D40462" s="8">
        <v>2</v>
      </c>
      <c r="E40462" s="8">
        <v>0</v>
      </c>
      <c r="F40462" s="8">
        <v>170</v>
      </c>
    </row>
    <row r="40463" spans="1:6" ht="12.75">
      <c r="A40463" s="8">
        <v>43886.370879629627</v>
      </c>
      <c r="B40463" s="8" t="str">
        <f>HYPERLINK("https://twitter.com/jerrysetiawaan","@jerrysetiawaan")</f>
        <v>@jerrysetiawaan</v>
      </c>
      <c r="C40463" s="8" t="s">
        <v>2940</v>
      </c>
      <c r="D40463" s="8">
        <v>2302</v>
      </c>
      <c r="E40463" s="8">
        <v>0</v>
      </c>
      <c r="F40463" s="8">
        <v>506</v>
      </c>
    </row>
    <row r="40464" spans="1:6" ht="12.75">
      <c r="A40464" s="8">
        <v>43886.370289351849</v>
      </c>
      <c r="B40464" s="8" t="str">
        <f>HYPERLINK("https://twitter.com/RY2EN_XRP","@RY2EN_XRP")</f>
        <v>@RY2EN_XRP</v>
      </c>
      <c r="C40464" s="8" t="s">
        <v>8484</v>
      </c>
      <c r="D40464" s="8">
        <v>698</v>
      </c>
      <c r="E40464" s="8">
        <v>0</v>
      </c>
      <c r="F40464" s="8">
        <v>2211</v>
      </c>
    </row>
    <row r="40465" spans="1:6" ht="12.75">
      <c r="A40465" s="8">
        <v>43886.369872685187</v>
      </c>
      <c r="B40465" s="8" t="str">
        <f>HYPERLINK("https://twitter.com/FathurYugi","@FathurYugi")</f>
        <v>@FathurYugi</v>
      </c>
      <c r="C40465" s="8" t="s">
        <v>11964</v>
      </c>
      <c r="D40465" s="8">
        <v>160</v>
      </c>
      <c r="E40465" s="8">
        <v>0</v>
      </c>
      <c r="F40465" s="8">
        <v>178</v>
      </c>
    </row>
    <row r="40466" spans="1:6" ht="12.75">
      <c r="A40466" s="8">
        <v>43886.36986111111</v>
      </c>
      <c r="B40466" s="8" t="str">
        <f>HYPERLINK("https://twitter.com/ElshintaDotcom","@ElshintaDotcom")</f>
        <v>@ElshintaDotcom</v>
      </c>
      <c r="C40466" s="8" t="s">
        <v>15472</v>
      </c>
      <c r="D40466" s="8">
        <v>0</v>
      </c>
      <c r="E40466" s="8">
        <v>0</v>
      </c>
      <c r="F40466" s="8">
        <v>27913</v>
      </c>
    </row>
    <row r="40467" spans="1:6" ht="12.75">
      <c r="A40467" s="8">
        <v>43886.369351851856</v>
      </c>
      <c r="B40467" s="8" t="str">
        <f>HYPERLINK("https://twitter.com/bpspl_makassar","@bpspl_makassar")</f>
        <v>@bpspl_makassar</v>
      </c>
      <c r="C40467" s="8" t="s">
        <v>15473</v>
      </c>
      <c r="D40467" s="8">
        <v>2</v>
      </c>
      <c r="E40467" s="8">
        <v>1</v>
      </c>
      <c r="F40467" s="8">
        <v>994</v>
      </c>
    </row>
    <row r="40468" spans="1:6" ht="12.75">
      <c r="A40468" s="8">
        <v>43886.369224537033</v>
      </c>
      <c r="B40468" s="8" t="str">
        <f>HYPERLINK("https://twitter.com/Gendorowo3","@Gendorowo3")</f>
        <v>@Gendorowo3</v>
      </c>
      <c r="C40468" s="8" t="s">
        <v>15474</v>
      </c>
      <c r="D40468" s="8">
        <v>0</v>
      </c>
      <c r="E40468" s="8">
        <v>0</v>
      </c>
      <c r="F40468" s="8">
        <v>102</v>
      </c>
    </row>
    <row r="40469" spans="1:6" ht="12.75">
      <c r="A40469" s="8">
        <v>43886.368877314817</v>
      </c>
      <c r="B40469" s="8" t="str">
        <f>HYPERLINK("https://twitter.com/art4doo","@art4doo")</f>
        <v>@art4doo</v>
      </c>
      <c r="C40469" s="8" t="s">
        <v>14887</v>
      </c>
      <c r="D40469" s="8">
        <v>32</v>
      </c>
      <c r="E40469" s="8">
        <v>0</v>
      </c>
      <c r="F40469" s="8">
        <v>180</v>
      </c>
    </row>
    <row r="40470" spans="1:6" ht="12.75">
      <c r="A40470" s="8">
        <v>43886.368703703702</v>
      </c>
      <c r="B40470" s="8" t="str">
        <f>HYPERLINK("https://twitter.com/meidianadwi","@meidianadwi")</f>
        <v>@meidianadwi</v>
      </c>
      <c r="C40470" s="8" t="s">
        <v>14692</v>
      </c>
      <c r="D40470" s="8">
        <v>1</v>
      </c>
      <c r="E40470" s="8">
        <v>0</v>
      </c>
      <c r="F40470" s="8">
        <v>171</v>
      </c>
    </row>
    <row r="40471" spans="1:6" ht="12.75">
      <c r="A40471" s="8">
        <v>43886.368078703701</v>
      </c>
      <c r="B40471" s="8" t="str">
        <f>HYPERLINK("https://twitter.com/DreamersRadioID","@DreamersRadioID")</f>
        <v>@DreamersRadioID</v>
      </c>
      <c r="C40471" s="8" t="s">
        <v>15069</v>
      </c>
      <c r="D40471" s="8">
        <v>1</v>
      </c>
      <c r="E40471" s="8">
        <v>0</v>
      </c>
      <c r="F40471" s="8">
        <v>75490</v>
      </c>
    </row>
    <row r="40472" spans="1:6" ht="12.75">
      <c r="A40472" s="8">
        <v>43886.367604166662</v>
      </c>
      <c r="B40472" s="8" t="str">
        <f>HYPERLINK("https://twitter.com/baladakentang","@baladakentang")</f>
        <v>@baladakentang</v>
      </c>
      <c r="C40472" s="8" t="s">
        <v>15475</v>
      </c>
      <c r="D40472" s="8">
        <v>0</v>
      </c>
      <c r="E40472" s="8">
        <v>0</v>
      </c>
      <c r="F40472" s="8">
        <v>166</v>
      </c>
    </row>
    <row r="40473" spans="1:6" ht="12.75">
      <c r="A40473" s="8">
        <v>43886.367442129631</v>
      </c>
      <c r="B40473" s="8" t="str">
        <f>HYPERLINK("https://twitter.com/semiaji_w","@semiaji_w")</f>
        <v>@semiaji_w</v>
      </c>
      <c r="C40473" s="8" t="s">
        <v>15476</v>
      </c>
      <c r="D40473" s="8">
        <v>1</v>
      </c>
      <c r="E40473" s="8">
        <v>0</v>
      </c>
      <c r="F40473" s="8">
        <v>23882</v>
      </c>
    </row>
    <row r="40474" spans="1:6" ht="12.75">
      <c r="A40474" s="8">
        <v>43886.367303240739</v>
      </c>
      <c r="B40474" s="8" t="str">
        <f>HYPERLINK("https://twitter.com/Tresnacimahi81","@Tresnacimahi81")</f>
        <v>@Tresnacimahi81</v>
      </c>
      <c r="C40474" s="8" t="s">
        <v>11183</v>
      </c>
      <c r="D40474" s="8">
        <v>26</v>
      </c>
      <c r="E40474" s="8">
        <v>0</v>
      </c>
      <c r="F40474" s="8">
        <v>211</v>
      </c>
    </row>
    <row r="40475" spans="1:6" ht="12.75">
      <c r="A40475" s="8">
        <v>43886.367060185185</v>
      </c>
      <c r="B40475" s="8" t="str">
        <f>HYPERLINK("https://twitter.com/SleepyTwe","@SleepyTwe")</f>
        <v>@SleepyTwe</v>
      </c>
      <c r="C40475" s="8" t="s">
        <v>15477</v>
      </c>
      <c r="D40475" s="8">
        <v>0</v>
      </c>
      <c r="E40475" s="8">
        <v>0</v>
      </c>
      <c r="F40475" s="8">
        <v>581</v>
      </c>
    </row>
    <row r="40476" spans="1:6" ht="12.75">
      <c r="A40476" s="8">
        <v>43886.366909722223</v>
      </c>
      <c r="B40476" s="8" t="str">
        <f>HYPERLINK("https://twitter.com/myidviri","@myidviri")</f>
        <v>@myidviri</v>
      </c>
      <c r="C40476" s="8" t="s">
        <v>11964</v>
      </c>
      <c r="D40476" s="8">
        <v>160</v>
      </c>
      <c r="E40476" s="8">
        <v>0</v>
      </c>
      <c r="F40476" s="8">
        <v>579</v>
      </c>
    </row>
    <row r="40477" spans="1:6" ht="12.75">
      <c r="A40477" s="8">
        <v>43886.366365740745</v>
      </c>
      <c r="B40477" s="8" t="str">
        <f>HYPERLINK("https://twitter.com/saeful_amry","@saeful_amry")</f>
        <v>@saeful_amry</v>
      </c>
      <c r="C40477" s="8" t="s">
        <v>15329</v>
      </c>
      <c r="D40477" s="8">
        <v>8</v>
      </c>
      <c r="E40477" s="8">
        <v>0</v>
      </c>
      <c r="F40477" s="8">
        <v>134</v>
      </c>
    </row>
    <row r="40478" spans="1:6" ht="12.75">
      <c r="A40478" s="8">
        <v>43886.366249999999</v>
      </c>
      <c r="B40478" s="8" t="str">
        <f>HYPERLINK("https://twitter.com/jesostro","@jesostro")</f>
        <v>@jesostro</v>
      </c>
      <c r="C40478" s="8" t="s">
        <v>15478</v>
      </c>
      <c r="D40478" s="8">
        <v>0</v>
      </c>
      <c r="E40478" s="8">
        <v>0</v>
      </c>
      <c r="F40478" s="8">
        <v>18</v>
      </c>
    </row>
    <row r="40479" spans="1:6" ht="12.75">
      <c r="A40479" s="8">
        <v>43886.365972222222</v>
      </c>
      <c r="B40479" s="8" t="str">
        <f>HYPERLINK("https://twitter.com/Ivone_RSZ","@Ivone_RSZ")</f>
        <v>@Ivone_RSZ</v>
      </c>
      <c r="C40479" s="8" t="s">
        <v>15479</v>
      </c>
      <c r="D40479" s="8">
        <v>0</v>
      </c>
      <c r="E40479" s="8">
        <v>4</v>
      </c>
      <c r="F40479" s="8">
        <v>17019</v>
      </c>
    </row>
    <row r="40480" spans="1:6" ht="12.75">
      <c r="A40480" s="8">
        <v>43886.365347222221</v>
      </c>
      <c r="B40480" s="8" t="str">
        <f>HYPERLINK("https://twitter.com/jesostro","@jesostro")</f>
        <v>@jesostro</v>
      </c>
      <c r="C40480" s="8" t="s">
        <v>15207</v>
      </c>
      <c r="D40480" s="8">
        <v>0</v>
      </c>
      <c r="E40480" s="8">
        <v>0</v>
      </c>
      <c r="F40480" s="8">
        <v>18</v>
      </c>
    </row>
    <row r="40481" spans="1:6" ht="12.75">
      <c r="A40481" s="8">
        <v>43886.365324074075</v>
      </c>
      <c r="B40481" s="8" t="str">
        <f>HYPERLINK("https://twitter.com/umay_patria","@umay_patria")</f>
        <v>@umay_patria</v>
      </c>
      <c r="C40481" s="8" t="s">
        <v>15447</v>
      </c>
      <c r="D40481" s="8">
        <v>3</v>
      </c>
      <c r="E40481" s="8">
        <v>0</v>
      </c>
      <c r="F40481" s="8">
        <v>1146</v>
      </c>
    </row>
    <row r="40482" spans="1:6" ht="12.75">
      <c r="A40482" s="8">
        <v>43886.36509259259</v>
      </c>
      <c r="B40482" s="8" t="str">
        <f>HYPERLINK("https://twitter.com/hendra235","@hendra235")</f>
        <v>@hendra235</v>
      </c>
      <c r="C40482" s="8" t="s">
        <v>11183</v>
      </c>
      <c r="D40482" s="8">
        <v>26</v>
      </c>
      <c r="E40482" s="8">
        <v>0</v>
      </c>
      <c r="F40482" s="8">
        <v>298</v>
      </c>
    </row>
    <row r="40483" spans="1:6" ht="12.75">
      <c r="A40483" s="8">
        <v>43886.364930555559</v>
      </c>
      <c r="B40483" s="8" t="str">
        <f t="shared" ref="B40483:B40484" si="599">HYPERLINK("https://twitter.com/AgengSelo_","@AgengSelo_")</f>
        <v>@AgengSelo_</v>
      </c>
      <c r="C40483" s="8" t="s">
        <v>15480</v>
      </c>
      <c r="D40483" s="8">
        <v>1</v>
      </c>
      <c r="E40483" s="8">
        <v>0</v>
      </c>
      <c r="F40483" s="8">
        <v>29</v>
      </c>
    </row>
    <row r="40484" spans="1:6" ht="12.75">
      <c r="A40484" s="8">
        <v>43886.364872685182</v>
      </c>
      <c r="B40484" s="8" t="str">
        <f t="shared" si="599"/>
        <v>@AgengSelo_</v>
      </c>
      <c r="C40484" s="8" t="s">
        <v>15481</v>
      </c>
      <c r="D40484" s="8">
        <v>1</v>
      </c>
      <c r="E40484" s="8">
        <v>0</v>
      </c>
      <c r="F40484" s="8">
        <v>29</v>
      </c>
    </row>
    <row r="40485" spans="1:6" ht="12.75">
      <c r="A40485" s="8">
        <v>43886.364629629628</v>
      </c>
      <c r="B40485" s="8" t="str">
        <f>HYPERLINK("https://twitter.com/DarkwingLady","@DarkwingLady")</f>
        <v>@DarkwingLady</v>
      </c>
      <c r="C40485" s="8" t="s">
        <v>15482</v>
      </c>
      <c r="D40485" s="8">
        <v>0</v>
      </c>
      <c r="E40485" s="8">
        <v>0</v>
      </c>
      <c r="F40485" s="8">
        <v>131</v>
      </c>
    </row>
    <row r="40486" spans="1:6" ht="12.75">
      <c r="A40486" s="8">
        <v>43886.364548611113</v>
      </c>
      <c r="B40486" s="8" t="str">
        <f>HYPERLINK("https://twitter.com/umay_patria","@umay_patria")</f>
        <v>@umay_patria</v>
      </c>
      <c r="C40486" s="8" t="s">
        <v>11964</v>
      </c>
      <c r="D40486" s="8">
        <v>160</v>
      </c>
      <c r="E40486" s="8">
        <v>0</v>
      </c>
      <c r="F40486" s="8">
        <v>1146</v>
      </c>
    </row>
    <row r="40487" spans="1:6" ht="12.75">
      <c r="A40487" s="8">
        <v>43886.364247685182</v>
      </c>
      <c r="B40487" s="8" t="str">
        <f>HYPERLINK("https://twitter.com/MarieskaV","@MarieskaV")</f>
        <v>@MarieskaV</v>
      </c>
      <c r="C40487" s="8" t="s">
        <v>15483</v>
      </c>
      <c r="D40487" s="8">
        <v>0</v>
      </c>
      <c r="E40487" s="8">
        <v>0</v>
      </c>
      <c r="F40487" s="8">
        <v>303</v>
      </c>
    </row>
    <row r="40488" spans="1:6" ht="12.75">
      <c r="A40488" s="8">
        <v>43886.363437499997</v>
      </c>
      <c r="B40488" s="8" t="str">
        <f>HYPERLINK("https://twitter.com/rickybarmansyah","@rickybarmansyah")</f>
        <v>@rickybarmansyah</v>
      </c>
      <c r="C40488" s="8" t="s">
        <v>11964</v>
      </c>
      <c r="D40488" s="8">
        <v>160</v>
      </c>
      <c r="E40488" s="8">
        <v>0</v>
      </c>
      <c r="F40488" s="8">
        <v>1362</v>
      </c>
    </row>
    <row r="40489" spans="1:6" ht="12.75">
      <c r="A40489" s="8">
        <v>43886.363391203704</v>
      </c>
      <c r="B40489" s="8" t="str">
        <f>HYPERLINK("https://twitter.com/lvn_twt","@lvn_twt")</f>
        <v>@lvn_twt</v>
      </c>
      <c r="C40489" s="8" t="s">
        <v>14859</v>
      </c>
      <c r="D40489" s="8">
        <v>31</v>
      </c>
      <c r="E40489" s="8">
        <v>0</v>
      </c>
      <c r="F40489" s="8">
        <v>840</v>
      </c>
    </row>
    <row r="40490" spans="1:6" ht="12.75">
      <c r="A40490" s="8">
        <v>43886.363229166665</v>
      </c>
      <c r="B40490" s="8" t="str">
        <f>HYPERLINK("https://twitter.com/gamaumalesan","@gamaumalesan")</f>
        <v>@gamaumalesan</v>
      </c>
      <c r="C40490" s="8" t="s">
        <v>15484</v>
      </c>
      <c r="D40490" s="8">
        <v>4</v>
      </c>
      <c r="E40490" s="8">
        <v>0</v>
      </c>
      <c r="F40490" s="8">
        <v>87</v>
      </c>
    </row>
    <row r="40491" spans="1:6" ht="12.75">
      <c r="A40491" s="8">
        <v>43886.362835648149</v>
      </c>
      <c r="B40491" s="8" t="str">
        <f>HYPERLINK("https://twitter.com/canthingku","@canthingku")</f>
        <v>@canthingku</v>
      </c>
      <c r="C40491" s="8" t="s">
        <v>11183</v>
      </c>
      <c r="D40491" s="8">
        <v>26</v>
      </c>
      <c r="E40491" s="8">
        <v>0</v>
      </c>
      <c r="F40491" s="8">
        <v>1087</v>
      </c>
    </row>
    <row r="40492" spans="1:6" ht="12.75">
      <c r="A40492" s="8">
        <v>43886.362777777773</v>
      </c>
      <c r="B40492" s="8" t="str">
        <f>HYPERLINK("https://twitter.com/Susanto21585883","@Susanto21585883")</f>
        <v>@Susanto21585883</v>
      </c>
      <c r="C40492" s="8" t="s">
        <v>11964</v>
      </c>
      <c r="D40492" s="8">
        <v>160</v>
      </c>
      <c r="E40492" s="8">
        <v>0</v>
      </c>
      <c r="F40492" s="8">
        <v>16</v>
      </c>
    </row>
    <row r="40493" spans="1:6" ht="12.75">
      <c r="A40493" s="8">
        <v>43886.362615740742</v>
      </c>
      <c r="B40493" s="8" t="str">
        <f>HYPERLINK("https://twitter.com/T14503NG","@T14503NG")</f>
        <v>@T14503NG</v>
      </c>
      <c r="C40493" s="8" t="s">
        <v>15485</v>
      </c>
      <c r="D40493" s="8">
        <v>5</v>
      </c>
      <c r="E40493" s="8">
        <v>0</v>
      </c>
      <c r="F40493" s="8">
        <v>845</v>
      </c>
    </row>
    <row r="40494" spans="1:6" ht="12.75">
      <c r="A40494" s="8">
        <v>43886.362210648149</v>
      </c>
      <c r="B40494" s="8" t="str">
        <f>HYPERLINK("https://twitter.com/NicolasBakhtiar","@NicolasBakhtiar")</f>
        <v>@NicolasBakhtiar</v>
      </c>
      <c r="C40494" s="8" t="s">
        <v>11964</v>
      </c>
      <c r="D40494" s="8">
        <v>160</v>
      </c>
      <c r="E40494" s="8">
        <v>0</v>
      </c>
      <c r="F40494" s="8">
        <v>224</v>
      </c>
    </row>
    <row r="40495" spans="1:6" ht="12.75">
      <c r="A40495" s="8">
        <v>43886.362164351856</v>
      </c>
      <c r="B40495" s="8" t="str">
        <f>HYPERLINK("https://twitter.com/dubie_tina","@dubie_tina")</f>
        <v>@dubie_tina</v>
      </c>
      <c r="C40495" s="8" t="s">
        <v>11183</v>
      </c>
      <c r="D40495" s="8">
        <v>26</v>
      </c>
      <c r="E40495" s="8">
        <v>0</v>
      </c>
      <c r="F40495" s="8">
        <v>1047</v>
      </c>
    </row>
    <row r="40496" spans="1:6" ht="12.75">
      <c r="A40496" s="8">
        <v>43886.361898148149</v>
      </c>
      <c r="B40496" s="8" t="str">
        <f>HYPERLINK("https://twitter.com/Mz_Berlian","@Mz_Berlian")</f>
        <v>@Mz_Berlian</v>
      </c>
      <c r="C40496" s="8" t="s">
        <v>11964</v>
      </c>
      <c r="D40496" s="8">
        <v>160</v>
      </c>
      <c r="E40496" s="8">
        <v>0</v>
      </c>
      <c r="F40496" s="8">
        <v>2271</v>
      </c>
    </row>
    <row r="40497" spans="1:6" ht="12.75">
      <c r="A40497" s="8">
        <v>43886.361712962964</v>
      </c>
      <c r="B40497" s="8" t="str">
        <f>HYPERLINK("https://twitter.com/Fitriks","@Fitriks")</f>
        <v>@Fitriks</v>
      </c>
      <c r="C40497" s="8" t="s">
        <v>15486</v>
      </c>
      <c r="D40497" s="8">
        <v>0</v>
      </c>
      <c r="E40497" s="8">
        <v>0</v>
      </c>
      <c r="F40497" s="8">
        <v>264</v>
      </c>
    </row>
    <row r="40498" spans="1:6" ht="12.75">
      <c r="A40498" s="8">
        <v>43886.361689814818</v>
      </c>
      <c r="B40498" s="8" t="str">
        <f>HYPERLINK("https://twitter.com/matsuda13_keita","@matsuda13_keita")</f>
        <v>@matsuda13_keita</v>
      </c>
      <c r="C40498" s="8" t="s">
        <v>15141</v>
      </c>
      <c r="D40498" s="8">
        <v>13</v>
      </c>
      <c r="E40498" s="8">
        <v>0</v>
      </c>
      <c r="F40498" s="8">
        <v>0</v>
      </c>
    </row>
    <row r="40499" spans="1:6" ht="12.75">
      <c r="A40499" s="8">
        <v>43886.361527777779</v>
      </c>
      <c r="B40499" s="8" t="str">
        <f>HYPERLINK("https://twitter.com/KGRB_DeeR","@KGRB_DeeR")</f>
        <v>@KGRB_DeeR</v>
      </c>
      <c r="C40499" s="8" t="s">
        <v>11964</v>
      </c>
      <c r="D40499" s="8">
        <v>160</v>
      </c>
      <c r="E40499" s="8">
        <v>0</v>
      </c>
      <c r="F40499" s="8">
        <v>8</v>
      </c>
    </row>
    <row r="40500" spans="1:6" ht="12.75">
      <c r="A40500" s="8">
        <v>43886.361226851848</v>
      </c>
      <c r="B40500" s="8" t="str">
        <f>HYPERLINK("https://twitter.com/Adhi_Djo","@Adhi_Djo")</f>
        <v>@Adhi_Djo</v>
      </c>
      <c r="C40500" s="8" t="s">
        <v>14913</v>
      </c>
      <c r="D40500" s="8">
        <v>13</v>
      </c>
      <c r="E40500" s="8">
        <v>0</v>
      </c>
      <c r="F40500" s="8">
        <v>395</v>
      </c>
    </row>
    <row r="40501" spans="1:6" ht="12.75">
      <c r="A40501" s="8">
        <v>43886.36001157407</v>
      </c>
      <c r="B40501" s="8" t="str">
        <f>HYPERLINK("https://twitter.com/DelmaJaya","@DelmaJaya")</f>
        <v>@DelmaJaya</v>
      </c>
      <c r="C40501" s="8" t="s">
        <v>11964</v>
      </c>
      <c r="D40501" s="8">
        <v>160</v>
      </c>
      <c r="E40501" s="8">
        <v>0</v>
      </c>
      <c r="F40501" s="8">
        <v>561</v>
      </c>
    </row>
    <row r="40502" spans="1:6" ht="12.75">
      <c r="A40502" s="8">
        <v>43886.34</v>
      </c>
      <c r="B40502" s="8" t="str">
        <f>HYPERLINK("https://twitter.com/annisasamicin","@annisasamicin")</f>
        <v>@annisasamicin</v>
      </c>
      <c r="C40502" s="8" t="s">
        <v>11964</v>
      </c>
      <c r="D40502" s="8">
        <v>96</v>
      </c>
      <c r="E40502" s="8">
        <v>0</v>
      </c>
      <c r="F40502" s="8">
        <v>25</v>
      </c>
    </row>
    <row r="40503" spans="1:6" ht="12.75">
      <c r="A40503" s="8">
        <v>43886.33975694445</v>
      </c>
      <c r="B40503" s="8" t="str">
        <f>HYPERLINK("https://twitter.com/hgberry","@hgberry")</f>
        <v>@hgberry</v>
      </c>
      <c r="C40503" s="8" t="s">
        <v>14887</v>
      </c>
      <c r="D40503" s="8">
        <v>27</v>
      </c>
      <c r="E40503" s="8">
        <v>0</v>
      </c>
      <c r="F40503" s="8">
        <v>1645</v>
      </c>
    </row>
    <row r="40504" spans="1:6" ht="12.75">
      <c r="A40504" s="8">
        <v>43886.339560185181</v>
      </c>
      <c r="B40504" s="8" t="str">
        <f>HYPERLINK("https://twitter.com/vrbyun","@vrbyun")</f>
        <v>@vrbyun</v>
      </c>
      <c r="C40504" s="8" t="s">
        <v>15487</v>
      </c>
      <c r="D40504" s="8">
        <v>0</v>
      </c>
      <c r="E40504" s="8">
        <v>0</v>
      </c>
      <c r="F40504" s="8">
        <v>140</v>
      </c>
    </row>
    <row r="40505" spans="1:6" ht="12.75">
      <c r="A40505" s="8">
        <v>43886.339050925926</v>
      </c>
      <c r="B40505" s="8" t="str">
        <f>HYPERLINK("https://twitter.com/nucce","@nucce")</f>
        <v>@nucce</v>
      </c>
      <c r="C40505" s="8" t="s">
        <v>12920</v>
      </c>
      <c r="D40505" s="8">
        <v>1512</v>
      </c>
      <c r="E40505" s="8">
        <v>0</v>
      </c>
      <c r="F40505" s="8">
        <v>190</v>
      </c>
    </row>
    <row r="40506" spans="1:6" ht="12.75">
      <c r="A40506" s="8">
        <v>43886.338842592595</v>
      </c>
      <c r="B40506" s="8" t="str">
        <f>HYPERLINK("https://twitter.com/kosukeokahara","@kosukeokahara")</f>
        <v>@kosukeokahara</v>
      </c>
      <c r="C40506" s="8" t="s">
        <v>2940</v>
      </c>
      <c r="D40506" s="8">
        <v>2282</v>
      </c>
      <c r="E40506" s="8">
        <v>0</v>
      </c>
      <c r="F40506" s="8">
        <v>2161</v>
      </c>
    </row>
    <row r="40507" spans="1:6" ht="12.75">
      <c r="A40507" s="8">
        <v>43886.338530092587</v>
      </c>
      <c r="B40507" s="8" t="str">
        <f>HYPERLINK("https://twitter.com/t0ma_dog","@t0ma_dog")</f>
        <v>@t0ma_dog</v>
      </c>
      <c r="C40507" s="8" t="s">
        <v>8484</v>
      </c>
      <c r="D40507" s="8">
        <v>680</v>
      </c>
      <c r="E40507" s="8">
        <v>0</v>
      </c>
      <c r="F40507" s="8">
        <v>558</v>
      </c>
    </row>
    <row r="40508" spans="1:6" ht="12.75">
      <c r="A40508" s="8">
        <v>43886.338495370372</v>
      </c>
      <c r="B40508" s="8" t="str">
        <f>HYPERLINK("https://twitter.com/aarifian1","@aarifian1")</f>
        <v>@aarifian1</v>
      </c>
      <c r="C40508" s="8" t="s">
        <v>14859</v>
      </c>
      <c r="D40508" s="8">
        <v>27</v>
      </c>
      <c r="E40508" s="8">
        <v>0</v>
      </c>
      <c r="F40508" s="8">
        <v>681</v>
      </c>
    </row>
    <row r="40509" spans="1:6" ht="12.75">
      <c r="A40509" s="8">
        <v>43886.338414351849</v>
      </c>
      <c r="B40509" s="8" t="str">
        <f>HYPERLINK("https://twitter.com/mohamad_tamas","@mohamad_tamas")</f>
        <v>@mohamad_tamas</v>
      </c>
      <c r="C40509" s="8" t="s">
        <v>2940</v>
      </c>
      <c r="D40509" s="8">
        <v>2282</v>
      </c>
      <c r="E40509" s="8">
        <v>0</v>
      </c>
      <c r="F40509" s="8">
        <v>710</v>
      </c>
    </row>
    <row r="40510" spans="1:6" ht="12.75">
      <c r="A40510" s="8">
        <v>43886.33829861111</v>
      </c>
      <c r="B40510" s="8" t="str">
        <f>HYPERLINK("https://twitter.com/Rasul09553130","@Rasul09553130")</f>
        <v>@Rasul09553130</v>
      </c>
      <c r="C40510" s="8" t="s">
        <v>11964</v>
      </c>
      <c r="D40510" s="8">
        <v>96</v>
      </c>
      <c r="E40510" s="8">
        <v>0</v>
      </c>
      <c r="F40510" s="8">
        <v>98</v>
      </c>
    </row>
    <row r="40511" spans="1:6" ht="12.75">
      <c r="A40511" s="8">
        <v>43886.338182870371</v>
      </c>
      <c r="B40511" s="8" t="str">
        <f>HYPERLINK("https://twitter.com/priyandabp","@priyandabp")</f>
        <v>@priyandabp</v>
      </c>
      <c r="C40511" s="8" t="s">
        <v>15488</v>
      </c>
      <c r="D40511" s="8">
        <v>0</v>
      </c>
      <c r="E40511" s="8">
        <v>0</v>
      </c>
      <c r="F40511" s="8">
        <v>8289</v>
      </c>
    </row>
    <row r="40512" spans="1:6" ht="12.75">
      <c r="A40512" s="8">
        <v>43886.338113425925</v>
      </c>
      <c r="B40512" s="8" t="str">
        <f>HYPERLINK("https://twitter.com/HirdaaNov","@HirdaaNov")</f>
        <v>@HirdaaNov</v>
      </c>
      <c r="C40512" s="8" t="s">
        <v>15455</v>
      </c>
      <c r="D40512" s="8">
        <v>11</v>
      </c>
      <c r="E40512" s="8">
        <v>0</v>
      </c>
      <c r="F40512" s="8">
        <v>709</v>
      </c>
    </row>
    <row r="40513" spans="1:6" ht="12.75">
      <c r="A40513" s="8">
        <v>43886.337847222225</v>
      </c>
      <c r="B40513" s="8" t="str">
        <f>HYPERLINK("https://twitter.com/Sports26Account","@Sports26Account")</f>
        <v>@Sports26Account</v>
      </c>
      <c r="C40513" s="8" t="s">
        <v>2940</v>
      </c>
      <c r="D40513" s="8">
        <v>2282</v>
      </c>
      <c r="E40513" s="8">
        <v>0</v>
      </c>
      <c r="F40513" s="8">
        <v>70</v>
      </c>
    </row>
    <row r="40514" spans="1:6" ht="12.75">
      <c r="A40514" s="8">
        <v>43886.337789351848</v>
      </c>
      <c r="B40514" s="8" t="str">
        <f>HYPERLINK("https://twitter.com/aulia2199","@aulia2199")</f>
        <v>@aulia2199</v>
      </c>
      <c r="C40514" s="8" t="s">
        <v>12920</v>
      </c>
      <c r="D40514" s="8">
        <v>1512</v>
      </c>
      <c r="E40514" s="8">
        <v>0</v>
      </c>
      <c r="F40514" s="8">
        <v>123</v>
      </c>
    </row>
    <row r="40515" spans="1:6" ht="12.75">
      <c r="A40515" s="8">
        <v>43886.337719907402</v>
      </c>
      <c r="B40515" s="8" t="str">
        <f>HYPERLINK("https://twitter.com/deamirzanadya","@deamirzanadya")</f>
        <v>@deamirzanadya</v>
      </c>
      <c r="C40515" s="8" t="s">
        <v>14887</v>
      </c>
      <c r="D40515" s="8">
        <v>27</v>
      </c>
      <c r="E40515" s="8">
        <v>0</v>
      </c>
      <c r="F40515" s="8">
        <v>494</v>
      </c>
    </row>
    <row r="40516" spans="1:6" ht="12.75">
      <c r="A40516" s="8">
        <v>43886.337696759263</v>
      </c>
      <c r="B40516" s="8" t="str">
        <f>HYPERLINK("https://twitter.com/tribunnews","@tribunnews")</f>
        <v>@tribunnews</v>
      </c>
      <c r="C40516" s="8" t="s">
        <v>15489</v>
      </c>
      <c r="D40516" s="8">
        <v>0</v>
      </c>
      <c r="E40516" s="8">
        <v>1</v>
      </c>
      <c r="F40516" s="8">
        <v>880750</v>
      </c>
    </row>
    <row r="40517" spans="1:6" ht="12.75">
      <c r="A40517" s="8">
        <v>43886.33761574074</v>
      </c>
      <c r="B40517" s="8" t="str">
        <f>HYPERLINK("https://twitter.com/OANTIMOR6","@OANTIMOR6")</f>
        <v>@OANTIMOR6</v>
      </c>
      <c r="C40517" s="8" t="s">
        <v>15490</v>
      </c>
      <c r="D40517" s="8">
        <v>0</v>
      </c>
      <c r="E40517" s="8">
        <v>0</v>
      </c>
      <c r="F40517" s="8">
        <v>17</v>
      </c>
    </row>
    <row r="40518" spans="1:6" ht="12.75">
      <c r="A40518" s="8">
        <v>43886.337511574078</v>
      </c>
      <c r="B40518" s="8" t="str">
        <f>HYPERLINK("https://twitter.com/NaufalBarevi","@NaufalBarevi")</f>
        <v>@NaufalBarevi</v>
      </c>
      <c r="C40518" s="8" t="s">
        <v>11964</v>
      </c>
      <c r="D40518" s="8">
        <v>96</v>
      </c>
      <c r="E40518" s="8">
        <v>0</v>
      </c>
      <c r="F40518" s="8">
        <v>649</v>
      </c>
    </row>
    <row r="40519" spans="1:6" ht="12.75">
      <c r="A40519" s="8">
        <v>43886.337430555555</v>
      </c>
      <c r="B40519" s="8" t="str">
        <f>HYPERLINK("https://twitter.com/CakMugik","@CakMugik")</f>
        <v>@CakMugik</v>
      </c>
      <c r="C40519" s="8" t="s">
        <v>15491</v>
      </c>
      <c r="D40519" s="8">
        <v>3</v>
      </c>
      <c r="E40519" s="8">
        <v>0</v>
      </c>
      <c r="F40519" s="8">
        <v>62</v>
      </c>
    </row>
    <row r="40520" spans="1:6" ht="12.75">
      <c r="A40520" s="8">
        <v>43886.337349537032</v>
      </c>
      <c r="B40520" s="8" t="str">
        <f>HYPERLINK("https://twitter.com/kemenkopmk","@kemenkopmk")</f>
        <v>@kemenkopmk</v>
      </c>
      <c r="C40520" s="8" t="s">
        <v>15492</v>
      </c>
      <c r="D40520" s="8">
        <v>0</v>
      </c>
      <c r="E40520" s="8">
        <v>2</v>
      </c>
      <c r="F40520" s="8">
        <v>129844</v>
      </c>
    </row>
    <row r="40521" spans="1:6" ht="12.75">
      <c r="A40521" s="8">
        <v>43886.336527777778</v>
      </c>
      <c r="B40521" s="8" t="str">
        <f>HYPERLINK("https://twitter.com/kusumamia","@kusumamia")</f>
        <v>@kusumamia</v>
      </c>
      <c r="C40521" s="8" t="s">
        <v>14859</v>
      </c>
      <c r="D40521" s="8">
        <v>27</v>
      </c>
      <c r="E40521" s="8">
        <v>0</v>
      </c>
      <c r="F40521" s="8">
        <v>310</v>
      </c>
    </row>
    <row r="40522" spans="1:6" ht="12.75">
      <c r="A40522" s="8">
        <v>43886.336516203708</v>
      </c>
      <c r="B40522" s="8" t="str">
        <f>HYPERLINK("https://twitter.com/ngelholic","@ngelholic")</f>
        <v>@ngelholic</v>
      </c>
      <c r="C40522" s="8" t="s">
        <v>15493</v>
      </c>
      <c r="D40522" s="8">
        <v>0</v>
      </c>
      <c r="E40522" s="8">
        <v>0</v>
      </c>
      <c r="F40522" s="8">
        <v>1743</v>
      </c>
    </row>
    <row r="40523" spans="1:6" ht="12.75">
      <c r="A40523" s="8">
        <v>43886.336319444439</v>
      </c>
      <c r="B40523" s="8" t="str">
        <f>HYPERLINK("https://twitter.com/27Ichoe","@27Ichoe")</f>
        <v>@27Ichoe</v>
      </c>
      <c r="C40523" s="8" t="s">
        <v>15126</v>
      </c>
      <c r="D40523" s="8">
        <v>12</v>
      </c>
      <c r="E40523" s="8">
        <v>0</v>
      </c>
      <c r="F40523" s="8">
        <v>352</v>
      </c>
    </row>
    <row r="40524" spans="1:6" ht="12.75">
      <c r="A40524" s="8">
        <v>43886.335740740746</v>
      </c>
      <c r="B40524" s="8" t="str">
        <f>HYPERLINK("https://twitter.com/OnyHafiedz","@OnyHafiedz")</f>
        <v>@OnyHafiedz</v>
      </c>
      <c r="C40524" s="8" t="s">
        <v>12920</v>
      </c>
      <c r="D40524" s="8">
        <v>1512</v>
      </c>
      <c r="E40524" s="8">
        <v>0</v>
      </c>
      <c r="F40524" s="8">
        <v>5642</v>
      </c>
    </row>
    <row r="40525" spans="1:6" ht="12.75">
      <c r="A40525" s="8">
        <v>43886.335590277777</v>
      </c>
      <c r="B40525" s="8" t="str">
        <f>HYPERLINK("https://twitter.com/Metrobatam_com","@Metrobatam_com")</f>
        <v>@Metrobatam_com</v>
      </c>
      <c r="C40525" s="8" t="s">
        <v>15494</v>
      </c>
      <c r="D40525" s="8">
        <v>0</v>
      </c>
      <c r="E40525" s="8">
        <v>0</v>
      </c>
      <c r="F40525" s="8">
        <v>119</v>
      </c>
    </row>
    <row r="40526" spans="1:6" ht="12.75">
      <c r="A40526" s="8">
        <v>43886.335428240738</v>
      </c>
      <c r="B40526" s="8" t="str">
        <f>HYPERLINK("https://twitter.com/democrazy222","@democrazy222")</f>
        <v>@democrazy222</v>
      </c>
      <c r="C40526" s="8" t="s">
        <v>11964</v>
      </c>
      <c r="D40526" s="8">
        <v>96</v>
      </c>
      <c r="E40526" s="8">
        <v>0</v>
      </c>
      <c r="F40526" s="8">
        <v>55</v>
      </c>
    </row>
    <row r="40527" spans="1:6" ht="12.75">
      <c r="A40527" s="8">
        <v>43886.334918981476</v>
      </c>
      <c r="B40527" s="8" t="str">
        <f>HYPERLINK("https://twitter.com/29rose86","@29rose86")</f>
        <v>@29rose86</v>
      </c>
      <c r="C40527" s="8" t="s">
        <v>8484</v>
      </c>
      <c r="D40527" s="8">
        <v>680</v>
      </c>
      <c r="E40527" s="8">
        <v>0</v>
      </c>
      <c r="F40527" s="8">
        <v>38</v>
      </c>
    </row>
    <row r="40528" spans="1:6" ht="12.75">
      <c r="A40528" s="8">
        <v>43886.334895833337</v>
      </c>
      <c r="B40528" s="8" t="str">
        <f>HYPERLINK("https://twitter.com/BillTemporo","@BillTemporo")</f>
        <v>@BillTemporo</v>
      </c>
      <c r="C40528" s="8" t="s">
        <v>323</v>
      </c>
      <c r="D40528" s="8">
        <v>0</v>
      </c>
      <c r="E40528" s="8">
        <v>0</v>
      </c>
      <c r="F40528" s="8">
        <v>11</v>
      </c>
    </row>
    <row r="40529" spans="1:6" ht="12.75">
      <c r="A40529" s="8">
        <v>43886.334814814814</v>
      </c>
      <c r="B40529" s="8" t="str">
        <f>HYPERLINK("https://twitter.com/eksobongs","@eksobongs")</f>
        <v>@eksobongs</v>
      </c>
      <c r="C40529" s="8" t="s">
        <v>14859</v>
      </c>
      <c r="D40529" s="8">
        <v>27</v>
      </c>
      <c r="E40529" s="8">
        <v>0</v>
      </c>
      <c r="F40529" s="8">
        <v>104</v>
      </c>
    </row>
    <row r="40530" spans="1:6" ht="12.75">
      <c r="A40530" s="8">
        <v>43886.334780092591</v>
      </c>
      <c r="B40530" s="8" t="str">
        <f>HYPERLINK("https://twitter.com/YWijatmoko","@YWijatmoko")</f>
        <v>@YWijatmoko</v>
      </c>
      <c r="C40530" s="8" t="s">
        <v>11964</v>
      </c>
      <c r="D40530" s="8">
        <v>96</v>
      </c>
      <c r="E40530" s="8">
        <v>0</v>
      </c>
      <c r="F40530" s="8">
        <v>1601</v>
      </c>
    </row>
    <row r="40531" spans="1:6" ht="12.75">
      <c r="A40531" s="8">
        <v>43886.334722222222</v>
      </c>
      <c r="B40531" s="8" t="str">
        <f>HYPERLINK("https://twitter.com/yuujimm13","@yuujimm13")</f>
        <v>@yuujimm13</v>
      </c>
      <c r="C40531" s="8" t="s">
        <v>8484</v>
      </c>
      <c r="D40531" s="8">
        <v>680</v>
      </c>
      <c r="E40531" s="8">
        <v>0</v>
      </c>
      <c r="F40531" s="8">
        <v>201</v>
      </c>
    </row>
    <row r="40532" spans="1:6" ht="12.75">
      <c r="A40532" s="8">
        <v>43886.334629629629</v>
      </c>
      <c r="B40532" s="8" t="str">
        <f>HYPERLINK("https://twitter.com/Gerbangidn","@Gerbangidn")</f>
        <v>@Gerbangidn</v>
      </c>
      <c r="C40532" s="8" t="s">
        <v>15494</v>
      </c>
      <c r="D40532" s="8">
        <v>0</v>
      </c>
      <c r="E40532" s="8">
        <v>0</v>
      </c>
      <c r="F40532" s="8">
        <v>995</v>
      </c>
    </row>
    <row r="40533" spans="1:6" ht="12.75">
      <c r="A40533" s="8">
        <v>43886.334444444445</v>
      </c>
      <c r="B40533" s="8" t="str">
        <f>HYPERLINK("https://twitter.com/PawanKu61173116","@PawanKu61173116")</f>
        <v>@PawanKu61173116</v>
      </c>
      <c r="C40533" s="8" t="s">
        <v>15495</v>
      </c>
      <c r="D40533" s="8">
        <v>0</v>
      </c>
      <c r="E40533" s="8">
        <v>0</v>
      </c>
      <c r="F40533" s="8">
        <v>114</v>
      </c>
    </row>
    <row r="40534" spans="1:6" ht="12.75">
      <c r="A40534" s="8">
        <v>43886.334282407406</v>
      </c>
      <c r="B40534" s="8" t="str">
        <f>HYPERLINK("https://twitter.com/uganprayoga","@uganprayoga")</f>
        <v>@uganprayoga</v>
      </c>
      <c r="C40534" s="8" t="s">
        <v>11964</v>
      </c>
      <c r="D40534" s="8">
        <v>96</v>
      </c>
      <c r="E40534" s="8">
        <v>0</v>
      </c>
      <c r="F40534" s="8">
        <v>270</v>
      </c>
    </row>
    <row r="40535" spans="1:6" ht="12.75">
      <c r="A40535" s="8">
        <v>43886.33388888889</v>
      </c>
      <c r="B40535" s="8" t="str">
        <f>HYPERLINK("https://twitter.com/NurCahya2020","@NurCahya2020")</f>
        <v>@NurCahya2020</v>
      </c>
      <c r="C40535" s="8" t="s">
        <v>15496</v>
      </c>
      <c r="D40535" s="8">
        <v>93</v>
      </c>
      <c r="E40535" s="8">
        <v>0</v>
      </c>
      <c r="F40535" s="8">
        <v>88</v>
      </c>
    </row>
    <row r="40536" spans="1:6" ht="12.75">
      <c r="A40536" s="8">
        <v>43886.33384259259</v>
      </c>
      <c r="B40536" s="8" t="str">
        <f>HYPERLINK("https://twitter.com/bud1_f1","@bud1_f1")</f>
        <v>@bud1_f1</v>
      </c>
      <c r="C40536" s="8" t="s">
        <v>14887</v>
      </c>
      <c r="D40536" s="8">
        <v>27</v>
      </c>
      <c r="E40536" s="8">
        <v>0</v>
      </c>
      <c r="F40536" s="8">
        <v>1735</v>
      </c>
    </row>
    <row r="40537" spans="1:6" ht="12.75">
      <c r="A40537" s="8">
        <v>43886.333414351851</v>
      </c>
      <c r="B40537" s="8" t="str">
        <f>HYPERLINK("https://twitter.com/Febyval22","@Febyval22")</f>
        <v>@Febyval22</v>
      </c>
      <c r="C40537" s="8" t="s">
        <v>11964</v>
      </c>
      <c r="D40537" s="8">
        <v>96</v>
      </c>
      <c r="E40537" s="8">
        <v>0</v>
      </c>
      <c r="F40537" s="8">
        <v>295</v>
      </c>
    </row>
    <row r="40538" spans="1:6" ht="12.75">
      <c r="A40538" s="8">
        <v>43886.333368055552</v>
      </c>
      <c r="B40538" s="8" t="str">
        <f>HYPERLINK("https://twitter.com/SayHeiYu","@SayHeiYu")</f>
        <v>@SayHeiYu</v>
      </c>
      <c r="C40538" s="8" t="s">
        <v>15069</v>
      </c>
      <c r="D40538" s="8">
        <v>0</v>
      </c>
      <c r="E40538" s="8">
        <v>0</v>
      </c>
      <c r="F40538" s="8">
        <v>120127</v>
      </c>
    </row>
    <row r="40539" spans="1:6" ht="12.75">
      <c r="A40539" s="8">
        <v>43886.333333333328</v>
      </c>
      <c r="B40539" s="8" t="str">
        <f>HYPERLINK("https://twitter.com/Lintas_MNCTV","@Lintas_MNCTV")</f>
        <v>@Lintas_MNCTV</v>
      </c>
      <c r="C40539" s="8" t="s">
        <v>15497</v>
      </c>
      <c r="D40539" s="8">
        <v>0</v>
      </c>
      <c r="E40539" s="8">
        <v>0</v>
      </c>
      <c r="F40539" s="8">
        <v>35900</v>
      </c>
    </row>
    <row r="40540" spans="1:6" ht="12.75">
      <c r="A40540" s="8">
        <v>43886.333275462966</v>
      </c>
      <c r="B40540" s="8" t="str">
        <f>HYPERLINK("https://twitter.com/ibnuuabrarr","@ibnuuabrarr")</f>
        <v>@ibnuuabrarr</v>
      </c>
      <c r="C40540" s="8" t="s">
        <v>14706</v>
      </c>
      <c r="D40540" s="8">
        <v>2</v>
      </c>
      <c r="E40540" s="8">
        <v>0</v>
      </c>
      <c r="F40540" s="8">
        <v>279</v>
      </c>
    </row>
    <row r="40541" spans="1:6" ht="12.75">
      <c r="A40541" s="8">
        <v>43886.332800925928</v>
      </c>
      <c r="B40541" s="8" t="str">
        <f>HYPERLINK("https://twitter.com/musurifu","@musurifu")</f>
        <v>@musurifu</v>
      </c>
      <c r="C40541" s="8" t="s">
        <v>11964</v>
      </c>
      <c r="D40541" s="8">
        <v>96</v>
      </c>
      <c r="E40541" s="8">
        <v>0</v>
      </c>
      <c r="F40541" s="8">
        <v>998</v>
      </c>
    </row>
    <row r="40542" spans="1:6" ht="12.75">
      <c r="A40542" s="8">
        <v>43886.33216435185</v>
      </c>
      <c r="B40542" s="8" t="str">
        <f>HYPERLINK("https://twitter.com/dinauda","@dinauda")</f>
        <v>@dinauda</v>
      </c>
      <c r="C40542" s="8" t="s">
        <v>11964</v>
      </c>
      <c r="D40542" s="8">
        <v>96</v>
      </c>
      <c r="E40542" s="8">
        <v>0</v>
      </c>
      <c r="F40542" s="8">
        <v>529</v>
      </c>
    </row>
    <row r="40543" spans="1:6" ht="12.75">
      <c r="A40543" s="8">
        <v>43886.331909722227</v>
      </c>
      <c r="B40543" s="8" t="str">
        <f>HYPERLINK("https://twitter.com/ranggalawe727","@ranggalawe727")</f>
        <v>@ranggalawe727</v>
      </c>
      <c r="C40543" s="8" t="s">
        <v>11964</v>
      </c>
      <c r="D40543" s="8">
        <v>96</v>
      </c>
      <c r="E40543" s="8">
        <v>0</v>
      </c>
      <c r="F40543" s="8">
        <v>325</v>
      </c>
    </row>
    <row r="40544" spans="1:6" ht="12.75">
      <c r="A40544" s="8">
        <v>43886.331886574073</v>
      </c>
      <c r="B40544" s="8" t="str">
        <f>HYPERLINK("https://twitter.com/larassattidn","@larassattidn")</f>
        <v>@larassattidn</v>
      </c>
      <c r="C40544" s="8" t="s">
        <v>15498</v>
      </c>
      <c r="D40544" s="8">
        <v>0</v>
      </c>
      <c r="E40544" s="8">
        <v>0</v>
      </c>
      <c r="F40544" s="8">
        <v>435</v>
      </c>
    </row>
    <row r="40545" spans="1:6" ht="12.75">
      <c r="A40545" s="8">
        <v>43886.331724537042</v>
      </c>
      <c r="B40545" s="8" t="str">
        <f>HYPERLINK("https://twitter.com/Hend082","@Hend082")</f>
        <v>@Hend082</v>
      </c>
      <c r="C40545" s="8" t="s">
        <v>15499</v>
      </c>
      <c r="D40545" s="8">
        <v>0</v>
      </c>
      <c r="E40545" s="8">
        <v>0</v>
      </c>
      <c r="F40545" s="8">
        <v>622</v>
      </c>
    </row>
    <row r="40546" spans="1:6" ht="12.75">
      <c r="A40546" s="8">
        <v>43886.331666666665</v>
      </c>
      <c r="B40546" s="8" t="str">
        <f>HYPERLINK("https://twitter.com/geloraco","@geloraco")</f>
        <v>@geloraco</v>
      </c>
      <c r="C40546" s="8" t="s">
        <v>15441</v>
      </c>
      <c r="D40546" s="8">
        <v>1</v>
      </c>
      <c r="E40546" s="8">
        <v>1</v>
      </c>
      <c r="F40546" s="8">
        <v>101932</v>
      </c>
    </row>
    <row r="40547" spans="1:6" ht="12.75">
      <c r="A40547" s="8">
        <v>43886.331469907411</v>
      </c>
      <c r="B40547" s="8" t="str">
        <f>HYPERLINK("https://twitter.com/zupryzaenal","@zupryzaenal")</f>
        <v>@zupryzaenal</v>
      </c>
      <c r="C40547" s="8" t="s">
        <v>14913</v>
      </c>
      <c r="D40547" s="8">
        <v>12</v>
      </c>
      <c r="E40547" s="8">
        <v>0</v>
      </c>
      <c r="F40547" s="8">
        <v>855</v>
      </c>
    </row>
    <row r="40548" spans="1:6" ht="12.75">
      <c r="A40548" s="8">
        <v>43886.330381944441</v>
      </c>
      <c r="B40548" s="8" t="str">
        <f>HYPERLINK("https://twitter.com/papipupepopurin","@papipupepopurin")</f>
        <v>@papipupepopurin</v>
      </c>
      <c r="C40548" s="8" t="s">
        <v>15500</v>
      </c>
      <c r="D40548" s="8">
        <v>0</v>
      </c>
      <c r="E40548" s="8">
        <v>0</v>
      </c>
      <c r="F40548" s="8">
        <v>333</v>
      </c>
    </row>
    <row r="40549" spans="1:6" ht="12.75">
      <c r="A40549" s="8">
        <v>43886.330243055556</v>
      </c>
      <c r="B40549" s="8" t="str">
        <f>HYPERLINK("https://twitter.com/mriank","@mriank")</f>
        <v>@mriank</v>
      </c>
      <c r="C40549" s="8" t="s">
        <v>15501</v>
      </c>
      <c r="D40549" s="8">
        <v>110</v>
      </c>
      <c r="E40549" s="8">
        <v>0</v>
      </c>
      <c r="F40549" s="8">
        <v>101</v>
      </c>
    </row>
    <row r="40550" spans="1:6" ht="12.75">
      <c r="A40550" s="8">
        <v>43886.330196759256</v>
      </c>
      <c r="B40550" s="8" t="str">
        <f>HYPERLINK("https://twitter.com/jungkebi","@jungkebi")</f>
        <v>@jungkebi</v>
      </c>
      <c r="C40550" s="8" t="s">
        <v>14706</v>
      </c>
      <c r="D40550" s="8">
        <v>2</v>
      </c>
      <c r="E40550" s="8">
        <v>0</v>
      </c>
      <c r="F40550" s="8">
        <v>43</v>
      </c>
    </row>
    <row r="40551" spans="1:6" ht="12.75">
      <c r="A40551" s="8">
        <v>43886.330138888894</v>
      </c>
      <c r="B40551" s="8" t="str">
        <f>HYPERLINK("https://twitter.com/idiwcimiw","@idiwcimiw")</f>
        <v>@idiwcimiw</v>
      </c>
      <c r="C40551" s="8" t="s">
        <v>15502</v>
      </c>
      <c r="D40551" s="8">
        <v>0</v>
      </c>
      <c r="E40551" s="8">
        <v>0</v>
      </c>
      <c r="F40551" s="8">
        <v>1168</v>
      </c>
    </row>
    <row r="40552" spans="1:6" ht="12.75">
      <c r="A40552" s="8">
        <v>43886.330081018517</v>
      </c>
      <c r="B40552" s="8" t="str">
        <f>HYPERLINK("https://twitter.com/mriank","@mriank")</f>
        <v>@mriank</v>
      </c>
      <c r="C40552" s="8" t="s">
        <v>15503</v>
      </c>
      <c r="D40552" s="8">
        <v>194</v>
      </c>
      <c r="E40552" s="8">
        <v>0</v>
      </c>
      <c r="F40552" s="8">
        <v>101</v>
      </c>
    </row>
    <row r="40553" spans="1:6" ht="12.75">
      <c r="A40553" s="8">
        <v>43886.32984953704</v>
      </c>
      <c r="B40553" s="8" t="str">
        <f>HYPERLINK("https://twitter.com/RcIbee","@RcIbee")</f>
        <v>@RcIbee</v>
      </c>
      <c r="C40553" s="8" t="s">
        <v>15340</v>
      </c>
      <c r="D40553" s="8">
        <v>30</v>
      </c>
      <c r="E40553" s="8">
        <v>0</v>
      </c>
      <c r="F40553" s="8">
        <v>359</v>
      </c>
    </row>
    <row r="40554" spans="1:6" ht="12.75">
      <c r="A40554" s="8">
        <v>43886.329837962963</v>
      </c>
      <c r="B40554" s="8" t="str">
        <f>HYPERLINK("https://twitter.com/AkhmadFeatZaini","@AkhmadFeatZaini")</f>
        <v>@AkhmadFeatZaini</v>
      </c>
      <c r="C40554" s="8" t="s">
        <v>11964</v>
      </c>
      <c r="D40554" s="8">
        <v>96</v>
      </c>
      <c r="E40554" s="8">
        <v>0</v>
      </c>
      <c r="F40554" s="8">
        <v>1161</v>
      </c>
    </row>
    <row r="40555" spans="1:6" ht="12.75">
      <c r="A40555" s="8">
        <v>43886.329629629632</v>
      </c>
      <c r="B40555" s="8" t="str">
        <f>HYPERLINK("https://twitter.com/SahabatSaber","@SahabatSaber")</f>
        <v>@SahabatSaber</v>
      </c>
      <c r="C40555" s="8" t="s">
        <v>15504</v>
      </c>
      <c r="D40555" s="8">
        <v>0</v>
      </c>
      <c r="E40555" s="8">
        <v>0</v>
      </c>
      <c r="F40555" s="8">
        <v>9058</v>
      </c>
    </row>
    <row r="40556" spans="1:6" ht="12.75">
      <c r="A40556" s="8">
        <v>43886.329548611116</v>
      </c>
      <c r="B40556" s="8" t="str">
        <f>HYPERLINK("https://twitter.com/suaradotcom","@suaradotcom")</f>
        <v>@suaradotcom</v>
      </c>
      <c r="C40556" s="8" t="s">
        <v>15505</v>
      </c>
      <c r="D40556" s="8">
        <v>0</v>
      </c>
      <c r="E40556" s="8">
        <v>0</v>
      </c>
      <c r="F40556" s="8">
        <v>24234</v>
      </c>
    </row>
    <row r="40557" spans="1:6" ht="12.75">
      <c r="A40557" s="8">
        <v>43886.329351851848</v>
      </c>
      <c r="B40557" s="8" t="str">
        <f>HYPERLINK("https://twitter.com/AndiBinTaslim1","@AndiBinTaslim1")</f>
        <v>@AndiBinTaslim1</v>
      </c>
      <c r="C40557" s="8" t="s">
        <v>11964</v>
      </c>
      <c r="D40557" s="8">
        <v>96</v>
      </c>
      <c r="E40557" s="8">
        <v>0</v>
      </c>
      <c r="F40557" s="8">
        <v>15</v>
      </c>
    </row>
    <row r="40558" spans="1:6" ht="12.75">
      <c r="A40558" s="8">
        <v>43886.329247685186</v>
      </c>
      <c r="B40558" s="8" t="str">
        <f>HYPERLINK("https://twitter.com/mostradio1058fm","@mostradio1058fm")</f>
        <v>@mostradio1058fm</v>
      </c>
      <c r="C40558" s="8" t="s">
        <v>15506</v>
      </c>
      <c r="D40558" s="8">
        <v>0</v>
      </c>
      <c r="E40558" s="8">
        <v>1</v>
      </c>
      <c r="F40558" s="8">
        <v>75408</v>
      </c>
    </row>
    <row r="40559" spans="1:6" ht="12.75">
      <c r="A40559" s="8">
        <v>43886.329085648147</v>
      </c>
      <c r="B40559" s="8" t="str">
        <f>HYPERLINK("https://twitter.com/gen987fm","@gen987fm")</f>
        <v>@gen987fm</v>
      </c>
      <c r="C40559" s="8" t="s">
        <v>15507</v>
      </c>
      <c r="D40559" s="8">
        <v>2</v>
      </c>
      <c r="E40559" s="8">
        <v>2</v>
      </c>
      <c r="F40559" s="8">
        <v>3989245</v>
      </c>
    </row>
    <row r="40560" spans="1:6" ht="12.75">
      <c r="A40560" s="8">
        <v>43886.32885416667</v>
      </c>
      <c r="B40560" s="8" t="str">
        <f>HYPERLINK("https://twitter.com/ImbKosta","@ImbKosta")</f>
        <v>@ImbKosta</v>
      </c>
      <c r="C40560" s="8" t="s">
        <v>14887</v>
      </c>
      <c r="D40560" s="8">
        <v>27</v>
      </c>
      <c r="E40560" s="8">
        <v>0</v>
      </c>
      <c r="F40560" s="8">
        <v>49</v>
      </c>
    </row>
    <row r="40561" spans="1:6" ht="12.75">
      <c r="A40561" s="8">
        <v>43886.328576388885</v>
      </c>
      <c r="B40561" s="8" t="str">
        <f>HYPERLINK("https://twitter.com/AchmadyaniAy70","@AchmadyaniAy70")</f>
        <v>@AchmadyaniAy70</v>
      </c>
      <c r="C40561" s="8" t="s">
        <v>15420</v>
      </c>
      <c r="D40561" s="8">
        <v>2</v>
      </c>
      <c r="E40561" s="8">
        <v>0</v>
      </c>
      <c r="F40561" s="8">
        <v>4272</v>
      </c>
    </row>
    <row r="40562" spans="1:6" ht="12.75">
      <c r="A40562" s="8">
        <v>43886.32849537037</v>
      </c>
      <c r="B40562" s="8" t="str">
        <f>HYPERLINK("https://twitter.com/washiro","@washiro")</f>
        <v>@washiro</v>
      </c>
      <c r="C40562" s="8" t="s">
        <v>2940</v>
      </c>
      <c r="D40562" s="8">
        <v>2282</v>
      </c>
      <c r="E40562" s="8">
        <v>0</v>
      </c>
      <c r="F40562" s="8">
        <v>4338</v>
      </c>
    </row>
    <row r="40563" spans="1:6" ht="12.75">
      <c r="A40563" s="8">
        <v>43886.327499999999</v>
      </c>
      <c r="B40563" s="8" t="str">
        <f>HYPERLINK("https://twitter.com/jibotu","@jibotu")</f>
        <v>@jibotu</v>
      </c>
      <c r="C40563" s="8" t="s">
        <v>11964</v>
      </c>
      <c r="D40563" s="8">
        <v>96</v>
      </c>
      <c r="E40563" s="8">
        <v>0</v>
      </c>
      <c r="F40563" s="8">
        <v>633</v>
      </c>
    </row>
    <row r="40564" spans="1:6" ht="12.75">
      <c r="A40564" s="8">
        <v>43886.325810185182</v>
      </c>
      <c r="B40564" s="8" t="str">
        <f>HYPERLINK("https://twitter.com/heyayi","@heyayi")</f>
        <v>@heyayi</v>
      </c>
      <c r="C40564" s="8" t="s">
        <v>12920</v>
      </c>
      <c r="D40564" s="8">
        <v>1512</v>
      </c>
      <c r="E40564" s="8">
        <v>0</v>
      </c>
      <c r="F40564" s="8">
        <v>696</v>
      </c>
    </row>
    <row r="40565" spans="1:6" ht="12.75">
      <c r="A40565" s="8">
        <v>43886.325532407413</v>
      </c>
      <c r="B40565" s="8" t="str">
        <f>HYPERLINK("https://twitter.com/deozzol","@deozzol")</f>
        <v>@deozzol</v>
      </c>
      <c r="C40565" s="8" t="s">
        <v>15508</v>
      </c>
      <c r="D40565" s="8">
        <v>386</v>
      </c>
      <c r="E40565" s="8">
        <v>0</v>
      </c>
      <c r="F40565" s="8">
        <v>358</v>
      </c>
    </row>
    <row r="40566" spans="1:6" ht="12.75">
      <c r="A40566" s="8">
        <v>43886.325509259259</v>
      </c>
      <c r="B40566" s="8" t="str">
        <f>HYPERLINK("https://twitter.com/isis_all4me","@isis_all4me")</f>
        <v>@isis_all4me</v>
      </c>
      <c r="C40566" s="8" t="s">
        <v>15509</v>
      </c>
      <c r="D40566" s="8">
        <v>0</v>
      </c>
      <c r="E40566" s="8">
        <v>0</v>
      </c>
      <c r="F40566" s="8">
        <v>7</v>
      </c>
    </row>
    <row r="40567" spans="1:6" ht="12.75">
      <c r="A40567" s="8">
        <v>43886.325208333335</v>
      </c>
      <c r="B40567" s="8" t="str">
        <f>HYPERLINK("https://twitter.com/black13side","@black13side")</f>
        <v>@black13side</v>
      </c>
      <c r="C40567" s="8" t="s">
        <v>11964</v>
      </c>
      <c r="D40567" s="8">
        <v>96</v>
      </c>
      <c r="E40567" s="8">
        <v>0</v>
      </c>
      <c r="F40567" s="8">
        <v>627</v>
      </c>
    </row>
    <row r="40568" spans="1:6" ht="12.75">
      <c r="A40568" s="8">
        <v>43886.32508101852</v>
      </c>
      <c r="B40568" s="8" t="str">
        <f>HYPERLINK("https://twitter.com/agaelvis","@agaelvis")</f>
        <v>@agaelvis</v>
      </c>
      <c r="C40568" s="8" t="s">
        <v>11183</v>
      </c>
      <c r="D40568" s="8">
        <v>13</v>
      </c>
      <c r="E40568" s="8">
        <v>0</v>
      </c>
      <c r="F40568" s="8">
        <v>633</v>
      </c>
    </row>
    <row r="40569" spans="1:6" ht="12.75">
      <c r="A40569" s="8">
        <v>43886.324907407412</v>
      </c>
      <c r="B40569" s="8" t="str">
        <f>HYPERLINK("https://twitter.com/Abdurahman18981","@Abdurahman18981")</f>
        <v>@Abdurahman18981</v>
      </c>
      <c r="C40569" s="8" t="s">
        <v>11964</v>
      </c>
      <c r="D40569" s="8">
        <v>96</v>
      </c>
      <c r="E40569" s="8">
        <v>0</v>
      </c>
      <c r="F40569" s="8">
        <v>465</v>
      </c>
    </row>
    <row r="40570" spans="1:6" ht="12.75">
      <c r="A40570" s="8">
        <v>43886.324826388889</v>
      </c>
      <c r="B40570" s="8" t="str">
        <f>HYPERLINK("https://twitter.com/HafsahHerlina","@HafsahHerlina")</f>
        <v>@HafsahHerlina</v>
      </c>
      <c r="C40570" s="8" t="s">
        <v>11964</v>
      </c>
      <c r="D40570" s="8">
        <v>96</v>
      </c>
      <c r="E40570" s="8">
        <v>0</v>
      </c>
      <c r="F40570" s="8">
        <v>14</v>
      </c>
    </row>
    <row r="40571" spans="1:6" ht="12.75">
      <c r="A40571" s="8">
        <v>43886.324421296296</v>
      </c>
      <c r="B40571" s="8" t="str">
        <f>HYPERLINK("https://twitter.com/Dedyfayyed","@Dedyfayyed")</f>
        <v>@Dedyfayyed</v>
      </c>
      <c r="C40571" s="8" t="s">
        <v>11964</v>
      </c>
      <c r="D40571" s="8">
        <v>96</v>
      </c>
      <c r="E40571" s="8">
        <v>0</v>
      </c>
      <c r="F40571" s="8">
        <v>74</v>
      </c>
    </row>
    <row r="40572" spans="1:6" ht="12.75">
      <c r="A40572" s="8">
        <v>43886.324374999997</v>
      </c>
      <c r="B40572" s="8" t="str">
        <f>HYPERLINK("https://twitter.com/teh_tariq","@teh_tariq")</f>
        <v>@teh_tariq</v>
      </c>
      <c r="C40572" s="8" t="s">
        <v>12920</v>
      </c>
      <c r="D40572" s="8">
        <v>1512</v>
      </c>
      <c r="E40572" s="8">
        <v>0</v>
      </c>
      <c r="F40572" s="8">
        <v>6802</v>
      </c>
    </row>
    <row r="40573" spans="1:6" ht="12.75">
      <c r="A40573" s="8">
        <v>43886.323935185181</v>
      </c>
      <c r="B40573" s="8" t="str">
        <f>HYPERLINK("https://twitter.com/manuhoro","@manuhoro")</f>
        <v>@manuhoro</v>
      </c>
      <c r="C40573" s="8" t="s">
        <v>15510</v>
      </c>
      <c r="D40573" s="8">
        <v>0</v>
      </c>
      <c r="E40573" s="8">
        <v>0</v>
      </c>
      <c r="F40573" s="8">
        <v>387</v>
      </c>
    </row>
    <row r="40574" spans="1:6" ht="12.75">
      <c r="A40574" s="8">
        <v>43886.323935185181</v>
      </c>
      <c r="B40574" s="8" t="str">
        <f>HYPERLINK("https://twitter.com/Robin068876061","@Robin068876061")</f>
        <v>@Robin068876061</v>
      </c>
      <c r="C40574" s="8" t="s">
        <v>2940</v>
      </c>
      <c r="D40574" s="8">
        <v>2282</v>
      </c>
      <c r="E40574" s="8">
        <v>0</v>
      </c>
      <c r="F40574" s="8">
        <v>229</v>
      </c>
    </row>
    <row r="40575" spans="1:6" ht="12.75">
      <c r="A40575" s="8">
        <v>43886.322800925926</v>
      </c>
      <c r="B40575" s="8" t="str">
        <f>HYPERLINK("https://twitter.com/permata_2020","@permata_2020")</f>
        <v>@permata_2020</v>
      </c>
      <c r="C40575" s="8" t="s">
        <v>15496</v>
      </c>
      <c r="D40575" s="8">
        <v>93</v>
      </c>
      <c r="E40575" s="8">
        <v>0</v>
      </c>
      <c r="F40575" s="8">
        <v>87</v>
      </c>
    </row>
    <row r="40576" spans="1:6" ht="12.75">
      <c r="A40576" s="8">
        <v>43886.322569444441</v>
      </c>
      <c r="B40576" s="8" t="str">
        <f>HYPERLINK("https://twitter.com/CindarNasmoco","@CindarNasmoco")</f>
        <v>@CindarNasmoco</v>
      </c>
      <c r="C40576" s="8" t="s">
        <v>2940</v>
      </c>
      <c r="D40576" s="8">
        <v>2282</v>
      </c>
      <c r="E40576" s="8">
        <v>0</v>
      </c>
      <c r="F40576" s="8">
        <v>43</v>
      </c>
    </row>
    <row r="40577" spans="1:6" ht="12.75">
      <c r="A40577" s="8">
        <v>43886.32240740741</v>
      </c>
      <c r="B40577" s="8" t="str">
        <f>HYPERLINK("https://twitter.com/my_hobbies_imo","@my_hobbies_imo")</f>
        <v>@my_hobbies_imo</v>
      </c>
      <c r="C40577" s="8" t="s">
        <v>8484</v>
      </c>
      <c r="D40577" s="8">
        <v>680</v>
      </c>
      <c r="E40577" s="8">
        <v>0</v>
      </c>
      <c r="F40577" s="8">
        <v>717</v>
      </c>
    </row>
    <row r="40578" spans="1:6" ht="12.75">
      <c r="A40578" s="8">
        <v>43886.32230324074</v>
      </c>
      <c r="B40578" s="8" t="str">
        <f>HYPERLINK("https://twitter.com/emanueli_laia","@emanueli_laia")</f>
        <v>@emanueli_laia</v>
      </c>
      <c r="C40578" s="8" t="s">
        <v>15511</v>
      </c>
      <c r="D40578" s="8">
        <v>7</v>
      </c>
      <c r="E40578" s="8">
        <v>0</v>
      </c>
      <c r="F40578" s="8">
        <v>9</v>
      </c>
    </row>
    <row r="40579" spans="1:6" ht="12.75">
      <c r="A40579" s="8">
        <v>43886.321597222224</v>
      </c>
      <c r="B40579" s="8" t="str">
        <f>HYPERLINK("https://twitter.com/Nisshy5Nisshy","@Nisshy5Nisshy")</f>
        <v>@Nisshy5Nisshy</v>
      </c>
      <c r="C40579" s="8" t="s">
        <v>2940</v>
      </c>
      <c r="D40579" s="8">
        <v>2282</v>
      </c>
      <c r="E40579" s="8">
        <v>0</v>
      </c>
      <c r="F40579" s="8">
        <v>33</v>
      </c>
    </row>
    <row r="40580" spans="1:6" ht="12.75">
      <c r="A40580" s="8">
        <v>43886.321435185186</v>
      </c>
      <c r="B40580" s="8" t="str">
        <f>HYPERLINK("https://twitter.com/IkiiinnSan","@IkiiinnSan")</f>
        <v>@IkiiinnSan</v>
      </c>
      <c r="C40580" s="8" t="s">
        <v>12920</v>
      </c>
      <c r="D40580" s="8">
        <v>1512</v>
      </c>
      <c r="E40580" s="8">
        <v>0</v>
      </c>
      <c r="F40580" s="8">
        <v>211</v>
      </c>
    </row>
    <row r="40581" spans="1:6" ht="12.75">
      <c r="A40581" s="8">
        <v>43886.320960648147</v>
      </c>
      <c r="B40581" s="8" t="str">
        <f>HYPERLINK("https://twitter.com/ZhAlkhalifi","@ZhAlkhalifi")</f>
        <v>@ZhAlkhalifi</v>
      </c>
      <c r="C40581" s="8" t="s">
        <v>11964</v>
      </c>
      <c r="D40581" s="8">
        <v>96</v>
      </c>
      <c r="E40581" s="8">
        <v>0</v>
      </c>
      <c r="F40581" s="8">
        <v>382</v>
      </c>
    </row>
    <row r="40582" spans="1:6" ht="12.75">
      <c r="A40582" s="8">
        <v>43886.32094907407</v>
      </c>
      <c r="B40582" s="8" t="str">
        <f>HYPERLINK("https://twitter.com/rachmatfauzy1","@rachmatfauzy1")</f>
        <v>@rachmatfauzy1</v>
      </c>
      <c r="C40582" s="8" t="s">
        <v>12920</v>
      </c>
      <c r="D40582" s="8">
        <v>1512</v>
      </c>
      <c r="E40582" s="8">
        <v>0</v>
      </c>
      <c r="F40582" s="8">
        <v>941</v>
      </c>
    </row>
    <row r="40583" spans="1:6" ht="12.75">
      <c r="A40583" s="8">
        <v>43886.320590277777</v>
      </c>
      <c r="B40583" s="8" t="str">
        <f>HYPERLINK("https://twitter.com/boscogonc","@boscogonc")</f>
        <v>@boscogonc</v>
      </c>
      <c r="C40583" s="8" t="s">
        <v>15512</v>
      </c>
      <c r="D40583" s="8">
        <v>0</v>
      </c>
      <c r="E40583" s="8">
        <v>1</v>
      </c>
      <c r="F40583" s="8">
        <v>1274</v>
      </c>
    </row>
    <row r="40584" spans="1:6" ht="12.75">
      <c r="A40584" s="8">
        <v>43886.320520833338</v>
      </c>
      <c r="B40584" s="8" t="str">
        <f>HYPERLINK("https://twitter.com/jdu_pg6","@jdu_pg6")</f>
        <v>@jdu_pg6</v>
      </c>
      <c r="C40584" s="8" t="s">
        <v>2940</v>
      </c>
      <c r="D40584" s="8">
        <v>2282</v>
      </c>
      <c r="E40584" s="8">
        <v>0</v>
      </c>
      <c r="F40584" s="8">
        <v>76</v>
      </c>
    </row>
    <row r="40585" spans="1:6" ht="12.75">
      <c r="A40585" s="8">
        <v>43886.319664351853</v>
      </c>
      <c r="B40585" s="8" t="str">
        <f>HYPERLINK("https://twitter.com/Gilleuh","@Gilleuh")</f>
        <v>@Gilleuh</v>
      </c>
      <c r="C40585" s="8" t="s">
        <v>15513</v>
      </c>
      <c r="D40585" s="8">
        <v>0</v>
      </c>
      <c r="E40585" s="8">
        <v>0</v>
      </c>
      <c r="F40585" s="8">
        <v>440</v>
      </c>
    </row>
    <row r="40586" spans="1:6" ht="12.75">
      <c r="A40586" s="8">
        <v>43886.319664351853</v>
      </c>
      <c r="B40586" s="8" t="str">
        <f>HYPERLINK("https://twitter.com/db_bae_Aos","@db_bae_Aos")</f>
        <v>@db_bae_Aos</v>
      </c>
      <c r="C40586" s="8" t="s">
        <v>2940</v>
      </c>
      <c r="D40586" s="8">
        <v>2282</v>
      </c>
      <c r="E40586" s="8">
        <v>0</v>
      </c>
      <c r="F40586" s="8">
        <v>150</v>
      </c>
    </row>
    <row r="40587" spans="1:6" ht="12.75">
      <c r="A40587" s="8">
        <v>43886.319502314815</v>
      </c>
      <c r="B40587" s="8" t="str">
        <f>HYPERLINK("https://twitter.com/smarthadinata","@smarthadinata")</f>
        <v>@smarthadinata</v>
      </c>
      <c r="C40587" s="8" t="s">
        <v>15514</v>
      </c>
      <c r="D40587" s="8">
        <v>0</v>
      </c>
      <c r="E40587" s="8">
        <v>0</v>
      </c>
      <c r="F40587" s="8">
        <v>81</v>
      </c>
    </row>
    <row r="40588" spans="1:6" ht="12.75">
      <c r="A40588" s="8">
        <v>43886.319444444445</v>
      </c>
      <c r="B40588" s="8" t="str">
        <f>HYPERLINK("https://twitter.com/dannissh","@dannissh")</f>
        <v>@dannissh</v>
      </c>
      <c r="C40588" s="8" t="s">
        <v>14430</v>
      </c>
      <c r="D40588" s="8">
        <v>4</v>
      </c>
      <c r="E40588" s="8">
        <v>0</v>
      </c>
      <c r="F40588" s="8">
        <v>217</v>
      </c>
    </row>
    <row r="40589" spans="1:6" ht="12.75">
      <c r="A40589" s="8">
        <v>43886.319328703699</v>
      </c>
      <c r="B40589" s="8" t="str">
        <f>HYPERLINK("https://twitter.com/nafjarin","@nafjarin")</f>
        <v>@nafjarin</v>
      </c>
      <c r="C40589" s="8" t="s">
        <v>15515</v>
      </c>
      <c r="D40589" s="8">
        <v>0</v>
      </c>
      <c r="E40589" s="8">
        <v>1</v>
      </c>
      <c r="F40589" s="8">
        <v>266</v>
      </c>
    </row>
    <row r="40590" spans="1:6" ht="12.75">
      <c r="A40590" s="8">
        <v>43886.318888888884</v>
      </c>
      <c r="B40590" s="8" t="str">
        <f>HYPERLINK("https://twitter.com/Aliranto3","@Aliranto3")</f>
        <v>@Aliranto3</v>
      </c>
      <c r="C40590" s="8" t="s">
        <v>15516</v>
      </c>
      <c r="D40590" s="8">
        <v>0</v>
      </c>
      <c r="E40590" s="8">
        <v>0</v>
      </c>
      <c r="F40590" s="8">
        <v>1</v>
      </c>
    </row>
    <row r="40591" spans="1:6" ht="12.75">
      <c r="A40591" s="8">
        <v>43886.318194444444</v>
      </c>
      <c r="B40591" s="8" t="str">
        <f>HYPERLINK("https://twitter.com/alextom71","@alextom71")</f>
        <v>@alextom71</v>
      </c>
      <c r="C40591" s="8" t="s">
        <v>12920</v>
      </c>
      <c r="D40591" s="8">
        <v>1512</v>
      </c>
      <c r="E40591" s="8">
        <v>0</v>
      </c>
      <c r="F40591" s="8">
        <v>159</v>
      </c>
    </row>
    <row r="40592" spans="1:6" ht="12.75">
      <c r="A40592" s="8">
        <v>43886.318159722221</v>
      </c>
      <c r="B40592" s="8" t="str">
        <f>HYPERLINK("https://twitter.com/OldJoe771","@OldJoe771")</f>
        <v>@OldJoe771</v>
      </c>
      <c r="C40592" s="8" t="s">
        <v>11964</v>
      </c>
      <c r="D40592" s="8">
        <v>96</v>
      </c>
      <c r="E40592" s="8">
        <v>0</v>
      </c>
      <c r="F40592" s="8">
        <v>323</v>
      </c>
    </row>
    <row r="40593" spans="1:6" ht="12.75">
      <c r="A40593" s="8">
        <v>43886.317905092597</v>
      </c>
      <c r="B40593" s="8" t="str">
        <f>HYPERLINK("https://twitter.com/nemosyus","@nemosyus")</f>
        <v>@nemosyus</v>
      </c>
      <c r="C40593" s="8" t="s">
        <v>14887</v>
      </c>
      <c r="D40593" s="8">
        <v>27</v>
      </c>
      <c r="E40593" s="8">
        <v>0</v>
      </c>
      <c r="F40593" s="8">
        <v>504</v>
      </c>
    </row>
    <row r="40594" spans="1:6" ht="12.75">
      <c r="A40594" s="8">
        <v>43886.317870370374</v>
      </c>
      <c r="B40594" s="8" t="str">
        <f>HYPERLINK("https://twitter.com/parasmithaaa","@parasmithaaa")</f>
        <v>@parasmithaaa</v>
      </c>
      <c r="C40594" s="8" t="s">
        <v>15517</v>
      </c>
      <c r="D40594" s="8">
        <v>0</v>
      </c>
      <c r="E40594" s="8">
        <v>0</v>
      </c>
      <c r="F40594" s="8">
        <v>19</v>
      </c>
    </row>
    <row r="40595" spans="1:6" ht="12.75">
      <c r="A40595" s="8">
        <v>43886.316990740743</v>
      </c>
      <c r="B40595" s="8" t="str">
        <f>HYPERLINK("https://twitter.com/SemaneiD","@SemaneiD")</f>
        <v>@SemaneiD</v>
      </c>
      <c r="C40595" s="8" t="s">
        <v>11964</v>
      </c>
      <c r="D40595" s="8">
        <v>96</v>
      </c>
      <c r="E40595" s="8">
        <v>0</v>
      </c>
      <c r="F40595" s="8">
        <v>320</v>
      </c>
    </row>
    <row r="40596" spans="1:6" ht="12.75">
      <c r="A40596" s="8">
        <v>43886.316932870366</v>
      </c>
      <c r="B40596" s="8" t="str">
        <f>HYPERLINK("https://twitter.com/bambang_hesti","@bambang_hesti")</f>
        <v>@bambang_hesti</v>
      </c>
      <c r="C40596" s="8" t="s">
        <v>15518</v>
      </c>
      <c r="D40596" s="8">
        <v>0</v>
      </c>
      <c r="E40596" s="8">
        <v>0</v>
      </c>
      <c r="F40596" s="8">
        <v>15</v>
      </c>
    </row>
    <row r="40597" spans="1:6" ht="12.75">
      <c r="A40597" s="8">
        <v>43886.316574074073</v>
      </c>
      <c r="B40597" s="8" t="str">
        <f>HYPERLINK("https://twitter.com/barengarkananta","@barengarkananta")</f>
        <v>@barengarkananta</v>
      </c>
      <c r="C40597" s="8" t="s">
        <v>11964</v>
      </c>
      <c r="D40597" s="8">
        <v>96</v>
      </c>
      <c r="E40597" s="8">
        <v>0</v>
      </c>
      <c r="F40597" s="8">
        <v>1662</v>
      </c>
    </row>
    <row r="40598" spans="1:6" ht="12.75">
      <c r="A40598" s="8">
        <v>43886.316527777773</v>
      </c>
      <c r="B40598" s="8" t="str">
        <f>HYPERLINK("https://twitter.com/terakoya3","@terakoya3")</f>
        <v>@terakoya3</v>
      </c>
      <c r="C40598" s="8" t="s">
        <v>8484</v>
      </c>
      <c r="D40598" s="8">
        <v>680</v>
      </c>
      <c r="E40598" s="8">
        <v>0</v>
      </c>
      <c r="F40598" s="8">
        <v>3743</v>
      </c>
    </row>
    <row r="40599" spans="1:6" ht="12.75">
      <c r="A40599" s="8">
        <v>43886.31627314815</v>
      </c>
      <c r="B40599" s="8" t="str">
        <f>HYPERLINK("https://twitter.com/PissDoeng","@PissDoeng")</f>
        <v>@PissDoeng</v>
      </c>
      <c r="C40599" s="8" t="s">
        <v>14913</v>
      </c>
      <c r="D40599" s="8">
        <v>12</v>
      </c>
      <c r="E40599" s="8">
        <v>0</v>
      </c>
      <c r="F40599" s="8">
        <v>826</v>
      </c>
    </row>
    <row r="40600" spans="1:6" ht="12.75">
      <c r="A40600" s="8">
        <v>43886.316041666665</v>
      </c>
      <c r="B40600" s="8" t="str">
        <f>HYPERLINK("https://twitter.com/azzamputra","@azzamputra")</f>
        <v>@azzamputra</v>
      </c>
      <c r="C40600" s="8" t="s">
        <v>11964</v>
      </c>
      <c r="D40600" s="8">
        <v>96</v>
      </c>
      <c r="E40600" s="8">
        <v>0</v>
      </c>
      <c r="F40600" s="8">
        <v>270</v>
      </c>
    </row>
    <row r="40601" spans="1:6" ht="12.75">
      <c r="A40601" s="8">
        <v>43886.315995370373</v>
      </c>
      <c r="B40601" s="8" t="str">
        <f>HYPERLINK("https://twitter.com/rmol_id","@rmol_id")</f>
        <v>@rmol_id</v>
      </c>
      <c r="C40601" s="8" t="s">
        <v>15519</v>
      </c>
      <c r="D40601" s="8">
        <v>0</v>
      </c>
      <c r="E40601" s="8">
        <v>5</v>
      </c>
      <c r="F40601" s="8">
        <v>165377</v>
      </c>
    </row>
    <row r="40602" spans="1:6" ht="12.75">
      <c r="A40602" s="8">
        <v>43886.298530092594</v>
      </c>
      <c r="B40602" s="8" t="str">
        <f>HYPERLINK("https://twitter.com/KuncoroJati1234","@KuncoroJati1234")</f>
        <v>@KuncoroJati1234</v>
      </c>
      <c r="C40602" s="8" t="s">
        <v>11964</v>
      </c>
      <c r="D40602" s="8">
        <v>17</v>
      </c>
      <c r="E40602" s="8">
        <v>0</v>
      </c>
      <c r="F40602" s="8">
        <v>2050</v>
      </c>
    </row>
    <row r="40603" spans="1:6" ht="12.75">
      <c r="A40603" s="8">
        <v>43886.298495370371</v>
      </c>
      <c r="B40603" s="8" t="str">
        <f>HYPERLINK("https://twitter.com/WiratamaJody","@WiratamaJody")</f>
        <v>@WiratamaJody</v>
      </c>
      <c r="C40603" s="8" t="s">
        <v>13308</v>
      </c>
      <c r="D40603" s="8">
        <v>27</v>
      </c>
      <c r="E40603" s="8">
        <v>0</v>
      </c>
      <c r="F40603" s="8">
        <v>701</v>
      </c>
    </row>
    <row r="40604" spans="1:6" ht="12.75">
      <c r="A40604" s="8">
        <v>43886.298148148147</v>
      </c>
      <c r="B40604" s="8" t="str">
        <f>HYPERLINK("https://twitter.com/titiktitikblank","@titiktitikblank")</f>
        <v>@titiktitikblank</v>
      </c>
      <c r="C40604" s="8" t="s">
        <v>15520</v>
      </c>
      <c r="D40604" s="8">
        <v>27</v>
      </c>
      <c r="E40604" s="8">
        <v>0</v>
      </c>
      <c r="F40604" s="8">
        <v>364</v>
      </c>
    </row>
    <row r="40605" spans="1:6" ht="12.75">
      <c r="A40605" s="8">
        <v>43886.298043981486</v>
      </c>
      <c r="B40605" s="8" t="str">
        <f>HYPERLINK("https://twitter.com/oscarguo","@oscarguo")</f>
        <v>@oscarguo</v>
      </c>
      <c r="C40605" s="8" t="s">
        <v>15521</v>
      </c>
      <c r="D40605" s="8">
        <v>0</v>
      </c>
      <c r="E40605" s="8">
        <v>0</v>
      </c>
      <c r="F40605" s="8">
        <v>149</v>
      </c>
    </row>
    <row r="40606" spans="1:6" ht="12.75">
      <c r="A40606" s="8">
        <v>43886.297974537039</v>
      </c>
      <c r="B40606" s="8" t="str">
        <f>HYPERLINK("https://twitter.com/iNewsID","@iNewsID")</f>
        <v>@iNewsID</v>
      </c>
      <c r="C40606" s="8" t="s">
        <v>15522</v>
      </c>
      <c r="D40606" s="8">
        <v>0</v>
      </c>
      <c r="E40606" s="8">
        <v>0</v>
      </c>
      <c r="F40606" s="8">
        <v>1326</v>
      </c>
    </row>
    <row r="40607" spans="1:6" ht="12.75">
      <c r="A40607" s="8">
        <v>43886.297939814816</v>
      </c>
      <c r="B40607" s="8" t="str">
        <f>HYPERLINK("https://twitter.com/ini_nano","@ini_nano")</f>
        <v>@ini_nano</v>
      </c>
      <c r="C40607" s="8" t="s">
        <v>11964</v>
      </c>
      <c r="D40607" s="8">
        <v>17</v>
      </c>
      <c r="E40607" s="8">
        <v>0</v>
      </c>
      <c r="F40607" s="8">
        <v>1117</v>
      </c>
    </row>
    <row r="40608" spans="1:6" ht="12.75">
      <c r="A40608" s="8">
        <v>43886.297361111108</v>
      </c>
      <c r="B40608" s="8" t="str">
        <f>HYPERLINK("https://twitter.com/satihasibuann","@satihasibuann")</f>
        <v>@satihasibuann</v>
      </c>
      <c r="C40608" s="8" t="s">
        <v>11964</v>
      </c>
      <c r="D40608" s="8">
        <v>17</v>
      </c>
      <c r="E40608" s="8">
        <v>0</v>
      </c>
      <c r="F40608" s="8">
        <v>1042</v>
      </c>
    </row>
    <row r="40609" spans="1:6" ht="12.75">
      <c r="A40609" s="8">
        <v>43886.297349537039</v>
      </c>
      <c r="B40609" s="8" t="str">
        <f>HYPERLINK("https://twitter.com/m_natsirdmokrat","@m_natsirdmokrat")</f>
        <v>@m_natsirdmokrat</v>
      </c>
      <c r="C40609" s="8" t="s">
        <v>11964</v>
      </c>
      <c r="D40609" s="8">
        <v>17</v>
      </c>
      <c r="E40609" s="8">
        <v>0</v>
      </c>
      <c r="F40609" s="8">
        <v>3720</v>
      </c>
    </row>
    <row r="40610" spans="1:6" ht="12.75">
      <c r="A40610" s="8">
        <v>43886.297326388885</v>
      </c>
      <c r="B40610" s="8" t="str">
        <f>HYPERLINK("https://twitter.com/MT_Reborn","@MT_Reborn")</f>
        <v>@MT_Reborn</v>
      </c>
      <c r="C40610" s="8" t="s">
        <v>11964</v>
      </c>
      <c r="D40610" s="8">
        <v>17</v>
      </c>
      <c r="E40610" s="8">
        <v>0</v>
      </c>
      <c r="F40610" s="8">
        <v>8028</v>
      </c>
    </row>
    <row r="40611" spans="1:6" ht="12.75">
      <c r="A40611" s="8">
        <v>43886.297291666662</v>
      </c>
      <c r="B40611" s="8" t="str">
        <f>HYPERLINK("https://twitter.com/MasKam84849012","@MasKam84849012")</f>
        <v>@MasKam84849012</v>
      </c>
      <c r="C40611" s="8" t="s">
        <v>11964</v>
      </c>
      <c r="D40611" s="8">
        <v>17</v>
      </c>
      <c r="E40611" s="8">
        <v>0</v>
      </c>
      <c r="F40611" s="8">
        <v>1</v>
      </c>
    </row>
    <row r="40612" spans="1:6" ht="12.75">
      <c r="A40612" s="8">
        <v>43886.297164351854</v>
      </c>
      <c r="B40612" s="8" t="str">
        <f>HYPERLINK("https://twitter.com/axshirodaiaxs","@axshirodaiaxs")</f>
        <v>@axshirodaiaxs</v>
      </c>
      <c r="C40612" s="8" t="s">
        <v>8484</v>
      </c>
      <c r="D40612" s="8">
        <v>671</v>
      </c>
      <c r="E40612" s="8">
        <v>0</v>
      </c>
      <c r="F40612" s="8">
        <v>132</v>
      </c>
    </row>
    <row r="40613" spans="1:6" ht="12.75">
      <c r="A40613" s="8">
        <v>43886.297002314815</v>
      </c>
      <c r="B40613" s="8" t="str">
        <f>HYPERLINK("https://twitter.com/93712853kL_Bg33","@93712853kL_Bg33")</f>
        <v>@93712853kL_Bg33</v>
      </c>
      <c r="C40613" s="8" t="s">
        <v>11964</v>
      </c>
      <c r="D40613" s="8">
        <v>17</v>
      </c>
      <c r="E40613" s="8">
        <v>0</v>
      </c>
      <c r="F40613" s="8">
        <v>6893</v>
      </c>
    </row>
    <row r="40614" spans="1:6" ht="12.75">
      <c r="A40614" s="8">
        <v>43886.296550925923</v>
      </c>
      <c r="B40614" s="8" t="str">
        <f>HYPERLINK("https://twitter.com/avicks_ooy","@avicks_ooy")</f>
        <v>@avicks_ooy</v>
      </c>
      <c r="C40614" s="8" t="s">
        <v>11964</v>
      </c>
      <c r="D40614" s="8">
        <v>17</v>
      </c>
      <c r="E40614" s="8">
        <v>0</v>
      </c>
      <c r="F40614" s="8">
        <v>242</v>
      </c>
    </row>
    <row r="40615" spans="1:6" ht="12.75">
      <c r="A40615" s="8">
        <v>43886.296493055561</v>
      </c>
      <c r="B40615" s="8" t="str">
        <f>HYPERLINK("https://twitter.com/NurAli7981","@NurAli7981")</f>
        <v>@NurAli7981</v>
      </c>
      <c r="C40615" s="8" t="s">
        <v>11964</v>
      </c>
      <c r="D40615" s="8">
        <v>17</v>
      </c>
      <c r="E40615" s="8">
        <v>0</v>
      </c>
      <c r="F40615" s="8">
        <v>357</v>
      </c>
    </row>
    <row r="40616" spans="1:6" ht="12.75">
      <c r="A40616" s="8">
        <v>43886.295891203699</v>
      </c>
      <c r="B40616" s="8" t="str">
        <f>HYPERLINK("https://twitter.com/HendriS98199224","@HendriS98199224")</f>
        <v>@HendriS98199224</v>
      </c>
      <c r="C40616" s="8" t="s">
        <v>11964</v>
      </c>
      <c r="D40616" s="8">
        <v>17</v>
      </c>
      <c r="E40616" s="8">
        <v>0</v>
      </c>
      <c r="F40616" s="8">
        <v>15</v>
      </c>
    </row>
    <row r="40617" spans="1:6" ht="12.75">
      <c r="A40617" s="8">
        <v>43886.295706018514</v>
      </c>
      <c r="B40617" s="8" t="str">
        <f>HYPERLINK("https://twitter.com/damario04","@damario04")</f>
        <v>@damario04</v>
      </c>
      <c r="C40617" s="8" t="s">
        <v>166</v>
      </c>
      <c r="D40617" s="8">
        <v>0</v>
      </c>
      <c r="E40617" s="8">
        <v>0</v>
      </c>
      <c r="F40617" s="8">
        <v>404</v>
      </c>
    </row>
    <row r="40618" spans="1:6" ht="12.75">
      <c r="A40618" s="8">
        <v>43886.295034722221</v>
      </c>
      <c r="B40618" s="8" t="str">
        <f>HYPERLINK("https://twitter.com/DonAdam68","@DonAdam68")</f>
        <v>@DonAdam68</v>
      </c>
      <c r="C40618" s="8" t="s">
        <v>11964</v>
      </c>
      <c r="D40618" s="8">
        <v>17</v>
      </c>
      <c r="E40618" s="8">
        <v>0</v>
      </c>
      <c r="F40618" s="8">
        <v>49450</v>
      </c>
    </row>
    <row r="40619" spans="1:6" ht="12.75">
      <c r="A40619" s="8">
        <v>43886.295011574075</v>
      </c>
      <c r="B40619" s="8" t="str">
        <f>HYPERLINK("https://twitter.com/SWD_wolverine","@SWD_wolverine")</f>
        <v>@SWD_wolverine</v>
      </c>
      <c r="C40619" s="8" t="s">
        <v>15347</v>
      </c>
      <c r="D40619" s="8">
        <v>3</v>
      </c>
      <c r="E40619" s="8">
        <v>0</v>
      </c>
      <c r="F40619" s="8">
        <v>1158</v>
      </c>
    </row>
    <row r="40620" spans="1:6" ht="12.75">
      <c r="A40620" s="8">
        <v>43886.294814814813</v>
      </c>
      <c r="B40620" s="8" t="str">
        <f>HYPERLINK("https://twitter.com/SuluhSumatera","@SuluhSumatera")</f>
        <v>@SuluhSumatera</v>
      </c>
      <c r="C40620" s="8" t="s">
        <v>15523</v>
      </c>
      <c r="D40620" s="8">
        <v>0</v>
      </c>
      <c r="E40620" s="8">
        <v>0</v>
      </c>
      <c r="F40620" s="8">
        <v>539</v>
      </c>
    </row>
    <row r="40621" spans="1:6" ht="12.75">
      <c r="A40621" s="8">
        <v>43886.294652777782</v>
      </c>
      <c r="B40621" s="8" t="str">
        <f>HYPERLINK("https://twitter.com/msaid_didu","@msaid_didu")</f>
        <v>@msaid_didu</v>
      </c>
      <c r="C40621" s="8" t="s">
        <v>15524</v>
      </c>
      <c r="D40621" s="8">
        <v>17</v>
      </c>
      <c r="E40621" s="8">
        <v>55</v>
      </c>
      <c r="F40621" s="8">
        <v>232596</v>
      </c>
    </row>
    <row r="40622" spans="1:6" ht="12.75">
      <c r="A40622" s="8">
        <v>43886.294641203705</v>
      </c>
      <c r="B40622" s="8" t="str">
        <f>HYPERLINK("https://twitter.com/trubusid","@trubusid")</f>
        <v>@trubusid</v>
      </c>
      <c r="C40622" s="8" t="s">
        <v>15525</v>
      </c>
      <c r="D40622" s="8">
        <v>0</v>
      </c>
      <c r="E40622" s="8">
        <v>0</v>
      </c>
      <c r="F40622" s="8">
        <v>1022</v>
      </c>
    </row>
    <row r="40623" spans="1:6" ht="12.75">
      <c r="A40623" s="8">
        <v>43886.293622685189</v>
      </c>
      <c r="B40623" s="8" t="str">
        <f>HYPERLINK("https://twitter.com/tanahsebagian","@tanahsebagian")</f>
        <v>@tanahsebagian</v>
      </c>
      <c r="C40623" s="8" t="s">
        <v>15526</v>
      </c>
      <c r="D40623" s="8">
        <v>0</v>
      </c>
      <c r="E40623" s="8">
        <v>0</v>
      </c>
      <c r="F40623" s="8">
        <v>2</v>
      </c>
    </row>
    <row r="40624" spans="1:6" ht="12.75">
      <c r="A40624" s="8">
        <v>43886.293344907404</v>
      </c>
      <c r="B40624" s="8" t="str">
        <f>HYPERLINK("https://twitter.com/PromotorKu","@PromotorKu")</f>
        <v>@PromotorKu</v>
      </c>
      <c r="C40624" s="8" t="s">
        <v>15527</v>
      </c>
      <c r="D40624" s="8">
        <v>0</v>
      </c>
      <c r="E40624" s="8">
        <v>0</v>
      </c>
      <c r="F40624" s="8">
        <v>547</v>
      </c>
    </row>
    <row r="40625" spans="1:6" ht="12.75">
      <c r="A40625" s="8">
        <v>43886.293206018519</v>
      </c>
      <c r="B40625" s="8" t="str">
        <f>HYPERLINK("https://twitter.com/BillTemporo","@BillTemporo")</f>
        <v>@BillTemporo</v>
      </c>
      <c r="C40625" s="8" t="s">
        <v>384</v>
      </c>
      <c r="D40625" s="8">
        <v>0</v>
      </c>
      <c r="E40625" s="8">
        <v>0</v>
      </c>
      <c r="F40625" s="8">
        <v>11</v>
      </c>
    </row>
    <row r="40626" spans="1:6" ht="12.75">
      <c r="A40626" s="8">
        <v>43886.292800925927</v>
      </c>
      <c r="B40626" s="8" t="str">
        <f>HYPERLINK("https://twitter.com/nyon8284","@nyon8284")</f>
        <v>@nyon8284</v>
      </c>
      <c r="C40626" s="8" t="s">
        <v>8484</v>
      </c>
      <c r="D40626" s="8">
        <v>671</v>
      </c>
      <c r="E40626" s="8">
        <v>0</v>
      </c>
      <c r="F40626" s="8">
        <v>438</v>
      </c>
    </row>
    <row r="40627" spans="1:6" ht="12.75">
      <c r="A40627" s="8">
        <v>43886.292268518519</v>
      </c>
      <c r="B40627" s="8" t="str">
        <f>HYPERLINK("https://twitter.com/LokadataID","@LokadataID")</f>
        <v>@LokadataID</v>
      </c>
      <c r="C40627" s="8" t="s">
        <v>15528</v>
      </c>
      <c r="D40627" s="8">
        <v>0</v>
      </c>
      <c r="E40627" s="8">
        <v>0</v>
      </c>
      <c r="F40627" s="8">
        <v>512811</v>
      </c>
    </row>
    <row r="40628" spans="1:6" ht="12.75">
      <c r="A40628" s="8">
        <v>43886.292002314818</v>
      </c>
      <c r="B40628" s="8" t="str">
        <f>HYPERLINK("https://twitter.com/caataim","@caataim")</f>
        <v>@caataim</v>
      </c>
      <c r="C40628" s="8" t="s">
        <v>15529</v>
      </c>
      <c r="D40628" s="8">
        <v>0</v>
      </c>
      <c r="E40628" s="8">
        <v>0</v>
      </c>
      <c r="F40628" s="8">
        <v>613</v>
      </c>
    </row>
    <row r="40629" spans="1:6" ht="12.75">
      <c r="A40629" s="8">
        <v>43886.291979166665</v>
      </c>
      <c r="B40629" s="8" t="str">
        <f>HYPERLINK("https://twitter.com/oneaperture","@oneaperture")</f>
        <v>@oneaperture</v>
      </c>
      <c r="C40629" s="8" t="s">
        <v>15347</v>
      </c>
      <c r="D40629" s="8">
        <v>3</v>
      </c>
      <c r="E40629" s="8">
        <v>0</v>
      </c>
      <c r="F40629" s="8">
        <v>1834</v>
      </c>
    </row>
    <row r="40630" spans="1:6" ht="12.75">
      <c r="A40630" s="8">
        <v>43886.291655092587</v>
      </c>
      <c r="B40630" s="8" t="str">
        <f>HYPERLINK("https://twitter.com/herlambang_tan","@herlambang_tan")</f>
        <v>@herlambang_tan</v>
      </c>
      <c r="C40630" s="8" t="s">
        <v>15347</v>
      </c>
      <c r="D40630" s="8">
        <v>3</v>
      </c>
      <c r="E40630" s="8">
        <v>0</v>
      </c>
      <c r="F40630" s="8">
        <v>2375</v>
      </c>
    </row>
    <row r="40631" spans="1:6" ht="12.75">
      <c r="A40631" s="8">
        <v>43886.291261574079</v>
      </c>
      <c r="B40631" s="8" t="str">
        <f>HYPERLINK("https://twitter.com/Rudiono78","@Rudiono78")</f>
        <v>@Rudiono78</v>
      </c>
      <c r="C40631" s="8" t="s">
        <v>15530</v>
      </c>
      <c r="D40631" s="8">
        <v>0</v>
      </c>
      <c r="E40631" s="8">
        <v>0</v>
      </c>
      <c r="F40631" s="8">
        <v>26</v>
      </c>
    </row>
    <row r="40632" spans="1:6" ht="12.75">
      <c r="A40632" s="8">
        <v>43886.291261574079</v>
      </c>
      <c r="B40632" s="8" t="str">
        <f>HYPERLINK("https://twitter.com/Julia_Zeed","@Julia_Zeed")</f>
        <v>@Julia_Zeed</v>
      </c>
      <c r="C40632" s="8" t="s">
        <v>15531</v>
      </c>
      <c r="D40632" s="8">
        <v>3</v>
      </c>
      <c r="E40632" s="8">
        <v>3</v>
      </c>
      <c r="F40632" s="8">
        <v>2715</v>
      </c>
    </row>
    <row r="40633" spans="1:6" ht="12.75">
      <c r="A40633" s="8">
        <v>43886.291145833333</v>
      </c>
      <c r="B40633" s="8" t="str">
        <f>HYPERLINK("https://twitter.com/titiktitikblank","@titiktitikblank")</f>
        <v>@titiktitikblank</v>
      </c>
      <c r="C40633" s="8" t="s">
        <v>14887</v>
      </c>
      <c r="D40633" s="8">
        <v>16</v>
      </c>
      <c r="E40633" s="8">
        <v>0</v>
      </c>
      <c r="F40633" s="8">
        <v>364</v>
      </c>
    </row>
    <row r="40634" spans="1:6" ht="12.75">
      <c r="A40634" s="8">
        <v>43886.291076388894</v>
      </c>
      <c r="B40634" s="8" t="str">
        <f>HYPERLINK("https://twitter.com/SemboyanR","@SemboyanR")</f>
        <v>@SemboyanR</v>
      </c>
      <c r="C40634" s="8" t="s">
        <v>2940</v>
      </c>
      <c r="D40634" s="8">
        <v>2268</v>
      </c>
      <c r="E40634" s="8">
        <v>0</v>
      </c>
      <c r="F40634" s="8">
        <v>1272</v>
      </c>
    </row>
    <row r="40635" spans="1:6" ht="12.75">
      <c r="A40635" s="8">
        <v>43886.29042824074</v>
      </c>
      <c r="B40635" s="8" t="str">
        <f>HYPERLINK("https://twitter.com/ISIS_Balik_NO","@ISIS_Balik_NO")</f>
        <v>@ISIS_Balik_NO</v>
      </c>
      <c r="C40635" s="8" t="s">
        <v>15532</v>
      </c>
      <c r="D40635" s="8">
        <v>3</v>
      </c>
      <c r="E40635" s="8">
        <v>0</v>
      </c>
      <c r="F40635" s="8">
        <v>6091</v>
      </c>
    </row>
    <row r="40636" spans="1:6" ht="12.75">
      <c r="A40636" s="8">
        <v>43886.289803240739</v>
      </c>
      <c r="B40636" s="8" t="str">
        <f>HYPERLINK("https://twitter.com/morimotosyuu","@morimotosyuu")</f>
        <v>@morimotosyuu</v>
      </c>
      <c r="C40636" s="8" t="s">
        <v>8484</v>
      </c>
      <c r="D40636" s="8">
        <v>671</v>
      </c>
      <c r="E40636" s="8">
        <v>0</v>
      </c>
      <c r="F40636" s="8">
        <v>1313</v>
      </c>
    </row>
    <row r="40637" spans="1:6" ht="12.75">
      <c r="A40637" s="8">
        <v>43886.289270833338</v>
      </c>
      <c r="B40637" s="8" t="str">
        <f t="shared" ref="B40637:B40638" si="600">HYPERLINK("https://twitter.com/Ipinmuach","@Ipinmuach")</f>
        <v>@Ipinmuach</v>
      </c>
      <c r="C40637" s="8" t="s">
        <v>13624</v>
      </c>
      <c r="D40637" s="8">
        <v>1</v>
      </c>
      <c r="E40637" s="8">
        <v>0</v>
      </c>
      <c r="F40637" s="8">
        <v>20</v>
      </c>
    </row>
    <row r="40638" spans="1:6" ht="12.75">
      <c r="A40638" s="8">
        <v>43886.289097222223</v>
      </c>
      <c r="B40638" s="8" t="str">
        <f t="shared" si="600"/>
        <v>@Ipinmuach</v>
      </c>
      <c r="C40638" s="8" t="s">
        <v>13625</v>
      </c>
      <c r="D40638" s="8">
        <v>1</v>
      </c>
      <c r="E40638" s="8">
        <v>0</v>
      </c>
      <c r="F40638" s="8">
        <v>20</v>
      </c>
    </row>
    <row r="40639" spans="1:6" ht="12.75">
      <c r="A40639" s="8">
        <v>43886.2887037037</v>
      </c>
      <c r="B40639" s="8" t="str">
        <f>HYPERLINK("https://twitter.com/Luluk1683","@Luluk1683")</f>
        <v>@Luluk1683</v>
      </c>
      <c r="C40639" s="8" t="s">
        <v>12920</v>
      </c>
      <c r="D40639" s="8">
        <v>1500</v>
      </c>
      <c r="E40639" s="8">
        <v>0</v>
      </c>
      <c r="F40639" s="8">
        <v>789</v>
      </c>
    </row>
    <row r="40640" spans="1:6" ht="12.75">
      <c r="A40640" s="8">
        <v>43886.288437499999</v>
      </c>
      <c r="B40640" s="8" t="str">
        <f>HYPERLINK("https://twitter.com/Julia_Zeed","@Julia_Zeed")</f>
        <v>@Julia_Zeed</v>
      </c>
      <c r="C40640" s="8" t="s">
        <v>14887</v>
      </c>
      <c r="D40640" s="8">
        <v>16</v>
      </c>
      <c r="E40640" s="8">
        <v>0</v>
      </c>
      <c r="F40640" s="8">
        <v>2715</v>
      </c>
    </row>
    <row r="40641" spans="1:6" ht="12.75">
      <c r="A40641" s="8">
        <v>43886.288124999999</v>
      </c>
      <c r="B40641" s="8" t="str">
        <f>HYPERLINK("https://twitter.com/zapa","@zapa")</f>
        <v>@zapa</v>
      </c>
      <c r="C40641" s="8" t="s">
        <v>8484</v>
      </c>
      <c r="D40641" s="8">
        <v>671</v>
      </c>
      <c r="E40641" s="8">
        <v>0</v>
      </c>
      <c r="F40641" s="8">
        <v>12299</v>
      </c>
    </row>
    <row r="40642" spans="1:6" ht="12.75">
      <c r="A40642" s="8">
        <v>43886.288043981476</v>
      </c>
      <c r="B40642" s="8" t="str">
        <f>HYPERLINK("https://twitter.com/Ipinmuach","@Ipinmuach")</f>
        <v>@Ipinmuach</v>
      </c>
      <c r="C40642" s="8" t="s">
        <v>15533</v>
      </c>
      <c r="D40642" s="8">
        <v>2</v>
      </c>
      <c r="E40642" s="8">
        <v>0</v>
      </c>
      <c r="F40642" s="8">
        <v>20</v>
      </c>
    </row>
    <row r="40643" spans="1:6" ht="12.75">
      <c r="A40643" s="8">
        <v>43886.287997685184</v>
      </c>
      <c r="B40643" s="8" t="str">
        <f>HYPERLINK("https://twitter.com/da_MA_bee_YAH","@da_MA_bee_YAH")</f>
        <v>@da_MA_bee_YAH</v>
      </c>
      <c r="C40643" s="8" t="s">
        <v>15340</v>
      </c>
      <c r="D40643" s="8">
        <v>29</v>
      </c>
      <c r="E40643" s="8">
        <v>0</v>
      </c>
      <c r="F40643" s="8">
        <v>293</v>
      </c>
    </row>
    <row r="40644" spans="1:6" ht="12.75">
      <c r="A40644" s="8">
        <v>43886.287615740745</v>
      </c>
      <c r="B40644" s="8" t="str">
        <f>HYPERLINK("https://twitter.com/DavinRulli","@DavinRulli")</f>
        <v>@DavinRulli</v>
      </c>
      <c r="C40644" s="8" t="s">
        <v>15340</v>
      </c>
      <c r="D40644" s="8">
        <v>29</v>
      </c>
      <c r="E40644" s="8">
        <v>0</v>
      </c>
      <c r="F40644" s="8">
        <v>200</v>
      </c>
    </row>
    <row r="40645" spans="1:6" ht="12.75">
      <c r="A40645" s="8">
        <v>43886.287187499998</v>
      </c>
      <c r="B40645" s="8" t="str">
        <f>HYPERLINK("https://twitter.com/penangsang_17","@penangsang_17")</f>
        <v>@penangsang_17</v>
      </c>
      <c r="C40645" s="8" t="s">
        <v>15534</v>
      </c>
      <c r="D40645" s="8">
        <v>9</v>
      </c>
      <c r="E40645" s="8">
        <v>0</v>
      </c>
      <c r="F40645" s="8">
        <v>211</v>
      </c>
    </row>
    <row r="40646" spans="1:6" ht="12.75">
      <c r="A40646" s="8">
        <v>43886.28570601852</v>
      </c>
      <c r="B40646" s="8" t="str">
        <f>HYPERLINK("https://twitter.com/ISIS_Balik_NO","@ISIS_Balik_NO")</f>
        <v>@ISIS_Balik_NO</v>
      </c>
      <c r="C40646" s="8" t="s">
        <v>15535</v>
      </c>
      <c r="D40646" s="8">
        <v>0</v>
      </c>
      <c r="E40646" s="8">
        <v>0</v>
      </c>
      <c r="F40646" s="8">
        <v>6091</v>
      </c>
    </row>
    <row r="40647" spans="1:6" ht="12.75">
      <c r="A40647" s="8">
        <v>43886.28506944445</v>
      </c>
      <c r="B40647" s="8" t="str">
        <f t="shared" ref="B40647:B40648" si="601">HYPERLINK("https://twitter.com/MahinFatavit","@MahinFatavit")</f>
        <v>@MahinFatavit</v>
      </c>
      <c r="C40647" s="8" t="s">
        <v>15536</v>
      </c>
      <c r="D40647" s="8">
        <v>3</v>
      </c>
      <c r="E40647" s="8">
        <v>0</v>
      </c>
      <c r="F40647" s="8">
        <v>5973</v>
      </c>
    </row>
    <row r="40648" spans="1:6" ht="12.75">
      <c r="A40648" s="8">
        <v>43886.284733796296</v>
      </c>
      <c r="B40648" s="8" t="str">
        <f t="shared" si="601"/>
        <v>@MahinFatavit</v>
      </c>
      <c r="C40648" s="8" t="s">
        <v>15537</v>
      </c>
      <c r="D40648" s="8">
        <v>3</v>
      </c>
      <c r="E40648" s="8">
        <v>0</v>
      </c>
      <c r="F40648" s="8">
        <v>5973</v>
      </c>
    </row>
    <row r="40649" spans="1:6" ht="12.75">
      <c r="A40649" s="8">
        <v>43886.283067129625</v>
      </c>
      <c r="B40649" s="8" t="str">
        <f>HYPERLINK("https://twitter.com/pretty_occho","@pretty_occho")</f>
        <v>@pretty_occho</v>
      </c>
      <c r="C40649" s="8" t="s">
        <v>8484</v>
      </c>
      <c r="D40649" s="8">
        <v>671</v>
      </c>
      <c r="E40649" s="8">
        <v>0</v>
      </c>
      <c r="F40649" s="8">
        <v>4887</v>
      </c>
    </row>
    <row r="40650" spans="1:6" ht="12.75">
      <c r="A40650" s="8">
        <v>43886.282337962963</v>
      </c>
      <c r="B40650" s="8" t="str">
        <f>HYPERLINK("https://twitter.com/idntimes","@idntimes")</f>
        <v>@idntimes</v>
      </c>
      <c r="C40650" s="8" t="s">
        <v>15538</v>
      </c>
      <c r="D40650" s="8">
        <v>0</v>
      </c>
      <c r="E40650" s="8">
        <v>0</v>
      </c>
      <c r="F40650" s="8">
        <v>393382</v>
      </c>
    </row>
    <row r="40651" spans="1:6" ht="12.75">
      <c r="A40651" s="8">
        <v>43886.282222222224</v>
      </c>
      <c r="B40651" s="8" t="str">
        <f>HYPERLINK("https://twitter.com/pipin_puri","@pipin_puri")</f>
        <v>@pipin_puri</v>
      </c>
      <c r="C40651" s="8" t="s">
        <v>14887</v>
      </c>
      <c r="D40651" s="8">
        <v>16</v>
      </c>
      <c r="E40651" s="8">
        <v>0</v>
      </c>
      <c r="F40651" s="8">
        <v>600</v>
      </c>
    </row>
    <row r="40652" spans="1:6" ht="12.75">
      <c r="A40652" s="8">
        <v>43886.282060185185</v>
      </c>
      <c r="B40652" s="8" t="str">
        <f>HYPERLINK("https://twitter.com/ISIS_Balik_NO","@ISIS_Balik_NO")</f>
        <v>@ISIS_Balik_NO</v>
      </c>
      <c r="C40652" s="8" t="s">
        <v>15539</v>
      </c>
      <c r="D40652" s="8">
        <v>46</v>
      </c>
      <c r="E40652" s="8">
        <v>0</v>
      </c>
      <c r="F40652" s="8">
        <v>6091</v>
      </c>
    </row>
    <row r="40653" spans="1:6" ht="12.75">
      <c r="A40653" s="8">
        <v>43886.281712962962</v>
      </c>
      <c r="B40653" s="8" t="str">
        <f>HYPERLINK("https://twitter.com/KemenkesRI","@KemenkesRI")</f>
        <v>@KemenkesRI</v>
      </c>
      <c r="C40653" s="8" t="s">
        <v>15511</v>
      </c>
      <c r="D40653" s="8">
        <v>6</v>
      </c>
      <c r="E40653" s="8">
        <v>0</v>
      </c>
      <c r="F40653" s="8">
        <v>247733</v>
      </c>
    </row>
    <row r="40654" spans="1:6" ht="12.75">
      <c r="A40654" s="8">
        <v>43886.28162037037</v>
      </c>
      <c r="B40654" s="8" t="str">
        <f>HYPERLINK("https://twitter.com/xoxadx","@xoxadx")</f>
        <v>@xoxadx</v>
      </c>
      <c r="C40654" s="8" t="s">
        <v>14859</v>
      </c>
      <c r="D40654" s="8">
        <v>23</v>
      </c>
      <c r="E40654" s="8">
        <v>0</v>
      </c>
      <c r="F40654" s="8">
        <v>1</v>
      </c>
    </row>
    <row r="40655" spans="1:6" ht="12.75">
      <c r="A40655" s="8">
        <v>43886.2816087963</v>
      </c>
      <c r="B40655" s="8" t="str">
        <f>HYPERLINK("https://twitter.com/vabulousveby","@vabulousveby")</f>
        <v>@vabulousveby</v>
      </c>
      <c r="C40655" s="8" t="s">
        <v>15508</v>
      </c>
      <c r="D40655" s="8">
        <v>385</v>
      </c>
      <c r="E40655" s="8">
        <v>0</v>
      </c>
      <c r="F40655" s="8">
        <v>111</v>
      </c>
    </row>
    <row r="40656" spans="1:6" ht="12.75">
      <c r="A40656" s="8">
        <v>43886.280856481477</v>
      </c>
      <c r="B40656" s="8" t="str">
        <f>HYPERLINK("https://twitter.com/snipe1014","@snipe1014")</f>
        <v>@snipe1014</v>
      </c>
      <c r="C40656" s="8" t="s">
        <v>8484</v>
      </c>
      <c r="D40656" s="8">
        <v>671</v>
      </c>
      <c r="E40656" s="8">
        <v>0</v>
      </c>
      <c r="F40656" s="8">
        <v>576</v>
      </c>
    </row>
    <row r="40657" spans="1:6" ht="12.75">
      <c r="A40657" s="8">
        <v>43886.280092592591</v>
      </c>
      <c r="B40657" s="8" t="str">
        <f>HYPERLINK("https://twitter.com/idowecando","@idowecando")</f>
        <v>@idowecando</v>
      </c>
      <c r="C40657" s="8" t="s">
        <v>15540</v>
      </c>
      <c r="D40657" s="8">
        <v>0</v>
      </c>
      <c r="E40657" s="8">
        <v>0</v>
      </c>
      <c r="F40657" s="8">
        <v>68</v>
      </c>
    </row>
    <row r="40658" spans="1:6" ht="12.75">
      <c r="A40658" s="8">
        <v>43886.279479166667</v>
      </c>
      <c r="B40658" s="8" t="str">
        <f>HYPERLINK("https://twitter.com/bijak_politik","@bijak_politik")</f>
        <v>@bijak_politik</v>
      </c>
      <c r="C40658" s="8" t="s">
        <v>15541</v>
      </c>
      <c r="D40658" s="8">
        <v>0</v>
      </c>
      <c r="E40658" s="8">
        <v>0</v>
      </c>
      <c r="F40658" s="8">
        <v>857</v>
      </c>
    </row>
    <row r="40659" spans="1:6" ht="12.75">
      <c r="A40659" s="8">
        <v>43886.279108796298</v>
      </c>
      <c r="B40659" s="8" t="str">
        <f>HYPERLINK("https://twitter.com/SSSS_KI016","@SSSS_KI016")</f>
        <v>@SSSS_KI016</v>
      </c>
      <c r="C40659" s="8" t="s">
        <v>15542</v>
      </c>
      <c r="D40659" s="8">
        <v>0</v>
      </c>
      <c r="E40659" s="8">
        <v>0</v>
      </c>
      <c r="F40659" s="8">
        <v>295</v>
      </c>
    </row>
    <row r="40660" spans="1:6" ht="12.75">
      <c r="A40660" s="8">
        <v>43886.279027777782</v>
      </c>
      <c r="B40660" s="8" t="str">
        <f>HYPERLINK("https://twitter.com/moo_sanyuka","@moo_sanyuka")</f>
        <v>@moo_sanyuka</v>
      </c>
      <c r="C40660" s="8" t="s">
        <v>2940</v>
      </c>
      <c r="D40660" s="8">
        <v>2268</v>
      </c>
      <c r="E40660" s="8">
        <v>0</v>
      </c>
      <c r="F40660" s="8">
        <v>121</v>
      </c>
    </row>
    <row r="40661" spans="1:6" ht="12.75">
      <c r="A40661" s="8">
        <v>43886.278749999998</v>
      </c>
      <c r="B40661" s="8" t="str">
        <f>HYPERLINK("https://twitter.com/zenkdelya","@zenkdelya")</f>
        <v>@zenkdelya</v>
      </c>
      <c r="C40661" s="8" t="s">
        <v>15126</v>
      </c>
      <c r="D40661" s="8">
        <v>10</v>
      </c>
      <c r="E40661" s="8">
        <v>0</v>
      </c>
      <c r="F40661" s="8">
        <v>682</v>
      </c>
    </row>
    <row r="40662" spans="1:6" ht="12.75">
      <c r="A40662" s="8">
        <v>43886.278101851851</v>
      </c>
      <c r="B40662" s="8" t="str">
        <f>HYPERLINK("https://twitter.com/wZXjnOoENmf6TNi","@wZXjnOoENmf6TNi")</f>
        <v>@wZXjnOoENmf6TNi</v>
      </c>
      <c r="C40662" s="8" t="s">
        <v>2940</v>
      </c>
      <c r="D40662" s="8">
        <v>2268</v>
      </c>
      <c r="E40662" s="8">
        <v>0</v>
      </c>
      <c r="F40662" s="8">
        <v>716</v>
      </c>
    </row>
    <row r="40663" spans="1:6" ht="12.75">
      <c r="A40663" s="8">
        <v>43886.277928240743</v>
      </c>
      <c r="B40663" s="8" t="str">
        <f>HYPERLINK("https://twitter.com/Harno25643606","@Harno25643606")</f>
        <v>@Harno25643606</v>
      </c>
      <c r="C40663" s="8" t="s">
        <v>14093</v>
      </c>
      <c r="D40663" s="8">
        <v>545</v>
      </c>
      <c r="E40663" s="8">
        <v>0</v>
      </c>
      <c r="F40663" s="8">
        <v>4</v>
      </c>
    </row>
    <row r="40664" spans="1:6" ht="12.75">
      <c r="A40664" s="8">
        <v>43886.277222222227</v>
      </c>
      <c r="B40664" s="8" t="str">
        <f>HYPERLINK("https://twitter.com/SoffiAgus","@SoffiAgus")</f>
        <v>@SoffiAgus</v>
      </c>
      <c r="C40664" s="8" t="s">
        <v>15543</v>
      </c>
      <c r="D40664" s="8">
        <v>0</v>
      </c>
      <c r="E40664" s="8">
        <v>0</v>
      </c>
      <c r="F40664" s="8">
        <v>49652</v>
      </c>
    </row>
    <row r="40665" spans="1:6" ht="12.75">
      <c r="A40665" s="8">
        <v>43886.276921296296</v>
      </c>
      <c r="B40665" s="8" t="str">
        <f>HYPERLINK("https://twitter.com/MohamadAlifin","@MohamadAlifin")</f>
        <v>@MohamadAlifin</v>
      </c>
      <c r="C40665" s="8" t="s">
        <v>12920</v>
      </c>
      <c r="D40665" s="8">
        <v>1500</v>
      </c>
      <c r="E40665" s="8">
        <v>0</v>
      </c>
      <c r="F40665" s="8">
        <v>17</v>
      </c>
    </row>
    <row r="40666" spans="1:6" ht="12.75">
      <c r="A40666" s="8">
        <v>43886.276701388888</v>
      </c>
      <c r="B40666" s="8" t="str">
        <f>HYPERLINK("https://twitter.com/hanashibeta","@hanashibeta")</f>
        <v>@hanashibeta</v>
      </c>
      <c r="C40666" s="8" t="s">
        <v>8484</v>
      </c>
      <c r="D40666" s="8">
        <v>671</v>
      </c>
      <c r="E40666" s="8">
        <v>0</v>
      </c>
      <c r="F40666" s="8">
        <v>2015</v>
      </c>
    </row>
    <row r="40667" spans="1:6" ht="12.75">
      <c r="A40667" s="8">
        <v>43886.275173611109</v>
      </c>
      <c r="B40667" s="8" t="str">
        <f>HYPERLINK("https://twitter.com/Blanka_Meduzo","@Blanka_Meduzo")</f>
        <v>@Blanka_Meduzo</v>
      </c>
      <c r="C40667" s="8" t="s">
        <v>8484</v>
      </c>
      <c r="D40667" s="8">
        <v>671</v>
      </c>
      <c r="E40667" s="8">
        <v>0</v>
      </c>
      <c r="F40667" s="8">
        <v>960</v>
      </c>
    </row>
    <row r="40668" spans="1:6" ht="12.75">
      <c r="A40668" s="8">
        <v>43886.27511574074</v>
      </c>
      <c r="B40668" s="8" t="str">
        <f>HYPERLINK("https://twitter.com/cunto_adjoest","@cunto_adjoest")</f>
        <v>@cunto_adjoest</v>
      </c>
      <c r="C40668" s="8" t="s">
        <v>15544</v>
      </c>
      <c r="D40668" s="8">
        <v>0</v>
      </c>
      <c r="E40668" s="8">
        <v>0</v>
      </c>
      <c r="F40668" s="8">
        <v>330</v>
      </c>
    </row>
    <row r="40669" spans="1:6" ht="12.75">
      <c r="A40669" s="8">
        <v>43886.273981481485</v>
      </c>
      <c r="B40669" s="8" t="str">
        <f>HYPERLINK("https://twitter.com/naimelvin","@naimelvin")</f>
        <v>@naimelvin</v>
      </c>
      <c r="C40669" s="8" t="s">
        <v>12920</v>
      </c>
      <c r="D40669" s="8">
        <v>1500</v>
      </c>
      <c r="E40669" s="8">
        <v>0</v>
      </c>
      <c r="F40669" s="8">
        <v>2</v>
      </c>
    </row>
    <row r="40670" spans="1:6" ht="12.75">
      <c r="A40670" s="8">
        <v>43886.273923611108</v>
      </c>
      <c r="B40670" s="8" t="str">
        <f>HYPERLINK("https://twitter.com/Jeff_Zain","@Jeff_Zain")</f>
        <v>@Jeff_Zain</v>
      </c>
      <c r="C40670" s="8" t="s">
        <v>11183</v>
      </c>
      <c r="D40670" s="8">
        <v>10</v>
      </c>
      <c r="E40670" s="8">
        <v>0</v>
      </c>
      <c r="F40670" s="8">
        <v>90</v>
      </c>
    </row>
    <row r="40671" spans="1:6" ht="12.75">
      <c r="A40671" s="8">
        <v>43886.273576388892</v>
      </c>
      <c r="B40671" s="8" t="str">
        <f>HYPERLINK("https://twitter.com/Khairaniss","@Khairaniss")</f>
        <v>@Khairaniss</v>
      </c>
      <c r="C40671" s="8" t="s">
        <v>15545</v>
      </c>
      <c r="D40671" s="8">
        <v>0</v>
      </c>
      <c r="E40671" s="8">
        <v>0</v>
      </c>
      <c r="F40671" s="8">
        <v>1752</v>
      </c>
    </row>
    <row r="40672" spans="1:6" ht="12.75">
      <c r="A40672" s="8">
        <v>43886.273321759261</v>
      </c>
      <c r="B40672" s="8" t="str">
        <f>HYPERLINK("https://twitter.com/MamadKhan171177","@MamadKhan171177")</f>
        <v>@MamadKhan171177</v>
      </c>
      <c r="C40672" s="8" t="s">
        <v>11973</v>
      </c>
      <c r="D40672" s="8">
        <v>13</v>
      </c>
      <c r="E40672" s="8">
        <v>0</v>
      </c>
      <c r="F40672" s="8">
        <v>2</v>
      </c>
    </row>
    <row r="40673" spans="1:6" ht="12.75">
      <c r="A40673" s="8">
        <v>43886.272650462968</v>
      </c>
      <c r="B40673" s="8" t="str">
        <f>HYPERLINK("https://twitter.com/penuh29","@penuh29")</f>
        <v>@penuh29</v>
      </c>
      <c r="C40673" s="8" t="s">
        <v>2940</v>
      </c>
      <c r="D40673" s="8">
        <v>2268</v>
      </c>
      <c r="E40673" s="8">
        <v>0</v>
      </c>
      <c r="F40673" s="8">
        <v>47</v>
      </c>
    </row>
    <row r="40674" spans="1:6" ht="12.75">
      <c r="A40674" s="8">
        <v>43886.272592592592</v>
      </c>
      <c r="B40674" s="8" t="str">
        <f>HYPERLINK("https://twitter.com/FarooquiTamjeed","@FarooquiTamjeed")</f>
        <v>@FarooquiTamjeed</v>
      </c>
      <c r="C40674" s="8" t="s">
        <v>15546</v>
      </c>
      <c r="D40674" s="8">
        <v>0</v>
      </c>
      <c r="E40674" s="8">
        <v>0</v>
      </c>
      <c r="F40674" s="8">
        <v>10</v>
      </c>
    </row>
    <row r="40675" spans="1:6" ht="12.75">
      <c r="A40675" s="8">
        <v>43886.27244212963</v>
      </c>
      <c r="B40675" s="8" t="str">
        <f>HYPERLINK("https://twitter.com/HdSarira","@HdSarira")</f>
        <v>@HdSarira</v>
      </c>
      <c r="C40675" s="8" t="s">
        <v>11183</v>
      </c>
      <c r="D40675" s="8">
        <v>10</v>
      </c>
      <c r="E40675" s="8">
        <v>0</v>
      </c>
      <c r="F40675" s="8">
        <v>1004</v>
      </c>
    </row>
    <row r="40676" spans="1:6" ht="12.75">
      <c r="A40676" s="8">
        <v>43886.272407407407</v>
      </c>
      <c r="B40676" s="8" t="str">
        <f t="shared" ref="B40676:B40678" si="602">HYPERLINK("https://twitter.com/Shellahibono","@Shellahibono")</f>
        <v>@Shellahibono</v>
      </c>
      <c r="C40676" s="8" t="s">
        <v>15547</v>
      </c>
      <c r="D40676" s="8">
        <v>7</v>
      </c>
      <c r="E40676" s="8">
        <v>0</v>
      </c>
      <c r="F40676" s="8">
        <v>78</v>
      </c>
    </row>
    <row r="40677" spans="1:6" ht="12.75">
      <c r="A40677" s="8">
        <v>43886.272256944445</v>
      </c>
      <c r="B40677" s="8" t="str">
        <f t="shared" si="602"/>
        <v>@Shellahibono</v>
      </c>
      <c r="C40677" s="8" t="s">
        <v>15520</v>
      </c>
      <c r="D40677" s="8">
        <v>27</v>
      </c>
      <c r="E40677" s="8">
        <v>0</v>
      </c>
      <c r="F40677" s="8">
        <v>78</v>
      </c>
    </row>
    <row r="40678" spans="1:6" ht="12.75">
      <c r="A40678" s="8">
        <v>43886.271770833337</v>
      </c>
      <c r="B40678" s="8" t="str">
        <f t="shared" si="602"/>
        <v>@Shellahibono</v>
      </c>
      <c r="C40678" s="8" t="s">
        <v>14887</v>
      </c>
      <c r="D40678" s="8">
        <v>16</v>
      </c>
      <c r="E40678" s="8">
        <v>0</v>
      </c>
      <c r="F40678" s="8">
        <v>78</v>
      </c>
    </row>
    <row r="40679" spans="1:6" ht="12.75">
      <c r="A40679" s="8">
        <v>43886.271562499998</v>
      </c>
      <c r="B40679" s="8" t="str">
        <f>HYPERLINK("https://twitter.com/CastilloJoshima","@CastilloJoshima")</f>
        <v>@CastilloJoshima</v>
      </c>
      <c r="C40679" s="8" t="s">
        <v>14887</v>
      </c>
      <c r="D40679" s="8">
        <v>16</v>
      </c>
      <c r="E40679" s="8">
        <v>0</v>
      </c>
      <c r="F40679" s="8">
        <v>5369</v>
      </c>
    </row>
    <row r="40680" spans="1:6" ht="12.75">
      <c r="A40680" s="8">
        <v>43886.271412037036</v>
      </c>
      <c r="B40680" s="8" t="str">
        <f>HYPERLINK("https://twitter.com/KEZIAAM0UR","@KEZIAAM0UR")</f>
        <v>@KEZIAAM0UR</v>
      </c>
      <c r="C40680" s="8" t="s">
        <v>15548</v>
      </c>
      <c r="D40680" s="8">
        <v>0</v>
      </c>
      <c r="E40680" s="8">
        <v>0</v>
      </c>
      <c r="F40680" s="8">
        <v>99</v>
      </c>
    </row>
    <row r="40681" spans="1:6" ht="12.75">
      <c r="A40681" s="8">
        <v>43886.271192129629</v>
      </c>
      <c r="B40681" s="8" t="str">
        <f>HYPERLINK("https://twitter.com/aisharoyy","@aisharoyy")</f>
        <v>@aisharoyy</v>
      </c>
      <c r="C40681" s="8" t="s">
        <v>15549</v>
      </c>
      <c r="D40681" s="8">
        <v>0</v>
      </c>
      <c r="E40681" s="8">
        <v>0</v>
      </c>
      <c r="F40681" s="8">
        <v>376</v>
      </c>
    </row>
    <row r="40682" spans="1:6" ht="12.75">
      <c r="A40682" s="8">
        <v>43886.27065972222</v>
      </c>
      <c r="B40682" s="8" t="str">
        <f>HYPERLINK("https://twitter.com/mogawaidiota","@mogawaidiota")</f>
        <v>@mogawaidiota</v>
      </c>
      <c r="C40682" s="8" t="s">
        <v>2940</v>
      </c>
      <c r="D40682" s="8">
        <v>2268</v>
      </c>
      <c r="E40682" s="8">
        <v>0</v>
      </c>
      <c r="F40682" s="8">
        <v>147</v>
      </c>
    </row>
    <row r="40683" spans="1:6" ht="12.75">
      <c r="A40683" s="8">
        <v>43886.270127314812</v>
      </c>
      <c r="B40683" s="8" t="str">
        <f>HYPERLINK("https://twitter.com/RizDevianto","@RizDevianto")</f>
        <v>@RizDevianto</v>
      </c>
      <c r="C40683" s="8" t="s">
        <v>15141</v>
      </c>
      <c r="D40683" s="8">
        <v>11</v>
      </c>
      <c r="E40683" s="8">
        <v>0</v>
      </c>
      <c r="F40683" s="8">
        <v>282</v>
      </c>
    </row>
    <row r="40684" spans="1:6" ht="12.75">
      <c r="A40684" s="8">
        <v>43886.269988425927</v>
      </c>
      <c r="B40684" s="8" t="str">
        <f>HYPERLINK("https://twitter.com/kaijyuumamagon","@kaijyuumamagon")</f>
        <v>@kaijyuumamagon</v>
      </c>
      <c r="C40684" s="8" t="s">
        <v>8484</v>
      </c>
      <c r="D40684" s="8">
        <v>671</v>
      </c>
      <c r="E40684" s="8">
        <v>0</v>
      </c>
      <c r="F40684" s="8">
        <v>1634</v>
      </c>
    </row>
    <row r="40685" spans="1:6" ht="12.75">
      <c r="A40685" s="8">
        <v>43886.26971064815</v>
      </c>
      <c r="B40685" s="8" t="str">
        <f>HYPERLINK("https://twitter.com/mrbhsr","@mrbhsr")</f>
        <v>@mrbhsr</v>
      </c>
      <c r="C40685" s="8" t="s">
        <v>14887</v>
      </c>
      <c r="D40685" s="8">
        <v>16</v>
      </c>
      <c r="E40685" s="8">
        <v>0</v>
      </c>
      <c r="F40685" s="8">
        <v>626</v>
      </c>
    </row>
    <row r="40686" spans="1:6" ht="12.75">
      <c r="A40686" s="8">
        <v>43886.26934027778</v>
      </c>
      <c r="B40686" s="8" t="str">
        <f>HYPERLINK("https://twitter.com/licca_channel","@licca_channel")</f>
        <v>@licca_channel</v>
      </c>
      <c r="C40686" s="8" t="s">
        <v>2940</v>
      </c>
      <c r="D40686" s="8">
        <v>2268</v>
      </c>
      <c r="E40686" s="8">
        <v>0</v>
      </c>
      <c r="F40686" s="8">
        <v>511</v>
      </c>
    </row>
    <row r="40687" spans="1:6" ht="12.75">
      <c r="A40687" s="8">
        <v>43886.268472222218</v>
      </c>
      <c r="B40687" s="8" t="str">
        <f>HYPERLINK("https://twitter.com/oeihanliong","@oeihanliong")</f>
        <v>@oeihanliong</v>
      </c>
      <c r="C40687" s="8" t="s">
        <v>15550</v>
      </c>
      <c r="D40687" s="8">
        <v>358</v>
      </c>
      <c r="E40687" s="8">
        <v>0</v>
      </c>
      <c r="F40687" s="8">
        <v>16</v>
      </c>
    </row>
    <row r="40688" spans="1:6" ht="12.75">
      <c r="A40688" s="8">
        <v>43886.268263888887</v>
      </c>
      <c r="B40688" s="8" t="str">
        <f>HYPERLINK("https://twitter.com/okezonenews","@okezonenews")</f>
        <v>@okezonenews</v>
      </c>
      <c r="C40688" s="8" t="s">
        <v>15551</v>
      </c>
      <c r="D40688" s="8">
        <v>0</v>
      </c>
      <c r="E40688" s="8">
        <v>0</v>
      </c>
      <c r="F40688" s="8">
        <v>1743595</v>
      </c>
    </row>
    <row r="40689" spans="1:6" ht="12.75">
      <c r="A40689" s="8">
        <v>43886.268043981487</v>
      </c>
      <c r="B40689" s="8" t="str">
        <f>HYPERLINK("https://twitter.com/DiumahM","@DiumahM")</f>
        <v>@DiumahM</v>
      </c>
      <c r="C40689" s="8" t="s">
        <v>15340</v>
      </c>
      <c r="D40689" s="8">
        <v>29</v>
      </c>
      <c r="E40689" s="8">
        <v>0</v>
      </c>
      <c r="F40689" s="8">
        <v>50</v>
      </c>
    </row>
    <row r="40690" spans="1:6" ht="12.75">
      <c r="A40690" s="8">
        <v>43886.267870370371</v>
      </c>
      <c r="B40690" s="8" t="str">
        <f>HYPERLINK("https://twitter.com/itsmendoro","@itsmendoro")</f>
        <v>@itsmendoro</v>
      </c>
      <c r="C40690" s="8" t="s">
        <v>15552</v>
      </c>
      <c r="D40690" s="8">
        <v>0</v>
      </c>
      <c r="E40690" s="8">
        <v>0</v>
      </c>
      <c r="F40690" s="8">
        <v>620</v>
      </c>
    </row>
    <row r="40691" spans="1:6" ht="12.75">
      <c r="A40691" s="8">
        <v>43886.267361111109</v>
      </c>
      <c r="B40691" s="8" t="str">
        <f>HYPERLINK("https://twitter.com/ani_nyebar","@ani_nyebar")</f>
        <v>@ani_nyebar</v>
      </c>
      <c r="C40691" s="8" t="s">
        <v>15553</v>
      </c>
      <c r="D40691" s="8">
        <v>0</v>
      </c>
      <c r="E40691" s="8">
        <v>0</v>
      </c>
      <c r="F40691" s="8">
        <v>98</v>
      </c>
    </row>
    <row r="40692" spans="1:6" ht="12.75">
      <c r="A40692" s="8">
        <v>43886.267326388886</v>
      </c>
      <c r="B40692" s="8" t="str">
        <f>HYPERLINK("https://twitter.com/na_subekti","@na_subekti")</f>
        <v>@na_subekti</v>
      </c>
      <c r="C40692" s="8" t="s">
        <v>8484</v>
      </c>
      <c r="D40692" s="8">
        <v>671</v>
      </c>
      <c r="E40692" s="8">
        <v>0</v>
      </c>
      <c r="F40692" s="8">
        <v>7</v>
      </c>
    </row>
    <row r="40693" spans="1:6" ht="12.75">
      <c r="A40693" s="8">
        <v>43886.266527777778</v>
      </c>
      <c r="B40693" s="8" t="str">
        <f>HYPERLINK("https://twitter.com/babycoco_tw","@babycoco_tw")</f>
        <v>@babycoco_tw</v>
      </c>
      <c r="C40693" s="8" t="s">
        <v>2940</v>
      </c>
      <c r="D40693" s="8">
        <v>2268</v>
      </c>
      <c r="E40693" s="8">
        <v>0</v>
      </c>
      <c r="F40693" s="8">
        <v>4670</v>
      </c>
    </row>
    <row r="40694" spans="1:6" ht="12.75">
      <c r="A40694" s="8">
        <v>43886.266180555554</v>
      </c>
      <c r="B40694" s="8" t="str">
        <f>HYPERLINK("https://twitter.com/tribunnews","@tribunnews")</f>
        <v>@tribunnews</v>
      </c>
      <c r="C40694" s="8" t="s">
        <v>15554</v>
      </c>
      <c r="D40694" s="8">
        <v>0</v>
      </c>
      <c r="E40694" s="8">
        <v>2</v>
      </c>
      <c r="F40694" s="8">
        <v>880709</v>
      </c>
    </row>
    <row r="40695" spans="1:6" ht="12.75">
      <c r="A40695" s="8">
        <v>43886.26563657407</v>
      </c>
      <c r="B40695" s="8" t="str">
        <f>HYPERLINK("https://twitter.com/uji00","@uji00")</f>
        <v>@uji00</v>
      </c>
      <c r="C40695" s="8" t="s">
        <v>2940</v>
      </c>
      <c r="D40695" s="8">
        <v>2268</v>
      </c>
      <c r="E40695" s="8">
        <v>0</v>
      </c>
      <c r="F40695" s="8">
        <v>214</v>
      </c>
    </row>
    <row r="40696" spans="1:6" ht="12.75">
      <c r="A40696" s="8">
        <v>43886.265497685185</v>
      </c>
      <c r="B40696" s="8" t="str">
        <f>HYPERLINK("https://twitter.com/kukkyonaago","@kukkyonaago")</f>
        <v>@kukkyonaago</v>
      </c>
      <c r="C40696" s="8" t="s">
        <v>8484</v>
      </c>
      <c r="D40696" s="8">
        <v>671</v>
      </c>
      <c r="E40696" s="8">
        <v>0</v>
      </c>
      <c r="F40696" s="8">
        <v>74</v>
      </c>
    </row>
    <row r="40697" spans="1:6" ht="12.75">
      <c r="A40697" s="8">
        <v>43886.26425925926</v>
      </c>
      <c r="B40697" s="8" t="str">
        <f>HYPERLINK("https://twitter.com/BubuNyaii","@BubuNyaii")</f>
        <v>@BubuNyaii</v>
      </c>
      <c r="C40697" s="8" t="s">
        <v>15555</v>
      </c>
      <c r="D40697" s="8">
        <v>0</v>
      </c>
      <c r="E40697" s="8">
        <v>0</v>
      </c>
      <c r="F40697" s="8">
        <v>3637</v>
      </c>
    </row>
    <row r="40698" spans="1:6" ht="12.75">
      <c r="A40698" s="8">
        <v>43886.264062499999</v>
      </c>
      <c r="B40698" s="8" t="str">
        <f>HYPERLINK("https://twitter.com/johnbralink","@johnbralink")</f>
        <v>@johnbralink</v>
      </c>
      <c r="C40698" s="8" t="s">
        <v>15141</v>
      </c>
      <c r="D40698" s="8">
        <v>11</v>
      </c>
      <c r="E40698" s="8">
        <v>0</v>
      </c>
      <c r="F40698" s="8">
        <v>256</v>
      </c>
    </row>
    <row r="40699" spans="1:6" ht="12.75">
      <c r="A40699" s="8">
        <v>43886.263611111106</v>
      </c>
      <c r="B40699" s="8" t="str">
        <f>HYPERLINK("https://twitter.com/ruka_shino","@ruka_shino")</f>
        <v>@ruka_shino</v>
      </c>
      <c r="C40699" s="8" t="s">
        <v>8484</v>
      </c>
      <c r="D40699" s="8">
        <v>671</v>
      </c>
      <c r="E40699" s="8">
        <v>0</v>
      </c>
      <c r="F40699" s="8">
        <v>122</v>
      </c>
    </row>
    <row r="40700" spans="1:6" ht="12.75">
      <c r="A40700" s="8">
        <v>43886.263564814813</v>
      </c>
      <c r="B40700" s="8" t="str">
        <f>HYPERLINK("https://twitter.com/HPeridia","@HPeridia")</f>
        <v>@HPeridia</v>
      </c>
      <c r="C40700" s="8" t="s">
        <v>2940</v>
      </c>
      <c r="D40700" s="8">
        <v>2268</v>
      </c>
      <c r="E40700" s="8">
        <v>0</v>
      </c>
      <c r="F40700" s="8">
        <v>667</v>
      </c>
    </row>
    <row r="40701" spans="1:6" ht="12.75">
      <c r="A40701" s="8">
        <v>43886.263437500005</v>
      </c>
      <c r="B40701" s="8" t="str">
        <f>HYPERLINK("https://twitter.com/edamame6","@edamame6")</f>
        <v>@edamame6</v>
      </c>
      <c r="C40701" s="8" t="s">
        <v>8484</v>
      </c>
      <c r="D40701" s="8">
        <v>671</v>
      </c>
      <c r="E40701" s="8">
        <v>0</v>
      </c>
      <c r="F40701" s="8">
        <v>383</v>
      </c>
    </row>
    <row r="40702" spans="1:6" ht="12.75">
      <c r="A40702" s="8">
        <v>43886.256273148145</v>
      </c>
      <c r="B40702" s="8" t="str">
        <f>HYPERLINK("https://twitter.com/sandmanindo","@sandmanindo")</f>
        <v>@sandmanindo</v>
      </c>
      <c r="C40702" s="8" t="s">
        <v>15556</v>
      </c>
      <c r="D40702" s="8">
        <v>1</v>
      </c>
      <c r="E40702" s="8">
        <v>0</v>
      </c>
      <c r="F40702" s="8">
        <v>400</v>
      </c>
    </row>
    <row r="40703" spans="1:6" ht="12.75">
      <c r="A40703" s="8">
        <v>43886.255787037036</v>
      </c>
      <c r="B40703" s="8" t="str">
        <f>HYPERLINK("https://twitter.com/nurseha___","@nurseha___")</f>
        <v>@nurseha___</v>
      </c>
      <c r="C40703" s="8" t="s">
        <v>15557</v>
      </c>
      <c r="D40703" s="8">
        <v>5</v>
      </c>
      <c r="E40703" s="8">
        <v>0</v>
      </c>
      <c r="F40703" s="8">
        <v>596</v>
      </c>
    </row>
    <row r="40704" spans="1:6" ht="12.75">
      <c r="A40704" s="8">
        <v>43886.255590277782</v>
      </c>
      <c r="B40704" s="8" t="str">
        <f>HYPERLINK("https://twitter.com/she_isis","@she_isis")</f>
        <v>@she_isis</v>
      </c>
      <c r="C40704" s="8" t="s">
        <v>15558</v>
      </c>
      <c r="D40704" s="8">
        <v>0</v>
      </c>
      <c r="E40704" s="8">
        <v>0</v>
      </c>
      <c r="F40704" s="8">
        <v>173</v>
      </c>
    </row>
    <row r="40705" spans="1:6" ht="12.75">
      <c r="A40705" s="8">
        <v>43886.255335648151</v>
      </c>
      <c r="B40705" s="8" t="str">
        <f>HYPERLINK("https://twitter.com/RYUZU49","@RYUZU49")</f>
        <v>@RYUZU49</v>
      </c>
      <c r="C40705" s="8" t="s">
        <v>8484</v>
      </c>
      <c r="D40705" s="8">
        <v>652</v>
      </c>
      <c r="E40705" s="8">
        <v>0</v>
      </c>
      <c r="F40705" s="8">
        <v>590</v>
      </c>
    </row>
    <row r="40706" spans="1:6" ht="12.75">
      <c r="A40706" s="8">
        <v>43886.254537037035</v>
      </c>
      <c r="B40706" s="8" t="str">
        <f>HYPERLINK("https://twitter.com/VIVAcoid","@VIVAcoid")</f>
        <v>@VIVAcoid</v>
      </c>
      <c r="C40706" s="8" t="s">
        <v>15559</v>
      </c>
      <c r="D40706" s="8">
        <v>1</v>
      </c>
      <c r="E40706" s="8">
        <v>0</v>
      </c>
      <c r="F40706" s="8">
        <v>4172035</v>
      </c>
    </row>
    <row r="40707" spans="1:6" ht="12.75">
      <c r="A40707" s="8">
        <v>43886.254525462966</v>
      </c>
      <c r="B40707" s="8" t="str">
        <f>HYPERLINK("https://twitter.com/ephraym8","@ephraym8")</f>
        <v>@ephraym8</v>
      </c>
      <c r="C40707" s="8" t="s">
        <v>15560</v>
      </c>
      <c r="D40707" s="8">
        <v>3</v>
      </c>
      <c r="E40707" s="8">
        <v>0</v>
      </c>
      <c r="F40707" s="8">
        <v>1161</v>
      </c>
    </row>
    <row r="40708" spans="1:6" ht="12.75">
      <c r="A40708" s="8">
        <v>43886.254201388889</v>
      </c>
      <c r="B40708" s="8" t="str">
        <f>HYPERLINK("https://twitter.com/vivanewscom","@vivanewscom")</f>
        <v>@vivanewscom</v>
      </c>
      <c r="C40708" s="8" t="s">
        <v>15561</v>
      </c>
      <c r="D40708" s="8">
        <v>1</v>
      </c>
      <c r="E40708" s="8">
        <v>0</v>
      </c>
      <c r="F40708" s="8">
        <v>4369</v>
      </c>
    </row>
    <row r="40709" spans="1:6" ht="12.75">
      <c r="A40709" s="8">
        <v>43886.254062499997</v>
      </c>
      <c r="B40709" s="8" t="str">
        <f>HYPERLINK("https://twitter.com/naof_y","@naof_y")</f>
        <v>@naof_y</v>
      </c>
      <c r="C40709" s="8" t="s">
        <v>8484</v>
      </c>
      <c r="D40709" s="8">
        <v>652</v>
      </c>
      <c r="E40709" s="8">
        <v>0</v>
      </c>
      <c r="F40709" s="8">
        <v>831</v>
      </c>
    </row>
    <row r="40710" spans="1:6" ht="12.75">
      <c r="A40710" s="8">
        <v>43886.253680555557</v>
      </c>
      <c r="B40710" s="8" t="str">
        <f>HYPERLINK("https://twitter.com/oneaperture","@oneaperture")</f>
        <v>@oneaperture</v>
      </c>
      <c r="C40710" s="8" t="s">
        <v>15455</v>
      </c>
      <c r="D40710" s="8">
        <v>9</v>
      </c>
      <c r="E40710" s="8">
        <v>0</v>
      </c>
      <c r="F40710" s="8">
        <v>1833</v>
      </c>
    </row>
    <row r="40711" spans="1:6" ht="12.75">
      <c r="A40711" s="8">
        <v>43886.253136574072</v>
      </c>
      <c r="B40711" s="8" t="str">
        <f>HYPERLINK("https://twitter.com/AkipFirmanshah","@AkipFirmanshah")</f>
        <v>@AkipFirmanshah</v>
      </c>
      <c r="C40711" s="8" t="s">
        <v>15562</v>
      </c>
      <c r="D40711" s="8">
        <v>0</v>
      </c>
      <c r="E40711" s="8">
        <v>0</v>
      </c>
      <c r="F40711" s="8">
        <v>1449</v>
      </c>
    </row>
    <row r="40712" spans="1:6" ht="12.75">
      <c r="A40712" s="8">
        <v>43886.253125000003</v>
      </c>
      <c r="B40712" s="8" t="str">
        <f>HYPERLINK("https://twitter.com/Sah_romi","@Sah_romi")</f>
        <v>@Sah_romi</v>
      </c>
      <c r="C40712" s="8" t="s">
        <v>15563</v>
      </c>
      <c r="D40712" s="8">
        <v>386</v>
      </c>
      <c r="E40712" s="8">
        <v>0</v>
      </c>
      <c r="F40712" s="8">
        <v>83</v>
      </c>
    </row>
    <row r="40713" spans="1:6" ht="12.75">
      <c r="A40713" s="8">
        <v>43886.252337962964</v>
      </c>
      <c r="B40713" s="8" t="str">
        <f>HYPERLINK("https://twitter.com/6lily21","@6lily21")</f>
        <v>@6lily21</v>
      </c>
      <c r="C40713" s="8" t="s">
        <v>8484</v>
      </c>
      <c r="D40713" s="8">
        <v>652</v>
      </c>
      <c r="E40713" s="8">
        <v>0</v>
      </c>
      <c r="F40713" s="8">
        <v>205</v>
      </c>
    </row>
    <row r="40714" spans="1:6" ht="12.75">
      <c r="A40714" s="8">
        <v>43886.252326388887</v>
      </c>
      <c r="B40714" s="8" t="str">
        <f>HYPERLINK("https://twitter.com/yumikoclarinet","@yumikoclarinet")</f>
        <v>@yumikoclarinet</v>
      </c>
      <c r="C40714" s="8" t="s">
        <v>2940</v>
      </c>
      <c r="D40714" s="8">
        <v>2257</v>
      </c>
      <c r="E40714" s="8">
        <v>0</v>
      </c>
      <c r="F40714" s="8">
        <v>111</v>
      </c>
    </row>
    <row r="40715" spans="1:6" ht="12.75">
      <c r="A40715" s="8">
        <v>43886.251261574071</v>
      </c>
      <c r="B40715" s="8" t="str">
        <f>HYPERLINK("https://twitter.com/umardhan","@umardhan")</f>
        <v>@umardhan</v>
      </c>
      <c r="C40715" s="8" t="s">
        <v>14887</v>
      </c>
      <c r="D40715" s="8">
        <v>8</v>
      </c>
      <c r="E40715" s="8">
        <v>0</v>
      </c>
      <c r="F40715" s="8">
        <v>807</v>
      </c>
    </row>
    <row r="40716" spans="1:6" ht="12.75">
      <c r="A40716" s="8">
        <v>43886.251111111109</v>
      </c>
      <c r="B40716" s="8" t="str">
        <f>HYPERLINK("https://twitter.com/PE_Angga_","@PE_Angga_")</f>
        <v>@PE_Angga_</v>
      </c>
      <c r="C40716" s="8" t="s">
        <v>15564</v>
      </c>
      <c r="D40716" s="8">
        <v>4</v>
      </c>
      <c r="E40716" s="8">
        <v>0</v>
      </c>
      <c r="F40716" s="8">
        <v>372</v>
      </c>
    </row>
    <row r="40717" spans="1:6" ht="12.75">
      <c r="A40717" s="8">
        <v>43886.25100694444</v>
      </c>
      <c r="B40717" s="8" t="str">
        <f>HYPERLINK("https://twitter.com/zha_doet","@zha_doet")</f>
        <v>@zha_doet</v>
      </c>
      <c r="C40717" s="8" t="s">
        <v>15565</v>
      </c>
      <c r="D40717" s="8">
        <v>0</v>
      </c>
      <c r="E40717" s="8">
        <v>0</v>
      </c>
      <c r="F40717" s="8">
        <v>528</v>
      </c>
    </row>
    <row r="40718" spans="1:6" ht="12.75">
      <c r="A40718" s="8">
        <v>43886.25068287037</v>
      </c>
      <c r="B40718" s="8" t="str">
        <f>HYPERLINK("https://twitter.com/GagakNeww2","@GagakNeww2")</f>
        <v>@GagakNeww2</v>
      </c>
      <c r="C40718" s="8" t="s">
        <v>11183</v>
      </c>
      <c r="D40718" s="8">
        <v>7</v>
      </c>
      <c r="E40718" s="8">
        <v>0</v>
      </c>
      <c r="F40718" s="8">
        <v>427</v>
      </c>
    </row>
    <row r="40719" spans="1:6" ht="12.75">
      <c r="A40719" s="8">
        <v>43886.250543981485</v>
      </c>
      <c r="B40719" s="8" t="str">
        <f>HYPERLINK("https://twitter.com/agama_nusantara","@agama_nusantara")</f>
        <v>@agama_nusantara</v>
      </c>
      <c r="C40719" s="8" t="s">
        <v>14887</v>
      </c>
      <c r="D40719" s="8">
        <v>8</v>
      </c>
      <c r="E40719" s="8">
        <v>0</v>
      </c>
      <c r="F40719" s="8">
        <v>7366</v>
      </c>
    </row>
    <row r="40720" spans="1:6" ht="12.75">
      <c r="A40720" s="8">
        <v>43886.250335648147</v>
      </c>
      <c r="B40720" s="8" t="str">
        <f>HYPERLINK("https://twitter.com/fahoney","@fahoney")</f>
        <v>@fahoney</v>
      </c>
      <c r="C40720" s="8" t="s">
        <v>12920</v>
      </c>
      <c r="D40720" s="8">
        <v>1495</v>
      </c>
      <c r="E40720" s="8">
        <v>0</v>
      </c>
      <c r="F40720" s="8">
        <v>240</v>
      </c>
    </row>
    <row r="40721" spans="1:6" ht="12.75">
      <c r="A40721" s="8">
        <v>43886.250300925924</v>
      </c>
      <c r="B40721" s="8" t="str">
        <f>HYPERLINK("https://twitter.com/uf64ciiQCNwY63p","@uf64ciiQCNwY63p")</f>
        <v>@uf64ciiQCNwY63p</v>
      </c>
      <c r="C40721" s="8" t="s">
        <v>2940</v>
      </c>
      <c r="D40721" s="8">
        <v>2257</v>
      </c>
      <c r="E40721" s="8">
        <v>0</v>
      </c>
      <c r="F40721" s="8">
        <v>37</v>
      </c>
    </row>
    <row r="40722" spans="1:6" ht="12.75">
      <c r="A40722" s="8">
        <v>43886.2502662037</v>
      </c>
      <c r="B40722" s="8" t="str">
        <f>HYPERLINK("https://twitter.com/DewiMas61312173","@DewiMas61312173")</f>
        <v>@DewiMas61312173</v>
      </c>
      <c r="C40722" s="8" t="s">
        <v>2940</v>
      </c>
      <c r="D40722" s="8">
        <v>2257</v>
      </c>
      <c r="E40722" s="8">
        <v>0</v>
      </c>
      <c r="F40722" s="8">
        <v>154</v>
      </c>
    </row>
    <row r="40723" spans="1:6" ht="12.75">
      <c r="A40723" s="8">
        <v>43886.250034722223</v>
      </c>
      <c r="B40723" s="8" t="str">
        <f>HYPERLINK("https://twitter.com/DreamersRadioID","@DreamersRadioID")</f>
        <v>@DreamersRadioID</v>
      </c>
      <c r="C40723" s="8" t="s">
        <v>15566</v>
      </c>
      <c r="D40723" s="8">
        <v>0</v>
      </c>
      <c r="E40723" s="8">
        <v>0</v>
      </c>
      <c r="F40723" s="8">
        <v>75493</v>
      </c>
    </row>
    <row r="40724" spans="1:6" ht="12.75">
      <c r="A40724" s="8">
        <v>43886.25</v>
      </c>
      <c r="B40724" s="8" t="str">
        <f>HYPERLINK("https://twitter.com/newsmerahputih","@newsmerahputih")</f>
        <v>@newsmerahputih</v>
      </c>
      <c r="C40724" s="8" t="s">
        <v>15567</v>
      </c>
      <c r="D40724" s="8">
        <v>0</v>
      </c>
      <c r="E40724" s="8">
        <v>0</v>
      </c>
      <c r="F40724" s="8">
        <v>8743</v>
      </c>
    </row>
    <row r="40725" spans="1:6" ht="12.75">
      <c r="A40725" s="8">
        <v>43886.249814814815</v>
      </c>
      <c r="B40725" s="8" t="str">
        <f>HYPERLINK("https://twitter.com/sitanovianti","@sitanovianti")</f>
        <v>@sitanovianti</v>
      </c>
      <c r="C40725" s="8" t="s">
        <v>12920</v>
      </c>
      <c r="D40725" s="8">
        <v>1495</v>
      </c>
      <c r="E40725" s="8">
        <v>0</v>
      </c>
      <c r="F40725" s="8">
        <v>517</v>
      </c>
    </row>
    <row r="40726" spans="1:6" ht="12.75">
      <c r="A40726" s="8">
        <v>43886.249560185184</v>
      </c>
      <c r="B40726" s="8" t="str">
        <f>HYPERLINK("https://twitter.com/toru15251","@toru15251")</f>
        <v>@toru15251</v>
      </c>
      <c r="C40726" s="8" t="s">
        <v>8484</v>
      </c>
      <c r="D40726" s="8">
        <v>652</v>
      </c>
      <c r="E40726" s="8">
        <v>0</v>
      </c>
      <c r="F40726" s="8">
        <v>28031</v>
      </c>
    </row>
    <row r="40727" spans="1:6" ht="12.75">
      <c r="A40727" s="8">
        <v>43886.249502314815</v>
      </c>
      <c r="B40727" s="8" t="str">
        <f>HYPERLINK("https://twitter.com/Takviri","@Takviri")</f>
        <v>@Takviri</v>
      </c>
      <c r="C40727" s="8" t="s">
        <v>14887</v>
      </c>
      <c r="D40727" s="8">
        <v>8</v>
      </c>
      <c r="E40727" s="8">
        <v>0</v>
      </c>
      <c r="F40727" s="8">
        <v>59361</v>
      </c>
    </row>
    <row r="40728" spans="1:6" ht="12.75">
      <c r="A40728" s="8">
        <v>43886.248726851853</v>
      </c>
      <c r="B40728" s="8" t="str">
        <f>HYPERLINK("https://twitter.com/sivad","@sivad")</f>
        <v>@sivad</v>
      </c>
      <c r="C40728" s="8" t="s">
        <v>8484</v>
      </c>
      <c r="D40728" s="8">
        <v>652</v>
      </c>
      <c r="E40728" s="8">
        <v>0</v>
      </c>
      <c r="F40728" s="8">
        <v>3128</v>
      </c>
    </row>
    <row r="40729" spans="1:6" ht="12.75">
      <c r="A40729" s="8">
        <v>43886.248668981483</v>
      </c>
      <c r="B40729" s="8" t="str">
        <f>HYPERLINK("https://twitter.com/PutraAngga__","@PutraAngga__")</f>
        <v>@PutraAngga__</v>
      </c>
      <c r="C40729" s="8" t="s">
        <v>15564</v>
      </c>
      <c r="D40729" s="8">
        <v>4</v>
      </c>
      <c r="E40729" s="8">
        <v>0</v>
      </c>
      <c r="F40729" s="8">
        <v>419</v>
      </c>
    </row>
    <row r="40730" spans="1:6" ht="12.75">
      <c r="A40730" s="8">
        <v>43886.246805555551</v>
      </c>
      <c r="B40730" s="8" t="str">
        <f>HYPERLINK("https://twitter.com/GateJannah","@GateJannah")</f>
        <v>@GateJannah</v>
      </c>
      <c r="C40730" s="8" t="s">
        <v>15125</v>
      </c>
      <c r="D40730" s="8">
        <v>33</v>
      </c>
      <c r="E40730" s="8">
        <v>0</v>
      </c>
      <c r="F40730" s="8">
        <v>872</v>
      </c>
    </row>
    <row r="40731" spans="1:6" ht="12.75">
      <c r="A40731" s="8">
        <v>43886.246296296296</v>
      </c>
      <c r="B40731" s="8" t="str">
        <f>HYPERLINK("https://twitter.com/beetle11301794","@beetle11301794")</f>
        <v>@beetle11301794</v>
      </c>
      <c r="C40731" s="8" t="s">
        <v>8484</v>
      </c>
      <c r="D40731" s="8">
        <v>652</v>
      </c>
      <c r="E40731" s="8">
        <v>0</v>
      </c>
      <c r="F40731" s="8">
        <v>72</v>
      </c>
    </row>
    <row r="40732" spans="1:6" ht="12.75">
      <c r="A40732" s="8">
        <v>43886.24596064815</v>
      </c>
      <c r="B40732" s="8" t="str">
        <f>HYPERLINK("https://twitter.com/aryacokronegoro","@aryacokronegoro")</f>
        <v>@aryacokronegoro</v>
      </c>
      <c r="C40732" s="8" t="s">
        <v>15568</v>
      </c>
      <c r="D40732" s="8">
        <v>1</v>
      </c>
      <c r="E40732" s="8">
        <v>0</v>
      </c>
      <c r="F40732" s="8">
        <v>437</v>
      </c>
    </row>
    <row r="40733" spans="1:6" ht="12.75">
      <c r="A40733" s="8">
        <v>43886.245706018519</v>
      </c>
      <c r="B40733" s="8" t="str">
        <f>HYPERLINK("https://twitter.com/nanami_1212","@nanami_1212")</f>
        <v>@nanami_1212</v>
      </c>
      <c r="C40733" s="8" t="s">
        <v>2940</v>
      </c>
      <c r="D40733" s="8">
        <v>2257</v>
      </c>
      <c r="E40733" s="8">
        <v>0</v>
      </c>
      <c r="F40733" s="8">
        <v>44</v>
      </c>
    </row>
    <row r="40734" spans="1:6" ht="12.75">
      <c r="A40734" s="8">
        <v>43886.245648148149</v>
      </c>
      <c r="B40734" s="8" t="str">
        <f>HYPERLINK("https://twitter.com/an_786","@an_786")</f>
        <v>@an_786</v>
      </c>
      <c r="C40734" s="8" t="s">
        <v>8484</v>
      </c>
      <c r="D40734" s="8">
        <v>652</v>
      </c>
      <c r="E40734" s="8">
        <v>0</v>
      </c>
      <c r="F40734" s="8">
        <v>85</v>
      </c>
    </row>
    <row r="40735" spans="1:6" ht="12.75">
      <c r="A40735" s="8">
        <v>43886.243807870371</v>
      </c>
      <c r="B40735" s="8" t="str">
        <f>HYPERLINK("https://twitter.com/OMvyY8ZT1rprU1K","@OMvyY8ZT1rprU1K")</f>
        <v>@OMvyY8ZT1rprU1K</v>
      </c>
      <c r="C40735" s="8" t="s">
        <v>2940</v>
      </c>
      <c r="D40735" s="8">
        <v>2257</v>
      </c>
      <c r="E40735" s="8">
        <v>0</v>
      </c>
      <c r="F40735" s="8">
        <v>2462</v>
      </c>
    </row>
    <row r="40736" spans="1:6" ht="12.75">
      <c r="A40736" s="8">
        <v>43886.242766203708</v>
      </c>
      <c r="B40736" s="8" t="str">
        <f>HYPERLINK("https://twitter.com/ChristWamea","@ChristWamea")</f>
        <v>@ChristWamea</v>
      </c>
      <c r="C40736" s="8" t="s">
        <v>15125</v>
      </c>
      <c r="D40736" s="8">
        <v>33</v>
      </c>
      <c r="E40736" s="8">
        <v>0</v>
      </c>
      <c r="F40736" s="8">
        <v>28543</v>
      </c>
    </row>
    <row r="40737" spans="1:6" ht="12.75">
      <c r="A40737" s="8">
        <v>43886.241932870369</v>
      </c>
      <c r="B40737" s="8" t="str">
        <f>HYPERLINK("https://twitter.com/MallamRetweet","@MallamRetweet")</f>
        <v>@MallamRetweet</v>
      </c>
      <c r="C40737" s="8" t="s">
        <v>15569</v>
      </c>
      <c r="D40737" s="8">
        <v>1</v>
      </c>
      <c r="E40737" s="8">
        <v>0</v>
      </c>
      <c r="F40737" s="8">
        <v>21173</v>
      </c>
    </row>
    <row r="40738" spans="1:6" ht="12.75">
      <c r="A40738" s="8">
        <v>43886.240219907406</v>
      </c>
      <c r="B40738" s="8" t="str">
        <f>HYPERLINK("https://twitter.com/__Ahmad_A1","@__Ahmad_A1")</f>
        <v>@__Ahmad_A1</v>
      </c>
      <c r="C40738" s="8" t="s">
        <v>15570</v>
      </c>
      <c r="D40738" s="8">
        <v>1</v>
      </c>
      <c r="E40738" s="8">
        <v>4</v>
      </c>
      <c r="F40738" s="8">
        <v>369</v>
      </c>
    </row>
    <row r="40739" spans="1:6" ht="12.75">
      <c r="A40739" s="8">
        <v>43886.24013888889</v>
      </c>
      <c r="B40739" s="8" t="str">
        <f>HYPERLINK("https://twitter.com/tsukiusagi3","@tsukiusagi3")</f>
        <v>@tsukiusagi3</v>
      </c>
      <c r="C40739" s="8" t="s">
        <v>8484</v>
      </c>
      <c r="D40739" s="8">
        <v>652</v>
      </c>
      <c r="E40739" s="8">
        <v>0</v>
      </c>
      <c r="F40739" s="8">
        <v>52</v>
      </c>
    </row>
    <row r="40740" spans="1:6" ht="12.75">
      <c r="A40740" s="8">
        <v>43886.239814814813</v>
      </c>
      <c r="B40740" s="8" t="str">
        <f>HYPERLINK("https://twitter.com/ICJRid","@ICJRid")</f>
        <v>@ICJRid</v>
      </c>
      <c r="C40740" s="8" t="s">
        <v>15571</v>
      </c>
      <c r="D40740" s="8">
        <v>1</v>
      </c>
      <c r="E40740" s="8">
        <v>0</v>
      </c>
      <c r="F40740" s="8">
        <v>6007</v>
      </c>
    </row>
    <row r="40741" spans="1:6" ht="12.75">
      <c r="A40741" s="8">
        <v>43886.238819444443</v>
      </c>
      <c r="B40741" s="8" t="str">
        <f>HYPERLINK("https://twitter.com/aakjibon","@aakjibon")</f>
        <v>@aakjibon</v>
      </c>
      <c r="C40741" s="8" t="s">
        <v>12920</v>
      </c>
      <c r="D40741" s="8">
        <v>1495</v>
      </c>
      <c r="E40741" s="8">
        <v>0</v>
      </c>
      <c r="F40741" s="8">
        <v>209</v>
      </c>
    </row>
    <row r="40742" spans="1:6" ht="12.75">
      <c r="A40742" s="8">
        <v>43886.237395833334</v>
      </c>
      <c r="B40742" s="8" t="str">
        <f>HYPERLINK("https://twitter.com/gus_sugiarto","@gus_sugiarto")</f>
        <v>@gus_sugiarto</v>
      </c>
      <c r="C40742" s="8" t="s">
        <v>15572</v>
      </c>
      <c r="D40742" s="8">
        <v>0</v>
      </c>
      <c r="E40742" s="8">
        <v>0</v>
      </c>
      <c r="F40742" s="8">
        <v>2564</v>
      </c>
    </row>
    <row r="40743" spans="1:6" ht="12.75">
      <c r="A40743" s="8">
        <v>43886.23646990741</v>
      </c>
      <c r="B40743" s="8" t="str">
        <f t="shared" ref="B40743:B40744" si="603">HYPERLINK("https://twitter.com/jabihaumigasuki","@jabihaumigasuki")</f>
        <v>@jabihaumigasuki</v>
      </c>
      <c r="C40743" s="8" t="s">
        <v>2940</v>
      </c>
      <c r="D40743" s="8">
        <v>2257</v>
      </c>
      <c r="E40743" s="8">
        <v>0</v>
      </c>
      <c r="F40743" s="8">
        <v>625</v>
      </c>
    </row>
    <row r="40744" spans="1:6" ht="12.75">
      <c r="A40744" s="8">
        <v>43886.236331018517</v>
      </c>
      <c r="B40744" s="8" t="str">
        <f t="shared" si="603"/>
        <v>@jabihaumigasuki</v>
      </c>
      <c r="C40744" s="8" t="s">
        <v>8484</v>
      </c>
      <c r="D40744" s="8">
        <v>652</v>
      </c>
      <c r="E40744" s="8">
        <v>0</v>
      </c>
      <c r="F40744" s="8">
        <v>625</v>
      </c>
    </row>
    <row r="40745" spans="1:6" ht="12.75">
      <c r="A40745" s="8">
        <v>43886.235821759255</v>
      </c>
      <c r="B40745" s="8" t="str">
        <f>HYPERLINK("https://twitter.com/jssymnk","@jssymnk")</f>
        <v>@jssymnk</v>
      </c>
      <c r="C40745" s="8" t="s">
        <v>8484</v>
      </c>
      <c r="D40745" s="8">
        <v>652</v>
      </c>
      <c r="E40745" s="8">
        <v>0</v>
      </c>
      <c r="F40745" s="8">
        <v>115</v>
      </c>
    </row>
    <row r="40746" spans="1:6" ht="12.75">
      <c r="A40746" s="8">
        <v>43886.235659722224</v>
      </c>
      <c r="B40746" s="8" t="str">
        <f>HYPERLINK("https://twitter.com/the_cupuman","@the_cupuman")</f>
        <v>@the_cupuman</v>
      </c>
      <c r="C40746" s="8" t="s">
        <v>12920</v>
      </c>
      <c r="D40746" s="8">
        <v>1495</v>
      </c>
      <c r="E40746" s="8">
        <v>0</v>
      </c>
      <c r="F40746" s="8">
        <v>71</v>
      </c>
    </row>
    <row r="40747" spans="1:6" ht="12.75">
      <c r="A40747" s="8">
        <v>43886.235451388886</v>
      </c>
      <c r="B40747" s="8" t="str">
        <f>HYPERLINK("https://twitter.com/she_isis","@she_isis")</f>
        <v>@she_isis</v>
      </c>
      <c r="C40747" s="8" t="s">
        <v>15573</v>
      </c>
      <c r="D40747" s="8">
        <v>0</v>
      </c>
      <c r="E40747" s="8">
        <v>0</v>
      </c>
      <c r="F40747" s="8">
        <v>173</v>
      </c>
    </row>
    <row r="40748" spans="1:6" ht="12.75">
      <c r="A40748" s="8">
        <v>43886.2340625</v>
      </c>
      <c r="B40748" s="8" t="str">
        <f>HYPERLINK("https://twitter.com/GitaNaya","@GitaNaya")</f>
        <v>@GitaNaya</v>
      </c>
      <c r="C40748" s="8" t="s">
        <v>15179</v>
      </c>
      <c r="D40748" s="8">
        <v>27</v>
      </c>
      <c r="E40748" s="8">
        <v>0</v>
      </c>
      <c r="F40748" s="8">
        <v>59</v>
      </c>
    </row>
    <row r="40749" spans="1:6" ht="12.75">
      <c r="A40749" s="8">
        <v>43886.233310185184</v>
      </c>
      <c r="B40749" s="8" t="str">
        <f>HYPERLINK("https://twitter.com/ikousapyonpyon","@ikousapyonpyon")</f>
        <v>@ikousapyonpyon</v>
      </c>
      <c r="C40749" s="8" t="s">
        <v>2940</v>
      </c>
      <c r="D40749" s="8">
        <v>2257</v>
      </c>
      <c r="E40749" s="8">
        <v>0</v>
      </c>
      <c r="F40749" s="8">
        <v>1314</v>
      </c>
    </row>
    <row r="40750" spans="1:6" ht="12.75">
      <c r="A40750" s="8">
        <v>43886.23302083333</v>
      </c>
      <c r="B40750" s="8" t="str">
        <f>HYPERLINK("https://twitter.com/maenoj11","@maenoj11")</f>
        <v>@maenoj11</v>
      </c>
      <c r="C40750" s="8" t="s">
        <v>2940</v>
      </c>
      <c r="D40750" s="8">
        <v>2257</v>
      </c>
      <c r="E40750" s="8">
        <v>0</v>
      </c>
      <c r="F40750" s="8">
        <v>163</v>
      </c>
    </row>
    <row r="40751" spans="1:6" ht="12.75">
      <c r="A40751" s="8">
        <v>43886.232627314814</v>
      </c>
      <c r="B40751" s="8" t="str">
        <f>HYPERLINK("https://twitter.com/ta_20_10","@ta_20_10")</f>
        <v>@ta_20_10</v>
      </c>
      <c r="C40751" s="8" t="s">
        <v>2940</v>
      </c>
      <c r="D40751" s="8">
        <v>2257</v>
      </c>
      <c r="E40751" s="8">
        <v>0</v>
      </c>
      <c r="F40751" s="8">
        <v>110</v>
      </c>
    </row>
    <row r="40752" spans="1:6" ht="12.75">
      <c r="A40752" s="8">
        <v>43886.232442129629</v>
      </c>
      <c r="B40752" s="8" t="str">
        <f>HYPERLINK("https://twitter.com/ikousapyonpyon","@ikousapyonpyon")</f>
        <v>@ikousapyonpyon</v>
      </c>
      <c r="C40752" s="8" t="s">
        <v>8484</v>
      </c>
      <c r="D40752" s="8">
        <v>652</v>
      </c>
      <c r="E40752" s="8">
        <v>0</v>
      </c>
      <c r="F40752" s="8">
        <v>1314</v>
      </c>
    </row>
    <row r="40753" spans="1:6" ht="12.75">
      <c r="A40753" s="8">
        <v>43886.23065972222</v>
      </c>
      <c r="B40753" s="8" t="str">
        <f>HYPERLINK("https://twitter.com/o_po2","@o_po2")</f>
        <v>@o_po2</v>
      </c>
      <c r="C40753" s="8" t="s">
        <v>2940</v>
      </c>
      <c r="D40753" s="8">
        <v>2257</v>
      </c>
      <c r="E40753" s="8">
        <v>0</v>
      </c>
      <c r="F40753" s="8">
        <v>176</v>
      </c>
    </row>
    <row r="40754" spans="1:6" ht="12.75">
      <c r="A40754" s="8">
        <v>43886.230254629627</v>
      </c>
      <c r="B40754" s="8" t="str">
        <f>HYPERLINK("https://twitter.com/masakichi2001","@masakichi2001")</f>
        <v>@masakichi2001</v>
      </c>
      <c r="C40754" s="8" t="s">
        <v>2940</v>
      </c>
      <c r="D40754" s="8">
        <v>2257</v>
      </c>
      <c r="E40754" s="8">
        <v>0</v>
      </c>
      <c r="F40754" s="8">
        <v>452</v>
      </c>
    </row>
    <row r="40755" spans="1:6" ht="12.75">
      <c r="A40755" s="8">
        <v>43886.229756944449</v>
      </c>
      <c r="B40755" s="8" t="str">
        <f>HYPERLINK("https://twitter.com/turangga2618","@turangga2618")</f>
        <v>@turangga2618</v>
      </c>
      <c r="C40755" s="8" t="s">
        <v>15125</v>
      </c>
      <c r="D40755" s="8">
        <v>33</v>
      </c>
      <c r="E40755" s="8">
        <v>0</v>
      </c>
      <c r="F40755" s="8">
        <v>58</v>
      </c>
    </row>
    <row r="40756" spans="1:6" ht="12.75">
      <c r="A40756" s="8">
        <v>43886.229467592595</v>
      </c>
      <c r="B40756" s="8" t="str">
        <f>HYPERLINK("https://twitter.com/nanami_1212","@nanami_1212")</f>
        <v>@nanami_1212</v>
      </c>
      <c r="C40756" s="8" t="s">
        <v>13834</v>
      </c>
      <c r="D40756" s="8">
        <v>128</v>
      </c>
      <c r="E40756" s="8">
        <v>0</v>
      </c>
      <c r="F40756" s="8">
        <v>44</v>
      </c>
    </row>
    <row r="40757" spans="1:6" ht="12.75">
      <c r="A40757" s="8">
        <v>43886.229178240741</v>
      </c>
      <c r="B40757" s="8" t="str">
        <f>HYPERLINK("https://twitter.com/korantempo","@korantempo")</f>
        <v>@korantempo</v>
      </c>
      <c r="C40757" s="8" t="s">
        <v>15460</v>
      </c>
      <c r="D40757" s="8">
        <v>1</v>
      </c>
      <c r="E40757" s="8">
        <v>0</v>
      </c>
      <c r="F40757" s="8">
        <v>1748163</v>
      </c>
    </row>
    <row r="40758" spans="1:6" ht="12.75">
      <c r="A40758" s="8">
        <v>43886.22892361111</v>
      </c>
      <c r="B40758" s="8" t="str">
        <f>HYPERLINK("https://twitter.com/nanami_1212","@nanami_1212")</f>
        <v>@nanami_1212</v>
      </c>
      <c r="C40758" s="8" t="s">
        <v>8484</v>
      </c>
      <c r="D40758" s="8">
        <v>652</v>
      </c>
      <c r="E40758" s="8">
        <v>0</v>
      </c>
      <c r="F40758" s="8">
        <v>44</v>
      </c>
    </row>
    <row r="40759" spans="1:6" ht="12.75">
      <c r="A40759" s="8">
        <v>43886.228125000001</v>
      </c>
      <c r="B40759" s="8" t="str">
        <f>HYPERLINK("https://twitter.com/RetnoPinasih","@RetnoPinasih")</f>
        <v>@RetnoPinasih</v>
      </c>
      <c r="C40759" s="8" t="s">
        <v>15574</v>
      </c>
      <c r="D40759" s="8">
        <v>1</v>
      </c>
      <c r="E40759" s="8">
        <v>0</v>
      </c>
      <c r="F40759" s="8">
        <v>220</v>
      </c>
    </row>
    <row r="40760" spans="1:6" ht="12.75">
      <c r="A40760" s="8">
        <v>43886.227812500001</v>
      </c>
      <c r="B40760" s="8" t="str">
        <f>HYPERLINK("https://twitter.com/ino_mufc","@ino_mufc")</f>
        <v>@ino_mufc</v>
      </c>
      <c r="C40760" s="8" t="s">
        <v>2940</v>
      </c>
      <c r="D40760" s="8">
        <v>2257</v>
      </c>
      <c r="E40760" s="8">
        <v>0</v>
      </c>
      <c r="F40760" s="8">
        <v>392</v>
      </c>
    </row>
    <row r="40761" spans="1:6" ht="12.75">
      <c r="A40761" s="8">
        <v>43886.227337962962</v>
      </c>
      <c r="B40761" s="8" t="str">
        <f>HYPERLINK("https://twitter.com/7purin7921209","@7purin7921209")</f>
        <v>@7purin7921209</v>
      </c>
      <c r="C40761" s="8" t="s">
        <v>8484</v>
      </c>
      <c r="D40761" s="8">
        <v>652</v>
      </c>
      <c r="E40761" s="8">
        <v>0</v>
      </c>
      <c r="F40761" s="8">
        <v>83</v>
      </c>
    </row>
    <row r="40762" spans="1:6" ht="12.75">
      <c r="A40762" s="8">
        <v>43886.226736111115</v>
      </c>
      <c r="B40762" s="8" t="str">
        <f>HYPERLINK("https://twitter.com/DedeWah70824344","@DedeWah70824344")</f>
        <v>@DedeWah70824344</v>
      </c>
      <c r="C40762" s="8" t="s">
        <v>15575</v>
      </c>
      <c r="D40762" s="8">
        <v>0</v>
      </c>
      <c r="E40762" s="8">
        <v>0</v>
      </c>
      <c r="F40762" s="8">
        <v>4</v>
      </c>
    </row>
    <row r="40763" spans="1:6" ht="12.75">
      <c r="A40763" s="8">
        <v>43886.226655092592</v>
      </c>
      <c r="B40763" s="8" t="str">
        <f>HYPERLINK("https://twitter.com/kharakou1","@kharakou1")</f>
        <v>@kharakou1</v>
      </c>
      <c r="C40763" s="8" t="s">
        <v>8484</v>
      </c>
      <c r="D40763" s="8">
        <v>652</v>
      </c>
      <c r="E40763" s="8">
        <v>0</v>
      </c>
      <c r="F40763" s="8">
        <v>415</v>
      </c>
    </row>
    <row r="40764" spans="1:6" ht="12.75">
      <c r="A40764" s="8">
        <v>43886.226493055554</v>
      </c>
      <c r="B40764" s="8" t="str">
        <f>HYPERLINK("https://twitter.com/huu22","@huu22")</f>
        <v>@huu22</v>
      </c>
      <c r="C40764" s="8" t="s">
        <v>8484</v>
      </c>
      <c r="D40764" s="8">
        <v>652</v>
      </c>
      <c r="E40764" s="8">
        <v>0</v>
      </c>
      <c r="F40764" s="8">
        <v>758</v>
      </c>
    </row>
    <row r="40765" spans="1:6" ht="12.75">
      <c r="A40765" s="8">
        <v>43886.226331018523</v>
      </c>
      <c r="B40765" s="8" t="str">
        <f>HYPERLINK("https://twitter.com/sedusedanitu","@sedusedanitu")</f>
        <v>@sedusedanitu</v>
      </c>
      <c r="C40765" s="8" t="s">
        <v>15141</v>
      </c>
      <c r="D40765" s="8">
        <v>8</v>
      </c>
      <c r="E40765" s="8">
        <v>0</v>
      </c>
      <c r="F40765" s="8">
        <v>2323</v>
      </c>
    </row>
    <row r="40766" spans="1:6" ht="12.75">
      <c r="A40766" s="8">
        <v>43886.22625</v>
      </c>
      <c r="B40766" s="8" t="str">
        <f>HYPERLINK("https://twitter.com/syarifptk","@syarifptk")</f>
        <v>@syarifptk</v>
      </c>
      <c r="C40766" s="8" t="s">
        <v>15125</v>
      </c>
      <c r="D40766" s="8">
        <v>33</v>
      </c>
      <c r="E40766" s="8">
        <v>0</v>
      </c>
      <c r="F40766" s="8">
        <v>1491</v>
      </c>
    </row>
    <row r="40767" spans="1:6" ht="12.75">
      <c r="A40767" s="8">
        <v>43886.225497685184</v>
      </c>
      <c r="B40767" s="8" t="str">
        <f>HYPERLINK("https://twitter.com/RiscaPutantri","@RiscaPutantri")</f>
        <v>@RiscaPutantri</v>
      </c>
      <c r="C40767" s="8" t="s">
        <v>15453</v>
      </c>
      <c r="D40767" s="8">
        <v>3</v>
      </c>
      <c r="E40767" s="8">
        <v>0</v>
      </c>
      <c r="F40767" s="8">
        <v>121</v>
      </c>
    </row>
    <row r="40768" spans="1:6" ht="12.75">
      <c r="A40768" s="8">
        <v>43886.224733796298</v>
      </c>
      <c r="B40768" s="8" t="str">
        <f>HYPERLINK("https://twitter.com/Andywar7171","@Andywar7171")</f>
        <v>@Andywar7171</v>
      </c>
      <c r="C40768" s="8" t="s">
        <v>8484</v>
      </c>
      <c r="D40768" s="8">
        <v>652</v>
      </c>
      <c r="E40768" s="8">
        <v>0</v>
      </c>
      <c r="F40768" s="8">
        <v>385</v>
      </c>
    </row>
    <row r="40769" spans="1:6" ht="12.75">
      <c r="A40769" s="8">
        <v>43886.222962962958</v>
      </c>
      <c r="B40769" s="8" t="str">
        <f>HYPERLINK("https://twitter.com/sirah82","@sirah82")</f>
        <v>@sirah82</v>
      </c>
      <c r="C40769" s="8" t="s">
        <v>2940</v>
      </c>
      <c r="D40769" s="8">
        <v>2257</v>
      </c>
      <c r="E40769" s="8">
        <v>0</v>
      </c>
      <c r="F40769" s="8">
        <v>58</v>
      </c>
    </row>
    <row r="40770" spans="1:6" ht="12.75">
      <c r="A40770" s="8">
        <v>43886.222280092596</v>
      </c>
      <c r="B40770" s="8" t="str">
        <f>HYPERLINK("https://twitter.com/RD1951","@RD1951")</f>
        <v>@RD1951</v>
      </c>
      <c r="C40770" s="8" t="s">
        <v>15471</v>
      </c>
      <c r="D40770" s="8">
        <v>125</v>
      </c>
      <c r="E40770" s="8">
        <v>0</v>
      </c>
      <c r="F40770" s="8">
        <v>46</v>
      </c>
    </row>
    <row r="40771" spans="1:6" ht="12.75">
      <c r="A40771" s="8">
        <v>43886.219606481478</v>
      </c>
      <c r="B40771" s="8" t="str">
        <f>HYPERLINK("https://twitter.com/mackey0614","@mackey0614")</f>
        <v>@mackey0614</v>
      </c>
      <c r="C40771" s="8" t="s">
        <v>2940</v>
      </c>
      <c r="D40771" s="8">
        <v>2257</v>
      </c>
      <c r="E40771" s="8">
        <v>0</v>
      </c>
      <c r="F40771" s="8">
        <v>153</v>
      </c>
    </row>
    <row r="40772" spans="1:6" ht="12.75">
      <c r="A40772" s="8">
        <v>43886.217615740738</v>
      </c>
      <c r="B40772" s="8" t="str">
        <f>HYPERLINK("https://twitter.com/kasiwa_simin","@kasiwa_simin")</f>
        <v>@kasiwa_simin</v>
      </c>
      <c r="C40772" s="8" t="s">
        <v>2940</v>
      </c>
      <c r="D40772" s="8">
        <v>2257</v>
      </c>
      <c r="E40772" s="8">
        <v>0</v>
      </c>
      <c r="F40772" s="8">
        <v>522</v>
      </c>
    </row>
    <row r="40773" spans="1:6" ht="12.75">
      <c r="A40773" s="8">
        <v>43886.21475694445</v>
      </c>
      <c r="B40773" s="8" t="str">
        <f>HYPERLINK("https://twitter.com/MoslemToleran","@MoslemToleran")</f>
        <v>@MoslemToleran</v>
      </c>
      <c r="C40773" s="8" t="s">
        <v>15141</v>
      </c>
      <c r="D40773" s="8">
        <v>6</v>
      </c>
      <c r="E40773" s="8">
        <v>0</v>
      </c>
      <c r="F40773" s="8">
        <v>3</v>
      </c>
    </row>
    <row r="40774" spans="1:6" ht="12.75">
      <c r="A40774" s="8">
        <v>43886.214351851857</v>
      </c>
      <c r="B40774" s="8" t="str">
        <f>HYPERLINK("https://twitter.com/mudha_satriya","@mudha_satriya")</f>
        <v>@mudha_satriya</v>
      </c>
      <c r="C40774" s="8" t="s">
        <v>15453</v>
      </c>
      <c r="D40774" s="8">
        <v>2</v>
      </c>
      <c r="E40774" s="8">
        <v>0</v>
      </c>
      <c r="F40774" s="8">
        <v>1873</v>
      </c>
    </row>
    <row r="40775" spans="1:6" ht="12.75">
      <c r="A40775" s="8">
        <v>43886.214224537034</v>
      </c>
      <c r="B40775" s="8" t="str">
        <f>HYPERLINK("https://twitter.com/d7070_92","@d7070_92")</f>
        <v>@d7070_92</v>
      </c>
      <c r="C40775" s="8" t="s">
        <v>15576</v>
      </c>
      <c r="D40775" s="8">
        <v>0</v>
      </c>
      <c r="E40775" s="8">
        <v>0</v>
      </c>
      <c r="F40775" s="8">
        <v>29</v>
      </c>
    </row>
    <row r="40776" spans="1:6" ht="12.75">
      <c r="A40776" s="8">
        <v>43886.213923611111</v>
      </c>
      <c r="B40776" s="8" t="str">
        <f>HYPERLINK("https://twitter.com/tempodotco","@tempodotco")</f>
        <v>@tempodotco</v>
      </c>
      <c r="C40776" s="8" t="s">
        <v>15577</v>
      </c>
      <c r="D40776" s="8">
        <v>0</v>
      </c>
      <c r="E40776" s="8">
        <v>0</v>
      </c>
      <c r="F40776" s="8">
        <v>1710954</v>
      </c>
    </row>
    <row r="40777" spans="1:6" ht="12.75">
      <c r="A40777" s="8">
        <v>43886.212881944448</v>
      </c>
      <c r="B40777" s="8" t="str">
        <f>HYPERLINK("https://twitter.com/electone_rings","@electone_rings")</f>
        <v>@electone_rings</v>
      </c>
      <c r="C40777" s="8" t="s">
        <v>15578</v>
      </c>
      <c r="D40777" s="8">
        <v>0</v>
      </c>
      <c r="E40777" s="8">
        <v>0</v>
      </c>
      <c r="F40777" s="8">
        <v>59</v>
      </c>
    </row>
    <row r="40778" spans="1:6" ht="12.75">
      <c r="A40778" s="8">
        <v>43886.211805555555</v>
      </c>
      <c r="B40778" s="8" t="str">
        <f>HYPERLINK("https://twitter.com/Immorta56343084","@Immorta56343084")</f>
        <v>@Immorta56343084</v>
      </c>
      <c r="C40778" s="8" t="s">
        <v>15579</v>
      </c>
      <c r="D40778" s="8">
        <v>0</v>
      </c>
      <c r="E40778" s="8">
        <v>0</v>
      </c>
      <c r="F40778" s="8">
        <v>1</v>
      </c>
    </row>
    <row r="40779" spans="1:6" ht="12.75">
      <c r="A40779" s="8">
        <v>43886.211134259254</v>
      </c>
      <c r="B40779" s="8" t="str">
        <f>HYPERLINK("https://twitter.com/soman_marukawa","@soman_marukawa")</f>
        <v>@soman_marukawa</v>
      </c>
      <c r="C40779" s="8" t="s">
        <v>2940</v>
      </c>
      <c r="D40779" s="8">
        <v>2241</v>
      </c>
      <c r="E40779" s="8">
        <v>0</v>
      </c>
      <c r="F40779" s="8">
        <v>101</v>
      </c>
    </row>
    <row r="40780" spans="1:6" ht="12.75">
      <c r="A40780" s="8">
        <v>43886.209293981483</v>
      </c>
      <c r="B40780" s="8" t="str">
        <f>HYPERLINK("https://twitter.com/amrunkere3","@amrunkere3")</f>
        <v>@amrunkere3</v>
      </c>
      <c r="C40780" s="8" t="s">
        <v>15580</v>
      </c>
      <c r="D40780" s="8">
        <v>0</v>
      </c>
      <c r="E40780" s="8">
        <v>0</v>
      </c>
      <c r="F40780" s="8">
        <v>480</v>
      </c>
    </row>
    <row r="40781" spans="1:6" ht="12.75">
      <c r="A40781" s="8">
        <v>43886.208796296298</v>
      </c>
      <c r="B40781" s="8" t="str">
        <f>HYPERLINK("https://twitter.com/januarbudiharto","@januarbudiharto")</f>
        <v>@januarbudiharto</v>
      </c>
      <c r="C40781" s="8" t="s">
        <v>12920</v>
      </c>
      <c r="D40781" s="8">
        <v>1490</v>
      </c>
      <c r="E40781" s="8">
        <v>0</v>
      </c>
      <c r="F40781" s="8">
        <v>306</v>
      </c>
    </row>
    <row r="40782" spans="1:6" ht="12.75">
      <c r="A40782" s="8">
        <v>43886.208796296298</v>
      </c>
      <c r="B40782" s="8" t="str">
        <f>HYPERLINK("https://twitter.com/okinawaot","@okinawaot")</f>
        <v>@okinawaot</v>
      </c>
      <c r="C40782" s="8" t="s">
        <v>13834</v>
      </c>
      <c r="D40782" s="8">
        <v>127</v>
      </c>
      <c r="E40782" s="8">
        <v>0</v>
      </c>
      <c r="F40782" s="8">
        <v>4869</v>
      </c>
    </row>
    <row r="40783" spans="1:6" ht="12.75">
      <c r="A40783" s="8">
        <v>43886.208518518513</v>
      </c>
      <c r="B40783" s="8" t="str">
        <f t="shared" ref="B40783:B40784" si="604">HYPERLINK("https://twitter.com/AtoMunch","@AtoMunch")</f>
        <v>@AtoMunch</v>
      </c>
      <c r="C40783" s="8" t="s">
        <v>8484</v>
      </c>
      <c r="D40783" s="8">
        <v>636</v>
      </c>
      <c r="E40783" s="8">
        <v>0</v>
      </c>
      <c r="F40783" s="8">
        <v>2907</v>
      </c>
    </row>
    <row r="40784" spans="1:6" ht="12.75">
      <c r="A40784" s="8">
        <v>43886.208368055552</v>
      </c>
      <c r="B40784" s="8" t="str">
        <f t="shared" si="604"/>
        <v>@AtoMunch</v>
      </c>
      <c r="C40784" s="8" t="s">
        <v>2940</v>
      </c>
      <c r="D40784" s="8">
        <v>2241</v>
      </c>
      <c r="E40784" s="8">
        <v>0</v>
      </c>
      <c r="F40784" s="8">
        <v>2907</v>
      </c>
    </row>
    <row r="40785" spans="1:6" ht="12.75">
      <c r="A40785" s="8">
        <v>43886.208344907413</v>
      </c>
      <c r="B40785" s="8" t="str">
        <f>HYPERLINK("https://twitter.com/okinawaot","@okinawaot")</f>
        <v>@okinawaot</v>
      </c>
      <c r="C40785" s="8" t="s">
        <v>8484</v>
      </c>
      <c r="D40785" s="8">
        <v>636</v>
      </c>
      <c r="E40785" s="8">
        <v>0</v>
      </c>
      <c r="F40785" s="8">
        <v>4869</v>
      </c>
    </row>
    <row r="40786" spans="1:6" ht="12.75">
      <c r="A40786" s="8">
        <v>43886.207881944443</v>
      </c>
      <c r="B40786" s="8" t="str">
        <f>HYPERLINK("https://twitter.com/ArykaYurianto","@ArykaYurianto")</f>
        <v>@ArykaYurianto</v>
      </c>
      <c r="C40786" s="8" t="s">
        <v>15581</v>
      </c>
      <c r="D40786" s="8">
        <v>0</v>
      </c>
      <c r="E40786" s="8">
        <v>0</v>
      </c>
      <c r="F40786" s="8">
        <v>1550</v>
      </c>
    </row>
    <row r="40787" spans="1:6" ht="12.75">
      <c r="A40787" s="8">
        <v>43886.207824074074</v>
      </c>
      <c r="B40787" s="8" t="str">
        <f>HYPERLINK("https://twitter.com/ByuCyd","@ByuCyd")</f>
        <v>@ByuCyd</v>
      </c>
      <c r="C40787" s="8" t="s">
        <v>11183</v>
      </c>
      <c r="D40787" s="8">
        <v>6</v>
      </c>
      <c r="E40787" s="8">
        <v>0</v>
      </c>
      <c r="F40787" s="8">
        <v>1159</v>
      </c>
    </row>
    <row r="40788" spans="1:6" ht="12.75">
      <c r="A40788" s="8">
        <v>43886.207418981481</v>
      </c>
      <c r="B40788" s="8" t="str">
        <f>HYPERLINK("https://twitter.com/kang_kyundae","@kang_kyundae")</f>
        <v>@kang_kyundae</v>
      </c>
      <c r="C40788" s="8" t="s">
        <v>2940</v>
      </c>
      <c r="D40788" s="8">
        <v>2241</v>
      </c>
      <c r="E40788" s="8">
        <v>0</v>
      </c>
      <c r="F40788" s="8">
        <v>40</v>
      </c>
    </row>
    <row r="40789" spans="1:6" ht="12.75">
      <c r="A40789" s="8">
        <v>43886.207048611112</v>
      </c>
      <c r="B40789" s="8" t="str">
        <f>HYPERLINK("https://twitter.com/ag_rita","@ag_rita")</f>
        <v>@ag_rita</v>
      </c>
      <c r="C40789" s="8" t="s">
        <v>15582</v>
      </c>
      <c r="D40789" s="8">
        <v>1</v>
      </c>
      <c r="E40789" s="8">
        <v>0</v>
      </c>
      <c r="F40789" s="8">
        <v>561</v>
      </c>
    </row>
    <row r="40790" spans="1:6" ht="12.75">
      <c r="A40790" s="8">
        <v>43886.206655092596</v>
      </c>
      <c r="B40790" s="8" t="str">
        <f>HYPERLINK("https://twitter.com/youtorika1129","@youtorika1129")</f>
        <v>@youtorika1129</v>
      </c>
      <c r="C40790" s="8" t="s">
        <v>2940</v>
      </c>
      <c r="D40790" s="8">
        <v>2241</v>
      </c>
      <c r="E40790" s="8">
        <v>0</v>
      </c>
      <c r="F40790" s="8">
        <v>159</v>
      </c>
    </row>
    <row r="40791" spans="1:6" ht="12.75">
      <c r="A40791" s="8">
        <v>43886.205995370372</v>
      </c>
      <c r="B40791" s="8" t="str">
        <f>HYPERLINK("https://twitter.com/Wrp73RM","@Wrp73RM")</f>
        <v>@Wrp73RM</v>
      </c>
      <c r="C40791" s="8" t="s">
        <v>15583</v>
      </c>
      <c r="D40791" s="8">
        <v>2</v>
      </c>
      <c r="E40791" s="8">
        <v>0</v>
      </c>
      <c r="F40791" s="8">
        <v>682</v>
      </c>
    </row>
    <row r="40792" spans="1:6" ht="12.75">
      <c r="A40792" s="8">
        <v>43886.205879629633</v>
      </c>
      <c r="B40792" s="8" t="str">
        <f>HYPERLINK("https://twitter.com/Maul__12","@Maul__12")</f>
        <v>@Maul__12</v>
      </c>
      <c r="C40792" s="8" t="s">
        <v>15453</v>
      </c>
      <c r="D40792" s="8">
        <v>2</v>
      </c>
      <c r="E40792" s="8">
        <v>0</v>
      </c>
      <c r="F40792" s="8">
        <v>695</v>
      </c>
    </row>
    <row r="40793" spans="1:6" ht="12.75">
      <c r="A40793" s="8">
        <v>43886.205729166672</v>
      </c>
      <c r="B40793" s="8" t="str">
        <f>HYPERLINK("https://twitter.com/Kopi_laut","@Kopi_laut")</f>
        <v>@Kopi_laut</v>
      </c>
      <c r="C40793" s="8" t="s">
        <v>15315</v>
      </c>
      <c r="D40793" s="8">
        <v>3</v>
      </c>
      <c r="E40793" s="8">
        <v>0</v>
      </c>
      <c r="F40793" s="8">
        <v>1805</v>
      </c>
    </row>
    <row r="40794" spans="1:6" ht="12.75">
      <c r="A40794" s="8">
        <v>43886.204502314809</v>
      </c>
      <c r="B40794" s="8" t="str">
        <f>HYPERLINK("https://twitter.com/HendraZandi","@HendraZandi")</f>
        <v>@HendraZandi</v>
      </c>
      <c r="C40794" s="8" t="s">
        <v>15584</v>
      </c>
      <c r="D40794" s="8">
        <v>23</v>
      </c>
      <c r="E40794" s="8">
        <v>0</v>
      </c>
      <c r="F40794" s="8">
        <v>845</v>
      </c>
    </row>
    <row r="40795" spans="1:6" ht="12.75">
      <c r="A40795" s="8">
        <v>43886.204189814816</v>
      </c>
      <c r="B40795" s="8" t="str">
        <f>HYPERLINK("https://twitter.com/KompasTV","@KompasTV")</f>
        <v>@KompasTV</v>
      </c>
      <c r="C40795" s="8" t="s">
        <v>15585</v>
      </c>
      <c r="D40795" s="8">
        <v>2</v>
      </c>
      <c r="E40795" s="8">
        <v>3</v>
      </c>
      <c r="F40795" s="8">
        <v>2947930</v>
      </c>
    </row>
    <row r="40796" spans="1:6" ht="12.75">
      <c r="A40796" s="8">
        <v>43886.203773148147</v>
      </c>
      <c r="B40796" s="8" t="str">
        <f>HYPERLINK("https://twitter.com/67xeL0mOcvGlvWu","@67xeL0mOcvGlvWu")</f>
        <v>@67xeL0mOcvGlvWu</v>
      </c>
      <c r="C40796" s="8" t="s">
        <v>8484</v>
      </c>
      <c r="D40796" s="8">
        <v>636</v>
      </c>
      <c r="E40796" s="8">
        <v>0</v>
      </c>
      <c r="F40796" s="8">
        <v>52</v>
      </c>
    </row>
    <row r="40797" spans="1:6" ht="12.75">
      <c r="A40797" s="8">
        <v>43886.203206018516</v>
      </c>
      <c r="B40797" s="8" t="str">
        <f>HYPERLINK("https://twitter.com/BvIXB74MqYkEPkl","@BvIXB74MqYkEPkl")</f>
        <v>@BvIXB74MqYkEPkl</v>
      </c>
      <c r="C40797" s="8" t="s">
        <v>8484</v>
      </c>
      <c r="D40797" s="8">
        <v>636</v>
      </c>
      <c r="E40797" s="8">
        <v>0</v>
      </c>
      <c r="F40797" s="8">
        <v>655</v>
      </c>
    </row>
    <row r="40798" spans="1:6" ht="12.75">
      <c r="A40798" s="8">
        <v>43886.202986111108</v>
      </c>
      <c r="B40798" s="8" t="str">
        <f>HYPERLINK("https://twitter.com/kbharianaceh","@kbharianaceh")</f>
        <v>@kbharianaceh</v>
      </c>
      <c r="C40798" s="8" t="s">
        <v>15586</v>
      </c>
      <c r="D40798" s="8">
        <v>0</v>
      </c>
      <c r="E40798" s="8">
        <v>0</v>
      </c>
      <c r="F40798" s="8">
        <v>1191</v>
      </c>
    </row>
    <row r="40799" spans="1:6" ht="12.75">
      <c r="A40799" s="8">
        <v>43886.20275462963</v>
      </c>
      <c r="B40799" s="8" t="str">
        <f>HYPERLINK("https://twitter.com/JohanLete","@JohanLete")</f>
        <v>@JohanLete</v>
      </c>
      <c r="C40799" s="8" t="s">
        <v>15587</v>
      </c>
      <c r="D40799" s="8">
        <v>0</v>
      </c>
      <c r="E40799" s="8">
        <v>1</v>
      </c>
      <c r="F40799" s="8">
        <v>35</v>
      </c>
    </row>
    <row r="40800" spans="1:6" ht="12.75">
      <c r="A40800" s="8">
        <v>43886.195127314815</v>
      </c>
      <c r="B40800" s="8" t="str">
        <f>HYPERLINK("https://twitter.com/4B5LBeoIGfMzVPK","@4B5LBeoIGfMzVPK")</f>
        <v>@4B5LBeoIGfMzVPK</v>
      </c>
      <c r="C40800" s="8" t="s">
        <v>8484</v>
      </c>
      <c r="D40800" s="8">
        <v>636</v>
      </c>
      <c r="E40800" s="8">
        <v>0</v>
      </c>
      <c r="F40800" s="8">
        <v>910</v>
      </c>
    </row>
    <row r="40801" spans="1:6" ht="12.75">
      <c r="A40801" s="8">
        <v>43886.1949537037</v>
      </c>
      <c r="B40801" s="8" t="str">
        <f t="shared" ref="B40801:B40802" si="605">HYPERLINK("https://twitter.com/anisajayanti_","@anisajayanti_")</f>
        <v>@anisajayanti_</v>
      </c>
      <c r="C40801" s="8" t="s">
        <v>15588</v>
      </c>
      <c r="D40801" s="8">
        <v>0</v>
      </c>
      <c r="E40801" s="8">
        <v>0</v>
      </c>
      <c r="F40801" s="8">
        <v>285</v>
      </c>
    </row>
    <row r="40802" spans="1:6" ht="12.75">
      <c r="A40802" s="8">
        <v>43886.19321759259</v>
      </c>
      <c r="B40802" s="8" t="str">
        <f t="shared" si="605"/>
        <v>@anisajayanti_</v>
      </c>
      <c r="C40802" s="8" t="s">
        <v>15589</v>
      </c>
      <c r="D40802" s="8">
        <v>0</v>
      </c>
      <c r="E40802" s="8">
        <v>0</v>
      </c>
      <c r="F40802" s="8">
        <v>285</v>
      </c>
    </row>
    <row r="40803" spans="1:6" ht="12.75">
      <c r="A40803" s="8">
        <v>43886.192858796298</v>
      </c>
      <c r="B40803" s="8" t="str">
        <f t="shared" ref="B40803:B40804" si="606">HYPERLINK("https://twitter.com/lula0428","@lula0428")</f>
        <v>@lula0428</v>
      </c>
      <c r="C40803" s="8" t="s">
        <v>8484</v>
      </c>
      <c r="D40803" s="8">
        <v>636</v>
      </c>
      <c r="E40803" s="8">
        <v>0</v>
      </c>
      <c r="F40803" s="8">
        <v>353</v>
      </c>
    </row>
    <row r="40804" spans="1:6" ht="12.75">
      <c r="A40804" s="8">
        <v>43886.191886574074</v>
      </c>
      <c r="B40804" s="8" t="str">
        <f t="shared" si="606"/>
        <v>@lula0428</v>
      </c>
      <c r="C40804" s="8" t="s">
        <v>2940</v>
      </c>
      <c r="D40804" s="8">
        <v>2241</v>
      </c>
      <c r="E40804" s="8">
        <v>0</v>
      </c>
      <c r="F40804" s="8">
        <v>353</v>
      </c>
    </row>
    <row r="40805" spans="1:6" ht="12.75">
      <c r="A40805" s="8">
        <v>43886.190057870372</v>
      </c>
      <c r="B40805" s="8" t="str">
        <f>HYPERLINK("https://twitter.com/Bocah__koplak","@Bocah__koplak")</f>
        <v>@Bocah__koplak</v>
      </c>
      <c r="C40805" s="8" t="s">
        <v>15590</v>
      </c>
      <c r="D40805" s="8">
        <v>0</v>
      </c>
      <c r="E40805" s="8">
        <v>0</v>
      </c>
      <c r="F40805" s="8">
        <v>6133</v>
      </c>
    </row>
    <row r="40806" spans="1:6" ht="12.75">
      <c r="A40806" s="8">
        <v>43886.189629629633</v>
      </c>
      <c r="B40806" s="8" t="str">
        <f>HYPERLINK("https://twitter.com/kotsubu0919","@kotsubu0919")</f>
        <v>@kotsubu0919</v>
      </c>
      <c r="C40806" s="8" t="s">
        <v>2940</v>
      </c>
      <c r="D40806" s="8">
        <v>2241</v>
      </c>
      <c r="E40806" s="8">
        <v>0</v>
      </c>
      <c r="F40806" s="8">
        <v>748</v>
      </c>
    </row>
    <row r="40807" spans="1:6" ht="12.75">
      <c r="A40807" s="8">
        <v>43886.189583333333</v>
      </c>
      <c r="B40807" s="8" t="str">
        <f>HYPERLINK("https://twitter.com/unohga2","@unohga2")</f>
        <v>@unohga2</v>
      </c>
      <c r="C40807" s="8" t="s">
        <v>8484</v>
      </c>
      <c r="D40807" s="8">
        <v>636</v>
      </c>
      <c r="E40807" s="8">
        <v>0</v>
      </c>
      <c r="F40807" s="8">
        <v>318</v>
      </c>
    </row>
    <row r="40808" spans="1:6" ht="12.75">
      <c r="A40808" s="8">
        <v>43886.189317129625</v>
      </c>
      <c r="B40808" s="8" t="str">
        <f>HYPERLINK("https://twitter.com/Bocah__koplak","@Bocah__koplak")</f>
        <v>@Bocah__koplak</v>
      </c>
      <c r="C40808" s="8" t="s">
        <v>15591</v>
      </c>
      <c r="D40808" s="8">
        <v>0</v>
      </c>
      <c r="E40808" s="8">
        <v>0</v>
      </c>
      <c r="F40808" s="8">
        <v>6133</v>
      </c>
    </row>
    <row r="40809" spans="1:6" ht="12.75">
      <c r="A40809" s="8">
        <v>43886.189085648148</v>
      </c>
      <c r="B40809" s="8" t="str">
        <f>HYPERLINK("https://twitter.com/Mahmudi32521910","@Mahmudi32521910")</f>
        <v>@Mahmudi32521910</v>
      </c>
      <c r="C40809" s="8" t="s">
        <v>15592</v>
      </c>
      <c r="D40809" s="8">
        <v>0</v>
      </c>
      <c r="E40809" s="8">
        <v>3</v>
      </c>
      <c r="F40809" s="8">
        <v>1108</v>
      </c>
    </row>
    <row r="40810" spans="1:6" ht="12.75">
      <c r="A40810" s="8">
        <v>43886.188622685186</v>
      </c>
      <c r="B40810" s="8" t="str">
        <f>HYPERLINK("https://twitter.com/Tony_Harto","@Tony_Harto")</f>
        <v>@Tony_Harto</v>
      </c>
      <c r="C40810" s="8" t="s">
        <v>12920</v>
      </c>
      <c r="D40810" s="8">
        <v>1490</v>
      </c>
      <c r="E40810" s="8">
        <v>0</v>
      </c>
      <c r="F40810" s="8">
        <v>6373</v>
      </c>
    </row>
    <row r="40811" spans="1:6" ht="12.75">
      <c r="A40811" s="8">
        <v>43886.188287037032</v>
      </c>
      <c r="B40811" s="8" t="str">
        <f>HYPERLINK("https://twitter.com/aoi_usagi79","@aoi_usagi79")</f>
        <v>@aoi_usagi79</v>
      </c>
      <c r="C40811" s="8" t="s">
        <v>15593</v>
      </c>
      <c r="D40811" s="8">
        <v>0</v>
      </c>
      <c r="E40811" s="8">
        <v>0</v>
      </c>
      <c r="F40811" s="8">
        <v>367</v>
      </c>
    </row>
    <row r="40812" spans="1:6" ht="12.75">
      <c r="A40812" s="8">
        <v>43886.187592592592</v>
      </c>
      <c r="B40812" s="8" t="str">
        <f>HYPERLINK("https://twitter.com/hariankompas","@hariankompas")</f>
        <v>@hariankompas</v>
      </c>
      <c r="C40812" s="8" t="s">
        <v>15594</v>
      </c>
      <c r="D40812" s="8">
        <v>1</v>
      </c>
      <c r="E40812" s="8">
        <v>1</v>
      </c>
      <c r="F40812" s="8">
        <v>787356</v>
      </c>
    </row>
    <row r="40813" spans="1:6" ht="12.75">
      <c r="A40813" s="8">
        <v>43886.1875</v>
      </c>
      <c r="B40813" s="8" t="str">
        <f>HYPERLINK("https://twitter.com/yurukuru_","@yurukuru_")</f>
        <v>@yurukuru_</v>
      </c>
      <c r="C40813" s="8" t="s">
        <v>2940</v>
      </c>
      <c r="D40813" s="8">
        <v>2241</v>
      </c>
      <c r="E40813" s="8">
        <v>0</v>
      </c>
      <c r="F40813" s="8">
        <v>817</v>
      </c>
    </row>
    <row r="40814" spans="1:6" ht="12.75">
      <c r="A40814" s="8">
        <v>43886.186481481476</v>
      </c>
      <c r="B40814" s="8" t="str">
        <f>HYPERLINK("https://twitter.com/h4850ro","@h4850ro")</f>
        <v>@h4850ro</v>
      </c>
      <c r="C40814" s="8" t="s">
        <v>15557</v>
      </c>
      <c r="D40814" s="8">
        <v>4</v>
      </c>
      <c r="E40814" s="8">
        <v>0</v>
      </c>
      <c r="F40814" s="8">
        <v>495</v>
      </c>
    </row>
    <row r="40815" spans="1:6" ht="12.75">
      <c r="A40815" s="8">
        <v>43886.186284722222</v>
      </c>
      <c r="B40815" s="8" t="str">
        <f>HYPERLINK("https://twitter.com/WhyIrawann","@WhyIrawann")</f>
        <v>@WhyIrawann</v>
      </c>
      <c r="C40815" s="8" t="s">
        <v>12920</v>
      </c>
      <c r="D40815" s="8">
        <v>1490</v>
      </c>
      <c r="E40815" s="8">
        <v>0</v>
      </c>
      <c r="F40815" s="8">
        <v>314</v>
      </c>
    </row>
    <row r="40816" spans="1:6" ht="12.75">
      <c r="A40816" s="8">
        <v>43886.18513888889</v>
      </c>
      <c r="B40816" s="8" t="str">
        <f>HYPERLINK("https://twitter.com/mudha_satriya","@mudha_satriya")</f>
        <v>@mudha_satriya</v>
      </c>
      <c r="C40816" s="8" t="s">
        <v>14960</v>
      </c>
      <c r="D40816" s="8">
        <v>5</v>
      </c>
      <c r="E40816" s="8">
        <v>0</v>
      </c>
      <c r="F40816" s="8">
        <v>1873</v>
      </c>
    </row>
    <row r="40817" spans="1:6" ht="12.75">
      <c r="A40817" s="8">
        <v>43886.184999999998</v>
      </c>
      <c r="B40817" s="8" t="str">
        <f>HYPERLINK("https://twitter.com/olddog_tt","@olddog_tt")</f>
        <v>@olddog_tt</v>
      </c>
      <c r="C40817" s="8" t="s">
        <v>8484</v>
      </c>
      <c r="D40817" s="8">
        <v>636</v>
      </c>
      <c r="E40817" s="8">
        <v>0</v>
      </c>
      <c r="F40817" s="8">
        <v>262</v>
      </c>
    </row>
    <row r="40818" spans="1:6" ht="12.75">
      <c r="A40818" s="8">
        <v>43886.184606481482</v>
      </c>
      <c r="B40818" s="8" t="str">
        <f>HYPERLINK("https://twitter.com/mudha_satriya","@mudha_satriya")</f>
        <v>@mudha_satriya</v>
      </c>
      <c r="C40818" s="8" t="s">
        <v>15141</v>
      </c>
      <c r="D40818" s="8">
        <v>6</v>
      </c>
      <c r="E40818" s="8">
        <v>0</v>
      </c>
      <c r="F40818" s="8">
        <v>1873</v>
      </c>
    </row>
    <row r="40819" spans="1:6" ht="12.75">
      <c r="A40819" s="8">
        <v>43886.183321759258</v>
      </c>
      <c r="B40819" s="8" t="str">
        <f>HYPERLINK("https://twitter.com/wanobokujo","@wanobokujo")</f>
        <v>@wanobokujo</v>
      </c>
      <c r="C40819" s="8" t="s">
        <v>2940</v>
      </c>
      <c r="D40819" s="8">
        <v>2241</v>
      </c>
      <c r="E40819" s="8">
        <v>0</v>
      </c>
      <c r="F40819" s="8">
        <v>128</v>
      </c>
    </row>
    <row r="40820" spans="1:6" ht="12.75">
      <c r="A40820" s="8">
        <v>43886.183090277773</v>
      </c>
      <c r="B40820" s="8" t="str">
        <f>HYPERLINK("https://twitter.com/wiriantowidjaya","@wiriantowidjaya")</f>
        <v>@wiriantowidjaya</v>
      </c>
      <c r="C40820" s="8" t="s">
        <v>15595</v>
      </c>
      <c r="D40820" s="8">
        <v>0</v>
      </c>
      <c r="E40820" s="8">
        <v>0</v>
      </c>
      <c r="F40820" s="8">
        <v>1548</v>
      </c>
    </row>
    <row r="40821" spans="1:6" ht="12.75">
      <c r="A40821" s="8">
        <v>43886.182569444441</v>
      </c>
      <c r="B40821" s="8" t="str">
        <f>HYPERLINK("https://twitter.com/sakae2","@sakae2")</f>
        <v>@sakae2</v>
      </c>
      <c r="C40821" s="8" t="s">
        <v>8484</v>
      </c>
      <c r="D40821" s="8">
        <v>636</v>
      </c>
      <c r="E40821" s="8">
        <v>0</v>
      </c>
      <c r="F40821" s="8">
        <v>1859</v>
      </c>
    </row>
    <row r="40822" spans="1:6" ht="12.75">
      <c r="A40822" s="8">
        <v>43886.18241898148</v>
      </c>
      <c r="B40822" s="8" t="str">
        <f>HYPERLINK("https://twitter.com/cadd_pinterest","@cadd_pinterest")</f>
        <v>@cadd_pinterest</v>
      </c>
      <c r="C40822" s="8" t="s">
        <v>11183</v>
      </c>
      <c r="D40822" s="8">
        <v>6</v>
      </c>
      <c r="E40822" s="8">
        <v>0</v>
      </c>
      <c r="F40822" s="8">
        <v>261</v>
      </c>
    </row>
    <row r="40823" spans="1:6" ht="12.75">
      <c r="A40823" s="8">
        <v>43886.181643518517</v>
      </c>
      <c r="B40823" s="8" t="str">
        <f>HYPERLINK("https://twitter.com/93712853kL_Bg33","@93712853kL_Bg33")</f>
        <v>@93712853kL_Bg33</v>
      </c>
      <c r="C40823" s="8" t="s">
        <v>15596</v>
      </c>
      <c r="D40823" s="8">
        <v>1</v>
      </c>
      <c r="E40823" s="8">
        <v>0</v>
      </c>
      <c r="F40823" s="8">
        <v>6899</v>
      </c>
    </row>
    <row r="40824" spans="1:6" ht="12.75">
      <c r="A40824" s="8">
        <v>43886.181006944447</v>
      </c>
      <c r="B40824" s="8" t="str">
        <f>HYPERLINK("https://twitter.com/EeveeMum","@EeveeMum")</f>
        <v>@EeveeMum</v>
      </c>
      <c r="C40824" s="8" t="s">
        <v>2940</v>
      </c>
      <c r="D40824" s="8">
        <v>2241</v>
      </c>
      <c r="E40824" s="8">
        <v>0</v>
      </c>
      <c r="F40824" s="8">
        <v>198</v>
      </c>
    </row>
    <row r="40825" spans="1:6" ht="12.75">
      <c r="A40825" s="8">
        <v>43886.180648148147</v>
      </c>
      <c r="B40825" s="8" t="str">
        <f>HYPERLINK("https://twitter.com/LaurensioAbram","@LaurensioAbram")</f>
        <v>@LaurensioAbram</v>
      </c>
      <c r="C40825" s="8" t="s">
        <v>15597</v>
      </c>
      <c r="D40825" s="8">
        <v>1</v>
      </c>
      <c r="E40825" s="8">
        <v>0</v>
      </c>
      <c r="F40825" s="8">
        <v>248</v>
      </c>
    </row>
    <row r="40826" spans="1:6" ht="12.75">
      <c r="A40826" s="8">
        <v>43886.180393518516</v>
      </c>
      <c r="B40826" s="8" t="str">
        <f>HYPERLINK("https://twitter.com/FArmijn","@FArmijn")</f>
        <v>@FArmijn</v>
      </c>
      <c r="C40826" s="8" t="s">
        <v>15141</v>
      </c>
      <c r="D40826" s="8">
        <v>6</v>
      </c>
      <c r="E40826" s="8">
        <v>0</v>
      </c>
      <c r="F40826" s="8">
        <v>413</v>
      </c>
    </row>
    <row r="40827" spans="1:6" ht="12.75">
      <c r="A40827" s="8">
        <v>43886.179780092592</v>
      </c>
      <c r="B40827" s="8" t="str">
        <f>HYPERLINK("https://twitter.com/tight_ende","@tight_ende")</f>
        <v>@tight_ende</v>
      </c>
      <c r="C40827" s="8" t="s">
        <v>8484</v>
      </c>
      <c r="D40827" s="8">
        <v>636</v>
      </c>
      <c r="E40827" s="8">
        <v>0</v>
      </c>
      <c r="F40827" s="8">
        <v>100</v>
      </c>
    </row>
    <row r="40828" spans="1:6" ht="12.75">
      <c r="A40828" s="8">
        <v>43886.179745370369</v>
      </c>
      <c r="B40828" s="8" t="str">
        <f t="shared" ref="B40828:B40831" si="607">HYPERLINK("https://twitter.com/mcHmuCQZmDysumH","@mcHmuCQZmDysumH")</f>
        <v>@mcHmuCQZmDysumH</v>
      </c>
      <c r="C40828" s="8" t="s">
        <v>14106</v>
      </c>
      <c r="D40828" s="8">
        <v>117</v>
      </c>
      <c r="E40828" s="8">
        <v>0</v>
      </c>
      <c r="F40828" s="8">
        <v>59</v>
      </c>
    </row>
    <row r="40829" spans="1:6" ht="12.75">
      <c r="A40829" s="8">
        <v>43886.179525462961</v>
      </c>
      <c r="B40829" s="8" t="str">
        <f t="shared" si="607"/>
        <v>@mcHmuCQZmDysumH</v>
      </c>
      <c r="C40829" s="8" t="s">
        <v>13834</v>
      </c>
      <c r="D40829" s="8">
        <v>127</v>
      </c>
      <c r="E40829" s="8">
        <v>0</v>
      </c>
      <c r="F40829" s="8">
        <v>59</v>
      </c>
    </row>
    <row r="40830" spans="1:6" ht="12.75">
      <c r="A40830" s="8">
        <v>43886.179224537038</v>
      </c>
      <c r="B40830" s="8" t="str">
        <f t="shared" si="607"/>
        <v>@mcHmuCQZmDysumH</v>
      </c>
      <c r="C40830" s="8" t="s">
        <v>8484</v>
      </c>
      <c r="D40830" s="8">
        <v>636</v>
      </c>
      <c r="E40830" s="8">
        <v>0</v>
      </c>
      <c r="F40830" s="8">
        <v>59</v>
      </c>
    </row>
    <row r="40831" spans="1:6" ht="12.75">
      <c r="A40831" s="8">
        <v>43886.178576388891</v>
      </c>
      <c r="B40831" s="8" t="str">
        <f t="shared" si="607"/>
        <v>@mcHmuCQZmDysumH</v>
      </c>
      <c r="C40831" s="8" t="s">
        <v>2940</v>
      </c>
      <c r="D40831" s="8">
        <v>2241</v>
      </c>
      <c r="E40831" s="8">
        <v>0</v>
      </c>
      <c r="F40831" s="8">
        <v>59</v>
      </c>
    </row>
    <row r="40832" spans="1:6" ht="12.75">
      <c r="A40832" s="8">
        <v>43886.178425925929</v>
      </c>
      <c r="B40832" s="8" t="str">
        <f>HYPERLINK("https://twitter.com/JakartaStar","@JakartaStar")</f>
        <v>@JakartaStar</v>
      </c>
      <c r="C40832" s="8" t="s">
        <v>15141</v>
      </c>
      <c r="D40832" s="8">
        <v>6</v>
      </c>
      <c r="E40832" s="8">
        <v>0</v>
      </c>
      <c r="F40832" s="8">
        <v>5582</v>
      </c>
    </row>
    <row r="40833" spans="1:6" ht="12.75">
      <c r="A40833" s="8">
        <v>43886.177951388891</v>
      </c>
      <c r="B40833" s="8" t="str">
        <f>HYPERLINK("https://twitter.com/koemalaadw","@koemalaadw")</f>
        <v>@koemalaadw</v>
      </c>
      <c r="C40833" s="8" t="s">
        <v>13854</v>
      </c>
      <c r="D40833" s="8">
        <v>9753</v>
      </c>
      <c r="E40833" s="8">
        <v>0</v>
      </c>
      <c r="F40833" s="8">
        <v>97</v>
      </c>
    </row>
    <row r="40834" spans="1:6" ht="12.75">
      <c r="A40834" s="8">
        <v>43886.177604166667</v>
      </c>
      <c r="B40834" s="8" t="str">
        <f>HYPERLINK("https://twitter.com/FireBirdFeniks","@FireBirdFeniks")</f>
        <v>@FireBirdFeniks</v>
      </c>
      <c r="C40834" s="8" t="s">
        <v>15141</v>
      </c>
      <c r="D40834" s="8">
        <v>6</v>
      </c>
      <c r="E40834" s="8">
        <v>0</v>
      </c>
      <c r="F40834" s="8">
        <v>1764</v>
      </c>
    </row>
    <row r="40835" spans="1:6" ht="12.75">
      <c r="A40835" s="8">
        <v>43886.17633101852</v>
      </c>
      <c r="B40835" s="8" t="str">
        <f>HYPERLINK("https://twitter.com/muchamadam","@muchamadam")</f>
        <v>@muchamadam</v>
      </c>
      <c r="C40835" s="8" t="s">
        <v>15598</v>
      </c>
      <c r="D40835" s="8">
        <v>24</v>
      </c>
      <c r="E40835" s="8">
        <v>0</v>
      </c>
      <c r="F40835" s="8">
        <v>90</v>
      </c>
    </row>
    <row r="40836" spans="1:6" ht="12.75">
      <c r="A40836" s="8">
        <v>43886.175810185188</v>
      </c>
      <c r="B40836" s="8" t="str">
        <f>HYPERLINK("https://twitter.com/fadjroeL","@fadjroeL")</f>
        <v>@fadjroeL</v>
      </c>
      <c r="C40836" s="8" t="s">
        <v>15599</v>
      </c>
      <c r="D40836" s="8">
        <v>6</v>
      </c>
      <c r="E40836" s="8">
        <v>11</v>
      </c>
      <c r="F40836" s="8">
        <v>995697</v>
      </c>
    </row>
    <row r="40837" spans="1:6" ht="12.75">
      <c r="A40837" s="8">
        <v>43886.175717592589</v>
      </c>
      <c r="B40837" s="8" t="str">
        <f>HYPERLINK("https://twitter.com/rina_kusumawati","@rina_kusumawati")</f>
        <v>@rina_kusumawati</v>
      </c>
      <c r="C40837" s="8" t="s">
        <v>2940</v>
      </c>
      <c r="D40837" s="8">
        <v>2241</v>
      </c>
      <c r="E40837" s="8">
        <v>0</v>
      </c>
      <c r="F40837" s="8">
        <v>193</v>
      </c>
    </row>
    <row r="40838" spans="1:6" ht="12.75">
      <c r="A40838" s="8">
        <v>43886.17491898148</v>
      </c>
      <c r="B40838" s="8" t="str">
        <f>HYPERLINK("https://twitter.com/jjsengui","@jjsengui")</f>
        <v>@jjsengui</v>
      </c>
      <c r="C40838" s="8" t="s">
        <v>11183</v>
      </c>
      <c r="D40838" s="8">
        <v>6</v>
      </c>
      <c r="E40838" s="8">
        <v>0</v>
      </c>
      <c r="F40838" s="8">
        <v>838</v>
      </c>
    </row>
    <row r="40839" spans="1:6" ht="12.75">
      <c r="A40839" s="8">
        <v>43886.174675925926</v>
      </c>
      <c r="B40839" s="8" t="str">
        <f>HYPERLINK("https://twitter.com/Haluan_","@Haluan_")</f>
        <v>@Haluan_</v>
      </c>
      <c r="C40839" s="8" t="s">
        <v>15600</v>
      </c>
      <c r="D40839" s="8">
        <v>0</v>
      </c>
      <c r="E40839" s="8">
        <v>0</v>
      </c>
      <c r="F40839" s="8">
        <v>1487</v>
      </c>
    </row>
    <row r="40840" spans="1:6" ht="12.75">
      <c r="A40840" s="8">
        <v>43886.174108796295</v>
      </c>
      <c r="B40840" s="8" t="str">
        <f>HYPERLINK("https://twitter.com/jjsengui","@jjsengui")</f>
        <v>@jjsengui</v>
      </c>
      <c r="C40840" s="8" t="s">
        <v>14960</v>
      </c>
      <c r="D40840" s="8">
        <v>5</v>
      </c>
      <c r="E40840" s="8">
        <v>0</v>
      </c>
      <c r="F40840" s="8">
        <v>838</v>
      </c>
    </row>
    <row r="40841" spans="1:6" ht="12.75">
      <c r="A40841" s="8">
        <v>43886.173611111109</v>
      </c>
      <c r="B40841" s="8" t="str">
        <f>HYPERLINK("https://twitter.com/indonesiana","@indonesiana")</f>
        <v>@indonesiana</v>
      </c>
      <c r="C40841" s="8" t="s">
        <v>15601</v>
      </c>
      <c r="D40841" s="8">
        <v>0</v>
      </c>
      <c r="E40841" s="8">
        <v>0</v>
      </c>
      <c r="F40841" s="8">
        <v>49655</v>
      </c>
    </row>
    <row r="40842" spans="1:6" ht="12.75">
      <c r="A40842" s="8">
        <v>43886.170486111107</v>
      </c>
      <c r="B40842" s="8" t="str">
        <f>HYPERLINK("https://twitter.com/agneskart","@agneskart")</f>
        <v>@agneskart</v>
      </c>
      <c r="C40842" s="8" t="s">
        <v>12920</v>
      </c>
      <c r="D40842" s="8">
        <v>1486</v>
      </c>
      <c r="E40842" s="8">
        <v>0</v>
      </c>
      <c r="F40842" s="8">
        <v>159</v>
      </c>
    </row>
    <row r="40843" spans="1:6" ht="12.75">
      <c r="A40843" s="8">
        <v>43886.169212962966</v>
      </c>
      <c r="B40843" s="8" t="str">
        <f>HYPERLINK("https://twitter.com/LaelaAmien","@LaelaAmien")</f>
        <v>@LaelaAmien</v>
      </c>
      <c r="C40843" s="8" t="s">
        <v>15125</v>
      </c>
      <c r="D40843" s="8">
        <v>29</v>
      </c>
      <c r="E40843" s="8">
        <v>0</v>
      </c>
      <c r="F40843" s="8">
        <v>809</v>
      </c>
    </row>
    <row r="40844" spans="1:6" ht="12.75">
      <c r="A40844" s="8">
        <v>43886.168912037036</v>
      </c>
      <c r="B40844" s="8" t="str">
        <f>HYPERLINK("https://twitter.com/diondeniss","@diondeniss")</f>
        <v>@diondeniss</v>
      </c>
      <c r="C40844" s="8" t="s">
        <v>12920</v>
      </c>
      <c r="D40844" s="8">
        <v>1486</v>
      </c>
      <c r="E40844" s="8">
        <v>0</v>
      </c>
      <c r="F40844" s="8">
        <v>226</v>
      </c>
    </row>
    <row r="40845" spans="1:6" ht="12.75">
      <c r="A40845" s="8">
        <v>43886.168067129634</v>
      </c>
      <c r="B40845" s="8" t="str">
        <f>HYPERLINK("https://twitter.com/prab_tjc","@prab_tjc")</f>
        <v>@prab_tjc</v>
      </c>
      <c r="C40845" s="8" t="s">
        <v>15602</v>
      </c>
      <c r="D40845" s="8">
        <v>0</v>
      </c>
      <c r="E40845" s="8">
        <v>2</v>
      </c>
      <c r="F40845" s="8">
        <v>9</v>
      </c>
    </row>
    <row r="40846" spans="1:6" ht="12.75">
      <c r="A40846" s="8">
        <v>43886.167893518519</v>
      </c>
      <c r="B40846" s="8" t="str">
        <f>HYPERLINK("https://twitter.com/dewanurcahya88","@dewanurcahya88")</f>
        <v>@dewanurcahya88</v>
      </c>
      <c r="C40846" s="8" t="s">
        <v>15603</v>
      </c>
      <c r="D40846" s="8">
        <v>0</v>
      </c>
      <c r="E40846" s="8">
        <v>0</v>
      </c>
      <c r="F40846" s="8">
        <v>112</v>
      </c>
    </row>
    <row r="40847" spans="1:6" ht="12.75">
      <c r="A40847" s="8">
        <v>43886.167175925926</v>
      </c>
      <c r="B40847" s="8" t="str">
        <f t="shared" ref="B40847:B40848" si="608">HYPERLINK("https://twitter.com/ChiakiEmi","@ChiakiEmi")</f>
        <v>@ChiakiEmi</v>
      </c>
      <c r="C40847" s="8" t="s">
        <v>2940</v>
      </c>
      <c r="D40847" s="8">
        <v>2228</v>
      </c>
      <c r="E40847" s="8">
        <v>0</v>
      </c>
      <c r="F40847" s="8">
        <v>334</v>
      </c>
    </row>
    <row r="40848" spans="1:6" ht="12.75">
      <c r="A40848" s="8">
        <v>43886.166898148149</v>
      </c>
      <c r="B40848" s="8" t="str">
        <f t="shared" si="608"/>
        <v>@ChiakiEmi</v>
      </c>
      <c r="C40848" s="8" t="s">
        <v>8484</v>
      </c>
      <c r="D40848" s="8">
        <v>624</v>
      </c>
      <c r="E40848" s="8">
        <v>0</v>
      </c>
      <c r="F40848" s="8">
        <v>334</v>
      </c>
    </row>
    <row r="40849" spans="1:6" ht="12.75">
      <c r="A40849" s="8">
        <v>43886.165983796294</v>
      </c>
      <c r="B40849" s="8" t="str">
        <f>HYPERLINK("https://twitter.com/abcaustralia_id","@abcaustralia_id")</f>
        <v>@abcaustralia_id</v>
      </c>
      <c r="C40849" s="8" t="s">
        <v>15604</v>
      </c>
      <c r="D40849" s="8">
        <v>0</v>
      </c>
      <c r="E40849" s="8">
        <v>0</v>
      </c>
      <c r="F40849" s="8">
        <v>2879</v>
      </c>
    </row>
    <row r="40850" spans="1:6" ht="12.75">
      <c r="A40850" s="8">
        <v>43886.165081018524</v>
      </c>
      <c r="B40850" s="8" t="str">
        <f>HYPERLINK("https://twitter.com/yaaaaasin","@yaaaaasin")</f>
        <v>@yaaaaasin</v>
      </c>
      <c r="C40850" s="8" t="s">
        <v>15433</v>
      </c>
      <c r="D40850" s="8">
        <v>0</v>
      </c>
      <c r="E40850" s="8">
        <v>0</v>
      </c>
      <c r="F40850" s="8">
        <v>44</v>
      </c>
    </row>
    <row r="40851" spans="1:6" ht="12.75">
      <c r="A40851" s="8">
        <v>43886.163287037038</v>
      </c>
      <c r="B40851" s="8" t="str">
        <f>HYPERLINK("https://twitter.com/KJRIJeddah","@KJRIJeddah")</f>
        <v>@KJRIJeddah</v>
      </c>
      <c r="C40851" s="8" t="s">
        <v>15605</v>
      </c>
      <c r="D40851" s="8">
        <v>0</v>
      </c>
      <c r="E40851" s="8">
        <v>0</v>
      </c>
      <c r="F40851" s="8">
        <v>2299</v>
      </c>
    </row>
    <row r="40852" spans="1:6" ht="12.75">
      <c r="A40852" s="8">
        <v>43886.162766203706</v>
      </c>
      <c r="B40852" s="8" t="str">
        <f>HYPERLINK("https://twitter.com/yaniprawiro1","@yaniprawiro1")</f>
        <v>@yaniprawiro1</v>
      </c>
      <c r="C40852" s="8" t="s">
        <v>15606</v>
      </c>
      <c r="D40852" s="8">
        <v>8</v>
      </c>
      <c r="E40852" s="8">
        <v>0</v>
      </c>
      <c r="F40852" s="8">
        <v>303</v>
      </c>
    </row>
    <row r="40853" spans="1:6" ht="12.75">
      <c r="A40853" s="8">
        <v>43886.162627314814</v>
      </c>
      <c r="B40853" s="8" t="str">
        <f>HYPERLINK("https://twitter.com/UUj5oI2wXEPaJMg","@UUj5oI2wXEPaJMg")</f>
        <v>@UUj5oI2wXEPaJMg</v>
      </c>
      <c r="C40853" s="8" t="s">
        <v>8484</v>
      </c>
      <c r="D40853" s="8">
        <v>624</v>
      </c>
      <c r="E40853" s="8">
        <v>0</v>
      </c>
      <c r="F40853" s="8">
        <v>725</v>
      </c>
    </row>
    <row r="40854" spans="1:6" ht="12.75">
      <c r="A40854" s="8">
        <v>43886.161932870367</v>
      </c>
      <c r="B40854" s="8" t="str">
        <f>HYPERLINK("https://twitter.com/nonukes___","@nonukes___")</f>
        <v>@nonukes___</v>
      </c>
      <c r="C40854" s="8" t="s">
        <v>2940</v>
      </c>
      <c r="D40854" s="8">
        <v>2228</v>
      </c>
      <c r="E40854" s="8">
        <v>0</v>
      </c>
      <c r="F40854" s="8">
        <v>3362</v>
      </c>
    </row>
    <row r="40855" spans="1:6" ht="12.75">
      <c r="A40855" s="8">
        <v>43886.16138888889</v>
      </c>
      <c r="B40855" s="8" t="str">
        <f>HYPERLINK("https://twitter.com/7endralKad_run","@7endralKad_run")</f>
        <v>@7endralKad_run</v>
      </c>
      <c r="C40855" s="8" t="s">
        <v>11183</v>
      </c>
      <c r="D40855" s="8">
        <v>2</v>
      </c>
      <c r="E40855" s="8">
        <v>0</v>
      </c>
      <c r="F40855" s="8">
        <v>604</v>
      </c>
    </row>
    <row r="40856" spans="1:6" ht="12.75">
      <c r="A40856" s="8">
        <v>43886.159594907411</v>
      </c>
      <c r="B40856" s="8" t="str">
        <f>HYPERLINK("https://twitter.com/achzam_prabu","@achzam_prabu")</f>
        <v>@achzam_prabu</v>
      </c>
      <c r="C40856" s="8" t="s">
        <v>11183</v>
      </c>
      <c r="D40856" s="8">
        <v>2</v>
      </c>
      <c r="E40856" s="8">
        <v>0</v>
      </c>
      <c r="F40856" s="8">
        <v>4875</v>
      </c>
    </row>
    <row r="40857" spans="1:6" ht="12.75">
      <c r="A40857" s="8">
        <v>43886.159039351856</v>
      </c>
      <c r="B40857" s="8" t="str">
        <f>HYPERLINK("https://twitter.com/fadjroeL","@fadjroeL")</f>
        <v>@fadjroeL</v>
      </c>
      <c r="C40857" s="8" t="s">
        <v>14960</v>
      </c>
      <c r="D40857" s="8">
        <v>3</v>
      </c>
      <c r="E40857" s="8">
        <v>0</v>
      </c>
      <c r="F40857" s="8">
        <v>995697</v>
      </c>
    </row>
    <row r="40858" spans="1:6" ht="12.75">
      <c r="A40858" s="8">
        <v>43886.158217592594</v>
      </c>
      <c r="B40858" s="8" t="str">
        <f>HYPERLINK("https://twitter.com/kase_jin","@kase_jin")</f>
        <v>@kase_jin</v>
      </c>
      <c r="C40858" s="8" t="s">
        <v>8484</v>
      </c>
      <c r="D40858" s="8">
        <v>624</v>
      </c>
      <c r="E40858" s="8">
        <v>0</v>
      </c>
      <c r="F40858" s="8">
        <v>368</v>
      </c>
    </row>
    <row r="40859" spans="1:6" ht="12.75">
      <c r="A40859" s="8">
        <v>43886.156817129631</v>
      </c>
      <c r="B40859" s="8" t="str">
        <f>HYPERLINK("https://twitter.com/prasetycio","@prasetycio")</f>
        <v>@prasetycio</v>
      </c>
      <c r="C40859" s="8" t="s">
        <v>15607</v>
      </c>
      <c r="D40859" s="8">
        <v>0</v>
      </c>
      <c r="E40859" s="8">
        <v>0</v>
      </c>
      <c r="F40859" s="8">
        <v>362</v>
      </c>
    </row>
    <row r="40860" spans="1:6" ht="12.75">
      <c r="A40860" s="8">
        <v>43886.15626157407</v>
      </c>
      <c r="B40860" s="8" t="str">
        <f>HYPERLINK("https://twitter.com/HusinShihab","@HusinShihab")</f>
        <v>@HusinShihab</v>
      </c>
      <c r="C40860" s="8" t="s">
        <v>15608</v>
      </c>
      <c r="D40860" s="8">
        <v>2</v>
      </c>
      <c r="E40860" s="8">
        <v>3</v>
      </c>
      <c r="F40860" s="8">
        <v>3771</v>
      </c>
    </row>
    <row r="40861" spans="1:6" ht="12.75">
      <c r="A40861" s="8">
        <v>43886.154189814813</v>
      </c>
      <c r="B40861" s="8" t="str">
        <f>HYPERLINK("https://twitter.com/republikaonline","@republikaonline")</f>
        <v>@republikaonline</v>
      </c>
      <c r="C40861" s="8" t="s">
        <v>15609</v>
      </c>
      <c r="D40861" s="8">
        <v>0</v>
      </c>
      <c r="E40861" s="8">
        <v>1</v>
      </c>
      <c r="F40861" s="8">
        <v>1212957</v>
      </c>
    </row>
    <row r="40862" spans="1:6" ht="12.75">
      <c r="A40862" s="8">
        <v>43886.152037037042</v>
      </c>
      <c r="B40862" s="8" t="str">
        <f>HYPERLINK("https://twitter.com/Shochanm4","@Shochanm4")</f>
        <v>@Shochanm4</v>
      </c>
      <c r="C40862" s="8" t="s">
        <v>8484</v>
      </c>
      <c r="D40862" s="8">
        <v>624</v>
      </c>
      <c r="E40862" s="8">
        <v>0</v>
      </c>
      <c r="F40862" s="8">
        <v>318</v>
      </c>
    </row>
    <row r="40863" spans="1:6" ht="12.75">
      <c r="A40863" s="8">
        <v>43886.151678240742</v>
      </c>
      <c r="B40863" s="8" t="str">
        <f>HYPERLINK("https://twitter.com/luna_cuore","@luna_cuore")</f>
        <v>@luna_cuore</v>
      </c>
      <c r="C40863" s="8" t="s">
        <v>2940</v>
      </c>
      <c r="D40863" s="8">
        <v>2228</v>
      </c>
      <c r="E40863" s="8">
        <v>0</v>
      </c>
      <c r="F40863" s="8">
        <v>1075</v>
      </c>
    </row>
    <row r="40864" spans="1:6" ht="12.75">
      <c r="A40864" s="8">
        <v>43886.147002314814</v>
      </c>
      <c r="B40864" s="8" t="str">
        <f>HYPERLINK("https://twitter.com/edwin_stevanus","@edwin_stevanus")</f>
        <v>@edwin_stevanus</v>
      </c>
      <c r="C40864" s="8" t="s">
        <v>15340</v>
      </c>
      <c r="D40864" s="8">
        <v>26</v>
      </c>
      <c r="E40864" s="8">
        <v>0</v>
      </c>
      <c r="F40864" s="8">
        <v>596</v>
      </c>
    </row>
    <row r="40865" spans="1:6" ht="12.75">
      <c r="A40865" s="8">
        <v>43886.140057870369</v>
      </c>
      <c r="B40865" s="8" t="str">
        <f>HYPERLINK("https://twitter.com/Nijam_Arsyad","@Nijam_Arsyad")</f>
        <v>@Nijam_Arsyad</v>
      </c>
      <c r="C40865" s="8" t="s">
        <v>15315</v>
      </c>
      <c r="D40865" s="8">
        <v>2</v>
      </c>
      <c r="E40865" s="8">
        <v>0</v>
      </c>
      <c r="F40865" s="8">
        <v>298</v>
      </c>
    </row>
    <row r="40866" spans="1:6" ht="12.75">
      <c r="A40866" s="8">
        <v>43886.14</v>
      </c>
      <c r="B40866" s="8" t="str">
        <f>HYPERLINK("https://twitter.com/_casandrazarate","@_casandrazarate")</f>
        <v>@_casandrazarate</v>
      </c>
      <c r="C40866" s="8" t="s">
        <v>15610</v>
      </c>
      <c r="D40866" s="8">
        <v>0</v>
      </c>
      <c r="E40866" s="8">
        <v>1</v>
      </c>
      <c r="F40866" s="8">
        <v>834</v>
      </c>
    </row>
    <row r="40867" spans="1:6" ht="12.75">
      <c r="A40867" s="8">
        <v>43886.139884259261</v>
      </c>
      <c r="B40867" s="8" t="str">
        <f>HYPERLINK("https://twitter.com/hurati","@hurati")</f>
        <v>@hurati</v>
      </c>
      <c r="C40867" s="8" t="s">
        <v>2940</v>
      </c>
      <c r="D40867" s="8">
        <v>2228</v>
      </c>
      <c r="E40867" s="8">
        <v>0</v>
      </c>
      <c r="F40867" s="8">
        <v>7343</v>
      </c>
    </row>
    <row r="40868" spans="1:6" ht="12.75">
      <c r="A40868" s="8">
        <v>43886.138645833329</v>
      </c>
      <c r="B40868" s="8" t="str">
        <f>HYPERLINK("https://twitter.com/Eman65740153","@Eman65740153")</f>
        <v>@Eman65740153</v>
      </c>
      <c r="C40868" s="8" t="s">
        <v>15125</v>
      </c>
      <c r="D40868" s="8">
        <v>29</v>
      </c>
      <c r="E40868" s="8">
        <v>0</v>
      </c>
      <c r="F40868" s="8">
        <v>35</v>
      </c>
    </row>
    <row r="40869" spans="1:6" ht="12.75">
      <c r="A40869" s="8">
        <v>43886.137465277774</v>
      </c>
      <c r="B40869" s="8" t="str">
        <f>HYPERLINK("https://twitter.com/andi_achilles","@andi_achilles")</f>
        <v>@andi_achilles</v>
      </c>
      <c r="C40869" s="8" t="s">
        <v>15315</v>
      </c>
      <c r="D40869" s="8">
        <v>2</v>
      </c>
      <c r="E40869" s="8">
        <v>0</v>
      </c>
      <c r="F40869" s="8">
        <v>1295</v>
      </c>
    </row>
    <row r="40870" spans="1:6" ht="12.75">
      <c r="A40870" s="8">
        <v>43886.137199074074</v>
      </c>
      <c r="B40870" s="8" t="str">
        <f>HYPERLINK("https://twitter.com/Amirmasoom131","@Amirmasoom131")</f>
        <v>@Amirmasoom131</v>
      </c>
      <c r="C40870" s="8" t="s">
        <v>15611</v>
      </c>
      <c r="D40870" s="8">
        <v>1</v>
      </c>
      <c r="E40870" s="8">
        <v>0</v>
      </c>
      <c r="F40870" s="8">
        <v>518</v>
      </c>
    </row>
    <row r="40871" spans="1:6" ht="12.75">
      <c r="A40871" s="8">
        <v>43886.135925925926</v>
      </c>
      <c r="B40871" s="8" t="str">
        <f>HYPERLINK("https://twitter.com/Datuakpanduko2","@Datuakpanduko2")</f>
        <v>@Datuakpanduko2</v>
      </c>
      <c r="C40871" s="8" t="s">
        <v>15612</v>
      </c>
      <c r="D40871" s="8">
        <v>2</v>
      </c>
      <c r="E40871" s="8">
        <v>2</v>
      </c>
      <c r="F40871" s="8">
        <v>1660</v>
      </c>
    </row>
    <row r="40872" spans="1:6" ht="12.75">
      <c r="A40872" s="8">
        <v>43886.134710648148</v>
      </c>
      <c r="B40872" s="8" t="str">
        <f>HYPERLINK("https://twitter.com/Amirmasoom131","@Amirmasoom131")</f>
        <v>@Amirmasoom131</v>
      </c>
      <c r="C40872" s="8" t="s">
        <v>15613</v>
      </c>
      <c r="D40872" s="8">
        <v>1</v>
      </c>
      <c r="E40872" s="8">
        <v>1</v>
      </c>
      <c r="F40872" s="8">
        <v>518</v>
      </c>
    </row>
    <row r="40873" spans="1:6" ht="12.75">
      <c r="A40873" s="8">
        <v>43886.134189814809</v>
      </c>
      <c r="B40873" s="8" t="str">
        <f>HYPERLINK("https://twitter.com/Eman65740153","@Eman65740153")</f>
        <v>@Eman65740153</v>
      </c>
      <c r="C40873" s="8" t="s">
        <v>12920</v>
      </c>
      <c r="D40873" s="8">
        <v>1486</v>
      </c>
      <c r="E40873" s="8">
        <v>0</v>
      </c>
      <c r="F40873" s="8">
        <v>35</v>
      </c>
    </row>
    <row r="40874" spans="1:6" ht="12.75">
      <c r="A40874" s="8">
        <v>43886.133703703701</v>
      </c>
      <c r="B40874" s="8" t="str">
        <f>HYPERLINK("https://twitter.com/koji1231arai","@koji1231arai")</f>
        <v>@koji1231arai</v>
      </c>
      <c r="C40874" s="8" t="s">
        <v>2940</v>
      </c>
      <c r="D40874" s="8">
        <v>2228</v>
      </c>
      <c r="E40874" s="8">
        <v>0</v>
      </c>
      <c r="F40874" s="8">
        <v>694</v>
      </c>
    </row>
    <row r="40875" spans="1:6" ht="12.75">
      <c r="A40875" s="8">
        <v>43886.130127314813</v>
      </c>
      <c r="B40875" s="8" t="str">
        <f>HYPERLINK("https://twitter.com/AbdRohm58863303","@AbdRohm58863303")</f>
        <v>@AbdRohm58863303</v>
      </c>
      <c r="C40875" s="8" t="s">
        <v>15125</v>
      </c>
      <c r="D40875" s="8">
        <v>27</v>
      </c>
      <c r="E40875" s="8">
        <v>0</v>
      </c>
      <c r="F40875" s="8">
        <v>9</v>
      </c>
    </row>
    <row r="40876" spans="1:6" ht="12.75">
      <c r="A40876" s="8">
        <v>43886.129467592589</v>
      </c>
      <c r="B40876" s="8" t="str">
        <f>HYPERLINK("https://twitter.com/ronirustamadji","@ronirustamadji")</f>
        <v>@ronirustamadji</v>
      </c>
      <c r="C40876" s="8" t="s">
        <v>14887</v>
      </c>
      <c r="D40876" s="8">
        <v>4</v>
      </c>
      <c r="E40876" s="8">
        <v>0</v>
      </c>
      <c r="F40876" s="8">
        <v>3247</v>
      </c>
    </row>
    <row r="40877" spans="1:6" ht="12.75">
      <c r="A40877" s="8">
        <v>43886.129212962958</v>
      </c>
      <c r="B40877" s="8" t="str">
        <f>HYPERLINK("https://twitter.com/___S8H","@___S8H")</f>
        <v>@___S8H</v>
      </c>
      <c r="C40877" s="8" t="s">
        <v>2940</v>
      </c>
      <c r="D40877" s="8">
        <v>2223</v>
      </c>
      <c r="E40877" s="8">
        <v>0</v>
      </c>
      <c r="F40877" s="8">
        <v>1046</v>
      </c>
    </row>
    <row r="40878" spans="1:6" ht="12.75">
      <c r="A40878" s="8">
        <v>43886.128946759258</v>
      </c>
      <c r="B40878" s="8" t="str">
        <f>HYPERLINK("https://twitter.com/communistChcha","@communistChcha")</f>
        <v>@communistChcha</v>
      </c>
      <c r="C40878" s="8" t="s">
        <v>15614</v>
      </c>
      <c r="D40878" s="8">
        <v>0</v>
      </c>
      <c r="E40878" s="8">
        <v>0</v>
      </c>
      <c r="F40878" s="8">
        <v>171</v>
      </c>
    </row>
    <row r="40879" spans="1:6" ht="12.75">
      <c r="A40879" s="8">
        <v>43886.127951388888</v>
      </c>
      <c r="B40879" s="8" t="str">
        <f>HYPERLINK("https://twitter.com/rahminova2","@rahminova2")</f>
        <v>@rahminova2</v>
      </c>
      <c r="C40879" s="8" t="s">
        <v>15125</v>
      </c>
      <c r="D40879" s="8">
        <v>27</v>
      </c>
      <c r="E40879" s="8">
        <v>0</v>
      </c>
      <c r="F40879" s="8">
        <v>1300</v>
      </c>
    </row>
    <row r="40880" spans="1:6" ht="12.75">
      <c r="A40880" s="8">
        <v>43886.127754629633</v>
      </c>
      <c r="B40880" s="8" t="str">
        <f>HYPERLINK("https://twitter.com/rajawaliasia09","@rajawaliasia09")</f>
        <v>@rajawaliasia09</v>
      </c>
      <c r="C40880" s="8" t="s">
        <v>15615</v>
      </c>
      <c r="D40880" s="8">
        <v>1</v>
      </c>
      <c r="E40880" s="8">
        <v>0</v>
      </c>
      <c r="F40880" s="8">
        <v>475</v>
      </c>
    </row>
    <row r="40881" spans="1:6" ht="12.75">
      <c r="A40881" s="8">
        <v>43886.126076388886</v>
      </c>
      <c r="B40881" s="8" t="str">
        <f>HYPERLINK("https://twitter.com/tempodotco","@tempodotco")</f>
        <v>@tempodotco</v>
      </c>
      <c r="C40881" s="8" t="s">
        <v>15601</v>
      </c>
      <c r="D40881" s="8">
        <v>1</v>
      </c>
      <c r="E40881" s="8">
        <v>0</v>
      </c>
      <c r="F40881" s="8">
        <v>1710925</v>
      </c>
    </row>
    <row r="40882" spans="1:6" ht="12.75">
      <c r="A40882" s="8">
        <v>43886.12572916667</v>
      </c>
      <c r="B40882" s="8" t="str">
        <f>HYPERLINK("https://twitter.com/semua__info","@semua__info")</f>
        <v>@semua__info</v>
      </c>
      <c r="C40882" s="8" t="s">
        <v>15616</v>
      </c>
      <c r="D40882" s="8">
        <v>0</v>
      </c>
      <c r="E40882" s="8">
        <v>0</v>
      </c>
      <c r="F40882" s="8">
        <v>153</v>
      </c>
    </row>
    <row r="40883" spans="1:6" ht="12.75">
      <c r="A40883" s="8">
        <v>43886.125717592593</v>
      </c>
      <c r="B40883" s="8" t="str">
        <f>HYPERLINK("https://twitter.com/infoinajahh","@infoinajahh")</f>
        <v>@infoinajahh</v>
      </c>
      <c r="C40883" s="8" t="s">
        <v>15616</v>
      </c>
      <c r="D40883" s="8">
        <v>0</v>
      </c>
      <c r="E40883" s="8">
        <v>0</v>
      </c>
      <c r="F40883" s="8">
        <v>1086</v>
      </c>
    </row>
    <row r="40884" spans="1:6" ht="12.75">
      <c r="A40884" s="8">
        <v>43886.123668981483</v>
      </c>
      <c r="B40884" s="8" t="str">
        <f>HYPERLINK("https://twitter.com/msaid_didu","@msaid_didu")</f>
        <v>@msaid_didu</v>
      </c>
      <c r="C40884" s="8" t="s">
        <v>15125</v>
      </c>
      <c r="D40884" s="8">
        <v>27</v>
      </c>
      <c r="E40884" s="8">
        <v>0</v>
      </c>
      <c r="F40884" s="8">
        <v>232563</v>
      </c>
    </row>
    <row r="40885" spans="1:6" ht="12.75">
      <c r="A40885" s="8">
        <v>43886.122824074075</v>
      </c>
      <c r="B40885" s="8" t="str">
        <f>HYPERLINK("https://twitter.com/shonankemariya","@shonankemariya")</f>
        <v>@shonankemariya</v>
      </c>
      <c r="C40885" s="8" t="s">
        <v>8484</v>
      </c>
      <c r="D40885" s="8">
        <v>619</v>
      </c>
      <c r="E40885" s="8">
        <v>0</v>
      </c>
      <c r="F40885" s="8">
        <v>221</v>
      </c>
    </row>
    <row r="40886" spans="1:6" ht="12.75">
      <c r="A40886" s="8">
        <v>43886.120891203704</v>
      </c>
      <c r="B40886" s="8" t="str">
        <f>HYPERLINK("https://twitter.com/ANTARASumsel","@ANTARASumsel")</f>
        <v>@ANTARASumsel</v>
      </c>
      <c r="C40886" s="8" t="s">
        <v>15617</v>
      </c>
      <c r="D40886" s="8">
        <v>0</v>
      </c>
      <c r="E40886" s="8">
        <v>0</v>
      </c>
      <c r="F40886" s="8">
        <v>1110</v>
      </c>
    </row>
    <row r="40887" spans="1:6" ht="12.75">
      <c r="A40887" s="8">
        <v>43886.119837962964</v>
      </c>
      <c r="B40887" s="8" t="str">
        <f>HYPERLINK("https://twitter.com/masagus56557279","@masagus56557279")</f>
        <v>@masagus56557279</v>
      </c>
      <c r="C40887" s="8" t="s">
        <v>15618</v>
      </c>
      <c r="D40887" s="8">
        <v>0</v>
      </c>
      <c r="E40887" s="8">
        <v>0</v>
      </c>
      <c r="F40887" s="8">
        <v>3</v>
      </c>
    </row>
    <row r="40888" spans="1:6" ht="12.75">
      <c r="A40888" s="8">
        <v>43886.11582175926</v>
      </c>
      <c r="B40888" s="8" t="str">
        <f>HYPERLINK("https://twitter.com/Tim_bidji","@Tim_bidji")</f>
        <v>@Tim_bidji</v>
      </c>
      <c r="C40888" s="8" t="s">
        <v>15471</v>
      </c>
      <c r="D40888" s="8">
        <v>125</v>
      </c>
      <c r="E40888" s="8">
        <v>0</v>
      </c>
      <c r="F40888" s="8">
        <v>115</v>
      </c>
    </row>
    <row r="40889" spans="1:6" ht="12.75">
      <c r="A40889" s="8">
        <v>43886.114780092597</v>
      </c>
      <c r="B40889" s="8" t="str">
        <f>HYPERLINK("https://twitter.com/raratister","@raratister")</f>
        <v>@raratister</v>
      </c>
      <c r="C40889" s="8" t="s">
        <v>8484</v>
      </c>
      <c r="D40889" s="8">
        <v>619</v>
      </c>
      <c r="E40889" s="8">
        <v>0</v>
      </c>
      <c r="F40889" s="8">
        <v>2559</v>
      </c>
    </row>
    <row r="40890" spans="1:6" ht="12.75">
      <c r="A40890" s="8">
        <v>43886.113819444443</v>
      </c>
      <c r="B40890" s="8" t="str">
        <f>HYPERLINK("https://twitter.com/frega_wenas","@frega_wenas")</f>
        <v>@frega_wenas</v>
      </c>
      <c r="C40890" s="8" t="s">
        <v>15619</v>
      </c>
      <c r="D40890" s="8">
        <v>1</v>
      </c>
      <c r="E40890" s="8">
        <v>0</v>
      </c>
      <c r="F40890" s="8">
        <v>1071</v>
      </c>
    </row>
    <row r="40891" spans="1:6" ht="12.75">
      <c r="A40891" s="8">
        <v>43886.112233796295</v>
      </c>
      <c r="B40891" s="8" t="str">
        <f>HYPERLINK("https://twitter.com/akkey_style","@akkey_style")</f>
        <v>@akkey_style</v>
      </c>
      <c r="C40891" s="8" t="s">
        <v>8484</v>
      </c>
      <c r="D40891" s="8">
        <v>619</v>
      </c>
      <c r="E40891" s="8">
        <v>0</v>
      </c>
      <c r="F40891" s="8">
        <v>82</v>
      </c>
    </row>
    <row r="40892" spans="1:6" ht="12.75">
      <c r="A40892" s="8">
        <v>43886.108715277776</v>
      </c>
      <c r="B40892" s="8" t="str">
        <f>HYPERLINK("https://twitter.com/cakbulla","@cakbulla")</f>
        <v>@cakbulla</v>
      </c>
      <c r="C40892" s="8" t="s">
        <v>15126</v>
      </c>
      <c r="D40892" s="8">
        <v>8</v>
      </c>
      <c r="E40892" s="8">
        <v>0</v>
      </c>
      <c r="F40892" s="8">
        <v>657</v>
      </c>
    </row>
    <row r="40893" spans="1:6" ht="12.75">
      <c r="A40893" s="8">
        <v>43886.107245370367</v>
      </c>
      <c r="B40893" s="8" t="str">
        <f>HYPERLINK("https://twitter.com/cintada17","@cintada17")</f>
        <v>@cintada17</v>
      </c>
      <c r="C40893" s="8" t="s">
        <v>15126</v>
      </c>
      <c r="D40893" s="8">
        <v>8</v>
      </c>
      <c r="E40893" s="8">
        <v>0</v>
      </c>
      <c r="F40893" s="8">
        <v>7708</v>
      </c>
    </row>
    <row r="40894" spans="1:6" ht="12.75">
      <c r="A40894" s="8">
        <v>43886.106122685189</v>
      </c>
      <c r="B40894" s="8" t="str">
        <f>HYPERLINK("https://twitter.com/foepexal","@foepexal")</f>
        <v>@foepexal</v>
      </c>
      <c r="C40894" s="8" t="s">
        <v>2940</v>
      </c>
      <c r="D40894" s="8">
        <v>2223</v>
      </c>
      <c r="E40894" s="8">
        <v>0</v>
      </c>
      <c r="F40894" s="8">
        <v>31</v>
      </c>
    </row>
    <row r="40895" spans="1:6" ht="12.75">
      <c r="A40895" s="8">
        <v>43886.105011574073</v>
      </c>
      <c r="B40895" s="8" t="str">
        <f>HYPERLINK("https://twitter.com/rajawaliasia09","@rajawaliasia09")</f>
        <v>@rajawaliasia09</v>
      </c>
      <c r="C40895" s="8" t="s">
        <v>15620</v>
      </c>
      <c r="D40895" s="8">
        <v>1</v>
      </c>
      <c r="E40895" s="8">
        <v>0</v>
      </c>
      <c r="F40895" s="8">
        <v>475</v>
      </c>
    </row>
    <row r="40896" spans="1:6" ht="12.75">
      <c r="A40896" s="8">
        <v>43886.102870370371</v>
      </c>
      <c r="B40896" s="8" t="str">
        <f>HYPERLINK("https://twitter.com/oktorinaldoo","@oktorinaldoo")</f>
        <v>@oktorinaldoo</v>
      </c>
      <c r="C40896" s="8" t="s">
        <v>11973</v>
      </c>
      <c r="D40896" s="8">
        <v>11</v>
      </c>
      <c r="E40896" s="8">
        <v>0</v>
      </c>
      <c r="F40896" s="8">
        <v>65</v>
      </c>
    </row>
    <row r="40897" spans="1:6" ht="12.75">
      <c r="A40897" s="8">
        <v>43886.101400462961</v>
      </c>
      <c r="B40897" s="8" t="str">
        <f>HYPERLINK("https://twitter.com/OfficeKT","@OfficeKT")</f>
        <v>@OfficeKT</v>
      </c>
      <c r="C40897" s="8" t="s">
        <v>8484</v>
      </c>
      <c r="D40897" s="8">
        <v>619</v>
      </c>
      <c r="E40897" s="8">
        <v>0</v>
      </c>
      <c r="F40897" s="8">
        <v>95</v>
      </c>
    </row>
    <row r="40898" spans="1:6" ht="12.75">
      <c r="A40898" s="8">
        <v>43886.100972222222</v>
      </c>
      <c r="B40898" s="8" t="str">
        <f>HYPERLINK("https://twitter.com/Mr_Tanka_Jahari","@Mr_Tanka_Jahari")</f>
        <v>@Mr_Tanka_Jahari</v>
      </c>
      <c r="C40898" s="8" t="s">
        <v>15621</v>
      </c>
      <c r="D40898" s="8">
        <v>0</v>
      </c>
      <c r="E40898" s="8">
        <v>0</v>
      </c>
      <c r="F40898" s="8">
        <v>40</v>
      </c>
    </row>
    <row r="40899" spans="1:6" ht="12.75">
      <c r="A40899" s="8">
        <v>43886.098043981481</v>
      </c>
      <c r="B40899" s="8" t="str">
        <f>HYPERLINK("https://twitter.com/PRIHONGGO","@PRIHONGGO")</f>
        <v>@PRIHONGGO</v>
      </c>
      <c r="C40899" s="8" t="s">
        <v>15622</v>
      </c>
      <c r="D40899" s="8">
        <v>0</v>
      </c>
      <c r="E40899" s="8">
        <v>0</v>
      </c>
      <c r="F40899" s="8">
        <v>1019</v>
      </c>
    </row>
    <row r="40900" spans="1:6" ht="12.75">
      <c r="A40900" s="8">
        <v>43886.097546296296</v>
      </c>
      <c r="B40900" s="8" t="str">
        <f>HYPERLINK("https://twitter.com/merdekadotcom","@merdekadotcom")</f>
        <v>@merdekadotcom</v>
      </c>
      <c r="C40900" s="8" t="s">
        <v>15623</v>
      </c>
      <c r="D40900" s="8">
        <v>0</v>
      </c>
      <c r="E40900" s="8">
        <v>1</v>
      </c>
      <c r="F40900" s="8">
        <v>230621</v>
      </c>
    </row>
    <row r="40901" spans="1:6" ht="12.75">
      <c r="A40901" s="8">
        <v>43886.096898148149</v>
      </c>
      <c r="B40901" s="8" t="str">
        <f>HYPERLINK("https://twitter.com/pontianakpost","@pontianakpost")</f>
        <v>@pontianakpost</v>
      </c>
      <c r="C40901" s="8" t="s">
        <v>15624</v>
      </c>
      <c r="D40901" s="8">
        <v>0</v>
      </c>
      <c r="E40901" s="8">
        <v>0</v>
      </c>
      <c r="F40901" s="8">
        <v>5578</v>
      </c>
    </row>
    <row r="40902" spans="1:6" ht="12.75">
      <c r="A40902" s="8">
        <v>43886.090046296296</v>
      </c>
      <c r="B40902" s="8" t="str">
        <f>HYPERLINK("https://twitter.com/inu_ratih1","@inu_ratih1")</f>
        <v>@inu_ratih1</v>
      </c>
      <c r="C40902" s="8" t="s">
        <v>15125</v>
      </c>
      <c r="D40902" s="8">
        <v>25</v>
      </c>
      <c r="E40902" s="8">
        <v>0</v>
      </c>
      <c r="F40902" s="8">
        <v>91</v>
      </c>
    </row>
    <row r="40903" spans="1:6" ht="12.75">
      <c r="A40903" s="8">
        <v>43886.089699074073</v>
      </c>
      <c r="B40903" s="8" t="str">
        <f>HYPERLINK("https://twitter.com/arif_andii","@arif_andii")</f>
        <v>@arif_andii</v>
      </c>
      <c r="C40903" s="8" t="s">
        <v>3284</v>
      </c>
      <c r="D40903" s="8">
        <v>44</v>
      </c>
      <c r="E40903" s="8">
        <v>0</v>
      </c>
      <c r="F40903" s="8">
        <v>12</v>
      </c>
    </row>
    <row r="40904" spans="1:6" ht="12.75">
      <c r="A40904" s="8">
        <v>43886.088113425925</v>
      </c>
      <c r="B40904" s="8" t="str">
        <f>HYPERLINK("https://twitter.com/durbarghosh10","@durbarghosh10")</f>
        <v>@durbarghosh10</v>
      </c>
      <c r="C40904" s="8" t="s">
        <v>15625</v>
      </c>
      <c r="D40904" s="8">
        <v>0</v>
      </c>
      <c r="E40904" s="8">
        <v>0</v>
      </c>
      <c r="F40904" s="8">
        <v>41</v>
      </c>
    </row>
    <row r="40905" spans="1:6" ht="12.75">
      <c r="A40905" s="8">
        <v>43886.088055555556</v>
      </c>
      <c r="B40905" s="8" t="str">
        <f>HYPERLINK("https://twitter.com/AnilKum63589778","@AnilKum63589778")</f>
        <v>@AnilKum63589778</v>
      </c>
      <c r="C40905" s="8" t="s">
        <v>15626</v>
      </c>
      <c r="D40905" s="8">
        <v>0</v>
      </c>
      <c r="E40905" s="8">
        <v>0</v>
      </c>
      <c r="F40905" s="8">
        <v>972</v>
      </c>
    </row>
    <row r="40906" spans="1:6" ht="12.75">
      <c r="A40906" s="8">
        <v>43886.087442129632</v>
      </c>
      <c r="B40906" s="8" t="str">
        <f>HYPERLINK("https://twitter.com/Manabu_Kaita","@Manabu_Kaita")</f>
        <v>@Manabu_Kaita</v>
      </c>
      <c r="C40906" s="8" t="s">
        <v>8484</v>
      </c>
      <c r="D40906" s="8">
        <v>614</v>
      </c>
      <c r="E40906" s="8">
        <v>0</v>
      </c>
      <c r="F40906" s="8">
        <v>988</v>
      </c>
    </row>
    <row r="40907" spans="1:6" ht="12.75">
      <c r="A40907" s="8">
        <v>43886.085185185184</v>
      </c>
      <c r="B40907" s="8" t="str">
        <f>HYPERLINK("https://twitter.com/syapadia","@syapadia")</f>
        <v>@syapadia</v>
      </c>
      <c r="C40907" s="8" t="s">
        <v>12920</v>
      </c>
      <c r="D40907" s="8">
        <v>1482</v>
      </c>
      <c r="E40907" s="8">
        <v>0</v>
      </c>
      <c r="F40907" s="8">
        <v>178</v>
      </c>
    </row>
    <row r="40908" spans="1:6" ht="12.75">
      <c r="A40908" s="8">
        <v>43886.084791666668</v>
      </c>
      <c r="B40908" s="8" t="str">
        <f>HYPERLINK("https://twitter.com/Isis_Dirr","@Isis_Dirr")</f>
        <v>@Isis_Dirr</v>
      </c>
      <c r="C40908" s="8" t="s">
        <v>15627</v>
      </c>
      <c r="D40908" s="8">
        <v>9417</v>
      </c>
      <c r="E40908" s="8">
        <v>0</v>
      </c>
      <c r="F40908" s="8">
        <v>355</v>
      </c>
    </row>
    <row r="40909" spans="1:6" ht="12.75">
      <c r="A40909" s="8">
        <v>43886.084270833337</v>
      </c>
      <c r="B40909" s="8" t="str">
        <f>HYPERLINK("https://twitter.com/graceeunike6","@graceeunike6")</f>
        <v>@graceeunike6</v>
      </c>
      <c r="C40909" s="8" t="s">
        <v>12920</v>
      </c>
      <c r="D40909" s="8">
        <v>1482</v>
      </c>
      <c r="E40909" s="8">
        <v>0</v>
      </c>
      <c r="F40909" s="8">
        <v>146</v>
      </c>
    </row>
    <row r="40910" spans="1:6" ht="12.75">
      <c r="A40910" s="8">
        <v>43886.083715277782</v>
      </c>
      <c r="B40910" s="8" t="str">
        <f>HYPERLINK("https://twitter.com/TribunNew5","@TribunNew5")</f>
        <v>@TribunNew5</v>
      </c>
      <c r="C40910" s="8" t="s">
        <v>15628</v>
      </c>
      <c r="D40910" s="8">
        <v>0</v>
      </c>
      <c r="E40910" s="8">
        <v>0</v>
      </c>
      <c r="F40910" s="8">
        <v>523</v>
      </c>
    </row>
    <row r="40911" spans="1:6" ht="12.75">
      <c r="A40911" s="8">
        <v>43886.082916666666</v>
      </c>
      <c r="B40911" s="8" t="str">
        <f>HYPERLINK("https://twitter.com/momoaja","@momoaja")</f>
        <v>@momoaja</v>
      </c>
      <c r="C40911" s="8" t="s">
        <v>12920</v>
      </c>
      <c r="D40911" s="8">
        <v>1482</v>
      </c>
      <c r="E40911" s="8">
        <v>0</v>
      </c>
      <c r="F40911" s="8">
        <v>26</v>
      </c>
    </row>
    <row r="40912" spans="1:6" ht="12.75">
      <c r="A40912" s="8">
        <v>43886.081724537042</v>
      </c>
      <c r="B40912" s="8" t="str">
        <f>HYPERLINK("https://twitter.com/Robby555920","@Robby555920")</f>
        <v>@Robby555920</v>
      </c>
      <c r="C40912" s="8" t="s">
        <v>15629</v>
      </c>
      <c r="D40912" s="8">
        <v>1</v>
      </c>
      <c r="E40912" s="8">
        <v>0</v>
      </c>
      <c r="F40912" s="8">
        <v>3061</v>
      </c>
    </row>
    <row r="40913" spans="1:6" ht="12.75">
      <c r="A40913" s="8">
        <v>43886.077997685185</v>
      </c>
      <c r="B40913" s="8" t="str">
        <f>HYPERLINK("https://twitter.com/ta_20_10","@ta_20_10")</f>
        <v>@ta_20_10</v>
      </c>
      <c r="C40913" s="8" t="s">
        <v>8484</v>
      </c>
      <c r="D40913" s="8">
        <v>614</v>
      </c>
      <c r="E40913" s="8">
        <v>0</v>
      </c>
      <c r="F40913" s="8">
        <v>110</v>
      </c>
    </row>
    <row r="40914" spans="1:6" ht="12.75">
      <c r="A40914" s="8">
        <v>43886.077708333338</v>
      </c>
      <c r="B40914" s="8" t="str">
        <f>HYPERLINK("https://twitter.com/IndianFrom1947","@IndianFrom1947")</f>
        <v>@IndianFrom1947</v>
      </c>
      <c r="C40914" s="8" t="s">
        <v>15630</v>
      </c>
      <c r="D40914" s="8">
        <v>0</v>
      </c>
      <c r="E40914" s="8">
        <v>0</v>
      </c>
      <c r="F40914" s="8">
        <v>0</v>
      </c>
    </row>
    <row r="40915" spans="1:6" ht="12.75">
      <c r="A40915" s="8">
        <v>43886.077152777776</v>
      </c>
      <c r="B40915" s="8" t="str">
        <f>HYPERLINK("https://twitter.com/Waymoon3","@Waymoon3")</f>
        <v>@Waymoon3</v>
      </c>
      <c r="C40915" s="8" t="s">
        <v>15126</v>
      </c>
      <c r="D40915" s="8">
        <v>6</v>
      </c>
      <c r="E40915" s="8">
        <v>0</v>
      </c>
      <c r="F40915" s="8">
        <v>92</v>
      </c>
    </row>
    <row r="40916" spans="1:6" ht="12.75">
      <c r="A40916" s="8">
        <v>43886.076342592598</v>
      </c>
      <c r="B40916" s="8" t="str">
        <f>HYPERLINK("https://twitter.com/nnnn1950","@nnnn1950")</f>
        <v>@nnnn1950</v>
      </c>
      <c r="C40916" s="8" t="s">
        <v>8484</v>
      </c>
      <c r="D40916" s="8">
        <v>614</v>
      </c>
      <c r="E40916" s="8">
        <v>0</v>
      </c>
      <c r="F40916" s="8">
        <v>290</v>
      </c>
    </row>
    <row r="40917" spans="1:6" ht="12.75">
      <c r="A40917" s="8">
        <v>43886.075613425928</v>
      </c>
      <c r="B40917" s="8" t="str">
        <f>HYPERLINK("https://twitter.com/Ulama_Sangean","@Ulama_Sangean")</f>
        <v>@Ulama_Sangean</v>
      </c>
      <c r="C40917" s="8" t="s">
        <v>14887</v>
      </c>
      <c r="D40917" s="8">
        <v>3</v>
      </c>
      <c r="E40917" s="8">
        <v>0</v>
      </c>
      <c r="F40917" s="8">
        <v>734</v>
      </c>
    </row>
    <row r="40918" spans="1:6" ht="12.75">
      <c r="A40918" s="8">
        <v>43886.07476851852</v>
      </c>
      <c r="B40918" s="8" t="str">
        <f>HYPERLINK("https://twitter.com/AmagamiNana","@AmagamiNana")</f>
        <v>@AmagamiNana</v>
      </c>
      <c r="C40918" s="8" t="s">
        <v>2940</v>
      </c>
      <c r="D40918" s="8">
        <v>2221</v>
      </c>
      <c r="E40918" s="8">
        <v>0</v>
      </c>
      <c r="F40918" s="8">
        <v>5340</v>
      </c>
    </row>
    <row r="40919" spans="1:6" ht="12.75">
      <c r="A40919" s="8">
        <v>43886.074386574073</v>
      </c>
      <c r="B40919" s="8" t="str">
        <f>HYPERLINK("https://twitter.com/sugi_0706","@sugi_0706")</f>
        <v>@sugi_0706</v>
      </c>
      <c r="C40919" s="8" t="s">
        <v>14887</v>
      </c>
      <c r="D40919" s="8">
        <v>3</v>
      </c>
      <c r="E40919" s="8">
        <v>0</v>
      </c>
      <c r="F40919" s="8">
        <v>4878</v>
      </c>
    </row>
    <row r="40920" spans="1:6" ht="12.75">
      <c r="A40920" s="8">
        <v>43886.073819444442</v>
      </c>
      <c r="B40920" s="8" t="str">
        <f>HYPERLINK("https://twitter.com/leftypink","@leftypink")</f>
        <v>@leftypink</v>
      </c>
      <c r="C40920" s="8" t="s">
        <v>2940</v>
      </c>
      <c r="D40920" s="8">
        <v>2221</v>
      </c>
      <c r="E40920" s="8">
        <v>0</v>
      </c>
      <c r="F40920" s="8">
        <v>88</v>
      </c>
    </row>
    <row r="40921" spans="1:6" ht="12.75">
      <c r="A40921" s="8">
        <v>43886.071701388893</v>
      </c>
      <c r="B40921" s="8" t="str">
        <f>HYPERLINK("https://twitter.com/PamanDobl4ng","@PamanDobl4ng")</f>
        <v>@PamanDobl4ng</v>
      </c>
      <c r="C40921" s="8" t="s">
        <v>15449</v>
      </c>
      <c r="D40921" s="8">
        <v>7</v>
      </c>
      <c r="E40921" s="8">
        <v>0</v>
      </c>
      <c r="F40921" s="8">
        <v>94</v>
      </c>
    </row>
    <row r="40922" spans="1:6" ht="12.75">
      <c r="A40922" s="8">
        <v>43886.070902777778</v>
      </c>
      <c r="B40922" s="8" t="str">
        <f>HYPERLINK("https://twitter.com/nanininaninna","@nanininaninna")</f>
        <v>@nanininaninna</v>
      </c>
      <c r="C40922" s="8" t="s">
        <v>15520</v>
      </c>
      <c r="D40922" s="8">
        <v>25</v>
      </c>
      <c r="E40922" s="8">
        <v>0</v>
      </c>
      <c r="F40922" s="8">
        <v>2742</v>
      </c>
    </row>
    <row r="40923" spans="1:6" ht="12.75">
      <c r="A40923" s="8">
        <v>43886.070532407408</v>
      </c>
      <c r="B40923" s="8" t="str">
        <f>HYPERLINK("https://twitter.com/Fairy3treasure","@Fairy3treasure")</f>
        <v>@Fairy3treasure</v>
      </c>
      <c r="C40923" s="8" t="s">
        <v>8484</v>
      </c>
      <c r="D40923" s="8">
        <v>614</v>
      </c>
      <c r="E40923" s="8">
        <v>0</v>
      </c>
      <c r="F40923" s="8">
        <v>55</v>
      </c>
    </row>
    <row r="40924" spans="1:6" ht="12.75">
      <c r="A40924" s="8">
        <v>43886.070185185185</v>
      </c>
      <c r="B40924" s="8" t="str">
        <f>HYPERLINK("https://twitter.com/vera_a_puspita","@vera_a_puspita")</f>
        <v>@vera_a_puspita</v>
      </c>
      <c r="C40924" s="8" t="s">
        <v>15631</v>
      </c>
      <c r="D40924" s="8">
        <v>0</v>
      </c>
      <c r="E40924" s="8">
        <v>0</v>
      </c>
      <c r="F40924" s="8">
        <v>145</v>
      </c>
    </row>
    <row r="40925" spans="1:6" ht="12.75">
      <c r="A40925" s="8">
        <v>43886.068692129629</v>
      </c>
      <c r="B40925" s="8" t="str">
        <f>HYPERLINK("https://twitter.com/SWD_wolverine","@SWD_wolverine")</f>
        <v>@SWD_wolverine</v>
      </c>
      <c r="C40925" s="8" t="s">
        <v>14887</v>
      </c>
      <c r="D40925" s="8">
        <v>3</v>
      </c>
      <c r="E40925" s="8">
        <v>0</v>
      </c>
      <c r="F40925" s="8">
        <v>1158</v>
      </c>
    </row>
    <row r="40926" spans="1:6" ht="12.75">
      <c r="A40926" s="8">
        <v>43886.068483796298</v>
      </c>
      <c r="B40926" s="8" t="str">
        <f>HYPERLINK("https://twitter.com/Shashan17801276","@Shashan17801276")</f>
        <v>@Shashan17801276</v>
      </c>
      <c r="C40926" s="8" t="s">
        <v>15632</v>
      </c>
      <c r="D40926" s="8">
        <v>0</v>
      </c>
      <c r="E40926" s="8">
        <v>0</v>
      </c>
      <c r="F40926" s="8">
        <v>5</v>
      </c>
    </row>
    <row r="40927" spans="1:6" ht="12.75">
      <c r="A40927" s="8">
        <v>43886.068379629629</v>
      </c>
      <c r="B40927" s="8" t="str">
        <f>HYPERLINK("https://twitter.com/iMuhammad_MD","@iMuhammad_MD")</f>
        <v>@iMuhammad_MD</v>
      </c>
      <c r="C40927" s="8" t="s">
        <v>15633</v>
      </c>
      <c r="D40927" s="8">
        <v>0</v>
      </c>
      <c r="E40927" s="8">
        <v>0</v>
      </c>
      <c r="F40927" s="8">
        <v>113</v>
      </c>
    </row>
    <row r="40928" spans="1:6" ht="12.75">
      <c r="A40928" s="8">
        <v>43886.065636574072</v>
      </c>
      <c r="B40928" s="8" t="str">
        <f>HYPERLINK("https://twitter.com/asasijigure","@asasijigure")</f>
        <v>@asasijigure</v>
      </c>
      <c r="C40928" s="8" t="s">
        <v>2940</v>
      </c>
      <c r="D40928" s="8">
        <v>2221</v>
      </c>
      <c r="E40928" s="8">
        <v>0</v>
      </c>
      <c r="F40928" s="8">
        <v>59</v>
      </c>
    </row>
    <row r="40929" spans="1:6" ht="12.75">
      <c r="A40929" s="8">
        <v>43886.065578703703</v>
      </c>
      <c r="B40929" s="8" t="str">
        <f>HYPERLINK("https://twitter.com/zul_azh","@zul_azh")</f>
        <v>@zul_azh</v>
      </c>
      <c r="C40929" s="8" t="s">
        <v>2940</v>
      </c>
      <c r="D40929" s="8">
        <v>2221</v>
      </c>
      <c r="E40929" s="8">
        <v>0</v>
      </c>
      <c r="F40929" s="8">
        <v>389</v>
      </c>
    </row>
    <row r="40930" spans="1:6" ht="12.75">
      <c r="A40930" s="8">
        <v>43886.065196759257</v>
      </c>
      <c r="B40930" s="8" t="str">
        <f>HYPERLINK("https://twitter.com/edgeofthew","@edgeofthew")</f>
        <v>@edgeofthew</v>
      </c>
      <c r="C40930" s="8" t="s">
        <v>8484</v>
      </c>
      <c r="D40930" s="8">
        <v>614</v>
      </c>
      <c r="E40930" s="8">
        <v>0</v>
      </c>
      <c r="F40930" s="8">
        <v>29</v>
      </c>
    </row>
    <row r="40931" spans="1:6" ht="12.75">
      <c r="A40931" s="8">
        <v>43886.063541666663</v>
      </c>
      <c r="B40931" s="8" t="str">
        <f>HYPERLINK("https://twitter.com/afinkusani","@afinkusani")</f>
        <v>@afinkusani</v>
      </c>
      <c r="C40931" s="8" t="s">
        <v>15634</v>
      </c>
      <c r="D40931" s="8">
        <v>2</v>
      </c>
      <c r="E40931" s="8">
        <v>0</v>
      </c>
      <c r="F40931" s="8">
        <v>356</v>
      </c>
    </row>
    <row r="40932" spans="1:6" ht="12.75">
      <c r="A40932" s="8">
        <v>43886.061342592591</v>
      </c>
      <c r="B40932" s="8" t="str">
        <f>HYPERLINK("https://twitter.com/noviaovi2","@noviaovi2")</f>
        <v>@noviaovi2</v>
      </c>
      <c r="C40932" s="8" t="s">
        <v>15635</v>
      </c>
      <c r="D40932" s="8">
        <v>1335</v>
      </c>
      <c r="E40932" s="8">
        <v>0</v>
      </c>
      <c r="F40932" s="8">
        <v>21</v>
      </c>
    </row>
    <row r="40933" spans="1:6" ht="12.75">
      <c r="A40933" s="8">
        <v>43886.061099537037</v>
      </c>
      <c r="B40933" s="8" t="str">
        <f>HYPERLINK("https://twitter.com/Donal_golan","@Donal_golan")</f>
        <v>@Donal_golan</v>
      </c>
      <c r="C40933" s="8" t="s">
        <v>15636</v>
      </c>
      <c r="D40933" s="8">
        <v>3</v>
      </c>
      <c r="E40933" s="8">
        <v>2</v>
      </c>
      <c r="F40933" s="8">
        <v>751</v>
      </c>
    </row>
    <row r="40934" spans="1:6" ht="12.75">
      <c r="A40934" s="8">
        <v>43886.059189814812</v>
      </c>
      <c r="B40934" s="8" t="str">
        <f>HYPERLINK("https://twitter.com/AcengAngki","@AcengAngki")</f>
        <v>@AcengAngki</v>
      </c>
      <c r="C40934" s="8" t="s">
        <v>15598</v>
      </c>
      <c r="D40934" s="8">
        <v>23</v>
      </c>
      <c r="E40934" s="8">
        <v>0</v>
      </c>
      <c r="F40934" s="8">
        <v>251</v>
      </c>
    </row>
    <row r="40935" spans="1:6" ht="12.75">
      <c r="A40935" s="8">
        <v>43886.058958333335</v>
      </c>
      <c r="B40935" s="8" t="str">
        <f>HYPERLINK("https://twitter.com/pahleviyudha_","@pahleviyudha_")</f>
        <v>@pahleviyudha_</v>
      </c>
      <c r="C40935" s="8" t="s">
        <v>2940</v>
      </c>
      <c r="D40935" s="8">
        <v>2221</v>
      </c>
      <c r="E40935" s="8">
        <v>0</v>
      </c>
      <c r="F40935" s="8">
        <v>116</v>
      </c>
    </row>
    <row r="40936" spans="1:6" ht="12.75">
      <c r="A40936" s="8">
        <v>43886.057997685188</v>
      </c>
      <c r="B40936" s="8" t="str">
        <f>HYPERLINK("https://twitter.com/_CHlS_","@_CHlS_")</f>
        <v>@_CHlS_</v>
      </c>
      <c r="C40936" s="8" t="s">
        <v>15637</v>
      </c>
      <c r="D40936" s="8">
        <v>4</v>
      </c>
      <c r="E40936" s="8">
        <v>0</v>
      </c>
      <c r="F40936" s="8">
        <v>2822</v>
      </c>
    </row>
    <row r="40937" spans="1:6" ht="12.75">
      <c r="A40937" s="8">
        <v>43886.056956018518</v>
      </c>
      <c r="B40937" s="8" t="str">
        <f>HYPERLINK("https://twitter.com/shootarrow","@shootarrow")</f>
        <v>@shootarrow</v>
      </c>
      <c r="C40937" s="8" t="s">
        <v>2940</v>
      </c>
      <c r="D40937" s="8">
        <v>2221</v>
      </c>
      <c r="E40937" s="8">
        <v>0</v>
      </c>
      <c r="F40937" s="8">
        <v>752</v>
      </c>
    </row>
    <row r="40938" spans="1:6" ht="12.75">
      <c r="A40938" s="8">
        <v>43886.056631944448</v>
      </c>
      <c r="B40938" s="8" t="str">
        <f>HYPERLINK("https://twitter.com/Rishabhratedr","@Rishabhratedr")</f>
        <v>@Rishabhratedr</v>
      </c>
      <c r="C40938" s="8" t="s">
        <v>15638</v>
      </c>
      <c r="D40938" s="8">
        <v>0</v>
      </c>
      <c r="E40938" s="8">
        <v>0</v>
      </c>
      <c r="F40938" s="8">
        <v>30</v>
      </c>
    </row>
    <row r="40939" spans="1:6" ht="12.75">
      <c r="A40939" s="8">
        <v>43886.056076388893</v>
      </c>
      <c r="B40939" s="8" t="str">
        <f>HYPERLINK("https://twitter.com/Ulama_Sangean","@Ulama_Sangean")</f>
        <v>@Ulama_Sangean</v>
      </c>
      <c r="C40939" s="8" t="s">
        <v>15639</v>
      </c>
      <c r="D40939" s="8">
        <v>0</v>
      </c>
      <c r="E40939" s="8">
        <v>0</v>
      </c>
      <c r="F40939" s="8">
        <v>734</v>
      </c>
    </row>
    <row r="40940" spans="1:6" ht="12.75">
      <c r="A40940" s="8">
        <v>43886.054398148146</v>
      </c>
      <c r="B40940" s="8" t="str">
        <f>HYPERLINK("https://twitter.com/misterpiii_","@misterpiii_")</f>
        <v>@misterpiii_</v>
      </c>
      <c r="C40940" s="8" t="s">
        <v>2940</v>
      </c>
      <c r="D40940" s="8">
        <v>2221</v>
      </c>
      <c r="E40940" s="8">
        <v>0</v>
      </c>
      <c r="F40940" s="8">
        <v>74</v>
      </c>
    </row>
    <row r="40941" spans="1:6" ht="12.75">
      <c r="A40941" s="8">
        <v>43886.052870370375</v>
      </c>
      <c r="B40941" s="8" t="str">
        <f>HYPERLINK("https://twitter.com/_therma_","@_therma_")</f>
        <v>@_therma_</v>
      </c>
      <c r="C40941" s="8" t="s">
        <v>15637</v>
      </c>
      <c r="D40941" s="8">
        <v>4</v>
      </c>
      <c r="E40941" s="8">
        <v>0</v>
      </c>
      <c r="F40941" s="8">
        <v>4534</v>
      </c>
    </row>
    <row r="40942" spans="1:6" ht="12.75">
      <c r="A40942" s="8">
        <v>43886.052754629629</v>
      </c>
      <c r="B40942" s="8" t="str">
        <f>HYPERLINK("https://twitter.com/MgGuggari","@MgGuggari")</f>
        <v>@MgGuggari</v>
      </c>
      <c r="C40942" s="8" t="s">
        <v>15640</v>
      </c>
      <c r="D40942" s="8">
        <v>0</v>
      </c>
      <c r="E40942" s="8">
        <v>3</v>
      </c>
      <c r="F40942" s="8">
        <v>337</v>
      </c>
    </row>
    <row r="40943" spans="1:6" ht="12.75">
      <c r="A40943" s="8">
        <v>43886.052164351851</v>
      </c>
      <c r="B40943" s="8" t="str">
        <f>HYPERLINK("https://twitter.com/rujakpala","@rujakpala")</f>
        <v>@rujakpala</v>
      </c>
      <c r="C40943" s="8" t="s">
        <v>15641</v>
      </c>
      <c r="D40943" s="8">
        <v>0</v>
      </c>
      <c r="E40943" s="8">
        <v>0</v>
      </c>
      <c r="F40943" s="8">
        <v>176</v>
      </c>
    </row>
    <row r="40944" spans="1:6" ht="12.75">
      <c r="A40944" s="8">
        <v>43886.052141203705</v>
      </c>
      <c r="B40944" s="8" t="str">
        <f>HYPERLINK("https://twitter.com/teraslampung_ok","@teraslampung_ok")</f>
        <v>@teraslampung_ok</v>
      </c>
      <c r="C40944" s="8" t="s">
        <v>15641</v>
      </c>
      <c r="D40944" s="8">
        <v>0</v>
      </c>
      <c r="E40944" s="8">
        <v>0</v>
      </c>
      <c r="F40944" s="8">
        <v>710</v>
      </c>
    </row>
    <row r="40945" spans="1:6" ht="12.75">
      <c r="A40945" s="8">
        <v>43886.052141203705</v>
      </c>
      <c r="B40945" s="8" t="str">
        <f>HYPERLINK("https://twitter.com/terasindo","@terasindo")</f>
        <v>@terasindo</v>
      </c>
      <c r="C40945" s="8" t="s">
        <v>15641</v>
      </c>
      <c r="D40945" s="8">
        <v>0</v>
      </c>
      <c r="E40945" s="8">
        <v>0</v>
      </c>
      <c r="F40945" s="8">
        <v>626</v>
      </c>
    </row>
    <row r="40946" spans="1:6" ht="12.75">
      <c r="A40946" s="8">
        <v>43886.051180555558</v>
      </c>
      <c r="B40946" s="8" t="str">
        <f>HYPERLINK("https://twitter.com/amitpat46875974","@amitpat46875974")</f>
        <v>@amitpat46875974</v>
      </c>
      <c r="C40946" s="8" t="s">
        <v>15642</v>
      </c>
      <c r="D40946" s="8">
        <v>0</v>
      </c>
      <c r="E40946" s="8">
        <v>0</v>
      </c>
      <c r="F40946" s="8">
        <v>4</v>
      </c>
    </row>
    <row r="40947" spans="1:6" ht="12.75">
      <c r="A40947" s="8">
        <v>43886.049537037034</v>
      </c>
      <c r="B40947" s="8" t="str">
        <f>HYPERLINK("https://twitter.com/dianisarah","@dianisarah")</f>
        <v>@dianisarah</v>
      </c>
      <c r="C40947" s="8" t="s">
        <v>2940</v>
      </c>
      <c r="D40947" s="8">
        <v>2221</v>
      </c>
      <c r="E40947" s="8">
        <v>0</v>
      </c>
      <c r="F40947" s="8">
        <v>490</v>
      </c>
    </row>
    <row r="40948" spans="1:6" ht="12.75">
      <c r="A40948" s="8">
        <v>43886.048946759256</v>
      </c>
      <c r="B40948" s="8" t="str">
        <f>HYPERLINK("https://twitter.com/bandungnews5","@bandungnews5")</f>
        <v>@bandungnews5</v>
      </c>
      <c r="C40948" s="8" t="s">
        <v>15643</v>
      </c>
      <c r="D40948" s="8">
        <v>0</v>
      </c>
      <c r="E40948" s="8">
        <v>0</v>
      </c>
      <c r="F40948" s="8">
        <v>109</v>
      </c>
    </row>
    <row r="40949" spans="1:6" ht="12.75">
      <c r="A40949" s="8">
        <v>43886.047708333332</v>
      </c>
      <c r="B40949" s="8" t="str">
        <f>HYPERLINK("https://twitter.com/syedmohdmurtaza","@syedmohdmurtaza")</f>
        <v>@syedmohdmurtaza</v>
      </c>
      <c r="C40949" s="8" t="s">
        <v>15644</v>
      </c>
      <c r="D40949" s="8">
        <v>0</v>
      </c>
      <c r="E40949" s="8">
        <v>0</v>
      </c>
      <c r="F40949" s="8">
        <v>1344</v>
      </c>
    </row>
    <row r="40950" spans="1:6" ht="12.75">
      <c r="A40950" s="8">
        <v>43886.047685185185</v>
      </c>
      <c r="B40950" s="8" t="str">
        <f>HYPERLINK("https://twitter.com/RakyatJ73433360","@RakyatJ73433360")</f>
        <v>@RakyatJ73433360</v>
      </c>
      <c r="C40950" s="8" t="s">
        <v>15645</v>
      </c>
      <c r="D40950" s="8">
        <v>0</v>
      </c>
      <c r="E40950" s="8">
        <v>0</v>
      </c>
      <c r="F40950" s="8">
        <v>18</v>
      </c>
    </row>
    <row r="40951" spans="1:6" ht="12.75">
      <c r="A40951" s="8">
        <v>43886.045347222222</v>
      </c>
      <c r="B40951" s="8" t="str">
        <f>HYPERLINK("https://twitter.com/klwashere","@klwashere")</f>
        <v>@klwashere</v>
      </c>
      <c r="C40951" s="8" t="s">
        <v>15646</v>
      </c>
      <c r="D40951" s="8">
        <v>36</v>
      </c>
      <c r="E40951" s="8">
        <v>0</v>
      </c>
      <c r="F40951" s="8">
        <v>77</v>
      </c>
    </row>
    <row r="40952" spans="1:6" ht="12.75">
      <c r="A40952" s="8">
        <v>43886.044814814813</v>
      </c>
      <c r="B40952" s="8" t="str">
        <f>HYPERLINK("https://twitter.com/Haluan_","@Haluan_")</f>
        <v>@Haluan_</v>
      </c>
      <c r="C40952" s="8" t="s">
        <v>15647</v>
      </c>
      <c r="D40952" s="8">
        <v>0</v>
      </c>
      <c r="E40952" s="8">
        <v>0</v>
      </c>
      <c r="F40952" s="8">
        <v>1487</v>
      </c>
    </row>
    <row r="40953" spans="1:6" ht="12.75">
      <c r="A40953" s="8">
        <v>43886.043032407411</v>
      </c>
      <c r="B40953" s="8" t="str">
        <f>HYPERLINK("https://twitter.com/michikootsuka","@michikootsuka")</f>
        <v>@michikootsuka</v>
      </c>
      <c r="C40953" s="8" t="s">
        <v>2940</v>
      </c>
      <c r="D40953" s="8">
        <v>2213</v>
      </c>
      <c r="E40953" s="8">
        <v>0</v>
      </c>
      <c r="F40953" s="8">
        <v>207</v>
      </c>
    </row>
    <row r="40954" spans="1:6" ht="12.75">
      <c r="A40954" s="8">
        <v>43886.04210648148</v>
      </c>
      <c r="B40954" s="8" t="str">
        <f>HYPERLINK("https://twitter.com/MahatoJagannath","@MahatoJagannath")</f>
        <v>@MahatoJagannath</v>
      </c>
      <c r="C40954" s="8" t="s">
        <v>15648</v>
      </c>
      <c r="D40954" s="8">
        <v>2</v>
      </c>
      <c r="E40954" s="8">
        <v>0</v>
      </c>
      <c r="F40954" s="8">
        <v>218</v>
      </c>
    </row>
    <row r="40955" spans="1:6" ht="12.75">
      <c r="A40955" s="8">
        <v>43886.041956018518</v>
      </c>
      <c r="B40955" s="8" t="str">
        <f>HYPERLINK("https://twitter.com/RadarMiliter","@RadarMiliter")</f>
        <v>@RadarMiliter</v>
      </c>
      <c r="C40955" s="8" t="s">
        <v>15649</v>
      </c>
      <c r="D40955" s="8">
        <v>0</v>
      </c>
      <c r="E40955" s="8">
        <v>0</v>
      </c>
      <c r="F40955" s="8">
        <v>154</v>
      </c>
    </row>
    <row r="40956" spans="1:6" ht="12.75">
      <c r="A40956" s="8">
        <v>43886.040335648147</v>
      </c>
      <c r="B40956" s="8" t="str">
        <f t="shared" ref="B40956:B40958" si="609">HYPERLINK("https://twitter.com/sedzir","@sedzir")</f>
        <v>@sedzir</v>
      </c>
      <c r="C40956" s="8" t="s">
        <v>14106</v>
      </c>
      <c r="D40956" s="8">
        <v>116</v>
      </c>
      <c r="E40956" s="8">
        <v>0</v>
      </c>
      <c r="F40956" s="8">
        <v>4856</v>
      </c>
    </row>
    <row r="40957" spans="1:6" ht="12.75">
      <c r="A40957" s="8">
        <v>43886.040162037039</v>
      </c>
      <c r="B40957" s="8" t="str">
        <f t="shared" si="609"/>
        <v>@sedzir</v>
      </c>
      <c r="C40957" s="8" t="s">
        <v>13834</v>
      </c>
      <c r="D40957" s="8">
        <v>125</v>
      </c>
      <c r="E40957" s="8">
        <v>0</v>
      </c>
      <c r="F40957" s="8">
        <v>4856</v>
      </c>
    </row>
    <row r="40958" spans="1:6" ht="12.75">
      <c r="A40958" s="8">
        <v>43886.03979166667</v>
      </c>
      <c r="B40958" s="8" t="str">
        <f t="shared" si="609"/>
        <v>@sedzir</v>
      </c>
      <c r="C40958" s="8" t="s">
        <v>8484</v>
      </c>
      <c r="D40958" s="8">
        <v>608</v>
      </c>
      <c r="E40958" s="8">
        <v>0</v>
      </c>
      <c r="F40958" s="8">
        <v>4856</v>
      </c>
    </row>
    <row r="40959" spans="1:6" ht="12.75">
      <c r="A40959" s="8">
        <v>43886.039768518516</v>
      </c>
      <c r="B40959" s="8" t="str">
        <f>HYPERLINK("https://twitter.com/chibikkocharo","@chibikkocharo")</f>
        <v>@chibikkocharo</v>
      </c>
      <c r="C40959" s="8" t="s">
        <v>2940</v>
      </c>
      <c r="D40959" s="8">
        <v>2213</v>
      </c>
      <c r="E40959" s="8">
        <v>0</v>
      </c>
      <c r="F40959" s="8">
        <v>27</v>
      </c>
    </row>
    <row r="40960" spans="1:6" ht="12.75">
      <c r="A40960" s="8">
        <v>43886.039131944446</v>
      </c>
      <c r="B40960" s="8" t="str">
        <f>HYPERLINK("https://twitter.com/sedzir","@sedzir")</f>
        <v>@sedzir</v>
      </c>
      <c r="C40960" s="8" t="s">
        <v>2940</v>
      </c>
      <c r="D40960" s="8">
        <v>2213</v>
      </c>
      <c r="E40960" s="8">
        <v>0</v>
      </c>
      <c r="F40960" s="8">
        <v>4856</v>
      </c>
    </row>
    <row r="40961" spans="1:6" ht="12.75">
      <c r="A40961" s="8">
        <v>43886.038136574076</v>
      </c>
      <c r="B40961" s="8" t="str">
        <f>HYPERLINK("https://twitter.com/77bayoe","@77bayoe")</f>
        <v>@77bayoe</v>
      </c>
      <c r="C40961" s="8" t="s">
        <v>14106</v>
      </c>
      <c r="D40961" s="8">
        <v>116</v>
      </c>
      <c r="E40961" s="8">
        <v>0</v>
      </c>
      <c r="F40961" s="8">
        <v>2193</v>
      </c>
    </row>
    <row r="40962" spans="1:6" ht="12.75">
      <c r="A40962" s="8">
        <v>43886.038136574076</v>
      </c>
      <c r="B40962" s="8" t="str">
        <f>HYPERLINK("https://twitter.com/chamois9696","@chamois9696")</f>
        <v>@chamois9696</v>
      </c>
      <c r="C40962" s="8" t="s">
        <v>2940</v>
      </c>
      <c r="D40962" s="8">
        <v>2213</v>
      </c>
      <c r="E40962" s="8">
        <v>0</v>
      </c>
      <c r="F40962" s="8">
        <v>150</v>
      </c>
    </row>
    <row r="40963" spans="1:6" ht="12.75">
      <c r="A40963" s="8">
        <v>43886.038090277776</v>
      </c>
      <c r="B40963" s="8" t="str">
        <f t="shared" ref="B40963:B40964" si="610">HYPERLINK("https://twitter.com/77bayoe","@77bayoe")</f>
        <v>@77bayoe</v>
      </c>
      <c r="C40963" s="8" t="s">
        <v>13834</v>
      </c>
      <c r="D40963" s="8">
        <v>125</v>
      </c>
      <c r="E40963" s="8">
        <v>0</v>
      </c>
      <c r="F40963" s="8">
        <v>2193</v>
      </c>
    </row>
    <row r="40964" spans="1:6" ht="12.75">
      <c r="A40964" s="8">
        <v>43886.037835648152</v>
      </c>
      <c r="B40964" s="8" t="str">
        <f t="shared" si="610"/>
        <v>@77bayoe</v>
      </c>
      <c r="C40964" s="8" t="s">
        <v>8484</v>
      </c>
      <c r="D40964" s="8">
        <v>608</v>
      </c>
      <c r="E40964" s="8">
        <v>0</v>
      </c>
      <c r="F40964" s="8">
        <v>2193</v>
      </c>
    </row>
    <row r="40965" spans="1:6" ht="12.75">
      <c r="A40965" s="8">
        <v>43886.037546296298</v>
      </c>
      <c r="B40965" s="8" t="str">
        <f>HYPERLINK("https://twitter.com/moh_khalifa_","@moh_khalifa_")</f>
        <v>@moh_khalifa_</v>
      </c>
      <c r="C40965" s="8" t="s">
        <v>15650</v>
      </c>
      <c r="D40965" s="8">
        <v>0</v>
      </c>
      <c r="E40965" s="8">
        <v>1</v>
      </c>
      <c r="F40965" s="8">
        <v>446</v>
      </c>
    </row>
    <row r="40966" spans="1:6" ht="12.75">
      <c r="A40966" s="8">
        <v>43886.037476851852</v>
      </c>
      <c r="B40966" s="8" t="str">
        <f>HYPERLINK("https://twitter.com/77bayoe","@77bayoe")</f>
        <v>@77bayoe</v>
      </c>
      <c r="C40966" s="8" t="s">
        <v>2940</v>
      </c>
      <c r="D40966" s="8">
        <v>2213</v>
      </c>
      <c r="E40966" s="8">
        <v>0</v>
      </c>
      <c r="F40966" s="8">
        <v>2193</v>
      </c>
    </row>
    <row r="40967" spans="1:6" ht="12.75">
      <c r="A40967" s="8">
        <v>43886.037291666667</v>
      </c>
      <c r="B40967" s="8" t="str">
        <f>HYPERLINK("https://twitter.com/_wni_","@_wni_")</f>
        <v>@_wni_</v>
      </c>
      <c r="C40967" s="8" t="s">
        <v>15651</v>
      </c>
      <c r="D40967" s="8">
        <v>347</v>
      </c>
      <c r="E40967" s="8">
        <v>0</v>
      </c>
      <c r="F40967" s="8">
        <v>8</v>
      </c>
    </row>
    <row r="40968" spans="1:6" ht="12.75">
      <c r="A40968" s="8">
        <v>43886.036898148144</v>
      </c>
      <c r="B40968" s="8" t="str">
        <f>HYPERLINK("https://twitter.com/TSpartan99","@TSpartan99")</f>
        <v>@TSpartan99</v>
      </c>
      <c r="C40968" s="8" t="s">
        <v>15652</v>
      </c>
      <c r="D40968" s="8">
        <v>0</v>
      </c>
      <c r="E40968" s="8">
        <v>0</v>
      </c>
      <c r="F40968" s="8">
        <v>870</v>
      </c>
    </row>
    <row r="40969" spans="1:6" ht="12.75">
      <c r="A40969" s="8">
        <v>43886.036678240736</v>
      </c>
      <c r="B40969" s="8" t="str">
        <f>HYPERLINK("https://twitter.com/_wni_","@_wni_")</f>
        <v>@_wni_</v>
      </c>
      <c r="C40969" s="8" t="s">
        <v>15653</v>
      </c>
      <c r="D40969" s="8">
        <v>0</v>
      </c>
      <c r="E40969" s="8">
        <v>0</v>
      </c>
      <c r="F40969" s="8">
        <v>8</v>
      </c>
    </row>
    <row r="40970" spans="1:6" ht="12.75">
      <c r="A40970" s="8">
        <v>43886.035914351851</v>
      </c>
      <c r="B40970" s="8" t="str">
        <f>HYPERLINK("https://twitter.com/marjivet","@marjivet")</f>
        <v>@marjivet</v>
      </c>
      <c r="C40970" s="8" t="s">
        <v>15654</v>
      </c>
      <c r="D40970" s="8">
        <v>3</v>
      </c>
      <c r="E40970" s="8">
        <v>0</v>
      </c>
      <c r="F40970" s="8">
        <v>12</v>
      </c>
    </row>
    <row r="40971" spans="1:6" ht="12.75">
      <c r="A40971" s="8">
        <v>43886.035439814819</v>
      </c>
      <c r="B40971" s="8" t="str">
        <f>HYPERLINK("https://twitter.com/kiriharanozomi","@kiriharanozomi")</f>
        <v>@kiriharanozomi</v>
      </c>
      <c r="C40971" s="8" t="s">
        <v>2940</v>
      </c>
      <c r="D40971" s="8">
        <v>2213</v>
      </c>
      <c r="E40971" s="8">
        <v>0</v>
      </c>
      <c r="F40971" s="8">
        <v>212</v>
      </c>
    </row>
    <row r="40972" spans="1:6" ht="12.75">
      <c r="A40972" s="8">
        <v>43886.034560185188</v>
      </c>
      <c r="B40972" s="8" t="str">
        <f>HYPERLINK("https://twitter.com/benar_berita","@benar_berita")</f>
        <v>@benar_berita</v>
      </c>
      <c r="C40972" s="8" t="s">
        <v>15655</v>
      </c>
      <c r="D40972" s="8">
        <v>0</v>
      </c>
      <c r="E40972" s="8">
        <v>0</v>
      </c>
      <c r="F40972" s="8">
        <v>349</v>
      </c>
    </row>
    <row r="40973" spans="1:6" ht="12.75">
      <c r="A40973" s="8">
        <v>43886.034062499995</v>
      </c>
      <c r="B40973" s="8" t="str">
        <f>HYPERLINK("https://twitter.com/NmrDipak","@NmrDipak")</f>
        <v>@NmrDipak</v>
      </c>
      <c r="C40973" s="8" t="s">
        <v>15656</v>
      </c>
      <c r="D40973" s="8">
        <v>0</v>
      </c>
      <c r="E40973" s="8">
        <v>0</v>
      </c>
      <c r="F40973" s="8">
        <v>4</v>
      </c>
    </row>
    <row r="40974" spans="1:6" ht="12.75">
      <c r="A40974" s="8">
        <v>43886.033101851848</v>
      </c>
      <c r="B40974" s="8" t="str">
        <f>HYPERLINK("https://twitter.com/frida_rahardjo","@frida_rahardjo")</f>
        <v>@frida_rahardjo</v>
      </c>
      <c r="C40974" s="8" t="s">
        <v>15657</v>
      </c>
      <c r="D40974" s="8">
        <v>4</v>
      </c>
      <c r="E40974" s="8">
        <v>0</v>
      </c>
      <c r="F40974" s="8">
        <v>1450</v>
      </c>
    </row>
    <row r="40975" spans="1:6" ht="12.75">
      <c r="A40975" s="8">
        <v>43886.031921296293</v>
      </c>
      <c r="B40975" s="8" t="str">
        <f t="shared" ref="B40975:B40976" si="611">HYPERLINK("https://twitter.com/NileshResearch","@NileshResearch")</f>
        <v>@NileshResearch</v>
      </c>
      <c r="C40975" s="8" t="s">
        <v>15648</v>
      </c>
      <c r="D40975" s="8">
        <v>2</v>
      </c>
      <c r="E40975" s="8">
        <v>0</v>
      </c>
      <c r="F40975" s="8">
        <v>36</v>
      </c>
    </row>
    <row r="40976" spans="1:6" ht="12.75">
      <c r="A40976" s="8">
        <v>43886.031747685185</v>
      </c>
      <c r="B40976" s="8" t="str">
        <f t="shared" si="611"/>
        <v>@NileshResearch</v>
      </c>
      <c r="C40976" s="8" t="s">
        <v>15658</v>
      </c>
      <c r="D40976" s="8">
        <v>2</v>
      </c>
      <c r="E40976" s="8">
        <v>3</v>
      </c>
      <c r="F40976" s="8">
        <v>36</v>
      </c>
    </row>
    <row r="40977" spans="1:6" ht="12.75">
      <c r="A40977" s="8">
        <v>43886.030925925923</v>
      </c>
      <c r="B40977" s="8" t="str">
        <f>HYPERLINK("https://twitter.com/Haluan_","@Haluan_")</f>
        <v>@Haluan_</v>
      </c>
      <c r="C40977" s="8" t="s">
        <v>15659</v>
      </c>
      <c r="D40977" s="8">
        <v>0</v>
      </c>
      <c r="E40977" s="8">
        <v>0</v>
      </c>
      <c r="F40977" s="8">
        <v>1487</v>
      </c>
    </row>
    <row r="40978" spans="1:6" ht="12.75">
      <c r="A40978" s="8">
        <v>43886.030856481477</v>
      </c>
      <c r="B40978" s="8" t="str">
        <f>HYPERLINK("https://twitter.com/RaharjaNugraha","@RaharjaNugraha")</f>
        <v>@RaharjaNugraha</v>
      </c>
      <c r="C40978" s="8" t="s">
        <v>15660</v>
      </c>
      <c r="D40978" s="8">
        <v>0</v>
      </c>
      <c r="E40978" s="8">
        <v>0</v>
      </c>
      <c r="F40978" s="8">
        <v>3</v>
      </c>
    </row>
    <row r="40979" spans="1:6" ht="12.75">
      <c r="A40979" s="8">
        <v>43886.030752314815</v>
      </c>
      <c r="B40979" s="8" t="str">
        <f>HYPERLINK("https://twitter.com/harihariono1","@harihariono1")</f>
        <v>@harihariono1</v>
      </c>
      <c r="C40979" s="8" t="s">
        <v>15657</v>
      </c>
      <c r="D40979" s="8">
        <v>4</v>
      </c>
      <c r="E40979" s="8">
        <v>0</v>
      </c>
      <c r="F40979" s="8">
        <v>9448</v>
      </c>
    </row>
    <row r="40980" spans="1:6" ht="12.75">
      <c r="A40980" s="8">
        <v>43886.030648148153</v>
      </c>
      <c r="B40980" s="8" t="str">
        <f>HYPERLINK("https://twitter.com/fachri_kh","@fachri_kh")</f>
        <v>@fachri_kh</v>
      </c>
      <c r="C40980" s="8" t="s">
        <v>15637</v>
      </c>
      <c r="D40980" s="8">
        <v>2</v>
      </c>
      <c r="E40980" s="8">
        <v>0</v>
      </c>
      <c r="F40980" s="8">
        <v>4144</v>
      </c>
    </row>
    <row r="40981" spans="1:6" ht="12.75">
      <c r="A40981" s="8">
        <v>43886.02988425926</v>
      </c>
      <c r="B40981" s="8" t="str">
        <f>HYPERLINK("https://twitter.com/republikaonline","@republikaonline")</f>
        <v>@republikaonline</v>
      </c>
      <c r="C40981" s="8" t="s">
        <v>15661</v>
      </c>
      <c r="D40981" s="8">
        <v>1</v>
      </c>
      <c r="E40981" s="8">
        <v>5</v>
      </c>
      <c r="F40981" s="8">
        <v>1212929</v>
      </c>
    </row>
    <row r="40982" spans="1:6" ht="12.75">
      <c r="A40982" s="8">
        <v>43886.028599537036</v>
      </c>
      <c r="B40982" s="8" t="str">
        <f>HYPERLINK("https://twitter.com/NgaritCommunity","@NgaritCommunity")</f>
        <v>@NgaritCommunity</v>
      </c>
      <c r="C40982" s="8" t="s">
        <v>299</v>
      </c>
      <c r="D40982" s="8">
        <v>4735</v>
      </c>
      <c r="E40982" s="8">
        <v>0</v>
      </c>
      <c r="F40982" s="8">
        <v>442</v>
      </c>
    </row>
    <row r="40983" spans="1:6" ht="12.75">
      <c r="A40983" s="8">
        <v>43886.026203703703</v>
      </c>
      <c r="B40983" s="8" t="str">
        <f>HYPERLINK("https://twitter.com/indozonemedia","@indozonemedia")</f>
        <v>@indozonemedia</v>
      </c>
      <c r="C40983" s="8" t="s">
        <v>15662</v>
      </c>
      <c r="D40983" s="8">
        <v>0</v>
      </c>
      <c r="E40983" s="8">
        <v>0</v>
      </c>
      <c r="F40983" s="8">
        <v>1787929</v>
      </c>
    </row>
    <row r="40984" spans="1:6" ht="12.75">
      <c r="A40984" s="8">
        <v>43886.026099537034</v>
      </c>
      <c r="B40984" s="8" t="str">
        <f>HYPERLINK("https://twitter.com/LadyBugXCII","@LadyBugXCII")</f>
        <v>@LadyBugXCII</v>
      </c>
      <c r="C40984" s="8" t="s">
        <v>15663</v>
      </c>
      <c r="D40984" s="8">
        <v>0</v>
      </c>
      <c r="E40984" s="8">
        <v>0</v>
      </c>
      <c r="F40984" s="8">
        <v>1</v>
      </c>
    </row>
    <row r="40985" spans="1:6" ht="12.75">
      <c r="A40985" s="8">
        <v>43886.025775462964</v>
      </c>
      <c r="B40985" s="8" t="str">
        <f>HYPERLINK("https://twitter.com/SZRECORDS","@SZRECORDS")</f>
        <v>@SZRECORDS</v>
      </c>
      <c r="C40985" s="8" t="s">
        <v>8484</v>
      </c>
      <c r="D40985" s="8">
        <v>608</v>
      </c>
      <c r="E40985" s="8">
        <v>0</v>
      </c>
      <c r="F40985" s="8">
        <v>52</v>
      </c>
    </row>
    <row r="40986" spans="1:6" ht="12.75">
      <c r="A40986" s="8">
        <v>43886.024467592593</v>
      </c>
      <c r="B40986" s="8" t="str">
        <f>HYPERLINK("https://twitter.com/him0505","@him0505")</f>
        <v>@him0505</v>
      </c>
      <c r="C40986" s="8" t="s">
        <v>2940</v>
      </c>
      <c r="D40986" s="8">
        <v>2213</v>
      </c>
      <c r="E40986" s="8">
        <v>0</v>
      </c>
      <c r="F40986" s="8">
        <v>109</v>
      </c>
    </row>
    <row r="40987" spans="1:6" ht="12.75">
      <c r="A40987" s="8">
        <v>43886.024236111116</v>
      </c>
      <c r="B40987" s="8" t="str">
        <f>HYPERLINK("https://twitter.com/risyan_achonx","@risyan_achonx")</f>
        <v>@risyan_achonx</v>
      </c>
      <c r="C40987" s="8" t="s">
        <v>12920</v>
      </c>
      <c r="D40987" s="8">
        <v>1479</v>
      </c>
      <c r="E40987" s="8">
        <v>0</v>
      </c>
      <c r="F40987" s="8">
        <v>235</v>
      </c>
    </row>
    <row r="40988" spans="1:6" ht="12.75">
      <c r="A40988" s="8">
        <v>43886.023958333331</v>
      </c>
      <c r="B40988" s="8" t="str">
        <f>HYPERLINK("https://twitter.com/Etrigon4","@Etrigon4")</f>
        <v>@Etrigon4</v>
      </c>
      <c r="C40988" s="8" t="s">
        <v>15664</v>
      </c>
      <c r="D40988" s="8">
        <v>0</v>
      </c>
      <c r="E40988" s="8">
        <v>0</v>
      </c>
      <c r="F40988" s="8">
        <v>0</v>
      </c>
    </row>
    <row r="40989" spans="1:6" ht="12.75">
      <c r="A40989" s="8">
        <v>43886.022939814815</v>
      </c>
      <c r="B40989" s="8" t="str">
        <f>HYPERLINK("https://twitter.com/republikaonline","@republikaonline")</f>
        <v>@republikaonline</v>
      </c>
      <c r="C40989" s="8" t="s">
        <v>15665</v>
      </c>
      <c r="D40989" s="8">
        <v>0</v>
      </c>
      <c r="E40989" s="8">
        <v>4</v>
      </c>
      <c r="F40989" s="8">
        <v>1212929</v>
      </c>
    </row>
    <row r="40990" spans="1:6" ht="12.75">
      <c r="A40990" s="8">
        <v>43886.022685185184</v>
      </c>
      <c r="B40990" s="8" t="str">
        <f>HYPERLINK("https://twitter.com/shi__wie","@shi__wie")</f>
        <v>@shi__wie</v>
      </c>
      <c r="C40990" s="8" t="s">
        <v>15666</v>
      </c>
      <c r="D40990" s="8">
        <v>0</v>
      </c>
      <c r="E40990" s="8">
        <v>1</v>
      </c>
      <c r="F40990" s="8">
        <v>329</v>
      </c>
    </row>
    <row r="40991" spans="1:6" ht="12.75">
      <c r="A40991" s="8">
        <v>43886.022546296299</v>
      </c>
      <c r="B40991" s="8" t="str">
        <f>HYPERLINK("https://twitter.com/Ricardo10Ind","@Ricardo10Ind")</f>
        <v>@Ricardo10Ind</v>
      </c>
      <c r="C40991" s="8" t="s">
        <v>15667</v>
      </c>
      <c r="D40991" s="8">
        <v>0</v>
      </c>
      <c r="E40991" s="8">
        <v>0</v>
      </c>
      <c r="F40991" s="8">
        <v>222</v>
      </c>
    </row>
    <row r="40992" spans="1:6" ht="12.75">
      <c r="A40992" s="8">
        <v>43886.022523148145</v>
      </c>
      <c r="B40992" s="8" t="str">
        <f>HYPERLINK("https://twitter.com/suara1hati","@suara1hati")</f>
        <v>@suara1hati</v>
      </c>
      <c r="C40992" s="8" t="s">
        <v>2940</v>
      </c>
      <c r="D40992" s="8">
        <v>2213</v>
      </c>
      <c r="E40992" s="8">
        <v>0</v>
      </c>
      <c r="F40992" s="8">
        <v>1412</v>
      </c>
    </row>
    <row r="40993" spans="1:6" ht="12.75">
      <c r="A40993" s="8">
        <v>43886.021689814814</v>
      </c>
      <c r="B40993" s="8" t="str">
        <f>HYPERLINK("https://twitter.com/kristiotuhu","@kristiotuhu")</f>
        <v>@kristiotuhu</v>
      </c>
      <c r="C40993" s="8" t="s">
        <v>12920</v>
      </c>
      <c r="D40993" s="8">
        <v>1479</v>
      </c>
      <c r="E40993" s="8">
        <v>0</v>
      </c>
      <c r="F40993" s="8">
        <v>784</v>
      </c>
    </row>
    <row r="40994" spans="1:6" ht="12.75">
      <c r="A40994" s="8">
        <v>43886.021620370375</v>
      </c>
      <c r="B40994" s="8" t="str">
        <f>HYPERLINK("https://twitter.com/Globalnews222","@Globalnews222")</f>
        <v>@Globalnews222</v>
      </c>
      <c r="C40994" s="8" t="s">
        <v>15668</v>
      </c>
      <c r="D40994" s="8">
        <v>2</v>
      </c>
      <c r="E40994" s="8">
        <v>0</v>
      </c>
      <c r="F40994" s="8">
        <v>29</v>
      </c>
    </row>
    <row r="40995" spans="1:6" ht="12.75">
      <c r="A40995" s="8">
        <v>43886.021180555559</v>
      </c>
      <c r="B40995" s="8" t="str">
        <f>HYPERLINK("https://twitter.com/cgnlnccptts","@cgnlnccptts")</f>
        <v>@cgnlnccptts</v>
      </c>
      <c r="C40995" s="8" t="s">
        <v>8484</v>
      </c>
      <c r="D40995" s="8">
        <v>608</v>
      </c>
      <c r="E40995" s="8">
        <v>0</v>
      </c>
      <c r="F40995" s="8">
        <v>66</v>
      </c>
    </row>
    <row r="40996" spans="1:6" ht="12.75">
      <c r="A40996" s="8">
        <v>43886.021030092597</v>
      </c>
      <c r="B40996" s="8" t="str">
        <f>HYPERLINK("https://twitter.com/Terarini1","@Terarini1")</f>
        <v>@Terarini1</v>
      </c>
      <c r="C40996" s="8" t="s">
        <v>12920</v>
      </c>
      <c r="D40996" s="8">
        <v>1479</v>
      </c>
      <c r="E40996" s="8">
        <v>0</v>
      </c>
      <c r="F40996" s="8">
        <v>144</v>
      </c>
    </row>
    <row r="40997" spans="1:6" ht="12.75">
      <c r="A40997" s="8">
        <v>43886.020868055552</v>
      </c>
      <c r="B40997" s="8" t="str">
        <f>HYPERLINK("https://twitter.com/sandmanindo","@sandmanindo")</f>
        <v>@sandmanindo</v>
      </c>
      <c r="C40997" s="8" t="s">
        <v>15669</v>
      </c>
      <c r="D40997" s="8">
        <v>2</v>
      </c>
      <c r="E40997" s="8">
        <v>0</v>
      </c>
      <c r="F40997" s="8">
        <v>400</v>
      </c>
    </row>
    <row r="40998" spans="1:6" ht="12.75">
      <c r="A40998" s="8">
        <v>43886.020416666666</v>
      </c>
      <c r="B40998" s="8" t="str">
        <f>HYPERLINK("https://twitter.com/GeMelLoveSik","@GeMelLoveSik")</f>
        <v>@GeMelLoveSik</v>
      </c>
      <c r="C40998" s="8" t="s">
        <v>15670</v>
      </c>
      <c r="D40998" s="8">
        <v>0</v>
      </c>
      <c r="E40998" s="8">
        <v>0</v>
      </c>
      <c r="F40998" s="8">
        <v>324</v>
      </c>
    </row>
    <row r="40999" spans="1:6" ht="12.75">
      <c r="A40999" s="8">
        <v>43886.020127314812</v>
      </c>
      <c r="B40999" s="8" t="str">
        <f>HYPERLINK("https://twitter.com/JohnIrwan4","@JohnIrwan4")</f>
        <v>@JohnIrwan4</v>
      </c>
      <c r="C40999" s="8" t="s">
        <v>15340</v>
      </c>
      <c r="D40999" s="8">
        <v>25</v>
      </c>
      <c r="E40999" s="8">
        <v>0</v>
      </c>
      <c r="F40999" s="8">
        <v>2421</v>
      </c>
    </row>
    <row r="41000" spans="1:6" ht="12.75">
      <c r="A41000" s="8">
        <v>43886.020069444443</v>
      </c>
      <c r="B41000" s="8" t="str">
        <f>HYPERLINK("https://twitter.com/taegguct0130","@taegguct0130")</f>
        <v>@taegguct0130</v>
      </c>
      <c r="C41000" s="8" t="s">
        <v>15671</v>
      </c>
      <c r="D41000" s="8">
        <v>0</v>
      </c>
      <c r="E41000" s="8">
        <v>0</v>
      </c>
      <c r="F41000" s="8">
        <v>2507</v>
      </c>
    </row>
    <row r="41001" spans="1:6" ht="12.75">
      <c r="A41001" s="8">
        <v>43886.019803240742</v>
      </c>
      <c r="B41001" s="8" t="str">
        <f>HYPERLINK("https://twitter.com/sutanakhir","@sutanakhir")</f>
        <v>@sutanakhir</v>
      </c>
      <c r="C41001" s="8" t="s">
        <v>15672</v>
      </c>
      <c r="D41001" s="8">
        <v>17</v>
      </c>
      <c r="E41001" s="8">
        <v>0</v>
      </c>
      <c r="F41001" s="8">
        <v>205</v>
      </c>
    </row>
    <row r="41002" spans="1:6" ht="12.75">
      <c r="A41002" s="8">
        <v>43886.019641203704</v>
      </c>
      <c r="B41002" s="8" t="str">
        <f>HYPERLINK("https://twitter.com/muhyidinkay","@muhyidinkay")</f>
        <v>@muhyidinkay</v>
      </c>
      <c r="C41002" s="8" t="s">
        <v>15673</v>
      </c>
      <c r="D41002" s="8">
        <v>0</v>
      </c>
      <c r="E41002" s="8">
        <v>0</v>
      </c>
      <c r="F41002" s="8">
        <v>25</v>
      </c>
    </row>
    <row r="41003" spans="1:6" ht="12.75">
      <c r="A41003" s="8">
        <v>43886.019467592589</v>
      </c>
      <c r="B41003" s="8" t="str">
        <f>HYPERLINK("https://twitter.com/sorayalibby","@sorayalibby")</f>
        <v>@sorayalibby</v>
      </c>
      <c r="C41003" s="8" t="s">
        <v>15674</v>
      </c>
      <c r="D41003" s="8">
        <v>0</v>
      </c>
      <c r="E41003" s="8">
        <v>0</v>
      </c>
      <c r="F41003" s="8">
        <v>618</v>
      </c>
    </row>
    <row r="41004" spans="1:6" ht="12.75">
      <c r="A41004" s="8">
        <v>43886.019097222219</v>
      </c>
      <c r="B41004" s="8" t="str">
        <f>HYPERLINK("https://twitter.com/soepono42","@soepono42")</f>
        <v>@soepono42</v>
      </c>
      <c r="C41004" s="8" t="s">
        <v>15675</v>
      </c>
      <c r="D41004" s="8">
        <v>0</v>
      </c>
      <c r="E41004" s="8">
        <v>0</v>
      </c>
      <c r="F41004" s="8">
        <v>1235</v>
      </c>
    </row>
    <row r="41005" spans="1:6" ht="12.75">
      <c r="A41005" s="8">
        <v>43886.018680555557</v>
      </c>
      <c r="B41005" s="8" t="str">
        <f>HYPERLINK("https://twitter.com/dininovialisa","@dininovialisa")</f>
        <v>@dininovialisa</v>
      </c>
      <c r="C41005" s="8" t="s">
        <v>15676</v>
      </c>
      <c r="D41005" s="8">
        <v>0</v>
      </c>
      <c r="E41005" s="8">
        <v>0</v>
      </c>
      <c r="F41005" s="8">
        <v>637</v>
      </c>
    </row>
    <row r="41006" spans="1:6" ht="12.75">
      <c r="A41006" s="8">
        <v>43886.018368055556</v>
      </c>
      <c r="B41006" s="8" t="str">
        <f>HYPERLINK("https://twitter.com/NuriLens","@NuriLens")</f>
        <v>@NuriLens</v>
      </c>
      <c r="C41006" s="8" t="s">
        <v>15677</v>
      </c>
      <c r="D41006" s="8">
        <v>3</v>
      </c>
      <c r="E41006" s="8">
        <v>0</v>
      </c>
      <c r="F41006" s="8">
        <v>5</v>
      </c>
    </row>
    <row r="41007" spans="1:6" ht="12.75">
      <c r="A41007" s="8">
        <v>43886.017592592594</v>
      </c>
      <c r="B41007" s="8" t="str">
        <f t="shared" ref="B41007:B41009" si="612">HYPERLINK("https://twitter.com/NileshResearch","@NileshResearch")</f>
        <v>@NileshResearch</v>
      </c>
      <c r="C41007" s="8" t="s">
        <v>15678</v>
      </c>
      <c r="D41007" s="8">
        <v>1</v>
      </c>
      <c r="E41007" s="8">
        <v>0</v>
      </c>
      <c r="F41007" s="8">
        <v>36</v>
      </c>
    </row>
    <row r="41008" spans="1:6" ht="12.75">
      <c r="A41008" s="8">
        <v>43886.017523148148</v>
      </c>
      <c r="B41008" s="8" t="str">
        <f t="shared" si="612"/>
        <v>@NileshResearch</v>
      </c>
      <c r="C41008" s="8" t="s">
        <v>15679</v>
      </c>
      <c r="D41008" s="8">
        <v>1</v>
      </c>
      <c r="E41008" s="8">
        <v>1</v>
      </c>
      <c r="F41008" s="8">
        <v>36</v>
      </c>
    </row>
    <row r="41009" spans="1:6" ht="12.75">
      <c r="A41009" s="8">
        <v>43886.017476851848</v>
      </c>
      <c r="B41009" s="8" t="str">
        <f t="shared" si="612"/>
        <v>@NileshResearch</v>
      </c>
      <c r="C41009" s="8" t="s">
        <v>15680</v>
      </c>
      <c r="D41009" s="8">
        <v>1</v>
      </c>
      <c r="E41009" s="8">
        <v>1</v>
      </c>
      <c r="F41009" s="8">
        <v>36</v>
      </c>
    </row>
    <row r="41010" spans="1:6" ht="12.75">
      <c r="A41010" s="8">
        <v>43886.017395833333</v>
      </c>
      <c r="B41010" s="8" t="str">
        <f>HYPERLINK("https://twitter.com/republikaonline","@republikaonline")</f>
        <v>@republikaonline</v>
      </c>
      <c r="C41010" s="8" t="s">
        <v>15681</v>
      </c>
      <c r="D41010" s="8">
        <v>0</v>
      </c>
      <c r="E41010" s="8">
        <v>2</v>
      </c>
      <c r="F41010" s="8">
        <v>1212929</v>
      </c>
    </row>
    <row r="41011" spans="1:6" ht="12.75">
      <c r="A41011" s="8">
        <v>43886.016655092593</v>
      </c>
      <c r="B41011" s="8" t="str">
        <f>HYPERLINK("https://twitter.com/KaimanaPoem","@KaimanaPoem")</f>
        <v>@KaimanaPoem</v>
      </c>
      <c r="C41011" s="8" t="s">
        <v>15682</v>
      </c>
      <c r="D41011" s="8">
        <v>0</v>
      </c>
      <c r="E41011" s="8">
        <v>0</v>
      </c>
      <c r="F41011" s="8">
        <v>1288</v>
      </c>
    </row>
    <row r="41012" spans="1:6" ht="12.75">
      <c r="A41012" s="8">
        <v>43886.016226851847</v>
      </c>
      <c r="B41012" s="8" t="str">
        <f>HYPERLINK("https://twitter.com/ridhatobing","@ridhatobing")</f>
        <v>@ridhatobing</v>
      </c>
      <c r="C41012" s="8" t="s">
        <v>15557</v>
      </c>
      <c r="D41012" s="8">
        <v>3</v>
      </c>
      <c r="E41012" s="8">
        <v>0</v>
      </c>
      <c r="F41012" s="8">
        <v>441</v>
      </c>
    </row>
    <row r="41013" spans="1:6" ht="12.75">
      <c r="A41013" s="8">
        <v>43886.015740740739</v>
      </c>
      <c r="B41013" s="8" t="str">
        <f>HYPERLINK("https://twitter.com/HirdaaNov","@HirdaaNov")</f>
        <v>@HirdaaNov</v>
      </c>
      <c r="C41013" s="8" t="s">
        <v>15340</v>
      </c>
      <c r="D41013" s="8">
        <v>25</v>
      </c>
      <c r="E41013" s="8">
        <v>0</v>
      </c>
      <c r="F41013" s="8">
        <v>709</v>
      </c>
    </row>
    <row r="41014" spans="1:6" ht="12.75">
      <c r="A41014" s="8">
        <v>43886.013229166667</v>
      </c>
      <c r="B41014" s="8" t="str">
        <f>HYPERLINK("https://twitter.com/cosmoshermes","@cosmoshermes")</f>
        <v>@cosmoshermes</v>
      </c>
      <c r="C41014" s="8" t="s">
        <v>2940</v>
      </c>
      <c r="D41014" s="8">
        <v>2213</v>
      </c>
      <c r="E41014" s="8">
        <v>0</v>
      </c>
      <c r="F41014" s="8">
        <v>6</v>
      </c>
    </row>
    <row r="41015" spans="1:6" ht="12.75">
      <c r="A41015" s="8">
        <v>43886.01253472222</v>
      </c>
      <c r="B41015" s="8" t="str">
        <f>HYPERLINK("https://twitter.com/republikaonline","@republikaonline")</f>
        <v>@republikaonline</v>
      </c>
      <c r="C41015" s="8" t="s">
        <v>15683</v>
      </c>
      <c r="D41015" s="8">
        <v>3</v>
      </c>
      <c r="E41015" s="8">
        <v>12</v>
      </c>
      <c r="F41015" s="8">
        <v>1212929</v>
      </c>
    </row>
    <row r="41016" spans="1:6" ht="12.75">
      <c r="A41016" s="8">
        <v>43886.01226851852</v>
      </c>
      <c r="B41016" s="8" t="str">
        <f>HYPERLINK("https://twitter.com/JohnIrwan4","@JohnIrwan4")</f>
        <v>@JohnIrwan4</v>
      </c>
      <c r="C41016" s="8" t="s">
        <v>15657</v>
      </c>
      <c r="D41016" s="8">
        <v>4</v>
      </c>
      <c r="E41016" s="8">
        <v>0</v>
      </c>
      <c r="F41016" s="8">
        <v>2421</v>
      </c>
    </row>
    <row r="41017" spans="1:6" ht="12.75">
      <c r="A41017" s="8">
        <v>43886.011550925927</v>
      </c>
      <c r="B41017" s="8" t="str">
        <f>HYPERLINK("https://twitter.com/nonalian","@nonalian")</f>
        <v>@nonalian</v>
      </c>
      <c r="C41017" s="8" t="s">
        <v>2940</v>
      </c>
      <c r="D41017" s="8">
        <v>2213</v>
      </c>
      <c r="E41017" s="8">
        <v>0</v>
      </c>
      <c r="F41017" s="8">
        <v>301</v>
      </c>
    </row>
    <row r="41018" spans="1:6" ht="12.75">
      <c r="A41018" s="8">
        <v>43886.011319444442</v>
      </c>
      <c r="B41018" s="8" t="str">
        <f>HYPERLINK("https://twitter.com/oneaperture","@oneaperture")</f>
        <v>@oneaperture</v>
      </c>
      <c r="C41018" s="8" t="s">
        <v>15340</v>
      </c>
      <c r="D41018" s="8">
        <v>25</v>
      </c>
      <c r="E41018" s="8">
        <v>0</v>
      </c>
      <c r="F41018" s="8">
        <v>1835</v>
      </c>
    </row>
    <row r="41019" spans="1:6" ht="12.75">
      <c r="A41019" s="8">
        <v>43886.010972222226</v>
      </c>
      <c r="B41019" s="8" t="str">
        <f>HYPERLINK("https://twitter.com/FerryFe40732164","@FerryFe40732164")</f>
        <v>@FerryFe40732164</v>
      </c>
      <c r="C41019" s="8" t="s">
        <v>13308</v>
      </c>
      <c r="D41019" s="8">
        <v>25</v>
      </c>
      <c r="E41019" s="8">
        <v>0</v>
      </c>
      <c r="F41019" s="8">
        <v>53</v>
      </c>
    </row>
    <row r="41020" spans="1:6" ht="12.75">
      <c r="A41020" s="8">
        <v>43886.010879629626</v>
      </c>
      <c r="B41020" s="8" t="str">
        <f>HYPERLINK("https://twitter.com/gowestmor","@gowestmor")</f>
        <v>@gowestmor</v>
      </c>
      <c r="C41020" s="8" t="s">
        <v>12920</v>
      </c>
      <c r="D41020" s="8">
        <v>1479</v>
      </c>
      <c r="E41020" s="8">
        <v>0</v>
      </c>
      <c r="F41020" s="8">
        <v>1578</v>
      </c>
    </row>
    <row r="41021" spans="1:6" ht="12.75">
      <c r="A41021" s="8">
        <v>43886.010081018518</v>
      </c>
      <c r="B41021" s="8" t="str">
        <f>HYPERLINK("https://twitter.com/abvp_chirag","@abvp_chirag")</f>
        <v>@abvp_chirag</v>
      </c>
      <c r="C41021" s="8" t="s">
        <v>15684</v>
      </c>
      <c r="D41021" s="8">
        <v>10</v>
      </c>
      <c r="E41021" s="8">
        <v>0</v>
      </c>
      <c r="F41021" s="8">
        <v>1067</v>
      </c>
    </row>
    <row r="41022" spans="1:6" ht="12.75">
      <c r="A41022" s="8">
        <v>43886.009409722217</v>
      </c>
      <c r="B41022" s="8" t="str">
        <f>HYPERLINK("https://twitter.com/dewikstp","@dewikstp")</f>
        <v>@dewikstp</v>
      </c>
      <c r="C41022" s="8" t="s">
        <v>15685</v>
      </c>
      <c r="D41022" s="8">
        <v>4</v>
      </c>
      <c r="E41022" s="8">
        <v>2</v>
      </c>
      <c r="F41022" s="8">
        <v>3113</v>
      </c>
    </row>
    <row r="41023" spans="1:6" ht="12.75">
      <c r="A41023" s="8">
        <v>43886.009189814809</v>
      </c>
      <c r="B41023" s="8" t="str">
        <f>HYPERLINK("https://twitter.com/unibozu","@unibozu")</f>
        <v>@unibozu</v>
      </c>
      <c r="C41023" s="8" t="s">
        <v>2940</v>
      </c>
      <c r="D41023" s="8">
        <v>2213</v>
      </c>
      <c r="E41023" s="8">
        <v>0</v>
      </c>
      <c r="F41023" s="8">
        <v>92</v>
      </c>
    </row>
    <row r="41024" spans="1:6" ht="12.75">
      <c r="A41024" s="8">
        <v>43886.008379629631</v>
      </c>
      <c r="B41024" s="8" t="str">
        <f>HYPERLINK("https://twitter.com/wow_keren","@wow_keren")</f>
        <v>@wow_keren</v>
      </c>
      <c r="C41024" s="8" t="s">
        <v>15686</v>
      </c>
      <c r="D41024" s="8">
        <v>0</v>
      </c>
      <c r="E41024" s="8">
        <v>0</v>
      </c>
      <c r="F41024" s="8">
        <v>32014</v>
      </c>
    </row>
    <row r="41025" spans="1:6" ht="12.75">
      <c r="A41025" s="8">
        <v>43886.008125</v>
      </c>
      <c r="B41025" s="8" t="str">
        <f>HYPERLINK("https://twitter.com/awan137","@awan137")</f>
        <v>@awan137</v>
      </c>
      <c r="C41025" s="8" t="s">
        <v>15405</v>
      </c>
      <c r="D41025" s="8">
        <v>22</v>
      </c>
      <c r="E41025" s="8">
        <v>0</v>
      </c>
      <c r="F41025" s="8">
        <v>250</v>
      </c>
    </row>
    <row r="41026" spans="1:6" ht="12.75">
      <c r="A41026" s="8">
        <v>43886.007673611108</v>
      </c>
      <c r="B41026" s="8" t="str">
        <f>HYPERLINK("https://twitter.com/izharulhaq","@izharulhaq")</f>
        <v>@izharulhaq</v>
      </c>
      <c r="C41026" s="8" t="s">
        <v>1318</v>
      </c>
      <c r="D41026" s="8">
        <v>23264</v>
      </c>
      <c r="E41026" s="8">
        <v>0</v>
      </c>
      <c r="F41026" s="8">
        <v>531</v>
      </c>
    </row>
    <row r="41027" spans="1:6" ht="12.75">
      <c r="A41027" s="8">
        <v>43886.007361111115</v>
      </c>
      <c r="B41027" s="8" t="str">
        <f>HYPERLINK("https://twitter.com/bandungnews5","@bandungnews5")</f>
        <v>@bandungnews5</v>
      </c>
      <c r="C41027" s="8" t="s">
        <v>15687</v>
      </c>
      <c r="D41027" s="8">
        <v>0</v>
      </c>
      <c r="E41027" s="8">
        <v>0</v>
      </c>
      <c r="F41027" s="8">
        <v>109</v>
      </c>
    </row>
    <row r="41028" spans="1:6" ht="12.75">
      <c r="A41028" s="8">
        <v>43886.006365740745</v>
      </c>
      <c r="B41028" s="8" t="str">
        <f>HYPERLINK("https://twitter.com/DionAlekta","@DionAlekta")</f>
        <v>@DionAlekta</v>
      </c>
      <c r="C41028" s="8" t="s">
        <v>2940</v>
      </c>
      <c r="D41028" s="8">
        <v>2205</v>
      </c>
      <c r="E41028" s="8">
        <v>0</v>
      </c>
      <c r="F41028" s="8">
        <v>1423</v>
      </c>
    </row>
    <row r="41029" spans="1:6" ht="12.75">
      <c r="A41029" s="8">
        <v>43886.00613425926</v>
      </c>
      <c r="B41029" s="8" t="str">
        <f>HYPERLINK("https://twitter.com/udahhlewat","@udahhlewat")</f>
        <v>@udahhlewat</v>
      </c>
      <c r="C41029" s="8" t="s">
        <v>12920</v>
      </c>
      <c r="D41029" s="8">
        <v>1474</v>
      </c>
      <c r="E41029" s="8">
        <v>0</v>
      </c>
      <c r="F41029" s="8">
        <v>110</v>
      </c>
    </row>
    <row r="41030" spans="1:6" ht="12.75">
      <c r="A41030" s="8">
        <v>43886.005925925929</v>
      </c>
      <c r="B41030" s="8" t="str">
        <f>HYPERLINK("https://twitter.com/dhikarifin","@dhikarifin")</f>
        <v>@dhikarifin</v>
      </c>
      <c r="C41030" s="8" t="s">
        <v>15688</v>
      </c>
      <c r="D41030" s="8">
        <v>0</v>
      </c>
      <c r="E41030" s="8">
        <v>0</v>
      </c>
      <c r="F41030" s="8">
        <v>83</v>
      </c>
    </row>
    <row r="41031" spans="1:6" ht="12.75">
      <c r="A41031" s="8">
        <v>43886.004988425921</v>
      </c>
      <c r="B41031" s="8" t="str">
        <f>HYPERLINK("https://twitter.com/nanininaninna","@nanininaninna")</f>
        <v>@nanininaninna</v>
      </c>
      <c r="C41031" s="8" t="s">
        <v>15340</v>
      </c>
      <c r="D41031" s="8">
        <v>22</v>
      </c>
      <c r="E41031" s="8">
        <v>0</v>
      </c>
      <c r="F41031" s="8">
        <v>2743</v>
      </c>
    </row>
    <row r="41032" spans="1:6" ht="12.75">
      <c r="A41032" s="8">
        <v>43886.004583333328</v>
      </c>
      <c r="B41032" s="8" t="str">
        <f>HYPERLINK("https://twitter.com/seblak10","@seblak10")</f>
        <v>@seblak10</v>
      </c>
      <c r="C41032" s="8" t="s">
        <v>2940</v>
      </c>
      <c r="D41032" s="8">
        <v>2205</v>
      </c>
      <c r="E41032" s="8">
        <v>0</v>
      </c>
      <c r="F41032" s="8">
        <v>35</v>
      </c>
    </row>
    <row r="41033" spans="1:6" ht="12.75">
      <c r="A41033" s="8">
        <v>43886.004502314812</v>
      </c>
      <c r="B41033" s="8" t="str">
        <f>HYPERLINK("https://twitter.com/imrahulsingh93","@imrahulsingh93")</f>
        <v>@imrahulsingh93</v>
      </c>
      <c r="C41033" s="8" t="s">
        <v>15689</v>
      </c>
      <c r="D41033" s="8">
        <v>0</v>
      </c>
      <c r="E41033" s="8">
        <v>0</v>
      </c>
      <c r="F41033" s="8">
        <v>101</v>
      </c>
    </row>
    <row r="41034" spans="1:6" ht="12.75">
      <c r="A41034" s="8">
        <v>43886.004224537042</v>
      </c>
      <c r="B41034" s="8" t="str">
        <f>HYPERLINK("https://twitter.com/HendrikSugara2","@HendrikSugara2")</f>
        <v>@HendrikSugara2</v>
      </c>
      <c r="C41034" s="8" t="s">
        <v>15690</v>
      </c>
      <c r="D41034" s="8">
        <v>0</v>
      </c>
      <c r="E41034" s="8">
        <v>0</v>
      </c>
      <c r="F41034" s="8">
        <v>79</v>
      </c>
    </row>
    <row r="41035" spans="1:6" ht="12.75">
      <c r="A41035" s="8">
        <v>43886.003981481481</v>
      </c>
      <c r="B41035" s="8" t="str">
        <f>HYPERLINK("https://twitter.com/AmstrongBiring","@AmstrongBiring")</f>
        <v>@AmstrongBiring</v>
      </c>
      <c r="C41035" s="8" t="s">
        <v>15691</v>
      </c>
      <c r="D41035" s="8">
        <v>1</v>
      </c>
      <c r="E41035" s="8">
        <v>0</v>
      </c>
      <c r="F41035" s="8">
        <v>1972</v>
      </c>
    </row>
    <row r="41036" spans="1:6" ht="12.75">
      <c r="A41036" s="8">
        <v>43886.003252314811</v>
      </c>
      <c r="B41036" s="8" t="str">
        <f t="shared" ref="B41036:B41037" si="613">HYPERLINK("https://twitter.com/sagakom","@sagakom")</f>
        <v>@sagakom</v>
      </c>
      <c r="C41036" s="8" t="s">
        <v>14793</v>
      </c>
      <c r="D41036" s="8">
        <v>0</v>
      </c>
      <c r="E41036" s="8">
        <v>0</v>
      </c>
      <c r="F41036" s="8">
        <v>284</v>
      </c>
    </row>
    <row r="41037" spans="1:6" ht="12.75">
      <c r="A41037" s="8">
        <v>43886.003252314811</v>
      </c>
      <c r="B41037" s="8" t="str">
        <f t="shared" si="613"/>
        <v>@sagakom</v>
      </c>
      <c r="C41037" s="8" t="s">
        <v>14798</v>
      </c>
      <c r="D41037" s="8">
        <v>0</v>
      </c>
      <c r="E41037" s="8">
        <v>0</v>
      </c>
      <c r="F41037" s="8">
        <v>284</v>
      </c>
    </row>
    <row r="41038" spans="1:6" ht="12.75">
      <c r="A41038" s="8">
        <v>43886.003148148149</v>
      </c>
      <c r="B41038" s="8" t="str">
        <f>HYPERLINK("https://twitter.com/dakwahpost","@dakwahpost")</f>
        <v>@dakwahpost</v>
      </c>
      <c r="C41038" s="8" t="s">
        <v>15692</v>
      </c>
      <c r="D41038" s="8">
        <v>0</v>
      </c>
      <c r="E41038" s="8">
        <v>0</v>
      </c>
      <c r="F41038" s="8">
        <v>763</v>
      </c>
    </row>
    <row r="41039" spans="1:6" ht="12.75">
      <c r="A41039" s="8">
        <v>43886.002199074079</v>
      </c>
      <c r="B41039" s="8" t="str">
        <f>HYPERLINK("https://twitter.com/PamanDobl4ng","@PamanDobl4ng")</f>
        <v>@PamanDobl4ng</v>
      </c>
      <c r="C41039" s="8" t="s">
        <v>15693</v>
      </c>
      <c r="D41039" s="8">
        <v>0</v>
      </c>
      <c r="E41039" s="8">
        <v>0</v>
      </c>
      <c r="F41039" s="8">
        <v>93</v>
      </c>
    </row>
    <row r="41040" spans="1:6" ht="12.75">
      <c r="A41040" s="8">
        <v>43886.00068287037</v>
      </c>
      <c r="B41040" s="8" t="str">
        <f>HYPERLINK("https://twitter.com/faisalramdani23","@faisalramdani23")</f>
        <v>@faisalramdani23</v>
      </c>
      <c r="C41040" s="8" t="s">
        <v>15694</v>
      </c>
      <c r="D41040" s="8">
        <v>0</v>
      </c>
      <c r="E41040" s="8">
        <v>0</v>
      </c>
      <c r="F41040" s="8">
        <v>448</v>
      </c>
    </row>
    <row r="41041" spans="1:6" ht="12.75">
      <c r="A41041" s="8">
        <v>43886.000671296293</v>
      </c>
      <c r="B41041" s="8" t="str">
        <f>HYPERLINK("https://twitter.com/Nationalist_pr","@Nationalist_pr")</f>
        <v>@Nationalist_pr</v>
      </c>
      <c r="C41041" s="8" t="s">
        <v>15695</v>
      </c>
      <c r="D41041" s="8">
        <v>0</v>
      </c>
      <c r="E41041" s="8">
        <v>0</v>
      </c>
      <c r="F41041" s="8">
        <v>11</v>
      </c>
    </row>
    <row r="41042" spans="1:6" ht="12.75">
      <c r="A41042" s="8">
        <v>43886.000324074077</v>
      </c>
      <c r="B41042" s="8" t="str">
        <f>HYPERLINK("https://twitter.com/Morningtyas","@Morningtyas")</f>
        <v>@Morningtyas</v>
      </c>
      <c r="C41042" s="8" t="s">
        <v>15696</v>
      </c>
      <c r="D41042" s="8">
        <v>0</v>
      </c>
      <c r="E41042" s="8">
        <v>0</v>
      </c>
      <c r="F41042" s="8">
        <v>30635</v>
      </c>
    </row>
    <row r="41043" spans="1:6" ht="12.75">
      <c r="A41043" s="8">
        <v>43885.999895833331</v>
      </c>
      <c r="B41043" s="8" t="str">
        <f>HYPERLINK("https://twitter.com/serambinews","@serambinews")</f>
        <v>@serambinews</v>
      </c>
      <c r="C41043" s="8" t="s">
        <v>15697</v>
      </c>
      <c r="D41043" s="8">
        <v>0</v>
      </c>
      <c r="E41043" s="8">
        <v>0</v>
      </c>
      <c r="F41043" s="8">
        <v>83666</v>
      </c>
    </row>
    <row r="41044" spans="1:6" ht="12.75">
      <c r="A41044" s="8">
        <v>43885.999560185184</v>
      </c>
      <c r="B41044" s="8" t="str">
        <f>HYPERLINK("https://twitter.com/motherofstar1","@motherofstar1")</f>
        <v>@motherofstar1</v>
      </c>
      <c r="C41044" s="8" t="s">
        <v>15698</v>
      </c>
      <c r="D41044" s="8">
        <v>1</v>
      </c>
      <c r="E41044" s="8">
        <v>0</v>
      </c>
      <c r="F41044" s="8">
        <v>916</v>
      </c>
    </row>
    <row r="41045" spans="1:6" ht="12.75">
      <c r="A41045" s="8">
        <v>43885.999421296292</v>
      </c>
      <c r="B41045" s="8" t="str">
        <f>HYPERLINK("https://twitter.com/B1503","@B1503")</f>
        <v>@B1503</v>
      </c>
      <c r="C41045" s="8" t="s">
        <v>15340</v>
      </c>
      <c r="D41045" s="8">
        <v>22</v>
      </c>
      <c r="E41045" s="8">
        <v>0</v>
      </c>
      <c r="F41045" s="8">
        <v>59</v>
      </c>
    </row>
    <row r="41046" spans="1:6" ht="12.75">
      <c r="A41046" s="8">
        <v>43885.997546296298</v>
      </c>
      <c r="B41046" s="8" t="str">
        <f>HYPERLINK("https://twitter.com/jammy_shiba","@jammy_shiba")</f>
        <v>@jammy_shiba</v>
      </c>
      <c r="C41046" s="8" t="s">
        <v>15699</v>
      </c>
      <c r="D41046" s="8">
        <v>0</v>
      </c>
      <c r="E41046" s="8">
        <v>0</v>
      </c>
      <c r="F41046" s="8">
        <v>130</v>
      </c>
    </row>
    <row r="41047" spans="1:6" ht="12.75">
      <c r="A41047" s="8">
        <v>43885.997488425928</v>
      </c>
      <c r="B41047" s="8" t="str">
        <f t="shared" ref="B41047:B41049" si="614">HYPERLINK("https://twitter.com/ongakudousyoten","@ongakudousyoten")</f>
        <v>@ongakudousyoten</v>
      </c>
      <c r="C41047" s="8" t="s">
        <v>14106</v>
      </c>
      <c r="D41047" s="8">
        <v>114</v>
      </c>
      <c r="E41047" s="8">
        <v>0</v>
      </c>
      <c r="F41047" s="8">
        <v>1460</v>
      </c>
    </row>
    <row r="41048" spans="1:6" ht="12.75">
      <c r="A41048" s="8">
        <v>43885.997164351851</v>
      </c>
      <c r="B41048" s="8" t="str">
        <f t="shared" si="614"/>
        <v>@ongakudousyoten</v>
      </c>
      <c r="C41048" s="8" t="s">
        <v>13834</v>
      </c>
      <c r="D41048" s="8">
        <v>123</v>
      </c>
      <c r="E41048" s="8">
        <v>0</v>
      </c>
      <c r="F41048" s="8">
        <v>1460</v>
      </c>
    </row>
    <row r="41049" spans="1:6" ht="12.75">
      <c r="A41049" s="8">
        <v>43885.996562500004</v>
      </c>
      <c r="B41049" s="8" t="str">
        <f t="shared" si="614"/>
        <v>@ongakudousyoten</v>
      </c>
      <c r="C41049" s="8" t="s">
        <v>8484</v>
      </c>
      <c r="D41049" s="8">
        <v>604</v>
      </c>
      <c r="E41049" s="8">
        <v>0</v>
      </c>
      <c r="F41049" s="8">
        <v>1460</v>
      </c>
    </row>
    <row r="41050" spans="1:6" ht="12.75">
      <c r="A41050" s="8">
        <v>43885.996319444443</v>
      </c>
      <c r="B41050" s="8" t="str">
        <f>HYPERLINK("https://twitter.com/Resof85","@Resof85")</f>
        <v>@Resof85</v>
      </c>
      <c r="C41050" s="8" t="s">
        <v>15700</v>
      </c>
      <c r="D41050" s="8">
        <v>0</v>
      </c>
      <c r="E41050" s="8">
        <v>0</v>
      </c>
      <c r="F41050" s="8">
        <v>1275</v>
      </c>
    </row>
    <row r="41051" spans="1:6" ht="12.75">
      <c r="A41051" s="8">
        <v>43885.995370370365</v>
      </c>
      <c r="B41051" s="8" t="str">
        <f>HYPERLINK("https://twitter.com/BobbyIrwanda","@BobbyIrwanda")</f>
        <v>@BobbyIrwanda</v>
      </c>
      <c r="C41051" s="8" t="s">
        <v>15701</v>
      </c>
      <c r="D41051" s="8">
        <v>1</v>
      </c>
      <c r="E41051" s="8">
        <v>1</v>
      </c>
      <c r="F41051" s="8">
        <v>1669</v>
      </c>
    </row>
    <row r="41052" spans="1:6" ht="12.75">
      <c r="A41052" s="8">
        <v>43885.995219907403</v>
      </c>
      <c r="B41052" s="8" t="str">
        <f>HYPERLINK("https://twitter.com/Gun4w4nAhokers","@Gun4w4nAhokers")</f>
        <v>@Gun4w4nAhokers</v>
      </c>
      <c r="C41052" s="8" t="s">
        <v>15340</v>
      </c>
      <c r="D41052" s="8">
        <v>22</v>
      </c>
      <c r="E41052" s="8">
        <v>0</v>
      </c>
      <c r="F41052" s="8">
        <v>4173</v>
      </c>
    </row>
    <row r="41053" spans="1:6" ht="12.75">
      <c r="A41053" s="8">
        <v>43885.99496527778</v>
      </c>
      <c r="B41053" s="8" t="str">
        <f>HYPERLINK("https://twitter.com/iMuhammad_MD","@iMuhammad_MD")</f>
        <v>@iMuhammad_MD</v>
      </c>
      <c r="C41053" s="8" t="s">
        <v>15702</v>
      </c>
      <c r="D41053" s="8">
        <v>0</v>
      </c>
      <c r="E41053" s="8">
        <v>0</v>
      </c>
      <c r="F41053" s="8">
        <v>112</v>
      </c>
    </row>
    <row r="41054" spans="1:6" ht="12.75">
      <c r="A41054" s="8">
        <v>43885.994444444441</v>
      </c>
      <c r="B41054" s="8" t="str">
        <f>HYPERLINK("https://twitter.com/aka_moe531","@aka_moe531")</f>
        <v>@aka_moe531</v>
      </c>
      <c r="C41054" s="8" t="s">
        <v>2940</v>
      </c>
      <c r="D41054" s="8">
        <v>2205</v>
      </c>
      <c r="E41054" s="8">
        <v>0</v>
      </c>
      <c r="F41054" s="8">
        <v>50</v>
      </c>
    </row>
    <row r="41055" spans="1:6" ht="12.75">
      <c r="A41055" s="8">
        <v>43885.994027777779</v>
      </c>
      <c r="B41055" s="8" t="str">
        <f>HYPERLINK("https://twitter.com/giminELLex","@giminELLex")</f>
        <v>@giminELLex</v>
      </c>
      <c r="C41055" s="8" t="s">
        <v>15703</v>
      </c>
      <c r="D41055" s="8">
        <v>1</v>
      </c>
      <c r="E41055" s="8">
        <v>0</v>
      </c>
      <c r="F41055" s="8">
        <v>424</v>
      </c>
    </row>
    <row r="41056" spans="1:6" ht="12.75">
      <c r="A41056" s="8">
        <v>43885.993888888886</v>
      </c>
      <c r="B41056" s="8" t="str">
        <f>HYPERLINK("https://twitter.com/TT15573396","@TT15573396")</f>
        <v>@TT15573396</v>
      </c>
      <c r="C41056" s="8" t="s">
        <v>8484</v>
      </c>
      <c r="D41056" s="8">
        <v>604</v>
      </c>
      <c r="E41056" s="8">
        <v>0</v>
      </c>
      <c r="F41056" s="8">
        <v>130</v>
      </c>
    </row>
    <row r="41057" spans="1:6" ht="12.75">
      <c r="A41057" s="8">
        <v>43885.993310185186</v>
      </c>
      <c r="B41057" s="8" t="str">
        <f>HYPERLINK("https://twitter.com/Tanuki_Bakero","@Tanuki_Bakero")</f>
        <v>@Tanuki_Bakero</v>
      </c>
      <c r="C41057" s="8" t="s">
        <v>2940</v>
      </c>
      <c r="D41057" s="8">
        <v>2205</v>
      </c>
      <c r="E41057" s="8">
        <v>0</v>
      </c>
      <c r="F41057" s="8">
        <v>177</v>
      </c>
    </row>
    <row r="41058" spans="1:6" ht="12.75">
      <c r="A41058" s="8">
        <v>43885.992766203708</v>
      </c>
      <c r="B41058" s="8" t="str">
        <f>HYPERLINK("https://twitter.com/visualization88","@visualization88")</f>
        <v>@visualization88</v>
      </c>
      <c r="C41058" s="8" t="s">
        <v>8484</v>
      </c>
      <c r="D41058" s="8">
        <v>604</v>
      </c>
      <c r="E41058" s="8">
        <v>0</v>
      </c>
      <c r="F41058" s="8">
        <v>30</v>
      </c>
    </row>
    <row r="41059" spans="1:6" ht="12.75">
      <c r="A41059" s="8">
        <v>43885.992743055554</v>
      </c>
      <c r="B41059" s="8" t="str">
        <f>HYPERLINK("https://twitter.com/hiIbscxwpw7fvE2","@hiIbscxwpw7fvE2")</f>
        <v>@hiIbscxwpw7fvE2</v>
      </c>
      <c r="C41059" s="8" t="s">
        <v>2940</v>
      </c>
      <c r="D41059" s="8">
        <v>2205</v>
      </c>
      <c r="E41059" s="8">
        <v>0</v>
      </c>
      <c r="F41059" s="8">
        <v>314</v>
      </c>
    </row>
    <row r="41060" spans="1:6" ht="12.75">
      <c r="A41060" s="8">
        <v>43885.991365740745</v>
      </c>
      <c r="B41060" s="8" t="str">
        <f>HYPERLINK("https://twitter.com/tantanjiji","@tantanjiji")</f>
        <v>@tantanjiji</v>
      </c>
      <c r="C41060" s="8" t="s">
        <v>8484</v>
      </c>
      <c r="D41060" s="8">
        <v>604</v>
      </c>
      <c r="E41060" s="8">
        <v>0</v>
      </c>
      <c r="F41060" s="8">
        <v>79</v>
      </c>
    </row>
    <row r="41061" spans="1:6" ht="12.75">
      <c r="A41061" s="8">
        <v>43885.990694444445</v>
      </c>
      <c r="B41061" s="8" t="str">
        <f>HYPERLINK("https://twitter.com/KenWatchaporn","@KenWatchaporn")</f>
        <v>@KenWatchaporn</v>
      </c>
      <c r="C41061" s="8" t="s">
        <v>15704</v>
      </c>
      <c r="D41061" s="8">
        <v>0</v>
      </c>
      <c r="E41061" s="8">
        <v>0</v>
      </c>
      <c r="F41061" s="8">
        <v>181</v>
      </c>
    </row>
    <row r="41062" spans="1:6" ht="12.75">
      <c r="A41062" s="8">
        <v>43885.990046296298</v>
      </c>
      <c r="B41062" s="8" t="str">
        <f>HYPERLINK("https://twitter.com/aryokendhil1","@aryokendhil1")</f>
        <v>@aryokendhil1</v>
      </c>
      <c r="C41062" s="8" t="s">
        <v>12920</v>
      </c>
      <c r="D41062" s="8">
        <v>1474</v>
      </c>
      <c r="E41062" s="8">
        <v>0</v>
      </c>
      <c r="F41062" s="8">
        <v>192</v>
      </c>
    </row>
    <row r="41063" spans="1:6" ht="12.75">
      <c r="A41063" s="8">
        <v>43885.989918981482</v>
      </c>
      <c r="B41063" s="8" t="str">
        <f>HYPERLINK("https://twitter.com/VoxPopuliID","@VoxPopuliID")</f>
        <v>@VoxPopuliID</v>
      </c>
      <c r="C41063" s="8" t="s">
        <v>15705</v>
      </c>
      <c r="D41063" s="8">
        <v>0</v>
      </c>
      <c r="E41063" s="8">
        <v>0</v>
      </c>
      <c r="F41063" s="8">
        <v>728</v>
      </c>
    </row>
    <row r="41064" spans="1:6" ht="12.75">
      <c r="A41064" s="8">
        <v>43885.989837962959</v>
      </c>
      <c r="B41064" s="8" t="str">
        <f>HYPERLINK("https://twitter.com/SebastianBara4","@SebastianBara4")</f>
        <v>@SebastianBara4</v>
      </c>
      <c r="C41064" s="8" t="s">
        <v>15705</v>
      </c>
      <c r="D41064" s="8">
        <v>0</v>
      </c>
      <c r="E41064" s="8">
        <v>0</v>
      </c>
      <c r="F41064" s="8">
        <v>1</v>
      </c>
    </row>
    <row r="41065" spans="1:6" ht="12.75">
      <c r="A41065" s="8">
        <v>43885.989780092597</v>
      </c>
      <c r="B41065" s="8" t="str">
        <f>HYPERLINK("https://twitter.com/spirit_1945","@spirit_1945")</f>
        <v>@spirit_1945</v>
      </c>
      <c r="C41065" s="8" t="s">
        <v>15705</v>
      </c>
      <c r="D41065" s="8">
        <v>0</v>
      </c>
      <c r="E41065" s="8">
        <v>0</v>
      </c>
      <c r="F41065" s="8">
        <v>119</v>
      </c>
    </row>
    <row r="41066" spans="1:6" ht="12.75">
      <c r="A41066" s="8">
        <v>43885.989722222221</v>
      </c>
      <c r="B41066" s="8" t="str">
        <f>HYPERLINK("https://twitter.com/kurakuraninjaid","@kurakuraninjaid")</f>
        <v>@kurakuraninjaid</v>
      </c>
      <c r="C41066" s="8" t="s">
        <v>15705</v>
      </c>
      <c r="D41066" s="8">
        <v>0</v>
      </c>
      <c r="E41066" s="8">
        <v>0</v>
      </c>
      <c r="F41066" s="8">
        <v>308</v>
      </c>
    </row>
    <row r="41067" spans="1:6" ht="12.75">
      <c r="A41067" s="8">
        <v>43885.989594907413</v>
      </c>
      <c r="B41067" s="8" t="str">
        <f>HYPERLINK("https://twitter.com/cikyber","@cikyber")</f>
        <v>@cikyber</v>
      </c>
      <c r="C41067" s="8" t="s">
        <v>15705</v>
      </c>
      <c r="D41067" s="8">
        <v>0</v>
      </c>
      <c r="E41067" s="8">
        <v>0</v>
      </c>
      <c r="F41067" s="8">
        <v>291</v>
      </c>
    </row>
    <row r="41068" spans="1:6" ht="12.75">
      <c r="A41068" s="8">
        <v>43885.98946759259</v>
      </c>
      <c r="B41068" s="8" t="str">
        <f>HYPERLINK("https://twitter.com/AbdullahMujeed","@AbdullahMujeed")</f>
        <v>@AbdullahMujeed</v>
      </c>
      <c r="C41068" s="8" t="s">
        <v>15705</v>
      </c>
      <c r="D41068" s="8">
        <v>0</v>
      </c>
      <c r="E41068" s="8">
        <v>0</v>
      </c>
      <c r="F41068" s="8">
        <v>3</v>
      </c>
    </row>
    <row r="41069" spans="1:6" ht="12.75">
      <c r="A41069" s="8">
        <v>43885.989386574074</v>
      </c>
      <c r="B41069" s="8" t="str">
        <f>HYPERLINK("https://twitter.com/bensutasoma","@bensutasoma")</f>
        <v>@bensutasoma</v>
      </c>
      <c r="C41069" s="8" t="s">
        <v>15705</v>
      </c>
      <c r="D41069" s="8">
        <v>0</v>
      </c>
      <c r="E41069" s="8">
        <v>0</v>
      </c>
      <c r="F41069" s="8">
        <v>1</v>
      </c>
    </row>
    <row r="41070" spans="1:6" ht="12.75">
      <c r="A41070" s="8">
        <v>43885.988425925927</v>
      </c>
      <c r="B41070" s="8" t="str">
        <f>HYPERLINK("https://twitter.com/fseiei","@fseiei")</f>
        <v>@fseiei</v>
      </c>
      <c r="C41070" s="8" t="s">
        <v>12920</v>
      </c>
      <c r="D41070" s="8">
        <v>1474</v>
      </c>
      <c r="E41070" s="8">
        <v>0</v>
      </c>
      <c r="F41070" s="8">
        <v>701</v>
      </c>
    </row>
    <row r="41071" spans="1:6" ht="12.75">
      <c r="A41071" s="8">
        <v>43885.988229166665</v>
      </c>
      <c r="B41071" s="8" t="str">
        <f>HYPERLINK("https://twitter.com/ProNKRI5","@ProNKRI5")</f>
        <v>@ProNKRI5</v>
      </c>
      <c r="C41071" s="8" t="s">
        <v>15706</v>
      </c>
      <c r="D41071" s="8">
        <v>0</v>
      </c>
      <c r="E41071" s="8">
        <v>0</v>
      </c>
      <c r="F41071" s="8">
        <v>124</v>
      </c>
    </row>
    <row r="41072" spans="1:6" ht="12.75">
      <c r="A41072" s="8">
        <v>43885.988159722227</v>
      </c>
      <c r="B41072" s="8" t="str">
        <f>HYPERLINK("https://twitter.com/reyputra_b","@reyputra_b")</f>
        <v>@reyputra_b</v>
      </c>
      <c r="C41072" s="8" t="s">
        <v>15707</v>
      </c>
      <c r="D41072" s="8">
        <v>1</v>
      </c>
      <c r="E41072" s="8">
        <v>1</v>
      </c>
      <c r="F41072" s="8">
        <v>238</v>
      </c>
    </row>
    <row r="41073" spans="1:6" ht="12.75">
      <c r="A41073" s="8">
        <v>43885.987604166672</v>
      </c>
      <c r="B41073" s="8" t="str">
        <f>HYPERLINK("https://twitter.com/meironmommy825","@meironmommy825")</f>
        <v>@meironmommy825</v>
      </c>
      <c r="C41073" s="8" t="s">
        <v>8484</v>
      </c>
      <c r="D41073" s="8">
        <v>604</v>
      </c>
      <c r="E41073" s="8">
        <v>0</v>
      </c>
      <c r="F41073" s="8">
        <v>143</v>
      </c>
    </row>
    <row r="41074" spans="1:6" ht="12.75">
      <c r="A41074" s="8">
        <v>43885.987453703703</v>
      </c>
      <c r="B41074" s="8" t="str">
        <f>HYPERLINK("https://twitter.com/azurelcz","@azurelcz")</f>
        <v>@azurelcz</v>
      </c>
      <c r="C41074" s="8" t="s">
        <v>14859</v>
      </c>
      <c r="D41074" s="8">
        <v>20</v>
      </c>
      <c r="E41074" s="8">
        <v>0</v>
      </c>
      <c r="F41074" s="8">
        <v>341</v>
      </c>
    </row>
    <row r="41075" spans="1:6" ht="12.75">
      <c r="A41075" s="8">
        <v>43885.986412037033</v>
      </c>
      <c r="B41075" s="8" t="str">
        <f>HYPERLINK("https://twitter.com/wQQn","@wQQn")</f>
        <v>@wQQn</v>
      </c>
      <c r="C41075" s="8" t="s">
        <v>2940</v>
      </c>
      <c r="D41075" s="8">
        <v>2205</v>
      </c>
      <c r="E41075" s="8">
        <v>0</v>
      </c>
      <c r="F41075" s="8">
        <v>2142</v>
      </c>
    </row>
    <row r="41076" spans="1:6" ht="12.75">
      <c r="A41076" s="8">
        <v>43885.986064814817</v>
      </c>
      <c r="B41076" s="8" t="str">
        <f>HYPERLINK("https://twitter.com/lovyusomacha","@lovyusomacha")</f>
        <v>@lovyusomacha</v>
      </c>
      <c r="C41076" s="8" t="s">
        <v>12920</v>
      </c>
      <c r="D41076" s="8">
        <v>1474</v>
      </c>
      <c r="E41076" s="8">
        <v>0</v>
      </c>
      <c r="F41076" s="8">
        <v>190</v>
      </c>
    </row>
    <row r="41077" spans="1:6" ht="12.75">
      <c r="A41077" s="8">
        <v>43885.985694444447</v>
      </c>
      <c r="B41077" s="8" t="str">
        <f>HYPERLINK("https://twitter.com/hasanaje","@hasanaje")</f>
        <v>@hasanaje</v>
      </c>
      <c r="C41077" s="8" t="s">
        <v>15708</v>
      </c>
      <c r="D41077" s="8">
        <v>5</v>
      </c>
      <c r="E41077" s="8">
        <v>0</v>
      </c>
      <c r="F41077" s="8">
        <v>3914</v>
      </c>
    </row>
    <row r="41078" spans="1:6" ht="12.75">
      <c r="A41078" s="8">
        <v>43885.985462962963</v>
      </c>
      <c r="B41078" s="8" t="str">
        <f>HYPERLINK("https://twitter.com/sabhatansabiz","@sabhatansabiz")</f>
        <v>@sabhatansabiz</v>
      </c>
      <c r="C41078" s="8" t="s">
        <v>15709</v>
      </c>
      <c r="D41078" s="8">
        <v>2</v>
      </c>
      <c r="E41078" s="8">
        <v>0</v>
      </c>
      <c r="F41078" s="8">
        <v>1585</v>
      </c>
    </row>
    <row r="41079" spans="1:6" ht="12.75">
      <c r="A41079" s="8">
        <v>43885.985150462962</v>
      </c>
      <c r="B41079" s="8" t="str">
        <f>HYPERLINK("https://twitter.com/slavemrchndz","@slavemrchndz")</f>
        <v>@slavemrchndz</v>
      </c>
      <c r="C41079" s="8" t="s">
        <v>15710</v>
      </c>
      <c r="D41079" s="8">
        <v>0</v>
      </c>
      <c r="E41079" s="8">
        <v>0</v>
      </c>
      <c r="F41079" s="8">
        <v>1</v>
      </c>
    </row>
    <row r="41080" spans="1:6" ht="12.75">
      <c r="A41080" s="8">
        <v>43885.984814814816</v>
      </c>
      <c r="B41080" s="8" t="str">
        <f>HYPERLINK("https://twitter.com/_AfifMunir","@_AfifMunir")</f>
        <v>@_AfifMunir</v>
      </c>
      <c r="C41080" s="8" t="s">
        <v>15711</v>
      </c>
      <c r="D41080" s="8">
        <v>1</v>
      </c>
      <c r="E41080" s="8">
        <v>0</v>
      </c>
      <c r="F41080" s="8">
        <v>425</v>
      </c>
    </row>
    <row r="41081" spans="1:6" ht="12.75">
      <c r="A41081" s="8">
        <v>43885.984479166669</v>
      </c>
      <c r="B41081" s="8" t="str">
        <f>HYPERLINK("https://twitter.com/ryolandafit","@ryolandafit")</f>
        <v>@ryolandafit</v>
      </c>
      <c r="C41081" s="8" t="s">
        <v>15712</v>
      </c>
      <c r="D41081" s="8">
        <v>1</v>
      </c>
      <c r="E41081" s="8">
        <v>0</v>
      </c>
      <c r="F41081" s="8">
        <v>649</v>
      </c>
    </row>
    <row r="41082" spans="1:6" ht="12.75">
      <c r="A41082" s="8">
        <v>43885.984444444446</v>
      </c>
      <c r="B41082" s="8" t="str">
        <f>HYPERLINK("https://twitter.com/Dewie34292319","@Dewie34292319")</f>
        <v>@Dewie34292319</v>
      </c>
      <c r="C41082" s="8" t="s">
        <v>15508</v>
      </c>
      <c r="D41082" s="8">
        <v>383</v>
      </c>
      <c r="E41082" s="8">
        <v>0</v>
      </c>
      <c r="F41082" s="8">
        <v>1715</v>
      </c>
    </row>
    <row r="41083" spans="1:6" ht="12.75">
      <c r="A41083" s="8">
        <v>43885.984421296293</v>
      </c>
      <c r="B41083" s="8" t="str">
        <f>HYPERLINK("https://twitter.com/mhmdfkrie","@mhmdfkrie")</f>
        <v>@mhmdfkrie</v>
      </c>
      <c r="C41083" s="8" t="s">
        <v>15713</v>
      </c>
      <c r="D41083" s="8">
        <v>1</v>
      </c>
      <c r="E41083" s="8">
        <v>1</v>
      </c>
      <c r="F41083" s="8">
        <v>135</v>
      </c>
    </row>
    <row r="41084" spans="1:6" ht="12.75">
      <c r="A41084" s="8">
        <v>43885.984293981484</v>
      </c>
      <c r="B41084" s="8" t="str">
        <f>HYPERLINK("https://twitter.com/Isis_cardoso16","@Isis_cardoso16")</f>
        <v>@Isis_cardoso16</v>
      </c>
      <c r="C41084" s="8" t="s">
        <v>15714</v>
      </c>
      <c r="D41084" s="8">
        <v>2642</v>
      </c>
      <c r="E41084" s="8">
        <v>0</v>
      </c>
      <c r="F41084" s="8">
        <v>818</v>
      </c>
    </row>
    <row r="41085" spans="1:6" ht="12.75">
      <c r="A41085" s="8">
        <v>43885.984201388885</v>
      </c>
      <c r="B41085" s="8" t="str">
        <f>HYPERLINK("https://twitter.com/qchan925smp","@qchan925smp")</f>
        <v>@qchan925smp</v>
      </c>
      <c r="C41085" s="8" t="s">
        <v>8484</v>
      </c>
      <c r="D41085" s="8">
        <v>604</v>
      </c>
      <c r="E41085" s="8">
        <v>0</v>
      </c>
      <c r="F41085" s="8">
        <v>120</v>
      </c>
    </row>
    <row r="41086" spans="1:6" ht="12.75">
      <c r="A41086" s="8">
        <v>43885.983703703707</v>
      </c>
      <c r="B41086" s="8" t="str">
        <f>HYPERLINK("https://twitter.com/updatedotid","@updatedotid")</f>
        <v>@updatedotid</v>
      </c>
      <c r="C41086" s="8" t="s">
        <v>15709</v>
      </c>
      <c r="D41086" s="8">
        <v>2</v>
      </c>
      <c r="E41086" s="8">
        <v>0</v>
      </c>
      <c r="F41086" s="8">
        <v>1617</v>
      </c>
    </row>
    <row r="41087" spans="1:6" ht="12.75">
      <c r="A41087" s="8">
        <v>43885.983391203699</v>
      </c>
      <c r="B41087" s="8" t="str">
        <f>HYPERLINK("https://twitter.com/radar_malang","@radar_malang")</f>
        <v>@radar_malang</v>
      </c>
      <c r="C41087" s="8" t="s">
        <v>15483</v>
      </c>
      <c r="D41087" s="8">
        <v>2</v>
      </c>
      <c r="E41087" s="8">
        <v>0</v>
      </c>
      <c r="F41087" s="8">
        <v>108660</v>
      </c>
    </row>
    <row r="41088" spans="1:6" ht="12.75">
      <c r="A41088" s="8">
        <v>43885.983333333337</v>
      </c>
      <c r="B41088" s="8" t="str">
        <f>HYPERLINK("https://twitter.com/newsmerahputih","@newsmerahputih")</f>
        <v>@newsmerahputih</v>
      </c>
      <c r="C41088" s="8" t="s">
        <v>15715</v>
      </c>
      <c r="D41088" s="8">
        <v>0</v>
      </c>
      <c r="E41088" s="8">
        <v>0</v>
      </c>
      <c r="F41088" s="8">
        <v>8742</v>
      </c>
    </row>
    <row r="41089" spans="1:6" ht="12.75">
      <c r="A41089" s="8">
        <v>43885.981631944444</v>
      </c>
      <c r="B41089" s="8" t="str">
        <f>HYPERLINK("https://twitter.com/ryolandafit","@ryolandafit")</f>
        <v>@ryolandafit</v>
      </c>
      <c r="C41089" s="8" t="s">
        <v>15322</v>
      </c>
      <c r="D41089" s="8">
        <v>4</v>
      </c>
      <c r="E41089" s="8">
        <v>0</v>
      </c>
      <c r="F41089" s="8">
        <v>649</v>
      </c>
    </row>
    <row r="41090" spans="1:6" ht="12.75">
      <c r="A41090" s="8">
        <v>43885.981539351851</v>
      </c>
      <c r="B41090" s="8" t="str">
        <f>HYPERLINK("https://twitter.com/DemplonMak","@DemplonMak")</f>
        <v>@DemplonMak</v>
      </c>
      <c r="C41090" s="8" t="s">
        <v>12920</v>
      </c>
      <c r="D41090" s="8">
        <v>1474</v>
      </c>
      <c r="E41090" s="8">
        <v>0</v>
      </c>
      <c r="F41090" s="8">
        <v>2955</v>
      </c>
    </row>
    <row r="41091" spans="1:6" ht="12.75">
      <c r="A41091" s="8">
        <v>43885.981493055559</v>
      </c>
      <c r="B41091" s="8" t="str">
        <f>HYPERLINK("https://twitter.com/garisdepannkri","@garisdepannkri")</f>
        <v>@garisdepannkri</v>
      </c>
      <c r="C41091" s="8" t="s">
        <v>15705</v>
      </c>
      <c r="D41091" s="8">
        <v>0</v>
      </c>
      <c r="E41091" s="8">
        <v>0</v>
      </c>
      <c r="F41091" s="8">
        <v>7</v>
      </c>
    </row>
    <row r="41092" spans="1:6" ht="12.75">
      <c r="A41092" s="8">
        <v>43885.981076388889</v>
      </c>
      <c r="B41092" s="8" t="str">
        <f>HYPERLINK("https://twitter.com/Komaini_ahmad24","@Komaini_ahmad24")</f>
        <v>@Komaini_ahmad24</v>
      </c>
      <c r="C41092" s="8" t="s">
        <v>15716</v>
      </c>
      <c r="D41092" s="8">
        <v>0</v>
      </c>
      <c r="E41092" s="8">
        <v>0</v>
      </c>
      <c r="F41092" s="8">
        <v>873</v>
      </c>
    </row>
    <row r="41093" spans="1:6" ht="12.75">
      <c r="A41093" s="8">
        <v>43885.980775462958</v>
      </c>
      <c r="B41093" s="8" t="str">
        <f>HYPERLINK("https://twitter.com/wagakara","@wagakara")</f>
        <v>@wagakara</v>
      </c>
      <c r="C41093" s="8" t="s">
        <v>2940</v>
      </c>
      <c r="D41093" s="8">
        <v>2205</v>
      </c>
      <c r="E41093" s="8">
        <v>0</v>
      </c>
      <c r="F41093" s="8">
        <v>176</v>
      </c>
    </row>
    <row r="41094" spans="1:6" ht="12.75">
      <c r="A41094" s="8">
        <v>43885.980590277773</v>
      </c>
      <c r="B41094" s="8" t="str">
        <f>HYPERLINK("https://twitter.com/Christo85464473","@Christo85464473")</f>
        <v>@Christo85464473</v>
      </c>
      <c r="C41094" s="8" t="s">
        <v>15717</v>
      </c>
      <c r="D41094" s="8">
        <v>0</v>
      </c>
      <c r="E41094" s="8">
        <v>0</v>
      </c>
      <c r="F41094" s="8">
        <v>3</v>
      </c>
    </row>
    <row r="41095" spans="1:6" ht="12.75">
      <c r="A41095" s="8">
        <v>43885.980266203704</v>
      </c>
      <c r="B41095" s="8" t="str">
        <f>HYPERLINK("https://twitter.com/kurniabudi_","@kurniabudi_")</f>
        <v>@kurniabudi_</v>
      </c>
      <c r="C41095" s="8" t="s">
        <v>2940</v>
      </c>
      <c r="D41095" s="8">
        <v>2205</v>
      </c>
      <c r="E41095" s="8">
        <v>0</v>
      </c>
      <c r="F41095" s="8">
        <v>331</v>
      </c>
    </row>
    <row r="41096" spans="1:6" ht="12.75">
      <c r="A41096" s="8">
        <v>43885.978437500002</v>
      </c>
      <c r="B41096" s="8" t="str">
        <f>HYPERLINK("https://twitter.com/soepono42","@soepono42")</f>
        <v>@soepono42</v>
      </c>
      <c r="C41096" s="8" t="s">
        <v>12920</v>
      </c>
      <c r="D41096" s="8">
        <v>1474</v>
      </c>
      <c r="E41096" s="8">
        <v>0</v>
      </c>
      <c r="F41096" s="8">
        <v>1234</v>
      </c>
    </row>
    <row r="41097" spans="1:6" ht="12.75">
      <c r="A41097" s="8">
        <v>43885.977800925924</v>
      </c>
      <c r="B41097" s="8" t="str">
        <f>HYPERLINK("https://twitter.com/EnnuiBlack","@EnnuiBlack")</f>
        <v>@EnnuiBlack</v>
      </c>
      <c r="C41097" s="8" t="s">
        <v>13854</v>
      </c>
      <c r="D41097" s="8">
        <v>9752</v>
      </c>
      <c r="E41097" s="8">
        <v>0</v>
      </c>
      <c r="F41097" s="8">
        <v>6</v>
      </c>
    </row>
    <row r="41098" spans="1:6" ht="12.75">
      <c r="A41098" s="8">
        <v>43885.977754629625</v>
      </c>
      <c r="B41098" s="8" t="str">
        <f>HYPERLINK("https://twitter.com/brienso63","@brienso63")</f>
        <v>@brienso63</v>
      </c>
      <c r="C41098" s="8" t="s">
        <v>15718</v>
      </c>
      <c r="D41098" s="8">
        <v>3</v>
      </c>
      <c r="E41098" s="8">
        <v>0</v>
      </c>
      <c r="F41098" s="8">
        <v>171</v>
      </c>
    </row>
    <row r="41099" spans="1:6" ht="12.75">
      <c r="A41099" s="8">
        <v>43885.976736111115</v>
      </c>
      <c r="B41099" s="8" t="str">
        <f>HYPERLINK("https://twitter.com/spkpapa","@spkpapa")</f>
        <v>@spkpapa</v>
      </c>
      <c r="C41099" s="8" t="s">
        <v>8484</v>
      </c>
      <c r="D41099" s="8">
        <v>604</v>
      </c>
      <c r="E41099" s="8">
        <v>0</v>
      </c>
      <c r="F41099" s="8">
        <v>59</v>
      </c>
    </row>
    <row r="41100" spans="1:6" ht="12.75">
      <c r="A41100" s="8">
        <v>43885.976388888885</v>
      </c>
      <c r="B41100" s="8" t="str">
        <f>HYPERLINK("https://twitter.com/goodstuffsirait","@goodstuffsirait")</f>
        <v>@goodstuffsirait</v>
      </c>
      <c r="C41100" s="8" t="s">
        <v>14100</v>
      </c>
      <c r="D41100" s="8">
        <v>4</v>
      </c>
      <c r="E41100" s="8">
        <v>0</v>
      </c>
      <c r="F41100" s="8">
        <v>167</v>
      </c>
    </row>
    <row r="41101" spans="1:6" ht="12.75">
      <c r="A41101" s="8">
        <v>43885.976331018523</v>
      </c>
      <c r="B41101" s="8" t="str">
        <f>HYPERLINK("https://twitter.com/yuimasakazu","@yuimasakazu")</f>
        <v>@yuimasakazu</v>
      </c>
      <c r="C41101" s="8" t="s">
        <v>8484</v>
      </c>
      <c r="D41101" s="8">
        <v>604</v>
      </c>
      <c r="E41101" s="8">
        <v>0</v>
      </c>
      <c r="F41101" s="8">
        <v>3500</v>
      </c>
    </row>
    <row r="41102" spans="1:6" ht="12.75">
      <c r="A41102" s="8">
        <v>43885.976076388892</v>
      </c>
      <c r="B41102" s="8" t="str">
        <f>HYPERLINK("https://twitter.com/multiplicious","@multiplicious")</f>
        <v>@multiplicious</v>
      </c>
      <c r="C41102" s="8" t="s">
        <v>15616</v>
      </c>
      <c r="D41102" s="8">
        <v>0</v>
      </c>
      <c r="E41102" s="8">
        <v>0</v>
      </c>
      <c r="F41102" s="8">
        <v>72</v>
      </c>
    </row>
    <row r="41103" spans="1:6" ht="12.75">
      <c r="A41103" s="8">
        <v>43885.974942129629</v>
      </c>
      <c r="B41103" s="8" t="str">
        <f>HYPERLINK("https://twitter.com/Nandagustiann","@Nandagustiann")</f>
        <v>@Nandagustiann</v>
      </c>
      <c r="C41103" s="8" t="s">
        <v>15719</v>
      </c>
      <c r="D41103" s="8">
        <v>0</v>
      </c>
      <c r="E41103" s="8">
        <v>0</v>
      </c>
      <c r="F41103" s="8">
        <v>82</v>
      </c>
    </row>
    <row r="41104" spans="1:6" ht="12.75">
      <c r="A41104" s="8">
        <v>43885.972627314812</v>
      </c>
      <c r="B41104" s="8" t="str">
        <f>HYPERLINK("https://twitter.com/dannydhe","@dannydhe")</f>
        <v>@dannydhe</v>
      </c>
      <c r="C41104" s="8" t="s">
        <v>15708</v>
      </c>
      <c r="D41104" s="8">
        <v>5</v>
      </c>
      <c r="E41104" s="8">
        <v>0</v>
      </c>
      <c r="F41104" s="8">
        <v>3484</v>
      </c>
    </row>
    <row r="41105" spans="1:6" ht="12.75">
      <c r="A41105" s="8">
        <v>43885.97247685185</v>
      </c>
      <c r="B41105" s="8" t="str">
        <f>HYPERLINK("https://twitter.com/jpnewsenquirer","@jpnewsenquirer")</f>
        <v>@jpnewsenquirer</v>
      </c>
      <c r="C41105" s="8" t="s">
        <v>8484</v>
      </c>
      <c r="D41105" s="8">
        <v>604</v>
      </c>
      <c r="E41105" s="8">
        <v>0</v>
      </c>
      <c r="F41105" s="8">
        <v>654</v>
      </c>
    </row>
    <row r="41106" spans="1:6" ht="12.75">
      <c r="A41106" s="8">
        <v>43885.971921296295</v>
      </c>
      <c r="B41106" s="8" t="str">
        <f>HYPERLINK("https://twitter.com/Dagdigduq","@Dagdigduq")</f>
        <v>@Dagdigduq</v>
      </c>
      <c r="C41106" s="8" t="s">
        <v>15708</v>
      </c>
      <c r="D41106" s="8">
        <v>5</v>
      </c>
      <c r="E41106" s="8">
        <v>0</v>
      </c>
      <c r="F41106" s="8">
        <v>1448</v>
      </c>
    </row>
    <row r="41107" spans="1:6" ht="12.75">
      <c r="A41107" s="8">
        <v>43885.971655092595</v>
      </c>
      <c r="B41107" s="8" t="str">
        <f>HYPERLINK("https://twitter.com/rumi_okubo","@rumi_okubo")</f>
        <v>@rumi_okubo</v>
      </c>
      <c r="C41107" s="8" t="s">
        <v>8484</v>
      </c>
      <c r="D41107" s="8">
        <v>604</v>
      </c>
      <c r="E41107" s="8">
        <v>0</v>
      </c>
      <c r="F41107" s="8">
        <v>171</v>
      </c>
    </row>
    <row r="41108" spans="1:6" ht="12.75">
      <c r="A41108" s="8">
        <v>43885.97148148148</v>
      </c>
      <c r="B41108" s="8" t="str">
        <f>HYPERLINK("https://twitter.com/KundanK96192092","@KundanK96192092")</f>
        <v>@KundanK96192092</v>
      </c>
      <c r="C41108" s="8" t="s">
        <v>15720</v>
      </c>
      <c r="D41108" s="8">
        <v>0</v>
      </c>
      <c r="E41108" s="8">
        <v>0</v>
      </c>
      <c r="F41108" s="8">
        <v>20</v>
      </c>
    </row>
    <row r="41109" spans="1:6" ht="12.75">
      <c r="A41109" s="8">
        <v>43885.971168981487</v>
      </c>
      <c r="B41109" s="8" t="str">
        <f>HYPERLINK("https://twitter.com/Cross_Over_78","@Cross_Over_78")</f>
        <v>@Cross_Over_78</v>
      </c>
      <c r="C41109" s="8" t="s">
        <v>2940</v>
      </c>
      <c r="D41109" s="8">
        <v>2205</v>
      </c>
      <c r="E41109" s="8">
        <v>0</v>
      </c>
      <c r="F41109" s="8">
        <v>27</v>
      </c>
    </row>
    <row r="41110" spans="1:6" ht="12.75">
      <c r="A41110" s="8">
        <v>43885.970439814817</v>
      </c>
      <c r="B41110" s="8" t="str">
        <f>HYPERLINK("https://twitter.com/ewinkz","@ewinkz")</f>
        <v>@ewinkz</v>
      </c>
      <c r="C41110" s="8" t="s">
        <v>15125</v>
      </c>
      <c r="D41110" s="8">
        <v>24</v>
      </c>
      <c r="E41110" s="8">
        <v>0</v>
      </c>
      <c r="F41110" s="8">
        <v>1421</v>
      </c>
    </row>
    <row r="41111" spans="1:6" ht="12.75">
      <c r="A41111" s="8">
        <v>43885.970196759255</v>
      </c>
      <c r="B41111" s="8" t="str">
        <f>HYPERLINK("https://twitter.com/dapaa23933834","@dapaa23933834")</f>
        <v>@dapaa23933834</v>
      </c>
      <c r="C41111" s="8" t="s">
        <v>1318</v>
      </c>
      <c r="D41111" s="8">
        <v>23263</v>
      </c>
      <c r="E41111" s="8">
        <v>0</v>
      </c>
      <c r="F41111" s="8">
        <v>0</v>
      </c>
    </row>
    <row r="41112" spans="1:6" ht="12.75">
      <c r="A41112" s="8">
        <v>43885.96980324074</v>
      </c>
      <c r="B41112" s="8" t="str">
        <f>HYPERLINK("https://twitter.com/madman2380","@madman2380")</f>
        <v>@madman2380</v>
      </c>
      <c r="C41112" s="8" t="s">
        <v>15721</v>
      </c>
      <c r="D41112" s="8">
        <v>0</v>
      </c>
      <c r="E41112" s="8">
        <v>1</v>
      </c>
      <c r="F41112" s="8">
        <v>7</v>
      </c>
    </row>
    <row r="41113" spans="1:6" ht="12.75">
      <c r="A41113" s="8">
        <v>43885.969560185185</v>
      </c>
      <c r="B41113" s="8" t="str">
        <f>HYPERLINK("https://twitter.com/zarazettirazr","@zarazettirazr")</f>
        <v>@zarazettirazr</v>
      </c>
      <c r="C41113" s="8" t="s">
        <v>15722</v>
      </c>
      <c r="D41113" s="8">
        <v>5</v>
      </c>
      <c r="E41113" s="8">
        <v>8</v>
      </c>
      <c r="F41113" s="8">
        <v>250655</v>
      </c>
    </row>
    <row r="41114" spans="1:6" ht="12.75">
      <c r="A41114" s="8">
        <v>43885.969467592593</v>
      </c>
      <c r="B41114" s="8" t="str">
        <f>HYPERLINK("https://twitter.com/heyyhoooooooo","@heyyhoooooooo")</f>
        <v>@heyyhoooooooo</v>
      </c>
      <c r="C41114" s="8" t="s">
        <v>15723</v>
      </c>
      <c r="D41114" s="8">
        <v>0</v>
      </c>
      <c r="E41114" s="8">
        <v>0</v>
      </c>
      <c r="F41114" s="8">
        <v>763</v>
      </c>
    </row>
    <row r="41115" spans="1:6" ht="12.75">
      <c r="A41115" s="8">
        <v>43885.969178240739</v>
      </c>
      <c r="B41115" s="8" t="str">
        <f>HYPERLINK("https://twitter.com/yudistiaajeng1","@yudistiaajeng1")</f>
        <v>@yudistiaajeng1</v>
      </c>
      <c r="C41115" s="8" t="s">
        <v>4638</v>
      </c>
      <c r="D41115" s="8">
        <v>22395</v>
      </c>
      <c r="E41115" s="8">
        <v>0</v>
      </c>
      <c r="F41115" s="8">
        <v>171</v>
      </c>
    </row>
    <row r="41116" spans="1:6" ht="12.75">
      <c r="A41116" s="8">
        <v>43885.96875</v>
      </c>
      <c r="B41116" s="8" t="str">
        <f>HYPERLINK("https://twitter.com/newsmerahputih","@newsmerahputih")</f>
        <v>@newsmerahputih</v>
      </c>
      <c r="C41116" s="8" t="s">
        <v>15724</v>
      </c>
      <c r="D41116" s="8">
        <v>0</v>
      </c>
      <c r="E41116" s="8">
        <v>0</v>
      </c>
      <c r="F41116" s="8">
        <v>8742</v>
      </c>
    </row>
    <row r="41117" spans="1:6" ht="12.75">
      <c r="A41117" s="8">
        <v>43885.96811342593</v>
      </c>
      <c r="B41117" s="8" t="str">
        <f>HYPERLINK("https://twitter.com/karusan_2001","@karusan_2001")</f>
        <v>@karusan_2001</v>
      </c>
      <c r="C41117" s="8" t="s">
        <v>8484</v>
      </c>
      <c r="D41117" s="8">
        <v>604</v>
      </c>
      <c r="E41117" s="8">
        <v>0</v>
      </c>
      <c r="F41117" s="8">
        <v>1226</v>
      </c>
    </row>
    <row r="41118" spans="1:6" ht="12.75">
      <c r="A41118" s="8">
        <v>43885.96802083333</v>
      </c>
      <c r="B41118" s="8" t="str">
        <f>HYPERLINK("https://twitter.com/jsamodra","@jsamodra")</f>
        <v>@jsamodra</v>
      </c>
      <c r="C41118" s="8" t="s">
        <v>15725</v>
      </c>
      <c r="D41118" s="8">
        <v>0</v>
      </c>
      <c r="E41118" s="8">
        <v>0</v>
      </c>
      <c r="F41118" s="8">
        <v>1161</v>
      </c>
    </row>
    <row r="41119" spans="1:6" ht="12.75">
      <c r="A41119" s="8">
        <v>43885.967847222222</v>
      </c>
      <c r="B41119" s="8" t="str">
        <f>HYPERLINK("https://twitter.com/MulyadiEndang","@MulyadiEndang")</f>
        <v>@MulyadiEndang</v>
      </c>
      <c r="C41119" s="8" t="s">
        <v>15726</v>
      </c>
      <c r="D41119" s="8">
        <v>375</v>
      </c>
      <c r="E41119" s="8">
        <v>0</v>
      </c>
      <c r="F41119" s="8">
        <v>89</v>
      </c>
    </row>
    <row r="41120" spans="1:6" ht="12.75">
      <c r="A41120" s="8">
        <v>43885.967708333337</v>
      </c>
      <c r="B41120" s="8" t="str">
        <f>HYPERLINK("https://twitter.com/eyxplishit","@eyxplishit")</f>
        <v>@eyxplishit</v>
      </c>
      <c r="C41120" s="8" t="s">
        <v>12882</v>
      </c>
      <c r="D41120" s="8">
        <v>52</v>
      </c>
      <c r="E41120" s="8">
        <v>0</v>
      </c>
      <c r="F41120" s="8">
        <v>53</v>
      </c>
    </row>
    <row r="41121" spans="1:6" ht="12.75">
      <c r="A41121" s="8">
        <v>43885.967534722222</v>
      </c>
      <c r="B41121" s="8" t="str">
        <f>HYPERLINK("https://twitter.com/08Hisa22","@08Hisa22")</f>
        <v>@08Hisa22</v>
      </c>
      <c r="C41121" s="8" t="s">
        <v>14106</v>
      </c>
      <c r="D41121" s="8">
        <v>114</v>
      </c>
      <c r="E41121" s="8">
        <v>0</v>
      </c>
      <c r="F41121" s="8">
        <v>1622</v>
      </c>
    </row>
    <row r="41122" spans="1:6" ht="12.75">
      <c r="A41122" s="8">
        <v>43885.967511574076</v>
      </c>
      <c r="B41122" s="8" t="str">
        <f>HYPERLINK("https://twitter.com/gilalugill","@gilalugill")</f>
        <v>@gilalugill</v>
      </c>
      <c r="C41122" s="8" t="s">
        <v>15727</v>
      </c>
      <c r="D41122" s="8">
        <v>0</v>
      </c>
      <c r="E41122" s="8">
        <v>0</v>
      </c>
      <c r="F41122" s="8">
        <v>1666</v>
      </c>
    </row>
    <row r="41123" spans="1:6" ht="12.75">
      <c r="A41123" s="8">
        <v>43885.967499999999</v>
      </c>
      <c r="B41123" s="8" t="str">
        <f>HYPERLINK("https://twitter.com/08Hisa22","@08Hisa22")</f>
        <v>@08Hisa22</v>
      </c>
      <c r="C41123" s="8" t="s">
        <v>13834</v>
      </c>
      <c r="D41123" s="8">
        <v>123</v>
      </c>
      <c r="E41123" s="8">
        <v>0</v>
      </c>
      <c r="F41123" s="8">
        <v>1622</v>
      </c>
    </row>
    <row r="41124" spans="1:6" ht="12.75">
      <c r="A41124" s="8">
        <v>43885.967326388884</v>
      </c>
      <c r="B41124" s="8" t="str">
        <f>HYPERLINK("https://twitter.com/jawapos","@jawapos")</f>
        <v>@jawapos</v>
      </c>
      <c r="C41124" s="8" t="s">
        <v>15728</v>
      </c>
      <c r="D41124" s="8">
        <v>0</v>
      </c>
      <c r="E41124" s="8">
        <v>0</v>
      </c>
      <c r="F41124" s="8">
        <v>121360</v>
      </c>
    </row>
    <row r="41125" spans="1:6" ht="12.75">
      <c r="A41125" s="8">
        <v>43885.967314814814</v>
      </c>
      <c r="B41125" s="8" t="str">
        <f>HYPERLINK("https://twitter.com/08Hisa22","@08Hisa22")</f>
        <v>@08Hisa22</v>
      </c>
      <c r="C41125" s="8" t="s">
        <v>8484</v>
      </c>
      <c r="D41125" s="8">
        <v>604</v>
      </c>
      <c r="E41125" s="8">
        <v>0</v>
      </c>
      <c r="F41125" s="8">
        <v>1622</v>
      </c>
    </row>
    <row r="41126" spans="1:6" ht="12.75">
      <c r="A41126" s="8">
        <v>43885.967164351852</v>
      </c>
      <c r="B41126" s="8" t="str">
        <f>HYPERLINK("https://twitter.com/miir12","@miir12")</f>
        <v>@miir12</v>
      </c>
      <c r="C41126" s="8" t="s">
        <v>8484</v>
      </c>
      <c r="D41126" s="8">
        <v>604</v>
      </c>
      <c r="E41126" s="8">
        <v>0</v>
      </c>
      <c r="F41126" s="8">
        <v>86</v>
      </c>
    </row>
    <row r="41127" spans="1:6" ht="12.75">
      <c r="A41127" s="8">
        <v>43885.966840277775</v>
      </c>
      <c r="B41127" s="8" t="str">
        <f>HYPERLINK("https://twitter.com/tweetaje_aje","@tweetaje_aje")</f>
        <v>@tweetaje_aje</v>
      </c>
      <c r="C41127" s="8" t="s">
        <v>15322</v>
      </c>
      <c r="D41127" s="8">
        <v>4</v>
      </c>
      <c r="E41127" s="8">
        <v>0</v>
      </c>
      <c r="F41127" s="8">
        <v>26</v>
      </c>
    </row>
    <row r="41128" spans="1:6" ht="12.75">
      <c r="A41128" s="8">
        <v>43885.965092592596</v>
      </c>
      <c r="B41128" s="8" t="str">
        <f>HYPERLINK("https://twitter.com/jawapos","@jawapos")</f>
        <v>@jawapos</v>
      </c>
      <c r="C41128" s="8" t="s">
        <v>15483</v>
      </c>
      <c r="D41128" s="8">
        <v>0</v>
      </c>
      <c r="E41128" s="8">
        <v>0</v>
      </c>
      <c r="F41128" s="8">
        <v>121343</v>
      </c>
    </row>
    <row r="41129" spans="1:6" ht="12.75">
      <c r="A41129" s="8">
        <v>43885.964537037042</v>
      </c>
      <c r="B41129" s="8" t="str">
        <f>HYPERLINK("https://twitter.com/superradioid","@superradioid")</f>
        <v>@superradioid</v>
      </c>
      <c r="C41129" s="8" t="s">
        <v>15729</v>
      </c>
      <c r="D41129" s="8">
        <v>0</v>
      </c>
      <c r="E41129" s="8">
        <v>0</v>
      </c>
      <c r="F41129" s="8">
        <v>63</v>
      </c>
    </row>
    <row r="41130" spans="1:6" ht="12.75">
      <c r="A41130" s="8">
        <v>43885.964259259257</v>
      </c>
      <c r="B41130" s="8" t="str">
        <f>HYPERLINK("https://twitter.com/Batu_Karang69","@Batu_Karang69")</f>
        <v>@Batu_Karang69</v>
      </c>
      <c r="C41130" s="8" t="s">
        <v>15730</v>
      </c>
      <c r="D41130" s="8">
        <v>0</v>
      </c>
      <c r="E41130" s="8">
        <v>0</v>
      </c>
      <c r="F41130" s="8">
        <v>183</v>
      </c>
    </row>
    <row r="41131" spans="1:6" ht="12.75">
      <c r="A41131" s="8">
        <v>43885.964247685188</v>
      </c>
      <c r="B41131" s="8" t="str">
        <f>HYPERLINK("https://twitter.com/peto_syarif","@peto_syarif")</f>
        <v>@peto_syarif</v>
      </c>
      <c r="C41131" s="8" t="s">
        <v>15672</v>
      </c>
      <c r="D41131" s="8">
        <v>16</v>
      </c>
      <c r="E41131" s="8">
        <v>0</v>
      </c>
      <c r="F41131" s="8">
        <v>503</v>
      </c>
    </row>
    <row r="41132" spans="1:6" ht="12.75">
      <c r="A41132" s="8">
        <v>43885.963067129633</v>
      </c>
      <c r="B41132" s="8" t="str">
        <f t="shared" ref="B41132:B41134" si="615">HYPERLINK("https://twitter.com/AmstrongBiring","@AmstrongBiring")</f>
        <v>@AmstrongBiring</v>
      </c>
      <c r="C41132" s="8" t="s">
        <v>15731</v>
      </c>
      <c r="D41132" s="8">
        <v>71</v>
      </c>
      <c r="E41132" s="8">
        <v>0</v>
      </c>
      <c r="F41132" s="8">
        <v>1972</v>
      </c>
    </row>
    <row r="41133" spans="1:6" ht="12.75">
      <c r="A41133" s="8">
        <v>43885.962974537033</v>
      </c>
      <c r="B41133" s="8" t="str">
        <f t="shared" si="615"/>
        <v>@AmstrongBiring</v>
      </c>
      <c r="C41133" s="8" t="s">
        <v>15732</v>
      </c>
      <c r="D41133" s="8">
        <v>224</v>
      </c>
      <c r="E41133" s="8">
        <v>0</v>
      </c>
      <c r="F41133" s="8">
        <v>1972</v>
      </c>
    </row>
    <row r="41134" spans="1:6" ht="12.75">
      <c r="A41134" s="8">
        <v>43885.961331018523</v>
      </c>
      <c r="B41134" s="8" t="str">
        <f t="shared" si="615"/>
        <v>@AmstrongBiring</v>
      </c>
      <c r="C41134" s="8" t="s">
        <v>15733</v>
      </c>
      <c r="D41134" s="8">
        <v>47</v>
      </c>
      <c r="E41134" s="8">
        <v>0</v>
      </c>
      <c r="F41134" s="8">
        <v>1972</v>
      </c>
    </row>
    <row r="41135" spans="1:6" ht="12.75">
      <c r="A41135" s="8">
        <v>43885.960787037038</v>
      </c>
      <c r="B41135" s="8" t="str">
        <f>HYPERLINK("https://twitter.com/Shellahibono","@Shellahibono")</f>
        <v>@Shellahibono</v>
      </c>
      <c r="C41135" s="8" t="s">
        <v>15598</v>
      </c>
      <c r="D41135" s="8">
        <v>22</v>
      </c>
      <c r="E41135" s="8">
        <v>0</v>
      </c>
      <c r="F41135" s="8">
        <v>78</v>
      </c>
    </row>
    <row r="41136" spans="1:6" ht="12.75">
      <c r="A41136" s="8">
        <v>43885.960706018523</v>
      </c>
      <c r="B41136" s="8" t="str">
        <f>HYPERLINK("https://twitter.com/tawajkt","@tawajkt")</f>
        <v>@tawajkt</v>
      </c>
      <c r="C41136" s="8" t="s">
        <v>15672</v>
      </c>
      <c r="D41136" s="8">
        <v>16</v>
      </c>
      <c r="E41136" s="8">
        <v>0</v>
      </c>
      <c r="F41136" s="8">
        <v>16105</v>
      </c>
    </row>
    <row r="41137" spans="1:6" ht="12.75">
      <c r="A41137" s="8">
        <v>43885.960289351853</v>
      </c>
      <c r="B41137" s="8" t="str">
        <f>HYPERLINK("https://twitter.com/vibizmediacom","@vibizmediacom")</f>
        <v>@vibizmediacom</v>
      </c>
      <c r="C41137" s="8" t="s">
        <v>15734</v>
      </c>
      <c r="D41137" s="8">
        <v>0</v>
      </c>
      <c r="E41137" s="8">
        <v>0</v>
      </c>
      <c r="F41137" s="8">
        <v>419</v>
      </c>
    </row>
    <row r="41138" spans="1:6" ht="12.75">
      <c r="A41138" s="8">
        <v>43885.960162037038</v>
      </c>
      <c r="B41138" s="8" t="str">
        <f>HYPERLINK("https://twitter.com/ItemYopi","@ItemYopi")</f>
        <v>@ItemYopi</v>
      </c>
      <c r="C41138" s="8" t="s">
        <v>15735</v>
      </c>
      <c r="D41138" s="8">
        <v>7</v>
      </c>
      <c r="E41138" s="8">
        <v>0</v>
      </c>
      <c r="F41138" s="8">
        <v>1133</v>
      </c>
    </row>
    <row r="41139" spans="1:6" ht="12.75">
      <c r="A41139" s="8">
        <v>43885.959768518514</v>
      </c>
      <c r="B41139" s="8" t="str">
        <f>HYPERLINK("https://twitter.com/Shellahibono","@Shellahibono")</f>
        <v>@Shellahibono</v>
      </c>
      <c r="C41139" s="8" t="s">
        <v>15736</v>
      </c>
      <c r="D41139" s="8">
        <v>0</v>
      </c>
      <c r="E41139" s="8">
        <v>0</v>
      </c>
      <c r="F41139" s="8">
        <v>78</v>
      </c>
    </row>
    <row r="41140" spans="1:6" ht="12.75">
      <c r="A41140" s="8">
        <v>43885.959756944445</v>
      </c>
      <c r="B41140" s="8" t="str">
        <f>HYPERLINK("https://twitter.com/Shooting_Water","@Shooting_Water")</f>
        <v>@Shooting_Water</v>
      </c>
      <c r="C41140" s="8" t="s">
        <v>14106</v>
      </c>
      <c r="D41140" s="8">
        <v>112</v>
      </c>
      <c r="E41140" s="8">
        <v>0</v>
      </c>
      <c r="F41140" s="8">
        <v>426</v>
      </c>
    </row>
    <row r="41141" spans="1:6" ht="12.75">
      <c r="A41141" s="8">
        <v>43885.959733796291</v>
      </c>
      <c r="B41141" s="8" t="str">
        <f>HYPERLINK("https://twitter.com/KompasTV","@KompasTV")</f>
        <v>@KompasTV</v>
      </c>
      <c r="C41141" s="8" t="s">
        <v>15737</v>
      </c>
      <c r="D41141" s="8">
        <v>1</v>
      </c>
      <c r="E41141" s="8">
        <v>4</v>
      </c>
      <c r="F41141" s="8">
        <v>2947798</v>
      </c>
    </row>
    <row r="41142" spans="1:6" ht="12.75">
      <c r="A41142" s="8">
        <v>43885.959710648152</v>
      </c>
      <c r="B41142" s="8" t="str">
        <f>HYPERLINK("https://twitter.com/Shooting_Water","@Shooting_Water")</f>
        <v>@Shooting_Water</v>
      </c>
      <c r="C41142" s="8" t="s">
        <v>13834</v>
      </c>
      <c r="D41142" s="8">
        <v>121</v>
      </c>
      <c r="E41142" s="8">
        <v>0</v>
      </c>
      <c r="F41142" s="8">
        <v>426</v>
      </c>
    </row>
    <row r="41143" spans="1:6" ht="12.75">
      <c r="A41143" s="8">
        <v>43885.959664351853</v>
      </c>
      <c r="B41143" s="8" t="str">
        <f>HYPERLINK("https://twitter.com/lembaranbaroe","@lembaranbaroe")</f>
        <v>@lembaranbaroe</v>
      </c>
      <c r="C41143" s="8" t="s">
        <v>15738</v>
      </c>
      <c r="D41143" s="8">
        <v>0</v>
      </c>
      <c r="E41143" s="8">
        <v>0</v>
      </c>
      <c r="F41143" s="8">
        <v>3723</v>
      </c>
    </row>
    <row r="41144" spans="1:6" ht="12.75">
      <c r="A41144" s="8">
        <v>43885.959351851852</v>
      </c>
      <c r="B41144" s="8" t="str">
        <f t="shared" ref="B41144:B41145" si="616">HYPERLINK("https://twitter.com/Shooting_Water","@Shooting_Water")</f>
        <v>@Shooting_Water</v>
      </c>
      <c r="C41144" s="8" t="s">
        <v>8484</v>
      </c>
      <c r="D41144" s="8">
        <v>591</v>
      </c>
      <c r="E41144" s="8">
        <v>0</v>
      </c>
      <c r="F41144" s="8">
        <v>426</v>
      </c>
    </row>
    <row r="41145" spans="1:6" ht="12.75">
      <c r="A41145" s="8">
        <v>43885.95884259259</v>
      </c>
      <c r="B41145" s="8" t="str">
        <f t="shared" si="616"/>
        <v>@Shooting_Water</v>
      </c>
      <c r="C41145" s="8" t="s">
        <v>2940</v>
      </c>
      <c r="D41145" s="8">
        <v>2194</v>
      </c>
      <c r="E41145" s="8">
        <v>0</v>
      </c>
      <c r="F41145" s="8">
        <v>426</v>
      </c>
    </row>
    <row r="41146" spans="1:6" ht="12.75">
      <c r="A41146" s="8">
        <v>43885.958726851852</v>
      </c>
      <c r="B41146" s="8" t="str">
        <f>HYPERLINK("https://twitter.com/rizqi_property","@rizqi_property")</f>
        <v>@rizqi_property</v>
      </c>
      <c r="C41146" s="8" t="s">
        <v>2940</v>
      </c>
      <c r="D41146" s="8">
        <v>2194</v>
      </c>
      <c r="E41146" s="8">
        <v>0</v>
      </c>
      <c r="F41146" s="8">
        <v>4588</v>
      </c>
    </row>
    <row r="41147" spans="1:6" ht="12.75">
      <c r="A41147" s="8">
        <v>43885.958657407406</v>
      </c>
      <c r="B41147" s="8" t="str">
        <f>HYPERLINK("https://twitter.com/PandjiSamsoel3","@PandjiSamsoel3")</f>
        <v>@PandjiSamsoel3</v>
      </c>
      <c r="C41147" s="8" t="s">
        <v>15471</v>
      </c>
      <c r="D41147" s="8">
        <v>124</v>
      </c>
      <c r="E41147" s="8">
        <v>0</v>
      </c>
      <c r="F41147" s="8">
        <v>429</v>
      </c>
    </row>
    <row r="41148" spans="1:6" ht="12.75">
      <c r="A41148" s="8">
        <v>43885.958379629628</v>
      </c>
      <c r="B41148" s="8" t="str">
        <f>HYPERLINK("https://twitter.com/Din034","@Din034")</f>
        <v>@Din034</v>
      </c>
      <c r="C41148" s="8" t="s">
        <v>15125</v>
      </c>
      <c r="D41148" s="8">
        <v>22</v>
      </c>
      <c r="E41148" s="8">
        <v>0</v>
      </c>
      <c r="F41148" s="8">
        <v>26</v>
      </c>
    </row>
    <row r="41149" spans="1:6" ht="12.75">
      <c r="A41149" s="8">
        <v>43885.958229166667</v>
      </c>
      <c r="B41149" s="8" t="str">
        <f>HYPERLINK("https://twitter.com/HuFmy","@HuFmy")</f>
        <v>@HuFmy</v>
      </c>
      <c r="C41149" s="8" t="s">
        <v>8484</v>
      </c>
      <c r="D41149" s="8">
        <v>591</v>
      </c>
      <c r="E41149" s="8">
        <v>0</v>
      </c>
      <c r="F41149" s="8">
        <v>692</v>
      </c>
    </row>
    <row r="41150" spans="1:6" ht="12.75">
      <c r="A41150" s="8">
        <v>43885.95821759259</v>
      </c>
      <c r="B41150" s="8" t="str">
        <f>HYPERLINK("https://twitter.com/bagaspatifor","@bagaspatifor")</f>
        <v>@bagaspatifor</v>
      </c>
      <c r="C41150" s="8" t="s">
        <v>15738</v>
      </c>
      <c r="D41150" s="8">
        <v>0</v>
      </c>
      <c r="E41150" s="8">
        <v>0</v>
      </c>
      <c r="F41150" s="8">
        <v>3</v>
      </c>
    </row>
    <row r="41151" spans="1:6" ht="12.75">
      <c r="A41151" s="8">
        <v>43885.957766203705</v>
      </c>
      <c r="B41151" s="8" t="str">
        <f>HYPERLINK("https://twitter.com/heiwa_spi","@heiwa_spi")</f>
        <v>@heiwa_spi</v>
      </c>
      <c r="C41151" s="8" t="s">
        <v>8484</v>
      </c>
      <c r="D41151" s="8">
        <v>591</v>
      </c>
      <c r="E41151" s="8">
        <v>0</v>
      </c>
      <c r="F41151" s="8">
        <v>4511</v>
      </c>
    </row>
    <row r="41152" spans="1:6" ht="12.75">
      <c r="A41152" s="8">
        <v>43885.957731481481</v>
      </c>
      <c r="B41152" s="8" t="str">
        <f>HYPERLINK("https://twitter.com/prasetyoutomo78","@prasetyoutomo78")</f>
        <v>@prasetyoutomo78</v>
      </c>
      <c r="C41152" s="8" t="s">
        <v>15508</v>
      </c>
      <c r="D41152" s="8">
        <v>382</v>
      </c>
      <c r="E41152" s="8">
        <v>0</v>
      </c>
      <c r="F41152" s="8">
        <v>218</v>
      </c>
    </row>
    <row r="41153" spans="1:6" ht="12.75">
      <c r="A41153" s="8">
        <v>43885.957662037035</v>
      </c>
      <c r="B41153" s="8" t="str">
        <f>HYPERLINK("https://twitter.com/malukulukulu","@malukulukulu")</f>
        <v>@malukulukulu</v>
      </c>
      <c r="C41153" s="8" t="s">
        <v>8484</v>
      </c>
      <c r="D41153" s="8">
        <v>591</v>
      </c>
      <c r="E41153" s="8">
        <v>0</v>
      </c>
      <c r="F41153" s="8">
        <v>14</v>
      </c>
    </row>
    <row r="41154" spans="1:6" ht="12.75">
      <c r="A41154" s="8">
        <v>43885.957604166666</v>
      </c>
      <c r="B41154" s="8" t="str">
        <f>HYPERLINK("https://twitter.com/984CcZSMqIUwJAc","@984CcZSMqIUwJAc")</f>
        <v>@984CcZSMqIUwJAc</v>
      </c>
      <c r="C41154" s="8" t="s">
        <v>8484</v>
      </c>
      <c r="D41154" s="8">
        <v>591</v>
      </c>
      <c r="E41154" s="8">
        <v>0</v>
      </c>
      <c r="F41154" s="8">
        <v>355</v>
      </c>
    </row>
    <row r="41155" spans="1:6" ht="12.75">
      <c r="A41155" s="8">
        <v>43885.957476851851</v>
      </c>
      <c r="B41155" s="8" t="str">
        <f>HYPERLINK("https://twitter.com/Alichtirom14","@Alichtirom14")</f>
        <v>@Alichtirom14</v>
      </c>
      <c r="C41155" s="8" t="s">
        <v>15235</v>
      </c>
      <c r="D41155" s="8">
        <v>2</v>
      </c>
      <c r="E41155" s="8">
        <v>0</v>
      </c>
      <c r="F41155" s="8">
        <v>294</v>
      </c>
    </row>
    <row r="41156" spans="1:6" ht="12.75">
      <c r="A41156" s="8">
        <v>43885.957291666666</v>
      </c>
      <c r="B41156" s="8" t="str">
        <f t="shared" ref="B41156:B41157" si="617">HYPERLINK("https://twitter.com/joejoe_tango","@joejoe_tango")</f>
        <v>@joejoe_tango</v>
      </c>
      <c r="C41156" s="8" t="s">
        <v>15340</v>
      </c>
      <c r="D41156" s="8">
        <v>19</v>
      </c>
      <c r="E41156" s="8">
        <v>0</v>
      </c>
      <c r="F41156" s="8">
        <v>4752</v>
      </c>
    </row>
    <row r="41157" spans="1:6" ht="12.75">
      <c r="A41157" s="8">
        <v>43885.95711805555</v>
      </c>
      <c r="B41157" s="8" t="str">
        <f t="shared" si="617"/>
        <v>@joejoe_tango</v>
      </c>
      <c r="C41157" s="8" t="s">
        <v>15739</v>
      </c>
      <c r="D41157" s="8">
        <v>1</v>
      </c>
      <c r="E41157" s="8">
        <v>0</v>
      </c>
      <c r="F41157" s="8">
        <v>4752</v>
      </c>
    </row>
    <row r="41158" spans="1:6" ht="12.75">
      <c r="A41158" s="8">
        <v>43885.956921296296</v>
      </c>
      <c r="B41158" s="8" t="str">
        <f>HYPERLINK("https://twitter.com/alessyazzhr","@alessyazzhr")</f>
        <v>@alessyazzhr</v>
      </c>
      <c r="C41158" s="8" t="s">
        <v>2940</v>
      </c>
      <c r="D41158" s="8">
        <v>2194</v>
      </c>
      <c r="E41158" s="8">
        <v>0</v>
      </c>
      <c r="F41158" s="8">
        <v>106</v>
      </c>
    </row>
    <row r="41159" spans="1:6" ht="12.75">
      <c r="A41159" s="8">
        <v>43885.956400462965</v>
      </c>
      <c r="B41159" s="8" t="str">
        <f>HYPERLINK("https://twitter.com/Charuvrat1","@Charuvrat1")</f>
        <v>@Charuvrat1</v>
      </c>
      <c r="C41159" s="8" t="s">
        <v>15738</v>
      </c>
      <c r="D41159" s="8">
        <v>0</v>
      </c>
      <c r="E41159" s="8">
        <v>0</v>
      </c>
      <c r="F41159" s="8">
        <v>4</v>
      </c>
    </row>
    <row r="41160" spans="1:6" ht="12.75">
      <c r="A41160" s="8">
        <v>43885.956076388888</v>
      </c>
      <c r="B41160" s="8" t="str">
        <f>HYPERLINK("https://twitter.com/oniontharada","@oniontharada")</f>
        <v>@oniontharada</v>
      </c>
      <c r="C41160" s="8" t="s">
        <v>2940</v>
      </c>
      <c r="D41160" s="8">
        <v>2194</v>
      </c>
      <c r="E41160" s="8">
        <v>0</v>
      </c>
      <c r="F41160" s="8">
        <v>241</v>
      </c>
    </row>
    <row r="41161" spans="1:6" ht="12.75">
      <c r="A41161" s="8">
        <v>43885.956006944441</v>
      </c>
      <c r="B41161" s="8" t="str">
        <f>HYPERLINK("https://twitter.com/aya_ddt","@aya_ddt")</f>
        <v>@aya_ddt</v>
      </c>
      <c r="C41161" s="8" t="s">
        <v>15340</v>
      </c>
      <c r="D41161" s="8">
        <v>19</v>
      </c>
      <c r="E41161" s="8">
        <v>0</v>
      </c>
      <c r="F41161" s="8">
        <v>434</v>
      </c>
    </row>
    <row r="41162" spans="1:6" ht="12.75">
      <c r="A41162" s="8">
        <v>43885.955729166672</v>
      </c>
      <c r="B41162" s="8" t="str">
        <f>HYPERLINK("https://twitter.com/BeritaCenter","@BeritaCenter")</f>
        <v>@BeritaCenter</v>
      </c>
      <c r="C41162" s="8" t="s">
        <v>15740</v>
      </c>
      <c r="D41162" s="8">
        <v>0</v>
      </c>
      <c r="E41162" s="8">
        <v>0</v>
      </c>
      <c r="F41162" s="8">
        <v>9433</v>
      </c>
    </row>
    <row r="41163" spans="1:6" ht="12.75">
      <c r="A41163" s="8">
        <v>43885.955462962964</v>
      </c>
      <c r="B41163" s="8" t="str">
        <f>HYPERLINK("https://twitter.com/Kent40365342","@Kent40365342")</f>
        <v>@Kent40365342</v>
      </c>
      <c r="C41163" s="8" t="s">
        <v>15741</v>
      </c>
      <c r="D41163" s="8">
        <v>0</v>
      </c>
      <c r="E41163" s="8">
        <v>0</v>
      </c>
      <c r="F41163" s="8">
        <v>14</v>
      </c>
    </row>
    <row r="41164" spans="1:6" ht="12.75">
      <c r="A41164" s="8">
        <v>43885.954918981486</v>
      </c>
      <c r="B41164" s="8" t="str">
        <f>HYPERLINK("https://twitter.com/GATRA_News","@GATRA_News")</f>
        <v>@GATRA_News</v>
      </c>
      <c r="C41164" s="8" t="s">
        <v>15742</v>
      </c>
      <c r="D41164" s="8">
        <v>0</v>
      </c>
      <c r="E41164" s="8">
        <v>0</v>
      </c>
      <c r="F41164" s="8">
        <v>23139</v>
      </c>
    </row>
    <row r="41165" spans="1:6" ht="12.75">
      <c r="A41165" s="8">
        <v>43885.954733796301</v>
      </c>
      <c r="B41165" s="8" t="str">
        <f>HYPERLINK("https://twitter.com/Adedwi09145642","@Adedwi09145642")</f>
        <v>@Adedwi09145642</v>
      </c>
      <c r="C41165" s="8" t="s">
        <v>15743</v>
      </c>
      <c r="D41165" s="8">
        <v>0</v>
      </c>
      <c r="E41165" s="8">
        <v>0</v>
      </c>
      <c r="F41165" s="8">
        <v>2284</v>
      </c>
    </row>
    <row r="41166" spans="1:6" ht="12.75">
      <c r="A41166" s="8">
        <v>43885.954722222217</v>
      </c>
      <c r="B41166" s="8" t="str">
        <f>HYPERLINK("https://twitter.com/RphlDC","@RphlDC")</f>
        <v>@RphlDC</v>
      </c>
      <c r="C41166" s="8" t="s">
        <v>15744</v>
      </c>
      <c r="D41166" s="8">
        <v>0</v>
      </c>
      <c r="E41166" s="8">
        <v>0</v>
      </c>
      <c r="F41166" s="8">
        <v>6819</v>
      </c>
    </row>
    <row r="41167" spans="1:6" ht="12.75">
      <c r="A41167" s="8">
        <v>43885.954710648148</v>
      </c>
      <c r="B41167" s="8" t="str">
        <f>HYPERLINK("https://twitter.com/bimolunatica","@bimolunatica")</f>
        <v>@bimolunatica</v>
      </c>
      <c r="C41167" s="8" t="s">
        <v>15745</v>
      </c>
      <c r="D41167" s="8">
        <v>1</v>
      </c>
      <c r="E41167" s="8">
        <v>0</v>
      </c>
      <c r="F41167" s="8">
        <v>147</v>
      </c>
    </row>
    <row r="41168" spans="1:6" ht="12.75">
      <c r="A41168" s="8">
        <v>43885.954583333332</v>
      </c>
      <c r="B41168" s="8" t="str">
        <f t="shared" ref="B41168:B41169" si="618">HYPERLINK("https://twitter.com/endoe21","@endoe21")</f>
        <v>@endoe21</v>
      </c>
      <c r="C41168" s="8" t="s">
        <v>15746</v>
      </c>
      <c r="D41168" s="8">
        <v>296</v>
      </c>
      <c r="E41168" s="8">
        <v>0</v>
      </c>
      <c r="F41168" s="8">
        <v>2041</v>
      </c>
    </row>
    <row r="41169" spans="1:6" ht="12.75">
      <c r="A41169" s="8">
        <v>43885.954502314809</v>
      </c>
      <c r="B41169" s="8" t="str">
        <f t="shared" si="618"/>
        <v>@endoe21</v>
      </c>
      <c r="C41169" s="8" t="s">
        <v>15747</v>
      </c>
      <c r="D41169" s="8">
        <v>653</v>
      </c>
      <c r="E41169" s="8">
        <v>0</v>
      </c>
      <c r="F41169" s="8">
        <v>2041</v>
      </c>
    </row>
    <row r="41170" spans="1:6" ht="12.75">
      <c r="A41170" s="8">
        <v>43885.954456018517</v>
      </c>
      <c r="B41170" s="8" t="str">
        <f>HYPERLINK("https://twitter.com/Disuspend1","@Disuspend1")</f>
        <v>@Disuspend1</v>
      </c>
      <c r="C41170" s="8" t="s">
        <v>15508</v>
      </c>
      <c r="D41170" s="8">
        <v>382</v>
      </c>
      <c r="E41170" s="8">
        <v>0</v>
      </c>
      <c r="F41170" s="8">
        <v>238</v>
      </c>
    </row>
    <row r="41171" spans="1:6" ht="12.75">
      <c r="A41171" s="8">
        <v>43885.954444444447</v>
      </c>
      <c r="B41171" s="8" t="str">
        <f>HYPERLINK("https://twitter.com/andesshhh","@andesshhh")</f>
        <v>@andesshhh</v>
      </c>
      <c r="C41171" s="8" t="s">
        <v>15748</v>
      </c>
      <c r="D41171" s="8">
        <v>0</v>
      </c>
      <c r="E41171" s="8">
        <v>2</v>
      </c>
      <c r="F41171" s="8">
        <v>5366</v>
      </c>
    </row>
    <row r="41172" spans="1:6" ht="12.75">
      <c r="A41172" s="8">
        <v>43885.954293981486</v>
      </c>
      <c r="B41172" s="8" t="str">
        <f>HYPERLINK("https://twitter.com/Aadesh25823701","@Aadesh25823701")</f>
        <v>@Aadesh25823701</v>
      </c>
      <c r="C41172" s="8" t="s">
        <v>15738</v>
      </c>
      <c r="D41172" s="8">
        <v>0</v>
      </c>
      <c r="E41172" s="8">
        <v>0</v>
      </c>
      <c r="F41172" s="8">
        <v>1</v>
      </c>
    </row>
    <row r="41173" spans="1:6" ht="12.75">
      <c r="A41173" s="8">
        <v>43885.95417824074</v>
      </c>
      <c r="B41173" s="8" t="str">
        <f>HYPERLINK("https://twitter.com/ersaardi","@ersaardi")</f>
        <v>@ersaardi</v>
      </c>
      <c r="C41173" s="8" t="s">
        <v>15749</v>
      </c>
      <c r="D41173" s="8">
        <v>1</v>
      </c>
      <c r="E41173" s="8">
        <v>0</v>
      </c>
      <c r="F41173" s="8">
        <v>197</v>
      </c>
    </row>
    <row r="41174" spans="1:6" ht="12.75">
      <c r="A41174" s="8">
        <v>43885.953865740739</v>
      </c>
      <c r="B41174" s="8" t="str">
        <f>HYPERLINK("https://twitter.com/ferimut","@ferimut")</f>
        <v>@ferimut</v>
      </c>
      <c r="C41174" s="8" t="s">
        <v>15616</v>
      </c>
      <c r="D41174" s="8">
        <v>0</v>
      </c>
      <c r="E41174" s="8">
        <v>0</v>
      </c>
      <c r="F41174" s="8">
        <v>360</v>
      </c>
    </row>
    <row r="41175" spans="1:6" ht="12.75">
      <c r="A41175" s="8">
        <v>43885.95385416667</v>
      </c>
      <c r="B41175" s="8" t="str">
        <f>HYPERLINK("https://twitter.com/Andriamuis","@Andriamuis")</f>
        <v>@Andriamuis</v>
      </c>
      <c r="C41175" s="8" t="s">
        <v>15750</v>
      </c>
      <c r="D41175" s="8">
        <v>0</v>
      </c>
      <c r="E41175" s="8">
        <v>0</v>
      </c>
      <c r="F41175" s="8">
        <v>186</v>
      </c>
    </row>
    <row r="41176" spans="1:6" ht="12.75">
      <c r="A41176" s="8">
        <v>43885.953460648147</v>
      </c>
      <c r="B41176" s="8" t="str">
        <f>HYPERLINK("https://twitter.com/wcl_japan","@wcl_japan")</f>
        <v>@wcl_japan</v>
      </c>
      <c r="C41176" s="8" t="s">
        <v>14106</v>
      </c>
      <c r="D41176" s="8">
        <v>112</v>
      </c>
      <c r="E41176" s="8">
        <v>0</v>
      </c>
      <c r="F41176" s="8">
        <v>1006</v>
      </c>
    </row>
    <row r="41177" spans="1:6" ht="12.75">
      <c r="A41177" s="8">
        <v>43885.953379629631</v>
      </c>
      <c r="B41177" s="8" t="str">
        <f>HYPERLINK("https://twitter.com/Lhaladalla","@Lhaladalla")</f>
        <v>@Lhaladalla</v>
      </c>
      <c r="C41177" s="8" t="s">
        <v>15471</v>
      </c>
      <c r="D41177" s="8">
        <v>124</v>
      </c>
      <c r="E41177" s="8">
        <v>0</v>
      </c>
      <c r="F41177" s="8">
        <v>184</v>
      </c>
    </row>
    <row r="41178" spans="1:6" ht="12.75">
      <c r="A41178" s="8">
        <v>43885.953310185185</v>
      </c>
      <c r="B41178" s="8" t="str">
        <f>HYPERLINK("https://twitter.com/sidumalik21","@sidumalik21")</f>
        <v>@sidumalik21</v>
      </c>
      <c r="C41178" s="8" t="s">
        <v>15751</v>
      </c>
      <c r="D41178" s="8">
        <v>0</v>
      </c>
      <c r="E41178" s="8">
        <v>1</v>
      </c>
      <c r="F41178" s="8">
        <v>6275</v>
      </c>
    </row>
    <row r="41179" spans="1:6" ht="12.75">
      <c r="A41179" s="8">
        <v>43885.953229166669</v>
      </c>
      <c r="B41179" s="8" t="str">
        <f>HYPERLINK("https://twitter.com/wcl_japan","@wcl_japan")</f>
        <v>@wcl_japan</v>
      </c>
      <c r="C41179" s="8" t="s">
        <v>8484</v>
      </c>
      <c r="D41179" s="8">
        <v>591</v>
      </c>
      <c r="E41179" s="8">
        <v>0</v>
      </c>
      <c r="F41179" s="8">
        <v>1006</v>
      </c>
    </row>
    <row r="41180" spans="1:6" ht="12.75">
      <c r="A41180" s="8">
        <v>43885.95313657407</v>
      </c>
      <c r="B41180" s="8" t="str">
        <f>HYPERLINK("https://twitter.com/endoe21","@endoe21")</f>
        <v>@endoe21</v>
      </c>
      <c r="C41180" s="8" t="s">
        <v>15340</v>
      </c>
      <c r="D41180" s="8">
        <v>19</v>
      </c>
      <c r="E41180" s="8">
        <v>0</v>
      </c>
      <c r="F41180" s="8">
        <v>2041</v>
      </c>
    </row>
    <row r="41181" spans="1:6" ht="12.75">
      <c r="A41181" s="8">
        <v>43885.953078703707</v>
      </c>
      <c r="B41181" s="8" t="str">
        <f>HYPERLINK("https://twitter.com/countryRW","@countryRW")</f>
        <v>@countryRW</v>
      </c>
      <c r="C41181" s="8" t="s">
        <v>15738</v>
      </c>
      <c r="D41181" s="8">
        <v>0</v>
      </c>
      <c r="E41181" s="8">
        <v>0</v>
      </c>
      <c r="F41181" s="8">
        <v>35166</v>
      </c>
    </row>
    <row r="41182" spans="1:6" ht="12.75">
      <c r="A41182" s="8">
        <v>43885.952465277776</v>
      </c>
      <c r="B41182" s="8" t="str">
        <f>HYPERLINK("https://twitter.com/kompascom","@kompascom")</f>
        <v>@kompascom</v>
      </c>
      <c r="C41182" s="8" t="s">
        <v>15752</v>
      </c>
      <c r="D41182" s="8">
        <v>1</v>
      </c>
      <c r="E41182" s="8">
        <v>6</v>
      </c>
      <c r="F41182" s="8">
        <v>7510954</v>
      </c>
    </row>
    <row r="41183" spans="1:6" ht="12.75">
      <c r="A41183" s="8">
        <v>43885.952337962968</v>
      </c>
      <c r="B41183" s="8" t="str">
        <f>HYPERLINK("https://twitter.com/BeritaCenter","@BeritaCenter")</f>
        <v>@BeritaCenter</v>
      </c>
      <c r="C41183" s="8" t="s">
        <v>15753</v>
      </c>
      <c r="D41183" s="8">
        <v>0</v>
      </c>
      <c r="E41183" s="8">
        <v>0</v>
      </c>
      <c r="F41183" s="8">
        <v>9433</v>
      </c>
    </row>
    <row r="41184" spans="1:6" ht="12.75">
      <c r="A41184" s="8">
        <v>43885.951203703706</v>
      </c>
      <c r="B41184" s="8" t="str">
        <f>HYPERLINK("https://twitter.com/aya_ddt","@aya_ddt")</f>
        <v>@aya_ddt</v>
      </c>
      <c r="C41184" s="8" t="s">
        <v>15754</v>
      </c>
      <c r="D41184" s="8">
        <v>0</v>
      </c>
      <c r="E41184" s="8">
        <v>0</v>
      </c>
      <c r="F41184" s="8">
        <v>434</v>
      </c>
    </row>
    <row r="41185" spans="1:6" ht="12.75">
      <c r="A41185" s="8">
        <v>43885.950335648144</v>
      </c>
      <c r="B41185" s="8" t="str">
        <f>HYPERLINK("https://twitter.com/Bagas36406270","@Bagas36406270")</f>
        <v>@Bagas36406270</v>
      </c>
      <c r="C41185" s="8" t="s">
        <v>15125</v>
      </c>
      <c r="D41185" s="8">
        <v>22</v>
      </c>
      <c r="E41185" s="8">
        <v>0</v>
      </c>
      <c r="F41185" s="8">
        <v>1255</v>
      </c>
    </row>
    <row r="41186" spans="1:6" ht="12.75">
      <c r="A41186" s="8">
        <v>43885.95012731482</v>
      </c>
      <c r="B41186" s="8" t="str">
        <f>HYPERLINK("https://twitter.com/zzzct","@zzzct")</f>
        <v>@zzzct</v>
      </c>
      <c r="C41186" s="8" t="s">
        <v>15508</v>
      </c>
      <c r="D41186" s="8">
        <v>382</v>
      </c>
      <c r="E41186" s="8">
        <v>0</v>
      </c>
      <c r="F41186" s="8">
        <v>101</v>
      </c>
    </row>
    <row r="41187" spans="1:6" ht="12.75">
      <c r="A41187" s="8">
        <v>43885.949884259258</v>
      </c>
      <c r="B41187" s="8" t="str">
        <f>HYPERLINK("https://twitter.com/19710916KUMAGAI","@19710916KUMAGAI")</f>
        <v>@19710916KUMAGAI</v>
      </c>
      <c r="C41187" s="8" t="s">
        <v>8484</v>
      </c>
      <c r="D41187" s="8">
        <v>591</v>
      </c>
      <c r="E41187" s="8">
        <v>0</v>
      </c>
      <c r="F41187" s="8">
        <v>5309</v>
      </c>
    </row>
    <row r="41188" spans="1:6" ht="12.75">
      <c r="A41188" s="8">
        <v>43885.949328703704</v>
      </c>
      <c r="B41188" s="8" t="str">
        <f>HYPERLINK("https://twitter.com/SopirMikro","@SopirMikro")</f>
        <v>@SopirMikro</v>
      </c>
      <c r="C41188" s="8" t="s">
        <v>15755</v>
      </c>
      <c r="D41188" s="8">
        <v>0</v>
      </c>
      <c r="E41188" s="8">
        <v>0</v>
      </c>
      <c r="F41188" s="8">
        <v>229</v>
      </c>
    </row>
    <row r="41189" spans="1:6" ht="12.75">
      <c r="A41189" s="8">
        <v>43885.949212962965</v>
      </c>
      <c r="B41189" s="8" t="str">
        <f>HYPERLINK("https://twitter.com/demokrasicoid","@demokrasicoid")</f>
        <v>@demokrasicoid</v>
      </c>
      <c r="C41189" s="8" t="s">
        <v>15586</v>
      </c>
      <c r="D41189" s="8">
        <v>0</v>
      </c>
      <c r="E41189" s="8">
        <v>0</v>
      </c>
      <c r="F41189" s="8">
        <v>22586</v>
      </c>
    </row>
    <row r="41190" spans="1:6" ht="12.75">
      <c r="A41190" s="8">
        <v>43885.948819444442</v>
      </c>
      <c r="B41190" s="8" t="str">
        <f>HYPERLINK("https://twitter.com/syeickh79","@syeickh79")</f>
        <v>@syeickh79</v>
      </c>
      <c r="C41190" s="8" t="s">
        <v>15508</v>
      </c>
      <c r="D41190" s="8">
        <v>382</v>
      </c>
      <c r="E41190" s="8">
        <v>0</v>
      </c>
      <c r="F41190" s="8">
        <v>209</v>
      </c>
    </row>
    <row r="41191" spans="1:6" ht="12.75">
      <c r="A41191" s="8">
        <v>43885.948587962965</v>
      </c>
      <c r="B41191" s="8" t="str">
        <f>HYPERLINK("https://twitter.com/ichigojamtoast","@ichigojamtoast")</f>
        <v>@ichigojamtoast</v>
      </c>
      <c r="C41191" s="8" t="s">
        <v>2940</v>
      </c>
      <c r="D41191" s="8">
        <v>2194</v>
      </c>
      <c r="E41191" s="8">
        <v>0</v>
      </c>
      <c r="F41191" s="8">
        <v>900</v>
      </c>
    </row>
    <row r="41192" spans="1:6" ht="12.75">
      <c r="A41192" s="8">
        <v>43885.948530092588</v>
      </c>
      <c r="B41192" s="8" t="str">
        <f>HYPERLINK("https://twitter.com/Demokrat_TV","@Demokrat_TV")</f>
        <v>@Demokrat_TV</v>
      </c>
      <c r="C41192" s="8" t="s">
        <v>15606</v>
      </c>
      <c r="D41192" s="8">
        <v>7</v>
      </c>
      <c r="E41192" s="8">
        <v>0</v>
      </c>
      <c r="F41192" s="8">
        <v>6176735</v>
      </c>
    </row>
    <row r="41193" spans="1:6" ht="12.75">
      <c r="A41193" s="8">
        <v>43885.948518518519</v>
      </c>
      <c r="B41193" s="8" t="str">
        <f>HYPERLINK("https://twitter.com/vialitarahmani","@vialitarahmani")</f>
        <v>@vialitarahmani</v>
      </c>
      <c r="C41193" s="8" t="s">
        <v>13308</v>
      </c>
      <c r="D41193" s="8">
        <v>24</v>
      </c>
      <c r="E41193" s="8">
        <v>0</v>
      </c>
      <c r="F41193" s="8">
        <v>306</v>
      </c>
    </row>
    <row r="41194" spans="1:6" ht="12.75">
      <c r="A41194" s="8">
        <v>43885.948472222226</v>
      </c>
      <c r="B41194" s="8" t="str">
        <f>HYPERLINK("https://twitter.com/seruanhl","@seruanhl")</f>
        <v>@seruanhl</v>
      </c>
      <c r="C41194" s="8" t="s">
        <v>15405</v>
      </c>
      <c r="D41194" s="8">
        <v>21</v>
      </c>
      <c r="E41194" s="8">
        <v>0</v>
      </c>
      <c r="F41194" s="8">
        <v>12639</v>
      </c>
    </row>
    <row r="41195" spans="1:6" ht="12.75">
      <c r="A41195" s="8">
        <v>43885.94835648148</v>
      </c>
      <c r="B41195" s="8" t="str">
        <f>HYPERLINK("https://twitter.com/aya_ddt","@aya_ddt")</f>
        <v>@aya_ddt</v>
      </c>
      <c r="C41195" s="8" t="s">
        <v>15756</v>
      </c>
      <c r="D41195" s="8">
        <v>1</v>
      </c>
      <c r="E41195" s="8">
        <v>0</v>
      </c>
      <c r="F41195" s="8">
        <v>434</v>
      </c>
    </row>
    <row r="41196" spans="1:6" ht="12.75">
      <c r="A41196" s="8">
        <v>43885.948194444441</v>
      </c>
      <c r="B41196" s="8" t="str">
        <f>HYPERLINK("https://twitter.com/koecing_belang","@koecing_belang")</f>
        <v>@koecing_belang</v>
      </c>
      <c r="C41196" s="8" t="s">
        <v>15735</v>
      </c>
      <c r="D41196" s="8">
        <v>7</v>
      </c>
      <c r="E41196" s="8">
        <v>0</v>
      </c>
      <c r="F41196" s="8">
        <v>198</v>
      </c>
    </row>
    <row r="41197" spans="1:6" ht="12.75">
      <c r="A41197" s="8">
        <v>43885.947789351849</v>
      </c>
      <c r="B41197" s="8" t="str">
        <f>HYPERLINK("https://twitter.com/pacapaca_awake","@pacapaca_awake")</f>
        <v>@pacapaca_awake</v>
      </c>
      <c r="C41197" s="8" t="s">
        <v>2940</v>
      </c>
      <c r="D41197" s="8">
        <v>2194</v>
      </c>
      <c r="E41197" s="8">
        <v>0</v>
      </c>
      <c r="F41197" s="8">
        <v>216</v>
      </c>
    </row>
    <row r="41198" spans="1:6" ht="12.75">
      <c r="A41198" s="8">
        <v>43885.947777777779</v>
      </c>
      <c r="B41198" s="8" t="str">
        <f>HYPERLINK("https://twitter.com/jpnewsenquirer","@jpnewsenquirer")</f>
        <v>@jpnewsenquirer</v>
      </c>
      <c r="C41198" s="8" t="s">
        <v>2940</v>
      </c>
      <c r="D41198" s="8">
        <v>2194</v>
      </c>
      <c r="E41198" s="8">
        <v>0</v>
      </c>
      <c r="F41198" s="8">
        <v>654</v>
      </c>
    </row>
    <row r="41199" spans="1:6" ht="12.75">
      <c r="A41199" s="8">
        <v>43885.946840277778</v>
      </c>
      <c r="B41199" s="8" t="str">
        <f>HYPERLINK("https://twitter.com/kekekapriana","@kekekapriana")</f>
        <v>@kekekapriana</v>
      </c>
      <c r="C41199" s="8" t="s">
        <v>15757</v>
      </c>
      <c r="D41199" s="8">
        <v>0</v>
      </c>
      <c r="E41199" s="8">
        <v>0</v>
      </c>
      <c r="F41199" s="8">
        <v>1592</v>
      </c>
    </row>
    <row r="41200" spans="1:6" ht="12.75">
      <c r="A41200" s="8">
        <v>43885.946550925924</v>
      </c>
      <c r="B41200" s="8" t="str">
        <f>HYPERLINK("https://twitter.com/pomemomo","@pomemomo")</f>
        <v>@pomemomo</v>
      </c>
      <c r="C41200" s="8" t="s">
        <v>2940</v>
      </c>
      <c r="D41200" s="8">
        <v>2194</v>
      </c>
      <c r="E41200" s="8">
        <v>0</v>
      </c>
      <c r="F41200" s="8">
        <v>363</v>
      </c>
    </row>
    <row r="41201" spans="1:6" ht="12.75">
      <c r="A41201" s="8">
        <v>43885.945844907408</v>
      </c>
      <c r="B41201" s="8" t="str">
        <f>HYPERLINK("https://twitter.com/MadTaruno","@MadTaruno")</f>
        <v>@MadTaruno</v>
      </c>
      <c r="C41201" s="8" t="s">
        <v>15758</v>
      </c>
      <c r="D41201" s="8">
        <v>5</v>
      </c>
      <c r="E41201" s="8">
        <v>0</v>
      </c>
      <c r="F41201" s="8">
        <v>1004</v>
      </c>
    </row>
    <row r="41202" spans="1:6" ht="12.75">
      <c r="A41202" s="8">
        <v>43885.945752314816</v>
      </c>
      <c r="B41202" s="8" t="str">
        <f>HYPERLINK("https://twitter.com/hmmiyaiya","@hmmiyaiya")</f>
        <v>@hmmiyaiya</v>
      </c>
      <c r="C41202" s="8" t="s">
        <v>15759</v>
      </c>
      <c r="D41202" s="8">
        <v>0</v>
      </c>
      <c r="E41202" s="8">
        <v>0</v>
      </c>
      <c r="F41202" s="8">
        <v>269</v>
      </c>
    </row>
    <row r="41203" spans="1:6" ht="12.75">
      <c r="A41203" s="8">
        <v>43885.945659722223</v>
      </c>
      <c r="B41203" s="8" t="str">
        <f>HYPERLINK("https://twitter.com/MasKaleido89","@MasKaleido89")</f>
        <v>@MasKaleido89</v>
      </c>
      <c r="C41203" s="8" t="s">
        <v>2940</v>
      </c>
      <c r="D41203" s="8">
        <v>2194</v>
      </c>
      <c r="E41203" s="8">
        <v>0</v>
      </c>
      <c r="F41203" s="8">
        <v>184</v>
      </c>
    </row>
    <row r="41204" spans="1:6" ht="12.75">
      <c r="A41204" s="8">
        <v>43885.945636574077</v>
      </c>
      <c r="B41204" s="8" t="str">
        <f>HYPERLINK("https://twitter.com/joankudus","@joankudus")</f>
        <v>@joankudus</v>
      </c>
      <c r="C41204" s="8" t="s">
        <v>2940</v>
      </c>
      <c r="D41204" s="8">
        <v>2194</v>
      </c>
      <c r="E41204" s="8">
        <v>0</v>
      </c>
      <c r="F41204" s="8">
        <v>185</v>
      </c>
    </row>
    <row r="41205" spans="1:6" ht="12.75">
      <c r="A41205" s="8">
        <v>43885.945335648154</v>
      </c>
      <c r="B41205" s="8" t="str">
        <f>HYPERLINK("https://twitter.com/widiasinta","@widiasinta")</f>
        <v>@widiasinta</v>
      </c>
      <c r="C41205" s="8" t="s">
        <v>15760</v>
      </c>
      <c r="D41205" s="8">
        <v>12</v>
      </c>
      <c r="E41205" s="8">
        <v>0</v>
      </c>
      <c r="F41205" s="8">
        <v>250</v>
      </c>
    </row>
    <row r="41206" spans="1:6" ht="12.75">
      <c r="A41206" s="8">
        <v>43885.945185185185</v>
      </c>
      <c r="B41206" s="8" t="str">
        <f>HYPERLINK("https://twitter.com/tua_serdadu","@tua_serdadu")</f>
        <v>@tua_serdadu</v>
      </c>
      <c r="C41206" s="8" t="s">
        <v>15735</v>
      </c>
      <c r="D41206" s="8">
        <v>7</v>
      </c>
      <c r="E41206" s="8">
        <v>0</v>
      </c>
      <c r="F41206" s="8">
        <v>846</v>
      </c>
    </row>
    <row r="41207" spans="1:6" ht="12.75">
      <c r="A41207" s="8">
        <v>43885.945057870369</v>
      </c>
      <c r="B41207" s="8" t="str">
        <f>HYPERLINK("https://twitter.com/PradityaBeni","@PradityaBeni")</f>
        <v>@PradityaBeni</v>
      </c>
      <c r="C41207" s="8" t="s">
        <v>2940</v>
      </c>
      <c r="D41207" s="8">
        <v>2194</v>
      </c>
      <c r="E41207" s="8">
        <v>0</v>
      </c>
      <c r="F41207" s="8">
        <v>1294</v>
      </c>
    </row>
    <row r="41208" spans="1:6" ht="12.75">
      <c r="A41208" s="8">
        <v>43885.943923611107</v>
      </c>
      <c r="B41208" s="8" t="str">
        <f>HYPERLINK("https://twitter.com/yuyu999_yuyu","@yuyu999_yuyu")</f>
        <v>@yuyu999_yuyu</v>
      </c>
      <c r="C41208" s="8" t="s">
        <v>8484</v>
      </c>
      <c r="D41208" s="8">
        <v>591</v>
      </c>
      <c r="E41208" s="8">
        <v>0</v>
      </c>
      <c r="F41208" s="8">
        <v>264</v>
      </c>
    </row>
    <row r="41209" spans="1:6" ht="12.75">
      <c r="A41209" s="8">
        <v>43885.943622685183</v>
      </c>
      <c r="B41209" s="8" t="str">
        <f>HYPERLINK("https://twitter.com/susi_siregar","@susi_siregar")</f>
        <v>@susi_siregar</v>
      </c>
      <c r="C41209" s="8" t="s">
        <v>15758</v>
      </c>
      <c r="D41209" s="8">
        <v>5</v>
      </c>
      <c r="E41209" s="8">
        <v>0</v>
      </c>
      <c r="F41209" s="8">
        <v>5328</v>
      </c>
    </row>
    <row r="41210" spans="1:6" ht="12.75">
      <c r="A41210" s="8">
        <v>43885.943437499998</v>
      </c>
      <c r="B41210" s="8" t="str">
        <f>HYPERLINK("https://twitter.com/jktobservernews","@jktobservernews")</f>
        <v>@jktobservernews</v>
      </c>
      <c r="C41210" s="8" t="s">
        <v>15761</v>
      </c>
      <c r="D41210" s="8">
        <v>0</v>
      </c>
      <c r="E41210" s="8">
        <v>0</v>
      </c>
      <c r="F41210" s="8">
        <v>39</v>
      </c>
    </row>
    <row r="41211" spans="1:6" ht="12.75">
      <c r="A41211" s="8">
        <v>43885.943078703705</v>
      </c>
      <c r="B41211" s="8" t="str">
        <f>HYPERLINK("https://twitter.com/solio2011","@solio2011")</f>
        <v>@solio2011</v>
      </c>
      <c r="C41211" s="8" t="s">
        <v>8484</v>
      </c>
      <c r="D41211" s="8">
        <v>591</v>
      </c>
      <c r="E41211" s="8">
        <v>0</v>
      </c>
      <c r="F41211" s="8">
        <v>107</v>
      </c>
    </row>
    <row r="41212" spans="1:6" ht="12.75">
      <c r="A41212" s="8">
        <v>43885.943043981482</v>
      </c>
      <c r="B41212" s="8" t="str">
        <f>HYPERLINK("https://twitter.com/gitainta","@gitainta")</f>
        <v>@gitainta</v>
      </c>
      <c r="C41212" s="8" t="s">
        <v>15762</v>
      </c>
      <c r="D41212" s="8">
        <v>1</v>
      </c>
      <c r="E41212" s="8">
        <v>0</v>
      </c>
      <c r="F41212" s="8">
        <v>105</v>
      </c>
    </row>
    <row r="41213" spans="1:6" ht="12.75">
      <c r="A41213" s="8">
        <v>43885.942916666667</v>
      </c>
      <c r="B41213" s="8" t="str">
        <f>HYPERLINK("https://twitter.com/RudyHermanto123","@RudyHermanto123")</f>
        <v>@RudyHermanto123</v>
      </c>
      <c r="C41213" s="8" t="s">
        <v>12920</v>
      </c>
      <c r="D41213" s="8">
        <v>1466</v>
      </c>
      <c r="E41213" s="8">
        <v>0</v>
      </c>
      <c r="F41213" s="8">
        <v>7</v>
      </c>
    </row>
    <row r="41214" spans="1:6" ht="12.75">
      <c r="A41214" s="8">
        <v>43885.942766203705</v>
      </c>
      <c r="B41214" s="8" t="str">
        <f>HYPERLINK("https://twitter.com/wolftoko","@wolftoko")</f>
        <v>@wolftoko</v>
      </c>
      <c r="C41214" s="8" t="s">
        <v>2940</v>
      </c>
      <c r="D41214" s="8">
        <v>2194</v>
      </c>
      <c r="E41214" s="8">
        <v>0</v>
      </c>
      <c r="F41214" s="8">
        <v>81</v>
      </c>
    </row>
    <row r="41215" spans="1:6" ht="12.75">
      <c r="A41215" s="8">
        <v>43885.942719907413</v>
      </c>
      <c r="B41215" s="8" t="str">
        <f>HYPERLINK("https://twitter.com/dollarfree_01","@dollarfree_01")</f>
        <v>@dollarfree_01</v>
      </c>
      <c r="C41215" s="8" t="s">
        <v>15763</v>
      </c>
      <c r="D41215" s="8">
        <v>0</v>
      </c>
      <c r="E41215" s="8">
        <v>0</v>
      </c>
      <c r="F41215" s="8">
        <v>358</v>
      </c>
    </row>
    <row r="41216" spans="1:6" ht="12.75">
      <c r="A41216" s="8">
        <v>43885.942395833335</v>
      </c>
      <c r="B41216" s="8" t="str">
        <f>HYPERLINK("https://twitter.com/chelmisia","@chelmisia")</f>
        <v>@chelmisia</v>
      </c>
      <c r="C41216" s="8" t="s">
        <v>12920</v>
      </c>
      <c r="D41216" s="8">
        <v>1466</v>
      </c>
      <c r="E41216" s="8">
        <v>0</v>
      </c>
      <c r="F41216" s="8">
        <v>188</v>
      </c>
    </row>
    <row r="41217" spans="1:6" ht="12.75">
      <c r="A41217" s="8">
        <v>43885.942337962959</v>
      </c>
      <c r="B41217" s="8" t="str">
        <f>HYPERLINK("https://twitter.com/dollarfree_01","@dollarfree_01")</f>
        <v>@dollarfree_01</v>
      </c>
      <c r="C41217" s="8" t="s">
        <v>12920</v>
      </c>
      <c r="D41217" s="8">
        <v>1466</v>
      </c>
      <c r="E41217" s="8">
        <v>0</v>
      </c>
      <c r="F41217" s="8">
        <v>358</v>
      </c>
    </row>
    <row r="41218" spans="1:6" ht="12.75">
      <c r="A41218" s="8">
        <v>43885.942326388889</v>
      </c>
      <c r="B41218" s="8" t="str">
        <f>HYPERLINK("https://twitter.com/rukinoeve","@rukinoeve")</f>
        <v>@rukinoeve</v>
      </c>
      <c r="C41218" s="8" t="s">
        <v>2940</v>
      </c>
      <c r="D41218" s="8">
        <v>2194</v>
      </c>
      <c r="E41218" s="8">
        <v>0</v>
      </c>
      <c r="F41218" s="8">
        <v>375</v>
      </c>
    </row>
    <row r="41219" spans="1:6" ht="12.75">
      <c r="A41219" s="8">
        <v>43885.941990740743</v>
      </c>
      <c r="B41219" s="8" t="str">
        <f>HYPERLINK("https://twitter.com/KJRIShanghai","@KJRIShanghai")</f>
        <v>@KJRIShanghai</v>
      </c>
      <c r="C41219" s="8" t="s">
        <v>15764</v>
      </c>
      <c r="D41219" s="8">
        <v>60</v>
      </c>
      <c r="E41219" s="8">
        <v>0</v>
      </c>
      <c r="F41219" s="8">
        <v>638</v>
      </c>
    </row>
    <row r="41220" spans="1:6" ht="12.75">
      <c r="A41220" s="8">
        <v>43885.940127314811</v>
      </c>
      <c r="B41220" s="8" t="str">
        <f>HYPERLINK("https://twitter.com/MauCepetKaya","@MauCepetKaya")</f>
        <v>@MauCepetKaya</v>
      </c>
      <c r="C41220" s="8" t="s">
        <v>15765</v>
      </c>
      <c r="D41220" s="8">
        <v>0</v>
      </c>
      <c r="E41220" s="8">
        <v>0</v>
      </c>
      <c r="F41220" s="8">
        <v>500</v>
      </c>
    </row>
    <row r="41221" spans="1:6" ht="12.75">
      <c r="A41221" s="8">
        <v>43885.940092592587</v>
      </c>
      <c r="B41221" s="8" t="str">
        <f>HYPERLINK("https://twitter.com/CFAHIMSELF","@CFAHIMSELF")</f>
        <v>@CFAHIMSELF</v>
      </c>
      <c r="C41221" s="8" t="s">
        <v>15766</v>
      </c>
      <c r="D41221" s="8">
        <v>0</v>
      </c>
      <c r="E41221" s="8">
        <v>0</v>
      </c>
      <c r="F41221" s="8">
        <v>89</v>
      </c>
    </row>
    <row r="41222" spans="1:6" ht="12.75">
      <c r="A41222" s="8">
        <v>43885.939953703702</v>
      </c>
      <c r="B41222" s="8" t="str">
        <f>HYPERLINK("https://twitter.com/KompasTV","@KompasTV")</f>
        <v>@KompasTV</v>
      </c>
      <c r="C41222" s="8" t="s">
        <v>15767</v>
      </c>
      <c r="D41222" s="8">
        <v>0</v>
      </c>
      <c r="E41222" s="8">
        <v>3</v>
      </c>
      <c r="F41222" s="8">
        <v>2947798</v>
      </c>
    </row>
    <row r="41223" spans="1:6" ht="12.75">
      <c r="A41223" s="8">
        <v>43885.93913194444</v>
      </c>
      <c r="B41223" s="8" t="str">
        <f>HYPERLINK("https://twitter.com/DonziHermawan","@DonziHermawan")</f>
        <v>@DonziHermawan</v>
      </c>
      <c r="C41223" s="8" t="s">
        <v>15768</v>
      </c>
      <c r="D41223" s="8">
        <v>0</v>
      </c>
      <c r="E41223" s="8">
        <v>0</v>
      </c>
      <c r="F41223" s="8">
        <v>181</v>
      </c>
    </row>
    <row r="41224" spans="1:6" ht="12.75">
      <c r="A41224" s="8">
        <v>43885.938958333332</v>
      </c>
      <c r="B41224" s="8" t="str">
        <f>HYPERLINK("https://twitter.com/DeniSuryadani","@DeniSuryadani")</f>
        <v>@DeniSuryadani</v>
      </c>
      <c r="C41224" s="8" t="s">
        <v>15491</v>
      </c>
      <c r="D41224" s="8">
        <v>1</v>
      </c>
      <c r="E41224" s="8">
        <v>0</v>
      </c>
      <c r="F41224" s="8">
        <v>821</v>
      </c>
    </row>
    <row r="41225" spans="1:6" ht="12.75">
      <c r="A41225" s="8">
        <v>43885.938680555555</v>
      </c>
      <c r="B41225" s="8" t="str">
        <f>HYPERLINK("https://twitter.com/dumplingkisses","@dumplingkisses")</f>
        <v>@dumplingkisses</v>
      </c>
      <c r="C41225" s="8" t="s">
        <v>15769</v>
      </c>
      <c r="D41225" s="8">
        <v>4</v>
      </c>
      <c r="E41225" s="8">
        <v>0</v>
      </c>
      <c r="F41225" s="8">
        <v>149</v>
      </c>
    </row>
    <row r="41226" spans="1:6" ht="12.75">
      <c r="A41226" s="8">
        <v>43885.937905092593</v>
      </c>
      <c r="B41226" s="8" t="str">
        <f>HYPERLINK("https://twitter.com/Boemi_Pertiwi12","@Boemi_Pertiwi12")</f>
        <v>@Boemi_Pertiwi12</v>
      </c>
      <c r="C41226" s="8" t="s">
        <v>15770</v>
      </c>
      <c r="D41226" s="8">
        <v>1</v>
      </c>
      <c r="E41226" s="8">
        <v>4</v>
      </c>
      <c r="F41226" s="8">
        <v>18836</v>
      </c>
    </row>
    <row r="41227" spans="1:6" ht="12.75">
      <c r="A41227" s="8">
        <v>43885.937685185185</v>
      </c>
      <c r="B41227" s="8" t="str">
        <f>HYPERLINK("https://twitter.com/shafirajauza","@shafirajauza")</f>
        <v>@shafirajauza</v>
      </c>
      <c r="C41227" s="8" t="s">
        <v>15771</v>
      </c>
      <c r="D41227" s="8">
        <v>0</v>
      </c>
      <c r="E41227" s="8">
        <v>0</v>
      </c>
      <c r="F41227" s="8">
        <v>406</v>
      </c>
    </row>
    <row r="41228" spans="1:6" ht="12.75">
      <c r="A41228" s="8">
        <v>43885.923298611116</v>
      </c>
      <c r="B41228" s="8" t="str">
        <f>HYPERLINK("https://twitter.com/KH4P03R","@KH4P03R")</f>
        <v>@KH4P03R</v>
      </c>
      <c r="C41228" s="8" t="s">
        <v>15340</v>
      </c>
      <c r="D41228" s="8">
        <v>13</v>
      </c>
      <c r="E41228" s="8">
        <v>0</v>
      </c>
      <c r="F41228" s="8">
        <v>1376</v>
      </c>
    </row>
    <row r="41229" spans="1:6" ht="12.75">
      <c r="A41229" s="8">
        <v>43885.923043981486</v>
      </c>
      <c r="B41229" s="8" t="str">
        <f>HYPERLINK("https://twitter.com/chiqui_a","@chiqui_a")</f>
        <v>@chiqui_a</v>
      </c>
      <c r="C41229" s="8" t="s">
        <v>12920</v>
      </c>
      <c r="D41229" s="8">
        <v>1453</v>
      </c>
      <c r="E41229" s="8">
        <v>0</v>
      </c>
      <c r="F41229" s="8">
        <v>1108</v>
      </c>
    </row>
    <row r="41230" spans="1:6" ht="12.75">
      <c r="A41230" s="8">
        <v>43885.923032407409</v>
      </c>
      <c r="B41230" s="8" t="str">
        <f>HYPERLINK("https://twitter.com/zulhaaa","@zulhaaa")</f>
        <v>@zulhaaa</v>
      </c>
      <c r="C41230" s="8" t="s">
        <v>2940</v>
      </c>
      <c r="D41230" s="8">
        <v>2157</v>
      </c>
      <c r="E41230" s="8">
        <v>0</v>
      </c>
      <c r="F41230" s="8">
        <v>34</v>
      </c>
    </row>
    <row r="41231" spans="1:6" ht="12.75">
      <c r="A41231" s="8">
        <v>43885.922731481478</v>
      </c>
      <c r="B41231" s="8" t="str">
        <f>HYPERLINK("https://twitter.com/tsukiakari_stg","@tsukiakari_stg")</f>
        <v>@tsukiakari_stg</v>
      </c>
      <c r="C41231" s="8" t="s">
        <v>2940</v>
      </c>
      <c r="D41231" s="8">
        <v>2157</v>
      </c>
      <c r="E41231" s="8">
        <v>0</v>
      </c>
      <c r="F41231" s="8">
        <v>54</v>
      </c>
    </row>
    <row r="41232" spans="1:6" ht="12.75">
      <c r="A41232" s="8">
        <v>43885.92224537037</v>
      </c>
      <c r="B41232" s="8" t="str">
        <f>HYPERLINK("https://twitter.com/VIVAcoid","@VIVAcoid")</f>
        <v>@VIVAcoid</v>
      </c>
      <c r="C41232" s="8" t="s">
        <v>15772</v>
      </c>
      <c r="D41232" s="8">
        <v>1</v>
      </c>
      <c r="E41232" s="8">
        <v>0</v>
      </c>
      <c r="F41232" s="8">
        <v>4171940</v>
      </c>
    </row>
    <row r="41233" spans="1:6" ht="12.75">
      <c r="A41233" s="8">
        <v>43885.922071759254</v>
      </c>
      <c r="B41233" s="8" t="str">
        <f>HYPERLINK("https://twitter.com/Rezaraihann01","@Rezaraihann01")</f>
        <v>@Rezaraihann01</v>
      </c>
      <c r="C41233" s="8" t="s">
        <v>15773</v>
      </c>
      <c r="D41233" s="8">
        <v>0</v>
      </c>
      <c r="E41233" s="8">
        <v>2</v>
      </c>
      <c r="F41233" s="8">
        <v>491</v>
      </c>
    </row>
    <row r="41234" spans="1:6" ht="12.75">
      <c r="A41234" s="8">
        <v>43885.921909722223</v>
      </c>
      <c r="B41234" s="8" t="str">
        <f>HYPERLINK("https://twitter.com/Style_Nano2","@Style_Nano2")</f>
        <v>@Style_Nano2</v>
      </c>
      <c r="C41234" s="8" t="s">
        <v>2940</v>
      </c>
      <c r="D41234" s="8">
        <v>2157</v>
      </c>
      <c r="E41234" s="8">
        <v>0</v>
      </c>
      <c r="F41234" s="8">
        <v>339</v>
      </c>
    </row>
    <row r="41235" spans="1:6" ht="12.75">
      <c r="A41235" s="8">
        <v>43885.921898148154</v>
      </c>
      <c r="B41235" s="8" t="str">
        <f>HYPERLINK("https://twitter.com/vivanewscom","@vivanewscom")</f>
        <v>@vivanewscom</v>
      </c>
      <c r="C41235" s="8" t="s">
        <v>15774</v>
      </c>
      <c r="D41235" s="8">
        <v>1</v>
      </c>
      <c r="E41235" s="8">
        <v>0</v>
      </c>
      <c r="F41235" s="8">
        <v>4356</v>
      </c>
    </row>
    <row r="41236" spans="1:6" ht="12.75">
      <c r="A41236" s="8">
        <v>43885.921574074076</v>
      </c>
      <c r="B41236" s="8" t="str">
        <f>HYPERLINK("https://twitter.com/PutraErlangga_","@PutraErlangga_")</f>
        <v>@PutraErlangga_</v>
      </c>
      <c r="C41236" s="8" t="s">
        <v>15775</v>
      </c>
      <c r="D41236" s="8">
        <v>0</v>
      </c>
      <c r="E41236" s="8">
        <v>0</v>
      </c>
      <c r="F41236" s="8">
        <v>15815</v>
      </c>
    </row>
    <row r="41237" spans="1:6" ht="12.75">
      <c r="A41237" s="8">
        <v>43885.92114583333</v>
      </c>
      <c r="B41237" s="8" t="str">
        <f>HYPERLINK("https://twitter.com/koekoeh","@koekoeh")</f>
        <v>@koekoeh</v>
      </c>
      <c r="C41237" s="8" t="s">
        <v>15776</v>
      </c>
      <c r="D41237" s="8">
        <v>0</v>
      </c>
      <c r="E41237" s="8">
        <v>0</v>
      </c>
      <c r="F41237" s="8">
        <v>3226</v>
      </c>
    </row>
    <row r="41238" spans="1:6" ht="12.75">
      <c r="A41238" s="8">
        <v>43885.921122685184</v>
      </c>
      <c r="B41238" s="8" t="str">
        <f>HYPERLINK("https://twitter.com/masdanang","@masdanang")</f>
        <v>@masdanang</v>
      </c>
      <c r="C41238" s="8" t="s">
        <v>14100</v>
      </c>
      <c r="D41238" s="8">
        <v>2</v>
      </c>
      <c r="E41238" s="8">
        <v>0</v>
      </c>
      <c r="F41238" s="8">
        <v>423</v>
      </c>
    </row>
    <row r="41239" spans="1:6" ht="12.75">
      <c r="A41239" s="8">
        <v>43885.921018518522</v>
      </c>
      <c r="B41239" s="8" t="str">
        <f>HYPERLINK("https://twitter.com/Shridha15692038","@Shridha15692038")</f>
        <v>@Shridha15692038</v>
      </c>
      <c r="C41239" s="8" t="s">
        <v>15777</v>
      </c>
      <c r="D41239" s="8">
        <v>0</v>
      </c>
      <c r="E41239" s="8">
        <v>0</v>
      </c>
      <c r="F41239" s="8">
        <v>5</v>
      </c>
    </row>
    <row r="41240" spans="1:6" ht="12.75">
      <c r="A41240" s="8">
        <v>43885.920995370368</v>
      </c>
      <c r="B41240" s="8" t="str">
        <f>HYPERLINK("https://twitter.com/viskaya","@viskaya")</f>
        <v>@viskaya</v>
      </c>
      <c r="C41240" s="8" t="s">
        <v>15125</v>
      </c>
      <c r="D41240" s="8">
        <v>19</v>
      </c>
      <c r="E41240" s="8">
        <v>0</v>
      </c>
      <c r="F41240" s="8">
        <v>777</v>
      </c>
    </row>
    <row r="41241" spans="1:6" ht="12.75">
      <c r="A41241" s="8">
        <v>43885.920856481476</v>
      </c>
      <c r="B41241" s="8" t="str">
        <f>HYPERLINK("https://twitter.com/elyabara","@elyabara")</f>
        <v>@elyabara</v>
      </c>
      <c r="C41241" s="8" t="s">
        <v>15778</v>
      </c>
      <c r="D41241" s="8">
        <v>1</v>
      </c>
      <c r="E41241" s="8">
        <v>0</v>
      </c>
      <c r="F41241" s="8">
        <v>339</v>
      </c>
    </row>
    <row r="41242" spans="1:6" ht="12.75">
      <c r="A41242" s="8">
        <v>43885.920706018514</v>
      </c>
      <c r="B41242" s="8" t="str">
        <f>HYPERLINK("https://twitter.com/delaMayore","@delaMayore")</f>
        <v>@delaMayore</v>
      </c>
      <c r="C41242" s="8" t="s">
        <v>15779</v>
      </c>
      <c r="D41242" s="8">
        <v>0</v>
      </c>
      <c r="E41242" s="8">
        <v>0</v>
      </c>
      <c r="F41242" s="8">
        <v>184</v>
      </c>
    </row>
    <row r="41243" spans="1:6" ht="12.75">
      <c r="A41243" s="8">
        <v>43885.920590277776</v>
      </c>
      <c r="B41243" s="8" t="str">
        <f>HYPERLINK("https://twitter.com/sotokwalisolo","@sotokwalisolo")</f>
        <v>@sotokwalisolo</v>
      </c>
      <c r="C41243" s="8" t="s">
        <v>12920</v>
      </c>
      <c r="D41243" s="8">
        <v>1453</v>
      </c>
      <c r="E41243" s="8">
        <v>0</v>
      </c>
      <c r="F41243" s="8">
        <v>60</v>
      </c>
    </row>
    <row r="41244" spans="1:6" ht="12.75">
      <c r="A41244" s="8">
        <v>43885.920219907406</v>
      </c>
      <c r="B41244" s="8" t="str">
        <f>HYPERLINK("https://twitter.com/MuzlimIndonesia","@MuzlimIndonesia")</f>
        <v>@MuzlimIndonesia</v>
      </c>
      <c r="C41244" s="8" t="s">
        <v>15780</v>
      </c>
      <c r="D41244" s="8">
        <v>0</v>
      </c>
      <c r="E41244" s="8">
        <v>0</v>
      </c>
      <c r="F41244" s="8">
        <v>1870</v>
      </c>
    </row>
    <row r="41245" spans="1:6" ht="12.75">
      <c r="A41245" s="8">
        <v>43885.920092592598</v>
      </c>
      <c r="B41245" s="8" t="str">
        <f>HYPERLINK("https://twitter.com/agatha_lisa","@agatha_lisa")</f>
        <v>@agatha_lisa</v>
      </c>
      <c r="C41245" s="8" t="s">
        <v>15781</v>
      </c>
      <c r="D41245" s="8">
        <v>0</v>
      </c>
      <c r="E41245" s="8">
        <v>0</v>
      </c>
      <c r="F41245" s="8">
        <v>36</v>
      </c>
    </row>
    <row r="41246" spans="1:6" ht="12.75">
      <c r="A41246" s="8">
        <v>43885.920081018514</v>
      </c>
      <c r="B41246" s="8" t="str">
        <f>HYPERLINK("https://twitter.com/ekaayuLARASATI","@ekaayuLARASATI")</f>
        <v>@ekaayuLARASATI</v>
      </c>
      <c r="C41246" s="8" t="s">
        <v>12920</v>
      </c>
      <c r="D41246" s="8">
        <v>1453</v>
      </c>
      <c r="E41246" s="8">
        <v>0</v>
      </c>
      <c r="F41246" s="8">
        <v>584</v>
      </c>
    </row>
    <row r="41247" spans="1:6" ht="12.75">
      <c r="A41247" s="8">
        <v>43885.919432870374</v>
      </c>
      <c r="B41247" s="8" t="str">
        <f>HYPERLINK("https://twitter.com/Andikmurtoyo","@Andikmurtoyo")</f>
        <v>@Andikmurtoyo</v>
      </c>
      <c r="C41247" s="8" t="s">
        <v>2940</v>
      </c>
      <c r="D41247" s="8">
        <v>2157</v>
      </c>
      <c r="E41247" s="8">
        <v>0</v>
      </c>
      <c r="F41247" s="8">
        <v>68</v>
      </c>
    </row>
    <row r="41248" spans="1:6" ht="12.75">
      <c r="A41248" s="8">
        <v>43885.919293981482</v>
      </c>
      <c r="B41248" s="8" t="str">
        <f>HYPERLINK("https://twitter.com/3_devout","@3_devout")</f>
        <v>@3_devout</v>
      </c>
      <c r="C41248" s="8" t="s">
        <v>15340</v>
      </c>
      <c r="D41248" s="8">
        <v>13</v>
      </c>
      <c r="E41248" s="8">
        <v>0</v>
      </c>
      <c r="F41248" s="8">
        <v>1058</v>
      </c>
    </row>
    <row r="41249" spans="1:6" ht="12.75">
      <c r="A41249" s="8">
        <v>43885.919027777782</v>
      </c>
      <c r="B41249" s="8" t="str">
        <f>HYPERLINK("https://twitter.com/GarengHallu","@GarengHallu")</f>
        <v>@GarengHallu</v>
      </c>
      <c r="C41249" s="8" t="s">
        <v>2940</v>
      </c>
      <c r="D41249" s="8">
        <v>2157</v>
      </c>
      <c r="E41249" s="8">
        <v>0</v>
      </c>
      <c r="F41249" s="8">
        <v>2790</v>
      </c>
    </row>
    <row r="41250" spans="1:6" ht="12.75">
      <c r="A41250" s="8">
        <v>43885.918796296297</v>
      </c>
      <c r="B41250" s="8" t="str">
        <f>HYPERLINK("https://twitter.com/SultraKini_","@SultraKini_")</f>
        <v>@SultraKini_</v>
      </c>
      <c r="C41250" s="8" t="s">
        <v>15782</v>
      </c>
      <c r="D41250" s="8">
        <v>0</v>
      </c>
      <c r="E41250" s="8">
        <v>0</v>
      </c>
      <c r="F41250" s="8">
        <v>778</v>
      </c>
    </row>
    <row r="41251" spans="1:6" ht="12.75">
      <c r="A41251" s="8">
        <v>43885.918726851851</v>
      </c>
      <c r="B41251" s="8" t="str">
        <f t="shared" ref="B41251:B41252" si="619">HYPERLINK("https://twitter.com/SaputraBerman","@SaputraBerman")</f>
        <v>@SaputraBerman</v>
      </c>
      <c r="C41251" s="8" t="s">
        <v>15783</v>
      </c>
      <c r="D41251" s="8">
        <v>1</v>
      </c>
      <c r="E41251" s="8">
        <v>0</v>
      </c>
      <c r="F41251" s="8">
        <v>19</v>
      </c>
    </row>
    <row r="41252" spans="1:6" ht="12.75">
      <c r="A41252" s="8">
        <v>43885.918379629627</v>
      </c>
      <c r="B41252" s="8" t="str">
        <f t="shared" si="619"/>
        <v>@SaputraBerman</v>
      </c>
      <c r="C41252" s="8" t="s">
        <v>15784</v>
      </c>
      <c r="D41252" s="8">
        <v>0</v>
      </c>
      <c r="E41252" s="8">
        <v>0</v>
      </c>
      <c r="F41252" s="8">
        <v>19</v>
      </c>
    </row>
    <row r="41253" spans="1:6" ht="12.75">
      <c r="A41253" s="8">
        <v>43885.918217592596</v>
      </c>
      <c r="B41253" s="8" t="str">
        <f>HYPERLINK("https://twitter.com/lukmandlt_h","@lukmandlt_h")</f>
        <v>@lukmandlt_h</v>
      </c>
      <c r="C41253" s="8" t="s">
        <v>15785</v>
      </c>
      <c r="D41253" s="8">
        <v>2</v>
      </c>
      <c r="E41253" s="8">
        <v>0</v>
      </c>
      <c r="F41253" s="8">
        <v>18</v>
      </c>
    </row>
    <row r="41254" spans="1:6" ht="12.75">
      <c r="A41254" s="8">
        <v>43885.918171296296</v>
      </c>
      <c r="B41254" s="8" t="str">
        <f>HYPERLINK("https://twitter.com/cendananews","@cendananews")</f>
        <v>@cendananews</v>
      </c>
      <c r="C41254" s="8" t="s">
        <v>15786</v>
      </c>
      <c r="D41254" s="8">
        <v>0</v>
      </c>
      <c r="E41254" s="8">
        <v>1</v>
      </c>
      <c r="F41254" s="8">
        <v>4562</v>
      </c>
    </row>
    <row r="41255" spans="1:6" ht="12.75">
      <c r="A41255" s="8">
        <v>43885.917731481481</v>
      </c>
      <c r="B41255" s="8" t="str">
        <f>HYPERLINK("https://twitter.com/kompascom","@kompascom")</f>
        <v>@kompascom</v>
      </c>
      <c r="C41255" s="8" t="s">
        <v>15785</v>
      </c>
      <c r="D41255" s="8">
        <v>2</v>
      </c>
      <c r="E41255" s="8">
        <v>0</v>
      </c>
      <c r="F41255" s="8">
        <v>7510875</v>
      </c>
    </row>
    <row r="41256" spans="1:6" ht="12.75">
      <c r="A41256" s="8">
        <v>43885.917442129634</v>
      </c>
      <c r="B41256" s="8" t="str">
        <f>HYPERLINK("https://twitter.com/kompasiana","@kompasiana")</f>
        <v>@kompasiana</v>
      </c>
      <c r="C41256" s="8" t="s">
        <v>15787</v>
      </c>
      <c r="D41256" s="8">
        <v>2</v>
      </c>
      <c r="E41256" s="8">
        <v>1</v>
      </c>
      <c r="F41256" s="8">
        <v>930070</v>
      </c>
    </row>
    <row r="41257" spans="1:6" ht="12.75">
      <c r="A41257" s="8">
        <v>43885.916724537034</v>
      </c>
      <c r="B41257" s="8" t="str">
        <f>HYPERLINK("https://twitter.com/forddyce92","@forddyce92")</f>
        <v>@forddyce92</v>
      </c>
      <c r="C41257" s="8" t="s">
        <v>15788</v>
      </c>
      <c r="D41257" s="8">
        <v>0</v>
      </c>
      <c r="E41257" s="8">
        <v>0</v>
      </c>
      <c r="F41257" s="8">
        <v>26</v>
      </c>
    </row>
    <row r="41258" spans="1:6" ht="12.75">
      <c r="A41258" s="8">
        <v>43885.916655092587</v>
      </c>
      <c r="B41258" s="8" t="str">
        <f>HYPERLINK("https://twitter.com/adtaufiq","@adtaufiq")</f>
        <v>@adtaufiq</v>
      </c>
      <c r="C41258" s="8" t="s">
        <v>15340</v>
      </c>
      <c r="D41258" s="8">
        <v>13</v>
      </c>
      <c r="E41258" s="8">
        <v>0</v>
      </c>
      <c r="F41258" s="8">
        <v>8447</v>
      </c>
    </row>
    <row r="41259" spans="1:6" ht="12.75">
      <c r="A41259" s="8">
        <v>43885.916608796295</v>
      </c>
      <c r="B41259" s="8" t="str">
        <f>HYPERLINK("https://twitter.com/sakuradamotoko","@sakuradamotoko")</f>
        <v>@sakuradamotoko</v>
      </c>
      <c r="C41259" s="8" t="s">
        <v>2940</v>
      </c>
      <c r="D41259" s="8">
        <v>2157</v>
      </c>
      <c r="E41259" s="8">
        <v>0</v>
      </c>
      <c r="F41259" s="8">
        <v>576</v>
      </c>
    </row>
    <row r="41260" spans="1:6" ht="12.75">
      <c r="A41260" s="8">
        <v>43885.916504629626</v>
      </c>
      <c r="B41260" s="8" t="str">
        <f>HYPERLINK("https://twitter.com/kiyudgirl","@kiyudgirl")</f>
        <v>@kiyudgirl</v>
      </c>
      <c r="C41260" s="8" t="s">
        <v>15789</v>
      </c>
      <c r="D41260" s="8">
        <v>0</v>
      </c>
      <c r="E41260" s="8">
        <v>0</v>
      </c>
      <c r="F41260" s="8">
        <v>1936</v>
      </c>
    </row>
    <row r="41261" spans="1:6" ht="12.75">
      <c r="A41261" s="8">
        <v>43885.916481481487</v>
      </c>
      <c r="B41261" s="8" t="str">
        <f>HYPERLINK("https://twitter.com/nemosyus","@nemosyus")</f>
        <v>@nemosyus</v>
      </c>
      <c r="C41261" s="8" t="s">
        <v>15790</v>
      </c>
      <c r="D41261" s="8">
        <v>1</v>
      </c>
      <c r="E41261" s="8">
        <v>1</v>
      </c>
      <c r="F41261" s="8">
        <v>503</v>
      </c>
    </row>
    <row r="41262" spans="1:6" ht="12.75">
      <c r="A41262" s="8">
        <v>43885.916331018518</v>
      </c>
      <c r="B41262" s="8" t="str">
        <f>HYPERLINK("https://twitter.com/yohanswoo_9994","@yohanswoo_9994")</f>
        <v>@yohanswoo_9994</v>
      </c>
      <c r="C41262" s="8" t="s">
        <v>15791</v>
      </c>
      <c r="D41262" s="8">
        <v>0</v>
      </c>
      <c r="E41262" s="8">
        <v>0</v>
      </c>
      <c r="F41262" s="8">
        <v>331</v>
      </c>
    </row>
    <row r="41263" spans="1:6" ht="12.75">
      <c r="A41263" s="8">
        <v>43885.916284722218</v>
      </c>
      <c r="B41263" s="8" t="str">
        <f>HYPERLINK("https://twitter.com/marvell_16","@marvell_16")</f>
        <v>@marvell_16</v>
      </c>
      <c r="C41263" s="8" t="s">
        <v>8484</v>
      </c>
      <c r="D41263" s="8">
        <v>576</v>
      </c>
      <c r="E41263" s="8">
        <v>0</v>
      </c>
      <c r="F41263" s="8">
        <v>183</v>
      </c>
    </row>
    <row r="41264" spans="1:6" ht="12.75">
      <c r="A41264" s="8">
        <v>43885.916018518517</v>
      </c>
      <c r="B41264" s="8" t="str">
        <f>HYPERLINK("https://twitter.com/WargaJurnal","@WargaJurnal")</f>
        <v>@WargaJurnal</v>
      </c>
      <c r="C41264" s="8" t="s">
        <v>15792</v>
      </c>
      <c r="D41264" s="8">
        <v>0</v>
      </c>
      <c r="E41264" s="8">
        <v>0</v>
      </c>
      <c r="F41264" s="8">
        <v>254</v>
      </c>
    </row>
    <row r="41265" spans="1:6" ht="12.75">
      <c r="A41265" s="8">
        <v>43885.915902777779</v>
      </c>
      <c r="B41265" s="8" t="str">
        <f>HYPERLINK("https://twitter.com/AjaAluwan","@AjaAluwan")</f>
        <v>@AjaAluwan</v>
      </c>
      <c r="C41265" s="8" t="s">
        <v>12920</v>
      </c>
      <c r="D41265" s="8">
        <v>1453</v>
      </c>
      <c r="E41265" s="8">
        <v>0</v>
      </c>
      <c r="F41265" s="8">
        <v>231</v>
      </c>
    </row>
    <row r="41266" spans="1:6" ht="12.75">
      <c r="A41266" s="8">
        <v>43885.91574074074</v>
      </c>
      <c r="B41266" s="8" t="str">
        <f>HYPERLINK("https://twitter.com/minombrerany","@minombrerany")</f>
        <v>@minombrerany</v>
      </c>
      <c r="C41266" s="8" t="s">
        <v>15340</v>
      </c>
      <c r="D41266" s="8">
        <v>13</v>
      </c>
      <c r="E41266" s="8">
        <v>0</v>
      </c>
      <c r="F41266" s="8">
        <v>232</v>
      </c>
    </row>
    <row r="41267" spans="1:6" ht="12.75">
      <c r="A41267" s="8">
        <v>43885.915520833332</v>
      </c>
      <c r="B41267" s="8" t="str">
        <f>HYPERLINK("https://twitter.com/TrioMacari2000","@TrioMacari2000")</f>
        <v>@TrioMacari2000</v>
      </c>
      <c r="C41267" s="8" t="s">
        <v>15125</v>
      </c>
      <c r="D41267" s="8">
        <v>19</v>
      </c>
      <c r="E41267" s="8">
        <v>0</v>
      </c>
      <c r="F41267" s="8">
        <v>6520</v>
      </c>
    </row>
    <row r="41268" spans="1:6" ht="12.75">
      <c r="A41268" s="8">
        <v>43885.915289351848</v>
      </c>
      <c r="B41268" s="8" t="str">
        <f>HYPERLINK("https://twitter.com/The_Warman","@The_Warman")</f>
        <v>@The_Warman</v>
      </c>
      <c r="C41268" s="8" t="s">
        <v>145</v>
      </c>
      <c r="D41268" s="8">
        <v>11</v>
      </c>
      <c r="E41268" s="8">
        <v>0</v>
      </c>
      <c r="F41268" s="8">
        <v>1035</v>
      </c>
    </row>
    <row r="41269" spans="1:6" ht="12.75">
      <c r="A41269" s="8">
        <v>43885.91511574074</v>
      </c>
      <c r="B41269" s="8" t="str">
        <f>HYPERLINK("https://twitter.com/mukhrizhazim","@mukhrizhazim")</f>
        <v>@mukhrizhazim</v>
      </c>
      <c r="C41269" s="8" t="s">
        <v>15793</v>
      </c>
      <c r="D41269" s="8">
        <v>0</v>
      </c>
      <c r="E41269" s="8">
        <v>0</v>
      </c>
      <c r="F41269" s="8">
        <v>345</v>
      </c>
    </row>
    <row r="41270" spans="1:6" ht="12.75">
      <c r="A41270" s="8">
        <v>43885.914988425924</v>
      </c>
      <c r="B41270" s="8" t="str">
        <f>HYPERLINK("https://twitter.com/Junaedi63780360","@Junaedi63780360")</f>
        <v>@Junaedi63780360</v>
      </c>
      <c r="C41270" s="8" t="s">
        <v>15508</v>
      </c>
      <c r="D41270" s="8">
        <v>377</v>
      </c>
      <c r="E41270" s="8">
        <v>0</v>
      </c>
      <c r="F41270" s="8">
        <v>236</v>
      </c>
    </row>
    <row r="41271" spans="1:6" ht="12.75">
      <c r="A41271" s="8">
        <v>43885.914780092593</v>
      </c>
      <c r="B41271" s="8" t="str">
        <f>HYPERLINK("https://twitter.com/vera_a_puspita","@vera_a_puspita")</f>
        <v>@vera_a_puspita</v>
      </c>
      <c r="C41271" s="8" t="s">
        <v>15794</v>
      </c>
      <c r="D41271" s="8">
        <v>0</v>
      </c>
      <c r="E41271" s="8">
        <v>0</v>
      </c>
      <c r="F41271" s="8">
        <v>145</v>
      </c>
    </row>
    <row r="41272" spans="1:6" ht="12.75">
      <c r="A41272" s="8">
        <v>43885.9144212963</v>
      </c>
      <c r="B41272" s="8" t="str">
        <f>HYPERLINK("https://twitter.com/Sarah_Pndj","@Sarah_Pndj")</f>
        <v>@Sarah_Pndj</v>
      </c>
      <c r="C41272" s="8" t="s">
        <v>15340</v>
      </c>
      <c r="D41272" s="8">
        <v>13</v>
      </c>
      <c r="E41272" s="8">
        <v>0</v>
      </c>
      <c r="F41272" s="8">
        <v>26855</v>
      </c>
    </row>
    <row r="41273" spans="1:6" ht="12.75">
      <c r="A41273" s="8">
        <v>43885.913877314815</v>
      </c>
      <c r="B41273" s="8" t="str">
        <f>HYPERLINK("https://twitter.com/kusiro6","@kusiro6")</f>
        <v>@kusiro6</v>
      </c>
      <c r="C41273" s="8" t="s">
        <v>2940</v>
      </c>
      <c r="D41273" s="8">
        <v>2157</v>
      </c>
      <c r="E41273" s="8">
        <v>0</v>
      </c>
      <c r="F41273" s="8">
        <v>169</v>
      </c>
    </row>
    <row r="41274" spans="1:6" ht="12.75">
      <c r="A41274" s="8">
        <v>43885.913611111115</v>
      </c>
      <c r="B41274" s="8" t="str">
        <f>HYPERLINK("https://twitter.com/HardokoWisnu","@HardokoWisnu")</f>
        <v>@HardokoWisnu</v>
      </c>
      <c r="C41274" s="8" t="s">
        <v>15795</v>
      </c>
      <c r="D41274" s="8">
        <v>0</v>
      </c>
      <c r="E41274" s="8">
        <v>0</v>
      </c>
      <c r="F41274" s="8">
        <v>196</v>
      </c>
    </row>
    <row r="41275" spans="1:6" ht="12.75">
      <c r="A41275" s="8">
        <v>43885.913391203707</v>
      </c>
      <c r="B41275" s="8" t="str">
        <f>HYPERLINK("https://twitter.com/Watrasri","@Watrasri")</f>
        <v>@Watrasri</v>
      </c>
      <c r="C41275" s="8" t="s">
        <v>15496</v>
      </c>
      <c r="D41275" s="8">
        <v>89</v>
      </c>
      <c r="E41275" s="8">
        <v>0</v>
      </c>
      <c r="F41275" s="8">
        <v>2734</v>
      </c>
    </row>
    <row r="41276" spans="1:6" ht="12.75">
      <c r="A41276" s="8">
        <v>43885.913344907407</v>
      </c>
      <c r="B41276" s="8" t="str">
        <f>HYPERLINK("https://twitter.com/don_rahmad","@don_rahmad")</f>
        <v>@don_rahmad</v>
      </c>
      <c r="C41276" s="8" t="s">
        <v>2940</v>
      </c>
      <c r="D41276" s="8">
        <v>2157</v>
      </c>
      <c r="E41276" s="8">
        <v>0</v>
      </c>
      <c r="F41276" s="8">
        <v>495</v>
      </c>
    </row>
    <row r="41277" spans="1:6" ht="12.75">
      <c r="A41277" s="8">
        <v>43885.913310185184</v>
      </c>
      <c r="B41277" s="8" t="str">
        <f>HYPERLINK("https://twitter.com/lemak_sissy","@lemak_sissy")</f>
        <v>@lemak_sissy</v>
      </c>
      <c r="C41277" s="8" t="s">
        <v>15796</v>
      </c>
      <c r="D41277" s="8">
        <v>0</v>
      </c>
      <c r="E41277" s="8">
        <v>0</v>
      </c>
      <c r="F41277" s="8">
        <v>155</v>
      </c>
    </row>
    <row r="41278" spans="1:6" ht="12.75">
      <c r="A41278" s="8">
        <v>43885.913275462968</v>
      </c>
      <c r="B41278" s="8" t="str">
        <f>HYPERLINK("https://twitter.com/GATRA_News","@GATRA_News")</f>
        <v>@GATRA_News</v>
      </c>
      <c r="C41278" s="8" t="s">
        <v>15797</v>
      </c>
      <c r="D41278" s="8">
        <v>0</v>
      </c>
      <c r="E41278" s="8">
        <v>0</v>
      </c>
      <c r="F41278" s="8">
        <v>23139</v>
      </c>
    </row>
    <row r="41279" spans="1:6" ht="12.75">
      <c r="A41279" s="8">
        <v>43885.913252314815</v>
      </c>
      <c r="B41279" s="8" t="str">
        <f>HYPERLINK("https://twitter.com/forddyce92","@forddyce92")</f>
        <v>@forddyce92</v>
      </c>
      <c r="C41279" s="8" t="s">
        <v>15798</v>
      </c>
      <c r="D41279" s="8">
        <v>0</v>
      </c>
      <c r="E41279" s="8">
        <v>0</v>
      </c>
      <c r="F41279" s="8">
        <v>26</v>
      </c>
    </row>
    <row r="41280" spans="1:6" ht="12.75">
      <c r="A41280" s="8">
        <v>43885.91305555556</v>
      </c>
      <c r="B41280" s="8" t="str">
        <f>HYPERLINK("https://twitter.com/Semangkawortel","@Semangkawortel")</f>
        <v>@Semangkawortel</v>
      </c>
      <c r="C41280" s="8" t="s">
        <v>15598</v>
      </c>
      <c r="D41280" s="8">
        <v>21</v>
      </c>
      <c r="E41280" s="8">
        <v>0</v>
      </c>
      <c r="F41280" s="8">
        <v>166</v>
      </c>
    </row>
    <row r="41281" spans="1:6" ht="12.75">
      <c r="A41281" s="8">
        <v>43885.912789351853</v>
      </c>
      <c r="B41281" s="8" t="str">
        <f>HYPERLINK("https://twitter.com/0duehtzdfYnKCBh","@0duehtzdfYnKCBh")</f>
        <v>@0duehtzdfYnKCBh</v>
      </c>
      <c r="C41281" s="8" t="s">
        <v>2940</v>
      </c>
      <c r="D41281" s="8">
        <v>2157</v>
      </c>
      <c r="E41281" s="8">
        <v>0</v>
      </c>
      <c r="F41281" s="8">
        <v>254</v>
      </c>
    </row>
    <row r="41282" spans="1:6" ht="12.75">
      <c r="A41282" s="8">
        <v>43885.912650462968</v>
      </c>
      <c r="B41282" s="8" t="str">
        <f>HYPERLINK("https://twitter.com/Keuangannews","@Keuangannews")</f>
        <v>@Keuangannews</v>
      </c>
      <c r="C41282" s="8" t="s">
        <v>15799</v>
      </c>
      <c r="D41282" s="8">
        <v>1</v>
      </c>
      <c r="E41282" s="8">
        <v>0</v>
      </c>
      <c r="F41282" s="8">
        <v>657</v>
      </c>
    </row>
    <row r="41283" spans="1:6" ht="12.75">
      <c r="A41283" s="8">
        <v>43885.911759259259</v>
      </c>
      <c r="B41283" s="8" t="str">
        <f>HYPERLINK("https://twitter.com/jose_medel1945","@jose_medel1945")</f>
        <v>@jose_medel1945</v>
      </c>
      <c r="C41283" s="8" t="s">
        <v>2940</v>
      </c>
      <c r="D41283" s="8">
        <v>2157</v>
      </c>
      <c r="E41283" s="8">
        <v>0</v>
      </c>
      <c r="F41283" s="8">
        <v>1203</v>
      </c>
    </row>
    <row r="41284" spans="1:6" ht="12.75">
      <c r="A41284" s="8">
        <v>43885.911689814813</v>
      </c>
      <c r="B41284" s="8" t="str">
        <f t="shared" ref="B41284:B41285" si="620">HYPERLINK("https://twitter.com/brbkdw","@brbkdw")</f>
        <v>@brbkdw</v>
      </c>
      <c r="C41284" s="8" t="s">
        <v>15800</v>
      </c>
      <c r="D41284" s="8">
        <v>336</v>
      </c>
      <c r="E41284" s="8">
        <v>0</v>
      </c>
      <c r="F41284" s="8">
        <v>30</v>
      </c>
    </row>
    <row r="41285" spans="1:6" ht="12.75">
      <c r="A41285" s="8">
        <v>43885.911620370374</v>
      </c>
      <c r="B41285" s="8" t="str">
        <f t="shared" si="620"/>
        <v>@brbkdw</v>
      </c>
      <c r="C41285" s="8" t="s">
        <v>13854</v>
      </c>
      <c r="D41285" s="8">
        <v>9750</v>
      </c>
      <c r="E41285" s="8">
        <v>0</v>
      </c>
      <c r="F41285" s="8">
        <v>30</v>
      </c>
    </row>
    <row r="41286" spans="1:6" ht="12.75">
      <c r="A41286" s="8">
        <v>43885.911122685182</v>
      </c>
      <c r="B41286" s="8" t="str">
        <f>HYPERLINK("https://twitter.com/kemohure","@kemohure")</f>
        <v>@kemohure</v>
      </c>
      <c r="C41286" s="8" t="s">
        <v>8484</v>
      </c>
      <c r="D41286" s="8">
        <v>576</v>
      </c>
      <c r="E41286" s="8">
        <v>0</v>
      </c>
      <c r="F41286" s="8">
        <v>1756</v>
      </c>
    </row>
    <row r="41287" spans="1:6" ht="12.75">
      <c r="A41287" s="8">
        <v>43885.910949074074</v>
      </c>
      <c r="B41287" s="8" t="str">
        <f>HYPERLINK("https://twitter.com/niningasih","@niningasih")</f>
        <v>@niningasih</v>
      </c>
      <c r="C41287" s="8" t="s">
        <v>15801</v>
      </c>
      <c r="D41287" s="8">
        <v>0</v>
      </c>
      <c r="E41287" s="8">
        <v>0</v>
      </c>
      <c r="F41287" s="8">
        <v>1163</v>
      </c>
    </row>
    <row r="41288" spans="1:6" ht="12.75">
      <c r="A41288" s="8">
        <v>43885.91070601852</v>
      </c>
      <c r="B41288" s="8" t="str">
        <f>HYPERLINK("https://twitter.com/kemohure","@kemohure")</f>
        <v>@kemohure</v>
      </c>
      <c r="C41288" s="8" t="s">
        <v>2940</v>
      </c>
      <c r="D41288" s="8">
        <v>2157</v>
      </c>
      <c r="E41288" s="8">
        <v>0</v>
      </c>
      <c r="F41288" s="8">
        <v>1756</v>
      </c>
    </row>
    <row r="41289" spans="1:6" ht="12.75">
      <c r="A41289" s="8">
        <v>43885.910659722227</v>
      </c>
      <c r="B41289" s="8" t="str">
        <f>HYPERLINK("https://twitter.com/candychloe8","@candychloe8")</f>
        <v>@candychloe8</v>
      </c>
      <c r="C41289" s="8" t="s">
        <v>15802</v>
      </c>
      <c r="D41289" s="8">
        <v>0</v>
      </c>
      <c r="E41289" s="8">
        <v>0</v>
      </c>
      <c r="F41289" s="8">
        <v>3</v>
      </c>
    </row>
    <row r="41290" spans="1:6" ht="12.75">
      <c r="A41290" s="8">
        <v>43885.910648148143</v>
      </c>
      <c r="B41290" s="8" t="str">
        <f t="shared" ref="B41290:B41291" si="621">HYPERLINK("https://twitter.com/Camenoko_kogame","@Camenoko_kogame")</f>
        <v>@Camenoko_kogame</v>
      </c>
      <c r="C41290" s="8" t="s">
        <v>8484</v>
      </c>
      <c r="D41290" s="8">
        <v>576</v>
      </c>
      <c r="E41290" s="8">
        <v>0</v>
      </c>
      <c r="F41290" s="8">
        <v>533</v>
      </c>
    </row>
    <row r="41291" spans="1:6" ht="12.75">
      <c r="A41291" s="8">
        <v>43885.910555555558</v>
      </c>
      <c r="B41291" s="8" t="str">
        <f t="shared" si="621"/>
        <v>@Camenoko_kogame</v>
      </c>
      <c r="C41291" s="8" t="s">
        <v>2940</v>
      </c>
      <c r="D41291" s="8">
        <v>2157</v>
      </c>
      <c r="E41291" s="8">
        <v>0</v>
      </c>
      <c r="F41291" s="8">
        <v>533</v>
      </c>
    </row>
    <row r="41292" spans="1:6" ht="12.75">
      <c r="A41292" s="8">
        <v>43885.910416666666</v>
      </c>
      <c r="B41292" s="8" t="str">
        <f>HYPERLINK("https://twitter.com/niningasih","@niningasih")</f>
        <v>@niningasih</v>
      </c>
      <c r="C41292" s="8" t="s">
        <v>15803</v>
      </c>
      <c r="D41292" s="8">
        <v>0</v>
      </c>
      <c r="E41292" s="8">
        <v>0</v>
      </c>
      <c r="F41292" s="8">
        <v>1163</v>
      </c>
    </row>
    <row r="41293" spans="1:6" ht="12.75">
      <c r="A41293" s="8">
        <v>43885.910266203704</v>
      </c>
      <c r="B41293" s="8" t="str">
        <f>HYPERLINK("https://twitter.com/rudymulyadi","@rudymulyadi")</f>
        <v>@rudymulyadi</v>
      </c>
      <c r="C41293" s="8" t="s">
        <v>15804</v>
      </c>
      <c r="D41293" s="8">
        <v>0</v>
      </c>
      <c r="E41293" s="8">
        <v>0</v>
      </c>
      <c r="F41293" s="8">
        <v>39</v>
      </c>
    </row>
    <row r="41294" spans="1:6" ht="12.75">
      <c r="A41294" s="8">
        <v>43885.910173611112</v>
      </c>
      <c r="B41294" s="8" t="str">
        <f>HYPERLINK("https://twitter.com/salutonelefanto","@salutonelefanto")</f>
        <v>@salutonelefanto</v>
      </c>
      <c r="C41294" s="8" t="s">
        <v>2940</v>
      </c>
      <c r="D41294" s="8">
        <v>2157</v>
      </c>
      <c r="E41294" s="8">
        <v>0</v>
      </c>
      <c r="F41294" s="8">
        <v>99</v>
      </c>
    </row>
    <row r="41295" spans="1:6" ht="12.75">
      <c r="A41295" s="8">
        <v>43885.910127314812</v>
      </c>
      <c r="B41295" s="8" t="str">
        <f>HYPERLINK("https://twitter.com/metro24_co","@metro24_co")</f>
        <v>@metro24_co</v>
      </c>
      <c r="C41295" s="8" t="s">
        <v>15805</v>
      </c>
      <c r="D41295" s="8">
        <v>0</v>
      </c>
      <c r="E41295" s="8">
        <v>0</v>
      </c>
      <c r="F41295" s="8">
        <v>378</v>
      </c>
    </row>
    <row r="41296" spans="1:6" ht="12.75">
      <c r="A41296" s="8">
        <v>43885.910115740742</v>
      </c>
      <c r="B41296" s="8" t="str">
        <f>HYPERLINK("https://twitter.com/harutall","@harutall")</f>
        <v>@harutall</v>
      </c>
      <c r="C41296" s="8" t="s">
        <v>12882</v>
      </c>
      <c r="D41296" s="8">
        <v>51</v>
      </c>
      <c r="E41296" s="8">
        <v>0</v>
      </c>
      <c r="F41296" s="8">
        <v>118</v>
      </c>
    </row>
    <row r="41297" spans="1:6" ht="12.75">
      <c r="A41297" s="8">
        <v>43885.910046296296</v>
      </c>
      <c r="B41297" s="8" t="str">
        <f>HYPERLINK("https://twitter.com/Miho_san_913","@Miho_san_913")</f>
        <v>@Miho_san_913</v>
      </c>
      <c r="C41297" s="8" t="s">
        <v>2940</v>
      </c>
      <c r="D41297" s="8">
        <v>2157</v>
      </c>
      <c r="E41297" s="8">
        <v>0</v>
      </c>
      <c r="F41297" s="8">
        <v>123</v>
      </c>
    </row>
    <row r="41298" spans="1:6" ht="12.75">
      <c r="A41298" s="8">
        <v>43885.909895833334</v>
      </c>
      <c r="B41298" s="8" t="str">
        <f>HYPERLINK("https://twitter.com/niningasih","@niningasih")</f>
        <v>@niningasih</v>
      </c>
      <c r="C41298" s="8" t="s">
        <v>15806</v>
      </c>
      <c r="D41298" s="8">
        <v>0</v>
      </c>
      <c r="E41298" s="8">
        <v>0</v>
      </c>
      <c r="F41298" s="8">
        <v>1163</v>
      </c>
    </row>
    <row r="41299" spans="1:6" ht="12.75">
      <c r="A41299" s="8">
        <v>43885.909305555557</v>
      </c>
      <c r="B41299" s="8" t="str">
        <f>HYPERLINK("https://twitter.com/AadityaLah","@AadityaLah")</f>
        <v>@AadityaLah</v>
      </c>
      <c r="C41299" s="8" t="s">
        <v>12920</v>
      </c>
      <c r="D41299" s="8">
        <v>1453</v>
      </c>
      <c r="E41299" s="8">
        <v>0</v>
      </c>
      <c r="F41299" s="8">
        <v>437</v>
      </c>
    </row>
    <row r="41300" spans="1:6" ht="12.75">
      <c r="A41300" s="8">
        <v>43885.909270833334</v>
      </c>
      <c r="B41300" s="8" t="str">
        <f>HYPERLINK("https://twitter.com/niningasih","@niningasih")</f>
        <v>@niningasih</v>
      </c>
      <c r="C41300" s="8" t="s">
        <v>15807</v>
      </c>
      <c r="D41300" s="8">
        <v>0</v>
      </c>
      <c r="E41300" s="8">
        <v>0</v>
      </c>
      <c r="F41300" s="8">
        <v>1163</v>
      </c>
    </row>
    <row r="41301" spans="1:6" ht="12.75">
      <c r="A41301" s="8">
        <v>43885.909004629633</v>
      </c>
      <c r="B41301" s="8" t="str">
        <f>HYPERLINK("https://twitter.com/KesuikeNakamura","@KesuikeNakamura")</f>
        <v>@KesuikeNakamura</v>
      </c>
      <c r="C41301" s="8" t="s">
        <v>2940</v>
      </c>
      <c r="D41301" s="8">
        <v>2157</v>
      </c>
      <c r="E41301" s="8">
        <v>0</v>
      </c>
      <c r="F41301" s="8">
        <v>262</v>
      </c>
    </row>
    <row r="41302" spans="1:6" ht="12.75">
      <c r="A41302" s="8">
        <v>43885.908773148149</v>
      </c>
      <c r="B41302" s="8" t="str">
        <f>HYPERLINK("https://twitter.com/abdurakhmanw","@abdurakhmanw")</f>
        <v>@abdurakhmanw</v>
      </c>
      <c r="C41302" s="8" t="s">
        <v>12920</v>
      </c>
      <c r="D41302" s="8">
        <v>1453</v>
      </c>
      <c r="E41302" s="8">
        <v>0</v>
      </c>
      <c r="F41302" s="8">
        <v>155</v>
      </c>
    </row>
    <row r="41303" spans="1:6" ht="12.75">
      <c r="A41303" s="8">
        <v>43885.908738425926</v>
      </c>
      <c r="B41303" s="8" t="str">
        <f>HYPERLINK("https://twitter.com/jondivar","@jondivar")</f>
        <v>@jondivar</v>
      </c>
      <c r="C41303" s="8" t="s">
        <v>15808</v>
      </c>
      <c r="D41303" s="8">
        <v>0</v>
      </c>
      <c r="E41303" s="8">
        <v>0</v>
      </c>
      <c r="F41303" s="8">
        <v>165</v>
      </c>
    </row>
    <row r="41304" spans="1:6" ht="12.75">
      <c r="A41304" s="8">
        <v>43885.908726851849</v>
      </c>
      <c r="B41304" s="8" t="str">
        <f>HYPERLINK("https://twitter.com/niningasih","@niningasih")</f>
        <v>@niningasih</v>
      </c>
      <c r="C41304" s="8" t="s">
        <v>15809</v>
      </c>
      <c r="D41304" s="8">
        <v>0</v>
      </c>
      <c r="E41304" s="8">
        <v>0</v>
      </c>
      <c r="F41304" s="8">
        <v>1163</v>
      </c>
    </row>
    <row r="41305" spans="1:6" ht="12.75">
      <c r="A41305" s="8">
        <v>43885.908715277779</v>
      </c>
      <c r="B41305" s="8" t="str">
        <f>HYPERLINK("https://twitter.com/rasrheza","@rasrheza")</f>
        <v>@rasrheza</v>
      </c>
      <c r="C41305" s="8" t="s">
        <v>2940</v>
      </c>
      <c r="D41305" s="8">
        <v>2157</v>
      </c>
      <c r="E41305" s="8">
        <v>0</v>
      </c>
      <c r="F41305" s="8">
        <v>2238</v>
      </c>
    </row>
    <row r="41306" spans="1:6" ht="12.75">
      <c r="A41306" s="8">
        <v>43885.908530092594</v>
      </c>
      <c r="B41306" s="8" t="str">
        <f>HYPERLINK("https://twitter.com/adityadwip","@adityadwip")</f>
        <v>@adityadwip</v>
      </c>
      <c r="C41306" s="8" t="s">
        <v>15810</v>
      </c>
      <c r="D41306" s="8">
        <v>0</v>
      </c>
      <c r="E41306" s="8">
        <v>0</v>
      </c>
      <c r="F41306" s="8">
        <v>314</v>
      </c>
    </row>
    <row r="41307" spans="1:6" ht="12.75">
      <c r="A41307" s="8">
        <v>43885.908506944441</v>
      </c>
      <c r="B41307" s="8" t="str">
        <f>HYPERLINK("https://twitter.com/iNewsID","@iNewsID")</f>
        <v>@iNewsID</v>
      </c>
      <c r="C41307" s="8" t="s">
        <v>15811</v>
      </c>
      <c r="D41307" s="8">
        <v>0</v>
      </c>
      <c r="E41307" s="8">
        <v>0</v>
      </c>
      <c r="F41307" s="8">
        <v>1327</v>
      </c>
    </row>
    <row r="41308" spans="1:6" ht="12.75">
      <c r="A41308" s="8">
        <v>43885.90825231481</v>
      </c>
      <c r="B41308" s="8" t="str">
        <f>HYPERLINK("https://twitter.com/niningasih","@niningasih")</f>
        <v>@niningasih</v>
      </c>
      <c r="C41308" s="8" t="s">
        <v>15812</v>
      </c>
      <c r="D41308" s="8">
        <v>0</v>
      </c>
      <c r="E41308" s="8">
        <v>0</v>
      </c>
      <c r="F41308" s="8">
        <v>1163</v>
      </c>
    </row>
    <row r="41309" spans="1:6" ht="12.75">
      <c r="A41309" s="8">
        <v>43885.908055555556</v>
      </c>
      <c r="B41309" s="8" t="str">
        <f>HYPERLINK("https://twitter.com/zkyhna_","@zkyhna_")</f>
        <v>@zkyhna_</v>
      </c>
      <c r="C41309" s="8" t="s">
        <v>14430</v>
      </c>
      <c r="D41309" s="8">
        <v>2</v>
      </c>
      <c r="E41309" s="8">
        <v>0</v>
      </c>
      <c r="F41309" s="8">
        <v>120</v>
      </c>
    </row>
    <row r="41310" spans="1:6" ht="12.75">
      <c r="A41310" s="8">
        <v>43885.907673611116</v>
      </c>
      <c r="B41310" s="8" t="str">
        <f>HYPERLINK("https://twitter.com/fckndone","@fckndone")</f>
        <v>@fckndone</v>
      </c>
      <c r="C41310" s="8" t="s">
        <v>2940</v>
      </c>
      <c r="D41310" s="8">
        <v>2157</v>
      </c>
      <c r="E41310" s="8">
        <v>0</v>
      </c>
      <c r="F41310" s="8">
        <v>223</v>
      </c>
    </row>
    <row r="41311" spans="1:6" ht="12.75">
      <c r="A41311" s="8">
        <v>43885.907662037032</v>
      </c>
      <c r="B41311" s="8" t="str">
        <f>HYPERLINK("https://twitter.com/whdasw","@whdasw")</f>
        <v>@whdasw</v>
      </c>
      <c r="C41311" s="8" t="s">
        <v>12882</v>
      </c>
      <c r="D41311" s="8">
        <v>51</v>
      </c>
      <c r="E41311" s="8">
        <v>0</v>
      </c>
      <c r="F41311" s="8">
        <v>22</v>
      </c>
    </row>
    <row r="41312" spans="1:6" ht="12.75">
      <c r="A41312" s="8">
        <v>43885.907407407409</v>
      </c>
      <c r="B41312" s="8" t="str">
        <f>HYPERLINK("https://twitter.com/niningasih","@niningasih")</f>
        <v>@niningasih</v>
      </c>
      <c r="C41312" s="8" t="s">
        <v>15813</v>
      </c>
      <c r="D41312" s="8">
        <v>0</v>
      </c>
      <c r="E41312" s="8">
        <v>0</v>
      </c>
      <c r="F41312" s="8">
        <v>1163</v>
      </c>
    </row>
    <row r="41313" spans="1:6" ht="12.75">
      <c r="A41313" s="8">
        <v>43885.907291666663</v>
      </c>
      <c r="B41313" s="8" t="str">
        <f>HYPERLINK("https://twitter.com/AriAs16981055","@AriAs16981055")</f>
        <v>@AriAs16981055</v>
      </c>
      <c r="C41313" s="8" t="s">
        <v>2940</v>
      </c>
      <c r="D41313" s="8">
        <v>2157</v>
      </c>
      <c r="E41313" s="8">
        <v>0</v>
      </c>
      <c r="F41313" s="8">
        <v>278</v>
      </c>
    </row>
    <row r="41314" spans="1:6" ht="12.75">
      <c r="A41314" s="8">
        <v>43885.90725694444</v>
      </c>
      <c r="B41314" s="8" t="str">
        <f>HYPERLINK("https://twitter.com/rifqi32bgr","@rifqi32bgr")</f>
        <v>@rifqi32bgr</v>
      </c>
      <c r="C41314" s="8" t="s">
        <v>15405</v>
      </c>
      <c r="D41314" s="8">
        <v>20</v>
      </c>
      <c r="E41314" s="8">
        <v>0</v>
      </c>
      <c r="F41314" s="8">
        <v>1328</v>
      </c>
    </row>
    <row r="41315" spans="1:6" ht="12.75">
      <c r="A41315" s="8">
        <v>43885.906759259262</v>
      </c>
      <c r="B41315" s="8" t="str">
        <f>HYPERLINK("https://twitter.com/yunusMakNyos","@yunusMakNyos")</f>
        <v>@yunusMakNyos</v>
      </c>
      <c r="C41315" s="8" t="s">
        <v>2940</v>
      </c>
      <c r="D41315" s="8">
        <v>2157</v>
      </c>
      <c r="E41315" s="8">
        <v>0</v>
      </c>
      <c r="F41315" s="8">
        <v>931</v>
      </c>
    </row>
    <row r="41316" spans="1:6" ht="12.75">
      <c r="A41316" s="8">
        <v>43885.906712962962</v>
      </c>
      <c r="B41316" s="8" t="str">
        <f>HYPERLINK("https://twitter.com/niningasih","@niningasih")</f>
        <v>@niningasih</v>
      </c>
      <c r="C41316" s="8" t="s">
        <v>15814</v>
      </c>
      <c r="D41316" s="8">
        <v>0</v>
      </c>
      <c r="E41316" s="8">
        <v>0</v>
      </c>
      <c r="F41316" s="8">
        <v>1163</v>
      </c>
    </row>
    <row r="41317" spans="1:6" ht="12.75">
      <c r="A41317" s="8">
        <v>43885.906585648147</v>
      </c>
      <c r="B41317" s="8" t="str">
        <f>HYPERLINK("https://twitter.com/AKU26306881","@AKU26306881")</f>
        <v>@AKU26306881</v>
      </c>
      <c r="C41317" s="8" t="s">
        <v>15815</v>
      </c>
      <c r="D41317" s="8">
        <v>2</v>
      </c>
      <c r="E41317" s="8">
        <v>0</v>
      </c>
      <c r="F41317" s="8">
        <v>0</v>
      </c>
    </row>
    <row r="41318" spans="1:6" ht="12.75">
      <c r="A41318" s="8">
        <v>43885.9065625</v>
      </c>
      <c r="B41318" s="8" t="str">
        <f>HYPERLINK("https://twitter.com/thesdony","@thesdony")</f>
        <v>@thesdony</v>
      </c>
      <c r="C41318" s="8" t="s">
        <v>12920</v>
      </c>
      <c r="D41318" s="8">
        <v>1453</v>
      </c>
      <c r="E41318" s="8">
        <v>0</v>
      </c>
      <c r="F41318" s="8">
        <v>149</v>
      </c>
    </row>
    <row r="41319" spans="1:6" ht="12.75">
      <c r="A41319" s="8">
        <v>43885.906388888892</v>
      </c>
      <c r="B41319" s="8" t="str">
        <f>HYPERLINK("https://twitter.com/visitortwt1","@visitortwt1")</f>
        <v>@visitortwt1</v>
      </c>
      <c r="C41319" s="8" t="s">
        <v>15735</v>
      </c>
      <c r="D41319" s="8">
        <v>4</v>
      </c>
      <c r="E41319" s="8">
        <v>0</v>
      </c>
      <c r="F41319" s="8">
        <v>367</v>
      </c>
    </row>
    <row r="41320" spans="1:6" ht="12.75">
      <c r="A41320" s="8">
        <v>43885.906342592592</v>
      </c>
      <c r="B41320" s="8" t="str">
        <f>HYPERLINK("https://twitter.com/RenoTitin","@RenoTitin")</f>
        <v>@RenoTitin</v>
      </c>
      <c r="C41320" s="8" t="s">
        <v>15405</v>
      </c>
      <c r="D41320" s="8">
        <v>20</v>
      </c>
      <c r="E41320" s="8">
        <v>0</v>
      </c>
      <c r="F41320" s="8">
        <v>507</v>
      </c>
    </row>
    <row r="41321" spans="1:6" ht="12.75">
      <c r="A41321" s="8">
        <v>43885.906215277777</v>
      </c>
      <c r="B41321" s="8" t="str">
        <f>HYPERLINK("https://twitter.com/oso_id","@oso_id")</f>
        <v>@oso_id</v>
      </c>
      <c r="C41321" s="8" t="s">
        <v>15816</v>
      </c>
      <c r="D41321" s="8">
        <v>0</v>
      </c>
      <c r="E41321" s="8">
        <v>0</v>
      </c>
      <c r="F41321" s="8">
        <v>522</v>
      </c>
    </row>
    <row r="41322" spans="1:6" ht="12.75">
      <c r="A41322" s="8">
        <v>43885.905763888892</v>
      </c>
      <c r="B41322" s="8" t="str">
        <f>HYPERLINK("https://twitter.com/Metro_TV","@Metro_TV")</f>
        <v>@Metro_TV</v>
      </c>
      <c r="C41322" s="8" t="s">
        <v>15817</v>
      </c>
      <c r="D41322" s="8">
        <v>0</v>
      </c>
      <c r="E41322" s="8">
        <v>3</v>
      </c>
      <c r="F41322" s="8">
        <v>10512631</v>
      </c>
    </row>
    <row r="41323" spans="1:6" ht="12.75">
      <c r="A41323" s="8">
        <v>43885.905752314815</v>
      </c>
      <c r="B41323" s="8" t="str">
        <f t="shared" ref="B41323:B41324" si="622">HYPERLINK("https://twitter.com/Rimba_Kelana7","@Rimba_Kelana7")</f>
        <v>@Rimba_Kelana7</v>
      </c>
      <c r="C41323" s="8" t="s">
        <v>15818</v>
      </c>
      <c r="D41323" s="8">
        <v>0</v>
      </c>
      <c r="E41323" s="8">
        <v>0</v>
      </c>
      <c r="F41323" s="8">
        <v>174</v>
      </c>
    </row>
    <row r="41324" spans="1:6" ht="12.75">
      <c r="A41324" s="8">
        <v>43885.905324074076</v>
      </c>
      <c r="B41324" s="8" t="str">
        <f t="shared" si="622"/>
        <v>@Rimba_Kelana7</v>
      </c>
      <c r="C41324" s="8" t="s">
        <v>15819</v>
      </c>
      <c r="D41324" s="8">
        <v>0</v>
      </c>
      <c r="E41324" s="8">
        <v>0</v>
      </c>
      <c r="F41324" s="8">
        <v>174</v>
      </c>
    </row>
    <row r="41325" spans="1:6" ht="12.75">
      <c r="A41325" s="8">
        <v>43885.905266203699</v>
      </c>
      <c r="B41325" s="8" t="str">
        <f>HYPERLINK("https://twitter.com/moeliati_S","@moeliati_S")</f>
        <v>@moeliati_S</v>
      </c>
      <c r="C41325" s="8" t="s">
        <v>13308</v>
      </c>
      <c r="D41325" s="8">
        <v>20</v>
      </c>
      <c r="E41325" s="8">
        <v>0</v>
      </c>
      <c r="F41325" s="8">
        <v>862</v>
      </c>
    </row>
    <row r="41326" spans="1:6" ht="12.75">
      <c r="A41326" s="8">
        <v>43885.905162037037</v>
      </c>
      <c r="B41326" s="8" t="str">
        <f>HYPERLINK("https://twitter.com/kasmadgembus","@kasmadgembus")</f>
        <v>@kasmadgembus</v>
      </c>
      <c r="C41326" s="8" t="s">
        <v>2940</v>
      </c>
      <c r="D41326" s="8">
        <v>2157</v>
      </c>
      <c r="E41326" s="8">
        <v>0</v>
      </c>
      <c r="F41326" s="8">
        <v>0</v>
      </c>
    </row>
    <row r="41327" spans="1:6" ht="12.75">
      <c r="A41327" s="8">
        <v>43885.904976851853</v>
      </c>
      <c r="B41327" s="8" t="str">
        <f>HYPERLINK("https://twitter.com/JinNyinyir","@JinNyinyir")</f>
        <v>@JinNyinyir</v>
      </c>
      <c r="C41327" s="8" t="s">
        <v>15820</v>
      </c>
      <c r="D41327" s="8">
        <v>0</v>
      </c>
      <c r="E41327" s="8">
        <v>0</v>
      </c>
      <c r="F41327" s="8">
        <v>46</v>
      </c>
    </row>
    <row r="41328" spans="1:6" ht="12.75">
      <c r="A41328" s="8">
        <v>43885.881828703699</v>
      </c>
      <c r="B41328" s="8" t="str">
        <f>HYPERLINK("https://twitter.com/dede33069084","@dede33069084")</f>
        <v>@dede33069084</v>
      </c>
      <c r="C41328" s="8" t="s">
        <v>15821</v>
      </c>
      <c r="D41328" s="8">
        <v>0</v>
      </c>
      <c r="E41328" s="8">
        <v>0</v>
      </c>
      <c r="F41328" s="8">
        <v>26</v>
      </c>
    </row>
    <row r="41329" spans="1:6" ht="12.75">
      <c r="A41329" s="8">
        <v>43885.881412037037</v>
      </c>
      <c r="B41329" s="8" t="str">
        <f>HYPERLINK("https://twitter.com/BobbyIrwanda","@BobbyIrwanda")</f>
        <v>@BobbyIrwanda</v>
      </c>
      <c r="C41329" s="8" t="s">
        <v>15822</v>
      </c>
      <c r="D41329" s="8">
        <v>0</v>
      </c>
      <c r="E41329" s="8">
        <v>0</v>
      </c>
      <c r="F41329" s="8">
        <v>1669</v>
      </c>
    </row>
    <row r="41330" spans="1:6" ht="12.75">
      <c r="A41330" s="8">
        <v>43885.880972222221</v>
      </c>
      <c r="B41330" s="8" t="str">
        <f>HYPERLINK("https://twitter.com/kandargalang","@kandargalang")</f>
        <v>@kandargalang</v>
      </c>
      <c r="C41330" s="8" t="s">
        <v>15125</v>
      </c>
      <c r="D41330" s="8">
        <v>13</v>
      </c>
      <c r="E41330" s="8">
        <v>0</v>
      </c>
      <c r="F41330" s="8">
        <v>16707</v>
      </c>
    </row>
    <row r="41331" spans="1:6" ht="12.75">
      <c r="A41331" s="8">
        <v>43885.880590277782</v>
      </c>
      <c r="B41331" s="8" t="str">
        <f>HYPERLINK("https://twitter.com/senasurya53","@senasurya53")</f>
        <v>@senasurya53</v>
      </c>
      <c r="C41331" s="8" t="s">
        <v>15823</v>
      </c>
      <c r="D41331" s="8">
        <v>0</v>
      </c>
      <c r="E41331" s="8">
        <v>0</v>
      </c>
      <c r="F41331" s="8">
        <v>509</v>
      </c>
    </row>
    <row r="41332" spans="1:6" ht="12.75">
      <c r="A41332" s="8">
        <v>43885.880370370374</v>
      </c>
      <c r="B41332" s="8" t="str">
        <f>HYPERLINK("https://twitter.com/msaid_didu","@msaid_didu")</f>
        <v>@msaid_didu</v>
      </c>
      <c r="C41332" s="8" t="s">
        <v>15125</v>
      </c>
      <c r="D41332" s="8">
        <v>13</v>
      </c>
      <c r="E41332" s="8">
        <v>0</v>
      </c>
      <c r="F41332" s="8">
        <v>232500</v>
      </c>
    </row>
    <row r="41333" spans="1:6" ht="12.75">
      <c r="A41333" s="8">
        <v>43885.879918981482</v>
      </c>
      <c r="B41333" s="8" t="str">
        <f>HYPERLINK("https://twitter.com/davianii","@davianii")</f>
        <v>@davianii</v>
      </c>
      <c r="C41333" s="8" t="s">
        <v>15824</v>
      </c>
      <c r="D41333" s="8">
        <v>0</v>
      </c>
      <c r="E41333" s="8">
        <v>0</v>
      </c>
      <c r="F41333" s="8">
        <v>482</v>
      </c>
    </row>
    <row r="41334" spans="1:6" ht="12.75">
      <c r="A41334" s="8">
        <v>43885.879849537036</v>
      </c>
      <c r="B41334" s="8" t="str">
        <f>HYPERLINK("https://twitter.com/DJKURO_","@DJKURO_")</f>
        <v>@DJKURO_</v>
      </c>
      <c r="C41334" s="8" t="s">
        <v>15825</v>
      </c>
      <c r="D41334" s="8">
        <v>0</v>
      </c>
      <c r="E41334" s="8">
        <v>0</v>
      </c>
      <c r="F41334" s="8">
        <v>558</v>
      </c>
    </row>
    <row r="41335" spans="1:6" ht="12.75">
      <c r="A41335" s="8">
        <v>43885.879745370374</v>
      </c>
      <c r="B41335" s="8" t="str">
        <f>HYPERLINK("https://twitter.com/hawaigasuki","@hawaigasuki")</f>
        <v>@hawaigasuki</v>
      </c>
      <c r="C41335" s="8" t="s">
        <v>8484</v>
      </c>
      <c r="D41335" s="8">
        <v>564</v>
      </c>
      <c r="E41335" s="8">
        <v>0</v>
      </c>
      <c r="F41335" s="8">
        <v>426</v>
      </c>
    </row>
    <row r="41336" spans="1:6" ht="12.75">
      <c r="A41336" s="8">
        <v>43885.879675925928</v>
      </c>
      <c r="B41336" s="8" t="str">
        <f>HYPERLINK("https://twitter.com/kyoko3022","@kyoko3022")</f>
        <v>@kyoko3022</v>
      </c>
      <c r="C41336" s="8" t="s">
        <v>8484</v>
      </c>
      <c r="D41336" s="8">
        <v>564</v>
      </c>
      <c r="E41336" s="8">
        <v>0</v>
      </c>
      <c r="F41336" s="8">
        <v>1950</v>
      </c>
    </row>
    <row r="41337" spans="1:6" ht="12.75">
      <c r="A41337" s="8">
        <v>43885.879606481481</v>
      </c>
      <c r="B41337" s="8" t="str">
        <f>HYPERLINK("https://twitter.com/veva_nova","@veva_nova")</f>
        <v>@veva_nova</v>
      </c>
      <c r="C41337" s="8" t="s">
        <v>12920</v>
      </c>
      <c r="D41337" s="8">
        <v>1437</v>
      </c>
      <c r="E41337" s="8">
        <v>0</v>
      </c>
      <c r="F41337" s="8">
        <v>197</v>
      </c>
    </row>
    <row r="41338" spans="1:6" ht="12.75">
      <c r="A41338" s="8">
        <v>43885.879247685181</v>
      </c>
      <c r="B41338" s="8" t="str">
        <f>HYPERLINK("https://twitter.com/Haluan_","@Haluan_")</f>
        <v>@Haluan_</v>
      </c>
      <c r="C41338" s="8" t="s">
        <v>15826</v>
      </c>
      <c r="D41338" s="8">
        <v>0</v>
      </c>
      <c r="E41338" s="8">
        <v>0</v>
      </c>
      <c r="F41338" s="8">
        <v>1486</v>
      </c>
    </row>
    <row r="41339" spans="1:6" ht="12.75">
      <c r="A41339" s="8">
        <v>43885.878009259264</v>
      </c>
      <c r="B41339" s="8" t="str">
        <f>HYPERLINK("https://twitter.com/jocker_speed","@jocker_speed")</f>
        <v>@jocker_speed</v>
      </c>
      <c r="C41339" s="8" t="s">
        <v>15827</v>
      </c>
      <c r="D41339" s="8">
        <v>0</v>
      </c>
      <c r="E41339" s="8">
        <v>0</v>
      </c>
      <c r="F41339" s="8">
        <v>364</v>
      </c>
    </row>
    <row r="41340" spans="1:6" ht="12.75">
      <c r="A41340" s="8">
        <v>43885.877743055556</v>
      </c>
      <c r="B41340" s="8" t="str">
        <f>HYPERLINK("https://twitter.com/mitokawashima","@mitokawashima")</f>
        <v>@mitokawashima</v>
      </c>
      <c r="C41340" s="8" t="s">
        <v>2940</v>
      </c>
      <c r="D41340" s="8">
        <v>2109</v>
      </c>
      <c r="E41340" s="8">
        <v>0</v>
      </c>
      <c r="F41340" s="8">
        <v>243</v>
      </c>
    </row>
    <row r="41341" spans="1:6" ht="12.75">
      <c r="A41341" s="8">
        <v>43885.877662037034</v>
      </c>
      <c r="B41341" s="8" t="str">
        <f>HYPERLINK("https://twitter.com/urlvlyexgirlf","@urlvlyexgirlf")</f>
        <v>@urlvlyexgirlf</v>
      </c>
      <c r="C41341" s="8" t="s">
        <v>12920</v>
      </c>
      <c r="D41341" s="8">
        <v>1437</v>
      </c>
      <c r="E41341" s="8">
        <v>0</v>
      </c>
      <c r="F41341" s="8">
        <v>464</v>
      </c>
    </row>
    <row r="41342" spans="1:6" ht="12.75">
      <c r="A41342" s="8">
        <v>43885.877627314811</v>
      </c>
      <c r="B41342" s="8" t="str">
        <f>HYPERLINK("https://twitter.com/maklumatID","@maklumatID")</f>
        <v>@maklumatID</v>
      </c>
      <c r="C41342" s="8" t="s">
        <v>15828</v>
      </c>
      <c r="D41342" s="8">
        <v>0</v>
      </c>
      <c r="E41342" s="8">
        <v>0</v>
      </c>
      <c r="F41342" s="8">
        <v>78</v>
      </c>
    </row>
    <row r="41343" spans="1:6" ht="12.75">
      <c r="A41343" s="8">
        <v>43885.877465277779</v>
      </c>
      <c r="B41343" s="8" t="str">
        <f>HYPERLINK("https://twitter.com/SydSalesman","@SydSalesman")</f>
        <v>@SydSalesman</v>
      </c>
      <c r="C41343" s="8" t="s">
        <v>15829</v>
      </c>
      <c r="D41343" s="8">
        <v>0</v>
      </c>
      <c r="E41343" s="8">
        <v>0</v>
      </c>
      <c r="F41343" s="8">
        <v>6279</v>
      </c>
    </row>
    <row r="41344" spans="1:6" ht="12.75">
      <c r="A41344" s="8">
        <v>43885.877418981487</v>
      </c>
      <c r="B41344" s="8" t="str">
        <f>HYPERLINK("https://twitter.com/arjunosableng","@arjunosableng")</f>
        <v>@arjunosableng</v>
      </c>
      <c r="C41344" s="8" t="s">
        <v>15126</v>
      </c>
      <c r="D41344" s="8">
        <v>5</v>
      </c>
      <c r="E41344" s="8">
        <v>0</v>
      </c>
      <c r="F41344" s="8">
        <v>2231</v>
      </c>
    </row>
    <row r="41345" spans="1:6" ht="12.75">
      <c r="A41345" s="8">
        <v>43885.877372685187</v>
      </c>
      <c r="B41345" s="8" t="str">
        <f>HYPERLINK("https://twitter.com/_iam__who_","@_iam__who_")</f>
        <v>@_iam__who_</v>
      </c>
      <c r="C41345" s="8" t="s">
        <v>12920</v>
      </c>
      <c r="D41345" s="8">
        <v>1437</v>
      </c>
      <c r="E41345" s="8">
        <v>0</v>
      </c>
      <c r="F41345" s="8">
        <v>248</v>
      </c>
    </row>
    <row r="41346" spans="1:6" ht="12.75">
      <c r="A41346" s="8">
        <v>43885.877314814818</v>
      </c>
      <c r="B41346" s="8" t="str">
        <f>HYPERLINK("https://twitter.com/Otoy_theB","@Otoy_theB")</f>
        <v>@Otoy_theB</v>
      </c>
      <c r="C41346" s="8" t="s">
        <v>15560</v>
      </c>
      <c r="D41346" s="8">
        <v>2</v>
      </c>
      <c r="E41346" s="8">
        <v>0</v>
      </c>
      <c r="F41346" s="8">
        <v>911</v>
      </c>
    </row>
    <row r="41347" spans="1:6" ht="12.75">
      <c r="A41347" s="8">
        <v>43885.87709490741</v>
      </c>
      <c r="B41347" s="8" t="str">
        <f>HYPERLINK("https://twitter.com/mama_lovetvxq","@mama_lovetvxq")</f>
        <v>@mama_lovetvxq</v>
      </c>
      <c r="C41347" s="8" t="s">
        <v>8484</v>
      </c>
      <c r="D41347" s="8">
        <v>564</v>
      </c>
      <c r="E41347" s="8">
        <v>0</v>
      </c>
      <c r="F41347" s="8">
        <v>108</v>
      </c>
    </row>
    <row r="41348" spans="1:6" ht="12.75">
      <c r="A41348" s="8">
        <v>43885.87709490741</v>
      </c>
      <c r="B41348" s="8" t="str">
        <f>HYPERLINK("https://twitter.com/chiachia1662","@chiachia1662")</f>
        <v>@chiachia1662</v>
      </c>
      <c r="C41348" s="8" t="s">
        <v>2940</v>
      </c>
      <c r="D41348" s="8">
        <v>2109</v>
      </c>
      <c r="E41348" s="8">
        <v>0</v>
      </c>
      <c r="F41348" s="8">
        <v>90</v>
      </c>
    </row>
    <row r="41349" spans="1:6" ht="12.75">
      <c r="A41349" s="8">
        <v>43885.876331018517</v>
      </c>
      <c r="B41349" s="8" t="str">
        <f>HYPERLINK("https://twitter.com/integrity160171","@integrity160171")</f>
        <v>@integrity160171</v>
      </c>
      <c r="C41349" s="8" t="s">
        <v>15125</v>
      </c>
      <c r="D41349" s="8">
        <v>13</v>
      </c>
      <c r="E41349" s="8">
        <v>0</v>
      </c>
      <c r="F41349" s="8">
        <v>494</v>
      </c>
    </row>
    <row r="41350" spans="1:6" ht="12.75">
      <c r="A41350" s="8">
        <v>43885.876296296294</v>
      </c>
      <c r="B41350" s="8" t="str">
        <f>HYPERLINK("https://twitter.com/24hitomi","@24hitomi")</f>
        <v>@24hitomi</v>
      </c>
      <c r="C41350" s="8" t="s">
        <v>2940</v>
      </c>
      <c r="D41350" s="8">
        <v>2109</v>
      </c>
      <c r="E41350" s="8">
        <v>0</v>
      </c>
      <c r="F41350" s="8">
        <v>1841</v>
      </c>
    </row>
    <row r="41351" spans="1:6" ht="12.75">
      <c r="A41351" s="8">
        <v>43885.875659722224</v>
      </c>
      <c r="B41351" s="8" t="str">
        <f>HYPERLINK("https://twitter.com/_perhonen_","@_perhonen_")</f>
        <v>@_perhonen_</v>
      </c>
      <c r="C41351" s="8" t="s">
        <v>8484</v>
      </c>
      <c r="D41351" s="8">
        <v>564</v>
      </c>
      <c r="E41351" s="8">
        <v>0</v>
      </c>
      <c r="F41351" s="8">
        <v>106</v>
      </c>
    </row>
    <row r="41352" spans="1:6" ht="12.75">
      <c r="A41352" s="8">
        <v>43885.875520833331</v>
      </c>
      <c r="B41352" s="8" t="str">
        <f>HYPERLINK("https://twitter.com/dwiana7179","@dwiana7179")</f>
        <v>@dwiana7179</v>
      </c>
      <c r="C41352" s="8" t="s">
        <v>15830</v>
      </c>
      <c r="D41352" s="8">
        <v>0</v>
      </c>
      <c r="E41352" s="8">
        <v>0</v>
      </c>
      <c r="F41352" s="8">
        <v>124</v>
      </c>
    </row>
    <row r="41353" spans="1:6" ht="12.75">
      <c r="A41353" s="8">
        <v>43885.875335648147</v>
      </c>
      <c r="B41353" s="8" t="str">
        <f>HYPERLINK("https://twitter.com/hY0NNzqBVAs241l","@hY0NNzqBVAs241l")</f>
        <v>@hY0NNzqBVAs241l</v>
      </c>
      <c r="C41353" s="8" t="s">
        <v>2940</v>
      </c>
      <c r="D41353" s="8">
        <v>2109</v>
      </c>
      <c r="E41353" s="8">
        <v>0</v>
      </c>
      <c r="F41353" s="8">
        <v>120</v>
      </c>
    </row>
    <row r="41354" spans="1:6" ht="12.75">
      <c r="A41354" s="8">
        <v>43885.875300925924</v>
      </c>
      <c r="B41354" s="8" t="str">
        <f>HYPERLINK("https://twitter.com/PebiSetiyo","@PebiSetiyo")</f>
        <v>@PebiSetiyo</v>
      </c>
      <c r="C41354" s="8" t="s">
        <v>15831</v>
      </c>
      <c r="D41354" s="8">
        <v>0</v>
      </c>
      <c r="E41354" s="8">
        <v>0</v>
      </c>
      <c r="F41354" s="8">
        <v>79</v>
      </c>
    </row>
    <row r="41355" spans="1:6" ht="12.75">
      <c r="A41355" s="8">
        <v>43885.875127314815</v>
      </c>
      <c r="B41355" s="8" t="str">
        <f>HYPERLINK("https://twitter.com/Beritasatu","@Beritasatu")</f>
        <v>@Beritasatu</v>
      </c>
      <c r="C41355" s="8" t="s">
        <v>15832</v>
      </c>
      <c r="D41355" s="8">
        <v>0</v>
      </c>
      <c r="E41355" s="8">
        <v>1</v>
      </c>
      <c r="F41355" s="8">
        <v>615758</v>
      </c>
    </row>
    <row r="41356" spans="1:6" ht="12.75">
      <c r="A41356" s="8">
        <v>43885.874224537038</v>
      </c>
      <c r="B41356" s="8" t="str">
        <f>HYPERLINK("https://twitter.com/bayoep","@bayoep")</f>
        <v>@bayoep</v>
      </c>
      <c r="C41356" s="8" t="s">
        <v>2940</v>
      </c>
      <c r="D41356" s="8">
        <v>2109</v>
      </c>
      <c r="E41356" s="8">
        <v>0</v>
      </c>
      <c r="F41356" s="8">
        <v>834</v>
      </c>
    </row>
    <row r="41357" spans="1:6" ht="12.75">
      <c r="A41357" s="8">
        <v>43885.874062499999</v>
      </c>
      <c r="B41357" s="8" t="str">
        <f>HYPERLINK("https://twitter.com/wjseunie","@wjseunie")</f>
        <v>@wjseunie</v>
      </c>
      <c r="C41357" s="8" t="s">
        <v>15833</v>
      </c>
      <c r="D41357" s="8">
        <v>0</v>
      </c>
      <c r="E41357" s="8">
        <v>0</v>
      </c>
      <c r="F41357" s="8">
        <v>450</v>
      </c>
    </row>
    <row r="41358" spans="1:6" ht="12.75">
      <c r="A41358" s="8">
        <v>43885.873842592591</v>
      </c>
      <c r="B41358" s="8" t="str">
        <f>HYPERLINK("https://twitter.com/JaritaKirana","@JaritaKirana")</f>
        <v>@JaritaKirana</v>
      </c>
      <c r="C41358" s="8" t="s">
        <v>15834</v>
      </c>
      <c r="D41358" s="8">
        <v>0</v>
      </c>
      <c r="E41358" s="8">
        <v>0</v>
      </c>
      <c r="F41358" s="8">
        <v>517</v>
      </c>
    </row>
    <row r="41359" spans="1:6" ht="12.75">
      <c r="A41359" s="8">
        <v>43885.873182870375</v>
      </c>
      <c r="B41359" s="8" t="str">
        <f>HYPERLINK("https://twitter.com/PebiSetiyo","@PebiSetiyo")</f>
        <v>@PebiSetiyo</v>
      </c>
      <c r="C41359" s="8" t="s">
        <v>15508</v>
      </c>
      <c r="D41359" s="8">
        <v>374</v>
      </c>
      <c r="E41359" s="8">
        <v>0</v>
      </c>
      <c r="F41359" s="8">
        <v>79</v>
      </c>
    </row>
    <row r="41360" spans="1:6" ht="12.75">
      <c r="A41360" s="8">
        <v>43885.872442129628</v>
      </c>
      <c r="B41360" s="8" t="str">
        <f>HYPERLINK("https://twitter.com/imkumiku","@imkumiku")</f>
        <v>@imkumiku</v>
      </c>
      <c r="C41360" s="8" t="s">
        <v>2940</v>
      </c>
      <c r="D41360" s="8">
        <v>2109</v>
      </c>
      <c r="E41360" s="8">
        <v>0</v>
      </c>
      <c r="F41360" s="8">
        <v>23</v>
      </c>
    </row>
    <row r="41361" spans="1:6" ht="12.75">
      <c r="A41361" s="8">
        <v>43885.872418981482</v>
      </c>
      <c r="B41361" s="8" t="str">
        <f>HYPERLINK("https://twitter.com/koransulindo","@koransulindo")</f>
        <v>@koransulindo</v>
      </c>
      <c r="C41361" s="8" t="s">
        <v>15835</v>
      </c>
      <c r="D41361" s="8">
        <v>0</v>
      </c>
      <c r="E41361" s="8">
        <v>0</v>
      </c>
      <c r="F41361" s="8">
        <v>80</v>
      </c>
    </row>
    <row r="41362" spans="1:6" ht="12.75">
      <c r="A41362" s="8">
        <v>43885.872094907405</v>
      </c>
      <c r="B41362" s="8" t="str">
        <f>HYPERLINK("https://twitter.com/kenkenews","@kenkenews")</f>
        <v>@kenkenews</v>
      </c>
      <c r="C41362" s="8" t="s">
        <v>15586</v>
      </c>
      <c r="D41362" s="8">
        <v>0</v>
      </c>
      <c r="E41362" s="8">
        <v>0</v>
      </c>
      <c r="F41362" s="8">
        <v>149</v>
      </c>
    </row>
    <row r="41363" spans="1:6" ht="12.75">
      <c r="A41363" s="8">
        <v>43885.871874999997</v>
      </c>
      <c r="B41363" s="8" t="str">
        <f>HYPERLINK("https://twitter.com/ThantryRitha","@ThantryRitha")</f>
        <v>@ThantryRitha</v>
      </c>
      <c r="C41363" s="8" t="s">
        <v>2940</v>
      </c>
      <c r="D41363" s="8">
        <v>2109</v>
      </c>
      <c r="E41363" s="8">
        <v>0</v>
      </c>
      <c r="F41363" s="8">
        <v>1821</v>
      </c>
    </row>
    <row r="41364" spans="1:6" ht="12.75">
      <c r="A41364" s="8">
        <v>43885.871412037042</v>
      </c>
      <c r="B41364" s="8" t="str">
        <f>HYPERLINK("https://twitter.com/djamoer5","@djamoer5")</f>
        <v>@djamoer5</v>
      </c>
      <c r="C41364" s="8" t="s">
        <v>15836</v>
      </c>
      <c r="D41364" s="8">
        <v>4</v>
      </c>
      <c r="E41364" s="8">
        <v>0</v>
      </c>
      <c r="F41364" s="8">
        <v>1</v>
      </c>
    </row>
    <row r="41365" spans="1:6" ht="12.75">
      <c r="A41365" s="8">
        <v>43885.871342592596</v>
      </c>
      <c r="B41365" s="8" t="str">
        <f>HYPERLINK("https://twitter.com/SusyLiao","@SusyLiao")</f>
        <v>@SusyLiao</v>
      </c>
      <c r="C41365" s="8" t="s">
        <v>15340</v>
      </c>
      <c r="D41365" s="8">
        <v>6</v>
      </c>
      <c r="E41365" s="8">
        <v>0</v>
      </c>
      <c r="F41365" s="8">
        <v>306</v>
      </c>
    </row>
    <row r="41366" spans="1:6" ht="12.75">
      <c r="A41366" s="8">
        <v>43885.871249999997</v>
      </c>
      <c r="B41366" s="8" t="str">
        <f>HYPERLINK("https://twitter.com/SMuksin1","@SMuksin1")</f>
        <v>@SMuksin1</v>
      </c>
      <c r="C41366" s="8" t="s">
        <v>15125</v>
      </c>
      <c r="D41366" s="8">
        <v>13</v>
      </c>
      <c r="E41366" s="8">
        <v>0</v>
      </c>
      <c r="F41366" s="8">
        <v>14</v>
      </c>
    </row>
    <row r="41367" spans="1:6" ht="12.75">
      <c r="A41367" s="8">
        <v>43885.871249999997</v>
      </c>
      <c r="B41367" s="8" t="str">
        <f>HYPERLINK("https://twitter.com/CherieCherry13","@CherieCherry13")</f>
        <v>@CherieCherry13</v>
      </c>
      <c r="C41367" s="8" t="s">
        <v>2940</v>
      </c>
      <c r="D41367" s="8">
        <v>2109</v>
      </c>
      <c r="E41367" s="8">
        <v>0</v>
      </c>
      <c r="F41367" s="8">
        <v>60</v>
      </c>
    </row>
    <row r="41368" spans="1:6" ht="12.75">
      <c r="A41368" s="8">
        <v>43885.871111111112</v>
      </c>
      <c r="B41368" s="8" t="str">
        <f>HYPERLINK("https://twitter.com/tuv1473","@tuv1473")</f>
        <v>@tuv1473</v>
      </c>
      <c r="C41368" s="8" t="s">
        <v>2940</v>
      </c>
      <c r="D41368" s="8">
        <v>2109</v>
      </c>
      <c r="E41368" s="8">
        <v>0</v>
      </c>
      <c r="F41368" s="8">
        <v>914</v>
      </c>
    </row>
    <row r="41369" spans="1:6" ht="12.75">
      <c r="A41369" s="8">
        <v>43885.870671296296</v>
      </c>
      <c r="B41369" s="8" t="str">
        <f>HYPERLINK("https://twitter.com/yudhaandreas99","@yudhaandreas99")</f>
        <v>@yudhaandreas99</v>
      </c>
      <c r="C41369" s="8" t="s">
        <v>12920</v>
      </c>
      <c r="D41369" s="8">
        <v>1437</v>
      </c>
      <c r="E41369" s="8">
        <v>0</v>
      </c>
      <c r="F41369" s="8">
        <v>82</v>
      </c>
    </row>
    <row r="41370" spans="1:6" ht="12.75">
      <c r="A41370" s="8">
        <v>43885.870555555557</v>
      </c>
      <c r="B41370" s="8" t="str">
        <f>HYPERLINK("https://twitter.com/Realitarakyat01","@Realitarakyat01")</f>
        <v>@Realitarakyat01</v>
      </c>
      <c r="C41370" s="8" t="s">
        <v>15837</v>
      </c>
      <c r="D41370" s="8">
        <v>0</v>
      </c>
      <c r="E41370" s="8">
        <v>1</v>
      </c>
      <c r="F41370" s="8">
        <v>126</v>
      </c>
    </row>
    <row r="41371" spans="1:6" ht="12.75">
      <c r="A41371" s="8">
        <v>43885.870405092588</v>
      </c>
      <c r="B41371" s="8" t="str">
        <f>HYPERLINK("https://twitter.com/himuchi6990","@himuchi6990")</f>
        <v>@himuchi6990</v>
      </c>
      <c r="C41371" s="8" t="s">
        <v>2940</v>
      </c>
      <c r="D41371" s="8">
        <v>2109</v>
      </c>
      <c r="E41371" s="8">
        <v>0</v>
      </c>
      <c r="F41371" s="8">
        <v>227</v>
      </c>
    </row>
    <row r="41372" spans="1:6" ht="12.75">
      <c r="A41372" s="8">
        <v>43885.870243055557</v>
      </c>
      <c r="B41372" s="8" t="str">
        <f>HYPERLINK("https://twitter.com/ags_irwansyah","@ags_irwansyah")</f>
        <v>@ags_irwansyah</v>
      </c>
      <c r="C41372" s="8" t="s">
        <v>15125</v>
      </c>
      <c r="D41372" s="8">
        <v>13</v>
      </c>
      <c r="E41372" s="8">
        <v>0</v>
      </c>
      <c r="F41372" s="8">
        <v>1268</v>
      </c>
    </row>
    <row r="41373" spans="1:6" ht="12.75">
      <c r="A41373" s="8">
        <v>43885.870069444441</v>
      </c>
      <c r="B41373" s="8" t="str">
        <f>HYPERLINK("https://twitter.com/Kangburyam1","@Kangburyam1")</f>
        <v>@Kangburyam1</v>
      </c>
      <c r="C41373" s="8" t="s">
        <v>2940</v>
      </c>
      <c r="D41373" s="8">
        <v>2109</v>
      </c>
      <c r="E41373" s="8">
        <v>0</v>
      </c>
      <c r="F41373" s="8">
        <v>1</v>
      </c>
    </row>
    <row r="41374" spans="1:6" ht="12.75">
      <c r="A41374" s="8">
        <v>43885.869930555556</v>
      </c>
      <c r="B41374" s="8" t="str">
        <f>HYPERLINK("https://twitter.com/iskandarhelmi47","@iskandarhelmi47")</f>
        <v>@iskandarhelmi47</v>
      </c>
      <c r="C41374" s="8" t="s">
        <v>15838</v>
      </c>
      <c r="D41374" s="8">
        <v>0</v>
      </c>
      <c r="E41374" s="8">
        <v>0</v>
      </c>
      <c r="F41374" s="8">
        <v>37</v>
      </c>
    </row>
    <row r="41375" spans="1:6" ht="12.75">
      <c r="A41375" s="8">
        <v>43885.869849537034</v>
      </c>
      <c r="B41375" s="8" t="str">
        <f>HYPERLINK("https://twitter.com/AgusbudiSs79","@AgusbudiSs79")</f>
        <v>@AgusbudiSs79</v>
      </c>
      <c r="C41375" s="8" t="s">
        <v>15125</v>
      </c>
      <c r="D41375" s="8">
        <v>13</v>
      </c>
      <c r="E41375" s="8">
        <v>0</v>
      </c>
      <c r="F41375" s="8">
        <v>336</v>
      </c>
    </row>
    <row r="41376" spans="1:6" ht="12.75">
      <c r="A41376" s="8">
        <v>43885.869768518518</v>
      </c>
      <c r="B41376" s="8" t="str">
        <f>HYPERLINK("https://twitter.com/Tonwart2","@Tonwart2")</f>
        <v>@Tonwart2</v>
      </c>
      <c r="C41376" s="8" t="s">
        <v>15839</v>
      </c>
      <c r="D41376" s="8">
        <v>0</v>
      </c>
      <c r="E41376" s="8">
        <v>0</v>
      </c>
      <c r="F41376" s="8">
        <v>569</v>
      </c>
    </row>
    <row r="41377" spans="1:6" ht="12.75">
      <c r="A41377" s="8">
        <v>43885.869560185187</v>
      </c>
      <c r="B41377" s="8" t="str">
        <f>HYPERLINK("https://twitter.com/BubuNyaii","@BubuNyaii")</f>
        <v>@BubuNyaii</v>
      </c>
      <c r="C41377" s="8" t="s">
        <v>15840</v>
      </c>
      <c r="D41377" s="8">
        <v>0</v>
      </c>
      <c r="E41377" s="8">
        <v>1</v>
      </c>
      <c r="F41377" s="8">
        <v>3629</v>
      </c>
    </row>
    <row r="41378" spans="1:6" ht="12.75">
      <c r="A41378" s="8">
        <v>43885.869432870371</v>
      </c>
      <c r="B41378" s="8" t="str">
        <f>HYPERLINK("https://twitter.com/thesaturnudes","@thesaturnudes")</f>
        <v>@thesaturnudes</v>
      </c>
      <c r="C41378" s="8" t="s">
        <v>15841</v>
      </c>
      <c r="D41378" s="8">
        <v>0</v>
      </c>
      <c r="E41378" s="8">
        <v>0</v>
      </c>
      <c r="F41378" s="8">
        <v>307</v>
      </c>
    </row>
    <row r="41379" spans="1:6" ht="12.75">
      <c r="A41379" s="8">
        <v>43885.869074074071</v>
      </c>
      <c r="B41379" s="8" t="str">
        <f>HYPERLINK("https://twitter.com/Rido_Lizze","@Rido_Lizze")</f>
        <v>@Rido_Lizze</v>
      </c>
      <c r="C41379" s="8" t="s">
        <v>15125</v>
      </c>
      <c r="D41379" s="8">
        <v>13</v>
      </c>
      <c r="E41379" s="8">
        <v>0</v>
      </c>
      <c r="F41379" s="8">
        <v>1317</v>
      </c>
    </row>
    <row r="41380" spans="1:6" ht="12.75">
      <c r="A41380" s="8">
        <v>43885.868958333333</v>
      </c>
      <c r="B41380" s="8" t="str">
        <f>HYPERLINK("https://twitter.com/Evhy_Moe","@Evhy_Moe")</f>
        <v>@Evhy_Moe</v>
      </c>
      <c r="C41380" s="8" t="s">
        <v>15508</v>
      </c>
      <c r="D41380" s="8">
        <v>374</v>
      </c>
      <c r="E41380" s="8">
        <v>0</v>
      </c>
      <c r="F41380" s="8">
        <v>253</v>
      </c>
    </row>
    <row r="41381" spans="1:6" ht="12.75">
      <c r="A41381" s="8">
        <v>43885.868935185186</v>
      </c>
      <c r="B41381" s="8" t="str">
        <f>HYPERLINK("https://twitter.com/BETAWI_KOTA","@BETAWI_KOTA")</f>
        <v>@BETAWI_KOTA</v>
      </c>
      <c r="C41381" s="8" t="s">
        <v>15125</v>
      </c>
      <c r="D41381" s="8">
        <v>13</v>
      </c>
      <c r="E41381" s="8">
        <v>0</v>
      </c>
      <c r="F41381" s="8">
        <v>785</v>
      </c>
    </row>
    <row r="41382" spans="1:6" ht="12.75">
      <c r="A41382" s="8">
        <v>43885.868773148148</v>
      </c>
      <c r="B41382" s="8" t="str">
        <f>HYPERLINK("https://twitter.com/M_IrvanHN","@M_IrvanHN")</f>
        <v>@M_IrvanHN</v>
      </c>
      <c r="C41382" s="8" t="s">
        <v>15718</v>
      </c>
      <c r="D41382" s="8">
        <v>2</v>
      </c>
      <c r="E41382" s="8">
        <v>0</v>
      </c>
      <c r="F41382" s="8">
        <v>402</v>
      </c>
    </row>
    <row r="41383" spans="1:6" ht="12.75">
      <c r="A41383" s="8">
        <v>43885.868750000001</v>
      </c>
      <c r="B41383" s="8" t="str">
        <f>HYPERLINK("https://twitter.com/LukmanHarijanto","@LukmanHarijanto")</f>
        <v>@LukmanHarijanto</v>
      </c>
      <c r="C41383" s="8" t="s">
        <v>15842</v>
      </c>
      <c r="D41383" s="8">
        <v>0</v>
      </c>
      <c r="E41383" s="8">
        <v>0</v>
      </c>
      <c r="F41383" s="8">
        <v>709</v>
      </c>
    </row>
    <row r="41384" spans="1:6" ht="12.75">
      <c r="A41384" s="8">
        <v>43885.868703703702</v>
      </c>
      <c r="B41384" s="8" t="str">
        <f>HYPERLINK("https://twitter.com/moritaespera","@moritaespera")</f>
        <v>@moritaespera</v>
      </c>
      <c r="C41384" s="8" t="s">
        <v>8484</v>
      </c>
      <c r="D41384" s="8">
        <v>564</v>
      </c>
      <c r="E41384" s="8">
        <v>0</v>
      </c>
      <c r="F41384" s="8">
        <v>519</v>
      </c>
    </row>
    <row r="41385" spans="1:6" ht="12.75">
      <c r="A41385" s="8">
        <v>43885.868518518517</v>
      </c>
      <c r="B41385" s="8" t="str">
        <f>HYPERLINK("https://twitter.com/mameco49966912","@mameco49966912")</f>
        <v>@mameco49966912</v>
      </c>
      <c r="C41385" s="8" t="s">
        <v>2940</v>
      </c>
      <c r="D41385" s="8">
        <v>2109</v>
      </c>
      <c r="E41385" s="8">
        <v>0</v>
      </c>
      <c r="F41385" s="8">
        <v>7</v>
      </c>
    </row>
    <row r="41386" spans="1:6" ht="12.75">
      <c r="A41386" s="8">
        <v>43885.868483796294</v>
      </c>
      <c r="B41386" s="8" t="str">
        <f>HYPERLINK("https://twitter.com/wangchuliching","@wangchuliching")</f>
        <v>@wangchuliching</v>
      </c>
      <c r="C41386" s="8" t="s">
        <v>15125</v>
      </c>
      <c r="D41386" s="8">
        <v>13</v>
      </c>
      <c r="E41386" s="8">
        <v>0</v>
      </c>
      <c r="F41386" s="8">
        <v>1257</v>
      </c>
    </row>
    <row r="41387" spans="1:6" ht="12.75">
      <c r="A41387" s="8">
        <v>43885.868333333332</v>
      </c>
      <c r="B41387" s="8" t="str">
        <f>HYPERLINK("https://twitter.com/adiasik2007","@adiasik2007")</f>
        <v>@adiasik2007</v>
      </c>
      <c r="C41387" s="8" t="s">
        <v>15125</v>
      </c>
      <c r="D41387" s="8">
        <v>13</v>
      </c>
      <c r="E41387" s="8">
        <v>0</v>
      </c>
      <c r="F41387" s="8">
        <v>622</v>
      </c>
    </row>
    <row r="41388" spans="1:6" ht="12.75">
      <c r="A41388" s="8">
        <v>43885.868252314816</v>
      </c>
      <c r="B41388" s="8" t="str">
        <f>HYPERLINK("https://twitter.com/am__precious","@am__precious")</f>
        <v>@am__precious</v>
      </c>
      <c r="C41388" s="8" t="s">
        <v>15843</v>
      </c>
      <c r="D41388" s="8">
        <v>2</v>
      </c>
      <c r="E41388" s="8">
        <v>0</v>
      </c>
      <c r="F41388" s="8">
        <v>184</v>
      </c>
    </row>
    <row r="41389" spans="1:6" ht="12.75">
      <c r="A41389" s="8">
        <v>43885.868009259255</v>
      </c>
      <c r="B41389" s="8" t="str">
        <f>HYPERLINK("https://twitter.com/ar_rantizi","@ar_rantizi")</f>
        <v>@ar_rantizi</v>
      </c>
      <c r="C41389" s="8" t="s">
        <v>15125</v>
      </c>
      <c r="D41389" s="8">
        <v>13</v>
      </c>
      <c r="E41389" s="8">
        <v>0</v>
      </c>
      <c r="F41389" s="8">
        <v>521</v>
      </c>
    </row>
    <row r="41390" spans="1:6" ht="12.75">
      <c r="A41390" s="8">
        <v>43885.867800925931</v>
      </c>
      <c r="B41390" s="8" t="str">
        <f>HYPERLINK("https://twitter.com/stabilooren","@stabilooren")</f>
        <v>@stabilooren</v>
      </c>
      <c r="C41390" s="8" t="s">
        <v>12920</v>
      </c>
      <c r="D41390" s="8">
        <v>1437</v>
      </c>
      <c r="E41390" s="8">
        <v>0</v>
      </c>
      <c r="F41390" s="8">
        <v>520</v>
      </c>
    </row>
    <row r="41391" spans="1:6" ht="12.75">
      <c r="A41391" s="8">
        <v>43885.86719907407</v>
      </c>
      <c r="B41391" s="8" t="str">
        <f>HYPERLINK("https://twitter.com/RepublikTweep","@RepublikTweep")</f>
        <v>@RepublikTweep</v>
      </c>
      <c r="C41391" s="8" t="s">
        <v>14960</v>
      </c>
      <c r="D41391" s="8">
        <v>2</v>
      </c>
      <c r="E41391" s="8">
        <v>0</v>
      </c>
      <c r="F41391" s="8">
        <v>27445</v>
      </c>
    </row>
    <row r="41392" spans="1:6" ht="12.75">
      <c r="A41392" s="8">
        <v>43885.867118055554</v>
      </c>
      <c r="B41392" s="8" t="str">
        <f>HYPERLINK("https://twitter.com/msaid_didu","@msaid_didu")</f>
        <v>@msaid_didu</v>
      </c>
      <c r="C41392" s="8" t="s">
        <v>15844</v>
      </c>
      <c r="D41392" s="8">
        <v>13</v>
      </c>
      <c r="E41392" s="8">
        <v>76</v>
      </c>
      <c r="F41392" s="8">
        <v>232500</v>
      </c>
    </row>
    <row r="41393" spans="1:6" ht="12.75">
      <c r="A41393" s="8">
        <v>43885.867013888885</v>
      </c>
      <c r="B41393" s="8" t="str">
        <f>HYPERLINK("https://twitter.com/RepublikTweep","@RepublikTweep")</f>
        <v>@RepublikTweep</v>
      </c>
      <c r="C41393" s="8" t="s">
        <v>15845</v>
      </c>
      <c r="D41393" s="8">
        <v>6</v>
      </c>
      <c r="E41393" s="8">
        <v>0</v>
      </c>
      <c r="F41393" s="8">
        <v>27445</v>
      </c>
    </row>
    <row r="41394" spans="1:6" ht="12.75">
      <c r="A41394" s="8">
        <v>43885.866793981477</v>
      </c>
      <c r="B41394" s="8" t="str">
        <f>HYPERLINK("https://twitter.com/shirakawaran","@shirakawaran")</f>
        <v>@shirakawaran</v>
      </c>
      <c r="C41394" s="8" t="s">
        <v>2940</v>
      </c>
      <c r="D41394" s="8">
        <v>2109</v>
      </c>
      <c r="E41394" s="8">
        <v>0</v>
      </c>
      <c r="F41394" s="8">
        <v>424</v>
      </c>
    </row>
    <row r="41395" spans="1:6" ht="12.75">
      <c r="A41395" s="8">
        <v>43885.866574074069</v>
      </c>
      <c r="B41395" s="8" t="str">
        <f>HYPERLINK("https://twitter.com/555masteng","@555masteng")</f>
        <v>@555masteng</v>
      </c>
      <c r="C41395" s="8" t="s">
        <v>15405</v>
      </c>
      <c r="D41395" s="8">
        <v>15</v>
      </c>
      <c r="E41395" s="8">
        <v>0</v>
      </c>
      <c r="F41395" s="8">
        <v>5431</v>
      </c>
    </row>
    <row r="41396" spans="1:6" ht="12.75">
      <c r="A41396" s="8">
        <v>43885.86655092593</v>
      </c>
      <c r="B41396" s="8" t="str">
        <f>HYPERLINK("https://twitter.com/H_mints","@H_mints")</f>
        <v>@H_mints</v>
      </c>
      <c r="C41396" s="8" t="s">
        <v>15846</v>
      </c>
      <c r="D41396" s="8">
        <v>0</v>
      </c>
      <c r="E41396" s="8">
        <v>0</v>
      </c>
      <c r="F41396" s="8">
        <v>43</v>
      </c>
    </row>
    <row r="41397" spans="1:6" ht="12.75">
      <c r="A41397" s="8">
        <v>43885.866030092591</v>
      </c>
      <c r="B41397" s="8" t="str">
        <f>HYPERLINK("https://twitter.com/TheNotoriousMLM","@TheNotoriousMLM")</f>
        <v>@TheNotoriousMLM</v>
      </c>
      <c r="C41397" s="8" t="s">
        <v>2940</v>
      </c>
      <c r="D41397" s="8">
        <v>2109</v>
      </c>
      <c r="E41397" s="8">
        <v>0</v>
      </c>
      <c r="F41397" s="8">
        <v>408</v>
      </c>
    </row>
    <row r="41398" spans="1:6" ht="12.75">
      <c r="A41398" s="8">
        <v>43885.865775462968</v>
      </c>
      <c r="B41398" s="8" t="str">
        <f>HYPERLINK("https://twitter.com/HarapanSiahaan2","@HarapanSiahaan2")</f>
        <v>@HarapanSiahaan2</v>
      </c>
      <c r="C41398" s="8" t="s">
        <v>15471</v>
      </c>
      <c r="D41398" s="8">
        <v>120</v>
      </c>
      <c r="E41398" s="8">
        <v>0</v>
      </c>
      <c r="F41398" s="8">
        <v>113</v>
      </c>
    </row>
    <row r="41399" spans="1:6" ht="12.75">
      <c r="A41399" s="8">
        <v>43885.865763888884</v>
      </c>
      <c r="B41399" s="8" t="str">
        <f>HYPERLINK("https://twitter.com/_rosebrand","@_rosebrand")</f>
        <v>@_rosebrand</v>
      </c>
      <c r="C41399" s="8" t="s">
        <v>15847</v>
      </c>
      <c r="D41399" s="8">
        <v>0</v>
      </c>
      <c r="E41399" s="8">
        <v>0</v>
      </c>
      <c r="F41399" s="8">
        <v>956</v>
      </c>
    </row>
    <row r="41400" spans="1:6" ht="12.75">
      <c r="A41400" s="8">
        <v>43885.865520833337</v>
      </c>
      <c r="B41400" s="8" t="str">
        <f>HYPERLINK("https://twitter.com/ISIS_Balik_NO","@ISIS_Balik_NO")</f>
        <v>@ISIS_Balik_NO</v>
      </c>
      <c r="C41400" s="8" t="s">
        <v>15848</v>
      </c>
      <c r="D41400" s="8">
        <v>123</v>
      </c>
      <c r="E41400" s="8">
        <v>0</v>
      </c>
      <c r="F41400" s="8">
        <v>6091</v>
      </c>
    </row>
    <row r="41401" spans="1:6" ht="12.75">
      <c r="A41401" s="8">
        <v>43885.865335648152</v>
      </c>
      <c r="B41401" s="8" t="str">
        <f>HYPERLINK("https://twitter.com/WFW7xOSGbAXmvzL","@WFW7xOSGbAXmvzL")</f>
        <v>@WFW7xOSGbAXmvzL</v>
      </c>
      <c r="C41401" s="8" t="s">
        <v>8484</v>
      </c>
      <c r="D41401" s="8">
        <v>564</v>
      </c>
      <c r="E41401" s="8">
        <v>0</v>
      </c>
      <c r="F41401" s="8">
        <v>33</v>
      </c>
    </row>
    <row r="41402" spans="1:6" ht="12.75">
      <c r="A41402" s="8">
        <v>43885.865324074075</v>
      </c>
      <c r="B41402" s="8" t="str">
        <f>HYPERLINK("https://twitter.com/voaindonesia","@voaindonesia")</f>
        <v>@voaindonesia</v>
      </c>
      <c r="C41402" s="8" t="s">
        <v>15616</v>
      </c>
      <c r="D41402" s="8">
        <v>0</v>
      </c>
      <c r="E41402" s="8">
        <v>1</v>
      </c>
      <c r="F41402" s="8">
        <v>307746</v>
      </c>
    </row>
    <row r="41403" spans="1:6" ht="12.75">
      <c r="A41403" s="8">
        <v>43885.865277777775</v>
      </c>
      <c r="B41403" s="8" t="str">
        <f t="shared" ref="B41403:B41405" si="623">HYPERLINK("https://twitter.com/ShonanAloha","@ShonanAloha")</f>
        <v>@ShonanAloha</v>
      </c>
      <c r="C41403" s="8" t="s">
        <v>14106</v>
      </c>
      <c r="D41403" s="8">
        <v>109</v>
      </c>
      <c r="E41403" s="8">
        <v>0</v>
      </c>
      <c r="F41403" s="8">
        <v>243</v>
      </c>
    </row>
    <row r="41404" spans="1:6" ht="12.75">
      <c r="A41404" s="8">
        <v>43885.865243055552</v>
      </c>
      <c r="B41404" s="8" t="str">
        <f t="shared" si="623"/>
        <v>@ShonanAloha</v>
      </c>
      <c r="C41404" s="8" t="s">
        <v>13834</v>
      </c>
      <c r="D41404" s="8">
        <v>119</v>
      </c>
      <c r="E41404" s="8">
        <v>0</v>
      </c>
      <c r="F41404" s="8">
        <v>243</v>
      </c>
    </row>
    <row r="41405" spans="1:6" ht="12.75">
      <c r="A41405" s="8">
        <v>43885.865173611106</v>
      </c>
      <c r="B41405" s="8" t="str">
        <f t="shared" si="623"/>
        <v>@ShonanAloha</v>
      </c>
      <c r="C41405" s="8" t="s">
        <v>8484</v>
      </c>
      <c r="D41405" s="8">
        <v>564</v>
      </c>
      <c r="E41405" s="8">
        <v>0</v>
      </c>
      <c r="F41405" s="8">
        <v>243</v>
      </c>
    </row>
    <row r="41406" spans="1:6" ht="12.75">
      <c r="A41406" s="8">
        <v>43885.864930555559</v>
      </c>
      <c r="B41406" s="8" t="str">
        <f>HYPERLINK("https://twitter.com/dwianta78","@dwianta78")</f>
        <v>@dwianta78</v>
      </c>
      <c r="C41406" s="8" t="s">
        <v>2940</v>
      </c>
      <c r="D41406" s="8">
        <v>2109</v>
      </c>
      <c r="E41406" s="8">
        <v>0</v>
      </c>
      <c r="F41406" s="8">
        <v>32</v>
      </c>
    </row>
    <row r="41407" spans="1:6" ht="12.75">
      <c r="A41407" s="8">
        <v>43885.864444444444</v>
      </c>
      <c r="B41407" s="8" t="str">
        <f>HYPERLINK("https://twitter.com/rinichan02","@rinichan02")</f>
        <v>@rinichan02</v>
      </c>
      <c r="C41407" s="8" t="s">
        <v>15849</v>
      </c>
      <c r="D41407" s="8">
        <v>0</v>
      </c>
      <c r="E41407" s="8">
        <v>0</v>
      </c>
      <c r="F41407" s="8">
        <v>2850</v>
      </c>
    </row>
    <row r="41408" spans="1:6" ht="12.75">
      <c r="A41408" s="8">
        <v>43885.864398148144</v>
      </c>
      <c r="B41408" s="8" t="str">
        <f>HYPERLINK("https://twitter.com/Bulemasyadi1","@Bulemasyadi1")</f>
        <v>@Bulemasyadi1</v>
      </c>
      <c r="C41408" s="8" t="s">
        <v>15850</v>
      </c>
      <c r="D41408" s="8">
        <v>0</v>
      </c>
      <c r="E41408" s="8">
        <v>0</v>
      </c>
      <c r="F41408" s="8">
        <v>123</v>
      </c>
    </row>
    <row r="41409" spans="1:6" ht="12.75">
      <c r="A41409" s="8">
        <v>43885.864247685182</v>
      </c>
      <c r="B41409" s="8" t="str">
        <f>HYPERLINK("https://twitter.com/Jeff_Zain","@Jeff_Zain")</f>
        <v>@Jeff_Zain</v>
      </c>
      <c r="C41409" s="8" t="s">
        <v>15235</v>
      </c>
      <c r="D41409" s="8">
        <v>1</v>
      </c>
      <c r="E41409" s="8">
        <v>0</v>
      </c>
      <c r="F41409" s="8">
        <v>90</v>
      </c>
    </row>
    <row r="41410" spans="1:6" ht="12.75">
      <c r="A41410" s="8">
        <v>43885.864224537036</v>
      </c>
      <c r="B41410" s="8" t="str">
        <f>HYPERLINK("https://twitter.com/ebirobu","@ebirobu")</f>
        <v>@ebirobu</v>
      </c>
      <c r="C41410" s="8" t="s">
        <v>8484</v>
      </c>
      <c r="D41410" s="8">
        <v>564</v>
      </c>
      <c r="E41410" s="8">
        <v>0</v>
      </c>
      <c r="F41410" s="8">
        <v>993</v>
      </c>
    </row>
    <row r="41411" spans="1:6" ht="12.75">
      <c r="A41411" s="8">
        <v>43885.863773148143</v>
      </c>
      <c r="B41411" s="8" t="str">
        <f>HYPERLINK("https://twitter.com/hiropxd","@hiropxd")</f>
        <v>@hiropxd</v>
      </c>
      <c r="C41411" s="8" t="s">
        <v>2940</v>
      </c>
      <c r="D41411" s="8">
        <v>2109</v>
      </c>
      <c r="E41411" s="8">
        <v>0</v>
      </c>
      <c r="F41411" s="8">
        <v>436</v>
      </c>
    </row>
    <row r="41412" spans="1:6" ht="12.75">
      <c r="A41412" s="8">
        <v>43885.863680555558</v>
      </c>
      <c r="B41412" s="8" t="str">
        <f>HYPERLINK("https://twitter.com/singhsanjaychau","@singhsanjaychau")</f>
        <v>@singhsanjaychau</v>
      </c>
      <c r="C41412" s="8" t="s">
        <v>15851</v>
      </c>
      <c r="D41412" s="8">
        <v>0</v>
      </c>
      <c r="E41412" s="8">
        <v>0</v>
      </c>
      <c r="F41412" s="8">
        <v>2895</v>
      </c>
    </row>
    <row r="41413" spans="1:6" ht="12.75">
      <c r="A41413" s="8">
        <v>43885.86346064815</v>
      </c>
      <c r="B41413" s="8" t="str">
        <f>HYPERLINK("https://twitter.com/Wahidah_IR","@Wahidah_IR")</f>
        <v>@Wahidah_IR</v>
      </c>
      <c r="C41413" s="8" t="s">
        <v>15852</v>
      </c>
      <c r="D41413" s="8">
        <v>24</v>
      </c>
      <c r="E41413" s="8">
        <v>0</v>
      </c>
      <c r="F41413" s="8">
        <v>138</v>
      </c>
    </row>
    <row r="41414" spans="1:6" ht="12.75">
      <c r="A41414" s="8">
        <v>43885.863055555557</v>
      </c>
      <c r="B41414" s="8" t="str">
        <f>HYPERLINK("https://twitter.com/edhi_shi","@edhi_shi")</f>
        <v>@edhi_shi</v>
      </c>
      <c r="C41414" s="8" t="s">
        <v>15853</v>
      </c>
      <c r="D41414" s="8">
        <v>1</v>
      </c>
      <c r="E41414" s="8">
        <v>0</v>
      </c>
      <c r="F41414" s="8">
        <v>667</v>
      </c>
    </row>
    <row r="41415" spans="1:6" ht="12.75">
      <c r="A41415" s="8">
        <v>43885.862442129626</v>
      </c>
      <c r="B41415" s="8" t="str">
        <f>HYPERLINK("https://twitter.com/RahmaSyahputri3","@RahmaSyahputri3")</f>
        <v>@RahmaSyahputri3</v>
      </c>
      <c r="C41415" s="8" t="s">
        <v>15854</v>
      </c>
      <c r="D41415" s="8">
        <v>0</v>
      </c>
      <c r="E41415" s="8">
        <v>0</v>
      </c>
      <c r="F41415" s="8">
        <v>586</v>
      </c>
    </row>
    <row r="41416" spans="1:6" ht="12.75">
      <c r="A41416" s="8">
        <v>43885.861886574072</v>
      </c>
      <c r="B41416" s="8" t="str">
        <f>HYPERLINK("https://twitter.com/tempodotco","@tempodotco")</f>
        <v>@tempodotco</v>
      </c>
      <c r="C41416" s="8" t="s">
        <v>15855</v>
      </c>
      <c r="D41416" s="8">
        <v>0</v>
      </c>
      <c r="E41416" s="8">
        <v>0</v>
      </c>
      <c r="F41416" s="8">
        <v>1710716</v>
      </c>
    </row>
    <row r="41417" spans="1:6" ht="12.75">
      <c r="A41417" s="8">
        <v>43885.861666666664</v>
      </c>
      <c r="B41417" s="8" t="str">
        <f>HYPERLINK("https://twitter.com/darknes_lucifer","@darknes_lucifer")</f>
        <v>@darknes_lucifer</v>
      </c>
      <c r="C41417" s="8" t="s">
        <v>15856</v>
      </c>
      <c r="D41417" s="8">
        <v>8</v>
      </c>
      <c r="E41417" s="8">
        <v>0</v>
      </c>
      <c r="F41417" s="8">
        <v>419</v>
      </c>
    </row>
    <row r="41418" spans="1:6" ht="12.75">
      <c r="A41418" s="8">
        <v>43885.861666666664</v>
      </c>
      <c r="B41418" s="8" t="str">
        <f>HYPERLINK("https://twitter.com/aiiueou","@aiiueou")</f>
        <v>@aiiueou</v>
      </c>
      <c r="C41418" s="8" t="s">
        <v>15598</v>
      </c>
      <c r="D41418" s="8">
        <v>20</v>
      </c>
      <c r="E41418" s="8">
        <v>0</v>
      </c>
      <c r="F41418" s="8">
        <v>29</v>
      </c>
    </row>
    <row r="41419" spans="1:6" ht="12.75">
      <c r="A41419" s="8">
        <v>43885.861597222218</v>
      </c>
      <c r="B41419" s="8" t="str">
        <f>HYPERLINK("https://twitter.com/neeskhoir","@neeskhoir")</f>
        <v>@neeskhoir</v>
      </c>
      <c r="C41419" s="8" t="s">
        <v>12920</v>
      </c>
      <c r="D41419" s="8">
        <v>1437</v>
      </c>
      <c r="E41419" s="8">
        <v>0</v>
      </c>
      <c r="F41419" s="8">
        <v>436</v>
      </c>
    </row>
    <row r="41420" spans="1:6" ht="12.75">
      <c r="A41420" s="8">
        <v>43885.86136574074</v>
      </c>
      <c r="B41420" s="8" t="str">
        <f>HYPERLINK("https://twitter.com/YaneFonda","@YaneFonda")</f>
        <v>@YaneFonda</v>
      </c>
      <c r="C41420" s="8" t="s">
        <v>2940</v>
      </c>
      <c r="D41420" s="8">
        <v>2109</v>
      </c>
      <c r="E41420" s="8">
        <v>0</v>
      </c>
      <c r="F41420" s="8">
        <v>69</v>
      </c>
    </row>
    <row r="41421" spans="1:6" ht="12.75">
      <c r="A41421" s="8">
        <v>43885.860995370371</v>
      </c>
      <c r="B41421" s="8" t="str">
        <f>HYPERLINK("https://twitter.com/gw_radikal","@gw_radikal")</f>
        <v>@gw_radikal</v>
      </c>
      <c r="C41421" s="8" t="s">
        <v>2940</v>
      </c>
      <c r="D41421" s="8">
        <v>2109</v>
      </c>
      <c r="E41421" s="8">
        <v>0</v>
      </c>
      <c r="F41421" s="8">
        <v>478</v>
      </c>
    </row>
    <row r="41422" spans="1:6" ht="12.75">
      <c r="A41422" s="8">
        <v>43885.860451388886</v>
      </c>
      <c r="B41422" s="8" t="str">
        <f>HYPERLINK("https://twitter.com/bolabolakeju26","@bolabolakeju26")</f>
        <v>@bolabolakeju26</v>
      </c>
      <c r="C41422" s="8" t="s">
        <v>12920</v>
      </c>
      <c r="D41422" s="8">
        <v>1437</v>
      </c>
      <c r="E41422" s="8">
        <v>0</v>
      </c>
      <c r="F41422" s="8">
        <v>659</v>
      </c>
    </row>
    <row r="41423" spans="1:6" ht="12.75">
      <c r="A41423" s="8">
        <v>43885.86042824074</v>
      </c>
      <c r="B41423" s="8" t="str">
        <f>HYPERLINK("https://twitter.com/noUt5JRCQL4jyka","@noUt5JRCQL4jyka")</f>
        <v>@noUt5JRCQL4jyka</v>
      </c>
      <c r="C41423" s="8" t="s">
        <v>8484</v>
      </c>
      <c r="D41423" s="8">
        <v>564</v>
      </c>
      <c r="E41423" s="8">
        <v>0</v>
      </c>
      <c r="F41423" s="8">
        <v>248</v>
      </c>
    </row>
    <row r="41424" spans="1:6" ht="12.75">
      <c r="A41424" s="8">
        <v>43885.859351851846</v>
      </c>
      <c r="B41424" s="8" t="str">
        <f>HYPERLINK("https://twitter.com/mommiedhanis","@mommiedhanis")</f>
        <v>@mommiedhanis</v>
      </c>
      <c r="C41424" s="8" t="s">
        <v>15857</v>
      </c>
      <c r="D41424" s="8">
        <v>0</v>
      </c>
      <c r="E41424" s="8">
        <v>0</v>
      </c>
      <c r="F41424" s="8">
        <v>510</v>
      </c>
    </row>
    <row r="41425" spans="1:6" ht="12.75">
      <c r="A41425" s="8">
        <v>43885.859317129631</v>
      </c>
      <c r="B41425" s="8" t="str">
        <f>HYPERLINK("https://twitter.com/BayuKhrisna14","@BayuKhrisna14")</f>
        <v>@BayuKhrisna14</v>
      </c>
      <c r="C41425" s="8" t="s">
        <v>14859</v>
      </c>
      <c r="D41425" s="8">
        <v>15</v>
      </c>
      <c r="E41425" s="8">
        <v>0</v>
      </c>
      <c r="F41425" s="8">
        <v>624</v>
      </c>
    </row>
    <row r="41426" spans="1:6" ht="12.75">
      <c r="A41426" s="8">
        <v>43885.859155092592</v>
      </c>
      <c r="B41426" s="8" t="str">
        <f>HYPERLINK("https://twitter.com/BobbyIrwanda","@BobbyIrwanda")</f>
        <v>@BobbyIrwanda</v>
      </c>
      <c r="C41426" s="8" t="s">
        <v>15858</v>
      </c>
      <c r="D41426" s="8">
        <v>1</v>
      </c>
      <c r="E41426" s="8">
        <v>0</v>
      </c>
      <c r="F41426" s="8">
        <v>1669</v>
      </c>
    </row>
    <row r="41427" spans="1:6" ht="12.75">
      <c r="A41427" s="8">
        <v>43885.859050925923</v>
      </c>
      <c r="B41427" s="8" t="str">
        <f>HYPERLINK("https://twitter.com/you_ka_22","@you_ka_22")</f>
        <v>@you_ka_22</v>
      </c>
      <c r="C41427" s="8" t="s">
        <v>8484</v>
      </c>
      <c r="D41427" s="8">
        <v>564</v>
      </c>
      <c r="E41427" s="8">
        <v>0</v>
      </c>
      <c r="F41427" s="8">
        <v>1255</v>
      </c>
    </row>
    <row r="41428" spans="1:6" ht="12.75">
      <c r="A41428" s="8">
        <v>43885.857534722221</v>
      </c>
      <c r="B41428" s="8" t="str">
        <f>HYPERLINK("https://twitter.com/MuhajirAnwar1","@MuhajirAnwar1")</f>
        <v>@MuhajirAnwar1</v>
      </c>
      <c r="C41428" s="8" t="s">
        <v>15859</v>
      </c>
      <c r="D41428" s="8">
        <v>0</v>
      </c>
      <c r="E41428" s="8">
        <v>0</v>
      </c>
      <c r="F41428" s="8">
        <v>141</v>
      </c>
    </row>
    <row r="41429" spans="1:6" ht="12.75">
      <c r="A41429" s="8">
        <v>43885.857523148152</v>
      </c>
      <c r="B41429" s="8" t="str">
        <f>HYPERLINK("https://twitter.com/ilovebergdog","@ilovebergdog")</f>
        <v>@ilovebergdog</v>
      </c>
      <c r="C41429" s="8" t="s">
        <v>2940</v>
      </c>
      <c r="D41429" s="8">
        <v>2086</v>
      </c>
      <c r="E41429" s="8">
        <v>0</v>
      </c>
      <c r="F41429" s="8">
        <v>1023</v>
      </c>
    </row>
    <row r="41430" spans="1:6" ht="12.75">
      <c r="A41430" s="8">
        <v>43885.857407407406</v>
      </c>
      <c r="B41430" s="8" t="str">
        <f>HYPERLINK("https://twitter.com/arkulu","@arkulu")</f>
        <v>@arkulu</v>
      </c>
      <c r="C41430" s="8" t="s">
        <v>15860</v>
      </c>
      <c r="D41430" s="8">
        <v>0</v>
      </c>
      <c r="E41430" s="8">
        <v>0</v>
      </c>
      <c r="F41430" s="8">
        <v>132</v>
      </c>
    </row>
    <row r="41431" spans="1:6" ht="12.75">
      <c r="A41431" s="8">
        <v>43885.857083333336</v>
      </c>
      <c r="B41431" s="8" t="str">
        <f>HYPERLINK("https://twitter.com/herbrowski","@herbrowski")</f>
        <v>@herbrowski</v>
      </c>
      <c r="C41431" s="8" t="s">
        <v>15861</v>
      </c>
      <c r="D41431" s="8">
        <v>0</v>
      </c>
      <c r="E41431" s="8">
        <v>0</v>
      </c>
      <c r="F41431" s="8">
        <v>34</v>
      </c>
    </row>
    <row r="41432" spans="1:6" ht="12.75">
      <c r="A41432" s="8">
        <v>43885.856979166667</v>
      </c>
      <c r="B41432" s="8" t="str">
        <f>HYPERLINK("https://twitter.com/daelyshit","@daelyshit")</f>
        <v>@daelyshit</v>
      </c>
      <c r="C41432" s="8" t="s">
        <v>12882</v>
      </c>
      <c r="D41432" s="8">
        <v>48</v>
      </c>
      <c r="E41432" s="8">
        <v>0</v>
      </c>
      <c r="F41432" s="8">
        <v>158</v>
      </c>
    </row>
    <row r="41433" spans="1:6" ht="12.75">
      <c r="A41433" s="8">
        <v>43885.856689814813</v>
      </c>
      <c r="B41433" s="8" t="str">
        <f>HYPERLINK("https://twitter.com/eajmet","@eajmet")</f>
        <v>@eajmet</v>
      </c>
      <c r="C41433" s="8" t="s">
        <v>15862</v>
      </c>
      <c r="D41433" s="8">
        <v>0</v>
      </c>
      <c r="E41433" s="8">
        <v>0</v>
      </c>
      <c r="F41433" s="8">
        <v>1235</v>
      </c>
    </row>
    <row r="41434" spans="1:6" ht="12.75">
      <c r="A41434" s="8">
        <v>43885.85664351852</v>
      </c>
      <c r="B41434" s="8" t="str">
        <f>HYPERLINK("https://twitter.com/aavriani","@aavriani")</f>
        <v>@aavriani</v>
      </c>
      <c r="C41434" s="8" t="s">
        <v>15836</v>
      </c>
      <c r="D41434" s="8">
        <v>3</v>
      </c>
      <c r="E41434" s="8">
        <v>0</v>
      </c>
      <c r="F41434" s="8">
        <v>560</v>
      </c>
    </row>
    <row r="41435" spans="1:6" ht="12.75">
      <c r="A41435" s="8">
        <v>43885.856493055559</v>
      </c>
      <c r="B41435" s="8" t="str">
        <f>HYPERLINK("https://twitter.com/elyabara","@elyabara")</f>
        <v>@elyabara</v>
      </c>
      <c r="C41435" s="8" t="s">
        <v>15863</v>
      </c>
      <c r="D41435" s="8">
        <v>0</v>
      </c>
      <c r="E41435" s="8">
        <v>0</v>
      </c>
      <c r="F41435" s="8">
        <v>339</v>
      </c>
    </row>
    <row r="41436" spans="1:6" ht="12.75">
      <c r="A41436" s="8">
        <v>43885.856273148151</v>
      </c>
      <c r="B41436" s="8" t="str">
        <f>HYPERLINK("https://twitter.com/H_mints","@H_mints")</f>
        <v>@H_mints</v>
      </c>
      <c r="C41436" s="8" t="s">
        <v>15864</v>
      </c>
      <c r="D41436" s="8">
        <v>0</v>
      </c>
      <c r="E41436" s="8">
        <v>0</v>
      </c>
      <c r="F41436" s="8">
        <v>43</v>
      </c>
    </row>
    <row r="41437" spans="1:6" ht="12.75">
      <c r="A41437" s="8">
        <v>43885.856122685189</v>
      </c>
      <c r="B41437" s="8" t="str">
        <f>HYPERLINK("https://twitter.com/jerry_gemini","@jerry_gemini")</f>
        <v>@jerry_gemini</v>
      </c>
      <c r="C41437" s="8" t="s">
        <v>15455</v>
      </c>
      <c r="D41437" s="8">
        <v>6</v>
      </c>
      <c r="E41437" s="8">
        <v>0</v>
      </c>
      <c r="F41437" s="8">
        <v>2033</v>
      </c>
    </row>
    <row r="41438" spans="1:6" ht="12.75">
      <c r="A41438" s="8">
        <v>43885.855798611112</v>
      </c>
      <c r="B41438" s="8" t="str">
        <f>HYPERLINK("https://twitter.com/Benysap73692697","@Benysap73692697")</f>
        <v>@Benysap73692697</v>
      </c>
      <c r="C41438" s="8" t="s">
        <v>2940</v>
      </c>
      <c r="D41438" s="8">
        <v>2086</v>
      </c>
      <c r="E41438" s="8">
        <v>0</v>
      </c>
      <c r="F41438" s="8">
        <v>236</v>
      </c>
    </row>
    <row r="41439" spans="1:6" ht="12.75">
      <c r="A41439" s="8">
        <v>43885.855590277773</v>
      </c>
      <c r="B41439" s="8" t="str">
        <f>HYPERLINK("https://twitter.com/kompascom","@kompascom")</f>
        <v>@kompascom</v>
      </c>
      <c r="C41439" s="8" t="s">
        <v>15865</v>
      </c>
      <c r="D41439" s="8">
        <v>0</v>
      </c>
      <c r="E41439" s="8">
        <v>2</v>
      </c>
      <c r="F41439" s="8">
        <v>7510713</v>
      </c>
    </row>
    <row r="41440" spans="1:6" ht="12.75">
      <c r="A41440" s="8">
        <v>43885.855578703704</v>
      </c>
      <c r="B41440" s="8" t="str">
        <f>HYPERLINK("https://twitter.com/AnasApriyadi","@AnasApriyadi")</f>
        <v>@AnasApriyadi</v>
      </c>
      <c r="C41440" s="8" t="s">
        <v>15866</v>
      </c>
      <c r="D41440" s="8">
        <v>0</v>
      </c>
      <c r="E41440" s="8">
        <v>0</v>
      </c>
      <c r="F41440" s="8">
        <v>558</v>
      </c>
    </row>
    <row r="41441" spans="1:6" ht="12.75">
      <c r="A41441" s="8">
        <v>43885.855543981481</v>
      </c>
      <c r="B41441" s="8" t="str">
        <f>HYPERLINK("https://twitter.com/arcyuri","@arcyuri")</f>
        <v>@arcyuri</v>
      </c>
      <c r="C41441" s="8" t="s">
        <v>15867</v>
      </c>
      <c r="D41441" s="8">
        <v>0</v>
      </c>
      <c r="E41441" s="8">
        <v>0</v>
      </c>
      <c r="F41441" s="8">
        <v>62</v>
      </c>
    </row>
    <row r="41442" spans="1:6" ht="12.75">
      <c r="A41442" s="8">
        <v>43885.855231481481</v>
      </c>
      <c r="B41442" s="8" t="str">
        <f>HYPERLINK("https://twitter.com/purada0412","@purada0412")</f>
        <v>@purada0412</v>
      </c>
      <c r="C41442" s="8" t="s">
        <v>2940</v>
      </c>
      <c r="D41442" s="8">
        <v>2086</v>
      </c>
      <c r="E41442" s="8">
        <v>0</v>
      </c>
      <c r="F41442" s="8">
        <v>3964</v>
      </c>
    </row>
    <row r="41443" spans="1:6" ht="12.75">
      <c r="A41443" s="8">
        <v>43885.855185185181</v>
      </c>
      <c r="B41443" s="8" t="str">
        <f>HYPERLINK("https://twitter.com/PradityaBeni","@PradityaBeni")</f>
        <v>@PradityaBeni</v>
      </c>
      <c r="C41443" s="8" t="s">
        <v>15672</v>
      </c>
      <c r="D41443" s="8">
        <v>13</v>
      </c>
      <c r="E41443" s="8">
        <v>0</v>
      </c>
      <c r="F41443" s="8">
        <v>1294</v>
      </c>
    </row>
    <row r="41444" spans="1:6" ht="12.75">
      <c r="A41444" s="8">
        <v>43885.855081018519</v>
      </c>
      <c r="B41444" s="8" t="str">
        <f>HYPERLINK("https://twitter.com/adhiariari","@adhiariari")</f>
        <v>@adhiariari</v>
      </c>
      <c r="C41444" s="8" t="s">
        <v>15868</v>
      </c>
      <c r="D41444" s="8">
        <v>0</v>
      </c>
      <c r="E41444" s="8">
        <v>0</v>
      </c>
      <c r="F41444" s="8">
        <v>1321</v>
      </c>
    </row>
    <row r="41445" spans="1:6" ht="12.75">
      <c r="A41445" s="8">
        <v>43885.854837962965</v>
      </c>
      <c r="B41445" s="8" t="str">
        <f>HYPERLINK("https://twitter.com/lulu_lanakira","@lulu_lanakira")</f>
        <v>@lulu_lanakira</v>
      </c>
      <c r="C41445" s="8" t="s">
        <v>2940</v>
      </c>
      <c r="D41445" s="8">
        <v>2086</v>
      </c>
      <c r="E41445" s="8">
        <v>0</v>
      </c>
      <c r="F41445" s="8">
        <v>1837</v>
      </c>
    </row>
    <row r="41446" spans="1:6" ht="12.75">
      <c r="A41446" s="8">
        <v>43885.854756944449</v>
      </c>
      <c r="B41446" s="8" t="str">
        <f>HYPERLINK("https://twitter.com/mostradio1058fm","@mostradio1058fm")</f>
        <v>@mostradio1058fm</v>
      </c>
      <c r="C41446" s="8" t="s">
        <v>15869</v>
      </c>
      <c r="D41446" s="8">
        <v>0</v>
      </c>
      <c r="E41446" s="8">
        <v>0</v>
      </c>
      <c r="F41446" s="8">
        <v>75409</v>
      </c>
    </row>
    <row r="41447" spans="1:6" ht="12.75">
      <c r="A41447" s="8">
        <v>43885.854745370365</v>
      </c>
      <c r="B41447" s="8" t="str">
        <f>HYPERLINK("https://twitter.com/VeryLuckyH","@VeryLuckyH")</f>
        <v>@VeryLuckyH</v>
      </c>
      <c r="C41447" s="8" t="s">
        <v>2940</v>
      </c>
      <c r="D41447" s="8">
        <v>2086</v>
      </c>
      <c r="E41447" s="8">
        <v>0</v>
      </c>
      <c r="F41447" s="8">
        <v>193</v>
      </c>
    </row>
    <row r="41448" spans="1:6" ht="12.75">
      <c r="A41448" s="8">
        <v>43885.854583333334</v>
      </c>
      <c r="B41448" s="8" t="str">
        <f>HYPERLINK("https://twitter.com/ronronron007","@ronronron007")</f>
        <v>@ronronron007</v>
      </c>
      <c r="C41448" s="8" t="s">
        <v>8484</v>
      </c>
      <c r="D41448" s="8">
        <v>552</v>
      </c>
      <c r="E41448" s="8">
        <v>0</v>
      </c>
      <c r="F41448" s="8">
        <v>223</v>
      </c>
    </row>
    <row r="41449" spans="1:6" ht="12.75">
      <c r="A41449" s="8">
        <v>43885.85456018518</v>
      </c>
      <c r="B41449" s="8" t="str">
        <f>HYPERLINK("https://twitter.com/mehulpadmashali","@mehulpadmashali")</f>
        <v>@mehulpadmashali</v>
      </c>
      <c r="C41449" s="8" t="s">
        <v>15684</v>
      </c>
      <c r="D41449" s="8">
        <v>9</v>
      </c>
      <c r="E41449" s="8">
        <v>0</v>
      </c>
      <c r="F41449" s="8">
        <v>157</v>
      </c>
    </row>
    <row r="41450" spans="1:6" ht="12.75">
      <c r="A41450" s="8">
        <v>43885.854502314818</v>
      </c>
      <c r="B41450" s="8" t="str">
        <f>HYPERLINK("https://twitter.com/maulatv","@maulatv")</f>
        <v>@maulatv</v>
      </c>
      <c r="C41450" s="8" t="s">
        <v>15870</v>
      </c>
      <c r="D41450" s="8">
        <v>0</v>
      </c>
      <c r="E41450" s="8">
        <v>0</v>
      </c>
      <c r="F41450" s="8">
        <v>1519</v>
      </c>
    </row>
    <row r="41451" spans="1:6" ht="12.75">
      <c r="A41451" s="8">
        <v>43885.854386574079</v>
      </c>
      <c r="B41451" s="8" t="str">
        <f>HYPERLINK("https://twitter.com/nicko76733794","@nicko76733794")</f>
        <v>@nicko76733794</v>
      </c>
      <c r="C41451" s="8" t="s">
        <v>15871</v>
      </c>
      <c r="D41451" s="8">
        <v>0</v>
      </c>
      <c r="E41451" s="8">
        <v>0</v>
      </c>
      <c r="F41451" s="8">
        <v>0</v>
      </c>
    </row>
    <row r="41452" spans="1:6" ht="12.75">
      <c r="A41452" s="8">
        <v>43885.854224537034</v>
      </c>
      <c r="B41452" s="8" t="str">
        <f>HYPERLINK("https://twitter.com/alineadotid","@alineadotid")</f>
        <v>@alineadotid</v>
      </c>
      <c r="C41452" s="8" t="s">
        <v>15872</v>
      </c>
      <c r="D41452" s="8">
        <v>0</v>
      </c>
      <c r="E41452" s="8">
        <v>0</v>
      </c>
      <c r="F41452" s="8">
        <v>611833</v>
      </c>
    </row>
    <row r="41453" spans="1:6" ht="12.75">
      <c r="A41453" s="8">
        <v>43885.85319444444</v>
      </c>
      <c r="B41453" s="8" t="str">
        <f>HYPERLINK("https://twitter.com/perisaanggora","@perisaanggora")</f>
        <v>@perisaanggora</v>
      </c>
      <c r="C41453" s="8" t="s">
        <v>2940</v>
      </c>
      <c r="D41453" s="8">
        <v>2086</v>
      </c>
      <c r="E41453" s="8">
        <v>0</v>
      </c>
      <c r="F41453" s="8">
        <v>178</v>
      </c>
    </row>
    <row r="41454" spans="1:6" ht="12.75">
      <c r="A41454" s="8">
        <v>43885.852824074071</v>
      </c>
      <c r="B41454" s="8" t="str">
        <f>HYPERLINK("https://twitter.com/Carianaditya","@Carianaditya")</f>
        <v>@Carianaditya</v>
      </c>
      <c r="C41454" s="8" t="s">
        <v>14859</v>
      </c>
      <c r="D41454" s="8">
        <v>14</v>
      </c>
      <c r="E41454" s="8">
        <v>0</v>
      </c>
      <c r="F41454" s="8">
        <v>90</v>
      </c>
    </row>
    <row r="41455" spans="1:6" ht="12.75">
      <c r="A41455" s="8">
        <v>43885.852812500001</v>
      </c>
      <c r="B41455" s="8" t="str">
        <f>HYPERLINK("https://twitter.com/MasbosTv","@MasbosTv")</f>
        <v>@MasbosTv</v>
      </c>
      <c r="C41455" s="8" t="s">
        <v>15873</v>
      </c>
      <c r="D41455" s="8">
        <v>0</v>
      </c>
      <c r="E41455" s="8">
        <v>0</v>
      </c>
      <c r="F41455" s="8">
        <v>0</v>
      </c>
    </row>
    <row r="41456" spans="1:6" ht="12.75">
      <c r="A41456" s="8">
        <v>43885.85256944444</v>
      </c>
      <c r="B41456" s="8" t="str">
        <f>HYPERLINK("https://twitter.com/nicko76733794","@nicko76733794")</f>
        <v>@nicko76733794</v>
      </c>
      <c r="C41456" s="8" t="s">
        <v>15874</v>
      </c>
      <c r="D41456" s="8">
        <v>0</v>
      </c>
      <c r="E41456" s="8">
        <v>0</v>
      </c>
      <c r="F41456" s="8">
        <v>0</v>
      </c>
    </row>
    <row r="41457" spans="1:6" ht="12.75">
      <c r="A41457" s="8">
        <v>43885.852500000001</v>
      </c>
      <c r="B41457" s="8" t="str">
        <f>HYPERLINK("https://twitter.com/Pfj4cplRLgiPmnc","@Pfj4cplRLgiPmnc")</f>
        <v>@Pfj4cplRLgiPmnc</v>
      </c>
      <c r="C41457" s="8" t="s">
        <v>2940</v>
      </c>
      <c r="D41457" s="8">
        <v>2086</v>
      </c>
      <c r="E41457" s="8">
        <v>0</v>
      </c>
      <c r="F41457" s="8">
        <v>10</v>
      </c>
    </row>
    <row r="41458" spans="1:6" ht="12.75">
      <c r="A41458" s="8">
        <v>43885.852476851855</v>
      </c>
      <c r="B41458" s="8" t="str">
        <f>HYPERLINK("https://twitter.com/vonbronbiru","@vonbronbiru")</f>
        <v>@vonbronbiru</v>
      </c>
      <c r="C41458" s="8" t="s">
        <v>15455</v>
      </c>
      <c r="D41458" s="8">
        <v>6</v>
      </c>
      <c r="E41458" s="8">
        <v>0</v>
      </c>
      <c r="F41458" s="8">
        <v>1134</v>
      </c>
    </row>
    <row r="41459" spans="1:6" ht="12.75">
      <c r="A41459" s="8">
        <v>43885.852476851855</v>
      </c>
      <c r="B41459" s="8" t="str">
        <f>HYPERLINK("https://twitter.com/sagita_ri_us","@sagita_ri_us")</f>
        <v>@sagita_ri_us</v>
      </c>
      <c r="C41459" s="8" t="s">
        <v>12920</v>
      </c>
      <c r="D41459" s="8">
        <v>1430</v>
      </c>
      <c r="E41459" s="8">
        <v>0</v>
      </c>
      <c r="F41459" s="8">
        <v>174</v>
      </c>
    </row>
    <row r="41460" spans="1:6" ht="12.75">
      <c r="A41460" s="8">
        <v>43885.852361111116</v>
      </c>
      <c r="B41460" s="8" t="str">
        <f>HYPERLINK("https://twitter.com/PramonoNyoto","@PramonoNyoto")</f>
        <v>@PramonoNyoto</v>
      </c>
      <c r="C41460" s="8" t="s">
        <v>12920</v>
      </c>
      <c r="D41460" s="8">
        <v>1430</v>
      </c>
      <c r="E41460" s="8">
        <v>0</v>
      </c>
      <c r="F41460" s="8">
        <v>5</v>
      </c>
    </row>
    <row r="41461" spans="1:6" ht="12.75">
      <c r="A41461" s="8">
        <v>43885.85229166667</v>
      </c>
      <c r="B41461" s="8" t="str">
        <f>HYPERLINK("https://twitter.com/realAbikaTrader","@realAbikaTrader")</f>
        <v>@realAbikaTrader</v>
      </c>
      <c r="C41461" s="8" t="s">
        <v>15875</v>
      </c>
      <c r="D41461" s="8">
        <v>0</v>
      </c>
      <c r="E41461" s="8">
        <v>1</v>
      </c>
      <c r="F41461" s="8">
        <v>1301</v>
      </c>
    </row>
    <row r="41462" spans="1:6" ht="12.75">
      <c r="A41462" s="8">
        <v>43885.852025462962</v>
      </c>
      <c r="B41462" s="8" t="str">
        <f>HYPERLINK("https://twitter.com/KinTeuk","@KinTeuk")</f>
        <v>@KinTeuk</v>
      </c>
      <c r="C41462" s="8" t="s">
        <v>15876</v>
      </c>
      <c r="D41462" s="8">
        <v>0</v>
      </c>
      <c r="E41462" s="8">
        <v>0</v>
      </c>
      <c r="F41462" s="8">
        <v>237</v>
      </c>
    </row>
    <row r="41463" spans="1:6" ht="12.75">
      <c r="A41463" s="8">
        <v>43885.852013888885</v>
      </c>
      <c r="B41463" s="8" t="str">
        <f>HYPERLINK("https://twitter.com/SengalVijay","@SengalVijay")</f>
        <v>@SengalVijay</v>
      </c>
      <c r="C41463" s="8" t="s">
        <v>15684</v>
      </c>
      <c r="D41463" s="8">
        <v>9</v>
      </c>
      <c r="E41463" s="8">
        <v>0</v>
      </c>
      <c r="F41463" s="8">
        <v>7</v>
      </c>
    </row>
    <row r="41464" spans="1:6" ht="12.75">
      <c r="A41464" s="8">
        <v>43885.8518287037</v>
      </c>
      <c r="B41464" s="8" t="str">
        <f>HYPERLINK("https://twitter.com/RepublikTweep","@RepublikTweep")</f>
        <v>@RepublikTweep</v>
      </c>
      <c r="C41464" s="8" t="s">
        <v>15877</v>
      </c>
      <c r="D41464" s="8">
        <v>0</v>
      </c>
      <c r="E41464" s="8">
        <v>0</v>
      </c>
      <c r="F41464" s="8">
        <v>27445</v>
      </c>
    </row>
    <row r="41465" spans="1:6" ht="12.75">
      <c r="A41465" s="8">
        <v>43885.851412037038</v>
      </c>
      <c r="B41465" s="8" t="str">
        <f>HYPERLINK("https://twitter.com/rinichan02","@rinichan02")</f>
        <v>@rinichan02</v>
      </c>
      <c r="C41465" s="8" t="s">
        <v>15878</v>
      </c>
      <c r="D41465" s="8">
        <v>0</v>
      </c>
      <c r="E41465" s="8">
        <v>0</v>
      </c>
      <c r="F41465" s="8">
        <v>2850</v>
      </c>
    </row>
    <row r="41466" spans="1:6" ht="12.75">
      <c r="A41466" s="8">
        <v>43885.851331018523</v>
      </c>
      <c r="B41466" s="8" t="str">
        <f>HYPERLINK("https://twitter.com/ImamKimung","@ImamKimung")</f>
        <v>@ImamKimung</v>
      </c>
      <c r="C41466" s="8" t="s">
        <v>12920</v>
      </c>
      <c r="D41466" s="8">
        <v>1430</v>
      </c>
      <c r="E41466" s="8">
        <v>0</v>
      </c>
      <c r="F41466" s="8">
        <v>354</v>
      </c>
    </row>
    <row r="41467" spans="1:6" ht="12.75">
      <c r="A41467" s="8">
        <v>43885.851238425923</v>
      </c>
      <c r="B41467" s="8" t="str">
        <f>HYPERLINK("https://twitter.com/bulansridevi","@bulansridevi")</f>
        <v>@bulansridevi</v>
      </c>
      <c r="C41467" s="8" t="s">
        <v>15879</v>
      </c>
      <c r="D41467" s="8">
        <v>0</v>
      </c>
      <c r="E41467" s="8">
        <v>0</v>
      </c>
      <c r="F41467" s="8">
        <v>1165</v>
      </c>
    </row>
    <row r="41468" spans="1:6" ht="12.75">
      <c r="A41468" s="8">
        <v>43885.851134259261</v>
      </c>
      <c r="B41468" s="8" t="str">
        <f>HYPERLINK("https://twitter.com/FrensSiahaan","@FrensSiahaan")</f>
        <v>@FrensSiahaan</v>
      </c>
      <c r="C41468" s="8" t="s">
        <v>15880</v>
      </c>
      <c r="D41468" s="8">
        <v>0</v>
      </c>
      <c r="E41468" s="8">
        <v>0</v>
      </c>
      <c r="F41468" s="8">
        <v>147</v>
      </c>
    </row>
    <row r="41469" spans="1:6" ht="12.75">
      <c r="A41469" s="8">
        <v>43885.850844907407</v>
      </c>
      <c r="B41469" s="8" t="str">
        <f>HYPERLINK("https://twitter.com/ilman__nafian","@ilman__nafian")</f>
        <v>@ilman__nafian</v>
      </c>
      <c r="C41469" s="8" t="s">
        <v>15881</v>
      </c>
      <c r="D41469" s="8">
        <v>0</v>
      </c>
      <c r="E41469" s="8">
        <v>0</v>
      </c>
      <c r="F41469" s="8">
        <v>2279</v>
      </c>
    </row>
    <row r="41470" spans="1:6" ht="12.75">
      <c r="A41470" s="8">
        <v>43885.850648148145</v>
      </c>
      <c r="B41470" s="8" t="str">
        <f>HYPERLINK("https://twitter.com/bekas_untung","@bekas_untung")</f>
        <v>@bekas_untung</v>
      </c>
      <c r="C41470" s="8" t="s">
        <v>2940</v>
      </c>
      <c r="D41470" s="8">
        <v>2086</v>
      </c>
      <c r="E41470" s="8">
        <v>0</v>
      </c>
      <c r="F41470" s="8">
        <v>145</v>
      </c>
    </row>
    <row r="41471" spans="1:6" ht="12.75">
      <c r="A41471" s="8">
        <v>43885.850497685184</v>
      </c>
      <c r="B41471" s="8" t="str">
        <f>HYPERLINK("https://twitter.com/404noturdaddy","@404noturdaddy")</f>
        <v>@404noturdaddy</v>
      </c>
      <c r="C41471" s="8" t="s">
        <v>15882</v>
      </c>
      <c r="D41471" s="8">
        <v>7</v>
      </c>
      <c r="E41471" s="8">
        <v>0</v>
      </c>
      <c r="F41471" s="8">
        <v>98</v>
      </c>
    </row>
    <row r="41472" spans="1:6" ht="12.75">
      <c r="A41472" s="8">
        <v>43885.850497685184</v>
      </c>
      <c r="B41472" s="8" t="str">
        <f>HYPERLINK("https://twitter.com/wargabaikk","@wargabaikk")</f>
        <v>@wargabaikk</v>
      </c>
      <c r="C41472" s="8" t="s">
        <v>15883</v>
      </c>
      <c r="D41472" s="8">
        <v>0</v>
      </c>
      <c r="E41472" s="8">
        <v>0</v>
      </c>
      <c r="F41472" s="8">
        <v>52</v>
      </c>
    </row>
    <row r="41473" spans="1:6" ht="12.75">
      <c r="A41473" s="8">
        <v>43885.850347222222</v>
      </c>
      <c r="B41473" s="8" t="str">
        <f>HYPERLINK("https://twitter.com/desty2_","@desty2_")</f>
        <v>@desty2_</v>
      </c>
      <c r="C41473" s="8" t="s">
        <v>15881</v>
      </c>
      <c r="D41473" s="8">
        <v>0</v>
      </c>
      <c r="E41473" s="8">
        <v>0</v>
      </c>
      <c r="F41473" s="8">
        <v>381</v>
      </c>
    </row>
    <row r="41474" spans="1:6" ht="12.75">
      <c r="A41474" s="8">
        <v>43885.850243055553</v>
      </c>
      <c r="B41474" s="8" t="str">
        <f>HYPERLINK("https://twitter.com/saraahpriyanka","@saraahpriyanka")</f>
        <v>@saraahpriyanka</v>
      </c>
      <c r="C41474" s="8" t="s">
        <v>12920</v>
      </c>
      <c r="D41474" s="8">
        <v>1430</v>
      </c>
      <c r="E41474" s="8">
        <v>0</v>
      </c>
      <c r="F41474" s="8">
        <v>642</v>
      </c>
    </row>
    <row r="41475" spans="1:6" ht="12.75">
      <c r="A41475" s="8">
        <v>43885.850034722222</v>
      </c>
      <c r="B41475" s="8" t="str">
        <f>HYPERLINK("https://twitter.com/gobalgabul2","@gobalgabul2")</f>
        <v>@gobalgabul2</v>
      </c>
      <c r="C41475" s="8" t="s">
        <v>12920</v>
      </c>
      <c r="D41475" s="8">
        <v>1430</v>
      </c>
      <c r="E41475" s="8">
        <v>0</v>
      </c>
      <c r="F41475" s="8">
        <v>2196</v>
      </c>
    </row>
    <row r="41476" spans="1:6" ht="12.75">
      <c r="A41476" s="8">
        <v>43885.850023148145</v>
      </c>
      <c r="B41476" s="8" t="str">
        <f>HYPERLINK("https://twitter.com/republikaonline","@republikaonline")</f>
        <v>@republikaonline</v>
      </c>
      <c r="C41476" s="8" t="s">
        <v>15884</v>
      </c>
      <c r="D41476" s="8">
        <v>0</v>
      </c>
      <c r="E41476" s="8">
        <v>0</v>
      </c>
      <c r="F41476" s="8">
        <v>1212778</v>
      </c>
    </row>
    <row r="41477" spans="1:6" ht="12.75">
      <c r="A41477" s="8">
        <v>43885.849965277783</v>
      </c>
      <c r="B41477" s="8" t="str">
        <f>HYPERLINK("https://twitter.com/Firstky_","@Firstky_")</f>
        <v>@Firstky_</v>
      </c>
      <c r="C41477" s="8" t="s">
        <v>15885</v>
      </c>
      <c r="D41477" s="8">
        <v>0</v>
      </c>
      <c r="E41477" s="8">
        <v>0</v>
      </c>
      <c r="F41477" s="8">
        <v>922</v>
      </c>
    </row>
    <row r="41478" spans="1:6" ht="12.75">
      <c r="A41478" s="8">
        <v>43885.849872685183</v>
      </c>
      <c r="B41478" s="8" t="str">
        <f>HYPERLINK("https://twitter.com/bulansridevi","@bulansridevi")</f>
        <v>@bulansridevi</v>
      </c>
      <c r="C41478" s="8" t="s">
        <v>15845</v>
      </c>
      <c r="D41478" s="8">
        <v>5</v>
      </c>
      <c r="E41478" s="8">
        <v>0</v>
      </c>
      <c r="F41478" s="8">
        <v>1165</v>
      </c>
    </row>
    <row r="41479" spans="1:6" ht="12.75">
      <c r="A41479" s="8">
        <v>43885.84983796296</v>
      </c>
      <c r="B41479" s="8" t="str">
        <f>HYPERLINK("https://twitter.com/chantique_nissa","@chantique_nissa")</f>
        <v>@chantique_nissa</v>
      </c>
      <c r="C41479" s="8" t="s">
        <v>2940</v>
      </c>
      <c r="D41479" s="8">
        <v>2086</v>
      </c>
      <c r="E41479" s="8">
        <v>0</v>
      </c>
      <c r="F41479" s="8">
        <v>2074</v>
      </c>
    </row>
    <row r="41480" spans="1:6" ht="12.75">
      <c r="A41480" s="8">
        <v>43885.849583333329</v>
      </c>
      <c r="B41480" s="8" t="str">
        <f>HYPERLINK("https://twitter.com/bulansridevi","@bulansridevi")</f>
        <v>@bulansridevi</v>
      </c>
      <c r="C41480" s="8" t="s">
        <v>14960</v>
      </c>
      <c r="D41480" s="8">
        <v>1</v>
      </c>
      <c r="E41480" s="8">
        <v>0</v>
      </c>
      <c r="F41480" s="8">
        <v>1165</v>
      </c>
    </row>
    <row r="41481" spans="1:6" ht="12.75">
      <c r="A41481" s="8">
        <v>43885.849305555559</v>
      </c>
      <c r="B41481" s="8" t="str">
        <f>HYPERLINK("https://twitter.com/newsmerahputih","@newsmerahputih")</f>
        <v>@newsmerahputih</v>
      </c>
      <c r="C41481" s="8" t="s">
        <v>15886</v>
      </c>
      <c r="D41481" s="8">
        <v>0</v>
      </c>
      <c r="E41481" s="8">
        <v>0</v>
      </c>
      <c r="F41481" s="8">
        <v>8738</v>
      </c>
    </row>
    <row r="41482" spans="1:6" ht="12.75">
      <c r="A41482" s="8">
        <v>43885.849212962959</v>
      </c>
      <c r="B41482" s="8" t="str">
        <f>HYPERLINK("https://twitter.com/lacuzte","@lacuzte")</f>
        <v>@lacuzte</v>
      </c>
      <c r="C41482" s="8" t="s">
        <v>2940</v>
      </c>
      <c r="D41482" s="8">
        <v>2086</v>
      </c>
      <c r="E41482" s="8">
        <v>0</v>
      </c>
      <c r="F41482" s="8">
        <v>177</v>
      </c>
    </row>
    <row r="41483" spans="1:6" ht="12.75">
      <c r="A41483" s="8">
        <v>43885.849189814813</v>
      </c>
      <c r="B41483" s="8" t="str">
        <f>HYPERLINK("https://twitter.com/NFiaLysa","@NFiaLysa")</f>
        <v>@NFiaLysa</v>
      </c>
      <c r="C41483" s="8" t="s">
        <v>15887</v>
      </c>
      <c r="D41483" s="8">
        <v>0</v>
      </c>
      <c r="E41483" s="8">
        <v>0</v>
      </c>
      <c r="F41483" s="8">
        <v>1425</v>
      </c>
    </row>
    <row r="41484" spans="1:6" ht="12.75">
      <c r="A41484" s="8">
        <v>43885.849085648151</v>
      </c>
      <c r="B41484" s="8" t="str">
        <f>HYPERLINK("https://twitter.com/ISIS_Kasiab","@ISIS_Kasiab")</f>
        <v>@ISIS_Kasiab</v>
      </c>
      <c r="C41484" s="8" t="s">
        <v>15888</v>
      </c>
      <c r="D41484" s="8">
        <v>0</v>
      </c>
      <c r="E41484" s="8">
        <v>0</v>
      </c>
      <c r="F41484" s="8">
        <v>139</v>
      </c>
    </row>
    <row r="41485" spans="1:6" ht="12.75">
      <c r="A41485" s="8">
        <v>43885.848981481482</v>
      </c>
      <c r="B41485" s="8" t="str">
        <f>HYPERLINK("https://twitter.com/ak_umaa","@ak_umaa")</f>
        <v>@ak_umaa</v>
      </c>
      <c r="C41485" s="8" t="s">
        <v>15471</v>
      </c>
      <c r="D41485" s="8">
        <v>118</v>
      </c>
      <c r="E41485" s="8">
        <v>0</v>
      </c>
      <c r="F41485" s="8">
        <v>732</v>
      </c>
    </row>
    <row r="41486" spans="1:6" ht="12.75">
      <c r="A41486" s="8">
        <v>43885.848738425921</v>
      </c>
      <c r="B41486" s="8" t="str">
        <f>HYPERLINK("https://twitter.com/taka_pub","@taka_pub")</f>
        <v>@taka_pub</v>
      </c>
      <c r="C41486" s="8" t="s">
        <v>8484</v>
      </c>
      <c r="D41486" s="8">
        <v>552</v>
      </c>
      <c r="E41486" s="8">
        <v>0</v>
      </c>
      <c r="F41486" s="8">
        <v>2873</v>
      </c>
    </row>
    <row r="41487" spans="1:6" ht="12.75">
      <c r="A41487" s="8">
        <v>43885.848402777774</v>
      </c>
      <c r="B41487" s="8" t="str">
        <f>HYPERLINK("https://twitter.com/chronikaruth","@chronikaruth")</f>
        <v>@chronikaruth</v>
      </c>
      <c r="C41487" s="8" t="s">
        <v>15889</v>
      </c>
      <c r="D41487" s="8">
        <v>0</v>
      </c>
      <c r="E41487" s="8">
        <v>0</v>
      </c>
      <c r="F41487" s="8">
        <v>349</v>
      </c>
    </row>
    <row r="41488" spans="1:6" ht="12.75">
      <c r="A41488" s="8">
        <v>43885.848263888889</v>
      </c>
      <c r="B41488" s="8" t="str">
        <f>HYPERLINK("https://twitter.com/alneoalneo","@alneoalneo")</f>
        <v>@alneoalneo</v>
      </c>
      <c r="C41488" s="8" t="s">
        <v>2940</v>
      </c>
      <c r="D41488" s="8">
        <v>2086</v>
      </c>
      <c r="E41488" s="8">
        <v>0</v>
      </c>
      <c r="F41488" s="8">
        <v>64</v>
      </c>
    </row>
    <row r="41489" spans="1:6" ht="12.75">
      <c r="A41489" s="8">
        <v>43885.848194444443</v>
      </c>
      <c r="B41489" s="8" t="str">
        <f>HYPERLINK("https://twitter.com/GilangGuntara6","@GilangGuntara6")</f>
        <v>@GilangGuntara6</v>
      </c>
      <c r="C41489" s="8" t="s">
        <v>15890</v>
      </c>
      <c r="D41489" s="8">
        <v>0</v>
      </c>
      <c r="E41489" s="8">
        <v>0</v>
      </c>
      <c r="F41489" s="8">
        <v>4</v>
      </c>
    </row>
    <row r="41490" spans="1:6" ht="12.75">
      <c r="A41490" s="8">
        <v>43885.848182870366</v>
      </c>
      <c r="B41490" s="8" t="str">
        <f>HYPERLINK("https://twitter.com/PreetiSingh_Bha","@PreetiSingh_Bha")</f>
        <v>@PreetiSingh_Bha</v>
      </c>
      <c r="C41490" s="8" t="s">
        <v>15891</v>
      </c>
      <c r="D41490" s="8">
        <v>1</v>
      </c>
      <c r="E41490" s="8">
        <v>0</v>
      </c>
      <c r="F41490" s="8">
        <v>448</v>
      </c>
    </row>
    <row r="41491" spans="1:6" ht="12.75">
      <c r="A41491" s="8">
        <v>43885.847777777773</v>
      </c>
      <c r="B41491" s="8" t="str">
        <f>HYPERLINK("https://twitter.com/mahendratmo","@mahendratmo")</f>
        <v>@mahendratmo</v>
      </c>
      <c r="C41491" s="8" t="s">
        <v>15892</v>
      </c>
      <c r="D41491" s="8">
        <v>0</v>
      </c>
      <c r="E41491" s="8">
        <v>1</v>
      </c>
      <c r="F41491" s="8">
        <v>36</v>
      </c>
    </row>
    <row r="41492" spans="1:6" ht="12.75">
      <c r="A41492" s="8">
        <v>43885.84756944445</v>
      </c>
      <c r="B41492" s="8" t="str">
        <f>HYPERLINK("https://twitter.com/Otoy_theB","@Otoy_theB")</f>
        <v>@Otoy_theB</v>
      </c>
      <c r="C41492" s="8" t="s">
        <v>15471</v>
      </c>
      <c r="D41492" s="8">
        <v>118</v>
      </c>
      <c r="E41492" s="8">
        <v>0</v>
      </c>
      <c r="F41492" s="8">
        <v>913</v>
      </c>
    </row>
    <row r="41493" spans="1:6" ht="12.75">
      <c r="A41493" s="8">
        <v>43885.847060185188</v>
      </c>
      <c r="B41493" s="8" t="str">
        <f>HYPERLINK("https://twitter.com/H_mints","@H_mints")</f>
        <v>@H_mints</v>
      </c>
      <c r="C41493" s="8" t="s">
        <v>15893</v>
      </c>
      <c r="D41493" s="8">
        <v>0</v>
      </c>
      <c r="E41493" s="8">
        <v>0</v>
      </c>
      <c r="F41493" s="8">
        <v>43</v>
      </c>
    </row>
    <row r="41494" spans="1:6" ht="12.75">
      <c r="A41494" s="8">
        <v>43885.847025462965</v>
      </c>
      <c r="B41494" s="8" t="str">
        <f>HYPERLINK("https://twitter.com/rifanald","@rifanald")</f>
        <v>@rifanald</v>
      </c>
      <c r="C41494" s="8" t="s">
        <v>15718</v>
      </c>
      <c r="D41494" s="8">
        <v>1</v>
      </c>
      <c r="E41494" s="8">
        <v>0</v>
      </c>
      <c r="F41494" s="8">
        <v>305</v>
      </c>
    </row>
    <row r="41495" spans="1:6" ht="12.75">
      <c r="A41495" s="8">
        <v>43885.846909722226</v>
      </c>
      <c r="B41495" s="8" t="str">
        <f>HYPERLINK("https://twitter.com/badaymasculine","@badaymasculine")</f>
        <v>@badaymasculine</v>
      </c>
      <c r="C41495" s="8" t="s">
        <v>12920</v>
      </c>
      <c r="D41495" s="8">
        <v>1430</v>
      </c>
      <c r="E41495" s="8">
        <v>0</v>
      </c>
      <c r="F41495" s="8">
        <v>1866</v>
      </c>
    </row>
    <row r="41496" spans="1:6" ht="12.75">
      <c r="A41496" s="8">
        <v>43885.846701388888</v>
      </c>
      <c r="B41496" s="8" t="str">
        <f>HYPERLINK("https://twitter.com/thesandblazt","@thesandblazt")</f>
        <v>@thesandblazt</v>
      </c>
      <c r="C41496" s="8" t="s">
        <v>15471</v>
      </c>
      <c r="D41496" s="8">
        <v>118</v>
      </c>
      <c r="E41496" s="8">
        <v>0</v>
      </c>
      <c r="F41496" s="8">
        <v>3034</v>
      </c>
    </row>
    <row r="41497" spans="1:6" ht="12.75">
      <c r="A41497" s="8">
        <v>43885.846504629633</v>
      </c>
      <c r="B41497" s="8" t="str">
        <f>HYPERLINK("https://twitter.com/melfera","@melfera")</f>
        <v>@melfera</v>
      </c>
      <c r="C41497" s="8" t="s">
        <v>15455</v>
      </c>
      <c r="D41497" s="8">
        <v>6</v>
      </c>
      <c r="E41497" s="8">
        <v>0</v>
      </c>
      <c r="F41497" s="8">
        <v>692</v>
      </c>
    </row>
    <row r="41498" spans="1:6" ht="12.75">
      <c r="A41498" s="8">
        <v>43885.846296296295</v>
      </c>
      <c r="B41498" s="8" t="str">
        <f>HYPERLINK("https://twitter.com/mikoba1955","@mikoba1955")</f>
        <v>@mikoba1955</v>
      </c>
      <c r="C41498" s="8" t="s">
        <v>8484</v>
      </c>
      <c r="D41498" s="8">
        <v>552</v>
      </c>
      <c r="E41498" s="8">
        <v>0</v>
      </c>
      <c r="F41498" s="8">
        <v>261</v>
      </c>
    </row>
    <row r="41499" spans="1:6" ht="12.75">
      <c r="A41499" s="8">
        <v>43885.845949074079</v>
      </c>
      <c r="B41499" s="8" t="str">
        <f>HYPERLINK("https://twitter.com/Don_dasco","@Don_dasco")</f>
        <v>@Don_dasco</v>
      </c>
      <c r="C41499" s="8" t="s">
        <v>15359</v>
      </c>
      <c r="D41499" s="8">
        <v>2</v>
      </c>
      <c r="E41499" s="8">
        <v>0</v>
      </c>
      <c r="F41499" s="8">
        <v>9339</v>
      </c>
    </row>
    <row r="41500" spans="1:6" ht="12.75">
      <c r="A41500" s="8">
        <v>43885.84579861111</v>
      </c>
      <c r="B41500" s="8" t="str">
        <f>HYPERLINK("https://twitter.com/ccpsugiono","@ccpsugiono")</f>
        <v>@ccpsugiono</v>
      </c>
      <c r="C41500" s="8" t="s">
        <v>15894</v>
      </c>
      <c r="D41500" s="8">
        <v>0</v>
      </c>
      <c r="E41500" s="8">
        <v>0</v>
      </c>
      <c r="F41500" s="8">
        <v>683</v>
      </c>
    </row>
    <row r="41501" spans="1:6" ht="12.75">
      <c r="A41501" s="8">
        <v>43885.845694444448</v>
      </c>
      <c r="B41501" s="8" t="str">
        <f>HYPERLINK("https://twitter.com/Indostransfer","@Indostransfer")</f>
        <v>@Indostransfer</v>
      </c>
      <c r="C41501" s="8" t="s">
        <v>15895</v>
      </c>
      <c r="D41501" s="8">
        <v>1</v>
      </c>
      <c r="E41501" s="8">
        <v>22</v>
      </c>
      <c r="F41501" s="8">
        <v>78114</v>
      </c>
    </row>
    <row r="41502" spans="1:6" ht="12.75">
      <c r="A41502" s="8">
        <v>43885.845543981486</v>
      </c>
      <c r="B41502" s="8" t="str">
        <f>HYPERLINK("https://twitter.com/HitoSizuku18","@HitoSizuku18")</f>
        <v>@HitoSizuku18</v>
      </c>
      <c r="C41502" s="8" t="s">
        <v>2940</v>
      </c>
      <c r="D41502" s="8">
        <v>2086</v>
      </c>
      <c r="E41502" s="8">
        <v>0</v>
      </c>
      <c r="F41502" s="8">
        <v>1250</v>
      </c>
    </row>
    <row r="41503" spans="1:6" ht="12.75">
      <c r="A41503" s="8">
        <v>43885.845277777778</v>
      </c>
      <c r="B41503" s="8" t="str">
        <f>HYPERLINK("https://twitter.com/tjapoengmerah","@tjapoengmerah")</f>
        <v>@tjapoengmerah</v>
      </c>
      <c r="C41503" s="8" t="s">
        <v>15896</v>
      </c>
      <c r="D41503" s="8">
        <v>0</v>
      </c>
      <c r="E41503" s="8">
        <v>6</v>
      </c>
      <c r="F41503" s="8">
        <v>3842</v>
      </c>
    </row>
    <row r="41504" spans="1:6" ht="12.75">
      <c r="A41504" s="8">
        <v>43885.845254629632</v>
      </c>
      <c r="B41504" s="8" t="str">
        <f>HYPERLINK("https://twitter.com/jokerpandey","@jokerpandey")</f>
        <v>@jokerpandey</v>
      </c>
      <c r="C41504" s="8" t="s">
        <v>15897</v>
      </c>
      <c r="D41504" s="8">
        <v>1</v>
      </c>
      <c r="E41504" s="8">
        <v>0</v>
      </c>
      <c r="F41504" s="8">
        <v>67</v>
      </c>
    </row>
    <row r="41505" spans="1:6" ht="12.75">
      <c r="A41505" s="8">
        <v>43885.845243055555</v>
      </c>
      <c r="B41505" s="8" t="str">
        <f>HYPERLINK("https://twitter.com/ztw868992","@ztw868992")</f>
        <v>@ztw868992</v>
      </c>
      <c r="C41505" s="8" t="s">
        <v>15455</v>
      </c>
      <c r="D41505" s="8">
        <v>6</v>
      </c>
      <c r="E41505" s="8">
        <v>0</v>
      </c>
      <c r="F41505" s="8">
        <v>3495</v>
      </c>
    </row>
    <row r="41506" spans="1:6" ht="12.75">
      <c r="A41506" s="8">
        <v>43885.845138888893</v>
      </c>
      <c r="B41506" s="8" t="str">
        <f>HYPERLINK("https://twitter.com/BobbyIrwanda","@BobbyIrwanda")</f>
        <v>@BobbyIrwanda</v>
      </c>
      <c r="C41506" s="8" t="s">
        <v>15898</v>
      </c>
      <c r="D41506" s="8">
        <v>0</v>
      </c>
      <c r="E41506" s="8">
        <v>1</v>
      </c>
      <c r="F41506" s="8">
        <v>1668</v>
      </c>
    </row>
    <row r="41507" spans="1:6" ht="12.75">
      <c r="A41507" s="8">
        <v>43885.84510416667</v>
      </c>
      <c r="B41507" s="8" t="str">
        <f>HYPERLINK("https://twitter.com/masakiunai4649","@masakiunai4649")</f>
        <v>@masakiunai4649</v>
      </c>
      <c r="C41507" s="8" t="s">
        <v>2940</v>
      </c>
      <c r="D41507" s="8">
        <v>2086</v>
      </c>
      <c r="E41507" s="8">
        <v>0</v>
      </c>
      <c r="F41507" s="8">
        <v>158</v>
      </c>
    </row>
    <row r="41508" spans="1:6" ht="12.75">
      <c r="A41508" s="8">
        <v>43885.844791666663</v>
      </c>
      <c r="B41508" s="8" t="str">
        <f>HYPERLINK("https://twitter.com/ayrikusanil","@ayrikusanil")</f>
        <v>@ayrikusanil</v>
      </c>
      <c r="C41508" s="8" t="s">
        <v>15179</v>
      </c>
      <c r="D41508" s="8">
        <v>24</v>
      </c>
      <c r="E41508" s="8">
        <v>0</v>
      </c>
      <c r="F41508" s="8">
        <v>64</v>
      </c>
    </row>
    <row r="41509" spans="1:6" ht="12.75">
      <c r="A41509" s="8">
        <v>43885.84474537037</v>
      </c>
      <c r="B41509" s="8" t="str">
        <f>HYPERLINK("https://twitter.com/13Bobbygeboy","@13Bobbygeboy")</f>
        <v>@13Bobbygeboy</v>
      </c>
      <c r="C41509" s="8" t="s">
        <v>15672</v>
      </c>
      <c r="D41509" s="8">
        <v>13</v>
      </c>
      <c r="E41509" s="8">
        <v>0</v>
      </c>
      <c r="F41509" s="8">
        <v>215</v>
      </c>
    </row>
    <row r="41510" spans="1:6" ht="12.75">
      <c r="A41510" s="8">
        <v>43885.844548611116</v>
      </c>
      <c r="B41510" s="8" t="str">
        <f>HYPERLINK("https://twitter.com/ThimotyA","@ThimotyA")</f>
        <v>@ThimotyA</v>
      </c>
      <c r="C41510" s="8" t="s">
        <v>2940</v>
      </c>
      <c r="D41510" s="8">
        <v>2086</v>
      </c>
      <c r="E41510" s="8">
        <v>0</v>
      </c>
      <c r="F41510" s="8">
        <v>233</v>
      </c>
    </row>
    <row r="41511" spans="1:6" ht="12.75">
      <c r="A41511" s="8">
        <v>43885.844537037032</v>
      </c>
      <c r="B41511" s="8" t="str">
        <f>HYPERLINK("https://twitter.com/SULIS_TIO77","@SULIS_TIO77")</f>
        <v>@SULIS_TIO77</v>
      </c>
      <c r="C41511" s="8" t="s">
        <v>15899</v>
      </c>
      <c r="D41511" s="8">
        <v>2</v>
      </c>
      <c r="E41511" s="8">
        <v>0</v>
      </c>
      <c r="F41511" s="8">
        <v>1601</v>
      </c>
    </row>
    <row r="41512" spans="1:6" ht="12.75">
      <c r="A41512" s="8">
        <v>43885.844201388885</v>
      </c>
      <c r="B41512" s="8" t="str">
        <f t="shared" ref="B41512:B41514" si="624">HYPERLINK("https://twitter.com/56_244_963_405","@56_244_963_405")</f>
        <v>@56_244_963_405</v>
      </c>
      <c r="C41512" s="8" t="s">
        <v>14106</v>
      </c>
      <c r="D41512" s="8">
        <v>107</v>
      </c>
      <c r="E41512" s="8">
        <v>0</v>
      </c>
      <c r="F41512" s="8">
        <v>270</v>
      </c>
    </row>
    <row r="41513" spans="1:6" ht="12.75">
      <c r="A41513" s="8">
        <v>43885.844155092593</v>
      </c>
      <c r="B41513" s="8" t="str">
        <f t="shared" si="624"/>
        <v>@56_244_963_405</v>
      </c>
      <c r="C41513" s="8" t="s">
        <v>13834</v>
      </c>
      <c r="D41513" s="8">
        <v>117</v>
      </c>
      <c r="E41513" s="8">
        <v>0</v>
      </c>
      <c r="F41513" s="8">
        <v>270</v>
      </c>
    </row>
    <row r="41514" spans="1:6" ht="12.75">
      <c r="A41514" s="8">
        <v>43885.844074074077</v>
      </c>
      <c r="B41514" s="8" t="str">
        <f t="shared" si="624"/>
        <v>@56_244_963_405</v>
      </c>
      <c r="C41514" s="8" t="s">
        <v>8484</v>
      </c>
      <c r="D41514" s="8">
        <v>552</v>
      </c>
      <c r="E41514" s="8">
        <v>0</v>
      </c>
      <c r="F41514" s="8">
        <v>270</v>
      </c>
    </row>
    <row r="41515" spans="1:6" ht="12.75">
      <c r="A41515" s="8">
        <v>43885.8440162037</v>
      </c>
      <c r="B41515" s="8" t="str">
        <f>HYPERLINK("https://twitter.com/niningasih","@niningasih")</f>
        <v>@niningasih</v>
      </c>
      <c r="C41515" s="8" t="s">
        <v>15900</v>
      </c>
      <c r="D41515" s="8">
        <v>0</v>
      </c>
      <c r="E41515" s="8">
        <v>0</v>
      </c>
      <c r="F41515" s="8">
        <v>1162</v>
      </c>
    </row>
    <row r="41516" spans="1:6" ht="12.75">
      <c r="A41516" s="8">
        <v>43885.843993055554</v>
      </c>
      <c r="B41516" s="8" t="str">
        <f>HYPERLINK("https://twitter.com/SULIS_TIO77","@SULIS_TIO77")</f>
        <v>@SULIS_TIO77</v>
      </c>
      <c r="C41516" s="8" t="s">
        <v>15511</v>
      </c>
      <c r="D41516" s="8">
        <v>4</v>
      </c>
      <c r="E41516" s="8">
        <v>0</v>
      </c>
      <c r="F41516" s="8">
        <v>1601</v>
      </c>
    </row>
    <row r="41517" spans="1:6" ht="12.75">
      <c r="A41517" s="8">
        <v>43885.843958333338</v>
      </c>
      <c r="B41517" s="8" t="str">
        <f>HYPERLINK("https://twitter.com/56_244_963_405","@56_244_963_405")</f>
        <v>@56_244_963_405</v>
      </c>
      <c r="C41517" s="8" t="s">
        <v>2940</v>
      </c>
      <c r="D41517" s="8">
        <v>2086</v>
      </c>
      <c r="E41517" s="8">
        <v>0</v>
      </c>
      <c r="F41517" s="8">
        <v>270</v>
      </c>
    </row>
    <row r="41518" spans="1:6" ht="12.75">
      <c r="A41518" s="8">
        <v>43885.842916666668</v>
      </c>
      <c r="B41518" s="8" t="str">
        <f>HYPERLINK("https://twitter.com/niningasih","@niningasih")</f>
        <v>@niningasih</v>
      </c>
      <c r="C41518" s="8" t="s">
        <v>15901</v>
      </c>
      <c r="D41518" s="8">
        <v>0</v>
      </c>
      <c r="E41518" s="8">
        <v>0</v>
      </c>
      <c r="F41518" s="8">
        <v>1162</v>
      </c>
    </row>
    <row r="41519" spans="1:6" ht="12.75">
      <c r="A41519" s="8">
        <v>43885.842638888891</v>
      </c>
      <c r="B41519" s="8" t="str">
        <f>HYPERLINK("https://twitter.com/arahim_les","@arahim_les")</f>
        <v>@arahim_les</v>
      </c>
      <c r="C41519" s="8" t="s">
        <v>15902</v>
      </c>
      <c r="D41519" s="8">
        <v>3</v>
      </c>
      <c r="E41519" s="8">
        <v>0</v>
      </c>
      <c r="F41519" s="8">
        <v>249</v>
      </c>
    </row>
    <row r="41520" spans="1:6" ht="12.75">
      <c r="A41520" s="8">
        <v>43885.842499999999</v>
      </c>
      <c r="B41520" s="8" t="str">
        <f>HYPERLINK("https://twitter.com/gpefiore","@gpefiore")</f>
        <v>@gpefiore</v>
      </c>
      <c r="C41520" s="8" t="s">
        <v>2940</v>
      </c>
      <c r="D41520" s="8">
        <v>2086</v>
      </c>
      <c r="E41520" s="8">
        <v>0</v>
      </c>
      <c r="F41520" s="8">
        <v>100</v>
      </c>
    </row>
    <row r="41521" spans="1:6" ht="12.75">
      <c r="A41521" s="8">
        <v>43885.84238425926</v>
      </c>
      <c r="B41521" s="8" t="str">
        <f>HYPERLINK("https://twitter.com/suaradotcom","@suaradotcom")</f>
        <v>@suaradotcom</v>
      </c>
      <c r="C41521" s="8" t="s">
        <v>15903</v>
      </c>
      <c r="D41521" s="8">
        <v>0</v>
      </c>
      <c r="E41521" s="8">
        <v>0</v>
      </c>
      <c r="F41521" s="8">
        <v>24225</v>
      </c>
    </row>
    <row r="41522" spans="1:6" ht="12.75">
      <c r="A41522" s="8">
        <v>43885.842361111107</v>
      </c>
      <c r="B41522" s="8" t="str">
        <f>HYPERLINK("https://twitter.com/AshabyM","@AshabyM")</f>
        <v>@AshabyM</v>
      </c>
      <c r="C41522" s="8" t="s">
        <v>15904</v>
      </c>
      <c r="D41522" s="8">
        <v>14</v>
      </c>
      <c r="E41522" s="8">
        <v>0</v>
      </c>
      <c r="F41522" s="8">
        <v>608</v>
      </c>
    </row>
    <row r="41523" spans="1:6" ht="12.75">
      <c r="A41523" s="8">
        <v>43885.842222222222</v>
      </c>
      <c r="B41523" s="8" t="str">
        <f>HYPERLINK("https://twitter.com/Netsantuy","@Netsantuy")</f>
        <v>@Netsantuy</v>
      </c>
      <c r="C41523" s="8" t="s">
        <v>15905</v>
      </c>
      <c r="D41523" s="8">
        <v>0</v>
      </c>
      <c r="E41523" s="8">
        <v>1</v>
      </c>
      <c r="F41523" s="8">
        <v>955</v>
      </c>
    </row>
    <row r="41524" spans="1:6" ht="12.75">
      <c r="A41524" s="8">
        <v>43885.842187499999</v>
      </c>
      <c r="B41524" s="8" t="str">
        <f>HYPERLINK("https://twitter.com/herlambang_tan","@herlambang_tan")</f>
        <v>@herlambang_tan</v>
      </c>
      <c r="C41524" s="8" t="s">
        <v>15340</v>
      </c>
      <c r="D41524" s="8">
        <v>5</v>
      </c>
      <c r="E41524" s="8">
        <v>0</v>
      </c>
      <c r="F41524" s="8">
        <v>2375</v>
      </c>
    </row>
    <row r="41525" spans="1:6" ht="12.75">
      <c r="A41525" s="8">
        <v>43885.84211805556</v>
      </c>
      <c r="B41525" s="8" t="str">
        <f>HYPERLINK("https://twitter.com/promoalterhijab","@promoalterhijab")</f>
        <v>@promoalterhijab</v>
      </c>
      <c r="C41525" s="8" t="s">
        <v>158</v>
      </c>
      <c r="D41525" s="8">
        <v>9</v>
      </c>
      <c r="E41525" s="8">
        <v>0</v>
      </c>
      <c r="F41525" s="8">
        <v>17159</v>
      </c>
    </row>
    <row r="41526" spans="1:6" ht="12.75">
      <c r="A41526" s="8">
        <v>43885.842002314814</v>
      </c>
      <c r="B41526" s="8" t="str">
        <f>HYPERLINK("https://twitter.com/spyrogyra82","@spyrogyra82")</f>
        <v>@spyrogyra82</v>
      </c>
      <c r="C41526" s="8" t="s">
        <v>15906</v>
      </c>
      <c r="D41526" s="8">
        <v>0</v>
      </c>
      <c r="E41526" s="8">
        <v>0</v>
      </c>
      <c r="F41526" s="8">
        <v>591</v>
      </c>
    </row>
    <row r="41527" spans="1:6" ht="12.75">
      <c r="A41527" s="8">
        <v>43885.841793981483</v>
      </c>
      <c r="B41527" s="8" t="str">
        <f>HYPERLINK("https://twitter.com/kakangprabuuuuu","@kakangprabuuuuu")</f>
        <v>@kakangprabuuuuu</v>
      </c>
      <c r="C41527" s="8" t="s">
        <v>15907</v>
      </c>
      <c r="D41527" s="8">
        <v>0</v>
      </c>
      <c r="E41527" s="8">
        <v>0</v>
      </c>
      <c r="F41527" s="8">
        <v>87</v>
      </c>
    </row>
    <row r="41528" spans="1:6" s="7" customFormat="1" ht="12.75">
      <c r="A41528" s="6">
        <v>43885.834282407406</v>
      </c>
      <c r="B41528" s="3" t="str">
        <f>HYPERLINK("https://twitter.com/bankmandiri","@bankmandiri")</f>
        <v>@bankmandiri</v>
      </c>
      <c r="C41528" s="4" t="s">
        <v>15908</v>
      </c>
      <c r="D41528" s="4">
        <v>0</v>
      </c>
      <c r="E41528" s="4">
        <v>0</v>
      </c>
      <c r="F41528" s="5">
        <v>143122</v>
      </c>
    </row>
    <row r="41529" spans="1:6" s="7" customFormat="1" ht="12.75">
      <c r="A41529" s="6">
        <v>43885.83394675926</v>
      </c>
      <c r="B41529" s="3" t="str">
        <f>HYPERLINK("https://twitter.com/smolhyxn","@smolhyxn")</f>
        <v>@smolhyxn</v>
      </c>
      <c r="C41529" s="4" t="s">
        <v>15909</v>
      </c>
      <c r="D41529" s="4">
        <v>0</v>
      </c>
      <c r="E41529" s="4">
        <v>0</v>
      </c>
      <c r="F41529" s="5">
        <v>337</v>
      </c>
    </row>
    <row r="41530" spans="1:6" s="7" customFormat="1" ht="12.75">
      <c r="A41530" s="6">
        <v>43885.833900462967</v>
      </c>
      <c r="B41530" s="3" t="str">
        <f>HYPERLINK("https://twitter.com/Dnok_Ayu","@Dnok_Ayu")</f>
        <v>@Dnok_Ayu</v>
      </c>
      <c r="C41530" s="4" t="s">
        <v>15910</v>
      </c>
      <c r="D41530" s="4">
        <v>1</v>
      </c>
      <c r="E41530" s="4">
        <v>0</v>
      </c>
      <c r="F41530" s="5">
        <v>107</v>
      </c>
    </row>
    <row r="41531" spans="1:6" s="7" customFormat="1" ht="12.75">
      <c r="A41531" s="6">
        <v>43885.833761574075</v>
      </c>
      <c r="B41531" s="3" t="str">
        <f>HYPERLINK("https://twitter.com/SilitongaEfraim","@SilitongaEfraim")</f>
        <v>@SilitongaEfraim</v>
      </c>
      <c r="C41531" s="4" t="s">
        <v>15911</v>
      </c>
      <c r="D41531" s="4">
        <v>0</v>
      </c>
      <c r="E41531" s="4">
        <v>0</v>
      </c>
      <c r="F41531" s="5">
        <v>2030</v>
      </c>
    </row>
    <row r="41532" spans="1:6" s="7" customFormat="1" ht="12.75">
      <c r="A41532" s="6">
        <v>43885.833449074074</v>
      </c>
      <c r="B41532" s="3" t="str">
        <f>HYPERLINK("https://twitter.com/Sr_SR_05","@Sr_SR_05")</f>
        <v>@Sr_SR_05</v>
      </c>
      <c r="C41532" s="4" t="s">
        <v>15912</v>
      </c>
      <c r="D41532" s="4">
        <v>1</v>
      </c>
      <c r="E41532" s="4">
        <v>0</v>
      </c>
      <c r="F41532" s="5">
        <v>61</v>
      </c>
    </row>
    <row r="41533" spans="1:6" s="7" customFormat="1" ht="12.75">
      <c r="A41533" s="6">
        <v>43885.833391203705</v>
      </c>
      <c r="B41533" s="3" t="str">
        <f>HYPERLINK("https://twitter.com/b5rlrHYlq5eUA0T","@b5rlrHYlq5eUA0T")</f>
        <v>@b5rlrHYlq5eUA0T</v>
      </c>
      <c r="C41533" s="4" t="s">
        <v>2940</v>
      </c>
      <c r="D41533" s="4">
        <v>2063</v>
      </c>
      <c r="E41533" s="4">
        <v>0</v>
      </c>
      <c r="F41533" s="5">
        <v>76</v>
      </c>
    </row>
    <row r="41534" spans="1:6" s="7" customFormat="1" ht="12.75">
      <c r="A41534" s="6">
        <v>43885.833344907413</v>
      </c>
      <c r="B41534" s="3" t="str">
        <f>HYPERLINK("https://twitter.com/KurioID","@KurioID")</f>
        <v>@KurioID</v>
      </c>
      <c r="C41534" s="4" t="s">
        <v>15913</v>
      </c>
      <c r="D41534" s="4">
        <v>0</v>
      </c>
      <c r="E41534" s="4">
        <v>0</v>
      </c>
      <c r="F41534" s="5">
        <v>7999</v>
      </c>
    </row>
    <row r="41535" spans="1:6" s="7" customFormat="1" ht="12.75">
      <c r="A41535" s="6">
        <v>43885.833333333328</v>
      </c>
      <c r="B41535" s="3" t="str">
        <f>HYPERLINK("https://twitter.com/mediaindonesia","@mediaindonesia")</f>
        <v>@mediaindonesia</v>
      </c>
      <c r="C41535" s="4" t="s">
        <v>15914</v>
      </c>
      <c r="D41535" s="4">
        <v>0</v>
      </c>
      <c r="E41535" s="4">
        <v>2</v>
      </c>
      <c r="F41535" s="5">
        <v>1418414</v>
      </c>
    </row>
    <row r="41536" spans="1:6" s="7" customFormat="1" ht="12.75">
      <c r="A41536" s="6">
        <v>43885.833067129628</v>
      </c>
      <c r="B41536" s="3" t="str">
        <f>HYPERLINK("https://twitter.com/nindyasetya","@nindyasetya")</f>
        <v>@nindyasetya</v>
      </c>
      <c r="C41536" s="4" t="s">
        <v>12920</v>
      </c>
      <c r="D41536" s="4">
        <v>1421</v>
      </c>
      <c r="E41536" s="4">
        <v>0</v>
      </c>
      <c r="F41536" s="5">
        <v>175</v>
      </c>
    </row>
    <row r="41537" spans="1:6" s="7" customFormat="1" ht="12.75">
      <c r="A41537" s="6">
        <v>43885.832766203705</v>
      </c>
      <c r="B41537" s="3" t="str">
        <f>HYPERLINK("https://twitter.com/DinSaripuddin","@DinSaripuddin")</f>
        <v>@DinSaripuddin</v>
      </c>
      <c r="C41537" s="4" t="s">
        <v>15915</v>
      </c>
      <c r="D41537" s="4">
        <v>2</v>
      </c>
      <c r="E41537" s="4">
        <v>0</v>
      </c>
      <c r="F41537" s="5">
        <v>1191</v>
      </c>
    </row>
    <row r="41538" spans="1:6" s="7" customFormat="1" ht="12.75">
      <c r="A41538" s="6">
        <v>43885.832557870366</v>
      </c>
      <c r="B41538" s="3" t="str">
        <f>HYPERLINK("https://twitter.com/andinas85467232","@andinas85467232")</f>
        <v>@andinas85467232</v>
      </c>
      <c r="C41538" s="4" t="s">
        <v>158</v>
      </c>
      <c r="D41538" s="4">
        <v>8</v>
      </c>
      <c r="E41538" s="4">
        <v>0</v>
      </c>
      <c r="F41538" s="5">
        <v>114</v>
      </c>
    </row>
    <row r="41539" spans="1:6" s="7" customFormat="1" ht="12.75">
      <c r="A41539" s="6">
        <v>43885.832453703704</v>
      </c>
      <c r="B41539" s="3" t="str">
        <f>HYPERLINK("https://twitter.com/faroqzain","@faroqzain")</f>
        <v>@faroqzain</v>
      </c>
      <c r="C41539" s="4" t="s">
        <v>15508</v>
      </c>
      <c r="D41539" s="4">
        <v>372</v>
      </c>
      <c r="E41539" s="4">
        <v>0</v>
      </c>
      <c r="F41539" s="5">
        <v>99</v>
      </c>
    </row>
    <row r="41540" spans="1:6" s="7" customFormat="1" ht="12.75">
      <c r="A41540" s="6">
        <v>43885.832268518519</v>
      </c>
      <c r="B41540" s="3" t="str">
        <f>HYPERLINK("https://twitter.com/ki_nannma","@ki_nannma")</f>
        <v>@ki_nannma</v>
      </c>
      <c r="C41540" s="4" t="s">
        <v>8484</v>
      </c>
      <c r="D41540" s="4">
        <v>546</v>
      </c>
      <c r="E41540" s="4">
        <v>0</v>
      </c>
      <c r="F41540" s="5">
        <v>447</v>
      </c>
    </row>
    <row r="41541" spans="1:6" s="7" customFormat="1" ht="12.75">
      <c r="A41541" s="6">
        <v>43885.832245370373</v>
      </c>
      <c r="B41541" s="3" t="str">
        <f>HYPERLINK("https://twitter.com/harisas_","@harisas_")</f>
        <v>@harisas_</v>
      </c>
      <c r="C41541" s="4" t="s">
        <v>15882</v>
      </c>
      <c r="D41541" s="4">
        <v>5</v>
      </c>
      <c r="E41541" s="4">
        <v>0</v>
      </c>
      <c r="F41541" s="5">
        <v>395</v>
      </c>
    </row>
    <row r="41542" spans="1:6" s="7" customFormat="1" ht="12.75">
      <c r="A41542" s="6">
        <v>43885.832129629634</v>
      </c>
      <c r="B41542" s="3" t="str">
        <f t="shared" ref="B41542:B41544" si="625">HYPERLINK("https://twitter.com/hellodion","@hellodion")</f>
        <v>@hellodion</v>
      </c>
      <c r="C41542" s="4" t="s">
        <v>14106</v>
      </c>
      <c r="D41542" s="4">
        <v>106</v>
      </c>
      <c r="E41542" s="4">
        <v>0</v>
      </c>
      <c r="F41542" s="5">
        <v>736</v>
      </c>
    </row>
    <row r="41543" spans="1:6" s="7" customFormat="1" ht="12.75">
      <c r="A41543" s="6">
        <v>43885.832106481481</v>
      </c>
      <c r="B41543" s="3" t="str">
        <f t="shared" si="625"/>
        <v>@hellodion</v>
      </c>
      <c r="C41543" s="4" t="s">
        <v>13834</v>
      </c>
      <c r="D41543" s="4">
        <v>116</v>
      </c>
      <c r="E41543" s="4">
        <v>0</v>
      </c>
      <c r="F41543" s="5">
        <v>736</v>
      </c>
    </row>
    <row r="41544" spans="1:6" s="7" customFormat="1" ht="12.75">
      <c r="A41544" s="6">
        <v>43885.832060185188</v>
      </c>
      <c r="B41544" s="3" t="str">
        <f t="shared" si="625"/>
        <v>@hellodion</v>
      </c>
      <c r="C41544" s="4" t="s">
        <v>8484</v>
      </c>
      <c r="D41544" s="4">
        <v>546</v>
      </c>
      <c r="E41544" s="4">
        <v>0</v>
      </c>
      <c r="F41544" s="5">
        <v>736</v>
      </c>
    </row>
    <row r="41545" spans="1:6" s="7" customFormat="1" ht="12.75">
      <c r="A41545" s="6">
        <v>43885.83194444445</v>
      </c>
      <c r="B41545" s="3" t="str">
        <f>HYPERLINK("https://twitter.com/idpenamini","@idpenamini")</f>
        <v>@idpenamini</v>
      </c>
      <c r="C41545" s="4" t="s">
        <v>15916</v>
      </c>
      <c r="D41545" s="4">
        <v>0</v>
      </c>
      <c r="E41545" s="4">
        <v>0</v>
      </c>
      <c r="F41545" s="5">
        <v>173</v>
      </c>
    </row>
    <row r="41546" spans="1:6" s="7" customFormat="1" ht="12.75">
      <c r="A41546" s="6">
        <v>43885.831932870366</v>
      </c>
      <c r="B41546" s="3" t="str">
        <f>HYPERLINK("https://twitter.com/hellodion","@hellodion")</f>
        <v>@hellodion</v>
      </c>
      <c r="C41546" s="4" t="s">
        <v>2940</v>
      </c>
      <c r="D41546" s="4">
        <v>2063</v>
      </c>
      <c r="E41546" s="4">
        <v>0</v>
      </c>
      <c r="F41546" s="5">
        <v>736</v>
      </c>
    </row>
    <row r="41547" spans="1:6" s="7" customFormat="1" ht="12.75">
      <c r="A41547" s="6">
        <v>43885.83184027778</v>
      </c>
      <c r="B41547" s="3" t="str">
        <f>HYPERLINK("https://twitter.com/3_devout","@3_devout")</f>
        <v>@3_devout</v>
      </c>
      <c r="C41547" s="4" t="s">
        <v>15917</v>
      </c>
      <c r="D41547" s="4">
        <v>1</v>
      </c>
      <c r="E41547" s="4">
        <v>0</v>
      </c>
      <c r="F41547" s="5">
        <v>1058</v>
      </c>
    </row>
    <row r="41548" spans="1:6" s="7" customFormat="1" ht="12.75">
      <c r="A41548" s="6">
        <v>43885.831805555557</v>
      </c>
      <c r="B41548" s="3" t="str">
        <f>HYPERLINK("https://twitter.com/Rifal1989","@Rifal1989")</f>
        <v>@Rifal1989</v>
      </c>
      <c r="C41548" s="4" t="s">
        <v>15471</v>
      </c>
      <c r="D41548" s="4">
        <v>112</v>
      </c>
      <c r="E41548" s="4">
        <v>0</v>
      </c>
      <c r="F41548" s="5">
        <v>501</v>
      </c>
    </row>
    <row r="41549" spans="1:6" s="7" customFormat="1" ht="12.75">
      <c r="A41549" s="6">
        <v>43885.831793981481</v>
      </c>
      <c r="B41549" s="3" t="str">
        <f>HYPERLINK("https://twitter.com/kyzy008008","@kyzy008008")</f>
        <v>@kyzy008008</v>
      </c>
      <c r="C41549" s="4" t="s">
        <v>2940</v>
      </c>
      <c r="D41549" s="4">
        <v>2063</v>
      </c>
      <c r="E41549" s="4">
        <v>0</v>
      </c>
      <c r="F41549" s="5">
        <v>205</v>
      </c>
    </row>
    <row r="41550" spans="1:6" s="7" customFormat="1" ht="12.75">
      <c r="A41550" s="6">
        <v>43885.831631944442</v>
      </c>
      <c r="B41550" s="3" t="str">
        <f>HYPERLINK("https://twitter.com/makki2900","@makki2900")</f>
        <v>@makki2900</v>
      </c>
      <c r="C41550" s="4" t="s">
        <v>2940</v>
      </c>
      <c r="D41550" s="4">
        <v>2063</v>
      </c>
      <c r="E41550" s="4">
        <v>0</v>
      </c>
      <c r="F41550" s="5">
        <v>121</v>
      </c>
    </row>
    <row r="41551" spans="1:6" s="7" customFormat="1" ht="12.75">
      <c r="A41551" s="6">
        <v>43885.831354166672</v>
      </c>
      <c r="B41551" s="3" t="str">
        <f>HYPERLINK("https://twitter.com/yeedepede","@yeedepede")</f>
        <v>@yeedepede</v>
      </c>
      <c r="C41551" s="4" t="s">
        <v>12920</v>
      </c>
      <c r="D41551" s="4">
        <v>1421</v>
      </c>
      <c r="E41551" s="4">
        <v>0</v>
      </c>
      <c r="F41551" s="5">
        <v>484</v>
      </c>
    </row>
    <row r="41552" spans="1:6" s="7" customFormat="1" ht="12.75">
      <c r="A41552" s="6">
        <v>43885.831145833334</v>
      </c>
      <c r="B41552" s="3" t="str">
        <f>HYPERLINK("https://twitter.com/kemenkopmk","@kemenkopmk")</f>
        <v>@kemenkopmk</v>
      </c>
      <c r="C41552" s="4" t="s">
        <v>15918</v>
      </c>
      <c r="D41552" s="4">
        <v>0</v>
      </c>
      <c r="E41552" s="4">
        <v>1</v>
      </c>
      <c r="F41552" s="5">
        <v>129807</v>
      </c>
    </row>
    <row r="41553" spans="1:6" s="7" customFormat="1" ht="12.75">
      <c r="A41553" s="6">
        <v>43885.830972222218</v>
      </c>
      <c r="B41553" s="3" t="str">
        <f>HYPERLINK("https://twitter.com/raiyant21","@raiyant21")</f>
        <v>@raiyant21</v>
      </c>
      <c r="C41553" s="4" t="s">
        <v>15882</v>
      </c>
      <c r="D41553" s="4">
        <v>5</v>
      </c>
      <c r="E41553" s="4">
        <v>0</v>
      </c>
      <c r="F41553" s="5">
        <v>641</v>
      </c>
    </row>
    <row r="41554" spans="1:6" s="7" customFormat="1" ht="12.75">
      <c r="A41554" s="6">
        <v>43885.830914351856</v>
      </c>
      <c r="B41554" s="3" t="str">
        <f>HYPERLINK("https://twitter.com/Memet99116590","@Memet99116590")</f>
        <v>@Memet99116590</v>
      </c>
      <c r="C41554" s="4" t="s">
        <v>12920</v>
      </c>
      <c r="D41554" s="4">
        <v>1421</v>
      </c>
      <c r="E41554" s="4">
        <v>0</v>
      </c>
      <c r="F41554" s="5">
        <v>5</v>
      </c>
    </row>
    <row r="41555" spans="1:6" s="7" customFormat="1" ht="12.75">
      <c r="A41555" s="6">
        <v>43885.830891203703</v>
      </c>
      <c r="B41555" s="3" t="str">
        <f t="shared" ref="B41555:B41556" si="626">HYPERLINK("https://twitter.com/cheerchair1","@cheerchair1")</f>
        <v>@cheerchair1</v>
      </c>
      <c r="C41555" s="4" t="s">
        <v>2940</v>
      </c>
      <c r="D41555" s="4">
        <v>2063</v>
      </c>
      <c r="E41555" s="4">
        <v>0</v>
      </c>
      <c r="F41555" s="5">
        <v>34</v>
      </c>
    </row>
    <row r="41556" spans="1:6" s="7" customFormat="1" ht="12.75">
      <c r="A41556" s="6">
        <v>43885.830266203702</v>
      </c>
      <c r="B41556" s="3" t="str">
        <f t="shared" si="626"/>
        <v>@cheerchair1</v>
      </c>
      <c r="C41556" s="4" t="s">
        <v>8484</v>
      </c>
      <c r="D41556" s="4">
        <v>546</v>
      </c>
      <c r="E41556" s="4">
        <v>0</v>
      </c>
      <c r="F41556" s="5">
        <v>34</v>
      </c>
    </row>
    <row r="41557" spans="1:6" s="7" customFormat="1" ht="12.75">
      <c r="A41557" s="6">
        <v>43885.830162037033</v>
      </c>
      <c r="B41557" s="3" t="str">
        <f>HYPERLINK("https://twitter.com/adolfzuckler","@adolfzuckler")</f>
        <v>@adolfzuckler</v>
      </c>
      <c r="C41557" s="4" t="s">
        <v>15919</v>
      </c>
      <c r="D41557" s="4">
        <v>0</v>
      </c>
      <c r="E41557" s="4">
        <v>0</v>
      </c>
      <c r="F41557" s="5">
        <v>54</v>
      </c>
    </row>
    <row r="41558" spans="1:6" s="7" customFormat="1" ht="12.75">
      <c r="A41558" s="6">
        <v>43885.830150462964</v>
      </c>
      <c r="B41558" s="3" t="str">
        <f>HYPERLINK("https://twitter.com/geloraco","@geloraco")</f>
        <v>@geloraco</v>
      </c>
      <c r="C41558" s="4" t="s">
        <v>15586</v>
      </c>
      <c r="D41558" s="4">
        <v>0</v>
      </c>
      <c r="E41558" s="4">
        <v>0</v>
      </c>
      <c r="F41558" s="5">
        <v>101814</v>
      </c>
    </row>
    <row r="41559" spans="1:6" s="7" customFormat="1" ht="12.75">
      <c r="A41559" s="6">
        <v>43885.830150462964</v>
      </c>
      <c r="B41559" s="3" t="str">
        <f>HYPERLINK("https://twitter.com/hanyaSheehan","@hanyaSheehan")</f>
        <v>@hanyaSheehan</v>
      </c>
      <c r="C41559" s="4" t="s">
        <v>15920</v>
      </c>
      <c r="D41559" s="4">
        <v>0</v>
      </c>
      <c r="E41559" s="4">
        <v>0</v>
      </c>
      <c r="F41559" s="5">
        <v>1127</v>
      </c>
    </row>
    <row r="41560" spans="1:6" s="7" customFormat="1" ht="12.75">
      <c r="A41560" s="6">
        <v>43885.830046296294</v>
      </c>
      <c r="B41560" s="3" t="str">
        <f>HYPERLINK("https://twitter.com/kemenkopmk","@kemenkopmk")</f>
        <v>@kemenkopmk</v>
      </c>
      <c r="C41560" s="4" t="s">
        <v>15921</v>
      </c>
      <c r="D41560" s="4">
        <v>1</v>
      </c>
      <c r="E41560" s="4">
        <v>1</v>
      </c>
      <c r="F41560" s="5">
        <v>129807</v>
      </c>
    </row>
    <row r="41561" spans="1:6" s="7" customFormat="1" ht="12.75">
      <c r="A41561" s="6">
        <v>43885.829918981486</v>
      </c>
      <c r="B41561" s="3" t="str">
        <f>HYPERLINK("https://twitter.com/jerry_gemini","@jerry_gemini")</f>
        <v>@jerry_gemini</v>
      </c>
      <c r="C41561" s="4" t="s">
        <v>15922</v>
      </c>
      <c r="D41561" s="4">
        <v>0</v>
      </c>
      <c r="E41561" s="4">
        <v>0</v>
      </c>
      <c r="F41561" s="5">
        <v>2036</v>
      </c>
    </row>
    <row r="41562" spans="1:6" s="7" customFormat="1" ht="12.75">
      <c r="A41562" s="6">
        <v>43885.829918981486</v>
      </c>
      <c r="B41562" s="3" t="str">
        <f>HYPERLINK("https://twitter.com/baku9716","@baku9716")</f>
        <v>@baku9716</v>
      </c>
      <c r="C41562" s="4" t="s">
        <v>8484</v>
      </c>
      <c r="D41562" s="4">
        <v>546</v>
      </c>
      <c r="E41562" s="4">
        <v>0</v>
      </c>
      <c r="F41562" s="5">
        <v>37</v>
      </c>
    </row>
    <row r="41563" spans="1:6" s="7" customFormat="1" ht="12.75">
      <c r="A41563" s="6">
        <v>43885.829861111109</v>
      </c>
      <c r="B41563" s="3" t="str">
        <f>HYPERLINK("https://twitter.com/antaranews","@antaranews")</f>
        <v>@antaranews</v>
      </c>
      <c r="C41563" s="4" t="s">
        <v>15923</v>
      </c>
      <c r="D41563" s="4">
        <v>0</v>
      </c>
      <c r="E41563" s="4">
        <v>1</v>
      </c>
      <c r="F41563" s="5">
        <v>1104886</v>
      </c>
    </row>
    <row r="41564" spans="1:6" s="7" customFormat="1" ht="12.75">
      <c r="A41564" s="6">
        <v>43885.829618055555</v>
      </c>
      <c r="B41564" s="3" t="str">
        <f>HYPERLINK("https://twitter.com/KCandbird","@KCandbird")</f>
        <v>@KCandbird</v>
      </c>
      <c r="C41564" s="4" t="s">
        <v>8484</v>
      </c>
      <c r="D41564" s="4">
        <v>546</v>
      </c>
      <c r="E41564" s="4">
        <v>0</v>
      </c>
      <c r="F41564" s="5">
        <v>87</v>
      </c>
    </row>
    <row r="41565" spans="1:6" s="7" customFormat="1" ht="12.75">
      <c r="A41565" s="6">
        <v>43885.829398148147</v>
      </c>
      <c r="B41565" s="3" t="str">
        <f>HYPERLINK("https://twitter.com/chafidi","@chafidi")</f>
        <v>@chafidi</v>
      </c>
      <c r="C41565" s="4" t="s">
        <v>15598</v>
      </c>
      <c r="D41565" s="4">
        <v>17</v>
      </c>
      <c r="E41565" s="4">
        <v>0</v>
      </c>
      <c r="F41565" s="5">
        <v>154</v>
      </c>
    </row>
    <row r="41566" spans="1:6" s="7" customFormat="1" ht="12.75">
      <c r="A41566" s="6">
        <v>43885.828530092593</v>
      </c>
      <c r="B41566" s="3" t="str">
        <f>HYPERLINK("https://twitter.com/rioyogaa","@rioyogaa")</f>
        <v>@rioyogaa</v>
      </c>
      <c r="C41566" s="4" t="s">
        <v>15924</v>
      </c>
      <c r="D41566" s="4">
        <v>5</v>
      </c>
      <c r="E41566" s="4">
        <v>0</v>
      </c>
      <c r="F41566" s="5">
        <v>184</v>
      </c>
    </row>
    <row r="41567" spans="1:6" s="7" customFormat="1" ht="12.75">
      <c r="A41567" s="6">
        <v>43885.828159722223</v>
      </c>
      <c r="B41567" s="3" t="str">
        <f>HYPERLINK("https://twitter.com/PFTee","@PFTee")</f>
        <v>@PFTee</v>
      </c>
      <c r="C41567" s="4" t="s">
        <v>15340</v>
      </c>
      <c r="D41567" s="4">
        <v>3</v>
      </c>
      <c r="E41567" s="4">
        <v>0</v>
      </c>
      <c r="F41567" s="5">
        <v>1493</v>
      </c>
    </row>
    <row r="41568" spans="1:6" s="7" customFormat="1" ht="12.75">
      <c r="A41568" s="6">
        <v>43885.828159722223</v>
      </c>
      <c r="B41568" s="3" t="str">
        <f>HYPERLINK("https://twitter.com/kompascom","@kompascom")</f>
        <v>@kompascom</v>
      </c>
      <c r="C41568" s="4" t="s">
        <v>15925</v>
      </c>
      <c r="D41568" s="4">
        <v>0</v>
      </c>
      <c r="E41568" s="4">
        <v>2</v>
      </c>
      <c r="F41568" s="5">
        <v>7510654</v>
      </c>
    </row>
    <row r="41569" spans="1:6" s="7" customFormat="1" ht="12.75">
      <c r="A41569" s="6">
        <v>43885.828043981484</v>
      </c>
      <c r="B41569" s="3" t="str">
        <f>HYPERLINK("https://twitter.com/srpsr2","@srpsr2")</f>
        <v>@srpsr2</v>
      </c>
      <c r="C41569" s="4" t="s">
        <v>15179</v>
      </c>
      <c r="D41569" s="4">
        <v>23</v>
      </c>
      <c r="E41569" s="4">
        <v>0</v>
      </c>
      <c r="F41569" s="5">
        <v>118</v>
      </c>
    </row>
    <row r="41570" spans="1:6" s="7" customFormat="1" ht="12.75">
      <c r="A41570" s="6">
        <v>43885.827986111108</v>
      </c>
      <c r="B41570" s="3" t="str">
        <f>HYPERLINK("https://twitter.com/Nitizen_Zen","@Nitizen_Zen")</f>
        <v>@Nitizen_Zen</v>
      </c>
      <c r="C41570" s="4" t="s">
        <v>15449</v>
      </c>
      <c r="D41570" s="4">
        <v>5</v>
      </c>
      <c r="E41570" s="4">
        <v>0</v>
      </c>
      <c r="F41570" s="5">
        <v>455</v>
      </c>
    </row>
    <row r="41571" spans="1:6" s="7" customFormat="1" ht="12.75">
      <c r="A41571" s="6">
        <v>43885.827962962961</v>
      </c>
      <c r="B41571" s="3" t="str">
        <f>HYPERLINK("https://twitter.com/utakut","@utakut")</f>
        <v>@utakut</v>
      </c>
      <c r="C41571" s="4" t="s">
        <v>15926</v>
      </c>
      <c r="D41571" s="4">
        <v>0</v>
      </c>
      <c r="E41571" s="4">
        <v>0</v>
      </c>
      <c r="F41571" s="5">
        <v>145</v>
      </c>
    </row>
    <row r="41572" spans="1:6" s="7" customFormat="1" ht="12.75">
      <c r="A41572" s="6">
        <v>43885.827951388885</v>
      </c>
      <c r="B41572" s="3" t="str">
        <f>HYPERLINK("https://twitter.com/wni_jmsri","@wni_jmsri")</f>
        <v>@wni_jmsri</v>
      </c>
      <c r="C41572" s="4" t="s">
        <v>15927</v>
      </c>
      <c r="D41572" s="4">
        <v>470</v>
      </c>
      <c r="E41572" s="4">
        <v>0</v>
      </c>
      <c r="F41572" s="5">
        <v>196</v>
      </c>
    </row>
    <row r="41573" spans="1:6" s="7" customFormat="1" ht="12.75">
      <c r="A41573" s="6">
        <v>43885.827731481477</v>
      </c>
      <c r="B41573" s="3" t="str">
        <f>HYPERLINK("https://twitter.com/kool3388","@kool3388")</f>
        <v>@kool3388</v>
      </c>
      <c r="C41573" s="4" t="s">
        <v>8484</v>
      </c>
      <c r="D41573" s="4">
        <v>546</v>
      </c>
      <c r="E41573" s="4">
        <v>0</v>
      </c>
      <c r="F41573" s="5">
        <v>147</v>
      </c>
    </row>
    <row r="41574" spans="1:6" s="7" customFormat="1" ht="12.75">
      <c r="A41574" s="6">
        <v>43885.827384259261</v>
      </c>
      <c r="B41574" s="3" t="str">
        <f>HYPERLINK("https://twitter.com/Adr_Nnaa","@Adr_Nnaa")</f>
        <v>@Adr_Nnaa</v>
      </c>
      <c r="C41574" s="4" t="s">
        <v>15455</v>
      </c>
      <c r="D41574" s="4">
        <v>2</v>
      </c>
      <c r="E41574" s="4">
        <v>0</v>
      </c>
      <c r="F41574" s="5">
        <v>4392</v>
      </c>
    </row>
    <row r="41575" spans="1:6" s="7" customFormat="1" ht="12.75">
      <c r="A41575" s="6">
        <v>43885.82712962963</v>
      </c>
      <c r="B41575" s="3" t="str">
        <f>HYPERLINK("https://twitter.com/KompasTV","@KompasTV")</f>
        <v>@KompasTV</v>
      </c>
      <c r="C41575" s="4" t="s">
        <v>15928</v>
      </c>
      <c r="D41575" s="4">
        <v>0</v>
      </c>
      <c r="E41575" s="4">
        <v>1</v>
      </c>
      <c r="F41575" s="5">
        <v>2947667</v>
      </c>
    </row>
    <row r="41576" spans="1:6" s="7" customFormat="1" ht="12.75">
      <c r="A41576" s="6">
        <v>43885.82712962963</v>
      </c>
      <c r="B41576" s="3" t="str">
        <f>HYPERLINK("https://twitter.com/MSyahcroni","@MSyahcroni")</f>
        <v>@MSyahcroni</v>
      </c>
      <c r="C41576" s="4" t="s">
        <v>15929</v>
      </c>
      <c r="D41576" s="4">
        <v>0</v>
      </c>
      <c r="E41576" s="4">
        <v>0</v>
      </c>
      <c r="F41576" s="5">
        <v>3</v>
      </c>
    </row>
    <row r="41577" spans="1:6" s="7" customFormat="1" ht="12.75">
      <c r="A41577" s="6">
        <v>43885.827060185184</v>
      </c>
      <c r="B41577" s="3" t="str">
        <f>HYPERLINK("https://twitter.com/Metro_TV","@Metro_TV")</f>
        <v>@Metro_TV</v>
      </c>
      <c r="C41577" s="4" t="s">
        <v>15930</v>
      </c>
      <c r="D41577" s="4">
        <v>1</v>
      </c>
      <c r="E41577" s="4">
        <v>4</v>
      </c>
      <c r="F41577" s="5">
        <v>10512564</v>
      </c>
    </row>
    <row r="41578" spans="1:6" s="7" customFormat="1" ht="12.75">
      <c r="A41578" s="6">
        <v>43885.826921296291</v>
      </c>
      <c r="B41578" s="3" t="str">
        <f>HYPERLINK("https://twitter.com/sudrajatasep17","@sudrajatasep17")</f>
        <v>@sudrajatasep17</v>
      </c>
      <c r="C41578" s="4" t="s">
        <v>15560</v>
      </c>
      <c r="D41578" s="4">
        <v>1</v>
      </c>
      <c r="E41578" s="4">
        <v>0</v>
      </c>
      <c r="F41578" s="5">
        <v>4273</v>
      </c>
    </row>
    <row r="41579" spans="1:6" s="7" customFormat="1" ht="12.75">
      <c r="A41579" s="6">
        <v>43885.826724537037</v>
      </c>
      <c r="B41579" s="3" t="str">
        <f>HYPERLINK("https://twitter.com/kawamas5","@kawamas5")</f>
        <v>@kawamas5</v>
      </c>
      <c r="C41579" s="4" t="s">
        <v>2940</v>
      </c>
      <c r="D41579" s="4">
        <v>2063</v>
      </c>
      <c r="E41579" s="4">
        <v>0</v>
      </c>
      <c r="F41579" s="5">
        <v>1</v>
      </c>
    </row>
    <row r="41580" spans="1:6" s="7" customFormat="1" ht="12.75">
      <c r="A41580" s="6">
        <v>43885.826678240745</v>
      </c>
      <c r="B41580" s="3" t="str">
        <f>HYPERLINK("https://twitter.com/kak_wew","@kak_wew")</f>
        <v>@kak_wew</v>
      </c>
      <c r="C41580" s="4" t="s">
        <v>15931</v>
      </c>
      <c r="D41580" s="4">
        <v>1</v>
      </c>
      <c r="E41580" s="4">
        <v>1</v>
      </c>
      <c r="F41580" s="5">
        <v>307</v>
      </c>
    </row>
    <row r="41581" spans="1:6" s="7" customFormat="1" ht="12.75">
      <c r="A41581" s="6">
        <v>43885.826643518521</v>
      </c>
      <c r="B41581" s="3" t="str">
        <f>HYPERLINK("https://twitter.com/ywslah","@ywslah")</f>
        <v>@ywslah</v>
      </c>
      <c r="C41581" s="4" t="s">
        <v>12882</v>
      </c>
      <c r="D41581" s="4">
        <v>47</v>
      </c>
      <c r="E41581" s="4">
        <v>0</v>
      </c>
      <c r="F41581" s="5">
        <v>1745</v>
      </c>
    </row>
    <row r="41582" spans="1:6" s="7" customFormat="1" ht="12.75">
      <c r="A41582" s="6">
        <v>43885.826574074075</v>
      </c>
      <c r="B41582" s="3" t="str">
        <f>HYPERLINK("https://twitter.com/ratekajo","@ratekajo")</f>
        <v>@ratekajo</v>
      </c>
      <c r="C41582" s="4" t="s">
        <v>15508</v>
      </c>
      <c r="D41582" s="4">
        <v>372</v>
      </c>
      <c r="E41582" s="4">
        <v>0</v>
      </c>
      <c r="F41582" s="5">
        <v>268</v>
      </c>
    </row>
    <row r="41583" spans="1:6" s="7" customFormat="1" ht="12.75">
      <c r="A41583" s="6">
        <v>43885.826458333337</v>
      </c>
      <c r="B41583" s="3" t="str">
        <f>HYPERLINK("https://twitter.com/BubuNyaii","@BubuNyaii")</f>
        <v>@BubuNyaii</v>
      </c>
      <c r="C41583" s="4" t="s">
        <v>15932</v>
      </c>
      <c r="D41583" s="4">
        <v>2</v>
      </c>
      <c r="E41583" s="4">
        <v>3</v>
      </c>
      <c r="F41583" s="5">
        <v>3627</v>
      </c>
    </row>
    <row r="41584" spans="1:6" s="7" customFormat="1" ht="12.75">
      <c r="A41584" s="6">
        <v>43885.826377314814</v>
      </c>
      <c r="B41584" s="3" t="str">
        <f>HYPERLINK("https://twitter.com/notumimatsu","@notumimatsu")</f>
        <v>@notumimatsu</v>
      </c>
      <c r="C41584" s="4" t="s">
        <v>8484</v>
      </c>
      <c r="D41584" s="4">
        <v>546</v>
      </c>
      <c r="E41584" s="4">
        <v>0</v>
      </c>
      <c r="F41584" s="5">
        <v>37</v>
      </c>
    </row>
    <row r="41585" spans="1:6" s="7" customFormat="1" ht="12.75">
      <c r="A41585" s="6">
        <v>43885.826296296298</v>
      </c>
      <c r="B41585" s="3" t="str">
        <f>HYPERLINK("https://twitter.com/glutenf30812159","@glutenf30812159")</f>
        <v>@glutenf30812159</v>
      </c>
      <c r="C41585" s="4" t="s">
        <v>2940</v>
      </c>
      <c r="D41585" s="4">
        <v>2063</v>
      </c>
      <c r="E41585" s="4">
        <v>0</v>
      </c>
      <c r="F41585" s="5">
        <v>17</v>
      </c>
    </row>
    <row r="41586" spans="1:6" s="7" customFormat="1" ht="12.75">
      <c r="A41586" s="6">
        <v>43885.826180555552</v>
      </c>
      <c r="B41586" s="3" t="str">
        <f>HYPERLINK("https://twitter.com/ilman__nafian","@ilman__nafian")</f>
        <v>@ilman__nafian</v>
      </c>
      <c r="C41586" s="4" t="s">
        <v>15845</v>
      </c>
      <c r="D41586" s="4">
        <v>4</v>
      </c>
      <c r="E41586" s="4">
        <v>0</v>
      </c>
      <c r="F41586" s="5">
        <v>2279</v>
      </c>
    </row>
    <row r="41587" spans="1:6" s="7" customFormat="1" ht="12.75">
      <c r="A41587" s="6">
        <v>43885.826053240744</v>
      </c>
      <c r="B41587" s="3" t="str">
        <f>HYPERLINK("https://twitter.com/waode93is","@waode93is")</f>
        <v>@waode93is</v>
      </c>
      <c r="C41587" s="4" t="s">
        <v>14106</v>
      </c>
      <c r="D41587" s="4">
        <v>106</v>
      </c>
      <c r="E41587" s="4">
        <v>0</v>
      </c>
      <c r="F41587" s="5">
        <v>33</v>
      </c>
    </row>
    <row r="41588" spans="1:6" s="7" customFormat="1" ht="12.75">
      <c r="A41588" s="6">
        <v>43885.826018518521</v>
      </c>
      <c r="B41588" s="3" t="str">
        <f>HYPERLINK("https://twitter.com/Sinbad555","@Sinbad555")</f>
        <v>@Sinbad555</v>
      </c>
      <c r="C41588" s="4" t="s">
        <v>15471</v>
      </c>
      <c r="D41588" s="4">
        <v>112</v>
      </c>
      <c r="E41588" s="4">
        <v>0</v>
      </c>
      <c r="F41588" s="5">
        <v>3863</v>
      </c>
    </row>
    <row r="41589" spans="1:6" s="7" customFormat="1" ht="12.75">
      <c r="A41589" s="6">
        <v>43885.826006944444</v>
      </c>
      <c r="B41589" s="3" t="str">
        <f>HYPERLINK("https://twitter.com/wongFFwong","@wongFFwong")</f>
        <v>@wongFFwong</v>
      </c>
      <c r="C41589" s="4" t="s">
        <v>15933</v>
      </c>
      <c r="D41589" s="4">
        <v>4</v>
      </c>
      <c r="E41589" s="4">
        <v>0</v>
      </c>
      <c r="F41589" s="5">
        <v>167</v>
      </c>
    </row>
    <row r="41590" spans="1:6" s="7" customFormat="1" ht="12.75">
      <c r="A41590" s="6">
        <v>43885.825902777782</v>
      </c>
      <c r="B41590" s="3" t="str">
        <f>HYPERLINK("https://twitter.com/waode93is","@waode93is")</f>
        <v>@waode93is</v>
      </c>
      <c r="C41590" s="4" t="s">
        <v>13834</v>
      </c>
      <c r="D41590" s="4">
        <v>116</v>
      </c>
      <c r="E41590" s="4">
        <v>0</v>
      </c>
      <c r="F41590" s="5">
        <v>33</v>
      </c>
    </row>
    <row r="41591" spans="1:6" s="7" customFormat="1" ht="12.75">
      <c r="A41591" s="6">
        <v>43885.825682870374</v>
      </c>
      <c r="B41591" s="3" t="str">
        <f>HYPERLINK("https://twitter.com/moesa_jp02","@moesa_jp02")</f>
        <v>@moesa_jp02</v>
      </c>
      <c r="C41591" s="4" t="s">
        <v>15933</v>
      </c>
      <c r="D41591" s="4">
        <v>4</v>
      </c>
      <c r="E41591" s="4">
        <v>0</v>
      </c>
      <c r="F41591" s="5">
        <v>1396</v>
      </c>
    </row>
    <row r="41592" spans="1:6" s="7" customFormat="1" ht="12.75">
      <c r="A41592" s="6">
        <v>43885.825590277775</v>
      </c>
      <c r="B41592" s="3" t="str">
        <f>HYPERLINK("https://twitter.com/rinichan02","@rinichan02")</f>
        <v>@rinichan02</v>
      </c>
      <c r="C41592" s="4" t="s">
        <v>15934</v>
      </c>
      <c r="D41592" s="4">
        <v>1</v>
      </c>
      <c r="E41592" s="4">
        <v>0</v>
      </c>
      <c r="F41592" s="5">
        <v>2850</v>
      </c>
    </row>
    <row r="41593" spans="1:6" s="7" customFormat="1" ht="12.75">
      <c r="A41593" s="6">
        <v>43885.825462962966</v>
      </c>
      <c r="B41593" s="3" t="str">
        <f t="shared" ref="B41593:B41594" si="627">HYPERLINK("https://twitter.com/JAP_2018","@JAP_2018")</f>
        <v>@JAP_2018</v>
      </c>
      <c r="C41593" s="4" t="s">
        <v>14106</v>
      </c>
      <c r="D41593" s="4">
        <v>106</v>
      </c>
      <c r="E41593" s="4">
        <v>0</v>
      </c>
      <c r="F41593" s="5">
        <v>1013</v>
      </c>
    </row>
    <row r="41594" spans="1:6" s="7" customFormat="1" ht="12.75">
      <c r="A41594" s="6">
        <v>43885.825439814813</v>
      </c>
      <c r="B41594" s="3" t="str">
        <f t="shared" si="627"/>
        <v>@JAP_2018</v>
      </c>
      <c r="C41594" s="4" t="s">
        <v>13834</v>
      </c>
      <c r="D41594" s="4">
        <v>116</v>
      </c>
      <c r="E41594" s="4">
        <v>0</v>
      </c>
      <c r="F41594" s="5">
        <v>1013</v>
      </c>
    </row>
    <row r="41595" spans="1:6" s="7" customFormat="1" ht="12.75">
      <c r="A41595" s="6">
        <v>43885.825428240743</v>
      </c>
      <c r="B41595" s="3" t="str">
        <f>HYPERLINK("https://twitter.com/waode93is","@waode93is")</f>
        <v>@waode93is</v>
      </c>
      <c r="C41595" s="4" t="s">
        <v>8484</v>
      </c>
      <c r="D41595" s="4">
        <v>546</v>
      </c>
      <c r="E41595" s="4">
        <v>0</v>
      </c>
      <c r="F41595" s="5">
        <v>33</v>
      </c>
    </row>
    <row r="41596" spans="1:6" s="7" customFormat="1" ht="12.75">
      <c r="A41596" s="6">
        <v>43885.825381944444</v>
      </c>
      <c r="B41596" s="3" t="str">
        <f t="shared" ref="B41596:B41597" si="628">HYPERLINK("https://twitter.com/JAP_2018","@JAP_2018")</f>
        <v>@JAP_2018</v>
      </c>
      <c r="C41596" s="4" t="s">
        <v>8484</v>
      </c>
      <c r="D41596" s="4">
        <v>546</v>
      </c>
      <c r="E41596" s="4">
        <v>0</v>
      </c>
      <c r="F41596" s="5">
        <v>1013</v>
      </c>
    </row>
    <row r="41597" spans="1:6" s="7" customFormat="1" ht="12.75">
      <c r="A41597" s="6">
        <v>43885.825300925921</v>
      </c>
      <c r="B41597" s="3" t="str">
        <f t="shared" si="628"/>
        <v>@JAP_2018</v>
      </c>
      <c r="C41597" s="4" t="s">
        <v>2940</v>
      </c>
      <c r="D41597" s="4">
        <v>2063</v>
      </c>
      <c r="E41597" s="4">
        <v>0</v>
      </c>
      <c r="F41597" s="5">
        <v>1013</v>
      </c>
    </row>
    <row r="41598" spans="1:6" s="7" customFormat="1" ht="12.75">
      <c r="A41598" s="6">
        <v>43885.825289351851</v>
      </c>
      <c r="B41598" s="3" t="str">
        <f>HYPERLINK("https://twitter.com/superradioid","@superradioid")</f>
        <v>@superradioid</v>
      </c>
      <c r="C41598" s="4" t="s">
        <v>15935</v>
      </c>
      <c r="D41598" s="4">
        <v>0</v>
      </c>
      <c r="E41598" s="4">
        <v>0</v>
      </c>
      <c r="F41598" s="5">
        <v>63</v>
      </c>
    </row>
    <row r="41599" spans="1:6" s="7" customFormat="1" ht="12.75">
      <c r="A41599" s="6">
        <v>43885.825289351851</v>
      </c>
      <c r="B41599" s="3" t="str">
        <f t="shared" ref="B41599:B41600" si="629">HYPERLINK("https://twitter.com/FxSlamett","@FxSlamett")</f>
        <v>@FxSlamett</v>
      </c>
      <c r="C41599" s="4" t="s">
        <v>15936</v>
      </c>
      <c r="D41599" s="4">
        <v>1</v>
      </c>
      <c r="E41599" s="4">
        <v>0</v>
      </c>
      <c r="F41599" s="5">
        <v>6</v>
      </c>
    </row>
    <row r="41600" spans="1:6" s="7" customFormat="1" ht="12.75">
      <c r="A41600" s="6">
        <v>43885.825057870374</v>
      </c>
      <c r="B41600" s="3" t="str">
        <f t="shared" si="629"/>
        <v>@FxSlamett</v>
      </c>
      <c r="C41600" s="4" t="s">
        <v>15937</v>
      </c>
      <c r="D41600" s="4">
        <v>1</v>
      </c>
      <c r="E41600" s="4">
        <v>0</v>
      </c>
      <c r="F41600" s="5">
        <v>6</v>
      </c>
    </row>
    <row r="41601" spans="1:6" s="7" customFormat="1" ht="12.75">
      <c r="A41601" s="6">
        <v>43885.825057870374</v>
      </c>
      <c r="B41601" s="3" t="str">
        <f t="shared" ref="B41601:B41603" si="630">HYPERLINK("https://twitter.com/Namaku_Mei","@Namaku_Mei")</f>
        <v>@Namaku_Mei</v>
      </c>
      <c r="C41601" s="4" t="s">
        <v>15938</v>
      </c>
      <c r="D41601" s="4">
        <v>0</v>
      </c>
      <c r="E41601" s="4">
        <v>0</v>
      </c>
      <c r="F41601" s="5">
        <v>34523</v>
      </c>
    </row>
    <row r="41602" spans="1:6" s="7" customFormat="1" ht="12.75">
      <c r="A41602" s="6">
        <v>43885.825057870374</v>
      </c>
      <c r="B41602" s="3" t="str">
        <f t="shared" si="630"/>
        <v>@Namaku_Mei</v>
      </c>
      <c r="C41602" s="4" t="s">
        <v>15939</v>
      </c>
      <c r="D41602" s="4">
        <v>0</v>
      </c>
      <c r="E41602" s="4">
        <v>0</v>
      </c>
      <c r="F41602" s="5">
        <v>34523</v>
      </c>
    </row>
    <row r="41603" spans="1:6" s="7" customFormat="1" ht="12.75">
      <c r="A41603" s="6">
        <v>43885.825046296297</v>
      </c>
      <c r="B41603" s="3" t="str">
        <f t="shared" si="630"/>
        <v>@Namaku_Mei</v>
      </c>
      <c r="C41603" s="4" t="s">
        <v>15940</v>
      </c>
      <c r="D41603" s="4">
        <v>0</v>
      </c>
      <c r="E41603" s="4">
        <v>0</v>
      </c>
      <c r="F41603" s="5">
        <v>34523</v>
      </c>
    </row>
    <row r="41604" spans="1:6" s="7" customFormat="1" ht="12.75">
      <c r="A41604" s="6">
        <v>43885.824942129635</v>
      </c>
      <c r="B41604" s="3" t="str">
        <f>HYPERLINK("https://twitter.com/PuriBaliShop","@PuriBaliShop")</f>
        <v>@PuriBaliShop</v>
      </c>
      <c r="C41604" s="4" t="s">
        <v>2940</v>
      </c>
      <c r="D41604" s="4">
        <v>2063</v>
      </c>
      <c r="E41604" s="4">
        <v>0</v>
      </c>
      <c r="F41604" s="5">
        <v>528</v>
      </c>
    </row>
    <row r="41605" spans="1:6" s="7" customFormat="1" ht="12.75">
      <c r="A41605" s="6">
        <v>43885.824664351851</v>
      </c>
      <c r="B41605" s="3" t="str">
        <f>HYPERLINK("https://twitter.com/JAP_2018","@JAP_2018")</f>
        <v>@JAP_2018</v>
      </c>
      <c r="C41605" s="4" t="s">
        <v>15471</v>
      </c>
      <c r="D41605" s="4">
        <v>112</v>
      </c>
      <c r="E41605" s="4">
        <v>0</v>
      </c>
      <c r="F41605" s="5">
        <v>1013</v>
      </c>
    </row>
    <row r="41606" spans="1:6" s="7" customFormat="1" ht="12.75">
      <c r="A41606" s="6">
        <v>43885.824652777781</v>
      </c>
      <c r="B41606" s="3" t="str">
        <f>HYPERLINK("https://twitter.com/unchiNWO","@unchiNWO")</f>
        <v>@unchiNWO</v>
      </c>
      <c r="C41606" s="4" t="s">
        <v>8484</v>
      </c>
      <c r="D41606" s="4">
        <v>546</v>
      </c>
      <c r="E41606" s="4">
        <v>0</v>
      </c>
      <c r="F41606" s="5">
        <v>314</v>
      </c>
    </row>
    <row r="41607" spans="1:6" s="7" customFormat="1" ht="12.75">
      <c r="A41607" s="6">
        <v>43885.824618055558</v>
      </c>
      <c r="B41607" s="3" t="str">
        <f>HYPERLINK("https://twitter.com/ainurroh_mah","@ainurroh_mah")</f>
        <v>@ainurroh_mah</v>
      </c>
      <c r="C41607" s="4" t="s">
        <v>15941</v>
      </c>
      <c r="D41607" s="4">
        <v>0</v>
      </c>
      <c r="E41607" s="4">
        <v>0</v>
      </c>
      <c r="F41607" s="5">
        <v>2040</v>
      </c>
    </row>
    <row r="41608" spans="1:6" s="7" customFormat="1" ht="12.75">
      <c r="A41608" s="6">
        <v>43885.824328703704</v>
      </c>
      <c r="B41608" s="3" t="str">
        <f>HYPERLINK("https://twitter.com/kompascom","@kompascom")</f>
        <v>@kompascom</v>
      </c>
      <c r="C41608" s="4" t="s">
        <v>15942</v>
      </c>
      <c r="D41608" s="4">
        <v>4</v>
      </c>
      <c r="E41608" s="4">
        <v>17</v>
      </c>
      <c r="F41608" s="5">
        <v>7510654</v>
      </c>
    </row>
    <row r="41609" spans="1:6" s="7" customFormat="1" ht="12.75">
      <c r="A41609" s="6">
        <v>43885.824236111112</v>
      </c>
      <c r="B41609" s="3" t="str">
        <f>HYPERLINK("https://twitter.com/IntelBuahbuahan","@IntelBuahbuahan")</f>
        <v>@IntelBuahbuahan</v>
      </c>
      <c r="C41609" s="4" t="s">
        <v>15943</v>
      </c>
      <c r="D41609" s="4">
        <v>0</v>
      </c>
      <c r="E41609" s="4">
        <v>1</v>
      </c>
      <c r="F41609" s="5">
        <v>239</v>
      </c>
    </row>
    <row r="41610" spans="1:6" s="7" customFormat="1" ht="12.75">
      <c r="A41610" s="6">
        <v>43885.823958333334</v>
      </c>
      <c r="B41610" s="3" t="str">
        <f>HYPERLINK("https://twitter.com/nurshivana","@nurshivana")</f>
        <v>@nurshivana</v>
      </c>
      <c r="C41610" s="4" t="s">
        <v>15944</v>
      </c>
      <c r="D41610" s="4">
        <v>0</v>
      </c>
      <c r="E41610" s="4">
        <v>0</v>
      </c>
      <c r="F41610" s="5">
        <v>152</v>
      </c>
    </row>
    <row r="41611" spans="1:6" s="7" customFormat="1" ht="12.75">
      <c r="A41611" s="6">
        <v>43885.823877314819</v>
      </c>
      <c r="B41611" s="3" t="str">
        <f>HYPERLINK("https://twitter.com/BubuNyaii","@BubuNyaii")</f>
        <v>@BubuNyaii</v>
      </c>
      <c r="C41611" s="4" t="s">
        <v>15945</v>
      </c>
      <c r="D41611" s="4">
        <v>0</v>
      </c>
      <c r="E41611" s="4">
        <v>0</v>
      </c>
      <c r="F41611" s="5">
        <v>3627</v>
      </c>
    </row>
    <row r="41612" spans="1:6" s="7" customFormat="1" ht="12.75">
      <c r="A41612" s="6">
        <v>43885.823819444442</v>
      </c>
      <c r="B41612" s="3" t="str">
        <f>HYPERLINK("https://twitter.com/Rifal1989","@Rifal1989")</f>
        <v>@Rifal1989</v>
      </c>
      <c r="C41612" s="4" t="s">
        <v>11973</v>
      </c>
      <c r="D41612" s="4">
        <v>10</v>
      </c>
      <c r="E41612" s="4">
        <v>0</v>
      </c>
      <c r="F41612" s="5">
        <v>501</v>
      </c>
    </row>
    <row r="41613" spans="1:6" s="7" customFormat="1" ht="12.75">
      <c r="A41613" s="6">
        <v>43885.823645833334</v>
      </c>
      <c r="B41613" s="3" t="str">
        <f>HYPERLINK("https://twitter.com/ajeng379","@ajeng379")</f>
        <v>@ajeng379</v>
      </c>
      <c r="C41613" s="4" t="s">
        <v>15340</v>
      </c>
      <c r="D41613" s="4">
        <v>3</v>
      </c>
      <c r="E41613" s="4">
        <v>0</v>
      </c>
      <c r="F41613" s="5">
        <v>67</v>
      </c>
    </row>
    <row r="41614" spans="1:6" s="7" customFormat="1" ht="12.75">
      <c r="A41614" s="6">
        <v>43885.823611111111</v>
      </c>
      <c r="B41614" s="3" t="str">
        <f>HYPERLINK("https://twitter.com/Rizki793","@Rizki793")</f>
        <v>@Rizki793</v>
      </c>
      <c r="C41614" s="4" t="s">
        <v>15946</v>
      </c>
      <c r="D41614" s="4">
        <v>0</v>
      </c>
      <c r="E41614" s="4">
        <v>0</v>
      </c>
      <c r="F41614" s="5">
        <v>12</v>
      </c>
    </row>
    <row r="41615" spans="1:6" s="7" customFormat="1" ht="12.75">
      <c r="A41615" s="6">
        <v>43885.823599537034</v>
      </c>
      <c r="B41615" s="3" t="str">
        <f>HYPERLINK("https://twitter.com/triwul82","@triwul82")</f>
        <v>@triwul82</v>
      </c>
      <c r="C41615" s="4" t="s">
        <v>15449</v>
      </c>
      <c r="D41615" s="4">
        <v>5</v>
      </c>
      <c r="E41615" s="4">
        <v>0</v>
      </c>
      <c r="F41615" s="5">
        <v>29068</v>
      </c>
    </row>
    <row r="41616" spans="1:6" s="7" customFormat="1" ht="12.75">
      <c r="A41616" s="6">
        <v>43885.823009259257</v>
      </c>
      <c r="B41616" s="3" t="str">
        <f>HYPERLINK("https://twitter.com/kampaskops","@kampaskops")</f>
        <v>@kampaskops</v>
      </c>
      <c r="C41616" s="4" t="s">
        <v>15947</v>
      </c>
      <c r="D41616" s="4">
        <v>0</v>
      </c>
      <c r="E41616" s="4">
        <v>1</v>
      </c>
      <c r="F41616" s="5">
        <v>344</v>
      </c>
    </row>
    <row r="41617" spans="1:6" s="7" customFormat="1" ht="12.75">
      <c r="A41617" s="6">
        <v>43885.822731481487</v>
      </c>
      <c r="B41617" s="3" t="str">
        <f>HYPERLINK("https://twitter.com/aamarsellia","@aamarsellia")</f>
        <v>@aamarsellia</v>
      </c>
      <c r="C41617" s="4" t="s">
        <v>12920</v>
      </c>
      <c r="D41617" s="4">
        <v>1421</v>
      </c>
      <c r="E41617" s="4">
        <v>0</v>
      </c>
      <c r="F41617" s="5">
        <v>294</v>
      </c>
    </row>
    <row r="41618" spans="1:6" s="7" customFormat="1" ht="12.75">
      <c r="A41618" s="6">
        <v>43885.822384259256</v>
      </c>
      <c r="B41618" s="3" t="str">
        <f>HYPERLINK("https://twitter.com/Moniqueeee_n","@Moniqueeee_n")</f>
        <v>@Moniqueeee_n</v>
      </c>
      <c r="C41618" s="4" t="s">
        <v>15948</v>
      </c>
      <c r="D41618" s="4">
        <v>0</v>
      </c>
      <c r="E41618" s="4">
        <v>0</v>
      </c>
      <c r="F41618" s="5">
        <v>443</v>
      </c>
    </row>
    <row r="41619" spans="1:6" s="7" customFormat="1" ht="12.75">
      <c r="A41619" s="6">
        <v>43885.82230324074</v>
      </c>
      <c r="B41619" s="3" t="str">
        <f>HYPERLINK("https://twitter.com/TolakBigotRI","@TolakBigotRI")</f>
        <v>@TolakBigotRI</v>
      </c>
      <c r="C41619" s="4" t="s">
        <v>15449</v>
      </c>
      <c r="D41619" s="4">
        <v>5</v>
      </c>
      <c r="E41619" s="4">
        <v>0</v>
      </c>
      <c r="F41619" s="5">
        <v>25732</v>
      </c>
    </row>
    <row r="41620" spans="1:6" s="7" customFormat="1" ht="12.75">
      <c r="A41620" s="6">
        <v>43885.82203703704</v>
      </c>
      <c r="B41620" s="3" t="str">
        <f>HYPERLINK("https://twitter.com/Rk1Mkdv5W9xLLXZ","@Rk1Mkdv5W9xLLXZ")</f>
        <v>@Rk1Mkdv5W9xLLXZ</v>
      </c>
      <c r="C41620" s="4" t="s">
        <v>8484</v>
      </c>
      <c r="D41620" s="4">
        <v>546</v>
      </c>
      <c r="E41620" s="4">
        <v>0</v>
      </c>
      <c r="F41620" s="5">
        <v>98</v>
      </c>
    </row>
    <row r="41621" spans="1:6" s="7" customFormat="1" ht="12.75">
      <c r="A41621" s="6">
        <v>43885.821898148148</v>
      </c>
      <c r="B41621" s="3" t="str">
        <f t="shared" ref="B41621:B41623" si="631">HYPERLINK("https://twitter.com/giminELLex","@giminELLex")</f>
        <v>@giminELLex</v>
      </c>
      <c r="C41621" s="4" t="s">
        <v>15949</v>
      </c>
      <c r="D41621" s="4">
        <v>0</v>
      </c>
      <c r="E41621" s="4">
        <v>0</v>
      </c>
      <c r="F41621" s="5">
        <v>393</v>
      </c>
    </row>
    <row r="41622" spans="1:6" s="7" customFormat="1" ht="12.75">
      <c r="A41622" s="6">
        <v>43885.821886574078</v>
      </c>
      <c r="B41622" s="3" t="str">
        <f t="shared" si="631"/>
        <v>@giminELLex</v>
      </c>
      <c r="C41622" s="4" t="s">
        <v>15950</v>
      </c>
      <c r="D41622" s="4">
        <v>0</v>
      </c>
      <c r="E41622" s="4">
        <v>0</v>
      </c>
      <c r="F41622" s="5">
        <v>393</v>
      </c>
    </row>
    <row r="41623" spans="1:6" s="7" customFormat="1" ht="12.75">
      <c r="A41623" s="6">
        <v>43885.821875000001</v>
      </c>
      <c r="B41623" s="3" t="str">
        <f t="shared" si="631"/>
        <v>@giminELLex</v>
      </c>
      <c r="C41623" s="4" t="s">
        <v>15951</v>
      </c>
      <c r="D41623" s="4">
        <v>5</v>
      </c>
      <c r="E41623" s="4">
        <v>3</v>
      </c>
      <c r="F41623" s="5">
        <v>393</v>
      </c>
    </row>
    <row r="41624" spans="1:6" s="7" customFormat="1" ht="12.75">
      <c r="A41624" s="6">
        <v>43885.821828703702</v>
      </c>
      <c r="B41624" s="3" t="str">
        <f>HYPERLINK("https://twitter.com/x709x","@x709x")</f>
        <v>@x709x</v>
      </c>
      <c r="C41624" s="4" t="s">
        <v>2940</v>
      </c>
      <c r="D41624" s="4">
        <v>2063</v>
      </c>
      <c r="E41624" s="4">
        <v>0</v>
      </c>
      <c r="F41624" s="5">
        <v>112</v>
      </c>
    </row>
    <row r="41625" spans="1:6" s="7" customFormat="1" ht="12.75">
      <c r="A41625" s="6">
        <v>43885.821770833332</v>
      </c>
      <c r="B41625" s="3" t="str">
        <f>HYPERLINK("https://twitter.com/PatriotDolphin","@PatriotDolphin")</f>
        <v>@PatriotDolphin</v>
      </c>
      <c r="C41625" s="4" t="s">
        <v>2940</v>
      </c>
      <c r="D41625" s="4">
        <v>2063</v>
      </c>
      <c r="E41625" s="4">
        <v>0</v>
      </c>
      <c r="F41625" s="5">
        <v>448</v>
      </c>
    </row>
    <row r="41626" spans="1:6" s="7" customFormat="1" ht="12.75">
      <c r="A41626" s="6">
        <v>43885.821643518517</v>
      </c>
      <c r="B41626" s="3" t="str">
        <f>HYPERLINK("https://twitter.com/kemuning_raya","@kemuning_raya")</f>
        <v>@kemuning_raya</v>
      </c>
      <c r="C41626" s="4" t="s">
        <v>15471</v>
      </c>
      <c r="D41626" s="4">
        <v>112</v>
      </c>
      <c r="E41626" s="4">
        <v>0</v>
      </c>
      <c r="F41626" s="5">
        <v>322</v>
      </c>
    </row>
    <row r="41627" spans="1:6" s="7" customFormat="1" ht="12.75">
      <c r="A41627" s="6">
        <v>43885.820729166662</v>
      </c>
      <c r="B41627" s="3" t="str">
        <f>HYPERLINK("https://twitter.com/aonotubasa","@aonotubasa")</f>
        <v>@aonotubasa</v>
      </c>
      <c r="C41627" s="4" t="s">
        <v>8484</v>
      </c>
      <c r="D41627" s="4">
        <v>546</v>
      </c>
      <c r="E41627" s="4">
        <v>0</v>
      </c>
      <c r="F41627" s="5">
        <v>765</v>
      </c>
    </row>
    <row r="41628" spans="1:6" s="7" customFormat="1" ht="12.75">
      <c r="A41628" s="6">
        <v>43885.793217592596</v>
      </c>
      <c r="B41628" s="3" t="str">
        <f>HYPERLINK("https://twitter.com/rizalmln","@rizalmln")</f>
        <v>@rizalmln</v>
      </c>
      <c r="C41628" s="4" t="s">
        <v>2940</v>
      </c>
      <c r="D41628" s="4">
        <v>2030</v>
      </c>
      <c r="E41628" s="4">
        <v>0</v>
      </c>
      <c r="F41628" s="5">
        <v>455</v>
      </c>
    </row>
    <row r="41629" spans="1:6" s="7" customFormat="1" ht="12.75">
      <c r="A41629" s="6">
        <v>43885.793194444443</v>
      </c>
      <c r="B41629" s="3" t="str">
        <f t="shared" ref="B41629:B41630" si="632">HYPERLINK("https://twitter.com/moesa_jp02","@moesa_jp02")</f>
        <v>@moesa_jp02</v>
      </c>
      <c r="C41629" s="4" t="s">
        <v>15952</v>
      </c>
      <c r="D41629" s="4">
        <v>1</v>
      </c>
      <c r="E41629" s="4">
        <v>0</v>
      </c>
      <c r="F41629" s="5">
        <v>1396</v>
      </c>
    </row>
    <row r="41630" spans="1:6" s="7" customFormat="1" ht="12.75">
      <c r="A41630" s="6">
        <v>43885.792800925927</v>
      </c>
      <c r="B41630" s="3" t="str">
        <f t="shared" si="632"/>
        <v>@moesa_jp02</v>
      </c>
      <c r="C41630" s="4" t="s">
        <v>15953</v>
      </c>
      <c r="D41630" s="4">
        <v>1</v>
      </c>
      <c r="E41630" s="4">
        <v>0</v>
      </c>
      <c r="F41630" s="5">
        <v>1396</v>
      </c>
    </row>
    <row r="41631" spans="1:6" s="7" customFormat="1" ht="12.75">
      <c r="A41631" s="6">
        <v>43885.792534722219</v>
      </c>
      <c r="B41631" s="3" t="str">
        <f>HYPERLINK("https://twitter.com/zealox_666","@zealox_666")</f>
        <v>@zealox_666</v>
      </c>
      <c r="C41631" s="4" t="s">
        <v>145</v>
      </c>
      <c r="D41631" s="4">
        <v>9</v>
      </c>
      <c r="E41631" s="4">
        <v>0</v>
      </c>
      <c r="F41631" s="5">
        <v>1417</v>
      </c>
    </row>
    <row r="41632" spans="1:6" s="7" customFormat="1" ht="12.75">
      <c r="A41632" s="6">
        <v>43885.792395833334</v>
      </c>
      <c r="B41632" s="3" t="str">
        <f>HYPERLINK("https://twitter.com/IS_true5329","@IS_true5329")</f>
        <v>@IS_true5329</v>
      </c>
      <c r="C41632" s="4" t="s">
        <v>2940</v>
      </c>
      <c r="D41632" s="4">
        <v>2030</v>
      </c>
      <c r="E41632" s="4">
        <v>0</v>
      </c>
      <c r="F41632" s="5">
        <v>11</v>
      </c>
    </row>
    <row r="41633" spans="1:6" s="7" customFormat="1" ht="12.75">
      <c r="A41633" s="6">
        <v>43885.792222222226</v>
      </c>
      <c r="B41633" s="3" t="str">
        <f>HYPERLINK("https://twitter.com/panggilbebeb","@panggilbebeb")</f>
        <v>@panggilbebeb</v>
      </c>
      <c r="C41633" s="4" t="s">
        <v>145</v>
      </c>
      <c r="D41633" s="4">
        <v>9</v>
      </c>
      <c r="E41633" s="4">
        <v>0</v>
      </c>
      <c r="F41633" s="5">
        <v>609</v>
      </c>
    </row>
    <row r="41634" spans="1:6" s="7" customFormat="1" ht="12.75">
      <c r="A41634" s="6">
        <v>43885.791493055556</v>
      </c>
      <c r="B41634" s="3" t="str">
        <f>HYPERLINK("https://twitter.com/Moriya_Jirou_","@Moriya_Jirou_")</f>
        <v>@Moriya_Jirou_</v>
      </c>
      <c r="C41634" s="4" t="s">
        <v>2940</v>
      </c>
      <c r="D41634" s="4">
        <v>2030</v>
      </c>
      <c r="E41634" s="4">
        <v>0</v>
      </c>
      <c r="F41634" s="5">
        <v>2091</v>
      </c>
    </row>
    <row r="41635" spans="1:6" s="7" customFormat="1" ht="12.75">
      <c r="A41635" s="6">
        <v>43885.790520833332</v>
      </c>
      <c r="B41635" s="3" t="str">
        <f>HYPERLINK("https://twitter.com/S1MB4H_EN0M","@S1MB4H_EN0M")</f>
        <v>@S1MB4H_EN0M</v>
      </c>
      <c r="C41635" s="4" t="s">
        <v>15954</v>
      </c>
      <c r="D41635" s="4">
        <v>7</v>
      </c>
      <c r="E41635" s="4">
        <v>0</v>
      </c>
      <c r="F41635" s="5">
        <v>832</v>
      </c>
    </row>
    <row r="41636" spans="1:6" s="7" customFormat="1" ht="12.75">
      <c r="A41636" s="6">
        <v>43885.790300925924</v>
      </c>
      <c r="B41636" s="3" t="str">
        <f>HYPERLINK("https://twitter.com/sarah_tyas1","@sarah_tyas1")</f>
        <v>@sarah_tyas1</v>
      </c>
      <c r="C41636" s="4" t="s">
        <v>12920</v>
      </c>
      <c r="D41636" s="4">
        <v>1412</v>
      </c>
      <c r="E41636" s="4">
        <v>0</v>
      </c>
      <c r="F41636" s="5">
        <v>424</v>
      </c>
    </row>
    <row r="41637" spans="1:6" s="7" customFormat="1" ht="12.75">
      <c r="A41637" s="6">
        <v>43885.790289351848</v>
      </c>
      <c r="B41637" s="3" t="str">
        <f>HYPERLINK("https://twitter.com/bucinaeroaqsa","@bucinaeroaqsa")</f>
        <v>@bucinaeroaqsa</v>
      </c>
      <c r="C41637" s="4" t="s">
        <v>15955</v>
      </c>
      <c r="D41637" s="4">
        <v>0</v>
      </c>
      <c r="E41637" s="4">
        <v>0</v>
      </c>
      <c r="F41637" s="5">
        <v>1413</v>
      </c>
    </row>
    <row r="41638" spans="1:6" s="7" customFormat="1" ht="12.75">
      <c r="A41638" s="6">
        <v>43885.790185185186</v>
      </c>
      <c r="B41638" s="3" t="str">
        <f>HYPERLINK("https://twitter.com/agama_nusantara","@agama_nusantara")</f>
        <v>@agama_nusantara</v>
      </c>
      <c r="C41638" s="4" t="s">
        <v>15598</v>
      </c>
      <c r="D41638" s="4">
        <v>12</v>
      </c>
      <c r="E41638" s="4">
        <v>0</v>
      </c>
      <c r="F41638" s="5">
        <v>7367</v>
      </c>
    </row>
    <row r="41639" spans="1:6" s="7" customFormat="1" ht="12.75">
      <c r="A41639" s="6">
        <v>43885.789930555555</v>
      </c>
      <c r="B41639" s="3" t="str">
        <f>HYPERLINK("https://twitter.com/lppsamarinda","@lppsamarinda")</f>
        <v>@lppsamarinda</v>
      </c>
      <c r="C41639" s="4" t="s">
        <v>15956</v>
      </c>
      <c r="D41639" s="4">
        <v>0</v>
      </c>
      <c r="E41639" s="4">
        <v>0</v>
      </c>
      <c r="F41639" s="5">
        <v>22</v>
      </c>
    </row>
    <row r="41640" spans="1:6" s="7" customFormat="1" ht="12.75">
      <c r="A41640" s="6">
        <v>43885.789895833332</v>
      </c>
      <c r="B41640" s="3" t="str">
        <f>HYPERLINK("https://twitter.com/okezonenews","@okezonenews")</f>
        <v>@okezonenews</v>
      </c>
      <c r="C41640" s="4" t="s">
        <v>15957</v>
      </c>
      <c r="D41640" s="4">
        <v>0</v>
      </c>
      <c r="E41640" s="4">
        <v>0</v>
      </c>
      <c r="F41640" s="5">
        <v>1743490</v>
      </c>
    </row>
    <row r="41641" spans="1:6" s="7" customFormat="1" ht="12.75">
      <c r="A41641" s="6">
        <v>43885.789733796293</v>
      </c>
      <c r="B41641" s="3" t="str">
        <f>HYPERLINK("https://twitter.com/0616_teardrop26","@0616_teardrop26")</f>
        <v>@0616_teardrop26</v>
      </c>
      <c r="C41641" s="4" t="s">
        <v>8484</v>
      </c>
      <c r="D41641" s="4">
        <v>516</v>
      </c>
      <c r="E41641" s="4">
        <v>0</v>
      </c>
      <c r="F41641" s="5">
        <v>286</v>
      </c>
    </row>
    <row r="41642" spans="1:6" s="7" customFormat="1" ht="12.75">
      <c r="A41642" s="6">
        <v>43885.789560185185</v>
      </c>
      <c r="B41642" s="3" t="str">
        <f>HYPERLINK("https://twitter.com/7apulidi","@7apulidi")</f>
        <v>@7apulidi</v>
      </c>
      <c r="C41642" s="4" t="s">
        <v>2940</v>
      </c>
      <c r="D41642" s="4">
        <v>2030</v>
      </c>
      <c r="E41642" s="4">
        <v>0</v>
      </c>
      <c r="F41642" s="5">
        <v>862</v>
      </c>
    </row>
    <row r="41643" spans="1:6" s="7" customFormat="1" ht="12.75">
      <c r="A41643" s="6">
        <v>43885.789467592593</v>
      </c>
      <c r="B41643" s="3" t="str">
        <f>HYPERLINK("https://twitter.com/acVmJiqTUGk6Q0Y","@acVmJiqTUGk6Q0Y")</f>
        <v>@acVmJiqTUGk6Q0Y</v>
      </c>
      <c r="C41643" s="4" t="s">
        <v>8484</v>
      </c>
      <c r="D41643" s="4">
        <v>516</v>
      </c>
      <c r="E41643" s="4">
        <v>0</v>
      </c>
      <c r="F41643" s="5">
        <v>917</v>
      </c>
    </row>
    <row r="41644" spans="1:6" s="7" customFormat="1" ht="12.75">
      <c r="A41644" s="6">
        <v>43885.789363425924</v>
      </c>
      <c r="B41644" s="3" t="str">
        <f>HYPERLINK("https://twitter.com/0616_teardrop26","@0616_teardrop26")</f>
        <v>@0616_teardrop26</v>
      </c>
      <c r="C41644" s="4" t="s">
        <v>2940</v>
      </c>
      <c r="D41644" s="4">
        <v>2030</v>
      </c>
      <c r="E41644" s="4">
        <v>0</v>
      </c>
      <c r="F41644" s="5">
        <v>286</v>
      </c>
    </row>
    <row r="41645" spans="1:6" s="7" customFormat="1" ht="12.75">
      <c r="A41645" s="6">
        <v>43885.789178240739</v>
      </c>
      <c r="B41645" s="3" t="str">
        <f>HYPERLINK("https://twitter.com/BudakAksara","@BudakAksara")</f>
        <v>@BudakAksara</v>
      </c>
      <c r="C41645" s="4" t="s">
        <v>15958</v>
      </c>
      <c r="D41645" s="4">
        <v>0</v>
      </c>
      <c r="E41645" s="4">
        <v>0</v>
      </c>
      <c r="F41645" s="5">
        <v>694</v>
      </c>
    </row>
    <row r="41646" spans="1:6" s="7" customFormat="1" ht="12.75">
      <c r="A41646" s="6">
        <v>43885.788912037038</v>
      </c>
      <c r="B41646" s="3" t="str">
        <f>HYPERLINK("https://twitter.com/kei_ryn","@kei_ryn")</f>
        <v>@kei_ryn</v>
      </c>
      <c r="C41646" s="4" t="s">
        <v>8484</v>
      </c>
      <c r="D41646" s="4">
        <v>516</v>
      </c>
      <c r="E41646" s="4">
        <v>0</v>
      </c>
      <c r="F41646" s="5">
        <v>1050</v>
      </c>
    </row>
    <row r="41647" spans="1:6" s="7" customFormat="1" ht="12.75">
      <c r="A41647" s="6">
        <v>43885.788819444446</v>
      </c>
      <c r="B41647" s="3" t="str">
        <f>HYPERLINK("https://twitter.com/nadyapratt","@nadyapratt")</f>
        <v>@nadyapratt</v>
      </c>
      <c r="C41647" s="4" t="s">
        <v>15471</v>
      </c>
      <c r="D41647" s="4">
        <v>105</v>
      </c>
      <c r="E41647" s="4">
        <v>0</v>
      </c>
      <c r="F41647" s="5">
        <v>208</v>
      </c>
    </row>
    <row r="41648" spans="1:6" s="7" customFormat="1" ht="12.75">
      <c r="A41648" s="6">
        <v>43885.788715277777</v>
      </c>
      <c r="B41648" s="3" t="str">
        <f>HYPERLINK("https://twitter.com/7apulidi","@7apulidi")</f>
        <v>@7apulidi</v>
      </c>
      <c r="C41648" s="4" t="s">
        <v>8484</v>
      </c>
      <c r="D41648" s="4">
        <v>516</v>
      </c>
      <c r="E41648" s="4">
        <v>0</v>
      </c>
      <c r="F41648" s="5">
        <v>862</v>
      </c>
    </row>
    <row r="41649" spans="1:6" s="7" customFormat="1" ht="12.75">
      <c r="A41649" s="6">
        <v>43885.788553240738</v>
      </c>
      <c r="B41649" s="3" t="str">
        <f>HYPERLINK("https://twitter.com/acVmJiqTUGk6Q0Y","@acVmJiqTUGk6Q0Y")</f>
        <v>@acVmJiqTUGk6Q0Y</v>
      </c>
      <c r="C41649" s="4" t="s">
        <v>2940</v>
      </c>
      <c r="D41649" s="4">
        <v>2030</v>
      </c>
      <c r="E41649" s="4">
        <v>0</v>
      </c>
      <c r="F41649" s="5">
        <v>917</v>
      </c>
    </row>
    <row r="41650" spans="1:6" s="7" customFormat="1" ht="12.75">
      <c r="A41650" s="6">
        <v>43885.788553240738</v>
      </c>
      <c r="B41650" s="3" t="str">
        <f>HYPERLINK("https://twitter.com/kirykarin","@kirykarin")</f>
        <v>@kirykarin</v>
      </c>
      <c r="C41650" s="4" t="s">
        <v>8484</v>
      </c>
      <c r="D41650" s="4">
        <v>516</v>
      </c>
      <c r="E41650" s="4">
        <v>0</v>
      </c>
      <c r="F41650" s="5">
        <v>954</v>
      </c>
    </row>
    <row r="41651" spans="1:6" s="7" customFormat="1" ht="12.75">
      <c r="A41651" s="6">
        <v>43885.787986111114</v>
      </c>
      <c r="B41651" s="3" t="str">
        <f>HYPERLINK("https://twitter.com/vstFpuki0sclpVa","@vstFpuki0sclpVa")</f>
        <v>@vstFpuki0sclpVa</v>
      </c>
      <c r="C41651" s="4" t="s">
        <v>2940</v>
      </c>
      <c r="D41651" s="4">
        <v>2030</v>
      </c>
      <c r="E41651" s="4">
        <v>0</v>
      </c>
      <c r="F41651" s="5">
        <v>18</v>
      </c>
    </row>
    <row r="41652" spans="1:6" s="7" customFormat="1" ht="12.75">
      <c r="A41652" s="6">
        <v>43885.787870370375</v>
      </c>
      <c r="B41652" s="3" t="str">
        <f>HYPERLINK("https://twitter.com/Tandaseru_id","@Tandaseru_id")</f>
        <v>@Tandaseru_id</v>
      </c>
      <c r="C41652" s="4" t="s">
        <v>15959</v>
      </c>
      <c r="D41652" s="4">
        <v>0</v>
      </c>
      <c r="E41652" s="4">
        <v>0</v>
      </c>
      <c r="F41652" s="5">
        <v>537</v>
      </c>
    </row>
    <row r="41653" spans="1:6" s="7" customFormat="1" ht="12.75">
      <c r="A41653" s="6">
        <v>43885.787615740745</v>
      </c>
      <c r="B41653" s="3" t="str">
        <f>HYPERLINK("https://twitter.com/aeriejp","@aeriejp")</f>
        <v>@aeriejp</v>
      </c>
      <c r="C41653" s="4" t="s">
        <v>2940</v>
      </c>
      <c r="D41653" s="4">
        <v>2030</v>
      </c>
      <c r="E41653" s="4">
        <v>0</v>
      </c>
      <c r="F41653" s="5">
        <v>2280</v>
      </c>
    </row>
    <row r="41654" spans="1:6" s="7" customFormat="1" ht="12.75">
      <c r="A41654" s="6">
        <v>43885.787268518514</v>
      </c>
      <c r="B41654" s="3" t="str">
        <f>HYPERLINK("https://twitter.com/Achmed_Cooper","@Achmed_Cooper")</f>
        <v>@Achmed_Cooper</v>
      </c>
      <c r="C41654" s="4" t="s">
        <v>15960</v>
      </c>
      <c r="D41654" s="4">
        <v>0</v>
      </c>
      <c r="E41654" s="4">
        <v>0</v>
      </c>
      <c r="F41654" s="5">
        <v>712</v>
      </c>
    </row>
    <row r="41655" spans="1:6" s="7" customFormat="1" ht="12.75">
      <c r="A41655" s="6">
        <v>43885.787245370375</v>
      </c>
      <c r="B41655" s="3" t="str">
        <f>HYPERLINK("https://twitter.com/Ivan94649769","@Ivan94649769")</f>
        <v>@Ivan94649769</v>
      </c>
      <c r="C41655" s="4" t="s">
        <v>15961</v>
      </c>
      <c r="D41655" s="4">
        <v>0</v>
      </c>
      <c r="E41655" s="4">
        <v>0</v>
      </c>
      <c r="F41655" s="5">
        <v>10</v>
      </c>
    </row>
    <row r="41656" spans="1:6" s="7" customFormat="1" ht="12.75">
      <c r="A41656" s="6">
        <v>43885.786782407406</v>
      </c>
      <c r="B41656" s="3" t="str">
        <f>HYPERLINK("https://twitter.com/BangIssan","@BangIssan")</f>
        <v>@BangIssan</v>
      </c>
      <c r="C41656" s="4" t="s">
        <v>12920</v>
      </c>
      <c r="D41656" s="4">
        <v>1412</v>
      </c>
      <c r="E41656" s="4">
        <v>0</v>
      </c>
      <c r="F41656" s="5">
        <v>120</v>
      </c>
    </row>
    <row r="41657" spans="1:6" s="7" customFormat="1" ht="12.75">
      <c r="A41657" s="6">
        <v>43885.786689814813</v>
      </c>
      <c r="B41657" s="3" t="str">
        <f>HYPERLINK("https://twitter.com/DedySuwadha","@DedySuwadha")</f>
        <v>@DedySuwadha</v>
      </c>
      <c r="C41657" s="4" t="s">
        <v>15962</v>
      </c>
      <c r="D41657" s="4">
        <v>0</v>
      </c>
      <c r="E41657" s="4">
        <v>0</v>
      </c>
      <c r="F41657" s="5">
        <v>1876</v>
      </c>
    </row>
    <row r="41658" spans="1:6" s="7" customFormat="1" ht="12.75">
      <c r="A41658" s="6">
        <v>43885.786539351851</v>
      </c>
      <c r="B41658" s="3" t="str">
        <f>HYPERLINK("https://twitter.com/mooi549986","@mooi549986")</f>
        <v>@mooi549986</v>
      </c>
      <c r="C41658" s="4" t="s">
        <v>8484</v>
      </c>
      <c r="D41658" s="4">
        <v>516</v>
      </c>
      <c r="E41658" s="4">
        <v>0</v>
      </c>
      <c r="F41658" s="5">
        <v>90</v>
      </c>
    </row>
    <row r="41659" spans="1:6" s="7" customFormat="1" ht="12.75">
      <c r="A41659" s="6">
        <v>43885.785868055551</v>
      </c>
      <c r="B41659" s="3" t="str">
        <f>HYPERLINK("https://twitter.com/lyhamidah","@lyhamidah")</f>
        <v>@lyhamidah</v>
      </c>
      <c r="C41659" s="4" t="s">
        <v>15963</v>
      </c>
      <c r="D41659" s="4">
        <v>0</v>
      </c>
      <c r="E41659" s="4">
        <v>1</v>
      </c>
      <c r="F41659" s="5">
        <v>57</v>
      </c>
    </row>
    <row r="41660" spans="1:6" s="7" customFormat="1" ht="12.75">
      <c r="A41660" s="6">
        <v>43885.785555555558</v>
      </c>
      <c r="B41660" s="3" t="str">
        <f>HYPERLINK("https://twitter.com/okezonenews","@okezonenews")</f>
        <v>@okezonenews</v>
      </c>
      <c r="C41660" s="4" t="s">
        <v>15964</v>
      </c>
      <c r="D41660" s="4">
        <v>0</v>
      </c>
      <c r="E41660" s="4">
        <v>1</v>
      </c>
      <c r="F41660" s="5">
        <v>1743490</v>
      </c>
    </row>
    <row r="41661" spans="1:6" s="7" customFormat="1" ht="12.75">
      <c r="A41661" s="6">
        <v>43885.785509259258</v>
      </c>
      <c r="B41661" s="3" t="str">
        <f>HYPERLINK("https://twitter.com/rinkakuna","@rinkakuna")</f>
        <v>@rinkakuna</v>
      </c>
      <c r="C41661" s="4" t="s">
        <v>15672</v>
      </c>
      <c r="D41661" s="4">
        <v>10</v>
      </c>
      <c r="E41661" s="4">
        <v>0</v>
      </c>
      <c r="F41661" s="5">
        <v>625</v>
      </c>
    </row>
    <row r="41662" spans="1:6" s="7" customFormat="1" ht="12.75">
      <c r="A41662" s="6">
        <v>43885.785219907411</v>
      </c>
      <c r="B41662" s="3" t="str">
        <f>HYPERLINK("https://twitter.com/kiromikrom","@kiromikrom")</f>
        <v>@kiromikrom</v>
      </c>
      <c r="C41662" s="4" t="s">
        <v>13854</v>
      </c>
      <c r="D41662" s="4">
        <v>9748</v>
      </c>
      <c r="E41662" s="4">
        <v>0</v>
      </c>
      <c r="F41662" s="5">
        <v>631</v>
      </c>
    </row>
    <row r="41663" spans="1:6" s="7" customFormat="1" ht="12.75">
      <c r="A41663" s="6">
        <v>43885.785150462965</v>
      </c>
      <c r="B41663" s="3" t="str">
        <f>HYPERLINK("https://twitter.com/buffs78","@buffs78")</f>
        <v>@buffs78</v>
      </c>
      <c r="C41663" s="4" t="s">
        <v>14106</v>
      </c>
      <c r="D41663" s="4">
        <v>102</v>
      </c>
      <c r="E41663" s="4">
        <v>0</v>
      </c>
      <c r="F41663" s="5">
        <v>298</v>
      </c>
    </row>
    <row r="41664" spans="1:6" s="7" customFormat="1" ht="12.75">
      <c r="A41664" s="6">
        <v>43885.78506944445</v>
      </c>
      <c r="B41664" s="3" t="str">
        <f>HYPERLINK("https://twitter.com/MollyHS","@MollyHS")</f>
        <v>@MollyHS</v>
      </c>
      <c r="C41664" s="4" t="s">
        <v>12920</v>
      </c>
      <c r="D41664" s="4">
        <v>1412</v>
      </c>
      <c r="E41664" s="4">
        <v>0</v>
      </c>
      <c r="F41664" s="5">
        <v>261</v>
      </c>
    </row>
    <row r="41665" spans="1:6" s="7" customFormat="1" ht="12.75">
      <c r="A41665" s="6">
        <v>43885.784895833334</v>
      </c>
      <c r="B41665" s="3" t="str">
        <f>HYPERLINK("https://twitter.com/prorebahan","@prorebahan")</f>
        <v>@prorebahan</v>
      </c>
      <c r="C41665" s="4" t="s">
        <v>15598</v>
      </c>
      <c r="D41665" s="4">
        <v>12</v>
      </c>
      <c r="E41665" s="4">
        <v>0</v>
      </c>
      <c r="F41665" s="5">
        <v>416</v>
      </c>
    </row>
    <row r="41666" spans="1:6" s="7" customFormat="1" ht="12.75">
      <c r="A41666" s="6">
        <v>43885.784884259258</v>
      </c>
      <c r="B41666" s="3" t="str">
        <f>HYPERLINK("https://twitter.com/buffs78","@buffs78")</f>
        <v>@buffs78</v>
      </c>
      <c r="C41666" s="4" t="s">
        <v>13834</v>
      </c>
      <c r="D41666" s="4">
        <v>110</v>
      </c>
      <c r="E41666" s="4">
        <v>0</v>
      </c>
      <c r="F41666" s="5">
        <v>298</v>
      </c>
    </row>
    <row r="41667" spans="1:6" s="7" customFormat="1" ht="12.75">
      <c r="A41667" s="6">
        <v>43885.784768518519</v>
      </c>
      <c r="B41667" s="3" t="str">
        <f>HYPERLINK("https://twitter.com/r_nazilah","@r_nazilah")</f>
        <v>@r_nazilah</v>
      </c>
      <c r="C41667" s="4" t="s">
        <v>15965</v>
      </c>
      <c r="D41667" s="4">
        <v>0</v>
      </c>
      <c r="E41667" s="4">
        <v>0</v>
      </c>
      <c r="F41667" s="5">
        <v>162</v>
      </c>
    </row>
    <row r="41668" spans="1:6" s="7" customFormat="1" ht="12.75">
      <c r="A41668" s="6">
        <v>43885.784548611111</v>
      </c>
      <c r="B41668" s="3" t="str">
        <f>HYPERLINK("https://twitter.com/susukikagayaki","@susukikagayaki")</f>
        <v>@susukikagayaki</v>
      </c>
      <c r="C41668" s="4" t="s">
        <v>8484</v>
      </c>
      <c r="D41668" s="4">
        <v>516</v>
      </c>
      <c r="E41668" s="4">
        <v>0</v>
      </c>
      <c r="F41668" s="5">
        <v>148</v>
      </c>
    </row>
    <row r="41669" spans="1:6" s="7" customFormat="1" ht="12.75">
      <c r="A41669" s="6">
        <v>43885.784513888888</v>
      </c>
      <c r="B41669" s="3" t="str">
        <f>HYPERLINK("https://twitter.com/FirdausAbil","@FirdausAbil")</f>
        <v>@FirdausAbil</v>
      </c>
      <c r="C41669" s="4" t="s">
        <v>15966</v>
      </c>
      <c r="D41669" s="4">
        <v>0</v>
      </c>
      <c r="E41669" s="4">
        <v>0</v>
      </c>
      <c r="F41669" s="5">
        <v>66</v>
      </c>
    </row>
    <row r="41670" spans="1:6" s="7" customFormat="1" ht="12.75">
      <c r="A41670" s="6">
        <v>43885.784467592588</v>
      </c>
      <c r="B41670" s="3" t="str">
        <f>HYPERLINK("https://twitter.com/vibizmediacom","@vibizmediacom")</f>
        <v>@vibizmediacom</v>
      </c>
      <c r="C41670" s="4" t="s">
        <v>15967</v>
      </c>
      <c r="D41670" s="4">
        <v>0</v>
      </c>
      <c r="E41670" s="4">
        <v>0</v>
      </c>
      <c r="F41670" s="5">
        <v>419</v>
      </c>
    </row>
    <row r="41671" spans="1:6" s="7" customFormat="1" ht="12.75">
      <c r="A41671" s="6">
        <v>43885.78434027778</v>
      </c>
      <c r="B41671" s="3" t="str">
        <f>HYPERLINK("https://twitter.com/buffs78","@buffs78")</f>
        <v>@buffs78</v>
      </c>
      <c r="C41671" s="4" t="s">
        <v>8484</v>
      </c>
      <c r="D41671" s="4">
        <v>516</v>
      </c>
      <c r="E41671" s="4">
        <v>0</v>
      </c>
      <c r="F41671" s="5">
        <v>298</v>
      </c>
    </row>
    <row r="41672" spans="1:6" s="7" customFormat="1" ht="12.75">
      <c r="A41672" s="6">
        <v>43885.784317129626</v>
      </c>
      <c r="B41672" s="3" t="str">
        <f>HYPERLINK("https://twitter.com/radiojunk","@radiojunk")</f>
        <v>@radiojunk</v>
      </c>
      <c r="C41672" s="4" t="s">
        <v>2940</v>
      </c>
      <c r="D41672" s="4">
        <v>2030</v>
      </c>
      <c r="E41672" s="4">
        <v>0</v>
      </c>
      <c r="F41672" s="5">
        <v>1</v>
      </c>
    </row>
    <row r="41673" spans="1:6" s="7" customFormat="1" ht="12.75">
      <c r="A41673" s="6">
        <v>43885.784039351856</v>
      </c>
      <c r="B41673" s="3" t="str">
        <f>HYPERLINK("https://twitter.com/mediaindonesia","@mediaindonesia")</f>
        <v>@mediaindonesia</v>
      </c>
      <c r="C41673" s="4" t="s">
        <v>15968</v>
      </c>
      <c r="D41673" s="4">
        <v>0</v>
      </c>
      <c r="E41673" s="4">
        <v>2</v>
      </c>
      <c r="F41673" s="5">
        <v>1418401</v>
      </c>
    </row>
    <row r="41674" spans="1:6" s="7" customFormat="1" ht="12.75">
      <c r="A41674" s="6">
        <v>43885.783888888887</v>
      </c>
      <c r="B41674" s="3" t="str">
        <f>HYPERLINK("https://twitter.com/batamtoday","@batamtoday")</f>
        <v>@batamtoday</v>
      </c>
      <c r="C41674" s="4" t="s">
        <v>15969</v>
      </c>
      <c r="D41674" s="4">
        <v>0</v>
      </c>
      <c r="E41674" s="4">
        <v>0</v>
      </c>
      <c r="F41674" s="5">
        <v>27157</v>
      </c>
    </row>
    <row r="41675" spans="1:6" s="7" customFormat="1" ht="12.75">
      <c r="A41675" s="6">
        <v>43885.783807870372</v>
      </c>
      <c r="B41675" s="3" t="str">
        <f>HYPERLINK("https://twitter.com/SemaneiD","@SemaneiD")</f>
        <v>@SemaneiD</v>
      </c>
      <c r="C41675" s="4" t="s">
        <v>15970</v>
      </c>
      <c r="D41675" s="4">
        <v>2</v>
      </c>
      <c r="E41675" s="4">
        <v>0</v>
      </c>
      <c r="F41675" s="5">
        <v>309</v>
      </c>
    </row>
    <row r="41676" spans="1:6" s="7" customFormat="1" ht="12.75">
      <c r="A41676" s="6">
        <v>43885.783599537041</v>
      </c>
      <c r="B41676" s="3" t="str">
        <f>HYPERLINK("https://twitter.com/yogapraditow","@yogapraditow")</f>
        <v>@yogapraditow</v>
      </c>
      <c r="C41676" s="4" t="s">
        <v>15971</v>
      </c>
      <c r="D41676" s="4">
        <v>3</v>
      </c>
      <c r="E41676" s="4">
        <v>0</v>
      </c>
      <c r="F41676" s="5">
        <v>411</v>
      </c>
    </row>
    <row r="41677" spans="1:6" s="7" customFormat="1" ht="12.75">
      <c r="A41677" s="6">
        <v>43885.783564814818</v>
      </c>
      <c r="B41677" s="3" t="str">
        <f>HYPERLINK("https://twitter.com/HimahiUnair","@HimahiUnair")</f>
        <v>@HimahiUnair</v>
      </c>
      <c r="C41677" s="4" t="s">
        <v>15972</v>
      </c>
      <c r="D41677" s="4">
        <v>1</v>
      </c>
      <c r="E41677" s="4">
        <v>4</v>
      </c>
      <c r="F41677" s="5">
        <v>112</v>
      </c>
    </row>
    <row r="41678" spans="1:6" s="7" customFormat="1" ht="12.75">
      <c r="A41678" s="6">
        <v>43885.783414351856</v>
      </c>
      <c r="B41678" s="3" t="str">
        <f>HYPERLINK("https://twitter.com/Moriya_Jirou_","@Moriya_Jirou_")</f>
        <v>@Moriya_Jirou_</v>
      </c>
      <c r="C41678" s="4" t="s">
        <v>8484</v>
      </c>
      <c r="D41678" s="4">
        <v>516</v>
      </c>
      <c r="E41678" s="4">
        <v>0</v>
      </c>
      <c r="F41678" s="5">
        <v>2091</v>
      </c>
    </row>
    <row r="41679" spans="1:6" s="7" customFormat="1" ht="12.75">
      <c r="A41679" s="6">
        <v>43885.783217592594</v>
      </c>
      <c r="B41679" s="3" t="str">
        <f t="shared" ref="B41679:B41680" si="633">HYPERLINK("https://twitter.com/rokoroko0919","@rokoroko0919")</f>
        <v>@rokoroko0919</v>
      </c>
      <c r="C41679" s="4" t="s">
        <v>2940</v>
      </c>
      <c r="D41679" s="4">
        <v>2030</v>
      </c>
      <c r="E41679" s="4">
        <v>0</v>
      </c>
      <c r="F41679" s="5">
        <v>9288</v>
      </c>
    </row>
    <row r="41680" spans="1:6" s="7" customFormat="1" ht="12.75">
      <c r="A41680" s="6">
        <v>43885.782962962963</v>
      </c>
      <c r="B41680" s="3" t="str">
        <f t="shared" si="633"/>
        <v>@rokoroko0919</v>
      </c>
      <c r="C41680" s="4" t="s">
        <v>8484</v>
      </c>
      <c r="D41680" s="4">
        <v>516</v>
      </c>
      <c r="E41680" s="4">
        <v>0</v>
      </c>
      <c r="F41680" s="5">
        <v>9288</v>
      </c>
    </row>
    <row r="41681" spans="1:6" s="7" customFormat="1" ht="12.75">
      <c r="A41681" s="6">
        <v>43885.782673611116</v>
      </c>
      <c r="B41681" s="3" t="str">
        <f>HYPERLINK("https://twitter.com/VIVAcoid","@VIVAcoid")</f>
        <v>@VIVAcoid</v>
      </c>
      <c r="C41681" s="4" t="s">
        <v>15971</v>
      </c>
      <c r="D41681" s="4">
        <v>3</v>
      </c>
      <c r="E41681" s="4">
        <v>0</v>
      </c>
      <c r="F41681" s="5">
        <v>4171892</v>
      </c>
    </row>
    <row r="41682" spans="1:6" s="7" customFormat="1" ht="12.75">
      <c r="A41682" s="6">
        <v>43885.782662037032</v>
      </c>
      <c r="B41682" s="3" t="str">
        <f>HYPERLINK("https://twitter.com/Quvvats","@Quvvats")</f>
        <v>@Quvvats</v>
      </c>
      <c r="C41682" s="4" t="s">
        <v>15973</v>
      </c>
      <c r="D41682" s="4">
        <v>36</v>
      </c>
      <c r="E41682" s="4">
        <v>0</v>
      </c>
      <c r="F41682" s="5">
        <v>61</v>
      </c>
    </row>
    <row r="41683" spans="1:6" s="7" customFormat="1" ht="12.75">
      <c r="A41683" s="6">
        <v>43885.782650462963</v>
      </c>
      <c r="B41683" s="3" t="str">
        <f t="shared" ref="B41683:B41684" si="634">HYPERLINK("https://twitter.com/EllephantzD","@EllephantzD")</f>
        <v>@EllephantzD</v>
      </c>
      <c r="C41683" s="4" t="s">
        <v>8484</v>
      </c>
      <c r="D41683" s="4">
        <v>516</v>
      </c>
      <c r="E41683" s="4">
        <v>0</v>
      </c>
      <c r="F41683" s="5">
        <v>214</v>
      </c>
    </row>
    <row r="41684" spans="1:6" s="7" customFormat="1" ht="12.75">
      <c r="A41684" s="6">
        <v>43885.782418981486</v>
      </c>
      <c r="B41684" s="3" t="str">
        <f t="shared" si="634"/>
        <v>@EllephantzD</v>
      </c>
      <c r="C41684" s="4" t="s">
        <v>2940</v>
      </c>
      <c r="D41684" s="4">
        <v>2030</v>
      </c>
      <c r="E41684" s="4">
        <v>0</v>
      </c>
      <c r="F41684" s="5">
        <v>214</v>
      </c>
    </row>
    <row r="41685" spans="1:6" s="7" customFormat="1" ht="12.75">
      <c r="A41685" s="6">
        <v>43885.782349537039</v>
      </c>
      <c r="B41685" s="3" t="str">
        <f>HYPERLINK("https://twitter.com/malaya_roses","@malaya_roses")</f>
        <v>@malaya_roses</v>
      </c>
      <c r="C41685" s="4" t="s">
        <v>15974</v>
      </c>
      <c r="D41685" s="4">
        <v>0</v>
      </c>
      <c r="E41685" s="4">
        <v>0</v>
      </c>
      <c r="F41685" s="5">
        <v>596</v>
      </c>
    </row>
    <row r="41686" spans="1:6" s="7" customFormat="1" ht="12.75">
      <c r="A41686" s="6">
        <v>43885.782326388886</v>
      </c>
      <c r="B41686" s="3" t="str">
        <f>HYPERLINK("https://twitter.com/vivanewscom","@vivanewscom")</f>
        <v>@vivanewscom</v>
      </c>
      <c r="C41686" s="4" t="s">
        <v>15975</v>
      </c>
      <c r="D41686" s="4">
        <v>3</v>
      </c>
      <c r="E41686" s="4">
        <v>2</v>
      </c>
      <c r="F41686" s="5">
        <v>4346</v>
      </c>
    </row>
    <row r="41687" spans="1:6" s="7" customFormat="1" ht="12.75">
      <c r="A41687" s="6">
        <v>43885.782268518524</v>
      </c>
      <c r="B41687" s="3" t="str">
        <f>HYPERLINK("https://twitter.com/calvinyounglee","@calvinyounglee")</f>
        <v>@calvinyounglee</v>
      </c>
      <c r="C41687" s="4" t="s">
        <v>15598</v>
      </c>
      <c r="D41687" s="4">
        <v>12</v>
      </c>
      <c r="E41687" s="4">
        <v>0</v>
      </c>
      <c r="F41687" s="5">
        <v>391</v>
      </c>
    </row>
    <row r="41688" spans="1:6" s="7" customFormat="1" ht="12.75">
      <c r="A41688" s="6">
        <v>43885.782187500001</v>
      </c>
      <c r="B41688" s="3" t="str">
        <f>HYPERLINK("https://twitter.com/binsbirowo","@binsbirowo")</f>
        <v>@binsbirowo</v>
      </c>
      <c r="C41688" s="4" t="s">
        <v>15976</v>
      </c>
      <c r="D41688" s="4">
        <v>2</v>
      </c>
      <c r="E41688" s="4">
        <v>6</v>
      </c>
      <c r="F41688" s="5">
        <v>2250</v>
      </c>
    </row>
    <row r="41689" spans="1:6" s="7" customFormat="1" ht="12.75">
      <c r="A41689" s="6">
        <v>43885.782187500001</v>
      </c>
      <c r="B41689" s="3" t="str">
        <f>HYPERLINK("https://twitter.com/cuna_yu","@cuna_yu")</f>
        <v>@cuna_yu</v>
      </c>
      <c r="C41689" s="4" t="s">
        <v>8484</v>
      </c>
      <c r="D41689" s="4">
        <v>516</v>
      </c>
      <c r="E41689" s="4">
        <v>0</v>
      </c>
      <c r="F41689" s="5">
        <v>99</v>
      </c>
    </row>
    <row r="41690" spans="1:6" s="7" customFormat="1" ht="12.75">
      <c r="A41690" s="6">
        <v>43885.782002314816</v>
      </c>
      <c r="B41690" s="3" t="str">
        <f>HYPERLINK("https://twitter.com/51miel","@51miel")</f>
        <v>@51miel</v>
      </c>
      <c r="C41690" s="4" t="s">
        <v>8484</v>
      </c>
      <c r="D41690" s="4">
        <v>516</v>
      </c>
      <c r="E41690" s="4">
        <v>0</v>
      </c>
      <c r="F41690" s="5">
        <v>150</v>
      </c>
    </row>
    <row r="41691" spans="1:6" s="7" customFormat="1" ht="12.75">
      <c r="A41691" s="6">
        <v>43885.781875000001</v>
      </c>
      <c r="B41691" s="3" t="str">
        <f>HYPERLINK("https://twitter.com/D90lW7KTP87Dr9o","@D90lW7KTP87Dr9o")</f>
        <v>@D90lW7KTP87Dr9o</v>
      </c>
      <c r="C41691" s="4" t="s">
        <v>2940</v>
      </c>
      <c r="D41691" s="4">
        <v>2030</v>
      </c>
      <c r="E41691" s="4">
        <v>0</v>
      </c>
      <c r="F41691" s="5">
        <v>178</v>
      </c>
    </row>
    <row r="41692" spans="1:6" s="7" customFormat="1" ht="12.75">
      <c r="A41692" s="6">
        <v>43885.781736111108</v>
      </c>
      <c r="B41692" s="3" t="str">
        <f>HYPERLINK("https://twitter.com/Hamingo42","@Hamingo42")</f>
        <v>@Hamingo42</v>
      </c>
      <c r="C41692" s="4" t="s">
        <v>2940</v>
      </c>
      <c r="D41692" s="4">
        <v>2030</v>
      </c>
      <c r="E41692" s="4">
        <v>0</v>
      </c>
      <c r="F41692" s="5">
        <v>256</v>
      </c>
    </row>
    <row r="41693" spans="1:6" s="7" customFormat="1" ht="12.75">
      <c r="A41693" s="6">
        <v>43885.781539351854</v>
      </c>
      <c r="B41693" s="3" t="str">
        <f>HYPERLINK("https://twitter.com/annisanahdif2","@annisanahdif2")</f>
        <v>@annisanahdif2</v>
      </c>
      <c r="C41693" s="4" t="s">
        <v>14692</v>
      </c>
      <c r="D41693" s="4">
        <v>2</v>
      </c>
      <c r="E41693" s="4">
        <v>0</v>
      </c>
      <c r="F41693" s="5">
        <v>95</v>
      </c>
    </row>
    <row r="41694" spans="1:6" s="7" customFormat="1" ht="12.75">
      <c r="A41694" s="6">
        <v>43885.781412037039</v>
      </c>
      <c r="B41694" s="3" t="str">
        <f>HYPERLINK("https://twitter.com/FLyanningrum","@FLyanningrum")</f>
        <v>@FLyanningrum</v>
      </c>
      <c r="C41694" s="4" t="s">
        <v>15598</v>
      </c>
      <c r="D41694" s="4">
        <v>12</v>
      </c>
      <c r="E41694" s="4">
        <v>0</v>
      </c>
      <c r="F41694" s="5">
        <v>88</v>
      </c>
    </row>
    <row r="41695" spans="1:6" s="7" customFormat="1" ht="12.75">
      <c r="A41695" s="6">
        <v>43885.781388888892</v>
      </c>
      <c r="B41695" s="3" t="str">
        <f>HYPERLINK("https://twitter.com/Quvvats","@Quvvats")</f>
        <v>@Quvvats</v>
      </c>
      <c r="C41695" s="4" t="s">
        <v>12920</v>
      </c>
      <c r="D41695" s="4">
        <v>1412</v>
      </c>
      <c r="E41695" s="4">
        <v>0</v>
      </c>
      <c r="F41695" s="5">
        <v>61</v>
      </c>
    </row>
    <row r="41696" spans="1:6" s="7" customFormat="1" ht="12.75">
      <c r="A41696" s="6">
        <v>43885.78123842593</v>
      </c>
      <c r="B41696" s="3" t="str">
        <f>HYPERLINK("https://twitter.com/ParmonanganRaja","@ParmonanganRaja")</f>
        <v>@ParmonanganRaja</v>
      </c>
      <c r="C41696" s="4" t="s">
        <v>15598</v>
      </c>
      <c r="D41696" s="4">
        <v>12</v>
      </c>
      <c r="E41696" s="4">
        <v>0</v>
      </c>
      <c r="F41696" s="5">
        <v>185</v>
      </c>
    </row>
    <row r="41697" spans="1:6" s="7" customFormat="1" ht="12.75">
      <c r="A41697" s="6">
        <v>43885.781076388885</v>
      </c>
      <c r="B41697" s="3" t="str">
        <f>HYPERLINK("https://twitter.com/mamekiri","@mamekiri")</f>
        <v>@mamekiri</v>
      </c>
      <c r="C41697" s="4" t="s">
        <v>2940</v>
      </c>
      <c r="D41697" s="4">
        <v>2030</v>
      </c>
      <c r="E41697" s="4">
        <v>0</v>
      </c>
      <c r="F41697" s="5">
        <v>1045</v>
      </c>
    </row>
    <row r="41698" spans="1:6" s="7" customFormat="1" ht="12.75">
      <c r="A41698" s="6">
        <v>43885.781018518523</v>
      </c>
      <c r="B41698" s="3" t="str">
        <f>HYPERLINK("https://twitter.com/rakabanaspati","@rakabanaspati")</f>
        <v>@rakabanaspati</v>
      </c>
      <c r="C41698" s="4" t="s">
        <v>12920</v>
      </c>
      <c r="D41698" s="4">
        <v>1412</v>
      </c>
      <c r="E41698" s="4">
        <v>0</v>
      </c>
      <c r="F41698" s="5">
        <v>159</v>
      </c>
    </row>
    <row r="41699" spans="1:6" s="7" customFormat="1" ht="12.75">
      <c r="A41699" s="6">
        <v>43885.780833333338</v>
      </c>
      <c r="B41699" s="3" t="str">
        <f>HYPERLINK("https://twitter.com/Premiere_Magz","@Premiere_Magz")</f>
        <v>@Premiere_Magz</v>
      </c>
      <c r="C41699" s="4" t="s">
        <v>15598</v>
      </c>
      <c r="D41699" s="4">
        <v>12</v>
      </c>
      <c r="E41699" s="4">
        <v>0</v>
      </c>
      <c r="F41699" s="5">
        <v>1712</v>
      </c>
    </row>
    <row r="41700" spans="1:6" s="7" customFormat="1" ht="12.75">
      <c r="A41700" s="6">
        <v>43885.780671296292</v>
      </c>
      <c r="B41700" s="3" t="str">
        <f>HYPERLINK("https://twitter.com/gensan01280522","@gensan01280522")</f>
        <v>@gensan01280522</v>
      </c>
      <c r="C41700" s="4" t="s">
        <v>8484</v>
      </c>
      <c r="D41700" s="4">
        <v>516</v>
      </c>
      <c r="E41700" s="4">
        <v>0</v>
      </c>
      <c r="F41700" s="5">
        <v>20</v>
      </c>
    </row>
    <row r="41701" spans="1:6" s="7" customFormat="1" ht="12.75">
      <c r="A41701" s="6">
        <v>43885.780578703707</v>
      </c>
      <c r="B41701" s="3" t="str">
        <f>HYPERLINK("https://twitter.com/ocaarini","@ocaarini")</f>
        <v>@ocaarini</v>
      </c>
      <c r="C41701" s="4" t="s">
        <v>15977</v>
      </c>
      <c r="D41701" s="4">
        <v>0</v>
      </c>
      <c r="E41701" s="4">
        <v>0</v>
      </c>
      <c r="F41701" s="5">
        <v>6</v>
      </c>
    </row>
    <row r="41702" spans="1:6" s="7" customFormat="1" ht="12.75">
      <c r="A41702" s="6">
        <v>43885.78052083333</v>
      </c>
      <c r="B41702" s="3" t="str">
        <f>HYPERLINK("https://twitter.com/Arvex_M017","@Arvex_M017")</f>
        <v>@Arvex_M017</v>
      </c>
      <c r="C41702" s="4" t="s">
        <v>12920</v>
      </c>
      <c r="D41702" s="4">
        <v>1412</v>
      </c>
      <c r="E41702" s="4">
        <v>0</v>
      </c>
      <c r="F41702" s="5">
        <v>336</v>
      </c>
    </row>
    <row r="41703" spans="1:6" s="7" customFormat="1" ht="12.75">
      <c r="A41703" s="6">
        <v>43885.780034722222</v>
      </c>
      <c r="B41703" s="3" t="str">
        <f>HYPERLINK("https://twitter.com/rakabanaspati","@rakabanaspati")</f>
        <v>@rakabanaspati</v>
      </c>
      <c r="C41703" s="4" t="s">
        <v>15973</v>
      </c>
      <c r="D41703" s="4">
        <v>36</v>
      </c>
      <c r="E41703" s="4">
        <v>0</v>
      </c>
      <c r="F41703" s="5">
        <v>159</v>
      </c>
    </row>
    <row r="41704" spans="1:6" s="7" customFormat="1" ht="12.75">
      <c r="A41704" s="6">
        <v>43885.779768518521</v>
      </c>
      <c r="B41704" s="3" t="str">
        <f>HYPERLINK("https://twitter.com/wni_jmsri","@wni_jmsri")</f>
        <v>@wni_jmsri</v>
      </c>
      <c r="C41704" s="4" t="s">
        <v>15978</v>
      </c>
      <c r="D41704" s="4">
        <v>34</v>
      </c>
      <c r="E41704" s="4">
        <v>0</v>
      </c>
      <c r="F41704" s="5">
        <v>196</v>
      </c>
    </row>
    <row r="41705" spans="1:6" s="7" customFormat="1" ht="12.75">
      <c r="A41705" s="6">
        <v>43885.779548611114</v>
      </c>
      <c r="B41705" s="3" t="str">
        <f>HYPERLINK("https://twitter.com/PDI_Perjuangan","@PDI_Perjuangan")</f>
        <v>@PDI_Perjuangan</v>
      </c>
      <c r="C41705" s="4" t="s">
        <v>15979</v>
      </c>
      <c r="D41705" s="4">
        <v>0</v>
      </c>
      <c r="E41705" s="4">
        <v>4</v>
      </c>
      <c r="F41705" s="5">
        <v>219519</v>
      </c>
    </row>
    <row r="41706" spans="1:6" s="7" customFormat="1" ht="12.75">
      <c r="A41706" s="6">
        <v>43885.779305555552</v>
      </c>
      <c r="B41706" s="3" t="str">
        <f>HYPERLINK("https://twitter.com/SartonoHutomo","@SartonoHutomo")</f>
        <v>@SartonoHutomo</v>
      </c>
      <c r="C41706" s="4" t="s">
        <v>15606</v>
      </c>
      <c r="D41706" s="4">
        <v>6</v>
      </c>
      <c r="E41706" s="4">
        <v>0</v>
      </c>
      <c r="F41706" s="5">
        <v>4110</v>
      </c>
    </row>
    <row r="41707" spans="1:6" s="7" customFormat="1" ht="12.75">
      <c r="A41707" s="6">
        <v>43885.779085648144</v>
      </c>
      <c r="B41707" s="3" t="str">
        <f>HYPERLINK("https://twitter.com/IwanAki3","@IwanAki3")</f>
        <v>@IwanAki3</v>
      </c>
      <c r="C41707" s="4" t="s">
        <v>15980</v>
      </c>
      <c r="D41707" s="4">
        <v>0</v>
      </c>
      <c r="E41707" s="4">
        <v>0</v>
      </c>
      <c r="F41707" s="5">
        <v>26</v>
      </c>
    </row>
    <row r="41708" spans="1:6" s="7" customFormat="1" ht="12.75">
      <c r="A41708" s="6">
        <v>43885.779085648144</v>
      </c>
      <c r="B41708" s="3" t="str">
        <f>HYPERLINK("https://twitter.com/jirutata","@jirutata")</f>
        <v>@jirutata</v>
      </c>
      <c r="C41708" s="4" t="s">
        <v>8484</v>
      </c>
      <c r="D41708" s="4">
        <v>516</v>
      </c>
      <c r="E41708" s="4">
        <v>0</v>
      </c>
      <c r="F41708" s="5">
        <v>35</v>
      </c>
    </row>
    <row r="41709" spans="1:6" s="7" customFormat="1" ht="12.75">
      <c r="A41709" s="6">
        <v>43885.778981481482</v>
      </c>
      <c r="B41709" s="3" t="str">
        <f>HYPERLINK("https://twitter.com/RochmadDjunaedi","@RochmadDjunaedi")</f>
        <v>@RochmadDjunaedi</v>
      </c>
      <c r="C41709" s="4" t="s">
        <v>15981</v>
      </c>
      <c r="D41709" s="4">
        <v>0</v>
      </c>
      <c r="E41709" s="4">
        <v>1</v>
      </c>
      <c r="F41709" s="5">
        <v>1257</v>
      </c>
    </row>
    <row r="41710" spans="1:6" s="7" customFormat="1" ht="12.75">
      <c r="A41710" s="6">
        <v>43885.778634259259</v>
      </c>
      <c r="B41710" s="3" t="str">
        <f>HYPERLINK("https://twitter.com/dira226","@dira226")</f>
        <v>@dira226</v>
      </c>
      <c r="C41710" s="4" t="s">
        <v>14692</v>
      </c>
      <c r="D41710" s="4">
        <v>2</v>
      </c>
      <c r="E41710" s="4">
        <v>0</v>
      </c>
      <c r="F41710" s="5">
        <v>936</v>
      </c>
    </row>
    <row r="41711" spans="1:6" s="7" customFormat="1" ht="12.75">
      <c r="A41711" s="6">
        <v>43885.777835648143</v>
      </c>
      <c r="B41711" s="3" t="str">
        <f>HYPERLINK("https://twitter.com/hary717","@hary717")</f>
        <v>@hary717</v>
      </c>
      <c r="C41711" s="4" t="s">
        <v>15672</v>
      </c>
      <c r="D41711" s="4">
        <v>10</v>
      </c>
      <c r="E41711" s="4">
        <v>0</v>
      </c>
      <c r="F41711" s="5">
        <v>2424</v>
      </c>
    </row>
    <row r="41712" spans="1:6" s="7" customFormat="1" ht="12.75">
      <c r="A41712" s="6">
        <v>43885.777789351851</v>
      </c>
      <c r="B41712" s="3" t="str">
        <f>HYPERLINK("https://twitter.com/DreamersRadioID","@DreamersRadioID")</f>
        <v>@DreamersRadioID</v>
      </c>
      <c r="C41712" s="4" t="s">
        <v>15069</v>
      </c>
      <c r="D41712" s="4">
        <v>2</v>
      </c>
      <c r="E41712" s="4">
        <v>3</v>
      </c>
      <c r="F41712" s="5">
        <v>75494</v>
      </c>
    </row>
    <row r="41713" spans="1:6" s="7" customFormat="1" ht="12.75">
      <c r="A41713" s="6">
        <v>43885.777361111112</v>
      </c>
      <c r="B41713" s="3" t="str">
        <f>HYPERLINK("https://twitter.com/okezonenews","@okezonenews")</f>
        <v>@okezonenews</v>
      </c>
      <c r="C41713" s="4" t="s">
        <v>15982</v>
      </c>
      <c r="D41713" s="4">
        <v>0</v>
      </c>
      <c r="E41713" s="4">
        <v>0</v>
      </c>
      <c r="F41713" s="5">
        <v>1743490</v>
      </c>
    </row>
    <row r="41714" spans="1:6" s="7" customFormat="1" ht="12.75">
      <c r="A41714" s="6">
        <v>43885.777291666665</v>
      </c>
      <c r="B41714" s="3" t="str">
        <f>HYPERLINK("https://twitter.com/marpaung913","@marpaung913")</f>
        <v>@marpaung913</v>
      </c>
      <c r="C41714" s="4" t="s">
        <v>15983</v>
      </c>
      <c r="D41714" s="4">
        <v>0</v>
      </c>
      <c r="E41714" s="4">
        <v>0</v>
      </c>
      <c r="F41714" s="5">
        <v>526</v>
      </c>
    </row>
    <row r="41715" spans="1:6" s="7" customFormat="1" ht="12.75">
      <c r="A41715" s="6">
        <v>43885.776967592596</v>
      </c>
      <c r="B41715" s="3" t="str">
        <f>HYPERLINK("https://twitter.com/Rod_Cacerolas","@Rod_Cacerolas")</f>
        <v>@Rod_Cacerolas</v>
      </c>
      <c r="C41715" s="4" t="s">
        <v>15984</v>
      </c>
      <c r="D41715" s="4">
        <v>0</v>
      </c>
      <c r="E41715" s="4">
        <v>0</v>
      </c>
      <c r="F41715" s="5">
        <v>6659</v>
      </c>
    </row>
    <row r="41716" spans="1:6" s="7" customFormat="1" ht="12.75">
      <c r="A41716" s="6">
        <v>43885.776747685188</v>
      </c>
      <c r="B41716" s="3" t="str">
        <f>HYPERLINK("https://twitter.com/wahyuutomos","@wahyuutomos")</f>
        <v>@wahyuutomos</v>
      </c>
      <c r="C41716" s="4" t="s">
        <v>12920</v>
      </c>
      <c r="D41716" s="4">
        <v>1412</v>
      </c>
      <c r="E41716" s="4">
        <v>0</v>
      </c>
      <c r="F41716" s="5">
        <v>126</v>
      </c>
    </row>
    <row r="41717" spans="1:6" s="7" customFormat="1" ht="12.75">
      <c r="A41717" s="6">
        <v>43885.776631944449</v>
      </c>
      <c r="B41717" s="3" t="str">
        <f>HYPERLINK("https://twitter.com/aizahputri","@aizahputri")</f>
        <v>@aizahputri</v>
      </c>
      <c r="C41717" s="4" t="s">
        <v>12882</v>
      </c>
      <c r="D41717" s="4">
        <v>45</v>
      </c>
      <c r="E41717" s="4">
        <v>0</v>
      </c>
      <c r="F41717" s="5">
        <v>1648</v>
      </c>
    </row>
    <row r="41718" spans="1:6" s="7" customFormat="1" ht="12.75">
      <c r="A41718" s="6">
        <v>43885.776273148149</v>
      </c>
      <c r="B41718" s="3" t="str">
        <f>HYPERLINK("https://twitter.com/Gerindra","@Gerindra")</f>
        <v>@Gerindra</v>
      </c>
      <c r="C41718" s="4" t="s">
        <v>15985</v>
      </c>
      <c r="D41718" s="4">
        <v>0</v>
      </c>
      <c r="E41718" s="4">
        <v>1</v>
      </c>
      <c r="F41718" s="5">
        <v>541000</v>
      </c>
    </row>
    <row r="41719" spans="1:6" s="7" customFormat="1" ht="12.75">
      <c r="A41719" s="6">
        <v>43885.776192129633</v>
      </c>
      <c r="B41719" s="3" t="str">
        <f>HYPERLINK("https://twitter.com/Dannyagiza","@Dannyagiza")</f>
        <v>@Dannyagiza</v>
      </c>
      <c r="C41719" s="4" t="s">
        <v>15598</v>
      </c>
      <c r="D41719" s="4">
        <v>12</v>
      </c>
      <c r="E41719" s="4">
        <v>0</v>
      </c>
      <c r="F41719" s="5">
        <v>507</v>
      </c>
    </row>
    <row r="41720" spans="1:6" s="7" customFormat="1" ht="12.75">
      <c r="A41720" s="6">
        <v>43885.776099537034</v>
      </c>
      <c r="B41720" s="3" t="str">
        <f>HYPERLINK("https://twitter.com/hhhhh_hajar","@hhhhh_hajar")</f>
        <v>@hhhhh_hajar</v>
      </c>
      <c r="C41720" s="4" t="s">
        <v>15986</v>
      </c>
      <c r="D41720" s="4">
        <v>0</v>
      </c>
      <c r="E41720" s="4">
        <v>0</v>
      </c>
      <c r="F41720" s="5">
        <v>6</v>
      </c>
    </row>
    <row r="41721" spans="1:6" s="7" customFormat="1" ht="12.75">
      <c r="A41721" s="6">
        <v>43885.775914351849</v>
      </c>
      <c r="B41721" s="3" t="str">
        <f>HYPERLINK("https://twitter.com/ImanHidayat85","@ImanHidayat85")</f>
        <v>@ImanHidayat85</v>
      </c>
      <c r="C41721" s="4" t="s">
        <v>15598</v>
      </c>
      <c r="D41721" s="4">
        <v>12</v>
      </c>
      <c r="E41721" s="4">
        <v>0</v>
      </c>
      <c r="F41721" s="5">
        <v>328</v>
      </c>
    </row>
    <row r="41722" spans="1:6" s="7" customFormat="1" ht="12.75">
      <c r="A41722" s="6">
        <v>43885.77579861111</v>
      </c>
      <c r="B41722" s="3" t="str">
        <f>HYPERLINK("https://twitter.com/teraslampung","@teraslampung")</f>
        <v>@teraslampung</v>
      </c>
      <c r="C41722" s="4" t="s">
        <v>15987</v>
      </c>
      <c r="D41722" s="4">
        <v>0</v>
      </c>
      <c r="E41722" s="4">
        <v>0</v>
      </c>
      <c r="F41722" s="5">
        <v>3125</v>
      </c>
    </row>
    <row r="41723" spans="1:6" s="7" customFormat="1" ht="12.75">
      <c r="A41723" s="6">
        <v>43885.775682870371</v>
      </c>
      <c r="B41723" s="3" t="str">
        <f>HYPERLINK("https://twitter.com/green_day54","@green_day54")</f>
        <v>@green_day54</v>
      </c>
      <c r="C41723" s="4" t="s">
        <v>8484</v>
      </c>
      <c r="D41723" s="4">
        <v>516</v>
      </c>
      <c r="E41723" s="4">
        <v>0</v>
      </c>
      <c r="F41723" s="5">
        <v>161</v>
      </c>
    </row>
    <row r="41724" spans="1:6" s="7" customFormat="1" ht="12.75">
      <c r="A41724" s="6">
        <v>43885.775289351848</v>
      </c>
      <c r="B41724" s="3" t="str">
        <f>HYPERLINK("https://twitter.com/arbiwiratama","@arbiwiratama")</f>
        <v>@arbiwiratama</v>
      </c>
      <c r="C41724" s="4" t="s">
        <v>15584</v>
      </c>
      <c r="D41724" s="4">
        <v>19</v>
      </c>
      <c r="E41724" s="4">
        <v>0</v>
      </c>
      <c r="F41724" s="5">
        <v>201</v>
      </c>
    </row>
    <row r="41725" spans="1:6" s="7" customFormat="1" ht="12.75">
      <c r="A41725" s="6">
        <v>43885.775196759263</v>
      </c>
      <c r="B41725" s="3" t="str">
        <f>HYPERLINK("https://twitter.com/jafarash13","@jafarash13")</f>
        <v>@jafarash13</v>
      </c>
      <c r="C41725" s="4" t="s">
        <v>15988</v>
      </c>
      <c r="D41725" s="4">
        <v>0</v>
      </c>
      <c r="E41725" s="4">
        <v>0</v>
      </c>
      <c r="F41725" s="5">
        <v>39</v>
      </c>
    </row>
    <row r="41726" spans="1:6" s="7" customFormat="1" ht="12.75">
      <c r="A41726" s="6">
        <v>43885.775057870371</v>
      </c>
      <c r="B41726" s="3" t="str">
        <f>HYPERLINK("https://twitter.com/republikaonline","@republikaonline")</f>
        <v>@republikaonline</v>
      </c>
      <c r="C41726" s="4" t="s">
        <v>15989</v>
      </c>
      <c r="D41726" s="4">
        <v>0</v>
      </c>
      <c r="E41726" s="4">
        <v>1</v>
      </c>
      <c r="F41726" s="5">
        <v>1212736</v>
      </c>
    </row>
  </sheetData>
  <phoneticPr fontId="4"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24Feb-15Mar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Ilma Aliya Fiddien</dc:creator>
  <cp:lastModifiedBy>Ilma Aliya Fiddien</cp:lastModifiedBy>
  <dcterms:created xsi:type="dcterms:W3CDTF">2020-04-16T05:58:02Z</dcterms:created>
  <dcterms:modified xsi:type="dcterms:W3CDTF">2020-04-16T06:30:45Z</dcterms:modified>
</cp:coreProperties>
</file>